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_list" sheetId="1" r:id="rId4"/>
    <sheet state="visible" name="big_rental_contract" sheetId="2" r:id="rId5"/>
    <sheet state="visible" name="sublease_contract" sheetId="3" r:id="rId6"/>
    <sheet state="visible" name="tenant_list" sheetId="4" r:id="rId7"/>
    <sheet state="visible" name="Custom分類" sheetId="5" r:id="rId8"/>
    <sheet state="visible" name="all_in_one" sheetId="6" r:id="rId9"/>
    <sheet state="visible" name="預測未來十年稅後淨利表" sheetId="7" r:id="rId10"/>
    <sheet state="visible" name="系統物件總體評分表" sheetId="8" r:id="rId11"/>
    <sheet state="visible" name="系統全域營運中樞表" sheetId="9" r:id="rId12"/>
  </sheets>
  <definedNames>
    <definedName name="account_balance_table_header">#REF!</definedName>
    <definedName name="NewTaipeiCity">'Custom分類'!$D$2:$D$30</definedName>
    <definedName name="account_list">#REF!</definedName>
    <definedName name="account_balance_table">#REF!</definedName>
    <definedName name="account_list_with_id">#REF!</definedName>
    <definedName name="TaipeiCity">'Custom分類'!$C$2:$C$13</definedName>
    <definedName name="filter_project">#REF!</definedName>
    <definedName name="categorized_expense_over_month">#REF!</definedName>
    <definedName hidden="1" localSheetId="0" name="_xlnm._FilterDatabase">room_list!$A$1:$Y$1004</definedName>
    <definedName hidden="1" localSheetId="1" name="_xlnm._FilterDatabase">big_rental_contract!$C$1:$AX$982</definedName>
    <definedName hidden="1" localSheetId="2" name="_xlnm._FilterDatabase">sublease_contract!$A$1:$AL$265</definedName>
    <definedName hidden="1" localSheetId="3" name="_xlnm._FilterDatabase">tenant_list!$A$1:$H$605</definedName>
    <definedName hidden="1" localSheetId="5" name="_xlnm._FilterDatabase">all_in_one!$A$1:$Z$14487</definedName>
    <definedName hidden="1" localSheetId="8" name="_xlnm._FilterDatabase">'系統全域營運中樞表'!$A$1:$Z$999</definedName>
    <definedName hidden="1" localSheetId="2" name="Z_18BA9248_363D_4866_A55F_FAAAD9CF9AF5_.wvu.FilterData">sublease_contract!$C$1:$AD$96</definedName>
    <definedName hidden="1" localSheetId="3" name="Z_18BA9248_363D_4866_A55F_FAAAD9CF9AF5_.wvu.FilterData">tenant_list!$B$1:$E$142</definedName>
  </definedNames>
  <calcPr/>
  <customWorkbookViews>
    <customWorkbookView activeSheetId="0" maximized="1" windowHeight="0" windowWidth="0" guid="{18BA9248-363D-4866-A55F-FAAAD9CF9AF5}" name="尚未登記案件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tc={1a9736f5-029c-44e0-93d3-6f0e9c37ecfe}</author>
    <author>tc={7512b642-f6bc-4f8c-8886-80e9bc06561c}</author>
    <author>tc={7e91bcd1-5d05-4da9-b945-4bdf600d8053}</author>
  </authors>
  <commentList>
    <comment authorId="0" ref="H1">
      <text>
        <t xml:space="preserve">20260213:
鯰魚月應收 30萬-1.32萬(內湖D)
貓狗企鵝 月應收 86.7萬
</t>
      </text>
    </comment>
    <comment authorId="1" xr:uid="{1a9736f5-029c-44e0-93d3-6f0e9c37ecfe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互斥群組，將頂加產品分成 單個或整層出租時，一旦有出租，則另外一個自動失效
</t>
      </text>
    </comment>
    <comment authorId="2" xr:uid="{7512b642-f6bc-4f8c-8886-80e9bc06561c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預設為空。如果這間房（或這層樓）有自己的公區影片（或者整層出租不需要公區影片），就填入該連結。
</t>
      </text>
    </comment>
    <comment authorId="3" xr:uid="{7e91bcd1-5d05-4da9-b945-4bdf600d80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預設為空。如果是頂加，填入「頂」或「(頂加)」。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tc={0a99d7dd-3e19-4398-a1d5-3578cbcbb0ce}</author>
    <author>tc={0f604de2-3c36-4d1d-b67b-ea40b493261a}</author>
    <author>tc={9e53cf84-03ed-4da5-bc83-3b8dcb4fd1d0}</author>
    <author>tc={d2621000-e3f7-4bd3-94ba-4243652714d6}</author>
    <author>tc={dccd9491-4573-4a35-8c07-cdf06074216d}</author>
    <author>tc={fe3882be-e5aa-4581-8be3-a7cf97c952a2}</author>
  </authors>
  <commentList>
    <comment authorId="0" ref="F14">
      <text>
        <t xml:space="preserve">已於簽約時已預先支付97200元的租金差額, 若提前終止需退還差額
</t>
      </text>
    </comment>
    <comment authorId="0" ref="H19">
      <text>
        <t xml:space="preserve">談定的合約大租金金額是28800</t>
      </text>
    </comment>
    <comment authorId="0" ref="AI19">
      <text>
        <t xml:space="preserve">談定的合約大租金金額是28800</t>
      </text>
    </comment>
    <comment authorId="1" xr:uid="{0a99d7dd-3e19-4398-a1d5-3578cbcbb0ce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已申請三稅減免
</t>
      </text>
    </comment>
    <comment authorId="2" xr:uid="{0f604de2-3c36-4d1d-b67b-ea40b493261a}" ref="A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預計下次付款日
</t>
      </text>
    </comment>
    <comment authorId="3" xr:uid="{9e53cf84-03ed-4da5-bc83-3b8dcb4fd1d0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上系統登記
</t>
      </text>
    </comment>
    <comment authorId="4" xr:uid="{d2621000-e3f7-4bd3-94ba-4243652714d6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已完成網銀自動轉帳
</t>
      </text>
    </comment>
    <comment authorId="5" xr:uid="{dccd9491-4573-4a35-8c07-cdf06074216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歸檔
</t>
      </text>
    </comment>
    <comment authorId="6" xr:uid="{fe3882be-e5aa-4581-8be3-a7cf97c952a2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已經完成次年度自動轉帳(最後一次轉帳)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tc={3e55a942-4a4d-4e54-940e-c14cbc705127}</author>
    <author>tc={529cfbc9-b040-4f02-adc2-a041c608e91a}</author>
    <author>tc={89175081-f62a-4d97-a7f7-1ef5fc68bfda}</author>
  </authors>
  <commentList>
    <comment authorId="0" ref="H1">
      <text>
        <t xml:space="preserve">轉租登記</t>
      </text>
    </comment>
    <comment authorId="0" ref="I1">
      <text>
        <t xml:space="preserve">實價登錄</t>
      </text>
    </comment>
    <comment authorId="0" ref="J1">
      <text>
        <t xml:space="preserve">租金補貼</t>
      </text>
    </comment>
    <comment authorId="0" ref="T1">
      <text>
        <t xml:space="preserve">紅色：幽靈餘額 (最危險！)
邏輯：如果 「下次繳款日」在今天之後 (代表本期已結)，但 「T 欄」不為 0。
確認是否應該 ⚠️ 立即刪除該格金額，避免重複記帳！
=====
橘色：異常堆積 (T 欄爆表)
邏輯：如果 「T 欄累積金額」 竟然 大於「月租金」 (代表機器人可能重複累加了)。</t>
      </text>
    </comment>
    <comment authorId="0" ref="V1">
      <text>
        <t xml:space="preserve">=if(isblank(W2),,V2-W2)</t>
      </text>
    </comment>
    <comment authorId="0" ref="AB2">
      <text>
        <t xml:space="preserve">
</t>
      </text>
    </comment>
    <comment authorId="0" ref="AB3">
      <text>
        <t xml:space="preserve">
</t>
      </text>
    </comment>
    <comment authorId="0" ref="AB4">
      <text>
        <t xml:space="preserve">
</t>
      </text>
    </comment>
    <comment authorId="0" ref="AB5">
      <text>
        <t xml:space="preserve">
</t>
      </text>
    </comment>
    <comment authorId="0" ref="AB6">
      <text>
        <t xml:space="preserve">
</t>
      </text>
    </comment>
    <comment authorId="0" ref="AB7">
      <text>
        <t xml:space="preserve">
</t>
      </text>
    </comment>
    <comment authorId="0" ref="AB8">
      <text>
        <t xml:space="preserve">
</t>
      </text>
    </comment>
    <comment authorId="0" ref="AB9">
      <text>
        <t xml:space="preserve">
</t>
      </text>
    </comment>
    <comment authorId="0" ref="AB10">
      <text>
        <t xml:space="preserve">
</t>
      </text>
    </comment>
    <comment authorId="0" ref="AB11">
      <text>
        <t xml:space="preserve">
</t>
      </text>
    </comment>
    <comment authorId="0" ref="AB12">
      <text>
        <t xml:space="preserve">
</t>
      </text>
    </comment>
    <comment authorId="0" ref="AB13">
      <text>
        <t xml:space="preserve">
</t>
      </text>
    </comment>
    <comment authorId="0" ref="AB15">
      <text>
        <t xml:space="preserve">
</t>
      </text>
    </comment>
    <comment authorId="0" ref="AB18">
      <text>
        <t xml:space="preserve">
</t>
      </text>
    </comment>
    <comment authorId="0" ref="AB19">
      <text>
        <t xml:space="preserve">
</t>
      </text>
    </comment>
    <comment authorId="0" ref="AB26">
      <text>
        <t xml:space="preserve">
</t>
      </text>
    </comment>
    <comment authorId="0" ref="AB35">
      <text>
        <t xml:space="preserve">
</t>
      </text>
    </comment>
    <comment authorId="0" ref="AB42">
      <text>
        <t xml:space="preserve">
</t>
      </text>
    </comment>
    <comment authorId="0" ref="AB64">
      <text>
        <t xml:space="preserve">
</t>
      </text>
    </comment>
    <comment authorId="0" ref="AB65">
      <text>
        <t xml:space="preserve">
</t>
      </text>
    </comment>
    <comment authorId="0" ref="AB68">
      <text>
        <t xml:space="preserve">
</t>
      </text>
    </comment>
    <comment authorId="0" ref="AB74">
      <text>
        <t xml:space="preserve">
</t>
      </text>
    </comment>
    <comment authorId="0" ref="AB75">
      <text>
        <t xml:space="preserve">
</t>
      </text>
    </comment>
    <comment authorId="0" ref="AB76">
      <text>
        <t xml:space="preserve">
</t>
      </text>
    </comment>
    <comment authorId="0" ref="AB77">
      <text>
        <t xml:space="preserve">
</t>
      </text>
    </comment>
    <comment authorId="0" ref="AB78">
      <text>
        <t xml:space="preserve">
</t>
      </text>
    </comment>
    <comment authorId="0" ref="AB79">
      <text>
        <t xml:space="preserve">
</t>
      </text>
    </comment>
    <comment authorId="0" ref="AB80">
      <text>
        <t xml:space="preserve">
</t>
      </text>
    </comment>
    <comment authorId="0" ref="AB81">
      <text>
        <t xml:space="preserve">
</t>
      </text>
    </comment>
    <comment authorId="0" ref="AB82">
      <text>
        <t xml:space="preserve">
</t>
      </text>
    </comment>
    <comment authorId="0" ref="AB83">
      <text>
        <t xml:space="preserve">
</t>
      </text>
    </comment>
    <comment authorId="0" ref="AB84">
      <text>
        <t xml:space="preserve">
</t>
      </text>
    </comment>
    <comment authorId="0" ref="AB85">
      <text>
        <t xml:space="preserve">
</t>
      </text>
    </comment>
    <comment authorId="0" ref="AB86">
      <text>
        <t xml:space="preserve">
</t>
      </text>
    </comment>
    <comment authorId="0" ref="AB87">
      <text>
        <t xml:space="preserve">
</t>
      </text>
    </comment>
    <comment authorId="1" xr:uid="{3e55a942-4a4d-4e54-940e-c14cbc705127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轉租登記
</t>
      </text>
    </comment>
    <comment authorId="2" xr:uid="{529cfbc9-b040-4f02-adc2-a041c608e91a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實價登錄
</t>
      </text>
    </comment>
    <comment authorId="3" xr:uid="{89175081-f62a-4d97-a7f7-1ef5fc68bfda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實價登錄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如果是外國人, 則填寫 西元出生年月日(8碼)+姓氏前兩碼</t>
      </text>
    </comment>
  </commentList>
</comments>
</file>

<file path=xl/sharedStrings.xml><?xml version="1.0" encoding="utf-8"?>
<sst xmlns="http://schemas.openxmlformats.org/spreadsheetml/2006/main" count="5945" uniqueCount="2199">
  <si>
    <t>case</t>
  </si>
  <si>
    <t>room_key</t>
  </si>
  <si>
    <t>property</t>
  </si>
  <si>
    <t>room_number</t>
  </si>
  <si>
    <t>room_type</t>
  </si>
  <si>
    <t>extension_or_unregistered_building</t>
  </si>
  <si>
    <t>rental_area</t>
  </si>
  <si>
    <t>base_rent</t>
  </si>
  <si>
    <t>vacant_for_rent</t>
  </si>
  <si>
    <t>room_title</t>
  </si>
  <si>
    <t>video_link</t>
  </si>
  <si>
    <t>sorting</t>
  </si>
  <si>
    <t>specific_public_video</t>
  </si>
  <si>
    <t>mutex_group</t>
  </si>
  <si>
    <t>vacant_for_rent_check</t>
  </si>
  <si>
    <t>RL00002</t>
  </si>
  <si>
    <t>永春四號</t>
  </si>
  <si>
    <t>A</t>
  </si>
  <si>
    <t>分租雅房</t>
  </si>
  <si>
    <t>無</t>
  </si>
  <si>
    <t>RL00003</t>
  </si>
  <si>
    <t>B</t>
  </si>
  <si>
    <t>RL00004</t>
  </si>
  <si>
    <t>C</t>
  </si>
  <si>
    <t>RL00005</t>
  </si>
  <si>
    <t>D</t>
  </si>
  <si>
    <t>RL00006</t>
  </si>
  <si>
    <t>內湖秘境</t>
  </si>
  <si>
    <t>面山綠景清幽雅房</t>
  </si>
  <si>
    <t>RL00007</t>
  </si>
  <si>
    <t>https://youtube.com/shorts/rd6OLksk1pk</t>
  </si>
  <si>
    <t>RL00008</t>
  </si>
  <si>
    <t>RL00009</t>
  </si>
  <si>
    <t>RL00010</t>
  </si>
  <si>
    <t>E</t>
  </si>
  <si>
    <t>RL00011</t>
  </si>
  <si>
    <t>F</t>
  </si>
  <si>
    <t>頂加</t>
  </si>
  <si>
    <t>RL00012</t>
  </si>
  <si>
    <t>G</t>
  </si>
  <si>
    <t>RL00017</t>
  </si>
  <si>
    <t>龍江229</t>
  </si>
  <si>
    <t>採光陽台雅房</t>
  </si>
  <si>
    <t>https://youtube.com/shorts/f__aKIJfxsI?si=_5d10MINdTP7j2Da</t>
  </si>
  <si>
    <t>RL00018</t>
  </si>
  <si>
    <t>https://youtube.com/shorts/HCk9m8FNmF0?si=FaWFCcxbs1UKny1L</t>
  </si>
  <si>
    <t>RL00019</t>
  </si>
  <si>
    <t>分租套房</t>
  </si>
  <si>
    <t>全實牆大樹景採光高級大浴室套房</t>
  </si>
  <si>
    <t>https://youtube.com/shorts/kl5RXn92Rrs?feature=share</t>
  </si>
  <si>
    <t>RL00020</t>
  </si>
  <si>
    <t>全實牆雅房</t>
  </si>
  <si>
    <t>RL00021</t>
  </si>
  <si>
    <t>全實牆方正小雅房</t>
  </si>
  <si>
    <t>https://youtu.be/HKUVG1fCFzg?si=sbMTrUIXQ4L8SwwB</t>
  </si>
  <si>
    <t>RL00022</t>
  </si>
  <si>
    <t>哈拉對面</t>
  </si>
  <si>
    <t>落地採光窗雅房</t>
  </si>
  <si>
    <t>https://youtu.be/_KXCqnnWhgw</t>
  </si>
  <si>
    <t>RL00023</t>
  </si>
  <si>
    <t>雙人床採光大套房</t>
  </si>
  <si>
    <t>https://youtu.be/5cuncaRJsgQ</t>
  </si>
  <si>
    <t>RL00024</t>
  </si>
  <si>
    <t>全實牆衣櫃雅房</t>
  </si>
  <si>
    <t>https://youtu.be/sypXJ2lqQ3o</t>
  </si>
  <si>
    <t>RL00025</t>
  </si>
  <si>
    <t>大大大衣櫃雅房</t>
  </si>
  <si>
    <t>https://youtube.com/shorts/7DcBnbE-QfQ?si=vKq2e4gpMYhtGy7W</t>
  </si>
  <si>
    <t>RL00026</t>
  </si>
  <si>
    <t>北醫醫師府</t>
  </si>
  <si>
    <t>https://youtube.com/shorts/Hc8fDLPxR2s?si=yi_8BaevlJvKThX8</t>
  </si>
  <si>
    <t>RL00027</t>
  </si>
  <si>
    <t>RL00028</t>
  </si>
  <si>
    <t>RL00029</t>
  </si>
  <si>
    <t>RL00030</t>
  </si>
  <si>
    <t>落地窗大採光超多收納雅房</t>
  </si>
  <si>
    <t>https://youtu.be/OQCdRPBv1HU</t>
  </si>
  <si>
    <t>Group_Top_01</t>
  </si>
  <si>
    <t>RL00031</t>
  </si>
  <si>
    <t>雙面採光開窗賞101夜景雅房F</t>
  </si>
  <si>
    <t>https://youtu.be/0Mv8x7Ghvjs</t>
  </si>
  <si>
    <t>RL00032</t>
  </si>
  <si>
    <t>大湖山莊</t>
  </si>
  <si>
    <t>挑高3米通風大雅房</t>
  </si>
  <si>
    <t>https://www.youtube.com/shorts/BVANUELortA</t>
  </si>
  <si>
    <t>RL00033</t>
  </si>
  <si>
    <t>方正實心牆典雅雅房</t>
  </si>
  <si>
    <t>https://youtube.com/shorts/Fvij9jinV0I?si=tbMFzPki-t7Xte74</t>
  </si>
  <si>
    <t>RL00034</t>
  </si>
  <si>
    <t>獨立陽台獨立洗衣機大套房</t>
  </si>
  <si>
    <t>RL00035</t>
  </si>
  <si>
    <t>四櫃收納瑜珈人大雅房</t>
  </si>
  <si>
    <t>RL00036</t>
  </si>
  <si>
    <t>有標準門的和式清幽雅房</t>
  </si>
  <si>
    <t>RL00037</t>
  </si>
  <si>
    <t>大空間超多收納一房一廳頂加採光雅房</t>
  </si>
  <si>
    <t>https://youtu.be/X1mOO7o74Uk</t>
  </si>
  <si>
    <t>RL00038</t>
  </si>
  <si>
    <t>大片採光 獨立陽台 獨立洗衣機 頂加雅房</t>
  </si>
  <si>
    <t>https://www.youtube.com/shorts/H7Gx0qFtcmI</t>
  </si>
  <si>
    <t>RL00013</t>
  </si>
  <si>
    <t>士林和豐</t>
  </si>
  <si>
    <t>RL00014</t>
  </si>
  <si>
    <t>獨立陽台大採光雅房</t>
  </si>
  <si>
    <t>https://youtube.com/shorts/w4m3C_SQfU0?si=AG4_Bc2RFth2LSdH</t>
  </si>
  <si>
    <t>RL00015</t>
  </si>
  <si>
    <t>方正全實心牆雅房</t>
  </si>
  <si>
    <t>https://youtube.com/shorts/f59bfvV6lkw?si=X-Lx2UbnA76uz6Ac</t>
  </si>
  <si>
    <t>RL00016</t>
  </si>
  <si>
    <t>RL00040</t>
  </si>
  <si>
    <t>南港站挑高宅</t>
  </si>
  <si>
    <t>RL00041</t>
  </si>
  <si>
    <t>https://youtu.be/a5mQVdGrbrU</t>
  </si>
  <si>
    <t>RL00042</t>
  </si>
  <si>
    <t>https://youtu.be/uyYhNAPko2U</t>
  </si>
  <si>
    <t>RL00043</t>
  </si>
  <si>
    <t>RL00044</t>
  </si>
  <si>
    <t>https://youtube.com/shorts/1n4Pq5wyeHU?si=lUmenjBixSrfLuTc</t>
  </si>
  <si>
    <t>RL00039</t>
  </si>
  <si>
    <t>市府爺爺家</t>
  </si>
  <si>
    <t>https://youtu.be/Ap6HqUFDxZk</t>
  </si>
  <si>
    <t>RL00045</t>
  </si>
  <si>
    <t>金龍帽子先生</t>
  </si>
  <si>
    <t>獨立衣帽間洗衣機大套房</t>
  </si>
  <si>
    <t>https://youtu.be/Nhw-XDtzIX0</t>
  </si>
  <si>
    <t>RL00046</t>
  </si>
  <si>
    <t>大採光獨立陽台雅房</t>
  </si>
  <si>
    <t>https://youtu.be/R9pHDkA1O5E</t>
  </si>
  <si>
    <t>RL00047</t>
  </si>
  <si>
    <t>好多好多衣櫃 中雅房</t>
  </si>
  <si>
    <t>https://www.youtube.com/shorts/vR6bJZjIVYI</t>
  </si>
  <si>
    <t>RL00048</t>
  </si>
  <si>
    <t>大採光美景大雅房</t>
  </si>
  <si>
    <t>https://youtu.be/fwAwpXaMEj4</t>
  </si>
  <si>
    <t>RL00049</t>
  </si>
  <si>
    <t>景安2分鐘</t>
  </si>
  <si>
    <t>獨立陽台洗衣機超大雅房</t>
  </si>
  <si>
    <t>https://youtu.be/jXlShe5u2WU</t>
  </si>
  <si>
    <t>RL00050</t>
  </si>
  <si>
    <t>獨立衛浴超大套房</t>
  </si>
  <si>
    <t>RL00051</t>
  </si>
  <si>
    <t>採光實牆大雅房</t>
  </si>
  <si>
    <t>https://youtu.be/8dskuxjWPGQ</t>
  </si>
  <si>
    <t>RL00052</t>
  </si>
  <si>
    <t>採光實牆小雅房</t>
  </si>
  <si>
    <t>https://youtu.be/2eWqR1-x7ZY</t>
  </si>
  <si>
    <t>RL00053</t>
  </si>
  <si>
    <t>採光實牆中雅房</t>
  </si>
  <si>
    <t>https://youtu.be/aKv8_cRJPqE</t>
  </si>
  <si>
    <t>RL00054</t>
  </si>
  <si>
    <t>中山北娘家旁</t>
  </si>
  <si>
    <t>方正橙黃大衣櫃雅房</t>
  </si>
  <si>
    <t>https://youtu.be/hhOdPDFVPQk?si=9daJZkMcRTyLKjws</t>
  </si>
  <si>
    <t>RL00055</t>
  </si>
  <si>
    <t>方正卡其綠大衣櫃雅房</t>
  </si>
  <si>
    <t>https://youtu.be/NA8RGArVaj4?si=LBCsYT5aB6UQjPRT</t>
  </si>
  <si>
    <t>RL00056</t>
  </si>
  <si>
    <t>雙採光中雅房</t>
  </si>
  <si>
    <t>https://youtu.be/hcnf0ZuEW7M?si=ZFugzpKZkqz-KvTx</t>
  </si>
  <si>
    <t>RL00057</t>
  </si>
  <si>
    <t>樹景採光雅房</t>
  </si>
  <si>
    <t>https://youtu.be/tV0Cz-yGN0o?si=iQT9CJYGeFdvXHAd</t>
  </si>
  <si>
    <t>RL00058</t>
  </si>
  <si>
    <t>行天宮夏野良栗</t>
  </si>
  <si>
    <t>行天宮站2分鐘 大採光A房</t>
  </si>
  <si>
    <t>https://youtu.be/DCogbWAwCkY?si=N4RGD3Aw7LN_1sa3</t>
  </si>
  <si>
    <t>RL00059</t>
  </si>
  <si>
    <t>行天宮站2分鐘 大採光B房</t>
  </si>
  <si>
    <t>https://youtube.com/shorts/ukuVqe3alAM?si=0QQNUxEQykpjNbxT</t>
  </si>
  <si>
    <t>RL00060</t>
  </si>
  <si>
    <t>https://youtube.com/shorts/MY1BoXAwgIE?si=sAfAFWOstlzyzIZD</t>
  </si>
  <si>
    <t>RL00061</t>
  </si>
  <si>
    <t>https://youtube.com/shorts/sf_ZarNVvz0?si=wwQrCBGg-vk7ERsg</t>
  </si>
  <si>
    <t>RL00062</t>
  </si>
  <si>
    <t>https://youtu.be/ZscsdId_Mg8</t>
  </si>
  <si>
    <t>Group_Top_02</t>
  </si>
  <si>
    <t>RL00063</t>
  </si>
  <si>
    <t>RL00064</t>
  </si>
  <si>
    <t>中山北Feli家</t>
  </si>
  <si>
    <t>RL00065</t>
  </si>
  <si>
    <t>RL00066</t>
  </si>
  <si>
    <t>https://www.youtube.com/shorts/pMkJsIWW1V4</t>
  </si>
  <si>
    <t>RL00067</t>
  </si>
  <si>
    <t>RL00068</t>
  </si>
  <si>
    <t>https://youtu.be/TJK-1_1QY_k?si=VSoka00YRegdQaRX</t>
  </si>
  <si>
    <t>Group_Top_03</t>
  </si>
  <si>
    <t>RL00069</t>
  </si>
  <si>
    <t>RL00070</t>
  </si>
  <si>
    <t>書香民生</t>
  </si>
  <si>
    <t>淡雅質感明亮中雅房</t>
  </si>
  <si>
    <t>https://youtube.com/shorts/5GJvoXUvbds?feature=share</t>
  </si>
  <si>
    <t>RL00071</t>
  </si>
  <si>
    <t>(可雙人承租 雙租補)大落地窗採光聯考大大大雅房</t>
  </si>
  <si>
    <t>https://youtube.com/shorts/hWPCPa4Klr0?feature=share</t>
  </si>
  <si>
    <t>RL00072</t>
  </si>
  <si>
    <t>方正大片採光大雅房</t>
  </si>
  <si>
    <t>https://youtube.com/shorts/LpY6OVSP0IU?feature=share</t>
  </si>
  <si>
    <t>RL00081</t>
  </si>
  <si>
    <t>Cozy採光 兩房共享飯店級衛浴 類套房</t>
  </si>
  <si>
    <t>https://youtu.be/L7UDBD9pXUw</t>
  </si>
  <si>
    <t>RL00073</t>
  </si>
  <si>
    <t>沉穩綠意 兩房共享飯店級衛浴 類套房</t>
  </si>
  <si>
    <t>RL00074</t>
  </si>
  <si>
    <t>大片露臺採光Cozy頂加雅房</t>
  </si>
  <si>
    <t>https://youtube.com/shorts/CPeNDmdMgvQ?feature=share</t>
  </si>
  <si>
    <t>RL00082</t>
  </si>
  <si>
    <t>(可雙人承租 雙租補)大空間全實心牆頂加瑜珈雅房</t>
  </si>
  <si>
    <t>https://youtube.com/shorts/z4krI2adQhU?feature=share</t>
  </si>
  <si>
    <t>RL00075</t>
  </si>
  <si>
    <t>內湖CityLink</t>
  </si>
  <si>
    <t>採光Cozy躺椅雅房</t>
  </si>
  <si>
    <t>https://youtu.be/n_TEh6a0Z4Y</t>
  </si>
  <si>
    <t>RL00076</t>
  </si>
  <si>
    <t>舒適精緻雅房</t>
  </si>
  <si>
    <t>https://youtu.be/ncfVbrE2o2s</t>
  </si>
  <si>
    <t>RL00077</t>
  </si>
  <si>
    <t>全實心牆經典房</t>
  </si>
  <si>
    <t>https://youtu.be/nYCGsW03IBg</t>
  </si>
  <si>
    <t>RL00078</t>
  </si>
  <si>
    <t>方正格局雙窗房</t>
  </si>
  <si>
    <t>https://youtube.com/shorts/5HVt4A5vjL8?feature=share</t>
  </si>
  <si>
    <t>RL00079</t>
  </si>
  <si>
    <t>雙面採光開窗呼吸雅房</t>
  </si>
  <si>
    <t>https://youtu.be/crA7sh3T0rk</t>
  </si>
  <si>
    <t>RL00080</t>
  </si>
  <si>
    <t>方正採光雅房</t>
  </si>
  <si>
    <t>https://youtu.be/Y_GV-Qa8PPg</t>
  </si>
  <si>
    <t>RL00083</t>
  </si>
  <si>
    <t>兩房</t>
  </si>
  <si>
    <t>分層出租</t>
  </si>
  <si>
    <t>雙面大採光兩房一廳大陽台頂加</t>
  </si>
  <si>
    <t>https://youtu.be/xwtOSmCtkFk</t>
  </si>
  <si>
    <t>RL00084</t>
  </si>
  <si>
    <t>兩房一廳 - 大採光超多收納開窗賞101夜景頂加</t>
  </si>
  <si>
    <t>https://youtu.be/yGleqHhSkqU</t>
  </si>
  <si>
    <t>RL00085</t>
  </si>
  <si>
    <t>兩房一廳 - 行天宮站2分鐘雙面採光大客廳頂加</t>
  </si>
  <si>
    <t>RL00086</t>
  </si>
  <si>
    <t>兩房一廳 - 天母核心大採光超大客廳頂加</t>
  </si>
  <si>
    <t>A0017</t>
  </si>
  <si>
    <t>RL00087</t>
  </si>
  <si>
    <t>天母搜狗</t>
  </si>
  <si>
    <t>天母搜狗｜類套房規格(兩房一衛)｜優質採光A房</t>
  </si>
  <si>
    <t>https://youtu.be/vA8Z0Oh0xNE</t>
  </si>
  <si>
    <t>RL00088</t>
  </si>
  <si>
    <t>天母搜狗｜類套房規格(兩房一衛)｜採光大B房</t>
  </si>
  <si>
    <t>RL00089</t>
  </si>
  <si>
    <t>天母搜狗｜類套房規格(兩房一衛)｜採光C房</t>
  </si>
  <si>
    <t>https://youtube.com/shorts/L2QykZ_zdyA</t>
  </si>
  <si>
    <t>RL00090</t>
  </si>
  <si>
    <t>天母搜狗｜類套房規格(兩房一衛)｜採光D房</t>
  </si>
  <si>
    <t>RL00091</t>
  </si>
  <si>
    <t>天母搜狗｜採光實心牆E房</t>
  </si>
  <si>
    <t>https://youtube.com/shorts/iNf0X3UT8NM</t>
  </si>
  <si>
    <t>id</t>
  </si>
  <si>
    <t>tax_reduction_applied</t>
  </si>
  <si>
    <t>file_archived</t>
  </si>
  <si>
    <t>auto_transfer</t>
  </si>
  <si>
    <t>system_registered</t>
  </si>
  <si>
    <t>property_name</t>
  </si>
  <si>
    <t>owner_name</t>
  </si>
  <si>
    <t>monthly_rent</t>
  </si>
  <si>
    <t>contract_signed_date</t>
  </si>
  <si>
    <t>contract_start_date</t>
  </si>
  <si>
    <t>contract_end_date</t>
  </si>
  <si>
    <t>city</t>
  </si>
  <si>
    <t>district</t>
  </si>
  <si>
    <t>address</t>
  </si>
  <si>
    <t>land_section</t>
  </si>
  <si>
    <t>land_number</t>
  </si>
  <si>
    <t>building_number</t>
  </si>
  <si>
    <t>building_area_sqm</t>
  </si>
  <si>
    <t>living_room_count</t>
  </si>
  <si>
    <t>bathroom_count</t>
  </si>
  <si>
    <t>bedroom_count</t>
  </si>
  <si>
    <t>total_floors</t>
  </si>
  <si>
    <t>rented_floor</t>
  </si>
  <si>
    <t>rented_floor_cn</t>
  </si>
  <si>
    <t>building_type</t>
  </si>
  <si>
    <t>owner_id_number</t>
  </si>
  <si>
    <t>owner_contact</t>
  </si>
  <si>
    <t>remittance_account</t>
  </si>
  <si>
    <t>secondary_remittance_account</t>
  </si>
  <si>
    <t>contract_signed_date_minguo</t>
  </si>
  <si>
    <t>contract_start_date_minguo</t>
  </si>
  <si>
    <t>contract_end_date_minguo</t>
  </si>
  <si>
    <t>case_number</t>
  </si>
  <si>
    <t>phase1_rent_start_date</t>
  </si>
  <si>
    <t>phase1_rent_amount</t>
  </si>
  <si>
    <t>phase2_rent_start_date</t>
  </si>
  <si>
    <t>phase2_rent_amount</t>
  </si>
  <si>
    <t>phase3_rent_start_date</t>
  </si>
  <si>
    <t>phase3_rent_amount</t>
  </si>
  <si>
    <t>phase4_rent_start_date</t>
  </si>
  <si>
    <t>phase4_rent_amount</t>
  </si>
  <si>
    <t>next_payment_date_estimated</t>
  </si>
  <si>
    <t>auto_transfer_last_date</t>
  </si>
  <si>
    <t>transfer_date</t>
  </si>
  <si>
    <t>transfer_amount_estimated</t>
  </si>
  <si>
    <t>first_month_amount</t>
  </si>
  <si>
    <t>last_payment_date</t>
  </si>
  <si>
    <t>last_payment_amount</t>
  </si>
  <si>
    <t>notes</t>
  </si>
  <si>
    <t>tag</t>
  </si>
  <si>
    <t>second_owner_name</t>
  </si>
  <si>
    <t>second_owner_id</t>
  </si>
  <si>
    <t>third_owner_name</t>
  </si>
  <si>
    <t>third_owner_id</t>
  </si>
  <si>
    <t>Description</t>
  </si>
  <si>
    <t>垃圾代收/樓梯清潔/管理費</t>
  </si>
  <si>
    <t>public_area_video</t>
  </si>
  <si>
    <t>full_description</t>
  </si>
  <si>
    <t>A0001</t>
  </si>
  <si>
    <t>郭宗仁</t>
  </si>
  <si>
    <t>臺北市</t>
  </si>
  <si>
    <t>信義區</t>
  </si>
  <si>
    <t>忠孝東路五段466號四樓</t>
  </si>
  <si>
    <t>信義段一小段</t>
  </si>
  <si>
    <t>0104-0000</t>
  </si>
  <si>
    <t>00791000</t>
  </si>
  <si>
    <t>四層</t>
  </si>
  <si>
    <t>公寓(無電梯)</t>
  </si>
  <si>
    <t>F122308421</t>
  </si>
  <si>
    <t>0987249595</t>
  </si>
  <si>
    <t>(012)00620168284509
0000721168746295</t>
  </si>
  <si>
    <t>(012)00721168746295</t>
  </si>
  <si>
    <t>BAA9405318211240143</t>
  </si>
  <si>
    <t>台銀在 台幣簡易轉帳 歷史紀錄選用 可以一次"多選"設定 進入草稿後編輯</t>
  </si>
  <si>
    <t>2025.06.1</t>
  </si>
  <si>
    <t>每個月一號給兩個帳戶</t>
  </si>
  <si>
    <t>17000*2(雙帳號)</t>
  </si>
  <si>
    <t>貓狗企鵝</t>
  </si>
  <si>
    <t>郭玟君</t>
  </si>
  <si>
    <t>F228154223</t>
  </si>
  <si>
    <t>📌租金包含: 網路費
📌押金: 2個月 
📌仲介費: 免仲介費
📌租期: 可短租
📌能源費: 水、電、瓦斯依帳單 室友人頭均攤
🚶步行
1分鐘 7-11便利商店
1分鐘 康是美
1分鐘 捷運永春站
2分鐘 虎林街美食、虎林市場
3分鐘 壽司郎
🚲 YouBike  
4分鐘ubike到 五分埔
5分鐘ubike到 饒河夜市</t>
  </si>
  <si>
    <t xml:space="preserve">🚇永春站正樓上🚇, 到站就到家
 󠀠
在繁忙的城市生活中，有什麼比每天返家更讓人舒適的呢？我們位於捷運站樓上，意味著當你到達站點，你已經回到了溫馨的家。
 󠀠
居家辦公、下班累了想吃美食，6分鐘內的距離絕對不怕沒食物
1分鐘捷運到 信義商圈
2分鐘走路到 虎林街美食、虎林市場
3分鐘走路到 壽司郎
4分鐘ubike到 五分埔
5分鐘ubike到 饒河夜市
 󠀠
臨時想買點東西, 10秒內步行即可到達便利商店&amp;康是美.
 󠀠
📌地點: 永春站 信義區 忠孝東路五段 四樓 公寓 
📌格局: 
【房型】公寓2層 4F &amp; 5F
→ 4F 共生公寓  四房一衛一廳一廚一陽台 
→ 5F 兩房一衛一廳一廚一陽台 頂加 
📌設備: 冷氣、雙人床、衣櫃、40吋以上電視、桌椅、洗衣機、冰箱、瓦斯爐、抽油煙機、熱水器、120M網路&amp;WIFI
📌租金包含: 網路費
</t>
  </si>
  <si>
    <t>A0002</t>
  </si>
  <si>
    <t>周佳慧</t>
  </si>
  <si>
    <t>內湖區</t>
  </si>
  <si>
    <t>內湖路一段47巷46號五樓</t>
  </si>
  <si>
    <t>西湖段二小段</t>
  </si>
  <si>
    <t>0439-0000</t>
  </si>
  <si>
    <t>01432-000</t>
  </si>
  <si>
    <t>五層</t>
  </si>
  <si>
    <t>A221172157</t>
  </si>
  <si>
    <t>02-29671862</t>
  </si>
  <si>
    <t>012/0000689168153048
700/03116810484843
810/6709177212</t>
  </si>
  <si>
    <t>BAA9405318211231268</t>
  </si>
  <si>
    <t>2025.12.1</t>
  </si>
  <si>
    <t>每個月1號</t>
  </si>
  <si>
    <t>15000*3</t>
  </si>
  <si>
    <t>鯰魚大大</t>
  </si>
  <si>
    <t xml:space="preserve">=====內 科 綠 樹 景 觀  房=====
與綠蔭共居  適合重視生活品質的你
💲󠀠垃圾代收
💲公共區清潔
💲1G超高速網路
=====歡 迎 申 請 租 金 補 貼=====
󠀠 󠀠
近美麗華 / 內科 / 內湖路一段 / 文湖街󠀠
劍南路站 / 騎車4MIN / 步行12MIN
西湖站 / 騎車5MIN / 步行16MIN
【房型】公寓2層  7雅 2衛 1廚 大露臺󠀠 󠀠
【租金包含】垃圾代收、公共區清潔、1G超高速網路費
【押金】2個月，租期1年起
【能源費】水、電、瓦斯依帳單 室友人頭均攤
【設備】3M生飲濾水器、冷氣、掀床床墊組、衣櫃、書桌椅、洗衣機*2、冰箱*2、餐桌、瓦斯爐、抽油煙機、熱水器、1G 網路 &amp; WIFI
󠀠 󠀠
</t>
  </si>
  <si>
    <t>Local廠商 放一樓</t>
  </si>
  <si>
    <t>https://youtu.be/o8CQn0wxxQQ</t>
  </si>
  <si>
    <t xml:space="preserve">=====內 科 綠 樹 景 觀 房=====
 󠀠 󠀠
與綠蔭共居  適合重視生活品質的你
💲󠀠垃圾代收
💲公共區清潔
💲1G超高速網路
=====歡 迎 申 請 租 金 補 貼=====
󠀠 󠀠
近美麗華 / 內科 / 內湖路一段 / 文湖街󠀠
劍南路站 / 騎車4MIN / 步行12MIN
西湖站 / 騎車5MIN / 步行16MIN
 󠀠󠀠
雖然距離捷運要走一小段，但因為這樣的距離，
換到遠離塵囂的生活品質
󠀠 󠀠
【房型】公寓2層  7雅 2衛 1廚 大露臺
󠀠 󠀠
󠀠 󠀠
【租金包含】垃圾代收、公共區清潔、1G超高速網路費
【設備】3M生飲濾水器、冷氣、掀床床墊組、衣櫃、書桌椅、洗衣機*2、冰箱*2、餐桌、瓦斯爐、抽油煙機、熱水器、1G 網路 &amp; WIFI
</t>
  </si>
  <si>
    <t>A0003</t>
  </si>
  <si>
    <t>游為傑</t>
  </si>
  <si>
    <t>中山區</t>
  </si>
  <si>
    <t>龍江路229巷2之3號三樓</t>
  </si>
  <si>
    <t>長春段一小段</t>
  </si>
  <si>
    <t>0061-0000</t>
  </si>
  <si>
    <t>01553-000</t>
  </si>
  <si>
    <t>三層</t>
  </si>
  <si>
    <t>A124455973</t>
  </si>
  <si>
    <t>0920488835</t>
  </si>
  <si>
    <t>700-00021680019509</t>
  </si>
  <si>
    <t>BAA9405318211240558</t>
  </si>
  <si>
    <t>2025.06.13</t>
  </si>
  <si>
    <t>每個月1號 跟 15號</t>
  </si>
  <si>
    <t>13500*2</t>
  </si>
  <si>
    <t>📌地點: 中山區 龍江路229巷 3樓 公寓 
📌格局: 1廚1廳2陽台2衛浴 (4雅1套) 
📌設備: 冷氣、單/雙人床、衣櫃、桌椅、蒸氣洗衣機、冰箱、瓦斯爐、抽油煙機、熱水器、濾水器、120M網路&amp;WIFI
📌租金包含: 網路費、垃圾代收費
📌押金: 2個月 
📌租期: 1年起
📌能源費: 水、電、瓦斯依帳單 室友人頭均攤
🚶步行
3分鐘走路到 台北大學
🚲 YouBike  
3分鐘 Ubike到 錦州街美食區
3分鐘 Ubike到 中山國中捷運站
3分鐘 Ubike到 南京復興捷運站
4分鐘 Ubike到 行天宮捷運站
4分鐘 Ubike到 遼寧夜市
5分鐘 Ubike到 錢櫃松江
6分鐘 Ubike到 長春國賓影城</t>
  </si>
  <si>
    <t>垃可</t>
  </si>
  <si>
    <t>https://youtube.com/shorts/p2uw-IupzaE?si=zpNopgBQCQ7OBNQx</t>
  </si>
  <si>
    <t>近台北大學, 寧靜優雅的書香環境. 黃線 綠線 棕線捷運 都不缺席, 無論你在台北哪個角落都能輕鬆回家.󠀠
   󠀠
每個房間都有對外窗, 近9成設備皆是全新搬入.󠀠
   󠀠
🚲 YouBike  
3分鐘 Ubike到 錦州街美食區
3分鐘 Ubike到 中山國中捷運站
3分鐘 Ubike到 南京復興捷運站
4分鐘 Ubike到 行天宮捷運站
4分鐘 Ubike到 遼寧夜市
5分鐘 Ubike到 錢櫃松江
6分鐘 Ubike到 長春國賓影城
    󠀠
    󠀠
📌地點: 中山區 龍江路229巷 3樓 公寓 
📌格局: 1廚1廳2陽台2衛浴 (4雅1套) 
📌設備: 冷氣、單/雙人床、衣櫃、桌椅、蒸氣洗衣機、冰箱、瓦斯爐、抽油煙機、熱水器、濾水器、120M網路&amp;WIFI
📌租金包含: 網路費、垃圾代收費</t>
  </si>
  <si>
    <t>A0004</t>
  </si>
  <si>
    <t>陳哲聰</t>
  </si>
  <si>
    <t>康寧路三段175號四樓</t>
  </si>
  <si>
    <t>東湖段二小段</t>
  </si>
  <si>
    <t>0027-0006</t>
  </si>
  <si>
    <t>01658-000</t>
  </si>
  <si>
    <t>A102252441</t>
  </si>
  <si>
    <t>0918090027</t>
  </si>
  <si>
    <t>807-15400400106659</t>
  </si>
  <si>
    <t>BAA9405318211310081</t>
  </si>
  <si>
    <t>13000*2</t>
  </si>
  <si>
    <t>📌地點: 內湖區 康寧路三段17X號 4樓 公寓 
📌格局: 1廚1廳 2陽台 2衛浴 (3雅1套) 
📌設備: 冷氣、單/雙人床、衣櫃、桌椅、洗衣機、冰箱、瓦斯爐、抽油煙機、天然瓦斯、熱水器、濾水器、120M網路&amp;WIFI
📌租金包含: 網路費、垃圾代收費
📌押金: 2個月 
📌租期: 1年起
📌能源費: 水、電、瓦斯依帳單 室友人頭均攤
🚶步行
1分鐘 東湖立體停車場
3分鐘 麥當勞、星巴克、麵屋昕家、長生塩人 
3分鐘 健身工廠
5分鐘 哈拉影城</t>
  </si>
  <si>
    <t>垃圾代收跟樓梯清潔也是輪流收，頻率跟規則待確認
垃圾代收是900
樓梯清潔1500-1550
清運垃圾 廠商
0960785837</t>
  </si>
  <si>
    <t>https://youtu.be/UVZ39Ee_XhE</t>
  </si>
  <si>
    <t xml:space="preserve">位在哈拉影城正對面，
📌地點: 內湖區 康寧路三段17X號 4樓 公寓 
📌格局: 1廚1廳 2陽台 2衛浴 (3雅1套) 
📌設備: 冷氣、單/雙人床、衣櫃、桌椅、洗衣機、冰箱、瓦斯爐、抽油煙機、天然瓦斯、熱水器、濾水器、120M網路&amp;WIFI
📌租金包含: 網路費、垃圾代收費
🚶步行
1分鐘 東湖立體停車場
3分鐘 麥當勞、星巴克、麵屋昕家、長生塩人 
3分鐘 健身工廠
5分鐘 哈拉影城
5分鐘 騎車過橋到南港經貿園區 中信大樓 Lalaport
    󠀠
</t>
  </si>
  <si>
    <t>A0005</t>
  </si>
  <si>
    <t>陳俊良</t>
  </si>
  <si>
    <t>吳興街284巷36弄12號五樓</t>
  </si>
  <si>
    <t>吳興段二小段</t>
  </si>
  <si>
    <t>0569-0002</t>
  </si>
  <si>
    <t>00568-000</t>
  </si>
  <si>
    <t>J120062505</t>
  </si>
  <si>
    <t>0975379075</t>
  </si>
  <si>
    <t>700-03117680192128</t>
  </si>
  <si>
    <t>BAA9405318211310299</t>
  </si>
  <si>
    <t>12800*2</t>
  </si>
  <si>
    <t>📌 地點: 台北市信義區吳興街284巷36弄Ｘ號 5樓 公寓  
📌 格局: 1廚1廳 2陽台 2衛浴 (3雅1套)  
📌 能源費: 水電依照台水台電💧💡帳單計算，沒有一度6,7,8元的問題，室友人頭均攤  
📌 租金包含: 網路費、垃圾代收費  
📌 押金: 2個月  
📌 租期: 1年起  
📌 設備: 冷氣、單/雙人床、衣櫃、桌椅、洗衣機、冰箱、瓦斯爐、抽油煙機、天然瓦斯、熱水器、濾水器、120M網路&amp;Wi-Fi  
🚲 YouBike  
2分鐘到 北醫 🏥  
2分鐘到 吳興街美食區 🍽️
3分鐘到 麥當勞🍟、肯德基🍗、摩斯漢堡🍔  
6分鐘到 信義商圈  
6分鐘到 象山步道  
6分鐘到 通化夜市</t>
  </si>
  <si>
    <t>https://youtube.com/shorts/K2bdVQRikDk?feature=share</t>
  </si>
  <si>
    <t xml:space="preserve">🚲 YouBike  
2分鐘到 北醫 🏥  
2分鐘到 吳興街美食區 🍽️
3分鐘到 麥當勞🍟、肯德基🍗、摩斯漢堡🍔  
6分鐘到 信義商圈  
6分鐘到 象山步道  
6分鐘到 通化夜市  
󠀠 󠀠  
  󠀠 󠀠 
📌 地點: 台北市信義區吳興街284巷36弄Ｘ號 5樓 公寓  
📌 格局: 
【房型】公寓2層 5F &amp; 6F
→ 5F 共生公寓  1套 3雅 二衛一廳一廚二陽台 
→ 6F 兩房一衛一廳一廚二陽台 頂加 
📌 租金包含: 網路費、垃圾代收費  
📌 設備: 冷氣、單/雙人床、衣櫃、桌椅、洗衣機、冰箱、瓦斯爐、抽油煙機、天然瓦斯、熱水器、濾水器、120M網路&amp;Wi-Fi    󠀠  󠀠  </t>
  </si>
  <si>
    <t>A0006</t>
  </si>
  <si>
    <t>陳彩霞</t>
  </si>
  <si>
    <t>大湖山莊街219巷12號四樓</t>
  </si>
  <si>
    <t>大湖段二小段</t>
  </si>
  <si>
    <t>0003-0001</t>
  </si>
  <si>
    <t>01872-000</t>
  </si>
  <si>
    <t>A223691931</t>
  </si>
  <si>
    <t>0936069224</t>
  </si>
  <si>
    <t>053-117280005202</t>
  </si>
  <si>
    <t>BAA9405318211310742</t>
  </si>
  <si>
    <t>19400*2</t>
  </si>
  <si>
    <t>📌 地點: 114台北市內湖區大湖山莊街219巷X號 4~6樓 公寓  
📌 格局: 1廚1廳 3陽台 3衛浴 (6雅1套)  
📌 能源費: 水電依照台水台電帳單計算
📌 租金包含: 網路費、垃圾代收費、定期公區清潔  
📌 押金: 2個月  
📌 租期: 1年起  
📌 設備: 冷氣、單/雙人床、衣櫃、桌椅、滾筒洗脫烘洗衣機、冰箱、瓦斯爐、抽油煙機、天然瓦斯、熱水器、濾水器、1G網路&amp;Wi-Fi  
🚲 YouBike  
1分鐘到 內湖大溝溪親水步道
1分鐘到 美聯社
1分鐘到 平價美食4.4顆星
2分鐘到 全聯
3分鐘到 大湖公園捷運站</t>
  </si>
  <si>
    <t>https://youtu.be/Rk2l4DeBJRg</t>
  </si>
  <si>
    <t xml:space="preserve">🚲 YouBike  
1分鐘到 內湖大溝溪親水步道
1分鐘到 美聯社
1分鐘到 平價美食4.4顆星
2分鐘到 全聯
3分鐘到 大湖公園捷運站 
󠀠 󠀠
我有1套6雅房，每間都是採光對外窗，空間很大適合練瑜伽
我離捷運站有一小段距離，但我的地理位置很清幽
#適合喜歡登山 #喜歡親近大自然 #機車族 #UBike族
 󠀠
 󠀠
📌 地點: 114台北市內湖區大湖山莊街219巷X號 4~6樓 公寓  
📌 格局: 1廚1廳 3陽台 3衛浴 (6雅1套)  
📌 租金包含: 網路費、垃圾代收費、定期公區清潔  
📌 設備: 冷氣、單/雙人床、衣櫃、桌椅、滾筒洗脫烘洗衣機、冰箱、瓦斯爐、抽油煙機、天然瓦斯、熱水器、濾水器、1G網路&amp;Wi-Fi  </t>
  </si>
  <si>
    <t>A0007</t>
  </si>
  <si>
    <t>楊政偉</t>
  </si>
  <si>
    <t>士林區</t>
  </si>
  <si>
    <t>和豐街31號三樓</t>
  </si>
  <si>
    <t>百齡段四小段</t>
  </si>
  <si>
    <t>0390-0000</t>
  </si>
  <si>
    <t>41509-000</t>
  </si>
  <si>
    <t>A124566588</t>
  </si>
  <si>
    <t>0953578737</t>
  </si>
  <si>
    <t>013-0000699513778744</t>
  </si>
  <si>
    <t>BAA9405318211420436</t>
  </si>
  <si>
    <t>14400*2</t>
  </si>
  <si>
    <t xml:space="preserve">📌 地點: 內湖路一段47巷xx號5樓
【房型】公寓2層  7雅 2衛 1廚 大露臺 󠀠
【租金包含】垃圾代收、公共區清潔、1G超高速網路費
【能源費】水、電、瓦斯依帳單 室友人頭均攤
【設備】3M生飲濾水器、冷氣、掀床床墊組、衣櫃、書桌椅、洗衣機*2、冰箱*2、餐桌、瓦斯爐、抽油煙機、熱水器、1G 網路 &amp; WIFI
近美麗華 / 內科 / 內湖路一段 / 文湖街󠀠
劍南路站 / 騎車4MIN / 步行12MIN
西湖站 / 騎車5MIN / 步行16MI
</t>
  </si>
  <si>
    <t>https://youtube.com/shorts/AWKkpIiUcwE?si=M_-EwlIMUNGptSJz</t>
  </si>
  <si>
    <t>╔═════════╗
🚶走路
1分鐘  街口小吃
2分鐘  傳統市場
3分鐘  便利商店
5分鐘  前港公園
5分鐘  百齡河濱
🚲 YouBike 
3分鐘  捷運劍潭站
5分鐘  士林夜市
╚═════════╝
󠀠 
📌地點: 劍潭 士林區和豐街
📌類別: 爬起來一點都不像3樓的三樓
📌房型: 3雅1套, 無暗房, 每間都有採光良好的對外窗
📌設備: 分離式冷氣、單人加大 / 雙人床、衣櫃、桌椅、洗衣機、冰箱、櫻花牌瓦斯爐、抽油煙機、莊頭北天然氣恆溫熱水器、120M網路&amp;WIFI
📌租金包含: 網路費、樓梯間清潔費</t>
  </si>
  <si>
    <t>A0008</t>
  </si>
  <si>
    <t>林淑華</t>
  </si>
  <si>
    <t>南港區</t>
  </si>
  <si>
    <t>興中路44巷2弄9號一樓</t>
  </si>
  <si>
    <t>南港段一小段</t>
  </si>
  <si>
    <t>1187-0000</t>
  </si>
  <si>
    <t>00516-000</t>
  </si>
  <si>
    <t>一層</t>
  </si>
  <si>
    <t>F220678280</t>
  </si>
  <si>
    <t>0922100017</t>
  </si>
  <si>
    <t>004-107004358372</t>
  </si>
  <si>
    <t>BAA9405318211330031</t>
  </si>
  <si>
    <t>18250*2</t>
  </si>
  <si>
    <t>37500/2</t>
  </si>
  <si>
    <t>張嘉琪</t>
  </si>
  <si>
    <t>A227599232</t>
  </si>
  <si>
    <t>李海清</t>
  </si>
  <si>
    <t>T120938762</t>
  </si>
  <si>
    <t>📌 地點: 115台北市南港區興中路44巷2弄X號1樓 公寓  
📌 格局: 5房1廳2衛浴
📌 能源費: 水電依照台水台電帳單計算
📌 租金包含: 網路費、垃圾代收費
📌 押金: 2個月  
📌 租期: 1年起  
📌 設備: 冷氣、雙人床、衣櫃、桌椅、洗衣機、冰箱、桶裝瓦斯、120M網路&amp;Wi-Fi
🚲 YouBike  
2分鐘到 全聯福利中心
2分鐘到 南港捷運/高鐵/台鐵
2分鐘到 CityLink大型購物中心
3分鐘到 喜樂時代影城
4分鐘到 中國信託金融園區
4分鐘到 南港軟體園區</t>
  </si>
  <si>
    <t>https://youtube.com/shorts/fu3kXrLTZSo?feature=share</t>
  </si>
  <si>
    <t xml:space="preserve">🚴腳踏車
2分鐘到 全聯福利中心
2分鐘到 南港捷運/高鐵/台鐵
2分鐘到 CityLink大型購物中心
3分鐘到 喜樂時代影城
4分鐘到 中國信託金融園區
4分鐘到 南港軟體園區
󠀠 󠀠
 󠀠 󠀠 󠀠
📌 地點: 115台北市南港區興中路44巷2弄X號1樓 公寓  
📌 格局: 5房1廳2衛浴
📌 租金包含: 網路費、垃圾代收費
📌 設備: 冷氣、雙人床、衣櫃、桌椅、洗衣機、冰箱、桶裝瓦斯、120M網路&amp;Wi-Fi  </t>
  </si>
  <si>
    <t>A0009</t>
  </si>
  <si>
    <t>常永年</t>
  </si>
  <si>
    <t>基隆路一段350號四樓之25</t>
  </si>
  <si>
    <t>逸仙段三小段</t>
  </si>
  <si>
    <t>0032-0000</t>
  </si>
  <si>
    <t>01121-000</t>
  </si>
  <si>
    <t>A100530308</t>
  </si>
  <si>
    <t>0963500836</t>
  </si>
  <si>
    <t>012-530210174779</t>
  </si>
  <si>
    <t>BAA9405318211330030</t>
  </si>
  <si>
    <t>📌 地點: 110台北市信義區基隆路一段xx號4樓 公寓  
📌 格局: 1房1廳1衛浴
📌 能源費: 水電依照台水台電帳單計算
📌 租金包含: 網路費、垃圾代收費
📌 押金: 2個月  
📌 租期: 1年起  
📌 設備: 冷氣、雙人床、衣櫃、桌椅、洗衣機、冰箱、桶裝瓦斯、120M網路&amp;Wi-Fi 
 󠀠 󠀠
🚲YouBike
1分鐘到 國父紀念館
2分鐘到 新光三越
2分鐘到 威秀影城
2分鐘到 百貨美食街
3分鐘到 台北101
4分鐘到 吳興街美食街</t>
  </si>
  <si>
    <t>包含在管理費，垃圾放在中庭區</t>
  </si>
  <si>
    <t>獨立一房一廳, 獨立居住無需共居，自主選擇室友. 
單人入住很舒服, 雙人入住剛剛好
 󠀠 󠀠
🚲YouBike
1分鐘到 國父紀念館
2分鐘到 新光三越
2分鐘到 威秀影城
2分鐘到 百貨美食街
3分鐘到 台北101
4分鐘到 吳興街美食街 
 󠀠󠀠
台北市政府正對面，全新裝潢的溫馨住所，位於老舊的國宅，從入口走到房內的這1分鐘相較不美觀, 但內裡卻別有洞天。寬敞明亮的空間，為您打造舒適的生活環境。最令人驚喜的是，客廳窗外即可欣賞101大樓的璀璨夜景和絢爛煙火，無需擠進人群。位處繁華地段，享受便利生活，同時又能遠離喧囂。適合比較能接受老舊國宅公寓的朋友
 󠀠 󠀠 󠀠
照片中的投影機是跟泡麵的封面一樣 僅供裝飾參考使用唷 : )
 󠀠 󠀠
 󠀠 󠀠 󠀠
📌 地點: 110台北市信義區基隆路一段xx號4樓 公寓  
📌 格局: 1房1廳1衛浴
📌 租金包含: 網路費、管理費、垃圾代收費
📌 設備: 冷氣、雙人床、衣櫃、桌椅、洗衣機、冰箱、桶裝瓦斯</t>
  </si>
  <si>
    <t>A0010</t>
  </si>
  <si>
    <t>郭娟伶</t>
  </si>
  <si>
    <t>金龍路109號三樓</t>
  </si>
  <si>
    <t>碧湖段一小段</t>
  </si>
  <si>
    <t>0388-0000</t>
  </si>
  <si>
    <t>00349-000</t>
  </si>
  <si>
    <t>P222283955</t>
  </si>
  <si>
    <t>0939010408</t>
  </si>
  <si>
    <t>822-901535206708</t>
  </si>
  <si>
    <t>BAA9405318211330919</t>
  </si>
  <si>
    <t>17750*2</t>
  </si>
  <si>
    <t>📌 地點: 114台北市內湖區金龍路10x號3樓 公寓  
📌 格局: 4房1廳2衛浴
📌 能源費: 水電依照台水台電帳單計算
📌 租金包含: 網路費、垃圾代收費
📌 押金: 2個月  
📌 租期: 1年起  
📌 設備: 冷氣、雙人床、衣櫃、桌椅、洗衣機、冰箱、桶裝瓦斯、120M網路&amp;Wi-Fi
  󠀠
🚲 YouBike  
1分鐘到 7-11便利商店
1分鐘到 CITYLINK 內湖店
2分鐘到 內湖捷運站
2分鐘到 全聯福利中心
4分鐘到 湖光市場
🏍️騎車
5分鐘到 內湖科學園區
4站 到南港軟體園區</t>
  </si>
  <si>
    <t>https://youtu.be/-R69MXHoNkM</t>
  </si>
  <si>
    <t xml:space="preserve">捷運內湖站7分鐘
  󠀠
🚴腳踏車
1分鐘到 7-11便利商店
1分鐘到 CITYLINK 內湖店
2分鐘到 內湖捷運站
2分鐘到 全聯福利中心
4分鐘到 湖光市場
🏍️騎車
5分鐘到 內湖科學園區
4站 到南港軟體園區
  󠀠
 󠀠 󠀠 󠀠 󠀠
📌 地點: 114台北市內湖區金龍路10x號3樓 公寓  
📌 格局: 4房1廳2衛浴
📌 租金包含: 網路費、垃圾代收費
📌 設備: 冷氣、雙人床、衣櫃、桌椅、洗衣機、冰箱、天然瓦斯、垃圾代收、120M網路&amp;Wi-Fi  </t>
  </si>
  <si>
    <t>A0011</t>
  </si>
  <si>
    <t>王逸荃</t>
  </si>
  <si>
    <t>新北市</t>
  </si>
  <si>
    <t>中和區</t>
  </si>
  <si>
    <t>景安路177巷16號3樓</t>
  </si>
  <si>
    <t>新和段</t>
  </si>
  <si>
    <t>0221-0000</t>
  </si>
  <si>
    <t>02359-000</t>
  </si>
  <si>
    <t>A225328637</t>
  </si>
  <si>
    <t>0975257700</t>
  </si>
  <si>
    <t>013-699501520652</t>
  </si>
  <si>
    <t>BAF9405318211331260</t>
  </si>
  <si>
    <t>12500*2</t>
  </si>
  <si>
    <t>2034/11/15(因為2025.1.1提前支付2025.1.10起算的租金)</t>
  </si>
  <si>
    <t>王滄浪</t>
  </si>
  <si>
    <t>Y100803921</t>
  </si>
  <si>
    <t>📌 地點: 235新北市中和區景安路177巷xx號3樓 公寓  
📌 格局: 5房1廳2陽台2衛浴
📌 能源費: 水電依照台水台電帳單計算
📌 租金包含: 網路費、垃圾代收費
📌 押金: 2個月  
📌 租期: 1年起  
📌 設備: 冷氣、雙人床/單人床、衣櫃、桌椅、洗衣機、冰箱、天然瓦斯、120M網路&amp;Wi-Fi 
 󠀠 󠀠
🚶步行
2分鐘到 美食手搖飲街
2分鐘到 景安捷運站(橘線/環狀線)
3分鐘到 全家便利商店
3分鐘到 Starbucks
7分鐘到 全聯福利中心
🏍️騎車
5分鐘到 迪卡儂
6分鐘到 Costco</t>
  </si>
  <si>
    <t>有管理費</t>
  </si>
  <si>
    <t xml:space="preserve">雙捷運 景安站兩分鐘, 到站就到家
每間房都有對外窗, 採光極佳, 還有代收包裹喲
 󠀠 󠀠
🚶步行
2分鐘到 美食手搖飲街
2分鐘到 景安捷運站(橘線/環狀線)
3分鐘到 全家便利商店
3分鐘到 Starbucks
7分鐘到 全聯福利中心
🏍️騎車
5分鐘到 迪卡儂
6分鐘到 Costco
  󠀠󠀠 󠀠
 󠀠 󠀠 󠀠 󠀠󠀠 󠀠
📌 地點: 235新北市中和區景安路177巷xx號3樓 公寓  
📌 格局: 5房1廳2陽台2衛浴
📌 租金包含: 網路費
📌 設備: 冷氣、雙人床/單人床、衣櫃、桌椅、洗衣機、冰箱、天然瓦斯、360M網路&amp;Wi-Fi  
</t>
  </si>
  <si>
    <t>A0012</t>
  </si>
  <si>
    <t>方彥捷</t>
  </si>
  <si>
    <t>中山北路3段53之1號3樓</t>
  </si>
  <si>
    <t>中山段一小段</t>
  </si>
  <si>
    <t>0141-0000</t>
  </si>
  <si>
    <t>02711-000</t>
  </si>
  <si>
    <t>L100024680</t>
  </si>
  <si>
    <t>0937999958</t>
  </si>
  <si>
    <t>013-019507343662</t>
  </si>
  <si>
    <t>BAA9405318211331472</t>
  </si>
  <si>
    <t>2025.1.1</t>
  </si>
  <si>
    <t>11500*2</t>
  </si>
  <si>
    <t>📌 地點: 10491台北市中山區中山北路三段53之xx號3樓 公寓  
📌 格局: 4房1陽台1衛浴
📌 能源費: 水電依照台水台電帳單計算
📌 租金包含: 網路費、垃圾代收
📌 押金: 2個月  
📌 租期: 1年起  
📌 設備: 冷氣、雙人床/單人床、衣櫃、桌椅、洗脫烘、冰箱、電熱水器、150M網路&amp;Wi-Fi  
📌 其他: 禁菸、禁寵、性別友善、為增加居住品質、雅房限居一人
🚶步行
1分鐘到 7-11
2分鐘到 花博公園
3分鐘到 丸林滷肉飯
3分鐘到 大同大學
6分鐘到 晴光市場
7分鐘到 全聯福利中心
    󠀠
🚴Youbike
2分鐘到 Starbucks
3分鐘到 全聯福利中心
4分鐘到 捷運民權西路站
5分鐘到 捷運圓山站</t>
  </si>
  <si>
    <t>https://youtu.be/CanmS-4D6Kw?si=xQUmYACid_86F21Z</t>
  </si>
  <si>
    <t xml:space="preserve">我空間不大，沒有廚房，但步行2~6分鐘就有晴光市場、花博市集
   󠀠
🚶步行
1分鐘到 7-11
2分鐘到 花博公園
3分鐘到 丸林滷肉飯
3分鐘到 大同大學
6分鐘到 晴光市場
7分鐘到 全聯福利中心
    󠀠
🚴Youbike
2分鐘到 Starbucks
3分鐘到 全聯福利中心
4分鐘到 捷運民權西路站
5分鐘到 捷運圓山站
   󠀠 
 󠀠 󠀠 󠀠 󠀠󠀠 󠀠󠀠 
📌 地點: 10491台北市中山區中山北路三段53之xx號3樓 公寓  
📌 格局: 4房1陽台1衛浴
📌 租金包含: 網路費、垃圾代收
📌 設備: 冷氣、雙人床/單人床、衣櫃、桌椅、洗脫烘、冰箱、電熱水器、150M網路&amp;Wi-Fi  
</t>
  </si>
  <si>
    <t>A0013</t>
  </si>
  <si>
    <t>沈蕙萱</t>
  </si>
  <si>
    <t>松江路330巷14號4樓</t>
  </si>
  <si>
    <t>吉林段一小段</t>
  </si>
  <si>
    <t>0308-0000</t>
  </si>
  <si>
    <t>00729-000</t>
  </si>
  <si>
    <t>F224740830</t>
  </si>
  <si>
    <t>0912565858</t>
  </si>
  <si>
    <t>012-726168168447</t>
  </si>
  <si>
    <t>BAA9405318211331473</t>
  </si>
  <si>
    <t>19900*2</t>
  </si>
  <si>
    <t>📌 地點: 台北市中山區松江路330巷
【租金包含】網路費，雙層共用垃圾代收
【押金】2個月，租期1年起
【能源費】4F+5F  水、瓦斯依帳單 室友人頭均攤，電費依各樓電錶 
【設備】生飲濾水器、全新冷氣、掀床床墊組、衣櫃、書桌椅、洗衣機、冰箱、餐桌、瓦斯爐、抽油煙機、熱水器、網路 &amp; WIFI
💲󠀠  捷運行天宮站 →走路 2 分鐘
💲  捷運中山國小站 →走路 9 分鐘󠀠 󠀠
💲  󠀠 󠀠近錦州街美食街 &amp; 行天宮</t>
  </si>
  <si>
    <t>https://youtu.be/NXcYXt3PaZc?si=OyBT6tHSDoGNRXIa</t>
  </si>
  <si>
    <t xml:space="preserve">
====行 天 宮 站 2 分 鐘 → 夏 野 良 栗 ====
 󠀠 󠀠󠀠 
💲󠀠  捷運行天宮站 →走路 2 分鐘
💲  捷運中山國小站 →走路 9 分鐘󠀠 󠀠
💲  󠀠 󠀠近錦州街美食街 &amp; 行天宮
  󠀠
 󠀠
每天早晨 帶一杯巷口夏野豆行的咖啡
再帶一份良栗商號的肉蛋吐司
幫早晨添加50%↑的幸福感~
 󠀠󠀠  󠀠
【房型】公寓2層 4F &amp; 5F
→ 4F 共生公寓  四房一衛一廳一廚一陽台 
→ 5F 兩房一衛一廳一廚一陽台 頂加 
👌歡迎來訊索取線上看屋影片
󠀠 󠀠
【租金包含】網路費，雙層共用垃圾代收
【能源費】4F+5F  水、瓦斯依帳單 室友人頭均攤，電費依各樓電錶 
【設備】生飲濾水器、全新冷氣、掀床床墊組、衣櫃、書桌椅、洗衣機、冰箱、餐桌、瓦斯爐、抽油煙機、熱水器、網路 &amp; WIFI
</t>
  </si>
  <si>
    <t>A0014</t>
  </si>
  <si>
    <t>陳玉蘭</t>
  </si>
  <si>
    <t>中山北路六段419巷25號五樓</t>
  </si>
  <si>
    <t>天母段一小段</t>
  </si>
  <si>
    <t>0316-0000</t>
  </si>
  <si>
    <t>10998-000</t>
  </si>
  <si>
    <t>C200997263</t>
  </si>
  <si>
    <t>0935138805</t>
  </si>
  <si>
    <t>052-11320000222609</t>
  </si>
  <si>
    <t>BAA9405318211340061</t>
  </si>
  <si>
    <t>18000*2</t>
  </si>
  <si>
    <t>📌 地點: 111台北市士林區中山北路六段419巷2x號5樓、6樓 公寓  
📌 5樓格局: 4房2陽台2衛浴1廳
📌 6樓格局: 2房1廳1衛1陽台
📌 能源費: 水電依照台水台電帳單計算
📌 租金包含: 網路費、垃圾代收
📌 押金: 2個月  
📌 租期: 1年起  
📌 設備: 冷氣、雙人床/單人床、衣櫃、桌椅、洗衣機、冰箱、天然瓦斯熱水器、120M網路&amp;Wi-Fi  
📌 其他: 禁菸、禁寵、性別友善、為增加居住品質、雅房限居一人
🚴Youbike
1分鐘到 Starbucks
2分鐘到 全聯福利中心
4分鐘到 天母生活市集
4分鐘到 天母棒球場
4分鐘到 大葉高島屋
6分鐘到 新光三越
7分鐘到 芝山捷運站</t>
  </si>
  <si>
    <t>0921643690陳先生 收 樓梯清潔費 
每一戶會輪流
我們有頂加，所以要多分一次
因為兩戶，8個月輪兩次，之前是1600元，2026改成2400</t>
  </si>
  <si>
    <t>https://youtube.com/shorts/RZ_wXh8ThPE?si=QbuLD6PBOsXTRF_Y</t>
  </si>
  <si>
    <t xml:space="preserve">#適合機車族
遠離市中心急促的步調
低調樸實、生活環境獨樹一格是天母的特色
下班回到家享受他鄉的異國情調
    󠀠
🚴Youbike
1分鐘到 Starbucks
2分鐘到 全聯福利中心
4分鐘到 天母生活市集
4分鐘到 天母棒球場
4分鐘到 大葉高島屋
6分鐘到 新光三越
7分鐘到 芝山捷運站
   󠀠 
 󠀠 󠀠 󠀠 󠀠󠀠 󠀠󠀠 
📌 地點: 111台北市士林區中山北路六段419巷2x號5樓、6樓 公寓  
📌 5樓格局: 4房2陽台2衛浴1廳
📌 6樓格局: 2房1廳1衛1陽台
📌 租金包含: 網路費、垃圾代收
📌 設備: 冷氣、雙人床/單人床、衣櫃、桌椅、洗衣機、冰箱、天然瓦斯熱水器、120M網路&amp;Wi-Fi  
</t>
  </si>
  <si>
    <t>A0015</t>
  </si>
  <si>
    <t>吳高寶玉</t>
  </si>
  <si>
    <t>松山區</t>
  </si>
  <si>
    <t>延壽街327號四樓</t>
  </si>
  <si>
    <t>民生段</t>
  </si>
  <si>
    <t>0080-0010</t>
  </si>
  <si>
    <t>06623-000</t>
  </si>
  <si>
    <t>A201772900</t>
  </si>
  <si>
    <t>0932917766</t>
  </si>
  <si>
    <t>700-00015610514204</t>
  </si>
  <si>
    <t>BAA9405318211411259</t>
  </si>
  <si>
    <t>每個月1號 / 10號 / 20號</t>
  </si>
  <si>
    <t>16667 16667 16666</t>
  </si>
  <si>
    <t xml:space="preserve">📌 地點: 台北市松山區延壽街3xx號四樓 公寓  
📌格局: 4房2陽台2衛浴2廳 + 2房 頂樓曬衣曬被大陽台
📌 租金包含: 網路費、垃圾代收
📌 設備: 冷氣、雙人床/單人床、衣櫃、桌椅、雙洗衣機、雙冰箱、天然瓦斯熱水器、網路&amp;Wi-Fi </t>
  </si>
  <si>
    <t>https://youtu.be/3132CN9-UOM</t>
  </si>
  <si>
    <t xml:space="preserve">🚲 YouBike  
1分鐘到 7-11
2分鐘到 全聯
5分鐘到 捷運南京三民站
6分鐘到 台北小巨蛋
8分鐘到 IKEA、微風南京
📌 地點: 105台北市松山區延壽街32x號4~5樓 公寓  
📌 格局: 1廚1廳 3陽台 3衛浴 7雅房  1洗衣房
📌 租金包含: 網路費、垃圾代收費、定期公區清潔  
📌 設備: 冷氣、單/雙人床、衣櫃、桌椅、滾筒洗脫烘洗衣機、冰箱、瓦斯爐、抽油煙機、天然瓦斯、熱水器、濾水器、網路&amp;Wi-Fi  
 </t>
  </si>
  <si>
    <t>A0016</t>
  </si>
  <si>
    <t>內湖路二段355巷7弄7號四樓</t>
  </si>
  <si>
    <t>碧湖段二小段</t>
  </si>
  <si>
    <t>0056-0000
0060-0000
0061-0000
0062-0000</t>
  </si>
  <si>
    <t>00392-000</t>
  </si>
  <si>
    <t>0937954493</t>
  </si>
  <si>
    <t>806-21672000026435</t>
  </si>
  <si>
    <t>BAA9405318211420667</t>
  </si>
  <si>
    <t>16500*2</t>
  </si>
  <si>
    <t xml:space="preserve">📌 地點: 台北市內湖區內湖路二段355巷7弄x號四樓 公寓  
📌格局: 6房1陽台2衛浴2廳 + 頂樓曬衣曬被大陽台
📌 租金包含: 網路費、垃圾代收
📌 設備: 冷氣、雙人床/單人床、衣櫃、桌椅、雙洗衣機、雙冰箱、天然瓦斯熱水器、網路&amp;Wi-Fi  </t>
  </si>
  <si>
    <t>https://youtube.com/shorts/AZDV_Y6AMvs?feature=share</t>
  </si>
  <si>
    <t xml:space="preserve">🚇 內湖站走路4分鐘到家
🏡 搶手六房共生宅｜可申請租金補貼 💰
在城市裡找一個平衡點，一個下班後能靜靜喘口氣、早晨能迎著陽光晾衣服的家，你現在找到了。
📍地點優勢：
走路3分鐘 ➜ 內湖 Citylink
走路4分鐘 ➜ 捷運內湖站（文湖線）
走路7分鐘 ➜ 湖光市場
騎車5分鐘 ➜ 內湖737巷夜市
捷運4站 ➜ 南港軟體園區
每間房皆有對外窗，每房限住一人，垃圾代收服務
📌 地點: 台北市內湖區內湖路二段355巷7弄x號四樓 公寓  
📌格局: 6房1陽台2衛浴2廳 + 頂樓曬衣曬被大陽台
📌 租金包含: 網路費、垃圾代收
📌 設備: 冷氣、雙人床/單人床、衣櫃、桌椅、雙洗衣機、雙冰箱、天然瓦斯熱水器、網路&amp;Wi-Fi  
☀️ 房子位於安靜巷弄中，遠離車流嘈雜，生活機能卻又一應俱全。無論你是內科上班族、學生族、或剛畢業的社會新鮮人，都很適合這個有質感的小社區。
📬 歡迎私訊索取看屋影片或預約實體參觀
📩 可申請租金補貼｜報稅合法透明 🧾
</t>
  </si>
  <si>
    <t>陳怡安</t>
  </si>
  <si>
    <t>德行東路74巷22號5樓</t>
  </si>
  <si>
    <t>芝山段二小段</t>
  </si>
  <si>
    <t>0408-0000</t>
  </si>
  <si>
    <t>23301-000</t>
  </si>
  <si>
    <t>A227884889</t>
  </si>
  <si>
    <t>0902272069</t>
  </si>
  <si>
    <t>812-28881015177469</t>
  </si>
  <si>
    <t>BAA9405318211440077</t>
  </si>
  <si>
    <t>📌 地點: 111臺北市士林區德行東路74巷2x號5樓 公寓  
📌 能源費: 水電依照台水台電帳單計算
📌 租金包含: 網路費、垃圾代收
📌 押金: 2個月  
📌 租期: 1年起  
📌 設備: 冷氣、雙人床/單人床、衣櫃、桌椅、洗衣機、烘衣機、微波爐、冰箱、天然瓦斯熱水器、網路&amp;Wi-Fi  
📌 其他: 禁菸、禁寵、性別友善</t>
  </si>
  <si>
    <t>🚲 YouBike 
1分鐘到 超好吃 榕屋Pasta
3分鐘到 大葉高島屋
3分鐘到 新光三越
4分鐘到 天母棒球場
4分鐘到 芝山捷運站
8分鐘到 天母生活市集
8分鐘到 全聯福利中心
=======================
📌 地點: 111臺北市士林區德行東路74巷2x號5樓 公寓  
📌 能源費: 水電依照台水台電帳單計算
📌 租金包含: 網路費、垃圾代收
📌 押金: 2個月  
📌 租期: 1年起  
📌 設備: 冷氣、雙人床/單人床、衣櫃、桌椅、洗衣機、烘衣機、微波爐、冰箱、天然瓦斯熱水器、網路&amp;Wi-Fi  
📌 其他: 禁菸、禁寵、性別友善</t>
  </si>
  <si>
    <t>A0018</t>
  </si>
  <si>
    <t>葫洲維也納</t>
  </si>
  <si>
    <t>林霈蓉</t>
  </si>
  <si>
    <t>康寧路三段99巷39弄72號</t>
  </si>
  <si>
    <t>內湖區東湖段二小段</t>
  </si>
  <si>
    <t>0012-0001</t>
  </si>
  <si>
    <t>02797-000</t>
  </si>
  <si>
    <t>華廈(10層含以下有電梯)</t>
  </si>
  <si>
    <t>A223499526</t>
  </si>
  <si>
    <t>0905556049</t>
  </si>
  <si>
    <t>822-587540229712</t>
  </si>
  <si>
    <t>BAA9405318211440079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</si>
  <si>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</si>
  <si>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</si>
  <si>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</si>
  <si>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</si>
  <si>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</si>
  <si>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</si>
  <si>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</si>
  <si>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</si>
  <si>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</si>
  <si>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</si>
  <si>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contract_key</t>
  </si>
  <si>
    <t>tenant_key</t>
  </si>
  <si>
    <t>sublease_registration</t>
  </si>
  <si>
    <t>actual_price_registration</t>
  </si>
  <si>
    <t>rent_subsidy</t>
  </si>
  <si>
    <t>payment_method</t>
  </si>
  <si>
    <t>next_payment_date</t>
  </si>
  <si>
    <t>final_payment_date</t>
  </si>
  <si>
    <t>sublease_rent</t>
  </si>
  <si>
    <t>receivable_rent</t>
  </si>
  <si>
    <t>previous_received_rent</t>
  </si>
  <si>
    <t>sublease_deposit</t>
  </si>
  <si>
    <t>initial_payment_method</t>
  </si>
  <si>
    <t>final_payment_method</t>
  </si>
  <si>
    <t>final_month_days</t>
  </si>
  <si>
    <t>final_month_amount</t>
  </si>
  <si>
    <t>actual_price_registration_form_number</t>
  </si>
  <si>
    <t>water_fee</t>
  </si>
  <si>
    <t>electricity_fee</t>
  </si>
  <si>
    <t>gas_fee</t>
  </si>
  <si>
    <t>withheld_utilities</t>
  </si>
  <si>
    <t>adjustment_refund</t>
  </si>
  <si>
    <t>CR00002</t>
  </si>
  <si>
    <t>PP00002</t>
  </si>
  <si>
    <t>已退租</t>
  </si>
  <si>
    <t>已登記</t>
  </si>
  <si>
    <t>要申請</t>
  </si>
  <si>
    <t>半年繳</t>
  </si>
  <si>
    <t>1121218</t>
  </si>
  <si>
    <t>1130101</t>
  </si>
  <si>
    <t>1140228</t>
  </si>
  <si>
    <t>標準足月</t>
  </si>
  <si>
    <t>足月</t>
  </si>
  <si>
    <t>C1AD11212300001</t>
  </si>
  <si>
    <t>CR00003</t>
  </si>
  <si>
    <t>入住中</t>
  </si>
  <si>
    <t>1140102</t>
  </si>
  <si>
    <t>1140301</t>
  </si>
  <si>
    <t>1150228</t>
  </si>
  <si>
    <t>C1AD11401040003</t>
  </si>
  <si>
    <t>CR00004</t>
  </si>
  <si>
    <t>PP00003</t>
  </si>
  <si>
    <t>月繳</t>
  </si>
  <si>
    <t>1121126</t>
  </si>
  <si>
    <t>1121201</t>
  </si>
  <si>
    <t>1140331</t>
  </si>
  <si>
    <t>C1AD11211260001</t>
  </si>
  <si>
    <t>CR00005</t>
  </si>
  <si>
    <t>PP00004</t>
  </si>
  <si>
    <t>1121109</t>
  </si>
  <si>
    <t>1121110</t>
  </si>
  <si>
    <t>1140131</t>
  </si>
  <si>
    <t>第二個月付差額</t>
  </si>
  <si>
    <t>不足月</t>
  </si>
  <si>
    <t>C1AD11211200005</t>
  </si>
  <si>
    <t>CR00006</t>
  </si>
  <si>
    <t>1140101</t>
  </si>
  <si>
    <t>1140201</t>
  </si>
  <si>
    <t>C1AD11401040004</t>
  </si>
  <si>
    <t>CR00007</t>
  </si>
  <si>
    <t>PP00005</t>
  </si>
  <si>
    <t>已註銷</t>
  </si>
  <si>
    <t>1121107</t>
  </si>
  <si>
    <t>1121113</t>
  </si>
  <si>
    <t>1131231</t>
  </si>
  <si>
    <t>C1AD11211260002</t>
  </si>
  <si>
    <t>CR00008</t>
  </si>
  <si>
    <t>1131205</t>
  </si>
  <si>
    <t>C1AD11312090002</t>
  </si>
  <si>
    <t>CR00009</t>
  </si>
  <si>
    <t>PP00006</t>
  </si>
  <si>
    <t>1121120</t>
  </si>
  <si>
    <t>1121125</t>
  </si>
  <si>
    <t>1130616</t>
  </si>
  <si>
    <t>C1AC11211200018</t>
  </si>
  <si>
    <t>已退</t>
  </si>
  <si>
    <t>CR00010</t>
  </si>
  <si>
    <t>PP00007</t>
  </si>
  <si>
    <t>1121202</t>
  </si>
  <si>
    <t>1121215</t>
  </si>
  <si>
    <t>1131214</t>
  </si>
  <si>
    <t>C1AC11212050006</t>
  </si>
  <si>
    <t>CR00011</t>
  </si>
  <si>
    <t>1131120</t>
  </si>
  <si>
    <t>1131114</t>
  </si>
  <si>
    <t>C1AC11312010006</t>
  </si>
  <si>
    <t>CR00012</t>
  </si>
  <si>
    <t>PP00008</t>
  </si>
  <si>
    <t>1121116</t>
  </si>
  <si>
    <t>1131115</t>
  </si>
  <si>
    <t>C1AC11211190001</t>
  </si>
  <si>
    <t>完成</t>
  </si>
  <si>
    <t>CR00013</t>
  </si>
  <si>
    <t>PP00009</t>
  </si>
  <si>
    <t>1131127</t>
  </si>
  <si>
    <t>1131201</t>
  </si>
  <si>
    <t>1141123</t>
  </si>
  <si>
    <t>C1AC11312060049</t>
  </si>
  <si>
    <t>CR00014</t>
  </si>
  <si>
    <t>PP00010</t>
  </si>
  <si>
    <t>C1AC11211200019</t>
  </si>
  <si>
    <t>CR00015</t>
  </si>
  <si>
    <t>PP00011</t>
  </si>
  <si>
    <t>不申請</t>
  </si>
  <si>
    <t>1121119</t>
  </si>
  <si>
    <t>1131118</t>
  </si>
  <si>
    <t>CR00016</t>
  </si>
  <si>
    <t>1131022</t>
  </si>
  <si>
    <t>1131119</t>
  </si>
  <si>
    <t>1141118</t>
  </si>
  <si>
    <t>C1AC11311010028</t>
  </si>
  <si>
    <t>CR00017</t>
  </si>
  <si>
    <t>PP00012</t>
  </si>
  <si>
    <t>年繳</t>
  </si>
  <si>
    <t>1121115</t>
  </si>
  <si>
    <t>1131130</t>
  </si>
  <si>
    <t>CR00018</t>
  </si>
  <si>
    <t>PP00013</t>
  </si>
  <si>
    <t>1131021</t>
  </si>
  <si>
    <t>1131017</t>
  </si>
  <si>
    <t>1131202</t>
  </si>
  <si>
    <t>C1AC11311010029</t>
  </si>
  <si>
    <t>CR00019</t>
  </si>
  <si>
    <t>PP00014</t>
  </si>
  <si>
    <t>1131215</t>
  </si>
  <si>
    <t>1131220</t>
  </si>
  <si>
    <t>C1AC11312150001</t>
  </si>
  <si>
    <t>CR00020</t>
  </si>
  <si>
    <t>PP00015</t>
  </si>
  <si>
    <t>1130618</t>
  </si>
  <si>
    <t>1130701</t>
  </si>
  <si>
    <t>1140630</t>
  </si>
  <si>
    <t>C1AC11306290008</t>
  </si>
  <si>
    <t>CR00021</t>
  </si>
  <si>
    <t>PP00016</t>
  </si>
  <si>
    <t>C1AC11211200017</t>
  </si>
  <si>
    <t>CR00022</t>
  </si>
  <si>
    <t>1131014</t>
  </si>
  <si>
    <t>1141130</t>
  </si>
  <si>
    <t>C1AC11311010030</t>
  </si>
  <si>
    <t>CR00023</t>
  </si>
  <si>
    <t>PP00017</t>
  </si>
  <si>
    <t>1120601</t>
  </si>
  <si>
    <t>1130531</t>
  </si>
  <si>
    <t>CR00024</t>
  </si>
  <si>
    <t>PP00018</t>
  </si>
  <si>
    <t>1120615</t>
  </si>
  <si>
    <t>1130622</t>
  </si>
  <si>
    <t>CR00025</t>
  </si>
  <si>
    <t>PP00019</t>
  </si>
  <si>
    <t>1121205</t>
  </si>
  <si>
    <t>1121211</t>
  </si>
  <si>
    <t>1131210</t>
  </si>
  <si>
    <t>CR00026</t>
  </si>
  <si>
    <t>PP00020
PP00082</t>
  </si>
  <si>
    <t>1131209</t>
  </si>
  <si>
    <t>1131221</t>
  </si>
  <si>
    <t>1150331</t>
  </si>
  <si>
    <t>首月切到月底</t>
  </si>
  <si>
    <t>C1AE11312150001</t>
  </si>
  <si>
    <t>CR00027</t>
  </si>
  <si>
    <t>PP00021</t>
  </si>
  <si>
    <t>1130628</t>
  </si>
  <si>
    <t>1140619</t>
  </si>
  <si>
    <t>C1AE11306290003</t>
  </si>
  <si>
    <t>CR00028</t>
  </si>
  <si>
    <t>PP00022</t>
  </si>
  <si>
    <t>1130626</t>
  </si>
  <si>
    <t>1140620</t>
  </si>
  <si>
    <t>C1AE11306290002</t>
  </si>
  <si>
    <t>CR00029</t>
  </si>
  <si>
    <t>PP00023</t>
  </si>
  <si>
    <t>未登記</t>
  </si>
  <si>
    <t>1130414</t>
  </si>
  <si>
    <t>1130601</t>
  </si>
  <si>
    <t>1140531</t>
  </si>
  <si>
    <t>CR00030</t>
  </si>
  <si>
    <t>PP00024</t>
  </si>
  <si>
    <t>1130105</t>
  </si>
  <si>
    <t>1130107</t>
  </si>
  <si>
    <t>1130630</t>
  </si>
  <si>
    <t>C1AC11301060004</t>
  </si>
  <si>
    <t>已退601</t>
  </si>
  <si>
    <t>CR00031</t>
  </si>
  <si>
    <t>PP00025</t>
  </si>
  <si>
    <t>1130106</t>
  </si>
  <si>
    <t>1130115</t>
  </si>
  <si>
    <t>C1AC11301060003</t>
  </si>
  <si>
    <t>沒有扣, 他要自己處理</t>
  </si>
  <si>
    <t>CR00032</t>
  </si>
  <si>
    <t>PP00026</t>
  </si>
  <si>
    <t>1130114</t>
  </si>
  <si>
    <t>1130119</t>
  </si>
  <si>
    <t>C1AC11301230001</t>
  </si>
  <si>
    <t>CR00033</t>
  </si>
  <si>
    <t>PP00027</t>
  </si>
  <si>
    <t>1130108</t>
  </si>
  <si>
    <t>1130120</t>
  </si>
  <si>
    <t>C1AC11301090001</t>
  </si>
  <si>
    <t>CR00034</t>
  </si>
  <si>
    <t>PP00028</t>
  </si>
  <si>
    <t>1130109</t>
  </si>
  <si>
    <t>C1AC11301060005</t>
  </si>
  <si>
    <t>CR00035</t>
  </si>
  <si>
    <t>PP00029</t>
  </si>
  <si>
    <t>1130624</t>
  </si>
  <si>
    <t>C1AC11307110007</t>
  </si>
  <si>
    <t>CR00036</t>
  </si>
  <si>
    <t>PP00030</t>
  </si>
  <si>
    <t>1130213</t>
  </si>
  <si>
    <t>1130810</t>
  </si>
  <si>
    <t>C1AC11302270001</t>
  </si>
  <si>
    <t>CR00037</t>
  </si>
  <si>
    <t>PP00031</t>
  </si>
  <si>
    <t>1130229</t>
  </si>
  <si>
    <t>1130304</t>
  </si>
  <si>
    <t>1140303</t>
  </si>
  <si>
    <t>C1AC11303140017</t>
  </si>
  <si>
    <t>CR00038</t>
  </si>
  <si>
    <t>PP00032</t>
  </si>
  <si>
    <t>1130821</t>
  </si>
  <si>
    <t>1130901</t>
  </si>
  <si>
    <t>C1AC11308260025</t>
  </si>
  <si>
    <t>CR00039</t>
  </si>
  <si>
    <t>PP00033</t>
  </si>
  <si>
    <t>1130205</t>
  </si>
  <si>
    <t>1130315</t>
  </si>
  <si>
    <t>1140314</t>
  </si>
  <si>
    <t>C1AC11302270002</t>
  </si>
  <si>
    <t>CR00040</t>
  </si>
  <si>
    <t>PP00034</t>
  </si>
  <si>
    <t>1130307</t>
  </si>
  <si>
    <t>1130308</t>
  </si>
  <si>
    <t>1140307</t>
  </si>
  <si>
    <t xml:space="preserve">C1AC11303140016	</t>
  </si>
  <si>
    <t>CR00041</t>
  </si>
  <si>
    <t>PP00035</t>
  </si>
  <si>
    <t>1130413</t>
  </si>
  <si>
    <t>1130415</t>
  </si>
  <si>
    <t>1131123</t>
  </si>
  <si>
    <t>C1AD11305020009</t>
  </si>
  <si>
    <t>CR00043</t>
  </si>
  <si>
    <t>PP00036
PP00084</t>
  </si>
  <si>
    <t>1130823</t>
  </si>
  <si>
    <t>1140430</t>
  </si>
  <si>
    <t>C1AD11308260012</t>
  </si>
  <si>
    <t>CR00044</t>
  </si>
  <si>
    <t>PP00037</t>
  </si>
  <si>
    <t>1130405</t>
  </si>
  <si>
    <t>1130421</t>
  </si>
  <si>
    <t>1140720</t>
  </si>
  <si>
    <t>C1AD11304090002</t>
  </si>
  <si>
    <t>CR00045</t>
  </si>
  <si>
    <t>PP00038</t>
  </si>
  <si>
    <t>1130423</t>
  </si>
  <si>
    <t>1140422</t>
  </si>
  <si>
    <t>C1AD11305020010</t>
  </si>
  <si>
    <t>CR00046</t>
  </si>
  <si>
    <t>PP00039</t>
  </si>
  <si>
    <t>1130402</t>
  </si>
  <si>
    <t>1130501</t>
  </si>
  <si>
    <t>C1AD11304090003</t>
  </si>
  <si>
    <t>CR00047</t>
  </si>
  <si>
    <t>PP00040</t>
  </si>
  <si>
    <t>C1AD11304090004</t>
  </si>
  <si>
    <t>CR00048</t>
  </si>
  <si>
    <t>PP00041</t>
  </si>
  <si>
    <t>1130516</t>
  </si>
  <si>
    <t>1130519</t>
  </si>
  <si>
    <t>1130625</t>
  </si>
  <si>
    <t>C1AC11306020003</t>
  </si>
  <si>
    <t>CR00049</t>
  </si>
  <si>
    <t>PP00042</t>
  </si>
  <si>
    <t>C1AC11306020001</t>
  </si>
  <si>
    <t>CR00050</t>
  </si>
  <si>
    <t>PP00043</t>
  </si>
  <si>
    <t>1140512</t>
  </si>
  <si>
    <t>C1AC11306020002</t>
  </si>
  <si>
    <t>CR00051</t>
  </si>
  <si>
    <t>PP00044</t>
  </si>
  <si>
    <t>1130620</t>
  </si>
  <si>
    <t>C1AC11306290007</t>
  </si>
  <si>
    <t>CR00052</t>
  </si>
  <si>
    <t>PP00045</t>
  </si>
  <si>
    <t>C1AC11306020004</t>
  </si>
  <si>
    <t>CR00053</t>
  </si>
  <si>
    <t>PP00046</t>
  </si>
  <si>
    <t>1130608</t>
  </si>
  <si>
    <t>1130609</t>
  </si>
  <si>
    <t>C1AC11306290006</t>
  </si>
  <si>
    <t>CR00054</t>
  </si>
  <si>
    <t>PP00047
PP00085</t>
  </si>
  <si>
    <t>1130708</t>
  </si>
  <si>
    <t>1130715</t>
  </si>
  <si>
    <t>1140714</t>
  </si>
  <si>
    <t>C1AC11307110009</t>
  </si>
  <si>
    <t>CR00055</t>
  </si>
  <si>
    <t>PP00048</t>
  </si>
  <si>
    <t>1130518</t>
  </si>
  <si>
    <t>1140224</t>
  </si>
  <si>
    <t>C1AC11306020005</t>
  </si>
  <si>
    <t>CR00056</t>
  </si>
  <si>
    <t>PP00049</t>
  </si>
  <si>
    <t>1130730</t>
  </si>
  <si>
    <t>1130930</t>
  </si>
  <si>
    <t>C1AD11308060001</t>
  </si>
  <si>
    <t>CR00057</t>
  </si>
  <si>
    <t>PP00050
PP00086</t>
  </si>
  <si>
    <t>1131013</t>
  </si>
  <si>
    <t>1141031</t>
  </si>
  <si>
    <t>C1AD11310170001</t>
  </si>
  <si>
    <t>CR00058</t>
  </si>
  <si>
    <t>PP00051</t>
  </si>
  <si>
    <t>1130822</t>
  </si>
  <si>
    <t>1140831</t>
  </si>
  <si>
    <t>C1AD11308260011</t>
  </si>
  <si>
    <t>CR00059</t>
  </si>
  <si>
    <t>PP00052</t>
  </si>
  <si>
    <t>1130831</t>
  </si>
  <si>
    <t>1140824</t>
  </si>
  <si>
    <t>C1AD11309030001</t>
  </si>
  <si>
    <t>CR00060</t>
  </si>
  <si>
    <t>PP00053</t>
  </si>
  <si>
    <t>1130907</t>
  </si>
  <si>
    <t>1130915</t>
  </si>
  <si>
    <t>C1AD11309200002</t>
  </si>
  <si>
    <t>CR00061</t>
  </si>
  <si>
    <t>PP00054</t>
  </si>
  <si>
    <t>1130824</t>
  </si>
  <si>
    <t>C1AD11308260013</t>
  </si>
  <si>
    <t>CR00062</t>
  </si>
  <si>
    <t>PP00055</t>
  </si>
  <si>
    <t>C1AD11308260014</t>
  </si>
  <si>
    <t>CR00063</t>
  </si>
  <si>
    <t>PP00056</t>
  </si>
  <si>
    <t>1131015</t>
  </si>
  <si>
    <t>C1AC11310010002</t>
  </si>
  <si>
    <t>CR00064</t>
  </si>
  <si>
    <t>PP00057</t>
  </si>
  <si>
    <t>1130926</t>
  </si>
  <si>
    <t>1131005</t>
  </si>
  <si>
    <t>1131110</t>
  </si>
  <si>
    <t>C1AC11310010003</t>
  </si>
  <si>
    <t>CR00065</t>
  </si>
  <si>
    <t>PP00058</t>
  </si>
  <si>
    <t>C1AC11312090001</t>
  </si>
  <si>
    <t>CR00066</t>
  </si>
  <si>
    <t>PP00059</t>
  </si>
  <si>
    <t>1131112</t>
  </si>
  <si>
    <t>C1AC11311180001</t>
  </si>
  <si>
    <t>CR00067</t>
  </si>
  <si>
    <t>PP00060</t>
  </si>
  <si>
    <t>1130925</t>
  </si>
  <si>
    <t>1140205</t>
  </si>
  <si>
    <t>C1AC11310010005</t>
  </si>
  <si>
    <t>CR00068</t>
  </si>
  <si>
    <t>PP00061</t>
  </si>
  <si>
    <t>1130928</t>
  </si>
  <si>
    <t>1131001</t>
  </si>
  <si>
    <t>1131103</t>
  </si>
  <si>
    <t>C1AC11310010004</t>
  </si>
  <si>
    <t>CR00069</t>
  </si>
  <si>
    <t>PP00062</t>
  </si>
  <si>
    <t>1131121</t>
  </si>
  <si>
    <t>C1AC11312010008</t>
  </si>
  <si>
    <t>CR00070</t>
  </si>
  <si>
    <t>PP00063</t>
  </si>
  <si>
    <t>1131023</t>
  </si>
  <si>
    <t>1141012</t>
  </si>
  <si>
    <t>C1FH11311010019</t>
  </si>
  <si>
    <t>CR00071</t>
  </si>
  <si>
    <t>PP00064
PP00089</t>
  </si>
  <si>
    <t>1131016</t>
  </si>
  <si>
    <t>C1FH11310170004</t>
  </si>
  <si>
    <t>CR00072</t>
  </si>
  <si>
    <t>PP00065</t>
  </si>
  <si>
    <t>1131029</t>
  </si>
  <si>
    <t>1131101</t>
  </si>
  <si>
    <t>C1FH11311010020</t>
  </si>
  <si>
    <t>CR00073</t>
  </si>
  <si>
    <t>PP00066</t>
  </si>
  <si>
    <t>1131104</t>
  </si>
  <si>
    <t>1131111</t>
  </si>
  <si>
    <t>C1FH11311180001</t>
  </si>
  <si>
    <t>CR00074</t>
  </si>
  <si>
    <t>PP00067</t>
  </si>
  <si>
    <t>1131105</t>
  </si>
  <si>
    <t>C1FH11311180006</t>
  </si>
  <si>
    <t>CR00075</t>
  </si>
  <si>
    <t>PP00068</t>
  </si>
  <si>
    <t>1131117</t>
  </si>
  <si>
    <t>C1AC11311180012</t>
  </si>
  <si>
    <t>CR00076</t>
  </si>
  <si>
    <t>PP00069</t>
  </si>
  <si>
    <t>1131122</t>
  </si>
  <si>
    <t>C1AC11311180011</t>
  </si>
  <si>
    <t>CR00077</t>
  </si>
  <si>
    <t>PP00070</t>
  </si>
  <si>
    <t>1131106</t>
  </si>
  <si>
    <t>C1AC11311180010</t>
  </si>
  <si>
    <t>CR00078</t>
  </si>
  <si>
    <t>PP00071</t>
  </si>
  <si>
    <t>1140418</t>
  </si>
  <si>
    <t>C1AC11312010007</t>
  </si>
  <si>
    <t>CR00079</t>
  </si>
  <si>
    <t>PP00072</t>
  </si>
  <si>
    <t>1131116</t>
  </si>
  <si>
    <t>C1AC11311180009</t>
  </si>
  <si>
    <t>CR00080</t>
  </si>
  <si>
    <t>PP00073</t>
  </si>
  <si>
    <t>C1AC11311180013</t>
  </si>
  <si>
    <t>CR00081</t>
  </si>
  <si>
    <t>PP00074</t>
  </si>
  <si>
    <t>C1AC11311180008</t>
  </si>
  <si>
    <t>CR00082</t>
  </si>
  <si>
    <t>PP00075</t>
  </si>
  <si>
    <t>1131203</t>
  </si>
  <si>
    <t>1131208</t>
  </si>
  <si>
    <t>C1AC11312060050</t>
  </si>
  <si>
    <t>CR00083</t>
  </si>
  <si>
    <t>PP00076
PP00090</t>
  </si>
  <si>
    <t>CR00084</t>
  </si>
  <si>
    <t>PP00077</t>
  </si>
  <si>
    <t>C1AE11312090001</t>
  </si>
  <si>
    <t>CR00085</t>
  </si>
  <si>
    <t>PP00078
PP00091</t>
  </si>
  <si>
    <t>1131225</t>
  </si>
  <si>
    <t>1131228</t>
  </si>
  <si>
    <t>C1AE11401040001</t>
  </si>
  <si>
    <t>CR00086</t>
  </si>
  <si>
    <t>PP00079</t>
  </si>
  <si>
    <t>1131213</t>
  </si>
  <si>
    <t>C1AE11312150002</t>
  </si>
  <si>
    <t>CR00087</t>
  </si>
  <si>
    <t>PP00080</t>
  </si>
  <si>
    <t>1140208</t>
  </si>
  <si>
    <t>C1AE11312150003</t>
  </si>
  <si>
    <t>RL00068
RL00069</t>
  </si>
  <si>
    <t>CR00088</t>
  </si>
  <si>
    <t>PP00081
PP00092</t>
  </si>
  <si>
    <t>1131129</t>
  </si>
  <si>
    <t>1140819</t>
  </si>
  <si>
    <t>CR00089</t>
  </si>
  <si>
    <t>PP00093</t>
  </si>
  <si>
    <t>1140119</t>
  </si>
  <si>
    <t>C1AD11402030001</t>
  </si>
  <si>
    <t>CR00090</t>
  </si>
  <si>
    <t>PP00094</t>
  </si>
  <si>
    <t>1140202</t>
  </si>
  <si>
    <t>1140211</t>
  </si>
  <si>
    <t>C1AE11402200001</t>
  </si>
  <si>
    <t>CR00091</t>
  </si>
  <si>
    <t xml:space="preserve">C1AC11403040022	</t>
  </si>
  <si>
    <t xml:space="preserve"> 298 + 1082 + 732</t>
  </si>
  <si>
    <t>CR00092</t>
  </si>
  <si>
    <t>1140206</t>
  </si>
  <si>
    <t>1140308</t>
  </si>
  <si>
    <t>C1AC11402200002</t>
  </si>
  <si>
    <t>CR00093</t>
  </si>
  <si>
    <t>1140216</t>
  </si>
  <si>
    <t>1140316</t>
  </si>
  <si>
    <t>C1AC11402200003</t>
  </si>
  <si>
    <t>CR00094</t>
  </si>
  <si>
    <t>1140217</t>
  </si>
  <si>
    <t>1150630</t>
  </si>
  <si>
    <t>C1AC11402200004</t>
  </si>
  <si>
    <t>CR00095</t>
  </si>
  <si>
    <t>C1AD11402200001</t>
  </si>
  <si>
    <t>續租</t>
  </si>
  <si>
    <t>CR00096</t>
  </si>
  <si>
    <t>PP00095</t>
  </si>
  <si>
    <t>1140218</t>
  </si>
  <si>
    <t>CR00097</t>
  </si>
  <si>
    <t>C1AC11402200005</t>
  </si>
  <si>
    <t>CR00098</t>
  </si>
  <si>
    <t>1140304</t>
  </si>
  <si>
    <t>1140528</t>
  </si>
  <si>
    <t>C1AC11403030013</t>
  </si>
  <si>
    <t>CR00099</t>
  </si>
  <si>
    <t>1140220</t>
  </si>
  <si>
    <t>C1AD11403030001</t>
  </si>
  <si>
    <t>CR00100</t>
  </si>
  <si>
    <t>PP00097</t>
  </si>
  <si>
    <t>1140227</t>
  </si>
  <si>
    <t>C1AC11403030015</t>
  </si>
  <si>
    <t>CR00101</t>
  </si>
  <si>
    <t>1140401</t>
  </si>
  <si>
    <t>C1AD11403030002</t>
  </si>
  <si>
    <t>CR00102</t>
  </si>
  <si>
    <t>C1AC11403030016</t>
  </si>
  <si>
    <t>CR00103</t>
  </si>
  <si>
    <t>PP00096</t>
  </si>
  <si>
    <t>1170229</t>
  </si>
  <si>
    <t>C1FH11403030013</t>
  </si>
  <si>
    <t>CR00104</t>
  </si>
  <si>
    <t>PP00098</t>
  </si>
  <si>
    <t>1140315</t>
  </si>
  <si>
    <t>C1AD11403040020</t>
  </si>
  <si>
    <t>CR00105</t>
  </si>
  <si>
    <t>PP00099</t>
  </si>
  <si>
    <t>1140302</t>
  </si>
  <si>
    <t>1140526</t>
  </si>
  <si>
    <t>C1AC11403040021</t>
  </si>
  <si>
    <t>（4月電費、水費、瓦斯、日用品）156+118+50+201</t>
  </si>
  <si>
    <t>CR00106</t>
  </si>
  <si>
    <t>PP00100</t>
  </si>
  <si>
    <t>1140306</t>
  </si>
  <si>
    <t>C1AC11403170007</t>
  </si>
  <si>
    <t>CR00107</t>
  </si>
  <si>
    <t>PP00101</t>
  </si>
  <si>
    <t>1140322</t>
  </si>
  <si>
    <t>C1AC11403170008</t>
  </si>
  <si>
    <t>CR00108</t>
  </si>
  <si>
    <t>C1AD11404020001</t>
  </si>
  <si>
    <t>CR00109</t>
  </si>
  <si>
    <t>PP00102</t>
  </si>
  <si>
    <t>1140324</t>
  </si>
  <si>
    <t>C1AC11404020001</t>
  </si>
  <si>
    <t>CR00110</t>
  </si>
  <si>
    <t>1140325</t>
  </si>
  <si>
    <t>1140423</t>
  </si>
  <si>
    <t>C1AD11404220002</t>
  </si>
  <si>
    <t>CR00111</t>
  </si>
  <si>
    <t>PP00103</t>
  </si>
  <si>
    <t>C1AC11404020003</t>
  </si>
  <si>
    <t>CR00112</t>
  </si>
  <si>
    <t>PP00036</t>
  </si>
  <si>
    <t>1140405</t>
  </si>
  <si>
    <t>1140501</t>
  </si>
  <si>
    <t>C1AD11404220004</t>
  </si>
  <si>
    <t>CR00113</t>
  </si>
  <si>
    <t>PP00106</t>
  </si>
  <si>
    <t>1140424</t>
  </si>
  <si>
    <t>1140428</t>
  </si>
  <si>
    <t>C1AC11405180002</t>
  </si>
  <si>
    <t>CR00114</t>
  </si>
  <si>
    <t>PP00105</t>
  </si>
  <si>
    <t>1140502</t>
  </si>
  <si>
    <t>C1AC11405180003</t>
  </si>
  <si>
    <t>CR00115</t>
  </si>
  <si>
    <t>1140513</t>
  </si>
  <si>
    <t>1140601</t>
  </si>
  <si>
    <t>C1AC11405280003</t>
  </si>
  <si>
    <t>CR00116</t>
  </si>
  <si>
    <t>1140508</t>
  </si>
  <si>
    <t>1150731</t>
  </si>
  <si>
    <t>C1AE11405180001</t>
  </si>
  <si>
    <t>CR00117</t>
  </si>
  <si>
    <t>PP00108</t>
  </si>
  <si>
    <t>1140518</t>
  </si>
  <si>
    <t>1140813</t>
  </si>
  <si>
    <t>C1AC11405280004</t>
  </si>
  <si>
    <t>CR00118</t>
  </si>
  <si>
    <t>PP00107</t>
  </si>
  <si>
    <t>1140519</t>
  </si>
  <si>
    <t>CR00119</t>
  </si>
  <si>
    <t>1140517</t>
  </si>
  <si>
    <t>C1AD11405280003</t>
  </si>
  <si>
    <t>CR00120</t>
  </si>
  <si>
    <t>1140614</t>
  </si>
  <si>
    <t>1140701</t>
  </si>
  <si>
    <t>CR00121</t>
  </si>
  <si>
    <t>PP00109</t>
  </si>
  <si>
    <t>C1AD11406240002</t>
  </si>
  <si>
    <t>CR00122</t>
  </si>
  <si>
    <t>PP00110</t>
  </si>
  <si>
    <t>1140618</t>
  </si>
  <si>
    <t>1140621</t>
  </si>
  <si>
    <t>C1AC11406240004</t>
  </si>
  <si>
    <t>CR00123</t>
  </si>
  <si>
    <t>1140530</t>
  </si>
  <si>
    <t>C1AC11406240005</t>
  </si>
  <si>
    <t>CR00124</t>
  </si>
  <si>
    <t>PP00111</t>
  </si>
  <si>
    <t>1140628</t>
  </si>
  <si>
    <t>C1AE11406240002</t>
  </si>
  <si>
    <t>CR00125</t>
  </si>
  <si>
    <t>PP00112</t>
  </si>
  <si>
    <t>1140605</t>
  </si>
  <si>
    <t>1140607</t>
  </si>
  <si>
    <t>C1AC11406240006</t>
  </si>
  <si>
    <t>CR00126</t>
  </si>
  <si>
    <t>PP00113</t>
  </si>
  <si>
    <t>1140624</t>
  </si>
  <si>
    <t>1140627</t>
  </si>
  <si>
    <t>C1AC11407140019</t>
  </si>
  <si>
    <t>CR00127</t>
  </si>
  <si>
    <t>PP00114</t>
  </si>
  <si>
    <t>1140702</t>
  </si>
  <si>
    <t>1140705</t>
  </si>
  <si>
    <t>C1AC11407140020</t>
  </si>
  <si>
    <t>CR00128</t>
  </si>
  <si>
    <t>PP00115</t>
  </si>
  <si>
    <t>1140626</t>
  </si>
  <si>
    <t>1140709</t>
  </si>
  <si>
    <t>C1AE11407140005</t>
  </si>
  <si>
    <t>CR00129</t>
  </si>
  <si>
    <t>PP00116</t>
  </si>
  <si>
    <t>1140629</t>
  </si>
  <si>
    <t>C1AC11407140021</t>
  </si>
  <si>
    <t>CR00130</t>
  </si>
  <si>
    <t>PP00117</t>
  </si>
  <si>
    <t>1140623</t>
  </si>
  <si>
    <t>1140711</t>
  </si>
  <si>
    <t>1141227</t>
  </si>
  <si>
    <t>C1AC11407140022</t>
  </si>
  <si>
    <t>0(自行跟租客處理)</t>
  </si>
  <si>
    <t>CR00131</t>
  </si>
  <si>
    <t>PP00118</t>
  </si>
  <si>
    <t>1140712</t>
  </si>
  <si>
    <t>C1AC11407140023</t>
  </si>
  <si>
    <t>CR00132</t>
  </si>
  <si>
    <t>PP00119</t>
  </si>
  <si>
    <t>C1AC11407140024</t>
  </si>
  <si>
    <t>CR00133</t>
  </si>
  <si>
    <t>PP00120</t>
  </si>
  <si>
    <t>1140703</t>
  </si>
  <si>
    <t>CR00134</t>
  </si>
  <si>
    <t>PP00121</t>
  </si>
  <si>
    <t>CR00135</t>
  </si>
  <si>
    <t>PP00129</t>
  </si>
  <si>
    <t>1140726</t>
  </si>
  <si>
    <t>C1AC11408050001</t>
  </si>
  <si>
    <t>CR00136</t>
  </si>
  <si>
    <t>PP00122</t>
  </si>
  <si>
    <t>1140721</t>
  </si>
  <si>
    <t>C1AD11408050002</t>
  </si>
  <si>
    <t>CR00137</t>
  </si>
  <si>
    <t>PP00123</t>
  </si>
  <si>
    <t>1140725</t>
  </si>
  <si>
    <t>C1AD11408050003</t>
  </si>
  <si>
    <t>CR00138</t>
  </si>
  <si>
    <t>PP00124</t>
  </si>
  <si>
    <t>1140718</t>
  </si>
  <si>
    <t>1140722</t>
  </si>
  <si>
    <t>C1AD11408050004</t>
  </si>
  <si>
    <t>CR00139</t>
  </si>
  <si>
    <t>PP00125
PP00130</t>
  </si>
  <si>
    <t>1140803</t>
  </si>
  <si>
    <t>1150831</t>
  </si>
  <si>
    <t>C1AD11408050006</t>
  </si>
  <si>
    <t>CR00140</t>
  </si>
  <si>
    <t>PP00126</t>
  </si>
  <si>
    <t>1140801</t>
  </si>
  <si>
    <t>C1AD11408050007</t>
  </si>
  <si>
    <t>CR00141</t>
  </si>
  <si>
    <t>PP00127</t>
  </si>
  <si>
    <t>CR00142</t>
  </si>
  <si>
    <t>PP00128</t>
  </si>
  <si>
    <t>1140719</t>
  </si>
  <si>
    <t>1150930</t>
  </si>
  <si>
    <t>CR00143</t>
  </si>
  <si>
    <t>1140715</t>
  </si>
  <si>
    <t>1140901</t>
  </si>
  <si>
    <t>C1AD11408050008</t>
  </si>
  <si>
    <t>CR00144</t>
  </si>
  <si>
    <t>PP00133
PP00134</t>
  </si>
  <si>
    <t>1140807</t>
  </si>
  <si>
    <t>CR00145</t>
  </si>
  <si>
    <t>C1AD11408280043</t>
  </si>
  <si>
    <t>CR00146</t>
  </si>
  <si>
    <t>1140820</t>
  </si>
  <si>
    <t>C1AD11408280044</t>
  </si>
  <si>
    <t>CR00147</t>
  </si>
  <si>
    <t>PP00135</t>
  </si>
  <si>
    <t>1140825</t>
  </si>
  <si>
    <t>C1AC11408280033</t>
  </si>
  <si>
    <t>CR00148</t>
  </si>
  <si>
    <t>PP00136</t>
  </si>
  <si>
    <t>1140826</t>
  </si>
  <si>
    <t>1140830</t>
  </si>
  <si>
    <t>C1AC11408280034</t>
  </si>
  <si>
    <t>CR00149</t>
  </si>
  <si>
    <t>PP00137</t>
  </si>
  <si>
    <t>C1FH11408280022</t>
  </si>
  <si>
    <t>CR00150</t>
  </si>
  <si>
    <t>PP00138
PP00139</t>
  </si>
  <si>
    <t>1140905</t>
  </si>
  <si>
    <t>CR00151</t>
  </si>
  <si>
    <t>PP00140</t>
  </si>
  <si>
    <t>1140902</t>
  </si>
  <si>
    <t>C1AC11409240024</t>
  </si>
  <si>
    <t>CR00152</t>
  </si>
  <si>
    <t>PP00142</t>
  </si>
  <si>
    <t>1140906</t>
  </si>
  <si>
    <t>1140927</t>
  </si>
  <si>
    <t>C1AD11409240019</t>
  </si>
  <si>
    <t>CR00153</t>
  </si>
  <si>
    <t>1141013</t>
  </si>
  <si>
    <t>1141101</t>
  </si>
  <si>
    <t>1151031</t>
  </si>
  <si>
    <t>C1AD11411030003</t>
  </si>
  <si>
    <t>CR00154</t>
  </si>
  <si>
    <t>PP00089
PP00064</t>
  </si>
  <si>
    <t>C1FH11411030001</t>
  </si>
  <si>
    <t>CR00155</t>
  </si>
  <si>
    <t>PP00143</t>
  </si>
  <si>
    <t>1141102</t>
  </si>
  <si>
    <t>1141104</t>
  </si>
  <si>
    <t>1160630</t>
  </si>
  <si>
    <t>C1FH11411030002</t>
  </si>
  <si>
    <t>CR00156</t>
  </si>
  <si>
    <t>1141105</t>
  </si>
  <si>
    <t>1141201</t>
  </si>
  <si>
    <t>1151130</t>
  </si>
  <si>
    <t>C1AC11412010001</t>
  </si>
  <si>
    <t>CR00157</t>
  </si>
  <si>
    <t>1141106</t>
  </si>
  <si>
    <t>1141119</t>
  </si>
  <si>
    <t>1160831</t>
  </si>
  <si>
    <t>C1AC11411260001</t>
  </si>
  <si>
    <t>CR00158</t>
  </si>
  <si>
    <t>PP00144</t>
  </si>
  <si>
    <t>1141205</t>
  </si>
  <si>
    <t>1141215</t>
  </si>
  <si>
    <t>1151231</t>
  </si>
  <si>
    <t>C1AC11412200004</t>
  </si>
  <si>
    <t>CR00159</t>
  </si>
  <si>
    <t>PP00145</t>
  </si>
  <si>
    <t>1141206</t>
  </si>
  <si>
    <t>1141209</t>
  </si>
  <si>
    <t>C1AE11412200004</t>
  </si>
  <si>
    <t>1141107</t>
  </si>
  <si>
    <t>1141121</t>
  </si>
  <si>
    <t>CR00160</t>
  </si>
  <si>
    <t>PP00146</t>
  </si>
  <si>
    <t>1141216</t>
  </si>
  <si>
    <t>1141225</t>
  </si>
  <si>
    <t>1160731</t>
  </si>
  <si>
    <t>C1AC11412200005</t>
  </si>
  <si>
    <t>CR00161</t>
  </si>
  <si>
    <t>PP00147
PP00148</t>
  </si>
  <si>
    <t>1141210</t>
  </si>
  <si>
    <t>1141221</t>
  </si>
  <si>
    <t>CR00162</t>
  </si>
  <si>
    <t>PP00149
PP00150
PP00151</t>
  </si>
  <si>
    <t>1141212</t>
  </si>
  <si>
    <t>1141218</t>
  </si>
  <si>
    <t>CR00163</t>
  </si>
  <si>
    <t>尚未入住</t>
  </si>
  <si>
    <t>1150120</t>
  </si>
  <si>
    <t>1150301</t>
  </si>
  <si>
    <t>1160331</t>
  </si>
  <si>
    <t>C1AD11501290013</t>
  </si>
  <si>
    <t>CR00164</t>
  </si>
  <si>
    <t>1150121</t>
  </si>
  <si>
    <t>C1AE11501290010</t>
  </si>
  <si>
    <t>CR00165</t>
  </si>
  <si>
    <t>1150118</t>
  </si>
  <si>
    <t>C1AE11501290011</t>
  </si>
  <si>
    <t>CR00166</t>
  </si>
  <si>
    <t>PP00152</t>
  </si>
  <si>
    <t>1150124</t>
  </si>
  <si>
    <t>1150201</t>
  </si>
  <si>
    <t>C1AC11501290013</t>
  </si>
  <si>
    <t>CR00167</t>
  </si>
  <si>
    <t>1150119</t>
  </si>
  <si>
    <t>C1AC11501290014</t>
  </si>
  <si>
    <t>CR00168</t>
  </si>
  <si>
    <t>1150129</t>
  </si>
  <si>
    <t>C1FH11502120003</t>
  </si>
  <si>
    <t>CR00169</t>
  </si>
  <si>
    <t>1150204</t>
  </si>
  <si>
    <t>C1AC11502120008</t>
  </si>
  <si>
    <t>CR00170</t>
  </si>
  <si>
    <t>C1AC11502120009</t>
  </si>
  <si>
    <t>CR00171</t>
  </si>
  <si>
    <t>1150210</t>
  </si>
  <si>
    <t>C1AD11502120002</t>
  </si>
  <si>
    <t>CR00172</t>
  </si>
  <si>
    <t>1150208</t>
  </si>
  <si>
    <t>C1AC11502120010</t>
  </si>
  <si>
    <t>CR00173</t>
  </si>
  <si>
    <t>1150211</t>
  </si>
  <si>
    <t>C1AC11502120011</t>
  </si>
  <si>
    <t>CR00174</t>
  </si>
  <si>
    <t>C1AC11502120012</t>
  </si>
  <si>
    <t/>
  </si>
  <si>
    <t>tenant_name</t>
  </si>
  <si>
    <t>tenant_id</t>
  </si>
  <si>
    <t>tenant_phone</t>
  </si>
  <si>
    <t>account_last5</t>
  </si>
  <si>
    <t>room</t>
  </si>
  <si>
    <t>Memo</t>
  </si>
  <si>
    <t>ID_Check</t>
  </si>
  <si>
    <t>辜馨嬅</t>
  </si>
  <si>
    <t>P224454201</t>
  </si>
  <si>
    <t>0983520184</t>
  </si>
  <si>
    <t>97800</t>
  </si>
  <si>
    <t>學生</t>
  </si>
  <si>
    <t>袁家鳳</t>
  </si>
  <si>
    <t>N226054940</t>
  </si>
  <si>
    <t>0909180815</t>
  </si>
  <si>
    <t>36282
31402</t>
  </si>
  <si>
    <t>內勤</t>
  </si>
  <si>
    <t>林聿妡</t>
  </si>
  <si>
    <t>T225504188</t>
  </si>
  <si>
    <t>0968185221</t>
  </si>
  <si>
    <t>61410
47900
28200</t>
  </si>
  <si>
    <t>幼教</t>
  </si>
  <si>
    <t>翁政熙</t>
  </si>
  <si>
    <t>E124568317</t>
  </si>
  <si>
    <t>0912681629</t>
  </si>
  <si>
    <t>54267</t>
  </si>
  <si>
    <t>多媒體</t>
  </si>
  <si>
    <t>陳俊宇</t>
  </si>
  <si>
    <t>T122434954</t>
  </si>
  <si>
    <t>0983540109</t>
  </si>
  <si>
    <t>陳玟涵</t>
  </si>
  <si>
    <t>R224227797</t>
  </si>
  <si>
    <t>0981768082</t>
  </si>
  <si>
    <t>18127</t>
  </si>
  <si>
    <t>金融</t>
  </si>
  <si>
    <t>李方羽</t>
  </si>
  <si>
    <t>P224409055</t>
  </si>
  <si>
    <t>0989975182</t>
  </si>
  <si>
    <t>劉桀綸</t>
  </si>
  <si>
    <t>L125701222</t>
  </si>
  <si>
    <t>0983700117</t>
  </si>
  <si>
    <t>80767</t>
  </si>
  <si>
    <t>工程師</t>
  </si>
  <si>
    <t>黃詩穎</t>
  </si>
  <si>
    <t>N224644731</t>
  </si>
  <si>
    <t>0987288545</t>
  </si>
  <si>
    <t>53074</t>
  </si>
  <si>
    <t>自由業</t>
  </si>
  <si>
    <t>王敏誠</t>
  </si>
  <si>
    <t>T124237426</t>
  </si>
  <si>
    <t>0952401782</t>
  </si>
  <si>
    <t>30641</t>
  </si>
  <si>
    <t>鄧又晨</t>
  </si>
  <si>
    <t>L124038999</t>
  </si>
  <si>
    <t>0975065368</t>
  </si>
  <si>
    <t>鄧又慈</t>
  </si>
  <si>
    <t>L223939766</t>
  </si>
  <si>
    <t>0902370805</t>
  </si>
  <si>
    <t>林芷妤</t>
  </si>
  <si>
    <t>L225780645</t>
  </si>
  <si>
    <t>0966128956</t>
  </si>
  <si>
    <t>52052</t>
  </si>
  <si>
    <t>楊芯岳</t>
  </si>
  <si>
    <t>N222136683</t>
  </si>
  <si>
    <t>0975017727</t>
  </si>
  <si>
    <t>05639
42818</t>
  </si>
  <si>
    <t>百貨業</t>
  </si>
  <si>
    <t>徐若洹</t>
  </si>
  <si>
    <t>E124818625</t>
  </si>
  <si>
    <t>0908196728</t>
  </si>
  <si>
    <t>09984</t>
  </si>
  <si>
    <t>消防員</t>
  </si>
  <si>
    <t>Totto</t>
  </si>
  <si>
    <t>梁譯心</t>
  </si>
  <si>
    <t>巫思予</t>
  </si>
  <si>
    <t>F227610106</t>
  </si>
  <si>
    <t>0912351609</t>
  </si>
  <si>
    <t>PP00020</t>
  </si>
  <si>
    <t>許瑜芳</t>
  </si>
  <si>
    <t>N226208751</t>
  </si>
  <si>
    <t>0961540327</t>
  </si>
  <si>
    <t>57047</t>
  </si>
  <si>
    <t>老師</t>
  </si>
  <si>
    <t>郭昱慧</t>
  </si>
  <si>
    <t>E224167447</t>
  </si>
  <si>
    <t>0978812727</t>
  </si>
  <si>
    <t>01075</t>
  </si>
  <si>
    <t>李宛宸</t>
  </si>
  <si>
    <t>V221717618</t>
  </si>
  <si>
    <t>0911154762</t>
  </si>
  <si>
    <t>59169</t>
  </si>
  <si>
    <t>曹淑宜</t>
  </si>
  <si>
    <t>Y220120345</t>
  </si>
  <si>
    <t>0932022135</t>
  </si>
  <si>
    <t>43026
14788
00504</t>
  </si>
  <si>
    <t>李茂生</t>
  </si>
  <si>
    <t>B123553140</t>
  </si>
  <si>
    <t>0916545808</t>
  </si>
  <si>
    <t>莊美娟</t>
  </si>
  <si>
    <t>V221592317</t>
  </si>
  <si>
    <t>0928460968</t>
  </si>
  <si>
    <t>23716</t>
  </si>
  <si>
    <t>陳佩娟</t>
  </si>
  <si>
    <t>L224882962</t>
  </si>
  <si>
    <t>0926701002</t>
  </si>
  <si>
    <t>08327</t>
  </si>
  <si>
    <t>陳雨彤</t>
  </si>
  <si>
    <t>B223306910</t>
  </si>
  <si>
    <t>0905812339</t>
  </si>
  <si>
    <t>08987
82655
31885</t>
  </si>
  <si>
    <t>黃依婷</t>
  </si>
  <si>
    <t>G222255428</t>
  </si>
  <si>
    <t>0917882105</t>
  </si>
  <si>
    <t>32777
45221</t>
  </si>
  <si>
    <t>美髮師</t>
  </si>
  <si>
    <t>許霈琪</t>
  </si>
  <si>
    <t>N226510578</t>
  </si>
  <si>
    <t>0930028909</t>
  </si>
  <si>
    <t>27653
51823
56364</t>
  </si>
  <si>
    <t>服務費</t>
  </si>
  <si>
    <t>林宜芳</t>
  </si>
  <si>
    <t>N226503313</t>
  </si>
  <si>
    <t>0907513797</t>
  </si>
  <si>
    <t>李柏緯</t>
  </si>
  <si>
    <t>G122209442</t>
  </si>
  <si>
    <t>0907227972</t>
  </si>
  <si>
    <t>26762</t>
  </si>
  <si>
    <t>黃彥瑞</t>
  </si>
  <si>
    <t>N126777633</t>
  </si>
  <si>
    <t>0958209368</t>
  </si>
  <si>
    <t>94880</t>
  </si>
  <si>
    <t>徐鉦庭</t>
  </si>
  <si>
    <t>G122368400</t>
  </si>
  <si>
    <t>0921852061</t>
  </si>
  <si>
    <t>58609
78902
14482</t>
  </si>
  <si>
    <t>生技師</t>
  </si>
  <si>
    <t>柳翰洋</t>
  </si>
  <si>
    <t>P124423526</t>
  </si>
  <si>
    <t>0900676051</t>
  </si>
  <si>
    <t>64267
38687</t>
  </si>
  <si>
    <t>新聞業</t>
  </si>
  <si>
    <t>鄭伊彤</t>
  </si>
  <si>
    <t>F228723791</t>
  </si>
  <si>
    <t>0912958580</t>
  </si>
  <si>
    <t>王品涵</t>
  </si>
  <si>
    <t>R224592824</t>
  </si>
  <si>
    <t>0960808662</t>
  </si>
  <si>
    <t>26127
48421
53996</t>
  </si>
  <si>
    <t>醫療業</t>
  </si>
  <si>
    <t>余典蓉</t>
  </si>
  <si>
    <t>S225249690</t>
  </si>
  <si>
    <t>0962076496</t>
  </si>
  <si>
    <t>44027</t>
  </si>
  <si>
    <t>牙醫系</t>
  </si>
  <si>
    <t>劉怡秀</t>
  </si>
  <si>
    <t>T223717392</t>
  </si>
  <si>
    <t>0910822559</t>
  </si>
  <si>
    <t>78083
97929
83272</t>
  </si>
  <si>
    <t>洪睿佑</t>
  </si>
  <si>
    <t>P124486970</t>
  </si>
  <si>
    <t>0975818970</t>
  </si>
  <si>
    <t>32165</t>
  </si>
  <si>
    <t>林雍勳</t>
  </si>
  <si>
    <t>G122414292</t>
  </si>
  <si>
    <t>0966536481</t>
  </si>
  <si>
    <t>49767</t>
  </si>
  <si>
    <t>吳亭逸</t>
  </si>
  <si>
    <t>M222688403</t>
  </si>
  <si>
    <t>0935085323</t>
  </si>
  <si>
    <t>熊翊丞</t>
  </si>
  <si>
    <t>L124032773</t>
  </si>
  <si>
    <t>0975278196</t>
  </si>
  <si>
    <t>42179
40643
13220</t>
  </si>
  <si>
    <t>施惠卿</t>
  </si>
  <si>
    <t>N223658446</t>
  </si>
  <si>
    <t>0982120218</t>
  </si>
  <si>
    <t>44942</t>
  </si>
  <si>
    <t>姚伯謙</t>
  </si>
  <si>
    <t>S123076660</t>
  </si>
  <si>
    <t>0922910630</t>
  </si>
  <si>
    <t>54655
10885</t>
  </si>
  <si>
    <t>台X集團行銷團隊主管</t>
  </si>
  <si>
    <t>陳昭瑄</t>
  </si>
  <si>
    <t>J222901150</t>
  </si>
  <si>
    <t>0981213776</t>
  </si>
  <si>
    <t>57000
22685</t>
  </si>
  <si>
    <t>金融業</t>
  </si>
  <si>
    <t>吳彥霆</t>
  </si>
  <si>
    <t>E125633680</t>
  </si>
  <si>
    <t>0970090304</t>
  </si>
  <si>
    <t>18752
17501</t>
  </si>
  <si>
    <t>PP00047</t>
  </si>
  <si>
    <t>吳智方</t>
  </si>
  <si>
    <t>H224257556</t>
  </si>
  <si>
    <t>0930180727</t>
  </si>
  <si>
    <t>44133
74927
84393</t>
  </si>
  <si>
    <t>林文心</t>
  </si>
  <si>
    <t>F228355113</t>
  </si>
  <si>
    <t>0976054717</t>
  </si>
  <si>
    <t>28000
87169
70846</t>
  </si>
  <si>
    <t>蔡艾霖</t>
  </si>
  <si>
    <t>F229712327</t>
  </si>
  <si>
    <t>0922307268</t>
  </si>
  <si>
    <t>PP00050</t>
  </si>
  <si>
    <t>董書鵬</t>
  </si>
  <si>
    <t>F129742672</t>
  </si>
  <si>
    <t>0955297422</t>
  </si>
  <si>
    <t>44694</t>
  </si>
  <si>
    <t>五金百貨業</t>
  </si>
  <si>
    <t>莊以祺</t>
  </si>
  <si>
    <t>O200552881</t>
  </si>
  <si>
    <t>0919331630</t>
  </si>
  <si>
    <t>15361</t>
  </si>
  <si>
    <t>廣告業</t>
  </si>
  <si>
    <t>林鍇蓓</t>
  </si>
  <si>
    <t>G222357310</t>
  </si>
  <si>
    <t>0987218720</t>
  </si>
  <si>
    <t>01415</t>
  </si>
  <si>
    <t>音樂業</t>
  </si>
  <si>
    <t>王子昇</t>
  </si>
  <si>
    <t>F130183652</t>
  </si>
  <si>
    <t>0919453799</t>
  </si>
  <si>
    <t>75572</t>
  </si>
  <si>
    <t>吳城慕</t>
  </si>
  <si>
    <t>A125875335</t>
  </si>
  <si>
    <t>0908278682</t>
  </si>
  <si>
    <t>10279</t>
  </si>
  <si>
    <t>中研院</t>
  </si>
  <si>
    <t>張劉明翔</t>
  </si>
  <si>
    <t>U122116309</t>
  </si>
  <si>
    <t>0905002637</t>
  </si>
  <si>
    <t>22041
82067
75493</t>
  </si>
  <si>
    <t>服務業</t>
  </si>
  <si>
    <t>范裕哲</t>
  </si>
  <si>
    <t>B122666022</t>
  </si>
  <si>
    <t>0933886420</t>
  </si>
  <si>
    <t>羅宇潔</t>
  </si>
  <si>
    <t>F230525938</t>
  </si>
  <si>
    <t>0900780708</t>
  </si>
  <si>
    <t>何佩勳</t>
  </si>
  <si>
    <t>B222002655</t>
  </si>
  <si>
    <t>0917524302</t>
  </si>
  <si>
    <t>70383</t>
  </si>
  <si>
    <t>科技業</t>
  </si>
  <si>
    <t>謝紫芩</t>
  </si>
  <si>
    <t>S224433287</t>
  </si>
  <si>
    <t>0909502128</t>
  </si>
  <si>
    <t>70609</t>
  </si>
  <si>
    <t>李侑芯</t>
  </si>
  <si>
    <t>H224708272</t>
  </si>
  <si>
    <t>0903620208</t>
  </si>
  <si>
    <t>56528
87366</t>
  </si>
  <si>
    <t>劉曉婷</t>
  </si>
  <si>
    <t>A900061911</t>
  </si>
  <si>
    <t>0901030350</t>
  </si>
  <si>
    <t>蔡婷欣</t>
  </si>
  <si>
    <t>Q270004550</t>
  </si>
  <si>
    <t>0966682637</t>
  </si>
  <si>
    <t>07457</t>
  </si>
  <si>
    <t>蕭宇榛</t>
  </si>
  <si>
    <t>F229104325</t>
  </si>
  <si>
    <t>0988117291</t>
  </si>
  <si>
    <t>67613
69911
05843</t>
  </si>
  <si>
    <t>調香師</t>
  </si>
  <si>
    <t>PP00064</t>
  </si>
  <si>
    <t>張語婕</t>
  </si>
  <si>
    <t>H225347415</t>
  </si>
  <si>
    <t>0916118348</t>
  </si>
  <si>
    <t>88890
93469</t>
  </si>
  <si>
    <t>楊玉如</t>
  </si>
  <si>
    <t>R223619979</t>
  </si>
  <si>
    <t>0976176211</t>
  </si>
  <si>
    <t>16492
28089</t>
  </si>
  <si>
    <t>鍾佩晶</t>
  </si>
  <si>
    <t>A900862829</t>
  </si>
  <si>
    <t>0983622973</t>
  </si>
  <si>
    <t>60130</t>
  </si>
  <si>
    <t>陳盈如</t>
  </si>
  <si>
    <t>19800110HU</t>
  </si>
  <si>
    <t>0933829143</t>
  </si>
  <si>
    <t>71199</t>
  </si>
  <si>
    <t>李亨加</t>
  </si>
  <si>
    <t>C221545349</t>
  </si>
  <si>
    <t>0920019741</t>
  </si>
  <si>
    <t>86076
15066</t>
  </si>
  <si>
    <t>Robert Sidey</t>
  </si>
  <si>
    <t>20201013SI</t>
  </si>
  <si>
    <t>79295</t>
  </si>
  <si>
    <t>魏湘芸</t>
  </si>
  <si>
    <t>J222937007</t>
  </si>
  <si>
    <t>0911737050</t>
  </si>
  <si>
    <t>21978
60963</t>
  </si>
  <si>
    <t>教育業</t>
  </si>
  <si>
    <t>許庭偉</t>
  </si>
  <si>
    <t>L125237183</t>
  </si>
  <si>
    <t>0965733100</t>
  </si>
  <si>
    <t>85590</t>
  </si>
  <si>
    <t>鄒欣穎</t>
  </si>
  <si>
    <t>A229720119</t>
  </si>
  <si>
    <t>0929332553</t>
  </si>
  <si>
    <t>29450
49628
66551</t>
  </si>
  <si>
    <t>楊珺媁</t>
  </si>
  <si>
    <t>C221626090</t>
  </si>
  <si>
    <t>0934024376</t>
  </si>
  <si>
    <t>13202
73083</t>
  </si>
  <si>
    <t>建築業</t>
  </si>
  <si>
    <t>黃伊妍</t>
  </si>
  <si>
    <t>C221627711</t>
  </si>
  <si>
    <t>0908739981</t>
  </si>
  <si>
    <t>26146
72921</t>
  </si>
  <si>
    <t>江仲元</t>
  </si>
  <si>
    <t>J122891906</t>
  </si>
  <si>
    <t>0983531896</t>
  </si>
  <si>
    <t>99285</t>
  </si>
  <si>
    <t>PP00076</t>
  </si>
  <si>
    <t>張宏祺</t>
  </si>
  <si>
    <t>B122611054</t>
  </si>
  <si>
    <t>0905767871</t>
  </si>
  <si>
    <t>12345
24915</t>
  </si>
  <si>
    <t>機師</t>
  </si>
  <si>
    <t>蔡亦翔</t>
  </si>
  <si>
    <t>J123011546</t>
  </si>
  <si>
    <t>0905231756</t>
  </si>
  <si>
    <t>25668
51759
17600</t>
  </si>
  <si>
    <t>PP00078</t>
  </si>
  <si>
    <t>杜思瑀</t>
  </si>
  <si>
    <t>A225933594</t>
  </si>
  <si>
    <t>0919494086</t>
  </si>
  <si>
    <t>48700
92961
21105
94700</t>
  </si>
  <si>
    <t>傳統產業</t>
  </si>
  <si>
    <t>郭亞潔</t>
  </si>
  <si>
    <t>E225197065</t>
  </si>
  <si>
    <t>0979197257</t>
  </si>
  <si>
    <t>84909</t>
  </si>
  <si>
    <t>陳姵方</t>
  </si>
  <si>
    <t>M222773550</t>
  </si>
  <si>
    <t>0978881180</t>
  </si>
  <si>
    <t>74351</t>
  </si>
  <si>
    <t>PP00081</t>
  </si>
  <si>
    <t>王翊樺</t>
  </si>
  <si>
    <t>I200322506</t>
  </si>
  <si>
    <t>0982336399</t>
  </si>
  <si>
    <t>68466
35577
18480</t>
  </si>
  <si>
    <t>PP00082</t>
  </si>
  <si>
    <t>黃俞安</t>
  </si>
  <si>
    <t>M223129083</t>
  </si>
  <si>
    <t>0903201657</t>
  </si>
  <si>
    <t>PP00083</t>
  </si>
  <si>
    <t>石昆霖</t>
  </si>
  <si>
    <t>M123165498</t>
  </si>
  <si>
    <t>0929850177</t>
  </si>
  <si>
    <t>PP00084</t>
  </si>
  <si>
    <t>賴泓賓</t>
  </si>
  <si>
    <t>L125275236</t>
  </si>
  <si>
    <t>0905648828</t>
  </si>
  <si>
    <t>PP00085</t>
  </si>
  <si>
    <t>蘇婉彤</t>
  </si>
  <si>
    <t>F280048753</t>
  </si>
  <si>
    <t>0988653572</t>
  </si>
  <si>
    <t>74684</t>
  </si>
  <si>
    <t>PP00086</t>
  </si>
  <si>
    <t>張瑋珊</t>
  </si>
  <si>
    <t>F228844311</t>
  </si>
  <si>
    <t>0963204215</t>
  </si>
  <si>
    <t>44967</t>
  </si>
  <si>
    <t>美容業</t>
  </si>
  <si>
    <t>PP00087</t>
  </si>
  <si>
    <t>許巧琳</t>
  </si>
  <si>
    <t>A227472861</t>
  </si>
  <si>
    <t>0921888068</t>
  </si>
  <si>
    <t>PP00088</t>
  </si>
  <si>
    <t>盧毓庭</t>
  </si>
  <si>
    <t>F228975795</t>
  </si>
  <si>
    <t>0962096993</t>
  </si>
  <si>
    <t>PP00089</t>
  </si>
  <si>
    <t>張依憑</t>
  </si>
  <si>
    <t>G222195801</t>
  </si>
  <si>
    <t>0952850429</t>
  </si>
  <si>
    <t>29741</t>
  </si>
  <si>
    <t>環境工程師</t>
  </si>
  <si>
    <t>PP00090</t>
  </si>
  <si>
    <t>謝宗穎</t>
  </si>
  <si>
    <t>A126619475</t>
  </si>
  <si>
    <t>0919096711</t>
  </si>
  <si>
    <t>PP00091</t>
  </si>
  <si>
    <t>陳廷瀀</t>
  </si>
  <si>
    <t>C221319723</t>
  </si>
  <si>
    <t>0988149020</t>
  </si>
  <si>
    <t>50141</t>
  </si>
  <si>
    <t>PP00092</t>
  </si>
  <si>
    <t>周定瑀</t>
  </si>
  <si>
    <t>L124863750</t>
  </si>
  <si>
    <t>0903116558</t>
  </si>
  <si>
    <t>線上教學平台</t>
  </si>
  <si>
    <t>吳緯程</t>
  </si>
  <si>
    <t>L123287130</t>
  </si>
  <si>
    <t>0972733126</t>
  </si>
  <si>
    <t>94132
58807</t>
  </si>
  <si>
    <t>酷朋採購</t>
  </si>
  <si>
    <t>邱佳慧</t>
  </si>
  <si>
    <t>K221846973</t>
  </si>
  <si>
    <t>0988395693</t>
  </si>
  <si>
    <t>97692
45046</t>
  </si>
  <si>
    <t>黃芷翊</t>
  </si>
  <si>
    <t>N225475883</t>
  </si>
  <si>
    <t>0919936402</t>
  </si>
  <si>
    <t>20873</t>
  </si>
  <si>
    <t>楊惠閔</t>
  </si>
  <si>
    <t>H225136476</t>
  </si>
  <si>
    <t>0909757272</t>
  </si>
  <si>
    <t>75759</t>
  </si>
  <si>
    <t>李彥靜</t>
  </si>
  <si>
    <t>R224171807</t>
  </si>
  <si>
    <t>0910872885</t>
  </si>
  <si>
    <t>38047
42388</t>
  </si>
  <si>
    <t>吳佳叡</t>
  </si>
  <si>
    <t>N124515822</t>
  </si>
  <si>
    <t>0937515812</t>
  </si>
  <si>
    <t>15812
50289
64976</t>
  </si>
  <si>
    <t>生技業</t>
  </si>
  <si>
    <t>曾冠文</t>
  </si>
  <si>
    <t>G122254723</t>
  </si>
  <si>
    <t>0972950376</t>
  </si>
  <si>
    <t>05207</t>
  </si>
  <si>
    <t>廚師</t>
  </si>
  <si>
    <t>鄭又菡</t>
  </si>
  <si>
    <t>I200224649</t>
  </si>
  <si>
    <t>0979356723</t>
  </si>
  <si>
    <t>93572
80181
79539
74678</t>
  </si>
  <si>
    <t>鐘偉展</t>
  </si>
  <si>
    <t>P123876112</t>
  </si>
  <si>
    <t>0981043525</t>
  </si>
  <si>
    <t>07418
31815
43168</t>
  </si>
  <si>
    <t>馬義鈞</t>
  </si>
  <si>
    <t>A126620790</t>
  </si>
  <si>
    <t>0987684804</t>
  </si>
  <si>
    <t>62428</t>
  </si>
  <si>
    <t>飯店業</t>
  </si>
  <si>
    <t>李侑霖</t>
  </si>
  <si>
    <t>E224706220</t>
  </si>
  <si>
    <t>0935727256</t>
  </si>
  <si>
    <t>71163
29449
24691</t>
  </si>
  <si>
    <t>林紫婕</t>
  </si>
  <si>
    <t>U222092815</t>
  </si>
  <si>
    <t>0928323609</t>
  </si>
  <si>
    <t>70737</t>
  </si>
  <si>
    <t>洪琦媜</t>
  </si>
  <si>
    <t>T225652161</t>
  </si>
  <si>
    <t>0979164269</t>
  </si>
  <si>
    <t>25359</t>
  </si>
  <si>
    <t>Soumyajit Balabantaray</t>
  </si>
  <si>
    <t>A800165323</t>
  </si>
  <si>
    <t>0963652595</t>
  </si>
  <si>
    <t>53109
47500</t>
  </si>
  <si>
    <t>吳佳樂</t>
  </si>
  <si>
    <t>S225658117</t>
  </si>
  <si>
    <t>0976367298</t>
  </si>
  <si>
    <t>31485</t>
  </si>
  <si>
    <t>吳宥辰</t>
  </si>
  <si>
    <t>N126651992</t>
  </si>
  <si>
    <t>0931221930</t>
  </si>
  <si>
    <t>79414
65068</t>
  </si>
  <si>
    <t>汪建豪</t>
  </si>
  <si>
    <t>L125444482</t>
  </si>
  <si>
    <t>0919113922</t>
  </si>
  <si>
    <t>23610</t>
  </si>
  <si>
    <t>敖啟恒</t>
  </si>
  <si>
    <t>F130929327</t>
  </si>
  <si>
    <t>0933676448</t>
  </si>
  <si>
    <t>16111
83501</t>
  </si>
  <si>
    <t>涂維妮</t>
  </si>
  <si>
    <t>J222990255</t>
  </si>
  <si>
    <t>0984228234</t>
  </si>
  <si>
    <t>24551
67546</t>
  </si>
  <si>
    <t>數據分析師</t>
  </si>
  <si>
    <t>陳昕湄</t>
  </si>
  <si>
    <t>E225200487</t>
  </si>
  <si>
    <t>0937576005</t>
  </si>
  <si>
    <t>08344</t>
  </si>
  <si>
    <t>何丞翊</t>
  </si>
  <si>
    <t>A128512862</t>
  </si>
  <si>
    <t>0966723260</t>
  </si>
  <si>
    <t>01039
35538</t>
  </si>
  <si>
    <t>劉宗霖</t>
  </si>
  <si>
    <t>R124306040</t>
  </si>
  <si>
    <t>0987149375</t>
  </si>
  <si>
    <t>28793</t>
  </si>
  <si>
    <t>蔡善安</t>
  </si>
  <si>
    <t>S225369688</t>
  </si>
  <si>
    <t>0906806711</t>
  </si>
  <si>
    <t>02599
63589</t>
  </si>
  <si>
    <t>美術系學生</t>
  </si>
  <si>
    <t>王紹綺</t>
  </si>
  <si>
    <t>F230360240</t>
  </si>
  <si>
    <t>0966801449</t>
  </si>
  <si>
    <t>23732</t>
  </si>
  <si>
    <t>Linebank實習生</t>
  </si>
  <si>
    <t>吳宗祐</t>
  </si>
  <si>
    <t>N126317726</t>
  </si>
  <si>
    <t>0970813379</t>
  </si>
  <si>
    <t>60828</t>
  </si>
  <si>
    <t>Ardian Umam</t>
  </si>
  <si>
    <t>O800029012</t>
  </si>
  <si>
    <t>0972421883</t>
  </si>
  <si>
    <t>65463</t>
  </si>
  <si>
    <t>AI工程師</t>
  </si>
  <si>
    <t>楊東憲</t>
  </si>
  <si>
    <t>L125330607</t>
  </si>
  <si>
    <t>0913952370</t>
  </si>
  <si>
    <t>77237
17895</t>
  </si>
  <si>
    <t>餐飲業</t>
  </si>
  <si>
    <t>袁羽辰</t>
  </si>
  <si>
    <t>B123423825</t>
  </si>
  <si>
    <t>0987270929</t>
  </si>
  <si>
    <t>曾蘋儀</t>
  </si>
  <si>
    <t>D223135306</t>
  </si>
  <si>
    <t>0900600196</t>
  </si>
  <si>
    <t>73611</t>
  </si>
  <si>
    <t>李長榮稽核</t>
  </si>
  <si>
    <t>吳小朋</t>
  </si>
  <si>
    <t>G122150800</t>
  </si>
  <si>
    <t>0953307239</t>
  </si>
  <si>
    <t>54102</t>
  </si>
  <si>
    <t>六和化工業務</t>
  </si>
  <si>
    <t>韋茗期</t>
  </si>
  <si>
    <t>O100633076</t>
  </si>
  <si>
    <t>0972599572</t>
  </si>
  <si>
    <t>07688</t>
  </si>
  <si>
    <t>北科大碩士</t>
  </si>
  <si>
    <t>PP00125</t>
  </si>
  <si>
    <t>蔡昀潔</t>
  </si>
  <si>
    <t>E225725167</t>
  </si>
  <si>
    <t>0902196917</t>
  </si>
  <si>
    <t>67788</t>
  </si>
  <si>
    <t>知名外商account mgr</t>
  </si>
  <si>
    <t>劉祐安</t>
  </si>
  <si>
    <t>K223111375</t>
  </si>
  <si>
    <t>0976361808</t>
  </si>
  <si>
    <t>97052
41152</t>
  </si>
  <si>
    <t>四大會計事務所</t>
  </si>
  <si>
    <t>周利安</t>
  </si>
  <si>
    <t>H224707328</t>
  </si>
  <si>
    <t>0975079053</t>
  </si>
  <si>
    <t>02178
47477
70640</t>
  </si>
  <si>
    <t>醫療器材專員</t>
  </si>
  <si>
    <t>朱彥蓉</t>
  </si>
  <si>
    <t>G221901770</t>
  </si>
  <si>
    <t>0921505261</t>
  </si>
  <si>
    <t>82950</t>
  </si>
  <si>
    <t>知名外商店長</t>
  </si>
  <si>
    <t>葉英蔚</t>
  </si>
  <si>
    <t>B900092800</t>
  </si>
  <si>
    <t>0979231712</t>
  </si>
  <si>
    <t>37877</t>
  </si>
  <si>
    <t>電子業</t>
  </si>
  <si>
    <t>PP00130</t>
  </si>
  <si>
    <t>林聖凱</t>
  </si>
  <si>
    <t>S125121382</t>
  </si>
  <si>
    <t>0955787843</t>
  </si>
  <si>
    <t>48148</t>
  </si>
  <si>
    <t>台積電</t>
  </si>
  <si>
    <t>PP00131</t>
  </si>
  <si>
    <t>妥妥租台銀</t>
  </si>
  <si>
    <t>10479</t>
  </si>
  <si>
    <t>PP00132</t>
  </si>
  <si>
    <t>妥妥租玉山</t>
  </si>
  <si>
    <t>24317</t>
  </si>
  <si>
    <t>PP00133</t>
  </si>
  <si>
    <t>李佳芸</t>
  </si>
  <si>
    <t>W200442627</t>
  </si>
  <si>
    <t>0981554931</t>
  </si>
  <si>
    <t>36938</t>
  </si>
  <si>
    <t>電路設計工程師</t>
  </si>
  <si>
    <t>PP00134</t>
  </si>
  <si>
    <t>吉俊儒</t>
  </si>
  <si>
    <t>A128421044</t>
  </si>
  <si>
    <t>0966838508</t>
  </si>
  <si>
    <t>61610</t>
  </si>
  <si>
    <t>涂敏</t>
  </si>
  <si>
    <t>A229104679</t>
  </si>
  <si>
    <t>0924027669</t>
  </si>
  <si>
    <t>66532
60119</t>
  </si>
  <si>
    <t>留英行銷人員</t>
  </si>
  <si>
    <t>魏敬軒</t>
  </si>
  <si>
    <t>E124994595</t>
  </si>
  <si>
    <t>0966631295</t>
  </si>
  <si>
    <t>57386
94943</t>
  </si>
  <si>
    <t>雜誌社編輯</t>
  </si>
  <si>
    <t>吳品萱</t>
  </si>
  <si>
    <t>L225507655</t>
  </si>
  <si>
    <t>0963975598</t>
  </si>
  <si>
    <t>40729</t>
  </si>
  <si>
    <t>碩士生</t>
  </si>
  <si>
    <t>PP00138</t>
  </si>
  <si>
    <t>Shihara Senaratna</t>
  </si>
  <si>
    <t>E225809631</t>
  </si>
  <si>
    <t>0912125503</t>
  </si>
  <si>
    <t>41343</t>
  </si>
  <si>
    <t>美國學校老師</t>
  </si>
  <si>
    <t>PP00139</t>
  </si>
  <si>
    <t>Xueying Chen</t>
  </si>
  <si>
    <t>0561633898</t>
  </si>
  <si>
    <t>0912431684</t>
  </si>
  <si>
    <t>26045</t>
  </si>
  <si>
    <t>美國籍華人</t>
  </si>
  <si>
    <t>吳昱旻</t>
  </si>
  <si>
    <t>A230193771</t>
  </si>
  <si>
    <t>0933562286</t>
  </si>
  <si>
    <t>88760</t>
  </si>
  <si>
    <t>勤業眾信稽核員</t>
  </si>
  <si>
    <t>PP00141</t>
  </si>
  <si>
    <t>吳東陽</t>
  </si>
  <si>
    <t>H125916758</t>
  </si>
  <si>
    <t>0975355515</t>
  </si>
  <si>
    <t>鄭宇廷</t>
  </si>
  <si>
    <t>H225602920</t>
  </si>
  <si>
    <t>0974232283</t>
  </si>
  <si>
    <t>71700
65938
41395</t>
  </si>
  <si>
    <t>王彥婷</t>
  </si>
  <si>
    <t>J222738451</t>
  </si>
  <si>
    <t>0910296758</t>
  </si>
  <si>
    <t>74081</t>
  </si>
  <si>
    <t>資訊業PM</t>
  </si>
  <si>
    <t>司徒尚奕</t>
  </si>
  <si>
    <t>K123172090</t>
  </si>
  <si>
    <t>0988531484</t>
  </si>
  <si>
    <t>90275
16545</t>
  </si>
  <si>
    <t>越野手教練</t>
  </si>
  <si>
    <t>李宜蓁</t>
  </si>
  <si>
    <t>L124724141</t>
  </si>
  <si>
    <t>0989197550</t>
  </si>
  <si>
    <t>17208
24881</t>
  </si>
  <si>
    <t>電機系學生</t>
  </si>
  <si>
    <t>詹子緹</t>
  </si>
  <si>
    <t>A226653933</t>
  </si>
  <si>
    <t>0903304345</t>
  </si>
  <si>
    <t>62280</t>
  </si>
  <si>
    <t>幼兒園教師</t>
  </si>
  <si>
    <t>PP00147</t>
  </si>
  <si>
    <t>林天成</t>
  </si>
  <si>
    <t>T126023322</t>
  </si>
  <si>
    <t>0905461024</t>
  </si>
  <si>
    <t>98511</t>
  </si>
  <si>
    <t>台壽專員</t>
  </si>
  <si>
    <t>PP00148</t>
  </si>
  <si>
    <t>蔡凱鈞</t>
  </si>
  <si>
    <t>I100530800</t>
  </si>
  <si>
    <t>0908157081</t>
  </si>
  <si>
    <t>33215</t>
  </si>
  <si>
    <t>中信專員</t>
  </si>
  <si>
    <t>PP00149</t>
  </si>
  <si>
    <t>巫易軒</t>
  </si>
  <si>
    <t>F127376643</t>
  </si>
  <si>
    <t>0920311326</t>
  </si>
  <si>
    <t>34918</t>
  </si>
  <si>
    <t>資訊公司內勤</t>
  </si>
  <si>
    <t>PP00150</t>
  </si>
  <si>
    <t>林千毓</t>
  </si>
  <si>
    <t>Q223405125</t>
  </si>
  <si>
    <t>0984327036</t>
  </si>
  <si>
    <t>74558</t>
  </si>
  <si>
    <t>市政府同仁</t>
  </si>
  <si>
    <t>PP00151</t>
  </si>
  <si>
    <t>蕭子宣</t>
  </si>
  <si>
    <t>H224569417</t>
  </si>
  <si>
    <t>0975921297</t>
  </si>
  <si>
    <t>57874</t>
  </si>
  <si>
    <t>外商助理</t>
  </si>
  <si>
    <t>陳品文</t>
  </si>
  <si>
    <t>H225340247</t>
  </si>
  <si>
    <t>0932210841</t>
  </si>
  <si>
    <t>10841
27807</t>
  </si>
  <si>
    <t>行銷</t>
  </si>
  <si>
    <t>城市</t>
  </si>
  <si>
    <t>行政區</t>
  </si>
  <si>
    <t>新北市行政區</t>
  </si>
  <si>
    <t>狀態(包租合約)</t>
  </si>
  <si>
    <t>付款狀態(轉租合約)</t>
  </si>
  <si>
    <t>建物型態</t>
  </si>
  <si>
    <t>房間類型</t>
  </si>
  <si>
    <t>款項分類</t>
  </si>
  <si>
    <t>台北市</t>
  </si>
  <si>
    <t>TaipeiCity</t>
  </si>
  <si>
    <t>中正區</t>
  </si>
  <si>
    <t>板橋區</t>
  </si>
  <si>
    <t>費用 - Salary 薪資</t>
  </si>
  <si>
    <t>NewTaipeiCity</t>
  </si>
  <si>
    <t>大同區</t>
  </si>
  <si>
    <t>三重區</t>
  </si>
  <si>
    <t>費用 - 辦公用品</t>
  </si>
  <si>
    <t>招租中</t>
  </si>
  <si>
    <t>住宅大樓(11層含以上有電梯)</t>
  </si>
  <si>
    <t>獨立套房</t>
  </si>
  <si>
    <t>費用 - 餐飲</t>
  </si>
  <si>
    <t>萬華區</t>
  </si>
  <si>
    <t>永和區</t>
  </si>
  <si>
    <t>首租</t>
  </si>
  <si>
    <t>透天厝</t>
  </si>
  <si>
    <t>費用 - 租用費用</t>
  </si>
  <si>
    <t>新莊區</t>
  </si>
  <si>
    <t>整棟(戶)出租</t>
  </si>
  <si>
    <t>費用 - 法律會計費用</t>
  </si>
  <si>
    <t>新店區</t>
  </si>
  <si>
    <t>費用 - 稅金</t>
  </si>
  <si>
    <t>大安區</t>
  </si>
  <si>
    <t>土城區</t>
  </si>
  <si>
    <t>費用 - 交通費</t>
  </si>
  <si>
    <t>蘆洲區</t>
  </si>
  <si>
    <t>費用 - 匯費</t>
  </si>
  <si>
    <t>北投區</t>
  </si>
  <si>
    <t>樹林區</t>
  </si>
  <si>
    <t>費用 - 人力成本</t>
  </si>
  <si>
    <t>汐止區</t>
  </si>
  <si>
    <t>成本 - 公證費</t>
  </si>
  <si>
    <t>鶯歌區</t>
  </si>
  <si>
    <t>成本 - 仲介費</t>
  </si>
  <si>
    <t>文山區</t>
  </si>
  <si>
    <t>三峽區</t>
  </si>
  <si>
    <t>成本 - 進場前裝潢費</t>
  </si>
  <si>
    <t>淡水區</t>
  </si>
  <si>
    <t>成本 - 固定開銷(網路代收清潔)</t>
  </si>
  <si>
    <t>瑞芳區</t>
  </si>
  <si>
    <t>成本 - 對屋主押金</t>
  </si>
  <si>
    <t>五股區</t>
  </si>
  <si>
    <t>成本 - 租後修繕</t>
  </si>
  <si>
    <t>泰山區</t>
  </si>
  <si>
    <t>成本 - 大租金</t>
  </si>
  <si>
    <t>林口區</t>
  </si>
  <si>
    <t>收入 - 政府補助/退稅</t>
  </si>
  <si>
    <t>深坑區</t>
  </si>
  <si>
    <t>收入 - 租金</t>
  </si>
  <si>
    <t>石碇區</t>
  </si>
  <si>
    <t>收入 - 押金</t>
  </si>
  <si>
    <t>坪林區</t>
  </si>
  <si>
    <t>收入 - 其他</t>
  </si>
  <si>
    <t>三芝區</t>
  </si>
  <si>
    <t>收入 - 定金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</si>
  <si>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</si>
  <si>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</si>
  <si>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</si>
  <si>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</si>
  <si>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</si>
  <si>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</si>
  <si>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</si>
  <si>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</si>
  <si>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月份 (Month)</t>
  </si>
  <si>
    <t>交易性質 (Type)</t>
  </si>
  <si>
    <t>營運淨利 (Adj. Profit)</t>
  </si>
  <si>
    <t>合夥人分潤 (Partner Rev)</t>
  </si>
  <si>
    <t>年份 (Year)</t>
  </si>
  <si>
    <t>物件 (Property)</t>
  </si>
  <si>
    <t>團隊 (Team)</t>
  </si>
  <si>
    <t>有效營收 (Eff. Revenue)</t>
  </si>
  <si>
    <t>剛性大租金 (Big Rent)</t>
  </si>
  <si>
    <t>維護費 (Maint)</t>
  </si>
  <si>
    <t>毛利價差 (Spread)</t>
  </si>
  <si>
    <t>營業稅 (VAT 5%)</t>
  </si>
  <si>
    <t>稅前淨利</t>
  </si>
  <si>
    <t>營所稅 (CIT 20%)</t>
  </si>
  <si>
    <t>稅後淨利 (Net Profit)</t>
  </si>
  <si>
    <t>初始裝潢費 (Initial CAPEX)</t>
  </si>
  <si>
    <t>事後修繕費 (Total OPEX)</t>
  </si>
  <si>
    <t>修繕營收比 (Maint. Ratio)</t>
  </si>
  <si>
    <t>平均出租率 (Avg Occupancy)</t>
  </si>
  <si>
    <t>續租率 (Renewal Rate)</t>
  </si>
  <si>
    <t>營收達成落差 (Revenue Gap)</t>
  </si>
  <si>
    <t>累計營收 (Total Revenue)</t>
  </si>
  <si>
    <t>累計毛利 (Total Gross Profit)</t>
  </si>
  <si>
    <t>累計淨利 (Total Net Profit)</t>
  </si>
  <si>
    <t>回本進度 (Break-even %)</t>
  </si>
  <si>
    <t>月均淨現金流 (Avg Monthly CF)</t>
  </si>
  <si>
    <t>月均裝修維護攤提 (Avg Deco &amp; Maint Amort.)</t>
  </si>
  <si>
    <t>民生東二樓</t>
  </si>
  <si>
    <t>Unknown</t>
  </si>
  <si>
    <t>狀態 (Status)</t>
  </si>
  <si>
    <t>大租金成本 (Big Rent Cost)</t>
  </si>
  <si>
    <t>預期轉租營收 (Exp Sublease Rev)</t>
  </si>
  <si>
    <t>實際營收 (Actual Revenue)</t>
  </si>
  <si>
    <t>收租達成率 (Collection Rate)</t>
  </si>
  <si>
    <t>預估毛利 (Est Gross Profit)</t>
  </si>
  <si>
    <t>實際轉租毛利 (Act Sublease GP)</t>
  </si>
  <si>
    <t>實際淨利 (Actual Net Profit)</t>
  </si>
  <si>
    <t>固定開銷 (Fixed Overhead)</t>
  </si>
  <si>
    <t>累計淨利 (Cumulative Net Profit)</t>
  </si>
  <si>
    <t>成本黑洞 (Cost Leakage)</t>
  </si>
  <si>
    <t>房客押金負債 (Tenant Deposit Liab)</t>
  </si>
  <si>
    <t>屋主押金資產 (Owner Deposit Asset)</t>
  </si>
  <si>
    <t>押金淨缺口 (Net Deposit Gap)</t>
  </si>
  <si>
    <t>空租天數 (Vacancy Days)</t>
  </si>
  <si>
    <t>總可租天數 (Total Room Days)</t>
  </si>
  <si>
    <t>出租率 (Occupancy Rate)</t>
  </si>
  <si>
    <t>分潤支出 (Partner Dist)</t>
  </si>
  <si>
    <t>資料時間點判斷</t>
  </si>
  <si>
    <t>YYYY-MM</t>
  </si>
  <si>
    <t>專案名稱</t>
  </si>
  <si>
    <t>優先採用 all_in_one 標記</t>
  </si>
  <si>
    <t>依合約階段計算 (無合約/免租期=0)</t>
  </si>
  <si>
    <t>考量 Mutex 互斥後的最高潛在營收</t>
  </si>
  <si>
    <t>Type=真實收入</t>
  </si>
  <si>
    <t>實際營收 / 預期營收</t>
  </si>
  <si>
    <t>預期營收 - 大租金</t>
  </si>
  <si>
    <t>實際營收 - 大租金 (現金流視角)</t>
  </si>
  <si>
    <t>排除轉帳/押金/分潤後的真實損益</t>
  </si>
  <si>
    <t>追蹤：成本 - 固定開銷(網路代收清潔)</t>
  </si>
  <si>
    <t>從開案至今的淨利總和 (突破0=回本)</t>
  </si>
  <si>
    <t>預估毛利 - 實際淨利</t>
  </si>
  <si>
    <t>當下有效租約的押金總和</t>
  </si>
  <si>
    <t>付給大房東的押金</t>
  </si>
  <si>
    <t>屋主押金 - 房客押金 (負數代表淨負債)</t>
  </si>
  <si>
    <t>邏輯單位空租日 (群組全空才算空)</t>
  </si>
  <si>
    <t>當月天數 * 邏輯單位數</t>
  </si>
  <si>
    <t>1 - (空租/總天數)</t>
  </si>
  <si>
    <t>Type=分潤支出 (取絕對值)</t>
  </si>
  <si>
    <t>歷史 (Actual)</t>
  </si>
  <si>
    <t>[總部]-貓狗企鵝</t>
  </si>
  <si>
    <t>[總部]-鯰魚大大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</si>
</sst>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##0"/>
    <numFmt numFmtId="165" formatCode="yyyy&quot;/&quot;m&quot;/&quot;d"/>
    <numFmt numFmtId="166" formatCode="yyyy/m/d"/>
    <numFmt numFmtId="167" formatCode="yyyy/mm/dd"/>
    <numFmt numFmtId="168" formatCode="&quot;$&quot;#,##0"/>
    <numFmt numFmtId="169" formatCode="0.0%"/>
    <numFmt numFmtId="170" formatCode="yyyy-m"/>
    <numFmt numFmtId="171" formatCode="yyyy-mm"/>
  </numFmts>
  <fonts count="31">
    <font>
      <sz val="10.0"/>
      <color rgb="FF000000"/>
      <name val="Arial"/>
    </font>
    <font>
      <b/>
    </font>
    <font>
      <b/>
      <color rgb="FFFF0000"/>
    </font>
    <font>
      <b/>
      <name val="Arial"/>
    </font>
    <font>
      <name val="Arial"/>
    </font>
    <font/>
    <font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color rgb="FFFF0000"/>
    </font>
    <font>
      <color rgb="FF000000"/>
    </font>
    <font>
      <sz val="10.0"/>
      <color rgb="FF000000"/>
    </font>
    <font>
      <sz val="10.0"/>
      <color rgb="FF202020"/>
    </font>
    <font>
      <sz val="12.0"/>
      <color rgb="FF000000"/>
      <name val="&quot;Times New Roman&quot;"/>
    </font>
    <font>
      <color rgb="FFFFFFFF"/>
    </font>
    <font>
      <u/>
      <color rgb="FF1155CC"/>
      <name val="Arial"/>
    </font>
    <font>
      <color rgb="FF202020"/>
      <name val="Arial"/>
    </font>
    <font>
      <u/>
      <color rgb="FF1155CC"/>
      <name val="Arial"/>
    </font>
    <font>
      <color rgb="FFFF0000"/>
      <name val="Arial"/>
    </font>
    <font>
      <b/>
      <color rgb="FFFF0000"/>
      <name val="Arial"/>
    </font>
    <font>
      <b/>
      <color rgb="FF000000"/>
      <name val="Arial"/>
    </font>
    <font>
      <color rgb="FFFFFFFF"/>
      <name val="Arial"/>
    </font>
    <font>
      <sz val="11.0"/>
      <color rgb="FFFFFFFF"/>
      <name val="Google Sans"/>
    </font>
    <font>
      <sz val="11.0"/>
      <color rgb="FFFFFFFF"/>
      <name val="Arial"/>
    </font>
    <font>
      <sz val="11.0"/>
      <color rgb="FF444746"/>
      <name val="Google Sans"/>
    </font>
    <font>
      <sz val="12.0"/>
      <color rgb="FF222222"/>
      <name val="Arial"/>
    </font>
    <font>
      <sz val="11.0"/>
      <color rgb="FFFF0000"/>
      <name val="Google Sans"/>
    </font>
    <font>
      <i/>
      <color rgb="FF666666"/>
    </font>
  </fonts>
  <fills count="2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D0D0D"/>
        <bgColor rgb="FF0D0D0D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8FBFE"/>
        <bgColor rgb="FFF8FBFE"/>
      </patternFill>
    </fill>
    <fill>
      <patternFill patternType="solid">
        <fgColor rgb="FF666666"/>
        <bgColor rgb="FF666666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center"/>
    </xf>
    <xf borderId="0" fillId="2" fontId="2" numFmtId="0" xfId="0" applyAlignment="1" applyFont="1">
      <alignment horizontal="righ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3" fontId="5" numFmtId="0" xfId="0" applyAlignment="1" applyFill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2" fontId="6" numFmtId="0" xfId="0" applyAlignment="1" applyFont="1">
      <alignment horizontal="right" readingOrder="0" vertical="bottom"/>
    </xf>
    <xf borderId="0" fillId="2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2" fontId="5" numFmtId="165" xfId="0" applyAlignment="1" applyFont="1" applyNumberFormat="1">
      <alignment horizontal="center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3" fontId="5" numFmtId="0" xfId="0" applyFont="1"/>
    <xf borderId="0" fillId="2" fontId="5" numFmtId="0" xfId="0" applyAlignment="1" applyFont="1">
      <alignment horizontal="right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2" fontId="5" numFmtId="0" xfId="0" applyAlignment="1" applyFont="1">
      <alignment horizontal="right" readingOrder="0"/>
    </xf>
    <xf borderId="0" fillId="0" fontId="4" numFmtId="0" xfId="0" applyAlignment="1" applyFont="1">
      <alignment horizontal="right" readingOrder="0" vertical="bottom"/>
    </xf>
    <xf borderId="0" fillId="2" fontId="5" numFmtId="0" xfId="0" applyAlignment="1" applyFont="1">
      <alignment horizontal="center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5" numFmtId="3" xfId="0" applyAlignment="1" applyFont="1" applyNumberForma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bottom" wrapText="1"/>
    </xf>
    <xf borderId="0" fillId="0" fontId="5" numFmtId="49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13" numFmtId="49" xfId="0" applyAlignment="1" applyFont="1" applyNumberFormat="1">
      <alignment readingOrder="0"/>
    </xf>
    <xf borderId="0" fillId="5" fontId="14" numFmtId="0" xfId="0" applyAlignment="1" applyFill="1" applyFont="1">
      <alignment readingOrder="0"/>
    </xf>
    <xf borderId="0" fillId="5" fontId="15" numFmtId="0" xfId="0" applyAlignment="1" applyFont="1">
      <alignment horizontal="right" readingOrder="0"/>
    </xf>
    <xf borderId="0" fillId="5" fontId="16" numFmtId="0" xfId="0" applyAlignment="1" applyFill="1" applyFont="1">
      <alignment readingOrder="0"/>
    </xf>
    <xf borderId="0" fillId="6" fontId="5" numFmtId="166" xfId="0" applyAlignment="1" applyFill="1" applyFont="1" applyNumberFormat="1">
      <alignment readingOrder="0"/>
    </xf>
    <xf borderId="0" fillId="6" fontId="5" numFmtId="3" xfId="0" applyAlignment="1" applyFont="1" applyNumberFormat="1">
      <alignment readingOrder="0"/>
    </xf>
    <xf borderId="0" fillId="6" fontId="5" numFmtId="0" xfId="0" applyAlignment="1" applyFont="1">
      <alignment readingOrder="0"/>
    </xf>
    <xf borderId="0" fillId="7" fontId="17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4" fontId="5" numFmtId="0" xfId="0" applyFont="1"/>
    <xf borderId="0" fillId="0" fontId="4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5" fontId="15" numFmtId="0" xfId="0" applyAlignment="1" applyFont="1">
      <alignment readingOrder="0"/>
    </xf>
    <xf borderId="0" fillId="8" fontId="5" numFmtId="3" xfId="0" applyAlignment="1" applyFill="1" applyFont="1" applyNumberFormat="1">
      <alignment readingOrder="0"/>
    </xf>
    <xf quotePrefix="1" borderId="0" fillId="0" fontId="4" numFmtId="0" xfId="0" applyAlignment="1" applyFont="1">
      <alignment readingOrder="0" shrinkToFit="0" vertical="bottom" wrapText="1"/>
    </xf>
    <xf borderId="1" fillId="0" fontId="18" numFmtId="0" xfId="0" applyAlignment="1" applyBorder="1" applyFont="1">
      <alignment vertical="bottom"/>
    </xf>
    <xf quotePrefix="1" borderId="1" fillId="0" fontId="4" numFmtId="0" xfId="0" applyAlignment="1" applyBorder="1" applyFont="1">
      <alignment shrinkToFit="0" vertical="bottom" wrapText="1"/>
    </xf>
    <xf borderId="0" fillId="4" fontId="5" numFmtId="1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1" fillId="0" fontId="4" numFmtId="0" xfId="0" applyAlignment="1" applyBorder="1" applyFont="1">
      <alignment shrinkToFit="0" vertical="bottom" wrapText="1"/>
    </xf>
    <xf borderId="0" fillId="4" fontId="13" numFmtId="1" xfId="0" applyAlignment="1" applyFont="1" applyNumberFormat="1">
      <alignment readingOrder="0"/>
    </xf>
    <xf borderId="0" fillId="4" fontId="12" numFmtId="0" xfId="0" applyAlignment="1" applyFont="1">
      <alignment readingOrder="0"/>
    </xf>
    <xf borderId="0" fillId="5" fontId="6" numFmtId="49" xfId="0" applyAlignment="1" applyFont="1" applyNumberFormat="1">
      <alignment horizontal="left" readingOrder="0"/>
    </xf>
    <xf borderId="0" fillId="4" fontId="6" numFmtId="0" xfId="0" applyAlignment="1" applyFont="1">
      <alignment horizontal="left" readingOrder="0"/>
    </xf>
    <xf borderId="1" fillId="0" fontId="4" numFmtId="0" xfId="0" applyAlignment="1" applyBorder="1" applyFont="1">
      <alignment vertical="bottom"/>
    </xf>
    <xf borderId="0" fillId="0" fontId="5" numFmtId="49" xfId="0" applyAlignment="1" applyFont="1" applyNumberFormat="1">
      <alignment readingOrder="0" vertical="center"/>
    </xf>
    <xf borderId="0" fillId="9" fontId="5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horizontal="right" vertical="center"/>
    </xf>
    <xf borderId="0" fillId="0" fontId="4" numFmtId="49" xfId="0" applyAlignment="1" applyFont="1" applyNumberFormat="1">
      <alignment readingOrder="0" vertical="bottom"/>
    </xf>
    <xf borderId="0" fillId="5" fontId="19" numFmtId="0" xfId="0" applyAlignment="1" applyFont="1">
      <alignment horizontal="right" vertical="bottom"/>
    </xf>
    <xf borderId="0" fillId="6" fontId="4" numFmtId="0" xfId="0" applyAlignment="1" applyFont="1">
      <alignment vertical="bottom"/>
    </xf>
    <xf borderId="0" fillId="6" fontId="4" numFmtId="3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0" fontId="5" numFmtId="167" xfId="0" applyAlignment="1" applyFont="1" applyNumberFormat="1">
      <alignment readingOrder="0"/>
    </xf>
    <xf borderId="0" fillId="0" fontId="21" numFmtId="49" xfId="0" applyAlignment="1" applyFont="1" applyNumberFormat="1">
      <alignment readingOrder="0" vertical="bottom"/>
    </xf>
    <xf borderId="0" fillId="0" fontId="5" numFmtId="2" xfId="0" applyAlignment="1" applyFont="1" applyNumberFormat="1">
      <alignment readingOrder="0" vertical="center"/>
    </xf>
    <xf borderId="0" fillId="6" fontId="5" numFmtId="167" xfId="0" applyAlignment="1" applyFont="1" applyNumberFormat="1">
      <alignment readingOrder="0"/>
    </xf>
    <xf borderId="0" fillId="0" fontId="5" numFmtId="3" xfId="0" applyFont="1" applyNumberFormat="1"/>
    <xf borderId="0" fillId="0" fontId="5" numFmtId="49" xfId="0" applyFont="1" applyNumberFormat="1"/>
    <xf borderId="0" fillId="0" fontId="5" numFmtId="165" xfId="0" applyFont="1" applyNumberFormat="1"/>
    <xf borderId="0" fillId="0" fontId="22" numFmtId="0" xfId="0" applyAlignment="1" applyFont="1">
      <alignment readingOrder="0" shrinkToFit="0" vertical="center" wrapText="1"/>
    </xf>
    <xf borderId="0" fillId="10" fontId="3" numFmtId="0" xfId="0" applyAlignment="1" applyFill="1" applyFont="1">
      <alignment readingOrder="0"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10" fontId="23" numFmtId="0" xfId="0" applyAlignment="1" applyFont="1">
      <alignment readingOrder="0" shrinkToFit="0" vertical="center" wrapText="1"/>
    </xf>
    <xf borderId="0" fillId="3" fontId="23" numFmtId="0" xfId="0" applyAlignment="1" applyFont="1">
      <alignment readingOrder="0" shrinkToFit="0" vertical="center" wrapText="1"/>
    </xf>
    <xf borderId="0" fillId="11" fontId="3" numFmtId="0" xfId="0" applyAlignment="1" applyFill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2" fontId="3" numFmtId="49" xfId="0" applyAlignment="1" applyFont="1" applyNumberForma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0" fontId="3" numFmtId="1" xfId="0" applyAlignment="1" applyFont="1" applyNumberForma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vertical="bottom"/>
    </xf>
    <xf borderId="0" fillId="10" fontId="4" numFmtId="0" xfId="0" applyAlignment="1" applyFont="1">
      <alignment readingOrder="0" vertical="bottom"/>
    </xf>
    <xf borderId="0" fillId="10" fontId="6" numFmtId="0" xfId="0" applyAlignment="1" applyFont="1">
      <alignment readingOrder="0" vertical="bottom"/>
    </xf>
    <xf borderId="0" fillId="12" fontId="24" numFmtId="0" xfId="0" applyAlignment="1" applyFill="1" applyFont="1">
      <alignment readingOrder="0" vertical="bottom"/>
    </xf>
    <xf borderId="0" fillId="12" fontId="24" numFmtId="165" xfId="0" applyAlignment="1" applyFont="1" applyNumberFormat="1">
      <alignment horizontal="right" vertical="bottom"/>
    </xf>
    <xf borderId="0" fillId="3" fontId="6" numFmtId="0" xfId="0" applyAlignment="1" applyFont="1">
      <alignment horizontal="right" readingOrder="0" vertical="bottom"/>
    </xf>
    <xf borderId="0" fillId="12" fontId="24" numFmtId="164" xfId="0" applyAlignment="1" applyFont="1" applyNumberFormat="1">
      <alignment horizontal="right" readingOrder="0" vertical="bottom"/>
    </xf>
    <xf borderId="0" fillId="11" fontId="4" numFmtId="164" xfId="0" applyAlignment="1" applyFont="1" applyNumberFormat="1">
      <alignment vertical="bottom"/>
    </xf>
    <xf borderId="0" fillId="3" fontId="4" numFmtId="3" xfId="0" applyAlignment="1" applyFont="1" applyNumberFormat="1">
      <alignment vertical="bottom"/>
    </xf>
    <xf borderId="0" fillId="12" fontId="24" numFmtId="49" xfId="0" applyAlignment="1" applyFont="1" applyNumberFormat="1">
      <alignment readingOrder="0" vertical="bottom"/>
    </xf>
    <xf borderId="0" fillId="12" fontId="25" numFmtId="0" xfId="0" applyAlignment="1" applyFont="1">
      <alignment horizontal="right" readingOrder="0" vertical="bottom"/>
    </xf>
    <xf borderId="0" fillId="13" fontId="26" numFmtId="1" xfId="0" applyAlignment="1" applyFill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12" fontId="24" numFmtId="165" xfId="0" applyAlignment="1" applyFont="1" applyNumberFormat="1">
      <alignment horizontal="right" readingOrder="0" vertical="bottom"/>
    </xf>
    <xf borderId="0" fillId="10" fontId="4" numFmtId="3" xfId="0" applyAlignment="1" applyFont="1" applyNumberFormat="1">
      <alignment vertical="bottom"/>
    </xf>
    <xf borderId="0" fillId="2" fontId="27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11" fontId="4" numFmtId="164" xfId="0" applyAlignment="1" applyFont="1" applyNumberFormat="1">
      <alignment horizontal="right" readingOrder="0" vertical="bottom"/>
    </xf>
    <xf borderId="0" fillId="0" fontId="24" numFmtId="0" xfId="0" applyAlignment="1" applyFont="1">
      <alignment horizontal="center" readingOrder="0" vertical="bottom"/>
    </xf>
    <xf borderId="0" fillId="0" fontId="24" numFmtId="0" xfId="0" applyAlignment="1" applyFont="1">
      <alignment readingOrder="0" vertical="bottom"/>
    </xf>
    <xf borderId="0" fillId="12" fontId="24" numFmtId="165" xfId="0" applyAlignment="1" applyFont="1" applyNumberFormat="1">
      <alignment horizontal="right" vertical="bottom"/>
    </xf>
    <xf borderId="0" fillId="12" fontId="26" numFmtId="1" xfId="0" applyAlignment="1" applyFont="1" applyNumberFormat="1">
      <alignment horizontal="right" readingOrder="0" vertical="bottom"/>
    </xf>
    <xf borderId="0" fillId="14" fontId="4" numFmtId="165" xfId="0" applyAlignment="1" applyFill="1" applyFont="1" applyNumberFormat="1">
      <alignment horizontal="right" vertical="bottom"/>
    </xf>
    <xf borderId="0" fillId="15" fontId="4" numFmtId="165" xfId="0" applyAlignment="1" applyFill="1" applyFont="1" applyNumberFormat="1">
      <alignment horizontal="right" readingOrder="0" vertical="bottom"/>
    </xf>
    <xf borderId="0" fillId="10" fontId="4" numFmtId="0" xfId="0" applyAlignment="1" applyFont="1">
      <alignment readingOrder="0" vertical="bottom"/>
    </xf>
    <xf borderId="0" fillId="0" fontId="4" numFmtId="165" xfId="0" applyAlignment="1" applyFont="1" applyNumberFormat="1">
      <alignment horizontal="right" vertical="bottom"/>
    </xf>
    <xf borderId="0" fillId="14" fontId="4" numFmtId="165" xfId="0" applyAlignment="1" applyFont="1" applyNumberFormat="1">
      <alignment horizontal="right" vertical="bottom"/>
    </xf>
    <xf borderId="0" fillId="12" fontId="24" numFmtId="165" xfId="0" applyAlignment="1" applyFont="1" applyNumberFormat="1">
      <alignment horizontal="right" vertical="bottom"/>
    </xf>
    <xf borderId="0" fillId="10" fontId="4" numFmtId="0" xfId="0" applyAlignment="1" applyFont="1">
      <alignment vertical="bottom"/>
    </xf>
    <xf borderId="0" fillId="0" fontId="4" numFmtId="49" xfId="0" applyAlignment="1" applyFont="1" applyNumberFormat="1">
      <alignment readingOrder="0" vertical="bottom"/>
    </xf>
    <xf borderId="0" fillId="0" fontId="6" numFmtId="49" xfId="0" applyAlignment="1" applyFont="1" applyNumberFormat="1">
      <alignment readingOrder="0" vertical="bottom"/>
    </xf>
    <xf borderId="0" fillId="11" fontId="4" numFmtId="164" xfId="0" applyAlignment="1" applyFont="1" applyNumberForma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4" numFmtId="165" xfId="0" applyAlignment="1" applyFont="1" applyNumberFormat="1">
      <alignment horizontal="right" vertical="bottom"/>
    </xf>
    <xf borderId="0" fillId="12" fontId="24" numFmtId="165" xfId="0" applyAlignment="1" applyFont="1" applyNumberFormat="1">
      <alignment horizontal="right" vertical="bottom"/>
    </xf>
    <xf borderId="0" fillId="12" fontId="4" numFmtId="165" xfId="0" applyAlignment="1" applyFont="1" applyNumberFormat="1">
      <alignment vertical="bottom"/>
    </xf>
    <xf borderId="0" fillId="12" fontId="4" numFmtId="165" xfId="0" applyAlignment="1" applyFont="1" applyNumberFormat="1">
      <alignment vertical="bottom"/>
    </xf>
    <xf borderId="0" fillId="12" fontId="4" numFmtId="0" xfId="0" applyAlignment="1" applyFont="1">
      <alignment vertical="bottom"/>
    </xf>
    <xf borderId="0" fillId="0" fontId="4" numFmtId="165" xfId="0" applyAlignment="1" applyFont="1" applyNumberFormat="1">
      <alignment readingOrder="0" vertical="bottom"/>
    </xf>
    <xf borderId="0" fillId="12" fontId="24" numFmtId="0" xfId="0" applyAlignment="1" applyFont="1">
      <alignment readingOrder="0" vertical="bottom"/>
    </xf>
    <xf borderId="0" fillId="12" fontId="24" numFmtId="165" xfId="0" applyAlignment="1" applyFont="1" applyNumberFormat="1">
      <alignment horizontal="right" vertical="bottom"/>
    </xf>
    <xf borderId="0" fillId="12" fontId="2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4" numFmtId="168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6" numFmtId="49" xfId="0" applyAlignment="1" applyFont="1" applyNumberFormat="1">
      <alignment readingOrder="0" vertical="bottom"/>
    </xf>
    <xf borderId="0" fillId="2" fontId="27" numFmtId="0" xfId="0" applyAlignment="1" applyFont="1">
      <alignment horizontal="right" readingOrder="0" vertical="bottom"/>
    </xf>
    <xf borderId="0" fillId="5" fontId="28" numFmtId="0" xfId="0" applyAlignment="1" applyFont="1">
      <alignment horizontal="center" readingOrder="0" vertical="bottom"/>
    </xf>
    <xf borderId="0" fillId="16" fontId="6" numFmtId="0" xfId="0" applyAlignment="1" applyFill="1" applyFont="1">
      <alignment readingOrder="0" vertical="bottom"/>
    </xf>
    <xf borderId="0" fillId="0" fontId="4" numFmtId="168" xfId="0" applyAlignment="1" applyFont="1" applyNumberFormat="1">
      <alignment horizontal="right" readingOrder="0" vertical="bottom"/>
    </xf>
    <xf borderId="0" fillId="0" fontId="4" numFmtId="168" xfId="0" applyAlignment="1" applyFont="1" applyNumberFormat="1">
      <alignment vertical="bottom"/>
    </xf>
    <xf borderId="0" fillId="2" fontId="29" numFmtId="0" xfId="0" applyAlignment="1" applyFont="1">
      <alignment horizontal="right" readingOrder="0" vertical="bottom"/>
    </xf>
    <xf borderId="0" fillId="0" fontId="4" numFmtId="167" xfId="0" applyAlignment="1" applyFont="1" applyNumberFormat="1">
      <alignment horizontal="right" vertical="bottom"/>
    </xf>
    <xf borderId="0" fillId="12" fontId="24" numFmtId="166" xfId="0" applyAlignment="1" applyFont="1" applyNumberFormat="1">
      <alignment horizontal="right" vertical="bottom"/>
    </xf>
    <xf borderId="0" fillId="0" fontId="4" numFmtId="168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166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readingOrder="0" vertical="bottom"/>
    </xf>
    <xf borderId="0" fillId="17" fontId="28" numFmtId="0" xfId="0" applyAlignment="1" applyFill="1" applyFont="1">
      <alignment horizontal="center" readingOrder="0" vertical="bottom"/>
    </xf>
    <xf borderId="2" fillId="0" fontId="4" numFmtId="168" xfId="0" applyAlignment="1" applyBorder="1" applyFont="1" applyNumberFormat="1">
      <alignment horizontal="right" readingOrder="0" vertical="bottom"/>
    </xf>
    <xf borderId="0" fillId="9" fontId="4" numFmtId="165" xfId="0" applyAlignment="1" applyFont="1" applyNumberFormat="1">
      <alignment horizontal="right" vertical="bottom"/>
    </xf>
    <xf borderId="0" fillId="12" fontId="24" numFmtId="166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0" fillId="5" fontId="4" numFmtId="165" xfId="0" applyAlignment="1" applyFont="1" applyNumberFormat="1">
      <alignment horizontal="right" readingOrder="0" vertical="bottom"/>
    </xf>
    <xf borderId="0" fillId="12" fontId="24" numFmtId="165" xfId="0" applyAlignment="1" applyFont="1" applyNumberFormat="1">
      <alignment horizontal="right" readingOrder="0" vertical="bottom"/>
    </xf>
    <xf borderId="0" fillId="0" fontId="4" numFmtId="166" xfId="0" applyAlignment="1" applyFont="1" applyNumberFormat="1">
      <alignment horizontal="right" vertical="bottom"/>
    </xf>
    <xf borderId="0" fillId="15" fontId="4" numFmtId="165" xfId="0" applyAlignment="1" applyFont="1" applyNumberFormat="1">
      <alignment horizontal="right" vertical="bottom"/>
    </xf>
    <xf borderId="0" fillId="14" fontId="4" numFmtId="165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readingOrder="0" vertical="bottom"/>
    </xf>
    <xf borderId="0" fillId="12" fontId="24" numFmtId="165" xfId="0" applyAlignment="1" applyFont="1" applyNumberFormat="1">
      <alignment horizontal="right" readingOrder="0" vertical="bottom"/>
    </xf>
    <xf borderId="0" fillId="10" fontId="4" numFmtId="168" xfId="0" applyAlignment="1" applyFont="1" applyNumberFormat="1">
      <alignment readingOrder="0" vertical="bottom"/>
    </xf>
    <xf borderId="0" fillId="10" fontId="4" numFmtId="0" xfId="0" applyAlignment="1" applyFont="1">
      <alignment readingOrder="0" vertical="bottom"/>
    </xf>
    <xf borderId="0" fillId="0" fontId="4" numFmtId="165" xfId="0" applyAlignment="1" applyFont="1" applyNumberFormat="1">
      <alignment readingOrder="0" vertical="bottom"/>
    </xf>
    <xf borderId="0" fillId="5" fontId="4" numFmtId="165" xfId="0" applyAlignment="1" applyFont="1" applyNumberFormat="1">
      <alignment readingOrder="0" vertical="bottom"/>
    </xf>
    <xf borderId="0" fillId="11" fontId="4" numFmtId="3" xfId="0" applyAlignment="1" applyFont="1" applyNumberFormat="1">
      <alignment readingOrder="0" vertical="bottom"/>
    </xf>
    <xf borderId="0" fillId="11" fontId="4" numFmtId="3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13" fontId="4" numFmtId="1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5" fontId="4" numFmtId="165" xfId="0" applyAlignment="1" applyFont="1" applyNumberFormat="1">
      <alignment vertical="bottom"/>
    </xf>
    <xf borderId="0" fillId="2" fontId="4" numFmtId="0" xfId="0" applyAlignment="1" applyFont="1">
      <alignment readingOrder="0" vertical="bottom"/>
    </xf>
    <xf borderId="0" fillId="13" fontId="4" numFmtId="1" xfId="0" applyAlignment="1" applyFont="1" applyNumberFormat="1">
      <alignment readingOrder="0" vertical="bottom"/>
    </xf>
    <xf borderId="1" fillId="0" fontId="6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10" fontId="4" numFmtId="0" xfId="0" applyAlignment="1" applyFont="1">
      <alignment vertical="bottom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6" numFmtId="0" xfId="0" applyAlignment="1" applyBorder="1" applyFont="1">
      <alignment vertical="bottom"/>
    </xf>
    <xf borderId="1" fillId="10" fontId="22" numFmtId="0" xfId="0" applyAlignment="1" applyBorder="1" applyFont="1">
      <alignment readingOrder="0" shrinkToFit="0" vertical="bottom" wrapText="1"/>
    </xf>
    <xf borderId="1" fillId="10" fontId="3" numFmtId="0" xfId="0" applyAlignment="1" applyBorder="1" applyFont="1">
      <alignment readingOrder="0" shrinkToFit="0" vertical="bottom" wrapText="1"/>
    </xf>
    <xf borderId="1" fillId="10" fontId="3" numFmtId="49" xfId="0" applyAlignment="1" applyBorder="1" applyFont="1" applyNumberFormat="1">
      <alignment readingOrder="0" shrinkToFit="0" vertical="bottom" wrapText="1"/>
    </xf>
    <xf borderId="1" fillId="10" fontId="23" numFmtId="49" xfId="0" applyAlignment="1" applyBorder="1" applyFont="1" applyNumberFormat="1">
      <alignment readingOrder="0" shrinkToFit="0" vertical="bottom" wrapText="1"/>
    </xf>
    <xf borderId="1" fillId="10" fontId="3" numFmtId="0" xfId="0" applyAlignment="1" applyBorder="1" applyFont="1">
      <alignment readingOrder="0" shrinkToFit="0" vertical="bottom" wrapText="1"/>
    </xf>
    <xf borderId="0" fillId="10" fontId="3" numFmtId="0" xfId="0" applyAlignment="1" applyFont="1">
      <alignment readingOrder="0" shrinkToFit="0" vertical="bottom" wrapText="1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vertical="bottom"/>
    </xf>
    <xf borderId="1" fillId="1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10" fontId="4" numFmtId="0" xfId="0" applyAlignment="1" applyBorder="1" applyFont="1">
      <alignment vertical="bottom"/>
    </xf>
    <xf borderId="0" fillId="10" fontId="4" numFmtId="0" xfId="0" applyAlignment="1" applyFont="1">
      <alignment vertical="bottom"/>
    </xf>
    <xf borderId="1" fillId="0" fontId="6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vertical="bottom"/>
    </xf>
    <xf borderId="1" fillId="10" fontId="4" numFmtId="0" xfId="0" applyAlignment="1" applyBorder="1" applyFont="1">
      <alignment vertical="bottom"/>
    </xf>
    <xf borderId="0" fillId="10" fontId="4" numFmtId="0" xfId="0" applyAlignment="1" applyFont="1">
      <alignment vertical="bottom"/>
    </xf>
    <xf borderId="1" fillId="0" fontId="6" numFmtId="49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vertical="bottom"/>
    </xf>
    <xf borderId="1" fillId="10" fontId="4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5" numFmtId="49" xfId="0" applyAlignment="1" applyBorder="1" applyFont="1" applyNumberFormat="1">
      <alignment readingOrder="0"/>
    </xf>
    <xf borderId="1" fillId="0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6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readingOrder="0" vertical="bottom"/>
    </xf>
    <xf quotePrefix="1"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5" numFmtId="49" xfId="0" applyBorder="1" applyFont="1" applyNumberFormat="1"/>
    <xf borderId="1" fillId="0" fontId="4" numFmtId="49" xfId="0" applyAlignment="1" applyBorder="1" applyFont="1" applyNumberFormat="1">
      <alignment horizontal="left" readingOrder="0" vertical="bottom"/>
    </xf>
    <xf borderId="1" fillId="0" fontId="6" numFmtId="0" xfId="0" applyAlignment="1" applyBorder="1" applyFont="1">
      <alignment readingOrder="0" vertical="center"/>
    </xf>
    <xf borderId="1" fillId="0" fontId="4" numFmtId="49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readingOrder="0" vertical="center"/>
    </xf>
    <xf borderId="1" fillId="10" fontId="4" numFmtId="0" xfId="0" applyAlignment="1" applyBorder="1" applyFont="1">
      <alignment readingOrder="0" vertical="center"/>
    </xf>
    <xf borderId="1" fillId="10" fontId="4" numFmtId="0" xfId="0" applyAlignment="1" applyBorder="1" applyFont="1">
      <alignment vertical="center"/>
    </xf>
    <xf borderId="0" fillId="10" fontId="4" numFmtId="0" xfId="0" applyAlignment="1" applyFont="1">
      <alignment vertical="center"/>
    </xf>
    <xf borderId="1" fillId="1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readingOrder="0" vertical="bottom"/>
    </xf>
    <xf borderId="1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0" fillId="0" fontId="4" numFmtId="49" xfId="0" applyAlignment="1" applyFont="1" applyNumberFormat="1">
      <alignment vertical="bottom"/>
    </xf>
    <xf borderId="1" fillId="3" fontId="4" numFmtId="0" xfId="0" applyAlignment="1" applyBorder="1" applyFont="1">
      <alignment readingOrder="0" vertical="bottom"/>
    </xf>
    <xf borderId="0" fillId="3" fontId="4" numFmtId="0" xfId="0" applyAlignment="1" applyFont="1">
      <alignment readingOrder="0" vertical="bottom"/>
    </xf>
    <xf borderId="1" fillId="1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18" fontId="17" numFmtId="0" xfId="0" applyAlignment="1" applyFill="1" applyFont="1">
      <alignment readingOrder="0"/>
    </xf>
    <xf borderId="0" fillId="18" fontId="17" numFmtId="0" xfId="0" applyFont="1"/>
    <xf borderId="0" fillId="0" fontId="6" numFmtId="0" xfId="0" applyAlignment="1" applyFont="1">
      <alignment horizontal="left" readingOrder="0"/>
    </xf>
    <xf borderId="0" fillId="0" fontId="5" numFmtId="164" xfId="0" applyFont="1" applyNumberFormat="1"/>
    <xf borderId="0" fillId="0" fontId="5" numFmtId="168" xfId="0" applyFont="1" applyNumberFormat="1"/>
    <xf borderId="0" fillId="19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0" fontId="30" numFmtId="0" xfId="0" applyAlignment="1" applyFont="1">
      <alignment readingOrder="0"/>
    </xf>
    <xf borderId="0" fillId="0" fontId="30" numFmtId="3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  <xf borderId="0" fillId="0" fontId="5" numFmtId="171" xfId="0" applyAlignment="1" applyFont="1" applyNumberFormat="1">
      <alignment readingOrder="0"/>
    </xf>
  </cellXfs>
  <cellStyles count="1">
    <cellStyle xfId="0" name="Normal" builtinId="0"/>
  </cellStyles>
  <dxfs count="16"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color rgb="FFEFEFEF"/>
      </font>
      <fill>
        <patternFill patternType="solid">
          <fgColor rgb="FFD9D9D9"/>
          <bgColor rgb="FFD9D9D9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E69138"/>
          <bgColor rgb="FFE69138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n Chang" id="{3e0da1d6-08b2-407c-85c2-a28e1f3e9e00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" dT="2025-12-01T01:24:21.00" personId="{3e0da1d6-08b2-407c-85c2-a28e1f3e9e00}" id="{7512b642-f6bc-4f8c-8886-80e9bc06561c}" done="0">
    <x18tc:text xml:space="preserve">預設為空。如果這間房（或這層樓）有自己的公區影片（或者整層出租不需要公區影片），就填入該連結。</x18tc:text>
  </x18tc:threadedComment>
  <x18tc:threadedComment ref="A1" dT="2025-12-01T01:24:10.00" personId="{3e0da1d6-08b2-407c-85c2-a28e1f3e9e00}" id="{7e91bcd1-5d05-4da9-b945-4bdf600d8053}" done="0">
    <x18tc:text xml:space="preserve">預設為空。如果是頂加，填入「頂」或「(頂加)」。</x18tc:text>
  </x18tc:threadedComment>
  <x18tc:threadedComment ref="N1" dT="2025-12-01T01:53:13.00" personId="{3e0da1d6-08b2-407c-85c2-a28e1f3e9e00}" id="{1a9736f5-029c-44e0-93d3-6f0e9c37ecfe}" done="0">
    <x18tc:text xml:space="preserve">互斥群組，將頂加產品分成 單個或整層出租時，一旦有出租，則另外一個自動失效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Q1" dT="2025-02-02T12:41:46.00" personId="{3e0da1d6-08b2-407c-85c2-a28e1f3e9e00}" id="{fe3882be-e5aa-4581-8be3-a7cf97c952a2}" done="0">
    <x18tc:text xml:space="preserve">已經完成次年度自動轉帳(最後一次轉帳)</x18tc:text>
  </x18tc:threadedComment>
  <x18tc:threadedComment ref="E1" dT="2025-02-02T12:39:47.00" personId="{3e0da1d6-08b2-407c-85c2-a28e1f3e9e00}" id="{9e53cf84-03ed-4da5-bc83-3b8dcb4fd1d0}" done="0">
    <x18tc:text xml:space="preserve">上系統登記</x18tc:text>
  </x18tc:threadedComment>
  <x18tc:threadedComment ref="AP1" dT="2025-02-02T12:41:37.00" personId="{3e0da1d6-08b2-407c-85c2-a28e1f3e9e00}" id="{0f604de2-3c36-4d1d-b67b-ea40b493261a}" done="0">
    <x18tc:text xml:space="preserve">預計下次付款日</x18tc:text>
  </x18tc:threadedComment>
  <x18tc:threadedComment ref="B1" dT="2025-02-02T12:39:13.00" personId="{3e0da1d6-08b2-407c-85c2-a28e1f3e9e00}" id="{0a99d7dd-3e19-4398-a1d5-3578cbcbb0ce}" done="0">
    <x18tc:text xml:space="preserve">已申請三稅減免</x18tc:text>
  </x18tc:threadedComment>
  <x18tc:threadedComment ref="C1" dT="2025-02-02T12:39:26.00" personId="{3e0da1d6-08b2-407c-85c2-a28e1f3e9e00}" id="{dccd9491-4573-4a35-8c07-cdf06074216d}" done="0">
    <x18tc:text xml:space="preserve">歸檔</x18tc:text>
  </x18tc:threadedComment>
  <x18tc:threadedComment ref="D1" dT="2025-02-02T12:39:41.00" personId="{3e0da1d6-08b2-407c-85c2-a28e1f3e9e00}" id="{d2621000-e3f7-4bd3-94ba-4243652714d6}" done="0">
    <x18tc:text xml:space="preserve">已完成網銀自動轉帳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5-02-02T12:44:38.00" personId="{3e0da1d6-08b2-407c-85c2-a28e1f3e9e00}" id="{529cfbc9-b040-4f02-adc2-a041c608e91a}" done="1">
    <x18tc:text xml:space="preserve">實價登錄</x18tc:text>
  </x18tc:threadedComment>
  <x18tc:threadedComment ref="H1" dT="2025-02-02T12:44:25.00" personId="{3e0da1d6-08b2-407c-85c2-a28e1f3e9e00}" id="{3e55a942-4a4d-4e54-940e-c14cbc705127}" done="1">
    <x18tc:text xml:space="preserve">轉租登記</x18tc:text>
  </x18tc:threadedComment>
  <x18tc:threadedComment ref="I1" dT="2025-02-02T12:44:33.00" personId="{3e0da1d6-08b2-407c-85c2-a28e1f3e9e00}" id="{89175081-f62a-4d97-a7f7-1ef5fc68bfda}" done="1">
    <x18tc:text xml:space="preserve">實價登錄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MY1BoXAwgIE?si=sAfAFWOstlzyzIZD" TargetMode="External"/><Relationship Id="rId42" Type="http://schemas.openxmlformats.org/officeDocument/2006/relationships/hyperlink" Target="https://youtu.be/ZscsdId_Mg8" TargetMode="External"/><Relationship Id="rId41" Type="http://schemas.openxmlformats.org/officeDocument/2006/relationships/hyperlink" Target="https://youtube.com/shorts/sf_ZarNVvz0?si=wwQrCBGg-vk7ERsg" TargetMode="External"/><Relationship Id="rId44" Type="http://schemas.openxmlformats.org/officeDocument/2006/relationships/hyperlink" Target="https://www.youtube.com/shorts/pMkJsIWW1V4" TargetMode="External"/><Relationship Id="rId43" Type="http://schemas.openxmlformats.org/officeDocument/2006/relationships/hyperlink" Target="https://youtu.be/ZscsdId_Mg8" TargetMode="External"/><Relationship Id="rId46" Type="http://schemas.openxmlformats.org/officeDocument/2006/relationships/hyperlink" Target="https://youtu.be/TJK-1_1QY_k?si=VSoka00YRegdQaRX" TargetMode="External"/><Relationship Id="rId45" Type="http://schemas.openxmlformats.org/officeDocument/2006/relationships/hyperlink" Target="https://youtu.be/TJK-1_1QY_k?si=VSoka00YRegdQaRX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youtube.com/shorts/rd6OLksk1pk" TargetMode="External"/><Relationship Id="rId9" Type="http://schemas.openxmlformats.org/officeDocument/2006/relationships/hyperlink" Target="https://youtu.be/_KXCqnnWhgw" TargetMode="External"/><Relationship Id="rId48" Type="http://schemas.openxmlformats.org/officeDocument/2006/relationships/hyperlink" Target="https://youtube.com/shorts/hWPCPa4Klr0?feature=share" TargetMode="External"/><Relationship Id="rId47" Type="http://schemas.openxmlformats.org/officeDocument/2006/relationships/hyperlink" Target="https://youtube.com/shorts/5GJvoXUvbds?feature=share" TargetMode="External"/><Relationship Id="rId49" Type="http://schemas.openxmlformats.org/officeDocument/2006/relationships/hyperlink" Target="https://youtube.com/shorts/LpY6OVSP0IU?feature=share" TargetMode="External"/><Relationship Id="rId5" Type="http://schemas.openxmlformats.org/officeDocument/2006/relationships/hyperlink" Target="https://youtube.com/shorts/f__aKIJfxsI?si=_5d10MINdTP7j2Da" TargetMode="External"/><Relationship Id="rId6" Type="http://schemas.openxmlformats.org/officeDocument/2006/relationships/hyperlink" Target="https://youtube.com/shorts/HCk9m8FNmF0?si=FaWFCcxbs1UKny1L" TargetMode="External"/><Relationship Id="rId7" Type="http://schemas.openxmlformats.org/officeDocument/2006/relationships/hyperlink" Target="https://youtube.com/shorts/kl5RXn92Rrs?feature=share" TargetMode="External"/><Relationship Id="rId8" Type="http://schemas.openxmlformats.org/officeDocument/2006/relationships/hyperlink" Target="https://youtu.be/HKUVG1fCFzg?si=sbMTrUIXQ4L8SwwB" TargetMode="External"/><Relationship Id="rId31" Type="http://schemas.openxmlformats.org/officeDocument/2006/relationships/hyperlink" Target="https://youtu.be/8dskuxjWPGQ" TargetMode="External"/><Relationship Id="rId30" Type="http://schemas.openxmlformats.org/officeDocument/2006/relationships/hyperlink" Target="https://youtu.be/jXlShe5u2WU" TargetMode="External"/><Relationship Id="rId33" Type="http://schemas.openxmlformats.org/officeDocument/2006/relationships/hyperlink" Target="https://youtu.be/aKv8_cRJPqE" TargetMode="External"/><Relationship Id="rId32" Type="http://schemas.openxmlformats.org/officeDocument/2006/relationships/hyperlink" Target="https://youtu.be/2eWqR1-x7ZY" TargetMode="External"/><Relationship Id="rId35" Type="http://schemas.openxmlformats.org/officeDocument/2006/relationships/hyperlink" Target="https://youtu.be/NA8RGArVaj4?si=LBCsYT5aB6UQjPRT" TargetMode="External"/><Relationship Id="rId34" Type="http://schemas.openxmlformats.org/officeDocument/2006/relationships/hyperlink" Target="https://youtu.be/hhOdPDFVPQk?si=9daJZkMcRTyLKjws" TargetMode="External"/><Relationship Id="rId70" Type="http://schemas.openxmlformats.org/officeDocument/2006/relationships/vmlDrawing" Target="../drawings/vmlDrawing1.vml"/><Relationship Id="rId37" Type="http://schemas.openxmlformats.org/officeDocument/2006/relationships/hyperlink" Target="https://youtu.be/tV0Cz-yGN0o?si=iQT9CJYGeFdvXHAd" TargetMode="External"/><Relationship Id="rId36" Type="http://schemas.openxmlformats.org/officeDocument/2006/relationships/hyperlink" Target="https://youtu.be/hcnf0ZuEW7M?si=ZFugzpKZkqz-KvTx" TargetMode="External"/><Relationship Id="rId39" Type="http://schemas.openxmlformats.org/officeDocument/2006/relationships/hyperlink" Target="https://youtube.com/shorts/ukuVqe3alAM?si=0QQNUxEQykpjNbxT" TargetMode="External"/><Relationship Id="rId38" Type="http://schemas.openxmlformats.org/officeDocument/2006/relationships/hyperlink" Target="https://youtu.be/DCogbWAwCkY?si=N4RGD3Aw7LN_1sa3" TargetMode="External"/><Relationship Id="rId62" Type="http://schemas.openxmlformats.org/officeDocument/2006/relationships/hyperlink" Target="https://youtu.be/ZscsdId_Mg8" TargetMode="External"/><Relationship Id="rId61" Type="http://schemas.openxmlformats.org/officeDocument/2006/relationships/hyperlink" Target="https://youtu.be/yGleqHhSkqU" TargetMode="External"/><Relationship Id="rId20" Type="http://schemas.openxmlformats.org/officeDocument/2006/relationships/hyperlink" Target="https://youtube.com/shorts/w4m3C_SQfU0?si=AG4_Bc2RFth2LSdH" TargetMode="External"/><Relationship Id="rId64" Type="http://schemas.openxmlformats.org/officeDocument/2006/relationships/hyperlink" Target="https://youtu.be/vA8Z0Oh0xNE" TargetMode="External"/><Relationship Id="rId63" Type="http://schemas.openxmlformats.org/officeDocument/2006/relationships/hyperlink" Target="https://youtu.be/TJK-1_1QY_k?si=VSoka00YRegdQaRX" TargetMode="External"/><Relationship Id="rId22" Type="http://schemas.openxmlformats.org/officeDocument/2006/relationships/hyperlink" Target="https://youtu.be/a5mQVdGrbrU" TargetMode="External"/><Relationship Id="rId66" Type="http://schemas.openxmlformats.org/officeDocument/2006/relationships/hyperlink" Target="https://youtube.com/shorts/L2QykZ_zdyA" TargetMode="External"/><Relationship Id="rId21" Type="http://schemas.openxmlformats.org/officeDocument/2006/relationships/hyperlink" Target="https://youtube.com/shorts/f59bfvV6lkw?si=X-Lx2UbnA76uz6Ac" TargetMode="External"/><Relationship Id="rId65" Type="http://schemas.openxmlformats.org/officeDocument/2006/relationships/hyperlink" Target="https://youtu.be/vA8Z0Oh0xNE" TargetMode="External"/><Relationship Id="rId24" Type="http://schemas.openxmlformats.org/officeDocument/2006/relationships/hyperlink" Target="https://youtube.com/shorts/1n4Pq5wyeHU?si=lUmenjBixSrfLuTc" TargetMode="External"/><Relationship Id="rId68" Type="http://schemas.openxmlformats.org/officeDocument/2006/relationships/hyperlink" Target="https://youtube.com/shorts/iNf0X3UT8NM" TargetMode="External"/><Relationship Id="rId23" Type="http://schemas.openxmlformats.org/officeDocument/2006/relationships/hyperlink" Target="https://youtu.be/uyYhNAPko2U" TargetMode="External"/><Relationship Id="rId67" Type="http://schemas.openxmlformats.org/officeDocument/2006/relationships/hyperlink" Target="https://youtube.com/shorts/L2QykZ_zdyA" TargetMode="External"/><Relationship Id="rId60" Type="http://schemas.openxmlformats.org/officeDocument/2006/relationships/hyperlink" Target="https://youtu.be/xwtOSmCtkFk" TargetMode="External"/><Relationship Id="rId26" Type="http://schemas.openxmlformats.org/officeDocument/2006/relationships/hyperlink" Target="https://youtu.be/Nhw-XDtzIX0" TargetMode="External"/><Relationship Id="rId25" Type="http://schemas.openxmlformats.org/officeDocument/2006/relationships/hyperlink" Target="https://youtu.be/Ap6HqUFDxZk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youtube.com/shorts/vR6bJZjIVYI" TargetMode="External"/><Relationship Id="rId27" Type="http://schemas.openxmlformats.org/officeDocument/2006/relationships/hyperlink" Target="https://youtu.be/R9pHDkA1O5E" TargetMode="External"/><Relationship Id="rId29" Type="http://schemas.openxmlformats.org/officeDocument/2006/relationships/hyperlink" Target="https://youtu.be/fwAwpXaMEj4" TargetMode="External"/><Relationship Id="rId51" Type="http://schemas.openxmlformats.org/officeDocument/2006/relationships/hyperlink" Target="https://youtu.be/L7UDBD9pXUw" TargetMode="External"/><Relationship Id="rId50" Type="http://schemas.openxmlformats.org/officeDocument/2006/relationships/hyperlink" Target="https://youtu.be/L7UDBD9pXUw" TargetMode="External"/><Relationship Id="rId53" Type="http://schemas.openxmlformats.org/officeDocument/2006/relationships/hyperlink" Target="https://youtube.com/shorts/z4krI2adQhU?feature=share" TargetMode="External"/><Relationship Id="rId52" Type="http://schemas.openxmlformats.org/officeDocument/2006/relationships/hyperlink" Target="https://youtube.com/shorts/CPeNDmdMgvQ?feature=share" TargetMode="External"/><Relationship Id="rId11" Type="http://schemas.openxmlformats.org/officeDocument/2006/relationships/hyperlink" Target="https://youtu.be/sypXJ2lqQ3o" TargetMode="External"/><Relationship Id="rId55" Type="http://schemas.openxmlformats.org/officeDocument/2006/relationships/hyperlink" Target="https://youtu.be/ncfVbrE2o2s" TargetMode="External"/><Relationship Id="rId10" Type="http://schemas.openxmlformats.org/officeDocument/2006/relationships/hyperlink" Target="https://youtu.be/5cuncaRJsgQ" TargetMode="External"/><Relationship Id="rId54" Type="http://schemas.openxmlformats.org/officeDocument/2006/relationships/hyperlink" Target="https://youtu.be/n_TEh6a0Z4Y" TargetMode="External"/><Relationship Id="rId13" Type="http://schemas.openxmlformats.org/officeDocument/2006/relationships/hyperlink" Target="https://youtube.com/shorts/Hc8fDLPxR2s?si=yi_8BaevlJvKThX8" TargetMode="External"/><Relationship Id="rId57" Type="http://schemas.openxmlformats.org/officeDocument/2006/relationships/hyperlink" Target="https://youtube.com/shorts/5HVt4A5vjL8?feature=share" TargetMode="External"/><Relationship Id="rId12" Type="http://schemas.openxmlformats.org/officeDocument/2006/relationships/hyperlink" Target="https://youtube.com/shorts/7DcBnbE-QfQ?si=vKq2e4gpMYhtGy7W" TargetMode="External"/><Relationship Id="rId56" Type="http://schemas.openxmlformats.org/officeDocument/2006/relationships/hyperlink" Target="https://youtu.be/nYCGsW03IBg" TargetMode="External"/><Relationship Id="rId15" Type="http://schemas.openxmlformats.org/officeDocument/2006/relationships/hyperlink" Target="https://youtu.be/0Mv8x7Ghvjs" TargetMode="External"/><Relationship Id="rId59" Type="http://schemas.openxmlformats.org/officeDocument/2006/relationships/hyperlink" Target="https://youtu.be/Y_GV-Qa8PPg" TargetMode="External"/><Relationship Id="rId14" Type="http://schemas.openxmlformats.org/officeDocument/2006/relationships/hyperlink" Target="https://youtu.be/OQCdRPBv1HU" TargetMode="External"/><Relationship Id="rId58" Type="http://schemas.openxmlformats.org/officeDocument/2006/relationships/hyperlink" Target="https://youtu.be/crA7sh3T0rk" TargetMode="External"/><Relationship Id="rId17" Type="http://schemas.openxmlformats.org/officeDocument/2006/relationships/hyperlink" Target="https://youtube.com/shorts/Fvij9jinV0I?si=tbMFzPki-t7Xte74" TargetMode="External"/><Relationship Id="rId16" Type="http://schemas.openxmlformats.org/officeDocument/2006/relationships/hyperlink" Target="https://www.youtube.com/shorts/BVANUELortA" TargetMode="External"/><Relationship Id="rId19" Type="http://schemas.openxmlformats.org/officeDocument/2006/relationships/hyperlink" Target="https://www.youtube.com/shorts/H7Gx0qFtcmI" TargetMode="External"/><Relationship Id="rId18" Type="http://schemas.openxmlformats.org/officeDocument/2006/relationships/hyperlink" Target="https://youtu.be/X1mOO7o74U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youtu.be/o8CQn0wxxQQ" TargetMode="External"/><Relationship Id="rId9" Type="http://schemas.openxmlformats.org/officeDocument/2006/relationships/hyperlink" Target="https://youtube.com/shorts/AWKkpIiUcwE?si=M_-EwlIMUNGptSJz" TargetMode="External"/><Relationship Id="rId5" Type="http://schemas.openxmlformats.org/officeDocument/2006/relationships/hyperlink" Target="https://youtube.com/shorts/p2uw-IupzaE?si=zpNopgBQCQ7OBNQx" TargetMode="External"/><Relationship Id="rId6" Type="http://schemas.openxmlformats.org/officeDocument/2006/relationships/hyperlink" Target="https://youtu.be/UVZ39Ee_XhE" TargetMode="External"/><Relationship Id="rId7" Type="http://schemas.openxmlformats.org/officeDocument/2006/relationships/hyperlink" Target="https://youtube.com/shorts/K2bdVQRikDk?feature=share" TargetMode="External"/><Relationship Id="rId8" Type="http://schemas.openxmlformats.org/officeDocument/2006/relationships/hyperlink" Target="https://youtu.be/Rk2l4DeBJRg" TargetMode="External"/><Relationship Id="rId11" Type="http://schemas.openxmlformats.org/officeDocument/2006/relationships/hyperlink" Target="https://youtu.be/-R69MXHoNkM" TargetMode="External"/><Relationship Id="rId10" Type="http://schemas.openxmlformats.org/officeDocument/2006/relationships/hyperlink" Target="https://youtube.com/shorts/fu3kXrLTZSo?feature=share" TargetMode="External"/><Relationship Id="rId13" Type="http://schemas.openxmlformats.org/officeDocument/2006/relationships/hyperlink" Target="https://youtu.be/NXcYXt3PaZc?si=OyBT6tHSDoGNRXIa" TargetMode="External"/><Relationship Id="rId12" Type="http://schemas.openxmlformats.org/officeDocument/2006/relationships/hyperlink" Target="https://youtu.be/CanmS-4D6Kw?si=xQUmYACid_86F21Z" TargetMode="External"/><Relationship Id="rId15" Type="http://schemas.openxmlformats.org/officeDocument/2006/relationships/hyperlink" Target="https://youtu.be/3132CN9-UOM" TargetMode="External"/><Relationship Id="rId14" Type="http://schemas.openxmlformats.org/officeDocument/2006/relationships/hyperlink" Target="https://youtube.com/shorts/RZ_wXh8ThPE?si=QbuLD6PBOsXTRF_Y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youtube.com/shorts/AZDV_Y6AMvs?feature=share" TargetMode="External"/><Relationship Id="rId1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25"/>
    <col customWidth="1" min="2" max="2" width="8.38"/>
    <col customWidth="1" min="3" max="3" width="16.63"/>
    <col customWidth="1" min="4" max="4" width="11.5"/>
    <col customWidth="1" min="7" max="7" width="11.0"/>
    <col customWidth="1" min="9" max="9" width="12.88"/>
    <col customWidth="1" min="10" max="10" width="22.38"/>
    <col customWidth="1" min="11" max="11" width="16.63"/>
    <col customWidth="1" min="12" max="12" width="3.38"/>
    <col customWidth="1" min="13" max="13" width="17.25"/>
    <col customWidth="1" min="15" max="15" width="1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2" t="str">
        <f t="array" ref="A2">IFERROR(
    INDEX(big_rental_contract!A:A, MATCH(C2, big_rental_contract!F:F, 0)),
    ""
)
</f>
        <v>A0001</v>
      </c>
      <c r="B2" s="13" t="s">
        <v>15</v>
      </c>
      <c r="C2" s="14" t="s">
        <v>16</v>
      </c>
      <c r="D2" s="14" t="s">
        <v>17</v>
      </c>
      <c r="E2" s="14" t="s">
        <v>18</v>
      </c>
      <c r="F2" s="15" t="s">
        <v>19</v>
      </c>
      <c r="G2" s="16">
        <v>9.38</v>
      </c>
      <c r="H2" s="17">
        <v>12900.0</v>
      </c>
      <c r="I2" s="18" t="str">
        <f t="shared" ref="I2:I91" si="1">IF(O2&lt;&gt;"空房招租中", O2, 
  IF(N2="", "空房招租中",
    IF(ISNUMBER(SEARCH("分層", E2)), 
      IF(COUNTIFS(N:N, N2, O:O, "&lt;&gt;空房招租中") &gt; 0, "入住中", "空房招租中"), 
      IF(COUNTIFS(N:N, N2, O:O, "&lt;&gt;空房招租中", E:E, "*分層*") &gt; 0, 
         "入住中", 
         IF(COUNTIFS(N:N, N2, O:O, "空房招租中", E:E, "*分層*") &gt; 0, "分層優先(隱藏)", "空房招租中")
      )
    )
  )
)</f>
        <v>入住中</v>
      </c>
      <c r="J2" s="19"/>
      <c r="K2" s="20"/>
      <c r="L2" s="21" t="str">
        <f t="shared" ref="L2:L1004" si="2">IF(AND(A2="", C2="", D2=""), "Z", "A")</f>
        <v>A</v>
      </c>
      <c r="O2" s="18" t="str">
        <f>IF(AND(C2&lt;&gt;"", D2&lt;&gt;""), IF(COUNTIFS(sublease_contract!$C:$C, C2, sublease_contract!$D:$D, "*" &amp; D2 &amp; "*", sublease_contract!$G:$G, "&lt;&gt;已退租") = 0, "空房招租中", IF(COUNTIFS(sublease_contract!$C:$C, C2, sublease_contract!$D:$D, "*" &amp; D2 &amp; "*", sublease_contract!$G:$G, "&lt;&gt;已退租", sublease_contract!$N:$N, "&gt;" &amp; (TODAY()+20)) &gt; 0, "入住中", IF(COUNTIFS(sublease_contract!$C:$C, C2, sublease_contract!$D:$D, "*" &amp; D2 &amp; "*", sublease_contract!$G:$G, "&lt;&gt;已退租", sublease_contract!$N:$N, "&gt;=" &amp; TODAY(), sublease_contract!$N:$N, "&lt;=" &amp; (TODAY()+20)) &gt; 0, MINIFS(sublease_contract!$N:$N, sublease_contract!$C:$C, C2, sublease_contract!$D:$D, "*" &amp; D2 &amp; "*", sublease_contract!$G:$G, "&lt;&gt;已退租", sublease_contract!$N:$N, "&gt;=" &amp; TODAY(), sublease_contract!$N:$N, "&lt;=" &amp; (TODAY()+20)), "入住中"))), "")</f>
        <v>入住中</v>
      </c>
    </row>
    <row r="3">
      <c r="A3" s="12" t="str">
        <f t="array" ref="A3">IFERROR(
    INDEX(big_rental_contract!A:A, MATCH(C3, big_rental_contract!F:F, 0)),
    ""
)
</f>
        <v>A0001</v>
      </c>
      <c r="B3" s="22" t="s">
        <v>20</v>
      </c>
      <c r="C3" s="14" t="s">
        <v>16</v>
      </c>
      <c r="D3" s="14" t="s">
        <v>21</v>
      </c>
      <c r="E3" s="14" t="s">
        <v>18</v>
      </c>
      <c r="F3" s="15" t="s">
        <v>19</v>
      </c>
      <c r="G3" s="16">
        <v>10.56</v>
      </c>
      <c r="H3" s="17">
        <v>13500.0</v>
      </c>
      <c r="I3" s="18" t="str">
        <f t="shared" si="1"/>
        <v>入住中</v>
      </c>
      <c r="J3" s="19"/>
      <c r="K3" s="20"/>
      <c r="L3" s="21" t="str">
        <f t="shared" si="2"/>
        <v>A</v>
      </c>
      <c r="O3" s="18" t="str">
        <f>IF(AND(C3&lt;&gt;"", D3&lt;&gt;""), IF(COUNTIFS(sublease_contract!$C:$C, C3, sublease_contract!$D:$D, "*" &amp; D3 &amp; "*", sublease_contract!$G:$G, "&lt;&gt;已退租") = 0, "空房招租中", IF(COUNTIFS(sublease_contract!$C:$C, C3, sublease_contract!$D:$D, "*" &amp; D3 &amp; "*", sublease_contract!$G:$G, "&lt;&gt;已退租", sublease_contract!$N:$N, "&gt;" &amp; (TODAY()+20)) &gt; 0, "入住中", IF(COUNTIFS(sublease_contract!$C:$C, C3, sublease_contract!$D:$D, "*" &amp; D3 &amp; "*", sublease_contract!$G:$G, "&lt;&gt;已退租", sublease_contract!$N:$N, "&gt;=" &amp; TODAY(), sublease_contract!$N:$N, "&lt;=" &amp; (TODAY()+20)) &gt; 0, MINIFS(sublease_contract!$N:$N, sublease_contract!$C:$C, C3, sublease_contract!$D:$D, "*" &amp; D3 &amp; "*", sublease_contract!$G:$G, "&lt;&gt;已退租", sublease_contract!$N:$N, "&gt;=" &amp; TODAY(), sublease_contract!$N:$N, "&lt;=" &amp; (TODAY()+20)), "入住中"))), "")</f>
        <v>入住中</v>
      </c>
    </row>
    <row r="4">
      <c r="A4" s="12" t="str">
        <f t="array" ref="A4">IFERROR(
    INDEX(big_rental_contract!A:A, MATCH(C4, big_rental_contract!F:F, 0)),
    ""
)
</f>
        <v>A0001</v>
      </c>
      <c r="B4" s="22" t="s">
        <v>22</v>
      </c>
      <c r="C4" s="14" t="s">
        <v>16</v>
      </c>
      <c r="D4" s="14" t="s">
        <v>23</v>
      </c>
      <c r="E4" s="14" t="s">
        <v>18</v>
      </c>
      <c r="F4" s="15" t="s">
        <v>19</v>
      </c>
      <c r="G4" s="16">
        <v>13.39</v>
      </c>
      <c r="H4" s="17">
        <v>13300.0</v>
      </c>
      <c r="I4" s="18" t="str">
        <f t="shared" si="1"/>
        <v>入住中</v>
      </c>
      <c r="J4" s="23"/>
      <c r="K4" s="23"/>
      <c r="L4" s="21" t="str">
        <f t="shared" si="2"/>
        <v>A</v>
      </c>
      <c r="O4" s="18" t="str">
        <f>IF(AND(C4&lt;&gt;"", D4&lt;&gt;""), IF(COUNTIFS(sublease_contract!$C:$C, C4, sublease_contract!$D:$D, "*" &amp; D4 &amp; "*", sublease_contract!$G:$G, "&lt;&gt;已退租") = 0, "空房招租中", IF(COUNTIFS(sublease_contract!$C:$C, C4, sublease_contract!$D:$D, "*" &amp; D4 &amp; "*", sublease_contract!$G:$G, "&lt;&gt;已退租", sublease_contract!$N:$N, "&gt;" &amp; (TODAY()+20)) &gt; 0, "入住中", IF(COUNTIFS(sublease_contract!$C:$C, C4, sublease_contract!$D:$D, "*" &amp; D4 &amp; "*", sublease_contract!$G:$G, "&lt;&gt;已退租", sublease_contract!$N:$N, "&gt;=" &amp; TODAY(), sublease_contract!$N:$N, "&lt;=" &amp; (TODAY()+20)) &gt; 0, MINIFS(sublease_contract!$N:$N, sublease_contract!$C:$C, C4, sublease_contract!$D:$D, "*" &amp; D4 &amp; "*", sublease_contract!$G:$G, "&lt;&gt;已退租", sublease_contract!$N:$N, "&gt;=" &amp; TODAY(), sublease_contract!$N:$N, "&lt;=" &amp; (TODAY()+20)), "入住中"))), "")</f>
        <v>入住中</v>
      </c>
    </row>
    <row r="5">
      <c r="A5" s="12" t="str">
        <f t="array" ref="A5">IFERROR(
    INDEX(big_rental_contract!A:A, MATCH(C5, big_rental_contract!F:F, 0)),
    ""
)
</f>
        <v>A0001</v>
      </c>
      <c r="B5" s="22" t="s">
        <v>24</v>
      </c>
      <c r="C5" s="14" t="s">
        <v>16</v>
      </c>
      <c r="D5" s="24" t="s">
        <v>25</v>
      </c>
      <c r="E5" s="14" t="s">
        <v>18</v>
      </c>
      <c r="F5" s="24" t="s">
        <v>19</v>
      </c>
      <c r="G5" s="25">
        <v>11.47</v>
      </c>
      <c r="H5" s="26">
        <v>14300.0</v>
      </c>
      <c r="I5" s="18" t="str">
        <f t="shared" si="1"/>
        <v>入住中</v>
      </c>
      <c r="J5" s="23"/>
      <c r="K5" s="23"/>
      <c r="L5" s="21" t="str">
        <f t="shared" si="2"/>
        <v>A</v>
      </c>
      <c r="O5" s="18" t="str">
        <f>IF(AND(C5&lt;&gt;"", D5&lt;&gt;""), IF(COUNTIFS(sublease_contract!$C:$C, C5, sublease_contract!$D:$D, "*" &amp; D5 &amp; "*", sublease_contract!$G:$G, "&lt;&gt;已退租") = 0, "空房招租中", IF(COUNTIFS(sublease_contract!$C:$C, C5, sublease_contract!$D:$D, "*" &amp; D5 &amp; "*", sublease_contract!$G:$G, "&lt;&gt;已退租", sublease_contract!$N:$N, "&gt;" &amp; (TODAY()+20)) &gt; 0, "入住中", IF(COUNTIFS(sublease_contract!$C:$C, C5, sublease_contract!$D:$D, "*" &amp; D5 &amp; "*", sublease_contract!$G:$G, "&lt;&gt;已退租", sublease_contract!$N:$N, "&gt;=" &amp; TODAY(), sublease_contract!$N:$N, "&lt;=" &amp; (TODAY()+20)) &gt; 0, MINIFS(sublease_contract!$N:$N, sublease_contract!$C:$C, C5, sublease_contract!$D:$D, "*" &amp; D5 &amp; "*", sublease_contract!$G:$G, "&lt;&gt;已退租", sublease_contract!$N:$N, "&gt;=" &amp; TODAY(), sublease_contract!$N:$N, "&lt;=" &amp; (TODAY()+20)), "入住中"))), "")</f>
        <v>入住中</v>
      </c>
    </row>
    <row r="6">
      <c r="A6" s="12" t="str">
        <f t="array" ref="A6">IFERROR(
    INDEX(big_rental_contract!A:A, MATCH(C6, big_rental_contract!F:F, 0)),
    ""
)
</f>
        <v>A0002</v>
      </c>
      <c r="B6" s="22" t="s">
        <v>26</v>
      </c>
      <c r="C6" s="14" t="s">
        <v>27</v>
      </c>
      <c r="D6" s="14" t="s">
        <v>17</v>
      </c>
      <c r="E6" s="14" t="s">
        <v>18</v>
      </c>
      <c r="F6" s="15" t="s">
        <v>19</v>
      </c>
      <c r="G6" s="16">
        <v>11.38</v>
      </c>
      <c r="H6" s="27">
        <v>12300.0</v>
      </c>
      <c r="I6" s="18" t="str">
        <f t="shared" si="1"/>
        <v>入住中</v>
      </c>
      <c r="J6" s="19" t="s">
        <v>28</v>
      </c>
      <c r="K6" s="23"/>
      <c r="L6" s="21" t="str">
        <f t="shared" si="2"/>
        <v>A</v>
      </c>
      <c r="O6" s="18" t="str">
        <f>IF(AND(C6&lt;&gt;"", D6&lt;&gt;""), IF(COUNTIFS(sublease_contract!$C:$C, C6, sublease_contract!$D:$D, "*" &amp; D6 &amp; "*", sublease_contract!$G:$G, "&lt;&gt;已退租") = 0, "空房招租中", IF(COUNTIFS(sublease_contract!$C:$C, C6, sublease_contract!$D:$D, "*" &amp; D6 &amp; "*", sublease_contract!$G:$G, "&lt;&gt;已退租", sublease_contract!$N:$N, "&gt;" &amp; (TODAY()+20)) &gt; 0, "入住中", IF(COUNTIFS(sublease_contract!$C:$C, C6, sublease_contract!$D:$D, "*" &amp; D6 &amp; "*", sublease_contract!$G:$G, "&lt;&gt;已退租", sublease_contract!$N:$N, "&gt;=" &amp; TODAY(), sublease_contract!$N:$N, "&lt;=" &amp; (TODAY()+20)) &gt; 0, MINIFS(sublease_contract!$N:$N, sublease_contract!$C:$C, C6, sublease_contract!$D:$D, "*" &amp; D6 &amp; "*", sublease_contract!$G:$G, "&lt;&gt;已退租", sublease_contract!$N:$N, "&gt;=" &amp; TODAY(), sublease_contract!$N:$N, "&lt;=" &amp; (TODAY()+20)), "入住中"))), "")</f>
        <v>入住中</v>
      </c>
    </row>
    <row r="7">
      <c r="A7" s="12" t="str">
        <f t="array" ref="A7">IFERROR(
    INDEX(big_rental_contract!A:A, MATCH(C7, big_rental_contract!F:F, 0)),
    ""
)
</f>
        <v>A0002</v>
      </c>
      <c r="B7" s="22" t="s">
        <v>29</v>
      </c>
      <c r="C7" s="15" t="s">
        <v>27</v>
      </c>
      <c r="D7" s="15" t="s">
        <v>21</v>
      </c>
      <c r="E7" s="15" t="s">
        <v>18</v>
      </c>
      <c r="F7" s="15" t="s">
        <v>19</v>
      </c>
      <c r="G7" s="28">
        <v>9.21</v>
      </c>
      <c r="H7" s="29">
        <v>12300.0</v>
      </c>
      <c r="I7" s="18" t="str">
        <f t="shared" si="1"/>
        <v>入住中</v>
      </c>
      <c r="J7" s="19" t="s">
        <v>28</v>
      </c>
      <c r="K7" s="30" t="s">
        <v>30</v>
      </c>
      <c r="L7" s="21" t="str">
        <f t="shared" si="2"/>
        <v>A</v>
      </c>
      <c r="O7" s="18" t="str">
        <f>IF(AND(C7&lt;&gt;"", D7&lt;&gt;""), IF(COUNTIFS(sublease_contract!$C:$C, C7, sublease_contract!$D:$D, "*" &amp; D7 &amp; "*", sublease_contract!$G:$G, "&lt;&gt;已退租") = 0, "空房招租中", IF(COUNTIFS(sublease_contract!$C:$C, C7, sublease_contract!$D:$D, "*" &amp; D7 &amp; "*", sublease_contract!$G:$G, "&lt;&gt;已退租", sublease_contract!$N:$N, "&gt;" &amp; (TODAY()+20)) &gt; 0, "入住中", IF(COUNTIFS(sublease_contract!$C:$C, C7, sublease_contract!$D:$D, "*" &amp; D7 &amp; "*", sublease_contract!$G:$G, "&lt;&gt;已退租", sublease_contract!$N:$N, "&gt;=" &amp; TODAY(), sublease_contract!$N:$N, "&lt;=" &amp; (TODAY()+20)) &gt; 0, MINIFS(sublease_contract!$N:$N, sublease_contract!$C:$C, C7, sublease_contract!$D:$D, "*" &amp; D7 &amp; "*", sublease_contract!$G:$G, "&lt;&gt;已退租", sublease_contract!$N:$N, "&gt;=" &amp; TODAY(), sublease_contract!$N:$N, "&lt;=" &amp; (TODAY()+20)), "入住中"))), "")</f>
        <v>入住中</v>
      </c>
    </row>
    <row r="8">
      <c r="A8" s="12" t="str">
        <f t="array" ref="A8">IFERROR(
    INDEX(big_rental_contract!A:A, MATCH(C8, big_rental_contract!F:F, 0)),
    ""
)
</f>
        <v>A0002</v>
      </c>
      <c r="B8" s="22" t="s">
        <v>31</v>
      </c>
      <c r="C8" s="14" t="s">
        <v>27</v>
      </c>
      <c r="D8" s="14" t="s">
        <v>23</v>
      </c>
      <c r="E8" s="14" t="s">
        <v>18</v>
      </c>
      <c r="F8" s="15" t="s">
        <v>19</v>
      </c>
      <c r="G8" s="16">
        <v>17.59</v>
      </c>
      <c r="H8" s="17">
        <v>14800.0</v>
      </c>
      <c r="I8" s="18" t="str">
        <f t="shared" si="1"/>
        <v>入住中</v>
      </c>
      <c r="J8" s="23"/>
      <c r="K8" s="23"/>
      <c r="L8" s="21" t="str">
        <f t="shared" si="2"/>
        <v>A</v>
      </c>
      <c r="O8" s="18" t="str">
        <f>IF(AND(C8&lt;&gt;"", D8&lt;&gt;""), IF(COUNTIFS(sublease_contract!$C:$C, C8, sublease_contract!$D:$D, "*" &amp; D8 &amp; "*", sublease_contract!$G:$G, "&lt;&gt;已退租") = 0, "空房招租中", IF(COUNTIFS(sublease_contract!$C:$C, C8, sublease_contract!$D:$D, "*" &amp; D8 &amp; "*", sublease_contract!$G:$G, "&lt;&gt;已退租", sublease_contract!$N:$N, "&gt;" &amp; (TODAY()+20)) &gt; 0, "入住中", IF(COUNTIFS(sublease_contract!$C:$C, C8, sublease_contract!$D:$D, "*" &amp; D8 &amp; "*", sublease_contract!$G:$G, "&lt;&gt;已退租", sublease_contract!$N:$N, "&gt;=" &amp; TODAY(), sublease_contract!$N:$N, "&lt;=" &amp; (TODAY()+20)) &gt; 0, MINIFS(sublease_contract!$N:$N, sublease_contract!$C:$C, C8, sublease_contract!$D:$D, "*" &amp; D8 &amp; "*", sublease_contract!$G:$G, "&lt;&gt;已退租", sublease_contract!$N:$N, "&gt;=" &amp; TODAY(), sublease_contract!$N:$N, "&lt;=" &amp; (TODAY()+20)), "入住中"))), "")</f>
        <v>入住中</v>
      </c>
    </row>
    <row r="9">
      <c r="A9" s="12" t="str">
        <f t="array" ref="A9">IFERROR(
    INDEX(big_rental_contract!A:A, MATCH(C9, big_rental_contract!F:F, 0)),
    ""
)
</f>
        <v>A0002</v>
      </c>
      <c r="B9" s="22" t="s">
        <v>32</v>
      </c>
      <c r="C9" s="14" t="s">
        <v>27</v>
      </c>
      <c r="D9" s="14" t="s">
        <v>25</v>
      </c>
      <c r="E9" s="14" t="s">
        <v>18</v>
      </c>
      <c r="F9" s="15" t="s">
        <v>19</v>
      </c>
      <c r="G9" s="16">
        <v>13.44</v>
      </c>
      <c r="H9" s="17">
        <v>13200.0</v>
      </c>
      <c r="I9" s="18" t="str">
        <f t="shared" si="1"/>
        <v>入住中</v>
      </c>
      <c r="J9" s="23"/>
      <c r="K9" s="23"/>
      <c r="L9" s="21" t="str">
        <f t="shared" si="2"/>
        <v>A</v>
      </c>
      <c r="O9" s="18" t="str">
        <f>IF(AND(C9&lt;&gt;"", D9&lt;&gt;""), IF(COUNTIFS(sublease_contract!$C:$C, C9, sublease_contract!$D:$D, "*" &amp; D9 &amp; "*", sublease_contract!$G:$G, "&lt;&gt;已退租") = 0, "空房招租中", IF(COUNTIFS(sublease_contract!$C:$C, C9, sublease_contract!$D:$D, "*" &amp; D9 &amp; "*", sublease_contract!$G:$G, "&lt;&gt;已退租", sublease_contract!$N:$N, "&gt;" &amp; (TODAY()+20)) &gt; 0, "入住中", IF(COUNTIFS(sublease_contract!$C:$C, C9, sublease_contract!$D:$D, "*" &amp; D9 &amp; "*", sublease_contract!$G:$G, "&lt;&gt;已退租", sublease_contract!$N:$N, "&gt;=" &amp; TODAY(), sublease_contract!$N:$N, "&lt;=" &amp; (TODAY()+20)) &gt; 0, MINIFS(sublease_contract!$N:$N, sublease_contract!$C:$C, C9, sublease_contract!$D:$D, "*" &amp; D9 &amp; "*", sublease_contract!$G:$G, "&lt;&gt;已退租", sublease_contract!$N:$N, "&gt;=" &amp; TODAY(), sublease_contract!$N:$N, "&lt;=" &amp; (TODAY()+20)), "入住中"))), "")</f>
        <v>入住中</v>
      </c>
    </row>
    <row r="10">
      <c r="A10" s="12" t="str">
        <f t="array" ref="A10">IFERROR(
    INDEX(big_rental_contract!A:A, MATCH(C10, big_rental_contract!F:F, 0)),
    ""
)
</f>
        <v>A0002</v>
      </c>
      <c r="B10" s="22" t="s">
        <v>33</v>
      </c>
      <c r="C10" s="14" t="s">
        <v>27</v>
      </c>
      <c r="D10" s="14" t="s">
        <v>34</v>
      </c>
      <c r="E10" s="15" t="s">
        <v>18</v>
      </c>
      <c r="F10" s="15" t="s">
        <v>19</v>
      </c>
      <c r="G10" s="28">
        <v>14.84</v>
      </c>
      <c r="H10" s="29">
        <v>13600.0</v>
      </c>
      <c r="I10" s="18" t="str">
        <f t="shared" si="1"/>
        <v>入住中</v>
      </c>
      <c r="J10" s="23"/>
      <c r="K10" s="23"/>
      <c r="L10" s="21" t="str">
        <f t="shared" si="2"/>
        <v>A</v>
      </c>
      <c r="O10" s="18" t="str">
        <f>IF(AND(C10&lt;&gt;"", D10&lt;&gt;""), IF(COUNTIFS(sublease_contract!$C:$C, C10, sublease_contract!$D:$D, "*" &amp; D10 &amp; "*", sublease_contract!$G:$G, "&lt;&gt;已退租") = 0, "空房招租中", IF(COUNTIFS(sublease_contract!$C:$C, C10, sublease_contract!$D:$D, "*" &amp; D10 &amp; "*", sublease_contract!$G:$G, "&lt;&gt;已退租", sublease_contract!$N:$N, "&gt;" &amp; (TODAY()+20)) &gt; 0, "入住中", IF(COUNTIFS(sublease_contract!$C:$C, C10, sublease_contract!$D:$D, "*" &amp; D10 &amp; "*", sublease_contract!$G:$G, "&lt;&gt;已退租", sublease_contract!$N:$N, "&gt;=" &amp; TODAY(), sublease_contract!$N:$N, "&lt;=" &amp; (TODAY()+20)) &gt; 0, MINIFS(sublease_contract!$N:$N, sublease_contract!$C:$C, C10, sublease_contract!$D:$D, "*" &amp; D10 &amp; "*", sublease_contract!$G:$G, "&lt;&gt;已退租", sublease_contract!$N:$N, "&gt;=" &amp; TODAY(), sublease_contract!$N:$N, "&lt;=" &amp; (TODAY()+20)), "入住中"))), "")</f>
        <v>入住中</v>
      </c>
    </row>
    <row r="11">
      <c r="A11" s="12" t="str">
        <f t="array" ref="A11">IFERROR(
    INDEX(big_rental_contract!A:A, MATCH(C11, big_rental_contract!F:F, 0)),
    ""
)
</f>
        <v>A0002</v>
      </c>
      <c r="B11" s="22" t="s">
        <v>35</v>
      </c>
      <c r="C11" s="14" t="s">
        <v>27</v>
      </c>
      <c r="D11" s="14" t="s">
        <v>36</v>
      </c>
      <c r="E11" s="14" t="s">
        <v>18</v>
      </c>
      <c r="F11" s="31" t="s">
        <v>37</v>
      </c>
      <c r="G11" s="32">
        <v>11.8</v>
      </c>
      <c r="H11" s="17">
        <v>13500.0</v>
      </c>
      <c r="I11" s="18" t="str">
        <f t="shared" si="1"/>
        <v>入住中</v>
      </c>
      <c r="J11" s="23"/>
      <c r="K11" s="23"/>
      <c r="L11" s="21" t="str">
        <f t="shared" si="2"/>
        <v>A</v>
      </c>
      <c r="O11" s="18" t="str">
        <f>IF(AND(C11&lt;&gt;"", D11&lt;&gt;""), IF(COUNTIFS(sublease_contract!$C:$C, C11, sublease_contract!$D:$D, "*" &amp; D11 &amp; "*", sublease_contract!$G:$G, "&lt;&gt;已退租") = 0, "空房招租中", IF(COUNTIFS(sublease_contract!$C:$C, C11, sublease_contract!$D:$D, "*" &amp; D11 &amp; "*", sublease_contract!$G:$G, "&lt;&gt;已退租", sublease_contract!$N:$N, "&gt;" &amp; (TODAY()+20)) &gt; 0, "入住中", IF(COUNTIFS(sublease_contract!$C:$C, C11, sublease_contract!$D:$D, "*" &amp; D11 &amp; "*", sublease_contract!$G:$G, "&lt;&gt;已退租", sublease_contract!$N:$N, "&gt;=" &amp; TODAY(), sublease_contract!$N:$N, "&lt;=" &amp; (TODAY()+20)) &gt; 0, MINIFS(sublease_contract!$N:$N, sublease_contract!$C:$C, C11, sublease_contract!$D:$D, "*" &amp; D11 &amp; "*", sublease_contract!$G:$G, "&lt;&gt;已退租", sublease_contract!$N:$N, "&gt;=" &amp; TODAY(), sublease_contract!$N:$N, "&lt;=" &amp; (TODAY()+20)), "入住中"))), "")</f>
        <v>入住中</v>
      </c>
    </row>
    <row r="12">
      <c r="A12" s="12" t="str">
        <f t="array" ref="A12">IFERROR(
    INDEX(big_rental_contract!A:A, MATCH(C12, big_rental_contract!F:F, 0)),
    ""
)
</f>
        <v>A0002</v>
      </c>
      <c r="B12" s="22" t="s">
        <v>38</v>
      </c>
      <c r="C12" s="14" t="s">
        <v>27</v>
      </c>
      <c r="D12" s="14" t="s">
        <v>39</v>
      </c>
      <c r="E12" s="14" t="s">
        <v>18</v>
      </c>
      <c r="F12" s="31" t="s">
        <v>37</v>
      </c>
      <c r="G12" s="32">
        <v>11.26</v>
      </c>
      <c r="H12" s="17">
        <v>12600.0</v>
      </c>
      <c r="I12" s="18" t="str">
        <f t="shared" si="1"/>
        <v>入住中</v>
      </c>
      <c r="J12" s="23"/>
      <c r="K12" s="23"/>
      <c r="L12" s="21" t="str">
        <f t="shared" si="2"/>
        <v>A</v>
      </c>
      <c r="O12" s="18" t="str">
        <f>IF(AND(C12&lt;&gt;"", D12&lt;&gt;""), IF(COUNTIFS(sublease_contract!$C:$C, C12, sublease_contract!$D:$D, "*" &amp; D12 &amp; "*", sublease_contract!$G:$G, "&lt;&gt;已退租") = 0, "空房招租中", IF(COUNTIFS(sublease_contract!$C:$C, C12, sublease_contract!$D:$D, "*" &amp; D12 &amp; "*", sublease_contract!$G:$G, "&lt;&gt;已退租", sublease_contract!$N:$N, "&gt;" &amp; (TODAY()+20)) &gt; 0, "入住中", IF(COUNTIFS(sublease_contract!$C:$C, C12, sublease_contract!$D:$D, "*" &amp; D12 &amp; "*", sublease_contract!$G:$G, "&lt;&gt;已退租", sublease_contract!$N:$N, "&gt;=" &amp; TODAY(), sublease_contract!$N:$N, "&lt;=" &amp; (TODAY()+20)) &gt; 0, MINIFS(sublease_contract!$N:$N, sublease_contract!$C:$C, C12, sublease_contract!$D:$D, "*" &amp; D12 &amp; "*", sublease_contract!$G:$G, "&lt;&gt;已退租", sublease_contract!$N:$N, "&gt;=" &amp; TODAY(), sublease_contract!$N:$N, "&lt;=" &amp; (TODAY()+20)), "入住中"))), "")</f>
        <v>入住中</v>
      </c>
    </row>
    <row r="13">
      <c r="A13" s="12" t="str">
        <f t="array" ref="A13">IFERROR(
    INDEX(big_rental_contract!A:A, MATCH(C13, big_rental_contract!F:F, 0)),
    ""
)
</f>
        <v>A0003</v>
      </c>
      <c r="B13" s="22" t="s">
        <v>40</v>
      </c>
      <c r="C13" s="14" t="s">
        <v>41</v>
      </c>
      <c r="D13" s="14" t="s">
        <v>17</v>
      </c>
      <c r="E13" s="14" t="s">
        <v>18</v>
      </c>
      <c r="F13" s="15" t="s">
        <v>19</v>
      </c>
      <c r="G13" s="32">
        <v>8.58</v>
      </c>
      <c r="H13" s="27">
        <v>13800.0</v>
      </c>
      <c r="I13" s="18" t="str">
        <f t="shared" si="1"/>
        <v>入住中</v>
      </c>
      <c r="J13" s="23" t="s">
        <v>42</v>
      </c>
      <c r="K13" s="33" t="s">
        <v>43</v>
      </c>
      <c r="L13" s="21" t="str">
        <f t="shared" si="2"/>
        <v>A</v>
      </c>
      <c r="O13" s="18" t="str">
        <f>IF(AND(C13&lt;&gt;"", D13&lt;&gt;""), IF(COUNTIFS(sublease_contract!$C:$C, C13, sublease_contract!$D:$D, "*" &amp; D13 &amp; "*", sublease_contract!$G:$G, "&lt;&gt;已退租") = 0, "空房招租中", IF(COUNTIFS(sublease_contract!$C:$C, C13, sublease_contract!$D:$D, "*" &amp; D13 &amp; "*", sublease_contract!$G:$G, "&lt;&gt;已退租", sublease_contract!$N:$N, "&gt;" &amp; (TODAY()+20)) &gt; 0, "入住中", IF(COUNTIFS(sublease_contract!$C:$C, C13, sublease_contract!$D:$D, "*" &amp; D13 &amp; "*", sublease_contract!$G:$G, "&lt;&gt;已退租", sublease_contract!$N:$N, "&gt;=" &amp; TODAY(), sublease_contract!$N:$N, "&lt;=" &amp; (TODAY()+20)) &gt; 0, MINIFS(sublease_contract!$N:$N, sublease_contract!$C:$C, C13, sublease_contract!$D:$D, "*" &amp; D13 &amp; "*", sublease_contract!$G:$G, "&lt;&gt;已退租", sublease_contract!$N:$N, "&gt;=" &amp; TODAY(), sublease_contract!$N:$N, "&lt;=" &amp; (TODAY()+20)), "入住中"))), "")</f>
        <v>入住中</v>
      </c>
    </row>
    <row r="14">
      <c r="A14" s="12" t="str">
        <f t="array" ref="A14">IFERROR(
    INDEX(big_rental_contract!A:A, MATCH(C14, big_rental_contract!F:F, 0)),
    ""
)
</f>
        <v>A0003</v>
      </c>
      <c r="B14" s="22" t="s">
        <v>44</v>
      </c>
      <c r="C14" s="14" t="s">
        <v>41</v>
      </c>
      <c r="D14" s="14" t="s">
        <v>21</v>
      </c>
      <c r="E14" s="14" t="s">
        <v>18</v>
      </c>
      <c r="F14" s="15" t="s">
        <v>19</v>
      </c>
      <c r="G14" s="32">
        <v>8.86</v>
      </c>
      <c r="H14" s="27">
        <v>13500.0</v>
      </c>
      <c r="I14" s="18" t="str">
        <f t="shared" si="1"/>
        <v>入住中</v>
      </c>
      <c r="J14" s="23" t="s">
        <v>42</v>
      </c>
      <c r="K14" s="30" t="s">
        <v>45</v>
      </c>
      <c r="L14" s="21" t="str">
        <f t="shared" si="2"/>
        <v>A</v>
      </c>
      <c r="O14" s="18" t="str">
        <f>IF(AND(C14&lt;&gt;"", D14&lt;&gt;""), IF(COUNTIFS(sublease_contract!$C:$C, C14, sublease_contract!$D:$D, "*" &amp; D14 &amp; "*", sublease_contract!$G:$G, "&lt;&gt;已退租") = 0, "空房招租中", IF(COUNTIFS(sublease_contract!$C:$C, C14, sublease_contract!$D:$D, "*" &amp; D14 &amp; "*", sublease_contract!$G:$G, "&lt;&gt;已退租", sublease_contract!$N:$N, "&gt;" &amp; (TODAY()+20)) &gt; 0, "入住中", IF(COUNTIFS(sublease_contract!$C:$C, C14, sublease_contract!$D:$D, "*" &amp; D14 &amp; "*", sublease_contract!$G:$G, "&lt;&gt;已退租", sublease_contract!$N:$N, "&gt;=" &amp; TODAY(), sublease_contract!$N:$N, "&lt;=" &amp; (TODAY()+20)) &gt; 0, MINIFS(sublease_contract!$N:$N, sublease_contract!$C:$C, C14, sublease_contract!$D:$D, "*" &amp; D14 &amp; "*", sublease_contract!$G:$G, "&lt;&gt;已退租", sublease_contract!$N:$N, "&gt;=" &amp; TODAY(), sublease_contract!$N:$N, "&lt;=" &amp; (TODAY()+20)), "入住中"))), "")</f>
        <v>入住中</v>
      </c>
    </row>
    <row r="15">
      <c r="A15" s="12" t="str">
        <f t="array" ref="A15">IFERROR(
    INDEX(big_rental_contract!A:A, MATCH(C15, big_rental_contract!F:F, 0)),
    ""
)
</f>
        <v>A0003</v>
      </c>
      <c r="B15" s="22" t="s">
        <v>46</v>
      </c>
      <c r="C15" s="14" t="s">
        <v>41</v>
      </c>
      <c r="D15" s="14" t="s">
        <v>23</v>
      </c>
      <c r="E15" s="14" t="s">
        <v>47</v>
      </c>
      <c r="F15" s="15" t="s">
        <v>19</v>
      </c>
      <c r="G15" s="32">
        <v>14.58</v>
      </c>
      <c r="H15" s="27">
        <v>18800.0</v>
      </c>
      <c r="I15" s="18" t="str">
        <f t="shared" si="1"/>
        <v>入住中</v>
      </c>
      <c r="J15" s="19" t="s">
        <v>48</v>
      </c>
      <c r="K15" s="34" t="s">
        <v>49</v>
      </c>
      <c r="L15" s="21" t="str">
        <f t="shared" si="2"/>
        <v>A</v>
      </c>
      <c r="O15" s="18" t="str">
        <f>IF(AND(C15&lt;&gt;"", D15&lt;&gt;""), IF(COUNTIFS(sublease_contract!$C:$C, C15, sublease_contract!$D:$D, "*" &amp; D15 &amp; "*", sublease_contract!$G:$G, "&lt;&gt;已退租") = 0, "空房招租中", IF(COUNTIFS(sublease_contract!$C:$C, C15, sublease_contract!$D:$D, "*" &amp; D15 &amp; "*", sublease_contract!$G:$G, "&lt;&gt;已退租", sublease_contract!$N:$N, "&gt;" &amp; (TODAY()+20)) &gt; 0, "入住中", IF(COUNTIFS(sublease_contract!$C:$C, C15, sublease_contract!$D:$D, "*" &amp; D15 &amp; "*", sublease_contract!$G:$G, "&lt;&gt;已退租", sublease_contract!$N:$N, "&gt;=" &amp; TODAY(), sublease_contract!$N:$N, "&lt;=" &amp; (TODAY()+20)) &gt; 0, MINIFS(sublease_contract!$N:$N, sublease_contract!$C:$C, C15, sublease_contract!$D:$D, "*" &amp; D15 &amp; "*", sublease_contract!$G:$G, "&lt;&gt;已退租", sublease_contract!$N:$N, "&gt;=" &amp; TODAY(), sublease_contract!$N:$N, "&lt;=" &amp; (TODAY()+20)), "入住中"))), "")</f>
        <v>入住中</v>
      </c>
    </row>
    <row r="16">
      <c r="A16" s="12" t="str">
        <f t="array" ref="A16">IFERROR(
    INDEX(big_rental_contract!A:A, MATCH(C16, big_rental_contract!F:F, 0)),
    ""
)
</f>
        <v>A0003</v>
      </c>
      <c r="B16" s="22" t="s">
        <v>50</v>
      </c>
      <c r="C16" s="14" t="s">
        <v>41</v>
      </c>
      <c r="D16" s="14" t="s">
        <v>25</v>
      </c>
      <c r="E16" s="14" t="s">
        <v>18</v>
      </c>
      <c r="F16" s="15" t="s">
        <v>19</v>
      </c>
      <c r="G16" s="16">
        <v>8.85</v>
      </c>
      <c r="H16" s="17">
        <v>13300.0</v>
      </c>
      <c r="I16" s="18" t="str">
        <f t="shared" si="1"/>
        <v>入住中</v>
      </c>
      <c r="J16" s="23" t="s">
        <v>51</v>
      </c>
      <c r="K16" s="23"/>
      <c r="L16" s="21" t="str">
        <f t="shared" si="2"/>
        <v>A</v>
      </c>
      <c r="O16" s="18" t="str">
        <f>IF(AND(C16&lt;&gt;"", D16&lt;&gt;""), IF(COUNTIFS(sublease_contract!$C:$C, C16, sublease_contract!$D:$D, "*" &amp; D16 &amp; "*", sublease_contract!$G:$G, "&lt;&gt;已退租") = 0, "空房招租中", IF(COUNTIFS(sublease_contract!$C:$C, C16, sublease_contract!$D:$D, "*" &amp; D16 &amp; "*", sublease_contract!$G:$G, "&lt;&gt;已退租", sublease_contract!$N:$N, "&gt;" &amp; (TODAY()+20)) &gt; 0, "入住中", IF(COUNTIFS(sublease_contract!$C:$C, C16, sublease_contract!$D:$D, "*" &amp; D16 &amp; "*", sublease_contract!$G:$G, "&lt;&gt;已退租", sublease_contract!$N:$N, "&gt;=" &amp; TODAY(), sublease_contract!$N:$N, "&lt;=" &amp; (TODAY()+20)) &gt; 0, MINIFS(sublease_contract!$N:$N, sublease_contract!$C:$C, C16, sublease_contract!$D:$D, "*" &amp; D16 &amp; "*", sublease_contract!$G:$G, "&lt;&gt;已退租", sublease_contract!$N:$N, "&gt;=" &amp; TODAY(), sublease_contract!$N:$N, "&lt;=" &amp; (TODAY()+20)), "入住中"))), "")</f>
        <v>入住中</v>
      </c>
    </row>
    <row r="17">
      <c r="A17" s="12" t="str">
        <f t="array" ref="A17">IFERROR(
    INDEX(big_rental_contract!A:A, MATCH(C17, big_rental_contract!F:F, 0)),
    ""
)
</f>
        <v>A0003</v>
      </c>
      <c r="B17" s="22" t="s">
        <v>52</v>
      </c>
      <c r="C17" s="14" t="s">
        <v>41</v>
      </c>
      <c r="D17" s="14" t="s">
        <v>34</v>
      </c>
      <c r="E17" s="14" t="s">
        <v>18</v>
      </c>
      <c r="F17" s="15" t="s">
        <v>19</v>
      </c>
      <c r="G17" s="16">
        <v>7.69</v>
      </c>
      <c r="H17" s="27">
        <v>11500.0</v>
      </c>
      <c r="I17" s="18" t="str">
        <f t="shared" si="1"/>
        <v>入住中</v>
      </c>
      <c r="J17" s="19" t="s">
        <v>53</v>
      </c>
      <c r="K17" s="30" t="s">
        <v>54</v>
      </c>
      <c r="L17" s="21" t="str">
        <f t="shared" si="2"/>
        <v>A</v>
      </c>
      <c r="O17" s="18" t="str">
        <f>IF(AND(C17&lt;&gt;"", D17&lt;&gt;""), IF(COUNTIFS(sublease_contract!$C:$C, C17, sublease_contract!$D:$D, "*" &amp; D17 &amp; "*", sublease_contract!$G:$G, "&lt;&gt;已退租") = 0, "空房招租中", IF(COUNTIFS(sublease_contract!$C:$C, C17, sublease_contract!$D:$D, "*" &amp; D17 &amp; "*", sublease_contract!$G:$G, "&lt;&gt;已退租", sublease_contract!$N:$N, "&gt;" &amp; (TODAY()+20)) &gt; 0, "入住中", IF(COUNTIFS(sublease_contract!$C:$C, C17, sublease_contract!$D:$D, "*" &amp; D17 &amp; "*", sublease_contract!$G:$G, "&lt;&gt;已退租", sublease_contract!$N:$N, "&gt;=" &amp; TODAY(), sublease_contract!$N:$N, "&lt;=" &amp; (TODAY()+20)) &gt; 0, MINIFS(sublease_contract!$N:$N, sublease_contract!$C:$C, C17, sublease_contract!$D:$D, "*" &amp; D17 &amp; "*", sublease_contract!$G:$G, "&lt;&gt;已退租", sublease_contract!$N:$N, "&gt;=" &amp; TODAY(), sublease_contract!$N:$N, "&lt;=" &amp; (TODAY()+20)), "入住中"))), "")</f>
        <v>入住中</v>
      </c>
    </row>
    <row r="18">
      <c r="A18" s="12" t="str">
        <f t="array" ref="A18">IFERROR(
    INDEX(big_rental_contract!A:A, MATCH(C18, big_rental_contract!F:F, 0)),
    ""
)
</f>
        <v>A0004</v>
      </c>
      <c r="B18" s="22" t="s">
        <v>55</v>
      </c>
      <c r="C18" s="14" t="s">
        <v>56</v>
      </c>
      <c r="D18" s="14" t="s">
        <v>17</v>
      </c>
      <c r="E18" s="14" t="s">
        <v>18</v>
      </c>
      <c r="F18" s="15" t="s">
        <v>19</v>
      </c>
      <c r="G18" s="16">
        <v>7.18</v>
      </c>
      <c r="H18" s="27">
        <v>11000.0</v>
      </c>
      <c r="I18" s="18" t="str">
        <f t="shared" si="1"/>
        <v>入住中</v>
      </c>
      <c r="J18" s="23" t="s">
        <v>57</v>
      </c>
      <c r="K18" s="35" t="s">
        <v>58</v>
      </c>
      <c r="L18" s="21" t="str">
        <f t="shared" si="2"/>
        <v>A</v>
      </c>
      <c r="O18" s="18" t="str">
        <f>IF(AND(C18&lt;&gt;"", D18&lt;&gt;""), IF(COUNTIFS(sublease_contract!$C:$C, C18, sublease_contract!$D:$D, "*" &amp; D18 &amp; "*", sublease_contract!$G:$G, "&lt;&gt;已退租") = 0, "空房招租中", IF(COUNTIFS(sublease_contract!$C:$C, C18, sublease_contract!$D:$D, "*" &amp; D18 &amp; "*", sublease_contract!$G:$G, "&lt;&gt;已退租", sublease_contract!$N:$N, "&gt;" &amp; (TODAY()+20)) &gt; 0, "入住中", IF(COUNTIFS(sublease_contract!$C:$C, C18, sublease_contract!$D:$D, "*" &amp; D18 &amp; "*", sublease_contract!$G:$G, "&lt;&gt;已退租", sublease_contract!$N:$N, "&gt;=" &amp; TODAY(), sublease_contract!$N:$N, "&lt;=" &amp; (TODAY()+20)) &gt; 0, MINIFS(sublease_contract!$N:$N, sublease_contract!$C:$C, C18, sublease_contract!$D:$D, "*" &amp; D18 &amp; "*", sublease_contract!$G:$G, "&lt;&gt;已退租", sublease_contract!$N:$N, "&gt;=" &amp; TODAY(), sublease_contract!$N:$N, "&lt;=" &amp; (TODAY()+20)), "入住中"))), "")</f>
        <v>入住中</v>
      </c>
    </row>
    <row r="19">
      <c r="A19" s="12" t="str">
        <f t="array" ref="A19">IFERROR(
    INDEX(big_rental_contract!A:A, MATCH(C19, big_rental_contract!F:F, 0)),
    ""
)
</f>
        <v>A0004</v>
      </c>
      <c r="B19" s="22" t="s">
        <v>59</v>
      </c>
      <c r="C19" s="14" t="s">
        <v>56</v>
      </c>
      <c r="D19" s="14" t="s">
        <v>21</v>
      </c>
      <c r="E19" s="14" t="s">
        <v>47</v>
      </c>
      <c r="F19" s="15" t="s">
        <v>19</v>
      </c>
      <c r="G19" s="32">
        <v>14.56</v>
      </c>
      <c r="H19" s="17">
        <v>15800.0</v>
      </c>
      <c r="I19" s="18" t="str">
        <f t="shared" si="1"/>
        <v>入住中</v>
      </c>
      <c r="J19" s="23" t="s">
        <v>60</v>
      </c>
      <c r="K19" s="20" t="s">
        <v>61</v>
      </c>
      <c r="L19" s="21" t="str">
        <f t="shared" si="2"/>
        <v>A</v>
      </c>
      <c r="O19" s="18" t="str">
        <f>IF(AND(C19&lt;&gt;"", D19&lt;&gt;""), IF(COUNTIFS(sublease_contract!$C:$C, C19, sublease_contract!$D:$D, "*" &amp; D19 &amp; "*", sublease_contract!$G:$G, "&lt;&gt;已退租") = 0, "空房招租中", IF(COUNTIFS(sublease_contract!$C:$C, C19, sublease_contract!$D:$D, "*" &amp; D19 &amp; "*", sublease_contract!$G:$G, "&lt;&gt;已退租", sublease_contract!$N:$N, "&gt;" &amp; (TODAY()+20)) &gt; 0, "入住中", IF(COUNTIFS(sublease_contract!$C:$C, C19, sublease_contract!$D:$D, "*" &amp; D19 &amp; "*", sublease_contract!$G:$G, "&lt;&gt;已退租", sublease_contract!$N:$N, "&gt;=" &amp; TODAY(), sublease_contract!$N:$N, "&lt;=" &amp; (TODAY()+20)) &gt; 0, MINIFS(sublease_contract!$N:$N, sublease_contract!$C:$C, C19, sublease_contract!$D:$D, "*" &amp; D19 &amp; "*", sublease_contract!$G:$G, "&lt;&gt;已退租", sublease_contract!$N:$N, "&gt;=" &amp; TODAY(), sublease_contract!$N:$N, "&lt;=" &amp; (TODAY()+20)), "入住中"))), "")</f>
        <v>入住中</v>
      </c>
    </row>
    <row r="20">
      <c r="A20" s="12" t="str">
        <f t="array" ref="A20">IFERROR(
    INDEX(big_rental_contract!A:A, MATCH(C20, big_rental_contract!F:F, 0)),
    ""
)
</f>
        <v>A0004</v>
      </c>
      <c r="B20" s="22" t="s">
        <v>62</v>
      </c>
      <c r="C20" s="14" t="s">
        <v>56</v>
      </c>
      <c r="D20" s="14" t="s">
        <v>23</v>
      </c>
      <c r="E20" s="14" t="s">
        <v>18</v>
      </c>
      <c r="F20" s="15" t="s">
        <v>19</v>
      </c>
      <c r="G20" s="16">
        <v>8.68</v>
      </c>
      <c r="H20" s="17">
        <v>11800.0</v>
      </c>
      <c r="I20" s="18" t="str">
        <f t="shared" si="1"/>
        <v>入住中</v>
      </c>
      <c r="J20" s="23" t="s">
        <v>63</v>
      </c>
      <c r="K20" s="20" t="s">
        <v>64</v>
      </c>
      <c r="L20" s="21" t="str">
        <f t="shared" si="2"/>
        <v>A</v>
      </c>
      <c r="O20" s="18" t="str">
        <f>IF(AND(C20&lt;&gt;"", D20&lt;&gt;""), IF(COUNTIFS(sublease_contract!$C:$C, C20, sublease_contract!$D:$D, "*" &amp; D20 &amp; "*", sublease_contract!$G:$G, "&lt;&gt;已退租") = 0, "空房招租中", IF(COUNTIFS(sublease_contract!$C:$C, C20, sublease_contract!$D:$D, "*" &amp; D20 &amp; "*", sublease_contract!$G:$G, "&lt;&gt;已退租", sublease_contract!$N:$N, "&gt;" &amp; (TODAY()+20)) &gt; 0, "入住中", IF(COUNTIFS(sublease_contract!$C:$C, C20, sublease_contract!$D:$D, "*" &amp; D20 &amp; "*", sublease_contract!$G:$G, "&lt;&gt;已退租", sublease_contract!$N:$N, "&gt;=" &amp; TODAY(), sublease_contract!$N:$N, "&lt;=" &amp; (TODAY()+20)) &gt; 0, MINIFS(sublease_contract!$N:$N, sublease_contract!$C:$C, C20, sublease_contract!$D:$D, "*" &amp; D20 &amp; "*", sublease_contract!$G:$G, "&lt;&gt;已退租", sublease_contract!$N:$N, "&gt;=" &amp; TODAY(), sublease_contract!$N:$N, "&lt;=" &amp; (TODAY()+20)), "入住中"))), "")</f>
        <v>入住中</v>
      </c>
    </row>
    <row r="21">
      <c r="A21" s="12" t="str">
        <f t="array" ref="A21">IFERROR(
    INDEX(big_rental_contract!A:A, MATCH(C21, big_rental_contract!F:F, 0)),
    ""
)
</f>
        <v>A0004</v>
      </c>
      <c r="B21" s="22" t="s">
        <v>65</v>
      </c>
      <c r="C21" s="14" t="s">
        <v>56</v>
      </c>
      <c r="D21" s="14" t="s">
        <v>25</v>
      </c>
      <c r="E21" s="14" t="s">
        <v>18</v>
      </c>
      <c r="F21" s="15" t="s">
        <v>19</v>
      </c>
      <c r="G21" s="16">
        <v>8.13</v>
      </c>
      <c r="H21" s="17">
        <v>12300.0</v>
      </c>
      <c r="I21" s="18" t="str">
        <f t="shared" si="1"/>
        <v>入住中</v>
      </c>
      <c r="J21" s="23" t="s">
        <v>66</v>
      </c>
      <c r="K21" s="20" t="s">
        <v>67</v>
      </c>
      <c r="L21" s="21" t="str">
        <f t="shared" si="2"/>
        <v>A</v>
      </c>
      <c r="O21" s="18" t="str">
        <f>IF(AND(C21&lt;&gt;"", D21&lt;&gt;""), IF(COUNTIFS(sublease_contract!$C:$C, C21, sublease_contract!$D:$D, "*" &amp; D21 &amp; "*", sublease_contract!$G:$G, "&lt;&gt;已退租") = 0, "空房招租中", IF(COUNTIFS(sublease_contract!$C:$C, C21, sublease_contract!$D:$D, "*" &amp; D21 &amp; "*", sublease_contract!$G:$G, "&lt;&gt;已退租", sublease_contract!$N:$N, "&gt;" &amp; (TODAY()+20)) &gt; 0, "入住中", IF(COUNTIFS(sublease_contract!$C:$C, C21, sublease_contract!$D:$D, "*" &amp; D21 &amp; "*", sublease_contract!$G:$G, "&lt;&gt;已退租", sublease_contract!$N:$N, "&gt;=" &amp; TODAY(), sublease_contract!$N:$N, "&lt;=" &amp; (TODAY()+20)) &gt; 0, MINIFS(sublease_contract!$N:$N, sublease_contract!$C:$C, C21, sublease_contract!$D:$D, "*" &amp; D21 &amp; "*", sublease_contract!$G:$G, "&lt;&gt;已退租", sublease_contract!$N:$N, "&gt;=" &amp; TODAY(), sublease_contract!$N:$N, "&lt;=" &amp; (TODAY()+20)), "入住中"))), "")</f>
        <v>入住中</v>
      </c>
    </row>
    <row r="22">
      <c r="A22" s="12" t="str">
        <f t="array" ref="A22">IFERROR(
    INDEX(big_rental_contract!A:A, MATCH(C22, big_rental_contract!F:F, 0)),
    ""
)
</f>
        <v>A0005</v>
      </c>
      <c r="B22" s="22" t="s">
        <v>68</v>
      </c>
      <c r="C22" s="15" t="s">
        <v>69</v>
      </c>
      <c r="D22" s="15" t="s">
        <v>17</v>
      </c>
      <c r="E22" s="31" t="s">
        <v>18</v>
      </c>
      <c r="F22" s="15" t="s">
        <v>19</v>
      </c>
      <c r="G22" s="31">
        <v>8.95</v>
      </c>
      <c r="H22" s="36">
        <v>13000.0</v>
      </c>
      <c r="I22" s="18" t="str">
        <f t="shared" si="1"/>
        <v>入住中</v>
      </c>
      <c r="J22" s="23"/>
      <c r="K22" s="20" t="s">
        <v>70</v>
      </c>
      <c r="L22" s="21" t="str">
        <f t="shared" si="2"/>
        <v>A</v>
      </c>
      <c r="O22" s="18" t="str">
        <f>IF(AND(C22&lt;&gt;"", D22&lt;&gt;""), IF(COUNTIFS(sublease_contract!$C:$C, C22, sublease_contract!$D:$D, "*" &amp; D22 &amp; "*", sublease_contract!$G:$G, "&lt;&gt;已退租") = 0, "空房招租中", IF(COUNTIFS(sublease_contract!$C:$C, C22, sublease_contract!$D:$D, "*" &amp; D22 &amp; "*", sublease_contract!$G:$G, "&lt;&gt;已退租", sublease_contract!$N:$N, "&gt;" &amp; (TODAY()+20)) &gt; 0, "入住中", IF(COUNTIFS(sublease_contract!$C:$C, C22, sublease_contract!$D:$D, "*" &amp; D22 &amp; "*", sublease_contract!$G:$G, "&lt;&gt;已退租", sublease_contract!$N:$N, "&gt;=" &amp; TODAY(), sublease_contract!$N:$N, "&lt;=" &amp; (TODAY()+20)) &gt; 0, MINIFS(sublease_contract!$N:$N, sublease_contract!$C:$C, C22, sublease_contract!$D:$D, "*" &amp; D22 &amp; "*", sublease_contract!$G:$G, "&lt;&gt;已退租", sublease_contract!$N:$N, "&gt;=" &amp; TODAY(), sublease_contract!$N:$N, "&lt;=" &amp; (TODAY()+20)), "入住中"))), "")</f>
        <v>入住中</v>
      </c>
    </row>
    <row r="23">
      <c r="A23" s="12" t="str">
        <f t="array" ref="A23">IFERROR(
    INDEX(big_rental_contract!A:A, MATCH(C23, big_rental_contract!F:F, 0)),
    ""
)
</f>
        <v>A0005</v>
      </c>
      <c r="B23" s="22" t="s">
        <v>71</v>
      </c>
      <c r="C23" s="14" t="s">
        <v>69</v>
      </c>
      <c r="D23" s="14" t="s">
        <v>21</v>
      </c>
      <c r="E23" s="14" t="s">
        <v>47</v>
      </c>
      <c r="F23" s="15" t="s">
        <v>19</v>
      </c>
      <c r="G23" s="32">
        <v>14.27</v>
      </c>
      <c r="H23" s="27">
        <v>17800.0</v>
      </c>
      <c r="I23" s="18" t="str">
        <f t="shared" si="1"/>
        <v>入住中</v>
      </c>
      <c r="J23" s="23"/>
      <c r="K23" s="23"/>
      <c r="L23" s="21" t="str">
        <f t="shared" si="2"/>
        <v>A</v>
      </c>
      <c r="O23" s="18" t="str">
        <f>IF(AND(C23&lt;&gt;"", D23&lt;&gt;""), IF(COUNTIFS(sublease_contract!$C:$C, C23, sublease_contract!$D:$D, "*" &amp; D23 &amp; "*", sublease_contract!$G:$G, "&lt;&gt;已退租") = 0, "空房招租中", IF(COUNTIFS(sublease_contract!$C:$C, C23, sublease_contract!$D:$D, "*" &amp; D23 &amp; "*", sublease_contract!$G:$G, "&lt;&gt;已退租", sublease_contract!$N:$N, "&gt;" &amp; (TODAY()+20)) &gt; 0, "入住中", IF(COUNTIFS(sublease_contract!$C:$C, C23, sublease_contract!$D:$D, "*" &amp; D23 &amp; "*", sublease_contract!$G:$G, "&lt;&gt;已退租", sublease_contract!$N:$N, "&gt;=" &amp; TODAY(), sublease_contract!$N:$N, "&lt;=" &amp; (TODAY()+20)) &gt; 0, MINIFS(sublease_contract!$N:$N, sublease_contract!$C:$C, C23, sublease_contract!$D:$D, "*" &amp; D23 &amp; "*", sublease_contract!$G:$G, "&lt;&gt;已退租", sublease_contract!$N:$N, "&gt;=" &amp; TODAY(), sublease_contract!$N:$N, "&lt;=" &amp; (TODAY()+20)), "入住中"))), "")</f>
        <v>入住中</v>
      </c>
    </row>
    <row r="24">
      <c r="A24" s="12" t="str">
        <f t="array" ref="A24">IFERROR(
    INDEX(big_rental_contract!A:A, MATCH(C24, big_rental_contract!F:F, 0)),
    ""
)
</f>
        <v>A0005</v>
      </c>
      <c r="B24" s="22" t="s">
        <v>72</v>
      </c>
      <c r="C24" s="14" t="s">
        <v>69</v>
      </c>
      <c r="D24" s="14" t="s">
        <v>23</v>
      </c>
      <c r="E24" s="14" t="s">
        <v>18</v>
      </c>
      <c r="F24" s="15" t="s">
        <v>19</v>
      </c>
      <c r="G24" s="16">
        <v>9.12</v>
      </c>
      <c r="H24" s="17">
        <v>13000.0</v>
      </c>
      <c r="I24" s="18" t="str">
        <f t="shared" si="1"/>
        <v>入住中</v>
      </c>
      <c r="J24" s="23"/>
      <c r="K24" s="23"/>
      <c r="L24" s="21" t="str">
        <f t="shared" si="2"/>
        <v>A</v>
      </c>
      <c r="O24" s="18" t="str">
        <f>IF(AND(C24&lt;&gt;"", D24&lt;&gt;""), IF(COUNTIFS(sublease_contract!$C:$C, C24, sublease_contract!$D:$D, "*" &amp; D24 &amp; "*", sublease_contract!$G:$G, "&lt;&gt;已退租") = 0, "空房招租中", IF(COUNTIFS(sublease_contract!$C:$C, C24, sublease_contract!$D:$D, "*" &amp; D24 &amp; "*", sublease_contract!$G:$G, "&lt;&gt;已退租", sublease_contract!$N:$N, "&gt;" &amp; (TODAY()+20)) &gt; 0, "入住中", IF(COUNTIFS(sublease_contract!$C:$C, C24, sublease_contract!$D:$D, "*" &amp; D24 &amp; "*", sublease_contract!$G:$G, "&lt;&gt;已退租", sublease_contract!$N:$N, "&gt;=" &amp; TODAY(), sublease_contract!$N:$N, "&lt;=" &amp; (TODAY()+20)) &gt; 0, MINIFS(sublease_contract!$N:$N, sublease_contract!$C:$C, C24, sublease_contract!$D:$D, "*" &amp; D24 &amp; "*", sublease_contract!$G:$G, "&lt;&gt;已退租", sublease_contract!$N:$N, "&gt;=" &amp; TODAY(), sublease_contract!$N:$N, "&lt;=" &amp; (TODAY()+20)), "入住中"))), "")</f>
        <v>入住中</v>
      </c>
    </row>
    <row r="25">
      <c r="A25" s="12" t="str">
        <f t="array" ref="A25">IFERROR(
    INDEX(big_rental_contract!A:A, MATCH(C25, big_rental_contract!F:F, 0)),
    ""
)
</f>
        <v>A0005</v>
      </c>
      <c r="B25" s="22" t="s">
        <v>73</v>
      </c>
      <c r="C25" s="14" t="s">
        <v>69</v>
      </c>
      <c r="D25" s="14" t="s">
        <v>25</v>
      </c>
      <c r="E25" s="14" t="s">
        <v>18</v>
      </c>
      <c r="F25" s="15" t="s">
        <v>19</v>
      </c>
      <c r="G25" s="16">
        <v>7.75</v>
      </c>
      <c r="H25" s="27">
        <v>12500.0</v>
      </c>
      <c r="I25" s="18" t="str">
        <f t="shared" si="1"/>
        <v>入住中</v>
      </c>
      <c r="J25" s="23"/>
      <c r="K25" s="23"/>
      <c r="L25" s="21" t="str">
        <f t="shared" si="2"/>
        <v>A</v>
      </c>
      <c r="O25" s="18" t="str">
        <f>IF(AND(C25&lt;&gt;"", D25&lt;&gt;""), IF(COUNTIFS(sublease_contract!$C:$C, C25, sublease_contract!$D:$D, "*" &amp; D25 &amp; "*", sublease_contract!$G:$G, "&lt;&gt;已退租") = 0, "空房招租中", IF(COUNTIFS(sublease_contract!$C:$C, C25, sublease_contract!$D:$D, "*" &amp; D25 &amp; "*", sublease_contract!$G:$G, "&lt;&gt;已退租", sublease_contract!$N:$N, "&gt;" &amp; (TODAY()+20)) &gt; 0, "入住中", IF(COUNTIFS(sublease_contract!$C:$C, C25, sublease_contract!$D:$D, "*" &amp; D25 &amp; "*", sublease_contract!$G:$G, "&lt;&gt;已退租", sublease_contract!$N:$N, "&gt;=" &amp; TODAY(), sublease_contract!$N:$N, "&lt;=" &amp; (TODAY()+20)) &gt; 0, MINIFS(sublease_contract!$N:$N, sublease_contract!$C:$C, C25, sublease_contract!$D:$D, "*" &amp; D25 &amp; "*", sublease_contract!$G:$G, "&lt;&gt;已退租", sublease_contract!$N:$N, "&gt;=" &amp; TODAY(), sublease_contract!$N:$N, "&lt;=" &amp; (TODAY()+20)), "入住中"))), "")</f>
        <v>入住中</v>
      </c>
    </row>
    <row r="26">
      <c r="A26" s="12" t="str">
        <f t="array" ref="A26">IFERROR(
    INDEX(big_rental_contract!A:A, MATCH(C26, big_rental_contract!F:F, 0)),
    ""
)
</f>
        <v>A0005</v>
      </c>
      <c r="B26" s="22" t="s">
        <v>74</v>
      </c>
      <c r="C26" s="14" t="s">
        <v>69</v>
      </c>
      <c r="D26" s="14" t="s">
        <v>34</v>
      </c>
      <c r="E26" s="14" t="s">
        <v>18</v>
      </c>
      <c r="F26" s="31" t="s">
        <v>37</v>
      </c>
      <c r="G26" s="32">
        <v>13.35</v>
      </c>
      <c r="H26" s="17">
        <v>14800.0</v>
      </c>
      <c r="I26" s="18" t="str">
        <f t="shared" si="1"/>
        <v>入住中</v>
      </c>
      <c r="J26" s="19" t="s">
        <v>75</v>
      </c>
      <c r="K26" s="35" t="s">
        <v>76</v>
      </c>
      <c r="L26" s="21" t="str">
        <f t="shared" si="2"/>
        <v>A</v>
      </c>
      <c r="M26" s="37" t="s">
        <v>19</v>
      </c>
      <c r="N26" s="37" t="s">
        <v>77</v>
      </c>
      <c r="O26" s="18" t="str">
        <f>IF(AND(C26&lt;&gt;"", D26&lt;&gt;""), IF(COUNTIFS(sublease_contract!$C:$C, C26, sublease_contract!$D:$D, "*" &amp; D26 &amp; "*", sublease_contract!$G:$G, "&lt;&gt;已退租") = 0, "空房招租中", IF(COUNTIFS(sublease_contract!$C:$C, C26, sublease_contract!$D:$D, "*" &amp; D26 &amp; "*", sublease_contract!$G:$G, "&lt;&gt;已退租", sublease_contract!$N:$N, "&gt;" &amp; (TODAY()+20)) &gt; 0, "入住中", IF(COUNTIFS(sublease_contract!$C:$C, C26, sublease_contract!$D:$D, "*" &amp; D26 &amp; "*", sublease_contract!$G:$G, "&lt;&gt;已退租", sublease_contract!$N:$N, "&gt;=" &amp; TODAY(), sublease_contract!$N:$N, "&lt;=" &amp; (TODAY()+20)) &gt; 0, MINIFS(sublease_contract!$N:$N, sublease_contract!$C:$C, C26, sublease_contract!$D:$D, "*" &amp; D26 &amp; "*", sublease_contract!$G:$G, "&lt;&gt;已退租", sublease_contract!$N:$N, "&gt;=" &amp; TODAY(), sublease_contract!$N:$N, "&lt;=" &amp; (TODAY()+20)), "入住中"))), "")</f>
        <v>入住中</v>
      </c>
    </row>
    <row r="27">
      <c r="A27" s="12" t="str">
        <f t="array" ref="A27">IFERROR(
    INDEX(big_rental_contract!A:A, MATCH(C27, big_rental_contract!F:F, 0)),
    ""
)
</f>
        <v>A0005</v>
      </c>
      <c r="B27" s="22" t="s">
        <v>78</v>
      </c>
      <c r="C27" s="14" t="s">
        <v>69</v>
      </c>
      <c r="D27" s="14" t="s">
        <v>36</v>
      </c>
      <c r="E27" s="14" t="s">
        <v>18</v>
      </c>
      <c r="F27" s="31" t="s">
        <v>37</v>
      </c>
      <c r="G27" s="32">
        <v>14.25</v>
      </c>
      <c r="H27" s="17">
        <v>14800.0</v>
      </c>
      <c r="I27" s="18" t="str">
        <f t="shared" si="1"/>
        <v>入住中</v>
      </c>
      <c r="J27" s="19" t="s">
        <v>79</v>
      </c>
      <c r="K27" s="34" t="s">
        <v>80</v>
      </c>
      <c r="L27" s="21" t="str">
        <f t="shared" si="2"/>
        <v>A</v>
      </c>
      <c r="M27" s="37" t="s">
        <v>19</v>
      </c>
      <c r="N27" s="37" t="s">
        <v>77</v>
      </c>
      <c r="O27" s="18" t="str">
        <f>IF(AND(C27&lt;&gt;"", D27&lt;&gt;""), IF(COUNTIFS(sublease_contract!$C:$C, C27, sublease_contract!$D:$D, "*" &amp; D27 &amp; "*", sublease_contract!$G:$G, "&lt;&gt;已退租") = 0, "空房招租中", IF(COUNTIFS(sublease_contract!$C:$C, C27, sublease_contract!$D:$D, "*" &amp; D27 &amp; "*", sublease_contract!$G:$G, "&lt;&gt;已退租", sublease_contract!$N:$N, "&gt;" &amp; (TODAY()+20)) &gt; 0, "入住中", IF(COUNTIFS(sublease_contract!$C:$C, C27, sublease_contract!$D:$D, "*" &amp; D27 &amp; "*", sublease_contract!$G:$G, "&lt;&gt;已退租", sublease_contract!$N:$N, "&gt;=" &amp; TODAY(), sublease_contract!$N:$N, "&lt;=" &amp; (TODAY()+20)) &gt; 0, MINIFS(sublease_contract!$N:$N, sublease_contract!$C:$C, C27, sublease_contract!$D:$D, "*" &amp; D27 &amp; "*", sublease_contract!$G:$G, "&lt;&gt;已退租", sublease_contract!$N:$N, "&gt;=" &amp; TODAY(), sublease_contract!$N:$N, "&lt;=" &amp; (TODAY()+20)), "入住中"))), "")</f>
        <v>入住中</v>
      </c>
    </row>
    <row r="28">
      <c r="A28" s="12" t="str">
        <f t="array" ref="A28">IFERROR(
    INDEX(big_rental_contract!A:A, MATCH(C28, big_rental_contract!F:F, 0)),
    ""
)
</f>
        <v>A0006</v>
      </c>
      <c r="B28" s="22" t="s">
        <v>81</v>
      </c>
      <c r="C28" s="14" t="s">
        <v>82</v>
      </c>
      <c r="D28" s="14" t="s">
        <v>17</v>
      </c>
      <c r="E28" s="14" t="s">
        <v>18</v>
      </c>
      <c r="F28" s="15" t="s">
        <v>19</v>
      </c>
      <c r="G28" s="16">
        <v>10.13</v>
      </c>
      <c r="H28" s="27">
        <v>13000.0</v>
      </c>
      <c r="I28" s="18" t="str">
        <f t="shared" si="1"/>
        <v>入住中</v>
      </c>
      <c r="J28" s="19" t="s">
        <v>83</v>
      </c>
      <c r="K28" s="34" t="s">
        <v>84</v>
      </c>
      <c r="L28" s="21" t="str">
        <f t="shared" si="2"/>
        <v>A</v>
      </c>
      <c r="O28" s="18" t="str">
        <f>IF(AND(C28&lt;&gt;"", D28&lt;&gt;""), IF(COUNTIFS(sublease_contract!$C:$C, C28, sublease_contract!$D:$D, "*" &amp; D28 &amp; "*", sublease_contract!$G:$G, "&lt;&gt;已退租") = 0, "空房招租中", IF(COUNTIFS(sublease_contract!$C:$C, C28, sublease_contract!$D:$D, "*" &amp; D28 &amp; "*", sublease_contract!$G:$G, "&lt;&gt;已退租", sublease_contract!$N:$N, "&gt;" &amp; (TODAY()+20)) &gt; 0, "入住中", IF(COUNTIFS(sublease_contract!$C:$C, C28, sublease_contract!$D:$D, "*" &amp; D28 &amp; "*", sublease_contract!$G:$G, "&lt;&gt;已退租", sublease_contract!$N:$N, "&gt;=" &amp; TODAY(), sublease_contract!$N:$N, "&lt;=" &amp; (TODAY()+20)) &gt; 0, MINIFS(sublease_contract!$N:$N, sublease_contract!$C:$C, C28, sublease_contract!$D:$D, "*" &amp; D28 &amp; "*", sublease_contract!$G:$G, "&lt;&gt;已退租", sublease_contract!$N:$N, "&gt;=" &amp; TODAY(), sublease_contract!$N:$N, "&lt;=" &amp; (TODAY()+20)), "入住中"))), "")</f>
        <v>入住中</v>
      </c>
    </row>
    <row r="29">
      <c r="A29" s="12" t="str">
        <f t="array" ref="A29">IFERROR(
    INDEX(big_rental_contract!A:A, MATCH(C29, big_rental_contract!F:F, 0)),
    ""
)
</f>
        <v>A0006</v>
      </c>
      <c r="B29" s="22" t="s">
        <v>85</v>
      </c>
      <c r="C29" s="14" t="s">
        <v>82</v>
      </c>
      <c r="D29" s="14" t="s">
        <v>21</v>
      </c>
      <c r="E29" s="14" t="s">
        <v>18</v>
      </c>
      <c r="F29" s="15" t="s">
        <v>19</v>
      </c>
      <c r="G29" s="16">
        <v>8.94</v>
      </c>
      <c r="H29" s="27">
        <v>12000.0</v>
      </c>
      <c r="I29" s="18" t="str">
        <f t="shared" si="1"/>
        <v>入住中</v>
      </c>
      <c r="J29" s="19" t="s">
        <v>86</v>
      </c>
      <c r="K29" s="30" t="s">
        <v>87</v>
      </c>
      <c r="L29" s="21" t="str">
        <f t="shared" si="2"/>
        <v>A</v>
      </c>
      <c r="O29" s="18" t="str">
        <f>IF(AND(C29&lt;&gt;"", D29&lt;&gt;""), IF(COUNTIFS(sublease_contract!$C:$C, C29, sublease_contract!$D:$D, "*" &amp; D29 &amp; "*", sublease_contract!$G:$G, "&lt;&gt;已退租") = 0, "空房招租中", IF(COUNTIFS(sublease_contract!$C:$C, C29, sublease_contract!$D:$D, "*" &amp; D29 &amp; "*", sublease_contract!$G:$G, "&lt;&gt;已退租", sublease_contract!$N:$N, "&gt;" &amp; (TODAY()+20)) &gt; 0, "入住中", IF(COUNTIFS(sublease_contract!$C:$C, C29, sublease_contract!$D:$D, "*" &amp; D29 &amp; "*", sublease_contract!$G:$G, "&lt;&gt;已退租", sublease_contract!$N:$N, "&gt;=" &amp; TODAY(), sublease_contract!$N:$N, "&lt;=" &amp; (TODAY()+20)) &gt; 0, MINIFS(sublease_contract!$N:$N, sublease_contract!$C:$C, C29, sublease_contract!$D:$D, "*" &amp; D29 &amp; "*", sublease_contract!$G:$G, "&lt;&gt;已退租", sublease_contract!$N:$N, "&gt;=" &amp; TODAY(), sublease_contract!$N:$N, "&lt;=" &amp; (TODAY()+20)), "入住中"))), "")</f>
        <v>入住中</v>
      </c>
    </row>
    <row r="30">
      <c r="A30" s="12" t="str">
        <f t="array" ref="A30">IFERROR(
    INDEX(big_rental_contract!A:A, MATCH(C30, big_rental_contract!F:F, 0)),
    ""
)
</f>
        <v>A0006</v>
      </c>
      <c r="B30" s="22" t="s">
        <v>88</v>
      </c>
      <c r="C30" s="14" t="s">
        <v>82</v>
      </c>
      <c r="D30" s="14" t="s">
        <v>23</v>
      </c>
      <c r="E30" s="14" t="s">
        <v>47</v>
      </c>
      <c r="F30" s="15" t="s">
        <v>19</v>
      </c>
      <c r="G30" s="32">
        <v>26.72</v>
      </c>
      <c r="H30" s="27">
        <v>20800.0</v>
      </c>
      <c r="I30" s="18" t="str">
        <f t="shared" si="1"/>
        <v>入住中</v>
      </c>
      <c r="J30" s="23" t="s">
        <v>89</v>
      </c>
      <c r="K30" s="38"/>
      <c r="L30" s="21" t="str">
        <f t="shared" si="2"/>
        <v>A</v>
      </c>
      <c r="O30" s="18" t="str">
        <f>IF(AND(C30&lt;&gt;"", D30&lt;&gt;""), IF(COUNTIFS(sublease_contract!$C:$C, C30, sublease_contract!$D:$D, "*" &amp; D30 &amp; "*", sublease_contract!$G:$G, "&lt;&gt;已退租") = 0, "空房招租中", IF(COUNTIFS(sublease_contract!$C:$C, C30, sublease_contract!$D:$D, "*" &amp; D30 &amp; "*", sublease_contract!$G:$G, "&lt;&gt;已退租", sublease_contract!$N:$N, "&gt;" &amp; (TODAY()+20)) &gt; 0, "入住中", IF(COUNTIFS(sublease_contract!$C:$C, C30, sublease_contract!$D:$D, "*" &amp; D30 &amp; "*", sublease_contract!$G:$G, "&lt;&gt;已退租", sublease_contract!$N:$N, "&gt;=" &amp; TODAY(), sublease_contract!$N:$N, "&lt;=" &amp; (TODAY()+20)) &gt; 0, MINIFS(sublease_contract!$N:$N, sublease_contract!$C:$C, C30, sublease_contract!$D:$D, "*" &amp; D30 &amp; "*", sublease_contract!$G:$G, "&lt;&gt;已退租", sublease_contract!$N:$N, "&gt;=" &amp; TODAY(), sublease_contract!$N:$N, "&lt;=" &amp; (TODAY()+20)), "入住中"))), "")</f>
        <v>入住中</v>
      </c>
    </row>
    <row r="31">
      <c r="A31" s="12" t="str">
        <f t="array" ref="A31">IFERROR(
    INDEX(big_rental_contract!A:A, MATCH(C31, big_rental_contract!F:F, 0)),
    ""
)
</f>
        <v>A0006</v>
      </c>
      <c r="B31" s="22" t="s">
        <v>90</v>
      </c>
      <c r="C31" s="14" t="s">
        <v>82</v>
      </c>
      <c r="D31" s="14" t="s">
        <v>25</v>
      </c>
      <c r="E31" s="14" t="s">
        <v>18</v>
      </c>
      <c r="F31" s="15" t="s">
        <v>19</v>
      </c>
      <c r="G31" s="16">
        <v>14.7</v>
      </c>
      <c r="H31" s="27">
        <v>14800.0</v>
      </c>
      <c r="I31" s="18" t="str">
        <f t="shared" si="1"/>
        <v>入住中</v>
      </c>
      <c r="J31" s="23" t="s">
        <v>91</v>
      </c>
      <c r="K31" s="38"/>
      <c r="L31" s="21" t="str">
        <f t="shared" si="2"/>
        <v>A</v>
      </c>
      <c r="O31" s="18" t="str">
        <f>IF(AND(C31&lt;&gt;"", D31&lt;&gt;""), IF(COUNTIFS(sublease_contract!$C:$C, C31, sublease_contract!$D:$D, "*" &amp; D31 &amp; "*", sublease_contract!$G:$G, "&lt;&gt;已退租") = 0, "空房招租中", IF(COUNTIFS(sublease_contract!$C:$C, C31, sublease_contract!$D:$D, "*" &amp; D31 &amp; "*", sublease_contract!$G:$G, "&lt;&gt;已退租", sublease_contract!$N:$N, "&gt;" &amp; (TODAY()+20)) &gt; 0, "入住中", IF(COUNTIFS(sublease_contract!$C:$C, C31, sublease_contract!$D:$D, "*" &amp; D31 &amp; "*", sublease_contract!$G:$G, "&lt;&gt;已退租", sublease_contract!$N:$N, "&gt;=" &amp; TODAY(), sublease_contract!$N:$N, "&lt;=" &amp; (TODAY()+20)) &gt; 0, MINIFS(sublease_contract!$N:$N, sublease_contract!$C:$C, C31, sublease_contract!$D:$D, "*" &amp; D31 &amp; "*", sublease_contract!$G:$G, "&lt;&gt;已退租", sublease_contract!$N:$N, "&gt;=" &amp; TODAY(), sublease_contract!$N:$N, "&lt;=" &amp; (TODAY()+20)), "入住中"))), "")</f>
        <v>入住中</v>
      </c>
    </row>
    <row r="32">
      <c r="A32" s="12" t="str">
        <f t="array" ref="A32">IFERROR(
    INDEX(big_rental_contract!A:A, MATCH(C32, big_rental_contract!F:F, 0)),
    ""
)
</f>
        <v>A0006</v>
      </c>
      <c r="B32" s="22" t="s">
        <v>92</v>
      </c>
      <c r="C32" s="14" t="s">
        <v>82</v>
      </c>
      <c r="D32" s="39" t="s">
        <v>34</v>
      </c>
      <c r="E32" s="14" t="s">
        <v>18</v>
      </c>
      <c r="F32" s="15" t="s">
        <v>19</v>
      </c>
      <c r="G32" s="16">
        <v>9.2</v>
      </c>
      <c r="H32" s="17">
        <v>12500.0</v>
      </c>
      <c r="I32" s="18" t="str">
        <f t="shared" si="1"/>
        <v>入住中</v>
      </c>
      <c r="J32" s="19" t="s">
        <v>93</v>
      </c>
      <c r="K32" s="23"/>
      <c r="L32" s="21" t="str">
        <f t="shared" si="2"/>
        <v>A</v>
      </c>
      <c r="O32" s="18" t="str">
        <f>IF(AND(C32&lt;&gt;"", D32&lt;&gt;""), IF(COUNTIFS(sublease_contract!$C:$C, C32, sublease_contract!$D:$D, "*" &amp; D32 &amp; "*", sublease_contract!$G:$G, "&lt;&gt;已退租") = 0, "空房招租中", IF(COUNTIFS(sublease_contract!$C:$C, C32, sublease_contract!$D:$D, "*" &amp; D32 &amp; "*", sublease_contract!$G:$G, "&lt;&gt;已退租", sublease_contract!$N:$N, "&gt;" &amp; (TODAY()+20)) &gt; 0, "入住中", IF(COUNTIFS(sublease_contract!$C:$C, C32, sublease_contract!$D:$D, "*" &amp; D32 &amp; "*", sublease_contract!$G:$G, "&lt;&gt;已退租", sublease_contract!$N:$N, "&gt;=" &amp; TODAY(), sublease_contract!$N:$N, "&lt;=" &amp; (TODAY()+20)) &gt; 0, MINIFS(sublease_contract!$N:$N, sublease_contract!$C:$C, C32, sublease_contract!$D:$D, "*" &amp; D32 &amp; "*", sublease_contract!$G:$G, "&lt;&gt;已退租", sublease_contract!$N:$N, "&gt;=" &amp; TODAY(), sublease_contract!$N:$N, "&lt;=" &amp; (TODAY()+20)), "入住中"))), "")</f>
        <v>入住中</v>
      </c>
    </row>
    <row r="33">
      <c r="A33" s="12" t="str">
        <f t="array" ref="A33">IFERROR(
    INDEX(big_rental_contract!A:A, MATCH(C33, big_rental_contract!F:F, 0)),
    ""
)
</f>
        <v>A0006</v>
      </c>
      <c r="B33" s="22" t="s">
        <v>94</v>
      </c>
      <c r="C33" s="14" t="s">
        <v>82</v>
      </c>
      <c r="D33" s="14" t="s">
        <v>36</v>
      </c>
      <c r="E33" s="14" t="s">
        <v>18</v>
      </c>
      <c r="F33" s="31" t="s">
        <v>37</v>
      </c>
      <c r="G33" s="32">
        <v>22.3</v>
      </c>
      <c r="H33" s="27">
        <v>17800.0</v>
      </c>
      <c r="I33" s="18" t="str">
        <f t="shared" si="1"/>
        <v>入住中</v>
      </c>
      <c r="J33" s="19" t="s">
        <v>95</v>
      </c>
      <c r="K33" s="33" t="s">
        <v>96</v>
      </c>
      <c r="L33" s="21" t="str">
        <f t="shared" si="2"/>
        <v>A</v>
      </c>
      <c r="O33" s="18" t="str">
        <f>IF(AND(C33&lt;&gt;"", D33&lt;&gt;""), IF(COUNTIFS(sublease_contract!$C:$C, C33, sublease_contract!$D:$D, "*" &amp; D33 &amp; "*", sublease_contract!$G:$G, "&lt;&gt;已退租") = 0, "空房招租中", IF(COUNTIFS(sublease_contract!$C:$C, C33, sublease_contract!$D:$D, "*" &amp; D33 &amp; "*", sublease_contract!$G:$G, "&lt;&gt;已退租", sublease_contract!$N:$N, "&gt;" &amp; (TODAY()+20)) &gt; 0, "入住中", IF(COUNTIFS(sublease_contract!$C:$C, C33, sublease_contract!$D:$D, "*" &amp; D33 &amp; "*", sublease_contract!$G:$G, "&lt;&gt;已退租", sublease_contract!$N:$N, "&gt;=" &amp; TODAY(), sublease_contract!$N:$N, "&lt;=" &amp; (TODAY()+20)) &gt; 0, MINIFS(sublease_contract!$N:$N, sublease_contract!$C:$C, C33, sublease_contract!$D:$D, "*" &amp; D33 &amp; "*", sublease_contract!$G:$G, "&lt;&gt;已退租", sublease_contract!$N:$N, "&gt;=" &amp; TODAY(), sublease_contract!$N:$N, "&lt;=" &amp; (TODAY()+20)), "入住中"))), "")</f>
        <v>入住中</v>
      </c>
    </row>
    <row r="34">
      <c r="A34" s="12" t="str">
        <f t="array" ref="A34">IFERROR(
    INDEX(big_rental_contract!A:A, MATCH(C34, big_rental_contract!F:F, 0)),
    ""
)
</f>
        <v>A0006</v>
      </c>
      <c r="B34" s="22" t="s">
        <v>97</v>
      </c>
      <c r="C34" s="14" t="s">
        <v>82</v>
      </c>
      <c r="D34" s="14" t="s">
        <v>39</v>
      </c>
      <c r="E34" s="14" t="s">
        <v>18</v>
      </c>
      <c r="F34" s="31" t="s">
        <v>37</v>
      </c>
      <c r="G34" s="32">
        <v>12.96</v>
      </c>
      <c r="H34" s="27">
        <v>15800.0</v>
      </c>
      <c r="I34" s="18" t="str">
        <f t="shared" si="1"/>
        <v>入住中</v>
      </c>
      <c r="J34" s="19" t="s">
        <v>98</v>
      </c>
      <c r="K34" s="34" t="s">
        <v>99</v>
      </c>
      <c r="L34" s="21" t="str">
        <f t="shared" si="2"/>
        <v>A</v>
      </c>
      <c r="O34" s="18" t="str">
        <f>IF(AND(C34&lt;&gt;"", D34&lt;&gt;""), IF(COUNTIFS(sublease_contract!$C:$C, C34, sublease_contract!$D:$D, "*" &amp; D34 &amp; "*", sublease_contract!$G:$G, "&lt;&gt;已退租") = 0, "空房招租中", IF(COUNTIFS(sublease_contract!$C:$C, C34, sublease_contract!$D:$D, "*" &amp; D34 &amp; "*", sublease_contract!$G:$G, "&lt;&gt;已退租", sublease_contract!$N:$N, "&gt;" &amp; (TODAY()+20)) &gt; 0, "入住中", IF(COUNTIFS(sublease_contract!$C:$C, C34, sublease_contract!$D:$D, "*" &amp; D34 &amp; "*", sublease_contract!$G:$G, "&lt;&gt;已退租", sublease_contract!$N:$N, "&gt;=" &amp; TODAY(), sublease_contract!$N:$N, "&lt;=" &amp; (TODAY()+20)) &gt; 0, MINIFS(sublease_contract!$N:$N, sublease_contract!$C:$C, C34, sublease_contract!$D:$D, "*" &amp; D34 &amp; "*", sublease_contract!$G:$G, "&lt;&gt;已退租", sublease_contract!$N:$N, "&gt;=" &amp; TODAY(), sublease_contract!$N:$N, "&lt;=" &amp; (TODAY()+20)), "入住中"))), "")</f>
        <v>入住中</v>
      </c>
    </row>
    <row r="35">
      <c r="A35" s="12" t="str">
        <f t="array" ref="A35">IFERROR(
    INDEX(big_rental_contract!A:A, MATCH(C35, big_rental_contract!F:F, 0)),
    ""
)
</f>
        <v>A0007</v>
      </c>
      <c r="B35" s="22" t="s">
        <v>100</v>
      </c>
      <c r="C35" s="15" t="s">
        <v>101</v>
      </c>
      <c r="D35" s="14" t="s">
        <v>17</v>
      </c>
      <c r="E35" s="15" t="s">
        <v>47</v>
      </c>
      <c r="F35" s="15" t="s">
        <v>19</v>
      </c>
      <c r="G35" s="16">
        <v>20.950000000000003</v>
      </c>
      <c r="H35" s="29">
        <v>19500.0</v>
      </c>
      <c r="I35" s="18" t="str">
        <f t="shared" si="1"/>
        <v>入住中</v>
      </c>
      <c r="J35" s="23"/>
      <c r="K35" s="23"/>
      <c r="L35" s="21" t="str">
        <f t="shared" si="2"/>
        <v>A</v>
      </c>
      <c r="O35" s="18" t="str">
        <f>IF(AND(C35&lt;&gt;"", D35&lt;&gt;""), IF(COUNTIFS(sublease_contract!$C:$C, C35, sublease_contract!$D:$D, "*" &amp; D35 &amp; "*", sublease_contract!$G:$G, "&lt;&gt;已退租") = 0, "空房招租中", IF(COUNTIFS(sublease_contract!$C:$C, C35, sublease_contract!$D:$D, "*" &amp; D35 &amp; "*", sublease_contract!$G:$G, "&lt;&gt;已退租", sublease_contract!$N:$N, "&gt;" &amp; (TODAY()+20)) &gt; 0, "入住中", IF(COUNTIFS(sublease_contract!$C:$C, C35, sublease_contract!$D:$D, "*" &amp; D35 &amp; "*", sublease_contract!$G:$G, "&lt;&gt;已退租", sublease_contract!$N:$N, "&gt;=" &amp; TODAY(), sublease_contract!$N:$N, "&lt;=" &amp; (TODAY()+20)) &gt; 0, MINIFS(sublease_contract!$N:$N, sublease_contract!$C:$C, C35, sublease_contract!$D:$D, "*" &amp; D35 &amp; "*", sublease_contract!$G:$G, "&lt;&gt;已退租", sublease_contract!$N:$N, "&gt;=" &amp; TODAY(), sublease_contract!$N:$N, "&lt;=" &amp; (TODAY()+20)), "入住中"))), "")</f>
        <v>入住中</v>
      </c>
    </row>
    <row r="36">
      <c r="A36" s="12" t="str">
        <f t="array" ref="A36">IFERROR(
    INDEX(big_rental_contract!A:A, MATCH(C36, big_rental_contract!F:F, 0)),
    ""
)
</f>
        <v>A0007</v>
      </c>
      <c r="B36" s="22" t="s">
        <v>102</v>
      </c>
      <c r="C36" s="14" t="s">
        <v>101</v>
      </c>
      <c r="D36" s="14" t="s">
        <v>21</v>
      </c>
      <c r="E36" s="14" t="s">
        <v>18</v>
      </c>
      <c r="F36" s="15" t="s">
        <v>19</v>
      </c>
      <c r="G36" s="16">
        <v>10.34</v>
      </c>
      <c r="H36" s="27">
        <v>13500.0</v>
      </c>
      <c r="I36" s="18" t="str">
        <f t="shared" si="1"/>
        <v>入住中</v>
      </c>
      <c r="J36" s="19" t="s">
        <v>103</v>
      </c>
      <c r="K36" s="30" t="s">
        <v>104</v>
      </c>
      <c r="L36" s="21" t="str">
        <f t="shared" si="2"/>
        <v>A</v>
      </c>
      <c r="O36" s="18" t="str">
        <f>IF(AND(C36&lt;&gt;"", D36&lt;&gt;""), IF(COUNTIFS(sublease_contract!$C:$C, C36, sublease_contract!$D:$D, "*" &amp; D36 &amp; "*", sublease_contract!$G:$G, "&lt;&gt;已退租") = 0, "空房招租中", IF(COUNTIFS(sublease_contract!$C:$C, C36, sublease_contract!$D:$D, "*" &amp; D36 &amp; "*", sublease_contract!$G:$G, "&lt;&gt;已退租", sublease_contract!$N:$N, "&gt;" &amp; (TODAY()+20)) &gt; 0, "入住中", IF(COUNTIFS(sublease_contract!$C:$C, C36, sublease_contract!$D:$D, "*" &amp; D36 &amp; "*", sublease_contract!$G:$G, "&lt;&gt;已退租", sublease_contract!$N:$N, "&gt;=" &amp; TODAY(), sublease_contract!$N:$N, "&lt;=" &amp; (TODAY()+20)) &gt; 0, MINIFS(sublease_contract!$N:$N, sublease_contract!$C:$C, C36, sublease_contract!$D:$D, "*" &amp; D36 &amp; "*", sublease_contract!$G:$G, "&lt;&gt;已退租", sublease_contract!$N:$N, "&gt;=" &amp; TODAY(), sublease_contract!$N:$N, "&lt;=" &amp; (TODAY()+20)), "入住中"))), "")</f>
        <v>入住中</v>
      </c>
    </row>
    <row r="37">
      <c r="A37" s="12" t="str">
        <f t="array" ref="A37">IFERROR(
    INDEX(big_rental_contract!A:A, MATCH(C37, big_rental_contract!F:F, 0)),
    ""
)
</f>
        <v>A0007</v>
      </c>
      <c r="B37" s="22" t="s">
        <v>105</v>
      </c>
      <c r="C37" s="14" t="s">
        <v>101</v>
      </c>
      <c r="D37" s="14" t="s">
        <v>23</v>
      </c>
      <c r="E37" s="14" t="s">
        <v>18</v>
      </c>
      <c r="F37" s="15" t="s">
        <v>19</v>
      </c>
      <c r="G37" s="16">
        <v>11.92</v>
      </c>
      <c r="H37" s="27">
        <v>13000.0</v>
      </c>
      <c r="I37" s="18" t="str">
        <f t="shared" si="1"/>
        <v>入住中</v>
      </c>
      <c r="J37" s="19" t="s">
        <v>106</v>
      </c>
      <c r="K37" s="30" t="s">
        <v>107</v>
      </c>
      <c r="L37" s="21" t="str">
        <f t="shared" si="2"/>
        <v>A</v>
      </c>
      <c r="O37" s="18" t="str">
        <f>IF(AND(C37&lt;&gt;"", D37&lt;&gt;""), IF(COUNTIFS(sublease_contract!$C:$C, C37, sublease_contract!$D:$D, "*" &amp; D37 &amp; "*", sublease_contract!$G:$G, "&lt;&gt;已退租") = 0, "空房招租中", IF(COUNTIFS(sublease_contract!$C:$C, C37, sublease_contract!$D:$D, "*" &amp; D37 &amp; "*", sublease_contract!$G:$G, "&lt;&gt;已退租", sublease_contract!$N:$N, "&gt;" &amp; (TODAY()+20)) &gt; 0, "入住中", IF(COUNTIFS(sublease_contract!$C:$C, C37, sublease_contract!$D:$D, "*" &amp; D37 &amp; "*", sublease_contract!$G:$G, "&lt;&gt;已退租", sublease_contract!$N:$N, "&gt;=" &amp; TODAY(), sublease_contract!$N:$N, "&lt;=" &amp; (TODAY()+20)) &gt; 0, MINIFS(sublease_contract!$N:$N, sublease_contract!$C:$C, C37, sublease_contract!$D:$D, "*" &amp; D37 &amp; "*", sublease_contract!$G:$G, "&lt;&gt;已退租", sublease_contract!$N:$N, "&gt;=" &amp; TODAY(), sublease_contract!$N:$N, "&lt;=" &amp; (TODAY()+20)), "入住中"))), "")</f>
        <v>入住中</v>
      </c>
    </row>
    <row r="38">
      <c r="A38" s="12" t="str">
        <f t="array" ref="A38">IFERROR(
    INDEX(big_rental_contract!A:A, MATCH(C38, big_rental_contract!F:F, 0)),
    ""
)
</f>
        <v>A0007</v>
      </c>
      <c r="B38" s="22" t="s">
        <v>108</v>
      </c>
      <c r="C38" s="14" t="s">
        <v>101</v>
      </c>
      <c r="D38" s="14" t="s">
        <v>25</v>
      </c>
      <c r="E38" s="14" t="s">
        <v>18</v>
      </c>
      <c r="F38" s="15" t="s">
        <v>19</v>
      </c>
      <c r="G38" s="16">
        <v>10.91</v>
      </c>
      <c r="H38" s="17">
        <v>12500.0</v>
      </c>
      <c r="I38" s="18" t="str">
        <f t="shared" si="1"/>
        <v>入住中</v>
      </c>
      <c r="J38" s="23"/>
      <c r="K38" s="23"/>
      <c r="L38" s="21" t="str">
        <f t="shared" si="2"/>
        <v>A</v>
      </c>
      <c r="O38" s="18" t="str">
        <f>IF(AND(C38&lt;&gt;"", D38&lt;&gt;""), IF(COUNTIFS(sublease_contract!$C:$C, C38, sublease_contract!$D:$D, "*" &amp; D38 &amp; "*", sublease_contract!$G:$G, "&lt;&gt;已退租") = 0, "空房招租中", IF(COUNTIFS(sublease_contract!$C:$C, C38, sublease_contract!$D:$D, "*" &amp; D38 &amp; "*", sublease_contract!$G:$G, "&lt;&gt;已退租", sublease_contract!$N:$N, "&gt;" &amp; (TODAY()+20)) &gt; 0, "入住中", IF(COUNTIFS(sublease_contract!$C:$C, C38, sublease_contract!$D:$D, "*" &amp; D38 &amp; "*", sublease_contract!$G:$G, "&lt;&gt;已退租", sublease_contract!$N:$N, "&gt;=" &amp; TODAY(), sublease_contract!$N:$N, "&lt;=" &amp; (TODAY()+20)) &gt; 0, MINIFS(sublease_contract!$N:$N, sublease_contract!$C:$C, C38, sublease_contract!$D:$D, "*" &amp; D38 &amp; "*", sublease_contract!$G:$G, "&lt;&gt;已退租", sublease_contract!$N:$N, "&gt;=" &amp; TODAY(), sublease_contract!$N:$N, "&lt;=" &amp; (TODAY()+20)), "入住中"))), "")</f>
        <v>入住中</v>
      </c>
    </row>
    <row r="39">
      <c r="A39" s="12" t="str">
        <f t="array" ref="A39">IFERROR(
    INDEX(big_rental_contract!A:A, MATCH(C39, big_rental_contract!F:F, 0)),
    ""
)
</f>
        <v>A0008</v>
      </c>
      <c r="B39" s="22" t="s">
        <v>109</v>
      </c>
      <c r="C39" s="14" t="s">
        <v>110</v>
      </c>
      <c r="D39" s="14" t="s">
        <v>17</v>
      </c>
      <c r="E39" s="14" t="s">
        <v>18</v>
      </c>
      <c r="F39" s="15" t="s">
        <v>19</v>
      </c>
      <c r="G39" s="16">
        <v>8.48</v>
      </c>
      <c r="H39" s="17">
        <v>13000.0</v>
      </c>
      <c r="I39" s="18" t="str">
        <f t="shared" si="1"/>
        <v>入住中</v>
      </c>
      <c r="J39" s="23"/>
      <c r="K39" s="23"/>
      <c r="L39" s="21" t="str">
        <f t="shared" si="2"/>
        <v>A</v>
      </c>
      <c r="O39" s="18" t="str">
        <f>IF(AND(C39&lt;&gt;"", D39&lt;&gt;""), IF(COUNTIFS(sublease_contract!$C:$C, C39, sublease_contract!$D:$D, "*" &amp; D39 &amp; "*", sublease_contract!$G:$G, "&lt;&gt;已退租") = 0, "空房招租中", IF(COUNTIFS(sublease_contract!$C:$C, C39, sublease_contract!$D:$D, "*" &amp; D39 &amp; "*", sublease_contract!$G:$G, "&lt;&gt;已退租", sublease_contract!$N:$N, "&gt;" &amp; (TODAY()+20)) &gt; 0, "入住中", IF(COUNTIFS(sublease_contract!$C:$C, C39, sublease_contract!$D:$D, "*" &amp; D39 &amp; "*", sublease_contract!$G:$G, "&lt;&gt;已退租", sublease_contract!$N:$N, "&gt;=" &amp; TODAY(), sublease_contract!$N:$N, "&lt;=" &amp; (TODAY()+20)) &gt; 0, MINIFS(sublease_contract!$N:$N, sublease_contract!$C:$C, C39, sublease_contract!$D:$D, "*" &amp; D39 &amp; "*", sublease_contract!$G:$G, "&lt;&gt;已退租", sublease_contract!$N:$N, "&gt;=" &amp; TODAY(), sublease_contract!$N:$N, "&lt;=" &amp; (TODAY()+20)), "入住中"))), "")</f>
        <v>入住中</v>
      </c>
    </row>
    <row r="40">
      <c r="A40" s="12" t="str">
        <f t="array" ref="A40">IFERROR(
    INDEX(big_rental_contract!A:A, MATCH(C40, big_rental_contract!F:F, 0)),
    ""
)
</f>
        <v>A0008</v>
      </c>
      <c r="B40" s="22" t="s">
        <v>111</v>
      </c>
      <c r="C40" s="14" t="s">
        <v>110</v>
      </c>
      <c r="D40" s="14" t="s">
        <v>21</v>
      </c>
      <c r="E40" s="14" t="s">
        <v>18</v>
      </c>
      <c r="F40" s="15" t="s">
        <v>19</v>
      </c>
      <c r="G40" s="16">
        <v>7.76</v>
      </c>
      <c r="H40" s="27">
        <v>11500.0</v>
      </c>
      <c r="I40" s="18" t="str">
        <f t="shared" si="1"/>
        <v>入住中</v>
      </c>
      <c r="J40" s="23"/>
      <c r="K40" s="34" t="s">
        <v>112</v>
      </c>
      <c r="L40" s="21" t="str">
        <f t="shared" si="2"/>
        <v>A</v>
      </c>
      <c r="O40" s="18" t="str">
        <f>IF(AND(C40&lt;&gt;"", D40&lt;&gt;""), IF(COUNTIFS(sublease_contract!$C:$C, C40, sublease_contract!$D:$D, "*" &amp; D40 &amp; "*", sublease_contract!$G:$G, "&lt;&gt;已退租") = 0, "空房招租中", IF(COUNTIFS(sublease_contract!$C:$C, C40, sublease_contract!$D:$D, "*" &amp; D40 &amp; "*", sublease_contract!$G:$G, "&lt;&gt;已退租", sublease_contract!$N:$N, "&gt;" &amp; (TODAY()+20)) &gt; 0, "入住中", IF(COUNTIFS(sublease_contract!$C:$C, C40, sublease_contract!$D:$D, "*" &amp; D40 &amp; "*", sublease_contract!$G:$G, "&lt;&gt;已退租", sublease_contract!$N:$N, "&gt;=" &amp; TODAY(), sublease_contract!$N:$N, "&lt;=" &amp; (TODAY()+20)) &gt; 0, MINIFS(sublease_contract!$N:$N, sublease_contract!$C:$C, C40, sublease_contract!$D:$D, "*" &amp; D40 &amp; "*", sublease_contract!$G:$G, "&lt;&gt;已退租", sublease_contract!$N:$N, "&gt;=" &amp; TODAY(), sublease_contract!$N:$N, "&lt;=" &amp; (TODAY()+20)), "入住中"))), "")</f>
        <v>入住中</v>
      </c>
    </row>
    <row r="41">
      <c r="A41" s="12" t="str">
        <f t="array" ref="A41">IFERROR(
    INDEX(big_rental_contract!A:A, MATCH(C41, big_rental_contract!F:F, 0)),
    ""
)
</f>
        <v>A0008</v>
      </c>
      <c r="B41" s="22" t="s">
        <v>113</v>
      </c>
      <c r="C41" s="14" t="s">
        <v>110</v>
      </c>
      <c r="D41" s="14" t="s">
        <v>23</v>
      </c>
      <c r="E41" s="14" t="s">
        <v>47</v>
      </c>
      <c r="F41" s="15" t="s">
        <v>19</v>
      </c>
      <c r="G41" s="32">
        <v>12.1</v>
      </c>
      <c r="H41" s="27">
        <v>15800.0</v>
      </c>
      <c r="I41" s="18" t="str">
        <f t="shared" si="1"/>
        <v>入住中</v>
      </c>
      <c r="J41" s="23"/>
      <c r="K41" s="20" t="s">
        <v>114</v>
      </c>
      <c r="L41" s="21" t="str">
        <f t="shared" si="2"/>
        <v>A</v>
      </c>
      <c r="O41" s="18" t="str">
        <f>IF(AND(C41&lt;&gt;"", D41&lt;&gt;""), IF(COUNTIFS(sublease_contract!$C:$C, C41, sublease_contract!$D:$D, "*" &amp; D41 &amp; "*", sublease_contract!$G:$G, "&lt;&gt;已退租") = 0, "空房招租中", IF(COUNTIFS(sublease_contract!$C:$C, C41, sublease_contract!$D:$D, "*" &amp; D41 &amp; "*", sublease_contract!$G:$G, "&lt;&gt;已退租", sublease_contract!$N:$N, "&gt;" &amp; (TODAY()+20)) &gt; 0, "入住中", IF(COUNTIFS(sublease_contract!$C:$C, C41, sublease_contract!$D:$D, "*" &amp; D41 &amp; "*", sublease_contract!$G:$G, "&lt;&gt;已退租", sublease_contract!$N:$N, "&gt;=" &amp; TODAY(), sublease_contract!$N:$N, "&lt;=" &amp; (TODAY()+20)) &gt; 0, MINIFS(sublease_contract!$N:$N, sublease_contract!$C:$C, C41, sublease_contract!$D:$D, "*" &amp; D41 &amp; "*", sublease_contract!$G:$G, "&lt;&gt;已退租", sublease_contract!$N:$N, "&gt;=" &amp; TODAY(), sublease_contract!$N:$N, "&lt;=" &amp; (TODAY()+20)), "入住中"))), "")</f>
        <v>入住中</v>
      </c>
    </row>
    <row r="42">
      <c r="A42" s="12" t="str">
        <f t="array" ref="A42">IFERROR(
    INDEX(big_rental_contract!A:A, MATCH(C42, big_rental_contract!F:F, 0)),
    ""
)
</f>
        <v>A0008</v>
      </c>
      <c r="B42" s="22" t="s">
        <v>115</v>
      </c>
      <c r="C42" s="14" t="s">
        <v>110</v>
      </c>
      <c r="D42" s="14" t="s">
        <v>25</v>
      </c>
      <c r="E42" s="14" t="s">
        <v>18</v>
      </c>
      <c r="F42" s="15" t="s">
        <v>19</v>
      </c>
      <c r="G42" s="16">
        <v>10.91</v>
      </c>
      <c r="H42" s="27">
        <v>14500.0</v>
      </c>
      <c r="I42" s="18" t="str">
        <f t="shared" si="1"/>
        <v>入住中</v>
      </c>
      <c r="J42" s="23"/>
      <c r="K42" s="23"/>
      <c r="L42" s="21" t="str">
        <f t="shared" si="2"/>
        <v>A</v>
      </c>
      <c r="O42" s="18" t="str">
        <f>IF(AND(C42&lt;&gt;"", D42&lt;&gt;""), IF(COUNTIFS(sublease_contract!$C:$C, C42, sublease_contract!$D:$D, "*" &amp; D42 &amp; "*", sublease_contract!$G:$G, "&lt;&gt;已退租") = 0, "空房招租中", IF(COUNTIFS(sublease_contract!$C:$C, C42, sublease_contract!$D:$D, "*" &amp; D42 &amp; "*", sublease_contract!$G:$G, "&lt;&gt;已退租", sublease_contract!$N:$N, "&gt;" &amp; (TODAY()+20)) &gt; 0, "入住中", IF(COUNTIFS(sublease_contract!$C:$C, C42, sublease_contract!$D:$D, "*" &amp; D42 &amp; "*", sublease_contract!$G:$G, "&lt;&gt;已退租", sublease_contract!$N:$N, "&gt;=" &amp; TODAY(), sublease_contract!$N:$N, "&lt;=" &amp; (TODAY()+20)) &gt; 0, MINIFS(sublease_contract!$N:$N, sublease_contract!$C:$C, C42, sublease_contract!$D:$D, "*" &amp; D42 &amp; "*", sublease_contract!$G:$G, "&lt;&gt;已退租", sublease_contract!$N:$N, "&gt;=" &amp; TODAY(), sublease_contract!$N:$N, "&lt;=" &amp; (TODAY()+20)), "入住中"))), "")</f>
        <v>入住中</v>
      </c>
    </row>
    <row r="43">
      <c r="A43" s="12" t="str">
        <f t="array" ref="A43">IFERROR(
    INDEX(big_rental_contract!A:A, MATCH(C43, big_rental_contract!F:F, 0)),
    ""
)
</f>
        <v>A0008</v>
      </c>
      <c r="B43" s="22" t="s">
        <v>116</v>
      </c>
      <c r="C43" s="14" t="s">
        <v>110</v>
      </c>
      <c r="D43" s="14" t="s">
        <v>34</v>
      </c>
      <c r="E43" s="14" t="s">
        <v>18</v>
      </c>
      <c r="F43" s="15" t="s">
        <v>19</v>
      </c>
      <c r="G43" s="16">
        <v>5.18</v>
      </c>
      <c r="H43" s="17">
        <v>12800.0</v>
      </c>
      <c r="I43" s="18" t="str">
        <f t="shared" si="1"/>
        <v>入住中</v>
      </c>
      <c r="J43" s="23"/>
      <c r="K43" s="20" t="s">
        <v>117</v>
      </c>
      <c r="L43" s="21" t="str">
        <f t="shared" si="2"/>
        <v>A</v>
      </c>
      <c r="O43" s="18" t="str">
        <f>IF(AND(C43&lt;&gt;"", D43&lt;&gt;""), IF(COUNTIFS(sublease_contract!$C:$C, C43, sublease_contract!$D:$D, "*" &amp; D43 &amp; "*", sublease_contract!$G:$G, "&lt;&gt;已退租") = 0, "空房招租中", IF(COUNTIFS(sublease_contract!$C:$C, C43, sublease_contract!$D:$D, "*" &amp; D43 &amp; "*", sublease_contract!$G:$G, "&lt;&gt;已退租", sublease_contract!$N:$N, "&gt;" &amp; (TODAY()+20)) &gt; 0, "入住中", IF(COUNTIFS(sublease_contract!$C:$C, C43, sublease_contract!$D:$D, "*" &amp; D43 &amp; "*", sublease_contract!$G:$G, "&lt;&gt;已退租", sublease_contract!$N:$N, "&gt;=" &amp; TODAY(), sublease_contract!$N:$N, "&lt;=" &amp; (TODAY()+20)) &gt; 0, MINIFS(sublease_contract!$N:$N, sublease_contract!$C:$C, C43, sublease_contract!$D:$D, "*" &amp; D43 &amp; "*", sublease_contract!$G:$G, "&lt;&gt;已退租", sublease_contract!$N:$N, "&gt;=" &amp; TODAY(), sublease_contract!$N:$N, "&lt;=" &amp; (TODAY()+20)), "入住中"))), "")</f>
        <v>入住中</v>
      </c>
    </row>
    <row r="44">
      <c r="A44" s="12" t="str">
        <f t="array" ref="A44">IFERROR(
    INDEX(big_rental_contract!A:A, MATCH(C44, big_rental_contract!F:F, 0)),
    ""
)
</f>
        <v>A0009</v>
      </c>
      <c r="B44" s="22" t="s">
        <v>118</v>
      </c>
      <c r="C44" s="14" t="s">
        <v>119</v>
      </c>
      <c r="D44" s="14" t="s">
        <v>17</v>
      </c>
      <c r="E44" s="39" t="s">
        <v>47</v>
      </c>
      <c r="F44" s="15" t="s">
        <v>19</v>
      </c>
      <c r="G44" s="32">
        <v>22.11</v>
      </c>
      <c r="H44" s="17">
        <v>22000.0</v>
      </c>
      <c r="I44" s="18" t="str">
        <f t="shared" si="1"/>
        <v>入住中</v>
      </c>
      <c r="J44" s="23"/>
      <c r="K44" s="20" t="s">
        <v>120</v>
      </c>
      <c r="L44" s="21" t="str">
        <f t="shared" si="2"/>
        <v>A</v>
      </c>
      <c r="O44" s="18" t="str">
        <f>IF(AND(C44&lt;&gt;"", D44&lt;&gt;""), IF(COUNTIFS(sublease_contract!$C:$C, C44, sublease_contract!$D:$D, "*" &amp; D44 &amp; "*", sublease_contract!$G:$G, "&lt;&gt;已退租") = 0, "空房招租中", IF(COUNTIFS(sublease_contract!$C:$C, C44, sublease_contract!$D:$D, "*" &amp; D44 &amp; "*", sublease_contract!$G:$G, "&lt;&gt;已退租", sublease_contract!$N:$N, "&gt;" &amp; (TODAY()+20)) &gt; 0, "入住中", IF(COUNTIFS(sublease_contract!$C:$C, C44, sublease_contract!$D:$D, "*" &amp; D44 &amp; "*", sublease_contract!$G:$G, "&lt;&gt;已退租", sublease_contract!$N:$N, "&gt;=" &amp; TODAY(), sublease_contract!$N:$N, "&lt;=" &amp; (TODAY()+20)) &gt; 0, MINIFS(sublease_contract!$N:$N, sublease_contract!$C:$C, C44, sublease_contract!$D:$D, "*" &amp; D44 &amp; "*", sublease_contract!$G:$G, "&lt;&gt;已退租", sublease_contract!$N:$N, "&gt;=" &amp; TODAY(), sublease_contract!$N:$N, "&lt;=" &amp; (TODAY()+20)), "入住中"))), "")</f>
        <v>入住中</v>
      </c>
    </row>
    <row r="45">
      <c r="A45" s="12" t="str">
        <f t="array" ref="A45">IFERROR(
    INDEX(big_rental_contract!A:A, MATCH(C45, big_rental_contract!F:F, 0)),
    ""
)
</f>
        <v>A0010</v>
      </c>
      <c r="B45" s="22" t="s">
        <v>121</v>
      </c>
      <c r="C45" s="15" t="s">
        <v>122</v>
      </c>
      <c r="D45" s="24" t="s">
        <v>17</v>
      </c>
      <c r="E45" s="14" t="s">
        <v>47</v>
      </c>
      <c r="F45" s="24" t="s">
        <v>19</v>
      </c>
      <c r="G45" s="25">
        <v>17.72</v>
      </c>
      <c r="H45" s="40">
        <v>17200.0</v>
      </c>
      <c r="I45" s="18" t="str">
        <f t="shared" si="1"/>
        <v>入住中</v>
      </c>
      <c r="J45" s="23" t="s">
        <v>123</v>
      </c>
      <c r="K45" s="20" t="s">
        <v>124</v>
      </c>
      <c r="L45" s="21" t="str">
        <f t="shared" si="2"/>
        <v>A</v>
      </c>
      <c r="O45" s="18" t="str">
        <f>IF(AND(C45&lt;&gt;"", D45&lt;&gt;""), IF(COUNTIFS(sublease_contract!$C:$C, C45, sublease_contract!$D:$D, "*" &amp; D45 &amp; "*", sublease_contract!$G:$G, "&lt;&gt;已退租") = 0, "空房招租中", IF(COUNTIFS(sublease_contract!$C:$C, C45, sublease_contract!$D:$D, "*" &amp; D45 &amp; "*", sublease_contract!$G:$G, "&lt;&gt;已退租", sublease_contract!$N:$N, "&gt;" &amp; (TODAY()+20)) &gt; 0, "入住中", IF(COUNTIFS(sublease_contract!$C:$C, C45, sublease_contract!$D:$D, "*" &amp; D45 &amp; "*", sublease_contract!$G:$G, "&lt;&gt;已退租", sublease_contract!$N:$N, "&gt;=" &amp; TODAY(), sublease_contract!$N:$N, "&lt;=" &amp; (TODAY()+20)) &gt; 0, MINIFS(sublease_contract!$N:$N, sublease_contract!$C:$C, C45, sublease_contract!$D:$D, "*" &amp; D45 &amp; "*", sublease_contract!$G:$G, "&lt;&gt;已退租", sublease_contract!$N:$N, "&gt;=" &amp; TODAY(), sublease_contract!$N:$N, "&lt;=" &amp; (TODAY()+20)), "入住中"))), "")</f>
        <v>入住中</v>
      </c>
    </row>
    <row r="46">
      <c r="A46" s="12" t="str">
        <f t="array" ref="A46">IFERROR(
    INDEX(big_rental_contract!A:A, MATCH(C46, big_rental_contract!F:F, 0)),
    ""
)
</f>
        <v>A0010</v>
      </c>
      <c r="B46" s="22" t="s">
        <v>125</v>
      </c>
      <c r="C46" s="15" t="s">
        <v>122</v>
      </c>
      <c r="D46" s="15" t="s">
        <v>21</v>
      </c>
      <c r="E46" s="15" t="s">
        <v>18</v>
      </c>
      <c r="F46" s="15" t="s">
        <v>19</v>
      </c>
      <c r="G46" s="16">
        <v>8.61</v>
      </c>
      <c r="H46" s="29">
        <v>12700.0</v>
      </c>
      <c r="I46" s="18" t="str">
        <f t="shared" si="1"/>
        <v>入住中</v>
      </c>
      <c r="J46" s="23" t="s">
        <v>126</v>
      </c>
      <c r="K46" s="20" t="s">
        <v>127</v>
      </c>
      <c r="L46" s="21" t="str">
        <f t="shared" si="2"/>
        <v>A</v>
      </c>
      <c r="O46" s="18" t="str">
        <f>IF(AND(C46&lt;&gt;"", D46&lt;&gt;""), IF(COUNTIFS(sublease_contract!$C:$C, C46, sublease_contract!$D:$D, "*" &amp; D46 &amp; "*", sublease_contract!$G:$G, "&lt;&gt;已退租") = 0, "空房招租中", IF(COUNTIFS(sublease_contract!$C:$C, C46, sublease_contract!$D:$D, "*" &amp; D46 &amp; "*", sublease_contract!$G:$G, "&lt;&gt;已退租", sublease_contract!$N:$N, "&gt;" &amp; (TODAY()+20)) &gt; 0, "入住中", IF(COUNTIFS(sublease_contract!$C:$C, C46, sublease_contract!$D:$D, "*" &amp; D46 &amp; "*", sublease_contract!$G:$G, "&lt;&gt;已退租", sublease_contract!$N:$N, "&gt;=" &amp; TODAY(), sublease_contract!$N:$N, "&lt;=" &amp; (TODAY()+20)) &gt; 0, MINIFS(sublease_contract!$N:$N, sublease_contract!$C:$C, C46, sublease_contract!$D:$D, "*" &amp; D46 &amp; "*", sublease_contract!$G:$G, "&lt;&gt;已退租", sublease_contract!$N:$N, "&gt;=" &amp; TODAY(), sublease_contract!$N:$N, "&lt;=" &amp; (TODAY()+20)), "入住中"))), "")</f>
        <v>入住中</v>
      </c>
    </row>
    <row r="47">
      <c r="A47" s="12" t="str">
        <f t="array" ref="A47">IFERROR(
    INDEX(big_rental_contract!A:A, MATCH(C47, big_rental_contract!F:F, 0)),
    ""
)
</f>
        <v>A0010</v>
      </c>
      <c r="B47" s="22" t="s">
        <v>128</v>
      </c>
      <c r="C47" s="14" t="s">
        <v>122</v>
      </c>
      <c r="D47" s="14" t="s">
        <v>23</v>
      </c>
      <c r="E47" s="14" t="s">
        <v>18</v>
      </c>
      <c r="F47" s="15" t="s">
        <v>19</v>
      </c>
      <c r="G47" s="16">
        <v>11.48</v>
      </c>
      <c r="H47" s="27">
        <v>14000.0</v>
      </c>
      <c r="I47" s="18" t="str">
        <f t="shared" si="1"/>
        <v>入住中</v>
      </c>
      <c r="J47" s="19" t="s">
        <v>129</v>
      </c>
      <c r="K47" s="20" t="s">
        <v>130</v>
      </c>
      <c r="L47" s="21" t="str">
        <f t="shared" si="2"/>
        <v>A</v>
      </c>
      <c r="O47" s="18" t="str">
        <f>IF(AND(C47&lt;&gt;"", D47&lt;&gt;""), IF(COUNTIFS(sublease_contract!$C:$C, C47, sublease_contract!$D:$D, "*" &amp; D47 &amp; "*", sublease_contract!$G:$G, "&lt;&gt;已退租") = 0, "空房招租中", IF(COUNTIFS(sublease_contract!$C:$C, C47, sublease_contract!$D:$D, "*" &amp; D47 &amp; "*", sublease_contract!$G:$G, "&lt;&gt;已退租", sublease_contract!$N:$N, "&gt;" &amp; (TODAY()+20)) &gt; 0, "入住中", IF(COUNTIFS(sublease_contract!$C:$C, C47, sublease_contract!$D:$D, "*" &amp; D47 &amp; "*", sublease_contract!$G:$G, "&lt;&gt;已退租", sublease_contract!$N:$N, "&gt;=" &amp; TODAY(), sublease_contract!$N:$N, "&lt;=" &amp; (TODAY()+20)) &gt; 0, MINIFS(sublease_contract!$N:$N, sublease_contract!$C:$C, C47, sublease_contract!$D:$D, "*" &amp; D47 &amp; "*", sublease_contract!$G:$G, "&lt;&gt;已退租", sublease_contract!$N:$N, "&gt;=" &amp; TODAY(), sublease_contract!$N:$N, "&lt;=" &amp; (TODAY()+20)), "入住中"))), "")</f>
        <v>入住中</v>
      </c>
    </row>
    <row r="48">
      <c r="A48" s="12" t="str">
        <f t="array" ref="A48">IFERROR(
    INDEX(big_rental_contract!A:A, MATCH(C48, big_rental_contract!F:F, 0)),
    ""
)
</f>
        <v>A0010</v>
      </c>
      <c r="B48" s="22" t="s">
        <v>131</v>
      </c>
      <c r="C48" s="14" t="s">
        <v>122</v>
      </c>
      <c r="D48" s="14" t="s">
        <v>25</v>
      </c>
      <c r="E48" s="14" t="s">
        <v>18</v>
      </c>
      <c r="F48" s="15" t="s">
        <v>19</v>
      </c>
      <c r="G48" s="16">
        <v>12.14</v>
      </c>
      <c r="H48" s="29">
        <v>14500.0</v>
      </c>
      <c r="I48" s="18" t="str">
        <f t="shared" si="1"/>
        <v>入住中</v>
      </c>
      <c r="J48" s="23" t="s">
        <v>132</v>
      </c>
      <c r="K48" s="33" t="s">
        <v>133</v>
      </c>
      <c r="L48" s="21" t="str">
        <f t="shared" si="2"/>
        <v>A</v>
      </c>
      <c r="O48" s="18" t="str">
        <f>IF(AND(C48&lt;&gt;"", D48&lt;&gt;""), IF(COUNTIFS(sublease_contract!$C:$C, C48, sublease_contract!$D:$D, "*" &amp; D48 &amp; "*", sublease_contract!$G:$G, "&lt;&gt;已退租") = 0, "空房招租中", IF(COUNTIFS(sublease_contract!$C:$C, C48, sublease_contract!$D:$D, "*" &amp; D48 &amp; "*", sublease_contract!$G:$G, "&lt;&gt;已退租", sublease_contract!$N:$N, "&gt;" &amp; (TODAY()+20)) &gt; 0, "入住中", IF(COUNTIFS(sublease_contract!$C:$C, C48, sublease_contract!$D:$D, "*" &amp; D48 &amp; "*", sublease_contract!$G:$G, "&lt;&gt;已退租", sublease_contract!$N:$N, "&gt;=" &amp; TODAY(), sublease_contract!$N:$N, "&lt;=" &amp; (TODAY()+20)) &gt; 0, MINIFS(sublease_contract!$N:$N, sublease_contract!$C:$C, C48, sublease_contract!$D:$D, "*" &amp; D48 &amp; "*", sublease_contract!$G:$G, "&lt;&gt;已退租", sublease_contract!$N:$N, "&gt;=" &amp; TODAY(), sublease_contract!$N:$N, "&lt;=" &amp; (TODAY()+20)), "入住中"))), "")</f>
        <v>入住中</v>
      </c>
    </row>
    <row r="49">
      <c r="A49" s="12" t="str">
        <f t="array" ref="A49">IFERROR(
    INDEX(big_rental_contract!A:A, MATCH(C49, big_rental_contract!F:F, 0)),
    ""
)
</f>
        <v>A0011</v>
      </c>
      <c r="B49" s="22" t="s">
        <v>134</v>
      </c>
      <c r="C49" s="14" t="s">
        <v>135</v>
      </c>
      <c r="D49" s="14" t="s">
        <v>17</v>
      </c>
      <c r="E49" s="14" t="s">
        <v>18</v>
      </c>
      <c r="F49" s="15" t="s">
        <v>19</v>
      </c>
      <c r="G49" s="16">
        <v>20.21</v>
      </c>
      <c r="H49" s="27">
        <v>13800.0</v>
      </c>
      <c r="I49" s="18" t="str">
        <f t="shared" si="1"/>
        <v>入住中</v>
      </c>
      <c r="J49" s="23" t="s">
        <v>136</v>
      </c>
      <c r="K49" s="20" t="s">
        <v>137</v>
      </c>
      <c r="L49" s="21" t="str">
        <f t="shared" si="2"/>
        <v>A</v>
      </c>
      <c r="O49" s="18" t="str">
        <f>IF(AND(C49&lt;&gt;"", D49&lt;&gt;""), IF(COUNTIFS(sublease_contract!$C:$C, C49, sublease_contract!$D:$D, "*" &amp; D49 &amp; "*", sublease_contract!$G:$G, "&lt;&gt;已退租") = 0, "空房招租中", IF(COUNTIFS(sublease_contract!$C:$C, C49, sublease_contract!$D:$D, "*" &amp; D49 &amp; "*", sublease_contract!$G:$G, "&lt;&gt;已退租", sublease_contract!$N:$N, "&gt;" &amp; (TODAY()+20)) &gt; 0, "入住中", IF(COUNTIFS(sublease_contract!$C:$C, C49, sublease_contract!$D:$D, "*" &amp; D49 &amp; "*", sublease_contract!$G:$G, "&lt;&gt;已退租", sublease_contract!$N:$N, "&gt;=" &amp; TODAY(), sublease_contract!$N:$N, "&lt;=" &amp; (TODAY()+20)) &gt; 0, MINIFS(sublease_contract!$N:$N, sublease_contract!$C:$C, C49, sublease_contract!$D:$D, "*" &amp; D49 &amp; "*", sublease_contract!$G:$G, "&lt;&gt;已退租", sublease_contract!$N:$N, "&gt;=" &amp; TODAY(), sublease_contract!$N:$N, "&lt;=" &amp; (TODAY()+20)), "入住中"))), "")</f>
        <v>入住中</v>
      </c>
    </row>
    <row r="50">
      <c r="A50" s="12" t="str">
        <f t="array" ref="A50">IFERROR(
    INDEX(big_rental_contract!A:A, MATCH(C50, big_rental_contract!F:F, 0)),
    ""
)
</f>
        <v>A0011</v>
      </c>
      <c r="B50" s="22" t="s">
        <v>138</v>
      </c>
      <c r="C50" s="14" t="s">
        <v>135</v>
      </c>
      <c r="D50" s="14" t="s">
        <v>21</v>
      </c>
      <c r="E50" s="14" t="s">
        <v>47</v>
      </c>
      <c r="F50" s="15" t="s">
        <v>19</v>
      </c>
      <c r="G50" s="16">
        <v>20.53</v>
      </c>
      <c r="H50" s="17">
        <v>18800.0</v>
      </c>
      <c r="I50" s="18" t="str">
        <f t="shared" si="1"/>
        <v>入住中</v>
      </c>
      <c r="J50" s="23" t="s">
        <v>139</v>
      </c>
      <c r="K50" s="23"/>
      <c r="L50" s="21" t="str">
        <f t="shared" si="2"/>
        <v>A</v>
      </c>
      <c r="O50" s="18" t="str">
        <f>IF(AND(C50&lt;&gt;"", D50&lt;&gt;""), IF(COUNTIFS(sublease_contract!$C:$C, C50, sublease_contract!$D:$D, "*" &amp; D50 &amp; "*", sublease_contract!$G:$G, "&lt;&gt;已退租") = 0, "空房招租中", IF(COUNTIFS(sublease_contract!$C:$C, C50, sublease_contract!$D:$D, "*" &amp; D50 &amp; "*", sublease_contract!$G:$G, "&lt;&gt;已退租", sublease_contract!$N:$N, "&gt;" &amp; (TODAY()+20)) &gt; 0, "入住中", IF(COUNTIFS(sublease_contract!$C:$C, C50, sublease_contract!$D:$D, "*" &amp; D50 &amp; "*", sublease_contract!$G:$G, "&lt;&gt;已退租", sublease_contract!$N:$N, "&gt;=" &amp; TODAY(), sublease_contract!$N:$N, "&lt;=" &amp; (TODAY()+20)) &gt; 0, MINIFS(sublease_contract!$N:$N, sublease_contract!$C:$C, C50, sublease_contract!$D:$D, "*" &amp; D50 &amp; "*", sublease_contract!$G:$G, "&lt;&gt;已退租", sublease_contract!$N:$N, "&gt;=" &amp; TODAY(), sublease_contract!$N:$N, "&lt;=" &amp; (TODAY()+20)), "入住中"))), "")</f>
        <v>入住中</v>
      </c>
    </row>
    <row r="51">
      <c r="A51" s="12" t="str">
        <f t="array" ref="A51">IFERROR(
    INDEX(big_rental_contract!A:A, MATCH(C51, big_rental_contract!F:F, 0)),
    ""
)
</f>
        <v>A0011</v>
      </c>
      <c r="B51" s="22" t="s">
        <v>140</v>
      </c>
      <c r="C51" s="14" t="s">
        <v>135</v>
      </c>
      <c r="D51" s="14" t="s">
        <v>23</v>
      </c>
      <c r="E51" s="14" t="s">
        <v>18</v>
      </c>
      <c r="F51" s="15" t="s">
        <v>19</v>
      </c>
      <c r="G51" s="16">
        <v>10.31</v>
      </c>
      <c r="H51" s="27">
        <v>12500.0</v>
      </c>
      <c r="I51" s="18" t="str">
        <f t="shared" si="1"/>
        <v>入住中</v>
      </c>
      <c r="J51" s="23" t="s">
        <v>141</v>
      </c>
      <c r="K51" s="20" t="s">
        <v>142</v>
      </c>
      <c r="L51" s="21" t="str">
        <f t="shared" si="2"/>
        <v>A</v>
      </c>
      <c r="O51" s="18" t="str">
        <f>IF(AND(C51&lt;&gt;"", D51&lt;&gt;""), IF(COUNTIFS(sublease_contract!$C:$C, C51, sublease_contract!$D:$D, "*" &amp; D51 &amp; "*", sublease_contract!$G:$G, "&lt;&gt;已退租") = 0, "空房招租中", IF(COUNTIFS(sublease_contract!$C:$C, C51, sublease_contract!$D:$D, "*" &amp; D51 &amp; "*", sublease_contract!$G:$G, "&lt;&gt;已退租", sublease_contract!$N:$N, "&gt;" &amp; (TODAY()+20)) &gt; 0, "入住中", IF(COUNTIFS(sublease_contract!$C:$C, C51, sublease_contract!$D:$D, "*" &amp; D51 &amp; "*", sublease_contract!$G:$G, "&lt;&gt;已退租", sublease_contract!$N:$N, "&gt;=" &amp; TODAY(), sublease_contract!$N:$N, "&lt;=" &amp; (TODAY()+20)) &gt; 0, MINIFS(sublease_contract!$N:$N, sublease_contract!$C:$C, C51, sublease_contract!$D:$D, "*" &amp; D51 &amp; "*", sublease_contract!$G:$G, "&lt;&gt;已退租", sublease_contract!$N:$N, "&gt;=" &amp; TODAY(), sublease_contract!$N:$N, "&lt;=" &amp; (TODAY()+20)), "入住中"))), "")</f>
        <v>入住中</v>
      </c>
    </row>
    <row r="52">
      <c r="A52" s="12" t="str">
        <f t="array" ref="A52">IFERROR(
    INDEX(big_rental_contract!A:A, MATCH(C52, big_rental_contract!F:F, 0)),
    ""
)
</f>
        <v>A0011</v>
      </c>
      <c r="B52" s="22" t="s">
        <v>143</v>
      </c>
      <c r="C52" s="14" t="s">
        <v>135</v>
      </c>
      <c r="D52" s="14" t="s">
        <v>25</v>
      </c>
      <c r="E52" s="14" t="s">
        <v>18</v>
      </c>
      <c r="F52" s="15" t="s">
        <v>19</v>
      </c>
      <c r="G52" s="16">
        <v>6.0</v>
      </c>
      <c r="H52" s="27">
        <v>9600.0</v>
      </c>
      <c r="I52" s="18" t="str">
        <f t="shared" si="1"/>
        <v>入住中</v>
      </c>
      <c r="J52" s="23" t="s">
        <v>144</v>
      </c>
      <c r="K52" s="20" t="s">
        <v>145</v>
      </c>
      <c r="L52" s="21" t="str">
        <f t="shared" si="2"/>
        <v>A</v>
      </c>
      <c r="O52" s="18" t="str">
        <f>IF(AND(C52&lt;&gt;"", D52&lt;&gt;""), IF(COUNTIFS(sublease_contract!$C:$C, C52, sublease_contract!$D:$D, "*" &amp; D52 &amp; "*", sublease_contract!$G:$G, "&lt;&gt;已退租") = 0, "空房招租中", IF(COUNTIFS(sublease_contract!$C:$C, C52, sublease_contract!$D:$D, "*" &amp; D52 &amp; "*", sublease_contract!$G:$G, "&lt;&gt;已退租", sublease_contract!$N:$N, "&gt;" &amp; (TODAY()+20)) &gt; 0, "入住中", IF(COUNTIFS(sublease_contract!$C:$C, C52, sublease_contract!$D:$D, "*" &amp; D52 &amp; "*", sublease_contract!$G:$G, "&lt;&gt;已退租", sublease_contract!$N:$N, "&gt;=" &amp; TODAY(), sublease_contract!$N:$N, "&lt;=" &amp; (TODAY()+20)) &gt; 0, MINIFS(sublease_contract!$N:$N, sublease_contract!$C:$C, C52, sublease_contract!$D:$D, "*" &amp; D52 &amp; "*", sublease_contract!$G:$G, "&lt;&gt;已退租", sublease_contract!$N:$N, "&gt;=" &amp; TODAY(), sublease_contract!$N:$N, "&lt;=" &amp; (TODAY()+20)), "入住中"))), "")</f>
        <v>入住中</v>
      </c>
    </row>
    <row r="53">
      <c r="A53" s="12" t="str">
        <f t="array" ref="A53">IFERROR(
    INDEX(big_rental_contract!A:A, MATCH(C53, big_rental_contract!F:F, 0)),
    ""
)
</f>
        <v>A0011</v>
      </c>
      <c r="B53" s="22" t="s">
        <v>146</v>
      </c>
      <c r="C53" s="14" t="s">
        <v>135</v>
      </c>
      <c r="D53" s="14" t="s">
        <v>34</v>
      </c>
      <c r="E53" s="14" t="s">
        <v>18</v>
      </c>
      <c r="F53" s="15" t="s">
        <v>19</v>
      </c>
      <c r="G53" s="16">
        <v>8.73</v>
      </c>
      <c r="H53" s="27">
        <v>11300.0</v>
      </c>
      <c r="I53" s="18" t="str">
        <f t="shared" si="1"/>
        <v>入住中</v>
      </c>
      <c r="J53" s="23" t="s">
        <v>147</v>
      </c>
      <c r="K53" s="20" t="s">
        <v>148</v>
      </c>
      <c r="L53" s="21" t="str">
        <f t="shared" si="2"/>
        <v>A</v>
      </c>
      <c r="O53" s="18" t="str">
        <f>IF(AND(C53&lt;&gt;"", D53&lt;&gt;""), IF(COUNTIFS(sublease_contract!$C:$C, C53, sublease_contract!$D:$D, "*" &amp; D53 &amp; "*", sublease_contract!$G:$G, "&lt;&gt;已退租") = 0, "空房招租中", IF(COUNTIFS(sublease_contract!$C:$C, C53, sublease_contract!$D:$D, "*" &amp; D53 &amp; "*", sublease_contract!$G:$G, "&lt;&gt;已退租", sublease_contract!$N:$N, "&gt;" &amp; (TODAY()+20)) &gt; 0, "入住中", IF(COUNTIFS(sublease_contract!$C:$C, C53, sublease_contract!$D:$D, "*" &amp; D53 &amp; "*", sublease_contract!$G:$G, "&lt;&gt;已退租", sublease_contract!$N:$N, "&gt;=" &amp; TODAY(), sublease_contract!$N:$N, "&lt;=" &amp; (TODAY()+20)) &gt; 0, MINIFS(sublease_contract!$N:$N, sublease_contract!$C:$C, C53, sublease_contract!$D:$D, "*" &amp; D53 &amp; "*", sublease_contract!$G:$G, "&lt;&gt;已退租", sublease_contract!$N:$N, "&gt;=" &amp; TODAY(), sublease_contract!$N:$N, "&lt;=" &amp; (TODAY()+20)), "入住中"))), "")</f>
        <v>入住中</v>
      </c>
    </row>
    <row r="54">
      <c r="A54" s="12" t="str">
        <f t="array" ref="A54">IFERROR(
    INDEX(big_rental_contract!A:A, MATCH(C54, big_rental_contract!F:F, 0)),
    ""
)
</f>
        <v>A0012</v>
      </c>
      <c r="B54" s="22" t="s">
        <v>149</v>
      </c>
      <c r="C54" s="15" t="s">
        <v>150</v>
      </c>
      <c r="D54" s="15" t="s">
        <v>17</v>
      </c>
      <c r="E54" s="14" t="s">
        <v>18</v>
      </c>
      <c r="F54" s="15" t="s">
        <v>19</v>
      </c>
      <c r="G54" s="28">
        <v>11.29</v>
      </c>
      <c r="H54" s="41">
        <v>12800.0</v>
      </c>
      <c r="I54" s="18">
        <f t="shared" si="1"/>
        <v>46081</v>
      </c>
      <c r="J54" s="23" t="s">
        <v>151</v>
      </c>
      <c r="K54" s="20" t="s">
        <v>152</v>
      </c>
      <c r="L54" s="21" t="str">
        <f t="shared" si="2"/>
        <v>A</v>
      </c>
      <c r="O54" s="18">
        <f>IF(AND(C54&lt;&gt;"", D54&lt;&gt;""), IF(COUNTIFS(sublease_contract!$C:$C, C54, sublease_contract!$D:$D, "*" &amp; D54 &amp; "*", sublease_contract!$G:$G, "&lt;&gt;已退租") = 0, "空房招租中", IF(COUNTIFS(sublease_contract!$C:$C, C54, sublease_contract!$D:$D, "*" &amp; D54 &amp; "*", sublease_contract!$G:$G, "&lt;&gt;已退租", sublease_contract!$N:$N, "&gt;" &amp; (TODAY()+20)) &gt; 0, "入住中", IF(COUNTIFS(sublease_contract!$C:$C, C54, sublease_contract!$D:$D, "*" &amp; D54 &amp; "*", sublease_contract!$G:$G, "&lt;&gt;已退租", sublease_contract!$N:$N, "&gt;=" &amp; TODAY(), sublease_contract!$N:$N, "&lt;=" &amp; (TODAY()+20)) &gt; 0, MINIFS(sublease_contract!$N:$N, sublease_contract!$C:$C, C54, sublease_contract!$D:$D, "*" &amp; D54 &amp; "*", sublease_contract!$G:$G, "&lt;&gt;已退租", sublease_contract!$N:$N, "&gt;=" &amp; TODAY(), sublease_contract!$N:$N, "&lt;=" &amp; (TODAY()+20)), "入住中"))), "")</f>
        <v>46081</v>
      </c>
    </row>
    <row r="55">
      <c r="A55" s="12" t="str">
        <f t="array" ref="A55">IFERROR(
    INDEX(big_rental_contract!A:A, MATCH(C55, big_rental_contract!F:F, 0)),
    ""
)
</f>
        <v>A0012</v>
      </c>
      <c r="B55" s="22" t="s">
        <v>153</v>
      </c>
      <c r="C55" s="15" t="s">
        <v>150</v>
      </c>
      <c r="D55" s="15" t="s">
        <v>21</v>
      </c>
      <c r="E55" s="14" t="s">
        <v>18</v>
      </c>
      <c r="F55" s="15" t="s">
        <v>19</v>
      </c>
      <c r="G55" s="28">
        <v>11.96</v>
      </c>
      <c r="H55" s="41">
        <v>12800.0</v>
      </c>
      <c r="I55" s="18" t="str">
        <f t="shared" si="1"/>
        <v>入住中</v>
      </c>
      <c r="J55" s="23" t="s">
        <v>154</v>
      </c>
      <c r="K55" s="20" t="s">
        <v>155</v>
      </c>
      <c r="L55" s="21" t="str">
        <f t="shared" si="2"/>
        <v>A</v>
      </c>
      <c r="O55" s="18" t="str">
        <f>IF(AND(C55&lt;&gt;"", D55&lt;&gt;""), IF(COUNTIFS(sublease_contract!$C:$C, C55, sublease_contract!$D:$D, "*" &amp; D55 &amp; "*", sublease_contract!$G:$G, "&lt;&gt;已退租") = 0, "空房招租中", IF(COUNTIFS(sublease_contract!$C:$C, C55, sublease_contract!$D:$D, "*" &amp; D55 &amp; "*", sublease_contract!$G:$G, "&lt;&gt;已退租", sublease_contract!$N:$N, "&gt;" &amp; (TODAY()+20)) &gt; 0, "入住中", IF(COUNTIFS(sublease_contract!$C:$C, C55, sublease_contract!$D:$D, "*" &amp; D55 &amp; "*", sublease_contract!$G:$G, "&lt;&gt;已退租", sublease_contract!$N:$N, "&gt;=" &amp; TODAY(), sublease_contract!$N:$N, "&lt;=" &amp; (TODAY()+20)) &gt; 0, MINIFS(sublease_contract!$N:$N, sublease_contract!$C:$C, C55, sublease_contract!$D:$D, "*" &amp; D55 &amp; "*", sublease_contract!$G:$G, "&lt;&gt;已退租", sublease_contract!$N:$N, "&gt;=" &amp; TODAY(), sublease_contract!$N:$N, "&lt;=" &amp; (TODAY()+20)), "入住中"))), "")</f>
        <v>入住中</v>
      </c>
    </row>
    <row r="56">
      <c r="A56" s="12" t="str">
        <f t="array" ref="A56">IFERROR(
    INDEX(big_rental_contract!A:A, MATCH(C56, big_rental_contract!F:F, 0)),
    ""
)
</f>
        <v>A0012</v>
      </c>
      <c r="B56" s="22" t="s">
        <v>156</v>
      </c>
      <c r="C56" s="15" t="s">
        <v>150</v>
      </c>
      <c r="D56" s="15" t="s">
        <v>23</v>
      </c>
      <c r="E56" s="15" t="s">
        <v>18</v>
      </c>
      <c r="F56" s="15" t="s">
        <v>19</v>
      </c>
      <c r="G56" s="28">
        <v>10.48</v>
      </c>
      <c r="H56" s="29">
        <v>14800.0</v>
      </c>
      <c r="I56" s="18" t="str">
        <f t="shared" si="1"/>
        <v>入住中</v>
      </c>
      <c r="J56" s="19" t="s">
        <v>157</v>
      </c>
      <c r="K56" s="20" t="s">
        <v>158</v>
      </c>
      <c r="L56" s="21" t="str">
        <f t="shared" si="2"/>
        <v>A</v>
      </c>
      <c r="O56" s="18" t="str">
        <f>IF(AND(C56&lt;&gt;"", D56&lt;&gt;""), IF(COUNTIFS(sublease_contract!$C:$C, C56, sublease_contract!$D:$D, "*" &amp; D56 &amp; "*", sublease_contract!$G:$G, "&lt;&gt;已退租") = 0, "空房招租中", IF(COUNTIFS(sublease_contract!$C:$C, C56, sublease_contract!$D:$D, "*" &amp; D56 &amp; "*", sublease_contract!$G:$G, "&lt;&gt;已退租", sublease_contract!$N:$N, "&gt;" &amp; (TODAY()+20)) &gt; 0, "入住中", IF(COUNTIFS(sublease_contract!$C:$C, C56, sublease_contract!$D:$D, "*" &amp; D56 &amp; "*", sublease_contract!$G:$G, "&lt;&gt;已退租", sublease_contract!$N:$N, "&gt;=" &amp; TODAY(), sublease_contract!$N:$N, "&lt;=" &amp; (TODAY()+20)) &gt; 0, MINIFS(sublease_contract!$N:$N, sublease_contract!$C:$C, C56, sublease_contract!$D:$D, "*" &amp; D56 &amp; "*", sublease_contract!$G:$G, "&lt;&gt;已退租", sublease_contract!$N:$N, "&gt;=" &amp; TODAY(), sublease_contract!$N:$N, "&lt;=" &amp; (TODAY()+20)), "入住中"))), "")</f>
        <v>入住中</v>
      </c>
    </row>
    <row r="57">
      <c r="A57" s="12" t="str">
        <f t="array" ref="A57">IFERROR(
    INDEX(big_rental_contract!A:A, MATCH(C57, big_rental_contract!F:F, 0)),
    ""
)
</f>
        <v>A0012</v>
      </c>
      <c r="B57" s="22" t="s">
        <v>159</v>
      </c>
      <c r="C57" s="15" t="s">
        <v>150</v>
      </c>
      <c r="D57" s="15" t="s">
        <v>25</v>
      </c>
      <c r="E57" s="15" t="s">
        <v>18</v>
      </c>
      <c r="F57" s="15" t="s">
        <v>19</v>
      </c>
      <c r="G57" s="28">
        <v>8.69</v>
      </c>
      <c r="H57" s="29">
        <v>14500.0</v>
      </c>
      <c r="I57" s="18" t="str">
        <f t="shared" si="1"/>
        <v>入住中</v>
      </c>
      <c r="J57" s="23" t="s">
        <v>160</v>
      </c>
      <c r="K57" s="20" t="s">
        <v>161</v>
      </c>
      <c r="L57" s="21" t="str">
        <f t="shared" si="2"/>
        <v>A</v>
      </c>
      <c r="O57" s="18" t="str">
        <f>IF(AND(C57&lt;&gt;"", D57&lt;&gt;""), IF(COUNTIFS(sublease_contract!$C:$C, C57, sublease_contract!$D:$D, "*" &amp; D57 &amp; "*", sublease_contract!$G:$G, "&lt;&gt;已退租") = 0, "空房招租中", IF(COUNTIFS(sublease_contract!$C:$C, C57, sublease_contract!$D:$D, "*" &amp; D57 &amp; "*", sublease_contract!$G:$G, "&lt;&gt;已退租", sublease_contract!$N:$N, "&gt;" &amp; (TODAY()+20)) &gt; 0, "入住中", IF(COUNTIFS(sublease_contract!$C:$C, C57, sublease_contract!$D:$D, "*" &amp; D57 &amp; "*", sublease_contract!$G:$G, "&lt;&gt;已退租", sublease_contract!$N:$N, "&gt;=" &amp; TODAY(), sublease_contract!$N:$N, "&lt;=" &amp; (TODAY()+20)) &gt; 0, MINIFS(sublease_contract!$N:$N, sublease_contract!$C:$C, C57, sublease_contract!$D:$D, "*" &amp; D57 &amp; "*", sublease_contract!$G:$G, "&lt;&gt;已退租", sublease_contract!$N:$N, "&gt;=" &amp; TODAY(), sublease_contract!$N:$N, "&lt;=" &amp; (TODAY()+20)), "入住中"))), "")</f>
        <v>入住中</v>
      </c>
    </row>
    <row r="58">
      <c r="A58" s="12" t="str">
        <f t="array" ref="A58">IFERROR(
    INDEX(big_rental_contract!A:A, MATCH(C58, big_rental_contract!F:F, 0)),
    ""
)
</f>
        <v>A0013</v>
      </c>
      <c r="B58" s="22" t="s">
        <v>162</v>
      </c>
      <c r="C58" s="15" t="s">
        <v>163</v>
      </c>
      <c r="D58" s="15" t="s">
        <v>17</v>
      </c>
      <c r="E58" s="15" t="s">
        <v>18</v>
      </c>
      <c r="F58" s="15" t="s">
        <v>19</v>
      </c>
      <c r="G58" s="28">
        <v>11.01</v>
      </c>
      <c r="H58" s="41">
        <v>14500.0</v>
      </c>
      <c r="I58" s="18">
        <f t="shared" si="1"/>
        <v>46081</v>
      </c>
      <c r="J58" s="19" t="s">
        <v>164</v>
      </c>
      <c r="K58" s="20" t="s">
        <v>165</v>
      </c>
      <c r="L58" s="21" t="str">
        <f t="shared" si="2"/>
        <v>A</v>
      </c>
      <c r="O58" s="18">
        <f>IF(AND(C58&lt;&gt;"", D58&lt;&gt;""), IF(COUNTIFS(sublease_contract!$C:$C, C58, sublease_contract!$D:$D, "*" &amp; D58 &amp; "*", sublease_contract!$G:$G, "&lt;&gt;已退租") = 0, "空房招租中", IF(COUNTIFS(sublease_contract!$C:$C, C58, sublease_contract!$D:$D, "*" &amp; D58 &amp; "*", sublease_contract!$G:$G, "&lt;&gt;已退租", sublease_contract!$N:$N, "&gt;" &amp; (TODAY()+20)) &gt; 0, "入住中", IF(COUNTIFS(sublease_contract!$C:$C, C58, sublease_contract!$D:$D, "*" &amp; D58 &amp; "*", sublease_contract!$G:$G, "&lt;&gt;已退租", sublease_contract!$N:$N, "&gt;=" &amp; TODAY(), sublease_contract!$N:$N, "&lt;=" &amp; (TODAY()+20)) &gt; 0, MINIFS(sublease_contract!$N:$N, sublease_contract!$C:$C, C58, sublease_contract!$D:$D, "*" &amp; D58 &amp; "*", sublease_contract!$G:$G, "&lt;&gt;已退租", sublease_contract!$N:$N, "&gt;=" &amp; TODAY(), sublease_contract!$N:$N, "&lt;=" &amp; (TODAY()+20)), "入住中"))), "")</f>
        <v>46081</v>
      </c>
    </row>
    <row r="59">
      <c r="A59" s="12" t="str">
        <f t="array" ref="A59">IFERROR(
    INDEX(big_rental_contract!A:A, MATCH(C59, big_rental_contract!F:F, 0)),
    ""
)
</f>
        <v>A0013</v>
      </c>
      <c r="B59" s="22" t="s">
        <v>166</v>
      </c>
      <c r="C59" s="15" t="s">
        <v>163</v>
      </c>
      <c r="D59" s="15" t="s">
        <v>21</v>
      </c>
      <c r="E59" s="15" t="s">
        <v>18</v>
      </c>
      <c r="F59" s="15" t="s">
        <v>19</v>
      </c>
      <c r="G59" s="28">
        <v>10.83</v>
      </c>
      <c r="H59" s="41">
        <v>14500.0</v>
      </c>
      <c r="I59" s="18">
        <f t="shared" si="1"/>
        <v>46081</v>
      </c>
      <c r="J59" s="19" t="s">
        <v>167</v>
      </c>
      <c r="K59" s="20" t="s">
        <v>168</v>
      </c>
      <c r="L59" s="21" t="str">
        <f t="shared" si="2"/>
        <v>A</v>
      </c>
      <c r="O59" s="18">
        <f>IF(AND(C59&lt;&gt;"", D59&lt;&gt;""), IF(COUNTIFS(sublease_contract!$C:$C, C59, sublease_contract!$D:$D, "*" &amp; D59 &amp; "*", sublease_contract!$G:$G, "&lt;&gt;已退租") = 0, "空房招租中", IF(COUNTIFS(sublease_contract!$C:$C, C59, sublease_contract!$D:$D, "*" &amp; D59 &amp; "*", sublease_contract!$G:$G, "&lt;&gt;已退租", sublease_contract!$N:$N, "&gt;" &amp; (TODAY()+20)) &gt; 0, "入住中", IF(COUNTIFS(sublease_contract!$C:$C, C59, sublease_contract!$D:$D, "*" &amp; D59 &amp; "*", sublease_contract!$G:$G, "&lt;&gt;已退租", sublease_contract!$N:$N, "&gt;=" &amp; TODAY(), sublease_contract!$N:$N, "&lt;=" &amp; (TODAY()+20)) &gt; 0, MINIFS(sublease_contract!$N:$N, sublease_contract!$C:$C, C59, sublease_contract!$D:$D, "*" &amp; D59 &amp; "*", sublease_contract!$G:$G, "&lt;&gt;已退租", sublease_contract!$N:$N, "&gt;=" &amp; TODAY(), sublease_contract!$N:$N, "&lt;=" &amp; (TODAY()+20)), "入住中"))), "")</f>
        <v>46081</v>
      </c>
    </row>
    <row r="60">
      <c r="A60" s="12" t="str">
        <f t="array" ref="A60">IFERROR(
    INDEX(big_rental_contract!A:A, MATCH(C60, big_rental_contract!F:F, 0)),
    ""
)
</f>
        <v>A0013</v>
      </c>
      <c r="B60" s="22" t="s">
        <v>169</v>
      </c>
      <c r="C60" s="15" t="s">
        <v>163</v>
      </c>
      <c r="D60" s="15" t="s">
        <v>23</v>
      </c>
      <c r="E60" s="15" t="s">
        <v>18</v>
      </c>
      <c r="F60" s="15" t="s">
        <v>19</v>
      </c>
      <c r="G60" s="28">
        <v>8.01</v>
      </c>
      <c r="H60" s="41">
        <v>12000.0</v>
      </c>
      <c r="I60" s="18" t="str">
        <f t="shared" si="1"/>
        <v>入住中</v>
      </c>
      <c r="J60" s="23"/>
      <c r="K60" s="20" t="s">
        <v>170</v>
      </c>
      <c r="L60" s="21" t="str">
        <f t="shared" si="2"/>
        <v>A</v>
      </c>
      <c r="O60" s="18" t="str">
        <f>IF(AND(C60&lt;&gt;"", D60&lt;&gt;""), IF(COUNTIFS(sublease_contract!$C:$C, C60, sublease_contract!$D:$D, "*" &amp; D60 &amp; "*", sublease_contract!$G:$G, "&lt;&gt;已退租") = 0, "空房招租中", IF(COUNTIFS(sublease_contract!$C:$C, C60, sublease_contract!$D:$D, "*" &amp; D60 &amp; "*", sublease_contract!$G:$G, "&lt;&gt;已退租", sublease_contract!$N:$N, "&gt;" &amp; (TODAY()+20)) &gt; 0, "入住中", IF(COUNTIFS(sublease_contract!$C:$C, C60, sublease_contract!$D:$D, "*" &amp; D60 &amp; "*", sublease_contract!$G:$G, "&lt;&gt;已退租", sublease_contract!$N:$N, "&gt;=" &amp; TODAY(), sublease_contract!$N:$N, "&lt;=" &amp; (TODAY()+20)) &gt; 0, MINIFS(sublease_contract!$N:$N, sublease_contract!$C:$C, C60, sublease_contract!$D:$D, "*" &amp; D60 &amp; "*", sublease_contract!$G:$G, "&lt;&gt;已退租", sublease_contract!$N:$N, "&gt;=" &amp; TODAY(), sublease_contract!$N:$N, "&lt;=" &amp; (TODAY()+20)), "入住中"))), "")</f>
        <v>入住中</v>
      </c>
    </row>
    <row r="61">
      <c r="A61" s="12" t="str">
        <f t="array" ref="A61">IFERROR(
    INDEX(big_rental_contract!A:A, MATCH(C61, big_rental_contract!F:F, 0)),
    ""
)
</f>
        <v>A0013</v>
      </c>
      <c r="B61" s="22" t="s">
        <v>171</v>
      </c>
      <c r="C61" s="15" t="s">
        <v>163</v>
      </c>
      <c r="D61" s="15" t="s">
        <v>25</v>
      </c>
      <c r="E61" s="15" t="s">
        <v>18</v>
      </c>
      <c r="F61" s="15" t="s">
        <v>19</v>
      </c>
      <c r="G61" s="28">
        <v>8.03</v>
      </c>
      <c r="H61" s="41">
        <v>12000.0</v>
      </c>
      <c r="I61" s="18" t="str">
        <f t="shared" si="1"/>
        <v>入住中</v>
      </c>
      <c r="J61" s="23"/>
      <c r="K61" s="20" t="s">
        <v>172</v>
      </c>
      <c r="L61" s="21" t="str">
        <f t="shared" si="2"/>
        <v>A</v>
      </c>
      <c r="O61" s="18" t="str">
        <f>IF(AND(C61&lt;&gt;"", D61&lt;&gt;""), IF(COUNTIFS(sublease_contract!$C:$C, C61, sublease_contract!$D:$D, "*" &amp; D61 &amp; "*", sublease_contract!$G:$G, "&lt;&gt;已退租") = 0, "空房招租中", IF(COUNTIFS(sublease_contract!$C:$C, C61, sublease_contract!$D:$D, "*" &amp; D61 &amp; "*", sublease_contract!$G:$G, "&lt;&gt;已退租", sublease_contract!$N:$N, "&gt;" &amp; (TODAY()+20)) &gt; 0, "入住中", IF(COUNTIFS(sublease_contract!$C:$C, C61, sublease_contract!$D:$D, "*" &amp; D61 &amp; "*", sublease_contract!$G:$G, "&lt;&gt;已退租", sublease_contract!$N:$N, "&gt;=" &amp; TODAY(), sublease_contract!$N:$N, "&lt;=" &amp; (TODAY()+20)) &gt; 0, MINIFS(sublease_contract!$N:$N, sublease_contract!$C:$C, C61, sublease_contract!$D:$D, "*" &amp; D61 &amp; "*", sublease_contract!$G:$G, "&lt;&gt;已退租", sublease_contract!$N:$N, "&gt;=" &amp; TODAY(), sublease_contract!$N:$N, "&lt;=" &amp; (TODAY()+20)), "入住中"))), "")</f>
        <v>入住中</v>
      </c>
    </row>
    <row r="62">
      <c r="A62" s="12" t="str">
        <f t="array" ref="A62">IFERROR(
    INDEX(big_rental_contract!A:A, MATCH(C62, big_rental_contract!F:F, 0)),
    ""
)
</f>
        <v>A0013</v>
      </c>
      <c r="B62" s="22" t="s">
        <v>173</v>
      </c>
      <c r="C62" s="15" t="s">
        <v>163</v>
      </c>
      <c r="D62" s="31" t="s">
        <v>34</v>
      </c>
      <c r="E62" s="15" t="s">
        <v>18</v>
      </c>
      <c r="F62" s="15" t="s">
        <v>37</v>
      </c>
      <c r="G62" s="42">
        <v>12.91</v>
      </c>
      <c r="H62" s="41">
        <v>13900.0</v>
      </c>
      <c r="I62" s="18" t="str">
        <f t="shared" si="1"/>
        <v>入住中</v>
      </c>
      <c r="J62" s="23"/>
      <c r="K62" s="34" t="s">
        <v>174</v>
      </c>
      <c r="L62" s="21" t="str">
        <f t="shared" si="2"/>
        <v>A</v>
      </c>
      <c r="M62" s="37" t="s">
        <v>19</v>
      </c>
      <c r="N62" s="37" t="s">
        <v>175</v>
      </c>
      <c r="O62" s="18" t="str">
        <f>IF(AND(C62&lt;&gt;"", D62&lt;&gt;""), IF(COUNTIFS(sublease_contract!$C:$C, C62, sublease_contract!$D:$D, "*" &amp; D62 &amp; "*", sublease_contract!$G:$G, "&lt;&gt;已退租") = 0, "空房招租中", IF(COUNTIFS(sublease_contract!$C:$C, C62, sublease_contract!$D:$D, "*" &amp; D62 &amp; "*", sublease_contract!$G:$G, "&lt;&gt;已退租", sublease_contract!$N:$N, "&gt;" &amp; (TODAY()+20)) &gt; 0, "入住中", IF(COUNTIFS(sublease_contract!$C:$C, C62, sublease_contract!$D:$D, "*" &amp; D62 &amp; "*", sublease_contract!$G:$G, "&lt;&gt;已退租", sublease_contract!$N:$N, "&gt;=" &amp; TODAY(), sublease_contract!$N:$N, "&lt;=" &amp; (TODAY()+20)) &gt; 0, MINIFS(sublease_contract!$N:$N, sublease_contract!$C:$C, C62, sublease_contract!$D:$D, "*" &amp; D62 &amp; "*", sublease_contract!$G:$G, "&lt;&gt;已退租", sublease_contract!$N:$N, "&gt;=" &amp; TODAY(), sublease_contract!$N:$N, "&lt;=" &amp; (TODAY()+20)), "入住中"))), "")</f>
        <v>空房招租中</v>
      </c>
    </row>
    <row r="63">
      <c r="A63" s="12" t="str">
        <f t="array" ref="A63">IFERROR(
    INDEX(big_rental_contract!A:A, MATCH(C63, big_rental_contract!F:F, 0)),
    ""
)
</f>
        <v>A0013</v>
      </c>
      <c r="B63" s="22" t="s">
        <v>176</v>
      </c>
      <c r="C63" s="15" t="s">
        <v>163</v>
      </c>
      <c r="D63" s="31" t="s">
        <v>36</v>
      </c>
      <c r="E63" s="15" t="s">
        <v>18</v>
      </c>
      <c r="F63" s="15" t="s">
        <v>37</v>
      </c>
      <c r="G63" s="42">
        <v>14.13</v>
      </c>
      <c r="H63" s="41">
        <v>13900.0</v>
      </c>
      <c r="I63" s="18" t="str">
        <f t="shared" si="1"/>
        <v>入住中</v>
      </c>
      <c r="J63" s="23"/>
      <c r="K63" s="35" t="s">
        <v>174</v>
      </c>
      <c r="L63" s="21" t="str">
        <f t="shared" si="2"/>
        <v>A</v>
      </c>
      <c r="M63" s="37" t="s">
        <v>19</v>
      </c>
      <c r="N63" s="37" t="s">
        <v>175</v>
      </c>
      <c r="O63" s="18" t="str">
        <f>IF(AND(C63&lt;&gt;"", D63&lt;&gt;""), IF(COUNTIFS(sublease_contract!$C:$C, C63, sublease_contract!$D:$D, "*" &amp; D63 &amp; "*", sublease_contract!$G:$G, "&lt;&gt;已退租") = 0, "空房招租中", IF(COUNTIFS(sublease_contract!$C:$C, C63, sublease_contract!$D:$D, "*" &amp; D63 &amp; "*", sublease_contract!$G:$G, "&lt;&gt;已退租", sublease_contract!$N:$N, "&gt;" &amp; (TODAY()+20)) &gt; 0, "入住中", IF(COUNTIFS(sublease_contract!$C:$C, C63, sublease_contract!$D:$D, "*" &amp; D63 &amp; "*", sublease_contract!$G:$G, "&lt;&gt;已退租", sublease_contract!$N:$N, "&gt;=" &amp; TODAY(), sublease_contract!$N:$N, "&lt;=" &amp; (TODAY()+20)) &gt; 0, MINIFS(sublease_contract!$N:$N, sublease_contract!$C:$C, C63, sublease_contract!$D:$D, "*" &amp; D63 &amp; "*", sublease_contract!$G:$G, "&lt;&gt;已退租", sublease_contract!$N:$N, "&gt;=" &amp; TODAY(), sublease_contract!$N:$N, "&lt;=" &amp; (TODAY()+20)), "入住中"))), "")</f>
        <v>空房招租中</v>
      </c>
    </row>
    <row r="64">
      <c r="A64" s="12" t="str">
        <f t="array" ref="A64">IFERROR(
    INDEX(big_rental_contract!A:A, MATCH(C64, big_rental_contract!F:F, 0)),
    ""
)
</f>
        <v>A0014</v>
      </c>
      <c r="B64" s="22" t="s">
        <v>177</v>
      </c>
      <c r="C64" s="15" t="s">
        <v>178</v>
      </c>
      <c r="D64" s="24" t="s">
        <v>17</v>
      </c>
      <c r="E64" s="15" t="s">
        <v>18</v>
      </c>
      <c r="F64" s="24" t="s">
        <v>19</v>
      </c>
      <c r="G64" s="25">
        <v>12.51</v>
      </c>
      <c r="H64" s="40">
        <v>13200.0</v>
      </c>
      <c r="I64" s="18">
        <f t="shared" si="1"/>
        <v>46081</v>
      </c>
      <c r="J64" s="23"/>
      <c r="L64" s="21" t="str">
        <f t="shared" si="2"/>
        <v>A</v>
      </c>
      <c r="O64" s="18">
        <f>IF(AND(C64&lt;&gt;"", D64&lt;&gt;""), IF(COUNTIFS(sublease_contract!$C:$C, C64, sublease_contract!$D:$D, "*" &amp; D64 &amp; "*", sublease_contract!$G:$G, "&lt;&gt;已退租") = 0, "空房招租中", IF(COUNTIFS(sublease_contract!$C:$C, C64, sublease_contract!$D:$D, "*" &amp; D64 &amp; "*", sublease_contract!$G:$G, "&lt;&gt;已退租", sublease_contract!$N:$N, "&gt;" &amp; (TODAY()+20)) &gt; 0, "入住中", IF(COUNTIFS(sublease_contract!$C:$C, C64, sublease_contract!$D:$D, "*" &amp; D64 &amp; "*", sublease_contract!$G:$G, "&lt;&gt;已退租", sublease_contract!$N:$N, "&gt;=" &amp; TODAY(), sublease_contract!$N:$N, "&lt;=" &amp; (TODAY()+20)) &gt; 0, MINIFS(sublease_contract!$N:$N, sublease_contract!$C:$C, C64, sublease_contract!$D:$D, "*" &amp; D64 &amp; "*", sublease_contract!$G:$G, "&lt;&gt;已退租", sublease_contract!$N:$N, "&gt;=" &amp; TODAY(), sublease_contract!$N:$N, "&lt;=" &amp; (TODAY()+20)), "入住中"))), "")</f>
        <v>46081</v>
      </c>
    </row>
    <row r="65">
      <c r="A65" s="12" t="str">
        <f t="array" ref="A65">IFERROR(
    INDEX(big_rental_contract!A:A, MATCH(C65, big_rental_contract!F:F, 0)),
    ""
)
</f>
        <v>A0014</v>
      </c>
      <c r="B65" s="22" t="s">
        <v>179</v>
      </c>
      <c r="C65" s="15" t="s">
        <v>178</v>
      </c>
      <c r="D65" s="15" t="s">
        <v>21</v>
      </c>
      <c r="E65" s="15" t="s">
        <v>47</v>
      </c>
      <c r="F65" s="15" t="s">
        <v>19</v>
      </c>
      <c r="G65" s="28">
        <v>19.54</v>
      </c>
      <c r="H65" s="29">
        <v>17500.0</v>
      </c>
      <c r="I65" s="18" t="str">
        <f t="shared" si="1"/>
        <v>入住中</v>
      </c>
      <c r="J65" s="23"/>
      <c r="L65" s="21" t="str">
        <f t="shared" si="2"/>
        <v>A</v>
      </c>
      <c r="O65" s="18" t="str">
        <f>IF(AND(C65&lt;&gt;"", D65&lt;&gt;""), IF(COUNTIFS(sublease_contract!$C:$C, C65, sublease_contract!$D:$D, "*" &amp; D65 &amp; "*", sublease_contract!$G:$G, "&lt;&gt;已退租") = 0, "空房招租中", IF(COUNTIFS(sublease_contract!$C:$C, C65, sublease_contract!$D:$D, "*" &amp; D65 &amp; "*", sublease_contract!$G:$G, "&lt;&gt;已退租", sublease_contract!$N:$N, "&gt;" &amp; (TODAY()+20)) &gt; 0, "入住中", IF(COUNTIFS(sublease_contract!$C:$C, C65, sublease_contract!$D:$D, "*" &amp; D65 &amp; "*", sublease_contract!$G:$G, "&lt;&gt;已退租", sublease_contract!$N:$N, "&gt;=" &amp; TODAY(), sublease_contract!$N:$N, "&lt;=" &amp; (TODAY()+20)) &gt; 0, MINIFS(sublease_contract!$N:$N, sublease_contract!$C:$C, C65, sublease_contract!$D:$D, "*" &amp; D65 &amp; "*", sublease_contract!$G:$G, "&lt;&gt;已退租", sublease_contract!$N:$N, "&gt;=" &amp; TODAY(), sublease_contract!$N:$N, "&lt;=" &amp; (TODAY()+20)), "入住中"))), "")</f>
        <v>入住中</v>
      </c>
    </row>
    <row r="66">
      <c r="A66" s="12" t="str">
        <f t="array" ref="A66">IFERROR(
    INDEX(big_rental_contract!A:A, MATCH(C66, big_rental_contract!F:F, 0)),
    ""
)
</f>
        <v>A0014</v>
      </c>
      <c r="B66" s="22" t="s">
        <v>180</v>
      </c>
      <c r="C66" s="15" t="s">
        <v>178</v>
      </c>
      <c r="D66" s="24" t="s">
        <v>23</v>
      </c>
      <c r="E66" s="15" t="s">
        <v>18</v>
      </c>
      <c r="F66" s="24" t="s">
        <v>19</v>
      </c>
      <c r="G66" s="25">
        <v>9.41</v>
      </c>
      <c r="H66" s="40">
        <v>11500.0</v>
      </c>
      <c r="I66" s="18" t="str">
        <f t="shared" si="1"/>
        <v>入住中</v>
      </c>
      <c r="J66" s="23"/>
      <c r="K66" s="33" t="s">
        <v>181</v>
      </c>
      <c r="L66" s="21" t="str">
        <f t="shared" si="2"/>
        <v>A</v>
      </c>
      <c r="O66" s="18" t="str">
        <f>IF(AND(C66&lt;&gt;"", D66&lt;&gt;""), IF(COUNTIFS(sublease_contract!$C:$C, C66, sublease_contract!$D:$D, "*" &amp; D66 &amp; "*", sublease_contract!$G:$G, "&lt;&gt;已退租") = 0, "空房招租中", IF(COUNTIFS(sublease_contract!$C:$C, C66, sublease_contract!$D:$D, "*" &amp; D66 &amp; "*", sublease_contract!$G:$G, "&lt;&gt;已退租", sublease_contract!$N:$N, "&gt;" &amp; (TODAY()+20)) &gt; 0, "入住中", IF(COUNTIFS(sublease_contract!$C:$C, C66, sublease_contract!$D:$D, "*" &amp; D66 &amp; "*", sublease_contract!$G:$G, "&lt;&gt;已退租", sublease_contract!$N:$N, "&gt;=" &amp; TODAY(), sublease_contract!$N:$N, "&lt;=" &amp; (TODAY()+20)) &gt; 0, MINIFS(sublease_contract!$N:$N, sublease_contract!$C:$C, C66, sublease_contract!$D:$D, "*" &amp; D66 &amp; "*", sublease_contract!$G:$G, "&lt;&gt;已退租", sublease_contract!$N:$N, "&gt;=" &amp; TODAY(), sublease_contract!$N:$N, "&lt;=" &amp; (TODAY()+20)), "入住中"))), "")</f>
        <v>入住中</v>
      </c>
    </row>
    <row r="67">
      <c r="A67" s="12" t="str">
        <f t="array" ref="A67">IFERROR(
    INDEX(big_rental_contract!A:A, MATCH(C67, big_rental_contract!F:F, 0)),
    ""
)
</f>
        <v>A0014</v>
      </c>
      <c r="B67" s="22" t="s">
        <v>182</v>
      </c>
      <c r="C67" s="15" t="s">
        <v>178</v>
      </c>
      <c r="D67" s="24" t="s">
        <v>25</v>
      </c>
      <c r="E67" s="15" t="s">
        <v>18</v>
      </c>
      <c r="F67" s="24" t="s">
        <v>19</v>
      </c>
      <c r="G67" s="25">
        <v>7.5</v>
      </c>
      <c r="H67" s="40">
        <v>10800.0</v>
      </c>
      <c r="I67" s="18" t="str">
        <f t="shared" si="1"/>
        <v>入住中</v>
      </c>
      <c r="J67" s="23"/>
      <c r="L67" s="21" t="str">
        <f t="shared" si="2"/>
        <v>A</v>
      </c>
      <c r="O67" s="18" t="str">
        <f>IF(AND(C67&lt;&gt;"", D67&lt;&gt;""), IF(COUNTIFS(sublease_contract!$C:$C, C67, sublease_contract!$D:$D, "*" &amp; D67 &amp; "*", sublease_contract!$G:$G, "&lt;&gt;已退租") = 0, "空房招租中", IF(COUNTIFS(sublease_contract!$C:$C, C67, sublease_contract!$D:$D, "*" &amp; D67 &amp; "*", sublease_contract!$G:$G, "&lt;&gt;已退租", sublease_contract!$N:$N, "&gt;" &amp; (TODAY()+20)) &gt; 0, "入住中", IF(COUNTIFS(sublease_contract!$C:$C, C67, sublease_contract!$D:$D, "*" &amp; D67 &amp; "*", sublease_contract!$G:$G, "&lt;&gt;已退租", sublease_contract!$N:$N, "&gt;=" &amp; TODAY(), sublease_contract!$N:$N, "&lt;=" &amp; (TODAY()+20)) &gt; 0, MINIFS(sublease_contract!$N:$N, sublease_contract!$C:$C, C67, sublease_contract!$D:$D, "*" &amp; D67 &amp; "*", sublease_contract!$G:$G, "&lt;&gt;已退租", sublease_contract!$N:$N, "&gt;=" &amp; TODAY(), sublease_contract!$N:$N, "&lt;=" &amp; (TODAY()+20)), "入住中"))), "")</f>
        <v>入住中</v>
      </c>
    </row>
    <row r="68">
      <c r="A68" s="12" t="str">
        <f t="array" ref="A68">IFERROR(
    INDEX(big_rental_contract!A:A, MATCH(C68, big_rental_contract!F:F, 0)),
    ""
)
</f>
        <v>A0014</v>
      </c>
      <c r="B68" s="22" t="s">
        <v>183</v>
      </c>
      <c r="C68" s="15" t="s">
        <v>178</v>
      </c>
      <c r="D68" s="31" t="s">
        <v>34</v>
      </c>
      <c r="E68" s="15" t="s">
        <v>18</v>
      </c>
      <c r="F68" s="15" t="s">
        <v>37</v>
      </c>
      <c r="G68" s="42">
        <v>9.83</v>
      </c>
      <c r="H68" s="41">
        <v>14900.0</v>
      </c>
      <c r="I68" s="18" t="str">
        <f t="shared" si="1"/>
        <v>入住中</v>
      </c>
      <c r="J68" s="23"/>
      <c r="K68" s="20" t="s">
        <v>184</v>
      </c>
      <c r="L68" s="21" t="str">
        <f t="shared" si="2"/>
        <v>A</v>
      </c>
      <c r="M68" s="37" t="s">
        <v>19</v>
      </c>
      <c r="N68" s="37" t="s">
        <v>185</v>
      </c>
      <c r="O68" s="18" t="str">
        <f>IF(AND(C68&lt;&gt;"", D68&lt;&gt;""), IF(COUNTIFS(sublease_contract!$C:$C, C68, sublease_contract!$D:$D, "*" &amp; D68 &amp; "*", sublease_contract!$G:$G, "&lt;&gt;已退租") = 0, "空房招租中", IF(COUNTIFS(sublease_contract!$C:$C, C68, sublease_contract!$D:$D, "*" &amp; D68 &amp; "*", sublease_contract!$G:$G, "&lt;&gt;已退租", sublease_contract!$N:$N, "&gt;" &amp; (TODAY()+20)) &gt; 0, "入住中", IF(COUNTIFS(sublease_contract!$C:$C, C68, sublease_contract!$D:$D, "*" &amp; D68 &amp; "*", sublease_contract!$G:$G, "&lt;&gt;已退租", sublease_contract!$N:$N, "&gt;=" &amp; TODAY(), sublease_contract!$N:$N, "&lt;=" &amp; (TODAY()+20)) &gt; 0, MINIFS(sublease_contract!$N:$N, sublease_contract!$C:$C, C68, sublease_contract!$D:$D, "*" &amp; D68 &amp; "*", sublease_contract!$G:$G, "&lt;&gt;已退租", sublease_contract!$N:$N, "&gt;=" &amp; TODAY(), sublease_contract!$N:$N, "&lt;=" &amp; (TODAY()+20)), "入住中"))), "")</f>
        <v>入住中</v>
      </c>
    </row>
    <row r="69">
      <c r="A69" s="12" t="str">
        <f t="array" ref="A69">IFERROR(
    INDEX(big_rental_contract!A:A, MATCH(C69, big_rental_contract!F:F, 0)),
    ""
)
</f>
        <v>A0014</v>
      </c>
      <c r="B69" s="22" t="s">
        <v>186</v>
      </c>
      <c r="C69" s="15" t="s">
        <v>178</v>
      </c>
      <c r="D69" s="31" t="s">
        <v>36</v>
      </c>
      <c r="E69" s="15" t="s">
        <v>18</v>
      </c>
      <c r="F69" s="15" t="s">
        <v>37</v>
      </c>
      <c r="G69" s="42">
        <v>9.74</v>
      </c>
      <c r="H69" s="41">
        <v>14900.0</v>
      </c>
      <c r="I69" s="18" t="str">
        <f t="shared" si="1"/>
        <v>入住中</v>
      </c>
      <c r="J69" s="23"/>
      <c r="K69" s="20" t="s">
        <v>184</v>
      </c>
      <c r="L69" s="21" t="str">
        <f t="shared" si="2"/>
        <v>A</v>
      </c>
      <c r="M69" s="37" t="s">
        <v>19</v>
      </c>
      <c r="N69" s="37" t="s">
        <v>185</v>
      </c>
      <c r="O69" s="18" t="str">
        <f>IF(AND(C69&lt;&gt;"", D69&lt;&gt;""), IF(COUNTIFS(sublease_contract!$C:$C, C69, sublease_contract!$D:$D, "*" &amp; D69 &amp; "*", sublease_contract!$G:$G, "&lt;&gt;已退租") = 0, "空房招租中", IF(COUNTIFS(sublease_contract!$C:$C, C69, sublease_contract!$D:$D, "*" &amp; D69 &amp; "*", sublease_contract!$G:$G, "&lt;&gt;已退租", sublease_contract!$N:$N, "&gt;" &amp; (TODAY()+20)) &gt; 0, "入住中", IF(COUNTIFS(sublease_contract!$C:$C, C69, sublease_contract!$D:$D, "*" &amp; D69 &amp; "*", sublease_contract!$G:$G, "&lt;&gt;已退租", sublease_contract!$N:$N, "&gt;=" &amp; TODAY(), sublease_contract!$N:$N, "&lt;=" &amp; (TODAY()+20)) &gt; 0, MINIFS(sublease_contract!$N:$N, sublease_contract!$C:$C, C69, sublease_contract!$D:$D, "*" &amp; D69 &amp; "*", sublease_contract!$G:$G, "&lt;&gt;已退租", sublease_contract!$N:$N, "&gt;=" &amp; TODAY(), sublease_contract!$N:$N, "&lt;=" &amp; (TODAY()+20)), "入住中"))), "")</f>
        <v>入住中</v>
      </c>
    </row>
    <row r="70">
      <c r="A70" s="12" t="str">
        <f t="array" ref="A70">IFERROR(
    INDEX(big_rental_contract!A:A, MATCH(C70, big_rental_contract!F:F, 0)),
    ""
)
</f>
        <v>A0015</v>
      </c>
      <c r="B70" s="22" t="s">
        <v>187</v>
      </c>
      <c r="C70" s="31" t="s">
        <v>188</v>
      </c>
      <c r="D70" s="19" t="s">
        <v>17</v>
      </c>
      <c r="E70" s="15" t="s">
        <v>18</v>
      </c>
      <c r="F70" s="19" t="s">
        <v>19</v>
      </c>
      <c r="G70" s="37">
        <v>11.55</v>
      </c>
      <c r="H70" s="37">
        <v>13800.0</v>
      </c>
      <c r="I70" s="18" t="str">
        <f t="shared" si="1"/>
        <v>入住中</v>
      </c>
      <c r="J70" s="37" t="s">
        <v>189</v>
      </c>
      <c r="K70" s="33" t="s">
        <v>190</v>
      </c>
      <c r="L70" s="21" t="str">
        <f t="shared" si="2"/>
        <v>A</v>
      </c>
      <c r="O70" s="18" t="str">
        <f>IF(AND(C70&lt;&gt;"", D70&lt;&gt;""), IF(COUNTIFS(sublease_contract!$C:$C, C70, sublease_contract!$D:$D, "*" &amp; D70 &amp; "*", sublease_contract!$G:$G, "&lt;&gt;已退租") = 0, "空房招租中", IF(COUNTIFS(sublease_contract!$C:$C, C70, sublease_contract!$D:$D, "*" &amp; D70 &amp; "*", sublease_contract!$G:$G, "&lt;&gt;已退租", sublease_contract!$N:$N, "&gt;" &amp; (TODAY()+20)) &gt; 0, "入住中", IF(COUNTIFS(sublease_contract!$C:$C, C70, sublease_contract!$D:$D, "*" &amp; D70 &amp; "*", sublease_contract!$G:$G, "&lt;&gt;已退租", sublease_contract!$N:$N, "&gt;=" &amp; TODAY(), sublease_contract!$N:$N, "&lt;=" &amp; (TODAY()+20)) &gt; 0, MINIFS(sublease_contract!$N:$N, sublease_contract!$C:$C, C70, sublease_contract!$D:$D, "*" &amp; D70 &amp; "*", sublease_contract!$G:$G, "&lt;&gt;已退租", sublease_contract!$N:$N, "&gt;=" &amp; TODAY(), sublease_contract!$N:$N, "&lt;=" &amp; (TODAY()+20)), "入住中"))), "")</f>
        <v>入住中</v>
      </c>
    </row>
    <row r="71">
      <c r="A71" s="12" t="str">
        <f t="array" ref="A71">IFERROR(
    INDEX(big_rental_contract!A:A, MATCH(C71, big_rental_contract!F:F, 0)),
    ""
)
</f>
        <v>A0015</v>
      </c>
      <c r="B71" s="22" t="s">
        <v>191</v>
      </c>
      <c r="C71" s="31" t="s">
        <v>188</v>
      </c>
      <c r="D71" s="19" t="s">
        <v>21</v>
      </c>
      <c r="E71" s="15" t="s">
        <v>18</v>
      </c>
      <c r="F71" s="19" t="s">
        <v>19</v>
      </c>
      <c r="G71" s="37">
        <v>17.44</v>
      </c>
      <c r="H71" s="37">
        <v>17800.0</v>
      </c>
      <c r="I71" s="18" t="str">
        <f t="shared" si="1"/>
        <v>入住中</v>
      </c>
      <c r="J71" s="37" t="s">
        <v>192</v>
      </c>
      <c r="K71" s="33" t="s">
        <v>193</v>
      </c>
      <c r="L71" s="21" t="str">
        <f t="shared" si="2"/>
        <v>A</v>
      </c>
      <c r="O71" s="18" t="str">
        <f>IF(AND(C71&lt;&gt;"", D71&lt;&gt;""), IF(COUNTIFS(sublease_contract!$C:$C, C71, sublease_contract!$D:$D, "*" &amp; D71 &amp; "*", sublease_contract!$G:$G, "&lt;&gt;已退租") = 0, "空房招租中", IF(COUNTIFS(sublease_contract!$C:$C, C71, sublease_contract!$D:$D, "*" &amp; D71 &amp; "*", sublease_contract!$G:$G, "&lt;&gt;已退租", sublease_contract!$N:$N, "&gt;" &amp; (TODAY()+20)) &gt; 0, "入住中", IF(COUNTIFS(sublease_contract!$C:$C, C71, sublease_contract!$D:$D, "*" &amp; D71 &amp; "*", sublease_contract!$G:$G, "&lt;&gt;已退租", sublease_contract!$N:$N, "&gt;=" &amp; TODAY(), sublease_contract!$N:$N, "&lt;=" &amp; (TODAY()+20)) &gt; 0, MINIFS(sublease_contract!$N:$N, sublease_contract!$C:$C, C71, sublease_contract!$D:$D, "*" &amp; D71 &amp; "*", sublease_contract!$G:$G, "&lt;&gt;已退租", sublease_contract!$N:$N, "&gt;=" &amp; TODAY(), sublease_contract!$N:$N, "&lt;=" &amp; (TODAY()+20)), "入住中"))), "")</f>
        <v>入住中</v>
      </c>
    </row>
    <row r="72">
      <c r="A72" s="12" t="str">
        <f t="array" ref="A72">IFERROR(
    INDEX(big_rental_contract!A:A, MATCH(C72, big_rental_contract!F:F, 0)),
    ""
)
</f>
        <v>A0015</v>
      </c>
      <c r="B72" s="22" t="s">
        <v>194</v>
      </c>
      <c r="C72" s="31" t="s">
        <v>188</v>
      </c>
      <c r="D72" s="19" t="s">
        <v>23</v>
      </c>
      <c r="E72" s="31" t="s">
        <v>18</v>
      </c>
      <c r="F72" s="19" t="s">
        <v>19</v>
      </c>
      <c r="G72" s="37">
        <v>15.28</v>
      </c>
      <c r="H72" s="37">
        <v>14800.0</v>
      </c>
      <c r="I72" s="18" t="str">
        <f t="shared" si="1"/>
        <v>入住中</v>
      </c>
      <c r="J72" s="37" t="s">
        <v>195</v>
      </c>
      <c r="K72" s="33" t="s">
        <v>196</v>
      </c>
      <c r="L72" s="21" t="str">
        <f t="shared" si="2"/>
        <v>A</v>
      </c>
      <c r="O72" s="18" t="str">
        <f>IF(AND(C72&lt;&gt;"", D72&lt;&gt;""), IF(COUNTIFS(sublease_contract!$C:$C, C72, sublease_contract!$D:$D, "*" &amp; D72 &amp; "*", sublease_contract!$G:$G, "&lt;&gt;已退租") = 0, "空房招租中", IF(COUNTIFS(sublease_contract!$C:$C, C72, sublease_contract!$D:$D, "*" &amp; D72 &amp; "*", sublease_contract!$G:$G, "&lt;&gt;已退租", sublease_contract!$N:$N, "&gt;" &amp; (TODAY()+20)) &gt; 0, "入住中", IF(COUNTIFS(sublease_contract!$C:$C, C72, sublease_contract!$D:$D, "*" &amp; D72 &amp; "*", sublease_contract!$G:$G, "&lt;&gt;已退租", sublease_contract!$N:$N, "&gt;=" &amp; TODAY(), sublease_contract!$N:$N, "&lt;=" &amp; (TODAY()+20)) &gt; 0, MINIFS(sublease_contract!$N:$N, sublease_contract!$C:$C, C72, sublease_contract!$D:$D, "*" &amp; D72 &amp; "*", sublease_contract!$G:$G, "&lt;&gt;已退租", sublease_contract!$N:$N, "&gt;=" &amp; TODAY(), sublease_contract!$N:$N, "&lt;=" &amp; (TODAY()+20)), "入住中"))), "")</f>
        <v>入住中</v>
      </c>
    </row>
    <row r="73">
      <c r="A73" s="12" t="str">
        <f t="array" ref="A73">IFERROR(
    INDEX(big_rental_contract!A:A, MATCH(C73, big_rental_contract!F:F, 0)),
    ""
)
</f>
        <v>A0015</v>
      </c>
      <c r="B73" s="22" t="s">
        <v>197</v>
      </c>
      <c r="C73" s="31" t="s">
        <v>188</v>
      </c>
      <c r="D73" s="19" t="s">
        <v>25</v>
      </c>
      <c r="E73" s="15" t="s">
        <v>18</v>
      </c>
      <c r="F73" s="19" t="s">
        <v>19</v>
      </c>
      <c r="G73" s="37">
        <v>13.22</v>
      </c>
      <c r="H73" s="37">
        <v>17800.0</v>
      </c>
      <c r="I73" s="18" t="str">
        <f t="shared" si="1"/>
        <v>入住中</v>
      </c>
      <c r="J73" s="31" t="s">
        <v>198</v>
      </c>
      <c r="K73" s="33" t="s">
        <v>199</v>
      </c>
      <c r="L73" s="21" t="str">
        <f t="shared" si="2"/>
        <v>A</v>
      </c>
      <c r="O73" s="18" t="str">
        <f>IF(AND(C73&lt;&gt;"", D73&lt;&gt;""), IF(COUNTIFS(sublease_contract!$C:$C, C73, sublease_contract!$D:$D, "*" &amp; D73 &amp; "*", sublease_contract!$G:$G, "&lt;&gt;已退租") = 0, "空房招租中", IF(COUNTIFS(sublease_contract!$C:$C, C73, sublease_contract!$D:$D, "*" &amp; D73 &amp; "*", sublease_contract!$G:$G, "&lt;&gt;已退租", sublease_contract!$N:$N, "&gt;" &amp; (TODAY()+20)) &gt; 0, "入住中", IF(COUNTIFS(sublease_contract!$C:$C, C73, sublease_contract!$D:$D, "*" &amp; D73 &amp; "*", sublease_contract!$G:$G, "&lt;&gt;已退租", sublease_contract!$N:$N, "&gt;=" &amp; TODAY(), sublease_contract!$N:$N, "&lt;=" &amp; (TODAY()+20)) &gt; 0, MINIFS(sublease_contract!$N:$N, sublease_contract!$C:$C, C73, sublease_contract!$D:$D, "*" &amp; D73 &amp; "*", sublease_contract!$G:$G, "&lt;&gt;已退租", sublease_contract!$N:$N, "&gt;=" &amp; TODAY(), sublease_contract!$N:$N, "&lt;=" &amp; (TODAY()+20)), "入住中"))), "")</f>
        <v>入住中</v>
      </c>
    </row>
    <row r="74">
      <c r="A74" s="12" t="str">
        <f t="array" ref="A74">IFERROR(
    INDEX(big_rental_contract!A:A, MATCH(C74, big_rental_contract!F:F, 0)),
    ""
)
</f>
        <v>A0015</v>
      </c>
      <c r="B74" s="22" t="s">
        <v>200</v>
      </c>
      <c r="C74" s="31" t="s">
        <v>188</v>
      </c>
      <c r="D74" s="19" t="s">
        <v>34</v>
      </c>
      <c r="E74" s="15" t="s">
        <v>18</v>
      </c>
      <c r="F74" s="19" t="s">
        <v>19</v>
      </c>
      <c r="G74" s="37">
        <v>13.19</v>
      </c>
      <c r="H74" s="37">
        <v>17800.0</v>
      </c>
      <c r="I74" s="18" t="str">
        <f t="shared" si="1"/>
        <v>入住中</v>
      </c>
      <c r="J74" s="31" t="s">
        <v>201</v>
      </c>
      <c r="K74" s="33" t="s">
        <v>199</v>
      </c>
      <c r="L74" s="21" t="str">
        <f t="shared" si="2"/>
        <v>A</v>
      </c>
      <c r="O74" s="18" t="str">
        <f>IF(AND(C74&lt;&gt;"", D74&lt;&gt;""), IF(COUNTIFS(sublease_contract!$C:$C, C74, sublease_contract!$D:$D, "*" &amp; D74 &amp; "*", sublease_contract!$G:$G, "&lt;&gt;已退租") = 0, "空房招租中", IF(COUNTIFS(sublease_contract!$C:$C, C74, sublease_contract!$D:$D, "*" &amp; D74 &amp; "*", sublease_contract!$G:$G, "&lt;&gt;已退租", sublease_contract!$N:$N, "&gt;" &amp; (TODAY()+20)) &gt; 0, "入住中", IF(COUNTIFS(sublease_contract!$C:$C, C74, sublease_contract!$D:$D, "*" &amp; D74 &amp; "*", sublease_contract!$G:$G, "&lt;&gt;已退租", sublease_contract!$N:$N, "&gt;=" &amp; TODAY(), sublease_contract!$N:$N, "&lt;=" &amp; (TODAY()+20)) &gt; 0, MINIFS(sublease_contract!$N:$N, sublease_contract!$C:$C, C74, sublease_contract!$D:$D, "*" &amp; D74 &amp; "*", sublease_contract!$G:$G, "&lt;&gt;已退租", sublease_contract!$N:$N, "&gt;=" &amp; TODAY(), sublease_contract!$N:$N, "&lt;=" &amp; (TODAY()+20)), "入住中"))), "")</f>
        <v>入住中</v>
      </c>
    </row>
    <row r="75">
      <c r="A75" s="12" t="str">
        <f t="array" ref="A75">IFERROR(
    INDEX(big_rental_contract!A:A, MATCH(C75, big_rental_contract!F:F, 0)),
    ""
)
</f>
        <v>A0015</v>
      </c>
      <c r="B75" s="22" t="s">
        <v>202</v>
      </c>
      <c r="C75" s="31" t="s">
        <v>188</v>
      </c>
      <c r="D75" s="19" t="s">
        <v>36</v>
      </c>
      <c r="E75" s="15" t="s">
        <v>18</v>
      </c>
      <c r="F75" s="19" t="s">
        <v>37</v>
      </c>
      <c r="G75" s="37">
        <v>10.97</v>
      </c>
      <c r="H75" s="37">
        <v>15800.0</v>
      </c>
      <c r="I75" s="18" t="str">
        <f t="shared" si="1"/>
        <v>入住中</v>
      </c>
      <c r="J75" s="37" t="s">
        <v>203</v>
      </c>
      <c r="K75" s="33" t="s">
        <v>204</v>
      </c>
      <c r="L75" s="21" t="str">
        <f t="shared" si="2"/>
        <v>A</v>
      </c>
      <c r="O75" s="18" t="str">
        <f>IF(AND(C75&lt;&gt;"", D75&lt;&gt;""), IF(COUNTIFS(sublease_contract!$C:$C, C75, sublease_contract!$D:$D, "*" &amp; D75 &amp; "*", sublease_contract!$G:$G, "&lt;&gt;已退租") = 0, "空房招租中", IF(COUNTIFS(sublease_contract!$C:$C, C75, sublease_contract!$D:$D, "*" &amp; D75 &amp; "*", sublease_contract!$G:$G, "&lt;&gt;已退租", sublease_contract!$N:$N, "&gt;" &amp; (TODAY()+20)) &gt; 0, "入住中", IF(COUNTIFS(sublease_contract!$C:$C, C75, sublease_contract!$D:$D, "*" &amp; D75 &amp; "*", sublease_contract!$G:$G, "&lt;&gt;已退租", sublease_contract!$N:$N, "&gt;=" &amp; TODAY(), sublease_contract!$N:$N, "&lt;=" &amp; (TODAY()+20)) &gt; 0, MINIFS(sublease_contract!$N:$N, sublease_contract!$C:$C, C75, sublease_contract!$D:$D, "*" &amp; D75 &amp; "*", sublease_contract!$G:$G, "&lt;&gt;已退租", sublease_contract!$N:$N, "&gt;=" &amp; TODAY(), sublease_contract!$N:$N, "&lt;=" &amp; (TODAY()+20)), "入住中"))), "")</f>
        <v>入住中</v>
      </c>
    </row>
    <row r="76">
      <c r="A76" s="12" t="str">
        <f t="array" ref="A76">IFERROR(
    INDEX(big_rental_contract!A:A, MATCH(C76, big_rental_contract!F:F, 0)),
    ""
)
</f>
        <v>A0015</v>
      </c>
      <c r="B76" s="22" t="s">
        <v>205</v>
      </c>
      <c r="C76" s="31" t="s">
        <v>188</v>
      </c>
      <c r="D76" s="19" t="s">
        <v>39</v>
      </c>
      <c r="E76" s="15" t="s">
        <v>18</v>
      </c>
      <c r="F76" s="19" t="s">
        <v>37</v>
      </c>
      <c r="G76" s="37">
        <v>16.14</v>
      </c>
      <c r="H76" s="37">
        <v>16800.0</v>
      </c>
      <c r="I76" s="18" t="str">
        <f t="shared" si="1"/>
        <v>入住中</v>
      </c>
      <c r="J76" s="37" t="s">
        <v>206</v>
      </c>
      <c r="K76" s="33" t="s">
        <v>207</v>
      </c>
      <c r="L76" s="21" t="str">
        <f t="shared" si="2"/>
        <v>A</v>
      </c>
      <c r="O76" s="18" t="str">
        <f>IF(AND(C76&lt;&gt;"", D76&lt;&gt;""), IF(COUNTIFS(sublease_contract!$C:$C, C76, sublease_contract!$D:$D, "*" &amp; D76 &amp; "*", sublease_contract!$G:$G, "&lt;&gt;已退租") = 0, "空房招租中", IF(COUNTIFS(sublease_contract!$C:$C, C76, sublease_contract!$D:$D, "*" &amp; D76 &amp; "*", sublease_contract!$G:$G, "&lt;&gt;已退租", sublease_contract!$N:$N, "&gt;" &amp; (TODAY()+20)) &gt; 0, "入住中", IF(COUNTIFS(sublease_contract!$C:$C, C76, sublease_contract!$D:$D, "*" &amp; D76 &amp; "*", sublease_contract!$G:$G, "&lt;&gt;已退租", sublease_contract!$N:$N, "&gt;=" &amp; TODAY(), sublease_contract!$N:$N, "&lt;=" &amp; (TODAY()+20)) &gt; 0, MINIFS(sublease_contract!$N:$N, sublease_contract!$C:$C, C76, sublease_contract!$D:$D, "*" &amp; D76 &amp; "*", sublease_contract!$G:$G, "&lt;&gt;已退租", sublease_contract!$N:$N, "&gt;=" &amp; TODAY(), sublease_contract!$N:$N, "&lt;=" &amp; (TODAY()+20)), "入住中"))), "")</f>
        <v>入住中</v>
      </c>
    </row>
    <row r="77">
      <c r="A77" s="12" t="str">
        <f t="array" ref="A77">IFERROR(
    INDEX(big_rental_contract!A:A, MATCH(C77, big_rental_contract!F:F, 0)),
    ""
)
</f>
        <v>A0016</v>
      </c>
      <c r="B77" s="22" t="s">
        <v>208</v>
      </c>
      <c r="C77" s="31" t="s">
        <v>209</v>
      </c>
      <c r="D77" s="24" t="s">
        <v>17</v>
      </c>
      <c r="E77" s="15" t="s">
        <v>18</v>
      </c>
      <c r="F77" s="24" t="s">
        <v>19</v>
      </c>
      <c r="G77" s="37">
        <v>11.48</v>
      </c>
      <c r="H77" s="37">
        <v>14800.0</v>
      </c>
      <c r="I77" s="18" t="str">
        <f t="shared" si="1"/>
        <v>入住中</v>
      </c>
      <c r="J77" s="37" t="s">
        <v>210</v>
      </c>
      <c r="K77" s="33" t="s">
        <v>211</v>
      </c>
      <c r="L77" s="21" t="str">
        <f t="shared" si="2"/>
        <v>A</v>
      </c>
      <c r="O77" s="18" t="str">
        <f>IF(AND(C77&lt;&gt;"", D77&lt;&gt;""), IF(COUNTIFS(sublease_contract!$C:$C, C77, sublease_contract!$D:$D, "*" &amp; D77 &amp; "*", sublease_contract!$G:$G, "&lt;&gt;已退租") = 0, "空房招租中", IF(COUNTIFS(sublease_contract!$C:$C, C77, sublease_contract!$D:$D, "*" &amp; D77 &amp; "*", sublease_contract!$G:$G, "&lt;&gt;已退租", sublease_contract!$N:$N, "&gt;" &amp; (TODAY()+20)) &gt; 0, "入住中", IF(COUNTIFS(sublease_contract!$C:$C, C77, sublease_contract!$D:$D, "*" &amp; D77 &amp; "*", sublease_contract!$G:$G, "&lt;&gt;已退租", sublease_contract!$N:$N, "&gt;=" &amp; TODAY(), sublease_contract!$N:$N, "&lt;=" &amp; (TODAY()+20)) &gt; 0, MINIFS(sublease_contract!$N:$N, sublease_contract!$C:$C, C77, sublease_contract!$D:$D, "*" &amp; D77 &amp; "*", sublease_contract!$G:$G, "&lt;&gt;已退租", sublease_contract!$N:$N, "&gt;=" &amp; TODAY(), sublease_contract!$N:$N, "&lt;=" &amp; (TODAY()+20)), "入住中"))), "")</f>
        <v>入住中</v>
      </c>
    </row>
    <row r="78">
      <c r="A78" s="12" t="str">
        <f t="array" ref="A78">IFERROR(
    INDEX(big_rental_contract!A:A, MATCH(C78, big_rental_contract!F:F, 0)),
    ""
)
</f>
        <v>A0016</v>
      </c>
      <c r="B78" s="22" t="s">
        <v>212</v>
      </c>
      <c r="C78" s="31" t="s">
        <v>209</v>
      </c>
      <c r="D78" s="15" t="s">
        <v>21</v>
      </c>
      <c r="E78" s="15" t="s">
        <v>18</v>
      </c>
      <c r="F78" s="24" t="s">
        <v>19</v>
      </c>
      <c r="G78" s="37">
        <v>9.29</v>
      </c>
      <c r="H78" s="37">
        <v>12000.0</v>
      </c>
      <c r="I78" s="18" t="str">
        <f t="shared" si="1"/>
        <v>入住中</v>
      </c>
      <c r="J78" s="37" t="s">
        <v>213</v>
      </c>
      <c r="K78" s="33" t="s">
        <v>214</v>
      </c>
      <c r="L78" s="21" t="str">
        <f t="shared" si="2"/>
        <v>A</v>
      </c>
      <c r="O78" s="18" t="str">
        <f>IF(AND(C78&lt;&gt;"", D78&lt;&gt;""), IF(COUNTIFS(sublease_contract!$C:$C, C78, sublease_contract!$D:$D, "*" &amp; D78 &amp; "*", sublease_contract!$G:$G, "&lt;&gt;已退租") = 0, "空房招租中", IF(COUNTIFS(sublease_contract!$C:$C, C78, sublease_contract!$D:$D, "*" &amp; D78 &amp; "*", sublease_contract!$G:$G, "&lt;&gt;已退租", sublease_contract!$N:$N, "&gt;" &amp; (TODAY()+20)) &gt; 0, "入住中", IF(COUNTIFS(sublease_contract!$C:$C, C78, sublease_contract!$D:$D, "*" &amp; D78 &amp; "*", sublease_contract!$G:$G, "&lt;&gt;已退租", sublease_contract!$N:$N, "&gt;=" &amp; TODAY(), sublease_contract!$N:$N, "&lt;=" &amp; (TODAY()+20)) &gt; 0, MINIFS(sublease_contract!$N:$N, sublease_contract!$C:$C, C78, sublease_contract!$D:$D, "*" &amp; D78 &amp; "*", sublease_contract!$G:$G, "&lt;&gt;已退租", sublease_contract!$N:$N, "&gt;=" &amp; TODAY(), sublease_contract!$N:$N, "&lt;=" &amp; (TODAY()+20)), "入住中"))), "")</f>
        <v>入住中</v>
      </c>
    </row>
    <row r="79">
      <c r="A79" s="12" t="str">
        <f t="array" ref="A79">IFERROR(
    INDEX(big_rental_contract!A:A, MATCH(C79, big_rental_contract!F:F, 0)),
    ""
)
</f>
        <v>A0016</v>
      </c>
      <c r="B79" s="22" t="s">
        <v>215</v>
      </c>
      <c r="C79" s="31" t="s">
        <v>209</v>
      </c>
      <c r="D79" s="24" t="s">
        <v>23</v>
      </c>
      <c r="E79" s="15" t="s">
        <v>18</v>
      </c>
      <c r="F79" s="24" t="s">
        <v>19</v>
      </c>
      <c r="G79" s="37">
        <v>9.91</v>
      </c>
      <c r="H79" s="37">
        <v>12500.0</v>
      </c>
      <c r="I79" s="18" t="str">
        <f t="shared" si="1"/>
        <v>入住中</v>
      </c>
      <c r="J79" s="37" t="s">
        <v>216</v>
      </c>
      <c r="K79" s="33" t="s">
        <v>217</v>
      </c>
      <c r="L79" s="21" t="str">
        <f t="shared" si="2"/>
        <v>A</v>
      </c>
      <c r="O79" s="18" t="str">
        <f>IF(AND(C79&lt;&gt;"", D79&lt;&gt;""), IF(COUNTIFS(sublease_contract!$C:$C, C79, sublease_contract!$D:$D, "*" &amp; D79 &amp; "*", sublease_contract!$G:$G, "&lt;&gt;已退租") = 0, "空房招租中", IF(COUNTIFS(sublease_contract!$C:$C, C79, sublease_contract!$D:$D, "*" &amp; D79 &amp; "*", sublease_contract!$G:$G, "&lt;&gt;已退租", sublease_contract!$N:$N, "&gt;" &amp; (TODAY()+20)) &gt; 0, "入住中", IF(COUNTIFS(sublease_contract!$C:$C, C79, sublease_contract!$D:$D, "*" &amp; D79 &amp; "*", sublease_contract!$G:$G, "&lt;&gt;已退租", sublease_contract!$N:$N, "&gt;=" &amp; TODAY(), sublease_contract!$N:$N, "&lt;=" &amp; (TODAY()+20)) &gt; 0, MINIFS(sublease_contract!$N:$N, sublease_contract!$C:$C, C79, sublease_contract!$D:$D, "*" &amp; D79 &amp; "*", sublease_contract!$G:$G, "&lt;&gt;已退租", sublease_contract!$N:$N, "&gt;=" &amp; TODAY(), sublease_contract!$N:$N, "&lt;=" &amp; (TODAY()+20)), "入住中"))), "")</f>
        <v>入住中</v>
      </c>
    </row>
    <row r="80">
      <c r="A80" s="12" t="str">
        <f t="array" ref="A80">IFERROR(
    INDEX(big_rental_contract!A:A, MATCH(C80, big_rental_contract!F:F, 0)),
    ""
)
</f>
        <v>A0016</v>
      </c>
      <c r="B80" s="22" t="s">
        <v>218</v>
      </c>
      <c r="C80" s="31" t="s">
        <v>209</v>
      </c>
      <c r="D80" s="24" t="s">
        <v>25</v>
      </c>
      <c r="E80" s="15" t="s">
        <v>18</v>
      </c>
      <c r="F80" s="24" t="s">
        <v>19</v>
      </c>
      <c r="G80" s="37">
        <v>10.37</v>
      </c>
      <c r="H80" s="37">
        <v>12500.0</v>
      </c>
      <c r="I80" s="18" t="str">
        <f t="shared" si="1"/>
        <v>入住中</v>
      </c>
      <c r="J80" s="37" t="s">
        <v>219</v>
      </c>
      <c r="K80" s="33" t="s">
        <v>220</v>
      </c>
      <c r="L80" s="21" t="str">
        <f t="shared" si="2"/>
        <v>A</v>
      </c>
      <c r="O80" s="18" t="str">
        <f>IF(AND(C80&lt;&gt;"", D80&lt;&gt;""), IF(COUNTIFS(sublease_contract!$C:$C, C80, sublease_contract!$D:$D, "*" &amp; D80 &amp; "*", sublease_contract!$G:$G, "&lt;&gt;已退租") = 0, "空房招租中", IF(COUNTIFS(sublease_contract!$C:$C, C80, sublease_contract!$D:$D, "*" &amp; D80 &amp; "*", sublease_contract!$G:$G, "&lt;&gt;已退租", sublease_contract!$N:$N, "&gt;" &amp; (TODAY()+20)) &gt; 0, "入住中", IF(COUNTIFS(sublease_contract!$C:$C, C80, sublease_contract!$D:$D, "*" &amp; D80 &amp; "*", sublease_contract!$G:$G, "&lt;&gt;已退租", sublease_contract!$N:$N, "&gt;=" &amp; TODAY(), sublease_contract!$N:$N, "&lt;=" &amp; (TODAY()+20)) &gt; 0, MINIFS(sublease_contract!$N:$N, sublease_contract!$C:$C, C80, sublease_contract!$D:$D, "*" &amp; D80 &amp; "*", sublease_contract!$G:$G, "&lt;&gt;已退租", sublease_contract!$N:$N, "&gt;=" &amp; TODAY(), sublease_contract!$N:$N, "&lt;=" &amp; (TODAY()+20)), "入住中"))), "")</f>
        <v>入住中</v>
      </c>
    </row>
    <row r="81">
      <c r="A81" s="12" t="str">
        <f t="array" ref="A81">IFERROR(
    INDEX(big_rental_contract!A:A, MATCH(C81, big_rental_contract!F:F, 0)),
    ""
)
</f>
        <v>A0016</v>
      </c>
      <c r="B81" s="22" t="s">
        <v>221</v>
      </c>
      <c r="C81" s="31" t="s">
        <v>209</v>
      </c>
      <c r="D81" s="31" t="s">
        <v>34</v>
      </c>
      <c r="E81" s="15" t="s">
        <v>18</v>
      </c>
      <c r="F81" s="24" t="s">
        <v>19</v>
      </c>
      <c r="G81" s="37">
        <v>8.73</v>
      </c>
      <c r="H81" s="37">
        <v>13300.0</v>
      </c>
      <c r="I81" s="18" t="str">
        <f t="shared" si="1"/>
        <v>入住中</v>
      </c>
      <c r="J81" s="37" t="s">
        <v>222</v>
      </c>
      <c r="K81" s="33" t="s">
        <v>223</v>
      </c>
      <c r="L81" s="21" t="str">
        <f t="shared" si="2"/>
        <v>A</v>
      </c>
      <c r="O81" s="18" t="str">
        <f>IF(AND(C81&lt;&gt;"", D81&lt;&gt;""), IF(COUNTIFS(sublease_contract!$C:$C, C81, sublease_contract!$D:$D, "*" &amp; D81 &amp; "*", sublease_contract!$G:$G, "&lt;&gt;已退租") = 0, "空房招租中", IF(COUNTIFS(sublease_contract!$C:$C, C81, sublease_contract!$D:$D, "*" &amp; D81 &amp; "*", sublease_contract!$G:$G, "&lt;&gt;已退租", sublease_contract!$N:$N, "&gt;" &amp; (TODAY()+20)) &gt; 0, "入住中", IF(COUNTIFS(sublease_contract!$C:$C, C81, sublease_contract!$D:$D, "*" &amp; D81 &amp; "*", sublease_contract!$G:$G, "&lt;&gt;已退租", sublease_contract!$N:$N, "&gt;=" &amp; TODAY(), sublease_contract!$N:$N, "&lt;=" &amp; (TODAY()+20)) &gt; 0, MINIFS(sublease_contract!$N:$N, sublease_contract!$C:$C, C81, sublease_contract!$D:$D, "*" &amp; D81 &amp; "*", sublease_contract!$G:$G, "&lt;&gt;已退租", sublease_contract!$N:$N, "&gt;=" &amp; TODAY(), sublease_contract!$N:$N, "&lt;=" &amp; (TODAY()+20)), "入住中"))), "")</f>
        <v>入住中</v>
      </c>
    </row>
    <row r="82">
      <c r="A82" s="12" t="str">
        <f t="array" ref="A82">IFERROR(
    INDEX(big_rental_contract!A:A, MATCH(C82, big_rental_contract!F:F, 0)),
    ""
)
</f>
        <v>A0016</v>
      </c>
      <c r="B82" s="22" t="s">
        <v>224</v>
      </c>
      <c r="C82" s="31" t="s">
        <v>209</v>
      </c>
      <c r="D82" s="31" t="s">
        <v>36</v>
      </c>
      <c r="E82" s="15" t="s">
        <v>18</v>
      </c>
      <c r="F82" s="24" t="s">
        <v>19</v>
      </c>
      <c r="G82" s="37">
        <v>8.73</v>
      </c>
      <c r="H82" s="37">
        <v>13300.0</v>
      </c>
      <c r="I82" s="18" t="str">
        <f t="shared" si="1"/>
        <v>入住中</v>
      </c>
      <c r="J82" s="37" t="s">
        <v>225</v>
      </c>
      <c r="K82" s="33" t="s">
        <v>226</v>
      </c>
      <c r="L82" s="21" t="str">
        <f t="shared" si="2"/>
        <v>A</v>
      </c>
      <c r="O82" s="18" t="str">
        <f>IF(AND(C82&lt;&gt;"", D82&lt;&gt;""), IF(COUNTIFS(sublease_contract!$C:$C, C82, sublease_contract!$D:$D, "*" &amp; D82 &amp; "*", sublease_contract!$G:$G, "&lt;&gt;已退租") = 0, "空房招租中", IF(COUNTIFS(sublease_contract!$C:$C, C82, sublease_contract!$D:$D, "*" &amp; D82 &amp; "*", sublease_contract!$G:$G, "&lt;&gt;已退租", sublease_contract!$N:$N, "&gt;" &amp; (TODAY()+20)) &gt; 0, "入住中", IF(COUNTIFS(sublease_contract!$C:$C, C82, sublease_contract!$D:$D, "*" &amp; D82 &amp; "*", sublease_contract!$G:$G, "&lt;&gt;已退租", sublease_contract!$N:$N, "&gt;=" &amp; TODAY(), sublease_contract!$N:$N, "&lt;=" &amp; (TODAY()+20)) &gt; 0, MINIFS(sublease_contract!$N:$N, sublease_contract!$C:$C, C82, sublease_contract!$D:$D, "*" &amp; D82 &amp; "*", sublease_contract!$G:$G, "&lt;&gt;已退租", sublease_contract!$N:$N, "&gt;=" &amp; TODAY(), sublease_contract!$N:$N, "&lt;=" &amp; (TODAY()+20)), "入住中"))), "")</f>
        <v>入住中</v>
      </c>
    </row>
    <row r="83">
      <c r="A83" s="12" t="str">
        <f t="array" ref="A83">IFERROR(
    INDEX(big_rental_contract!A:A, MATCH(C83, big_rental_contract!F:F, 0)),
    ""
)
</f>
        <v>A0001</v>
      </c>
      <c r="B83" s="43" t="s">
        <v>227</v>
      </c>
      <c r="C83" s="14" t="s">
        <v>16</v>
      </c>
      <c r="D83" s="19" t="s">
        <v>228</v>
      </c>
      <c r="E83" s="39" t="s">
        <v>229</v>
      </c>
      <c r="F83" s="19" t="s">
        <v>37</v>
      </c>
      <c r="G83" s="44">
        <v>65.09</v>
      </c>
      <c r="H83" s="26">
        <v>33000.0</v>
      </c>
      <c r="I83" s="18" t="str">
        <f t="shared" si="1"/>
        <v>入住中</v>
      </c>
      <c r="J83" s="19" t="s">
        <v>230</v>
      </c>
      <c r="K83" s="30" t="s">
        <v>231</v>
      </c>
      <c r="L83" s="21" t="str">
        <f t="shared" si="2"/>
        <v>A</v>
      </c>
      <c r="M83" s="37" t="s">
        <v>19</v>
      </c>
      <c r="O83" s="18" t="str">
        <f>IF(AND(C83&lt;&gt;"", D83&lt;&gt;""), IF(COUNTIFS(sublease_contract!$C:$C, C83, sublease_contract!$D:$D, "*" &amp; D83 &amp; "*", sublease_contract!$G:$G, "&lt;&gt;已退租") = 0, "空房招租中", IF(COUNTIFS(sublease_contract!$C:$C, C83, sublease_contract!$D:$D, "*" &amp; D83 &amp; "*", sublease_contract!$G:$G, "&lt;&gt;已退租", sublease_contract!$N:$N, "&gt;" &amp; (TODAY()+20)) &gt; 0, "入住中", IF(COUNTIFS(sublease_contract!$C:$C, C83, sublease_contract!$D:$D, "*" &amp; D83 &amp; "*", sublease_contract!$G:$G, "&lt;&gt;已退租", sublease_contract!$N:$N, "&gt;=" &amp; TODAY(), sublease_contract!$N:$N, "&lt;=" &amp; (TODAY()+20)) &gt; 0, MINIFS(sublease_contract!$N:$N, sublease_contract!$C:$C, C83, sublease_contract!$D:$D, "*" &amp; D83 &amp; "*", sublease_contract!$G:$G, "&lt;&gt;已退租", sublease_contract!$N:$N, "&gt;=" &amp; TODAY(), sublease_contract!$N:$N, "&lt;=" &amp; (TODAY()+20)), "入住中"))), "")</f>
        <v>入住中</v>
      </c>
    </row>
    <row r="84">
      <c r="A84" s="12" t="str">
        <f t="array" ref="A84">IFERROR(
    INDEX(big_rental_contract!A:A, MATCH(C84, big_rental_contract!F:F, 0)),
    ""
)
</f>
        <v>A0005</v>
      </c>
      <c r="B84" s="43" t="s">
        <v>232</v>
      </c>
      <c r="C84" s="14" t="s">
        <v>69</v>
      </c>
      <c r="D84" s="19" t="s">
        <v>228</v>
      </c>
      <c r="E84" s="39" t="s">
        <v>229</v>
      </c>
      <c r="F84" s="19" t="s">
        <v>37</v>
      </c>
      <c r="G84" s="37">
        <v>27.6</v>
      </c>
      <c r="H84" s="37">
        <v>29600.0</v>
      </c>
      <c r="I84" s="18" t="str">
        <f t="shared" si="1"/>
        <v>入住中</v>
      </c>
      <c r="J84" s="37" t="s">
        <v>233</v>
      </c>
      <c r="K84" s="33" t="s">
        <v>234</v>
      </c>
      <c r="L84" s="21" t="str">
        <f t="shared" si="2"/>
        <v>A</v>
      </c>
      <c r="M84" s="37" t="s">
        <v>19</v>
      </c>
      <c r="N84" s="37" t="s">
        <v>77</v>
      </c>
      <c r="O84" s="18" t="str">
        <f>IF(AND(C84&lt;&gt;"", D84&lt;&gt;""), IF(COUNTIFS(sublease_contract!$C:$C, C84, sublease_contract!$D:$D, "*" &amp; D84 &amp; "*", sublease_contract!$G:$G, "&lt;&gt;已退租") = 0, "空房招租中", IF(COUNTIFS(sublease_contract!$C:$C, C84, sublease_contract!$D:$D, "*" &amp; D84 &amp; "*", sublease_contract!$G:$G, "&lt;&gt;已退租", sublease_contract!$N:$N, "&gt;" &amp; (TODAY()+20)) &gt; 0, "入住中", IF(COUNTIFS(sublease_contract!$C:$C, C84, sublease_contract!$D:$D, "*" &amp; D84 &amp; "*", sublease_contract!$G:$G, "&lt;&gt;已退租", sublease_contract!$N:$N, "&gt;=" &amp; TODAY(), sublease_contract!$N:$N, "&lt;=" &amp; (TODAY()+20)) &gt; 0, MINIFS(sublease_contract!$N:$N, sublease_contract!$C:$C, C84, sublease_contract!$D:$D, "*" &amp; D84 &amp; "*", sublease_contract!$G:$G, "&lt;&gt;已退租", sublease_contract!$N:$N, "&gt;=" &amp; TODAY(), sublease_contract!$N:$N, "&lt;=" &amp; (TODAY()+20)), "入住中"))), "")</f>
        <v>空房招租中</v>
      </c>
    </row>
    <row r="85">
      <c r="A85" s="12" t="str">
        <f t="array" ref="A85">IFERROR(
    INDEX(big_rental_contract!A:A, MATCH(C85, big_rental_contract!F:F, 0)),
    ""
)
</f>
        <v>A0013</v>
      </c>
      <c r="B85" s="43" t="s">
        <v>235</v>
      </c>
      <c r="C85" s="15" t="s">
        <v>163</v>
      </c>
      <c r="D85" s="19" t="s">
        <v>228</v>
      </c>
      <c r="E85" s="39" t="s">
        <v>229</v>
      </c>
      <c r="F85" s="19" t="s">
        <v>37</v>
      </c>
      <c r="G85" s="37">
        <v>27.04</v>
      </c>
      <c r="H85" s="37">
        <v>27800.0</v>
      </c>
      <c r="I85" s="18" t="str">
        <f t="shared" si="1"/>
        <v>入住中</v>
      </c>
      <c r="J85" s="37" t="s">
        <v>236</v>
      </c>
      <c r="K85" s="35" t="s">
        <v>174</v>
      </c>
      <c r="L85" s="21" t="str">
        <f t="shared" si="2"/>
        <v>A</v>
      </c>
      <c r="M85" s="37" t="s">
        <v>19</v>
      </c>
      <c r="N85" s="37" t="s">
        <v>175</v>
      </c>
      <c r="O85" s="18" t="str">
        <f>IF(AND(C85&lt;&gt;"", D85&lt;&gt;""), IF(COUNTIFS(sublease_contract!$C:$C, C85, sublease_contract!$D:$D, "*" &amp; D85 &amp; "*", sublease_contract!$G:$G, "&lt;&gt;已退租") = 0, "空房招租中", IF(COUNTIFS(sublease_contract!$C:$C, C85, sublease_contract!$D:$D, "*" &amp; D85 &amp; "*", sublease_contract!$G:$G, "&lt;&gt;已退租", sublease_contract!$N:$N, "&gt;" &amp; (TODAY()+20)) &gt; 0, "入住中", IF(COUNTIFS(sublease_contract!$C:$C, C85, sublease_contract!$D:$D, "*" &amp; D85 &amp; "*", sublease_contract!$G:$G, "&lt;&gt;已退租", sublease_contract!$N:$N, "&gt;=" &amp; TODAY(), sublease_contract!$N:$N, "&lt;=" &amp; (TODAY()+20)) &gt; 0, MINIFS(sublease_contract!$N:$N, sublease_contract!$C:$C, C85, sublease_contract!$D:$D, "*" &amp; D85 &amp; "*", sublease_contract!$G:$G, "&lt;&gt;已退租", sublease_contract!$N:$N, "&gt;=" &amp; TODAY(), sublease_contract!$N:$N, "&lt;=" &amp; (TODAY()+20)), "入住中"))), "")</f>
        <v>入住中</v>
      </c>
    </row>
    <row r="86">
      <c r="A86" s="12" t="str">
        <f t="array" ref="A86">IFERROR(
    INDEX(big_rental_contract!A:A, MATCH(C86, big_rental_contract!F:F, 0)),
    ""
)
</f>
        <v>A0014</v>
      </c>
      <c r="B86" s="43" t="s">
        <v>237</v>
      </c>
      <c r="C86" s="15" t="s">
        <v>178</v>
      </c>
      <c r="D86" s="19" t="s">
        <v>228</v>
      </c>
      <c r="E86" s="39" t="s">
        <v>229</v>
      </c>
      <c r="F86" s="19" t="s">
        <v>37</v>
      </c>
      <c r="G86" s="37">
        <v>19.57</v>
      </c>
      <c r="H86" s="37">
        <v>30000.0</v>
      </c>
      <c r="I86" s="18" t="str">
        <f t="shared" si="1"/>
        <v>入住中</v>
      </c>
      <c r="J86" s="37" t="s">
        <v>238</v>
      </c>
      <c r="K86" s="20" t="s">
        <v>184</v>
      </c>
      <c r="L86" s="21" t="str">
        <f t="shared" si="2"/>
        <v>A</v>
      </c>
      <c r="M86" s="37" t="s">
        <v>19</v>
      </c>
      <c r="N86" s="37" t="s">
        <v>185</v>
      </c>
      <c r="O86" s="18" t="str">
        <f>IF(AND(C86&lt;&gt;"", D86&lt;&gt;""), IF(COUNTIFS(sublease_contract!$C:$C, C86, sublease_contract!$D:$D, "*" &amp; D86 &amp; "*", sublease_contract!$G:$G, "&lt;&gt;已退租") = 0, "空房招租中", IF(COUNTIFS(sublease_contract!$C:$C, C86, sublease_contract!$D:$D, "*" &amp; D86 &amp; "*", sublease_contract!$G:$G, "&lt;&gt;已退租", sublease_contract!$N:$N, "&gt;" &amp; (TODAY()+20)) &gt; 0, "入住中", IF(COUNTIFS(sublease_contract!$C:$C, C86, sublease_contract!$D:$D, "*" &amp; D86 &amp; "*", sublease_contract!$G:$G, "&lt;&gt;已退租", sublease_contract!$N:$N, "&gt;=" &amp; TODAY(), sublease_contract!$N:$N, "&lt;=" &amp; (TODAY()+20)) &gt; 0, MINIFS(sublease_contract!$N:$N, sublease_contract!$C:$C, C86, sublease_contract!$D:$D, "*" &amp; D86 &amp; "*", sublease_contract!$G:$G, "&lt;&gt;已退租", sublease_contract!$N:$N, "&gt;=" &amp; TODAY(), sublease_contract!$N:$N, "&lt;=" &amp; (TODAY()+20)), "入住中"))), "")</f>
        <v>空房招租中</v>
      </c>
    </row>
    <row r="87">
      <c r="A87" s="12" t="s">
        <v>239</v>
      </c>
      <c r="B87" s="43" t="s">
        <v>240</v>
      </c>
      <c r="C87" s="31" t="s">
        <v>241</v>
      </c>
      <c r="D87" s="19" t="s">
        <v>17</v>
      </c>
      <c r="E87" s="31" t="s">
        <v>18</v>
      </c>
      <c r="F87" s="19" t="s">
        <v>19</v>
      </c>
      <c r="G87" s="37">
        <v>13.59</v>
      </c>
      <c r="H87" s="37">
        <v>13800.0</v>
      </c>
      <c r="I87" s="18" t="str">
        <f t="shared" si="1"/>
        <v>空房招租中</v>
      </c>
      <c r="J87" s="37" t="s">
        <v>242</v>
      </c>
      <c r="K87" s="33" t="s">
        <v>243</v>
      </c>
      <c r="L87" s="21" t="str">
        <f t="shared" si="2"/>
        <v>A</v>
      </c>
      <c r="O87" s="18" t="str">
        <f>IF(AND(C87&lt;&gt;"", D87&lt;&gt;""), IF(COUNTIFS(sublease_contract!$C:$C, C87, sublease_contract!$D:$D, "*" &amp; D87 &amp; "*", sublease_contract!$G:$G, "&lt;&gt;已退租") = 0, "空房招租中", IF(COUNTIFS(sublease_contract!$C:$C, C87, sublease_contract!$D:$D, "*" &amp; D87 &amp; "*", sublease_contract!$G:$G, "&lt;&gt;已退租", sublease_contract!$N:$N, "&gt;" &amp; (TODAY()+20)) &gt; 0, "入住中", IF(COUNTIFS(sublease_contract!$C:$C, C87, sublease_contract!$D:$D, "*" &amp; D87 &amp; "*", sublease_contract!$G:$G, "&lt;&gt;已退租", sublease_contract!$N:$N, "&gt;=" &amp; TODAY(), sublease_contract!$N:$N, "&lt;=" &amp; (TODAY()+20)) &gt; 0, MINIFS(sublease_contract!$N:$N, sublease_contract!$C:$C, C87, sublease_contract!$D:$D, "*" &amp; D87 &amp; "*", sublease_contract!$G:$G, "&lt;&gt;已退租", sublease_contract!$N:$N, "&gt;=" &amp; TODAY(), sublease_contract!$N:$N, "&lt;=" &amp; (TODAY()+20)), "入住中"))), "")</f>
        <v>空房招租中</v>
      </c>
    </row>
    <row r="88">
      <c r="A88" s="12" t="s">
        <v>239</v>
      </c>
      <c r="B88" s="43" t="s">
        <v>244</v>
      </c>
      <c r="C88" s="31" t="s">
        <v>241</v>
      </c>
      <c r="D88" s="31" t="s">
        <v>21</v>
      </c>
      <c r="E88" s="31" t="s">
        <v>18</v>
      </c>
      <c r="F88" s="19" t="s">
        <v>19</v>
      </c>
      <c r="G88" s="37">
        <v>16.56</v>
      </c>
      <c r="H88" s="37">
        <v>15400.0</v>
      </c>
      <c r="I88" s="18" t="str">
        <f t="shared" si="1"/>
        <v>空房招租中</v>
      </c>
      <c r="J88" s="37" t="s">
        <v>245</v>
      </c>
      <c r="K88" s="33" t="s">
        <v>243</v>
      </c>
      <c r="L88" s="21" t="str">
        <f t="shared" si="2"/>
        <v>A</v>
      </c>
      <c r="O88" s="18" t="str">
        <f>IF(AND(C88&lt;&gt;"", D88&lt;&gt;""), IF(COUNTIFS(sublease_contract!$C:$C, C88, sublease_contract!$D:$D, "*" &amp; D88 &amp; "*", sublease_contract!$G:$G, "&lt;&gt;已退租") = 0, "空房招租中", IF(COUNTIFS(sublease_contract!$C:$C, C88, sublease_contract!$D:$D, "*" &amp; D88 &amp; "*", sublease_contract!$G:$G, "&lt;&gt;已退租", sublease_contract!$N:$N, "&gt;" &amp; (TODAY()+20)) &gt; 0, "入住中", IF(COUNTIFS(sublease_contract!$C:$C, C88, sublease_contract!$D:$D, "*" &amp; D88 &amp; "*", sublease_contract!$G:$G, "&lt;&gt;已退租", sublease_contract!$N:$N, "&gt;=" &amp; TODAY(), sublease_contract!$N:$N, "&lt;=" &amp; (TODAY()+20)) &gt; 0, MINIFS(sublease_contract!$N:$N, sublease_contract!$C:$C, C88, sublease_contract!$D:$D, "*" &amp; D88 &amp; "*", sublease_contract!$G:$G, "&lt;&gt;已退租", sublease_contract!$N:$N, "&gt;=" &amp; TODAY(), sublease_contract!$N:$N, "&lt;=" &amp; (TODAY()+20)), "入住中"))), "")</f>
        <v>空房招租中</v>
      </c>
    </row>
    <row r="89">
      <c r="A89" s="12" t="s">
        <v>239</v>
      </c>
      <c r="B89" s="43" t="s">
        <v>246</v>
      </c>
      <c r="C89" s="31" t="s">
        <v>241</v>
      </c>
      <c r="D89" s="19" t="s">
        <v>23</v>
      </c>
      <c r="E89" s="31" t="s">
        <v>18</v>
      </c>
      <c r="F89" s="19" t="s">
        <v>19</v>
      </c>
      <c r="G89" s="37">
        <v>13.05</v>
      </c>
      <c r="H89" s="37">
        <v>14000.0</v>
      </c>
      <c r="I89" s="18" t="str">
        <f t="shared" si="1"/>
        <v>空房招租中</v>
      </c>
      <c r="J89" s="37" t="s">
        <v>247</v>
      </c>
      <c r="K89" s="33" t="s">
        <v>248</v>
      </c>
      <c r="L89" s="21" t="str">
        <f t="shared" si="2"/>
        <v>A</v>
      </c>
      <c r="O89" s="18" t="str">
        <f>IF(AND(C89&lt;&gt;"", D89&lt;&gt;""), IF(COUNTIFS(sublease_contract!$C:$C, C89, sublease_contract!$D:$D, "*" &amp; D89 &amp; "*", sublease_contract!$G:$G, "&lt;&gt;已退租") = 0, "空房招租中", IF(COUNTIFS(sublease_contract!$C:$C, C89, sublease_contract!$D:$D, "*" &amp; D89 &amp; "*", sublease_contract!$G:$G, "&lt;&gt;已退租", sublease_contract!$N:$N, "&gt;" &amp; (TODAY()+20)) &gt; 0, "入住中", IF(COUNTIFS(sublease_contract!$C:$C, C89, sublease_contract!$D:$D, "*" &amp; D89 &amp; "*", sublease_contract!$G:$G, "&lt;&gt;已退租", sublease_contract!$N:$N, "&gt;=" &amp; TODAY(), sublease_contract!$N:$N, "&lt;=" &amp; (TODAY()+20)) &gt; 0, MINIFS(sublease_contract!$N:$N, sublease_contract!$C:$C, C89, sublease_contract!$D:$D, "*" &amp; D89 &amp; "*", sublease_contract!$G:$G, "&lt;&gt;已退租", sublease_contract!$N:$N, "&gt;=" &amp; TODAY(), sublease_contract!$N:$N, "&lt;=" &amp; (TODAY()+20)), "入住中"))), "")</f>
        <v>空房招租中</v>
      </c>
    </row>
    <row r="90">
      <c r="A90" s="12" t="s">
        <v>239</v>
      </c>
      <c r="B90" s="43" t="s">
        <v>249</v>
      </c>
      <c r="C90" s="31" t="s">
        <v>241</v>
      </c>
      <c r="D90" s="19" t="s">
        <v>25</v>
      </c>
      <c r="E90" s="31" t="s">
        <v>18</v>
      </c>
      <c r="F90" s="19" t="s">
        <v>19</v>
      </c>
      <c r="G90" s="37">
        <v>11.04</v>
      </c>
      <c r="H90" s="37">
        <v>14000.0</v>
      </c>
      <c r="I90" s="18" t="str">
        <f t="shared" si="1"/>
        <v>空房招租中</v>
      </c>
      <c r="J90" s="37" t="s">
        <v>250</v>
      </c>
      <c r="K90" s="33" t="s">
        <v>248</v>
      </c>
      <c r="L90" s="21" t="str">
        <f t="shared" si="2"/>
        <v>A</v>
      </c>
      <c r="O90" s="18" t="str">
        <f>IF(AND(C90&lt;&gt;"", D90&lt;&gt;""), IF(COUNTIFS(sublease_contract!$C:$C, C90, sublease_contract!$D:$D, "*" &amp; D90 &amp; "*", sublease_contract!$G:$G, "&lt;&gt;已退租") = 0, "空房招租中", IF(COUNTIFS(sublease_contract!$C:$C, C90, sublease_contract!$D:$D, "*" &amp; D90 &amp; "*", sublease_contract!$G:$G, "&lt;&gt;已退租", sublease_contract!$N:$N, "&gt;" &amp; (TODAY()+20)) &gt; 0, "入住中", IF(COUNTIFS(sublease_contract!$C:$C, C90, sublease_contract!$D:$D, "*" &amp; D90 &amp; "*", sublease_contract!$G:$G, "&lt;&gt;已退租", sublease_contract!$N:$N, "&gt;=" &amp; TODAY(), sublease_contract!$N:$N, "&lt;=" &amp; (TODAY()+20)) &gt; 0, MINIFS(sublease_contract!$N:$N, sublease_contract!$C:$C, C90, sublease_contract!$D:$D, "*" &amp; D90 &amp; "*", sublease_contract!$G:$G, "&lt;&gt;已退租", sublease_contract!$N:$N, "&gt;=" &amp; TODAY(), sublease_contract!$N:$N, "&lt;=" &amp; (TODAY()+20)), "入住中"))), "")</f>
        <v>空房招租中</v>
      </c>
    </row>
    <row r="91">
      <c r="A91" s="12" t="s">
        <v>239</v>
      </c>
      <c r="B91" s="43" t="s">
        <v>251</v>
      </c>
      <c r="C91" s="31" t="s">
        <v>241</v>
      </c>
      <c r="D91" s="31" t="s">
        <v>34</v>
      </c>
      <c r="E91" s="31" t="s">
        <v>18</v>
      </c>
      <c r="F91" s="19" t="s">
        <v>19</v>
      </c>
      <c r="G91" s="37">
        <v>12.14</v>
      </c>
      <c r="H91" s="37">
        <v>12800.0</v>
      </c>
      <c r="I91" s="18" t="str">
        <f t="shared" si="1"/>
        <v>空房招租中</v>
      </c>
      <c r="J91" s="37" t="s">
        <v>252</v>
      </c>
      <c r="K91" s="33" t="s">
        <v>253</v>
      </c>
      <c r="L91" s="21" t="str">
        <f t="shared" si="2"/>
        <v>A</v>
      </c>
      <c r="O91" s="18" t="str">
        <f>IF(AND(C91&lt;&gt;"", D91&lt;&gt;""), IF(COUNTIFS(sublease_contract!$C:$C, C91, sublease_contract!$D:$D, "*" &amp; D91 &amp; "*", sublease_contract!$G:$G, "&lt;&gt;已退租") = 0, "空房招租中", IF(COUNTIFS(sublease_contract!$C:$C, C91, sublease_contract!$D:$D, "*" &amp; D91 &amp; "*", sublease_contract!$G:$G, "&lt;&gt;已退租", sublease_contract!$N:$N, "&gt;" &amp; (TODAY()+20)) &gt; 0, "入住中", IF(COUNTIFS(sublease_contract!$C:$C, C91, sublease_contract!$D:$D, "*" &amp; D91 &amp; "*", sublease_contract!$G:$G, "&lt;&gt;已退租", sublease_contract!$N:$N, "&gt;=" &amp; TODAY(), sublease_contract!$N:$N, "&lt;=" &amp; (TODAY()+20)) &gt; 0, MINIFS(sublease_contract!$N:$N, sublease_contract!$C:$C, C91, sublease_contract!$D:$D, "*" &amp; D91 &amp; "*", sublease_contract!$G:$G, "&lt;&gt;已退租", sublease_contract!$N:$N, "&gt;=" &amp; TODAY(), sublease_contract!$N:$N, "&lt;=" &amp; (TODAY()+20)), "入住中"))), "")</f>
        <v>空房招租中</v>
      </c>
    </row>
    <row r="92">
      <c r="A92" s="12"/>
      <c r="B92" s="43"/>
      <c r="C92" s="31"/>
      <c r="D92" s="31"/>
      <c r="E92" s="15"/>
      <c r="F92" s="24"/>
      <c r="I92" s="18"/>
      <c r="L92" s="21" t="str">
        <f t="shared" si="2"/>
        <v>Z</v>
      </c>
    </row>
    <row r="93">
      <c r="A93" s="12"/>
      <c r="B93" s="22"/>
      <c r="I93" s="18"/>
      <c r="L93" s="21" t="str">
        <f t="shared" si="2"/>
        <v>Z</v>
      </c>
    </row>
    <row r="94">
      <c r="A94" s="12"/>
      <c r="B94" s="22"/>
      <c r="I94" s="18"/>
      <c r="L94" s="21" t="str">
        <f t="shared" si="2"/>
        <v>Z</v>
      </c>
    </row>
    <row r="95">
      <c r="A95" s="12"/>
      <c r="B95" s="22"/>
      <c r="I95" s="18"/>
      <c r="L95" s="21" t="str">
        <f t="shared" si="2"/>
        <v>Z</v>
      </c>
    </row>
    <row r="96">
      <c r="A96" s="12"/>
      <c r="B96" s="22"/>
      <c r="I96" s="18"/>
      <c r="L96" s="21" t="str">
        <f t="shared" si="2"/>
        <v>Z</v>
      </c>
    </row>
    <row r="97">
      <c r="A97" s="12"/>
      <c r="B97" s="22"/>
      <c r="I97" s="18"/>
      <c r="L97" s="21" t="str">
        <f t="shared" si="2"/>
        <v>Z</v>
      </c>
    </row>
    <row r="98">
      <c r="A98" s="12"/>
      <c r="B98" s="22"/>
      <c r="I98" s="18"/>
      <c r="L98" s="21" t="str">
        <f t="shared" si="2"/>
        <v>Z</v>
      </c>
    </row>
    <row r="99">
      <c r="A99" s="12"/>
      <c r="B99" s="22"/>
      <c r="I99" s="18"/>
      <c r="L99" s="21" t="str">
        <f t="shared" si="2"/>
        <v>Z</v>
      </c>
    </row>
    <row r="100">
      <c r="A100" s="12"/>
      <c r="B100" s="22"/>
      <c r="I100" s="18"/>
      <c r="L100" s="21" t="str">
        <f t="shared" si="2"/>
        <v>Z</v>
      </c>
    </row>
    <row r="101">
      <c r="A101" s="12"/>
      <c r="B101" s="22"/>
      <c r="I101" s="18"/>
      <c r="L101" s="21" t="str">
        <f t="shared" si="2"/>
        <v>Z</v>
      </c>
    </row>
    <row r="102">
      <c r="A102" s="12"/>
      <c r="B102" s="22"/>
      <c r="I102" s="18"/>
      <c r="L102" s="21" t="str">
        <f t="shared" si="2"/>
        <v>Z</v>
      </c>
    </row>
    <row r="103">
      <c r="A103" s="12"/>
      <c r="B103" s="22"/>
      <c r="I103" s="18"/>
      <c r="L103" s="21" t="str">
        <f t="shared" si="2"/>
        <v>Z</v>
      </c>
    </row>
    <row r="104">
      <c r="A104" s="12"/>
      <c r="B104" s="22"/>
      <c r="I104" s="18"/>
      <c r="L104" s="21" t="str">
        <f t="shared" si="2"/>
        <v>Z</v>
      </c>
    </row>
    <row r="105">
      <c r="A105" s="12"/>
      <c r="B105" s="22"/>
      <c r="I105" s="18"/>
      <c r="L105" s="21" t="str">
        <f t="shared" si="2"/>
        <v>Z</v>
      </c>
    </row>
    <row r="106">
      <c r="A106" s="12"/>
      <c r="B106" s="22"/>
      <c r="I106" s="18"/>
      <c r="L106" s="21" t="str">
        <f t="shared" si="2"/>
        <v>Z</v>
      </c>
    </row>
    <row r="107">
      <c r="A107" s="12"/>
      <c r="B107" s="22"/>
      <c r="I107" s="18"/>
      <c r="L107" s="21" t="str">
        <f t="shared" si="2"/>
        <v>Z</v>
      </c>
    </row>
    <row r="108">
      <c r="A108" s="12"/>
      <c r="B108" s="22"/>
      <c r="I108" s="18"/>
      <c r="L108" s="21" t="str">
        <f t="shared" si="2"/>
        <v>Z</v>
      </c>
    </row>
    <row r="109">
      <c r="A109" s="12"/>
      <c r="B109" s="22"/>
      <c r="I109" s="18"/>
      <c r="L109" s="21" t="str">
        <f t="shared" si="2"/>
        <v>Z</v>
      </c>
    </row>
    <row r="110">
      <c r="A110" s="12"/>
      <c r="B110" s="22"/>
      <c r="I110" s="18"/>
      <c r="L110" s="21" t="str">
        <f t="shared" si="2"/>
        <v>Z</v>
      </c>
    </row>
    <row r="111">
      <c r="A111" s="12"/>
      <c r="B111" s="22"/>
      <c r="I111" s="18"/>
      <c r="L111" s="21" t="str">
        <f t="shared" si="2"/>
        <v>Z</v>
      </c>
    </row>
    <row r="112">
      <c r="A112" s="12"/>
      <c r="B112" s="22"/>
      <c r="I112" s="18"/>
      <c r="L112" s="21" t="str">
        <f t="shared" si="2"/>
        <v>Z</v>
      </c>
    </row>
    <row r="113">
      <c r="A113" s="12"/>
      <c r="B113" s="22"/>
      <c r="I113" s="18"/>
      <c r="L113" s="21" t="str">
        <f t="shared" si="2"/>
        <v>Z</v>
      </c>
    </row>
    <row r="114">
      <c r="A114" s="12"/>
      <c r="B114" s="22"/>
      <c r="I114" s="18"/>
      <c r="L114" s="21" t="str">
        <f t="shared" si="2"/>
        <v>Z</v>
      </c>
    </row>
    <row r="115">
      <c r="A115" s="12"/>
      <c r="B115" s="22"/>
      <c r="I115" s="18"/>
      <c r="L115" s="21" t="str">
        <f t="shared" si="2"/>
        <v>Z</v>
      </c>
    </row>
    <row r="116">
      <c r="A116" s="12"/>
      <c r="B116" s="22"/>
      <c r="I116" s="18"/>
      <c r="L116" s="21" t="str">
        <f t="shared" si="2"/>
        <v>Z</v>
      </c>
    </row>
    <row r="117">
      <c r="A117" s="12"/>
      <c r="B117" s="22"/>
      <c r="I117" s="18"/>
      <c r="L117" s="21" t="str">
        <f t="shared" si="2"/>
        <v>Z</v>
      </c>
    </row>
    <row r="118">
      <c r="A118" s="12"/>
      <c r="B118" s="22"/>
      <c r="I118" s="18"/>
      <c r="L118" s="21" t="str">
        <f t="shared" si="2"/>
        <v>Z</v>
      </c>
    </row>
    <row r="119">
      <c r="A119" s="12"/>
      <c r="B119" s="22"/>
      <c r="I119" s="18"/>
      <c r="L119" s="21" t="str">
        <f t="shared" si="2"/>
        <v>Z</v>
      </c>
    </row>
    <row r="120">
      <c r="A120" s="12"/>
      <c r="B120" s="22"/>
      <c r="I120" s="18"/>
      <c r="L120" s="21" t="str">
        <f t="shared" si="2"/>
        <v>Z</v>
      </c>
    </row>
    <row r="121">
      <c r="A121" s="12"/>
      <c r="B121" s="22"/>
      <c r="I121" s="18"/>
      <c r="L121" s="21" t="str">
        <f t="shared" si="2"/>
        <v>Z</v>
      </c>
    </row>
    <row r="122">
      <c r="A122" s="12"/>
      <c r="B122" s="22"/>
      <c r="I122" s="18"/>
      <c r="L122" s="21" t="str">
        <f t="shared" si="2"/>
        <v>Z</v>
      </c>
    </row>
    <row r="123">
      <c r="A123" s="12"/>
      <c r="B123" s="22"/>
      <c r="I123" s="18"/>
      <c r="L123" s="21" t="str">
        <f t="shared" si="2"/>
        <v>Z</v>
      </c>
    </row>
    <row r="124">
      <c r="A124" s="12"/>
      <c r="B124" s="22"/>
      <c r="I124" s="18"/>
      <c r="L124" s="21" t="str">
        <f t="shared" si="2"/>
        <v>Z</v>
      </c>
    </row>
    <row r="125">
      <c r="A125" s="12"/>
      <c r="B125" s="22"/>
      <c r="I125" s="18"/>
      <c r="L125" s="21" t="str">
        <f t="shared" si="2"/>
        <v>Z</v>
      </c>
    </row>
    <row r="126">
      <c r="A126" s="12"/>
      <c r="B126" s="22"/>
      <c r="I126" s="18"/>
      <c r="L126" s="21" t="str">
        <f t="shared" si="2"/>
        <v>Z</v>
      </c>
    </row>
    <row r="127">
      <c r="A127" s="12"/>
      <c r="B127" s="22"/>
      <c r="I127" s="18"/>
      <c r="L127" s="21" t="str">
        <f t="shared" si="2"/>
        <v>Z</v>
      </c>
    </row>
    <row r="128">
      <c r="A128" s="12"/>
      <c r="B128" s="22"/>
      <c r="I128" s="18"/>
      <c r="L128" s="21" t="str">
        <f t="shared" si="2"/>
        <v>Z</v>
      </c>
    </row>
    <row r="129">
      <c r="A129" s="12"/>
      <c r="B129" s="22"/>
      <c r="I129" s="18"/>
      <c r="L129" s="21" t="str">
        <f t="shared" si="2"/>
        <v>Z</v>
      </c>
    </row>
    <row r="130">
      <c r="A130" s="12"/>
      <c r="B130" s="22"/>
      <c r="I130" s="18"/>
      <c r="L130" s="21" t="str">
        <f t="shared" si="2"/>
        <v>Z</v>
      </c>
    </row>
    <row r="131">
      <c r="A131" s="12"/>
      <c r="B131" s="22"/>
      <c r="I131" s="18"/>
      <c r="L131" s="21" t="str">
        <f t="shared" si="2"/>
        <v>Z</v>
      </c>
    </row>
    <row r="132">
      <c r="A132" s="12"/>
      <c r="B132" s="22"/>
      <c r="I132" s="18"/>
      <c r="L132" s="21" t="str">
        <f t="shared" si="2"/>
        <v>Z</v>
      </c>
    </row>
    <row r="133">
      <c r="A133" s="12"/>
      <c r="B133" s="22"/>
      <c r="I133" s="18"/>
      <c r="L133" s="21" t="str">
        <f t="shared" si="2"/>
        <v>Z</v>
      </c>
    </row>
    <row r="134">
      <c r="A134" s="12"/>
      <c r="B134" s="22"/>
      <c r="I134" s="18"/>
      <c r="L134" s="21" t="str">
        <f t="shared" si="2"/>
        <v>Z</v>
      </c>
    </row>
    <row r="135">
      <c r="A135" s="12"/>
      <c r="B135" s="22"/>
      <c r="I135" s="18"/>
      <c r="L135" s="21" t="str">
        <f t="shared" si="2"/>
        <v>Z</v>
      </c>
    </row>
    <row r="136">
      <c r="A136" s="12"/>
      <c r="B136" s="22"/>
      <c r="I136" s="18"/>
      <c r="L136" s="21" t="str">
        <f t="shared" si="2"/>
        <v>Z</v>
      </c>
    </row>
    <row r="137">
      <c r="A137" s="12"/>
      <c r="B137" s="22"/>
      <c r="I137" s="18"/>
      <c r="L137" s="21" t="str">
        <f t="shared" si="2"/>
        <v>Z</v>
      </c>
    </row>
    <row r="138">
      <c r="A138" s="12"/>
      <c r="B138" s="22"/>
      <c r="I138" s="18"/>
      <c r="L138" s="21" t="str">
        <f t="shared" si="2"/>
        <v>Z</v>
      </c>
    </row>
    <row r="139">
      <c r="A139" s="12"/>
      <c r="B139" s="22"/>
      <c r="I139" s="18"/>
      <c r="L139" s="21" t="str">
        <f t="shared" si="2"/>
        <v>Z</v>
      </c>
    </row>
    <row r="140">
      <c r="A140" s="12"/>
      <c r="B140" s="22"/>
      <c r="I140" s="18"/>
      <c r="L140" s="21" t="str">
        <f t="shared" si="2"/>
        <v>Z</v>
      </c>
    </row>
    <row r="141">
      <c r="A141" s="12"/>
      <c r="B141" s="22"/>
      <c r="I141" s="18"/>
      <c r="L141" s="21" t="str">
        <f t="shared" si="2"/>
        <v>Z</v>
      </c>
    </row>
    <row r="142">
      <c r="A142" s="12"/>
      <c r="B142" s="22"/>
      <c r="I142" s="18"/>
      <c r="L142" s="21" t="str">
        <f t="shared" si="2"/>
        <v>Z</v>
      </c>
    </row>
    <row r="143">
      <c r="A143" s="12"/>
      <c r="B143" s="22"/>
      <c r="I143" s="18"/>
      <c r="L143" s="21" t="str">
        <f t="shared" si="2"/>
        <v>Z</v>
      </c>
    </row>
    <row r="144">
      <c r="A144" s="12"/>
      <c r="B144" s="22"/>
      <c r="I144" s="18"/>
      <c r="L144" s="21" t="str">
        <f t="shared" si="2"/>
        <v>Z</v>
      </c>
    </row>
    <row r="145">
      <c r="A145" s="12"/>
      <c r="B145" s="22"/>
      <c r="I145" s="18"/>
      <c r="L145" s="21" t="str">
        <f t="shared" si="2"/>
        <v>Z</v>
      </c>
    </row>
    <row r="146">
      <c r="A146" s="12"/>
      <c r="B146" s="22"/>
      <c r="I146" s="18"/>
      <c r="L146" s="21" t="str">
        <f t="shared" si="2"/>
        <v>Z</v>
      </c>
    </row>
    <row r="147">
      <c r="A147" s="12"/>
      <c r="B147" s="22"/>
      <c r="I147" s="18"/>
      <c r="L147" s="21" t="str">
        <f t="shared" si="2"/>
        <v>Z</v>
      </c>
    </row>
    <row r="148">
      <c r="A148" s="12"/>
      <c r="B148" s="22"/>
      <c r="I148" s="18"/>
      <c r="L148" s="21" t="str">
        <f t="shared" si="2"/>
        <v>Z</v>
      </c>
    </row>
    <row r="149">
      <c r="A149" s="12"/>
      <c r="B149" s="22"/>
      <c r="I149" s="18"/>
      <c r="L149" s="21" t="str">
        <f t="shared" si="2"/>
        <v>Z</v>
      </c>
    </row>
    <row r="150">
      <c r="A150" s="12"/>
      <c r="B150" s="22"/>
      <c r="I150" s="18"/>
      <c r="L150" s="21" t="str">
        <f t="shared" si="2"/>
        <v>Z</v>
      </c>
    </row>
    <row r="151">
      <c r="A151" s="12"/>
      <c r="B151" s="22"/>
      <c r="I151" s="18"/>
      <c r="L151" s="21" t="str">
        <f t="shared" si="2"/>
        <v>Z</v>
      </c>
    </row>
    <row r="152">
      <c r="A152" s="12"/>
      <c r="B152" s="22"/>
      <c r="I152" s="18"/>
      <c r="L152" s="21" t="str">
        <f t="shared" si="2"/>
        <v>Z</v>
      </c>
    </row>
    <row r="153">
      <c r="A153" s="12"/>
      <c r="B153" s="22"/>
      <c r="I153" s="18"/>
      <c r="L153" s="21" t="str">
        <f t="shared" si="2"/>
        <v>Z</v>
      </c>
    </row>
    <row r="154">
      <c r="A154" s="12"/>
      <c r="B154" s="22"/>
      <c r="I154" s="18"/>
      <c r="L154" s="21" t="str">
        <f t="shared" si="2"/>
        <v>Z</v>
      </c>
    </row>
    <row r="155">
      <c r="A155" s="12"/>
      <c r="B155" s="22"/>
      <c r="I155" s="18"/>
      <c r="L155" s="21" t="str">
        <f t="shared" si="2"/>
        <v>Z</v>
      </c>
    </row>
    <row r="156">
      <c r="A156" s="12"/>
      <c r="B156" s="22"/>
      <c r="I156" s="18"/>
      <c r="L156" s="21" t="str">
        <f t="shared" si="2"/>
        <v>Z</v>
      </c>
    </row>
    <row r="157">
      <c r="A157" s="12"/>
      <c r="B157" s="22"/>
      <c r="I157" s="18"/>
      <c r="L157" s="21" t="str">
        <f t="shared" si="2"/>
        <v>Z</v>
      </c>
    </row>
    <row r="158">
      <c r="A158" s="12"/>
      <c r="B158" s="22"/>
      <c r="I158" s="18"/>
      <c r="L158" s="21" t="str">
        <f t="shared" si="2"/>
        <v>Z</v>
      </c>
    </row>
    <row r="159">
      <c r="A159" s="12"/>
      <c r="B159" s="22"/>
      <c r="I159" s="18"/>
      <c r="L159" s="21" t="str">
        <f t="shared" si="2"/>
        <v>Z</v>
      </c>
    </row>
    <row r="160">
      <c r="A160" s="12"/>
      <c r="B160" s="22"/>
      <c r="I160" s="18"/>
      <c r="L160" s="21" t="str">
        <f t="shared" si="2"/>
        <v>Z</v>
      </c>
    </row>
    <row r="161">
      <c r="A161" s="12"/>
      <c r="B161" s="22"/>
      <c r="I161" s="18"/>
      <c r="L161" s="21" t="str">
        <f t="shared" si="2"/>
        <v>Z</v>
      </c>
    </row>
    <row r="162">
      <c r="A162" s="12"/>
      <c r="B162" s="22"/>
      <c r="I162" s="18"/>
      <c r="L162" s="21" t="str">
        <f t="shared" si="2"/>
        <v>Z</v>
      </c>
    </row>
    <row r="163">
      <c r="A163" s="12"/>
      <c r="B163" s="22"/>
      <c r="I163" s="18"/>
      <c r="L163" s="21" t="str">
        <f t="shared" si="2"/>
        <v>Z</v>
      </c>
    </row>
    <row r="164">
      <c r="A164" s="12"/>
      <c r="B164" s="22"/>
      <c r="I164" s="18"/>
      <c r="L164" s="21" t="str">
        <f t="shared" si="2"/>
        <v>Z</v>
      </c>
    </row>
    <row r="165">
      <c r="A165" s="12"/>
      <c r="B165" s="22"/>
      <c r="I165" s="18"/>
      <c r="L165" s="21" t="str">
        <f t="shared" si="2"/>
        <v>Z</v>
      </c>
    </row>
    <row r="166">
      <c r="A166" s="12"/>
      <c r="B166" s="22"/>
      <c r="I166" s="18"/>
      <c r="L166" s="21" t="str">
        <f t="shared" si="2"/>
        <v>Z</v>
      </c>
    </row>
    <row r="167">
      <c r="A167" s="12"/>
      <c r="B167" s="22"/>
      <c r="I167" s="18"/>
      <c r="L167" s="21" t="str">
        <f t="shared" si="2"/>
        <v>Z</v>
      </c>
    </row>
    <row r="168">
      <c r="A168" s="12"/>
      <c r="B168" s="22"/>
      <c r="I168" s="18"/>
      <c r="L168" s="21" t="str">
        <f t="shared" si="2"/>
        <v>Z</v>
      </c>
    </row>
    <row r="169">
      <c r="A169" s="12"/>
      <c r="B169" s="22"/>
      <c r="I169" s="18"/>
      <c r="L169" s="21" t="str">
        <f t="shared" si="2"/>
        <v>Z</v>
      </c>
    </row>
    <row r="170">
      <c r="A170" s="12"/>
      <c r="B170" s="22"/>
      <c r="I170" s="18"/>
      <c r="L170" s="21" t="str">
        <f t="shared" si="2"/>
        <v>Z</v>
      </c>
    </row>
    <row r="171">
      <c r="A171" s="12"/>
      <c r="B171" s="22"/>
      <c r="I171" s="18"/>
      <c r="L171" s="21" t="str">
        <f t="shared" si="2"/>
        <v>Z</v>
      </c>
    </row>
    <row r="172">
      <c r="A172" s="12"/>
      <c r="B172" s="22"/>
      <c r="I172" s="18"/>
      <c r="L172" s="21" t="str">
        <f t="shared" si="2"/>
        <v>Z</v>
      </c>
    </row>
    <row r="173">
      <c r="A173" s="12"/>
      <c r="B173" s="22"/>
      <c r="I173" s="18"/>
      <c r="L173" s="21" t="str">
        <f t="shared" si="2"/>
        <v>Z</v>
      </c>
    </row>
    <row r="174">
      <c r="A174" s="12"/>
      <c r="B174" s="22"/>
      <c r="I174" s="18"/>
      <c r="L174" s="21" t="str">
        <f t="shared" si="2"/>
        <v>Z</v>
      </c>
    </row>
    <row r="175">
      <c r="A175" s="12"/>
      <c r="B175" s="22"/>
      <c r="I175" s="18"/>
      <c r="L175" s="21" t="str">
        <f t="shared" si="2"/>
        <v>Z</v>
      </c>
    </row>
    <row r="176">
      <c r="A176" s="12"/>
      <c r="B176" s="22"/>
      <c r="I176" s="18"/>
      <c r="L176" s="21" t="str">
        <f t="shared" si="2"/>
        <v>Z</v>
      </c>
    </row>
    <row r="177">
      <c r="A177" s="12"/>
      <c r="B177" s="22"/>
      <c r="I177" s="18"/>
      <c r="L177" s="21" t="str">
        <f t="shared" si="2"/>
        <v>Z</v>
      </c>
    </row>
    <row r="178">
      <c r="A178" s="12"/>
      <c r="B178" s="22"/>
      <c r="I178" s="18"/>
      <c r="L178" s="21" t="str">
        <f t="shared" si="2"/>
        <v>Z</v>
      </c>
    </row>
    <row r="179">
      <c r="A179" s="12"/>
      <c r="B179" s="22"/>
      <c r="I179" s="18"/>
      <c r="L179" s="21" t="str">
        <f t="shared" si="2"/>
        <v>Z</v>
      </c>
    </row>
    <row r="180">
      <c r="A180" s="12"/>
      <c r="B180" s="22"/>
      <c r="I180" s="18"/>
      <c r="L180" s="21" t="str">
        <f t="shared" si="2"/>
        <v>Z</v>
      </c>
    </row>
    <row r="181">
      <c r="A181" s="12"/>
      <c r="B181" s="22"/>
      <c r="I181" s="18"/>
      <c r="L181" s="21" t="str">
        <f t="shared" si="2"/>
        <v>Z</v>
      </c>
    </row>
    <row r="182">
      <c r="A182" s="12"/>
      <c r="B182" s="22"/>
      <c r="I182" s="18"/>
      <c r="L182" s="21" t="str">
        <f t="shared" si="2"/>
        <v>Z</v>
      </c>
    </row>
    <row r="183">
      <c r="A183" s="12"/>
      <c r="B183" s="22"/>
      <c r="I183" s="18"/>
      <c r="L183" s="21" t="str">
        <f t="shared" si="2"/>
        <v>Z</v>
      </c>
    </row>
    <row r="184">
      <c r="A184" s="12"/>
      <c r="B184" s="22"/>
      <c r="I184" s="18"/>
      <c r="L184" s="21" t="str">
        <f t="shared" si="2"/>
        <v>Z</v>
      </c>
    </row>
    <row r="185">
      <c r="A185" s="12"/>
      <c r="B185" s="22"/>
      <c r="I185" s="18"/>
      <c r="L185" s="21" t="str">
        <f t="shared" si="2"/>
        <v>Z</v>
      </c>
    </row>
    <row r="186">
      <c r="A186" s="12"/>
      <c r="B186" s="22"/>
      <c r="I186" s="18"/>
      <c r="L186" s="21" t="str">
        <f t="shared" si="2"/>
        <v>Z</v>
      </c>
    </row>
    <row r="187">
      <c r="A187" s="12"/>
      <c r="B187" s="22"/>
      <c r="I187" s="18"/>
      <c r="L187" s="21" t="str">
        <f t="shared" si="2"/>
        <v>Z</v>
      </c>
    </row>
    <row r="188">
      <c r="A188" s="12"/>
      <c r="B188" s="22"/>
      <c r="I188" s="18"/>
      <c r="L188" s="21" t="str">
        <f t="shared" si="2"/>
        <v>Z</v>
      </c>
    </row>
    <row r="189">
      <c r="A189" s="12"/>
      <c r="B189" s="22"/>
      <c r="I189" s="18"/>
      <c r="L189" s="21" t="str">
        <f t="shared" si="2"/>
        <v>Z</v>
      </c>
    </row>
    <row r="190">
      <c r="A190" s="12"/>
      <c r="B190" s="22"/>
      <c r="I190" s="18"/>
      <c r="L190" s="21" t="str">
        <f t="shared" si="2"/>
        <v>Z</v>
      </c>
    </row>
    <row r="191">
      <c r="A191" s="12"/>
      <c r="B191" s="22"/>
      <c r="I191" s="18"/>
      <c r="L191" s="21" t="str">
        <f t="shared" si="2"/>
        <v>Z</v>
      </c>
    </row>
    <row r="192">
      <c r="A192" s="12"/>
      <c r="B192" s="22"/>
      <c r="I192" s="18"/>
      <c r="L192" s="21" t="str">
        <f t="shared" si="2"/>
        <v>Z</v>
      </c>
    </row>
    <row r="193">
      <c r="A193" s="12"/>
      <c r="B193" s="22"/>
      <c r="I193" s="18"/>
      <c r="L193" s="21" t="str">
        <f t="shared" si="2"/>
        <v>Z</v>
      </c>
    </row>
    <row r="194">
      <c r="A194" s="12"/>
      <c r="B194" s="22"/>
      <c r="I194" s="18"/>
      <c r="L194" s="21" t="str">
        <f t="shared" si="2"/>
        <v>Z</v>
      </c>
    </row>
    <row r="195">
      <c r="A195" s="12"/>
      <c r="B195" s="22"/>
      <c r="I195" s="18"/>
      <c r="L195" s="21" t="str">
        <f t="shared" si="2"/>
        <v>Z</v>
      </c>
    </row>
    <row r="196">
      <c r="A196" s="12"/>
      <c r="B196" s="22"/>
      <c r="I196" s="18"/>
      <c r="L196" s="21" t="str">
        <f t="shared" si="2"/>
        <v>Z</v>
      </c>
    </row>
    <row r="197">
      <c r="A197" s="12"/>
      <c r="B197" s="22"/>
      <c r="I197" s="18"/>
      <c r="L197" s="21" t="str">
        <f t="shared" si="2"/>
        <v>Z</v>
      </c>
    </row>
    <row r="198">
      <c r="A198" s="12"/>
      <c r="B198" s="22"/>
      <c r="I198" s="18"/>
      <c r="L198" s="21" t="str">
        <f t="shared" si="2"/>
        <v>Z</v>
      </c>
    </row>
    <row r="199">
      <c r="A199" s="12"/>
      <c r="B199" s="22"/>
      <c r="I199" s="18"/>
      <c r="L199" s="21" t="str">
        <f t="shared" si="2"/>
        <v>Z</v>
      </c>
    </row>
    <row r="200">
      <c r="A200" s="12"/>
      <c r="B200" s="22"/>
      <c r="I200" s="18"/>
      <c r="L200" s="21" t="str">
        <f t="shared" si="2"/>
        <v>Z</v>
      </c>
    </row>
    <row r="201">
      <c r="A201" s="12"/>
      <c r="B201" s="22"/>
      <c r="I201" s="18"/>
      <c r="L201" s="21" t="str">
        <f t="shared" si="2"/>
        <v>Z</v>
      </c>
    </row>
    <row r="202">
      <c r="A202" s="12"/>
      <c r="B202" s="22"/>
      <c r="I202" s="18"/>
      <c r="L202" s="21" t="str">
        <f t="shared" si="2"/>
        <v>Z</v>
      </c>
    </row>
    <row r="203">
      <c r="A203" s="12"/>
      <c r="B203" s="22"/>
      <c r="I203" s="18"/>
      <c r="L203" s="21" t="str">
        <f t="shared" si="2"/>
        <v>Z</v>
      </c>
    </row>
    <row r="204">
      <c r="A204" s="12"/>
      <c r="B204" s="22"/>
      <c r="I204" s="18"/>
      <c r="L204" s="21" t="str">
        <f t="shared" si="2"/>
        <v>Z</v>
      </c>
    </row>
    <row r="205">
      <c r="A205" s="12"/>
      <c r="B205" s="22"/>
      <c r="I205" s="18"/>
      <c r="L205" s="21" t="str">
        <f t="shared" si="2"/>
        <v>Z</v>
      </c>
    </row>
    <row r="206">
      <c r="A206" s="12"/>
      <c r="B206" s="22"/>
      <c r="I206" s="18"/>
      <c r="L206" s="21" t="str">
        <f t="shared" si="2"/>
        <v>Z</v>
      </c>
    </row>
    <row r="207">
      <c r="A207" s="12"/>
      <c r="B207" s="22"/>
      <c r="I207" s="18"/>
      <c r="L207" s="21" t="str">
        <f t="shared" si="2"/>
        <v>Z</v>
      </c>
    </row>
    <row r="208">
      <c r="A208" s="12"/>
      <c r="B208" s="22"/>
      <c r="I208" s="18"/>
      <c r="L208" s="21" t="str">
        <f t="shared" si="2"/>
        <v>Z</v>
      </c>
    </row>
    <row r="209">
      <c r="A209" s="12"/>
      <c r="B209" s="22"/>
      <c r="I209" s="18"/>
      <c r="L209" s="21" t="str">
        <f t="shared" si="2"/>
        <v>Z</v>
      </c>
    </row>
    <row r="210">
      <c r="A210" s="12"/>
      <c r="B210" s="22"/>
      <c r="I210" s="18"/>
      <c r="L210" s="21" t="str">
        <f t="shared" si="2"/>
        <v>Z</v>
      </c>
    </row>
    <row r="211">
      <c r="A211" s="12"/>
      <c r="B211" s="22"/>
      <c r="I211" s="18"/>
      <c r="L211" s="21" t="str">
        <f t="shared" si="2"/>
        <v>Z</v>
      </c>
    </row>
    <row r="212">
      <c r="A212" s="12"/>
      <c r="B212" s="22"/>
      <c r="I212" s="18"/>
      <c r="L212" s="21" t="str">
        <f t="shared" si="2"/>
        <v>Z</v>
      </c>
    </row>
    <row r="213">
      <c r="A213" s="12"/>
      <c r="B213" s="22"/>
      <c r="I213" s="18"/>
      <c r="L213" s="21" t="str">
        <f t="shared" si="2"/>
        <v>Z</v>
      </c>
    </row>
    <row r="214">
      <c r="A214" s="12"/>
      <c r="B214" s="22"/>
      <c r="I214" s="18"/>
      <c r="L214" s="21" t="str">
        <f t="shared" si="2"/>
        <v>Z</v>
      </c>
    </row>
    <row r="215">
      <c r="A215" s="12"/>
      <c r="B215" s="22"/>
      <c r="I215" s="18"/>
      <c r="L215" s="21" t="str">
        <f t="shared" si="2"/>
        <v>Z</v>
      </c>
    </row>
    <row r="216">
      <c r="A216" s="12"/>
      <c r="B216" s="22"/>
      <c r="I216" s="18"/>
      <c r="L216" s="21" t="str">
        <f t="shared" si="2"/>
        <v>Z</v>
      </c>
    </row>
    <row r="217">
      <c r="A217" s="12"/>
      <c r="B217" s="22"/>
      <c r="I217" s="18"/>
      <c r="L217" s="21" t="str">
        <f t="shared" si="2"/>
        <v>Z</v>
      </c>
    </row>
    <row r="218">
      <c r="A218" s="12"/>
      <c r="B218" s="22"/>
      <c r="I218" s="18"/>
      <c r="L218" s="21" t="str">
        <f t="shared" si="2"/>
        <v>Z</v>
      </c>
    </row>
    <row r="219">
      <c r="A219" s="12"/>
      <c r="B219" s="22"/>
      <c r="I219" s="18"/>
      <c r="L219" s="21" t="str">
        <f t="shared" si="2"/>
        <v>Z</v>
      </c>
    </row>
    <row r="220">
      <c r="A220" s="12"/>
      <c r="B220" s="22"/>
      <c r="I220" s="45"/>
      <c r="L220" s="21" t="str">
        <f t="shared" si="2"/>
        <v>Z</v>
      </c>
    </row>
    <row r="221">
      <c r="A221" s="12"/>
      <c r="B221" s="22"/>
      <c r="I221" s="45"/>
      <c r="L221" s="21" t="str">
        <f t="shared" si="2"/>
        <v>Z</v>
      </c>
    </row>
    <row r="222">
      <c r="A222" s="12"/>
      <c r="B222" s="22"/>
      <c r="I222" s="45"/>
      <c r="L222" s="21" t="str">
        <f t="shared" si="2"/>
        <v>Z</v>
      </c>
    </row>
    <row r="223">
      <c r="A223" s="12"/>
      <c r="B223" s="22"/>
      <c r="I223" s="45"/>
      <c r="L223" s="21" t="str">
        <f t="shared" si="2"/>
        <v>Z</v>
      </c>
    </row>
    <row r="224">
      <c r="A224" s="12"/>
      <c r="B224" s="22"/>
      <c r="I224" s="45"/>
      <c r="L224" s="21" t="str">
        <f t="shared" si="2"/>
        <v>Z</v>
      </c>
    </row>
    <row r="225">
      <c r="A225" s="12"/>
      <c r="B225" s="22"/>
      <c r="I225" s="45"/>
      <c r="L225" s="21" t="str">
        <f t="shared" si="2"/>
        <v>Z</v>
      </c>
    </row>
    <row r="226">
      <c r="A226" s="12"/>
      <c r="B226" s="22"/>
      <c r="I226" s="45"/>
      <c r="L226" s="21" t="str">
        <f t="shared" si="2"/>
        <v>Z</v>
      </c>
    </row>
    <row r="227">
      <c r="A227" s="12"/>
      <c r="B227" s="22"/>
      <c r="I227" s="45"/>
      <c r="L227" s="21" t="str">
        <f t="shared" si="2"/>
        <v>Z</v>
      </c>
    </row>
    <row r="228">
      <c r="A228" s="12"/>
      <c r="B228" s="22"/>
      <c r="I228" s="45"/>
      <c r="L228" s="21" t="str">
        <f t="shared" si="2"/>
        <v>Z</v>
      </c>
    </row>
    <row r="229">
      <c r="A229" s="12"/>
      <c r="B229" s="22"/>
      <c r="I229" s="45"/>
      <c r="L229" s="21" t="str">
        <f t="shared" si="2"/>
        <v>Z</v>
      </c>
    </row>
    <row r="230">
      <c r="A230" s="12"/>
      <c r="B230" s="22"/>
      <c r="I230" s="45"/>
      <c r="L230" s="21" t="str">
        <f t="shared" si="2"/>
        <v>Z</v>
      </c>
    </row>
    <row r="231">
      <c r="A231" s="12"/>
      <c r="B231" s="22"/>
      <c r="I231" s="45"/>
      <c r="L231" s="21" t="str">
        <f t="shared" si="2"/>
        <v>Z</v>
      </c>
    </row>
    <row r="232">
      <c r="A232" s="12"/>
      <c r="B232" s="22"/>
      <c r="I232" s="45"/>
      <c r="L232" s="21" t="str">
        <f t="shared" si="2"/>
        <v>Z</v>
      </c>
    </row>
    <row r="233">
      <c r="A233" s="12"/>
      <c r="B233" s="22"/>
      <c r="I233" s="45"/>
      <c r="L233" s="21" t="str">
        <f t="shared" si="2"/>
        <v>Z</v>
      </c>
    </row>
    <row r="234">
      <c r="A234" s="12"/>
      <c r="B234" s="22"/>
      <c r="I234" s="45"/>
      <c r="L234" s="21" t="str">
        <f t="shared" si="2"/>
        <v>Z</v>
      </c>
    </row>
    <row r="235">
      <c r="A235" s="12"/>
      <c r="B235" s="22"/>
      <c r="I235" s="45"/>
      <c r="L235" s="21" t="str">
        <f t="shared" si="2"/>
        <v>Z</v>
      </c>
    </row>
    <row r="236">
      <c r="A236" s="12"/>
      <c r="B236" s="22"/>
      <c r="I236" s="45"/>
      <c r="L236" s="21" t="str">
        <f t="shared" si="2"/>
        <v>Z</v>
      </c>
    </row>
    <row r="237">
      <c r="A237" s="12"/>
      <c r="B237" s="22"/>
      <c r="I237" s="45"/>
      <c r="L237" s="21" t="str">
        <f t="shared" si="2"/>
        <v>Z</v>
      </c>
    </row>
    <row r="238">
      <c r="A238" s="12"/>
      <c r="B238" s="22"/>
      <c r="I238" s="45"/>
      <c r="L238" s="21" t="str">
        <f t="shared" si="2"/>
        <v>Z</v>
      </c>
    </row>
    <row r="239">
      <c r="A239" s="12"/>
      <c r="B239" s="22"/>
      <c r="I239" s="45"/>
      <c r="L239" s="21" t="str">
        <f t="shared" si="2"/>
        <v>Z</v>
      </c>
    </row>
    <row r="240">
      <c r="A240" s="12"/>
      <c r="B240" s="22"/>
      <c r="I240" s="45"/>
      <c r="L240" s="21" t="str">
        <f t="shared" si="2"/>
        <v>Z</v>
      </c>
    </row>
    <row r="241">
      <c r="A241" s="12"/>
      <c r="B241" s="22"/>
      <c r="I241" s="45"/>
      <c r="L241" s="21" t="str">
        <f t="shared" si="2"/>
        <v>Z</v>
      </c>
    </row>
    <row r="242">
      <c r="A242" s="12"/>
      <c r="B242" s="22"/>
      <c r="I242" s="45"/>
      <c r="L242" s="21" t="str">
        <f t="shared" si="2"/>
        <v>Z</v>
      </c>
    </row>
    <row r="243">
      <c r="A243" s="12"/>
      <c r="B243" s="22"/>
      <c r="I243" s="45"/>
      <c r="L243" s="21" t="str">
        <f t="shared" si="2"/>
        <v>Z</v>
      </c>
    </row>
    <row r="244">
      <c r="A244" s="12"/>
      <c r="B244" s="22"/>
      <c r="I244" s="45"/>
      <c r="L244" s="21" t="str">
        <f t="shared" si="2"/>
        <v>Z</v>
      </c>
    </row>
    <row r="245">
      <c r="A245" s="12"/>
      <c r="B245" s="22"/>
      <c r="I245" s="45"/>
      <c r="L245" s="21" t="str">
        <f t="shared" si="2"/>
        <v>Z</v>
      </c>
    </row>
    <row r="246">
      <c r="A246" s="12"/>
      <c r="B246" s="22"/>
      <c r="I246" s="45"/>
      <c r="L246" s="21" t="str">
        <f t="shared" si="2"/>
        <v>Z</v>
      </c>
    </row>
    <row r="247">
      <c r="A247" s="12"/>
      <c r="B247" s="22"/>
      <c r="I247" s="45"/>
      <c r="L247" s="21" t="str">
        <f t="shared" si="2"/>
        <v>Z</v>
      </c>
    </row>
    <row r="248">
      <c r="A248" s="12"/>
      <c r="B248" s="22"/>
      <c r="I248" s="45"/>
      <c r="L248" s="21" t="str">
        <f t="shared" si="2"/>
        <v>Z</v>
      </c>
    </row>
    <row r="249">
      <c r="A249" s="12"/>
      <c r="B249" s="22"/>
      <c r="I249" s="45"/>
      <c r="L249" s="21" t="str">
        <f t="shared" si="2"/>
        <v>Z</v>
      </c>
    </row>
    <row r="250">
      <c r="A250" s="12"/>
      <c r="B250" s="22"/>
      <c r="I250" s="45"/>
      <c r="L250" s="21" t="str">
        <f t="shared" si="2"/>
        <v>Z</v>
      </c>
    </row>
    <row r="251">
      <c r="A251" s="12"/>
      <c r="B251" s="22"/>
      <c r="I251" s="45"/>
      <c r="L251" s="21" t="str">
        <f t="shared" si="2"/>
        <v>Z</v>
      </c>
    </row>
    <row r="252">
      <c r="A252" s="12"/>
      <c r="B252" s="22"/>
      <c r="I252" s="45"/>
      <c r="L252" s="21" t="str">
        <f t="shared" si="2"/>
        <v>Z</v>
      </c>
    </row>
    <row r="253">
      <c r="A253" s="12"/>
      <c r="B253" s="22"/>
      <c r="I253" s="45"/>
      <c r="L253" s="21" t="str">
        <f t="shared" si="2"/>
        <v>Z</v>
      </c>
    </row>
    <row r="254">
      <c r="A254" s="12"/>
      <c r="B254" s="22"/>
      <c r="I254" s="45"/>
      <c r="L254" s="21" t="str">
        <f t="shared" si="2"/>
        <v>Z</v>
      </c>
    </row>
    <row r="255">
      <c r="A255" s="12"/>
      <c r="B255" s="22"/>
      <c r="I255" s="45"/>
      <c r="L255" s="21" t="str">
        <f t="shared" si="2"/>
        <v>Z</v>
      </c>
    </row>
    <row r="256">
      <c r="A256" s="12"/>
      <c r="B256" s="22"/>
      <c r="I256" s="45"/>
      <c r="L256" s="21" t="str">
        <f t="shared" si="2"/>
        <v>Z</v>
      </c>
    </row>
    <row r="257">
      <c r="A257" s="12"/>
      <c r="B257" s="22"/>
      <c r="I257" s="45"/>
      <c r="L257" s="21" t="str">
        <f t="shared" si="2"/>
        <v>Z</v>
      </c>
    </row>
    <row r="258">
      <c r="A258" s="12"/>
      <c r="B258" s="22"/>
      <c r="I258" s="45"/>
      <c r="L258" s="21" t="str">
        <f t="shared" si="2"/>
        <v>Z</v>
      </c>
    </row>
    <row r="259">
      <c r="A259" s="12"/>
      <c r="B259" s="22"/>
      <c r="I259" s="45"/>
      <c r="L259" s="21" t="str">
        <f t="shared" si="2"/>
        <v>Z</v>
      </c>
    </row>
    <row r="260">
      <c r="A260" s="12"/>
      <c r="B260" s="22"/>
      <c r="I260" s="45"/>
      <c r="L260" s="21" t="str">
        <f t="shared" si="2"/>
        <v>Z</v>
      </c>
    </row>
    <row r="261">
      <c r="A261" s="12"/>
      <c r="B261" s="22"/>
      <c r="I261" s="45"/>
      <c r="L261" s="21" t="str">
        <f t="shared" si="2"/>
        <v>Z</v>
      </c>
    </row>
    <row r="262">
      <c r="A262" s="12"/>
      <c r="B262" s="22"/>
      <c r="I262" s="45"/>
      <c r="L262" s="21" t="str">
        <f t="shared" si="2"/>
        <v>Z</v>
      </c>
    </row>
    <row r="263">
      <c r="A263" s="12"/>
      <c r="B263" s="22"/>
      <c r="I263" s="45"/>
      <c r="L263" s="21" t="str">
        <f t="shared" si="2"/>
        <v>Z</v>
      </c>
    </row>
    <row r="264">
      <c r="A264" s="12"/>
      <c r="B264" s="22"/>
      <c r="I264" s="45"/>
      <c r="L264" s="21" t="str">
        <f t="shared" si="2"/>
        <v>Z</v>
      </c>
    </row>
    <row r="265">
      <c r="A265" s="12"/>
      <c r="B265" s="22"/>
      <c r="I265" s="45"/>
      <c r="L265" s="21" t="str">
        <f t="shared" si="2"/>
        <v>Z</v>
      </c>
    </row>
    <row r="266">
      <c r="A266" s="12"/>
      <c r="B266" s="22"/>
      <c r="I266" s="45"/>
      <c r="L266" s="21" t="str">
        <f t="shared" si="2"/>
        <v>Z</v>
      </c>
    </row>
    <row r="267">
      <c r="A267" s="12"/>
      <c r="B267" s="22"/>
      <c r="I267" s="45"/>
      <c r="L267" s="21" t="str">
        <f t="shared" si="2"/>
        <v>Z</v>
      </c>
    </row>
    <row r="268">
      <c r="A268" s="12"/>
      <c r="B268" s="22"/>
      <c r="I268" s="45"/>
      <c r="L268" s="21" t="str">
        <f t="shared" si="2"/>
        <v>Z</v>
      </c>
    </row>
    <row r="269">
      <c r="A269" s="12"/>
      <c r="B269" s="22"/>
      <c r="I269" s="45"/>
      <c r="L269" s="21" t="str">
        <f t="shared" si="2"/>
        <v>Z</v>
      </c>
    </row>
    <row r="270">
      <c r="A270" s="12"/>
      <c r="B270" s="22"/>
      <c r="I270" s="45"/>
      <c r="L270" s="21" t="str">
        <f t="shared" si="2"/>
        <v>Z</v>
      </c>
    </row>
    <row r="271">
      <c r="A271" s="12"/>
      <c r="B271" s="22"/>
      <c r="I271" s="45"/>
      <c r="L271" s="21" t="str">
        <f t="shared" si="2"/>
        <v>Z</v>
      </c>
    </row>
    <row r="272">
      <c r="A272" s="12"/>
      <c r="B272" s="22"/>
      <c r="I272" s="45"/>
      <c r="L272" s="21" t="str">
        <f t="shared" si="2"/>
        <v>Z</v>
      </c>
    </row>
    <row r="273">
      <c r="A273" s="12"/>
      <c r="B273" s="22"/>
      <c r="I273" s="45"/>
      <c r="L273" s="21" t="str">
        <f t="shared" si="2"/>
        <v>Z</v>
      </c>
    </row>
    <row r="274">
      <c r="A274" s="12"/>
      <c r="B274" s="22"/>
      <c r="I274" s="45"/>
      <c r="L274" s="21" t="str">
        <f t="shared" si="2"/>
        <v>Z</v>
      </c>
    </row>
    <row r="275">
      <c r="A275" s="12"/>
      <c r="B275" s="22"/>
      <c r="I275" s="45"/>
      <c r="L275" s="21" t="str">
        <f t="shared" si="2"/>
        <v>Z</v>
      </c>
    </row>
    <row r="276">
      <c r="A276" s="12"/>
      <c r="B276" s="22"/>
      <c r="I276" s="45"/>
      <c r="L276" s="21" t="str">
        <f t="shared" si="2"/>
        <v>Z</v>
      </c>
    </row>
    <row r="277">
      <c r="A277" s="12"/>
      <c r="B277" s="22"/>
      <c r="I277" s="45"/>
      <c r="L277" s="21" t="str">
        <f t="shared" si="2"/>
        <v>Z</v>
      </c>
    </row>
    <row r="278">
      <c r="A278" s="12"/>
      <c r="B278" s="22"/>
      <c r="I278" s="45"/>
      <c r="L278" s="21" t="str">
        <f t="shared" si="2"/>
        <v>Z</v>
      </c>
    </row>
    <row r="279">
      <c r="A279" s="12"/>
      <c r="B279" s="22"/>
      <c r="I279" s="45"/>
      <c r="L279" s="21" t="str">
        <f t="shared" si="2"/>
        <v>Z</v>
      </c>
    </row>
    <row r="280">
      <c r="A280" s="12"/>
      <c r="B280" s="22"/>
      <c r="I280" s="45"/>
      <c r="L280" s="21" t="str">
        <f t="shared" si="2"/>
        <v>Z</v>
      </c>
    </row>
    <row r="281">
      <c r="A281" s="12"/>
      <c r="B281" s="22"/>
      <c r="I281" s="45"/>
      <c r="L281" s="21" t="str">
        <f t="shared" si="2"/>
        <v>Z</v>
      </c>
    </row>
    <row r="282">
      <c r="A282" s="12"/>
      <c r="B282" s="22"/>
      <c r="I282" s="45"/>
      <c r="L282" s="21" t="str">
        <f t="shared" si="2"/>
        <v>Z</v>
      </c>
    </row>
    <row r="283">
      <c r="A283" s="12"/>
      <c r="B283" s="22"/>
      <c r="I283" s="45"/>
      <c r="L283" s="21" t="str">
        <f t="shared" si="2"/>
        <v>Z</v>
      </c>
    </row>
    <row r="284">
      <c r="A284" s="12"/>
      <c r="B284" s="22"/>
      <c r="I284" s="45"/>
      <c r="L284" s="21" t="str">
        <f t="shared" si="2"/>
        <v>Z</v>
      </c>
    </row>
    <row r="285">
      <c r="A285" s="12"/>
      <c r="B285" s="22"/>
      <c r="I285" s="45"/>
      <c r="L285" s="21" t="str">
        <f t="shared" si="2"/>
        <v>Z</v>
      </c>
    </row>
    <row r="286">
      <c r="A286" s="12"/>
      <c r="B286" s="22"/>
      <c r="I286" s="45"/>
      <c r="L286" s="21" t="str">
        <f t="shared" si="2"/>
        <v>Z</v>
      </c>
    </row>
    <row r="287">
      <c r="A287" s="12"/>
      <c r="B287" s="22"/>
      <c r="I287" s="45"/>
      <c r="L287" s="21" t="str">
        <f t="shared" si="2"/>
        <v>Z</v>
      </c>
    </row>
    <row r="288">
      <c r="A288" s="12"/>
      <c r="B288" s="22"/>
      <c r="I288" s="45"/>
      <c r="L288" s="21" t="str">
        <f t="shared" si="2"/>
        <v>Z</v>
      </c>
    </row>
    <row r="289">
      <c r="A289" s="12"/>
      <c r="B289" s="22"/>
      <c r="I289" s="45"/>
      <c r="L289" s="21" t="str">
        <f t="shared" si="2"/>
        <v>Z</v>
      </c>
    </row>
    <row r="290">
      <c r="A290" s="12"/>
      <c r="B290" s="22"/>
      <c r="I290" s="45"/>
      <c r="L290" s="21" t="str">
        <f t="shared" si="2"/>
        <v>Z</v>
      </c>
    </row>
    <row r="291">
      <c r="A291" s="12"/>
      <c r="B291" s="22"/>
      <c r="I291" s="45"/>
      <c r="L291" s="21" t="str">
        <f t="shared" si="2"/>
        <v>Z</v>
      </c>
    </row>
    <row r="292">
      <c r="A292" s="12"/>
      <c r="B292" s="22"/>
      <c r="I292" s="45"/>
      <c r="L292" s="21" t="str">
        <f t="shared" si="2"/>
        <v>Z</v>
      </c>
    </row>
    <row r="293">
      <c r="A293" s="12"/>
      <c r="B293" s="22"/>
      <c r="I293" s="45"/>
      <c r="L293" s="21" t="str">
        <f t="shared" si="2"/>
        <v>Z</v>
      </c>
    </row>
    <row r="294">
      <c r="A294" s="12"/>
      <c r="B294" s="22"/>
      <c r="I294" s="45"/>
      <c r="L294" s="21" t="str">
        <f t="shared" si="2"/>
        <v>Z</v>
      </c>
    </row>
    <row r="295">
      <c r="A295" s="12"/>
      <c r="B295" s="22"/>
      <c r="I295" s="45"/>
      <c r="L295" s="21" t="str">
        <f t="shared" si="2"/>
        <v>Z</v>
      </c>
    </row>
    <row r="296">
      <c r="A296" s="12"/>
      <c r="B296" s="22"/>
      <c r="I296" s="45"/>
      <c r="L296" s="21" t="str">
        <f t="shared" si="2"/>
        <v>Z</v>
      </c>
    </row>
    <row r="297">
      <c r="A297" s="12"/>
      <c r="B297" s="22"/>
      <c r="I297" s="45"/>
      <c r="L297" s="21" t="str">
        <f t="shared" si="2"/>
        <v>Z</v>
      </c>
    </row>
    <row r="298">
      <c r="A298" s="12"/>
      <c r="B298" s="22"/>
      <c r="I298" s="45"/>
      <c r="L298" s="21" t="str">
        <f t="shared" si="2"/>
        <v>Z</v>
      </c>
    </row>
    <row r="299">
      <c r="A299" s="12"/>
      <c r="B299" s="22"/>
      <c r="I299" s="45"/>
      <c r="L299" s="21" t="str">
        <f t="shared" si="2"/>
        <v>Z</v>
      </c>
    </row>
    <row r="300">
      <c r="A300" s="12"/>
      <c r="B300" s="22"/>
      <c r="I300" s="45"/>
      <c r="L300" s="21" t="str">
        <f t="shared" si="2"/>
        <v>Z</v>
      </c>
    </row>
    <row r="301">
      <c r="A301" s="12"/>
      <c r="B301" s="22"/>
      <c r="I301" s="45"/>
      <c r="L301" s="21" t="str">
        <f t="shared" si="2"/>
        <v>Z</v>
      </c>
    </row>
    <row r="302">
      <c r="A302" s="12"/>
      <c r="B302" s="22"/>
      <c r="I302" s="45"/>
      <c r="L302" s="21" t="str">
        <f t="shared" si="2"/>
        <v>Z</v>
      </c>
    </row>
    <row r="303">
      <c r="A303" s="12"/>
      <c r="B303" s="22"/>
      <c r="I303" s="45"/>
      <c r="L303" s="21" t="str">
        <f t="shared" si="2"/>
        <v>Z</v>
      </c>
    </row>
    <row r="304">
      <c r="A304" s="12"/>
      <c r="B304" s="22"/>
      <c r="I304" s="45"/>
      <c r="L304" s="21" t="str">
        <f t="shared" si="2"/>
        <v>Z</v>
      </c>
    </row>
    <row r="305">
      <c r="A305" s="12"/>
      <c r="B305" s="22"/>
      <c r="I305" s="45"/>
      <c r="L305" s="21" t="str">
        <f t="shared" si="2"/>
        <v>Z</v>
      </c>
    </row>
    <row r="306">
      <c r="A306" s="12"/>
      <c r="B306" s="22"/>
      <c r="I306" s="45"/>
      <c r="L306" s="21" t="str">
        <f t="shared" si="2"/>
        <v>Z</v>
      </c>
    </row>
    <row r="307">
      <c r="A307" s="12"/>
      <c r="B307" s="22"/>
      <c r="I307" s="45"/>
      <c r="L307" s="21" t="str">
        <f t="shared" si="2"/>
        <v>Z</v>
      </c>
    </row>
    <row r="308">
      <c r="A308" s="12"/>
      <c r="B308" s="22"/>
      <c r="I308" s="45"/>
      <c r="L308" s="21" t="str">
        <f t="shared" si="2"/>
        <v>Z</v>
      </c>
    </row>
    <row r="309">
      <c r="A309" s="12"/>
      <c r="B309" s="22"/>
      <c r="I309" s="45"/>
      <c r="L309" s="21" t="str">
        <f t="shared" si="2"/>
        <v>Z</v>
      </c>
    </row>
    <row r="310">
      <c r="A310" s="12"/>
      <c r="B310" s="22"/>
      <c r="I310" s="45"/>
      <c r="L310" s="21" t="str">
        <f t="shared" si="2"/>
        <v>Z</v>
      </c>
    </row>
    <row r="311">
      <c r="A311" s="12"/>
      <c r="B311" s="22"/>
      <c r="I311" s="45"/>
      <c r="L311" s="21" t="str">
        <f t="shared" si="2"/>
        <v>Z</v>
      </c>
    </row>
    <row r="312">
      <c r="A312" s="12"/>
      <c r="B312" s="22"/>
      <c r="I312" s="45"/>
      <c r="L312" s="21" t="str">
        <f t="shared" si="2"/>
        <v>Z</v>
      </c>
    </row>
    <row r="313">
      <c r="A313" s="12"/>
      <c r="B313" s="22"/>
      <c r="I313" s="45"/>
      <c r="L313" s="21" t="str">
        <f t="shared" si="2"/>
        <v>Z</v>
      </c>
    </row>
    <row r="314">
      <c r="A314" s="12"/>
      <c r="B314" s="22"/>
      <c r="I314" s="45"/>
      <c r="L314" s="21" t="str">
        <f t="shared" si="2"/>
        <v>Z</v>
      </c>
    </row>
    <row r="315">
      <c r="A315" s="12"/>
      <c r="B315" s="22"/>
      <c r="I315" s="45"/>
      <c r="L315" s="21" t="str">
        <f t="shared" si="2"/>
        <v>Z</v>
      </c>
    </row>
    <row r="316">
      <c r="A316" s="12"/>
      <c r="B316" s="22"/>
      <c r="I316" s="45"/>
      <c r="L316" s="21" t="str">
        <f t="shared" si="2"/>
        <v>Z</v>
      </c>
    </row>
    <row r="317">
      <c r="A317" s="12"/>
      <c r="B317" s="22"/>
      <c r="I317" s="45"/>
      <c r="L317" s="21" t="str">
        <f t="shared" si="2"/>
        <v>Z</v>
      </c>
    </row>
    <row r="318">
      <c r="A318" s="12"/>
      <c r="B318" s="22"/>
      <c r="I318" s="45"/>
      <c r="L318" s="21" t="str">
        <f t="shared" si="2"/>
        <v>Z</v>
      </c>
    </row>
    <row r="319">
      <c r="A319" s="12"/>
      <c r="B319" s="22"/>
      <c r="I319" s="45"/>
      <c r="L319" s="21" t="str">
        <f t="shared" si="2"/>
        <v>Z</v>
      </c>
    </row>
    <row r="320">
      <c r="A320" s="12"/>
      <c r="B320" s="22"/>
      <c r="I320" s="45"/>
      <c r="L320" s="21" t="str">
        <f t="shared" si="2"/>
        <v>Z</v>
      </c>
    </row>
    <row r="321">
      <c r="A321" s="12"/>
      <c r="B321" s="22"/>
      <c r="I321" s="45"/>
      <c r="L321" s="21" t="str">
        <f t="shared" si="2"/>
        <v>Z</v>
      </c>
    </row>
    <row r="322">
      <c r="A322" s="12"/>
      <c r="B322" s="22"/>
      <c r="I322" s="45"/>
      <c r="L322" s="21" t="str">
        <f t="shared" si="2"/>
        <v>Z</v>
      </c>
    </row>
    <row r="323">
      <c r="A323" s="12"/>
      <c r="B323" s="22"/>
      <c r="I323" s="45"/>
      <c r="L323" s="21" t="str">
        <f t="shared" si="2"/>
        <v>Z</v>
      </c>
    </row>
    <row r="324">
      <c r="A324" s="12"/>
      <c r="B324" s="22"/>
      <c r="I324" s="45"/>
      <c r="L324" s="21" t="str">
        <f t="shared" si="2"/>
        <v>Z</v>
      </c>
    </row>
    <row r="325">
      <c r="A325" s="12"/>
      <c r="B325" s="22"/>
      <c r="I325" s="45"/>
      <c r="L325" s="21" t="str">
        <f t="shared" si="2"/>
        <v>Z</v>
      </c>
    </row>
    <row r="326">
      <c r="A326" s="12"/>
      <c r="B326" s="22"/>
      <c r="I326" s="45"/>
      <c r="L326" s="21" t="str">
        <f t="shared" si="2"/>
        <v>Z</v>
      </c>
    </row>
    <row r="327">
      <c r="A327" s="12"/>
      <c r="B327" s="22"/>
      <c r="I327" s="45"/>
      <c r="L327" s="21" t="str">
        <f t="shared" si="2"/>
        <v>Z</v>
      </c>
    </row>
    <row r="328">
      <c r="A328" s="12"/>
      <c r="B328" s="22"/>
      <c r="I328" s="45"/>
      <c r="L328" s="21" t="str">
        <f t="shared" si="2"/>
        <v>Z</v>
      </c>
    </row>
    <row r="329">
      <c r="A329" s="12"/>
      <c r="B329" s="22"/>
      <c r="I329" s="45"/>
      <c r="L329" s="21" t="str">
        <f t="shared" si="2"/>
        <v>Z</v>
      </c>
    </row>
    <row r="330">
      <c r="A330" s="12"/>
      <c r="B330" s="22"/>
      <c r="I330" s="45"/>
      <c r="L330" s="21" t="str">
        <f t="shared" si="2"/>
        <v>Z</v>
      </c>
    </row>
    <row r="331">
      <c r="A331" s="12"/>
      <c r="B331" s="22"/>
      <c r="I331" s="45"/>
      <c r="L331" s="21" t="str">
        <f t="shared" si="2"/>
        <v>Z</v>
      </c>
    </row>
    <row r="332">
      <c r="A332" s="12"/>
      <c r="B332" s="22"/>
      <c r="I332" s="45"/>
      <c r="L332" s="21" t="str">
        <f t="shared" si="2"/>
        <v>Z</v>
      </c>
    </row>
    <row r="333">
      <c r="A333" s="12"/>
      <c r="B333" s="22"/>
      <c r="I333" s="45"/>
      <c r="L333" s="21" t="str">
        <f t="shared" si="2"/>
        <v>Z</v>
      </c>
    </row>
    <row r="334">
      <c r="A334" s="12"/>
      <c r="B334" s="22"/>
      <c r="I334" s="45"/>
      <c r="L334" s="21" t="str">
        <f t="shared" si="2"/>
        <v>Z</v>
      </c>
    </row>
    <row r="335">
      <c r="A335" s="12"/>
      <c r="B335" s="22"/>
      <c r="I335" s="45"/>
      <c r="L335" s="21" t="str">
        <f t="shared" si="2"/>
        <v>Z</v>
      </c>
    </row>
    <row r="336">
      <c r="A336" s="12"/>
      <c r="B336" s="22"/>
      <c r="I336" s="45"/>
      <c r="L336" s="21" t="str">
        <f t="shared" si="2"/>
        <v>Z</v>
      </c>
    </row>
    <row r="337">
      <c r="A337" s="12"/>
      <c r="B337" s="22"/>
      <c r="I337" s="45"/>
      <c r="L337" s="21" t="str">
        <f t="shared" si="2"/>
        <v>Z</v>
      </c>
    </row>
    <row r="338">
      <c r="A338" s="12"/>
      <c r="B338" s="22"/>
      <c r="I338" s="45"/>
      <c r="L338" s="21" t="str">
        <f t="shared" si="2"/>
        <v>Z</v>
      </c>
    </row>
    <row r="339">
      <c r="A339" s="12"/>
      <c r="B339" s="22"/>
      <c r="I339" s="45"/>
      <c r="L339" s="21" t="str">
        <f t="shared" si="2"/>
        <v>Z</v>
      </c>
    </row>
    <row r="340">
      <c r="A340" s="12"/>
      <c r="B340" s="22"/>
      <c r="I340" s="45"/>
      <c r="L340" s="21" t="str">
        <f t="shared" si="2"/>
        <v>Z</v>
      </c>
    </row>
    <row r="341">
      <c r="A341" s="12"/>
      <c r="B341" s="22"/>
      <c r="I341" s="45"/>
      <c r="L341" s="21" t="str">
        <f t="shared" si="2"/>
        <v>Z</v>
      </c>
    </row>
    <row r="342">
      <c r="A342" s="12"/>
      <c r="B342" s="22"/>
      <c r="I342" s="45"/>
      <c r="L342" s="21" t="str">
        <f t="shared" si="2"/>
        <v>Z</v>
      </c>
    </row>
    <row r="343">
      <c r="A343" s="12"/>
      <c r="B343" s="22"/>
      <c r="I343" s="45"/>
      <c r="L343" s="21" t="str">
        <f t="shared" si="2"/>
        <v>Z</v>
      </c>
    </row>
    <row r="344">
      <c r="A344" s="12"/>
      <c r="B344" s="22"/>
      <c r="I344" s="45"/>
      <c r="L344" s="21" t="str">
        <f t="shared" si="2"/>
        <v>Z</v>
      </c>
    </row>
    <row r="345">
      <c r="A345" s="12"/>
      <c r="B345" s="22"/>
      <c r="I345" s="45"/>
      <c r="L345" s="21" t="str">
        <f t="shared" si="2"/>
        <v>Z</v>
      </c>
    </row>
    <row r="346">
      <c r="A346" s="12"/>
      <c r="B346" s="22"/>
      <c r="I346" s="45"/>
      <c r="L346" s="21" t="str">
        <f t="shared" si="2"/>
        <v>Z</v>
      </c>
    </row>
    <row r="347">
      <c r="A347" s="12"/>
      <c r="B347" s="22"/>
      <c r="I347" s="45"/>
      <c r="L347" s="21" t="str">
        <f t="shared" si="2"/>
        <v>Z</v>
      </c>
    </row>
    <row r="348">
      <c r="A348" s="12"/>
      <c r="B348" s="22"/>
      <c r="I348" s="45"/>
      <c r="L348" s="21" t="str">
        <f t="shared" si="2"/>
        <v>Z</v>
      </c>
    </row>
    <row r="349">
      <c r="A349" s="12"/>
      <c r="B349" s="22"/>
      <c r="I349" s="45"/>
      <c r="L349" s="21" t="str">
        <f t="shared" si="2"/>
        <v>Z</v>
      </c>
    </row>
    <row r="350">
      <c r="A350" s="12"/>
      <c r="B350" s="22"/>
      <c r="I350" s="45"/>
      <c r="L350" s="21" t="str">
        <f t="shared" si="2"/>
        <v>Z</v>
      </c>
    </row>
    <row r="351">
      <c r="A351" s="12"/>
      <c r="B351" s="22"/>
      <c r="I351" s="45"/>
      <c r="L351" s="21" t="str">
        <f t="shared" si="2"/>
        <v>Z</v>
      </c>
    </row>
    <row r="352">
      <c r="A352" s="12"/>
      <c r="B352" s="22"/>
      <c r="I352" s="45"/>
      <c r="L352" s="21" t="str">
        <f t="shared" si="2"/>
        <v>Z</v>
      </c>
    </row>
    <row r="353">
      <c r="A353" s="12"/>
      <c r="B353" s="22"/>
      <c r="I353" s="45"/>
      <c r="L353" s="21" t="str">
        <f t="shared" si="2"/>
        <v>Z</v>
      </c>
    </row>
    <row r="354">
      <c r="A354" s="12"/>
      <c r="B354" s="22"/>
      <c r="I354" s="45"/>
      <c r="L354" s="21" t="str">
        <f t="shared" si="2"/>
        <v>Z</v>
      </c>
    </row>
    <row r="355">
      <c r="A355" s="12"/>
      <c r="B355" s="22"/>
      <c r="I355" s="45"/>
      <c r="L355" s="21" t="str">
        <f t="shared" si="2"/>
        <v>Z</v>
      </c>
    </row>
    <row r="356">
      <c r="A356" s="12"/>
      <c r="B356" s="22"/>
      <c r="I356" s="45"/>
      <c r="L356" s="21" t="str">
        <f t="shared" si="2"/>
        <v>Z</v>
      </c>
    </row>
    <row r="357">
      <c r="A357" s="12"/>
      <c r="B357" s="22"/>
      <c r="I357" s="45"/>
      <c r="L357" s="21" t="str">
        <f t="shared" si="2"/>
        <v>Z</v>
      </c>
    </row>
    <row r="358">
      <c r="A358" s="12"/>
      <c r="B358" s="22"/>
      <c r="I358" s="45"/>
      <c r="L358" s="21" t="str">
        <f t="shared" si="2"/>
        <v>Z</v>
      </c>
    </row>
    <row r="359">
      <c r="A359" s="12"/>
      <c r="B359" s="22"/>
      <c r="I359" s="45"/>
      <c r="L359" s="21" t="str">
        <f t="shared" si="2"/>
        <v>Z</v>
      </c>
    </row>
    <row r="360">
      <c r="A360" s="12"/>
      <c r="B360" s="22"/>
      <c r="I360" s="45"/>
      <c r="L360" s="21" t="str">
        <f t="shared" si="2"/>
        <v>Z</v>
      </c>
    </row>
    <row r="361">
      <c r="A361" s="12"/>
      <c r="B361" s="22"/>
      <c r="I361" s="45"/>
      <c r="L361" s="21" t="str">
        <f t="shared" si="2"/>
        <v>Z</v>
      </c>
    </row>
    <row r="362">
      <c r="A362" s="12"/>
      <c r="B362" s="22"/>
      <c r="I362" s="45"/>
      <c r="L362" s="21" t="str">
        <f t="shared" si="2"/>
        <v>Z</v>
      </c>
    </row>
    <row r="363">
      <c r="A363" s="12"/>
      <c r="B363" s="22"/>
      <c r="I363" s="45"/>
      <c r="L363" s="21" t="str">
        <f t="shared" si="2"/>
        <v>Z</v>
      </c>
    </row>
    <row r="364">
      <c r="A364" s="12"/>
      <c r="B364" s="22"/>
      <c r="I364" s="45"/>
      <c r="L364" s="21" t="str">
        <f t="shared" si="2"/>
        <v>Z</v>
      </c>
    </row>
    <row r="365">
      <c r="A365" s="12"/>
      <c r="B365" s="22"/>
      <c r="I365" s="45"/>
      <c r="L365" s="21" t="str">
        <f t="shared" si="2"/>
        <v>Z</v>
      </c>
    </row>
    <row r="366">
      <c r="A366" s="12"/>
      <c r="B366" s="22"/>
      <c r="I366" s="45"/>
      <c r="L366" s="21" t="str">
        <f t="shared" si="2"/>
        <v>Z</v>
      </c>
    </row>
    <row r="367">
      <c r="A367" s="12"/>
      <c r="B367" s="22"/>
      <c r="I367" s="45"/>
      <c r="L367" s="21" t="str">
        <f t="shared" si="2"/>
        <v>Z</v>
      </c>
    </row>
    <row r="368">
      <c r="A368" s="12"/>
      <c r="B368" s="22"/>
      <c r="I368" s="45"/>
      <c r="L368" s="21" t="str">
        <f t="shared" si="2"/>
        <v>Z</v>
      </c>
    </row>
    <row r="369">
      <c r="A369" s="12"/>
      <c r="B369" s="22"/>
      <c r="I369" s="45"/>
      <c r="L369" s="21" t="str">
        <f t="shared" si="2"/>
        <v>Z</v>
      </c>
    </row>
    <row r="370">
      <c r="A370" s="12"/>
      <c r="B370" s="22"/>
      <c r="I370" s="45"/>
      <c r="L370" s="21" t="str">
        <f t="shared" si="2"/>
        <v>Z</v>
      </c>
    </row>
    <row r="371">
      <c r="A371" s="12"/>
      <c r="B371" s="22"/>
      <c r="I371" s="45"/>
      <c r="L371" s="21" t="str">
        <f t="shared" si="2"/>
        <v>Z</v>
      </c>
    </row>
    <row r="372">
      <c r="A372" s="12"/>
      <c r="B372" s="22"/>
      <c r="I372" s="45"/>
      <c r="L372" s="21" t="str">
        <f t="shared" si="2"/>
        <v>Z</v>
      </c>
    </row>
    <row r="373">
      <c r="A373" s="12"/>
      <c r="B373" s="22"/>
      <c r="I373" s="45"/>
      <c r="L373" s="21" t="str">
        <f t="shared" si="2"/>
        <v>Z</v>
      </c>
    </row>
    <row r="374">
      <c r="A374" s="12"/>
      <c r="B374" s="22"/>
      <c r="I374" s="45"/>
      <c r="L374" s="21" t="str">
        <f t="shared" si="2"/>
        <v>Z</v>
      </c>
    </row>
    <row r="375">
      <c r="A375" s="12"/>
      <c r="B375" s="22"/>
      <c r="I375" s="45"/>
      <c r="L375" s="21" t="str">
        <f t="shared" si="2"/>
        <v>Z</v>
      </c>
    </row>
    <row r="376">
      <c r="A376" s="12"/>
      <c r="B376" s="22"/>
      <c r="I376" s="45"/>
      <c r="L376" s="21" t="str">
        <f t="shared" si="2"/>
        <v>Z</v>
      </c>
    </row>
    <row r="377">
      <c r="A377" s="12"/>
      <c r="B377" s="22"/>
      <c r="I377" s="45"/>
      <c r="L377" s="21" t="str">
        <f t="shared" si="2"/>
        <v>Z</v>
      </c>
    </row>
    <row r="378">
      <c r="A378" s="12"/>
      <c r="B378" s="22"/>
      <c r="I378" s="45"/>
      <c r="L378" s="21" t="str">
        <f t="shared" si="2"/>
        <v>Z</v>
      </c>
    </row>
    <row r="379">
      <c r="A379" s="12"/>
      <c r="B379" s="22"/>
      <c r="I379" s="45"/>
      <c r="L379" s="21" t="str">
        <f t="shared" si="2"/>
        <v>Z</v>
      </c>
    </row>
    <row r="380">
      <c r="A380" s="12"/>
      <c r="B380" s="22"/>
      <c r="I380" s="45"/>
      <c r="L380" s="21" t="str">
        <f t="shared" si="2"/>
        <v>Z</v>
      </c>
    </row>
    <row r="381">
      <c r="A381" s="12"/>
      <c r="B381" s="22"/>
      <c r="I381" s="45"/>
      <c r="L381" s="21" t="str">
        <f t="shared" si="2"/>
        <v>Z</v>
      </c>
    </row>
    <row r="382">
      <c r="A382" s="12"/>
      <c r="B382" s="22"/>
      <c r="I382" s="45"/>
      <c r="L382" s="21" t="str">
        <f t="shared" si="2"/>
        <v>Z</v>
      </c>
    </row>
    <row r="383">
      <c r="A383" s="12"/>
      <c r="B383" s="22"/>
      <c r="I383" s="45"/>
      <c r="L383" s="21" t="str">
        <f t="shared" si="2"/>
        <v>Z</v>
      </c>
    </row>
    <row r="384">
      <c r="A384" s="12"/>
      <c r="B384" s="22"/>
      <c r="I384" s="45"/>
      <c r="L384" s="21" t="str">
        <f t="shared" si="2"/>
        <v>Z</v>
      </c>
    </row>
    <row r="385">
      <c r="A385" s="12"/>
      <c r="B385" s="22"/>
      <c r="I385" s="45"/>
      <c r="L385" s="21" t="str">
        <f t="shared" si="2"/>
        <v>Z</v>
      </c>
    </row>
    <row r="386">
      <c r="A386" s="12"/>
      <c r="B386" s="22"/>
      <c r="I386" s="45"/>
      <c r="L386" s="21" t="str">
        <f t="shared" si="2"/>
        <v>Z</v>
      </c>
    </row>
    <row r="387">
      <c r="A387" s="12"/>
      <c r="B387" s="22"/>
      <c r="I387" s="45"/>
      <c r="L387" s="21" t="str">
        <f t="shared" si="2"/>
        <v>Z</v>
      </c>
    </row>
    <row r="388">
      <c r="A388" s="12"/>
      <c r="B388" s="22"/>
      <c r="I388" s="45"/>
      <c r="L388" s="21" t="str">
        <f t="shared" si="2"/>
        <v>Z</v>
      </c>
    </row>
    <row r="389">
      <c r="A389" s="12"/>
      <c r="B389" s="22"/>
      <c r="I389" s="45"/>
      <c r="L389" s="21" t="str">
        <f t="shared" si="2"/>
        <v>Z</v>
      </c>
    </row>
    <row r="390">
      <c r="A390" s="12"/>
      <c r="B390" s="22"/>
      <c r="I390" s="45"/>
      <c r="L390" s="21" t="str">
        <f t="shared" si="2"/>
        <v>Z</v>
      </c>
    </row>
    <row r="391">
      <c r="A391" s="12"/>
      <c r="B391" s="22"/>
      <c r="I391" s="45"/>
      <c r="L391" s="21" t="str">
        <f t="shared" si="2"/>
        <v>Z</v>
      </c>
    </row>
    <row r="392">
      <c r="A392" s="12"/>
      <c r="B392" s="22"/>
      <c r="I392" s="45"/>
      <c r="L392" s="21" t="str">
        <f t="shared" si="2"/>
        <v>Z</v>
      </c>
    </row>
    <row r="393">
      <c r="A393" s="12"/>
      <c r="B393" s="22"/>
      <c r="I393" s="45"/>
      <c r="L393" s="21" t="str">
        <f t="shared" si="2"/>
        <v>Z</v>
      </c>
    </row>
    <row r="394">
      <c r="A394" s="12"/>
      <c r="B394" s="22"/>
      <c r="I394" s="45"/>
      <c r="L394" s="21" t="str">
        <f t="shared" si="2"/>
        <v>Z</v>
      </c>
    </row>
    <row r="395">
      <c r="A395" s="12"/>
      <c r="B395" s="22"/>
      <c r="I395" s="45"/>
      <c r="L395" s="21" t="str">
        <f t="shared" si="2"/>
        <v>Z</v>
      </c>
    </row>
    <row r="396">
      <c r="A396" s="12"/>
      <c r="B396" s="22"/>
      <c r="I396" s="45"/>
      <c r="L396" s="21" t="str">
        <f t="shared" si="2"/>
        <v>Z</v>
      </c>
    </row>
    <row r="397">
      <c r="A397" s="12"/>
      <c r="B397" s="22"/>
      <c r="I397" s="45"/>
      <c r="L397" s="21" t="str">
        <f t="shared" si="2"/>
        <v>Z</v>
      </c>
    </row>
    <row r="398">
      <c r="A398" s="12"/>
      <c r="B398" s="22"/>
      <c r="I398" s="45"/>
      <c r="L398" s="21" t="str">
        <f t="shared" si="2"/>
        <v>Z</v>
      </c>
    </row>
    <row r="399">
      <c r="A399" s="12"/>
      <c r="B399" s="22"/>
      <c r="I399" s="45"/>
      <c r="L399" s="21" t="str">
        <f t="shared" si="2"/>
        <v>Z</v>
      </c>
    </row>
    <row r="400">
      <c r="A400" s="12"/>
      <c r="B400" s="22"/>
      <c r="I400" s="45"/>
      <c r="L400" s="21" t="str">
        <f t="shared" si="2"/>
        <v>Z</v>
      </c>
    </row>
    <row r="401">
      <c r="A401" s="12"/>
      <c r="B401" s="22"/>
      <c r="I401" s="45"/>
      <c r="L401" s="21" t="str">
        <f t="shared" si="2"/>
        <v>Z</v>
      </c>
    </row>
    <row r="402">
      <c r="A402" s="12"/>
      <c r="B402" s="22"/>
      <c r="I402" s="45"/>
      <c r="L402" s="21" t="str">
        <f t="shared" si="2"/>
        <v>Z</v>
      </c>
    </row>
    <row r="403">
      <c r="A403" s="12"/>
      <c r="B403" s="22"/>
      <c r="I403" s="45"/>
      <c r="L403" s="21" t="str">
        <f t="shared" si="2"/>
        <v>Z</v>
      </c>
    </row>
    <row r="404">
      <c r="A404" s="12"/>
      <c r="B404" s="22"/>
      <c r="I404" s="45"/>
      <c r="L404" s="21" t="str">
        <f t="shared" si="2"/>
        <v>Z</v>
      </c>
    </row>
    <row r="405">
      <c r="A405" s="12"/>
      <c r="B405" s="22"/>
      <c r="I405" s="45"/>
      <c r="L405" s="21" t="str">
        <f t="shared" si="2"/>
        <v>Z</v>
      </c>
    </row>
    <row r="406">
      <c r="A406" s="12"/>
      <c r="B406" s="22"/>
      <c r="I406" s="45"/>
      <c r="L406" s="21" t="str">
        <f t="shared" si="2"/>
        <v>Z</v>
      </c>
    </row>
    <row r="407">
      <c r="A407" s="12"/>
      <c r="B407" s="22"/>
      <c r="I407" s="45"/>
      <c r="L407" s="21" t="str">
        <f t="shared" si="2"/>
        <v>Z</v>
      </c>
    </row>
    <row r="408">
      <c r="A408" s="12"/>
      <c r="B408" s="22"/>
      <c r="I408" s="45"/>
      <c r="L408" s="21" t="str">
        <f t="shared" si="2"/>
        <v>Z</v>
      </c>
    </row>
    <row r="409">
      <c r="A409" s="12"/>
      <c r="B409" s="22"/>
      <c r="I409" s="45"/>
      <c r="L409" s="21" t="str">
        <f t="shared" si="2"/>
        <v>Z</v>
      </c>
    </row>
    <row r="410">
      <c r="A410" s="12"/>
      <c r="B410" s="22"/>
      <c r="I410" s="45"/>
      <c r="L410" s="21" t="str">
        <f t="shared" si="2"/>
        <v>Z</v>
      </c>
    </row>
    <row r="411">
      <c r="A411" s="12"/>
      <c r="B411" s="22"/>
      <c r="I411" s="45"/>
      <c r="L411" s="21" t="str">
        <f t="shared" si="2"/>
        <v>Z</v>
      </c>
    </row>
    <row r="412">
      <c r="A412" s="12"/>
      <c r="B412" s="22"/>
      <c r="I412" s="45"/>
      <c r="L412" s="21" t="str">
        <f t="shared" si="2"/>
        <v>Z</v>
      </c>
    </row>
    <row r="413">
      <c r="A413" s="12"/>
      <c r="B413" s="22"/>
      <c r="I413" s="45"/>
      <c r="L413" s="21" t="str">
        <f t="shared" si="2"/>
        <v>Z</v>
      </c>
    </row>
    <row r="414">
      <c r="A414" s="12"/>
      <c r="B414" s="22"/>
      <c r="I414" s="45"/>
      <c r="L414" s="21" t="str">
        <f t="shared" si="2"/>
        <v>Z</v>
      </c>
    </row>
    <row r="415">
      <c r="A415" s="12"/>
      <c r="B415" s="22"/>
      <c r="I415" s="45"/>
      <c r="L415" s="21" t="str">
        <f t="shared" si="2"/>
        <v>Z</v>
      </c>
    </row>
    <row r="416">
      <c r="A416" s="12"/>
      <c r="B416" s="22"/>
      <c r="I416" s="45"/>
      <c r="L416" s="21" t="str">
        <f t="shared" si="2"/>
        <v>Z</v>
      </c>
    </row>
    <row r="417">
      <c r="A417" s="12"/>
      <c r="B417" s="22"/>
      <c r="I417" s="45"/>
      <c r="L417" s="21" t="str">
        <f t="shared" si="2"/>
        <v>Z</v>
      </c>
    </row>
    <row r="418">
      <c r="A418" s="12"/>
      <c r="B418" s="22"/>
      <c r="I418" s="45"/>
      <c r="L418" s="21" t="str">
        <f t="shared" si="2"/>
        <v>Z</v>
      </c>
    </row>
    <row r="419">
      <c r="A419" s="12"/>
      <c r="B419" s="22"/>
      <c r="I419" s="45"/>
      <c r="L419" s="21" t="str">
        <f t="shared" si="2"/>
        <v>Z</v>
      </c>
    </row>
    <row r="420">
      <c r="A420" s="12"/>
      <c r="B420" s="22"/>
      <c r="I420" s="45"/>
      <c r="L420" s="21" t="str">
        <f t="shared" si="2"/>
        <v>Z</v>
      </c>
    </row>
    <row r="421">
      <c r="A421" s="12"/>
      <c r="B421" s="22"/>
      <c r="I421" s="45"/>
      <c r="L421" s="21" t="str">
        <f t="shared" si="2"/>
        <v>Z</v>
      </c>
    </row>
    <row r="422">
      <c r="A422" s="12"/>
      <c r="B422" s="22"/>
      <c r="I422" s="45"/>
      <c r="L422" s="21" t="str">
        <f t="shared" si="2"/>
        <v>Z</v>
      </c>
    </row>
    <row r="423">
      <c r="A423" s="12"/>
      <c r="B423" s="22"/>
      <c r="I423" s="45"/>
      <c r="L423" s="21" t="str">
        <f t="shared" si="2"/>
        <v>Z</v>
      </c>
    </row>
    <row r="424">
      <c r="A424" s="12"/>
      <c r="B424" s="22"/>
      <c r="I424" s="45"/>
      <c r="L424" s="21" t="str">
        <f t="shared" si="2"/>
        <v>Z</v>
      </c>
    </row>
    <row r="425">
      <c r="A425" s="12"/>
      <c r="B425" s="22"/>
      <c r="I425" s="45"/>
      <c r="L425" s="21" t="str">
        <f t="shared" si="2"/>
        <v>Z</v>
      </c>
    </row>
    <row r="426">
      <c r="A426" s="12"/>
      <c r="B426" s="22"/>
      <c r="I426" s="45"/>
      <c r="L426" s="21" t="str">
        <f t="shared" si="2"/>
        <v>Z</v>
      </c>
    </row>
    <row r="427">
      <c r="A427" s="12"/>
      <c r="B427" s="22"/>
      <c r="I427" s="45"/>
      <c r="L427" s="21" t="str">
        <f t="shared" si="2"/>
        <v>Z</v>
      </c>
    </row>
    <row r="428">
      <c r="A428" s="12"/>
      <c r="B428" s="22"/>
      <c r="I428" s="45"/>
      <c r="L428" s="21" t="str">
        <f t="shared" si="2"/>
        <v>Z</v>
      </c>
    </row>
    <row r="429">
      <c r="A429" s="12"/>
      <c r="B429" s="22"/>
      <c r="I429" s="45"/>
      <c r="L429" s="21" t="str">
        <f t="shared" si="2"/>
        <v>Z</v>
      </c>
    </row>
    <row r="430">
      <c r="A430" s="12"/>
      <c r="B430" s="22"/>
      <c r="I430" s="45"/>
      <c r="L430" s="21" t="str">
        <f t="shared" si="2"/>
        <v>Z</v>
      </c>
    </row>
    <row r="431">
      <c r="A431" s="12"/>
      <c r="B431" s="22"/>
      <c r="I431" s="45"/>
      <c r="L431" s="21" t="str">
        <f t="shared" si="2"/>
        <v>Z</v>
      </c>
    </row>
    <row r="432">
      <c r="A432" s="12"/>
      <c r="B432" s="22"/>
      <c r="I432" s="45"/>
      <c r="L432" s="21" t="str">
        <f t="shared" si="2"/>
        <v>Z</v>
      </c>
    </row>
    <row r="433">
      <c r="A433" s="12"/>
      <c r="B433" s="22"/>
      <c r="I433" s="45"/>
      <c r="L433" s="21" t="str">
        <f t="shared" si="2"/>
        <v>Z</v>
      </c>
    </row>
    <row r="434">
      <c r="A434" s="12"/>
      <c r="B434" s="22"/>
      <c r="I434" s="45"/>
      <c r="L434" s="21" t="str">
        <f t="shared" si="2"/>
        <v>Z</v>
      </c>
    </row>
    <row r="435">
      <c r="A435" s="12"/>
      <c r="B435" s="22"/>
      <c r="I435" s="45"/>
      <c r="L435" s="21" t="str">
        <f t="shared" si="2"/>
        <v>Z</v>
      </c>
    </row>
    <row r="436">
      <c r="A436" s="12"/>
      <c r="B436" s="22"/>
      <c r="I436" s="45"/>
      <c r="L436" s="21" t="str">
        <f t="shared" si="2"/>
        <v>Z</v>
      </c>
    </row>
    <row r="437">
      <c r="A437" s="12"/>
      <c r="B437" s="22"/>
      <c r="I437" s="45"/>
      <c r="L437" s="21" t="str">
        <f t="shared" si="2"/>
        <v>Z</v>
      </c>
    </row>
    <row r="438">
      <c r="A438" s="12"/>
      <c r="B438" s="22"/>
      <c r="I438" s="45"/>
      <c r="L438" s="21" t="str">
        <f t="shared" si="2"/>
        <v>Z</v>
      </c>
    </row>
    <row r="439">
      <c r="A439" s="12"/>
      <c r="B439" s="22"/>
      <c r="I439" s="45"/>
      <c r="L439" s="21" t="str">
        <f t="shared" si="2"/>
        <v>Z</v>
      </c>
    </row>
    <row r="440">
      <c r="A440" s="12"/>
      <c r="B440" s="22"/>
      <c r="I440" s="45"/>
      <c r="L440" s="21" t="str">
        <f t="shared" si="2"/>
        <v>Z</v>
      </c>
    </row>
    <row r="441">
      <c r="A441" s="12"/>
      <c r="B441" s="22"/>
      <c r="I441" s="45"/>
      <c r="L441" s="21" t="str">
        <f t="shared" si="2"/>
        <v>Z</v>
      </c>
    </row>
    <row r="442">
      <c r="A442" s="12"/>
      <c r="B442" s="22"/>
      <c r="I442" s="45"/>
      <c r="L442" s="21" t="str">
        <f t="shared" si="2"/>
        <v>Z</v>
      </c>
    </row>
    <row r="443">
      <c r="A443" s="12"/>
      <c r="B443" s="22"/>
      <c r="I443" s="45"/>
      <c r="L443" s="21" t="str">
        <f t="shared" si="2"/>
        <v>Z</v>
      </c>
    </row>
    <row r="444">
      <c r="A444" s="12"/>
      <c r="B444" s="22"/>
      <c r="I444" s="45"/>
      <c r="L444" s="21" t="str">
        <f t="shared" si="2"/>
        <v>Z</v>
      </c>
    </row>
    <row r="445">
      <c r="A445" s="12"/>
      <c r="B445" s="22"/>
      <c r="I445" s="45"/>
      <c r="L445" s="21" t="str">
        <f t="shared" si="2"/>
        <v>Z</v>
      </c>
    </row>
    <row r="446">
      <c r="A446" s="12"/>
      <c r="B446" s="22"/>
      <c r="I446" s="45"/>
      <c r="L446" s="21" t="str">
        <f t="shared" si="2"/>
        <v>Z</v>
      </c>
    </row>
    <row r="447">
      <c r="A447" s="12"/>
      <c r="B447" s="22"/>
      <c r="I447" s="45"/>
      <c r="L447" s="21" t="str">
        <f t="shared" si="2"/>
        <v>Z</v>
      </c>
    </row>
    <row r="448">
      <c r="A448" s="12"/>
      <c r="B448" s="22"/>
      <c r="I448" s="45"/>
      <c r="L448" s="21" t="str">
        <f t="shared" si="2"/>
        <v>Z</v>
      </c>
    </row>
    <row r="449">
      <c r="A449" s="12"/>
      <c r="B449" s="22"/>
      <c r="I449" s="45"/>
      <c r="L449" s="21" t="str">
        <f t="shared" si="2"/>
        <v>Z</v>
      </c>
    </row>
    <row r="450">
      <c r="A450" s="12"/>
      <c r="B450" s="22"/>
      <c r="I450" s="45"/>
      <c r="L450" s="21" t="str">
        <f t="shared" si="2"/>
        <v>Z</v>
      </c>
    </row>
    <row r="451">
      <c r="A451" s="12"/>
      <c r="B451" s="22"/>
      <c r="I451" s="45"/>
      <c r="L451" s="21" t="str">
        <f t="shared" si="2"/>
        <v>Z</v>
      </c>
    </row>
    <row r="452">
      <c r="A452" s="12"/>
      <c r="B452" s="22"/>
      <c r="I452" s="45"/>
      <c r="L452" s="21" t="str">
        <f t="shared" si="2"/>
        <v>Z</v>
      </c>
    </row>
    <row r="453">
      <c r="A453" s="12"/>
      <c r="B453" s="22"/>
      <c r="I453" s="45"/>
      <c r="L453" s="21" t="str">
        <f t="shared" si="2"/>
        <v>Z</v>
      </c>
    </row>
    <row r="454">
      <c r="A454" s="12"/>
      <c r="B454" s="22"/>
      <c r="I454" s="45"/>
      <c r="L454" s="21" t="str">
        <f t="shared" si="2"/>
        <v>Z</v>
      </c>
    </row>
    <row r="455">
      <c r="A455" s="12"/>
      <c r="B455" s="22"/>
      <c r="I455" s="45"/>
      <c r="L455" s="21" t="str">
        <f t="shared" si="2"/>
        <v>Z</v>
      </c>
    </row>
    <row r="456">
      <c r="A456" s="12"/>
      <c r="B456" s="22"/>
      <c r="I456" s="45"/>
      <c r="L456" s="21" t="str">
        <f t="shared" si="2"/>
        <v>Z</v>
      </c>
    </row>
    <row r="457">
      <c r="A457" s="12"/>
      <c r="B457" s="22"/>
      <c r="I457" s="45"/>
      <c r="L457" s="21" t="str">
        <f t="shared" si="2"/>
        <v>Z</v>
      </c>
    </row>
    <row r="458">
      <c r="A458" s="12"/>
      <c r="B458" s="22"/>
      <c r="I458" s="45"/>
      <c r="L458" s="21" t="str">
        <f t="shared" si="2"/>
        <v>Z</v>
      </c>
    </row>
    <row r="459">
      <c r="A459" s="12"/>
      <c r="B459" s="22"/>
      <c r="I459" s="45"/>
      <c r="L459" s="21" t="str">
        <f t="shared" si="2"/>
        <v>Z</v>
      </c>
    </row>
    <row r="460">
      <c r="A460" s="12"/>
      <c r="B460" s="22"/>
      <c r="I460" s="45"/>
      <c r="L460" s="21" t="str">
        <f t="shared" si="2"/>
        <v>Z</v>
      </c>
    </row>
    <row r="461">
      <c r="A461" s="12"/>
      <c r="B461" s="22"/>
      <c r="I461" s="45"/>
      <c r="L461" s="21" t="str">
        <f t="shared" si="2"/>
        <v>Z</v>
      </c>
    </row>
    <row r="462">
      <c r="A462" s="12"/>
      <c r="B462" s="22"/>
      <c r="I462" s="45"/>
      <c r="L462" s="21" t="str">
        <f t="shared" si="2"/>
        <v>Z</v>
      </c>
    </row>
    <row r="463">
      <c r="A463" s="12"/>
      <c r="B463" s="22"/>
      <c r="I463" s="45"/>
      <c r="L463" s="21" t="str">
        <f t="shared" si="2"/>
        <v>Z</v>
      </c>
    </row>
    <row r="464">
      <c r="A464" s="12"/>
      <c r="B464" s="22"/>
      <c r="I464" s="45"/>
      <c r="L464" s="21" t="str">
        <f t="shared" si="2"/>
        <v>Z</v>
      </c>
    </row>
    <row r="465">
      <c r="A465" s="12"/>
      <c r="B465" s="22"/>
      <c r="I465" s="45"/>
      <c r="L465" s="21" t="str">
        <f t="shared" si="2"/>
        <v>Z</v>
      </c>
    </row>
    <row r="466">
      <c r="A466" s="12"/>
      <c r="B466" s="22"/>
      <c r="I466" s="45"/>
      <c r="L466" s="21" t="str">
        <f t="shared" si="2"/>
        <v>Z</v>
      </c>
    </row>
    <row r="467">
      <c r="A467" s="12"/>
      <c r="B467" s="22"/>
      <c r="I467" s="45"/>
      <c r="L467" s="21" t="str">
        <f t="shared" si="2"/>
        <v>Z</v>
      </c>
    </row>
    <row r="468">
      <c r="A468" s="12"/>
      <c r="B468" s="22"/>
      <c r="I468" s="45"/>
      <c r="L468" s="21" t="str">
        <f t="shared" si="2"/>
        <v>Z</v>
      </c>
    </row>
    <row r="469">
      <c r="A469" s="12"/>
      <c r="B469" s="22"/>
      <c r="I469" s="45"/>
      <c r="L469" s="21" t="str">
        <f t="shared" si="2"/>
        <v>Z</v>
      </c>
    </row>
    <row r="470">
      <c r="A470" s="12"/>
      <c r="B470" s="22"/>
      <c r="I470" s="45"/>
      <c r="L470" s="21" t="str">
        <f t="shared" si="2"/>
        <v>Z</v>
      </c>
    </row>
    <row r="471">
      <c r="A471" s="12"/>
      <c r="B471" s="22"/>
      <c r="I471" s="45"/>
      <c r="L471" s="21" t="str">
        <f t="shared" si="2"/>
        <v>Z</v>
      </c>
    </row>
    <row r="472">
      <c r="A472" s="12"/>
      <c r="B472" s="22"/>
      <c r="I472" s="45"/>
      <c r="L472" s="21" t="str">
        <f t="shared" si="2"/>
        <v>Z</v>
      </c>
    </row>
    <row r="473">
      <c r="A473" s="12"/>
      <c r="B473" s="22"/>
      <c r="I473" s="45"/>
      <c r="L473" s="21" t="str">
        <f t="shared" si="2"/>
        <v>Z</v>
      </c>
    </row>
    <row r="474">
      <c r="A474" s="12"/>
      <c r="B474" s="22"/>
      <c r="I474" s="45"/>
      <c r="L474" s="21" t="str">
        <f t="shared" si="2"/>
        <v>Z</v>
      </c>
    </row>
    <row r="475">
      <c r="A475" s="12"/>
      <c r="B475" s="22"/>
      <c r="I475" s="45"/>
      <c r="L475" s="21" t="str">
        <f t="shared" si="2"/>
        <v>Z</v>
      </c>
    </row>
    <row r="476">
      <c r="A476" s="12"/>
      <c r="B476" s="22"/>
      <c r="I476" s="45"/>
      <c r="L476" s="21" t="str">
        <f t="shared" si="2"/>
        <v>Z</v>
      </c>
    </row>
    <row r="477">
      <c r="A477" s="12"/>
      <c r="B477" s="22"/>
      <c r="I477" s="45"/>
      <c r="L477" s="21" t="str">
        <f t="shared" si="2"/>
        <v>Z</v>
      </c>
    </row>
    <row r="478">
      <c r="A478" s="12"/>
      <c r="B478" s="22"/>
      <c r="I478" s="45"/>
      <c r="L478" s="21" t="str">
        <f t="shared" si="2"/>
        <v>Z</v>
      </c>
    </row>
    <row r="479">
      <c r="A479" s="12"/>
      <c r="B479" s="22"/>
      <c r="I479" s="45"/>
      <c r="L479" s="21" t="str">
        <f t="shared" si="2"/>
        <v>Z</v>
      </c>
    </row>
    <row r="480">
      <c r="A480" s="12"/>
      <c r="B480" s="22"/>
      <c r="I480" s="45"/>
      <c r="L480" s="21" t="str">
        <f t="shared" si="2"/>
        <v>Z</v>
      </c>
    </row>
    <row r="481">
      <c r="A481" s="12"/>
      <c r="B481" s="22"/>
      <c r="I481" s="45"/>
      <c r="L481" s="21" t="str">
        <f t="shared" si="2"/>
        <v>Z</v>
      </c>
    </row>
    <row r="482">
      <c r="A482" s="12"/>
      <c r="B482" s="22"/>
      <c r="I482" s="45"/>
      <c r="L482" s="21" t="str">
        <f t="shared" si="2"/>
        <v>Z</v>
      </c>
    </row>
    <row r="483">
      <c r="A483" s="12"/>
      <c r="B483" s="22"/>
      <c r="I483" s="45"/>
      <c r="L483" s="21" t="str">
        <f t="shared" si="2"/>
        <v>Z</v>
      </c>
    </row>
    <row r="484">
      <c r="A484" s="12"/>
      <c r="B484" s="22"/>
      <c r="I484" s="45"/>
      <c r="L484" s="21" t="str">
        <f t="shared" si="2"/>
        <v>Z</v>
      </c>
    </row>
    <row r="485">
      <c r="A485" s="12"/>
      <c r="B485" s="22"/>
      <c r="I485" s="45"/>
      <c r="L485" s="21" t="str">
        <f t="shared" si="2"/>
        <v>Z</v>
      </c>
    </row>
    <row r="486">
      <c r="A486" s="12"/>
      <c r="B486" s="22"/>
      <c r="I486" s="45"/>
      <c r="L486" s="21" t="str">
        <f t="shared" si="2"/>
        <v>Z</v>
      </c>
    </row>
    <row r="487">
      <c r="A487" s="12"/>
      <c r="B487" s="22"/>
      <c r="I487" s="45"/>
      <c r="L487" s="21" t="str">
        <f t="shared" si="2"/>
        <v>Z</v>
      </c>
    </row>
    <row r="488">
      <c r="A488" s="12"/>
      <c r="B488" s="22"/>
      <c r="I488" s="45"/>
      <c r="L488" s="21" t="str">
        <f t="shared" si="2"/>
        <v>Z</v>
      </c>
    </row>
    <row r="489">
      <c r="A489" s="12"/>
      <c r="B489" s="22"/>
      <c r="I489" s="45"/>
      <c r="L489" s="21" t="str">
        <f t="shared" si="2"/>
        <v>Z</v>
      </c>
    </row>
    <row r="490">
      <c r="A490" s="12"/>
      <c r="B490" s="22"/>
      <c r="I490" s="45"/>
      <c r="L490" s="21" t="str">
        <f t="shared" si="2"/>
        <v>Z</v>
      </c>
    </row>
    <row r="491">
      <c r="A491" s="12"/>
      <c r="B491" s="22"/>
      <c r="I491" s="45"/>
      <c r="L491" s="21" t="str">
        <f t="shared" si="2"/>
        <v>Z</v>
      </c>
    </row>
    <row r="492">
      <c r="A492" s="12"/>
      <c r="B492" s="22"/>
      <c r="I492" s="45"/>
      <c r="L492" s="21" t="str">
        <f t="shared" si="2"/>
        <v>Z</v>
      </c>
    </row>
    <row r="493">
      <c r="A493" s="12"/>
      <c r="B493" s="22"/>
      <c r="I493" s="45"/>
      <c r="L493" s="21" t="str">
        <f t="shared" si="2"/>
        <v>Z</v>
      </c>
    </row>
    <row r="494">
      <c r="A494" s="12"/>
      <c r="B494" s="22"/>
      <c r="I494" s="45"/>
      <c r="L494" s="21" t="str">
        <f t="shared" si="2"/>
        <v>Z</v>
      </c>
    </row>
    <row r="495">
      <c r="A495" s="12"/>
      <c r="B495" s="22"/>
      <c r="I495" s="45"/>
      <c r="L495" s="21" t="str">
        <f t="shared" si="2"/>
        <v>Z</v>
      </c>
    </row>
    <row r="496">
      <c r="A496" s="12"/>
      <c r="B496" s="22"/>
      <c r="I496" s="45"/>
      <c r="L496" s="21" t="str">
        <f t="shared" si="2"/>
        <v>Z</v>
      </c>
    </row>
    <row r="497">
      <c r="A497" s="12"/>
      <c r="B497" s="22"/>
      <c r="I497" s="45"/>
      <c r="L497" s="21" t="str">
        <f t="shared" si="2"/>
        <v>Z</v>
      </c>
    </row>
    <row r="498">
      <c r="A498" s="12"/>
      <c r="B498" s="22"/>
      <c r="I498" s="45"/>
      <c r="L498" s="21" t="str">
        <f t="shared" si="2"/>
        <v>Z</v>
      </c>
    </row>
    <row r="499">
      <c r="A499" s="12"/>
      <c r="B499" s="22"/>
      <c r="I499" s="45"/>
      <c r="L499" s="21" t="str">
        <f t="shared" si="2"/>
        <v>Z</v>
      </c>
    </row>
    <row r="500">
      <c r="A500" s="12"/>
      <c r="B500" s="22"/>
      <c r="I500" s="45"/>
      <c r="L500" s="21" t="str">
        <f t="shared" si="2"/>
        <v>Z</v>
      </c>
    </row>
    <row r="501">
      <c r="A501" s="12"/>
      <c r="B501" s="22"/>
      <c r="I501" s="45"/>
      <c r="L501" s="21" t="str">
        <f t="shared" si="2"/>
        <v>Z</v>
      </c>
    </row>
    <row r="502">
      <c r="A502" s="12"/>
      <c r="B502" s="22"/>
      <c r="I502" s="45"/>
      <c r="L502" s="21" t="str">
        <f t="shared" si="2"/>
        <v>Z</v>
      </c>
    </row>
    <row r="503">
      <c r="A503" s="12"/>
      <c r="B503" s="22"/>
      <c r="I503" s="45"/>
      <c r="L503" s="21" t="str">
        <f t="shared" si="2"/>
        <v>Z</v>
      </c>
    </row>
    <row r="504">
      <c r="A504" s="12"/>
      <c r="B504" s="22"/>
      <c r="I504" s="45"/>
      <c r="L504" s="21" t="str">
        <f t="shared" si="2"/>
        <v>Z</v>
      </c>
    </row>
    <row r="505">
      <c r="A505" s="12"/>
      <c r="B505" s="22"/>
      <c r="I505" s="45"/>
      <c r="L505" s="21" t="str">
        <f t="shared" si="2"/>
        <v>Z</v>
      </c>
    </row>
    <row r="506">
      <c r="A506" s="12"/>
      <c r="B506" s="22"/>
      <c r="I506" s="45"/>
      <c r="L506" s="21" t="str">
        <f t="shared" si="2"/>
        <v>Z</v>
      </c>
    </row>
    <row r="507">
      <c r="A507" s="12"/>
      <c r="B507" s="22"/>
      <c r="I507" s="45"/>
      <c r="L507" s="21" t="str">
        <f t="shared" si="2"/>
        <v>Z</v>
      </c>
    </row>
    <row r="508">
      <c r="A508" s="12"/>
      <c r="B508" s="22"/>
      <c r="I508" s="45"/>
      <c r="L508" s="21" t="str">
        <f t="shared" si="2"/>
        <v>Z</v>
      </c>
    </row>
    <row r="509">
      <c r="A509" s="12"/>
      <c r="B509" s="22"/>
      <c r="I509" s="45"/>
      <c r="L509" s="21" t="str">
        <f t="shared" si="2"/>
        <v>Z</v>
      </c>
    </row>
    <row r="510">
      <c r="A510" s="12"/>
      <c r="B510" s="22"/>
      <c r="I510" s="45"/>
      <c r="L510" s="21" t="str">
        <f t="shared" si="2"/>
        <v>Z</v>
      </c>
    </row>
    <row r="511">
      <c r="A511" s="12"/>
      <c r="B511" s="22"/>
      <c r="I511" s="45"/>
      <c r="L511" s="21" t="str">
        <f t="shared" si="2"/>
        <v>Z</v>
      </c>
    </row>
    <row r="512">
      <c r="A512" s="12"/>
      <c r="B512" s="22"/>
      <c r="I512" s="45"/>
      <c r="L512" s="21" t="str">
        <f t="shared" si="2"/>
        <v>Z</v>
      </c>
    </row>
    <row r="513">
      <c r="A513" s="12"/>
      <c r="B513" s="22"/>
      <c r="I513" s="45"/>
      <c r="L513" s="21" t="str">
        <f t="shared" si="2"/>
        <v>Z</v>
      </c>
    </row>
    <row r="514">
      <c r="A514" s="12"/>
      <c r="B514" s="22"/>
      <c r="I514" s="45"/>
      <c r="L514" s="21" t="str">
        <f t="shared" si="2"/>
        <v>Z</v>
      </c>
    </row>
    <row r="515">
      <c r="A515" s="12"/>
      <c r="B515" s="22"/>
      <c r="I515" s="45"/>
      <c r="L515" s="21" t="str">
        <f t="shared" si="2"/>
        <v>Z</v>
      </c>
    </row>
    <row r="516">
      <c r="A516" s="12"/>
      <c r="B516" s="22"/>
      <c r="I516" s="45"/>
      <c r="L516" s="21" t="str">
        <f t="shared" si="2"/>
        <v>Z</v>
      </c>
    </row>
    <row r="517">
      <c r="A517" s="12"/>
      <c r="B517" s="22"/>
      <c r="I517" s="45"/>
      <c r="L517" s="21" t="str">
        <f t="shared" si="2"/>
        <v>Z</v>
      </c>
    </row>
    <row r="518">
      <c r="A518" s="12"/>
      <c r="B518" s="22"/>
      <c r="I518" s="45"/>
      <c r="L518" s="21" t="str">
        <f t="shared" si="2"/>
        <v>Z</v>
      </c>
    </row>
    <row r="519">
      <c r="A519" s="12"/>
      <c r="B519" s="22"/>
      <c r="I519" s="45"/>
      <c r="L519" s="21" t="str">
        <f t="shared" si="2"/>
        <v>Z</v>
      </c>
    </row>
    <row r="520">
      <c r="A520" s="12"/>
      <c r="B520" s="22"/>
      <c r="I520" s="45"/>
      <c r="L520" s="21" t="str">
        <f t="shared" si="2"/>
        <v>Z</v>
      </c>
    </row>
    <row r="521">
      <c r="A521" s="12"/>
      <c r="B521" s="22"/>
      <c r="I521" s="45"/>
      <c r="L521" s="21" t="str">
        <f t="shared" si="2"/>
        <v>Z</v>
      </c>
    </row>
    <row r="522">
      <c r="A522" s="12"/>
      <c r="B522" s="22"/>
      <c r="I522" s="45"/>
      <c r="L522" s="21" t="str">
        <f t="shared" si="2"/>
        <v>Z</v>
      </c>
    </row>
    <row r="523">
      <c r="A523" s="12"/>
      <c r="B523" s="22"/>
      <c r="I523" s="45"/>
      <c r="L523" s="21" t="str">
        <f t="shared" si="2"/>
        <v>Z</v>
      </c>
    </row>
    <row r="524">
      <c r="A524" s="12"/>
      <c r="B524" s="22"/>
      <c r="I524" s="45"/>
      <c r="L524" s="21" t="str">
        <f t="shared" si="2"/>
        <v>Z</v>
      </c>
    </row>
    <row r="525">
      <c r="A525" s="12"/>
      <c r="B525" s="22"/>
      <c r="I525" s="45"/>
      <c r="L525" s="21" t="str">
        <f t="shared" si="2"/>
        <v>Z</v>
      </c>
    </row>
    <row r="526">
      <c r="A526" s="12"/>
      <c r="B526" s="22"/>
      <c r="I526" s="45"/>
      <c r="L526" s="21" t="str">
        <f t="shared" si="2"/>
        <v>Z</v>
      </c>
    </row>
    <row r="527">
      <c r="A527" s="12"/>
      <c r="B527" s="22"/>
      <c r="I527" s="45"/>
      <c r="L527" s="21" t="str">
        <f t="shared" si="2"/>
        <v>Z</v>
      </c>
    </row>
    <row r="528">
      <c r="A528" s="12"/>
      <c r="B528" s="22"/>
      <c r="I528" s="45"/>
      <c r="L528" s="21" t="str">
        <f t="shared" si="2"/>
        <v>Z</v>
      </c>
    </row>
    <row r="529">
      <c r="A529" s="12"/>
      <c r="B529" s="22"/>
      <c r="I529" s="45"/>
      <c r="L529" s="21" t="str">
        <f t="shared" si="2"/>
        <v>Z</v>
      </c>
    </row>
    <row r="530">
      <c r="A530" s="12"/>
      <c r="B530" s="22"/>
      <c r="I530" s="45"/>
      <c r="L530" s="21" t="str">
        <f t="shared" si="2"/>
        <v>Z</v>
      </c>
    </row>
    <row r="531">
      <c r="A531" s="12"/>
      <c r="B531" s="22"/>
      <c r="I531" s="45"/>
      <c r="L531" s="21" t="str">
        <f t="shared" si="2"/>
        <v>Z</v>
      </c>
    </row>
    <row r="532">
      <c r="A532" s="12"/>
      <c r="B532" s="22"/>
      <c r="I532" s="45"/>
      <c r="L532" s="21" t="str">
        <f t="shared" si="2"/>
        <v>Z</v>
      </c>
    </row>
    <row r="533">
      <c r="A533" s="12"/>
      <c r="B533" s="22"/>
      <c r="I533" s="45"/>
      <c r="L533" s="21" t="str">
        <f t="shared" si="2"/>
        <v>Z</v>
      </c>
    </row>
    <row r="534">
      <c r="A534" s="12"/>
      <c r="B534" s="22"/>
      <c r="I534" s="45"/>
      <c r="L534" s="21" t="str">
        <f t="shared" si="2"/>
        <v>Z</v>
      </c>
    </row>
    <row r="535">
      <c r="A535" s="12"/>
      <c r="B535" s="22"/>
      <c r="I535" s="45"/>
      <c r="L535" s="21" t="str">
        <f t="shared" si="2"/>
        <v>Z</v>
      </c>
    </row>
    <row r="536">
      <c r="A536" s="12"/>
      <c r="B536" s="22"/>
      <c r="I536" s="45"/>
      <c r="L536" s="21" t="str">
        <f t="shared" si="2"/>
        <v>Z</v>
      </c>
    </row>
    <row r="537">
      <c r="A537" s="12"/>
      <c r="B537" s="22"/>
      <c r="I537" s="45"/>
      <c r="L537" s="21" t="str">
        <f t="shared" si="2"/>
        <v>Z</v>
      </c>
    </row>
    <row r="538">
      <c r="A538" s="12"/>
      <c r="B538" s="22"/>
      <c r="I538" s="45"/>
      <c r="L538" s="21" t="str">
        <f t="shared" si="2"/>
        <v>Z</v>
      </c>
    </row>
    <row r="539">
      <c r="A539" s="12"/>
      <c r="B539" s="22"/>
      <c r="I539" s="45"/>
      <c r="L539" s="21" t="str">
        <f t="shared" si="2"/>
        <v>Z</v>
      </c>
    </row>
    <row r="540">
      <c r="A540" s="12"/>
      <c r="B540" s="22"/>
      <c r="I540" s="45"/>
      <c r="L540" s="21" t="str">
        <f t="shared" si="2"/>
        <v>Z</v>
      </c>
    </row>
    <row r="541">
      <c r="A541" s="12"/>
      <c r="B541" s="22"/>
      <c r="I541" s="45"/>
      <c r="L541" s="21" t="str">
        <f t="shared" si="2"/>
        <v>Z</v>
      </c>
    </row>
    <row r="542">
      <c r="A542" s="12"/>
      <c r="B542" s="22"/>
      <c r="I542" s="45"/>
      <c r="L542" s="21" t="str">
        <f t="shared" si="2"/>
        <v>Z</v>
      </c>
    </row>
    <row r="543">
      <c r="A543" s="12"/>
      <c r="B543" s="22"/>
      <c r="I543" s="45"/>
      <c r="L543" s="21" t="str">
        <f t="shared" si="2"/>
        <v>Z</v>
      </c>
    </row>
    <row r="544">
      <c r="A544" s="12"/>
      <c r="B544" s="22"/>
      <c r="I544" s="45"/>
      <c r="L544" s="21" t="str">
        <f t="shared" si="2"/>
        <v>Z</v>
      </c>
    </row>
    <row r="545">
      <c r="A545" s="12"/>
      <c r="B545" s="22"/>
      <c r="I545" s="45"/>
      <c r="L545" s="21" t="str">
        <f t="shared" si="2"/>
        <v>Z</v>
      </c>
    </row>
    <row r="546">
      <c r="A546" s="12"/>
      <c r="B546" s="22"/>
      <c r="I546" s="45"/>
      <c r="L546" s="21" t="str">
        <f t="shared" si="2"/>
        <v>Z</v>
      </c>
    </row>
    <row r="547">
      <c r="A547" s="12"/>
      <c r="B547" s="22"/>
      <c r="I547" s="45"/>
      <c r="L547" s="21" t="str">
        <f t="shared" si="2"/>
        <v>Z</v>
      </c>
    </row>
    <row r="548">
      <c r="A548" s="12"/>
      <c r="B548" s="22"/>
      <c r="I548" s="45"/>
      <c r="L548" s="21" t="str">
        <f t="shared" si="2"/>
        <v>Z</v>
      </c>
    </row>
    <row r="549">
      <c r="A549" s="12"/>
      <c r="B549" s="22"/>
      <c r="I549" s="45"/>
      <c r="L549" s="21" t="str">
        <f t="shared" si="2"/>
        <v>Z</v>
      </c>
    </row>
    <row r="550">
      <c r="A550" s="12"/>
      <c r="B550" s="22"/>
      <c r="I550" s="45"/>
      <c r="L550" s="21" t="str">
        <f t="shared" si="2"/>
        <v>Z</v>
      </c>
    </row>
    <row r="551">
      <c r="A551" s="12"/>
      <c r="B551" s="22"/>
      <c r="I551" s="45"/>
      <c r="L551" s="21" t="str">
        <f t="shared" si="2"/>
        <v>Z</v>
      </c>
    </row>
    <row r="552">
      <c r="A552" s="12"/>
      <c r="B552" s="22"/>
      <c r="I552" s="45"/>
      <c r="L552" s="21" t="str">
        <f t="shared" si="2"/>
        <v>Z</v>
      </c>
    </row>
    <row r="553">
      <c r="A553" s="12"/>
      <c r="B553" s="22"/>
      <c r="I553" s="45"/>
      <c r="L553" s="21" t="str">
        <f t="shared" si="2"/>
        <v>Z</v>
      </c>
    </row>
    <row r="554">
      <c r="A554" s="12"/>
      <c r="B554" s="22"/>
      <c r="I554" s="45"/>
      <c r="L554" s="21" t="str">
        <f t="shared" si="2"/>
        <v>Z</v>
      </c>
    </row>
    <row r="555">
      <c r="A555" s="12"/>
      <c r="B555" s="22"/>
      <c r="I555" s="45"/>
      <c r="L555" s="21" t="str">
        <f t="shared" si="2"/>
        <v>Z</v>
      </c>
    </row>
    <row r="556">
      <c r="A556" s="12"/>
      <c r="B556" s="22"/>
      <c r="I556" s="45"/>
      <c r="L556" s="21" t="str">
        <f t="shared" si="2"/>
        <v>Z</v>
      </c>
    </row>
    <row r="557">
      <c r="A557" s="12"/>
      <c r="B557" s="22"/>
      <c r="I557" s="45"/>
      <c r="L557" s="21" t="str">
        <f t="shared" si="2"/>
        <v>Z</v>
      </c>
    </row>
    <row r="558">
      <c r="A558" s="12"/>
      <c r="B558" s="22"/>
      <c r="I558" s="45"/>
      <c r="L558" s="21" t="str">
        <f t="shared" si="2"/>
        <v>Z</v>
      </c>
    </row>
    <row r="559">
      <c r="A559" s="12"/>
      <c r="B559" s="22"/>
      <c r="I559" s="45"/>
      <c r="L559" s="21" t="str">
        <f t="shared" si="2"/>
        <v>Z</v>
      </c>
    </row>
    <row r="560">
      <c r="A560" s="12"/>
      <c r="B560" s="22"/>
      <c r="I560" s="45"/>
      <c r="L560" s="21" t="str">
        <f t="shared" si="2"/>
        <v>Z</v>
      </c>
    </row>
    <row r="561">
      <c r="A561" s="12"/>
      <c r="B561" s="22"/>
      <c r="I561" s="45"/>
      <c r="L561" s="21" t="str">
        <f t="shared" si="2"/>
        <v>Z</v>
      </c>
    </row>
    <row r="562">
      <c r="A562" s="12"/>
      <c r="B562" s="22"/>
      <c r="I562" s="45"/>
      <c r="L562" s="21" t="str">
        <f t="shared" si="2"/>
        <v>Z</v>
      </c>
    </row>
    <row r="563">
      <c r="A563" s="12"/>
      <c r="B563" s="22"/>
      <c r="I563" s="45"/>
      <c r="L563" s="21" t="str">
        <f t="shared" si="2"/>
        <v>Z</v>
      </c>
    </row>
    <row r="564">
      <c r="A564" s="12"/>
      <c r="B564" s="22"/>
      <c r="I564" s="45"/>
      <c r="L564" s="21" t="str">
        <f t="shared" si="2"/>
        <v>Z</v>
      </c>
    </row>
    <row r="565">
      <c r="A565" s="12"/>
      <c r="B565" s="22"/>
      <c r="I565" s="45"/>
      <c r="L565" s="21" t="str">
        <f t="shared" si="2"/>
        <v>Z</v>
      </c>
    </row>
    <row r="566">
      <c r="A566" s="12"/>
      <c r="B566" s="22"/>
      <c r="I566" s="45"/>
      <c r="L566" s="21" t="str">
        <f t="shared" si="2"/>
        <v>Z</v>
      </c>
    </row>
    <row r="567">
      <c r="A567" s="12"/>
      <c r="B567" s="22"/>
      <c r="I567" s="45"/>
      <c r="L567" s="21" t="str">
        <f t="shared" si="2"/>
        <v>Z</v>
      </c>
    </row>
    <row r="568">
      <c r="A568" s="12"/>
      <c r="B568" s="22"/>
      <c r="I568" s="45"/>
      <c r="L568" s="21" t="str">
        <f t="shared" si="2"/>
        <v>Z</v>
      </c>
    </row>
    <row r="569">
      <c r="A569" s="12"/>
      <c r="B569" s="22"/>
      <c r="I569" s="45"/>
      <c r="L569" s="21" t="str">
        <f t="shared" si="2"/>
        <v>Z</v>
      </c>
    </row>
    <row r="570">
      <c r="A570" s="12"/>
      <c r="B570" s="22"/>
      <c r="I570" s="45"/>
      <c r="L570" s="21" t="str">
        <f t="shared" si="2"/>
        <v>Z</v>
      </c>
    </row>
    <row r="571">
      <c r="A571" s="12"/>
      <c r="B571" s="22"/>
      <c r="I571" s="45"/>
      <c r="L571" s="21" t="str">
        <f t="shared" si="2"/>
        <v>Z</v>
      </c>
    </row>
    <row r="572">
      <c r="A572" s="12"/>
      <c r="B572" s="22"/>
      <c r="I572" s="45"/>
      <c r="L572" s="21" t="str">
        <f t="shared" si="2"/>
        <v>Z</v>
      </c>
    </row>
    <row r="573">
      <c r="A573" s="12"/>
      <c r="B573" s="22"/>
      <c r="I573" s="45"/>
      <c r="L573" s="21" t="str">
        <f t="shared" si="2"/>
        <v>Z</v>
      </c>
    </row>
    <row r="574">
      <c r="A574" s="12"/>
      <c r="B574" s="22"/>
      <c r="I574" s="45"/>
      <c r="L574" s="21" t="str">
        <f t="shared" si="2"/>
        <v>Z</v>
      </c>
    </row>
    <row r="575">
      <c r="A575" s="12"/>
      <c r="B575" s="22"/>
      <c r="I575" s="45"/>
      <c r="L575" s="21" t="str">
        <f t="shared" si="2"/>
        <v>Z</v>
      </c>
    </row>
    <row r="576">
      <c r="A576" s="12"/>
      <c r="B576" s="22"/>
      <c r="I576" s="45"/>
      <c r="L576" s="21" t="str">
        <f t="shared" si="2"/>
        <v>Z</v>
      </c>
    </row>
    <row r="577">
      <c r="A577" s="12"/>
      <c r="B577" s="22"/>
      <c r="I577" s="45"/>
      <c r="L577" s="21" t="str">
        <f t="shared" si="2"/>
        <v>Z</v>
      </c>
    </row>
    <row r="578">
      <c r="A578" s="12"/>
      <c r="B578" s="22"/>
      <c r="I578" s="45"/>
      <c r="L578" s="21" t="str">
        <f t="shared" si="2"/>
        <v>Z</v>
      </c>
    </row>
    <row r="579">
      <c r="A579" s="12"/>
      <c r="B579" s="22"/>
      <c r="I579" s="45"/>
      <c r="L579" s="21" t="str">
        <f t="shared" si="2"/>
        <v>Z</v>
      </c>
    </row>
    <row r="580">
      <c r="A580" s="12"/>
      <c r="B580" s="22"/>
      <c r="I580" s="45"/>
      <c r="L580" s="21" t="str">
        <f t="shared" si="2"/>
        <v>Z</v>
      </c>
    </row>
    <row r="581">
      <c r="A581" s="12"/>
      <c r="B581" s="22"/>
      <c r="I581" s="45"/>
      <c r="L581" s="21" t="str">
        <f t="shared" si="2"/>
        <v>Z</v>
      </c>
    </row>
    <row r="582">
      <c r="A582" s="12"/>
      <c r="B582" s="22"/>
      <c r="I582" s="45"/>
      <c r="L582" s="21" t="str">
        <f t="shared" si="2"/>
        <v>Z</v>
      </c>
    </row>
    <row r="583">
      <c r="A583" s="12"/>
      <c r="B583" s="22"/>
      <c r="I583" s="45"/>
      <c r="L583" s="21" t="str">
        <f t="shared" si="2"/>
        <v>Z</v>
      </c>
    </row>
    <row r="584">
      <c r="A584" s="12"/>
      <c r="B584" s="22"/>
      <c r="I584" s="45"/>
      <c r="L584" s="21" t="str">
        <f t="shared" si="2"/>
        <v>Z</v>
      </c>
    </row>
    <row r="585">
      <c r="A585" s="12"/>
      <c r="B585" s="22"/>
      <c r="I585" s="45"/>
      <c r="L585" s="21" t="str">
        <f t="shared" si="2"/>
        <v>Z</v>
      </c>
    </row>
    <row r="586">
      <c r="A586" s="12"/>
      <c r="B586" s="22"/>
      <c r="I586" s="45"/>
      <c r="L586" s="21" t="str">
        <f t="shared" si="2"/>
        <v>Z</v>
      </c>
    </row>
    <row r="587">
      <c r="A587" s="12"/>
      <c r="B587" s="22"/>
      <c r="I587" s="45"/>
      <c r="L587" s="21" t="str">
        <f t="shared" si="2"/>
        <v>Z</v>
      </c>
    </row>
    <row r="588">
      <c r="A588" s="12"/>
      <c r="B588" s="22"/>
      <c r="I588" s="45"/>
      <c r="L588" s="21" t="str">
        <f t="shared" si="2"/>
        <v>Z</v>
      </c>
    </row>
    <row r="589">
      <c r="A589" s="12"/>
      <c r="B589" s="22"/>
      <c r="I589" s="45"/>
      <c r="L589" s="21" t="str">
        <f t="shared" si="2"/>
        <v>Z</v>
      </c>
    </row>
    <row r="590">
      <c r="A590" s="12"/>
      <c r="B590" s="22"/>
      <c r="I590" s="45"/>
      <c r="L590" s="21" t="str">
        <f t="shared" si="2"/>
        <v>Z</v>
      </c>
    </row>
    <row r="591">
      <c r="A591" s="12"/>
      <c r="B591" s="22"/>
      <c r="I591" s="45"/>
      <c r="L591" s="21" t="str">
        <f t="shared" si="2"/>
        <v>Z</v>
      </c>
    </row>
    <row r="592">
      <c r="A592" s="12"/>
      <c r="B592" s="22"/>
      <c r="I592" s="45"/>
      <c r="L592" s="21" t="str">
        <f t="shared" si="2"/>
        <v>Z</v>
      </c>
    </row>
    <row r="593">
      <c r="A593" s="12"/>
      <c r="B593" s="22"/>
      <c r="I593" s="45"/>
      <c r="L593" s="21" t="str">
        <f t="shared" si="2"/>
        <v>Z</v>
      </c>
    </row>
    <row r="594">
      <c r="A594" s="12"/>
      <c r="B594" s="22"/>
      <c r="I594" s="45"/>
      <c r="L594" s="21" t="str">
        <f t="shared" si="2"/>
        <v>Z</v>
      </c>
    </row>
    <row r="595">
      <c r="A595" s="12"/>
      <c r="B595" s="22"/>
      <c r="I595" s="45"/>
      <c r="L595" s="21" t="str">
        <f t="shared" si="2"/>
        <v>Z</v>
      </c>
    </row>
    <row r="596">
      <c r="A596" s="12"/>
      <c r="B596" s="22"/>
      <c r="I596" s="45"/>
      <c r="L596" s="21" t="str">
        <f t="shared" si="2"/>
        <v>Z</v>
      </c>
    </row>
    <row r="597">
      <c r="A597" s="12"/>
      <c r="B597" s="22"/>
      <c r="I597" s="45"/>
      <c r="L597" s="21" t="str">
        <f t="shared" si="2"/>
        <v>Z</v>
      </c>
    </row>
    <row r="598">
      <c r="A598" s="12"/>
      <c r="B598" s="22"/>
      <c r="I598" s="45"/>
      <c r="L598" s="21" t="str">
        <f t="shared" si="2"/>
        <v>Z</v>
      </c>
    </row>
    <row r="599">
      <c r="A599" s="12"/>
      <c r="B599" s="22"/>
      <c r="I599" s="45"/>
      <c r="L599" s="21" t="str">
        <f t="shared" si="2"/>
        <v>Z</v>
      </c>
    </row>
    <row r="600">
      <c r="A600" s="12"/>
      <c r="B600" s="22"/>
      <c r="I600" s="45"/>
      <c r="L600" s="21" t="str">
        <f t="shared" si="2"/>
        <v>Z</v>
      </c>
    </row>
    <row r="601">
      <c r="A601" s="12"/>
      <c r="B601" s="22"/>
      <c r="I601" s="45"/>
      <c r="L601" s="21" t="str">
        <f t="shared" si="2"/>
        <v>Z</v>
      </c>
    </row>
    <row r="602">
      <c r="A602" s="12"/>
      <c r="B602" s="22"/>
      <c r="I602" s="45"/>
      <c r="L602" s="21" t="str">
        <f t="shared" si="2"/>
        <v>Z</v>
      </c>
    </row>
    <row r="603">
      <c r="A603" s="12"/>
      <c r="B603" s="22"/>
      <c r="I603" s="45"/>
      <c r="L603" s="21" t="str">
        <f t="shared" si="2"/>
        <v>Z</v>
      </c>
    </row>
    <row r="604">
      <c r="A604" s="12"/>
      <c r="B604" s="22"/>
      <c r="I604" s="45"/>
      <c r="L604" s="21" t="str">
        <f t="shared" si="2"/>
        <v>Z</v>
      </c>
    </row>
    <row r="605">
      <c r="A605" s="12"/>
      <c r="B605" s="22"/>
      <c r="I605" s="45"/>
      <c r="L605" s="21" t="str">
        <f t="shared" si="2"/>
        <v>Z</v>
      </c>
    </row>
    <row r="606">
      <c r="A606" s="12"/>
      <c r="B606" s="22"/>
      <c r="I606" s="45"/>
      <c r="L606" s="21" t="str">
        <f t="shared" si="2"/>
        <v>Z</v>
      </c>
    </row>
    <row r="607">
      <c r="A607" s="12"/>
      <c r="B607" s="22"/>
      <c r="I607" s="45"/>
      <c r="L607" s="21" t="str">
        <f t="shared" si="2"/>
        <v>Z</v>
      </c>
    </row>
    <row r="608">
      <c r="A608" s="12"/>
      <c r="B608" s="22"/>
      <c r="I608" s="45"/>
      <c r="L608" s="21" t="str">
        <f t="shared" si="2"/>
        <v>Z</v>
      </c>
    </row>
    <row r="609">
      <c r="A609" s="12"/>
      <c r="B609" s="22"/>
      <c r="I609" s="45"/>
      <c r="L609" s="21" t="str">
        <f t="shared" si="2"/>
        <v>Z</v>
      </c>
    </row>
    <row r="610">
      <c r="A610" s="12"/>
      <c r="B610" s="22"/>
      <c r="I610" s="45"/>
      <c r="L610" s="21" t="str">
        <f t="shared" si="2"/>
        <v>Z</v>
      </c>
    </row>
    <row r="611">
      <c r="A611" s="12"/>
      <c r="B611" s="22"/>
      <c r="I611" s="45"/>
      <c r="L611" s="21" t="str">
        <f t="shared" si="2"/>
        <v>Z</v>
      </c>
    </row>
    <row r="612">
      <c r="A612" s="12"/>
      <c r="B612" s="22"/>
      <c r="I612" s="45"/>
      <c r="L612" s="21" t="str">
        <f t="shared" si="2"/>
        <v>Z</v>
      </c>
    </row>
    <row r="613">
      <c r="A613" s="12"/>
      <c r="B613" s="22"/>
      <c r="I613" s="45"/>
      <c r="L613" s="21" t="str">
        <f t="shared" si="2"/>
        <v>Z</v>
      </c>
    </row>
    <row r="614">
      <c r="A614" s="12"/>
      <c r="B614" s="22"/>
      <c r="I614" s="45"/>
      <c r="L614" s="21" t="str">
        <f t="shared" si="2"/>
        <v>Z</v>
      </c>
    </row>
    <row r="615">
      <c r="A615" s="12"/>
      <c r="B615" s="22"/>
      <c r="I615" s="45"/>
      <c r="L615" s="21" t="str">
        <f t="shared" si="2"/>
        <v>Z</v>
      </c>
    </row>
    <row r="616">
      <c r="A616" s="12"/>
      <c r="B616" s="22"/>
      <c r="I616" s="45"/>
      <c r="L616" s="21" t="str">
        <f t="shared" si="2"/>
        <v>Z</v>
      </c>
    </row>
    <row r="617">
      <c r="A617" s="12"/>
      <c r="B617" s="22"/>
      <c r="I617" s="45"/>
      <c r="L617" s="21" t="str">
        <f t="shared" si="2"/>
        <v>Z</v>
      </c>
    </row>
    <row r="618">
      <c r="A618" s="12"/>
      <c r="B618" s="22"/>
      <c r="I618" s="45"/>
      <c r="L618" s="21" t="str">
        <f t="shared" si="2"/>
        <v>Z</v>
      </c>
    </row>
    <row r="619">
      <c r="A619" s="12"/>
      <c r="B619" s="22"/>
      <c r="I619" s="45"/>
      <c r="L619" s="21" t="str">
        <f t="shared" si="2"/>
        <v>Z</v>
      </c>
    </row>
    <row r="620">
      <c r="A620" s="12"/>
      <c r="B620" s="22"/>
      <c r="I620" s="45"/>
      <c r="L620" s="21" t="str">
        <f t="shared" si="2"/>
        <v>Z</v>
      </c>
    </row>
    <row r="621">
      <c r="A621" s="12"/>
      <c r="B621" s="22"/>
      <c r="I621" s="45"/>
      <c r="L621" s="21" t="str">
        <f t="shared" si="2"/>
        <v>Z</v>
      </c>
    </row>
    <row r="622">
      <c r="A622" s="12"/>
      <c r="B622" s="22"/>
      <c r="I622" s="45"/>
      <c r="L622" s="21" t="str">
        <f t="shared" si="2"/>
        <v>Z</v>
      </c>
    </row>
    <row r="623">
      <c r="A623" s="12"/>
      <c r="B623" s="22"/>
      <c r="I623" s="45"/>
      <c r="L623" s="21" t="str">
        <f t="shared" si="2"/>
        <v>Z</v>
      </c>
    </row>
    <row r="624">
      <c r="A624" s="12"/>
      <c r="B624" s="22"/>
      <c r="I624" s="45"/>
      <c r="L624" s="21" t="str">
        <f t="shared" si="2"/>
        <v>Z</v>
      </c>
    </row>
    <row r="625">
      <c r="A625" s="12"/>
      <c r="B625" s="22"/>
      <c r="I625" s="45"/>
      <c r="L625" s="21" t="str">
        <f t="shared" si="2"/>
        <v>Z</v>
      </c>
    </row>
    <row r="626">
      <c r="A626" s="12"/>
      <c r="B626" s="22"/>
      <c r="I626" s="45"/>
      <c r="L626" s="21" t="str">
        <f t="shared" si="2"/>
        <v>Z</v>
      </c>
    </row>
    <row r="627">
      <c r="A627" s="12"/>
      <c r="B627" s="22"/>
      <c r="I627" s="45"/>
      <c r="L627" s="21" t="str">
        <f t="shared" si="2"/>
        <v>Z</v>
      </c>
    </row>
    <row r="628">
      <c r="A628" s="12"/>
      <c r="B628" s="22"/>
      <c r="I628" s="45"/>
      <c r="L628" s="21" t="str">
        <f t="shared" si="2"/>
        <v>Z</v>
      </c>
    </row>
    <row r="629">
      <c r="A629" s="12"/>
      <c r="B629" s="22"/>
      <c r="I629" s="45"/>
      <c r="L629" s="21" t="str">
        <f t="shared" si="2"/>
        <v>Z</v>
      </c>
    </row>
    <row r="630">
      <c r="A630" s="12"/>
      <c r="B630" s="22"/>
      <c r="I630" s="45"/>
      <c r="L630" s="21" t="str">
        <f t="shared" si="2"/>
        <v>Z</v>
      </c>
    </row>
    <row r="631">
      <c r="A631" s="12"/>
      <c r="B631" s="22"/>
      <c r="I631" s="45"/>
      <c r="L631" s="21" t="str">
        <f t="shared" si="2"/>
        <v>Z</v>
      </c>
    </row>
    <row r="632">
      <c r="A632" s="12"/>
      <c r="B632" s="22"/>
      <c r="I632" s="45"/>
      <c r="L632" s="21" t="str">
        <f t="shared" si="2"/>
        <v>Z</v>
      </c>
    </row>
    <row r="633">
      <c r="A633" s="12"/>
      <c r="B633" s="22"/>
      <c r="I633" s="45"/>
      <c r="L633" s="21" t="str">
        <f t="shared" si="2"/>
        <v>Z</v>
      </c>
    </row>
    <row r="634">
      <c r="A634" s="12"/>
      <c r="B634" s="22"/>
      <c r="I634" s="45"/>
      <c r="L634" s="21" t="str">
        <f t="shared" si="2"/>
        <v>Z</v>
      </c>
    </row>
    <row r="635">
      <c r="A635" s="12"/>
      <c r="B635" s="22"/>
      <c r="I635" s="45"/>
      <c r="L635" s="21" t="str">
        <f t="shared" si="2"/>
        <v>Z</v>
      </c>
    </row>
    <row r="636">
      <c r="A636" s="12"/>
      <c r="B636" s="22"/>
      <c r="I636" s="45"/>
      <c r="L636" s="21" t="str">
        <f t="shared" si="2"/>
        <v>Z</v>
      </c>
    </row>
    <row r="637">
      <c r="A637" s="12"/>
      <c r="B637" s="22"/>
      <c r="I637" s="45"/>
      <c r="L637" s="21" t="str">
        <f t="shared" si="2"/>
        <v>Z</v>
      </c>
    </row>
    <row r="638">
      <c r="A638" s="12"/>
      <c r="B638" s="22"/>
      <c r="I638" s="45"/>
      <c r="L638" s="21" t="str">
        <f t="shared" si="2"/>
        <v>Z</v>
      </c>
    </row>
    <row r="639">
      <c r="A639" s="12"/>
      <c r="B639" s="22"/>
      <c r="I639" s="45"/>
      <c r="L639" s="21" t="str">
        <f t="shared" si="2"/>
        <v>Z</v>
      </c>
    </row>
    <row r="640">
      <c r="A640" s="12"/>
      <c r="B640" s="22"/>
      <c r="I640" s="45"/>
      <c r="L640" s="21" t="str">
        <f t="shared" si="2"/>
        <v>Z</v>
      </c>
    </row>
    <row r="641">
      <c r="A641" s="12"/>
      <c r="B641" s="22"/>
      <c r="I641" s="45"/>
      <c r="L641" s="21" t="str">
        <f t="shared" si="2"/>
        <v>Z</v>
      </c>
    </row>
    <row r="642">
      <c r="A642" s="12"/>
      <c r="B642" s="22"/>
      <c r="I642" s="45"/>
      <c r="L642" s="21" t="str">
        <f t="shared" si="2"/>
        <v>Z</v>
      </c>
    </row>
    <row r="643">
      <c r="A643" s="12"/>
      <c r="B643" s="22"/>
      <c r="I643" s="45"/>
      <c r="L643" s="21" t="str">
        <f t="shared" si="2"/>
        <v>Z</v>
      </c>
    </row>
    <row r="644">
      <c r="A644" s="12"/>
      <c r="B644" s="22"/>
      <c r="I644" s="45"/>
      <c r="L644" s="21" t="str">
        <f t="shared" si="2"/>
        <v>Z</v>
      </c>
    </row>
    <row r="645">
      <c r="A645" s="12"/>
      <c r="B645" s="22"/>
      <c r="I645" s="45"/>
      <c r="L645" s="21" t="str">
        <f t="shared" si="2"/>
        <v>Z</v>
      </c>
    </row>
    <row r="646">
      <c r="A646" s="12"/>
      <c r="B646" s="22"/>
      <c r="I646" s="45"/>
      <c r="L646" s="21" t="str">
        <f t="shared" si="2"/>
        <v>Z</v>
      </c>
    </row>
    <row r="647">
      <c r="A647" s="12"/>
      <c r="B647" s="22"/>
      <c r="I647" s="45"/>
      <c r="L647" s="21" t="str">
        <f t="shared" si="2"/>
        <v>Z</v>
      </c>
    </row>
    <row r="648">
      <c r="A648" s="12"/>
      <c r="B648" s="22"/>
      <c r="I648" s="45"/>
      <c r="L648" s="21" t="str">
        <f t="shared" si="2"/>
        <v>Z</v>
      </c>
    </row>
    <row r="649">
      <c r="A649" s="12"/>
      <c r="B649" s="22"/>
      <c r="I649" s="45"/>
      <c r="L649" s="21" t="str">
        <f t="shared" si="2"/>
        <v>Z</v>
      </c>
    </row>
    <row r="650">
      <c r="A650" s="12"/>
      <c r="B650" s="22"/>
      <c r="I650" s="45"/>
      <c r="L650" s="21" t="str">
        <f t="shared" si="2"/>
        <v>Z</v>
      </c>
    </row>
    <row r="651">
      <c r="A651" s="12"/>
      <c r="B651" s="22"/>
      <c r="I651" s="45"/>
      <c r="L651" s="21" t="str">
        <f t="shared" si="2"/>
        <v>Z</v>
      </c>
    </row>
    <row r="652">
      <c r="A652" s="12"/>
      <c r="B652" s="22"/>
      <c r="I652" s="45"/>
      <c r="L652" s="21" t="str">
        <f t="shared" si="2"/>
        <v>Z</v>
      </c>
    </row>
    <row r="653">
      <c r="A653" s="12"/>
      <c r="B653" s="22"/>
      <c r="I653" s="45"/>
      <c r="L653" s="21" t="str">
        <f t="shared" si="2"/>
        <v>Z</v>
      </c>
    </row>
    <row r="654">
      <c r="A654" s="12"/>
      <c r="B654" s="22"/>
      <c r="I654" s="45"/>
      <c r="L654" s="21" t="str">
        <f t="shared" si="2"/>
        <v>Z</v>
      </c>
    </row>
    <row r="655">
      <c r="A655" s="12"/>
      <c r="B655" s="22"/>
      <c r="I655" s="45"/>
      <c r="L655" s="21" t="str">
        <f t="shared" si="2"/>
        <v>Z</v>
      </c>
    </row>
    <row r="656">
      <c r="A656" s="12"/>
      <c r="B656" s="22"/>
      <c r="I656" s="45"/>
      <c r="L656" s="21" t="str">
        <f t="shared" si="2"/>
        <v>Z</v>
      </c>
    </row>
    <row r="657">
      <c r="A657" s="12"/>
      <c r="B657" s="22"/>
      <c r="I657" s="45"/>
      <c r="L657" s="21" t="str">
        <f t="shared" si="2"/>
        <v>Z</v>
      </c>
    </row>
    <row r="658">
      <c r="A658" s="12"/>
      <c r="B658" s="22"/>
      <c r="I658" s="45"/>
      <c r="L658" s="21" t="str">
        <f t="shared" si="2"/>
        <v>Z</v>
      </c>
    </row>
    <row r="659">
      <c r="A659" s="12"/>
      <c r="B659" s="22"/>
      <c r="I659" s="45"/>
      <c r="L659" s="21" t="str">
        <f t="shared" si="2"/>
        <v>Z</v>
      </c>
    </row>
    <row r="660">
      <c r="A660" s="12"/>
      <c r="B660" s="22"/>
      <c r="I660" s="45"/>
      <c r="L660" s="21" t="str">
        <f t="shared" si="2"/>
        <v>Z</v>
      </c>
    </row>
    <row r="661">
      <c r="A661" s="12"/>
      <c r="B661" s="22"/>
      <c r="I661" s="45"/>
      <c r="L661" s="21" t="str">
        <f t="shared" si="2"/>
        <v>Z</v>
      </c>
    </row>
    <row r="662">
      <c r="A662" s="12"/>
      <c r="B662" s="22"/>
      <c r="I662" s="45"/>
      <c r="L662" s="21" t="str">
        <f t="shared" si="2"/>
        <v>Z</v>
      </c>
    </row>
    <row r="663">
      <c r="A663" s="12"/>
      <c r="B663" s="22"/>
      <c r="I663" s="45"/>
      <c r="L663" s="21" t="str">
        <f t="shared" si="2"/>
        <v>Z</v>
      </c>
    </row>
    <row r="664">
      <c r="A664" s="12"/>
      <c r="B664" s="22"/>
      <c r="I664" s="45"/>
      <c r="L664" s="21" t="str">
        <f t="shared" si="2"/>
        <v>Z</v>
      </c>
    </row>
    <row r="665">
      <c r="A665" s="12"/>
      <c r="B665" s="22"/>
      <c r="I665" s="45"/>
      <c r="L665" s="21" t="str">
        <f t="shared" si="2"/>
        <v>Z</v>
      </c>
    </row>
    <row r="666">
      <c r="A666" s="12"/>
      <c r="B666" s="22"/>
      <c r="I666" s="45"/>
      <c r="L666" s="21" t="str">
        <f t="shared" si="2"/>
        <v>Z</v>
      </c>
    </row>
    <row r="667">
      <c r="A667" s="12"/>
      <c r="B667" s="22"/>
      <c r="I667" s="45"/>
      <c r="L667" s="21" t="str">
        <f t="shared" si="2"/>
        <v>Z</v>
      </c>
    </row>
    <row r="668">
      <c r="A668" s="12"/>
      <c r="B668" s="22"/>
      <c r="I668" s="45"/>
      <c r="L668" s="21" t="str">
        <f t="shared" si="2"/>
        <v>Z</v>
      </c>
    </row>
    <row r="669">
      <c r="A669" s="12"/>
      <c r="B669" s="22"/>
      <c r="I669" s="45"/>
      <c r="L669" s="21" t="str">
        <f t="shared" si="2"/>
        <v>Z</v>
      </c>
    </row>
    <row r="670">
      <c r="A670" s="12"/>
      <c r="B670" s="22"/>
      <c r="I670" s="45"/>
      <c r="L670" s="21" t="str">
        <f t="shared" si="2"/>
        <v>Z</v>
      </c>
    </row>
    <row r="671">
      <c r="A671" s="12"/>
      <c r="B671" s="22"/>
      <c r="I671" s="45"/>
      <c r="L671" s="21" t="str">
        <f t="shared" si="2"/>
        <v>Z</v>
      </c>
    </row>
    <row r="672">
      <c r="A672" s="12"/>
      <c r="B672" s="22"/>
      <c r="I672" s="45"/>
      <c r="L672" s="21" t="str">
        <f t="shared" si="2"/>
        <v>Z</v>
      </c>
    </row>
    <row r="673">
      <c r="A673" s="12"/>
      <c r="B673" s="22"/>
      <c r="I673" s="45"/>
      <c r="L673" s="21" t="str">
        <f t="shared" si="2"/>
        <v>Z</v>
      </c>
    </row>
    <row r="674">
      <c r="A674" s="12"/>
      <c r="B674" s="22"/>
      <c r="I674" s="45"/>
      <c r="L674" s="21" t="str">
        <f t="shared" si="2"/>
        <v>Z</v>
      </c>
    </row>
    <row r="675">
      <c r="A675" s="12"/>
      <c r="B675" s="22"/>
      <c r="I675" s="45"/>
      <c r="L675" s="21" t="str">
        <f t="shared" si="2"/>
        <v>Z</v>
      </c>
    </row>
    <row r="676">
      <c r="A676" s="12"/>
      <c r="B676" s="22"/>
      <c r="I676" s="45"/>
      <c r="L676" s="21" t="str">
        <f t="shared" si="2"/>
        <v>Z</v>
      </c>
    </row>
    <row r="677">
      <c r="A677" s="12"/>
      <c r="B677" s="22"/>
      <c r="I677" s="45"/>
      <c r="L677" s="21" t="str">
        <f t="shared" si="2"/>
        <v>Z</v>
      </c>
    </row>
    <row r="678">
      <c r="A678" s="12"/>
      <c r="B678" s="22"/>
      <c r="I678" s="45"/>
      <c r="L678" s="21" t="str">
        <f t="shared" si="2"/>
        <v>Z</v>
      </c>
    </row>
    <row r="679">
      <c r="A679" s="12"/>
      <c r="B679" s="22"/>
      <c r="I679" s="45"/>
      <c r="L679" s="21" t="str">
        <f t="shared" si="2"/>
        <v>Z</v>
      </c>
    </row>
    <row r="680">
      <c r="A680" s="12"/>
      <c r="B680" s="22"/>
      <c r="I680" s="45"/>
      <c r="L680" s="21" t="str">
        <f t="shared" si="2"/>
        <v>Z</v>
      </c>
    </row>
    <row r="681">
      <c r="A681" s="12"/>
      <c r="B681" s="22"/>
      <c r="I681" s="45"/>
      <c r="L681" s="21" t="str">
        <f t="shared" si="2"/>
        <v>Z</v>
      </c>
    </row>
    <row r="682">
      <c r="A682" s="12"/>
      <c r="B682" s="22"/>
      <c r="I682" s="45"/>
      <c r="L682" s="21" t="str">
        <f t="shared" si="2"/>
        <v>Z</v>
      </c>
    </row>
    <row r="683">
      <c r="A683" s="12"/>
      <c r="B683" s="22"/>
      <c r="I683" s="45"/>
      <c r="L683" s="21" t="str">
        <f t="shared" si="2"/>
        <v>Z</v>
      </c>
    </row>
    <row r="684">
      <c r="A684" s="12"/>
      <c r="B684" s="22"/>
      <c r="I684" s="45"/>
      <c r="L684" s="21" t="str">
        <f t="shared" si="2"/>
        <v>Z</v>
      </c>
    </row>
    <row r="685">
      <c r="A685" s="12"/>
      <c r="B685" s="22"/>
      <c r="I685" s="45"/>
      <c r="L685" s="21" t="str">
        <f t="shared" si="2"/>
        <v>Z</v>
      </c>
    </row>
    <row r="686">
      <c r="A686" s="12"/>
      <c r="B686" s="22"/>
      <c r="I686" s="45"/>
      <c r="L686" s="21" t="str">
        <f t="shared" si="2"/>
        <v>Z</v>
      </c>
    </row>
    <row r="687">
      <c r="A687" s="12"/>
      <c r="B687" s="22"/>
      <c r="I687" s="45"/>
      <c r="L687" s="21" t="str">
        <f t="shared" si="2"/>
        <v>Z</v>
      </c>
    </row>
    <row r="688">
      <c r="A688" s="12"/>
      <c r="B688" s="22"/>
      <c r="I688" s="45"/>
      <c r="L688" s="21" t="str">
        <f t="shared" si="2"/>
        <v>Z</v>
      </c>
    </row>
    <row r="689">
      <c r="A689" s="12"/>
      <c r="B689" s="22"/>
      <c r="I689" s="45"/>
      <c r="L689" s="21" t="str">
        <f t="shared" si="2"/>
        <v>Z</v>
      </c>
    </row>
    <row r="690">
      <c r="A690" s="12"/>
      <c r="B690" s="22"/>
      <c r="I690" s="45"/>
      <c r="L690" s="21" t="str">
        <f t="shared" si="2"/>
        <v>Z</v>
      </c>
    </row>
    <row r="691">
      <c r="A691" s="12"/>
      <c r="B691" s="22"/>
      <c r="I691" s="45"/>
      <c r="L691" s="21" t="str">
        <f t="shared" si="2"/>
        <v>Z</v>
      </c>
    </row>
    <row r="692">
      <c r="A692" s="12"/>
      <c r="B692" s="22"/>
      <c r="I692" s="45"/>
      <c r="L692" s="21" t="str">
        <f t="shared" si="2"/>
        <v>Z</v>
      </c>
    </row>
    <row r="693">
      <c r="A693" s="12"/>
      <c r="B693" s="22"/>
      <c r="I693" s="45"/>
      <c r="L693" s="21" t="str">
        <f t="shared" si="2"/>
        <v>Z</v>
      </c>
    </row>
    <row r="694">
      <c r="A694" s="12"/>
      <c r="B694" s="22"/>
      <c r="I694" s="45"/>
      <c r="L694" s="21" t="str">
        <f t="shared" si="2"/>
        <v>Z</v>
      </c>
    </row>
    <row r="695">
      <c r="A695" s="12"/>
      <c r="B695" s="22"/>
      <c r="I695" s="45"/>
      <c r="L695" s="21" t="str">
        <f t="shared" si="2"/>
        <v>Z</v>
      </c>
    </row>
    <row r="696">
      <c r="A696" s="12"/>
      <c r="B696" s="22"/>
      <c r="I696" s="45"/>
      <c r="L696" s="21" t="str">
        <f t="shared" si="2"/>
        <v>Z</v>
      </c>
    </row>
    <row r="697">
      <c r="A697" s="12"/>
      <c r="B697" s="22"/>
      <c r="I697" s="45"/>
      <c r="L697" s="21" t="str">
        <f t="shared" si="2"/>
        <v>Z</v>
      </c>
    </row>
    <row r="698">
      <c r="A698" s="12"/>
      <c r="B698" s="22"/>
      <c r="I698" s="45"/>
      <c r="L698" s="21" t="str">
        <f t="shared" si="2"/>
        <v>Z</v>
      </c>
    </row>
    <row r="699">
      <c r="A699" s="12"/>
      <c r="B699" s="22"/>
      <c r="I699" s="45"/>
      <c r="L699" s="21" t="str">
        <f t="shared" si="2"/>
        <v>Z</v>
      </c>
    </row>
    <row r="700">
      <c r="A700" s="12"/>
      <c r="B700" s="22"/>
      <c r="I700" s="45"/>
      <c r="L700" s="21" t="str">
        <f t="shared" si="2"/>
        <v>Z</v>
      </c>
    </row>
    <row r="701">
      <c r="A701" s="12"/>
      <c r="B701" s="22"/>
      <c r="I701" s="45"/>
      <c r="L701" s="21" t="str">
        <f t="shared" si="2"/>
        <v>Z</v>
      </c>
    </row>
    <row r="702">
      <c r="A702" s="12"/>
      <c r="B702" s="22"/>
      <c r="I702" s="45"/>
      <c r="L702" s="21" t="str">
        <f t="shared" si="2"/>
        <v>Z</v>
      </c>
    </row>
    <row r="703">
      <c r="A703" s="12"/>
      <c r="B703" s="22"/>
      <c r="I703" s="45"/>
      <c r="L703" s="21" t="str">
        <f t="shared" si="2"/>
        <v>Z</v>
      </c>
    </row>
    <row r="704">
      <c r="A704" s="12"/>
      <c r="B704" s="22"/>
      <c r="I704" s="45"/>
      <c r="L704" s="21" t="str">
        <f t="shared" si="2"/>
        <v>Z</v>
      </c>
    </row>
    <row r="705">
      <c r="A705" s="12"/>
      <c r="B705" s="22"/>
      <c r="I705" s="45"/>
      <c r="L705" s="21" t="str">
        <f t="shared" si="2"/>
        <v>Z</v>
      </c>
    </row>
    <row r="706">
      <c r="A706" s="12"/>
      <c r="B706" s="22"/>
      <c r="I706" s="45"/>
      <c r="L706" s="21" t="str">
        <f t="shared" si="2"/>
        <v>Z</v>
      </c>
    </row>
    <row r="707">
      <c r="A707" s="12"/>
      <c r="B707" s="22"/>
      <c r="I707" s="45"/>
      <c r="L707" s="21" t="str">
        <f t="shared" si="2"/>
        <v>Z</v>
      </c>
    </row>
    <row r="708">
      <c r="A708" s="12"/>
      <c r="B708" s="22"/>
      <c r="I708" s="45"/>
      <c r="L708" s="21" t="str">
        <f t="shared" si="2"/>
        <v>Z</v>
      </c>
    </row>
    <row r="709">
      <c r="A709" s="12"/>
      <c r="B709" s="22"/>
      <c r="I709" s="45"/>
      <c r="L709" s="21" t="str">
        <f t="shared" si="2"/>
        <v>Z</v>
      </c>
    </row>
    <row r="710">
      <c r="A710" s="12"/>
      <c r="B710" s="22"/>
      <c r="I710" s="45"/>
      <c r="L710" s="21" t="str">
        <f t="shared" si="2"/>
        <v>Z</v>
      </c>
    </row>
    <row r="711">
      <c r="A711" s="12"/>
      <c r="B711" s="22"/>
      <c r="I711" s="45"/>
      <c r="L711" s="21" t="str">
        <f t="shared" si="2"/>
        <v>Z</v>
      </c>
    </row>
    <row r="712">
      <c r="A712" s="12"/>
      <c r="B712" s="22"/>
      <c r="I712" s="45"/>
      <c r="L712" s="21" t="str">
        <f t="shared" si="2"/>
        <v>Z</v>
      </c>
    </row>
    <row r="713">
      <c r="A713" s="12"/>
      <c r="B713" s="22"/>
      <c r="I713" s="45"/>
      <c r="L713" s="21" t="str">
        <f t="shared" si="2"/>
        <v>Z</v>
      </c>
    </row>
    <row r="714">
      <c r="A714" s="12"/>
      <c r="B714" s="22"/>
      <c r="I714" s="45"/>
      <c r="L714" s="21" t="str">
        <f t="shared" si="2"/>
        <v>Z</v>
      </c>
    </row>
    <row r="715">
      <c r="A715" s="12"/>
      <c r="B715" s="22"/>
      <c r="I715" s="45"/>
      <c r="L715" s="21" t="str">
        <f t="shared" si="2"/>
        <v>Z</v>
      </c>
    </row>
    <row r="716">
      <c r="A716" s="12"/>
      <c r="B716" s="22"/>
      <c r="I716" s="45"/>
      <c r="L716" s="21" t="str">
        <f t="shared" si="2"/>
        <v>Z</v>
      </c>
    </row>
    <row r="717">
      <c r="A717" s="12"/>
      <c r="B717" s="22"/>
      <c r="I717" s="45"/>
      <c r="L717" s="21" t="str">
        <f t="shared" si="2"/>
        <v>Z</v>
      </c>
    </row>
    <row r="718">
      <c r="A718" s="12"/>
      <c r="B718" s="22"/>
      <c r="I718" s="45"/>
      <c r="L718" s="21" t="str">
        <f t="shared" si="2"/>
        <v>Z</v>
      </c>
    </row>
    <row r="719">
      <c r="A719" s="12"/>
      <c r="B719" s="22"/>
      <c r="I719" s="45"/>
      <c r="L719" s="21" t="str">
        <f t="shared" si="2"/>
        <v>Z</v>
      </c>
    </row>
    <row r="720">
      <c r="A720" s="12"/>
      <c r="B720" s="22"/>
      <c r="I720" s="45"/>
      <c r="L720" s="21" t="str">
        <f t="shared" si="2"/>
        <v>Z</v>
      </c>
    </row>
    <row r="721">
      <c r="A721" s="12"/>
      <c r="B721" s="22"/>
      <c r="I721" s="45"/>
      <c r="L721" s="21" t="str">
        <f t="shared" si="2"/>
        <v>Z</v>
      </c>
    </row>
    <row r="722">
      <c r="A722" s="12"/>
      <c r="B722" s="22"/>
      <c r="I722" s="45"/>
      <c r="L722" s="21" t="str">
        <f t="shared" si="2"/>
        <v>Z</v>
      </c>
    </row>
    <row r="723">
      <c r="A723" s="12"/>
      <c r="B723" s="22"/>
      <c r="I723" s="45"/>
      <c r="L723" s="21" t="str">
        <f t="shared" si="2"/>
        <v>Z</v>
      </c>
    </row>
    <row r="724">
      <c r="A724" s="12"/>
      <c r="B724" s="22"/>
      <c r="I724" s="45"/>
      <c r="L724" s="21" t="str">
        <f t="shared" si="2"/>
        <v>Z</v>
      </c>
    </row>
    <row r="725">
      <c r="A725" s="12"/>
      <c r="B725" s="22"/>
      <c r="I725" s="45"/>
      <c r="L725" s="21" t="str">
        <f t="shared" si="2"/>
        <v>Z</v>
      </c>
    </row>
    <row r="726">
      <c r="A726" s="12"/>
      <c r="B726" s="22"/>
      <c r="I726" s="45"/>
      <c r="L726" s="21" t="str">
        <f t="shared" si="2"/>
        <v>Z</v>
      </c>
    </row>
    <row r="727">
      <c r="A727" s="12"/>
      <c r="B727" s="22"/>
      <c r="I727" s="45"/>
      <c r="L727" s="21" t="str">
        <f t="shared" si="2"/>
        <v>Z</v>
      </c>
    </row>
    <row r="728">
      <c r="A728" s="12"/>
      <c r="B728" s="22"/>
      <c r="I728" s="45"/>
      <c r="L728" s="21" t="str">
        <f t="shared" si="2"/>
        <v>Z</v>
      </c>
    </row>
    <row r="729">
      <c r="A729" s="12"/>
      <c r="B729" s="22"/>
      <c r="I729" s="45"/>
      <c r="L729" s="21" t="str">
        <f t="shared" si="2"/>
        <v>Z</v>
      </c>
    </row>
    <row r="730">
      <c r="A730" s="12"/>
      <c r="B730" s="22"/>
      <c r="I730" s="45"/>
      <c r="L730" s="21" t="str">
        <f t="shared" si="2"/>
        <v>Z</v>
      </c>
    </row>
    <row r="731">
      <c r="A731" s="12"/>
      <c r="B731" s="22"/>
      <c r="I731" s="45"/>
      <c r="L731" s="21" t="str">
        <f t="shared" si="2"/>
        <v>Z</v>
      </c>
    </row>
    <row r="732">
      <c r="A732" s="12"/>
      <c r="B732" s="22"/>
      <c r="I732" s="45"/>
      <c r="L732" s="21" t="str">
        <f t="shared" si="2"/>
        <v>Z</v>
      </c>
    </row>
    <row r="733">
      <c r="A733" s="12"/>
      <c r="B733" s="22"/>
      <c r="I733" s="45"/>
      <c r="L733" s="21" t="str">
        <f t="shared" si="2"/>
        <v>Z</v>
      </c>
    </row>
    <row r="734">
      <c r="A734" s="12"/>
      <c r="B734" s="22"/>
      <c r="I734" s="45"/>
      <c r="L734" s="21" t="str">
        <f t="shared" si="2"/>
        <v>Z</v>
      </c>
    </row>
    <row r="735">
      <c r="A735" s="12"/>
      <c r="B735" s="22"/>
      <c r="I735" s="45"/>
      <c r="L735" s="21" t="str">
        <f t="shared" si="2"/>
        <v>Z</v>
      </c>
    </row>
    <row r="736">
      <c r="A736" s="12"/>
      <c r="B736" s="22"/>
      <c r="I736" s="45"/>
      <c r="L736" s="21" t="str">
        <f t="shared" si="2"/>
        <v>Z</v>
      </c>
    </row>
    <row r="737">
      <c r="A737" s="12"/>
      <c r="B737" s="22"/>
      <c r="I737" s="45"/>
      <c r="L737" s="21" t="str">
        <f t="shared" si="2"/>
        <v>Z</v>
      </c>
    </row>
    <row r="738">
      <c r="A738" s="12"/>
      <c r="B738" s="22"/>
      <c r="I738" s="45"/>
      <c r="L738" s="21" t="str">
        <f t="shared" si="2"/>
        <v>Z</v>
      </c>
    </row>
    <row r="739">
      <c r="A739" s="12"/>
      <c r="B739" s="22"/>
      <c r="I739" s="45"/>
      <c r="L739" s="21" t="str">
        <f t="shared" si="2"/>
        <v>Z</v>
      </c>
    </row>
    <row r="740">
      <c r="A740" s="12"/>
      <c r="B740" s="22"/>
      <c r="I740" s="45"/>
      <c r="L740" s="21" t="str">
        <f t="shared" si="2"/>
        <v>Z</v>
      </c>
    </row>
    <row r="741">
      <c r="A741" s="12"/>
      <c r="B741" s="22"/>
      <c r="I741" s="45"/>
      <c r="L741" s="21" t="str">
        <f t="shared" si="2"/>
        <v>Z</v>
      </c>
    </row>
    <row r="742">
      <c r="A742" s="12"/>
      <c r="B742" s="22"/>
      <c r="I742" s="45"/>
      <c r="L742" s="21" t="str">
        <f t="shared" si="2"/>
        <v>Z</v>
      </c>
    </row>
    <row r="743">
      <c r="A743" s="12"/>
      <c r="B743" s="22"/>
      <c r="I743" s="45"/>
      <c r="L743" s="21" t="str">
        <f t="shared" si="2"/>
        <v>Z</v>
      </c>
    </row>
    <row r="744">
      <c r="A744" s="12"/>
      <c r="B744" s="22"/>
      <c r="I744" s="45"/>
      <c r="L744" s="21" t="str">
        <f t="shared" si="2"/>
        <v>Z</v>
      </c>
    </row>
    <row r="745">
      <c r="A745" s="12"/>
      <c r="B745" s="22"/>
      <c r="I745" s="45"/>
      <c r="L745" s="21" t="str">
        <f t="shared" si="2"/>
        <v>Z</v>
      </c>
    </row>
    <row r="746">
      <c r="A746" s="12"/>
      <c r="B746" s="22"/>
      <c r="I746" s="45"/>
      <c r="L746" s="21" t="str">
        <f t="shared" si="2"/>
        <v>Z</v>
      </c>
    </row>
    <row r="747">
      <c r="A747" s="12"/>
      <c r="B747" s="22"/>
      <c r="I747" s="45"/>
      <c r="L747" s="21" t="str">
        <f t="shared" si="2"/>
        <v>Z</v>
      </c>
    </row>
    <row r="748">
      <c r="A748" s="12"/>
      <c r="B748" s="22"/>
      <c r="I748" s="45"/>
      <c r="L748" s="21" t="str">
        <f t="shared" si="2"/>
        <v>Z</v>
      </c>
    </row>
    <row r="749">
      <c r="A749" s="12"/>
      <c r="B749" s="22"/>
      <c r="I749" s="45"/>
      <c r="L749" s="21" t="str">
        <f t="shared" si="2"/>
        <v>Z</v>
      </c>
    </row>
    <row r="750">
      <c r="A750" s="12"/>
      <c r="B750" s="22"/>
      <c r="I750" s="45"/>
      <c r="L750" s="21" t="str">
        <f t="shared" si="2"/>
        <v>Z</v>
      </c>
    </row>
    <row r="751">
      <c r="A751" s="12"/>
      <c r="B751" s="22"/>
      <c r="I751" s="45"/>
      <c r="L751" s="21" t="str">
        <f t="shared" si="2"/>
        <v>Z</v>
      </c>
    </row>
    <row r="752">
      <c r="A752" s="12"/>
      <c r="B752" s="22"/>
      <c r="I752" s="45"/>
      <c r="L752" s="21" t="str">
        <f t="shared" si="2"/>
        <v>Z</v>
      </c>
    </row>
    <row r="753">
      <c r="A753" s="12"/>
      <c r="B753" s="22"/>
      <c r="I753" s="45"/>
      <c r="L753" s="21" t="str">
        <f t="shared" si="2"/>
        <v>Z</v>
      </c>
    </row>
    <row r="754">
      <c r="A754" s="12"/>
      <c r="B754" s="22"/>
      <c r="I754" s="45"/>
      <c r="L754" s="21" t="str">
        <f t="shared" si="2"/>
        <v>Z</v>
      </c>
    </row>
    <row r="755">
      <c r="A755" s="12"/>
      <c r="B755" s="22"/>
      <c r="I755" s="45"/>
      <c r="L755" s="21" t="str">
        <f t="shared" si="2"/>
        <v>Z</v>
      </c>
    </row>
    <row r="756">
      <c r="A756" s="12"/>
      <c r="B756" s="22"/>
      <c r="I756" s="45"/>
      <c r="L756" s="21" t="str">
        <f t="shared" si="2"/>
        <v>Z</v>
      </c>
    </row>
    <row r="757">
      <c r="A757" s="12"/>
      <c r="B757" s="22"/>
      <c r="I757" s="45"/>
      <c r="L757" s="21" t="str">
        <f t="shared" si="2"/>
        <v>Z</v>
      </c>
    </row>
    <row r="758">
      <c r="A758" s="12"/>
      <c r="B758" s="22"/>
      <c r="I758" s="45"/>
      <c r="L758" s="21" t="str">
        <f t="shared" si="2"/>
        <v>Z</v>
      </c>
    </row>
    <row r="759">
      <c r="A759" s="12"/>
      <c r="B759" s="22"/>
      <c r="I759" s="45"/>
      <c r="L759" s="21" t="str">
        <f t="shared" si="2"/>
        <v>Z</v>
      </c>
    </row>
    <row r="760">
      <c r="A760" s="12"/>
      <c r="B760" s="22"/>
      <c r="I760" s="45"/>
      <c r="L760" s="21" t="str">
        <f t="shared" si="2"/>
        <v>Z</v>
      </c>
    </row>
    <row r="761">
      <c r="A761" s="12"/>
      <c r="B761" s="22"/>
      <c r="I761" s="45"/>
      <c r="L761" s="21" t="str">
        <f t="shared" si="2"/>
        <v>Z</v>
      </c>
    </row>
    <row r="762">
      <c r="A762" s="12"/>
      <c r="B762" s="22"/>
      <c r="I762" s="45"/>
      <c r="L762" s="21" t="str">
        <f t="shared" si="2"/>
        <v>Z</v>
      </c>
    </row>
    <row r="763">
      <c r="A763" s="12"/>
      <c r="B763" s="22"/>
      <c r="I763" s="45"/>
      <c r="L763" s="21" t="str">
        <f t="shared" si="2"/>
        <v>Z</v>
      </c>
    </row>
    <row r="764">
      <c r="A764" s="12"/>
      <c r="B764" s="22"/>
      <c r="I764" s="45"/>
      <c r="L764" s="21" t="str">
        <f t="shared" si="2"/>
        <v>Z</v>
      </c>
    </row>
    <row r="765">
      <c r="A765" s="12"/>
      <c r="B765" s="22"/>
      <c r="I765" s="45"/>
      <c r="L765" s="21" t="str">
        <f t="shared" si="2"/>
        <v>Z</v>
      </c>
    </row>
    <row r="766">
      <c r="A766" s="12"/>
      <c r="B766" s="22"/>
      <c r="I766" s="45"/>
      <c r="L766" s="21" t="str">
        <f t="shared" si="2"/>
        <v>Z</v>
      </c>
    </row>
    <row r="767">
      <c r="A767" s="12"/>
      <c r="B767" s="22"/>
      <c r="I767" s="45"/>
      <c r="L767" s="21" t="str">
        <f t="shared" si="2"/>
        <v>Z</v>
      </c>
    </row>
    <row r="768">
      <c r="A768" s="12"/>
      <c r="B768" s="22"/>
      <c r="I768" s="45"/>
      <c r="L768" s="21" t="str">
        <f t="shared" si="2"/>
        <v>Z</v>
      </c>
    </row>
    <row r="769">
      <c r="A769" s="12"/>
      <c r="B769" s="22"/>
      <c r="I769" s="45"/>
      <c r="L769" s="21" t="str">
        <f t="shared" si="2"/>
        <v>Z</v>
      </c>
    </row>
    <row r="770">
      <c r="A770" s="12"/>
      <c r="B770" s="22"/>
      <c r="I770" s="45"/>
      <c r="L770" s="21" t="str">
        <f t="shared" si="2"/>
        <v>Z</v>
      </c>
    </row>
    <row r="771">
      <c r="A771" s="12"/>
      <c r="B771" s="22"/>
      <c r="I771" s="45"/>
      <c r="L771" s="21" t="str">
        <f t="shared" si="2"/>
        <v>Z</v>
      </c>
    </row>
    <row r="772">
      <c r="A772" s="12"/>
      <c r="B772" s="22"/>
      <c r="I772" s="45"/>
      <c r="L772" s="21" t="str">
        <f t="shared" si="2"/>
        <v>Z</v>
      </c>
    </row>
    <row r="773">
      <c r="A773" s="12"/>
      <c r="B773" s="22"/>
      <c r="I773" s="45"/>
      <c r="L773" s="21" t="str">
        <f t="shared" si="2"/>
        <v>Z</v>
      </c>
    </row>
    <row r="774">
      <c r="A774" s="12"/>
      <c r="B774" s="22"/>
      <c r="I774" s="45"/>
      <c r="L774" s="21" t="str">
        <f t="shared" si="2"/>
        <v>Z</v>
      </c>
    </row>
    <row r="775">
      <c r="A775" s="12"/>
      <c r="B775" s="22"/>
      <c r="I775" s="45"/>
      <c r="L775" s="21" t="str">
        <f t="shared" si="2"/>
        <v>Z</v>
      </c>
    </row>
    <row r="776">
      <c r="A776" s="12"/>
      <c r="B776" s="22"/>
      <c r="I776" s="45"/>
      <c r="L776" s="21" t="str">
        <f t="shared" si="2"/>
        <v>Z</v>
      </c>
    </row>
    <row r="777">
      <c r="A777" s="12"/>
      <c r="B777" s="22"/>
      <c r="I777" s="45"/>
      <c r="L777" s="21" t="str">
        <f t="shared" si="2"/>
        <v>Z</v>
      </c>
    </row>
    <row r="778">
      <c r="A778" s="12"/>
      <c r="B778" s="22"/>
      <c r="I778" s="45"/>
      <c r="L778" s="21" t="str">
        <f t="shared" si="2"/>
        <v>Z</v>
      </c>
    </row>
    <row r="779">
      <c r="A779" s="12"/>
      <c r="B779" s="22"/>
      <c r="I779" s="45"/>
      <c r="L779" s="21" t="str">
        <f t="shared" si="2"/>
        <v>Z</v>
      </c>
    </row>
    <row r="780">
      <c r="A780" s="12"/>
      <c r="B780" s="22"/>
      <c r="I780" s="45"/>
      <c r="L780" s="21" t="str">
        <f t="shared" si="2"/>
        <v>Z</v>
      </c>
    </row>
    <row r="781">
      <c r="A781" s="12"/>
      <c r="B781" s="22"/>
      <c r="I781" s="45"/>
      <c r="L781" s="21" t="str">
        <f t="shared" si="2"/>
        <v>Z</v>
      </c>
    </row>
    <row r="782">
      <c r="A782" s="12"/>
      <c r="B782" s="22"/>
      <c r="I782" s="45"/>
      <c r="L782" s="21" t="str">
        <f t="shared" si="2"/>
        <v>Z</v>
      </c>
    </row>
    <row r="783">
      <c r="A783" s="12"/>
      <c r="B783" s="22"/>
      <c r="I783" s="45"/>
      <c r="L783" s="21" t="str">
        <f t="shared" si="2"/>
        <v>Z</v>
      </c>
    </row>
    <row r="784">
      <c r="A784" s="12"/>
      <c r="B784" s="22"/>
      <c r="I784" s="45"/>
      <c r="L784" s="21" t="str">
        <f t="shared" si="2"/>
        <v>Z</v>
      </c>
    </row>
    <row r="785">
      <c r="A785" s="12"/>
      <c r="B785" s="22"/>
      <c r="I785" s="45"/>
      <c r="L785" s="21" t="str">
        <f t="shared" si="2"/>
        <v>Z</v>
      </c>
    </row>
    <row r="786">
      <c r="A786" s="12"/>
      <c r="B786" s="22"/>
      <c r="I786" s="45"/>
      <c r="L786" s="21" t="str">
        <f t="shared" si="2"/>
        <v>Z</v>
      </c>
    </row>
    <row r="787">
      <c r="A787" s="12"/>
      <c r="B787" s="22"/>
      <c r="I787" s="45"/>
      <c r="L787" s="21" t="str">
        <f t="shared" si="2"/>
        <v>Z</v>
      </c>
    </row>
    <row r="788">
      <c r="A788" s="12"/>
      <c r="B788" s="22"/>
      <c r="I788" s="45"/>
      <c r="L788" s="21" t="str">
        <f t="shared" si="2"/>
        <v>Z</v>
      </c>
    </row>
    <row r="789">
      <c r="A789" s="12"/>
      <c r="B789" s="22"/>
      <c r="I789" s="45"/>
      <c r="L789" s="21" t="str">
        <f t="shared" si="2"/>
        <v>Z</v>
      </c>
    </row>
    <row r="790">
      <c r="A790" s="12"/>
      <c r="B790" s="22"/>
      <c r="I790" s="45"/>
      <c r="L790" s="21" t="str">
        <f t="shared" si="2"/>
        <v>Z</v>
      </c>
    </row>
    <row r="791">
      <c r="A791" s="12"/>
      <c r="B791" s="22"/>
      <c r="I791" s="45"/>
      <c r="L791" s="21" t="str">
        <f t="shared" si="2"/>
        <v>Z</v>
      </c>
    </row>
    <row r="792">
      <c r="A792" s="12"/>
      <c r="B792" s="22"/>
      <c r="I792" s="45"/>
      <c r="L792" s="21" t="str">
        <f t="shared" si="2"/>
        <v>Z</v>
      </c>
    </row>
    <row r="793">
      <c r="A793" s="12"/>
      <c r="B793" s="22"/>
      <c r="I793" s="45"/>
      <c r="L793" s="21" t="str">
        <f t="shared" si="2"/>
        <v>Z</v>
      </c>
    </row>
    <row r="794">
      <c r="A794" s="12"/>
      <c r="B794" s="22"/>
      <c r="I794" s="45"/>
      <c r="L794" s="21" t="str">
        <f t="shared" si="2"/>
        <v>Z</v>
      </c>
    </row>
    <row r="795">
      <c r="A795" s="12"/>
      <c r="B795" s="22"/>
      <c r="I795" s="45"/>
      <c r="L795" s="21" t="str">
        <f t="shared" si="2"/>
        <v>Z</v>
      </c>
    </row>
    <row r="796">
      <c r="A796" s="12"/>
      <c r="B796" s="22"/>
      <c r="I796" s="45"/>
      <c r="L796" s="21" t="str">
        <f t="shared" si="2"/>
        <v>Z</v>
      </c>
    </row>
    <row r="797">
      <c r="A797" s="12"/>
      <c r="B797" s="22"/>
      <c r="I797" s="45"/>
      <c r="L797" s="21" t="str">
        <f t="shared" si="2"/>
        <v>Z</v>
      </c>
    </row>
    <row r="798">
      <c r="A798" s="12"/>
      <c r="B798" s="22"/>
      <c r="I798" s="45"/>
      <c r="L798" s="21" t="str">
        <f t="shared" si="2"/>
        <v>Z</v>
      </c>
    </row>
    <row r="799">
      <c r="A799" s="12"/>
      <c r="B799" s="22"/>
      <c r="I799" s="45"/>
      <c r="L799" s="21" t="str">
        <f t="shared" si="2"/>
        <v>Z</v>
      </c>
    </row>
    <row r="800">
      <c r="A800" s="12"/>
      <c r="B800" s="22"/>
      <c r="I800" s="45"/>
      <c r="L800" s="21" t="str">
        <f t="shared" si="2"/>
        <v>Z</v>
      </c>
    </row>
    <row r="801">
      <c r="A801" s="12"/>
      <c r="B801" s="22"/>
      <c r="I801" s="45"/>
      <c r="L801" s="21" t="str">
        <f t="shared" si="2"/>
        <v>Z</v>
      </c>
    </row>
    <row r="802">
      <c r="A802" s="12"/>
      <c r="B802" s="22"/>
      <c r="I802" s="45"/>
      <c r="L802" s="21" t="str">
        <f t="shared" si="2"/>
        <v>Z</v>
      </c>
    </row>
    <row r="803">
      <c r="A803" s="12"/>
      <c r="B803" s="22"/>
      <c r="I803" s="45"/>
      <c r="L803" s="21" t="str">
        <f t="shared" si="2"/>
        <v>Z</v>
      </c>
    </row>
    <row r="804">
      <c r="A804" s="12"/>
      <c r="B804" s="22"/>
      <c r="I804" s="45"/>
      <c r="L804" s="21" t="str">
        <f t="shared" si="2"/>
        <v>Z</v>
      </c>
    </row>
    <row r="805">
      <c r="A805" s="12"/>
      <c r="B805" s="22"/>
      <c r="I805" s="45"/>
      <c r="L805" s="21" t="str">
        <f t="shared" si="2"/>
        <v>Z</v>
      </c>
    </row>
    <row r="806">
      <c r="A806" s="12"/>
      <c r="B806" s="22"/>
      <c r="I806" s="45"/>
      <c r="L806" s="21" t="str">
        <f t="shared" si="2"/>
        <v>Z</v>
      </c>
    </row>
    <row r="807">
      <c r="A807" s="12"/>
      <c r="B807" s="22"/>
      <c r="I807" s="45"/>
      <c r="L807" s="21" t="str">
        <f t="shared" si="2"/>
        <v>Z</v>
      </c>
    </row>
    <row r="808">
      <c r="A808" s="12"/>
      <c r="B808" s="22"/>
      <c r="I808" s="45"/>
      <c r="L808" s="21" t="str">
        <f t="shared" si="2"/>
        <v>Z</v>
      </c>
    </row>
    <row r="809">
      <c r="A809" s="12"/>
      <c r="B809" s="22"/>
      <c r="I809" s="45"/>
      <c r="L809" s="21" t="str">
        <f t="shared" si="2"/>
        <v>Z</v>
      </c>
    </row>
    <row r="810">
      <c r="A810" s="12"/>
      <c r="B810" s="22"/>
      <c r="I810" s="45"/>
      <c r="L810" s="21" t="str">
        <f t="shared" si="2"/>
        <v>Z</v>
      </c>
    </row>
    <row r="811">
      <c r="A811" s="12"/>
      <c r="B811" s="22"/>
      <c r="I811" s="45"/>
      <c r="L811" s="21" t="str">
        <f t="shared" si="2"/>
        <v>Z</v>
      </c>
    </row>
    <row r="812">
      <c r="A812" s="12"/>
      <c r="B812" s="22"/>
      <c r="I812" s="45"/>
      <c r="L812" s="21" t="str">
        <f t="shared" si="2"/>
        <v>Z</v>
      </c>
    </row>
    <row r="813">
      <c r="A813" s="12"/>
      <c r="B813" s="22"/>
      <c r="I813" s="45"/>
      <c r="L813" s="21" t="str">
        <f t="shared" si="2"/>
        <v>Z</v>
      </c>
    </row>
    <row r="814">
      <c r="A814" s="12"/>
      <c r="B814" s="22"/>
      <c r="I814" s="45"/>
      <c r="L814" s="21" t="str">
        <f t="shared" si="2"/>
        <v>Z</v>
      </c>
    </row>
    <row r="815">
      <c r="A815" s="12"/>
      <c r="B815" s="22"/>
      <c r="I815" s="45"/>
      <c r="L815" s="21" t="str">
        <f t="shared" si="2"/>
        <v>Z</v>
      </c>
    </row>
    <row r="816">
      <c r="A816" s="12"/>
      <c r="B816" s="22"/>
      <c r="I816" s="45"/>
      <c r="L816" s="21" t="str">
        <f t="shared" si="2"/>
        <v>Z</v>
      </c>
    </row>
    <row r="817">
      <c r="A817" s="12"/>
      <c r="B817" s="22"/>
      <c r="I817" s="45"/>
      <c r="L817" s="21" t="str">
        <f t="shared" si="2"/>
        <v>Z</v>
      </c>
    </row>
    <row r="818">
      <c r="A818" s="12"/>
      <c r="B818" s="22"/>
      <c r="I818" s="45"/>
      <c r="L818" s="21" t="str">
        <f t="shared" si="2"/>
        <v>Z</v>
      </c>
    </row>
    <row r="819">
      <c r="A819" s="12"/>
      <c r="B819" s="22"/>
      <c r="I819" s="45"/>
      <c r="L819" s="21" t="str">
        <f t="shared" si="2"/>
        <v>Z</v>
      </c>
    </row>
    <row r="820">
      <c r="A820" s="12"/>
      <c r="B820" s="22"/>
      <c r="I820" s="45"/>
      <c r="L820" s="21" t="str">
        <f t="shared" si="2"/>
        <v>Z</v>
      </c>
    </row>
    <row r="821">
      <c r="A821" s="12"/>
      <c r="B821" s="22"/>
      <c r="I821" s="45"/>
      <c r="L821" s="21" t="str">
        <f t="shared" si="2"/>
        <v>Z</v>
      </c>
    </row>
    <row r="822">
      <c r="A822" s="12"/>
      <c r="B822" s="22"/>
      <c r="I822" s="45"/>
      <c r="L822" s="21" t="str">
        <f t="shared" si="2"/>
        <v>Z</v>
      </c>
    </row>
    <row r="823">
      <c r="A823" s="12"/>
      <c r="B823" s="22"/>
      <c r="I823" s="45"/>
      <c r="L823" s="21" t="str">
        <f t="shared" si="2"/>
        <v>Z</v>
      </c>
    </row>
    <row r="824">
      <c r="A824" s="12"/>
      <c r="B824" s="22"/>
      <c r="I824" s="45"/>
      <c r="L824" s="21" t="str">
        <f t="shared" si="2"/>
        <v>Z</v>
      </c>
    </row>
    <row r="825">
      <c r="A825" s="12"/>
      <c r="B825" s="22"/>
      <c r="I825" s="45"/>
      <c r="L825" s="21" t="str">
        <f t="shared" si="2"/>
        <v>Z</v>
      </c>
    </row>
    <row r="826">
      <c r="A826" s="12"/>
      <c r="B826" s="22"/>
      <c r="I826" s="45"/>
      <c r="L826" s="21" t="str">
        <f t="shared" si="2"/>
        <v>Z</v>
      </c>
    </row>
    <row r="827">
      <c r="A827" s="12"/>
      <c r="B827" s="22"/>
      <c r="I827" s="45"/>
      <c r="L827" s="21" t="str">
        <f t="shared" si="2"/>
        <v>Z</v>
      </c>
    </row>
    <row r="828">
      <c r="A828" s="12"/>
      <c r="B828" s="22"/>
      <c r="I828" s="45"/>
      <c r="L828" s="21" t="str">
        <f t="shared" si="2"/>
        <v>Z</v>
      </c>
    </row>
    <row r="829">
      <c r="A829" s="12"/>
      <c r="B829" s="22"/>
      <c r="I829" s="45"/>
      <c r="L829" s="21" t="str">
        <f t="shared" si="2"/>
        <v>Z</v>
      </c>
    </row>
    <row r="830">
      <c r="A830" s="12"/>
      <c r="B830" s="22"/>
      <c r="I830" s="45"/>
      <c r="L830" s="21" t="str">
        <f t="shared" si="2"/>
        <v>Z</v>
      </c>
    </row>
    <row r="831">
      <c r="A831" s="12"/>
      <c r="B831" s="22"/>
      <c r="I831" s="45"/>
      <c r="L831" s="21" t="str">
        <f t="shared" si="2"/>
        <v>Z</v>
      </c>
    </row>
    <row r="832">
      <c r="A832" s="12"/>
      <c r="B832" s="22"/>
      <c r="I832" s="45"/>
      <c r="L832" s="21" t="str">
        <f t="shared" si="2"/>
        <v>Z</v>
      </c>
    </row>
    <row r="833">
      <c r="A833" s="12"/>
      <c r="B833" s="22"/>
      <c r="I833" s="45"/>
      <c r="L833" s="21" t="str">
        <f t="shared" si="2"/>
        <v>Z</v>
      </c>
    </row>
    <row r="834">
      <c r="A834" s="12"/>
      <c r="B834" s="22"/>
      <c r="I834" s="45"/>
      <c r="L834" s="21" t="str">
        <f t="shared" si="2"/>
        <v>Z</v>
      </c>
    </row>
    <row r="835">
      <c r="A835" s="12"/>
      <c r="B835" s="22"/>
      <c r="I835" s="45"/>
      <c r="L835" s="21" t="str">
        <f t="shared" si="2"/>
        <v>Z</v>
      </c>
    </row>
    <row r="836">
      <c r="A836" s="12"/>
      <c r="B836" s="22"/>
      <c r="I836" s="45"/>
      <c r="L836" s="21" t="str">
        <f t="shared" si="2"/>
        <v>Z</v>
      </c>
    </row>
    <row r="837">
      <c r="A837" s="12"/>
      <c r="B837" s="22"/>
      <c r="I837" s="45"/>
      <c r="L837" s="21" t="str">
        <f t="shared" si="2"/>
        <v>Z</v>
      </c>
    </row>
    <row r="838">
      <c r="A838" s="12"/>
      <c r="B838" s="22"/>
      <c r="I838" s="45"/>
      <c r="L838" s="21" t="str">
        <f t="shared" si="2"/>
        <v>Z</v>
      </c>
    </row>
    <row r="839">
      <c r="A839" s="12"/>
      <c r="B839" s="22"/>
      <c r="I839" s="45"/>
      <c r="L839" s="21" t="str">
        <f t="shared" si="2"/>
        <v>Z</v>
      </c>
    </row>
    <row r="840">
      <c r="A840" s="12"/>
      <c r="B840" s="22"/>
      <c r="I840" s="45"/>
      <c r="L840" s="21" t="str">
        <f t="shared" si="2"/>
        <v>Z</v>
      </c>
    </row>
    <row r="841">
      <c r="A841" s="12"/>
      <c r="B841" s="22"/>
      <c r="I841" s="45"/>
      <c r="L841" s="21" t="str">
        <f t="shared" si="2"/>
        <v>Z</v>
      </c>
    </row>
    <row r="842">
      <c r="A842" s="12"/>
      <c r="B842" s="22"/>
      <c r="I842" s="45"/>
      <c r="L842" s="21" t="str">
        <f t="shared" si="2"/>
        <v>Z</v>
      </c>
    </row>
    <row r="843">
      <c r="A843" s="12"/>
      <c r="B843" s="22"/>
      <c r="I843" s="45"/>
      <c r="L843" s="21" t="str">
        <f t="shared" si="2"/>
        <v>Z</v>
      </c>
    </row>
    <row r="844">
      <c r="A844" s="12"/>
      <c r="B844" s="22"/>
      <c r="I844" s="45"/>
      <c r="L844" s="21" t="str">
        <f t="shared" si="2"/>
        <v>Z</v>
      </c>
    </row>
    <row r="845">
      <c r="A845" s="12"/>
      <c r="B845" s="22"/>
      <c r="I845" s="45"/>
      <c r="L845" s="21" t="str">
        <f t="shared" si="2"/>
        <v>Z</v>
      </c>
    </row>
    <row r="846">
      <c r="A846" s="12"/>
      <c r="B846" s="22"/>
      <c r="I846" s="45"/>
      <c r="L846" s="21" t="str">
        <f t="shared" si="2"/>
        <v>Z</v>
      </c>
    </row>
    <row r="847">
      <c r="A847" s="12"/>
      <c r="B847" s="22"/>
      <c r="I847" s="45"/>
      <c r="L847" s="21" t="str">
        <f t="shared" si="2"/>
        <v>Z</v>
      </c>
    </row>
    <row r="848">
      <c r="A848" s="12"/>
      <c r="B848" s="22"/>
      <c r="I848" s="45"/>
      <c r="L848" s="21" t="str">
        <f t="shared" si="2"/>
        <v>Z</v>
      </c>
    </row>
    <row r="849">
      <c r="A849" s="12"/>
      <c r="B849" s="22"/>
      <c r="I849" s="45"/>
      <c r="L849" s="21" t="str">
        <f t="shared" si="2"/>
        <v>Z</v>
      </c>
    </row>
    <row r="850">
      <c r="A850" s="12"/>
      <c r="B850" s="22"/>
      <c r="I850" s="45"/>
      <c r="L850" s="21" t="str">
        <f t="shared" si="2"/>
        <v>Z</v>
      </c>
    </row>
    <row r="851">
      <c r="A851" s="12"/>
      <c r="B851" s="22"/>
      <c r="I851" s="45"/>
      <c r="L851" s="21" t="str">
        <f t="shared" si="2"/>
        <v>Z</v>
      </c>
    </row>
    <row r="852">
      <c r="A852" s="12"/>
      <c r="B852" s="22"/>
      <c r="I852" s="45"/>
      <c r="L852" s="21" t="str">
        <f t="shared" si="2"/>
        <v>Z</v>
      </c>
    </row>
    <row r="853">
      <c r="A853" s="12"/>
      <c r="B853" s="22"/>
      <c r="I853" s="45"/>
      <c r="L853" s="21" t="str">
        <f t="shared" si="2"/>
        <v>Z</v>
      </c>
    </row>
    <row r="854">
      <c r="A854" s="12"/>
      <c r="B854" s="22"/>
      <c r="I854" s="45"/>
      <c r="L854" s="21" t="str">
        <f t="shared" si="2"/>
        <v>Z</v>
      </c>
    </row>
    <row r="855">
      <c r="A855" s="12"/>
      <c r="B855" s="22"/>
      <c r="I855" s="45"/>
      <c r="L855" s="21" t="str">
        <f t="shared" si="2"/>
        <v>Z</v>
      </c>
    </row>
    <row r="856">
      <c r="A856" s="12"/>
      <c r="B856" s="22"/>
      <c r="I856" s="45"/>
      <c r="L856" s="21" t="str">
        <f t="shared" si="2"/>
        <v>Z</v>
      </c>
    </row>
    <row r="857">
      <c r="A857" s="12"/>
      <c r="B857" s="22"/>
      <c r="I857" s="45"/>
      <c r="L857" s="21" t="str">
        <f t="shared" si="2"/>
        <v>Z</v>
      </c>
    </row>
    <row r="858">
      <c r="A858" s="12"/>
      <c r="B858" s="22"/>
      <c r="I858" s="45"/>
      <c r="L858" s="21" t="str">
        <f t="shared" si="2"/>
        <v>Z</v>
      </c>
    </row>
    <row r="859">
      <c r="A859" s="12"/>
      <c r="B859" s="22"/>
      <c r="I859" s="45"/>
      <c r="L859" s="21" t="str">
        <f t="shared" si="2"/>
        <v>Z</v>
      </c>
    </row>
    <row r="860">
      <c r="A860" s="12"/>
      <c r="B860" s="22"/>
      <c r="I860" s="45"/>
      <c r="L860" s="21" t="str">
        <f t="shared" si="2"/>
        <v>Z</v>
      </c>
    </row>
    <row r="861">
      <c r="A861" s="12"/>
      <c r="B861" s="22"/>
      <c r="I861" s="45"/>
      <c r="L861" s="21" t="str">
        <f t="shared" si="2"/>
        <v>Z</v>
      </c>
    </row>
    <row r="862">
      <c r="A862" s="12"/>
      <c r="B862" s="22"/>
      <c r="I862" s="45"/>
      <c r="L862" s="21" t="str">
        <f t="shared" si="2"/>
        <v>Z</v>
      </c>
    </row>
    <row r="863">
      <c r="A863" s="12"/>
      <c r="B863" s="22"/>
      <c r="I863" s="45"/>
      <c r="L863" s="21" t="str">
        <f t="shared" si="2"/>
        <v>Z</v>
      </c>
    </row>
    <row r="864">
      <c r="A864" s="12"/>
      <c r="B864" s="22"/>
      <c r="I864" s="45"/>
      <c r="L864" s="21" t="str">
        <f t="shared" si="2"/>
        <v>Z</v>
      </c>
    </row>
    <row r="865">
      <c r="A865" s="12"/>
      <c r="B865" s="22"/>
      <c r="I865" s="45"/>
      <c r="L865" s="21" t="str">
        <f t="shared" si="2"/>
        <v>Z</v>
      </c>
    </row>
    <row r="866">
      <c r="A866" s="12"/>
      <c r="B866" s="22"/>
      <c r="I866" s="45"/>
      <c r="L866" s="21" t="str">
        <f t="shared" si="2"/>
        <v>Z</v>
      </c>
    </row>
    <row r="867">
      <c r="A867" s="12"/>
      <c r="B867" s="22"/>
      <c r="I867" s="45"/>
      <c r="L867" s="21" t="str">
        <f t="shared" si="2"/>
        <v>Z</v>
      </c>
    </row>
    <row r="868">
      <c r="A868" s="12"/>
      <c r="B868" s="22"/>
      <c r="I868" s="45"/>
      <c r="L868" s="21" t="str">
        <f t="shared" si="2"/>
        <v>Z</v>
      </c>
    </row>
    <row r="869">
      <c r="A869" s="12"/>
      <c r="B869" s="22"/>
      <c r="I869" s="45"/>
      <c r="L869" s="21" t="str">
        <f t="shared" si="2"/>
        <v>Z</v>
      </c>
    </row>
    <row r="870">
      <c r="A870" s="12"/>
      <c r="B870" s="22"/>
      <c r="I870" s="45"/>
      <c r="L870" s="21" t="str">
        <f t="shared" si="2"/>
        <v>Z</v>
      </c>
    </row>
    <row r="871">
      <c r="A871" s="12"/>
      <c r="B871" s="22"/>
      <c r="I871" s="45"/>
      <c r="L871" s="21" t="str">
        <f t="shared" si="2"/>
        <v>Z</v>
      </c>
    </row>
    <row r="872">
      <c r="A872" s="12"/>
      <c r="B872" s="22"/>
      <c r="I872" s="45"/>
      <c r="L872" s="21" t="str">
        <f t="shared" si="2"/>
        <v>Z</v>
      </c>
    </row>
    <row r="873">
      <c r="A873" s="12"/>
      <c r="B873" s="22"/>
      <c r="I873" s="45"/>
      <c r="L873" s="21" t="str">
        <f t="shared" si="2"/>
        <v>Z</v>
      </c>
    </row>
    <row r="874">
      <c r="A874" s="12"/>
      <c r="B874" s="22"/>
      <c r="I874" s="45"/>
      <c r="L874" s="21" t="str">
        <f t="shared" si="2"/>
        <v>Z</v>
      </c>
    </row>
    <row r="875">
      <c r="A875" s="12"/>
      <c r="B875" s="22"/>
      <c r="I875" s="45"/>
      <c r="L875" s="21" t="str">
        <f t="shared" si="2"/>
        <v>Z</v>
      </c>
    </row>
    <row r="876">
      <c r="A876" s="12"/>
      <c r="B876" s="22"/>
      <c r="I876" s="45"/>
      <c r="L876" s="21" t="str">
        <f t="shared" si="2"/>
        <v>Z</v>
      </c>
    </row>
    <row r="877">
      <c r="A877" s="12"/>
      <c r="B877" s="22"/>
      <c r="I877" s="45"/>
      <c r="L877" s="21" t="str">
        <f t="shared" si="2"/>
        <v>Z</v>
      </c>
    </row>
    <row r="878">
      <c r="A878" s="12"/>
      <c r="B878" s="22"/>
      <c r="I878" s="45"/>
      <c r="L878" s="21" t="str">
        <f t="shared" si="2"/>
        <v>Z</v>
      </c>
    </row>
    <row r="879">
      <c r="A879" s="12"/>
      <c r="B879" s="22"/>
      <c r="I879" s="45"/>
      <c r="L879" s="21" t="str">
        <f t="shared" si="2"/>
        <v>Z</v>
      </c>
    </row>
    <row r="880">
      <c r="A880" s="12"/>
      <c r="B880" s="22"/>
      <c r="I880" s="45"/>
      <c r="L880" s="21" t="str">
        <f t="shared" si="2"/>
        <v>Z</v>
      </c>
    </row>
    <row r="881">
      <c r="A881" s="12"/>
      <c r="B881" s="22"/>
      <c r="I881" s="45"/>
      <c r="L881" s="21" t="str">
        <f t="shared" si="2"/>
        <v>Z</v>
      </c>
    </row>
    <row r="882">
      <c r="A882" s="12"/>
      <c r="B882" s="22"/>
      <c r="I882" s="45"/>
      <c r="L882" s="21" t="str">
        <f t="shared" si="2"/>
        <v>Z</v>
      </c>
    </row>
    <row r="883">
      <c r="A883" s="12"/>
      <c r="B883" s="22"/>
      <c r="I883" s="45"/>
      <c r="L883" s="21" t="str">
        <f t="shared" si="2"/>
        <v>Z</v>
      </c>
    </row>
    <row r="884">
      <c r="A884" s="12"/>
      <c r="B884" s="22"/>
      <c r="I884" s="45"/>
      <c r="L884" s="21" t="str">
        <f t="shared" si="2"/>
        <v>Z</v>
      </c>
    </row>
    <row r="885">
      <c r="A885" s="12"/>
      <c r="B885" s="22"/>
      <c r="I885" s="45"/>
      <c r="L885" s="21" t="str">
        <f t="shared" si="2"/>
        <v>Z</v>
      </c>
    </row>
    <row r="886">
      <c r="A886" s="12"/>
      <c r="B886" s="22"/>
      <c r="I886" s="45"/>
      <c r="L886" s="21" t="str">
        <f t="shared" si="2"/>
        <v>Z</v>
      </c>
    </row>
    <row r="887">
      <c r="A887" s="12"/>
      <c r="B887" s="22"/>
      <c r="I887" s="45"/>
      <c r="L887" s="21" t="str">
        <f t="shared" si="2"/>
        <v>Z</v>
      </c>
    </row>
    <row r="888">
      <c r="A888" s="12"/>
      <c r="B888" s="22"/>
      <c r="I888" s="45"/>
      <c r="L888" s="21" t="str">
        <f t="shared" si="2"/>
        <v>Z</v>
      </c>
    </row>
    <row r="889">
      <c r="A889" s="12"/>
      <c r="B889" s="22"/>
      <c r="I889" s="45"/>
      <c r="L889" s="21" t="str">
        <f t="shared" si="2"/>
        <v>Z</v>
      </c>
    </row>
    <row r="890">
      <c r="A890" s="12"/>
      <c r="B890" s="22"/>
      <c r="I890" s="45"/>
      <c r="L890" s="21" t="str">
        <f t="shared" si="2"/>
        <v>Z</v>
      </c>
    </row>
    <row r="891">
      <c r="A891" s="12"/>
      <c r="B891" s="22"/>
      <c r="I891" s="45"/>
      <c r="L891" s="21" t="str">
        <f t="shared" si="2"/>
        <v>Z</v>
      </c>
    </row>
    <row r="892">
      <c r="A892" s="12"/>
      <c r="B892" s="22"/>
      <c r="I892" s="45"/>
      <c r="L892" s="21" t="str">
        <f t="shared" si="2"/>
        <v>Z</v>
      </c>
    </row>
    <row r="893">
      <c r="A893" s="12"/>
      <c r="B893" s="22"/>
      <c r="I893" s="45"/>
      <c r="L893" s="21" t="str">
        <f t="shared" si="2"/>
        <v>Z</v>
      </c>
    </row>
    <row r="894">
      <c r="A894" s="12"/>
      <c r="B894" s="22"/>
      <c r="I894" s="45"/>
      <c r="L894" s="21" t="str">
        <f t="shared" si="2"/>
        <v>Z</v>
      </c>
    </row>
    <row r="895">
      <c r="A895" s="12"/>
      <c r="B895" s="22"/>
      <c r="I895" s="45"/>
      <c r="L895" s="21" t="str">
        <f t="shared" si="2"/>
        <v>Z</v>
      </c>
    </row>
    <row r="896">
      <c r="A896" s="12"/>
      <c r="B896" s="22"/>
      <c r="I896" s="45"/>
      <c r="L896" s="21" t="str">
        <f t="shared" si="2"/>
        <v>Z</v>
      </c>
    </row>
    <row r="897">
      <c r="A897" s="12"/>
      <c r="B897" s="22"/>
      <c r="I897" s="45"/>
      <c r="L897" s="21" t="str">
        <f t="shared" si="2"/>
        <v>Z</v>
      </c>
    </row>
    <row r="898">
      <c r="A898" s="12"/>
      <c r="B898" s="22"/>
      <c r="I898" s="45"/>
      <c r="L898" s="21" t="str">
        <f t="shared" si="2"/>
        <v>Z</v>
      </c>
    </row>
    <row r="899">
      <c r="A899" s="12"/>
      <c r="B899" s="22"/>
      <c r="I899" s="45"/>
      <c r="L899" s="21" t="str">
        <f t="shared" si="2"/>
        <v>Z</v>
      </c>
    </row>
    <row r="900">
      <c r="A900" s="12"/>
      <c r="B900" s="22"/>
      <c r="I900" s="45"/>
      <c r="L900" s="21" t="str">
        <f t="shared" si="2"/>
        <v>Z</v>
      </c>
    </row>
    <row r="901">
      <c r="A901" s="12"/>
      <c r="B901" s="22"/>
      <c r="I901" s="45"/>
      <c r="L901" s="21" t="str">
        <f t="shared" si="2"/>
        <v>Z</v>
      </c>
    </row>
    <row r="902">
      <c r="A902" s="12"/>
      <c r="B902" s="22"/>
      <c r="I902" s="45"/>
      <c r="L902" s="21" t="str">
        <f t="shared" si="2"/>
        <v>Z</v>
      </c>
    </row>
    <row r="903">
      <c r="A903" s="12"/>
      <c r="B903" s="22"/>
      <c r="I903" s="45"/>
      <c r="L903" s="21" t="str">
        <f t="shared" si="2"/>
        <v>Z</v>
      </c>
    </row>
    <row r="904">
      <c r="A904" s="12"/>
      <c r="B904" s="22"/>
      <c r="I904" s="45"/>
      <c r="L904" s="21" t="str">
        <f t="shared" si="2"/>
        <v>Z</v>
      </c>
    </row>
    <row r="905">
      <c r="A905" s="12"/>
      <c r="B905" s="22"/>
      <c r="I905" s="45"/>
      <c r="L905" s="21" t="str">
        <f t="shared" si="2"/>
        <v>Z</v>
      </c>
    </row>
    <row r="906">
      <c r="A906" s="12"/>
      <c r="B906" s="22"/>
      <c r="I906" s="45"/>
      <c r="L906" s="21" t="str">
        <f t="shared" si="2"/>
        <v>Z</v>
      </c>
    </row>
    <row r="907">
      <c r="A907" s="12"/>
      <c r="B907" s="22"/>
      <c r="I907" s="45"/>
      <c r="L907" s="21" t="str">
        <f t="shared" si="2"/>
        <v>Z</v>
      </c>
    </row>
    <row r="908">
      <c r="A908" s="12"/>
      <c r="B908" s="22"/>
      <c r="I908" s="45"/>
      <c r="L908" s="21" t="str">
        <f t="shared" si="2"/>
        <v>Z</v>
      </c>
    </row>
    <row r="909">
      <c r="A909" s="12"/>
      <c r="B909" s="22"/>
      <c r="I909" s="45"/>
      <c r="L909" s="21" t="str">
        <f t="shared" si="2"/>
        <v>Z</v>
      </c>
    </row>
    <row r="910">
      <c r="A910" s="12"/>
      <c r="B910" s="22"/>
      <c r="I910" s="45"/>
      <c r="L910" s="21" t="str">
        <f t="shared" si="2"/>
        <v>Z</v>
      </c>
    </row>
    <row r="911">
      <c r="A911" s="12"/>
      <c r="B911" s="22"/>
      <c r="I911" s="45"/>
      <c r="L911" s="21" t="str">
        <f t="shared" si="2"/>
        <v>Z</v>
      </c>
    </row>
    <row r="912">
      <c r="A912" s="12"/>
      <c r="B912" s="22"/>
      <c r="I912" s="45"/>
      <c r="L912" s="21" t="str">
        <f t="shared" si="2"/>
        <v>Z</v>
      </c>
    </row>
    <row r="913">
      <c r="A913" s="12"/>
      <c r="B913" s="22"/>
      <c r="I913" s="45"/>
      <c r="L913" s="21" t="str">
        <f t="shared" si="2"/>
        <v>Z</v>
      </c>
    </row>
    <row r="914">
      <c r="A914" s="12"/>
      <c r="B914" s="22"/>
      <c r="I914" s="45"/>
      <c r="L914" s="21" t="str">
        <f t="shared" si="2"/>
        <v>Z</v>
      </c>
    </row>
    <row r="915">
      <c r="A915" s="12"/>
      <c r="B915" s="22"/>
      <c r="I915" s="45"/>
      <c r="L915" s="21" t="str">
        <f t="shared" si="2"/>
        <v>Z</v>
      </c>
    </row>
    <row r="916">
      <c r="A916" s="12"/>
      <c r="B916" s="22"/>
      <c r="I916" s="45"/>
      <c r="L916" s="21" t="str">
        <f t="shared" si="2"/>
        <v>Z</v>
      </c>
    </row>
    <row r="917">
      <c r="A917" s="12"/>
      <c r="B917" s="22"/>
      <c r="I917" s="45"/>
      <c r="L917" s="21" t="str">
        <f t="shared" si="2"/>
        <v>Z</v>
      </c>
    </row>
    <row r="918">
      <c r="A918" s="12"/>
      <c r="B918" s="22"/>
      <c r="I918" s="45"/>
      <c r="L918" s="21" t="str">
        <f t="shared" si="2"/>
        <v>Z</v>
      </c>
    </row>
    <row r="919">
      <c r="A919" s="12"/>
      <c r="B919" s="22"/>
      <c r="I919" s="45"/>
      <c r="L919" s="21" t="str">
        <f t="shared" si="2"/>
        <v>Z</v>
      </c>
    </row>
    <row r="920">
      <c r="A920" s="12"/>
      <c r="B920" s="22"/>
      <c r="I920" s="45"/>
      <c r="L920" s="21" t="str">
        <f t="shared" si="2"/>
        <v>Z</v>
      </c>
    </row>
    <row r="921">
      <c r="A921" s="12"/>
      <c r="B921" s="22"/>
      <c r="I921" s="45"/>
      <c r="L921" s="21" t="str">
        <f t="shared" si="2"/>
        <v>Z</v>
      </c>
    </row>
    <row r="922">
      <c r="A922" s="12"/>
      <c r="B922" s="22"/>
      <c r="I922" s="45"/>
      <c r="L922" s="21" t="str">
        <f t="shared" si="2"/>
        <v>Z</v>
      </c>
    </row>
    <row r="923">
      <c r="A923" s="12"/>
      <c r="B923" s="22"/>
      <c r="I923" s="45"/>
      <c r="L923" s="21" t="str">
        <f t="shared" si="2"/>
        <v>Z</v>
      </c>
    </row>
    <row r="924">
      <c r="A924" s="12"/>
      <c r="B924" s="22"/>
      <c r="I924" s="45"/>
      <c r="L924" s="21" t="str">
        <f t="shared" si="2"/>
        <v>Z</v>
      </c>
    </row>
    <row r="925">
      <c r="A925" s="12"/>
      <c r="B925" s="22"/>
      <c r="I925" s="45"/>
      <c r="L925" s="21" t="str">
        <f t="shared" si="2"/>
        <v>Z</v>
      </c>
    </row>
    <row r="926">
      <c r="A926" s="12"/>
      <c r="B926" s="22"/>
      <c r="I926" s="45"/>
      <c r="L926" s="21" t="str">
        <f t="shared" si="2"/>
        <v>Z</v>
      </c>
    </row>
    <row r="927">
      <c r="A927" s="12"/>
      <c r="B927" s="22"/>
      <c r="I927" s="45"/>
      <c r="L927" s="21" t="str">
        <f t="shared" si="2"/>
        <v>Z</v>
      </c>
    </row>
    <row r="928">
      <c r="A928" s="12"/>
      <c r="B928" s="22"/>
      <c r="I928" s="45"/>
      <c r="L928" s="21" t="str">
        <f t="shared" si="2"/>
        <v>Z</v>
      </c>
    </row>
    <row r="929">
      <c r="A929" s="12"/>
      <c r="B929" s="22"/>
      <c r="I929" s="45"/>
      <c r="L929" s="21" t="str">
        <f t="shared" si="2"/>
        <v>Z</v>
      </c>
    </row>
    <row r="930">
      <c r="A930" s="12"/>
      <c r="B930" s="22"/>
      <c r="I930" s="45"/>
      <c r="L930" s="21" t="str">
        <f t="shared" si="2"/>
        <v>Z</v>
      </c>
    </row>
    <row r="931">
      <c r="A931" s="12"/>
      <c r="B931" s="22"/>
      <c r="I931" s="45"/>
      <c r="L931" s="21" t="str">
        <f t="shared" si="2"/>
        <v>Z</v>
      </c>
    </row>
    <row r="932">
      <c r="A932" s="12"/>
      <c r="B932" s="22"/>
      <c r="I932" s="45"/>
      <c r="L932" s="21" t="str">
        <f t="shared" si="2"/>
        <v>Z</v>
      </c>
    </row>
    <row r="933">
      <c r="A933" s="12"/>
      <c r="B933" s="22"/>
      <c r="I933" s="45"/>
      <c r="L933" s="21" t="str">
        <f t="shared" si="2"/>
        <v>Z</v>
      </c>
    </row>
    <row r="934">
      <c r="A934" s="12"/>
      <c r="B934" s="22"/>
      <c r="I934" s="45"/>
      <c r="L934" s="21" t="str">
        <f t="shared" si="2"/>
        <v>Z</v>
      </c>
    </row>
    <row r="935">
      <c r="A935" s="12"/>
      <c r="B935" s="22"/>
      <c r="I935" s="45"/>
      <c r="L935" s="21" t="str">
        <f t="shared" si="2"/>
        <v>Z</v>
      </c>
    </row>
    <row r="936">
      <c r="A936" s="12"/>
      <c r="B936" s="22"/>
      <c r="I936" s="45"/>
      <c r="L936" s="21" t="str">
        <f t="shared" si="2"/>
        <v>Z</v>
      </c>
    </row>
    <row r="937">
      <c r="A937" s="12"/>
      <c r="B937" s="22"/>
      <c r="I937" s="45"/>
      <c r="L937" s="21" t="str">
        <f t="shared" si="2"/>
        <v>Z</v>
      </c>
    </row>
    <row r="938">
      <c r="A938" s="12"/>
      <c r="B938" s="22"/>
      <c r="I938" s="45"/>
      <c r="L938" s="21" t="str">
        <f t="shared" si="2"/>
        <v>Z</v>
      </c>
    </row>
    <row r="939">
      <c r="A939" s="12"/>
      <c r="B939" s="22"/>
      <c r="I939" s="45"/>
      <c r="L939" s="21" t="str">
        <f t="shared" si="2"/>
        <v>Z</v>
      </c>
    </row>
    <row r="940">
      <c r="A940" s="12"/>
      <c r="B940" s="22"/>
      <c r="I940" s="45"/>
      <c r="L940" s="21" t="str">
        <f t="shared" si="2"/>
        <v>Z</v>
      </c>
    </row>
    <row r="941">
      <c r="A941" s="12"/>
      <c r="B941" s="22"/>
      <c r="I941" s="45"/>
      <c r="L941" s="21" t="str">
        <f t="shared" si="2"/>
        <v>Z</v>
      </c>
    </row>
    <row r="942">
      <c r="A942" s="12"/>
      <c r="B942" s="22"/>
      <c r="I942" s="45"/>
      <c r="L942" s="21" t="str">
        <f t="shared" si="2"/>
        <v>Z</v>
      </c>
    </row>
    <row r="943">
      <c r="A943" s="12"/>
      <c r="B943" s="22"/>
      <c r="I943" s="45"/>
      <c r="L943" s="21" t="str">
        <f t="shared" si="2"/>
        <v>Z</v>
      </c>
    </row>
    <row r="944">
      <c r="A944" s="12"/>
      <c r="B944" s="22"/>
      <c r="I944" s="45"/>
      <c r="L944" s="21" t="str">
        <f t="shared" si="2"/>
        <v>Z</v>
      </c>
    </row>
    <row r="945">
      <c r="A945" s="12"/>
      <c r="B945" s="22"/>
      <c r="I945" s="45"/>
      <c r="L945" s="21" t="str">
        <f t="shared" si="2"/>
        <v>Z</v>
      </c>
    </row>
    <row r="946">
      <c r="A946" s="12"/>
      <c r="B946" s="22"/>
      <c r="I946" s="45"/>
      <c r="L946" s="21" t="str">
        <f t="shared" si="2"/>
        <v>Z</v>
      </c>
    </row>
    <row r="947">
      <c r="A947" s="12"/>
      <c r="B947" s="22"/>
      <c r="I947" s="45"/>
      <c r="L947" s="21" t="str">
        <f t="shared" si="2"/>
        <v>Z</v>
      </c>
    </row>
    <row r="948">
      <c r="A948" s="12"/>
      <c r="B948" s="22"/>
      <c r="I948" s="45"/>
      <c r="L948" s="21" t="str">
        <f t="shared" si="2"/>
        <v>Z</v>
      </c>
    </row>
    <row r="949">
      <c r="A949" s="12"/>
      <c r="B949" s="22"/>
      <c r="I949" s="45"/>
      <c r="L949" s="21" t="str">
        <f t="shared" si="2"/>
        <v>Z</v>
      </c>
    </row>
    <row r="950">
      <c r="A950" s="12"/>
      <c r="B950" s="22"/>
      <c r="I950" s="45"/>
      <c r="L950" s="21" t="str">
        <f t="shared" si="2"/>
        <v>Z</v>
      </c>
    </row>
    <row r="951">
      <c r="A951" s="12"/>
      <c r="B951" s="22"/>
      <c r="I951" s="45"/>
      <c r="L951" s="21" t="str">
        <f t="shared" si="2"/>
        <v>Z</v>
      </c>
    </row>
    <row r="952">
      <c r="A952" s="12"/>
      <c r="B952" s="22"/>
      <c r="I952" s="45"/>
      <c r="L952" s="21" t="str">
        <f t="shared" si="2"/>
        <v>Z</v>
      </c>
    </row>
    <row r="953">
      <c r="A953" s="12"/>
      <c r="B953" s="22"/>
      <c r="I953" s="45"/>
      <c r="L953" s="21" t="str">
        <f t="shared" si="2"/>
        <v>Z</v>
      </c>
    </row>
    <row r="954">
      <c r="A954" s="12"/>
      <c r="B954" s="22"/>
      <c r="I954" s="45"/>
      <c r="L954" s="21" t="str">
        <f t="shared" si="2"/>
        <v>Z</v>
      </c>
    </row>
    <row r="955">
      <c r="A955" s="12"/>
      <c r="B955" s="22"/>
      <c r="I955" s="45"/>
      <c r="L955" s="21" t="str">
        <f t="shared" si="2"/>
        <v>Z</v>
      </c>
    </row>
    <row r="956">
      <c r="A956" s="12"/>
      <c r="B956" s="22"/>
      <c r="I956" s="45"/>
      <c r="L956" s="21" t="str">
        <f t="shared" si="2"/>
        <v>Z</v>
      </c>
    </row>
    <row r="957">
      <c r="A957" s="12"/>
      <c r="B957" s="22"/>
      <c r="I957" s="45"/>
      <c r="L957" s="21" t="str">
        <f t="shared" si="2"/>
        <v>Z</v>
      </c>
    </row>
    <row r="958">
      <c r="A958" s="12"/>
      <c r="B958" s="22"/>
      <c r="I958" s="45"/>
      <c r="L958" s="21" t="str">
        <f t="shared" si="2"/>
        <v>Z</v>
      </c>
    </row>
    <row r="959">
      <c r="A959" s="12"/>
      <c r="B959" s="22"/>
      <c r="I959" s="45"/>
      <c r="L959" s="21" t="str">
        <f t="shared" si="2"/>
        <v>Z</v>
      </c>
    </row>
    <row r="960">
      <c r="A960" s="12"/>
      <c r="B960" s="22"/>
      <c r="I960" s="45"/>
      <c r="L960" s="21" t="str">
        <f t="shared" si="2"/>
        <v>Z</v>
      </c>
    </row>
    <row r="961">
      <c r="A961" s="12"/>
      <c r="B961" s="22"/>
      <c r="I961" s="45"/>
      <c r="L961" s="21" t="str">
        <f t="shared" si="2"/>
        <v>Z</v>
      </c>
    </row>
    <row r="962">
      <c r="A962" s="12"/>
      <c r="B962" s="22"/>
      <c r="I962" s="45"/>
      <c r="L962" s="21" t="str">
        <f t="shared" si="2"/>
        <v>Z</v>
      </c>
    </row>
    <row r="963">
      <c r="A963" s="12"/>
      <c r="B963" s="22"/>
      <c r="I963" s="45"/>
      <c r="L963" s="21" t="str">
        <f t="shared" si="2"/>
        <v>Z</v>
      </c>
    </row>
    <row r="964">
      <c r="A964" s="12"/>
      <c r="B964" s="22"/>
      <c r="I964" s="45"/>
      <c r="L964" s="21" t="str">
        <f t="shared" si="2"/>
        <v>Z</v>
      </c>
    </row>
    <row r="965">
      <c r="A965" s="12"/>
      <c r="B965" s="22"/>
      <c r="I965" s="45"/>
      <c r="L965" s="21" t="str">
        <f t="shared" si="2"/>
        <v>Z</v>
      </c>
    </row>
    <row r="966">
      <c r="A966" s="12"/>
      <c r="B966" s="22"/>
      <c r="I966" s="45"/>
      <c r="L966" s="21" t="str">
        <f t="shared" si="2"/>
        <v>Z</v>
      </c>
    </row>
    <row r="967">
      <c r="A967" s="12"/>
      <c r="B967" s="22"/>
      <c r="I967" s="45"/>
      <c r="L967" s="21" t="str">
        <f t="shared" si="2"/>
        <v>Z</v>
      </c>
    </row>
    <row r="968">
      <c r="A968" s="12"/>
      <c r="B968" s="22"/>
      <c r="I968" s="45"/>
      <c r="L968" s="21" t="str">
        <f t="shared" si="2"/>
        <v>Z</v>
      </c>
    </row>
    <row r="969">
      <c r="A969" s="12"/>
      <c r="B969" s="22"/>
      <c r="I969" s="45"/>
      <c r="L969" s="21" t="str">
        <f t="shared" si="2"/>
        <v>Z</v>
      </c>
    </row>
    <row r="970">
      <c r="A970" s="12"/>
      <c r="B970" s="22"/>
      <c r="I970" s="45"/>
      <c r="L970" s="21" t="str">
        <f t="shared" si="2"/>
        <v>Z</v>
      </c>
    </row>
    <row r="971">
      <c r="A971" s="12"/>
      <c r="B971" s="22"/>
      <c r="I971" s="45"/>
      <c r="L971" s="21" t="str">
        <f t="shared" si="2"/>
        <v>Z</v>
      </c>
    </row>
    <row r="972">
      <c r="A972" s="12"/>
      <c r="B972" s="22"/>
      <c r="I972" s="45"/>
      <c r="L972" s="21" t="str">
        <f t="shared" si="2"/>
        <v>Z</v>
      </c>
    </row>
    <row r="973">
      <c r="A973" s="12"/>
      <c r="B973" s="22"/>
      <c r="I973" s="45"/>
      <c r="L973" s="21" t="str">
        <f t="shared" si="2"/>
        <v>Z</v>
      </c>
    </row>
    <row r="974">
      <c r="A974" s="12"/>
      <c r="B974" s="22"/>
      <c r="I974" s="45"/>
      <c r="L974" s="21" t="str">
        <f t="shared" si="2"/>
        <v>Z</v>
      </c>
    </row>
    <row r="975">
      <c r="A975" s="12"/>
      <c r="B975" s="22"/>
      <c r="I975" s="45"/>
      <c r="L975" s="21" t="str">
        <f t="shared" si="2"/>
        <v>Z</v>
      </c>
    </row>
    <row r="976">
      <c r="A976" s="12"/>
      <c r="B976" s="22"/>
      <c r="I976" s="45"/>
      <c r="L976" s="21" t="str">
        <f t="shared" si="2"/>
        <v>Z</v>
      </c>
    </row>
    <row r="977">
      <c r="A977" s="12"/>
      <c r="B977" s="22"/>
      <c r="I977" s="45"/>
      <c r="L977" s="21" t="str">
        <f t="shared" si="2"/>
        <v>Z</v>
      </c>
    </row>
    <row r="978">
      <c r="A978" s="12"/>
      <c r="B978" s="22"/>
      <c r="I978" s="45"/>
      <c r="L978" s="21" t="str">
        <f t="shared" si="2"/>
        <v>Z</v>
      </c>
    </row>
    <row r="979">
      <c r="A979" s="12"/>
      <c r="B979" s="22"/>
      <c r="I979" s="45"/>
      <c r="L979" s="21" t="str">
        <f t="shared" si="2"/>
        <v>Z</v>
      </c>
    </row>
    <row r="980">
      <c r="A980" s="12"/>
      <c r="B980" s="22"/>
      <c r="I980" s="45"/>
      <c r="L980" s="21" t="str">
        <f t="shared" si="2"/>
        <v>Z</v>
      </c>
    </row>
    <row r="981">
      <c r="A981" s="12"/>
      <c r="B981" s="22"/>
      <c r="I981" s="45"/>
      <c r="L981" s="21" t="str">
        <f t="shared" si="2"/>
        <v>Z</v>
      </c>
    </row>
    <row r="982">
      <c r="A982" s="12"/>
      <c r="B982" s="22"/>
      <c r="I982" s="45"/>
      <c r="L982" s="21" t="str">
        <f t="shared" si="2"/>
        <v>Z</v>
      </c>
    </row>
    <row r="983">
      <c r="A983" s="12"/>
      <c r="B983" s="22"/>
      <c r="I983" s="45"/>
      <c r="L983" s="21" t="str">
        <f t="shared" si="2"/>
        <v>Z</v>
      </c>
    </row>
    <row r="984">
      <c r="A984" s="12"/>
      <c r="B984" s="22"/>
      <c r="I984" s="45"/>
      <c r="L984" s="21" t="str">
        <f t="shared" si="2"/>
        <v>Z</v>
      </c>
    </row>
    <row r="985">
      <c r="A985" s="12"/>
      <c r="B985" s="22"/>
      <c r="I985" s="45"/>
      <c r="L985" s="21" t="str">
        <f t="shared" si="2"/>
        <v>Z</v>
      </c>
    </row>
    <row r="986">
      <c r="A986" s="12"/>
      <c r="B986" s="22"/>
      <c r="I986" s="45"/>
      <c r="L986" s="21" t="str">
        <f t="shared" si="2"/>
        <v>Z</v>
      </c>
    </row>
    <row r="987">
      <c r="A987" s="12"/>
      <c r="B987" s="22"/>
      <c r="I987" s="45"/>
      <c r="L987" s="21" t="str">
        <f t="shared" si="2"/>
        <v>Z</v>
      </c>
    </row>
    <row r="988">
      <c r="A988" s="12"/>
      <c r="B988" s="22"/>
      <c r="I988" s="45"/>
      <c r="L988" s="21" t="str">
        <f t="shared" si="2"/>
        <v>Z</v>
      </c>
    </row>
    <row r="989">
      <c r="A989" s="12"/>
      <c r="B989" s="22"/>
      <c r="I989" s="45"/>
      <c r="L989" s="21" t="str">
        <f t="shared" si="2"/>
        <v>Z</v>
      </c>
    </row>
    <row r="990">
      <c r="A990" s="12"/>
      <c r="B990" s="22"/>
      <c r="I990" s="45"/>
      <c r="L990" s="21" t="str">
        <f t="shared" si="2"/>
        <v>Z</v>
      </c>
    </row>
    <row r="991">
      <c r="A991" s="12"/>
      <c r="B991" s="22"/>
      <c r="I991" s="45"/>
      <c r="L991" s="21" t="str">
        <f t="shared" si="2"/>
        <v>Z</v>
      </c>
    </row>
    <row r="992">
      <c r="A992" s="12"/>
      <c r="B992" s="22"/>
      <c r="I992" s="45"/>
      <c r="L992" s="21" t="str">
        <f t="shared" si="2"/>
        <v>Z</v>
      </c>
    </row>
    <row r="993">
      <c r="A993" s="12"/>
      <c r="B993" s="22"/>
      <c r="I993" s="45"/>
      <c r="L993" s="21" t="str">
        <f t="shared" si="2"/>
        <v>Z</v>
      </c>
    </row>
    <row r="994">
      <c r="A994" s="12"/>
      <c r="B994" s="22"/>
      <c r="I994" s="45"/>
      <c r="L994" s="21" t="str">
        <f t="shared" si="2"/>
        <v>Z</v>
      </c>
    </row>
    <row r="995">
      <c r="A995" s="12"/>
      <c r="B995" s="22"/>
      <c r="I995" s="45"/>
      <c r="L995" s="21" t="str">
        <f t="shared" si="2"/>
        <v>Z</v>
      </c>
    </row>
    <row r="996">
      <c r="A996" s="12"/>
      <c r="B996" s="22"/>
      <c r="I996" s="45"/>
      <c r="L996" s="21" t="str">
        <f t="shared" si="2"/>
        <v>Z</v>
      </c>
    </row>
    <row r="997">
      <c r="A997" s="12"/>
      <c r="B997" s="22"/>
      <c r="I997" s="45"/>
      <c r="L997" s="21" t="str">
        <f t="shared" si="2"/>
        <v>Z</v>
      </c>
    </row>
    <row r="998">
      <c r="A998" s="12"/>
      <c r="B998" s="22"/>
      <c r="I998" s="45"/>
      <c r="L998" s="21" t="str">
        <f t="shared" si="2"/>
        <v>Z</v>
      </c>
    </row>
    <row r="999">
      <c r="A999" s="12"/>
      <c r="B999" s="22"/>
      <c r="I999" s="45"/>
      <c r="L999" s="21" t="str">
        <f t="shared" si="2"/>
        <v>Z</v>
      </c>
    </row>
    <row r="1000">
      <c r="A1000" s="12"/>
      <c r="B1000" s="22"/>
      <c r="I1000" s="45"/>
      <c r="L1000" s="21" t="str">
        <f t="shared" si="2"/>
        <v>Z</v>
      </c>
    </row>
    <row r="1001">
      <c r="A1001" s="12"/>
      <c r="B1001" s="22"/>
      <c r="I1001" s="45"/>
      <c r="L1001" s="21" t="str">
        <f t="shared" si="2"/>
        <v>Z</v>
      </c>
    </row>
    <row r="1002">
      <c r="A1002" s="12"/>
      <c r="B1002" s="22"/>
      <c r="I1002" s="45"/>
      <c r="L1002" s="21" t="str">
        <f t="shared" si="2"/>
        <v>Z</v>
      </c>
    </row>
    <row r="1003">
      <c r="A1003" s="12"/>
      <c r="B1003" s="22"/>
      <c r="I1003" s="45"/>
      <c r="L1003" s="21" t="str">
        <f t="shared" si="2"/>
        <v>Z</v>
      </c>
    </row>
    <row r="1004">
      <c r="A1004" s="12"/>
      <c r="B1004" s="22"/>
      <c r="I1004" s="45"/>
      <c r="L1004" s="21" t="str">
        <f t="shared" si="2"/>
        <v>Z</v>
      </c>
    </row>
  </sheetData>
  <autoFilter ref="$A$1:$Y$1004">
    <sortState ref="A1:Y1004">
      <sortCondition ref="N1:N1004"/>
    </sortState>
  </autoFilter>
  <conditionalFormatting sqref="A2:A1004 B2">
    <cfRule type="expression" dxfId="0" priority="1">
      <formula>(#REF!="已退租")</formula>
    </cfRule>
  </conditionalFormatting>
  <conditionalFormatting sqref="A2:A1004 B2 C48:F82 C85:C92 D87:F92">
    <cfRule type="expression" dxfId="0" priority="2">
      <formula>($G2="已退租")</formula>
    </cfRule>
  </conditionalFormatting>
  <conditionalFormatting sqref="C45:D47">
    <cfRule type="expression" dxfId="0" priority="3">
      <formula>($G45="已退租")</formula>
    </cfRule>
  </conditionalFormatting>
  <conditionalFormatting sqref="C39:D44">
    <cfRule type="expression" dxfId="0" priority="4">
      <formula>($G39="已退租")</formula>
    </cfRule>
  </conditionalFormatting>
  <conditionalFormatting sqref="C32:D38">
    <cfRule type="expression" dxfId="0" priority="5">
      <formula>($G32="已退租")</formula>
    </cfRule>
  </conditionalFormatting>
  <conditionalFormatting sqref="C26:D31 C84">
    <cfRule type="expression" dxfId="0" priority="6">
      <formula>($G26="已退租")</formula>
    </cfRule>
  </conditionalFormatting>
  <conditionalFormatting sqref="C22:D25">
    <cfRule type="expression" dxfId="0" priority="7">
      <formula>($G22="已退租")</formula>
    </cfRule>
  </conditionalFormatting>
  <conditionalFormatting sqref="C17:D21">
    <cfRule type="expression" dxfId="0" priority="8">
      <formula>($G17="已退租")</formula>
    </cfRule>
  </conditionalFormatting>
  <conditionalFormatting sqref="C13:D16">
    <cfRule type="expression" dxfId="0" priority="9">
      <formula>($G13="已退租")</formula>
    </cfRule>
  </conditionalFormatting>
  <conditionalFormatting sqref="C12:D12">
    <cfRule type="expression" dxfId="0" priority="10">
      <formula>($G12="已退租")</formula>
    </cfRule>
  </conditionalFormatting>
  <conditionalFormatting sqref="C10:D11">
    <cfRule type="expression" dxfId="0" priority="11">
      <formula>($G10="已退租")</formula>
    </cfRule>
  </conditionalFormatting>
  <conditionalFormatting sqref="C9:D9">
    <cfRule type="expression" dxfId="0" priority="12">
      <formula>($G9="已退租")</formula>
    </cfRule>
  </conditionalFormatting>
  <conditionalFormatting sqref="C7:D8">
    <cfRule type="expression" dxfId="0" priority="13">
      <formula>($G7="已退租")</formula>
    </cfRule>
  </conditionalFormatting>
  <conditionalFormatting sqref="C6:D6">
    <cfRule type="expression" dxfId="0" priority="14">
      <formula>($G6="已退租")</formula>
    </cfRule>
  </conditionalFormatting>
  <conditionalFormatting sqref="C5:D5 C83 D83:D86">
    <cfRule type="expression" dxfId="0" priority="15">
      <formula>($G5="已退租")</formula>
    </cfRule>
  </conditionalFormatting>
  <conditionalFormatting sqref="C4:D4">
    <cfRule type="expression" dxfId="0" priority="16">
      <formula>($G4="已退租")</formula>
    </cfRule>
  </conditionalFormatting>
  <conditionalFormatting sqref="C2:D3">
    <cfRule type="expression" dxfId="0" priority="17">
      <formula>($G2="已退租")</formula>
    </cfRule>
  </conditionalFormatting>
  <conditionalFormatting sqref="I2:I1004 O2:O91">
    <cfRule type="containsText" dxfId="1" priority="18" operator="containsText" text="空房招租中">
      <formula>NOT(ISERROR(SEARCH(("空房招租中"),(I2))))</formula>
    </cfRule>
  </conditionalFormatting>
  <conditionalFormatting sqref="I2:I1004 O2:O91">
    <cfRule type="cellIs" dxfId="1" priority="19" operator="notEqual">
      <formula>"入住中"</formula>
    </cfRule>
  </conditionalFormatting>
  <conditionalFormatting sqref="B2:B1004">
    <cfRule type="expression" dxfId="2" priority="20">
      <formula>AND(B2&lt;&gt;"", COUNTIF($B$2:$B1004, B2) &gt; 1)</formula>
    </cfRule>
  </conditionalFormatting>
  <dataValidations>
    <dataValidation type="list" allowBlank="1" showErrorMessage="1" sqref="F2:F92">
      <formula1>"頂加,無"</formula1>
    </dataValidation>
    <dataValidation type="list" allowBlank="1" showErrorMessage="1" sqref="C2:C92">
      <formula1>big_rental_contract!$F$2:$F$50</formula1>
    </dataValidation>
    <dataValidation type="list" allowBlank="1" showErrorMessage="1" sqref="D2:D92">
      <formula1>"A,B,C,D,E,F,G,兩房"</formula1>
    </dataValidation>
    <dataValidation type="list" allowBlank="1" showErrorMessage="1" sqref="E2:E92">
      <formula1>'Custom分類'!$H$2:$H$10</formula1>
    </dataValidation>
  </dataValidations>
  <hyperlinks>
    <hyperlink r:id="rId4" ref="K7"/>
    <hyperlink r:id="rId5" ref="K13"/>
    <hyperlink r:id="rId6" ref="K14"/>
    <hyperlink r:id="rId7" ref="K15"/>
    <hyperlink r:id="rId8" ref="K17"/>
    <hyperlink r:id="rId9" ref="K18"/>
    <hyperlink r:id="rId10" ref="K19"/>
    <hyperlink r:id="rId11" ref="K20"/>
    <hyperlink r:id="rId12" ref="K21"/>
    <hyperlink r:id="rId13" ref="K22"/>
    <hyperlink r:id="rId14" ref="K26"/>
    <hyperlink r:id="rId15" ref="K27"/>
    <hyperlink r:id="rId16" ref="K28"/>
    <hyperlink r:id="rId17" ref="K29"/>
    <hyperlink r:id="rId18" ref="K33"/>
    <hyperlink r:id="rId19" ref="K34"/>
    <hyperlink r:id="rId20" ref="K36"/>
    <hyperlink r:id="rId21" ref="K37"/>
    <hyperlink r:id="rId22" ref="K40"/>
    <hyperlink r:id="rId23" ref="K41"/>
    <hyperlink r:id="rId24" ref="K43"/>
    <hyperlink r:id="rId25" ref="K44"/>
    <hyperlink r:id="rId26" ref="K45"/>
    <hyperlink r:id="rId27" ref="K46"/>
    <hyperlink r:id="rId28" ref="K47"/>
    <hyperlink r:id="rId29" ref="K48"/>
    <hyperlink r:id="rId30" ref="K49"/>
    <hyperlink r:id="rId31" ref="K51"/>
    <hyperlink r:id="rId32" ref="K52"/>
    <hyperlink r:id="rId33" ref="K53"/>
    <hyperlink r:id="rId34" ref="K54"/>
    <hyperlink r:id="rId35" ref="K55"/>
    <hyperlink r:id="rId36" ref="K56"/>
    <hyperlink r:id="rId37" ref="K57"/>
    <hyperlink r:id="rId38" ref="K58"/>
    <hyperlink r:id="rId39" ref="K59"/>
    <hyperlink r:id="rId40" ref="K60"/>
    <hyperlink r:id="rId41" ref="K61"/>
    <hyperlink r:id="rId42" ref="K62"/>
    <hyperlink r:id="rId43" ref="K63"/>
    <hyperlink r:id="rId44" ref="K66"/>
    <hyperlink r:id="rId45" ref="K68"/>
    <hyperlink r:id="rId46" ref="K69"/>
    <hyperlink r:id="rId47" ref="K70"/>
    <hyperlink r:id="rId48" ref="K71"/>
    <hyperlink r:id="rId49" ref="K72"/>
    <hyperlink r:id="rId50" ref="K73"/>
    <hyperlink r:id="rId51" ref="K74"/>
    <hyperlink r:id="rId52" ref="K75"/>
    <hyperlink r:id="rId53" ref="K76"/>
    <hyperlink r:id="rId54" ref="K77"/>
    <hyperlink r:id="rId55" ref="K78"/>
    <hyperlink r:id="rId56" ref="K79"/>
    <hyperlink r:id="rId57" ref="K80"/>
    <hyperlink r:id="rId58" ref="K81"/>
    <hyperlink r:id="rId59" ref="K82"/>
    <hyperlink r:id="rId60" ref="K83"/>
    <hyperlink r:id="rId61" ref="K84"/>
    <hyperlink r:id="rId62" ref="K85"/>
    <hyperlink r:id="rId63" ref="K86"/>
    <hyperlink r:id="rId64" ref="K87"/>
    <hyperlink r:id="rId65" ref="K88"/>
    <hyperlink r:id="rId66" ref="K89"/>
    <hyperlink r:id="rId67" ref="K90"/>
    <hyperlink r:id="rId68" ref="K91"/>
  </hyperlinks>
  <drawing r:id="rId69"/>
  <legacy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6.5"/>
    <col customWidth="1" min="2" max="2" width="8.88"/>
    <col customWidth="1" min="3" max="3" width="8.5"/>
    <col customWidth="1" min="4" max="4" width="7.0"/>
    <col customWidth="1" min="5" max="5" width="8.63"/>
    <col customWidth="1" min="6" max="6" width="13.88"/>
    <col customWidth="1" min="7" max="7" width="8.0"/>
    <col customWidth="1" min="8" max="8" width="8.38"/>
    <col customWidth="1" min="14" max="14" width="22.13"/>
    <col customWidth="1" min="15" max="15" width="17.38"/>
    <col customWidth="1" min="16" max="16" width="16.63"/>
    <col customWidth="1" min="17" max="17" width="12.0"/>
    <col customWidth="1" min="19" max="19" width="5.75"/>
    <col customWidth="1" min="20" max="20" width="5.13"/>
    <col customWidth="1" min="21" max="21" width="10.38"/>
    <col customWidth="1" min="22" max="22" width="8.25"/>
    <col customWidth="1" min="23" max="23" width="6.25"/>
    <col customWidth="1" min="24" max="24" width="7.63"/>
    <col customWidth="1" min="26" max="26" width="12.88"/>
    <col customWidth="1" min="28" max="28" width="21.25"/>
    <col customWidth="1" min="29" max="29" width="17.63"/>
    <col hidden="1" min="30" max="32" width="12.63"/>
    <col customWidth="1" hidden="1" min="33" max="33" width="21.13"/>
    <col customWidth="1" min="34" max="34" width="10.25"/>
    <col customWidth="1" min="35" max="42" width="11.5"/>
    <col customWidth="1" min="43" max="43" width="13.13"/>
    <col customWidth="1" min="44" max="44" width="22.5"/>
    <col customWidth="1" min="45" max="45" width="24.13"/>
    <col customWidth="1" min="46" max="46" width="13.88"/>
    <col customWidth="1" min="53" max="58" width="22.88"/>
  </cols>
  <sheetData>
    <row r="1" ht="60.75" customHeight="1">
      <c r="A1" s="46" t="s">
        <v>254</v>
      </c>
      <c r="B1" s="47" t="s">
        <v>255</v>
      </c>
      <c r="C1" s="47" t="s">
        <v>256</v>
      </c>
      <c r="D1" s="47" t="s">
        <v>257</v>
      </c>
      <c r="E1" s="47" t="s">
        <v>258</v>
      </c>
      <c r="F1" s="47" t="s">
        <v>259</v>
      </c>
      <c r="G1" s="48" t="s">
        <v>260</v>
      </c>
      <c r="H1" s="49" t="s">
        <v>261</v>
      </c>
      <c r="I1" s="48" t="s">
        <v>262</v>
      </c>
      <c r="J1" s="48" t="s">
        <v>263</v>
      </c>
      <c r="K1" s="48" t="s">
        <v>264</v>
      </c>
      <c r="L1" s="48" t="s">
        <v>265</v>
      </c>
      <c r="M1" s="48" t="s">
        <v>266</v>
      </c>
      <c r="N1" s="48" t="s">
        <v>267</v>
      </c>
      <c r="O1" s="48" t="s">
        <v>268</v>
      </c>
      <c r="P1" s="48" t="s">
        <v>269</v>
      </c>
      <c r="Q1" s="48" t="s">
        <v>270</v>
      </c>
      <c r="R1" s="47" t="s">
        <v>271</v>
      </c>
      <c r="S1" s="47" t="s">
        <v>272</v>
      </c>
      <c r="T1" s="47" t="s">
        <v>273</v>
      </c>
      <c r="U1" s="47" t="s">
        <v>274</v>
      </c>
      <c r="V1" s="47" t="s">
        <v>275</v>
      </c>
      <c r="W1" s="47" t="s">
        <v>276</v>
      </c>
      <c r="X1" s="47" t="s">
        <v>277</v>
      </c>
      <c r="Y1" s="47" t="s">
        <v>278</v>
      </c>
      <c r="Z1" s="47" t="s">
        <v>279</v>
      </c>
      <c r="AA1" s="47" t="s">
        <v>280</v>
      </c>
      <c r="AB1" s="48" t="s">
        <v>281</v>
      </c>
      <c r="AC1" s="48" t="s">
        <v>282</v>
      </c>
      <c r="AD1" s="48" t="s">
        <v>283</v>
      </c>
      <c r="AE1" s="48" t="s">
        <v>284</v>
      </c>
      <c r="AF1" s="48" t="s">
        <v>285</v>
      </c>
      <c r="AG1" s="47" t="s">
        <v>286</v>
      </c>
      <c r="AH1" s="47" t="s">
        <v>287</v>
      </c>
      <c r="AI1" s="47" t="s">
        <v>288</v>
      </c>
      <c r="AJ1" s="47" t="s">
        <v>289</v>
      </c>
      <c r="AK1" s="47" t="s">
        <v>290</v>
      </c>
      <c r="AL1" s="47" t="s">
        <v>291</v>
      </c>
      <c r="AM1" s="47" t="s">
        <v>292</v>
      </c>
      <c r="AN1" s="47" t="s">
        <v>293</v>
      </c>
      <c r="AO1" s="47" t="s">
        <v>294</v>
      </c>
      <c r="AP1" s="47" t="s">
        <v>295</v>
      </c>
      <c r="AQ1" s="47" t="s">
        <v>296</v>
      </c>
      <c r="AR1" s="50" t="s">
        <v>297</v>
      </c>
      <c r="AS1" s="50" t="s">
        <v>298</v>
      </c>
      <c r="AT1" s="50" t="s">
        <v>299</v>
      </c>
      <c r="AU1" s="47" t="s">
        <v>300</v>
      </c>
      <c r="AV1" s="47" t="s">
        <v>301</v>
      </c>
      <c r="AW1" s="47" t="s">
        <v>302</v>
      </c>
      <c r="AX1" s="47" t="s">
        <v>303</v>
      </c>
      <c r="AY1" s="47" t="s">
        <v>304</v>
      </c>
      <c r="AZ1" s="47" t="s">
        <v>305</v>
      </c>
      <c r="BA1" s="47" t="s">
        <v>306</v>
      </c>
      <c r="BB1" s="47" t="s">
        <v>307</v>
      </c>
      <c r="BC1" s="23" t="s">
        <v>308</v>
      </c>
      <c r="BD1" s="19" t="s">
        <v>309</v>
      </c>
      <c r="BE1" s="19" t="s">
        <v>310</v>
      </c>
      <c r="BF1" s="51" t="s">
        <v>311</v>
      </c>
    </row>
    <row r="2" ht="39.0" customHeight="1">
      <c r="A2" s="37" t="s">
        <v>312</v>
      </c>
      <c r="B2" s="37" t="b">
        <v>1</v>
      </c>
      <c r="C2" s="37" t="b">
        <v>1</v>
      </c>
      <c r="D2" s="37" t="b">
        <v>1</v>
      </c>
      <c r="E2" s="37" t="b">
        <v>1</v>
      </c>
      <c r="F2" s="37" t="s">
        <v>16</v>
      </c>
      <c r="G2" s="52" t="s">
        <v>313</v>
      </c>
      <c r="H2" s="53">
        <v>34000.0</v>
      </c>
      <c r="I2" s="54">
        <v>45212.0</v>
      </c>
      <c r="J2" s="54">
        <v>45212.0</v>
      </c>
      <c r="K2" s="54">
        <v>48883.0</v>
      </c>
      <c r="L2" s="52" t="s">
        <v>314</v>
      </c>
      <c r="M2" s="52" t="s">
        <v>315</v>
      </c>
      <c r="N2" s="52" t="s">
        <v>316</v>
      </c>
      <c r="O2" s="52" t="s">
        <v>317</v>
      </c>
      <c r="P2" s="52" t="s">
        <v>318</v>
      </c>
      <c r="Q2" s="52" t="s">
        <v>319</v>
      </c>
      <c r="R2" s="55">
        <v>95.4</v>
      </c>
      <c r="S2" s="37">
        <v>2.0</v>
      </c>
      <c r="T2" s="37">
        <v>1.0</v>
      </c>
      <c r="U2" s="37">
        <v>4.0</v>
      </c>
      <c r="V2" s="37">
        <v>4.0</v>
      </c>
      <c r="W2" s="37">
        <v>4.0</v>
      </c>
      <c r="X2" s="37" t="s">
        <v>320</v>
      </c>
      <c r="Y2" s="37" t="s">
        <v>321</v>
      </c>
      <c r="Z2" s="37" t="s">
        <v>322</v>
      </c>
      <c r="AA2" s="52" t="s">
        <v>323</v>
      </c>
      <c r="AB2" s="56" t="s">
        <v>324</v>
      </c>
      <c r="AC2" s="57" t="s">
        <v>325</v>
      </c>
      <c r="AD2" s="58" t="str">
        <f t="shared" ref="AD2:AF2" si="1">if(ISBLANK(I2),, YEAR(I2)-1911&amp;TEXT(I2,"mmdd"))</f>
        <v>1121013</v>
      </c>
      <c r="AE2" s="58" t="str">
        <f t="shared" si="1"/>
        <v>1121013</v>
      </c>
      <c r="AF2" s="58" t="str">
        <f t="shared" si="1"/>
        <v>1221031</v>
      </c>
      <c r="AG2" s="59" t="s">
        <v>326</v>
      </c>
      <c r="AH2" s="54">
        <v>45212.0</v>
      </c>
      <c r="AI2" s="53">
        <v>34000.0</v>
      </c>
      <c r="AJ2" s="60">
        <v>46096.0</v>
      </c>
      <c r="AK2" s="61">
        <v>54000.0</v>
      </c>
      <c r="AL2" s="37"/>
      <c r="AM2" s="53"/>
      <c r="AN2" s="62"/>
      <c r="AO2" s="61"/>
      <c r="AP2" s="63" t="s">
        <v>327</v>
      </c>
      <c r="AQ2" s="37" t="s">
        <v>328</v>
      </c>
      <c r="AR2" s="64" t="s">
        <v>329</v>
      </c>
      <c r="AS2" s="64" t="s">
        <v>330</v>
      </c>
      <c r="AT2" s="65"/>
      <c r="AW2" s="37"/>
      <c r="AX2" s="37" t="s">
        <v>331</v>
      </c>
      <c r="AY2" s="37" t="s">
        <v>332</v>
      </c>
      <c r="AZ2" s="37" t="s">
        <v>333</v>
      </c>
      <c r="BA2" s="37"/>
      <c r="BB2" s="37"/>
      <c r="BC2" s="66" t="s">
        <v>334</v>
      </c>
      <c r="BD2" s="51" t="s">
        <v>19</v>
      </c>
      <c r="BE2" s="51"/>
      <c r="BF2" s="67" t="s">
        <v>335</v>
      </c>
    </row>
    <row r="3" ht="39.0" customHeight="1">
      <c r="A3" s="37" t="s">
        <v>336</v>
      </c>
      <c r="B3" s="37" t="b">
        <v>1</v>
      </c>
      <c r="C3" s="37" t="b">
        <v>1</v>
      </c>
      <c r="D3" s="37" t="b">
        <v>1</v>
      </c>
      <c r="E3" s="37" t="b">
        <v>1</v>
      </c>
      <c r="F3" s="37" t="s">
        <v>27</v>
      </c>
      <c r="G3" s="52" t="s">
        <v>337</v>
      </c>
      <c r="H3" s="53">
        <v>45000.0</v>
      </c>
      <c r="I3" s="54">
        <v>45190.0</v>
      </c>
      <c r="J3" s="54">
        <v>45190.0</v>
      </c>
      <c r="K3" s="54">
        <v>48883.0</v>
      </c>
      <c r="L3" s="52" t="s">
        <v>314</v>
      </c>
      <c r="M3" s="52" t="s">
        <v>338</v>
      </c>
      <c r="N3" s="52" t="s">
        <v>339</v>
      </c>
      <c r="O3" s="52" t="s">
        <v>340</v>
      </c>
      <c r="P3" s="52" t="s">
        <v>341</v>
      </c>
      <c r="Q3" s="52" t="s">
        <v>342</v>
      </c>
      <c r="R3" s="55">
        <v>103.04</v>
      </c>
      <c r="S3" s="37">
        <v>1.0</v>
      </c>
      <c r="T3" s="37">
        <v>1.0</v>
      </c>
      <c r="U3" s="37">
        <v>5.0</v>
      </c>
      <c r="V3" s="37">
        <v>5.0</v>
      </c>
      <c r="W3" s="37">
        <v>5.0</v>
      </c>
      <c r="X3" s="37" t="s">
        <v>343</v>
      </c>
      <c r="Y3" s="37" t="s">
        <v>321</v>
      </c>
      <c r="Z3" s="37" t="s">
        <v>344</v>
      </c>
      <c r="AA3" s="52" t="s">
        <v>345</v>
      </c>
      <c r="AB3" s="56" t="s">
        <v>346</v>
      </c>
      <c r="AC3" s="68"/>
      <c r="AD3" s="58" t="str">
        <f t="shared" ref="AD3:AF3" si="2">if(ISBLANK(I3),, YEAR(I3)-1911&amp;TEXT(I3,"mmdd"))</f>
        <v>1120921</v>
      </c>
      <c r="AE3" s="58" t="str">
        <f t="shared" si="2"/>
        <v>1120921</v>
      </c>
      <c r="AF3" s="58" t="str">
        <f t="shared" si="2"/>
        <v>1221031</v>
      </c>
      <c r="AG3" s="59" t="s">
        <v>347</v>
      </c>
      <c r="AH3" s="54">
        <v>45190.0</v>
      </c>
      <c r="AI3" s="69">
        <v>45000.0</v>
      </c>
      <c r="AJ3" s="60">
        <v>47058.0</v>
      </c>
      <c r="AK3" s="61">
        <v>47000.0</v>
      </c>
      <c r="AL3" s="37"/>
      <c r="AM3" s="53"/>
      <c r="AN3" s="62"/>
      <c r="AO3" s="61">
        <v>47000.0</v>
      </c>
      <c r="AP3" s="37"/>
      <c r="AQ3" s="37" t="s">
        <v>348</v>
      </c>
      <c r="AR3" s="64" t="s">
        <v>349</v>
      </c>
      <c r="AS3" s="64" t="s">
        <v>350</v>
      </c>
      <c r="AT3" s="65"/>
      <c r="AW3" s="37"/>
      <c r="AX3" s="37" t="s">
        <v>351</v>
      </c>
      <c r="BA3" s="37"/>
      <c r="BB3" s="37"/>
      <c r="BC3" s="70" t="s">
        <v>352</v>
      </c>
      <c r="BD3" s="51" t="s">
        <v>353</v>
      </c>
      <c r="BE3" s="71" t="s">
        <v>354</v>
      </c>
      <c r="BF3" s="72" t="s">
        <v>355</v>
      </c>
    </row>
    <row r="4" ht="39.0" customHeight="1">
      <c r="A4" s="37" t="s">
        <v>356</v>
      </c>
      <c r="B4" s="37" t="b">
        <v>1</v>
      </c>
      <c r="C4" s="37" t="b">
        <v>1</v>
      </c>
      <c r="D4" s="37" t="b">
        <v>1</v>
      </c>
      <c r="E4" s="37" t="b">
        <v>1</v>
      </c>
      <c r="F4" s="37" t="s">
        <v>41</v>
      </c>
      <c r="G4" s="52" t="s">
        <v>357</v>
      </c>
      <c r="H4" s="53">
        <v>27000.0</v>
      </c>
      <c r="I4" s="54">
        <v>45264.0</v>
      </c>
      <c r="J4" s="54">
        <v>45264.0</v>
      </c>
      <c r="K4" s="54">
        <v>47087.0</v>
      </c>
      <c r="L4" s="52" t="s">
        <v>314</v>
      </c>
      <c r="M4" s="52" t="s">
        <v>358</v>
      </c>
      <c r="N4" s="52" t="s">
        <v>359</v>
      </c>
      <c r="O4" s="52" t="s">
        <v>360</v>
      </c>
      <c r="P4" s="52" t="s">
        <v>361</v>
      </c>
      <c r="Q4" s="52" t="s">
        <v>362</v>
      </c>
      <c r="R4" s="55">
        <v>89.42</v>
      </c>
      <c r="S4" s="37">
        <v>1.0</v>
      </c>
      <c r="T4" s="37">
        <v>2.0</v>
      </c>
      <c r="U4" s="37">
        <v>5.0</v>
      </c>
      <c r="V4" s="37">
        <v>4.0</v>
      </c>
      <c r="W4" s="37">
        <v>3.0</v>
      </c>
      <c r="X4" s="37" t="s">
        <v>363</v>
      </c>
      <c r="Y4" s="37" t="s">
        <v>321</v>
      </c>
      <c r="Z4" s="37" t="s">
        <v>364</v>
      </c>
      <c r="AA4" s="52" t="s">
        <v>365</v>
      </c>
      <c r="AB4" s="56" t="s">
        <v>366</v>
      </c>
      <c r="AC4" s="68"/>
      <c r="AD4" s="58" t="str">
        <f t="shared" ref="AD4:AF4" si="3">if(ISBLANK(I4),, YEAR(I4)-1911&amp;TEXT(I4,"mmdd"))</f>
        <v>1121204</v>
      </c>
      <c r="AE4" s="58" t="str">
        <f t="shared" si="3"/>
        <v>1121204</v>
      </c>
      <c r="AF4" s="58" t="str">
        <f t="shared" si="3"/>
        <v>1171130</v>
      </c>
      <c r="AG4" s="37" t="s">
        <v>367</v>
      </c>
      <c r="AH4" s="54">
        <v>45264.0</v>
      </c>
      <c r="AI4" s="53">
        <v>27000.0</v>
      </c>
      <c r="AJ4" s="62"/>
      <c r="AK4" s="61"/>
      <c r="AL4" s="37"/>
      <c r="AM4" s="53"/>
      <c r="AN4" s="62"/>
      <c r="AO4" s="61"/>
      <c r="AP4" s="37"/>
      <c r="AQ4" s="37" t="s">
        <v>368</v>
      </c>
      <c r="AR4" s="64" t="s">
        <v>369</v>
      </c>
      <c r="AS4" s="73" t="s">
        <v>370</v>
      </c>
      <c r="AT4" s="64"/>
      <c r="AU4" s="74">
        <v>47058.0</v>
      </c>
      <c r="AV4" s="53">
        <v>22830.0</v>
      </c>
      <c r="AW4" s="37"/>
      <c r="AX4" s="37" t="s">
        <v>331</v>
      </c>
      <c r="BA4" s="37"/>
      <c r="BB4" s="37"/>
      <c r="BC4" s="51" t="s">
        <v>371</v>
      </c>
      <c r="BD4" s="51" t="s">
        <v>372</v>
      </c>
      <c r="BE4" s="71" t="s">
        <v>373</v>
      </c>
      <c r="BF4" s="75" t="s">
        <v>374</v>
      </c>
    </row>
    <row r="5" ht="39.0" customHeight="1">
      <c r="A5" s="37" t="s">
        <v>375</v>
      </c>
      <c r="B5" s="37" t="b">
        <v>1</v>
      </c>
      <c r="C5" s="37" t="b">
        <v>1</v>
      </c>
      <c r="D5" s="37" t="b">
        <v>1</v>
      </c>
      <c r="E5" s="37" t="b">
        <v>1</v>
      </c>
      <c r="F5" s="37" t="s">
        <v>56</v>
      </c>
      <c r="G5" s="52" t="s">
        <v>376</v>
      </c>
      <c r="H5" s="53">
        <v>26000.0</v>
      </c>
      <c r="I5" s="54">
        <v>45306.0</v>
      </c>
      <c r="J5" s="54">
        <v>45307.0</v>
      </c>
      <c r="K5" s="54">
        <v>47133.0</v>
      </c>
      <c r="L5" s="52" t="s">
        <v>314</v>
      </c>
      <c r="M5" s="52" t="s">
        <v>338</v>
      </c>
      <c r="N5" s="52" t="s">
        <v>377</v>
      </c>
      <c r="O5" s="52" t="s">
        <v>378</v>
      </c>
      <c r="P5" s="52" t="s">
        <v>379</v>
      </c>
      <c r="Q5" s="52" t="s">
        <v>380</v>
      </c>
      <c r="R5" s="55">
        <v>75.94</v>
      </c>
      <c r="S5" s="37">
        <v>1.0</v>
      </c>
      <c r="T5" s="37">
        <v>2.0</v>
      </c>
      <c r="U5" s="37">
        <v>4.0</v>
      </c>
      <c r="V5" s="37">
        <v>5.0</v>
      </c>
      <c r="W5" s="37">
        <v>4.0</v>
      </c>
      <c r="X5" s="37" t="s">
        <v>320</v>
      </c>
      <c r="Y5" s="37" t="s">
        <v>321</v>
      </c>
      <c r="Z5" s="37" t="s">
        <v>381</v>
      </c>
      <c r="AA5" s="52" t="s">
        <v>382</v>
      </c>
      <c r="AB5" s="52" t="s">
        <v>383</v>
      </c>
      <c r="AC5" s="68"/>
      <c r="AD5" s="58" t="str">
        <f t="shared" ref="AD5:AF5" si="4">if(ISBLANK(I5),, YEAR(I5)-1911&amp;TEXT(I5,"mmdd"))</f>
        <v>1130115</v>
      </c>
      <c r="AE5" s="58" t="str">
        <f t="shared" si="4"/>
        <v>1130116</v>
      </c>
      <c r="AF5" s="58" t="str">
        <f t="shared" si="4"/>
        <v>1180115</v>
      </c>
      <c r="AG5" s="37" t="s">
        <v>384</v>
      </c>
      <c r="AH5" s="54">
        <v>45307.0</v>
      </c>
      <c r="AI5" s="53">
        <v>26000.0</v>
      </c>
      <c r="AJ5" s="62"/>
      <c r="AK5" s="61"/>
      <c r="AL5" s="37"/>
      <c r="AM5" s="53"/>
      <c r="AN5" s="62"/>
      <c r="AO5" s="61"/>
      <c r="AP5" s="37"/>
      <c r="AQ5" s="37" t="s">
        <v>328</v>
      </c>
      <c r="AR5" s="64" t="s">
        <v>369</v>
      </c>
      <c r="AS5" s="76" t="s">
        <v>385</v>
      </c>
      <c r="AT5" s="77"/>
      <c r="AU5" s="74">
        <v>47088.0</v>
      </c>
      <c r="AW5" s="37"/>
      <c r="AX5" s="37" t="s">
        <v>331</v>
      </c>
      <c r="BA5" s="37"/>
      <c r="BB5" s="37"/>
      <c r="BC5" s="66" t="s">
        <v>386</v>
      </c>
      <c r="BD5" s="51" t="s">
        <v>387</v>
      </c>
      <c r="BE5" s="71" t="s">
        <v>388</v>
      </c>
      <c r="BF5" s="75" t="s">
        <v>389</v>
      </c>
    </row>
    <row r="6" ht="39.0" customHeight="1">
      <c r="A6" s="37" t="s">
        <v>390</v>
      </c>
      <c r="B6" s="37" t="b">
        <v>1</v>
      </c>
      <c r="C6" s="37" t="b">
        <v>1</v>
      </c>
      <c r="D6" s="37" t="b">
        <v>1</v>
      </c>
      <c r="E6" s="37" t="b">
        <v>1</v>
      </c>
      <c r="F6" s="37" t="s">
        <v>69</v>
      </c>
      <c r="G6" s="52" t="s">
        <v>391</v>
      </c>
      <c r="H6" s="53">
        <v>25600.0</v>
      </c>
      <c r="I6" s="54">
        <v>45346.0</v>
      </c>
      <c r="J6" s="54">
        <v>45348.0</v>
      </c>
      <c r="K6" s="54">
        <v>47174.0</v>
      </c>
      <c r="L6" s="52" t="s">
        <v>314</v>
      </c>
      <c r="M6" s="52" t="s">
        <v>315</v>
      </c>
      <c r="N6" s="52" t="s">
        <v>392</v>
      </c>
      <c r="O6" s="52" t="s">
        <v>393</v>
      </c>
      <c r="P6" s="52" t="s">
        <v>394</v>
      </c>
      <c r="Q6" s="52" t="s">
        <v>395</v>
      </c>
      <c r="R6" s="55">
        <v>77.24</v>
      </c>
      <c r="S6" s="37">
        <v>1.0</v>
      </c>
      <c r="T6" s="37">
        <v>2.0</v>
      </c>
      <c r="U6" s="37">
        <v>4.0</v>
      </c>
      <c r="V6" s="37">
        <v>5.0</v>
      </c>
      <c r="W6" s="37">
        <v>5.0</v>
      </c>
      <c r="X6" s="37" t="s">
        <v>343</v>
      </c>
      <c r="Y6" s="37" t="s">
        <v>321</v>
      </c>
      <c r="Z6" s="37" t="s">
        <v>396</v>
      </c>
      <c r="AA6" s="52" t="s">
        <v>397</v>
      </c>
      <c r="AB6" s="52" t="s">
        <v>398</v>
      </c>
      <c r="AC6" s="68"/>
      <c r="AD6" s="58" t="str">
        <f t="shared" ref="AD6:AF6" si="5">if(ISBLANK(I6),, YEAR(I6)-1911&amp;TEXT(I6,"mmdd"))</f>
        <v>1130224</v>
      </c>
      <c r="AE6" s="58" t="str">
        <f t="shared" si="5"/>
        <v>1130226</v>
      </c>
      <c r="AF6" s="58" t="str">
        <f t="shared" si="5"/>
        <v>1180225</v>
      </c>
      <c r="AG6" s="37" t="s">
        <v>399</v>
      </c>
      <c r="AH6" s="54">
        <v>45348.0</v>
      </c>
      <c r="AI6" s="53">
        <v>25600.0</v>
      </c>
      <c r="AJ6" s="62"/>
      <c r="AK6" s="61"/>
      <c r="AL6" s="37"/>
      <c r="AM6" s="53"/>
      <c r="AN6" s="62"/>
      <c r="AO6" s="61"/>
      <c r="AP6" s="37"/>
      <c r="AQ6" s="37" t="s">
        <v>328</v>
      </c>
      <c r="AR6" s="64" t="s">
        <v>369</v>
      </c>
      <c r="AS6" s="73" t="s">
        <v>400</v>
      </c>
      <c r="AT6" s="65"/>
      <c r="AU6" s="74">
        <v>47119.0</v>
      </c>
      <c r="AW6" s="37"/>
      <c r="AX6" s="37" t="s">
        <v>331</v>
      </c>
      <c r="BA6" s="37"/>
      <c r="BB6" s="37"/>
      <c r="BC6" s="66" t="s">
        <v>401</v>
      </c>
      <c r="BD6" s="51" t="s">
        <v>372</v>
      </c>
      <c r="BE6" s="71" t="s">
        <v>402</v>
      </c>
      <c r="BF6" s="67" t="s">
        <v>403</v>
      </c>
    </row>
    <row r="7" ht="39.0" customHeight="1">
      <c r="A7" s="37" t="s">
        <v>404</v>
      </c>
      <c r="B7" s="37" t="b">
        <v>1</v>
      </c>
      <c r="C7" s="37" t="b">
        <v>1</v>
      </c>
      <c r="D7" s="37" t="b">
        <v>1</v>
      </c>
      <c r="E7" s="37" t="b">
        <v>1</v>
      </c>
      <c r="F7" s="37" t="s">
        <v>82</v>
      </c>
      <c r="G7" s="52" t="s">
        <v>405</v>
      </c>
      <c r="H7" s="53">
        <v>38800.0</v>
      </c>
      <c r="I7" s="54">
        <v>45382.0</v>
      </c>
      <c r="J7" s="54">
        <v>45383.0</v>
      </c>
      <c r="K7" s="54">
        <v>47208.0</v>
      </c>
      <c r="L7" s="52" t="s">
        <v>314</v>
      </c>
      <c r="M7" s="52" t="s">
        <v>338</v>
      </c>
      <c r="N7" s="52" t="s">
        <v>406</v>
      </c>
      <c r="O7" s="52" t="s">
        <v>407</v>
      </c>
      <c r="P7" s="52" t="s">
        <v>408</v>
      </c>
      <c r="Q7" s="52" t="s">
        <v>409</v>
      </c>
      <c r="R7" s="55">
        <v>136.38</v>
      </c>
      <c r="S7" s="37">
        <v>2.0</v>
      </c>
      <c r="T7" s="37">
        <v>2.0</v>
      </c>
      <c r="U7" s="37">
        <v>5.0</v>
      </c>
      <c r="V7" s="37">
        <v>5.0</v>
      </c>
      <c r="W7" s="37">
        <v>4.0</v>
      </c>
      <c r="X7" s="37" t="s">
        <v>320</v>
      </c>
      <c r="Y7" s="37" t="s">
        <v>321</v>
      </c>
      <c r="Z7" s="37" t="s">
        <v>410</v>
      </c>
      <c r="AA7" s="52" t="s">
        <v>411</v>
      </c>
      <c r="AB7" s="56" t="s">
        <v>412</v>
      </c>
      <c r="AC7" s="68"/>
      <c r="AD7" s="58" t="str">
        <f t="shared" ref="AD7:AF7" si="6">if(ISBLANK(I7),, YEAR(I7)-1911&amp;TEXT(I7,"mmdd"))</f>
        <v>1130331</v>
      </c>
      <c r="AE7" s="58" t="str">
        <f t="shared" si="6"/>
        <v>1130401</v>
      </c>
      <c r="AF7" s="58" t="str">
        <f t="shared" si="6"/>
        <v>1180331</v>
      </c>
      <c r="AG7" s="37" t="s">
        <v>413</v>
      </c>
      <c r="AH7" s="54">
        <v>45383.0</v>
      </c>
      <c r="AI7" s="53">
        <v>38800.0</v>
      </c>
      <c r="AJ7" s="62"/>
      <c r="AK7" s="61"/>
      <c r="AL7" s="37"/>
      <c r="AM7" s="53"/>
      <c r="AN7" s="62"/>
      <c r="AO7" s="61"/>
      <c r="AP7" s="37"/>
      <c r="AQ7" s="37" t="s">
        <v>328</v>
      </c>
      <c r="AR7" s="64" t="s">
        <v>369</v>
      </c>
      <c r="AS7" s="73" t="s">
        <v>414</v>
      </c>
      <c r="AT7" s="65"/>
      <c r="AU7" s="74">
        <v>47178.0</v>
      </c>
      <c r="AW7" s="37"/>
      <c r="AX7" s="37" t="s">
        <v>331</v>
      </c>
      <c r="BA7" s="37"/>
      <c r="BB7" s="37"/>
      <c r="BC7" s="66" t="s">
        <v>415</v>
      </c>
      <c r="BD7" s="51" t="s">
        <v>353</v>
      </c>
      <c r="BE7" s="71" t="s">
        <v>416</v>
      </c>
      <c r="BF7" s="75" t="s">
        <v>417</v>
      </c>
    </row>
    <row r="8" ht="39.0" customHeight="1">
      <c r="A8" s="37" t="s">
        <v>418</v>
      </c>
      <c r="B8" s="37" t="b">
        <v>1</v>
      </c>
      <c r="C8" s="37" t="b">
        <v>1</v>
      </c>
      <c r="D8" s="37" t="b">
        <v>1</v>
      </c>
      <c r="E8" s="37" t="b">
        <v>1</v>
      </c>
      <c r="F8" s="37" t="s">
        <v>101</v>
      </c>
      <c r="G8" s="52" t="s">
        <v>419</v>
      </c>
      <c r="H8" s="53">
        <v>28800.0</v>
      </c>
      <c r="I8" s="54">
        <v>45465.0</v>
      </c>
      <c r="J8" s="54">
        <v>45474.0</v>
      </c>
      <c r="K8" s="54">
        <v>46599.0</v>
      </c>
      <c r="L8" s="52" t="s">
        <v>314</v>
      </c>
      <c r="M8" s="52" t="s">
        <v>420</v>
      </c>
      <c r="N8" s="52" t="s">
        <v>421</v>
      </c>
      <c r="O8" s="52" t="s">
        <v>422</v>
      </c>
      <c r="P8" s="78" t="s">
        <v>423</v>
      </c>
      <c r="Q8" s="78" t="s">
        <v>424</v>
      </c>
      <c r="R8" s="55">
        <v>123.48</v>
      </c>
      <c r="S8" s="37">
        <v>2.0</v>
      </c>
      <c r="T8" s="37">
        <v>2.0</v>
      </c>
      <c r="U8" s="37">
        <v>4.0</v>
      </c>
      <c r="V8" s="37">
        <v>5.0</v>
      </c>
      <c r="W8" s="37">
        <v>3.0</v>
      </c>
      <c r="X8" s="37" t="s">
        <v>363</v>
      </c>
      <c r="Y8" s="37" t="s">
        <v>321</v>
      </c>
      <c r="Z8" s="37" t="s">
        <v>425</v>
      </c>
      <c r="AA8" s="52" t="s">
        <v>426</v>
      </c>
      <c r="AB8" s="56" t="s">
        <v>427</v>
      </c>
      <c r="AC8" s="68"/>
      <c r="AD8" s="58" t="str">
        <f t="shared" ref="AD8:AF8" si="7">if(ISBLANK(I8),, YEAR(I8)-1911&amp;TEXT(I8,"mmdd"))</f>
        <v>1130622</v>
      </c>
      <c r="AE8" s="58" t="str">
        <f t="shared" si="7"/>
        <v>1130701</v>
      </c>
      <c r="AF8" s="58" t="str">
        <f t="shared" si="7"/>
        <v>1160731</v>
      </c>
      <c r="AG8" s="37" t="s">
        <v>428</v>
      </c>
      <c r="AH8" s="54">
        <v>45474.0</v>
      </c>
      <c r="AI8" s="53">
        <v>28800.0</v>
      </c>
      <c r="AJ8" s="62"/>
      <c r="AK8" s="61"/>
      <c r="AL8" s="37"/>
      <c r="AM8" s="53"/>
      <c r="AN8" s="62"/>
      <c r="AO8" s="61"/>
      <c r="AP8" s="37"/>
      <c r="AQ8" s="37" t="s">
        <v>348</v>
      </c>
      <c r="AR8" s="64" t="s">
        <v>369</v>
      </c>
      <c r="AS8" s="64" t="s">
        <v>429</v>
      </c>
      <c r="AT8" s="65"/>
      <c r="AU8" s="74">
        <v>46082.0</v>
      </c>
      <c r="AW8" s="37"/>
      <c r="AX8" s="37" t="s">
        <v>351</v>
      </c>
      <c r="BA8" s="37"/>
      <c r="BB8" s="37"/>
      <c r="BC8" s="66" t="s">
        <v>430</v>
      </c>
      <c r="BD8" s="51" t="s">
        <v>19</v>
      </c>
      <c r="BE8" s="71" t="s">
        <v>431</v>
      </c>
      <c r="BF8" s="75" t="s">
        <v>432</v>
      </c>
    </row>
    <row r="9" ht="39.0" customHeight="1">
      <c r="A9" s="37" t="s">
        <v>433</v>
      </c>
      <c r="B9" s="37" t="b">
        <v>1</v>
      </c>
      <c r="C9" s="37" t="b">
        <v>1</v>
      </c>
      <c r="D9" s="37" t="b">
        <v>1</v>
      </c>
      <c r="E9" s="37" t="b">
        <v>1</v>
      </c>
      <c r="F9" s="37" t="s">
        <v>110</v>
      </c>
      <c r="G9" s="52" t="s">
        <v>434</v>
      </c>
      <c r="H9" s="53">
        <v>36500.0</v>
      </c>
      <c r="I9" s="54">
        <v>45478.0</v>
      </c>
      <c r="J9" s="54">
        <v>45478.0</v>
      </c>
      <c r="K9" s="54">
        <v>49129.0</v>
      </c>
      <c r="L9" s="52" t="s">
        <v>314</v>
      </c>
      <c r="M9" s="52" t="s">
        <v>435</v>
      </c>
      <c r="N9" s="52" t="s">
        <v>436</v>
      </c>
      <c r="O9" s="52" t="s">
        <v>437</v>
      </c>
      <c r="P9" s="52" t="s">
        <v>438</v>
      </c>
      <c r="Q9" s="52" t="s">
        <v>439</v>
      </c>
      <c r="R9" s="55">
        <v>100.51</v>
      </c>
      <c r="S9" s="37">
        <v>2.0</v>
      </c>
      <c r="T9" s="37">
        <v>2.0</v>
      </c>
      <c r="U9" s="37">
        <v>5.0</v>
      </c>
      <c r="V9" s="37">
        <v>4.0</v>
      </c>
      <c r="W9" s="37">
        <v>1.0</v>
      </c>
      <c r="X9" s="37" t="s">
        <v>440</v>
      </c>
      <c r="Y9" s="37" t="s">
        <v>321</v>
      </c>
      <c r="Z9" s="37" t="s">
        <v>441</v>
      </c>
      <c r="AA9" s="52" t="s">
        <v>442</v>
      </c>
      <c r="AB9" s="56" t="s">
        <v>443</v>
      </c>
      <c r="AC9" s="68"/>
      <c r="AD9" s="58" t="str">
        <f t="shared" ref="AD9:AF9" si="8">if(ISBLANK(I9),, YEAR(I9)-1911&amp;TEXT(I9,"mmdd"))</f>
        <v>1130705</v>
      </c>
      <c r="AE9" s="58" t="str">
        <f t="shared" si="8"/>
        <v>1130705</v>
      </c>
      <c r="AF9" s="58" t="str">
        <f t="shared" si="8"/>
        <v>1230704</v>
      </c>
      <c r="AG9" s="59" t="s">
        <v>444</v>
      </c>
      <c r="AH9" s="54">
        <v>45478.0</v>
      </c>
      <c r="AI9" s="53">
        <v>36500.0</v>
      </c>
      <c r="AJ9" s="60">
        <v>48458.0</v>
      </c>
      <c r="AK9" s="61">
        <v>37560.0</v>
      </c>
      <c r="AL9" s="37"/>
      <c r="AM9" s="53"/>
      <c r="AN9" s="62"/>
      <c r="AO9" s="61">
        <v>37560.0</v>
      </c>
      <c r="AP9" s="37"/>
      <c r="AQ9" s="37" t="s">
        <v>328</v>
      </c>
      <c r="AR9" s="64" t="s">
        <v>369</v>
      </c>
      <c r="AS9" s="64" t="s">
        <v>445</v>
      </c>
      <c r="AT9" s="65"/>
      <c r="AU9" s="74">
        <v>49096.0</v>
      </c>
      <c r="AV9" s="37" t="s">
        <v>446</v>
      </c>
      <c r="AW9" s="37"/>
      <c r="AX9" s="37" t="s">
        <v>331</v>
      </c>
      <c r="AY9" s="37" t="s">
        <v>447</v>
      </c>
      <c r="AZ9" s="37" t="s">
        <v>448</v>
      </c>
      <c r="BA9" s="37" t="s">
        <v>449</v>
      </c>
      <c r="BB9" s="37" t="s">
        <v>450</v>
      </c>
      <c r="BC9" s="66" t="s">
        <v>451</v>
      </c>
      <c r="BD9" s="51" t="s">
        <v>372</v>
      </c>
      <c r="BE9" s="71" t="s">
        <v>452</v>
      </c>
      <c r="BF9" s="75" t="s">
        <v>453</v>
      </c>
    </row>
    <row r="10" ht="39.0" customHeight="1">
      <c r="A10" s="37" t="s">
        <v>454</v>
      </c>
      <c r="B10" s="37" t="b">
        <v>1</v>
      </c>
      <c r="C10" s="37" t="b">
        <v>1</v>
      </c>
      <c r="D10" s="37" t="b">
        <v>1</v>
      </c>
      <c r="E10" s="37" t="b">
        <v>1</v>
      </c>
      <c r="F10" s="37" t="s">
        <v>119</v>
      </c>
      <c r="G10" s="52" t="s">
        <v>455</v>
      </c>
      <c r="H10" s="53">
        <v>12000.0</v>
      </c>
      <c r="I10" s="54">
        <v>45482.0</v>
      </c>
      <c r="J10" s="54">
        <v>45483.0</v>
      </c>
      <c r="K10" s="54">
        <v>47308.0</v>
      </c>
      <c r="L10" s="52" t="s">
        <v>314</v>
      </c>
      <c r="M10" s="52" t="s">
        <v>315</v>
      </c>
      <c r="N10" s="52" t="s">
        <v>456</v>
      </c>
      <c r="O10" s="52" t="s">
        <v>457</v>
      </c>
      <c r="P10" s="52" t="s">
        <v>458</v>
      </c>
      <c r="Q10" s="52" t="s">
        <v>459</v>
      </c>
      <c r="R10" s="55">
        <v>30.32</v>
      </c>
      <c r="S10" s="37">
        <v>1.0</v>
      </c>
      <c r="T10" s="37">
        <v>1.0</v>
      </c>
      <c r="U10" s="37">
        <v>1.0</v>
      </c>
      <c r="V10" s="37">
        <v>6.0</v>
      </c>
      <c r="W10" s="37">
        <v>4.0</v>
      </c>
      <c r="X10" s="37" t="s">
        <v>320</v>
      </c>
      <c r="Y10" s="37" t="s">
        <v>321</v>
      </c>
      <c r="Z10" s="37" t="s">
        <v>460</v>
      </c>
      <c r="AA10" s="52" t="s">
        <v>461</v>
      </c>
      <c r="AB10" s="56" t="s">
        <v>462</v>
      </c>
      <c r="AC10" s="68"/>
      <c r="AD10" s="58" t="str">
        <f t="shared" ref="AD10:AF10" si="9">if(ISBLANK(I10),, YEAR(I10)-1911&amp;TEXT(I10,"mmdd"))</f>
        <v>1130709</v>
      </c>
      <c r="AE10" s="58" t="str">
        <f t="shared" si="9"/>
        <v>1130710</v>
      </c>
      <c r="AF10" s="58" t="str">
        <f t="shared" si="9"/>
        <v>1180709</v>
      </c>
      <c r="AG10" s="37" t="s">
        <v>463</v>
      </c>
      <c r="AH10" s="54">
        <v>45483.0</v>
      </c>
      <c r="AI10" s="53">
        <v>12000.0</v>
      </c>
      <c r="AJ10" s="62"/>
      <c r="AK10" s="61"/>
      <c r="AL10" s="37"/>
      <c r="AM10" s="53"/>
      <c r="AN10" s="62"/>
      <c r="AO10" s="61"/>
      <c r="AP10" s="37"/>
      <c r="AQ10" s="37" t="s">
        <v>328</v>
      </c>
      <c r="AR10" s="79" t="s">
        <v>349</v>
      </c>
      <c r="AS10" s="64">
        <v>12000.0</v>
      </c>
      <c r="AT10" s="65"/>
      <c r="AX10" s="37" t="s">
        <v>331</v>
      </c>
      <c r="BC10" s="66" t="s">
        <v>464</v>
      </c>
      <c r="BD10" s="51" t="s">
        <v>465</v>
      </c>
      <c r="BE10" s="80"/>
      <c r="BF10" s="75" t="s">
        <v>466</v>
      </c>
    </row>
    <row r="11" ht="39.0" customHeight="1">
      <c r="A11" s="37" t="s">
        <v>467</v>
      </c>
      <c r="B11" s="37" t="b">
        <v>1</v>
      </c>
      <c r="C11" s="37" t="b">
        <v>1</v>
      </c>
      <c r="D11" s="37" t="b">
        <v>1</v>
      </c>
      <c r="E11" s="37" t="b">
        <v>1</v>
      </c>
      <c r="F11" s="37" t="s">
        <v>122</v>
      </c>
      <c r="G11" s="52" t="s">
        <v>468</v>
      </c>
      <c r="H11" s="53">
        <v>35500.0</v>
      </c>
      <c r="I11" s="54">
        <v>45532.0</v>
      </c>
      <c r="J11" s="54">
        <v>45536.0</v>
      </c>
      <c r="K11" s="54">
        <v>47726.0</v>
      </c>
      <c r="L11" s="52" t="s">
        <v>314</v>
      </c>
      <c r="M11" s="52" t="s">
        <v>338</v>
      </c>
      <c r="N11" s="52" t="s">
        <v>469</v>
      </c>
      <c r="O11" s="52" t="s">
        <v>470</v>
      </c>
      <c r="P11" s="52" t="s">
        <v>471</v>
      </c>
      <c r="Q11" s="52" t="s">
        <v>472</v>
      </c>
      <c r="R11" s="55">
        <v>86.26</v>
      </c>
      <c r="S11" s="37">
        <v>1.0</v>
      </c>
      <c r="T11" s="37">
        <v>2.0</v>
      </c>
      <c r="U11" s="37">
        <v>4.0</v>
      </c>
      <c r="V11" s="37">
        <v>4.0</v>
      </c>
      <c r="W11" s="37">
        <v>3.0</v>
      </c>
      <c r="X11" s="37" t="s">
        <v>363</v>
      </c>
      <c r="Y11" s="37" t="s">
        <v>321</v>
      </c>
      <c r="Z11" s="37" t="s">
        <v>473</v>
      </c>
      <c r="AA11" s="52" t="s">
        <v>474</v>
      </c>
      <c r="AB11" s="56" t="s">
        <v>475</v>
      </c>
      <c r="AC11" s="68"/>
      <c r="AD11" s="58" t="str">
        <f t="shared" ref="AD11:AF11" si="10">if(ISBLANK(I11),, YEAR(I11)-1911&amp;TEXT(I11,"mmdd"))</f>
        <v>1130828</v>
      </c>
      <c r="AE11" s="58" t="str">
        <f t="shared" si="10"/>
        <v>1130901</v>
      </c>
      <c r="AF11" s="58" t="str">
        <f t="shared" si="10"/>
        <v>1190831</v>
      </c>
      <c r="AG11" s="37" t="s">
        <v>476</v>
      </c>
      <c r="AH11" s="54">
        <v>45536.0</v>
      </c>
      <c r="AI11" s="53">
        <v>35500.0</v>
      </c>
      <c r="AJ11" s="62"/>
      <c r="AK11" s="61"/>
      <c r="AL11" s="37"/>
      <c r="AM11" s="53"/>
      <c r="AN11" s="62"/>
      <c r="AO11" s="61"/>
      <c r="AP11" s="37"/>
      <c r="AQ11" s="37" t="s">
        <v>328</v>
      </c>
      <c r="AR11" s="64" t="s">
        <v>369</v>
      </c>
      <c r="AS11" s="64" t="s">
        <v>477</v>
      </c>
      <c r="AT11" s="65"/>
      <c r="AU11" s="74">
        <v>47710.0</v>
      </c>
      <c r="AX11" s="37" t="s">
        <v>331</v>
      </c>
      <c r="BC11" s="66" t="s">
        <v>478</v>
      </c>
      <c r="BD11" s="51" t="s">
        <v>353</v>
      </c>
      <c r="BE11" s="71" t="s">
        <v>479</v>
      </c>
      <c r="BF11" s="75" t="s">
        <v>480</v>
      </c>
    </row>
    <row r="12" ht="39.0" customHeight="1">
      <c r="A12" s="37" t="s">
        <v>481</v>
      </c>
      <c r="B12" s="37" t="b">
        <v>1</v>
      </c>
      <c r="C12" s="37" t="b">
        <v>1</v>
      </c>
      <c r="D12" s="37" t="b">
        <v>1</v>
      </c>
      <c r="E12" s="37" t="b">
        <v>1</v>
      </c>
      <c r="F12" s="37" t="s">
        <v>135</v>
      </c>
      <c r="G12" s="52" t="s">
        <v>482</v>
      </c>
      <c r="H12" s="53">
        <v>25000.0</v>
      </c>
      <c r="I12" s="54">
        <v>45544.0</v>
      </c>
      <c r="J12" s="54">
        <v>45545.0</v>
      </c>
      <c r="K12" s="54">
        <v>49287.0</v>
      </c>
      <c r="L12" s="52" t="s">
        <v>483</v>
      </c>
      <c r="M12" s="52" t="s">
        <v>484</v>
      </c>
      <c r="N12" s="52" t="s">
        <v>485</v>
      </c>
      <c r="O12" s="52" t="s">
        <v>486</v>
      </c>
      <c r="P12" s="52" t="s">
        <v>487</v>
      </c>
      <c r="Q12" s="52" t="s">
        <v>488</v>
      </c>
      <c r="R12" s="37">
        <v>100.39</v>
      </c>
      <c r="S12" s="37">
        <v>1.0</v>
      </c>
      <c r="T12" s="37">
        <v>2.0</v>
      </c>
      <c r="U12" s="37">
        <v>5.0</v>
      </c>
      <c r="V12" s="37">
        <v>5.0</v>
      </c>
      <c r="W12" s="37">
        <v>3.0</v>
      </c>
      <c r="X12" s="37" t="s">
        <v>363</v>
      </c>
      <c r="Y12" s="37" t="s">
        <v>321</v>
      </c>
      <c r="Z12" s="37" t="s">
        <v>489</v>
      </c>
      <c r="AA12" s="52" t="s">
        <v>490</v>
      </c>
      <c r="AB12" s="56" t="s">
        <v>491</v>
      </c>
      <c r="AD12" s="58" t="str">
        <f t="shared" ref="AD12:AF12" si="11">if(ISBLANK(I12),, YEAR(I12)-1911&amp;TEXT(I12,"mmdd"))</f>
        <v>1130909</v>
      </c>
      <c r="AE12" s="58" t="str">
        <f t="shared" si="11"/>
        <v>1130910</v>
      </c>
      <c r="AF12" s="58" t="str">
        <f t="shared" si="11"/>
        <v>1231209</v>
      </c>
      <c r="AG12" s="37" t="s">
        <v>492</v>
      </c>
      <c r="AH12" s="54">
        <v>45545.0</v>
      </c>
      <c r="AI12" s="53">
        <v>25000.0</v>
      </c>
      <c r="AJ12" s="62"/>
      <c r="AK12" s="61"/>
      <c r="AL12" s="37"/>
      <c r="AM12" s="53"/>
      <c r="AN12" s="62"/>
      <c r="AO12" s="61"/>
      <c r="AQ12" s="37" t="s">
        <v>328</v>
      </c>
      <c r="AR12" s="64" t="s">
        <v>369</v>
      </c>
      <c r="AS12" s="64" t="s">
        <v>493</v>
      </c>
      <c r="AT12" s="64"/>
      <c r="AU12" s="37" t="s">
        <v>494</v>
      </c>
      <c r="AX12" s="37" t="s">
        <v>331</v>
      </c>
      <c r="AY12" s="37" t="s">
        <v>495</v>
      </c>
      <c r="AZ12" s="37" t="s">
        <v>496</v>
      </c>
      <c r="BC12" s="66" t="s">
        <v>497</v>
      </c>
      <c r="BD12" s="51" t="s">
        <v>498</v>
      </c>
      <c r="BE12" s="80"/>
      <c r="BF12" s="75" t="s">
        <v>499</v>
      </c>
    </row>
    <row r="13" ht="39.0" customHeight="1">
      <c r="A13" s="37" t="s">
        <v>500</v>
      </c>
      <c r="B13" s="37" t="b">
        <v>1</v>
      </c>
      <c r="C13" s="37" t="b">
        <v>1</v>
      </c>
      <c r="D13" s="37" t="b">
        <v>1</v>
      </c>
      <c r="E13" s="37" t="b">
        <v>1</v>
      </c>
      <c r="F13" s="37" t="s">
        <v>150</v>
      </c>
      <c r="G13" s="37" t="s">
        <v>501</v>
      </c>
      <c r="H13" s="53">
        <v>23000.0</v>
      </c>
      <c r="I13" s="54">
        <v>45559.0</v>
      </c>
      <c r="J13" s="54">
        <v>45566.0</v>
      </c>
      <c r="K13" s="54">
        <v>49217.0</v>
      </c>
      <c r="L13" s="52" t="s">
        <v>314</v>
      </c>
      <c r="M13" s="37" t="s">
        <v>358</v>
      </c>
      <c r="N13" s="52" t="s">
        <v>502</v>
      </c>
      <c r="O13" s="52" t="s">
        <v>503</v>
      </c>
      <c r="P13" s="81" t="s">
        <v>504</v>
      </c>
      <c r="Q13" s="52" t="s">
        <v>505</v>
      </c>
      <c r="R13" s="37">
        <v>74.92</v>
      </c>
      <c r="S13" s="37">
        <v>1.0</v>
      </c>
      <c r="T13" s="37">
        <v>1.0</v>
      </c>
      <c r="U13" s="37">
        <v>4.0</v>
      </c>
      <c r="V13" s="37">
        <v>5.0</v>
      </c>
      <c r="W13" s="37">
        <v>3.0</v>
      </c>
      <c r="X13" s="37" t="s">
        <v>363</v>
      </c>
      <c r="Y13" s="37" t="s">
        <v>321</v>
      </c>
      <c r="Z13" s="37" t="s">
        <v>506</v>
      </c>
      <c r="AA13" s="52" t="s">
        <v>507</v>
      </c>
      <c r="AB13" s="56" t="s">
        <v>508</v>
      </c>
      <c r="AD13" s="58" t="str">
        <f t="shared" ref="AD13:AF13" si="12">if(ISBLANK(I13),, YEAR(I13)-1911&amp;TEXT(I13,"mmdd"))</f>
        <v>1130924</v>
      </c>
      <c r="AE13" s="58" t="str">
        <f t="shared" si="12"/>
        <v>1131001</v>
      </c>
      <c r="AF13" s="58" t="str">
        <f t="shared" si="12"/>
        <v>1230930</v>
      </c>
      <c r="AG13" s="37" t="s">
        <v>509</v>
      </c>
      <c r="AH13" s="54">
        <v>45566.0</v>
      </c>
      <c r="AI13" s="53">
        <v>23000.0</v>
      </c>
      <c r="AJ13" s="60">
        <v>47027.0</v>
      </c>
      <c r="AK13" s="61">
        <v>25000.0</v>
      </c>
      <c r="AL13" s="74">
        <v>48122.0</v>
      </c>
      <c r="AM13" s="53">
        <v>30000.0</v>
      </c>
      <c r="AN13" s="62"/>
      <c r="AO13" s="61"/>
      <c r="AP13" s="37" t="s">
        <v>510</v>
      </c>
      <c r="AQ13" s="37" t="s">
        <v>328</v>
      </c>
      <c r="AR13" s="64" t="s">
        <v>369</v>
      </c>
      <c r="AS13" s="64" t="s">
        <v>511</v>
      </c>
      <c r="AT13" s="65"/>
      <c r="AU13" s="54">
        <v>49202.0</v>
      </c>
      <c r="AX13" s="37" t="s">
        <v>331</v>
      </c>
      <c r="BC13" s="66" t="s">
        <v>512</v>
      </c>
      <c r="BD13" s="51" t="s">
        <v>372</v>
      </c>
      <c r="BE13" s="71" t="s">
        <v>513</v>
      </c>
      <c r="BF13" s="75" t="s">
        <v>514</v>
      </c>
    </row>
    <row r="14" ht="39.0" customHeight="1">
      <c r="A14" s="37" t="s">
        <v>515</v>
      </c>
      <c r="B14" s="37" t="b">
        <v>1</v>
      </c>
      <c r="C14" s="37" t="b">
        <v>1</v>
      </c>
      <c r="D14" s="37" t="b">
        <v>1</v>
      </c>
      <c r="E14" s="37" t="b">
        <v>1</v>
      </c>
      <c r="F14" s="82" t="s">
        <v>163</v>
      </c>
      <c r="G14" s="52" t="s">
        <v>516</v>
      </c>
      <c r="H14" s="53">
        <v>39800.0</v>
      </c>
      <c r="I14" s="54">
        <v>45562.0</v>
      </c>
      <c r="J14" s="54">
        <v>45566.0</v>
      </c>
      <c r="K14" s="54">
        <v>48121.0</v>
      </c>
      <c r="L14" s="52" t="s">
        <v>314</v>
      </c>
      <c r="M14" s="37" t="s">
        <v>358</v>
      </c>
      <c r="N14" s="52" t="s">
        <v>517</v>
      </c>
      <c r="O14" s="52" t="s">
        <v>518</v>
      </c>
      <c r="P14" s="81" t="s">
        <v>519</v>
      </c>
      <c r="Q14" s="81" t="s">
        <v>520</v>
      </c>
      <c r="R14" s="10">
        <v>54.29</v>
      </c>
      <c r="S14" s="37">
        <v>1.0</v>
      </c>
      <c r="T14" s="37">
        <v>1.0</v>
      </c>
      <c r="U14" s="37">
        <v>4.0</v>
      </c>
      <c r="V14" s="37">
        <v>4.0</v>
      </c>
      <c r="W14" s="37">
        <v>4.0</v>
      </c>
      <c r="X14" s="37" t="s">
        <v>320</v>
      </c>
      <c r="Y14" s="37" t="s">
        <v>321</v>
      </c>
      <c r="Z14" s="37" t="s">
        <v>521</v>
      </c>
      <c r="AA14" s="52" t="s">
        <v>522</v>
      </c>
      <c r="AB14" s="56" t="s">
        <v>523</v>
      </c>
      <c r="AD14" s="58" t="str">
        <f t="shared" ref="AD14:AF14" si="13">if(ISBLANK(I14),, YEAR(I14)-1911&amp;TEXT(I14,"mmdd"))</f>
        <v>1130927</v>
      </c>
      <c r="AE14" s="58" t="str">
        <f t="shared" si="13"/>
        <v>1131001</v>
      </c>
      <c r="AF14" s="58" t="str">
        <f t="shared" si="13"/>
        <v>1200930</v>
      </c>
      <c r="AG14" s="37" t="s">
        <v>524</v>
      </c>
      <c r="AH14" s="54">
        <v>45566.0</v>
      </c>
      <c r="AI14" s="53">
        <v>39800.0</v>
      </c>
      <c r="AJ14" s="62"/>
      <c r="AK14" s="61"/>
      <c r="AL14" s="37"/>
      <c r="AM14" s="53"/>
      <c r="AN14" s="62"/>
      <c r="AO14" s="61"/>
      <c r="AQ14" s="37" t="s">
        <v>348</v>
      </c>
      <c r="AR14" s="64" t="s">
        <v>369</v>
      </c>
      <c r="AS14" s="64" t="s">
        <v>525</v>
      </c>
      <c r="AT14" s="65"/>
      <c r="AU14" s="54">
        <v>48106.0</v>
      </c>
      <c r="AX14" s="37" t="s">
        <v>351</v>
      </c>
      <c r="BC14" s="23" t="s">
        <v>526</v>
      </c>
      <c r="BD14" s="51" t="s">
        <v>372</v>
      </c>
      <c r="BE14" s="71" t="s">
        <v>527</v>
      </c>
      <c r="BF14" s="67" t="s">
        <v>528</v>
      </c>
    </row>
    <row r="15" ht="39.0" customHeight="1">
      <c r="A15" s="37" t="s">
        <v>529</v>
      </c>
      <c r="B15" s="37" t="b">
        <v>1</v>
      </c>
      <c r="C15" s="37" t="b">
        <v>1</v>
      </c>
      <c r="D15" s="37" t="b">
        <v>1</v>
      </c>
      <c r="E15" s="37" t="b">
        <v>1</v>
      </c>
      <c r="F15" s="37" t="s">
        <v>178</v>
      </c>
      <c r="G15" s="52" t="s">
        <v>530</v>
      </c>
      <c r="H15" s="53">
        <v>36000.0</v>
      </c>
      <c r="I15" s="54">
        <v>45572.0</v>
      </c>
      <c r="J15" s="54">
        <v>45580.0</v>
      </c>
      <c r="K15" s="54">
        <v>49231.0</v>
      </c>
      <c r="L15" s="52" t="s">
        <v>314</v>
      </c>
      <c r="M15" s="37" t="s">
        <v>420</v>
      </c>
      <c r="N15" s="52" t="s">
        <v>531</v>
      </c>
      <c r="O15" s="52" t="s">
        <v>532</v>
      </c>
      <c r="P15" s="81" t="s">
        <v>533</v>
      </c>
      <c r="Q15" s="81" t="s">
        <v>534</v>
      </c>
      <c r="R15" s="10">
        <v>100.67</v>
      </c>
      <c r="S15" s="37">
        <v>1.0</v>
      </c>
      <c r="T15" s="37">
        <v>2.0</v>
      </c>
      <c r="U15" s="37">
        <v>4.0</v>
      </c>
      <c r="V15" s="37">
        <v>5.0</v>
      </c>
      <c r="W15" s="37">
        <v>5.0</v>
      </c>
      <c r="X15" s="37" t="s">
        <v>343</v>
      </c>
      <c r="Y15" s="37" t="s">
        <v>321</v>
      </c>
      <c r="Z15" s="37" t="s">
        <v>535</v>
      </c>
      <c r="AA15" s="52" t="s">
        <v>536</v>
      </c>
      <c r="AB15" s="56" t="s">
        <v>537</v>
      </c>
      <c r="AD15" s="58" t="str">
        <f t="shared" ref="AD15:AF15" si="14">if(ISBLANK(I15),, YEAR(I15)-1911&amp;TEXT(I15,"mmdd"))</f>
        <v>1131007</v>
      </c>
      <c r="AE15" s="58" t="str">
        <f t="shared" si="14"/>
        <v>1131015</v>
      </c>
      <c r="AF15" s="58" t="str">
        <f t="shared" si="14"/>
        <v>1231014</v>
      </c>
      <c r="AG15" s="37" t="s">
        <v>538</v>
      </c>
      <c r="AH15" s="54">
        <v>45580.0</v>
      </c>
      <c r="AI15" s="53">
        <v>36000.0</v>
      </c>
      <c r="AJ15" s="60">
        <v>46675.0</v>
      </c>
      <c r="AK15" s="61">
        <v>38000.0</v>
      </c>
      <c r="AL15" s="74">
        <v>47406.0</v>
      </c>
      <c r="AM15" s="53">
        <v>42000.0</v>
      </c>
      <c r="AN15" s="60">
        <v>48502.0</v>
      </c>
      <c r="AO15" s="61">
        <v>45000.0</v>
      </c>
      <c r="AQ15" s="37" t="s">
        <v>328</v>
      </c>
      <c r="AR15" s="64" t="s">
        <v>369</v>
      </c>
      <c r="AS15" s="64" t="s">
        <v>539</v>
      </c>
      <c r="AT15" s="65"/>
      <c r="AU15" s="54">
        <v>49218.0</v>
      </c>
      <c r="AX15" s="37" t="s">
        <v>331</v>
      </c>
      <c r="BC15" s="66" t="s">
        <v>540</v>
      </c>
      <c r="BD15" s="51" t="s">
        <v>541</v>
      </c>
      <c r="BE15" s="71" t="s">
        <v>542</v>
      </c>
      <c r="BF15" s="75" t="s">
        <v>543</v>
      </c>
    </row>
    <row r="16" ht="39.0" customHeight="1">
      <c r="A16" s="83" t="s">
        <v>544</v>
      </c>
      <c r="B16" s="84" t="b">
        <v>1</v>
      </c>
      <c r="C16" s="85" t="b">
        <v>1</v>
      </c>
      <c r="D16" s="85" t="b">
        <v>1</v>
      </c>
      <c r="E16" s="84" t="b">
        <v>1</v>
      </c>
      <c r="F16" s="24" t="s">
        <v>188</v>
      </c>
      <c r="G16" s="86" t="s">
        <v>545</v>
      </c>
      <c r="H16" s="87">
        <v>50000.0</v>
      </c>
      <c r="I16" s="88">
        <v>45723.0</v>
      </c>
      <c r="J16" s="88">
        <v>45809.0</v>
      </c>
      <c r="K16" s="88">
        <v>49460.0</v>
      </c>
      <c r="L16" s="89" t="s">
        <v>314</v>
      </c>
      <c r="M16" s="83" t="s">
        <v>546</v>
      </c>
      <c r="N16" s="89" t="s">
        <v>547</v>
      </c>
      <c r="O16" s="89" t="s">
        <v>548</v>
      </c>
      <c r="P16" s="90" t="s">
        <v>549</v>
      </c>
      <c r="Q16" s="90" t="s">
        <v>550</v>
      </c>
      <c r="R16" s="91">
        <v>119.55</v>
      </c>
      <c r="S16" s="28">
        <v>2.0</v>
      </c>
      <c r="T16" s="28">
        <v>2.0</v>
      </c>
      <c r="U16" s="42">
        <v>5.0</v>
      </c>
      <c r="V16" s="28">
        <v>4.0</v>
      </c>
      <c r="W16" s="28">
        <v>4.0</v>
      </c>
      <c r="X16" s="83" t="s">
        <v>320</v>
      </c>
      <c r="Y16" s="83" t="s">
        <v>321</v>
      </c>
      <c r="Z16" s="83" t="s">
        <v>551</v>
      </c>
      <c r="AA16" s="89" t="s">
        <v>552</v>
      </c>
      <c r="AB16" s="92" t="s">
        <v>553</v>
      </c>
      <c r="AC16" s="83"/>
      <c r="AD16" s="93" t="str">
        <f t="shared" ref="AD16:AF16" si="15">if(ISBLANK(I16),, YEAR(I16)-1911&amp;TEXT(I16,"mmdd"))</f>
        <v>1140307</v>
      </c>
      <c r="AE16" s="93" t="str">
        <f t="shared" si="15"/>
        <v>1140601</v>
      </c>
      <c r="AF16" s="93" t="str">
        <f t="shared" si="15"/>
        <v>1240531</v>
      </c>
      <c r="AG16" s="83" t="s">
        <v>554</v>
      </c>
      <c r="AH16" s="88">
        <v>45809.0</v>
      </c>
      <c r="AI16" s="87">
        <v>50000.0</v>
      </c>
      <c r="AJ16" s="94"/>
      <c r="AK16" s="95"/>
      <c r="AL16" s="83"/>
      <c r="AM16" s="96"/>
      <c r="AN16" s="94"/>
      <c r="AO16" s="95"/>
      <c r="AP16" s="83"/>
      <c r="AQ16" s="83"/>
      <c r="AR16" s="97" t="s">
        <v>555</v>
      </c>
      <c r="AS16" s="97" t="s">
        <v>556</v>
      </c>
      <c r="AT16" s="98"/>
      <c r="AU16" s="88">
        <v>49430.0</v>
      </c>
      <c r="AV16" s="83"/>
      <c r="AW16" s="83"/>
      <c r="AX16" s="83" t="s">
        <v>331</v>
      </c>
      <c r="AY16" s="83"/>
      <c r="AZ16" s="83"/>
      <c r="BA16" s="83"/>
      <c r="BB16" s="83"/>
      <c r="BC16" s="15" t="s">
        <v>557</v>
      </c>
      <c r="BD16" s="51" t="s">
        <v>372</v>
      </c>
      <c r="BE16" s="99" t="s">
        <v>558</v>
      </c>
      <c r="BF16" s="75" t="s">
        <v>559</v>
      </c>
    </row>
    <row r="17" ht="39.0" customHeight="1">
      <c r="A17" s="83" t="s">
        <v>560</v>
      </c>
      <c r="B17" s="84" t="b">
        <v>0</v>
      </c>
      <c r="C17" s="84" t="b">
        <v>1</v>
      </c>
      <c r="D17" s="85" t="b">
        <v>1</v>
      </c>
      <c r="E17" s="85" t="b">
        <v>1</v>
      </c>
      <c r="F17" s="24" t="s">
        <v>209</v>
      </c>
      <c r="G17" s="89" t="s">
        <v>337</v>
      </c>
      <c r="H17" s="87">
        <v>33000.0</v>
      </c>
      <c r="I17" s="88">
        <v>45782.0</v>
      </c>
      <c r="J17" s="88">
        <v>45778.0</v>
      </c>
      <c r="K17" s="88">
        <v>49429.0</v>
      </c>
      <c r="L17" s="89" t="s">
        <v>314</v>
      </c>
      <c r="M17" s="89" t="s">
        <v>338</v>
      </c>
      <c r="N17" s="89" t="s">
        <v>561</v>
      </c>
      <c r="O17" s="89" t="s">
        <v>562</v>
      </c>
      <c r="P17" s="90" t="s">
        <v>563</v>
      </c>
      <c r="Q17" s="90" t="s">
        <v>564</v>
      </c>
      <c r="R17" s="91">
        <v>114.48</v>
      </c>
      <c r="S17" s="28">
        <v>2.0</v>
      </c>
      <c r="T17" s="28">
        <v>2.0</v>
      </c>
      <c r="U17" s="42">
        <v>6.0</v>
      </c>
      <c r="V17" s="28">
        <v>4.0</v>
      </c>
      <c r="W17" s="28">
        <v>4.0</v>
      </c>
      <c r="X17" s="83" t="s">
        <v>320</v>
      </c>
      <c r="Y17" s="83" t="s">
        <v>321</v>
      </c>
      <c r="Z17" s="83" t="s">
        <v>344</v>
      </c>
      <c r="AA17" s="89" t="s">
        <v>565</v>
      </c>
      <c r="AB17" s="100" t="s">
        <v>566</v>
      </c>
      <c r="AC17" s="83"/>
      <c r="AD17" s="93" t="str">
        <f t="shared" ref="AD17:AF17" si="16">if(ISBLANK(I17),, YEAR(I17)-1911&amp;TEXT(I17,"mmdd"))</f>
        <v>1140505</v>
      </c>
      <c r="AE17" s="93" t="str">
        <f t="shared" si="16"/>
        <v>1140501</v>
      </c>
      <c r="AF17" s="93" t="str">
        <f t="shared" si="16"/>
        <v>1240430</v>
      </c>
      <c r="AG17" s="15" t="s">
        <v>567</v>
      </c>
      <c r="AH17" s="88">
        <v>45778.0</v>
      </c>
      <c r="AI17" s="87">
        <v>33000.0</v>
      </c>
      <c r="AJ17" s="94"/>
      <c r="AK17" s="95"/>
      <c r="AL17" s="83"/>
      <c r="AM17" s="96"/>
      <c r="AN17" s="94"/>
      <c r="AO17" s="95"/>
      <c r="AP17" s="83"/>
      <c r="AQ17" s="83"/>
      <c r="AR17" s="97" t="s">
        <v>369</v>
      </c>
      <c r="AS17" s="97" t="s">
        <v>568</v>
      </c>
      <c r="AT17" s="98"/>
      <c r="AU17" s="88">
        <v>49400.0</v>
      </c>
      <c r="AV17" s="83"/>
      <c r="AW17" s="83"/>
      <c r="AX17" s="83" t="s">
        <v>351</v>
      </c>
      <c r="AY17" s="83"/>
      <c r="AZ17" s="83"/>
      <c r="BA17" s="83"/>
      <c r="BB17" s="83"/>
      <c r="BC17" s="15" t="s">
        <v>569</v>
      </c>
      <c r="BD17" s="51" t="s">
        <v>372</v>
      </c>
      <c r="BE17" s="71" t="s">
        <v>570</v>
      </c>
      <c r="BF17" s="75" t="s">
        <v>571</v>
      </c>
    </row>
    <row r="18" ht="39.0" customHeight="1">
      <c r="A18" s="37" t="s">
        <v>239</v>
      </c>
      <c r="B18" s="37" t="b">
        <v>0</v>
      </c>
      <c r="C18" s="37" t="b">
        <v>0</v>
      </c>
      <c r="D18" s="37" t="b">
        <v>0</v>
      </c>
      <c r="E18" s="37" t="b">
        <v>1</v>
      </c>
      <c r="F18" s="19" t="s">
        <v>241</v>
      </c>
      <c r="G18" s="92" t="s">
        <v>572</v>
      </c>
      <c r="H18" s="53">
        <v>19800.0</v>
      </c>
      <c r="I18" s="101">
        <v>45933.0</v>
      </c>
      <c r="J18" s="54">
        <v>45943.0</v>
      </c>
      <c r="K18" s="54">
        <v>51440.0</v>
      </c>
      <c r="L18" s="52" t="s">
        <v>314</v>
      </c>
      <c r="M18" s="37" t="s">
        <v>420</v>
      </c>
      <c r="N18" s="52" t="s">
        <v>573</v>
      </c>
      <c r="O18" s="52" t="s">
        <v>574</v>
      </c>
      <c r="P18" s="81" t="s">
        <v>575</v>
      </c>
      <c r="Q18" s="81" t="s">
        <v>576</v>
      </c>
      <c r="R18" s="10">
        <v>141.26</v>
      </c>
      <c r="S18" s="37">
        <v>1.0</v>
      </c>
      <c r="T18" s="37">
        <v>2.0</v>
      </c>
      <c r="U18" s="37">
        <v>4.0</v>
      </c>
      <c r="V18" s="37">
        <v>5.0</v>
      </c>
      <c r="W18" s="37">
        <v>5.0</v>
      </c>
      <c r="X18" s="37" t="s">
        <v>343</v>
      </c>
      <c r="Y18" s="37" t="s">
        <v>321</v>
      </c>
      <c r="Z18" s="37" t="s">
        <v>577</v>
      </c>
      <c r="AA18" s="52" t="s">
        <v>578</v>
      </c>
      <c r="AB18" s="102" t="s">
        <v>579</v>
      </c>
      <c r="AD18" s="68">
        <v>1141003.0</v>
      </c>
      <c r="AE18" s="68">
        <v>1141013.0</v>
      </c>
      <c r="AF18" s="68">
        <v>1291031.0</v>
      </c>
      <c r="AG18" s="37" t="s">
        <v>580</v>
      </c>
      <c r="AH18" s="54">
        <v>46023.0</v>
      </c>
      <c r="AI18" s="53">
        <v>19800.0</v>
      </c>
      <c r="AJ18" s="62"/>
      <c r="AK18" s="61"/>
      <c r="AL18" s="37"/>
      <c r="AM18" s="53"/>
      <c r="AN18" s="62"/>
      <c r="AO18" s="61"/>
      <c r="AR18" s="64"/>
      <c r="AS18" s="64"/>
      <c r="AT18" s="65"/>
      <c r="AU18" s="54"/>
      <c r="AX18" s="37" t="s">
        <v>331</v>
      </c>
      <c r="BC18" s="19" t="s">
        <v>581</v>
      </c>
      <c r="BD18" s="23"/>
      <c r="BE18" s="23"/>
      <c r="BF18" s="51" t="s">
        <v>582</v>
      </c>
    </row>
    <row r="19" ht="39.0" customHeight="1">
      <c r="A19" s="37" t="s">
        <v>583</v>
      </c>
      <c r="B19" s="37" t="b">
        <v>0</v>
      </c>
      <c r="C19" s="37" t="b">
        <v>0</v>
      </c>
      <c r="D19" s="37" t="b">
        <v>0</v>
      </c>
      <c r="E19" s="37" t="b">
        <v>1</v>
      </c>
      <c r="F19" s="37" t="s">
        <v>584</v>
      </c>
      <c r="G19" s="52" t="s">
        <v>585</v>
      </c>
      <c r="H19" s="53">
        <v>0.0</v>
      </c>
      <c r="I19" s="101">
        <v>45933.0</v>
      </c>
      <c r="J19" s="54">
        <v>45962.0</v>
      </c>
      <c r="K19" s="54">
        <v>45944.0</v>
      </c>
      <c r="L19" s="52" t="s">
        <v>314</v>
      </c>
      <c r="M19" s="37" t="s">
        <v>338</v>
      </c>
      <c r="N19" s="52" t="s">
        <v>586</v>
      </c>
      <c r="O19" s="52" t="s">
        <v>587</v>
      </c>
      <c r="P19" s="81" t="s">
        <v>588</v>
      </c>
      <c r="Q19" s="81" t="s">
        <v>589</v>
      </c>
      <c r="R19" s="103">
        <v>100.925</v>
      </c>
      <c r="S19" s="37">
        <v>1.0</v>
      </c>
      <c r="T19" s="37">
        <v>2.0</v>
      </c>
      <c r="U19" s="37">
        <v>3.0</v>
      </c>
      <c r="V19" s="37">
        <v>7.0</v>
      </c>
      <c r="W19" s="37">
        <v>1.0</v>
      </c>
      <c r="X19" s="37" t="s">
        <v>440</v>
      </c>
      <c r="Y19" s="37" t="s">
        <v>590</v>
      </c>
      <c r="Z19" s="37" t="s">
        <v>591</v>
      </c>
      <c r="AA19" s="52" t="s">
        <v>592</v>
      </c>
      <c r="AB19" s="56" t="s">
        <v>593</v>
      </c>
      <c r="AD19" s="68">
        <v>1141003.0</v>
      </c>
      <c r="AE19" s="68">
        <v>1141101.0</v>
      </c>
      <c r="AF19" s="68">
        <v>1241031.0</v>
      </c>
      <c r="AG19" s="37" t="s">
        <v>594</v>
      </c>
      <c r="AH19" s="54">
        <v>46023.0</v>
      </c>
      <c r="AI19" s="53">
        <v>0.0</v>
      </c>
      <c r="AJ19" s="104"/>
      <c r="AK19" s="61"/>
      <c r="AL19" s="37"/>
      <c r="AM19" s="53"/>
      <c r="AN19" s="62"/>
      <c r="AO19" s="61"/>
      <c r="AR19" s="64" t="s">
        <v>369</v>
      </c>
      <c r="AS19" s="64"/>
      <c r="AT19" s="65"/>
      <c r="AU19" s="54"/>
      <c r="AX19" s="37" t="s">
        <v>331</v>
      </c>
      <c r="BC19" s="23"/>
      <c r="BD19" s="23"/>
      <c r="BE19" s="23"/>
      <c r="BF19" s="66"/>
    </row>
    <row r="20" ht="39.0" customHeight="1">
      <c r="A20" s="37" t="s">
        <v>595</v>
      </c>
      <c r="B20" s="37" t="b">
        <v>0</v>
      </c>
      <c r="C20" s="37" t="b">
        <v>0</v>
      </c>
      <c r="D20" s="37" t="b">
        <v>0</v>
      </c>
      <c r="E20" s="37" t="b">
        <v>0</v>
      </c>
      <c r="G20" s="52"/>
      <c r="H20" s="105"/>
      <c r="I20" s="54"/>
      <c r="J20" s="54"/>
      <c r="K20" s="54"/>
      <c r="L20" s="52"/>
      <c r="N20" s="52"/>
      <c r="O20" s="52"/>
      <c r="P20" s="52"/>
      <c r="Q20" s="81"/>
      <c r="AA20" s="52"/>
      <c r="AB20" s="52"/>
      <c r="AD20" s="68"/>
      <c r="AE20" s="68"/>
      <c r="AF20" s="68"/>
      <c r="AH20" s="54"/>
      <c r="AI20" s="53"/>
      <c r="AJ20" s="62"/>
      <c r="AK20" s="61"/>
      <c r="AM20" s="53"/>
      <c r="AN20" s="62"/>
      <c r="AO20" s="61"/>
      <c r="AR20" s="64"/>
      <c r="AS20" s="64"/>
      <c r="AT20" s="65"/>
      <c r="AU20" s="54"/>
      <c r="BC20" s="23"/>
      <c r="BD20" s="23"/>
      <c r="BE20" s="23"/>
      <c r="BF20" s="66"/>
    </row>
    <row r="21" ht="39.0" customHeight="1">
      <c r="A21" s="37" t="s">
        <v>596</v>
      </c>
      <c r="B21" s="37" t="b">
        <v>0</v>
      </c>
      <c r="C21" s="37" t="b">
        <v>0</v>
      </c>
      <c r="D21" s="37" t="b">
        <v>0</v>
      </c>
      <c r="E21" s="37" t="b">
        <v>0</v>
      </c>
      <c r="G21" s="52"/>
      <c r="H21" s="105"/>
      <c r="I21" s="54"/>
      <c r="J21" s="54"/>
      <c r="K21" s="54"/>
      <c r="L21" s="52"/>
      <c r="N21" s="52"/>
      <c r="O21" s="52"/>
      <c r="P21" s="52"/>
      <c r="Q21" s="81"/>
      <c r="AA21" s="52"/>
      <c r="AB21" s="52"/>
      <c r="AD21" s="68"/>
      <c r="AE21" s="68"/>
      <c r="AF21" s="68"/>
      <c r="AH21" s="54"/>
      <c r="AI21" s="53"/>
      <c r="AJ21" s="62"/>
      <c r="AK21" s="61"/>
      <c r="AM21" s="53"/>
      <c r="AN21" s="62"/>
      <c r="AO21" s="61"/>
      <c r="AR21" s="64"/>
      <c r="AS21" s="64"/>
      <c r="AT21" s="65"/>
      <c r="AU21" s="54"/>
      <c r="BC21" s="23"/>
      <c r="BD21" s="23"/>
      <c r="BE21" s="23"/>
      <c r="BF21" s="66"/>
    </row>
    <row r="22" ht="39.0" customHeight="1">
      <c r="A22" s="37" t="s">
        <v>597</v>
      </c>
      <c r="B22" s="37" t="b">
        <v>0</v>
      </c>
      <c r="C22" s="37" t="b">
        <v>0</v>
      </c>
      <c r="D22" s="37" t="b">
        <v>0</v>
      </c>
      <c r="E22" s="37" t="b">
        <v>0</v>
      </c>
      <c r="G22" s="52"/>
      <c r="H22" s="105"/>
      <c r="I22" s="54"/>
      <c r="J22" s="54"/>
      <c r="K22" s="54"/>
      <c r="L22" s="52"/>
      <c r="N22" s="52"/>
      <c r="O22" s="52"/>
      <c r="P22" s="52"/>
      <c r="Q22" s="81"/>
      <c r="AA22" s="52"/>
      <c r="AB22" s="52"/>
      <c r="AD22" s="68"/>
      <c r="AE22" s="68"/>
      <c r="AF22" s="68"/>
      <c r="AH22" s="54"/>
      <c r="AI22" s="53"/>
      <c r="AJ22" s="62"/>
      <c r="AK22" s="61"/>
      <c r="AM22" s="53"/>
      <c r="AN22" s="62"/>
      <c r="AO22" s="61"/>
      <c r="AR22" s="64"/>
      <c r="AS22" s="64"/>
      <c r="AT22" s="65"/>
      <c r="AU22" s="54"/>
      <c r="BC22" s="23"/>
      <c r="BD22" s="23"/>
      <c r="BE22" s="23"/>
      <c r="BF22" s="66"/>
    </row>
    <row r="23" ht="39.0" customHeight="1">
      <c r="A23" s="37" t="s">
        <v>598</v>
      </c>
      <c r="B23" s="37" t="b">
        <v>0</v>
      </c>
      <c r="C23" s="37" t="b">
        <v>0</v>
      </c>
      <c r="D23" s="37" t="b">
        <v>0</v>
      </c>
      <c r="E23" s="37" t="b">
        <v>0</v>
      </c>
      <c r="G23" s="52"/>
      <c r="H23" s="105"/>
      <c r="I23" s="54"/>
      <c r="J23" s="54"/>
      <c r="K23" s="54"/>
      <c r="L23" s="52"/>
      <c r="N23" s="52"/>
      <c r="O23" s="52"/>
      <c r="P23" s="52"/>
      <c r="Q23" s="52"/>
      <c r="AA23" s="52"/>
      <c r="AB23" s="52"/>
      <c r="AD23" s="68"/>
      <c r="AE23" s="68"/>
      <c r="AF23" s="68"/>
      <c r="AH23" s="54"/>
      <c r="AI23" s="53"/>
      <c r="AJ23" s="62"/>
      <c r="AK23" s="61"/>
      <c r="AM23" s="53"/>
      <c r="AN23" s="62"/>
      <c r="AO23" s="61"/>
      <c r="AR23" s="64"/>
      <c r="AS23" s="64"/>
      <c r="AT23" s="65"/>
      <c r="AU23" s="54"/>
      <c r="BC23" s="23"/>
      <c r="BD23" s="23"/>
      <c r="BE23" s="23"/>
      <c r="BF23" s="66"/>
    </row>
    <row r="24" ht="39.0" customHeight="1">
      <c r="A24" s="37" t="s">
        <v>599</v>
      </c>
      <c r="B24" s="37" t="b">
        <v>0</v>
      </c>
      <c r="C24" s="37" t="b">
        <v>0</v>
      </c>
      <c r="D24" s="37" t="b">
        <v>0</v>
      </c>
      <c r="E24" s="37" t="b">
        <v>0</v>
      </c>
      <c r="G24" s="52"/>
      <c r="H24" s="105"/>
      <c r="I24" s="54"/>
      <c r="J24" s="54"/>
      <c r="K24" s="54"/>
      <c r="L24" s="52"/>
      <c r="N24" s="52"/>
      <c r="O24" s="52"/>
      <c r="P24" s="52"/>
      <c r="Q24" s="52"/>
      <c r="AA24" s="52"/>
      <c r="AB24" s="52"/>
      <c r="AD24" s="68"/>
      <c r="AE24" s="68"/>
      <c r="AF24" s="68"/>
      <c r="AH24" s="54"/>
      <c r="AI24" s="53"/>
      <c r="AJ24" s="62"/>
      <c r="AK24" s="61"/>
      <c r="AM24" s="53"/>
      <c r="AN24" s="62"/>
      <c r="AO24" s="61"/>
      <c r="AR24" s="64"/>
      <c r="AS24" s="64"/>
      <c r="AT24" s="65"/>
      <c r="AU24" s="54"/>
      <c r="BC24" s="23"/>
      <c r="BD24" s="23"/>
      <c r="BE24" s="23"/>
      <c r="BF24" s="66"/>
    </row>
    <row r="25" ht="39.0" customHeight="1">
      <c r="A25" s="37" t="s">
        <v>600</v>
      </c>
      <c r="B25" s="37" t="b">
        <v>0</v>
      </c>
      <c r="C25" s="37" t="b">
        <v>0</v>
      </c>
      <c r="D25" s="37" t="b">
        <v>0</v>
      </c>
      <c r="E25" s="37" t="b">
        <v>0</v>
      </c>
      <c r="G25" s="52"/>
      <c r="H25" s="105"/>
      <c r="I25" s="54"/>
      <c r="J25" s="54"/>
      <c r="K25" s="54"/>
      <c r="L25" s="52"/>
      <c r="N25" s="52"/>
      <c r="O25" s="52"/>
      <c r="P25" s="52"/>
      <c r="Q25" s="52"/>
      <c r="AA25" s="52"/>
      <c r="AB25" s="52"/>
      <c r="AD25" s="68"/>
      <c r="AE25" s="68"/>
      <c r="AF25" s="68"/>
      <c r="AH25" s="54"/>
      <c r="AI25" s="53"/>
      <c r="AJ25" s="62"/>
      <c r="AK25" s="61"/>
      <c r="AM25" s="53"/>
      <c r="AN25" s="62"/>
      <c r="AO25" s="61"/>
      <c r="AR25" s="64"/>
      <c r="AS25" s="64"/>
      <c r="AT25" s="65"/>
      <c r="AU25" s="54"/>
      <c r="BC25" s="23"/>
      <c r="BD25" s="23"/>
      <c r="BE25" s="23"/>
      <c r="BF25" s="66"/>
    </row>
    <row r="26" ht="39.0" customHeight="1">
      <c r="A26" s="37" t="s">
        <v>601</v>
      </c>
      <c r="B26" s="37" t="b">
        <v>0</v>
      </c>
      <c r="C26" s="37" t="b">
        <v>0</v>
      </c>
      <c r="D26" s="37" t="b">
        <v>0</v>
      </c>
      <c r="E26" s="37" t="b">
        <v>0</v>
      </c>
      <c r="G26" s="52"/>
      <c r="H26" s="105"/>
      <c r="I26" s="54"/>
      <c r="J26" s="54"/>
      <c r="K26" s="54"/>
      <c r="L26" s="52"/>
      <c r="N26" s="52"/>
      <c r="O26" s="52"/>
      <c r="P26" s="52"/>
      <c r="Q26" s="52"/>
      <c r="AA26" s="52"/>
      <c r="AB26" s="52"/>
      <c r="AD26" s="68"/>
      <c r="AE26" s="68"/>
      <c r="AF26" s="68"/>
      <c r="AH26" s="54"/>
      <c r="AI26" s="53"/>
      <c r="AJ26" s="62"/>
      <c r="AK26" s="61"/>
      <c r="AM26" s="53"/>
      <c r="AN26" s="62"/>
      <c r="AO26" s="61"/>
      <c r="AR26" s="64"/>
      <c r="AS26" s="64"/>
      <c r="AT26" s="65"/>
      <c r="AU26" s="54"/>
      <c r="BC26" s="23"/>
      <c r="BD26" s="23"/>
      <c r="BE26" s="23"/>
      <c r="BF26" s="66"/>
    </row>
    <row r="27" ht="39.0" customHeight="1">
      <c r="A27" s="37" t="s">
        <v>602</v>
      </c>
      <c r="B27" s="37" t="b">
        <v>0</v>
      </c>
      <c r="C27" s="37" t="b">
        <v>0</v>
      </c>
      <c r="D27" s="37" t="b">
        <v>0</v>
      </c>
      <c r="E27" s="37" t="b">
        <v>0</v>
      </c>
      <c r="G27" s="52"/>
      <c r="H27" s="105"/>
      <c r="I27" s="54"/>
      <c r="J27" s="54"/>
      <c r="K27" s="54"/>
      <c r="L27" s="52"/>
      <c r="N27" s="52"/>
      <c r="O27" s="52"/>
      <c r="P27" s="52"/>
      <c r="Q27" s="52"/>
      <c r="AA27" s="52"/>
      <c r="AB27" s="52"/>
      <c r="AD27" s="68"/>
      <c r="AE27" s="68"/>
      <c r="AF27" s="68"/>
      <c r="AH27" s="54"/>
      <c r="AI27" s="53"/>
      <c r="AJ27" s="62"/>
      <c r="AK27" s="61"/>
      <c r="AM27" s="53"/>
      <c r="AN27" s="62"/>
      <c r="AO27" s="61"/>
      <c r="AR27" s="64"/>
      <c r="AS27" s="64"/>
      <c r="AT27" s="65"/>
      <c r="AU27" s="54"/>
      <c r="BC27" s="23"/>
      <c r="BD27" s="23"/>
      <c r="BE27" s="23"/>
      <c r="BF27" s="66"/>
    </row>
    <row r="28" ht="39.0" customHeight="1">
      <c r="A28" s="37" t="s">
        <v>603</v>
      </c>
      <c r="B28" s="37" t="b">
        <v>0</v>
      </c>
      <c r="C28" s="37" t="b">
        <v>0</v>
      </c>
      <c r="D28" s="37" t="b">
        <v>0</v>
      </c>
      <c r="E28" s="37" t="b">
        <v>0</v>
      </c>
      <c r="G28" s="52"/>
      <c r="H28" s="105"/>
      <c r="I28" s="54"/>
      <c r="J28" s="54"/>
      <c r="K28" s="54"/>
      <c r="L28" s="52"/>
      <c r="N28" s="52"/>
      <c r="O28" s="52"/>
      <c r="P28" s="52"/>
      <c r="Q28" s="52"/>
      <c r="AA28" s="52"/>
      <c r="AB28" s="52"/>
      <c r="AD28" s="68"/>
      <c r="AE28" s="68"/>
      <c r="AF28" s="68"/>
      <c r="AH28" s="54"/>
      <c r="AI28" s="53"/>
      <c r="AJ28" s="62"/>
      <c r="AK28" s="61"/>
      <c r="AM28" s="53"/>
      <c r="AN28" s="62"/>
      <c r="AO28" s="61"/>
      <c r="AR28" s="64"/>
      <c r="AS28" s="64"/>
      <c r="AT28" s="65"/>
      <c r="AU28" s="54"/>
      <c r="BC28" s="23"/>
      <c r="BD28" s="23"/>
      <c r="BE28" s="23"/>
      <c r="BF28" s="66"/>
    </row>
    <row r="29" ht="39.0" customHeight="1">
      <c r="A29" s="37" t="s">
        <v>604</v>
      </c>
      <c r="B29" s="37" t="b">
        <v>0</v>
      </c>
      <c r="C29" s="37" t="b">
        <v>0</v>
      </c>
      <c r="D29" s="37" t="b">
        <v>0</v>
      </c>
      <c r="E29" s="37" t="b">
        <v>0</v>
      </c>
      <c r="G29" s="52"/>
      <c r="H29" s="105"/>
      <c r="I29" s="54"/>
      <c r="J29" s="54"/>
      <c r="K29" s="54"/>
      <c r="L29" s="52"/>
      <c r="N29" s="52"/>
      <c r="O29" s="52"/>
      <c r="P29" s="52"/>
      <c r="Q29" s="52"/>
      <c r="AA29" s="52"/>
      <c r="AB29" s="52"/>
      <c r="AD29" s="68"/>
      <c r="AE29" s="68"/>
      <c r="AF29" s="68"/>
      <c r="AH29" s="54"/>
      <c r="AI29" s="53"/>
      <c r="AJ29" s="62"/>
      <c r="AK29" s="61"/>
      <c r="AM29" s="53"/>
      <c r="AN29" s="62"/>
      <c r="AO29" s="61"/>
      <c r="AR29" s="64"/>
      <c r="AS29" s="64"/>
      <c r="AT29" s="65"/>
      <c r="AU29" s="54"/>
      <c r="BC29" s="23"/>
      <c r="BD29" s="23"/>
      <c r="BE29" s="23"/>
      <c r="BF29" s="66"/>
    </row>
    <row r="30" ht="39.0" customHeight="1">
      <c r="G30" s="106"/>
      <c r="H30" s="105"/>
      <c r="I30" s="107"/>
      <c r="J30" s="107"/>
      <c r="K30" s="107"/>
      <c r="L30" s="106"/>
      <c r="M30" s="106"/>
      <c r="N30" s="106"/>
      <c r="O30" s="106"/>
      <c r="P30" s="106"/>
      <c r="Q30" s="106"/>
      <c r="AB30" s="106"/>
      <c r="AR30" s="65"/>
      <c r="AS30" s="65"/>
      <c r="AT30" s="65"/>
      <c r="BC30" s="23"/>
      <c r="BD30" s="23"/>
      <c r="BE30" s="23"/>
      <c r="BF30" s="66"/>
    </row>
    <row r="31" ht="39.0" customHeight="1">
      <c r="G31" s="106"/>
      <c r="H31" s="105"/>
      <c r="I31" s="107"/>
      <c r="J31" s="107"/>
      <c r="K31" s="107"/>
      <c r="L31" s="106"/>
      <c r="M31" s="106"/>
      <c r="N31" s="106"/>
      <c r="O31" s="106"/>
      <c r="P31" s="106"/>
      <c r="Q31" s="106"/>
      <c r="AB31" s="106"/>
      <c r="AR31" s="65"/>
      <c r="AS31" s="65"/>
      <c r="AT31" s="65"/>
      <c r="BC31" s="23"/>
      <c r="BD31" s="23"/>
      <c r="BE31" s="23"/>
      <c r="BF31" s="66"/>
    </row>
    <row r="32" ht="39.0" customHeight="1">
      <c r="G32" s="106"/>
      <c r="H32" s="105"/>
      <c r="I32" s="107"/>
      <c r="J32" s="107"/>
      <c r="K32" s="107"/>
      <c r="L32" s="106"/>
      <c r="M32" s="106"/>
      <c r="N32" s="106"/>
      <c r="O32" s="106"/>
      <c r="P32" s="106"/>
      <c r="Q32" s="106"/>
      <c r="AB32" s="106"/>
      <c r="AR32" s="65"/>
      <c r="AS32" s="65"/>
      <c r="AT32" s="65"/>
      <c r="BC32" s="23"/>
      <c r="BD32" s="23"/>
      <c r="BE32" s="23"/>
      <c r="BF32" s="66"/>
    </row>
    <row r="33" ht="39.0" customHeight="1">
      <c r="G33" s="106"/>
      <c r="H33" s="105"/>
      <c r="I33" s="107"/>
      <c r="J33" s="107"/>
      <c r="K33" s="107"/>
      <c r="L33" s="106"/>
      <c r="M33" s="106"/>
      <c r="N33" s="106"/>
      <c r="O33" s="106"/>
      <c r="P33" s="106"/>
      <c r="Q33" s="106"/>
      <c r="AB33" s="106"/>
      <c r="AR33" s="65"/>
      <c r="AS33" s="65"/>
      <c r="AT33" s="65"/>
      <c r="BC33" s="23"/>
      <c r="BD33" s="23"/>
      <c r="BE33" s="23"/>
      <c r="BF33" s="66"/>
    </row>
    <row r="34" ht="39.0" customHeight="1">
      <c r="G34" s="106"/>
      <c r="H34" s="105"/>
      <c r="I34" s="107"/>
      <c r="J34" s="107"/>
      <c r="K34" s="107"/>
      <c r="L34" s="106"/>
      <c r="M34" s="106"/>
      <c r="N34" s="106"/>
      <c r="O34" s="106"/>
      <c r="P34" s="106"/>
      <c r="Q34" s="106"/>
      <c r="AB34" s="106"/>
      <c r="AR34" s="65"/>
      <c r="AS34" s="65"/>
      <c r="AT34" s="65"/>
      <c r="BC34" s="23"/>
      <c r="BD34" s="23"/>
      <c r="BE34" s="23"/>
      <c r="BF34" s="66"/>
    </row>
    <row r="35" ht="39.0" customHeight="1">
      <c r="G35" s="106"/>
      <c r="H35" s="105"/>
      <c r="I35" s="107"/>
      <c r="J35" s="107"/>
      <c r="K35" s="107"/>
      <c r="L35" s="106"/>
      <c r="M35" s="106"/>
      <c r="N35" s="106"/>
      <c r="O35" s="106"/>
      <c r="P35" s="106"/>
      <c r="Q35" s="106"/>
      <c r="AB35" s="106"/>
      <c r="AR35" s="65"/>
      <c r="AS35" s="65"/>
      <c r="AT35" s="65"/>
      <c r="BC35" s="23"/>
      <c r="BD35" s="23"/>
      <c r="BE35" s="23"/>
      <c r="BF35" s="66"/>
    </row>
    <row r="36" ht="39.0" customHeight="1">
      <c r="G36" s="106"/>
      <c r="H36" s="105"/>
      <c r="I36" s="107"/>
      <c r="J36" s="107"/>
      <c r="K36" s="107"/>
      <c r="L36" s="106"/>
      <c r="M36" s="106"/>
      <c r="N36" s="106"/>
      <c r="O36" s="106"/>
      <c r="P36" s="106"/>
      <c r="Q36" s="106"/>
      <c r="AB36" s="106"/>
      <c r="AR36" s="65"/>
      <c r="AS36" s="65"/>
      <c r="AT36" s="65"/>
      <c r="BC36" s="23"/>
      <c r="BD36" s="23"/>
      <c r="BE36" s="23"/>
      <c r="BF36" s="66"/>
    </row>
    <row r="37" ht="39.0" customHeight="1">
      <c r="G37" s="106"/>
      <c r="H37" s="105"/>
      <c r="I37" s="107"/>
      <c r="J37" s="107"/>
      <c r="K37" s="107"/>
      <c r="L37" s="106"/>
      <c r="M37" s="106"/>
      <c r="N37" s="106"/>
      <c r="O37" s="106"/>
      <c r="P37" s="106"/>
      <c r="Q37" s="106"/>
      <c r="AB37" s="106"/>
      <c r="AR37" s="65"/>
      <c r="AS37" s="65"/>
      <c r="AT37" s="65"/>
      <c r="BC37" s="23"/>
      <c r="BD37" s="23"/>
      <c r="BE37" s="23"/>
      <c r="BF37" s="66"/>
    </row>
    <row r="38" ht="39.0" customHeight="1">
      <c r="G38" s="106"/>
      <c r="H38" s="105"/>
      <c r="I38" s="107"/>
      <c r="J38" s="107"/>
      <c r="K38" s="107"/>
      <c r="L38" s="106"/>
      <c r="M38" s="106"/>
      <c r="N38" s="106"/>
      <c r="O38" s="106"/>
      <c r="P38" s="106"/>
      <c r="Q38" s="106"/>
      <c r="AB38" s="106"/>
      <c r="AR38" s="65"/>
      <c r="AS38" s="65"/>
      <c r="AT38" s="65"/>
      <c r="BC38" s="23"/>
      <c r="BD38" s="23"/>
      <c r="BE38" s="23"/>
      <c r="BF38" s="66"/>
    </row>
    <row r="39" ht="39.0" customHeight="1">
      <c r="G39" s="106"/>
      <c r="H39" s="105"/>
      <c r="I39" s="107"/>
      <c r="J39" s="107"/>
      <c r="K39" s="107"/>
      <c r="L39" s="106"/>
      <c r="M39" s="106"/>
      <c r="N39" s="106"/>
      <c r="O39" s="106"/>
      <c r="P39" s="106"/>
      <c r="Q39" s="106"/>
      <c r="AB39" s="106"/>
      <c r="AR39" s="65"/>
      <c r="AS39" s="65"/>
      <c r="AT39" s="65"/>
      <c r="BC39" s="23"/>
      <c r="BD39" s="23"/>
      <c r="BE39" s="23"/>
      <c r="BF39" s="66"/>
    </row>
    <row r="40" ht="39.0" customHeight="1">
      <c r="G40" s="106"/>
      <c r="H40" s="105"/>
      <c r="I40" s="107"/>
      <c r="J40" s="107"/>
      <c r="K40" s="107"/>
      <c r="L40" s="106"/>
      <c r="M40" s="106"/>
      <c r="N40" s="106"/>
      <c r="O40" s="106"/>
      <c r="P40" s="106"/>
      <c r="Q40" s="106"/>
      <c r="AB40" s="106"/>
      <c r="AR40" s="65"/>
      <c r="AS40" s="65"/>
      <c r="AT40" s="65"/>
      <c r="BC40" s="23"/>
      <c r="BD40" s="23"/>
      <c r="BE40" s="23"/>
      <c r="BF40" s="66"/>
    </row>
    <row r="41" ht="39.0" customHeight="1">
      <c r="G41" s="106"/>
      <c r="H41" s="105"/>
      <c r="I41" s="107"/>
      <c r="J41" s="107"/>
      <c r="K41" s="107"/>
      <c r="L41" s="106"/>
      <c r="M41" s="106"/>
      <c r="N41" s="106"/>
      <c r="O41" s="106"/>
      <c r="P41" s="106"/>
      <c r="Q41" s="106"/>
      <c r="AB41" s="106"/>
      <c r="AR41" s="65"/>
      <c r="AS41" s="65"/>
      <c r="AT41" s="65"/>
      <c r="BC41" s="23"/>
      <c r="BD41" s="23"/>
      <c r="BE41" s="23"/>
      <c r="BF41" s="66"/>
    </row>
    <row r="42" ht="39.0" customHeight="1">
      <c r="G42" s="106"/>
      <c r="H42" s="105"/>
      <c r="I42" s="107"/>
      <c r="J42" s="107"/>
      <c r="K42" s="107"/>
      <c r="L42" s="106"/>
      <c r="M42" s="106"/>
      <c r="N42" s="106"/>
      <c r="O42" s="106"/>
      <c r="P42" s="106"/>
      <c r="Q42" s="106"/>
      <c r="AB42" s="106"/>
      <c r="AR42" s="65"/>
      <c r="AS42" s="65"/>
      <c r="AT42" s="65"/>
      <c r="BC42" s="23"/>
      <c r="BD42" s="23"/>
      <c r="BE42" s="23"/>
      <c r="BF42" s="66"/>
    </row>
    <row r="43" ht="39.0" customHeight="1">
      <c r="G43" s="106"/>
      <c r="H43" s="105"/>
      <c r="I43" s="107"/>
      <c r="J43" s="107"/>
      <c r="K43" s="107"/>
      <c r="L43" s="106"/>
      <c r="M43" s="106"/>
      <c r="N43" s="106"/>
      <c r="O43" s="106"/>
      <c r="P43" s="106"/>
      <c r="Q43" s="106"/>
      <c r="AB43" s="106"/>
      <c r="AR43" s="65"/>
      <c r="AS43" s="65"/>
      <c r="AT43" s="65"/>
      <c r="BC43" s="23"/>
      <c r="BD43" s="23"/>
      <c r="BE43" s="23"/>
      <c r="BF43" s="66"/>
    </row>
    <row r="44" ht="39.0" customHeight="1">
      <c r="G44" s="106"/>
      <c r="H44" s="105"/>
      <c r="I44" s="107"/>
      <c r="J44" s="107"/>
      <c r="K44" s="107"/>
      <c r="L44" s="106"/>
      <c r="M44" s="106"/>
      <c r="N44" s="106"/>
      <c r="O44" s="106"/>
      <c r="P44" s="106"/>
      <c r="Q44" s="106"/>
      <c r="AB44" s="106"/>
      <c r="AR44" s="65"/>
      <c r="AS44" s="65"/>
      <c r="AT44" s="65"/>
      <c r="BC44" s="23"/>
      <c r="BD44" s="23"/>
      <c r="BE44" s="23"/>
      <c r="BF44" s="66"/>
    </row>
    <row r="45" ht="39.0" customHeight="1">
      <c r="G45" s="106"/>
      <c r="H45" s="105"/>
      <c r="I45" s="107"/>
      <c r="J45" s="107"/>
      <c r="K45" s="107"/>
      <c r="L45" s="106"/>
      <c r="M45" s="106"/>
      <c r="N45" s="106"/>
      <c r="O45" s="106"/>
      <c r="P45" s="106"/>
      <c r="Q45" s="106"/>
      <c r="AB45" s="106"/>
      <c r="AR45" s="65"/>
      <c r="AS45" s="65"/>
      <c r="AT45" s="65"/>
      <c r="BC45" s="23"/>
      <c r="BD45" s="23"/>
      <c r="BE45" s="23"/>
      <c r="BF45" s="66"/>
    </row>
    <row r="46" ht="39.0" customHeight="1">
      <c r="G46" s="106"/>
      <c r="H46" s="105"/>
      <c r="I46" s="107"/>
      <c r="J46" s="107"/>
      <c r="K46" s="107"/>
      <c r="L46" s="106"/>
      <c r="M46" s="106"/>
      <c r="N46" s="106"/>
      <c r="O46" s="106"/>
      <c r="P46" s="106"/>
      <c r="Q46" s="106"/>
      <c r="AB46" s="106"/>
      <c r="AR46" s="65"/>
      <c r="AS46" s="65"/>
      <c r="AT46" s="65"/>
      <c r="BC46" s="23"/>
      <c r="BD46" s="23"/>
      <c r="BE46" s="23"/>
      <c r="BF46" s="66"/>
    </row>
    <row r="47" ht="39.0" customHeight="1">
      <c r="G47" s="106"/>
      <c r="H47" s="105"/>
      <c r="I47" s="107"/>
      <c r="J47" s="107"/>
      <c r="K47" s="107"/>
      <c r="L47" s="106"/>
      <c r="M47" s="106"/>
      <c r="N47" s="106"/>
      <c r="O47" s="106"/>
      <c r="P47" s="106"/>
      <c r="Q47" s="106"/>
      <c r="AB47" s="106"/>
      <c r="AR47" s="65"/>
      <c r="AS47" s="65"/>
      <c r="AT47" s="65"/>
      <c r="BC47" s="23"/>
      <c r="BD47" s="23"/>
      <c r="BE47" s="23"/>
      <c r="BF47" s="66"/>
    </row>
    <row r="48" ht="39.0" customHeight="1">
      <c r="G48" s="106"/>
      <c r="H48" s="105"/>
      <c r="I48" s="107"/>
      <c r="J48" s="107"/>
      <c r="K48" s="107"/>
      <c r="L48" s="106"/>
      <c r="M48" s="106"/>
      <c r="N48" s="106"/>
      <c r="O48" s="106"/>
      <c r="P48" s="106"/>
      <c r="Q48" s="106"/>
      <c r="AB48" s="106"/>
      <c r="AR48" s="65"/>
      <c r="AS48" s="65"/>
      <c r="AT48" s="65"/>
      <c r="BC48" s="23"/>
      <c r="BD48" s="23"/>
      <c r="BE48" s="23"/>
      <c r="BF48" s="66"/>
    </row>
    <row r="49" ht="39.0" customHeight="1">
      <c r="G49" s="106"/>
      <c r="H49" s="105"/>
      <c r="I49" s="107"/>
      <c r="J49" s="107"/>
      <c r="K49" s="107"/>
      <c r="L49" s="106"/>
      <c r="M49" s="106"/>
      <c r="N49" s="106"/>
      <c r="O49" s="106"/>
      <c r="P49" s="106"/>
      <c r="Q49" s="106"/>
      <c r="AB49" s="106"/>
      <c r="AR49" s="65"/>
      <c r="AS49" s="65"/>
      <c r="AT49" s="65"/>
      <c r="BC49" s="23"/>
      <c r="BD49" s="23"/>
      <c r="BE49" s="23"/>
      <c r="BF49" s="66"/>
    </row>
    <row r="50" ht="39.0" customHeight="1">
      <c r="G50" s="106"/>
      <c r="H50" s="105"/>
      <c r="I50" s="107"/>
      <c r="J50" s="107"/>
      <c r="K50" s="107"/>
      <c r="L50" s="106"/>
      <c r="M50" s="106"/>
      <c r="N50" s="106"/>
      <c r="O50" s="106"/>
      <c r="P50" s="106"/>
      <c r="Q50" s="106"/>
      <c r="AB50" s="106"/>
      <c r="AR50" s="65"/>
      <c r="AS50" s="65"/>
      <c r="AT50" s="65"/>
      <c r="BC50" s="23"/>
      <c r="BD50" s="23"/>
      <c r="BE50" s="23"/>
      <c r="BF50" s="66"/>
    </row>
    <row r="51" ht="39.0" customHeight="1">
      <c r="G51" s="106"/>
      <c r="H51" s="105"/>
      <c r="I51" s="107"/>
      <c r="J51" s="107"/>
      <c r="K51" s="107"/>
      <c r="L51" s="106"/>
      <c r="M51" s="106"/>
      <c r="N51" s="106"/>
      <c r="O51" s="106"/>
      <c r="P51" s="106"/>
      <c r="Q51" s="106"/>
      <c r="AB51" s="106"/>
      <c r="AR51" s="65"/>
      <c r="AS51" s="65"/>
      <c r="AT51" s="65"/>
      <c r="BC51" s="23"/>
      <c r="BD51" s="23"/>
      <c r="BE51" s="23"/>
      <c r="BF51" s="66"/>
    </row>
    <row r="52">
      <c r="G52" s="106"/>
      <c r="H52" s="105"/>
      <c r="I52" s="107"/>
      <c r="J52" s="107"/>
      <c r="K52" s="107"/>
      <c r="L52" s="106"/>
      <c r="M52" s="106"/>
      <c r="N52" s="106"/>
      <c r="O52" s="106"/>
      <c r="P52" s="106"/>
      <c r="Q52" s="106"/>
      <c r="AB52" s="106"/>
      <c r="AR52" s="65"/>
      <c r="AS52" s="65"/>
      <c r="AT52" s="65"/>
      <c r="BC52" s="23"/>
      <c r="BD52" s="23"/>
      <c r="BE52" s="23"/>
      <c r="BF52" s="66"/>
    </row>
    <row r="53">
      <c r="G53" s="106"/>
      <c r="H53" s="105"/>
      <c r="I53" s="107"/>
      <c r="J53" s="107"/>
      <c r="K53" s="107"/>
      <c r="L53" s="106"/>
      <c r="M53" s="106"/>
      <c r="N53" s="106"/>
      <c r="O53" s="106"/>
      <c r="P53" s="106"/>
      <c r="Q53" s="106"/>
      <c r="AB53" s="106"/>
      <c r="AR53" s="65"/>
      <c r="AS53" s="65"/>
      <c r="AT53" s="65"/>
      <c r="BC53" s="23"/>
      <c r="BD53" s="23"/>
      <c r="BE53" s="23"/>
      <c r="BF53" s="66"/>
    </row>
    <row r="54">
      <c r="G54" s="106"/>
      <c r="H54" s="105"/>
      <c r="I54" s="107"/>
      <c r="J54" s="107"/>
      <c r="K54" s="107"/>
      <c r="L54" s="106"/>
      <c r="M54" s="106"/>
      <c r="N54" s="106"/>
      <c r="O54" s="106"/>
      <c r="P54" s="106"/>
      <c r="Q54" s="106"/>
      <c r="AB54" s="106"/>
      <c r="AR54" s="65"/>
      <c r="AS54" s="65"/>
      <c r="AT54" s="65"/>
      <c r="BC54" s="23"/>
      <c r="BD54" s="23"/>
      <c r="BE54" s="23"/>
      <c r="BF54" s="66"/>
    </row>
    <row r="55">
      <c r="G55" s="106"/>
      <c r="H55" s="105"/>
      <c r="I55" s="107"/>
      <c r="J55" s="107"/>
      <c r="K55" s="107"/>
      <c r="L55" s="106"/>
      <c r="M55" s="106"/>
      <c r="N55" s="106"/>
      <c r="O55" s="106"/>
      <c r="P55" s="106"/>
      <c r="Q55" s="106"/>
      <c r="AB55" s="106"/>
      <c r="AR55" s="65"/>
      <c r="AS55" s="65"/>
      <c r="AT55" s="65"/>
      <c r="BC55" s="23"/>
      <c r="BD55" s="23"/>
      <c r="BE55" s="23"/>
      <c r="BF55" s="66"/>
    </row>
    <row r="56">
      <c r="G56" s="106"/>
      <c r="H56" s="105"/>
      <c r="I56" s="107"/>
      <c r="J56" s="107"/>
      <c r="K56" s="107"/>
      <c r="L56" s="106"/>
      <c r="M56" s="106"/>
      <c r="N56" s="106"/>
      <c r="O56" s="106"/>
      <c r="P56" s="106"/>
      <c r="Q56" s="106"/>
      <c r="AB56" s="106"/>
      <c r="AR56" s="65"/>
      <c r="AS56" s="65"/>
      <c r="AT56" s="65"/>
      <c r="BC56" s="23"/>
      <c r="BD56" s="23"/>
      <c r="BE56" s="23"/>
      <c r="BF56" s="66"/>
    </row>
    <row r="57">
      <c r="G57" s="106"/>
      <c r="H57" s="105"/>
      <c r="I57" s="107"/>
      <c r="J57" s="107"/>
      <c r="K57" s="107"/>
      <c r="L57" s="106"/>
      <c r="M57" s="106"/>
      <c r="N57" s="106"/>
      <c r="O57" s="106"/>
      <c r="P57" s="106"/>
      <c r="Q57" s="106"/>
      <c r="AB57" s="106"/>
      <c r="AR57" s="65"/>
      <c r="AS57" s="65"/>
      <c r="AT57" s="65"/>
      <c r="BC57" s="23"/>
      <c r="BD57" s="23"/>
      <c r="BE57" s="23"/>
      <c r="BF57" s="66"/>
    </row>
    <row r="58">
      <c r="G58" s="106"/>
      <c r="H58" s="105"/>
      <c r="I58" s="107"/>
      <c r="J58" s="107"/>
      <c r="K58" s="107"/>
      <c r="L58" s="106"/>
      <c r="M58" s="106"/>
      <c r="N58" s="106"/>
      <c r="O58" s="106"/>
      <c r="P58" s="106"/>
      <c r="Q58" s="106"/>
      <c r="AB58" s="106"/>
      <c r="AR58" s="65"/>
      <c r="AS58" s="65"/>
      <c r="AT58" s="65"/>
      <c r="BC58" s="23"/>
      <c r="BD58" s="23"/>
      <c r="BE58" s="23"/>
      <c r="BF58" s="66"/>
    </row>
    <row r="59">
      <c r="G59" s="106"/>
      <c r="H59" s="105"/>
      <c r="I59" s="107"/>
      <c r="J59" s="107"/>
      <c r="K59" s="107"/>
      <c r="L59" s="106"/>
      <c r="M59" s="106"/>
      <c r="N59" s="106"/>
      <c r="O59" s="106"/>
      <c r="P59" s="106"/>
      <c r="Q59" s="106"/>
      <c r="AB59" s="106"/>
      <c r="AR59" s="65"/>
      <c r="AS59" s="65"/>
      <c r="AT59" s="65"/>
      <c r="BC59" s="23"/>
      <c r="BD59" s="23"/>
      <c r="BE59" s="23"/>
      <c r="BF59" s="66"/>
    </row>
    <row r="60">
      <c r="G60" s="106"/>
      <c r="H60" s="105"/>
      <c r="I60" s="107"/>
      <c r="J60" s="107"/>
      <c r="K60" s="107"/>
      <c r="L60" s="106"/>
      <c r="M60" s="106"/>
      <c r="N60" s="106"/>
      <c r="O60" s="106"/>
      <c r="P60" s="106"/>
      <c r="Q60" s="106"/>
      <c r="AB60" s="106"/>
      <c r="AR60" s="65"/>
      <c r="AS60" s="65"/>
      <c r="AT60" s="65"/>
      <c r="BC60" s="23"/>
      <c r="BD60" s="23"/>
      <c r="BE60" s="23"/>
      <c r="BF60" s="66"/>
    </row>
    <row r="61">
      <c r="G61" s="106"/>
      <c r="H61" s="105"/>
      <c r="I61" s="107"/>
      <c r="J61" s="107"/>
      <c r="K61" s="107"/>
      <c r="L61" s="106"/>
      <c r="M61" s="106"/>
      <c r="N61" s="106"/>
      <c r="O61" s="106"/>
      <c r="P61" s="106"/>
      <c r="Q61" s="106"/>
      <c r="AB61" s="106"/>
      <c r="AR61" s="65"/>
      <c r="AS61" s="65"/>
      <c r="AT61" s="65"/>
      <c r="BC61" s="23"/>
      <c r="BD61" s="23"/>
      <c r="BE61" s="23"/>
      <c r="BF61" s="66"/>
    </row>
    <row r="62">
      <c r="G62" s="106"/>
      <c r="H62" s="105"/>
      <c r="I62" s="107"/>
      <c r="J62" s="107"/>
      <c r="K62" s="107"/>
      <c r="L62" s="106"/>
      <c r="M62" s="106"/>
      <c r="N62" s="106"/>
      <c r="O62" s="106"/>
      <c r="P62" s="106"/>
      <c r="Q62" s="106"/>
      <c r="AB62" s="106"/>
      <c r="AR62" s="65"/>
      <c r="AS62" s="65"/>
      <c r="AT62" s="65"/>
      <c r="BC62" s="23"/>
      <c r="BD62" s="23"/>
      <c r="BE62" s="23"/>
      <c r="BF62" s="66"/>
    </row>
    <row r="63">
      <c r="G63" s="106"/>
      <c r="H63" s="105"/>
      <c r="I63" s="107"/>
      <c r="J63" s="107"/>
      <c r="K63" s="107"/>
      <c r="L63" s="106"/>
      <c r="M63" s="106"/>
      <c r="N63" s="106"/>
      <c r="O63" s="106"/>
      <c r="P63" s="106"/>
      <c r="Q63" s="106"/>
      <c r="AB63" s="106"/>
      <c r="AR63" s="65"/>
      <c r="AS63" s="65"/>
      <c r="AT63" s="65"/>
      <c r="BC63" s="23"/>
      <c r="BD63" s="23"/>
      <c r="BE63" s="23"/>
      <c r="BF63" s="66"/>
    </row>
    <row r="64">
      <c r="G64" s="106"/>
      <c r="H64" s="105"/>
      <c r="I64" s="107"/>
      <c r="J64" s="107"/>
      <c r="K64" s="107"/>
      <c r="L64" s="106"/>
      <c r="M64" s="106"/>
      <c r="N64" s="106"/>
      <c r="O64" s="106"/>
      <c r="P64" s="106"/>
      <c r="Q64" s="106"/>
      <c r="AB64" s="106"/>
      <c r="AR64" s="65"/>
      <c r="AS64" s="65"/>
      <c r="AT64" s="65"/>
      <c r="BC64" s="23"/>
      <c r="BD64" s="23"/>
      <c r="BE64" s="23"/>
      <c r="BF64" s="66"/>
    </row>
    <row r="65">
      <c r="G65" s="106"/>
      <c r="H65" s="105"/>
      <c r="I65" s="107"/>
      <c r="J65" s="107"/>
      <c r="K65" s="107"/>
      <c r="L65" s="106"/>
      <c r="M65" s="106"/>
      <c r="N65" s="106"/>
      <c r="O65" s="106"/>
      <c r="P65" s="106"/>
      <c r="Q65" s="106"/>
      <c r="AB65" s="106"/>
      <c r="AR65" s="65"/>
      <c r="AS65" s="65"/>
      <c r="AT65" s="65"/>
      <c r="BC65" s="23"/>
      <c r="BD65" s="23"/>
      <c r="BE65" s="23"/>
      <c r="BF65" s="66"/>
    </row>
    <row r="66">
      <c r="G66" s="106"/>
      <c r="H66" s="105"/>
      <c r="I66" s="107"/>
      <c r="J66" s="107"/>
      <c r="K66" s="107"/>
      <c r="L66" s="106"/>
      <c r="M66" s="106"/>
      <c r="N66" s="106"/>
      <c r="O66" s="106"/>
      <c r="P66" s="106"/>
      <c r="Q66" s="106"/>
      <c r="AB66" s="106"/>
      <c r="AR66" s="65"/>
      <c r="AS66" s="65"/>
      <c r="AT66" s="65"/>
      <c r="BC66" s="23"/>
      <c r="BD66" s="23"/>
      <c r="BE66" s="23"/>
      <c r="BF66" s="66"/>
    </row>
    <row r="67">
      <c r="G67" s="106"/>
      <c r="H67" s="105"/>
      <c r="I67" s="107"/>
      <c r="J67" s="107"/>
      <c r="K67" s="107"/>
      <c r="L67" s="106"/>
      <c r="M67" s="106"/>
      <c r="N67" s="106"/>
      <c r="O67" s="106"/>
      <c r="P67" s="106"/>
      <c r="Q67" s="106"/>
      <c r="AB67" s="106"/>
      <c r="AR67" s="65"/>
      <c r="AS67" s="65"/>
      <c r="AT67" s="65"/>
      <c r="BC67" s="23"/>
      <c r="BD67" s="23"/>
      <c r="BE67" s="23"/>
      <c r="BF67" s="66"/>
    </row>
    <row r="68">
      <c r="G68" s="106"/>
      <c r="H68" s="105"/>
      <c r="I68" s="107"/>
      <c r="J68" s="107"/>
      <c r="K68" s="107"/>
      <c r="L68" s="106"/>
      <c r="M68" s="106"/>
      <c r="N68" s="106"/>
      <c r="O68" s="106"/>
      <c r="P68" s="106"/>
      <c r="Q68" s="106"/>
      <c r="AB68" s="106"/>
      <c r="AR68" s="65"/>
      <c r="AS68" s="65"/>
      <c r="AT68" s="65"/>
      <c r="BC68" s="23"/>
      <c r="BD68" s="23"/>
      <c r="BE68" s="23"/>
      <c r="BF68" s="66"/>
    </row>
    <row r="69">
      <c r="G69" s="106"/>
      <c r="H69" s="105"/>
      <c r="I69" s="107"/>
      <c r="J69" s="107"/>
      <c r="K69" s="107"/>
      <c r="L69" s="106"/>
      <c r="M69" s="106"/>
      <c r="N69" s="106"/>
      <c r="O69" s="106"/>
      <c r="P69" s="106"/>
      <c r="Q69" s="106"/>
      <c r="AB69" s="106"/>
      <c r="AR69" s="65"/>
      <c r="AS69" s="65"/>
      <c r="AT69" s="65"/>
      <c r="BC69" s="23"/>
      <c r="BD69" s="23"/>
      <c r="BE69" s="23"/>
      <c r="BF69" s="66"/>
    </row>
    <row r="70">
      <c r="G70" s="106"/>
      <c r="H70" s="105"/>
      <c r="I70" s="107"/>
      <c r="J70" s="107"/>
      <c r="K70" s="107"/>
      <c r="L70" s="106"/>
      <c r="M70" s="106"/>
      <c r="N70" s="106"/>
      <c r="O70" s="106"/>
      <c r="P70" s="106"/>
      <c r="Q70" s="106"/>
      <c r="AB70" s="106"/>
      <c r="AR70" s="65"/>
      <c r="AS70" s="65"/>
      <c r="AT70" s="65"/>
      <c r="BC70" s="23"/>
      <c r="BD70" s="23"/>
      <c r="BE70" s="23"/>
      <c r="BF70" s="66"/>
    </row>
    <row r="71">
      <c r="G71" s="106"/>
      <c r="H71" s="105"/>
      <c r="I71" s="107"/>
      <c r="J71" s="107"/>
      <c r="K71" s="107"/>
      <c r="L71" s="106"/>
      <c r="M71" s="106"/>
      <c r="N71" s="106"/>
      <c r="O71" s="106"/>
      <c r="P71" s="106"/>
      <c r="Q71" s="106"/>
      <c r="AB71" s="106"/>
      <c r="AR71" s="65"/>
      <c r="AS71" s="65"/>
      <c r="AT71" s="65"/>
      <c r="BC71" s="23"/>
      <c r="BD71" s="23"/>
      <c r="BE71" s="23"/>
      <c r="BF71" s="66"/>
    </row>
    <row r="72">
      <c r="G72" s="106"/>
      <c r="H72" s="105"/>
      <c r="I72" s="106"/>
      <c r="J72" s="106"/>
      <c r="K72" s="106"/>
      <c r="L72" s="106"/>
      <c r="M72" s="106"/>
      <c r="N72" s="106"/>
      <c r="O72" s="106"/>
      <c r="P72" s="106"/>
      <c r="Q72" s="106"/>
      <c r="AB72" s="106"/>
      <c r="AR72" s="65"/>
      <c r="AS72" s="65"/>
      <c r="AT72" s="65"/>
      <c r="BC72" s="23"/>
      <c r="BD72" s="23"/>
      <c r="BE72" s="23"/>
      <c r="BF72" s="66"/>
    </row>
    <row r="73">
      <c r="G73" s="106"/>
      <c r="H73" s="105"/>
      <c r="I73" s="106"/>
      <c r="J73" s="106"/>
      <c r="K73" s="106"/>
      <c r="L73" s="106"/>
      <c r="M73" s="106"/>
      <c r="N73" s="106"/>
      <c r="O73" s="106"/>
      <c r="P73" s="106"/>
      <c r="Q73" s="106"/>
      <c r="AB73" s="106"/>
      <c r="AR73" s="65"/>
      <c r="AS73" s="65"/>
      <c r="AT73" s="65"/>
      <c r="BC73" s="23"/>
      <c r="BD73" s="23"/>
      <c r="BE73" s="23"/>
      <c r="BF73" s="66"/>
    </row>
    <row r="74">
      <c r="G74" s="106"/>
      <c r="H74" s="105"/>
      <c r="I74" s="106"/>
      <c r="J74" s="106"/>
      <c r="K74" s="106"/>
      <c r="L74" s="106"/>
      <c r="M74" s="106"/>
      <c r="N74" s="106"/>
      <c r="O74" s="106"/>
      <c r="P74" s="106"/>
      <c r="Q74" s="106"/>
      <c r="AB74" s="106"/>
      <c r="AR74" s="65"/>
      <c r="AS74" s="65"/>
      <c r="AT74" s="65"/>
      <c r="BC74" s="23"/>
      <c r="BD74" s="23"/>
      <c r="BE74" s="23"/>
      <c r="BF74" s="66"/>
    </row>
    <row r="75">
      <c r="G75" s="106"/>
      <c r="H75" s="105"/>
      <c r="I75" s="106"/>
      <c r="J75" s="106"/>
      <c r="K75" s="106"/>
      <c r="L75" s="106"/>
      <c r="M75" s="106"/>
      <c r="N75" s="106"/>
      <c r="O75" s="106"/>
      <c r="P75" s="106"/>
      <c r="Q75" s="106"/>
      <c r="AB75" s="106"/>
      <c r="AR75" s="65"/>
      <c r="AS75" s="65"/>
      <c r="AT75" s="65"/>
      <c r="BC75" s="23"/>
      <c r="BD75" s="23"/>
      <c r="BE75" s="23"/>
      <c r="BF75" s="66"/>
    </row>
    <row r="76">
      <c r="G76" s="106"/>
      <c r="H76" s="105"/>
      <c r="I76" s="106"/>
      <c r="J76" s="106"/>
      <c r="K76" s="106"/>
      <c r="L76" s="106"/>
      <c r="M76" s="106"/>
      <c r="N76" s="106"/>
      <c r="O76" s="106"/>
      <c r="P76" s="106"/>
      <c r="Q76" s="106"/>
      <c r="AB76" s="106"/>
      <c r="AR76" s="65"/>
      <c r="AS76" s="65"/>
      <c r="AT76" s="65"/>
      <c r="BC76" s="23"/>
      <c r="BD76" s="23"/>
      <c r="BE76" s="23"/>
      <c r="BF76" s="66"/>
    </row>
    <row r="77">
      <c r="G77" s="106"/>
      <c r="H77" s="105"/>
      <c r="I77" s="106"/>
      <c r="J77" s="106"/>
      <c r="K77" s="106"/>
      <c r="L77" s="106"/>
      <c r="M77" s="106"/>
      <c r="N77" s="106"/>
      <c r="O77" s="106"/>
      <c r="P77" s="106"/>
      <c r="Q77" s="106"/>
      <c r="AB77" s="106"/>
      <c r="AR77" s="65"/>
      <c r="AS77" s="65"/>
      <c r="AT77" s="65"/>
      <c r="BC77" s="23"/>
      <c r="BD77" s="23"/>
      <c r="BE77" s="23"/>
      <c r="BF77" s="66"/>
    </row>
    <row r="78">
      <c r="G78" s="106"/>
      <c r="H78" s="105"/>
      <c r="I78" s="106"/>
      <c r="J78" s="106"/>
      <c r="K78" s="106"/>
      <c r="L78" s="106"/>
      <c r="M78" s="106"/>
      <c r="N78" s="106"/>
      <c r="O78" s="106"/>
      <c r="P78" s="106"/>
      <c r="Q78" s="106"/>
      <c r="AB78" s="106"/>
      <c r="AR78" s="65"/>
      <c r="AS78" s="65"/>
      <c r="AT78" s="65"/>
      <c r="BC78" s="23"/>
      <c r="BD78" s="23"/>
      <c r="BE78" s="23"/>
      <c r="BF78" s="66"/>
    </row>
    <row r="79">
      <c r="G79" s="106"/>
      <c r="H79" s="105"/>
      <c r="I79" s="106"/>
      <c r="J79" s="106"/>
      <c r="K79" s="106"/>
      <c r="L79" s="106"/>
      <c r="M79" s="106"/>
      <c r="N79" s="106"/>
      <c r="O79" s="106"/>
      <c r="P79" s="106"/>
      <c r="Q79" s="106"/>
      <c r="AB79" s="106"/>
      <c r="AR79" s="65"/>
      <c r="AS79" s="65"/>
      <c r="AT79" s="65"/>
      <c r="BC79" s="23"/>
      <c r="BD79" s="23"/>
      <c r="BE79" s="23"/>
      <c r="BF79" s="66"/>
    </row>
    <row r="80">
      <c r="G80" s="106"/>
      <c r="H80" s="105"/>
      <c r="I80" s="106"/>
      <c r="J80" s="106"/>
      <c r="K80" s="106"/>
      <c r="L80" s="106"/>
      <c r="M80" s="106"/>
      <c r="N80" s="106"/>
      <c r="O80" s="106"/>
      <c r="P80" s="106"/>
      <c r="Q80" s="106"/>
      <c r="AB80" s="106"/>
      <c r="AR80" s="65"/>
      <c r="AS80" s="65"/>
      <c r="AT80" s="65"/>
      <c r="BC80" s="23"/>
      <c r="BD80" s="23"/>
      <c r="BE80" s="23"/>
      <c r="BF80" s="66"/>
    </row>
    <row r="81">
      <c r="G81" s="106"/>
      <c r="H81" s="105"/>
      <c r="I81" s="106"/>
      <c r="J81" s="106"/>
      <c r="K81" s="106"/>
      <c r="L81" s="106"/>
      <c r="M81" s="106"/>
      <c r="N81" s="106"/>
      <c r="O81" s="106"/>
      <c r="P81" s="106"/>
      <c r="Q81" s="106"/>
      <c r="AB81" s="106"/>
      <c r="AR81" s="65"/>
      <c r="AS81" s="65"/>
      <c r="AT81" s="65"/>
      <c r="BC81" s="23"/>
      <c r="BD81" s="23"/>
      <c r="BE81" s="23"/>
      <c r="BF81" s="66"/>
    </row>
    <row r="82">
      <c r="G82" s="106"/>
      <c r="H82" s="105"/>
      <c r="I82" s="106"/>
      <c r="J82" s="106"/>
      <c r="K82" s="106"/>
      <c r="L82" s="106"/>
      <c r="M82" s="106"/>
      <c r="N82" s="106"/>
      <c r="O82" s="106"/>
      <c r="P82" s="106"/>
      <c r="Q82" s="106"/>
      <c r="AB82" s="106"/>
      <c r="AR82" s="65"/>
      <c r="AS82" s="65"/>
      <c r="AT82" s="65"/>
      <c r="BC82" s="23"/>
      <c r="BD82" s="23"/>
      <c r="BE82" s="23"/>
      <c r="BF82" s="66"/>
    </row>
    <row r="83">
      <c r="G83" s="106"/>
      <c r="H83" s="105"/>
      <c r="I83" s="106"/>
      <c r="J83" s="106"/>
      <c r="K83" s="106"/>
      <c r="L83" s="106"/>
      <c r="M83" s="106"/>
      <c r="N83" s="106"/>
      <c r="O83" s="106"/>
      <c r="P83" s="106"/>
      <c r="Q83" s="106"/>
      <c r="AB83" s="106"/>
      <c r="AR83" s="65"/>
      <c r="AS83" s="65"/>
      <c r="AT83" s="65"/>
      <c r="BC83" s="23"/>
      <c r="BD83" s="23"/>
      <c r="BE83" s="23"/>
      <c r="BF83" s="66"/>
    </row>
    <row r="84">
      <c r="G84" s="106"/>
      <c r="H84" s="105"/>
      <c r="I84" s="106"/>
      <c r="J84" s="106"/>
      <c r="K84" s="106"/>
      <c r="L84" s="106"/>
      <c r="M84" s="106"/>
      <c r="N84" s="106"/>
      <c r="O84" s="106"/>
      <c r="P84" s="106"/>
      <c r="Q84" s="106"/>
      <c r="AB84" s="106"/>
      <c r="AR84" s="65"/>
      <c r="AS84" s="65"/>
      <c r="AT84" s="65"/>
      <c r="BC84" s="23"/>
      <c r="BD84" s="23"/>
      <c r="BE84" s="23"/>
      <c r="BF84" s="66"/>
    </row>
    <row r="85">
      <c r="G85" s="106"/>
      <c r="H85" s="105"/>
      <c r="I85" s="106"/>
      <c r="J85" s="106"/>
      <c r="K85" s="106"/>
      <c r="L85" s="106"/>
      <c r="M85" s="106"/>
      <c r="N85" s="106"/>
      <c r="O85" s="106"/>
      <c r="P85" s="106"/>
      <c r="Q85" s="106"/>
      <c r="AB85" s="106"/>
      <c r="AR85" s="65"/>
      <c r="AS85" s="65"/>
      <c r="AT85" s="65"/>
      <c r="BC85" s="23"/>
      <c r="BD85" s="23"/>
      <c r="BE85" s="23"/>
      <c r="BF85" s="66"/>
    </row>
    <row r="86">
      <c r="G86" s="106"/>
      <c r="H86" s="105"/>
      <c r="I86" s="106"/>
      <c r="J86" s="106"/>
      <c r="K86" s="106"/>
      <c r="L86" s="106"/>
      <c r="M86" s="106"/>
      <c r="N86" s="106"/>
      <c r="O86" s="106"/>
      <c r="P86" s="106"/>
      <c r="Q86" s="106"/>
      <c r="AB86" s="106"/>
      <c r="AR86" s="65"/>
      <c r="AS86" s="65"/>
      <c r="AT86" s="65"/>
      <c r="BC86" s="23"/>
      <c r="BD86" s="23"/>
      <c r="BE86" s="23"/>
      <c r="BF86" s="66"/>
    </row>
    <row r="87">
      <c r="G87" s="106"/>
      <c r="H87" s="105"/>
      <c r="I87" s="106"/>
      <c r="J87" s="106"/>
      <c r="K87" s="106"/>
      <c r="L87" s="106"/>
      <c r="M87" s="106"/>
      <c r="N87" s="106"/>
      <c r="O87" s="106"/>
      <c r="P87" s="106"/>
      <c r="Q87" s="106"/>
      <c r="AB87" s="106"/>
      <c r="AR87" s="65"/>
      <c r="AS87" s="65"/>
      <c r="AT87" s="65"/>
      <c r="BC87" s="23"/>
      <c r="BD87" s="23"/>
      <c r="BE87" s="23"/>
      <c r="BF87" s="66"/>
    </row>
    <row r="88">
      <c r="G88" s="106"/>
      <c r="H88" s="105"/>
      <c r="I88" s="106"/>
      <c r="J88" s="106"/>
      <c r="K88" s="106"/>
      <c r="L88" s="106"/>
      <c r="M88" s="106"/>
      <c r="N88" s="106"/>
      <c r="O88" s="106"/>
      <c r="P88" s="106"/>
      <c r="Q88" s="106"/>
      <c r="AB88" s="106"/>
      <c r="AR88" s="65"/>
      <c r="AS88" s="65"/>
      <c r="AT88" s="65"/>
      <c r="BC88" s="23"/>
      <c r="BD88" s="23"/>
      <c r="BE88" s="23"/>
      <c r="BF88" s="66"/>
    </row>
    <row r="89">
      <c r="G89" s="106"/>
      <c r="H89" s="105"/>
      <c r="I89" s="106"/>
      <c r="J89" s="106"/>
      <c r="K89" s="106"/>
      <c r="L89" s="106"/>
      <c r="M89" s="106"/>
      <c r="N89" s="106"/>
      <c r="O89" s="106"/>
      <c r="P89" s="106"/>
      <c r="Q89" s="106"/>
      <c r="AB89" s="106"/>
      <c r="AR89" s="65"/>
      <c r="AS89" s="65"/>
      <c r="AT89" s="65"/>
      <c r="BC89" s="23"/>
      <c r="BD89" s="23"/>
      <c r="BE89" s="23"/>
      <c r="BF89" s="66"/>
    </row>
    <row r="90">
      <c r="G90" s="106"/>
      <c r="H90" s="105"/>
      <c r="I90" s="106"/>
      <c r="J90" s="106"/>
      <c r="K90" s="106"/>
      <c r="L90" s="106"/>
      <c r="M90" s="106"/>
      <c r="N90" s="106"/>
      <c r="O90" s="106"/>
      <c r="P90" s="106"/>
      <c r="Q90" s="106"/>
      <c r="AB90" s="106"/>
      <c r="AR90" s="65"/>
      <c r="AS90" s="65"/>
      <c r="AT90" s="65"/>
      <c r="BC90" s="23"/>
      <c r="BD90" s="23"/>
      <c r="BE90" s="23"/>
      <c r="BF90" s="66"/>
    </row>
    <row r="91">
      <c r="G91" s="106"/>
      <c r="H91" s="105"/>
      <c r="I91" s="106"/>
      <c r="J91" s="106"/>
      <c r="K91" s="106"/>
      <c r="L91" s="106"/>
      <c r="M91" s="106"/>
      <c r="N91" s="106"/>
      <c r="O91" s="106"/>
      <c r="P91" s="106"/>
      <c r="Q91" s="106"/>
      <c r="AB91" s="106"/>
      <c r="AR91" s="65"/>
      <c r="AS91" s="65"/>
      <c r="AT91" s="65"/>
      <c r="BC91" s="23"/>
      <c r="BD91" s="23"/>
      <c r="BE91" s="23"/>
      <c r="BF91" s="66"/>
    </row>
    <row r="92">
      <c r="G92" s="106"/>
      <c r="H92" s="105"/>
      <c r="I92" s="106"/>
      <c r="J92" s="106"/>
      <c r="K92" s="106"/>
      <c r="L92" s="106"/>
      <c r="M92" s="106"/>
      <c r="N92" s="106"/>
      <c r="O92" s="106"/>
      <c r="P92" s="106"/>
      <c r="Q92" s="106"/>
      <c r="AB92" s="106"/>
      <c r="AR92" s="65"/>
      <c r="AS92" s="65"/>
      <c r="AT92" s="65"/>
      <c r="BC92" s="23"/>
      <c r="BD92" s="23"/>
      <c r="BE92" s="23"/>
      <c r="BF92" s="66"/>
    </row>
    <row r="93">
      <c r="G93" s="106"/>
      <c r="H93" s="105"/>
      <c r="I93" s="106"/>
      <c r="J93" s="106"/>
      <c r="K93" s="106"/>
      <c r="L93" s="106"/>
      <c r="M93" s="106"/>
      <c r="N93" s="106"/>
      <c r="O93" s="106"/>
      <c r="P93" s="106"/>
      <c r="Q93" s="106"/>
      <c r="AB93" s="106"/>
      <c r="AR93" s="65"/>
      <c r="AS93" s="65"/>
      <c r="AT93" s="65"/>
      <c r="BC93" s="23"/>
      <c r="BD93" s="23"/>
      <c r="BE93" s="23"/>
      <c r="BF93" s="66"/>
    </row>
    <row r="94">
      <c r="G94" s="106"/>
      <c r="H94" s="105"/>
      <c r="I94" s="106"/>
      <c r="J94" s="106"/>
      <c r="K94" s="106"/>
      <c r="L94" s="106"/>
      <c r="M94" s="106"/>
      <c r="N94" s="106"/>
      <c r="O94" s="106"/>
      <c r="P94" s="106"/>
      <c r="Q94" s="106"/>
      <c r="AB94" s="106"/>
      <c r="AR94" s="65"/>
      <c r="AS94" s="65"/>
      <c r="AT94" s="65"/>
      <c r="BC94" s="23"/>
      <c r="BD94" s="23"/>
      <c r="BE94" s="23"/>
      <c r="BF94" s="66"/>
    </row>
    <row r="95">
      <c r="G95" s="106"/>
      <c r="H95" s="105"/>
      <c r="I95" s="106"/>
      <c r="J95" s="106"/>
      <c r="K95" s="106"/>
      <c r="L95" s="106"/>
      <c r="M95" s="106"/>
      <c r="N95" s="106"/>
      <c r="O95" s="106"/>
      <c r="P95" s="106"/>
      <c r="Q95" s="106"/>
      <c r="AB95" s="106"/>
      <c r="AR95" s="65"/>
      <c r="AS95" s="65"/>
      <c r="AT95" s="65"/>
      <c r="BC95" s="23"/>
      <c r="BD95" s="23"/>
      <c r="BE95" s="23"/>
      <c r="BF95" s="66"/>
    </row>
    <row r="96">
      <c r="G96" s="106"/>
      <c r="H96" s="105"/>
      <c r="I96" s="106"/>
      <c r="J96" s="106"/>
      <c r="K96" s="106"/>
      <c r="L96" s="106"/>
      <c r="M96" s="106"/>
      <c r="N96" s="106"/>
      <c r="O96" s="106"/>
      <c r="P96" s="106"/>
      <c r="Q96" s="106"/>
      <c r="AB96" s="106"/>
      <c r="AR96" s="65"/>
      <c r="AS96" s="65"/>
      <c r="AT96" s="65"/>
      <c r="BC96" s="23"/>
      <c r="BD96" s="23"/>
      <c r="BE96" s="23"/>
      <c r="BF96" s="66"/>
    </row>
    <row r="97">
      <c r="G97" s="106"/>
      <c r="H97" s="105"/>
      <c r="I97" s="106"/>
      <c r="J97" s="106"/>
      <c r="K97" s="106"/>
      <c r="L97" s="106"/>
      <c r="M97" s="106"/>
      <c r="N97" s="106"/>
      <c r="O97" s="106"/>
      <c r="P97" s="106"/>
      <c r="Q97" s="106"/>
      <c r="AB97" s="106"/>
      <c r="AR97" s="65"/>
      <c r="AS97" s="65"/>
      <c r="AT97" s="65"/>
      <c r="BC97" s="23"/>
      <c r="BD97" s="23"/>
      <c r="BE97" s="23"/>
      <c r="BF97" s="66"/>
    </row>
    <row r="98">
      <c r="G98" s="106"/>
      <c r="H98" s="105"/>
      <c r="I98" s="106"/>
      <c r="J98" s="106"/>
      <c r="K98" s="106"/>
      <c r="L98" s="106"/>
      <c r="M98" s="106"/>
      <c r="N98" s="106"/>
      <c r="O98" s="106"/>
      <c r="P98" s="106"/>
      <c r="Q98" s="106"/>
      <c r="AB98" s="106"/>
      <c r="AR98" s="65"/>
      <c r="AS98" s="65"/>
      <c r="AT98" s="65"/>
      <c r="BC98" s="23"/>
      <c r="BD98" s="23"/>
      <c r="BE98" s="23"/>
      <c r="BF98" s="66"/>
    </row>
    <row r="99">
      <c r="G99" s="106"/>
      <c r="H99" s="105"/>
      <c r="I99" s="106"/>
      <c r="J99" s="106"/>
      <c r="K99" s="106"/>
      <c r="L99" s="106"/>
      <c r="M99" s="106"/>
      <c r="N99" s="106"/>
      <c r="O99" s="106"/>
      <c r="P99" s="106"/>
      <c r="Q99" s="106"/>
      <c r="AB99" s="106"/>
      <c r="AR99" s="65"/>
      <c r="AS99" s="65"/>
      <c r="AT99" s="65"/>
      <c r="BC99" s="23"/>
      <c r="BD99" s="23"/>
      <c r="BE99" s="23"/>
      <c r="BF99" s="66"/>
    </row>
    <row r="100">
      <c r="G100" s="106"/>
      <c r="H100" s="105"/>
      <c r="I100" s="106"/>
      <c r="J100" s="106"/>
      <c r="K100" s="106"/>
      <c r="L100" s="106"/>
      <c r="M100" s="106"/>
      <c r="N100" s="106"/>
      <c r="O100" s="106"/>
      <c r="P100" s="106"/>
      <c r="Q100" s="106"/>
      <c r="AB100" s="106"/>
      <c r="AR100" s="65"/>
      <c r="AS100" s="65"/>
      <c r="AT100" s="65"/>
      <c r="BC100" s="23"/>
      <c r="BD100" s="23"/>
      <c r="BE100" s="23"/>
      <c r="BF100" s="66"/>
    </row>
    <row r="101">
      <c r="G101" s="106"/>
      <c r="H101" s="105"/>
      <c r="I101" s="106"/>
      <c r="J101" s="106"/>
      <c r="K101" s="106"/>
      <c r="L101" s="106"/>
      <c r="M101" s="106"/>
      <c r="N101" s="106"/>
      <c r="O101" s="106"/>
      <c r="P101" s="106"/>
      <c r="Q101" s="106"/>
      <c r="AB101" s="106"/>
      <c r="AR101" s="65"/>
      <c r="AS101" s="65"/>
      <c r="AT101" s="65"/>
      <c r="BC101" s="23"/>
      <c r="BD101" s="23"/>
      <c r="BE101" s="23"/>
      <c r="BF101" s="66"/>
    </row>
    <row r="102">
      <c r="G102" s="106"/>
      <c r="H102" s="105"/>
      <c r="I102" s="106"/>
      <c r="J102" s="106"/>
      <c r="K102" s="106"/>
      <c r="L102" s="106"/>
      <c r="M102" s="106"/>
      <c r="N102" s="106"/>
      <c r="O102" s="106"/>
      <c r="P102" s="106"/>
      <c r="Q102" s="106"/>
      <c r="AB102" s="106"/>
      <c r="AR102" s="65"/>
      <c r="AS102" s="65"/>
      <c r="AT102" s="65"/>
      <c r="BC102" s="23"/>
      <c r="BD102" s="23"/>
      <c r="BE102" s="23"/>
      <c r="BF102" s="66"/>
    </row>
    <row r="103">
      <c r="G103" s="106"/>
      <c r="H103" s="105"/>
      <c r="I103" s="106"/>
      <c r="J103" s="106"/>
      <c r="K103" s="106"/>
      <c r="L103" s="106"/>
      <c r="M103" s="106"/>
      <c r="N103" s="106"/>
      <c r="O103" s="106"/>
      <c r="P103" s="106"/>
      <c r="Q103" s="106"/>
      <c r="AB103" s="106"/>
      <c r="AR103" s="65"/>
      <c r="AS103" s="65"/>
      <c r="AT103" s="65"/>
      <c r="BC103" s="23"/>
      <c r="BD103" s="23"/>
      <c r="BE103" s="23"/>
      <c r="BF103" s="66"/>
    </row>
    <row r="104">
      <c r="G104" s="106"/>
      <c r="H104" s="105"/>
      <c r="I104" s="106"/>
      <c r="J104" s="106"/>
      <c r="K104" s="106"/>
      <c r="L104" s="106"/>
      <c r="M104" s="106"/>
      <c r="N104" s="106"/>
      <c r="O104" s="106"/>
      <c r="P104" s="106"/>
      <c r="Q104" s="106"/>
      <c r="AB104" s="106"/>
      <c r="AR104" s="65"/>
      <c r="AS104" s="65"/>
      <c r="AT104" s="65"/>
      <c r="BC104" s="23"/>
      <c r="BD104" s="23"/>
      <c r="BE104" s="23"/>
      <c r="BF104" s="66"/>
    </row>
    <row r="105">
      <c r="G105" s="106"/>
      <c r="H105" s="105"/>
      <c r="I105" s="106"/>
      <c r="J105" s="106"/>
      <c r="K105" s="106"/>
      <c r="L105" s="106"/>
      <c r="M105" s="106"/>
      <c r="N105" s="106"/>
      <c r="O105" s="106"/>
      <c r="P105" s="106"/>
      <c r="Q105" s="106"/>
      <c r="AB105" s="106"/>
      <c r="AR105" s="65"/>
      <c r="AS105" s="65"/>
      <c r="AT105" s="65"/>
      <c r="BC105" s="23"/>
      <c r="BD105" s="23"/>
      <c r="BE105" s="23"/>
      <c r="BF105" s="66"/>
    </row>
    <row r="106">
      <c r="G106" s="106"/>
      <c r="H106" s="105"/>
      <c r="I106" s="106"/>
      <c r="J106" s="106"/>
      <c r="K106" s="106"/>
      <c r="L106" s="106"/>
      <c r="M106" s="106"/>
      <c r="N106" s="106"/>
      <c r="O106" s="106"/>
      <c r="P106" s="106"/>
      <c r="Q106" s="106"/>
      <c r="AB106" s="106"/>
      <c r="AR106" s="65"/>
      <c r="AS106" s="65"/>
      <c r="AT106" s="65"/>
      <c r="BC106" s="23"/>
      <c r="BD106" s="23"/>
      <c r="BE106" s="23"/>
      <c r="BF106" s="66"/>
    </row>
    <row r="107">
      <c r="G107" s="106"/>
      <c r="H107" s="105"/>
      <c r="I107" s="106"/>
      <c r="J107" s="106"/>
      <c r="K107" s="106"/>
      <c r="L107" s="106"/>
      <c r="M107" s="106"/>
      <c r="N107" s="106"/>
      <c r="O107" s="106"/>
      <c r="P107" s="106"/>
      <c r="Q107" s="106"/>
      <c r="AB107" s="106"/>
      <c r="AR107" s="65"/>
      <c r="AS107" s="65"/>
      <c r="AT107" s="65"/>
      <c r="BC107" s="23"/>
      <c r="BD107" s="23"/>
      <c r="BE107" s="23"/>
      <c r="BF107" s="66"/>
    </row>
    <row r="108">
      <c r="G108" s="106"/>
      <c r="H108" s="105"/>
      <c r="I108" s="106"/>
      <c r="J108" s="106"/>
      <c r="K108" s="106"/>
      <c r="L108" s="106"/>
      <c r="M108" s="106"/>
      <c r="N108" s="106"/>
      <c r="O108" s="106"/>
      <c r="P108" s="106"/>
      <c r="Q108" s="106"/>
      <c r="AB108" s="106"/>
      <c r="AR108" s="65"/>
      <c r="AS108" s="65"/>
      <c r="AT108" s="65"/>
      <c r="BC108" s="23"/>
      <c r="BD108" s="23"/>
      <c r="BE108" s="23"/>
      <c r="BF108" s="66"/>
    </row>
    <row r="109">
      <c r="G109" s="106"/>
      <c r="H109" s="105"/>
      <c r="I109" s="106"/>
      <c r="J109" s="106"/>
      <c r="K109" s="106"/>
      <c r="L109" s="106"/>
      <c r="M109" s="106"/>
      <c r="N109" s="106"/>
      <c r="O109" s="106"/>
      <c r="P109" s="106"/>
      <c r="Q109" s="106"/>
      <c r="AB109" s="106"/>
      <c r="AR109" s="65"/>
      <c r="AS109" s="65"/>
      <c r="AT109" s="65"/>
      <c r="BC109" s="23"/>
      <c r="BD109" s="23"/>
      <c r="BE109" s="23"/>
      <c r="BF109" s="66"/>
    </row>
    <row r="110">
      <c r="G110" s="106"/>
      <c r="H110" s="105"/>
      <c r="I110" s="106"/>
      <c r="J110" s="106"/>
      <c r="K110" s="106"/>
      <c r="L110" s="106"/>
      <c r="M110" s="106"/>
      <c r="N110" s="106"/>
      <c r="O110" s="106"/>
      <c r="P110" s="106"/>
      <c r="Q110" s="106"/>
      <c r="AB110" s="106"/>
      <c r="AR110" s="65"/>
      <c r="AS110" s="65"/>
      <c r="AT110" s="65"/>
      <c r="BC110" s="23"/>
      <c r="BD110" s="23"/>
      <c r="BE110" s="23"/>
      <c r="BF110" s="66"/>
    </row>
    <row r="111">
      <c r="G111" s="106"/>
      <c r="H111" s="105"/>
      <c r="I111" s="106"/>
      <c r="J111" s="106"/>
      <c r="K111" s="106"/>
      <c r="L111" s="106"/>
      <c r="M111" s="106"/>
      <c r="N111" s="106"/>
      <c r="O111" s="106"/>
      <c r="P111" s="106"/>
      <c r="Q111" s="106"/>
      <c r="AB111" s="106"/>
      <c r="AR111" s="65"/>
      <c r="AS111" s="65"/>
      <c r="AT111" s="65"/>
      <c r="BC111" s="23"/>
      <c r="BD111" s="23"/>
      <c r="BE111" s="23"/>
      <c r="BF111" s="66"/>
    </row>
    <row r="112">
      <c r="G112" s="106"/>
      <c r="H112" s="105"/>
      <c r="I112" s="106"/>
      <c r="J112" s="106"/>
      <c r="K112" s="106"/>
      <c r="L112" s="106"/>
      <c r="M112" s="106"/>
      <c r="N112" s="106"/>
      <c r="O112" s="106"/>
      <c r="P112" s="106"/>
      <c r="Q112" s="106"/>
      <c r="AB112" s="106"/>
      <c r="AR112" s="65"/>
      <c r="AS112" s="65"/>
      <c r="AT112" s="65"/>
      <c r="BC112" s="23"/>
      <c r="BD112" s="23"/>
      <c r="BE112" s="23"/>
      <c r="BF112" s="66"/>
    </row>
    <row r="113">
      <c r="G113" s="106"/>
      <c r="H113" s="105"/>
      <c r="I113" s="106"/>
      <c r="J113" s="106"/>
      <c r="K113" s="106"/>
      <c r="L113" s="106"/>
      <c r="M113" s="106"/>
      <c r="N113" s="106"/>
      <c r="O113" s="106"/>
      <c r="P113" s="106"/>
      <c r="Q113" s="106"/>
      <c r="AB113" s="106"/>
      <c r="AR113" s="65"/>
      <c r="AS113" s="65"/>
      <c r="AT113" s="65"/>
      <c r="BC113" s="23"/>
      <c r="BD113" s="23"/>
      <c r="BE113" s="23"/>
      <c r="BF113" s="66"/>
    </row>
    <row r="114">
      <c r="G114" s="106"/>
      <c r="H114" s="105"/>
      <c r="I114" s="106"/>
      <c r="J114" s="106"/>
      <c r="K114" s="106"/>
      <c r="L114" s="106"/>
      <c r="M114" s="106"/>
      <c r="N114" s="106"/>
      <c r="O114" s="106"/>
      <c r="P114" s="106"/>
      <c r="Q114" s="106"/>
      <c r="AB114" s="106"/>
      <c r="AR114" s="65"/>
      <c r="AS114" s="65"/>
      <c r="AT114" s="65"/>
      <c r="BC114" s="23"/>
      <c r="BD114" s="23"/>
      <c r="BE114" s="23"/>
      <c r="BF114" s="66"/>
    </row>
    <row r="115">
      <c r="G115" s="106"/>
      <c r="H115" s="105"/>
      <c r="I115" s="106"/>
      <c r="J115" s="106"/>
      <c r="K115" s="106"/>
      <c r="L115" s="106"/>
      <c r="M115" s="106"/>
      <c r="N115" s="106"/>
      <c r="O115" s="106"/>
      <c r="P115" s="106"/>
      <c r="Q115" s="106"/>
      <c r="AB115" s="106"/>
      <c r="AR115" s="65"/>
      <c r="AS115" s="65"/>
      <c r="AT115" s="65"/>
      <c r="BC115" s="23"/>
      <c r="BD115" s="23"/>
      <c r="BE115" s="23"/>
      <c r="BF115" s="66"/>
    </row>
    <row r="116">
      <c r="G116" s="106"/>
      <c r="H116" s="105"/>
      <c r="I116" s="106"/>
      <c r="J116" s="106"/>
      <c r="K116" s="106"/>
      <c r="L116" s="106"/>
      <c r="M116" s="106"/>
      <c r="N116" s="106"/>
      <c r="O116" s="106"/>
      <c r="P116" s="106"/>
      <c r="Q116" s="106"/>
      <c r="AB116" s="106"/>
      <c r="AR116" s="65"/>
      <c r="AS116" s="65"/>
      <c r="AT116" s="65"/>
      <c r="BC116" s="23"/>
      <c r="BD116" s="23"/>
      <c r="BE116" s="23"/>
      <c r="BF116" s="66"/>
    </row>
    <row r="117">
      <c r="G117" s="106"/>
      <c r="H117" s="105"/>
      <c r="I117" s="106"/>
      <c r="J117" s="106"/>
      <c r="K117" s="106"/>
      <c r="L117" s="106"/>
      <c r="M117" s="106"/>
      <c r="N117" s="106"/>
      <c r="O117" s="106"/>
      <c r="P117" s="106"/>
      <c r="Q117" s="106"/>
      <c r="AB117" s="106"/>
      <c r="AR117" s="65"/>
      <c r="AS117" s="65"/>
      <c r="AT117" s="65"/>
      <c r="BC117" s="23"/>
      <c r="BD117" s="23"/>
      <c r="BE117" s="23"/>
      <c r="BF117" s="66"/>
    </row>
    <row r="118">
      <c r="G118" s="106"/>
      <c r="H118" s="105"/>
      <c r="I118" s="106"/>
      <c r="J118" s="106"/>
      <c r="K118" s="106"/>
      <c r="L118" s="106"/>
      <c r="M118" s="106"/>
      <c r="N118" s="106"/>
      <c r="O118" s="106"/>
      <c r="P118" s="106"/>
      <c r="Q118" s="106"/>
      <c r="AB118" s="106"/>
      <c r="AR118" s="65"/>
      <c r="AS118" s="65"/>
      <c r="AT118" s="65"/>
      <c r="BC118" s="23"/>
      <c r="BD118" s="23"/>
      <c r="BE118" s="23"/>
      <c r="BF118" s="66"/>
    </row>
    <row r="119">
      <c r="G119" s="106"/>
      <c r="H119" s="105"/>
      <c r="I119" s="106"/>
      <c r="J119" s="106"/>
      <c r="K119" s="106"/>
      <c r="L119" s="106"/>
      <c r="M119" s="106"/>
      <c r="N119" s="106"/>
      <c r="O119" s="106"/>
      <c r="P119" s="106"/>
      <c r="Q119" s="106"/>
      <c r="AB119" s="106"/>
      <c r="AR119" s="65"/>
      <c r="AS119" s="65"/>
      <c r="AT119" s="65"/>
      <c r="BC119" s="23"/>
      <c r="BD119" s="23"/>
      <c r="BE119" s="23"/>
      <c r="BF119" s="66"/>
    </row>
    <row r="120">
      <c r="G120" s="106"/>
      <c r="H120" s="105"/>
      <c r="I120" s="106"/>
      <c r="J120" s="106"/>
      <c r="K120" s="106"/>
      <c r="L120" s="106"/>
      <c r="M120" s="106"/>
      <c r="N120" s="106"/>
      <c r="O120" s="106"/>
      <c r="P120" s="106"/>
      <c r="Q120" s="106"/>
      <c r="AB120" s="106"/>
      <c r="AR120" s="65"/>
      <c r="AS120" s="65"/>
      <c r="AT120" s="65"/>
      <c r="BC120" s="23"/>
      <c r="BD120" s="23"/>
      <c r="BE120" s="23"/>
      <c r="BF120" s="66"/>
    </row>
    <row r="121">
      <c r="G121" s="106"/>
      <c r="H121" s="105"/>
      <c r="I121" s="106"/>
      <c r="J121" s="106"/>
      <c r="K121" s="106"/>
      <c r="L121" s="106"/>
      <c r="M121" s="106"/>
      <c r="N121" s="106"/>
      <c r="O121" s="106"/>
      <c r="P121" s="106"/>
      <c r="Q121" s="106"/>
      <c r="AB121" s="106"/>
      <c r="AR121" s="65"/>
      <c r="AS121" s="65"/>
      <c r="AT121" s="65"/>
      <c r="BC121" s="23"/>
      <c r="BD121" s="23"/>
      <c r="BE121" s="23"/>
      <c r="BF121" s="66"/>
    </row>
    <row r="122">
      <c r="G122" s="106"/>
      <c r="H122" s="105"/>
      <c r="I122" s="106"/>
      <c r="J122" s="106"/>
      <c r="K122" s="106"/>
      <c r="L122" s="106"/>
      <c r="M122" s="106"/>
      <c r="N122" s="106"/>
      <c r="O122" s="106"/>
      <c r="P122" s="106"/>
      <c r="Q122" s="106"/>
      <c r="AB122" s="106"/>
      <c r="AR122" s="65"/>
      <c r="AS122" s="65"/>
      <c r="AT122" s="65"/>
      <c r="BC122" s="23"/>
      <c r="BD122" s="23"/>
      <c r="BE122" s="23"/>
      <c r="BF122" s="66"/>
    </row>
    <row r="123">
      <c r="G123" s="106"/>
      <c r="H123" s="105"/>
      <c r="I123" s="106"/>
      <c r="J123" s="106"/>
      <c r="K123" s="106"/>
      <c r="L123" s="106"/>
      <c r="M123" s="106"/>
      <c r="N123" s="106"/>
      <c r="O123" s="106"/>
      <c r="P123" s="106"/>
      <c r="Q123" s="106"/>
      <c r="AB123" s="106"/>
      <c r="AR123" s="65"/>
      <c r="AS123" s="65"/>
      <c r="AT123" s="65"/>
      <c r="BC123" s="23"/>
      <c r="BD123" s="23"/>
      <c r="BE123" s="23"/>
      <c r="BF123" s="66"/>
    </row>
    <row r="124">
      <c r="G124" s="106"/>
      <c r="H124" s="105"/>
      <c r="I124" s="106"/>
      <c r="J124" s="106"/>
      <c r="K124" s="106"/>
      <c r="L124" s="106"/>
      <c r="M124" s="106"/>
      <c r="N124" s="106"/>
      <c r="O124" s="106"/>
      <c r="P124" s="106"/>
      <c r="Q124" s="106"/>
      <c r="AB124" s="106"/>
      <c r="AR124" s="65"/>
      <c r="AS124" s="65"/>
      <c r="AT124" s="65"/>
      <c r="BC124" s="23"/>
      <c r="BD124" s="23"/>
      <c r="BE124" s="23"/>
      <c r="BF124" s="66"/>
    </row>
    <row r="125">
      <c r="G125" s="106"/>
      <c r="H125" s="105"/>
      <c r="I125" s="106"/>
      <c r="J125" s="106"/>
      <c r="K125" s="106"/>
      <c r="L125" s="106"/>
      <c r="M125" s="106"/>
      <c r="N125" s="106"/>
      <c r="O125" s="106"/>
      <c r="P125" s="106"/>
      <c r="Q125" s="106"/>
      <c r="AB125" s="106"/>
      <c r="AR125" s="65"/>
      <c r="AS125" s="65"/>
      <c r="AT125" s="65"/>
      <c r="BC125" s="23"/>
      <c r="BD125" s="23"/>
      <c r="BE125" s="23"/>
      <c r="BF125" s="66"/>
    </row>
    <row r="126">
      <c r="G126" s="106"/>
      <c r="H126" s="105"/>
      <c r="I126" s="106"/>
      <c r="J126" s="106"/>
      <c r="K126" s="106"/>
      <c r="L126" s="106"/>
      <c r="M126" s="106"/>
      <c r="N126" s="106"/>
      <c r="O126" s="106"/>
      <c r="P126" s="106"/>
      <c r="Q126" s="106"/>
      <c r="AB126" s="106"/>
      <c r="AR126" s="65"/>
      <c r="AS126" s="65"/>
      <c r="AT126" s="65"/>
      <c r="BC126" s="23"/>
      <c r="BD126" s="23"/>
      <c r="BE126" s="23"/>
      <c r="BF126" s="66"/>
    </row>
    <row r="127">
      <c r="G127" s="106"/>
      <c r="H127" s="105"/>
      <c r="I127" s="106"/>
      <c r="J127" s="106"/>
      <c r="K127" s="106"/>
      <c r="L127" s="106"/>
      <c r="M127" s="106"/>
      <c r="N127" s="106"/>
      <c r="O127" s="106"/>
      <c r="P127" s="106"/>
      <c r="Q127" s="106"/>
      <c r="AB127" s="106"/>
      <c r="AR127" s="65"/>
      <c r="AS127" s="65"/>
      <c r="AT127" s="65"/>
      <c r="BC127" s="23"/>
      <c r="BD127" s="23"/>
      <c r="BE127" s="23"/>
      <c r="BF127" s="66"/>
    </row>
    <row r="128">
      <c r="G128" s="106"/>
      <c r="H128" s="105"/>
      <c r="I128" s="106"/>
      <c r="J128" s="106"/>
      <c r="K128" s="106"/>
      <c r="L128" s="106"/>
      <c r="M128" s="106"/>
      <c r="N128" s="106"/>
      <c r="O128" s="106"/>
      <c r="P128" s="106"/>
      <c r="Q128" s="106"/>
      <c r="AB128" s="106"/>
      <c r="AR128" s="65"/>
      <c r="AS128" s="65"/>
      <c r="AT128" s="65"/>
      <c r="BC128" s="23"/>
      <c r="BD128" s="23"/>
      <c r="BE128" s="23"/>
      <c r="BF128" s="66"/>
    </row>
    <row r="129">
      <c r="G129" s="106"/>
      <c r="H129" s="105"/>
      <c r="I129" s="106"/>
      <c r="J129" s="106"/>
      <c r="K129" s="106"/>
      <c r="L129" s="106"/>
      <c r="M129" s="106"/>
      <c r="N129" s="106"/>
      <c r="O129" s="106"/>
      <c r="P129" s="106"/>
      <c r="Q129" s="106"/>
      <c r="AB129" s="106"/>
      <c r="AR129" s="65"/>
      <c r="AS129" s="65"/>
      <c r="AT129" s="65"/>
      <c r="BC129" s="23"/>
      <c r="BD129" s="23"/>
      <c r="BE129" s="23"/>
      <c r="BF129" s="66"/>
    </row>
    <row r="130">
      <c r="G130" s="106"/>
      <c r="H130" s="105"/>
      <c r="I130" s="106"/>
      <c r="J130" s="106"/>
      <c r="K130" s="106"/>
      <c r="L130" s="106"/>
      <c r="M130" s="106"/>
      <c r="N130" s="106"/>
      <c r="O130" s="106"/>
      <c r="P130" s="106"/>
      <c r="Q130" s="106"/>
      <c r="AB130" s="106"/>
      <c r="AR130" s="65"/>
      <c r="AS130" s="65"/>
      <c r="AT130" s="65"/>
      <c r="BC130" s="23"/>
      <c r="BD130" s="23"/>
      <c r="BE130" s="23"/>
      <c r="BF130" s="66"/>
    </row>
    <row r="131">
      <c r="G131" s="106"/>
      <c r="H131" s="105"/>
      <c r="I131" s="106"/>
      <c r="J131" s="106"/>
      <c r="K131" s="106"/>
      <c r="L131" s="106"/>
      <c r="M131" s="106"/>
      <c r="N131" s="106"/>
      <c r="O131" s="106"/>
      <c r="P131" s="106"/>
      <c r="Q131" s="106"/>
      <c r="AB131" s="106"/>
      <c r="AR131" s="65"/>
      <c r="AS131" s="65"/>
      <c r="AT131" s="65"/>
      <c r="BC131" s="23"/>
      <c r="BD131" s="23"/>
      <c r="BE131" s="23"/>
      <c r="BF131" s="66"/>
    </row>
    <row r="132">
      <c r="G132" s="106"/>
      <c r="H132" s="105"/>
      <c r="I132" s="106"/>
      <c r="J132" s="106"/>
      <c r="K132" s="106"/>
      <c r="L132" s="106"/>
      <c r="M132" s="106"/>
      <c r="N132" s="106"/>
      <c r="O132" s="106"/>
      <c r="P132" s="106"/>
      <c r="Q132" s="106"/>
      <c r="AB132" s="106"/>
      <c r="AR132" s="65"/>
      <c r="AS132" s="65"/>
      <c r="AT132" s="65"/>
      <c r="BC132" s="23"/>
      <c r="BD132" s="23"/>
      <c r="BE132" s="23"/>
      <c r="BF132" s="66"/>
    </row>
    <row r="133">
      <c r="G133" s="106"/>
      <c r="H133" s="105"/>
      <c r="I133" s="106"/>
      <c r="J133" s="106"/>
      <c r="K133" s="106"/>
      <c r="L133" s="106"/>
      <c r="M133" s="106"/>
      <c r="N133" s="106"/>
      <c r="O133" s="106"/>
      <c r="P133" s="106"/>
      <c r="Q133" s="106"/>
      <c r="AB133" s="106"/>
      <c r="AR133" s="65"/>
      <c r="AS133" s="65"/>
      <c r="AT133" s="65"/>
      <c r="BC133" s="23"/>
      <c r="BD133" s="23"/>
      <c r="BE133" s="23"/>
      <c r="BF133" s="66"/>
    </row>
    <row r="134">
      <c r="G134" s="106"/>
      <c r="H134" s="105"/>
      <c r="I134" s="106"/>
      <c r="J134" s="106"/>
      <c r="K134" s="106"/>
      <c r="L134" s="106"/>
      <c r="M134" s="106"/>
      <c r="N134" s="106"/>
      <c r="O134" s="106"/>
      <c r="P134" s="106"/>
      <c r="Q134" s="106"/>
      <c r="AB134" s="106"/>
      <c r="AR134" s="65"/>
      <c r="AS134" s="65"/>
      <c r="AT134" s="65"/>
      <c r="BC134" s="23"/>
      <c r="BD134" s="23"/>
      <c r="BE134" s="23"/>
      <c r="BF134" s="66"/>
    </row>
    <row r="135">
      <c r="G135" s="106"/>
      <c r="H135" s="105"/>
      <c r="I135" s="106"/>
      <c r="J135" s="106"/>
      <c r="K135" s="106"/>
      <c r="L135" s="106"/>
      <c r="M135" s="106"/>
      <c r="N135" s="106"/>
      <c r="O135" s="106"/>
      <c r="P135" s="106"/>
      <c r="Q135" s="106"/>
      <c r="AB135" s="106"/>
      <c r="AR135" s="65"/>
      <c r="AS135" s="65"/>
      <c r="AT135" s="65"/>
      <c r="BC135" s="23"/>
      <c r="BD135" s="23"/>
      <c r="BE135" s="23"/>
      <c r="BF135" s="66"/>
    </row>
    <row r="136">
      <c r="G136" s="106"/>
      <c r="H136" s="105"/>
      <c r="I136" s="106"/>
      <c r="J136" s="106"/>
      <c r="K136" s="106"/>
      <c r="L136" s="106"/>
      <c r="M136" s="106"/>
      <c r="N136" s="106"/>
      <c r="O136" s="106"/>
      <c r="P136" s="106"/>
      <c r="Q136" s="106"/>
      <c r="AB136" s="106"/>
      <c r="AR136" s="65"/>
      <c r="AS136" s="65"/>
      <c r="AT136" s="65"/>
      <c r="BC136" s="23"/>
      <c r="BD136" s="23"/>
      <c r="BE136" s="23"/>
      <c r="BF136" s="66"/>
    </row>
    <row r="137">
      <c r="G137" s="106"/>
      <c r="H137" s="105"/>
      <c r="I137" s="106"/>
      <c r="J137" s="106"/>
      <c r="K137" s="106"/>
      <c r="L137" s="106"/>
      <c r="M137" s="106"/>
      <c r="N137" s="106"/>
      <c r="O137" s="106"/>
      <c r="P137" s="106"/>
      <c r="Q137" s="106"/>
      <c r="AB137" s="106"/>
      <c r="AR137" s="65"/>
      <c r="AS137" s="65"/>
      <c r="AT137" s="65"/>
      <c r="BC137" s="23"/>
      <c r="BD137" s="23"/>
      <c r="BE137" s="23"/>
      <c r="BF137" s="66"/>
    </row>
    <row r="138">
      <c r="G138" s="106"/>
      <c r="H138" s="105"/>
      <c r="I138" s="106"/>
      <c r="J138" s="106"/>
      <c r="K138" s="106"/>
      <c r="L138" s="106"/>
      <c r="M138" s="106"/>
      <c r="N138" s="106"/>
      <c r="O138" s="106"/>
      <c r="P138" s="106"/>
      <c r="Q138" s="106"/>
      <c r="AB138" s="106"/>
      <c r="AR138" s="65"/>
      <c r="AS138" s="65"/>
      <c r="AT138" s="65"/>
      <c r="BC138" s="23"/>
      <c r="BD138" s="23"/>
      <c r="BE138" s="23"/>
      <c r="BF138" s="66"/>
    </row>
    <row r="139">
      <c r="G139" s="106"/>
      <c r="H139" s="105"/>
      <c r="I139" s="106"/>
      <c r="J139" s="106"/>
      <c r="K139" s="106"/>
      <c r="L139" s="106"/>
      <c r="M139" s="106"/>
      <c r="N139" s="106"/>
      <c r="O139" s="106"/>
      <c r="P139" s="106"/>
      <c r="Q139" s="106"/>
      <c r="AB139" s="106"/>
      <c r="AR139" s="65"/>
      <c r="AS139" s="65"/>
      <c r="AT139" s="65"/>
      <c r="BC139" s="23"/>
      <c r="BD139" s="23"/>
      <c r="BE139" s="23"/>
      <c r="BF139" s="66"/>
    </row>
    <row r="140">
      <c r="G140" s="106"/>
      <c r="H140" s="105"/>
      <c r="I140" s="106"/>
      <c r="J140" s="106"/>
      <c r="K140" s="106"/>
      <c r="L140" s="106"/>
      <c r="M140" s="106"/>
      <c r="N140" s="106"/>
      <c r="O140" s="106"/>
      <c r="P140" s="106"/>
      <c r="Q140" s="106"/>
      <c r="AB140" s="106"/>
      <c r="AR140" s="65"/>
      <c r="AS140" s="65"/>
      <c r="AT140" s="65"/>
      <c r="BC140" s="23"/>
      <c r="BD140" s="23"/>
      <c r="BE140" s="23"/>
      <c r="BF140" s="66"/>
    </row>
    <row r="141">
      <c r="G141" s="106"/>
      <c r="H141" s="105"/>
      <c r="I141" s="106"/>
      <c r="J141" s="106"/>
      <c r="K141" s="106"/>
      <c r="L141" s="106"/>
      <c r="M141" s="106"/>
      <c r="N141" s="106"/>
      <c r="O141" s="106"/>
      <c r="P141" s="106"/>
      <c r="Q141" s="106"/>
      <c r="AB141" s="106"/>
      <c r="AR141" s="65"/>
      <c r="AS141" s="65"/>
      <c r="AT141" s="65"/>
      <c r="BC141" s="23"/>
      <c r="BD141" s="23"/>
      <c r="BE141" s="23"/>
      <c r="BF141" s="66"/>
    </row>
    <row r="142">
      <c r="G142" s="106"/>
      <c r="H142" s="105"/>
      <c r="I142" s="106"/>
      <c r="J142" s="106"/>
      <c r="K142" s="106"/>
      <c r="L142" s="106"/>
      <c r="M142" s="106"/>
      <c r="N142" s="106"/>
      <c r="O142" s="106"/>
      <c r="P142" s="106"/>
      <c r="Q142" s="106"/>
      <c r="AB142" s="106"/>
      <c r="AR142" s="65"/>
      <c r="AS142" s="65"/>
      <c r="AT142" s="65"/>
      <c r="BC142" s="23"/>
      <c r="BD142" s="23"/>
      <c r="BE142" s="23"/>
      <c r="BF142" s="66"/>
    </row>
    <row r="143">
      <c r="G143" s="106"/>
      <c r="H143" s="105"/>
      <c r="I143" s="106"/>
      <c r="J143" s="106"/>
      <c r="K143" s="106"/>
      <c r="L143" s="106"/>
      <c r="M143" s="106"/>
      <c r="N143" s="106"/>
      <c r="O143" s="106"/>
      <c r="P143" s="106"/>
      <c r="Q143" s="106"/>
      <c r="AB143" s="106"/>
      <c r="AR143" s="65"/>
      <c r="AS143" s="65"/>
      <c r="AT143" s="65"/>
      <c r="BC143" s="23"/>
      <c r="BD143" s="23"/>
      <c r="BE143" s="23"/>
      <c r="BF143" s="66"/>
    </row>
    <row r="144">
      <c r="G144" s="106"/>
      <c r="H144" s="105"/>
      <c r="I144" s="106"/>
      <c r="J144" s="106"/>
      <c r="K144" s="106"/>
      <c r="L144" s="106"/>
      <c r="M144" s="106"/>
      <c r="N144" s="106"/>
      <c r="O144" s="106"/>
      <c r="P144" s="106"/>
      <c r="Q144" s="106"/>
      <c r="AB144" s="106"/>
      <c r="AR144" s="65"/>
      <c r="AS144" s="65"/>
      <c r="AT144" s="65"/>
      <c r="BC144" s="23"/>
      <c r="BD144" s="23"/>
      <c r="BE144" s="23"/>
      <c r="BF144" s="66"/>
    </row>
    <row r="145">
      <c r="G145" s="106"/>
      <c r="H145" s="105"/>
      <c r="I145" s="106"/>
      <c r="J145" s="106"/>
      <c r="K145" s="106"/>
      <c r="L145" s="106"/>
      <c r="M145" s="106"/>
      <c r="N145" s="106"/>
      <c r="O145" s="106"/>
      <c r="P145" s="106"/>
      <c r="Q145" s="106"/>
      <c r="AB145" s="106"/>
      <c r="AR145" s="65"/>
      <c r="AS145" s="65"/>
      <c r="AT145" s="65"/>
      <c r="BC145" s="23"/>
      <c r="BD145" s="23"/>
      <c r="BE145" s="23"/>
      <c r="BF145" s="66"/>
    </row>
    <row r="146">
      <c r="G146" s="106"/>
      <c r="H146" s="105"/>
      <c r="I146" s="106"/>
      <c r="J146" s="106"/>
      <c r="K146" s="106"/>
      <c r="L146" s="106"/>
      <c r="M146" s="106"/>
      <c r="N146" s="106"/>
      <c r="O146" s="106"/>
      <c r="P146" s="106"/>
      <c r="Q146" s="106"/>
      <c r="AB146" s="106"/>
      <c r="AR146" s="65"/>
      <c r="AS146" s="65"/>
      <c r="AT146" s="65"/>
      <c r="BC146" s="23"/>
      <c r="BD146" s="23"/>
      <c r="BE146" s="23"/>
      <c r="BF146" s="66"/>
    </row>
    <row r="147">
      <c r="G147" s="106"/>
      <c r="H147" s="105"/>
      <c r="I147" s="106"/>
      <c r="J147" s="106"/>
      <c r="K147" s="106"/>
      <c r="L147" s="106"/>
      <c r="M147" s="106"/>
      <c r="N147" s="106"/>
      <c r="O147" s="106"/>
      <c r="P147" s="106"/>
      <c r="Q147" s="106"/>
      <c r="AB147" s="106"/>
      <c r="AR147" s="65"/>
      <c r="AS147" s="65"/>
      <c r="AT147" s="65"/>
      <c r="BC147" s="23"/>
      <c r="BD147" s="23"/>
      <c r="BE147" s="23"/>
      <c r="BF147" s="66"/>
    </row>
    <row r="148">
      <c r="G148" s="106"/>
      <c r="H148" s="105"/>
      <c r="I148" s="106"/>
      <c r="J148" s="106"/>
      <c r="K148" s="106"/>
      <c r="L148" s="106"/>
      <c r="M148" s="106"/>
      <c r="N148" s="106"/>
      <c r="O148" s="106"/>
      <c r="P148" s="106"/>
      <c r="Q148" s="106"/>
      <c r="AB148" s="106"/>
      <c r="AR148" s="65"/>
      <c r="AS148" s="65"/>
      <c r="AT148" s="65"/>
      <c r="BC148" s="23"/>
      <c r="BD148" s="23"/>
      <c r="BE148" s="23"/>
      <c r="BF148" s="66"/>
    </row>
    <row r="149">
      <c r="G149" s="106"/>
      <c r="H149" s="105"/>
      <c r="I149" s="106"/>
      <c r="J149" s="106"/>
      <c r="K149" s="106"/>
      <c r="L149" s="106"/>
      <c r="M149" s="106"/>
      <c r="N149" s="106"/>
      <c r="O149" s="106"/>
      <c r="P149" s="106"/>
      <c r="Q149" s="106"/>
      <c r="AB149" s="106"/>
      <c r="AR149" s="65"/>
      <c r="AS149" s="65"/>
      <c r="AT149" s="65"/>
      <c r="BC149" s="23"/>
      <c r="BD149" s="23"/>
      <c r="BE149" s="23"/>
      <c r="BF149" s="66"/>
    </row>
    <row r="150">
      <c r="G150" s="106"/>
      <c r="H150" s="105"/>
      <c r="I150" s="106"/>
      <c r="J150" s="106"/>
      <c r="K150" s="106"/>
      <c r="L150" s="106"/>
      <c r="M150" s="106"/>
      <c r="N150" s="106"/>
      <c r="O150" s="106"/>
      <c r="P150" s="106"/>
      <c r="Q150" s="106"/>
      <c r="AB150" s="106"/>
      <c r="AR150" s="65"/>
      <c r="AS150" s="65"/>
      <c r="AT150" s="65"/>
      <c r="BC150" s="23"/>
      <c r="BD150" s="23"/>
      <c r="BE150" s="23"/>
      <c r="BF150" s="66"/>
    </row>
    <row r="151">
      <c r="G151" s="106"/>
      <c r="H151" s="105"/>
      <c r="I151" s="106"/>
      <c r="J151" s="106"/>
      <c r="K151" s="106"/>
      <c r="L151" s="106"/>
      <c r="M151" s="106"/>
      <c r="N151" s="106"/>
      <c r="O151" s="106"/>
      <c r="P151" s="106"/>
      <c r="Q151" s="106"/>
      <c r="AB151" s="106"/>
      <c r="AR151" s="65"/>
      <c r="AS151" s="65"/>
      <c r="AT151" s="65"/>
      <c r="BC151" s="23"/>
      <c r="BD151" s="23"/>
      <c r="BE151" s="23"/>
      <c r="BF151" s="66"/>
    </row>
    <row r="152">
      <c r="G152" s="106"/>
      <c r="H152" s="105"/>
      <c r="I152" s="106"/>
      <c r="J152" s="106"/>
      <c r="K152" s="106"/>
      <c r="L152" s="106"/>
      <c r="M152" s="106"/>
      <c r="N152" s="106"/>
      <c r="O152" s="106"/>
      <c r="P152" s="106"/>
      <c r="Q152" s="106"/>
      <c r="AB152" s="106"/>
      <c r="AR152" s="65"/>
      <c r="AS152" s="65"/>
      <c r="AT152" s="65"/>
      <c r="BC152" s="23"/>
      <c r="BD152" s="23"/>
      <c r="BE152" s="23"/>
      <c r="BF152" s="66"/>
    </row>
    <row r="153">
      <c r="G153" s="106"/>
      <c r="H153" s="105"/>
      <c r="I153" s="106"/>
      <c r="J153" s="106"/>
      <c r="K153" s="106"/>
      <c r="L153" s="106"/>
      <c r="M153" s="106"/>
      <c r="N153" s="106"/>
      <c r="O153" s="106"/>
      <c r="P153" s="106"/>
      <c r="Q153" s="106"/>
      <c r="AB153" s="106"/>
      <c r="AR153" s="65"/>
      <c r="AS153" s="65"/>
      <c r="AT153" s="65"/>
      <c r="BC153" s="23"/>
      <c r="BD153" s="23"/>
      <c r="BE153" s="23"/>
      <c r="BF153" s="66"/>
    </row>
    <row r="154">
      <c r="G154" s="106"/>
      <c r="H154" s="105"/>
      <c r="I154" s="106"/>
      <c r="J154" s="106"/>
      <c r="K154" s="106"/>
      <c r="L154" s="106"/>
      <c r="M154" s="106"/>
      <c r="N154" s="106"/>
      <c r="O154" s="106"/>
      <c r="P154" s="106"/>
      <c r="Q154" s="106"/>
      <c r="AB154" s="106"/>
      <c r="AR154" s="65"/>
      <c r="AS154" s="65"/>
      <c r="AT154" s="65"/>
      <c r="BC154" s="23"/>
      <c r="BD154" s="23"/>
      <c r="BE154" s="23"/>
      <c r="BF154" s="66"/>
    </row>
    <row r="155">
      <c r="G155" s="106"/>
      <c r="H155" s="105"/>
      <c r="I155" s="106"/>
      <c r="J155" s="106"/>
      <c r="K155" s="106"/>
      <c r="L155" s="106"/>
      <c r="M155" s="106"/>
      <c r="N155" s="106"/>
      <c r="O155" s="106"/>
      <c r="P155" s="106"/>
      <c r="Q155" s="106"/>
      <c r="AB155" s="106"/>
      <c r="AR155" s="65"/>
      <c r="AS155" s="65"/>
      <c r="AT155" s="65"/>
      <c r="BC155" s="23"/>
      <c r="BD155" s="23"/>
      <c r="BE155" s="23"/>
      <c r="BF155" s="66"/>
    </row>
    <row r="156">
      <c r="G156" s="106"/>
      <c r="H156" s="105"/>
      <c r="I156" s="106"/>
      <c r="J156" s="106"/>
      <c r="K156" s="106"/>
      <c r="L156" s="106"/>
      <c r="M156" s="106"/>
      <c r="N156" s="106"/>
      <c r="O156" s="106"/>
      <c r="P156" s="106"/>
      <c r="Q156" s="106"/>
      <c r="AB156" s="106"/>
      <c r="AR156" s="65"/>
      <c r="AS156" s="65"/>
      <c r="AT156" s="65"/>
      <c r="BC156" s="23"/>
      <c r="BD156" s="23"/>
      <c r="BE156" s="23"/>
      <c r="BF156" s="66"/>
    </row>
    <row r="157">
      <c r="G157" s="106"/>
      <c r="H157" s="105"/>
      <c r="I157" s="106"/>
      <c r="J157" s="106"/>
      <c r="K157" s="106"/>
      <c r="L157" s="106"/>
      <c r="M157" s="106"/>
      <c r="N157" s="106"/>
      <c r="O157" s="106"/>
      <c r="P157" s="106"/>
      <c r="Q157" s="106"/>
      <c r="AB157" s="106"/>
      <c r="AR157" s="65"/>
      <c r="AS157" s="65"/>
      <c r="AT157" s="65"/>
      <c r="BC157" s="23"/>
      <c r="BD157" s="23"/>
      <c r="BE157" s="23"/>
      <c r="BF157" s="66"/>
    </row>
    <row r="158">
      <c r="G158" s="106"/>
      <c r="H158" s="105"/>
      <c r="I158" s="106"/>
      <c r="J158" s="106"/>
      <c r="K158" s="106"/>
      <c r="L158" s="106"/>
      <c r="M158" s="106"/>
      <c r="N158" s="106"/>
      <c r="O158" s="106"/>
      <c r="P158" s="106"/>
      <c r="Q158" s="106"/>
      <c r="AB158" s="106"/>
      <c r="AR158" s="65"/>
      <c r="AS158" s="65"/>
      <c r="AT158" s="65"/>
      <c r="BC158" s="23"/>
      <c r="BD158" s="23"/>
      <c r="BE158" s="23"/>
      <c r="BF158" s="66"/>
    </row>
    <row r="159">
      <c r="G159" s="106"/>
      <c r="H159" s="105"/>
      <c r="I159" s="106"/>
      <c r="J159" s="106"/>
      <c r="K159" s="106"/>
      <c r="L159" s="106"/>
      <c r="M159" s="106"/>
      <c r="N159" s="106"/>
      <c r="O159" s="106"/>
      <c r="P159" s="106"/>
      <c r="Q159" s="106"/>
      <c r="AB159" s="106"/>
      <c r="AR159" s="65"/>
      <c r="AS159" s="65"/>
      <c r="AT159" s="65"/>
      <c r="BC159" s="23"/>
      <c r="BD159" s="23"/>
      <c r="BE159" s="23"/>
      <c r="BF159" s="66"/>
    </row>
    <row r="160">
      <c r="G160" s="106"/>
      <c r="H160" s="105"/>
      <c r="I160" s="106"/>
      <c r="J160" s="106"/>
      <c r="K160" s="106"/>
      <c r="L160" s="106"/>
      <c r="M160" s="106"/>
      <c r="N160" s="106"/>
      <c r="O160" s="106"/>
      <c r="P160" s="106"/>
      <c r="Q160" s="106"/>
      <c r="AB160" s="106"/>
      <c r="AR160" s="65"/>
      <c r="AS160" s="65"/>
      <c r="AT160" s="65"/>
      <c r="BC160" s="23"/>
      <c r="BD160" s="23"/>
      <c r="BE160" s="23"/>
      <c r="BF160" s="66"/>
    </row>
    <row r="161">
      <c r="G161" s="106"/>
      <c r="H161" s="105"/>
      <c r="I161" s="106"/>
      <c r="J161" s="106"/>
      <c r="K161" s="106"/>
      <c r="L161" s="106"/>
      <c r="M161" s="106"/>
      <c r="N161" s="106"/>
      <c r="O161" s="106"/>
      <c r="P161" s="106"/>
      <c r="Q161" s="106"/>
      <c r="AB161" s="106"/>
      <c r="AR161" s="65"/>
      <c r="AS161" s="65"/>
      <c r="AT161" s="65"/>
      <c r="BC161" s="23"/>
      <c r="BD161" s="23"/>
      <c r="BE161" s="23"/>
      <c r="BF161" s="66"/>
    </row>
    <row r="162">
      <c r="G162" s="106"/>
      <c r="H162" s="105"/>
      <c r="I162" s="106"/>
      <c r="J162" s="106"/>
      <c r="K162" s="106"/>
      <c r="L162" s="106"/>
      <c r="M162" s="106"/>
      <c r="N162" s="106"/>
      <c r="O162" s="106"/>
      <c r="P162" s="106"/>
      <c r="Q162" s="106"/>
      <c r="AB162" s="106"/>
      <c r="AR162" s="65"/>
      <c r="AS162" s="65"/>
      <c r="AT162" s="65"/>
      <c r="BC162" s="23"/>
      <c r="BD162" s="23"/>
      <c r="BE162" s="23"/>
      <c r="BF162" s="66"/>
    </row>
    <row r="163">
      <c r="G163" s="106"/>
      <c r="H163" s="105"/>
      <c r="I163" s="106"/>
      <c r="J163" s="106"/>
      <c r="K163" s="106"/>
      <c r="L163" s="106"/>
      <c r="M163" s="106"/>
      <c r="N163" s="106"/>
      <c r="O163" s="106"/>
      <c r="P163" s="106"/>
      <c r="Q163" s="106"/>
      <c r="AB163" s="106"/>
      <c r="AR163" s="65"/>
      <c r="AS163" s="65"/>
      <c r="AT163" s="65"/>
      <c r="BC163" s="23"/>
      <c r="BD163" s="23"/>
      <c r="BE163" s="23"/>
      <c r="BF163" s="66"/>
    </row>
    <row r="164">
      <c r="G164" s="106"/>
      <c r="H164" s="105"/>
      <c r="I164" s="106"/>
      <c r="J164" s="106"/>
      <c r="K164" s="106"/>
      <c r="L164" s="106"/>
      <c r="M164" s="106"/>
      <c r="N164" s="106"/>
      <c r="O164" s="106"/>
      <c r="P164" s="106"/>
      <c r="Q164" s="106"/>
      <c r="AB164" s="106"/>
      <c r="AR164" s="65"/>
      <c r="AS164" s="65"/>
      <c r="AT164" s="65"/>
      <c r="BC164" s="23"/>
      <c r="BD164" s="23"/>
      <c r="BE164" s="23"/>
      <c r="BF164" s="66"/>
    </row>
    <row r="165">
      <c r="G165" s="106"/>
      <c r="H165" s="105"/>
      <c r="I165" s="106"/>
      <c r="J165" s="106"/>
      <c r="K165" s="106"/>
      <c r="L165" s="106"/>
      <c r="M165" s="106"/>
      <c r="N165" s="106"/>
      <c r="O165" s="106"/>
      <c r="P165" s="106"/>
      <c r="Q165" s="106"/>
      <c r="AB165" s="106"/>
      <c r="AR165" s="65"/>
      <c r="AS165" s="65"/>
      <c r="AT165" s="65"/>
      <c r="BC165" s="23"/>
      <c r="BD165" s="23"/>
      <c r="BE165" s="23"/>
      <c r="BF165" s="66"/>
    </row>
    <row r="166">
      <c r="G166" s="106"/>
      <c r="H166" s="105"/>
      <c r="I166" s="106"/>
      <c r="J166" s="106"/>
      <c r="K166" s="106"/>
      <c r="L166" s="106"/>
      <c r="M166" s="106"/>
      <c r="N166" s="106"/>
      <c r="O166" s="106"/>
      <c r="P166" s="106"/>
      <c r="Q166" s="106"/>
      <c r="AB166" s="106"/>
      <c r="AR166" s="65"/>
      <c r="AS166" s="65"/>
      <c r="AT166" s="65"/>
      <c r="BC166" s="23"/>
      <c r="BD166" s="23"/>
      <c r="BE166" s="23"/>
      <c r="BF166" s="66"/>
    </row>
    <row r="167">
      <c r="G167" s="106"/>
      <c r="H167" s="105"/>
      <c r="I167" s="106"/>
      <c r="J167" s="106"/>
      <c r="K167" s="106"/>
      <c r="L167" s="106"/>
      <c r="M167" s="106"/>
      <c r="N167" s="106"/>
      <c r="O167" s="106"/>
      <c r="P167" s="106"/>
      <c r="Q167" s="106"/>
      <c r="AB167" s="106"/>
      <c r="AR167" s="65"/>
      <c r="AS167" s="65"/>
      <c r="AT167" s="65"/>
      <c r="BC167" s="23"/>
      <c r="BD167" s="23"/>
      <c r="BE167" s="23"/>
      <c r="BF167" s="66"/>
    </row>
    <row r="168">
      <c r="G168" s="106"/>
      <c r="H168" s="105"/>
      <c r="I168" s="106"/>
      <c r="J168" s="106"/>
      <c r="K168" s="106"/>
      <c r="L168" s="106"/>
      <c r="M168" s="106"/>
      <c r="N168" s="106"/>
      <c r="O168" s="106"/>
      <c r="P168" s="106"/>
      <c r="Q168" s="106"/>
      <c r="AB168" s="106"/>
      <c r="AR168" s="65"/>
      <c r="AS168" s="65"/>
      <c r="AT168" s="65"/>
      <c r="BC168" s="23"/>
      <c r="BD168" s="23"/>
      <c r="BE168" s="23"/>
      <c r="BF168" s="66"/>
    </row>
    <row r="169">
      <c r="G169" s="106"/>
      <c r="H169" s="105"/>
      <c r="I169" s="106"/>
      <c r="J169" s="106"/>
      <c r="K169" s="106"/>
      <c r="L169" s="106"/>
      <c r="M169" s="106"/>
      <c r="N169" s="106"/>
      <c r="O169" s="106"/>
      <c r="P169" s="106"/>
      <c r="Q169" s="106"/>
      <c r="AB169" s="106"/>
      <c r="AR169" s="65"/>
      <c r="AS169" s="65"/>
      <c r="AT169" s="65"/>
      <c r="BC169" s="23"/>
      <c r="BD169" s="23"/>
      <c r="BE169" s="23"/>
      <c r="BF169" s="66"/>
    </row>
    <row r="170">
      <c r="G170" s="106"/>
      <c r="H170" s="105"/>
      <c r="I170" s="106"/>
      <c r="J170" s="106"/>
      <c r="K170" s="106"/>
      <c r="L170" s="106"/>
      <c r="M170" s="106"/>
      <c r="N170" s="106"/>
      <c r="O170" s="106"/>
      <c r="P170" s="106"/>
      <c r="Q170" s="106"/>
      <c r="AB170" s="106"/>
      <c r="AR170" s="65"/>
      <c r="AS170" s="65"/>
      <c r="AT170" s="65"/>
      <c r="BC170" s="23"/>
      <c r="BD170" s="23"/>
      <c r="BE170" s="23"/>
      <c r="BF170" s="66"/>
    </row>
    <row r="171">
      <c r="G171" s="106"/>
      <c r="H171" s="105"/>
      <c r="I171" s="106"/>
      <c r="J171" s="106"/>
      <c r="K171" s="106"/>
      <c r="L171" s="106"/>
      <c r="M171" s="106"/>
      <c r="N171" s="106"/>
      <c r="O171" s="106"/>
      <c r="P171" s="106"/>
      <c r="Q171" s="106"/>
      <c r="AB171" s="106"/>
      <c r="AR171" s="65"/>
      <c r="AS171" s="65"/>
      <c r="AT171" s="65"/>
      <c r="BC171" s="23"/>
      <c r="BD171" s="23"/>
      <c r="BE171" s="23"/>
      <c r="BF171" s="66"/>
    </row>
    <row r="172">
      <c r="G172" s="106"/>
      <c r="H172" s="105"/>
      <c r="I172" s="106"/>
      <c r="J172" s="106"/>
      <c r="K172" s="106"/>
      <c r="L172" s="106"/>
      <c r="M172" s="106"/>
      <c r="N172" s="106"/>
      <c r="O172" s="106"/>
      <c r="P172" s="106"/>
      <c r="Q172" s="106"/>
      <c r="AB172" s="106"/>
      <c r="AR172" s="65"/>
      <c r="AS172" s="65"/>
      <c r="AT172" s="65"/>
      <c r="BC172" s="23"/>
      <c r="BD172" s="23"/>
      <c r="BE172" s="23"/>
      <c r="BF172" s="66"/>
    </row>
    <row r="173">
      <c r="G173" s="106"/>
      <c r="H173" s="105"/>
      <c r="I173" s="106"/>
      <c r="J173" s="106"/>
      <c r="K173" s="106"/>
      <c r="L173" s="106"/>
      <c r="M173" s="106"/>
      <c r="N173" s="106"/>
      <c r="O173" s="106"/>
      <c r="P173" s="106"/>
      <c r="Q173" s="106"/>
      <c r="AB173" s="106"/>
      <c r="AR173" s="65"/>
      <c r="AS173" s="65"/>
      <c r="AT173" s="65"/>
      <c r="BC173" s="23"/>
      <c r="BD173" s="23"/>
      <c r="BE173" s="23"/>
      <c r="BF173" s="66"/>
    </row>
    <row r="174">
      <c r="G174" s="106"/>
      <c r="H174" s="105"/>
      <c r="I174" s="106"/>
      <c r="J174" s="106"/>
      <c r="K174" s="106"/>
      <c r="L174" s="106"/>
      <c r="M174" s="106"/>
      <c r="N174" s="106"/>
      <c r="O174" s="106"/>
      <c r="P174" s="106"/>
      <c r="Q174" s="106"/>
      <c r="AB174" s="106"/>
      <c r="AR174" s="65"/>
      <c r="AS174" s="65"/>
      <c r="AT174" s="65"/>
      <c r="BC174" s="23"/>
      <c r="BD174" s="23"/>
      <c r="BE174" s="23"/>
      <c r="BF174" s="66"/>
    </row>
    <row r="175">
      <c r="G175" s="106"/>
      <c r="H175" s="105"/>
      <c r="I175" s="106"/>
      <c r="J175" s="106"/>
      <c r="K175" s="106"/>
      <c r="L175" s="106"/>
      <c r="M175" s="106"/>
      <c r="N175" s="106"/>
      <c r="O175" s="106"/>
      <c r="P175" s="106"/>
      <c r="Q175" s="106"/>
      <c r="AB175" s="106"/>
      <c r="AR175" s="65"/>
      <c r="AS175" s="65"/>
      <c r="AT175" s="65"/>
      <c r="BC175" s="23"/>
      <c r="BD175" s="23"/>
      <c r="BE175" s="23"/>
      <c r="BF175" s="66"/>
    </row>
    <row r="176">
      <c r="G176" s="106"/>
      <c r="H176" s="105"/>
      <c r="I176" s="106"/>
      <c r="J176" s="106"/>
      <c r="K176" s="106"/>
      <c r="L176" s="106"/>
      <c r="M176" s="106"/>
      <c r="N176" s="106"/>
      <c r="O176" s="106"/>
      <c r="P176" s="106"/>
      <c r="Q176" s="106"/>
      <c r="AB176" s="106"/>
      <c r="AR176" s="65"/>
      <c r="AS176" s="65"/>
      <c r="AT176" s="65"/>
      <c r="BC176" s="23"/>
      <c r="BD176" s="23"/>
      <c r="BE176" s="23"/>
      <c r="BF176" s="66"/>
    </row>
    <row r="177">
      <c r="G177" s="106"/>
      <c r="H177" s="105"/>
      <c r="I177" s="106"/>
      <c r="J177" s="106"/>
      <c r="K177" s="106"/>
      <c r="L177" s="106"/>
      <c r="M177" s="106"/>
      <c r="N177" s="106"/>
      <c r="O177" s="106"/>
      <c r="P177" s="106"/>
      <c r="Q177" s="106"/>
      <c r="AB177" s="106"/>
      <c r="AR177" s="65"/>
      <c r="AS177" s="65"/>
      <c r="AT177" s="65"/>
      <c r="BC177" s="23"/>
      <c r="BD177" s="23"/>
      <c r="BE177" s="23"/>
      <c r="BF177" s="66"/>
    </row>
    <row r="178">
      <c r="G178" s="106"/>
      <c r="H178" s="105"/>
      <c r="I178" s="106"/>
      <c r="J178" s="106"/>
      <c r="K178" s="106"/>
      <c r="L178" s="106"/>
      <c r="M178" s="106"/>
      <c r="N178" s="106"/>
      <c r="O178" s="106"/>
      <c r="P178" s="106"/>
      <c r="Q178" s="106"/>
      <c r="AB178" s="106"/>
      <c r="AR178" s="65"/>
      <c r="AS178" s="65"/>
      <c r="AT178" s="65"/>
      <c r="BC178" s="23"/>
      <c r="BD178" s="23"/>
      <c r="BE178" s="23"/>
      <c r="BF178" s="66"/>
    </row>
    <row r="179">
      <c r="G179" s="106"/>
      <c r="H179" s="105"/>
      <c r="I179" s="106"/>
      <c r="J179" s="106"/>
      <c r="K179" s="106"/>
      <c r="L179" s="106"/>
      <c r="M179" s="106"/>
      <c r="N179" s="106"/>
      <c r="O179" s="106"/>
      <c r="P179" s="106"/>
      <c r="Q179" s="106"/>
      <c r="AB179" s="106"/>
      <c r="AR179" s="65"/>
      <c r="AS179" s="65"/>
      <c r="AT179" s="65"/>
      <c r="BC179" s="23"/>
      <c r="BD179" s="23"/>
      <c r="BE179" s="23"/>
      <c r="BF179" s="66"/>
    </row>
    <row r="180">
      <c r="G180" s="106"/>
      <c r="H180" s="105"/>
      <c r="I180" s="106"/>
      <c r="J180" s="106"/>
      <c r="K180" s="106"/>
      <c r="L180" s="106"/>
      <c r="M180" s="106"/>
      <c r="N180" s="106"/>
      <c r="O180" s="106"/>
      <c r="P180" s="106"/>
      <c r="Q180" s="106"/>
      <c r="AB180" s="106"/>
      <c r="AR180" s="65"/>
      <c r="AS180" s="65"/>
      <c r="AT180" s="65"/>
      <c r="BC180" s="23"/>
      <c r="BD180" s="23"/>
      <c r="BE180" s="23"/>
      <c r="BF180" s="66"/>
    </row>
    <row r="181">
      <c r="G181" s="106"/>
      <c r="H181" s="105"/>
      <c r="I181" s="106"/>
      <c r="J181" s="106"/>
      <c r="K181" s="106"/>
      <c r="L181" s="106"/>
      <c r="M181" s="106"/>
      <c r="N181" s="106"/>
      <c r="O181" s="106"/>
      <c r="P181" s="106"/>
      <c r="Q181" s="106"/>
      <c r="AB181" s="106"/>
      <c r="AR181" s="65"/>
      <c r="AS181" s="65"/>
      <c r="AT181" s="65"/>
      <c r="BC181" s="23"/>
      <c r="BD181" s="23"/>
      <c r="BE181" s="23"/>
      <c r="BF181" s="66"/>
    </row>
    <row r="182">
      <c r="G182" s="106"/>
      <c r="H182" s="105"/>
      <c r="I182" s="106"/>
      <c r="J182" s="106"/>
      <c r="K182" s="106"/>
      <c r="L182" s="106"/>
      <c r="M182" s="106"/>
      <c r="N182" s="106"/>
      <c r="O182" s="106"/>
      <c r="P182" s="106"/>
      <c r="Q182" s="106"/>
      <c r="AB182" s="106"/>
      <c r="AR182" s="65"/>
      <c r="AS182" s="65"/>
      <c r="AT182" s="65"/>
      <c r="BC182" s="23"/>
      <c r="BD182" s="23"/>
      <c r="BE182" s="23"/>
      <c r="BF182" s="66"/>
    </row>
    <row r="183">
      <c r="G183" s="106"/>
      <c r="H183" s="105"/>
      <c r="I183" s="106"/>
      <c r="J183" s="106"/>
      <c r="K183" s="106"/>
      <c r="L183" s="106"/>
      <c r="M183" s="106"/>
      <c r="N183" s="106"/>
      <c r="O183" s="106"/>
      <c r="P183" s="106"/>
      <c r="Q183" s="106"/>
      <c r="AB183" s="106"/>
      <c r="AR183" s="65"/>
      <c r="AS183" s="65"/>
      <c r="AT183" s="65"/>
      <c r="BC183" s="23"/>
      <c r="BD183" s="23"/>
      <c r="BE183" s="23"/>
      <c r="BF183" s="66"/>
    </row>
    <row r="184">
      <c r="G184" s="106"/>
      <c r="H184" s="105"/>
      <c r="I184" s="106"/>
      <c r="J184" s="106"/>
      <c r="K184" s="106"/>
      <c r="L184" s="106"/>
      <c r="M184" s="106"/>
      <c r="N184" s="106"/>
      <c r="O184" s="106"/>
      <c r="P184" s="106"/>
      <c r="Q184" s="106"/>
      <c r="AB184" s="106"/>
      <c r="AR184" s="65"/>
      <c r="AS184" s="65"/>
      <c r="AT184" s="65"/>
      <c r="BC184" s="23"/>
      <c r="BD184" s="23"/>
      <c r="BE184" s="23"/>
      <c r="BF184" s="66"/>
    </row>
    <row r="185">
      <c r="G185" s="106"/>
      <c r="H185" s="105"/>
      <c r="I185" s="106"/>
      <c r="J185" s="106"/>
      <c r="K185" s="106"/>
      <c r="L185" s="106"/>
      <c r="M185" s="106"/>
      <c r="N185" s="106"/>
      <c r="O185" s="106"/>
      <c r="P185" s="106"/>
      <c r="Q185" s="106"/>
      <c r="AB185" s="106"/>
      <c r="AR185" s="65"/>
      <c r="AS185" s="65"/>
      <c r="AT185" s="65"/>
      <c r="BC185" s="23"/>
      <c r="BD185" s="23"/>
      <c r="BE185" s="23"/>
      <c r="BF185" s="66"/>
    </row>
    <row r="186">
      <c r="G186" s="106"/>
      <c r="H186" s="105"/>
      <c r="I186" s="106"/>
      <c r="J186" s="106"/>
      <c r="K186" s="106"/>
      <c r="L186" s="106"/>
      <c r="M186" s="106"/>
      <c r="N186" s="106"/>
      <c r="O186" s="106"/>
      <c r="P186" s="106"/>
      <c r="Q186" s="106"/>
      <c r="AB186" s="106"/>
      <c r="AR186" s="65"/>
      <c r="AS186" s="65"/>
      <c r="AT186" s="65"/>
      <c r="BC186" s="23"/>
      <c r="BD186" s="23"/>
      <c r="BE186" s="23"/>
      <c r="BF186" s="66"/>
    </row>
    <row r="187">
      <c r="G187" s="106"/>
      <c r="H187" s="105"/>
      <c r="I187" s="106"/>
      <c r="J187" s="106"/>
      <c r="K187" s="106"/>
      <c r="L187" s="106"/>
      <c r="M187" s="106"/>
      <c r="N187" s="106"/>
      <c r="O187" s="106"/>
      <c r="P187" s="106"/>
      <c r="Q187" s="106"/>
      <c r="AB187" s="106"/>
      <c r="AR187" s="65"/>
      <c r="AS187" s="65"/>
      <c r="AT187" s="65"/>
      <c r="BC187" s="23"/>
      <c r="BD187" s="23"/>
      <c r="BE187" s="23"/>
      <c r="BF187" s="66"/>
    </row>
    <row r="188">
      <c r="G188" s="106"/>
      <c r="H188" s="105"/>
      <c r="I188" s="106"/>
      <c r="J188" s="106"/>
      <c r="K188" s="106"/>
      <c r="L188" s="106"/>
      <c r="M188" s="106"/>
      <c r="N188" s="106"/>
      <c r="O188" s="106"/>
      <c r="P188" s="106"/>
      <c r="Q188" s="106"/>
      <c r="AB188" s="106"/>
      <c r="AR188" s="65"/>
      <c r="AS188" s="65"/>
      <c r="AT188" s="65"/>
      <c r="BC188" s="23"/>
      <c r="BD188" s="23"/>
      <c r="BE188" s="23"/>
      <c r="BF188" s="66"/>
    </row>
    <row r="189">
      <c r="G189" s="106"/>
      <c r="H189" s="105"/>
      <c r="I189" s="106"/>
      <c r="J189" s="106"/>
      <c r="K189" s="106"/>
      <c r="L189" s="106"/>
      <c r="M189" s="106"/>
      <c r="N189" s="106"/>
      <c r="O189" s="106"/>
      <c r="P189" s="106"/>
      <c r="Q189" s="106"/>
      <c r="AB189" s="106"/>
      <c r="AR189" s="65"/>
      <c r="AS189" s="65"/>
      <c r="AT189" s="65"/>
      <c r="BC189" s="23"/>
      <c r="BD189" s="23"/>
      <c r="BE189" s="23"/>
      <c r="BF189" s="66"/>
    </row>
    <row r="190">
      <c r="G190" s="106"/>
      <c r="H190" s="105"/>
      <c r="I190" s="106"/>
      <c r="J190" s="106"/>
      <c r="K190" s="106"/>
      <c r="L190" s="106"/>
      <c r="M190" s="106"/>
      <c r="N190" s="106"/>
      <c r="O190" s="106"/>
      <c r="P190" s="106"/>
      <c r="Q190" s="106"/>
      <c r="AB190" s="106"/>
      <c r="AR190" s="65"/>
      <c r="AS190" s="65"/>
      <c r="AT190" s="65"/>
      <c r="BC190" s="23"/>
      <c r="BD190" s="23"/>
      <c r="BE190" s="23"/>
      <c r="BF190" s="66"/>
    </row>
    <row r="191">
      <c r="G191" s="106"/>
      <c r="H191" s="105"/>
      <c r="I191" s="106"/>
      <c r="J191" s="106"/>
      <c r="K191" s="106"/>
      <c r="L191" s="106"/>
      <c r="M191" s="106"/>
      <c r="N191" s="106"/>
      <c r="O191" s="106"/>
      <c r="P191" s="106"/>
      <c r="Q191" s="106"/>
      <c r="AB191" s="106"/>
      <c r="AR191" s="65"/>
      <c r="AS191" s="65"/>
      <c r="AT191" s="65"/>
      <c r="BC191" s="23"/>
      <c r="BD191" s="23"/>
      <c r="BE191" s="23"/>
      <c r="BF191" s="66"/>
    </row>
    <row r="192">
      <c r="G192" s="106"/>
      <c r="H192" s="105"/>
      <c r="I192" s="106"/>
      <c r="J192" s="106"/>
      <c r="K192" s="106"/>
      <c r="L192" s="106"/>
      <c r="M192" s="106"/>
      <c r="N192" s="106"/>
      <c r="O192" s="106"/>
      <c r="P192" s="106"/>
      <c r="Q192" s="106"/>
      <c r="AB192" s="106"/>
      <c r="AR192" s="65"/>
      <c r="AS192" s="65"/>
      <c r="AT192" s="65"/>
      <c r="BC192" s="23"/>
      <c r="BD192" s="23"/>
      <c r="BE192" s="23"/>
      <c r="BF192" s="66"/>
    </row>
    <row r="193">
      <c r="G193" s="106"/>
      <c r="H193" s="105"/>
      <c r="I193" s="106"/>
      <c r="J193" s="106"/>
      <c r="K193" s="106"/>
      <c r="L193" s="106"/>
      <c r="M193" s="106"/>
      <c r="N193" s="106"/>
      <c r="O193" s="106"/>
      <c r="P193" s="106"/>
      <c r="Q193" s="106"/>
      <c r="AB193" s="106"/>
      <c r="AR193" s="65"/>
      <c r="AS193" s="65"/>
      <c r="AT193" s="65"/>
      <c r="BC193" s="23"/>
      <c r="BD193" s="23"/>
      <c r="BE193" s="23"/>
      <c r="BF193" s="66"/>
    </row>
    <row r="194">
      <c r="G194" s="106"/>
      <c r="H194" s="105"/>
      <c r="I194" s="106"/>
      <c r="J194" s="106"/>
      <c r="K194" s="106"/>
      <c r="L194" s="106"/>
      <c r="M194" s="106"/>
      <c r="N194" s="106"/>
      <c r="O194" s="106"/>
      <c r="P194" s="106"/>
      <c r="Q194" s="106"/>
      <c r="AB194" s="106"/>
      <c r="AR194" s="65"/>
      <c r="AS194" s="65"/>
      <c r="AT194" s="65"/>
      <c r="BC194" s="23"/>
      <c r="BD194" s="23"/>
      <c r="BE194" s="23"/>
      <c r="BF194" s="66"/>
    </row>
    <row r="195">
      <c r="G195" s="106"/>
      <c r="H195" s="105"/>
      <c r="I195" s="106"/>
      <c r="J195" s="106"/>
      <c r="K195" s="106"/>
      <c r="L195" s="106"/>
      <c r="M195" s="106"/>
      <c r="N195" s="106"/>
      <c r="O195" s="106"/>
      <c r="P195" s="106"/>
      <c r="Q195" s="106"/>
      <c r="AB195" s="106"/>
      <c r="AR195" s="65"/>
      <c r="AS195" s="65"/>
      <c r="AT195" s="65"/>
      <c r="BC195" s="23"/>
      <c r="BD195" s="23"/>
      <c r="BE195" s="23"/>
      <c r="BF195" s="66"/>
    </row>
    <row r="196">
      <c r="G196" s="106"/>
      <c r="H196" s="105"/>
      <c r="I196" s="106"/>
      <c r="J196" s="106"/>
      <c r="K196" s="106"/>
      <c r="L196" s="106"/>
      <c r="M196" s="106"/>
      <c r="N196" s="106"/>
      <c r="O196" s="106"/>
      <c r="P196" s="106"/>
      <c r="Q196" s="106"/>
      <c r="AB196" s="106"/>
      <c r="AR196" s="65"/>
      <c r="AS196" s="65"/>
      <c r="AT196" s="65"/>
      <c r="BC196" s="23"/>
      <c r="BD196" s="23"/>
      <c r="BE196" s="23"/>
      <c r="BF196" s="66"/>
    </row>
    <row r="197">
      <c r="G197" s="106"/>
      <c r="H197" s="105"/>
      <c r="I197" s="106"/>
      <c r="J197" s="106"/>
      <c r="K197" s="106"/>
      <c r="L197" s="106"/>
      <c r="M197" s="106"/>
      <c r="N197" s="106"/>
      <c r="O197" s="106"/>
      <c r="P197" s="106"/>
      <c r="Q197" s="106"/>
      <c r="AB197" s="106"/>
      <c r="AR197" s="65"/>
      <c r="AS197" s="65"/>
      <c r="AT197" s="65"/>
      <c r="BC197" s="23"/>
      <c r="BD197" s="23"/>
      <c r="BE197" s="23"/>
      <c r="BF197" s="66"/>
    </row>
    <row r="198">
      <c r="G198" s="106"/>
      <c r="H198" s="105"/>
      <c r="I198" s="106"/>
      <c r="J198" s="106"/>
      <c r="K198" s="106"/>
      <c r="L198" s="106"/>
      <c r="M198" s="106"/>
      <c r="N198" s="106"/>
      <c r="O198" s="106"/>
      <c r="P198" s="106"/>
      <c r="Q198" s="106"/>
      <c r="AB198" s="106"/>
      <c r="AR198" s="65"/>
      <c r="AS198" s="65"/>
      <c r="AT198" s="65"/>
      <c r="BC198" s="23"/>
      <c r="BD198" s="23"/>
      <c r="BE198" s="23"/>
      <c r="BF198" s="66"/>
    </row>
    <row r="199">
      <c r="G199" s="106"/>
      <c r="H199" s="105"/>
      <c r="I199" s="106"/>
      <c r="J199" s="106"/>
      <c r="K199" s="106"/>
      <c r="L199" s="106"/>
      <c r="M199" s="106"/>
      <c r="N199" s="106"/>
      <c r="O199" s="106"/>
      <c r="P199" s="106"/>
      <c r="Q199" s="106"/>
      <c r="AB199" s="106"/>
      <c r="AR199" s="65"/>
      <c r="AS199" s="65"/>
      <c r="AT199" s="65"/>
      <c r="BC199" s="23"/>
      <c r="BD199" s="23"/>
      <c r="BE199" s="23"/>
      <c r="BF199" s="66"/>
    </row>
    <row r="200">
      <c r="G200" s="106"/>
      <c r="H200" s="105"/>
      <c r="I200" s="106"/>
      <c r="J200" s="106"/>
      <c r="K200" s="106"/>
      <c r="L200" s="106"/>
      <c r="M200" s="106"/>
      <c r="N200" s="106"/>
      <c r="O200" s="106"/>
      <c r="P200" s="106"/>
      <c r="Q200" s="106"/>
      <c r="AB200" s="106"/>
      <c r="AR200" s="65"/>
      <c r="AS200" s="65"/>
      <c r="AT200" s="65"/>
      <c r="BC200" s="23"/>
      <c r="BD200" s="23"/>
      <c r="BE200" s="23"/>
      <c r="BF200" s="66"/>
    </row>
    <row r="201">
      <c r="G201" s="106"/>
      <c r="H201" s="105"/>
      <c r="I201" s="106"/>
      <c r="J201" s="106"/>
      <c r="K201" s="106"/>
      <c r="L201" s="106"/>
      <c r="M201" s="106"/>
      <c r="N201" s="106"/>
      <c r="O201" s="106"/>
      <c r="P201" s="106"/>
      <c r="Q201" s="106"/>
      <c r="AB201" s="106"/>
      <c r="AR201" s="65"/>
      <c r="AS201" s="65"/>
      <c r="AT201" s="65"/>
      <c r="BC201" s="23"/>
      <c r="BD201" s="23"/>
      <c r="BE201" s="23"/>
      <c r="BF201" s="66"/>
    </row>
    <row r="202">
      <c r="G202" s="106"/>
      <c r="H202" s="105"/>
      <c r="I202" s="106"/>
      <c r="J202" s="106"/>
      <c r="K202" s="106"/>
      <c r="L202" s="106"/>
      <c r="M202" s="106"/>
      <c r="N202" s="106"/>
      <c r="O202" s="106"/>
      <c r="P202" s="106"/>
      <c r="Q202" s="106"/>
      <c r="AB202" s="106"/>
      <c r="AR202" s="65"/>
      <c r="AS202" s="65"/>
      <c r="AT202" s="65"/>
      <c r="BC202" s="23"/>
      <c r="BD202" s="23"/>
      <c r="BE202" s="23"/>
      <c r="BF202" s="66"/>
    </row>
    <row r="203">
      <c r="G203" s="106"/>
      <c r="H203" s="105"/>
      <c r="I203" s="106"/>
      <c r="J203" s="106"/>
      <c r="K203" s="106"/>
      <c r="L203" s="106"/>
      <c r="M203" s="106"/>
      <c r="N203" s="106"/>
      <c r="O203" s="106"/>
      <c r="P203" s="106"/>
      <c r="Q203" s="106"/>
      <c r="AB203" s="106"/>
      <c r="AR203" s="65"/>
      <c r="AS203" s="65"/>
      <c r="AT203" s="65"/>
      <c r="BC203" s="23"/>
      <c r="BD203" s="23"/>
      <c r="BE203" s="23"/>
      <c r="BF203" s="66"/>
    </row>
    <row r="204">
      <c r="G204" s="106"/>
      <c r="H204" s="105"/>
      <c r="I204" s="106"/>
      <c r="J204" s="106"/>
      <c r="K204" s="106"/>
      <c r="L204" s="106"/>
      <c r="M204" s="106"/>
      <c r="N204" s="106"/>
      <c r="O204" s="106"/>
      <c r="P204" s="106"/>
      <c r="Q204" s="106"/>
      <c r="AB204" s="106"/>
      <c r="AR204" s="65"/>
      <c r="AS204" s="65"/>
      <c r="AT204" s="65"/>
      <c r="BC204" s="23"/>
      <c r="BD204" s="23"/>
      <c r="BE204" s="23"/>
      <c r="BF204" s="66"/>
    </row>
    <row r="205">
      <c r="G205" s="106"/>
      <c r="H205" s="105"/>
      <c r="I205" s="106"/>
      <c r="J205" s="106"/>
      <c r="K205" s="106"/>
      <c r="L205" s="106"/>
      <c r="M205" s="106"/>
      <c r="N205" s="106"/>
      <c r="O205" s="106"/>
      <c r="P205" s="106"/>
      <c r="Q205" s="106"/>
      <c r="AB205" s="106"/>
      <c r="AR205" s="65"/>
      <c r="AS205" s="65"/>
      <c r="AT205" s="65"/>
      <c r="BC205" s="23"/>
      <c r="BD205" s="23"/>
      <c r="BE205" s="23"/>
      <c r="BF205" s="66"/>
    </row>
    <row r="206">
      <c r="G206" s="106"/>
      <c r="H206" s="105"/>
      <c r="I206" s="106"/>
      <c r="J206" s="106"/>
      <c r="K206" s="106"/>
      <c r="L206" s="106"/>
      <c r="M206" s="106"/>
      <c r="N206" s="106"/>
      <c r="O206" s="106"/>
      <c r="P206" s="106"/>
      <c r="Q206" s="106"/>
      <c r="AB206" s="106"/>
      <c r="AR206" s="65"/>
      <c r="AS206" s="65"/>
      <c r="AT206" s="65"/>
      <c r="BC206" s="23"/>
      <c r="BD206" s="23"/>
      <c r="BE206" s="23"/>
      <c r="BF206" s="66"/>
    </row>
    <row r="207">
      <c r="G207" s="106"/>
      <c r="H207" s="105"/>
      <c r="I207" s="106"/>
      <c r="J207" s="106"/>
      <c r="K207" s="106"/>
      <c r="L207" s="106"/>
      <c r="M207" s="106"/>
      <c r="N207" s="106"/>
      <c r="O207" s="106"/>
      <c r="P207" s="106"/>
      <c r="Q207" s="106"/>
      <c r="AB207" s="106"/>
      <c r="AR207" s="65"/>
      <c r="AS207" s="65"/>
      <c r="AT207" s="65"/>
      <c r="BC207" s="23"/>
      <c r="BD207" s="23"/>
      <c r="BE207" s="23"/>
      <c r="BF207" s="66"/>
    </row>
    <row r="208">
      <c r="G208" s="106"/>
      <c r="H208" s="105"/>
      <c r="I208" s="106"/>
      <c r="J208" s="106"/>
      <c r="K208" s="106"/>
      <c r="L208" s="106"/>
      <c r="M208" s="106"/>
      <c r="N208" s="106"/>
      <c r="O208" s="106"/>
      <c r="P208" s="106"/>
      <c r="Q208" s="106"/>
      <c r="AB208" s="106"/>
      <c r="AR208" s="65"/>
      <c r="AS208" s="65"/>
      <c r="AT208" s="65"/>
      <c r="BC208" s="23"/>
      <c r="BD208" s="23"/>
      <c r="BE208" s="23"/>
      <c r="BF208" s="66"/>
    </row>
    <row r="209">
      <c r="G209" s="106"/>
      <c r="H209" s="105"/>
      <c r="I209" s="106"/>
      <c r="J209" s="106"/>
      <c r="K209" s="106"/>
      <c r="L209" s="106"/>
      <c r="M209" s="106"/>
      <c r="N209" s="106"/>
      <c r="O209" s="106"/>
      <c r="P209" s="106"/>
      <c r="Q209" s="106"/>
      <c r="AB209" s="106"/>
      <c r="AR209" s="65"/>
      <c r="AS209" s="65"/>
      <c r="AT209" s="65"/>
      <c r="BC209" s="23"/>
      <c r="BD209" s="23"/>
      <c r="BE209" s="23"/>
      <c r="BF209" s="66"/>
    </row>
    <row r="210">
      <c r="G210" s="106"/>
      <c r="H210" s="105"/>
      <c r="I210" s="106"/>
      <c r="J210" s="106"/>
      <c r="K210" s="106"/>
      <c r="L210" s="106"/>
      <c r="M210" s="106"/>
      <c r="N210" s="106"/>
      <c r="O210" s="106"/>
      <c r="P210" s="106"/>
      <c r="Q210" s="106"/>
      <c r="AB210" s="106"/>
      <c r="AR210" s="65"/>
      <c r="AS210" s="65"/>
      <c r="AT210" s="65"/>
      <c r="BC210" s="23"/>
      <c r="BD210" s="23"/>
      <c r="BE210" s="23"/>
      <c r="BF210" s="66"/>
    </row>
    <row r="211">
      <c r="G211" s="106"/>
      <c r="H211" s="105"/>
      <c r="I211" s="106"/>
      <c r="J211" s="106"/>
      <c r="K211" s="106"/>
      <c r="L211" s="106"/>
      <c r="M211" s="106"/>
      <c r="N211" s="106"/>
      <c r="O211" s="106"/>
      <c r="P211" s="106"/>
      <c r="Q211" s="106"/>
      <c r="AB211" s="106"/>
      <c r="AR211" s="65"/>
      <c r="AS211" s="65"/>
      <c r="AT211" s="65"/>
      <c r="BC211" s="23"/>
      <c r="BD211" s="23"/>
      <c r="BE211" s="23"/>
      <c r="BF211" s="66"/>
    </row>
    <row r="212">
      <c r="G212" s="106"/>
      <c r="H212" s="105"/>
      <c r="I212" s="106"/>
      <c r="J212" s="106"/>
      <c r="K212" s="106"/>
      <c r="L212" s="106"/>
      <c r="M212" s="106"/>
      <c r="N212" s="106"/>
      <c r="O212" s="106"/>
      <c r="P212" s="106"/>
      <c r="Q212" s="106"/>
      <c r="AB212" s="106"/>
      <c r="AR212" s="65"/>
      <c r="AS212" s="65"/>
      <c r="AT212" s="65"/>
      <c r="BC212" s="23"/>
      <c r="BD212" s="23"/>
      <c r="BE212" s="23"/>
      <c r="BF212" s="66"/>
    </row>
    <row r="213">
      <c r="G213" s="106"/>
      <c r="H213" s="105"/>
      <c r="I213" s="106"/>
      <c r="J213" s="106"/>
      <c r="K213" s="106"/>
      <c r="L213" s="106"/>
      <c r="M213" s="106"/>
      <c r="N213" s="106"/>
      <c r="O213" s="106"/>
      <c r="P213" s="106"/>
      <c r="Q213" s="106"/>
      <c r="AB213" s="106"/>
      <c r="AR213" s="65"/>
      <c r="AS213" s="65"/>
      <c r="AT213" s="65"/>
      <c r="BC213" s="23"/>
      <c r="BD213" s="23"/>
      <c r="BE213" s="23"/>
      <c r="BF213" s="66"/>
    </row>
    <row r="214">
      <c r="G214" s="106"/>
      <c r="H214" s="105"/>
      <c r="I214" s="106"/>
      <c r="J214" s="106"/>
      <c r="K214" s="106"/>
      <c r="L214" s="106"/>
      <c r="M214" s="106"/>
      <c r="N214" s="106"/>
      <c r="O214" s="106"/>
      <c r="P214" s="106"/>
      <c r="Q214" s="106"/>
      <c r="AB214" s="106"/>
      <c r="AR214" s="65"/>
      <c r="AS214" s="65"/>
      <c r="AT214" s="65"/>
      <c r="BC214" s="23"/>
      <c r="BD214" s="23"/>
      <c r="BE214" s="23"/>
      <c r="BF214" s="66"/>
    </row>
    <row r="215">
      <c r="G215" s="106"/>
      <c r="H215" s="105"/>
      <c r="I215" s="106"/>
      <c r="J215" s="106"/>
      <c r="K215" s="106"/>
      <c r="L215" s="106"/>
      <c r="M215" s="106"/>
      <c r="N215" s="106"/>
      <c r="O215" s="106"/>
      <c r="P215" s="106"/>
      <c r="Q215" s="106"/>
      <c r="AB215" s="106"/>
      <c r="AR215" s="65"/>
      <c r="AS215" s="65"/>
      <c r="AT215" s="65"/>
      <c r="BC215" s="23"/>
      <c r="BD215" s="23"/>
      <c r="BE215" s="23"/>
      <c r="BF215" s="66"/>
    </row>
    <row r="216">
      <c r="G216" s="106"/>
      <c r="H216" s="105"/>
      <c r="I216" s="106"/>
      <c r="J216" s="106"/>
      <c r="K216" s="106"/>
      <c r="L216" s="106"/>
      <c r="M216" s="106"/>
      <c r="N216" s="106"/>
      <c r="O216" s="106"/>
      <c r="P216" s="106"/>
      <c r="Q216" s="106"/>
      <c r="AB216" s="106"/>
      <c r="AR216" s="65"/>
      <c r="AS216" s="65"/>
      <c r="AT216" s="65"/>
      <c r="BC216" s="23"/>
      <c r="BD216" s="23"/>
      <c r="BE216" s="23"/>
      <c r="BF216" s="66"/>
    </row>
    <row r="217">
      <c r="G217" s="106"/>
      <c r="H217" s="105"/>
      <c r="I217" s="106"/>
      <c r="J217" s="106"/>
      <c r="K217" s="106"/>
      <c r="L217" s="106"/>
      <c r="M217" s="106"/>
      <c r="N217" s="106"/>
      <c r="O217" s="106"/>
      <c r="P217" s="106"/>
      <c r="Q217" s="106"/>
      <c r="AB217" s="106"/>
      <c r="AR217" s="65"/>
      <c r="AS217" s="65"/>
      <c r="AT217" s="65"/>
      <c r="BC217" s="23"/>
      <c r="BD217" s="23"/>
      <c r="BE217" s="23"/>
      <c r="BF217" s="66"/>
    </row>
    <row r="218">
      <c r="G218" s="106"/>
      <c r="H218" s="105"/>
      <c r="I218" s="106"/>
      <c r="J218" s="106"/>
      <c r="K218" s="106"/>
      <c r="L218" s="106"/>
      <c r="M218" s="106"/>
      <c r="N218" s="106"/>
      <c r="O218" s="106"/>
      <c r="P218" s="106"/>
      <c r="Q218" s="106"/>
      <c r="AB218" s="106"/>
      <c r="AR218" s="65"/>
      <c r="AS218" s="65"/>
      <c r="AT218" s="65"/>
      <c r="BC218" s="23"/>
      <c r="BD218" s="23"/>
      <c r="BE218" s="23"/>
      <c r="BF218" s="66"/>
    </row>
    <row r="219">
      <c r="G219" s="106"/>
      <c r="H219" s="105"/>
      <c r="I219" s="106"/>
      <c r="J219" s="106"/>
      <c r="K219" s="106"/>
      <c r="L219" s="106"/>
      <c r="M219" s="106"/>
      <c r="N219" s="106"/>
      <c r="O219" s="106"/>
      <c r="P219" s="106"/>
      <c r="Q219" s="106"/>
      <c r="AB219" s="106"/>
      <c r="AR219" s="65"/>
      <c r="AS219" s="65"/>
      <c r="AT219" s="65"/>
      <c r="BC219" s="23"/>
      <c r="BD219" s="23"/>
      <c r="BE219" s="23"/>
      <c r="BF219" s="66"/>
    </row>
    <row r="220">
      <c r="G220" s="106"/>
      <c r="H220" s="105"/>
      <c r="I220" s="106"/>
      <c r="J220" s="106"/>
      <c r="K220" s="106"/>
      <c r="L220" s="106"/>
      <c r="M220" s="106"/>
      <c r="N220" s="106"/>
      <c r="O220" s="106"/>
      <c r="P220" s="106"/>
      <c r="Q220" s="106"/>
      <c r="AB220" s="106"/>
      <c r="AR220" s="65"/>
      <c r="AS220" s="65"/>
      <c r="AT220" s="65"/>
      <c r="BC220" s="23"/>
      <c r="BD220" s="23"/>
      <c r="BE220" s="23"/>
      <c r="BF220" s="66"/>
    </row>
    <row r="221">
      <c r="G221" s="106"/>
      <c r="H221" s="105"/>
      <c r="I221" s="106"/>
      <c r="J221" s="106"/>
      <c r="K221" s="106"/>
      <c r="L221" s="106"/>
      <c r="M221" s="106"/>
      <c r="N221" s="106"/>
      <c r="O221" s="106"/>
      <c r="P221" s="106"/>
      <c r="Q221" s="106"/>
      <c r="AB221" s="106"/>
      <c r="AR221" s="65"/>
      <c r="AS221" s="65"/>
      <c r="AT221" s="65"/>
      <c r="BC221" s="23"/>
      <c r="BD221" s="23"/>
      <c r="BE221" s="23"/>
      <c r="BF221" s="66"/>
    </row>
    <row r="222">
      <c r="G222" s="106"/>
      <c r="H222" s="105"/>
      <c r="I222" s="106"/>
      <c r="J222" s="106"/>
      <c r="K222" s="106"/>
      <c r="L222" s="106"/>
      <c r="M222" s="106"/>
      <c r="N222" s="106"/>
      <c r="O222" s="106"/>
      <c r="P222" s="106"/>
      <c r="Q222" s="106"/>
      <c r="AB222" s="106"/>
      <c r="AR222" s="65"/>
      <c r="AS222" s="65"/>
      <c r="AT222" s="65"/>
      <c r="BC222" s="23"/>
      <c r="BD222" s="23"/>
      <c r="BE222" s="23"/>
      <c r="BF222" s="66"/>
    </row>
    <row r="223">
      <c r="G223" s="106"/>
      <c r="H223" s="105"/>
      <c r="I223" s="106"/>
      <c r="J223" s="106"/>
      <c r="K223" s="106"/>
      <c r="L223" s="106"/>
      <c r="M223" s="106"/>
      <c r="N223" s="106"/>
      <c r="O223" s="106"/>
      <c r="P223" s="106"/>
      <c r="Q223" s="106"/>
      <c r="AB223" s="106"/>
      <c r="AR223" s="65"/>
      <c r="AS223" s="65"/>
      <c r="AT223" s="65"/>
      <c r="BC223" s="23"/>
      <c r="BD223" s="23"/>
      <c r="BE223" s="23"/>
      <c r="BF223" s="66"/>
    </row>
    <row r="224">
      <c r="G224" s="106"/>
      <c r="H224" s="105"/>
      <c r="I224" s="106"/>
      <c r="J224" s="106"/>
      <c r="K224" s="106"/>
      <c r="L224" s="106"/>
      <c r="M224" s="106"/>
      <c r="N224" s="106"/>
      <c r="O224" s="106"/>
      <c r="P224" s="106"/>
      <c r="Q224" s="106"/>
      <c r="AB224" s="106"/>
      <c r="AR224" s="65"/>
      <c r="AS224" s="65"/>
      <c r="AT224" s="65"/>
      <c r="BC224" s="23"/>
      <c r="BD224" s="23"/>
      <c r="BE224" s="23"/>
      <c r="BF224" s="66"/>
    </row>
    <row r="225">
      <c r="G225" s="106"/>
      <c r="H225" s="105"/>
      <c r="I225" s="106"/>
      <c r="J225" s="106"/>
      <c r="K225" s="106"/>
      <c r="L225" s="106"/>
      <c r="M225" s="106"/>
      <c r="N225" s="106"/>
      <c r="O225" s="106"/>
      <c r="P225" s="106"/>
      <c r="Q225" s="106"/>
      <c r="AB225" s="106"/>
      <c r="AR225" s="65"/>
      <c r="AS225" s="65"/>
      <c r="AT225" s="65"/>
      <c r="BC225" s="23"/>
      <c r="BD225" s="23"/>
      <c r="BE225" s="23"/>
      <c r="BF225" s="66"/>
    </row>
    <row r="226">
      <c r="G226" s="106"/>
      <c r="H226" s="105"/>
      <c r="I226" s="106"/>
      <c r="J226" s="106"/>
      <c r="K226" s="106"/>
      <c r="L226" s="106"/>
      <c r="M226" s="106"/>
      <c r="N226" s="106"/>
      <c r="O226" s="106"/>
      <c r="P226" s="106"/>
      <c r="Q226" s="106"/>
      <c r="AB226" s="106"/>
      <c r="AR226" s="65"/>
      <c r="AS226" s="65"/>
      <c r="AT226" s="65"/>
      <c r="BC226" s="23"/>
      <c r="BD226" s="23"/>
      <c r="BE226" s="23"/>
      <c r="BF226" s="66"/>
    </row>
    <row r="227">
      <c r="G227" s="106"/>
      <c r="H227" s="105"/>
      <c r="I227" s="106"/>
      <c r="J227" s="106"/>
      <c r="K227" s="106"/>
      <c r="L227" s="106"/>
      <c r="M227" s="106"/>
      <c r="N227" s="106"/>
      <c r="O227" s="106"/>
      <c r="P227" s="106"/>
      <c r="Q227" s="106"/>
      <c r="AB227" s="106"/>
      <c r="AR227" s="65"/>
      <c r="AS227" s="65"/>
      <c r="AT227" s="65"/>
      <c r="BC227" s="23"/>
      <c r="BD227" s="23"/>
      <c r="BE227" s="23"/>
      <c r="BF227" s="66"/>
    </row>
    <row r="228">
      <c r="G228" s="106"/>
      <c r="H228" s="105"/>
      <c r="I228" s="106"/>
      <c r="J228" s="106"/>
      <c r="K228" s="106"/>
      <c r="L228" s="106"/>
      <c r="M228" s="106"/>
      <c r="N228" s="106"/>
      <c r="O228" s="106"/>
      <c r="P228" s="106"/>
      <c r="Q228" s="106"/>
      <c r="AB228" s="106"/>
      <c r="AR228" s="65"/>
      <c r="AS228" s="65"/>
      <c r="AT228" s="65"/>
      <c r="BC228" s="23"/>
      <c r="BD228" s="23"/>
      <c r="BE228" s="23"/>
      <c r="BF228" s="66"/>
    </row>
    <row r="229">
      <c r="G229" s="106"/>
      <c r="H229" s="105"/>
      <c r="I229" s="106"/>
      <c r="J229" s="106"/>
      <c r="K229" s="106"/>
      <c r="L229" s="106"/>
      <c r="M229" s="106"/>
      <c r="N229" s="106"/>
      <c r="O229" s="106"/>
      <c r="P229" s="106"/>
      <c r="Q229" s="106"/>
      <c r="AB229" s="106"/>
      <c r="AR229" s="65"/>
      <c r="AS229" s="65"/>
      <c r="AT229" s="65"/>
      <c r="BC229" s="23"/>
      <c r="BD229" s="23"/>
      <c r="BE229" s="23"/>
      <c r="BF229" s="66"/>
    </row>
    <row r="230">
      <c r="G230" s="106"/>
      <c r="H230" s="105"/>
      <c r="I230" s="106"/>
      <c r="J230" s="106"/>
      <c r="K230" s="106"/>
      <c r="L230" s="106"/>
      <c r="M230" s="106"/>
      <c r="N230" s="106"/>
      <c r="O230" s="106"/>
      <c r="P230" s="106"/>
      <c r="Q230" s="106"/>
      <c r="AB230" s="106"/>
      <c r="AR230" s="65"/>
      <c r="AS230" s="65"/>
      <c r="AT230" s="65"/>
      <c r="BC230" s="23"/>
      <c r="BD230" s="23"/>
      <c r="BE230" s="23"/>
      <c r="BF230" s="66"/>
    </row>
    <row r="231">
      <c r="G231" s="106"/>
      <c r="H231" s="105"/>
      <c r="I231" s="106"/>
      <c r="J231" s="106"/>
      <c r="K231" s="106"/>
      <c r="L231" s="106"/>
      <c r="M231" s="106"/>
      <c r="N231" s="106"/>
      <c r="O231" s="106"/>
      <c r="P231" s="106"/>
      <c r="Q231" s="106"/>
      <c r="AB231" s="106"/>
      <c r="AR231" s="65"/>
      <c r="AS231" s="65"/>
      <c r="AT231" s="65"/>
      <c r="BC231" s="23"/>
      <c r="BD231" s="23"/>
      <c r="BE231" s="23"/>
      <c r="BF231" s="66"/>
    </row>
    <row r="232">
      <c r="G232" s="106"/>
      <c r="H232" s="105"/>
      <c r="I232" s="106"/>
      <c r="J232" s="106"/>
      <c r="K232" s="106"/>
      <c r="L232" s="106"/>
      <c r="M232" s="106"/>
      <c r="N232" s="106"/>
      <c r="O232" s="106"/>
      <c r="P232" s="106"/>
      <c r="Q232" s="106"/>
      <c r="AB232" s="106"/>
      <c r="AR232" s="65"/>
      <c r="AS232" s="65"/>
      <c r="AT232" s="65"/>
      <c r="BC232" s="23"/>
      <c r="BD232" s="23"/>
      <c r="BE232" s="23"/>
      <c r="BF232" s="66"/>
    </row>
    <row r="233">
      <c r="G233" s="106"/>
      <c r="H233" s="105"/>
      <c r="I233" s="106"/>
      <c r="J233" s="106"/>
      <c r="K233" s="106"/>
      <c r="L233" s="106"/>
      <c r="M233" s="106"/>
      <c r="N233" s="106"/>
      <c r="O233" s="106"/>
      <c r="P233" s="106"/>
      <c r="Q233" s="106"/>
      <c r="AB233" s="106"/>
      <c r="AR233" s="65"/>
      <c r="AS233" s="65"/>
      <c r="AT233" s="65"/>
      <c r="BC233" s="23"/>
      <c r="BD233" s="23"/>
      <c r="BE233" s="23"/>
      <c r="BF233" s="66"/>
    </row>
    <row r="234">
      <c r="G234" s="106"/>
      <c r="H234" s="105"/>
      <c r="I234" s="106"/>
      <c r="J234" s="106"/>
      <c r="K234" s="106"/>
      <c r="L234" s="106"/>
      <c r="M234" s="106"/>
      <c r="N234" s="106"/>
      <c r="O234" s="106"/>
      <c r="P234" s="106"/>
      <c r="Q234" s="106"/>
      <c r="AB234" s="106"/>
      <c r="AR234" s="65"/>
      <c r="AS234" s="65"/>
      <c r="AT234" s="65"/>
      <c r="BC234" s="23"/>
      <c r="BD234" s="23"/>
      <c r="BE234" s="23"/>
      <c r="BF234" s="66"/>
    </row>
    <row r="235">
      <c r="G235" s="106"/>
      <c r="H235" s="105"/>
      <c r="I235" s="106"/>
      <c r="J235" s="106"/>
      <c r="K235" s="106"/>
      <c r="L235" s="106"/>
      <c r="M235" s="106"/>
      <c r="N235" s="106"/>
      <c r="O235" s="106"/>
      <c r="P235" s="106"/>
      <c r="Q235" s="106"/>
      <c r="AB235" s="106"/>
      <c r="AR235" s="65"/>
      <c r="AS235" s="65"/>
      <c r="AT235" s="65"/>
      <c r="BC235" s="23"/>
      <c r="BD235" s="23"/>
      <c r="BE235" s="23"/>
      <c r="BF235" s="66"/>
    </row>
    <row r="236">
      <c r="G236" s="106"/>
      <c r="H236" s="105"/>
      <c r="I236" s="106"/>
      <c r="J236" s="106"/>
      <c r="K236" s="106"/>
      <c r="L236" s="106"/>
      <c r="M236" s="106"/>
      <c r="N236" s="106"/>
      <c r="O236" s="106"/>
      <c r="P236" s="106"/>
      <c r="Q236" s="106"/>
      <c r="AB236" s="106"/>
      <c r="AR236" s="65"/>
      <c r="AS236" s="65"/>
      <c r="AT236" s="65"/>
      <c r="BC236" s="23"/>
      <c r="BD236" s="23"/>
      <c r="BE236" s="23"/>
      <c r="BF236" s="66"/>
    </row>
    <row r="237">
      <c r="G237" s="106"/>
      <c r="H237" s="105"/>
      <c r="I237" s="106"/>
      <c r="J237" s="106"/>
      <c r="K237" s="106"/>
      <c r="L237" s="106"/>
      <c r="M237" s="106"/>
      <c r="N237" s="106"/>
      <c r="O237" s="106"/>
      <c r="P237" s="106"/>
      <c r="Q237" s="106"/>
      <c r="AB237" s="106"/>
      <c r="AR237" s="65"/>
      <c r="AS237" s="65"/>
      <c r="AT237" s="65"/>
      <c r="BC237" s="23"/>
      <c r="BD237" s="23"/>
      <c r="BE237" s="23"/>
      <c r="BF237" s="66"/>
    </row>
    <row r="238">
      <c r="G238" s="106"/>
      <c r="H238" s="105"/>
      <c r="I238" s="106"/>
      <c r="J238" s="106"/>
      <c r="K238" s="106"/>
      <c r="L238" s="106"/>
      <c r="M238" s="106"/>
      <c r="N238" s="106"/>
      <c r="O238" s="106"/>
      <c r="P238" s="106"/>
      <c r="Q238" s="106"/>
      <c r="AB238" s="106"/>
      <c r="AR238" s="65"/>
      <c r="AS238" s="65"/>
      <c r="AT238" s="65"/>
      <c r="BC238" s="23"/>
      <c r="BD238" s="23"/>
      <c r="BE238" s="23"/>
      <c r="BF238" s="66"/>
    </row>
    <row r="239">
      <c r="G239" s="106"/>
      <c r="H239" s="105"/>
      <c r="I239" s="106"/>
      <c r="J239" s="106"/>
      <c r="K239" s="106"/>
      <c r="L239" s="106"/>
      <c r="M239" s="106"/>
      <c r="N239" s="106"/>
      <c r="O239" s="106"/>
      <c r="P239" s="106"/>
      <c r="Q239" s="106"/>
      <c r="AB239" s="106"/>
      <c r="AR239" s="65"/>
      <c r="AS239" s="65"/>
      <c r="AT239" s="65"/>
      <c r="BC239" s="23"/>
      <c r="BD239" s="23"/>
      <c r="BE239" s="23"/>
      <c r="BF239" s="66"/>
    </row>
    <row r="240">
      <c r="G240" s="106"/>
      <c r="H240" s="105"/>
      <c r="I240" s="106"/>
      <c r="J240" s="106"/>
      <c r="K240" s="106"/>
      <c r="L240" s="106"/>
      <c r="M240" s="106"/>
      <c r="N240" s="106"/>
      <c r="O240" s="106"/>
      <c r="P240" s="106"/>
      <c r="Q240" s="106"/>
      <c r="AB240" s="106"/>
      <c r="AR240" s="65"/>
      <c r="AS240" s="65"/>
      <c r="AT240" s="65"/>
      <c r="BC240" s="23"/>
      <c r="BD240" s="23"/>
      <c r="BE240" s="23"/>
      <c r="BF240" s="66"/>
    </row>
    <row r="241">
      <c r="G241" s="106"/>
      <c r="H241" s="105"/>
      <c r="I241" s="106"/>
      <c r="J241" s="106"/>
      <c r="K241" s="106"/>
      <c r="L241" s="106"/>
      <c r="M241" s="106"/>
      <c r="N241" s="106"/>
      <c r="O241" s="106"/>
      <c r="P241" s="106"/>
      <c r="Q241" s="106"/>
      <c r="AB241" s="106"/>
      <c r="AR241" s="65"/>
      <c r="AS241" s="65"/>
      <c r="AT241" s="65"/>
      <c r="BC241" s="23"/>
      <c r="BD241" s="23"/>
      <c r="BE241" s="23"/>
      <c r="BF241" s="66"/>
    </row>
    <row r="242">
      <c r="G242" s="106"/>
      <c r="H242" s="105"/>
      <c r="I242" s="106"/>
      <c r="J242" s="106"/>
      <c r="K242" s="106"/>
      <c r="L242" s="106"/>
      <c r="M242" s="106"/>
      <c r="N242" s="106"/>
      <c r="O242" s="106"/>
      <c r="P242" s="106"/>
      <c r="Q242" s="106"/>
      <c r="AB242" s="106"/>
      <c r="AR242" s="65"/>
      <c r="AS242" s="65"/>
      <c r="AT242" s="65"/>
      <c r="BC242" s="23"/>
      <c r="BD242" s="23"/>
      <c r="BE242" s="23"/>
      <c r="BF242" s="66"/>
    </row>
    <row r="243">
      <c r="G243" s="106"/>
      <c r="H243" s="105"/>
      <c r="I243" s="106"/>
      <c r="J243" s="106"/>
      <c r="K243" s="106"/>
      <c r="L243" s="106"/>
      <c r="M243" s="106"/>
      <c r="N243" s="106"/>
      <c r="O243" s="106"/>
      <c r="P243" s="106"/>
      <c r="Q243" s="106"/>
      <c r="AB243" s="106"/>
      <c r="AR243" s="65"/>
      <c r="AS243" s="65"/>
      <c r="AT243" s="65"/>
      <c r="BC243" s="23"/>
      <c r="BD243" s="23"/>
      <c r="BE243" s="23"/>
      <c r="BF243" s="66"/>
    </row>
    <row r="244">
      <c r="G244" s="106"/>
      <c r="H244" s="105"/>
      <c r="I244" s="106"/>
      <c r="J244" s="106"/>
      <c r="K244" s="106"/>
      <c r="L244" s="106"/>
      <c r="M244" s="106"/>
      <c r="N244" s="106"/>
      <c r="O244" s="106"/>
      <c r="P244" s="106"/>
      <c r="Q244" s="106"/>
      <c r="AB244" s="106"/>
      <c r="AR244" s="65"/>
      <c r="AS244" s="65"/>
      <c r="AT244" s="65"/>
      <c r="BC244" s="23"/>
      <c r="BD244" s="23"/>
      <c r="BE244" s="23"/>
      <c r="BF244" s="66"/>
    </row>
    <row r="245">
      <c r="G245" s="106"/>
      <c r="H245" s="105"/>
      <c r="I245" s="106"/>
      <c r="J245" s="106"/>
      <c r="K245" s="106"/>
      <c r="L245" s="106"/>
      <c r="M245" s="106"/>
      <c r="N245" s="106"/>
      <c r="O245" s="106"/>
      <c r="P245" s="106"/>
      <c r="Q245" s="106"/>
      <c r="AB245" s="106"/>
      <c r="AR245" s="65"/>
      <c r="AS245" s="65"/>
      <c r="AT245" s="65"/>
      <c r="BC245" s="23"/>
      <c r="BD245" s="23"/>
      <c r="BE245" s="23"/>
      <c r="BF245" s="66"/>
    </row>
    <row r="246">
      <c r="G246" s="106"/>
      <c r="H246" s="105"/>
      <c r="I246" s="106"/>
      <c r="J246" s="106"/>
      <c r="K246" s="106"/>
      <c r="L246" s="106"/>
      <c r="M246" s="106"/>
      <c r="N246" s="106"/>
      <c r="O246" s="106"/>
      <c r="P246" s="106"/>
      <c r="Q246" s="106"/>
      <c r="AB246" s="106"/>
      <c r="AR246" s="65"/>
      <c r="AS246" s="65"/>
      <c r="AT246" s="65"/>
      <c r="BC246" s="23"/>
      <c r="BD246" s="23"/>
      <c r="BE246" s="23"/>
      <c r="BF246" s="66"/>
    </row>
    <row r="247">
      <c r="G247" s="106"/>
      <c r="H247" s="105"/>
      <c r="I247" s="106"/>
      <c r="J247" s="106"/>
      <c r="K247" s="106"/>
      <c r="L247" s="106"/>
      <c r="M247" s="106"/>
      <c r="N247" s="106"/>
      <c r="O247" s="106"/>
      <c r="P247" s="106"/>
      <c r="Q247" s="106"/>
      <c r="AB247" s="106"/>
      <c r="AR247" s="65"/>
      <c r="AS247" s="65"/>
      <c r="AT247" s="65"/>
      <c r="BC247" s="23"/>
      <c r="BD247" s="23"/>
      <c r="BE247" s="23"/>
      <c r="BF247" s="66"/>
    </row>
    <row r="248">
      <c r="G248" s="106"/>
      <c r="H248" s="105"/>
      <c r="I248" s="106"/>
      <c r="J248" s="106"/>
      <c r="K248" s="106"/>
      <c r="L248" s="106"/>
      <c r="M248" s="106"/>
      <c r="N248" s="106"/>
      <c r="O248" s="106"/>
      <c r="P248" s="106"/>
      <c r="Q248" s="106"/>
      <c r="AB248" s="106"/>
      <c r="AR248" s="65"/>
      <c r="AS248" s="65"/>
      <c r="AT248" s="65"/>
      <c r="BC248" s="23"/>
      <c r="BD248" s="23"/>
      <c r="BE248" s="23"/>
      <c r="BF248" s="66"/>
    </row>
    <row r="249">
      <c r="G249" s="106"/>
      <c r="H249" s="105"/>
      <c r="I249" s="106"/>
      <c r="J249" s="106"/>
      <c r="K249" s="106"/>
      <c r="L249" s="106"/>
      <c r="M249" s="106"/>
      <c r="N249" s="106"/>
      <c r="O249" s="106"/>
      <c r="P249" s="106"/>
      <c r="Q249" s="106"/>
      <c r="AB249" s="106"/>
      <c r="AR249" s="65"/>
      <c r="AS249" s="65"/>
      <c r="AT249" s="65"/>
      <c r="BC249" s="23"/>
      <c r="BD249" s="23"/>
      <c r="BE249" s="23"/>
      <c r="BF249" s="66"/>
    </row>
    <row r="250">
      <c r="G250" s="106"/>
      <c r="H250" s="105"/>
      <c r="I250" s="106"/>
      <c r="J250" s="106"/>
      <c r="K250" s="106"/>
      <c r="L250" s="106"/>
      <c r="M250" s="106"/>
      <c r="N250" s="106"/>
      <c r="O250" s="106"/>
      <c r="P250" s="106"/>
      <c r="Q250" s="106"/>
      <c r="AB250" s="106"/>
      <c r="AR250" s="65"/>
      <c r="AS250" s="65"/>
      <c r="AT250" s="65"/>
      <c r="BC250" s="23"/>
      <c r="BD250" s="23"/>
      <c r="BE250" s="23"/>
      <c r="BF250" s="66"/>
    </row>
    <row r="251">
      <c r="G251" s="106"/>
      <c r="H251" s="105"/>
      <c r="I251" s="106"/>
      <c r="J251" s="106"/>
      <c r="K251" s="106"/>
      <c r="L251" s="106"/>
      <c r="M251" s="106"/>
      <c r="N251" s="106"/>
      <c r="O251" s="106"/>
      <c r="P251" s="106"/>
      <c r="Q251" s="106"/>
      <c r="AB251" s="106"/>
      <c r="AR251" s="65"/>
      <c r="AS251" s="65"/>
      <c r="AT251" s="65"/>
      <c r="BC251" s="23"/>
      <c r="BD251" s="23"/>
      <c r="BE251" s="23"/>
      <c r="BF251" s="66"/>
    </row>
    <row r="252">
      <c r="G252" s="106"/>
      <c r="H252" s="105"/>
      <c r="I252" s="106"/>
      <c r="J252" s="106"/>
      <c r="K252" s="106"/>
      <c r="L252" s="106"/>
      <c r="M252" s="106"/>
      <c r="N252" s="106"/>
      <c r="O252" s="106"/>
      <c r="P252" s="106"/>
      <c r="Q252" s="106"/>
      <c r="AB252" s="106"/>
      <c r="AR252" s="65"/>
      <c r="AS252" s="65"/>
      <c r="AT252" s="65"/>
      <c r="BC252" s="23"/>
      <c r="BD252" s="23"/>
      <c r="BE252" s="23"/>
      <c r="BF252" s="66"/>
    </row>
    <row r="253">
      <c r="G253" s="106"/>
      <c r="H253" s="105"/>
      <c r="I253" s="106"/>
      <c r="J253" s="106"/>
      <c r="K253" s="106"/>
      <c r="L253" s="106"/>
      <c r="M253" s="106"/>
      <c r="N253" s="106"/>
      <c r="O253" s="106"/>
      <c r="P253" s="106"/>
      <c r="Q253" s="106"/>
      <c r="AB253" s="106"/>
      <c r="AR253" s="65"/>
      <c r="AS253" s="65"/>
      <c r="AT253" s="65"/>
      <c r="BC253" s="23"/>
      <c r="BD253" s="23"/>
      <c r="BE253" s="23"/>
      <c r="BF253" s="66"/>
    </row>
    <row r="254">
      <c r="G254" s="106"/>
      <c r="H254" s="105"/>
      <c r="I254" s="106"/>
      <c r="J254" s="106"/>
      <c r="K254" s="106"/>
      <c r="L254" s="106"/>
      <c r="M254" s="106"/>
      <c r="N254" s="106"/>
      <c r="O254" s="106"/>
      <c r="P254" s="106"/>
      <c r="Q254" s="106"/>
      <c r="AB254" s="106"/>
      <c r="AR254" s="65"/>
      <c r="AS254" s="65"/>
      <c r="AT254" s="65"/>
      <c r="BC254" s="23"/>
      <c r="BD254" s="23"/>
      <c r="BE254" s="23"/>
      <c r="BF254" s="66"/>
    </row>
    <row r="255">
      <c r="G255" s="106"/>
      <c r="H255" s="105"/>
      <c r="I255" s="106"/>
      <c r="J255" s="106"/>
      <c r="K255" s="106"/>
      <c r="L255" s="106"/>
      <c r="M255" s="106"/>
      <c r="N255" s="106"/>
      <c r="O255" s="106"/>
      <c r="P255" s="106"/>
      <c r="Q255" s="106"/>
      <c r="AB255" s="106"/>
      <c r="AR255" s="65"/>
      <c r="AS255" s="65"/>
      <c r="AT255" s="65"/>
      <c r="BC255" s="23"/>
      <c r="BD255" s="23"/>
      <c r="BE255" s="23"/>
      <c r="BF255" s="66"/>
    </row>
    <row r="256">
      <c r="G256" s="106"/>
      <c r="H256" s="105"/>
      <c r="I256" s="106"/>
      <c r="J256" s="106"/>
      <c r="K256" s="106"/>
      <c r="L256" s="106"/>
      <c r="M256" s="106"/>
      <c r="N256" s="106"/>
      <c r="O256" s="106"/>
      <c r="P256" s="106"/>
      <c r="Q256" s="106"/>
      <c r="AB256" s="106"/>
      <c r="AR256" s="65"/>
      <c r="AS256" s="65"/>
      <c r="AT256" s="65"/>
      <c r="BC256" s="23"/>
      <c r="BD256" s="23"/>
      <c r="BE256" s="23"/>
      <c r="BF256" s="66"/>
    </row>
    <row r="257">
      <c r="G257" s="106"/>
      <c r="H257" s="105"/>
      <c r="I257" s="106"/>
      <c r="J257" s="106"/>
      <c r="K257" s="106"/>
      <c r="L257" s="106"/>
      <c r="M257" s="106"/>
      <c r="N257" s="106"/>
      <c r="O257" s="106"/>
      <c r="P257" s="106"/>
      <c r="Q257" s="106"/>
      <c r="AB257" s="106"/>
      <c r="AR257" s="65"/>
      <c r="AS257" s="65"/>
      <c r="AT257" s="65"/>
      <c r="BC257" s="23"/>
      <c r="BD257" s="23"/>
      <c r="BE257" s="23"/>
      <c r="BF257" s="66"/>
    </row>
    <row r="258">
      <c r="G258" s="106"/>
      <c r="H258" s="105"/>
      <c r="I258" s="106"/>
      <c r="J258" s="106"/>
      <c r="K258" s="106"/>
      <c r="L258" s="106"/>
      <c r="M258" s="106"/>
      <c r="N258" s="106"/>
      <c r="O258" s="106"/>
      <c r="P258" s="106"/>
      <c r="Q258" s="106"/>
      <c r="AB258" s="106"/>
      <c r="AR258" s="65"/>
      <c r="AS258" s="65"/>
      <c r="AT258" s="65"/>
      <c r="BC258" s="23"/>
      <c r="BD258" s="23"/>
      <c r="BE258" s="23"/>
      <c r="BF258" s="66"/>
    </row>
    <row r="259">
      <c r="G259" s="106"/>
      <c r="H259" s="105"/>
      <c r="I259" s="106"/>
      <c r="J259" s="106"/>
      <c r="K259" s="106"/>
      <c r="L259" s="106"/>
      <c r="M259" s="106"/>
      <c r="N259" s="106"/>
      <c r="O259" s="106"/>
      <c r="P259" s="106"/>
      <c r="Q259" s="106"/>
      <c r="AB259" s="106"/>
      <c r="AR259" s="65"/>
      <c r="AS259" s="65"/>
      <c r="AT259" s="65"/>
      <c r="BC259" s="23"/>
      <c r="BD259" s="23"/>
      <c r="BE259" s="23"/>
      <c r="BF259" s="66"/>
    </row>
    <row r="260">
      <c r="G260" s="106"/>
      <c r="H260" s="105"/>
      <c r="I260" s="106"/>
      <c r="J260" s="106"/>
      <c r="K260" s="106"/>
      <c r="L260" s="106"/>
      <c r="M260" s="106"/>
      <c r="N260" s="106"/>
      <c r="O260" s="106"/>
      <c r="P260" s="106"/>
      <c r="Q260" s="106"/>
      <c r="AB260" s="106"/>
      <c r="AR260" s="65"/>
      <c r="AS260" s="65"/>
      <c r="AT260" s="65"/>
      <c r="BC260" s="23"/>
      <c r="BD260" s="23"/>
      <c r="BE260" s="23"/>
      <c r="BF260" s="66"/>
    </row>
    <row r="261">
      <c r="G261" s="106"/>
      <c r="H261" s="105"/>
      <c r="I261" s="106"/>
      <c r="J261" s="106"/>
      <c r="K261" s="106"/>
      <c r="L261" s="106"/>
      <c r="M261" s="106"/>
      <c r="N261" s="106"/>
      <c r="O261" s="106"/>
      <c r="P261" s="106"/>
      <c r="Q261" s="106"/>
      <c r="AB261" s="106"/>
      <c r="AR261" s="65"/>
      <c r="AS261" s="65"/>
      <c r="AT261" s="65"/>
      <c r="BC261" s="23"/>
      <c r="BD261" s="23"/>
      <c r="BE261" s="23"/>
      <c r="BF261" s="66"/>
    </row>
    <row r="262">
      <c r="G262" s="106"/>
      <c r="H262" s="105"/>
      <c r="I262" s="106"/>
      <c r="J262" s="106"/>
      <c r="K262" s="106"/>
      <c r="L262" s="106"/>
      <c r="M262" s="106"/>
      <c r="N262" s="106"/>
      <c r="O262" s="106"/>
      <c r="P262" s="106"/>
      <c r="Q262" s="106"/>
      <c r="AB262" s="106"/>
      <c r="AR262" s="65"/>
      <c r="AS262" s="65"/>
      <c r="AT262" s="65"/>
      <c r="BC262" s="23"/>
      <c r="BD262" s="23"/>
      <c r="BE262" s="23"/>
      <c r="BF262" s="66"/>
    </row>
    <row r="263">
      <c r="G263" s="106"/>
      <c r="H263" s="105"/>
      <c r="I263" s="106"/>
      <c r="J263" s="106"/>
      <c r="K263" s="106"/>
      <c r="L263" s="106"/>
      <c r="M263" s="106"/>
      <c r="N263" s="106"/>
      <c r="O263" s="106"/>
      <c r="P263" s="106"/>
      <c r="Q263" s="106"/>
      <c r="AB263" s="106"/>
      <c r="AR263" s="65"/>
      <c r="AS263" s="65"/>
      <c r="AT263" s="65"/>
      <c r="BC263" s="23"/>
      <c r="BD263" s="23"/>
      <c r="BE263" s="23"/>
      <c r="BF263" s="66"/>
    </row>
    <row r="264">
      <c r="G264" s="106"/>
      <c r="H264" s="105"/>
      <c r="I264" s="106"/>
      <c r="J264" s="106"/>
      <c r="K264" s="106"/>
      <c r="L264" s="106"/>
      <c r="M264" s="106"/>
      <c r="N264" s="106"/>
      <c r="O264" s="106"/>
      <c r="P264" s="106"/>
      <c r="Q264" s="106"/>
      <c r="AB264" s="106"/>
      <c r="AR264" s="65"/>
      <c r="AS264" s="65"/>
      <c r="AT264" s="65"/>
      <c r="BC264" s="23"/>
      <c r="BD264" s="23"/>
      <c r="BE264" s="23"/>
      <c r="BF264" s="66"/>
    </row>
    <row r="265">
      <c r="G265" s="106"/>
      <c r="H265" s="105"/>
      <c r="I265" s="106"/>
      <c r="J265" s="106"/>
      <c r="K265" s="106"/>
      <c r="L265" s="106"/>
      <c r="M265" s="106"/>
      <c r="N265" s="106"/>
      <c r="O265" s="106"/>
      <c r="P265" s="106"/>
      <c r="Q265" s="106"/>
      <c r="AB265" s="106"/>
      <c r="AR265" s="65"/>
      <c r="AS265" s="65"/>
      <c r="AT265" s="65"/>
      <c r="BC265" s="23"/>
      <c r="BD265" s="23"/>
      <c r="BE265" s="23"/>
      <c r="BF265" s="66"/>
    </row>
    <row r="266">
      <c r="G266" s="106"/>
      <c r="H266" s="105"/>
      <c r="I266" s="106"/>
      <c r="J266" s="106"/>
      <c r="K266" s="106"/>
      <c r="L266" s="106"/>
      <c r="M266" s="106"/>
      <c r="N266" s="106"/>
      <c r="O266" s="106"/>
      <c r="P266" s="106"/>
      <c r="Q266" s="106"/>
      <c r="AB266" s="106"/>
      <c r="AR266" s="65"/>
      <c r="AS266" s="65"/>
      <c r="AT266" s="65"/>
      <c r="BC266" s="23"/>
      <c r="BD266" s="23"/>
      <c r="BE266" s="23"/>
      <c r="BF266" s="66"/>
    </row>
    <row r="267">
      <c r="G267" s="106"/>
      <c r="H267" s="105"/>
      <c r="I267" s="106"/>
      <c r="J267" s="106"/>
      <c r="K267" s="106"/>
      <c r="L267" s="106"/>
      <c r="M267" s="106"/>
      <c r="N267" s="106"/>
      <c r="O267" s="106"/>
      <c r="P267" s="106"/>
      <c r="Q267" s="106"/>
      <c r="AB267" s="106"/>
      <c r="AR267" s="65"/>
      <c r="AS267" s="65"/>
      <c r="AT267" s="65"/>
      <c r="BC267" s="23"/>
      <c r="BD267" s="23"/>
      <c r="BE267" s="23"/>
      <c r="BF267" s="66"/>
    </row>
    <row r="268">
      <c r="G268" s="106"/>
      <c r="H268" s="105"/>
      <c r="I268" s="106"/>
      <c r="J268" s="106"/>
      <c r="K268" s="106"/>
      <c r="L268" s="106"/>
      <c r="M268" s="106"/>
      <c r="N268" s="106"/>
      <c r="O268" s="106"/>
      <c r="P268" s="106"/>
      <c r="Q268" s="106"/>
      <c r="AB268" s="106"/>
      <c r="AR268" s="65"/>
      <c r="AS268" s="65"/>
      <c r="AT268" s="65"/>
      <c r="BC268" s="23"/>
      <c r="BD268" s="23"/>
      <c r="BE268" s="23"/>
      <c r="BF268" s="66"/>
    </row>
    <row r="269">
      <c r="G269" s="106"/>
      <c r="H269" s="105"/>
      <c r="I269" s="106"/>
      <c r="J269" s="106"/>
      <c r="K269" s="106"/>
      <c r="L269" s="106"/>
      <c r="M269" s="106"/>
      <c r="N269" s="106"/>
      <c r="O269" s="106"/>
      <c r="P269" s="106"/>
      <c r="Q269" s="106"/>
      <c r="AB269" s="106"/>
      <c r="AR269" s="65"/>
      <c r="AS269" s="65"/>
      <c r="AT269" s="65"/>
      <c r="BC269" s="23"/>
      <c r="BD269" s="23"/>
      <c r="BE269" s="23"/>
      <c r="BF269" s="66"/>
    </row>
    <row r="270">
      <c r="G270" s="106"/>
      <c r="H270" s="105"/>
      <c r="I270" s="106"/>
      <c r="J270" s="106"/>
      <c r="K270" s="106"/>
      <c r="L270" s="106"/>
      <c r="M270" s="106"/>
      <c r="N270" s="106"/>
      <c r="O270" s="106"/>
      <c r="P270" s="106"/>
      <c r="Q270" s="106"/>
      <c r="AB270" s="106"/>
      <c r="AR270" s="65"/>
      <c r="AS270" s="65"/>
      <c r="AT270" s="65"/>
      <c r="BC270" s="23"/>
      <c r="BD270" s="23"/>
      <c r="BE270" s="23"/>
      <c r="BF270" s="66"/>
    </row>
    <row r="271">
      <c r="G271" s="106"/>
      <c r="H271" s="105"/>
      <c r="I271" s="106"/>
      <c r="J271" s="106"/>
      <c r="K271" s="106"/>
      <c r="L271" s="106"/>
      <c r="M271" s="106"/>
      <c r="N271" s="106"/>
      <c r="O271" s="106"/>
      <c r="P271" s="106"/>
      <c r="Q271" s="106"/>
      <c r="AB271" s="106"/>
      <c r="AR271" s="65"/>
      <c r="AS271" s="65"/>
      <c r="AT271" s="65"/>
      <c r="BC271" s="23"/>
      <c r="BD271" s="23"/>
      <c r="BE271" s="23"/>
      <c r="BF271" s="66"/>
    </row>
    <row r="272">
      <c r="G272" s="106"/>
      <c r="H272" s="105"/>
      <c r="I272" s="106"/>
      <c r="J272" s="106"/>
      <c r="K272" s="106"/>
      <c r="L272" s="106"/>
      <c r="M272" s="106"/>
      <c r="N272" s="106"/>
      <c r="O272" s="106"/>
      <c r="P272" s="106"/>
      <c r="Q272" s="106"/>
      <c r="AB272" s="106"/>
      <c r="AR272" s="65"/>
      <c r="AS272" s="65"/>
      <c r="AT272" s="65"/>
      <c r="BC272" s="23"/>
      <c r="BD272" s="23"/>
      <c r="BE272" s="23"/>
      <c r="BF272" s="66"/>
    </row>
    <row r="273">
      <c r="G273" s="106"/>
      <c r="H273" s="105"/>
      <c r="I273" s="106"/>
      <c r="J273" s="106"/>
      <c r="K273" s="106"/>
      <c r="L273" s="106"/>
      <c r="M273" s="106"/>
      <c r="N273" s="106"/>
      <c r="O273" s="106"/>
      <c r="P273" s="106"/>
      <c r="Q273" s="106"/>
      <c r="AB273" s="106"/>
      <c r="AR273" s="65"/>
      <c r="AS273" s="65"/>
      <c r="AT273" s="65"/>
      <c r="BC273" s="23"/>
      <c r="BD273" s="23"/>
      <c r="BE273" s="23"/>
      <c r="BF273" s="66"/>
    </row>
    <row r="274">
      <c r="G274" s="106"/>
      <c r="H274" s="105"/>
      <c r="I274" s="106"/>
      <c r="J274" s="106"/>
      <c r="K274" s="106"/>
      <c r="L274" s="106"/>
      <c r="M274" s="106"/>
      <c r="N274" s="106"/>
      <c r="O274" s="106"/>
      <c r="P274" s="106"/>
      <c r="Q274" s="106"/>
      <c r="AB274" s="106"/>
      <c r="AR274" s="65"/>
      <c r="AS274" s="65"/>
      <c r="AT274" s="65"/>
      <c r="BC274" s="23"/>
      <c r="BD274" s="23"/>
      <c r="BE274" s="23"/>
      <c r="BF274" s="66"/>
    </row>
    <row r="275">
      <c r="G275" s="106"/>
      <c r="H275" s="105"/>
      <c r="I275" s="106"/>
      <c r="J275" s="106"/>
      <c r="K275" s="106"/>
      <c r="L275" s="106"/>
      <c r="M275" s="106"/>
      <c r="N275" s="106"/>
      <c r="O275" s="106"/>
      <c r="P275" s="106"/>
      <c r="Q275" s="106"/>
      <c r="AB275" s="106"/>
      <c r="AR275" s="65"/>
      <c r="AS275" s="65"/>
      <c r="AT275" s="65"/>
      <c r="BC275" s="23"/>
      <c r="BD275" s="23"/>
      <c r="BE275" s="23"/>
      <c r="BF275" s="66"/>
    </row>
    <row r="276">
      <c r="G276" s="106"/>
      <c r="H276" s="105"/>
      <c r="I276" s="106"/>
      <c r="J276" s="106"/>
      <c r="K276" s="106"/>
      <c r="L276" s="106"/>
      <c r="M276" s="106"/>
      <c r="N276" s="106"/>
      <c r="O276" s="106"/>
      <c r="P276" s="106"/>
      <c r="Q276" s="106"/>
      <c r="AB276" s="106"/>
      <c r="AR276" s="65"/>
      <c r="AS276" s="65"/>
      <c r="AT276" s="65"/>
      <c r="BC276" s="23"/>
      <c r="BD276" s="23"/>
      <c r="BE276" s="23"/>
      <c r="BF276" s="66"/>
    </row>
    <row r="277">
      <c r="G277" s="106"/>
      <c r="H277" s="105"/>
      <c r="I277" s="106"/>
      <c r="J277" s="106"/>
      <c r="K277" s="106"/>
      <c r="L277" s="106"/>
      <c r="M277" s="106"/>
      <c r="N277" s="106"/>
      <c r="O277" s="106"/>
      <c r="P277" s="106"/>
      <c r="Q277" s="106"/>
      <c r="AB277" s="106"/>
      <c r="AR277" s="65"/>
      <c r="AS277" s="65"/>
      <c r="AT277" s="65"/>
      <c r="BC277" s="23"/>
      <c r="BD277" s="23"/>
      <c r="BE277" s="23"/>
      <c r="BF277" s="66"/>
    </row>
    <row r="278">
      <c r="G278" s="106"/>
      <c r="H278" s="105"/>
      <c r="I278" s="106"/>
      <c r="J278" s="106"/>
      <c r="K278" s="106"/>
      <c r="L278" s="106"/>
      <c r="M278" s="106"/>
      <c r="N278" s="106"/>
      <c r="O278" s="106"/>
      <c r="P278" s="106"/>
      <c r="Q278" s="106"/>
      <c r="AB278" s="106"/>
      <c r="AR278" s="65"/>
      <c r="AS278" s="65"/>
      <c r="AT278" s="65"/>
      <c r="BC278" s="23"/>
      <c r="BD278" s="23"/>
      <c r="BE278" s="23"/>
      <c r="BF278" s="66"/>
    </row>
    <row r="279">
      <c r="G279" s="106"/>
      <c r="H279" s="105"/>
      <c r="I279" s="106"/>
      <c r="J279" s="106"/>
      <c r="K279" s="106"/>
      <c r="L279" s="106"/>
      <c r="M279" s="106"/>
      <c r="N279" s="106"/>
      <c r="O279" s="106"/>
      <c r="P279" s="106"/>
      <c r="Q279" s="106"/>
      <c r="AB279" s="106"/>
      <c r="AR279" s="65"/>
      <c r="AS279" s="65"/>
      <c r="AT279" s="65"/>
      <c r="BC279" s="23"/>
      <c r="BD279" s="23"/>
      <c r="BE279" s="23"/>
      <c r="BF279" s="66"/>
    </row>
    <row r="280">
      <c r="G280" s="106"/>
      <c r="H280" s="105"/>
      <c r="I280" s="106"/>
      <c r="J280" s="106"/>
      <c r="K280" s="106"/>
      <c r="L280" s="106"/>
      <c r="M280" s="106"/>
      <c r="N280" s="106"/>
      <c r="O280" s="106"/>
      <c r="P280" s="106"/>
      <c r="Q280" s="106"/>
      <c r="AB280" s="106"/>
      <c r="AR280" s="65"/>
      <c r="AS280" s="65"/>
      <c r="AT280" s="65"/>
      <c r="BC280" s="23"/>
      <c r="BD280" s="23"/>
      <c r="BE280" s="23"/>
      <c r="BF280" s="66"/>
    </row>
    <row r="281">
      <c r="G281" s="106"/>
      <c r="H281" s="105"/>
      <c r="I281" s="106"/>
      <c r="J281" s="106"/>
      <c r="K281" s="106"/>
      <c r="L281" s="106"/>
      <c r="M281" s="106"/>
      <c r="N281" s="106"/>
      <c r="O281" s="106"/>
      <c r="P281" s="106"/>
      <c r="Q281" s="106"/>
      <c r="AB281" s="106"/>
      <c r="AR281" s="65"/>
      <c r="AS281" s="65"/>
      <c r="AT281" s="65"/>
      <c r="BC281" s="23"/>
      <c r="BD281" s="23"/>
      <c r="BE281" s="23"/>
      <c r="BF281" s="66"/>
    </row>
    <row r="282">
      <c r="G282" s="106"/>
      <c r="H282" s="105"/>
      <c r="I282" s="106"/>
      <c r="J282" s="106"/>
      <c r="K282" s="106"/>
      <c r="L282" s="106"/>
      <c r="M282" s="106"/>
      <c r="N282" s="106"/>
      <c r="O282" s="106"/>
      <c r="P282" s="106"/>
      <c r="Q282" s="106"/>
      <c r="AB282" s="106"/>
      <c r="AR282" s="65"/>
      <c r="AS282" s="65"/>
      <c r="AT282" s="65"/>
      <c r="BC282" s="23"/>
      <c r="BD282" s="23"/>
      <c r="BE282" s="23"/>
      <c r="BF282" s="66"/>
    </row>
    <row r="283">
      <c r="G283" s="106"/>
      <c r="H283" s="105"/>
      <c r="I283" s="106"/>
      <c r="J283" s="106"/>
      <c r="K283" s="106"/>
      <c r="L283" s="106"/>
      <c r="M283" s="106"/>
      <c r="N283" s="106"/>
      <c r="O283" s="106"/>
      <c r="P283" s="106"/>
      <c r="Q283" s="106"/>
      <c r="AB283" s="106"/>
      <c r="AR283" s="65"/>
      <c r="AS283" s="65"/>
      <c r="AT283" s="65"/>
      <c r="BC283" s="23"/>
      <c r="BD283" s="23"/>
      <c r="BE283" s="23"/>
      <c r="BF283" s="66"/>
    </row>
    <row r="284">
      <c r="G284" s="106"/>
      <c r="H284" s="105"/>
      <c r="I284" s="106"/>
      <c r="J284" s="106"/>
      <c r="K284" s="106"/>
      <c r="L284" s="106"/>
      <c r="M284" s="106"/>
      <c r="N284" s="106"/>
      <c r="O284" s="106"/>
      <c r="P284" s="106"/>
      <c r="Q284" s="106"/>
      <c r="AB284" s="106"/>
      <c r="AR284" s="65"/>
      <c r="AS284" s="65"/>
      <c r="AT284" s="65"/>
      <c r="BC284" s="23"/>
      <c r="BD284" s="23"/>
      <c r="BE284" s="23"/>
      <c r="BF284" s="66"/>
    </row>
    <row r="285">
      <c r="G285" s="106"/>
      <c r="H285" s="105"/>
      <c r="I285" s="106"/>
      <c r="J285" s="106"/>
      <c r="K285" s="106"/>
      <c r="L285" s="106"/>
      <c r="M285" s="106"/>
      <c r="N285" s="106"/>
      <c r="O285" s="106"/>
      <c r="P285" s="106"/>
      <c r="Q285" s="106"/>
      <c r="AB285" s="106"/>
      <c r="AR285" s="65"/>
      <c r="AS285" s="65"/>
      <c r="AT285" s="65"/>
      <c r="BC285" s="23"/>
      <c r="BD285" s="23"/>
      <c r="BE285" s="23"/>
      <c r="BF285" s="66"/>
    </row>
    <row r="286">
      <c r="G286" s="106"/>
      <c r="H286" s="105"/>
      <c r="I286" s="106"/>
      <c r="J286" s="106"/>
      <c r="K286" s="106"/>
      <c r="L286" s="106"/>
      <c r="M286" s="106"/>
      <c r="N286" s="106"/>
      <c r="O286" s="106"/>
      <c r="P286" s="106"/>
      <c r="Q286" s="106"/>
      <c r="AB286" s="106"/>
      <c r="AR286" s="65"/>
      <c r="AS286" s="65"/>
      <c r="AT286" s="65"/>
      <c r="BC286" s="23"/>
      <c r="BD286" s="23"/>
      <c r="BE286" s="23"/>
      <c r="BF286" s="66"/>
    </row>
    <row r="287">
      <c r="G287" s="106"/>
      <c r="H287" s="105"/>
      <c r="I287" s="106"/>
      <c r="J287" s="106"/>
      <c r="K287" s="106"/>
      <c r="L287" s="106"/>
      <c r="M287" s="106"/>
      <c r="N287" s="106"/>
      <c r="O287" s="106"/>
      <c r="P287" s="106"/>
      <c r="Q287" s="106"/>
      <c r="AB287" s="106"/>
      <c r="AR287" s="65"/>
      <c r="AS287" s="65"/>
      <c r="AT287" s="65"/>
      <c r="BC287" s="23"/>
      <c r="BD287" s="23"/>
      <c r="BE287" s="23"/>
      <c r="BF287" s="66"/>
    </row>
    <row r="288">
      <c r="G288" s="106"/>
      <c r="H288" s="105"/>
      <c r="I288" s="106"/>
      <c r="J288" s="106"/>
      <c r="K288" s="106"/>
      <c r="L288" s="106"/>
      <c r="M288" s="106"/>
      <c r="N288" s="106"/>
      <c r="O288" s="106"/>
      <c r="P288" s="106"/>
      <c r="Q288" s="106"/>
      <c r="AB288" s="106"/>
      <c r="AR288" s="65"/>
      <c r="AS288" s="65"/>
      <c r="AT288" s="65"/>
      <c r="BC288" s="23"/>
      <c r="BD288" s="23"/>
      <c r="BE288" s="23"/>
      <c r="BF288" s="66"/>
    </row>
    <row r="289">
      <c r="G289" s="106"/>
      <c r="H289" s="105"/>
      <c r="I289" s="106"/>
      <c r="J289" s="106"/>
      <c r="K289" s="106"/>
      <c r="L289" s="106"/>
      <c r="M289" s="106"/>
      <c r="N289" s="106"/>
      <c r="O289" s="106"/>
      <c r="P289" s="106"/>
      <c r="Q289" s="106"/>
      <c r="AB289" s="106"/>
      <c r="AR289" s="65"/>
      <c r="AS289" s="65"/>
      <c r="AT289" s="65"/>
      <c r="BC289" s="23"/>
      <c r="BD289" s="23"/>
      <c r="BE289" s="23"/>
      <c r="BF289" s="66"/>
    </row>
    <row r="290">
      <c r="G290" s="106"/>
      <c r="H290" s="105"/>
      <c r="I290" s="106"/>
      <c r="J290" s="106"/>
      <c r="K290" s="106"/>
      <c r="L290" s="106"/>
      <c r="M290" s="106"/>
      <c r="N290" s="106"/>
      <c r="O290" s="106"/>
      <c r="P290" s="106"/>
      <c r="Q290" s="106"/>
      <c r="AB290" s="106"/>
      <c r="AR290" s="65"/>
      <c r="AS290" s="65"/>
      <c r="AT290" s="65"/>
      <c r="BC290" s="23"/>
      <c r="BD290" s="23"/>
      <c r="BE290" s="23"/>
      <c r="BF290" s="66"/>
    </row>
    <row r="291">
      <c r="G291" s="106"/>
      <c r="H291" s="105"/>
      <c r="I291" s="106"/>
      <c r="J291" s="106"/>
      <c r="K291" s="106"/>
      <c r="L291" s="106"/>
      <c r="M291" s="106"/>
      <c r="N291" s="106"/>
      <c r="O291" s="106"/>
      <c r="P291" s="106"/>
      <c r="Q291" s="106"/>
      <c r="AB291" s="106"/>
      <c r="AR291" s="65"/>
      <c r="AS291" s="65"/>
      <c r="AT291" s="65"/>
      <c r="BC291" s="23"/>
      <c r="BD291" s="23"/>
      <c r="BE291" s="23"/>
      <c r="BF291" s="66"/>
    </row>
    <row r="292">
      <c r="G292" s="106"/>
      <c r="H292" s="105"/>
      <c r="I292" s="106"/>
      <c r="J292" s="106"/>
      <c r="K292" s="106"/>
      <c r="L292" s="106"/>
      <c r="M292" s="106"/>
      <c r="N292" s="106"/>
      <c r="O292" s="106"/>
      <c r="P292" s="106"/>
      <c r="Q292" s="106"/>
      <c r="AB292" s="106"/>
      <c r="AR292" s="65"/>
      <c r="AS292" s="65"/>
      <c r="AT292" s="65"/>
      <c r="BC292" s="23"/>
      <c r="BD292" s="23"/>
      <c r="BE292" s="23"/>
      <c r="BF292" s="66"/>
    </row>
    <row r="293">
      <c r="G293" s="106"/>
      <c r="H293" s="105"/>
      <c r="I293" s="106"/>
      <c r="J293" s="106"/>
      <c r="K293" s="106"/>
      <c r="L293" s="106"/>
      <c r="M293" s="106"/>
      <c r="N293" s="106"/>
      <c r="O293" s="106"/>
      <c r="P293" s="106"/>
      <c r="Q293" s="106"/>
      <c r="AB293" s="106"/>
      <c r="AR293" s="65"/>
      <c r="AS293" s="65"/>
      <c r="AT293" s="65"/>
      <c r="BC293" s="23"/>
      <c r="BD293" s="23"/>
      <c r="BE293" s="23"/>
      <c r="BF293" s="66"/>
    </row>
    <row r="294">
      <c r="G294" s="106"/>
      <c r="H294" s="105"/>
      <c r="I294" s="106"/>
      <c r="J294" s="106"/>
      <c r="K294" s="106"/>
      <c r="L294" s="106"/>
      <c r="M294" s="106"/>
      <c r="N294" s="106"/>
      <c r="O294" s="106"/>
      <c r="P294" s="106"/>
      <c r="Q294" s="106"/>
      <c r="AB294" s="106"/>
      <c r="AR294" s="65"/>
      <c r="AS294" s="65"/>
      <c r="AT294" s="65"/>
      <c r="BC294" s="23"/>
      <c r="BD294" s="23"/>
      <c r="BE294" s="23"/>
      <c r="BF294" s="66"/>
    </row>
    <row r="295">
      <c r="G295" s="106"/>
      <c r="H295" s="105"/>
      <c r="I295" s="106"/>
      <c r="J295" s="106"/>
      <c r="K295" s="106"/>
      <c r="L295" s="106"/>
      <c r="M295" s="106"/>
      <c r="N295" s="106"/>
      <c r="O295" s="106"/>
      <c r="P295" s="106"/>
      <c r="Q295" s="106"/>
      <c r="AB295" s="106"/>
      <c r="AR295" s="65"/>
      <c r="AS295" s="65"/>
      <c r="AT295" s="65"/>
      <c r="BC295" s="23"/>
      <c r="BD295" s="23"/>
      <c r="BE295" s="23"/>
      <c r="BF295" s="66"/>
    </row>
    <row r="296">
      <c r="G296" s="106"/>
      <c r="H296" s="105"/>
      <c r="I296" s="106"/>
      <c r="J296" s="106"/>
      <c r="K296" s="106"/>
      <c r="L296" s="106"/>
      <c r="M296" s="106"/>
      <c r="N296" s="106"/>
      <c r="O296" s="106"/>
      <c r="P296" s="106"/>
      <c r="Q296" s="106"/>
      <c r="AB296" s="106"/>
      <c r="AR296" s="65"/>
      <c r="AS296" s="65"/>
      <c r="AT296" s="65"/>
      <c r="BC296" s="23"/>
      <c r="BD296" s="23"/>
      <c r="BE296" s="23"/>
      <c r="BF296" s="66"/>
    </row>
    <row r="297">
      <c r="G297" s="106"/>
      <c r="H297" s="105"/>
      <c r="I297" s="106"/>
      <c r="J297" s="106"/>
      <c r="K297" s="106"/>
      <c r="L297" s="106"/>
      <c r="M297" s="106"/>
      <c r="N297" s="106"/>
      <c r="O297" s="106"/>
      <c r="P297" s="106"/>
      <c r="Q297" s="106"/>
      <c r="AB297" s="106"/>
      <c r="AR297" s="65"/>
      <c r="AS297" s="65"/>
      <c r="AT297" s="65"/>
      <c r="BC297" s="23"/>
      <c r="BD297" s="23"/>
      <c r="BE297" s="23"/>
      <c r="BF297" s="66"/>
    </row>
    <row r="298">
      <c r="G298" s="106"/>
      <c r="H298" s="105"/>
      <c r="I298" s="106"/>
      <c r="J298" s="106"/>
      <c r="K298" s="106"/>
      <c r="L298" s="106"/>
      <c r="M298" s="106"/>
      <c r="N298" s="106"/>
      <c r="O298" s="106"/>
      <c r="P298" s="106"/>
      <c r="Q298" s="106"/>
      <c r="AB298" s="106"/>
      <c r="AR298" s="65"/>
      <c r="AS298" s="65"/>
      <c r="AT298" s="65"/>
      <c r="BC298" s="23"/>
      <c r="BD298" s="23"/>
      <c r="BE298" s="23"/>
      <c r="BF298" s="66"/>
    </row>
    <row r="299">
      <c r="G299" s="106"/>
      <c r="H299" s="105"/>
      <c r="I299" s="106"/>
      <c r="J299" s="106"/>
      <c r="K299" s="106"/>
      <c r="L299" s="106"/>
      <c r="M299" s="106"/>
      <c r="N299" s="106"/>
      <c r="O299" s="106"/>
      <c r="P299" s="106"/>
      <c r="Q299" s="106"/>
      <c r="AB299" s="106"/>
      <c r="AR299" s="65"/>
      <c r="AS299" s="65"/>
      <c r="AT299" s="65"/>
      <c r="BC299" s="23"/>
      <c r="BD299" s="23"/>
      <c r="BE299" s="23"/>
      <c r="BF299" s="66"/>
    </row>
    <row r="300">
      <c r="G300" s="106"/>
      <c r="H300" s="105"/>
      <c r="I300" s="106"/>
      <c r="J300" s="106"/>
      <c r="K300" s="106"/>
      <c r="L300" s="106"/>
      <c r="M300" s="106"/>
      <c r="N300" s="106"/>
      <c r="O300" s="106"/>
      <c r="P300" s="106"/>
      <c r="Q300" s="106"/>
      <c r="AB300" s="106"/>
      <c r="AR300" s="65"/>
      <c r="AS300" s="65"/>
      <c r="AT300" s="65"/>
      <c r="BC300" s="23"/>
      <c r="BD300" s="23"/>
      <c r="BE300" s="23"/>
      <c r="BF300" s="66"/>
    </row>
    <row r="301">
      <c r="G301" s="106"/>
      <c r="H301" s="105"/>
      <c r="I301" s="106"/>
      <c r="J301" s="106"/>
      <c r="K301" s="106"/>
      <c r="L301" s="106"/>
      <c r="M301" s="106"/>
      <c r="N301" s="106"/>
      <c r="O301" s="106"/>
      <c r="P301" s="106"/>
      <c r="Q301" s="106"/>
      <c r="AB301" s="106"/>
      <c r="AR301" s="65"/>
      <c r="AS301" s="65"/>
      <c r="AT301" s="65"/>
      <c r="BC301" s="23"/>
      <c r="BD301" s="23"/>
      <c r="BE301" s="23"/>
      <c r="BF301" s="66"/>
    </row>
    <row r="302">
      <c r="G302" s="106"/>
      <c r="H302" s="105"/>
      <c r="I302" s="106"/>
      <c r="J302" s="106"/>
      <c r="K302" s="106"/>
      <c r="L302" s="106"/>
      <c r="M302" s="106"/>
      <c r="N302" s="106"/>
      <c r="O302" s="106"/>
      <c r="P302" s="106"/>
      <c r="Q302" s="106"/>
      <c r="AB302" s="106"/>
      <c r="AR302" s="65"/>
      <c r="AS302" s="65"/>
      <c r="AT302" s="65"/>
      <c r="BC302" s="23"/>
      <c r="BD302" s="23"/>
      <c r="BE302" s="23"/>
      <c r="BF302" s="66"/>
    </row>
    <row r="303">
      <c r="G303" s="106"/>
      <c r="H303" s="105"/>
      <c r="I303" s="106"/>
      <c r="J303" s="106"/>
      <c r="K303" s="106"/>
      <c r="L303" s="106"/>
      <c r="M303" s="106"/>
      <c r="N303" s="106"/>
      <c r="O303" s="106"/>
      <c r="P303" s="106"/>
      <c r="Q303" s="106"/>
      <c r="AB303" s="106"/>
      <c r="AR303" s="65"/>
      <c r="AS303" s="65"/>
      <c r="AT303" s="65"/>
      <c r="BC303" s="23"/>
      <c r="BD303" s="23"/>
      <c r="BE303" s="23"/>
      <c r="BF303" s="66"/>
    </row>
    <row r="304">
      <c r="G304" s="106"/>
      <c r="H304" s="105"/>
      <c r="I304" s="106"/>
      <c r="J304" s="106"/>
      <c r="K304" s="106"/>
      <c r="L304" s="106"/>
      <c r="M304" s="106"/>
      <c r="N304" s="106"/>
      <c r="O304" s="106"/>
      <c r="P304" s="106"/>
      <c r="Q304" s="106"/>
      <c r="AB304" s="106"/>
      <c r="AR304" s="65"/>
      <c r="AS304" s="65"/>
      <c r="AT304" s="65"/>
      <c r="BC304" s="23"/>
      <c r="BD304" s="23"/>
      <c r="BE304" s="23"/>
      <c r="BF304" s="66"/>
    </row>
    <row r="305">
      <c r="G305" s="106"/>
      <c r="H305" s="105"/>
      <c r="I305" s="106"/>
      <c r="J305" s="106"/>
      <c r="K305" s="106"/>
      <c r="L305" s="106"/>
      <c r="M305" s="106"/>
      <c r="N305" s="106"/>
      <c r="O305" s="106"/>
      <c r="P305" s="106"/>
      <c r="Q305" s="106"/>
      <c r="AB305" s="106"/>
      <c r="AR305" s="65"/>
      <c r="AS305" s="65"/>
      <c r="AT305" s="65"/>
      <c r="BC305" s="23"/>
      <c r="BD305" s="23"/>
      <c r="BE305" s="23"/>
      <c r="BF305" s="66"/>
    </row>
    <row r="306">
      <c r="G306" s="106"/>
      <c r="H306" s="105"/>
      <c r="I306" s="106"/>
      <c r="J306" s="106"/>
      <c r="K306" s="106"/>
      <c r="L306" s="106"/>
      <c r="M306" s="106"/>
      <c r="N306" s="106"/>
      <c r="O306" s="106"/>
      <c r="P306" s="106"/>
      <c r="Q306" s="106"/>
      <c r="AB306" s="106"/>
      <c r="AR306" s="65"/>
      <c r="AS306" s="65"/>
      <c r="AT306" s="65"/>
      <c r="BC306" s="23"/>
      <c r="BD306" s="23"/>
      <c r="BE306" s="23"/>
      <c r="BF306" s="66"/>
    </row>
    <row r="307">
      <c r="G307" s="106"/>
      <c r="H307" s="105"/>
      <c r="I307" s="106"/>
      <c r="J307" s="106"/>
      <c r="K307" s="106"/>
      <c r="L307" s="106"/>
      <c r="M307" s="106"/>
      <c r="N307" s="106"/>
      <c r="O307" s="106"/>
      <c r="P307" s="106"/>
      <c r="Q307" s="106"/>
      <c r="AB307" s="106"/>
      <c r="AR307" s="65"/>
      <c r="AS307" s="65"/>
      <c r="AT307" s="65"/>
      <c r="BC307" s="23"/>
      <c r="BD307" s="23"/>
      <c r="BE307" s="23"/>
      <c r="BF307" s="66"/>
    </row>
    <row r="308">
      <c r="G308" s="106"/>
      <c r="H308" s="105"/>
      <c r="I308" s="106"/>
      <c r="J308" s="106"/>
      <c r="K308" s="106"/>
      <c r="L308" s="106"/>
      <c r="M308" s="106"/>
      <c r="N308" s="106"/>
      <c r="O308" s="106"/>
      <c r="P308" s="106"/>
      <c r="Q308" s="106"/>
      <c r="AB308" s="106"/>
      <c r="AR308" s="65"/>
      <c r="AS308" s="65"/>
      <c r="AT308" s="65"/>
      <c r="BC308" s="23"/>
      <c r="BD308" s="23"/>
      <c r="BE308" s="23"/>
      <c r="BF308" s="66"/>
    </row>
    <row r="309">
      <c r="G309" s="106"/>
      <c r="H309" s="105"/>
      <c r="I309" s="106"/>
      <c r="J309" s="106"/>
      <c r="K309" s="106"/>
      <c r="L309" s="106"/>
      <c r="M309" s="106"/>
      <c r="N309" s="106"/>
      <c r="O309" s="106"/>
      <c r="P309" s="106"/>
      <c r="Q309" s="106"/>
      <c r="AB309" s="106"/>
      <c r="AR309" s="65"/>
      <c r="AS309" s="65"/>
      <c r="AT309" s="65"/>
      <c r="BC309" s="23"/>
      <c r="BD309" s="23"/>
      <c r="BE309" s="23"/>
      <c r="BF309" s="66"/>
    </row>
    <row r="310">
      <c r="G310" s="106"/>
      <c r="H310" s="105"/>
      <c r="I310" s="106"/>
      <c r="J310" s="106"/>
      <c r="K310" s="106"/>
      <c r="L310" s="106"/>
      <c r="M310" s="106"/>
      <c r="N310" s="106"/>
      <c r="O310" s="106"/>
      <c r="P310" s="106"/>
      <c r="Q310" s="106"/>
      <c r="AB310" s="106"/>
      <c r="AR310" s="65"/>
      <c r="AS310" s="65"/>
      <c r="AT310" s="65"/>
      <c r="BC310" s="23"/>
      <c r="BD310" s="23"/>
      <c r="BE310" s="23"/>
      <c r="BF310" s="66"/>
    </row>
    <row r="311">
      <c r="G311" s="106"/>
      <c r="H311" s="105"/>
      <c r="I311" s="106"/>
      <c r="J311" s="106"/>
      <c r="K311" s="106"/>
      <c r="L311" s="106"/>
      <c r="M311" s="106"/>
      <c r="N311" s="106"/>
      <c r="O311" s="106"/>
      <c r="P311" s="106"/>
      <c r="Q311" s="106"/>
      <c r="AB311" s="106"/>
      <c r="AR311" s="65"/>
      <c r="AS311" s="65"/>
      <c r="AT311" s="65"/>
      <c r="BC311" s="23"/>
      <c r="BD311" s="23"/>
      <c r="BE311" s="23"/>
      <c r="BF311" s="66"/>
    </row>
    <row r="312">
      <c r="G312" s="106"/>
      <c r="H312" s="105"/>
      <c r="I312" s="106"/>
      <c r="J312" s="106"/>
      <c r="K312" s="106"/>
      <c r="L312" s="106"/>
      <c r="M312" s="106"/>
      <c r="N312" s="106"/>
      <c r="O312" s="106"/>
      <c r="P312" s="106"/>
      <c r="Q312" s="106"/>
      <c r="AB312" s="106"/>
      <c r="AR312" s="65"/>
      <c r="AS312" s="65"/>
      <c r="AT312" s="65"/>
      <c r="BC312" s="23"/>
      <c r="BD312" s="23"/>
      <c r="BE312" s="23"/>
      <c r="BF312" s="66"/>
    </row>
    <row r="313">
      <c r="G313" s="106"/>
      <c r="H313" s="105"/>
      <c r="I313" s="106"/>
      <c r="J313" s="106"/>
      <c r="K313" s="106"/>
      <c r="L313" s="106"/>
      <c r="M313" s="106"/>
      <c r="N313" s="106"/>
      <c r="O313" s="106"/>
      <c r="P313" s="106"/>
      <c r="Q313" s="106"/>
      <c r="AB313" s="106"/>
      <c r="AR313" s="65"/>
      <c r="AS313" s="65"/>
      <c r="AT313" s="65"/>
      <c r="BC313" s="23"/>
      <c r="BD313" s="23"/>
      <c r="BE313" s="23"/>
      <c r="BF313" s="66"/>
    </row>
    <row r="314">
      <c r="G314" s="106"/>
      <c r="H314" s="105"/>
      <c r="I314" s="106"/>
      <c r="J314" s="106"/>
      <c r="K314" s="106"/>
      <c r="L314" s="106"/>
      <c r="M314" s="106"/>
      <c r="N314" s="106"/>
      <c r="O314" s="106"/>
      <c r="P314" s="106"/>
      <c r="Q314" s="106"/>
      <c r="AB314" s="106"/>
      <c r="AR314" s="65"/>
      <c r="AS314" s="65"/>
      <c r="AT314" s="65"/>
      <c r="BC314" s="23"/>
      <c r="BD314" s="23"/>
      <c r="BE314" s="23"/>
      <c r="BF314" s="66"/>
    </row>
    <row r="315">
      <c r="G315" s="106"/>
      <c r="H315" s="105"/>
      <c r="I315" s="106"/>
      <c r="J315" s="106"/>
      <c r="K315" s="106"/>
      <c r="L315" s="106"/>
      <c r="M315" s="106"/>
      <c r="N315" s="106"/>
      <c r="O315" s="106"/>
      <c r="P315" s="106"/>
      <c r="Q315" s="106"/>
      <c r="AB315" s="106"/>
      <c r="AR315" s="65"/>
      <c r="AS315" s="65"/>
      <c r="AT315" s="65"/>
      <c r="BC315" s="23"/>
      <c r="BD315" s="23"/>
      <c r="BE315" s="23"/>
      <c r="BF315" s="66"/>
    </row>
    <row r="316">
      <c r="G316" s="106"/>
      <c r="H316" s="105"/>
      <c r="I316" s="106"/>
      <c r="J316" s="106"/>
      <c r="K316" s="106"/>
      <c r="L316" s="106"/>
      <c r="M316" s="106"/>
      <c r="N316" s="106"/>
      <c r="O316" s="106"/>
      <c r="P316" s="106"/>
      <c r="Q316" s="106"/>
      <c r="AB316" s="106"/>
      <c r="AR316" s="65"/>
      <c r="AS316" s="65"/>
      <c r="AT316" s="65"/>
      <c r="BC316" s="23"/>
      <c r="BD316" s="23"/>
      <c r="BE316" s="23"/>
      <c r="BF316" s="66"/>
    </row>
    <row r="317">
      <c r="G317" s="106"/>
      <c r="H317" s="105"/>
      <c r="I317" s="106"/>
      <c r="J317" s="106"/>
      <c r="K317" s="106"/>
      <c r="L317" s="106"/>
      <c r="M317" s="106"/>
      <c r="N317" s="106"/>
      <c r="O317" s="106"/>
      <c r="P317" s="106"/>
      <c r="Q317" s="106"/>
      <c r="AB317" s="106"/>
      <c r="AR317" s="65"/>
      <c r="AS317" s="65"/>
      <c r="AT317" s="65"/>
      <c r="BC317" s="23"/>
      <c r="BD317" s="23"/>
      <c r="BE317" s="23"/>
      <c r="BF317" s="66"/>
    </row>
    <row r="318">
      <c r="G318" s="106"/>
      <c r="H318" s="105"/>
      <c r="I318" s="106"/>
      <c r="J318" s="106"/>
      <c r="K318" s="106"/>
      <c r="L318" s="106"/>
      <c r="M318" s="106"/>
      <c r="N318" s="106"/>
      <c r="O318" s="106"/>
      <c r="P318" s="106"/>
      <c r="Q318" s="106"/>
      <c r="AB318" s="106"/>
      <c r="AR318" s="65"/>
      <c r="AS318" s="65"/>
      <c r="AT318" s="65"/>
      <c r="BC318" s="23"/>
      <c r="BD318" s="23"/>
      <c r="BE318" s="23"/>
      <c r="BF318" s="66"/>
    </row>
    <row r="319">
      <c r="G319" s="106"/>
      <c r="H319" s="105"/>
      <c r="I319" s="106"/>
      <c r="J319" s="106"/>
      <c r="K319" s="106"/>
      <c r="L319" s="106"/>
      <c r="M319" s="106"/>
      <c r="N319" s="106"/>
      <c r="O319" s="106"/>
      <c r="P319" s="106"/>
      <c r="Q319" s="106"/>
      <c r="AB319" s="106"/>
      <c r="AR319" s="65"/>
      <c r="AS319" s="65"/>
      <c r="AT319" s="65"/>
      <c r="BC319" s="23"/>
      <c r="BD319" s="23"/>
      <c r="BE319" s="23"/>
      <c r="BF319" s="66"/>
    </row>
    <row r="320">
      <c r="G320" s="106"/>
      <c r="H320" s="105"/>
      <c r="I320" s="106"/>
      <c r="J320" s="106"/>
      <c r="K320" s="106"/>
      <c r="L320" s="106"/>
      <c r="M320" s="106"/>
      <c r="N320" s="106"/>
      <c r="O320" s="106"/>
      <c r="P320" s="106"/>
      <c r="Q320" s="106"/>
      <c r="AB320" s="106"/>
      <c r="AR320" s="65"/>
      <c r="AS320" s="65"/>
      <c r="AT320" s="65"/>
      <c r="BC320" s="23"/>
      <c r="BD320" s="23"/>
      <c r="BE320" s="23"/>
      <c r="BF320" s="66"/>
    </row>
    <row r="321">
      <c r="G321" s="106"/>
      <c r="H321" s="105"/>
      <c r="I321" s="106"/>
      <c r="J321" s="106"/>
      <c r="K321" s="106"/>
      <c r="L321" s="106"/>
      <c r="M321" s="106"/>
      <c r="N321" s="106"/>
      <c r="O321" s="106"/>
      <c r="P321" s="106"/>
      <c r="Q321" s="106"/>
      <c r="AB321" s="106"/>
      <c r="AR321" s="65"/>
      <c r="AS321" s="65"/>
      <c r="AT321" s="65"/>
      <c r="BC321" s="23"/>
      <c r="BD321" s="23"/>
      <c r="BE321" s="23"/>
      <c r="BF321" s="66"/>
    </row>
    <row r="322">
      <c r="G322" s="106"/>
      <c r="H322" s="105"/>
      <c r="I322" s="106"/>
      <c r="J322" s="106"/>
      <c r="K322" s="106"/>
      <c r="L322" s="106"/>
      <c r="M322" s="106"/>
      <c r="N322" s="106"/>
      <c r="O322" s="106"/>
      <c r="P322" s="106"/>
      <c r="Q322" s="106"/>
      <c r="AB322" s="106"/>
      <c r="AR322" s="65"/>
      <c r="AS322" s="65"/>
      <c r="AT322" s="65"/>
      <c r="BC322" s="23"/>
      <c r="BD322" s="23"/>
      <c r="BE322" s="23"/>
      <c r="BF322" s="66"/>
    </row>
    <row r="323">
      <c r="G323" s="106"/>
      <c r="H323" s="105"/>
      <c r="I323" s="106"/>
      <c r="J323" s="106"/>
      <c r="K323" s="106"/>
      <c r="L323" s="106"/>
      <c r="M323" s="106"/>
      <c r="N323" s="106"/>
      <c r="O323" s="106"/>
      <c r="P323" s="106"/>
      <c r="Q323" s="106"/>
      <c r="AB323" s="106"/>
      <c r="AR323" s="65"/>
      <c r="AS323" s="65"/>
      <c r="AT323" s="65"/>
      <c r="BC323" s="23"/>
      <c r="BD323" s="23"/>
      <c r="BE323" s="23"/>
      <c r="BF323" s="66"/>
    </row>
    <row r="324">
      <c r="G324" s="106"/>
      <c r="H324" s="105"/>
      <c r="I324" s="106"/>
      <c r="J324" s="106"/>
      <c r="K324" s="106"/>
      <c r="L324" s="106"/>
      <c r="M324" s="106"/>
      <c r="N324" s="106"/>
      <c r="O324" s="106"/>
      <c r="P324" s="106"/>
      <c r="Q324" s="106"/>
      <c r="AB324" s="106"/>
      <c r="AR324" s="65"/>
      <c r="AS324" s="65"/>
      <c r="AT324" s="65"/>
      <c r="BC324" s="23"/>
      <c r="BD324" s="23"/>
      <c r="BE324" s="23"/>
      <c r="BF324" s="66"/>
    </row>
    <row r="325">
      <c r="G325" s="106"/>
      <c r="H325" s="105"/>
      <c r="I325" s="106"/>
      <c r="J325" s="106"/>
      <c r="K325" s="106"/>
      <c r="L325" s="106"/>
      <c r="M325" s="106"/>
      <c r="N325" s="106"/>
      <c r="O325" s="106"/>
      <c r="P325" s="106"/>
      <c r="Q325" s="106"/>
      <c r="AB325" s="106"/>
      <c r="AR325" s="65"/>
      <c r="AS325" s="65"/>
      <c r="AT325" s="65"/>
      <c r="BC325" s="23"/>
      <c r="BD325" s="23"/>
      <c r="BE325" s="23"/>
      <c r="BF325" s="66"/>
    </row>
    <row r="326">
      <c r="G326" s="106"/>
      <c r="H326" s="105"/>
      <c r="I326" s="106"/>
      <c r="J326" s="106"/>
      <c r="K326" s="106"/>
      <c r="L326" s="106"/>
      <c r="M326" s="106"/>
      <c r="N326" s="106"/>
      <c r="O326" s="106"/>
      <c r="P326" s="106"/>
      <c r="Q326" s="106"/>
      <c r="AB326" s="106"/>
      <c r="AR326" s="65"/>
      <c r="AS326" s="65"/>
      <c r="AT326" s="65"/>
      <c r="BC326" s="23"/>
      <c r="BD326" s="23"/>
      <c r="BE326" s="23"/>
      <c r="BF326" s="66"/>
    </row>
    <row r="327">
      <c r="G327" s="106"/>
      <c r="H327" s="105"/>
      <c r="I327" s="106"/>
      <c r="J327" s="106"/>
      <c r="K327" s="106"/>
      <c r="L327" s="106"/>
      <c r="M327" s="106"/>
      <c r="N327" s="106"/>
      <c r="O327" s="106"/>
      <c r="P327" s="106"/>
      <c r="Q327" s="106"/>
      <c r="AB327" s="106"/>
      <c r="AR327" s="65"/>
      <c r="AS327" s="65"/>
      <c r="AT327" s="65"/>
      <c r="BC327" s="23"/>
      <c r="BD327" s="23"/>
      <c r="BE327" s="23"/>
      <c r="BF327" s="66"/>
    </row>
    <row r="328">
      <c r="G328" s="106"/>
      <c r="H328" s="105"/>
      <c r="I328" s="106"/>
      <c r="J328" s="106"/>
      <c r="K328" s="106"/>
      <c r="L328" s="106"/>
      <c r="M328" s="106"/>
      <c r="N328" s="106"/>
      <c r="O328" s="106"/>
      <c r="P328" s="106"/>
      <c r="Q328" s="106"/>
      <c r="AB328" s="106"/>
      <c r="AR328" s="65"/>
      <c r="AS328" s="65"/>
      <c r="AT328" s="65"/>
      <c r="BC328" s="23"/>
      <c r="BD328" s="23"/>
      <c r="BE328" s="23"/>
      <c r="BF328" s="66"/>
    </row>
    <row r="329">
      <c r="G329" s="106"/>
      <c r="H329" s="105"/>
      <c r="I329" s="106"/>
      <c r="J329" s="106"/>
      <c r="K329" s="106"/>
      <c r="L329" s="106"/>
      <c r="M329" s="106"/>
      <c r="N329" s="106"/>
      <c r="O329" s="106"/>
      <c r="P329" s="106"/>
      <c r="Q329" s="106"/>
      <c r="AB329" s="106"/>
      <c r="AR329" s="65"/>
      <c r="AS329" s="65"/>
      <c r="AT329" s="65"/>
      <c r="BC329" s="23"/>
      <c r="BD329" s="23"/>
      <c r="BE329" s="23"/>
      <c r="BF329" s="66"/>
    </row>
    <row r="330">
      <c r="G330" s="106"/>
      <c r="H330" s="105"/>
      <c r="I330" s="106"/>
      <c r="J330" s="106"/>
      <c r="K330" s="106"/>
      <c r="L330" s="106"/>
      <c r="M330" s="106"/>
      <c r="N330" s="106"/>
      <c r="O330" s="106"/>
      <c r="P330" s="106"/>
      <c r="Q330" s="106"/>
      <c r="AB330" s="106"/>
      <c r="AR330" s="65"/>
      <c r="AS330" s="65"/>
      <c r="AT330" s="65"/>
      <c r="BC330" s="23"/>
      <c r="BD330" s="23"/>
      <c r="BE330" s="23"/>
      <c r="BF330" s="66"/>
    </row>
    <row r="331">
      <c r="G331" s="106"/>
      <c r="H331" s="105"/>
      <c r="I331" s="106"/>
      <c r="J331" s="106"/>
      <c r="K331" s="106"/>
      <c r="L331" s="106"/>
      <c r="M331" s="106"/>
      <c r="N331" s="106"/>
      <c r="O331" s="106"/>
      <c r="P331" s="106"/>
      <c r="Q331" s="106"/>
      <c r="AB331" s="106"/>
      <c r="AR331" s="65"/>
      <c r="AS331" s="65"/>
      <c r="AT331" s="65"/>
      <c r="BC331" s="23"/>
      <c r="BD331" s="23"/>
      <c r="BE331" s="23"/>
      <c r="BF331" s="66"/>
    </row>
    <row r="332">
      <c r="G332" s="106"/>
      <c r="H332" s="105"/>
      <c r="I332" s="106"/>
      <c r="J332" s="106"/>
      <c r="K332" s="106"/>
      <c r="L332" s="106"/>
      <c r="M332" s="106"/>
      <c r="N332" s="106"/>
      <c r="O332" s="106"/>
      <c r="P332" s="106"/>
      <c r="Q332" s="106"/>
      <c r="AB332" s="106"/>
      <c r="AR332" s="65"/>
      <c r="AS332" s="65"/>
      <c r="AT332" s="65"/>
      <c r="BC332" s="23"/>
      <c r="BD332" s="23"/>
      <c r="BE332" s="23"/>
      <c r="BF332" s="66"/>
    </row>
    <row r="333">
      <c r="G333" s="106"/>
      <c r="H333" s="105"/>
      <c r="I333" s="106"/>
      <c r="J333" s="106"/>
      <c r="K333" s="106"/>
      <c r="L333" s="106"/>
      <c r="M333" s="106"/>
      <c r="N333" s="106"/>
      <c r="O333" s="106"/>
      <c r="P333" s="106"/>
      <c r="Q333" s="106"/>
      <c r="AB333" s="106"/>
      <c r="AR333" s="65"/>
      <c r="AS333" s="65"/>
      <c r="AT333" s="65"/>
      <c r="BC333" s="23"/>
      <c r="BD333" s="23"/>
      <c r="BE333" s="23"/>
      <c r="BF333" s="66"/>
    </row>
    <row r="334">
      <c r="G334" s="106"/>
      <c r="H334" s="105"/>
      <c r="I334" s="106"/>
      <c r="J334" s="106"/>
      <c r="K334" s="106"/>
      <c r="L334" s="106"/>
      <c r="M334" s="106"/>
      <c r="N334" s="106"/>
      <c r="O334" s="106"/>
      <c r="P334" s="106"/>
      <c r="Q334" s="106"/>
      <c r="AB334" s="106"/>
      <c r="AR334" s="65"/>
      <c r="AS334" s="65"/>
      <c r="AT334" s="65"/>
      <c r="BC334" s="23"/>
      <c r="BD334" s="23"/>
      <c r="BE334" s="23"/>
      <c r="BF334" s="66"/>
    </row>
    <row r="335">
      <c r="G335" s="106"/>
      <c r="H335" s="105"/>
      <c r="I335" s="106"/>
      <c r="J335" s="106"/>
      <c r="K335" s="106"/>
      <c r="L335" s="106"/>
      <c r="M335" s="106"/>
      <c r="N335" s="106"/>
      <c r="O335" s="106"/>
      <c r="P335" s="106"/>
      <c r="Q335" s="106"/>
      <c r="AB335" s="106"/>
      <c r="AR335" s="65"/>
      <c r="AS335" s="65"/>
      <c r="AT335" s="65"/>
      <c r="BC335" s="23"/>
      <c r="BD335" s="23"/>
      <c r="BE335" s="23"/>
      <c r="BF335" s="66"/>
    </row>
    <row r="336">
      <c r="G336" s="106"/>
      <c r="H336" s="105"/>
      <c r="I336" s="106"/>
      <c r="J336" s="106"/>
      <c r="K336" s="106"/>
      <c r="L336" s="106"/>
      <c r="M336" s="106"/>
      <c r="N336" s="106"/>
      <c r="O336" s="106"/>
      <c r="P336" s="106"/>
      <c r="Q336" s="106"/>
      <c r="AB336" s="106"/>
      <c r="AR336" s="65"/>
      <c r="AS336" s="65"/>
      <c r="AT336" s="65"/>
      <c r="BC336" s="23"/>
      <c r="BD336" s="23"/>
      <c r="BE336" s="23"/>
      <c r="BF336" s="66"/>
    </row>
    <row r="337">
      <c r="G337" s="106"/>
      <c r="H337" s="105"/>
      <c r="I337" s="106"/>
      <c r="J337" s="106"/>
      <c r="K337" s="106"/>
      <c r="L337" s="106"/>
      <c r="M337" s="106"/>
      <c r="N337" s="106"/>
      <c r="O337" s="106"/>
      <c r="P337" s="106"/>
      <c r="Q337" s="106"/>
      <c r="AB337" s="106"/>
      <c r="AR337" s="65"/>
      <c r="AS337" s="65"/>
      <c r="AT337" s="65"/>
      <c r="BC337" s="23"/>
      <c r="BD337" s="23"/>
      <c r="BE337" s="23"/>
      <c r="BF337" s="66"/>
    </row>
    <row r="338">
      <c r="G338" s="106"/>
      <c r="H338" s="105"/>
      <c r="I338" s="106"/>
      <c r="J338" s="106"/>
      <c r="K338" s="106"/>
      <c r="L338" s="106"/>
      <c r="M338" s="106"/>
      <c r="N338" s="106"/>
      <c r="O338" s="106"/>
      <c r="P338" s="106"/>
      <c r="Q338" s="106"/>
      <c r="AB338" s="106"/>
      <c r="AR338" s="65"/>
      <c r="AS338" s="65"/>
      <c r="AT338" s="65"/>
      <c r="BC338" s="23"/>
      <c r="BD338" s="23"/>
      <c r="BE338" s="23"/>
      <c r="BF338" s="66"/>
    </row>
    <row r="339">
      <c r="G339" s="106"/>
      <c r="H339" s="105"/>
      <c r="I339" s="106"/>
      <c r="J339" s="106"/>
      <c r="K339" s="106"/>
      <c r="L339" s="106"/>
      <c r="M339" s="106"/>
      <c r="N339" s="106"/>
      <c r="O339" s="106"/>
      <c r="P339" s="106"/>
      <c r="Q339" s="106"/>
      <c r="AB339" s="106"/>
      <c r="AR339" s="65"/>
      <c r="AS339" s="65"/>
      <c r="AT339" s="65"/>
      <c r="BC339" s="23"/>
      <c r="BD339" s="23"/>
      <c r="BE339" s="23"/>
      <c r="BF339" s="66"/>
    </row>
    <row r="340">
      <c r="G340" s="106"/>
      <c r="H340" s="105"/>
      <c r="I340" s="106"/>
      <c r="J340" s="106"/>
      <c r="K340" s="106"/>
      <c r="L340" s="106"/>
      <c r="M340" s="106"/>
      <c r="N340" s="106"/>
      <c r="O340" s="106"/>
      <c r="P340" s="106"/>
      <c r="Q340" s="106"/>
      <c r="AB340" s="106"/>
      <c r="AR340" s="65"/>
      <c r="AS340" s="65"/>
      <c r="AT340" s="65"/>
      <c r="BC340" s="23"/>
      <c r="BD340" s="23"/>
      <c r="BE340" s="23"/>
      <c r="BF340" s="66"/>
    </row>
    <row r="341">
      <c r="G341" s="106"/>
      <c r="H341" s="105"/>
      <c r="I341" s="106"/>
      <c r="J341" s="106"/>
      <c r="K341" s="106"/>
      <c r="L341" s="106"/>
      <c r="M341" s="106"/>
      <c r="N341" s="106"/>
      <c r="O341" s="106"/>
      <c r="P341" s="106"/>
      <c r="Q341" s="106"/>
      <c r="AB341" s="106"/>
      <c r="AR341" s="65"/>
      <c r="AS341" s="65"/>
      <c r="AT341" s="65"/>
      <c r="BC341" s="23"/>
      <c r="BD341" s="23"/>
      <c r="BE341" s="23"/>
      <c r="BF341" s="66"/>
    </row>
    <row r="342">
      <c r="G342" s="106"/>
      <c r="H342" s="105"/>
      <c r="I342" s="106"/>
      <c r="J342" s="106"/>
      <c r="K342" s="106"/>
      <c r="L342" s="106"/>
      <c r="M342" s="106"/>
      <c r="N342" s="106"/>
      <c r="O342" s="106"/>
      <c r="P342" s="106"/>
      <c r="Q342" s="106"/>
      <c r="AB342" s="106"/>
      <c r="AR342" s="65"/>
      <c r="AS342" s="65"/>
      <c r="AT342" s="65"/>
      <c r="BC342" s="23"/>
      <c r="BD342" s="23"/>
      <c r="BE342" s="23"/>
      <c r="BF342" s="66"/>
    </row>
    <row r="343">
      <c r="G343" s="106"/>
      <c r="H343" s="105"/>
      <c r="I343" s="106"/>
      <c r="J343" s="106"/>
      <c r="K343" s="106"/>
      <c r="L343" s="106"/>
      <c r="M343" s="106"/>
      <c r="N343" s="106"/>
      <c r="O343" s="106"/>
      <c r="P343" s="106"/>
      <c r="Q343" s="106"/>
      <c r="AB343" s="106"/>
      <c r="AR343" s="65"/>
      <c r="AS343" s="65"/>
      <c r="AT343" s="65"/>
      <c r="BC343" s="23"/>
      <c r="BD343" s="23"/>
      <c r="BE343" s="23"/>
      <c r="BF343" s="66"/>
    </row>
    <row r="344">
      <c r="G344" s="106"/>
      <c r="H344" s="105"/>
      <c r="I344" s="106"/>
      <c r="J344" s="106"/>
      <c r="K344" s="106"/>
      <c r="L344" s="106"/>
      <c r="M344" s="106"/>
      <c r="N344" s="106"/>
      <c r="O344" s="106"/>
      <c r="P344" s="106"/>
      <c r="Q344" s="106"/>
      <c r="AB344" s="106"/>
      <c r="AR344" s="65"/>
      <c r="AS344" s="65"/>
      <c r="AT344" s="65"/>
      <c r="BC344" s="23"/>
      <c r="BD344" s="23"/>
      <c r="BE344" s="23"/>
      <c r="BF344" s="66"/>
    </row>
    <row r="345">
      <c r="G345" s="106"/>
      <c r="H345" s="105"/>
      <c r="I345" s="106"/>
      <c r="J345" s="106"/>
      <c r="K345" s="106"/>
      <c r="L345" s="106"/>
      <c r="M345" s="106"/>
      <c r="N345" s="106"/>
      <c r="O345" s="106"/>
      <c r="P345" s="106"/>
      <c r="Q345" s="106"/>
      <c r="AB345" s="106"/>
      <c r="AR345" s="65"/>
      <c r="AS345" s="65"/>
      <c r="AT345" s="65"/>
      <c r="BC345" s="23"/>
      <c r="BD345" s="23"/>
      <c r="BE345" s="23"/>
      <c r="BF345" s="66"/>
    </row>
    <row r="346">
      <c r="G346" s="106"/>
      <c r="H346" s="105"/>
      <c r="I346" s="106"/>
      <c r="J346" s="106"/>
      <c r="K346" s="106"/>
      <c r="L346" s="106"/>
      <c r="M346" s="106"/>
      <c r="N346" s="106"/>
      <c r="O346" s="106"/>
      <c r="P346" s="106"/>
      <c r="Q346" s="106"/>
      <c r="AB346" s="106"/>
      <c r="AR346" s="65"/>
      <c r="AS346" s="65"/>
      <c r="AT346" s="65"/>
      <c r="BC346" s="23"/>
      <c r="BD346" s="23"/>
      <c r="BE346" s="23"/>
      <c r="BF346" s="66"/>
    </row>
    <row r="347">
      <c r="G347" s="106"/>
      <c r="H347" s="105"/>
      <c r="I347" s="106"/>
      <c r="J347" s="106"/>
      <c r="K347" s="106"/>
      <c r="L347" s="106"/>
      <c r="M347" s="106"/>
      <c r="N347" s="106"/>
      <c r="O347" s="106"/>
      <c r="P347" s="106"/>
      <c r="Q347" s="106"/>
      <c r="AB347" s="106"/>
      <c r="AR347" s="65"/>
      <c r="AS347" s="65"/>
      <c r="AT347" s="65"/>
      <c r="BC347" s="23"/>
      <c r="BD347" s="23"/>
      <c r="BE347" s="23"/>
      <c r="BF347" s="66"/>
    </row>
    <row r="348">
      <c r="G348" s="106"/>
      <c r="H348" s="105"/>
      <c r="I348" s="106"/>
      <c r="J348" s="106"/>
      <c r="K348" s="106"/>
      <c r="L348" s="106"/>
      <c r="M348" s="106"/>
      <c r="N348" s="106"/>
      <c r="O348" s="106"/>
      <c r="P348" s="106"/>
      <c r="Q348" s="106"/>
      <c r="AB348" s="106"/>
      <c r="AR348" s="65"/>
      <c r="AS348" s="65"/>
      <c r="AT348" s="65"/>
      <c r="BC348" s="23"/>
      <c r="BD348" s="23"/>
      <c r="BE348" s="23"/>
      <c r="BF348" s="66"/>
    </row>
    <row r="349">
      <c r="G349" s="106"/>
      <c r="H349" s="105"/>
      <c r="I349" s="106"/>
      <c r="J349" s="106"/>
      <c r="K349" s="106"/>
      <c r="L349" s="106"/>
      <c r="M349" s="106"/>
      <c r="N349" s="106"/>
      <c r="O349" s="106"/>
      <c r="P349" s="106"/>
      <c r="Q349" s="106"/>
      <c r="AB349" s="106"/>
      <c r="AR349" s="65"/>
      <c r="AS349" s="65"/>
      <c r="AT349" s="65"/>
      <c r="BC349" s="23"/>
      <c r="BD349" s="23"/>
      <c r="BE349" s="23"/>
      <c r="BF349" s="66"/>
    </row>
    <row r="350">
      <c r="G350" s="106"/>
      <c r="H350" s="105"/>
      <c r="I350" s="106"/>
      <c r="J350" s="106"/>
      <c r="K350" s="106"/>
      <c r="L350" s="106"/>
      <c r="M350" s="106"/>
      <c r="N350" s="106"/>
      <c r="O350" s="106"/>
      <c r="P350" s="106"/>
      <c r="Q350" s="106"/>
      <c r="AB350" s="106"/>
      <c r="AR350" s="65"/>
      <c r="AS350" s="65"/>
      <c r="AT350" s="65"/>
      <c r="BC350" s="23"/>
      <c r="BD350" s="23"/>
      <c r="BE350" s="23"/>
      <c r="BF350" s="66"/>
    </row>
    <row r="351">
      <c r="G351" s="106"/>
      <c r="H351" s="105"/>
      <c r="I351" s="106"/>
      <c r="J351" s="106"/>
      <c r="K351" s="106"/>
      <c r="L351" s="106"/>
      <c r="M351" s="106"/>
      <c r="N351" s="106"/>
      <c r="O351" s="106"/>
      <c r="P351" s="106"/>
      <c r="Q351" s="106"/>
      <c r="AB351" s="106"/>
      <c r="AR351" s="65"/>
      <c r="AS351" s="65"/>
      <c r="AT351" s="65"/>
      <c r="BC351" s="23"/>
      <c r="BD351" s="23"/>
      <c r="BE351" s="23"/>
      <c r="BF351" s="66"/>
    </row>
    <row r="352">
      <c r="G352" s="106"/>
      <c r="H352" s="105"/>
      <c r="I352" s="106"/>
      <c r="J352" s="106"/>
      <c r="K352" s="106"/>
      <c r="L352" s="106"/>
      <c r="M352" s="106"/>
      <c r="N352" s="106"/>
      <c r="O352" s="106"/>
      <c r="P352" s="106"/>
      <c r="Q352" s="106"/>
      <c r="AB352" s="106"/>
      <c r="AR352" s="65"/>
      <c r="AS352" s="65"/>
      <c r="AT352" s="65"/>
      <c r="BC352" s="23"/>
      <c r="BD352" s="23"/>
      <c r="BE352" s="23"/>
      <c r="BF352" s="66"/>
    </row>
    <row r="353">
      <c r="G353" s="106"/>
      <c r="H353" s="105"/>
      <c r="I353" s="106"/>
      <c r="J353" s="106"/>
      <c r="K353" s="106"/>
      <c r="L353" s="106"/>
      <c r="M353" s="106"/>
      <c r="N353" s="106"/>
      <c r="O353" s="106"/>
      <c r="P353" s="106"/>
      <c r="Q353" s="106"/>
      <c r="AB353" s="106"/>
      <c r="AR353" s="65"/>
      <c r="AS353" s="65"/>
      <c r="AT353" s="65"/>
      <c r="BC353" s="23"/>
      <c r="BD353" s="23"/>
      <c r="BE353" s="23"/>
      <c r="BF353" s="66"/>
    </row>
    <row r="354">
      <c r="G354" s="106"/>
      <c r="H354" s="105"/>
      <c r="I354" s="106"/>
      <c r="J354" s="106"/>
      <c r="K354" s="106"/>
      <c r="L354" s="106"/>
      <c r="M354" s="106"/>
      <c r="N354" s="106"/>
      <c r="O354" s="106"/>
      <c r="P354" s="106"/>
      <c r="Q354" s="106"/>
      <c r="AB354" s="106"/>
      <c r="AR354" s="65"/>
      <c r="AS354" s="65"/>
      <c r="AT354" s="65"/>
      <c r="BC354" s="23"/>
      <c r="BD354" s="23"/>
      <c r="BE354" s="23"/>
      <c r="BF354" s="66"/>
    </row>
    <row r="355">
      <c r="G355" s="106"/>
      <c r="H355" s="105"/>
      <c r="I355" s="106"/>
      <c r="J355" s="106"/>
      <c r="K355" s="106"/>
      <c r="L355" s="106"/>
      <c r="M355" s="106"/>
      <c r="N355" s="106"/>
      <c r="O355" s="106"/>
      <c r="P355" s="106"/>
      <c r="Q355" s="106"/>
      <c r="AB355" s="106"/>
      <c r="AR355" s="65"/>
      <c r="AS355" s="65"/>
      <c r="AT355" s="65"/>
      <c r="BC355" s="23"/>
      <c r="BD355" s="23"/>
      <c r="BE355" s="23"/>
      <c r="BF355" s="66"/>
    </row>
    <row r="356">
      <c r="G356" s="106"/>
      <c r="H356" s="105"/>
      <c r="I356" s="106"/>
      <c r="J356" s="106"/>
      <c r="K356" s="106"/>
      <c r="L356" s="106"/>
      <c r="M356" s="106"/>
      <c r="N356" s="106"/>
      <c r="O356" s="106"/>
      <c r="P356" s="106"/>
      <c r="Q356" s="106"/>
      <c r="AB356" s="106"/>
      <c r="AR356" s="65"/>
      <c r="AS356" s="65"/>
      <c r="AT356" s="65"/>
      <c r="BC356" s="23"/>
      <c r="BD356" s="23"/>
      <c r="BE356" s="23"/>
      <c r="BF356" s="66"/>
    </row>
    <row r="357">
      <c r="G357" s="106"/>
      <c r="H357" s="105"/>
      <c r="I357" s="106"/>
      <c r="J357" s="106"/>
      <c r="K357" s="106"/>
      <c r="L357" s="106"/>
      <c r="M357" s="106"/>
      <c r="N357" s="106"/>
      <c r="O357" s="106"/>
      <c r="P357" s="106"/>
      <c r="Q357" s="106"/>
      <c r="AB357" s="106"/>
      <c r="AR357" s="65"/>
      <c r="AS357" s="65"/>
      <c r="AT357" s="65"/>
      <c r="BC357" s="23"/>
      <c r="BD357" s="23"/>
      <c r="BE357" s="23"/>
      <c r="BF357" s="66"/>
    </row>
    <row r="358">
      <c r="G358" s="106"/>
      <c r="H358" s="105"/>
      <c r="I358" s="106"/>
      <c r="J358" s="106"/>
      <c r="K358" s="106"/>
      <c r="L358" s="106"/>
      <c r="M358" s="106"/>
      <c r="N358" s="106"/>
      <c r="O358" s="106"/>
      <c r="P358" s="106"/>
      <c r="Q358" s="106"/>
      <c r="AB358" s="106"/>
      <c r="AR358" s="65"/>
      <c r="AS358" s="65"/>
      <c r="AT358" s="65"/>
      <c r="BC358" s="23"/>
      <c r="BD358" s="23"/>
      <c r="BE358" s="23"/>
      <c r="BF358" s="66"/>
    </row>
    <row r="359">
      <c r="G359" s="106"/>
      <c r="H359" s="105"/>
      <c r="I359" s="106"/>
      <c r="J359" s="106"/>
      <c r="K359" s="106"/>
      <c r="L359" s="106"/>
      <c r="M359" s="106"/>
      <c r="N359" s="106"/>
      <c r="O359" s="106"/>
      <c r="P359" s="106"/>
      <c r="Q359" s="106"/>
      <c r="AB359" s="106"/>
      <c r="AR359" s="65"/>
      <c r="AS359" s="65"/>
      <c r="AT359" s="65"/>
      <c r="BC359" s="23"/>
      <c r="BD359" s="23"/>
      <c r="BE359" s="23"/>
      <c r="BF359" s="66"/>
    </row>
    <row r="360">
      <c r="G360" s="106"/>
      <c r="H360" s="105"/>
      <c r="I360" s="106"/>
      <c r="J360" s="106"/>
      <c r="K360" s="106"/>
      <c r="L360" s="106"/>
      <c r="M360" s="106"/>
      <c r="N360" s="106"/>
      <c r="O360" s="106"/>
      <c r="P360" s="106"/>
      <c r="Q360" s="106"/>
      <c r="AB360" s="106"/>
      <c r="AR360" s="65"/>
      <c r="AS360" s="65"/>
      <c r="AT360" s="65"/>
      <c r="BC360" s="23"/>
      <c r="BD360" s="23"/>
      <c r="BE360" s="23"/>
      <c r="BF360" s="66"/>
    </row>
    <row r="361">
      <c r="G361" s="106"/>
      <c r="H361" s="105"/>
      <c r="I361" s="106"/>
      <c r="J361" s="106"/>
      <c r="K361" s="106"/>
      <c r="L361" s="106"/>
      <c r="M361" s="106"/>
      <c r="N361" s="106"/>
      <c r="O361" s="106"/>
      <c r="P361" s="106"/>
      <c r="Q361" s="106"/>
      <c r="AB361" s="106"/>
      <c r="AR361" s="65"/>
      <c r="AS361" s="65"/>
      <c r="AT361" s="65"/>
      <c r="BC361" s="23"/>
      <c r="BD361" s="23"/>
      <c r="BE361" s="23"/>
      <c r="BF361" s="66"/>
    </row>
    <row r="362">
      <c r="G362" s="106"/>
      <c r="H362" s="105"/>
      <c r="I362" s="106"/>
      <c r="J362" s="106"/>
      <c r="K362" s="106"/>
      <c r="L362" s="106"/>
      <c r="M362" s="106"/>
      <c r="N362" s="106"/>
      <c r="O362" s="106"/>
      <c r="P362" s="106"/>
      <c r="Q362" s="106"/>
      <c r="AB362" s="106"/>
      <c r="AR362" s="65"/>
      <c r="AS362" s="65"/>
      <c r="AT362" s="65"/>
      <c r="BC362" s="23"/>
      <c r="BD362" s="23"/>
      <c r="BE362" s="23"/>
      <c r="BF362" s="66"/>
    </row>
    <row r="363">
      <c r="G363" s="106"/>
      <c r="H363" s="105"/>
      <c r="I363" s="106"/>
      <c r="J363" s="106"/>
      <c r="K363" s="106"/>
      <c r="L363" s="106"/>
      <c r="M363" s="106"/>
      <c r="N363" s="106"/>
      <c r="O363" s="106"/>
      <c r="P363" s="106"/>
      <c r="Q363" s="106"/>
      <c r="AB363" s="106"/>
      <c r="AR363" s="65"/>
      <c r="AS363" s="65"/>
      <c r="AT363" s="65"/>
      <c r="BC363" s="23"/>
      <c r="BD363" s="23"/>
      <c r="BE363" s="23"/>
      <c r="BF363" s="66"/>
    </row>
    <row r="364">
      <c r="G364" s="106"/>
      <c r="H364" s="105"/>
      <c r="I364" s="106"/>
      <c r="J364" s="106"/>
      <c r="K364" s="106"/>
      <c r="L364" s="106"/>
      <c r="M364" s="106"/>
      <c r="N364" s="106"/>
      <c r="O364" s="106"/>
      <c r="P364" s="106"/>
      <c r="Q364" s="106"/>
      <c r="AB364" s="106"/>
      <c r="AR364" s="65"/>
      <c r="AS364" s="65"/>
      <c r="AT364" s="65"/>
      <c r="BC364" s="23"/>
      <c r="BD364" s="23"/>
      <c r="BE364" s="23"/>
      <c r="BF364" s="66"/>
    </row>
    <row r="365">
      <c r="G365" s="106"/>
      <c r="H365" s="105"/>
      <c r="I365" s="106"/>
      <c r="J365" s="106"/>
      <c r="K365" s="106"/>
      <c r="L365" s="106"/>
      <c r="M365" s="106"/>
      <c r="N365" s="106"/>
      <c r="O365" s="106"/>
      <c r="P365" s="106"/>
      <c r="Q365" s="106"/>
      <c r="AB365" s="106"/>
      <c r="AR365" s="65"/>
      <c r="AS365" s="65"/>
      <c r="AT365" s="65"/>
      <c r="BC365" s="23"/>
      <c r="BD365" s="23"/>
      <c r="BE365" s="23"/>
      <c r="BF365" s="66"/>
    </row>
    <row r="366">
      <c r="G366" s="106"/>
      <c r="H366" s="105"/>
      <c r="I366" s="106"/>
      <c r="J366" s="106"/>
      <c r="K366" s="106"/>
      <c r="L366" s="106"/>
      <c r="M366" s="106"/>
      <c r="N366" s="106"/>
      <c r="O366" s="106"/>
      <c r="P366" s="106"/>
      <c r="Q366" s="106"/>
      <c r="AB366" s="106"/>
      <c r="AR366" s="65"/>
      <c r="AS366" s="65"/>
      <c r="AT366" s="65"/>
      <c r="BC366" s="23"/>
      <c r="BD366" s="23"/>
      <c r="BE366" s="23"/>
      <c r="BF366" s="66"/>
    </row>
    <row r="367">
      <c r="G367" s="106"/>
      <c r="H367" s="105"/>
      <c r="I367" s="106"/>
      <c r="J367" s="106"/>
      <c r="K367" s="106"/>
      <c r="L367" s="106"/>
      <c r="M367" s="106"/>
      <c r="N367" s="106"/>
      <c r="O367" s="106"/>
      <c r="P367" s="106"/>
      <c r="Q367" s="106"/>
      <c r="AB367" s="106"/>
      <c r="AR367" s="65"/>
      <c r="AS367" s="65"/>
      <c r="AT367" s="65"/>
      <c r="BC367" s="23"/>
      <c r="BD367" s="23"/>
      <c r="BE367" s="23"/>
      <c r="BF367" s="66"/>
    </row>
    <row r="368">
      <c r="G368" s="106"/>
      <c r="H368" s="105"/>
      <c r="I368" s="106"/>
      <c r="J368" s="106"/>
      <c r="K368" s="106"/>
      <c r="L368" s="106"/>
      <c r="M368" s="106"/>
      <c r="N368" s="106"/>
      <c r="O368" s="106"/>
      <c r="P368" s="106"/>
      <c r="Q368" s="106"/>
      <c r="AB368" s="106"/>
      <c r="AR368" s="65"/>
      <c r="AS368" s="65"/>
      <c r="AT368" s="65"/>
      <c r="BC368" s="23"/>
      <c r="BD368" s="23"/>
      <c r="BE368" s="23"/>
      <c r="BF368" s="66"/>
    </row>
    <row r="369">
      <c r="G369" s="106"/>
      <c r="H369" s="105"/>
      <c r="I369" s="106"/>
      <c r="J369" s="106"/>
      <c r="K369" s="106"/>
      <c r="L369" s="106"/>
      <c r="M369" s="106"/>
      <c r="N369" s="106"/>
      <c r="O369" s="106"/>
      <c r="P369" s="106"/>
      <c r="Q369" s="106"/>
      <c r="AB369" s="106"/>
      <c r="AR369" s="65"/>
      <c r="AS369" s="65"/>
      <c r="AT369" s="65"/>
      <c r="BC369" s="23"/>
      <c r="BD369" s="23"/>
      <c r="BE369" s="23"/>
      <c r="BF369" s="66"/>
    </row>
    <row r="370">
      <c r="G370" s="106"/>
      <c r="H370" s="105"/>
      <c r="I370" s="106"/>
      <c r="J370" s="106"/>
      <c r="K370" s="106"/>
      <c r="L370" s="106"/>
      <c r="M370" s="106"/>
      <c r="N370" s="106"/>
      <c r="O370" s="106"/>
      <c r="P370" s="106"/>
      <c r="Q370" s="106"/>
      <c r="AB370" s="106"/>
      <c r="AR370" s="65"/>
      <c r="AS370" s="65"/>
      <c r="AT370" s="65"/>
      <c r="BC370" s="23"/>
      <c r="BD370" s="23"/>
      <c r="BE370" s="23"/>
      <c r="BF370" s="66"/>
    </row>
    <row r="371">
      <c r="G371" s="106"/>
      <c r="H371" s="105"/>
      <c r="I371" s="106"/>
      <c r="J371" s="106"/>
      <c r="K371" s="106"/>
      <c r="L371" s="106"/>
      <c r="M371" s="106"/>
      <c r="N371" s="106"/>
      <c r="O371" s="106"/>
      <c r="P371" s="106"/>
      <c r="Q371" s="106"/>
      <c r="AB371" s="106"/>
      <c r="AR371" s="65"/>
      <c r="AS371" s="65"/>
      <c r="AT371" s="65"/>
      <c r="BC371" s="23"/>
      <c r="BD371" s="23"/>
      <c r="BE371" s="23"/>
      <c r="BF371" s="66"/>
    </row>
    <row r="372">
      <c r="G372" s="106"/>
      <c r="H372" s="105"/>
      <c r="I372" s="106"/>
      <c r="J372" s="106"/>
      <c r="K372" s="106"/>
      <c r="L372" s="106"/>
      <c r="M372" s="106"/>
      <c r="N372" s="106"/>
      <c r="O372" s="106"/>
      <c r="P372" s="106"/>
      <c r="Q372" s="106"/>
      <c r="AB372" s="106"/>
      <c r="AR372" s="65"/>
      <c r="AS372" s="65"/>
      <c r="AT372" s="65"/>
      <c r="BC372" s="23"/>
      <c r="BD372" s="23"/>
      <c r="BE372" s="23"/>
      <c r="BF372" s="66"/>
    </row>
    <row r="373">
      <c r="G373" s="106"/>
      <c r="H373" s="105"/>
      <c r="I373" s="106"/>
      <c r="J373" s="106"/>
      <c r="K373" s="106"/>
      <c r="L373" s="106"/>
      <c r="M373" s="106"/>
      <c r="N373" s="106"/>
      <c r="O373" s="106"/>
      <c r="P373" s="106"/>
      <c r="Q373" s="106"/>
      <c r="AB373" s="106"/>
      <c r="AR373" s="65"/>
      <c r="AS373" s="65"/>
      <c r="AT373" s="65"/>
      <c r="BC373" s="23"/>
      <c r="BD373" s="23"/>
      <c r="BE373" s="23"/>
      <c r="BF373" s="66"/>
    </row>
    <row r="374">
      <c r="G374" s="106"/>
      <c r="H374" s="105"/>
      <c r="I374" s="106"/>
      <c r="J374" s="106"/>
      <c r="K374" s="106"/>
      <c r="L374" s="106"/>
      <c r="M374" s="106"/>
      <c r="N374" s="106"/>
      <c r="O374" s="106"/>
      <c r="P374" s="106"/>
      <c r="Q374" s="106"/>
      <c r="AB374" s="106"/>
      <c r="AR374" s="65"/>
      <c r="AS374" s="65"/>
      <c r="AT374" s="65"/>
      <c r="BC374" s="23"/>
      <c r="BD374" s="23"/>
      <c r="BE374" s="23"/>
      <c r="BF374" s="66"/>
    </row>
    <row r="375">
      <c r="G375" s="106"/>
      <c r="H375" s="105"/>
      <c r="I375" s="106"/>
      <c r="J375" s="106"/>
      <c r="K375" s="106"/>
      <c r="L375" s="106"/>
      <c r="M375" s="106"/>
      <c r="N375" s="106"/>
      <c r="O375" s="106"/>
      <c r="P375" s="106"/>
      <c r="Q375" s="106"/>
      <c r="AB375" s="106"/>
      <c r="AR375" s="65"/>
      <c r="AS375" s="65"/>
      <c r="AT375" s="65"/>
      <c r="BC375" s="23"/>
      <c r="BD375" s="23"/>
      <c r="BE375" s="23"/>
      <c r="BF375" s="66"/>
    </row>
    <row r="376">
      <c r="G376" s="106"/>
      <c r="H376" s="105"/>
      <c r="I376" s="106"/>
      <c r="J376" s="106"/>
      <c r="K376" s="106"/>
      <c r="L376" s="106"/>
      <c r="M376" s="106"/>
      <c r="N376" s="106"/>
      <c r="O376" s="106"/>
      <c r="P376" s="106"/>
      <c r="Q376" s="106"/>
      <c r="AB376" s="106"/>
      <c r="AR376" s="65"/>
      <c r="AS376" s="65"/>
      <c r="AT376" s="65"/>
      <c r="BC376" s="23"/>
      <c r="BD376" s="23"/>
      <c r="BE376" s="23"/>
      <c r="BF376" s="66"/>
    </row>
    <row r="377">
      <c r="G377" s="106"/>
      <c r="H377" s="105"/>
      <c r="I377" s="106"/>
      <c r="J377" s="106"/>
      <c r="K377" s="106"/>
      <c r="L377" s="106"/>
      <c r="M377" s="106"/>
      <c r="N377" s="106"/>
      <c r="O377" s="106"/>
      <c r="P377" s="106"/>
      <c r="Q377" s="106"/>
      <c r="AB377" s="106"/>
      <c r="AR377" s="65"/>
      <c r="AS377" s="65"/>
      <c r="AT377" s="65"/>
      <c r="BC377" s="23"/>
      <c r="BD377" s="23"/>
      <c r="BE377" s="23"/>
      <c r="BF377" s="66"/>
    </row>
    <row r="378">
      <c r="G378" s="106"/>
      <c r="H378" s="105"/>
      <c r="I378" s="106"/>
      <c r="J378" s="106"/>
      <c r="K378" s="106"/>
      <c r="L378" s="106"/>
      <c r="M378" s="106"/>
      <c r="N378" s="106"/>
      <c r="O378" s="106"/>
      <c r="P378" s="106"/>
      <c r="Q378" s="106"/>
      <c r="AB378" s="106"/>
      <c r="AR378" s="65"/>
      <c r="AS378" s="65"/>
      <c r="AT378" s="65"/>
      <c r="BC378" s="23"/>
      <c r="BD378" s="23"/>
      <c r="BE378" s="23"/>
      <c r="BF378" s="66"/>
    </row>
    <row r="379">
      <c r="G379" s="106"/>
      <c r="H379" s="105"/>
      <c r="I379" s="106"/>
      <c r="J379" s="106"/>
      <c r="K379" s="106"/>
      <c r="L379" s="106"/>
      <c r="M379" s="106"/>
      <c r="N379" s="106"/>
      <c r="O379" s="106"/>
      <c r="P379" s="106"/>
      <c r="Q379" s="106"/>
      <c r="AB379" s="106"/>
      <c r="AR379" s="65"/>
      <c r="AS379" s="65"/>
      <c r="AT379" s="65"/>
      <c r="BC379" s="23"/>
      <c r="BD379" s="23"/>
      <c r="BE379" s="23"/>
      <c r="BF379" s="66"/>
    </row>
    <row r="380">
      <c r="G380" s="106"/>
      <c r="H380" s="105"/>
      <c r="I380" s="106"/>
      <c r="J380" s="106"/>
      <c r="K380" s="106"/>
      <c r="L380" s="106"/>
      <c r="M380" s="106"/>
      <c r="N380" s="106"/>
      <c r="O380" s="106"/>
      <c r="P380" s="106"/>
      <c r="Q380" s="106"/>
      <c r="AB380" s="106"/>
      <c r="AR380" s="65"/>
      <c r="AS380" s="65"/>
      <c r="AT380" s="65"/>
      <c r="BC380" s="23"/>
      <c r="BD380" s="23"/>
      <c r="BE380" s="23"/>
      <c r="BF380" s="66"/>
    </row>
    <row r="381">
      <c r="G381" s="106"/>
      <c r="H381" s="105"/>
      <c r="I381" s="106"/>
      <c r="J381" s="106"/>
      <c r="K381" s="106"/>
      <c r="L381" s="106"/>
      <c r="M381" s="106"/>
      <c r="N381" s="106"/>
      <c r="O381" s="106"/>
      <c r="P381" s="106"/>
      <c r="Q381" s="106"/>
      <c r="AB381" s="106"/>
      <c r="AR381" s="65"/>
      <c r="AS381" s="65"/>
      <c r="AT381" s="65"/>
      <c r="BC381" s="23"/>
      <c r="BD381" s="23"/>
      <c r="BE381" s="23"/>
      <c r="BF381" s="66"/>
    </row>
    <row r="382">
      <c r="G382" s="106"/>
      <c r="H382" s="105"/>
      <c r="I382" s="106"/>
      <c r="J382" s="106"/>
      <c r="K382" s="106"/>
      <c r="L382" s="106"/>
      <c r="M382" s="106"/>
      <c r="N382" s="106"/>
      <c r="O382" s="106"/>
      <c r="P382" s="106"/>
      <c r="Q382" s="106"/>
      <c r="AB382" s="106"/>
      <c r="AR382" s="65"/>
      <c r="AS382" s="65"/>
      <c r="AT382" s="65"/>
      <c r="BC382" s="23"/>
      <c r="BD382" s="23"/>
      <c r="BE382" s="23"/>
      <c r="BF382" s="66"/>
    </row>
    <row r="383">
      <c r="G383" s="106"/>
      <c r="H383" s="105"/>
      <c r="I383" s="106"/>
      <c r="J383" s="106"/>
      <c r="K383" s="106"/>
      <c r="L383" s="106"/>
      <c r="M383" s="106"/>
      <c r="N383" s="106"/>
      <c r="O383" s="106"/>
      <c r="P383" s="106"/>
      <c r="Q383" s="106"/>
      <c r="AB383" s="106"/>
      <c r="AR383" s="65"/>
      <c r="AS383" s="65"/>
      <c r="AT383" s="65"/>
      <c r="BC383" s="23"/>
      <c r="BD383" s="23"/>
      <c r="BE383" s="23"/>
      <c r="BF383" s="66"/>
    </row>
    <row r="384">
      <c r="G384" s="106"/>
      <c r="H384" s="105"/>
      <c r="I384" s="106"/>
      <c r="J384" s="106"/>
      <c r="K384" s="106"/>
      <c r="L384" s="106"/>
      <c r="M384" s="106"/>
      <c r="N384" s="106"/>
      <c r="O384" s="106"/>
      <c r="P384" s="106"/>
      <c r="Q384" s="106"/>
      <c r="AB384" s="106"/>
      <c r="AR384" s="65"/>
      <c r="AS384" s="65"/>
      <c r="AT384" s="65"/>
      <c r="BC384" s="23"/>
      <c r="BD384" s="23"/>
      <c r="BE384" s="23"/>
      <c r="BF384" s="66"/>
    </row>
    <row r="385">
      <c r="G385" s="106"/>
      <c r="H385" s="105"/>
      <c r="I385" s="106"/>
      <c r="J385" s="106"/>
      <c r="K385" s="106"/>
      <c r="L385" s="106"/>
      <c r="M385" s="106"/>
      <c r="N385" s="106"/>
      <c r="O385" s="106"/>
      <c r="P385" s="106"/>
      <c r="Q385" s="106"/>
      <c r="AB385" s="106"/>
      <c r="AR385" s="65"/>
      <c r="AS385" s="65"/>
      <c r="AT385" s="65"/>
      <c r="BC385" s="23"/>
      <c r="BD385" s="23"/>
      <c r="BE385" s="23"/>
      <c r="BF385" s="66"/>
    </row>
    <row r="386">
      <c r="G386" s="106"/>
      <c r="H386" s="105"/>
      <c r="I386" s="106"/>
      <c r="J386" s="106"/>
      <c r="K386" s="106"/>
      <c r="L386" s="106"/>
      <c r="M386" s="106"/>
      <c r="N386" s="106"/>
      <c r="O386" s="106"/>
      <c r="P386" s="106"/>
      <c r="Q386" s="106"/>
      <c r="AB386" s="106"/>
      <c r="AR386" s="65"/>
      <c r="AS386" s="65"/>
      <c r="AT386" s="65"/>
      <c r="BC386" s="23"/>
      <c r="BD386" s="23"/>
      <c r="BE386" s="23"/>
      <c r="BF386" s="66"/>
    </row>
    <row r="387">
      <c r="G387" s="106"/>
      <c r="H387" s="105"/>
      <c r="I387" s="106"/>
      <c r="J387" s="106"/>
      <c r="K387" s="106"/>
      <c r="L387" s="106"/>
      <c r="M387" s="106"/>
      <c r="N387" s="106"/>
      <c r="O387" s="106"/>
      <c r="P387" s="106"/>
      <c r="Q387" s="106"/>
      <c r="AB387" s="106"/>
      <c r="AR387" s="65"/>
      <c r="AS387" s="65"/>
      <c r="AT387" s="65"/>
      <c r="BC387" s="23"/>
      <c r="BD387" s="23"/>
      <c r="BE387" s="23"/>
      <c r="BF387" s="66"/>
    </row>
    <row r="388">
      <c r="G388" s="106"/>
      <c r="H388" s="105"/>
      <c r="I388" s="106"/>
      <c r="J388" s="106"/>
      <c r="K388" s="106"/>
      <c r="L388" s="106"/>
      <c r="M388" s="106"/>
      <c r="N388" s="106"/>
      <c r="O388" s="106"/>
      <c r="P388" s="106"/>
      <c r="Q388" s="106"/>
      <c r="AB388" s="106"/>
      <c r="AR388" s="65"/>
      <c r="AS388" s="65"/>
      <c r="AT388" s="65"/>
      <c r="BC388" s="23"/>
      <c r="BD388" s="23"/>
      <c r="BE388" s="23"/>
      <c r="BF388" s="66"/>
    </row>
    <row r="389">
      <c r="G389" s="106"/>
      <c r="H389" s="105"/>
      <c r="I389" s="106"/>
      <c r="J389" s="106"/>
      <c r="K389" s="106"/>
      <c r="L389" s="106"/>
      <c r="M389" s="106"/>
      <c r="N389" s="106"/>
      <c r="O389" s="106"/>
      <c r="P389" s="106"/>
      <c r="Q389" s="106"/>
      <c r="AB389" s="106"/>
      <c r="AR389" s="65"/>
      <c r="AS389" s="65"/>
      <c r="AT389" s="65"/>
      <c r="BC389" s="23"/>
      <c r="BD389" s="23"/>
      <c r="BE389" s="23"/>
      <c r="BF389" s="66"/>
    </row>
    <row r="390">
      <c r="G390" s="106"/>
      <c r="H390" s="105"/>
      <c r="I390" s="106"/>
      <c r="J390" s="106"/>
      <c r="K390" s="106"/>
      <c r="L390" s="106"/>
      <c r="M390" s="106"/>
      <c r="N390" s="106"/>
      <c r="O390" s="106"/>
      <c r="P390" s="106"/>
      <c r="Q390" s="106"/>
      <c r="AB390" s="106"/>
      <c r="AR390" s="65"/>
      <c r="AS390" s="65"/>
      <c r="AT390" s="65"/>
      <c r="BC390" s="23"/>
      <c r="BD390" s="23"/>
      <c r="BE390" s="23"/>
      <c r="BF390" s="66"/>
    </row>
    <row r="391">
      <c r="G391" s="106"/>
      <c r="H391" s="105"/>
      <c r="I391" s="106"/>
      <c r="J391" s="106"/>
      <c r="K391" s="106"/>
      <c r="L391" s="106"/>
      <c r="M391" s="106"/>
      <c r="N391" s="106"/>
      <c r="O391" s="106"/>
      <c r="P391" s="106"/>
      <c r="Q391" s="106"/>
      <c r="AB391" s="106"/>
      <c r="AR391" s="65"/>
      <c r="AS391" s="65"/>
      <c r="AT391" s="65"/>
      <c r="BC391" s="23"/>
      <c r="BD391" s="23"/>
      <c r="BE391" s="23"/>
      <c r="BF391" s="66"/>
    </row>
    <row r="392">
      <c r="G392" s="106"/>
      <c r="H392" s="105"/>
      <c r="I392" s="106"/>
      <c r="J392" s="106"/>
      <c r="K392" s="106"/>
      <c r="L392" s="106"/>
      <c r="M392" s="106"/>
      <c r="N392" s="106"/>
      <c r="O392" s="106"/>
      <c r="P392" s="106"/>
      <c r="Q392" s="106"/>
      <c r="AB392" s="106"/>
      <c r="AR392" s="65"/>
      <c r="AS392" s="65"/>
      <c r="AT392" s="65"/>
      <c r="BC392" s="23"/>
      <c r="BD392" s="23"/>
      <c r="BE392" s="23"/>
      <c r="BF392" s="66"/>
    </row>
    <row r="393">
      <c r="G393" s="106"/>
      <c r="H393" s="105"/>
      <c r="I393" s="106"/>
      <c r="J393" s="106"/>
      <c r="K393" s="106"/>
      <c r="L393" s="106"/>
      <c r="M393" s="106"/>
      <c r="N393" s="106"/>
      <c r="O393" s="106"/>
      <c r="P393" s="106"/>
      <c r="Q393" s="106"/>
      <c r="AB393" s="106"/>
      <c r="AR393" s="65"/>
      <c r="AS393" s="65"/>
      <c r="AT393" s="65"/>
      <c r="BC393" s="23"/>
      <c r="BD393" s="23"/>
      <c r="BE393" s="23"/>
      <c r="BF393" s="66"/>
    </row>
    <row r="394">
      <c r="G394" s="106"/>
      <c r="H394" s="105"/>
      <c r="I394" s="106"/>
      <c r="J394" s="106"/>
      <c r="K394" s="106"/>
      <c r="L394" s="106"/>
      <c r="M394" s="106"/>
      <c r="N394" s="106"/>
      <c r="O394" s="106"/>
      <c r="P394" s="106"/>
      <c r="Q394" s="106"/>
      <c r="AB394" s="106"/>
      <c r="AR394" s="65"/>
      <c r="AS394" s="65"/>
      <c r="AT394" s="65"/>
      <c r="BC394" s="23"/>
      <c r="BD394" s="23"/>
      <c r="BE394" s="23"/>
      <c r="BF394" s="66"/>
    </row>
    <row r="395">
      <c r="G395" s="106"/>
      <c r="H395" s="105"/>
      <c r="I395" s="106"/>
      <c r="J395" s="106"/>
      <c r="K395" s="106"/>
      <c r="L395" s="106"/>
      <c r="M395" s="106"/>
      <c r="N395" s="106"/>
      <c r="O395" s="106"/>
      <c r="P395" s="106"/>
      <c r="Q395" s="106"/>
      <c r="AB395" s="106"/>
      <c r="AR395" s="65"/>
      <c r="AS395" s="65"/>
      <c r="AT395" s="65"/>
      <c r="BC395" s="23"/>
      <c r="BD395" s="23"/>
      <c r="BE395" s="23"/>
      <c r="BF395" s="66"/>
    </row>
    <row r="396">
      <c r="G396" s="106"/>
      <c r="H396" s="105"/>
      <c r="I396" s="106"/>
      <c r="J396" s="106"/>
      <c r="K396" s="106"/>
      <c r="L396" s="106"/>
      <c r="M396" s="106"/>
      <c r="N396" s="106"/>
      <c r="O396" s="106"/>
      <c r="P396" s="106"/>
      <c r="Q396" s="106"/>
      <c r="AB396" s="106"/>
      <c r="AR396" s="65"/>
      <c r="AS396" s="65"/>
      <c r="AT396" s="65"/>
      <c r="BC396" s="23"/>
      <c r="BD396" s="23"/>
      <c r="BE396" s="23"/>
      <c r="BF396" s="66"/>
    </row>
    <row r="397">
      <c r="G397" s="106"/>
      <c r="H397" s="105"/>
      <c r="I397" s="106"/>
      <c r="J397" s="106"/>
      <c r="K397" s="106"/>
      <c r="L397" s="106"/>
      <c r="M397" s="106"/>
      <c r="N397" s="106"/>
      <c r="O397" s="106"/>
      <c r="P397" s="106"/>
      <c r="Q397" s="106"/>
      <c r="AB397" s="106"/>
      <c r="AR397" s="65"/>
      <c r="AS397" s="65"/>
      <c r="AT397" s="65"/>
      <c r="BC397" s="23"/>
      <c r="BD397" s="23"/>
      <c r="BE397" s="23"/>
      <c r="BF397" s="66"/>
    </row>
    <row r="398">
      <c r="G398" s="106"/>
      <c r="H398" s="105"/>
      <c r="I398" s="106"/>
      <c r="J398" s="106"/>
      <c r="K398" s="106"/>
      <c r="L398" s="106"/>
      <c r="M398" s="106"/>
      <c r="N398" s="106"/>
      <c r="O398" s="106"/>
      <c r="P398" s="106"/>
      <c r="Q398" s="106"/>
      <c r="AB398" s="106"/>
      <c r="AR398" s="65"/>
      <c r="AS398" s="65"/>
      <c r="AT398" s="65"/>
      <c r="BC398" s="23"/>
      <c r="BD398" s="23"/>
      <c r="BE398" s="23"/>
      <c r="BF398" s="66"/>
    </row>
    <row r="399">
      <c r="G399" s="106"/>
      <c r="H399" s="105"/>
      <c r="I399" s="106"/>
      <c r="J399" s="106"/>
      <c r="K399" s="106"/>
      <c r="L399" s="106"/>
      <c r="M399" s="106"/>
      <c r="N399" s="106"/>
      <c r="O399" s="106"/>
      <c r="P399" s="106"/>
      <c r="Q399" s="106"/>
      <c r="AB399" s="106"/>
      <c r="AR399" s="65"/>
      <c r="AS399" s="65"/>
      <c r="AT399" s="65"/>
      <c r="BC399" s="23"/>
      <c r="BD399" s="23"/>
      <c r="BE399" s="23"/>
      <c r="BF399" s="66"/>
    </row>
    <row r="400">
      <c r="G400" s="106"/>
      <c r="H400" s="105"/>
      <c r="I400" s="106"/>
      <c r="J400" s="106"/>
      <c r="K400" s="106"/>
      <c r="L400" s="106"/>
      <c r="M400" s="106"/>
      <c r="N400" s="106"/>
      <c r="O400" s="106"/>
      <c r="P400" s="106"/>
      <c r="Q400" s="106"/>
      <c r="AB400" s="106"/>
      <c r="AR400" s="65"/>
      <c r="AS400" s="65"/>
      <c r="AT400" s="65"/>
      <c r="BC400" s="23"/>
      <c r="BD400" s="23"/>
      <c r="BE400" s="23"/>
      <c r="BF400" s="66"/>
    </row>
    <row r="401">
      <c r="G401" s="106"/>
      <c r="H401" s="105"/>
      <c r="I401" s="106"/>
      <c r="J401" s="106"/>
      <c r="K401" s="106"/>
      <c r="L401" s="106"/>
      <c r="M401" s="106"/>
      <c r="N401" s="106"/>
      <c r="O401" s="106"/>
      <c r="P401" s="106"/>
      <c r="Q401" s="106"/>
      <c r="AB401" s="106"/>
      <c r="AR401" s="65"/>
      <c r="AS401" s="65"/>
      <c r="AT401" s="65"/>
      <c r="BC401" s="23"/>
      <c r="BD401" s="23"/>
      <c r="BE401" s="23"/>
      <c r="BF401" s="66"/>
    </row>
    <row r="402">
      <c r="G402" s="106"/>
      <c r="H402" s="105"/>
      <c r="I402" s="106"/>
      <c r="J402" s="106"/>
      <c r="K402" s="106"/>
      <c r="L402" s="106"/>
      <c r="M402" s="106"/>
      <c r="N402" s="106"/>
      <c r="O402" s="106"/>
      <c r="P402" s="106"/>
      <c r="Q402" s="106"/>
      <c r="AB402" s="106"/>
      <c r="AR402" s="65"/>
      <c r="AS402" s="65"/>
      <c r="AT402" s="65"/>
      <c r="BC402" s="23"/>
      <c r="BD402" s="23"/>
      <c r="BE402" s="23"/>
      <c r="BF402" s="66"/>
    </row>
    <row r="403">
      <c r="G403" s="106"/>
      <c r="H403" s="105"/>
      <c r="I403" s="106"/>
      <c r="J403" s="106"/>
      <c r="K403" s="106"/>
      <c r="L403" s="106"/>
      <c r="M403" s="106"/>
      <c r="N403" s="106"/>
      <c r="O403" s="106"/>
      <c r="P403" s="106"/>
      <c r="Q403" s="106"/>
      <c r="AB403" s="106"/>
      <c r="AR403" s="65"/>
      <c r="AS403" s="65"/>
      <c r="AT403" s="65"/>
      <c r="BC403" s="23"/>
      <c r="BD403" s="23"/>
      <c r="BE403" s="23"/>
      <c r="BF403" s="66"/>
    </row>
    <row r="404">
      <c r="G404" s="106"/>
      <c r="H404" s="105"/>
      <c r="I404" s="106"/>
      <c r="J404" s="106"/>
      <c r="K404" s="106"/>
      <c r="L404" s="106"/>
      <c r="M404" s="106"/>
      <c r="N404" s="106"/>
      <c r="O404" s="106"/>
      <c r="P404" s="106"/>
      <c r="Q404" s="106"/>
      <c r="AB404" s="106"/>
      <c r="AR404" s="65"/>
      <c r="AS404" s="65"/>
      <c r="AT404" s="65"/>
      <c r="BC404" s="23"/>
      <c r="BD404" s="23"/>
      <c r="BE404" s="23"/>
      <c r="BF404" s="66"/>
    </row>
    <row r="405">
      <c r="G405" s="106"/>
      <c r="H405" s="105"/>
      <c r="I405" s="106"/>
      <c r="J405" s="106"/>
      <c r="K405" s="106"/>
      <c r="L405" s="106"/>
      <c r="M405" s="106"/>
      <c r="N405" s="106"/>
      <c r="O405" s="106"/>
      <c r="P405" s="106"/>
      <c r="Q405" s="106"/>
      <c r="AB405" s="106"/>
      <c r="AR405" s="65"/>
      <c r="AS405" s="65"/>
      <c r="AT405" s="65"/>
      <c r="BC405" s="23"/>
      <c r="BD405" s="23"/>
      <c r="BE405" s="23"/>
      <c r="BF405" s="66"/>
    </row>
    <row r="406">
      <c r="G406" s="106"/>
      <c r="H406" s="105"/>
      <c r="I406" s="106"/>
      <c r="J406" s="106"/>
      <c r="K406" s="106"/>
      <c r="L406" s="106"/>
      <c r="M406" s="106"/>
      <c r="N406" s="106"/>
      <c r="O406" s="106"/>
      <c r="P406" s="106"/>
      <c r="Q406" s="106"/>
      <c r="AB406" s="106"/>
      <c r="AR406" s="65"/>
      <c r="AS406" s="65"/>
      <c r="AT406" s="65"/>
      <c r="BC406" s="23"/>
      <c r="BD406" s="23"/>
      <c r="BE406" s="23"/>
      <c r="BF406" s="66"/>
    </row>
    <row r="407">
      <c r="G407" s="106"/>
      <c r="H407" s="105"/>
      <c r="I407" s="106"/>
      <c r="J407" s="106"/>
      <c r="K407" s="106"/>
      <c r="L407" s="106"/>
      <c r="M407" s="106"/>
      <c r="N407" s="106"/>
      <c r="O407" s="106"/>
      <c r="P407" s="106"/>
      <c r="Q407" s="106"/>
      <c r="AB407" s="106"/>
      <c r="AR407" s="65"/>
      <c r="AS407" s="65"/>
      <c r="AT407" s="65"/>
      <c r="BC407" s="23"/>
      <c r="BD407" s="23"/>
      <c r="BE407" s="23"/>
      <c r="BF407" s="66"/>
    </row>
    <row r="408">
      <c r="G408" s="106"/>
      <c r="H408" s="105"/>
      <c r="I408" s="106"/>
      <c r="J408" s="106"/>
      <c r="K408" s="106"/>
      <c r="L408" s="106"/>
      <c r="M408" s="106"/>
      <c r="N408" s="106"/>
      <c r="O408" s="106"/>
      <c r="P408" s="106"/>
      <c r="Q408" s="106"/>
      <c r="AB408" s="106"/>
      <c r="AR408" s="65"/>
      <c r="AS408" s="65"/>
      <c r="AT408" s="65"/>
      <c r="BC408" s="23"/>
      <c r="BD408" s="23"/>
      <c r="BE408" s="23"/>
      <c r="BF408" s="66"/>
    </row>
    <row r="409">
      <c r="G409" s="106"/>
      <c r="H409" s="105"/>
      <c r="I409" s="106"/>
      <c r="J409" s="106"/>
      <c r="K409" s="106"/>
      <c r="L409" s="106"/>
      <c r="M409" s="106"/>
      <c r="N409" s="106"/>
      <c r="O409" s="106"/>
      <c r="P409" s="106"/>
      <c r="Q409" s="106"/>
      <c r="AB409" s="106"/>
      <c r="AR409" s="65"/>
      <c r="AS409" s="65"/>
      <c r="AT409" s="65"/>
      <c r="BC409" s="23"/>
      <c r="BD409" s="23"/>
      <c r="BE409" s="23"/>
      <c r="BF409" s="66"/>
    </row>
    <row r="410">
      <c r="G410" s="106"/>
      <c r="H410" s="105"/>
      <c r="I410" s="106"/>
      <c r="J410" s="106"/>
      <c r="K410" s="106"/>
      <c r="L410" s="106"/>
      <c r="M410" s="106"/>
      <c r="N410" s="106"/>
      <c r="O410" s="106"/>
      <c r="P410" s="106"/>
      <c r="Q410" s="106"/>
      <c r="AB410" s="106"/>
      <c r="AR410" s="65"/>
      <c r="AS410" s="65"/>
      <c r="AT410" s="65"/>
      <c r="BC410" s="23"/>
      <c r="BD410" s="23"/>
      <c r="BE410" s="23"/>
      <c r="BF410" s="66"/>
    </row>
    <row r="411">
      <c r="G411" s="106"/>
      <c r="H411" s="105"/>
      <c r="I411" s="106"/>
      <c r="J411" s="106"/>
      <c r="K411" s="106"/>
      <c r="L411" s="106"/>
      <c r="M411" s="106"/>
      <c r="N411" s="106"/>
      <c r="O411" s="106"/>
      <c r="P411" s="106"/>
      <c r="Q411" s="106"/>
      <c r="AB411" s="106"/>
      <c r="AR411" s="65"/>
      <c r="AS411" s="65"/>
      <c r="AT411" s="65"/>
      <c r="BC411" s="23"/>
      <c r="BD411" s="23"/>
      <c r="BE411" s="23"/>
      <c r="BF411" s="66"/>
    </row>
    <row r="412">
      <c r="G412" s="106"/>
      <c r="H412" s="105"/>
      <c r="I412" s="106"/>
      <c r="J412" s="106"/>
      <c r="K412" s="106"/>
      <c r="L412" s="106"/>
      <c r="M412" s="106"/>
      <c r="N412" s="106"/>
      <c r="O412" s="106"/>
      <c r="P412" s="106"/>
      <c r="Q412" s="106"/>
      <c r="AB412" s="106"/>
      <c r="AR412" s="65"/>
      <c r="AS412" s="65"/>
      <c r="AT412" s="65"/>
      <c r="BC412" s="23"/>
      <c r="BD412" s="23"/>
      <c r="BE412" s="23"/>
      <c r="BF412" s="66"/>
    </row>
    <row r="413">
      <c r="G413" s="106"/>
      <c r="H413" s="105"/>
      <c r="I413" s="106"/>
      <c r="J413" s="106"/>
      <c r="K413" s="106"/>
      <c r="L413" s="106"/>
      <c r="M413" s="106"/>
      <c r="N413" s="106"/>
      <c r="O413" s="106"/>
      <c r="P413" s="106"/>
      <c r="Q413" s="106"/>
      <c r="AB413" s="106"/>
      <c r="AR413" s="65"/>
      <c r="AS413" s="65"/>
      <c r="AT413" s="65"/>
      <c r="BC413" s="23"/>
      <c r="BD413" s="23"/>
      <c r="BE413" s="23"/>
      <c r="BF413" s="66"/>
    </row>
    <row r="414">
      <c r="G414" s="106"/>
      <c r="H414" s="105"/>
      <c r="I414" s="106"/>
      <c r="J414" s="106"/>
      <c r="K414" s="106"/>
      <c r="L414" s="106"/>
      <c r="M414" s="106"/>
      <c r="N414" s="106"/>
      <c r="O414" s="106"/>
      <c r="P414" s="106"/>
      <c r="Q414" s="106"/>
      <c r="AB414" s="106"/>
      <c r="AR414" s="65"/>
      <c r="AS414" s="65"/>
      <c r="AT414" s="65"/>
      <c r="BC414" s="23"/>
      <c r="BD414" s="23"/>
      <c r="BE414" s="23"/>
      <c r="BF414" s="66"/>
    </row>
    <row r="415">
      <c r="G415" s="106"/>
      <c r="H415" s="105"/>
      <c r="I415" s="106"/>
      <c r="J415" s="106"/>
      <c r="K415" s="106"/>
      <c r="L415" s="106"/>
      <c r="M415" s="106"/>
      <c r="N415" s="106"/>
      <c r="O415" s="106"/>
      <c r="P415" s="106"/>
      <c r="Q415" s="106"/>
      <c r="AB415" s="106"/>
      <c r="AR415" s="65"/>
      <c r="AS415" s="65"/>
      <c r="AT415" s="65"/>
      <c r="BC415" s="23"/>
      <c r="BD415" s="23"/>
      <c r="BE415" s="23"/>
      <c r="BF415" s="66"/>
    </row>
    <row r="416">
      <c r="G416" s="106"/>
      <c r="H416" s="105"/>
      <c r="I416" s="106"/>
      <c r="J416" s="106"/>
      <c r="K416" s="106"/>
      <c r="L416" s="106"/>
      <c r="M416" s="106"/>
      <c r="N416" s="106"/>
      <c r="O416" s="106"/>
      <c r="P416" s="106"/>
      <c r="Q416" s="106"/>
      <c r="AB416" s="106"/>
      <c r="AR416" s="65"/>
      <c r="AS416" s="65"/>
      <c r="AT416" s="65"/>
      <c r="BC416" s="23"/>
      <c r="BD416" s="23"/>
      <c r="BE416" s="23"/>
      <c r="BF416" s="66"/>
    </row>
    <row r="417">
      <c r="G417" s="106"/>
      <c r="H417" s="105"/>
      <c r="I417" s="106"/>
      <c r="J417" s="106"/>
      <c r="K417" s="106"/>
      <c r="L417" s="106"/>
      <c r="M417" s="106"/>
      <c r="N417" s="106"/>
      <c r="O417" s="106"/>
      <c r="P417" s="106"/>
      <c r="Q417" s="106"/>
      <c r="AB417" s="106"/>
      <c r="AR417" s="65"/>
      <c r="AS417" s="65"/>
      <c r="AT417" s="65"/>
      <c r="BC417" s="23"/>
      <c r="BD417" s="23"/>
      <c r="BE417" s="23"/>
      <c r="BF417" s="66"/>
    </row>
    <row r="418">
      <c r="G418" s="106"/>
      <c r="H418" s="105"/>
      <c r="I418" s="106"/>
      <c r="J418" s="106"/>
      <c r="K418" s="106"/>
      <c r="L418" s="106"/>
      <c r="M418" s="106"/>
      <c r="N418" s="106"/>
      <c r="O418" s="106"/>
      <c r="P418" s="106"/>
      <c r="Q418" s="106"/>
      <c r="AB418" s="106"/>
      <c r="AR418" s="65"/>
      <c r="AS418" s="65"/>
      <c r="AT418" s="65"/>
      <c r="BC418" s="23"/>
      <c r="BD418" s="23"/>
      <c r="BE418" s="23"/>
      <c r="BF418" s="66"/>
    </row>
    <row r="419">
      <c r="G419" s="106"/>
      <c r="H419" s="105"/>
      <c r="I419" s="106"/>
      <c r="J419" s="106"/>
      <c r="K419" s="106"/>
      <c r="L419" s="106"/>
      <c r="M419" s="106"/>
      <c r="N419" s="106"/>
      <c r="O419" s="106"/>
      <c r="P419" s="106"/>
      <c r="Q419" s="106"/>
      <c r="AB419" s="106"/>
      <c r="AR419" s="65"/>
      <c r="AS419" s="65"/>
      <c r="AT419" s="65"/>
      <c r="BC419" s="23"/>
      <c r="BD419" s="23"/>
      <c r="BE419" s="23"/>
      <c r="BF419" s="66"/>
    </row>
    <row r="420">
      <c r="G420" s="106"/>
      <c r="H420" s="105"/>
      <c r="I420" s="106"/>
      <c r="J420" s="106"/>
      <c r="K420" s="106"/>
      <c r="L420" s="106"/>
      <c r="M420" s="106"/>
      <c r="N420" s="106"/>
      <c r="O420" s="106"/>
      <c r="P420" s="106"/>
      <c r="Q420" s="106"/>
      <c r="AB420" s="106"/>
      <c r="AR420" s="65"/>
      <c r="AS420" s="65"/>
      <c r="AT420" s="65"/>
      <c r="BC420" s="23"/>
      <c r="BD420" s="23"/>
      <c r="BE420" s="23"/>
      <c r="BF420" s="66"/>
    </row>
    <row r="421">
      <c r="G421" s="106"/>
      <c r="H421" s="105"/>
      <c r="I421" s="106"/>
      <c r="J421" s="106"/>
      <c r="K421" s="106"/>
      <c r="L421" s="106"/>
      <c r="M421" s="106"/>
      <c r="N421" s="106"/>
      <c r="O421" s="106"/>
      <c r="P421" s="106"/>
      <c r="Q421" s="106"/>
      <c r="AB421" s="106"/>
      <c r="AR421" s="65"/>
      <c r="AS421" s="65"/>
      <c r="AT421" s="65"/>
      <c r="BC421" s="23"/>
      <c r="BD421" s="23"/>
      <c r="BE421" s="23"/>
      <c r="BF421" s="66"/>
    </row>
    <row r="422">
      <c r="G422" s="106"/>
      <c r="H422" s="105"/>
      <c r="I422" s="106"/>
      <c r="J422" s="106"/>
      <c r="K422" s="106"/>
      <c r="L422" s="106"/>
      <c r="M422" s="106"/>
      <c r="N422" s="106"/>
      <c r="O422" s="106"/>
      <c r="P422" s="106"/>
      <c r="Q422" s="106"/>
      <c r="AB422" s="106"/>
      <c r="AR422" s="65"/>
      <c r="AS422" s="65"/>
      <c r="AT422" s="65"/>
      <c r="BC422" s="23"/>
      <c r="BD422" s="23"/>
      <c r="BE422" s="23"/>
      <c r="BF422" s="66"/>
    </row>
    <row r="423">
      <c r="G423" s="106"/>
      <c r="H423" s="105"/>
      <c r="I423" s="106"/>
      <c r="J423" s="106"/>
      <c r="K423" s="106"/>
      <c r="L423" s="106"/>
      <c r="M423" s="106"/>
      <c r="N423" s="106"/>
      <c r="O423" s="106"/>
      <c r="P423" s="106"/>
      <c r="Q423" s="106"/>
      <c r="AB423" s="106"/>
      <c r="AR423" s="65"/>
      <c r="AS423" s="65"/>
      <c r="AT423" s="65"/>
      <c r="BC423" s="23"/>
      <c r="BD423" s="23"/>
      <c r="BE423" s="23"/>
      <c r="BF423" s="66"/>
    </row>
    <row r="424">
      <c r="G424" s="106"/>
      <c r="H424" s="105"/>
      <c r="I424" s="106"/>
      <c r="J424" s="106"/>
      <c r="K424" s="106"/>
      <c r="L424" s="106"/>
      <c r="M424" s="106"/>
      <c r="N424" s="106"/>
      <c r="O424" s="106"/>
      <c r="P424" s="106"/>
      <c r="Q424" s="106"/>
      <c r="AB424" s="106"/>
      <c r="AR424" s="65"/>
      <c r="AS424" s="65"/>
      <c r="AT424" s="65"/>
      <c r="BC424" s="23"/>
      <c r="BD424" s="23"/>
      <c r="BE424" s="23"/>
      <c r="BF424" s="66"/>
    </row>
    <row r="425">
      <c r="G425" s="106"/>
      <c r="H425" s="105"/>
      <c r="I425" s="106"/>
      <c r="J425" s="106"/>
      <c r="K425" s="106"/>
      <c r="L425" s="106"/>
      <c r="M425" s="106"/>
      <c r="N425" s="106"/>
      <c r="O425" s="106"/>
      <c r="P425" s="106"/>
      <c r="Q425" s="106"/>
      <c r="AB425" s="106"/>
      <c r="AR425" s="65"/>
      <c r="AS425" s="65"/>
      <c r="AT425" s="65"/>
      <c r="BC425" s="23"/>
      <c r="BD425" s="23"/>
      <c r="BE425" s="23"/>
      <c r="BF425" s="66"/>
    </row>
    <row r="426">
      <c r="G426" s="106"/>
      <c r="H426" s="105"/>
      <c r="I426" s="106"/>
      <c r="J426" s="106"/>
      <c r="K426" s="106"/>
      <c r="L426" s="106"/>
      <c r="M426" s="106"/>
      <c r="N426" s="106"/>
      <c r="O426" s="106"/>
      <c r="P426" s="106"/>
      <c r="Q426" s="106"/>
      <c r="AB426" s="106"/>
      <c r="AR426" s="65"/>
      <c r="AS426" s="65"/>
      <c r="AT426" s="65"/>
      <c r="BC426" s="23"/>
      <c r="BD426" s="23"/>
      <c r="BE426" s="23"/>
      <c r="BF426" s="66"/>
    </row>
    <row r="427">
      <c r="G427" s="106"/>
      <c r="H427" s="105"/>
      <c r="I427" s="106"/>
      <c r="J427" s="106"/>
      <c r="K427" s="106"/>
      <c r="L427" s="106"/>
      <c r="M427" s="106"/>
      <c r="N427" s="106"/>
      <c r="O427" s="106"/>
      <c r="P427" s="106"/>
      <c r="Q427" s="106"/>
      <c r="AB427" s="106"/>
      <c r="AR427" s="65"/>
      <c r="AS427" s="65"/>
      <c r="AT427" s="65"/>
      <c r="BC427" s="23"/>
      <c r="BD427" s="23"/>
      <c r="BE427" s="23"/>
      <c r="BF427" s="66"/>
    </row>
    <row r="428">
      <c r="G428" s="106"/>
      <c r="H428" s="105"/>
      <c r="I428" s="106"/>
      <c r="J428" s="106"/>
      <c r="K428" s="106"/>
      <c r="L428" s="106"/>
      <c r="M428" s="106"/>
      <c r="N428" s="106"/>
      <c r="O428" s="106"/>
      <c r="P428" s="106"/>
      <c r="Q428" s="106"/>
      <c r="AB428" s="106"/>
      <c r="AR428" s="65"/>
      <c r="AS428" s="65"/>
      <c r="AT428" s="65"/>
      <c r="BC428" s="23"/>
      <c r="BD428" s="23"/>
      <c r="BE428" s="23"/>
      <c r="BF428" s="66"/>
    </row>
    <row r="429">
      <c r="G429" s="106"/>
      <c r="H429" s="105"/>
      <c r="I429" s="106"/>
      <c r="J429" s="106"/>
      <c r="K429" s="106"/>
      <c r="L429" s="106"/>
      <c r="M429" s="106"/>
      <c r="N429" s="106"/>
      <c r="O429" s="106"/>
      <c r="P429" s="106"/>
      <c r="Q429" s="106"/>
      <c r="AB429" s="106"/>
      <c r="AR429" s="65"/>
      <c r="AS429" s="65"/>
      <c r="AT429" s="65"/>
      <c r="BC429" s="23"/>
      <c r="BD429" s="23"/>
      <c r="BE429" s="23"/>
      <c r="BF429" s="66"/>
    </row>
    <row r="430">
      <c r="G430" s="106"/>
      <c r="H430" s="105"/>
      <c r="I430" s="106"/>
      <c r="J430" s="106"/>
      <c r="K430" s="106"/>
      <c r="L430" s="106"/>
      <c r="M430" s="106"/>
      <c r="N430" s="106"/>
      <c r="O430" s="106"/>
      <c r="P430" s="106"/>
      <c r="Q430" s="106"/>
      <c r="AB430" s="106"/>
      <c r="AR430" s="65"/>
      <c r="AS430" s="65"/>
      <c r="AT430" s="65"/>
      <c r="BC430" s="23"/>
      <c r="BD430" s="23"/>
      <c r="BE430" s="23"/>
      <c r="BF430" s="66"/>
    </row>
    <row r="431">
      <c r="G431" s="106"/>
      <c r="H431" s="105"/>
      <c r="I431" s="106"/>
      <c r="J431" s="106"/>
      <c r="K431" s="106"/>
      <c r="L431" s="106"/>
      <c r="M431" s="106"/>
      <c r="N431" s="106"/>
      <c r="O431" s="106"/>
      <c r="P431" s="106"/>
      <c r="Q431" s="106"/>
      <c r="AB431" s="106"/>
      <c r="AR431" s="65"/>
      <c r="AS431" s="65"/>
      <c r="AT431" s="65"/>
      <c r="BC431" s="23"/>
      <c r="BD431" s="23"/>
      <c r="BE431" s="23"/>
      <c r="BF431" s="66"/>
    </row>
    <row r="432">
      <c r="G432" s="106"/>
      <c r="H432" s="105"/>
      <c r="I432" s="106"/>
      <c r="J432" s="106"/>
      <c r="K432" s="106"/>
      <c r="L432" s="106"/>
      <c r="M432" s="106"/>
      <c r="N432" s="106"/>
      <c r="O432" s="106"/>
      <c r="P432" s="106"/>
      <c r="Q432" s="106"/>
      <c r="AB432" s="106"/>
      <c r="AR432" s="65"/>
      <c r="AS432" s="65"/>
      <c r="AT432" s="65"/>
      <c r="BC432" s="23"/>
      <c r="BD432" s="23"/>
      <c r="BE432" s="23"/>
      <c r="BF432" s="66"/>
    </row>
    <row r="433">
      <c r="G433" s="106"/>
      <c r="H433" s="105"/>
      <c r="I433" s="106"/>
      <c r="J433" s="106"/>
      <c r="K433" s="106"/>
      <c r="L433" s="106"/>
      <c r="M433" s="106"/>
      <c r="N433" s="106"/>
      <c r="O433" s="106"/>
      <c r="P433" s="106"/>
      <c r="Q433" s="106"/>
      <c r="AB433" s="106"/>
      <c r="AR433" s="65"/>
      <c r="AS433" s="65"/>
      <c r="AT433" s="65"/>
      <c r="BC433" s="23"/>
      <c r="BD433" s="23"/>
      <c r="BE433" s="23"/>
      <c r="BF433" s="66"/>
    </row>
    <row r="434">
      <c r="G434" s="106"/>
      <c r="H434" s="105"/>
      <c r="I434" s="106"/>
      <c r="J434" s="106"/>
      <c r="K434" s="106"/>
      <c r="L434" s="106"/>
      <c r="M434" s="106"/>
      <c r="N434" s="106"/>
      <c r="O434" s="106"/>
      <c r="P434" s="106"/>
      <c r="Q434" s="106"/>
      <c r="AB434" s="106"/>
      <c r="AR434" s="65"/>
      <c r="AS434" s="65"/>
      <c r="AT434" s="65"/>
      <c r="BC434" s="23"/>
      <c r="BD434" s="23"/>
      <c r="BE434" s="23"/>
      <c r="BF434" s="66"/>
    </row>
    <row r="435">
      <c r="G435" s="106"/>
      <c r="H435" s="105"/>
      <c r="I435" s="106"/>
      <c r="J435" s="106"/>
      <c r="K435" s="106"/>
      <c r="L435" s="106"/>
      <c r="M435" s="106"/>
      <c r="N435" s="106"/>
      <c r="O435" s="106"/>
      <c r="P435" s="106"/>
      <c r="Q435" s="106"/>
      <c r="AB435" s="106"/>
      <c r="AR435" s="65"/>
      <c r="AS435" s="65"/>
      <c r="AT435" s="65"/>
      <c r="BC435" s="23"/>
      <c r="BD435" s="23"/>
      <c r="BE435" s="23"/>
      <c r="BF435" s="66"/>
    </row>
    <row r="436">
      <c r="G436" s="106"/>
      <c r="H436" s="105"/>
      <c r="I436" s="106"/>
      <c r="J436" s="106"/>
      <c r="K436" s="106"/>
      <c r="L436" s="106"/>
      <c r="M436" s="106"/>
      <c r="N436" s="106"/>
      <c r="O436" s="106"/>
      <c r="P436" s="106"/>
      <c r="Q436" s="106"/>
      <c r="AB436" s="106"/>
      <c r="AR436" s="65"/>
      <c r="AS436" s="65"/>
      <c r="AT436" s="65"/>
      <c r="BC436" s="23"/>
      <c r="BD436" s="23"/>
      <c r="BE436" s="23"/>
      <c r="BF436" s="66"/>
    </row>
    <row r="437">
      <c r="G437" s="106"/>
      <c r="H437" s="105"/>
      <c r="I437" s="106"/>
      <c r="J437" s="106"/>
      <c r="K437" s="106"/>
      <c r="L437" s="106"/>
      <c r="M437" s="106"/>
      <c r="N437" s="106"/>
      <c r="O437" s="106"/>
      <c r="P437" s="106"/>
      <c r="Q437" s="106"/>
      <c r="AB437" s="106"/>
      <c r="AR437" s="65"/>
      <c r="AS437" s="65"/>
      <c r="AT437" s="65"/>
      <c r="BC437" s="23"/>
      <c r="BD437" s="23"/>
      <c r="BE437" s="23"/>
      <c r="BF437" s="66"/>
    </row>
    <row r="438">
      <c r="G438" s="106"/>
      <c r="H438" s="105"/>
      <c r="I438" s="106"/>
      <c r="J438" s="106"/>
      <c r="K438" s="106"/>
      <c r="L438" s="106"/>
      <c r="M438" s="106"/>
      <c r="N438" s="106"/>
      <c r="O438" s="106"/>
      <c r="P438" s="106"/>
      <c r="Q438" s="106"/>
      <c r="AB438" s="106"/>
      <c r="AR438" s="65"/>
      <c r="AS438" s="65"/>
      <c r="AT438" s="65"/>
      <c r="BC438" s="23"/>
      <c r="BD438" s="23"/>
      <c r="BE438" s="23"/>
      <c r="BF438" s="66"/>
    </row>
    <row r="439">
      <c r="G439" s="106"/>
      <c r="H439" s="105"/>
      <c r="I439" s="106"/>
      <c r="J439" s="106"/>
      <c r="K439" s="106"/>
      <c r="L439" s="106"/>
      <c r="M439" s="106"/>
      <c r="N439" s="106"/>
      <c r="O439" s="106"/>
      <c r="P439" s="106"/>
      <c r="Q439" s="106"/>
      <c r="AB439" s="106"/>
      <c r="AR439" s="65"/>
      <c r="AS439" s="65"/>
      <c r="AT439" s="65"/>
      <c r="BC439" s="23"/>
      <c r="BD439" s="23"/>
      <c r="BE439" s="23"/>
      <c r="BF439" s="66"/>
    </row>
    <row r="440">
      <c r="G440" s="106"/>
      <c r="H440" s="105"/>
      <c r="I440" s="106"/>
      <c r="J440" s="106"/>
      <c r="K440" s="106"/>
      <c r="L440" s="106"/>
      <c r="M440" s="106"/>
      <c r="N440" s="106"/>
      <c r="O440" s="106"/>
      <c r="P440" s="106"/>
      <c r="Q440" s="106"/>
      <c r="AB440" s="106"/>
      <c r="AR440" s="65"/>
      <c r="AS440" s="65"/>
      <c r="AT440" s="65"/>
      <c r="BC440" s="23"/>
      <c r="BD440" s="23"/>
      <c r="BE440" s="23"/>
      <c r="BF440" s="66"/>
    </row>
    <row r="441">
      <c r="G441" s="106"/>
      <c r="H441" s="105"/>
      <c r="I441" s="106"/>
      <c r="J441" s="106"/>
      <c r="K441" s="106"/>
      <c r="L441" s="106"/>
      <c r="M441" s="106"/>
      <c r="N441" s="106"/>
      <c r="O441" s="106"/>
      <c r="P441" s="106"/>
      <c r="Q441" s="106"/>
      <c r="AB441" s="106"/>
      <c r="AR441" s="65"/>
      <c r="AS441" s="65"/>
      <c r="AT441" s="65"/>
      <c r="BC441" s="23"/>
      <c r="BD441" s="23"/>
      <c r="BE441" s="23"/>
      <c r="BF441" s="66"/>
    </row>
    <row r="442">
      <c r="G442" s="106"/>
      <c r="H442" s="105"/>
      <c r="I442" s="106"/>
      <c r="J442" s="106"/>
      <c r="K442" s="106"/>
      <c r="L442" s="106"/>
      <c r="M442" s="106"/>
      <c r="N442" s="106"/>
      <c r="O442" s="106"/>
      <c r="P442" s="106"/>
      <c r="Q442" s="106"/>
      <c r="AB442" s="106"/>
      <c r="AR442" s="65"/>
      <c r="AS442" s="65"/>
      <c r="AT442" s="65"/>
      <c r="BC442" s="23"/>
      <c r="BD442" s="23"/>
      <c r="BE442" s="23"/>
      <c r="BF442" s="66"/>
    </row>
    <row r="443">
      <c r="G443" s="106"/>
      <c r="H443" s="105"/>
      <c r="I443" s="106"/>
      <c r="J443" s="106"/>
      <c r="K443" s="106"/>
      <c r="L443" s="106"/>
      <c r="M443" s="106"/>
      <c r="N443" s="106"/>
      <c r="O443" s="106"/>
      <c r="P443" s="106"/>
      <c r="Q443" s="106"/>
      <c r="AB443" s="106"/>
      <c r="AR443" s="65"/>
      <c r="AS443" s="65"/>
      <c r="AT443" s="65"/>
      <c r="BC443" s="23"/>
      <c r="BD443" s="23"/>
      <c r="BE443" s="23"/>
      <c r="BF443" s="66"/>
    </row>
    <row r="444">
      <c r="G444" s="106"/>
      <c r="H444" s="105"/>
      <c r="I444" s="106"/>
      <c r="J444" s="106"/>
      <c r="K444" s="106"/>
      <c r="L444" s="106"/>
      <c r="M444" s="106"/>
      <c r="N444" s="106"/>
      <c r="O444" s="106"/>
      <c r="P444" s="106"/>
      <c r="Q444" s="106"/>
      <c r="AB444" s="106"/>
      <c r="AR444" s="65"/>
      <c r="AS444" s="65"/>
      <c r="AT444" s="65"/>
      <c r="BC444" s="23"/>
      <c r="BD444" s="23"/>
      <c r="BE444" s="23"/>
      <c r="BF444" s="66"/>
    </row>
    <row r="445">
      <c r="G445" s="106"/>
      <c r="H445" s="105"/>
      <c r="I445" s="106"/>
      <c r="J445" s="106"/>
      <c r="K445" s="106"/>
      <c r="L445" s="106"/>
      <c r="M445" s="106"/>
      <c r="N445" s="106"/>
      <c r="O445" s="106"/>
      <c r="P445" s="106"/>
      <c r="Q445" s="106"/>
      <c r="AB445" s="106"/>
      <c r="AR445" s="65"/>
      <c r="AS445" s="65"/>
      <c r="AT445" s="65"/>
      <c r="BC445" s="23"/>
      <c r="BD445" s="23"/>
      <c r="BE445" s="23"/>
      <c r="BF445" s="66"/>
    </row>
    <row r="446">
      <c r="G446" s="106"/>
      <c r="H446" s="105"/>
      <c r="I446" s="106"/>
      <c r="J446" s="106"/>
      <c r="K446" s="106"/>
      <c r="L446" s="106"/>
      <c r="M446" s="106"/>
      <c r="N446" s="106"/>
      <c r="O446" s="106"/>
      <c r="P446" s="106"/>
      <c r="Q446" s="106"/>
      <c r="AB446" s="106"/>
      <c r="AR446" s="65"/>
      <c r="AS446" s="65"/>
      <c r="AT446" s="65"/>
      <c r="BC446" s="23"/>
      <c r="BD446" s="23"/>
      <c r="BE446" s="23"/>
      <c r="BF446" s="66"/>
    </row>
    <row r="447">
      <c r="G447" s="106"/>
      <c r="H447" s="105"/>
      <c r="I447" s="106"/>
      <c r="J447" s="106"/>
      <c r="K447" s="106"/>
      <c r="L447" s="106"/>
      <c r="M447" s="106"/>
      <c r="N447" s="106"/>
      <c r="O447" s="106"/>
      <c r="P447" s="106"/>
      <c r="Q447" s="106"/>
      <c r="AB447" s="106"/>
      <c r="AR447" s="65"/>
      <c r="AS447" s="65"/>
      <c r="AT447" s="65"/>
      <c r="BC447" s="23"/>
      <c r="BD447" s="23"/>
      <c r="BE447" s="23"/>
      <c r="BF447" s="66"/>
    </row>
    <row r="448">
      <c r="G448" s="106"/>
      <c r="H448" s="105"/>
      <c r="I448" s="106"/>
      <c r="J448" s="106"/>
      <c r="K448" s="106"/>
      <c r="L448" s="106"/>
      <c r="M448" s="106"/>
      <c r="N448" s="106"/>
      <c r="O448" s="106"/>
      <c r="P448" s="106"/>
      <c r="Q448" s="106"/>
      <c r="AB448" s="106"/>
      <c r="AR448" s="65"/>
      <c r="AS448" s="65"/>
      <c r="AT448" s="65"/>
      <c r="BC448" s="23"/>
      <c r="BD448" s="23"/>
      <c r="BE448" s="23"/>
      <c r="BF448" s="66"/>
    </row>
    <row r="449">
      <c r="G449" s="106"/>
      <c r="H449" s="105"/>
      <c r="I449" s="106"/>
      <c r="J449" s="106"/>
      <c r="K449" s="106"/>
      <c r="L449" s="106"/>
      <c r="M449" s="106"/>
      <c r="N449" s="106"/>
      <c r="O449" s="106"/>
      <c r="P449" s="106"/>
      <c r="Q449" s="106"/>
      <c r="AB449" s="106"/>
      <c r="AR449" s="65"/>
      <c r="AS449" s="65"/>
      <c r="AT449" s="65"/>
      <c r="BC449" s="23"/>
      <c r="BD449" s="23"/>
      <c r="BE449" s="23"/>
      <c r="BF449" s="66"/>
    </row>
    <row r="450">
      <c r="G450" s="106"/>
      <c r="H450" s="105"/>
      <c r="I450" s="106"/>
      <c r="J450" s="106"/>
      <c r="K450" s="106"/>
      <c r="L450" s="106"/>
      <c r="M450" s="106"/>
      <c r="N450" s="106"/>
      <c r="O450" s="106"/>
      <c r="P450" s="106"/>
      <c r="Q450" s="106"/>
      <c r="AB450" s="106"/>
      <c r="AR450" s="65"/>
      <c r="AS450" s="65"/>
      <c r="AT450" s="65"/>
      <c r="BC450" s="23"/>
      <c r="BD450" s="23"/>
      <c r="BE450" s="23"/>
      <c r="BF450" s="66"/>
    </row>
    <row r="451">
      <c r="G451" s="106"/>
      <c r="H451" s="105"/>
      <c r="I451" s="106"/>
      <c r="J451" s="106"/>
      <c r="K451" s="106"/>
      <c r="L451" s="106"/>
      <c r="M451" s="106"/>
      <c r="N451" s="106"/>
      <c r="O451" s="106"/>
      <c r="P451" s="106"/>
      <c r="Q451" s="106"/>
      <c r="AB451" s="106"/>
      <c r="AR451" s="65"/>
      <c r="AS451" s="65"/>
      <c r="AT451" s="65"/>
      <c r="BC451" s="23"/>
      <c r="BD451" s="23"/>
      <c r="BE451" s="23"/>
      <c r="BF451" s="66"/>
    </row>
    <row r="452">
      <c r="G452" s="106"/>
      <c r="H452" s="105"/>
      <c r="I452" s="106"/>
      <c r="J452" s="106"/>
      <c r="K452" s="106"/>
      <c r="L452" s="106"/>
      <c r="M452" s="106"/>
      <c r="N452" s="106"/>
      <c r="O452" s="106"/>
      <c r="P452" s="106"/>
      <c r="Q452" s="106"/>
      <c r="AB452" s="106"/>
      <c r="AR452" s="65"/>
      <c r="AS452" s="65"/>
      <c r="AT452" s="65"/>
      <c r="BC452" s="23"/>
      <c r="BD452" s="23"/>
      <c r="BE452" s="23"/>
      <c r="BF452" s="66"/>
    </row>
    <row r="453">
      <c r="G453" s="106"/>
      <c r="H453" s="105"/>
      <c r="I453" s="106"/>
      <c r="J453" s="106"/>
      <c r="K453" s="106"/>
      <c r="L453" s="106"/>
      <c r="M453" s="106"/>
      <c r="N453" s="106"/>
      <c r="O453" s="106"/>
      <c r="P453" s="106"/>
      <c r="Q453" s="106"/>
      <c r="AB453" s="106"/>
      <c r="AR453" s="65"/>
      <c r="AS453" s="65"/>
      <c r="AT453" s="65"/>
      <c r="BC453" s="23"/>
      <c r="BD453" s="23"/>
      <c r="BE453" s="23"/>
      <c r="BF453" s="66"/>
    </row>
    <row r="454">
      <c r="G454" s="106"/>
      <c r="H454" s="105"/>
      <c r="I454" s="106"/>
      <c r="J454" s="106"/>
      <c r="K454" s="106"/>
      <c r="L454" s="106"/>
      <c r="M454" s="106"/>
      <c r="N454" s="106"/>
      <c r="O454" s="106"/>
      <c r="P454" s="106"/>
      <c r="Q454" s="106"/>
      <c r="AB454" s="106"/>
      <c r="AR454" s="65"/>
      <c r="AS454" s="65"/>
      <c r="AT454" s="65"/>
      <c r="BC454" s="23"/>
      <c r="BD454" s="23"/>
      <c r="BE454" s="23"/>
      <c r="BF454" s="66"/>
    </row>
    <row r="455">
      <c r="G455" s="106"/>
      <c r="H455" s="105"/>
      <c r="I455" s="106"/>
      <c r="J455" s="106"/>
      <c r="K455" s="106"/>
      <c r="L455" s="106"/>
      <c r="M455" s="106"/>
      <c r="N455" s="106"/>
      <c r="O455" s="106"/>
      <c r="P455" s="106"/>
      <c r="Q455" s="106"/>
      <c r="AB455" s="106"/>
      <c r="AR455" s="65"/>
      <c r="AS455" s="65"/>
      <c r="AT455" s="65"/>
      <c r="BC455" s="23"/>
      <c r="BD455" s="23"/>
      <c r="BE455" s="23"/>
      <c r="BF455" s="66"/>
    </row>
    <row r="456">
      <c r="G456" s="106"/>
      <c r="H456" s="105"/>
      <c r="I456" s="106"/>
      <c r="J456" s="106"/>
      <c r="K456" s="106"/>
      <c r="L456" s="106"/>
      <c r="M456" s="106"/>
      <c r="N456" s="106"/>
      <c r="O456" s="106"/>
      <c r="P456" s="106"/>
      <c r="Q456" s="106"/>
      <c r="AB456" s="106"/>
      <c r="AR456" s="65"/>
      <c r="AS456" s="65"/>
      <c r="AT456" s="65"/>
      <c r="BC456" s="23"/>
      <c r="BD456" s="23"/>
      <c r="BE456" s="23"/>
      <c r="BF456" s="66"/>
    </row>
    <row r="457">
      <c r="G457" s="106"/>
      <c r="H457" s="105"/>
      <c r="I457" s="106"/>
      <c r="J457" s="106"/>
      <c r="K457" s="106"/>
      <c r="L457" s="106"/>
      <c r="M457" s="106"/>
      <c r="N457" s="106"/>
      <c r="O457" s="106"/>
      <c r="P457" s="106"/>
      <c r="Q457" s="106"/>
      <c r="AB457" s="106"/>
      <c r="AR457" s="65"/>
      <c r="AS457" s="65"/>
      <c r="AT457" s="65"/>
      <c r="BC457" s="23"/>
      <c r="BD457" s="23"/>
      <c r="BE457" s="23"/>
      <c r="BF457" s="66"/>
    </row>
    <row r="458">
      <c r="G458" s="106"/>
      <c r="H458" s="105"/>
      <c r="I458" s="106"/>
      <c r="J458" s="106"/>
      <c r="K458" s="106"/>
      <c r="L458" s="106"/>
      <c r="M458" s="106"/>
      <c r="N458" s="106"/>
      <c r="O458" s="106"/>
      <c r="P458" s="106"/>
      <c r="Q458" s="106"/>
      <c r="AB458" s="106"/>
      <c r="AR458" s="65"/>
      <c r="AS458" s="65"/>
      <c r="AT458" s="65"/>
      <c r="BC458" s="23"/>
      <c r="BD458" s="23"/>
      <c r="BE458" s="23"/>
      <c r="BF458" s="66"/>
    </row>
    <row r="459">
      <c r="G459" s="106"/>
      <c r="H459" s="105"/>
      <c r="I459" s="106"/>
      <c r="J459" s="106"/>
      <c r="K459" s="106"/>
      <c r="L459" s="106"/>
      <c r="M459" s="106"/>
      <c r="N459" s="106"/>
      <c r="O459" s="106"/>
      <c r="P459" s="106"/>
      <c r="Q459" s="106"/>
      <c r="AB459" s="106"/>
      <c r="AR459" s="65"/>
      <c r="AS459" s="65"/>
      <c r="AT459" s="65"/>
      <c r="BC459" s="23"/>
      <c r="BD459" s="23"/>
      <c r="BE459" s="23"/>
      <c r="BF459" s="66"/>
    </row>
    <row r="460">
      <c r="G460" s="106"/>
      <c r="H460" s="105"/>
      <c r="I460" s="106"/>
      <c r="J460" s="106"/>
      <c r="K460" s="106"/>
      <c r="L460" s="106"/>
      <c r="M460" s="106"/>
      <c r="N460" s="106"/>
      <c r="O460" s="106"/>
      <c r="P460" s="106"/>
      <c r="Q460" s="106"/>
      <c r="AB460" s="106"/>
      <c r="AR460" s="65"/>
      <c r="AS460" s="65"/>
      <c r="AT460" s="65"/>
      <c r="BC460" s="23"/>
      <c r="BD460" s="23"/>
      <c r="BE460" s="23"/>
      <c r="BF460" s="66"/>
    </row>
    <row r="461">
      <c r="G461" s="106"/>
      <c r="H461" s="105"/>
      <c r="I461" s="106"/>
      <c r="J461" s="106"/>
      <c r="K461" s="106"/>
      <c r="L461" s="106"/>
      <c r="M461" s="106"/>
      <c r="N461" s="106"/>
      <c r="O461" s="106"/>
      <c r="P461" s="106"/>
      <c r="Q461" s="106"/>
      <c r="AB461" s="106"/>
      <c r="AR461" s="65"/>
      <c r="AS461" s="65"/>
      <c r="AT461" s="65"/>
      <c r="BC461" s="23"/>
      <c r="BD461" s="23"/>
      <c r="BE461" s="23"/>
      <c r="BF461" s="66"/>
    </row>
    <row r="462">
      <c r="G462" s="106"/>
      <c r="H462" s="105"/>
      <c r="I462" s="106"/>
      <c r="J462" s="106"/>
      <c r="K462" s="106"/>
      <c r="L462" s="106"/>
      <c r="M462" s="106"/>
      <c r="N462" s="106"/>
      <c r="O462" s="106"/>
      <c r="P462" s="106"/>
      <c r="Q462" s="106"/>
      <c r="AB462" s="106"/>
      <c r="AR462" s="65"/>
      <c r="AS462" s="65"/>
      <c r="AT462" s="65"/>
      <c r="BC462" s="23"/>
      <c r="BD462" s="23"/>
      <c r="BE462" s="23"/>
      <c r="BF462" s="66"/>
    </row>
    <row r="463">
      <c r="G463" s="106"/>
      <c r="H463" s="105"/>
      <c r="I463" s="106"/>
      <c r="J463" s="106"/>
      <c r="K463" s="106"/>
      <c r="L463" s="106"/>
      <c r="M463" s="106"/>
      <c r="N463" s="106"/>
      <c r="O463" s="106"/>
      <c r="P463" s="106"/>
      <c r="Q463" s="106"/>
      <c r="AB463" s="106"/>
      <c r="AR463" s="65"/>
      <c r="AS463" s="65"/>
      <c r="AT463" s="65"/>
      <c r="BC463" s="23"/>
      <c r="BD463" s="23"/>
      <c r="BE463" s="23"/>
      <c r="BF463" s="66"/>
    </row>
    <row r="464">
      <c r="G464" s="106"/>
      <c r="H464" s="105"/>
      <c r="I464" s="106"/>
      <c r="J464" s="106"/>
      <c r="K464" s="106"/>
      <c r="L464" s="106"/>
      <c r="M464" s="106"/>
      <c r="N464" s="106"/>
      <c r="O464" s="106"/>
      <c r="P464" s="106"/>
      <c r="Q464" s="106"/>
      <c r="AB464" s="106"/>
      <c r="AR464" s="65"/>
      <c r="AS464" s="65"/>
      <c r="AT464" s="65"/>
      <c r="BC464" s="23"/>
      <c r="BD464" s="23"/>
      <c r="BE464" s="23"/>
      <c r="BF464" s="66"/>
    </row>
    <row r="465">
      <c r="G465" s="106"/>
      <c r="H465" s="105"/>
      <c r="I465" s="106"/>
      <c r="J465" s="106"/>
      <c r="K465" s="106"/>
      <c r="L465" s="106"/>
      <c r="M465" s="106"/>
      <c r="N465" s="106"/>
      <c r="O465" s="106"/>
      <c r="P465" s="106"/>
      <c r="Q465" s="106"/>
      <c r="AB465" s="106"/>
      <c r="AR465" s="65"/>
      <c r="AS465" s="65"/>
      <c r="AT465" s="65"/>
      <c r="BC465" s="23"/>
      <c r="BD465" s="23"/>
      <c r="BE465" s="23"/>
      <c r="BF465" s="66"/>
    </row>
    <row r="466">
      <c r="G466" s="106"/>
      <c r="H466" s="105"/>
      <c r="I466" s="106"/>
      <c r="J466" s="106"/>
      <c r="K466" s="106"/>
      <c r="L466" s="106"/>
      <c r="M466" s="106"/>
      <c r="N466" s="106"/>
      <c r="O466" s="106"/>
      <c r="P466" s="106"/>
      <c r="Q466" s="106"/>
      <c r="AB466" s="106"/>
      <c r="AR466" s="65"/>
      <c r="AS466" s="65"/>
      <c r="AT466" s="65"/>
      <c r="BC466" s="23"/>
      <c r="BD466" s="23"/>
      <c r="BE466" s="23"/>
      <c r="BF466" s="66"/>
    </row>
    <row r="467">
      <c r="G467" s="106"/>
      <c r="H467" s="105"/>
      <c r="I467" s="106"/>
      <c r="J467" s="106"/>
      <c r="K467" s="106"/>
      <c r="L467" s="106"/>
      <c r="M467" s="106"/>
      <c r="N467" s="106"/>
      <c r="O467" s="106"/>
      <c r="P467" s="106"/>
      <c r="Q467" s="106"/>
      <c r="AB467" s="106"/>
      <c r="AR467" s="65"/>
      <c r="AS467" s="65"/>
      <c r="AT467" s="65"/>
      <c r="BC467" s="23"/>
      <c r="BD467" s="23"/>
      <c r="BE467" s="23"/>
      <c r="BF467" s="66"/>
    </row>
    <row r="468">
      <c r="G468" s="106"/>
      <c r="H468" s="105"/>
      <c r="I468" s="106"/>
      <c r="J468" s="106"/>
      <c r="K468" s="106"/>
      <c r="L468" s="106"/>
      <c r="M468" s="106"/>
      <c r="N468" s="106"/>
      <c r="O468" s="106"/>
      <c r="P468" s="106"/>
      <c r="Q468" s="106"/>
      <c r="AB468" s="106"/>
      <c r="AR468" s="65"/>
      <c r="AS468" s="65"/>
      <c r="AT468" s="65"/>
      <c r="BC468" s="23"/>
      <c r="BD468" s="23"/>
      <c r="BE468" s="23"/>
      <c r="BF468" s="66"/>
    </row>
    <row r="469">
      <c r="G469" s="106"/>
      <c r="H469" s="105"/>
      <c r="I469" s="106"/>
      <c r="J469" s="106"/>
      <c r="K469" s="106"/>
      <c r="L469" s="106"/>
      <c r="M469" s="106"/>
      <c r="N469" s="106"/>
      <c r="O469" s="106"/>
      <c r="P469" s="106"/>
      <c r="Q469" s="106"/>
      <c r="AB469" s="106"/>
      <c r="AR469" s="65"/>
      <c r="AS469" s="65"/>
      <c r="AT469" s="65"/>
      <c r="BC469" s="23"/>
      <c r="BD469" s="23"/>
      <c r="BE469" s="23"/>
      <c r="BF469" s="66"/>
    </row>
    <row r="470">
      <c r="G470" s="106"/>
      <c r="H470" s="105"/>
      <c r="I470" s="106"/>
      <c r="J470" s="106"/>
      <c r="K470" s="106"/>
      <c r="L470" s="106"/>
      <c r="M470" s="106"/>
      <c r="N470" s="106"/>
      <c r="O470" s="106"/>
      <c r="P470" s="106"/>
      <c r="Q470" s="106"/>
      <c r="AB470" s="106"/>
      <c r="AR470" s="65"/>
      <c r="AS470" s="65"/>
      <c r="AT470" s="65"/>
      <c r="BC470" s="23"/>
      <c r="BD470" s="23"/>
      <c r="BE470" s="23"/>
      <c r="BF470" s="66"/>
    </row>
    <row r="471">
      <c r="G471" s="106"/>
      <c r="H471" s="105"/>
      <c r="I471" s="106"/>
      <c r="J471" s="106"/>
      <c r="K471" s="106"/>
      <c r="L471" s="106"/>
      <c r="M471" s="106"/>
      <c r="N471" s="106"/>
      <c r="O471" s="106"/>
      <c r="P471" s="106"/>
      <c r="Q471" s="106"/>
      <c r="AB471" s="106"/>
      <c r="AR471" s="65"/>
      <c r="AS471" s="65"/>
      <c r="AT471" s="65"/>
      <c r="BC471" s="23"/>
      <c r="BD471" s="23"/>
      <c r="BE471" s="23"/>
      <c r="BF471" s="66"/>
    </row>
    <row r="472">
      <c r="G472" s="106"/>
      <c r="H472" s="105"/>
      <c r="I472" s="106"/>
      <c r="J472" s="106"/>
      <c r="K472" s="106"/>
      <c r="L472" s="106"/>
      <c r="M472" s="106"/>
      <c r="N472" s="106"/>
      <c r="O472" s="106"/>
      <c r="P472" s="106"/>
      <c r="Q472" s="106"/>
      <c r="AB472" s="106"/>
      <c r="AR472" s="65"/>
      <c r="AS472" s="65"/>
      <c r="AT472" s="65"/>
      <c r="BC472" s="23"/>
      <c r="BD472" s="23"/>
      <c r="BE472" s="23"/>
      <c r="BF472" s="66"/>
    </row>
    <row r="473">
      <c r="G473" s="106"/>
      <c r="H473" s="105"/>
      <c r="I473" s="106"/>
      <c r="J473" s="106"/>
      <c r="K473" s="106"/>
      <c r="L473" s="106"/>
      <c r="M473" s="106"/>
      <c r="N473" s="106"/>
      <c r="O473" s="106"/>
      <c r="P473" s="106"/>
      <c r="Q473" s="106"/>
      <c r="AB473" s="106"/>
      <c r="AR473" s="65"/>
      <c r="AS473" s="65"/>
      <c r="AT473" s="65"/>
      <c r="BC473" s="23"/>
      <c r="BD473" s="23"/>
      <c r="BE473" s="23"/>
      <c r="BF473" s="66"/>
    </row>
    <row r="474">
      <c r="G474" s="106"/>
      <c r="H474" s="105"/>
      <c r="I474" s="106"/>
      <c r="J474" s="106"/>
      <c r="K474" s="106"/>
      <c r="L474" s="106"/>
      <c r="M474" s="106"/>
      <c r="N474" s="106"/>
      <c r="O474" s="106"/>
      <c r="P474" s="106"/>
      <c r="Q474" s="106"/>
      <c r="AB474" s="106"/>
      <c r="AR474" s="65"/>
      <c r="AS474" s="65"/>
      <c r="AT474" s="65"/>
      <c r="BC474" s="23"/>
      <c r="BD474" s="23"/>
      <c r="BE474" s="23"/>
      <c r="BF474" s="66"/>
    </row>
    <row r="475">
      <c r="G475" s="106"/>
      <c r="H475" s="105"/>
      <c r="I475" s="106"/>
      <c r="J475" s="106"/>
      <c r="K475" s="106"/>
      <c r="L475" s="106"/>
      <c r="M475" s="106"/>
      <c r="N475" s="106"/>
      <c r="O475" s="106"/>
      <c r="P475" s="106"/>
      <c r="Q475" s="106"/>
      <c r="AB475" s="106"/>
      <c r="AR475" s="65"/>
      <c r="AS475" s="65"/>
      <c r="AT475" s="65"/>
      <c r="BC475" s="23"/>
      <c r="BD475" s="23"/>
      <c r="BE475" s="23"/>
      <c r="BF475" s="66"/>
    </row>
    <row r="476">
      <c r="G476" s="106"/>
      <c r="H476" s="105"/>
      <c r="I476" s="106"/>
      <c r="J476" s="106"/>
      <c r="K476" s="106"/>
      <c r="L476" s="106"/>
      <c r="M476" s="106"/>
      <c r="N476" s="106"/>
      <c r="O476" s="106"/>
      <c r="P476" s="106"/>
      <c r="Q476" s="106"/>
      <c r="AB476" s="106"/>
      <c r="AR476" s="65"/>
      <c r="AS476" s="65"/>
      <c r="AT476" s="65"/>
      <c r="BC476" s="23"/>
      <c r="BD476" s="23"/>
      <c r="BE476" s="23"/>
      <c r="BF476" s="66"/>
    </row>
    <row r="477">
      <c r="G477" s="106"/>
      <c r="H477" s="105"/>
      <c r="I477" s="106"/>
      <c r="J477" s="106"/>
      <c r="K477" s="106"/>
      <c r="L477" s="106"/>
      <c r="M477" s="106"/>
      <c r="N477" s="106"/>
      <c r="O477" s="106"/>
      <c r="P477" s="106"/>
      <c r="Q477" s="106"/>
      <c r="AB477" s="106"/>
      <c r="AR477" s="65"/>
      <c r="AS477" s="65"/>
      <c r="AT477" s="65"/>
      <c r="BC477" s="23"/>
      <c r="BD477" s="23"/>
      <c r="BE477" s="23"/>
      <c r="BF477" s="66"/>
    </row>
    <row r="478">
      <c r="G478" s="106"/>
      <c r="H478" s="105"/>
      <c r="I478" s="106"/>
      <c r="J478" s="106"/>
      <c r="K478" s="106"/>
      <c r="L478" s="106"/>
      <c r="M478" s="106"/>
      <c r="N478" s="106"/>
      <c r="O478" s="106"/>
      <c r="P478" s="106"/>
      <c r="Q478" s="106"/>
      <c r="AB478" s="106"/>
      <c r="AR478" s="65"/>
      <c r="AS478" s="65"/>
      <c r="AT478" s="65"/>
      <c r="BC478" s="23"/>
      <c r="BD478" s="23"/>
      <c r="BE478" s="23"/>
      <c r="BF478" s="66"/>
    </row>
    <row r="479">
      <c r="G479" s="106"/>
      <c r="H479" s="105"/>
      <c r="I479" s="106"/>
      <c r="J479" s="106"/>
      <c r="K479" s="106"/>
      <c r="L479" s="106"/>
      <c r="M479" s="106"/>
      <c r="N479" s="106"/>
      <c r="O479" s="106"/>
      <c r="P479" s="106"/>
      <c r="Q479" s="106"/>
      <c r="AB479" s="106"/>
      <c r="AR479" s="65"/>
      <c r="AS479" s="65"/>
      <c r="AT479" s="65"/>
      <c r="BC479" s="23"/>
      <c r="BD479" s="23"/>
      <c r="BE479" s="23"/>
      <c r="BF479" s="66"/>
    </row>
    <row r="480">
      <c r="G480" s="106"/>
      <c r="H480" s="105"/>
      <c r="I480" s="106"/>
      <c r="J480" s="106"/>
      <c r="K480" s="106"/>
      <c r="L480" s="106"/>
      <c r="M480" s="106"/>
      <c r="N480" s="106"/>
      <c r="O480" s="106"/>
      <c r="P480" s="106"/>
      <c r="Q480" s="106"/>
      <c r="AB480" s="106"/>
      <c r="AR480" s="65"/>
      <c r="AS480" s="65"/>
      <c r="AT480" s="65"/>
      <c r="BC480" s="23"/>
      <c r="BD480" s="23"/>
      <c r="BE480" s="23"/>
      <c r="BF480" s="66"/>
    </row>
    <row r="481">
      <c r="G481" s="106"/>
      <c r="H481" s="105"/>
      <c r="I481" s="106"/>
      <c r="J481" s="106"/>
      <c r="K481" s="106"/>
      <c r="L481" s="106"/>
      <c r="M481" s="106"/>
      <c r="N481" s="106"/>
      <c r="O481" s="106"/>
      <c r="P481" s="106"/>
      <c r="Q481" s="106"/>
      <c r="AB481" s="106"/>
      <c r="AR481" s="65"/>
      <c r="AS481" s="65"/>
      <c r="AT481" s="65"/>
      <c r="BC481" s="23"/>
      <c r="BD481" s="23"/>
      <c r="BE481" s="23"/>
      <c r="BF481" s="66"/>
    </row>
    <row r="482">
      <c r="G482" s="106"/>
      <c r="H482" s="105"/>
      <c r="I482" s="106"/>
      <c r="J482" s="106"/>
      <c r="K482" s="106"/>
      <c r="L482" s="106"/>
      <c r="M482" s="106"/>
      <c r="N482" s="106"/>
      <c r="O482" s="106"/>
      <c r="P482" s="106"/>
      <c r="Q482" s="106"/>
      <c r="AB482" s="106"/>
      <c r="AR482" s="65"/>
      <c r="AS482" s="65"/>
      <c r="AT482" s="65"/>
      <c r="BC482" s="23"/>
      <c r="BD482" s="23"/>
      <c r="BE482" s="23"/>
      <c r="BF482" s="66"/>
    </row>
    <row r="483">
      <c r="G483" s="106"/>
      <c r="H483" s="105"/>
      <c r="I483" s="106"/>
      <c r="J483" s="106"/>
      <c r="K483" s="106"/>
      <c r="L483" s="106"/>
      <c r="M483" s="106"/>
      <c r="N483" s="106"/>
      <c r="O483" s="106"/>
      <c r="P483" s="106"/>
      <c r="Q483" s="106"/>
      <c r="AB483" s="106"/>
      <c r="AR483" s="65"/>
      <c r="AS483" s="65"/>
      <c r="AT483" s="65"/>
      <c r="BC483" s="23"/>
      <c r="BD483" s="23"/>
      <c r="BE483" s="23"/>
      <c r="BF483" s="66"/>
    </row>
    <row r="484">
      <c r="G484" s="106"/>
      <c r="H484" s="105"/>
      <c r="I484" s="106"/>
      <c r="J484" s="106"/>
      <c r="K484" s="106"/>
      <c r="L484" s="106"/>
      <c r="M484" s="106"/>
      <c r="N484" s="106"/>
      <c r="O484" s="106"/>
      <c r="P484" s="106"/>
      <c r="Q484" s="106"/>
      <c r="AB484" s="106"/>
      <c r="AR484" s="65"/>
      <c r="AS484" s="65"/>
      <c r="AT484" s="65"/>
      <c r="BC484" s="23"/>
      <c r="BD484" s="23"/>
      <c r="BE484" s="23"/>
      <c r="BF484" s="66"/>
    </row>
    <row r="485">
      <c r="G485" s="106"/>
      <c r="H485" s="105"/>
      <c r="I485" s="106"/>
      <c r="J485" s="106"/>
      <c r="K485" s="106"/>
      <c r="L485" s="106"/>
      <c r="M485" s="106"/>
      <c r="N485" s="106"/>
      <c r="O485" s="106"/>
      <c r="P485" s="106"/>
      <c r="Q485" s="106"/>
      <c r="AB485" s="106"/>
      <c r="AR485" s="65"/>
      <c r="AS485" s="65"/>
      <c r="AT485" s="65"/>
      <c r="BC485" s="23"/>
      <c r="BD485" s="23"/>
      <c r="BE485" s="23"/>
      <c r="BF485" s="66"/>
    </row>
    <row r="486">
      <c r="G486" s="106"/>
      <c r="H486" s="105"/>
      <c r="I486" s="106"/>
      <c r="J486" s="106"/>
      <c r="K486" s="106"/>
      <c r="L486" s="106"/>
      <c r="M486" s="106"/>
      <c r="N486" s="106"/>
      <c r="O486" s="106"/>
      <c r="P486" s="106"/>
      <c r="Q486" s="106"/>
      <c r="AB486" s="106"/>
      <c r="AR486" s="65"/>
      <c r="AS486" s="65"/>
      <c r="AT486" s="65"/>
      <c r="BC486" s="23"/>
      <c r="BD486" s="23"/>
      <c r="BE486" s="23"/>
      <c r="BF486" s="66"/>
    </row>
    <row r="487">
      <c r="G487" s="106"/>
      <c r="H487" s="105"/>
      <c r="I487" s="106"/>
      <c r="J487" s="106"/>
      <c r="K487" s="106"/>
      <c r="L487" s="106"/>
      <c r="M487" s="106"/>
      <c r="N487" s="106"/>
      <c r="O487" s="106"/>
      <c r="P487" s="106"/>
      <c r="Q487" s="106"/>
      <c r="AB487" s="106"/>
      <c r="AR487" s="65"/>
      <c r="AS487" s="65"/>
      <c r="AT487" s="65"/>
      <c r="BC487" s="23"/>
      <c r="BD487" s="23"/>
      <c r="BE487" s="23"/>
      <c r="BF487" s="66"/>
    </row>
    <row r="488">
      <c r="G488" s="106"/>
      <c r="H488" s="105"/>
      <c r="I488" s="106"/>
      <c r="J488" s="106"/>
      <c r="K488" s="106"/>
      <c r="L488" s="106"/>
      <c r="M488" s="106"/>
      <c r="N488" s="106"/>
      <c r="O488" s="106"/>
      <c r="P488" s="106"/>
      <c r="Q488" s="106"/>
      <c r="AB488" s="106"/>
      <c r="AR488" s="65"/>
      <c r="AS488" s="65"/>
      <c r="AT488" s="65"/>
      <c r="BC488" s="23"/>
      <c r="BD488" s="23"/>
      <c r="BE488" s="23"/>
      <c r="BF488" s="66"/>
    </row>
    <row r="489">
      <c r="G489" s="106"/>
      <c r="H489" s="105"/>
      <c r="I489" s="106"/>
      <c r="J489" s="106"/>
      <c r="K489" s="106"/>
      <c r="L489" s="106"/>
      <c r="M489" s="106"/>
      <c r="N489" s="106"/>
      <c r="O489" s="106"/>
      <c r="P489" s="106"/>
      <c r="Q489" s="106"/>
      <c r="AB489" s="106"/>
      <c r="AR489" s="65"/>
      <c r="AS489" s="65"/>
      <c r="AT489" s="65"/>
      <c r="BC489" s="23"/>
      <c r="BD489" s="23"/>
      <c r="BE489" s="23"/>
      <c r="BF489" s="66"/>
    </row>
    <row r="490">
      <c r="G490" s="106"/>
      <c r="H490" s="105"/>
      <c r="I490" s="106"/>
      <c r="J490" s="106"/>
      <c r="K490" s="106"/>
      <c r="L490" s="106"/>
      <c r="M490" s="106"/>
      <c r="N490" s="106"/>
      <c r="O490" s="106"/>
      <c r="P490" s="106"/>
      <c r="Q490" s="106"/>
      <c r="AB490" s="106"/>
      <c r="AR490" s="65"/>
      <c r="AS490" s="65"/>
      <c r="AT490" s="65"/>
      <c r="BC490" s="23"/>
      <c r="BD490" s="23"/>
      <c r="BE490" s="23"/>
      <c r="BF490" s="66"/>
    </row>
    <row r="491">
      <c r="G491" s="106"/>
      <c r="H491" s="105"/>
      <c r="I491" s="106"/>
      <c r="J491" s="106"/>
      <c r="K491" s="106"/>
      <c r="L491" s="106"/>
      <c r="M491" s="106"/>
      <c r="N491" s="106"/>
      <c r="O491" s="106"/>
      <c r="P491" s="106"/>
      <c r="Q491" s="106"/>
      <c r="AB491" s="106"/>
      <c r="AR491" s="65"/>
      <c r="AS491" s="65"/>
      <c r="AT491" s="65"/>
      <c r="BC491" s="23"/>
      <c r="BD491" s="23"/>
      <c r="BE491" s="23"/>
      <c r="BF491" s="66"/>
    </row>
    <row r="492">
      <c r="G492" s="106"/>
      <c r="H492" s="105"/>
      <c r="I492" s="106"/>
      <c r="J492" s="106"/>
      <c r="K492" s="106"/>
      <c r="L492" s="106"/>
      <c r="M492" s="106"/>
      <c r="N492" s="106"/>
      <c r="O492" s="106"/>
      <c r="P492" s="106"/>
      <c r="Q492" s="106"/>
      <c r="AB492" s="106"/>
      <c r="AR492" s="65"/>
      <c r="AS492" s="65"/>
      <c r="AT492" s="65"/>
      <c r="BC492" s="23"/>
      <c r="BD492" s="23"/>
      <c r="BE492" s="23"/>
      <c r="BF492" s="66"/>
    </row>
    <row r="493">
      <c r="G493" s="106"/>
      <c r="H493" s="105"/>
      <c r="I493" s="106"/>
      <c r="J493" s="106"/>
      <c r="K493" s="106"/>
      <c r="L493" s="106"/>
      <c r="M493" s="106"/>
      <c r="N493" s="106"/>
      <c r="O493" s="106"/>
      <c r="P493" s="106"/>
      <c r="Q493" s="106"/>
      <c r="AB493" s="106"/>
      <c r="AR493" s="65"/>
      <c r="AS493" s="65"/>
      <c r="AT493" s="65"/>
      <c r="BC493" s="23"/>
      <c r="BD493" s="23"/>
      <c r="BE493" s="23"/>
      <c r="BF493" s="66"/>
    </row>
    <row r="494">
      <c r="G494" s="106"/>
      <c r="H494" s="105"/>
      <c r="I494" s="106"/>
      <c r="J494" s="106"/>
      <c r="K494" s="106"/>
      <c r="L494" s="106"/>
      <c r="M494" s="106"/>
      <c r="N494" s="106"/>
      <c r="O494" s="106"/>
      <c r="P494" s="106"/>
      <c r="Q494" s="106"/>
      <c r="AB494" s="106"/>
      <c r="AR494" s="65"/>
      <c r="AS494" s="65"/>
      <c r="AT494" s="65"/>
      <c r="BC494" s="23"/>
      <c r="BD494" s="23"/>
      <c r="BE494" s="23"/>
      <c r="BF494" s="66"/>
    </row>
    <row r="495">
      <c r="G495" s="106"/>
      <c r="H495" s="105"/>
      <c r="I495" s="106"/>
      <c r="J495" s="106"/>
      <c r="K495" s="106"/>
      <c r="L495" s="106"/>
      <c r="M495" s="106"/>
      <c r="N495" s="106"/>
      <c r="O495" s="106"/>
      <c r="P495" s="106"/>
      <c r="Q495" s="106"/>
      <c r="AB495" s="106"/>
      <c r="AR495" s="65"/>
      <c r="AS495" s="65"/>
      <c r="AT495" s="65"/>
      <c r="BC495" s="23"/>
      <c r="BD495" s="23"/>
      <c r="BE495" s="23"/>
      <c r="BF495" s="66"/>
    </row>
    <row r="496">
      <c r="G496" s="106"/>
      <c r="H496" s="105"/>
      <c r="I496" s="106"/>
      <c r="J496" s="106"/>
      <c r="K496" s="106"/>
      <c r="L496" s="106"/>
      <c r="M496" s="106"/>
      <c r="N496" s="106"/>
      <c r="O496" s="106"/>
      <c r="P496" s="106"/>
      <c r="Q496" s="106"/>
      <c r="AB496" s="106"/>
      <c r="AR496" s="65"/>
      <c r="AS496" s="65"/>
      <c r="AT496" s="65"/>
      <c r="BC496" s="23"/>
      <c r="BD496" s="23"/>
      <c r="BE496" s="23"/>
      <c r="BF496" s="66"/>
    </row>
    <row r="497">
      <c r="G497" s="106"/>
      <c r="H497" s="105"/>
      <c r="I497" s="106"/>
      <c r="J497" s="106"/>
      <c r="K497" s="106"/>
      <c r="L497" s="106"/>
      <c r="M497" s="106"/>
      <c r="N497" s="106"/>
      <c r="O497" s="106"/>
      <c r="P497" s="106"/>
      <c r="Q497" s="106"/>
      <c r="AB497" s="106"/>
      <c r="AR497" s="65"/>
      <c r="AS497" s="65"/>
      <c r="AT497" s="65"/>
      <c r="BC497" s="23"/>
      <c r="BD497" s="23"/>
      <c r="BE497" s="23"/>
      <c r="BF497" s="66"/>
    </row>
    <row r="498">
      <c r="G498" s="106"/>
      <c r="H498" s="105"/>
      <c r="I498" s="106"/>
      <c r="J498" s="106"/>
      <c r="K498" s="106"/>
      <c r="L498" s="106"/>
      <c r="M498" s="106"/>
      <c r="N498" s="106"/>
      <c r="O498" s="106"/>
      <c r="P498" s="106"/>
      <c r="Q498" s="106"/>
      <c r="AB498" s="106"/>
      <c r="AR498" s="65"/>
      <c r="AS498" s="65"/>
      <c r="AT498" s="65"/>
      <c r="BC498" s="23"/>
      <c r="BD498" s="23"/>
      <c r="BE498" s="23"/>
      <c r="BF498" s="66"/>
    </row>
    <row r="499">
      <c r="G499" s="106"/>
      <c r="H499" s="105"/>
      <c r="I499" s="106"/>
      <c r="J499" s="106"/>
      <c r="K499" s="106"/>
      <c r="L499" s="106"/>
      <c r="M499" s="106"/>
      <c r="N499" s="106"/>
      <c r="O499" s="106"/>
      <c r="P499" s="106"/>
      <c r="Q499" s="106"/>
      <c r="AB499" s="106"/>
      <c r="AR499" s="65"/>
      <c r="AS499" s="65"/>
      <c r="AT499" s="65"/>
      <c r="BC499" s="23"/>
      <c r="BD499" s="23"/>
      <c r="BE499" s="23"/>
      <c r="BF499" s="66"/>
    </row>
    <row r="500">
      <c r="G500" s="106"/>
      <c r="H500" s="105"/>
      <c r="I500" s="106"/>
      <c r="J500" s="106"/>
      <c r="K500" s="106"/>
      <c r="L500" s="106"/>
      <c r="M500" s="106"/>
      <c r="N500" s="106"/>
      <c r="O500" s="106"/>
      <c r="P500" s="106"/>
      <c r="Q500" s="106"/>
      <c r="AB500" s="106"/>
      <c r="AR500" s="65"/>
      <c r="AS500" s="65"/>
      <c r="AT500" s="65"/>
      <c r="BC500" s="23"/>
      <c r="BD500" s="23"/>
      <c r="BE500" s="23"/>
      <c r="BF500" s="66"/>
    </row>
    <row r="501">
      <c r="G501" s="106"/>
      <c r="H501" s="105"/>
      <c r="I501" s="106"/>
      <c r="J501" s="106"/>
      <c r="K501" s="106"/>
      <c r="L501" s="106"/>
      <c r="M501" s="106"/>
      <c r="N501" s="106"/>
      <c r="O501" s="106"/>
      <c r="P501" s="106"/>
      <c r="Q501" s="106"/>
      <c r="AB501" s="106"/>
      <c r="AR501" s="65"/>
      <c r="AS501" s="65"/>
      <c r="AT501" s="65"/>
      <c r="BC501" s="23"/>
      <c r="BD501" s="23"/>
      <c r="BE501" s="23"/>
      <c r="BF501" s="66"/>
    </row>
    <row r="502">
      <c r="G502" s="106"/>
      <c r="H502" s="105"/>
      <c r="I502" s="106"/>
      <c r="J502" s="106"/>
      <c r="K502" s="106"/>
      <c r="L502" s="106"/>
      <c r="M502" s="106"/>
      <c r="N502" s="106"/>
      <c r="O502" s="106"/>
      <c r="P502" s="106"/>
      <c r="Q502" s="106"/>
      <c r="AB502" s="106"/>
      <c r="AR502" s="65"/>
      <c r="AS502" s="65"/>
      <c r="AT502" s="65"/>
      <c r="BC502" s="23"/>
      <c r="BD502" s="23"/>
      <c r="BE502" s="23"/>
      <c r="BF502" s="66"/>
    </row>
    <row r="503">
      <c r="G503" s="106"/>
      <c r="H503" s="105"/>
      <c r="I503" s="106"/>
      <c r="J503" s="106"/>
      <c r="K503" s="106"/>
      <c r="L503" s="106"/>
      <c r="M503" s="106"/>
      <c r="N503" s="106"/>
      <c r="O503" s="106"/>
      <c r="P503" s="106"/>
      <c r="Q503" s="106"/>
      <c r="AB503" s="106"/>
      <c r="AR503" s="65"/>
      <c r="AS503" s="65"/>
      <c r="AT503" s="65"/>
      <c r="BC503" s="23"/>
      <c r="BD503" s="23"/>
      <c r="BE503" s="23"/>
      <c r="BF503" s="66"/>
    </row>
    <row r="504">
      <c r="G504" s="106"/>
      <c r="H504" s="105"/>
      <c r="I504" s="106"/>
      <c r="J504" s="106"/>
      <c r="K504" s="106"/>
      <c r="L504" s="106"/>
      <c r="M504" s="106"/>
      <c r="N504" s="106"/>
      <c r="O504" s="106"/>
      <c r="P504" s="106"/>
      <c r="Q504" s="106"/>
      <c r="AB504" s="106"/>
      <c r="AR504" s="65"/>
      <c r="AS504" s="65"/>
      <c r="AT504" s="65"/>
      <c r="BC504" s="23"/>
      <c r="BD504" s="23"/>
      <c r="BE504" s="23"/>
      <c r="BF504" s="66"/>
    </row>
    <row r="505">
      <c r="G505" s="106"/>
      <c r="H505" s="105"/>
      <c r="I505" s="106"/>
      <c r="J505" s="106"/>
      <c r="K505" s="106"/>
      <c r="L505" s="106"/>
      <c r="M505" s="106"/>
      <c r="N505" s="106"/>
      <c r="O505" s="106"/>
      <c r="P505" s="106"/>
      <c r="Q505" s="106"/>
      <c r="AB505" s="106"/>
      <c r="AR505" s="65"/>
      <c r="AS505" s="65"/>
      <c r="AT505" s="65"/>
      <c r="BC505" s="23"/>
      <c r="BD505" s="23"/>
      <c r="BE505" s="23"/>
      <c r="BF505" s="66"/>
    </row>
    <row r="506">
      <c r="G506" s="106"/>
      <c r="H506" s="105"/>
      <c r="I506" s="106"/>
      <c r="J506" s="106"/>
      <c r="K506" s="106"/>
      <c r="L506" s="106"/>
      <c r="M506" s="106"/>
      <c r="N506" s="106"/>
      <c r="O506" s="106"/>
      <c r="P506" s="106"/>
      <c r="Q506" s="106"/>
      <c r="AB506" s="106"/>
      <c r="AR506" s="65"/>
      <c r="AS506" s="65"/>
      <c r="AT506" s="65"/>
      <c r="BC506" s="23"/>
      <c r="BD506" s="23"/>
      <c r="BE506" s="23"/>
      <c r="BF506" s="66"/>
    </row>
    <row r="507">
      <c r="G507" s="106"/>
      <c r="H507" s="105"/>
      <c r="I507" s="106"/>
      <c r="J507" s="106"/>
      <c r="K507" s="106"/>
      <c r="L507" s="106"/>
      <c r="M507" s="106"/>
      <c r="N507" s="106"/>
      <c r="O507" s="106"/>
      <c r="P507" s="106"/>
      <c r="Q507" s="106"/>
      <c r="AB507" s="106"/>
      <c r="AR507" s="65"/>
      <c r="AS507" s="65"/>
      <c r="AT507" s="65"/>
      <c r="BC507" s="23"/>
      <c r="BD507" s="23"/>
      <c r="BE507" s="23"/>
      <c r="BF507" s="66"/>
    </row>
    <row r="508">
      <c r="G508" s="106"/>
      <c r="H508" s="105"/>
      <c r="I508" s="106"/>
      <c r="J508" s="106"/>
      <c r="K508" s="106"/>
      <c r="L508" s="106"/>
      <c r="M508" s="106"/>
      <c r="N508" s="106"/>
      <c r="O508" s="106"/>
      <c r="P508" s="106"/>
      <c r="Q508" s="106"/>
      <c r="AB508" s="106"/>
      <c r="AR508" s="65"/>
      <c r="AS508" s="65"/>
      <c r="AT508" s="65"/>
      <c r="BC508" s="23"/>
      <c r="BD508" s="23"/>
      <c r="BE508" s="23"/>
      <c r="BF508" s="66"/>
    </row>
    <row r="509">
      <c r="G509" s="106"/>
      <c r="H509" s="105"/>
      <c r="I509" s="106"/>
      <c r="J509" s="106"/>
      <c r="K509" s="106"/>
      <c r="L509" s="106"/>
      <c r="M509" s="106"/>
      <c r="N509" s="106"/>
      <c r="O509" s="106"/>
      <c r="P509" s="106"/>
      <c r="Q509" s="106"/>
      <c r="AB509" s="106"/>
      <c r="AR509" s="65"/>
      <c r="AS509" s="65"/>
      <c r="AT509" s="65"/>
      <c r="BC509" s="23"/>
      <c r="BD509" s="23"/>
      <c r="BE509" s="23"/>
      <c r="BF509" s="66"/>
    </row>
    <row r="510">
      <c r="G510" s="106"/>
      <c r="H510" s="105"/>
      <c r="I510" s="106"/>
      <c r="J510" s="106"/>
      <c r="K510" s="106"/>
      <c r="L510" s="106"/>
      <c r="M510" s="106"/>
      <c r="N510" s="106"/>
      <c r="O510" s="106"/>
      <c r="P510" s="106"/>
      <c r="Q510" s="106"/>
      <c r="AB510" s="106"/>
      <c r="AR510" s="65"/>
      <c r="AS510" s="65"/>
      <c r="AT510" s="65"/>
      <c r="BC510" s="23"/>
      <c r="BD510" s="23"/>
      <c r="BE510" s="23"/>
      <c r="BF510" s="66"/>
    </row>
    <row r="511">
      <c r="G511" s="106"/>
      <c r="H511" s="105"/>
      <c r="I511" s="106"/>
      <c r="J511" s="106"/>
      <c r="K511" s="106"/>
      <c r="L511" s="106"/>
      <c r="M511" s="106"/>
      <c r="N511" s="106"/>
      <c r="O511" s="106"/>
      <c r="P511" s="106"/>
      <c r="Q511" s="106"/>
      <c r="AB511" s="106"/>
      <c r="AR511" s="65"/>
      <c r="AS511" s="65"/>
      <c r="AT511" s="65"/>
      <c r="BC511" s="23"/>
      <c r="BD511" s="23"/>
      <c r="BE511" s="23"/>
      <c r="BF511" s="66"/>
    </row>
    <row r="512">
      <c r="G512" s="106"/>
      <c r="H512" s="105"/>
      <c r="I512" s="106"/>
      <c r="J512" s="106"/>
      <c r="K512" s="106"/>
      <c r="L512" s="106"/>
      <c r="M512" s="106"/>
      <c r="N512" s="106"/>
      <c r="O512" s="106"/>
      <c r="P512" s="106"/>
      <c r="Q512" s="106"/>
      <c r="AB512" s="106"/>
      <c r="AR512" s="65"/>
      <c r="AS512" s="65"/>
      <c r="AT512" s="65"/>
      <c r="BC512" s="23"/>
      <c r="BD512" s="23"/>
      <c r="BE512" s="23"/>
      <c r="BF512" s="66"/>
    </row>
    <row r="513">
      <c r="G513" s="106"/>
      <c r="H513" s="105"/>
      <c r="I513" s="106"/>
      <c r="J513" s="106"/>
      <c r="K513" s="106"/>
      <c r="L513" s="106"/>
      <c r="M513" s="106"/>
      <c r="N513" s="106"/>
      <c r="O513" s="106"/>
      <c r="P513" s="106"/>
      <c r="Q513" s="106"/>
      <c r="AB513" s="106"/>
      <c r="AR513" s="65"/>
      <c r="AS513" s="65"/>
      <c r="AT513" s="65"/>
      <c r="BC513" s="23"/>
      <c r="BD513" s="23"/>
      <c r="BE513" s="23"/>
      <c r="BF513" s="66"/>
    </row>
    <row r="514">
      <c r="G514" s="106"/>
      <c r="H514" s="105"/>
      <c r="I514" s="106"/>
      <c r="J514" s="106"/>
      <c r="K514" s="106"/>
      <c r="L514" s="106"/>
      <c r="M514" s="106"/>
      <c r="N514" s="106"/>
      <c r="O514" s="106"/>
      <c r="P514" s="106"/>
      <c r="Q514" s="106"/>
      <c r="AB514" s="106"/>
      <c r="AR514" s="65"/>
      <c r="AS514" s="65"/>
      <c r="AT514" s="65"/>
      <c r="BC514" s="23"/>
      <c r="BD514" s="23"/>
      <c r="BE514" s="23"/>
      <c r="BF514" s="66"/>
    </row>
    <row r="515">
      <c r="G515" s="106"/>
      <c r="H515" s="105"/>
      <c r="I515" s="106"/>
      <c r="J515" s="106"/>
      <c r="K515" s="106"/>
      <c r="L515" s="106"/>
      <c r="M515" s="106"/>
      <c r="N515" s="106"/>
      <c r="O515" s="106"/>
      <c r="P515" s="106"/>
      <c r="Q515" s="106"/>
      <c r="AB515" s="106"/>
      <c r="AR515" s="65"/>
      <c r="AS515" s="65"/>
      <c r="AT515" s="65"/>
      <c r="BC515" s="23"/>
      <c r="BD515" s="23"/>
      <c r="BE515" s="23"/>
      <c r="BF515" s="66"/>
    </row>
    <row r="516">
      <c r="G516" s="106"/>
      <c r="H516" s="105"/>
      <c r="I516" s="106"/>
      <c r="J516" s="106"/>
      <c r="K516" s="106"/>
      <c r="L516" s="106"/>
      <c r="M516" s="106"/>
      <c r="N516" s="106"/>
      <c r="O516" s="106"/>
      <c r="P516" s="106"/>
      <c r="Q516" s="106"/>
      <c r="AB516" s="106"/>
      <c r="AR516" s="65"/>
      <c r="AS516" s="65"/>
      <c r="AT516" s="65"/>
      <c r="BC516" s="23"/>
      <c r="BD516" s="23"/>
      <c r="BE516" s="23"/>
      <c r="BF516" s="66"/>
    </row>
    <row r="517">
      <c r="G517" s="106"/>
      <c r="H517" s="105"/>
      <c r="I517" s="106"/>
      <c r="J517" s="106"/>
      <c r="K517" s="106"/>
      <c r="L517" s="106"/>
      <c r="M517" s="106"/>
      <c r="N517" s="106"/>
      <c r="O517" s="106"/>
      <c r="P517" s="106"/>
      <c r="Q517" s="106"/>
      <c r="AB517" s="106"/>
      <c r="AR517" s="65"/>
      <c r="AS517" s="65"/>
      <c r="AT517" s="65"/>
      <c r="BC517" s="23"/>
      <c r="BD517" s="23"/>
      <c r="BE517" s="23"/>
      <c r="BF517" s="66"/>
    </row>
    <row r="518">
      <c r="G518" s="106"/>
      <c r="H518" s="105"/>
      <c r="I518" s="106"/>
      <c r="J518" s="106"/>
      <c r="K518" s="106"/>
      <c r="L518" s="106"/>
      <c r="M518" s="106"/>
      <c r="N518" s="106"/>
      <c r="O518" s="106"/>
      <c r="P518" s="106"/>
      <c r="Q518" s="106"/>
      <c r="AB518" s="106"/>
      <c r="AR518" s="65"/>
      <c r="AS518" s="65"/>
      <c r="AT518" s="65"/>
      <c r="BC518" s="23"/>
      <c r="BD518" s="23"/>
      <c r="BE518" s="23"/>
      <c r="BF518" s="66"/>
    </row>
    <row r="519">
      <c r="G519" s="106"/>
      <c r="H519" s="105"/>
      <c r="I519" s="106"/>
      <c r="J519" s="106"/>
      <c r="K519" s="106"/>
      <c r="L519" s="106"/>
      <c r="M519" s="106"/>
      <c r="N519" s="106"/>
      <c r="O519" s="106"/>
      <c r="P519" s="106"/>
      <c r="Q519" s="106"/>
      <c r="AB519" s="106"/>
      <c r="AR519" s="65"/>
      <c r="AS519" s="65"/>
      <c r="AT519" s="65"/>
      <c r="BC519" s="23"/>
      <c r="BD519" s="23"/>
      <c r="BE519" s="23"/>
      <c r="BF519" s="66"/>
    </row>
    <row r="520">
      <c r="G520" s="106"/>
      <c r="H520" s="105"/>
      <c r="I520" s="106"/>
      <c r="J520" s="106"/>
      <c r="K520" s="106"/>
      <c r="L520" s="106"/>
      <c r="M520" s="106"/>
      <c r="N520" s="106"/>
      <c r="O520" s="106"/>
      <c r="P520" s="106"/>
      <c r="Q520" s="106"/>
      <c r="AB520" s="106"/>
      <c r="AR520" s="65"/>
      <c r="AS520" s="65"/>
      <c r="AT520" s="65"/>
      <c r="BC520" s="23"/>
      <c r="BD520" s="23"/>
      <c r="BE520" s="23"/>
      <c r="BF520" s="66"/>
    </row>
    <row r="521">
      <c r="G521" s="106"/>
      <c r="H521" s="105"/>
      <c r="I521" s="106"/>
      <c r="J521" s="106"/>
      <c r="K521" s="106"/>
      <c r="L521" s="106"/>
      <c r="M521" s="106"/>
      <c r="N521" s="106"/>
      <c r="O521" s="106"/>
      <c r="P521" s="106"/>
      <c r="Q521" s="106"/>
      <c r="AB521" s="106"/>
      <c r="AR521" s="65"/>
      <c r="AS521" s="65"/>
      <c r="AT521" s="65"/>
      <c r="BC521" s="23"/>
      <c r="BD521" s="23"/>
      <c r="BE521" s="23"/>
      <c r="BF521" s="66"/>
    </row>
    <row r="522">
      <c r="G522" s="106"/>
      <c r="H522" s="105"/>
      <c r="I522" s="106"/>
      <c r="J522" s="106"/>
      <c r="K522" s="106"/>
      <c r="L522" s="106"/>
      <c r="M522" s="106"/>
      <c r="N522" s="106"/>
      <c r="O522" s="106"/>
      <c r="P522" s="106"/>
      <c r="Q522" s="106"/>
      <c r="AB522" s="106"/>
      <c r="AR522" s="65"/>
      <c r="AS522" s="65"/>
      <c r="AT522" s="65"/>
      <c r="BC522" s="23"/>
      <c r="BD522" s="23"/>
      <c r="BE522" s="23"/>
      <c r="BF522" s="66"/>
    </row>
    <row r="523">
      <c r="G523" s="106"/>
      <c r="H523" s="105"/>
      <c r="I523" s="106"/>
      <c r="J523" s="106"/>
      <c r="K523" s="106"/>
      <c r="L523" s="106"/>
      <c r="M523" s="106"/>
      <c r="N523" s="106"/>
      <c r="O523" s="106"/>
      <c r="P523" s="106"/>
      <c r="Q523" s="106"/>
      <c r="AB523" s="106"/>
      <c r="AR523" s="65"/>
      <c r="AS523" s="65"/>
      <c r="AT523" s="65"/>
      <c r="BC523" s="23"/>
      <c r="BD523" s="23"/>
      <c r="BE523" s="23"/>
      <c r="BF523" s="66"/>
    </row>
    <row r="524">
      <c r="G524" s="106"/>
      <c r="H524" s="105"/>
      <c r="I524" s="106"/>
      <c r="J524" s="106"/>
      <c r="K524" s="106"/>
      <c r="L524" s="106"/>
      <c r="M524" s="106"/>
      <c r="N524" s="106"/>
      <c r="O524" s="106"/>
      <c r="P524" s="106"/>
      <c r="Q524" s="106"/>
      <c r="AB524" s="106"/>
      <c r="AR524" s="65"/>
      <c r="AS524" s="65"/>
      <c r="AT524" s="65"/>
      <c r="BC524" s="23"/>
      <c r="BD524" s="23"/>
      <c r="BE524" s="23"/>
      <c r="BF524" s="66"/>
    </row>
    <row r="525">
      <c r="G525" s="106"/>
      <c r="H525" s="105"/>
      <c r="I525" s="106"/>
      <c r="J525" s="106"/>
      <c r="K525" s="106"/>
      <c r="L525" s="106"/>
      <c r="M525" s="106"/>
      <c r="N525" s="106"/>
      <c r="O525" s="106"/>
      <c r="P525" s="106"/>
      <c r="Q525" s="106"/>
      <c r="AB525" s="106"/>
      <c r="AR525" s="65"/>
      <c r="AS525" s="65"/>
      <c r="AT525" s="65"/>
      <c r="BC525" s="23"/>
      <c r="BD525" s="23"/>
      <c r="BE525" s="23"/>
      <c r="BF525" s="66"/>
    </row>
    <row r="526">
      <c r="G526" s="106"/>
      <c r="H526" s="105"/>
      <c r="I526" s="106"/>
      <c r="J526" s="106"/>
      <c r="K526" s="106"/>
      <c r="L526" s="106"/>
      <c r="M526" s="106"/>
      <c r="N526" s="106"/>
      <c r="O526" s="106"/>
      <c r="P526" s="106"/>
      <c r="Q526" s="106"/>
      <c r="AB526" s="106"/>
      <c r="AR526" s="65"/>
      <c r="AS526" s="65"/>
      <c r="AT526" s="65"/>
      <c r="BC526" s="23"/>
      <c r="BD526" s="23"/>
      <c r="BE526" s="23"/>
      <c r="BF526" s="66"/>
    </row>
    <row r="527">
      <c r="G527" s="106"/>
      <c r="H527" s="105"/>
      <c r="I527" s="106"/>
      <c r="J527" s="106"/>
      <c r="K527" s="106"/>
      <c r="L527" s="106"/>
      <c r="M527" s="106"/>
      <c r="N527" s="106"/>
      <c r="O527" s="106"/>
      <c r="P527" s="106"/>
      <c r="Q527" s="106"/>
      <c r="AB527" s="106"/>
      <c r="AR527" s="65"/>
      <c r="AS527" s="65"/>
      <c r="AT527" s="65"/>
      <c r="BC527" s="23"/>
      <c r="BD527" s="23"/>
      <c r="BE527" s="23"/>
      <c r="BF527" s="66"/>
    </row>
    <row r="528">
      <c r="G528" s="106"/>
      <c r="H528" s="105"/>
      <c r="I528" s="106"/>
      <c r="J528" s="106"/>
      <c r="K528" s="106"/>
      <c r="L528" s="106"/>
      <c r="M528" s="106"/>
      <c r="N528" s="106"/>
      <c r="O528" s="106"/>
      <c r="P528" s="106"/>
      <c r="Q528" s="106"/>
      <c r="AB528" s="106"/>
      <c r="AR528" s="65"/>
      <c r="AS528" s="65"/>
      <c r="AT528" s="65"/>
      <c r="BC528" s="23"/>
      <c r="BD528" s="23"/>
      <c r="BE528" s="23"/>
      <c r="BF528" s="66"/>
    </row>
    <row r="529">
      <c r="G529" s="106"/>
      <c r="H529" s="105"/>
      <c r="I529" s="106"/>
      <c r="J529" s="106"/>
      <c r="K529" s="106"/>
      <c r="L529" s="106"/>
      <c r="M529" s="106"/>
      <c r="N529" s="106"/>
      <c r="O529" s="106"/>
      <c r="P529" s="106"/>
      <c r="Q529" s="106"/>
      <c r="AB529" s="106"/>
      <c r="AR529" s="65"/>
      <c r="AS529" s="65"/>
      <c r="AT529" s="65"/>
      <c r="BC529" s="23"/>
      <c r="BD529" s="23"/>
      <c r="BE529" s="23"/>
      <c r="BF529" s="66"/>
    </row>
    <row r="530">
      <c r="G530" s="106"/>
      <c r="H530" s="105"/>
      <c r="I530" s="106"/>
      <c r="J530" s="106"/>
      <c r="K530" s="106"/>
      <c r="L530" s="106"/>
      <c r="M530" s="106"/>
      <c r="N530" s="106"/>
      <c r="O530" s="106"/>
      <c r="P530" s="106"/>
      <c r="Q530" s="106"/>
      <c r="AB530" s="106"/>
      <c r="AR530" s="65"/>
      <c r="AS530" s="65"/>
      <c r="AT530" s="65"/>
      <c r="BC530" s="23"/>
      <c r="BD530" s="23"/>
      <c r="BE530" s="23"/>
      <c r="BF530" s="66"/>
    </row>
    <row r="531">
      <c r="G531" s="106"/>
      <c r="H531" s="105"/>
      <c r="I531" s="106"/>
      <c r="J531" s="106"/>
      <c r="K531" s="106"/>
      <c r="L531" s="106"/>
      <c r="M531" s="106"/>
      <c r="N531" s="106"/>
      <c r="O531" s="106"/>
      <c r="P531" s="106"/>
      <c r="Q531" s="106"/>
      <c r="AB531" s="106"/>
      <c r="AR531" s="65"/>
      <c r="AS531" s="65"/>
      <c r="AT531" s="65"/>
      <c r="BC531" s="23"/>
      <c r="BD531" s="23"/>
      <c r="BE531" s="23"/>
      <c r="BF531" s="66"/>
    </row>
    <row r="532">
      <c r="G532" s="106"/>
      <c r="H532" s="105"/>
      <c r="I532" s="106"/>
      <c r="J532" s="106"/>
      <c r="K532" s="106"/>
      <c r="L532" s="106"/>
      <c r="M532" s="106"/>
      <c r="N532" s="106"/>
      <c r="O532" s="106"/>
      <c r="P532" s="106"/>
      <c r="Q532" s="106"/>
      <c r="AB532" s="106"/>
      <c r="AR532" s="65"/>
      <c r="AS532" s="65"/>
      <c r="AT532" s="65"/>
      <c r="BC532" s="23"/>
      <c r="BD532" s="23"/>
      <c r="BE532" s="23"/>
      <c r="BF532" s="66"/>
    </row>
    <row r="533">
      <c r="G533" s="106"/>
      <c r="H533" s="105"/>
      <c r="I533" s="106"/>
      <c r="J533" s="106"/>
      <c r="K533" s="106"/>
      <c r="L533" s="106"/>
      <c r="M533" s="106"/>
      <c r="N533" s="106"/>
      <c r="O533" s="106"/>
      <c r="P533" s="106"/>
      <c r="Q533" s="106"/>
      <c r="AB533" s="106"/>
      <c r="AR533" s="65"/>
      <c r="AS533" s="65"/>
      <c r="AT533" s="65"/>
      <c r="BC533" s="23"/>
      <c r="BD533" s="23"/>
      <c r="BE533" s="23"/>
      <c r="BF533" s="66"/>
    </row>
    <row r="534">
      <c r="G534" s="106"/>
      <c r="H534" s="105"/>
      <c r="I534" s="106"/>
      <c r="J534" s="106"/>
      <c r="K534" s="106"/>
      <c r="L534" s="106"/>
      <c r="M534" s="106"/>
      <c r="N534" s="106"/>
      <c r="O534" s="106"/>
      <c r="P534" s="106"/>
      <c r="Q534" s="106"/>
      <c r="AB534" s="106"/>
      <c r="AR534" s="65"/>
      <c r="AS534" s="65"/>
      <c r="AT534" s="65"/>
      <c r="BC534" s="23"/>
      <c r="BD534" s="23"/>
      <c r="BE534" s="23"/>
      <c r="BF534" s="66"/>
    </row>
    <row r="535">
      <c r="G535" s="106"/>
      <c r="H535" s="105"/>
      <c r="I535" s="106"/>
      <c r="J535" s="106"/>
      <c r="K535" s="106"/>
      <c r="L535" s="106"/>
      <c r="M535" s="106"/>
      <c r="N535" s="106"/>
      <c r="O535" s="106"/>
      <c r="P535" s="106"/>
      <c r="Q535" s="106"/>
      <c r="AB535" s="106"/>
      <c r="AR535" s="65"/>
      <c r="AS535" s="65"/>
      <c r="AT535" s="65"/>
      <c r="BC535" s="23"/>
      <c r="BD535" s="23"/>
      <c r="BE535" s="23"/>
      <c r="BF535" s="66"/>
    </row>
    <row r="536">
      <c r="G536" s="106"/>
      <c r="H536" s="105"/>
      <c r="I536" s="106"/>
      <c r="J536" s="106"/>
      <c r="K536" s="106"/>
      <c r="L536" s="106"/>
      <c r="M536" s="106"/>
      <c r="N536" s="106"/>
      <c r="O536" s="106"/>
      <c r="P536" s="106"/>
      <c r="Q536" s="106"/>
      <c r="AB536" s="106"/>
      <c r="AR536" s="65"/>
      <c r="AS536" s="65"/>
      <c r="AT536" s="65"/>
      <c r="BC536" s="23"/>
      <c r="BD536" s="23"/>
      <c r="BE536" s="23"/>
      <c r="BF536" s="66"/>
    </row>
    <row r="537">
      <c r="G537" s="106"/>
      <c r="H537" s="105"/>
      <c r="I537" s="106"/>
      <c r="J537" s="106"/>
      <c r="K537" s="106"/>
      <c r="L537" s="106"/>
      <c r="M537" s="106"/>
      <c r="N537" s="106"/>
      <c r="O537" s="106"/>
      <c r="P537" s="106"/>
      <c r="Q537" s="106"/>
      <c r="AB537" s="106"/>
      <c r="AR537" s="65"/>
      <c r="AS537" s="65"/>
      <c r="AT537" s="65"/>
      <c r="BC537" s="23"/>
      <c r="BD537" s="23"/>
      <c r="BE537" s="23"/>
      <c r="BF537" s="66"/>
    </row>
    <row r="538">
      <c r="G538" s="106"/>
      <c r="H538" s="105"/>
      <c r="I538" s="106"/>
      <c r="J538" s="106"/>
      <c r="K538" s="106"/>
      <c r="L538" s="106"/>
      <c r="M538" s="106"/>
      <c r="N538" s="106"/>
      <c r="O538" s="106"/>
      <c r="P538" s="106"/>
      <c r="Q538" s="106"/>
      <c r="AB538" s="106"/>
      <c r="AR538" s="65"/>
      <c r="AS538" s="65"/>
      <c r="AT538" s="65"/>
      <c r="BC538" s="23"/>
      <c r="BD538" s="23"/>
      <c r="BE538" s="23"/>
      <c r="BF538" s="66"/>
    </row>
    <row r="539">
      <c r="G539" s="106"/>
      <c r="H539" s="105"/>
      <c r="I539" s="106"/>
      <c r="J539" s="106"/>
      <c r="K539" s="106"/>
      <c r="L539" s="106"/>
      <c r="M539" s="106"/>
      <c r="N539" s="106"/>
      <c r="O539" s="106"/>
      <c r="P539" s="106"/>
      <c r="Q539" s="106"/>
      <c r="AB539" s="106"/>
      <c r="AR539" s="65"/>
      <c r="AS539" s="65"/>
      <c r="AT539" s="65"/>
      <c r="BC539" s="23"/>
      <c r="BD539" s="23"/>
      <c r="BE539" s="23"/>
      <c r="BF539" s="66"/>
    </row>
    <row r="540">
      <c r="G540" s="106"/>
      <c r="H540" s="105"/>
      <c r="I540" s="106"/>
      <c r="J540" s="106"/>
      <c r="K540" s="106"/>
      <c r="L540" s="106"/>
      <c r="M540" s="106"/>
      <c r="N540" s="106"/>
      <c r="O540" s="106"/>
      <c r="P540" s="106"/>
      <c r="Q540" s="106"/>
      <c r="AB540" s="106"/>
      <c r="AR540" s="65"/>
      <c r="AS540" s="65"/>
      <c r="AT540" s="65"/>
      <c r="BC540" s="23"/>
      <c r="BD540" s="23"/>
      <c r="BE540" s="23"/>
      <c r="BF540" s="66"/>
    </row>
    <row r="541">
      <c r="G541" s="106"/>
      <c r="H541" s="105"/>
      <c r="I541" s="106"/>
      <c r="J541" s="106"/>
      <c r="K541" s="106"/>
      <c r="L541" s="106"/>
      <c r="M541" s="106"/>
      <c r="N541" s="106"/>
      <c r="O541" s="106"/>
      <c r="P541" s="106"/>
      <c r="Q541" s="106"/>
      <c r="AB541" s="106"/>
      <c r="AR541" s="65"/>
      <c r="AS541" s="65"/>
      <c r="AT541" s="65"/>
      <c r="BC541" s="23"/>
      <c r="BD541" s="23"/>
      <c r="BE541" s="23"/>
      <c r="BF541" s="66"/>
    </row>
    <row r="542">
      <c r="G542" s="106"/>
      <c r="H542" s="105"/>
      <c r="I542" s="106"/>
      <c r="J542" s="106"/>
      <c r="K542" s="106"/>
      <c r="L542" s="106"/>
      <c r="M542" s="106"/>
      <c r="N542" s="106"/>
      <c r="O542" s="106"/>
      <c r="P542" s="106"/>
      <c r="Q542" s="106"/>
      <c r="AB542" s="106"/>
      <c r="AR542" s="65"/>
      <c r="AS542" s="65"/>
      <c r="AT542" s="65"/>
      <c r="BC542" s="23"/>
      <c r="BD542" s="23"/>
      <c r="BE542" s="23"/>
      <c r="BF542" s="66"/>
    </row>
    <row r="543">
      <c r="G543" s="106"/>
      <c r="H543" s="105"/>
      <c r="I543" s="106"/>
      <c r="J543" s="106"/>
      <c r="K543" s="106"/>
      <c r="L543" s="106"/>
      <c r="M543" s="106"/>
      <c r="N543" s="106"/>
      <c r="O543" s="106"/>
      <c r="P543" s="106"/>
      <c r="Q543" s="106"/>
      <c r="AB543" s="106"/>
      <c r="AR543" s="65"/>
      <c r="AS543" s="65"/>
      <c r="AT543" s="65"/>
      <c r="BC543" s="23"/>
      <c r="BD543" s="23"/>
      <c r="BE543" s="23"/>
      <c r="BF543" s="66"/>
    </row>
    <row r="544">
      <c r="G544" s="106"/>
      <c r="H544" s="105"/>
      <c r="I544" s="106"/>
      <c r="J544" s="106"/>
      <c r="K544" s="106"/>
      <c r="L544" s="106"/>
      <c r="M544" s="106"/>
      <c r="N544" s="106"/>
      <c r="O544" s="106"/>
      <c r="P544" s="106"/>
      <c r="Q544" s="106"/>
      <c r="AB544" s="106"/>
      <c r="AR544" s="65"/>
      <c r="AS544" s="65"/>
      <c r="AT544" s="65"/>
      <c r="BC544" s="23"/>
      <c r="BD544" s="23"/>
      <c r="BE544" s="23"/>
      <c r="BF544" s="66"/>
    </row>
    <row r="545">
      <c r="G545" s="106"/>
      <c r="H545" s="105"/>
      <c r="I545" s="106"/>
      <c r="J545" s="106"/>
      <c r="K545" s="106"/>
      <c r="L545" s="106"/>
      <c r="M545" s="106"/>
      <c r="N545" s="106"/>
      <c r="O545" s="106"/>
      <c r="P545" s="106"/>
      <c r="Q545" s="106"/>
      <c r="AB545" s="106"/>
      <c r="AR545" s="65"/>
      <c r="AS545" s="65"/>
      <c r="AT545" s="65"/>
      <c r="BC545" s="23"/>
      <c r="BD545" s="23"/>
      <c r="BE545" s="23"/>
      <c r="BF545" s="66"/>
    </row>
    <row r="546">
      <c r="G546" s="106"/>
      <c r="H546" s="105"/>
      <c r="I546" s="106"/>
      <c r="J546" s="106"/>
      <c r="K546" s="106"/>
      <c r="L546" s="106"/>
      <c r="M546" s="106"/>
      <c r="N546" s="106"/>
      <c r="O546" s="106"/>
      <c r="P546" s="106"/>
      <c r="Q546" s="106"/>
      <c r="AB546" s="106"/>
      <c r="AR546" s="65"/>
      <c r="AS546" s="65"/>
      <c r="AT546" s="65"/>
      <c r="BC546" s="23"/>
      <c r="BD546" s="23"/>
      <c r="BE546" s="23"/>
      <c r="BF546" s="66"/>
    </row>
    <row r="547">
      <c r="G547" s="106"/>
      <c r="H547" s="105"/>
      <c r="I547" s="106"/>
      <c r="J547" s="106"/>
      <c r="K547" s="106"/>
      <c r="L547" s="106"/>
      <c r="M547" s="106"/>
      <c r="N547" s="106"/>
      <c r="O547" s="106"/>
      <c r="P547" s="106"/>
      <c r="Q547" s="106"/>
      <c r="AB547" s="106"/>
      <c r="AR547" s="65"/>
      <c r="AS547" s="65"/>
      <c r="AT547" s="65"/>
      <c r="BC547" s="23"/>
      <c r="BD547" s="23"/>
      <c r="BE547" s="23"/>
      <c r="BF547" s="66"/>
    </row>
    <row r="548">
      <c r="G548" s="106"/>
      <c r="H548" s="105"/>
      <c r="I548" s="106"/>
      <c r="J548" s="106"/>
      <c r="K548" s="106"/>
      <c r="L548" s="106"/>
      <c r="M548" s="106"/>
      <c r="N548" s="106"/>
      <c r="O548" s="106"/>
      <c r="P548" s="106"/>
      <c r="Q548" s="106"/>
      <c r="AB548" s="106"/>
      <c r="AR548" s="65"/>
      <c r="AS548" s="65"/>
      <c r="AT548" s="65"/>
      <c r="BC548" s="23"/>
      <c r="BD548" s="23"/>
      <c r="BE548" s="23"/>
      <c r="BF548" s="66"/>
    </row>
    <row r="549">
      <c r="G549" s="106"/>
      <c r="H549" s="105"/>
      <c r="I549" s="106"/>
      <c r="J549" s="106"/>
      <c r="K549" s="106"/>
      <c r="L549" s="106"/>
      <c r="M549" s="106"/>
      <c r="N549" s="106"/>
      <c r="O549" s="106"/>
      <c r="P549" s="106"/>
      <c r="Q549" s="106"/>
      <c r="AB549" s="106"/>
      <c r="AR549" s="65"/>
      <c r="AS549" s="65"/>
      <c r="AT549" s="65"/>
      <c r="BC549" s="23"/>
      <c r="BD549" s="23"/>
      <c r="BE549" s="23"/>
      <c r="BF549" s="66"/>
    </row>
    <row r="550">
      <c r="G550" s="106"/>
      <c r="H550" s="105"/>
      <c r="I550" s="106"/>
      <c r="J550" s="106"/>
      <c r="K550" s="106"/>
      <c r="L550" s="106"/>
      <c r="M550" s="106"/>
      <c r="N550" s="106"/>
      <c r="O550" s="106"/>
      <c r="P550" s="106"/>
      <c r="Q550" s="106"/>
      <c r="AB550" s="106"/>
      <c r="AR550" s="65"/>
      <c r="AS550" s="65"/>
      <c r="AT550" s="65"/>
      <c r="BC550" s="23"/>
      <c r="BD550" s="23"/>
      <c r="BE550" s="23"/>
      <c r="BF550" s="66"/>
    </row>
    <row r="551">
      <c r="G551" s="106"/>
      <c r="H551" s="105"/>
      <c r="I551" s="106"/>
      <c r="J551" s="106"/>
      <c r="K551" s="106"/>
      <c r="L551" s="106"/>
      <c r="M551" s="106"/>
      <c r="N551" s="106"/>
      <c r="O551" s="106"/>
      <c r="P551" s="106"/>
      <c r="Q551" s="106"/>
      <c r="AB551" s="106"/>
      <c r="AR551" s="65"/>
      <c r="AS551" s="65"/>
      <c r="AT551" s="65"/>
      <c r="BC551" s="23"/>
      <c r="BD551" s="23"/>
      <c r="BE551" s="23"/>
      <c r="BF551" s="66"/>
    </row>
    <row r="552">
      <c r="G552" s="106"/>
      <c r="H552" s="105"/>
      <c r="I552" s="106"/>
      <c r="J552" s="106"/>
      <c r="K552" s="106"/>
      <c r="L552" s="106"/>
      <c r="M552" s="106"/>
      <c r="N552" s="106"/>
      <c r="O552" s="106"/>
      <c r="P552" s="106"/>
      <c r="Q552" s="106"/>
      <c r="AB552" s="106"/>
      <c r="AR552" s="65"/>
      <c r="AS552" s="65"/>
      <c r="AT552" s="65"/>
      <c r="BC552" s="23"/>
      <c r="BD552" s="23"/>
      <c r="BE552" s="23"/>
      <c r="BF552" s="66"/>
    </row>
    <row r="553">
      <c r="G553" s="106"/>
      <c r="H553" s="105"/>
      <c r="I553" s="106"/>
      <c r="J553" s="106"/>
      <c r="K553" s="106"/>
      <c r="L553" s="106"/>
      <c r="M553" s="106"/>
      <c r="N553" s="106"/>
      <c r="O553" s="106"/>
      <c r="P553" s="106"/>
      <c r="Q553" s="106"/>
      <c r="AB553" s="106"/>
      <c r="AR553" s="65"/>
      <c r="AS553" s="65"/>
      <c r="AT553" s="65"/>
      <c r="BC553" s="23"/>
      <c r="BD553" s="23"/>
      <c r="BE553" s="23"/>
      <c r="BF553" s="66"/>
    </row>
    <row r="554">
      <c r="G554" s="106"/>
      <c r="H554" s="105"/>
      <c r="I554" s="106"/>
      <c r="J554" s="106"/>
      <c r="K554" s="106"/>
      <c r="L554" s="106"/>
      <c r="M554" s="106"/>
      <c r="N554" s="106"/>
      <c r="O554" s="106"/>
      <c r="P554" s="106"/>
      <c r="Q554" s="106"/>
      <c r="AB554" s="106"/>
      <c r="AR554" s="65"/>
      <c r="AS554" s="65"/>
      <c r="AT554" s="65"/>
      <c r="BC554" s="23"/>
      <c r="BD554" s="23"/>
      <c r="BE554" s="23"/>
      <c r="BF554" s="66"/>
    </row>
    <row r="555">
      <c r="G555" s="106"/>
      <c r="H555" s="105"/>
      <c r="I555" s="106"/>
      <c r="J555" s="106"/>
      <c r="K555" s="106"/>
      <c r="L555" s="106"/>
      <c r="M555" s="106"/>
      <c r="N555" s="106"/>
      <c r="O555" s="106"/>
      <c r="P555" s="106"/>
      <c r="Q555" s="106"/>
      <c r="AB555" s="106"/>
      <c r="AR555" s="65"/>
      <c r="AS555" s="65"/>
      <c r="AT555" s="65"/>
      <c r="BC555" s="23"/>
      <c r="BD555" s="23"/>
      <c r="BE555" s="23"/>
      <c r="BF555" s="66"/>
    </row>
    <row r="556">
      <c r="G556" s="106"/>
      <c r="H556" s="105"/>
      <c r="I556" s="106"/>
      <c r="J556" s="106"/>
      <c r="K556" s="106"/>
      <c r="L556" s="106"/>
      <c r="M556" s="106"/>
      <c r="N556" s="106"/>
      <c r="O556" s="106"/>
      <c r="P556" s="106"/>
      <c r="Q556" s="106"/>
      <c r="AB556" s="106"/>
      <c r="AR556" s="65"/>
      <c r="AS556" s="65"/>
      <c r="AT556" s="65"/>
      <c r="BC556" s="23"/>
      <c r="BD556" s="23"/>
      <c r="BE556" s="23"/>
      <c r="BF556" s="66"/>
    </row>
    <row r="557">
      <c r="G557" s="106"/>
      <c r="H557" s="105"/>
      <c r="I557" s="106"/>
      <c r="J557" s="106"/>
      <c r="K557" s="106"/>
      <c r="L557" s="106"/>
      <c r="M557" s="106"/>
      <c r="N557" s="106"/>
      <c r="O557" s="106"/>
      <c r="P557" s="106"/>
      <c r="Q557" s="106"/>
      <c r="AB557" s="106"/>
      <c r="AR557" s="65"/>
      <c r="AS557" s="65"/>
      <c r="AT557" s="65"/>
      <c r="BC557" s="23"/>
      <c r="BD557" s="23"/>
      <c r="BE557" s="23"/>
      <c r="BF557" s="66"/>
    </row>
    <row r="558">
      <c r="G558" s="106"/>
      <c r="H558" s="105"/>
      <c r="I558" s="106"/>
      <c r="J558" s="106"/>
      <c r="K558" s="106"/>
      <c r="L558" s="106"/>
      <c r="M558" s="106"/>
      <c r="N558" s="106"/>
      <c r="O558" s="106"/>
      <c r="P558" s="106"/>
      <c r="Q558" s="106"/>
      <c r="AB558" s="106"/>
      <c r="AR558" s="65"/>
      <c r="AS558" s="65"/>
      <c r="AT558" s="65"/>
      <c r="BC558" s="23"/>
      <c r="BD558" s="23"/>
      <c r="BE558" s="23"/>
      <c r="BF558" s="66"/>
    </row>
    <row r="559">
      <c r="G559" s="106"/>
      <c r="H559" s="105"/>
      <c r="I559" s="106"/>
      <c r="J559" s="106"/>
      <c r="K559" s="106"/>
      <c r="L559" s="106"/>
      <c r="M559" s="106"/>
      <c r="N559" s="106"/>
      <c r="O559" s="106"/>
      <c r="P559" s="106"/>
      <c r="Q559" s="106"/>
      <c r="AB559" s="106"/>
      <c r="AR559" s="65"/>
      <c r="AS559" s="65"/>
      <c r="AT559" s="65"/>
      <c r="BC559" s="23"/>
      <c r="BD559" s="23"/>
      <c r="BE559" s="23"/>
      <c r="BF559" s="66"/>
    </row>
    <row r="560">
      <c r="G560" s="106"/>
      <c r="H560" s="105"/>
      <c r="I560" s="106"/>
      <c r="J560" s="106"/>
      <c r="K560" s="106"/>
      <c r="L560" s="106"/>
      <c r="M560" s="106"/>
      <c r="N560" s="106"/>
      <c r="O560" s="106"/>
      <c r="P560" s="106"/>
      <c r="Q560" s="106"/>
      <c r="AB560" s="106"/>
      <c r="AR560" s="65"/>
      <c r="AS560" s="65"/>
      <c r="AT560" s="65"/>
      <c r="BC560" s="23"/>
      <c r="BD560" s="23"/>
      <c r="BE560" s="23"/>
      <c r="BF560" s="66"/>
    </row>
    <row r="561">
      <c r="G561" s="106"/>
      <c r="H561" s="105"/>
      <c r="I561" s="106"/>
      <c r="J561" s="106"/>
      <c r="K561" s="106"/>
      <c r="L561" s="106"/>
      <c r="M561" s="106"/>
      <c r="N561" s="106"/>
      <c r="O561" s="106"/>
      <c r="P561" s="106"/>
      <c r="Q561" s="106"/>
      <c r="AB561" s="106"/>
      <c r="AR561" s="65"/>
      <c r="AS561" s="65"/>
      <c r="AT561" s="65"/>
      <c r="BC561" s="23"/>
      <c r="BD561" s="23"/>
      <c r="BE561" s="23"/>
      <c r="BF561" s="66"/>
    </row>
    <row r="562">
      <c r="G562" s="106"/>
      <c r="H562" s="105"/>
      <c r="I562" s="106"/>
      <c r="J562" s="106"/>
      <c r="K562" s="106"/>
      <c r="L562" s="106"/>
      <c r="M562" s="106"/>
      <c r="N562" s="106"/>
      <c r="O562" s="106"/>
      <c r="P562" s="106"/>
      <c r="Q562" s="106"/>
      <c r="AB562" s="106"/>
      <c r="AR562" s="65"/>
      <c r="AS562" s="65"/>
      <c r="AT562" s="65"/>
      <c r="BC562" s="23"/>
      <c r="BD562" s="23"/>
      <c r="BE562" s="23"/>
      <c r="BF562" s="66"/>
    </row>
    <row r="563">
      <c r="G563" s="106"/>
      <c r="H563" s="105"/>
      <c r="I563" s="106"/>
      <c r="J563" s="106"/>
      <c r="K563" s="106"/>
      <c r="L563" s="106"/>
      <c r="M563" s="106"/>
      <c r="N563" s="106"/>
      <c r="O563" s="106"/>
      <c r="P563" s="106"/>
      <c r="Q563" s="106"/>
      <c r="AB563" s="106"/>
      <c r="AR563" s="65"/>
      <c r="AS563" s="65"/>
      <c r="AT563" s="65"/>
      <c r="BC563" s="23"/>
      <c r="BD563" s="23"/>
      <c r="BE563" s="23"/>
      <c r="BF563" s="66"/>
    </row>
    <row r="564">
      <c r="G564" s="106"/>
      <c r="H564" s="105"/>
      <c r="I564" s="106"/>
      <c r="J564" s="106"/>
      <c r="K564" s="106"/>
      <c r="L564" s="106"/>
      <c r="M564" s="106"/>
      <c r="N564" s="106"/>
      <c r="O564" s="106"/>
      <c r="P564" s="106"/>
      <c r="Q564" s="106"/>
      <c r="AB564" s="106"/>
      <c r="AR564" s="65"/>
      <c r="AS564" s="65"/>
      <c r="AT564" s="65"/>
      <c r="BC564" s="23"/>
      <c r="BD564" s="23"/>
      <c r="BE564" s="23"/>
      <c r="BF564" s="66"/>
    </row>
    <row r="565">
      <c r="G565" s="106"/>
      <c r="H565" s="105"/>
      <c r="I565" s="106"/>
      <c r="J565" s="106"/>
      <c r="K565" s="106"/>
      <c r="L565" s="106"/>
      <c r="M565" s="106"/>
      <c r="N565" s="106"/>
      <c r="O565" s="106"/>
      <c r="P565" s="106"/>
      <c r="Q565" s="106"/>
      <c r="AB565" s="106"/>
      <c r="AR565" s="65"/>
      <c r="AS565" s="65"/>
      <c r="AT565" s="65"/>
      <c r="BC565" s="23"/>
      <c r="BD565" s="23"/>
      <c r="BE565" s="23"/>
      <c r="BF565" s="66"/>
    </row>
    <row r="566">
      <c r="G566" s="106"/>
      <c r="H566" s="105"/>
      <c r="I566" s="106"/>
      <c r="J566" s="106"/>
      <c r="K566" s="106"/>
      <c r="L566" s="106"/>
      <c r="M566" s="106"/>
      <c r="N566" s="106"/>
      <c r="O566" s="106"/>
      <c r="P566" s="106"/>
      <c r="Q566" s="106"/>
      <c r="AB566" s="106"/>
      <c r="AR566" s="65"/>
      <c r="AS566" s="65"/>
      <c r="AT566" s="65"/>
      <c r="BC566" s="23"/>
      <c r="BD566" s="23"/>
      <c r="BE566" s="23"/>
      <c r="BF566" s="66"/>
    </row>
    <row r="567">
      <c r="G567" s="106"/>
      <c r="H567" s="105"/>
      <c r="I567" s="106"/>
      <c r="J567" s="106"/>
      <c r="K567" s="106"/>
      <c r="L567" s="106"/>
      <c r="M567" s="106"/>
      <c r="N567" s="106"/>
      <c r="O567" s="106"/>
      <c r="P567" s="106"/>
      <c r="Q567" s="106"/>
      <c r="AB567" s="106"/>
      <c r="AR567" s="65"/>
      <c r="AS567" s="65"/>
      <c r="AT567" s="65"/>
      <c r="BC567" s="23"/>
      <c r="BD567" s="23"/>
      <c r="BE567" s="23"/>
      <c r="BF567" s="66"/>
    </row>
    <row r="568">
      <c r="G568" s="106"/>
      <c r="H568" s="105"/>
      <c r="I568" s="106"/>
      <c r="J568" s="106"/>
      <c r="K568" s="106"/>
      <c r="L568" s="106"/>
      <c r="M568" s="106"/>
      <c r="N568" s="106"/>
      <c r="O568" s="106"/>
      <c r="P568" s="106"/>
      <c r="Q568" s="106"/>
      <c r="AB568" s="106"/>
      <c r="AR568" s="65"/>
      <c r="AS568" s="65"/>
      <c r="AT568" s="65"/>
      <c r="BC568" s="23"/>
      <c r="BD568" s="23"/>
      <c r="BE568" s="23"/>
      <c r="BF568" s="66"/>
    </row>
    <row r="569">
      <c r="G569" s="106"/>
      <c r="H569" s="105"/>
      <c r="I569" s="106"/>
      <c r="J569" s="106"/>
      <c r="K569" s="106"/>
      <c r="L569" s="106"/>
      <c r="M569" s="106"/>
      <c r="N569" s="106"/>
      <c r="O569" s="106"/>
      <c r="P569" s="106"/>
      <c r="Q569" s="106"/>
      <c r="AB569" s="106"/>
      <c r="AR569" s="65"/>
      <c r="AS569" s="65"/>
      <c r="AT569" s="65"/>
      <c r="BC569" s="23"/>
      <c r="BD569" s="23"/>
      <c r="BE569" s="23"/>
      <c r="BF569" s="66"/>
    </row>
    <row r="570">
      <c r="G570" s="106"/>
      <c r="H570" s="105"/>
      <c r="I570" s="106"/>
      <c r="J570" s="106"/>
      <c r="K570" s="106"/>
      <c r="L570" s="106"/>
      <c r="M570" s="106"/>
      <c r="N570" s="106"/>
      <c r="O570" s="106"/>
      <c r="P570" s="106"/>
      <c r="Q570" s="106"/>
      <c r="AB570" s="106"/>
      <c r="AR570" s="65"/>
      <c r="AS570" s="65"/>
      <c r="AT570" s="65"/>
      <c r="BC570" s="23"/>
      <c r="BD570" s="23"/>
      <c r="BE570" s="23"/>
      <c r="BF570" s="66"/>
    </row>
    <row r="571">
      <c r="G571" s="106"/>
      <c r="H571" s="105"/>
      <c r="I571" s="106"/>
      <c r="J571" s="106"/>
      <c r="K571" s="106"/>
      <c r="L571" s="106"/>
      <c r="M571" s="106"/>
      <c r="N571" s="106"/>
      <c r="O571" s="106"/>
      <c r="P571" s="106"/>
      <c r="Q571" s="106"/>
      <c r="AB571" s="106"/>
      <c r="AR571" s="65"/>
      <c r="AS571" s="65"/>
      <c r="AT571" s="65"/>
      <c r="BC571" s="23"/>
      <c r="BD571" s="23"/>
      <c r="BE571" s="23"/>
      <c r="BF571" s="66"/>
    </row>
    <row r="572">
      <c r="G572" s="106"/>
      <c r="H572" s="105"/>
      <c r="I572" s="106"/>
      <c r="J572" s="106"/>
      <c r="K572" s="106"/>
      <c r="L572" s="106"/>
      <c r="M572" s="106"/>
      <c r="N572" s="106"/>
      <c r="O572" s="106"/>
      <c r="P572" s="106"/>
      <c r="Q572" s="106"/>
      <c r="AB572" s="106"/>
      <c r="AR572" s="65"/>
      <c r="AS572" s="65"/>
      <c r="AT572" s="65"/>
      <c r="BC572" s="23"/>
      <c r="BD572" s="23"/>
      <c r="BE572" s="23"/>
      <c r="BF572" s="66"/>
    </row>
    <row r="573">
      <c r="G573" s="106"/>
      <c r="H573" s="105"/>
      <c r="I573" s="106"/>
      <c r="J573" s="106"/>
      <c r="K573" s="106"/>
      <c r="L573" s="106"/>
      <c r="M573" s="106"/>
      <c r="N573" s="106"/>
      <c r="O573" s="106"/>
      <c r="P573" s="106"/>
      <c r="Q573" s="106"/>
      <c r="AB573" s="106"/>
      <c r="AR573" s="65"/>
      <c r="AS573" s="65"/>
      <c r="AT573" s="65"/>
      <c r="BC573" s="23"/>
      <c r="BD573" s="23"/>
      <c r="BE573" s="23"/>
      <c r="BF573" s="66"/>
    </row>
    <row r="574">
      <c r="G574" s="106"/>
      <c r="H574" s="105"/>
      <c r="I574" s="106"/>
      <c r="J574" s="106"/>
      <c r="K574" s="106"/>
      <c r="L574" s="106"/>
      <c r="M574" s="106"/>
      <c r="N574" s="106"/>
      <c r="O574" s="106"/>
      <c r="P574" s="106"/>
      <c r="Q574" s="106"/>
      <c r="AB574" s="106"/>
      <c r="AR574" s="65"/>
      <c r="AS574" s="65"/>
      <c r="AT574" s="65"/>
      <c r="BC574" s="23"/>
      <c r="BD574" s="23"/>
      <c r="BE574" s="23"/>
      <c r="BF574" s="66"/>
    </row>
    <row r="575">
      <c r="G575" s="106"/>
      <c r="H575" s="105"/>
      <c r="I575" s="106"/>
      <c r="J575" s="106"/>
      <c r="K575" s="106"/>
      <c r="L575" s="106"/>
      <c r="M575" s="106"/>
      <c r="N575" s="106"/>
      <c r="O575" s="106"/>
      <c r="P575" s="106"/>
      <c r="Q575" s="106"/>
      <c r="AB575" s="106"/>
      <c r="AR575" s="65"/>
      <c r="AS575" s="65"/>
      <c r="AT575" s="65"/>
      <c r="BC575" s="23"/>
      <c r="BD575" s="23"/>
      <c r="BE575" s="23"/>
      <c r="BF575" s="66"/>
    </row>
    <row r="576">
      <c r="G576" s="106"/>
      <c r="H576" s="105"/>
      <c r="I576" s="106"/>
      <c r="J576" s="106"/>
      <c r="K576" s="106"/>
      <c r="L576" s="106"/>
      <c r="M576" s="106"/>
      <c r="N576" s="106"/>
      <c r="O576" s="106"/>
      <c r="P576" s="106"/>
      <c r="Q576" s="106"/>
      <c r="AB576" s="106"/>
      <c r="AR576" s="65"/>
      <c r="AS576" s="65"/>
      <c r="AT576" s="65"/>
      <c r="BC576" s="23"/>
      <c r="BD576" s="23"/>
      <c r="BE576" s="23"/>
      <c r="BF576" s="66"/>
    </row>
    <row r="577">
      <c r="G577" s="106"/>
      <c r="H577" s="105"/>
      <c r="I577" s="106"/>
      <c r="J577" s="106"/>
      <c r="K577" s="106"/>
      <c r="L577" s="106"/>
      <c r="M577" s="106"/>
      <c r="N577" s="106"/>
      <c r="O577" s="106"/>
      <c r="P577" s="106"/>
      <c r="Q577" s="106"/>
      <c r="AB577" s="106"/>
      <c r="AR577" s="65"/>
      <c r="AS577" s="65"/>
      <c r="AT577" s="65"/>
      <c r="BC577" s="23"/>
      <c r="BD577" s="23"/>
      <c r="BE577" s="23"/>
      <c r="BF577" s="66"/>
    </row>
    <row r="578">
      <c r="G578" s="106"/>
      <c r="H578" s="105"/>
      <c r="I578" s="106"/>
      <c r="J578" s="106"/>
      <c r="K578" s="106"/>
      <c r="L578" s="106"/>
      <c r="M578" s="106"/>
      <c r="N578" s="106"/>
      <c r="O578" s="106"/>
      <c r="P578" s="106"/>
      <c r="Q578" s="106"/>
      <c r="AB578" s="106"/>
      <c r="AR578" s="65"/>
      <c r="AS578" s="65"/>
      <c r="AT578" s="65"/>
      <c r="BC578" s="23"/>
      <c r="BD578" s="23"/>
      <c r="BE578" s="23"/>
      <c r="BF578" s="66"/>
    </row>
    <row r="579">
      <c r="G579" s="106"/>
      <c r="H579" s="105"/>
      <c r="I579" s="106"/>
      <c r="J579" s="106"/>
      <c r="K579" s="106"/>
      <c r="L579" s="106"/>
      <c r="M579" s="106"/>
      <c r="N579" s="106"/>
      <c r="O579" s="106"/>
      <c r="P579" s="106"/>
      <c r="Q579" s="106"/>
      <c r="AB579" s="106"/>
      <c r="AR579" s="65"/>
      <c r="AS579" s="65"/>
      <c r="AT579" s="65"/>
      <c r="BC579" s="23"/>
      <c r="BD579" s="23"/>
      <c r="BE579" s="23"/>
      <c r="BF579" s="66"/>
    </row>
    <row r="580">
      <c r="G580" s="106"/>
      <c r="H580" s="105"/>
      <c r="I580" s="106"/>
      <c r="J580" s="106"/>
      <c r="K580" s="106"/>
      <c r="L580" s="106"/>
      <c r="M580" s="106"/>
      <c r="N580" s="106"/>
      <c r="O580" s="106"/>
      <c r="P580" s="106"/>
      <c r="Q580" s="106"/>
      <c r="AB580" s="106"/>
      <c r="AR580" s="65"/>
      <c r="AS580" s="65"/>
      <c r="AT580" s="65"/>
      <c r="BC580" s="23"/>
      <c r="BD580" s="23"/>
      <c r="BE580" s="23"/>
      <c r="BF580" s="66"/>
    </row>
    <row r="581">
      <c r="G581" s="106"/>
      <c r="H581" s="105"/>
      <c r="I581" s="106"/>
      <c r="J581" s="106"/>
      <c r="K581" s="106"/>
      <c r="L581" s="106"/>
      <c r="M581" s="106"/>
      <c r="N581" s="106"/>
      <c r="O581" s="106"/>
      <c r="P581" s="106"/>
      <c r="Q581" s="106"/>
      <c r="AB581" s="106"/>
      <c r="AR581" s="65"/>
      <c r="AS581" s="65"/>
      <c r="AT581" s="65"/>
      <c r="BC581" s="23"/>
      <c r="BD581" s="23"/>
      <c r="BE581" s="23"/>
      <c r="BF581" s="66"/>
    </row>
    <row r="582">
      <c r="G582" s="106"/>
      <c r="H582" s="105"/>
      <c r="I582" s="106"/>
      <c r="J582" s="106"/>
      <c r="K582" s="106"/>
      <c r="L582" s="106"/>
      <c r="M582" s="106"/>
      <c r="N582" s="106"/>
      <c r="O582" s="106"/>
      <c r="P582" s="106"/>
      <c r="Q582" s="106"/>
      <c r="AB582" s="106"/>
      <c r="AR582" s="65"/>
      <c r="AS582" s="65"/>
      <c r="AT582" s="65"/>
      <c r="BC582" s="23"/>
      <c r="BD582" s="23"/>
      <c r="BE582" s="23"/>
      <c r="BF582" s="66"/>
    </row>
    <row r="583">
      <c r="G583" s="106"/>
      <c r="H583" s="105"/>
      <c r="I583" s="106"/>
      <c r="J583" s="106"/>
      <c r="K583" s="106"/>
      <c r="L583" s="106"/>
      <c r="M583" s="106"/>
      <c r="N583" s="106"/>
      <c r="O583" s="106"/>
      <c r="P583" s="106"/>
      <c r="Q583" s="106"/>
      <c r="AB583" s="106"/>
      <c r="AR583" s="65"/>
      <c r="AS583" s="65"/>
      <c r="AT583" s="65"/>
      <c r="BC583" s="23"/>
      <c r="BD583" s="23"/>
      <c r="BE583" s="23"/>
      <c r="BF583" s="66"/>
    </row>
    <row r="584">
      <c r="G584" s="106"/>
      <c r="H584" s="105"/>
      <c r="I584" s="106"/>
      <c r="J584" s="106"/>
      <c r="K584" s="106"/>
      <c r="L584" s="106"/>
      <c r="M584" s="106"/>
      <c r="N584" s="106"/>
      <c r="O584" s="106"/>
      <c r="P584" s="106"/>
      <c r="Q584" s="106"/>
      <c r="AB584" s="106"/>
      <c r="AR584" s="65"/>
      <c r="AS584" s="65"/>
      <c r="AT584" s="65"/>
      <c r="BC584" s="23"/>
      <c r="BD584" s="23"/>
      <c r="BE584" s="23"/>
      <c r="BF584" s="66"/>
    </row>
    <row r="585">
      <c r="G585" s="106"/>
      <c r="H585" s="105"/>
      <c r="I585" s="106"/>
      <c r="J585" s="106"/>
      <c r="K585" s="106"/>
      <c r="L585" s="106"/>
      <c r="M585" s="106"/>
      <c r="N585" s="106"/>
      <c r="O585" s="106"/>
      <c r="P585" s="106"/>
      <c r="Q585" s="106"/>
      <c r="AB585" s="106"/>
      <c r="AR585" s="65"/>
      <c r="AS585" s="65"/>
      <c r="AT585" s="65"/>
      <c r="BC585" s="23"/>
      <c r="BD585" s="23"/>
      <c r="BE585" s="23"/>
      <c r="BF585" s="66"/>
    </row>
    <row r="586">
      <c r="G586" s="106"/>
      <c r="H586" s="105"/>
      <c r="I586" s="106"/>
      <c r="J586" s="106"/>
      <c r="K586" s="106"/>
      <c r="L586" s="106"/>
      <c r="M586" s="106"/>
      <c r="N586" s="106"/>
      <c r="O586" s="106"/>
      <c r="P586" s="106"/>
      <c r="Q586" s="106"/>
      <c r="AB586" s="106"/>
      <c r="AR586" s="65"/>
      <c r="AS586" s="65"/>
      <c r="AT586" s="65"/>
      <c r="BC586" s="23"/>
      <c r="BD586" s="23"/>
      <c r="BE586" s="23"/>
      <c r="BF586" s="66"/>
    </row>
    <row r="587">
      <c r="G587" s="106"/>
      <c r="H587" s="105"/>
      <c r="I587" s="106"/>
      <c r="J587" s="106"/>
      <c r="K587" s="106"/>
      <c r="L587" s="106"/>
      <c r="M587" s="106"/>
      <c r="N587" s="106"/>
      <c r="O587" s="106"/>
      <c r="P587" s="106"/>
      <c r="Q587" s="106"/>
      <c r="AB587" s="106"/>
      <c r="AR587" s="65"/>
      <c r="AS587" s="65"/>
      <c r="AT587" s="65"/>
      <c r="BC587" s="23"/>
      <c r="BD587" s="23"/>
      <c r="BE587" s="23"/>
      <c r="BF587" s="66"/>
    </row>
    <row r="588">
      <c r="G588" s="106"/>
      <c r="H588" s="105"/>
      <c r="I588" s="106"/>
      <c r="J588" s="106"/>
      <c r="K588" s="106"/>
      <c r="L588" s="106"/>
      <c r="M588" s="106"/>
      <c r="N588" s="106"/>
      <c r="O588" s="106"/>
      <c r="P588" s="106"/>
      <c r="Q588" s="106"/>
      <c r="AB588" s="106"/>
      <c r="AR588" s="65"/>
      <c r="AS588" s="65"/>
      <c r="AT588" s="65"/>
      <c r="BC588" s="23"/>
      <c r="BD588" s="23"/>
      <c r="BE588" s="23"/>
      <c r="BF588" s="66"/>
    </row>
    <row r="589">
      <c r="G589" s="106"/>
      <c r="H589" s="105"/>
      <c r="I589" s="106"/>
      <c r="J589" s="106"/>
      <c r="K589" s="106"/>
      <c r="L589" s="106"/>
      <c r="M589" s="106"/>
      <c r="N589" s="106"/>
      <c r="O589" s="106"/>
      <c r="P589" s="106"/>
      <c r="Q589" s="106"/>
      <c r="AB589" s="106"/>
      <c r="AR589" s="65"/>
      <c r="AS589" s="65"/>
      <c r="AT589" s="65"/>
      <c r="BC589" s="23"/>
      <c r="BD589" s="23"/>
      <c r="BE589" s="23"/>
      <c r="BF589" s="66"/>
    </row>
    <row r="590">
      <c r="G590" s="106"/>
      <c r="H590" s="105"/>
      <c r="I590" s="106"/>
      <c r="J590" s="106"/>
      <c r="K590" s="106"/>
      <c r="L590" s="106"/>
      <c r="M590" s="106"/>
      <c r="N590" s="106"/>
      <c r="O590" s="106"/>
      <c r="P590" s="106"/>
      <c r="Q590" s="106"/>
      <c r="AB590" s="106"/>
      <c r="AR590" s="65"/>
      <c r="AS590" s="65"/>
      <c r="AT590" s="65"/>
      <c r="BC590" s="23"/>
      <c r="BD590" s="23"/>
      <c r="BE590" s="23"/>
      <c r="BF590" s="66"/>
    </row>
    <row r="591">
      <c r="G591" s="106"/>
      <c r="H591" s="105"/>
      <c r="I591" s="106"/>
      <c r="J591" s="106"/>
      <c r="K591" s="106"/>
      <c r="L591" s="106"/>
      <c r="M591" s="106"/>
      <c r="N591" s="106"/>
      <c r="O591" s="106"/>
      <c r="P591" s="106"/>
      <c r="Q591" s="106"/>
      <c r="AB591" s="106"/>
      <c r="AR591" s="65"/>
      <c r="AS591" s="65"/>
      <c r="AT591" s="65"/>
      <c r="BC591" s="23"/>
      <c r="BD591" s="23"/>
      <c r="BE591" s="23"/>
      <c r="BF591" s="66"/>
    </row>
    <row r="592">
      <c r="G592" s="106"/>
      <c r="H592" s="105"/>
      <c r="I592" s="106"/>
      <c r="J592" s="106"/>
      <c r="K592" s="106"/>
      <c r="L592" s="106"/>
      <c r="M592" s="106"/>
      <c r="N592" s="106"/>
      <c r="O592" s="106"/>
      <c r="P592" s="106"/>
      <c r="Q592" s="106"/>
      <c r="AB592" s="106"/>
      <c r="AR592" s="65"/>
      <c r="AS592" s="65"/>
      <c r="AT592" s="65"/>
      <c r="BC592" s="23"/>
      <c r="BD592" s="23"/>
      <c r="BE592" s="23"/>
      <c r="BF592" s="66"/>
    </row>
    <row r="593">
      <c r="G593" s="106"/>
      <c r="H593" s="105"/>
      <c r="I593" s="106"/>
      <c r="J593" s="106"/>
      <c r="K593" s="106"/>
      <c r="L593" s="106"/>
      <c r="M593" s="106"/>
      <c r="N593" s="106"/>
      <c r="O593" s="106"/>
      <c r="P593" s="106"/>
      <c r="Q593" s="106"/>
      <c r="AB593" s="106"/>
      <c r="AR593" s="65"/>
      <c r="AS593" s="65"/>
      <c r="AT593" s="65"/>
      <c r="BC593" s="23"/>
      <c r="BD593" s="23"/>
      <c r="BE593" s="23"/>
      <c r="BF593" s="66"/>
    </row>
    <row r="594">
      <c r="G594" s="106"/>
      <c r="H594" s="105"/>
      <c r="I594" s="106"/>
      <c r="J594" s="106"/>
      <c r="K594" s="106"/>
      <c r="L594" s="106"/>
      <c r="M594" s="106"/>
      <c r="N594" s="106"/>
      <c r="O594" s="106"/>
      <c r="P594" s="106"/>
      <c r="Q594" s="106"/>
      <c r="AB594" s="106"/>
      <c r="AR594" s="65"/>
      <c r="AS594" s="65"/>
      <c r="AT594" s="65"/>
      <c r="BC594" s="23"/>
      <c r="BD594" s="23"/>
      <c r="BE594" s="23"/>
      <c r="BF594" s="66"/>
    </row>
    <row r="595">
      <c r="G595" s="106"/>
      <c r="H595" s="105"/>
      <c r="I595" s="106"/>
      <c r="J595" s="106"/>
      <c r="K595" s="106"/>
      <c r="L595" s="106"/>
      <c r="M595" s="106"/>
      <c r="N595" s="106"/>
      <c r="O595" s="106"/>
      <c r="P595" s="106"/>
      <c r="Q595" s="106"/>
      <c r="AB595" s="106"/>
      <c r="AR595" s="65"/>
      <c r="AS595" s="65"/>
      <c r="AT595" s="65"/>
      <c r="BC595" s="23"/>
      <c r="BD595" s="23"/>
      <c r="BE595" s="23"/>
      <c r="BF595" s="66"/>
    </row>
    <row r="596">
      <c r="G596" s="106"/>
      <c r="H596" s="105"/>
      <c r="I596" s="106"/>
      <c r="J596" s="106"/>
      <c r="K596" s="106"/>
      <c r="L596" s="106"/>
      <c r="M596" s="106"/>
      <c r="N596" s="106"/>
      <c r="O596" s="106"/>
      <c r="P596" s="106"/>
      <c r="Q596" s="106"/>
      <c r="AB596" s="106"/>
      <c r="AR596" s="65"/>
      <c r="AS596" s="65"/>
      <c r="AT596" s="65"/>
      <c r="BC596" s="23"/>
      <c r="BD596" s="23"/>
      <c r="BE596" s="23"/>
      <c r="BF596" s="66"/>
    </row>
    <row r="597">
      <c r="G597" s="106"/>
      <c r="H597" s="105"/>
      <c r="I597" s="106"/>
      <c r="J597" s="106"/>
      <c r="K597" s="106"/>
      <c r="L597" s="106"/>
      <c r="M597" s="106"/>
      <c r="N597" s="106"/>
      <c r="O597" s="106"/>
      <c r="P597" s="106"/>
      <c r="Q597" s="106"/>
      <c r="AB597" s="106"/>
      <c r="AR597" s="65"/>
      <c r="AS597" s="65"/>
      <c r="AT597" s="65"/>
      <c r="BC597" s="23"/>
      <c r="BD597" s="23"/>
      <c r="BE597" s="23"/>
      <c r="BF597" s="66"/>
    </row>
    <row r="598">
      <c r="G598" s="106"/>
      <c r="H598" s="105"/>
      <c r="I598" s="106"/>
      <c r="J598" s="106"/>
      <c r="K598" s="106"/>
      <c r="L598" s="106"/>
      <c r="M598" s="106"/>
      <c r="N598" s="106"/>
      <c r="O598" s="106"/>
      <c r="P598" s="106"/>
      <c r="Q598" s="106"/>
      <c r="AB598" s="106"/>
      <c r="AR598" s="65"/>
      <c r="AS598" s="65"/>
      <c r="AT598" s="65"/>
      <c r="BC598" s="23"/>
      <c r="BD598" s="23"/>
      <c r="BE598" s="23"/>
      <c r="BF598" s="66"/>
    </row>
    <row r="599">
      <c r="G599" s="106"/>
      <c r="H599" s="105"/>
      <c r="I599" s="106"/>
      <c r="J599" s="106"/>
      <c r="K599" s="106"/>
      <c r="L599" s="106"/>
      <c r="M599" s="106"/>
      <c r="N599" s="106"/>
      <c r="O599" s="106"/>
      <c r="P599" s="106"/>
      <c r="Q599" s="106"/>
      <c r="AB599" s="106"/>
      <c r="AR599" s="65"/>
      <c r="AS599" s="65"/>
      <c r="AT599" s="65"/>
      <c r="BC599" s="23"/>
      <c r="BD599" s="23"/>
      <c r="BE599" s="23"/>
      <c r="BF599" s="66"/>
    </row>
    <row r="600">
      <c r="G600" s="106"/>
      <c r="H600" s="105"/>
      <c r="I600" s="106"/>
      <c r="J600" s="106"/>
      <c r="K600" s="106"/>
      <c r="L600" s="106"/>
      <c r="M600" s="106"/>
      <c r="N600" s="106"/>
      <c r="O600" s="106"/>
      <c r="P600" s="106"/>
      <c r="Q600" s="106"/>
      <c r="AB600" s="106"/>
      <c r="AR600" s="65"/>
      <c r="AS600" s="65"/>
      <c r="AT600" s="65"/>
      <c r="BC600" s="23"/>
      <c r="BD600" s="23"/>
      <c r="BE600" s="23"/>
      <c r="BF600" s="66"/>
    </row>
    <row r="601">
      <c r="G601" s="106"/>
      <c r="H601" s="105"/>
      <c r="I601" s="106"/>
      <c r="J601" s="106"/>
      <c r="K601" s="106"/>
      <c r="L601" s="106"/>
      <c r="M601" s="106"/>
      <c r="N601" s="106"/>
      <c r="O601" s="106"/>
      <c r="P601" s="106"/>
      <c r="Q601" s="106"/>
      <c r="AB601" s="106"/>
      <c r="AR601" s="65"/>
      <c r="AS601" s="65"/>
      <c r="AT601" s="65"/>
      <c r="BC601" s="23"/>
      <c r="BD601" s="23"/>
      <c r="BE601" s="23"/>
      <c r="BF601" s="66"/>
    </row>
    <row r="602">
      <c r="G602" s="106"/>
      <c r="H602" s="105"/>
      <c r="I602" s="106"/>
      <c r="J602" s="106"/>
      <c r="K602" s="106"/>
      <c r="L602" s="106"/>
      <c r="M602" s="106"/>
      <c r="N602" s="106"/>
      <c r="O602" s="106"/>
      <c r="P602" s="106"/>
      <c r="Q602" s="106"/>
      <c r="AB602" s="106"/>
      <c r="AR602" s="65"/>
      <c r="AS602" s="65"/>
      <c r="AT602" s="65"/>
      <c r="BC602" s="23"/>
      <c r="BD602" s="23"/>
      <c r="BE602" s="23"/>
      <c r="BF602" s="66"/>
    </row>
    <row r="603">
      <c r="G603" s="106"/>
      <c r="H603" s="105"/>
      <c r="I603" s="106"/>
      <c r="J603" s="106"/>
      <c r="K603" s="106"/>
      <c r="L603" s="106"/>
      <c r="M603" s="106"/>
      <c r="N603" s="106"/>
      <c r="O603" s="106"/>
      <c r="P603" s="106"/>
      <c r="Q603" s="106"/>
      <c r="AB603" s="106"/>
      <c r="AR603" s="65"/>
      <c r="AS603" s="65"/>
      <c r="AT603" s="65"/>
      <c r="BC603" s="23"/>
      <c r="BD603" s="23"/>
      <c r="BE603" s="23"/>
      <c r="BF603" s="66"/>
    </row>
    <row r="604">
      <c r="G604" s="106"/>
      <c r="H604" s="105"/>
      <c r="I604" s="106"/>
      <c r="J604" s="106"/>
      <c r="K604" s="106"/>
      <c r="L604" s="106"/>
      <c r="M604" s="106"/>
      <c r="N604" s="106"/>
      <c r="O604" s="106"/>
      <c r="P604" s="106"/>
      <c r="Q604" s="106"/>
      <c r="AB604" s="106"/>
      <c r="AR604" s="65"/>
      <c r="AS604" s="65"/>
      <c r="AT604" s="65"/>
      <c r="BC604" s="23"/>
      <c r="BD604" s="23"/>
      <c r="BE604" s="23"/>
      <c r="BF604" s="66"/>
    </row>
    <row r="605">
      <c r="G605" s="106"/>
      <c r="H605" s="105"/>
      <c r="I605" s="106"/>
      <c r="J605" s="106"/>
      <c r="K605" s="106"/>
      <c r="L605" s="106"/>
      <c r="M605" s="106"/>
      <c r="N605" s="106"/>
      <c r="O605" s="106"/>
      <c r="P605" s="106"/>
      <c r="Q605" s="106"/>
      <c r="AB605" s="106"/>
      <c r="AR605" s="65"/>
      <c r="AS605" s="65"/>
      <c r="AT605" s="65"/>
      <c r="BC605" s="23"/>
      <c r="BD605" s="23"/>
      <c r="BE605" s="23"/>
      <c r="BF605" s="66"/>
    </row>
    <row r="606">
      <c r="G606" s="106"/>
      <c r="H606" s="105"/>
      <c r="I606" s="106"/>
      <c r="J606" s="106"/>
      <c r="K606" s="106"/>
      <c r="L606" s="106"/>
      <c r="M606" s="106"/>
      <c r="N606" s="106"/>
      <c r="O606" s="106"/>
      <c r="P606" s="106"/>
      <c r="Q606" s="106"/>
      <c r="AB606" s="106"/>
      <c r="AR606" s="65"/>
      <c r="AS606" s="65"/>
      <c r="AT606" s="65"/>
      <c r="BC606" s="23"/>
      <c r="BD606" s="23"/>
      <c r="BE606" s="23"/>
      <c r="BF606" s="66"/>
    </row>
    <row r="607">
      <c r="G607" s="106"/>
      <c r="H607" s="105"/>
      <c r="I607" s="106"/>
      <c r="J607" s="106"/>
      <c r="K607" s="106"/>
      <c r="L607" s="106"/>
      <c r="M607" s="106"/>
      <c r="N607" s="106"/>
      <c r="O607" s="106"/>
      <c r="P607" s="106"/>
      <c r="Q607" s="106"/>
      <c r="AB607" s="106"/>
      <c r="AR607" s="65"/>
      <c r="AS607" s="65"/>
      <c r="AT607" s="65"/>
      <c r="BC607" s="23"/>
      <c r="BD607" s="23"/>
      <c r="BE607" s="23"/>
      <c r="BF607" s="66"/>
    </row>
    <row r="608">
      <c r="G608" s="106"/>
      <c r="H608" s="105"/>
      <c r="I608" s="106"/>
      <c r="J608" s="106"/>
      <c r="K608" s="106"/>
      <c r="L608" s="106"/>
      <c r="M608" s="106"/>
      <c r="N608" s="106"/>
      <c r="O608" s="106"/>
      <c r="P608" s="106"/>
      <c r="Q608" s="106"/>
      <c r="AB608" s="106"/>
      <c r="AR608" s="65"/>
      <c r="AS608" s="65"/>
      <c r="AT608" s="65"/>
      <c r="BC608" s="23"/>
      <c r="BD608" s="23"/>
      <c r="BE608" s="23"/>
      <c r="BF608" s="66"/>
    </row>
    <row r="609">
      <c r="G609" s="106"/>
      <c r="H609" s="105"/>
      <c r="I609" s="106"/>
      <c r="J609" s="106"/>
      <c r="K609" s="106"/>
      <c r="L609" s="106"/>
      <c r="M609" s="106"/>
      <c r="N609" s="106"/>
      <c r="O609" s="106"/>
      <c r="P609" s="106"/>
      <c r="Q609" s="106"/>
      <c r="AB609" s="106"/>
      <c r="AR609" s="65"/>
      <c r="AS609" s="65"/>
      <c r="AT609" s="65"/>
      <c r="BC609" s="23"/>
      <c r="BD609" s="23"/>
      <c r="BE609" s="23"/>
      <c r="BF609" s="66"/>
    </row>
    <row r="610">
      <c r="G610" s="106"/>
      <c r="H610" s="105"/>
      <c r="I610" s="106"/>
      <c r="J610" s="106"/>
      <c r="K610" s="106"/>
      <c r="L610" s="106"/>
      <c r="M610" s="106"/>
      <c r="N610" s="106"/>
      <c r="O610" s="106"/>
      <c r="P610" s="106"/>
      <c r="Q610" s="106"/>
      <c r="AB610" s="106"/>
      <c r="AR610" s="65"/>
      <c r="AS610" s="65"/>
      <c r="AT610" s="65"/>
      <c r="BC610" s="23"/>
      <c r="BD610" s="23"/>
      <c r="BE610" s="23"/>
      <c r="BF610" s="66"/>
    </row>
    <row r="611">
      <c r="G611" s="106"/>
      <c r="H611" s="105"/>
      <c r="I611" s="106"/>
      <c r="J611" s="106"/>
      <c r="K611" s="106"/>
      <c r="L611" s="106"/>
      <c r="M611" s="106"/>
      <c r="N611" s="106"/>
      <c r="O611" s="106"/>
      <c r="P611" s="106"/>
      <c r="Q611" s="106"/>
      <c r="AB611" s="106"/>
      <c r="AR611" s="65"/>
      <c r="AS611" s="65"/>
      <c r="AT611" s="65"/>
      <c r="BC611" s="23"/>
      <c r="BD611" s="23"/>
      <c r="BE611" s="23"/>
      <c r="BF611" s="66"/>
    </row>
    <row r="612">
      <c r="G612" s="106"/>
      <c r="H612" s="105"/>
      <c r="I612" s="106"/>
      <c r="J612" s="106"/>
      <c r="K612" s="106"/>
      <c r="L612" s="106"/>
      <c r="M612" s="106"/>
      <c r="N612" s="106"/>
      <c r="O612" s="106"/>
      <c r="P612" s="106"/>
      <c r="Q612" s="106"/>
      <c r="AB612" s="106"/>
      <c r="AR612" s="65"/>
      <c r="AS612" s="65"/>
      <c r="AT612" s="65"/>
      <c r="BC612" s="23"/>
      <c r="BD612" s="23"/>
      <c r="BE612" s="23"/>
      <c r="BF612" s="66"/>
    </row>
    <row r="613">
      <c r="G613" s="106"/>
      <c r="H613" s="105"/>
      <c r="I613" s="106"/>
      <c r="J613" s="106"/>
      <c r="K613" s="106"/>
      <c r="L613" s="106"/>
      <c r="M613" s="106"/>
      <c r="N613" s="106"/>
      <c r="O613" s="106"/>
      <c r="P613" s="106"/>
      <c r="Q613" s="106"/>
      <c r="AB613" s="106"/>
      <c r="AR613" s="65"/>
      <c r="AS613" s="65"/>
      <c r="AT613" s="65"/>
      <c r="BC613" s="23"/>
      <c r="BD613" s="23"/>
      <c r="BE613" s="23"/>
      <c r="BF613" s="66"/>
    </row>
    <row r="614">
      <c r="G614" s="106"/>
      <c r="H614" s="105"/>
      <c r="I614" s="106"/>
      <c r="J614" s="106"/>
      <c r="K614" s="106"/>
      <c r="L614" s="106"/>
      <c r="M614" s="106"/>
      <c r="N614" s="106"/>
      <c r="O614" s="106"/>
      <c r="P614" s="106"/>
      <c r="Q614" s="106"/>
      <c r="AB614" s="106"/>
      <c r="AR614" s="65"/>
      <c r="AS614" s="65"/>
      <c r="AT614" s="65"/>
      <c r="BC614" s="23"/>
      <c r="BD614" s="23"/>
      <c r="BE614" s="23"/>
      <c r="BF614" s="66"/>
    </row>
    <row r="615">
      <c r="G615" s="106"/>
      <c r="H615" s="105"/>
      <c r="I615" s="106"/>
      <c r="J615" s="106"/>
      <c r="K615" s="106"/>
      <c r="L615" s="106"/>
      <c r="M615" s="106"/>
      <c r="N615" s="106"/>
      <c r="O615" s="106"/>
      <c r="P615" s="106"/>
      <c r="Q615" s="106"/>
      <c r="AB615" s="106"/>
      <c r="AR615" s="65"/>
      <c r="AS615" s="65"/>
      <c r="AT615" s="65"/>
      <c r="BC615" s="23"/>
      <c r="BD615" s="23"/>
      <c r="BE615" s="23"/>
      <c r="BF615" s="66"/>
    </row>
    <row r="616">
      <c r="G616" s="106"/>
      <c r="H616" s="105"/>
      <c r="I616" s="106"/>
      <c r="J616" s="106"/>
      <c r="K616" s="106"/>
      <c r="L616" s="106"/>
      <c r="M616" s="106"/>
      <c r="N616" s="106"/>
      <c r="O616" s="106"/>
      <c r="P616" s="106"/>
      <c r="Q616" s="106"/>
      <c r="AB616" s="106"/>
      <c r="AR616" s="65"/>
      <c r="AS616" s="65"/>
      <c r="AT616" s="65"/>
      <c r="BC616" s="23"/>
      <c r="BD616" s="23"/>
      <c r="BE616" s="23"/>
      <c r="BF616" s="66"/>
    </row>
    <row r="617">
      <c r="G617" s="106"/>
      <c r="H617" s="105"/>
      <c r="I617" s="106"/>
      <c r="J617" s="106"/>
      <c r="K617" s="106"/>
      <c r="L617" s="106"/>
      <c r="M617" s="106"/>
      <c r="N617" s="106"/>
      <c r="O617" s="106"/>
      <c r="P617" s="106"/>
      <c r="Q617" s="106"/>
      <c r="AB617" s="106"/>
      <c r="AR617" s="65"/>
      <c r="AS617" s="65"/>
      <c r="AT617" s="65"/>
      <c r="BC617" s="23"/>
      <c r="BD617" s="23"/>
      <c r="BE617" s="23"/>
      <c r="BF617" s="66"/>
    </row>
    <row r="618">
      <c r="G618" s="106"/>
      <c r="H618" s="105"/>
      <c r="I618" s="106"/>
      <c r="J618" s="106"/>
      <c r="K618" s="106"/>
      <c r="L618" s="106"/>
      <c r="M618" s="106"/>
      <c r="N618" s="106"/>
      <c r="O618" s="106"/>
      <c r="P618" s="106"/>
      <c r="Q618" s="106"/>
      <c r="AB618" s="106"/>
      <c r="AR618" s="65"/>
      <c r="AS618" s="65"/>
      <c r="AT618" s="65"/>
      <c r="BC618" s="23"/>
      <c r="BD618" s="23"/>
      <c r="BE618" s="23"/>
      <c r="BF618" s="66"/>
    </row>
    <row r="619">
      <c r="G619" s="106"/>
      <c r="H619" s="105"/>
      <c r="I619" s="106"/>
      <c r="J619" s="106"/>
      <c r="K619" s="106"/>
      <c r="L619" s="106"/>
      <c r="M619" s="106"/>
      <c r="N619" s="106"/>
      <c r="O619" s="106"/>
      <c r="P619" s="106"/>
      <c r="Q619" s="106"/>
      <c r="AB619" s="106"/>
      <c r="AR619" s="65"/>
      <c r="AS619" s="65"/>
      <c r="AT619" s="65"/>
      <c r="BC619" s="23"/>
      <c r="BD619" s="23"/>
      <c r="BE619" s="23"/>
      <c r="BF619" s="66"/>
    </row>
    <row r="620">
      <c r="G620" s="106"/>
      <c r="H620" s="105"/>
      <c r="I620" s="106"/>
      <c r="J620" s="106"/>
      <c r="K620" s="106"/>
      <c r="L620" s="106"/>
      <c r="M620" s="106"/>
      <c r="N620" s="106"/>
      <c r="O620" s="106"/>
      <c r="P620" s="106"/>
      <c r="Q620" s="106"/>
      <c r="AB620" s="106"/>
      <c r="AR620" s="65"/>
      <c r="AS620" s="65"/>
      <c r="AT620" s="65"/>
      <c r="BC620" s="23"/>
      <c r="BD620" s="23"/>
      <c r="BE620" s="23"/>
      <c r="BF620" s="66"/>
    </row>
    <row r="621">
      <c r="G621" s="106"/>
      <c r="H621" s="105"/>
      <c r="I621" s="106"/>
      <c r="J621" s="106"/>
      <c r="K621" s="106"/>
      <c r="L621" s="106"/>
      <c r="M621" s="106"/>
      <c r="N621" s="106"/>
      <c r="O621" s="106"/>
      <c r="P621" s="106"/>
      <c r="Q621" s="106"/>
      <c r="AB621" s="106"/>
      <c r="AR621" s="65"/>
      <c r="AS621" s="65"/>
      <c r="AT621" s="65"/>
      <c r="BC621" s="23"/>
      <c r="BD621" s="23"/>
      <c r="BE621" s="23"/>
      <c r="BF621" s="66"/>
    </row>
    <row r="622">
      <c r="G622" s="106"/>
      <c r="H622" s="105"/>
      <c r="I622" s="106"/>
      <c r="J622" s="106"/>
      <c r="K622" s="106"/>
      <c r="L622" s="106"/>
      <c r="M622" s="106"/>
      <c r="N622" s="106"/>
      <c r="O622" s="106"/>
      <c r="P622" s="106"/>
      <c r="Q622" s="106"/>
      <c r="AB622" s="106"/>
      <c r="AR622" s="65"/>
      <c r="AS622" s="65"/>
      <c r="AT622" s="65"/>
      <c r="BC622" s="23"/>
      <c r="BD622" s="23"/>
      <c r="BE622" s="23"/>
      <c r="BF622" s="66"/>
    </row>
    <row r="623">
      <c r="G623" s="106"/>
      <c r="H623" s="105"/>
      <c r="I623" s="106"/>
      <c r="J623" s="106"/>
      <c r="K623" s="106"/>
      <c r="L623" s="106"/>
      <c r="M623" s="106"/>
      <c r="N623" s="106"/>
      <c r="O623" s="106"/>
      <c r="P623" s="106"/>
      <c r="Q623" s="106"/>
      <c r="AB623" s="106"/>
      <c r="AR623" s="65"/>
      <c r="AS623" s="65"/>
      <c r="AT623" s="65"/>
      <c r="BC623" s="23"/>
      <c r="BD623" s="23"/>
      <c r="BE623" s="23"/>
      <c r="BF623" s="66"/>
    </row>
    <row r="624">
      <c r="G624" s="106"/>
      <c r="H624" s="105"/>
      <c r="I624" s="106"/>
      <c r="J624" s="106"/>
      <c r="K624" s="106"/>
      <c r="L624" s="106"/>
      <c r="M624" s="106"/>
      <c r="N624" s="106"/>
      <c r="O624" s="106"/>
      <c r="P624" s="106"/>
      <c r="Q624" s="106"/>
      <c r="AB624" s="106"/>
      <c r="AR624" s="65"/>
      <c r="AS624" s="65"/>
      <c r="AT624" s="65"/>
      <c r="BC624" s="23"/>
      <c r="BD624" s="23"/>
      <c r="BE624" s="23"/>
      <c r="BF624" s="66"/>
    </row>
    <row r="625">
      <c r="G625" s="106"/>
      <c r="H625" s="105"/>
      <c r="I625" s="106"/>
      <c r="J625" s="106"/>
      <c r="K625" s="106"/>
      <c r="L625" s="106"/>
      <c r="M625" s="106"/>
      <c r="N625" s="106"/>
      <c r="O625" s="106"/>
      <c r="P625" s="106"/>
      <c r="Q625" s="106"/>
      <c r="AB625" s="106"/>
      <c r="AR625" s="65"/>
      <c r="AS625" s="65"/>
      <c r="AT625" s="65"/>
      <c r="BC625" s="23"/>
      <c r="BD625" s="23"/>
      <c r="BE625" s="23"/>
      <c r="BF625" s="66"/>
    </row>
    <row r="626">
      <c r="G626" s="106"/>
      <c r="H626" s="105"/>
      <c r="I626" s="106"/>
      <c r="J626" s="106"/>
      <c r="K626" s="106"/>
      <c r="L626" s="106"/>
      <c r="M626" s="106"/>
      <c r="N626" s="106"/>
      <c r="O626" s="106"/>
      <c r="P626" s="106"/>
      <c r="Q626" s="106"/>
      <c r="AB626" s="106"/>
      <c r="AR626" s="65"/>
      <c r="AS626" s="65"/>
      <c r="AT626" s="65"/>
      <c r="BC626" s="23"/>
      <c r="BD626" s="23"/>
      <c r="BE626" s="23"/>
      <c r="BF626" s="66"/>
    </row>
    <row r="627">
      <c r="G627" s="106"/>
      <c r="H627" s="105"/>
      <c r="I627" s="106"/>
      <c r="J627" s="106"/>
      <c r="K627" s="106"/>
      <c r="L627" s="106"/>
      <c r="M627" s="106"/>
      <c r="N627" s="106"/>
      <c r="O627" s="106"/>
      <c r="P627" s="106"/>
      <c r="Q627" s="106"/>
      <c r="AB627" s="106"/>
      <c r="AR627" s="65"/>
      <c r="AS627" s="65"/>
      <c r="AT627" s="65"/>
      <c r="BC627" s="23"/>
      <c r="BD627" s="23"/>
      <c r="BE627" s="23"/>
      <c r="BF627" s="66"/>
    </row>
    <row r="628">
      <c r="G628" s="106"/>
      <c r="H628" s="105"/>
      <c r="I628" s="106"/>
      <c r="J628" s="106"/>
      <c r="K628" s="106"/>
      <c r="L628" s="106"/>
      <c r="M628" s="106"/>
      <c r="N628" s="106"/>
      <c r="O628" s="106"/>
      <c r="P628" s="106"/>
      <c r="Q628" s="106"/>
      <c r="AB628" s="106"/>
      <c r="AR628" s="65"/>
      <c r="AS628" s="65"/>
      <c r="AT628" s="65"/>
      <c r="BC628" s="23"/>
      <c r="BD628" s="23"/>
      <c r="BE628" s="23"/>
      <c r="BF628" s="66"/>
    </row>
    <row r="629">
      <c r="G629" s="106"/>
      <c r="H629" s="105"/>
      <c r="I629" s="106"/>
      <c r="J629" s="106"/>
      <c r="K629" s="106"/>
      <c r="L629" s="106"/>
      <c r="M629" s="106"/>
      <c r="N629" s="106"/>
      <c r="O629" s="106"/>
      <c r="P629" s="106"/>
      <c r="Q629" s="106"/>
      <c r="AB629" s="106"/>
      <c r="AR629" s="65"/>
      <c r="AS629" s="65"/>
      <c r="AT629" s="65"/>
      <c r="BC629" s="23"/>
      <c r="BD629" s="23"/>
      <c r="BE629" s="23"/>
      <c r="BF629" s="66"/>
    </row>
    <row r="630">
      <c r="G630" s="106"/>
      <c r="H630" s="105"/>
      <c r="I630" s="106"/>
      <c r="J630" s="106"/>
      <c r="K630" s="106"/>
      <c r="L630" s="106"/>
      <c r="M630" s="106"/>
      <c r="N630" s="106"/>
      <c r="O630" s="106"/>
      <c r="P630" s="106"/>
      <c r="Q630" s="106"/>
      <c r="AB630" s="106"/>
      <c r="AR630" s="65"/>
      <c r="AS630" s="65"/>
      <c r="AT630" s="65"/>
      <c r="BC630" s="23"/>
      <c r="BD630" s="23"/>
      <c r="BE630" s="23"/>
      <c r="BF630" s="66"/>
    </row>
    <row r="631">
      <c r="G631" s="106"/>
      <c r="H631" s="105"/>
      <c r="I631" s="106"/>
      <c r="J631" s="106"/>
      <c r="K631" s="106"/>
      <c r="L631" s="106"/>
      <c r="M631" s="106"/>
      <c r="N631" s="106"/>
      <c r="O631" s="106"/>
      <c r="P631" s="106"/>
      <c r="Q631" s="106"/>
      <c r="AB631" s="106"/>
      <c r="AR631" s="65"/>
      <c r="AS631" s="65"/>
      <c r="AT631" s="65"/>
      <c r="BC631" s="23"/>
      <c r="BD631" s="23"/>
      <c r="BE631" s="23"/>
      <c r="BF631" s="66"/>
    </row>
    <row r="632">
      <c r="G632" s="106"/>
      <c r="H632" s="105"/>
      <c r="I632" s="106"/>
      <c r="J632" s="106"/>
      <c r="K632" s="106"/>
      <c r="L632" s="106"/>
      <c r="M632" s="106"/>
      <c r="N632" s="106"/>
      <c r="O632" s="106"/>
      <c r="P632" s="106"/>
      <c r="Q632" s="106"/>
      <c r="AB632" s="106"/>
      <c r="AR632" s="65"/>
      <c r="AS632" s="65"/>
      <c r="AT632" s="65"/>
      <c r="BC632" s="23"/>
      <c r="BD632" s="23"/>
      <c r="BE632" s="23"/>
      <c r="BF632" s="66"/>
    </row>
    <row r="633">
      <c r="G633" s="106"/>
      <c r="H633" s="105"/>
      <c r="I633" s="106"/>
      <c r="J633" s="106"/>
      <c r="K633" s="106"/>
      <c r="L633" s="106"/>
      <c r="M633" s="106"/>
      <c r="N633" s="106"/>
      <c r="O633" s="106"/>
      <c r="P633" s="106"/>
      <c r="Q633" s="106"/>
      <c r="AB633" s="106"/>
      <c r="AR633" s="65"/>
      <c r="AS633" s="65"/>
      <c r="AT633" s="65"/>
      <c r="BC633" s="23"/>
      <c r="BD633" s="23"/>
      <c r="BE633" s="23"/>
      <c r="BF633" s="66"/>
    </row>
    <row r="634">
      <c r="G634" s="106"/>
      <c r="H634" s="105"/>
      <c r="I634" s="106"/>
      <c r="J634" s="106"/>
      <c r="K634" s="106"/>
      <c r="L634" s="106"/>
      <c r="M634" s="106"/>
      <c r="N634" s="106"/>
      <c r="O634" s="106"/>
      <c r="P634" s="106"/>
      <c r="Q634" s="106"/>
      <c r="AB634" s="106"/>
      <c r="AR634" s="65"/>
      <c r="AS634" s="65"/>
      <c r="AT634" s="65"/>
      <c r="BC634" s="23"/>
      <c r="BD634" s="23"/>
      <c r="BE634" s="23"/>
      <c r="BF634" s="66"/>
    </row>
    <row r="635">
      <c r="G635" s="106"/>
      <c r="H635" s="105"/>
      <c r="I635" s="106"/>
      <c r="J635" s="106"/>
      <c r="K635" s="106"/>
      <c r="L635" s="106"/>
      <c r="M635" s="106"/>
      <c r="N635" s="106"/>
      <c r="O635" s="106"/>
      <c r="P635" s="106"/>
      <c r="Q635" s="106"/>
      <c r="AB635" s="106"/>
      <c r="AR635" s="65"/>
      <c r="AS635" s="65"/>
      <c r="AT635" s="65"/>
      <c r="BC635" s="23"/>
      <c r="BD635" s="23"/>
      <c r="BE635" s="23"/>
      <c r="BF635" s="66"/>
    </row>
    <row r="636">
      <c r="G636" s="106"/>
      <c r="H636" s="105"/>
      <c r="I636" s="106"/>
      <c r="J636" s="106"/>
      <c r="K636" s="106"/>
      <c r="L636" s="106"/>
      <c r="M636" s="106"/>
      <c r="N636" s="106"/>
      <c r="O636" s="106"/>
      <c r="P636" s="106"/>
      <c r="Q636" s="106"/>
      <c r="AB636" s="106"/>
      <c r="AR636" s="65"/>
      <c r="AS636" s="65"/>
      <c r="AT636" s="65"/>
      <c r="BC636" s="23"/>
      <c r="BD636" s="23"/>
      <c r="BE636" s="23"/>
      <c r="BF636" s="66"/>
    </row>
    <row r="637">
      <c r="G637" s="106"/>
      <c r="H637" s="105"/>
      <c r="I637" s="106"/>
      <c r="J637" s="106"/>
      <c r="K637" s="106"/>
      <c r="L637" s="106"/>
      <c r="M637" s="106"/>
      <c r="N637" s="106"/>
      <c r="O637" s="106"/>
      <c r="P637" s="106"/>
      <c r="Q637" s="106"/>
      <c r="AB637" s="106"/>
      <c r="AR637" s="65"/>
      <c r="AS637" s="65"/>
      <c r="AT637" s="65"/>
      <c r="BC637" s="23"/>
      <c r="BD637" s="23"/>
      <c r="BE637" s="23"/>
      <c r="BF637" s="66"/>
    </row>
    <row r="638">
      <c r="G638" s="106"/>
      <c r="H638" s="105"/>
      <c r="I638" s="106"/>
      <c r="J638" s="106"/>
      <c r="K638" s="106"/>
      <c r="L638" s="106"/>
      <c r="M638" s="106"/>
      <c r="N638" s="106"/>
      <c r="O638" s="106"/>
      <c r="P638" s="106"/>
      <c r="Q638" s="106"/>
      <c r="AB638" s="106"/>
      <c r="AR638" s="65"/>
      <c r="AS638" s="65"/>
      <c r="AT638" s="65"/>
      <c r="BC638" s="23"/>
      <c r="BD638" s="23"/>
      <c r="BE638" s="23"/>
      <c r="BF638" s="66"/>
    </row>
    <row r="639">
      <c r="G639" s="106"/>
      <c r="H639" s="105"/>
      <c r="I639" s="106"/>
      <c r="J639" s="106"/>
      <c r="K639" s="106"/>
      <c r="L639" s="106"/>
      <c r="M639" s="106"/>
      <c r="N639" s="106"/>
      <c r="O639" s="106"/>
      <c r="P639" s="106"/>
      <c r="Q639" s="106"/>
      <c r="AB639" s="106"/>
      <c r="AR639" s="65"/>
      <c r="AS639" s="65"/>
      <c r="AT639" s="65"/>
      <c r="BC639" s="23"/>
      <c r="BD639" s="23"/>
      <c r="BE639" s="23"/>
      <c r="BF639" s="66"/>
    </row>
    <row r="640">
      <c r="G640" s="106"/>
      <c r="H640" s="105"/>
      <c r="I640" s="106"/>
      <c r="J640" s="106"/>
      <c r="K640" s="106"/>
      <c r="L640" s="106"/>
      <c r="M640" s="106"/>
      <c r="N640" s="106"/>
      <c r="O640" s="106"/>
      <c r="P640" s="106"/>
      <c r="Q640" s="106"/>
      <c r="AB640" s="106"/>
      <c r="AR640" s="65"/>
      <c r="AS640" s="65"/>
      <c r="AT640" s="65"/>
      <c r="BC640" s="23"/>
      <c r="BD640" s="23"/>
      <c r="BE640" s="23"/>
      <c r="BF640" s="66"/>
    </row>
    <row r="641">
      <c r="G641" s="106"/>
      <c r="H641" s="105"/>
      <c r="I641" s="106"/>
      <c r="J641" s="106"/>
      <c r="K641" s="106"/>
      <c r="L641" s="106"/>
      <c r="M641" s="106"/>
      <c r="N641" s="106"/>
      <c r="O641" s="106"/>
      <c r="P641" s="106"/>
      <c r="Q641" s="106"/>
      <c r="AB641" s="106"/>
      <c r="AR641" s="65"/>
      <c r="AS641" s="65"/>
      <c r="AT641" s="65"/>
      <c r="BC641" s="23"/>
      <c r="BD641" s="23"/>
      <c r="BE641" s="23"/>
      <c r="BF641" s="66"/>
    </row>
    <row r="642">
      <c r="G642" s="106"/>
      <c r="H642" s="105"/>
      <c r="I642" s="106"/>
      <c r="J642" s="106"/>
      <c r="K642" s="106"/>
      <c r="L642" s="106"/>
      <c r="M642" s="106"/>
      <c r="N642" s="106"/>
      <c r="O642" s="106"/>
      <c r="P642" s="106"/>
      <c r="Q642" s="106"/>
      <c r="AB642" s="106"/>
      <c r="AR642" s="65"/>
      <c r="AS642" s="65"/>
      <c r="AT642" s="65"/>
      <c r="BC642" s="23"/>
      <c r="BD642" s="23"/>
      <c r="BE642" s="23"/>
      <c r="BF642" s="66"/>
    </row>
    <row r="643">
      <c r="G643" s="106"/>
      <c r="H643" s="105"/>
      <c r="I643" s="106"/>
      <c r="J643" s="106"/>
      <c r="K643" s="106"/>
      <c r="L643" s="106"/>
      <c r="M643" s="106"/>
      <c r="N643" s="106"/>
      <c r="O643" s="106"/>
      <c r="P643" s="106"/>
      <c r="Q643" s="106"/>
      <c r="AB643" s="106"/>
      <c r="AR643" s="65"/>
      <c r="AS643" s="65"/>
      <c r="AT643" s="65"/>
      <c r="BC643" s="23"/>
      <c r="BD643" s="23"/>
      <c r="BE643" s="23"/>
      <c r="BF643" s="66"/>
    </row>
    <row r="644">
      <c r="G644" s="106"/>
      <c r="H644" s="105"/>
      <c r="I644" s="106"/>
      <c r="J644" s="106"/>
      <c r="K644" s="106"/>
      <c r="L644" s="106"/>
      <c r="M644" s="106"/>
      <c r="N644" s="106"/>
      <c r="O644" s="106"/>
      <c r="P644" s="106"/>
      <c r="Q644" s="106"/>
      <c r="AB644" s="106"/>
      <c r="AR644" s="65"/>
      <c r="AS644" s="65"/>
      <c r="AT644" s="65"/>
      <c r="BC644" s="23"/>
      <c r="BD644" s="23"/>
      <c r="BE644" s="23"/>
      <c r="BF644" s="66"/>
    </row>
    <row r="645">
      <c r="G645" s="106"/>
      <c r="H645" s="105"/>
      <c r="I645" s="106"/>
      <c r="J645" s="106"/>
      <c r="K645" s="106"/>
      <c r="L645" s="106"/>
      <c r="M645" s="106"/>
      <c r="N645" s="106"/>
      <c r="O645" s="106"/>
      <c r="P645" s="106"/>
      <c r="Q645" s="106"/>
      <c r="AB645" s="106"/>
      <c r="AR645" s="65"/>
      <c r="AS645" s="65"/>
      <c r="AT645" s="65"/>
      <c r="BC645" s="23"/>
      <c r="BD645" s="23"/>
      <c r="BE645" s="23"/>
      <c r="BF645" s="66"/>
    </row>
    <row r="646">
      <c r="G646" s="106"/>
      <c r="H646" s="105"/>
      <c r="I646" s="106"/>
      <c r="J646" s="106"/>
      <c r="K646" s="106"/>
      <c r="L646" s="106"/>
      <c r="M646" s="106"/>
      <c r="N646" s="106"/>
      <c r="O646" s="106"/>
      <c r="P646" s="106"/>
      <c r="Q646" s="106"/>
      <c r="AB646" s="106"/>
      <c r="AR646" s="65"/>
      <c r="AS646" s="65"/>
      <c r="AT646" s="65"/>
      <c r="BC646" s="23"/>
      <c r="BD646" s="23"/>
      <c r="BE646" s="23"/>
      <c r="BF646" s="66"/>
    </row>
    <row r="647">
      <c r="G647" s="106"/>
      <c r="H647" s="105"/>
      <c r="I647" s="106"/>
      <c r="J647" s="106"/>
      <c r="K647" s="106"/>
      <c r="L647" s="106"/>
      <c r="M647" s="106"/>
      <c r="N647" s="106"/>
      <c r="O647" s="106"/>
      <c r="P647" s="106"/>
      <c r="Q647" s="106"/>
      <c r="AB647" s="106"/>
      <c r="AR647" s="65"/>
      <c r="AS647" s="65"/>
      <c r="AT647" s="65"/>
      <c r="BC647" s="23"/>
      <c r="BD647" s="23"/>
      <c r="BE647" s="23"/>
      <c r="BF647" s="66"/>
    </row>
    <row r="648">
      <c r="G648" s="106"/>
      <c r="H648" s="105"/>
      <c r="I648" s="106"/>
      <c r="J648" s="106"/>
      <c r="K648" s="106"/>
      <c r="L648" s="106"/>
      <c r="M648" s="106"/>
      <c r="N648" s="106"/>
      <c r="O648" s="106"/>
      <c r="P648" s="106"/>
      <c r="Q648" s="106"/>
      <c r="AB648" s="106"/>
      <c r="AR648" s="65"/>
      <c r="AS648" s="65"/>
      <c r="AT648" s="65"/>
      <c r="BC648" s="23"/>
      <c r="BD648" s="23"/>
      <c r="BE648" s="23"/>
      <c r="BF648" s="66"/>
    </row>
    <row r="649">
      <c r="G649" s="106"/>
      <c r="H649" s="105"/>
      <c r="I649" s="106"/>
      <c r="J649" s="106"/>
      <c r="K649" s="106"/>
      <c r="L649" s="106"/>
      <c r="M649" s="106"/>
      <c r="N649" s="106"/>
      <c r="O649" s="106"/>
      <c r="P649" s="106"/>
      <c r="Q649" s="106"/>
      <c r="AB649" s="106"/>
      <c r="AR649" s="65"/>
      <c r="AS649" s="65"/>
      <c r="AT649" s="65"/>
      <c r="BC649" s="23"/>
      <c r="BD649" s="23"/>
      <c r="BE649" s="23"/>
      <c r="BF649" s="66"/>
    </row>
    <row r="650">
      <c r="G650" s="106"/>
      <c r="H650" s="105"/>
      <c r="I650" s="106"/>
      <c r="J650" s="106"/>
      <c r="K650" s="106"/>
      <c r="L650" s="106"/>
      <c r="M650" s="106"/>
      <c r="N650" s="106"/>
      <c r="O650" s="106"/>
      <c r="P650" s="106"/>
      <c r="Q650" s="106"/>
      <c r="AB650" s="106"/>
      <c r="AR650" s="65"/>
      <c r="AS650" s="65"/>
      <c r="AT650" s="65"/>
      <c r="BC650" s="23"/>
      <c r="BD650" s="23"/>
      <c r="BE650" s="23"/>
      <c r="BF650" s="66"/>
    </row>
    <row r="651">
      <c r="G651" s="106"/>
      <c r="H651" s="105"/>
      <c r="I651" s="106"/>
      <c r="J651" s="106"/>
      <c r="K651" s="106"/>
      <c r="L651" s="106"/>
      <c r="M651" s="106"/>
      <c r="N651" s="106"/>
      <c r="O651" s="106"/>
      <c r="P651" s="106"/>
      <c r="Q651" s="106"/>
      <c r="AB651" s="106"/>
      <c r="AR651" s="65"/>
      <c r="AS651" s="65"/>
      <c r="AT651" s="65"/>
      <c r="BC651" s="23"/>
      <c r="BD651" s="23"/>
      <c r="BE651" s="23"/>
      <c r="BF651" s="66"/>
    </row>
    <row r="652">
      <c r="G652" s="106"/>
      <c r="H652" s="105"/>
      <c r="I652" s="106"/>
      <c r="J652" s="106"/>
      <c r="K652" s="106"/>
      <c r="L652" s="106"/>
      <c r="M652" s="106"/>
      <c r="N652" s="106"/>
      <c r="O652" s="106"/>
      <c r="P652" s="106"/>
      <c r="Q652" s="106"/>
      <c r="AB652" s="106"/>
      <c r="AR652" s="65"/>
      <c r="AS652" s="65"/>
      <c r="AT652" s="65"/>
      <c r="BC652" s="23"/>
      <c r="BD652" s="23"/>
      <c r="BE652" s="23"/>
      <c r="BF652" s="66"/>
    </row>
    <row r="653">
      <c r="G653" s="106"/>
      <c r="H653" s="105"/>
      <c r="I653" s="106"/>
      <c r="J653" s="106"/>
      <c r="K653" s="106"/>
      <c r="L653" s="106"/>
      <c r="M653" s="106"/>
      <c r="N653" s="106"/>
      <c r="O653" s="106"/>
      <c r="P653" s="106"/>
      <c r="Q653" s="106"/>
      <c r="AB653" s="106"/>
      <c r="AR653" s="65"/>
      <c r="AS653" s="65"/>
      <c r="AT653" s="65"/>
      <c r="BC653" s="23"/>
      <c r="BD653" s="23"/>
      <c r="BE653" s="23"/>
      <c r="BF653" s="66"/>
    </row>
    <row r="654">
      <c r="G654" s="106"/>
      <c r="H654" s="105"/>
      <c r="I654" s="106"/>
      <c r="J654" s="106"/>
      <c r="K654" s="106"/>
      <c r="L654" s="106"/>
      <c r="M654" s="106"/>
      <c r="N654" s="106"/>
      <c r="O654" s="106"/>
      <c r="P654" s="106"/>
      <c r="Q654" s="106"/>
      <c r="AB654" s="106"/>
      <c r="AR654" s="65"/>
      <c r="AS654" s="65"/>
      <c r="AT654" s="65"/>
      <c r="BC654" s="23"/>
      <c r="BD654" s="23"/>
      <c r="BE654" s="23"/>
      <c r="BF654" s="66"/>
    </row>
    <row r="655">
      <c r="G655" s="106"/>
      <c r="H655" s="105"/>
      <c r="I655" s="106"/>
      <c r="J655" s="106"/>
      <c r="K655" s="106"/>
      <c r="L655" s="106"/>
      <c r="M655" s="106"/>
      <c r="N655" s="106"/>
      <c r="O655" s="106"/>
      <c r="P655" s="106"/>
      <c r="Q655" s="106"/>
      <c r="AB655" s="106"/>
      <c r="AR655" s="65"/>
      <c r="AS655" s="65"/>
      <c r="AT655" s="65"/>
      <c r="BC655" s="23"/>
      <c r="BD655" s="23"/>
      <c r="BE655" s="23"/>
      <c r="BF655" s="66"/>
    </row>
    <row r="656">
      <c r="G656" s="106"/>
      <c r="H656" s="105"/>
      <c r="I656" s="106"/>
      <c r="J656" s="106"/>
      <c r="K656" s="106"/>
      <c r="L656" s="106"/>
      <c r="M656" s="106"/>
      <c r="N656" s="106"/>
      <c r="O656" s="106"/>
      <c r="P656" s="106"/>
      <c r="Q656" s="106"/>
      <c r="AB656" s="106"/>
      <c r="AR656" s="65"/>
      <c r="AS656" s="65"/>
      <c r="AT656" s="65"/>
      <c r="BC656" s="23"/>
      <c r="BD656" s="23"/>
      <c r="BE656" s="23"/>
      <c r="BF656" s="66"/>
    </row>
    <row r="657">
      <c r="G657" s="106"/>
      <c r="H657" s="105"/>
      <c r="I657" s="106"/>
      <c r="J657" s="106"/>
      <c r="K657" s="106"/>
      <c r="L657" s="106"/>
      <c r="M657" s="106"/>
      <c r="N657" s="106"/>
      <c r="O657" s="106"/>
      <c r="P657" s="106"/>
      <c r="Q657" s="106"/>
      <c r="AB657" s="106"/>
      <c r="AR657" s="65"/>
      <c r="AS657" s="65"/>
      <c r="AT657" s="65"/>
      <c r="BC657" s="23"/>
      <c r="BD657" s="23"/>
      <c r="BE657" s="23"/>
      <c r="BF657" s="66"/>
    </row>
    <row r="658">
      <c r="G658" s="106"/>
      <c r="H658" s="105"/>
      <c r="I658" s="106"/>
      <c r="J658" s="106"/>
      <c r="K658" s="106"/>
      <c r="L658" s="106"/>
      <c r="M658" s="106"/>
      <c r="N658" s="106"/>
      <c r="O658" s="106"/>
      <c r="P658" s="106"/>
      <c r="Q658" s="106"/>
      <c r="AB658" s="106"/>
      <c r="AR658" s="65"/>
      <c r="AS658" s="65"/>
      <c r="AT658" s="65"/>
      <c r="BC658" s="23"/>
      <c r="BD658" s="23"/>
      <c r="BE658" s="23"/>
      <c r="BF658" s="66"/>
    </row>
    <row r="659">
      <c r="G659" s="106"/>
      <c r="H659" s="105"/>
      <c r="I659" s="106"/>
      <c r="J659" s="106"/>
      <c r="K659" s="106"/>
      <c r="L659" s="106"/>
      <c r="M659" s="106"/>
      <c r="N659" s="106"/>
      <c r="O659" s="106"/>
      <c r="P659" s="106"/>
      <c r="Q659" s="106"/>
      <c r="AB659" s="106"/>
      <c r="AR659" s="65"/>
      <c r="AS659" s="65"/>
      <c r="AT659" s="65"/>
      <c r="BC659" s="23"/>
      <c r="BD659" s="23"/>
      <c r="BE659" s="23"/>
      <c r="BF659" s="66"/>
    </row>
    <row r="660">
      <c r="G660" s="106"/>
      <c r="H660" s="105"/>
      <c r="I660" s="106"/>
      <c r="J660" s="106"/>
      <c r="K660" s="106"/>
      <c r="L660" s="106"/>
      <c r="M660" s="106"/>
      <c r="N660" s="106"/>
      <c r="O660" s="106"/>
      <c r="P660" s="106"/>
      <c r="Q660" s="106"/>
      <c r="AB660" s="106"/>
      <c r="AR660" s="65"/>
      <c r="AS660" s="65"/>
      <c r="AT660" s="65"/>
      <c r="BC660" s="23"/>
      <c r="BD660" s="23"/>
      <c r="BE660" s="23"/>
      <c r="BF660" s="66"/>
    </row>
    <row r="661">
      <c r="G661" s="106"/>
      <c r="H661" s="105"/>
      <c r="I661" s="106"/>
      <c r="J661" s="106"/>
      <c r="K661" s="106"/>
      <c r="L661" s="106"/>
      <c r="M661" s="106"/>
      <c r="N661" s="106"/>
      <c r="O661" s="106"/>
      <c r="P661" s="106"/>
      <c r="Q661" s="106"/>
      <c r="AB661" s="106"/>
      <c r="AR661" s="65"/>
      <c r="AS661" s="65"/>
      <c r="AT661" s="65"/>
      <c r="BC661" s="23"/>
      <c r="BD661" s="23"/>
      <c r="BE661" s="23"/>
      <c r="BF661" s="66"/>
    </row>
    <row r="662">
      <c r="G662" s="106"/>
      <c r="H662" s="105"/>
      <c r="I662" s="106"/>
      <c r="J662" s="106"/>
      <c r="K662" s="106"/>
      <c r="L662" s="106"/>
      <c r="M662" s="106"/>
      <c r="N662" s="106"/>
      <c r="O662" s="106"/>
      <c r="P662" s="106"/>
      <c r="Q662" s="106"/>
      <c r="AB662" s="106"/>
      <c r="AR662" s="65"/>
      <c r="AS662" s="65"/>
      <c r="AT662" s="65"/>
      <c r="BC662" s="23"/>
      <c r="BD662" s="23"/>
      <c r="BE662" s="23"/>
      <c r="BF662" s="66"/>
    </row>
    <row r="663">
      <c r="G663" s="106"/>
      <c r="H663" s="105"/>
      <c r="I663" s="106"/>
      <c r="J663" s="106"/>
      <c r="K663" s="106"/>
      <c r="L663" s="106"/>
      <c r="M663" s="106"/>
      <c r="N663" s="106"/>
      <c r="O663" s="106"/>
      <c r="P663" s="106"/>
      <c r="Q663" s="106"/>
      <c r="AB663" s="106"/>
      <c r="AR663" s="65"/>
      <c r="AS663" s="65"/>
      <c r="AT663" s="65"/>
      <c r="BC663" s="23"/>
      <c r="BD663" s="23"/>
      <c r="BE663" s="23"/>
      <c r="BF663" s="66"/>
    </row>
    <row r="664">
      <c r="G664" s="106"/>
      <c r="H664" s="105"/>
      <c r="I664" s="106"/>
      <c r="J664" s="106"/>
      <c r="K664" s="106"/>
      <c r="L664" s="106"/>
      <c r="M664" s="106"/>
      <c r="N664" s="106"/>
      <c r="O664" s="106"/>
      <c r="P664" s="106"/>
      <c r="Q664" s="106"/>
      <c r="AB664" s="106"/>
      <c r="AR664" s="65"/>
      <c r="AS664" s="65"/>
      <c r="AT664" s="65"/>
      <c r="BC664" s="23"/>
      <c r="BD664" s="23"/>
      <c r="BE664" s="23"/>
      <c r="BF664" s="66"/>
    </row>
    <row r="665">
      <c r="G665" s="106"/>
      <c r="H665" s="105"/>
      <c r="I665" s="106"/>
      <c r="J665" s="106"/>
      <c r="K665" s="106"/>
      <c r="L665" s="106"/>
      <c r="M665" s="106"/>
      <c r="N665" s="106"/>
      <c r="O665" s="106"/>
      <c r="P665" s="106"/>
      <c r="Q665" s="106"/>
      <c r="AB665" s="106"/>
      <c r="AR665" s="65"/>
      <c r="AS665" s="65"/>
      <c r="AT665" s="65"/>
      <c r="BC665" s="23"/>
      <c r="BD665" s="23"/>
      <c r="BE665" s="23"/>
      <c r="BF665" s="66"/>
    </row>
    <row r="666">
      <c r="G666" s="106"/>
      <c r="H666" s="105"/>
      <c r="I666" s="106"/>
      <c r="J666" s="106"/>
      <c r="K666" s="106"/>
      <c r="L666" s="106"/>
      <c r="M666" s="106"/>
      <c r="N666" s="106"/>
      <c r="O666" s="106"/>
      <c r="P666" s="106"/>
      <c r="Q666" s="106"/>
      <c r="AB666" s="106"/>
      <c r="AR666" s="65"/>
      <c r="AS666" s="65"/>
      <c r="AT666" s="65"/>
      <c r="BC666" s="23"/>
      <c r="BD666" s="23"/>
      <c r="BE666" s="23"/>
      <c r="BF666" s="66"/>
    </row>
    <row r="667">
      <c r="G667" s="106"/>
      <c r="H667" s="105"/>
      <c r="I667" s="106"/>
      <c r="J667" s="106"/>
      <c r="K667" s="106"/>
      <c r="L667" s="106"/>
      <c r="M667" s="106"/>
      <c r="N667" s="106"/>
      <c r="O667" s="106"/>
      <c r="P667" s="106"/>
      <c r="Q667" s="106"/>
      <c r="AB667" s="106"/>
      <c r="AR667" s="65"/>
      <c r="AS667" s="65"/>
      <c r="AT667" s="65"/>
      <c r="BC667" s="23"/>
      <c r="BD667" s="23"/>
      <c r="BE667" s="23"/>
      <c r="BF667" s="66"/>
    </row>
    <row r="668">
      <c r="G668" s="106"/>
      <c r="H668" s="105"/>
      <c r="I668" s="106"/>
      <c r="J668" s="106"/>
      <c r="K668" s="106"/>
      <c r="L668" s="106"/>
      <c r="M668" s="106"/>
      <c r="N668" s="106"/>
      <c r="O668" s="106"/>
      <c r="P668" s="106"/>
      <c r="Q668" s="106"/>
      <c r="AB668" s="106"/>
      <c r="AR668" s="65"/>
      <c r="AS668" s="65"/>
      <c r="AT668" s="65"/>
      <c r="BC668" s="23"/>
      <c r="BD668" s="23"/>
      <c r="BE668" s="23"/>
      <c r="BF668" s="66"/>
    </row>
    <row r="669">
      <c r="G669" s="106"/>
      <c r="H669" s="105"/>
      <c r="I669" s="106"/>
      <c r="J669" s="106"/>
      <c r="K669" s="106"/>
      <c r="L669" s="106"/>
      <c r="M669" s="106"/>
      <c r="N669" s="106"/>
      <c r="O669" s="106"/>
      <c r="P669" s="106"/>
      <c r="Q669" s="106"/>
      <c r="AB669" s="106"/>
      <c r="AR669" s="65"/>
      <c r="AS669" s="65"/>
      <c r="AT669" s="65"/>
      <c r="BC669" s="23"/>
      <c r="BD669" s="23"/>
      <c r="BE669" s="23"/>
      <c r="BF669" s="66"/>
    </row>
    <row r="670">
      <c r="G670" s="106"/>
      <c r="H670" s="105"/>
      <c r="I670" s="106"/>
      <c r="J670" s="106"/>
      <c r="K670" s="106"/>
      <c r="L670" s="106"/>
      <c r="M670" s="106"/>
      <c r="N670" s="106"/>
      <c r="O670" s="106"/>
      <c r="P670" s="106"/>
      <c r="Q670" s="106"/>
      <c r="AB670" s="106"/>
      <c r="AR670" s="65"/>
      <c r="AS670" s="65"/>
      <c r="AT670" s="65"/>
      <c r="BC670" s="23"/>
      <c r="BD670" s="23"/>
      <c r="BE670" s="23"/>
      <c r="BF670" s="66"/>
    </row>
    <row r="671">
      <c r="G671" s="106"/>
      <c r="H671" s="105"/>
      <c r="I671" s="106"/>
      <c r="J671" s="106"/>
      <c r="K671" s="106"/>
      <c r="L671" s="106"/>
      <c r="M671" s="106"/>
      <c r="N671" s="106"/>
      <c r="O671" s="106"/>
      <c r="P671" s="106"/>
      <c r="Q671" s="106"/>
      <c r="AB671" s="106"/>
      <c r="AR671" s="65"/>
      <c r="AS671" s="65"/>
      <c r="AT671" s="65"/>
      <c r="BC671" s="23"/>
      <c r="BD671" s="23"/>
      <c r="BE671" s="23"/>
      <c r="BF671" s="66"/>
    </row>
    <row r="672">
      <c r="G672" s="106"/>
      <c r="H672" s="105"/>
      <c r="I672" s="106"/>
      <c r="J672" s="106"/>
      <c r="K672" s="106"/>
      <c r="L672" s="106"/>
      <c r="M672" s="106"/>
      <c r="N672" s="106"/>
      <c r="O672" s="106"/>
      <c r="P672" s="106"/>
      <c r="Q672" s="106"/>
      <c r="AB672" s="106"/>
      <c r="AR672" s="65"/>
      <c r="AS672" s="65"/>
      <c r="AT672" s="65"/>
      <c r="BC672" s="23"/>
      <c r="BD672" s="23"/>
      <c r="BE672" s="23"/>
      <c r="BF672" s="66"/>
    </row>
    <row r="673">
      <c r="G673" s="106"/>
      <c r="H673" s="105"/>
      <c r="I673" s="106"/>
      <c r="J673" s="106"/>
      <c r="K673" s="106"/>
      <c r="L673" s="106"/>
      <c r="M673" s="106"/>
      <c r="N673" s="106"/>
      <c r="O673" s="106"/>
      <c r="P673" s="106"/>
      <c r="Q673" s="106"/>
      <c r="AB673" s="106"/>
      <c r="AR673" s="65"/>
      <c r="AS673" s="65"/>
      <c r="AT673" s="65"/>
      <c r="BC673" s="23"/>
      <c r="BD673" s="23"/>
      <c r="BE673" s="23"/>
      <c r="BF673" s="66"/>
    </row>
    <row r="674">
      <c r="G674" s="106"/>
      <c r="H674" s="105"/>
      <c r="I674" s="106"/>
      <c r="J674" s="106"/>
      <c r="K674" s="106"/>
      <c r="L674" s="106"/>
      <c r="M674" s="106"/>
      <c r="N674" s="106"/>
      <c r="O674" s="106"/>
      <c r="P674" s="106"/>
      <c r="Q674" s="106"/>
      <c r="AB674" s="106"/>
      <c r="AR674" s="65"/>
      <c r="AS674" s="65"/>
      <c r="AT674" s="65"/>
      <c r="BC674" s="23"/>
      <c r="BD674" s="23"/>
      <c r="BE674" s="23"/>
      <c r="BF674" s="66"/>
    </row>
    <row r="675">
      <c r="G675" s="106"/>
      <c r="H675" s="105"/>
      <c r="I675" s="106"/>
      <c r="J675" s="106"/>
      <c r="K675" s="106"/>
      <c r="L675" s="106"/>
      <c r="M675" s="106"/>
      <c r="N675" s="106"/>
      <c r="O675" s="106"/>
      <c r="P675" s="106"/>
      <c r="Q675" s="106"/>
      <c r="AB675" s="106"/>
      <c r="AR675" s="65"/>
      <c r="AS675" s="65"/>
      <c r="AT675" s="65"/>
      <c r="BC675" s="23"/>
      <c r="BD675" s="23"/>
      <c r="BE675" s="23"/>
      <c r="BF675" s="66"/>
    </row>
    <row r="676">
      <c r="G676" s="106"/>
      <c r="H676" s="105"/>
      <c r="I676" s="106"/>
      <c r="J676" s="106"/>
      <c r="K676" s="106"/>
      <c r="L676" s="106"/>
      <c r="M676" s="106"/>
      <c r="N676" s="106"/>
      <c r="O676" s="106"/>
      <c r="P676" s="106"/>
      <c r="Q676" s="106"/>
      <c r="AB676" s="106"/>
      <c r="AR676" s="65"/>
      <c r="AS676" s="65"/>
      <c r="AT676" s="65"/>
      <c r="BC676" s="23"/>
      <c r="BD676" s="23"/>
      <c r="BE676" s="23"/>
      <c r="BF676" s="66"/>
    </row>
    <row r="677">
      <c r="G677" s="106"/>
      <c r="H677" s="105"/>
      <c r="I677" s="106"/>
      <c r="J677" s="106"/>
      <c r="K677" s="106"/>
      <c r="L677" s="106"/>
      <c r="M677" s="106"/>
      <c r="N677" s="106"/>
      <c r="O677" s="106"/>
      <c r="P677" s="106"/>
      <c r="Q677" s="106"/>
      <c r="AB677" s="106"/>
      <c r="AR677" s="65"/>
      <c r="AS677" s="65"/>
      <c r="AT677" s="65"/>
      <c r="BC677" s="23"/>
      <c r="BD677" s="23"/>
      <c r="BE677" s="23"/>
      <c r="BF677" s="66"/>
    </row>
    <row r="678">
      <c r="G678" s="106"/>
      <c r="H678" s="105"/>
      <c r="I678" s="106"/>
      <c r="J678" s="106"/>
      <c r="K678" s="106"/>
      <c r="L678" s="106"/>
      <c r="M678" s="106"/>
      <c r="N678" s="106"/>
      <c r="O678" s="106"/>
      <c r="P678" s="106"/>
      <c r="Q678" s="106"/>
      <c r="AB678" s="106"/>
      <c r="AR678" s="65"/>
      <c r="AS678" s="65"/>
      <c r="AT678" s="65"/>
      <c r="BC678" s="23"/>
      <c r="BD678" s="23"/>
      <c r="BE678" s="23"/>
      <c r="BF678" s="66"/>
    </row>
    <row r="679">
      <c r="G679" s="106"/>
      <c r="H679" s="105"/>
      <c r="I679" s="106"/>
      <c r="J679" s="106"/>
      <c r="K679" s="106"/>
      <c r="L679" s="106"/>
      <c r="M679" s="106"/>
      <c r="N679" s="106"/>
      <c r="O679" s="106"/>
      <c r="P679" s="106"/>
      <c r="Q679" s="106"/>
      <c r="AB679" s="106"/>
      <c r="AR679" s="65"/>
      <c r="AS679" s="65"/>
      <c r="AT679" s="65"/>
      <c r="BC679" s="23"/>
      <c r="BD679" s="23"/>
      <c r="BE679" s="23"/>
      <c r="BF679" s="66"/>
    </row>
    <row r="680">
      <c r="G680" s="106"/>
      <c r="H680" s="105"/>
      <c r="I680" s="106"/>
      <c r="J680" s="106"/>
      <c r="K680" s="106"/>
      <c r="L680" s="106"/>
      <c r="M680" s="106"/>
      <c r="N680" s="106"/>
      <c r="O680" s="106"/>
      <c r="P680" s="106"/>
      <c r="Q680" s="106"/>
      <c r="AB680" s="106"/>
      <c r="AR680" s="65"/>
      <c r="AS680" s="65"/>
      <c r="AT680" s="65"/>
      <c r="BC680" s="23"/>
      <c r="BD680" s="23"/>
      <c r="BE680" s="23"/>
      <c r="BF680" s="66"/>
    </row>
    <row r="681">
      <c r="G681" s="106"/>
      <c r="H681" s="105"/>
      <c r="I681" s="106"/>
      <c r="J681" s="106"/>
      <c r="K681" s="106"/>
      <c r="L681" s="106"/>
      <c r="M681" s="106"/>
      <c r="N681" s="106"/>
      <c r="O681" s="106"/>
      <c r="P681" s="106"/>
      <c r="Q681" s="106"/>
      <c r="AB681" s="106"/>
      <c r="AR681" s="65"/>
      <c r="AS681" s="65"/>
      <c r="AT681" s="65"/>
      <c r="BC681" s="23"/>
      <c r="BD681" s="23"/>
      <c r="BE681" s="23"/>
      <c r="BF681" s="66"/>
    </row>
    <row r="682">
      <c r="G682" s="106"/>
      <c r="H682" s="105"/>
      <c r="I682" s="106"/>
      <c r="J682" s="106"/>
      <c r="K682" s="106"/>
      <c r="L682" s="106"/>
      <c r="M682" s="106"/>
      <c r="N682" s="106"/>
      <c r="O682" s="106"/>
      <c r="P682" s="106"/>
      <c r="Q682" s="106"/>
      <c r="AB682" s="106"/>
      <c r="AR682" s="65"/>
      <c r="AS682" s="65"/>
      <c r="AT682" s="65"/>
      <c r="BC682" s="23"/>
      <c r="BD682" s="23"/>
      <c r="BE682" s="23"/>
      <c r="BF682" s="66"/>
    </row>
    <row r="683">
      <c r="G683" s="106"/>
      <c r="H683" s="105"/>
      <c r="I683" s="106"/>
      <c r="J683" s="106"/>
      <c r="K683" s="106"/>
      <c r="L683" s="106"/>
      <c r="M683" s="106"/>
      <c r="N683" s="106"/>
      <c r="O683" s="106"/>
      <c r="P683" s="106"/>
      <c r="Q683" s="106"/>
      <c r="AB683" s="106"/>
      <c r="AR683" s="65"/>
      <c r="AS683" s="65"/>
      <c r="AT683" s="65"/>
      <c r="BC683" s="23"/>
      <c r="BD683" s="23"/>
      <c r="BE683" s="23"/>
      <c r="BF683" s="66"/>
    </row>
    <row r="684">
      <c r="G684" s="106"/>
      <c r="H684" s="105"/>
      <c r="I684" s="106"/>
      <c r="J684" s="106"/>
      <c r="K684" s="106"/>
      <c r="L684" s="106"/>
      <c r="M684" s="106"/>
      <c r="N684" s="106"/>
      <c r="O684" s="106"/>
      <c r="P684" s="106"/>
      <c r="Q684" s="106"/>
      <c r="AB684" s="106"/>
      <c r="AR684" s="65"/>
      <c r="AS684" s="65"/>
      <c r="AT684" s="65"/>
      <c r="BC684" s="23"/>
      <c r="BD684" s="23"/>
      <c r="BE684" s="23"/>
      <c r="BF684" s="66"/>
    </row>
    <row r="685">
      <c r="G685" s="106"/>
      <c r="H685" s="105"/>
      <c r="I685" s="106"/>
      <c r="J685" s="106"/>
      <c r="K685" s="106"/>
      <c r="L685" s="106"/>
      <c r="M685" s="106"/>
      <c r="N685" s="106"/>
      <c r="O685" s="106"/>
      <c r="P685" s="106"/>
      <c r="Q685" s="106"/>
      <c r="AB685" s="106"/>
      <c r="AR685" s="65"/>
      <c r="AS685" s="65"/>
      <c r="AT685" s="65"/>
      <c r="BC685" s="23"/>
      <c r="BD685" s="23"/>
      <c r="BE685" s="23"/>
      <c r="BF685" s="66"/>
    </row>
    <row r="686">
      <c r="G686" s="106"/>
      <c r="H686" s="105"/>
      <c r="I686" s="106"/>
      <c r="J686" s="106"/>
      <c r="K686" s="106"/>
      <c r="L686" s="106"/>
      <c r="M686" s="106"/>
      <c r="N686" s="106"/>
      <c r="O686" s="106"/>
      <c r="P686" s="106"/>
      <c r="Q686" s="106"/>
      <c r="AB686" s="106"/>
      <c r="AR686" s="65"/>
      <c r="AS686" s="65"/>
      <c r="AT686" s="65"/>
      <c r="BC686" s="23"/>
      <c r="BD686" s="23"/>
      <c r="BE686" s="23"/>
      <c r="BF686" s="66"/>
    </row>
    <row r="687">
      <c r="G687" s="106"/>
      <c r="H687" s="105"/>
      <c r="I687" s="106"/>
      <c r="J687" s="106"/>
      <c r="K687" s="106"/>
      <c r="L687" s="106"/>
      <c r="M687" s="106"/>
      <c r="N687" s="106"/>
      <c r="O687" s="106"/>
      <c r="P687" s="106"/>
      <c r="Q687" s="106"/>
      <c r="AB687" s="106"/>
      <c r="AR687" s="65"/>
      <c r="AS687" s="65"/>
      <c r="AT687" s="65"/>
      <c r="BC687" s="23"/>
      <c r="BD687" s="23"/>
      <c r="BE687" s="23"/>
      <c r="BF687" s="66"/>
    </row>
    <row r="688">
      <c r="G688" s="106"/>
      <c r="H688" s="105"/>
      <c r="I688" s="106"/>
      <c r="J688" s="106"/>
      <c r="K688" s="106"/>
      <c r="L688" s="106"/>
      <c r="M688" s="106"/>
      <c r="N688" s="106"/>
      <c r="O688" s="106"/>
      <c r="P688" s="106"/>
      <c r="Q688" s="106"/>
      <c r="AB688" s="106"/>
      <c r="AR688" s="65"/>
      <c r="AS688" s="65"/>
      <c r="AT688" s="65"/>
      <c r="BC688" s="23"/>
      <c r="BD688" s="23"/>
      <c r="BE688" s="23"/>
      <c r="BF688" s="66"/>
    </row>
    <row r="689">
      <c r="G689" s="106"/>
      <c r="H689" s="105"/>
      <c r="I689" s="106"/>
      <c r="J689" s="106"/>
      <c r="K689" s="106"/>
      <c r="L689" s="106"/>
      <c r="M689" s="106"/>
      <c r="N689" s="106"/>
      <c r="O689" s="106"/>
      <c r="P689" s="106"/>
      <c r="Q689" s="106"/>
      <c r="AB689" s="106"/>
      <c r="AR689" s="65"/>
      <c r="AS689" s="65"/>
      <c r="AT689" s="65"/>
      <c r="BC689" s="23"/>
      <c r="BD689" s="23"/>
      <c r="BE689" s="23"/>
      <c r="BF689" s="66"/>
    </row>
    <row r="690">
      <c r="G690" s="106"/>
      <c r="H690" s="105"/>
      <c r="I690" s="106"/>
      <c r="J690" s="106"/>
      <c r="K690" s="106"/>
      <c r="L690" s="106"/>
      <c r="M690" s="106"/>
      <c r="N690" s="106"/>
      <c r="O690" s="106"/>
      <c r="P690" s="106"/>
      <c r="Q690" s="106"/>
      <c r="AB690" s="106"/>
      <c r="AR690" s="65"/>
      <c r="AS690" s="65"/>
      <c r="AT690" s="65"/>
      <c r="BC690" s="23"/>
      <c r="BD690" s="23"/>
      <c r="BE690" s="23"/>
      <c r="BF690" s="66"/>
    </row>
    <row r="691">
      <c r="G691" s="106"/>
      <c r="H691" s="105"/>
      <c r="I691" s="106"/>
      <c r="J691" s="106"/>
      <c r="K691" s="106"/>
      <c r="L691" s="106"/>
      <c r="M691" s="106"/>
      <c r="N691" s="106"/>
      <c r="O691" s="106"/>
      <c r="P691" s="106"/>
      <c r="Q691" s="106"/>
      <c r="AB691" s="106"/>
      <c r="AR691" s="65"/>
      <c r="AS691" s="65"/>
      <c r="AT691" s="65"/>
      <c r="BC691" s="23"/>
      <c r="BD691" s="23"/>
      <c r="BE691" s="23"/>
      <c r="BF691" s="66"/>
    </row>
    <row r="692">
      <c r="G692" s="106"/>
      <c r="H692" s="105"/>
      <c r="I692" s="106"/>
      <c r="J692" s="106"/>
      <c r="K692" s="106"/>
      <c r="L692" s="106"/>
      <c r="M692" s="106"/>
      <c r="N692" s="106"/>
      <c r="O692" s="106"/>
      <c r="P692" s="106"/>
      <c r="Q692" s="106"/>
      <c r="AB692" s="106"/>
      <c r="AR692" s="65"/>
      <c r="AS692" s="65"/>
      <c r="AT692" s="65"/>
      <c r="BC692" s="23"/>
      <c r="BD692" s="23"/>
      <c r="BE692" s="23"/>
      <c r="BF692" s="66"/>
    </row>
    <row r="693">
      <c r="G693" s="106"/>
      <c r="H693" s="105"/>
      <c r="I693" s="106"/>
      <c r="J693" s="106"/>
      <c r="K693" s="106"/>
      <c r="L693" s="106"/>
      <c r="M693" s="106"/>
      <c r="N693" s="106"/>
      <c r="O693" s="106"/>
      <c r="P693" s="106"/>
      <c r="Q693" s="106"/>
      <c r="AB693" s="106"/>
      <c r="AR693" s="65"/>
      <c r="AS693" s="65"/>
      <c r="AT693" s="65"/>
      <c r="BC693" s="23"/>
      <c r="BD693" s="23"/>
      <c r="BE693" s="23"/>
      <c r="BF693" s="66"/>
    </row>
    <row r="694">
      <c r="G694" s="106"/>
      <c r="H694" s="105"/>
      <c r="I694" s="106"/>
      <c r="J694" s="106"/>
      <c r="K694" s="106"/>
      <c r="L694" s="106"/>
      <c r="M694" s="106"/>
      <c r="N694" s="106"/>
      <c r="O694" s="106"/>
      <c r="P694" s="106"/>
      <c r="Q694" s="106"/>
      <c r="AB694" s="106"/>
      <c r="AR694" s="65"/>
      <c r="AS694" s="65"/>
      <c r="AT694" s="65"/>
      <c r="BC694" s="23"/>
      <c r="BD694" s="23"/>
      <c r="BE694" s="23"/>
      <c r="BF694" s="66"/>
    </row>
    <row r="695">
      <c r="G695" s="106"/>
      <c r="H695" s="105"/>
      <c r="I695" s="106"/>
      <c r="J695" s="106"/>
      <c r="K695" s="106"/>
      <c r="L695" s="106"/>
      <c r="M695" s="106"/>
      <c r="N695" s="106"/>
      <c r="O695" s="106"/>
      <c r="P695" s="106"/>
      <c r="Q695" s="106"/>
      <c r="AB695" s="106"/>
      <c r="AR695" s="65"/>
      <c r="AS695" s="65"/>
      <c r="AT695" s="65"/>
      <c r="BC695" s="23"/>
      <c r="BD695" s="23"/>
      <c r="BE695" s="23"/>
      <c r="BF695" s="66"/>
    </row>
    <row r="696">
      <c r="G696" s="106"/>
      <c r="H696" s="105"/>
      <c r="I696" s="106"/>
      <c r="J696" s="106"/>
      <c r="K696" s="106"/>
      <c r="L696" s="106"/>
      <c r="M696" s="106"/>
      <c r="N696" s="106"/>
      <c r="O696" s="106"/>
      <c r="P696" s="106"/>
      <c r="Q696" s="106"/>
      <c r="AB696" s="106"/>
      <c r="AR696" s="65"/>
      <c r="AS696" s="65"/>
      <c r="AT696" s="65"/>
      <c r="BC696" s="23"/>
      <c r="BD696" s="23"/>
      <c r="BE696" s="23"/>
      <c r="BF696" s="66"/>
    </row>
    <row r="697">
      <c r="G697" s="106"/>
      <c r="H697" s="105"/>
      <c r="I697" s="106"/>
      <c r="J697" s="106"/>
      <c r="K697" s="106"/>
      <c r="L697" s="106"/>
      <c r="M697" s="106"/>
      <c r="N697" s="106"/>
      <c r="O697" s="106"/>
      <c r="P697" s="106"/>
      <c r="Q697" s="106"/>
      <c r="AB697" s="106"/>
      <c r="AR697" s="65"/>
      <c r="AS697" s="65"/>
      <c r="AT697" s="65"/>
      <c r="BC697" s="23"/>
      <c r="BD697" s="23"/>
      <c r="BE697" s="23"/>
      <c r="BF697" s="66"/>
    </row>
    <row r="698">
      <c r="G698" s="106"/>
      <c r="H698" s="105"/>
      <c r="I698" s="106"/>
      <c r="J698" s="106"/>
      <c r="K698" s="106"/>
      <c r="L698" s="106"/>
      <c r="M698" s="106"/>
      <c r="N698" s="106"/>
      <c r="O698" s="106"/>
      <c r="P698" s="106"/>
      <c r="Q698" s="106"/>
      <c r="AB698" s="106"/>
      <c r="AR698" s="65"/>
      <c r="AS698" s="65"/>
      <c r="AT698" s="65"/>
      <c r="BC698" s="23"/>
      <c r="BD698" s="23"/>
      <c r="BE698" s="23"/>
      <c r="BF698" s="66"/>
    </row>
    <row r="699">
      <c r="G699" s="106"/>
      <c r="H699" s="105"/>
      <c r="I699" s="106"/>
      <c r="J699" s="106"/>
      <c r="K699" s="106"/>
      <c r="L699" s="106"/>
      <c r="M699" s="106"/>
      <c r="N699" s="106"/>
      <c r="O699" s="106"/>
      <c r="P699" s="106"/>
      <c r="Q699" s="106"/>
      <c r="AB699" s="106"/>
      <c r="AR699" s="65"/>
      <c r="AS699" s="65"/>
      <c r="AT699" s="65"/>
      <c r="BC699" s="23"/>
      <c r="BD699" s="23"/>
      <c r="BE699" s="23"/>
      <c r="BF699" s="66"/>
    </row>
    <row r="700">
      <c r="G700" s="106"/>
      <c r="H700" s="105"/>
      <c r="I700" s="106"/>
      <c r="J700" s="106"/>
      <c r="K700" s="106"/>
      <c r="L700" s="106"/>
      <c r="M700" s="106"/>
      <c r="N700" s="106"/>
      <c r="O700" s="106"/>
      <c r="P700" s="106"/>
      <c r="Q700" s="106"/>
      <c r="AB700" s="106"/>
      <c r="AR700" s="65"/>
      <c r="AS700" s="65"/>
      <c r="AT700" s="65"/>
      <c r="BC700" s="23"/>
      <c r="BD700" s="23"/>
      <c r="BE700" s="23"/>
      <c r="BF700" s="66"/>
    </row>
    <row r="701">
      <c r="G701" s="106"/>
      <c r="H701" s="105"/>
      <c r="I701" s="106"/>
      <c r="J701" s="106"/>
      <c r="K701" s="106"/>
      <c r="L701" s="106"/>
      <c r="M701" s="106"/>
      <c r="N701" s="106"/>
      <c r="O701" s="106"/>
      <c r="P701" s="106"/>
      <c r="Q701" s="106"/>
      <c r="AB701" s="106"/>
      <c r="AR701" s="65"/>
      <c r="AS701" s="65"/>
      <c r="AT701" s="65"/>
      <c r="BC701" s="23"/>
      <c r="BD701" s="23"/>
      <c r="BE701" s="23"/>
      <c r="BF701" s="66"/>
    </row>
    <row r="702">
      <c r="G702" s="106"/>
      <c r="H702" s="105"/>
      <c r="I702" s="106"/>
      <c r="J702" s="106"/>
      <c r="K702" s="106"/>
      <c r="L702" s="106"/>
      <c r="M702" s="106"/>
      <c r="N702" s="106"/>
      <c r="O702" s="106"/>
      <c r="P702" s="106"/>
      <c r="Q702" s="106"/>
      <c r="AB702" s="106"/>
      <c r="AR702" s="65"/>
      <c r="AS702" s="65"/>
      <c r="AT702" s="65"/>
      <c r="BC702" s="23"/>
      <c r="BD702" s="23"/>
      <c r="BE702" s="23"/>
      <c r="BF702" s="66"/>
    </row>
    <row r="703">
      <c r="G703" s="106"/>
      <c r="H703" s="105"/>
      <c r="I703" s="106"/>
      <c r="J703" s="106"/>
      <c r="K703" s="106"/>
      <c r="L703" s="106"/>
      <c r="M703" s="106"/>
      <c r="N703" s="106"/>
      <c r="O703" s="106"/>
      <c r="P703" s="106"/>
      <c r="Q703" s="106"/>
      <c r="AB703" s="106"/>
      <c r="AR703" s="65"/>
      <c r="AS703" s="65"/>
      <c r="AT703" s="65"/>
      <c r="BC703" s="23"/>
      <c r="BD703" s="23"/>
      <c r="BE703" s="23"/>
      <c r="BF703" s="66"/>
    </row>
    <row r="704">
      <c r="G704" s="106"/>
      <c r="H704" s="105"/>
      <c r="I704" s="106"/>
      <c r="J704" s="106"/>
      <c r="K704" s="106"/>
      <c r="L704" s="106"/>
      <c r="M704" s="106"/>
      <c r="N704" s="106"/>
      <c r="O704" s="106"/>
      <c r="P704" s="106"/>
      <c r="Q704" s="106"/>
      <c r="AB704" s="106"/>
      <c r="AR704" s="65"/>
      <c r="AS704" s="65"/>
      <c r="AT704" s="65"/>
      <c r="BC704" s="23"/>
      <c r="BD704" s="23"/>
      <c r="BE704" s="23"/>
      <c r="BF704" s="66"/>
    </row>
    <row r="705">
      <c r="G705" s="106"/>
      <c r="H705" s="105"/>
      <c r="I705" s="106"/>
      <c r="J705" s="106"/>
      <c r="K705" s="106"/>
      <c r="L705" s="106"/>
      <c r="M705" s="106"/>
      <c r="N705" s="106"/>
      <c r="O705" s="106"/>
      <c r="P705" s="106"/>
      <c r="Q705" s="106"/>
      <c r="AB705" s="106"/>
      <c r="AR705" s="65"/>
      <c r="AS705" s="65"/>
      <c r="AT705" s="65"/>
      <c r="BC705" s="23"/>
      <c r="BD705" s="23"/>
      <c r="BE705" s="23"/>
      <c r="BF705" s="66"/>
    </row>
    <row r="706">
      <c r="G706" s="106"/>
      <c r="H706" s="105"/>
      <c r="I706" s="106"/>
      <c r="J706" s="106"/>
      <c r="K706" s="106"/>
      <c r="L706" s="106"/>
      <c r="M706" s="106"/>
      <c r="N706" s="106"/>
      <c r="O706" s="106"/>
      <c r="P706" s="106"/>
      <c r="Q706" s="106"/>
      <c r="AB706" s="106"/>
      <c r="AR706" s="65"/>
      <c r="AS706" s="65"/>
      <c r="AT706" s="65"/>
      <c r="BC706" s="23"/>
      <c r="BD706" s="23"/>
      <c r="BE706" s="23"/>
      <c r="BF706" s="66"/>
    </row>
    <row r="707">
      <c r="G707" s="106"/>
      <c r="H707" s="105"/>
      <c r="I707" s="106"/>
      <c r="J707" s="106"/>
      <c r="K707" s="106"/>
      <c r="L707" s="106"/>
      <c r="M707" s="106"/>
      <c r="N707" s="106"/>
      <c r="O707" s="106"/>
      <c r="P707" s="106"/>
      <c r="Q707" s="106"/>
      <c r="AB707" s="106"/>
      <c r="AR707" s="65"/>
      <c r="AS707" s="65"/>
      <c r="AT707" s="65"/>
      <c r="BC707" s="23"/>
      <c r="BD707" s="23"/>
      <c r="BE707" s="23"/>
      <c r="BF707" s="66"/>
    </row>
    <row r="708">
      <c r="G708" s="106"/>
      <c r="H708" s="105"/>
      <c r="I708" s="106"/>
      <c r="J708" s="106"/>
      <c r="K708" s="106"/>
      <c r="L708" s="106"/>
      <c r="M708" s="106"/>
      <c r="N708" s="106"/>
      <c r="O708" s="106"/>
      <c r="P708" s="106"/>
      <c r="Q708" s="106"/>
      <c r="AB708" s="106"/>
      <c r="AR708" s="65"/>
      <c r="AS708" s="65"/>
      <c r="AT708" s="65"/>
      <c r="BC708" s="23"/>
      <c r="BD708" s="23"/>
      <c r="BE708" s="23"/>
      <c r="BF708" s="66"/>
    </row>
    <row r="709">
      <c r="G709" s="106"/>
      <c r="H709" s="105"/>
      <c r="I709" s="106"/>
      <c r="J709" s="106"/>
      <c r="K709" s="106"/>
      <c r="L709" s="106"/>
      <c r="M709" s="106"/>
      <c r="N709" s="106"/>
      <c r="O709" s="106"/>
      <c r="P709" s="106"/>
      <c r="Q709" s="106"/>
      <c r="AB709" s="106"/>
      <c r="AR709" s="65"/>
      <c r="AS709" s="65"/>
      <c r="AT709" s="65"/>
      <c r="BC709" s="23"/>
      <c r="BD709" s="23"/>
      <c r="BE709" s="23"/>
      <c r="BF709" s="66"/>
    </row>
    <row r="710">
      <c r="G710" s="106"/>
      <c r="H710" s="105"/>
      <c r="I710" s="106"/>
      <c r="J710" s="106"/>
      <c r="K710" s="106"/>
      <c r="L710" s="106"/>
      <c r="M710" s="106"/>
      <c r="N710" s="106"/>
      <c r="O710" s="106"/>
      <c r="P710" s="106"/>
      <c r="Q710" s="106"/>
      <c r="AB710" s="106"/>
      <c r="AR710" s="65"/>
      <c r="AS710" s="65"/>
      <c r="AT710" s="65"/>
      <c r="BC710" s="23"/>
      <c r="BD710" s="23"/>
      <c r="BE710" s="23"/>
      <c r="BF710" s="66"/>
    </row>
    <row r="711">
      <c r="G711" s="106"/>
      <c r="H711" s="105"/>
      <c r="I711" s="106"/>
      <c r="J711" s="106"/>
      <c r="K711" s="106"/>
      <c r="L711" s="106"/>
      <c r="M711" s="106"/>
      <c r="N711" s="106"/>
      <c r="O711" s="106"/>
      <c r="P711" s="106"/>
      <c r="Q711" s="106"/>
      <c r="AB711" s="106"/>
      <c r="AR711" s="65"/>
      <c r="AS711" s="65"/>
      <c r="AT711" s="65"/>
      <c r="BC711" s="23"/>
      <c r="BD711" s="23"/>
      <c r="BE711" s="23"/>
      <c r="BF711" s="66"/>
    </row>
    <row r="712">
      <c r="G712" s="106"/>
      <c r="H712" s="105"/>
      <c r="I712" s="106"/>
      <c r="J712" s="106"/>
      <c r="K712" s="106"/>
      <c r="L712" s="106"/>
      <c r="M712" s="106"/>
      <c r="N712" s="106"/>
      <c r="O712" s="106"/>
      <c r="P712" s="106"/>
      <c r="Q712" s="106"/>
      <c r="AB712" s="106"/>
      <c r="AR712" s="65"/>
      <c r="AS712" s="65"/>
      <c r="AT712" s="65"/>
      <c r="BC712" s="23"/>
      <c r="BD712" s="23"/>
      <c r="BE712" s="23"/>
      <c r="BF712" s="66"/>
    </row>
    <row r="713">
      <c r="G713" s="106"/>
      <c r="H713" s="105"/>
      <c r="I713" s="106"/>
      <c r="J713" s="106"/>
      <c r="K713" s="106"/>
      <c r="L713" s="106"/>
      <c r="M713" s="106"/>
      <c r="N713" s="106"/>
      <c r="O713" s="106"/>
      <c r="P713" s="106"/>
      <c r="Q713" s="106"/>
      <c r="AB713" s="106"/>
      <c r="AR713" s="65"/>
      <c r="AS713" s="65"/>
      <c r="AT713" s="65"/>
      <c r="BC713" s="23"/>
      <c r="BD713" s="23"/>
      <c r="BE713" s="23"/>
      <c r="BF713" s="66"/>
    </row>
    <row r="714">
      <c r="G714" s="106"/>
      <c r="H714" s="105"/>
      <c r="I714" s="106"/>
      <c r="J714" s="106"/>
      <c r="K714" s="106"/>
      <c r="L714" s="106"/>
      <c r="M714" s="106"/>
      <c r="N714" s="106"/>
      <c r="O714" s="106"/>
      <c r="P714" s="106"/>
      <c r="Q714" s="106"/>
      <c r="AB714" s="106"/>
      <c r="AR714" s="65"/>
      <c r="AS714" s="65"/>
      <c r="AT714" s="65"/>
      <c r="BC714" s="23"/>
      <c r="BD714" s="23"/>
      <c r="BE714" s="23"/>
      <c r="BF714" s="66"/>
    </row>
    <row r="715">
      <c r="G715" s="106"/>
      <c r="H715" s="105"/>
      <c r="I715" s="106"/>
      <c r="J715" s="106"/>
      <c r="K715" s="106"/>
      <c r="L715" s="106"/>
      <c r="M715" s="106"/>
      <c r="N715" s="106"/>
      <c r="O715" s="106"/>
      <c r="P715" s="106"/>
      <c r="Q715" s="106"/>
      <c r="AB715" s="106"/>
      <c r="AR715" s="65"/>
      <c r="AS715" s="65"/>
      <c r="AT715" s="65"/>
      <c r="BC715" s="23"/>
      <c r="BD715" s="23"/>
      <c r="BE715" s="23"/>
      <c r="BF715" s="66"/>
    </row>
    <row r="716">
      <c r="G716" s="106"/>
      <c r="H716" s="105"/>
      <c r="I716" s="106"/>
      <c r="J716" s="106"/>
      <c r="K716" s="106"/>
      <c r="L716" s="106"/>
      <c r="M716" s="106"/>
      <c r="N716" s="106"/>
      <c r="O716" s="106"/>
      <c r="P716" s="106"/>
      <c r="Q716" s="106"/>
      <c r="AB716" s="106"/>
      <c r="AR716" s="65"/>
      <c r="AS716" s="65"/>
      <c r="AT716" s="65"/>
      <c r="BC716" s="23"/>
      <c r="BD716" s="23"/>
      <c r="BE716" s="23"/>
      <c r="BF716" s="66"/>
    </row>
    <row r="717">
      <c r="G717" s="106"/>
      <c r="H717" s="105"/>
      <c r="I717" s="106"/>
      <c r="J717" s="106"/>
      <c r="K717" s="106"/>
      <c r="L717" s="106"/>
      <c r="M717" s="106"/>
      <c r="N717" s="106"/>
      <c r="O717" s="106"/>
      <c r="P717" s="106"/>
      <c r="Q717" s="106"/>
      <c r="AB717" s="106"/>
      <c r="AR717" s="65"/>
      <c r="AS717" s="65"/>
      <c r="AT717" s="65"/>
      <c r="BC717" s="23"/>
      <c r="BD717" s="23"/>
      <c r="BE717" s="23"/>
      <c r="BF717" s="66"/>
    </row>
    <row r="718">
      <c r="G718" s="106"/>
      <c r="H718" s="105"/>
      <c r="I718" s="106"/>
      <c r="J718" s="106"/>
      <c r="K718" s="106"/>
      <c r="L718" s="106"/>
      <c r="M718" s="106"/>
      <c r="N718" s="106"/>
      <c r="O718" s="106"/>
      <c r="P718" s="106"/>
      <c r="Q718" s="106"/>
      <c r="AB718" s="106"/>
      <c r="AR718" s="65"/>
      <c r="AS718" s="65"/>
      <c r="AT718" s="65"/>
      <c r="BC718" s="23"/>
      <c r="BD718" s="23"/>
      <c r="BE718" s="23"/>
      <c r="BF718" s="66"/>
    </row>
    <row r="719">
      <c r="G719" s="106"/>
      <c r="H719" s="105"/>
      <c r="I719" s="106"/>
      <c r="J719" s="106"/>
      <c r="K719" s="106"/>
      <c r="L719" s="106"/>
      <c r="M719" s="106"/>
      <c r="N719" s="106"/>
      <c r="O719" s="106"/>
      <c r="P719" s="106"/>
      <c r="Q719" s="106"/>
      <c r="AB719" s="106"/>
      <c r="AR719" s="65"/>
      <c r="AS719" s="65"/>
      <c r="AT719" s="65"/>
      <c r="BC719" s="23"/>
      <c r="BD719" s="23"/>
      <c r="BE719" s="23"/>
      <c r="BF719" s="66"/>
    </row>
    <row r="720">
      <c r="G720" s="106"/>
      <c r="H720" s="105"/>
      <c r="I720" s="106"/>
      <c r="J720" s="106"/>
      <c r="K720" s="106"/>
      <c r="L720" s="106"/>
      <c r="M720" s="106"/>
      <c r="N720" s="106"/>
      <c r="O720" s="106"/>
      <c r="P720" s="106"/>
      <c r="Q720" s="106"/>
      <c r="AB720" s="106"/>
      <c r="AR720" s="65"/>
      <c r="AS720" s="65"/>
      <c r="AT720" s="65"/>
      <c r="BC720" s="23"/>
      <c r="BD720" s="23"/>
      <c r="BE720" s="23"/>
      <c r="BF720" s="66"/>
    </row>
    <row r="721">
      <c r="G721" s="106"/>
      <c r="H721" s="105"/>
      <c r="I721" s="106"/>
      <c r="J721" s="106"/>
      <c r="K721" s="106"/>
      <c r="L721" s="106"/>
      <c r="M721" s="106"/>
      <c r="N721" s="106"/>
      <c r="O721" s="106"/>
      <c r="P721" s="106"/>
      <c r="Q721" s="106"/>
      <c r="AB721" s="106"/>
      <c r="AR721" s="65"/>
      <c r="AS721" s="65"/>
      <c r="AT721" s="65"/>
      <c r="BC721" s="23"/>
      <c r="BD721" s="23"/>
      <c r="BE721" s="23"/>
      <c r="BF721" s="66"/>
    </row>
    <row r="722">
      <c r="G722" s="106"/>
      <c r="H722" s="105"/>
      <c r="I722" s="106"/>
      <c r="J722" s="106"/>
      <c r="K722" s="106"/>
      <c r="L722" s="106"/>
      <c r="M722" s="106"/>
      <c r="N722" s="106"/>
      <c r="O722" s="106"/>
      <c r="P722" s="106"/>
      <c r="Q722" s="106"/>
      <c r="AB722" s="106"/>
      <c r="AR722" s="65"/>
      <c r="AS722" s="65"/>
      <c r="AT722" s="65"/>
      <c r="BC722" s="23"/>
      <c r="BD722" s="23"/>
      <c r="BE722" s="23"/>
      <c r="BF722" s="66"/>
    </row>
    <row r="723">
      <c r="G723" s="106"/>
      <c r="H723" s="105"/>
      <c r="I723" s="106"/>
      <c r="J723" s="106"/>
      <c r="K723" s="106"/>
      <c r="L723" s="106"/>
      <c r="M723" s="106"/>
      <c r="N723" s="106"/>
      <c r="O723" s="106"/>
      <c r="P723" s="106"/>
      <c r="Q723" s="106"/>
      <c r="AB723" s="106"/>
      <c r="AR723" s="65"/>
      <c r="AS723" s="65"/>
      <c r="AT723" s="65"/>
      <c r="BC723" s="23"/>
      <c r="BD723" s="23"/>
      <c r="BE723" s="23"/>
      <c r="BF723" s="66"/>
    </row>
    <row r="724">
      <c r="G724" s="106"/>
      <c r="H724" s="105"/>
      <c r="I724" s="106"/>
      <c r="J724" s="106"/>
      <c r="K724" s="106"/>
      <c r="L724" s="106"/>
      <c r="M724" s="106"/>
      <c r="N724" s="106"/>
      <c r="O724" s="106"/>
      <c r="P724" s="106"/>
      <c r="Q724" s="106"/>
      <c r="AB724" s="106"/>
      <c r="AR724" s="65"/>
      <c r="AS724" s="65"/>
      <c r="AT724" s="65"/>
      <c r="BC724" s="23"/>
      <c r="BD724" s="23"/>
      <c r="BE724" s="23"/>
      <c r="BF724" s="66"/>
    </row>
    <row r="725">
      <c r="G725" s="106"/>
      <c r="H725" s="105"/>
      <c r="I725" s="106"/>
      <c r="J725" s="106"/>
      <c r="K725" s="106"/>
      <c r="L725" s="106"/>
      <c r="M725" s="106"/>
      <c r="N725" s="106"/>
      <c r="O725" s="106"/>
      <c r="P725" s="106"/>
      <c r="Q725" s="106"/>
      <c r="AB725" s="106"/>
      <c r="AR725" s="65"/>
      <c r="AS725" s="65"/>
      <c r="AT725" s="65"/>
      <c r="BC725" s="23"/>
      <c r="BD725" s="23"/>
      <c r="BE725" s="23"/>
      <c r="BF725" s="66"/>
    </row>
    <row r="726">
      <c r="G726" s="106"/>
      <c r="H726" s="105"/>
      <c r="I726" s="106"/>
      <c r="J726" s="106"/>
      <c r="K726" s="106"/>
      <c r="L726" s="106"/>
      <c r="M726" s="106"/>
      <c r="N726" s="106"/>
      <c r="O726" s="106"/>
      <c r="P726" s="106"/>
      <c r="Q726" s="106"/>
      <c r="AB726" s="106"/>
      <c r="AR726" s="65"/>
      <c r="AS726" s="65"/>
      <c r="AT726" s="65"/>
      <c r="BC726" s="23"/>
      <c r="BD726" s="23"/>
      <c r="BE726" s="23"/>
      <c r="BF726" s="66"/>
    </row>
    <row r="727">
      <c r="G727" s="106"/>
      <c r="H727" s="105"/>
      <c r="I727" s="106"/>
      <c r="J727" s="106"/>
      <c r="K727" s="106"/>
      <c r="L727" s="106"/>
      <c r="M727" s="106"/>
      <c r="N727" s="106"/>
      <c r="O727" s="106"/>
      <c r="P727" s="106"/>
      <c r="Q727" s="106"/>
      <c r="AB727" s="106"/>
      <c r="AR727" s="65"/>
      <c r="AS727" s="65"/>
      <c r="AT727" s="65"/>
      <c r="BC727" s="23"/>
      <c r="BD727" s="23"/>
      <c r="BE727" s="23"/>
      <c r="BF727" s="66"/>
    </row>
    <row r="728">
      <c r="G728" s="106"/>
      <c r="H728" s="105"/>
      <c r="I728" s="106"/>
      <c r="J728" s="106"/>
      <c r="K728" s="106"/>
      <c r="L728" s="106"/>
      <c r="M728" s="106"/>
      <c r="N728" s="106"/>
      <c r="O728" s="106"/>
      <c r="P728" s="106"/>
      <c r="Q728" s="106"/>
      <c r="AB728" s="106"/>
      <c r="AR728" s="65"/>
      <c r="AS728" s="65"/>
      <c r="AT728" s="65"/>
      <c r="BC728" s="23"/>
      <c r="BD728" s="23"/>
      <c r="BE728" s="23"/>
      <c r="BF728" s="66"/>
    </row>
    <row r="729">
      <c r="G729" s="106"/>
      <c r="H729" s="105"/>
      <c r="I729" s="106"/>
      <c r="J729" s="106"/>
      <c r="K729" s="106"/>
      <c r="L729" s="106"/>
      <c r="M729" s="106"/>
      <c r="N729" s="106"/>
      <c r="O729" s="106"/>
      <c r="P729" s="106"/>
      <c r="Q729" s="106"/>
      <c r="AB729" s="106"/>
      <c r="AR729" s="65"/>
      <c r="AS729" s="65"/>
      <c r="AT729" s="65"/>
      <c r="BC729" s="23"/>
      <c r="BD729" s="23"/>
      <c r="BE729" s="23"/>
      <c r="BF729" s="66"/>
    </row>
    <row r="730">
      <c r="G730" s="106"/>
      <c r="H730" s="105"/>
      <c r="I730" s="106"/>
      <c r="J730" s="106"/>
      <c r="K730" s="106"/>
      <c r="L730" s="106"/>
      <c r="M730" s="106"/>
      <c r="N730" s="106"/>
      <c r="O730" s="106"/>
      <c r="P730" s="106"/>
      <c r="Q730" s="106"/>
      <c r="AB730" s="106"/>
      <c r="AR730" s="65"/>
      <c r="AS730" s="65"/>
      <c r="AT730" s="65"/>
      <c r="BC730" s="23"/>
      <c r="BD730" s="23"/>
      <c r="BE730" s="23"/>
      <c r="BF730" s="66"/>
    </row>
    <row r="731">
      <c r="G731" s="106"/>
      <c r="H731" s="105"/>
      <c r="I731" s="106"/>
      <c r="J731" s="106"/>
      <c r="K731" s="106"/>
      <c r="L731" s="106"/>
      <c r="M731" s="106"/>
      <c r="N731" s="106"/>
      <c r="O731" s="106"/>
      <c r="P731" s="106"/>
      <c r="Q731" s="106"/>
      <c r="AB731" s="106"/>
      <c r="AR731" s="65"/>
      <c r="AS731" s="65"/>
      <c r="AT731" s="65"/>
      <c r="BC731" s="23"/>
      <c r="BD731" s="23"/>
      <c r="BE731" s="23"/>
      <c r="BF731" s="66"/>
    </row>
    <row r="732">
      <c r="G732" s="106"/>
      <c r="H732" s="105"/>
      <c r="I732" s="106"/>
      <c r="J732" s="106"/>
      <c r="K732" s="106"/>
      <c r="L732" s="106"/>
      <c r="M732" s="106"/>
      <c r="N732" s="106"/>
      <c r="O732" s="106"/>
      <c r="P732" s="106"/>
      <c r="Q732" s="106"/>
      <c r="AB732" s="106"/>
      <c r="AR732" s="65"/>
      <c r="AS732" s="65"/>
      <c r="AT732" s="65"/>
      <c r="BC732" s="23"/>
      <c r="BD732" s="23"/>
      <c r="BE732" s="23"/>
      <c r="BF732" s="66"/>
    </row>
    <row r="733">
      <c r="G733" s="106"/>
      <c r="H733" s="105"/>
      <c r="I733" s="106"/>
      <c r="J733" s="106"/>
      <c r="K733" s="106"/>
      <c r="L733" s="106"/>
      <c r="M733" s="106"/>
      <c r="N733" s="106"/>
      <c r="O733" s="106"/>
      <c r="P733" s="106"/>
      <c r="Q733" s="106"/>
      <c r="AB733" s="106"/>
      <c r="AR733" s="65"/>
      <c r="AS733" s="65"/>
      <c r="AT733" s="65"/>
      <c r="BC733" s="23"/>
      <c r="BD733" s="23"/>
      <c r="BE733" s="23"/>
      <c r="BF733" s="66"/>
    </row>
    <row r="734">
      <c r="G734" s="106"/>
      <c r="H734" s="105"/>
      <c r="I734" s="106"/>
      <c r="J734" s="106"/>
      <c r="K734" s="106"/>
      <c r="L734" s="106"/>
      <c r="M734" s="106"/>
      <c r="N734" s="106"/>
      <c r="O734" s="106"/>
      <c r="P734" s="106"/>
      <c r="Q734" s="106"/>
      <c r="AB734" s="106"/>
      <c r="AR734" s="65"/>
      <c r="AS734" s="65"/>
      <c r="AT734" s="65"/>
      <c r="BC734" s="23"/>
      <c r="BD734" s="23"/>
      <c r="BE734" s="23"/>
      <c r="BF734" s="66"/>
    </row>
    <row r="735">
      <c r="G735" s="106"/>
      <c r="H735" s="105"/>
      <c r="I735" s="106"/>
      <c r="J735" s="106"/>
      <c r="K735" s="106"/>
      <c r="L735" s="106"/>
      <c r="M735" s="106"/>
      <c r="N735" s="106"/>
      <c r="O735" s="106"/>
      <c r="P735" s="106"/>
      <c r="Q735" s="106"/>
      <c r="AB735" s="106"/>
      <c r="AR735" s="65"/>
      <c r="AS735" s="65"/>
      <c r="AT735" s="65"/>
      <c r="BC735" s="23"/>
      <c r="BD735" s="23"/>
      <c r="BE735" s="23"/>
      <c r="BF735" s="66"/>
    </row>
    <row r="736">
      <c r="G736" s="106"/>
      <c r="H736" s="105"/>
      <c r="I736" s="106"/>
      <c r="J736" s="106"/>
      <c r="K736" s="106"/>
      <c r="L736" s="106"/>
      <c r="M736" s="106"/>
      <c r="N736" s="106"/>
      <c r="O736" s="106"/>
      <c r="P736" s="106"/>
      <c r="Q736" s="106"/>
      <c r="AB736" s="106"/>
      <c r="AR736" s="65"/>
      <c r="AS736" s="65"/>
      <c r="AT736" s="65"/>
      <c r="BC736" s="23"/>
      <c r="BD736" s="23"/>
      <c r="BE736" s="23"/>
      <c r="BF736" s="66"/>
    </row>
    <row r="737">
      <c r="G737" s="106"/>
      <c r="H737" s="105"/>
      <c r="I737" s="106"/>
      <c r="J737" s="106"/>
      <c r="K737" s="106"/>
      <c r="L737" s="106"/>
      <c r="M737" s="106"/>
      <c r="N737" s="106"/>
      <c r="O737" s="106"/>
      <c r="P737" s="106"/>
      <c r="Q737" s="106"/>
      <c r="AB737" s="106"/>
      <c r="AR737" s="65"/>
      <c r="AS737" s="65"/>
      <c r="AT737" s="65"/>
      <c r="BC737" s="23"/>
      <c r="BD737" s="23"/>
      <c r="BE737" s="23"/>
      <c r="BF737" s="66"/>
    </row>
    <row r="738">
      <c r="G738" s="106"/>
      <c r="H738" s="105"/>
      <c r="I738" s="106"/>
      <c r="J738" s="106"/>
      <c r="K738" s="106"/>
      <c r="L738" s="106"/>
      <c r="M738" s="106"/>
      <c r="N738" s="106"/>
      <c r="O738" s="106"/>
      <c r="P738" s="106"/>
      <c r="Q738" s="106"/>
      <c r="AB738" s="106"/>
      <c r="AR738" s="65"/>
      <c r="AS738" s="65"/>
      <c r="AT738" s="65"/>
      <c r="BC738" s="23"/>
      <c r="BD738" s="23"/>
      <c r="BE738" s="23"/>
      <c r="BF738" s="66"/>
    </row>
    <row r="739">
      <c r="G739" s="106"/>
      <c r="H739" s="105"/>
      <c r="I739" s="106"/>
      <c r="J739" s="106"/>
      <c r="K739" s="106"/>
      <c r="L739" s="106"/>
      <c r="M739" s="106"/>
      <c r="N739" s="106"/>
      <c r="O739" s="106"/>
      <c r="P739" s="106"/>
      <c r="Q739" s="106"/>
      <c r="AB739" s="106"/>
      <c r="AR739" s="65"/>
      <c r="AS739" s="65"/>
      <c r="AT739" s="65"/>
      <c r="BC739" s="23"/>
      <c r="BD739" s="23"/>
      <c r="BE739" s="23"/>
      <c r="BF739" s="66"/>
    </row>
    <row r="740">
      <c r="G740" s="106"/>
      <c r="H740" s="105"/>
      <c r="I740" s="106"/>
      <c r="J740" s="106"/>
      <c r="K740" s="106"/>
      <c r="L740" s="106"/>
      <c r="M740" s="106"/>
      <c r="N740" s="106"/>
      <c r="O740" s="106"/>
      <c r="P740" s="106"/>
      <c r="Q740" s="106"/>
      <c r="AB740" s="106"/>
      <c r="AR740" s="65"/>
      <c r="AS740" s="65"/>
      <c r="AT740" s="65"/>
      <c r="BC740" s="23"/>
      <c r="BD740" s="23"/>
      <c r="BE740" s="23"/>
      <c r="BF740" s="66"/>
    </row>
    <row r="741">
      <c r="G741" s="106"/>
      <c r="H741" s="105"/>
      <c r="I741" s="106"/>
      <c r="J741" s="106"/>
      <c r="K741" s="106"/>
      <c r="L741" s="106"/>
      <c r="M741" s="106"/>
      <c r="N741" s="106"/>
      <c r="O741" s="106"/>
      <c r="P741" s="106"/>
      <c r="Q741" s="106"/>
      <c r="AB741" s="106"/>
      <c r="AR741" s="65"/>
      <c r="AS741" s="65"/>
      <c r="AT741" s="65"/>
      <c r="BC741" s="23"/>
      <c r="BD741" s="23"/>
      <c r="BE741" s="23"/>
      <c r="BF741" s="66"/>
    </row>
    <row r="742">
      <c r="G742" s="106"/>
      <c r="H742" s="105"/>
      <c r="I742" s="106"/>
      <c r="J742" s="106"/>
      <c r="K742" s="106"/>
      <c r="L742" s="106"/>
      <c r="M742" s="106"/>
      <c r="N742" s="106"/>
      <c r="O742" s="106"/>
      <c r="P742" s="106"/>
      <c r="Q742" s="106"/>
      <c r="AB742" s="106"/>
      <c r="AR742" s="65"/>
      <c r="AS742" s="65"/>
      <c r="AT742" s="65"/>
      <c r="BC742" s="23"/>
      <c r="BD742" s="23"/>
      <c r="BE742" s="23"/>
      <c r="BF742" s="66"/>
    </row>
    <row r="743">
      <c r="G743" s="106"/>
      <c r="H743" s="105"/>
      <c r="I743" s="106"/>
      <c r="J743" s="106"/>
      <c r="K743" s="106"/>
      <c r="L743" s="106"/>
      <c r="M743" s="106"/>
      <c r="N743" s="106"/>
      <c r="O743" s="106"/>
      <c r="P743" s="106"/>
      <c r="Q743" s="106"/>
      <c r="AB743" s="106"/>
      <c r="AR743" s="65"/>
      <c r="AS743" s="65"/>
      <c r="AT743" s="65"/>
      <c r="BC743" s="23"/>
      <c r="BD743" s="23"/>
      <c r="BE743" s="23"/>
      <c r="BF743" s="66"/>
    </row>
    <row r="744">
      <c r="G744" s="106"/>
      <c r="H744" s="105"/>
      <c r="I744" s="106"/>
      <c r="J744" s="106"/>
      <c r="K744" s="106"/>
      <c r="L744" s="106"/>
      <c r="M744" s="106"/>
      <c r="N744" s="106"/>
      <c r="O744" s="106"/>
      <c r="P744" s="106"/>
      <c r="Q744" s="106"/>
      <c r="AB744" s="106"/>
      <c r="AR744" s="65"/>
      <c r="AS744" s="65"/>
      <c r="AT744" s="65"/>
      <c r="BC744" s="23"/>
      <c r="BD744" s="23"/>
      <c r="BE744" s="23"/>
      <c r="BF744" s="66"/>
    </row>
    <row r="745">
      <c r="G745" s="106"/>
      <c r="H745" s="105"/>
      <c r="I745" s="106"/>
      <c r="J745" s="106"/>
      <c r="K745" s="106"/>
      <c r="L745" s="106"/>
      <c r="M745" s="106"/>
      <c r="N745" s="106"/>
      <c r="O745" s="106"/>
      <c r="P745" s="106"/>
      <c r="Q745" s="106"/>
      <c r="AB745" s="106"/>
      <c r="AR745" s="65"/>
      <c r="AS745" s="65"/>
      <c r="AT745" s="65"/>
      <c r="BC745" s="23"/>
      <c r="BD745" s="23"/>
      <c r="BE745" s="23"/>
      <c r="BF745" s="66"/>
    </row>
    <row r="746">
      <c r="G746" s="106"/>
      <c r="H746" s="105"/>
      <c r="I746" s="106"/>
      <c r="J746" s="106"/>
      <c r="K746" s="106"/>
      <c r="L746" s="106"/>
      <c r="M746" s="106"/>
      <c r="N746" s="106"/>
      <c r="O746" s="106"/>
      <c r="P746" s="106"/>
      <c r="Q746" s="106"/>
      <c r="AB746" s="106"/>
      <c r="AR746" s="65"/>
      <c r="AS746" s="65"/>
      <c r="AT746" s="65"/>
      <c r="BC746" s="23"/>
      <c r="BD746" s="23"/>
      <c r="BE746" s="23"/>
      <c r="BF746" s="66"/>
    </row>
    <row r="747">
      <c r="G747" s="106"/>
      <c r="H747" s="105"/>
      <c r="I747" s="106"/>
      <c r="J747" s="106"/>
      <c r="K747" s="106"/>
      <c r="L747" s="106"/>
      <c r="M747" s="106"/>
      <c r="N747" s="106"/>
      <c r="O747" s="106"/>
      <c r="P747" s="106"/>
      <c r="Q747" s="106"/>
      <c r="AB747" s="106"/>
      <c r="AR747" s="65"/>
      <c r="AS747" s="65"/>
      <c r="AT747" s="65"/>
      <c r="BC747" s="23"/>
      <c r="BD747" s="23"/>
      <c r="BE747" s="23"/>
      <c r="BF747" s="66"/>
    </row>
    <row r="748">
      <c r="G748" s="106"/>
      <c r="H748" s="105"/>
      <c r="I748" s="106"/>
      <c r="J748" s="106"/>
      <c r="K748" s="106"/>
      <c r="L748" s="106"/>
      <c r="M748" s="106"/>
      <c r="N748" s="106"/>
      <c r="O748" s="106"/>
      <c r="P748" s="106"/>
      <c r="Q748" s="106"/>
      <c r="AB748" s="106"/>
      <c r="AR748" s="65"/>
      <c r="AS748" s="65"/>
      <c r="AT748" s="65"/>
      <c r="BC748" s="23"/>
      <c r="BD748" s="23"/>
      <c r="BE748" s="23"/>
      <c r="BF748" s="66"/>
    </row>
    <row r="749">
      <c r="G749" s="106"/>
      <c r="H749" s="105"/>
      <c r="I749" s="106"/>
      <c r="J749" s="106"/>
      <c r="K749" s="106"/>
      <c r="L749" s="106"/>
      <c r="M749" s="106"/>
      <c r="N749" s="106"/>
      <c r="O749" s="106"/>
      <c r="P749" s="106"/>
      <c r="Q749" s="106"/>
      <c r="AB749" s="106"/>
      <c r="AR749" s="65"/>
      <c r="AS749" s="65"/>
      <c r="AT749" s="65"/>
      <c r="BC749" s="23"/>
      <c r="BD749" s="23"/>
      <c r="BE749" s="23"/>
      <c r="BF749" s="66"/>
    </row>
    <row r="750">
      <c r="G750" s="106"/>
      <c r="H750" s="105"/>
      <c r="I750" s="106"/>
      <c r="J750" s="106"/>
      <c r="K750" s="106"/>
      <c r="L750" s="106"/>
      <c r="M750" s="106"/>
      <c r="N750" s="106"/>
      <c r="O750" s="106"/>
      <c r="P750" s="106"/>
      <c r="Q750" s="106"/>
      <c r="AB750" s="106"/>
      <c r="AR750" s="65"/>
      <c r="AS750" s="65"/>
      <c r="AT750" s="65"/>
      <c r="BC750" s="23"/>
      <c r="BD750" s="23"/>
      <c r="BE750" s="23"/>
      <c r="BF750" s="66"/>
    </row>
    <row r="751">
      <c r="G751" s="106"/>
      <c r="H751" s="105"/>
      <c r="I751" s="106"/>
      <c r="J751" s="106"/>
      <c r="K751" s="106"/>
      <c r="L751" s="106"/>
      <c r="M751" s="106"/>
      <c r="N751" s="106"/>
      <c r="O751" s="106"/>
      <c r="P751" s="106"/>
      <c r="Q751" s="106"/>
      <c r="AB751" s="106"/>
      <c r="AR751" s="65"/>
      <c r="AS751" s="65"/>
      <c r="AT751" s="65"/>
      <c r="BC751" s="23"/>
      <c r="BD751" s="23"/>
      <c r="BE751" s="23"/>
      <c r="BF751" s="66"/>
    </row>
    <row r="752">
      <c r="G752" s="106"/>
      <c r="H752" s="105"/>
      <c r="I752" s="106"/>
      <c r="J752" s="106"/>
      <c r="K752" s="106"/>
      <c r="L752" s="106"/>
      <c r="M752" s="106"/>
      <c r="N752" s="106"/>
      <c r="O752" s="106"/>
      <c r="P752" s="106"/>
      <c r="Q752" s="106"/>
      <c r="AB752" s="106"/>
      <c r="AR752" s="65"/>
      <c r="AS752" s="65"/>
      <c r="AT752" s="65"/>
      <c r="BC752" s="23"/>
      <c r="BD752" s="23"/>
      <c r="BE752" s="23"/>
      <c r="BF752" s="66"/>
    </row>
    <row r="753">
      <c r="G753" s="106"/>
      <c r="H753" s="105"/>
      <c r="I753" s="106"/>
      <c r="J753" s="106"/>
      <c r="K753" s="106"/>
      <c r="L753" s="106"/>
      <c r="M753" s="106"/>
      <c r="N753" s="106"/>
      <c r="O753" s="106"/>
      <c r="P753" s="106"/>
      <c r="Q753" s="106"/>
      <c r="AB753" s="106"/>
      <c r="AR753" s="65"/>
      <c r="AS753" s="65"/>
      <c r="AT753" s="65"/>
      <c r="BC753" s="23"/>
      <c r="BD753" s="23"/>
      <c r="BE753" s="23"/>
      <c r="BF753" s="66"/>
    </row>
    <row r="754">
      <c r="G754" s="106"/>
      <c r="H754" s="105"/>
      <c r="I754" s="106"/>
      <c r="J754" s="106"/>
      <c r="K754" s="106"/>
      <c r="L754" s="106"/>
      <c r="M754" s="106"/>
      <c r="N754" s="106"/>
      <c r="O754" s="106"/>
      <c r="P754" s="106"/>
      <c r="Q754" s="106"/>
      <c r="AB754" s="106"/>
      <c r="AR754" s="65"/>
      <c r="AS754" s="65"/>
      <c r="AT754" s="65"/>
      <c r="BC754" s="23"/>
      <c r="BD754" s="23"/>
      <c r="BE754" s="23"/>
      <c r="BF754" s="66"/>
    </row>
    <row r="755">
      <c r="G755" s="106"/>
      <c r="H755" s="105"/>
      <c r="I755" s="106"/>
      <c r="J755" s="106"/>
      <c r="K755" s="106"/>
      <c r="L755" s="106"/>
      <c r="M755" s="106"/>
      <c r="N755" s="106"/>
      <c r="O755" s="106"/>
      <c r="P755" s="106"/>
      <c r="Q755" s="106"/>
      <c r="AB755" s="106"/>
      <c r="AR755" s="65"/>
      <c r="AS755" s="65"/>
      <c r="AT755" s="65"/>
      <c r="BC755" s="23"/>
      <c r="BD755" s="23"/>
      <c r="BE755" s="23"/>
      <c r="BF755" s="66"/>
    </row>
    <row r="756">
      <c r="G756" s="106"/>
      <c r="H756" s="105"/>
      <c r="I756" s="106"/>
      <c r="J756" s="106"/>
      <c r="K756" s="106"/>
      <c r="L756" s="106"/>
      <c r="M756" s="106"/>
      <c r="N756" s="106"/>
      <c r="O756" s="106"/>
      <c r="P756" s="106"/>
      <c r="Q756" s="106"/>
      <c r="AB756" s="106"/>
      <c r="AR756" s="65"/>
      <c r="AS756" s="65"/>
      <c r="AT756" s="65"/>
      <c r="BC756" s="23"/>
      <c r="BD756" s="23"/>
      <c r="BE756" s="23"/>
      <c r="BF756" s="66"/>
    </row>
    <row r="757">
      <c r="G757" s="106"/>
      <c r="H757" s="105"/>
      <c r="I757" s="106"/>
      <c r="J757" s="106"/>
      <c r="K757" s="106"/>
      <c r="L757" s="106"/>
      <c r="M757" s="106"/>
      <c r="N757" s="106"/>
      <c r="O757" s="106"/>
      <c r="P757" s="106"/>
      <c r="Q757" s="106"/>
      <c r="AB757" s="106"/>
      <c r="AR757" s="65"/>
      <c r="AS757" s="65"/>
      <c r="AT757" s="65"/>
      <c r="BC757" s="23"/>
      <c r="BD757" s="23"/>
      <c r="BE757" s="23"/>
      <c r="BF757" s="66"/>
    </row>
    <row r="758">
      <c r="G758" s="106"/>
      <c r="H758" s="105"/>
      <c r="I758" s="106"/>
      <c r="J758" s="106"/>
      <c r="K758" s="106"/>
      <c r="L758" s="106"/>
      <c r="M758" s="106"/>
      <c r="N758" s="106"/>
      <c r="O758" s="106"/>
      <c r="P758" s="106"/>
      <c r="Q758" s="106"/>
      <c r="AB758" s="106"/>
      <c r="AR758" s="65"/>
      <c r="AS758" s="65"/>
      <c r="AT758" s="65"/>
      <c r="BC758" s="23"/>
      <c r="BD758" s="23"/>
      <c r="BE758" s="23"/>
      <c r="BF758" s="66"/>
    </row>
    <row r="759">
      <c r="G759" s="106"/>
      <c r="H759" s="105"/>
      <c r="I759" s="106"/>
      <c r="J759" s="106"/>
      <c r="K759" s="106"/>
      <c r="L759" s="106"/>
      <c r="M759" s="106"/>
      <c r="N759" s="106"/>
      <c r="O759" s="106"/>
      <c r="P759" s="106"/>
      <c r="Q759" s="106"/>
      <c r="AB759" s="106"/>
      <c r="AR759" s="65"/>
      <c r="AS759" s="65"/>
      <c r="AT759" s="65"/>
      <c r="BC759" s="23"/>
      <c r="BD759" s="23"/>
      <c r="BE759" s="23"/>
      <c r="BF759" s="66"/>
    </row>
    <row r="760">
      <c r="G760" s="106"/>
      <c r="H760" s="105"/>
      <c r="I760" s="106"/>
      <c r="J760" s="106"/>
      <c r="K760" s="106"/>
      <c r="L760" s="106"/>
      <c r="M760" s="106"/>
      <c r="N760" s="106"/>
      <c r="O760" s="106"/>
      <c r="P760" s="106"/>
      <c r="Q760" s="106"/>
      <c r="AB760" s="106"/>
      <c r="AR760" s="65"/>
      <c r="AS760" s="65"/>
      <c r="AT760" s="65"/>
      <c r="BC760" s="23"/>
      <c r="BD760" s="23"/>
      <c r="BE760" s="23"/>
      <c r="BF760" s="66"/>
    </row>
    <row r="761">
      <c r="G761" s="106"/>
      <c r="H761" s="105"/>
      <c r="I761" s="106"/>
      <c r="J761" s="106"/>
      <c r="K761" s="106"/>
      <c r="L761" s="106"/>
      <c r="M761" s="106"/>
      <c r="N761" s="106"/>
      <c r="O761" s="106"/>
      <c r="P761" s="106"/>
      <c r="Q761" s="106"/>
      <c r="AB761" s="106"/>
      <c r="AR761" s="65"/>
      <c r="AS761" s="65"/>
      <c r="AT761" s="65"/>
      <c r="BC761" s="23"/>
      <c r="BD761" s="23"/>
      <c r="BE761" s="23"/>
      <c r="BF761" s="66"/>
    </row>
    <row r="762">
      <c r="G762" s="106"/>
      <c r="H762" s="105"/>
      <c r="I762" s="106"/>
      <c r="J762" s="106"/>
      <c r="K762" s="106"/>
      <c r="L762" s="106"/>
      <c r="M762" s="106"/>
      <c r="N762" s="106"/>
      <c r="O762" s="106"/>
      <c r="P762" s="106"/>
      <c r="Q762" s="106"/>
      <c r="AB762" s="106"/>
      <c r="AR762" s="65"/>
      <c r="AS762" s="65"/>
      <c r="AT762" s="65"/>
      <c r="BC762" s="23"/>
      <c r="BD762" s="23"/>
      <c r="BE762" s="23"/>
      <c r="BF762" s="66"/>
    </row>
    <row r="763">
      <c r="G763" s="106"/>
      <c r="H763" s="105"/>
      <c r="I763" s="106"/>
      <c r="J763" s="106"/>
      <c r="K763" s="106"/>
      <c r="L763" s="106"/>
      <c r="M763" s="106"/>
      <c r="N763" s="106"/>
      <c r="O763" s="106"/>
      <c r="P763" s="106"/>
      <c r="Q763" s="106"/>
      <c r="AB763" s="106"/>
      <c r="AR763" s="65"/>
      <c r="AS763" s="65"/>
      <c r="AT763" s="65"/>
      <c r="BC763" s="23"/>
      <c r="BD763" s="23"/>
      <c r="BE763" s="23"/>
      <c r="BF763" s="66"/>
    </row>
    <row r="764">
      <c r="G764" s="106"/>
      <c r="H764" s="105"/>
      <c r="I764" s="106"/>
      <c r="J764" s="106"/>
      <c r="K764" s="106"/>
      <c r="L764" s="106"/>
      <c r="M764" s="106"/>
      <c r="N764" s="106"/>
      <c r="O764" s="106"/>
      <c r="P764" s="106"/>
      <c r="Q764" s="106"/>
      <c r="AB764" s="106"/>
      <c r="AR764" s="65"/>
      <c r="AS764" s="65"/>
      <c r="AT764" s="65"/>
      <c r="BC764" s="23"/>
      <c r="BD764" s="23"/>
      <c r="BE764" s="23"/>
      <c r="BF764" s="66"/>
    </row>
    <row r="765">
      <c r="G765" s="106"/>
      <c r="H765" s="105"/>
      <c r="I765" s="106"/>
      <c r="J765" s="106"/>
      <c r="K765" s="106"/>
      <c r="L765" s="106"/>
      <c r="M765" s="106"/>
      <c r="N765" s="106"/>
      <c r="O765" s="106"/>
      <c r="P765" s="106"/>
      <c r="Q765" s="106"/>
      <c r="AB765" s="106"/>
      <c r="AR765" s="65"/>
      <c r="AS765" s="65"/>
      <c r="AT765" s="65"/>
      <c r="BC765" s="23"/>
      <c r="BD765" s="23"/>
      <c r="BE765" s="23"/>
      <c r="BF765" s="66"/>
    </row>
    <row r="766">
      <c r="G766" s="106"/>
      <c r="H766" s="105"/>
      <c r="I766" s="106"/>
      <c r="J766" s="106"/>
      <c r="K766" s="106"/>
      <c r="L766" s="106"/>
      <c r="M766" s="106"/>
      <c r="N766" s="106"/>
      <c r="O766" s="106"/>
      <c r="P766" s="106"/>
      <c r="Q766" s="106"/>
      <c r="AB766" s="106"/>
      <c r="AR766" s="65"/>
      <c r="AS766" s="65"/>
      <c r="AT766" s="65"/>
      <c r="BC766" s="23"/>
      <c r="BD766" s="23"/>
      <c r="BE766" s="23"/>
      <c r="BF766" s="66"/>
    </row>
    <row r="767">
      <c r="G767" s="106"/>
      <c r="H767" s="105"/>
      <c r="I767" s="106"/>
      <c r="J767" s="106"/>
      <c r="K767" s="106"/>
      <c r="L767" s="106"/>
      <c r="M767" s="106"/>
      <c r="N767" s="106"/>
      <c r="O767" s="106"/>
      <c r="P767" s="106"/>
      <c r="Q767" s="106"/>
      <c r="AB767" s="106"/>
      <c r="AR767" s="65"/>
      <c r="AS767" s="65"/>
      <c r="AT767" s="65"/>
      <c r="BC767" s="23"/>
      <c r="BD767" s="23"/>
      <c r="BE767" s="23"/>
      <c r="BF767" s="66"/>
    </row>
    <row r="768">
      <c r="G768" s="106"/>
      <c r="H768" s="105"/>
      <c r="I768" s="106"/>
      <c r="J768" s="106"/>
      <c r="K768" s="106"/>
      <c r="L768" s="106"/>
      <c r="M768" s="106"/>
      <c r="N768" s="106"/>
      <c r="O768" s="106"/>
      <c r="P768" s="106"/>
      <c r="Q768" s="106"/>
      <c r="AB768" s="106"/>
      <c r="AR768" s="65"/>
      <c r="AS768" s="65"/>
      <c r="AT768" s="65"/>
      <c r="BC768" s="23"/>
      <c r="BD768" s="23"/>
      <c r="BE768" s="23"/>
      <c r="BF768" s="66"/>
    </row>
    <row r="769">
      <c r="G769" s="106"/>
      <c r="H769" s="105"/>
      <c r="I769" s="106"/>
      <c r="J769" s="106"/>
      <c r="K769" s="106"/>
      <c r="L769" s="106"/>
      <c r="M769" s="106"/>
      <c r="N769" s="106"/>
      <c r="O769" s="106"/>
      <c r="P769" s="106"/>
      <c r="Q769" s="106"/>
      <c r="AB769" s="106"/>
      <c r="AR769" s="65"/>
      <c r="AS769" s="65"/>
      <c r="AT769" s="65"/>
      <c r="BC769" s="23"/>
      <c r="BD769" s="23"/>
      <c r="BE769" s="23"/>
      <c r="BF769" s="66"/>
    </row>
    <row r="770">
      <c r="G770" s="106"/>
      <c r="H770" s="105"/>
      <c r="I770" s="106"/>
      <c r="J770" s="106"/>
      <c r="K770" s="106"/>
      <c r="L770" s="106"/>
      <c r="M770" s="106"/>
      <c r="N770" s="106"/>
      <c r="O770" s="106"/>
      <c r="P770" s="106"/>
      <c r="Q770" s="106"/>
      <c r="AB770" s="106"/>
      <c r="AR770" s="65"/>
      <c r="AS770" s="65"/>
      <c r="AT770" s="65"/>
      <c r="BC770" s="23"/>
      <c r="BD770" s="23"/>
      <c r="BE770" s="23"/>
      <c r="BF770" s="66"/>
    </row>
    <row r="771">
      <c r="G771" s="106"/>
      <c r="H771" s="105"/>
      <c r="I771" s="106"/>
      <c r="J771" s="106"/>
      <c r="K771" s="106"/>
      <c r="L771" s="106"/>
      <c r="M771" s="106"/>
      <c r="N771" s="106"/>
      <c r="O771" s="106"/>
      <c r="P771" s="106"/>
      <c r="Q771" s="106"/>
      <c r="AB771" s="106"/>
      <c r="AR771" s="65"/>
      <c r="AS771" s="65"/>
      <c r="AT771" s="65"/>
      <c r="BC771" s="23"/>
      <c r="BD771" s="23"/>
      <c r="BE771" s="23"/>
      <c r="BF771" s="66"/>
    </row>
    <row r="772">
      <c r="G772" s="106"/>
      <c r="H772" s="105"/>
      <c r="I772" s="106"/>
      <c r="J772" s="106"/>
      <c r="K772" s="106"/>
      <c r="L772" s="106"/>
      <c r="M772" s="106"/>
      <c r="N772" s="106"/>
      <c r="O772" s="106"/>
      <c r="P772" s="106"/>
      <c r="Q772" s="106"/>
      <c r="AB772" s="106"/>
      <c r="AR772" s="65"/>
      <c r="AS772" s="65"/>
      <c r="AT772" s="65"/>
      <c r="BC772" s="23"/>
      <c r="BD772" s="23"/>
      <c r="BE772" s="23"/>
      <c r="BF772" s="66"/>
    </row>
    <row r="773">
      <c r="G773" s="106"/>
      <c r="H773" s="105"/>
      <c r="I773" s="106"/>
      <c r="J773" s="106"/>
      <c r="K773" s="106"/>
      <c r="L773" s="106"/>
      <c r="M773" s="106"/>
      <c r="N773" s="106"/>
      <c r="O773" s="106"/>
      <c r="P773" s="106"/>
      <c r="Q773" s="106"/>
      <c r="AB773" s="106"/>
      <c r="AR773" s="65"/>
      <c r="AS773" s="65"/>
      <c r="AT773" s="65"/>
      <c r="BC773" s="23"/>
      <c r="BD773" s="23"/>
      <c r="BE773" s="23"/>
      <c r="BF773" s="66"/>
    </row>
    <row r="774">
      <c r="G774" s="106"/>
      <c r="H774" s="105"/>
      <c r="I774" s="106"/>
      <c r="J774" s="106"/>
      <c r="K774" s="106"/>
      <c r="L774" s="106"/>
      <c r="M774" s="106"/>
      <c r="N774" s="106"/>
      <c r="O774" s="106"/>
      <c r="P774" s="106"/>
      <c r="Q774" s="106"/>
      <c r="AB774" s="106"/>
      <c r="AR774" s="65"/>
      <c r="AS774" s="65"/>
      <c r="AT774" s="65"/>
      <c r="BC774" s="23"/>
      <c r="BD774" s="23"/>
      <c r="BE774" s="23"/>
      <c r="BF774" s="66"/>
    </row>
    <row r="775">
      <c r="G775" s="106"/>
      <c r="H775" s="105"/>
      <c r="I775" s="106"/>
      <c r="J775" s="106"/>
      <c r="K775" s="106"/>
      <c r="L775" s="106"/>
      <c r="M775" s="106"/>
      <c r="N775" s="106"/>
      <c r="O775" s="106"/>
      <c r="P775" s="106"/>
      <c r="Q775" s="106"/>
      <c r="AB775" s="106"/>
      <c r="AR775" s="65"/>
      <c r="AS775" s="65"/>
      <c r="AT775" s="65"/>
      <c r="BC775" s="23"/>
      <c r="BD775" s="23"/>
      <c r="BE775" s="23"/>
      <c r="BF775" s="66"/>
    </row>
    <row r="776">
      <c r="G776" s="106"/>
      <c r="H776" s="105"/>
      <c r="I776" s="106"/>
      <c r="J776" s="106"/>
      <c r="K776" s="106"/>
      <c r="L776" s="106"/>
      <c r="M776" s="106"/>
      <c r="N776" s="106"/>
      <c r="O776" s="106"/>
      <c r="P776" s="106"/>
      <c r="Q776" s="106"/>
      <c r="AB776" s="106"/>
      <c r="AR776" s="65"/>
      <c r="AS776" s="65"/>
      <c r="AT776" s="65"/>
      <c r="BC776" s="23"/>
      <c r="BD776" s="23"/>
      <c r="BE776" s="23"/>
      <c r="BF776" s="66"/>
    </row>
    <row r="777">
      <c r="G777" s="106"/>
      <c r="H777" s="105"/>
      <c r="I777" s="106"/>
      <c r="J777" s="106"/>
      <c r="K777" s="106"/>
      <c r="L777" s="106"/>
      <c r="M777" s="106"/>
      <c r="N777" s="106"/>
      <c r="O777" s="106"/>
      <c r="P777" s="106"/>
      <c r="Q777" s="106"/>
      <c r="AB777" s="106"/>
      <c r="AR777" s="65"/>
      <c r="AS777" s="65"/>
      <c r="AT777" s="65"/>
      <c r="BC777" s="23"/>
      <c r="BD777" s="23"/>
      <c r="BE777" s="23"/>
      <c r="BF777" s="66"/>
    </row>
    <row r="778">
      <c r="G778" s="106"/>
      <c r="H778" s="105"/>
      <c r="I778" s="106"/>
      <c r="J778" s="106"/>
      <c r="K778" s="106"/>
      <c r="L778" s="106"/>
      <c r="M778" s="106"/>
      <c r="N778" s="106"/>
      <c r="O778" s="106"/>
      <c r="P778" s="106"/>
      <c r="Q778" s="106"/>
      <c r="AB778" s="106"/>
      <c r="AR778" s="65"/>
      <c r="AS778" s="65"/>
      <c r="AT778" s="65"/>
      <c r="BC778" s="23"/>
      <c r="BD778" s="23"/>
      <c r="BE778" s="23"/>
      <c r="BF778" s="66"/>
    </row>
    <row r="779">
      <c r="G779" s="106"/>
      <c r="H779" s="105"/>
      <c r="I779" s="106"/>
      <c r="J779" s="106"/>
      <c r="K779" s="106"/>
      <c r="L779" s="106"/>
      <c r="M779" s="106"/>
      <c r="N779" s="106"/>
      <c r="O779" s="106"/>
      <c r="P779" s="106"/>
      <c r="Q779" s="106"/>
      <c r="AB779" s="106"/>
      <c r="AR779" s="65"/>
      <c r="AS779" s="65"/>
      <c r="AT779" s="65"/>
      <c r="BC779" s="23"/>
      <c r="BD779" s="23"/>
      <c r="BE779" s="23"/>
      <c r="BF779" s="66"/>
    </row>
    <row r="780">
      <c r="G780" s="106"/>
      <c r="H780" s="105"/>
      <c r="I780" s="106"/>
      <c r="J780" s="106"/>
      <c r="K780" s="106"/>
      <c r="L780" s="106"/>
      <c r="M780" s="106"/>
      <c r="N780" s="106"/>
      <c r="O780" s="106"/>
      <c r="P780" s="106"/>
      <c r="Q780" s="106"/>
      <c r="AB780" s="106"/>
      <c r="AR780" s="65"/>
      <c r="AS780" s="65"/>
      <c r="AT780" s="65"/>
      <c r="BC780" s="23"/>
      <c r="BD780" s="23"/>
      <c r="BE780" s="23"/>
      <c r="BF780" s="66"/>
    </row>
    <row r="781">
      <c r="G781" s="106"/>
      <c r="H781" s="105"/>
      <c r="I781" s="106"/>
      <c r="J781" s="106"/>
      <c r="K781" s="106"/>
      <c r="L781" s="106"/>
      <c r="M781" s="106"/>
      <c r="N781" s="106"/>
      <c r="O781" s="106"/>
      <c r="P781" s="106"/>
      <c r="Q781" s="106"/>
      <c r="AB781" s="106"/>
      <c r="AR781" s="65"/>
      <c r="AS781" s="65"/>
      <c r="AT781" s="65"/>
      <c r="BC781" s="23"/>
      <c r="BD781" s="23"/>
      <c r="BE781" s="23"/>
      <c r="BF781" s="66"/>
    </row>
    <row r="782">
      <c r="G782" s="106"/>
      <c r="H782" s="105"/>
      <c r="I782" s="106"/>
      <c r="J782" s="106"/>
      <c r="K782" s="106"/>
      <c r="L782" s="106"/>
      <c r="M782" s="106"/>
      <c r="N782" s="106"/>
      <c r="O782" s="106"/>
      <c r="P782" s="106"/>
      <c r="Q782" s="106"/>
      <c r="AB782" s="106"/>
      <c r="AR782" s="65"/>
      <c r="AS782" s="65"/>
      <c r="AT782" s="65"/>
      <c r="BC782" s="23"/>
      <c r="BD782" s="23"/>
      <c r="BE782" s="23"/>
      <c r="BF782" s="66"/>
    </row>
    <row r="783">
      <c r="G783" s="106"/>
      <c r="H783" s="105"/>
      <c r="I783" s="106"/>
      <c r="J783" s="106"/>
      <c r="K783" s="106"/>
      <c r="L783" s="106"/>
      <c r="M783" s="106"/>
      <c r="N783" s="106"/>
      <c r="O783" s="106"/>
      <c r="P783" s="106"/>
      <c r="Q783" s="106"/>
      <c r="AB783" s="106"/>
      <c r="AR783" s="65"/>
      <c r="AS783" s="65"/>
      <c r="AT783" s="65"/>
      <c r="BC783" s="23"/>
      <c r="BD783" s="23"/>
      <c r="BE783" s="23"/>
      <c r="BF783" s="66"/>
    </row>
    <row r="784">
      <c r="G784" s="106"/>
      <c r="H784" s="105"/>
      <c r="I784" s="106"/>
      <c r="J784" s="106"/>
      <c r="K784" s="106"/>
      <c r="L784" s="106"/>
      <c r="M784" s="106"/>
      <c r="N784" s="106"/>
      <c r="O784" s="106"/>
      <c r="P784" s="106"/>
      <c r="Q784" s="106"/>
      <c r="AB784" s="106"/>
      <c r="AR784" s="65"/>
      <c r="AS784" s="65"/>
      <c r="AT784" s="65"/>
      <c r="BC784" s="23"/>
      <c r="BD784" s="23"/>
      <c r="BE784" s="23"/>
      <c r="BF784" s="66"/>
    </row>
    <row r="785">
      <c r="G785" s="106"/>
      <c r="H785" s="105"/>
      <c r="I785" s="106"/>
      <c r="J785" s="106"/>
      <c r="K785" s="106"/>
      <c r="L785" s="106"/>
      <c r="M785" s="106"/>
      <c r="N785" s="106"/>
      <c r="O785" s="106"/>
      <c r="P785" s="106"/>
      <c r="Q785" s="106"/>
      <c r="AB785" s="106"/>
      <c r="AR785" s="65"/>
      <c r="AS785" s="65"/>
      <c r="AT785" s="65"/>
      <c r="BC785" s="23"/>
      <c r="BD785" s="23"/>
      <c r="BE785" s="23"/>
      <c r="BF785" s="66"/>
    </row>
    <row r="786">
      <c r="G786" s="106"/>
      <c r="H786" s="105"/>
      <c r="I786" s="106"/>
      <c r="J786" s="106"/>
      <c r="K786" s="106"/>
      <c r="L786" s="106"/>
      <c r="M786" s="106"/>
      <c r="N786" s="106"/>
      <c r="O786" s="106"/>
      <c r="P786" s="106"/>
      <c r="Q786" s="106"/>
      <c r="AB786" s="106"/>
      <c r="AR786" s="65"/>
      <c r="AS786" s="65"/>
      <c r="AT786" s="65"/>
      <c r="BC786" s="23"/>
      <c r="BD786" s="23"/>
      <c r="BE786" s="23"/>
      <c r="BF786" s="66"/>
    </row>
    <row r="787">
      <c r="G787" s="106"/>
      <c r="H787" s="105"/>
      <c r="I787" s="106"/>
      <c r="J787" s="106"/>
      <c r="K787" s="106"/>
      <c r="L787" s="106"/>
      <c r="M787" s="106"/>
      <c r="N787" s="106"/>
      <c r="O787" s="106"/>
      <c r="P787" s="106"/>
      <c r="Q787" s="106"/>
      <c r="AB787" s="106"/>
      <c r="AR787" s="65"/>
      <c r="AS787" s="65"/>
      <c r="AT787" s="65"/>
      <c r="BC787" s="23"/>
      <c r="BD787" s="23"/>
      <c r="BE787" s="23"/>
      <c r="BF787" s="66"/>
    </row>
    <row r="788">
      <c r="G788" s="106"/>
      <c r="H788" s="105"/>
      <c r="I788" s="106"/>
      <c r="J788" s="106"/>
      <c r="K788" s="106"/>
      <c r="L788" s="106"/>
      <c r="M788" s="106"/>
      <c r="N788" s="106"/>
      <c r="O788" s="106"/>
      <c r="P788" s="106"/>
      <c r="Q788" s="106"/>
      <c r="AB788" s="106"/>
      <c r="AR788" s="65"/>
      <c r="AS788" s="65"/>
      <c r="AT788" s="65"/>
      <c r="BC788" s="23"/>
      <c r="BD788" s="23"/>
      <c r="BE788" s="23"/>
      <c r="BF788" s="66"/>
    </row>
    <row r="789">
      <c r="G789" s="106"/>
      <c r="H789" s="105"/>
      <c r="I789" s="106"/>
      <c r="J789" s="106"/>
      <c r="K789" s="106"/>
      <c r="L789" s="106"/>
      <c r="M789" s="106"/>
      <c r="N789" s="106"/>
      <c r="O789" s="106"/>
      <c r="P789" s="106"/>
      <c r="Q789" s="106"/>
      <c r="AB789" s="106"/>
      <c r="AR789" s="65"/>
      <c r="AS789" s="65"/>
      <c r="AT789" s="65"/>
      <c r="BC789" s="23"/>
      <c r="BD789" s="23"/>
      <c r="BE789" s="23"/>
      <c r="BF789" s="66"/>
    </row>
    <row r="790">
      <c r="G790" s="106"/>
      <c r="H790" s="105"/>
      <c r="I790" s="106"/>
      <c r="J790" s="106"/>
      <c r="K790" s="106"/>
      <c r="L790" s="106"/>
      <c r="M790" s="106"/>
      <c r="N790" s="106"/>
      <c r="O790" s="106"/>
      <c r="P790" s="106"/>
      <c r="Q790" s="106"/>
      <c r="AB790" s="106"/>
      <c r="AR790" s="65"/>
      <c r="AS790" s="65"/>
      <c r="AT790" s="65"/>
      <c r="BC790" s="23"/>
      <c r="BD790" s="23"/>
      <c r="BE790" s="23"/>
      <c r="BF790" s="66"/>
    </row>
    <row r="791">
      <c r="G791" s="106"/>
      <c r="H791" s="105"/>
      <c r="I791" s="106"/>
      <c r="J791" s="106"/>
      <c r="K791" s="106"/>
      <c r="L791" s="106"/>
      <c r="M791" s="106"/>
      <c r="N791" s="106"/>
      <c r="O791" s="106"/>
      <c r="P791" s="106"/>
      <c r="Q791" s="106"/>
      <c r="AB791" s="106"/>
      <c r="AR791" s="65"/>
      <c r="AS791" s="65"/>
      <c r="AT791" s="65"/>
      <c r="BC791" s="23"/>
      <c r="BD791" s="23"/>
      <c r="BE791" s="23"/>
      <c r="BF791" s="66"/>
    </row>
    <row r="792">
      <c r="G792" s="106"/>
      <c r="H792" s="105"/>
      <c r="I792" s="106"/>
      <c r="J792" s="106"/>
      <c r="K792" s="106"/>
      <c r="L792" s="106"/>
      <c r="M792" s="106"/>
      <c r="N792" s="106"/>
      <c r="O792" s="106"/>
      <c r="P792" s="106"/>
      <c r="Q792" s="106"/>
      <c r="AB792" s="106"/>
      <c r="AR792" s="65"/>
      <c r="AS792" s="65"/>
      <c r="AT792" s="65"/>
      <c r="BC792" s="23"/>
      <c r="BD792" s="23"/>
      <c r="BE792" s="23"/>
      <c r="BF792" s="66"/>
    </row>
    <row r="793">
      <c r="G793" s="106"/>
      <c r="H793" s="105"/>
      <c r="I793" s="106"/>
      <c r="J793" s="106"/>
      <c r="K793" s="106"/>
      <c r="L793" s="106"/>
      <c r="M793" s="106"/>
      <c r="N793" s="106"/>
      <c r="O793" s="106"/>
      <c r="P793" s="106"/>
      <c r="Q793" s="106"/>
      <c r="AB793" s="106"/>
      <c r="AR793" s="65"/>
      <c r="AS793" s="65"/>
      <c r="AT793" s="65"/>
      <c r="BC793" s="23"/>
      <c r="BD793" s="23"/>
      <c r="BE793" s="23"/>
      <c r="BF793" s="66"/>
    </row>
    <row r="794">
      <c r="G794" s="106"/>
      <c r="H794" s="105"/>
      <c r="I794" s="106"/>
      <c r="J794" s="106"/>
      <c r="K794" s="106"/>
      <c r="L794" s="106"/>
      <c r="M794" s="106"/>
      <c r="N794" s="106"/>
      <c r="O794" s="106"/>
      <c r="P794" s="106"/>
      <c r="Q794" s="106"/>
      <c r="AB794" s="106"/>
      <c r="AR794" s="65"/>
      <c r="AS794" s="65"/>
      <c r="AT794" s="65"/>
      <c r="BC794" s="23"/>
      <c r="BD794" s="23"/>
      <c r="BE794" s="23"/>
      <c r="BF794" s="66"/>
    </row>
    <row r="795">
      <c r="G795" s="106"/>
      <c r="H795" s="105"/>
      <c r="I795" s="106"/>
      <c r="J795" s="106"/>
      <c r="K795" s="106"/>
      <c r="L795" s="106"/>
      <c r="M795" s="106"/>
      <c r="N795" s="106"/>
      <c r="O795" s="106"/>
      <c r="P795" s="106"/>
      <c r="Q795" s="106"/>
      <c r="AB795" s="106"/>
      <c r="AR795" s="65"/>
      <c r="AS795" s="65"/>
      <c r="AT795" s="65"/>
      <c r="BC795" s="23"/>
      <c r="BD795" s="23"/>
      <c r="BE795" s="23"/>
      <c r="BF795" s="66"/>
    </row>
    <row r="796">
      <c r="G796" s="106"/>
      <c r="H796" s="105"/>
      <c r="I796" s="106"/>
      <c r="J796" s="106"/>
      <c r="K796" s="106"/>
      <c r="L796" s="106"/>
      <c r="M796" s="106"/>
      <c r="N796" s="106"/>
      <c r="O796" s="106"/>
      <c r="P796" s="106"/>
      <c r="Q796" s="106"/>
      <c r="AB796" s="106"/>
      <c r="AR796" s="65"/>
      <c r="AS796" s="65"/>
      <c r="AT796" s="65"/>
      <c r="BC796" s="23"/>
      <c r="BD796" s="23"/>
      <c r="BE796" s="23"/>
      <c r="BF796" s="66"/>
    </row>
    <row r="797">
      <c r="G797" s="106"/>
      <c r="H797" s="105"/>
      <c r="I797" s="106"/>
      <c r="J797" s="106"/>
      <c r="K797" s="106"/>
      <c r="L797" s="106"/>
      <c r="M797" s="106"/>
      <c r="N797" s="106"/>
      <c r="O797" s="106"/>
      <c r="P797" s="106"/>
      <c r="Q797" s="106"/>
      <c r="AB797" s="106"/>
      <c r="AR797" s="65"/>
      <c r="AS797" s="65"/>
      <c r="AT797" s="65"/>
      <c r="BC797" s="23"/>
      <c r="BD797" s="23"/>
      <c r="BE797" s="23"/>
      <c r="BF797" s="66"/>
    </row>
    <row r="798">
      <c r="G798" s="106"/>
      <c r="H798" s="105"/>
      <c r="I798" s="106"/>
      <c r="J798" s="106"/>
      <c r="K798" s="106"/>
      <c r="L798" s="106"/>
      <c r="M798" s="106"/>
      <c r="N798" s="106"/>
      <c r="O798" s="106"/>
      <c r="P798" s="106"/>
      <c r="Q798" s="106"/>
      <c r="AB798" s="106"/>
      <c r="AR798" s="65"/>
      <c r="AS798" s="65"/>
      <c r="AT798" s="65"/>
      <c r="BC798" s="23"/>
      <c r="BD798" s="23"/>
      <c r="BE798" s="23"/>
      <c r="BF798" s="66"/>
    </row>
    <row r="799">
      <c r="G799" s="106"/>
      <c r="H799" s="105"/>
      <c r="I799" s="106"/>
      <c r="J799" s="106"/>
      <c r="K799" s="106"/>
      <c r="L799" s="106"/>
      <c r="M799" s="106"/>
      <c r="N799" s="106"/>
      <c r="O799" s="106"/>
      <c r="P799" s="106"/>
      <c r="Q799" s="106"/>
      <c r="AB799" s="106"/>
      <c r="AR799" s="65"/>
      <c r="AS799" s="65"/>
      <c r="AT799" s="65"/>
      <c r="BC799" s="23"/>
      <c r="BD799" s="23"/>
      <c r="BE799" s="23"/>
      <c r="BF799" s="66"/>
    </row>
    <row r="800">
      <c r="G800" s="106"/>
      <c r="H800" s="105"/>
      <c r="I800" s="106"/>
      <c r="J800" s="106"/>
      <c r="K800" s="106"/>
      <c r="L800" s="106"/>
      <c r="M800" s="106"/>
      <c r="N800" s="106"/>
      <c r="O800" s="106"/>
      <c r="P800" s="106"/>
      <c r="Q800" s="106"/>
      <c r="AB800" s="106"/>
      <c r="AR800" s="65"/>
      <c r="AS800" s="65"/>
      <c r="AT800" s="65"/>
      <c r="BC800" s="23"/>
      <c r="BD800" s="23"/>
      <c r="BE800" s="23"/>
      <c r="BF800" s="66"/>
    </row>
    <row r="801">
      <c r="G801" s="106"/>
      <c r="H801" s="105"/>
      <c r="I801" s="106"/>
      <c r="J801" s="106"/>
      <c r="K801" s="106"/>
      <c r="L801" s="106"/>
      <c r="M801" s="106"/>
      <c r="N801" s="106"/>
      <c r="O801" s="106"/>
      <c r="P801" s="106"/>
      <c r="Q801" s="106"/>
      <c r="AB801" s="106"/>
      <c r="AR801" s="65"/>
      <c r="AS801" s="65"/>
      <c r="AT801" s="65"/>
      <c r="BC801" s="23"/>
      <c r="BD801" s="23"/>
      <c r="BE801" s="23"/>
      <c r="BF801" s="66"/>
    </row>
    <row r="802">
      <c r="G802" s="106"/>
      <c r="H802" s="105"/>
      <c r="I802" s="106"/>
      <c r="J802" s="106"/>
      <c r="K802" s="106"/>
      <c r="L802" s="106"/>
      <c r="M802" s="106"/>
      <c r="N802" s="106"/>
      <c r="O802" s="106"/>
      <c r="P802" s="106"/>
      <c r="Q802" s="106"/>
      <c r="AB802" s="106"/>
      <c r="AR802" s="65"/>
      <c r="AS802" s="65"/>
      <c r="AT802" s="65"/>
      <c r="BC802" s="23"/>
      <c r="BD802" s="23"/>
      <c r="BE802" s="23"/>
      <c r="BF802" s="66"/>
    </row>
    <row r="803">
      <c r="G803" s="106"/>
      <c r="H803" s="105"/>
      <c r="I803" s="106"/>
      <c r="J803" s="106"/>
      <c r="K803" s="106"/>
      <c r="L803" s="106"/>
      <c r="M803" s="106"/>
      <c r="N803" s="106"/>
      <c r="O803" s="106"/>
      <c r="P803" s="106"/>
      <c r="Q803" s="106"/>
      <c r="AB803" s="106"/>
      <c r="AR803" s="65"/>
      <c r="AS803" s="65"/>
      <c r="AT803" s="65"/>
      <c r="BC803" s="23"/>
      <c r="BD803" s="23"/>
      <c r="BE803" s="23"/>
      <c r="BF803" s="66"/>
    </row>
    <row r="804">
      <c r="G804" s="106"/>
      <c r="H804" s="105"/>
      <c r="I804" s="106"/>
      <c r="J804" s="106"/>
      <c r="K804" s="106"/>
      <c r="L804" s="106"/>
      <c r="M804" s="106"/>
      <c r="N804" s="106"/>
      <c r="O804" s="106"/>
      <c r="P804" s="106"/>
      <c r="Q804" s="106"/>
      <c r="AB804" s="106"/>
      <c r="AR804" s="65"/>
      <c r="AS804" s="65"/>
      <c r="AT804" s="65"/>
      <c r="BC804" s="23"/>
      <c r="BD804" s="23"/>
      <c r="BE804" s="23"/>
      <c r="BF804" s="66"/>
    </row>
    <row r="805">
      <c r="G805" s="106"/>
      <c r="H805" s="105"/>
      <c r="I805" s="106"/>
      <c r="J805" s="106"/>
      <c r="K805" s="106"/>
      <c r="L805" s="106"/>
      <c r="M805" s="106"/>
      <c r="N805" s="106"/>
      <c r="O805" s="106"/>
      <c r="P805" s="106"/>
      <c r="Q805" s="106"/>
      <c r="AB805" s="106"/>
      <c r="AR805" s="65"/>
      <c r="AS805" s="65"/>
      <c r="AT805" s="65"/>
      <c r="BC805" s="23"/>
      <c r="BD805" s="23"/>
      <c r="BE805" s="23"/>
      <c r="BF805" s="66"/>
    </row>
    <row r="806">
      <c r="G806" s="106"/>
      <c r="H806" s="105"/>
      <c r="I806" s="106"/>
      <c r="J806" s="106"/>
      <c r="K806" s="106"/>
      <c r="L806" s="106"/>
      <c r="M806" s="106"/>
      <c r="N806" s="106"/>
      <c r="O806" s="106"/>
      <c r="P806" s="106"/>
      <c r="Q806" s="106"/>
      <c r="AB806" s="106"/>
      <c r="AR806" s="65"/>
      <c r="AS806" s="65"/>
      <c r="AT806" s="65"/>
      <c r="BC806" s="23"/>
      <c r="BD806" s="23"/>
      <c r="BE806" s="23"/>
      <c r="BF806" s="66"/>
    </row>
    <row r="807">
      <c r="G807" s="106"/>
      <c r="H807" s="105"/>
      <c r="I807" s="106"/>
      <c r="J807" s="106"/>
      <c r="K807" s="106"/>
      <c r="L807" s="106"/>
      <c r="M807" s="106"/>
      <c r="N807" s="106"/>
      <c r="O807" s="106"/>
      <c r="P807" s="106"/>
      <c r="Q807" s="106"/>
      <c r="AB807" s="106"/>
      <c r="AR807" s="65"/>
      <c r="AS807" s="65"/>
      <c r="AT807" s="65"/>
      <c r="BC807" s="23"/>
      <c r="BD807" s="23"/>
      <c r="BE807" s="23"/>
      <c r="BF807" s="66"/>
    </row>
    <row r="808">
      <c r="G808" s="106"/>
      <c r="H808" s="105"/>
      <c r="I808" s="106"/>
      <c r="J808" s="106"/>
      <c r="K808" s="106"/>
      <c r="L808" s="106"/>
      <c r="M808" s="106"/>
      <c r="N808" s="106"/>
      <c r="O808" s="106"/>
      <c r="P808" s="106"/>
      <c r="Q808" s="106"/>
      <c r="AB808" s="106"/>
      <c r="AR808" s="65"/>
      <c r="AS808" s="65"/>
      <c r="AT808" s="65"/>
      <c r="BC808" s="23"/>
      <c r="BD808" s="23"/>
      <c r="BE808" s="23"/>
      <c r="BF808" s="66"/>
    </row>
    <row r="809">
      <c r="G809" s="106"/>
      <c r="H809" s="105"/>
      <c r="I809" s="106"/>
      <c r="J809" s="106"/>
      <c r="K809" s="106"/>
      <c r="L809" s="106"/>
      <c r="M809" s="106"/>
      <c r="N809" s="106"/>
      <c r="O809" s="106"/>
      <c r="P809" s="106"/>
      <c r="Q809" s="106"/>
      <c r="AB809" s="106"/>
      <c r="AR809" s="65"/>
      <c r="AS809" s="65"/>
      <c r="AT809" s="65"/>
      <c r="BC809" s="23"/>
      <c r="BD809" s="23"/>
      <c r="BE809" s="23"/>
      <c r="BF809" s="66"/>
    </row>
    <row r="810">
      <c r="G810" s="106"/>
      <c r="H810" s="105"/>
      <c r="I810" s="106"/>
      <c r="J810" s="106"/>
      <c r="K810" s="106"/>
      <c r="L810" s="106"/>
      <c r="M810" s="106"/>
      <c r="N810" s="106"/>
      <c r="O810" s="106"/>
      <c r="P810" s="106"/>
      <c r="Q810" s="106"/>
      <c r="AB810" s="106"/>
      <c r="AR810" s="65"/>
      <c r="AS810" s="65"/>
      <c r="AT810" s="65"/>
      <c r="BC810" s="23"/>
      <c r="BD810" s="23"/>
      <c r="BE810" s="23"/>
      <c r="BF810" s="66"/>
    </row>
    <row r="811">
      <c r="G811" s="106"/>
      <c r="H811" s="105"/>
      <c r="I811" s="106"/>
      <c r="J811" s="106"/>
      <c r="K811" s="106"/>
      <c r="L811" s="106"/>
      <c r="M811" s="106"/>
      <c r="N811" s="106"/>
      <c r="O811" s="106"/>
      <c r="P811" s="106"/>
      <c r="Q811" s="106"/>
      <c r="AB811" s="106"/>
      <c r="AR811" s="65"/>
      <c r="AS811" s="65"/>
      <c r="AT811" s="65"/>
      <c r="BC811" s="23"/>
      <c r="BD811" s="23"/>
      <c r="BE811" s="23"/>
      <c r="BF811" s="66"/>
    </row>
    <row r="812">
      <c r="G812" s="106"/>
      <c r="H812" s="105"/>
      <c r="I812" s="106"/>
      <c r="J812" s="106"/>
      <c r="K812" s="106"/>
      <c r="L812" s="106"/>
      <c r="M812" s="106"/>
      <c r="N812" s="106"/>
      <c r="O812" s="106"/>
      <c r="P812" s="106"/>
      <c r="Q812" s="106"/>
      <c r="AB812" s="106"/>
      <c r="AR812" s="65"/>
      <c r="AS812" s="65"/>
      <c r="AT812" s="65"/>
      <c r="BC812" s="23"/>
      <c r="BD812" s="23"/>
      <c r="BE812" s="23"/>
      <c r="BF812" s="66"/>
    </row>
    <row r="813">
      <c r="G813" s="106"/>
      <c r="H813" s="105"/>
      <c r="I813" s="106"/>
      <c r="J813" s="106"/>
      <c r="K813" s="106"/>
      <c r="L813" s="106"/>
      <c r="M813" s="106"/>
      <c r="N813" s="106"/>
      <c r="O813" s="106"/>
      <c r="P813" s="106"/>
      <c r="Q813" s="106"/>
      <c r="AB813" s="106"/>
      <c r="AR813" s="65"/>
      <c r="AS813" s="65"/>
      <c r="AT813" s="65"/>
      <c r="BC813" s="23"/>
      <c r="BD813" s="23"/>
      <c r="BE813" s="23"/>
      <c r="BF813" s="66"/>
    </row>
    <row r="814">
      <c r="G814" s="106"/>
      <c r="H814" s="105"/>
      <c r="I814" s="106"/>
      <c r="J814" s="106"/>
      <c r="K814" s="106"/>
      <c r="L814" s="106"/>
      <c r="M814" s="106"/>
      <c r="N814" s="106"/>
      <c r="O814" s="106"/>
      <c r="P814" s="106"/>
      <c r="Q814" s="106"/>
      <c r="AB814" s="106"/>
      <c r="AR814" s="65"/>
      <c r="AS814" s="65"/>
      <c r="AT814" s="65"/>
      <c r="BC814" s="23"/>
      <c r="BD814" s="23"/>
      <c r="BE814" s="23"/>
      <c r="BF814" s="66"/>
    </row>
    <row r="815">
      <c r="G815" s="106"/>
      <c r="H815" s="105"/>
      <c r="I815" s="106"/>
      <c r="J815" s="106"/>
      <c r="K815" s="106"/>
      <c r="L815" s="106"/>
      <c r="M815" s="106"/>
      <c r="N815" s="106"/>
      <c r="O815" s="106"/>
      <c r="P815" s="106"/>
      <c r="Q815" s="106"/>
      <c r="AB815" s="106"/>
      <c r="AR815" s="65"/>
      <c r="AS815" s="65"/>
      <c r="AT815" s="65"/>
      <c r="BC815" s="23"/>
      <c r="BD815" s="23"/>
      <c r="BE815" s="23"/>
      <c r="BF815" s="66"/>
    </row>
    <row r="816">
      <c r="G816" s="106"/>
      <c r="H816" s="105"/>
      <c r="I816" s="106"/>
      <c r="J816" s="106"/>
      <c r="K816" s="106"/>
      <c r="L816" s="106"/>
      <c r="M816" s="106"/>
      <c r="N816" s="106"/>
      <c r="O816" s="106"/>
      <c r="P816" s="106"/>
      <c r="Q816" s="106"/>
      <c r="AB816" s="106"/>
      <c r="AR816" s="65"/>
      <c r="AS816" s="65"/>
      <c r="AT816" s="65"/>
      <c r="BC816" s="23"/>
      <c r="BD816" s="23"/>
      <c r="BE816" s="23"/>
      <c r="BF816" s="66"/>
    </row>
    <row r="817">
      <c r="G817" s="106"/>
      <c r="H817" s="105"/>
      <c r="I817" s="106"/>
      <c r="J817" s="106"/>
      <c r="K817" s="106"/>
      <c r="L817" s="106"/>
      <c r="M817" s="106"/>
      <c r="N817" s="106"/>
      <c r="O817" s="106"/>
      <c r="P817" s="106"/>
      <c r="Q817" s="106"/>
      <c r="AB817" s="106"/>
      <c r="AR817" s="65"/>
      <c r="AS817" s="65"/>
      <c r="AT817" s="65"/>
      <c r="BC817" s="23"/>
      <c r="BD817" s="23"/>
      <c r="BE817" s="23"/>
      <c r="BF817" s="66"/>
    </row>
    <row r="818">
      <c r="G818" s="106"/>
      <c r="H818" s="105"/>
      <c r="I818" s="106"/>
      <c r="J818" s="106"/>
      <c r="K818" s="106"/>
      <c r="L818" s="106"/>
      <c r="M818" s="106"/>
      <c r="N818" s="106"/>
      <c r="O818" s="106"/>
      <c r="P818" s="106"/>
      <c r="Q818" s="106"/>
      <c r="AB818" s="106"/>
      <c r="AR818" s="65"/>
      <c r="AS818" s="65"/>
      <c r="AT818" s="65"/>
      <c r="BC818" s="23"/>
      <c r="BD818" s="23"/>
      <c r="BE818" s="23"/>
      <c r="BF818" s="66"/>
    </row>
    <row r="819">
      <c r="G819" s="106"/>
      <c r="H819" s="105"/>
      <c r="I819" s="106"/>
      <c r="J819" s="106"/>
      <c r="K819" s="106"/>
      <c r="L819" s="106"/>
      <c r="M819" s="106"/>
      <c r="N819" s="106"/>
      <c r="O819" s="106"/>
      <c r="P819" s="106"/>
      <c r="Q819" s="106"/>
      <c r="AB819" s="106"/>
      <c r="AR819" s="65"/>
      <c r="AS819" s="65"/>
      <c r="AT819" s="65"/>
      <c r="BC819" s="23"/>
      <c r="BD819" s="23"/>
      <c r="BE819" s="23"/>
      <c r="BF819" s="66"/>
    </row>
    <row r="820">
      <c r="G820" s="106"/>
      <c r="H820" s="105"/>
      <c r="I820" s="106"/>
      <c r="J820" s="106"/>
      <c r="K820" s="106"/>
      <c r="L820" s="106"/>
      <c r="M820" s="106"/>
      <c r="N820" s="106"/>
      <c r="O820" s="106"/>
      <c r="P820" s="106"/>
      <c r="Q820" s="106"/>
      <c r="AB820" s="106"/>
      <c r="AR820" s="65"/>
      <c r="AS820" s="65"/>
      <c r="AT820" s="65"/>
      <c r="BC820" s="23"/>
      <c r="BD820" s="23"/>
      <c r="BE820" s="23"/>
      <c r="BF820" s="66"/>
    </row>
    <row r="821">
      <c r="G821" s="106"/>
      <c r="H821" s="105"/>
      <c r="I821" s="106"/>
      <c r="J821" s="106"/>
      <c r="K821" s="106"/>
      <c r="L821" s="106"/>
      <c r="M821" s="106"/>
      <c r="N821" s="106"/>
      <c r="O821" s="106"/>
      <c r="P821" s="106"/>
      <c r="Q821" s="106"/>
      <c r="AB821" s="106"/>
      <c r="AR821" s="65"/>
      <c r="AS821" s="65"/>
      <c r="AT821" s="65"/>
      <c r="BC821" s="23"/>
      <c r="BD821" s="23"/>
      <c r="BE821" s="23"/>
      <c r="BF821" s="66"/>
    </row>
    <row r="822">
      <c r="G822" s="106"/>
      <c r="H822" s="105"/>
      <c r="I822" s="106"/>
      <c r="J822" s="106"/>
      <c r="K822" s="106"/>
      <c r="L822" s="106"/>
      <c r="M822" s="106"/>
      <c r="N822" s="106"/>
      <c r="O822" s="106"/>
      <c r="P822" s="106"/>
      <c r="Q822" s="106"/>
      <c r="AB822" s="106"/>
      <c r="AR822" s="65"/>
      <c r="AS822" s="65"/>
      <c r="AT822" s="65"/>
      <c r="BC822" s="23"/>
      <c r="BD822" s="23"/>
      <c r="BE822" s="23"/>
      <c r="BF822" s="66"/>
    </row>
    <row r="823">
      <c r="G823" s="106"/>
      <c r="H823" s="105"/>
      <c r="I823" s="106"/>
      <c r="J823" s="106"/>
      <c r="K823" s="106"/>
      <c r="L823" s="106"/>
      <c r="M823" s="106"/>
      <c r="N823" s="106"/>
      <c r="O823" s="106"/>
      <c r="P823" s="106"/>
      <c r="Q823" s="106"/>
      <c r="AB823" s="106"/>
      <c r="AR823" s="65"/>
      <c r="AS823" s="65"/>
      <c r="AT823" s="65"/>
      <c r="BC823" s="23"/>
      <c r="BD823" s="23"/>
      <c r="BE823" s="23"/>
      <c r="BF823" s="66"/>
    </row>
    <row r="824">
      <c r="G824" s="106"/>
      <c r="H824" s="105"/>
      <c r="I824" s="106"/>
      <c r="J824" s="106"/>
      <c r="K824" s="106"/>
      <c r="L824" s="106"/>
      <c r="M824" s="106"/>
      <c r="N824" s="106"/>
      <c r="O824" s="106"/>
      <c r="P824" s="106"/>
      <c r="Q824" s="106"/>
      <c r="AB824" s="106"/>
      <c r="AR824" s="65"/>
      <c r="AS824" s="65"/>
      <c r="AT824" s="65"/>
      <c r="BC824" s="23"/>
      <c r="BD824" s="23"/>
      <c r="BE824" s="23"/>
      <c r="BF824" s="66"/>
    </row>
    <row r="825">
      <c r="G825" s="106"/>
      <c r="H825" s="105"/>
      <c r="I825" s="106"/>
      <c r="J825" s="106"/>
      <c r="K825" s="106"/>
      <c r="L825" s="106"/>
      <c r="M825" s="106"/>
      <c r="N825" s="106"/>
      <c r="O825" s="106"/>
      <c r="P825" s="106"/>
      <c r="Q825" s="106"/>
      <c r="AB825" s="106"/>
      <c r="AR825" s="65"/>
      <c r="AS825" s="65"/>
      <c r="AT825" s="65"/>
      <c r="BC825" s="23"/>
      <c r="BD825" s="23"/>
      <c r="BE825" s="23"/>
      <c r="BF825" s="66"/>
    </row>
    <row r="826">
      <c r="G826" s="106"/>
      <c r="H826" s="105"/>
      <c r="I826" s="106"/>
      <c r="J826" s="106"/>
      <c r="K826" s="106"/>
      <c r="L826" s="106"/>
      <c r="M826" s="106"/>
      <c r="N826" s="106"/>
      <c r="O826" s="106"/>
      <c r="P826" s="106"/>
      <c r="Q826" s="106"/>
      <c r="AB826" s="106"/>
      <c r="AR826" s="65"/>
      <c r="AS826" s="65"/>
      <c r="AT826" s="65"/>
      <c r="BC826" s="23"/>
      <c r="BD826" s="23"/>
      <c r="BE826" s="23"/>
      <c r="BF826" s="66"/>
    </row>
    <row r="827">
      <c r="G827" s="106"/>
      <c r="H827" s="105"/>
      <c r="I827" s="106"/>
      <c r="J827" s="106"/>
      <c r="K827" s="106"/>
      <c r="L827" s="106"/>
      <c r="M827" s="106"/>
      <c r="N827" s="106"/>
      <c r="O827" s="106"/>
      <c r="P827" s="106"/>
      <c r="Q827" s="106"/>
      <c r="AB827" s="106"/>
      <c r="AR827" s="65"/>
      <c r="AS827" s="65"/>
      <c r="AT827" s="65"/>
      <c r="BC827" s="23"/>
      <c r="BD827" s="23"/>
      <c r="BE827" s="23"/>
      <c r="BF827" s="66"/>
    </row>
    <row r="828">
      <c r="G828" s="106"/>
      <c r="H828" s="105"/>
      <c r="I828" s="106"/>
      <c r="J828" s="106"/>
      <c r="K828" s="106"/>
      <c r="L828" s="106"/>
      <c r="M828" s="106"/>
      <c r="N828" s="106"/>
      <c r="O828" s="106"/>
      <c r="P828" s="106"/>
      <c r="Q828" s="106"/>
      <c r="AB828" s="106"/>
      <c r="AR828" s="65"/>
      <c r="AS828" s="65"/>
      <c r="AT828" s="65"/>
      <c r="BC828" s="23"/>
      <c r="BD828" s="23"/>
      <c r="BE828" s="23"/>
      <c r="BF828" s="66"/>
    </row>
    <row r="829">
      <c r="G829" s="106"/>
      <c r="H829" s="105"/>
      <c r="I829" s="106"/>
      <c r="J829" s="106"/>
      <c r="K829" s="106"/>
      <c r="L829" s="106"/>
      <c r="M829" s="106"/>
      <c r="N829" s="106"/>
      <c r="O829" s="106"/>
      <c r="P829" s="106"/>
      <c r="Q829" s="106"/>
      <c r="AB829" s="106"/>
      <c r="AR829" s="65"/>
      <c r="AS829" s="65"/>
      <c r="AT829" s="65"/>
      <c r="BC829" s="23"/>
      <c r="BD829" s="23"/>
      <c r="BE829" s="23"/>
      <c r="BF829" s="66"/>
    </row>
    <row r="830">
      <c r="G830" s="106"/>
      <c r="H830" s="105"/>
      <c r="I830" s="106"/>
      <c r="J830" s="106"/>
      <c r="K830" s="106"/>
      <c r="L830" s="106"/>
      <c r="M830" s="106"/>
      <c r="N830" s="106"/>
      <c r="O830" s="106"/>
      <c r="P830" s="106"/>
      <c r="Q830" s="106"/>
      <c r="AB830" s="106"/>
      <c r="AR830" s="65"/>
      <c r="AS830" s="65"/>
      <c r="AT830" s="65"/>
      <c r="BC830" s="23"/>
      <c r="BD830" s="23"/>
      <c r="BE830" s="23"/>
      <c r="BF830" s="66"/>
    </row>
    <row r="831">
      <c r="G831" s="106"/>
      <c r="H831" s="105"/>
      <c r="I831" s="106"/>
      <c r="J831" s="106"/>
      <c r="K831" s="106"/>
      <c r="L831" s="106"/>
      <c r="M831" s="106"/>
      <c r="N831" s="106"/>
      <c r="O831" s="106"/>
      <c r="P831" s="106"/>
      <c r="Q831" s="106"/>
      <c r="AB831" s="106"/>
      <c r="AR831" s="65"/>
      <c r="AS831" s="65"/>
      <c r="AT831" s="65"/>
      <c r="BC831" s="23"/>
      <c r="BD831" s="23"/>
      <c r="BE831" s="23"/>
      <c r="BF831" s="66"/>
    </row>
    <row r="832">
      <c r="G832" s="106"/>
      <c r="H832" s="105"/>
      <c r="I832" s="106"/>
      <c r="J832" s="106"/>
      <c r="K832" s="106"/>
      <c r="L832" s="106"/>
      <c r="M832" s="106"/>
      <c r="N832" s="106"/>
      <c r="O832" s="106"/>
      <c r="P832" s="106"/>
      <c r="Q832" s="106"/>
      <c r="AB832" s="106"/>
      <c r="AR832" s="65"/>
      <c r="AS832" s="65"/>
      <c r="AT832" s="65"/>
      <c r="BC832" s="23"/>
      <c r="BD832" s="23"/>
      <c r="BE832" s="23"/>
      <c r="BF832" s="66"/>
    </row>
    <row r="833">
      <c r="G833" s="106"/>
      <c r="H833" s="105"/>
      <c r="I833" s="106"/>
      <c r="J833" s="106"/>
      <c r="K833" s="106"/>
      <c r="L833" s="106"/>
      <c r="M833" s="106"/>
      <c r="N833" s="106"/>
      <c r="O833" s="106"/>
      <c r="P833" s="106"/>
      <c r="Q833" s="106"/>
      <c r="AB833" s="106"/>
      <c r="AR833" s="65"/>
      <c r="AS833" s="65"/>
      <c r="AT833" s="65"/>
      <c r="BC833" s="23"/>
      <c r="BD833" s="23"/>
      <c r="BE833" s="23"/>
      <c r="BF833" s="66"/>
    </row>
    <row r="834">
      <c r="G834" s="106"/>
      <c r="H834" s="105"/>
      <c r="I834" s="106"/>
      <c r="J834" s="106"/>
      <c r="K834" s="106"/>
      <c r="L834" s="106"/>
      <c r="M834" s="106"/>
      <c r="N834" s="106"/>
      <c r="O834" s="106"/>
      <c r="P834" s="106"/>
      <c r="Q834" s="106"/>
      <c r="AB834" s="106"/>
      <c r="AR834" s="65"/>
      <c r="AS834" s="65"/>
      <c r="AT834" s="65"/>
      <c r="BC834" s="23"/>
      <c r="BD834" s="23"/>
      <c r="BE834" s="23"/>
      <c r="BF834" s="66"/>
    </row>
    <row r="835">
      <c r="G835" s="106"/>
      <c r="H835" s="105"/>
      <c r="I835" s="106"/>
      <c r="J835" s="106"/>
      <c r="K835" s="106"/>
      <c r="L835" s="106"/>
      <c r="M835" s="106"/>
      <c r="N835" s="106"/>
      <c r="O835" s="106"/>
      <c r="P835" s="106"/>
      <c r="Q835" s="106"/>
      <c r="AB835" s="106"/>
      <c r="AR835" s="65"/>
      <c r="AS835" s="65"/>
      <c r="AT835" s="65"/>
      <c r="BC835" s="23"/>
      <c r="BD835" s="23"/>
      <c r="BE835" s="23"/>
      <c r="BF835" s="66"/>
    </row>
    <row r="836">
      <c r="G836" s="106"/>
      <c r="H836" s="105"/>
      <c r="I836" s="106"/>
      <c r="J836" s="106"/>
      <c r="K836" s="106"/>
      <c r="L836" s="106"/>
      <c r="M836" s="106"/>
      <c r="N836" s="106"/>
      <c r="O836" s="106"/>
      <c r="P836" s="106"/>
      <c r="Q836" s="106"/>
      <c r="AB836" s="106"/>
      <c r="AR836" s="65"/>
      <c r="AS836" s="65"/>
      <c r="AT836" s="65"/>
      <c r="BC836" s="23"/>
      <c r="BD836" s="23"/>
      <c r="BE836" s="23"/>
      <c r="BF836" s="66"/>
    </row>
    <row r="837">
      <c r="G837" s="106"/>
      <c r="H837" s="105"/>
      <c r="I837" s="106"/>
      <c r="J837" s="106"/>
      <c r="K837" s="106"/>
      <c r="L837" s="106"/>
      <c r="M837" s="106"/>
      <c r="N837" s="106"/>
      <c r="O837" s="106"/>
      <c r="P837" s="106"/>
      <c r="Q837" s="106"/>
      <c r="AB837" s="106"/>
      <c r="AR837" s="65"/>
      <c r="AS837" s="65"/>
      <c r="AT837" s="65"/>
      <c r="BC837" s="23"/>
      <c r="BD837" s="23"/>
      <c r="BE837" s="23"/>
      <c r="BF837" s="66"/>
    </row>
    <row r="838">
      <c r="G838" s="106"/>
      <c r="H838" s="105"/>
      <c r="I838" s="106"/>
      <c r="J838" s="106"/>
      <c r="K838" s="106"/>
      <c r="L838" s="106"/>
      <c r="M838" s="106"/>
      <c r="N838" s="106"/>
      <c r="O838" s="106"/>
      <c r="P838" s="106"/>
      <c r="Q838" s="106"/>
      <c r="AB838" s="106"/>
      <c r="AR838" s="65"/>
      <c r="AS838" s="65"/>
      <c r="AT838" s="65"/>
      <c r="BC838" s="23"/>
      <c r="BD838" s="23"/>
      <c r="BE838" s="23"/>
      <c r="BF838" s="66"/>
    </row>
    <row r="839">
      <c r="G839" s="106"/>
      <c r="H839" s="105"/>
      <c r="I839" s="106"/>
      <c r="J839" s="106"/>
      <c r="K839" s="106"/>
      <c r="L839" s="106"/>
      <c r="M839" s="106"/>
      <c r="N839" s="106"/>
      <c r="O839" s="106"/>
      <c r="P839" s="106"/>
      <c r="Q839" s="106"/>
      <c r="AB839" s="106"/>
      <c r="AR839" s="65"/>
      <c r="AS839" s="65"/>
      <c r="AT839" s="65"/>
      <c r="BC839" s="23"/>
      <c r="BD839" s="23"/>
      <c r="BE839" s="23"/>
      <c r="BF839" s="66"/>
    </row>
    <row r="840">
      <c r="G840" s="106"/>
      <c r="H840" s="105"/>
      <c r="I840" s="106"/>
      <c r="J840" s="106"/>
      <c r="K840" s="106"/>
      <c r="L840" s="106"/>
      <c r="M840" s="106"/>
      <c r="N840" s="106"/>
      <c r="O840" s="106"/>
      <c r="P840" s="106"/>
      <c r="Q840" s="106"/>
      <c r="AB840" s="106"/>
      <c r="AR840" s="65"/>
      <c r="AS840" s="65"/>
      <c r="AT840" s="65"/>
      <c r="BC840" s="23"/>
      <c r="BD840" s="23"/>
      <c r="BE840" s="23"/>
      <c r="BF840" s="66"/>
    </row>
    <row r="841">
      <c r="G841" s="106"/>
      <c r="H841" s="105"/>
      <c r="I841" s="106"/>
      <c r="J841" s="106"/>
      <c r="K841" s="106"/>
      <c r="L841" s="106"/>
      <c r="M841" s="106"/>
      <c r="N841" s="106"/>
      <c r="O841" s="106"/>
      <c r="P841" s="106"/>
      <c r="Q841" s="106"/>
      <c r="AB841" s="106"/>
      <c r="AR841" s="65"/>
      <c r="AS841" s="65"/>
      <c r="AT841" s="65"/>
      <c r="BC841" s="23"/>
      <c r="BD841" s="23"/>
      <c r="BE841" s="23"/>
      <c r="BF841" s="66"/>
    </row>
    <row r="842">
      <c r="G842" s="106"/>
      <c r="H842" s="105"/>
      <c r="I842" s="106"/>
      <c r="J842" s="106"/>
      <c r="K842" s="106"/>
      <c r="L842" s="106"/>
      <c r="M842" s="106"/>
      <c r="N842" s="106"/>
      <c r="O842" s="106"/>
      <c r="P842" s="106"/>
      <c r="Q842" s="106"/>
      <c r="AB842" s="106"/>
      <c r="AR842" s="65"/>
      <c r="AS842" s="65"/>
      <c r="AT842" s="65"/>
      <c r="BC842" s="23"/>
      <c r="BD842" s="23"/>
      <c r="BE842" s="23"/>
      <c r="BF842" s="66"/>
    </row>
    <row r="843">
      <c r="G843" s="106"/>
      <c r="H843" s="105"/>
      <c r="I843" s="106"/>
      <c r="J843" s="106"/>
      <c r="K843" s="106"/>
      <c r="L843" s="106"/>
      <c r="M843" s="106"/>
      <c r="N843" s="106"/>
      <c r="O843" s="106"/>
      <c r="P843" s="106"/>
      <c r="Q843" s="106"/>
      <c r="AB843" s="106"/>
      <c r="AR843" s="65"/>
      <c r="AS843" s="65"/>
      <c r="AT843" s="65"/>
      <c r="BC843" s="23"/>
      <c r="BD843" s="23"/>
      <c r="BE843" s="23"/>
      <c r="BF843" s="66"/>
    </row>
    <row r="844">
      <c r="G844" s="106"/>
      <c r="H844" s="105"/>
      <c r="I844" s="106"/>
      <c r="J844" s="106"/>
      <c r="K844" s="106"/>
      <c r="L844" s="106"/>
      <c r="M844" s="106"/>
      <c r="N844" s="106"/>
      <c r="O844" s="106"/>
      <c r="P844" s="106"/>
      <c r="Q844" s="106"/>
      <c r="AB844" s="106"/>
      <c r="AR844" s="65"/>
      <c r="AS844" s="65"/>
      <c r="AT844" s="65"/>
      <c r="BC844" s="23"/>
      <c r="BD844" s="23"/>
      <c r="BE844" s="23"/>
      <c r="BF844" s="66"/>
    </row>
    <row r="845">
      <c r="G845" s="106"/>
      <c r="H845" s="105"/>
      <c r="I845" s="106"/>
      <c r="J845" s="106"/>
      <c r="K845" s="106"/>
      <c r="L845" s="106"/>
      <c r="M845" s="106"/>
      <c r="N845" s="106"/>
      <c r="O845" s="106"/>
      <c r="P845" s="106"/>
      <c r="Q845" s="106"/>
      <c r="AB845" s="106"/>
      <c r="AR845" s="65"/>
      <c r="AS845" s="65"/>
      <c r="AT845" s="65"/>
      <c r="BC845" s="23"/>
      <c r="BD845" s="23"/>
      <c r="BE845" s="23"/>
      <c r="BF845" s="66"/>
    </row>
    <row r="846">
      <c r="G846" s="106"/>
      <c r="H846" s="105"/>
      <c r="I846" s="106"/>
      <c r="J846" s="106"/>
      <c r="K846" s="106"/>
      <c r="L846" s="106"/>
      <c r="M846" s="106"/>
      <c r="N846" s="106"/>
      <c r="O846" s="106"/>
      <c r="P846" s="106"/>
      <c r="Q846" s="106"/>
      <c r="AB846" s="106"/>
      <c r="AR846" s="65"/>
      <c r="AS846" s="65"/>
      <c r="AT846" s="65"/>
      <c r="BC846" s="23"/>
      <c r="BD846" s="23"/>
      <c r="BE846" s="23"/>
      <c r="BF846" s="66"/>
    </row>
    <row r="847">
      <c r="G847" s="106"/>
      <c r="H847" s="105"/>
      <c r="I847" s="106"/>
      <c r="J847" s="106"/>
      <c r="K847" s="106"/>
      <c r="L847" s="106"/>
      <c r="M847" s="106"/>
      <c r="N847" s="106"/>
      <c r="O847" s="106"/>
      <c r="P847" s="106"/>
      <c r="Q847" s="106"/>
      <c r="AB847" s="106"/>
      <c r="AR847" s="65"/>
      <c r="AS847" s="65"/>
      <c r="AT847" s="65"/>
      <c r="BC847" s="23"/>
      <c r="BD847" s="23"/>
      <c r="BE847" s="23"/>
      <c r="BF847" s="66"/>
    </row>
    <row r="848">
      <c r="G848" s="106"/>
      <c r="H848" s="105"/>
      <c r="I848" s="106"/>
      <c r="J848" s="106"/>
      <c r="K848" s="106"/>
      <c r="L848" s="106"/>
      <c r="M848" s="106"/>
      <c r="N848" s="106"/>
      <c r="O848" s="106"/>
      <c r="P848" s="106"/>
      <c r="Q848" s="106"/>
      <c r="AB848" s="106"/>
      <c r="AR848" s="65"/>
      <c r="AS848" s="65"/>
      <c r="AT848" s="65"/>
      <c r="BC848" s="23"/>
      <c r="BD848" s="23"/>
      <c r="BE848" s="23"/>
      <c r="BF848" s="66"/>
    </row>
    <row r="849">
      <c r="G849" s="106"/>
      <c r="H849" s="105"/>
      <c r="I849" s="106"/>
      <c r="J849" s="106"/>
      <c r="K849" s="106"/>
      <c r="L849" s="106"/>
      <c r="M849" s="106"/>
      <c r="N849" s="106"/>
      <c r="O849" s="106"/>
      <c r="P849" s="106"/>
      <c r="Q849" s="106"/>
      <c r="AB849" s="106"/>
      <c r="AR849" s="65"/>
      <c r="AS849" s="65"/>
      <c r="AT849" s="65"/>
      <c r="BC849" s="23"/>
      <c r="BD849" s="23"/>
      <c r="BE849" s="23"/>
      <c r="BF849" s="66"/>
    </row>
    <row r="850">
      <c r="G850" s="106"/>
      <c r="H850" s="105"/>
      <c r="I850" s="106"/>
      <c r="J850" s="106"/>
      <c r="K850" s="106"/>
      <c r="L850" s="106"/>
      <c r="M850" s="106"/>
      <c r="N850" s="106"/>
      <c r="O850" s="106"/>
      <c r="P850" s="106"/>
      <c r="Q850" s="106"/>
      <c r="AB850" s="106"/>
      <c r="AR850" s="65"/>
      <c r="AS850" s="65"/>
      <c r="AT850" s="65"/>
      <c r="BC850" s="23"/>
      <c r="BD850" s="23"/>
      <c r="BE850" s="23"/>
      <c r="BF850" s="66"/>
    </row>
    <row r="851">
      <c r="G851" s="106"/>
      <c r="H851" s="105"/>
      <c r="I851" s="106"/>
      <c r="J851" s="106"/>
      <c r="K851" s="106"/>
      <c r="L851" s="106"/>
      <c r="M851" s="106"/>
      <c r="N851" s="106"/>
      <c r="O851" s="106"/>
      <c r="P851" s="106"/>
      <c r="Q851" s="106"/>
      <c r="AB851" s="106"/>
      <c r="AR851" s="65"/>
      <c r="AS851" s="65"/>
      <c r="AT851" s="65"/>
      <c r="BC851" s="23"/>
      <c r="BD851" s="23"/>
      <c r="BE851" s="23"/>
      <c r="BF851" s="66"/>
    </row>
    <row r="852">
      <c r="G852" s="106"/>
      <c r="H852" s="105"/>
      <c r="I852" s="106"/>
      <c r="J852" s="106"/>
      <c r="K852" s="106"/>
      <c r="L852" s="106"/>
      <c r="M852" s="106"/>
      <c r="N852" s="106"/>
      <c r="O852" s="106"/>
      <c r="P852" s="106"/>
      <c r="Q852" s="106"/>
      <c r="AB852" s="106"/>
      <c r="AR852" s="65"/>
      <c r="AS852" s="65"/>
      <c r="AT852" s="65"/>
      <c r="BC852" s="23"/>
      <c r="BD852" s="23"/>
      <c r="BE852" s="23"/>
      <c r="BF852" s="66"/>
    </row>
    <row r="853">
      <c r="G853" s="106"/>
      <c r="H853" s="105"/>
      <c r="I853" s="106"/>
      <c r="J853" s="106"/>
      <c r="K853" s="106"/>
      <c r="L853" s="106"/>
      <c r="M853" s="106"/>
      <c r="N853" s="106"/>
      <c r="O853" s="106"/>
      <c r="P853" s="106"/>
      <c r="Q853" s="106"/>
      <c r="AB853" s="106"/>
      <c r="AR853" s="65"/>
      <c r="AS853" s="65"/>
      <c r="AT853" s="65"/>
      <c r="BC853" s="23"/>
      <c r="BD853" s="23"/>
      <c r="BE853" s="23"/>
      <c r="BF853" s="66"/>
    </row>
    <row r="854">
      <c r="G854" s="106"/>
      <c r="H854" s="105"/>
      <c r="I854" s="106"/>
      <c r="J854" s="106"/>
      <c r="K854" s="106"/>
      <c r="L854" s="106"/>
      <c r="M854" s="106"/>
      <c r="N854" s="106"/>
      <c r="O854" s="106"/>
      <c r="P854" s="106"/>
      <c r="Q854" s="106"/>
      <c r="AB854" s="106"/>
      <c r="AR854" s="65"/>
      <c r="AS854" s="65"/>
      <c r="AT854" s="65"/>
      <c r="BC854" s="23"/>
      <c r="BD854" s="23"/>
      <c r="BE854" s="23"/>
      <c r="BF854" s="66"/>
    </row>
    <row r="855">
      <c r="G855" s="106"/>
      <c r="H855" s="105"/>
      <c r="I855" s="106"/>
      <c r="J855" s="106"/>
      <c r="K855" s="106"/>
      <c r="L855" s="106"/>
      <c r="M855" s="106"/>
      <c r="N855" s="106"/>
      <c r="O855" s="106"/>
      <c r="P855" s="106"/>
      <c r="Q855" s="106"/>
      <c r="AB855" s="106"/>
      <c r="AR855" s="65"/>
      <c r="AS855" s="65"/>
      <c r="AT855" s="65"/>
      <c r="BC855" s="23"/>
      <c r="BD855" s="23"/>
      <c r="BE855" s="23"/>
      <c r="BF855" s="66"/>
    </row>
    <row r="856">
      <c r="G856" s="106"/>
      <c r="H856" s="105"/>
      <c r="I856" s="106"/>
      <c r="J856" s="106"/>
      <c r="K856" s="106"/>
      <c r="L856" s="106"/>
      <c r="M856" s="106"/>
      <c r="N856" s="106"/>
      <c r="O856" s="106"/>
      <c r="P856" s="106"/>
      <c r="Q856" s="106"/>
      <c r="AB856" s="106"/>
      <c r="AR856" s="65"/>
      <c r="AS856" s="65"/>
      <c r="AT856" s="65"/>
      <c r="BC856" s="23"/>
      <c r="BD856" s="23"/>
      <c r="BE856" s="23"/>
      <c r="BF856" s="66"/>
    </row>
    <row r="857">
      <c r="G857" s="106"/>
      <c r="H857" s="105"/>
      <c r="I857" s="106"/>
      <c r="J857" s="106"/>
      <c r="K857" s="106"/>
      <c r="L857" s="106"/>
      <c r="M857" s="106"/>
      <c r="N857" s="106"/>
      <c r="O857" s="106"/>
      <c r="P857" s="106"/>
      <c r="Q857" s="106"/>
      <c r="AB857" s="106"/>
      <c r="AR857" s="65"/>
      <c r="AS857" s="65"/>
      <c r="AT857" s="65"/>
      <c r="BC857" s="23"/>
      <c r="BD857" s="23"/>
      <c r="BE857" s="23"/>
      <c r="BF857" s="66"/>
    </row>
    <row r="858">
      <c r="G858" s="106"/>
      <c r="H858" s="105"/>
      <c r="I858" s="106"/>
      <c r="J858" s="106"/>
      <c r="K858" s="106"/>
      <c r="L858" s="106"/>
      <c r="M858" s="106"/>
      <c r="N858" s="106"/>
      <c r="O858" s="106"/>
      <c r="P858" s="106"/>
      <c r="Q858" s="106"/>
      <c r="AB858" s="106"/>
      <c r="AR858" s="65"/>
      <c r="AS858" s="65"/>
      <c r="AT858" s="65"/>
      <c r="BC858" s="23"/>
      <c r="BD858" s="23"/>
      <c r="BE858" s="23"/>
      <c r="BF858" s="66"/>
    </row>
    <row r="859">
      <c r="G859" s="106"/>
      <c r="H859" s="105"/>
      <c r="I859" s="106"/>
      <c r="J859" s="106"/>
      <c r="K859" s="106"/>
      <c r="L859" s="106"/>
      <c r="M859" s="106"/>
      <c r="N859" s="106"/>
      <c r="O859" s="106"/>
      <c r="P859" s="106"/>
      <c r="Q859" s="106"/>
      <c r="AB859" s="106"/>
      <c r="AR859" s="65"/>
      <c r="AS859" s="65"/>
      <c r="AT859" s="65"/>
      <c r="BC859" s="23"/>
      <c r="BD859" s="23"/>
      <c r="BE859" s="23"/>
      <c r="BF859" s="66"/>
    </row>
    <row r="860">
      <c r="G860" s="106"/>
      <c r="H860" s="105"/>
      <c r="I860" s="106"/>
      <c r="J860" s="106"/>
      <c r="K860" s="106"/>
      <c r="L860" s="106"/>
      <c r="M860" s="106"/>
      <c r="N860" s="106"/>
      <c r="O860" s="106"/>
      <c r="P860" s="106"/>
      <c r="Q860" s="106"/>
      <c r="AB860" s="106"/>
      <c r="AR860" s="65"/>
      <c r="AS860" s="65"/>
      <c r="AT860" s="65"/>
      <c r="BC860" s="23"/>
      <c r="BD860" s="23"/>
      <c r="BE860" s="23"/>
      <c r="BF860" s="66"/>
    </row>
    <row r="861">
      <c r="G861" s="106"/>
      <c r="H861" s="105"/>
      <c r="I861" s="106"/>
      <c r="J861" s="106"/>
      <c r="K861" s="106"/>
      <c r="L861" s="106"/>
      <c r="M861" s="106"/>
      <c r="N861" s="106"/>
      <c r="O861" s="106"/>
      <c r="P861" s="106"/>
      <c r="Q861" s="106"/>
      <c r="AB861" s="106"/>
      <c r="AR861" s="65"/>
      <c r="AS861" s="65"/>
      <c r="AT861" s="65"/>
      <c r="BC861" s="23"/>
      <c r="BD861" s="23"/>
      <c r="BE861" s="23"/>
      <c r="BF861" s="66"/>
    </row>
    <row r="862">
      <c r="G862" s="106"/>
      <c r="H862" s="105"/>
      <c r="I862" s="106"/>
      <c r="J862" s="106"/>
      <c r="K862" s="106"/>
      <c r="L862" s="106"/>
      <c r="M862" s="106"/>
      <c r="N862" s="106"/>
      <c r="O862" s="106"/>
      <c r="P862" s="106"/>
      <c r="Q862" s="106"/>
      <c r="AB862" s="106"/>
      <c r="AR862" s="65"/>
      <c r="AS862" s="65"/>
      <c r="AT862" s="65"/>
      <c r="BC862" s="23"/>
      <c r="BD862" s="23"/>
      <c r="BE862" s="23"/>
      <c r="BF862" s="66"/>
    </row>
    <row r="863">
      <c r="G863" s="106"/>
      <c r="H863" s="105"/>
      <c r="I863" s="106"/>
      <c r="J863" s="106"/>
      <c r="K863" s="106"/>
      <c r="L863" s="106"/>
      <c r="M863" s="106"/>
      <c r="N863" s="106"/>
      <c r="O863" s="106"/>
      <c r="P863" s="106"/>
      <c r="Q863" s="106"/>
      <c r="AB863" s="106"/>
      <c r="AR863" s="65"/>
      <c r="AS863" s="65"/>
      <c r="AT863" s="65"/>
      <c r="BC863" s="23"/>
      <c r="BD863" s="23"/>
      <c r="BE863" s="23"/>
      <c r="BF863" s="66"/>
    </row>
    <row r="864">
      <c r="G864" s="106"/>
      <c r="H864" s="105"/>
      <c r="I864" s="106"/>
      <c r="J864" s="106"/>
      <c r="K864" s="106"/>
      <c r="L864" s="106"/>
      <c r="M864" s="106"/>
      <c r="N864" s="106"/>
      <c r="O864" s="106"/>
      <c r="P864" s="106"/>
      <c r="Q864" s="106"/>
      <c r="AB864" s="106"/>
      <c r="AR864" s="65"/>
      <c r="AS864" s="65"/>
      <c r="AT864" s="65"/>
      <c r="BC864" s="23"/>
      <c r="BD864" s="23"/>
      <c r="BE864" s="23"/>
      <c r="BF864" s="66"/>
    </row>
    <row r="865">
      <c r="G865" s="106"/>
      <c r="H865" s="105"/>
      <c r="I865" s="106"/>
      <c r="J865" s="106"/>
      <c r="K865" s="106"/>
      <c r="L865" s="106"/>
      <c r="M865" s="106"/>
      <c r="N865" s="106"/>
      <c r="O865" s="106"/>
      <c r="P865" s="106"/>
      <c r="Q865" s="106"/>
      <c r="AB865" s="106"/>
      <c r="AR865" s="65"/>
      <c r="AS865" s="65"/>
      <c r="AT865" s="65"/>
      <c r="BC865" s="23"/>
      <c r="BD865" s="23"/>
      <c r="BE865" s="23"/>
      <c r="BF865" s="66"/>
    </row>
    <row r="866">
      <c r="G866" s="106"/>
      <c r="H866" s="105"/>
      <c r="I866" s="106"/>
      <c r="J866" s="106"/>
      <c r="K866" s="106"/>
      <c r="L866" s="106"/>
      <c r="M866" s="106"/>
      <c r="N866" s="106"/>
      <c r="O866" s="106"/>
      <c r="P866" s="106"/>
      <c r="Q866" s="106"/>
      <c r="AB866" s="106"/>
      <c r="AR866" s="65"/>
      <c r="AS866" s="65"/>
      <c r="AT866" s="65"/>
      <c r="BC866" s="23"/>
      <c r="BD866" s="23"/>
      <c r="BE866" s="23"/>
      <c r="BF866" s="66"/>
    </row>
    <row r="867">
      <c r="G867" s="106"/>
      <c r="H867" s="105"/>
      <c r="I867" s="106"/>
      <c r="J867" s="106"/>
      <c r="K867" s="106"/>
      <c r="L867" s="106"/>
      <c r="M867" s="106"/>
      <c r="N867" s="106"/>
      <c r="O867" s="106"/>
      <c r="P867" s="106"/>
      <c r="Q867" s="106"/>
      <c r="AB867" s="106"/>
      <c r="AR867" s="65"/>
      <c r="AS867" s="65"/>
      <c r="AT867" s="65"/>
      <c r="BC867" s="23"/>
      <c r="BD867" s="23"/>
      <c r="BE867" s="23"/>
      <c r="BF867" s="66"/>
    </row>
    <row r="868">
      <c r="G868" s="106"/>
      <c r="H868" s="105"/>
      <c r="I868" s="106"/>
      <c r="J868" s="106"/>
      <c r="K868" s="106"/>
      <c r="L868" s="106"/>
      <c r="M868" s="106"/>
      <c r="N868" s="106"/>
      <c r="O868" s="106"/>
      <c r="P868" s="106"/>
      <c r="Q868" s="106"/>
      <c r="AB868" s="106"/>
      <c r="AR868" s="65"/>
      <c r="AS868" s="65"/>
      <c r="AT868" s="65"/>
      <c r="BC868" s="23"/>
      <c r="BD868" s="23"/>
      <c r="BE868" s="23"/>
      <c r="BF868" s="66"/>
    </row>
    <row r="869">
      <c r="G869" s="106"/>
      <c r="H869" s="105"/>
      <c r="I869" s="106"/>
      <c r="J869" s="106"/>
      <c r="K869" s="106"/>
      <c r="L869" s="106"/>
      <c r="M869" s="106"/>
      <c r="N869" s="106"/>
      <c r="O869" s="106"/>
      <c r="P869" s="106"/>
      <c r="Q869" s="106"/>
      <c r="AB869" s="106"/>
      <c r="AR869" s="65"/>
      <c r="AS869" s="65"/>
      <c r="AT869" s="65"/>
      <c r="BC869" s="23"/>
      <c r="BD869" s="23"/>
      <c r="BE869" s="23"/>
      <c r="BF869" s="66"/>
    </row>
    <row r="870">
      <c r="G870" s="106"/>
      <c r="H870" s="105"/>
      <c r="I870" s="106"/>
      <c r="J870" s="106"/>
      <c r="K870" s="106"/>
      <c r="L870" s="106"/>
      <c r="M870" s="106"/>
      <c r="N870" s="106"/>
      <c r="O870" s="106"/>
      <c r="P870" s="106"/>
      <c r="Q870" s="106"/>
      <c r="AB870" s="106"/>
      <c r="AR870" s="65"/>
      <c r="AS870" s="65"/>
      <c r="AT870" s="65"/>
      <c r="BC870" s="23"/>
      <c r="BD870" s="23"/>
      <c r="BE870" s="23"/>
      <c r="BF870" s="66"/>
    </row>
    <row r="871">
      <c r="G871" s="106"/>
      <c r="H871" s="105"/>
      <c r="I871" s="106"/>
      <c r="J871" s="106"/>
      <c r="K871" s="106"/>
      <c r="L871" s="106"/>
      <c r="M871" s="106"/>
      <c r="N871" s="106"/>
      <c r="O871" s="106"/>
      <c r="P871" s="106"/>
      <c r="Q871" s="106"/>
      <c r="AB871" s="106"/>
      <c r="AR871" s="65"/>
      <c r="AS871" s="65"/>
      <c r="AT871" s="65"/>
      <c r="BC871" s="23"/>
      <c r="BD871" s="23"/>
      <c r="BE871" s="23"/>
      <c r="BF871" s="66"/>
    </row>
    <row r="872">
      <c r="G872" s="106"/>
      <c r="H872" s="105"/>
      <c r="I872" s="106"/>
      <c r="J872" s="106"/>
      <c r="K872" s="106"/>
      <c r="L872" s="106"/>
      <c r="M872" s="106"/>
      <c r="N872" s="106"/>
      <c r="O872" s="106"/>
      <c r="P872" s="106"/>
      <c r="Q872" s="106"/>
      <c r="AB872" s="106"/>
      <c r="AR872" s="65"/>
      <c r="AS872" s="65"/>
      <c r="AT872" s="65"/>
      <c r="BC872" s="23"/>
      <c r="BD872" s="23"/>
      <c r="BE872" s="23"/>
      <c r="BF872" s="66"/>
    </row>
    <row r="873">
      <c r="G873" s="106"/>
      <c r="H873" s="105"/>
      <c r="I873" s="106"/>
      <c r="J873" s="106"/>
      <c r="K873" s="106"/>
      <c r="L873" s="106"/>
      <c r="M873" s="106"/>
      <c r="N873" s="106"/>
      <c r="O873" s="106"/>
      <c r="P873" s="106"/>
      <c r="Q873" s="106"/>
      <c r="AB873" s="106"/>
      <c r="AR873" s="65"/>
      <c r="AS873" s="65"/>
      <c r="AT873" s="65"/>
      <c r="BC873" s="23"/>
      <c r="BD873" s="23"/>
      <c r="BE873" s="23"/>
      <c r="BF873" s="66"/>
    </row>
    <row r="874">
      <c r="G874" s="106"/>
      <c r="H874" s="105"/>
      <c r="I874" s="106"/>
      <c r="J874" s="106"/>
      <c r="K874" s="106"/>
      <c r="L874" s="106"/>
      <c r="M874" s="106"/>
      <c r="N874" s="106"/>
      <c r="O874" s="106"/>
      <c r="P874" s="106"/>
      <c r="Q874" s="106"/>
      <c r="AB874" s="106"/>
      <c r="AR874" s="65"/>
      <c r="AS874" s="65"/>
      <c r="AT874" s="65"/>
      <c r="BC874" s="23"/>
      <c r="BD874" s="23"/>
      <c r="BE874" s="23"/>
      <c r="BF874" s="66"/>
    </row>
    <row r="875">
      <c r="G875" s="106"/>
      <c r="H875" s="105"/>
      <c r="I875" s="106"/>
      <c r="J875" s="106"/>
      <c r="K875" s="106"/>
      <c r="L875" s="106"/>
      <c r="M875" s="106"/>
      <c r="N875" s="106"/>
      <c r="O875" s="106"/>
      <c r="P875" s="106"/>
      <c r="Q875" s="106"/>
      <c r="AB875" s="106"/>
      <c r="AR875" s="65"/>
      <c r="AS875" s="65"/>
      <c r="AT875" s="65"/>
      <c r="BC875" s="23"/>
      <c r="BD875" s="23"/>
      <c r="BE875" s="23"/>
      <c r="BF875" s="66"/>
    </row>
    <row r="876">
      <c r="G876" s="106"/>
      <c r="H876" s="105"/>
      <c r="I876" s="106"/>
      <c r="J876" s="106"/>
      <c r="K876" s="106"/>
      <c r="L876" s="106"/>
      <c r="M876" s="106"/>
      <c r="N876" s="106"/>
      <c r="O876" s="106"/>
      <c r="P876" s="106"/>
      <c r="Q876" s="106"/>
      <c r="AB876" s="106"/>
      <c r="AR876" s="65"/>
      <c r="AS876" s="65"/>
      <c r="AT876" s="65"/>
      <c r="BC876" s="23"/>
      <c r="BD876" s="23"/>
      <c r="BE876" s="23"/>
      <c r="BF876" s="66"/>
    </row>
    <row r="877">
      <c r="G877" s="106"/>
      <c r="H877" s="105"/>
      <c r="I877" s="106"/>
      <c r="J877" s="106"/>
      <c r="K877" s="106"/>
      <c r="L877" s="106"/>
      <c r="M877" s="106"/>
      <c r="N877" s="106"/>
      <c r="O877" s="106"/>
      <c r="P877" s="106"/>
      <c r="Q877" s="106"/>
      <c r="AB877" s="106"/>
      <c r="AR877" s="65"/>
      <c r="AS877" s="65"/>
      <c r="AT877" s="65"/>
      <c r="BC877" s="23"/>
      <c r="BD877" s="23"/>
      <c r="BE877" s="23"/>
      <c r="BF877" s="66"/>
    </row>
    <row r="878">
      <c r="G878" s="106"/>
      <c r="H878" s="105"/>
      <c r="I878" s="106"/>
      <c r="J878" s="106"/>
      <c r="K878" s="106"/>
      <c r="L878" s="106"/>
      <c r="M878" s="106"/>
      <c r="N878" s="106"/>
      <c r="O878" s="106"/>
      <c r="P878" s="106"/>
      <c r="Q878" s="106"/>
      <c r="AB878" s="106"/>
      <c r="AR878" s="65"/>
      <c r="AS878" s="65"/>
      <c r="AT878" s="65"/>
      <c r="BC878" s="23"/>
      <c r="BD878" s="23"/>
      <c r="BE878" s="23"/>
      <c r="BF878" s="66"/>
    </row>
    <row r="879">
      <c r="G879" s="106"/>
      <c r="H879" s="105"/>
      <c r="I879" s="106"/>
      <c r="J879" s="106"/>
      <c r="K879" s="106"/>
      <c r="L879" s="106"/>
      <c r="M879" s="106"/>
      <c r="N879" s="106"/>
      <c r="O879" s="106"/>
      <c r="P879" s="106"/>
      <c r="Q879" s="106"/>
      <c r="AB879" s="106"/>
      <c r="AR879" s="65"/>
      <c r="AS879" s="65"/>
      <c r="AT879" s="65"/>
      <c r="BC879" s="23"/>
      <c r="BD879" s="23"/>
      <c r="BE879" s="23"/>
      <c r="BF879" s="66"/>
    </row>
    <row r="880">
      <c r="G880" s="106"/>
      <c r="H880" s="105"/>
      <c r="I880" s="106"/>
      <c r="J880" s="106"/>
      <c r="K880" s="106"/>
      <c r="L880" s="106"/>
      <c r="M880" s="106"/>
      <c r="N880" s="106"/>
      <c r="O880" s="106"/>
      <c r="P880" s="106"/>
      <c r="Q880" s="106"/>
      <c r="AB880" s="106"/>
      <c r="AR880" s="65"/>
      <c r="AS880" s="65"/>
      <c r="AT880" s="65"/>
      <c r="BC880" s="23"/>
      <c r="BD880" s="23"/>
      <c r="BE880" s="23"/>
      <c r="BF880" s="66"/>
    </row>
    <row r="881">
      <c r="G881" s="106"/>
      <c r="H881" s="105"/>
      <c r="I881" s="106"/>
      <c r="J881" s="106"/>
      <c r="K881" s="106"/>
      <c r="L881" s="106"/>
      <c r="M881" s="106"/>
      <c r="N881" s="106"/>
      <c r="O881" s="106"/>
      <c r="P881" s="106"/>
      <c r="Q881" s="106"/>
      <c r="AB881" s="106"/>
      <c r="AR881" s="65"/>
      <c r="AS881" s="65"/>
      <c r="AT881" s="65"/>
      <c r="BC881" s="23"/>
      <c r="BD881" s="23"/>
      <c r="BE881" s="23"/>
      <c r="BF881" s="66"/>
    </row>
    <row r="882">
      <c r="G882" s="106"/>
      <c r="H882" s="105"/>
      <c r="I882" s="106"/>
      <c r="J882" s="106"/>
      <c r="K882" s="106"/>
      <c r="L882" s="106"/>
      <c r="M882" s="106"/>
      <c r="N882" s="106"/>
      <c r="O882" s="106"/>
      <c r="P882" s="106"/>
      <c r="Q882" s="106"/>
      <c r="AB882" s="106"/>
      <c r="AR882" s="65"/>
      <c r="AS882" s="65"/>
      <c r="AT882" s="65"/>
      <c r="BC882" s="23"/>
      <c r="BD882" s="23"/>
      <c r="BE882" s="23"/>
      <c r="BF882" s="66"/>
    </row>
    <row r="883">
      <c r="G883" s="106"/>
      <c r="H883" s="105"/>
      <c r="I883" s="106"/>
      <c r="J883" s="106"/>
      <c r="K883" s="106"/>
      <c r="L883" s="106"/>
      <c r="M883" s="106"/>
      <c r="N883" s="106"/>
      <c r="O883" s="106"/>
      <c r="P883" s="106"/>
      <c r="Q883" s="106"/>
      <c r="AB883" s="106"/>
      <c r="AR883" s="65"/>
      <c r="AS883" s="65"/>
      <c r="AT883" s="65"/>
      <c r="BC883" s="23"/>
      <c r="BD883" s="23"/>
      <c r="BE883" s="23"/>
      <c r="BF883" s="66"/>
    </row>
    <row r="884">
      <c r="G884" s="106"/>
      <c r="H884" s="105"/>
      <c r="I884" s="106"/>
      <c r="J884" s="106"/>
      <c r="K884" s="106"/>
      <c r="L884" s="106"/>
      <c r="M884" s="106"/>
      <c r="N884" s="106"/>
      <c r="O884" s="106"/>
      <c r="P884" s="106"/>
      <c r="Q884" s="106"/>
      <c r="AB884" s="106"/>
      <c r="AR884" s="65"/>
      <c r="AS884" s="65"/>
      <c r="AT884" s="65"/>
      <c r="BC884" s="23"/>
      <c r="BD884" s="23"/>
      <c r="BE884" s="23"/>
      <c r="BF884" s="66"/>
    </row>
    <row r="885">
      <c r="G885" s="106"/>
      <c r="H885" s="105"/>
      <c r="I885" s="106"/>
      <c r="J885" s="106"/>
      <c r="K885" s="106"/>
      <c r="L885" s="106"/>
      <c r="M885" s="106"/>
      <c r="N885" s="106"/>
      <c r="O885" s="106"/>
      <c r="P885" s="106"/>
      <c r="Q885" s="106"/>
      <c r="AB885" s="106"/>
      <c r="AR885" s="65"/>
      <c r="AS885" s="65"/>
      <c r="AT885" s="65"/>
      <c r="BC885" s="23"/>
      <c r="BD885" s="23"/>
      <c r="BE885" s="23"/>
      <c r="BF885" s="66"/>
    </row>
    <row r="886">
      <c r="G886" s="106"/>
      <c r="H886" s="105"/>
      <c r="I886" s="106"/>
      <c r="J886" s="106"/>
      <c r="K886" s="106"/>
      <c r="L886" s="106"/>
      <c r="M886" s="106"/>
      <c r="N886" s="106"/>
      <c r="O886" s="106"/>
      <c r="P886" s="106"/>
      <c r="Q886" s="106"/>
      <c r="AB886" s="106"/>
      <c r="AR886" s="65"/>
      <c r="AS886" s="65"/>
      <c r="AT886" s="65"/>
      <c r="BC886" s="23"/>
      <c r="BD886" s="23"/>
      <c r="BE886" s="23"/>
      <c r="BF886" s="66"/>
    </row>
    <row r="887">
      <c r="G887" s="106"/>
      <c r="H887" s="105"/>
      <c r="I887" s="106"/>
      <c r="J887" s="106"/>
      <c r="K887" s="106"/>
      <c r="L887" s="106"/>
      <c r="M887" s="106"/>
      <c r="N887" s="106"/>
      <c r="O887" s="106"/>
      <c r="P887" s="106"/>
      <c r="Q887" s="106"/>
      <c r="AB887" s="106"/>
      <c r="AR887" s="65"/>
      <c r="AS887" s="65"/>
      <c r="AT887" s="65"/>
      <c r="BC887" s="23"/>
      <c r="BD887" s="23"/>
      <c r="BE887" s="23"/>
      <c r="BF887" s="66"/>
    </row>
    <row r="888">
      <c r="G888" s="106"/>
      <c r="H888" s="105"/>
      <c r="I888" s="106"/>
      <c r="J888" s="106"/>
      <c r="K888" s="106"/>
      <c r="L888" s="106"/>
      <c r="M888" s="106"/>
      <c r="N888" s="106"/>
      <c r="O888" s="106"/>
      <c r="P888" s="106"/>
      <c r="Q888" s="106"/>
      <c r="AB888" s="106"/>
      <c r="AR888" s="65"/>
      <c r="AS888" s="65"/>
      <c r="AT888" s="65"/>
      <c r="BC888" s="23"/>
      <c r="BD888" s="23"/>
      <c r="BE888" s="23"/>
      <c r="BF888" s="66"/>
    </row>
    <row r="889">
      <c r="G889" s="106"/>
      <c r="H889" s="105"/>
      <c r="I889" s="106"/>
      <c r="J889" s="106"/>
      <c r="K889" s="106"/>
      <c r="L889" s="106"/>
      <c r="M889" s="106"/>
      <c r="N889" s="106"/>
      <c r="O889" s="106"/>
      <c r="P889" s="106"/>
      <c r="Q889" s="106"/>
      <c r="AB889" s="106"/>
      <c r="AR889" s="65"/>
      <c r="AS889" s="65"/>
      <c r="AT889" s="65"/>
      <c r="BC889" s="23"/>
      <c r="BD889" s="23"/>
      <c r="BE889" s="23"/>
      <c r="BF889" s="66"/>
    </row>
    <row r="890">
      <c r="G890" s="106"/>
      <c r="H890" s="105"/>
      <c r="I890" s="106"/>
      <c r="J890" s="106"/>
      <c r="K890" s="106"/>
      <c r="L890" s="106"/>
      <c r="M890" s="106"/>
      <c r="N890" s="106"/>
      <c r="O890" s="106"/>
      <c r="P890" s="106"/>
      <c r="Q890" s="106"/>
      <c r="AB890" s="106"/>
      <c r="AR890" s="65"/>
      <c r="AS890" s="65"/>
      <c r="AT890" s="65"/>
      <c r="BC890" s="23"/>
      <c r="BD890" s="23"/>
      <c r="BE890" s="23"/>
      <c r="BF890" s="66"/>
    </row>
    <row r="891">
      <c r="G891" s="106"/>
      <c r="H891" s="105"/>
      <c r="I891" s="106"/>
      <c r="J891" s="106"/>
      <c r="K891" s="106"/>
      <c r="L891" s="106"/>
      <c r="M891" s="106"/>
      <c r="N891" s="106"/>
      <c r="O891" s="106"/>
      <c r="P891" s="106"/>
      <c r="Q891" s="106"/>
      <c r="AB891" s="106"/>
      <c r="AR891" s="65"/>
      <c r="AS891" s="65"/>
      <c r="AT891" s="65"/>
      <c r="BC891" s="23"/>
      <c r="BD891" s="23"/>
      <c r="BE891" s="23"/>
      <c r="BF891" s="66"/>
    </row>
    <row r="892">
      <c r="G892" s="106"/>
      <c r="H892" s="105"/>
      <c r="I892" s="106"/>
      <c r="J892" s="106"/>
      <c r="K892" s="106"/>
      <c r="L892" s="106"/>
      <c r="M892" s="106"/>
      <c r="N892" s="106"/>
      <c r="O892" s="106"/>
      <c r="P892" s="106"/>
      <c r="Q892" s="106"/>
      <c r="AB892" s="106"/>
      <c r="AR892" s="65"/>
      <c r="AS892" s="65"/>
      <c r="AT892" s="65"/>
      <c r="BC892" s="23"/>
      <c r="BD892" s="23"/>
      <c r="BE892" s="23"/>
      <c r="BF892" s="66"/>
    </row>
    <row r="893">
      <c r="G893" s="106"/>
      <c r="H893" s="105"/>
      <c r="I893" s="106"/>
      <c r="J893" s="106"/>
      <c r="K893" s="106"/>
      <c r="L893" s="106"/>
      <c r="M893" s="106"/>
      <c r="N893" s="106"/>
      <c r="O893" s="106"/>
      <c r="P893" s="106"/>
      <c r="Q893" s="106"/>
      <c r="AB893" s="106"/>
      <c r="AR893" s="65"/>
      <c r="AS893" s="65"/>
      <c r="AT893" s="65"/>
      <c r="BC893" s="23"/>
      <c r="BD893" s="23"/>
      <c r="BE893" s="23"/>
      <c r="BF893" s="66"/>
    </row>
    <row r="894">
      <c r="G894" s="106"/>
      <c r="H894" s="105"/>
      <c r="I894" s="106"/>
      <c r="J894" s="106"/>
      <c r="K894" s="106"/>
      <c r="L894" s="106"/>
      <c r="M894" s="106"/>
      <c r="N894" s="106"/>
      <c r="O894" s="106"/>
      <c r="P894" s="106"/>
      <c r="Q894" s="106"/>
      <c r="AB894" s="106"/>
      <c r="AR894" s="65"/>
      <c r="AS894" s="65"/>
      <c r="AT894" s="65"/>
      <c r="BC894" s="23"/>
      <c r="BD894" s="23"/>
      <c r="BE894" s="23"/>
      <c r="BF894" s="66"/>
    </row>
    <row r="895">
      <c r="G895" s="106"/>
      <c r="H895" s="105"/>
      <c r="I895" s="106"/>
      <c r="J895" s="106"/>
      <c r="K895" s="106"/>
      <c r="L895" s="106"/>
      <c r="M895" s="106"/>
      <c r="N895" s="106"/>
      <c r="O895" s="106"/>
      <c r="P895" s="106"/>
      <c r="Q895" s="106"/>
      <c r="AB895" s="106"/>
      <c r="AR895" s="65"/>
      <c r="AS895" s="65"/>
      <c r="AT895" s="65"/>
      <c r="BC895" s="23"/>
      <c r="BD895" s="23"/>
      <c r="BE895" s="23"/>
      <c r="BF895" s="66"/>
    </row>
    <row r="896">
      <c r="G896" s="106"/>
      <c r="H896" s="105"/>
      <c r="I896" s="106"/>
      <c r="J896" s="106"/>
      <c r="K896" s="106"/>
      <c r="L896" s="106"/>
      <c r="M896" s="106"/>
      <c r="N896" s="106"/>
      <c r="O896" s="106"/>
      <c r="P896" s="106"/>
      <c r="Q896" s="106"/>
      <c r="AB896" s="106"/>
      <c r="AR896" s="65"/>
      <c r="AS896" s="65"/>
      <c r="AT896" s="65"/>
      <c r="BC896" s="23"/>
      <c r="BD896" s="23"/>
      <c r="BE896" s="23"/>
      <c r="BF896" s="66"/>
    </row>
    <row r="897">
      <c r="G897" s="106"/>
      <c r="H897" s="105"/>
      <c r="I897" s="106"/>
      <c r="J897" s="106"/>
      <c r="K897" s="106"/>
      <c r="L897" s="106"/>
      <c r="M897" s="106"/>
      <c r="N897" s="106"/>
      <c r="O897" s="106"/>
      <c r="P897" s="106"/>
      <c r="Q897" s="106"/>
      <c r="AB897" s="106"/>
      <c r="AR897" s="65"/>
      <c r="AS897" s="65"/>
      <c r="AT897" s="65"/>
      <c r="BC897" s="23"/>
      <c r="BD897" s="23"/>
      <c r="BE897" s="23"/>
      <c r="BF897" s="66"/>
    </row>
    <row r="898">
      <c r="G898" s="106"/>
      <c r="H898" s="105"/>
      <c r="I898" s="106"/>
      <c r="J898" s="106"/>
      <c r="K898" s="106"/>
      <c r="L898" s="106"/>
      <c r="M898" s="106"/>
      <c r="N898" s="106"/>
      <c r="O898" s="106"/>
      <c r="P898" s="106"/>
      <c r="Q898" s="106"/>
      <c r="AB898" s="106"/>
      <c r="AR898" s="65"/>
      <c r="AS898" s="65"/>
      <c r="AT898" s="65"/>
      <c r="BC898" s="23"/>
      <c r="BD898" s="23"/>
      <c r="BE898" s="23"/>
      <c r="BF898" s="66"/>
    </row>
    <row r="899">
      <c r="G899" s="106"/>
      <c r="H899" s="105"/>
      <c r="I899" s="106"/>
      <c r="J899" s="106"/>
      <c r="K899" s="106"/>
      <c r="L899" s="106"/>
      <c r="M899" s="106"/>
      <c r="N899" s="106"/>
      <c r="O899" s="106"/>
      <c r="P899" s="106"/>
      <c r="Q899" s="106"/>
      <c r="AB899" s="106"/>
      <c r="AR899" s="65"/>
      <c r="AS899" s="65"/>
      <c r="AT899" s="65"/>
      <c r="BC899" s="23"/>
      <c r="BD899" s="23"/>
      <c r="BE899" s="23"/>
      <c r="BF899" s="66"/>
    </row>
    <row r="900">
      <c r="G900" s="106"/>
      <c r="H900" s="105"/>
      <c r="I900" s="106"/>
      <c r="J900" s="106"/>
      <c r="K900" s="106"/>
      <c r="L900" s="106"/>
      <c r="M900" s="106"/>
      <c r="N900" s="106"/>
      <c r="O900" s="106"/>
      <c r="P900" s="106"/>
      <c r="Q900" s="106"/>
      <c r="AB900" s="106"/>
      <c r="AR900" s="65"/>
      <c r="AS900" s="65"/>
      <c r="AT900" s="65"/>
      <c r="BC900" s="23"/>
      <c r="BD900" s="23"/>
      <c r="BE900" s="23"/>
      <c r="BF900" s="66"/>
    </row>
    <row r="901">
      <c r="G901" s="106"/>
      <c r="H901" s="105"/>
      <c r="I901" s="106"/>
      <c r="J901" s="106"/>
      <c r="K901" s="106"/>
      <c r="L901" s="106"/>
      <c r="M901" s="106"/>
      <c r="N901" s="106"/>
      <c r="O901" s="106"/>
      <c r="P901" s="106"/>
      <c r="Q901" s="106"/>
      <c r="AB901" s="106"/>
      <c r="AR901" s="65"/>
      <c r="AS901" s="65"/>
      <c r="AT901" s="65"/>
      <c r="BC901" s="23"/>
      <c r="BD901" s="23"/>
      <c r="BE901" s="23"/>
      <c r="BF901" s="66"/>
    </row>
    <row r="902">
      <c r="G902" s="106"/>
      <c r="H902" s="105"/>
      <c r="I902" s="106"/>
      <c r="J902" s="106"/>
      <c r="K902" s="106"/>
      <c r="L902" s="106"/>
      <c r="M902" s="106"/>
      <c r="N902" s="106"/>
      <c r="O902" s="106"/>
      <c r="P902" s="106"/>
      <c r="Q902" s="106"/>
      <c r="AB902" s="106"/>
      <c r="AR902" s="65"/>
      <c r="AS902" s="65"/>
      <c r="AT902" s="65"/>
      <c r="BC902" s="23"/>
      <c r="BD902" s="23"/>
      <c r="BE902" s="23"/>
      <c r="BF902" s="66"/>
    </row>
    <row r="903">
      <c r="G903" s="106"/>
      <c r="H903" s="105"/>
      <c r="I903" s="106"/>
      <c r="J903" s="106"/>
      <c r="K903" s="106"/>
      <c r="L903" s="106"/>
      <c r="M903" s="106"/>
      <c r="N903" s="106"/>
      <c r="O903" s="106"/>
      <c r="P903" s="106"/>
      <c r="Q903" s="106"/>
      <c r="AB903" s="106"/>
      <c r="AR903" s="65"/>
      <c r="AS903" s="65"/>
      <c r="AT903" s="65"/>
      <c r="BC903" s="23"/>
      <c r="BD903" s="23"/>
      <c r="BE903" s="23"/>
      <c r="BF903" s="66"/>
    </row>
    <row r="904">
      <c r="G904" s="106"/>
      <c r="H904" s="105"/>
      <c r="I904" s="106"/>
      <c r="J904" s="106"/>
      <c r="K904" s="106"/>
      <c r="L904" s="106"/>
      <c r="M904" s="106"/>
      <c r="N904" s="106"/>
      <c r="O904" s="106"/>
      <c r="P904" s="106"/>
      <c r="Q904" s="106"/>
      <c r="AB904" s="106"/>
      <c r="AR904" s="65"/>
      <c r="AS904" s="65"/>
      <c r="AT904" s="65"/>
      <c r="BC904" s="23"/>
      <c r="BD904" s="23"/>
      <c r="BE904" s="23"/>
      <c r="BF904" s="66"/>
    </row>
    <row r="905">
      <c r="G905" s="106"/>
      <c r="H905" s="105"/>
      <c r="I905" s="106"/>
      <c r="J905" s="106"/>
      <c r="K905" s="106"/>
      <c r="L905" s="106"/>
      <c r="M905" s="106"/>
      <c r="N905" s="106"/>
      <c r="O905" s="106"/>
      <c r="P905" s="106"/>
      <c r="Q905" s="106"/>
      <c r="AB905" s="106"/>
      <c r="AR905" s="65"/>
      <c r="AS905" s="65"/>
      <c r="AT905" s="65"/>
      <c r="BC905" s="23"/>
      <c r="BD905" s="23"/>
      <c r="BE905" s="23"/>
      <c r="BF905" s="66"/>
    </row>
    <row r="906">
      <c r="G906" s="106"/>
      <c r="H906" s="105"/>
      <c r="I906" s="106"/>
      <c r="J906" s="106"/>
      <c r="K906" s="106"/>
      <c r="L906" s="106"/>
      <c r="M906" s="106"/>
      <c r="N906" s="106"/>
      <c r="O906" s="106"/>
      <c r="P906" s="106"/>
      <c r="Q906" s="106"/>
      <c r="AB906" s="106"/>
      <c r="AR906" s="65"/>
      <c r="AS906" s="65"/>
      <c r="AT906" s="65"/>
      <c r="BC906" s="23"/>
      <c r="BD906" s="23"/>
      <c r="BE906" s="23"/>
      <c r="BF906" s="66"/>
    </row>
    <row r="907">
      <c r="G907" s="106"/>
      <c r="H907" s="105"/>
      <c r="I907" s="106"/>
      <c r="J907" s="106"/>
      <c r="K907" s="106"/>
      <c r="L907" s="106"/>
      <c r="M907" s="106"/>
      <c r="N907" s="106"/>
      <c r="O907" s="106"/>
      <c r="P907" s="106"/>
      <c r="Q907" s="106"/>
      <c r="AB907" s="106"/>
      <c r="AR907" s="65"/>
      <c r="AS907" s="65"/>
      <c r="AT907" s="65"/>
      <c r="BC907" s="23"/>
      <c r="BD907" s="23"/>
      <c r="BE907" s="23"/>
      <c r="BF907" s="66"/>
    </row>
    <row r="908">
      <c r="G908" s="106"/>
      <c r="H908" s="105"/>
      <c r="I908" s="106"/>
      <c r="J908" s="106"/>
      <c r="K908" s="106"/>
      <c r="L908" s="106"/>
      <c r="M908" s="106"/>
      <c r="N908" s="106"/>
      <c r="O908" s="106"/>
      <c r="P908" s="106"/>
      <c r="Q908" s="106"/>
      <c r="AB908" s="106"/>
      <c r="AR908" s="65"/>
      <c r="AS908" s="65"/>
      <c r="AT908" s="65"/>
      <c r="BC908" s="23"/>
      <c r="BD908" s="23"/>
      <c r="BE908" s="23"/>
      <c r="BF908" s="66"/>
    </row>
    <row r="909">
      <c r="G909" s="106"/>
      <c r="H909" s="105"/>
      <c r="I909" s="106"/>
      <c r="J909" s="106"/>
      <c r="K909" s="106"/>
      <c r="L909" s="106"/>
      <c r="M909" s="106"/>
      <c r="N909" s="106"/>
      <c r="O909" s="106"/>
      <c r="P909" s="106"/>
      <c r="Q909" s="106"/>
      <c r="AB909" s="106"/>
      <c r="AR909" s="65"/>
      <c r="AS909" s="65"/>
      <c r="AT909" s="65"/>
      <c r="BC909" s="23"/>
      <c r="BD909" s="23"/>
      <c r="BE909" s="23"/>
      <c r="BF909" s="66"/>
    </row>
    <row r="910">
      <c r="G910" s="106"/>
      <c r="H910" s="105"/>
      <c r="I910" s="106"/>
      <c r="J910" s="106"/>
      <c r="K910" s="106"/>
      <c r="L910" s="106"/>
      <c r="M910" s="106"/>
      <c r="N910" s="106"/>
      <c r="O910" s="106"/>
      <c r="P910" s="106"/>
      <c r="Q910" s="106"/>
      <c r="AB910" s="106"/>
      <c r="AR910" s="65"/>
      <c r="AS910" s="65"/>
      <c r="AT910" s="65"/>
      <c r="BC910" s="23"/>
      <c r="BD910" s="23"/>
      <c r="BE910" s="23"/>
      <c r="BF910" s="66"/>
    </row>
    <row r="911">
      <c r="G911" s="106"/>
      <c r="H911" s="105"/>
      <c r="I911" s="106"/>
      <c r="J911" s="106"/>
      <c r="K911" s="106"/>
      <c r="L911" s="106"/>
      <c r="M911" s="106"/>
      <c r="N911" s="106"/>
      <c r="O911" s="106"/>
      <c r="P911" s="106"/>
      <c r="Q911" s="106"/>
      <c r="AB911" s="106"/>
      <c r="AR911" s="65"/>
      <c r="AS911" s="65"/>
      <c r="AT911" s="65"/>
      <c r="BC911" s="23"/>
      <c r="BD911" s="23"/>
      <c r="BE911" s="23"/>
      <c r="BF911" s="66"/>
    </row>
    <row r="912">
      <c r="G912" s="106"/>
      <c r="H912" s="105"/>
      <c r="I912" s="106"/>
      <c r="J912" s="106"/>
      <c r="K912" s="106"/>
      <c r="L912" s="106"/>
      <c r="M912" s="106"/>
      <c r="N912" s="106"/>
      <c r="O912" s="106"/>
      <c r="P912" s="106"/>
      <c r="Q912" s="106"/>
      <c r="AB912" s="106"/>
      <c r="AR912" s="65"/>
      <c r="AS912" s="65"/>
      <c r="AT912" s="65"/>
      <c r="BC912" s="23"/>
      <c r="BD912" s="23"/>
      <c r="BE912" s="23"/>
      <c r="BF912" s="66"/>
    </row>
    <row r="913">
      <c r="G913" s="106"/>
      <c r="H913" s="105"/>
      <c r="I913" s="106"/>
      <c r="J913" s="106"/>
      <c r="K913" s="106"/>
      <c r="L913" s="106"/>
      <c r="M913" s="106"/>
      <c r="N913" s="106"/>
      <c r="O913" s="106"/>
      <c r="P913" s="106"/>
      <c r="Q913" s="106"/>
      <c r="AB913" s="106"/>
      <c r="AR913" s="65"/>
      <c r="AS913" s="65"/>
      <c r="AT913" s="65"/>
      <c r="BC913" s="23"/>
      <c r="BD913" s="23"/>
      <c r="BE913" s="23"/>
      <c r="BF913" s="66"/>
    </row>
    <row r="914">
      <c r="G914" s="106"/>
      <c r="H914" s="105"/>
      <c r="I914" s="106"/>
      <c r="J914" s="106"/>
      <c r="K914" s="106"/>
      <c r="L914" s="106"/>
      <c r="M914" s="106"/>
      <c r="N914" s="106"/>
      <c r="O914" s="106"/>
      <c r="P914" s="106"/>
      <c r="Q914" s="106"/>
      <c r="AB914" s="106"/>
      <c r="AR914" s="65"/>
      <c r="AS914" s="65"/>
      <c r="AT914" s="65"/>
      <c r="BC914" s="23"/>
      <c r="BD914" s="23"/>
      <c r="BE914" s="23"/>
      <c r="BF914" s="66"/>
    </row>
    <row r="915">
      <c r="G915" s="106"/>
      <c r="H915" s="105"/>
      <c r="I915" s="106"/>
      <c r="J915" s="106"/>
      <c r="K915" s="106"/>
      <c r="L915" s="106"/>
      <c r="M915" s="106"/>
      <c r="N915" s="106"/>
      <c r="O915" s="106"/>
      <c r="P915" s="106"/>
      <c r="Q915" s="106"/>
      <c r="AB915" s="106"/>
      <c r="AR915" s="65"/>
      <c r="AS915" s="65"/>
      <c r="AT915" s="65"/>
      <c r="BC915" s="23"/>
      <c r="BD915" s="23"/>
      <c r="BE915" s="23"/>
      <c r="BF915" s="66"/>
    </row>
    <row r="916">
      <c r="G916" s="106"/>
      <c r="H916" s="105"/>
      <c r="I916" s="106"/>
      <c r="J916" s="106"/>
      <c r="K916" s="106"/>
      <c r="L916" s="106"/>
      <c r="M916" s="106"/>
      <c r="N916" s="106"/>
      <c r="O916" s="106"/>
      <c r="P916" s="106"/>
      <c r="Q916" s="106"/>
      <c r="AB916" s="106"/>
      <c r="AR916" s="65"/>
      <c r="AS916" s="65"/>
      <c r="AT916" s="65"/>
      <c r="BC916" s="23"/>
      <c r="BD916" s="23"/>
      <c r="BE916" s="23"/>
      <c r="BF916" s="66"/>
    </row>
    <row r="917">
      <c r="G917" s="106"/>
      <c r="H917" s="105"/>
      <c r="I917" s="106"/>
      <c r="J917" s="106"/>
      <c r="K917" s="106"/>
      <c r="L917" s="106"/>
      <c r="M917" s="106"/>
      <c r="N917" s="106"/>
      <c r="O917" s="106"/>
      <c r="P917" s="106"/>
      <c r="Q917" s="106"/>
      <c r="AB917" s="106"/>
      <c r="AR917" s="65"/>
      <c r="AS917" s="65"/>
      <c r="AT917" s="65"/>
      <c r="BC917" s="23"/>
      <c r="BD917" s="23"/>
      <c r="BE917" s="23"/>
      <c r="BF917" s="66"/>
    </row>
    <row r="918">
      <c r="G918" s="106"/>
      <c r="H918" s="105"/>
      <c r="I918" s="106"/>
      <c r="J918" s="106"/>
      <c r="K918" s="106"/>
      <c r="L918" s="106"/>
      <c r="M918" s="106"/>
      <c r="N918" s="106"/>
      <c r="O918" s="106"/>
      <c r="P918" s="106"/>
      <c r="Q918" s="106"/>
      <c r="AB918" s="106"/>
      <c r="AR918" s="65"/>
      <c r="AS918" s="65"/>
      <c r="AT918" s="65"/>
      <c r="BC918" s="23"/>
      <c r="BD918" s="23"/>
      <c r="BE918" s="23"/>
      <c r="BF918" s="66"/>
    </row>
    <row r="919">
      <c r="G919" s="106"/>
      <c r="H919" s="105"/>
      <c r="I919" s="106"/>
      <c r="J919" s="106"/>
      <c r="K919" s="106"/>
      <c r="L919" s="106"/>
      <c r="M919" s="106"/>
      <c r="N919" s="106"/>
      <c r="O919" s="106"/>
      <c r="P919" s="106"/>
      <c r="Q919" s="106"/>
      <c r="AB919" s="106"/>
      <c r="AR919" s="65"/>
      <c r="AS919" s="65"/>
      <c r="AT919" s="65"/>
      <c r="BC919" s="23"/>
      <c r="BD919" s="23"/>
      <c r="BE919" s="23"/>
      <c r="BF919" s="66"/>
    </row>
    <row r="920">
      <c r="G920" s="106"/>
      <c r="H920" s="105"/>
      <c r="I920" s="106"/>
      <c r="J920" s="106"/>
      <c r="K920" s="106"/>
      <c r="L920" s="106"/>
      <c r="M920" s="106"/>
      <c r="N920" s="106"/>
      <c r="O920" s="106"/>
      <c r="P920" s="106"/>
      <c r="Q920" s="106"/>
      <c r="AB920" s="106"/>
      <c r="AR920" s="65"/>
      <c r="AS920" s="65"/>
      <c r="AT920" s="65"/>
      <c r="BC920" s="23"/>
      <c r="BD920" s="23"/>
      <c r="BE920" s="23"/>
      <c r="BF920" s="66"/>
    </row>
    <row r="921">
      <c r="G921" s="106"/>
      <c r="H921" s="105"/>
      <c r="I921" s="106"/>
      <c r="J921" s="106"/>
      <c r="K921" s="106"/>
      <c r="L921" s="106"/>
      <c r="M921" s="106"/>
      <c r="N921" s="106"/>
      <c r="O921" s="106"/>
      <c r="P921" s="106"/>
      <c r="Q921" s="106"/>
      <c r="AB921" s="106"/>
      <c r="AR921" s="65"/>
      <c r="AS921" s="65"/>
      <c r="AT921" s="65"/>
      <c r="BC921" s="23"/>
      <c r="BD921" s="23"/>
      <c r="BE921" s="23"/>
      <c r="BF921" s="66"/>
    </row>
    <row r="922">
      <c r="G922" s="106"/>
      <c r="H922" s="105"/>
      <c r="I922" s="106"/>
      <c r="J922" s="106"/>
      <c r="K922" s="106"/>
      <c r="L922" s="106"/>
      <c r="M922" s="106"/>
      <c r="N922" s="106"/>
      <c r="O922" s="106"/>
      <c r="P922" s="106"/>
      <c r="Q922" s="106"/>
      <c r="AB922" s="106"/>
      <c r="AR922" s="65"/>
      <c r="AS922" s="65"/>
      <c r="AT922" s="65"/>
      <c r="BC922" s="23"/>
      <c r="BD922" s="23"/>
      <c r="BE922" s="23"/>
      <c r="BF922" s="66"/>
    </row>
    <row r="923">
      <c r="G923" s="106"/>
      <c r="H923" s="105"/>
      <c r="I923" s="106"/>
      <c r="J923" s="106"/>
      <c r="K923" s="106"/>
      <c r="L923" s="106"/>
      <c r="M923" s="106"/>
      <c r="N923" s="106"/>
      <c r="O923" s="106"/>
      <c r="P923" s="106"/>
      <c r="Q923" s="106"/>
      <c r="AB923" s="106"/>
      <c r="AR923" s="65"/>
      <c r="AS923" s="65"/>
      <c r="AT923" s="65"/>
      <c r="BC923" s="23"/>
      <c r="BD923" s="23"/>
      <c r="BE923" s="23"/>
      <c r="BF923" s="66"/>
    </row>
    <row r="924">
      <c r="G924" s="106"/>
      <c r="H924" s="105"/>
      <c r="I924" s="106"/>
      <c r="J924" s="106"/>
      <c r="K924" s="106"/>
      <c r="L924" s="106"/>
      <c r="M924" s="106"/>
      <c r="N924" s="106"/>
      <c r="O924" s="106"/>
      <c r="P924" s="106"/>
      <c r="Q924" s="106"/>
      <c r="AB924" s="106"/>
      <c r="AR924" s="65"/>
      <c r="AS924" s="65"/>
      <c r="AT924" s="65"/>
      <c r="BC924" s="23"/>
      <c r="BD924" s="23"/>
      <c r="BE924" s="23"/>
      <c r="BF924" s="66"/>
    </row>
    <row r="925">
      <c r="G925" s="106"/>
      <c r="H925" s="105"/>
      <c r="I925" s="106"/>
      <c r="J925" s="106"/>
      <c r="K925" s="106"/>
      <c r="L925" s="106"/>
      <c r="M925" s="106"/>
      <c r="N925" s="106"/>
      <c r="O925" s="106"/>
      <c r="P925" s="106"/>
      <c r="Q925" s="106"/>
      <c r="AB925" s="106"/>
      <c r="AR925" s="65"/>
      <c r="AS925" s="65"/>
      <c r="AT925" s="65"/>
      <c r="BC925" s="23"/>
      <c r="BD925" s="23"/>
      <c r="BE925" s="23"/>
      <c r="BF925" s="66"/>
    </row>
    <row r="926">
      <c r="G926" s="106"/>
      <c r="H926" s="105"/>
      <c r="I926" s="106"/>
      <c r="J926" s="106"/>
      <c r="K926" s="106"/>
      <c r="L926" s="106"/>
      <c r="M926" s="106"/>
      <c r="N926" s="106"/>
      <c r="O926" s="106"/>
      <c r="P926" s="106"/>
      <c r="Q926" s="106"/>
      <c r="AB926" s="106"/>
      <c r="AR926" s="65"/>
      <c r="AS926" s="65"/>
      <c r="AT926" s="65"/>
      <c r="BC926" s="23"/>
      <c r="BD926" s="23"/>
      <c r="BE926" s="23"/>
      <c r="BF926" s="66"/>
    </row>
    <row r="927">
      <c r="G927" s="106"/>
      <c r="H927" s="105"/>
      <c r="I927" s="106"/>
      <c r="J927" s="106"/>
      <c r="K927" s="106"/>
      <c r="L927" s="106"/>
      <c r="M927" s="106"/>
      <c r="N927" s="106"/>
      <c r="O927" s="106"/>
      <c r="P927" s="106"/>
      <c r="Q927" s="106"/>
      <c r="AB927" s="106"/>
      <c r="AR927" s="65"/>
      <c r="AS927" s="65"/>
      <c r="AT927" s="65"/>
      <c r="BC927" s="23"/>
      <c r="BD927" s="23"/>
      <c r="BE927" s="23"/>
      <c r="BF927" s="66"/>
    </row>
    <row r="928">
      <c r="G928" s="106"/>
      <c r="H928" s="105"/>
      <c r="I928" s="106"/>
      <c r="J928" s="106"/>
      <c r="K928" s="106"/>
      <c r="L928" s="106"/>
      <c r="M928" s="106"/>
      <c r="N928" s="106"/>
      <c r="O928" s="106"/>
      <c r="P928" s="106"/>
      <c r="Q928" s="106"/>
      <c r="AB928" s="106"/>
      <c r="AR928" s="65"/>
      <c r="AS928" s="65"/>
      <c r="AT928" s="65"/>
      <c r="BC928" s="23"/>
      <c r="BD928" s="23"/>
      <c r="BE928" s="23"/>
      <c r="BF928" s="66"/>
    </row>
    <row r="929">
      <c r="G929" s="106"/>
      <c r="H929" s="105"/>
      <c r="I929" s="106"/>
      <c r="J929" s="106"/>
      <c r="K929" s="106"/>
      <c r="L929" s="106"/>
      <c r="M929" s="106"/>
      <c r="N929" s="106"/>
      <c r="O929" s="106"/>
      <c r="P929" s="106"/>
      <c r="Q929" s="106"/>
      <c r="AB929" s="106"/>
      <c r="AR929" s="65"/>
      <c r="AS929" s="65"/>
      <c r="AT929" s="65"/>
      <c r="BC929" s="23"/>
      <c r="BD929" s="23"/>
      <c r="BE929" s="23"/>
      <c r="BF929" s="66"/>
    </row>
    <row r="930">
      <c r="G930" s="106"/>
      <c r="H930" s="105"/>
      <c r="I930" s="106"/>
      <c r="J930" s="106"/>
      <c r="K930" s="106"/>
      <c r="L930" s="106"/>
      <c r="M930" s="106"/>
      <c r="N930" s="106"/>
      <c r="O930" s="106"/>
      <c r="P930" s="106"/>
      <c r="Q930" s="106"/>
      <c r="AB930" s="106"/>
      <c r="AR930" s="65"/>
      <c r="AS930" s="65"/>
      <c r="AT930" s="65"/>
      <c r="BC930" s="23"/>
      <c r="BD930" s="23"/>
      <c r="BE930" s="23"/>
      <c r="BF930" s="66"/>
    </row>
    <row r="931">
      <c r="G931" s="106"/>
      <c r="H931" s="105"/>
      <c r="I931" s="106"/>
      <c r="J931" s="106"/>
      <c r="K931" s="106"/>
      <c r="L931" s="106"/>
      <c r="M931" s="106"/>
      <c r="N931" s="106"/>
      <c r="O931" s="106"/>
      <c r="P931" s="106"/>
      <c r="Q931" s="106"/>
      <c r="AB931" s="106"/>
      <c r="AR931" s="65"/>
      <c r="AS931" s="65"/>
      <c r="AT931" s="65"/>
      <c r="BC931" s="23"/>
      <c r="BD931" s="23"/>
      <c r="BE931" s="23"/>
      <c r="BF931" s="66"/>
    </row>
    <row r="932">
      <c r="G932" s="106"/>
      <c r="H932" s="105"/>
      <c r="I932" s="106"/>
      <c r="J932" s="106"/>
      <c r="K932" s="106"/>
      <c r="L932" s="106"/>
      <c r="M932" s="106"/>
      <c r="N932" s="106"/>
      <c r="O932" s="106"/>
      <c r="P932" s="106"/>
      <c r="Q932" s="106"/>
      <c r="AB932" s="106"/>
      <c r="AR932" s="65"/>
      <c r="AS932" s="65"/>
      <c r="AT932" s="65"/>
      <c r="BC932" s="23"/>
      <c r="BD932" s="23"/>
      <c r="BE932" s="23"/>
      <c r="BF932" s="66"/>
    </row>
    <row r="933">
      <c r="G933" s="106"/>
      <c r="H933" s="105"/>
      <c r="I933" s="106"/>
      <c r="J933" s="106"/>
      <c r="K933" s="106"/>
      <c r="L933" s="106"/>
      <c r="M933" s="106"/>
      <c r="N933" s="106"/>
      <c r="O933" s="106"/>
      <c r="P933" s="106"/>
      <c r="Q933" s="106"/>
      <c r="AB933" s="106"/>
      <c r="AR933" s="65"/>
      <c r="AS933" s="65"/>
      <c r="AT933" s="65"/>
      <c r="BC933" s="23"/>
      <c r="BD933" s="23"/>
      <c r="BE933" s="23"/>
      <c r="BF933" s="66"/>
    </row>
    <row r="934">
      <c r="G934" s="106"/>
      <c r="H934" s="105"/>
      <c r="I934" s="106"/>
      <c r="J934" s="106"/>
      <c r="K934" s="106"/>
      <c r="L934" s="106"/>
      <c r="M934" s="106"/>
      <c r="N934" s="106"/>
      <c r="O934" s="106"/>
      <c r="P934" s="106"/>
      <c r="Q934" s="106"/>
      <c r="AB934" s="106"/>
      <c r="AR934" s="65"/>
      <c r="AS934" s="65"/>
      <c r="AT934" s="65"/>
      <c r="BC934" s="23"/>
      <c r="BD934" s="23"/>
      <c r="BE934" s="23"/>
      <c r="BF934" s="66"/>
    </row>
    <row r="935">
      <c r="G935" s="106"/>
      <c r="H935" s="105"/>
      <c r="I935" s="106"/>
      <c r="J935" s="106"/>
      <c r="K935" s="106"/>
      <c r="L935" s="106"/>
      <c r="M935" s="106"/>
      <c r="N935" s="106"/>
      <c r="O935" s="106"/>
      <c r="P935" s="106"/>
      <c r="Q935" s="106"/>
      <c r="AB935" s="106"/>
      <c r="AR935" s="65"/>
      <c r="AS935" s="65"/>
      <c r="AT935" s="65"/>
      <c r="BC935" s="23"/>
      <c r="BD935" s="23"/>
      <c r="BE935" s="23"/>
      <c r="BF935" s="66"/>
    </row>
    <row r="936">
      <c r="G936" s="106"/>
      <c r="H936" s="105"/>
      <c r="I936" s="106"/>
      <c r="J936" s="106"/>
      <c r="K936" s="106"/>
      <c r="L936" s="106"/>
      <c r="M936" s="106"/>
      <c r="N936" s="106"/>
      <c r="O936" s="106"/>
      <c r="P936" s="106"/>
      <c r="Q936" s="106"/>
      <c r="AB936" s="106"/>
      <c r="AR936" s="65"/>
      <c r="AS936" s="65"/>
      <c r="AT936" s="65"/>
      <c r="BC936" s="23"/>
      <c r="BD936" s="23"/>
      <c r="BE936" s="23"/>
      <c r="BF936" s="66"/>
    </row>
    <row r="937">
      <c r="G937" s="106"/>
      <c r="H937" s="105"/>
      <c r="I937" s="106"/>
      <c r="J937" s="106"/>
      <c r="K937" s="106"/>
      <c r="L937" s="106"/>
      <c r="M937" s="106"/>
      <c r="N937" s="106"/>
      <c r="O937" s="106"/>
      <c r="P937" s="106"/>
      <c r="Q937" s="106"/>
      <c r="AB937" s="106"/>
      <c r="AR937" s="65"/>
      <c r="AS937" s="65"/>
      <c r="AT937" s="65"/>
      <c r="BC937" s="23"/>
      <c r="BD937" s="23"/>
      <c r="BE937" s="23"/>
      <c r="BF937" s="66"/>
    </row>
    <row r="938">
      <c r="G938" s="106"/>
      <c r="H938" s="105"/>
      <c r="I938" s="106"/>
      <c r="J938" s="106"/>
      <c r="K938" s="106"/>
      <c r="L938" s="106"/>
      <c r="M938" s="106"/>
      <c r="N938" s="106"/>
      <c r="O938" s="106"/>
      <c r="P938" s="106"/>
      <c r="Q938" s="106"/>
      <c r="AB938" s="106"/>
      <c r="AR938" s="65"/>
      <c r="AS938" s="65"/>
      <c r="AT938" s="65"/>
      <c r="BC938" s="23"/>
      <c r="BD938" s="23"/>
      <c r="BE938" s="23"/>
      <c r="BF938" s="66"/>
    </row>
    <row r="939">
      <c r="G939" s="106"/>
      <c r="H939" s="105"/>
      <c r="I939" s="106"/>
      <c r="J939" s="106"/>
      <c r="K939" s="106"/>
      <c r="L939" s="106"/>
      <c r="M939" s="106"/>
      <c r="N939" s="106"/>
      <c r="O939" s="106"/>
      <c r="P939" s="106"/>
      <c r="Q939" s="106"/>
      <c r="AB939" s="106"/>
      <c r="AR939" s="65"/>
      <c r="AS939" s="65"/>
      <c r="AT939" s="65"/>
      <c r="BC939" s="23"/>
      <c r="BD939" s="23"/>
      <c r="BE939" s="23"/>
      <c r="BF939" s="66"/>
    </row>
    <row r="940">
      <c r="G940" s="106"/>
      <c r="H940" s="105"/>
      <c r="I940" s="106"/>
      <c r="J940" s="106"/>
      <c r="K940" s="106"/>
      <c r="L940" s="106"/>
      <c r="M940" s="106"/>
      <c r="N940" s="106"/>
      <c r="O940" s="106"/>
      <c r="P940" s="106"/>
      <c r="Q940" s="106"/>
      <c r="AB940" s="106"/>
      <c r="AR940" s="65"/>
      <c r="AS940" s="65"/>
      <c r="AT940" s="65"/>
      <c r="BC940" s="23"/>
      <c r="BD940" s="23"/>
      <c r="BE940" s="23"/>
      <c r="BF940" s="66"/>
    </row>
    <row r="941">
      <c r="G941" s="106"/>
      <c r="H941" s="105"/>
      <c r="I941" s="106"/>
      <c r="J941" s="106"/>
      <c r="K941" s="106"/>
      <c r="L941" s="106"/>
      <c r="M941" s="106"/>
      <c r="N941" s="106"/>
      <c r="O941" s="106"/>
      <c r="P941" s="106"/>
      <c r="Q941" s="106"/>
      <c r="AB941" s="106"/>
      <c r="AR941" s="65"/>
      <c r="AS941" s="65"/>
      <c r="AT941" s="65"/>
      <c r="BC941" s="23"/>
      <c r="BD941" s="23"/>
      <c r="BE941" s="23"/>
      <c r="BF941" s="66"/>
    </row>
    <row r="942">
      <c r="G942" s="106"/>
      <c r="H942" s="105"/>
      <c r="I942" s="106"/>
      <c r="J942" s="106"/>
      <c r="K942" s="106"/>
      <c r="L942" s="106"/>
      <c r="M942" s="106"/>
      <c r="N942" s="106"/>
      <c r="O942" s="106"/>
      <c r="P942" s="106"/>
      <c r="Q942" s="106"/>
      <c r="AB942" s="106"/>
      <c r="AR942" s="65"/>
      <c r="AS942" s="65"/>
      <c r="AT942" s="65"/>
      <c r="BC942" s="23"/>
      <c r="BD942" s="23"/>
      <c r="BE942" s="23"/>
      <c r="BF942" s="66"/>
    </row>
    <row r="943">
      <c r="G943" s="106"/>
      <c r="H943" s="105"/>
      <c r="I943" s="106"/>
      <c r="J943" s="106"/>
      <c r="K943" s="106"/>
      <c r="L943" s="106"/>
      <c r="M943" s="106"/>
      <c r="N943" s="106"/>
      <c r="O943" s="106"/>
      <c r="P943" s="106"/>
      <c r="Q943" s="106"/>
      <c r="AB943" s="106"/>
      <c r="AR943" s="65"/>
      <c r="AS943" s="65"/>
      <c r="AT943" s="65"/>
      <c r="BC943" s="23"/>
      <c r="BD943" s="23"/>
      <c r="BE943" s="23"/>
      <c r="BF943" s="66"/>
    </row>
    <row r="944">
      <c r="G944" s="106"/>
      <c r="H944" s="105"/>
      <c r="I944" s="106"/>
      <c r="J944" s="106"/>
      <c r="K944" s="106"/>
      <c r="L944" s="106"/>
      <c r="M944" s="106"/>
      <c r="N944" s="106"/>
      <c r="O944" s="106"/>
      <c r="P944" s="106"/>
      <c r="Q944" s="106"/>
      <c r="AB944" s="106"/>
      <c r="AR944" s="65"/>
      <c r="AS944" s="65"/>
      <c r="AT944" s="65"/>
      <c r="BC944" s="23"/>
      <c r="BD944" s="23"/>
      <c r="BE944" s="23"/>
      <c r="BF944" s="66"/>
    </row>
    <row r="945">
      <c r="G945" s="106"/>
      <c r="H945" s="105"/>
      <c r="I945" s="106"/>
      <c r="J945" s="106"/>
      <c r="K945" s="106"/>
      <c r="L945" s="106"/>
      <c r="M945" s="106"/>
      <c r="N945" s="106"/>
      <c r="O945" s="106"/>
      <c r="P945" s="106"/>
      <c r="Q945" s="106"/>
      <c r="AB945" s="106"/>
      <c r="AR945" s="65"/>
      <c r="AS945" s="65"/>
      <c r="AT945" s="65"/>
      <c r="BC945" s="23"/>
      <c r="BD945" s="23"/>
      <c r="BE945" s="23"/>
      <c r="BF945" s="66"/>
    </row>
    <row r="946">
      <c r="G946" s="106"/>
      <c r="H946" s="105"/>
      <c r="I946" s="106"/>
      <c r="J946" s="106"/>
      <c r="K946" s="106"/>
      <c r="L946" s="106"/>
      <c r="M946" s="106"/>
      <c r="N946" s="106"/>
      <c r="O946" s="106"/>
      <c r="P946" s="106"/>
      <c r="Q946" s="106"/>
      <c r="AB946" s="106"/>
      <c r="AR946" s="65"/>
      <c r="AS946" s="65"/>
      <c r="AT946" s="65"/>
      <c r="BC946" s="23"/>
      <c r="BD946" s="23"/>
      <c r="BE946" s="23"/>
      <c r="BF946" s="66"/>
    </row>
    <row r="947">
      <c r="G947" s="106"/>
      <c r="H947" s="105"/>
      <c r="I947" s="106"/>
      <c r="J947" s="106"/>
      <c r="K947" s="106"/>
      <c r="L947" s="106"/>
      <c r="M947" s="106"/>
      <c r="N947" s="106"/>
      <c r="O947" s="106"/>
      <c r="P947" s="106"/>
      <c r="Q947" s="106"/>
      <c r="AB947" s="106"/>
      <c r="AR947" s="65"/>
      <c r="AS947" s="65"/>
      <c r="AT947" s="65"/>
      <c r="BC947" s="23"/>
      <c r="BD947" s="23"/>
      <c r="BE947" s="23"/>
      <c r="BF947" s="66"/>
    </row>
    <row r="948">
      <c r="G948" s="106"/>
      <c r="H948" s="105"/>
      <c r="I948" s="106"/>
      <c r="J948" s="106"/>
      <c r="K948" s="106"/>
      <c r="L948" s="106"/>
      <c r="M948" s="106"/>
      <c r="N948" s="106"/>
      <c r="O948" s="106"/>
      <c r="P948" s="106"/>
      <c r="Q948" s="106"/>
      <c r="AB948" s="106"/>
      <c r="AR948" s="65"/>
      <c r="AS948" s="65"/>
      <c r="AT948" s="65"/>
      <c r="BC948" s="23"/>
      <c r="BD948" s="23"/>
      <c r="BE948" s="23"/>
      <c r="BF948" s="66"/>
    </row>
    <row r="949">
      <c r="G949" s="106"/>
      <c r="H949" s="105"/>
      <c r="I949" s="106"/>
      <c r="J949" s="106"/>
      <c r="K949" s="106"/>
      <c r="L949" s="106"/>
      <c r="M949" s="106"/>
      <c r="N949" s="106"/>
      <c r="O949" s="106"/>
      <c r="P949" s="106"/>
      <c r="Q949" s="106"/>
      <c r="AB949" s="106"/>
      <c r="AR949" s="65"/>
      <c r="AS949" s="65"/>
      <c r="AT949" s="65"/>
      <c r="BC949" s="23"/>
      <c r="BD949" s="23"/>
      <c r="BE949" s="23"/>
      <c r="BF949" s="66"/>
    </row>
    <row r="950">
      <c r="G950" s="106"/>
      <c r="H950" s="105"/>
      <c r="I950" s="106"/>
      <c r="J950" s="106"/>
      <c r="K950" s="106"/>
      <c r="L950" s="106"/>
      <c r="M950" s="106"/>
      <c r="N950" s="106"/>
      <c r="O950" s="106"/>
      <c r="P950" s="106"/>
      <c r="Q950" s="106"/>
      <c r="AB950" s="106"/>
      <c r="AR950" s="65"/>
      <c r="AS950" s="65"/>
      <c r="AT950" s="65"/>
      <c r="BC950" s="23"/>
      <c r="BD950" s="23"/>
      <c r="BE950" s="23"/>
      <c r="BF950" s="66"/>
    </row>
    <row r="951">
      <c r="G951" s="106"/>
      <c r="H951" s="105"/>
      <c r="I951" s="106"/>
      <c r="J951" s="106"/>
      <c r="K951" s="106"/>
      <c r="L951" s="106"/>
      <c r="M951" s="106"/>
      <c r="N951" s="106"/>
      <c r="O951" s="106"/>
      <c r="P951" s="106"/>
      <c r="Q951" s="106"/>
      <c r="AB951" s="106"/>
      <c r="AR951" s="65"/>
      <c r="AS951" s="65"/>
      <c r="AT951" s="65"/>
      <c r="BC951" s="23"/>
      <c r="BD951" s="23"/>
      <c r="BE951" s="23"/>
      <c r="BF951" s="66"/>
    </row>
    <row r="952">
      <c r="G952" s="106"/>
      <c r="H952" s="105"/>
      <c r="I952" s="106"/>
      <c r="J952" s="106"/>
      <c r="K952" s="106"/>
      <c r="L952" s="106"/>
      <c r="M952" s="106"/>
      <c r="N952" s="106"/>
      <c r="O952" s="106"/>
      <c r="P952" s="106"/>
      <c r="Q952" s="106"/>
      <c r="AB952" s="106"/>
      <c r="AR952" s="65"/>
      <c r="AS952" s="65"/>
      <c r="AT952" s="65"/>
      <c r="BC952" s="23"/>
      <c r="BD952" s="23"/>
      <c r="BE952" s="23"/>
      <c r="BF952" s="66"/>
    </row>
    <row r="953">
      <c r="G953" s="106"/>
      <c r="H953" s="105"/>
      <c r="I953" s="106"/>
      <c r="J953" s="106"/>
      <c r="K953" s="106"/>
      <c r="L953" s="106"/>
      <c r="M953" s="106"/>
      <c r="N953" s="106"/>
      <c r="O953" s="106"/>
      <c r="P953" s="106"/>
      <c r="Q953" s="106"/>
      <c r="AB953" s="106"/>
      <c r="AR953" s="65"/>
      <c r="AS953" s="65"/>
      <c r="AT953" s="65"/>
      <c r="BC953" s="23"/>
      <c r="BD953" s="23"/>
      <c r="BE953" s="23"/>
      <c r="BF953" s="66"/>
    </row>
    <row r="954">
      <c r="G954" s="106"/>
      <c r="H954" s="105"/>
      <c r="I954" s="106"/>
      <c r="J954" s="106"/>
      <c r="K954" s="106"/>
      <c r="L954" s="106"/>
      <c r="M954" s="106"/>
      <c r="N954" s="106"/>
      <c r="O954" s="106"/>
      <c r="P954" s="106"/>
      <c r="Q954" s="106"/>
      <c r="AB954" s="106"/>
      <c r="AR954" s="65"/>
      <c r="AS954" s="65"/>
      <c r="AT954" s="65"/>
      <c r="BC954" s="23"/>
      <c r="BD954" s="23"/>
      <c r="BE954" s="23"/>
      <c r="BF954" s="66"/>
    </row>
    <row r="955">
      <c r="G955" s="106"/>
      <c r="H955" s="105"/>
      <c r="I955" s="106"/>
      <c r="J955" s="106"/>
      <c r="K955" s="106"/>
      <c r="L955" s="106"/>
      <c r="M955" s="106"/>
      <c r="N955" s="106"/>
      <c r="O955" s="106"/>
      <c r="P955" s="106"/>
      <c r="Q955" s="106"/>
      <c r="AB955" s="106"/>
      <c r="AR955" s="65"/>
      <c r="AS955" s="65"/>
      <c r="AT955" s="65"/>
      <c r="BC955" s="23"/>
      <c r="BD955" s="23"/>
      <c r="BE955" s="23"/>
      <c r="BF955" s="66"/>
    </row>
    <row r="956">
      <c r="G956" s="106"/>
      <c r="H956" s="105"/>
      <c r="I956" s="106"/>
      <c r="J956" s="106"/>
      <c r="K956" s="106"/>
      <c r="L956" s="106"/>
      <c r="M956" s="106"/>
      <c r="N956" s="106"/>
      <c r="O956" s="106"/>
      <c r="P956" s="106"/>
      <c r="Q956" s="106"/>
      <c r="AB956" s="106"/>
      <c r="AR956" s="65"/>
      <c r="AS956" s="65"/>
      <c r="AT956" s="65"/>
      <c r="BC956" s="23"/>
      <c r="BD956" s="23"/>
      <c r="BE956" s="23"/>
      <c r="BF956" s="66"/>
    </row>
    <row r="957">
      <c r="G957" s="106"/>
      <c r="H957" s="105"/>
      <c r="I957" s="106"/>
      <c r="J957" s="106"/>
      <c r="K957" s="106"/>
      <c r="L957" s="106"/>
      <c r="M957" s="106"/>
      <c r="N957" s="106"/>
      <c r="O957" s="106"/>
      <c r="P957" s="106"/>
      <c r="Q957" s="106"/>
      <c r="AB957" s="106"/>
      <c r="AR957" s="65"/>
      <c r="AS957" s="65"/>
      <c r="AT957" s="65"/>
      <c r="BC957" s="23"/>
      <c r="BD957" s="23"/>
      <c r="BE957" s="23"/>
      <c r="BF957" s="66"/>
    </row>
    <row r="958">
      <c r="G958" s="106"/>
      <c r="H958" s="105"/>
      <c r="I958" s="106"/>
      <c r="J958" s="106"/>
      <c r="K958" s="106"/>
      <c r="L958" s="106"/>
      <c r="M958" s="106"/>
      <c r="N958" s="106"/>
      <c r="O958" s="106"/>
      <c r="P958" s="106"/>
      <c r="Q958" s="106"/>
      <c r="AB958" s="106"/>
      <c r="AR958" s="65"/>
      <c r="AS958" s="65"/>
      <c r="AT958" s="65"/>
      <c r="BC958" s="23"/>
      <c r="BD958" s="23"/>
      <c r="BE958" s="23"/>
      <c r="BF958" s="66"/>
    </row>
    <row r="959">
      <c r="G959" s="106"/>
      <c r="H959" s="105"/>
      <c r="I959" s="106"/>
      <c r="J959" s="106"/>
      <c r="K959" s="106"/>
      <c r="L959" s="106"/>
      <c r="M959" s="106"/>
      <c r="N959" s="106"/>
      <c r="O959" s="106"/>
      <c r="P959" s="106"/>
      <c r="Q959" s="106"/>
      <c r="AB959" s="106"/>
      <c r="AR959" s="65"/>
      <c r="AS959" s="65"/>
      <c r="AT959" s="65"/>
      <c r="BC959" s="23"/>
      <c r="BD959" s="23"/>
      <c r="BE959" s="23"/>
      <c r="BF959" s="66"/>
    </row>
    <row r="960">
      <c r="G960" s="106"/>
      <c r="H960" s="105"/>
      <c r="I960" s="106"/>
      <c r="J960" s="106"/>
      <c r="K960" s="106"/>
      <c r="L960" s="106"/>
      <c r="M960" s="106"/>
      <c r="N960" s="106"/>
      <c r="O960" s="106"/>
      <c r="P960" s="106"/>
      <c r="Q960" s="106"/>
      <c r="AB960" s="106"/>
      <c r="AR960" s="65"/>
      <c r="AS960" s="65"/>
      <c r="AT960" s="65"/>
      <c r="BC960" s="23"/>
      <c r="BD960" s="23"/>
      <c r="BE960" s="23"/>
      <c r="BF960" s="66"/>
    </row>
    <row r="961">
      <c r="G961" s="106"/>
      <c r="H961" s="105"/>
      <c r="I961" s="106"/>
      <c r="J961" s="106"/>
      <c r="K961" s="106"/>
      <c r="L961" s="106"/>
      <c r="M961" s="106"/>
      <c r="N961" s="106"/>
      <c r="O961" s="106"/>
      <c r="P961" s="106"/>
      <c r="Q961" s="106"/>
      <c r="AB961" s="106"/>
      <c r="AR961" s="65"/>
      <c r="AS961" s="65"/>
      <c r="AT961" s="65"/>
      <c r="BC961" s="23"/>
      <c r="BD961" s="23"/>
      <c r="BE961" s="23"/>
      <c r="BF961" s="66"/>
    </row>
    <row r="962">
      <c r="G962" s="106"/>
      <c r="H962" s="105"/>
      <c r="I962" s="106"/>
      <c r="J962" s="106"/>
      <c r="K962" s="106"/>
      <c r="L962" s="106"/>
      <c r="M962" s="106"/>
      <c r="N962" s="106"/>
      <c r="O962" s="106"/>
      <c r="P962" s="106"/>
      <c r="Q962" s="106"/>
      <c r="AB962" s="106"/>
      <c r="AR962" s="65"/>
      <c r="AS962" s="65"/>
      <c r="AT962" s="65"/>
      <c r="BC962" s="23"/>
      <c r="BD962" s="23"/>
      <c r="BE962" s="23"/>
      <c r="BF962" s="66"/>
    </row>
    <row r="963">
      <c r="G963" s="106"/>
      <c r="H963" s="105"/>
      <c r="I963" s="106"/>
      <c r="J963" s="106"/>
      <c r="K963" s="106"/>
      <c r="L963" s="106"/>
      <c r="M963" s="106"/>
      <c r="N963" s="106"/>
      <c r="O963" s="106"/>
      <c r="P963" s="106"/>
      <c r="Q963" s="106"/>
      <c r="AB963" s="106"/>
      <c r="AR963" s="65"/>
      <c r="AS963" s="65"/>
      <c r="AT963" s="65"/>
      <c r="BC963" s="23"/>
      <c r="BD963" s="23"/>
      <c r="BE963" s="23"/>
      <c r="BF963" s="66"/>
    </row>
    <row r="964">
      <c r="G964" s="106"/>
      <c r="H964" s="105"/>
      <c r="I964" s="106"/>
      <c r="J964" s="106"/>
      <c r="K964" s="106"/>
      <c r="L964" s="106"/>
      <c r="M964" s="106"/>
      <c r="N964" s="106"/>
      <c r="O964" s="106"/>
      <c r="P964" s="106"/>
      <c r="Q964" s="106"/>
      <c r="AB964" s="106"/>
      <c r="AR964" s="65"/>
      <c r="AS964" s="65"/>
      <c r="AT964" s="65"/>
      <c r="BC964" s="23"/>
      <c r="BD964" s="23"/>
      <c r="BE964" s="23"/>
      <c r="BF964" s="66"/>
    </row>
    <row r="965">
      <c r="G965" s="106"/>
      <c r="H965" s="105"/>
      <c r="I965" s="106"/>
      <c r="J965" s="106"/>
      <c r="K965" s="106"/>
      <c r="L965" s="106"/>
      <c r="M965" s="106"/>
      <c r="N965" s="106"/>
      <c r="O965" s="106"/>
      <c r="P965" s="106"/>
      <c r="Q965" s="106"/>
      <c r="AB965" s="106"/>
      <c r="AR965" s="65"/>
      <c r="AS965" s="65"/>
      <c r="AT965" s="65"/>
      <c r="BC965" s="23"/>
      <c r="BD965" s="23"/>
      <c r="BE965" s="23"/>
      <c r="BF965" s="66"/>
    </row>
    <row r="966">
      <c r="G966" s="106"/>
      <c r="H966" s="105"/>
      <c r="I966" s="106"/>
      <c r="J966" s="106"/>
      <c r="K966" s="106"/>
      <c r="L966" s="106"/>
      <c r="M966" s="106"/>
      <c r="N966" s="106"/>
      <c r="O966" s="106"/>
      <c r="P966" s="106"/>
      <c r="Q966" s="106"/>
      <c r="AB966" s="106"/>
      <c r="AR966" s="65"/>
      <c r="AS966" s="65"/>
      <c r="AT966" s="65"/>
      <c r="BC966" s="23"/>
      <c r="BD966" s="23"/>
      <c r="BE966" s="23"/>
      <c r="BF966" s="66"/>
    </row>
    <row r="967">
      <c r="G967" s="106"/>
      <c r="H967" s="105"/>
      <c r="I967" s="106"/>
      <c r="J967" s="106"/>
      <c r="K967" s="106"/>
      <c r="L967" s="106"/>
      <c r="M967" s="106"/>
      <c r="N967" s="106"/>
      <c r="O967" s="106"/>
      <c r="P967" s="106"/>
      <c r="Q967" s="106"/>
      <c r="AB967" s="106"/>
      <c r="AR967" s="65"/>
      <c r="AS967" s="65"/>
      <c r="AT967" s="65"/>
      <c r="BC967" s="23"/>
      <c r="BD967" s="23"/>
      <c r="BE967" s="23"/>
      <c r="BF967" s="66"/>
    </row>
    <row r="968">
      <c r="G968" s="106"/>
      <c r="H968" s="105"/>
      <c r="I968" s="106"/>
      <c r="J968" s="106"/>
      <c r="K968" s="106"/>
      <c r="L968" s="106"/>
      <c r="M968" s="106"/>
      <c r="N968" s="106"/>
      <c r="O968" s="106"/>
      <c r="P968" s="106"/>
      <c r="Q968" s="106"/>
      <c r="AB968" s="106"/>
      <c r="AR968" s="65"/>
      <c r="AS968" s="65"/>
      <c r="AT968" s="65"/>
      <c r="BC968" s="23"/>
      <c r="BD968" s="23"/>
      <c r="BE968" s="23"/>
      <c r="BF968" s="66"/>
    </row>
    <row r="969">
      <c r="G969" s="106"/>
      <c r="H969" s="105"/>
      <c r="I969" s="106"/>
      <c r="J969" s="106"/>
      <c r="K969" s="106"/>
      <c r="L969" s="106"/>
      <c r="M969" s="106"/>
      <c r="N969" s="106"/>
      <c r="O969" s="106"/>
      <c r="P969" s="106"/>
      <c r="Q969" s="106"/>
      <c r="AB969" s="106"/>
      <c r="AR969" s="65"/>
      <c r="AS969" s="65"/>
      <c r="AT969" s="65"/>
      <c r="BC969" s="23"/>
      <c r="BD969" s="23"/>
      <c r="BE969" s="23"/>
      <c r="BF969" s="66"/>
    </row>
    <row r="970">
      <c r="G970" s="106"/>
      <c r="H970" s="105"/>
      <c r="I970" s="106"/>
      <c r="J970" s="106"/>
      <c r="K970" s="106"/>
      <c r="L970" s="106"/>
      <c r="M970" s="106"/>
      <c r="N970" s="106"/>
      <c r="O970" s="106"/>
      <c r="P970" s="106"/>
      <c r="Q970" s="106"/>
      <c r="AB970" s="106"/>
      <c r="AR970" s="65"/>
      <c r="AS970" s="65"/>
      <c r="AT970" s="65"/>
      <c r="BC970" s="23"/>
      <c r="BD970" s="23"/>
      <c r="BE970" s="23"/>
      <c r="BF970" s="66"/>
    </row>
    <row r="971">
      <c r="G971" s="106"/>
      <c r="H971" s="105"/>
      <c r="I971" s="106"/>
      <c r="J971" s="106"/>
      <c r="K971" s="106"/>
      <c r="L971" s="106"/>
      <c r="M971" s="106"/>
      <c r="N971" s="106"/>
      <c r="O971" s="106"/>
      <c r="P971" s="106"/>
      <c r="Q971" s="106"/>
      <c r="AB971" s="106"/>
      <c r="AR971" s="65"/>
      <c r="AS971" s="65"/>
      <c r="AT971" s="65"/>
      <c r="BC971" s="23"/>
      <c r="BD971" s="23"/>
      <c r="BE971" s="23"/>
      <c r="BF971" s="66"/>
    </row>
    <row r="972">
      <c r="G972" s="106"/>
      <c r="H972" s="105"/>
      <c r="I972" s="106"/>
      <c r="J972" s="106"/>
      <c r="K972" s="106"/>
      <c r="L972" s="106"/>
      <c r="M972" s="106"/>
      <c r="N972" s="106"/>
      <c r="O972" s="106"/>
      <c r="P972" s="106"/>
      <c r="Q972" s="106"/>
      <c r="AB972" s="106"/>
      <c r="AR972" s="65"/>
      <c r="AS972" s="65"/>
      <c r="AT972" s="65"/>
      <c r="BC972" s="23"/>
      <c r="BD972" s="23"/>
      <c r="BE972" s="23"/>
      <c r="BF972" s="66"/>
    </row>
    <row r="973">
      <c r="G973" s="106"/>
      <c r="H973" s="105"/>
      <c r="I973" s="106"/>
      <c r="J973" s="106"/>
      <c r="K973" s="106"/>
      <c r="L973" s="106"/>
      <c r="M973" s="106"/>
      <c r="N973" s="106"/>
      <c r="O973" s="106"/>
      <c r="P973" s="106"/>
      <c r="Q973" s="106"/>
      <c r="AB973" s="106"/>
      <c r="AR973" s="65"/>
      <c r="AS973" s="65"/>
      <c r="AT973" s="65"/>
      <c r="BC973" s="23"/>
      <c r="BD973" s="23"/>
      <c r="BE973" s="23"/>
      <c r="BF973" s="66"/>
    </row>
    <row r="974">
      <c r="G974" s="106"/>
      <c r="H974" s="105"/>
      <c r="I974" s="106"/>
      <c r="J974" s="106"/>
      <c r="K974" s="106"/>
      <c r="L974" s="106"/>
      <c r="M974" s="106"/>
      <c r="N974" s="106"/>
      <c r="O974" s="106"/>
      <c r="P974" s="106"/>
      <c r="Q974" s="106"/>
      <c r="AB974" s="106"/>
      <c r="AR974" s="65"/>
      <c r="AS974" s="65"/>
      <c r="AT974" s="65"/>
      <c r="BC974" s="23"/>
      <c r="BD974" s="23"/>
      <c r="BE974" s="23"/>
      <c r="BF974" s="66"/>
    </row>
    <row r="975">
      <c r="G975" s="106"/>
      <c r="H975" s="105"/>
      <c r="I975" s="106"/>
      <c r="J975" s="106"/>
      <c r="K975" s="106"/>
      <c r="L975" s="106"/>
      <c r="M975" s="106"/>
      <c r="N975" s="106"/>
      <c r="O975" s="106"/>
      <c r="P975" s="106"/>
      <c r="Q975" s="106"/>
      <c r="AB975" s="106"/>
      <c r="AR975" s="65"/>
      <c r="AS975" s="65"/>
      <c r="AT975" s="65"/>
      <c r="BC975" s="23"/>
      <c r="BD975" s="23"/>
      <c r="BE975" s="23"/>
      <c r="BF975" s="66"/>
    </row>
    <row r="976">
      <c r="G976" s="106"/>
      <c r="H976" s="105"/>
      <c r="I976" s="106"/>
      <c r="J976" s="106"/>
      <c r="K976" s="106"/>
      <c r="L976" s="106"/>
      <c r="M976" s="106"/>
      <c r="N976" s="106"/>
      <c r="O976" s="106"/>
      <c r="P976" s="106"/>
      <c r="Q976" s="106"/>
      <c r="AB976" s="106"/>
      <c r="AR976" s="65"/>
      <c r="AS976" s="65"/>
      <c r="AT976" s="65"/>
      <c r="BC976" s="23"/>
      <c r="BD976" s="23"/>
      <c r="BE976" s="23"/>
      <c r="BF976" s="66"/>
    </row>
    <row r="977">
      <c r="G977" s="106"/>
      <c r="H977" s="105"/>
      <c r="I977" s="106"/>
      <c r="J977" s="106"/>
      <c r="K977" s="106"/>
      <c r="L977" s="106"/>
      <c r="M977" s="106"/>
      <c r="N977" s="106"/>
      <c r="O977" s="106"/>
      <c r="P977" s="106"/>
      <c r="Q977" s="106"/>
      <c r="AB977" s="106"/>
      <c r="AR977" s="65"/>
      <c r="AS977" s="65"/>
      <c r="AT977" s="65"/>
      <c r="BC977" s="23"/>
      <c r="BD977" s="23"/>
      <c r="BE977" s="23"/>
      <c r="BF977" s="66"/>
    </row>
    <row r="978">
      <c r="G978" s="106"/>
      <c r="H978" s="105"/>
      <c r="I978" s="106"/>
      <c r="J978" s="106"/>
      <c r="K978" s="106"/>
      <c r="L978" s="106"/>
      <c r="M978" s="106"/>
      <c r="N978" s="106"/>
      <c r="O978" s="106"/>
      <c r="P978" s="106"/>
      <c r="Q978" s="106"/>
      <c r="AB978" s="106"/>
      <c r="AR978" s="65"/>
      <c r="AS978" s="65"/>
      <c r="AT978" s="65"/>
      <c r="BC978" s="23"/>
      <c r="BD978" s="23"/>
      <c r="BE978" s="23"/>
      <c r="BF978" s="66"/>
    </row>
    <row r="979">
      <c r="G979" s="106"/>
      <c r="H979" s="105"/>
      <c r="I979" s="106"/>
      <c r="J979" s="106"/>
      <c r="K979" s="106"/>
      <c r="L979" s="106"/>
      <c r="M979" s="106"/>
      <c r="N979" s="106"/>
      <c r="O979" s="106"/>
      <c r="P979" s="106"/>
      <c r="Q979" s="106"/>
      <c r="AB979" s="106"/>
      <c r="AR979" s="65"/>
      <c r="AS979" s="65"/>
      <c r="AT979" s="65"/>
      <c r="BC979" s="23"/>
      <c r="BD979" s="23"/>
      <c r="BE979" s="23"/>
      <c r="BF979" s="66"/>
    </row>
    <row r="980">
      <c r="G980" s="106"/>
      <c r="H980" s="105"/>
      <c r="I980" s="106"/>
      <c r="J980" s="106"/>
      <c r="K980" s="106"/>
      <c r="L980" s="106"/>
      <c r="M980" s="106"/>
      <c r="N980" s="106"/>
      <c r="O980" s="106"/>
      <c r="P980" s="106"/>
      <c r="Q980" s="106"/>
      <c r="AB980" s="106"/>
      <c r="AR980" s="65"/>
      <c r="AS980" s="65"/>
      <c r="AT980" s="65"/>
      <c r="BC980" s="23"/>
      <c r="BD980" s="23"/>
      <c r="BE980" s="23"/>
      <c r="BF980" s="66"/>
    </row>
    <row r="981">
      <c r="G981" s="106"/>
      <c r="H981" s="105"/>
      <c r="I981" s="106"/>
      <c r="J981" s="106"/>
      <c r="K981" s="106"/>
      <c r="L981" s="106"/>
      <c r="M981" s="106"/>
      <c r="N981" s="106"/>
      <c r="O981" s="106"/>
      <c r="P981" s="106"/>
      <c r="Q981" s="106"/>
      <c r="AB981" s="106"/>
      <c r="AR981" s="65"/>
      <c r="AS981" s="65"/>
      <c r="AT981" s="65"/>
      <c r="BC981" s="23"/>
      <c r="BD981" s="23"/>
      <c r="BE981" s="23"/>
      <c r="BF981" s="66"/>
    </row>
    <row r="982">
      <c r="G982" s="106"/>
      <c r="H982" s="105"/>
      <c r="I982" s="106"/>
      <c r="J982" s="106"/>
      <c r="K982" s="106"/>
      <c r="L982" s="106"/>
      <c r="M982" s="106"/>
      <c r="N982" s="106"/>
      <c r="O982" s="106"/>
      <c r="P982" s="106"/>
      <c r="Q982" s="106"/>
      <c r="AB982" s="106"/>
      <c r="AR982" s="65"/>
      <c r="AS982" s="65"/>
      <c r="AT982" s="65"/>
      <c r="BC982" s="23"/>
      <c r="BD982" s="23"/>
      <c r="BE982" s="23"/>
      <c r="BF982" s="66"/>
    </row>
    <row r="983">
      <c r="G983" s="106"/>
      <c r="H983" s="105"/>
      <c r="I983" s="106"/>
      <c r="J983" s="106"/>
      <c r="K983" s="106"/>
      <c r="L983" s="106"/>
      <c r="M983" s="106"/>
      <c r="N983" s="106"/>
      <c r="O983" s="106"/>
      <c r="P983" s="106"/>
      <c r="Q983" s="106"/>
      <c r="AB983" s="106"/>
      <c r="AR983" s="65"/>
      <c r="AS983" s="65"/>
      <c r="AT983" s="65"/>
      <c r="BC983" s="23"/>
      <c r="BD983" s="23"/>
      <c r="BE983" s="23"/>
      <c r="BF983" s="66"/>
    </row>
    <row r="984">
      <c r="G984" s="106"/>
      <c r="H984" s="105"/>
      <c r="I984" s="106"/>
      <c r="J984" s="106"/>
      <c r="K984" s="106"/>
      <c r="L984" s="106"/>
      <c r="M984" s="106"/>
      <c r="N984" s="106"/>
      <c r="O984" s="106"/>
      <c r="P984" s="106"/>
      <c r="Q984" s="106"/>
      <c r="AB984" s="106"/>
      <c r="AR984" s="65"/>
      <c r="AS984" s="65"/>
      <c r="AT984" s="65"/>
      <c r="BC984" s="23"/>
      <c r="BD984" s="23"/>
      <c r="BE984" s="23"/>
      <c r="BF984" s="66"/>
    </row>
    <row r="985">
      <c r="G985" s="106"/>
      <c r="H985" s="105"/>
      <c r="I985" s="106"/>
      <c r="J985" s="106"/>
      <c r="K985" s="106"/>
      <c r="L985" s="106"/>
      <c r="M985" s="106"/>
      <c r="N985" s="106"/>
      <c r="O985" s="106"/>
      <c r="P985" s="106"/>
      <c r="Q985" s="106"/>
      <c r="AB985" s="106"/>
      <c r="AR985" s="65"/>
      <c r="AS985" s="65"/>
      <c r="AT985" s="65"/>
      <c r="BC985" s="23"/>
      <c r="BD985" s="23"/>
      <c r="BE985" s="23"/>
      <c r="BF985" s="66"/>
    </row>
    <row r="986">
      <c r="G986" s="106"/>
      <c r="H986" s="105"/>
      <c r="I986" s="106"/>
      <c r="J986" s="106"/>
      <c r="K986" s="106"/>
      <c r="L986" s="106"/>
      <c r="M986" s="106"/>
      <c r="N986" s="106"/>
      <c r="O986" s="106"/>
      <c r="P986" s="106"/>
      <c r="Q986" s="106"/>
      <c r="AB986" s="106"/>
      <c r="AR986" s="65"/>
      <c r="AS986" s="65"/>
      <c r="AT986" s="65"/>
      <c r="BC986" s="23"/>
      <c r="BD986" s="23"/>
      <c r="BE986" s="23"/>
      <c r="BF986" s="66"/>
    </row>
    <row r="987">
      <c r="G987" s="106"/>
      <c r="H987" s="105"/>
      <c r="I987" s="106"/>
      <c r="J987" s="106"/>
      <c r="K987" s="106"/>
      <c r="L987" s="106"/>
      <c r="M987" s="106"/>
      <c r="N987" s="106"/>
      <c r="O987" s="106"/>
      <c r="P987" s="106"/>
      <c r="Q987" s="106"/>
      <c r="AB987" s="106"/>
      <c r="AR987" s="65"/>
      <c r="AS987" s="65"/>
      <c r="AT987" s="65"/>
      <c r="BC987" s="23"/>
      <c r="BD987" s="23"/>
      <c r="BE987" s="23"/>
      <c r="BF987" s="66"/>
    </row>
    <row r="988">
      <c r="G988" s="106"/>
      <c r="H988" s="105"/>
      <c r="I988" s="106"/>
      <c r="J988" s="106"/>
      <c r="K988" s="106"/>
      <c r="L988" s="106"/>
      <c r="M988" s="106"/>
      <c r="N988" s="106"/>
      <c r="O988" s="106"/>
      <c r="P988" s="106"/>
      <c r="Q988" s="106"/>
      <c r="AB988" s="106"/>
      <c r="AR988" s="65"/>
      <c r="AS988" s="65"/>
      <c r="AT988" s="65"/>
      <c r="BC988" s="23"/>
      <c r="BD988" s="23"/>
      <c r="BE988" s="23"/>
      <c r="BF988" s="66"/>
    </row>
    <row r="989">
      <c r="G989" s="106"/>
      <c r="H989" s="105"/>
      <c r="I989" s="106"/>
      <c r="J989" s="106"/>
      <c r="K989" s="106"/>
      <c r="L989" s="106"/>
      <c r="M989" s="106"/>
      <c r="N989" s="106"/>
      <c r="O989" s="106"/>
      <c r="P989" s="106"/>
      <c r="Q989" s="106"/>
      <c r="AB989" s="106"/>
      <c r="AR989" s="65"/>
      <c r="AS989" s="65"/>
      <c r="AT989" s="65"/>
      <c r="BC989" s="23"/>
      <c r="BD989" s="23"/>
      <c r="BE989" s="23"/>
      <c r="BF989" s="66"/>
    </row>
    <row r="990">
      <c r="G990" s="106"/>
      <c r="H990" s="105"/>
      <c r="I990" s="106"/>
      <c r="J990" s="106"/>
      <c r="K990" s="106"/>
      <c r="L990" s="106"/>
      <c r="M990" s="106"/>
      <c r="N990" s="106"/>
      <c r="O990" s="106"/>
      <c r="P990" s="106"/>
      <c r="Q990" s="106"/>
      <c r="AB990" s="106"/>
      <c r="AR990" s="65"/>
      <c r="AS990" s="65"/>
      <c r="AT990" s="65"/>
      <c r="BC990" s="23"/>
      <c r="BD990" s="23"/>
      <c r="BE990" s="23"/>
      <c r="BF990" s="66"/>
    </row>
    <row r="991">
      <c r="G991" s="106"/>
      <c r="H991" s="105"/>
      <c r="I991" s="106"/>
      <c r="J991" s="106"/>
      <c r="K991" s="106"/>
      <c r="L991" s="106"/>
      <c r="M991" s="106"/>
      <c r="N991" s="106"/>
      <c r="O991" s="106"/>
      <c r="P991" s="106"/>
      <c r="Q991" s="106"/>
      <c r="AB991" s="106"/>
      <c r="AR991" s="65"/>
      <c r="AS991" s="65"/>
      <c r="AT991" s="65"/>
      <c r="BC991" s="23"/>
      <c r="BD991" s="23"/>
      <c r="BE991" s="23"/>
      <c r="BF991" s="66"/>
    </row>
    <row r="992">
      <c r="G992" s="106"/>
      <c r="H992" s="105"/>
      <c r="I992" s="106"/>
      <c r="J992" s="106"/>
      <c r="K992" s="106"/>
      <c r="L992" s="106"/>
      <c r="M992" s="106"/>
      <c r="N992" s="106"/>
      <c r="O992" s="106"/>
      <c r="P992" s="106"/>
      <c r="Q992" s="106"/>
      <c r="AB992" s="106"/>
      <c r="AR992" s="65"/>
      <c r="AS992" s="65"/>
      <c r="AT992" s="65"/>
      <c r="BC992" s="23"/>
      <c r="BD992" s="23"/>
      <c r="BE992" s="23"/>
      <c r="BF992" s="66"/>
    </row>
    <row r="993">
      <c r="G993" s="106"/>
      <c r="H993" s="105"/>
      <c r="I993" s="106"/>
      <c r="J993" s="106"/>
      <c r="K993" s="106"/>
      <c r="L993" s="106"/>
      <c r="M993" s="106"/>
      <c r="N993" s="106"/>
      <c r="O993" s="106"/>
      <c r="P993" s="106"/>
      <c r="Q993" s="106"/>
      <c r="AB993" s="106"/>
      <c r="AR993" s="65"/>
      <c r="AS993" s="65"/>
      <c r="AT993" s="65"/>
      <c r="BC993" s="23"/>
      <c r="BD993" s="23"/>
      <c r="BE993" s="23"/>
      <c r="BF993" s="66"/>
    </row>
    <row r="994">
      <c r="G994" s="106"/>
      <c r="H994" s="105"/>
      <c r="I994" s="106"/>
      <c r="J994" s="106"/>
      <c r="K994" s="106"/>
      <c r="L994" s="106"/>
      <c r="M994" s="106"/>
      <c r="N994" s="106"/>
      <c r="O994" s="106"/>
      <c r="P994" s="106"/>
      <c r="Q994" s="106"/>
      <c r="AB994" s="106"/>
      <c r="AR994" s="65"/>
      <c r="AS994" s="65"/>
      <c r="AT994" s="65"/>
      <c r="BC994" s="23"/>
      <c r="BD994" s="23"/>
      <c r="BE994" s="23"/>
      <c r="BF994" s="66"/>
    </row>
    <row r="995">
      <c r="G995" s="106"/>
      <c r="H995" s="105"/>
      <c r="I995" s="106"/>
      <c r="J995" s="106"/>
      <c r="K995" s="106"/>
      <c r="L995" s="106"/>
      <c r="M995" s="106"/>
      <c r="N995" s="106"/>
      <c r="O995" s="106"/>
      <c r="P995" s="106"/>
      <c r="Q995" s="106"/>
      <c r="AB995" s="106"/>
      <c r="AR995" s="65"/>
      <c r="AS995" s="65"/>
      <c r="AT995" s="65"/>
      <c r="BC995" s="23"/>
      <c r="BD995" s="23"/>
      <c r="BE995" s="23"/>
      <c r="BF995" s="66"/>
    </row>
    <row r="996">
      <c r="G996" s="106"/>
      <c r="H996" s="105"/>
      <c r="I996" s="106"/>
      <c r="J996" s="106"/>
      <c r="K996" s="106"/>
      <c r="L996" s="106"/>
      <c r="M996" s="106"/>
      <c r="N996" s="106"/>
      <c r="O996" s="106"/>
      <c r="P996" s="106"/>
      <c r="Q996" s="106"/>
      <c r="AB996" s="106"/>
      <c r="AR996" s="65"/>
      <c r="AS996" s="65"/>
      <c r="AT996" s="65"/>
      <c r="BC996" s="23"/>
      <c r="BD996" s="23"/>
      <c r="BE996" s="23"/>
      <c r="BF996" s="66"/>
    </row>
    <row r="997">
      <c r="G997" s="106"/>
      <c r="H997" s="105"/>
      <c r="I997" s="106"/>
      <c r="J997" s="106"/>
      <c r="K997" s="106"/>
      <c r="L997" s="106"/>
      <c r="M997" s="106"/>
      <c r="N997" s="106"/>
      <c r="O997" s="106"/>
      <c r="P997" s="106"/>
      <c r="Q997" s="106"/>
      <c r="AB997" s="106"/>
      <c r="AR997" s="65"/>
      <c r="AS997" s="65"/>
      <c r="AT997" s="65"/>
      <c r="BC997" s="23"/>
      <c r="BD997" s="23"/>
      <c r="BE997" s="23"/>
      <c r="BF997" s="66"/>
    </row>
    <row r="998">
      <c r="G998" s="106"/>
      <c r="H998" s="105"/>
      <c r="I998" s="106"/>
      <c r="J998" s="106"/>
      <c r="K998" s="106"/>
      <c r="L998" s="106"/>
      <c r="M998" s="106"/>
      <c r="N998" s="106"/>
      <c r="O998" s="106"/>
      <c r="P998" s="106"/>
      <c r="Q998" s="106"/>
      <c r="AB998" s="106"/>
      <c r="AR998" s="65"/>
      <c r="AS998" s="65"/>
      <c r="AT998" s="65"/>
      <c r="BC998" s="23"/>
      <c r="BD998" s="23"/>
      <c r="BE998" s="23"/>
      <c r="BF998" s="66"/>
    </row>
    <row r="999">
      <c r="G999" s="106"/>
      <c r="H999" s="105"/>
      <c r="I999" s="106"/>
      <c r="J999" s="106"/>
      <c r="K999" s="106"/>
      <c r="L999" s="106"/>
      <c r="M999" s="106"/>
      <c r="N999" s="106"/>
      <c r="O999" s="106"/>
      <c r="P999" s="106"/>
      <c r="Q999" s="106"/>
      <c r="AB999" s="106"/>
      <c r="AR999" s="65"/>
      <c r="AS999" s="65"/>
      <c r="AT999" s="65"/>
      <c r="BC999" s="23"/>
      <c r="BD999" s="23"/>
      <c r="BE999" s="23"/>
      <c r="BF999" s="66"/>
    </row>
    <row r="1000">
      <c r="G1000" s="106"/>
      <c r="H1000" s="105"/>
      <c r="I1000" s="106"/>
      <c r="J1000" s="106"/>
      <c r="K1000" s="106"/>
      <c r="L1000" s="106"/>
      <c r="M1000" s="106"/>
      <c r="N1000" s="106"/>
      <c r="O1000" s="106"/>
      <c r="P1000" s="106"/>
      <c r="Q1000" s="106"/>
      <c r="AB1000" s="106"/>
      <c r="AR1000" s="65"/>
      <c r="AS1000" s="65"/>
      <c r="AT1000" s="65"/>
      <c r="BC1000" s="23"/>
      <c r="BD1000" s="23"/>
      <c r="BE1000" s="23"/>
      <c r="BF1000" s="66"/>
    </row>
  </sheetData>
  <autoFilter ref="$C$1:$AX$982"/>
  <dataValidations>
    <dataValidation type="list" allowBlank="1" showErrorMessage="1" sqref="L2:L19">
      <formula1>"新北市,臺北市"</formula1>
    </dataValidation>
    <dataValidation type="list" allowBlank="1" sqref="M2:M19">
      <formula1>'Custom分類'!$C$2:$D$30</formula1>
    </dataValidation>
    <dataValidation type="list" allowBlank="1" showErrorMessage="1" sqref="Y2:Y19">
      <formula1>'Custom分類'!$G$2:$G$9</formula1>
    </dataValidation>
    <dataValidation type="custom" allowBlank="1" showDropDown="1" showErrorMessage="1" sqref="I2:K17 J18:K19 AH2:AH29 AU13:AU29 I20:K1000">
      <formula1>OR(NOT(ISERROR(DATEVALUE(I2))), AND(ISNUMBER(I2), LEFT(CELL("format", I2))="D"))</formula1>
    </dataValidation>
  </dataValidations>
  <hyperlinks>
    <hyperlink r:id="rId4" ref="BE3"/>
    <hyperlink r:id="rId5" ref="BE4"/>
    <hyperlink r:id="rId6" ref="BE5"/>
    <hyperlink r:id="rId7" ref="BE6"/>
    <hyperlink r:id="rId8" ref="BE7"/>
    <hyperlink r:id="rId9" ref="BE8"/>
    <hyperlink r:id="rId10" ref="BE9"/>
    <hyperlink r:id="rId11" ref="BE11"/>
    <hyperlink r:id="rId12" ref="BE13"/>
    <hyperlink r:id="rId13" ref="BE14"/>
    <hyperlink r:id="rId14" ref="BE15"/>
    <hyperlink r:id="rId15" ref="BE16"/>
    <hyperlink r:id="rId16" ref="BE17"/>
  </hyperlinks>
  <drawing r:id="rId17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1.63"/>
    <col customWidth="1" min="2" max="2" width="8.75"/>
    <col customWidth="1" min="3" max="3" width="16.63"/>
    <col customWidth="1" min="4" max="4" width="11.5"/>
    <col customWidth="1" min="5" max="5" width="12.38"/>
    <col customWidth="1" min="6" max="6" width="14.0"/>
    <col customWidth="1" min="8" max="8" width="11.25"/>
    <col customWidth="1" min="9" max="9" width="11.63"/>
    <col customWidth="1" min="10" max="10" width="13.25"/>
    <col customWidth="1" min="11" max="11" width="11.13"/>
    <col customWidth="1" min="17" max="17" width="10.13"/>
    <col customWidth="1" min="20" max="20" width="14.0"/>
    <col customWidth="1" min="24" max="24" width="14.63"/>
    <col customWidth="1" min="26" max="26" width="17.38"/>
    <col customWidth="1" min="27" max="27" width="14.63"/>
    <col customWidth="1" min="28" max="28" width="10.0"/>
    <col customWidth="1" min="29" max="29" width="9.25"/>
    <col customWidth="1" min="30" max="30" width="19.0"/>
    <col customWidth="1" min="34" max="34" width="16.0"/>
  </cols>
  <sheetData>
    <row r="1" ht="67.5" customHeight="1">
      <c r="A1" s="6" t="s">
        <v>1</v>
      </c>
      <c r="B1" s="108" t="s">
        <v>605</v>
      </c>
      <c r="C1" s="109" t="str">
        <f>IFERROR(__xludf.DUMMYFUNCTION("{""property""; MAP(A2:A265, LAMBDA(key, 
  IF(key="""",, IFERROR(
    IF(COUNTUNIQUE(ARRAYFORMULA(VLOOKUP(SPLIT(key, CHAR(10)), room_list!B:D, 2, FALSE))) = 1,
      VLOOKUP(SPLIT(key, CHAR(10), TRUE), room_list!B:D, 2, FALSE),
      ""屬性不一致""
    ),
    "&amp;"""查無資料""
  ))
))}"),"property")</f>
        <v>property</v>
      </c>
      <c r="D1" s="110" t="str">
        <f>IFERROR(__xludf.DUMMYFUNCTION("{""room_number""; MAP(A2:A265, LAMBDA(key, 
  IF(key="""",, IFERROR(
    TEXTJOIN("", "", TRUE, ARRAYFORMULA(VLOOKUP(SPLIT(key, CHAR(10)), room_list!B:D, 3, FALSE))),
    ""查無資料""
  ))
))}"),"room_number")</f>
        <v>room_number</v>
      </c>
      <c r="E1" s="111" t="s">
        <v>606</v>
      </c>
      <c r="F1" s="112" t="str">
        <f>IFERROR(__xludf.DUMMYFUNCTION("{""tenant_name""; MAP(E2:E265, LAMBDA(key, 
  IF(key="""",, IFERROR(
    TEXTJOIN(CHAR(10), TRUE, ARRAYFORMULA(VLOOKUP(SPLIT(key, CHAR(10)), tenant_list!A:B, 2, FALSE))),
    ""查無資料""
  ))
))}"),"tenant_name")</f>
        <v>tenant_name</v>
      </c>
      <c r="G1" s="110" t="str">
        <f t="array" ref="G1:G265">{"occupancy_status"; IF((M2:M265 = "") * (N2:N265 = ""), "", 
    IF((M2:M265 = "") + (N2:N265 = ""), "日期錯誤", 
      IF(TODAY() &gt; N2:N265, "已退租", 
        IF(TODAY() &lt; M2:M265, "尚未入住", "入住中")
      )
    )
  )}</f>
        <v>occupancy_status</v>
      </c>
      <c r="H1" s="4" t="s">
        <v>607</v>
      </c>
      <c r="I1" s="4" t="s">
        <v>608</v>
      </c>
      <c r="J1" s="4" t="s">
        <v>609</v>
      </c>
      <c r="K1" s="4" t="s">
        <v>610</v>
      </c>
      <c r="L1" s="4" t="s">
        <v>262</v>
      </c>
      <c r="M1" s="4" t="s">
        <v>263</v>
      </c>
      <c r="N1" s="4" t="s">
        <v>264</v>
      </c>
      <c r="O1" s="4" t="s">
        <v>611</v>
      </c>
      <c r="P1" s="4" t="s">
        <v>612</v>
      </c>
      <c r="Q1" s="113" t="str">
        <f t="array" ref="Q1:Q265">{"reconciliation"; IF((M2:M265="") + (N2:N265=""), , N2:N265-M2:M265+1)}</f>
        <v>reconciliation</v>
      </c>
      <c r="R1" s="4" t="s">
        <v>613</v>
      </c>
      <c r="S1" s="4" t="s">
        <v>614</v>
      </c>
      <c r="T1" s="114" t="s">
        <v>615</v>
      </c>
      <c r="U1" s="110" t="str">
        <f t="array" ref="U1:U265">{"difference"; IF(T2:T265="",, S2:S265-T2:T265)}</f>
        <v>difference</v>
      </c>
      <c r="V1" s="115" t="s">
        <v>616</v>
      </c>
      <c r="W1" s="116" t="str">
        <f t="array" ref="W1:W265">{"contract_signed_date_minguo"; MAP(L2:L265, LAMBDA(d, 
  IF(d="",, YEAR(d)-1911 &amp; TEXT(d, "mmdd"))
))}</f>
        <v>contract_signed_date_minguo</v>
      </c>
      <c r="X1" s="116" t="str">
        <f t="array" ref="X1:X265">{"contract_start_date_minguo"; MAP(M2:M265, LAMBDA(d, 
  IF(d="",, YEAR(d)-1911 &amp; TEXT(d, "mmdd"))
))}</f>
        <v>contract_start_date_minguo</v>
      </c>
      <c r="Y1" s="116" t="str">
        <f t="array" ref="Y1:Y265">{"contract_end_date_minguo"; MAP(N2:N265, LAMBDA(d, 
  IF(d="",, YEAR(d)-1911 &amp; TEXT(d, "mmdd"))
))}</f>
        <v>contract_end_date_minguo</v>
      </c>
      <c r="Z1" s="4" t="s">
        <v>617</v>
      </c>
      <c r="AA1" s="4" t="s">
        <v>618</v>
      </c>
      <c r="AB1" s="117" t="s">
        <v>619</v>
      </c>
      <c r="AC1" s="118" t="s">
        <v>620</v>
      </c>
      <c r="AD1" s="4" t="s">
        <v>621</v>
      </c>
      <c r="AE1" s="4" t="s">
        <v>622</v>
      </c>
      <c r="AF1" s="4" t="s">
        <v>623</v>
      </c>
      <c r="AG1" s="4" t="s">
        <v>624</v>
      </c>
      <c r="AH1" s="4" t="s">
        <v>625</v>
      </c>
      <c r="AI1" s="4" t="s">
        <v>626</v>
      </c>
      <c r="AJ1" s="119"/>
      <c r="AK1" s="119"/>
      <c r="AL1" s="119"/>
    </row>
    <row r="2" hidden="1">
      <c r="A2" s="120" t="s">
        <v>15</v>
      </c>
      <c r="B2" s="39" t="s">
        <v>627</v>
      </c>
      <c r="C2" s="121" t="str">
        <f>IFERROR(__xludf.DUMMYFUNCTION("""COMPUTED_VALUE"""),"永春四號")</f>
        <v>永春四號</v>
      </c>
      <c r="D2" s="121" t="str">
        <f>IFERROR(__xludf.DUMMYFUNCTION("""COMPUTED_VALUE"""),"A")</f>
        <v>A</v>
      </c>
      <c r="E2" s="39" t="s">
        <v>628</v>
      </c>
      <c r="F2" s="122" t="str">
        <f>IFERROR(__xludf.DUMMYFUNCTION("""COMPUTED_VALUE"""),"辜馨嬅")</f>
        <v>辜馨嬅</v>
      </c>
      <c r="G2" s="121" t="s">
        <v>629</v>
      </c>
      <c r="H2" s="39" t="s">
        <v>630</v>
      </c>
      <c r="I2" s="39" t="s">
        <v>630</v>
      </c>
      <c r="J2" s="123" t="s">
        <v>631</v>
      </c>
      <c r="K2" s="123" t="s">
        <v>632</v>
      </c>
      <c r="L2" s="124">
        <v>45278.0</v>
      </c>
      <c r="M2" s="124">
        <v>45292.0</v>
      </c>
      <c r="N2" s="124">
        <v>45716.0</v>
      </c>
      <c r="O2" s="124">
        <v>45658.0</v>
      </c>
      <c r="P2" s="124">
        <v>45689.0</v>
      </c>
      <c r="Q2" s="125">
        <v>425.0</v>
      </c>
      <c r="R2" s="126">
        <v>12900.0</v>
      </c>
      <c r="S2" s="126">
        <v>12900.0</v>
      </c>
      <c r="T2" s="127"/>
      <c r="U2" s="128"/>
      <c r="V2" s="126">
        <v>25800.0</v>
      </c>
      <c r="W2" s="129" t="s">
        <v>633</v>
      </c>
      <c r="X2" s="129" t="s">
        <v>634</v>
      </c>
      <c r="Y2" s="129" t="s">
        <v>635</v>
      </c>
      <c r="Z2" s="39" t="s">
        <v>636</v>
      </c>
      <c r="AA2" s="39" t="s">
        <v>637</v>
      </c>
      <c r="AB2" s="130">
        <v>28.0</v>
      </c>
      <c r="AC2" s="131">
        <v>0.0</v>
      </c>
      <c r="AD2" s="123" t="s">
        <v>638</v>
      </c>
      <c r="AE2" s="83"/>
      <c r="AF2" s="83"/>
      <c r="AG2" s="83"/>
      <c r="AH2" s="83"/>
      <c r="AI2" s="83"/>
      <c r="AJ2" s="83"/>
      <c r="AK2" s="83"/>
      <c r="AL2" s="83"/>
    </row>
    <row r="3">
      <c r="A3" s="120" t="s">
        <v>15</v>
      </c>
      <c r="B3" s="132" t="s">
        <v>639</v>
      </c>
      <c r="C3" s="121" t="str">
        <f>IFERROR(__xludf.DUMMYFUNCTION("""COMPUTED_VALUE"""),"永春四號")</f>
        <v>永春四號</v>
      </c>
      <c r="D3" s="121" t="str">
        <f>IFERROR(__xludf.DUMMYFUNCTION("""COMPUTED_VALUE"""),"A")</f>
        <v>A</v>
      </c>
      <c r="E3" s="132" t="s">
        <v>628</v>
      </c>
      <c r="F3" s="122" t="str">
        <f>IFERROR(__xludf.DUMMYFUNCTION("""COMPUTED_VALUE"""),"辜馨嬅")</f>
        <v>辜馨嬅</v>
      </c>
      <c r="G3" s="121" t="s">
        <v>640</v>
      </c>
      <c r="H3" s="39" t="s">
        <v>630</v>
      </c>
      <c r="I3" s="39" t="s">
        <v>630</v>
      </c>
      <c r="J3" s="132" t="s">
        <v>631</v>
      </c>
      <c r="K3" s="39" t="s">
        <v>632</v>
      </c>
      <c r="L3" s="133">
        <v>45659.0</v>
      </c>
      <c r="M3" s="133">
        <v>45717.0</v>
      </c>
      <c r="N3" s="133">
        <v>46081.0</v>
      </c>
      <c r="O3" s="134">
        <v>46082.0</v>
      </c>
      <c r="P3" s="135">
        <v>45901.0</v>
      </c>
      <c r="Q3" s="125">
        <v>365.0</v>
      </c>
      <c r="R3" s="27">
        <v>12900.0</v>
      </c>
      <c r="S3" s="27">
        <v>12900.0</v>
      </c>
      <c r="T3" s="127"/>
      <c r="U3" s="136"/>
      <c r="V3" s="27">
        <v>25800.0</v>
      </c>
      <c r="W3" s="129" t="s">
        <v>641</v>
      </c>
      <c r="X3" s="129" t="s">
        <v>642</v>
      </c>
      <c r="Y3" s="129" t="s">
        <v>643</v>
      </c>
      <c r="Z3" s="39" t="s">
        <v>636</v>
      </c>
      <c r="AA3" s="39" t="s">
        <v>637</v>
      </c>
      <c r="AB3" s="137">
        <v>28.0</v>
      </c>
      <c r="AC3" s="131">
        <v>0.0</v>
      </c>
      <c r="AD3" s="39" t="s">
        <v>644</v>
      </c>
      <c r="AE3" s="83"/>
      <c r="AF3" s="83"/>
      <c r="AG3" s="83"/>
      <c r="AH3" s="83"/>
      <c r="AI3" s="83"/>
      <c r="AJ3" s="83"/>
      <c r="AK3" s="83"/>
      <c r="AL3" s="83"/>
    </row>
    <row r="4" hidden="1">
      <c r="A4" s="120" t="s">
        <v>20</v>
      </c>
      <c r="B4" s="132" t="s">
        <v>645</v>
      </c>
      <c r="C4" s="121" t="str">
        <f>IFERROR(__xludf.DUMMYFUNCTION("""COMPUTED_VALUE"""),"永春四號")</f>
        <v>永春四號</v>
      </c>
      <c r="D4" s="121" t="str">
        <f>IFERROR(__xludf.DUMMYFUNCTION("""COMPUTED_VALUE"""),"B")</f>
        <v>B</v>
      </c>
      <c r="E4" s="132" t="s">
        <v>646</v>
      </c>
      <c r="F4" s="122" t="str">
        <f>IFERROR(__xludf.DUMMYFUNCTION("""COMPUTED_VALUE"""),"袁家鳳")</f>
        <v>袁家鳳</v>
      </c>
      <c r="G4" s="121" t="s">
        <v>629</v>
      </c>
      <c r="H4" s="39" t="s">
        <v>630</v>
      </c>
      <c r="I4" s="39" t="s">
        <v>630</v>
      </c>
      <c r="J4" s="132" t="s">
        <v>631</v>
      </c>
      <c r="K4" s="39" t="s">
        <v>647</v>
      </c>
      <c r="L4" s="138">
        <v>45256.0</v>
      </c>
      <c r="M4" s="138">
        <v>45261.0</v>
      </c>
      <c r="N4" s="138">
        <v>45747.0</v>
      </c>
      <c r="O4" s="134">
        <v>45748.0</v>
      </c>
      <c r="P4" s="124">
        <v>45717.0</v>
      </c>
      <c r="Q4" s="125">
        <v>487.0</v>
      </c>
      <c r="R4" s="27">
        <v>13500.0</v>
      </c>
      <c r="S4" s="27">
        <v>13500.0</v>
      </c>
      <c r="T4" s="139"/>
      <c r="U4" s="128"/>
      <c r="V4" s="27">
        <v>27000.0</v>
      </c>
      <c r="W4" s="129" t="s">
        <v>648</v>
      </c>
      <c r="X4" s="129" t="s">
        <v>649</v>
      </c>
      <c r="Y4" s="129" t="s">
        <v>650</v>
      </c>
      <c r="Z4" s="39" t="s">
        <v>636</v>
      </c>
      <c r="AA4" s="39" t="s">
        <v>637</v>
      </c>
      <c r="AB4" s="137">
        <v>31.0</v>
      </c>
      <c r="AC4" s="131">
        <v>0.0</v>
      </c>
      <c r="AD4" s="39" t="s">
        <v>651</v>
      </c>
      <c r="AE4" s="83"/>
      <c r="AF4" s="83"/>
      <c r="AG4" s="83"/>
      <c r="AH4" s="83"/>
      <c r="AI4" s="83"/>
      <c r="AJ4" s="83"/>
      <c r="AK4" s="83"/>
      <c r="AL4" s="83"/>
    </row>
    <row r="5" hidden="1">
      <c r="A5" s="140" t="s">
        <v>22</v>
      </c>
      <c r="B5" s="123" t="s">
        <v>652</v>
      </c>
      <c r="C5" s="121" t="str">
        <f>IFERROR(__xludf.DUMMYFUNCTION("""COMPUTED_VALUE"""),"永春四號")</f>
        <v>永春四號</v>
      </c>
      <c r="D5" s="121" t="str">
        <f>IFERROR(__xludf.DUMMYFUNCTION("""COMPUTED_VALUE"""),"C")</f>
        <v>C</v>
      </c>
      <c r="E5" s="141" t="s">
        <v>653</v>
      </c>
      <c r="F5" s="122" t="str">
        <f>IFERROR(__xludf.DUMMYFUNCTION("""COMPUTED_VALUE"""),"林聿妡")</f>
        <v>林聿妡</v>
      </c>
      <c r="G5" s="121" t="s">
        <v>629</v>
      </c>
      <c r="H5" s="39" t="s">
        <v>630</v>
      </c>
      <c r="I5" s="39" t="s">
        <v>630</v>
      </c>
      <c r="J5" s="123" t="s">
        <v>631</v>
      </c>
      <c r="K5" s="123" t="s">
        <v>647</v>
      </c>
      <c r="L5" s="124">
        <v>45239.0</v>
      </c>
      <c r="M5" s="124">
        <v>45240.0</v>
      </c>
      <c r="N5" s="124">
        <v>45688.0</v>
      </c>
      <c r="O5" s="142">
        <v>45689.0</v>
      </c>
      <c r="P5" s="124">
        <v>45658.0</v>
      </c>
      <c r="Q5" s="125">
        <v>449.0</v>
      </c>
      <c r="R5" s="126">
        <v>13300.0</v>
      </c>
      <c r="S5" s="126">
        <v>13300.0</v>
      </c>
      <c r="T5" s="127"/>
      <c r="U5" s="128"/>
      <c r="V5" s="126">
        <v>26600.0</v>
      </c>
      <c r="W5" s="129" t="s">
        <v>654</v>
      </c>
      <c r="X5" s="129" t="s">
        <v>655</v>
      </c>
      <c r="Y5" s="129" t="s">
        <v>656</v>
      </c>
      <c r="Z5" s="39" t="s">
        <v>657</v>
      </c>
      <c r="AA5" s="39" t="s">
        <v>658</v>
      </c>
      <c r="AB5" s="130">
        <v>22.0</v>
      </c>
      <c r="AC5" s="143" t="e">
        <v>#REF!</v>
      </c>
      <c r="AD5" s="123" t="s">
        <v>659</v>
      </c>
      <c r="AE5" s="83"/>
      <c r="AF5" s="83"/>
      <c r="AG5" s="83"/>
      <c r="AH5" s="83"/>
      <c r="AI5" s="83"/>
      <c r="AJ5" s="83"/>
      <c r="AK5" s="83"/>
      <c r="AL5" s="83"/>
    </row>
    <row r="6" hidden="1">
      <c r="A6" s="120" t="s">
        <v>22</v>
      </c>
      <c r="B6" s="39" t="s">
        <v>660</v>
      </c>
      <c r="C6" s="121" t="str">
        <f>IFERROR(__xludf.DUMMYFUNCTION("""COMPUTED_VALUE"""),"永春四號")</f>
        <v>永春四號</v>
      </c>
      <c r="D6" s="121" t="str">
        <f>IFERROR(__xludf.DUMMYFUNCTION("""COMPUTED_VALUE"""),"C")</f>
        <v>C</v>
      </c>
      <c r="E6" s="132" t="s">
        <v>653</v>
      </c>
      <c r="F6" s="122" t="str">
        <f>IFERROR(__xludf.DUMMYFUNCTION("""COMPUTED_VALUE"""),"林聿妡")</f>
        <v>林聿妡</v>
      </c>
      <c r="G6" s="121" t="s">
        <v>629</v>
      </c>
      <c r="H6" s="39" t="s">
        <v>630</v>
      </c>
      <c r="I6" s="39" t="s">
        <v>630</v>
      </c>
      <c r="J6" s="132" t="s">
        <v>631</v>
      </c>
      <c r="K6" s="39" t="s">
        <v>647</v>
      </c>
      <c r="L6" s="138">
        <v>45658.0</v>
      </c>
      <c r="M6" s="138">
        <v>45689.0</v>
      </c>
      <c r="N6" s="144">
        <v>45716.0</v>
      </c>
      <c r="O6" s="145">
        <v>45717.0</v>
      </c>
      <c r="P6" s="124">
        <v>45689.0</v>
      </c>
      <c r="Q6" s="125">
        <v>28.0</v>
      </c>
      <c r="R6" s="27">
        <v>13300.0</v>
      </c>
      <c r="S6" s="27">
        <v>13300.0</v>
      </c>
      <c r="T6" s="139"/>
      <c r="U6" s="128"/>
      <c r="V6" s="27">
        <v>26600.0</v>
      </c>
      <c r="W6" s="129" t="s">
        <v>661</v>
      </c>
      <c r="X6" s="129" t="s">
        <v>662</v>
      </c>
      <c r="Y6" s="129" t="s">
        <v>635</v>
      </c>
      <c r="Z6" s="39" t="s">
        <v>657</v>
      </c>
      <c r="AA6" s="39" t="s">
        <v>658</v>
      </c>
      <c r="AB6" s="137">
        <v>28.0</v>
      </c>
      <c r="AC6" s="131" t="e">
        <v>#REF!</v>
      </c>
      <c r="AD6" s="39" t="s">
        <v>663</v>
      </c>
      <c r="AE6" s="83"/>
      <c r="AF6" s="83"/>
      <c r="AG6" s="83"/>
      <c r="AH6" s="83"/>
      <c r="AI6" s="83"/>
      <c r="AJ6" s="83"/>
      <c r="AK6" s="83"/>
      <c r="AL6" s="83"/>
    </row>
    <row r="7" hidden="1">
      <c r="A7" s="140" t="s">
        <v>24</v>
      </c>
      <c r="B7" s="123" t="s">
        <v>664</v>
      </c>
      <c r="C7" s="121" t="str">
        <f>IFERROR(__xludf.DUMMYFUNCTION("""COMPUTED_VALUE"""),"永春四號")</f>
        <v>永春四號</v>
      </c>
      <c r="D7" s="121" t="str">
        <f>IFERROR(__xludf.DUMMYFUNCTION("""COMPUTED_VALUE"""),"D")</f>
        <v>D</v>
      </c>
      <c r="E7" s="141" t="s">
        <v>665</v>
      </c>
      <c r="F7" s="122" t="str">
        <f>IFERROR(__xludf.DUMMYFUNCTION("""COMPUTED_VALUE"""),"翁政熙")</f>
        <v>翁政熙</v>
      </c>
      <c r="G7" s="121" t="s">
        <v>629</v>
      </c>
      <c r="H7" s="39" t="s">
        <v>666</v>
      </c>
      <c r="I7" s="39" t="s">
        <v>630</v>
      </c>
      <c r="J7" s="123" t="s">
        <v>631</v>
      </c>
      <c r="K7" s="123" t="s">
        <v>647</v>
      </c>
      <c r="L7" s="124">
        <v>45237.0</v>
      </c>
      <c r="M7" s="124">
        <v>45243.0</v>
      </c>
      <c r="N7" s="124">
        <v>45657.0</v>
      </c>
      <c r="O7" s="142">
        <v>45689.0</v>
      </c>
      <c r="P7" s="124">
        <v>45627.0</v>
      </c>
      <c r="Q7" s="125">
        <v>415.0</v>
      </c>
      <c r="R7" s="126">
        <v>14800.0</v>
      </c>
      <c r="S7" s="126">
        <v>14800.0</v>
      </c>
      <c r="T7" s="127"/>
      <c r="U7" s="128"/>
      <c r="V7" s="126">
        <v>29600.0</v>
      </c>
      <c r="W7" s="129" t="s">
        <v>667</v>
      </c>
      <c r="X7" s="129" t="s">
        <v>668</v>
      </c>
      <c r="Y7" s="129" t="s">
        <v>669</v>
      </c>
      <c r="Z7" s="39" t="s">
        <v>657</v>
      </c>
      <c r="AA7" s="39" t="s">
        <v>658</v>
      </c>
      <c r="AB7" s="130">
        <v>19.0</v>
      </c>
      <c r="AC7" s="143" t="e">
        <v>#REF!</v>
      </c>
      <c r="AD7" s="123" t="s">
        <v>670</v>
      </c>
      <c r="AE7" s="83"/>
      <c r="AF7" s="83"/>
      <c r="AG7" s="83"/>
      <c r="AH7" s="83"/>
      <c r="AI7" s="83"/>
      <c r="AJ7" s="83"/>
      <c r="AK7" s="83"/>
      <c r="AL7" s="83"/>
    </row>
    <row r="8" hidden="1">
      <c r="A8" s="120" t="s">
        <v>24</v>
      </c>
      <c r="B8" s="132" t="s">
        <v>671</v>
      </c>
      <c r="C8" s="121" t="str">
        <f>IFERROR(__xludf.DUMMYFUNCTION("""COMPUTED_VALUE"""),"永春四號")</f>
        <v>永春四號</v>
      </c>
      <c r="D8" s="121" t="str">
        <f>IFERROR(__xludf.DUMMYFUNCTION("""COMPUTED_VALUE"""),"D")</f>
        <v>D</v>
      </c>
      <c r="E8" s="132" t="s">
        <v>665</v>
      </c>
      <c r="F8" s="122" t="str">
        <f>IFERROR(__xludf.DUMMYFUNCTION("""COMPUTED_VALUE"""),"翁政熙")</f>
        <v>翁政熙</v>
      </c>
      <c r="G8" s="146" t="s">
        <v>629</v>
      </c>
      <c r="H8" s="19" t="s">
        <v>630</v>
      </c>
      <c r="I8" s="19" t="s">
        <v>630</v>
      </c>
      <c r="J8" s="132" t="s">
        <v>631</v>
      </c>
      <c r="K8" s="19" t="s">
        <v>647</v>
      </c>
      <c r="L8" s="147">
        <v>45631.0</v>
      </c>
      <c r="M8" s="147">
        <v>45658.0</v>
      </c>
      <c r="N8" s="148">
        <v>45716.0</v>
      </c>
      <c r="O8" s="145">
        <v>45717.0</v>
      </c>
      <c r="P8" s="149">
        <v>45689.0</v>
      </c>
      <c r="Q8" s="125">
        <v>59.0</v>
      </c>
      <c r="R8" s="26">
        <v>14800.0</v>
      </c>
      <c r="S8" s="26">
        <v>14800.0</v>
      </c>
      <c r="T8" s="139"/>
      <c r="U8" s="128"/>
      <c r="V8" s="26">
        <v>29600.0</v>
      </c>
      <c r="W8" s="129" t="s">
        <v>672</v>
      </c>
      <c r="X8" s="129" t="s">
        <v>661</v>
      </c>
      <c r="Y8" s="129" t="s">
        <v>635</v>
      </c>
      <c r="Z8" s="39" t="s">
        <v>636</v>
      </c>
      <c r="AA8" s="39" t="s">
        <v>637</v>
      </c>
      <c r="AB8" s="137">
        <v>28.0</v>
      </c>
      <c r="AC8" s="131">
        <v>0.0</v>
      </c>
      <c r="AD8" s="146" t="s">
        <v>673</v>
      </c>
      <c r="AE8" s="150"/>
      <c r="AF8" s="150"/>
      <c r="AG8" s="150"/>
      <c r="AH8" s="150"/>
      <c r="AI8" s="83"/>
      <c r="AJ8" s="83"/>
      <c r="AK8" s="83"/>
      <c r="AL8" s="83"/>
    </row>
    <row r="9" hidden="1">
      <c r="A9" s="140" t="s">
        <v>35</v>
      </c>
      <c r="B9" s="123" t="s">
        <v>674</v>
      </c>
      <c r="C9" s="121" t="str">
        <f>IFERROR(__xludf.DUMMYFUNCTION("""COMPUTED_VALUE"""),"內湖秘境")</f>
        <v>內湖秘境</v>
      </c>
      <c r="D9" s="121" t="str">
        <f>IFERROR(__xludf.DUMMYFUNCTION("""COMPUTED_VALUE"""),"F")</f>
        <v>F</v>
      </c>
      <c r="E9" s="141" t="s">
        <v>675</v>
      </c>
      <c r="F9" s="122" t="str">
        <f>IFERROR(__xludf.DUMMYFUNCTION("""COMPUTED_VALUE"""),"陳俊宇")</f>
        <v>陳俊宇</v>
      </c>
      <c r="G9" s="121" t="s">
        <v>629</v>
      </c>
      <c r="H9" s="39" t="s">
        <v>666</v>
      </c>
      <c r="I9" s="39" t="s">
        <v>630</v>
      </c>
      <c r="J9" s="123" t="s">
        <v>631</v>
      </c>
      <c r="K9" s="123" t="s">
        <v>647</v>
      </c>
      <c r="L9" s="124">
        <v>45250.0</v>
      </c>
      <c r="M9" s="124">
        <v>45255.0</v>
      </c>
      <c r="N9" s="124">
        <v>45459.0</v>
      </c>
      <c r="O9" s="142">
        <v>45474.0</v>
      </c>
      <c r="P9" s="124">
        <v>45658.0</v>
      </c>
      <c r="Q9" s="125">
        <v>205.0</v>
      </c>
      <c r="R9" s="126">
        <v>12800.0</v>
      </c>
      <c r="S9" s="126">
        <v>12300.0</v>
      </c>
      <c r="T9" s="127"/>
      <c r="U9" s="128"/>
      <c r="V9" s="126">
        <v>25600.0</v>
      </c>
      <c r="W9" s="129" t="s">
        <v>676</v>
      </c>
      <c r="X9" s="129" t="s">
        <v>677</v>
      </c>
      <c r="Y9" s="129" t="s">
        <v>678</v>
      </c>
      <c r="Z9" s="39" t="s">
        <v>636</v>
      </c>
      <c r="AA9" s="39" t="s">
        <v>658</v>
      </c>
      <c r="AB9" s="130">
        <v>-8.0</v>
      </c>
      <c r="AC9" s="143" t="e">
        <v>#REF!</v>
      </c>
      <c r="AD9" s="123" t="s">
        <v>679</v>
      </c>
      <c r="AE9" s="39" t="s">
        <v>680</v>
      </c>
      <c r="AF9" s="39" t="s">
        <v>680</v>
      </c>
      <c r="AG9" s="39" t="s">
        <v>680</v>
      </c>
      <c r="AH9" s="83"/>
      <c r="AI9" s="83"/>
      <c r="AJ9" s="83"/>
      <c r="AK9" s="83"/>
      <c r="AL9" s="83"/>
    </row>
    <row r="10" hidden="1">
      <c r="A10" s="140" t="s">
        <v>26</v>
      </c>
      <c r="B10" s="123" t="s">
        <v>681</v>
      </c>
      <c r="C10" s="121" t="str">
        <f>IFERROR(__xludf.DUMMYFUNCTION("""COMPUTED_VALUE"""),"內湖秘境")</f>
        <v>內湖秘境</v>
      </c>
      <c r="D10" s="121" t="str">
        <f>IFERROR(__xludf.DUMMYFUNCTION("""COMPUTED_VALUE"""),"A")</f>
        <v>A</v>
      </c>
      <c r="E10" s="141" t="s">
        <v>682</v>
      </c>
      <c r="F10" s="122" t="str">
        <f>IFERROR(__xludf.DUMMYFUNCTION("""COMPUTED_VALUE"""),"陳玟涵")</f>
        <v>陳玟涵</v>
      </c>
      <c r="G10" s="121" t="s">
        <v>629</v>
      </c>
      <c r="H10" s="39" t="s">
        <v>666</v>
      </c>
      <c r="I10" s="39" t="s">
        <v>630</v>
      </c>
      <c r="J10" s="123" t="s">
        <v>631</v>
      </c>
      <c r="K10" s="123" t="s">
        <v>647</v>
      </c>
      <c r="L10" s="124">
        <v>45262.0</v>
      </c>
      <c r="M10" s="124">
        <v>45275.0</v>
      </c>
      <c r="N10" s="124">
        <v>45640.0</v>
      </c>
      <c r="O10" s="142">
        <v>45689.0</v>
      </c>
      <c r="P10" s="124">
        <v>45597.0</v>
      </c>
      <c r="Q10" s="125">
        <v>366.0</v>
      </c>
      <c r="R10" s="126">
        <v>12000.0</v>
      </c>
      <c r="S10" s="126">
        <v>12000.0</v>
      </c>
      <c r="T10" s="127"/>
      <c r="U10" s="128"/>
      <c r="V10" s="126">
        <v>24000.0</v>
      </c>
      <c r="W10" s="129" t="s">
        <v>683</v>
      </c>
      <c r="X10" s="129" t="s">
        <v>684</v>
      </c>
      <c r="Y10" s="129" t="s">
        <v>685</v>
      </c>
      <c r="Z10" s="39" t="s">
        <v>636</v>
      </c>
      <c r="AA10" s="39" t="s">
        <v>637</v>
      </c>
      <c r="AB10" s="130">
        <v>0.0</v>
      </c>
      <c r="AC10" s="143">
        <v>0.0</v>
      </c>
      <c r="AD10" s="123" t="s">
        <v>686</v>
      </c>
      <c r="AE10" s="83"/>
      <c r="AF10" s="83"/>
      <c r="AG10" s="83"/>
      <c r="AH10" s="83"/>
      <c r="AI10" s="83"/>
      <c r="AJ10" s="83"/>
      <c r="AK10" s="83"/>
      <c r="AL10" s="83"/>
    </row>
    <row r="11">
      <c r="A11" s="120" t="s">
        <v>26</v>
      </c>
      <c r="B11" s="39" t="s">
        <v>687</v>
      </c>
      <c r="C11" s="121" t="str">
        <f>IFERROR(__xludf.DUMMYFUNCTION("""COMPUTED_VALUE"""),"內湖秘境")</f>
        <v>內湖秘境</v>
      </c>
      <c r="D11" s="121" t="str">
        <f>IFERROR(__xludf.DUMMYFUNCTION("""COMPUTED_VALUE"""),"A")</f>
        <v>A</v>
      </c>
      <c r="E11" s="132" t="s">
        <v>682</v>
      </c>
      <c r="F11" s="122" t="str">
        <f>IFERROR(__xludf.DUMMYFUNCTION("""COMPUTED_VALUE"""),"陳玟涵")</f>
        <v>陳玟涵</v>
      </c>
      <c r="G11" s="121" t="s">
        <v>640</v>
      </c>
      <c r="H11" s="151" t="s">
        <v>630</v>
      </c>
      <c r="I11" s="39" t="s">
        <v>630</v>
      </c>
      <c r="J11" s="152" t="s">
        <v>631</v>
      </c>
      <c r="K11" s="39" t="s">
        <v>647</v>
      </c>
      <c r="L11" s="133">
        <v>45616.0</v>
      </c>
      <c r="M11" s="133">
        <v>45610.0</v>
      </c>
      <c r="N11" s="133">
        <v>46081.0</v>
      </c>
      <c r="O11" s="134">
        <v>46082.0</v>
      </c>
      <c r="P11" s="135">
        <v>45962.0</v>
      </c>
      <c r="Q11" s="125">
        <v>472.0</v>
      </c>
      <c r="R11" s="27">
        <v>11700.0</v>
      </c>
      <c r="S11" s="27">
        <v>11700.0</v>
      </c>
      <c r="T11" s="153">
        <v>0.0</v>
      </c>
      <c r="U11" s="136">
        <v>11700.0</v>
      </c>
      <c r="V11" s="27">
        <v>24000.0</v>
      </c>
      <c r="W11" s="129" t="s">
        <v>688</v>
      </c>
      <c r="X11" s="129" t="s">
        <v>689</v>
      </c>
      <c r="Y11" s="129" t="s">
        <v>643</v>
      </c>
      <c r="Z11" s="39" t="s">
        <v>636</v>
      </c>
      <c r="AA11" s="39" t="s">
        <v>637</v>
      </c>
      <c r="AB11" s="137">
        <v>15.0</v>
      </c>
      <c r="AC11" s="131">
        <v>0.0</v>
      </c>
      <c r="AD11" s="39" t="s">
        <v>690</v>
      </c>
      <c r="AE11" s="83"/>
      <c r="AF11" s="83"/>
      <c r="AG11" s="83"/>
      <c r="AH11" s="83"/>
      <c r="AI11" s="83"/>
      <c r="AJ11" s="83"/>
      <c r="AK11" s="83"/>
      <c r="AL11" s="83"/>
    </row>
    <row r="12" hidden="1">
      <c r="A12" s="140" t="s">
        <v>29</v>
      </c>
      <c r="B12" s="123" t="s">
        <v>691</v>
      </c>
      <c r="C12" s="121" t="str">
        <f>IFERROR(__xludf.DUMMYFUNCTION("""COMPUTED_VALUE"""),"內湖秘境")</f>
        <v>內湖秘境</v>
      </c>
      <c r="D12" s="121" t="str">
        <f>IFERROR(__xludf.DUMMYFUNCTION("""COMPUTED_VALUE"""),"B")</f>
        <v>B</v>
      </c>
      <c r="E12" s="141" t="s">
        <v>692</v>
      </c>
      <c r="F12" s="122" t="str">
        <f>IFERROR(__xludf.DUMMYFUNCTION("""COMPUTED_VALUE"""),"李方羽")</f>
        <v>李方羽</v>
      </c>
      <c r="G12" s="121" t="s">
        <v>629</v>
      </c>
      <c r="H12" s="151" t="s">
        <v>666</v>
      </c>
      <c r="I12" s="151" t="s">
        <v>630</v>
      </c>
      <c r="J12" s="129" t="s">
        <v>631</v>
      </c>
      <c r="K12" s="123" t="s">
        <v>647</v>
      </c>
      <c r="L12" s="124">
        <v>45246.0</v>
      </c>
      <c r="M12" s="124">
        <v>45246.0</v>
      </c>
      <c r="N12" s="124">
        <v>45611.0</v>
      </c>
      <c r="O12" s="142">
        <v>45597.0</v>
      </c>
      <c r="P12" s="124">
        <v>45597.0</v>
      </c>
      <c r="Q12" s="125">
        <v>366.0</v>
      </c>
      <c r="R12" s="126">
        <v>12800.0</v>
      </c>
      <c r="S12" s="126">
        <v>12800.0</v>
      </c>
      <c r="T12" s="127"/>
      <c r="U12" s="128"/>
      <c r="V12" s="126">
        <v>25600.0</v>
      </c>
      <c r="W12" s="129" t="s">
        <v>693</v>
      </c>
      <c r="X12" s="129" t="s">
        <v>693</v>
      </c>
      <c r="Y12" s="129" t="s">
        <v>694</v>
      </c>
      <c r="Z12" s="39" t="s">
        <v>636</v>
      </c>
      <c r="AA12" s="39" t="s">
        <v>658</v>
      </c>
      <c r="AB12" s="130">
        <v>15.0</v>
      </c>
      <c r="AC12" s="143" t="e">
        <v>#REF!</v>
      </c>
      <c r="AD12" s="123" t="s">
        <v>695</v>
      </c>
      <c r="AE12" s="154">
        <v>150.0</v>
      </c>
      <c r="AF12" s="154">
        <v>659.0</v>
      </c>
      <c r="AG12" s="154">
        <v>77.0</v>
      </c>
      <c r="AH12" s="154">
        <v>1000.0</v>
      </c>
      <c r="AI12" s="39" t="s">
        <v>696</v>
      </c>
      <c r="AJ12" s="83"/>
      <c r="AK12" s="83"/>
      <c r="AL12" s="83"/>
    </row>
    <row r="13" hidden="1">
      <c r="A13" s="120" t="s">
        <v>29</v>
      </c>
      <c r="B13" s="132" t="s">
        <v>697</v>
      </c>
      <c r="C13" s="121" t="str">
        <f>IFERROR(__xludf.DUMMYFUNCTION("""COMPUTED_VALUE"""),"內湖秘境")</f>
        <v>內湖秘境</v>
      </c>
      <c r="D13" s="121" t="str">
        <f>IFERROR(__xludf.DUMMYFUNCTION("""COMPUTED_VALUE"""),"B")</f>
        <v>B</v>
      </c>
      <c r="E13" s="132" t="s">
        <v>698</v>
      </c>
      <c r="F13" s="122" t="str">
        <f>IFERROR(__xludf.DUMMYFUNCTION("""COMPUTED_VALUE"""),"劉桀綸")</f>
        <v>劉桀綸</v>
      </c>
      <c r="G13" s="121" t="s">
        <v>629</v>
      </c>
      <c r="H13" s="31" t="s">
        <v>630</v>
      </c>
      <c r="I13" s="31" t="s">
        <v>630</v>
      </c>
      <c r="J13" s="155" t="s">
        <v>631</v>
      </c>
      <c r="K13" s="39" t="s">
        <v>647</v>
      </c>
      <c r="L13" s="156">
        <v>45623.0</v>
      </c>
      <c r="M13" s="156">
        <v>45627.0</v>
      </c>
      <c r="N13" s="133">
        <v>45984.0</v>
      </c>
      <c r="O13" s="134">
        <v>45992.0</v>
      </c>
      <c r="P13" s="157">
        <v>45962.0</v>
      </c>
      <c r="Q13" s="125">
        <v>358.0</v>
      </c>
      <c r="R13" s="41">
        <v>12300.0</v>
      </c>
      <c r="S13" s="41">
        <v>12300.0</v>
      </c>
      <c r="T13" s="139"/>
      <c r="U13" s="128"/>
      <c r="V13" s="41">
        <v>24600.0</v>
      </c>
      <c r="W13" s="129" t="s">
        <v>699</v>
      </c>
      <c r="X13" s="129" t="s">
        <v>700</v>
      </c>
      <c r="Y13" s="129" t="s">
        <v>701</v>
      </c>
      <c r="Z13" s="39" t="s">
        <v>636</v>
      </c>
      <c r="AA13" s="39" t="s">
        <v>637</v>
      </c>
      <c r="AB13" s="137">
        <v>23.0</v>
      </c>
      <c r="AC13" s="131">
        <v>0.0</v>
      </c>
      <c r="AD13" s="31" t="s">
        <v>702</v>
      </c>
      <c r="AE13" s="83"/>
      <c r="AF13" s="83"/>
      <c r="AG13" s="83"/>
      <c r="AH13" s="83"/>
      <c r="AI13" s="39" t="s">
        <v>696</v>
      </c>
      <c r="AJ13" s="83"/>
      <c r="AK13" s="83"/>
      <c r="AL13" s="83"/>
    </row>
    <row r="14" hidden="1">
      <c r="A14" s="120" t="s">
        <v>31</v>
      </c>
      <c r="B14" s="132" t="s">
        <v>703</v>
      </c>
      <c r="C14" s="121" t="str">
        <f>IFERROR(__xludf.DUMMYFUNCTION("""COMPUTED_VALUE"""),"內湖秘境")</f>
        <v>內湖秘境</v>
      </c>
      <c r="D14" s="121" t="str">
        <f>IFERROR(__xludf.DUMMYFUNCTION("""COMPUTED_VALUE"""),"C")</f>
        <v>C</v>
      </c>
      <c r="E14" s="132" t="s">
        <v>704</v>
      </c>
      <c r="F14" s="122" t="str">
        <f>IFERROR(__xludf.DUMMYFUNCTION("""COMPUTED_VALUE"""),"黃詩穎")</f>
        <v>黃詩穎</v>
      </c>
      <c r="G14" s="121" t="s">
        <v>629</v>
      </c>
      <c r="H14" s="39" t="s">
        <v>630</v>
      </c>
      <c r="I14" s="39" t="s">
        <v>630</v>
      </c>
      <c r="J14" s="132" t="s">
        <v>631</v>
      </c>
      <c r="K14" s="39" t="s">
        <v>647</v>
      </c>
      <c r="L14" s="138">
        <v>45250.0</v>
      </c>
      <c r="M14" s="138">
        <v>45261.0</v>
      </c>
      <c r="N14" s="144">
        <v>45716.0</v>
      </c>
      <c r="O14" s="145">
        <v>45717.0</v>
      </c>
      <c r="P14" s="124">
        <v>45689.0</v>
      </c>
      <c r="Q14" s="125">
        <v>456.0</v>
      </c>
      <c r="R14" s="27">
        <v>14800.0</v>
      </c>
      <c r="S14" s="27">
        <v>14800.0</v>
      </c>
      <c r="T14" s="139"/>
      <c r="U14" s="128"/>
      <c r="V14" s="27">
        <v>29600.0</v>
      </c>
      <c r="W14" s="129" t="s">
        <v>676</v>
      </c>
      <c r="X14" s="129" t="s">
        <v>649</v>
      </c>
      <c r="Y14" s="129" t="s">
        <v>635</v>
      </c>
      <c r="Z14" s="39" t="s">
        <v>636</v>
      </c>
      <c r="AA14" s="39" t="s">
        <v>637</v>
      </c>
      <c r="AB14" s="137">
        <v>28.0</v>
      </c>
      <c r="AC14" s="131">
        <v>0.0</v>
      </c>
      <c r="AD14" s="39" t="s">
        <v>705</v>
      </c>
      <c r="AE14" s="83"/>
      <c r="AF14" s="83"/>
      <c r="AG14" s="83"/>
      <c r="AH14" s="83"/>
      <c r="AI14" s="83"/>
      <c r="AJ14" s="83"/>
      <c r="AK14" s="83"/>
      <c r="AL14" s="83"/>
    </row>
    <row r="15" hidden="1">
      <c r="A15" s="140" t="s">
        <v>32</v>
      </c>
      <c r="B15" s="123" t="s">
        <v>706</v>
      </c>
      <c r="C15" s="121" t="str">
        <f>IFERROR(__xludf.DUMMYFUNCTION("""COMPUTED_VALUE"""),"內湖秘境")</f>
        <v>內湖秘境</v>
      </c>
      <c r="D15" s="121" t="str">
        <f>IFERROR(__xludf.DUMMYFUNCTION("""COMPUTED_VALUE"""),"D")</f>
        <v>D</v>
      </c>
      <c r="E15" s="141" t="s">
        <v>707</v>
      </c>
      <c r="F15" s="122" t="str">
        <f>IFERROR(__xludf.DUMMYFUNCTION("""COMPUTED_VALUE"""),"王敏誠")</f>
        <v>王敏誠</v>
      </c>
      <c r="G15" s="121" t="s">
        <v>629</v>
      </c>
      <c r="H15" s="151" t="s">
        <v>666</v>
      </c>
      <c r="I15" s="39" t="s">
        <v>630</v>
      </c>
      <c r="J15" s="129" t="s">
        <v>708</v>
      </c>
      <c r="K15" s="123" t="s">
        <v>632</v>
      </c>
      <c r="L15" s="124">
        <v>45243.0</v>
      </c>
      <c r="M15" s="124">
        <v>45249.0</v>
      </c>
      <c r="N15" s="124">
        <v>45614.0</v>
      </c>
      <c r="O15" s="158"/>
      <c r="P15" s="159"/>
      <c r="Q15" s="125">
        <v>366.0</v>
      </c>
      <c r="R15" s="126">
        <v>13200.0</v>
      </c>
      <c r="S15" s="126">
        <v>13200.0</v>
      </c>
      <c r="T15" s="127"/>
      <c r="U15" s="128"/>
      <c r="V15" s="126">
        <v>26400.0</v>
      </c>
      <c r="W15" s="129" t="s">
        <v>668</v>
      </c>
      <c r="X15" s="129" t="s">
        <v>709</v>
      </c>
      <c r="Y15" s="129" t="s">
        <v>710</v>
      </c>
      <c r="Z15" s="39" t="s">
        <v>636</v>
      </c>
      <c r="AA15" s="39" t="s">
        <v>637</v>
      </c>
      <c r="AB15" s="130">
        <v>0.0</v>
      </c>
      <c r="AC15" s="143">
        <v>0.0</v>
      </c>
      <c r="AD15" s="160"/>
      <c r="AE15" s="39" t="s">
        <v>680</v>
      </c>
      <c r="AF15" s="39" t="s">
        <v>680</v>
      </c>
      <c r="AG15" s="39" t="s">
        <v>680</v>
      </c>
      <c r="AH15" s="83"/>
      <c r="AI15" s="83"/>
      <c r="AJ15" s="83"/>
      <c r="AK15" s="83"/>
      <c r="AL15" s="83"/>
    </row>
    <row r="16" hidden="1">
      <c r="A16" s="120" t="s">
        <v>32</v>
      </c>
      <c r="B16" s="132" t="s">
        <v>711</v>
      </c>
      <c r="C16" s="121" t="str">
        <f>IFERROR(__xludf.DUMMYFUNCTION("""COMPUTED_VALUE"""),"內湖秘境")</f>
        <v>內湖秘境</v>
      </c>
      <c r="D16" s="121" t="str">
        <f>IFERROR(__xludf.DUMMYFUNCTION("""COMPUTED_VALUE"""),"D")</f>
        <v>D</v>
      </c>
      <c r="E16" s="132" t="s">
        <v>707</v>
      </c>
      <c r="F16" s="122" t="str">
        <f>IFERROR(__xludf.DUMMYFUNCTION("""COMPUTED_VALUE"""),"王敏誠")</f>
        <v>王敏誠</v>
      </c>
      <c r="G16" s="121" t="s">
        <v>629</v>
      </c>
      <c r="H16" s="151" t="s">
        <v>630</v>
      </c>
      <c r="I16" s="151" t="s">
        <v>630</v>
      </c>
      <c r="J16" s="152" t="s">
        <v>631</v>
      </c>
      <c r="K16" s="39" t="s">
        <v>632</v>
      </c>
      <c r="L16" s="138">
        <v>45587.0</v>
      </c>
      <c r="M16" s="138">
        <v>45615.0</v>
      </c>
      <c r="N16" s="138">
        <v>45979.0</v>
      </c>
      <c r="O16" s="161">
        <v>45992.0</v>
      </c>
      <c r="P16" s="157">
        <v>45778.0</v>
      </c>
      <c r="Q16" s="125">
        <v>365.0</v>
      </c>
      <c r="R16" s="27">
        <v>13200.0</v>
      </c>
      <c r="S16" s="27">
        <v>13200.0</v>
      </c>
      <c r="T16" s="127"/>
      <c r="U16" s="128"/>
      <c r="V16" s="27">
        <v>26400.0</v>
      </c>
      <c r="W16" s="129" t="s">
        <v>712</v>
      </c>
      <c r="X16" s="129" t="s">
        <v>713</v>
      </c>
      <c r="Y16" s="129" t="s">
        <v>714</v>
      </c>
      <c r="Z16" s="39" t="s">
        <v>636</v>
      </c>
      <c r="AA16" s="39" t="s">
        <v>637</v>
      </c>
      <c r="AB16" s="137">
        <v>0.0</v>
      </c>
      <c r="AC16" s="131">
        <v>0.0</v>
      </c>
      <c r="AD16" s="31" t="s">
        <v>715</v>
      </c>
      <c r="AE16" s="15"/>
      <c r="AF16" s="15"/>
      <c r="AG16" s="15"/>
      <c r="AH16" s="83"/>
      <c r="AI16" s="83"/>
      <c r="AJ16" s="83"/>
      <c r="AK16" s="83"/>
      <c r="AL16" s="83"/>
    </row>
    <row r="17" hidden="1">
      <c r="A17" s="140" t="s">
        <v>33</v>
      </c>
      <c r="B17" s="162" t="s">
        <v>716</v>
      </c>
      <c r="C17" s="121" t="str">
        <f>IFERROR(__xludf.DUMMYFUNCTION("""COMPUTED_VALUE"""),"內湖秘境")</f>
        <v>內湖秘境</v>
      </c>
      <c r="D17" s="121" t="str">
        <f>IFERROR(__xludf.DUMMYFUNCTION("""COMPUTED_VALUE"""),"E")</f>
        <v>E</v>
      </c>
      <c r="E17" s="141" t="s">
        <v>717</v>
      </c>
      <c r="F17" s="122" t="str">
        <f>IFERROR(__xludf.DUMMYFUNCTION("""COMPUTED_VALUE"""),"鄧又晨")</f>
        <v>鄧又晨</v>
      </c>
      <c r="G17" s="121" t="s">
        <v>629</v>
      </c>
      <c r="H17" s="151" t="s">
        <v>666</v>
      </c>
      <c r="I17" s="39" t="s">
        <v>630</v>
      </c>
      <c r="J17" s="129" t="s">
        <v>708</v>
      </c>
      <c r="K17" s="123" t="s">
        <v>718</v>
      </c>
      <c r="L17" s="124">
        <v>45245.0</v>
      </c>
      <c r="M17" s="124">
        <v>45261.0</v>
      </c>
      <c r="N17" s="124">
        <v>45626.0</v>
      </c>
      <c r="O17" s="158"/>
      <c r="P17" s="159"/>
      <c r="Q17" s="125">
        <v>366.0</v>
      </c>
      <c r="R17" s="126">
        <v>13000.0</v>
      </c>
      <c r="S17" s="126">
        <v>13000.0</v>
      </c>
      <c r="T17" s="127"/>
      <c r="U17" s="128"/>
      <c r="V17" s="126">
        <v>26000.0</v>
      </c>
      <c r="W17" s="129" t="s">
        <v>719</v>
      </c>
      <c r="X17" s="129" t="s">
        <v>649</v>
      </c>
      <c r="Y17" s="129" t="s">
        <v>720</v>
      </c>
      <c r="Z17" s="39" t="s">
        <v>636</v>
      </c>
      <c r="AA17" s="39" t="s">
        <v>637</v>
      </c>
      <c r="AB17" s="130">
        <v>30.0</v>
      </c>
      <c r="AC17" s="143">
        <v>0.0</v>
      </c>
      <c r="AD17" s="160"/>
      <c r="AE17" s="39" t="s">
        <v>680</v>
      </c>
      <c r="AF17" s="39" t="s">
        <v>680</v>
      </c>
      <c r="AG17" s="39" t="s">
        <v>680</v>
      </c>
      <c r="AH17" s="83"/>
      <c r="AI17" s="83"/>
      <c r="AJ17" s="83"/>
      <c r="AK17" s="83"/>
      <c r="AL17" s="83"/>
    </row>
    <row r="18" hidden="1">
      <c r="A18" s="140" t="s">
        <v>33</v>
      </c>
      <c r="B18" s="162" t="s">
        <v>721</v>
      </c>
      <c r="C18" s="121" t="str">
        <f>IFERROR(__xludf.DUMMYFUNCTION("""COMPUTED_VALUE"""),"內湖秘境")</f>
        <v>內湖秘境</v>
      </c>
      <c r="D18" s="121" t="str">
        <f>IFERROR(__xludf.DUMMYFUNCTION("""COMPUTED_VALUE"""),"E")</f>
        <v>E</v>
      </c>
      <c r="E18" s="141" t="s">
        <v>722</v>
      </c>
      <c r="F18" s="122" t="str">
        <f>IFERROR(__xludf.DUMMYFUNCTION("""COMPUTED_VALUE"""),"鄧又慈")</f>
        <v>鄧又慈</v>
      </c>
      <c r="G18" s="121" t="s">
        <v>629</v>
      </c>
      <c r="H18" s="151" t="s">
        <v>666</v>
      </c>
      <c r="I18" s="151" t="s">
        <v>630</v>
      </c>
      <c r="J18" s="129" t="s">
        <v>631</v>
      </c>
      <c r="K18" s="123" t="s">
        <v>647</v>
      </c>
      <c r="L18" s="124">
        <v>45586.0</v>
      </c>
      <c r="M18" s="124">
        <v>45582.0</v>
      </c>
      <c r="N18" s="135">
        <v>45628.0</v>
      </c>
      <c r="O18" s="163">
        <v>45658.0</v>
      </c>
      <c r="P18" s="157">
        <v>45962.0</v>
      </c>
      <c r="Q18" s="125">
        <v>47.0</v>
      </c>
      <c r="R18" s="126">
        <v>14500.0</v>
      </c>
      <c r="S18" s="126">
        <v>14500.0</v>
      </c>
      <c r="T18" s="127"/>
      <c r="U18" s="128"/>
      <c r="V18" s="126">
        <v>26000.0</v>
      </c>
      <c r="W18" s="129" t="s">
        <v>723</v>
      </c>
      <c r="X18" s="129" t="s">
        <v>724</v>
      </c>
      <c r="Y18" s="129" t="s">
        <v>725</v>
      </c>
      <c r="Z18" s="39" t="s">
        <v>636</v>
      </c>
      <c r="AA18" s="39" t="s">
        <v>637</v>
      </c>
      <c r="AB18" s="130">
        <v>-14.0</v>
      </c>
      <c r="AC18" s="143">
        <v>0.0</v>
      </c>
      <c r="AD18" s="164" t="s">
        <v>726</v>
      </c>
      <c r="AE18" s="165">
        <v>199.0</v>
      </c>
      <c r="AF18" s="83"/>
      <c r="AG18" s="165">
        <v>126.0</v>
      </c>
      <c r="AH18" s="165">
        <v>1000.0</v>
      </c>
      <c r="AI18" s="31" t="s">
        <v>680</v>
      </c>
      <c r="AJ18" s="83"/>
      <c r="AK18" s="83"/>
      <c r="AL18" s="83"/>
    </row>
    <row r="19">
      <c r="A19" s="120" t="s">
        <v>33</v>
      </c>
      <c r="B19" s="132" t="s">
        <v>727</v>
      </c>
      <c r="C19" s="121" t="str">
        <f>IFERROR(__xludf.DUMMYFUNCTION("""COMPUTED_VALUE"""),"內湖秘境")</f>
        <v>內湖秘境</v>
      </c>
      <c r="D19" s="121" t="str">
        <f>IFERROR(__xludf.DUMMYFUNCTION("""COMPUTED_VALUE"""),"E")</f>
        <v>E</v>
      </c>
      <c r="E19" s="132" t="s">
        <v>728</v>
      </c>
      <c r="F19" s="122" t="str">
        <f>IFERROR(__xludf.DUMMYFUNCTION("""COMPUTED_VALUE"""),"林芷妤")</f>
        <v>林芷妤</v>
      </c>
      <c r="G19" s="121" t="s">
        <v>640</v>
      </c>
      <c r="H19" s="31" t="s">
        <v>630</v>
      </c>
      <c r="I19" s="31" t="s">
        <v>630</v>
      </c>
      <c r="J19" s="155" t="s">
        <v>631</v>
      </c>
      <c r="K19" s="39" t="s">
        <v>647</v>
      </c>
      <c r="L19" s="133">
        <v>45641.0</v>
      </c>
      <c r="M19" s="166">
        <v>45646.0</v>
      </c>
      <c r="N19" s="133">
        <v>46081.0</v>
      </c>
      <c r="O19" s="134">
        <v>46082.0</v>
      </c>
      <c r="P19" s="135">
        <v>46054.0</v>
      </c>
      <c r="Q19" s="125">
        <v>436.0</v>
      </c>
      <c r="R19" s="41">
        <v>13600.0</v>
      </c>
      <c r="S19" s="41">
        <v>13600.0</v>
      </c>
      <c r="T19" s="139">
        <v>0.0</v>
      </c>
      <c r="U19" s="136">
        <v>13600.0</v>
      </c>
      <c r="V19" s="41">
        <v>27200.0</v>
      </c>
      <c r="W19" s="129" t="s">
        <v>729</v>
      </c>
      <c r="X19" s="129" t="s">
        <v>730</v>
      </c>
      <c r="Y19" s="129" t="s">
        <v>643</v>
      </c>
      <c r="Z19" s="39" t="s">
        <v>636</v>
      </c>
      <c r="AA19" s="39" t="s">
        <v>637</v>
      </c>
      <c r="AB19" s="137">
        <v>9.0</v>
      </c>
      <c r="AC19" s="131">
        <v>0.0</v>
      </c>
      <c r="AD19" s="31" t="s">
        <v>731</v>
      </c>
      <c r="AE19" s="83"/>
      <c r="AF19" s="83"/>
      <c r="AG19" s="83"/>
      <c r="AH19" s="83"/>
      <c r="AI19" s="83"/>
      <c r="AJ19" s="83"/>
      <c r="AK19" s="83"/>
      <c r="AL19" s="83"/>
    </row>
    <row r="20" hidden="1">
      <c r="A20" s="120" t="s">
        <v>35</v>
      </c>
      <c r="B20" s="167" t="s">
        <v>732</v>
      </c>
      <c r="C20" s="121" t="str">
        <f>IFERROR(__xludf.DUMMYFUNCTION("""COMPUTED_VALUE"""),"內湖秘境")</f>
        <v>內湖秘境</v>
      </c>
      <c r="D20" s="121" t="str">
        <f>IFERROR(__xludf.DUMMYFUNCTION("""COMPUTED_VALUE"""),"F")</f>
        <v>F</v>
      </c>
      <c r="E20" s="132" t="s">
        <v>733</v>
      </c>
      <c r="F20" s="122" t="str">
        <f>IFERROR(__xludf.DUMMYFUNCTION("""COMPUTED_VALUE"""),"楊芯岳")</f>
        <v>楊芯岳</v>
      </c>
      <c r="G20" s="121" t="s">
        <v>629</v>
      </c>
      <c r="H20" s="151" t="s">
        <v>630</v>
      </c>
      <c r="I20" s="151" t="s">
        <v>630</v>
      </c>
      <c r="J20" s="132" t="s">
        <v>631</v>
      </c>
      <c r="K20" s="39" t="s">
        <v>647</v>
      </c>
      <c r="L20" s="138">
        <v>45461.0</v>
      </c>
      <c r="M20" s="138">
        <v>45474.0</v>
      </c>
      <c r="N20" s="138">
        <v>45838.0</v>
      </c>
      <c r="O20" s="134">
        <v>45839.0</v>
      </c>
      <c r="P20" s="124">
        <v>45809.0</v>
      </c>
      <c r="Q20" s="125">
        <v>365.0</v>
      </c>
      <c r="R20" s="27">
        <v>13500.0</v>
      </c>
      <c r="S20" s="27">
        <v>13500.0</v>
      </c>
      <c r="T20" s="139"/>
      <c r="U20" s="128"/>
      <c r="V20" s="27">
        <v>26000.0</v>
      </c>
      <c r="W20" s="129" t="s">
        <v>734</v>
      </c>
      <c r="X20" s="129" t="s">
        <v>735</v>
      </c>
      <c r="Y20" s="129" t="s">
        <v>736</v>
      </c>
      <c r="Z20" s="39" t="s">
        <v>636</v>
      </c>
      <c r="AA20" s="39" t="s">
        <v>637</v>
      </c>
      <c r="AB20" s="137">
        <v>30.0</v>
      </c>
      <c r="AC20" s="131">
        <v>0.0</v>
      </c>
      <c r="AD20" s="39" t="s">
        <v>737</v>
      </c>
      <c r="AE20" s="83"/>
      <c r="AF20" s="83"/>
      <c r="AG20" s="83"/>
      <c r="AH20" s="83"/>
      <c r="AI20" s="83"/>
      <c r="AJ20" s="83"/>
      <c r="AK20" s="83"/>
      <c r="AL20" s="83"/>
    </row>
    <row r="21" hidden="1">
      <c r="A21" s="140" t="s">
        <v>38</v>
      </c>
      <c r="B21" s="162" t="s">
        <v>738</v>
      </c>
      <c r="C21" s="121" t="str">
        <f>IFERROR(__xludf.DUMMYFUNCTION("""COMPUTED_VALUE"""),"內湖秘境")</f>
        <v>內湖秘境</v>
      </c>
      <c r="D21" s="121" t="str">
        <f>IFERROR(__xludf.DUMMYFUNCTION("""COMPUTED_VALUE"""),"G")</f>
        <v>G</v>
      </c>
      <c r="E21" s="141" t="s">
        <v>739</v>
      </c>
      <c r="F21" s="122" t="str">
        <f>IFERROR(__xludf.DUMMYFUNCTION("""COMPUTED_VALUE"""),"徐若洹")</f>
        <v>徐若洹</v>
      </c>
      <c r="G21" s="121" t="s">
        <v>629</v>
      </c>
      <c r="H21" s="151" t="s">
        <v>666</v>
      </c>
      <c r="I21" s="151" t="s">
        <v>630</v>
      </c>
      <c r="J21" s="129" t="s">
        <v>631</v>
      </c>
      <c r="K21" s="123" t="s">
        <v>647</v>
      </c>
      <c r="L21" s="124">
        <v>45250.0</v>
      </c>
      <c r="M21" s="124">
        <v>45261.0</v>
      </c>
      <c r="N21" s="124">
        <v>45626.0</v>
      </c>
      <c r="O21" s="142">
        <v>45597.0</v>
      </c>
      <c r="P21" s="124">
        <v>45597.0</v>
      </c>
      <c r="Q21" s="125">
        <v>366.0</v>
      </c>
      <c r="R21" s="126">
        <v>12600.0</v>
      </c>
      <c r="S21" s="126">
        <v>12600.0</v>
      </c>
      <c r="T21" s="127"/>
      <c r="U21" s="128"/>
      <c r="V21" s="126">
        <v>25200.0</v>
      </c>
      <c r="W21" s="129" t="s">
        <v>676</v>
      </c>
      <c r="X21" s="129" t="s">
        <v>649</v>
      </c>
      <c r="Y21" s="129" t="s">
        <v>720</v>
      </c>
      <c r="Z21" s="39" t="s">
        <v>636</v>
      </c>
      <c r="AA21" s="39" t="s">
        <v>637</v>
      </c>
      <c r="AB21" s="130">
        <v>30.0</v>
      </c>
      <c r="AC21" s="143">
        <v>0.0</v>
      </c>
      <c r="AD21" s="123" t="s">
        <v>740</v>
      </c>
      <c r="AE21" s="39" t="s">
        <v>680</v>
      </c>
      <c r="AF21" s="39" t="s">
        <v>680</v>
      </c>
      <c r="AG21" s="39" t="s">
        <v>680</v>
      </c>
      <c r="AH21" s="83"/>
      <c r="AI21" s="83"/>
      <c r="AJ21" s="83"/>
      <c r="AK21" s="83"/>
      <c r="AL21" s="83"/>
    </row>
    <row r="22" hidden="1">
      <c r="A22" s="120" t="s">
        <v>38</v>
      </c>
      <c r="B22" s="167" t="s">
        <v>741</v>
      </c>
      <c r="C22" s="121" t="str">
        <f>IFERROR(__xludf.DUMMYFUNCTION("""COMPUTED_VALUE"""),"內湖秘境")</f>
        <v>內湖秘境</v>
      </c>
      <c r="D22" s="121" t="str">
        <f>IFERROR(__xludf.DUMMYFUNCTION("""COMPUTED_VALUE"""),"G")</f>
        <v>G</v>
      </c>
      <c r="E22" s="132" t="s">
        <v>739</v>
      </c>
      <c r="F22" s="122" t="str">
        <f>IFERROR(__xludf.DUMMYFUNCTION("""COMPUTED_VALUE"""),"徐若洹")</f>
        <v>徐若洹</v>
      </c>
      <c r="G22" s="121" t="s">
        <v>629</v>
      </c>
      <c r="H22" s="151" t="s">
        <v>630</v>
      </c>
      <c r="I22" s="151" t="s">
        <v>630</v>
      </c>
      <c r="J22" s="152" t="s">
        <v>631</v>
      </c>
      <c r="K22" s="39" t="s">
        <v>647</v>
      </c>
      <c r="L22" s="138">
        <v>45579.0</v>
      </c>
      <c r="M22" s="138">
        <v>45627.0</v>
      </c>
      <c r="N22" s="138">
        <v>45991.0</v>
      </c>
      <c r="O22" s="134">
        <v>45992.0</v>
      </c>
      <c r="P22" s="124">
        <v>45962.0</v>
      </c>
      <c r="Q22" s="125">
        <v>365.0</v>
      </c>
      <c r="R22" s="27">
        <v>12600.0</v>
      </c>
      <c r="S22" s="27">
        <v>12100.0</v>
      </c>
      <c r="T22" s="139"/>
      <c r="U22" s="128"/>
      <c r="V22" s="27">
        <v>25200.0</v>
      </c>
      <c r="W22" s="129" t="s">
        <v>742</v>
      </c>
      <c r="X22" s="129" t="s">
        <v>700</v>
      </c>
      <c r="Y22" s="129" t="s">
        <v>743</v>
      </c>
      <c r="Z22" s="39" t="s">
        <v>636</v>
      </c>
      <c r="AA22" s="39" t="s">
        <v>637</v>
      </c>
      <c r="AB22" s="137">
        <v>30.0</v>
      </c>
      <c r="AC22" s="131">
        <v>0.0</v>
      </c>
      <c r="AD22" s="39" t="s">
        <v>744</v>
      </c>
      <c r="AE22" s="83"/>
      <c r="AF22" s="83"/>
      <c r="AG22" s="83"/>
      <c r="AH22" s="83"/>
      <c r="AI22" s="83"/>
      <c r="AJ22" s="83"/>
      <c r="AK22" s="83"/>
      <c r="AL22" s="83"/>
    </row>
    <row r="23" hidden="1">
      <c r="A23" s="140" t="s">
        <v>102</v>
      </c>
      <c r="B23" s="123" t="s">
        <v>745</v>
      </c>
      <c r="C23" s="121" t="str">
        <f>IFERROR(__xludf.DUMMYFUNCTION("""COMPUTED_VALUE"""),"士林和豐")</f>
        <v>士林和豐</v>
      </c>
      <c r="D23" s="121" t="str">
        <f>IFERROR(__xludf.DUMMYFUNCTION("""COMPUTED_VALUE"""),"B")</f>
        <v>B</v>
      </c>
      <c r="E23" s="141" t="s">
        <v>746</v>
      </c>
      <c r="F23" s="122" t="str">
        <f>IFERROR(__xludf.DUMMYFUNCTION("""COMPUTED_VALUE"""),"Totto")</f>
        <v>Totto</v>
      </c>
      <c r="G23" s="121" t="s">
        <v>629</v>
      </c>
      <c r="H23" s="151" t="s">
        <v>666</v>
      </c>
      <c r="I23" s="39" t="s">
        <v>630</v>
      </c>
      <c r="J23" s="123" t="s">
        <v>708</v>
      </c>
      <c r="K23" s="123" t="s">
        <v>647</v>
      </c>
      <c r="L23" s="159"/>
      <c r="M23" s="124">
        <v>45078.0</v>
      </c>
      <c r="N23" s="133">
        <v>45443.0</v>
      </c>
      <c r="O23" s="158"/>
      <c r="P23" s="159"/>
      <c r="Q23" s="125">
        <v>366.0</v>
      </c>
      <c r="R23" s="126">
        <v>12500.0</v>
      </c>
      <c r="S23" s="126">
        <v>12000.0</v>
      </c>
      <c r="T23" s="127"/>
      <c r="U23" s="128"/>
      <c r="V23" s="126">
        <v>25000.0</v>
      </c>
      <c r="W23" s="129"/>
      <c r="X23" s="129" t="s">
        <v>747</v>
      </c>
      <c r="Y23" s="129" t="s">
        <v>748</v>
      </c>
      <c r="Z23" s="39" t="s">
        <v>636</v>
      </c>
      <c r="AA23" s="15"/>
      <c r="AB23" s="130">
        <v>31.0</v>
      </c>
      <c r="AC23" s="143">
        <v>0.0</v>
      </c>
      <c r="AD23" s="160"/>
      <c r="AE23" s="168" t="s">
        <v>680</v>
      </c>
      <c r="AF23" s="168" t="s">
        <v>680</v>
      </c>
      <c r="AG23" s="39" t="s">
        <v>680</v>
      </c>
      <c r="AH23" s="83"/>
      <c r="AI23" s="83"/>
      <c r="AJ23" s="83"/>
      <c r="AK23" s="83"/>
      <c r="AL23" s="83"/>
    </row>
    <row r="24" hidden="1">
      <c r="A24" s="140" t="s">
        <v>105</v>
      </c>
      <c r="B24" s="123" t="s">
        <v>749</v>
      </c>
      <c r="C24" s="121" t="str">
        <f>IFERROR(__xludf.DUMMYFUNCTION("""COMPUTED_VALUE"""),"士林和豐")</f>
        <v>士林和豐</v>
      </c>
      <c r="D24" s="121" t="str">
        <f>IFERROR(__xludf.DUMMYFUNCTION("""COMPUTED_VALUE"""),"C")</f>
        <v>C</v>
      </c>
      <c r="E24" s="141" t="s">
        <v>750</v>
      </c>
      <c r="F24" s="122" t="str">
        <f>IFERROR(__xludf.DUMMYFUNCTION("""COMPUTED_VALUE"""),"梁譯心")</f>
        <v>梁譯心</v>
      </c>
      <c r="G24" s="121" t="s">
        <v>629</v>
      </c>
      <c r="H24" s="151" t="s">
        <v>666</v>
      </c>
      <c r="I24" s="39" t="s">
        <v>630</v>
      </c>
      <c r="J24" s="129" t="s">
        <v>708</v>
      </c>
      <c r="K24" s="123" t="s">
        <v>647</v>
      </c>
      <c r="L24" s="159"/>
      <c r="M24" s="124">
        <v>45092.0</v>
      </c>
      <c r="N24" s="133">
        <v>45465.0</v>
      </c>
      <c r="O24" s="142">
        <v>45444.0</v>
      </c>
      <c r="P24" s="159"/>
      <c r="Q24" s="125">
        <v>374.0</v>
      </c>
      <c r="R24" s="126">
        <v>11000.0</v>
      </c>
      <c r="S24" s="126">
        <v>11000.0</v>
      </c>
      <c r="T24" s="127"/>
      <c r="U24" s="128"/>
      <c r="V24" s="126">
        <v>22000.0</v>
      </c>
      <c r="W24" s="129"/>
      <c r="X24" s="129" t="s">
        <v>751</v>
      </c>
      <c r="Y24" s="129" t="s">
        <v>752</v>
      </c>
      <c r="Z24" s="15"/>
      <c r="AA24" s="15"/>
      <c r="AB24" s="130">
        <v>16.0</v>
      </c>
      <c r="AC24" s="143" t="e">
        <v>#REF!</v>
      </c>
      <c r="AD24" s="160"/>
      <c r="AE24" s="39" t="s">
        <v>680</v>
      </c>
      <c r="AF24" s="39" t="s">
        <v>680</v>
      </c>
      <c r="AG24" s="39" t="s">
        <v>680</v>
      </c>
      <c r="AH24" s="83"/>
      <c r="AI24" s="83"/>
      <c r="AJ24" s="83"/>
      <c r="AK24" s="83"/>
      <c r="AL24" s="83"/>
    </row>
    <row r="25" hidden="1">
      <c r="A25" s="140" t="s">
        <v>100</v>
      </c>
      <c r="B25" s="123" t="s">
        <v>753</v>
      </c>
      <c r="C25" s="121" t="str">
        <f>IFERROR(__xludf.DUMMYFUNCTION("""COMPUTED_VALUE"""),"士林和豐")</f>
        <v>士林和豐</v>
      </c>
      <c r="D25" s="121" t="str">
        <f>IFERROR(__xludf.DUMMYFUNCTION("""COMPUTED_VALUE"""),"A")</f>
        <v>A</v>
      </c>
      <c r="E25" s="141" t="s">
        <v>754</v>
      </c>
      <c r="F25" s="122" t="str">
        <f>IFERROR(__xludf.DUMMYFUNCTION("""COMPUTED_VALUE"""),"巫思予")</f>
        <v>巫思予</v>
      </c>
      <c r="G25" s="121" t="s">
        <v>629</v>
      </c>
      <c r="H25" s="151" t="s">
        <v>666</v>
      </c>
      <c r="I25" s="151" t="s">
        <v>630</v>
      </c>
      <c r="J25" s="129" t="s">
        <v>708</v>
      </c>
      <c r="K25" s="123" t="s">
        <v>647</v>
      </c>
      <c r="L25" s="124">
        <v>45265.0</v>
      </c>
      <c r="M25" s="124">
        <v>45271.0</v>
      </c>
      <c r="N25" s="124">
        <v>45636.0</v>
      </c>
      <c r="O25" s="142">
        <v>45627.0</v>
      </c>
      <c r="P25" s="159"/>
      <c r="Q25" s="125">
        <v>366.0</v>
      </c>
      <c r="R25" s="126">
        <v>15800.0</v>
      </c>
      <c r="S25" s="126">
        <v>15800.0</v>
      </c>
      <c r="T25" s="127"/>
      <c r="U25" s="128"/>
      <c r="V25" s="126">
        <v>31600.0</v>
      </c>
      <c r="W25" s="129" t="s">
        <v>755</v>
      </c>
      <c r="X25" s="129" t="s">
        <v>756</v>
      </c>
      <c r="Y25" s="129" t="s">
        <v>757</v>
      </c>
      <c r="Z25" s="39" t="s">
        <v>636</v>
      </c>
      <c r="AA25" s="15"/>
      <c r="AB25" s="130">
        <v>0.0</v>
      </c>
      <c r="AC25" s="143">
        <v>0.0</v>
      </c>
      <c r="AD25" s="160"/>
      <c r="AE25" s="39" t="s">
        <v>680</v>
      </c>
      <c r="AF25" s="39" t="s">
        <v>680</v>
      </c>
      <c r="AG25" s="39" t="s">
        <v>680</v>
      </c>
      <c r="AH25" s="16"/>
      <c r="AI25" s="83"/>
      <c r="AJ25" s="83"/>
      <c r="AK25" s="83"/>
      <c r="AL25" s="83"/>
    </row>
    <row r="26">
      <c r="A26" s="120" t="s">
        <v>100</v>
      </c>
      <c r="B26" s="132" t="s">
        <v>758</v>
      </c>
      <c r="C26" s="121" t="str">
        <f>IFERROR(__xludf.DUMMYFUNCTION("""COMPUTED_VALUE"""),"士林和豐")</f>
        <v>士林和豐</v>
      </c>
      <c r="D26" s="121" t="str">
        <f>IFERROR(__xludf.DUMMYFUNCTION("""COMPUTED_VALUE"""),"A")</f>
        <v>A</v>
      </c>
      <c r="E26" s="132" t="s">
        <v>759</v>
      </c>
      <c r="F26" s="122" t="str">
        <f>IFERROR(__xludf.DUMMYFUNCTION("""COMPUTED_VALUE"""),"許瑜芳
黃俞安")</f>
        <v>許瑜芳
黃俞安</v>
      </c>
      <c r="G26" s="121" t="s">
        <v>640</v>
      </c>
      <c r="H26" s="169" t="s">
        <v>630</v>
      </c>
      <c r="I26" s="31" t="s">
        <v>630</v>
      </c>
      <c r="J26" s="170" t="s">
        <v>631</v>
      </c>
      <c r="K26" s="39" t="s">
        <v>647</v>
      </c>
      <c r="L26" s="166">
        <v>45635.0</v>
      </c>
      <c r="M26" s="166">
        <v>45647.0</v>
      </c>
      <c r="N26" s="133">
        <v>46112.0</v>
      </c>
      <c r="O26" s="134">
        <v>46082.0</v>
      </c>
      <c r="P26" s="135">
        <v>46082.0</v>
      </c>
      <c r="Q26" s="125">
        <v>466.0</v>
      </c>
      <c r="R26" s="41">
        <v>19500.0</v>
      </c>
      <c r="S26" s="41">
        <v>19500.0</v>
      </c>
      <c r="T26" s="139"/>
      <c r="U26" s="136"/>
      <c r="V26" s="41">
        <v>39000.0</v>
      </c>
      <c r="W26" s="129" t="s">
        <v>760</v>
      </c>
      <c r="X26" s="129" t="s">
        <v>761</v>
      </c>
      <c r="Y26" s="129" t="s">
        <v>762</v>
      </c>
      <c r="Z26" s="39" t="s">
        <v>763</v>
      </c>
      <c r="AA26" s="39" t="s">
        <v>637</v>
      </c>
      <c r="AB26" s="137">
        <v>11.0</v>
      </c>
      <c r="AC26" s="131">
        <v>0.0</v>
      </c>
      <c r="AD26" s="31" t="s">
        <v>764</v>
      </c>
      <c r="AE26" s="15"/>
      <c r="AF26" s="15"/>
      <c r="AG26" s="15"/>
      <c r="AH26" s="83"/>
      <c r="AI26" s="83"/>
      <c r="AJ26" s="83"/>
      <c r="AK26" s="83"/>
      <c r="AL26" s="83"/>
    </row>
    <row r="27" hidden="1">
      <c r="A27" s="120" t="s">
        <v>102</v>
      </c>
      <c r="B27" s="132" t="s">
        <v>765</v>
      </c>
      <c r="C27" s="121" t="str">
        <f>IFERROR(__xludf.DUMMYFUNCTION("""COMPUTED_VALUE"""),"士林和豐")</f>
        <v>士林和豐</v>
      </c>
      <c r="D27" s="121" t="str">
        <f>IFERROR(__xludf.DUMMYFUNCTION("""COMPUTED_VALUE"""),"B")</f>
        <v>B</v>
      </c>
      <c r="E27" s="132" t="s">
        <v>766</v>
      </c>
      <c r="F27" s="122" t="str">
        <f>IFERROR(__xludf.DUMMYFUNCTION("""COMPUTED_VALUE"""),"郭昱慧")</f>
        <v>郭昱慧</v>
      </c>
      <c r="G27" s="121" t="s">
        <v>629</v>
      </c>
      <c r="H27" s="151" t="s">
        <v>630</v>
      </c>
      <c r="I27" s="151" t="s">
        <v>630</v>
      </c>
      <c r="J27" s="152" t="s">
        <v>631</v>
      </c>
      <c r="K27" s="39" t="s">
        <v>647</v>
      </c>
      <c r="L27" s="138">
        <v>45471.0</v>
      </c>
      <c r="M27" s="138">
        <v>45474.0</v>
      </c>
      <c r="N27" s="133">
        <v>45827.0</v>
      </c>
      <c r="O27" s="134">
        <v>45839.0</v>
      </c>
      <c r="P27" s="124">
        <v>45838.0</v>
      </c>
      <c r="Q27" s="125">
        <v>354.0</v>
      </c>
      <c r="R27" s="27">
        <v>14100.0</v>
      </c>
      <c r="S27" s="27">
        <v>14100.0</v>
      </c>
      <c r="T27" s="139"/>
      <c r="U27" s="128"/>
      <c r="V27" s="27">
        <v>25000.0</v>
      </c>
      <c r="W27" s="129" t="s">
        <v>767</v>
      </c>
      <c r="X27" s="129" t="s">
        <v>735</v>
      </c>
      <c r="Y27" s="129" t="s">
        <v>768</v>
      </c>
      <c r="Z27" s="39" t="s">
        <v>636</v>
      </c>
      <c r="AA27" s="39" t="s">
        <v>637</v>
      </c>
      <c r="AB27" s="171">
        <v>19.0</v>
      </c>
      <c r="AC27" s="131">
        <v>0.0</v>
      </c>
      <c r="AD27" s="39" t="s">
        <v>769</v>
      </c>
      <c r="AE27" s="39" t="s">
        <v>680</v>
      </c>
      <c r="AF27" s="39" t="s">
        <v>680</v>
      </c>
      <c r="AG27" s="39" t="s">
        <v>680</v>
      </c>
      <c r="AH27" s="31">
        <v>1000.0</v>
      </c>
      <c r="AI27" s="83"/>
      <c r="AJ27" s="83"/>
      <c r="AK27" s="83"/>
      <c r="AL27" s="83"/>
    </row>
    <row r="28" hidden="1">
      <c r="A28" s="120" t="s">
        <v>105</v>
      </c>
      <c r="B28" s="132" t="s">
        <v>770</v>
      </c>
      <c r="C28" s="121" t="str">
        <f>IFERROR(__xludf.DUMMYFUNCTION("""COMPUTED_VALUE"""),"士林和豐")</f>
        <v>士林和豐</v>
      </c>
      <c r="D28" s="121" t="str">
        <f>IFERROR(__xludf.DUMMYFUNCTION("""COMPUTED_VALUE"""),"C")</f>
        <v>C</v>
      </c>
      <c r="E28" s="132" t="s">
        <v>771</v>
      </c>
      <c r="F28" s="122" t="str">
        <f>IFERROR(__xludf.DUMMYFUNCTION("""COMPUTED_VALUE"""),"李宛宸")</f>
        <v>李宛宸</v>
      </c>
      <c r="G28" s="121" t="s">
        <v>629</v>
      </c>
      <c r="H28" s="151" t="s">
        <v>630</v>
      </c>
      <c r="I28" s="151" t="s">
        <v>630</v>
      </c>
      <c r="J28" s="132" t="s">
        <v>631</v>
      </c>
      <c r="K28" s="39" t="s">
        <v>647</v>
      </c>
      <c r="L28" s="138">
        <v>45469.0</v>
      </c>
      <c r="M28" s="138">
        <v>45474.0</v>
      </c>
      <c r="N28" s="133">
        <v>45828.0</v>
      </c>
      <c r="O28" s="134">
        <v>45839.0</v>
      </c>
      <c r="P28" s="124">
        <v>45838.0</v>
      </c>
      <c r="Q28" s="125">
        <v>355.0</v>
      </c>
      <c r="R28" s="27">
        <v>13100.0</v>
      </c>
      <c r="S28" s="27">
        <v>13100.0</v>
      </c>
      <c r="T28" s="139"/>
      <c r="U28" s="128"/>
      <c r="V28" s="27">
        <v>23000.0</v>
      </c>
      <c r="W28" s="129" t="s">
        <v>772</v>
      </c>
      <c r="X28" s="129" t="s">
        <v>735</v>
      </c>
      <c r="Y28" s="129" t="s">
        <v>773</v>
      </c>
      <c r="Z28" s="39" t="s">
        <v>636</v>
      </c>
      <c r="AA28" s="39" t="s">
        <v>637</v>
      </c>
      <c r="AB28" s="137">
        <v>20.0</v>
      </c>
      <c r="AC28" s="131">
        <v>0.0</v>
      </c>
      <c r="AD28" s="172" t="s">
        <v>774</v>
      </c>
      <c r="AE28" s="39" t="s">
        <v>680</v>
      </c>
      <c r="AF28" s="39" t="s">
        <v>680</v>
      </c>
      <c r="AG28" s="39" t="s">
        <v>680</v>
      </c>
      <c r="AH28" s="31">
        <v>1000.0</v>
      </c>
      <c r="AI28" s="83"/>
      <c r="AJ28" s="83"/>
      <c r="AK28" s="83"/>
      <c r="AL28" s="83"/>
    </row>
    <row r="29" hidden="1">
      <c r="A29" s="120" t="s">
        <v>108</v>
      </c>
      <c r="B29" s="39" t="s">
        <v>775</v>
      </c>
      <c r="C29" s="121" t="str">
        <f>IFERROR(__xludf.DUMMYFUNCTION("""COMPUTED_VALUE"""),"士林和豐")</f>
        <v>士林和豐</v>
      </c>
      <c r="D29" s="121" t="str">
        <f>IFERROR(__xludf.DUMMYFUNCTION("""COMPUTED_VALUE"""),"D")</f>
        <v>D</v>
      </c>
      <c r="E29" s="132" t="s">
        <v>776</v>
      </c>
      <c r="F29" s="122" t="str">
        <f>IFERROR(__xludf.DUMMYFUNCTION("""COMPUTED_VALUE"""),"曹淑宜")</f>
        <v>曹淑宜</v>
      </c>
      <c r="G29" s="121" t="s">
        <v>629</v>
      </c>
      <c r="H29" s="151" t="s">
        <v>777</v>
      </c>
      <c r="I29" s="151" t="s">
        <v>777</v>
      </c>
      <c r="J29" s="173" t="s">
        <v>708</v>
      </c>
      <c r="K29" s="39" t="s">
        <v>647</v>
      </c>
      <c r="L29" s="138">
        <v>45396.0</v>
      </c>
      <c r="M29" s="138">
        <v>45444.0</v>
      </c>
      <c r="N29" s="138">
        <v>45808.0</v>
      </c>
      <c r="O29" s="134">
        <v>45809.0</v>
      </c>
      <c r="P29" s="124">
        <v>45778.0</v>
      </c>
      <c r="Q29" s="125">
        <v>365.0</v>
      </c>
      <c r="R29" s="27">
        <v>12500.0</v>
      </c>
      <c r="S29" s="27">
        <v>12500.0</v>
      </c>
      <c r="T29" s="127"/>
      <c r="U29" s="128"/>
      <c r="V29" s="27">
        <v>25000.0</v>
      </c>
      <c r="W29" s="129" t="s">
        <v>778</v>
      </c>
      <c r="X29" s="129" t="s">
        <v>779</v>
      </c>
      <c r="Y29" s="129" t="s">
        <v>780</v>
      </c>
      <c r="Z29" s="39" t="s">
        <v>636</v>
      </c>
      <c r="AA29" s="15"/>
      <c r="AB29" s="137">
        <v>31.0</v>
      </c>
      <c r="AC29" s="131" t="e">
        <v>#REF!</v>
      </c>
      <c r="AD29" s="15"/>
      <c r="AE29" s="83"/>
      <c r="AF29" s="83"/>
      <c r="AG29" s="83"/>
      <c r="AH29" s="83"/>
      <c r="AI29" s="83"/>
      <c r="AJ29" s="83"/>
      <c r="AK29" s="83"/>
      <c r="AL29" s="83"/>
    </row>
    <row r="30" hidden="1">
      <c r="A30" s="140" t="s">
        <v>52</v>
      </c>
      <c r="B30" s="123" t="s">
        <v>781</v>
      </c>
      <c r="C30" s="121" t="str">
        <f>IFERROR(__xludf.DUMMYFUNCTION("""COMPUTED_VALUE"""),"龍江229")</f>
        <v>龍江229</v>
      </c>
      <c r="D30" s="121" t="str">
        <f>IFERROR(__xludf.DUMMYFUNCTION("""COMPUTED_VALUE"""),"E")</f>
        <v>E</v>
      </c>
      <c r="E30" s="141" t="s">
        <v>782</v>
      </c>
      <c r="F30" s="122" t="str">
        <f>IFERROR(__xludf.DUMMYFUNCTION("""COMPUTED_VALUE"""),"李茂生")</f>
        <v>李茂生</v>
      </c>
      <c r="G30" s="121" t="s">
        <v>629</v>
      </c>
      <c r="H30" s="151" t="s">
        <v>666</v>
      </c>
      <c r="I30" s="151" t="s">
        <v>630</v>
      </c>
      <c r="J30" s="123" t="s">
        <v>631</v>
      </c>
      <c r="K30" s="123" t="s">
        <v>647</v>
      </c>
      <c r="L30" s="124">
        <v>45296.0</v>
      </c>
      <c r="M30" s="124">
        <v>45298.0</v>
      </c>
      <c r="N30" s="124">
        <v>45473.0</v>
      </c>
      <c r="O30" s="142">
        <v>45474.0</v>
      </c>
      <c r="P30" s="124">
        <v>45627.0</v>
      </c>
      <c r="Q30" s="125">
        <v>176.0</v>
      </c>
      <c r="R30" s="126">
        <v>12500.0</v>
      </c>
      <c r="S30" s="126">
        <v>12500.0</v>
      </c>
      <c r="T30" s="127"/>
      <c r="U30" s="128"/>
      <c r="V30" s="126">
        <v>25000.0</v>
      </c>
      <c r="W30" s="129" t="s">
        <v>783</v>
      </c>
      <c r="X30" s="129" t="s">
        <v>784</v>
      </c>
      <c r="Y30" s="129" t="s">
        <v>785</v>
      </c>
      <c r="Z30" s="39" t="s">
        <v>636</v>
      </c>
      <c r="AA30" s="39" t="s">
        <v>637</v>
      </c>
      <c r="AB30" s="130">
        <v>24.0</v>
      </c>
      <c r="AC30" s="143">
        <v>0.0</v>
      </c>
      <c r="AD30" s="123" t="s">
        <v>786</v>
      </c>
      <c r="AE30" s="174">
        <v>27.0</v>
      </c>
      <c r="AF30" s="174">
        <v>372.0</v>
      </c>
      <c r="AG30" s="83"/>
      <c r="AH30" s="39" t="s">
        <v>787</v>
      </c>
      <c r="AI30" s="39" t="s">
        <v>696</v>
      </c>
      <c r="AJ30" s="83"/>
      <c r="AK30" s="83"/>
      <c r="AL30" s="83"/>
    </row>
    <row r="31" hidden="1">
      <c r="A31" s="120" t="s">
        <v>40</v>
      </c>
      <c r="B31" s="132" t="s">
        <v>788</v>
      </c>
      <c r="C31" s="121" t="str">
        <f>IFERROR(__xludf.DUMMYFUNCTION("""COMPUTED_VALUE"""),"龍江229")</f>
        <v>龍江229</v>
      </c>
      <c r="D31" s="121" t="str">
        <f>IFERROR(__xludf.DUMMYFUNCTION("""COMPUTED_VALUE"""),"A")</f>
        <v>A</v>
      </c>
      <c r="E31" s="132" t="s">
        <v>789</v>
      </c>
      <c r="F31" s="122" t="str">
        <f>IFERROR(__xludf.DUMMYFUNCTION("""COMPUTED_VALUE"""),"莊美娟")</f>
        <v>莊美娟</v>
      </c>
      <c r="G31" s="121" t="s">
        <v>629</v>
      </c>
      <c r="H31" s="151" t="s">
        <v>630</v>
      </c>
      <c r="I31" s="39" t="s">
        <v>630</v>
      </c>
      <c r="J31" s="132" t="s">
        <v>631</v>
      </c>
      <c r="K31" s="39" t="s">
        <v>647</v>
      </c>
      <c r="L31" s="138">
        <v>45297.0</v>
      </c>
      <c r="M31" s="138">
        <v>45306.0</v>
      </c>
      <c r="N31" s="144">
        <v>45716.0</v>
      </c>
      <c r="O31" s="145">
        <v>45717.0</v>
      </c>
      <c r="P31" s="124">
        <v>45689.0</v>
      </c>
      <c r="Q31" s="125">
        <v>411.0</v>
      </c>
      <c r="R31" s="27">
        <v>12800.0</v>
      </c>
      <c r="S31" s="27">
        <v>12800.0</v>
      </c>
      <c r="T31" s="153"/>
      <c r="U31" s="128"/>
      <c r="V31" s="27">
        <v>25600.0</v>
      </c>
      <c r="W31" s="129" t="s">
        <v>790</v>
      </c>
      <c r="X31" s="129" t="s">
        <v>791</v>
      </c>
      <c r="Y31" s="129" t="s">
        <v>635</v>
      </c>
      <c r="Z31" s="15"/>
      <c r="AA31" s="39" t="s">
        <v>658</v>
      </c>
      <c r="AB31" s="137">
        <v>14.0</v>
      </c>
      <c r="AC31" s="131" t="e">
        <v>#REF!</v>
      </c>
      <c r="AD31" s="39" t="s">
        <v>792</v>
      </c>
      <c r="AE31" s="175"/>
      <c r="AF31" s="175"/>
      <c r="AG31" s="15"/>
      <c r="AH31" s="39" t="s">
        <v>793</v>
      </c>
      <c r="AI31" s="39" t="s">
        <v>696</v>
      </c>
      <c r="AJ31" s="83"/>
      <c r="AK31" s="83"/>
      <c r="AL31" s="83"/>
    </row>
    <row r="32" hidden="1">
      <c r="A32" s="120" t="s">
        <v>44</v>
      </c>
      <c r="B32" s="132" t="s">
        <v>794</v>
      </c>
      <c r="C32" s="121" t="str">
        <f>IFERROR(__xludf.DUMMYFUNCTION("""COMPUTED_VALUE"""),"龍江229")</f>
        <v>龍江229</v>
      </c>
      <c r="D32" s="121" t="str">
        <f>IFERROR(__xludf.DUMMYFUNCTION("""COMPUTED_VALUE"""),"B")</f>
        <v>B</v>
      </c>
      <c r="E32" s="132" t="s">
        <v>795</v>
      </c>
      <c r="F32" s="122" t="str">
        <f>IFERROR(__xludf.DUMMYFUNCTION("""COMPUTED_VALUE"""),"陳佩娟")</f>
        <v>陳佩娟</v>
      </c>
      <c r="G32" s="121" t="s">
        <v>629</v>
      </c>
      <c r="H32" s="151" t="s">
        <v>630</v>
      </c>
      <c r="I32" s="39" t="s">
        <v>630</v>
      </c>
      <c r="J32" s="132" t="s">
        <v>631</v>
      </c>
      <c r="K32" s="39" t="s">
        <v>647</v>
      </c>
      <c r="L32" s="138">
        <v>45305.0</v>
      </c>
      <c r="M32" s="138">
        <v>45310.0</v>
      </c>
      <c r="N32" s="144">
        <v>45716.0</v>
      </c>
      <c r="O32" s="145">
        <v>45717.0</v>
      </c>
      <c r="P32" s="124">
        <v>45689.0</v>
      </c>
      <c r="Q32" s="125">
        <v>407.0</v>
      </c>
      <c r="R32" s="27">
        <v>13000.0</v>
      </c>
      <c r="S32" s="27">
        <v>13000.0</v>
      </c>
      <c r="T32" s="153"/>
      <c r="U32" s="128"/>
      <c r="V32" s="27">
        <v>26000.0</v>
      </c>
      <c r="W32" s="129" t="s">
        <v>796</v>
      </c>
      <c r="X32" s="129" t="s">
        <v>797</v>
      </c>
      <c r="Y32" s="129" t="s">
        <v>635</v>
      </c>
      <c r="Z32" s="83"/>
      <c r="AA32" s="39" t="s">
        <v>658</v>
      </c>
      <c r="AB32" s="137">
        <v>10.0</v>
      </c>
      <c r="AC32" s="131" t="e">
        <v>#REF!</v>
      </c>
      <c r="AD32" s="39" t="s">
        <v>798</v>
      </c>
      <c r="AE32" s="83"/>
      <c r="AF32" s="83"/>
      <c r="AG32" s="83"/>
      <c r="AH32" s="39" t="s">
        <v>793</v>
      </c>
      <c r="AI32" s="39" t="s">
        <v>696</v>
      </c>
      <c r="AJ32" s="83"/>
      <c r="AK32" s="83"/>
      <c r="AL32" s="83"/>
    </row>
    <row r="33" hidden="1">
      <c r="A33" s="120" t="s">
        <v>46</v>
      </c>
      <c r="B33" s="132" t="s">
        <v>799</v>
      </c>
      <c r="C33" s="121" t="str">
        <f>IFERROR(__xludf.DUMMYFUNCTION("""COMPUTED_VALUE"""),"龍江229")</f>
        <v>龍江229</v>
      </c>
      <c r="D33" s="121" t="str">
        <f>IFERROR(__xludf.DUMMYFUNCTION("""COMPUTED_VALUE"""),"C")</f>
        <v>C</v>
      </c>
      <c r="E33" s="132" t="s">
        <v>800</v>
      </c>
      <c r="F33" s="122" t="str">
        <f>IFERROR(__xludf.DUMMYFUNCTION("""COMPUTED_VALUE"""),"陳雨彤")</f>
        <v>陳雨彤</v>
      </c>
      <c r="G33" s="121" t="s">
        <v>629</v>
      </c>
      <c r="H33" s="151" t="s">
        <v>630</v>
      </c>
      <c r="I33" s="151" t="s">
        <v>630</v>
      </c>
      <c r="J33" s="132" t="s">
        <v>631</v>
      </c>
      <c r="K33" s="31" t="s">
        <v>647</v>
      </c>
      <c r="L33" s="138">
        <v>45299.0</v>
      </c>
      <c r="M33" s="138">
        <v>45311.0</v>
      </c>
      <c r="N33" s="144">
        <v>45716.0</v>
      </c>
      <c r="O33" s="145">
        <v>45717.0</v>
      </c>
      <c r="P33" s="124">
        <v>45689.0</v>
      </c>
      <c r="Q33" s="125">
        <v>406.0</v>
      </c>
      <c r="R33" s="27">
        <v>16800.0</v>
      </c>
      <c r="S33" s="27">
        <v>16800.0</v>
      </c>
      <c r="T33" s="153"/>
      <c r="U33" s="128"/>
      <c r="V33" s="27">
        <v>33600.0</v>
      </c>
      <c r="W33" s="129" t="s">
        <v>801</v>
      </c>
      <c r="X33" s="129" t="s">
        <v>802</v>
      </c>
      <c r="Y33" s="129" t="s">
        <v>635</v>
      </c>
      <c r="Z33" s="83"/>
      <c r="AA33" s="39" t="s">
        <v>658</v>
      </c>
      <c r="AB33" s="137">
        <v>9.0</v>
      </c>
      <c r="AC33" s="131" t="e">
        <v>#REF!</v>
      </c>
      <c r="AD33" s="39" t="s">
        <v>803</v>
      </c>
      <c r="AE33" s="83"/>
      <c r="AF33" s="83"/>
      <c r="AG33" s="83"/>
      <c r="AH33" s="83"/>
      <c r="AI33" s="83"/>
      <c r="AJ33" s="83"/>
      <c r="AK33" s="83"/>
      <c r="AL33" s="83"/>
    </row>
    <row r="34" hidden="1">
      <c r="A34" s="120" t="s">
        <v>50</v>
      </c>
      <c r="B34" s="39" t="s">
        <v>804</v>
      </c>
      <c r="C34" s="121" t="str">
        <f>IFERROR(__xludf.DUMMYFUNCTION("""COMPUTED_VALUE"""),"龍江229")</f>
        <v>龍江229</v>
      </c>
      <c r="D34" s="121" t="str">
        <f>IFERROR(__xludf.DUMMYFUNCTION("""COMPUTED_VALUE"""),"D")</f>
        <v>D</v>
      </c>
      <c r="E34" s="132" t="s">
        <v>805</v>
      </c>
      <c r="F34" s="122" t="str">
        <f>IFERROR(__xludf.DUMMYFUNCTION("""COMPUTED_VALUE"""),"黃依婷")</f>
        <v>黃依婷</v>
      </c>
      <c r="G34" s="121" t="s">
        <v>629</v>
      </c>
      <c r="H34" s="151" t="s">
        <v>630</v>
      </c>
      <c r="I34" s="151" t="s">
        <v>630</v>
      </c>
      <c r="J34" s="132" t="s">
        <v>631</v>
      </c>
      <c r="K34" s="31" t="s">
        <v>647</v>
      </c>
      <c r="L34" s="138">
        <v>45297.0</v>
      </c>
      <c r="M34" s="138">
        <v>45300.0</v>
      </c>
      <c r="N34" s="144">
        <v>45716.0</v>
      </c>
      <c r="O34" s="145">
        <v>45717.0</v>
      </c>
      <c r="P34" s="124">
        <v>45689.0</v>
      </c>
      <c r="Q34" s="125">
        <v>417.0</v>
      </c>
      <c r="R34" s="27">
        <v>13300.0</v>
      </c>
      <c r="S34" s="27">
        <v>13300.0</v>
      </c>
      <c r="T34" s="153"/>
      <c r="U34" s="128"/>
      <c r="V34" s="27">
        <v>26600.0</v>
      </c>
      <c r="W34" s="129" t="s">
        <v>790</v>
      </c>
      <c r="X34" s="129" t="s">
        <v>806</v>
      </c>
      <c r="Y34" s="129" t="s">
        <v>635</v>
      </c>
      <c r="Z34" s="83"/>
      <c r="AA34" s="39" t="s">
        <v>658</v>
      </c>
      <c r="AB34" s="137">
        <v>20.0</v>
      </c>
      <c r="AC34" s="131" t="e">
        <v>#REF!</v>
      </c>
      <c r="AD34" s="39" t="s">
        <v>807</v>
      </c>
      <c r="AE34" s="83"/>
      <c r="AF34" s="83"/>
      <c r="AG34" s="83"/>
      <c r="AH34" s="83"/>
      <c r="AI34" s="83"/>
      <c r="AJ34" s="83"/>
      <c r="AK34" s="83"/>
      <c r="AL34" s="83"/>
    </row>
    <row r="35" hidden="1">
      <c r="A35" s="120" t="s">
        <v>52</v>
      </c>
      <c r="B35" s="132" t="s">
        <v>808</v>
      </c>
      <c r="C35" s="121" t="str">
        <f>IFERROR(__xludf.DUMMYFUNCTION("""COMPUTED_VALUE"""),"龍江229")</f>
        <v>龍江229</v>
      </c>
      <c r="D35" s="121" t="str">
        <f>IFERROR(__xludf.DUMMYFUNCTION("""COMPUTED_VALUE"""),"E")</f>
        <v>E</v>
      </c>
      <c r="E35" s="132" t="s">
        <v>809</v>
      </c>
      <c r="F35" s="122" t="str">
        <f>IFERROR(__xludf.DUMMYFUNCTION("""COMPUTED_VALUE"""),"許霈琪")</f>
        <v>許霈琪</v>
      </c>
      <c r="G35" s="121" t="s">
        <v>629</v>
      </c>
      <c r="H35" s="151" t="s">
        <v>630</v>
      </c>
      <c r="I35" s="151" t="s">
        <v>630</v>
      </c>
      <c r="J35" s="132" t="s">
        <v>631</v>
      </c>
      <c r="K35" s="39" t="s">
        <v>647</v>
      </c>
      <c r="L35" s="138">
        <v>45467.0</v>
      </c>
      <c r="M35" s="138">
        <v>45474.0</v>
      </c>
      <c r="N35" s="133">
        <v>45716.0</v>
      </c>
      <c r="O35" s="145">
        <v>45717.0</v>
      </c>
      <c r="P35" s="124">
        <v>45809.0</v>
      </c>
      <c r="Q35" s="125">
        <v>243.0</v>
      </c>
      <c r="R35" s="27">
        <v>13500.0</v>
      </c>
      <c r="S35" s="27">
        <v>13500.0</v>
      </c>
      <c r="T35" s="153"/>
      <c r="U35" s="128"/>
      <c r="V35" s="27">
        <v>27000.0</v>
      </c>
      <c r="W35" s="129" t="s">
        <v>810</v>
      </c>
      <c r="X35" s="129" t="s">
        <v>735</v>
      </c>
      <c r="Y35" s="129" t="s">
        <v>635</v>
      </c>
      <c r="Z35" s="39" t="s">
        <v>636</v>
      </c>
      <c r="AA35" s="39" t="s">
        <v>637</v>
      </c>
      <c r="AB35" s="137">
        <v>28.0</v>
      </c>
      <c r="AC35" s="131">
        <v>0.0</v>
      </c>
      <c r="AD35" s="39" t="s">
        <v>811</v>
      </c>
      <c r="AE35" s="83"/>
      <c r="AF35" s="83"/>
      <c r="AG35" s="83"/>
      <c r="AH35" s="83"/>
      <c r="AI35" s="83"/>
      <c r="AJ35" s="83"/>
      <c r="AK35" s="83"/>
      <c r="AL35" s="83"/>
    </row>
    <row r="36" hidden="1">
      <c r="A36" s="140" t="s">
        <v>59</v>
      </c>
      <c r="B36" s="123" t="s">
        <v>812</v>
      </c>
      <c r="C36" s="121" t="str">
        <f>IFERROR(__xludf.DUMMYFUNCTION("""COMPUTED_VALUE"""),"哈拉對面")</f>
        <v>哈拉對面</v>
      </c>
      <c r="D36" s="121" t="str">
        <f>IFERROR(__xludf.DUMMYFUNCTION("""COMPUTED_VALUE"""),"B")</f>
        <v>B</v>
      </c>
      <c r="E36" s="141" t="s">
        <v>813</v>
      </c>
      <c r="F36" s="122" t="str">
        <f>IFERROR(__xludf.DUMMYFUNCTION("""COMPUTED_VALUE"""),"林宜芳")</f>
        <v>林宜芳</v>
      </c>
      <c r="G36" s="121" t="s">
        <v>629</v>
      </c>
      <c r="H36" s="151" t="s">
        <v>666</v>
      </c>
      <c r="I36" s="151" t="s">
        <v>630</v>
      </c>
      <c r="J36" s="123" t="s">
        <v>631</v>
      </c>
      <c r="K36" s="123" t="s">
        <v>647</v>
      </c>
      <c r="L36" s="124">
        <v>45335.0</v>
      </c>
      <c r="M36" s="124">
        <v>45335.0</v>
      </c>
      <c r="N36" s="124">
        <v>45514.0</v>
      </c>
      <c r="O36" s="142">
        <v>45506.0</v>
      </c>
      <c r="P36" s="124">
        <v>45505.0</v>
      </c>
      <c r="Q36" s="125">
        <v>180.0</v>
      </c>
      <c r="R36" s="126">
        <v>19100.0</v>
      </c>
      <c r="S36" s="126">
        <v>19100.0</v>
      </c>
      <c r="T36" s="127"/>
      <c r="U36" s="128"/>
      <c r="V36" s="126">
        <v>38200.0</v>
      </c>
      <c r="W36" s="129" t="s">
        <v>814</v>
      </c>
      <c r="X36" s="129" t="s">
        <v>814</v>
      </c>
      <c r="Y36" s="129" t="s">
        <v>815</v>
      </c>
      <c r="Z36" s="83"/>
      <c r="AA36" s="39" t="s">
        <v>658</v>
      </c>
      <c r="AB36" s="130">
        <v>12.0</v>
      </c>
      <c r="AC36" s="143" t="e">
        <v>#REF!</v>
      </c>
      <c r="AD36" s="123" t="s">
        <v>816</v>
      </c>
      <c r="AE36" s="39" t="s">
        <v>680</v>
      </c>
      <c r="AF36" s="39" t="s">
        <v>680</v>
      </c>
      <c r="AG36" s="39" t="s">
        <v>680</v>
      </c>
      <c r="AH36" s="83"/>
      <c r="AI36" s="83"/>
      <c r="AJ36" s="83"/>
      <c r="AK36" s="83"/>
      <c r="AL36" s="83"/>
    </row>
    <row r="37" hidden="1">
      <c r="A37" s="120" t="s">
        <v>55</v>
      </c>
      <c r="B37" s="132" t="s">
        <v>817</v>
      </c>
      <c r="C37" s="121" t="str">
        <f>IFERROR(__xludf.DUMMYFUNCTION("""COMPUTED_VALUE"""),"哈拉對面")</f>
        <v>哈拉對面</v>
      </c>
      <c r="D37" s="121" t="str">
        <f>IFERROR(__xludf.DUMMYFUNCTION("""COMPUTED_VALUE"""),"A")</f>
        <v>A</v>
      </c>
      <c r="E37" s="132" t="s">
        <v>818</v>
      </c>
      <c r="F37" s="122" t="str">
        <f>IFERROR(__xludf.DUMMYFUNCTION("""COMPUTED_VALUE"""),"李柏緯")</f>
        <v>李柏緯</v>
      </c>
      <c r="G37" s="121" t="s">
        <v>629</v>
      </c>
      <c r="H37" s="39" t="s">
        <v>630</v>
      </c>
      <c r="I37" s="39" t="s">
        <v>630</v>
      </c>
      <c r="J37" s="132" t="s">
        <v>631</v>
      </c>
      <c r="K37" s="39" t="s">
        <v>647</v>
      </c>
      <c r="L37" s="138">
        <v>45351.0</v>
      </c>
      <c r="M37" s="138">
        <v>45355.0</v>
      </c>
      <c r="N37" s="144">
        <v>45719.0</v>
      </c>
      <c r="O37" s="134">
        <v>45748.0</v>
      </c>
      <c r="P37" s="124">
        <v>45717.0</v>
      </c>
      <c r="Q37" s="125">
        <v>365.0</v>
      </c>
      <c r="R37" s="27">
        <v>11300.0</v>
      </c>
      <c r="S37" s="27">
        <v>11300.0</v>
      </c>
      <c r="T37" s="153"/>
      <c r="U37" s="128"/>
      <c r="V37" s="27">
        <v>22600.0</v>
      </c>
      <c r="W37" s="129" t="s">
        <v>819</v>
      </c>
      <c r="X37" s="129" t="s">
        <v>820</v>
      </c>
      <c r="Y37" s="129" t="s">
        <v>821</v>
      </c>
      <c r="Z37" s="39" t="s">
        <v>636</v>
      </c>
      <c r="AA37" s="39" t="s">
        <v>658</v>
      </c>
      <c r="AB37" s="176">
        <v>3.0</v>
      </c>
      <c r="AC37" s="131" t="e">
        <v>#REF!</v>
      </c>
      <c r="AD37" s="39" t="s">
        <v>822</v>
      </c>
      <c r="AE37" s="175"/>
      <c r="AF37" s="175"/>
      <c r="AG37" s="83"/>
      <c r="AH37" s="83"/>
      <c r="AI37" s="83"/>
      <c r="AJ37" s="83"/>
      <c r="AK37" s="83"/>
      <c r="AL37" s="83"/>
    </row>
    <row r="38" hidden="1">
      <c r="A38" s="120" t="s">
        <v>59</v>
      </c>
      <c r="B38" s="132" t="s">
        <v>823</v>
      </c>
      <c r="C38" s="121" t="str">
        <f>IFERROR(__xludf.DUMMYFUNCTION("""COMPUTED_VALUE"""),"哈拉對面")</f>
        <v>哈拉對面</v>
      </c>
      <c r="D38" s="121" t="str">
        <f>IFERROR(__xludf.DUMMYFUNCTION("""COMPUTED_VALUE"""),"B")</f>
        <v>B</v>
      </c>
      <c r="E38" s="132" t="s">
        <v>824</v>
      </c>
      <c r="F38" s="122" t="str">
        <f>IFERROR(__xludf.DUMMYFUNCTION("""COMPUTED_VALUE"""),"黃彥瑞")</f>
        <v>黃彥瑞</v>
      </c>
      <c r="G38" s="121" t="s">
        <v>629</v>
      </c>
      <c r="H38" s="39" t="s">
        <v>630</v>
      </c>
      <c r="I38" s="39" t="s">
        <v>630</v>
      </c>
      <c r="J38" s="132" t="s">
        <v>631</v>
      </c>
      <c r="K38" s="39" t="s">
        <v>647</v>
      </c>
      <c r="L38" s="138">
        <v>45525.0</v>
      </c>
      <c r="M38" s="138">
        <v>45536.0</v>
      </c>
      <c r="N38" s="133">
        <v>45716.0</v>
      </c>
      <c r="O38" s="145">
        <v>45717.0</v>
      </c>
      <c r="P38" s="124">
        <v>45870.0</v>
      </c>
      <c r="Q38" s="125">
        <v>181.0</v>
      </c>
      <c r="R38" s="27">
        <v>15800.0</v>
      </c>
      <c r="S38" s="27">
        <v>15800.0</v>
      </c>
      <c r="T38" s="153"/>
      <c r="U38" s="128"/>
      <c r="V38" s="27">
        <v>31600.0</v>
      </c>
      <c r="W38" s="129" t="s">
        <v>825</v>
      </c>
      <c r="X38" s="129" t="s">
        <v>826</v>
      </c>
      <c r="Y38" s="129" t="s">
        <v>635</v>
      </c>
      <c r="Z38" s="39" t="s">
        <v>636</v>
      </c>
      <c r="AA38" s="39" t="s">
        <v>637</v>
      </c>
      <c r="AB38" s="137">
        <v>28.0</v>
      </c>
      <c r="AC38" s="131">
        <v>0.0</v>
      </c>
      <c r="AD38" s="39" t="s">
        <v>827</v>
      </c>
      <c r="AE38" s="83"/>
      <c r="AF38" s="83"/>
      <c r="AG38" s="31">
        <v>600.0</v>
      </c>
      <c r="AH38" s="83"/>
      <c r="AI38" s="83"/>
      <c r="AJ38" s="83"/>
      <c r="AK38" s="83"/>
      <c r="AL38" s="83"/>
    </row>
    <row r="39" hidden="1">
      <c r="A39" s="120" t="s">
        <v>62</v>
      </c>
      <c r="B39" s="132" t="s">
        <v>828</v>
      </c>
      <c r="C39" s="121" t="str">
        <f>IFERROR(__xludf.DUMMYFUNCTION("""COMPUTED_VALUE"""),"哈拉對面")</f>
        <v>哈拉對面</v>
      </c>
      <c r="D39" s="121" t="str">
        <f>IFERROR(__xludf.DUMMYFUNCTION("""COMPUTED_VALUE"""),"C")</f>
        <v>C</v>
      </c>
      <c r="E39" s="132" t="s">
        <v>829</v>
      </c>
      <c r="F39" s="122" t="str">
        <f>IFERROR(__xludf.DUMMYFUNCTION("""COMPUTED_VALUE"""),"徐鉦庭")</f>
        <v>徐鉦庭</v>
      </c>
      <c r="G39" s="121" t="s">
        <v>629</v>
      </c>
      <c r="H39" s="39" t="s">
        <v>630</v>
      </c>
      <c r="I39" s="39" t="s">
        <v>630</v>
      </c>
      <c r="J39" s="132" t="s">
        <v>631</v>
      </c>
      <c r="K39" s="39" t="s">
        <v>647</v>
      </c>
      <c r="L39" s="138">
        <v>45327.0</v>
      </c>
      <c r="M39" s="138">
        <v>45366.0</v>
      </c>
      <c r="N39" s="144">
        <v>45730.0</v>
      </c>
      <c r="O39" s="134">
        <v>45748.0</v>
      </c>
      <c r="P39" s="124">
        <v>45717.0</v>
      </c>
      <c r="Q39" s="125">
        <v>365.0</v>
      </c>
      <c r="R39" s="27">
        <v>11800.0</v>
      </c>
      <c r="S39" s="27">
        <v>11800.0</v>
      </c>
      <c r="T39" s="153"/>
      <c r="U39" s="128"/>
      <c r="V39" s="27">
        <v>23600.0</v>
      </c>
      <c r="W39" s="129" t="s">
        <v>830</v>
      </c>
      <c r="X39" s="129" t="s">
        <v>831</v>
      </c>
      <c r="Y39" s="129" t="s">
        <v>832</v>
      </c>
      <c r="Z39" s="39" t="s">
        <v>636</v>
      </c>
      <c r="AA39" s="39" t="s">
        <v>658</v>
      </c>
      <c r="AB39" s="176">
        <v>14.0</v>
      </c>
      <c r="AC39" s="131" t="e">
        <v>#REF!</v>
      </c>
      <c r="AD39" s="39" t="s">
        <v>833</v>
      </c>
      <c r="AE39" s="83"/>
      <c r="AF39" s="83"/>
      <c r="AG39" s="83"/>
      <c r="AH39" s="83"/>
      <c r="AI39" s="83"/>
      <c r="AJ39" s="83"/>
      <c r="AK39" s="83"/>
      <c r="AL39" s="83"/>
    </row>
    <row r="40" hidden="1">
      <c r="A40" s="120" t="s">
        <v>65</v>
      </c>
      <c r="B40" s="132" t="s">
        <v>834</v>
      </c>
      <c r="C40" s="121" t="str">
        <f>IFERROR(__xludf.DUMMYFUNCTION("""COMPUTED_VALUE"""),"哈拉對面")</f>
        <v>哈拉對面</v>
      </c>
      <c r="D40" s="121" t="str">
        <f>IFERROR(__xludf.DUMMYFUNCTION("""COMPUTED_VALUE"""),"D")</f>
        <v>D</v>
      </c>
      <c r="E40" s="132" t="s">
        <v>835</v>
      </c>
      <c r="F40" s="122" t="str">
        <f>IFERROR(__xludf.DUMMYFUNCTION("""COMPUTED_VALUE"""),"柳翰洋")</f>
        <v>柳翰洋</v>
      </c>
      <c r="G40" s="121" t="s">
        <v>629</v>
      </c>
      <c r="H40" s="39" t="s">
        <v>630</v>
      </c>
      <c r="I40" s="39" t="s">
        <v>630</v>
      </c>
      <c r="J40" s="132" t="s">
        <v>631</v>
      </c>
      <c r="K40" s="39" t="s">
        <v>647</v>
      </c>
      <c r="L40" s="138">
        <v>45358.0</v>
      </c>
      <c r="M40" s="138">
        <v>45359.0</v>
      </c>
      <c r="N40" s="144">
        <v>45723.0</v>
      </c>
      <c r="O40" s="134">
        <v>45748.0</v>
      </c>
      <c r="P40" s="124">
        <v>45717.0</v>
      </c>
      <c r="Q40" s="125">
        <v>365.0</v>
      </c>
      <c r="R40" s="27">
        <v>12300.0</v>
      </c>
      <c r="S40" s="27">
        <v>12300.0</v>
      </c>
      <c r="T40" s="153"/>
      <c r="U40" s="128"/>
      <c r="V40" s="27">
        <v>24600.0</v>
      </c>
      <c r="W40" s="129" t="s">
        <v>836</v>
      </c>
      <c r="X40" s="129" t="s">
        <v>837</v>
      </c>
      <c r="Y40" s="129" t="s">
        <v>838</v>
      </c>
      <c r="Z40" s="39" t="s">
        <v>636</v>
      </c>
      <c r="AA40" s="39" t="s">
        <v>658</v>
      </c>
      <c r="AB40" s="176">
        <v>7.0</v>
      </c>
      <c r="AC40" s="131" t="e">
        <v>#REF!</v>
      </c>
      <c r="AD40" s="39" t="s">
        <v>839</v>
      </c>
      <c r="AE40" s="83"/>
      <c r="AF40" s="83"/>
      <c r="AG40" s="83"/>
      <c r="AH40" s="83"/>
      <c r="AI40" s="83"/>
      <c r="AJ40" s="83"/>
      <c r="AK40" s="83"/>
      <c r="AL40" s="83"/>
    </row>
    <row r="41" hidden="1">
      <c r="A41" s="140" t="s">
        <v>68</v>
      </c>
      <c r="B41" s="123" t="s">
        <v>840</v>
      </c>
      <c r="C41" s="121" t="str">
        <f>IFERROR(__xludf.DUMMYFUNCTION("""COMPUTED_VALUE"""),"北醫醫師府")</f>
        <v>北醫醫師府</v>
      </c>
      <c r="D41" s="121" t="str">
        <f>IFERROR(__xludf.DUMMYFUNCTION("""COMPUTED_VALUE"""),"A")</f>
        <v>A</v>
      </c>
      <c r="E41" s="141" t="s">
        <v>841</v>
      </c>
      <c r="F41" s="122" t="str">
        <f>IFERROR(__xludf.DUMMYFUNCTION("""COMPUTED_VALUE"""),"鄭伊彤")</f>
        <v>鄭伊彤</v>
      </c>
      <c r="G41" s="121" t="s">
        <v>629</v>
      </c>
      <c r="H41" s="39" t="s">
        <v>666</v>
      </c>
      <c r="I41" s="39" t="s">
        <v>630</v>
      </c>
      <c r="J41" s="123" t="s">
        <v>631</v>
      </c>
      <c r="K41" s="123" t="s">
        <v>647</v>
      </c>
      <c r="L41" s="124">
        <v>45395.0</v>
      </c>
      <c r="M41" s="124">
        <v>45397.0</v>
      </c>
      <c r="N41" s="124">
        <v>45619.0</v>
      </c>
      <c r="O41" s="142">
        <v>45597.0</v>
      </c>
      <c r="P41" s="124">
        <v>45717.0</v>
      </c>
      <c r="Q41" s="125">
        <v>223.0</v>
      </c>
      <c r="R41" s="126">
        <v>13500.0</v>
      </c>
      <c r="S41" s="126">
        <v>13500.0</v>
      </c>
      <c r="T41" s="127"/>
      <c r="U41" s="128"/>
      <c r="V41" s="126">
        <v>27000.0</v>
      </c>
      <c r="W41" s="129" t="s">
        <v>842</v>
      </c>
      <c r="X41" s="129" t="s">
        <v>843</v>
      </c>
      <c r="Y41" s="129" t="s">
        <v>844</v>
      </c>
      <c r="Z41" s="39" t="s">
        <v>636</v>
      </c>
      <c r="AA41" s="39" t="s">
        <v>637</v>
      </c>
      <c r="AB41" s="130">
        <v>9.0</v>
      </c>
      <c r="AC41" s="143">
        <v>0.0</v>
      </c>
      <c r="AD41" s="123" t="s">
        <v>845</v>
      </c>
      <c r="AE41" s="83"/>
      <c r="AF41" s="83"/>
      <c r="AG41" s="83"/>
      <c r="AH41" s="39" t="s">
        <v>793</v>
      </c>
      <c r="AI41" s="39" t="s">
        <v>696</v>
      </c>
      <c r="AJ41" s="83"/>
      <c r="AK41" s="83"/>
      <c r="AL41" s="83"/>
    </row>
    <row r="42" hidden="1">
      <c r="A42" s="120" t="s">
        <v>71</v>
      </c>
      <c r="B42" s="132" t="s">
        <v>846</v>
      </c>
      <c r="C42" s="121" t="str">
        <f>IFERROR(__xludf.DUMMYFUNCTION("""COMPUTED_VALUE"""),"北醫醫師府")</f>
        <v>北醫醫師府</v>
      </c>
      <c r="D42" s="121" t="str">
        <f>IFERROR(__xludf.DUMMYFUNCTION("""COMPUTED_VALUE"""),"B")</f>
        <v>B</v>
      </c>
      <c r="E42" s="132" t="s">
        <v>847</v>
      </c>
      <c r="F42" s="122" t="str">
        <f>IFERROR(__xludf.DUMMYFUNCTION("""COMPUTED_VALUE"""),"王品涵
賴泓賓")</f>
        <v>王品涵
賴泓賓</v>
      </c>
      <c r="G42" s="121" t="s">
        <v>629</v>
      </c>
      <c r="H42" s="39" t="s">
        <v>630</v>
      </c>
      <c r="I42" s="39" t="s">
        <v>630</v>
      </c>
      <c r="J42" s="132" t="s">
        <v>631</v>
      </c>
      <c r="K42" s="39" t="s">
        <v>647</v>
      </c>
      <c r="L42" s="138">
        <v>45527.0</v>
      </c>
      <c r="M42" s="177">
        <v>45525.0</v>
      </c>
      <c r="N42" s="138">
        <v>45777.0</v>
      </c>
      <c r="O42" s="134">
        <v>45778.0</v>
      </c>
      <c r="P42" s="124">
        <v>45748.0</v>
      </c>
      <c r="Q42" s="125">
        <v>253.0</v>
      </c>
      <c r="R42" s="27">
        <v>19800.0</v>
      </c>
      <c r="S42" s="27">
        <v>19800.0</v>
      </c>
      <c r="T42" s="139"/>
      <c r="U42" s="128"/>
      <c r="V42" s="27">
        <v>39600.0</v>
      </c>
      <c r="W42" s="129" t="s">
        <v>848</v>
      </c>
      <c r="X42" s="129" t="s">
        <v>825</v>
      </c>
      <c r="Y42" s="129" t="s">
        <v>849</v>
      </c>
      <c r="Z42" s="39" t="s">
        <v>636</v>
      </c>
      <c r="AA42" s="39" t="s">
        <v>658</v>
      </c>
      <c r="AB42" s="137">
        <v>10.0</v>
      </c>
      <c r="AC42" s="131" t="e">
        <v>#REF!</v>
      </c>
      <c r="AD42" s="39" t="s">
        <v>850</v>
      </c>
      <c r="AE42" s="83"/>
      <c r="AF42" s="83"/>
      <c r="AG42" s="83"/>
      <c r="AH42" s="83"/>
      <c r="AI42" s="83"/>
      <c r="AJ42" s="83"/>
      <c r="AK42" s="83"/>
      <c r="AL42" s="83"/>
    </row>
    <row r="43" hidden="1">
      <c r="A43" s="120" t="s">
        <v>72</v>
      </c>
      <c r="B43" s="132" t="s">
        <v>851</v>
      </c>
      <c r="C43" s="121" t="str">
        <f>IFERROR(__xludf.DUMMYFUNCTION("""COMPUTED_VALUE"""),"北醫醫師府")</f>
        <v>北醫醫師府</v>
      </c>
      <c r="D43" s="121" t="str">
        <f>IFERROR(__xludf.DUMMYFUNCTION("""COMPUTED_VALUE"""),"C")</f>
        <v>C</v>
      </c>
      <c r="E43" s="132" t="s">
        <v>852</v>
      </c>
      <c r="F43" s="122" t="str">
        <f>IFERROR(__xludf.DUMMYFUNCTION("""COMPUTED_VALUE"""),"余典蓉")</f>
        <v>余典蓉</v>
      </c>
      <c r="G43" s="121" t="s">
        <v>629</v>
      </c>
      <c r="H43" s="39" t="s">
        <v>630</v>
      </c>
      <c r="I43" s="39" t="s">
        <v>630</v>
      </c>
      <c r="J43" s="132" t="s">
        <v>631</v>
      </c>
      <c r="K43" s="39" t="s">
        <v>647</v>
      </c>
      <c r="L43" s="138">
        <v>45387.0</v>
      </c>
      <c r="M43" s="138">
        <v>45403.0</v>
      </c>
      <c r="N43" s="138">
        <v>45858.0</v>
      </c>
      <c r="O43" s="134">
        <v>45870.0</v>
      </c>
      <c r="P43" s="124">
        <v>45809.0</v>
      </c>
      <c r="Q43" s="125">
        <v>456.0</v>
      </c>
      <c r="R43" s="27">
        <v>13000.0</v>
      </c>
      <c r="S43" s="27">
        <v>13000.0</v>
      </c>
      <c r="T43" s="139"/>
      <c r="U43" s="128"/>
      <c r="V43" s="27">
        <v>26000.0</v>
      </c>
      <c r="W43" s="129" t="s">
        <v>853</v>
      </c>
      <c r="X43" s="129" t="s">
        <v>854</v>
      </c>
      <c r="Y43" s="129" t="s">
        <v>855</v>
      </c>
      <c r="Z43" s="15"/>
      <c r="AA43" s="39" t="s">
        <v>637</v>
      </c>
      <c r="AB43" s="137">
        <v>0.0</v>
      </c>
      <c r="AC43" s="131">
        <v>0.0</v>
      </c>
      <c r="AD43" s="39" t="s">
        <v>856</v>
      </c>
      <c r="AE43" s="83"/>
      <c r="AF43" s="83"/>
      <c r="AG43" s="83"/>
      <c r="AH43" s="83"/>
      <c r="AI43" s="83"/>
      <c r="AJ43" s="83"/>
      <c r="AK43" s="83"/>
      <c r="AL43" s="83"/>
    </row>
    <row r="44" hidden="1">
      <c r="A44" s="120" t="s">
        <v>73</v>
      </c>
      <c r="B44" s="132" t="s">
        <v>857</v>
      </c>
      <c r="C44" s="121" t="str">
        <f>IFERROR(__xludf.DUMMYFUNCTION("""COMPUTED_VALUE"""),"北醫醫師府")</f>
        <v>北醫醫師府</v>
      </c>
      <c r="D44" s="121" t="str">
        <f>IFERROR(__xludf.DUMMYFUNCTION("""COMPUTED_VALUE"""),"D")</f>
        <v>D</v>
      </c>
      <c r="E44" s="132" t="s">
        <v>858</v>
      </c>
      <c r="F44" s="122" t="str">
        <f>IFERROR(__xludf.DUMMYFUNCTION("""COMPUTED_VALUE"""),"劉怡秀")</f>
        <v>劉怡秀</v>
      </c>
      <c r="G44" s="121" t="s">
        <v>629</v>
      </c>
      <c r="H44" s="39" t="s">
        <v>630</v>
      </c>
      <c r="I44" s="39" t="s">
        <v>630</v>
      </c>
      <c r="J44" s="132" t="s">
        <v>631</v>
      </c>
      <c r="K44" s="39" t="s">
        <v>647</v>
      </c>
      <c r="L44" s="138">
        <v>45397.0</v>
      </c>
      <c r="M44" s="138">
        <v>45405.0</v>
      </c>
      <c r="N44" s="138">
        <v>45769.0</v>
      </c>
      <c r="O44" s="134">
        <v>45778.0</v>
      </c>
      <c r="P44" s="124">
        <v>45717.0</v>
      </c>
      <c r="Q44" s="125">
        <v>365.0</v>
      </c>
      <c r="R44" s="27">
        <v>12000.0</v>
      </c>
      <c r="S44" s="27">
        <v>12000.0</v>
      </c>
      <c r="T44" s="139"/>
      <c r="U44" s="128"/>
      <c r="V44" s="27">
        <v>24000.0</v>
      </c>
      <c r="W44" s="129" t="s">
        <v>843</v>
      </c>
      <c r="X44" s="129" t="s">
        <v>859</v>
      </c>
      <c r="Y44" s="129" t="s">
        <v>860</v>
      </c>
      <c r="Z44" s="39" t="s">
        <v>636</v>
      </c>
      <c r="AA44" s="39" t="s">
        <v>637</v>
      </c>
      <c r="AB44" s="137">
        <v>0.0</v>
      </c>
      <c r="AC44" s="131">
        <v>0.0</v>
      </c>
      <c r="AD44" s="39" t="s">
        <v>861</v>
      </c>
      <c r="AE44" s="83"/>
      <c r="AF44" s="83"/>
      <c r="AG44" s="83"/>
      <c r="AH44" s="83"/>
      <c r="AI44" s="83"/>
      <c r="AJ44" s="83"/>
      <c r="AK44" s="83"/>
      <c r="AL44" s="83"/>
    </row>
    <row r="45" hidden="1">
      <c r="A45" s="120" t="s">
        <v>74</v>
      </c>
      <c r="B45" s="132" t="s">
        <v>862</v>
      </c>
      <c r="C45" s="121" t="str">
        <f>IFERROR(__xludf.DUMMYFUNCTION("""COMPUTED_VALUE"""),"北醫醫師府")</f>
        <v>北醫醫師府</v>
      </c>
      <c r="D45" s="121" t="str">
        <f>IFERROR(__xludf.DUMMYFUNCTION("""COMPUTED_VALUE"""),"E")</f>
        <v>E</v>
      </c>
      <c r="E45" s="132" t="s">
        <v>863</v>
      </c>
      <c r="F45" s="122" t="str">
        <f>IFERROR(__xludf.DUMMYFUNCTION("""COMPUTED_VALUE"""),"洪睿佑")</f>
        <v>洪睿佑</v>
      </c>
      <c r="G45" s="121" t="s">
        <v>629</v>
      </c>
      <c r="H45" s="39" t="s">
        <v>630</v>
      </c>
      <c r="I45" s="39" t="s">
        <v>630</v>
      </c>
      <c r="J45" s="132" t="s">
        <v>631</v>
      </c>
      <c r="K45" s="39" t="s">
        <v>647</v>
      </c>
      <c r="L45" s="138">
        <v>45384.0</v>
      </c>
      <c r="M45" s="138">
        <v>45413.0</v>
      </c>
      <c r="N45" s="138">
        <v>45838.0</v>
      </c>
      <c r="O45" s="134">
        <v>45839.0</v>
      </c>
      <c r="P45" s="124">
        <v>45809.0</v>
      </c>
      <c r="Q45" s="125">
        <v>426.0</v>
      </c>
      <c r="R45" s="27">
        <v>14800.0</v>
      </c>
      <c r="S45" s="27">
        <v>14800.0</v>
      </c>
      <c r="T45" s="139"/>
      <c r="U45" s="128"/>
      <c r="V45" s="27">
        <v>29600.0</v>
      </c>
      <c r="W45" s="129" t="s">
        <v>864</v>
      </c>
      <c r="X45" s="129" t="s">
        <v>865</v>
      </c>
      <c r="Y45" s="129" t="s">
        <v>736</v>
      </c>
      <c r="Z45" s="15"/>
      <c r="AA45" s="39" t="s">
        <v>637</v>
      </c>
      <c r="AB45" s="137">
        <v>30.0</v>
      </c>
      <c r="AC45" s="131">
        <v>0.0</v>
      </c>
      <c r="AD45" s="39" t="s">
        <v>866</v>
      </c>
      <c r="AE45" s="83"/>
      <c r="AF45" s="83"/>
      <c r="AG45" s="31">
        <v>750.0</v>
      </c>
      <c r="AH45" s="31">
        <v>1000.0</v>
      </c>
      <c r="AI45" s="83"/>
      <c r="AJ45" s="83"/>
      <c r="AK45" s="83"/>
      <c r="AL45" s="83"/>
    </row>
    <row r="46" hidden="1">
      <c r="A46" s="120" t="s">
        <v>78</v>
      </c>
      <c r="B46" s="132" t="s">
        <v>867</v>
      </c>
      <c r="C46" s="121" t="str">
        <f>IFERROR(__xludf.DUMMYFUNCTION("""COMPUTED_VALUE"""),"北醫醫師府")</f>
        <v>北醫醫師府</v>
      </c>
      <c r="D46" s="121" t="str">
        <f>IFERROR(__xludf.DUMMYFUNCTION("""COMPUTED_VALUE"""),"F")</f>
        <v>F</v>
      </c>
      <c r="E46" s="132" t="s">
        <v>868</v>
      </c>
      <c r="F46" s="122" t="str">
        <f>IFERROR(__xludf.DUMMYFUNCTION("""COMPUTED_VALUE"""),"林雍勳")</f>
        <v>林雍勳</v>
      </c>
      <c r="G46" s="121" t="s">
        <v>629</v>
      </c>
      <c r="H46" s="39" t="s">
        <v>630</v>
      </c>
      <c r="I46" s="39" t="s">
        <v>630</v>
      </c>
      <c r="J46" s="132" t="s">
        <v>631</v>
      </c>
      <c r="K46" s="39" t="s">
        <v>647</v>
      </c>
      <c r="L46" s="138">
        <v>45384.0</v>
      </c>
      <c r="M46" s="138">
        <v>45413.0</v>
      </c>
      <c r="N46" s="138">
        <v>45838.0</v>
      </c>
      <c r="O46" s="134">
        <v>45839.0</v>
      </c>
      <c r="P46" s="124">
        <v>45809.0</v>
      </c>
      <c r="Q46" s="125">
        <v>426.0</v>
      </c>
      <c r="R46" s="27">
        <v>14800.0</v>
      </c>
      <c r="S46" s="27">
        <v>14800.0</v>
      </c>
      <c r="T46" s="139"/>
      <c r="U46" s="128"/>
      <c r="V46" s="27">
        <v>29600.0</v>
      </c>
      <c r="W46" s="129" t="s">
        <v>864</v>
      </c>
      <c r="X46" s="129" t="s">
        <v>865</v>
      </c>
      <c r="Y46" s="129" t="s">
        <v>736</v>
      </c>
      <c r="Z46" s="15"/>
      <c r="AA46" s="39" t="s">
        <v>637</v>
      </c>
      <c r="AB46" s="137">
        <v>30.0</v>
      </c>
      <c r="AC46" s="131">
        <v>0.0</v>
      </c>
      <c r="AD46" s="39" t="s">
        <v>869</v>
      </c>
      <c r="AE46" s="83"/>
      <c r="AF46" s="83"/>
      <c r="AG46" s="31">
        <v>750.0</v>
      </c>
      <c r="AH46" s="31">
        <v>1000.0</v>
      </c>
      <c r="AI46" s="83"/>
      <c r="AJ46" s="83"/>
      <c r="AK46" s="83"/>
      <c r="AL46" s="83"/>
    </row>
    <row r="47" hidden="1">
      <c r="A47" s="140" t="s">
        <v>88</v>
      </c>
      <c r="B47" s="123" t="s">
        <v>870</v>
      </c>
      <c r="C47" s="121" t="str">
        <f>IFERROR(__xludf.DUMMYFUNCTION("""COMPUTED_VALUE"""),"大湖山莊")</f>
        <v>大湖山莊</v>
      </c>
      <c r="D47" s="121" t="str">
        <f>IFERROR(__xludf.DUMMYFUNCTION("""COMPUTED_VALUE"""),"C")</f>
        <v>C</v>
      </c>
      <c r="E47" s="141" t="s">
        <v>871</v>
      </c>
      <c r="F47" s="122" t="str">
        <f>IFERROR(__xludf.DUMMYFUNCTION("""COMPUTED_VALUE"""),"吳亭逸")</f>
        <v>吳亭逸</v>
      </c>
      <c r="G47" s="121" t="s">
        <v>629</v>
      </c>
      <c r="H47" s="39" t="s">
        <v>666</v>
      </c>
      <c r="I47" s="39" t="s">
        <v>630</v>
      </c>
      <c r="J47" s="123" t="s">
        <v>631</v>
      </c>
      <c r="K47" s="123" t="s">
        <v>647</v>
      </c>
      <c r="L47" s="124">
        <v>45428.0</v>
      </c>
      <c r="M47" s="124">
        <v>45431.0</v>
      </c>
      <c r="N47" s="178">
        <v>45468.0</v>
      </c>
      <c r="O47" s="142">
        <v>45474.0</v>
      </c>
      <c r="P47" s="124">
        <v>45778.0</v>
      </c>
      <c r="Q47" s="125">
        <v>38.0</v>
      </c>
      <c r="R47" s="126">
        <v>18800.0</v>
      </c>
      <c r="S47" s="126">
        <v>18800.0</v>
      </c>
      <c r="T47" s="127"/>
      <c r="U47" s="128"/>
      <c r="V47" s="126">
        <v>37600.0</v>
      </c>
      <c r="W47" s="129" t="s">
        <v>872</v>
      </c>
      <c r="X47" s="129" t="s">
        <v>873</v>
      </c>
      <c r="Y47" s="129" t="s">
        <v>874</v>
      </c>
      <c r="Z47" s="39" t="s">
        <v>763</v>
      </c>
      <c r="AA47" s="39" t="s">
        <v>637</v>
      </c>
      <c r="AB47" s="130">
        <v>7.0</v>
      </c>
      <c r="AC47" s="143">
        <v>0.0</v>
      </c>
      <c r="AD47" s="123" t="s">
        <v>875</v>
      </c>
      <c r="AE47" s="39" t="s">
        <v>680</v>
      </c>
      <c r="AF47" s="39" t="s">
        <v>680</v>
      </c>
      <c r="AG47" s="39" t="s">
        <v>680</v>
      </c>
      <c r="AH47" s="83"/>
      <c r="AI47" s="83"/>
      <c r="AJ47" s="83"/>
      <c r="AK47" s="83"/>
      <c r="AL47" s="83"/>
    </row>
    <row r="48" hidden="1">
      <c r="A48" s="120" t="s">
        <v>81</v>
      </c>
      <c r="B48" s="132" t="s">
        <v>876</v>
      </c>
      <c r="C48" s="121" t="str">
        <f>IFERROR(__xludf.DUMMYFUNCTION("""COMPUTED_VALUE"""),"大湖山莊")</f>
        <v>大湖山莊</v>
      </c>
      <c r="D48" s="121" t="str">
        <f>IFERROR(__xludf.DUMMYFUNCTION("""COMPUTED_VALUE"""),"A")</f>
        <v>A</v>
      </c>
      <c r="E48" s="132" t="s">
        <v>877</v>
      </c>
      <c r="F48" s="122" t="str">
        <f>IFERROR(__xludf.DUMMYFUNCTION("""COMPUTED_VALUE"""),"熊翊丞")</f>
        <v>熊翊丞</v>
      </c>
      <c r="G48" s="121" t="s">
        <v>629</v>
      </c>
      <c r="H48" s="39" t="s">
        <v>630</v>
      </c>
      <c r="I48" s="39" t="s">
        <v>630</v>
      </c>
      <c r="J48" s="132" t="s">
        <v>631</v>
      </c>
      <c r="K48" s="39" t="s">
        <v>647</v>
      </c>
      <c r="L48" s="138">
        <v>45431.0</v>
      </c>
      <c r="M48" s="138">
        <v>45444.0</v>
      </c>
      <c r="N48" s="138">
        <v>45838.0</v>
      </c>
      <c r="O48" s="134">
        <v>45839.0</v>
      </c>
      <c r="P48" s="124">
        <v>45809.0</v>
      </c>
      <c r="Q48" s="125">
        <v>395.0</v>
      </c>
      <c r="R48" s="27">
        <v>13300.0</v>
      </c>
      <c r="S48" s="27">
        <v>13300.0</v>
      </c>
      <c r="T48" s="139"/>
      <c r="U48" s="128"/>
      <c r="V48" s="27">
        <v>26600.0</v>
      </c>
      <c r="W48" s="129" t="s">
        <v>873</v>
      </c>
      <c r="X48" s="129" t="s">
        <v>779</v>
      </c>
      <c r="Y48" s="129" t="s">
        <v>736</v>
      </c>
      <c r="Z48" s="39" t="s">
        <v>636</v>
      </c>
      <c r="AA48" s="39" t="s">
        <v>637</v>
      </c>
      <c r="AB48" s="137">
        <v>30.0</v>
      </c>
      <c r="AC48" s="131">
        <v>0.0</v>
      </c>
      <c r="AD48" s="39" t="s">
        <v>878</v>
      </c>
      <c r="AE48" s="179">
        <v>37.0</v>
      </c>
      <c r="AF48" s="179">
        <v>855.0</v>
      </c>
      <c r="AG48" s="31">
        <v>208.0</v>
      </c>
      <c r="AH48" s="31">
        <v>1000.0</v>
      </c>
      <c r="AI48" s="180">
        <v>-100.0</v>
      </c>
      <c r="AJ48" s="83"/>
      <c r="AK48" s="83"/>
      <c r="AL48" s="83"/>
    </row>
    <row r="49" hidden="1">
      <c r="A49" s="120" t="s">
        <v>85</v>
      </c>
      <c r="B49" s="132" t="s">
        <v>879</v>
      </c>
      <c r="C49" s="121" t="str">
        <f>IFERROR(__xludf.DUMMYFUNCTION("""COMPUTED_VALUE"""),"大湖山莊")</f>
        <v>大湖山莊</v>
      </c>
      <c r="D49" s="121" t="str">
        <f>IFERROR(__xludf.DUMMYFUNCTION("""COMPUTED_VALUE"""),"B")</f>
        <v>B</v>
      </c>
      <c r="E49" s="132" t="s">
        <v>880</v>
      </c>
      <c r="F49" s="122" t="str">
        <f>IFERROR(__xludf.DUMMYFUNCTION("""COMPUTED_VALUE"""),"施惠卿")</f>
        <v>施惠卿</v>
      </c>
      <c r="G49" s="121" t="s">
        <v>629</v>
      </c>
      <c r="H49" s="39" t="s">
        <v>630</v>
      </c>
      <c r="I49" s="39" t="s">
        <v>630</v>
      </c>
      <c r="J49" s="132" t="s">
        <v>631</v>
      </c>
      <c r="K49" s="39" t="s">
        <v>647</v>
      </c>
      <c r="L49" s="138">
        <v>45428.0</v>
      </c>
      <c r="M49" s="181">
        <v>45443.0</v>
      </c>
      <c r="N49" s="182">
        <v>45789.0</v>
      </c>
      <c r="O49" s="134">
        <v>45809.0</v>
      </c>
      <c r="P49" s="124">
        <v>45778.0</v>
      </c>
      <c r="Q49" s="125">
        <v>347.0</v>
      </c>
      <c r="R49" s="27">
        <v>12800.0</v>
      </c>
      <c r="S49" s="27">
        <v>12800.0</v>
      </c>
      <c r="T49" s="139"/>
      <c r="U49" s="128"/>
      <c r="V49" s="27">
        <v>25600.0</v>
      </c>
      <c r="W49" s="129" t="s">
        <v>872</v>
      </c>
      <c r="X49" s="129" t="s">
        <v>748</v>
      </c>
      <c r="Y49" s="129" t="s">
        <v>881</v>
      </c>
      <c r="Z49" s="39" t="s">
        <v>636</v>
      </c>
      <c r="AA49" s="39" t="s">
        <v>637</v>
      </c>
      <c r="AB49" s="176">
        <v>0.0</v>
      </c>
      <c r="AC49" s="131">
        <v>0.0</v>
      </c>
      <c r="AD49" s="39" t="s">
        <v>882</v>
      </c>
      <c r="AE49" s="179">
        <v>52.0</v>
      </c>
      <c r="AF49" s="179">
        <v>611.0</v>
      </c>
      <c r="AG49" s="179">
        <v>65.0</v>
      </c>
      <c r="AH49" s="31">
        <v>1000.0</v>
      </c>
      <c r="AI49" s="39" t="s">
        <v>696</v>
      </c>
      <c r="AJ49" s="83"/>
      <c r="AK49" s="83"/>
      <c r="AL49" s="83"/>
    </row>
    <row r="50" hidden="1">
      <c r="A50" s="120" t="s">
        <v>88</v>
      </c>
      <c r="B50" s="132" t="s">
        <v>883</v>
      </c>
      <c r="C50" s="121" t="str">
        <f>IFERROR(__xludf.DUMMYFUNCTION("""COMPUTED_VALUE"""),"大湖山莊")</f>
        <v>大湖山莊</v>
      </c>
      <c r="D50" s="121" t="str">
        <f>IFERROR(__xludf.DUMMYFUNCTION("""COMPUTED_VALUE"""),"C")</f>
        <v>C</v>
      </c>
      <c r="E50" s="132" t="s">
        <v>884</v>
      </c>
      <c r="F50" s="122" t="str">
        <f>IFERROR(__xludf.DUMMYFUNCTION("""COMPUTED_VALUE"""),"姚伯謙")</f>
        <v>姚伯謙</v>
      </c>
      <c r="G50" s="121" t="s">
        <v>629</v>
      </c>
      <c r="H50" s="39" t="s">
        <v>630</v>
      </c>
      <c r="I50" s="39" t="s">
        <v>630</v>
      </c>
      <c r="J50" s="132" t="s">
        <v>631</v>
      </c>
      <c r="K50" s="39" t="s">
        <v>647</v>
      </c>
      <c r="L50" s="138">
        <v>45463.0</v>
      </c>
      <c r="M50" s="138">
        <v>45474.0</v>
      </c>
      <c r="N50" s="138">
        <v>45838.0</v>
      </c>
      <c r="O50" s="134">
        <v>45839.0</v>
      </c>
      <c r="P50" s="124">
        <v>45809.0</v>
      </c>
      <c r="Q50" s="125">
        <v>365.0</v>
      </c>
      <c r="R50" s="27">
        <v>18800.0</v>
      </c>
      <c r="S50" s="27">
        <v>18800.0</v>
      </c>
      <c r="T50" s="139"/>
      <c r="U50" s="128"/>
      <c r="V50" s="27">
        <v>37600.0</v>
      </c>
      <c r="W50" s="129" t="s">
        <v>885</v>
      </c>
      <c r="X50" s="129" t="s">
        <v>735</v>
      </c>
      <c r="Y50" s="129" t="s">
        <v>736</v>
      </c>
      <c r="Z50" s="39" t="s">
        <v>636</v>
      </c>
      <c r="AA50" s="39" t="s">
        <v>637</v>
      </c>
      <c r="AB50" s="137">
        <v>30.0</v>
      </c>
      <c r="AC50" s="131">
        <v>0.0</v>
      </c>
      <c r="AD50" s="183" t="s">
        <v>886</v>
      </c>
      <c r="AE50" s="83"/>
      <c r="AF50" s="83"/>
      <c r="AG50" s="83"/>
      <c r="AH50" s="83"/>
      <c r="AI50" s="83"/>
      <c r="AJ50" s="83"/>
      <c r="AK50" s="83"/>
      <c r="AL50" s="83"/>
    </row>
    <row r="51" hidden="1">
      <c r="A51" s="120" t="s">
        <v>90</v>
      </c>
      <c r="B51" s="132" t="s">
        <v>887</v>
      </c>
      <c r="C51" s="121" t="str">
        <f>IFERROR(__xludf.DUMMYFUNCTION("""COMPUTED_VALUE"""),"大湖山莊")</f>
        <v>大湖山莊</v>
      </c>
      <c r="D51" s="121" t="str">
        <f>IFERROR(__xludf.DUMMYFUNCTION("""COMPUTED_VALUE"""),"D")</f>
        <v>D</v>
      </c>
      <c r="E51" s="132" t="s">
        <v>888</v>
      </c>
      <c r="F51" s="122" t="str">
        <f>IFERROR(__xludf.DUMMYFUNCTION("""COMPUTED_VALUE"""),"陳昭瑄")</f>
        <v>陳昭瑄</v>
      </c>
      <c r="G51" s="121" t="s">
        <v>629</v>
      </c>
      <c r="H51" s="39" t="s">
        <v>630</v>
      </c>
      <c r="I51" s="39" t="s">
        <v>630</v>
      </c>
      <c r="J51" s="132" t="s">
        <v>631</v>
      </c>
      <c r="K51" s="39" t="s">
        <v>647</v>
      </c>
      <c r="L51" s="138">
        <v>45428.0</v>
      </c>
      <c r="M51" s="138">
        <v>45444.0</v>
      </c>
      <c r="N51" s="181">
        <v>45808.0</v>
      </c>
      <c r="O51" s="134">
        <v>45809.0</v>
      </c>
      <c r="P51" s="124">
        <v>45778.0</v>
      </c>
      <c r="Q51" s="125">
        <v>365.0</v>
      </c>
      <c r="R51" s="27">
        <v>14300.0</v>
      </c>
      <c r="S51" s="27">
        <v>14300.0</v>
      </c>
      <c r="T51" s="139"/>
      <c r="U51" s="128"/>
      <c r="V51" s="27">
        <v>28600.0</v>
      </c>
      <c r="W51" s="129" t="s">
        <v>872</v>
      </c>
      <c r="X51" s="129" t="s">
        <v>779</v>
      </c>
      <c r="Y51" s="129" t="s">
        <v>780</v>
      </c>
      <c r="Z51" s="39" t="s">
        <v>636</v>
      </c>
      <c r="AA51" s="39" t="s">
        <v>637</v>
      </c>
      <c r="AB51" s="137">
        <v>31.0</v>
      </c>
      <c r="AC51" s="131">
        <v>0.0</v>
      </c>
      <c r="AD51" s="39" t="s">
        <v>889</v>
      </c>
      <c r="AE51" s="83"/>
      <c r="AF51" s="83"/>
      <c r="AG51" s="83"/>
      <c r="AH51" s="83"/>
      <c r="AI51" s="83"/>
      <c r="AJ51" s="83"/>
      <c r="AK51" s="83"/>
      <c r="AL51" s="83"/>
    </row>
    <row r="52" hidden="1">
      <c r="A52" s="120" t="s">
        <v>92</v>
      </c>
      <c r="B52" s="132" t="s">
        <v>890</v>
      </c>
      <c r="C52" s="121" t="str">
        <f>IFERROR(__xludf.DUMMYFUNCTION("""COMPUTED_VALUE"""),"大湖山莊")</f>
        <v>大湖山莊</v>
      </c>
      <c r="D52" s="121" t="str">
        <f>IFERROR(__xludf.DUMMYFUNCTION("""COMPUTED_VALUE"""),"E")</f>
        <v>E</v>
      </c>
      <c r="E52" s="132" t="s">
        <v>891</v>
      </c>
      <c r="F52" s="122" t="str">
        <f>IFERROR(__xludf.DUMMYFUNCTION("""COMPUTED_VALUE"""),"吳彥霆")</f>
        <v>吳彥霆</v>
      </c>
      <c r="G52" s="121" t="s">
        <v>629</v>
      </c>
      <c r="H52" s="39" t="s">
        <v>630</v>
      </c>
      <c r="I52" s="39" t="s">
        <v>630</v>
      </c>
      <c r="J52" s="132" t="s">
        <v>631</v>
      </c>
      <c r="K52" s="39" t="s">
        <v>647</v>
      </c>
      <c r="L52" s="138">
        <v>45451.0</v>
      </c>
      <c r="M52" s="138">
        <v>45452.0</v>
      </c>
      <c r="N52" s="138">
        <v>45838.0</v>
      </c>
      <c r="O52" s="134">
        <v>45839.0</v>
      </c>
      <c r="P52" s="124">
        <v>45809.0</v>
      </c>
      <c r="Q52" s="125">
        <v>387.0</v>
      </c>
      <c r="R52" s="27">
        <v>12500.0</v>
      </c>
      <c r="S52" s="27">
        <v>12500.0</v>
      </c>
      <c r="T52" s="139"/>
      <c r="U52" s="128"/>
      <c r="V52" s="27">
        <v>25000.0</v>
      </c>
      <c r="W52" s="129" t="s">
        <v>892</v>
      </c>
      <c r="X52" s="129" t="s">
        <v>893</v>
      </c>
      <c r="Y52" s="129" t="s">
        <v>736</v>
      </c>
      <c r="Z52" s="39" t="s">
        <v>763</v>
      </c>
      <c r="AA52" s="39" t="s">
        <v>637</v>
      </c>
      <c r="AB52" s="137">
        <v>22.0</v>
      </c>
      <c r="AC52" s="131">
        <v>0.0</v>
      </c>
      <c r="AD52" s="172" t="s">
        <v>894</v>
      </c>
      <c r="AE52" s="179">
        <v>37.0</v>
      </c>
      <c r="AF52" s="179">
        <v>855.0</v>
      </c>
      <c r="AG52" s="31">
        <v>208.0</v>
      </c>
      <c r="AH52" s="31">
        <v>1000.0</v>
      </c>
      <c r="AI52" s="180">
        <v>-100.0</v>
      </c>
      <c r="AJ52" s="83"/>
      <c r="AK52" s="83"/>
      <c r="AL52" s="83"/>
    </row>
    <row r="53" hidden="1">
      <c r="A53" s="120" t="s">
        <v>94</v>
      </c>
      <c r="B53" s="132" t="s">
        <v>895</v>
      </c>
      <c r="C53" s="121" t="str">
        <f>IFERROR(__xludf.DUMMYFUNCTION("""COMPUTED_VALUE"""),"大湖山莊")</f>
        <v>大湖山莊</v>
      </c>
      <c r="D53" s="121" t="str">
        <f>IFERROR(__xludf.DUMMYFUNCTION("""COMPUTED_VALUE"""),"F")</f>
        <v>F</v>
      </c>
      <c r="E53" s="132" t="s">
        <v>896</v>
      </c>
      <c r="F53" s="122" t="str">
        <f>IFERROR(__xludf.DUMMYFUNCTION("""COMPUTED_VALUE"""),"吳智方
蘇婉彤")</f>
        <v>吳智方
蘇婉彤</v>
      </c>
      <c r="G53" s="121" t="s">
        <v>629</v>
      </c>
      <c r="H53" s="39" t="s">
        <v>630</v>
      </c>
      <c r="I53" s="39" t="s">
        <v>630</v>
      </c>
      <c r="J53" s="132" t="s">
        <v>631</v>
      </c>
      <c r="K53" s="39" t="s">
        <v>647</v>
      </c>
      <c r="L53" s="138">
        <v>45481.0</v>
      </c>
      <c r="M53" s="138">
        <v>45488.0</v>
      </c>
      <c r="N53" s="133">
        <v>45852.0</v>
      </c>
      <c r="O53" s="134">
        <v>45870.0</v>
      </c>
      <c r="P53" s="124">
        <v>45839.0</v>
      </c>
      <c r="Q53" s="125">
        <v>365.0</v>
      </c>
      <c r="R53" s="27">
        <v>18000.0</v>
      </c>
      <c r="S53" s="27">
        <v>18000.0</v>
      </c>
      <c r="T53" s="153"/>
      <c r="U53" s="128"/>
      <c r="V53" s="27">
        <v>36000.0</v>
      </c>
      <c r="W53" s="129" t="s">
        <v>897</v>
      </c>
      <c r="X53" s="129" t="s">
        <v>898</v>
      </c>
      <c r="Y53" s="129" t="s">
        <v>899</v>
      </c>
      <c r="Z53" s="39" t="s">
        <v>636</v>
      </c>
      <c r="AA53" s="39" t="s">
        <v>637</v>
      </c>
      <c r="AB53" s="137">
        <v>0.0</v>
      </c>
      <c r="AC53" s="131">
        <v>0.0</v>
      </c>
      <c r="AD53" s="39" t="s">
        <v>900</v>
      </c>
      <c r="AE53" s="179">
        <v>106.0</v>
      </c>
      <c r="AF53" s="179">
        <v>2415.0</v>
      </c>
      <c r="AG53" s="184">
        <v>171.0</v>
      </c>
      <c r="AH53" s="31">
        <v>2000.0</v>
      </c>
      <c r="AI53" s="180">
        <v>-692.0</v>
      </c>
      <c r="AJ53" s="83"/>
      <c r="AK53" s="83"/>
      <c r="AL53" s="83"/>
    </row>
    <row r="54" hidden="1">
      <c r="A54" s="120" t="s">
        <v>97</v>
      </c>
      <c r="B54" s="132" t="s">
        <v>901</v>
      </c>
      <c r="C54" s="121" t="str">
        <f>IFERROR(__xludf.DUMMYFUNCTION("""COMPUTED_VALUE"""),"大湖山莊")</f>
        <v>大湖山莊</v>
      </c>
      <c r="D54" s="121" t="str">
        <f>IFERROR(__xludf.DUMMYFUNCTION("""COMPUTED_VALUE"""),"G")</f>
        <v>G</v>
      </c>
      <c r="E54" s="132" t="s">
        <v>902</v>
      </c>
      <c r="F54" s="122" t="str">
        <f>IFERROR(__xludf.DUMMYFUNCTION("""COMPUTED_VALUE"""),"林文心")</f>
        <v>林文心</v>
      </c>
      <c r="G54" s="121" t="s">
        <v>629</v>
      </c>
      <c r="H54" s="39" t="s">
        <v>630</v>
      </c>
      <c r="I54" s="39" t="s">
        <v>630</v>
      </c>
      <c r="J54" s="132" t="s">
        <v>631</v>
      </c>
      <c r="K54" s="39" t="s">
        <v>647</v>
      </c>
      <c r="L54" s="138">
        <v>45428.0</v>
      </c>
      <c r="M54" s="138">
        <v>45430.0</v>
      </c>
      <c r="N54" s="133">
        <v>45712.0</v>
      </c>
      <c r="O54" s="145">
        <v>45717.0</v>
      </c>
      <c r="P54" s="124">
        <v>45809.0</v>
      </c>
      <c r="Q54" s="125">
        <v>283.0</v>
      </c>
      <c r="R54" s="27">
        <v>15000.0</v>
      </c>
      <c r="S54" s="27">
        <v>15000.0</v>
      </c>
      <c r="T54" s="139"/>
      <c r="U54" s="128"/>
      <c r="V54" s="27">
        <v>30000.0</v>
      </c>
      <c r="W54" s="129" t="s">
        <v>872</v>
      </c>
      <c r="X54" s="129" t="s">
        <v>903</v>
      </c>
      <c r="Y54" s="129" t="s">
        <v>904</v>
      </c>
      <c r="Z54" s="39" t="s">
        <v>763</v>
      </c>
      <c r="AA54" s="39" t="s">
        <v>637</v>
      </c>
      <c r="AB54" s="137">
        <v>7.0</v>
      </c>
      <c r="AC54" s="131">
        <v>0.0</v>
      </c>
      <c r="AD54" s="39" t="s">
        <v>905</v>
      </c>
      <c r="AE54" s="179">
        <v>34.0</v>
      </c>
      <c r="AF54" s="179">
        <v>275.0</v>
      </c>
      <c r="AG54" s="179">
        <v>25.0</v>
      </c>
      <c r="AH54" s="31">
        <v>3000.0</v>
      </c>
      <c r="AI54" s="39" t="s">
        <v>696</v>
      </c>
      <c r="AJ54" s="83"/>
      <c r="AK54" s="83"/>
      <c r="AL54" s="83"/>
    </row>
    <row r="55" hidden="1">
      <c r="A55" s="140" t="s">
        <v>118</v>
      </c>
      <c r="B55" s="123" t="s">
        <v>906</v>
      </c>
      <c r="C55" s="121" t="str">
        <f>IFERROR(__xludf.DUMMYFUNCTION("""COMPUTED_VALUE"""),"市府爺爺家")</f>
        <v>市府爺爺家</v>
      </c>
      <c r="D55" s="121" t="str">
        <f>IFERROR(__xludf.DUMMYFUNCTION("""COMPUTED_VALUE"""),"A")</f>
        <v>A</v>
      </c>
      <c r="E55" s="141" t="s">
        <v>907</v>
      </c>
      <c r="F55" s="122" t="str">
        <f>IFERROR(__xludf.DUMMYFUNCTION("""COMPUTED_VALUE"""),"蔡艾霖")</f>
        <v>蔡艾霖</v>
      </c>
      <c r="G55" s="121" t="s">
        <v>629</v>
      </c>
      <c r="H55" s="39" t="s">
        <v>666</v>
      </c>
      <c r="I55" s="39" t="s">
        <v>630</v>
      </c>
      <c r="J55" s="123" t="s">
        <v>631</v>
      </c>
      <c r="K55" s="123" t="s">
        <v>647</v>
      </c>
      <c r="L55" s="124">
        <v>45503.0</v>
      </c>
      <c r="M55" s="124">
        <v>45503.0</v>
      </c>
      <c r="N55" s="124">
        <v>45565.0</v>
      </c>
      <c r="O55" s="142">
        <v>45566.0</v>
      </c>
      <c r="P55" s="124">
        <v>45839.0</v>
      </c>
      <c r="Q55" s="125">
        <v>63.0</v>
      </c>
      <c r="R55" s="126">
        <v>23000.0</v>
      </c>
      <c r="S55" s="126">
        <v>23000.0</v>
      </c>
      <c r="T55" s="127"/>
      <c r="U55" s="128"/>
      <c r="V55" s="126">
        <v>46000.0</v>
      </c>
      <c r="W55" s="129" t="s">
        <v>908</v>
      </c>
      <c r="X55" s="129" t="s">
        <v>908</v>
      </c>
      <c r="Y55" s="129" t="s">
        <v>909</v>
      </c>
      <c r="Z55" s="39" t="s">
        <v>636</v>
      </c>
      <c r="AA55" s="39" t="s">
        <v>637</v>
      </c>
      <c r="AB55" s="130">
        <v>1.0</v>
      </c>
      <c r="AC55" s="143">
        <v>0.0</v>
      </c>
      <c r="AD55" s="123" t="s">
        <v>910</v>
      </c>
      <c r="AE55" s="39" t="s">
        <v>680</v>
      </c>
      <c r="AF55" s="39" t="s">
        <v>680</v>
      </c>
      <c r="AG55" s="39" t="s">
        <v>680</v>
      </c>
      <c r="AH55" s="16"/>
      <c r="AI55" s="39" t="s">
        <v>696</v>
      </c>
      <c r="AJ55" s="83"/>
      <c r="AK55" s="83"/>
      <c r="AL55" s="83"/>
    </row>
    <row r="56" hidden="1">
      <c r="A56" s="120" t="s">
        <v>118</v>
      </c>
      <c r="B56" s="132" t="s">
        <v>911</v>
      </c>
      <c r="C56" s="121" t="str">
        <f>IFERROR(__xludf.DUMMYFUNCTION("""COMPUTED_VALUE"""),"市府爺爺家")</f>
        <v>市府爺爺家</v>
      </c>
      <c r="D56" s="121" t="str">
        <f>IFERROR(__xludf.DUMMYFUNCTION("""COMPUTED_VALUE"""),"A")</f>
        <v>A</v>
      </c>
      <c r="E56" s="132" t="s">
        <v>912</v>
      </c>
      <c r="F56" s="122" t="str">
        <f>IFERROR(__xludf.DUMMYFUNCTION("""COMPUTED_VALUE"""),"董書鵬
張瑋珊")</f>
        <v>董書鵬
張瑋珊</v>
      </c>
      <c r="G56" s="121" t="s">
        <v>629</v>
      </c>
      <c r="H56" s="39" t="s">
        <v>630</v>
      </c>
      <c r="I56" s="39" t="s">
        <v>630</v>
      </c>
      <c r="J56" s="132" t="s">
        <v>631</v>
      </c>
      <c r="K56" s="39" t="s">
        <v>647</v>
      </c>
      <c r="L56" s="138">
        <v>45578.0</v>
      </c>
      <c r="M56" s="138">
        <v>45578.0</v>
      </c>
      <c r="N56" s="138">
        <v>45961.0</v>
      </c>
      <c r="O56" s="134">
        <v>45962.0</v>
      </c>
      <c r="P56" s="124">
        <v>45931.0</v>
      </c>
      <c r="Q56" s="125">
        <v>384.0</v>
      </c>
      <c r="R56" s="27">
        <v>22000.0</v>
      </c>
      <c r="S56" s="27">
        <v>22000.0</v>
      </c>
      <c r="T56" s="153"/>
      <c r="U56" s="128"/>
      <c r="V56" s="27">
        <v>44000.0</v>
      </c>
      <c r="W56" s="129" t="s">
        <v>913</v>
      </c>
      <c r="X56" s="129" t="s">
        <v>913</v>
      </c>
      <c r="Y56" s="129" t="s">
        <v>914</v>
      </c>
      <c r="Z56" s="39" t="s">
        <v>763</v>
      </c>
      <c r="AA56" s="39" t="s">
        <v>637</v>
      </c>
      <c r="AB56" s="137">
        <v>19.0</v>
      </c>
      <c r="AC56" s="131">
        <v>0.0</v>
      </c>
      <c r="AD56" s="39" t="s">
        <v>915</v>
      </c>
      <c r="AE56" s="83"/>
      <c r="AF56" s="83"/>
      <c r="AG56" s="83"/>
      <c r="AH56" s="83"/>
      <c r="AI56" s="83"/>
      <c r="AJ56" s="83"/>
      <c r="AK56" s="83"/>
      <c r="AL56" s="83"/>
    </row>
    <row r="57" hidden="1">
      <c r="A57" s="120" t="s">
        <v>109</v>
      </c>
      <c r="B57" s="132" t="s">
        <v>916</v>
      </c>
      <c r="C57" s="121" t="str">
        <f>IFERROR(__xludf.DUMMYFUNCTION("""COMPUTED_VALUE"""),"南港站挑高宅")</f>
        <v>南港站挑高宅</v>
      </c>
      <c r="D57" s="121" t="str">
        <f>IFERROR(__xludf.DUMMYFUNCTION("""COMPUTED_VALUE"""),"A")</f>
        <v>A</v>
      </c>
      <c r="E57" s="132" t="s">
        <v>917</v>
      </c>
      <c r="F57" s="122" t="str">
        <f>IFERROR(__xludf.DUMMYFUNCTION("""COMPUTED_VALUE"""),"莊以祺")</f>
        <v>莊以祺</v>
      </c>
      <c r="G57" s="121" t="s">
        <v>629</v>
      </c>
      <c r="H57" s="39" t="s">
        <v>630</v>
      </c>
      <c r="I57" s="39" t="s">
        <v>630</v>
      </c>
      <c r="J57" s="132" t="s">
        <v>631</v>
      </c>
      <c r="K57" s="39" t="s">
        <v>647</v>
      </c>
      <c r="L57" s="138">
        <v>45526.0</v>
      </c>
      <c r="M57" s="138">
        <v>45536.0</v>
      </c>
      <c r="N57" s="138">
        <v>45900.0</v>
      </c>
      <c r="O57" s="134">
        <v>45901.0</v>
      </c>
      <c r="P57" s="124">
        <v>45870.0</v>
      </c>
      <c r="Q57" s="125">
        <v>365.0</v>
      </c>
      <c r="R57" s="27">
        <v>13000.0</v>
      </c>
      <c r="S57" s="27">
        <v>13000.0</v>
      </c>
      <c r="T57" s="139"/>
      <c r="U57" s="128"/>
      <c r="V57" s="27">
        <v>26000.0</v>
      </c>
      <c r="W57" s="129" t="s">
        <v>918</v>
      </c>
      <c r="X57" s="129" t="s">
        <v>826</v>
      </c>
      <c r="Y57" s="129" t="s">
        <v>919</v>
      </c>
      <c r="Z57" s="39" t="s">
        <v>636</v>
      </c>
      <c r="AA57" s="39" t="s">
        <v>637</v>
      </c>
      <c r="AB57" s="137">
        <v>31.0</v>
      </c>
      <c r="AC57" s="131">
        <v>0.0</v>
      </c>
      <c r="AD57" s="39" t="s">
        <v>920</v>
      </c>
      <c r="AE57" s="83"/>
      <c r="AF57" s="83"/>
      <c r="AG57" s="83"/>
      <c r="AH57" s="83"/>
      <c r="AI57" s="83"/>
      <c r="AJ57" s="83"/>
      <c r="AK57" s="83"/>
      <c r="AL57" s="83"/>
    </row>
    <row r="58" hidden="1">
      <c r="A58" s="120" t="s">
        <v>111</v>
      </c>
      <c r="B58" s="132" t="s">
        <v>921</v>
      </c>
      <c r="C58" s="121" t="str">
        <f>IFERROR(__xludf.DUMMYFUNCTION("""COMPUTED_VALUE"""),"南港站挑高宅")</f>
        <v>南港站挑高宅</v>
      </c>
      <c r="D58" s="121" t="str">
        <f>IFERROR(__xludf.DUMMYFUNCTION("""COMPUTED_VALUE"""),"B")</f>
        <v>B</v>
      </c>
      <c r="E58" s="132" t="s">
        <v>922</v>
      </c>
      <c r="F58" s="122" t="str">
        <f>IFERROR(__xludf.DUMMYFUNCTION("""COMPUTED_VALUE"""),"林鍇蓓")</f>
        <v>林鍇蓓</v>
      </c>
      <c r="G58" s="121" t="s">
        <v>629</v>
      </c>
      <c r="H58" s="39" t="s">
        <v>630</v>
      </c>
      <c r="I58" s="39" t="s">
        <v>630</v>
      </c>
      <c r="J58" s="132" t="s">
        <v>631</v>
      </c>
      <c r="K58" s="39" t="s">
        <v>647</v>
      </c>
      <c r="L58" s="138">
        <v>45535.0</v>
      </c>
      <c r="M58" s="138">
        <v>45536.0</v>
      </c>
      <c r="N58" s="133">
        <v>45893.0</v>
      </c>
      <c r="O58" s="134">
        <v>45901.0</v>
      </c>
      <c r="P58" s="124">
        <v>45870.0</v>
      </c>
      <c r="Q58" s="125">
        <v>358.0</v>
      </c>
      <c r="R58" s="27">
        <v>12300.0</v>
      </c>
      <c r="S58" s="27">
        <v>12300.0</v>
      </c>
      <c r="T58" s="153"/>
      <c r="U58" s="128"/>
      <c r="V58" s="27">
        <v>24600.0</v>
      </c>
      <c r="W58" s="129" t="s">
        <v>923</v>
      </c>
      <c r="X58" s="129" t="s">
        <v>826</v>
      </c>
      <c r="Y58" s="129" t="s">
        <v>924</v>
      </c>
      <c r="Z58" s="39" t="s">
        <v>636</v>
      </c>
      <c r="AA58" s="39" t="s">
        <v>637</v>
      </c>
      <c r="AB58" s="137">
        <v>24.0</v>
      </c>
      <c r="AC58" s="131">
        <v>0.0</v>
      </c>
      <c r="AD58" s="39" t="s">
        <v>925</v>
      </c>
      <c r="AE58" s="31">
        <v>354.0</v>
      </c>
      <c r="AF58" s="31">
        <v>955.0</v>
      </c>
      <c r="AG58" s="31">
        <v>288.0</v>
      </c>
      <c r="AH58" s="31">
        <v>3000.0</v>
      </c>
      <c r="AI58" s="31" t="s">
        <v>696</v>
      </c>
      <c r="AJ58" s="83"/>
      <c r="AK58" s="83"/>
      <c r="AL58" s="83"/>
    </row>
    <row r="59" hidden="1">
      <c r="A59" s="120" t="s">
        <v>113</v>
      </c>
      <c r="B59" s="132" t="s">
        <v>926</v>
      </c>
      <c r="C59" s="121" t="str">
        <f>IFERROR(__xludf.DUMMYFUNCTION("""COMPUTED_VALUE"""),"南港站挑高宅")</f>
        <v>南港站挑高宅</v>
      </c>
      <c r="D59" s="121" t="str">
        <f>IFERROR(__xludf.DUMMYFUNCTION("""COMPUTED_VALUE"""),"C")</f>
        <v>C</v>
      </c>
      <c r="E59" s="132" t="s">
        <v>927</v>
      </c>
      <c r="F59" s="122" t="str">
        <f>IFERROR(__xludf.DUMMYFUNCTION("""COMPUTED_VALUE"""),"王子昇")</f>
        <v>王子昇</v>
      </c>
      <c r="G59" s="121" t="s">
        <v>629</v>
      </c>
      <c r="H59" s="39" t="s">
        <v>630</v>
      </c>
      <c r="I59" s="39" t="s">
        <v>630</v>
      </c>
      <c r="J59" s="132" t="s">
        <v>631</v>
      </c>
      <c r="K59" s="39" t="s">
        <v>647</v>
      </c>
      <c r="L59" s="138">
        <v>45542.0</v>
      </c>
      <c r="M59" s="138">
        <v>45550.0</v>
      </c>
      <c r="N59" s="185">
        <v>45689.0</v>
      </c>
      <c r="O59" s="145">
        <v>45689.0</v>
      </c>
      <c r="P59" s="124">
        <v>45901.0</v>
      </c>
      <c r="Q59" s="125">
        <v>140.0</v>
      </c>
      <c r="R59" s="27">
        <v>15800.0</v>
      </c>
      <c r="S59" s="27">
        <v>15800.0</v>
      </c>
      <c r="T59" s="139"/>
      <c r="U59" s="128"/>
      <c r="V59" s="27">
        <v>31600.0</v>
      </c>
      <c r="W59" s="129" t="s">
        <v>928</v>
      </c>
      <c r="X59" s="129" t="s">
        <v>929</v>
      </c>
      <c r="Y59" s="129" t="s">
        <v>662</v>
      </c>
      <c r="Z59" s="39" t="s">
        <v>636</v>
      </c>
      <c r="AA59" s="39" t="s">
        <v>637</v>
      </c>
      <c r="AB59" s="137">
        <v>-13.0</v>
      </c>
      <c r="AC59" s="131">
        <v>0.0</v>
      </c>
      <c r="AD59" s="39" t="s">
        <v>930</v>
      </c>
      <c r="AE59" s="31">
        <v>185.0</v>
      </c>
      <c r="AF59" s="31">
        <v>185.0</v>
      </c>
      <c r="AG59" s="31">
        <v>0.0</v>
      </c>
      <c r="AH59" s="31">
        <v>3000.0</v>
      </c>
      <c r="AI59" s="39" t="s">
        <v>696</v>
      </c>
      <c r="AJ59" s="83"/>
      <c r="AK59" s="83"/>
      <c r="AL59" s="83"/>
    </row>
    <row r="60" hidden="1">
      <c r="A60" s="120" t="s">
        <v>115</v>
      </c>
      <c r="B60" s="132" t="s">
        <v>931</v>
      </c>
      <c r="C60" s="121" t="str">
        <f>IFERROR(__xludf.DUMMYFUNCTION("""COMPUTED_VALUE"""),"南港站挑高宅")</f>
        <v>南港站挑高宅</v>
      </c>
      <c r="D60" s="121" t="str">
        <f>IFERROR(__xludf.DUMMYFUNCTION("""COMPUTED_VALUE"""),"D")</f>
        <v>D</v>
      </c>
      <c r="E60" s="132" t="s">
        <v>932</v>
      </c>
      <c r="F60" s="122" t="str">
        <f>IFERROR(__xludf.DUMMYFUNCTION("""COMPUTED_VALUE"""),"吳城慕")</f>
        <v>吳城慕</v>
      </c>
      <c r="G60" s="121" t="s">
        <v>629</v>
      </c>
      <c r="H60" s="39" t="s">
        <v>630</v>
      </c>
      <c r="I60" s="39" t="s">
        <v>630</v>
      </c>
      <c r="J60" s="132" t="s">
        <v>631</v>
      </c>
      <c r="K60" s="39" t="s">
        <v>647</v>
      </c>
      <c r="L60" s="138">
        <v>45526.0</v>
      </c>
      <c r="M60" s="138">
        <v>45528.0</v>
      </c>
      <c r="N60" s="138">
        <v>45900.0</v>
      </c>
      <c r="O60" s="134">
        <v>45901.0</v>
      </c>
      <c r="P60" s="124">
        <v>45870.0</v>
      </c>
      <c r="Q60" s="125">
        <v>373.0</v>
      </c>
      <c r="R60" s="27">
        <v>14300.0</v>
      </c>
      <c r="S60" s="27">
        <v>14300.0</v>
      </c>
      <c r="T60" s="139"/>
      <c r="U60" s="128"/>
      <c r="V60" s="27">
        <v>28600.0</v>
      </c>
      <c r="W60" s="129" t="s">
        <v>918</v>
      </c>
      <c r="X60" s="129" t="s">
        <v>933</v>
      </c>
      <c r="Y60" s="129" t="s">
        <v>919</v>
      </c>
      <c r="Z60" s="39" t="s">
        <v>636</v>
      </c>
      <c r="AA60" s="39" t="s">
        <v>637</v>
      </c>
      <c r="AB60" s="137">
        <v>8.0</v>
      </c>
      <c r="AC60" s="131">
        <v>0.0</v>
      </c>
      <c r="AD60" s="39" t="s">
        <v>934</v>
      </c>
      <c r="AE60" s="83"/>
      <c r="AF60" s="83"/>
      <c r="AG60" s="83"/>
      <c r="AH60" s="83"/>
      <c r="AI60" s="83"/>
      <c r="AJ60" s="83"/>
      <c r="AK60" s="83"/>
      <c r="AL60" s="83"/>
    </row>
    <row r="61" hidden="1">
      <c r="A61" s="120" t="s">
        <v>116</v>
      </c>
      <c r="B61" s="132" t="s">
        <v>935</v>
      </c>
      <c r="C61" s="121" t="str">
        <f>IFERROR(__xludf.DUMMYFUNCTION("""COMPUTED_VALUE"""),"南港站挑高宅")</f>
        <v>南港站挑高宅</v>
      </c>
      <c r="D61" s="121" t="str">
        <f>IFERROR(__xludf.DUMMYFUNCTION("""COMPUTED_VALUE"""),"E")</f>
        <v>E</v>
      </c>
      <c r="E61" s="132" t="s">
        <v>936</v>
      </c>
      <c r="F61" s="122" t="str">
        <f>IFERROR(__xludf.DUMMYFUNCTION("""COMPUTED_VALUE"""),"張劉明翔")</f>
        <v>張劉明翔</v>
      </c>
      <c r="G61" s="121" t="s">
        <v>629</v>
      </c>
      <c r="H61" s="39" t="s">
        <v>630</v>
      </c>
      <c r="I61" s="39" t="s">
        <v>630</v>
      </c>
      <c r="J61" s="132" t="s">
        <v>631</v>
      </c>
      <c r="K61" s="39" t="s">
        <v>647</v>
      </c>
      <c r="L61" s="138">
        <v>45526.0</v>
      </c>
      <c r="M61" s="138">
        <v>45536.0</v>
      </c>
      <c r="N61" s="138">
        <v>45900.0</v>
      </c>
      <c r="O61" s="134">
        <v>45901.0</v>
      </c>
      <c r="P61" s="124">
        <v>45870.0</v>
      </c>
      <c r="Q61" s="125">
        <v>365.0</v>
      </c>
      <c r="R61" s="27">
        <v>12800.0</v>
      </c>
      <c r="S61" s="27">
        <v>12800.0</v>
      </c>
      <c r="T61" s="139"/>
      <c r="U61" s="128"/>
      <c r="V61" s="27">
        <v>25600.0</v>
      </c>
      <c r="W61" s="129" t="s">
        <v>918</v>
      </c>
      <c r="X61" s="129" t="s">
        <v>826</v>
      </c>
      <c r="Y61" s="129" t="s">
        <v>919</v>
      </c>
      <c r="Z61" s="39" t="s">
        <v>636</v>
      </c>
      <c r="AA61" s="39" t="s">
        <v>637</v>
      </c>
      <c r="AB61" s="137">
        <v>31.0</v>
      </c>
      <c r="AC61" s="131">
        <v>0.0</v>
      </c>
      <c r="AD61" s="39" t="s">
        <v>937</v>
      </c>
      <c r="AE61" s="83"/>
      <c r="AF61" s="83"/>
      <c r="AG61" s="83"/>
      <c r="AH61" s="83"/>
      <c r="AI61" s="83"/>
      <c r="AJ61" s="83"/>
      <c r="AK61" s="83"/>
      <c r="AL61" s="83"/>
    </row>
    <row r="62" hidden="1">
      <c r="A62" s="140" t="s">
        <v>121</v>
      </c>
      <c r="B62" s="123" t="s">
        <v>938</v>
      </c>
      <c r="C62" s="121" t="str">
        <f>IFERROR(__xludf.DUMMYFUNCTION("""COMPUTED_VALUE"""),"金龍帽子先生")</f>
        <v>金龍帽子先生</v>
      </c>
      <c r="D62" s="121" t="str">
        <f>IFERROR(__xludf.DUMMYFUNCTION("""COMPUTED_VALUE"""),"A")</f>
        <v>A</v>
      </c>
      <c r="E62" s="141" t="s">
        <v>939</v>
      </c>
      <c r="F62" s="122" t="str">
        <f>IFERROR(__xludf.DUMMYFUNCTION("""COMPUTED_VALUE"""),"范裕哲")</f>
        <v>范裕哲</v>
      </c>
      <c r="G62" s="121" t="s">
        <v>629</v>
      </c>
      <c r="H62" s="39" t="s">
        <v>666</v>
      </c>
      <c r="I62" s="39" t="s">
        <v>630</v>
      </c>
      <c r="J62" s="123" t="s">
        <v>631</v>
      </c>
      <c r="K62" s="123" t="s">
        <v>647</v>
      </c>
      <c r="L62" s="186">
        <v>45565.0</v>
      </c>
      <c r="M62" s="124">
        <v>45580.0</v>
      </c>
      <c r="N62" s="135">
        <v>45616.0</v>
      </c>
      <c r="O62" s="142">
        <v>45627.0</v>
      </c>
      <c r="P62" s="124">
        <v>45931.0</v>
      </c>
      <c r="Q62" s="125">
        <v>37.0</v>
      </c>
      <c r="R62" s="126">
        <v>18800.0</v>
      </c>
      <c r="S62" s="126">
        <v>18800.0</v>
      </c>
      <c r="T62" s="127"/>
      <c r="U62" s="128"/>
      <c r="V62" s="126">
        <v>37600.0</v>
      </c>
      <c r="W62" s="129" t="s">
        <v>909</v>
      </c>
      <c r="X62" s="129" t="s">
        <v>940</v>
      </c>
      <c r="Y62" s="129" t="s">
        <v>688</v>
      </c>
      <c r="Z62" s="39" t="s">
        <v>763</v>
      </c>
      <c r="AA62" s="39" t="s">
        <v>637</v>
      </c>
      <c r="AB62" s="130">
        <v>6.0</v>
      </c>
      <c r="AC62" s="143">
        <v>0.0</v>
      </c>
      <c r="AD62" s="123" t="s">
        <v>941</v>
      </c>
      <c r="AE62" s="83"/>
      <c r="AF62" s="83"/>
      <c r="AG62" s="83"/>
      <c r="AH62" s="154">
        <v>3000.0</v>
      </c>
      <c r="AI62" s="39" t="s">
        <v>696</v>
      </c>
      <c r="AJ62" s="83"/>
      <c r="AK62" s="83"/>
      <c r="AL62" s="83"/>
    </row>
    <row r="63" hidden="1">
      <c r="A63" s="140" t="s">
        <v>125</v>
      </c>
      <c r="B63" s="123" t="s">
        <v>942</v>
      </c>
      <c r="C63" s="121" t="str">
        <f>IFERROR(__xludf.DUMMYFUNCTION("""COMPUTED_VALUE"""),"金龍帽子先生")</f>
        <v>金龍帽子先生</v>
      </c>
      <c r="D63" s="121" t="str">
        <f>IFERROR(__xludf.DUMMYFUNCTION("""COMPUTED_VALUE"""),"B")</f>
        <v>B</v>
      </c>
      <c r="E63" s="141" t="s">
        <v>943</v>
      </c>
      <c r="F63" s="122" t="str">
        <f>IFERROR(__xludf.DUMMYFUNCTION("""COMPUTED_VALUE"""),"羅宇潔")</f>
        <v>羅宇潔</v>
      </c>
      <c r="G63" s="121" t="s">
        <v>629</v>
      </c>
      <c r="H63" s="39" t="s">
        <v>666</v>
      </c>
      <c r="I63" s="39" t="s">
        <v>630</v>
      </c>
      <c r="J63" s="123" t="s">
        <v>631</v>
      </c>
      <c r="K63" s="123" t="s">
        <v>647</v>
      </c>
      <c r="L63" s="186">
        <v>45561.0</v>
      </c>
      <c r="M63" s="124">
        <v>45570.0</v>
      </c>
      <c r="N63" s="124">
        <v>45606.0</v>
      </c>
      <c r="O63" s="142">
        <v>45627.0</v>
      </c>
      <c r="P63" s="124">
        <v>45992.0</v>
      </c>
      <c r="Q63" s="125">
        <v>37.0</v>
      </c>
      <c r="R63" s="126">
        <v>13300.0</v>
      </c>
      <c r="S63" s="126">
        <v>13300.0</v>
      </c>
      <c r="T63" s="127"/>
      <c r="U63" s="128"/>
      <c r="V63" s="126">
        <v>26600.0</v>
      </c>
      <c r="W63" s="129" t="s">
        <v>944</v>
      </c>
      <c r="X63" s="129" t="s">
        <v>945</v>
      </c>
      <c r="Y63" s="129" t="s">
        <v>946</v>
      </c>
      <c r="Z63" s="39" t="s">
        <v>763</v>
      </c>
      <c r="AA63" s="39" t="s">
        <v>637</v>
      </c>
      <c r="AB63" s="130">
        <v>6.0</v>
      </c>
      <c r="AC63" s="143">
        <v>0.0</v>
      </c>
      <c r="AD63" s="123" t="s">
        <v>947</v>
      </c>
      <c r="AE63" s="83"/>
      <c r="AF63" s="83"/>
      <c r="AG63" s="83"/>
      <c r="AH63" s="154">
        <v>3000.0</v>
      </c>
      <c r="AI63" s="39" t="s">
        <v>696</v>
      </c>
      <c r="AJ63" s="83"/>
      <c r="AK63" s="83"/>
      <c r="AL63" s="83"/>
    </row>
    <row r="64">
      <c r="A64" s="120" t="s">
        <v>121</v>
      </c>
      <c r="B64" s="132" t="s">
        <v>948</v>
      </c>
      <c r="C64" s="121" t="str">
        <f>IFERROR(__xludf.DUMMYFUNCTION("""COMPUTED_VALUE"""),"金龍帽子先生")</f>
        <v>金龍帽子先生</v>
      </c>
      <c r="D64" s="121" t="str">
        <f>IFERROR(__xludf.DUMMYFUNCTION("""COMPUTED_VALUE"""),"A")</f>
        <v>A</v>
      </c>
      <c r="E64" s="132" t="s">
        <v>949</v>
      </c>
      <c r="F64" s="122" t="str">
        <f>IFERROR(__xludf.DUMMYFUNCTION("""COMPUTED_VALUE"""),"何佩勳")</f>
        <v>何佩勳</v>
      </c>
      <c r="G64" s="146" t="s">
        <v>640</v>
      </c>
      <c r="H64" s="19" t="s">
        <v>630</v>
      </c>
      <c r="I64" s="19" t="s">
        <v>630</v>
      </c>
      <c r="J64" s="132" t="s">
        <v>631</v>
      </c>
      <c r="K64" s="39" t="s">
        <v>647</v>
      </c>
      <c r="L64" s="187">
        <v>45616.0</v>
      </c>
      <c r="M64" s="187">
        <v>45627.0</v>
      </c>
      <c r="N64" s="188">
        <v>46081.0</v>
      </c>
      <c r="O64" s="134">
        <v>46082.0</v>
      </c>
      <c r="P64" s="189">
        <v>46054.0</v>
      </c>
      <c r="Q64" s="125">
        <v>455.0</v>
      </c>
      <c r="R64" s="26">
        <v>17200.0</v>
      </c>
      <c r="S64" s="26">
        <v>17200.0</v>
      </c>
      <c r="T64" s="139">
        <v>0.0</v>
      </c>
      <c r="U64" s="136">
        <v>17200.0</v>
      </c>
      <c r="V64" s="26">
        <v>34400.0</v>
      </c>
      <c r="W64" s="129" t="s">
        <v>688</v>
      </c>
      <c r="X64" s="129" t="s">
        <v>700</v>
      </c>
      <c r="Y64" s="129" t="s">
        <v>643</v>
      </c>
      <c r="Z64" s="39" t="s">
        <v>636</v>
      </c>
      <c r="AA64" s="39" t="s">
        <v>637</v>
      </c>
      <c r="AB64" s="137">
        <v>28.0</v>
      </c>
      <c r="AC64" s="131">
        <v>0.0</v>
      </c>
      <c r="AD64" s="146" t="s">
        <v>950</v>
      </c>
      <c r="AE64" s="150"/>
      <c r="AF64" s="150"/>
      <c r="AG64" s="150"/>
      <c r="AH64" s="150"/>
      <c r="AI64" s="83"/>
      <c r="AJ64" s="83"/>
      <c r="AK64" s="83"/>
      <c r="AL64" s="83"/>
    </row>
    <row r="65">
      <c r="A65" s="120" t="s">
        <v>125</v>
      </c>
      <c r="B65" s="132" t="s">
        <v>951</v>
      </c>
      <c r="C65" s="121" t="str">
        <f>IFERROR(__xludf.DUMMYFUNCTION("""COMPUTED_VALUE"""),"金龍帽子先生")</f>
        <v>金龍帽子先生</v>
      </c>
      <c r="D65" s="121" t="str">
        <f>IFERROR(__xludf.DUMMYFUNCTION("""COMPUTED_VALUE"""),"B")</f>
        <v>B</v>
      </c>
      <c r="E65" s="132" t="s">
        <v>952</v>
      </c>
      <c r="F65" s="122" t="str">
        <f>IFERROR(__xludf.DUMMYFUNCTION("""COMPUTED_VALUE"""),"謝紫芩")</f>
        <v>謝紫芩</v>
      </c>
      <c r="G65" s="121" t="s">
        <v>640</v>
      </c>
      <c r="H65" s="31" t="s">
        <v>630</v>
      </c>
      <c r="I65" s="31" t="s">
        <v>630</v>
      </c>
      <c r="J65" s="155" t="s">
        <v>631</v>
      </c>
      <c r="K65" s="39" t="s">
        <v>647</v>
      </c>
      <c r="L65" s="166">
        <v>45608.0</v>
      </c>
      <c r="M65" s="166">
        <v>45626.0</v>
      </c>
      <c r="N65" s="133">
        <v>46081.0</v>
      </c>
      <c r="O65" s="134">
        <v>46082.0</v>
      </c>
      <c r="P65" s="135">
        <v>46054.0</v>
      </c>
      <c r="Q65" s="125">
        <v>456.0</v>
      </c>
      <c r="R65" s="41">
        <v>12700.0</v>
      </c>
      <c r="S65" s="41">
        <v>12700.0</v>
      </c>
      <c r="T65" s="139">
        <v>0.0</v>
      </c>
      <c r="U65" s="136">
        <v>12700.0</v>
      </c>
      <c r="V65" s="41">
        <v>25400.0</v>
      </c>
      <c r="W65" s="129" t="s">
        <v>953</v>
      </c>
      <c r="X65" s="129" t="s">
        <v>720</v>
      </c>
      <c r="Y65" s="129" t="s">
        <v>643</v>
      </c>
      <c r="Z65" s="39" t="s">
        <v>636</v>
      </c>
      <c r="AA65" s="39" t="s">
        <v>637</v>
      </c>
      <c r="AB65" s="137">
        <v>-1.0</v>
      </c>
      <c r="AC65" s="131">
        <v>0.0</v>
      </c>
      <c r="AD65" s="31" t="s">
        <v>954</v>
      </c>
      <c r="AE65" s="83"/>
      <c r="AF65" s="83"/>
      <c r="AG65" s="83"/>
      <c r="AH65" s="83"/>
      <c r="AI65" s="83"/>
      <c r="AJ65" s="83"/>
      <c r="AK65" s="83"/>
      <c r="AL65" s="83"/>
    </row>
    <row r="66" hidden="1">
      <c r="A66" s="120" t="s">
        <v>128</v>
      </c>
      <c r="B66" s="132" t="s">
        <v>955</v>
      </c>
      <c r="C66" s="121" t="str">
        <f>IFERROR(__xludf.DUMMYFUNCTION("""COMPUTED_VALUE"""),"金龍帽子先生")</f>
        <v>金龍帽子先生</v>
      </c>
      <c r="D66" s="121" t="str">
        <f>IFERROR(__xludf.DUMMYFUNCTION("""COMPUTED_VALUE"""),"C")</f>
        <v>C</v>
      </c>
      <c r="E66" s="132" t="s">
        <v>956</v>
      </c>
      <c r="F66" s="122" t="str">
        <f>IFERROR(__xludf.DUMMYFUNCTION("""COMPUTED_VALUE"""),"李侑芯")</f>
        <v>李侑芯</v>
      </c>
      <c r="G66" s="121" t="s">
        <v>629</v>
      </c>
      <c r="H66" s="39" t="s">
        <v>630</v>
      </c>
      <c r="I66" s="39" t="s">
        <v>630</v>
      </c>
      <c r="J66" s="132" t="s">
        <v>631</v>
      </c>
      <c r="K66" s="39" t="s">
        <v>647</v>
      </c>
      <c r="L66" s="190">
        <v>45560.0</v>
      </c>
      <c r="M66" s="138">
        <v>45570.0</v>
      </c>
      <c r="N66" s="191">
        <v>45693.0</v>
      </c>
      <c r="O66" s="145">
        <v>45717.0</v>
      </c>
      <c r="P66" s="124">
        <v>45901.0</v>
      </c>
      <c r="Q66" s="125">
        <v>124.0</v>
      </c>
      <c r="R66" s="27">
        <v>14800.0</v>
      </c>
      <c r="S66" s="27">
        <v>14800.0</v>
      </c>
      <c r="T66" s="139"/>
      <c r="U66" s="128"/>
      <c r="V66" s="27">
        <v>29600.0</v>
      </c>
      <c r="W66" s="129" t="s">
        <v>957</v>
      </c>
      <c r="X66" s="129" t="s">
        <v>945</v>
      </c>
      <c r="Y66" s="129" t="s">
        <v>958</v>
      </c>
      <c r="Z66" s="39" t="s">
        <v>636</v>
      </c>
      <c r="AA66" s="39" t="s">
        <v>637</v>
      </c>
      <c r="AB66" s="137">
        <v>1.0</v>
      </c>
      <c r="AC66" s="131">
        <v>0.0</v>
      </c>
      <c r="AD66" s="39" t="s">
        <v>959</v>
      </c>
      <c r="AE66" s="83"/>
      <c r="AF66" s="83"/>
      <c r="AG66" s="83"/>
      <c r="AH66" s="31">
        <v>3000.0</v>
      </c>
      <c r="AI66" s="31" t="s">
        <v>696</v>
      </c>
      <c r="AJ66" s="83"/>
      <c r="AK66" s="83"/>
      <c r="AL66" s="83"/>
    </row>
    <row r="67" hidden="1">
      <c r="A67" s="140" t="s">
        <v>131</v>
      </c>
      <c r="B67" s="123" t="s">
        <v>960</v>
      </c>
      <c r="C67" s="121" t="str">
        <f>IFERROR(__xludf.DUMMYFUNCTION("""COMPUTED_VALUE"""),"金龍帽子先生")</f>
        <v>金龍帽子先生</v>
      </c>
      <c r="D67" s="121" t="str">
        <f>IFERROR(__xludf.DUMMYFUNCTION("""COMPUTED_VALUE"""),"D")</f>
        <v>D</v>
      </c>
      <c r="E67" s="141" t="s">
        <v>961</v>
      </c>
      <c r="F67" s="122" t="str">
        <f>IFERROR(__xludf.DUMMYFUNCTION("""COMPUTED_VALUE"""),"劉曉婷")</f>
        <v>劉曉婷</v>
      </c>
      <c r="G67" s="121" t="s">
        <v>629</v>
      </c>
      <c r="H67" s="39" t="s">
        <v>666</v>
      </c>
      <c r="I67" s="39" t="s">
        <v>630</v>
      </c>
      <c r="J67" s="123" t="s">
        <v>631</v>
      </c>
      <c r="K67" s="123" t="s">
        <v>647</v>
      </c>
      <c r="L67" s="186">
        <v>45563.0</v>
      </c>
      <c r="M67" s="186">
        <v>45566.0</v>
      </c>
      <c r="N67" s="124">
        <v>45599.0</v>
      </c>
      <c r="O67" s="142">
        <v>45597.0</v>
      </c>
      <c r="P67" s="124">
        <v>45901.0</v>
      </c>
      <c r="Q67" s="125">
        <v>34.0</v>
      </c>
      <c r="R67" s="126">
        <v>15800.0</v>
      </c>
      <c r="S67" s="126">
        <v>15800.0</v>
      </c>
      <c r="T67" s="127"/>
      <c r="U67" s="128"/>
      <c r="V67" s="126">
        <v>31600.0</v>
      </c>
      <c r="W67" s="129" t="s">
        <v>962</v>
      </c>
      <c r="X67" s="129" t="s">
        <v>963</v>
      </c>
      <c r="Y67" s="129" t="s">
        <v>964</v>
      </c>
      <c r="Z67" s="39" t="s">
        <v>636</v>
      </c>
      <c r="AA67" s="39" t="s">
        <v>637</v>
      </c>
      <c r="AB67" s="130">
        <v>3.0</v>
      </c>
      <c r="AC67" s="143">
        <v>0.0</v>
      </c>
      <c r="AD67" s="123" t="s">
        <v>965</v>
      </c>
      <c r="AE67" s="174">
        <v>53.0</v>
      </c>
      <c r="AF67" s="174">
        <v>206.0</v>
      </c>
      <c r="AG67" s="174">
        <v>77.0</v>
      </c>
      <c r="AH67" s="154">
        <v>3000.0</v>
      </c>
      <c r="AI67" s="39" t="s">
        <v>696</v>
      </c>
      <c r="AJ67" s="83"/>
      <c r="AK67" s="83"/>
      <c r="AL67" s="83"/>
    </row>
    <row r="68" hidden="1">
      <c r="A68" s="120" t="s">
        <v>131</v>
      </c>
      <c r="B68" s="132" t="s">
        <v>966</v>
      </c>
      <c r="C68" s="121" t="str">
        <f>IFERROR(__xludf.DUMMYFUNCTION("""COMPUTED_VALUE"""),"金龍帽子先生")</f>
        <v>金龍帽子先生</v>
      </c>
      <c r="D68" s="121" t="str">
        <f>IFERROR(__xludf.DUMMYFUNCTION("""COMPUTED_VALUE"""),"D")</f>
        <v>D</v>
      </c>
      <c r="E68" s="132" t="s">
        <v>967</v>
      </c>
      <c r="F68" s="122" t="str">
        <f>IFERROR(__xludf.DUMMYFUNCTION("""COMPUTED_VALUE"""),"蔡婷欣")</f>
        <v>蔡婷欣</v>
      </c>
      <c r="G68" s="121" t="s">
        <v>629</v>
      </c>
      <c r="H68" s="31" t="s">
        <v>630</v>
      </c>
      <c r="I68" s="31" t="s">
        <v>630</v>
      </c>
      <c r="J68" s="155" t="s">
        <v>631</v>
      </c>
      <c r="K68" s="39" t="s">
        <v>647</v>
      </c>
      <c r="L68" s="156">
        <v>45616.0</v>
      </c>
      <c r="M68" s="138">
        <v>45617.0</v>
      </c>
      <c r="N68" s="133">
        <v>45777.0</v>
      </c>
      <c r="O68" s="134">
        <v>45778.0</v>
      </c>
      <c r="P68" s="124">
        <v>45962.0</v>
      </c>
      <c r="Q68" s="125">
        <v>161.0</v>
      </c>
      <c r="R68" s="41">
        <v>14500.0</v>
      </c>
      <c r="S68" s="41">
        <v>14500.0</v>
      </c>
      <c r="T68" s="139"/>
      <c r="U68" s="128"/>
      <c r="V68" s="41">
        <v>29000.0</v>
      </c>
      <c r="W68" s="129" t="s">
        <v>688</v>
      </c>
      <c r="X68" s="129" t="s">
        <v>968</v>
      </c>
      <c r="Y68" s="129" t="s">
        <v>849</v>
      </c>
      <c r="Z68" s="39" t="s">
        <v>636</v>
      </c>
      <c r="AA68" s="39" t="s">
        <v>637</v>
      </c>
      <c r="AB68" s="137">
        <v>10.0</v>
      </c>
      <c r="AC68" s="131">
        <v>0.0</v>
      </c>
      <c r="AD68" s="31" t="s">
        <v>969</v>
      </c>
      <c r="AE68" s="179">
        <v>79.0</v>
      </c>
      <c r="AF68" s="179">
        <v>349.0</v>
      </c>
      <c r="AG68" s="179">
        <v>40.0</v>
      </c>
      <c r="AH68" s="31">
        <v>3000.0</v>
      </c>
      <c r="AI68" s="39" t="s">
        <v>696</v>
      </c>
      <c r="AJ68" s="83"/>
      <c r="AK68" s="83"/>
      <c r="AL68" s="83"/>
    </row>
    <row r="69" hidden="1">
      <c r="A69" s="120" t="s">
        <v>134</v>
      </c>
      <c r="B69" s="132" t="s">
        <v>970</v>
      </c>
      <c r="C69" s="121" t="str">
        <f>IFERROR(__xludf.DUMMYFUNCTION("""COMPUTED_VALUE"""),"景安2分鐘")</f>
        <v>景安2分鐘</v>
      </c>
      <c r="D69" s="121" t="str">
        <f>IFERROR(__xludf.DUMMYFUNCTION("""COMPUTED_VALUE"""),"A")</f>
        <v>A</v>
      </c>
      <c r="E69" s="132" t="s">
        <v>971</v>
      </c>
      <c r="F69" s="122" t="str">
        <f>IFERROR(__xludf.DUMMYFUNCTION("""COMPUTED_VALUE"""),"蕭宇榛")</f>
        <v>蕭宇榛</v>
      </c>
      <c r="G69" s="121" t="s">
        <v>629</v>
      </c>
      <c r="H69" s="39" t="s">
        <v>630</v>
      </c>
      <c r="I69" s="39" t="s">
        <v>630</v>
      </c>
      <c r="J69" s="132" t="s">
        <v>631</v>
      </c>
      <c r="K69" s="39" t="s">
        <v>647</v>
      </c>
      <c r="L69" s="138">
        <v>45587.0</v>
      </c>
      <c r="M69" s="138">
        <v>45588.0</v>
      </c>
      <c r="N69" s="133">
        <v>45942.0</v>
      </c>
      <c r="O69" s="134">
        <v>45962.0</v>
      </c>
      <c r="P69" s="124">
        <v>45931.0</v>
      </c>
      <c r="Q69" s="125">
        <v>355.0</v>
      </c>
      <c r="R69" s="27">
        <v>14500.0</v>
      </c>
      <c r="S69" s="27">
        <v>14500.0</v>
      </c>
      <c r="T69" s="153"/>
      <c r="U69" s="128"/>
      <c r="V69" s="27">
        <v>29000.0</v>
      </c>
      <c r="W69" s="129" t="s">
        <v>712</v>
      </c>
      <c r="X69" s="129" t="s">
        <v>972</v>
      </c>
      <c r="Y69" s="129" t="s">
        <v>973</v>
      </c>
      <c r="Z69" s="39" t="s">
        <v>636</v>
      </c>
      <c r="AA69" s="39" t="s">
        <v>637</v>
      </c>
      <c r="AB69" s="137">
        <v>-10.0</v>
      </c>
      <c r="AC69" s="131">
        <v>0.0</v>
      </c>
      <c r="AD69" s="39" t="s">
        <v>974</v>
      </c>
      <c r="AE69" s="31">
        <v>145.0</v>
      </c>
      <c r="AF69" s="31">
        <v>475.0</v>
      </c>
      <c r="AG69" s="31">
        <v>105.0</v>
      </c>
      <c r="AH69" s="31">
        <v>3000.0</v>
      </c>
      <c r="AI69" s="180">
        <v>2275.0</v>
      </c>
      <c r="AJ69" s="83"/>
      <c r="AK69" s="83"/>
      <c r="AL69" s="83"/>
    </row>
    <row r="70" hidden="1">
      <c r="A70" s="120" t="s">
        <v>138</v>
      </c>
      <c r="B70" s="132" t="s">
        <v>975</v>
      </c>
      <c r="C70" s="121" t="str">
        <f>IFERROR(__xludf.DUMMYFUNCTION("""COMPUTED_VALUE"""),"景安2分鐘")</f>
        <v>景安2分鐘</v>
      </c>
      <c r="D70" s="121" t="str">
        <f>IFERROR(__xludf.DUMMYFUNCTION("""COMPUTED_VALUE"""),"B")</f>
        <v>B</v>
      </c>
      <c r="E70" s="132" t="s">
        <v>976</v>
      </c>
      <c r="F70" s="122" t="str">
        <f>IFERROR(__xludf.DUMMYFUNCTION("""COMPUTED_VALUE"""),"張語婕
張依憑")</f>
        <v>張語婕
張依憑</v>
      </c>
      <c r="G70" s="121" t="s">
        <v>629</v>
      </c>
      <c r="H70" s="39" t="s">
        <v>630</v>
      </c>
      <c r="I70" s="39" t="s">
        <v>630</v>
      </c>
      <c r="J70" s="132" t="s">
        <v>631</v>
      </c>
      <c r="K70" s="39" t="s">
        <v>647</v>
      </c>
      <c r="L70" s="190">
        <v>45579.0</v>
      </c>
      <c r="M70" s="190">
        <v>45581.0</v>
      </c>
      <c r="N70" s="138">
        <v>45961.0</v>
      </c>
      <c r="O70" s="134">
        <v>45962.0</v>
      </c>
      <c r="P70" s="124">
        <v>45931.0</v>
      </c>
      <c r="Q70" s="125">
        <v>381.0</v>
      </c>
      <c r="R70" s="27">
        <v>18800.0</v>
      </c>
      <c r="S70" s="27">
        <v>18800.0</v>
      </c>
      <c r="T70" s="139"/>
      <c r="U70" s="128"/>
      <c r="V70" s="27">
        <v>37600.0</v>
      </c>
      <c r="W70" s="129" t="s">
        <v>742</v>
      </c>
      <c r="X70" s="129" t="s">
        <v>977</v>
      </c>
      <c r="Y70" s="129" t="s">
        <v>914</v>
      </c>
      <c r="Z70" s="39" t="s">
        <v>636</v>
      </c>
      <c r="AA70" s="39" t="s">
        <v>637</v>
      </c>
      <c r="AB70" s="137">
        <v>16.0</v>
      </c>
      <c r="AC70" s="131">
        <v>0.0</v>
      </c>
      <c r="AD70" s="39" t="s">
        <v>978</v>
      </c>
      <c r="AE70" s="83"/>
      <c r="AF70" s="83"/>
      <c r="AG70" s="83"/>
      <c r="AH70" s="83"/>
      <c r="AI70" s="83"/>
      <c r="AJ70" s="83"/>
      <c r="AK70" s="83"/>
      <c r="AL70" s="83"/>
    </row>
    <row r="71" hidden="1">
      <c r="A71" s="120" t="s">
        <v>140</v>
      </c>
      <c r="B71" s="132" t="s">
        <v>979</v>
      </c>
      <c r="C71" s="121" t="str">
        <f>IFERROR(__xludf.DUMMYFUNCTION("""COMPUTED_VALUE"""),"景安2分鐘")</f>
        <v>景安2分鐘</v>
      </c>
      <c r="D71" s="121" t="str">
        <f>IFERROR(__xludf.DUMMYFUNCTION("""COMPUTED_VALUE"""),"C")</f>
        <v>C</v>
      </c>
      <c r="E71" s="132" t="s">
        <v>980</v>
      </c>
      <c r="F71" s="122" t="str">
        <f>IFERROR(__xludf.DUMMYFUNCTION("""COMPUTED_VALUE"""),"楊玉如")</f>
        <v>楊玉如</v>
      </c>
      <c r="G71" s="121" t="s">
        <v>629</v>
      </c>
      <c r="H71" s="39" t="s">
        <v>630</v>
      </c>
      <c r="I71" s="39" t="s">
        <v>630</v>
      </c>
      <c r="J71" s="132" t="s">
        <v>631</v>
      </c>
      <c r="K71" s="39" t="s">
        <v>647</v>
      </c>
      <c r="L71" s="138">
        <v>45594.0</v>
      </c>
      <c r="M71" s="138">
        <v>45597.0</v>
      </c>
      <c r="N71" s="133">
        <v>45900.0</v>
      </c>
      <c r="O71" s="134">
        <v>45901.0</v>
      </c>
      <c r="P71" s="124">
        <v>46054.0</v>
      </c>
      <c r="Q71" s="125">
        <v>304.0</v>
      </c>
      <c r="R71" s="27">
        <v>12300.0</v>
      </c>
      <c r="S71" s="27">
        <v>12300.0</v>
      </c>
      <c r="T71" s="153"/>
      <c r="U71" s="128"/>
      <c r="V71" s="27">
        <v>24600.0</v>
      </c>
      <c r="W71" s="129" t="s">
        <v>981</v>
      </c>
      <c r="X71" s="129" t="s">
        <v>982</v>
      </c>
      <c r="Y71" s="129" t="s">
        <v>919</v>
      </c>
      <c r="Z71" s="39" t="s">
        <v>636</v>
      </c>
      <c r="AA71" s="39" t="s">
        <v>637</v>
      </c>
      <c r="AB71" s="137">
        <v>31.0</v>
      </c>
      <c r="AC71" s="131">
        <v>0.0</v>
      </c>
      <c r="AD71" s="39" t="s">
        <v>983</v>
      </c>
      <c r="AE71" s="31">
        <v>103.0</v>
      </c>
      <c r="AF71" s="31">
        <v>184.0</v>
      </c>
      <c r="AG71" s="31">
        <v>43.0</v>
      </c>
      <c r="AH71" s="31">
        <v>3000.0</v>
      </c>
      <c r="AI71" s="180">
        <v>2670.0</v>
      </c>
      <c r="AJ71" s="83"/>
      <c r="AK71" s="83"/>
      <c r="AL71" s="83"/>
    </row>
    <row r="72">
      <c r="A72" s="120" t="s">
        <v>143</v>
      </c>
      <c r="B72" s="132" t="s">
        <v>984</v>
      </c>
      <c r="C72" s="121" t="str">
        <f>IFERROR(__xludf.DUMMYFUNCTION("""COMPUTED_VALUE"""),"景安2分鐘")</f>
        <v>景安2分鐘</v>
      </c>
      <c r="D72" s="121" t="str">
        <f>IFERROR(__xludf.DUMMYFUNCTION("""COMPUTED_VALUE"""),"D")</f>
        <v>D</v>
      </c>
      <c r="E72" s="132" t="s">
        <v>985</v>
      </c>
      <c r="F72" s="122" t="str">
        <f>IFERROR(__xludf.DUMMYFUNCTION("""COMPUTED_VALUE"""),"鍾佩晶")</f>
        <v>鍾佩晶</v>
      </c>
      <c r="G72" s="121" t="s">
        <v>640</v>
      </c>
      <c r="H72" s="39" t="s">
        <v>630</v>
      </c>
      <c r="I72" s="39" t="s">
        <v>630</v>
      </c>
      <c r="J72" s="132" t="s">
        <v>631</v>
      </c>
      <c r="K72" s="39" t="s">
        <v>647</v>
      </c>
      <c r="L72" s="133">
        <v>45600.0</v>
      </c>
      <c r="M72" s="133">
        <v>45607.0</v>
      </c>
      <c r="N72" s="133">
        <v>46081.0</v>
      </c>
      <c r="O72" s="134">
        <v>46082.0</v>
      </c>
      <c r="P72" s="135">
        <v>46054.0</v>
      </c>
      <c r="Q72" s="125">
        <v>475.0</v>
      </c>
      <c r="R72" s="27">
        <v>8600.0</v>
      </c>
      <c r="S72" s="27">
        <v>8600.0</v>
      </c>
      <c r="T72" s="139">
        <v>0.0</v>
      </c>
      <c r="U72" s="136">
        <v>8600.0</v>
      </c>
      <c r="V72" s="27">
        <v>17200.0</v>
      </c>
      <c r="W72" s="129" t="s">
        <v>986</v>
      </c>
      <c r="X72" s="129" t="s">
        <v>987</v>
      </c>
      <c r="Y72" s="129" t="s">
        <v>643</v>
      </c>
      <c r="Z72" s="39" t="s">
        <v>636</v>
      </c>
      <c r="AA72" s="39" t="s">
        <v>637</v>
      </c>
      <c r="AB72" s="137">
        <v>18.0</v>
      </c>
      <c r="AC72" s="131">
        <v>0.0</v>
      </c>
      <c r="AD72" s="39" t="s">
        <v>988</v>
      </c>
      <c r="AE72" s="175"/>
      <c r="AF72" s="175"/>
      <c r="AG72" s="175"/>
      <c r="AH72" s="83"/>
      <c r="AI72" s="83"/>
      <c r="AJ72" s="83"/>
      <c r="AK72" s="83"/>
      <c r="AL72" s="83"/>
    </row>
    <row r="73" hidden="1">
      <c r="A73" s="120" t="s">
        <v>146</v>
      </c>
      <c r="B73" s="132" t="s">
        <v>989</v>
      </c>
      <c r="C73" s="121" t="str">
        <f>IFERROR(__xludf.DUMMYFUNCTION("""COMPUTED_VALUE"""),"景安2分鐘")</f>
        <v>景安2分鐘</v>
      </c>
      <c r="D73" s="121" t="str">
        <f>IFERROR(__xludf.DUMMYFUNCTION("""COMPUTED_VALUE"""),"E")</f>
        <v>E</v>
      </c>
      <c r="E73" s="132" t="s">
        <v>990</v>
      </c>
      <c r="F73" s="122" t="str">
        <f>IFERROR(__xludf.DUMMYFUNCTION("""COMPUTED_VALUE"""),"陳盈如")</f>
        <v>陳盈如</v>
      </c>
      <c r="G73" s="121" t="s">
        <v>629</v>
      </c>
      <c r="H73" s="39" t="s">
        <v>630</v>
      </c>
      <c r="I73" s="39" t="s">
        <v>630</v>
      </c>
      <c r="J73" s="132" t="s">
        <v>631</v>
      </c>
      <c r="K73" s="39" t="s">
        <v>647</v>
      </c>
      <c r="L73" s="138">
        <v>45600.0</v>
      </c>
      <c r="M73" s="138">
        <v>45601.0</v>
      </c>
      <c r="N73" s="133">
        <v>45716.0</v>
      </c>
      <c r="O73" s="145">
        <v>45717.0</v>
      </c>
      <c r="P73" s="124">
        <v>46054.0</v>
      </c>
      <c r="Q73" s="125">
        <v>116.0</v>
      </c>
      <c r="R73" s="27">
        <v>9500.0</v>
      </c>
      <c r="S73" s="27">
        <v>9500.0</v>
      </c>
      <c r="T73" s="127"/>
      <c r="U73" s="128"/>
      <c r="V73" s="27">
        <v>19000.0</v>
      </c>
      <c r="W73" s="129" t="s">
        <v>986</v>
      </c>
      <c r="X73" s="129" t="s">
        <v>991</v>
      </c>
      <c r="Y73" s="129" t="s">
        <v>635</v>
      </c>
      <c r="Z73" s="39" t="s">
        <v>636</v>
      </c>
      <c r="AA73" s="39" t="s">
        <v>637</v>
      </c>
      <c r="AB73" s="137">
        <v>24.0</v>
      </c>
      <c r="AC73" s="131">
        <v>0.0</v>
      </c>
      <c r="AD73" s="39" t="s">
        <v>992</v>
      </c>
      <c r="AE73" s="179">
        <v>108.0</v>
      </c>
      <c r="AF73" s="179">
        <v>74.0</v>
      </c>
      <c r="AG73" s="179">
        <v>109.0</v>
      </c>
      <c r="AH73" s="154">
        <v>3000.0</v>
      </c>
      <c r="AI73" s="39" t="s">
        <v>696</v>
      </c>
      <c r="AJ73" s="83"/>
      <c r="AK73" s="83"/>
      <c r="AL73" s="83"/>
    </row>
    <row r="74">
      <c r="A74" s="120" t="s">
        <v>149</v>
      </c>
      <c r="B74" s="132" t="s">
        <v>993</v>
      </c>
      <c r="C74" s="121" t="str">
        <f>IFERROR(__xludf.DUMMYFUNCTION("""COMPUTED_VALUE"""),"中山北娘家旁")</f>
        <v>中山北娘家旁</v>
      </c>
      <c r="D74" s="121" t="str">
        <f>IFERROR(__xludf.DUMMYFUNCTION("""COMPUTED_VALUE"""),"A")</f>
        <v>A</v>
      </c>
      <c r="E74" s="132" t="s">
        <v>994</v>
      </c>
      <c r="F74" s="122" t="str">
        <f>IFERROR(__xludf.DUMMYFUNCTION("""COMPUTED_VALUE"""),"李亨加")</f>
        <v>李亨加</v>
      </c>
      <c r="G74" s="121" t="s">
        <v>640</v>
      </c>
      <c r="H74" s="39" t="s">
        <v>630</v>
      </c>
      <c r="I74" s="39" t="s">
        <v>630</v>
      </c>
      <c r="J74" s="132" t="s">
        <v>631</v>
      </c>
      <c r="K74" s="39" t="s">
        <v>647</v>
      </c>
      <c r="L74" s="166">
        <v>45608.0</v>
      </c>
      <c r="M74" s="166">
        <v>45613.0</v>
      </c>
      <c r="N74" s="133">
        <v>46081.0</v>
      </c>
      <c r="O74" s="134">
        <v>46082.0</v>
      </c>
      <c r="P74" s="135">
        <v>46054.0</v>
      </c>
      <c r="Q74" s="125">
        <v>469.0</v>
      </c>
      <c r="R74" s="41">
        <v>12500.0</v>
      </c>
      <c r="S74" s="41">
        <v>12500.0</v>
      </c>
      <c r="T74" s="139">
        <v>0.0</v>
      </c>
      <c r="U74" s="136">
        <v>12500.0</v>
      </c>
      <c r="V74" s="41">
        <v>25000.0</v>
      </c>
      <c r="W74" s="129" t="s">
        <v>953</v>
      </c>
      <c r="X74" s="129" t="s">
        <v>995</v>
      </c>
      <c r="Y74" s="129" t="s">
        <v>643</v>
      </c>
      <c r="Z74" s="39" t="s">
        <v>636</v>
      </c>
      <c r="AA74" s="39" t="s">
        <v>637</v>
      </c>
      <c r="AB74" s="137">
        <v>12.0</v>
      </c>
      <c r="AC74" s="131">
        <v>0.0</v>
      </c>
      <c r="AD74" s="31" t="s">
        <v>996</v>
      </c>
      <c r="AE74" s="83"/>
      <c r="AF74" s="83"/>
      <c r="AG74" s="83"/>
      <c r="AH74" s="83"/>
      <c r="AI74" s="83"/>
      <c r="AJ74" s="83"/>
      <c r="AK74" s="83"/>
      <c r="AL74" s="83"/>
    </row>
    <row r="75" hidden="1">
      <c r="A75" s="120" t="s">
        <v>153</v>
      </c>
      <c r="B75" s="132" t="s">
        <v>997</v>
      </c>
      <c r="C75" s="121" t="str">
        <f>IFERROR(__xludf.DUMMYFUNCTION("""COMPUTED_VALUE"""),"中山北娘家旁")</f>
        <v>中山北娘家旁</v>
      </c>
      <c r="D75" s="121" t="str">
        <f>IFERROR(__xludf.DUMMYFUNCTION("""COMPUTED_VALUE"""),"B")</f>
        <v>B</v>
      </c>
      <c r="E75" s="132" t="s">
        <v>998</v>
      </c>
      <c r="F75" s="122" t="str">
        <f>IFERROR(__xludf.DUMMYFUNCTION("""COMPUTED_VALUE"""),"Robert Sidey")</f>
        <v>Robert Sidey</v>
      </c>
      <c r="G75" s="121" t="s">
        <v>629</v>
      </c>
      <c r="H75" s="39" t="s">
        <v>630</v>
      </c>
      <c r="I75" s="39" t="s">
        <v>630</v>
      </c>
      <c r="J75" s="132" t="s">
        <v>631</v>
      </c>
      <c r="K75" s="39" t="s">
        <v>647</v>
      </c>
      <c r="L75" s="156">
        <v>45608.0</v>
      </c>
      <c r="M75" s="156">
        <v>45618.0</v>
      </c>
      <c r="N75" s="192">
        <v>45716.0</v>
      </c>
      <c r="O75" s="145">
        <v>45689.0</v>
      </c>
      <c r="P75" s="157">
        <v>45689.0</v>
      </c>
      <c r="Q75" s="125">
        <v>99.0</v>
      </c>
      <c r="R75" s="41">
        <v>14800.0</v>
      </c>
      <c r="S75" s="41">
        <v>14800.0</v>
      </c>
      <c r="T75" s="127"/>
      <c r="U75" s="128"/>
      <c r="V75" s="41">
        <v>29600.0</v>
      </c>
      <c r="W75" s="129" t="s">
        <v>953</v>
      </c>
      <c r="X75" s="129" t="s">
        <v>999</v>
      </c>
      <c r="Y75" s="129" t="s">
        <v>635</v>
      </c>
      <c r="Z75" s="39" t="s">
        <v>636</v>
      </c>
      <c r="AA75" s="39" t="s">
        <v>637</v>
      </c>
      <c r="AB75" s="137">
        <v>7.0</v>
      </c>
      <c r="AC75" s="131">
        <v>0.0</v>
      </c>
      <c r="AD75" s="31" t="s">
        <v>1000</v>
      </c>
      <c r="AE75" s="83"/>
      <c r="AF75" s="31">
        <v>250.0</v>
      </c>
      <c r="AG75" s="83"/>
      <c r="AH75" s="83"/>
      <c r="AI75" s="31" t="s">
        <v>696</v>
      </c>
      <c r="AJ75" s="83"/>
      <c r="AK75" s="83"/>
      <c r="AL75" s="83"/>
    </row>
    <row r="76">
      <c r="A76" s="120" t="s">
        <v>156</v>
      </c>
      <c r="B76" s="132" t="s">
        <v>1001</v>
      </c>
      <c r="C76" s="121" t="str">
        <f>IFERROR(__xludf.DUMMYFUNCTION("""COMPUTED_VALUE"""),"中山北娘家旁")</f>
        <v>中山北娘家旁</v>
      </c>
      <c r="D76" s="121" t="str">
        <f>IFERROR(__xludf.DUMMYFUNCTION("""COMPUTED_VALUE"""),"C")</f>
        <v>C</v>
      </c>
      <c r="E76" s="132" t="s">
        <v>1002</v>
      </c>
      <c r="F76" s="122" t="str">
        <f>IFERROR(__xludf.DUMMYFUNCTION("""COMPUTED_VALUE"""),"魏湘芸")</f>
        <v>魏湘芸</v>
      </c>
      <c r="G76" s="121" t="s">
        <v>640</v>
      </c>
      <c r="H76" s="39" t="s">
        <v>630</v>
      </c>
      <c r="I76" s="39" t="s">
        <v>630</v>
      </c>
      <c r="J76" s="155" t="s">
        <v>631</v>
      </c>
      <c r="K76" s="39" t="s">
        <v>647</v>
      </c>
      <c r="L76" s="166">
        <v>45602.0</v>
      </c>
      <c r="M76" s="166">
        <v>45606.0</v>
      </c>
      <c r="N76" s="133">
        <v>46081.0</v>
      </c>
      <c r="O76" s="134">
        <v>46082.0</v>
      </c>
      <c r="P76" s="135">
        <v>46054.0</v>
      </c>
      <c r="Q76" s="125">
        <v>476.0</v>
      </c>
      <c r="R76" s="41">
        <v>14800.0</v>
      </c>
      <c r="S76" s="41">
        <v>14800.0</v>
      </c>
      <c r="T76" s="139">
        <v>0.0</v>
      </c>
      <c r="U76" s="136">
        <v>14800.0</v>
      </c>
      <c r="V76" s="41">
        <v>29600.0</v>
      </c>
      <c r="W76" s="129" t="s">
        <v>1003</v>
      </c>
      <c r="X76" s="129" t="s">
        <v>946</v>
      </c>
      <c r="Y76" s="129" t="s">
        <v>643</v>
      </c>
      <c r="Z76" s="39" t="s">
        <v>636</v>
      </c>
      <c r="AA76" s="39" t="s">
        <v>637</v>
      </c>
      <c r="AB76" s="137">
        <v>19.0</v>
      </c>
      <c r="AC76" s="131">
        <v>0.0</v>
      </c>
      <c r="AD76" s="31" t="s">
        <v>1004</v>
      </c>
      <c r="AE76" s="83"/>
      <c r="AF76" s="83"/>
      <c r="AG76" s="83"/>
      <c r="AH76" s="83"/>
      <c r="AI76" s="83"/>
      <c r="AJ76" s="83"/>
      <c r="AK76" s="83"/>
      <c r="AL76" s="83"/>
    </row>
    <row r="77" hidden="1">
      <c r="A77" s="120" t="s">
        <v>159</v>
      </c>
      <c r="B77" s="132" t="s">
        <v>1005</v>
      </c>
      <c r="C77" s="121" t="str">
        <f>IFERROR(__xludf.DUMMYFUNCTION("""COMPUTED_VALUE"""),"中山北娘家旁")</f>
        <v>中山北娘家旁</v>
      </c>
      <c r="D77" s="121" t="str">
        <f>IFERROR(__xludf.DUMMYFUNCTION("""COMPUTED_VALUE"""),"D")</f>
        <v>D</v>
      </c>
      <c r="E77" s="132" t="s">
        <v>1006</v>
      </c>
      <c r="F77" s="122" t="str">
        <f>IFERROR(__xludf.DUMMYFUNCTION("""COMPUTED_VALUE"""),"許庭偉")</f>
        <v>許庭偉</v>
      </c>
      <c r="G77" s="121" t="s">
        <v>629</v>
      </c>
      <c r="H77" s="31" t="s">
        <v>630</v>
      </c>
      <c r="I77" s="31" t="s">
        <v>630</v>
      </c>
      <c r="J77" s="155" t="s">
        <v>631</v>
      </c>
      <c r="K77" s="31" t="s">
        <v>647</v>
      </c>
      <c r="L77" s="156">
        <v>45623.0</v>
      </c>
      <c r="M77" s="156">
        <v>45627.0</v>
      </c>
      <c r="N77" s="133">
        <v>45765.0</v>
      </c>
      <c r="O77" s="134">
        <v>45778.0</v>
      </c>
      <c r="P77" s="124">
        <v>46054.0</v>
      </c>
      <c r="Q77" s="125">
        <v>139.0</v>
      </c>
      <c r="R77" s="41">
        <v>14500.0</v>
      </c>
      <c r="S77" s="41">
        <v>14500.0</v>
      </c>
      <c r="T77" s="153"/>
      <c r="U77" s="128"/>
      <c r="V77" s="41">
        <v>29000.0</v>
      </c>
      <c r="W77" s="129" t="s">
        <v>699</v>
      </c>
      <c r="X77" s="129" t="s">
        <v>700</v>
      </c>
      <c r="Y77" s="129" t="s">
        <v>1007</v>
      </c>
      <c r="Z77" s="39" t="s">
        <v>636</v>
      </c>
      <c r="AA77" s="39" t="s">
        <v>637</v>
      </c>
      <c r="AB77" s="137">
        <v>18.0</v>
      </c>
      <c r="AC77" s="131">
        <v>0.0</v>
      </c>
      <c r="AD77" s="31" t="s">
        <v>1008</v>
      </c>
      <c r="AE77" s="83"/>
      <c r="AF77" s="83"/>
      <c r="AG77" s="31">
        <v>844.0</v>
      </c>
      <c r="AH77" s="31">
        <v>3000.0</v>
      </c>
      <c r="AI77" s="31" t="s">
        <v>696</v>
      </c>
      <c r="AJ77" s="83"/>
      <c r="AK77" s="83"/>
      <c r="AL77" s="83"/>
    </row>
    <row r="78">
      <c r="A78" s="120" t="s">
        <v>162</v>
      </c>
      <c r="B78" s="132" t="s">
        <v>1009</v>
      </c>
      <c r="C78" s="121" t="str">
        <f>IFERROR(__xludf.DUMMYFUNCTION("""COMPUTED_VALUE"""),"行天宮夏野良栗")</f>
        <v>行天宮夏野良栗</v>
      </c>
      <c r="D78" s="121" t="str">
        <f>IFERROR(__xludf.DUMMYFUNCTION("""COMPUTED_VALUE"""),"A")</f>
        <v>A</v>
      </c>
      <c r="E78" s="132" t="s">
        <v>1010</v>
      </c>
      <c r="F78" s="122" t="str">
        <f>IFERROR(__xludf.DUMMYFUNCTION("""COMPUTED_VALUE"""),"鄒欣穎")</f>
        <v>鄒欣穎</v>
      </c>
      <c r="G78" s="121" t="s">
        <v>640</v>
      </c>
      <c r="H78" s="39" t="s">
        <v>630</v>
      </c>
      <c r="I78" s="39" t="s">
        <v>630</v>
      </c>
      <c r="J78" s="155" t="s">
        <v>631</v>
      </c>
      <c r="K78" s="39" t="s">
        <v>647</v>
      </c>
      <c r="L78" s="166">
        <v>45608.0</v>
      </c>
      <c r="M78" s="166">
        <v>45612.0</v>
      </c>
      <c r="N78" s="133">
        <v>46081.0</v>
      </c>
      <c r="O78" s="134">
        <v>46082.0</v>
      </c>
      <c r="P78" s="135">
        <v>46054.0</v>
      </c>
      <c r="Q78" s="125">
        <v>470.0</v>
      </c>
      <c r="R78" s="41">
        <v>14200.0</v>
      </c>
      <c r="S78" s="41">
        <v>14200.0</v>
      </c>
      <c r="T78" s="139">
        <v>0.0</v>
      </c>
      <c r="U78" s="136">
        <v>14200.0</v>
      </c>
      <c r="V78" s="41">
        <v>28400.0</v>
      </c>
      <c r="W78" s="129" t="s">
        <v>953</v>
      </c>
      <c r="X78" s="129" t="s">
        <v>1011</v>
      </c>
      <c r="Y78" s="129" t="s">
        <v>643</v>
      </c>
      <c r="Z78" s="39" t="s">
        <v>636</v>
      </c>
      <c r="AA78" s="39" t="s">
        <v>637</v>
      </c>
      <c r="AB78" s="137">
        <v>13.0</v>
      </c>
      <c r="AC78" s="131">
        <v>0.0</v>
      </c>
      <c r="AD78" s="31" t="s">
        <v>1012</v>
      </c>
      <c r="AE78" s="83"/>
      <c r="AF78" s="83"/>
      <c r="AG78" s="83"/>
      <c r="AH78" s="83"/>
      <c r="AI78" s="83"/>
      <c r="AJ78" s="83"/>
      <c r="AK78" s="83"/>
      <c r="AL78" s="83"/>
    </row>
    <row r="79">
      <c r="A79" s="120" t="s">
        <v>166</v>
      </c>
      <c r="B79" s="132" t="s">
        <v>1013</v>
      </c>
      <c r="C79" s="121" t="str">
        <f>IFERROR(__xludf.DUMMYFUNCTION("""COMPUTED_VALUE"""),"行天宮夏野良栗")</f>
        <v>行天宮夏野良栗</v>
      </c>
      <c r="D79" s="121" t="str">
        <f>IFERROR(__xludf.DUMMYFUNCTION("""COMPUTED_VALUE"""),"B")</f>
        <v>B</v>
      </c>
      <c r="E79" s="132" t="s">
        <v>1014</v>
      </c>
      <c r="F79" s="122" t="str">
        <f>IFERROR(__xludf.DUMMYFUNCTION("""COMPUTED_VALUE"""),"楊珺媁")</f>
        <v>楊珺媁</v>
      </c>
      <c r="G79" s="121" t="s">
        <v>640</v>
      </c>
      <c r="H79" s="39" t="s">
        <v>630</v>
      </c>
      <c r="I79" s="39" t="s">
        <v>630</v>
      </c>
      <c r="J79" s="155" t="s">
        <v>631</v>
      </c>
      <c r="K79" s="31" t="s">
        <v>647</v>
      </c>
      <c r="L79" s="166">
        <v>45612.0</v>
      </c>
      <c r="M79" s="166">
        <v>45613.0</v>
      </c>
      <c r="N79" s="133">
        <v>46081.0</v>
      </c>
      <c r="O79" s="134">
        <v>46082.0</v>
      </c>
      <c r="P79" s="135">
        <v>46054.0</v>
      </c>
      <c r="Q79" s="125">
        <v>469.0</v>
      </c>
      <c r="R79" s="41">
        <v>14000.0</v>
      </c>
      <c r="S79" s="41">
        <v>14000.0</v>
      </c>
      <c r="T79" s="139">
        <v>0.0</v>
      </c>
      <c r="U79" s="136">
        <v>14000.0</v>
      </c>
      <c r="V79" s="41">
        <v>28000.0</v>
      </c>
      <c r="W79" s="129" t="s">
        <v>1011</v>
      </c>
      <c r="X79" s="129" t="s">
        <v>995</v>
      </c>
      <c r="Y79" s="129" t="s">
        <v>643</v>
      </c>
      <c r="Z79" s="39" t="s">
        <v>636</v>
      </c>
      <c r="AA79" s="39" t="s">
        <v>637</v>
      </c>
      <c r="AB79" s="137">
        <v>12.0</v>
      </c>
      <c r="AC79" s="131">
        <v>0.0</v>
      </c>
      <c r="AD79" s="31" t="s">
        <v>1015</v>
      </c>
      <c r="AE79" s="83"/>
      <c r="AF79" s="83"/>
      <c r="AG79" s="83"/>
      <c r="AH79" s="83"/>
      <c r="AI79" s="83"/>
      <c r="AJ79" s="83"/>
      <c r="AK79" s="83"/>
      <c r="AL79" s="83"/>
    </row>
    <row r="80">
      <c r="A80" s="120" t="s">
        <v>169</v>
      </c>
      <c r="B80" s="132" t="s">
        <v>1016</v>
      </c>
      <c r="C80" s="121" t="str">
        <f>IFERROR(__xludf.DUMMYFUNCTION("""COMPUTED_VALUE"""),"行天宮夏野良栗")</f>
        <v>行天宮夏野良栗</v>
      </c>
      <c r="D80" s="121" t="str">
        <f>IFERROR(__xludf.DUMMYFUNCTION("""COMPUTED_VALUE"""),"C")</f>
        <v>C</v>
      </c>
      <c r="E80" s="132" t="s">
        <v>1017</v>
      </c>
      <c r="F80" s="122" t="str">
        <f>IFERROR(__xludf.DUMMYFUNCTION("""COMPUTED_VALUE"""),"黃伊妍")</f>
        <v>黃伊妍</v>
      </c>
      <c r="G80" s="121" t="s">
        <v>640</v>
      </c>
      <c r="H80" s="39" t="s">
        <v>630</v>
      </c>
      <c r="I80" s="39" t="s">
        <v>630</v>
      </c>
      <c r="J80" s="155" t="s">
        <v>631</v>
      </c>
      <c r="K80" s="39" t="s">
        <v>647</v>
      </c>
      <c r="L80" s="166">
        <v>45612.0</v>
      </c>
      <c r="M80" s="166">
        <v>45613.0</v>
      </c>
      <c r="N80" s="133">
        <v>46081.0</v>
      </c>
      <c r="O80" s="134">
        <v>46082.0</v>
      </c>
      <c r="P80" s="135">
        <v>46054.0</v>
      </c>
      <c r="Q80" s="125">
        <v>469.0</v>
      </c>
      <c r="R80" s="41">
        <v>11000.0</v>
      </c>
      <c r="S80" s="41">
        <v>11000.0</v>
      </c>
      <c r="T80" s="139">
        <v>0.0</v>
      </c>
      <c r="U80" s="136">
        <v>11000.0</v>
      </c>
      <c r="V80" s="41">
        <v>22000.0</v>
      </c>
      <c r="W80" s="129" t="s">
        <v>1011</v>
      </c>
      <c r="X80" s="129" t="s">
        <v>995</v>
      </c>
      <c r="Y80" s="129" t="s">
        <v>643</v>
      </c>
      <c r="Z80" s="39" t="s">
        <v>636</v>
      </c>
      <c r="AA80" s="39" t="s">
        <v>637</v>
      </c>
      <c r="AB80" s="137">
        <v>12.0</v>
      </c>
      <c r="AC80" s="131">
        <v>0.0</v>
      </c>
      <c r="AD80" s="31" t="s">
        <v>1018</v>
      </c>
      <c r="AE80" s="83"/>
      <c r="AF80" s="83"/>
      <c r="AG80" s="83"/>
      <c r="AH80" s="83"/>
      <c r="AI80" s="83"/>
      <c r="AJ80" s="83"/>
      <c r="AK80" s="83"/>
      <c r="AL80" s="83"/>
    </row>
    <row r="81">
      <c r="A81" s="120" t="s">
        <v>171</v>
      </c>
      <c r="B81" s="132" t="s">
        <v>1019</v>
      </c>
      <c r="C81" s="121" t="str">
        <f>IFERROR(__xludf.DUMMYFUNCTION("""COMPUTED_VALUE"""),"行天宮夏野良栗")</f>
        <v>行天宮夏野良栗</v>
      </c>
      <c r="D81" s="121" t="str">
        <f>IFERROR(__xludf.DUMMYFUNCTION("""COMPUTED_VALUE"""),"D")</f>
        <v>D</v>
      </c>
      <c r="E81" s="132" t="s">
        <v>1020</v>
      </c>
      <c r="F81" s="122" t="str">
        <f>IFERROR(__xludf.DUMMYFUNCTION("""COMPUTED_VALUE"""),"江仲元")</f>
        <v>江仲元</v>
      </c>
      <c r="G81" s="121" t="s">
        <v>640</v>
      </c>
      <c r="H81" s="31" t="s">
        <v>630</v>
      </c>
      <c r="I81" s="31" t="s">
        <v>630</v>
      </c>
      <c r="J81" s="155" t="s">
        <v>631</v>
      </c>
      <c r="K81" s="31" t="s">
        <v>647</v>
      </c>
      <c r="L81" s="166">
        <v>45629.0</v>
      </c>
      <c r="M81" s="166">
        <v>45634.0</v>
      </c>
      <c r="N81" s="166">
        <v>46081.0</v>
      </c>
      <c r="O81" s="134">
        <v>46082.0</v>
      </c>
      <c r="P81" s="135">
        <v>46054.0</v>
      </c>
      <c r="Q81" s="125">
        <v>448.0</v>
      </c>
      <c r="R81" s="41">
        <v>11200.0</v>
      </c>
      <c r="S81" s="41">
        <v>11200.0</v>
      </c>
      <c r="T81" s="153">
        <v>0.0</v>
      </c>
      <c r="U81" s="136">
        <v>11200.0</v>
      </c>
      <c r="V81" s="41">
        <v>22400.0</v>
      </c>
      <c r="W81" s="129" t="s">
        <v>1021</v>
      </c>
      <c r="X81" s="129" t="s">
        <v>1022</v>
      </c>
      <c r="Y81" s="129" t="s">
        <v>643</v>
      </c>
      <c r="Z81" s="39" t="s">
        <v>636</v>
      </c>
      <c r="AA81" s="39" t="s">
        <v>637</v>
      </c>
      <c r="AB81" s="137">
        <v>21.0</v>
      </c>
      <c r="AC81" s="131">
        <v>0.0</v>
      </c>
      <c r="AD81" s="31" t="s">
        <v>1023</v>
      </c>
      <c r="AE81" s="83"/>
      <c r="AF81" s="83"/>
      <c r="AG81" s="83"/>
      <c r="AH81" s="83"/>
      <c r="AI81" s="83"/>
      <c r="AJ81" s="83"/>
      <c r="AK81" s="83"/>
      <c r="AL81" s="83"/>
    </row>
    <row r="82" hidden="1">
      <c r="A82" s="120" t="s">
        <v>235</v>
      </c>
      <c r="B82" s="132" t="s">
        <v>1024</v>
      </c>
      <c r="C82" s="121" t="str">
        <f>IFERROR(__xludf.DUMMYFUNCTION("""COMPUTED_VALUE"""),"行天宮夏野良栗")</f>
        <v>行天宮夏野良栗</v>
      </c>
      <c r="D82" s="121" t="str">
        <f>IFERROR(__xludf.DUMMYFUNCTION("""COMPUTED_VALUE"""),"兩房")</f>
        <v>兩房</v>
      </c>
      <c r="E82" s="132" t="s">
        <v>1025</v>
      </c>
      <c r="F82" s="122" t="str">
        <f>IFERROR(__xludf.DUMMYFUNCTION("""COMPUTED_VALUE"""),"張宏祺
謝宗穎")</f>
        <v>張宏祺
謝宗穎</v>
      </c>
      <c r="G82" s="121" t="s">
        <v>629</v>
      </c>
      <c r="H82" s="31" t="s">
        <v>630</v>
      </c>
      <c r="I82" s="31" t="s">
        <v>630</v>
      </c>
      <c r="J82" s="155" t="s">
        <v>631</v>
      </c>
      <c r="K82" s="39" t="s">
        <v>647</v>
      </c>
      <c r="L82" s="156">
        <v>45623.0</v>
      </c>
      <c r="M82" s="156">
        <v>45627.0</v>
      </c>
      <c r="N82" s="138">
        <v>45991.0</v>
      </c>
      <c r="O82" s="134">
        <v>45992.0</v>
      </c>
      <c r="P82" s="124">
        <v>45962.0</v>
      </c>
      <c r="Q82" s="125">
        <v>365.0</v>
      </c>
      <c r="R82" s="41">
        <v>31800.0</v>
      </c>
      <c r="S82" s="41">
        <v>31800.0</v>
      </c>
      <c r="T82" s="139"/>
      <c r="U82" s="128"/>
      <c r="V82" s="41">
        <v>63600.0</v>
      </c>
      <c r="W82" s="129" t="s">
        <v>699</v>
      </c>
      <c r="X82" s="129" t="s">
        <v>700</v>
      </c>
      <c r="Y82" s="129" t="s">
        <v>743</v>
      </c>
      <c r="Z82" s="39" t="s">
        <v>636</v>
      </c>
      <c r="AA82" s="39" t="s">
        <v>637</v>
      </c>
      <c r="AB82" s="137">
        <v>30.0</v>
      </c>
      <c r="AC82" s="131">
        <v>0.0</v>
      </c>
      <c r="AD82" s="15"/>
      <c r="AE82" s="83"/>
      <c r="AF82" s="31">
        <v>672.0</v>
      </c>
      <c r="AG82" s="83"/>
      <c r="AH82" s="31">
        <v>3000.0</v>
      </c>
      <c r="AI82" s="31" t="s">
        <v>696</v>
      </c>
      <c r="AJ82" s="83"/>
      <c r="AK82" s="83"/>
      <c r="AL82" s="83"/>
    </row>
    <row r="83">
      <c r="A83" s="120" t="s">
        <v>177</v>
      </c>
      <c r="B83" s="132" t="s">
        <v>1026</v>
      </c>
      <c r="C83" s="121" t="str">
        <f>IFERROR(__xludf.DUMMYFUNCTION("""COMPUTED_VALUE"""),"中山北Feli家")</f>
        <v>中山北Feli家</v>
      </c>
      <c r="D83" s="121" t="str">
        <f>IFERROR(__xludf.DUMMYFUNCTION("""COMPUTED_VALUE"""),"A")</f>
        <v>A</v>
      </c>
      <c r="E83" s="132" t="s">
        <v>1027</v>
      </c>
      <c r="F83" s="122" t="str">
        <f>IFERROR(__xludf.DUMMYFUNCTION("""COMPUTED_VALUE"""),"蔡亦翔")</f>
        <v>蔡亦翔</v>
      </c>
      <c r="G83" s="146" t="s">
        <v>640</v>
      </c>
      <c r="H83" s="19" t="s">
        <v>630</v>
      </c>
      <c r="I83" s="19" t="s">
        <v>630</v>
      </c>
      <c r="J83" s="155" t="s">
        <v>631</v>
      </c>
      <c r="K83" s="19" t="s">
        <v>647</v>
      </c>
      <c r="L83" s="187">
        <v>45631.0</v>
      </c>
      <c r="M83" s="187">
        <v>45636.0</v>
      </c>
      <c r="N83" s="188">
        <v>46081.0</v>
      </c>
      <c r="O83" s="134">
        <v>46082.0</v>
      </c>
      <c r="P83" s="189">
        <v>46054.0</v>
      </c>
      <c r="Q83" s="125">
        <v>446.0</v>
      </c>
      <c r="R83" s="26">
        <v>13200.0</v>
      </c>
      <c r="S83" s="26">
        <v>13200.0</v>
      </c>
      <c r="T83" s="153">
        <v>0.0</v>
      </c>
      <c r="U83" s="136">
        <v>13200.0</v>
      </c>
      <c r="V83" s="26">
        <v>26400.0</v>
      </c>
      <c r="W83" s="129" t="s">
        <v>672</v>
      </c>
      <c r="X83" s="129" t="s">
        <v>757</v>
      </c>
      <c r="Y83" s="129" t="s">
        <v>643</v>
      </c>
      <c r="Z83" s="39" t="s">
        <v>763</v>
      </c>
      <c r="AA83" s="39" t="s">
        <v>637</v>
      </c>
      <c r="AB83" s="137">
        <v>19.0</v>
      </c>
      <c r="AC83" s="131">
        <v>0.0</v>
      </c>
      <c r="AD83" s="146" t="s">
        <v>1028</v>
      </c>
      <c r="AE83" s="150"/>
      <c r="AF83" s="150"/>
      <c r="AG83" s="150"/>
      <c r="AH83" s="150"/>
      <c r="AI83" s="83"/>
      <c r="AJ83" s="83"/>
      <c r="AK83" s="83"/>
      <c r="AL83" s="83"/>
    </row>
    <row r="84">
      <c r="A84" s="120" t="s">
        <v>179</v>
      </c>
      <c r="B84" s="132" t="s">
        <v>1029</v>
      </c>
      <c r="C84" s="121" t="str">
        <f>IFERROR(__xludf.DUMMYFUNCTION("""COMPUTED_VALUE"""),"中山北Feli家")</f>
        <v>中山北Feli家</v>
      </c>
      <c r="D84" s="121" t="str">
        <f>IFERROR(__xludf.DUMMYFUNCTION("""COMPUTED_VALUE"""),"B")</f>
        <v>B</v>
      </c>
      <c r="E84" s="132" t="s">
        <v>1030</v>
      </c>
      <c r="F84" s="122" t="str">
        <f>IFERROR(__xludf.DUMMYFUNCTION("""COMPUTED_VALUE"""),"杜思瑀
陳廷瀀")</f>
        <v>杜思瑀
陳廷瀀</v>
      </c>
      <c r="G84" s="121" t="s">
        <v>640</v>
      </c>
      <c r="H84" s="31" t="s">
        <v>630</v>
      </c>
      <c r="I84" s="31" t="s">
        <v>630</v>
      </c>
      <c r="J84" s="155" t="s">
        <v>631</v>
      </c>
      <c r="K84" s="31" t="s">
        <v>647</v>
      </c>
      <c r="L84" s="193">
        <v>45651.0</v>
      </c>
      <c r="M84" s="166">
        <v>45654.0</v>
      </c>
      <c r="N84" s="166">
        <v>46081.0</v>
      </c>
      <c r="O84" s="134">
        <v>46082.0</v>
      </c>
      <c r="P84" s="194">
        <v>46054.0</v>
      </c>
      <c r="Q84" s="125">
        <v>428.0</v>
      </c>
      <c r="R84" s="41">
        <v>17500.0</v>
      </c>
      <c r="S84" s="41">
        <v>17500.0</v>
      </c>
      <c r="T84" s="153">
        <v>0.0</v>
      </c>
      <c r="U84" s="136">
        <v>17500.0</v>
      </c>
      <c r="V84" s="41">
        <v>35000.0</v>
      </c>
      <c r="W84" s="129" t="s">
        <v>1031</v>
      </c>
      <c r="X84" s="129" t="s">
        <v>1032</v>
      </c>
      <c r="Y84" s="129" t="s">
        <v>643</v>
      </c>
      <c r="Z84" s="39" t="s">
        <v>763</v>
      </c>
      <c r="AA84" s="39" t="s">
        <v>637</v>
      </c>
      <c r="AB84" s="137">
        <v>1.0</v>
      </c>
      <c r="AC84" s="131">
        <v>0.0</v>
      </c>
      <c r="AD84" s="31" t="s">
        <v>1033</v>
      </c>
      <c r="AE84" s="83"/>
      <c r="AF84" s="83"/>
      <c r="AG84" s="83"/>
      <c r="AH84" s="83"/>
      <c r="AI84" s="83"/>
      <c r="AJ84" s="83"/>
      <c r="AK84" s="83"/>
      <c r="AL84" s="83"/>
    </row>
    <row r="85" hidden="1">
      <c r="A85" s="120" t="s">
        <v>180</v>
      </c>
      <c r="B85" s="132" t="s">
        <v>1034</v>
      </c>
      <c r="C85" s="121" t="str">
        <f>IFERROR(__xludf.DUMMYFUNCTION("""COMPUTED_VALUE"""),"中山北Feli家")</f>
        <v>中山北Feli家</v>
      </c>
      <c r="D85" s="121" t="str">
        <f>IFERROR(__xludf.DUMMYFUNCTION("""COMPUTED_VALUE"""),"C")</f>
        <v>C</v>
      </c>
      <c r="E85" s="132" t="s">
        <v>1035</v>
      </c>
      <c r="F85" s="122" t="str">
        <f>IFERROR(__xludf.DUMMYFUNCTION("""COMPUTED_VALUE"""),"郭亞潔")</f>
        <v>郭亞潔</v>
      </c>
      <c r="G85" s="146" t="s">
        <v>629</v>
      </c>
      <c r="H85" s="19" t="s">
        <v>630</v>
      </c>
      <c r="I85" s="19" t="s">
        <v>630</v>
      </c>
      <c r="J85" s="167" t="s">
        <v>631</v>
      </c>
      <c r="K85" s="19" t="s">
        <v>647</v>
      </c>
      <c r="L85" s="147">
        <v>45636.0</v>
      </c>
      <c r="M85" s="147">
        <v>45639.0</v>
      </c>
      <c r="N85" s="188">
        <v>45991.0</v>
      </c>
      <c r="O85" s="134">
        <v>45992.0</v>
      </c>
      <c r="P85" s="149">
        <v>46054.0</v>
      </c>
      <c r="Q85" s="125">
        <v>353.0</v>
      </c>
      <c r="R85" s="26">
        <v>11500.0</v>
      </c>
      <c r="S85" s="26">
        <v>11500.0</v>
      </c>
      <c r="T85" s="153"/>
      <c r="U85" s="128"/>
      <c r="V85" s="26">
        <v>23000.0</v>
      </c>
      <c r="W85" s="129" t="s">
        <v>757</v>
      </c>
      <c r="X85" s="129" t="s">
        <v>1036</v>
      </c>
      <c r="Y85" s="129" t="s">
        <v>743</v>
      </c>
      <c r="Z85" s="39" t="s">
        <v>763</v>
      </c>
      <c r="AA85" s="39" t="s">
        <v>637</v>
      </c>
      <c r="AB85" s="137">
        <v>18.0</v>
      </c>
      <c r="AC85" s="131">
        <v>0.0</v>
      </c>
      <c r="AD85" s="146" t="s">
        <v>1037</v>
      </c>
      <c r="AE85" s="150"/>
      <c r="AF85" s="150"/>
      <c r="AG85" s="150"/>
      <c r="AH85" s="150"/>
      <c r="AI85" s="83"/>
      <c r="AJ85" s="83"/>
      <c r="AK85" s="83"/>
      <c r="AL85" s="83"/>
    </row>
    <row r="86" hidden="1">
      <c r="A86" s="120" t="s">
        <v>182</v>
      </c>
      <c r="B86" s="132" t="s">
        <v>1038</v>
      </c>
      <c r="C86" s="121" t="str">
        <f>IFERROR(__xludf.DUMMYFUNCTION("""COMPUTED_VALUE"""),"中山北Feli家")</f>
        <v>中山北Feli家</v>
      </c>
      <c r="D86" s="121" t="str">
        <f>IFERROR(__xludf.DUMMYFUNCTION("""COMPUTED_VALUE"""),"D")</f>
        <v>D</v>
      </c>
      <c r="E86" s="132" t="s">
        <v>1039</v>
      </c>
      <c r="F86" s="122" t="str">
        <f>IFERROR(__xludf.DUMMYFUNCTION("""COMPUTED_VALUE"""),"陳姵方")</f>
        <v>陳姵方</v>
      </c>
      <c r="G86" s="146" t="s">
        <v>629</v>
      </c>
      <c r="H86" s="19" t="s">
        <v>630</v>
      </c>
      <c r="I86" s="19" t="s">
        <v>630</v>
      </c>
      <c r="J86" s="167" t="s">
        <v>631</v>
      </c>
      <c r="K86" s="19" t="s">
        <v>647</v>
      </c>
      <c r="L86" s="147">
        <v>45639.0</v>
      </c>
      <c r="M86" s="147">
        <v>45641.0</v>
      </c>
      <c r="N86" s="191">
        <v>45696.0</v>
      </c>
      <c r="O86" s="145">
        <v>45717.0</v>
      </c>
      <c r="P86" s="149">
        <v>45962.0</v>
      </c>
      <c r="Q86" s="125">
        <v>56.0</v>
      </c>
      <c r="R86" s="26">
        <v>10800.0</v>
      </c>
      <c r="S86" s="26">
        <v>10800.0</v>
      </c>
      <c r="T86" s="153"/>
      <c r="U86" s="128"/>
      <c r="V86" s="26">
        <v>21600.0</v>
      </c>
      <c r="W86" s="129" t="s">
        <v>1036</v>
      </c>
      <c r="X86" s="129" t="s">
        <v>729</v>
      </c>
      <c r="Y86" s="129" t="s">
        <v>1040</v>
      </c>
      <c r="Z86" s="39" t="s">
        <v>636</v>
      </c>
      <c r="AA86" s="39" t="s">
        <v>637</v>
      </c>
      <c r="AB86" s="137">
        <v>-6.0</v>
      </c>
      <c r="AC86" s="131">
        <v>0.0</v>
      </c>
      <c r="AD86" s="146" t="s">
        <v>1041</v>
      </c>
      <c r="AE86" s="195">
        <v>127.0</v>
      </c>
      <c r="AF86" s="195">
        <v>135.0</v>
      </c>
      <c r="AG86" s="195">
        <v>132.0</v>
      </c>
      <c r="AH86" s="154">
        <v>3000.0</v>
      </c>
      <c r="AI86" s="39" t="s">
        <v>696</v>
      </c>
      <c r="AJ86" s="83"/>
      <c r="AK86" s="83"/>
      <c r="AL86" s="83"/>
    </row>
    <row r="87" hidden="1">
      <c r="A87" s="120" t="s">
        <v>1042</v>
      </c>
      <c r="B87" s="132" t="s">
        <v>1043</v>
      </c>
      <c r="C87" s="121" t="str">
        <f>IFERROR(__xludf.DUMMYFUNCTION("""COMPUTED_VALUE"""),"中山北Feli家")</f>
        <v>中山北Feli家</v>
      </c>
      <c r="D87" s="121" t="str">
        <f>IFERROR(__xludf.DUMMYFUNCTION("""COMPUTED_VALUE"""),"E, F")</f>
        <v>E, F</v>
      </c>
      <c r="E87" s="132" t="s">
        <v>1044</v>
      </c>
      <c r="F87" s="122" t="str">
        <f>IFERROR(__xludf.DUMMYFUNCTION("""COMPUTED_VALUE"""),"王翊樺
周定瑀")</f>
        <v>王翊樺
周定瑀</v>
      </c>
      <c r="G87" s="121" t="s">
        <v>629</v>
      </c>
      <c r="H87" s="31" t="s">
        <v>630</v>
      </c>
      <c r="I87" s="31" t="s">
        <v>630</v>
      </c>
      <c r="J87" s="155" t="s">
        <v>631</v>
      </c>
      <c r="K87" s="31" t="s">
        <v>647</v>
      </c>
      <c r="L87" s="156">
        <v>45625.0</v>
      </c>
      <c r="M87" s="156">
        <v>45627.0</v>
      </c>
      <c r="N87" s="133">
        <v>45888.0</v>
      </c>
      <c r="O87" s="134">
        <v>45870.0</v>
      </c>
      <c r="P87" s="124">
        <v>46419.0</v>
      </c>
      <c r="Q87" s="125">
        <v>262.0</v>
      </c>
      <c r="R87" s="41">
        <v>31000.0</v>
      </c>
      <c r="S87" s="41">
        <v>31000.0</v>
      </c>
      <c r="T87" s="153"/>
      <c r="U87" s="128"/>
      <c r="V87" s="41">
        <v>62000.0</v>
      </c>
      <c r="W87" s="129" t="s">
        <v>1045</v>
      </c>
      <c r="X87" s="129" t="s">
        <v>700</v>
      </c>
      <c r="Y87" s="129" t="s">
        <v>1046</v>
      </c>
      <c r="Z87" s="39" t="s">
        <v>636</v>
      </c>
      <c r="AA87" s="39" t="s">
        <v>637</v>
      </c>
      <c r="AB87" s="137">
        <v>19.0</v>
      </c>
      <c r="AC87" s="131">
        <v>0.0</v>
      </c>
      <c r="AD87" s="15"/>
      <c r="AE87" s="83"/>
      <c r="AF87" s="83"/>
      <c r="AG87" s="31">
        <v>155.0</v>
      </c>
      <c r="AH87" s="154">
        <v>3000.0</v>
      </c>
      <c r="AI87" s="83"/>
      <c r="AJ87" s="83"/>
      <c r="AK87" s="83"/>
      <c r="AL87" s="83"/>
    </row>
    <row r="88">
      <c r="A88" s="120" t="s">
        <v>68</v>
      </c>
      <c r="B88" s="132" t="s">
        <v>1047</v>
      </c>
      <c r="C88" s="121" t="str">
        <f>IFERROR(__xludf.DUMMYFUNCTION("""COMPUTED_VALUE"""),"北醫醫師府")</f>
        <v>北醫醫師府</v>
      </c>
      <c r="D88" s="121" t="str">
        <f>IFERROR(__xludf.DUMMYFUNCTION("""COMPUTED_VALUE"""),"A")</f>
        <v>A</v>
      </c>
      <c r="E88" s="132" t="s">
        <v>1048</v>
      </c>
      <c r="F88" s="122" t="str">
        <f>IFERROR(__xludf.DUMMYFUNCTION("""COMPUTED_VALUE"""),"吳緯程")</f>
        <v>吳緯程</v>
      </c>
      <c r="G88" s="196" t="s">
        <v>640</v>
      </c>
      <c r="H88" s="31" t="s">
        <v>630</v>
      </c>
      <c r="I88" s="31" t="s">
        <v>630</v>
      </c>
      <c r="J88" s="31" t="s">
        <v>631</v>
      </c>
      <c r="K88" s="31" t="s">
        <v>647</v>
      </c>
      <c r="L88" s="197">
        <v>45676.0</v>
      </c>
      <c r="M88" s="197">
        <v>45689.0</v>
      </c>
      <c r="N88" s="198">
        <v>46081.0</v>
      </c>
      <c r="O88" s="134">
        <v>46082.0</v>
      </c>
      <c r="P88" s="198">
        <v>46054.0</v>
      </c>
      <c r="Q88" s="125">
        <v>393.0</v>
      </c>
      <c r="R88" s="36">
        <v>13000.0</v>
      </c>
      <c r="S88" s="36">
        <v>13000.0</v>
      </c>
      <c r="T88" s="199">
        <v>0.0</v>
      </c>
      <c r="U88" s="136">
        <v>13000.0</v>
      </c>
      <c r="V88" s="36">
        <v>26000.0</v>
      </c>
      <c r="W88" s="129" t="s">
        <v>1049</v>
      </c>
      <c r="X88" s="129" t="s">
        <v>662</v>
      </c>
      <c r="Y88" s="129" t="s">
        <v>643</v>
      </c>
      <c r="Z88" s="31" t="s">
        <v>636</v>
      </c>
      <c r="AA88" s="31" t="s">
        <v>637</v>
      </c>
      <c r="AB88" s="137">
        <v>28.0</v>
      </c>
      <c r="AC88" s="131">
        <v>0.0</v>
      </c>
      <c r="AD88" s="31" t="s">
        <v>1050</v>
      </c>
      <c r="AE88" s="83"/>
      <c r="AF88" s="83"/>
      <c r="AG88" s="83"/>
      <c r="AH88" s="83"/>
      <c r="AI88" s="83"/>
      <c r="AJ88" s="83"/>
      <c r="AK88" s="83"/>
      <c r="AL88" s="83"/>
    </row>
    <row r="89">
      <c r="A89" s="120" t="s">
        <v>182</v>
      </c>
      <c r="B89" s="132" t="s">
        <v>1051</v>
      </c>
      <c r="C89" s="121" t="str">
        <f>IFERROR(__xludf.DUMMYFUNCTION("""COMPUTED_VALUE"""),"中山北Feli家")</f>
        <v>中山北Feli家</v>
      </c>
      <c r="D89" s="121" t="str">
        <f>IFERROR(__xludf.DUMMYFUNCTION("""COMPUTED_VALUE"""),"D")</f>
        <v>D</v>
      </c>
      <c r="E89" s="132" t="s">
        <v>1052</v>
      </c>
      <c r="F89" s="122" t="str">
        <f>IFERROR(__xludf.DUMMYFUNCTION("""COMPUTED_VALUE"""),"邱佳慧")</f>
        <v>邱佳慧</v>
      </c>
      <c r="G89" s="196" t="s">
        <v>640</v>
      </c>
      <c r="H89" s="31" t="s">
        <v>630</v>
      </c>
      <c r="I89" s="31" t="s">
        <v>630</v>
      </c>
      <c r="J89" s="31" t="s">
        <v>631</v>
      </c>
      <c r="K89" s="31" t="s">
        <v>647</v>
      </c>
      <c r="L89" s="197">
        <v>45690.0</v>
      </c>
      <c r="M89" s="197">
        <v>45699.0</v>
      </c>
      <c r="N89" s="198">
        <v>46081.0</v>
      </c>
      <c r="O89" s="161">
        <v>46082.0</v>
      </c>
      <c r="P89" s="198">
        <v>46054.0</v>
      </c>
      <c r="Q89" s="125">
        <v>383.0</v>
      </c>
      <c r="R89" s="36">
        <v>10800.0</v>
      </c>
      <c r="S89" s="36">
        <v>10800.0</v>
      </c>
      <c r="T89" s="199">
        <v>0.0</v>
      </c>
      <c r="U89" s="136">
        <v>10800.0</v>
      </c>
      <c r="V89" s="36">
        <v>21600.0</v>
      </c>
      <c r="W89" s="129" t="s">
        <v>1053</v>
      </c>
      <c r="X89" s="129" t="s">
        <v>1054</v>
      </c>
      <c r="Y89" s="129" t="s">
        <v>643</v>
      </c>
      <c r="Z89" s="15"/>
      <c r="AA89" s="15"/>
      <c r="AB89" s="137">
        <v>18.0</v>
      </c>
      <c r="AC89" s="131" t="e">
        <v>#REF!</v>
      </c>
      <c r="AD89" s="31" t="s">
        <v>1055</v>
      </c>
      <c r="AE89" s="83"/>
      <c r="AF89" s="83"/>
      <c r="AG89" s="83"/>
      <c r="AH89" s="83"/>
      <c r="AI89" s="83"/>
      <c r="AJ89" s="83"/>
      <c r="AK89" s="83"/>
      <c r="AL89" s="83"/>
    </row>
    <row r="90" hidden="1">
      <c r="A90" s="120" t="s">
        <v>40</v>
      </c>
      <c r="B90" s="132" t="s">
        <v>1056</v>
      </c>
      <c r="C90" s="121" t="str">
        <f>IFERROR(__xludf.DUMMYFUNCTION("""COMPUTED_VALUE"""),"龍江229")</f>
        <v>龍江229</v>
      </c>
      <c r="D90" s="121" t="str">
        <f>IFERROR(__xludf.DUMMYFUNCTION("""COMPUTED_VALUE"""),"A")</f>
        <v>A</v>
      </c>
      <c r="E90" s="132" t="s">
        <v>809</v>
      </c>
      <c r="F90" s="122" t="str">
        <f>IFERROR(__xludf.DUMMYFUNCTION("""COMPUTED_VALUE"""),"許霈琪")</f>
        <v>許霈琪</v>
      </c>
      <c r="G90" s="196" t="s">
        <v>629</v>
      </c>
      <c r="H90" s="31" t="s">
        <v>630</v>
      </c>
      <c r="I90" s="31" t="s">
        <v>630</v>
      </c>
      <c r="J90" s="31" t="s">
        <v>631</v>
      </c>
      <c r="K90" s="31" t="s">
        <v>647</v>
      </c>
      <c r="L90" s="197">
        <v>45693.0</v>
      </c>
      <c r="M90" s="197">
        <v>45717.0</v>
      </c>
      <c r="N90" s="133">
        <v>45900.0</v>
      </c>
      <c r="O90" s="161">
        <v>45901.0</v>
      </c>
      <c r="P90" s="198">
        <v>46539.0</v>
      </c>
      <c r="Q90" s="125">
        <v>184.0</v>
      </c>
      <c r="R90" s="36">
        <v>13000.0</v>
      </c>
      <c r="S90" s="36">
        <v>13000.0</v>
      </c>
      <c r="T90" s="199"/>
      <c r="U90" s="128"/>
      <c r="V90" s="36">
        <v>26000.0</v>
      </c>
      <c r="W90" s="129" t="s">
        <v>958</v>
      </c>
      <c r="X90" s="129" t="s">
        <v>642</v>
      </c>
      <c r="Y90" s="129" t="s">
        <v>919</v>
      </c>
      <c r="Z90" s="15"/>
      <c r="AA90" s="15"/>
      <c r="AB90" s="137">
        <v>31.0</v>
      </c>
      <c r="AC90" s="131" t="e">
        <v>#REF!</v>
      </c>
      <c r="AD90" s="31" t="s">
        <v>1057</v>
      </c>
      <c r="AE90" s="31" t="s">
        <v>1058</v>
      </c>
      <c r="AF90" s="83"/>
      <c r="AG90" s="83"/>
      <c r="AH90" s="31">
        <v>3000.0</v>
      </c>
      <c r="AI90" s="39" t="s">
        <v>696</v>
      </c>
      <c r="AJ90" s="83"/>
      <c r="AK90" s="83"/>
      <c r="AL90" s="83"/>
    </row>
    <row r="91">
      <c r="A91" s="120" t="s">
        <v>65</v>
      </c>
      <c r="B91" s="132" t="s">
        <v>1059</v>
      </c>
      <c r="C91" s="121" t="str">
        <f>IFERROR(__xludf.DUMMYFUNCTION("""COMPUTED_VALUE"""),"哈拉對面")</f>
        <v>哈拉對面</v>
      </c>
      <c r="D91" s="121" t="str">
        <f>IFERROR(__xludf.DUMMYFUNCTION("""COMPUTED_VALUE"""),"D")</f>
        <v>D</v>
      </c>
      <c r="E91" s="132" t="s">
        <v>835</v>
      </c>
      <c r="F91" s="122" t="str">
        <f>IFERROR(__xludf.DUMMYFUNCTION("""COMPUTED_VALUE"""),"柳翰洋")</f>
        <v>柳翰洋</v>
      </c>
      <c r="G91" s="196" t="s">
        <v>640</v>
      </c>
      <c r="H91" s="31" t="s">
        <v>630</v>
      </c>
      <c r="I91" s="31" t="s">
        <v>630</v>
      </c>
      <c r="J91" s="31" t="s">
        <v>631</v>
      </c>
      <c r="K91" s="31" t="s">
        <v>647</v>
      </c>
      <c r="L91" s="197">
        <v>45694.0</v>
      </c>
      <c r="M91" s="197">
        <v>45724.0</v>
      </c>
      <c r="N91" s="188">
        <v>46112.0</v>
      </c>
      <c r="O91" s="161">
        <v>46082.0</v>
      </c>
      <c r="P91" s="198">
        <v>46082.0</v>
      </c>
      <c r="Q91" s="125">
        <v>389.0</v>
      </c>
      <c r="R91" s="36">
        <v>11800.0</v>
      </c>
      <c r="S91" s="36">
        <v>11800.0</v>
      </c>
      <c r="T91" s="199">
        <v>0.0</v>
      </c>
      <c r="U91" s="136">
        <v>11800.0</v>
      </c>
      <c r="V91" s="36">
        <v>23600.0</v>
      </c>
      <c r="W91" s="129" t="s">
        <v>1060</v>
      </c>
      <c r="X91" s="129" t="s">
        <v>1061</v>
      </c>
      <c r="Y91" s="129" t="s">
        <v>762</v>
      </c>
      <c r="Z91" s="31" t="s">
        <v>636</v>
      </c>
      <c r="AA91" s="31" t="s">
        <v>637</v>
      </c>
      <c r="AB91" s="137">
        <v>24.0</v>
      </c>
      <c r="AC91" s="131">
        <v>0.0</v>
      </c>
      <c r="AD91" s="31" t="s">
        <v>1062</v>
      </c>
      <c r="AE91" s="83"/>
      <c r="AF91" s="83"/>
      <c r="AG91" s="83"/>
      <c r="AH91" s="83"/>
      <c r="AI91" s="83"/>
      <c r="AJ91" s="83"/>
      <c r="AK91" s="83"/>
      <c r="AL91" s="83"/>
    </row>
    <row r="92">
      <c r="A92" s="120" t="s">
        <v>62</v>
      </c>
      <c r="B92" s="132" t="s">
        <v>1063</v>
      </c>
      <c r="C92" s="121" t="str">
        <f>IFERROR(__xludf.DUMMYFUNCTION("""COMPUTED_VALUE"""),"哈拉對面")</f>
        <v>哈拉對面</v>
      </c>
      <c r="D92" s="121" t="str">
        <f>IFERROR(__xludf.DUMMYFUNCTION("""COMPUTED_VALUE"""),"C")</f>
        <v>C</v>
      </c>
      <c r="E92" s="132" t="s">
        <v>829</v>
      </c>
      <c r="F92" s="122" t="str">
        <f>IFERROR(__xludf.DUMMYFUNCTION("""COMPUTED_VALUE"""),"徐鉦庭")</f>
        <v>徐鉦庭</v>
      </c>
      <c r="G92" s="196" t="s">
        <v>640</v>
      </c>
      <c r="H92" s="31" t="s">
        <v>630</v>
      </c>
      <c r="I92" s="31" t="s">
        <v>630</v>
      </c>
      <c r="J92" s="31" t="s">
        <v>631</v>
      </c>
      <c r="K92" s="31" t="s">
        <v>647</v>
      </c>
      <c r="L92" s="197">
        <v>45704.0</v>
      </c>
      <c r="M92" s="197">
        <v>45732.0</v>
      </c>
      <c r="N92" s="188">
        <v>46112.0</v>
      </c>
      <c r="O92" s="161">
        <v>46082.0</v>
      </c>
      <c r="P92" s="198">
        <v>46082.0</v>
      </c>
      <c r="Q92" s="125">
        <v>381.0</v>
      </c>
      <c r="R92" s="36">
        <v>11800.0</v>
      </c>
      <c r="S92" s="36">
        <v>11800.0</v>
      </c>
      <c r="T92" s="199">
        <v>0.0</v>
      </c>
      <c r="U92" s="136">
        <v>11800.0</v>
      </c>
      <c r="V92" s="36">
        <v>23600.0</v>
      </c>
      <c r="W92" s="129" t="s">
        <v>1064</v>
      </c>
      <c r="X92" s="129" t="s">
        <v>1065</v>
      </c>
      <c r="Y92" s="129" t="s">
        <v>762</v>
      </c>
      <c r="Z92" s="15"/>
      <c r="AA92" s="15"/>
      <c r="AB92" s="137">
        <v>16.0</v>
      </c>
      <c r="AC92" s="131" t="e">
        <v>#REF!</v>
      </c>
      <c r="AD92" s="31" t="s">
        <v>1066</v>
      </c>
      <c r="AE92" s="83"/>
      <c r="AF92" s="83"/>
      <c r="AG92" s="83"/>
      <c r="AH92" s="83"/>
      <c r="AI92" s="83"/>
      <c r="AJ92" s="83"/>
      <c r="AK92" s="83"/>
      <c r="AL92" s="83"/>
    </row>
    <row r="93">
      <c r="A93" s="120" t="s">
        <v>31</v>
      </c>
      <c r="B93" s="132" t="s">
        <v>1067</v>
      </c>
      <c r="C93" s="121" t="str">
        <f>IFERROR(__xludf.DUMMYFUNCTION("""COMPUTED_VALUE"""),"內湖秘境")</f>
        <v>內湖秘境</v>
      </c>
      <c r="D93" s="121" t="str">
        <f>IFERROR(__xludf.DUMMYFUNCTION("""COMPUTED_VALUE"""),"C")</f>
        <v>C</v>
      </c>
      <c r="E93" s="132" t="s">
        <v>704</v>
      </c>
      <c r="F93" s="122" t="str">
        <f>IFERROR(__xludf.DUMMYFUNCTION("""COMPUTED_VALUE"""),"黃詩穎")</f>
        <v>黃詩穎</v>
      </c>
      <c r="G93" s="196" t="s">
        <v>640</v>
      </c>
      <c r="H93" s="31" t="s">
        <v>630</v>
      </c>
      <c r="I93" s="31" t="s">
        <v>630</v>
      </c>
      <c r="J93" s="31" t="s">
        <v>631</v>
      </c>
      <c r="K93" s="31" t="s">
        <v>647</v>
      </c>
      <c r="L93" s="197">
        <v>45705.0</v>
      </c>
      <c r="M93" s="197">
        <v>45717.0</v>
      </c>
      <c r="N93" s="188">
        <v>46203.0</v>
      </c>
      <c r="O93" s="161">
        <v>46082.0</v>
      </c>
      <c r="P93" s="188">
        <v>46174.0</v>
      </c>
      <c r="Q93" s="125">
        <v>487.0</v>
      </c>
      <c r="R93" s="36">
        <v>14800.0</v>
      </c>
      <c r="S93" s="36">
        <v>14800.0</v>
      </c>
      <c r="T93" s="199">
        <v>0.0</v>
      </c>
      <c r="U93" s="136">
        <v>14800.0</v>
      </c>
      <c r="V93" s="36">
        <v>29600.0</v>
      </c>
      <c r="W93" s="129" t="s">
        <v>1068</v>
      </c>
      <c r="X93" s="129" t="s">
        <v>642</v>
      </c>
      <c r="Y93" s="129" t="s">
        <v>1069</v>
      </c>
      <c r="Z93" s="31" t="s">
        <v>636</v>
      </c>
      <c r="AA93" s="31" t="s">
        <v>637</v>
      </c>
      <c r="AB93" s="137">
        <v>30.0</v>
      </c>
      <c r="AC93" s="131">
        <v>0.0</v>
      </c>
      <c r="AD93" s="31" t="s">
        <v>1070</v>
      </c>
      <c r="AE93" s="83"/>
      <c r="AF93" s="83"/>
      <c r="AG93" s="83"/>
      <c r="AH93" s="83"/>
      <c r="AI93" s="83"/>
      <c r="AJ93" s="83"/>
      <c r="AK93" s="83"/>
      <c r="AL93" s="83"/>
    </row>
    <row r="94" hidden="1">
      <c r="A94" s="120" t="s">
        <v>24</v>
      </c>
      <c r="B94" s="132" t="s">
        <v>1071</v>
      </c>
      <c r="C94" s="121" t="str">
        <f>IFERROR(__xludf.DUMMYFUNCTION("""COMPUTED_VALUE"""),"永春四號")</f>
        <v>永春四號</v>
      </c>
      <c r="D94" s="121" t="str">
        <f>IFERROR(__xludf.DUMMYFUNCTION("""COMPUTED_VALUE"""),"D")</f>
        <v>D</v>
      </c>
      <c r="E94" s="39" t="s">
        <v>665</v>
      </c>
      <c r="F94" s="122" t="str">
        <f>IFERROR(__xludf.DUMMYFUNCTION("""COMPUTED_VALUE"""),"翁政熙")</f>
        <v>翁政熙</v>
      </c>
      <c r="G94" s="196" t="s">
        <v>629</v>
      </c>
      <c r="H94" s="31" t="s">
        <v>630</v>
      </c>
      <c r="I94" s="31" t="s">
        <v>630</v>
      </c>
      <c r="J94" s="31" t="s">
        <v>631</v>
      </c>
      <c r="K94" s="31" t="s">
        <v>647</v>
      </c>
      <c r="L94" s="197">
        <v>45705.0</v>
      </c>
      <c r="M94" s="197">
        <v>45717.0</v>
      </c>
      <c r="N94" s="197">
        <v>45808.0</v>
      </c>
      <c r="O94" s="161">
        <v>45809.0</v>
      </c>
      <c r="P94" s="197">
        <v>45778.0</v>
      </c>
      <c r="Q94" s="125">
        <v>92.0</v>
      </c>
      <c r="R94" s="36">
        <v>14800.0</v>
      </c>
      <c r="S94" s="36">
        <v>14800.0</v>
      </c>
      <c r="T94" s="199"/>
      <c r="U94" s="128"/>
      <c r="V94" s="36">
        <v>29600.0</v>
      </c>
      <c r="W94" s="129" t="s">
        <v>1068</v>
      </c>
      <c r="X94" s="129" t="s">
        <v>642</v>
      </c>
      <c r="Y94" s="129" t="s">
        <v>780</v>
      </c>
      <c r="Z94" s="31" t="s">
        <v>636</v>
      </c>
      <c r="AA94" s="31" t="s">
        <v>637</v>
      </c>
      <c r="AB94" s="137">
        <v>31.0</v>
      </c>
      <c r="AC94" s="131">
        <v>0.0</v>
      </c>
      <c r="AD94" s="31" t="s">
        <v>1072</v>
      </c>
      <c r="AE94" s="83"/>
      <c r="AF94" s="83"/>
      <c r="AG94" s="83"/>
      <c r="AH94" s="31" t="s">
        <v>1073</v>
      </c>
      <c r="AI94" s="83"/>
      <c r="AJ94" s="83"/>
      <c r="AK94" s="83"/>
      <c r="AL94" s="83"/>
    </row>
    <row r="95" hidden="1">
      <c r="A95" s="120" t="s">
        <v>97</v>
      </c>
      <c r="B95" s="132" t="s">
        <v>1074</v>
      </c>
      <c r="C95" s="121" t="str">
        <f>IFERROR(__xludf.DUMMYFUNCTION("""COMPUTED_VALUE"""),"大湖山莊")</f>
        <v>大湖山莊</v>
      </c>
      <c r="D95" s="121" t="str">
        <f>IFERROR(__xludf.DUMMYFUNCTION("""COMPUTED_VALUE"""),"G")</f>
        <v>G</v>
      </c>
      <c r="E95" s="39" t="s">
        <v>1075</v>
      </c>
      <c r="F95" s="122" t="str">
        <f>IFERROR(__xludf.DUMMYFUNCTION("""COMPUTED_VALUE"""),"黃芷翊")</f>
        <v>黃芷翊</v>
      </c>
      <c r="G95" s="196" t="s">
        <v>629</v>
      </c>
      <c r="H95" s="31" t="s">
        <v>630</v>
      </c>
      <c r="I95" s="31" t="s">
        <v>630</v>
      </c>
      <c r="J95" s="31" t="s">
        <v>631</v>
      </c>
      <c r="K95" s="31" t="s">
        <v>647</v>
      </c>
      <c r="L95" s="197">
        <v>45706.0</v>
      </c>
      <c r="M95" s="197">
        <v>45719.0</v>
      </c>
      <c r="N95" s="197">
        <v>45777.0</v>
      </c>
      <c r="O95" s="161">
        <v>45778.0</v>
      </c>
      <c r="P95" s="197">
        <v>46082.0</v>
      </c>
      <c r="Q95" s="125">
        <v>59.0</v>
      </c>
      <c r="R95" s="36">
        <v>16800.0</v>
      </c>
      <c r="S95" s="36">
        <v>16800.0</v>
      </c>
      <c r="T95" s="200"/>
      <c r="U95" s="128"/>
      <c r="V95" s="36">
        <v>33600.0</v>
      </c>
      <c r="W95" s="129" t="s">
        <v>1076</v>
      </c>
      <c r="X95" s="129" t="s">
        <v>821</v>
      </c>
      <c r="Y95" s="129" t="s">
        <v>849</v>
      </c>
      <c r="Z95" s="31" t="s">
        <v>763</v>
      </c>
      <c r="AA95" s="31" t="s">
        <v>637</v>
      </c>
      <c r="AB95" s="201"/>
      <c r="AC95" s="202"/>
      <c r="AD95" s="15"/>
      <c r="AE95" s="179">
        <v>38.0</v>
      </c>
      <c r="AF95" s="179">
        <v>452.0</v>
      </c>
      <c r="AG95" s="179">
        <v>33.0</v>
      </c>
      <c r="AH95" s="31">
        <v>3000.0</v>
      </c>
      <c r="AI95" s="39" t="s">
        <v>696</v>
      </c>
      <c r="AJ95" s="83"/>
      <c r="AK95" s="83"/>
      <c r="AL95" s="83"/>
    </row>
    <row r="96">
      <c r="A96" s="120" t="s">
        <v>50</v>
      </c>
      <c r="B96" s="132" t="s">
        <v>1077</v>
      </c>
      <c r="C96" s="121" t="str">
        <f>IFERROR(__xludf.DUMMYFUNCTION("""COMPUTED_VALUE"""),"龍江229")</f>
        <v>龍江229</v>
      </c>
      <c r="D96" s="121" t="str">
        <f>IFERROR(__xludf.DUMMYFUNCTION("""COMPUTED_VALUE"""),"D")</f>
        <v>D</v>
      </c>
      <c r="E96" s="132" t="s">
        <v>805</v>
      </c>
      <c r="F96" s="122" t="str">
        <f>IFERROR(__xludf.DUMMYFUNCTION("""COMPUTED_VALUE"""),"黃依婷")</f>
        <v>黃依婷</v>
      </c>
      <c r="G96" s="196" t="s">
        <v>640</v>
      </c>
      <c r="H96" s="31" t="s">
        <v>630</v>
      </c>
      <c r="I96" s="31" t="s">
        <v>630</v>
      </c>
      <c r="J96" s="31" t="s">
        <v>631</v>
      </c>
      <c r="K96" s="31" t="s">
        <v>647</v>
      </c>
      <c r="L96" s="197">
        <v>45706.0</v>
      </c>
      <c r="M96" s="197">
        <v>45717.0</v>
      </c>
      <c r="N96" s="188">
        <v>46203.0</v>
      </c>
      <c r="O96" s="161">
        <v>46082.0</v>
      </c>
      <c r="P96" s="188">
        <v>46174.0</v>
      </c>
      <c r="Q96" s="125">
        <v>487.0</v>
      </c>
      <c r="R96" s="36">
        <v>13300.0</v>
      </c>
      <c r="S96" s="36">
        <v>13300.0</v>
      </c>
      <c r="T96" s="199">
        <v>0.0</v>
      </c>
      <c r="U96" s="136">
        <v>13300.0</v>
      </c>
      <c r="V96" s="36">
        <v>26600.0</v>
      </c>
      <c r="W96" s="129" t="s">
        <v>1076</v>
      </c>
      <c r="X96" s="129" t="s">
        <v>642</v>
      </c>
      <c r="Y96" s="129" t="s">
        <v>1069</v>
      </c>
      <c r="Z96" s="31" t="s">
        <v>636</v>
      </c>
      <c r="AA96" s="31" t="s">
        <v>637</v>
      </c>
      <c r="AB96" s="201"/>
      <c r="AC96" s="202"/>
      <c r="AD96" s="31" t="s">
        <v>1078</v>
      </c>
      <c r="AE96" s="83"/>
      <c r="AF96" s="83"/>
      <c r="AG96" s="83"/>
      <c r="AH96" s="83"/>
      <c r="AI96" s="83"/>
      <c r="AJ96" s="83"/>
      <c r="AK96" s="83"/>
      <c r="AL96" s="83"/>
    </row>
    <row r="97" hidden="1">
      <c r="A97" s="120" t="s">
        <v>55</v>
      </c>
      <c r="B97" s="132" t="s">
        <v>1079</v>
      </c>
      <c r="C97" s="121" t="str">
        <f>IFERROR(__xludf.DUMMYFUNCTION("""COMPUTED_VALUE"""),"哈拉對面")</f>
        <v>哈拉對面</v>
      </c>
      <c r="D97" s="121" t="str">
        <f>IFERROR(__xludf.DUMMYFUNCTION("""COMPUTED_VALUE"""),"A")</f>
        <v>A</v>
      </c>
      <c r="E97" s="132" t="s">
        <v>818</v>
      </c>
      <c r="F97" s="122" t="str">
        <f>IFERROR(__xludf.DUMMYFUNCTION("""COMPUTED_VALUE"""),"李柏緯")</f>
        <v>李柏緯</v>
      </c>
      <c r="G97" s="196" t="s">
        <v>629</v>
      </c>
      <c r="H97" s="31" t="s">
        <v>630</v>
      </c>
      <c r="I97" s="31" t="s">
        <v>630</v>
      </c>
      <c r="J97" s="31" t="s">
        <v>631</v>
      </c>
      <c r="K97" s="31" t="s">
        <v>647</v>
      </c>
      <c r="L97" s="197">
        <v>45705.0</v>
      </c>
      <c r="M97" s="197">
        <v>45720.0</v>
      </c>
      <c r="N97" s="197">
        <v>45805.0</v>
      </c>
      <c r="O97" s="161">
        <v>45809.0</v>
      </c>
      <c r="P97" s="197">
        <v>45778.0</v>
      </c>
      <c r="Q97" s="125">
        <v>86.0</v>
      </c>
      <c r="R97" s="36">
        <v>11300.0</v>
      </c>
      <c r="S97" s="36">
        <v>11300.0</v>
      </c>
      <c r="T97" s="199"/>
      <c r="U97" s="128"/>
      <c r="V97" s="36">
        <v>22600.0</v>
      </c>
      <c r="W97" s="129" t="s">
        <v>1068</v>
      </c>
      <c r="X97" s="129" t="s">
        <v>1080</v>
      </c>
      <c r="Y97" s="129" t="s">
        <v>1081</v>
      </c>
      <c r="Z97" s="31" t="s">
        <v>636</v>
      </c>
      <c r="AA97" s="31" t="s">
        <v>637</v>
      </c>
      <c r="AB97" s="201"/>
      <c r="AC97" s="202"/>
      <c r="AD97" s="31" t="s">
        <v>1082</v>
      </c>
      <c r="AE97" s="31">
        <v>301.0</v>
      </c>
      <c r="AF97" s="31">
        <v>389.0</v>
      </c>
      <c r="AG97" s="31">
        <v>612.0</v>
      </c>
      <c r="AH97" s="31">
        <v>3000.0</v>
      </c>
      <c r="AI97" s="180">
        <v>1698.0</v>
      </c>
      <c r="AJ97" s="83"/>
      <c r="AK97" s="83"/>
      <c r="AL97" s="83"/>
    </row>
    <row r="98">
      <c r="A98" s="120" t="s">
        <v>22</v>
      </c>
      <c r="B98" s="132" t="s">
        <v>1083</v>
      </c>
      <c r="C98" s="121" t="str">
        <f>IFERROR(__xludf.DUMMYFUNCTION("""COMPUTED_VALUE"""),"永春四號")</f>
        <v>永春四號</v>
      </c>
      <c r="D98" s="121" t="str">
        <f>IFERROR(__xludf.DUMMYFUNCTION("""COMPUTED_VALUE"""),"C")</f>
        <v>C</v>
      </c>
      <c r="E98" s="132" t="s">
        <v>653</v>
      </c>
      <c r="F98" s="122" t="str">
        <f>IFERROR(__xludf.DUMMYFUNCTION("""COMPUTED_VALUE"""),"林聿妡")</f>
        <v>林聿妡</v>
      </c>
      <c r="G98" s="196" t="s">
        <v>640</v>
      </c>
      <c r="H98" s="31" t="s">
        <v>630</v>
      </c>
      <c r="I98" s="31" t="s">
        <v>630</v>
      </c>
      <c r="J98" s="31" t="s">
        <v>631</v>
      </c>
      <c r="K98" s="31" t="s">
        <v>647</v>
      </c>
      <c r="L98" s="197">
        <v>45708.0</v>
      </c>
      <c r="M98" s="197">
        <v>45717.0</v>
      </c>
      <c r="N98" s="188">
        <v>46203.0</v>
      </c>
      <c r="O98" s="161">
        <v>46082.0</v>
      </c>
      <c r="P98" s="188">
        <v>46174.0</v>
      </c>
      <c r="Q98" s="125">
        <v>487.0</v>
      </c>
      <c r="R98" s="36">
        <v>12800.0</v>
      </c>
      <c r="S98" s="36">
        <v>12800.0</v>
      </c>
      <c r="T98" s="199">
        <v>0.0</v>
      </c>
      <c r="U98" s="136">
        <v>12800.0</v>
      </c>
      <c r="V98" s="36">
        <v>25600.0</v>
      </c>
      <c r="W98" s="129" t="s">
        <v>1084</v>
      </c>
      <c r="X98" s="129" t="s">
        <v>642</v>
      </c>
      <c r="Y98" s="129" t="s">
        <v>1069</v>
      </c>
      <c r="Z98" s="31" t="s">
        <v>636</v>
      </c>
      <c r="AA98" s="31" t="s">
        <v>637</v>
      </c>
      <c r="AB98" s="201"/>
      <c r="AC98" s="202"/>
      <c r="AD98" s="31" t="s">
        <v>1085</v>
      </c>
      <c r="AE98" s="83"/>
      <c r="AF98" s="83"/>
      <c r="AG98" s="83"/>
      <c r="AH98" s="83"/>
      <c r="AI98" s="83"/>
      <c r="AJ98" s="83"/>
      <c r="AK98" s="83"/>
      <c r="AL98" s="83"/>
    </row>
    <row r="99">
      <c r="A99" s="120" t="s">
        <v>153</v>
      </c>
      <c r="B99" s="132" t="s">
        <v>1086</v>
      </c>
      <c r="C99" s="121" t="str">
        <f>IFERROR(__xludf.DUMMYFUNCTION("""COMPUTED_VALUE"""),"中山北娘家旁")</f>
        <v>中山北娘家旁</v>
      </c>
      <c r="D99" s="121" t="str">
        <f>IFERROR(__xludf.DUMMYFUNCTION("""COMPUTED_VALUE"""),"B")</f>
        <v>B</v>
      </c>
      <c r="E99" s="132" t="s">
        <v>1087</v>
      </c>
      <c r="F99" s="122" t="str">
        <f>IFERROR(__xludf.DUMMYFUNCTION("""COMPUTED_VALUE"""),"李彥靜")</f>
        <v>李彥靜</v>
      </c>
      <c r="G99" s="196" t="s">
        <v>640</v>
      </c>
      <c r="H99" s="31" t="s">
        <v>630</v>
      </c>
      <c r="I99" s="31" t="s">
        <v>630</v>
      </c>
      <c r="J99" s="31" t="s">
        <v>631</v>
      </c>
      <c r="K99" s="31" t="s">
        <v>647</v>
      </c>
      <c r="L99" s="197">
        <v>45715.0</v>
      </c>
      <c r="M99" s="197">
        <v>45717.0</v>
      </c>
      <c r="N99" s="188">
        <v>46203.0</v>
      </c>
      <c r="O99" s="197">
        <v>46082.0</v>
      </c>
      <c r="P99" s="188">
        <v>46174.0</v>
      </c>
      <c r="Q99" s="125">
        <v>487.0</v>
      </c>
      <c r="R99" s="36">
        <v>12500.0</v>
      </c>
      <c r="S99" s="36">
        <v>12500.0</v>
      </c>
      <c r="T99" s="199">
        <v>0.0</v>
      </c>
      <c r="U99" s="136">
        <v>12500.0</v>
      </c>
      <c r="V99" s="36">
        <v>25000.0</v>
      </c>
      <c r="W99" s="129" t="s">
        <v>1088</v>
      </c>
      <c r="X99" s="129" t="s">
        <v>642</v>
      </c>
      <c r="Y99" s="129" t="s">
        <v>1069</v>
      </c>
      <c r="Z99" s="31" t="s">
        <v>636</v>
      </c>
      <c r="AA99" s="31" t="s">
        <v>637</v>
      </c>
      <c r="AB99" s="201"/>
      <c r="AC99" s="202"/>
      <c r="AD99" s="31" t="s">
        <v>1089</v>
      </c>
      <c r="AE99" s="83"/>
      <c r="AF99" s="83"/>
      <c r="AG99" s="83"/>
      <c r="AH99" s="83"/>
      <c r="AI99" s="83"/>
      <c r="AJ99" s="83"/>
      <c r="AK99" s="83"/>
      <c r="AL99" s="83"/>
    </row>
    <row r="100">
      <c r="A100" s="120" t="s">
        <v>20</v>
      </c>
      <c r="B100" s="132" t="s">
        <v>1090</v>
      </c>
      <c r="C100" s="121" t="str">
        <f>IFERROR(__xludf.DUMMYFUNCTION("""COMPUTED_VALUE"""),"永春四號")</f>
        <v>永春四號</v>
      </c>
      <c r="D100" s="121" t="str">
        <f>IFERROR(__xludf.DUMMYFUNCTION("""COMPUTED_VALUE"""),"B")</f>
        <v>B</v>
      </c>
      <c r="E100" s="132" t="s">
        <v>646</v>
      </c>
      <c r="F100" s="122" t="str">
        <f>IFERROR(__xludf.DUMMYFUNCTION("""COMPUTED_VALUE"""),"袁家鳳")</f>
        <v>袁家鳳</v>
      </c>
      <c r="G100" s="196" t="s">
        <v>640</v>
      </c>
      <c r="H100" s="31" t="s">
        <v>630</v>
      </c>
      <c r="I100" s="31" t="s">
        <v>630</v>
      </c>
      <c r="J100" s="31" t="s">
        <v>631</v>
      </c>
      <c r="K100" s="31" t="s">
        <v>647</v>
      </c>
      <c r="L100" s="197">
        <v>45712.0</v>
      </c>
      <c r="M100" s="197">
        <v>45748.0</v>
      </c>
      <c r="N100" s="188">
        <v>46203.0</v>
      </c>
      <c r="O100" s="197">
        <v>46082.0</v>
      </c>
      <c r="P100" s="188">
        <v>46174.0</v>
      </c>
      <c r="Q100" s="125">
        <v>456.0</v>
      </c>
      <c r="R100" s="36">
        <v>13500.0</v>
      </c>
      <c r="S100" s="36">
        <v>13500.0</v>
      </c>
      <c r="T100" s="199">
        <v>0.0</v>
      </c>
      <c r="U100" s="136">
        <v>13500.0</v>
      </c>
      <c r="V100" s="36">
        <v>27000.0</v>
      </c>
      <c r="W100" s="129" t="s">
        <v>904</v>
      </c>
      <c r="X100" s="129" t="s">
        <v>1091</v>
      </c>
      <c r="Y100" s="129" t="s">
        <v>1069</v>
      </c>
      <c r="Z100" s="31" t="s">
        <v>636</v>
      </c>
      <c r="AA100" s="31" t="s">
        <v>637</v>
      </c>
      <c r="AB100" s="201"/>
      <c r="AC100" s="202"/>
      <c r="AD100" s="31" t="s">
        <v>1092</v>
      </c>
      <c r="AE100" s="83"/>
      <c r="AF100" s="83"/>
      <c r="AG100" s="83"/>
      <c r="AH100" s="83"/>
      <c r="AI100" s="83"/>
      <c r="AJ100" s="83"/>
      <c r="AK100" s="83"/>
      <c r="AL100" s="83"/>
    </row>
    <row r="101" hidden="1">
      <c r="A101" s="120" t="s">
        <v>46</v>
      </c>
      <c r="B101" s="132" t="s">
        <v>1093</v>
      </c>
      <c r="C101" s="121" t="str">
        <f>IFERROR(__xludf.DUMMYFUNCTION("""COMPUTED_VALUE"""),"龍江229")</f>
        <v>龍江229</v>
      </c>
      <c r="D101" s="121" t="str">
        <f>IFERROR(__xludf.DUMMYFUNCTION("""COMPUTED_VALUE"""),"C")</f>
        <v>C</v>
      </c>
      <c r="E101" s="132" t="s">
        <v>800</v>
      </c>
      <c r="F101" s="122" t="str">
        <f>IFERROR(__xludf.DUMMYFUNCTION("""COMPUTED_VALUE"""),"陳雨彤")</f>
        <v>陳雨彤</v>
      </c>
      <c r="G101" s="196" t="s">
        <v>629</v>
      </c>
      <c r="H101" s="31" t="s">
        <v>630</v>
      </c>
      <c r="I101" s="31" t="s">
        <v>630</v>
      </c>
      <c r="J101" s="31" t="s">
        <v>631</v>
      </c>
      <c r="K101" s="31" t="s">
        <v>647</v>
      </c>
      <c r="L101" s="197">
        <v>45712.0</v>
      </c>
      <c r="M101" s="197">
        <v>45717.0</v>
      </c>
      <c r="N101" s="197">
        <v>45747.0</v>
      </c>
      <c r="O101" s="197">
        <v>45748.0</v>
      </c>
      <c r="P101" s="197">
        <v>45717.0</v>
      </c>
      <c r="Q101" s="125">
        <v>31.0</v>
      </c>
      <c r="R101" s="36">
        <v>18300.0</v>
      </c>
      <c r="S101" s="36">
        <v>18300.0</v>
      </c>
      <c r="T101" s="200"/>
      <c r="U101" s="128"/>
      <c r="V101" s="36">
        <v>36600.0</v>
      </c>
      <c r="W101" s="129" t="s">
        <v>904</v>
      </c>
      <c r="X101" s="129" t="s">
        <v>642</v>
      </c>
      <c r="Y101" s="129" t="s">
        <v>650</v>
      </c>
      <c r="Z101" s="31" t="s">
        <v>636</v>
      </c>
      <c r="AA101" s="31" t="s">
        <v>637</v>
      </c>
      <c r="AB101" s="201"/>
      <c r="AC101" s="202"/>
      <c r="AD101" s="31" t="s">
        <v>1094</v>
      </c>
      <c r="AE101" s="83"/>
      <c r="AF101" s="31">
        <v>159.0</v>
      </c>
      <c r="AG101" s="83"/>
      <c r="AH101" s="31">
        <v>1000.0</v>
      </c>
      <c r="AI101" s="83"/>
      <c r="AJ101" s="83"/>
      <c r="AK101" s="83"/>
      <c r="AL101" s="83"/>
    </row>
    <row r="102">
      <c r="A102" s="120" t="s">
        <v>146</v>
      </c>
      <c r="B102" s="132" t="s">
        <v>1095</v>
      </c>
      <c r="C102" s="121" t="str">
        <f>IFERROR(__xludf.DUMMYFUNCTION("""COMPUTED_VALUE"""),"景安2分鐘")</f>
        <v>景安2分鐘</v>
      </c>
      <c r="D102" s="121" t="str">
        <f>IFERROR(__xludf.DUMMYFUNCTION("""COMPUTED_VALUE"""),"E")</f>
        <v>E</v>
      </c>
      <c r="E102" s="132" t="s">
        <v>1096</v>
      </c>
      <c r="F102" s="122" t="str">
        <f>IFERROR(__xludf.DUMMYFUNCTION("""COMPUTED_VALUE"""),"楊惠閔")</f>
        <v>楊惠閔</v>
      </c>
      <c r="G102" s="196" t="s">
        <v>640</v>
      </c>
      <c r="H102" s="31" t="s">
        <v>630</v>
      </c>
      <c r="I102" s="31" t="s">
        <v>630</v>
      </c>
      <c r="J102" s="31" t="s">
        <v>631</v>
      </c>
      <c r="K102" s="31" t="s">
        <v>647</v>
      </c>
      <c r="L102" s="197">
        <v>45712.0</v>
      </c>
      <c r="M102" s="197">
        <v>45717.0</v>
      </c>
      <c r="N102" s="198">
        <v>46812.0</v>
      </c>
      <c r="O102" s="197">
        <v>46082.0</v>
      </c>
      <c r="P102" s="198">
        <v>46784.0</v>
      </c>
      <c r="Q102" s="125">
        <v>1096.0</v>
      </c>
      <c r="R102" s="36">
        <v>10500.0</v>
      </c>
      <c r="S102" s="36">
        <v>10500.0</v>
      </c>
      <c r="T102" s="199">
        <v>0.0</v>
      </c>
      <c r="U102" s="136">
        <v>10500.0</v>
      </c>
      <c r="V102" s="36">
        <v>21000.0</v>
      </c>
      <c r="W102" s="129" t="s">
        <v>904</v>
      </c>
      <c r="X102" s="129" t="s">
        <v>642</v>
      </c>
      <c r="Y102" s="129" t="s">
        <v>1097</v>
      </c>
      <c r="Z102" s="31" t="s">
        <v>636</v>
      </c>
      <c r="AA102" s="31" t="s">
        <v>637</v>
      </c>
      <c r="AB102" s="201"/>
      <c r="AC102" s="202"/>
      <c r="AD102" s="31" t="s">
        <v>1098</v>
      </c>
      <c r="AE102" s="83"/>
      <c r="AF102" s="83"/>
      <c r="AG102" s="83"/>
      <c r="AH102" s="83"/>
      <c r="AI102" s="83"/>
      <c r="AJ102" s="83"/>
      <c r="AK102" s="83"/>
      <c r="AL102" s="83"/>
    </row>
    <row r="103">
      <c r="A103" s="120" t="s">
        <v>113</v>
      </c>
      <c r="B103" s="132" t="s">
        <v>1099</v>
      </c>
      <c r="C103" s="121" t="str">
        <f>IFERROR(__xludf.DUMMYFUNCTION("""COMPUTED_VALUE"""),"南港站挑高宅")</f>
        <v>南港站挑高宅</v>
      </c>
      <c r="D103" s="121" t="str">
        <f>IFERROR(__xludf.DUMMYFUNCTION("""COMPUTED_VALUE"""),"C")</f>
        <v>C</v>
      </c>
      <c r="E103" s="132" t="s">
        <v>1100</v>
      </c>
      <c r="F103" s="122" t="str">
        <f>IFERROR(__xludf.DUMMYFUNCTION("""COMPUTED_VALUE"""),"吳佳叡")</f>
        <v>吳佳叡</v>
      </c>
      <c r="G103" s="196" t="s">
        <v>640</v>
      </c>
      <c r="H103" s="31" t="s">
        <v>630</v>
      </c>
      <c r="I103" s="31" t="s">
        <v>630</v>
      </c>
      <c r="J103" s="31" t="s">
        <v>631</v>
      </c>
      <c r="K103" s="31" t="s">
        <v>647</v>
      </c>
      <c r="L103" s="197">
        <v>45716.0</v>
      </c>
      <c r="M103" s="197">
        <v>45731.0</v>
      </c>
      <c r="N103" s="188">
        <v>46203.0</v>
      </c>
      <c r="O103" s="197">
        <v>46082.0</v>
      </c>
      <c r="P103" s="188">
        <v>46174.0</v>
      </c>
      <c r="Q103" s="125">
        <v>473.0</v>
      </c>
      <c r="R103" s="36">
        <v>15000.0</v>
      </c>
      <c r="S103" s="36">
        <v>15000.0</v>
      </c>
      <c r="T103" s="199">
        <v>0.0</v>
      </c>
      <c r="U103" s="136">
        <v>15000.0</v>
      </c>
      <c r="V103" s="36">
        <v>30000.0</v>
      </c>
      <c r="W103" s="129" t="s">
        <v>635</v>
      </c>
      <c r="X103" s="129" t="s">
        <v>1101</v>
      </c>
      <c r="Y103" s="129" t="s">
        <v>1069</v>
      </c>
      <c r="Z103" s="31" t="s">
        <v>763</v>
      </c>
      <c r="AA103" s="31" t="s">
        <v>637</v>
      </c>
      <c r="AB103" s="201"/>
      <c r="AC103" s="202"/>
      <c r="AD103" s="31" t="s">
        <v>1102</v>
      </c>
      <c r="AE103" s="83"/>
      <c r="AF103" s="83"/>
      <c r="AG103" s="83"/>
      <c r="AH103" s="83"/>
      <c r="AI103" s="83"/>
      <c r="AJ103" s="83"/>
      <c r="AK103" s="83"/>
      <c r="AL103" s="83"/>
    </row>
    <row r="104" hidden="1">
      <c r="A104" s="120" t="s">
        <v>44</v>
      </c>
      <c r="B104" s="132" t="s">
        <v>1103</v>
      </c>
      <c r="C104" s="121" t="str">
        <f>IFERROR(__xludf.DUMMYFUNCTION("""COMPUTED_VALUE"""),"龍江229")</f>
        <v>龍江229</v>
      </c>
      <c r="D104" s="121" t="str">
        <f>IFERROR(__xludf.DUMMYFUNCTION("""COMPUTED_VALUE"""),"B")</f>
        <v>B</v>
      </c>
      <c r="E104" s="132" t="s">
        <v>1104</v>
      </c>
      <c r="F104" s="122" t="str">
        <f>IFERROR(__xludf.DUMMYFUNCTION("""COMPUTED_VALUE"""),"曾冠文")</f>
        <v>曾冠文</v>
      </c>
      <c r="G104" s="196" t="s">
        <v>629</v>
      </c>
      <c r="H104" s="31" t="s">
        <v>630</v>
      </c>
      <c r="I104" s="31" t="s">
        <v>630</v>
      </c>
      <c r="J104" s="31" t="s">
        <v>631</v>
      </c>
      <c r="K104" s="31" t="s">
        <v>647</v>
      </c>
      <c r="L104" s="197">
        <v>45718.0</v>
      </c>
      <c r="M104" s="197">
        <v>45719.0</v>
      </c>
      <c r="N104" s="188">
        <v>45803.0</v>
      </c>
      <c r="O104" s="197">
        <v>45809.0</v>
      </c>
      <c r="P104" s="198">
        <v>46082.0</v>
      </c>
      <c r="Q104" s="125">
        <v>85.0</v>
      </c>
      <c r="R104" s="36">
        <v>13500.0</v>
      </c>
      <c r="S104" s="36">
        <v>13500.0</v>
      </c>
      <c r="T104" s="199"/>
      <c r="U104" s="128"/>
      <c r="V104" s="36">
        <v>27000.0</v>
      </c>
      <c r="W104" s="129" t="s">
        <v>1105</v>
      </c>
      <c r="X104" s="129" t="s">
        <v>821</v>
      </c>
      <c r="Y104" s="129" t="s">
        <v>1106</v>
      </c>
      <c r="Z104" s="31" t="s">
        <v>763</v>
      </c>
      <c r="AA104" s="31" t="s">
        <v>637</v>
      </c>
      <c r="AB104" s="201"/>
      <c r="AC104" s="202"/>
      <c r="AD104" s="31" t="s">
        <v>1107</v>
      </c>
      <c r="AE104" s="31" t="s">
        <v>1108</v>
      </c>
      <c r="AF104" s="83"/>
      <c r="AG104" s="83"/>
      <c r="AH104" s="31">
        <v>3000.0</v>
      </c>
      <c r="AI104" s="83"/>
      <c r="AJ104" s="83"/>
      <c r="AK104" s="83"/>
      <c r="AL104" s="83"/>
    </row>
    <row r="105">
      <c r="A105" s="120" t="s">
        <v>59</v>
      </c>
      <c r="B105" s="132" t="s">
        <v>1109</v>
      </c>
      <c r="C105" s="121" t="str">
        <f>IFERROR(__xludf.DUMMYFUNCTION("""COMPUTED_VALUE"""),"哈拉對面")</f>
        <v>哈拉對面</v>
      </c>
      <c r="D105" s="121" t="str">
        <f>IFERROR(__xludf.DUMMYFUNCTION("""COMPUTED_VALUE"""),"B")</f>
        <v>B</v>
      </c>
      <c r="E105" s="132" t="s">
        <v>1110</v>
      </c>
      <c r="F105" s="122" t="str">
        <f>IFERROR(__xludf.DUMMYFUNCTION("""COMPUTED_VALUE"""),"鄭又菡")</f>
        <v>鄭又菡</v>
      </c>
      <c r="G105" s="196" t="s">
        <v>640</v>
      </c>
      <c r="H105" s="31" t="s">
        <v>630</v>
      </c>
      <c r="I105" s="31" t="s">
        <v>630</v>
      </c>
      <c r="J105" s="31" t="s">
        <v>631</v>
      </c>
      <c r="K105" s="31" t="s">
        <v>647</v>
      </c>
      <c r="L105" s="197">
        <v>45717.0</v>
      </c>
      <c r="M105" s="197">
        <v>45722.0</v>
      </c>
      <c r="N105" s="188">
        <v>46203.0</v>
      </c>
      <c r="O105" s="197">
        <v>46082.0</v>
      </c>
      <c r="P105" s="188">
        <v>46174.0</v>
      </c>
      <c r="Q105" s="125">
        <v>482.0</v>
      </c>
      <c r="R105" s="36">
        <v>15800.0</v>
      </c>
      <c r="S105" s="36">
        <v>15800.0</v>
      </c>
      <c r="T105" s="199">
        <v>0.0</v>
      </c>
      <c r="U105" s="136">
        <v>15800.0</v>
      </c>
      <c r="V105" s="37">
        <v>31600.0</v>
      </c>
      <c r="W105" s="129" t="s">
        <v>642</v>
      </c>
      <c r="X105" s="129" t="s">
        <v>1111</v>
      </c>
      <c r="Y105" s="129" t="s">
        <v>1069</v>
      </c>
      <c r="Z105" s="31" t="s">
        <v>763</v>
      </c>
      <c r="AA105" s="31" t="s">
        <v>637</v>
      </c>
      <c r="AB105" s="201"/>
      <c r="AC105" s="202"/>
      <c r="AD105" s="31" t="s">
        <v>1112</v>
      </c>
      <c r="AE105" s="83"/>
      <c r="AF105" s="83"/>
      <c r="AG105" s="83"/>
      <c r="AH105" s="83"/>
      <c r="AI105" s="83"/>
      <c r="AJ105" s="83"/>
      <c r="AK105" s="83"/>
      <c r="AL105" s="83"/>
    </row>
    <row r="106">
      <c r="A106" s="120" t="s">
        <v>128</v>
      </c>
      <c r="B106" s="132" t="s">
        <v>1113</v>
      </c>
      <c r="C106" s="121" t="str">
        <f>IFERROR(__xludf.DUMMYFUNCTION("""COMPUTED_VALUE"""),"金龍帽子先生")</f>
        <v>金龍帽子先生</v>
      </c>
      <c r="D106" s="121" t="str">
        <f>IFERROR(__xludf.DUMMYFUNCTION("""COMPUTED_VALUE"""),"C")</f>
        <v>C</v>
      </c>
      <c r="E106" s="132" t="s">
        <v>1114</v>
      </c>
      <c r="F106" s="122" t="str">
        <f>IFERROR(__xludf.DUMMYFUNCTION("""COMPUTED_VALUE"""),"鐘偉展")</f>
        <v>鐘偉展</v>
      </c>
      <c r="G106" s="196" t="s">
        <v>640</v>
      </c>
      <c r="H106" s="31" t="s">
        <v>630</v>
      </c>
      <c r="I106" s="31" t="s">
        <v>630</v>
      </c>
      <c r="J106" s="31" t="s">
        <v>631</v>
      </c>
      <c r="K106" s="31" t="s">
        <v>647</v>
      </c>
      <c r="L106" s="197">
        <v>45724.0</v>
      </c>
      <c r="M106" s="197">
        <v>45738.0</v>
      </c>
      <c r="N106" s="188">
        <v>46203.0</v>
      </c>
      <c r="O106" s="197">
        <v>46082.0</v>
      </c>
      <c r="P106" s="188">
        <v>46174.0</v>
      </c>
      <c r="Q106" s="125">
        <v>466.0</v>
      </c>
      <c r="R106" s="36">
        <v>14000.0</v>
      </c>
      <c r="S106" s="36">
        <v>14000.0</v>
      </c>
      <c r="T106" s="199">
        <v>0.0</v>
      </c>
      <c r="U106" s="136">
        <v>14000.0</v>
      </c>
      <c r="V106" s="36">
        <v>28000.0</v>
      </c>
      <c r="W106" s="129" t="s">
        <v>1061</v>
      </c>
      <c r="X106" s="129" t="s">
        <v>1115</v>
      </c>
      <c r="Y106" s="129" t="s">
        <v>1069</v>
      </c>
      <c r="Z106" s="31" t="s">
        <v>763</v>
      </c>
      <c r="AA106" s="31" t="s">
        <v>637</v>
      </c>
      <c r="AB106" s="201"/>
      <c r="AC106" s="202"/>
      <c r="AD106" s="31" t="s">
        <v>1116</v>
      </c>
      <c r="AE106" s="83"/>
      <c r="AF106" s="83"/>
      <c r="AG106" s="83"/>
      <c r="AH106" s="83"/>
      <c r="AI106" s="83"/>
      <c r="AJ106" s="83"/>
      <c r="AK106" s="83"/>
      <c r="AL106" s="83"/>
    </row>
    <row r="107">
      <c r="A107" s="120" t="s">
        <v>72</v>
      </c>
      <c r="B107" s="132" t="s">
        <v>1117</v>
      </c>
      <c r="C107" s="121" t="str">
        <f>IFERROR(__xludf.DUMMYFUNCTION("""COMPUTED_VALUE"""),"北醫醫師府")</f>
        <v>北醫醫師府</v>
      </c>
      <c r="D107" s="121" t="str">
        <f>IFERROR(__xludf.DUMMYFUNCTION("""COMPUTED_VALUE"""),"C")</f>
        <v>C</v>
      </c>
      <c r="E107" s="132" t="s">
        <v>852</v>
      </c>
      <c r="F107" s="122" t="str">
        <f>IFERROR(__xludf.DUMMYFUNCTION("""COMPUTED_VALUE"""),"余典蓉")</f>
        <v>余典蓉</v>
      </c>
      <c r="G107" s="196" t="s">
        <v>640</v>
      </c>
      <c r="H107" s="31" t="s">
        <v>630</v>
      </c>
      <c r="I107" s="31" t="s">
        <v>630</v>
      </c>
      <c r="J107" s="31" t="s">
        <v>631</v>
      </c>
      <c r="K107" s="31" t="s">
        <v>647</v>
      </c>
      <c r="L107" s="197">
        <v>45732.0</v>
      </c>
      <c r="M107" s="197">
        <v>45858.0</v>
      </c>
      <c r="N107" s="188">
        <v>46203.0</v>
      </c>
      <c r="O107" s="161">
        <v>46082.0</v>
      </c>
      <c r="P107" s="198">
        <v>46174.0</v>
      </c>
      <c r="Q107" s="125">
        <v>346.0</v>
      </c>
      <c r="R107" s="36">
        <v>13000.0</v>
      </c>
      <c r="S107" s="36">
        <v>13000.0</v>
      </c>
      <c r="T107" s="199">
        <v>0.0</v>
      </c>
      <c r="U107" s="136">
        <v>13000.0</v>
      </c>
      <c r="V107" s="36">
        <v>26000.0</v>
      </c>
      <c r="W107" s="129" t="s">
        <v>1065</v>
      </c>
      <c r="X107" s="129" t="s">
        <v>855</v>
      </c>
      <c r="Y107" s="129" t="s">
        <v>1069</v>
      </c>
      <c r="Z107" s="15"/>
      <c r="AA107" s="15"/>
      <c r="AB107" s="201"/>
      <c r="AC107" s="202"/>
      <c r="AD107" s="31" t="s">
        <v>1118</v>
      </c>
      <c r="AE107" s="83"/>
      <c r="AF107" s="83"/>
      <c r="AG107" s="83"/>
      <c r="AH107" s="83"/>
      <c r="AI107" s="83"/>
      <c r="AJ107" s="83"/>
      <c r="AK107" s="83"/>
      <c r="AL107" s="83"/>
    </row>
    <row r="108">
      <c r="A108" s="120" t="s">
        <v>46</v>
      </c>
      <c r="B108" s="132" t="s">
        <v>1119</v>
      </c>
      <c r="C108" s="121" t="str">
        <f>IFERROR(__xludf.DUMMYFUNCTION("""COMPUTED_VALUE"""),"龍江229")</f>
        <v>龍江229</v>
      </c>
      <c r="D108" s="121" t="str">
        <f>IFERROR(__xludf.DUMMYFUNCTION("""COMPUTED_VALUE"""),"C")</f>
        <v>C</v>
      </c>
      <c r="E108" s="132" t="s">
        <v>1120</v>
      </c>
      <c r="F108" s="122" t="str">
        <f>IFERROR(__xludf.DUMMYFUNCTION("""COMPUTED_VALUE"""),"馬義鈞")</f>
        <v>馬義鈞</v>
      </c>
      <c r="G108" s="196" t="s">
        <v>640</v>
      </c>
      <c r="H108" s="31" t="s">
        <v>630</v>
      </c>
      <c r="I108" s="31" t="s">
        <v>630</v>
      </c>
      <c r="J108" s="31" t="s">
        <v>631</v>
      </c>
      <c r="K108" s="31" t="s">
        <v>647</v>
      </c>
      <c r="L108" s="197">
        <v>45740.0</v>
      </c>
      <c r="M108" s="197">
        <v>45748.0</v>
      </c>
      <c r="N108" s="188">
        <v>46203.0</v>
      </c>
      <c r="O108" s="161">
        <v>46082.0</v>
      </c>
      <c r="P108" s="198">
        <v>46174.0</v>
      </c>
      <c r="Q108" s="125">
        <v>456.0</v>
      </c>
      <c r="R108" s="36">
        <v>18800.0</v>
      </c>
      <c r="S108" s="36">
        <v>18800.0</v>
      </c>
      <c r="T108" s="199"/>
      <c r="U108" s="136"/>
      <c r="V108" s="36">
        <v>37600.0</v>
      </c>
      <c r="W108" s="129" t="s">
        <v>1121</v>
      </c>
      <c r="X108" s="129" t="s">
        <v>1091</v>
      </c>
      <c r="Y108" s="129" t="s">
        <v>1069</v>
      </c>
      <c r="Z108" s="15"/>
      <c r="AA108" s="15"/>
      <c r="AB108" s="201"/>
      <c r="AC108" s="202"/>
      <c r="AD108" s="31" t="s">
        <v>1122</v>
      </c>
      <c r="AE108" s="83"/>
      <c r="AF108" s="83"/>
      <c r="AG108" s="83"/>
      <c r="AH108" s="83"/>
      <c r="AI108" s="83"/>
      <c r="AJ108" s="83"/>
      <c r="AK108" s="83"/>
      <c r="AL108" s="83"/>
    </row>
    <row r="109" hidden="1">
      <c r="A109" s="120" t="s">
        <v>73</v>
      </c>
      <c r="B109" s="132" t="s">
        <v>1123</v>
      </c>
      <c r="C109" s="121" t="str">
        <f>IFERROR(__xludf.DUMMYFUNCTION("""COMPUTED_VALUE"""),"北醫醫師府")</f>
        <v>北醫醫師府</v>
      </c>
      <c r="D109" s="121" t="str">
        <f>IFERROR(__xludf.DUMMYFUNCTION("""COMPUTED_VALUE"""),"D")</f>
        <v>D</v>
      </c>
      <c r="E109" s="132" t="s">
        <v>858</v>
      </c>
      <c r="F109" s="122" t="str">
        <f>IFERROR(__xludf.DUMMYFUNCTION("""COMPUTED_VALUE"""),"劉怡秀")</f>
        <v>劉怡秀</v>
      </c>
      <c r="G109" s="196" t="s">
        <v>629</v>
      </c>
      <c r="H109" s="31" t="s">
        <v>630</v>
      </c>
      <c r="I109" s="31" t="s">
        <v>630</v>
      </c>
      <c r="J109" s="31" t="s">
        <v>631</v>
      </c>
      <c r="K109" s="31" t="s">
        <v>647</v>
      </c>
      <c r="L109" s="203">
        <v>45741.0</v>
      </c>
      <c r="M109" s="203">
        <v>45770.0</v>
      </c>
      <c r="N109" s="204">
        <v>45838.0</v>
      </c>
      <c r="O109" s="161">
        <v>45839.0</v>
      </c>
      <c r="P109" s="204">
        <v>45809.0</v>
      </c>
      <c r="Q109" s="125">
        <v>69.0</v>
      </c>
      <c r="R109" s="36">
        <v>12000.0</v>
      </c>
      <c r="S109" s="36">
        <v>12000.0</v>
      </c>
      <c r="T109" s="199"/>
      <c r="U109" s="128"/>
      <c r="V109" s="36">
        <v>24000.0</v>
      </c>
      <c r="W109" s="129" t="s">
        <v>1124</v>
      </c>
      <c r="X109" s="129" t="s">
        <v>1125</v>
      </c>
      <c r="Y109" s="129" t="s">
        <v>736</v>
      </c>
      <c r="Z109" s="15"/>
      <c r="AA109" s="15"/>
      <c r="AB109" s="201"/>
      <c r="AC109" s="202"/>
      <c r="AD109" s="31" t="s">
        <v>1126</v>
      </c>
      <c r="AE109" s="83"/>
      <c r="AF109" s="83"/>
      <c r="AG109" s="83"/>
      <c r="AH109" s="39" t="s">
        <v>793</v>
      </c>
      <c r="AI109" s="39" t="s">
        <v>696</v>
      </c>
      <c r="AJ109" s="83"/>
      <c r="AK109" s="83"/>
      <c r="AL109" s="83"/>
    </row>
    <row r="110" hidden="1">
      <c r="A110" s="120" t="s">
        <v>52</v>
      </c>
      <c r="B110" s="132" t="s">
        <v>1127</v>
      </c>
      <c r="C110" s="121" t="str">
        <f>IFERROR(__xludf.DUMMYFUNCTION("""COMPUTED_VALUE"""),"龍江229")</f>
        <v>龍江229</v>
      </c>
      <c r="D110" s="121" t="str">
        <f>IFERROR(__xludf.DUMMYFUNCTION("""COMPUTED_VALUE"""),"E")</f>
        <v>E</v>
      </c>
      <c r="E110" s="132" t="s">
        <v>1128</v>
      </c>
      <c r="F110" s="122" t="str">
        <f>IFERROR(__xludf.DUMMYFUNCTION("""COMPUTED_VALUE"""),"李侑霖")</f>
        <v>李侑霖</v>
      </c>
      <c r="G110" s="196" t="s">
        <v>629</v>
      </c>
      <c r="H110" s="31" t="s">
        <v>630</v>
      </c>
      <c r="I110" s="31" t="s">
        <v>630</v>
      </c>
      <c r="J110" s="31" t="s">
        <v>631</v>
      </c>
      <c r="K110" s="31" t="s">
        <v>647</v>
      </c>
      <c r="L110" s="203">
        <v>45732.0</v>
      </c>
      <c r="M110" s="203">
        <v>45732.0</v>
      </c>
      <c r="N110" s="198">
        <v>45979.0</v>
      </c>
      <c r="O110" s="161">
        <v>45992.0</v>
      </c>
      <c r="P110" s="124">
        <v>45962.0</v>
      </c>
      <c r="Q110" s="125">
        <v>248.0</v>
      </c>
      <c r="R110" s="36">
        <v>12500.0</v>
      </c>
      <c r="S110" s="36">
        <v>12500.0</v>
      </c>
      <c r="T110" s="199"/>
      <c r="U110" s="128"/>
      <c r="V110" s="36">
        <v>25000.0</v>
      </c>
      <c r="W110" s="129" t="s">
        <v>1065</v>
      </c>
      <c r="X110" s="129" t="s">
        <v>1065</v>
      </c>
      <c r="Y110" s="129" t="s">
        <v>714</v>
      </c>
      <c r="Z110" s="15"/>
      <c r="AA110" s="15"/>
      <c r="AB110" s="201"/>
      <c r="AC110" s="202"/>
      <c r="AD110" s="31" t="s">
        <v>1129</v>
      </c>
      <c r="AE110" s="83"/>
      <c r="AF110" s="83"/>
      <c r="AG110" s="83"/>
      <c r="AH110" s="83"/>
      <c r="AI110" s="83"/>
      <c r="AJ110" s="83"/>
      <c r="AK110" s="83"/>
      <c r="AL110" s="83"/>
    </row>
    <row r="111">
      <c r="A111" s="120" t="s">
        <v>71</v>
      </c>
      <c r="B111" s="132" t="s">
        <v>1130</v>
      </c>
      <c r="C111" s="121" t="str">
        <f>IFERROR(__xludf.DUMMYFUNCTION("""COMPUTED_VALUE"""),"北醫醫師府")</f>
        <v>北醫醫師府</v>
      </c>
      <c r="D111" s="121" t="str">
        <f>IFERROR(__xludf.DUMMYFUNCTION("""COMPUTED_VALUE"""),"B")</f>
        <v>B</v>
      </c>
      <c r="E111" s="132" t="s">
        <v>1131</v>
      </c>
      <c r="F111" s="122" t="str">
        <f>IFERROR(__xludf.DUMMYFUNCTION("""COMPUTED_VALUE"""),"王品涵")</f>
        <v>王品涵</v>
      </c>
      <c r="G111" s="196" t="s">
        <v>640</v>
      </c>
      <c r="H111" s="31" t="s">
        <v>630</v>
      </c>
      <c r="I111" s="31" t="s">
        <v>630</v>
      </c>
      <c r="J111" s="31" t="s">
        <v>631</v>
      </c>
      <c r="K111" s="31" t="s">
        <v>647</v>
      </c>
      <c r="L111" s="197">
        <v>45752.0</v>
      </c>
      <c r="M111" s="197">
        <v>45778.0</v>
      </c>
      <c r="N111" s="198">
        <v>46203.0</v>
      </c>
      <c r="O111" s="161">
        <v>46082.0</v>
      </c>
      <c r="P111" s="198">
        <v>46174.0</v>
      </c>
      <c r="Q111" s="125">
        <v>426.0</v>
      </c>
      <c r="R111" s="36">
        <v>17800.0</v>
      </c>
      <c r="S111" s="36">
        <v>17800.0</v>
      </c>
      <c r="T111" s="199">
        <v>0.0</v>
      </c>
      <c r="U111" s="136">
        <v>17800.0</v>
      </c>
      <c r="V111" s="36">
        <v>35600.0</v>
      </c>
      <c r="W111" s="129" t="s">
        <v>1132</v>
      </c>
      <c r="X111" s="129" t="s">
        <v>1133</v>
      </c>
      <c r="Y111" s="129" t="s">
        <v>1069</v>
      </c>
      <c r="Z111" s="15"/>
      <c r="AA111" s="15"/>
      <c r="AB111" s="205">
        <v>30.0</v>
      </c>
      <c r="AC111" s="206">
        <v>0.0</v>
      </c>
      <c r="AD111" s="31" t="s">
        <v>1134</v>
      </c>
      <c r="AE111" s="83"/>
      <c r="AF111" s="83"/>
      <c r="AG111" s="83"/>
      <c r="AH111" s="83"/>
      <c r="AI111" s="83"/>
      <c r="AJ111" s="83"/>
      <c r="AK111" s="83"/>
      <c r="AL111" s="83"/>
    </row>
    <row r="112">
      <c r="A112" s="120" t="s">
        <v>159</v>
      </c>
      <c r="B112" s="132" t="s">
        <v>1135</v>
      </c>
      <c r="C112" s="121" t="str">
        <f>IFERROR(__xludf.DUMMYFUNCTION("""COMPUTED_VALUE"""),"中山北娘家旁")</f>
        <v>中山北娘家旁</v>
      </c>
      <c r="D112" s="121" t="str">
        <f>IFERROR(__xludf.DUMMYFUNCTION("""COMPUTED_VALUE"""),"D")</f>
        <v>D</v>
      </c>
      <c r="E112" s="132" t="s">
        <v>1136</v>
      </c>
      <c r="F112" s="122" t="str">
        <f>IFERROR(__xludf.DUMMYFUNCTION("""COMPUTED_VALUE"""),"洪琦媜")</f>
        <v>洪琦媜</v>
      </c>
      <c r="G112" s="196" t="s">
        <v>640</v>
      </c>
      <c r="H112" s="31" t="s">
        <v>630</v>
      </c>
      <c r="I112" s="31" t="s">
        <v>630</v>
      </c>
      <c r="J112" s="31" t="s">
        <v>631</v>
      </c>
      <c r="K112" s="31" t="s">
        <v>647</v>
      </c>
      <c r="L112" s="197">
        <v>45771.0</v>
      </c>
      <c r="M112" s="197">
        <v>45775.0</v>
      </c>
      <c r="N112" s="198">
        <v>46203.0</v>
      </c>
      <c r="O112" s="161">
        <v>46082.0</v>
      </c>
      <c r="P112" s="198">
        <v>46174.0</v>
      </c>
      <c r="Q112" s="125">
        <v>429.0</v>
      </c>
      <c r="R112" s="36">
        <v>14500.0</v>
      </c>
      <c r="S112" s="36">
        <v>14500.0</v>
      </c>
      <c r="T112" s="199">
        <v>0.0</v>
      </c>
      <c r="U112" s="136">
        <v>14500.0</v>
      </c>
      <c r="V112" s="36">
        <v>29000.0</v>
      </c>
      <c r="W112" s="129" t="s">
        <v>1137</v>
      </c>
      <c r="X112" s="129" t="s">
        <v>1138</v>
      </c>
      <c r="Y112" s="129" t="s">
        <v>1069</v>
      </c>
      <c r="Z112" s="15"/>
      <c r="AA112" s="15"/>
      <c r="AB112" s="205">
        <v>3.0</v>
      </c>
      <c r="AC112" s="206" t="e">
        <v>#REF!</v>
      </c>
      <c r="AD112" s="31" t="s">
        <v>1139</v>
      </c>
      <c r="AE112" s="83"/>
      <c r="AF112" s="83"/>
      <c r="AG112" s="83"/>
      <c r="AH112" s="83"/>
      <c r="AI112" s="83"/>
      <c r="AJ112" s="83"/>
      <c r="AK112" s="83"/>
      <c r="AL112" s="83"/>
    </row>
    <row r="113">
      <c r="A113" s="120" t="s">
        <v>131</v>
      </c>
      <c r="B113" s="132" t="s">
        <v>1140</v>
      </c>
      <c r="C113" s="121" t="str">
        <f>IFERROR(__xludf.DUMMYFUNCTION("""COMPUTED_VALUE"""),"金龍帽子先生")</f>
        <v>金龍帽子先生</v>
      </c>
      <c r="D113" s="121" t="str">
        <f>IFERROR(__xludf.DUMMYFUNCTION("""COMPUTED_VALUE"""),"D")</f>
        <v>D</v>
      </c>
      <c r="E113" s="132" t="s">
        <v>1141</v>
      </c>
      <c r="F113" s="122" t="str">
        <f>IFERROR(__xludf.DUMMYFUNCTION("""COMPUTED_VALUE"""),"林紫婕")</f>
        <v>林紫婕</v>
      </c>
      <c r="G113" s="196" t="s">
        <v>640</v>
      </c>
      <c r="H113" s="31" t="s">
        <v>630</v>
      </c>
      <c r="I113" s="31" t="s">
        <v>630</v>
      </c>
      <c r="J113" s="31" t="s">
        <v>631</v>
      </c>
      <c r="K113" s="31" t="s">
        <v>647</v>
      </c>
      <c r="L113" s="197">
        <v>45777.0</v>
      </c>
      <c r="M113" s="197">
        <v>45779.0</v>
      </c>
      <c r="N113" s="198">
        <v>46203.0</v>
      </c>
      <c r="O113" s="161">
        <v>46082.0</v>
      </c>
      <c r="P113" s="198">
        <v>46174.0</v>
      </c>
      <c r="Q113" s="125">
        <v>425.0</v>
      </c>
      <c r="R113" s="36">
        <v>14500.0</v>
      </c>
      <c r="S113" s="36">
        <v>14500.0</v>
      </c>
      <c r="T113" s="199">
        <v>0.0</v>
      </c>
      <c r="U113" s="136">
        <v>14500.0</v>
      </c>
      <c r="V113" s="36">
        <v>29000.0</v>
      </c>
      <c r="W113" s="129" t="s">
        <v>849</v>
      </c>
      <c r="X113" s="129" t="s">
        <v>1142</v>
      </c>
      <c r="Y113" s="129" t="s">
        <v>1069</v>
      </c>
      <c r="Z113" s="15"/>
      <c r="AA113" s="15"/>
      <c r="AB113" s="205">
        <v>29.0</v>
      </c>
      <c r="AC113" s="206" t="e">
        <v>#REF!</v>
      </c>
      <c r="AD113" s="31" t="s">
        <v>1143</v>
      </c>
      <c r="AE113" s="83"/>
      <c r="AF113" s="83"/>
      <c r="AG113" s="83"/>
      <c r="AH113" s="83"/>
      <c r="AI113" s="83"/>
      <c r="AJ113" s="83"/>
      <c r="AK113" s="83"/>
      <c r="AL113" s="83"/>
    </row>
    <row r="114">
      <c r="A114" s="120" t="s">
        <v>90</v>
      </c>
      <c r="B114" s="132" t="s">
        <v>1144</v>
      </c>
      <c r="C114" s="121" t="str">
        <f>IFERROR(__xludf.DUMMYFUNCTION("""COMPUTED_VALUE"""),"大湖山莊")</f>
        <v>大湖山莊</v>
      </c>
      <c r="D114" s="121" t="str">
        <f>IFERROR(__xludf.DUMMYFUNCTION("""COMPUTED_VALUE"""),"D")</f>
        <v>D</v>
      </c>
      <c r="E114" s="132" t="s">
        <v>888</v>
      </c>
      <c r="F114" s="122" t="str">
        <f>IFERROR(__xludf.DUMMYFUNCTION("""COMPUTED_VALUE"""),"陳昭瑄")</f>
        <v>陳昭瑄</v>
      </c>
      <c r="G114" s="196" t="s">
        <v>640</v>
      </c>
      <c r="H114" s="31" t="s">
        <v>630</v>
      </c>
      <c r="I114" s="31" t="s">
        <v>630</v>
      </c>
      <c r="J114" s="31" t="s">
        <v>631</v>
      </c>
      <c r="K114" s="31" t="s">
        <v>647</v>
      </c>
      <c r="L114" s="197">
        <v>45790.0</v>
      </c>
      <c r="M114" s="197">
        <v>45809.0</v>
      </c>
      <c r="N114" s="198">
        <v>46203.0</v>
      </c>
      <c r="O114" s="134">
        <v>46082.0</v>
      </c>
      <c r="P114" s="198">
        <v>46174.0</v>
      </c>
      <c r="Q114" s="125">
        <v>395.0</v>
      </c>
      <c r="R114" s="36">
        <v>14300.0</v>
      </c>
      <c r="S114" s="36">
        <v>14300.0</v>
      </c>
      <c r="T114" s="199">
        <v>0.0</v>
      </c>
      <c r="U114" s="136">
        <v>14300.0</v>
      </c>
      <c r="V114" s="36">
        <v>28600.0</v>
      </c>
      <c r="W114" s="129" t="s">
        <v>1145</v>
      </c>
      <c r="X114" s="129" t="s">
        <v>1146</v>
      </c>
      <c r="Y114" s="129" t="s">
        <v>1069</v>
      </c>
      <c r="Z114" s="15"/>
      <c r="AA114" s="15"/>
      <c r="AB114" s="201"/>
      <c r="AC114" s="202"/>
      <c r="AD114" s="31" t="s">
        <v>1147</v>
      </c>
      <c r="AE114" s="83"/>
      <c r="AF114" s="83"/>
      <c r="AG114" s="83"/>
      <c r="AH114" s="83"/>
      <c r="AI114" s="83"/>
      <c r="AJ114" s="83"/>
      <c r="AK114" s="83"/>
      <c r="AL114" s="83"/>
    </row>
    <row r="115">
      <c r="A115" s="120" t="s">
        <v>108</v>
      </c>
      <c r="B115" s="132" t="s">
        <v>1148</v>
      </c>
      <c r="C115" s="121" t="str">
        <f>IFERROR(__xludf.DUMMYFUNCTION("""COMPUTED_VALUE"""),"士林和豐")</f>
        <v>士林和豐</v>
      </c>
      <c r="D115" s="121" t="str">
        <f>IFERROR(__xludf.DUMMYFUNCTION("""COMPUTED_VALUE"""),"D")</f>
        <v>D</v>
      </c>
      <c r="E115" s="132" t="s">
        <v>776</v>
      </c>
      <c r="F115" s="122" t="str">
        <f>IFERROR(__xludf.DUMMYFUNCTION("""COMPUTED_VALUE"""),"曹淑宜")</f>
        <v>曹淑宜</v>
      </c>
      <c r="G115" s="196" t="s">
        <v>640</v>
      </c>
      <c r="H115" s="31" t="s">
        <v>630</v>
      </c>
      <c r="I115" s="31" t="s">
        <v>630</v>
      </c>
      <c r="J115" s="31" t="s">
        <v>631</v>
      </c>
      <c r="K115" s="31" t="s">
        <v>647</v>
      </c>
      <c r="L115" s="197">
        <v>45785.0</v>
      </c>
      <c r="M115" s="197">
        <v>45809.0</v>
      </c>
      <c r="N115" s="198">
        <v>46234.0</v>
      </c>
      <c r="O115" s="134">
        <v>46082.0</v>
      </c>
      <c r="P115" s="198">
        <v>46204.0</v>
      </c>
      <c r="Q115" s="125">
        <v>426.0</v>
      </c>
      <c r="R115" s="36">
        <v>12500.0</v>
      </c>
      <c r="S115" s="36">
        <v>12500.0</v>
      </c>
      <c r="T115" s="199"/>
      <c r="U115" s="136"/>
      <c r="V115" s="36">
        <v>25000.0</v>
      </c>
      <c r="W115" s="129" t="s">
        <v>1149</v>
      </c>
      <c r="X115" s="129" t="s">
        <v>1146</v>
      </c>
      <c r="Y115" s="129" t="s">
        <v>1150</v>
      </c>
      <c r="Z115" s="15"/>
      <c r="AA115" s="15"/>
      <c r="AB115" s="205">
        <v>31.0</v>
      </c>
      <c r="AC115" s="206">
        <v>0.0</v>
      </c>
      <c r="AD115" s="31" t="s">
        <v>1151</v>
      </c>
      <c r="AE115" s="83"/>
      <c r="AF115" s="83"/>
      <c r="AG115" s="83"/>
      <c r="AH115" s="83"/>
      <c r="AI115" s="83"/>
      <c r="AJ115" s="83"/>
      <c r="AK115" s="83"/>
      <c r="AL115" s="83"/>
    </row>
    <row r="116" hidden="1">
      <c r="A116" s="120" t="s">
        <v>85</v>
      </c>
      <c r="B116" s="132" t="s">
        <v>1152</v>
      </c>
      <c r="C116" s="121" t="str">
        <f>IFERROR(__xludf.DUMMYFUNCTION("""COMPUTED_VALUE"""),"大湖山莊")</f>
        <v>大湖山莊</v>
      </c>
      <c r="D116" s="121" t="str">
        <f>IFERROR(__xludf.DUMMYFUNCTION("""COMPUTED_VALUE"""),"B")</f>
        <v>B</v>
      </c>
      <c r="E116" s="31" t="s">
        <v>1153</v>
      </c>
      <c r="F116" s="122" t="str">
        <f>IFERROR(__xludf.DUMMYFUNCTION("""COMPUTED_VALUE"""),"吳佳樂")</f>
        <v>吳佳樂</v>
      </c>
      <c r="G116" s="196" t="s">
        <v>629</v>
      </c>
      <c r="H116" s="31" t="s">
        <v>630</v>
      </c>
      <c r="I116" s="31" t="s">
        <v>630</v>
      </c>
      <c r="J116" s="31" t="s">
        <v>631</v>
      </c>
      <c r="K116" s="31" t="s">
        <v>647</v>
      </c>
      <c r="L116" s="203">
        <v>45795.0</v>
      </c>
      <c r="M116" s="197">
        <v>45790.0</v>
      </c>
      <c r="N116" s="198">
        <v>45882.0</v>
      </c>
      <c r="O116" s="161">
        <v>45901.0</v>
      </c>
      <c r="P116" s="204">
        <v>46174.0</v>
      </c>
      <c r="Q116" s="125">
        <v>93.0</v>
      </c>
      <c r="R116" s="36">
        <v>12800.0</v>
      </c>
      <c r="S116" s="36">
        <v>12800.0</v>
      </c>
      <c r="T116" s="199"/>
      <c r="U116" s="128"/>
      <c r="V116" s="36">
        <v>25600.0</v>
      </c>
      <c r="W116" s="129" t="s">
        <v>1154</v>
      </c>
      <c r="X116" s="129" t="s">
        <v>1145</v>
      </c>
      <c r="Y116" s="129" t="s">
        <v>1155</v>
      </c>
      <c r="Z116" s="15"/>
      <c r="AA116" s="15"/>
      <c r="AB116" s="201"/>
      <c r="AC116" s="202"/>
      <c r="AD116" s="31" t="s">
        <v>1156</v>
      </c>
      <c r="AE116" s="179">
        <v>26.0</v>
      </c>
      <c r="AF116" s="179">
        <v>573.0</v>
      </c>
      <c r="AG116" s="179">
        <v>184.0</v>
      </c>
      <c r="AH116" s="31">
        <v>3000.0</v>
      </c>
      <c r="AI116" s="39" t="s">
        <v>696</v>
      </c>
      <c r="AJ116" s="83"/>
      <c r="AK116" s="83"/>
      <c r="AL116" s="83"/>
    </row>
    <row r="117">
      <c r="A117" s="120" t="s">
        <v>97</v>
      </c>
      <c r="B117" s="132" t="s">
        <v>1157</v>
      </c>
      <c r="C117" s="121" t="str">
        <f>IFERROR(__xludf.DUMMYFUNCTION("""COMPUTED_VALUE"""),"大湖山莊")</f>
        <v>大湖山莊</v>
      </c>
      <c r="D117" s="121" t="str">
        <f>IFERROR(__xludf.DUMMYFUNCTION("""COMPUTED_VALUE"""),"G")</f>
        <v>G</v>
      </c>
      <c r="E117" s="132" t="s">
        <v>1158</v>
      </c>
      <c r="F117" s="122" t="str">
        <f>IFERROR(__xludf.DUMMYFUNCTION("""COMPUTED_VALUE"""),"Soumyajit Balabantaray")</f>
        <v>Soumyajit Balabantaray</v>
      </c>
      <c r="G117" s="196" t="s">
        <v>640</v>
      </c>
      <c r="H117" s="31" t="s">
        <v>630</v>
      </c>
      <c r="I117" s="31" t="s">
        <v>630</v>
      </c>
      <c r="J117" s="31" t="s">
        <v>631</v>
      </c>
      <c r="K117" s="31" t="s">
        <v>647</v>
      </c>
      <c r="L117" s="197">
        <v>45796.0</v>
      </c>
      <c r="M117" s="197">
        <v>45803.0</v>
      </c>
      <c r="N117" s="198">
        <v>46203.0</v>
      </c>
      <c r="O117" s="161">
        <v>46113.0</v>
      </c>
      <c r="P117" s="198">
        <v>46174.0</v>
      </c>
      <c r="Q117" s="125">
        <v>401.0</v>
      </c>
      <c r="R117" s="36">
        <v>15800.0</v>
      </c>
      <c r="S117" s="36">
        <v>15800.0</v>
      </c>
      <c r="T117" s="199"/>
      <c r="U117" s="136"/>
      <c r="V117" s="36">
        <v>31600.0</v>
      </c>
      <c r="W117" s="129" t="s">
        <v>1159</v>
      </c>
      <c r="X117" s="129" t="s">
        <v>1106</v>
      </c>
      <c r="Y117" s="129" t="s">
        <v>1069</v>
      </c>
      <c r="Z117" s="15"/>
      <c r="AA117" s="15"/>
      <c r="AB117" s="201"/>
      <c r="AC117" s="202"/>
      <c r="AD117" s="15"/>
      <c r="AE117" s="83"/>
      <c r="AF117" s="83"/>
      <c r="AG117" s="83"/>
      <c r="AH117" s="83"/>
      <c r="AI117" s="83"/>
      <c r="AJ117" s="83"/>
      <c r="AK117" s="83"/>
      <c r="AL117" s="83"/>
    </row>
    <row r="118">
      <c r="A118" s="120" t="s">
        <v>24</v>
      </c>
      <c r="B118" s="132" t="s">
        <v>1160</v>
      </c>
      <c r="C118" s="121" t="str">
        <f>IFERROR(__xludf.DUMMYFUNCTION("""COMPUTED_VALUE"""),"永春四號")</f>
        <v>永春四號</v>
      </c>
      <c r="D118" s="121" t="str">
        <f>IFERROR(__xludf.DUMMYFUNCTION("""COMPUTED_VALUE"""),"D")</f>
        <v>D</v>
      </c>
      <c r="E118" s="132" t="s">
        <v>665</v>
      </c>
      <c r="F118" s="122" t="str">
        <f>IFERROR(__xludf.DUMMYFUNCTION("""COMPUTED_VALUE"""),"翁政熙")</f>
        <v>翁政熙</v>
      </c>
      <c r="G118" s="196" t="s">
        <v>640</v>
      </c>
      <c r="H118" s="31" t="s">
        <v>630</v>
      </c>
      <c r="I118" s="31" t="s">
        <v>630</v>
      </c>
      <c r="J118" s="31" t="s">
        <v>631</v>
      </c>
      <c r="K118" s="31" t="s">
        <v>647</v>
      </c>
      <c r="L118" s="197">
        <v>45794.0</v>
      </c>
      <c r="M118" s="197">
        <v>45809.0</v>
      </c>
      <c r="N118" s="198">
        <v>46203.0</v>
      </c>
      <c r="O118" s="161">
        <v>46082.0</v>
      </c>
      <c r="P118" s="198">
        <v>46174.0</v>
      </c>
      <c r="Q118" s="125">
        <v>395.0</v>
      </c>
      <c r="R118" s="36">
        <v>14300.0</v>
      </c>
      <c r="S118" s="36">
        <v>14300.0</v>
      </c>
      <c r="T118" s="199">
        <v>0.0</v>
      </c>
      <c r="U118" s="136">
        <v>14300.0</v>
      </c>
      <c r="V118" s="36">
        <v>28600.0</v>
      </c>
      <c r="W118" s="129" t="s">
        <v>1161</v>
      </c>
      <c r="X118" s="129" t="s">
        <v>1146</v>
      </c>
      <c r="Y118" s="129" t="s">
        <v>1069</v>
      </c>
      <c r="Z118" s="15"/>
      <c r="AA118" s="15"/>
      <c r="AB118" s="201"/>
      <c r="AC118" s="202"/>
      <c r="AD118" s="31" t="s">
        <v>1162</v>
      </c>
      <c r="AE118" s="83"/>
      <c r="AF118" s="83"/>
      <c r="AG118" s="83"/>
      <c r="AH118" s="83"/>
      <c r="AI118" s="83"/>
      <c r="AJ118" s="83"/>
      <c r="AK118" s="83"/>
      <c r="AL118" s="83"/>
    </row>
    <row r="119">
      <c r="A119" s="120" t="s">
        <v>35</v>
      </c>
      <c r="B119" s="132" t="s">
        <v>1163</v>
      </c>
      <c r="C119" s="121" t="str">
        <f>IFERROR(__xludf.DUMMYFUNCTION("""COMPUTED_VALUE"""),"內湖秘境")</f>
        <v>內湖秘境</v>
      </c>
      <c r="D119" s="121" t="str">
        <f>IFERROR(__xludf.DUMMYFUNCTION("""COMPUTED_VALUE"""),"F")</f>
        <v>F</v>
      </c>
      <c r="E119" s="132" t="s">
        <v>733</v>
      </c>
      <c r="F119" s="122" t="str">
        <f>IFERROR(__xludf.DUMMYFUNCTION("""COMPUTED_VALUE"""),"楊芯岳")</f>
        <v>楊芯岳</v>
      </c>
      <c r="G119" s="196" t="s">
        <v>640</v>
      </c>
      <c r="H119" s="31" t="s">
        <v>630</v>
      </c>
      <c r="I119" s="31" t="s">
        <v>630</v>
      </c>
      <c r="J119" s="31" t="s">
        <v>631</v>
      </c>
      <c r="K119" s="31" t="s">
        <v>647</v>
      </c>
      <c r="L119" s="197">
        <v>45822.0</v>
      </c>
      <c r="M119" s="197">
        <v>45839.0</v>
      </c>
      <c r="N119" s="198">
        <v>46203.0</v>
      </c>
      <c r="O119" s="161">
        <v>46082.0</v>
      </c>
      <c r="P119" s="198">
        <v>46174.0</v>
      </c>
      <c r="Q119" s="125">
        <v>365.0</v>
      </c>
      <c r="R119" s="36">
        <v>13500.0</v>
      </c>
      <c r="S119" s="36">
        <v>13500.0</v>
      </c>
      <c r="T119" s="199">
        <v>0.0</v>
      </c>
      <c r="U119" s="136">
        <v>13500.0</v>
      </c>
      <c r="V119" s="36">
        <v>27000.0</v>
      </c>
      <c r="W119" s="129" t="s">
        <v>1164</v>
      </c>
      <c r="X119" s="129" t="s">
        <v>1165</v>
      </c>
      <c r="Y119" s="129" t="s">
        <v>1069</v>
      </c>
      <c r="Z119" s="15"/>
      <c r="AA119" s="15"/>
      <c r="AB119" s="205">
        <v>30.0</v>
      </c>
      <c r="AC119" s="206">
        <v>0.0</v>
      </c>
      <c r="AD119" s="15"/>
      <c r="AE119" s="83"/>
      <c r="AF119" s="83"/>
      <c r="AG119" s="83"/>
      <c r="AH119" s="83"/>
      <c r="AI119" s="83"/>
      <c r="AJ119" s="83"/>
      <c r="AK119" s="83"/>
      <c r="AL119" s="83"/>
    </row>
    <row r="120">
      <c r="A120" s="120" t="s">
        <v>73</v>
      </c>
      <c r="B120" s="132" t="s">
        <v>1166</v>
      </c>
      <c r="C120" s="121" t="str">
        <f>IFERROR(__xludf.DUMMYFUNCTION("""COMPUTED_VALUE"""),"北醫醫師府")</f>
        <v>北醫醫師府</v>
      </c>
      <c r="D120" s="121" t="str">
        <f>IFERROR(__xludf.DUMMYFUNCTION("""COMPUTED_VALUE"""),"D")</f>
        <v>D</v>
      </c>
      <c r="E120" s="132" t="s">
        <v>1167</v>
      </c>
      <c r="F120" s="122" t="str">
        <f>IFERROR(__xludf.DUMMYFUNCTION("""COMPUTED_VALUE"""),"吳宥辰")</f>
        <v>吳宥辰</v>
      </c>
      <c r="G120" s="196" t="s">
        <v>640</v>
      </c>
      <c r="H120" s="31" t="s">
        <v>630</v>
      </c>
      <c r="I120" s="31" t="s">
        <v>630</v>
      </c>
      <c r="J120" s="31" t="s">
        <v>631</v>
      </c>
      <c r="K120" s="31" t="s">
        <v>647</v>
      </c>
      <c r="L120" s="197">
        <v>45827.0</v>
      </c>
      <c r="M120" s="197">
        <v>45839.0</v>
      </c>
      <c r="N120" s="198">
        <v>46203.0</v>
      </c>
      <c r="O120" s="161">
        <v>46082.0</v>
      </c>
      <c r="P120" s="198">
        <v>46174.0</v>
      </c>
      <c r="Q120" s="125">
        <v>365.0</v>
      </c>
      <c r="R120" s="36">
        <v>12000.0</v>
      </c>
      <c r="S120" s="36">
        <v>12000.0</v>
      </c>
      <c r="T120" s="199">
        <v>0.0</v>
      </c>
      <c r="U120" s="136">
        <v>12000.0</v>
      </c>
      <c r="V120" s="36">
        <v>24000.0</v>
      </c>
      <c r="W120" s="129" t="s">
        <v>768</v>
      </c>
      <c r="X120" s="129" t="s">
        <v>1165</v>
      </c>
      <c r="Y120" s="129" t="s">
        <v>1069</v>
      </c>
      <c r="Z120" s="15"/>
      <c r="AA120" s="15"/>
      <c r="AB120" s="205">
        <v>30.0</v>
      </c>
      <c r="AC120" s="206">
        <v>0.0</v>
      </c>
      <c r="AD120" s="31" t="s">
        <v>1168</v>
      </c>
      <c r="AE120" s="83"/>
      <c r="AF120" s="83"/>
      <c r="AG120" s="83"/>
      <c r="AH120" s="83"/>
      <c r="AI120" s="83"/>
      <c r="AJ120" s="83"/>
      <c r="AK120" s="83"/>
      <c r="AL120" s="83"/>
    </row>
    <row r="121">
      <c r="A121" s="120" t="s">
        <v>215</v>
      </c>
      <c r="B121" s="132" t="s">
        <v>1169</v>
      </c>
      <c r="C121" s="121" t="str">
        <f>IFERROR(__xludf.DUMMYFUNCTION("""COMPUTED_VALUE"""),"內湖CityLink")</f>
        <v>內湖CityLink</v>
      </c>
      <c r="D121" s="121" t="str">
        <f>IFERROR(__xludf.DUMMYFUNCTION("""COMPUTED_VALUE"""),"C")</f>
        <v>C</v>
      </c>
      <c r="E121" s="132" t="s">
        <v>1170</v>
      </c>
      <c r="F121" s="122" t="str">
        <f>IFERROR(__xludf.DUMMYFUNCTION("""COMPUTED_VALUE"""),"汪建豪")</f>
        <v>汪建豪</v>
      </c>
      <c r="G121" s="196" t="s">
        <v>640</v>
      </c>
      <c r="H121" s="31" t="s">
        <v>630</v>
      </c>
      <c r="I121" s="31" t="s">
        <v>630</v>
      </c>
      <c r="J121" s="31" t="s">
        <v>631</v>
      </c>
      <c r="K121" s="31" t="s">
        <v>647</v>
      </c>
      <c r="L121" s="197">
        <v>45826.0</v>
      </c>
      <c r="M121" s="197">
        <v>45829.0</v>
      </c>
      <c r="N121" s="198">
        <v>46234.0</v>
      </c>
      <c r="O121" s="161">
        <v>46082.0</v>
      </c>
      <c r="P121" s="198">
        <v>46204.0</v>
      </c>
      <c r="Q121" s="125">
        <v>406.0</v>
      </c>
      <c r="R121" s="36">
        <v>12500.0</v>
      </c>
      <c r="S121" s="36">
        <v>12500.0</v>
      </c>
      <c r="T121" s="199">
        <v>0.0</v>
      </c>
      <c r="U121" s="136">
        <v>12500.0</v>
      </c>
      <c r="V121" s="36">
        <v>25000.0</v>
      </c>
      <c r="W121" s="129" t="s">
        <v>1171</v>
      </c>
      <c r="X121" s="129" t="s">
        <v>1172</v>
      </c>
      <c r="Y121" s="129" t="s">
        <v>1150</v>
      </c>
      <c r="Z121" s="15"/>
      <c r="AA121" s="15"/>
      <c r="AB121" s="205">
        <v>11.0</v>
      </c>
      <c r="AC121" s="206" t="e">
        <v>#REF!</v>
      </c>
      <c r="AD121" s="31" t="s">
        <v>1173</v>
      </c>
      <c r="AE121" s="83"/>
      <c r="AF121" s="83"/>
      <c r="AG121" s="83"/>
      <c r="AH121" s="83"/>
      <c r="AI121" s="83"/>
      <c r="AJ121" s="83"/>
      <c r="AK121" s="83"/>
      <c r="AL121" s="83"/>
    </row>
    <row r="122">
      <c r="A122" s="120" t="s">
        <v>88</v>
      </c>
      <c r="B122" s="132" t="s">
        <v>1174</v>
      </c>
      <c r="C122" s="121" t="str">
        <f>IFERROR(__xludf.DUMMYFUNCTION("""COMPUTED_VALUE"""),"大湖山莊")</f>
        <v>大湖山莊</v>
      </c>
      <c r="D122" s="121" t="str">
        <f>IFERROR(__xludf.DUMMYFUNCTION("""COMPUTED_VALUE"""),"C")</f>
        <v>C</v>
      </c>
      <c r="E122" s="132" t="s">
        <v>884</v>
      </c>
      <c r="F122" s="122" t="str">
        <f>IFERROR(__xludf.DUMMYFUNCTION("""COMPUTED_VALUE"""),"姚伯謙")</f>
        <v>姚伯謙</v>
      </c>
      <c r="G122" s="196" t="s">
        <v>640</v>
      </c>
      <c r="H122" s="31" t="s">
        <v>630</v>
      </c>
      <c r="I122" s="31" t="s">
        <v>630</v>
      </c>
      <c r="J122" s="31" t="s">
        <v>631</v>
      </c>
      <c r="K122" s="31" t="s">
        <v>647</v>
      </c>
      <c r="L122" s="197">
        <v>45807.0</v>
      </c>
      <c r="M122" s="197">
        <v>45839.0</v>
      </c>
      <c r="N122" s="198">
        <v>46203.0</v>
      </c>
      <c r="O122" s="161">
        <v>46082.0</v>
      </c>
      <c r="P122" s="198">
        <v>46174.0</v>
      </c>
      <c r="Q122" s="125">
        <v>365.0</v>
      </c>
      <c r="R122" s="36">
        <v>18800.0</v>
      </c>
      <c r="S122" s="36">
        <v>18800.0</v>
      </c>
      <c r="T122" s="199">
        <v>0.0</v>
      </c>
      <c r="U122" s="136">
        <v>18800.0</v>
      </c>
      <c r="V122" s="36">
        <v>37600.0</v>
      </c>
      <c r="W122" s="129" t="s">
        <v>1175</v>
      </c>
      <c r="X122" s="129" t="s">
        <v>1165</v>
      </c>
      <c r="Y122" s="129" t="s">
        <v>1069</v>
      </c>
      <c r="Z122" s="15"/>
      <c r="AA122" s="15"/>
      <c r="AB122" s="205">
        <v>30.0</v>
      </c>
      <c r="AC122" s="206" t="e">
        <v>#REF!</v>
      </c>
      <c r="AD122" s="31" t="s">
        <v>1176</v>
      </c>
      <c r="AE122" s="83"/>
      <c r="AF122" s="83"/>
      <c r="AG122" s="83"/>
      <c r="AH122" s="83"/>
      <c r="AI122" s="83"/>
      <c r="AJ122" s="83"/>
      <c r="AK122" s="83"/>
      <c r="AL122" s="83"/>
    </row>
    <row r="123">
      <c r="A123" s="120" t="s">
        <v>105</v>
      </c>
      <c r="B123" s="132" t="s">
        <v>1177</v>
      </c>
      <c r="C123" s="121" t="str">
        <f>IFERROR(__xludf.DUMMYFUNCTION("""COMPUTED_VALUE"""),"士林和豐")</f>
        <v>士林和豐</v>
      </c>
      <c r="D123" s="121" t="str">
        <f>IFERROR(__xludf.DUMMYFUNCTION("""COMPUTED_VALUE"""),"C")</f>
        <v>C</v>
      </c>
      <c r="E123" s="132" t="s">
        <v>1178</v>
      </c>
      <c r="F123" s="122" t="str">
        <f>IFERROR(__xludf.DUMMYFUNCTION("""COMPUTED_VALUE"""),"敖啟恒")</f>
        <v>敖啟恒</v>
      </c>
      <c r="G123" s="196" t="s">
        <v>640</v>
      </c>
      <c r="H123" s="31" t="s">
        <v>630</v>
      </c>
      <c r="I123" s="31" t="s">
        <v>630</v>
      </c>
      <c r="J123" s="31" t="s">
        <v>631</v>
      </c>
      <c r="K123" s="31" t="s">
        <v>647</v>
      </c>
      <c r="L123" s="197">
        <v>45828.0</v>
      </c>
      <c r="M123" s="197">
        <v>45836.0</v>
      </c>
      <c r="N123" s="198">
        <v>46234.0</v>
      </c>
      <c r="O123" s="161">
        <v>46082.0</v>
      </c>
      <c r="P123" s="198">
        <v>46204.0</v>
      </c>
      <c r="Q123" s="125">
        <v>399.0</v>
      </c>
      <c r="R123" s="36">
        <v>13000.0</v>
      </c>
      <c r="S123" s="36">
        <v>13000.0</v>
      </c>
      <c r="T123" s="199"/>
      <c r="U123" s="136"/>
      <c r="V123" s="36">
        <v>26000.0</v>
      </c>
      <c r="W123" s="129" t="s">
        <v>773</v>
      </c>
      <c r="X123" s="129" t="s">
        <v>1179</v>
      </c>
      <c r="Y123" s="129" t="s">
        <v>1150</v>
      </c>
      <c r="Z123" s="15"/>
      <c r="AA123" s="15"/>
      <c r="AB123" s="205">
        <v>4.0</v>
      </c>
      <c r="AC123" s="206" t="e">
        <v>#REF!</v>
      </c>
      <c r="AD123" s="31" t="s">
        <v>1180</v>
      </c>
      <c r="AE123" s="83"/>
      <c r="AF123" s="83"/>
      <c r="AG123" s="83"/>
      <c r="AH123" s="83"/>
      <c r="AI123" s="83"/>
      <c r="AJ123" s="83"/>
      <c r="AK123" s="83"/>
      <c r="AL123" s="83"/>
    </row>
    <row r="124">
      <c r="A124" s="120" t="s">
        <v>44</v>
      </c>
      <c r="B124" s="132" t="s">
        <v>1181</v>
      </c>
      <c r="C124" s="121" t="str">
        <f>IFERROR(__xludf.DUMMYFUNCTION("""COMPUTED_VALUE"""),"龍江229")</f>
        <v>龍江229</v>
      </c>
      <c r="D124" s="121" t="str">
        <f>IFERROR(__xludf.DUMMYFUNCTION("""COMPUTED_VALUE"""),"B")</f>
        <v>B</v>
      </c>
      <c r="E124" s="132" t="s">
        <v>1182</v>
      </c>
      <c r="F124" s="122" t="str">
        <f>IFERROR(__xludf.DUMMYFUNCTION("""COMPUTED_VALUE"""),"涂維妮")</f>
        <v>涂維妮</v>
      </c>
      <c r="G124" s="196" t="s">
        <v>640</v>
      </c>
      <c r="H124" s="31" t="s">
        <v>630</v>
      </c>
      <c r="I124" s="31" t="s">
        <v>630</v>
      </c>
      <c r="J124" s="31" t="s">
        <v>631</v>
      </c>
      <c r="K124" s="31" t="s">
        <v>647</v>
      </c>
      <c r="L124" s="197">
        <v>45813.0</v>
      </c>
      <c r="M124" s="197">
        <v>45815.0</v>
      </c>
      <c r="N124" s="198">
        <v>46234.0</v>
      </c>
      <c r="O124" s="161">
        <v>46082.0</v>
      </c>
      <c r="P124" s="198">
        <v>46204.0</v>
      </c>
      <c r="Q124" s="125">
        <v>420.0</v>
      </c>
      <c r="R124" s="36">
        <v>13500.0</v>
      </c>
      <c r="S124" s="36">
        <v>13500.0</v>
      </c>
      <c r="T124" s="199">
        <v>0.0</v>
      </c>
      <c r="U124" s="136">
        <v>13500.0</v>
      </c>
      <c r="V124" s="36">
        <v>27000.0</v>
      </c>
      <c r="W124" s="129" t="s">
        <v>1183</v>
      </c>
      <c r="X124" s="129" t="s">
        <v>1184</v>
      </c>
      <c r="Y124" s="129" t="s">
        <v>1150</v>
      </c>
      <c r="Z124" s="15"/>
      <c r="AA124" s="15"/>
      <c r="AB124" s="205">
        <v>25.0</v>
      </c>
      <c r="AC124" s="206" t="e">
        <v>#REF!</v>
      </c>
      <c r="AD124" s="31" t="s">
        <v>1185</v>
      </c>
      <c r="AE124" s="83"/>
      <c r="AF124" s="83"/>
      <c r="AG124" s="83"/>
      <c r="AH124" s="83"/>
      <c r="AI124" s="83"/>
      <c r="AJ124" s="83"/>
      <c r="AK124" s="83"/>
      <c r="AL124" s="83"/>
    </row>
    <row r="125">
      <c r="A125" s="120" t="s">
        <v>208</v>
      </c>
      <c r="B125" s="132" t="s">
        <v>1186</v>
      </c>
      <c r="C125" s="121" t="str">
        <f>IFERROR(__xludf.DUMMYFUNCTION("""COMPUTED_VALUE"""),"內湖CityLink")</f>
        <v>內湖CityLink</v>
      </c>
      <c r="D125" s="121" t="str">
        <f>IFERROR(__xludf.DUMMYFUNCTION("""COMPUTED_VALUE"""),"A")</f>
        <v>A</v>
      </c>
      <c r="E125" s="132" t="s">
        <v>1187</v>
      </c>
      <c r="F125" s="122" t="str">
        <f>IFERROR(__xludf.DUMMYFUNCTION("""COMPUTED_VALUE"""),"陳昕湄")</f>
        <v>陳昕湄</v>
      </c>
      <c r="G125" s="196" t="s">
        <v>640</v>
      </c>
      <c r="H125" s="31" t="s">
        <v>630</v>
      </c>
      <c r="I125" s="31" t="s">
        <v>630</v>
      </c>
      <c r="J125" s="31" t="s">
        <v>631</v>
      </c>
      <c r="K125" s="31" t="s">
        <v>647</v>
      </c>
      <c r="L125" s="197">
        <v>45832.0</v>
      </c>
      <c r="M125" s="197">
        <v>45835.0</v>
      </c>
      <c r="N125" s="198">
        <v>46234.0</v>
      </c>
      <c r="O125" s="161">
        <v>46082.0</v>
      </c>
      <c r="P125" s="198">
        <v>46204.0</v>
      </c>
      <c r="Q125" s="125">
        <v>400.0</v>
      </c>
      <c r="R125" s="36">
        <v>14800.0</v>
      </c>
      <c r="S125" s="36">
        <v>14800.0</v>
      </c>
      <c r="T125" s="199">
        <v>0.0</v>
      </c>
      <c r="U125" s="136">
        <v>14800.0</v>
      </c>
      <c r="V125" s="36">
        <v>29600.0</v>
      </c>
      <c r="W125" s="129" t="s">
        <v>1188</v>
      </c>
      <c r="X125" s="129" t="s">
        <v>1189</v>
      </c>
      <c r="Y125" s="129" t="s">
        <v>1150</v>
      </c>
      <c r="Z125" s="15"/>
      <c r="AA125" s="15"/>
      <c r="AB125" s="205">
        <v>5.0</v>
      </c>
      <c r="AC125" s="206" t="e">
        <v>#REF!</v>
      </c>
      <c r="AD125" s="31" t="s">
        <v>1190</v>
      </c>
      <c r="AE125" s="83"/>
      <c r="AF125" s="83"/>
      <c r="AG125" s="83"/>
      <c r="AH125" s="83"/>
      <c r="AI125" s="83"/>
      <c r="AJ125" s="83"/>
      <c r="AK125" s="83"/>
      <c r="AL125" s="83"/>
    </row>
    <row r="126">
      <c r="A126" s="120" t="s">
        <v>55</v>
      </c>
      <c r="B126" s="132" t="s">
        <v>1191</v>
      </c>
      <c r="C126" s="121" t="str">
        <f>IFERROR(__xludf.DUMMYFUNCTION("""COMPUTED_VALUE"""),"哈拉對面")</f>
        <v>哈拉對面</v>
      </c>
      <c r="D126" s="121" t="str">
        <f>IFERROR(__xludf.DUMMYFUNCTION("""COMPUTED_VALUE"""),"A")</f>
        <v>A</v>
      </c>
      <c r="E126" s="132" t="s">
        <v>1192</v>
      </c>
      <c r="F126" s="122" t="str">
        <f>IFERROR(__xludf.DUMMYFUNCTION("""COMPUTED_VALUE"""),"何丞翊")</f>
        <v>何丞翊</v>
      </c>
      <c r="G126" s="196" t="s">
        <v>640</v>
      </c>
      <c r="H126" s="31" t="s">
        <v>630</v>
      </c>
      <c r="I126" s="31" t="s">
        <v>630</v>
      </c>
      <c r="J126" s="31" t="s">
        <v>631</v>
      </c>
      <c r="K126" s="31" t="s">
        <v>647</v>
      </c>
      <c r="L126" s="197">
        <v>45840.0</v>
      </c>
      <c r="M126" s="197">
        <v>45843.0</v>
      </c>
      <c r="N126" s="198">
        <v>46234.0</v>
      </c>
      <c r="O126" s="161">
        <v>46082.0</v>
      </c>
      <c r="P126" s="198">
        <v>46204.0</v>
      </c>
      <c r="Q126" s="125">
        <v>392.0</v>
      </c>
      <c r="R126" s="36">
        <v>11000.0</v>
      </c>
      <c r="S126" s="36">
        <v>11000.0</v>
      </c>
      <c r="T126" s="199">
        <v>0.0</v>
      </c>
      <c r="U126" s="136">
        <v>11000.0</v>
      </c>
      <c r="V126" s="36">
        <v>22000.0</v>
      </c>
      <c r="W126" s="129" t="s">
        <v>1193</v>
      </c>
      <c r="X126" s="129" t="s">
        <v>1194</v>
      </c>
      <c r="Y126" s="129" t="s">
        <v>1150</v>
      </c>
      <c r="Z126" s="15"/>
      <c r="AA126" s="15"/>
      <c r="AB126" s="205">
        <v>27.0</v>
      </c>
      <c r="AC126" s="206" t="e">
        <v>#REF!</v>
      </c>
      <c r="AD126" s="31" t="s">
        <v>1195</v>
      </c>
      <c r="AE126" s="83"/>
      <c r="AF126" s="83"/>
      <c r="AG126" s="83"/>
      <c r="AH126" s="83"/>
      <c r="AI126" s="83"/>
      <c r="AJ126" s="83"/>
      <c r="AK126" s="83"/>
      <c r="AL126" s="83"/>
    </row>
    <row r="127">
      <c r="A127" s="120" t="s">
        <v>102</v>
      </c>
      <c r="B127" s="132" t="s">
        <v>1196</v>
      </c>
      <c r="C127" s="121" t="str">
        <f>IFERROR(__xludf.DUMMYFUNCTION("""COMPUTED_VALUE"""),"士林和豐")</f>
        <v>士林和豐</v>
      </c>
      <c r="D127" s="121" t="str">
        <f>IFERROR(__xludf.DUMMYFUNCTION("""COMPUTED_VALUE"""),"B")</f>
        <v>B</v>
      </c>
      <c r="E127" s="132" t="s">
        <v>1197</v>
      </c>
      <c r="F127" s="122" t="str">
        <f>IFERROR(__xludf.DUMMYFUNCTION("""COMPUTED_VALUE"""),"劉宗霖")</f>
        <v>劉宗霖</v>
      </c>
      <c r="G127" s="196" t="s">
        <v>640</v>
      </c>
      <c r="H127" s="31" t="s">
        <v>630</v>
      </c>
      <c r="I127" s="31" t="s">
        <v>630</v>
      </c>
      <c r="J127" s="31" t="s">
        <v>631</v>
      </c>
      <c r="K127" s="31" t="s">
        <v>647</v>
      </c>
      <c r="L127" s="197">
        <v>45834.0</v>
      </c>
      <c r="M127" s="197">
        <v>45847.0</v>
      </c>
      <c r="N127" s="198">
        <v>46234.0</v>
      </c>
      <c r="O127" s="161">
        <v>46082.0</v>
      </c>
      <c r="P127" s="198">
        <v>46204.0</v>
      </c>
      <c r="Q127" s="125">
        <v>388.0</v>
      </c>
      <c r="R127" s="36">
        <v>13500.0</v>
      </c>
      <c r="S127" s="36">
        <v>13500.0</v>
      </c>
      <c r="T127" s="199">
        <v>0.0</v>
      </c>
      <c r="U127" s="136">
        <v>13500.0</v>
      </c>
      <c r="V127" s="36">
        <v>27000.0</v>
      </c>
      <c r="W127" s="129" t="s">
        <v>1198</v>
      </c>
      <c r="X127" s="129" t="s">
        <v>1199</v>
      </c>
      <c r="Y127" s="129" t="s">
        <v>1150</v>
      </c>
      <c r="Z127" s="15"/>
      <c r="AA127" s="15"/>
      <c r="AB127" s="205">
        <v>23.0</v>
      </c>
      <c r="AC127" s="206" t="e">
        <v>#REF!</v>
      </c>
      <c r="AD127" s="31" t="s">
        <v>1200</v>
      </c>
      <c r="AE127" s="83"/>
      <c r="AF127" s="83"/>
      <c r="AG127" s="83"/>
      <c r="AH127" s="83"/>
      <c r="AI127" s="83"/>
      <c r="AJ127" s="83"/>
      <c r="AK127" s="83"/>
      <c r="AL127" s="83"/>
    </row>
    <row r="128">
      <c r="A128" s="120" t="s">
        <v>212</v>
      </c>
      <c r="B128" s="132" t="s">
        <v>1201</v>
      </c>
      <c r="C128" s="121" t="str">
        <f>IFERROR(__xludf.DUMMYFUNCTION("""COMPUTED_VALUE"""),"內湖CityLink")</f>
        <v>內湖CityLink</v>
      </c>
      <c r="D128" s="121" t="str">
        <f>IFERROR(__xludf.DUMMYFUNCTION("""COMPUTED_VALUE"""),"B")</f>
        <v>B</v>
      </c>
      <c r="E128" s="132" t="s">
        <v>1202</v>
      </c>
      <c r="F128" s="122" t="str">
        <f>IFERROR(__xludf.DUMMYFUNCTION("""COMPUTED_VALUE"""),"蔡善安")</f>
        <v>蔡善安</v>
      </c>
      <c r="G128" s="196" t="s">
        <v>640</v>
      </c>
      <c r="H128" s="31" t="s">
        <v>630</v>
      </c>
      <c r="I128" s="31" t="s">
        <v>630</v>
      </c>
      <c r="J128" s="31" t="s">
        <v>631</v>
      </c>
      <c r="K128" s="31" t="s">
        <v>647</v>
      </c>
      <c r="L128" s="197">
        <v>45837.0</v>
      </c>
      <c r="M128" s="197">
        <v>45839.0</v>
      </c>
      <c r="N128" s="198">
        <v>46234.0</v>
      </c>
      <c r="O128" s="161">
        <v>46054.0</v>
      </c>
      <c r="P128" s="198">
        <v>46204.0</v>
      </c>
      <c r="Q128" s="125">
        <v>396.0</v>
      </c>
      <c r="R128" s="36">
        <v>12000.0</v>
      </c>
      <c r="S128" s="36">
        <v>12000.0</v>
      </c>
      <c r="T128" s="199"/>
      <c r="U128" s="136"/>
      <c r="V128" s="36">
        <v>24000.0</v>
      </c>
      <c r="W128" s="129" t="s">
        <v>1203</v>
      </c>
      <c r="X128" s="129" t="s">
        <v>1165</v>
      </c>
      <c r="Y128" s="129" t="s">
        <v>1150</v>
      </c>
      <c r="Z128" s="15"/>
      <c r="AA128" s="15"/>
      <c r="AB128" s="205">
        <v>31.0</v>
      </c>
      <c r="AC128" s="206" t="e">
        <v>#REF!</v>
      </c>
      <c r="AD128" s="31" t="s">
        <v>1204</v>
      </c>
      <c r="AE128" s="83"/>
      <c r="AF128" s="83"/>
      <c r="AG128" s="83"/>
      <c r="AH128" s="83"/>
      <c r="AI128" s="83"/>
      <c r="AJ128" s="83"/>
      <c r="AK128" s="83"/>
      <c r="AL128" s="83"/>
    </row>
    <row r="129" hidden="1">
      <c r="A129" s="120" t="s">
        <v>218</v>
      </c>
      <c r="B129" s="132" t="s">
        <v>1205</v>
      </c>
      <c r="C129" s="121" t="str">
        <f>IFERROR(__xludf.DUMMYFUNCTION("""COMPUTED_VALUE"""),"內湖CityLink")</f>
        <v>內湖CityLink</v>
      </c>
      <c r="D129" s="121" t="str">
        <f>IFERROR(__xludf.DUMMYFUNCTION("""COMPUTED_VALUE"""),"D")</f>
        <v>D</v>
      </c>
      <c r="E129" s="132" t="s">
        <v>1206</v>
      </c>
      <c r="F129" s="122" t="str">
        <f>IFERROR(__xludf.DUMMYFUNCTION("""COMPUTED_VALUE"""),"王紹綺")</f>
        <v>王紹綺</v>
      </c>
      <c r="G129" s="196" t="s">
        <v>629</v>
      </c>
      <c r="H129" s="31" t="s">
        <v>630</v>
      </c>
      <c r="I129" s="31" t="s">
        <v>630</v>
      </c>
      <c r="J129" s="31" t="s">
        <v>631</v>
      </c>
      <c r="K129" s="31" t="s">
        <v>647</v>
      </c>
      <c r="L129" s="197">
        <v>45831.0</v>
      </c>
      <c r="M129" s="197">
        <v>45849.0</v>
      </c>
      <c r="N129" s="198">
        <v>46018.0</v>
      </c>
      <c r="O129" s="161">
        <v>46023.0</v>
      </c>
      <c r="P129" s="198">
        <v>46174.0</v>
      </c>
      <c r="Q129" s="125">
        <v>170.0</v>
      </c>
      <c r="R129" s="36">
        <v>12500.0</v>
      </c>
      <c r="S129" s="36">
        <v>12500.0</v>
      </c>
      <c r="T129" s="199"/>
      <c r="U129" s="128"/>
      <c r="V129" s="36">
        <v>25000.0</v>
      </c>
      <c r="W129" s="129" t="s">
        <v>1207</v>
      </c>
      <c r="X129" s="129" t="s">
        <v>1208</v>
      </c>
      <c r="Y129" s="129" t="s">
        <v>1209</v>
      </c>
      <c r="Z129" s="15"/>
      <c r="AA129" s="15"/>
      <c r="AB129" s="205">
        <v>2.0</v>
      </c>
      <c r="AC129" s="206" t="e">
        <v>#REF!</v>
      </c>
      <c r="AD129" s="31" t="s">
        <v>1210</v>
      </c>
      <c r="AE129" s="83"/>
      <c r="AF129" s="83"/>
      <c r="AG129" s="83"/>
      <c r="AH129" s="31" t="s">
        <v>1211</v>
      </c>
      <c r="AI129" s="83"/>
      <c r="AJ129" s="83"/>
      <c r="AK129" s="83"/>
      <c r="AL129" s="83"/>
    </row>
    <row r="130">
      <c r="A130" s="120" t="s">
        <v>92</v>
      </c>
      <c r="B130" s="132" t="s">
        <v>1212</v>
      </c>
      <c r="C130" s="121" t="str">
        <f>IFERROR(__xludf.DUMMYFUNCTION("""COMPUTED_VALUE"""),"大湖山莊")</f>
        <v>大湖山莊</v>
      </c>
      <c r="D130" s="121" t="str">
        <f>IFERROR(__xludf.DUMMYFUNCTION("""COMPUTED_VALUE"""),"E")</f>
        <v>E</v>
      </c>
      <c r="E130" s="132" t="s">
        <v>1213</v>
      </c>
      <c r="F130" s="122" t="str">
        <f>IFERROR(__xludf.DUMMYFUNCTION("""COMPUTED_VALUE"""),"吳宗祐")</f>
        <v>吳宗祐</v>
      </c>
      <c r="G130" s="196" t="s">
        <v>640</v>
      </c>
      <c r="H130" s="31" t="s">
        <v>630</v>
      </c>
      <c r="I130" s="31" t="s">
        <v>630</v>
      </c>
      <c r="J130" s="31" t="s">
        <v>631</v>
      </c>
      <c r="K130" s="31" t="s">
        <v>647</v>
      </c>
      <c r="L130" s="197">
        <v>45838.0</v>
      </c>
      <c r="M130" s="197">
        <v>45850.0</v>
      </c>
      <c r="N130" s="198">
        <v>46234.0</v>
      </c>
      <c r="O130" s="161">
        <v>46082.0</v>
      </c>
      <c r="P130" s="198">
        <v>46204.0</v>
      </c>
      <c r="Q130" s="125">
        <v>385.0</v>
      </c>
      <c r="R130" s="36">
        <v>11500.0</v>
      </c>
      <c r="S130" s="36">
        <v>11500.0</v>
      </c>
      <c r="T130" s="199">
        <v>0.0</v>
      </c>
      <c r="U130" s="136">
        <v>11500.0</v>
      </c>
      <c r="V130" s="36">
        <v>23000.0</v>
      </c>
      <c r="W130" s="129" t="s">
        <v>736</v>
      </c>
      <c r="X130" s="129" t="s">
        <v>1214</v>
      </c>
      <c r="Y130" s="129" t="s">
        <v>1150</v>
      </c>
      <c r="Z130" s="15"/>
      <c r="AA130" s="15"/>
      <c r="AB130" s="205">
        <v>20.0</v>
      </c>
      <c r="AC130" s="206" t="e">
        <v>#REF!</v>
      </c>
      <c r="AD130" s="31" t="s">
        <v>1215</v>
      </c>
      <c r="AE130" s="83"/>
      <c r="AF130" s="83"/>
      <c r="AG130" s="83"/>
      <c r="AH130" s="83"/>
      <c r="AI130" s="83"/>
      <c r="AJ130" s="83"/>
      <c r="AK130" s="83"/>
      <c r="AL130" s="83"/>
    </row>
    <row r="131">
      <c r="A131" s="120" t="s">
        <v>224</v>
      </c>
      <c r="B131" s="132" t="s">
        <v>1216</v>
      </c>
      <c r="C131" s="121" t="str">
        <f>IFERROR(__xludf.DUMMYFUNCTION("""COMPUTED_VALUE"""),"內湖CityLink")</f>
        <v>內湖CityLink</v>
      </c>
      <c r="D131" s="121" t="str">
        <f>IFERROR(__xludf.DUMMYFUNCTION("""COMPUTED_VALUE"""),"F")</f>
        <v>F</v>
      </c>
      <c r="E131" s="132" t="s">
        <v>1217</v>
      </c>
      <c r="F131" s="122" t="str">
        <f>IFERROR(__xludf.DUMMYFUNCTION("""COMPUTED_VALUE"""),"Ardian Umam")</f>
        <v>Ardian Umam</v>
      </c>
      <c r="G131" s="196" t="s">
        <v>640</v>
      </c>
      <c r="H131" s="31" t="s">
        <v>630</v>
      </c>
      <c r="I131" s="31" t="s">
        <v>630</v>
      </c>
      <c r="J131" s="31" t="s">
        <v>631</v>
      </c>
      <c r="K131" s="31" t="s">
        <v>647</v>
      </c>
      <c r="L131" s="197">
        <v>45831.0</v>
      </c>
      <c r="M131" s="197">
        <v>45836.0</v>
      </c>
      <c r="N131" s="198">
        <v>46203.0</v>
      </c>
      <c r="O131" s="161">
        <v>46082.0</v>
      </c>
      <c r="P131" s="198">
        <v>46174.0</v>
      </c>
      <c r="Q131" s="125">
        <v>368.0</v>
      </c>
      <c r="R131" s="36">
        <v>13300.0</v>
      </c>
      <c r="S131" s="36">
        <v>13300.0</v>
      </c>
      <c r="T131" s="199">
        <v>0.0</v>
      </c>
      <c r="U131" s="136">
        <v>13300.0</v>
      </c>
      <c r="V131" s="36">
        <v>26600.0</v>
      </c>
      <c r="W131" s="129" t="s">
        <v>1207</v>
      </c>
      <c r="X131" s="129" t="s">
        <v>1179</v>
      </c>
      <c r="Y131" s="129" t="s">
        <v>1069</v>
      </c>
      <c r="Z131" s="15"/>
      <c r="AA131" s="15"/>
      <c r="AB131" s="205">
        <v>3.0</v>
      </c>
      <c r="AC131" s="206" t="e">
        <v>#REF!</v>
      </c>
      <c r="AD131" s="31" t="s">
        <v>1218</v>
      </c>
      <c r="AE131" s="83"/>
      <c r="AF131" s="83"/>
      <c r="AG131" s="83"/>
      <c r="AH131" s="83"/>
      <c r="AI131" s="83"/>
      <c r="AJ131" s="83"/>
      <c r="AK131" s="83"/>
      <c r="AL131" s="83"/>
    </row>
    <row r="132">
      <c r="A132" s="120" t="s">
        <v>74</v>
      </c>
      <c r="B132" s="132" t="s">
        <v>1219</v>
      </c>
      <c r="C132" s="121" t="str">
        <f>IFERROR(__xludf.DUMMYFUNCTION("""COMPUTED_VALUE"""),"北醫醫師府")</f>
        <v>北醫醫師府</v>
      </c>
      <c r="D132" s="121" t="str">
        <f>IFERROR(__xludf.DUMMYFUNCTION("""COMPUTED_VALUE"""),"E")</f>
        <v>E</v>
      </c>
      <c r="E132" s="132" t="s">
        <v>1220</v>
      </c>
      <c r="F132" s="122" t="str">
        <f>IFERROR(__xludf.DUMMYFUNCTION("""COMPUTED_VALUE"""),"楊東憲")</f>
        <v>楊東憲</v>
      </c>
      <c r="G132" s="196" t="s">
        <v>640</v>
      </c>
      <c r="H132" s="31" t="s">
        <v>630</v>
      </c>
      <c r="I132" s="31" t="s">
        <v>630</v>
      </c>
      <c r="J132" s="31" t="s">
        <v>631</v>
      </c>
      <c r="K132" s="31" t="s">
        <v>647</v>
      </c>
      <c r="L132" s="197">
        <v>45840.0</v>
      </c>
      <c r="M132" s="197">
        <v>45841.0</v>
      </c>
      <c r="N132" s="198">
        <v>46234.0</v>
      </c>
      <c r="O132" s="161">
        <v>46082.0</v>
      </c>
      <c r="P132" s="198">
        <v>46204.0</v>
      </c>
      <c r="Q132" s="125">
        <v>394.0</v>
      </c>
      <c r="R132" s="36">
        <v>14800.0</v>
      </c>
      <c r="S132" s="36">
        <v>14800.0</v>
      </c>
      <c r="T132" s="199"/>
      <c r="U132" s="136"/>
      <c r="V132" s="36">
        <v>29600.0</v>
      </c>
      <c r="W132" s="129" t="s">
        <v>1193</v>
      </c>
      <c r="X132" s="129" t="s">
        <v>1221</v>
      </c>
      <c r="Y132" s="129" t="s">
        <v>1150</v>
      </c>
      <c r="Z132" s="15"/>
      <c r="AA132" s="15"/>
      <c r="AB132" s="205">
        <v>29.0</v>
      </c>
      <c r="AC132" s="206" t="e">
        <v>#REF!</v>
      </c>
      <c r="AD132" s="15"/>
      <c r="AE132" s="83"/>
      <c r="AF132" s="83"/>
      <c r="AG132" s="83"/>
      <c r="AH132" s="83"/>
      <c r="AI132" s="83"/>
      <c r="AJ132" s="83"/>
      <c r="AK132" s="83"/>
      <c r="AL132" s="83"/>
    </row>
    <row r="133">
      <c r="A133" s="120" t="s">
        <v>78</v>
      </c>
      <c r="B133" s="132" t="s">
        <v>1222</v>
      </c>
      <c r="C133" s="121" t="str">
        <f>IFERROR(__xludf.DUMMYFUNCTION("""COMPUTED_VALUE"""),"北醫醫師府")</f>
        <v>北醫醫師府</v>
      </c>
      <c r="D133" s="121" t="str">
        <f>IFERROR(__xludf.DUMMYFUNCTION("""COMPUTED_VALUE"""),"F")</f>
        <v>F</v>
      </c>
      <c r="E133" s="132" t="s">
        <v>1223</v>
      </c>
      <c r="F133" s="122" t="str">
        <f>IFERROR(__xludf.DUMMYFUNCTION("""COMPUTED_VALUE"""),"袁羽辰")</f>
        <v>袁羽辰</v>
      </c>
      <c r="G133" s="196" t="s">
        <v>640</v>
      </c>
      <c r="H133" s="31" t="s">
        <v>630</v>
      </c>
      <c r="I133" s="31" t="s">
        <v>630</v>
      </c>
      <c r="J133" s="31" t="s">
        <v>631</v>
      </c>
      <c r="K133" s="31" t="s">
        <v>647</v>
      </c>
      <c r="L133" s="197">
        <v>45840.0</v>
      </c>
      <c r="M133" s="197">
        <v>45841.0</v>
      </c>
      <c r="N133" s="198">
        <v>46234.0</v>
      </c>
      <c r="O133" s="161">
        <v>46082.0</v>
      </c>
      <c r="P133" s="198">
        <v>46204.0</v>
      </c>
      <c r="Q133" s="125">
        <v>394.0</v>
      </c>
      <c r="R133" s="36">
        <v>14800.0</v>
      </c>
      <c r="S133" s="36">
        <v>14800.0</v>
      </c>
      <c r="T133" s="200"/>
      <c r="U133" s="136"/>
      <c r="V133" s="36">
        <v>29600.0</v>
      </c>
      <c r="W133" s="129" t="s">
        <v>1193</v>
      </c>
      <c r="X133" s="129" t="s">
        <v>1221</v>
      </c>
      <c r="Y133" s="129" t="s">
        <v>1150</v>
      </c>
      <c r="Z133" s="15"/>
      <c r="AA133" s="15"/>
      <c r="AB133" s="205">
        <v>29.0</v>
      </c>
      <c r="AC133" s="206" t="e">
        <v>#REF!</v>
      </c>
      <c r="AD133" s="15"/>
      <c r="AE133" s="83"/>
      <c r="AF133" s="83"/>
      <c r="AG133" s="83"/>
      <c r="AH133" s="83"/>
      <c r="AI133" s="83"/>
      <c r="AJ133" s="83"/>
      <c r="AK133" s="83"/>
      <c r="AL133" s="83"/>
    </row>
    <row r="134">
      <c r="A134" s="120" t="s">
        <v>221</v>
      </c>
      <c r="B134" s="132" t="s">
        <v>1224</v>
      </c>
      <c r="C134" s="121" t="str">
        <f>IFERROR(__xludf.DUMMYFUNCTION("""COMPUTED_VALUE"""),"內湖CityLink")</f>
        <v>內湖CityLink</v>
      </c>
      <c r="D134" s="121" t="str">
        <f>IFERROR(__xludf.DUMMYFUNCTION("""COMPUTED_VALUE"""),"E")</f>
        <v>E</v>
      </c>
      <c r="E134" s="132" t="s">
        <v>1225</v>
      </c>
      <c r="F134" s="122" t="str">
        <f>IFERROR(__xludf.DUMMYFUNCTION("""COMPUTED_VALUE"""),"葉英蔚")</f>
        <v>葉英蔚</v>
      </c>
      <c r="G134" s="196" t="s">
        <v>640</v>
      </c>
      <c r="H134" s="31" t="s">
        <v>630</v>
      </c>
      <c r="I134" s="31" t="s">
        <v>630</v>
      </c>
      <c r="J134" s="31" t="s">
        <v>631</v>
      </c>
      <c r="K134" s="31" t="s">
        <v>647</v>
      </c>
      <c r="L134" s="197">
        <v>45849.0</v>
      </c>
      <c r="M134" s="197">
        <v>45864.0</v>
      </c>
      <c r="N134" s="198">
        <v>46234.0</v>
      </c>
      <c r="O134" s="161">
        <v>46082.0</v>
      </c>
      <c r="P134" s="198">
        <v>46204.0</v>
      </c>
      <c r="Q134" s="125">
        <v>371.0</v>
      </c>
      <c r="R134" s="36">
        <v>13300.0</v>
      </c>
      <c r="S134" s="36">
        <v>13300.0</v>
      </c>
      <c r="T134" s="199">
        <v>0.0</v>
      </c>
      <c r="U134" s="136">
        <v>13300.0</v>
      </c>
      <c r="V134" s="36">
        <v>26600.0</v>
      </c>
      <c r="W134" s="129" t="s">
        <v>1208</v>
      </c>
      <c r="X134" s="129" t="s">
        <v>1226</v>
      </c>
      <c r="Y134" s="129" t="s">
        <v>1150</v>
      </c>
      <c r="Z134" s="15"/>
      <c r="AA134" s="15"/>
      <c r="AB134" s="205">
        <v>6.0</v>
      </c>
      <c r="AC134" s="202"/>
      <c r="AD134" s="31" t="s">
        <v>1227</v>
      </c>
      <c r="AE134" s="83"/>
      <c r="AF134" s="83"/>
      <c r="AG134" s="83"/>
      <c r="AH134" s="83"/>
      <c r="AI134" s="83"/>
      <c r="AJ134" s="83"/>
      <c r="AK134" s="83"/>
      <c r="AL134" s="83"/>
    </row>
    <row r="135">
      <c r="A135" s="120" t="s">
        <v>187</v>
      </c>
      <c r="B135" s="132" t="s">
        <v>1228</v>
      </c>
      <c r="C135" s="121" t="str">
        <f>IFERROR(__xludf.DUMMYFUNCTION("""COMPUTED_VALUE"""),"書香民生")</f>
        <v>書香民生</v>
      </c>
      <c r="D135" s="121" t="str">
        <f>IFERROR(__xludf.DUMMYFUNCTION("""COMPUTED_VALUE"""),"A")</f>
        <v>A</v>
      </c>
      <c r="E135" s="132" t="s">
        <v>1229</v>
      </c>
      <c r="F135" s="122" t="str">
        <f>IFERROR(__xludf.DUMMYFUNCTION("""COMPUTED_VALUE"""),"曾蘋儀")</f>
        <v>曾蘋儀</v>
      </c>
      <c r="G135" s="196" t="s">
        <v>640</v>
      </c>
      <c r="H135" s="31" t="s">
        <v>630</v>
      </c>
      <c r="I135" s="31" t="s">
        <v>630</v>
      </c>
      <c r="J135" s="31" t="s">
        <v>631</v>
      </c>
      <c r="K135" s="31" t="s">
        <v>647</v>
      </c>
      <c r="L135" s="197">
        <v>45859.0</v>
      </c>
      <c r="M135" s="197">
        <v>45858.0</v>
      </c>
      <c r="N135" s="198">
        <v>46234.0</v>
      </c>
      <c r="O135" s="161">
        <v>46082.0</v>
      </c>
      <c r="P135" s="198">
        <v>46204.0</v>
      </c>
      <c r="Q135" s="125">
        <v>377.0</v>
      </c>
      <c r="R135" s="36">
        <v>13300.0</v>
      </c>
      <c r="S135" s="36">
        <v>13300.0</v>
      </c>
      <c r="T135" s="199">
        <v>0.0</v>
      </c>
      <c r="U135" s="136">
        <v>13300.0</v>
      </c>
      <c r="V135" s="36">
        <v>26600.0</v>
      </c>
      <c r="W135" s="129" t="s">
        <v>1230</v>
      </c>
      <c r="X135" s="129" t="s">
        <v>855</v>
      </c>
      <c r="Y135" s="129" t="s">
        <v>1150</v>
      </c>
      <c r="Z135" s="15"/>
      <c r="AA135" s="15"/>
      <c r="AB135" s="205">
        <v>12.0</v>
      </c>
      <c r="AC135" s="202"/>
      <c r="AD135" s="31" t="s">
        <v>1231</v>
      </c>
      <c r="AE135" s="83"/>
      <c r="AF135" s="83"/>
      <c r="AG135" s="83"/>
      <c r="AH135" s="83"/>
      <c r="AI135" s="83"/>
      <c r="AJ135" s="83"/>
      <c r="AK135" s="83"/>
      <c r="AL135" s="83"/>
    </row>
    <row r="136">
      <c r="A136" s="120" t="s">
        <v>191</v>
      </c>
      <c r="B136" s="132" t="s">
        <v>1232</v>
      </c>
      <c r="C136" s="121" t="str">
        <f>IFERROR(__xludf.DUMMYFUNCTION("""COMPUTED_VALUE"""),"書香民生")</f>
        <v>書香民生</v>
      </c>
      <c r="D136" s="121" t="str">
        <f>IFERROR(__xludf.DUMMYFUNCTION("""COMPUTED_VALUE"""),"B")</f>
        <v>B</v>
      </c>
      <c r="E136" s="132" t="s">
        <v>1233</v>
      </c>
      <c r="F136" s="122" t="str">
        <f>IFERROR(__xludf.DUMMYFUNCTION("""COMPUTED_VALUE"""),"吳小朋")</f>
        <v>吳小朋</v>
      </c>
      <c r="G136" s="196" t="s">
        <v>640</v>
      </c>
      <c r="H136" s="31" t="s">
        <v>630</v>
      </c>
      <c r="I136" s="31" t="s">
        <v>630</v>
      </c>
      <c r="J136" s="31" t="s">
        <v>631</v>
      </c>
      <c r="K136" s="31" t="s">
        <v>647</v>
      </c>
      <c r="L136" s="197">
        <v>45858.0</v>
      </c>
      <c r="M136" s="197">
        <v>45863.0</v>
      </c>
      <c r="N136" s="198">
        <v>46234.0</v>
      </c>
      <c r="O136" s="161">
        <v>46082.0</v>
      </c>
      <c r="P136" s="198">
        <v>46204.0</v>
      </c>
      <c r="Q136" s="125">
        <v>372.0</v>
      </c>
      <c r="R136" s="36">
        <v>17800.0</v>
      </c>
      <c r="S136" s="36">
        <v>17800.0</v>
      </c>
      <c r="T136" s="199">
        <v>0.0</v>
      </c>
      <c r="U136" s="136">
        <v>17800.0</v>
      </c>
      <c r="V136" s="36">
        <v>35600.0</v>
      </c>
      <c r="W136" s="129" t="s">
        <v>855</v>
      </c>
      <c r="X136" s="129" t="s">
        <v>1234</v>
      </c>
      <c r="Y136" s="129" t="s">
        <v>1150</v>
      </c>
      <c r="Z136" s="15"/>
      <c r="AA136" s="15"/>
      <c r="AB136" s="205">
        <v>7.0</v>
      </c>
      <c r="AC136" s="202"/>
      <c r="AD136" s="31" t="s">
        <v>1235</v>
      </c>
      <c r="AE136" s="83"/>
      <c r="AF136" s="83"/>
      <c r="AG136" s="83"/>
      <c r="AH136" s="83"/>
      <c r="AI136" s="83"/>
      <c r="AJ136" s="83"/>
      <c r="AK136" s="83"/>
      <c r="AL136" s="83"/>
    </row>
    <row r="137">
      <c r="A137" s="120" t="s">
        <v>194</v>
      </c>
      <c r="B137" s="132" t="s">
        <v>1236</v>
      </c>
      <c r="C137" s="121" t="str">
        <f>IFERROR(__xludf.DUMMYFUNCTION("""COMPUTED_VALUE"""),"書香民生")</f>
        <v>書香民生</v>
      </c>
      <c r="D137" s="121" t="str">
        <f>IFERROR(__xludf.DUMMYFUNCTION("""COMPUTED_VALUE"""),"C")</f>
        <v>C</v>
      </c>
      <c r="E137" s="132" t="s">
        <v>1237</v>
      </c>
      <c r="F137" s="122" t="str">
        <f>IFERROR(__xludf.DUMMYFUNCTION("""COMPUTED_VALUE"""),"韋茗期")</f>
        <v>韋茗期</v>
      </c>
      <c r="G137" s="196" t="s">
        <v>640</v>
      </c>
      <c r="H137" s="31" t="s">
        <v>630</v>
      </c>
      <c r="I137" s="31" t="s">
        <v>630</v>
      </c>
      <c r="J137" s="31" t="s">
        <v>631</v>
      </c>
      <c r="K137" s="31" t="s">
        <v>647</v>
      </c>
      <c r="L137" s="197">
        <v>45856.0</v>
      </c>
      <c r="M137" s="197">
        <v>45860.0</v>
      </c>
      <c r="N137" s="198">
        <v>46234.0</v>
      </c>
      <c r="O137" s="161">
        <v>46082.0</v>
      </c>
      <c r="P137" s="198">
        <v>46204.0</v>
      </c>
      <c r="Q137" s="125">
        <v>375.0</v>
      </c>
      <c r="R137" s="36">
        <v>14800.0</v>
      </c>
      <c r="S137" s="36">
        <v>14800.0</v>
      </c>
      <c r="T137" s="199">
        <v>0.0</v>
      </c>
      <c r="U137" s="136">
        <v>14800.0</v>
      </c>
      <c r="V137" s="36">
        <v>29600.0</v>
      </c>
      <c r="W137" s="129" t="s">
        <v>1238</v>
      </c>
      <c r="X137" s="129" t="s">
        <v>1239</v>
      </c>
      <c r="Y137" s="129" t="s">
        <v>1150</v>
      </c>
      <c r="Z137" s="15"/>
      <c r="AA137" s="15"/>
      <c r="AB137" s="205">
        <v>10.0</v>
      </c>
      <c r="AC137" s="202"/>
      <c r="AD137" s="31" t="s">
        <v>1240</v>
      </c>
      <c r="AE137" s="83"/>
      <c r="AF137" s="83"/>
      <c r="AG137" s="83"/>
      <c r="AH137" s="83"/>
      <c r="AI137" s="83"/>
      <c r="AJ137" s="83"/>
      <c r="AK137" s="83"/>
      <c r="AL137" s="83"/>
    </row>
    <row r="138">
      <c r="A138" s="120" t="s">
        <v>197</v>
      </c>
      <c r="B138" s="132" t="s">
        <v>1241</v>
      </c>
      <c r="C138" s="121" t="str">
        <f>IFERROR(__xludf.DUMMYFUNCTION("""COMPUTED_VALUE"""),"書香民生")</f>
        <v>書香民生</v>
      </c>
      <c r="D138" s="121" t="str">
        <f>IFERROR(__xludf.DUMMYFUNCTION("""COMPUTED_VALUE"""),"D")</f>
        <v>D</v>
      </c>
      <c r="E138" s="132" t="s">
        <v>1242</v>
      </c>
      <c r="F138" s="122" t="str">
        <f>IFERROR(__xludf.DUMMYFUNCTION("""COMPUTED_VALUE"""),"蔡昀潔
林聖凱")</f>
        <v>蔡昀潔
林聖凱</v>
      </c>
      <c r="G138" s="196" t="s">
        <v>640</v>
      </c>
      <c r="H138" s="31" t="s">
        <v>630</v>
      </c>
      <c r="I138" s="31" t="s">
        <v>630</v>
      </c>
      <c r="J138" s="31" t="s">
        <v>631</v>
      </c>
      <c r="K138" s="31" t="s">
        <v>647</v>
      </c>
      <c r="L138" s="197">
        <v>45859.0</v>
      </c>
      <c r="M138" s="197">
        <v>45872.0</v>
      </c>
      <c r="N138" s="198">
        <v>46265.0</v>
      </c>
      <c r="O138" s="161">
        <v>46082.0</v>
      </c>
      <c r="P138" s="198">
        <v>46235.0</v>
      </c>
      <c r="Q138" s="125">
        <v>394.0</v>
      </c>
      <c r="R138" s="36">
        <v>17800.0</v>
      </c>
      <c r="S138" s="36">
        <v>17800.0</v>
      </c>
      <c r="T138" s="199">
        <v>0.0</v>
      </c>
      <c r="U138" s="136">
        <v>17800.0</v>
      </c>
      <c r="V138" s="36">
        <v>35600.0</v>
      </c>
      <c r="W138" s="129" t="s">
        <v>1230</v>
      </c>
      <c r="X138" s="129" t="s">
        <v>1243</v>
      </c>
      <c r="Y138" s="129" t="s">
        <v>1244</v>
      </c>
      <c r="Z138" s="15"/>
      <c r="AA138" s="15"/>
      <c r="AB138" s="205">
        <v>29.0</v>
      </c>
      <c r="AC138" s="202"/>
      <c r="AD138" s="31" t="s">
        <v>1245</v>
      </c>
      <c r="AE138" s="83"/>
      <c r="AF138" s="83"/>
      <c r="AG138" s="83"/>
      <c r="AH138" s="83"/>
      <c r="AI138" s="83"/>
      <c r="AJ138" s="83"/>
      <c r="AK138" s="83"/>
      <c r="AL138" s="83"/>
    </row>
    <row r="139">
      <c r="A139" s="120" t="s">
        <v>200</v>
      </c>
      <c r="B139" s="132" t="s">
        <v>1246</v>
      </c>
      <c r="C139" s="121" t="str">
        <f>IFERROR(__xludf.DUMMYFUNCTION("""COMPUTED_VALUE"""),"書香民生")</f>
        <v>書香民生</v>
      </c>
      <c r="D139" s="121" t="str">
        <f>IFERROR(__xludf.DUMMYFUNCTION("""COMPUTED_VALUE"""),"E")</f>
        <v>E</v>
      </c>
      <c r="E139" s="132" t="s">
        <v>1247</v>
      </c>
      <c r="F139" s="122" t="str">
        <f>IFERROR(__xludf.DUMMYFUNCTION("""COMPUTED_VALUE"""),"劉祐安")</f>
        <v>劉祐安</v>
      </c>
      <c r="G139" s="196" t="s">
        <v>640</v>
      </c>
      <c r="H139" s="31" t="s">
        <v>630</v>
      </c>
      <c r="I139" s="31" t="s">
        <v>630</v>
      </c>
      <c r="J139" s="31" t="s">
        <v>631</v>
      </c>
      <c r="K139" s="31" t="s">
        <v>647</v>
      </c>
      <c r="L139" s="197">
        <v>45858.0</v>
      </c>
      <c r="M139" s="197">
        <v>45870.0</v>
      </c>
      <c r="N139" s="198">
        <v>46265.0</v>
      </c>
      <c r="O139" s="161">
        <v>46082.0</v>
      </c>
      <c r="P139" s="198">
        <v>46235.0</v>
      </c>
      <c r="Q139" s="125">
        <v>396.0</v>
      </c>
      <c r="R139" s="36">
        <v>17800.0</v>
      </c>
      <c r="S139" s="36">
        <v>17800.0</v>
      </c>
      <c r="T139" s="199">
        <v>0.0</v>
      </c>
      <c r="U139" s="136">
        <v>17800.0</v>
      </c>
      <c r="V139" s="36">
        <v>35600.0</v>
      </c>
      <c r="W139" s="129" t="s">
        <v>855</v>
      </c>
      <c r="X139" s="129" t="s">
        <v>1248</v>
      </c>
      <c r="Y139" s="129" t="s">
        <v>1244</v>
      </c>
      <c r="Z139" s="15"/>
      <c r="AA139" s="15"/>
      <c r="AB139" s="205">
        <v>31.0</v>
      </c>
      <c r="AC139" s="202"/>
      <c r="AD139" s="31" t="s">
        <v>1249</v>
      </c>
      <c r="AE139" s="83"/>
      <c r="AF139" s="83"/>
      <c r="AG139" s="83"/>
      <c r="AH139" s="83"/>
      <c r="AI139" s="83"/>
      <c r="AJ139" s="83"/>
      <c r="AK139" s="83"/>
      <c r="AL139" s="83"/>
    </row>
    <row r="140">
      <c r="A140" s="120" t="s">
        <v>202</v>
      </c>
      <c r="B140" s="132" t="s">
        <v>1250</v>
      </c>
      <c r="C140" s="121" t="str">
        <f>IFERROR(__xludf.DUMMYFUNCTION("""COMPUTED_VALUE"""),"書香民生")</f>
        <v>書香民生</v>
      </c>
      <c r="D140" s="121" t="str">
        <f>IFERROR(__xludf.DUMMYFUNCTION("""COMPUTED_VALUE"""),"F")</f>
        <v>F</v>
      </c>
      <c r="E140" s="132" t="s">
        <v>1251</v>
      </c>
      <c r="F140" s="122" t="str">
        <f>IFERROR(__xludf.DUMMYFUNCTION("""COMPUTED_VALUE"""),"周利安")</f>
        <v>周利安</v>
      </c>
      <c r="G140" s="196" t="s">
        <v>640</v>
      </c>
      <c r="H140" s="31" t="s">
        <v>630</v>
      </c>
      <c r="I140" s="31" t="s">
        <v>630</v>
      </c>
      <c r="J140" s="31" t="s">
        <v>631</v>
      </c>
      <c r="K140" s="31" t="s">
        <v>647</v>
      </c>
      <c r="L140" s="197">
        <v>45858.0</v>
      </c>
      <c r="M140" s="197">
        <v>45858.0</v>
      </c>
      <c r="N140" s="198">
        <v>46234.0</v>
      </c>
      <c r="O140" s="161">
        <v>46082.0</v>
      </c>
      <c r="P140" s="198">
        <v>46204.0</v>
      </c>
      <c r="Q140" s="125">
        <v>377.0</v>
      </c>
      <c r="R140" s="36">
        <v>15800.0</v>
      </c>
      <c r="S140" s="36">
        <v>15800.0</v>
      </c>
      <c r="T140" s="199">
        <v>0.0</v>
      </c>
      <c r="U140" s="136">
        <v>15800.0</v>
      </c>
      <c r="V140" s="36">
        <v>31600.0</v>
      </c>
      <c r="W140" s="129" t="s">
        <v>855</v>
      </c>
      <c r="X140" s="129" t="s">
        <v>855</v>
      </c>
      <c r="Y140" s="129" t="s">
        <v>1150</v>
      </c>
      <c r="Z140" s="15"/>
      <c r="AA140" s="15"/>
      <c r="AB140" s="205">
        <v>12.0</v>
      </c>
      <c r="AC140" s="202"/>
      <c r="AD140" s="15"/>
      <c r="AE140" s="83"/>
      <c r="AF140" s="83"/>
      <c r="AG140" s="83"/>
      <c r="AH140" s="83"/>
      <c r="AI140" s="83"/>
      <c r="AJ140" s="83"/>
      <c r="AK140" s="83"/>
      <c r="AL140" s="83"/>
    </row>
    <row r="141">
      <c r="A141" s="120" t="s">
        <v>205</v>
      </c>
      <c r="B141" s="132" t="s">
        <v>1252</v>
      </c>
      <c r="C141" s="121" t="str">
        <f>IFERROR(__xludf.DUMMYFUNCTION("""COMPUTED_VALUE"""),"書香民生")</f>
        <v>書香民生</v>
      </c>
      <c r="D141" s="121" t="str">
        <f>IFERROR(__xludf.DUMMYFUNCTION("""COMPUTED_VALUE"""),"G")</f>
        <v>G</v>
      </c>
      <c r="E141" s="132" t="s">
        <v>1253</v>
      </c>
      <c r="F141" s="122" t="str">
        <f>IFERROR(__xludf.DUMMYFUNCTION("""COMPUTED_VALUE"""),"朱彥蓉")</f>
        <v>朱彥蓉</v>
      </c>
      <c r="G141" s="196" t="s">
        <v>640</v>
      </c>
      <c r="H141" s="31" t="s">
        <v>630</v>
      </c>
      <c r="I141" s="31" t="s">
        <v>630</v>
      </c>
      <c r="J141" s="31" t="s">
        <v>631</v>
      </c>
      <c r="K141" s="31" t="s">
        <v>647</v>
      </c>
      <c r="L141" s="197">
        <v>45856.0</v>
      </c>
      <c r="M141" s="197">
        <v>45857.0</v>
      </c>
      <c r="N141" s="198">
        <v>46295.0</v>
      </c>
      <c r="O141" s="161">
        <v>46082.0</v>
      </c>
      <c r="P141" s="198">
        <v>46266.0</v>
      </c>
      <c r="Q141" s="125">
        <v>439.0</v>
      </c>
      <c r="R141" s="36">
        <v>16800.0</v>
      </c>
      <c r="S141" s="36">
        <v>16800.0</v>
      </c>
      <c r="T141" s="199">
        <v>0.0</v>
      </c>
      <c r="U141" s="136">
        <v>16800.0</v>
      </c>
      <c r="V141" s="36">
        <v>33600.0</v>
      </c>
      <c r="W141" s="129" t="s">
        <v>1238</v>
      </c>
      <c r="X141" s="129" t="s">
        <v>1254</v>
      </c>
      <c r="Y141" s="129" t="s">
        <v>1255</v>
      </c>
      <c r="Z141" s="15"/>
      <c r="AA141" s="15"/>
      <c r="AB141" s="205">
        <v>12.0</v>
      </c>
      <c r="AC141" s="202"/>
      <c r="AD141" s="15"/>
      <c r="AE141" s="83"/>
      <c r="AF141" s="83"/>
      <c r="AG141" s="83"/>
      <c r="AH141" s="83"/>
      <c r="AI141" s="83"/>
      <c r="AJ141" s="83"/>
      <c r="AK141" s="83"/>
      <c r="AL141" s="83"/>
    </row>
    <row r="142">
      <c r="A142" s="120" t="s">
        <v>109</v>
      </c>
      <c r="B142" s="132" t="s">
        <v>1256</v>
      </c>
      <c r="C142" s="121" t="str">
        <f>IFERROR(__xludf.DUMMYFUNCTION("""COMPUTED_VALUE"""),"南港站挑高宅")</f>
        <v>南港站挑高宅</v>
      </c>
      <c r="D142" s="121" t="str">
        <f>IFERROR(__xludf.DUMMYFUNCTION("""COMPUTED_VALUE"""),"A")</f>
        <v>A</v>
      </c>
      <c r="E142" s="132" t="s">
        <v>917</v>
      </c>
      <c r="F142" s="122" t="str">
        <f>IFERROR(__xludf.DUMMYFUNCTION("""COMPUTED_VALUE"""),"莊以祺")</f>
        <v>莊以祺</v>
      </c>
      <c r="G142" s="196" t="s">
        <v>640</v>
      </c>
      <c r="H142" s="31" t="s">
        <v>630</v>
      </c>
      <c r="I142" s="31" t="s">
        <v>630</v>
      </c>
      <c r="J142" s="31" t="s">
        <v>631</v>
      </c>
      <c r="K142" s="31" t="s">
        <v>647</v>
      </c>
      <c r="L142" s="197">
        <v>45853.0</v>
      </c>
      <c r="M142" s="197">
        <v>45901.0</v>
      </c>
      <c r="N142" s="198">
        <v>46112.0</v>
      </c>
      <c r="O142" s="161">
        <v>46082.0</v>
      </c>
      <c r="P142" s="198">
        <v>46082.0</v>
      </c>
      <c r="Q142" s="125">
        <v>212.0</v>
      </c>
      <c r="R142" s="36">
        <v>13000.0</v>
      </c>
      <c r="S142" s="36">
        <v>13000.0</v>
      </c>
      <c r="T142" s="199">
        <v>0.0</v>
      </c>
      <c r="U142" s="136">
        <v>13000.0</v>
      </c>
      <c r="V142" s="36">
        <v>26000.0</v>
      </c>
      <c r="W142" s="129" t="s">
        <v>1257</v>
      </c>
      <c r="X142" s="129" t="s">
        <v>1258</v>
      </c>
      <c r="Y142" s="129" t="s">
        <v>762</v>
      </c>
      <c r="Z142" s="15"/>
      <c r="AA142" s="15"/>
      <c r="AB142" s="205">
        <v>31.0</v>
      </c>
      <c r="AC142" s="202"/>
      <c r="AD142" s="31" t="s">
        <v>1259</v>
      </c>
      <c r="AE142" s="83"/>
      <c r="AF142" s="83"/>
      <c r="AG142" s="83"/>
      <c r="AH142" s="83"/>
      <c r="AI142" s="83"/>
      <c r="AJ142" s="83"/>
      <c r="AK142" s="83"/>
      <c r="AL142" s="83"/>
    </row>
    <row r="143">
      <c r="A143" s="120" t="s">
        <v>94</v>
      </c>
      <c r="B143" s="132" t="s">
        <v>1260</v>
      </c>
      <c r="C143" s="121" t="str">
        <f>IFERROR(__xludf.DUMMYFUNCTION("""COMPUTED_VALUE"""),"大湖山莊")</f>
        <v>大湖山莊</v>
      </c>
      <c r="D143" s="121" t="str">
        <f>IFERROR(__xludf.DUMMYFUNCTION("""COMPUTED_VALUE"""),"F")</f>
        <v>F</v>
      </c>
      <c r="E143" s="132" t="s">
        <v>1261</v>
      </c>
      <c r="F143" s="122" t="str">
        <f>IFERROR(__xludf.DUMMYFUNCTION("""COMPUTED_VALUE"""),"李佳芸
吉俊儒")</f>
        <v>李佳芸
吉俊儒</v>
      </c>
      <c r="G143" s="196" t="s">
        <v>640</v>
      </c>
      <c r="H143" s="31" t="s">
        <v>630</v>
      </c>
      <c r="I143" s="31" t="s">
        <v>630</v>
      </c>
      <c r="J143" s="31" t="s">
        <v>631</v>
      </c>
      <c r="K143" s="31" t="s">
        <v>647</v>
      </c>
      <c r="L143" s="197">
        <v>45876.0</v>
      </c>
      <c r="M143" s="197">
        <v>45893.0</v>
      </c>
      <c r="N143" s="198">
        <v>46265.0</v>
      </c>
      <c r="O143" s="161">
        <v>46082.0</v>
      </c>
      <c r="P143" s="198">
        <v>46235.0</v>
      </c>
      <c r="Q143" s="125">
        <v>373.0</v>
      </c>
      <c r="R143" s="36">
        <v>18300.0</v>
      </c>
      <c r="S143" s="36">
        <v>18300.0</v>
      </c>
      <c r="T143" s="199">
        <v>0.0</v>
      </c>
      <c r="U143" s="136">
        <v>18300.0</v>
      </c>
      <c r="V143" s="36">
        <v>36600.0</v>
      </c>
      <c r="W143" s="129" t="s">
        <v>1262</v>
      </c>
      <c r="X143" s="129" t="s">
        <v>924</v>
      </c>
      <c r="Y143" s="129" t="s">
        <v>1244</v>
      </c>
      <c r="Z143" s="15"/>
      <c r="AA143" s="15"/>
      <c r="AB143" s="205">
        <v>8.0</v>
      </c>
      <c r="AC143" s="202"/>
      <c r="AD143" s="15"/>
      <c r="AE143" s="83"/>
      <c r="AF143" s="83"/>
      <c r="AG143" s="83"/>
      <c r="AH143" s="83"/>
      <c r="AI143" s="83"/>
      <c r="AJ143" s="83"/>
      <c r="AK143" s="83"/>
      <c r="AL143" s="83"/>
    </row>
    <row r="144">
      <c r="A144" s="120" t="s">
        <v>116</v>
      </c>
      <c r="B144" s="132" t="s">
        <v>1263</v>
      </c>
      <c r="C144" s="121" t="str">
        <f>IFERROR(__xludf.DUMMYFUNCTION("""COMPUTED_VALUE"""),"南港站挑高宅")</f>
        <v>南港站挑高宅</v>
      </c>
      <c r="D144" s="121" t="str">
        <f>IFERROR(__xludf.DUMMYFUNCTION("""COMPUTED_VALUE"""),"E")</f>
        <v>E</v>
      </c>
      <c r="E144" s="132" t="s">
        <v>936</v>
      </c>
      <c r="F144" s="122" t="str">
        <f>IFERROR(__xludf.DUMMYFUNCTION("""COMPUTED_VALUE"""),"張劉明翔")</f>
        <v>張劉明翔</v>
      </c>
      <c r="G144" s="196" t="s">
        <v>640</v>
      </c>
      <c r="H144" s="31" t="s">
        <v>630</v>
      </c>
      <c r="I144" s="31" t="s">
        <v>630</v>
      </c>
      <c r="J144" s="31" t="s">
        <v>631</v>
      </c>
      <c r="K144" s="31" t="s">
        <v>647</v>
      </c>
      <c r="L144" s="197">
        <v>45882.0</v>
      </c>
      <c r="M144" s="197">
        <v>45901.0</v>
      </c>
      <c r="N144" s="198">
        <v>46265.0</v>
      </c>
      <c r="O144" s="161">
        <v>46082.0</v>
      </c>
      <c r="P144" s="198">
        <v>46235.0</v>
      </c>
      <c r="Q144" s="125">
        <v>365.0</v>
      </c>
      <c r="R144" s="36">
        <v>12800.0</v>
      </c>
      <c r="S144" s="36">
        <v>12800.0</v>
      </c>
      <c r="T144" s="199">
        <v>0.0</v>
      </c>
      <c r="U144" s="136">
        <v>12800.0</v>
      </c>
      <c r="V144" s="36">
        <v>25600.0</v>
      </c>
      <c r="W144" s="129" t="s">
        <v>1155</v>
      </c>
      <c r="X144" s="129" t="s">
        <v>1258</v>
      </c>
      <c r="Y144" s="129" t="s">
        <v>1244</v>
      </c>
      <c r="Z144" s="15"/>
      <c r="AA144" s="15"/>
      <c r="AB144" s="205">
        <v>31.0</v>
      </c>
      <c r="AC144" s="202"/>
      <c r="AD144" s="31" t="s">
        <v>1264</v>
      </c>
      <c r="AE144" s="83"/>
      <c r="AF144" s="83"/>
      <c r="AG144" s="83"/>
      <c r="AH144" s="83"/>
      <c r="AI144" s="83"/>
      <c r="AJ144" s="83"/>
      <c r="AK144" s="83"/>
      <c r="AL144" s="83"/>
    </row>
    <row r="145">
      <c r="A145" s="120" t="s">
        <v>115</v>
      </c>
      <c r="B145" s="132" t="s">
        <v>1265</v>
      </c>
      <c r="C145" s="121" t="str">
        <f>IFERROR(__xludf.DUMMYFUNCTION("""COMPUTED_VALUE"""),"南港站挑高宅")</f>
        <v>南港站挑高宅</v>
      </c>
      <c r="D145" s="121" t="str">
        <f>IFERROR(__xludf.DUMMYFUNCTION("""COMPUTED_VALUE"""),"D")</f>
        <v>D</v>
      </c>
      <c r="E145" s="132" t="s">
        <v>932</v>
      </c>
      <c r="F145" s="122" t="str">
        <f>IFERROR(__xludf.DUMMYFUNCTION("""COMPUTED_VALUE"""),"吳城慕")</f>
        <v>吳城慕</v>
      </c>
      <c r="G145" s="196" t="s">
        <v>640</v>
      </c>
      <c r="H145" s="31" t="s">
        <v>630</v>
      </c>
      <c r="I145" s="31" t="s">
        <v>630</v>
      </c>
      <c r="J145" s="31" t="s">
        <v>631</v>
      </c>
      <c r="K145" s="31" t="s">
        <v>647</v>
      </c>
      <c r="L145" s="197">
        <v>45889.0</v>
      </c>
      <c r="M145" s="197">
        <v>45901.0</v>
      </c>
      <c r="N145" s="198">
        <v>46265.0</v>
      </c>
      <c r="O145" s="161">
        <v>46082.0</v>
      </c>
      <c r="P145" s="198">
        <v>46235.0</v>
      </c>
      <c r="Q145" s="125">
        <v>365.0</v>
      </c>
      <c r="R145" s="36">
        <v>13800.0</v>
      </c>
      <c r="S145" s="36">
        <v>13800.0</v>
      </c>
      <c r="T145" s="199">
        <v>0.0</v>
      </c>
      <c r="U145" s="136">
        <v>13800.0</v>
      </c>
      <c r="V145" s="36">
        <v>27600.0</v>
      </c>
      <c r="W145" s="129" t="s">
        <v>1266</v>
      </c>
      <c r="X145" s="129" t="s">
        <v>1258</v>
      </c>
      <c r="Y145" s="129" t="s">
        <v>1244</v>
      </c>
      <c r="Z145" s="15"/>
      <c r="AA145" s="15"/>
      <c r="AB145" s="205">
        <v>31.0</v>
      </c>
      <c r="AC145" s="202"/>
      <c r="AD145" s="31" t="s">
        <v>1267</v>
      </c>
      <c r="AE145" s="83"/>
      <c r="AF145" s="83"/>
      <c r="AG145" s="83"/>
      <c r="AH145" s="83"/>
      <c r="AI145" s="83"/>
      <c r="AJ145" s="83"/>
      <c r="AK145" s="83"/>
      <c r="AL145" s="83"/>
    </row>
    <row r="146">
      <c r="A146" s="120" t="s">
        <v>81</v>
      </c>
      <c r="B146" s="132" t="s">
        <v>1268</v>
      </c>
      <c r="C146" s="121" t="str">
        <f>IFERROR(__xludf.DUMMYFUNCTION("""COMPUTED_VALUE"""),"大湖山莊")</f>
        <v>大湖山莊</v>
      </c>
      <c r="D146" s="121" t="str">
        <f>IFERROR(__xludf.DUMMYFUNCTION("""COMPUTED_VALUE"""),"A")</f>
        <v>A</v>
      </c>
      <c r="E146" s="132" t="s">
        <v>1269</v>
      </c>
      <c r="F146" s="122" t="str">
        <f>IFERROR(__xludf.DUMMYFUNCTION("""COMPUTED_VALUE"""),"涂敏")</f>
        <v>涂敏</v>
      </c>
      <c r="G146" s="196" t="s">
        <v>640</v>
      </c>
      <c r="H146" s="31" t="s">
        <v>630</v>
      </c>
      <c r="I146" s="31" t="s">
        <v>630</v>
      </c>
      <c r="J146" s="31" t="s">
        <v>631</v>
      </c>
      <c r="K146" s="31" t="s">
        <v>647</v>
      </c>
      <c r="L146" s="197">
        <v>45889.0</v>
      </c>
      <c r="M146" s="197">
        <v>45894.0</v>
      </c>
      <c r="N146" s="198">
        <v>46265.0</v>
      </c>
      <c r="O146" s="161">
        <v>46082.0</v>
      </c>
      <c r="P146" s="198">
        <v>46235.0</v>
      </c>
      <c r="Q146" s="125">
        <v>372.0</v>
      </c>
      <c r="R146" s="36">
        <v>13000.0</v>
      </c>
      <c r="S146" s="36">
        <v>13000.0</v>
      </c>
      <c r="T146" s="199">
        <v>0.0</v>
      </c>
      <c r="U146" s="136">
        <v>13000.0</v>
      </c>
      <c r="V146" s="36">
        <v>26000.0</v>
      </c>
      <c r="W146" s="129" t="s">
        <v>1266</v>
      </c>
      <c r="X146" s="129" t="s">
        <v>1270</v>
      </c>
      <c r="Y146" s="129" t="s">
        <v>1244</v>
      </c>
      <c r="Z146" s="15"/>
      <c r="AA146" s="15"/>
      <c r="AB146" s="205">
        <v>7.0</v>
      </c>
      <c r="AC146" s="202"/>
      <c r="AD146" s="31" t="s">
        <v>1271</v>
      </c>
      <c r="AE146" s="83"/>
      <c r="AF146" s="83"/>
      <c r="AG146" s="83"/>
      <c r="AH146" s="83"/>
      <c r="AI146" s="83"/>
      <c r="AJ146" s="83"/>
      <c r="AK146" s="83"/>
      <c r="AL146" s="83"/>
    </row>
    <row r="147">
      <c r="A147" s="120" t="s">
        <v>85</v>
      </c>
      <c r="B147" s="132" t="s">
        <v>1272</v>
      </c>
      <c r="C147" s="121" t="str">
        <f>IFERROR(__xludf.DUMMYFUNCTION("""COMPUTED_VALUE"""),"大湖山莊")</f>
        <v>大湖山莊</v>
      </c>
      <c r="D147" s="121" t="str">
        <f>IFERROR(__xludf.DUMMYFUNCTION("""COMPUTED_VALUE"""),"B")</f>
        <v>B</v>
      </c>
      <c r="E147" s="132" t="s">
        <v>1273</v>
      </c>
      <c r="F147" s="122" t="str">
        <f>IFERROR(__xludf.DUMMYFUNCTION("""COMPUTED_VALUE"""),"魏敬軒")</f>
        <v>魏敬軒</v>
      </c>
      <c r="G147" s="196" t="s">
        <v>640</v>
      </c>
      <c r="H147" s="31" t="s">
        <v>630</v>
      </c>
      <c r="I147" s="31" t="s">
        <v>630</v>
      </c>
      <c r="J147" s="31" t="s">
        <v>631</v>
      </c>
      <c r="K147" s="31" t="s">
        <v>647</v>
      </c>
      <c r="L147" s="197">
        <v>45895.0</v>
      </c>
      <c r="M147" s="197">
        <v>45899.0</v>
      </c>
      <c r="N147" s="198">
        <v>46265.0</v>
      </c>
      <c r="O147" s="161">
        <v>46082.0</v>
      </c>
      <c r="P147" s="198">
        <v>46235.0</v>
      </c>
      <c r="Q147" s="125">
        <v>367.0</v>
      </c>
      <c r="R147" s="36">
        <v>12000.0</v>
      </c>
      <c r="S147" s="36">
        <v>12000.0</v>
      </c>
      <c r="T147" s="199">
        <v>0.0</v>
      </c>
      <c r="U147" s="136">
        <v>12000.0</v>
      </c>
      <c r="V147" s="36">
        <v>24000.0</v>
      </c>
      <c r="W147" s="129" t="s">
        <v>1274</v>
      </c>
      <c r="X147" s="129" t="s">
        <v>1275</v>
      </c>
      <c r="Y147" s="129" t="s">
        <v>1244</v>
      </c>
      <c r="Z147" s="15"/>
      <c r="AA147" s="15"/>
      <c r="AB147" s="205">
        <v>2.0</v>
      </c>
      <c r="AC147" s="202"/>
      <c r="AD147" s="31" t="s">
        <v>1276</v>
      </c>
      <c r="AE147" s="83"/>
      <c r="AF147" s="83"/>
      <c r="AG147" s="83"/>
      <c r="AH147" s="83"/>
      <c r="AI147" s="83"/>
      <c r="AJ147" s="83"/>
      <c r="AK147" s="83"/>
      <c r="AL147" s="83"/>
    </row>
    <row r="148">
      <c r="A148" s="120" t="s">
        <v>140</v>
      </c>
      <c r="B148" s="132" t="s">
        <v>1277</v>
      </c>
      <c r="C148" s="121" t="str">
        <f>IFERROR(__xludf.DUMMYFUNCTION("""COMPUTED_VALUE"""),"景安2分鐘")</f>
        <v>景安2分鐘</v>
      </c>
      <c r="D148" s="121" t="str">
        <f>IFERROR(__xludf.DUMMYFUNCTION("""COMPUTED_VALUE"""),"C")</f>
        <v>C</v>
      </c>
      <c r="E148" s="132" t="s">
        <v>1278</v>
      </c>
      <c r="F148" s="122" t="str">
        <f>IFERROR(__xludf.DUMMYFUNCTION("""COMPUTED_VALUE"""),"吳品萱")</f>
        <v>吳品萱</v>
      </c>
      <c r="G148" s="196" t="s">
        <v>640</v>
      </c>
      <c r="H148" s="31" t="s">
        <v>630</v>
      </c>
      <c r="I148" s="31" t="s">
        <v>630</v>
      </c>
      <c r="J148" s="31" t="s">
        <v>631</v>
      </c>
      <c r="K148" s="31" t="s">
        <v>647</v>
      </c>
      <c r="L148" s="197">
        <v>45895.0</v>
      </c>
      <c r="M148" s="197">
        <v>45901.0</v>
      </c>
      <c r="N148" s="198">
        <v>46265.0</v>
      </c>
      <c r="O148" s="161">
        <v>46082.0</v>
      </c>
      <c r="P148" s="198">
        <v>46235.0</v>
      </c>
      <c r="Q148" s="125">
        <v>365.0</v>
      </c>
      <c r="R148" s="36">
        <v>12500.0</v>
      </c>
      <c r="S148" s="36">
        <v>12500.0</v>
      </c>
      <c r="T148" s="199">
        <v>0.0</v>
      </c>
      <c r="U148" s="136">
        <v>12500.0</v>
      </c>
      <c r="V148" s="36">
        <v>25000.0</v>
      </c>
      <c r="W148" s="129" t="s">
        <v>1274</v>
      </c>
      <c r="X148" s="129" t="s">
        <v>1258</v>
      </c>
      <c r="Y148" s="129" t="s">
        <v>1244</v>
      </c>
      <c r="Z148" s="15"/>
      <c r="AA148" s="15"/>
      <c r="AB148" s="205">
        <v>31.0</v>
      </c>
      <c r="AC148" s="202"/>
      <c r="AD148" s="31" t="s">
        <v>1279</v>
      </c>
      <c r="AE148" s="83"/>
      <c r="AF148" s="83"/>
      <c r="AG148" s="83"/>
      <c r="AH148" s="83"/>
      <c r="AI148" s="83"/>
      <c r="AJ148" s="83"/>
      <c r="AK148" s="83"/>
      <c r="AL148" s="83"/>
    </row>
    <row r="149">
      <c r="A149" s="120" t="s">
        <v>1042</v>
      </c>
      <c r="B149" s="132" t="s">
        <v>1280</v>
      </c>
      <c r="C149" s="121" t="str">
        <f>IFERROR(__xludf.DUMMYFUNCTION("""COMPUTED_VALUE"""),"中山北Feli家")</f>
        <v>中山北Feli家</v>
      </c>
      <c r="D149" s="121" t="str">
        <f>IFERROR(__xludf.DUMMYFUNCTION("""COMPUTED_VALUE"""),"E, F")</f>
        <v>E, F</v>
      </c>
      <c r="E149" s="132" t="s">
        <v>1281</v>
      </c>
      <c r="F149" s="122" t="str">
        <f>IFERROR(__xludf.DUMMYFUNCTION("""COMPUTED_VALUE"""),"Shihara Senaratna
Xueying Chen")</f>
        <v>Shihara Senaratna
Xueying Chen</v>
      </c>
      <c r="G149" s="196" t="s">
        <v>640</v>
      </c>
      <c r="H149" s="31" t="s">
        <v>630</v>
      </c>
      <c r="I149" s="31" t="s">
        <v>630</v>
      </c>
      <c r="J149" s="31" t="s">
        <v>631</v>
      </c>
      <c r="K149" s="31" t="s">
        <v>647</v>
      </c>
      <c r="L149" s="197">
        <v>45894.0</v>
      </c>
      <c r="M149" s="197">
        <v>45905.0</v>
      </c>
      <c r="N149" s="198">
        <v>46265.0</v>
      </c>
      <c r="O149" s="161">
        <v>46082.0</v>
      </c>
      <c r="P149" s="198">
        <v>46235.0</v>
      </c>
      <c r="Q149" s="125">
        <v>361.0</v>
      </c>
      <c r="R149" s="36">
        <v>30000.0</v>
      </c>
      <c r="S149" s="36">
        <v>30000.0</v>
      </c>
      <c r="T149" s="199">
        <v>0.0</v>
      </c>
      <c r="U149" s="136">
        <v>30000.0</v>
      </c>
      <c r="V149" s="36">
        <v>60000.0</v>
      </c>
      <c r="W149" s="129" t="s">
        <v>1270</v>
      </c>
      <c r="X149" s="129" t="s">
        <v>1282</v>
      </c>
      <c r="Y149" s="129" t="s">
        <v>1244</v>
      </c>
      <c r="Z149" s="15"/>
      <c r="AA149" s="15"/>
      <c r="AB149" s="205">
        <v>27.0</v>
      </c>
      <c r="AC149" s="202"/>
      <c r="AD149" s="15"/>
      <c r="AE149" s="83"/>
      <c r="AF149" s="83"/>
      <c r="AG149" s="83"/>
      <c r="AH149" s="83"/>
      <c r="AI149" s="83"/>
      <c r="AJ149" s="83"/>
      <c r="AK149" s="83"/>
      <c r="AL149" s="83"/>
    </row>
    <row r="150">
      <c r="A150" s="120" t="s">
        <v>40</v>
      </c>
      <c r="B150" s="132" t="s">
        <v>1283</v>
      </c>
      <c r="C150" s="121" t="str">
        <f>IFERROR(__xludf.DUMMYFUNCTION("""COMPUTED_VALUE"""),"龍江229")</f>
        <v>龍江229</v>
      </c>
      <c r="D150" s="121" t="str">
        <f>IFERROR(__xludf.DUMMYFUNCTION("""COMPUTED_VALUE"""),"A")</f>
        <v>A</v>
      </c>
      <c r="E150" s="132" t="s">
        <v>1284</v>
      </c>
      <c r="F150" s="122" t="str">
        <f>IFERROR(__xludf.DUMMYFUNCTION("""COMPUTED_VALUE"""),"吳昱旻")</f>
        <v>吳昱旻</v>
      </c>
      <c r="G150" s="196" t="s">
        <v>640</v>
      </c>
      <c r="H150" s="31" t="s">
        <v>630</v>
      </c>
      <c r="I150" s="31" t="s">
        <v>630</v>
      </c>
      <c r="J150" s="31" t="s">
        <v>631</v>
      </c>
      <c r="K150" s="31" t="s">
        <v>647</v>
      </c>
      <c r="L150" s="197">
        <v>45902.0</v>
      </c>
      <c r="M150" s="197">
        <v>45901.0</v>
      </c>
      <c r="N150" s="198">
        <v>46265.0</v>
      </c>
      <c r="O150" s="161">
        <v>46082.0</v>
      </c>
      <c r="P150" s="198">
        <v>46235.0</v>
      </c>
      <c r="Q150" s="125">
        <v>365.0</v>
      </c>
      <c r="R150" s="36">
        <v>11000.0</v>
      </c>
      <c r="S150" s="36">
        <v>11000.0</v>
      </c>
      <c r="T150" s="199">
        <v>0.0</v>
      </c>
      <c r="U150" s="136">
        <v>11000.0</v>
      </c>
      <c r="V150" s="36">
        <v>22000.0</v>
      </c>
      <c r="W150" s="129" t="s">
        <v>1285</v>
      </c>
      <c r="X150" s="129" t="s">
        <v>1258</v>
      </c>
      <c r="Y150" s="129" t="s">
        <v>1244</v>
      </c>
      <c r="Z150" s="15"/>
      <c r="AA150" s="15"/>
      <c r="AB150" s="205">
        <v>31.0</v>
      </c>
      <c r="AC150" s="202"/>
      <c r="AD150" s="31" t="s">
        <v>1286</v>
      </c>
      <c r="AE150" s="83"/>
      <c r="AF150" s="83"/>
      <c r="AG150" s="83"/>
      <c r="AH150" s="83"/>
      <c r="AI150" s="83"/>
      <c r="AJ150" s="83"/>
      <c r="AK150" s="83"/>
      <c r="AL150" s="83"/>
    </row>
    <row r="151">
      <c r="A151" s="120" t="s">
        <v>111</v>
      </c>
      <c r="B151" s="132" t="s">
        <v>1287</v>
      </c>
      <c r="C151" s="121" t="str">
        <f>IFERROR(__xludf.DUMMYFUNCTION("""COMPUTED_VALUE"""),"南港站挑高宅")</f>
        <v>南港站挑高宅</v>
      </c>
      <c r="D151" s="121" t="str">
        <f>IFERROR(__xludf.DUMMYFUNCTION("""COMPUTED_VALUE"""),"B")</f>
        <v>B</v>
      </c>
      <c r="E151" s="132" t="s">
        <v>1288</v>
      </c>
      <c r="F151" s="122" t="str">
        <f>IFERROR(__xludf.DUMMYFUNCTION("""COMPUTED_VALUE"""),"鄭宇廷")</f>
        <v>鄭宇廷</v>
      </c>
      <c r="G151" s="196" t="s">
        <v>640</v>
      </c>
      <c r="H151" s="31" t="s">
        <v>630</v>
      </c>
      <c r="I151" s="31" t="s">
        <v>630</v>
      </c>
      <c r="J151" s="31" t="s">
        <v>631</v>
      </c>
      <c r="K151" s="31" t="s">
        <v>647</v>
      </c>
      <c r="L151" s="197">
        <v>45906.0</v>
      </c>
      <c r="M151" s="197">
        <v>45927.0</v>
      </c>
      <c r="N151" s="198">
        <v>46295.0</v>
      </c>
      <c r="O151" s="161">
        <v>46082.0</v>
      </c>
      <c r="P151" s="198">
        <v>46266.0</v>
      </c>
      <c r="Q151" s="125">
        <v>369.0</v>
      </c>
      <c r="R151" s="36">
        <v>11000.0</v>
      </c>
      <c r="S151" s="36">
        <v>11000.0</v>
      </c>
      <c r="T151" s="199">
        <v>0.0</v>
      </c>
      <c r="U151" s="136">
        <v>11000.0</v>
      </c>
      <c r="V151" s="36">
        <v>22000.0</v>
      </c>
      <c r="W151" s="129" t="s">
        <v>1289</v>
      </c>
      <c r="X151" s="129" t="s">
        <v>1290</v>
      </c>
      <c r="Y151" s="129" t="s">
        <v>1255</v>
      </c>
      <c r="Z151" s="15"/>
      <c r="AA151" s="15"/>
      <c r="AB151" s="205">
        <v>4.0</v>
      </c>
      <c r="AC151" s="202"/>
      <c r="AD151" s="31" t="s">
        <v>1291</v>
      </c>
      <c r="AE151" s="83"/>
      <c r="AF151" s="83"/>
      <c r="AG151" s="83"/>
      <c r="AH151" s="83"/>
      <c r="AI151" s="83"/>
      <c r="AJ151" s="83"/>
      <c r="AK151" s="83"/>
      <c r="AL151" s="83"/>
    </row>
    <row r="152">
      <c r="A152" s="120" t="s">
        <v>118</v>
      </c>
      <c r="B152" s="132" t="s">
        <v>1292</v>
      </c>
      <c r="C152" s="121" t="str">
        <f>IFERROR(__xludf.DUMMYFUNCTION("""COMPUTED_VALUE"""),"市府爺爺家")</f>
        <v>市府爺爺家</v>
      </c>
      <c r="D152" s="121" t="str">
        <f>IFERROR(__xludf.DUMMYFUNCTION("""COMPUTED_VALUE"""),"A")</f>
        <v>A</v>
      </c>
      <c r="E152" s="31" t="s">
        <v>912</v>
      </c>
      <c r="F152" s="122" t="str">
        <f>IFERROR(__xludf.DUMMYFUNCTION("""COMPUTED_VALUE"""),"董書鵬
張瑋珊")</f>
        <v>董書鵬
張瑋珊</v>
      </c>
      <c r="G152" s="196" t="s">
        <v>640</v>
      </c>
      <c r="H152" s="31" t="s">
        <v>630</v>
      </c>
      <c r="I152" s="31" t="s">
        <v>630</v>
      </c>
      <c r="J152" s="31" t="s">
        <v>631</v>
      </c>
      <c r="K152" s="31" t="s">
        <v>647</v>
      </c>
      <c r="L152" s="197">
        <v>45943.0</v>
      </c>
      <c r="M152" s="197">
        <v>45962.0</v>
      </c>
      <c r="N152" s="198">
        <v>46326.0</v>
      </c>
      <c r="O152" s="161">
        <v>46082.0</v>
      </c>
      <c r="P152" s="198">
        <v>46296.0</v>
      </c>
      <c r="Q152" s="125">
        <v>365.0</v>
      </c>
      <c r="R152" s="36">
        <v>22000.0</v>
      </c>
      <c r="S152" s="36">
        <v>22000.0</v>
      </c>
      <c r="T152" s="199">
        <v>0.0</v>
      </c>
      <c r="U152" s="136">
        <v>22000.0</v>
      </c>
      <c r="V152" s="36">
        <v>44000.0</v>
      </c>
      <c r="W152" s="129" t="s">
        <v>1293</v>
      </c>
      <c r="X152" s="129" t="s">
        <v>1294</v>
      </c>
      <c r="Y152" s="129" t="s">
        <v>1295</v>
      </c>
      <c r="Z152" s="15"/>
      <c r="AA152" s="15"/>
      <c r="AB152" s="201"/>
      <c r="AC152" s="202"/>
      <c r="AD152" s="31" t="s">
        <v>1296</v>
      </c>
      <c r="AE152" s="83"/>
      <c r="AF152" s="83"/>
      <c r="AG152" s="83"/>
      <c r="AH152" s="83"/>
      <c r="AI152" s="83"/>
      <c r="AJ152" s="83"/>
      <c r="AK152" s="83"/>
      <c r="AL152" s="83"/>
    </row>
    <row r="153">
      <c r="A153" s="120" t="s">
        <v>138</v>
      </c>
      <c r="B153" s="132" t="s">
        <v>1297</v>
      </c>
      <c r="C153" s="121" t="str">
        <f>IFERROR(__xludf.DUMMYFUNCTION("""COMPUTED_VALUE"""),"景安2分鐘")</f>
        <v>景安2分鐘</v>
      </c>
      <c r="D153" s="121" t="str">
        <f>IFERROR(__xludf.DUMMYFUNCTION("""COMPUTED_VALUE"""),"B")</f>
        <v>B</v>
      </c>
      <c r="E153" s="31" t="s">
        <v>1298</v>
      </c>
      <c r="F153" s="122" t="str">
        <f>IFERROR(__xludf.DUMMYFUNCTION("""COMPUTED_VALUE"""),"張依憑
張語婕")</f>
        <v>張依憑
張語婕</v>
      </c>
      <c r="G153" s="196" t="s">
        <v>640</v>
      </c>
      <c r="H153" s="31" t="s">
        <v>630</v>
      </c>
      <c r="I153" s="31" t="s">
        <v>630</v>
      </c>
      <c r="J153" s="31" t="s">
        <v>631</v>
      </c>
      <c r="K153" s="31" t="s">
        <v>647</v>
      </c>
      <c r="L153" s="197">
        <v>45943.0</v>
      </c>
      <c r="M153" s="197">
        <v>45962.0</v>
      </c>
      <c r="N153" s="198">
        <v>46326.0</v>
      </c>
      <c r="O153" s="161">
        <v>46082.0</v>
      </c>
      <c r="P153" s="198">
        <v>46296.0</v>
      </c>
      <c r="Q153" s="125">
        <v>365.0</v>
      </c>
      <c r="R153" s="36">
        <v>18800.0</v>
      </c>
      <c r="S153" s="36">
        <v>18800.0</v>
      </c>
      <c r="T153" s="199">
        <v>0.0</v>
      </c>
      <c r="U153" s="136">
        <v>18800.0</v>
      </c>
      <c r="V153" s="36">
        <v>37600.0</v>
      </c>
      <c r="W153" s="129" t="s">
        <v>1293</v>
      </c>
      <c r="X153" s="129" t="s">
        <v>1294</v>
      </c>
      <c r="Y153" s="129" t="s">
        <v>1295</v>
      </c>
      <c r="Z153" s="15"/>
      <c r="AA153" s="15"/>
      <c r="AB153" s="201"/>
      <c r="AC153" s="202"/>
      <c r="AD153" s="31" t="s">
        <v>1299</v>
      </c>
      <c r="AE153" s="83"/>
      <c r="AF153" s="83"/>
      <c r="AG153" s="83"/>
      <c r="AH153" s="83"/>
      <c r="AI153" s="83"/>
      <c r="AJ153" s="83"/>
      <c r="AK153" s="83"/>
      <c r="AL153" s="83"/>
    </row>
    <row r="154">
      <c r="A154" s="120" t="s">
        <v>134</v>
      </c>
      <c r="B154" s="132" t="s">
        <v>1300</v>
      </c>
      <c r="C154" s="121" t="str">
        <f>IFERROR(__xludf.DUMMYFUNCTION("""COMPUTED_VALUE"""),"景安2分鐘")</f>
        <v>景安2分鐘</v>
      </c>
      <c r="D154" s="121" t="str">
        <f>IFERROR(__xludf.DUMMYFUNCTION("""COMPUTED_VALUE"""),"A")</f>
        <v>A</v>
      </c>
      <c r="E154" s="31" t="s">
        <v>1301</v>
      </c>
      <c r="F154" s="122" t="str">
        <f>IFERROR(__xludf.DUMMYFUNCTION("""COMPUTED_VALUE"""),"王彥婷")</f>
        <v>王彥婷</v>
      </c>
      <c r="G154" s="196" t="s">
        <v>640</v>
      </c>
      <c r="H154" s="31" t="s">
        <v>630</v>
      </c>
      <c r="I154" s="31" t="s">
        <v>630</v>
      </c>
      <c r="J154" s="31" t="s">
        <v>631</v>
      </c>
      <c r="K154" s="31" t="s">
        <v>647</v>
      </c>
      <c r="L154" s="197">
        <v>45963.0</v>
      </c>
      <c r="M154" s="197">
        <v>45965.0</v>
      </c>
      <c r="N154" s="198">
        <v>46568.0</v>
      </c>
      <c r="O154" s="161">
        <v>46082.0</v>
      </c>
      <c r="P154" s="198">
        <v>46539.0</v>
      </c>
      <c r="Q154" s="125">
        <v>604.0</v>
      </c>
      <c r="R154" s="36">
        <v>13800.0</v>
      </c>
      <c r="S154" s="36">
        <v>13800.0</v>
      </c>
      <c r="T154" s="199">
        <v>0.0</v>
      </c>
      <c r="U154" s="136">
        <v>13800.0</v>
      </c>
      <c r="V154" s="36">
        <v>27600.0</v>
      </c>
      <c r="W154" s="129" t="s">
        <v>1302</v>
      </c>
      <c r="X154" s="129" t="s">
        <v>1303</v>
      </c>
      <c r="Y154" s="129" t="s">
        <v>1304</v>
      </c>
      <c r="Z154" s="15"/>
      <c r="AA154" s="15"/>
      <c r="AB154" s="201"/>
      <c r="AC154" s="202"/>
      <c r="AD154" s="31" t="s">
        <v>1305</v>
      </c>
      <c r="AE154" s="83"/>
      <c r="AF154" s="83"/>
      <c r="AG154" s="83"/>
      <c r="AH154" s="83"/>
      <c r="AI154" s="83"/>
      <c r="AJ154" s="83"/>
      <c r="AK154" s="83"/>
      <c r="AL154" s="83"/>
    </row>
    <row r="155">
      <c r="A155" s="120" t="s">
        <v>38</v>
      </c>
      <c r="B155" s="132" t="s">
        <v>1306</v>
      </c>
      <c r="C155" s="121" t="str">
        <f>IFERROR(__xludf.DUMMYFUNCTION("""COMPUTED_VALUE"""),"內湖秘境")</f>
        <v>內湖秘境</v>
      </c>
      <c r="D155" s="121" t="str">
        <f>IFERROR(__xludf.DUMMYFUNCTION("""COMPUTED_VALUE"""),"G")</f>
        <v>G</v>
      </c>
      <c r="E155" s="132" t="s">
        <v>739</v>
      </c>
      <c r="F155" s="122" t="str">
        <f>IFERROR(__xludf.DUMMYFUNCTION("""COMPUTED_VALUE"""),"徐若洹")</f>
        <v>徐若洹</v>
      </c>
      <c r="G155" s="196" t="s">
        <v>640</v>
      </c>
      <c r="H155" s="31" t="s">
        <v>630</v>
      </c>
      <c r="I155" s="31" t="s">
        <v>630</v>
      </c>
      <c r="J155" s="31" t="s">
        <v>631</v>
      </c>
      <c r="K155" s="31" t="s">
        <v>647</v>
      </c>
      <c r="L155" s="197">
        <v>45966.0</v>
      </c>
      <c r="M155" s="197">
        <v>45992.0</v>
      </c>
      <c r="N155" s="198">
        <v>46356.0</v>
      </c>
      <c r="O155" s="161">
        <v>46082.0</v>
      </c>
      <c r="P155" s="198">
        <v>46327.0</v>
      </c>
      <c r="Q155" s="125">
        <v>365.0</v>
      </c>
      <c r="R155" s="36">
        <v>12600.0</v>
      </c>
      <c r="S155" s="36">
        <v>12100.0</v>
      </c>
      <c r="T155" s="199">
        <v>0.0</v>
      </c>
      <c r="U155" s="136">
        <v>12100.0</v>
      </c>
      <c r="V155" s="36">
        <v>25200.0</v>
      </c>
      <c r="W155" s="129" t="s">
        <v>1307</v>
      </c>
      <c r="X155" s="129" t="s">
        <v>1308</v>
      </c>
      <c r="Y155" s="129" t="s">
        <v>1309</v>
      </c>
      <c r="Z155" s="15"/>
      <c r="AA155" s="15"/>
      <c r="AB155" s="205">
        <v>30.0</v>
      </c>
      <c r="AC155" s="202"/>
      <c r="AD155" s="31" t="s">
        <v>1310</v>
      </c>
      <c r="AE155" s="83"/>
      <c r="AF155" s="83"/>
      <c r="AG155" s="83"/>
      <c r="AH155" s="83"/>
      <c r="AI155" s="83"/>
      <c r="AJ155" s="83"/>
      <c r="AK155" s="83"/>
      <c r="AL155" s="83"/>
    </row>
    <row r="156">
      <c r="A156" s="120" t="s">
        <v>32</v>
      </c>
      <c r="B156" s="132" t="s">
        <v>1311</v>
      </c>
      <c r="C156" s="121" t="str">
        <f>IFERROR(__xludf.DUMMYFUNCTION("""COMPUTED_VALUE"""),"內湖秘境")</f>
        <v>內湖秘境</v>
      </c>
      <c r="D156" s="121" t="str">
        <f>IFERROR(__xludf.DUMMYFUNCTION("""COMPUTED_VALUE"""),"D")</f>
        <v>D</v>
      </c>
      <c r="E156" s="207" t="s">
        <v>707</v>
      </c>
      <c r="F156" s="122" t="str">
        <f>IFERROR(__xludf.DUMMYFUNCTION("""COMPUTED_VALUE"""),"王敏誠")</f>
        <v>王敏誠</v>
      </c>
      <c r="G156" s="196" t="s">
        <v>640</v>
      </c>
      <c r="H156" s="31" t="s">
        <v>630</v>
      </c>
      <c r="I156" s="31" t="s">
        <v>630</v>
      </c>
      <c r="J156" s="31" t="s">
        <v>631</v>
      </c>
      <c r="K156" s="31" t="s">
        <v>632</v>
      </c>
      <c r="L156" s="197">
        <v>45967.0</v>
      </c>
      <c r="M156" s="197">
        <v>45980.0</v>
      </c>
      <c r="N156" s="198">
        <v>46630.0</v>
      </c>
      <c r="O156" s="161">
        <v>46174.0</v>
      </c>
      <c r="P156" s="198">
        <v>46569.0</v>
      </c>
      <c r="Q156" s="125">
        <v>651.0</v>
      </c>
      <c r="R156" s="36">
        <v>13200.0</v>
      </c>
      <c r="S156" s="36">
        <v>13200.0</v>
      </c>
      <c r="T156" s="200"/>
      <c r="U156" s="136"/>
      <c r="V156" s="36">
        <v>26400.0</v>
      </c>
      <c r="W156" s="129" t="s">
        <v>1312</v>
      </c>
      <c r="X156" s="129" t="s">
        <v>1313</v>
      </c>
      <c r="Y156" s="129" t="s">
        <v>1314</v>
      </c>
      <c r="Z156" s="15"/>
      <c r="AA156" s="15"/>
      <c r="AB156" s="205">
        <v>13.0</v>
      </c>
      <c r="AC156" s="202"/>
      <c r="AD156" s="31" t="s">
        <v>1315</v>
      </c>
      <c r="AE156" s="83"/>
      <c r="AF156" s="83"/>
      <c r="AG156" s="83"/>
      <c r="AH156" s="83"/>
      <c r="AI156" s="83"/>
      <c r="AJ156" s="83"/>
      <c r="AK156" s="83"/>
      <c r="AL156" s="83"/>
    </row>
    <row r="157">
      <c r="A157" s="120" t="s">
        <v>29</v>
      </c>
      <c r="B157" s="132" t="s">
        <v>1316</v>
      </c>
      <c r="C157" s="121" t="str">
        <f>IFERROR(__xludf.DUMMYFUNCTION("""COMPUTED_VALUE"""),"內湖秘境")</f>
        <v>內湖秘境</v>
      </c>
      <c r="D157" s="121" t="str">
        <f>IFERROR(__xludf.DUMMYFUNCTION("""COMPUTED_VALUE"""),"B")</f>
        <v>B</v>
      </c>
      <c r="E157" s="207" t="s">
        <v>1317</v>
      </c>
      <c r="F157" s="122" t="str">
        <f>IFERROR(__xludf.DUMMYFUNCTION("""COMPUTED_VALUE"""),"司徒尚奕")</f>
        <v>司徒尚奕</v>
      </c>
      <c r="G157" s="196" t="s">
        <v>640</v>
      </c>
      <c r="H157" s="31" t="s">
        <v>630</v>
      </c>
      <c r="I157" s="31" t="s">
        <v>630</v>
      </c>
      <c r="J157" s="31" t="s">
        <v>631</v>
      </c>
      <c r="K157" s="31" t="s">
        <v>647</v>
      </c>
      <c r="L157" s="197">
        <v>45996.0</v>
      </c>
      <c r="M157" s="197">
        <v>46006.0</v>
      </c>
      <c r="N157" s="198">
        <v>46387.0</v>
      </c>
      <c r="O157" s="161">
        <v>46082.0</v>
      </c>
      <c r="P157" s="198">
        <v>46357.0</v>
      </c>
      <c r="Q157" s="125">
        <v>382.0</v>
      </c>
      <c r="R157" s="36">
        <v>12300.0</v>
      </c>
      <c r="S157" s="36">
        <v>12300.0</v>
      </c>
      <c r="T157" s="199">
        <v>0.0</v>
      </c>
      <c r="U157" s="136">
        <v>12300.0</v>
      </c>
      <c r="V157" s="36">
        <v>24600.0</v>
      </c>
      <c r="W157" s="129" t="s">
        <v>1318</v>
      </c>
      <c r="X157" s="129" t="s">
        <v>1319</v>
      </c>
      <c r="Y157" s="129" t="s">
        <v>1320</v>
      </c>
      <c r="Z157" s="15"/>
      <c r="AA157" s="15"/>
      <c r="AB157" s="201"/>
      <c r="AC157" s="202"/>
      <c r="AD157" s="31" t="s">
        <v>1321</v>
      </c>
      <c r="AE157" s="83"/>
      <c r="AF157" s="83"/>
      <c r="AG157" s="83"/>
      <c r="AH157" s="83"/>
      <c r="AI157" s="83"/>
      <c r="AJ157" s="83"/>
      <c r="AK157" s="83"/>
      <c r="AL157" s="83"/>
    </row>
    <row r="158">
      <c r="A158" s="120" t="s">
        <v>180</v>
      </c>
      <c r="B158" s="132" t="s">
        <v>1322</v>
      </c>
      <c r="C158" s="121" t="str">
        <f>IFERROR(__xludf.DUMMYFUNCTION("""COMPUTED_VALUE"""),"中山北Feli家")</f>
        <v>中山北Feli家</v>
      </c>
      <c r="D158" s="121" t="str">
        <f>IFERROR(__xludf.DUMMYFUNCTION("""COMPUTED_VALUE"""),"C")</f>
        <v>C</v>
      </c>
      <c r="E158" s="207" t="s">
        <v>1323</v>
      </c>
      <c r="F158" s="122" t="str">
        <f>IFERROR(__xludf.DUMMYFUNCTION("""COMPUTED_VALUE"""),"李宜蓁")</f>
        <v>李宜蓁</v>
      </c>
      <c r="G158" s="196" t="s">
        <v>640</v>
      </c>
      <c r="H158" s="31" t="s">
        <v>630</v>
      </c>
      <c r="I158" s="31" t="s">
        <v>630</v>
      </c>
      <c r="J158" s="31" t="s">
        <v>631</v>
      </c>
      <c r="K158" s="31" t="s">
        <v>647</v>
      </c>
      <c r="L158" s="197">
        <v>45997.0</v>
      </c>
      <c r="M158" s="197">
        <v>46000.0</v>
      </c>
      <c r="N158" s="198">
        <v>46568.0</v>
      </c>
      <c r="O158" s="161">
        <v>46082.0</v>
      </c>
      <c r="P158" s="198">
        <v>46539.0</v>
      </c>
      <c r="Q158" s="125">
        <v>569.0</v>
      </c>
      <c r="R158" s="36">
        <v>11500.0</v>
      </c>
      <c r="S158" s="36">
        <v>11500.0</v>
      </c>
      <c r="T158" s="199">
        <v>0.0</v>
      </c>
      <c r="U158" s="136">
        <v>11500.0</v>
      </c>
      <c r="V158" s="36">
        <v>23000.0</v>
      </c>
      <c r="W158" s="129" t="s">
        <v>1324</v>
      </c>
      <c r="X158" s="129" t="s">
        <v>1325</v>
      </c>
      <c r="Y158" s="129" t="s">
        <v>1304</v>
      </c>
      <c r="Z158" s="15"/>
      <c r="AA158" s="15"/>
      <c r="AB158" s="201"/>
      <c r="AC158" s="202"/>
      <c r="AD158" s="31" t="s">
        <v>1326</v>
      </c>
      <c r="AE158" s="83"/>
      <c r="AF158" s="83"/>
      <c r="AG158" s="83"/>
      <c r="AH158" s="83"/>
      <c r="AI158" s="83"/>
      <c r="AJ158" s="83"/>
      <c r="AK158" s="83"/>
      <c r="AL158" s="83"/>
    </row>
    <row r="159" hidden="1">
      <c r="A159" s="120" t="s">
        <v>227</v>
      </c>
      <c r="B159" s="208"/>
      <c r="C159" s="121" t="str">
        <f>IFERROR(__xludf.DUMMYFUNCTION("""COMPUTED_VALUE"""),"永春四號")</f>
        <v>永春四號</v>
      </c>
      <c r="D159" s="121" t="str">
        <f>IFERROR(__xludf.DUMMYFUNCTION("""COMPUTED_VALUE"""),"兩房")</f>
        <v>兩房</v>
      </c>
      <c r="E159" s="15"/>
      <c r="F159" s="122"/>
      <c r="G159" s="196" t="s">
        <v>629</v>
      </c>
      <c r="H159" s="15"/>
      <c r="I159" s="15"/>
      <c r="J159" s="31" t="s">
        <v>631</v>
      </c>
      <c r="K159" s="15"/>
      <c r="L159" s="197">
        <v>45968.0</v>
      </c>
      <c r="M159" s="197">
        <v>45980.0</v>
      </c>
      <c r="N159" s="198">
        <v>45982.0</v>
      </c>
      <c r="O159" s="209"/>
      <c r="P159" s="204"/>
      <c r="Q159" s="125">
        <v>3.0</v>
      </c>
      <c r="R159" s="210"/>
      <c r="S159" s="210"/>
      <c r="T159" s="200"/>
      <c r="U159" s="128"/>
      <c r="V159" s="210"/>
      <c r="W159" s="129" t="s">
        <v>1327</v>
      </c>
      <c r="X159" s="129" t="s">
        <v>1313</v>
      </c>
      <c r="Y159" s="129" t="s">
        <v>1328</v>
      </c>
      <c r="Z159" s="15"/>
      <c r="AA159" s="15"/>
      <c r="AB159" s="205">
        <v>3.0</v>
      </c>
      <c r="AC159" s="202"/>
      <c r="AD159" s="15"/>
      <c r="AE159" s="83"/>
      <c r="AF159" s="83"/>
      <c r="AG159" s="83"/>
      <c r="AH159" s="83"/>
      <c r="AI159" s="83"/>
      <c r="AJ159" s="83"/>
      <c r="AK159" s="83"/>
      <c r="AL159" s="83"/>
    </row>
    <row r="160">
      <c r="A160" s="120" t="s">
        <v>52</v>
      </c>
      <c r="B160" s="132" t="s">
        <v>1329</v>
      </c>
      <c r="C160" s="121" t="str">
        <f>IFERROR(__xludf.DUMMYFUNCTION("""COMPUTED_VALUE"""),"龍江229")</f>
        <v>龍江229</v>
      </c>
      <c r="D160" s="121" t="str">
        <f>IFERROR(__xludf.DUMMYFUNCTION("""COMPUTED_VALUE"""),"E")</f>
        <v>E</v>
      </c>
      <c r="E160" s="31" t="s">
        <v>1330</v>
      </c>
      <c r="F160" s="122" t="str">
        <f>IFERROR(__xludf.DUMMYFUNCTION("""COMPUTED_VALUE"""),"詹子緹")</f>
        <v>詹子緹</v>
      </c>
      <c r="G160" s="196" t="s">
        <v>640</v>
      </c>
      <c r="H160" s="31" t="s">
        <v>630</v>
      </c>
      <c r="I160" s="31" t="s">
        <v>630</v>
      </c>
      <c r="J160" s="31" t="s">
        <v>631</v>
      </c>
      <c r="K160" s="31" t="s">
        <v>647</v>
      </c>
      <c r="L160" s="197">
        <v>46007.0</v>
      </c>
      <c r="M160" s="197">
        <v>46016.0</v>
      </c>
      <c r="N160" s="198">
        <v>46599.0</v>
      </c>
      <c r="O160" s="161">
        <v>46082.0</v>
      </c>
      <c r="P160" s="198">
        <v>46569.0</v>
      </c>
      <c r="Q160" s="125">
        <v>584.0</v>
      </c>
      <c r="R160" s="36">
        <v>11500.0</v>
      </c>
      <c r="S160" s="36">
        <v>11500.0</v>
      </c>
      <c r="T160" s="199">
        <v>0.0</v>
      </c>
      <c r="U160" s="136">
        <v>11500.0</v>
      </c>
      <c r="V160" s="36">
        <v>23000.0</v>
      </c>
      <c r="W160" s="129" t="s">
        <v>1331</v>
      </c>
      <c r="X160" s="129" t="s">
        <v>1332</v>
      </c>
      <c r="Y160" s="129" t="s">
        <v>1333</v>
      </c>
      <c r="Z160" s="15"/>
      <c r="AA160" s="15"/>
      <c r="AB160" s="205">
        <v>7.0</v>
      </c>
      <c r="AC160" s="202"/>
      <c r="AD160" s="31" t="s">
        <v>1334</v>
      </c>
      <c r="AE160" s="83"/>
      <c r="AF160" s="83"/>
      <c r="AG160" s="83"/>
      <c r="AH160" s="83"/>
      <c r="AI160" s="83"/>
      <c r="AJ160" s="83"/>
      <c r="AK160" s="83"/>
      <c r="AL160" s="83"/>
    </row>
    <row r="161">
      <c r="A161" s="120" t="s">
        <v>235</v>
      </c>
      <c r="B161" s="132" t="s">
        <v>1335</v>
      </c>
      <c r="C161" s="121" t="str">
        <f>IFERROR(__xludf.DUMMYFUNCTION("""COMPUTED_VALUE"""),"行天宮夏野良栗")</f>
        <v>行天宮夏野良栗</v>
      </c>
      <c r="D161" s="121" t="str">
        <f>IFERROR(__xludf.DUMMYFUNCTION("""COMPUTED_VALUE"""),"兩房")</f>
        <v>兩房</v>
      </c>
      <c r="E161" s="31" t="s">
        <v>1336</v>
      </c>
      <c r="F161" s="122" t="str">
        <f>IFERROR(__xludf.DUMMYFUNCTION("""COMPUTED_VALUE"""),"林天成
蔡凱鈞")</f>
        <v>林天成
蔡凱鈞</v>
      </c>
      <c r="G161" s="196" t="s">
        <v>640</v>
      </c>
      <c r="H161" s="31" t="s">
        <v>630</v>
      </c>
      <c r="I161" s="31" t="s">
        <v>630</v>
      </c>
      <c r="J161" s="31" t="s">
        <v>631</v>
      </c>
      <c r="K161" s="31" t="s">
        <v>647</v>
      </c>
      <c r="L161" s="197">
        <v>46001.0</v>
      </c>
      <c r="M161" s="197">
        <v>46012.0</v>
      </c>
      <c r="N161" s="198">
        <v>46568.0</v>
      </c>
      <c r="O161" s="161">
        <v>46023.0</v>
      </c>
      <c r="P161" s="198">
        <v>46539.0</v>
      </c>
      <c r="Q161" s="125">
        <v>557.0</v>
      </c>
      <c r="R161" s="36">
        <v>27800.0</v>
      </c>
      <c r="S161" s="36">
        <v>27800.0</v>
      </c>
      <c r="T161" s="199">
        <v>13900.0</v>
      </c>
      <c r="U161" s="136">
        <v>13900.0</v>
      </c>
      <c r="V161" s="36">
        <v>55600.0</v>
      </c>
      <c r="W161" s="129" t="s">
        <v>1337</v>
      </c>
      <c r="X161" s="129" t="s">
        <v>1338</v>
      </c>
      <c r="Y161" s="129" t="s">
        <v>1304</v>
      </c>
      <c r="Z161" s="15"/>
      <c r="AA161" s="15"/>
      <c r="AB161" s="205">
        <v>10.0</v>
      </c>
      <c r="AC161" s="202"/>
      <c r="AD161" s="15"/>
      <c r="AE161" s="83"/>
      <c r="AF161" s="83"/>
      <c r="AG161" s="83"/>
      <c r="AH161" s="83"/>
      <c r="AI161" s="83"/>
      <c r="AJ161" s="83"/>
      <c r="AK161" s="83"/>
      <c r="AL161" s="83"/>
    </row>
    <row r="162">
      <c r="A162" s="120" t="s">
        <v>227</v>
      </c>
      <c r="B162" s="132" t="s">
        <v>1339</v>
      </c>
      <c r="C162" s="121" t="str">
        <f>IFERROR(__xludf.DUMMYFUNCTION("""COMPUTED_VALUE"""),"永春四號")</f>
        <v>永春四號</v>
      </c>
      <c r="D162" s="121" t="str">
        <f>IFERROR(__xludf.DUMMYFUNCTION("""COMPUTED_VALUE"""),"兩房")</f>
        <v>兩房</v>
      </c>
      <c r="E162" s="31" t="s">
        <v>1340</v>
      </c>
      <c r="F162" s="122" t="str">
        <f>IFERROR(__xludf.DUMMYFUNCTION("""COMPUTED_VALUE"""),"巫易軒
林千毓
蕭子宣")</f>
        <v>巫易軒
林千毓
蕭子宣</v>
      </c>
      <c r="G162" s="196" t="s">
        <v>640</v>
      </c>
      <c r="H162" s="31" t="s">
        <v>630</v>
      </c>
      <c r="I162" s="31" t="s">
        <v>630</v>
      </c>
      <c r="J162" s="31" t="s">
        <v>631</v>
      </c>
      <c r="K162" s="31" t="s">
        <v>647</v>
      </c>
      <c r="L162" s="197">
        <v>46003.0</v>
      </c>
      <c r="M162" s="197">
        <v>46009.0</v>
      </c>
      <c r="N162" s="198">
        <v>46568.0</v>
      </c>
      <c r="O162" s="161">
        <v>46082.0</v>
      </c>
      <c r="P162" s="198">
        <v>46539.0</v>
      </c>
      <c r="Q162" s="125">
        <v>560.0</v>
      </c>
      <c r="R162" s="36">
        <v>29800.0</v>
      </c>
      <c r="S162" s="36">
        <v>29800.0</v>
      </c>
      <c r="T162" s="199">
        <v>0.0</v>
      </c>
      <c r="U162" s="136">
        <v>29800.0</v>
      </c>
      <c r="V162" s="36">
        <v>59600.0</v>
      </c>
      <c r="W162" s="129" t="s">
        <v>1341</v>
      </c>
      <c r="X162" s="129" t="s">
        <v>1342</v>
      </c>
      <c r="Y162" s="129" t="s">
        <v>1304</v>
      </c>
      <c r="Z162" s="15"/>
      <c r="AA162" s="15"/>
      <c r="AB162" s="205">
        <v>13.0</v>
      </c>
      <c r="AC162" s="202"/>
      <c r="AD162" s="15"/>
      <c r="AE162" s="83"/>
      <c r="AF162" s="83"/>
      <c r="AG162" s="83"/>
      <c r="AH162" s="83"/>
      <c r="AI162" s="83"/>
      <c r="AJ162" s="83"/>
      <c r="AK162" s="83"/>
      <c r="AL162" s="83"/>
    </row>
    <row r="163">
      <c r="A163" s="120" t="s">
        <v>15</v>
      </c>
      <c r="B163" s="132" t="s">
        <v>1343</v>
      </c>
      <c r="C163" s="121" t="str">
        <f>IFERROR(__xludf.DUMMYFUNCTION("""COMPUTED_VALUE"""),"永春四號")</f>
        <v>永春四號</v>
      </c>
      <c r="D163" s="121" t="str">
        <f>IFERROR(__xludf.DUMMYFUNCTION("""COMPUTED_VALUE"""),"A")</f>
        <v>A</v>
      </c>
      <c r="E163" s="31" t="s">
        <v>628</v>
      </c>
      <c r="F163" s="122" t="str">
        <f>IFERROR(__xludf.DUMMYFUNCTION("""COMPUTED_VALUE"""),"辜馨嬅")</f>
        <v>辜馨嬅</v>
      </c>
      <c r="G163" s="196" t="s">
        <v>1344</v>
      </c>
      <c r="H163" s="31" t="s">
        <v>630</v>
      </c>
      <c r="I163" s="31" t="s">
        <v>630</v>
      </c>
      <c r="J163" s="31" t="s">
        <v>631</v>
      </c>
      <c r="K163" s="31" t="s">
        <v>647</v>
      </c>
      <c r="L163" s="197">
        <v>46042.0</v>
      </c>
      <c r="M163" s="197">
        <v>46082.0</v>
      </c>
      <c r="N163" s="198">
        <v>46477.0</v>
      </c>
      <c r="O163" s="161">
        <v>46082.0</v>
      </c>
      <c r="P163" s="198">
        <v>46419.0</v>
      </c>
      <c r="Q163" s="125">
        <v>396.0</v>
      </c>
      <c r="R163" s="36">
        <v>12900.0</v>
      </c>
      <c r="S163" s="36">
        <v>12900.0</v>
      </c>
      <c r="T163" s="200"/>
      <c r="U163" s="136"/>
      <c r="V163" s="36">
        <v>25800.0</v>
      </c>
      <c r="W163" s="129" t="s">
        <v>1345</v>
      </c>
      <c r="X163" s="129" t="s">
        <v>1346</v>
      </c>
      <c r="Y163" s="129" t="s">
        <v>1347</v>
      </c>
      <c r="Z163" s="15"/>
      <c r="AA163" s="15"/>
      <c r="AB163" s="205">
        <v>-693960.0</v>
      </c>
      <c r="AC163" s="202"/>
      <c r="AD163" s="31" t="s">
        <v>1348</v>
      </c>
      <c r="AE163" s="83"/>
      <c r="AF163" s="83"/>
      <c r="AG163" s="83"/>
      <c r="AH163" s="83"/>
      <c r="AI163" s="83"/>
      <c r="AJ163" s="83"/>
      <c r="AK163" s="83"/>
      <c r="AL163" s="83"/>
    </row>
    <row r="164">
      <c r="A164" s="120" t="s">
        <v>179</v>
      </c>
      <c r="B164" s="132" t="s">
        <v>1349</v>
      </c>
      <c r="C164" s="121" t="str">
        <f>IFERROR(__xludf.DUMMYFUNCTION("""COMPUTED_VALUE"""),"中山北Feli家")</f>
        <v>中山北Feli家</v>
      </c>
      <c r="D164" s="121" t="str">
        <f>IFERROR(__xludf.DUMMYFUNCTION("""COMPUTED_VALUE"""),"B")</f>
        <v>B</v>
      </c>
      <c r="E164" s="31" t="s">
        <v>1030</v>
      </c>
      <c r="F164" s="122" t="str">
        <f>IFERROR(__xludf.DUMMYFUNCTION("""COMPUTED_VALUE"""),"杜思瑀
陳廷瀀")</f>
        <v>杜思瑀
陳廷瀀</v>
      </c>
      <c r="G164" s="211" t="s">
        <v>1344</v>
      </c>
      <c r="H164" s="31" t="s">
        <v>630</v>
      </c>
      <c r="I164" s="31" t="s">
        <v>630</v>
      </c>
      <c r="J164" s="31" t="s">
        <v>631</v>
      </c>
      <c r="K164" s="31" t="s">
        <v>647</v>
      </c>
      <c r="L164" s="197">
        <v>46043.0</v>
      </c>
      <c r="M164" s="197">
        <v>46082.0</v>
      </c>
      <c r="N164" s="198">
        <v>46265.0</v>
      </c>
      <c r="O164" s="161">
        <v>46082.0</v>
      </c>
      <c r="P164" s="198">
        <v>46235.0</v>
      </c>
      <c r="Q164" s="125">
        <v>184.0</v>
      </c>
      <c r="R164" s="36">
        <v>17500.0</v>
      </c>
      <c r="S164" s="36">
        <v>17500.0</v>
      </c>
      <c r="T164" s="200"/>
      <c r="U164" s="136"/>
      <c r="V164" s="36">
        <v>35000.0</v>
      </c>
      <c r="W164" s="129" t="s">
        <v>1350</v>
      </c>
      <c r="X164" s="129" t="s">
        <v>1346</v>
      </c>
      <c r="Y164" s="129" t="s">
        <v>1244</v>
      </c>
      <c r="Z164" s="15"/>
      <c r="AA164" s="15"/>
      <c r="AB164" s="205">
        <v>-693960.0</v>
      </c>
      <c r="AC164" s="202"/>
      <c r="AD164" s="31" t="s">
        <v>1351</v>
      </c>
      <c r="AE164" s="83"/>
      <c r="AF164" s="83"/>
      <c r="AG164" s="83"/>
      <c r="AH164" s="83"/>
      <c r="AI164" s="83"/>
      <c r="AJ164" s="83"/>
      <c r="AK164" s="83"/>
      <c r="AL164" s="83"/>
    </row>
    <row r="165">
      <c r="A165" s="120" t="s">
        <v>182</v>
      </c>
      <c r="B165" s="132" t="s">
        <v>1352</v>
      </c>
      <c r="C165" s="121" t="str">
        <f>IFERROR(__xludf.DUMMYFUNCTION("""COMPUTED_VALUE"""),"中山北Feli家")</f>
        <v>中山北Feli家</v>
      </c>
      <c r="D165" s="121" t="str">
        <f>IFERROR(__xludf.DUMMYFUNCTION("""COMPUTED_VALUE"""),"D")</f>
        <v>D</v>
      </c>
      <c r="E165" s="31" t="s">
        <v>1052</v>
      </c>
      <c r="F165" s="122" t="str">
        <f>IFERROR(__xludf.DUMMYFUNCTION("""COMPUTED_VALUE"""),"邱佳慧")</f>
        <v>邱佳慧</v>
      </c>
      <c r="G165" s="211" t="s">
        <v>1344</v>
      </c>
      <c r="H165" s="31" t="s">
        <v>630</v>
      </c>
      <c r="I165" s="31" t="s">
        <v>630</v>
      </c>
      <c r="J165" s="31" t="s">
        <v>631</v>
      </c>
      <c r="K165" s="31" t="s">
        <v>647</v>
      </c>
      <c r="L165" s="197">
        <v>46040.0</v>
      </c>
      <c r="M165" s="197">
        <v>46082.0</v>
      </c>
      <c r="N165" s="198">
        <v>46477.0</v>
      </c>
      <c r="O165" s="161">
        <v>46082.0</v>
      </c>
      <c r="P165" s="198">
        <v>46419.0</v>
      </c>
      <c r="Q165" s="125">
        <v>396.0</v>
      </c>
      <c r="R165" s="36">
        <v>10800.0</v>
      </c>
      <c r="S165" s="36">
        <v>10800.0</v>
      </c>
      <c r="T165" s="200"/>
      <c r="U165" s="136"/>
      <c r="V165" s="36">
        <v>21600.0</v>
      </c>
      <c r="W165" s="129" t="s">
        <v>1353</v>
      </c>
      <c r="X165" s="129" t="s">
        <v>1346</v>
      </c>
      <c r="Y165" s="129" t="s">
        <v>1347</v>
      </c>
      <c r="Z165" s="15"/>
      <c r="AA165" s="15"/>
      <c r="AB165" s="205">
        <v>-693960.0</v>
      </c>
      <c r="AC165" s="202"/>
      <c r="AD165" s="31" t="s">
        <v>1354</v>
      </c>
      <c r="AE165" s="83"/>
      <c r="AF165" s="83"/>
      <c r="AG165" s="83"/>
      <c r="AH165" s="83"/>
      <c r="AI165" s="83"/>
      <c r="AJ165" s="83"/>
      <c r="AK165" s="83"/>
      <c r="AL165" s="83"/>
    </row>
    <row r="166">
      <c r="A166" s="120" t="s">
        <v>218</v>
      </c>
      <c r="B166" s="132" t="s">
        <v>1355</v>
      </c>
      <c r="C166" s="121" t="str">
        <f>IFERROR(__xludf.DUMMYFUNCTION("""COMPUTED_VALUE"""),"內湖CityLink")</f>
        <v>內湖CityLink</v>
      </c>
      <c r="D166" s="121" t="str">
        <f>IFERROR(__xludf.DUMMYFUNCTION("""COMPUTED_VALUE"""),"D")</f>
        <v>D</v>
      </c>
      <c r="E166" s="31" t="s">
        <v>1356</v>
      </c>
      <c r="F166" s="122" t="str">
        <f>IFERROR(__xludf.DUMMYFUNCTION("""COMPUTED_VALUE"""),"陳品文")</f>
        <v>陳品文</v>
      </c>
      <c r="G166" s="211" t="s">
        <v>640</v>
      </c>
      <c r="H166" s="31" t="s">
        <v>630</v>
      </c>
      <c r="I166" s="31" t="s">
        <v>630</v>
      </c>
      <c r="J166" s="31" t="s">
        <v>631</v>
      </c>
      <c r="K166" s="31" t="s">
        <v>647</v>
      </c>
      <c r="L166" s="197">
        <v>46046.0</v>
      </c>
      <c r="M166" s="197">
        <v>46054.0</v>
      </c>
      <c r="N166" s="198">
        <v>46568.0</v>
      </c>
      <c r="O166" s="161">
        <v>46113.0</v>
      </c>
      <c r="P166" s="198">
        <v>46568.0</v>
      </c>
      <c r="Q166" s="125">
        <v>515.0</v>
      </c>
      <c r="R166" s="36">
        <v>12500.0</v>
      </c>
      <c r="S166" s="36">
        <v>12500.0</v>
      </c>
      <c r="T166" s="199">
        <v>0.0</v>
      </c>
      <c r="U166" s="136">
        <v>12500.0</v>
      </c>
      <c r="V166" s="36">
        <v>25000.0</v>
      </c>
      <c r="W166" s="129" t="s">
        <v>1357</v>
      </c>
      <c r="X166" s="129" t="s">
        <v>1358</v>
      </c>
      <c r="Y166" s="129" t="s">
        <v>1304</v>
      </c>
      <c r="Z166" s="15"/>
      <c r="AA166" s="15"/>
      <c r="AB166" s="201"/>
      <c r="AC166" s="202"/>
      <c r="AD166" s="31" t="s">
        <v>1359</v>
      </c>
      <c r="AE166" s="83"/>
      <c r="AF166" s="83"/>
      <c r="AG166" s="83"/>
      <c r="AH166" s="83"/>
      <c r="AI166" s="83"/>
      <c r="AJ166" s="83"/>
      <c r="AK166" s="83"/>
      <c r="AL166" s="83"/>
    </row>
    <row r="167">
      <c r="A167" s="120" t="s">
        <v>33</v>
      </c>
      <c r="B167" s="132" t="s">
        <v>1360</v>
      </c>
      <c r="C167" s="121" t="str">
        <f>IFERROR(__xludf.DUMMYFUNCTION("""COMPUTED_VALUE"""),"內湖秘境")</f>
        <v>內湖秘境</v>
      </c>
      <c r="D167" s="121" t="str">
        <f>IFERROR(__xludf.DUMMYFUNCTION("""COMPUTED_VALUE"""),"E")</f>
        <v>E</v>
      </c>
      <c r="E167" s="31" t="s">
        <v>728</v>
      </c>
      <c r="F167" s="122" t="str">
        <f>IFERROR(__xludf.DUMMYFUNCTION("""COMPUTED_VALUE"""),"林芷妤")</f>
        <v>林芷妤</v>
      </c>
      <c r="G167" s="211" t="s">
        <v>1344</v>
      </c>
      <c r="H167" s="31" t="s">
        <v>630</v>
      </c>
      <c r="I167" s="31" t="s">
        <v>630</v>
      </c>
      <c r="J167" s="31" t="s">
        <v>631</v>
      </c>
      <c r="K167" s="31" t="s">
        <v>647</v>
      </c>
      <c r="L167" s="197">
        <v>46041.0</v>
      </c>
      <c r="M167" s="197">
        <v>46082.0</v>
      </c>
      <c r="N167" s="198">
        <v>46477.0</v>
      </c>
      <c r="O167" s="161">
        <v>46082.0</v>
      </c>
      <c r="P167" s="198">
        <v>46447.0</v>
      </c>
      <c r="Q167" s="125">
        <v>396.0</v>
      </c>
      <c r="R167" s="36">
        <v>13600.0</v>
      </c>
      <c r="S167" s="36">
        <v>13600.0</v>
      </c>
      <c r="T167" s="200"/>
      <c r="U167" s="136"/>
      <c r="V167" s="36">
        <v>27200.0</v>
      </c>
      <c r="W167" s="129" t="s">
        <v>1361</v>
      </c>
      <c r="X167" s="129" t="s">
        <v>1346</v>
      </c>
      <c r="Y167" s="129" t="s">
        <v>1347</v>
      </c>
      <c r="Z167" s="15"/>
      <c r="AA167" s="15"/>
      <c r="AB167" s="201"/>
      <c r="AC167" s="202"/>
      <c r="AD167" s="31" t="s">
        <v>1362</v>
      </c>
      <c r="AE167" s="83"/>
      <c r="AF167" s="83"/>
      <c r="AG167" s="83"/>
      <c r="AH167" s="83"/>
      <c r="AI167" s="83"/>
      <c r="AJ167" s="83"/>
      <c r="AK167" s="83"/>
      <c r="AL167" s="83"/>
    </row>
    <row r="168">
      <c r="A168" s="120" t="s">
        <v>143</v>
      </c>
      <c r="B168" s="132" t="s">
        <v>1363</v>
      </c>
      <c r="C168" s="121" t="str">
        <f>IFERROR(__xludf.DUMMYFUNCTION("""COMPUTED_VALUE"""),"景安2分鐘")</f>
        <v>景安2分鐘</v>
      </c>
      <c r="D168" s="121" t="str">
        <f>IFERROR(__xludf.DUMMYFUNCTION("""COMPUTED_VALUE"""),"D")</f>
        <v>D</v>
      </c>
      <c r="E168" s="212" t="s">
        <v>985</v>
      </c>
      <c r="F168" s="122" t="str">
        <f>IFERROR(__xludf.DUMMYFUNCTION("""COMPUTED_VALUE"""),"鍾佩晶")</f>
        <v>鍾佩晶</v>
      </c>
      <c r="G168" s="211" t="s">
        <v>1344</v>
      </c>
      <c r="H168" s="31" t="s">
        <v>630</v>
      </c>
      <c r="I168" s="31" t="s">
        <v>630</v>
      </c>
      <c r="J168" s="31" t="s">
        <v>631</v>
      </c>
      <c r="K168" s="31" t="s">
        <v>647</v>
      </c>
      <c r="L168" s="203">
        <v>46051.0</v>
      </c>
      <c r="M168" s="203">
        <v>46082.0</v>
      </c>
      <c r="N168" s="204">
        <v>46477.0</v>
      </c>
      <c r="O168" s="209">
        <v>46082.0</v>
      </c>
      <c r="P168" s="204">
        <v>46419.0</v>
      </c>
      <c r="Q168" s="125">
        <v>396.0</v>
      </c>
      <c r="R168" s="210">
        <v>8600.0</v>
      </c>
      <c r="S168" s="210">
        <v>8600.0</v>
      </c>
      <c r="T168" s="200"/>
      <c r="U168" s="136"/>
      <c r="V168" s="210">
        <v>17200.0</v>
      </c>
      <c r="W168" s="129" t="s">
        <v>1364</v>
      </c>
      <c r="X168" s="129" t="s">
        <v>1346</v>
      </c>
      <c r="Y168" s="129" t="s">
        <v>1347</v>
      </c>
      <c r="Z168" s="15"/>
      <c r="AA168" s="15"/>
      <c r="AB168" s="201"/>
      <c r="AC168" s="202"/>
      <c r="AD168" s="31" t="s">
        <v>1365</v>
      </c>
      <c r="AE168" s="83"/>
      <c r="AF168" s="83"/>
      <c r="AG168" s="83"/>
      <c r="AH168" s="83"/>
      <c r="AI168" s="83"/>
      <c r="AJ168" s="83"/>
      <c r="AK168" s="83"/>
      <c r="AL168" s="83"/>
    </row>
    <row r="169">
      <c r="A169" s="120" t="s">
        <v>156</v>
      </c>
      <c r="B169" s="132" t="s">
        <v>1366</v>
      </c>
      <c r="C169" s="121" t="str">
        <f>IFERROR(__xludf.DUMMYFUNCTION("""COMPUTED_VALUE"""),"中山北娘家旁")</f>
        <v>中山北娘家旁</v>
      </c>
      <c r="D169" s="121" t="str">
        <f>IFERROR(__xludf.DUMMYFUNCTION("""COMPUTED_VALUE"""),"C")</f>
        <v>C</v>
      </c>
      <c r="E169" s="213" t="s">
        <v>1002</v>
      </c>
      <c r="F169" s="122" t="str">
        <f>IFERROR(__xludf.DUMMYFUNCTION("""COMPUTED_VALUE"""),"魏湘芸")</f>
        <v>魏湘芸</v>
      </c>
      <c r="G169" s="211" t="s">
        <v>1344</v>
      </c>
      <c r="H169" s="31" t="s">
        <v>630</v>
      </c>
      <c r="I169" s="31" t="s">
        <v>630</v>
      </c>
      <c r="J169" s="31" t="s">
        <v>631</v>
      </c>
      <c r="K169" s="31" t="s">
        <v>647</v>
      </c>
      <c r="L169" s="203">
        <v>46057.0</v>
      </c>
      <c r="M169" s="203">
        <v>46082.0</v>
      </c>
      <c r="N169" s="204">
        <v>46477.0</v>
      </c>
      <c r="O169" s="209">
        <v>46082.0</v>
      </c>
      <c r="P169" s="204">
        <v>46447.0</v>
      </c>
      <c r="Q169" s="125">
        <v>396.0</v>
      </c>
      <c r="R169" s="210">
        <v>14800.0</v>
      </c>
      <c r="S169" s="210">
        <v>14800.0</v>
      </c>
      <c r="T169" s="200"/>
      <c r="U169" s="136"/>
      <c r="V169" s="210">
        <v>29600.0</v>
      </c>
      <c r="W169" s="129" t="s">
        <v>1367</v>
      </c>
      <c r="X169" s="129" t="s">
        <v>1346</v>
      </c>
      <c r="Y169" s="129" t="s">
        <v>1347</v>
      </c>
      <c r="Z169" s="15"/>
      <c r="AA169" s="15"/>
      <c r="AB169" s="201"/>
      <c r="AC169" s="202"/>
      <c r="AD169" s="31" t="s">
        <v>1368</v>
      </c>
      <c r="AE169" s="83"/>
      <c r="AF169" s="83"/>
      <c r="AG169" s="83"/>
      <c r="AH169" s="83"/>
      <c r="AI169" s="83"/>
      <c r="AJ169" s="83"/>
      <c r="AK169" s="83"/>
      <c r="AL169" s="83"/>
    </row>
    <row r="170">
      <c r="A170" s="120" t="s">
        <v>171</v>
      </c>
      <c r="B170" s="132" t="s">
        <v>1369</v>
      </c>
      <c r="C170" s="121" t="str">
        <f>IFERROR(__xludf.DUMMYFUNCTION("""COMPUTED_VALUE"""),"行天宮夏野良栗")</f>
        <v>行天宮夏野良栗</v>
      </c>
      <c r="D170" s="121" t="str">
        <f>IFERROR(__xludf.DUMMYFUNCTION("""COMPUTED_VALUE"""),"D")</f>
        <v>D</v>
      </c>
      <c r="E170" s="207" t="s">
        <v>1020</v>
      </c>
      <c r="F170" s="122" t="str">
        <f>IFERROR(__xludf.DUMMYFUNCTION("""COMPUTED_VALUE"""),"江仲元")</f>
        <v>江仲元</v>
      </c>
      <c r="G170" s="211" t="s">
        <v>1344</v>
      </c>
      <c r="H170" s="31" t="s">
        <v>630</v>
      </c>
      <c r="I170" s="31" t="s">
        <v>630</v>
      </c>
      <c r="J170" s="31" t="s">
        <v>631</v>
      </c>
      <c r="K170" s="31" t="s">
        <v>647</v>
      </c>
      <c r="L170" s="203">
        <v>46057.0</v>
      </c>
      <c r="M170" s="203">
        <v>46082.0</v>
      </c>
      <c r="N170" s="204">
        <v>46477.0</v>
      </c>
      <c r="O170" s="209">
        <v>46082.0</v>
      </c>
      <c r="P170" s="204">
        <v>46447.0</v>
      </c>
      <c r="Q170" s="125">
        <v>396.0</v>
      </c>
      <c r="R170" s="210">
        <v>11200.0</v>
      </c>
      <c r="S170" s="210">
        <v>11200.0</v>
      </c>
      <c r="T170" s="200"/>
      <c r="U170" s="136"/>
      <c r="V170" s="210">
        <v>22400.0</v>
      </c>
      <c r="W170" s="129" t="s">
        <v>1367</v>
      </c>
      <c r="X170" s="129" t="s">
        <v>1346</v>
      </c>
      <c r="Y170" s="129" t="s">
        <v>1347</v>
      </c>
      <c r="Z170" s="15"/>
      <c r="AA170" s="15"/>
      <c r="AB170" s="201"/>
      <c r="AC170" s="202"/>
      <c r="AD170" s="31" t="s">
        <v>1370</v>
      </c>
      <c r="AE170" s="83"/>
      <c r="AF170" s="83"/>
      <c r="AG170" s="83"/>
      <c r="AH170" s="83"/>
      <c r="AI170" s="83"/>
      <c r="AJ170" s="83"/>
      <c r="AK170" s="83"/>
      <c r="AL170" s="83"/>
    </row>
    <row r="171">
      <c r="A171" s="214" t="s">
        <v>68</v>
      </c>
      <c r="B171" s="132" t="s">
        <v>1371</v>
      </c>
      <c r="C171" s="121" t="str">
        <f>IFERROR(__xludf.DUMMYFUNCTION("""COMPUTED_VALUE"""),"北醫醫師府")</f>
        <v>北醫醫師府</v>
      </c>
      <c r="D171" s="121" t="str">
        <f>IFERROR(__xludf.DUMMYFUNCTION("""COMPUTED_VALUE"""),"A")</f>
        <v>A</v>
      </c>
      <c r="E171" s="207" t="s">
        <v>1048</v>
      </c>
      <c r="F171" s="122" t="str">
        <f>IFERROR(__xludf.DUMMYFUNCTION("""COMPUTED_VALUE"""),"吳緯程")</f>
        <v>吳緯程</v>
      </c>
      <c r="G171" s="211" t="s">
        <v>1344</v>
      </c>
      <c r="H171" s="31" t="s">
        <v>630</v>
      </c>
      <c r="I171" s="31" t="s">
        <v>630</v>
      </c>
      <c r="J171" s="31" t="s">
        <v>631</v>
      </c>
      <c r="K171" s="31" t="s">
        <v>647</v>
      </c>
      <c r="L171" s="203">
        <v>46063.0</v>
      </c>
      <c r="M171" s="203">
        <v>46082.0</v>
      </c>
      <c r="N171" s="204">
        <v>46203.0</v>
      </c>
      <c r="O171" s="209">
        <v>46082.0</v>
      </c>
      <c r="P171" s="204">
        <v>46174.0</v>
      </c>
      <c r="Q171" s="125">
        <v>122.0</v>
      </c>
      <c r="R171" s="210">
        <v>13000.0</v>
      </c>
      <c r="S171" s="210">
        <v>13000.0</v>
      </c>
      <c r="T171" s="200"/>
      <c r="U171" s="136"/>
      <c r="V171" s="210">
        <v>26000.0</v>
      </c>
      <c r="W171" s="129" t="s">
        <v>1372</v>
      </c>
      <c r="X171" s="129" t="s">
        <v>1346</v>
      </c>
      <c r="Y171" s="129" t="s">
        <v>1069</v>
      </c>
      <c r="Z171" s="15"/>
      <c r="AA171" s="15"/>
      <c r="AB171" s="201"/>
      <c r="AC171" s="202"/>
      <c r="AD171" s="31" t="s">
        <v>1373</v>
      </c>
      <c r="AE171" s="83"/>
      <c r="AF171" s="83"/>
      <c r="AG171" s="83"/>
      <c r="AH171" s="83"/>
      <c r="AI171" s="83"/>
      <c r="AJ171" s="83"/>
      <c r="AK171" s="83"/>
      <c r="AL171" s="83"/>
    </row>
    <row r="172">
      <c r="A172" s="215" t="s">
        <v>26</v>
      </c>
      <c r="B172" s="132" t="s">
        <v>1374</v>
      </c>
      <c r="C172" s="121" t="str">
        <f>IFERROR(__xludf.DUMMYFUNCTION("""COMPUTED_VALUE"""),"內湖秘境")</f>
        <v>內湖秘境</v>
      </c>
      <c r="D172" s="121" t="str">
        <f>IFERROR(__xludf.DUMMYFUNCTION("""COMPUTED_VALUE"""),"A")</f>
        <v>A</v>
      </c>
      <c r="E172" s="216" t="s">
        <v>682</v>
      </c>
      <c r="F172" s="122" t="str">
        <f>IFERROR(__xludf.DUMMYFUNCTION("""COMPUTED_VALUE"""),"陳玟涵")</f>
        <v>陳玟涵</v>
      </c>
      <c r="G172" s="211" t="s">
        <v>1344</v>
      </c>
      <c r="H172" s="31" t="s">
        <v>630</v>
      </c>
      <c r="I172" s="31" t="s">
        <v>630</v>
      </c>
      <c r="J172" s="31" t="s">
        <v>631</v>
      </c>
      <c r="K172" s="31" t="s">
        <v>647</v>
      </c>
      <c r="L172" s="203">
        <v>46061.0</v>
      </c>
      <c r="M172" s="203">
        <v>46082.0</v>
      </c>
      <c r="N172" s="204">
        <v>46477.0</v>
      </c>
      <c r="O172" s="209">
        <v>46082.0</v>
      </c>
      <c r="P172" s="204">
        <v>46419.0</v>
      </c>
      <c r="Q172" s="125">
        <v>396.0</v>
      </c>
      <c r="R172" s="210">
        <v>11700.0</v>
      </c>
      <c r="S172" s="210">
        <v>11700.0</v>
      </c>
      <c r="T172" s="200"/>
      <c r="U172" s="136"/>
      <c r="V172" s="210">
        <v>23400.0</v>
      </c>
      <c r="W172" s="129" t="s">
        <v>1375</v>
      </c>
      <c r="X172" s="129" t="s">
        <v>1346</v>
      </c>
      <c r="Y172" s="129" t="s">
        <v>1347</v>
      </c>
      <c r="Z172" s="15"/>
      <c r="AA172" s="15"/>
      <c r="AB172" s="201"/>
      <c r="AC172" s="202"/>
      <c r="AD172" s="31" t="s">
        <v>1376</v>
      </c>
      <c r="AE172" s="83"/>
      <c r="AF172" s="83"/>
      <c r="AG172" s="83"/>
      <c r="AH172" s="83"/>
      <c r="AI172" s="83"/>
      <c r="AJ172" s="83"/>
      <c r="AK172" s="83"/>
      <c r="AL172" s="83"/>
    </row>
    <row r="173">
      <c r="A173" s="215" t="s">
        <v>121</v>
      </c>
      <c r="B173" s="132" t="s">
        <v>1377</v>
      </c>
      <c r="C173" s="121" t="str">
        <f>IFERROR(__xludf.DUMMYFUNCTION("""COMPUTED_VALUE"""),"金龍帽子先生")</f>
        <v>金龍帽子先生</v>
      </c>
      <c r="D173" s="121" t="str">
        <f>IFERROR(__xludf.DUMMYFUNCTION("""COMPUTED_VALUE"""),"A")</f>
        <v>A</v>
      </c>
      <c r="E173" s="213" t="s">
        <v>949</v>
      </c>
      <c r="F173" s="122" t="str">
        <f>IFERROR(__xludf.DUMMYFUNCTION("""COMPUTED_VALUE"""),"何佩勳")</f>
        <v>何佩勳</v>
      </c>
      <c r="G173" s="211" t="s">
        <v>1344</v>
      </c>
      <c r="H173" s="31" t="s">
        <v>630</v>
      </c>
      <c r="I173" s="31" t="s">
        <v>630</v>
      </c>
      <c r="J173" s="31" t="s">
        <v>631</v>
      </c>
      <c r="K173" s="31" t="s">
        <v>647</v>
      </c>
      <c r="L173" s="203">
        <v>46064.0</v>
      </c>
      <c r="M173" s="203">
        <v>46082.0</v>
      </c>
      <c r="N173" s="204">
        <v>46477.0</v>
      </c>
      <c r="O173" s="209">
        <v>46082.0</v>
      </c>
      <c r="P173" s="204">
        <v>46447.0</v>
      </c>
      <c r="Q173" s="125">
        <v>396.0</v>
      </c>
      <c r="R173" s="210">
        <v>17200.0</v>
      </c>
      <c r="S173" s="210">
        <v>17200.0</v>
      </c>
      <c r="T173" s="200"/>
      <c r="U173" s="136"/>
      <c r="V173" s="210">
        <v>34400.0</v>
      </c>
      <c r="W173" s="129" t="s">
        <v>1378</v>
      </c>
      <c r="X173" s="129" t="s">
        <v>1346</v>
      </c>
      <c r="Y173" s="129" t="s">
        <v>1347</v>
      </c>
      <c r="Z173" s="15"/>
      <c r="AA173" s="15"/>
      <c r="AB173" s="201"/>
      <c r="AC173" s="202"/>
      <c r="AD173" s="31" t="s">
        <v>1379</v>
      </c>
      <c r="AE173" s="83"/>
      <c r="AF173" s="83"/>
      <c r="AG173" s="83"/>
      <c r="AH173" s="83"/>
      <c r="AI173" s="83"/>
      <c r="AJ173" s="83"/>
      <c r="AK173" s="83"/>
      <c r="AL173" s="83"/>
    </row>
    <row r="174">
      <c r="A174" s="215" t="s">
        <v>125</v>
      </c>
      <c r="B174" s="132" t="s">
        <v>1380</v>
      </c>
      <c r="C174" s="121" t="str">
        <f>IFERROR(__xludf.DUMMYFUNCTION("""COMPUTED_VALUE"""),"金龍帽子先生")</f>
        <v>金龍帽子先生</v>
      </c>
      <c r="D174" s="121" t="str">
        <f>IFERROR(__xludf.DUMMYFUNCTION("""COMPUTED_VALUE"""),"B")</f>
        <v>B</v>
      </c>
      <c r="E174" s="213" t="s">
        <v>952</v>
      </c>
      <c r="F174" s="122" t="str">
        <f>IFERROR(__xludf.DUMMYFUNCTION("""COMPUTED_VALUE"""),"謝紫芩")</f>
        <v>謝紫芩</v>
      </c>
      <c r="G174" s="211" t="s">
        <v>1344</v>
      </c>
      <c r="H174" s="31" t="s">
        <v>630</v>
      </c>
      <c r="I174" s="31" t="s">
        <v>630</v>
      </c>
      <c r="J174" s="31" t="s">
        <v>631</v>
      </c>
      <c r="K174" s="31" t="s">
        <v>647</v>
      </c>
      <c r="L174" s="203">
        <v>46061.0</v>
      </c>
      <c r="M174" s="203">
        <v>46082.0</v>
      </c>
      <c r="N174" s="204">
        <v>46477.0</v>
      </c>
      <c r="O174" s="209">
        <v>46082.0</v>
      </c>
      <c r="P174" s="204">
        <v>46447.0</v>
      </c>
      <c r="Q174" s="125">
        <v>396.0</v>
      </c>
      <c r="R174" s="210">
        <v>12700.0</v>
      </c>
      <c r="S174" s="210">
        <v>12700.0</v>
      </c>
      <c r="T174" s="200"/>
      <c r="U174" s="136"/>
      <c r="V174" s="210">
        <v>25400.0</v>
      </c>
      <c r="W174" s="129" t="s">
        <v>1375</v>
      </c>
      <c r="X174" s="129" t="s">
        <v>1346</v>
      </c>
      <c r="Y174" s="129" t="s">
        <v>1347</v>
      </c>
      <c r="Z174" s="15"/>
      <c r="AA174" s="15"/>
      <c r="AB174" s="201"/>
      <c r="AC174" s="202"/>
      <c r="AD174" s="31" t="s">
        <v>1381</v>
      </c>
      <c r="AE174" s="83"/>
      <c r="AF174" s="83"/>
      <c r="AG174" s="83"/>
      <c r="AH174" s="83"/>
      <c r="AI174" s="83"/>
      <c r="AJ174" s="83"/>
      <c r="AK174" s="83"/>
      <c r="AL174" s="83"/>
    </row>
    <row r="175">
      <c r="A175" s="215" t="s">
        <v>169</v>
      </c>
      <c r="B175" s="208"/>
      <c r="C175" s="121" t="str">
        <f>IFERROR(__xludf.DUMMYFUNCTION("""COMPUTED_VALUE"""),"行天宮夏野良栗")</f>
        <v>行天宮夏野良栗</v>
      </c>
      <c r="D175" s="121" t="str">
        <f>IFERROR(__xludf.DUMMYFUNCTION("""COMPUTED_VALUE"""),"C")</f>
        <v>C</v>
      </c>
      <c r="E175" s="15"/>
      <c r="F175" s="122"/>
      <c r="G175" s="211" t="s">
        <v>1344</v>
      </c>
      <c r="H175" s="15"/>
      <c r="I175" s="15"/>
      <c r="J175" s="31"/>
      <c r="K175" s="31"/>
      <c r="L175" s="203">
        <v>46057.0</v>
      </c>
      <c r="M175" s="203">
        <v>46082.0</v>
      </c>
      <c r="N175" s="204">
        <v>46477.0</v>
      </c>
      <c r="O175" s="209">
        <v>46082.0</v>
      </c>
      <c r="P175" s="204">
        <v>46447.0</v>
      </c>
      <c r="Q175" s="125">
        <v>396.0</v>
      </c>
      <c r="R175" s="210"/>
      <c r="S175" s="210"/>
      <c r="T175" s="200"/>
      <c r="U175" s="136"/>
      <c r="V175" s="210"/>
      <c r="W175" s="129" t="s">
        <v>1367</v>
      </c>
      <c r="X175" s="129" t="s">
        <v>1346</v>
      </c>
      <c r="Y175" s="129" t="s">
        <v>1347</v>
      </c>
      <c r="Z175" s="15"/>
      <c r="AA175" s="15"/>
      <c r="AB175" s="201"/>
      <c r="AC175" s="202"/>
      <c r="AD175" s="15"/>
      <c r="AE175" s="83"/>
      <c r="AF175" s="83"/>
      <c r="AG175" s="83"/>
      <c r="AH175" s="83"/>
      <c r="AI175" s="83"/>
      <c r="AJ175" s="83"/>
      <c r="AK175" s="83"/>
      <c r="AL175" s="83"/>
    </row>
    <row r="176">
      <c r="A176" s="120"/>
      <c r="B176" s="208"/>
      <c r="C176" s="121"/>
      <c r="D176" s="121"/>
      <c r="E176" s="15"/>
      <c r="F176" s="122"/>
      <c r="G176" s="211" t="s">
        <v>1382</v>
      </c>
      <c r="H176" s="15"/>
      <c r="I176" s="15"/>
      <c r="J176" s="31"/>
      <c r="K176" s="31"/>
      <c r="L176" s="203"/>
      <c r="M176" s="203"/>
      <c r="N176" s="204"/>
      <c r="O176" s="209"/>
      <c r="P176" s="204"/>
      <c r="Q176" s="125"/>
      <c r="R176" s="210"/>
      <c r="S176" s="210"/>
      <c r="T176" s="200"/>
      <c r="U176" s="136"/>
      <c r="V176" s="210"/>
      <c r="W176" s="129"/>
      <c r="X176" s="129"/>
      <c r="Y176" s="129"/>
      <c r="Z176" s="15"/>
      <c r="AA176" s="15"/>
      <c r="AB176" s="201"/>
      <c r="AC176" s="202"/>
      <c r="AD176" s="15"/>
      <c r="AE176" s="83"/>
      <c r="AF176" s="83"/>
      <c r="AG176" s="83"/>
      <c r="AH176" s="83"/>
      <c r="AI176" s="83"/>
      <c r="AJ176" s="83"/>
      <c r="AK176" s="83"/>
      <c r="AL176" s="83"/>
    </row>
    <row r="177">
      <c r="A177" s="120"/>
      <c r="B177" s="208"/>
      <c r="C177" s="121"/>
      <c r="D177" s="121"/>
      <c r="E177" s="15"/>
      <c r="F177" s="122"/>
      <c r="G177" s="211" t="s">
        <v>1382</v>
      </c>
      <c r="H177" s="15"/>
      <c r="I177" s="15"/>
      <c r="J177" s="31"/>
      <c r="K177" s="31"/>
      <c r="L177" s="203"/>
      <c r="M177" s="203"/>
      <c r="N177" s="204"/>
      <c r="O177" s="209"/>
      <c r="P177" s="204"/>
      <c r="Q177" s="125"/>
      <c r="R177" s="210"/>
      <c r="S177" s="210"/>
      <c r="T177" s="200"/>
      <c r="U177" s="136"/>
      <c r="V177" s="210"/>
      <c r="W177" s="129"/>
      <c r="X177" s="129"/>
      <c r="Y177" s="129"/>
      <c r="Z177" s="15"/>
      <c r="AA177" s="15"/>
      <c r="AB177" s="201"/>
      <c r="AC177" s="202"/>
      <c r="AD177" s="15"/>
      <c r="AE177" s="83"/>
      <c r="AF177" s="83"/>
      <c r="AG177" s="83"/>
      <c r="AH177" s="83"/>
      <c r="AI177" s="83"/>
      <c r="AJ177" s="83"/>
      <c r="AK177" s="83"/>
      <c r="AL177" s="83"/>
    </row>
    <row r="178">
      <c r="A178" s="120"/>
      <c r="B178" s="208"/>
      <c r="C178" s="121"/>
      <c r="D178" s="121"/>
      <c r="E178" s="15"/>
      <c r="F178" s="122"/>
      <c r="G178" s="211" t="s">
        <v>1382</v>
      </c>
      <c r="H178" s="15"/>
      <c r="I178" s="15"/>
      <c r="J178" s="31"/>
      <c r="K178" s="31"/>
      <c r="L178" s="203"/>
      <c r="M178" s="203"/>
      <c r="N178" s="204"/>
      <c r="O178" s="209"/>
      <c r="P178" s="204"/>
      <c r="Q178" s="125"/>
      <c r="R178" s="210"/>
      <c r="S178" s="210"/>
      <c r="T178" s="200"/>
      <c r="U178" s="136"/>
      <c r="V178" s="210"/>
      <c r="W178" s="129"/>
      <c r="X178" s="129"/>
      <c r="Y178" s="129"/>
      <c r="Z178" s="15"/>
      <c r="AA178" s="15"/>
      <c r="AB178" s="201"/>
      <c r="AC178" s="202"/>
      <c r="AD178" s="15"/>
      <c r="AE178" s="83"/>
      <c r="AF178" s="83"/>
      <c r="AG178" s="83"/>
      <c r="AH178" s="83"/>
      <c r="AI178" s="83"/>
      <c r="AJ178" s="83"/>
      <c r="AK178" s="83"/>
      <c r="AL178" s="83"/>
    </row>
    <row r="179">
      <c r="A179" s="120"/>
      <c r="B179" s="208"/>
      <c r="C179" s="121"/>
      <c r="D179" s="121"/>
      <c r="E179" s="15"/>
      <c r="F179" s="122"/>
      <c r="G179" s="211" t="s">
        <v>1382</v>
      </c>
      <c r="H179" s="15"/>
      <c r="I179" s="15"/>
      <c r="J179" s="31"/>
      <c r="K179" s="31"/>
      <c r="L179" s="203"/>
      <c r="M179" s="203"/>
      <c r="N179" s="204"/>
      <c r="O179" s="209"/>
      <c r="P179" s="204"/>
      <c r="Q179" s="125"/>
      <c r="R179" s="210"/>
      <c r="S179" s="210"/>
      <c r="T179" s="200"/>
      <c r="U179" s="136"/>
      <c r="V179" s="210"/>
      <c r="W179" s="129"/>
      <c r="X179" s="129"/>
      <c r="Y179" s="129"/>
      <c r="Z179" s="15"/>
      <c r="AA179" s="15"/>
      <c r="AB179" s="201"/>
      <c r="AC179" s="202"/>
      <c r="AD179" s="15"/>
      <c r="AE179" s="83"/>
      <c r="AF179" s="83"/>
      <c r="AG179" s="83"/>
      <c r="AH179" s="83"/>
      <c r="AI179" s="83"/>
      <c r="AJ179" s="83"/>
      <c r="AK179" s="83"/>
      <c r="AL179" s="83"/>
    </row>
    <row r="180">
      <c r="A180" s="120"/>
      <c r="B180" s="208"/>
      <c r="C180" s="121"/>
      <c r="D180" s="121"/>
      <c r="E180" s="15"/>
      <c r="F180" s="122"/>
      <c r="G180" s="211" t="s">
        <v>1382</v>
      </c>
      <c r="H180" s="15"/>
      <c r="I180" s="15"/>
      <c r="J180" s="31"/>
      <c r="K180" s="31"/>
      <c r="L180" s="203"/>
      <c r="M180" s="203"/>
      <c r="N180" s="204"/>
      <c r="O180" s="209"/>
      <c r="P180" s="204"/>
      <c r="Q180" s="125"/>
      <c r="R180" s="210"/>
      <c r="S180" s="210"/>
      <c r="T180" s="200"/>
      <c r="U180" s="136"/>
      <c r="V180" s="210"/>
      <c r="W180" s="129"/>
      <c r="X180" s="129"/>
      <c r="Y180" s="129"/>
      <c r="Z180" s="15"/>
      <c r="AA180" s="15"/>
      <c r="AB180" s="201"/>
      <c r="AC180" s="202"/>
      <c r="AD180" s="15"/>
      <c r="AE180" s="83"/>
      <c r="AF180" s="83"/>
      <c r="AG180" s="83"/>
      <c r="AH180" s="83"/>
      <c r="AI180" s="83"/>
      <c r="AJ180" s="83"/>
      <c r="AK180" s="83"/>
      <c r="AL180" s="83"/>
    </row>
    <row r="181">
      <c r="A181" s="120"/>
      <c r="B181" s="208"/>
      <c r="C181" s="121"/>
      <c r="D181" s="121"/>
      <c r="E181" s="15"/>
      <c r="F181" s="122"/>
      <c r="G181" s="211" t="s">
        <v>1382</v>
      </c>
      <c r="H181" s="15"/>
      <c r="I181" s="15"/>
      <c r="J181" s="31"/>
      <c r="K181" s="31"/>
      <c r="L181" s="203"/>
      <c r="M181" s="203"/>
      <c r="N181" s="204"/>
      <c r="O181" s="209"/>
      <c r="P181" s="204"/>
      <c r="Q181" s="125"/>
      <c r="R181" s="210"/>
      <c r="S181" s="210"/>
      <c r="T181" s="200"/>
      <c r="U181" s="136"/>
      <c r="V181" s="210"/>
      <c r="W181" s="129"/>
      <c r="X181" s="129"/>
      <c r="Y181" s="129"/>
      <c r="Z181" s="15"/>
      <c r="AA181" s="15"/>
      <c r="AB181" s="201"/>
      <c r="AC181" s="202"/>
      <c r="AD181" s="15"/>
      <c r="AE181" s="83"/>
      <c r="AF181" s="83"/>
      <c r="AG181" s="83"/>
      <c r="AH181" s="83"/>
      <c r="AI181" s="83"/>
      <c r="AJ181" s="83"/>
      <c r="AK181" s="83"/>
      <c r="AL181" s="83"/>
    </row>
    <row r="182">
      <c r="A182" s="120"/>
      <c r="B182" s="208"/>
      <c r="C182" s="121"/>
      <c r="D182" s="121"/>
      <c r="E182" s="15"/>
      <c r="F182" s="122"/>
      <c r="G182" s="211" t="s">
        <v>1382</v>
      </c>
      <c r="H182" s="15"/>
      <c r="I182" s="15"/>
      <c r="J182" s="31"/>
      <c r="K182" s="31"/>
      <c r="L182" s="203"/>
      <c r="M182" s="203"/>
      <c r="N182" s="204"/>
      <c r="O182" s="209"/>
      <c r="P182" s="204"/>
      <c r="Q182" s="125"/>
      <c r="R182" s="210"/>
      <c r="S182" s="210"/>
      <c r="T182" s="200"/>
      <c r="U182" s="136"/>
      <c r="V182" s="210"/>
      <c r="W182" s="129"/>
      <c r="X182" s="129"/>
      <c r="Y182" s="129"/>
      <c r="Z182" s="15"/>
      <c r="AA182" s="15"/>
      <c r="AB182" s="201"/>
      <c r="AC182" s="202"/>
      <c r="AD182" s="15"/>
      <c r="AE182" s="83"/>
      <c r="AF182" s="83"/>
      <c r="AG182" s="83"/>
      <c r="AH182" s="83"/>
      <c r="AI182" s="83"/>
      <c r="AJ182" s="83"/>
      <c r="AK182" s="83"/>
      <c r="AL182" s="83"/>
    </row>
    <row r="183">
      <c r="A183" s="120"/>
      <c r="B183" s="208"/>
      <c r="C183" s="121"/>
      <c r="D183" s="121"/>
      <c r="E183" s="15"/>
      <c r="F183" s="122"/>
      <c r="G183" s="211" t="s">
        <v>1382</v>
      </c>
      <c r="H183" s="15"/>
      <c r="I183" s="15"/>
      <c r="J183" s="31"/>
      <c r="K183" s="31"/>
      <c r="L183" s="203"/>
      <c r="M183" s="203"/>
      <c r="N183" s="204"/>
      <c r="O183" s="209"/>
      <c r="P183" s="204"/>
      <c r="Q183" s="125"/>
      <c r="R183" s="210"/>
      <c r="S183" s="210"/>
      <c r="T183" s="200"/>
      <c r="U183" s="136"/>
      <c r="V183" s="210"/>
      <c r="W183" s="129"/>
      <c r="X183" s="129"/>
      <c r="Y183" s="129"/>
      <c r="Z183" s="15"/>
      <c r="AA183" s="15"/>
      <c r="AB183" s="201"/>
      <c r="AC183" s="202"/>
      <c r="AD183" s="15"/>
      <c r="AE183" s="83"/>
      <c r="AF183" s="83"/>
      <c r="AG183" s="83"/>
      <c r="AH183" s="83"/>
      <c r="AI183" s="83"/>
      <c r="AJ183" s="83"/>
      <c r="AK183" s="83"/>
      <c r="AL183" s="83"/>
    </row>
    <row r="184">
      <c r="A184" s="120"/>
      <c r="B184" s="208"/>
      <c r="C184" s="121"/>
      <c r="D184" s="121"/>
      <c r="E184" s="15"/>
      <c r="F184" s="122"/>
      <c r="G184" s="211" t="s">
        <v>1382</v>
      </c>
      <c r="H184" s="15"/>
      <c r="I184" s="15"/>
      <c r="J184" s="31"/>
      <c r="K184" s="31"/>
      <c r="L184" s="203"/>
      <c r="M184" s="203"/>
      <c r="N184" s="204"/>
      <c r="O184" s="209"/>
      <c r="P184" s="204"/>
      <c r="Q184" s="125"/>
      <c r="R184" s="210"/>
      <c r="S184" s="210"/>
      <c r="T184" s="200"/>
      <c r="U184" s="136"/>
      <c r="V184" s="210"/>
      <c r="W184" s="129"/>
      <c r="X184" s="129"/>
      <c r="Y184" s="129"/>
      <c r="Z184" s="15"/>
      <c r="AA184" s="15"/>
      <c r="AB184" s="201"/>
      <c r="AC184" s="202"/>
      <c r="AD184" s="15"/>
      <c r="AE184" s="83"/>
      <c r="AF184" s="83"/>
      <c r="AG184" s="83"/>
      <c r="AH184" s="83"/>
      <c r="AI184" s="83"/>
      <c r="AJ184" s="83"/>
      <c r="AK184" s="83"/>
      <c r="AL184" s="83"/>
    </row>
    <row r="185">
      <c r="A185" s="120"/>
      <c r="B185" s="208"/>
      <c r="C185" s="121"/>
      <c r="D185" s="121"/>
      <c r="E185" s="15"/>
      <c r="F185" s="122"/>
      <c r="G185" s="211" t="s">
        <v>1382</v>
      </c>
      <c r="H185" s="15"/>
      <c r="I185" s="15"/>
      <c r="J185" s="31"/>
      <c r="K185" s="31"/>
      <c r="L185" s="203"/>
      <c r="M185" s="203"/>
      <c r="N185" s="204"/>
      <c r="O185" s="209"/>
      <c r="P185" s="204"/>
      <c r="Q185" s="125"/>
      <c r="R185" s="210"/>
      <c r="S185" s="210"/>
      <c r="T185" s="200"/>
      <c r="U185" s="136"/>
      <c r="V185" s="210"/>
      <c r="W185" s="129"/>
      <c r="X185" s="129"/>
      <c r="Y185" s="129"/>
      <c r="Z185" s="15"/>
      <c r="AA185" s="15"/>
      <c r="AB185" s="201"/>
      <c r="AC185" s="202"/>
      <c r="AD185" s="15"/>
      <c r="AE185" s="83"/>
      <c r="AF185" s="83"/>
      <c r="AG185" s="83"/>
      <c r="AH185" s="83"/>
      <c r="AI185" s="83"/>
      <c r="AJ185" s="83"/>
      <c r="AK185" s="83"/>
      <c r="AL185" s="83"/>
    </row>
    <row r="186">
      <c r="A186" s="120"/>
      <c r="B186" s="208"/>
      <c r="C186" s="121"/>
      <c r="D186" s="121"/>
      <c r="E186" s="15"/>
      <c r="F186" s="122"/>
      <c r="G186" s="211" t="s">
        <v>1382</v>
      </c>
      <c r="H186" s="15"/>
      <c r="I186" s="15"/>
      <c r="J186" s="31"/>
      <c r="K186" s="31"/>
      <c r="L186" s="203"/>
      <c r="M186" s="203"/>
      <c r="N186" s="204"/>
      <c r="O186" s="209"/>
      <c r="P186" s="204"/>
      <c r="Q186" s="125"/>
      <c r="R186" s="210"/>
      <c r="S186" s="210"/>
      <c r="T186" s="200"/>
      <c r="U186" s="136"/>
      <c r="V186" s="210"/>
      <c r="W186" s="129"/>
      <c r="X186" s="129"/>
      <c r="Y186" s="129"/>
      <c r="Z186" s="15"/>
      <c r="AA186" s="15"/>
      <c r="AB186" s="201"/>
      <c r="AC186" s="202"/>
      <c r="AD186" s="15"/>
      <c r="AE186" s="83"/>
      <c r="AF186" s="83"/>
      <c r="AG186" s="83"/>
      <c r="AH186" s="83"/>
      <c r="AI186" s="83"/>
      <c r="AJ186" s="83"/>
      <c r="AK186" s="83"/>
      <c r="AL186" s="83"/>
    </row>
    <row r="187">
      <c r="A187" s="120"/>
      <c r="B187" s="208"/>
      <c r="C187" s="121"/>
      <c r="D187" s="121"/>
      <c r="E187" s="15"/>
      <c r="F187" s="122"/>
      <c r="G187" s="211" t="s">
        <v>1382</v>
      </c>
      <c r="H187" s="15"/>
      <c r="I187" s="15"/>
      <c r="J187" s="31"/>
      <c r="K187" s="31"/>
      <c r="L187" s="203"/>
      <c r="M187" s="203"/>
      <c r="N187" s="204"/>
      <c r="O187" s="209"/>
      <c r="P187" s="204"/>
      <c r="Q187" s="125"/>
      <c r="R187" s="210"/>
      <c r="S187" s="210"/>
      <c r="T187" s="200"/>
      <c r="U187" s="136"/>
      <c r="V187" s="210"/>
      <c r="W187" s="129"/>
      <c r="X187" s="129"/>
      <c r="Y187" s="129"/>
      <c r="Z187" s="15"/>
      <c r="AA187" s="15"/>
      <c r="AB187" s="201"/>
      <c r="AC187" s="202"/>
      <c r="AD187" s="15"/>
      <c r="AE187" s="83"/>
      <c r="AF187" s="83"/>
      <c r="AG187" s="83"/>
      <c r="AH187" s="83"/>
      <c r="AI187" s="83"/>
      <c r="AJ187" s="83"/>
      <c r="AK187" s="83"/>
      <c r="AL187" s="83"/>
    </row>
    <row r="188">
      <c r="A188" s="120"/>
      <c r="B188" s="208"/>
      <c r="C188" s="121"/>
      <c r="D188" s="121"/>
      <c r="E188" s="15"/>
      <c r="F188" s="122"/>
      <c r="G188" s="211" t="s">
        <v>1382</v>
      </c>
      <c r="H188" s="15"/>
      <c r="I188" s="15"/>
      <c r="J188" s="31"/>
      <c r="K188" s="31"/>
      <c r="L188" s="203"/>
      <c r="M188" s="203"/>
      <c r="N188" s="204"/>
      <c r="O188" s="209"/>
      <c r="P188" s="204"/>
      <c r="Q188" s="125"/>
      <c r="R188" s="210"/>
      <c r="S188" s="210"/>
      <c r="T188" s="200"/>
      <c r="U188" s="136"/>
      <c r="V188" s="210"/>
      <c r="W188" s="129"/>
      <c r="X188" s="129"/>
      <c r="Y188" s="129"/>
      <c r="Z188" s="15"/>
      <c r="AA188" s="15"/>
      <c r="AB188" s="201"/>
      <c r="AC188" s="202"/>
      <c r="AD188" s="15"/>
      <c r="AE188" s="83"/>
      <c r="AF188" s="83"/>
      <c r="AG188" s="83"/>
      <c r="AH188" s="83"/>
      <c r="AI188" s="83"/>
      <c r="AJ188" s="83"/>
      <c r="AK188" s="83"/>
      <c r="AL188" s="83"/>
    </row>
    <row r="189">
      <c r="A189" s="120"/>
      <c r="B189" s="208"/>
      <c r="C189" s="121"/>
      <c r="D189" s="121"/>
      <c r="E189" s="15"/>
      <c r="F189" s="122"/>
      <c r="G189" s="211" t="s">
        <v>1382</v>
      </c>
      <c r="H189" s="15"/>
      <c r="I189" s="15"/>
      <c r="J189" s="31"/>
      <c r="K189" s="31"/>
      <c r="L189" s="203"/>
      <c r="M189" s="203"/>
      <c r="N189" s="204"/>
      <c r="O189" s="209"/>
      <c r="P189" s="204"/>
      <c r="Q189" s="125"/>
      <c r="R189" s="210"/>
      <c r="S189" s="210"/>
      <c r="T189" s="200"/>
      <c r="U189" s="136"/>
      <c r="V189" s="210"/>
      <c r="W189" s="129"/>
      <c r="X189" s="129"/>
      <c r="Y189" s="129"/>
      <c r="Z189" s="15"/>
      <c r="AA189" s="15"/>
      <c r="AB189" s="201"/>
      <c r="AC189" s="202"/>
      <c r="AD189" s="15"/>
      <c r="AE189" s="83"/>
      <c r="AF189" s="83"/>
      <c r="AG189" s="83"/>
      <c r="AH189" s="83"/>
      <c r="AI189" s="83"/>
      <c r="AJ189" s="83"/>
      <c r="AK189" s="83"/>
      <c r="AL189" s="83"/>
    </row>
    <row r="190">
      <c r="A190" s="120"/>
      <c r="B190" s="208"/>
      <c r="C190" s="121"/>
      <c r="D190" s="121"/>
      <c r="E190" s="15"/>
      <c r="F190" s="122"/>
      <c r="G190" s="211" t="s">
        <v>1382</v>
      </c>
      <c r="H190" s="15"/>
      <c r="I190" s="15"/>
      <c r="J190" s="31"/>
      <c r="K190" s="31"/>
      <c r="L190" s="203"/>
      <c r="M190" s="203"/>
      <c r="N190" s="204"/>
      <c r="O190" s="209"/>
      <c r="P190" s="204"/>
      <c r="Q190" s="125"/>
      <c r="R190" s="210"/>
      <c r="S190" s="210"/>
      <c r="T190" s="200"/>
      <c r="U190" s="136"/>
      <c r="V190" s="210"/>
      <c r="W190" s="129"/>
      <c r="X190" s="129"/>
      <c r="Y190" s="129"/>
      <c r="Z190" s="15"/>
      <c r="AA190" s="15"/>
      <c r="AB190" s="201"/>
      <c r="AC190" s="202"/>
      <c r="AD190" s="15"/>
      <c r="AE190" s="83"/>
      <c r="AF190" s="83"/>
      <c r="AG190" s="83"/>
      <c r="AH190" s="83"/>
      <c r="AI190" s="83"/>
      <c r="AJ190" s="83"/>
      <c r="AK190" s="83"/>
      <c r="AL190" s="83"/>
    </row>
    <row r="191">
      <c r="A191" s="120"/>
      <c r="B191" s="208"/>
      <c r="C191" s="121"/>
      <c r="D191" s="121"/>
      <c r="E191" s="15"/>
      <c r="F191" s="122"/>
      <c r="G191" s="211" t="s">
        <v>1382</v>
      </c>
      <c r="H191" s="15"/>
      <c r="I191" s="15"/>
      <c r="J191" s="31"/>
      <c r="K191" s="31"/>
      <c r="L191" s="203"/>
      <c r="M191" s="203"/>
      <c r="N191" s="204"/>
      <c r="O191" s="209"/>
      <c r="P191" s="204"/>
      <c r="Q191" s="125"/>
      <c r="R191" s="210"/>
      <c r="S191" s="210"/>
      <c r="T191" s="200"/>
      <c r="U191" s="136"/>
      <c r="V191" s="210"/>
      <c r="W191" s="129"/>
      <c r="X191" s="129"/>
      <c r="Y191" s="129"/>
      <c r="Z191" s="15"/>
      <c r="AA191" s="15"/>
      <c r="AB191" s="201"/>
      <c r="AC191" s="202"/>
      <c r="AD191" s="15"/>
      <c r="AE191" s="83"/>
      <c r="AF191" s="83"/>
      <c r="AG191" s="83"/>
      <c r="AH191" s="83"/>
      <c r="AI191" s="83"/>
      <c r="AJ191" s="83"/>
      <c r="AK191" s="83"/>
      <c r="AL191" s="83"/>
    </row>
    <row r="192">
      <c r="A192" s="120"/>
      <c r="B192" s="208"/>
      <c r="C192" s="121"/>
      <c r="D192" s="121"/>
      <c r="E192" s="15"/>
      <c r="F192" s="122"/>
      <c r="G192" s="211" t="s">
        <v>1382</v>
      </c>
      <c r="H192" s="15"/>
      <c r="I192" s="15"/>
      <c r="J192" s="31"/>
      <c r="K192" s="31"/>
      <c r="L192" s="203"/>
      <c r="M192" s="203"/>
      <c r="N192" s="204"/>
      <c r="O192" s="209"/>
      <c r="P192" s="204"/>
      <c r="Q192" s="125"/>
      <c r="R192" s="210"/>
      <c r="S192" s="210"/>
      <c r="T192" s="200"/>
      <c r="U192" s="136"/>
      <c r="V192" s="210"/>
      <c r="W192" s="129"/>
      <c r="X192" s="129"/>
      <c r="Y192" s="129"/>
      <c r="Z192" s="15"/>
      <c r="AA192" s="15"/>
      <c r="AB192" s="201"/>
      <c r="AC192" s="202"/>
      <c r="AD192" s="15"/>
      <c r="AE192" s="83"/>
      <c r="AF192" s="83"/>
      <c r="AG192" s="83"/>
      <c r="AH192" s="83"/>
      <c r="AI192" s="83"/>
      <c r="AJ192" s="83"/>
      <c r="AK192" s="83"/>
      <c r="AL192" s="83"/>
    </row>
    <row r="193">
      <c r="A193" s="120"/>
      <c r="B193" s="208"/>
      <c r="C193" s="121"/>
      <c r="D193" s="121"/>
      <c r="E193" s="15"/>
      <c r="F193" s="122"/>
      <c r="G193" s="211" t="s">
        <v>1382</v>
      </c>
      <c r="H193" s="15"/>
      <c r="I193" s="15"/>
      <c r="J193" s="31"/>
      <c r="K193" s="31"/>
      <c r="L193" s="203"/>
      <c r="M193" s="203"/>
      <c r="N193" s="204"/>
      <c r="O193" s="209"/>
      <c r="P193" s="204"/>
      <c r="Q193" s="125"/>
      <c r="R193" s="210"/>
      <c r="S193" s="210"/>
      <c r="T193" s="200"/>
      <c r="U193" s="136"/>
      <c r="V193" s="210"/>
      <c r="W193" s="129"/>
      <c r="X193" s="129"/>
      <c r="Y193" s="129"/>
      <c r="Z193" s="15"/>
      <c r="AA193" s="15"/>
      <c r="AB193" s="201"/>
      <c r="AC193" s="202"/>
      <c r="AD193" s="15"/>
      <c r="AE193" s="83"/>
      <c r="AF193" s="83"/>
      <c r="AG193" s="83"/>
      <c r="AH193" s="83"/>
      <c r="AI193" s="83"/>
      <c r="AJ193" s="83"/>
      <c r="AK193" s="83"/>
      <c r="AL193" s="83"/>
    </row>
    <row r="194">
      <c r="A194" s="120"/>
      <c r="B194" s="208"/>
      <c r="C194" s="121"/>
      <c r="D194" s="121"/>
      <c r="E194" s="15"/>
      <c r="F194" s="122"/>
      <c r="G194" s="211" t="s">
        <v>1382</v>
      </c>
      <c r="H194" s="15"/>
      <c r="I194" s="15"/>
      <c r="J194" s="31"/>
      <c r="K194" s="31"/>
      <c r="L194" s="203"/>
      <c r="M194" s="203"/>
      <c r="N194" s="204"/>
      <c r="O194" s="209"/>
      <c r="P194" s="204"/>
      <c r="Q194" s="125"/>
      <c r="R194" s="210"/>
      <c r="S194" s="210"/>
      <c r="T194" s="200"/>
      <c r="U194" s="136"/>
      <c r="V194" s="210"/>
      <c r="W194" s="129"/>
      <c r="X194" s="129"/>
      <c r="Y194" s="129"/>
      <c r="Z194" s="15"/>
      <c r="AA194" s="15"/>
      <c r="AB194" s="201"/>
      <c r="AC194" s="202"/>
      <c r="AD194" s="15"/>
      <c r="AE194" s="83"/>
      <c r="AF194" s="83"/>
      <c r="AG194" s="83"/>
      <c r="AH194" s="83"/>
      <c r="AI194" s="83"/>
      <c r="AJ194" s="83"/>
      <c r="AK194" s="83"/>
      <c r="AL194" s="83"/>
    </row>
    <row r="195">
      <c r="A195" s="120"/>
      <c r="B195" s="208"/>
      <c r="C195" s="121"/>
      <c r="D195" s="121"/>
      <c r="E195" s="15"/>
      <c r="F195" s="122"/>
      <c r="G195" s="211" t="s">
        <v>1382</v>
      </c>
      <c r="H195" s="15"/>
      <c r="I195" s="15"/>
      <c r="J195" s="31"/>
      <c r="K195" s="31"/>
      <c r="L195" s="203"/>
      <c r="M195" s="203"/>
      <c r="N195" s="204"/>
      <c r="O195" s="209"/>
      <c r="P195" s="204"/>
      <c r="Q195" s="125"/>
      <c r="R195" s="210"/>
      <c r="S195" s="210"/>
      <c r="T195" s="200"/>
      <c r="U195" s="136"/>
      <c r="V195" s="210"/>
      <c r="W195" s="129"/>
      <c r="X195" s="129"/>
      <c r="Y195" s="129"/>
      <c r="Z195" s="15"/>
      <c r="AA195" s="15"/>
      <c r="AB195" s="201"/>
      <c r="AC195" s="202"/>
      <c r="AD195" s="15"/>
      <c r="AE195" s="83"/>
      <c r="AF195" s="83"/>
      <c r="AG195" s="83"/>
      <c r="AH195" s="83"/>
      <c r="AI195" s="83"/>
      <c r="AJ195" s="83"/>
      <c r="AK195" s="83"/>
      <c r="AL195" s="83"/>
    </row>
    <row r="196">
      <c r="A196" s="120"/>
      <c r="B196" s="208"/>
      <c r="C196" s="121"/>
      <c r="D196" s="121"/>
      <c r="E196" s="15"/>
      <c r="F196" s="122"/>
      <c r="G196" s="211" t="s">
        <v>1382</v>
      </c>
      <c r="H196" s="15"/>
      <c r="I196" s="15"/>
      <c r="J196" s="31"/>
      <c r="K196" s="31"/>
      <c r="L196" s="203"/>
      <c r="M196" s="203"/>
      <c r="N196" s="204"/>
      <c r="O196" s="209"/>
      <c r="P196" s="204"/>
      <c r="Q196" s="125"/>
      <c r="R196" s="210"/>
      <c r="S196" s="210"/>
      <c r="T196" s="200"/>
      <c r="U196" s="136"/>
      <c r="V196" s="210"/>
      <c r="W196" s="129"/>
      <c r="X196" s="129"/>
      <c r="Y196" s="129"/>
      <c r="Z196" s="15"/>
      <c r="AA196" s="15"/>
      <c r="AB196" s="201"/>
      <c r="AC196" s="202"/>
      <c r="AD196" s="15"/>
      <c r="AE196" s="83"/>
      <c r="AF196" s="83"/>
      <c r="AG196" s="83"/>
      <c r="AH196" s="83"/>
      <c r="AI196" s="83"/>
      <c r="AJ196" s="83"/>
      <c r="AK196" s="83"/>
      <c r="AL196" s="83"/>
    </row>
    <row r="197">
      <c r="A197" s="120"/>
      <c r="B197" s="208"/>
      <c r="C197" s="121"/>
      <c r="D197" s="121"/>
      <c r="E197" s="15"/>
      <c r="F197" s="122"/>
      <c r="G197" s="211" t="s">
        <v>1382</v>
      </c>
      <c r="H197" s="15"/>
      <c r="I197" s="15"/>
      <c r="J197" s="31"/>
      <c r="K197" s="31"/>
      <c r="L197" s="203"/>
      <c r="M197" s="203"/>
      <c r="N197" s="204"/>
      <c r="O197" s="209"/>
      <c r="P197" s="204"/>
      <c r="Q197" s="125"/>
      <c r="R197" s="210"/>
      <c r="S197" s="210"/>
      <c r="T197" s="200"/>
      <c r="U197" s="136"/>
      <c r="V197" s="210"/>
      <c r="W197" s="129"/>
      <c r="X197" s="129"/>
      <c r="Y197" s="129"/>
      <c r="Z197" s="15"/>
      <c r="AA197" s="15"/>
      <c r="AB197" s="201"/>
      <c r="AC197" s="202"/>
      <c r="AD197" s="15"/>
      <c r="AE197" s="83"/>
      <c r="AF197" s="83"/>
      <c r="AG197" s="83"/>
      <c r="AH197" s="83"/>
      <c r="AI197" s="83"/>
      <c r="AJ197" s="83"/>
      <c r="AK197" s="83"/>
      <c r="AL197" s="83"/>
    </row>
    <row r="198">
      <c r="A198" s="120"/>
      <c r="B198" s="208"/>
      <c r="C198" s="121"/>
      <c r="D198" s="121"/>
      <c r="E198" s="15"/>
      <c r="F198" s="122"/>
      <c r="G198" s="211" t="s">
        <v>1382</v>
      </c>
      <c r="H198" s="15"/>
      <c r="I198" s="15"/>
      <c r="J198" s="31"/>
      <c r="K198" s="31"/>
      <c r="L198" s="203"/>
      <c r="M198" s="203"/>
      <c r="N198" s="204"/>
      <c r="O198" s="209"/>
      <c r="P198" s="204"/>
      <c r="Q198" s="125"/>
      <c r="R198" s="210"/>
      <c r="S198" s="210"/>
      <c r="T198" s="200"/>
      <c r="U198" s="136"/>
      <c r="V198" s="210"/>
      <c r="W198" s="129"/>
      <c r="X198" s="129"/>
      <c r="Y198" s="129"/>
      <c r="Z198" s="15"/>
      <c r="AA198" s="15"/>
      <c r="AB198" s="201"/>
      <c r="AC198" s="202"/>
      <c r="AD198" s="15"/>
      <c r="AE198" s="83"/>
      <c r="AF198" s="83"/>
      <c r="AG198" s="83"/>
      <c r="AH198" s="83"/>
      <c r="AI198" s="83"/>
      <c r="AJ198" s="83"/>
      <c r="AK198" s="83"/>
      <c r="AL198" s="83"/>
    </row>
    <row r="199">
      <c r="A199" s="120"/>
      <c r="B199" s="208"/>
      <c r="C199" s="121"/>
      <c r="D199" s="121"/>
      <c r="E199" s="15"/>
      <c r="F199" s="122"/>
      <c r="G199" s="211" t="s">
        <v>1382</v>
      </c>
      <c r="H199" s="15"/>
      <c r="I199" s="15"/>
      <c r="J199" s="31"/>
      <c r="K199" s="31"/>
      <c r="L199" s="203"/>
      <c r="M199" s="203"/>
      <c r="N199" s="204"/>
      <c r="O199" s="209"/>
      <c r="P199" s="204"/>
      <c r="Q199" s="125"/>
      <c r="R199" s="210"/>
      <c r="S199" s="210"/>
      <c r="T199" s="200"/>
      <c r="U199" s="136"/>
      <c r="V199" s="210"/>
      <c r="W199" s="129"/>
      <c r="X199" s="129"/>
      <c r="Y199" s="129"/>
      <c r="Z199" s="15"/>
      <c r="AA199" s="15"/>
      <c r="AB199" s="201"/>
      <c r="AC199" s="202"/>
      <c r="AD199" s="15"/>
      <c r="AE199" s="83"/>
      <c r="AF199" s="83"/>
      <c r="AG199" s="83"/>
      <c r="AH199" s="83"/>
      <c r="AI199" s="83"/>
      <c r="AJ199" s="83"/>
      <c r="AK199" s="83"/>
      <c r="AL199" s="83"/>
    </row>
    <row r="200">
      <c r="A200" s="120"/>
      <c r="B200" s="208"/>
      <c r="C200" s="121"/>
      <c r="D200" s="121"/>
      <c r="E200" s="15"/>
      <c r="F200" s="122"/>
      <c r="G200" s="211" t="s">
        <v>1382</v>
      </c>
      <c r="H200" s="15"/>
      <c r="I200" s="15"/>
      <c r="J200" s="31"/>
      <c r="K200" s="31"/>
      <c r="L200" s="203"/>
      <c r="M200" s="203"/>
      <c r="N200" s="204"/>
      <c r="O200" s="209"/>
      <c r="P200" s="204"/>
      <c r="Q200" s="125"/>
      <c r="R200" s="210"/>
      <c r="S200" s="210"/>
      <c r="T200" s="200"/>
      <c r="U200" s="136"/>
      <c r="V200" s="210"/>
      <c r="W200" s="129"/>
      <c r="X200" s="129"/>
      <c r="Y200" s="129"/>
      <c r="Z200" s="15"/>
      <c r="AA200" s="15"/>
      <c r="AB200" s="201"/>
      <c r="AC200" s="202"/>
      <c r="AD200" s="15"/>
      <c r="AE200" s="83"/>
      <c r="AF200" s="83"/>
      <c r="AG200" s="83"/>
      <c r="AH200" s="83"/>
      <c r="AI200" s="83"/>
      <c r="AJ200" s="83"/>
      <c r="AK200" s="83"/>
      <c r="AL200" s="83"/>
    </row>
    <row r="201">
      <c r="A201" s="120"/>
      <c r="B201" s="208"/>
      <c r="C201" s="121"/>
      <c r="D201" s="121"/>
      <c r="E201" s="15"/>
      <c r="F201" s="122"/>
      <c r="G201" s="211" t="s">
        <v>1382</v>
      </c>
      <c r="H201" s="15"/>
      <c r="I201" s="15"/>
      <c r="J201" s="31"/>
      <c r="K201" s="31"/>
      <c r="L201" s="203"/>
      <c r="M201" s="203"/>
      <c r="N201" s="204"/>
      <c r="O201" s="209"/>
      <c r="P201" s="204"/>
      <c r="Q201" s="125"/>
      <c r="R201" s="210"/>
      <c r="S201" s="210"/>
      <c r="T201" s="200"/>
      <c r="U201" s="136"/>
      <c r="V201" s="210"/>
      <c r="W201" s="129"/>
      <c r="X201" s="129"/>
      <c r="Y201" s="129"/>
      <c r="Z201" s="15"/>
      <c r="AA201" s="15"/>
      <c r="AB201" s="201"/>
      <c r="AC201" s="202"/>
      <c r="AD201" s="15"/>
      <c r="AE201" s="83"/>
      <c r="AF201" s="83"/>
      <c r="AG201" s="83"/>
      <c r="AH201" s="83"/>
      <c r="AI201" s="83"/>
      <c r="AJ201" s="83"/>
      <c r="AK201" s="83"/>
      <c r="AL201" s="83"/>
    </row>
    <row r="202">
      <c r="A202" s="120"/>
      <c r="B202" s="208"/>
      <c r="C202" s="121"/>
      <c r="D202" s="121"/>
      <c r="E202" s="15"/>
      <c r="F202" s="122"/>
      <c r="G202" s="211" t="s">
        <v>1382</v>
      </c>
      <c r="H202" s="15"/>
      <c r="I202" s="15"/>
      <c r="J202" s="31"/>
      <c r="K202" s="31"/>
      <c r="L202" s="203"/>
      <c r="M202" s="203"/>
      <c r="N202" s="204"/>
      <c r="O202" s="209"/>
      <c r="P202" s="204"/>
      <c r="Q202" s="125"/>
      <c r="R202" s="210"/>
      <c r="S202" s="210"/>
      <c r="T202" s="200"/>
      <c r="U202" s="136"/>
      <c r="V202" s="210"/>
      <c r="W202" s="129"/>
      <c r="X202" s="129"/>
      <c r="Y202" s="129"/>
      <c r="Z202" s="15"/>
      <c r="AA202" s="15"/>
      <c r="AB202" s="201"/>
      <c r="AC202" s="202"/>
      <c r="AD202" s="15"/>
      <c r="AE202" s="83"/>
      <c r="AF202" s="83"/>
      <c r="AG202" s="83"/>
      <c r="AH202" s="83"/>
      <c r="AI202" s="83"/>
      <c r="AJ202" s="83"/>
      <c r="AK202" s="83"/>
      <c r="AL202" s="83"/>
    </row>
    <row r="203">
      <c r="A203" s="120"/>
      <c r="B203" s="208"/>
      <c r="C203" s="121"/>
      <c r="D203" s="121"/>
      <c r="E203" s="15"/>
      <c r="F203" s="122"/>
      <c r="G203" s="211" t="s">
        <v>1382</v>
      </c>
      <c r="H203" s="15"/>
      <c r="I203" s="15"/>
      <c r="J203" s="31"/>
      <c r="K203" s="31"/>
      <c r="L203" s="203"/>
      <c r="M203" s="203"/>
      <c r="N203" s="204"/>
      <c r="O203" s="209"/>
      <c r="P203" s="204"/>
      <c r="Q203" s="125"/>
      <c r="R203" s="210"/>
      <c r="S203" s="210"/>
      <c r="T203" s="200"/>
      <c r="U203" s="136"/>
      <c r="V203" s="210"/>
      <c r="W203" s="129"/>
      <c r="X203" s="129"/>
      <c r="Y203" s="129"/>
      <c r="Z203" s="15"/>
      <c r="AA203" s="15"/>
      <c r="AB203" s="201"/>
      <c r="AC203" s="202"/>
      <c r="AD203" s="15"/>
      <c r="AE203" s="83"/>
      <c r="AF203" s="83"/>
      <c r="AG203" s="83"/>
      <c r="AH203" s="83"/>
      <c r="AI203" s="83"/>
      <c r="AJ203" s="83"/>
      <c r="AK203" s="83"/>
      <c r="AL203" s="83"/>
    </row>
    <row r="204">
      <c r="A204" s="120"/>
      <c r="B204" s="208"/>
      <c r="C204" s="121"/>
      <c r="D204" s="121"/>
      <c r="E204" s="15"/>
      <c r="F204" s="122"/>
      <c r="G204" s="211" t="s">
        <v>1382</v>
      </c>
      <c r="H204" s="15"/>
      <c r="I204" s="15"/>
      <c r="J204" s="31"/>
      <c r="K204" s="31"/>
      <c r="L204" s="203"/>
      <c r="M204" s="203"/>
      <c r="N204" s="204"/>
      <c r="O204" s="209"/>
      <c r="P204" s="204"/>
      <c r="Q204" s="125"/>
      <c r="R204" s="210"/>
      <c r="S204" s="210"/>
      <c r="T204" s="200"/>
      <c r="U204" s="136"/>
      <c r="V204" s="210"/>
      <c r="W204" s="129"/>
      <c r="X204" s="129"/>
      <c r="Y204" s="129"/>
      <c r="Z204" s="15"/>
      <c r="AA204" s="15"/>
      <c r="AB204" s="201"/>
      <c r="AC204" s="202"/>
      <c r="AD204" s="15"/>
      <c r="AE204" s="83"/>
      <c r="AF204" s="83"/>
      <c r="AG204" s="83"/>
      <c r="AH204" s="83"/>
      <c r="AI204" s="83"/>
      <c r="AJ204" s="83"/>
      <c r="AK204" s="83"/>
      <c r="AL204" s="83"/>
    </row>
    <row r="205">
      <c r="A205" s="120"/>
      <c r="B205" s="208"/>
      <c r="C205" s="121"/>
      <c r="D205" s="121"/>
      <c r="E205" s="15"/>
      <c r="F205" s="122"/>
      <c r="G205" s="211" t="s">
        <v>1382</v>
      </c>
      <c r="H205" s="15"/>
      <c r="I205" s="15"/>
      <c r="J205" s="31"/>
      <c r="K205" s="31"/>
      <c r="L205" s="203"/>
      <c r="M205" s="203"/>
      <c r="N205" s="204"/>
      <c r="O205" s="209"/>
      <c r="P205" s="204"/>
      <c r="Q205" s="125"/>
      <c r="R205" s="210"/>
      <c r="S205" s="210"/>
      <c r="T205" s="200"/>
      <c r="U205" s="136"/>
      <c r="V205" s="210"/>
      <c r="W205" s="129"/>
      <c r="X205" s="129"/>
      <c r="Y205" s="129"/>
      <c r="Z205" s="15"/>
      <c r="AA205" s="15"/>
      <c r="AB205" s="201"/>
      <c r="AC205" s="202"/>
      <c r="AD205" s="15"/>
      <c r="AE205" s="83"/>
      <c r="AF205" s="83"/>
      <c r="AG205" s="83"/>
      <c r="AH205" s="83"/>
      <c r="AI205" s="83"/>
      <c r="AJ205" s="83"/>
      <c r="AK205" s="83"/>
      <c r="AL205" s="83"/>
    </row>
    <row r="206">
      <c r="A206" s="120"/>
      <c r="B206" s="208"/>
      <c r="C206" s="121"/>
      <c r="D206" s="121"/>
      <c r="E206" s="15"/>
      <c r="F206" s="122"/>
      <c r="G206" s="211" t="s">
        <v>1382</v>
      </c>
      <c r="H206" s="15"/>
      <c r="I206" s="15"/>
      <c r="J206" s="31"/>
      <c r="K206" s="31"/>
      <c r="L206" s="203"/>
      <c r="M206" s="203"/>
      <c r="N206" s="204"/>
      <c r="O206" s="209"/>
      <c r="P206" s="204"/>
      <c r="Q206" s="125"/>
      <c r="R206" s="210"/>
      <c r="S206" s="210"/>
      <c r="T206" s="200"/>
      <c r="U206" s="136"/>
      <c r="V206" s="210"/>
      <c r="W206" s="129"/>
      <c r="X206" s="129"/>
      <c r="Y206" s="129"/>
      <c r="Z206" s="15"/>
      <c r="AA206" s="15"/>
      <c r="AB206" s="201"/>
      <c r="AC206" s="202"/>
      <c r="AD206" s="15"/>
      <c r="AE206" s="83"/>
      <c r="AF206" s="83"/>
      <c r="AG206" s="83"/>
      <c r="AH206" s="83"/>
      <c r="AI206" s="83"/>
      <c r="AJ206" s="83"/>
      <c r="AK206" s="83"/>
      <c r="AL206" s="83"/>
    </row>
    <row r="207">
      <c r="A207" s="120"/>
      <c r="B207" s="208"/>
      <c r="C207" s="121"/>
      <c r="D207" s="121"/>
      <c r="E207" s="15"/>
      <c r="F207" s="122"/>
      <c r="G207" s="211" t="s">
        <v>1382</v>
      </c>
      <c r="H207" s="15"/>
      <c r="I207" s="15"/>
      <c r="J207" s="31"/>
      <c r="K207" s="31"/>
      <c r="L207" s="203"/>
      <c r="M207" s="203"/>
      <c r="N207" s="204"/>
      <c r="O207" s="209"/>
      <c r="P207" s="204"/>
      <c r="Q207" s="125"/>
      <c r="R207" s="210"/>
      <c r="S207" s="210"/>
      <c r="T207" s="200"/>
      <c r="U207" s="136"/>
      <c r="V207" s="210"/>
      <c r="W207" s="129"/>
      <c r="X207" s="129"/>
      <c r="Y207" s="129"/>
      <c r="Z207" s="15"/>
      <c r="AA207" s="15"/>
      <c r="AB207" s="201"/>
      <c r="AC207" s="202"/>
      <c r="AD207" s="15"/>
      <c r="AE207" s="83"/>
      <c r="AF207" s="83"/>
      <c r="AG207" s="83"/>
      <c r="AH207" s="83"/>
      <c r="AI207" s="83"/>
      <c r="AJ207" s="83"/>
      <c r="AK207" s="83"/>
      <c r="AL207" s="83"/>
    </row>
    <row r="208">
      <c r="A208" s="120"/>
      <c r="B208" s="208"/>
      <c r="C208" s="121"/>
      <c r="D208" s="121"/>
      <c r="E208" s="15"/>
      <c r="F208" s="122"/>
      <c r="G208" s="211" t="s">
        <v>1382</v>
      </c>
      <c r="H208" s="15"/>
      <c r="I208" s="15"/>
      <c r="J208" s="31"/>
      <c r="K208" s="31"/>
      <c r="L208" s="203"/>
      <c r="M208" s="203"/>
      <c r="N208" s="204"/>
      <c r="O208" s="209"/>
      <c r="P208" s="204"/>
      <c r="Q208" s="125"/>
      <c r="R208" s="210"/>
      <c r="S208" s="210"/>
      <c r="T208" s="200"/>
      <c r="U208" s="136"/>
      <c r="V208" s="210"/>
      <c r="W208" s="129"/>
      <c r="X208" s="129"/>
      <c r="Y208" s="129"/>
      <c r="Z208" s="15"/>
      <c r="AA208" s="15"/>
      <c r="AB208" s="201"/>
      <c r="AC208" s="202"/>
      <c r="AD208" s="15"/>
      <c r="AE208" s="83"/>
      <c r="AF208" s="83"/>
      <c r="AG208" s="83"/>
      <c r="AH208" s="83"/>
      <c r="AI208" s="83"/>
      <c r="AJ208" s="83"/>
      <c r="AK208" s="83"/>
      <c r="AL208" s="83"/>
    </row>
    <row r="209">
      <c r="A209" s="120"/>
      <c r="B209" s="208"/>
      <c r="C209" s="121"/>
      <c r="D209" s="121"/>
      <c r="E209" s="15"/>
      <c r="F209" s="122"/>
      <c r="G209" s="211" t="s">
        <v>1382</v>
      </c>
      <c r="H209" s="15"/>
      <c r="I209" s="15"/>
      <c r="J209" s="31"/>
      <c r="K209" s="31"/>
      <c r="L209" s="203"/>
      <c r="M209" s="203"/>
      <c r="N209" s="204"/>
      <c r="O209" s="209"/>
      <c r="P209" s="204"/>
      <c r="Q209" s="125"/>
      <c r="R209" s="210"/>
      <c r="S209" s="210"/>
      <c r="T209" s="200"/>
      <c r="U209" s="136"/>
      <c r="V209" s="210"/>
      <c r="W209" s="129"/>
      <c r="X209" s="129"/>
      <c r="Y209" s="129"/>
      <c r="Z209" s="15"/>
      <c r="AA209" s="15"/>
      <c r="AB209" s="201"/>
      <c r="AC209" s="202"/>
      <c r="AD209" s="15"/>
      <c r="AE209" s="83"/>
      <c r="AF209" s="83"/>
      <c r="AG209" s="83"/>
      <c r="AH209" s="83"/>
      <c r="AI209" s="83"/>
      <c r="AJ209" s="83"/>
      <c r="AK209" s="83"/>
      <c r="AL209" s="83"/>
    </row>
    <row r="210">
      <c r="A210" s="120"/>
      <c r="B210" s="208"/>
      <c r="C210" s="121"/>
      <c r="D210" s="121"/>
      <c r="E210" s="15"/>
      <c r="F210" s="122"/>
      <c r="G210" s="211" t="s">
        <v>1382</v>
      </c>
      <c r="H210" s="15"/>
      <c r="I210" s="15"/>
      <c r="J210" s="31"/>
      <c r="K210" s="31"/>
      <c r="L210" s="203"/>
      <c r="M210" s="203"/>
      <c r="N210" s="204"/>
      <c r="O210" s="209"/>
      <c r="P210" s="204"/>
      <c r="Q210" s="125"/>
      <c r="R210" s="210"/>
      <c r="S210" s="210"/>
      <c r="T210" s="200"/>
      <c r="U210" s="136"/>
      <c r="V210" s="210"/>
      <c r="W210" s="129"/>
      <c r="X210" s="129"/>
      <c r="Y210" s="129"/>
      <c r="Z210" s="15"/>
      <c r="AA210" s="15"/>
      <c r="AB210" s="201"/>
      <c r="AC210" s="202"/>
      <c r="AD210" s="15"/>
      <c r="AE210" s="83"/>
      <c r="AF210" s="83"/>
      <c r="AG210" s="83"/>
      <c r="AH210" s="83"/>
      <c r="AI210" s="83"/>
      <c r="AJ210" s="83"/>
      <c r="AK210" s="83"/>
      <c r="AL210" s="83"/>
    </row>
    <row r="211">
      <c r="A211" s="120"/>
      <c r="B211" s="208"/>
      <c r="C211" s="121"/>
      <c r="D211" s="121"/>
      <c r="E211" s="15"/>
      <c r="F211" s="122"/>
      <c r="G211" s="211" t="s">
        <v>1382</v>
      </c>
      <c r="H211" s="15"/>
      <c r="I211" s="15"/>
      <c r="J211" s="31"/>
      <c r="K211" s="31"/>
      <c r="L211" s="203"/>
      <c r="M211" s="203"/>
      <c r="N211" s="204"/>
      <c r="O211" s="209"/>
      <c r="P211" s="204"/>
      <c r="Q211" s="125"/>
      <c r="R211" s="210"/>
      <c r="S211" s="210"/>
      <c r="T211" s="200"/>
      <c r="U211" s="136"/>
      <c r="V211" s="210"/>
      <c r="W211" s="129"/>
      <c r="X211" s="129"/>
      <c r="Y211" s="129"/>
      <c r="Z211" s="15"/>
      <c r="AA211" s="15"/>
      <c r="AB211" s="201"/>
      <c r="AC211" s="202"/>
      <c r="AD211" s="15"/>
      <c r="AE211" s="83"/>
      <c r="AF211" s="83"/>
      <c r="AG211" s="83"/>
      <c r="AH211" s="83"/>
      <c r="AI211" s="83"/>
      <c r="AJ211" s="83"/>
      <c r="AK211" s="83"/>
      <c r="AL211" s="83"/>
    </row>
    <row r="212">
      <c r="A212" s="120"/>
      <c r="B212" s="208"/>
      <c r="C212" s="121"/>
      <c r="D212" s="121"/>
      <c r="E212" s="15"/>
      <c r="F212" s="122"/>
      <c r="G212" s="211" t="s">
        <v>1382</v>
      </c>
      <c r="H212" s="15"/>
      <c r="I212" s="15"/>
      <c r="J212" s="31"/>
      <c r="K212" s="31"/>
      <c r="L212" s="203"/>
      <c r="M212" s="203"/>
      <c r="N212" s="204"/>
      <c r="O212" s="209"/>
      <c r="P212" s="204"/>
      <c r="Q212" s="125"/>
      <c r="R212" s="210"/>
      <c r="S212" s="210"/>
      <c r="T212" s="200"/>
      <c r="U212" s="136"/>
      <c r="V212" s="210"/>
      <c r="W212" s="129"/>
      <c r="X212" s="129"/>
      <c r="Y212" s="129"/>
      <c r="Z212" s="15"/>
      <c r="AA212" s="15"/>
      <c r="AB212" s="201"/>
      <c r="AC212" s="202"/>
      <c r="AD212" s="15"/>
      <c r="AE212" s="83"/>
      <c r="AF212" s="83"/>
      <c r="AG212" s="83"/>
      <c r="AH212" s="83"/>
      <c r="AI212" s="83"/>
      <c r="AJ212" s="83"/>
      <c r="AK212" s="83"/>
      <c r="AL212" s="83"/>
    </row>
    <row r="213">
      <c r="A213" s="120"/>
      <c r="B213" s="208"/>
      <c r="C213" s="121"/>
      <c r="D213" s="121"/>
      <c r="E213" s="15"/>
      <c r="F213" s="122"/>
      <c r="G213" s="211" t="s">
        <v>1382</v>
      </c>
      <c r="H213" s="15"/>
      <c r="I213" s="15"/>
      <c r="J213" s="31"/>
      <c r="K213" s="31"/>
      <c r="L213" s="203"/>
      <c r="M213" s="203"/>
      <c r="N213" s="204"/>
      <c r="O213" s="209"/>
      <c r="P213" s="204"/>
      <c r="Q213" s="125"/>
      <c r="R213" s="210"/>
      <c r="S213" s="210"/>
      <c r="T213" s="200"/>
      <c r="U213" s="136"/>
      <c r="V213" s="210"/>
      <c r="W213" s="129"/>
      <c r="X213" s="129"/>
      <c r="Y213" s="129"/>
      <c r="Z213" s="15"/>
      <c r="AA213" s="15"/>
      <c r="AB213" s="201"/>
      <c r="AC213" s="202"/>
      <c r="AD213" s="15"/>
      <c r="AE213" s="83"/>
      <c r="AF213" s="83"/>
      <c r="AG213" s="83"/>
      <c r="AH213" s="83"/>
      <c r="AI213" s="83"/>
      <c r="AJ213" s="83"/>
      <c r="AK213" s="83"/>
      <c r="AL213" s="83"/>
    </row>
    <row r="214">
      <c r="A214" s="120"/>
      <c r="B214" s="208"/>
      <c r="C214" s="121"/>
      <c r="D214" s="121"/>
      <c r="E214" s="15"/>
      <c r="F214" s="122"/>
      <c r="G214" s="211" t="s">
        <v>1382</v>
      </c>
      <c r="H214" s="15"/>
      <c r="I214" s="15"/>
      <c r="J214" s="31"/>
      <c r="K214" s="31"/>
      <c r="L214" s="203"/>
      <c r="M214" s="203"/>
      <c r="N214" s="204"/>
      <c r="O214" s="209"/>
      <c r="P214" s="204"/>
      <c r="Q214" s="125"/>
      <c r="R214" s="210"/>
      <c r="S214" s="210"/>
      <c r="T214" s="200"/>
      <c r="U214" s="136"/>
      <c r="V214" s="210"/>
      <c r="W214" s="129"/>
      <c r="X214" s="129"/>
      <c r="Y214" s="129"/>
      <c r="Z214" s="15"/>
      <c r="AA214" s="15"/>
      <c r="AB214" s="201"/>
      <c r="AC214" s="202"/>
      <c r="AD214" s="15"/>
      <c r="AE214" s="83"/>
      <c r="AF214" s="83"/>
      <c r="AG214" s="83"/>
      <c r="AH214" s="83"/>
      <c r="AI214" s="83"/>
      <c r="AJ214" s="83"/>
      <c r="AK214" s="83"/>
      <c r="AL214" s="83"/>
    </row>
    <row r="215">
      <c r="A215" s="120"/>
      <c r="B215" s="208"/>
      <c r="C215" s="121"/>
      <c r="D215" s="121"/>
      <c r="E215" s="15"/>
      <c r="F215" s="122"/>
      <c r="G215" s="211" t="s">
        <v>1382</v>
      </c>
      <c r="H215" s="15"/>
      <c r="I215" s="15"/>
      <c r="J215" s="31"/>
      <c r="K215" s="31"/>
      <c r="L215" s="203"/>
      <c r="M215" s="203"/>
      <c r="N215" s="204"/>
      <c r="O215" s="209"/>
      <c r="P215" s="204"/>
      <c r="Q215" s="125"/>
      <c r="R215" s="210"/>
      <c r="S215" s="210"/>
      <c r="T215" s="200"/>
      <c r="U215" s="136"/>
      <c r="V215" s="210"/>
      <c r="W215" s="129"/>
      <c r="X215" s="129"/>
      <c r="Y215" s="129"/>
      <c r="Z215" s="15"/>
      <c r="AA215" s="15"/>
      <c r="AB215" s="201"/>
      <c r="AC215" s="202"/>
      <c r="AD215" s="15"/>
      <c r="AE215" s="83"/>
      <c r="AF215" s="83"/>
      <c r="AG215" s="83"/>
      <c r="AH215" s="83"/>
      <c r="AI215" s="83"/>
      <c r="AJ215" s="83"/>
      <c r="AK215" s="83"/>
      <c r="AL215" s="83"/>
    </row>
    <row r="216">
      <c r="A216" s="120"/>
      <c r="B216" s="208"/>
      <c r="C216" s="121"/>
      <c r="D216" s="121"/>
      <c r="E216" s="15"/>
      <c r="F216" s="122"/>
      <c r="G216" s="211" t="s">
        <v>1382</v>
      </c>
      <c r="H216" s="15"/>
      <c r="I216" s="15"/>
      <c r="J216" s="31"/>
      <c r="K216" s="31"/>
      <c r="L216" s="203"/>
      <c r="M216" s="203"/>
      <c r="N216" s="204"/>
      <c r="O216" s="209"/>
      <c r="P216" s="204"/>
      <c r="Q216" s="125"/>
      <c r="R216" s="210"/>
      <c r="S216" s="210"/>
      <c r="T216" s="200"/>
      <c r="U216" s="136"/>
      <c r="V216" s="210"/>
      <c r="W216" s="129"/>
      <c r="X216" s="129"/>
      <c r="Y216" s="129"/>
      <c r="Z216" s="15"/>
      <c r="AA216" s="15"/>
      <c r="AB216" s="201"/>
      <c r="AC216" s="202"/>
      <c r="AD216" s="15"/>
      <c r="AE216" s="83"/>
      <c r="AF216" s="83"/>
      <c r="AG216" s="83"/>
      <c r="AH216" s="83"/>
      <c r="AI216" s="83"/>
      <c r="AJ216" s="83"/>
      <c r="AK216" s="83"/>
      <c r="AL216" s="83"/>
    </row>
    <row r="217">
      <c r="A217" s="120"/>
      <c r="B217" s="208"/>
      <c r="C217" s="121"/>
      <c r="D217" s="121"/>
      <c r="E217" s="15"/>
      <c r="F217" s="122"/>
      <c r="G217" s="211" t="s">
        <v>1382</v>
      </c>
      <c r="H217" s="15"/>
      <c r="I217" s="15"/>
      <c r="J217" s="31"/>
      <c r="K217" s="31"/>
      <c r="L217" s="203"/>
      <c r="M217" s="203"/>
      <c r="N217" s="204"/>
      <c r="O217" s="209"/>
      <c r="P217" s="204"/>
      <c r="Q217" s="125"/>
      <c r="R217" s="210"/>
      <c r="S217" s="210"/>
      <c r="T217" s="200"/>
      <c r="U217" s="136"/>
      <c r="V217" s="210"/>
      <c r="W217" s="129"/>
      <c r="X217" s="129"/>
      <c r="Y217" s="129"/>
      <c r="Z217" s="15"/>
      <c r="AA217" s="15"/>
      <c r="AB217" s="201"/>
      <c r="AC217" s="202"/>
      <c r="AD217" s="15"/>
      <c r="AE217" s="83"/>
      <c r="AF217" s="83"/>
      <c r="AG217" s="83"/>
      <c r="AH217" s="83"/>
      <c r="AI217" s="83"/>
      <c r="AJ217" s="83"/>
      <c r="AK217" s="83"/>
      <c r="AL217" s="83"/>
    </row>
    <row r="218">
      <c r="A218" s="120"/>
      <c r="B218" s="208"/>
      <c r="C218" s="121"/>
      <c r="D218" s="121"/>
      <c r="E218" s="15"/>
      <c r="F218" s="122"/>
      <c r="G218" s="211" t="s">
        <v>1382</v>
      </c>
      <c r="H218" s="15"/>
      <c r="I218" s="15"/>
      <c r="J218" s="31"/>
      <c r="K218" s="31"/>
      <c r="L218" s="203"/>
      <c r="M218" s="203"/>
      <c r="N218" s="204"/>
      <c r="O218" s="209"/>
      <c r="P218" s="204"/>
      <c r="Q218" s="125"/>
      <c r="R218" s="210"/>
      <c r="S218" s="210"/>
      <c r="T218" s="200"/>
      <c r="U218" s="136"/>
      <c r="V218" s="210"/>
      <c r="W218" s="129"/>
      <c r="X218" s="129"/>
      <c r="Y218" s="129"/>
      <c r="Z218" s="15"/>
      <c r="AA218" s="15"/>
      <c r="AB218" s="201"/>
      <c r="AC218" s="202"/>
      <c r="AD218" s="15"/>
      <c r="AE218" s="83"/>
      <c r="AF218" s="83"/>
      <c r="AG218" s="83"/>
      <c r="AH218" s="83"/>
      <c r="AI218" s="83"/>
      <c r="AJ218" s="83"/>
      <c r="AK218" s="83"/>
      <c r="AL218" s="83"/>
    </row>
    <row r="219">
      <c r="A219" s="120"/>
      <c r="B219" s="208"/>
      <c r="C219" s="121"/>
      <c r="D219" s="121"/>
      <c r="E219" s="15"/>
      <c r="F219" s="122"/>
      <c r="G219" s="211" t="s">
        <v>1382</v>
      </c>
      <c r="H219" s="15"/>
      <c r="I219" s="15"/>
      <c r="J219" s="31"/>
      <c r="K219" s="31"/>
      <c r="L219" s="203"/>
      <c r="M219" s="203"/>
      <c r="N219" s="204"/>
      <c r="O219" s="209"/>
      <c r="P219" s="204"/>
      <c r="Q219" s="125"/>
      <c r="R219" s="210"/>
      <c r="S219" s="210"/>
      <c r="T219" s="200"/>
      <c r="U219" s="136"/>
      <c r="V219" s="210"/>
      <c r="W219" s="129"/>
      <c r="X219" s="129"/>
      <c r="Y219" s="129"/>
      <c r="Z219" s="15"/>
      <c r="AA219" s="15"/>
      <c r="AB219" s="201"/>
      <c r="AC219" s="202"/>
      <c r="AD219" s="15"/>
      <c r="AE219" s="83"/>
      <c r="AF219" s="83"/>
      <c r="AG219" s="83"/>
      <c r="AH219" s="83"/>
      <c r="AI219" s="83"/>
      <c r="AJ219" s="83"/>
      <c r="AK219" s="83"/>
      <c r="AL219" s="83"/>
    </row>
    <row r="220">
      <c r="A220" s="120"/>
      <c r="B220" s="208"/>
      <c r="C220" s="121"/>
      <c r="D220" s="121"/>
      <c r="E220" s="15"/>
      <c r="F220" s="122"/>
      <c r="G220" s="211" t="s">
        <v>1382</v>
      </c>
      <c r="H220" s="15"/>
      <c r="I220" s="15"/>
      <c r="J220" s="31"/>
      <c r="K220" s="31"/>
      <c r="L220" s="203"/>
      <c r="M220" s="203"/>
      <c r="N220" s="204"/>
      <c r="O220" s="209"/>
      <c r="P220" s="204"/>
      <c r="Q220" s="125"/>
      <c r="R220" s="210"/>
      <c r="S220" s="210"/>
      <c r="T220" s="200"/>
      <c r="U220" s="136"/>
      <c r="V220" s="210"/>
      <c r="W220" s="129"/>
      <c r="X220" s="129"/>
      <c r="Y220" s="129"/>
      <c r="Z220" s="15"/>
      <c r="AA220" s="15"/>
      <c r="AB220" s="201"/>
      <c r="AC220" s="202"/>
      <c r="AD220" s="15"/>
      <c r="AE220" s="83"/>
      <c r="AF220" s="83"/>
      <c r="AG220" s="83"/>
      <c r="AH220" s="83"/>
      <c r="AI220" s="83"/>
      <c r="AJ220" s="83"/>
      <c r="AK220" s="83"/>
      <c r="AL220" s="83"/>
    </row>
    <row r="221">
      <c r="A221" s="120"/>
      <c r="B221" s="208"/>
      <c r="C221" s="121"/>
      <c r="D221" s="121"/>
      <c r="E221" s="15"/>
      <c r="F221" s="122"/>
      <c r="G221" s="211" t="s">
        <v>1382</v>
      </c>
      <c r="H221" s="15"/>
      <c r="I221" s="15"/>
      <c r="J221" s="31"/>
      <c r="K221" s="31"/>
      <c r="L221" s="203"/>
      <c r="M221" s="203"/>
      <c r="N221" s="204"/>
      <c r="O221" s="209"/>
      <c r="P221" s="204"/>
      <c r="Q221" s="125"/>
      <c r="R221" s="210"/>
      <c r="S221" s="210"/>
      <c r="T221" s="200"/>
      <c r="U221" s="136"/>
      <c r="V221" s="210"/>
      <c r="W221" s="129"/>
      <c r="X221" s="129"/>
      <c r="Y221" s="129"/>
      <c r="Z221" s="15"/>
      <c r="AA221" s="15"/>
      <c r="AB221" s="201"/>
      <c r="AC221" s="202"/>
      <c r="AD221" s="15"/>
      <c r="AE221" s="83"/>
      <c r="AF221" s="83"/>
      <c r="AG221" s="83"/>
      <c r="AH221" s="83"/>
      <c r="AI221" s="83"/>
      <c r="AJ221" s="83"/>
      <c r="AK221" s="83"/>
      <c r="AL221" s="83"/>
    </row>
    <row r="222">
      <c r="A222" s="120"/>
      <c r="B222" s="208"/>
      <c r="C222" s="121"/>
      <c r="D222" s="121"/>
      <c r="E222" s="15"/>
      <c r="F222" s="122"/>
      <c r="G222" s="211" t="s">
        <v>1382</v>
      </c>
      <c r="H222" s="15"/>
      <c r="I222" s="15"/>
      <c r="J222" s="31"/>
      <c r="K222" s="31"/>
      <c r="L222" s="203"/>
      <c r="M222" s="203"/>
      <c r="N222" s="204"/>
      <c r="O222" s="209"/>
      <c r="P222" s="204"/>
      <c r="Q222" s="125"/>
      <c r="R222" s="210"/>
      <c r="S222" s="210"/>
      <c r="T222" s="200"/>
      <c r="U222" s="136"/>
      <c r="V222" s="210"/>
      <c r="W222" s="129"/>
      <c r="X222" s="129"/>
      <c r="Y222" s="129"/>
      <c r="Z222" s="15"/>
      <c r="AA222" s="15"/>
      <c r="AB222" s="201"/>
      <c r="AC222" s="202"/>
      <c r="AD222" s="15"/>
      <c r="AE222" s="83"/>
      <c r="AF222" s="83"/>
      <c r="AG222" s="83"/>
      <c r="AH222" s="83"/>
      <c r="AI222" s="83"/>
      <c r="AJ222" s="83"/>
      <c r="AK222" s="83"/>
      <c r="AL222" s="83"/>
    </row>
    <row r="223">
      <c r="A223" s="120"/>
      <c r="B223" s="208"/>
      <c r="C223" s="121"/>
      <c r="D223" s="121"/>
      <c r="E223" s="15"/>
      <c r="F223" s="122"/>
      <c r="G223" s="211" t="s">
        <v>1382</v>
      </c>
      <c r="H223" s="15"/>
      <c r="I223" s="15"/>
      <c r="J223" s="31"/>
      <c r="K223" s="31"/>
      <c r="L223" s="203"/>
      <c r="M223" s="203"/>
      <c r="N223" s="204"/>
      <c r="O223" s="209"/>
      <c r="P223" s="204"/>
      <c r="Q223" s="125"/>
      <c r="R223" s="210"/>
      <c r="S223" s="210"/>
      <c r="T223" s="200"/>
      <c r="U223" s="136"/>
      <c r="V223" s="210"/>
      <c r="W223" s="129"/>
      <c r="X223" s="129"/>
      <c r="Y223" s="129"/>
      <c r="Z223" s="15"/>
      <c r="AA223" s="15"/>
      <c r="AB223" s="201"/>
      <c r="AC223" s="202"/>
      <c r="AD223" s="15"/>
      <c r="AE223" s="83"/>
      <c r="AF223" s="83"/>
      <c r="AG223" s="83"/>
      <c r="AH223" s="83"/>
      <c r="AI223" s="83"/>
      <c r="AJ223" s="83"/>
      <c r="AK223" s="83"/>
      <c r="AL223" s="83"/>
    </row>
    <row r="224">
      <c r="A224" s="120"/>
      <c r="B224" s="208"/>
      <c r="C224" s="121"/>
      <c r="D224" s="121"/>
      <c r="E224" s="15"/>
      <c r="F224" s="122"/>
      <c r="G224" s="211" t="s">
        <v>1382</v>
      </c>
      <c r="H224" s="15"/>
      <c r="I224" s="15"/>
      <c r="J224" s="31"/>
      <c r="K224" s="31"/>
      <c r="L224" s="203"/>
      <c r="M224" s="203"/>
      <c r="N224" s="204"/>
      <c r="O224" s="209"/>
      <c r="P224" s="204"/>
      <c r="Q224" s="125"/>
      <c r="R224" s="210"/>
      <c r="S224" s="210"/>
      <c r="T224" s="200"/>
      <c r="U224" s="136"/>
      <c r="V224" s="210"/>
      <c r="W224" s="129"/>
      <c r="X224" s="129"/>
      <c r="Y224" s="129"/>
      <c r="Z224" s="15"/>
      <c r="AA224" s="15"/>
      <c r="AB224" s="201"/>
      <c r="AC224" s="202"/>
      <c r="AD224" s="15"/>
      <c r="AE224" s="83"/>
      <c r="AF224" s="83"/>
      <c r="AG224" s="83"/>
      <c r="AH224" s="83"/>
      <c r="AI224" s="83"/>
      <c r="AJ224" s="83"/>
      <c r="AK224" s="83"/>
      <c r="AL224" s="83"/>
    </row>
    <row r="225">
      <c r="A225" s="120"/>
      <c r="B225" s="208"/>
      <c r="C225" s="121"/>
      <c r="D225" s="121"/>
      <c r="E225" s="15"/>
      <c r="F225" s="122"/>
      <c r="G225" s="211" t="s">
        <v>1382</v>
      </c>
      <c r="H225" s="15"/>
      <c r="I225" s="15"/>
      <c r="J225" s="31"/>
      <c r="K225" s="31"/>
      <c r="L225" s="203"/>
      <c r="M225" s="203"/>
      <c r="N225" s="204"/>
      <c r="O225" s="209"/>
      <c r="P225" s="204"/>
      <c r="Q225" s="125"/>
      <c r="R225" s="210"/>
      <c r="S225" s="210"/>
      <c r="T225" s="200"/>
      <c r="U225" s="136"/>
      <c r="V225" s="210"/>
      <c r="W225" s="129"/>
      <c r="X225" s="129"/>
      <c r="Y225" s="129"/>
      <c r="Z225" s="15"/>
      <c r="AA225" s="15"/>
      <c r="AB225" s="201"/>
      <c r="AC225" s="202"/>
      <c r="AD225" s="15"/>
      <c r="AE225" s="83"/>
      <c r="AF225" s="83"/>
      <c r="AG225" s="83"/>
      <c r="AH225" s="83"/>
      <c r="AI225" s="83"/>
      <c r="AJ225" s="83"/>
      <c r="AK225" s="83"/>
      <c r="AL225" s="83"/>
    </row>
    <row r="226">
      <c r="A226" s="120"/>
      <c r="B226" s="208"/>
      <c r="C226" s="121"/>
      <c r="D226" s="121"/>
      <c r="E226" s="15"/>
      <c r="F226" s="122"/>
      <c r="G226" s="211" t="s">
        <v>1382</v>
      </c>
      <c r="H226" s="15"/>
      <c r="I226" s="15"/>
      <c r="J226" s="31"/>
      <c r="K226" s="31"/>
      <c r="L226" s="203"/>
      <c r="M226" s="203"/>
      <c r="N226" s="204"/>
      <c r="O226" s="209"/>
      <c r="P226" s="204"/>
      <c r="Q226" s="125"/>
      <c r="R226" s="210"/>
      <c r="S226" s="210"/>
      <c r="T226" s="200"/>
      <c r="U226" s="136"/>
      <c r="V226" s="210"/>
      <c r="W226" s="129"/>
      <c r="X226" s="129"/>
      <c r="Y226" s="129"/>
      <c r="Z226" s="15"/>
      <c r="AA226" s="15"/>
      <c r="AB226" s="201"/>
      <c r="AC226" s="202"/>
      <c r="AD226" s="15"/>
      <c r="AE226" s="83"/>
      <c r="AF226" s="83"/>
      <c r="AG226" s="83"/>
      <c r="AH226" s="83"/>
      <c r="AI226" s="83"/>
      <c r="AJ226" s="83"/>
      <c r="AK226" s="83"/>
      <c r="AL226" s="83"/>
    </row>
    <row r="227">
      <c r="A227" s="120"/>
      <c r="B227" s="208"/>
      <c r="C227" s="121"/>
      <c r="D227" s="121"/>
      <c r="E227" s="15"/>
      <c r="F227" s="122"/>
      <c r="G227" s="211" t="s">
        <v>1382</v>
      </c>
      <c r="H227" s="15"/>
      <c r="I227" s="15"/>
      <c r="J227" s="31"/>
      <c r="K227" s="31"/>
      <c r="L227" s="203"/>
      <c r="M227" s="203"/>
      <c r="N227" s="204"/>
      <c r="O227" s="209"/>
      <c r="P227" s="204"/>
      <c r="Q227" s="125"/>
      <c r="R227" s="210"/>
      <c r="S227" s="210"/>
      <c r="T227" s="200"/>
      <c r="U227" s="136"/>
      <c r="V227" s="210"/>
      <c r="W227" s="129"/>
      <c r="X227" s="129"/>
      <c r="Y227" s="129"/>
      <c r="Z227" s="15"/>
      <c r="AA227" s="15"/>
      <c r="AB227" s="201"/>
      <c r="AC227" s="202"/>
      <c r="AD227" s="15"/>
      <c r="AE227" s="83"/>
      <c r="AF227" s="83"/>
      <c r="AG227" s="83"/>
      <c r="AH227" s="83"/>
      <c r="AI227" s="83"/>
      <c r="AJ227" s="83"/>
      <c r="AK227" s="83"/>
      <c r="AL227" s="83"/>
    </row>
    <row r="228">
      <c r="A228" s="120"/>
      <c r="B228" s="208"/>
      <c r="C228" s="121"/>
      <c r="D228" s="121"/>
      <c r="E228" s="15"/>
      <c r="F228" s="122"/>
      <c r="G228" s="211" t="s">
        <v>1382</v>
      </c>
      <c r="H228" s="15"/>
      <c r="I228" s="15"/>
      <c r="J228" s="31"/>
      <c r="K228" s="31"/>
      <c r="L228" s="203"/>
      <c r="M228" s="203"/>
      <c r="N228" s="204"/>
      <c r="O228" s="209"/>
      <c r="P228" s="204"/>
      <c r="Q228" s="125"/>
      <c r="R228" s="210"/>
      <c r="S228" s="210"/>
      <c r="T228" s="200"/>
      <c r="U228" s="136"/>
      <c r="V228" s="210"/>
      <c r="W228" s="129"/>
      <c r="X228" s="129"/>
      <c r="Y228" s="129"/>
      <c r="Z228" s="15"/>
      <c r="AA228" s="15"/>
      <c r="AB228" s="201"/>
      <c r="AC228" s="202"/>
      <c r="AD228" s="15"/>
      <c r="AE228" s="83"/>
      <c r="AF228" s="83"/>
      <c r="AG228" s="83"/>
      <c r="AH228" s="83"/>
      <c r="AI228" s="83"/>
      <c r="AJ228" s="83"/>
      <c r="AK228" s="83"/>
      <c r="AL228" s="83"/>
    </row>
    <row r="229">
      <c r="A229" s="120"/>
      <c r="B229" s="208"/>
      <c r="C229" s="121"/>
      <c r="D229" s="121"/>
      <c r="E229" s="15"/>
      <c r="F229" s="122"/>
      <c r="G229" s="211" t="s">
        <v>1382</v>
      </c>
      <c r="H229" s="15"/>
      <c r="I229" s="15"/>
      <c r="J229" s="31"/>
      <c r="K229" s="31"/>
      <c r="L229" s="203"/>
      <c r="M229" s="203"/>
      <c r="N229" s="204"/>
      <c r="O229" s="209"/>
      <c r="P229" s="204"/>
      <c r="Q229" s="125"/>
      <c r="R229" s="210"/>
      <c r="S229" s="210"/>
      <c r="T229" s="200"/>
      <c r="U229" s="136"/>
      <c r="V229" s="210"/>
      <c r="W229" s="129"/>
      <c r="X229" s="129"/>
      <c r="Y229" s="129"/>
      <c r="Z229" s="15"/>
      <c r="AA229" s="15"/>
      <c r="AB229" s="201"/>
      <c r="AC229" s="202"/>
      <c r="AD229" s="15"/>
      <c r="AE229" s="83"/>
      <c r="AF229" s="83"/>
      <c r="AG229" s="83"/>
      <c r="AH229" s="83"/>
      <c r="AI229" s="83"/>
      <c r="AJ229" s="83"/>
      <c r="AK229" s="83"/>
      <c r="AL229" s="83"/>
    </row>
    <row r="230">
      <c r="A230" s="120"/>
      <c r="B230" s="208"/>
      <c r="C230" s="121"/>
      <c r="D230" s="121"/>
      <c r="E230" s="15"/>
      <c r="F230" s="122"/>
      <c r="G230" s="211" t="s">
        <v>1382</v>
      </c>
      <c r="H230" s="15"/>
      <c r="I230" s="15"/>
      <c r="J230" s="31"/>
      <c r="K230" s="31"/>
      <c r="L230" s="203"/>
      <c r="M230" s="203"/>
      <c r="N230" s="204"/>
      <c r="O230" s="209"/>
      <c r="P230" s="204"/>
      <c r="Q230" s="125"/>
      <c r="R230" s="210"/>
      <c r="S230" s="210"/>
      <c r="T230" s="200"/>
      <c r="U230" s="136"/>
      <c r="V230" s="210"/>
      <c r="W230" s="129"/>
      <c r="X230" s="129"/>
      <c r="Y230" s="129"/>
      <c r="Z230" s="15"/>
      <c r="AA230" s="15"/>
      <c r="AB230" s="201"/>
      <c r="AC230" s="202"/>
      <c r="AD230" s="15"/>
      <c r="AE230" s="83"/>
      <c r="AF230" s="83"/>
      <c r="AG230" s="83"/>
      <c r="AH230" s="83"/>
      <c r="AI230" s="83"/>
      <c r="AJ230" s="83"/>
      <c r="AK230" s="83"/>
      <c r="AL230" s="83"/>
    </row>
    <row r="231">
      <c r="A231" s="120"/>
      <c r="B231" s="208"/>
      <c r="C231" s="121"/>
      <c r="D231" s="121"/>
      <c r="E231" s="15"/>
      <c r="F231" s="122"/>
      <c r="G231" s="211" t="s">
        <v>1382</v>
      </c>
      <c r="H231" s="15"/>
      <c r="I231" s="15"/>
      <c r="J231" s="31"/>
      <c r="K231" s="31"/>
      <c r="L231" s="203"/>
      <c r="M231" s="203"/>
      <c r="N231" s="204"/>
      <c r="O231" s="209"/>
      <c r="P231" s="204"/>
      <c r="Q231" s="125"/>
      <c r="R231" s="210"/>
      <c r="S231" s="210"/>
      <c r="T231" s="200"/>
      <c r="U231" s="136"/>
      <c r="V231" s="210"/>
      <c r="W231" s="129"/>
      <c r="X231" s="129"/>
      <c r="Y231" s="129"/>
      <c r="Z231" s="15"/>
      <c r="AA231" s="15"/>
      <c r="AB231" s="201"/>
      <c r="AC231" s="202"/>
      <c r="AD231" s="15"/>
      <c r="AE231" s="83"/>
      <c r="AF231" s="83"/>
      <c r="AG231" s="83"/>
      <c r="AH231" s="83"/>
      <c r="AI231" s="83"/>
      <c r="AJ231" s="83"/>
      <c r="AK231" s="83"/>
      <c r="AL231" s="83"/>
    </row>
    <row r="232">
      <c r="A232" s="120"/>
      <c r="B232" s="208"/>
      <c r="C232" s="121"/>
      <c r="D232" s="121"/>
      <c r="E232" s="15"/>
      <c r="F232" s="122"/>
      <c r="G232" s="211" t="s">
        <v>1382</v>
      </c>
      <c r="H232" s="15"/>
      <c r="I232" s="15"/>
      <c r="J232" s="31"/>
      <c r="K232" s="31"/>
      <c r="L232" s="203"/>
      <c r="M232" s="203"/>
      <c r="N232" s="204"/>
      <c r="O232" s="209"/>
      <c r="P232" s="204"/>
      <c r="Q232" s="125"/>
      <c r="R232" s="210"/>
      <c r="S232" s="210"/>
      <c r="T232" s="200"/>
      <c r="U232" s="136"/>
      <c r="V232" s="210"/>
      <c r="W232" s="129"/>
      <c r="X232" s="129"/>
      <c r="Y232" s="129"/>
      <c r="Z232" s="15"/>
      <c r="AA232" s="15"/>
      <c r="AB232" s="201"/>
      <c r="AC232" s="202"/>
      <c r="AD232" s="15"/>
      <c r="AE232" s="83"/>
      <c r="AF232" s="83"/>
      <c r="AG232" s="83"/>
      <c r="AH232" s="83"/>
      <c r="AI232" s="83"/>
      <c r="AJ232" s="83"/>
      <c r="AK232" s="83"/>
      <c r="AL232" s="83"/>
    </row>
    <row r="233">
      <c r="A233" s="120"/>
      <c r="B233" s="208"/>
      <c r="C233" s="121"/>
      <c r="D233" s="121"/>
      <c r="E233" s="15"/>
      <c r="F233" s="122"/>
      <c r="G233" s="211" t="s">
        <v>1382</v>
      </c>
      <c r="H233" s="15"/>
      <c r="I233" s="15"/>
      <c r="J233" s="31"/>
      <c r="K233" s="31"/>
      <c r="L233" s="203"/>
      <c r="M233" s="203"/>
      <c r="N233" s="204"/>
      <c r="O233" s="209"/>
      <c r="P233" s="204"/>
      <c r="Q233" s="125"/>
      <c r="R233" s="210"/>
      <c r="S233" s="210"/>
      <c r="T233" s="200"/>
      <c r="U233" s="136"/>
      <c r="V233" s="210"/>
      <c r="W233" s="129"/>
      <c r="X233" s="129"/>
      <c r="Y233" s="129"/>
      <c r="Z233" s="15"/>
      <c r="AA233" s="15"/>
      <c r="AB233" s="201"/>
      <c r="AC233" s="202"/>
      <c r="AD233" s="15"/>
      <c r="AE233" s="83"/>
      <c r="AF233" s="83"/>
      <c r="AG233" s="83"/>
      <c r="AH233" s="83"/>
      <c r="AI233" s="83"/>
      <c r="AJ233" s="83"/>
      <c r="AK233" s="83"/>
      <c r="AL233" s="83"/>
    </row>
    <row r="234">
      <c r="A234" s="120"/>
      <c r="B234" s="208"/>
      <c r="C234" s="121"/>
      <c r="D234" s="121"/>
      <c r="E234" s="15"/>
      <c r="F234" s="122"/>
      <c r="G234" s="211" t="s">
        <v>1382</v>
      </c>
      <c r="H234" s="15"/>
      <c r="I234" s="15"/>
      <c r="J234" s="31"/>
      <c r="K234" s="31"/>
      <c r="L234" s="203"/>
      <c r="M234" s="203"/>
      <c r="N234" s="204"/>
      <c r="O234" s="209"/>
      <c r="P234" s="204"/>
      <c r="Q234" s="125"/>
      <c r="R234" s="210"/>
      <c r="S234" s="210"/>
      <c r="T234" s="200"/>
      <c r="U234" s="136"/>
      <c r="V234" s="210"/>
      <c r="W234" s="129"/>
      <c r="X234" s="129"/>
      <c r="Y234" s="129"/>
      <c r="Z234" s="15"/>
      <c r="AA234" s="15"/>
      <c r="AB234" s="201"/>
      <c r="AC234" s="202"/>
      <c r="AD234" s="15"/>
      <c r="AE234" s="83"/>
      <c r="AF234" s="83"/>
      <c r="AG234" s="83"/>
      <c r="AH234" s="83"/>
      <c r="AI234" s="83"/>
      <c r="AJ234" s="83"/>
      <c r="AK234" s="83"/>
      <c r="AL234" s="83"/>
    </row>
    <row r="235">
      <c r="A235" s="120"/>
      <c r="B235" s="208"/>
      <c r="C235" s="121"/>
      <c r="D235" s="121"/>
      <c r="E235" s="15"/>
      <c r="F235" s="122"/>
      <c r="G235" s="211" t="s">
        <v>1382</v>
      </c>
      <c r="H235" s="15"/>
      <c r="I235" s="15"/>
      <c r="J235" s="31"/>
      <c r="K235" s="31"/>
      <c r="L235" s="203"/>
      <c r="M235" s="203"/>
      <c r="N235" s="204"/>
      <c r="O235" s="209"/>
      <c r="P235" s="204"/>
      <c r="Q235" s="125"/>
      <c r="R235" s="210"/>
      <c r="S235" s="210"/>
      <c r="T235" s="200"/>
      <c r="U235" s="136"/>
      <c r="V235" s="210"/>
      <c r="W235" s="129"/>
      <c r="X235" s="129"/>
      <c r="Y235" s="129"/>
      <c r="Z235" s="15"/>
      <c r="AA235" s="15"/>
      <c r="AB235" s="201"/>
      <c r="AC235" s="202"/>
      <c r="AD235" s="15"/>
      <c r="AE235" s="83"/>
      <c r="AF235" s="83"/>
      <c r="AG235" s="83"/>
      <c r="AH235" s="83"/>
      <c r="AI235" s="83"/>
      <c r="AJ235" s="83"/>
      <c r="AK235" s="83"/>
      <c r="AL235" s="83"/>
    </row>
    <row r="236">
      <c r="A236" s="120"/>
      <c r="B236" s="208"/>
      <c r="C236" s="121"/>
      <c r="D236" s="121"/>
      <c r="E236" s="15"/>
      <c r="F236" s="122"/>
      <c r="G236" s="211" t="s">
        <v>1382</v>
      </c>
      <c r="H236" s="15"/>
      <c r="I236" s="15"/>
      <c r="J236" s="31"/>
      <c r="K236" s="31"/>
      <c r="L236" s="203"/>
      <c r="M236" s="203"/>
      <c r="N236" s="204"/>
      <c r="O236" s="209"/>
      <c r="P236" s="204"/>
      <c r="Q236" s="125"/>
      <c r="R236" s="210"/>
      <c r="S236" s="210"/>
      <c r="T236" s="200"/>
      <c r="U236" s="136"/>
      <c r="V236" s="210"/>
      <c r="W236" s="129"/>
      <c r="X236" s="129"/>
      <c r="Y236" s="129"/>
      <c r="Z236" s="15"/>
      <c r="AA236" s="15"/>
      <c r="AB236" s="201"/>
      <c r="AC236" s="202"/>
      <c r="AD236" s="15"/>
      <c r="AE236" s="83"/>
      <c r="AF236" s="83"/>
      <c r="AG236" s="83"/>
      <c r="AH236" s="83"/>
      <c r="AI236" s="83"/>
      <c r="AJ236" s="83"/>
      <c r="AK236" s="83"/>
      <c r="AL236" s="83"/>
    </row>
    <row r="237">
      <c r="A237" s="120"/>
      <c r="B237" s="208"/>
      <c r="C237" s="121"/>
      <c r="D237" s="121"/>
      <c r="E237" s="15"/>
      <c r="F237" s="122"/>
      <c r="G237" s="211" t="s">
        <v>1382</v>
      </c>
      <c r="H237" s="15"/>
      <c r="I237" s="15"/>
      <c r="J237" s="31"/>
      <c r="K237" s="31"/>
      <c r="L237" s="203"/>
      <c r="M237" s="203"/>
      <c r="N237" s="204"/>
      <c r="O237" s="209"/>
      <c r="P237" s="204"/>
      <c r="Q237" s="125"/>
      <c r="R237" s="210"/>
      <c r="S237" s="210"/>
      <c r="T237" s="200"/>
      <c r="U237" s="136"/>
      <c r="V237" s="210"/>
      <c r="W237" s="129"/>
      <c r="X237" s="129"/>
      <c r="Y237" s="129"/>
      <c r="Z237" s="15"/>
      <c r="AA237" s="15"/>
      <c r="AB237" s="201"/>
      <c r="AC237" s="202"/>
      <c r="AD237" s="15"/>
      <c r="AE237" s="83"/>
      <c r="AF237" s="83"/>
      <c r="AG237" s="83"/>
      <c r="AH237" s="83"/>
      <c r="AI237" s="83"/>
      <c r="AJ237" s="83"/>
      <c r="AK237" s="83"/>
      <c r="AL237" s="83"/>
    </row>
    <row r="238">
      <c r="A238" s="120"/>
      <c r="B238" s="208"/>
      <c r="C238" s="121"/>
      <c r="D238" s="121"/>
      <c r="E238" s="15"/>
      <c r="F238" s="122"/>
      <c r="G238" s="211" t="s">
        <v>1382</v>
      </c>
      <c r="H238" s="15"/>
      <c r="I238" s="15"/>
      <c r="J238" s="31"/>
      <c r="K238" s="31"/>
      <c r="L238" s="203"/>
      <c r="M238" s="203"/>
      <c r="N238" s="204"/>
      <c r="O238" s="209"/>
      <c r="P238" s="204"/>
      <c r="Q238" s="125"/>
      <c r="R238" s="210"/>
      <c r="S238" s="210"/>
      <c r="T238" s="200"/>
      <c r="U238" s="136"/>
      <c r="V238" s="210"/>
      <c r="W238" s="129"/>
      <c r="X238" s="129"/>
      <c r="Y238" s="129"/>
      <c r="Z238" s="15"/>
      <c r="AA238" s="15"/>
      <c r="AB238" s="201"/>
      <c r="AC238" s="202"/>
      <c r="AD238" s="15"/>
      <c r="AE238" s="83"/>
      <c r="AF238" s="83"/>
      <c r="AG238" s="83"/>
      <c r="AH238" s="83"/>
      <c r="AI238" s="83"/>
      <c r="AJ238" s="83"/>
      <c r="AK238" s="83"/>
      <c r="AL238" s="83"/>
    </row>
    <row r="239">
      <c r="A239" s="120"/>
      <c r="B239" s="208"/>
      <c r="C239" s="121"/>
      <c r="D239" s="121"/>
      <c r="E239" s="15"/>
      <c r="F239" s="122"/>
      <c r="G239" s="211" t="s">
        <v>1382</v>
      </c>
      <c r="H239" s="15"/>
      <c r="I239" s="15"/>
      <c r="J239" s="31"/>
      <c r="K239" s="31"/>
      <c r="L239" s="203"/>
      <c r="M239" s="203"/>
      <c r="N239" s="204"/>
      <c r="O239" s="209"/>
      <c r="P239" s="204"/>
      <c r="Q239" s="125"/>
      <c r="R239" s="210"/>
      <c r="S239" s="210"/>
      <c r="T239" s="200"/>
      <c r="U239" s="136"/>
      <c r="V239" s="210"/>
      <c r="W239" s="129"/>
      <c r="X239" s="129"/>
      <c r="Y239" s="129"/>
      <c r="Z239" s="15"/>
      <c r="AA239" s="15"/>
      <c r="AB239" s="201"/>
      <c r="AC239" s="202"/>
      <c r="AD239" s="15"/>
      <c r="AE239" s="83"/>
      <c r="AF239" s="83"/>
      <c r="AG239" s="83"/>
      <c r="AH239" s="83"/>
      <c r="AI239" s="83"/>
      <c r="AJ239" s="83"/>
      <c r="AK239" s="83"/>
      <c r="AL239" s="83"/>
    </row>
    <row r="240">
      <c r="A240" s="120"/>
      <c r="B240" s="208"/>
      <c r="C240" s="121"/>
      <c r="D240" s="121"/>
      <c r="E240" s="15"/>
      <c r="F240" s="122"/>
      <c r="G240" s="211" t="s">
        <v>1382</v>
      </c>
      <c r="H240" s="15"/>
      <c r="I240" s="15"/>
      <c r="J240" s="31"/>
      <c r="K240" s="31"/>
      <c r="L240" s="203"/>
      <c r="M240" s="203"/>
      <c r="N240" s="204"/>
      <c r="O240" s="209"/>
      <c r="P240" s="204"/>
      <c r="Q240" s="125"/>
      <c r="R240" s="210"/>
      <c r="S240" s="210"/>
      <c r="T240" s="200"/>
      <c r="U240" s="136"/>
      <c r="V240" s="210"/>
      <c r="W240" s="129"/>
      <c r="X240" s="129"/>
      <c r="Y240" s="129"/>
      <c r="Z240" s="15"/>
      <c r="AA240" s="15"/>
      <c r="AB240" s="201"/>
      <c r="AC240" s="202"/>
      <c r="AD240" s="15"/>
      <c r="AE240" s="83"/>
      <c r="AF240" s="83"/>
      <c r="AG240" s="83"/>
      <c r="AH240" s="83"/>
      <c r="AI240" s="83"/>
      <c r="AJ240" s="83"/>
      <c r="AK240" s="83"/>
      <c r="AL240" s="83"/>
    </row>
    <row r="241">
      <c r="A241" s="120"/>
      <c r="B241" s="208"/>
      <c r="C241" s="121"/>
      <c r="D241" s="121"/>
      <c r="E241" s="15"/>
      <c r="F241" s="122"/>
      <c r="G241" s="211" t="s">
        <v>1382</v>
      </c>
      <c r="H241" s="15"/>
      <c r="I241" s="15"/>
      <c r="J241" s="31"/>
      <c r="K241" s="31"/>
      <c r="L241" s="203"/>
      <c r="M241" s="203"/>
      <c r="N241" s="204"/>
      <c r="O241" s="209"/>
      <c r="P241" s="204"/>
      <c r="Q241" s="125"/>
      <c r="R241" s="210"/>
      <c r="S241" s="210"/>
      <c r="T241" s="200"/>
      <c r="U241" s="136"/>
      <c r="V241" s="210"/>
      <c r="W241" s="129"/>
      <c r="X241" s="129"/>
      <c r="Y241" s="129"/>
      <c r="Z241" s="15"/>
      <c r="AA241" s="15"/>
      <c r="AB241" s="201"/>
      <c r="AC241" s="202"/>
      <c r="AD241" s="15"/>
      <c r="AE241" s="83"/>
      <c r="AF241" s="83"/>
      <c r="AG241" s="83"/>
      <c r="AH241" s="83"/>
      <c r="AI241" s="83"/>
      <c r="AJ241" s="83"/>
      <c r="AK241" s="83"/>
      <c r="AL241" s="83"/>
    </row>
    <row r="242">
      <c r="A242" s="120"/>
      <c r="B242" s="208"/>
      <c r="C242" s="121"/>
      <c r="D242" s="121"/>
      <c r="E242" s="15"/>
      <c r="F242" s="122"/>
      <c r="G242" s="211" t="s">
        <v>1382</v>
      </c>
      <c r="H242" s="15"/>
      <c r="I242" s="15"/>
      <c r="J242" s="31"/>
      <c r="K242" s="31"/>
      <c r="L242" s="203"/>
      <c r="M242" s="203"/>
      <c r="N242" s="204"/>
      <c r="O242" s="209"/>
      <c r="P242" s="204"/>
      <c r="Q242" s="125"/>
      <c r="R242" s="210"/>
      <c r="S242" s="210"/>
      <c r="T242" s="200"/>
      <c r="U242" s="136"/>
      <c r="V242" s="210"/>
      <c r="W242" s="129"/>
      <c r="X242" s="129"/>
      <c r="Y242" s="129"/>
      <c r="Z242" s="15"/>
      <c r="AA242" s="15"/>
      <c r="AB242" s="201"/>
      <c r="AC242" s="202"/>
      <c r="AD242" s="15"/>
      <c r="AE242" s="83"/>
      <c r="AF242" s="83"/>
      <c r="AG242" s="83"/>
      <c r="AH242" s="83"/>
      <c r="AI242" s="83"/>
      <c r="AJ242" s="83"/>
      <c r="AK242" s="83"/>
      <c r="AL242" s="83"/>
    </row>
    <row r="243">
      <c r="A243" s="120"/>
      <c r="B243" s="208"/>
      <c r="C243" s="121"/>
      <c r="D243" s="121"/>
      <c r="E243" s="15"/>
      <c r="F243" s="122"/>
      <c r="G243" s="211" t="s">
        <v>1382</v>
      </c>
      <c r="H243" s="15"/>
      <c r="I243" s="15"/>
      <c r="J243" s="31"/>
      <c r="K243" s="31"/>
      <c r="L243" s="203"/>
      <c r="M243" s="203"/>
      <c r="N243" s="204"/>
      <c r="O243" s="209"/>
      <c r="P243" s="204"/>
      <c r="Q243" s="125"/>
      <c r="R243" s="210"/>
      <c r="S243" s="210"/>
      <c r="T243" s="200"/>
      <c r="U243" s="136"/>
      <c r="V243" s="210"/>
      <c r="W243" s="129"/>
      <c r="X243" s="129"/>
      <c r="Y243" s="129"/>
      <c r="Z243" s="15"/>
      <c r="AA243" s="15"/>
      <c r="AB243" s="201"/>
      <c r="AC243" s="202"/>
      <c r="AD243" s="15"/>
      <c r="AE243" s="83"/>
      <c r="AF243" s="83"/>
      <c r="AG243" s="83"/>
      <c r="AH243" s="83"/>
      <c r="AI243" s="83"/>
      <c r="AJ243" s="83"/>
      <c r="AK243" s="83"/>
      <c r="AL243" s="83"/>
    </row>
    <row r="244">
      <c r="A244" s="120"/>
      <c r="B244" s="208"/>
      <c r="C244" s="121"/>
      <c r="D244" s="121"/>
      <c r="E244" s="15"/>
      <c r="F244" s="122"/>
      <c r="G244" s="211" t="s">
        <v>1382</v>
      </c>
      <c r="H244" s="15"/>
      <c r="I244" s="15"/>
      <c r="J244" s="31"/>
      <c r="K244" s="31"/>
      <c r="L244" s="203"/>
      <c r="M244" s="203"/>
      <c r="N244" s="204"/>
      <c r="O244" s="209"/>
      <c r="P244" s="204"/>
      <c r="Q244" s="125"/>
      <c r="R244" s="210"/>
      <c r="S244" s="210"/>
      <c r="T244" s="200"/>
      <c r="U244" s="136"/>
      <c r="V244" s="210"/>
      <c r="W244" s="129"/>
      <c r="X244" s="129"/>
      <c r="Y244" s="129"/>
      <c r="Z244" s="15"/>
      <c r="AA244" s="15"/>
      <c r="AB244" s="201"/>
      <c r="AC244" s="202"/>
      <c r="AD244" s="15"/>
      <c r="AE244" s="83"/>
      <c r="AF244" s="83"/>
      <c r="AG244" s="83"/>
      <c r="AH244" s="83"/>
      <c r="AI244" s="83"/>
      <c r="AJ244" s="83"/>
      <c r="AK244" s="83"/>
      <c r="AL244" s="83"/>
    </row>
    <row r="245">
      <c r="A245" s="120"/>
      <c r="B245" s="208"/>
      <c r="C245" s="121"/>
      <c r="D245" s="121"/>
      <c r="E245" s="15"/>
      <c r="F245" s="122"/>
      <c r="G245" s="211" t="s">
        <v>1382</v>
      </c>
      <c r="H245" s="15"/>
      <c r="I245" s="15"/>
      <c r="J245" s="31"/>
      <c r="K245" s="31"/>
      <c r="L245" s="203"/>
      <c r="M245" s="203"/>
      <c r="N245" s="204"/>
      <c r="O245" s="209"/>
      <c r="P245" s="204"/>
      <c r="Q245" s="125"/>
      <c r="R245" s="210"/>
      <c r="S245" s="210"/>
      <c r="T245" s="200"/>
      <c r="U245" s="136"/>
      <c r="V245" s="210"/>
      <c r="W245" s="129"/>
      <c r="X245" s="129"/>
      <c r="Y245" s="129"/>
      <c r="Z245" s="15"/>
      <c r="AA245" s="15"/>
      <c r="AB245" s="201"/>
      <c r="AC245" s="202"/>
      <c r="AD245" s="15"/>
      <c r="AE245" s="83"/>
      <c r="AF245" s="83"/>
      <c r="AG245" s="83"/>
      <c r="AH245" s="83"/>
      <c r="AI245" s="83"/>
      <c r="AJ245" s="83"/>
      <c r="AK245" s="83"/>
      <c r="AL245" s="83"/>
    </row>
    <row r="246">
      <c r="A246" s="120"/>
      <c r="B246" s="208"/>
      <c r="C246" s="121"/>
      <c r="D246" s="121"/>
      <c r="E246" s="15"/>
      <c r="F246" s="122"/>
      <c r="G246" s="211" t="s">
        <v>1382</v>
      </c>
      <c r="H246" s="15"/>
      <c r="I246" s="15"/>
      <c r="J246" s="31"/>
      <c r="K246" s="31"/>
      <c r="L246" s="203"/>
      <c r="M246" s="203"/>
      <c r="N246" s="204"/>
      <c r="O246" s="209"/>
      <c r="P246" s="204"/>
      <c r="Q246" s="125"/>
      <c r="R246" s="210"/>
      <c r="S246" s="210"/>
      <c r="T246" s="200"/>
      <c r="U246" s="136"/>
      <c r="V246" s="210"/>
      <c r="W246" s="129"/>
      <c r="X246" s="129"/>
      <c r="Y246" s="129"/>
      <c r="Z246" s="15"/>
      <c r="AA246" s="15"/>
      <c r="AB246" s="201"/>
      <c r="AC246" s="202"/>
      <c r="AD246" s="15"/>
      <c r="AE246" s="83"/>
      <c r="AF246" s="83"/>
      <c r="AG246" s="83"/>
      <c r="AH246" s="83"/>
      <c r="AI246" s="83"/>
      <c r="AJ246" s="83"/>
      <c r="AK246" s="83"/>
      <c r="AL246" s="83"/>
    </row>
    <row r="247">
      <c r="A247" s="120"/>
      <c r="B247" s="208"/>
      <c r="C247" s="121"/>
      <c r="D247" s="121"/>
      <c r="E247" s="15"/>
      <c r="F247" s="122"/>
      <c r="G247" s="211" t="s">
        <v>1382</v>
      </c>
      <c r="H247" s="15"/>
      <c r="I247" s="15"/>
      <c r="J247" s="31"/>
      <c r="K247" s="31"/>
      <c r="L247" s="203"/>
      <c r="M247" s="203"/>
      <c r="N247" s="204"/>
      <c r="O247" s="209"/>
      <c r="P247" s="204"/>
      <c r="Q247" s="125"/>
      <c r="R247" s="210"/>
      <c r="S247" s="210"/>
      <c r="T247" s="200"/>
      <c r="U247" s="136"/>
      <c r="V247" s="210"/>
      <c r="W247" s="129"/>
      <c r="X247" s="129"/>
      <c r="Y247" s="129"/>
      <c r="Z247" s="15"/>
      <c r="AA247" s="15"/>
      <c r="AB247" s="201"/>
      <c r="AC247" s="202"/>
      <c r="AD247" s="15"/>
      <c r="AE247" s="83"/>
      <c r="AF247" s="83"/>
      <c r="AG247" s="83"/>
      <c r="AH247" s="83"/>
      <c r="AI247" s="83"/>
      <c r="AJ247" s="83"/>
      <c r="AK247" s="83"/>
      <c r="AL247" s="83"/>
    </row>
    <row r="248">
      <c r="A248" s="120"/>
      <c r="B248" s="208"/>
      <c r="C248" s="121"/>
      <c r="D248" s="121"/>
      <c r="E248" s="15"/>
      <c r="F248" s="122"/>
      <c r="G248" s="211" t="s">
        <v>1382</v>
      </c>
      <c r="H248" s="15"/>
      <c r="I248" s="15"/>
      <c r="J248" s="31"/>
      <c r="K248" s="31"/>
      <c r="L248" s="203"/>
      <c r="M248" s="203"/>
      <c r="N248" s="204"/>
      <c r="O248" s="209"/>
      <c r="P248" s="204"/>
      <c r="Q248" s="125"/>
      <c r="R248" s="210"/>
      <c r="S248" s="210"/>
      <c r="T248" s="200"/>
      <c r="U248" s="136"/>
      <c r="V248" s="210"/>
      <c r="W248" s="129"/>
      <c r="X248" s="129"/>
      <c r="Y248" s="129"/>
      <c r="Z248" s="15"/>
      <c r="AA248" s="15"/>
      <c r="AB248" s="201"/>
      <c r="AC248" s="202"/>
      <c r="AD248" s="15"/>
      <c r="AE248" s="83"/>
      <c r="AF248" s="83"/>
      <c r="AG248" s="83"/>
      <c r="AH248" s="83"/>
      <c r="AI248" s="83"/>
      <c r="AJ248" s="83"/>
      <c r="AK248" s="83"/>
      <c r="AL248" s="83"/>
    </row>
    <row r="249">
      <c r="A249" s="120"/>
      <c r="B249" s="208"/>
      <c r="C249" s="121"/>
      <c r="D249" s="121"/>
      <c r="E249" s="15"/>
      <c r="F249" s="122"/>
      <c r="G249" s="211" t="s">
        <v>1382</v>
      </c>
      <c r="H249" s="15"/>
      <c r="I249" s="15"/>
      <c r="J249" s="31"/>
      <c r="K249" s="31"/>
      <c r="L249" s="203"/>
      <c r="M249" s="203"/>
      <c r="N249" s="204"/>
      <c r="O249" s="209"/>
      <c r="P249" s="204"/>
      <c r="Q249" s="125"/>
      <c r="R249" s="210"/>
      <c r="S249" s="210"/>
      <c r="T249" s="200"/>
      <c r="U249" s="136"/>
      <c r="V249" s="210"/>
      <c r="W249" s="129"/>
      <c r="X249" s="129"/>
      <c r="Y249" s="129"/>
      <c r="Z249" s="15"/>
      <c r="AA249" s="15"/>
      <c r="AB249" s="201"/>
      <c r="AC249" s="202"/>
      <c r="AD249" s="15"/>
      <c r="AE249" s="83"/>
      <c r="AF249" s="83"/>
      <c r="AG249" s="83"/>
      <c r="AH249" s="83"/>
      <c r="AI249" s="83"/>
      <c r="AJ249" s="83"/>
      <c r="AK249" s="83"/>
      <c r="AL249" s="83"/>
    </row>
    <row r="250">
      <c r="A250" s="120"/>
      <c r="B250" s="208"/>
      <c r="C250" s="121"/>
      <c r="D250" s="121"/>
      <c r="E250" s="15"/>
      <c r="F250" s="122"/>
      <c r="G250" s="211" t="s">
        <v>1382</v>
      </c>
      <c r="H250" s="15"/>
      <c r="I250" s="15"/>
      <c r="J250" s="31"/>
      <c r="K250" s="31"/>
      <c r="L250" s="203"/>
      <c r="M250" s="203"/>
      <c r="N250" s="204"/>
      <c r="O250" s="209"/>
      <c r="P250" s="204"/>
      <c r="Q250" s="125"/>
      <c r="R250" s="210"/>
      <c r="S250" s="210"/>
      <c r="T250" s="200"/>
      <c r="U250" s="136"/>
      <c r="V250" s="210"/>
      <c r="W250" s="129"/>
      <c r="X250" s="129"/>
      <c r="Y250" s="129"/>
      <c r="Z250" s="15"/>
      <c r="AA250" s="15"/>
      <c r="AB250" s="201"/>
      <c r="AC250" s="202"/>
      <c r="AD250" s="15"/>
      <c r="AE250" s="83"/>
      <c r="AF250" s="83"/>
      <c r="AG250" s="83"/>
      <c r="AH250" s="83"/>
      <c r="AI250" s="83"/>
      <c r="AJ250" s="83"/>
      <c r="AK250" s="83"/>
      <c r="AL250" s="83"/>
    </row>
    <row r="251">
      <c r="A251" s="120"/>
      <c r="B251" s="208"/>
      <c r="C251" s="121"/>
      <c r="D251" s="121"/>
      <c r="E251" s="15"/>
      <c r="F251" s="122"/>
      <c r="G251" s="211" t="s">
        <v>1382</v>
      </c>
      <c r="H251" s="15"/>
      <c r="I251" s="15"/>
      <c r="J251" s="31"/>
      <c r="K251" s="31"/>
      <c r="L251" s="203"/>
      <c r="M251" s="203"/>
      <c r="N251" s="204"/>
      <c r="O251" s="209"/>
      <c r="P251" s="204"/>
      <c r="Q251" s="125"/>
      <c r="R251" s="210"/>
      <c r="S251" s="210"/>
      <c r="T251" s="200"/>
      <c r="U251" s="136"/>
      <c r="V251" s="210"/>
      <c r="W251" s="129"/>
      <c r="X251" s="129"/>
      <c r="Y251" s="129"/>
      <c r="Z251" s="15"/>
      <c r="AA251" s="15"/>
      <c r="AB251" s="201"/>
      <c r="AC251" s="202"/>
      <c r="AD251" s="15"/>
      <c r="AE251" s="83"/>
      <c r="AF251" s="83"/>
      <c r="AG251" s="83"/>
      <c r="AH251" s="83"/>
      <c r="AI251" s="83"/>
      <c r="AJ251" s="83"/>
      <c r="AK251" s="83"/>
      <c r="AL251" s="83"/>
    </row>
    <row r="252">
      <c r="A252" s="120"/>
      <c r="B252" s="208"/>
      <c r="C252" s="121"/>
      <c r="D252" s="121"/>
      <c r="E252" s="15"/>
      <c r="F252" s="122"/>
      <c r="G252" s="211" t="s">
        <v>1382</v>
      </c>
      <c r="H252" s="15"/>
      <c r="I252" s="15"/>
      <c r="J252" s="31"/>
      <c r="K252" s="31"/>
      <c r="L252" s="203"/>
      <c r="M252" s="203"/>
      <c r="N252" s="204"/>
      <c r="O252" s="209"/>
      <c r="P252" s="204"/>
      <c r="Q252" s="125"/>
      <c r="R252" s="210"/>
      <c r="S252" s="210"/>
      <c r="T252" s="200"/>
      <c r="U252" s="136"/>
      <c r="V252" s="210"/>
      <c r="W252" s="129"/>
      <c r="X252" s="129"/>
      <c r="Y252" s="129"/>
      <c r="Z252" s="15"/>
      <c r="AA252" s="15"/>
      <c r="AB252" s="201"/>
      <c r="AC252" s="202"/>
      <c r="AD252" s="15"/>
      <c r="AE252" s="83"/>
      <c r="AF252" s="83"/>
      <c r="AG252" s="83"/>
      <c r="AH252" s="83"/>
      <c r="AI252" s="83"/>
      <c r="AJ252" s="83"/>
      <c r="AK252" s="83"/>
      <c r="AL252" s="83"/>
    </row>
    <row r="253">
      <c r="A253" s="120"/>
      <c r="B253" s="208"/>
      <c r="C253" s="121"/>
      <c r="D253" s="121"/>
      <c r="E253" s="15"/>
      <c r="F253" s="122"/>
      <c r="G253" s="211" t="s">
        <v>1382</v>
      </c>
      <c r="H253" s="15"/>
      <c r="I253" s="15"/>
      <c r="J253" s="31"/>
      <c r="K253" s="31"/>
      <c r="L253" s="203"/>
      <c r="M253" s="203"/>
      <c r="N253" s="204"/>
      <c r="O253" s="209"/>
      <c r="P253" s="204"/>
      <c r="Q253" s="125"/>
      <c r="R253" s="210"/>
      <c r="S253" s="210"/>
      <c r="T253" s="200"/>
      <c r="U253" s="136"/>
      <c r="V253" s="210"/>
      <c r="W253" s="129"/>
      <c r="X253" s="129"/>
      <c r="Y253" s="129"/>
      <c r="Z253" s="15"/>
      <c r="AA253" s="15"/>
      <c r="AB253" s="201"/>
      <c r="AC253" s="202"/>
      <c r="AD253" s="15"/>
      <c r="AE253" s="83"/>
      <c r="AF253" s="83"/>
      <c r="AG253" s="83"/>
      <c r="AH253" s="83"/>
      <c r="AI253" s="83"/>
      <c r="AJ253" s="83"/>
      <c r="AK253" s="83"/>
      <c r="AL253" s="83"/>
    </row>
    <row r="254">
      <c r="A254" s="120"/>
      <c r="B254" s="208"/>
      <c r="C254" s="121"/>
      <c r="D254" s="121"/>
      <c r="E254" s="15"/>
      <c r="F254" s="122"/>
      <c r="G254" s="211" t="s">
        <v>1382</v>
      </c>
      <c r="H254" s="15"/>
      <c r="I254" s="15"/>
      <c r="J254" s="31"/>
      <c r="K254" s="31"/>
      <c r="L254" s="203"/>
      <c r="M254" s="203"/>
      <c r="N254" s="204"/>
      <c r="O254" s="209"/>
      <c r="P254" s="204"/>
      <c r="Q254" s="125"/>
      <c r="R254" s="210"/>
      <c r="S254" s="210"/>
      <c r="T254" s="200"/>
      <c r="U254" s="136"/>
      <c r="V254" s="210"/>
      <c r="W254" s="129"/>
      <c r="X254" s="129"/>
      <c r="Y254" s="129"/>
      <c r="Z254" s="15"/>
      <c r="AA254" s="15"/>
      <c r="AB254" s="201"/>
      <c r="AC254" s="202"/>
      <c r="AD254" s="15"/>
      <c r="AE254" s="83"/>
      <c r="AF254" s="83"/>
      <c r="AG254" s="83"/>
      <c r="AH254" s="83"/>
      <c r="AI254" s="83"/>
      <c r="AJ254" s="83"/>
      <c r="AK254" s="83"/>
      <c r="AL254" s="83"/>
    </row>
    <row r="255">
      <c r="A255" s="120"/>
      <c r="B255" s="208"/>
      <c r="C255" s="121"/>
      <c r="D255" s="121"/>
      <c r="E255" s="15"/>
      <c r="F255" s="122"/>
      <c r="G255" s="211" t="s">
        <v>1382</v>
      </c>
      <c r="H255" s="15"/>
      <c r="I255" s="15"/>
      <c r="J255" s="31"/>
      <c r="K255" s="31"/>
      <c r="L255" s="203"/>
      <c r="M255" s="203"/>
      <c r="N255" s="204"/>
      <c r="O255" s="209"/>
      <c r="P255" s="204"/>
      <c r="Q255" s="125"/>
      <c r="R255" s="210"/>
      <c r="S255" s="210"/>
      <c r="T255" s="200"/>
      <c r="U255" s="136"/>
      <c r="V255" s="210"/>
      <c r="W255" s="129"/>
      <c r="X255" s="129"/>
      <c r="Y255" s="129"/>
      <c r="Z255" s="15"/>
      <c r="AA255" s="15"/>
      <c r="AB255" s="201"/>
      <c r="AC255" s="202"/>
      <c r="AD255" s="15"/>
      <c r="AE255" s="83"/>
      <c r="AF255" s="83"/>
      <c r="AG255" s="83"/>
      <c r="AH255" s="83"/>
      <c r="AI255" s="83"/>
      <c r="AJ255" s="83"/>
      <c r="AK255" s="83"/>
      <c r="AL255" s="83"/>
    </row>
    <row r="256">
      <c r="A256" s="120"/>
      <c r="B256" s="208"/>
      <c r="C256" s="121"/>
      <c r="D256" s="121"/>
      <c r="E256" s="15"/>
      <c r="F256" s="122"/>
      <c r="G256" s="211" t="s">
        <v>1382</v>
      </c>
      <c r="H256" s="15"/>
      <c r="I256" s="15"/>
      <c r="J256" s="31"/>
      <c r="K256" s="31"/>
      <c r="L256" s="203"/>
      <c r="M256" s="203"/>
      <c r="N256" s="204"/>
      <c r="O256" s="209"/>
      <c r="P256" s="204"/>
      <c r="Q256" s="125"/>
      <c r="R256" s="210"/>
      <c r="S256" s="210"/>
      <c r="T256" s="200"/>
      <c r="U256" s="136"/>
      <c r="V256" s="210"/>
      <c r="W256" s="129"/>
      <c r="X256" s="129"/>
      <c r="Y256" s="129"/>
      <c r="Z256" s="15"/>
      <c r="AA256" s="15"/>
      <c r="AB256" s="201"/>
      <c r="AC256" s="202"/>
      <c r="AD256" s="15"/>
      <c r="AE256" s="83"/>
      <c r="AF256" s="83"/>
      <c r="AG256" s="83"/>
      <c r="AH256" s="83"/>
      <c r="AI256" s="83"/>
      <c r="AJ256" s="83"/>
      <c r="AK256" s="83"/>
      <c r="AL256" s="83"/>
    </row>
    <row r="257">
      <c r="A257" s="120"/>
      <c r="B257" s="208"/>
      <c r="C257" s="121"/>
      <c r="D257" s="121"/>
      <c r="E257" s="15"/>
      <c r="F257" s="122"/>
      <c r="G257" s="211" t="s">
        <v>1382</v>
      </c>
      <c r="H257" s="15"/>
      <c r="I257" s="15"/>
      <c r="J257" s="31"/>
      <c r="K257" s="31"/>
      <c r="L257" s="203"/>
      <c r="M257" s="203"/>
      <c r="N257" s="204"/>
      <c r="O257" s="209"/>
      <c r="P257" s="204"/>
      <c r="Q257" s="125"/>
      <c r="R257" s="210"/>
      <c r="S257" s="210"/>
      <c r="T257" s="200"/>
      <c r="U257" s="136"/>
      <c r="V257" s="210"/>
      <c r="W257" s="129"/>
      <c r="X257" s="129"/>
      <c r="Y257" s="129"/>
      <c r="Z257" s="15"/>
      <c r="AA257" s="15"/>
      <c r="AB257" s="201"/>
      <c r="AC257" s="202"/>
      <c r="AD257" s="15"/>
      <c r="AE257" s="83"/>
      <c r="AF257" s="83"/>
      <c r="AG257" s="83"/>
      <c r="AH257" s="83"/>
      <c r="AI257" s="83"/>
      <c r="AJ257" s="83"/>
      <c r="AK257" s="83"/>
      <c r="AL257" s="83"/>
    </row>
    <row r="258">
      <c r="A258" s="120"/>
      <c r="B258" s="208"/>
      <c r="C258" s="121"/>
      <c r="D258" s="121"/>
      <c r="E258" s="15"/>
      <c r="F258" s="122"/>
      <c r="G258" s="211" t="s">
        <v>1382</v>
      </c>
      <c r="H258" s="15"/>
      <c r="I258" s="15"/>
      <c r="J258" s="31"/>
      <c r="K258" s="31"/>
      <c r="L258" s="203"/>
      <c r="M258" s="203"/>
      <c r="N258" s="204"/>
      <c r="O258" s="209"/>
      <c r="P258" s="204"/>
      <c r="Q258" s="125"/>
      <c r="R258" s="210"/>
      <c r="S258" s="210"/>
      <c r="T258" s="200"/>
      <c r="U258" s="136"/>
      <c r="V258" s="210"/>
      <c r="W258" s="129"/>
      <c r="X258" s="129"/>
      <c r="Y258" s="129"/>
      <c r="Z258" s="15"/>
      <c r="AA258" s="15"/>
      <c r="AB258" s="201"/>
      <c r="AC258" s="202"/>
      <c r="AD258" s="15"/>
      <c r="AE258" s="83"/>
      <c r="AF258" s="83"/>
      <c r="AG258" s="83"/>
      <c r="AH258" s="83"/>
      <c r="AI258" s="83"/>
      <c r="AJ258" s="83"/>
      <c r="AK258" s="83"/>
      <c r="AL258" s="83"/>
    </row>
    <row r="259">
      <c r="A259" s="120"/>
      <c r="B259" s="208"/>
      <c r="C259" s="121"/>
      <c r="D259" s="121"/>
      <c r="E259" s="15"/>
      <c r="F259" s="122"/>
      <c r="G259" s="211" t="s">
        <v>1382</v>
      </c>
      <c r="H259" s="15"/>
      <c r="I259" s="15"/>
      <c r="J259" s="31"/>
      <c r="K259" s="31"/>
      <c r="L259" s="203"/>
      <c r="M259" s="203"/>
      <c r="N259" s="204"/>
      <c r="O259" s="209"/>
      <c r="P259" s="204"/>
      <c r="Q259" s="125"/>
      <c r="R259" s="210"/>
      <c r="S259" s="210"/>
      <c r="T259" s="200"/>
      <c r="U259" s="136"/>
      <c r="V259" s="210"/>
      <c r="W259" s="129"/>
      <c r="X259" s="129"/>
      <c r="Y259" s="129"/>
      <c r="Z259" s="15"/>
      <c r="AA259" s="15"/>
      <c r="AB259" s="201"/>
      <c r="AC259" s="202"/>
      <c r="AD259" s="15"/>
      <c r="AE259" s="83"/>
      <c r="AF259" s="83"/>
      <c r="AG259" s="83"/>
      <c r="AH259" s="83"/>
      <c r="AI259" s="83"/>
      <c r="AJ259" s="83"/>
      <c r="AK259" s="83"/>
      <c r="AL259" s="83"/>
    </row>
    <row r="260">
      <c r="A260" s="120"/>
      <c r="B260" s="208"/>
      <c r="C260" s="121"/>
      <c r="D260" s="121"/>
      <c r="E260" s="15"/>
      <c r="F260" s="122"/>
      <c r="G260" s="211" t="s">
        <v>1382</v>
      </c>
      <c r="H260" s="15"/>
      <c r="I260" s="15"/>
      <c r="J260" s="31"/>
      <c r="K260" s="31"/>
      <c r="L260" s="203"/>
      <c r="M260" s="203"/>
      <c r="N260" s="204"/>
      <c r="O260" s="209"/>
      <c r="P260" s="204"/>
      <c r="Q260" s="125"/>
      <c r="R260" s="210"/>
      <c r="S260" s="210"/>
      <c r="T260" s="200"/>
      <c r="U260" s="136"/>
      <c r="V260" s="210"/>
      <c r="W260" s="129"/>
      <c r="X260" s="129"/>
      <c r="Y260" s="129"/>
      <c r="Z260" s="15"/>
      <c r="AA260" s="15"/>
      <c r="AB260" s="201"/>
      <c r="AC260" s="202"/>
      <c r="AD260" s="15"/>
      <c r="AE260" s="83"/>
      <c r="AF260" s="83"/>
      <c r="AG260" s="83"/>
      <c r="AH260" s="83"/>
      <c r="AI260" s="83"/>
      <c r="AJ260" s="83"/>
      <c r="AK260" s="83"/>
      <c r="AL260" s="83"/>
    </row>
    <row r="261">
      <c r="A261" s="120"/>
      <c r="B261" s="208"/>
      <c r="C261" s="121"/>
      <c r="D261" s="121"/>
      <c r="E261" s="15"/>
      <c r="F261" s="122"/>
      <c r="G261" s="211" t="s">
        <v>1382</v>
      </c>
      <c r="H261" s="15"/>
      <c r="I261" s="15"/>
      <c r="J261" s="31"/>
      <c r="K261" s="31"/>
      <c r="L261" s="203"/>
      <c r="M261" s="203"/>
      <c r="N261" s="204"/>
      <c r="O261" s="209"/>
      <c r="P261" s="204"/>
      <c r="Q261" s="125"/>
      <c r="R261" s="210"/>
      <c r="S261" s="210"/>
      <c r="T261" s="200"/>
      <c r="U261" s="136"/>
      <c r="V261" s="210"/>
      <c r="W261" s="129"/>
      <c r="X261" s="129"/>
      <c r="Y261" s="129"/>
      <c r="Z261" s="15"/>
      <c r="AA261" s="15"/>
      <c r="AB261" s="201"/>
      <c r="AC261" s="202"/>
      <c r="AD261" s="15"/>
      <c r="AE261" s="83"/>
      <c r="AF261" s="83"/>
      <c r="AG261" s="83"/>
      <c r="AH261" s="83"/>
      <c r="AI261" s="83"/>
      <c r="AJ261" s="83"/>
      <c r="AK261" s="83"/>
      <c r="AL261" s="83"/>
    </row>
    <row r="262">
      <c r="A262" s="120"/>
      <c r="B262" s="208"/>
      <c r="C262" s="121"/>
      <c r="D262" s="121"/>
      <c r="E262" s="15"/>
      <c r="F262" s="122"/>
      <c r="G262" s="211" t="s">
        <v>1382</v>
      </c>
      <c r="H262" s="15"/>
      <c r="I262" s="15"/>
      <c r="J262" s="31"/>
      <c r="K262" s="31"/>
      <c r="L262" s="203"/>
      <c r="M262" s="203"/>
      <c r="N262" s="204"/>
      <c r="O262" s="209"/>
      <c r="P262" s="204"/>
      <c r="Q262" s="125"/>
      <c r="R262" s="210"/>
      <c r="S262" s="210"/>
      <c r="T262" s="200"/>
      <c r="U262" s="136"/>
      <c r="V262" s="210"/>
      <c r="W262" s="129"/>
      <c r="X262" s="129"/>
      <c r="Y262" s="129"/>
      <c r="Z262" s="15"/>
      <c r="AA262" s="15"/>
      <c r="AB262" s="201"/>
      <c r="AC262" s="202"/>
      <c r="AD262" s="15"/>
      <c r="AE262" s="83"/>
      <c r="AF262" s="83"/>
      <c r="AG262" s="83"/>
      <c r="AH262" s="83"/>
      <c r="AI262" s="83"/>
      <c r="AJ262" s="83"/>
      <c r="AK262" s="83"/>
      <c r="AL262" s="83"/>
    </row>
    <row r="263">
      <c r="A263" s="120"/>
      <c r="B263" s="208"/>
      <c r="C263" s="121"/>
      <c r="D263" s="121"/>
      <c r="E263" s="15"/>
      <c r="F263" s="122"/>
      <c r="G263" s="211" t="s">
        <v>1382</v>
      </c>
      <c r="H263" s="15"/>
      <c r="I263" s="15"/>
      <c r="J263" s="31"/>
      <c r="K263" s="31"/>
      <c r="L263" s="203"/>
      <c r="M263" s="203"/>
      <c r="N263" s="204"/>
      <c r="O263" s="209"/>
      <c r="P263" s="204"/>
      <c r="Q263" s="125"/>
      <c r="R263" s="210"/>
      <c r="S263" s="210"/>
      <c r="T263" s="200"/>
      <c r="U263" s="136"/>
      <c r="V263" s="210"/>
      <c r="W263" s="129"/>
      <c r="X263" s="129"/>
      <c r="Y263" s="129"/>
      <c r="Z263" s="15"/>
      <c r="AA263" s="15"/>
      <c r="AB263" s="201"/>
      <c r="AC263" s="202"/>
      <c r="AD263" s="15"/>
      <c r="AE263" s="83"/>
      <c r="AF263" s="83"/>
      <c r="AG263" s="83"/>
      <c r="AH263" s="83"/>
      <c r="AI263" s="83"/>
      <c r="AJ263" s="83"/>
      <c r="AK263" s="83"/>
      <c r="AL263" s="83"/>
    </row>
    <row r="264">
      <c r="A264" s="120"/>
      <c r="B264" s="208"/>
      <c r="C264" s="121"/>
      <c r="D264" s="121"/>
      <c r="E264" s="15"/>
      <c r="F264" s="122"/>
      <c r="G264" s="211" t="s">
        <v>1382</v>
      </c>
      <c r="H264" s="15"/>
      <c r="I264" s="15"/>
      <c r="J264" s="31"/>
      <c r="K264" s="31"/>
      <c r="L264" s="203"/>
      <c r="M264" s="203"/>
      <c r="N264" s="204"/>
      <c r="O264" s="209"/>
      <c r="P264" s="204"/>
      <c r="Q264" s="125"/>
      <c r="R264" s="210"/>
      <c r="S264" s="210"/>
      <c r="T264" s="200"/>
      <c r="U264" s="136"/>
      <c r="V264" s="210"/>
      <c r="W264" s="129"/>
      <c r="X264" s="129"/>
      <c r="Y264" s="129"/>
      <c r="Z264" s="15"/>
      <c r="AA264" s="15"/>
      <c r="AB264" s="201"/>
      <c r="AC264" s="202"/>
      <c r="AD264" s="15"/>
      <c r="AE264" s="83"/>
      <c r="AF264" s="83"/>
      <c r="AG264" s="83"/>
      <c r="AH264" s="83"/>
      <c r="AI264" s="83"/>
      <c r="AJ264" s="83"/>
      <c r="AK264" s="83"/>
      <c r="AL264" s="83"/>
    </row>
    <row r="265">
      <c r="A265" s="120"/>
      <c r="B265" s="208"/>
      <c r="C265" s="121"/>
      <c r="D265" s="121"/>
      <c r="E265" s="15"/>
      <c r="F265" s="122"/>
      <c r="G265" s="211" t="s">
        <v>1382</v>
      </c>
      <c r="H265" s="15"/>
      <c r="I265" s="15"/>
      <c r="J265" s="31"/>
      <c r="K265" s="31"/>
      <c r="L265" s="203"/>
      <c r="M265" s="203"/>
      <c r="N265" s="204"/>
      <c r="O265" s="209"/>
      <c r="P265" s="204"/>
      <c r="Q265" s="125"/>
      <c r="R265" s="210"/>
      <c r="S265" s="210"/>
      <c r="T265" s="200"/>
      <c r="U265" s="136"/>
      <c r="V265" s="210"/>
      <c r="W265" s="129"/>
      <c r="X265" s="129"/>
      <c r="Y265" s="129"/>
      <c r="Z265" s="15"/>
      <c r="AA265" s="15"/>
      <c r="AB265" s="201"/>
      <c r="AC265" s="202"/>
      <c r="AD265" s="15"/>
      <c r="AE265" s="83"/>
      <c r="AF265" s="83"/>
      <c r="AG265" s="83"/>
      <c r="AH265" s="83"/>
      <c r="AI265" s="83"/>
      <c r="AJ265" s="83"/>
      <c r="AK265" s="83"/>
      <c r="AL265" s="83"/>
    </row>
  </sheetData>
  <autoFilter ref="$A$1:$AL$265">
    <filterColumn colId="6">
      <filters blank="1">
        <filter val="尚未入住"/>
        <filter val="入住中"/>
      </filters>
    </filterColumn>
  </autoFilter>
  <customSheetViews>
    <customSheetView guid="{18BA9248-363D-4866-A55F-FAAAD9CF9AF5}" filter="1" showAutoFilter="1">
      <autoFilter ref="$C$1:$AD$96">
        <filterColumn colId="5">
          <filters>
            <filter val="已登記"/>
            <filter val="未登記"/>
            <filter val="已註銷"/>
          </filters>
        </filterColumn>
        <filterColumn colId="7">
          <filters>
            <filter val="不申請"/>
            <filter val="要申請"/>
          </filters>
        </filterColumn>
      </autoFilter>
    </customSheetView>
  </customSheetViews>
  <conditionalFormatting sqref="E99 E103:E106 B104">
    <cfRule type="expression" dxfId="0" priority="1">
      <formula>(#REF!="已退租")</formula>
    </cfRule>
  </conditionalFormatting>
  <conditionalFormatting sqref="A2:A265">
    <cfRule type="expression" dxfId="3" priority="2">
      <formula>A2="X:錯誤: 合約資料不一致"</formula>
    </cfRule>
  </conditionalFormatting>
  <conditionalFormatting sqref="H2:H265 I152:I154">
    <cfRule type="expression" dxfId="4" priority="3">
      <formula>AND($G2="已退租", $H2&lt;&gt;"已註銷")</formula>
    </cfRule>
  </conditionalFormatting>
  <conditionalFormatting sqref="O2:O265">
    <cfRule type="expression" dxfId="4" priority="4">
      <formula>AND(O2&lt;TODAY())</formula>
    </cfRule>
  </conditionalFormatting>
  <conditionalFormatting sqref="A2:D265 E2:E106 F2:AD265 E111 E114 E116:E118 E135:E141 E143 E149:E155 E159:E167 E175:E265">
    <cfRule type="expression" dxfId="0" priority="5">
      <formula>($G2="已退租")</formula>
    </cfRule>
  </conditionalFormatting>
  <conditionalFormatting sqref="A2:A265 N2:P265">
    <cfRule type="containsBlanks" dxfId="5" priority="6">
      <formula>LEN(TRIM(A2))=0</formula>
    </cfRule>
  </conditionalFormatting>
  <conditionalFormatting sqref="N2:N265 P93:P100 P103 P105:P106">
    <cfRule type="expression" dxfId="0" priority="7">
      <formula>N2-today()&lt;0</formula>
    </cfRule>
  </conditionalFormatting>
  <conditionalFormatting sqref="N2:N265 P93:P100 P103 P105:P106">
    <cfRule type="expression" dxfId="1" priority="8">
      <formula>N2-today()&lt;15</formula>
    </cfRule>
  </conditionalFormatting>
  <conditionalFormatting sqref="N2:N265 P93:P100 P103 P105:P106">
    <cfRule type="expression" dxfId="6" priority="9">
      <formula>N2-today()&lt;32</formula>
    </cfRule>
  </conditionalFormatting>
  <conditionalFormatting sqref="N2:N265 P93:P100 P103 P105:P106">
    <cfRule type="expression" dxfId="7" priority="10">
      <formula>N2-today()&lt;62</formula>
    </cfRule>
  </conditionalFormatting>
  <conditionalFormatting sqref="Q2:Q265">
    <cfRule type="cellIs" dxfId="4" priority="11" operator="lessThan">
      <formula>365</formula>
    </cfRule>
  </conditionalFormatting>
  <conditionalFormatting sqref="J2:J265">
    <cfRule type="containsText" dxfId="8" priority="12" operator="containsText" text="要申請">
      <formula>NOT(ISERROR(SEARCH(("要申請"),(J2))))</formula>
    </cfRule>
  </conditionalFormatting>
  <conditionalFormatting sqref="J2:J265">
    <cfRule type="containsText" dxfId="9" priority="13" operator="containsText" text="不申請">
      <formula>NOT(ISERROR(SEARCH(("不申請"),(J2))))</formula>
    </cfRule>
  </conditionalFormatting>
  <conditionalFormatting sqref="H2:I265">
    <cfRule type="containsText" dxfId="5" priority="14" operator="containsText" text="已登記">
      <formula>NOT(ISERROR(SEARCH(("已登記"),(H2))))</formula>
    </cfRule>
  </conditionalFormatting>
  <conditionalFormatting sqref="H2:I265">
    <cfRule type="expression" dxfId="2" priority="15">
      <formula>AND(today()-$L2&gt;25)</formula>
    </cfRule>
  </conditionalFormatting>
  <conditionalFormatting sqref="H2:I265">
    <cfRule type="expression" dxfId="6" priority="16">
      <formula>AND(today()-$L2&gt;14)</formula>
    </cfRule>
  </conditionalFormatting>
  <conditionalFormatting sqref="O2:O265 P101">
    <cfRule type="expression" dxfId="0" priority="17">
      <formula>O2-P2&gt;0</formula>
    </cfRule>
  </conditionalFormatting>
  <conditionalFormatting sqref="O2:O88 P2:P265 O114:O116">
    <cfRule type="expression" dxfId="0" priority="18">
      <formula>P2-today()&lt;0</formula>
    </cfRule>
  </conditionalFormatting>
  <conditionalFormatting sqref="B2:B265 E91">
    <cfRule type="expression" dxfId="10" priority="19">
      <formula>COUNTIF($B$2:$B265, B2) &gt; 1</formula>
    </cfRule>
  </conditionalFormatting>
  <conditionalFormatting sqref="O2:O265">
    <cfRule type="expression" dxfId="6" priority="20">
      <formula>AND(O2-TODAY()&lt;14)</formula>
    </cfRule>
  </conditionalFormatting>
  <conditionalFormatting sqref="G1:G265">
    <cfRule type="expression" dxfId="11" priority="21">
      <formula>COUNTIFS($A:$A, $A1, $G:$G, "入住中") &gt; 1</formula>
    </cfRule>
  </conditionalFormatting>
  <conditionalFormatting sqref="U2:U265">
    <cfRule type="expression" dxfId="12" priority="22">
      <formula>U2=S2</formula>
    </cfRule>
  </conditionalFormatting>
  <conditionalFormatting sqref="U2:U265">
    <cfRule type="cellIs" dxfId="6" priority="23" operator="between">
      <formula>1</formula>
      <formula>"S2-1"</formula>
    </cfRule>
  </conditionalFormatting>
  <conditionalFormatting sqref="U2:U265">
    <cfRule type="cellIs" dxfId="13" priority="24" operator="lessThan">
      <formula>0</formula>
    </cfRule>
  </conditionalFormatting>
  <conditionalFormatting sqref="T2:T265">
    <cfRule type="expression" dxfId="4" priority="25">
      <formula>AND($T2&lt;&gt;0, $O2 &gt; TODAY())</formula>
    </cfRule>
  </conditionalFormatting>
  <conditionalFormatting sqref="T2:T265">
    <cfRule type="expression" dxfId="14" priority="26">
      <formula>$T2 &gt; $S2</formula>
    </cfRule>
  </conditionalFormatting>
  <dataValidations>
    <dataValidation type="list" allowBlank="1" showErrorMessage="1" sqref="Z8 Z23 Z64 Z83 Z85:Z86">
      <formula1>"標準足月,第二個月付差額,首月切到月底"</formula1>
    </dataValidation>
    <dataValidation type="list" allowBlank="1" showErrorMessage="1" sqref="C2:C265">
      <formula1>big_rental_contract!$F$2:$F$50</formula1>
    </dataValidation>
    <dataValidation type="list" allowBlank="1" showErrorMessage="1" sqref="AA2:AA265">
      <formula1>"不足月,足月"</formula1>
    </dataValidation>
    <dataValidation type="list" allowBlank="1" showErrorMessage="1" sqref="Z2:Z7 Z9:Z22 Z24:Z63 Z65:Z82 Z84 Z87:Z265">
      <formula1>"標準足月,第二個月付差額,首月切到月底"</formula1>
    </dataValidation>
    <dataValidation type="list" allowBlank="1" showErrorMessage="1" sqref="G2:G265">
      <formula1>"入住中,已退租,尚未入住"</formula1>
    </dataValidation>
    <dataValidation type="list" allowBlank="1" showErrorMessage="1" sqref="D2:D265">
      <formula1>"A,B,C,D,E,F,G,兩房"</formula1>
    </dataValidation>
    <dataValidation type="list" allowBlank="1" showErrorMessage="1" sqref="I2:I151 I155:I265">
      <formula1>"已登記,未登記"</formula1>
    </dataValidation>
    <dataValidation type="list" allowBlank="1" showErrorMessage="1" sqref="K2:K265">
      <formula1>'Custom分類'!$F$2:$F265</formula1>
    </dataValidation>
    <dataValidation type="list" allowBlank="1" showErrorMessage="1" sqref="J2:J265">
      <formula1>"要申請,不申請"</formula1>
    </dataValidation>
    <dataValidation type="list" allowBlank="1" showErrorMessage="1" sqref="H2:H151 H152:I154 H155:H265">
      <formula1>"已登記,未登記,已註銷"</formula1>
    </dataValidation>
    <dataValidation type="custom" allowBlank="1" showDropDown="1" showErrorMessage="1" sqref="O2:P2 O5:P5 O7:P7 O9:P10 O12:P12 O15:P15 O16 O17:P18 O21:P21 O23:P25 O30:P30 O36:P36 O41:P41 O47 O55 O62:O63 O67">
      <formula1>OR(NOT(ISERROR(DATEVALUE(O2))), AND(ISNUMBER(O2), LEFT(CELL("format", O2))="D"))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1.88"/>
    <col customWidth="1" min="5" max="5" width="14.63"/>
    <col customWidth="1" min="6" max="6" width="16.0"/>
  </cols>
  <sheetData>
    <row r="1" ht="30.75" customHeight="1">
      <c r="A1" s="217" t="s">
        <v>606</v>
      </c>
      <c r="B1" s="218" t="s">
        <v>1383</v>
      </c>
      <c r="C1" s="218" t="s">
        <v>1384</v>
      </c>
      <c r="D1" s="219" t="s">
        <v>1385</v>
      </c>
      <c r="E1" s="220" t="s">
        <v>1386</v>
      </c>
      <c r="F1" s="221" t="s">
        <v>2</v>
      </c>
      <c r="G1" s="221" t="s">
        <v>1387</v>
      </c>
      <c r="H1" s="221" t="s">
        <v>1388</v>
      </c>
      <c r="I1" s="221" t="s">
        <v>1389</v>
      </c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</row>
    <row r="2">
      <c r="A2" s="216" t="s">
        <v>628</v>
      </c>
      <c r="B2" s="223" t="s">
        <v>1390</v>
      </c>
      <c r="C2" s="223" t="s">
        <v>1391</v>
      </c>
      <c r="D2" s="224" t="s">
        <v>1392</v>
      </c>
      <c r="E2" s="225" t="s">
        <v>1393</v>
      </c>
      <c r="F2" s="226" t="str">
        <f>IFERROR(__xludf.DUMMYFUNCTION("IF(A2="""","""",IFERROR(IF(COUNTIF(FILTER(sublease_contract!G:G,ARRAYFORMULA(REGEXMATCH(sublease_contract!E:E,""\b""&amp;A2&amp;""\b""))),""入住中"")&gt;0,INDEX(FILTER(sublease_contract!C:C,ARRAYFORMULA(REGEXMATCH(sublease_contract!E:E,""\b""&amp;A2&amp;""\b"")),sublease_contr"&amp;"act!G:G=""入住中""),1),IF(COUNTIF(FILTER(sublease_contract!G:G,ARRAYFORMULA(REGEXMATCH(sublease_contract!E:E,""\b""&amp;A2&amp;""\b""))),""尚未入住"")&gt;0,INDEX(FILTER(sublease_contract!C:C,ARRAYFORMULA(REGEXMATCH(sublease_contract!E:E,""\b""&amp;A2&amp;""\b"")),sublease_contract"&amp;"!G:G=""尚未入住""),1),""非既有房客"")),""非既有房客""))
"),"永春四號")</f>
        <v>永春四號</v>
      </c>
      <c r="G2" s="226" t="str">
        <f>IFERROR(__xludf.DUMMYFUNCTION("IF(A2="""","""",IFERROR(IF(COUNTIF(FILTER(sublease_contract!G:G,ARRAYFORMULA(REGEXMATCH(sublease_contract!E:E,""\b""&amp;A2&amp;""\b""))),""入住中"")&gt;0,INDEX(FILTER(sublease_contract!D:D,ARRAYFORMULA(REGEXMATCH(sublease_contract!E:E,""\b""&amp;A2&amp;""\b"")),sublease_contr"&amp;"act!G:G=""入住中""),1),IF(COUNTIF(FILTER(sublease_contract!G:G,ARRAYFORMULA(REGEXMATCH(sublease_contract!E:E,""\b""&amp;A2&amp;""\b""))),""尚未入住"")&gt;0,INDEX(FILTER(sublease_contract!D:D,ARRAYFORMULA(REGEXMATCH(sublease_contract!E:E,""\b""&amp;A2&amp;""\b"")),sublease_contract"&amp;"!G:G=""尚未入住""),1),""非既有房客"")),""非既有房客""))
"),"A")</f>
        <v>A</v>
      </c>
      <c r="H2" s="227" t="s">
        <v>1394</v>
      </c>
      <c r="I2" s="228" t="str">
        <f>IFERROR(__xludf.DUMMYFUNCTION("ARRAYFORMULA(
  IF(C2:C605 = """", """",
    IF(
      REGEXMATCH(C2:C605, ""^[A-Z][1289][0-9]{8}$""),
      IF(
        MOD(
          INT(CHOOSE(MATCH(LEFT(C2:C605, 1),
            {""A"",""B"",""C"",""D"",""E"",""F"",""G"",""H"",""I"",""J"",""K"",""L"""&amp;",""M"",
             ""N"",""O"",""P"",""Q"",""R"",""S"",""T"",""U"",""V"",""W"",""X"",""Y"",""Z""}, 0),
            10,11,12,13,14,15,16,17,34,18,19,20,21,22,35,23,24,25,26,27,28,29,32,30,31,33
          ) / 10) +
          MOD(CHOOSE(MATCH(LEFT(C2:C605,"&amp;" 1),
            {""A"",""B"",""C"",""D"",""E"",""F"",""G"",""H"",""I"",""J"",""K"",""L"",""M"",
             ""N"",""O"",""P"",""Q"",""R"",""S"",""T"",""U"",""V"",""W"",""X"",""Y"",""Z""}, 0),
            10,11,12,13,14,15,16,17,34,18,19,20,21,22,35,23,2"&amp;"4,25,26,27,28,29,32,30,31,33
          ),10)*9 +
          MID(C2:C605,2,1)*8 +
          MID(C2:C605,3,1)*7 +
          MID(C2:C605,4,1)*6 +
          MID(C2:C605,5,1)*5 +
          MID(C2:C605,6,1)*4 +
          MID(C2:C605,7,1)*3 +
          MID(C2:C60"&amp;"5,8,1)*2 +
          MID(C2:C605,9,1)*1 +
          MID(C2:C605,10,1)*1,
        10
        ) = 0,
        ""✔ 有效身分證"",
        False
      ),
      ""❌ 無效身分證""
    )
  )
)
"),"✔ 有效身分證")</f>
        <v>✔ 有效身分證</v>
      </c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>
      <c r="A3" s="207" t="s">
        <v>646</v>
      </c>
      <c r="B3" s="223" t="s">
        <v>1395</v>
      </c>
      <c r="C3" s="223" t="s">
        <v>1396</v>
      </c>
      <c r="D3" s="224" t="s">
        <v>1397</v>
      </c>
      <c r="E3" s="230" t="s">
        <v>1398</v>
      </c>
      <c r="F3" s="226" t="str">
        <f>IFERROR(__xludf.DUMMYFUNCTION("IF(A3="""","""",IFERROR(IF(COUNTIF(FILTER(sublease_contract!G:G,ARRAYFORMULA(REGEXMATCH(sublease_contract!E:E,""\b""&amp;A3&amp;""\b""))),""入住中"")&gt;0,INDEX(FILTER(sublease_contract!C:C,ARRAYFORMULA(REGEXMATCH(sublease_contract!E:E,""\b""&amp;A3&amp;""\b"")),sublease_contr"&amp;"act!G:G=""入住中""),1),IF(COUNTIF(FILTER(sublease_contract!G:G,ARRAYFORMULA(REGEXMATCH(sublease_contract!E:E,""\b""&amp;A3&amp;""\b""))),""尚未入住"")&gt;0,INDEX(FILTER(sublease_contract!C:C,ARRAYFORMULA(REGEXMATCH(sublease_contract!E:E,""\b""&amp;A3&amp;""\b"")),sublease_contract"&amp;"!G:G=""尚未入住""),1),""非既有房客"")),""非既有房客""))
"),"永春四號")</f>
        <v>永春四號</v>
      </c>
      <c r="G3" s="226" t="str">
        <f>IFERROR(__xludf.DUMMYFUNCTION("IF(A3="""","""",IFERROR(IF(COUNTIF(FILTER(sublease_contract!G:G,ARRAYFORMULA(REGEXMATCH(sublease_contract!E:E,""\b""&amp;A3&amp;""\b""))),""入住中"")&gt;0,INDEX(FILTER(sublease_contract!D:D,ARRAYFORMULA(REGEXMATCH(sublease_contract!E:E,""\b""&amp;A3&amp;""\b"")),sublease_contr"&amp;"act!G:G=""入住中""),1),IF(COUNTIF(FILTER(sublease_contract!G:G,ARRAYFORMULA(REGEXMATCH(sublease_contract!E:E,""\b""&amp;A3&amp;""\b""))),""尚未入住"")&gt;0,INDEX(FILTER(sublease_contract!D:D,ARRAYFORMULA(REGEXMATCH(sublease_contract!E:E,""\b""&amp;A3&amp;""\b"")),sublease_contract"&amp;"!G:G=""尚未入住""),1),""非既有房客"")),""非既有房客""))
"),"B")</f>
        <v>B</v>
      </c>
      <c r="H3" s="227" t="s">
        <v>1399</v>
      </c>
      <c r="I3" s="228" t="str">
        <f>IFERROR(__xludf.DUMMYFUNCTION("""COMPUTED_VALUE"""),"✔ 有效身分證")</f>
        <v>✔ 有效身分證</v>
      </c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>
      <c r="A4" s="216" t="s">
        <v>653</v>
      </c>
      <c r="B4" s="223" t="s">
        <v>1400</v>
      </c>
      <c r="C4" s="223" t="s">
        <v>1401</v>
      </c>
      <c r="D4" s="224" t="s">
        <v>1402</v>
      </c>
      <c r="E4" s="231" t="s">
        <v>1403</v>
      </c>
      <c r="F4" s="226" t="str">
        <f>IFERROR(__xludf.DUMMYFUNCTION("IF(A4="""","""",IFERROR(IF(COUNTIF(FILTER(sublease_contract!G:G,ARRAYFORMULA(REGEXMATCH(sublease_contract!E:E,""\b""&amp;A4&amp;""\b""))),""入住中"")&gt;0,INDEX(FILTER(sublease_contract!C:C,ARRAYFORMULA(REGEXMATCH(sublease_contract!E:E,""\b""&amp;A4&amp;""\b"")),sublease_contr"&amp;"act!G:G=""入住中""),1),IF(COUNTIF(FILTER(sublease_contract!G:G,ARRAYFORMULA(REGEXMATCH(sublease_contract!E:E,""\b""&amp;A4&amp;""\b""))),""尚未入住"")&gt;0,INDEX(FILTER(sublease_contract!C:C,ARRAYFORMULA(REGEXMATCH(sublease_contract!E:E,""\b""&amp;A4&amp;""\b"")),sublease_contract"&amp;"!G:G=""尚未入住""),1),""非既有房客"")),""非既有房客""))
"),"永春四號")</f>
        <v>永春四號</v>
      </c>
      <c r="G4" s="226" t="str">
        <f>IFERROR(__xludf.DUMMYFUNCTION("IF(A4="""","""",IFERROR(IF(COUNTIF(FILTER(sublease_contract!G:G,ARRAYFORMULA(REGEXMATCH(sublease_contract!E:E,""\b""&amp;A4&amp;""\b""))),""入住中"")&gt;0,INDEX(FILTER(sublease_contract!D:D,ARRAYFORMULA(REGEXMATCH(sublease_contract!E:E,""\b""&amp;A4&amp;""\b"")),sublease_contr"&amp;"act!G:G=""入住中""),1),IF(COUNTIF(FILTER(sublease_contract!G:G,ARRAYFORMULA(REGEXMATCH(sublease_contract!E:E,""\b""&amp;A4&amp;""\b""))),""尚未入住"")&gt;0,INDEX(FILTER(sublease_contract!D:D,ARRAYFORMULA(REGEXMATCH(sublease_contract!E:E,""\b""&amp;A4&amp;""\b"")),sublease_contract"&amp;"!G:G=""尚未入住""),1),""非既有房客"")),""非既有房客""))
"),"C")</f>
        <v>C</v>
      </c>
      <c r="H4" s="227" t="s">
        <v>1404</v>
      </c>
      <c r="I4" s="228" t="str">
        <f>IFERROR(__xludf.DUMMYFUNCTION("""COMPUTED_VALUE"""),"✔ 有效身分證")</f>
        <v>✔ 有效身分證</v>
      </c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</row>
    <row r="5">
      <c r="A5" s="216" t="s">
        <v>665</v>
      </c>
      <c r="B5" s="223" t="s">
        <v>1405</v>
      </c>
      <c r="C5" s="223" t="s">
        <v>1406</v>
      </c>
      <c r="D5" s="224" t="s">
        <v>1407</v>
      </c>
      <c r="E5" s="232" t="s">
        <v>1408</v>
      </c>
      <c r="F5" s="226" t="str">
        <f>IFERROR(__xludf.DUMMYFUNCTION("IF(A5="""","""",IFERROR(IF(COUNTIF(FILTER(sublease_contract!G:G,ARRAYFORMULA(REGEXMATCH(sublease_contract!E:E,""\b""&amp;A5&amp;""\b""))),""入住中"")&gt;0,INDEX(FILTER(sublease_contract!C:C,ARRAYFORMULA(REGEXMATCH(sublease_contract!E:E,""\b""&amp;A5&amp;""\b"")),sublease_contr"&amp;"act!G:G=""入住中""),1),IF(COUNTIF(FILTER(sublease_contract!G:G,ARRAYFORMULA(REGEXMATCH(sublease_contract!E:E,""\b""&amp;A5&amp;""\b""))),""尚未入住"")&gt;0,INDEX(FILTER(sublease_contract!C:C,ARRAYFORMULA(REGEXMATCH(sublease_contract!E:E,""\b""&amp;A5&amp;""\b"")),sublease_contract"&amp;"!G:G=""尚未入住""),1),""非既有房客"")),""非既有房客""))
"),"永春四號")</f>
        <v>永春四號</v>
      </c>
      <c r="G5" s="226" t="str">
        <f>IFERROR(__xludf.DUMMYFUNCTION("IF(A5="""","""",IFERROR(IF(COUNTIF(FILTER(sublease_contract!G:G,ARRAYFORMULA(REGEXMATCH(sublease_contract!E:E,""\b""&amp;A5&amp;""\b""))),""入住中"")&gt;0,INDEX(FILTER(sublease_contract!D:D,ARRAYFORMULA(REGEXMATCH(sublease_contract!E:E,""\b""&amp;A5&amp;""\b"")),sublease_contr"&amp;"act!G:G=""入住中""),1),IF(COUNTIF(FILTER(sublease_contract!G:G,ARRAYFORMULA(REGEXMATCH(sublease_contract!E:E,""\b""&amp;A5&amp;""\b""))),""尚未入住"")&gt;0,INDEX(FILTER(sublease_contract!D:D,ARRAYFORMULA(REGEXMATCH(sublease_contract!E:E,""\b""&amp;A5&amp;""\b"")),sublease_contract"&amp;"!G:G=""尚未入住""),1),""非既有房客"")),""非既有房客""))
"),"D")</f>
        <v>D</v>
      </c>
      <c r="H5" s="227" t="s">
        <v>1409</v>
      </c>
      <c r="I5" s="228" t="str">
        <f>IFERROR(__xludf.DUMMYFUNCTION("""COMPUTED_VALUE"""),"✔ 有效身分證")</f>
        <v>✔ 有效身分證</v>
      </c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>
      <c r="A6" s="207" t="s">
        <v>675</v>
      </c>
      <c r="B6" s="223" t="s">
        <v>1410</v>
      </c>
      <c r="C6" s="223" t="s">
        <v>1411</v>
      </c>
      <c r="D6" s="224" t="s">
        <v>1412</v>
      </c>
      <c r="E6" s="233"/>
      <c r="F6" s="226" t="str">
        <f>IFERROR(__xludf.DUMMYFUNCTION("IF(A6="""","""",IFERROR(IF(COUNTIF(FILTER(sublease_contract!G:G,ARRAYFORMULA(REGEXMATCH(sublease_contract!E:E,""\b""&amp;A6&amp;""\b""))),""入住中"")&gt;0,INDEX(FILTER(sublease_contract!C:C,ARRAYFORMULA(REGEXMATCH(sublease_contract!E:E,""\b""&amp;A6&amp;""\b"")),sublease_contr"&amp;"act!G:G=""入住中""),1),IF(COUNTIF(FILTER(sublease_contract!G:G,ARRAYFORMULA(REGEXMATCH(sublease_contract!E:E,""\b""&amp;A6&amp;""\b""))),""尚未入住"")&gt;0,INDEX(FILTER(sublease_contract!C:C,ARRAYFORMULA(REGEXMATCH(sublease_contract!E:E,""\b""&amp;A6&amp;""\b"")),sublease_contract"&amp;"!G:G=""尚未入住""),1),""非既有房客"")),""非既有房客""))
"),"非既有房客")</f>
        <v>非既有房客</v>
      </c>
      <c r="G6" s="226" t="str">
        <f>IFERROR(__xludf.DUMMYFUNCTION("IF(A6="""","""",IFERROR(IF(COUNTIF(FILTER(sublease_contract!G:G,ARRAYFORMULA(REGEXMATCH(sublease_contract!E:E,""\b""&amp;A6&amp;""\b""))),""入住中"")&gt;0,INDEX(FILTER(sublease_contract!D:D,ARRAYFORMULA(REGEXMATCH(sublease_contract!E:E,""\b""&amp;A6&amp;""\b"")),sublease_contr"&amp;"act!G:G=""入住中""),1),IF(COUNTIF(FILTER(sublease_contract!G:G,ARRAYFORMULA(REGEXMATCH(sublease_contract!E:E,""\b""&amp;A6&amp;""\b""))),""尚未入住"")&gt;0,INDEX(FILTER(sublease_contract!D:D,ARRAYFORMULA(REGEXMATCH(sublease_contract!E:E,""\b""&amp;A6&amp;""\b"")),sublease_contract"&amp;"!G:G=""尚未入住""),1),""非既有房客"")),""非既有房客""))
"),"非既有房客")</f>
        <v>非既有房客</v>
      </c>
      <c r="H6" s="227"/>
      <c r="I6" s="234" t="str">
        <f>IFERROR(__xludf.DUMMYFUNCTION("""COMPUTED_VALUE"""),"✔ 有效身分證")</f>
        <v>✔ 有效身分證</v>
      </c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>
      <c r="A7" s="216" t="s">
        <v>682</v>
      </c>
      <c r="B7" s="223" t="s">
        <v>1413</v>
      </c>
      <c r="C7" s="223" t="s">
        <v>1414</v>
      </c>
      <c r="D7" s="224" t="s">
        <v>1415</v>
      </c>
      <c r="E7" s="236" t="s">
        <v>1416</v>
      </c>
      <c r="F7" s="226" t="str">
        <f>IFERROR(__xludf.DUMMYFUNCTION("IF(A7="""","""",IFERROR(IF(COUNTIF(FILTER(sublease_contract!G:G,ARRAYFORMULA(REGEXMATCH(sublease_contract!E:E,""\b""&amp;A7&amp;""\b""))),""入住中"")&gt;0,INDEX(FILTER(sublease_contract!C:C,ARRAYFORMULA(REGEXMATCH(sublease_contract!E:E,""\b""&amp;A7&amp;""\b"")),sublease_contr"&amp;"act!G:G=""入住中""),1),IF(COUNTIF(FILTER(sublease_contract!G:G,ARRAYFORMULA(REGEXMATCH(sublease_contract!E:E,""\b""&amp;A7&amp;""\b""))),""尚未入住"")&gt;0,INDEX(FILTER(sublease_contract!C:C,ARRAYFORMULA(REGEXMATCH(sublease_contract!E:E,""\b""&amp;A7&amp;""\b"")),sublease_contract"&amp;"!G:G=""尚未入住""),1),""非既有房客"")),""非既有房客""))
"),"內湖秘境")</f>
        <v>內湖秘境</v>
      </c>
      <c r="G7" s="226" t="str">
        <f>IFERROR(__xludf.DUMMYFUNCTION("IF(A7="""","""",IFERROR(IF(COUNTIF(FILTER(sublease_contract!G:G,ARRAYFORMULA(REGEXMATCH(sublease_contract!E:E,""\b""&amp;A7&amp;""\b""))),""入住中"")&gt;0,INDEX(FILTER(sublease_contract!D:D,ARRAYFORMULA(REGEXMATCH(sublease_contract!E:E,""\b""&amp;A7&amp;""\b"")),sublease_contr"&amp;"act!G:G=""入住中""),1),IF(COUNTIF(FILTER(sublease_contract!G:G,ARRAYFORMULA(REGEXMATCH(sublease_contract!E:E,""\b""&amp;A7&amp;""\b""))),""尚未入住"")&gt;0,INDEX(FILTER(sublease_contract!D:D,ARRAYFORMULA(REGEXMATCH(sublease_contract!E:E,""\b""&amp;A7&amp;""\b"")),sublease_contract"&amp;"!G:G=""尚未入住""),1),""非既有房客"")),""非既有房客""))
"),"A")</f>
        <v>A</v>
      </c>
      <c r="H7" s="227" t="s">
        <v>1417</v>
      </c>
      <c r="I7" s="228" t="str">
        <f>IFERROR(__xludf.DUMMYFUNCTION("""COMPUTED_VALUE"""),"✔ 有效身分證")</f>
        <v>✔ 有效身分證</v>
      </c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>
      <c r="A8" s="216" t="s">
        <v>692</v>
      </c>
      <c r="B8" s="223" t="s">
        <v>1418</v>
      </c>
      <c r="C8" s="223" t="s">
        <v>1419</v>
      </c>
      <c r="D8" s="224" t="s">
        <v>1420</v>
      </c>
      <c r="E8" s="233"/>
      <c r="F8" s="226" t="str">
        <f>IFERROR(__xludf.DUMMYFUNCTION("IF(A8="""","""",IFERROR(IF(COUNTIF(FILTER(sublease_contract!G:G,ARRAYFORMULA(REGEXMATCH(sublease_contract!E:E,""\b""&amp;A8&amp;""\b""))),""入住中"")&gt;0,INDEX(FILTER(sublease_contract!C:C,ARRAYFORMULA(REGEXMATCH(sublease_contract!E:E,""\b""&amp;A8&amp;""\b"")),sublease_contr"&amp;"act!G:G=""入住中""),1),IF(COUNTIF(FILTER(sublease_contract!G:G,ARRAYFORMULA(REGEXMATCH(sublease_contract!E:E,""\b""&amp;A8&amp;""\b""))),""尚未入住"")&gt;0,INDEX(FILTER(sublease_contract!C:C,ARRAYFORMULA(REGEXMATCH(sublease_contract!E:E,""\b""&amp;A8&amp;""\b"")),sublease_contract"&amp;"!G:G=""尚未入住""),1),""非既有房客"")),""非既有房客""))
"),"非既有房客")</f>
        <v>非既有房客</v>
      </c>
      <c r="G8" s="226" t="str">
        <f>IFERROR(__xludf.DUMMYFUNCTION("IF(A8="""","""",IFERROR(IF(COUNTIF(FILTER(sublease_contract!G:G,ARRAYFORMULA(REGEXMATCH(sublease_contract!E:E,""\b""&amp;A8&amp;""\b""))),""入住中"")&gt;0,INDEX(FILTER(sublease_contract!D:D,ARRAYFORMULA(REGEXMATCH(sublease_contract!E:E,""\b""&amp;A8&amp;""\b"")),sublease_contr"&amp;"act!G:G=""入住中""),1),IF(COUNTIF(FILTER(sublease_contract!G:G,ARRAYFORMULA(REGEXMATCH(sublease_contract!E:E,""\b""&amp;A8&amp;""\b""))),""尚未入住"")&gt;0,INDEX(FILTER(sublease_contract!D:D,ARRAYFORMULA(REGEXMATCH(sublease_contract!E:E,""\b""&amp;A8&amp;""\b"")),sublease_contract"&amp;"!G:G=""尚未入住""),1),""非既有房客"")),""非既有房客""))
"),"非既有房客")</f>
        <v>非既有房客</v>
      </c>
      <c r="H8" s="227"/>
      <c r="I8" s="228" t="str">
        <f>IFERROR(__xludf.DUMMYFUNCTION("""COMPUTED_VALUE"""),"✔ 有效身分證")</f>
        <v>✔ 有效身分證</v>
      </c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</row>
    <row r="9">
      <c r="A9" s="216" t="s">
        <v>698</v>
      </c>
      <c r="B9" s="223" t="s">
        <v>1421</v>
      </c>
      <c r="C9" s="237" t="s">
        <v>1422</v>
      </c>
      <c r="D9" s="238" t="s">
        <v>1423</v>
      </c>
      <c r="E9" s="233" t="s">
        <v>1424</v>
      </c>
      <c r="F9" s="226" t="str">
        <f>IFERROR(__xludf.DUMMYFUNCTION("IF(A9="""","""",IFERROR(IF(COUNTIF(FILTER(sublease_contract!G:G,ARRAYFORMULA(REGEXMATCH(sublease_contract!E:E,""\b""&amp;A9&amp;""\b""))),""入住中"")&gt;0,INDEX(FILTER(sublease_contract!C:C,ARRAYFORMULA(REGEXMATCH(sublease_contract!E:E,""\b""&amp;A9&amp;""\b"")),sublease_contr"&amp;"act!G:G=""入住中""),1),IF(COUNTIF(FILTER(sublease_contract!G:G,ARRAYFORMULA(REGEXMATCH(sublease_contract!E:E,""\b""&amp;A9&amp;""\b""))),""尚未入住"")&gt;0,INDEX(FILTER(sublease_contract!C:C,ARRAYFORMULA(REGEXMATCH(sublease_contract!E:E,""\b""&amp;A9&amp;""\b"")),sublease_contract"&amp;"!G:G=""尚未入住""),1),""非既有房客"")),""非既有房客""))
"),"非既有房客")</f>
        <v>非既有房客</v>
      </c>
      <c r="G9" s="226" t="str">
        <f>IFERROR(__xludf.DUMMYFUNCTION("IF(A9="""","""",IFERROR(IF(COUNTIF(FILTER(sublease_contract!G:G,ARRAYFORMULA(REGEXMATCH(sublease_contract!E:E,""\b""&amp;A9&amp;""\b""))),""入住中"")&gt;0,INDEX(FILTER(sublease_contract!D:D,ARRAYFORMULA(REGEXMATCH(sublease_contract!E:E,""\b""&amp;A9&amp;""\b"")),sublease_contr"&amp;"act!G:G=""入住中""),1),IF(COUNTIF(FILTER(sublease_contract!G:G,ARRAYFORMULA(REGEXMATCH(sublease_contract!E:E,""\b""&amp;A9&amp;""\b""))),""尚未入住"")&gt;0,INDEX(FILTER(sublease_contract!D:D,ARRAYFORMULA(REGEXMATCH(sublease_contract!E:E,""\b""&amp;A9&amp;""\b"")),sublease_contract"&amp;"!G:G=""尚未入住""),1),""非既有房客"")),""非既有房客""))
"),"非既有房客")</f>
        <v>非既有房客</v>
      </c>
      <c r="H9" s="227" t="s">
        <v>1425</v>
      </c>
      <c r="I9" s="228" t="str">
        <f>IFERROR(__xludf.DUMMYFUNCTION("""COMPUTED_VALUE"""),"✔ 有效身分證")</f>
        <v>✔ 有效身分證</v>
      </c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</row>
    <row r="10">
      <c r="A10" s="216" t="s">
        <v>704</v>
      </c>
      <c r="B10" s="223" t="s">
        <v>1426</v>
      </c>
      <c r="C10" s="223" t="s">
        <v>1427</v>
      </c>
      <c r="D10" s="224" t="s">
        <v>1428</v>
      </c>
      <c r="E10" s="225" t="s">
        <v>1429</v>
      </c>
      <c r="F10" s="226" t="str">
        <f>IFERROR(__xludf.DUMMYFUNCTION("IF(A10="""","""",IFERROR(IF(COUNTIF(FILTER(sublease_contract!G:G,ARRAYFORMULA(REGEXMATCH(sublease_contract!E:E,""\b""&amp;A10&amp;""\b""))),""入住中"")&gt;0,INDEX(FILTER(sublease_contract!C:C,ARRAYFORMULA(REGEXMATCH(sublease_contract!E:E,""\b""&amp;A10&amp;""\b"")),sublease_co"&amp;"ntract!G:G=""入住中""),1),IF(COUNTIF(FILTER(sublease_contract!G:G,ARRAYFORMULA(REGEXMATCH(sublease_contract!E:E,""\b""&amp;A10&amp;""\b""))),""尚未入住"")&gt;0,INDEX(FILTER(sublease_contract!C:C,ARRAYFORMULA(REGEXMATCH(sublease_contract!E:E,""\b""&amp;A10&amp;""\b"")),sublease_con"&amp;"tract!G:G=""尚未入住""),1),""非既有房客"")),""非既有房客""))
"),"內湖秘境")</f>
        <v>內湖秘境</v>
      </c>
      <c r="G10" s="226" t="str">
        <f>IFERROR(__xludf.DUMMYFUNCTION("IF(A10="""","""",IFERROR(IF(COUNTIF(FILTER(sublease_contract!G:G,ARRAYFORMULA(REGEXMATCH(sublease_contract!E:E,""\b""&amp;A10&amp;""\b""))),""入住中"")&gt;0,INDEX(FILTER(sublease_contract!D:D,ARRAYFORMULA(REGEXMATCH(sublease_contract!E:E,""\b""&amp;A10&amp;""\b"")),sublease_co"&amp;"ntract!G:G=""入住中""),1),IF(COUNTIF(FILTER(sublease_contract!G:G,ARRAYFORMULA(REGEXMATCH(sublease_contract!E:E,""\b""&amp;A10&amp;""\b""))),""尚未入住"")&gt;0,INDEX(FILTER(sublease_contract!D:D,ARRAYFORMULA(REGEXMATCH(sublease_contract!E:E,""\b""&amp;A10&amp;""\b"")),sublease_con"&amp;"tract!G:G=""尚未入住""),1),""非既有房客"")),""非既有房客""))
"),"C")</f>
        <v>C</v>
      </c>
      <c r="H10" s="227" t="s">
        <v>1430</v>
      </c>
      <c r="I10" s="228" t="str">
        <f>IFERROR(__xludf.DUMMYFUNCTION("""COMPUTED_VALUE"""),"✔ 有效身分證")</f>
        <v>✔ 有效身分證</v>
      </c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</row>
    <row r="11">
      <c r="A11" s="207" t="s">
        <v>707</v>
      </c>
      <c r="B11" s="223" t="s">
        <v>1431</v>
      </c>
      <c r="C11" s="223" t="s">
        <v>1432</v>
      </c>
      <c r="D11" s="224" t="s">
        <v>1433</v>
      </c>
      <c r="E11" s="236" t="s">
        <v>1434</v>
      </c>
      <c r="F11" s="226" t="str">
        <f>IFERROR(__xludf.DUMMYFUNCTION("IF(A11="""","""",IFERROR(IF(COUNTIF(FILTER(sublease_contract!G:G,ARRAYFORMULA(REGEXMATCH(sublease_contract!E:E,""\b""&amp;A11&amp;""\b""))),""入住中"")&gt;0,INDEX(FILTER(sublease_contract!C:C,ARRAYFORMULA(REGEXMATCH(sublease_contract!E:E,""\b""&amp;A11&amp;""\b"")),sublease_co"&amp;"ntract!G:G=""入住中""),1),IF(COUNTIF(FILTER(sublease_contract!G:G,ARRAYFORMULA(REGEXMATCH(sublease_contract!E:E,""\b""&amp;A11&amp;""\b""))),""尚未入住"")&gt;0,INDEX(FILTER(sublease_contract!C:C,ARRAYFORMULA(REGEXMATCH(sublease_contract!E:E,""\b""&amp;A11&amp;""\b"")),sublease_con"&amp;"tract!G:G=""尚未入住""),1),""非既有房客"")),""非既有房客""))
"),"內湖秘境")</f>
        <v>內湖秘境</v>
      </c>
      <c r="G11" s="226" t="str">
        <f>IFERROR(__xludf.DUMMYFUNCTION("IF(A11="""","""",IFERROR(IF(COUNTIF(FILTER(sublease_contract!G:G,ARRAYFORMULA(REGEXMATCH(sublease_contract!E:E,""\b""&amp;A11&amp;""\b""))),""入住中"")&gt;0,INDEX(FILTER(sublease_contract!D:D,ARRAYFORMULA(REGEXMATCH(sublease_contract!E:E,""\b""&amp;A11&amp;""\b"")),sublease_co"&amp;"ntract!G:G=""入住中""),1),IF(COUNTIF(FILTER(sublease_contract!G:G,ARRAYFORMULA(REGEXMATCH(sublease_contract!E:E,""\b""&amp;A11&amp;""\b""))),""尚未入住"")&gt;0,INDEX(FILTER(sublease_contract!D:D,ARRAYFORMULA(REGEXMATCH(sublease_contract!E:E,""\b""&amp;A11&amp;""\b"")),sublease_con"&amp;"tract!G:G=""尚未入住""),1),""非既有房客"")),""非既有房客""))
"),"D")</f>
        <v>D</v>
      </c>
      <c r="H11" s="227" t="s">
        <v>1425</v>
      </c>
      <c r="I11" s="239" t="str">
        <f>IFERROR(__xludf.DUMMYFUNCTION("""COMPUTED_VALUE"""),"✔ 有效身分證")</f>
        <v>✔ 有效身分證</v>
      </c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>
      <c r="A12" s="216" t="s">
        <v>717</v>
      </c>
      <c r="B12" s="223" t="s">
        <v>1435</v>
      </c>
      <c r="C12" s="223" t="s">
        <v>1436</v>
      </c>
      <c r="D12" s="224" t="s">
        <v>1437</v>
      </c>
      <c r="E12" s="233"/>
      <c r="F12" s="226" t="str">
        <f>IFERROR(__xludf.DUMMYFUNCTION("IF(A12="""","""",IFERROR(IF(COUNTIF(FILTER(sublease_contract!G:G,ARRAYFORMULA(REGEXMATCH(sublease_contract!E:E,""\b""&amp;A12&amp;""\b""))),""入住中"")&gt;0,INDEX(FILTER(sublease_contract!C:C,ARRAYFORMULA(REGEXMATCH(sublease_contract!E:E,""\b""&amp;A12&amp;""\b"")),sublease_co"&amp;"ntract!G:G=""入住中""),1),IF(COUNTIF(FILTER(sublease_contract!G:G,ARRAYFORMULA(REGEXMATCH(sublease_contract!E:E,""\b""&amp;A12&amp;""\b""))),""尚未入住"")&gt;0,INDEX(FILTER(sublease_contract!C:C,ARRAYFORMULA(REGEXMATCH(sublease_contract!E:E,""\b""&amp;A12&amp;""\b"")),sublease_con"&amp;"tract!G:G=""尚未入住""),1),""非既有房客"")),""非既有房客""))
"),"非既有房客")</f>
        <v>非既有房客</v>
      </c>
      <c r="G12" s="226" t="str">
        <f>IFERROR(__xludf.DUMMYFUNCTION("IF(A12="""","""",IFERROR(IF(COUNTIF(FILTER(sublease_contract!G:G,ARRAYFORMULA(REGEXMATCH(sublease_contract!E:E,""\b""&amp;A12&amp;""\b""))),""入住中"")&gt;0,INDEX(FILTER(sublease_contract!D:D,ARRAYFORMULA(REGEXMATCH(sublease_contract!E:E,""\b""&amp;A12&amp;""\b"")),sublease_co"&amp;"ntract!G:G=""入住中""),1),IF(COUNTIF(FILTER(sublease_contract!G:G,ARRAYFORMULA(REGEXMATCH(sublease_contract!E:E,""\b""&amp;A12&amp;""\b""))),""尚未入住"")&gt;0,INDEX(FILTER(sublease_contract!D:D,ARRAYFORMULA(REGEXMATCH(sublease_contract!E:E,""\b""&amp;A12&amp;""\b"")),sublease_con"&amp;"tract!G:G=""尚未入住""),1),""非既有房客"")),""非既有房客""))
"),"非既有房客")</f>
        <v>非既有房客</v>
      </c>
      <c r="H12" s="227"/>
      <c r="I12" s="228" t="str">
        <f>IFERROR(__xludf.DUMMYFUNCTION("""COMPUTED_VALUE"""),"✔ 有效身分證")</f>
        <v>✔ 有效身分證</v>
      </c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</row>
    <row r="13">
      <c r="A13" s="216" t="s">
        <v>722</v>
      </c>
      <c r="B13" s="223" t="s">
        <v>1438</v>
      </c>
      <c r="C13" s="223" t="s">
        <v>1439</v>
      </c>
      <c r="D13" s="224" t="s">
        <v>1440</v>
      </c>
      <c r="E13" s="233"/>
      <c r="F13" s="226" t="str">
        <f>IFERROR(__xludf.DUMMYFUNCTION("IF(A13="""","""",IFERROR(IF(COUNTIF(FILTER(sublease_contract!G:G,ARRAYFORMULA(REGEXMATCH(sublease_contract!E:E,""\b""&amp;A13&amp;""\b""))),""入住中"")&gt;0,INDEX(FILTER(sublease_contract!C:C,ARRAYFORMULA(REGEXMATCH(sublease_contract!E:E,""\b""&amp;A13&amp;""\b"")),sublease_co"&amp;"ntract!G:G=""入住中""),1),IF(COUNTIF(FILTER(sublease_contract!G:G,ARRAYFORMULA(REGEXMATCH(sublease_contract!E:E,""\b""&amp;A13&amp;""\b""))),""尚未入住"")&gt;0,INDEX(FILTER(sublease_contract!C:C,ARRAYFORMULA(REGEXMATCH(sublease_contract!E:E,""\b""&amp;A13&amp;""\b"")),sublease_con"&amp;"tract!G:G=""尚未入住""),1),""非既有房客"")),""非既有房客""))
"),"非既有房客")</f>
        <v>非既有房客</v>
      </c>
      <c r="G13" s="226" t="str">
        <f>IFERROR(__xludf.DUMMYFUNCTION("IF(A13="""","""",IFERROR(IF(COUNTIF(FILTER(sublease_contract!G:G,ARRAYFORMULA(REGEXMATCH(sublease_contract!E:E,""\b""&amp;A13&amp;""\b""))),""入住中"")&gt;0,INDEX(FILTER(sublease_contract!D:D,ARRAYFORMULA(REGEXMATCH(sublease_contract!E:E,""\b""&amp;A13&amp;""\b"")),sublease_co"&amp;"ntract!G:G=""入住中""),1),IF(COUNTIF(FILTER(sublease_contract!G:G,ARRAYFORMULA(REGEXMATCH(sublease_contract!E:E,""\b""&amp;A13&amp;""\b""))),""尚未入住"")&gt;0,INDEX(FILTER(sublease_contract!D:D,ARRAYFORMULA(REGEXMATCH(sublease_contract!E:E,""\b""&amp;A13&amp;""\b"")),sublease_con"&amp;"tract!G:G=""尚未入住""),1),""非既有房客"")),""非既有房客""))
"),"非既有房客")</f>
        <v>非既有房客</v>
      </c>
      <c r="H13" s="227"/>
      <c r="I13" s="239" t="str">
        <f>IFERROR(__xludf.DUMMYFUNCTION("""COMPUTED_VALUE"""),"✔ 有效身分證")</f>
        <v>✔ 有效身分證</v>
      </c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>
      <c r="A14" s="216" t="s">
        <v>728</v>
      </c>
      <c r="B14" s="223" t="s">
        <v>1441</v>
      </c>
      <c r="C14" s="237" t="s">
        <v>1442</v>
      </c>
      <c r="D14" s="224" t="s">
        <v>1443</v>
      </c>
      <c r="E14" s="233" t="s">
        <v>1444</v>
      </c>
      <c r="F14" s="226" t="str">
        <f>IFERROR(__xludf.DUMMYFUNCTION("IF(A14="""","""",IFERROR(IF(COUNTIF(FILTER(sublease_contract!G:G,ARRAYFORMULA(REGEXMATCH(sublease_contract!E:E,""\b""&amp;A14&amp;""\b""))),""入住中"")&gt;0,INDEX(FILTER(sublease_contract!C:C,ARRAYFORMULA(REGEXMATCH(sublease_contract!E:E,""\b""&amp;A14&amp;""\b"")),sublease_co"&amp;"ntract!G:G=""入住中""),1),IF(COUNTIF(FILTER(sublease_contract!G:G,ARRAYFORMULA(REGEXMATCH(sublease_contract!E:E,""\b""&amp;A14&amp;""\b""))),""尚未入住"")&gt;0,INDEX(FILTER(sublease_contract!C:C,ARRAYFORMULA(REGEXMATCH(sublease_contract!E:E,""\b""&amp;A14&amp;""\b"")),sublease_con"&amp;"tract!G:G=""尚未入住""),1),""非既有房客"")),""非既有房客""))
"),"內湖秘境")</f>
        <v>內湖秘境</v>
      </c>
      <c r="G14" s="226" t="str">
        <f>IFERROR(__xludf.DUMMYFUNCTION("IF(A14="""","""",IFERROR(IF(COUNTIF(FILTER(sublease_contract!G:G,ARRAYFORMULA(REGEXMATCH(sublease_contract!E:E,""\b""&amp;A14&amp;""\b""))),""入住中"")&gt;0,INDEX(FILTER(sublease_contract!D:D,ARRAYFORMULA(REGEXMATCH(sublease_contract!E:E,""\b""&amp;A14&amp;""\b"")),sublease_co"&amp;"ntract!G:G=""入住中""),1),IF(COUNTIF(FILTER(sublease_contract!G:G,ARRAYFORMULA(REGEXMATCH(sublease_contract!E:E,""\b""&amp;A14&amp;""\b""))),""尚未入住"")&gt;0,INDEX(FILTER(sublease_contract!D:D,ARRAYFORMULA(REGEXMATCH(sublease_contract!E:E,""\b""&amp;A14&amp;""\b"")),sublease_con"&amp;"tract!G:G=""尚未入住""),1),""非既有房客"")),""非既有房客""))
"),"E")</f>
        <v>E</v>
      </c>
      <c r="H14" s="227" t="s">
        <v>1394</v>
      </c>
      <c r="I14" s="228" t="str">
        <f>IFERROR(__xludf.DUMMYFUNCTION("""COMPUTED_VALUE"""),"✔ 有效身分證")</f>
        <v>✔ 有效身分證</v>
      </c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</row>
    <row r="15">
      <c r="A15" s="207" t="s">
        <v>733</v>
      </c>
      <c r="B15" s="223" t="s">
        <v>1445</v>
      </c>
      <c r="C15" s="223" t="s">
        <v>1446</v>
      </c>
      <c r="D15" s="224" t="s">
        <v>1447</v>
      </c>
      <c r="E15" s="225" t="s">
        <v>1448</v>
      </c>
      <c r="F15" s="226" t="str">
        <f>IFERROR(__xludf.DUMMYFUNCTION("IF(A15="""","""",IFERROR(IF(COUNTIF(FILTER(sublease_contract!G:G,ARRAYFORMULA(REGEXMATCH(sublease_contract!E:E,""\b""&amp;A15&amp;""\b""))),""入住中"")&gt;0,INDEX(FILTER(sublease_contract!C:C,ARRAYFORMULA(REGEXMATCH(sublease_contract!E:E,""\b""&amp;A15&amp;""\b"")),sublease_co"&amp;"ntract!G:G=""入住中""),1),IF(COUNTIF(FILTER(sublease_contract!G:G,ARRAYFORMULA(REGEXMATCH(sublease_contract!E:E,""\b""&amp;A15&amp;""\b""))),""尚未入住"")&gt;0,INDEX(FILTER(sublease_contract!C:C,ARRAYFORMULA(REGEXMATCH(sublease_contract!E:E,""\b""&amp;A15&amp;""\b"")),sublease_con"&amp;"tract!G:G=""尚未入住""),1),""非既有房客"")),""非既有房客""))
"),"內湖秘境")</f>
        <v>內湖秘境</v>
      </c>
      <c r="G15" s="226" t="str">
        <f>IFERROR(__xludf.DUMMYFUNCTION("IF(A15="""","""",IFERROR(IF(COUNTIF(FILTER(sublease_contract!G:G,ARRAYFORMULA(REGEXMATCH(sublease_contract!E:E,""\b""&amp;A15&amp;""\b""))),""入住中"")&gt;0,INDEX(FILTER(sublease_contract!D:D,ARRAYFORMULA(REGEXMATCH(sublease_contract!E:E,""\b""&amp;A15&amp;""\b"")),sublease_co"&amp;"ntract!G:G=""入住中""),1),IF(COUNTIF(FILTER(sublease_contract!G:G,ARRAYFORMULA(REGEXMATCH(sublease_contract!E:E,""\b""&amp;A15&amp;""\b""))),""尚未入住"")&gt;0,INDEX(FILTER(sublease_contract!D:D,ARRAYFORMULA(REGEXMATCH(sublease_contract!E:E,""\b""&amp;A15&amp;""\b"")),sublease_con"&amp;"tract!G:G=""尚未入住""),1),""非既有房客"")),""非既有房客""))
"),"F")</f>
        <v>F</v>
      </c>
      <c r="H15" s="227" t="s">
        <v>1449</v>
      </c>
      <c r="I15" s="239" t="str">
        <f>IFERROR(__xludf.DUMMYFUNCTION("""COMPUTED_VALUE"""),"✔ 有效身分證")</f>
        <v>✔ 有效身分證</v>
      </c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>
      <c r="A16" s="207" t="s">
        <v>739</v>
      </c>
      <c r="B16" s="223" t="s">
        <v>1450</v>
      </c>
      <c r="C16" s="223" t="s">
        <v>1451</v>
      </c>
      <c r="D16" s="224" t="s">
        <v>1452</v>
      </c>
      <c r="E16" s="236" t="s">
        <v>1453</v>
      </c>
      <c r="F16" s="226" t="str">
        <f>IFERROR(__xludf.DUMMYFUNCTION("IF(A16="""","""",IFERROR(IF(COUNTIF(FILTER(sublease_contract!G:G,ARRAYFORMULA(REGEXMATCH(sublease_contract!E:E,""\b""&amp;A16&amp;""\b""))),""入住中"")&gt;0,INDEX(FILTER(sublease_contract!C:C,ARRAYFORMULA(REGEXMATCH(sublease_contract!E:E,""\b""&amp;A16&amp;""\b"")),sublease_co"&amp;"ntract!G:G=""入住中""),1),IF(COUNTIF(FILTER(sublease_contract!G:G,ARRAYFORMULA(REGEXMATCH(sublease_contract!E:E,""\b""&amp;A16&amp;""\b""))),""尚未入住"")&gt;0,INDEX(FILTER(sublease_contract!C:C,ARRAYFORMULA(REGEXMATCH(sublease_contract!E:E,""\b""&amp;A16&amp;""\b"")),sublease_con"&amp;"tract!G:G=""尚未入住""),1),""非既有房客"")),""非既有房客""))
"),"內湖秘境")</f>
        <v>內湖秘境</v>
      </c>
      <c r="G16" s="226" t="str">
        <f>IFERROR(__xludf.DUMMYFUNCTION("IF(A16="""","""",IFERROR(IF(COUNTIF(FILTER(sublease_contract!G:G,ARRAYFORMULA(REGEXMATCH(sublease_contract!E:E,""\b""&amp;A16&amp;""\b""))),""入住中"")&gt;0,INDEX(FILTER(sublease_contract!D:D,ARRAYFORMULA(REGEXMATCH(sublease_contract!E:E,""\b""&amp;A16&amp;""\b"")),sublease_co"&amp;"ntract!G:G=""入住中""),1),IF(COUNTIF(FILTER(sublease_contract!G:G,ARRAYFORMULA(REGEXMATCH(sublease_contract!E:E,""\b""&amp;A16&amp;""\b""))),""尚未入住"")&gt;0,INDEX(FILTER(sublease_contract!D:D,ARRAYFORMULA(REGEXMATCH(sublease_contract!E:E,""\b""&amp;A16&amp;""\b"")),sublease_con"&amp;"tract!G:G=""尚未入住""),1),""非既有房客"")),""非既有房客""))
"),"G")</f>
        <v>G</v>
      </c>
      <c r="H16" s="227" t="s">
        <v>1454</v>
      </c>
      <c r="I16" s="239" t="str">
        <f>IFERROR(__xludf.DUMMYFUNCTION("""COMPUTED_VALUE"""),"✔ 有效身分證")</f>
        <v>✔ 有效身分證</v>
      </c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>
      <c r="A17" s="207" t="s">
        <v>746</v>
      </c>
      <c r="B17" s="80" t="s">
        <v>1455</v>
      </c>
      <c r="C17" s="237"/>
      <c r="D17" s="238"/>
      <c r="E17" s="233"/>
      <c r="F17" s="226" t="str">
        <f>IFERROR(__xludf.DUMMYFUNCTION("IF(A17="""","""",IFERROR(IF(COUNTIF(FILTER(sublease_contract!G:G,ARRAYFORMULA(REGEXMATCH(sublease_contract!E:E,""\b""&amp;A17&amp;""\b""))),""入住中"")&gt;0,INDEX(FILTER(sublease_contract!C:C,ARRAYFORMULA(REGEXMATCH(sublease_contract!E:E,""\b""&amp;A17&amp;""\b"")),sublease_co"&amp;"ntract!G:G=""入住中""),1),IF(COUNTIF(FILTER(sublease_contract!G:G,ARRAYFORMULA(REGEXMATCH(sublease_contract!E:E,""\b""&amp;A17&amp;""\b""))),""尚未入住"")&gt;0,INDEX(FILTER(sublease_contract!C:C,ARRAYFORMULA(REGEXMATCH(sublease_contract!E:E,""\b""&amp;A17&amp;""\b"")),sublease_con"&amp;"tract!G:G=""尚未入住""),1),""非既有房客"")),""非既有房客""))
"),"非既有房客")</f>
        <v>非既有房客</v>
      </c>
      <c r="G17" s="226" t="str">
        <f>IFERROR(__xludf.DUMMYFUNCTION("IF(A17="""","""",IFERROR(IF(COUNTIF(FILTER(sublease_contract!G:G,ARRAYFORMULA(REGEXMATCH(sublease_contract!E:E,""\b""&amp;A17&amp;""\b""))),""入住中"")&gt;0,INDEX(FILTER(sublease_contract!D:D,ARRAYFORMULA(REGEXMATCH(sublease_contract!E:E,""\b""&amp;A17&amp;""\b"")),sublease_co"&amp;"ntract!G:G=""入住中""),1),IF(COUNTIF(FILTER(sublease_contract!G:G,ARRAYFORMULA(REGEXMATCH(sublease_contract!E:E,""\b""&amp;A17&amp;""\b""))),""尚未入住"")&gt;0,INDEX(FILTER(sublease_contract!D:D,ARRAYFORMULA(REGEXMATCH(sublease_contract!E:E,""\b""&amp;A17&amp;""\b"")),sublease_con"&amp;"tract!G:G=""尚未入住""),1),""非既有房客"")),""非既有房客""))
"),"非既有房客")</f>
        <v>非既有房客</v>
      </c>
      <c r="H17" s="227"/>
      <c r="I17" s="228" t="str">
        <f>IFERROR(__xludf.DUMMYFUNCTION("""COMPUTED_VALUE"""),"")</f>
        <v/>
      </c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</row>
    <row r="18">
      <c r="A18" s="216" t="s">
        <v>750</v>
      </c>
      <c r="B18" s="80" t="s">
        <v>1456</v>
      </c>
      <c r="C18" s="237"/>
      <c r="D18" s="238"/>
      <c r="E18" s="233"/>
      <c r="F18" s="226" t="str">
        <f>IFERROR(__xludf.DUMMYFUNCTION("IF(A18="""","""",IFERROR(IF(COUNTIF(FILTER(sublease_contract!G:G,ARRAYFORMULA(REGEXMATCH(sublease_contract!E:E,""\b""&amp;A18&amp;""\b""))),""入住中"")&gt;0,INDEX(FILTER(sublease_contract!C:C,ARRAYFORMULA(REGEXMATCH(sublease_contract!E:E,""\b""&amp;A18&amp;""\b"")),sublease_co"&amp;"ntract!G:G=""入住中""),1),IF(COUNTIF(FILTER(sublease_contract!G:G,ARRAYFORMULA(REGEXMATCH(sublease_contract!E:E,""\b""&amp;A18&amp;""\b""))),""尚未入住"")&gt;0,INDEX(FILTER(sublease_contract!C:C,ARRAYFORMULA(REGEXMATCH(sublease_contract!E:E,""\b""&amp;A18&amp;""\b"")),sublease_con"&amp;"tract!G:G=""尚未入住""),1),""非既有房客"")),""非既有房客""))
"),"非既有房客")</f>
        <v>非既有房客</v>
      </c>
      <c r="G18" s="226" t="str">
        <f>IFERROR(__xludf.DUMMYFUNCTION("IF(A18="""","""",IFERROR(IF(COUNTIF(FILTER(sublease_contract!G:G,ARRAYFORMULA(REGEXMATCH(sublease_contract!E:E,""\b""&amp;A18&amp;""\b""))),""入住中"")&gt;0,INDEX(FILTER(sublease_contract!D:D,ARRAYFORMULA(REGEXMATCH(sublease_contract!E:E,""\b""&amp;A18&amp;""\b"")),sublease_co"&amp;"ntract!G:G=""入住中""),1),IF(COUNTIF(FILTER(sublease_contract!G:G,ARRAYFORMULA(REGEXMATCH(sublease_contract!E:E,""\b""&amp;A18&amp;""\b""))),""尚未入住"")&gt;0,INDEX(FILTER(sublease_contract!D:D,ARRAYFORMULA(REGEXMATCH(sublease_contract!E:E,""\b""&amp;A18&amp;""\b"")),sublease_con"&amp;"tract!G:G=""尚未入住""),1),""非既有房客"")),""非既有房客""))
"),"非既有房客")</f>
        <v>非既有房客</v>
      </c>
      <c r="H18" s="227"/>
      <c r="I18" s="228" t="str">
        <f>IFERROR(__xludf.DUMMYFUNCTION("""COMPUTED_VALUE"""),"")</f>
        <v/>
      </c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>
      <c r="A19" s="216" t="s">
        <v>754</v>
      </c>
      <c r="B19" s="223" t="s">
        <v>1457</v>
      </c>
      <c r="C19" s="223" t="s">
        <v>1458</v>
      </c>
      <c r="D19" s="224" t="s">
        <v>1459</v>
      </c>
      <c r="E19" s="233"/>
      <c r="F19" s="226" t="str">
        <f>IFERROR(__xludf.DUMMYFUNCTION("IF(A19="""","""",IFERROR(IF(COUNTIF(FILTER(sublease_contract!G:G,ARRAYFORMULA(REGEXMATCH(sublease_contract!E:E,""\b""&amp;A19&amp;""\b""))),""入住中"")&gt;0,INDEX(FILTER(sublease_contract!C:C,ARRAYFORMULA(REGEXMATCH(sublease_contract!E:E,""\b""&amp;A19&amp;""\b"")),sublease_co"&amp;"ntract!G:G=""入住中""),1),IF(COUNTIF(FILTER(sublease_contract!G:G,ARRAYFORMULA(REGEXMATCH(sublease_contract!E:E,""\b""&amp;A19&amp;""\b""))),""尚未入住"")&gt;0,INDEX(FILTER(sublease_contract!C:C,ARRAYFORMULA(REGEXMATCH(sublease_contract!E:E,""\b""&amp;A19&amp;""\b"")),sublease_con"&amp;"tract!G:G=""尚未入住""),1),""非既有房客"")),""非既有房客""))
"),"非既有房客")</f>
        <v>非既有房客</v>
      </c>
      <c r="G19" s="226" t="str">
        <f>IFERROR(__xludf.DUMMYFUNCTION("IF(A19="""","""",IFERROR(IF(COUNTIF(FILTER(sublease_contract!G:G,ARRAYFORMULA(REGEXMATCH(sublease_contract!E:E,""\b""&amp;A19&amp;""\b""))),""入住中"")&gt;0,INDEX(FILTER(sublease_contract!D:D,ARRAYFORMULA(REGEXMATCH(sublease_contract!E:E,""\b""&amp;A19&amp;""\b"")),sublease_co"&amp;"ntract!G:G=""入住中""),1),IF(COUNTIF(FILTER(sublease_contract!G:G,ARRAYFORMULA(REGEXMATCH(sublease_contract!E:E,""\b""&amp;A19&amp;""\b""))),""尚未入住"")&gt;0,INDEX(FILTER(sublease_contract!D:D,ARRAYFORMULA(REGEXMATCH(sublease_contract!E:E,""\b""&amp;A19&amp;""\b"")),sublease_con"&amp;"tract!G:G=""尚未入住""),1),""非既有房客"")),""非既有房客""))
"),"非既有房客")</f>
        <v>非既有房客</v>
      </c>
      <c r="H19" s="227"/>
      <c r="I19" s="228" t="str">
        <f>IFERROR(__xludf.DUMMYFUNCTION("""COMPUTED_VALUE"""),"✔ 有效身分證")</f>
        <v>✔ 有效身分證</v>
      </c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>
      <c r="A20" s="240" t="s">
        <v>1460</v>
      </c>
      <c r="B20" s="223" t="s">
        <v>1461</v>
      </c>
      <c r="C20" s="237" t="s">
        <v>1462</v>
      </c>
      <c r="D20" s="238" t="s">
        <v>1463</v>
      </c>
      <c r="E20" s="233" t="s">
        <v>1464</v>
      </c>
      <c r="F20" s="226" t="str">
        <f>IFERROR(__xludf.DUMMYFUNCTION("IF(A20="""","""",IFERROR(IF(COUNTIF(FILTER(sublease_contract!G:G,ARRAYFORMULA(REGEXMATCH(sublease_contract!E:E,""\b""&amp;A20&amp;""\b""))),""入住中"")&gt;0,INDEX(FILTER(sublease_contract!C:C,ARRAYFORMULA(REGEXMATCH(sublease_contract!E:E,""\b""&amp;A20&amp;""\b"")),sublease_co"&amp;"ntract!G:G=""入住中""),1),IF(COUNTIF(FILTER(sublease_contract!G:G,ARRAYFORMULA(REGEXMATCH(sublease_contract!E:E,""\b""&amp;A20&amp;""\b""))),""尚未入住"")&gt;0,INDEX(FILTER(sublease_contract!C:C,ARRAYFORMULA(REGEXMATCH(sublease_contract!E:E,""\b""&amp;A20&amp;""\b"")),sublease_con"&amp;"tract!G:G=""尚未入住""),1),""非既有房客"")),""非既有房客""))
"),"士林和豐")</f>
        <v>士林和豐</v>
      </c>
      <c r="G20" s="226" t="str">
        <f>IFERROR(__xludf.DUMMYFUNCTION("IF(A20="""","""",IFERROR(IF(COUNTIF(FILTER(sublease_contract!G:G,ARRAYFORMULA(REGEXMATCH(sublease_contract!E:E,""\b""&amp;A20&amp;""\b""))),""入住中"")&gt;0,INDEX(FILTER(sublease_contract!D:D,ARRAYFORMULA(REGEXMATCH(sublease_contract!E:E,""\b""&amp;A20&amp;""\b"")),sublease_co"&amp;"ntract!G:G=""入住中""),1),IF(COUNTIF(FILTER(sublease_contract!G:G,ARRAYFORMULA(REGEXMATCH(sublease_contract!E:E,""\b""&amp;A20&amp;""\b""))),""尚未入住"")&gt;0,INDEX(FILTER(sublease_contract!D:D,ARRAYFORMULA(REGEXMATCH(sublease_contract!E:E,""\b""&amp;A20&amp;""\b"")),sublease_con"&amp;"tract!G:G=""尚未入住""),1),""非既有房客"")),""非既有房客""))
"),"A")</f>
        <v>A</v>
      </c>
      <c r="H20" s="227" t="s">
        <v>1465</v>
      </c>
      <c r="I20" s="228" t="str">
        <f>IFERROR(__xludf.DUMMYFUNCTION("""COMPUTED_VALUE"""),"✔ 有效身分證")</f>
        <v>✔ 有效身分證</v>
      </c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>
      <c r="A21" s="240" t="s">
        <v>766</v>
      </c>
      <c r="B21" s="80" t="s">
        <v>1466</v>
      </c>
      <c r="C21" s="223" t="s">
        <v>1467</v>
      </c>
      <c r="D21" s="224" t="s">
        <v>1468</v>
      </c>
      <c r="E21" s="225" t="s">
        <v>1469</v>
      </c>
      <c r="F21" s="226" t="str">
        <f>IFERROR(__xludf.DUMMYFUNCTION("IF(A21="""","""",IFERROR(IF(COUNTIF(FILTER(sublease_contract!G:G,ARRAYFORMULA(REGEXMATCH(sublease_contract!E:E,""\b""&amp;A21&amp;""\b""))),""入住中"")&gt;0,INDEX(FILTER(sublease_contract!C:C,ARRAYFORMULA(REGEXMATCH(sublease_contract!E:E,""\b""&amp;A21&amp;""\b"")),sublease_co"&amp;"ntract!G:G=""入住中""),1),IF(COUNTIF(FILTER(sublease_contract!G:G,ARRAYFORMULA(REGEXMATCH(sublease_contract!E:E,""\b""&amp;A21&amp;""\b""))),""尚未入住"")&gt;0,INDEX(FILTER(sublease_contract!C:C,ARRAYFORMULA(REGEXMATCH(sublease_contract!E:E,""\b""&amp;A21&amp;""\b"")),sublease_con"&amp;"tract!G:G=""尚未入住""),1),""非既有房客"")),""非既有房客""))
"),"非既有房客")</f>
        <v>非既有房客</v>
      </c>
      <c r="G21" s="226" t="str">
        <f>IFERROR(__xludf.DUMMYFUNCTION("IF(A21="""","""",IFERROR(IF(COUNTIF(FILTER(sublease_contract!G:G,ARRAYFORMULA(REGEXMATCH(sublease_contract!E:E,""\b""&amp;A21&amp;""\b""))),""入住中"")&gt;0,INDEX(FILTER(sublease_contract!D:D,ARRAYFORMULA(REGEXMATCH(sublease_contract!E:E,""\b""&amp;A21&amp;""\b"")),sublease_co"&amp;"ntract!G:G=""入住中""),1),IF(COUNTIF(FILTER(sublease_contract!G:G,ARRAYFORMULA(REGEXMATCH(sublease_contract!E:E,""\b""&amp;A21&amp;""\b""))),""尚未入住"")&gt;0,INDEX(FILTER(sublease_contract!D:D,ARRAYFORMULA(REGEXMATCH(sublease_contract!E:E,""\b""&amp;A21&amp;""\b"")),sublease_con"&amp;"tract!G:G=""尚未入住""),1),""非既有房客"")),""非既有房客""))
"),"非既有房客")</f>
        <v>非既有房客</v>
      </c>
      <c r="H21" s="227"/>
      <c r="I21" s="228" t="str">
        <f>IFERROR(__xludf.DUMMYFUNCTION("""COMPUTED_VALUE"""),"✔ 有效身分證")</f>
        <v>✔ 有效身分證</v>
      </c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>
      <c r="A22" s="216" t="s">
        <v>771</v>
      </c>
      <c r="B22" s="80" t="s">
        <v>1470</v>
      </c>
      <c r="C22" s="223" t="s">
        <v>1471</v>
      </c>
      <c r="D22" s="224" t="s">
        <v>1472</v>
      </c>
      <c r="E22" s="225" t="s">
        <v>1473</v>
      </c>
      <c r="F22" s="226" t="str">
        <f>IFERROR(__xludf.DUMMYFUNCTION("IF(A22="""","""",IFERROR(IF(COUNTIF(FILTER(sublease_contract!G:G,ARRAYFORMULA(REGEXMATCH(sublease_contract!E:E,""\b""&amp;A22&amp;""\b""))),""入住中"")&gt;0,INDEX(FILTER(sublease_contract!C:C,ARRAYFORMULA(REGEXMATCH(sublease_contract!E:E,""\b""&amp;A22&amp;""\b"")),sublease_co"&amp;"ntract!G:G=""入住中""),1),IF(COUNTIF(FILTER(sublease_contract!G:G,ARRAYFORMULA(REGEXMATCH(sublease_contract!E:E,""\b""&amp;A22&amp;""\b""))),""尚未入住"")&gt;0,INDEX(FILTER(sublease_contract!C:C,ARRAYFORMULA(REGEXMATCH(sublease_contract!E:E,""\b""&amp;A22&amp;""\b"")),sublease_con"&amp;"tract!G:G=""尚未入住""),1),""非既有房客"")),""非既有房客""))
"),"非既有房客")</f>
        <v>非既有房客</v>
      </c>
      <c r="G22" s="226" t="str">
        <f>IFERROR(__xludf.DUMMYFUNCTION("IF(A22="""","""",IFERROR(IF(COUNTIF(FILTER(sublease_contract!G:G,ARRAYFORMULA(REGEXMATCH(sublease_contract!E:E,""\b""&amp;A22&amp;""\b""))),""入住中"")&gt;0,INDEX(FILTER(sublease_contract!D:D,ARRAYFORMULA(REGEXMATCH(sublease_contract!E:E,""\b""&amp;A22&amp;""\b"")),sublease_co"&amp;"ntract!G:G=""入住中""),1),IF(COUNTIF(FILTER(sublease_contract!G:G,ARRAYFORMULA(REGEXMATCH(sublease_contract!E:E,""\b""&amp;A22&amp;""\b""))),""尚未入住"")&gt;0,INDEX(FILTER(sublease_contract!D:D,ARRAYFORMULA(REGEXMATCH(sublease_contract!E:E,""\b""&amp;A22&amp;""\b"")),sublease_con"&amp;"tract!G:G=""尚未入住""),1),""非既有房客"")),""非既有房客""))
"),"非既有房客")</f>
        <v>非既有房客</v>
      </c>
      <c r="H22" s="227"/>
      <c r="I22" s="228" t="str">
        <f>IFERROR(__xludf.DUMMYFUNCTION("""COMPUTED_VALUE"""),"✔ 有效身分證")</f>
        <v>✔ 有效身分證</v>
      </c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>
      <c r="A23" s="207" t="s">
        <v>776</v>
      </c>
      <c r="B23" s="80" t="s">
        <v>1474</v>
      </c>
      <c r="C23" s="231" t="s">
        <v>1475</v>
      </c>
      <c r="D23" s="231" t="s">
        <v>1476</v>
      </c>
      <c r="E23" s="241" t="s">
        <v>1477</v>
      </c>
      <c r="F23" s="226" t="str">
        <f>IFERROR(__xludf.DUMMYFUNCTION("IF(A23="""","""",IFERROR(IF(COUNTIF(FILTER(sublease_contract!G:G,ARRAYFORMULA(REGEXMATCH(sublease_contract!E:E,""\b""&amp;A23&amp;""\b""))),""入住中"")&gt;0,INDEX(FILTER(sublease_contract!C:C,ARRAYFORMULA(REGEXMATCH(sublease_contract!E:E,""\b""&amp;A23&amp;""\b"")),sublease_co"&amp;"ntract!G:G=""入住中""),1),IF(COUNTIF(FILTER(sublease_contract!G:G,ARRAYFORMULA(REGEXMATCH(sublease_contract!E:E,""\b""&amp;A23&amp;""\b""))),""尚未入住"")&gt;0,INDEX(FILTER(sublease_contract!C:C,ARRAYFORMULA(REGEXMATCH(sublease_contract!E:E,""\b""&amp;A23&amp;""\b"")),sublease_con"&amp;"tract!G:G=""尚未入住""),1),""非既有房客"")),""非既有房客""))
"),"士林和豐")</f>
        <v>士林和豐</v>
      </c>
      <c r="G23" s="226" t="str">
        <f>IFERROR(__xludf.DUMMYFUNCTION("IF(A23="""","""",IFERROR(IF(COUNTIF(FILTER(sublease_contract!G:G,ARRAYFORMULA(REGEXMATCH(sublease_contract!E:E,""\b""&amp;A23&amp;""\b""))),""入住中"")&gt;0,INDEX(FILTER(sublease_contract!D:D,ARRAYFORMULA(REGEXMATCH(sublease_contract!E:E,""\b""&amp;A23&amp;""\b"")),sublease_co"&amp;"ntract!G:G=""入住中""),1),IF(COUNTIF(FILTER(sublease_contract!G:G,ARRAYFORMULA(REGEXMATCH(sublease_contract!E:E,""\b""&amp;A23&amp;""\b""))),""尚未入住"")&gt;0,INDEX(FILTER(sublease_contract!D:D,ARRAYFORMULA(REGEXMATCH(sublease_contract!E:E,""\b""&amp;A23&amp;""\b"")),sublease_con"&amp;"tract!G:G=""尚未入住""),1),""非既有房客"")),""非既有房客""))
"),"D")</f>
        <v>D</v>
      </c>
      <c r="H23" s="227" t="s">
        <v>1430</v>
      </c>
      <c r="I23" s="239" t="str">
        <f>IFERROR(__xludf.DUMMYFUNCTION("""COMPUTED_VALUE"""),"✔ 有效身分證")</f>
        <v>✔ 有效身分證</v>
      </c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</row>
    <row r="24">
      <c r="A24" s="242" t="s">
        <v>782</v>
      </c>
      <c r="B24" s="223" t="s">
        <v>1478</v>
      </c>
      <c r="C24" s="223" t="s">
        <v>1479</v>
      </c>
      <c r="D24" s="224" t="s">
        <v>1480</v>
      </c>
      <c r="E24" s="233"/>
      <c r="F24" s="226" t="str">
        <f>IFERROR(__xludf.DUMMYFUNCTION("IF(A24="""","""",IFERROR(IF(COUNTIF(FILTER(sublease_contract!G:G,ARRAYFORMULA(REGEXMATCH(sublease_contract!E:E,""\b""&amp;A24&amp;""\b""))),""入住中"")&gt;0,INDEX(FILTER(sublease_contract!C:C,ARRAYFORMULA(REGEXMATCH(sublease_contract!E:E,""\b""&amp;A24&amp;""\b"")),sublease_co"&amp;"ntract!G:G=""入住中""),1),IF(COUNTIF(FILTER(sublease_contract!G:G,ARRAYFORMULA(REGEXMATCH(sublease_contract!E:E,""\b""&amp;A24&amp;""\b""))),""尚未入住"")&gt;0,INDEX(FILTER(sublease_contract!C:C,ARRAYFORMULA(REGEXMATCH(sublease_contract!E:E,""\b""&amp;A24&amp;""\b"")),sublease_con"&amp;"tract!G:G=""尚未入住""),1),""非既有房客"")),""非既有房客""))
"),"非既有房客")</f>
        <v>非既有房客</v>
      </c>
      <c r="G24" s="226" t="str">
        <f>IFERROR(__xludf.DUMMYFUNCTION("IF(A24="""","""",IFERROR(IF(COUNTIF(FILTER(sublease_contract!G:G,ARRAYFORMULA(REGEXMATCH(sublease_contract!E:E,""\b""&amp;A24&amp;""\b""))),""入住中"")&gt;0,INDEX(FILTER(sublease_contract!D:D,ARRAYFORMULA(REGEXMATCH(sublease_contract!E:E,""\b""&amp;A24&amp;""\b"")),sublease_co"&amp;"ntract!G:G=""入住中""),1),IF(COUNTIF(FILTER(sublease_contract!G:G,ARRAYFORMULA(REGEXMATCH(sublease_contract!E:E,""\b""&amp;A24&amp;""\b""))),""尚未入住"")&gt;0,INDEX(FILTER(sublease_contract!D:D,ARRAYFORMULA(REGEXMATCH(sublease_contract!E:E,""\b""&amp;A24&amp;""\b"")),sublease_con"&amp;"tract!G:G=""尚未入住""),1),""非既有房客"")),""非既有房客""))
"),"非既有房客")</f>
        <v>非既有房客</v>
      </c>
      <c r="H24" s="227"/>
      <c r="I24" s="228" t="str">
        <f>IFERROR(__xludf.DUMMYFUNCTION("""COMPUTED_VALUE"""),"✔ 有效身分證")</f>
        <v>✔ 有效身分證</v>
      </c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>
      <c r="A25" s="242" t="s">
        <v>789</v>
      </c>
      <c r="B25" s="223" t="s">
        <v>1481</v>
      </c>
      <c r="C25" s="223" t="s">
        <v>1482</v>
      </c>
      <c r="D25" s="224" t="s">
        <v>1483</v>
      </c>
      <c r="E25" s="225" t="s">
        <v>1484</v>
      </c>
      <c r="F25" s="226" t="str">
        <f>IFERROR(__xludf.DUMMYFUNCTION("IF(A25="""","""",IFERROR(IF(COUNTIF(FILTER(sublease_contract!G:G,ARRAYFORMULA(REGEXMATCH(sublease_contract!E:E,""\b""&amp;A25&amp;""\b""))),""入住中"")&gt;0,INDEX(FILTER(sublease_contract!C:C,ARRAYFORMULA(REGEXMATCH(sublease_contract!E:E,""\b""&amp;A25&amp;""\b"")),sublease_co"&amp;"ntract!G:G=""入住中""),1),IF(COUNTIF(FILTER(sublease_contract!G:G,ARRAYFORMULA(REGEXMATCH(sublease_contract!E:E,""\b""&amp;A25&amp;""\b""))),""尚未入住"")&gt;0,INDEX(FILTER(sublease_contract!C:C,ARRAYFORMULA(REGEXMATCH(sublease_contract!E:E,""\b""&amp;A25&amp;""\b"")),sublease_con"&amp;"tract!G:G=""尚未入住""),1),""非既有房客"")),""非既有房客""))
"),"非既有房客")</f>
        <v>非既有房客</v>
      </c>
      <c r="G25" s="226" t="str">
        <f>IFERROR(__xludf.DUMMYFUNCTION("IF(A25="""","""",IFERROR(IF(COUNTIF(FILTER(sublease_contract!G:G,ARRAYFORMULA(REGEXMATCH(sublease_contract!E:E,""\b""&amp;A25&amp;""\b""))),""入住中"")&gt;0,INDEX(FILTER(sublease_contract!D:D,ARRAYFORMULA(REGEXMATCH(sublease_contract!E:E,""\b""&amp;A25&amp;""\b"")),sublease_co"&amp;"ntract!G:G=""入住中""),1),IF(COUNTIF(FILTER(sublease_contract!G:G,ARRAYFORMULA(REGEXMATCH(sublease_contract!E:E,""\b""&amp;A25&amp;""\b""))),""尚未入住"")&gt;0,INDEX(FILTER(sublease_contract!D:D,ARRAYFORMULA(REGEXMATCH(sublease_contract!E:E,""\b""&amp;A25&amp;""\b"")),sublease_con"&amp;"tract!G:G=""尚未入住""),1),""非既有房客"")),""非既有房客""))
"),"非既有房客")</f>
        <v>非既有房客</v>
      </c>
      <c r="H25" s="227"/>
      <c r="I25" s="228" t="str">
        <f>IFERROR(__xludf.DUMMYFUNCTION("""COMPUTED_VALUE"""),"✔ 有效身分證")</f>
        <v>✔ 有效身分證</v>
      </c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>
      <c r="A26" s="240" t="s">
        <v>795</v>
      </c>
      <c r="B26" s="243" t="s">
        <v>1485</v>
      </c>
      <c r="C26" s="243" t="s">
        <v>1486</v>
      </c>
      <c r="D26" s="224" t="s">
        <v>1487</v>
      </c>
      <c r="E26" s="225" t="s">
        <v>1488</v>
      </c>
      <c r="F26" s="226" t="str">
        <f>IFERROR(__xludf.DUMMYFUNCTION("IF(A26="""","""",IFERROR(IF(COUNTIF(FILTER(sublease_contract!G:G,ARRAYFORMULA(REGEXMATCH(sublease_contract!E:E,""\b""&amp;A26&amp;""\b""))),""入住中"")&gt;0,INDEX(FILTER(sublease_contract!C:C,ARRAYFORMULA(REGEXMATCH(sublease_contract!E:E,""\b""&amp;A26&amp;""\b"")),sublease_co"&amp;"ntract!G:G=""入住中""),1),IF(COUNTIF(FILTER(sublease_contract!G:G,ARRAYFORMULA(REGEXMATCH(sublease_contract!E:E,""\b""&amp;A26&amp;""\b""))),""尚未入住"")&gt;0,INDEX(FILTER(sublease_contract!C:C,ARRAYFORMULA(REGEXMATCH(sublease_contract!E:E,""\b""&amp;A26&amp;""\b"")),sublease_con"&amp;"tract!G:G=""尚未入住""),1),""非既有房客"")),""非既有房客""))
"),"非既有房客")</f>
        <v>非既有房客</v>
      </c>
      <c r="G26" s="226" t="str">
        <f>IFERROR(__xludf.DUMMYFUNCTION("IF(A26="""","""",IFERROR(IF(COUNTIF(FILTER(sublease_contract!G:G,ARRAYFORMULA(REGEXMATCH(sublease_contract!E:E,""\b""&amp;A26&amp;""\b""))),""入住中"")&gt;0,INDEX(FILTER(sublease_contract!D:D,ARRAYFORMULA(REGEXMATCH(sublease_contract!E:E,""\b""&amp;A26&amp;""\b"")),sublease_co"&amp;"ntract!G:G=""入住中""),1),IF(COUNTIF(FILTER(sublease_contract!G:G,ARRAYFORMULA(REGEXMATCH(sublease_contract!E:E,""\b""&amp;A26&amp;""\b""))),""尚未入住"")&gt;0,INDEX(FILTER(sublease_contract!D:D,ARRAYFORMULA(REGEXMATCH(sublease_contract!E:E,""\b""&amp;A26&amp;""\b"")),sublease_con"&amp;"tract!G:G=""尚未入住""),1),""非既有房客"")),""非既有房客""))
"),"非既有房客")</f>
        <v>非既有房客</v>
      </c>
      <c r="H26" s="227"/>
      <c r="I26" s="228" t="str">
        <f>IFERROR(__xludf.DUMMYFUNCTION("""COMPUTED_VALUE"""),"✔ 有效身分證")</f>
        <v>✔ 有效身分證</v>
      </c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>
      <c r="A27" s="216" t="s">
        <v>800</v>
      </c>
      <c r="B27" s="243" t="s">
        <v>1489</v>
      </c>
      <c r="C27" s="243" t="s">
        <v>1490</v>
      </c>
      <c r="D27" s="224" t="s">
        <v>1491</v>
      </c>
      <c r="E27" s="230" t="s">
        <v>1492</v>
      </c>
      <c r="F27" s="226" t="str">
        <f>IFERROR(__xludf.DUMMYFUNCTION("IF(A27="""","""",IFERROR(IF(COUNTIF(FILTER(sublease_contract!G:G,ARRAYFORMULA(REGEXMATCH(sublease_contract!E:E,""\b""&amp;A27&amp;""\b""))),""入住中"")&gt;0,INDEX(FILTER(sublease_contract!C:C,ARRAYFORMULA(REGEXMATCH(sublease_contract!E:E,""\b""&amp;A27&amp;""\b"")),sublease_co"&amp;"ntract!G:G=""入住中""),1),IF(COUNTIF(FILTER(sublease_contract!G:G,ARRAYFORMULA(REGEXMATCH(sublease_contract!E:E,""\b""&amp;A27&amp;""\b""))),""尚未入住"")&gt;0,INDEX(FILTER(sublease_contract!C:C,ARRAYFORMULA(REGEXMATCH(sublease_contract!E:E,""\b""&amp;A27&amp;""\b"")),sublease_con"&amp;"tract!G:G=""尚未入住""),1),""非既有房客"")),""非既有房客""))
"),"非既有房客")</f>
        <v>非既有房客</v>
      </c>
      <c r="G27" s="226" t="str">
        <f>IFERROR(__xludf.DUMMYFUNCTION("IF(A27="""","""",IFERROR(IF(COUNTIF(FILTER(sublease_contract!G:G,ARRAYFORMULA(REGEXMATCH(sublease_contract!E:E,""\b""&amp;A27&amp;""\b""))),""入住中"")&gt;0,INDEX(FILTER(sublease_contract!D:D,ARRAYFORMULA(REGEXMATCH(sublease_contract!E:E,""\b""&amp;A27&amp;""\b"")),sublease_co"&amp;"ntract!G:G=""入住中""),1),IF(COUNTIF(FILTER(sublease_contract!G:G,ARRAYFORMULA(REGEXMATCH(sublease_contract!E:E,""\b""&amp;A27&amp;""\b""))),""尚未入住"")&gt;0,INDEX(FILTER(sublease_contract!D:D,ARRAYFORMULA(REGEXMATCH(sublease_contract!E:E,""\b""&amp;A27&amp;""\b"")),sublease_con"&amp;"tract!G:G=""尚未入住""),1),""非既有房客"")),""非既有房客""))
"),"非既有房客")</f>
        <v>非既有房客</v>
      </c>
      <c r="H27" s="227"/>
      <c r="I27" s="228" t="str">
        <f>IFERROR(__xludf.DUMMYFUNCTION("""COMPUTED_VALUE"""),"✔ 有效身分證")</f>
        <v>✔ 有效身分證</v>
      </c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>
      <c r="A28" s="207" t="s">
        <v>805</v>
      </c>
      <c r="B28" s="243" t="s">
        <v>1493</v>
      </c>
      <c r="C28" s="243" t="s">
        <v>1494</v>
      </c>
      <c r="D28" s="224" t="s">
        <v>1495</v>
      </c>
      <c r="E28" s="225" t="s">
        <v>1496</v>
      </c>
      <c r="F28" s="226" t="str">
        <f>IFERROR(__xludf.DUMMYFUNCTION("IF(A28="""","""",IFERROR(IF(COUNTIF(FILTER(sublease_contract!G:G,ARRAYFORMULA(REGEXMATCH(sublease_contract!E:E,""\b""&amp;A28&amp;""\b""))),""入住中"")&gt;0,INDEX(FILTER(sublease_contract!C:C,ARRAYFORMULA(REGEXMATCH(sublease_contract!E:E,""\b""&amp;A28&amp;""\b"")),sublease_co"&amp;"ntract!G:G=""入住中""),1),IF(COUNTIF(FILTER(sublease_contract!G:G,ARRAYFORMULA(REGEXMATCH(sublease_contract!E:E,""\b""&amp;A28&amp;""\b""))),""尚未入住"")&gt;0,INDEX(FILTER(sublease_contract!C:C,ARRAYFORMULA(REGEXMATCH(sublease_contract!E:E,""\b""&amp;A28&amp;""\b"")),sublease_con"&amp;"tract!G:G=""尚未入住""),1),""非既有房客"")),""非既有房客""))
"),"龍江229")</f>
        <v>龍江229</v>
      </c>
      <c r="G28" s="226" t="str">
        <f>IFERROR(__xludf.DUMMYFUNCTION("IF(A28="""","""",IFERROR(IF(COUNTIF(FILTER(sublease_contract!G:G,ARRAYFORMULA(REGEXMATCH(sublease_contract!E:E,""\b""&amp;A28&amp;""\b""))),""入住中"")&gt;0,INDEX(FILTER(sublease_contract!D:D,ARRAYFORMULA(REGEXMATCH(sublease_contract!E:E,""\b""&amp;A28&amp;""\b"")),sublease_co"&amp;"ntract!G:G=""入住中""),1),IF(COUNTIF(FILTER(sublease_contract!G:G,ARRAYFORMULA(REGEXMATCH(sublease_contract!E:E,""\b""&amp;A28&amp;""\b""))),""尚未入住"")&gt;0,INDEX(FILTER(sublease_contract!D:D,ARRAYFORMULA(REGEXMATCH(sublease_contract!E:E,""\b""&amp;A28&amp;""\b"")),sublease_con"&amp;"tract!G:G=""尚未入住""),1),""非既有房客"")),""非既有房客""))
"),"D")</f>
        <v>D</v>
      </c>
      <c r="H28" s="227" t="s">
        <v>1497</v>
      </c>
      <c r="I28" s="228" t="str">
        <f>IFERROR(__xludf.DUMMYFUNCTION("""COMPUTED_VALUE"""),"✔ 有效身分證")</f>
        <v>✔ 有效身分證</v>
      </c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>
      <c r="A29" s="207" t="s">
        <v>809</v>
      </c>
      <c r="B29" s="243" t="s">
        <v>1498</v>
      </c>
      <c r="C29" s="243" t="s">
        <v>1499</v>
      </c>
      <c r="D29" s="224" t="s">
        <v>1500</v>
      </c>
      <c r="E29" s="230" t="s">
        <v>1501</v>
      </c>
      <c r="F29" s="226" t="str">
        <f>IFERROR(__xludf.DUMMYFUNCTION("IF(A29="""","""",IFERROR(IF(COUNTIF(FILTER(sublease_contract!G:G,ARRAYFORMULA(REGEXMATCH(sublease_contract!E:E,""\b""&amp;A29&amp;""\b""))),""入住中"")&gt;0,INDEX(FILTER(sublease_contract!C:C,ARRAYFORMULA(REGEXMATCH(sublease_contract!E:E,""\b""&amp;A29&amp;""\b"")),sublease_co"&amp;"ntract!G:G=""入住中""),1),IF(COUNTIF(FILTER(sublease_contract!G:G,ARRAYFORMULA(REGEXMATCH(sublease_contract!E:E,""\b""&amp;A29&amp;""\b""))),""尚未入住"")&gt;0,INDEX(FILTER(sublease_contract!C:C,ARRAYFORMULA(REGEXMATCH(sublease_contract!E:E,""\b""&amp;A29&amp;""\b"")),sublease_con"&amp;"tract!G:G=""尚未入住""),1),""非既有房客"")),""非既有房客""))
"),"非既有房客")</f>
        <v>非既有房客</v>
      </c>
      <c r="G29" s="226" t="str">
        <f>IFERROR(__xludf.DUMMYFUNCTION("IF(A29="""","""",IFERROR(IF(COUNTIF(FILTER(sublease_contract!G:G,ARRAYFORMULA(REGEXMATCH(sublease_contract!E:E,""\b""&amp;A29&amp;""\b""))),""入住中"")&gt;0,INDEX(FILTER(sublease_contract!D:D,ARRAYFORMULA(REGEXMATCH(sublease_contract!E:E,""\b""&amp;A29&amp;""\b"")),sublease_co"&amp;"ntract!G:G=""入住中""),1),IF(COUNTIF(FILTER(sublease_contract!G:G,ARRAYFORMULA(REGEXMATCH(sublease_contract!E:E,""\b""&amp;A29&amp;""\b""))),""尚未入住"")&gt;0,INDEX(FILTER(sublease_contract!D:D,ARRAYFORMULA(REGEXMATCH(sublease_contract!E:E,""\b""&amp;A29&amp;""\b"")),sublease_con"&amp;"tract!G:G=""尚未入住""),1),""非既有房客"")),""非既有房客""))
"),"非既有房客")</f>
        <v>非既有房客</v>
      </c>
      <c r="H29" s="227" t="s">
        <v>1502</v>
      </c>
      <c r="I29" s="228" t="str">
        <f>IFERROR(__xludf.DUMMYFUNCTION("""COMPUTED_VALUE"""),"✔ 有效身分證")</f>
        <v>✔ 有效身分證</v>
      </c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>
      <c r="A30" s="207" t="s">
        <v>813</v>
      </c>
      <c r="B30" s="243" t="s">
        <v>1503</v>
      </c>
      <c r="C30" s="243" t="s">
        <v>1504</v>
      </c>
      <c r="D30" s="224" t="s">
        <v>1505</v>
      </c>
      <c r="E30" s="233"/>
      <c r="F30" s="226" t="str">
        <f>IFERROR(__xludf.DUMMYFUNCTION("IF(A30="""","""",IFERROR(IF(COUNTIF(FILTER(sublease_contract!G:G,ARRAYFORMULA(REGEXMATCH(sublease_contract!E:E,""\b""&amp;A30&amp;""\b""))),""入住中"")&gt;0,INDEX(FILTER(sublease_contract!C:C,ARRAYFORMULA(REGEXMATCH(sublease_contract!E:E,""\b""&amp;A30&amp;""\b"")),sublease_co"&amp;"ntract!G:G=""入住中""),1),IF(COUNTIF(FILTER(sublease_contract!G:G,ARRAYFORMULA(REGEXMATCH(sublease_contract!E:E,""\b""&amp;A30&amp;""\b""))),""尚未入住"")&gt;0,INDEX(FILTER(sublease_contract!C:C,ARRAYFORMULA(REGEXMATCH(sublease_contract!E:E,""\b""&amp;A30&amp;""\b"")),sublease_con"&amp;"tract!G:G=""尚未入住""),1),""非既有房客"")),""非既有房客""))
"),"非既有房客")</f>
        <v>非既有房客</v>
      </c>
      <c r="G30" s="226" t="str">
        <f>IFERROR(__xludf.DUMMYFUNCTION("IF(A30="""","""",IFERROR(IF(COUNTIF(FILTER(sublease_contract!G:G,ARRAYFORMULA(REGEXMATCH(sublease_contract!E:E,""\b""&amp;A30&amp;""\b""))),""入住中"")&gt;0,INDEX(FILTER(sublease_contract!D:D,ARRAYFORMULA(REGEXMATCH(sublease_contract!E:E,""\b""&amp;A30&amp;""\b"")),sublease_co"&amp;"ntract!G:G=""入住中""),1),IF(COUNTIF(FILTER(sublease_contract!G:G,ARRAYFORMULA(REGEXMATCH(sublease_contract!E:E,""\b""&amp;A30&amp;""\b""))),""尚未入住"")&gt;0,INDEX(FILTER(sublease_contract!D:D,ARRAYFORMULA(REGEXMATCH(sublease_contract!E:E,""\b""&amp;A30&amp;""\b"")),sublease_con"&amp;"tract!G:G=""尚未入住""),1),""非既有房客"")),""非既有房客""))
"),"非既有房客")</f>
        <v>非既有房客</v>
      </c>
      <c r="H30" s="227"/>
      <c r="I30" s="228" t="str">
        <f>IFERROR(__xludf.DUMMYFUNCTION("""COMPUTED_VALUE"""),"✔ 有效身分證")</f>
        <v>✔ 有效身分證</v>
      </c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>
      <c r="A31" s="207" t="s">
        <v>818</v>
      </c>
      <c r="B31" s="243" t="s">
        <v>1506</v>
      </c>
      <c r="C31" s="243" t="s">
        <v>1507</v>
      </c>
      <c r="D31" s="224" t="s">
        <v>1508</v>
      </c>
      <c r="E31" s="225" t="s">
        <v>1509</v>
      </c>
      <c r="F31" s="226" t="str">
        <f>IFERROR(__xludf.DUMMYFUNCTION("IF(A31="""","""",IFERROR(IF(COUNTIF(FILTER(sublease_contract!G:G,ARRAYFORMULA(REGEXMATCH(sublease_contract!E:E,""\b""&amp;A31&amp;""\b""))),""入住中"")&gt;0,INDEX(FILTER(sublease_contract!C:C,ARRAYFORMULA(REGEXMATCH(sublease_contract!E:E,""\b""&amp;A31&amp;""\b"")),sublease_co"&amp;"ntract!G:G=""入住中""),1),IF(COUNTIF(FILTER(sublease_contract!G:G,ARRAYFORMULA(REGEXMATCH(sublease_contract!E:E,""\b""&amp;A31&amp;""\b""))),""尚未入住"")&gt;0,INDEX(FILTER(sublease_contract!C:C,ARRAYFORMULA(REGEXMATCH(sublease_contract!E:E,""\b""&amp;A31&amp;""\b"")),sublease_con"&amp;"tract!G:G=""尚未入住""),1),""非既有房客"")),""非既有房客""))
"),"非既有房客")</f>
        <v>非既有房客</v>
      </c>
      <c r="G31" s="226" t="str">
        <f>IFERROR(__xludf.DUMMYFUNCTION("IF(A31="""","""",IFERROR(IF(COUNTIF(FILTER(sublease_contract!G:G,ARRAYFORMULA(REGEXMATCH(sublease_contract!E:E,""\b""&amp;A31&amp;""\b""))),""入住中"")&gt;0,INDEX(FILTER(sublease_contract!D:D,ARRAYFORMULA(REGEXMATCH(sublease_contract!E:E,""\b""&amp;A31&amp;""\b"")),sublease_co"&amp;"ntract!G:G=""入住中""),1),IF(COUNTIF(FILTER(sublease_contract!G:G,ARRAYFORMULA(REGEXMATCH(sublease_contract!E:E,""\b""&amp;A31&amp;""\b""))),""尚未入住"")&gt;0,INDEX(FILTER(sublease_contract!D:D,ARRAYFORMULA(REGEXMATCH(sublease_contract!E:E,""\b""&amp;A31&amp;""\b"")),sublease_con"&amp;"tract!G:G=""尚未入住""),1),""非既有房客"")),""非既有房客""))
"),"非既有房客")</f>
        <v>非既有房客</v>
      </c>
      <c r="H31" s="227"/>
      <c r="I31" s="228" t="str">
        <f>IFERROR(__xludf.DUMMYFUNCTION("""COMPUTED_VALUE"""),"✔ 有效身分證")</f>
        <v>✔ 有效身分證</v>
      </c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>
      <c r="A32" s="207" t="s">
        <v>824</v>
      </c>
      <c r="B32" s="243" t="s">
        <v>1510</v>
      </c>
      <c r="C32" s="243" t="s">
        <v>1511</v>
      </c>
      <c r="D32" s="224" t="s">
        <v>1512</v>
      </c>
      <c r="E32" s="225" t="s">
        <v>1513</v>
      </c>
      <c r="F32" s="226" t="str">
        <f>IFERROR(__xludf.DUMMYFUNCTION("IF(A32="""","""",IFERROR(IF(COUNTIF(FILTER(sublease_contract!G:G,ARRAYFORMULA(REGEXMATCH(sublease_contract!E:E,""\b""&amp;A32&amp;""\b""))),""入住中"")&gt;0,INDEX(FILTER(sublease_contract!C:C,ARRAYFORMULA(REGEXMATCH(sublease_contract!E:E,""\b""&amp;A32&amp;""\b"")),sublease_co"&amp;"ntract!G:G=""入住中""),1),IF(COUNTIF(FILTER(sublease_contract!G:G,ARRAYFORMULA(REGEXMATCH(sublease_contract!E:E,""\b""&amp;A32&amp;""\b""))),""尚未入住"")&gt;0,INDEX(FILTER(sublease_contract!C:C,ARRAYFORMULA(REGEXMATCH(sublease_contract!E:E,""\b""&amp;A32&amp;""\b"")),sublease_con"&amp;"tract!G:G=""尚未入住""),1),""非既有房客"")),""非既有房客""))
"),"非既有房客")</f>
        <v>非既有房客</v>
      </c>
      <c r="G32" s="226" t="str">
        <f>IFERROR(__xludf.DUMMYFUNCTION("IF(A32="""","""",IFERROR(IF(COUNTIF(FILTER(sublease_contract!G:G,ARRAYFORMULA(REGEXMATCH(sublease_contract!E:E,""\b""&amp;A32&amp;""\b""))),""入住中"")&gt;0,INDEX(FILTER(sublease_contract!D:D,ARRAYFORMULA(REGEXMATCH(sublease_contract!E:E,""\b""&amp;A32&amp;""\b"")),sublease_co"&amp;"ntract!G:G=""入住中""),1),IF(COUNTIF(FILTER(sublease_contract!G:G,ARRAYFORMULA(REGEXMATCH(sublease_contract!E:E,""\b""&amp;A32&amp;""\b""))),""尚未入住"")&gt;0,INDEX(FILTER(sublease_contract!D:D,ARRAYFORMULA(REGEXMATCH(sublease_contract!E:E,""\b""&amp;A32&amp;""\b"")),sublease_con"&amp;"tract!G:G=""尚未入住""),1),""非既有房客"")),""非既有房客""))
"),"非既有房客")</f>
        <v>非既有房客</v>
      </c>
      <c r="H32" s="227"/>
      <c r="I32" s="228" t="str">
        <f>IFERROR(__xludf.DUMMYFUNCTION("""COMPUTED_VALUE"""),"✔ 有效身分證")</f>
        <v>✔ 有效身分證</v>
      </c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>
      <c r="A33" s="216" t="s">
        <v>829</v>
      </c>
      <c r="B33" s="223" t="s">
        <v>1514</v>
      </c>
      <c r="C33" s="223" t="s">
        <v>1515</v>
      </c>
      <c r="D33" s="224" t="s">
        <v>1516</v>
      </c>
      <c r="E33" s="225" t="s">
        <v>1517</v>
      </c>
      <c r="F33" s="226" t="str">
        <f>IFERROR(__xludf.DUMMYFUNCTION("IF(A33="""","""",IFERROR(IF(COUNTIF(FILTER(sublease_contract!G:G,ARRAYFORMULA(REGEXMATCH(sublease_contract!E:E,""\b""&amp;A33&amp;""\b""))),""入住中"")&gt;0,INDEX(FILTER(sublease_contract!C:C,ARRAYFORMULA(REGEXMATCH(sublease_contract!E:E,""\b""&amp;A33&amp;""\b"")),sublease_co"&amp;"ntract!G:G=""入住中""),1),IF(COUNTIF(FILTER(sublease_contract!G:G,ARRAYFORMULA(REGEXMATCH(sublease_contract!E:E,""\b""&amp;A33&amp;""\b""))),""尚未入住"")&gt;0,INDEX(FILTER(sublease_contract!C:C,ARRAYFORMULA(REGEXMATCH(sublease_contract!E:E,""\b""&amp;A33&amp;""\b"")),sublease_con"&amp;"tract!G:G=""尚未入住""),1),""非既有房客"")),""非既有房客""))
"),"哈拉對面")</f>
        <v>哈拉對面</v>
      </c>
      <c r="G33" s="226" t="str">
        <f>IFERROR(__xludf.DUMMYFUNCTION("IF(A33="""","""",IFERROR(IF(COUNTIF(FILTER(sublease_contract!G:G,ARRAYFORMULA(REGEXMATCH(sublease_contract!E:E,""\b""&amp;A33&amp;""\b""))),""入住中"")&gt;0,INDEX(FILTER(sublease_contract!D:D,ARRAYFORMULA(REGEXMATCH(sublease_contract!E:E,""\b""&amp;A33&amp;""\b"")),sublease_co"&amp;"ntract!G:G=""入住中""),1),IF(COUNTIF(FILTER(sublease_contract!G:G,ARRAYFORMULA(REGEXMATCH(sublease_contract!E:E,""\b""&amp;A33&amp;""\b""))),""尚未入住"")&gt;0,INDEX(FILTER(sublease_contract!D:D,ARRAYFORMULA(REGEXMATCH(sublease_contract!E:E,""\b""&amp;A33&amp;""\b"")),sublease_con"&amp;"tract!G:G=""尚未入住""),1),""非既有房客"")),""非既有房客""))
"),"C")</f>
        <v>C</v>
      </c>
      <c r="H33" s="227" t="s">
        <v>1518</v>
      </c>
      <c r="I33" s="228" t="str">
        <f>IFERROR(__xludf.DUMMYFUNCTION("""COMPUTED_VALUE"""),"✔ 有效身分證")</f>
        <v>✔ 有效身分證</v>
      </c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</row>
    <row r="34">
      <c r="A34" s="207" t="s">
        <v>835</v>
      </c>
      <c r="B34" s="223" t="s">
        <v>1519</v>
      </c>
      <c r="C34" s="223" t="s">
        <v>1520</v>
      </c>
      <c r="D34" s="224" t="s">
        <v>1521</v>
      </c>
      <c r="E34" s="225" t="s">
        <v>1522</v>
      </c>
      <c r="F34" s="226" t="str">
        <f>IFERROR(__xludf.DUMMYFUNCTION("IF(A34="""","""",IFERROR(IF(COUNTIF(FILTER(sublease_contract!G:G,ARRAYFORMULA(REGEXMATCH(sublease_contract!E:E,""\b""&amp;A34&amp;""\b""))),""入住中"")&gt;0,INDEX(FILTER(sublease_contract!C:C,ARRAYFORMULA(REGEXMATCH(sublease_contract!E:E,""\b""&amp;A34&amp;""\b"")),sublease_co"&amp;"ntract!G:G=""入住中""),1),IF(COUNTIF(FILTER(sublease_contract!G:G,ARRAYFORMULA(REGEXMATCH(sublease_contract!E:E,""\b""&amp;A34&amp;""\b""))),""尚未入住"")&gt;0,INDEX(FILTER(sublease_contract!C:C,ARRAYFORMULA(REGEXMATCH(sublease_contract!E:E,""\b""&amp;A34&amp;""\b"")),sublease_con"&amp;"tract!G:G=""尚未入住""),1),""非既有房客"")),""非既有房客""))
"),"哈拉對面")</f>
        <v>哈拉對面</v>
      </c>
      <c r="G34" s="226" t="str">
        <f>IFERROR(__xludf.DUMMYFUNCTION("IF(A34="""","""",IFERROR(IF(COUNTIF(FILTER(sublease_contract!G:G,ARRAYFORMULA(REGEXMATCH(sublease_contract!E:E,""\b""&amp;A34&amp;""\b""))),""入住中"")&gt;0,INDEX(FILTER(sublease_contract!D:D,ARRAYFORMULA(REGEXMATCH(sublease_contract!E:E,""\b""&amp;A34&amp;""\b"")),sublease_co"&amp;"ntract!G:G=""入住中""),1),IF(COUNTIF(FILTER(sublease_contract!G:G,ARRAYFORMULA(REGEXMATCH(sublease_contract!E:E,""\b""&amp;A34&amp;""\b""))),""尚未入住"")&gt;0,INDEX(FILTER(sublease_contract!D:D,ARRAYFORMULA(REGEXMATCH(sublease_contract!E:E,""\b""&amp;A34&amp;""\b"")),sublease_con"&amp;"tract!G:G=""尚未入住""),1),""非既有房客"")),""非既有房客""))
"),"D")</f>
        <v>D</v>
      </c>
      <c r="H34" s="227" t="s">
        <v>1523</v>
      </c>
      <c r="I34" s="228" t="str">
        <f>IFERROR(__xludf.DUMMYFUNCTION("""COMPUTED_VALUE"""),"✔ 有效身分證")</f>
        <v>✔ 有效身分證</v>
      </c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</row>
    <row r="35">
      <c r="A35" s="207" t="s">
        <v>841</v>
      </c>
      <c r="B35" s="223" t="s">
        <v>1524</v>
      </c>
      <c r="C35" s="223" t="s">
        <v>1525</v>
      </c>
      <c r="D35" s="224" t="s">
        <v>1526</v>
      </c>
      <c r="E35" s="233"/>
      <c r="F35" s="226" t="str">
        <f>IFERROR(__xludf.DUMMYFUNCTION("IF(A35="""","""",IFERROR(IF(COUNTIF(FILTER(sublease_contract!G:G,ARRAYFORMULA(REGEXMATCH(sublease_contract!E:E,""\b""&amp;A35&amp;""\b""))),""入住中"")&gt;0,INDEX(FILTER(sublease_contract!C:C,ARRAYFORMULA(REGEXMATCH(sublease_contract!E:E,""\b""&amp;A35&amp;""\b"")),sublease_co"&amp;"ntract!G:G=""入住中""),1),IF(COUNTIF(FILTER(sublease_contract!G:G,ARRAYFORMULA(REGEXMATCH(sublease_contract!E:E,""\b""&amp;A35&amp;""\b""))),""尚未入住"")&gt;0,INDEX(FILTER(sublease_contract!C:C,ARRAYFORMULA(REGEXMATCH(sublease_contract!E:E,""\b""&amp;A35&amp;""\b"")),sublease_con"&amp;"tract!G:G=""尚未入住""),1),""非既有房客"")),""非既有房客""))
"),"非既有房客")</f>
        <v>非既有房客</v>
      </c>
      <c r="G35" s="226" t="str">
        <f>IFERROR(__xludf.DUMMYFUNCTION("IF(A35="""","""",IFERROR(IF(COUNTIF(FILTER(sublease_contract!G:G,ARRAYFORMULA(REGEXMATCH(sublease_contract!E:E,""\b""&amp;A35&amp;""\b""))),""入住中"")&gt;0,INDEX(FILTER(sublease_contract!D:D,ARRAYFORMULA(REGEXMATCH(sublease_contract!E:E,""\b""&amp;A35&amp;""\b"")),sublease_co"&amp;"ntract!G:G=""入住中""),1),IF(COUNTIF(FILTER(sublease_contract!G:G,ARRAYFORMULA(REGEXMATCH(sublease_contract!E:E,""\b""&amp;A35&amp;""\b""))),""尚未入住"")&gt;0,INDEX(FILTER(sublease_contract!D:D,ARRAYFORMULA(REGEXMATCH(sublease_contract!E:E,""\b""&amp;A35&amp;""\b"")),sublease_con"&amp;"tract!G:G=""尚未入住""),1),""非既有房客"")),""非既有房客""))
"),"非既有房客")</f>
        <v>非既有房客</v>
      </c>
      <c r="H35" s="227"/>
      <c r="I35" s="228" t="str">
        <f>IFERROR(__xludf.DUMMYFUNCTION("""COMPUTED_VALUE"""),"✔ 有效身分證")</f>
        <v>✔ 有效身分證</v>
      </c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</row>
    <row r="36">
      <c r="A36" s="207" t="s">
        <v>1131</v>
      </c>
      <c r="B36" s="223" t="s">
        <v>1527</v>
      </c>
      <c r="C36" s="223" t="s">
        <v>1528</v>
      </c>
      <c r="D36" s="224" t="s">
        <v>1529</v>
      </c>
      <c r="E36" s="230" t="s">
        <v>1530</v>
      </c>
      <c r="F36" s="226" t="str">
        <f>IFERROR(__xludf.DUMMYFUNCTION("IF(A36="""","""",IFERROR(IF(COUNTIF(FILTER(sublease_contract!G:G,ARRAYFORMULA(REGEXMATCH(sublease_contract!E:E,""\b""&amp;A36&amp;""\b""))),""入住中"")&gt;0,INDEX(FILTER(sublease_contract!C:C,ARRAYFORMULA(REGEXMATCH(sublease_contract!E:E,""\b""&amp;A36&amp;""\b"")),sublease_co"&amp;"ntract!G:G=""入住中""),1),IF(COUNTIF(FILTER(sublease_contract!G:G,ARRAYFORMULA(REGEXMATCH(sublease_contract!E:E,""\b""&amp;A36&amp;""\b""))),""尚未入住"")&gt;0,INDEX(FILTER(sublease_contract!C:C,ARRAYFORMULA(REGEXMATCH(sublease_contract!E:E,""\b""&amp;A36&amp;""\b"")),sublease_con"&amp;"tract!G:G=""尚未入住""),1),""非既有房客"")),""非既有房客""))
"),"北醫醫師府")</f>
        <v>北醫醫師府</v>
      </c>
      <c r="G36" s="226" t="str">
        <f>IFERROR(__xludf.DUMMYFUNCTION("IF(A36="""","""",IFERROR(IF(COUNTIF(FILTER(sublease_contract!G:G,ARRAYFORMULA(REGEXMATCH(sublease_contract!E:E,""\b""&amp;A36&amp;""\b""))),""入住中"")&gt;0,INDEX(FILTER(sublease_contract!D:D,ARRAYFORMULA(REGEXMATCH(sublease_contract!E:E,""\b""&amp;A36&amp;""\b"")),sublease_co"&amp;"ntract!G:G=""入住中""),1),IF(COUNTIF(FILTER(sublease_contract!G:G,ARRAYFORMULA(REGEXMATCH(sublease_contract!E:E,""\b""&amp;A36&amp;""\b""))),""尚未入住"")&gt;0,INDEX(FILTER(sublease_contract!D:D,ARRAYFORMULA(REGEXMATCH(sublease_contract!E:E,""\b""&amp;A36&amp;""\b"")),sublease_con"&amp;"tract!G:G=""尚未入住""),1),""非既有房客"")),""非既有房客""))
"),"B")</f>
        <v>B</v>
      </c>
      <c r="H36" s="227" t="s">
        <v>1531</v>
      </c>
      <c r="I36" s="228" t="str">
        <f>IFERROR(__xludf.DUMMYFUNCTION("""COMPUTED_VALUE"""),"✔ 有效身分證")</f>
        <v>✔ 有效身分證</v>
      </c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</row>
    <row r="37">
      <c r="A37" s="216" t="s">
        <v>852</v>
      </c>
      <c r="B37" s="223" t="s">
        <v>1532</v>
      </c>
      <c r="C37" s="223" t="s">
        <v>1533</v>
      </c>
      <c r="D37" s="224" t="s">
        <v>1534</v>
      </c>
      <c r="E37" s="225" t="s">
        <v>1535</v>
      </c>
      <c r="F37" s="226" t="str">
        <f>IFERROR(__xludf.DUMMYFUNCTION("IF(A37="""","""",IFERROR(IF(COUNTIF(FILTER(sublease_contract!G:G,ARRAYFORMULA(REGEXMATCH(sublease_contract!E:E,""\b""&amp;A37&amp;""\b""))),""入住中"")&gt;0,INDEX(FILTER(sublease_contract!C:C,ARRAYFORMULA(REGEXMATCH(sublease_contract!E:E,""\b""&amp;A37&amp;""\b"")),sublease_co"&amp;"ntract!G:G=""入住中""),1),IF(COUNTIF(FILTER(sublease_contract!G:G,ARRAYFORMULA(REGEXMATCH(sublease_contract!E:E,""\b""&amp;A37&amp;""\b""))),""尚未入住"")&gt;0,INDEX(FILTER(sublease_contract!C:C,ARRAYFORMULA(REGEXMATCH(sublease_contract!E:E,""\b""&amp;A37&amp;""\b"")),sublease_con"&amp;"tract!G:G=""尚未入住""),1),""非既有房客"")),""非既有房客""))
"),"北醫醫師府")</f>
        <v>北醫醫師府</v>
      </c>
      <c r="G37" s="226" t="str">
        <f>IFERROR(__xludf.DUMMYFUNCTION("IF(A37="""","""",IFERROR(IF(COUNTIF(FILTER(sublease_contract!G:G,ARRAYFORMULA(REGEXMATCH(sublease_contract!E:E,""\b""&amp;A37&amp;""\b""))),""入住中"")&gt;0,INDEX(FILTER(sublease_contract!D:D,ARRAYFORMULA(REGEXMATCH(sublease_contract!E:E,""\b""&amp;A37&amp;""\b"")),sublease_co"&amp;"ntract!G:G=""入住中""),1),IF(COUNTIF(FILTER(sublease_contract!G:G,ARRAYFORMULA(REGEXMATCH(sublease_contract!E:E,""\b""&amp;A37&amp;""\b""))),""尚未入住"")&gt;0,INDEX(FILTER(sublease_contract!D:D,ARRAYFORMULA(REGEXMATCH(sublease_contract!E:E,""\b""&amp;A37&amp;""\b"")),sublease_con"&amp;"tract!G:G=""尚未入住""),1),""非既有房客"")),""非既有房客""))
"),"C")</f>
        <v>C</v>
      </c>
      <c r="H37" s="227" t="s">
        <v>1536</v>
      </c>
      <c r="I37" s="228" t="str">
        <f>IFERROR(__xludf.DUMMYFUNCTION("""COMPUTED_VALUE"""),"✔ 有效身分證")</f>
        <v>✔ 有效身分證</v>
      </c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</row>
    <row r="38">
      <c r="A38" s="216" t="s">
        <v>858</v>
      </c>
      <c r="B38" s="223" t="s">
        <v>1537</v>
      </c>
      <c r="C38" s="223" t="s">
        <v>1538</v>
      </c>
      <c r="D38" s="224" t="s">
        <v>1539</v>
      </c>
      <c r="E38" s="230" t="s">
        <v>1540</v>
      </c>
      <c r="F38" s="226" t="str">
        <f>IFERROR(__xludf.DUMMYFUNCTION("IF(A38="""","""",IFERROR(IF(COUNTIF(FILTER(sublease_contract!G:G,ARRAYFORMULA(REGEXMATCH(sublease_contract!E:E,""\b""&amp;A38&amp;""\b""))),""入住中"")&gt;0,INDEX(FILTER(sublease_contract!C:C,ARRAYFORMULA(REGEXMATCH(sublease_contract!E:E,""\b""&amp;A38&amp;""\b"")),sublease_co"&amp;"ntract!G:G=""入住中""),1),IF(COUNTIF(FILTER(sublease_contract!G:G,ARRAYFORMULA(REGEXMATCH(sublease_contract!E:E,""\b""&amp;A38&amp;""\b""))),""尚未入住"")&gt;0,INDEX(FILTER(sublease_contract!C:C,ARRAYFORMULA(REGEXMATCH(sublease_contract!E:E,""\b""&amp;A38&amp;""\b"")),sublease_con"&amp;"tract!G:G=""尚未入住""),1),""非既有房客"")),""非既有房客""))
"),"非既有房客")</f>
        <v>非既有房客</v>
      </c>
      <c r="G38" s="226" t="str">
        <f>IFERROR(__xludf.DUMMYFUNCTION("IF(A38="""","""",IFERROR(IF(COUNTIF(FILTER(sublease_contract!G:G,ARRAYFORMULA(REGEXMATCH(sublease_contract!E:E,""\b""&amp;A38&amp;""\b""))),""入住中"")&gt;0,INDEX(FILTER(sublease_contract!D:D,ARRAYFORMULA(REGEXMATCH(sublease_contract!E:E,""\b""&amp;A38&amp;""\b"")),sublease_co"&amp;"ntract!G:G=""入住中""),1),IF(COUNTIF(FILTER(sublease_contract!G:G,ARRAYFORMULA(REGEXMATCH(sublease_contract!E:E,""\b""&amp;A38&amp;""\b""))),""尚未入住"")&gt;0,INDEX(FILTER(sublease_contract!D:D,ARRAYFORMULA(REGEXMATCH(sublease_contract!E:E,""\b""&amp;A38&amp;""\b"")),sublease_con"&amp;"tract!G:G=""尚未入住""),1),""非既有房客"")),""非既有房客""))
"),"非既有房客")</f>
        <v>非既有房客</v>
      </c>
      <c r="H38" s="227"/>
      <c r="I38" s="228" t="str">
        <f>IFERROR(__xludf.DUMMYFUNCTION("""COMPUTED_VALUE"""),"✔ 有效身分證")</f>
        <v>✔ 有效身分證</v>
      </c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</row>
    <row r="39">
      <c r="A39" s="216" t="s">
        <v>863</v>
      </c>
      <c r="B39" s="223" t="s">
        <v>1541</v>
      </c>
      <c r="C39" s="223" t="s">
        <v>1542</v>
      </c>
      <c r="D39" s="224" t="s">
        <v>1543</v>
      </c>
      <c r="E39" s="225" t="s">
        <v>1544</v>
      </c>
      <c r="F39" s="226" t="str">
        <f>IFERROR(__xludf.DUMMYFUNCTION("IF(A39="""","""",IFERROR(IF(COUNTIF(FILTER(sublease_contract!G:G,ARRAYFORMULA(REGEXMATCH(sublease_contract!E:E,""\b""&amp;A39&amp;""\b""))),""入住中"")&gt;0,INDEX(FILTER(sublease_contract!C:C,ARRAYFORMULA(REGEXMATCH(sublease_contract!E:E,""\b""&amp;A39&amp;""\b"")),sublease_co"&amp;"ntract!G:G=""入住中""),1),IF(COUNTIF(FILTER(sublease_contract!G:G,ARRAYFORMULA(REGEXMATCH(sublease_contract!E:E,""\b""&amp;A39&amp;""\b""))),""尚未入住"")&gt;0,INDEX(FILTER(sublease_contract!C:C,ARRAYFORMULA(REGEXMATCH(sublease_contract!E:E,""\b""&amp;A39&amp;""\b"")),sublease_con"&amp;"tract!G:G=""尚未入住""),1),""非既有房客"")),""非既有房客""))
"),"非既有房客")</f>
        <v>非既有房客</v>
      </c>
      <c r="G39" s="226" t="str">
        <f>IFERROR(__xludf.DUMMYFUNCTION("IF(A39="""","""",IFERROR(IF(COUNTIF(FILTER(sublease_contract!G:G,ARRAYFORMULA(REGEXMATCH(sublease_contract!E:E,""\b""&amp;A39&amp;""\b""))),""入住中"")&gt;0,INDEX(FILTER(sublease_contract!D:D,ARRAYFORMULA(REGEXMATCH(sublease_contract!E:E,""\b""&amp;A39&amp;""\b"")),sublease_co"&amp;"ntract!G:G=""入住中""),1),IF(COUNTIF(FILTER(sublease_contract!G:G,ARRAYFORMULA(REGEXMATCH(sublease_contract!E:E,""\b""&amp;A39&amp;""\b""))),""尚未入住"")&gt;0,INDEX(FILTER(sublease_contract!D:D,ARRAYFORMULA(REGEXMATCH(sublease_contract!E:E,""\b""&amp;A39&amp;""\b"")),sublease_con"&amp;"tract!G:G=""尚未入住""),1),""非既有房客"")),""非既有房客""))
"),"非既有房客")</f>
        <v>非既有房客</v>
      </c>
      <c r="H39" s="227"/>
      <c r="I39" s="239" t="str">
        <f>IFERROR(__xludf.DUMMYFUNCTION("""COMPUTED_VALUE"""),"✔ 有效身分證")</f>
        <v>✔ 有效身分證</v>
      </c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</row>
    <row r="40">
      <c r="A40" s="216" t="s">
        <v>868</v>
      </c>
      <c r="B40" s="223" t="s">
        <v>1545</v>
      </c>
      <c r="C40" s="223" t="s">
        <v>1546</v>
      </c>
      <c r="D40" s="224" t="s">
        <v>1547</v>
      </c>
      <c r="E40" s="225" t="s">
        <v>1548</v>
      </c>
      <c r="F40" s="226" t="str">
        <f>IFERROR(__xludf.DUMMYFUNCTION("IF(A40="""","""",IFERROR(IF(COUNTIF(FILTER(sublease_contract!G:G,ARRAYFORMULA(REGEXMATCH(sublease_contract!E:E,""\b""&amp;A40&amp;""\b""))),""入住中"")&gt;0,INDEX(FILTER(sublease_contract!C:C,ARRAYFORMULA(REGEXMATCH(sublease_contract!E:E,""\b""&amp;A40&amp;""\b"")),sublease_co"&amp;"ntract!G:G=""入住中""),1),IF(COUNTIF(FILTER(sublease_contract!G:G,ARRAYFORMULA(REGEXMATCH(sublease_contract!E:E,""\b""&amp;A40&amp;""\b""))),""尚未入住"")&gt;0,INDEX(FILTER(sublease_contract!C:C,ARRAYFORMULA(REGEXMATCH(sublease_contract!E:E,""\b""&amp;A40&amp;""\b"")),sublease_con"&amp;"tract!G:G=""尚未入住""),1),""非既有房客"")),""非既有房客""))
"),"非既有房客")</f>
        <v>非既有房客</v>
      </c>
      <c r="G40" s="226" t="str">
        <f>IFERROR(__xludf.DUMMYFUNCTION("IF(A40="""","""",IFERROR(IF(COUNTIF(FILTER(sublease_contract!G:G,ARRAYFORMULA(REGEXMATCH(sublease_contract!E:E,""\b""&amp;A40&amp;""\b""))),""入住中"")&gt;0,INDEX(FILTER(sublease_contract!D:D,ARRAYFORMULA(REGEXMATCH(sublease_contract!E:E,""\b""&amp;A40&amp;""\b"")),sublease_co"&amp;"ntract!G:G=""入住中""),1),IF(COUNTIF(FILTER(sublease_contract!G:G,ARRAYFORMULA(REGEXMATCH(sublease_contract!E:E,""\b""&amp;A40&amp;""\b""))),""尚未入住"")&gt;0,INDEX(FILTER(sublease_contract!D:D,ARRAYFORMULA(REGEXMATCH(sublease_contract!E:E,""\b""&amp;A40&amp;""\b"")),sublease_con"&amp;"tract!G:G=""尚未入住""),1),""非既有房客"")),""非既有房客""))
"),"非既有房客")</f>
        <v>非既有房客</v>
      </c>
      <c r="H40" s="227"/>
      <c r="I40" s="228" t="str">
        <f>IFERROR(__xludf.DUMMYFUNCTION("""COMPUTED_VALUE"""),"✔ 有效身分證")</f>
        <v>✔ 有效身分證</v>
      </c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</row>
    <row r="41">
      <c r="A41" s="216" t="s">
        <v>871</v>
      </c>
      <c r="B41" s="223" t="s">
        <v>1549</v>
      </c>
      <c r="C41" s="223" t="s">
        <v>1550</v>
      </c>
      <c r="D41" s="224" t="s">
        <v>1551</v>
      </c>
      <c r="E41" s="233"/>
      <c r="F41" s="226" t="str">
        <f>IFERROR(__xludf.DUMMYFUNCTION("IF(A41="""","""",IFERROR(IF(COUNTIF(FILTER(sublease_contract!G:G,ARRAYFORMULA(REGEXMATCH(sublease_contract!E:E,""\b""&amp;A41&amp;""\b""))),""入住中"")&gt;0,INDEX(FILTER(sublease_contract!C:C,ARRAYFORMULA(REGEXMATCH(sublease_contract!E:E,""\b""&amp;A41&amp;""\b"")),sublease_co"&amp;"ntract!G:G=""入住中""),1),IF(COUNTIF(FILTER(sublease_contract!G:G,ARRAYFORMULA(REGEXMATCH(sublease_contract!E:E,""\b""&amp;A41&amp;""\b""))),""尚未入住"")&gt;0,INDEX(FILTER(sublease_contract!C:C,ARRAYFORMULA(REGEXMATCH(sublease_contract!E:E,""\b""&amp;A41&amp;""\b"")),sublease_con"&amp;"tract!G:G=""尚未入住""),1),""非既有房客"")),""非既有房客""))
"),"非既有房客")</f>
        <v>非既有房客</v>
      </c>
      <c r="G41" s="226" t="str">
        <f>IFERROR(__xludf.DUMMYFUNCTION("IF(A41="""","""",IFERROR(IF(COUNTIF(FILTER(sublease_contract!G:G,ARRAYFORMULA(REGEXMATCH(sublease_contract!E:E,""\b""&amp;A41&amp;""\b""))),""入住中"")&gt;0,INDEX(FILTER(sublease_contract!D:D,ARRAYFORMULA(REGEXMATCH(sublease_contract!E:E,""\b""&amp;A41&amp;""\b"")),sublease_co"&amp;"ntract!G:G=""入住中""),1),IF(COUNTIF(FILTER(sublease_contract!G:G,ARRAYFORMULA(REGEXMATCH(sublease_contract!E:E,""\b""&amp;A41&amp;""\b""))),""尚未入住"")&gt;0,INDEX(FILTER(sublease_contract!D:D,ARRAYFORMULA(REGEXMATCH(sublease_contract!E:E,""\b""&amp;A41&amp;""\b"")),sublease_con"&amp;"tract!G:G=""尚未入住""),1),""非既有房客"")),""非既有房客""))
"),"非既有房客")</f>
        <v>非既有房客</v>
      </c>
      <c r="H41" s="227"/>
      <c r="I41" s="228" t="str">
        <f>IFERROR(__xludf.DUMMYFUNCTION("""COMPUTED_VALUE"""),"✔ 有效身分證")</f>
        <v>✔ 有效身分證</v>
      </c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</row>
    <row r="42">
      <c r="A42" s="216" t="s">
        <v>877</v>
      </c>
      <c r="B42" s="223" t="s">
        <v>1552</v>
      </c>
      <c r="C42" s="223" t="s">
        <v>1553</v>
      </c>
      <c r="D42" s="224" t="s">
        <v>1554</v>
      </c>
      <c r="E42" s="230" t="s">
        <v>1555</v>
      </c>
      <c r="F42" s="226" t="str">
        <f>IFERROR(__xludf.DUMMYFUNCTION("IF(A42="""","""",IFERROR(IF(COUNTIF(FILTER(sublease_contract!G:G,ARRAYFORMULA(REGEXMATCH(sublease_contract!E:E,""\b""&amp;A42&amp;""\b""))),""入住中"")&gt;0,INDEX(FILTER(sublease_contract!C:C,ARRAYFORMULA(REGEXMATCH(sublease_contract!E:E,""\b""&amp;A42&amp;""\b"")),sublease_co"&amp;"ntract!G:G=""入住中""),1),IF(COUNTIF(FILTER(sublease_contract!G:G,ARRAYFORMULA(REGEXMATCH(sublease_contract!E:E,""\b""&amp;A42&amp;""\b""))),""尚未入住"")&gt;0,INDEX(FILTER(sublease_contract!C:C,ARRAYFORMULA(REGEXMATCH(sublease_contract!E:E,""\b""&amp;A42&amp;""\b"")),sublease_con"&amp;"tract!G:G=""尚未入住""),1),""非既有房客"")),""非既有房客""))
"),"非既有房客")</f>
        <v>非既有房客</v>
      </c>
      <c r="G42" s="226" t="str">
        <f>IFERROR(__xludf.DUMMYFUNCTION("IF(A42="""","""",IFERROR(IF(COUNTIF(FILTER(sublease_contract!G:G,ARRAYFORMULA(REGEXMATCH(sublease_contract!E:E,""\b""&amp;A42&amp;""\b""))),""入住中"")&gt;0,INDEX(FILTER(sublease_contract!D:D,ARRAYFORMULA(REGEXMATCH(sublease_contract!E:E,""\b""&amp;A42&amp;""\b"")),sublease_co"&amp;"ntract!G:G=""入住中""),1),IF(COUNTIF(FILTER(sublease_contract!G:G,ARRAYFORMULA(REGEXMATCH(sublease_contract!E:E,""\b""&amp;A42&amp;""\b""))),""尚未入住"")&gt;0,INDEX(FILTER(sublease_contract!D:D,ARRAYFORMULA(REGEXMATCH(sublease_contract!E:E,""\b""&amp;A42&amp;""\b"")),sublease_con"&amp;"tract!G:G=""尚未入住""),1),""非既有房客"")),""非既有房客""))
"),"非既有房客")</f>
        <v>非既有房客</v>
      </c>
      <c r="H42" s="227"/>
      <c r="I42" s="228" t="str">
        <f>IFERROR(__xludf.DUMMYFUNCTION("""COMPUTED_VALUE"""),"✔ 有效身分證")</f>
        <v>✔ 有效身分證</v>
      </c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</row>
    <row r="43">
      <c r="A43" s="216" t="s">
        <v>880</v>
      </c>
      <c r="B43" s="223" t="s">
        <v>1556</v>
      </c>
      <c r="C43" s="223" t="s">
        <v>1557</v>
      </c>
      <c r="D43" s="224" t="s">
        <v>1558</v>
      </c>
      <c r="E43" s="225" t="s">
        <v>1559</v>
      </c>
      <c r="F43" s="226" t="str">
        <f>IFERROR(__xludf.DUMMYFUNCTION("IF(A43="""","""",IFERROR(IF(COUNTIF(FILTER(sublease_contract!G:G,ARRAYFORMULA(REGEXMATCH(sublease_contract!E:E,""\b""&amp;A43&amp;""\b""))),""入住中"")&gt;0,INDEX(FILTER(sublease_contract!C:C,ARRAYFORMULA(REGEXMATCH(sublease_contract!E:E,""\b""&amp;A43&amp;""\b"")),sublease_co"&amp;"ntract!G:G=""入住中""),1),IF(COUNTIF(FILTER(sublease_contract!G:G,ARRAYFORMULA(REGEXMATCH(sublease_contract!E:E,""\b""&amp;A43&amp;""\b""))),""尚未入住"")&gt;0,INDEX(FILTER(sublease_contract!C:C,ARRAYFORMULA(REGEXMATCH(sublease_contract!E:E,""\b""&amp;A43&amp;""\b"")),sublease_con"&amp;"tract!G:G=""尚未入住""),1),""非既有房客"")),""非既有房客""))
"),"非既有房客")</f>
        <v>非既有房客</v>
      </c>
      <c r="G43" s="226" t="str">
        <f>IFERROR(__xludf.DUMMYFUNCTION("IF(A43="""","""",IFERROR(IF(COUNTIF(FILTER(sublease_contract!G:G,ARRAYFORMULA(REGEXMATCH(sublease_contract!E:E,""\b""&amp;A43&amp;""\b""))),""入住中"")&gt;0,INDEX(FILTER(sublease_contract!D:D,ARRAYFORMULA(REGEXMATCH(sublease_contract!E:E,""\b""&amp;A43&amp;""\b"")),sublease_co"&amp;"ntract!G:G=""入住中""),1),IF(COUNTIF(FILTER(sublease_contract!G:G,ARRAYFORMULA(REGEXMATCH(sublease_contract!E:E,""\b""&amp;A43&amp;""\b""))),""尚未入住"")&gt;0,INDEX(FILTER(sublease_contract!D:D,ARRAYFORMULA(REGEXMATCH(sublease_contract!E:E,""\b""&amp;A43&amp;""\b"")),sublease_con"&amp;"tract!G:G=""尚未入住""),1),""非既有房客"")),""非既有房客""))
"),"非既有房客")</f>
        <v>非既有房客</v>
      </c>
      <c r="H43" s="227"/>
      <c r="I43" s="228" t="str">
        <f>IFERROR(__xludf.DUMMYFUNCTION("""COMPUTED_VALUE"""),"✔ 有效身分證")</f>
        <v>✔ 有效身分證</v>
      </c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</row>
    <row r="44">
      <c r="A44" s="216" t="s">
        <v>884</v>
      </c>
      <c r="B44" s="223" t="s">
        <v>1560</v>
      </c>
      <c r="C44" s="223" t="s">
        <v>1561</v>
      </c>
      <c r="D44" s="224" t="s">
        <v>1562</v>
      </c>
      <c r="E44" s="225" t="s">
        <v>1563</v>
      </c>
      <c r="F44" s="226" t="str">
        <f>IFERROR(__xludf.DUMMYFUNCTION("IF(A44="""","""",IFERROR(IF(COUNTIF(FILTER(sublease_contract!G:G,ARRAYFORMULA(REGEXMATCH(sublease_contract!E:E,""\b""&amp;A44&amp;""\b""))),""入住中"")&gt;0,INDEX(FILTER(sublease_contract!C:C,ARRAYFORMULA(REGEXMATCH(sublease_contract!E:E,""\b""&amp;A44&amp;""\b"")),sublease_co"&amp;"ntract!G:G=""入住中""),1),IF(COUNTIF(FILTER(sublease_contract!G:G,ARRAYFORMULA(REGEXMATCH(sublease_contract!E:E,""\b""&amp;A44&amp;""\b""))),""尚未入住"")&gt;0,INDEX(FILTER(sublease_contract!C:C,ARRAYFORMULA(REGEXMATCH(sublease_contract!E:E,""\b""&amp;A44&amp;""\b"")),sublease_con"&amp;"tract!G:G=""尚未入住""),1),""非既有房客"")),""非既有房客""))
"),"大湖山莊")</f>
        <v>大湖山莊</v>
      </c>
      <c r="G44" s="226" t="str">
        <f>IFERROR(__xludf.DUMMYFUNCTION("IF(A44="""","""",IFERROR(IF(COUNTIF(FILTER(sublease_contract!G:G,ARRAYFORMULA(REGEXMATCH(sublease_contract!E:E,""\b""&amp;A44&amp;""\b""))),""入住中"")&gt;0,INDEX(FILTER(sublease_contract!D:D,ARRAYFORMULA(REGEXMATCH(sublease_contract!E:E,""\b""&amp;A44&amp;""\b"")),sublease_co"&amp;"ntract!G:G=""入住中""),1),IF(COUNTIF(FILTER(sublease_contract!G:G,ARRAYFORMULA(REGEXMATCH(sublease_contract!E:E,""\b""&amp;A44&amp;""\b""))),""尚未入住"")&gt;0,INDEX(FILTER(sublease_contract!D:D,ARRAYFORMULA(REGEXMATCH(sublease_contract!E:E,""\b""&amp;A44&amp;""\b"")),sublease_con"&amp;"tract!G:G=""尚未入住""),1),""非既有房客"")),""非既有房客""))
"),"C")</f>
        <v>C</v>
      </c>
      <c r="H44" s="227" t="s">
        <v>1564</v>
      </c>
      <c r="I44" s="228" t="str">
        <f>IFERROR(__xludf.DUMMYFUNCTION("""COMPUTED_VALUE"""),"✔ 有效身分證")</f>
        <v>✔ 有效身分證</v>
      </c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</row>
    <row r="45">
      <c r="A45" s="213" t="s">
        <v>888</v>
      </c>
      <c r="B45" s="223" t="s">
        <v>1565</v>
      </c>
      <c r="C45" s="223" t="s">
        <v>1566</v>
      </c>
      <c r="D45" s="224" t="s">
        <v>1567</v>
      </c>
      <c r="E45" s="230" t="s">
        <v>1568</v>
      </c>
      <c r="F45" s="226" t="str">
        <f>IFERROR(__xludf.DUMMYFUNCTION("IF(A45="""","""",IFERROR(IF(COUNTIF(FILTER(sublease_contract!G:G,ARRAYFORMULA(REGEXMATCH(sublease_contract!E:E,""\b""&amp;A45&amp;""\b""))),""入住中"")&gt;0,INDEX(FILTER(sublease_contract!C:C,ARRAYFORMULA(REGEXMATCH(sublease_contract!E:E,""\b""&amp;A45&amp;""\b"")),sublease_co"&amp;"ntract!G:G=""入住中""),1),IF(COUNTIF(FILTER(sublease_contract!G:G,ARRAYFORMULA(REGEXMATCH(sublease_contract!E:E,""\b""&amp;A45&amp;""\b""))),""尚未入住"")&gt;0,INDEX(FILTER(sublease_contract!C:C,ARRAYFORMULA(REGEXMATCH(sublease_contract!E:E,""\b""&amp;A45&amp;""\b"")),sublease_con"&amp;"tract!G:G=""尚未入住""),1),""非既有房客"")),""非既有房客""))
"),"大湖山莊")</f>
        <v>大湖山莊</v>
      </c>
      <c r="G45" s="226" t="str">
        <f>IFERROR(__xludf.DUMMYFUNCTION("IF(A45="""","""",IFERROR(IF(COUNTIF(FILTER(sublease_contract!G:G,ARRAYFORMULA(REGEXMATCH(sublease_contract!E:E,""\b""&amp;A45&amp;""\b""))),""入住中"")&gt;0,INDEX(FILTER(sublease_contract!D:D,ARRAYFORMULA(REGEXMATCH(sublease_contract!E:E,""\b""&amp;A45&amp;""\b"")),sublease_co"&amp;"ntract!G:G=""入住中""),1),IF(COUNTIF(FILTER(sublease_contract!G:G,ARRAYFORMULA(REGEXMATCH(sublease_contract!E:E,""\b""&amp;A45&amp;""\b""))),""尚未入住"")&gt;0,INDEX(FILTER(sublease_contract!D:D,ARRAYFORMULA(REGEXMATCH(sublease_contract!E:E,""\b""&amp;A45&amp;""\b"")),sublease_con"&amp;"tract!G:G=""尚未入住""),1),""非既有房客"")),""非既有房客""))
"),"D")</f>
        <v>D</v>
      </c>
      <c r="H45" s="227" t="s">
        <v>1569</v>
      </c>
      <c r="I45" s="228" t="str">
        <f>IFERROR(__xludf.DUMMYFUNCTION("""COMPUTED_VALUE"""),"✔ 有效身分證")</f>
        <v>✔ 有效身分證</v>
      </c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</row>
    <row r="46">
      <c r="A46" s="213" t="s">
        <v>891</v>
      </c>
      <c r="B46" s="223" t="s">
        <v>1570</v>
      </c>
      <c r="C46" s="223" t="s">
        <v>1571</v>
      </c>
      <c r="D46" s="224" t="s">
        <v>1572</v>
      </c>
      <c r="E46" s="225" t="s">
        <v>1573</v>
      </c>
      <c r="F46" s="226" t="str">
        <f>IFERROR(__xludf.DUMMYFUNCTION("IF(A46="""","""",IFERROR(IF(COUNTIF(FILTER(sublease_contract!G:G,ARRAYFORMULA(REGEXMATCH(sublease_contract!E:E,""\b""&amp;A46&amp;""\b""))),""入住中"")&gt;0,INDEX(FILTER(sublease_contract!C:C,ARRAYFORMULA(REGEXMATCH(sublease_contract!E:E,""\b""&amp;A46&amp;""\b"")),sublease_co"&amp;"ntract!G:G=""入住中""),1),IF(COUNTIF(FILTER(sublease_contract!G:G,ARRAYFORMULA(REGEXMATCH(sublease_contract!E:E,""\b""&amp;A46&amp;""\b""))),""尚未入住"")&gt;0,INDEX(FILTER(sublease_contract!C:C,ARRAYFORMULA(REGEXMATCH(sublease_contract!E:E,""\b""&amp;A46&amp;""\b"")),sublease_con"&amp;"tract!G:G=""尚未入住""),1),""非既有房客"")),""非既有房客""))
"),"非既有房客")</f>
        <v>非既有房客</v>
      </c>
      <c r="G46" s="226" t="str">
        <f>IFERROR(__xludf.DUMMYFUNCTION("IF(A46="""","""",IFERROR(IF(COUNTIF(FILTER(sublease_contract!G:G,ARRAYFORMULA(REGEXMATCH(sublease_contract!E:E,""\b""&amp;A46&amp;""\b""))),""入住中"")&gt;0,INDEX(FILTER(sublease_contract!D:D,ARRAYFORMULA(REGEXMATCH(sublease_contract!E:E,""\b""&amp;A46&amp;""\b"")),sublease_co"&amp;"ntract!G:G=""入住中""),1),IF(COUNTIF(FILTER(sublease_contract!G:G,ARRAYFORMULA(REGEXMATCH(sublease_contract!E:E,""\b""&amp;A46&amp;""\b""))),""尚未入住"")&gt;0,INDEX(FILTER(sublease_contract!D:D,ARRAYFORMULA(REGEXMATCH(sublease_contract!E:E,""\b""&amp;A46&amp;""\b"")),sublease_con"&amp;"tract!G:G=""尚未入住""),1),""非既有房客"")),""非既有房客""))
"),"非既有房客")</f>
        <v>非既有房客</v>
      </c>
      <c r="H46" s="227"/>
      <c r="I46" s="228" t="str">
        <f>IFERROR(__xludf.DUMMYFUNCTION("""COMPUTED_VALUE"""),"✔ 有效身分證")</f>
        <v>✔ 有效身分證</v>
      </c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</row>
    <row r="47">
      <c r="A47" s="213" t="s">
        <v>1574</v>
      </c>
      <c r="B47" s="223" t="s">
        <v>1575</v>
      </c>
      <c r="C47" s="223" t="s">
        <v>1576</v>
      </c>
      <c r="D47" s="224" t="s">
        <v>1577</v>
      </c>
      <c r="E47" s="230" t="s">
        <v>1578</v>
      </c>
      <c r="F47" s="226" t="str">
        <f>IFERROR(__xludf.DUMMYFUNCTION("IF(A47="""","""",IFERROR(IF(COUNTIF(FILTER(sublease_contract!G:G,ARRAYFORMULA(REGEXMATCH(sublease_contract!E:E,""\b""&amp;A47&amp;""\b""))),""入住中"")&gt;0,INDEX(FILTER(sublease_contract!C:C,ARRAYFORMULA(REGEXMATCH(sublease_contract!E:E,""\b""&amp;A47&amp;""\b"")),sublease_co"&amp;"ntract!G:G=""入住中""),1),IF(COUNTIF(FILTER(sublease_contract!G:G,ARRAYFORMULA(REGEXMATCH(sublease_contract!E:E,""\b""&amp;A47&amp;""\b""))),""尚未入住"")&gt;0,INDEX(FILTER(sublease_contract!C:C,ARRAYFORMULA(REGEXMATCH(sublease_contract!E:E,""\b""&amp;A47&amp;""\b"")),sublease_con"&amp;"tract!G:G=""尚未入住""),1),""非既有房客"")),""非既有房客""))
"),"非既有房客")</f>
        <v>非既有房客</v>
      </c>
      <c r="G47" s="226" t="str">
        <f>IFERROR(__xludf.DUMMYFUNCTION("IF(A47="""","""",IFERROR(IF(COUNTIF(FILTER(sublease_contract!G:G,ARRAYFORMULA(REGEXMATCH(sublease_contract!E:E,""\b""&amp;A47&amp;""\b""))),""入住中"")&gt;0,INDEX(FILTER(sublease_contract!D:D,ARRAYFORMULA(REGEXMATCH(sublease_contract!E:E,""\b""&amp;A47&amp;""\b"")),sublease_co"&amp;"ntract!G:G=""入住中""),1),IF(COUNTIF(FILTER(sublease_contract!G:G,ARRAYFORMULA(REGEXMATCH(sublease_contract!E:E,""\b""&amp;A47&amp;""\b""))),""尚未入住"")&gt;0,INDEX(FILTER(sublease_contract!D:D,ARRAYFORMULA(REGEXMATCH(sublease_contract!E:E,""\b""&amp;A47&amp;""\b"")),sublease_con"&amp;"tract!G:G=""尚未入住""),1),""非既有房客"")),""非既有房客""))
"),"非既有房客")</f>
        <v>非既有房客</v>
      </c>
      <c r="H47" s="227"/>
      <c r="I47" s="228" t="str">
        <f>IFERROR(__xludf.DUMMYFUNCTION("""COMPUTED_VALUE"""),"✔ 有效身分證")</f>
        <v>✔ 有效身分證</v>
      </c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</row>
    <row r="48">
      <c r="A48" s="213" t="s">
        <v>902</v>
      </c>
      <c r="B48" s="223" t="s">
        <v>1579</v>
      </c>
      <c r="C48" s="223" t="s">
        <v>1580</v>
      </c>
      <c r="D48" s="224" t="s">
        <v>1581</v>
      </c>
      <c r="E48" s="225" t="s">
        <v>1582</v>
      </c>
      <c r="F48" s="226" t="str">
        <f>IFERROR(__xludf.DUMMYFUNCTION("IF(A48="""","""",IFERROR(IF(COUNTIF(FILTER(sublease_contract!G:G,ARRAYFORMULA(REGEXMATCH(sublease_contract!E:E,""\b""&amp;A48&amp;""\b""))),""入住中"")&gt;0,INDEX(FILTER(sublease_contract!C:C,ARRAYFORMULA(REGEXMATCH(sublease_contract!E:E,""\b""&amp;A48&amp;""\b"")),sublease_co"&amp;"ntract!G:G=""入住中""),1),IF(COUNTIF(FILTER(sublease_contract!G:G,ARRAYFORMULA(REGEXMATCH(sublease_contract!E:E,""\b""&amp;A48&amp;""\b""))),""尚未入住"")&gt;0,INDEX(FILTER(sublease_contract!C:C,ARRAYFORMULA(REGEXMATCH(sublease_contract!E:E,""\b""&amp;A48&amp;""\b"")),sublease_con"&amp;"tract!G:G=""尚未入住""),1),""非既有房客"")),""非既有房客""))
"),"非既有房客")</f>
        <v>非既有房客</v>
      </c>
      <c r="G48" s="226" t="str">
        <f>IFERROR(__xludf.DUMMYFUNCTION("IF(A48="""","""",IFERROR(IF(COUNTIF(FILTER(sublease_contract!G:G,ARRAYFORMULA(REGEXMATCH(sublease_contract!E:E,""\b""&amp;A48&amp;""\b""))),""入住中"")&gt;0,INDEX(FILTER(sublease_contract!D:D,ARRAYFORMULA(REGEXMATCH(sublease_contract!E:E,""\b""&amp;A48&amp;""\b"")),sublease_co"&amp;"ntract!G:G=""入住中""),1),IF(COUNTIF(FILTER(sublease_contract!G:G,ARRAYFORMULA(REGEXMATCH(sublease_contract!E:E,""\b""&amp;A48&amp;""\b""))),""尚未入住"")&gt;0,INDEX(FILTER(sublease_contract!D:D,ARRAYFORMULA(REGEXMATCH(sublease_contract!E:E,""\b""&amp;A48&amp;""\b"")),sublease_con"&amp;"tract!G:G=""尚未入住""),1),""非既有房客"")),""非既有房客""))
"),"非既有房客")</f>
        <v>非既有房客</v>
      </c>
      <c r="H48" s="227"/>
      <c r="I48" s="228" t="str">
        <f>IFERROR(__xludf.DUMMYFUNCTION("""COMPUTED_VALUE"""),"✔ 有效身分證")</f>
        <v>✔ 有效身分證</v>
      </c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</row>
    <row r="49">
      <c r="A49" s="213" t="s">
        <v>907</v>
      </c>
      <c r="B49" s="223" t="s">
        <v>1583</v>
      </c>
      <c r="C49" s="223" t="s">
        <v>1584</v>
      </c>
      <c r="D49" s="224" t="s">
        <v>1585</v>
      </c>
      <c r="E49" s="233"/>
      <c r="F49" s="226" t="str">
        <f>IFERROR(__xludf.DUMMYFUNCTION("IF(A49="""","""",IFERROR(IF(COUNTIF(FILTER(sublease_contract!G:G,ARRAYFORMULA(REGEXMATCH(sublease_contract!E:E,""\b""&amp;A49&amp;""\b""))),""入住中"")&gt;0,INDEX(FILTER(sublease_contract!C:C,ARRAYFORMULA(REGEXMATCH(sublease_contract!E:E,""\b""&amp;A49&amp;""\b"")),sublease_co"&amp;"ntract!G:G=""入住中""),1),IF(COUNTIF(FILTER(sublease_contract!G:G,ARRAYFORMULA(REGEXMATCH(sublease_contract!E:E,""\b""&amp;A49&amp;""\b""))),""尚未入住"")&gt;0,INDEX(FILTER(sublease_contract!C:C,ARRAYFORMULA(REGEXMATCH(sublease_contract!E:E,""\b""&amp;A49&amp;""\b"")),sublease_con"&amp;"tract!G:G=""尚未入住""),1),""非既有房客"")),""非既有房客""))
"),"非既有房客")</f>
        <v>非既有房客</v>
      </c>
      <c r="G49" s="226" t="str">
        <f>IFERROR(__xludf.DUMMYFUNCTION("IF(A49="""","""",IFERROR(IF(COUNTIF(FILTER(sublease_contract!G:G,ARRAYFORMULA(REGEXMATCH(sublease_contract!E:E,""\b""&amp;A49&amp;""\b""))),""入住中"")&gt;0,INDEX(FILTER(sublease_contract!D:D,ARRAYFORMULA(REGEXMATCH(sublease_contract!E:E,""\b""&amp;A49&amp;""\b"")),sublease_co"&amp;"ntract!G:G=""入住中""),1),IF(COUNTIF(FILTER(sublease_contract!G:G,ARRAYFORMULA(REGEXMATCH(sublease_contract!E:E,""\b""&amp;A49&amp;""\b""))),""尚未入住"")&gt;0,INDEX(FILTER(sublease_contract!D:D,ARRAYFORMULA(REGEXMATCH(sublease_contract!E:E,""\b""&amp;A49&amp;""\b"")),sublease_con"&amp;"tract!G:G=""尚未入住""),1),""非既有房客"")),""非既有房客""))
"),"非既有房客")</f>
        <v>非既有房客</v>
      </c>
      <c r="H49" s="227"/>
      <c r="I49" s="228" t="str">
        <f>IFERROR(__xludf.DUMMYFUNCTION("""COMPUTED_VALUE"""),"✔ 有效身分證")</f>
        <v>✔ 有效身分證</v>
      </c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>
      <c r="A50" s="213" t="s">
        <v>1586</v>
      </c>
      <c r="B50" s="223" t="s">
        <v>1587</v>
      </c>
      <c r="C50" s="223" t="s">
        <v>1588</v>
      </c>
      <c r="D50" s="224" t="s">
        <v>1589</v>
      </c>
      <c r="E50" s="230" t="s">
        <v>1590</v>
      </c>
      <c r="F50" s="226" t="str">
        <f>IFERROR(__xludf.DUMMYFUNCTION("IF(A50="""","""",IFERROR(IF(COUNTIF(FILTER(sublease_contract!G:G,ARRAYFORMULA(REGEXMATCH(sublease_contract!E:E,""\b""&amp;A50&amp;""\b""))),""入住中"")&gt;0,INDEX(FILTER(sublease_contract!C:C,ARRAYFORMULA(REGEXMATCH(sublease_contract!E:E,""\b""&amp;A50&amp;""\b"")),sublease_co"&amp;"ntract!G:G=""入住中""),1),IF(COUNTIF(FILTER(sublease_contract!G:G,ARRAYFORMULA(REGEXMATCH(sublease_contract!E:E,""\b""&amp;A50&amp;""\b""))),""尚未入住"")&gt;0,INDEX(FILTER(sublease_contract!C:C,ARRAYFORMULA(REGEXMATCH(sublease_contract!E:E,""\b""&amp;A50&amp;""\b"")),sublease_con"&amp;"tract!G:G=""尚未入住""),1),""非既有房客"")),""非既有房客""))
"),"市府爺爺家")</f>
        <v>市府爺爺家</v>
      </c>
      <c r="G50" s="226" t="str">
        <f>IFERROR(__xludf.DUMMYFUNCTION("IF(A50="""","""",IFERROR(IF(COUNTIF(FILTER(sublease_contract!G:G,ARRAYFORMULA(REGEXMATCH(sublease_contract!E:E,""\b""&amp;A50&amp;""\b""))),""入住中"")&gt;0,INDEX(FILTER(sublease_contract!D:D,ARRAYFORMULA(REGEXMATCH(sublease_contract!E:E,""\b""&amp;A50&amp;""\b"")),sublease_co"&amp;"ntract!G:G=""入住中""),1),IF(COUNTIF(FILTER(sublease_contract!G:G,ARRAYFORMULA(REGEXMATCH(sublease_contract!E:E,""\b""&amp;A50&amp;""\b""))),""尚未入住"")&gt;0,INDEX(FILTER(sublease_contract!D:D,ARRAYFORMULA(REGEXMATCH(sublease_contract!E:E,""\b""&amp;A50&amp;""\b"")),sublease_con"&amp;"tract!G:G=""尚未入住""),1),""非既有房客"")),""非既有房客""))
"),"A")</f>
        <v>A</v>
      </c>
      <c r="H50" s="227" t="s">
        <v>1591</v>
      </c>
      <c r="I50" s="228" t="str">
        <f>IFERROR(__xludf.DUMMYFUNCTION("""COMPUTED_VALUE"""),"✔ 有效身分證")</f>
        <v>✔ 有效身分證</v>
      </c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</row>
    <row r="51">
      <c r="A51" s="213" t="s">
        <v>917</v>
      </c>
      <c r="B51" s="244" t="s">
        <v>1592</v>
      </c>
      <c r="C51" s="223" t="s">
        <v>1593</v>
      </c>
      <c r="D51" s="224" t="s">
        <v>1594</v>
      </c>
      <c r="E51" s="225" t="s">
        <v>1595</v>
      </c>
      <c r="F51" s="226" t="str">
        <f>IFERROR(__xludf.DUMMYFUNCTION("IF(A51="""","""",IFERROR(IF(COUNTIF(FILTER(sublease_contract!G:G,ARRAYFORMULA(REGEXMATCH(sublease_contract!E:E,""\b""&amp;A51&amp;""\b""))),""入住中"")&gt;0,INDEX(FILTER(sublease_contract!C:C,ARRAYFORMULA(REGEXMATCH(sublease_contract!E:E,""\b""&amp;A51&amp;""\b"")),sublease_co"&amp;"ntract!G:G=""入住中""),1),IF(COUNTIF(FILTER(sublease_contract!G:G,ARRAYFORMULA(REGEXMATCH(sublease_contract!E:E,""\b""&amp;A51&amp;""\b""))),""尚未入住"")&gt;0,INDEX(FILTER(sublease_contract!C:C,ARRAYFORMULA(REGEXMATCH(sublease_contract!E:E,""\b""&amp;A51&amp;""\b"")),sublease_con"&amp;"tract!G:G=""尚未入住""),1),""非既有房客"")),""非既有房客""))
"),"南港站挑高宅")</f>
        <v>南港站挑高宅</v>
      </c>
      <c r="G51" s="226" t="str">
        <f>IFERROR(__xludf.DUMMYFUNCTION("IF(A51="""","""",IFERROR(IF(COUNTIF(FILTER(sublease_contract!G:G,ARRAYFORMULA(REGEXMATCH(sublease_contract!E:E,""\b""&amp;A51&amp;""\b""))),""入住中"")&gt;0,INDEX(FILTER(sublease_contract!D:D,ARRAYFORMULA(REGEXMATCH(sublease_contract!E:E,""\b""&amp;A51&amp;""\b"")),sublease_co"&amp;"ntract!G:G=""入住中""),1),IF(COUNTIF(FILTER(sublease_contract!G:G,ARRAYFORMULA(REGEXMATCH(sublease_contract!E:E,""\b""&amp;A51&amp;""\b""))),""尚未入住"")&gt;0,INDEX(FILTER(sublease_contract!D:D,ARRAYFORMULA(REGEXMATCH(sublease_contract!E:E,""\b""&amp;A51&amp;""\b"")),sublease_con"&amp;"tract!G:G=""尚未入住""),1),""非既有房客"")),""非既有房客""))
"),"A")</f>
        <v>A</v>
      </c>
      <c r="H51" s="227" t="s">
        <v>1596</v>
      </c>
      <c r="I51" s="228" t="str">
        <f>IFERROR(__xludf.DUMMYFUNCTION("""COMPUTED_VALUE"""),"✔ 有效身分證")</f>
        <v>✔ 有效身分證</v>
      </c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>
      <c r="A52" s="213" t="s">
        <v>922</v>
      </c>
      <c r="B52" s="223" t="s">
        <v>1597</v>
      </c>
      <c r="C52" s="223" t="s">
        <v>1598</v>
      </c>
      <c r="D52" s="224" t="s">
        <v>1599</v>
      </c>
      <c r="E52" s="225" t="s">
        <v>1600</v>
      </c>
      <c r="F52" s="226" t="str">
        <f>IFERROR(__xludf.DUMMYFUNCTION("IF(A52="""","""",IFERROR(IF(COUNTIF(FILTER(sublease_contract!G:G,ARRAYFORMULA(REGEXMATCH(sublease_contract!E:E,""\b""&amp;A52&amp;""\b""))),""入住中"")&gt;0,INDEX(FILTER(sublease_contract!C:C,ARRAYFORMULA(REGEXMATCH(sublease_contract!E:E,""\b""&amp;A52&amp;""\b"")),sublease_co"&amp;"ntract!G:G=""入住中""),1),IF(COUNTIF(FILTER(sublease_contract!G:G,ARRAYFORMULA(REGEXMATCH(sublease_contract!E:E,""\b""&amp;A52&amp;""\b""))),""尚未入住"")&gt;0,INDEX(FILTER(sublease_contract!C:C,ARRAYFORMULA(REGEXMATCH(sublease_contract!E:E,""\b""&amp;A52&amp;""\b"")),sublease_con"&amp;"tract!G:G=""尚未入住""),1),""非既有房客"")),""非既有房客""))
"),"非既有房客")</f>
        <v>非既有房客</v>
      </c>
      <c r="G52" s="226" t="str">
        <f>IFERROR(__xludf.DUMMYFUNCTION("IF(A52="""","""",IFERROR(IF(COUNTIF(FILTER(sublease_contract!G:G,ARRAYFORMULA(REGEXMATCH(sublease_contract!E:E,""\b""&amp;A52&amp;""\b""))),""入住中"")&gt;0,INDEX(FILTER(sublease_contract!D:D,ARRAYFORMULA(REGEXMATCH(sublease_contract!E:E,""\b""&amp;A52&amp;""\b"")),sublease_co"&amp;"ntract!G:G=""入住中""),1),IF(COUNTIF(FILTER(sublease_contract!G:G,ARRAYFORMULA(REGEXMATCH(sublease_contract!E:E,""\b""&amp;A52&amp;""\b""))),""尚未入住"")&gt;0,INDEX(FILTER(sublease_contract!D:D,ARRAYFORMULA(REGEXMATCH(sublease_contract!E:E,""\b""&amp;A52&amp;""\b"")),sublease_con"&amp;"tract!G:G=""尚未入住""),1),""非既有房客"")),""非既有房客""))
"),"非既有房客")</f>
        <v>非既有房客</v>
      </c>
      <c r="H52" s="227" t="s">
        <v>1601</v>
      </c>
      <c r="I52" s="228" t="str">
        <f>IFERROR(__xludf.DUMMYFUNCTION("""COMPUTED_VALUE"""),"✔ 有效身分證")</f>
        <v>✔ 有效身分證</v>
      </c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>
      <c r="A53" s="213" t="s">
        <v>927</v>
      </c>
      <c r="B53" s="223" t="s">
        <v>1602</v>
      </c>
      <c r="C53" s="223" t="s">
        <v>1603</v>
      </c>
      <c r="D53" s="224" t="s">
        <v>1604</v>
      </c>
      <c r="E53" s="225" t="s">
        <v>1605</v>
      </c>
      <c r="F53" s="226" t="str">
        <f>IFERROR(__xludf.DUMMYFUNCTION("IF(A53="""","""",IFERROR(IF(COUNTIF(FILTER(sublease_contract!G:G,ARRAYFORMULA(REGEXMATCH(sublease_contract!E:E,""\b""&amp;A53&amp;""\b""))),""入住中"")&gt;0,INDEX(FILTER(sublease_contract!C:C,ARRAYFORMULA(REGEXMATCH(sublease_contract!E:E,""\b""&amp;A53&amp;""\b"")),sublease_co"&amp;"ntract!G:G=""入住中""),1),IF(COUNTIF(FILTER(sublease_contract!G:G,ARRAYFORMULA(REGEXMATCH(sublease_contract!E:E,""\b""&amp;A53&amp;""\b""))),""尚未入住"")&gt;0,INDEX(FILTER(sublease_contract!C:C,ARRAYFORMULA(REGEXMATCH(sublease_contract!E:E,""\b""&amp;A53&amp;""\b"")),sublease_con"&amp;"tract!G:G=""尚未入住""),1),""非既有房客"")),""非既有房客""))
"),"非既有房客")</f>
        <v>非既有房客</v>
      </c>
      <c r="G53" s="226" t="str">
        <f>IFERROR(__xludf.DUMMYFUNCTION("IF(A53="""","""",IFERROR(IF(COUNTIF(FILTER(sublease_contract!G:G,ARRAYFORMULA(REGEXMATCH(sublease_contract!E:E,""\b""&amp;A53&amp;""\b""))),""入住中"")&gt;0,INDEX(FILTER(sublease_contract!D:D,ARRAYFORMULA(REGEXMATCH(sublease_contract!E:E,""\b""&amp;A53&amp;""\b"")),sublease_co"&amp;"ntract!G:G=""入住中""),1),IF(COUNTIF(FILTER(sublease_contract!G:G,ARRAYFORMULA(REGEXMATCH(sublease_contract!E:E,""\b""&amp;A53&amp;""\b""))),""尚未入住"")&gt;0,INDEX(FILTER(sublease_contract!D:D,ARRAYFORMULA(REGEXMATCH(sublease_contract!E:E,""\b""&amp;A53&amp;""\b"")),sublease_con"&amp;"tract!G:G=""尚未入住""),1),""非既有房客"")),""非既有房客""))
"),"非既有房客")</f>
        <v>非既有房客</v>
      </c>
      <c r="H53" s="227"/>
      <c r="I53" s="228" t="str">
        <f>IFERROR(__xludf.DUMMYFUNCTION("""COMPUTED_VALUE"""),"✔ 有效身分證")</f>
        <v>✔ 有效身分證</v>
      </c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</row>
    <row r="54">
      <c r="A54" s="213" t="s">
        <v>932</v>
      </c>
      <c r="B54" s="223" t="s">
        <v>1606</v>
      </c>
      <c r="C54" s="223" t="s">
        <v>1607</v>
      </c>
      <c r="D54" s="224" t="s">
        <v>1608</v>
      </c>
      <c r="E54" s="225" t="s">
        <v>1609</v>
      </c>
      <c r="F54" s="226" t="str">
        <f>IFERROR(__xludf.DUMMYFUNCTION("IF(A54="""","""",IFERROR(IF(COUNTIF(FILTER(sublease_contract!G:G,ARRAYFORMULA(REGEXMATCH(sublease_contract!E:E,""\b""&amp;A54&amp;""\b""))),""入住中"")&gt;0,INDEX(FILTER(sublease_contract!C:C,ARRAYFORMULA(REGEXMATCH(sublease_contract!E:E,""\b""&amp;A54&amp;""\b"")),sublease_co"&amp;"ntract!G:G=""入住中""),1),IF(COUNTIF(FILTER(sublease_contract!G:G,ARRAYFORMULA(REGEXMATCH(sublease_contract!E:E,""\b""&amp;A54&amp;""\b""))),""尚未入住"")&gt;0,INDEX(FILTER(sublease_contract!C:C,ARRAYFORMULA(REGEXMATCH(sublease_contract!E:E,""\b""&amp;A54&amp;""\b"")),sublease_con"&amp;"tract!G:G=""尚未入住""),1),""非既有房客"")),""非既有房客""))
"),"南港站挑高宅")</f>
        <v>南港站挑高宅</v>
      </c>
      <c r="G54" s="226" t="str">
        <f>IFERROR(__xludf.DUMMYFUNCTION("IF(A54="""","""",IFERROR(IF(COUNTIF(FILTER(sublease_contract!G:G,ARRAYFORMULA(REGEXMATCH(sublease_contract!E:E,""\b""&amp;A54&amp;""\b""))),""入住中"")&gt;0,INDEX(FILTER(sublease_contract!D:D,ARRAYFORMULA(REGEXMATCH(sublease_contract!E:E,""\b""&amp;A54&amp;""\b"")),sublease_co"&amp;"ntract!G:G=""入住中""),1),IF(COUNTIF(FILTER(sublease_contract!G:G,ARRAYFORMULA(REGEXMATCH(sublease_contract!E:E,""\b""&amp;A54&amp;""\b""))),""尚未入住"")&gt;0,INDEX(FILTER(sublease_contract!D:D,ARRAYFORMULA(REGEXMATCH(sublease_contract!E:E,""\b""&amp;A54&amp;""\b"")),sublease_con"&amp;"tract!G:G=""尚未入住""),1),""非既有房客"")),""非既有房客""))
"),"D")</f>
        <v>D</v>
      </c>
      <c r="H54" s="227" t="s">
        <v>1610</v>
      </c>
      <c r="I54" s="228" t="str">
        <f>IFERROR(__xludf.DUMMYFUNCTION("""COMPUTED_VALUE"""),"✔ 有效身分證")</f>
        <v>✔ 有效身分證</v>
      </c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</row>
    <row r="55">
      <c r="A55" s="213" t="s">
        <v>936</v>
      </c>
      <c r="B55" s="223" t="s">
        <v>1611</v>
      </c>
      <c r="C55" s="223" t="s">
        <v>1612</v>
      </c>
      <c r="D55" s="224" t="s">
        <v>1613</v>
      </c>
      <c r="E55" s="230" t="s">
        <v>1614</v>
      </c>
      <c r="F55" s="226" t="str">
        <f>IFERROR(__xludf.DUMMYFUNCTION("IF(A55="""","""",IFERROR(IF(COUNTIF(FILTER(sublease_contract!G:G,ARRAYFORMULA(REGEXMATCH(sublease_contract!E:E,""\b""&amp;A55&amp;""\b""))),""入住中"")&gt;0,INDEX(FILTER(sublease_contract!C:C,ARRAYFORMULA(REGEXMATCH(sublease_contract!E:E,""\b""&amp;A55&amp;""\b"")),sublease_co"&amp;"ntract!G:G=""入住中""),1),IF(COUNTIF(FILTER(sublease_contract!G:G,ARRAYFORMULA(REGEXMATCH(sublease_contract!E:E,""\b""&amp;A55&amp;""\b""))),""尚未入住"")&gt;0,INDEX(FILTER(sublease_contract!C:C,ARRAYFORMULA(REGEXMATCH(sublease_contract!E:E,""\b""&amp;A55&amp;""\b"")),sublease_con"&amp;"tract!G:G=""尚未入住""),1),""非既有房客"")),""非既有房客""))
"),"南港站挑高宅")</f>
        <v>南港站挑高宅</v>
      </c>
      <c r="G55" s="226" t="str">
        <f>IFERROR(__xludf.DUMMYFUNCTION("IF(A55="""","""",IFERROR(IF(COUNTIF(FILTER(sublease_contract!G:G,ARRAYFORMULA(REGEXMATCH(sublease_contract!E:E,""\b""&amp;A55&amp;""\b""))),""入住中"")&gt;0,INDEX(FILTER(sublease_contract!D:D,ARRAYFORMULA(REGEXMATCH(sublease_contract!E:E,""\b""&amp;A55&amp;""\b"")),sublease_co"&amp;"ntract!G:G=""入住中""),1),IF(COUNTIF(FILTER(sublease_contract!G:G,ARRAYFORMULA(REGEXMATCH(sublease_contract!E:E,""\b""&amp;A55&amp;""\b""))),""尚未入住"")&gt;0,INDEX(FILTER(sublease_contract!D:D,ARRAYFORMULA(REGEXMATCH(sublease_contract!E:E,""\b""&amp;A55&amp;""\b"")),sublease_con"&amp;"tract!G:G=""尚未入住""),1),""非既有房客"")),""非既有房客""))
"),"E")</f>
        <v>E</v>
      </c>
      <c r="H55" s="227" t="s">
        <v>1615</v>
      </c>
      <c r="I55" s="228" t="str">
        <f>IFERROR(__xludf.DUMMYFUNCTION("""COMPUTED_VALUE"""),"✔ 有效身分證")</f>
        <v>✔ 有效身分證</v>
      </c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</row>
    <row r="56">
      <c r="A56" s="213" t="s">
        <v>939</v>
      </c>
      <c r="B56" s="223" t="s">
        <v>1616</v>
      </c>
      <c r="C56" s="223" t="s">
        <v>1617</v>
      </c>
      <c r="D56" s="224" t="s">
        <v>1618</v>
      </c>
      <c r="E56" s="233"/>
      <c r="F56" s="226" t="str">
        <f>IFERROR(__xludf.DUMMYFUNCTION("IF(A56="""","""",IFERROR(IF(COUNTIF(FILTER(sublease_contract!G:G,ARRAYFORMULA(REGEXMATCH(sublease_contract!E:E,""\b""&amp;A56&amp;""\b""))),""入住中"")&gt;0,INDEX(FILTER(sublease_contract!C:C,ARRAYFORMULA(REGEXMATCH(sublease_contract!E:E,""\b""&amp;A56&amp;""\b"")),sublease_co"&amp;"ntract!G:G=""入住中""),1),IF(COUNTIF(FILTER(sublease_contract!G:G,ARRAYFORMULA(REGEXMATCH(sublease_contract!E:E,""\b""&amp;A56&amp;""\b""))),""尚未入住"")&gt;0,INDEX(FILTER(sublease_contract!C:C,ARRAYFORMULA(REGEXMATCH(sublease_contract!E:E,""\b""&amp;A56&amp;""\b"")),sublease_con"&amp;"tract!G:G=""尚未入住""),1),""非既有房客"")),""非既有房客""))
"),"非既有房客")</f>
        <v>非既有房客</v>
      </c>
      <c r="G56" s="226" t="str">
        <f>IFERROR(__xludf.DUMMYFUNCTION("IF(A56="""","""",IFERROR(IF(COUNTIF(FILTER(sublease_contract!G:G,ARRAYFORMULA(REGEXMATCH(sublease_contract!E:E,""\b""&amp;A56&amp;""\b""))),""入住中"")&gt;0,INDEX(FILTER(sublease_contract!D:D,ARRAYFORMULA(REGEXMATCH(sublease_contract!E:E,""\b""&amp;A56&amp;""\b"")),sublease_co"&amp;"ntract!G:G=""入住中""),1),IF(COUNTIF(FILTER(sublease_contract!G:G,ARRAYFORMULA(REGEXMATCH(sublease_contract!E:E,""\b""&amp;A56&amp;""\b""))),""尚未入住"")&gt;0,INDEX(FILTER(sublease_contract!D:D,ARRAYFORMULA(REGEXMATCH(sublease_contract!E:E,""\b""&amp;A56&amp;""\b"")),sublease_con"&amp;"tract!G:G=""尚未入住""),1),""非既有房客"")),""非既有房客""))
"),"非既有房客")</f>
        <v>非既有房客</v>
      </c>
      <c r="H56" s="227"/>
      <c r="I56" s="228" t="str">
        <f>IFERROR(__xludf.DUMMYFUNCTION("""COMPUTED_VALUE"""),"✔ 有效身分證")</f>
        <v>✔ 有效身分證</v>
      </c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</row>
    <row r="57">
      <c r="A57" s="213" t="s">
        <v>943</v>
      </c>
      <c r="B57" s="223" t="s">
        <v>1619</v>
      </c>
      <c r="C57" s="223" t="s">
        <v>1620</v>
      </c>
      <c r="D57" s="224" t="s">
        <v>1621</v>
      </c>
      <c r="E57" s="233"/>
      <c r="F57" s="226" t="str">
        <f>IFERROR(__xludf.DUMMYFUNCTION("IF(A57="""","""",IFERROR(IF(COUNTIF(FILTER(sublease_contract!G:G,ARRAYFORMULA(REGEXMATCH(sublease_contract!E:E,""\b""&amp;A57&amp;""\b""))),""入住中"")&gt;0,INDEX(FILTER(sublease_contract!C:C,ARRAYFORMULA(REGEXMATCH(sublease_contract!E:E,""\b""&amp;A57&amp;""\b"")),sublease_co"&amp;"ntract!G:G=""入住中""),1),IF(COUNTIF(FILTER(sublease_contract!G:G,ARRAYFORMULA(REGEXMATCH(sublease_contract!E:E,""\b""&amp;A57&amp;""\b""))),""尚未入住"")&gt;0,INDEX(FILTER(sublease_contract!C:C,ARRAYFORMULA(REGEXMATCH(sublease_contract!E:E,""\b""&amp;A57&amp;""\b"")),sublease_con"&amp;"tract!G:G=""尚未入住""),1),""非既有房客"")),""非既有房客""))
"),"非既有房客")</f>
        <v>非既有房客</v>
      </c>
      <c r="G57" s="226" t="str">
        <f>IFERROR(__xludf.DUMMYFUNCTION("IF(A57="""","""",IFERROR(IF(COUNTIF(FILTER(sublease_contract!G:G,ARRAYFORMULA(REGEXMATCH(sublease_contract!E:E,""\b""&amp;A57&amp;""\b""))),""入住中"")&gt;0,INDEX(FILTER(sublease_contract!D:D,ARRAYFORMULA(REGEXMATCH(sublease_contract!E:E,""\b""&amp;A57&amp;""\b"")),sublease_co"&amp;"ntract!G:G=""入住中""),1),IF(COUNTIF(FILTER(sublease_contract!G:G,ARRAYFORMULA(REGEXMATCH(sublease_contract!E:E,""\b""&amp;A57&amp;""\b""))),""尚未入住"")&gt;0,INDEX(FILTER(sublease_contract!D:D,ARRAYFORMULA(REGEXMATCH(sublease_contract!E:E,""\b""&amp;A57&amp;""\b"")),sublease_con"&amp;"tract!G:G=""尚未入住""),1),""非既有房客"")),""非既有房客""))
"),"非既有房客")</f>
        <v>非既有房客</v>
      </c>
      <c r="H57" s="227"/>
      <c r="I57" s="228" t="str">
        <f>IFERROR(__xludf.DUMMYFUNCTION("""COMPUTED_VALUE"""),"✔ 有效身分證")</f>
        <v>✔ 有效身分證</v>
      </c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>
      <c r="A58" s="213" t="s">
        <v>949</v>
      </c>
      <c r="B58" s="223" t="s">
        <v>1622</v>
      </c>
      <c r="C58" s="80" t="s">
        <v>1623</v>
      </c>
      <c r="D58" s="232" t="s">
        <v>1624</v>
      </c>
      <c r="E58" s="245" t="s">
        <v>1625</v>
      </c>
      <c r="F58" s="226" t="str">
        <f>IFERROR(__xludf.DUMMYFUNCTION("IF(A58="""","""",IFERROR(IF(COUNTIF(FILTER(sublease_contract!G:G,ARRAYFORMULA(REGEXMATCH(sublease_contract!E:E,""\b""&amp;A58&amp;""\b""))),""入住中"")&gt;0,INDEX(FILTER(sublease_contract!C:C,ARRAYFORMULA(REGEXMATCH(sublease_contract!E:E,""\b""&amp;A58&amp;""\b"")),sublease_co"&amp;"ntract!G:G=""入住中""),1),IF(COUNTIF(FILTER(sublease_contract!G:G,ARRAYFORMULA(REGEXMATCH(sublease_contract!E:E,""\b""&amp;A58&amp;""\b""))),""尚未入住"")&gt;0,INDEX(FILTER(sublease_contract!C:C,ARRAYFORMULA(REGEXMATCH(sublease_contract!E:E,""\b""&amp;A58&amp;""\b"")),sublease_con"&amp;"tract!G:G=""尚未入住""),1),""非既有房客"")),""非既有房客""))
"),"金龍帽子先生")</f>
        <v>金龍帽子先生</v>
      </c>
      <c r="G58" s="226" t="str">
        <f>IFERROR(__xludf.DUMMYFUNCTION("IF(A58="""","""",IFERROR(IF(COUNTIF(FILTER(sublease_contract!G:G,ARRAYFORMULA(REGEXMATCH(sublease_contract!E:E,""\b""&amp;A58&amp;""\b""))),""入住中"")&gt;0,INDEX(FILTER(sublease_contract!D:D,ARRAYFORMULA(REGEXMATCH(sublease_contract!E:E,""\b""&amp;A58&amp;""\b"")),sublease_co"&amp;"ntract!G:G=""入住中""),1),IF(COUNTIF(FILTER(sublease_contract!G:G,ARRAYFORMULA(REGEXMATCH(sublease_contract!E:E,""\b""&amp;A58&amp;""\b""))),""尚未入住"")&gt;0,INDEX(FILTER(sublease_contract!D:D,ARRAYFORMULA(REGEXMATCH(sublease_contract!E:E,""\b""&amp;A58&amp;""\b"")),sublease_con"&amp;"tract!G:G=""尚未入住""),1),""非既有房客"")),""非既有房客""))
"),"A")</f>
        <v>A</v>
      </c>
      <c r="H58" s="227" t="s">
        <v>1626</v>
      </c>
      <c r="I58" s="228" t="str">
        <f>IFERROR(__xludf.DUMMYFUNCTION("""COMPUTED_VALUE"""),"✔ 有效身分證")</f>
        <v>✔ 有效身分證</v>
      </c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>
      <c r="A59" s="213" t="s">
        <v>952</v>
      </c>
      <c r="B59" s="246" t="s">
        <v>1627</v>
      </c>
      <c r="C59" s="237" t="s">
        <v>1628</v>
      </c>
      <c r="D59" s="238" t="s">
        <v>1629</v>
      </c>
      <c r="E59" s="233" t="s">
        <v>1630</v>
      </c>
      <c r="F59" s="226" t="str">
        <f>IFERROR(__xludf.DUMMYFUNCTION("IF(A59="""","""",IFERROR(IF(COUNTIF(FILTER(sublease_contract!G:G,ARRAYFORMULA(REGEXMATCH(sublease_contract!E:E,""\b""&amp;A59&amp;""\b""))),""入住中"")&gt;0,INDEX(FILTER(sublease_contract!C:C,ARRAYFORMULA(REGEXMATCH(sublease_contract!E:E,""\b""&amp;A59&amp;""\b"")),sublease_co"&amp;"ntract!G:G=""入住中""),1),IF(COUNTIF(FILTER(sublease_contract!G:G,ARRAYFORMULA(REGEXMATCH(sublease_contract!E:E,""\b""&amp;A59&amp;""\b""))),""尚未入住"")&gt;0,INDEX(FILTER(sublease_contract!C:C,ARRAYFORMULA(REGEXMATCH(sublease_contract!E:E,""\b""&amp;A59&amp;""\b"")),sublease_con"&amp;"tract!G:G=""尚未入住""),1),""非既有房客"")),""非既有房客""))
"),"金龍帽子先生")</f>
        <v>金龍帽子先生</v>
      </c>
      <c r="G59" s="226" t="str">
        <f>IFERROR(__xludf.DUMMYFUNCTION("IF(A59="""","""",IFERROR(IF(COUNTIF(FILTER(sublease_contract!G:G,ARRAYFORMULA(REGEXMATCH(sublease_contract!E:E,""\b""&amp;A59&amp;""\b""))),""入住中"")&gt;0,INDEX(FILTER(sublease_contract!D:D,ARRAYFORMULA(REGEXMATCH(sublease_contract!E:E,""\b""&amp;A59&amp;""\b"")),sublease_co"&amp;"ntract!G:G=""入住中""),1),IF(COUNTIF(FILTER(sublease_contract!G:G,ARRAYFORMULA(REGEXMATCH(sublease_contract!E:E,""\b""&amp;A59&amp;""\b""))),""尚未入住"")&gt;0,INDEX(FILTER(sublease_contract!D:D,ARRAYFORMULA(REGEXMATCH(sublease_contract!E:E,""\b""&amp;A59&amp;""\b"")),sublease_con"&amp;"tract!G:G=""尚未入住""),1),""非既有房客"")),""非既有房客""))
"),"B")</f>
        <v>B</v>
      </c>
      <c r="H59" s="227" t="s">
        <v>1531</v>
      </c>
      <c r="I59" s="228" t="str">
        <f>IFERROR(__xludf.DUMMYFUNCTION("""COMPUTED_VALUE"""),"✔ 有效身分證")</f>
        <v>✔ 有效身分證</v>
      </c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>
      <c r="A60" s="213" t="s">
        <v>956</v>
      </c>
      <c r="B60" s="223" t="s">
        <v>1631</v>
      </c>
      <c r="C60" s="223" t="s">
        <v>1632</v>
      </c>
      <c r="D60" s="224" t="s">
        <v>1633</v>
      </c>
      <c r="E60" s="225" t="s">
        <v>1634</v>
      </c>
      <c r="F60" s="226" t="str">
        <f>IFERROR(__xludf.DUMMYFUNCTION("IF(A60="""","""",IFERROR(IF(COUNTIF(FILTER(sublease_contract!G:G,ARRAYFORMULA(REGEXMATCH(sublease_contract!E:E,""\b""&amp;A60&amp;""\b""))),""入住中"")&gt;0,INDEX(FILTER(sublease_contract!C:C,ARRAYFORMULA(REGEXMATCH(sublease_contract!E:E,""\b""&amp;A60&amp;""\b"")),sublease_co"&amp;"ntract!G:G=""入住中""),1),IF(COUNTIF(FILTER(sublease_contract!G:G,ARRAYFORMULA(REGEXMATCH(sublease_contract!E:E,""\b""&amp;A60&amp;""\b""))),""尚未入住"")&gt;0,INDEX(FILTER(sublease_contract!C:C,ARRAYFORMULA(REGEXMATCH(sublease_contract!E:E,""\b""&amp;A60&amp;""\b"")),sublease_con"&amp;"tract!G:G=""尚未入住""),1),""非既有房客"")),""非既有房客""))
"),"非既有房客")</f>
        <v>非既有房客</v>
      </c>
      <c r="G60" s="226" t="str">
        <f>IFERROR(__xludf.DUMMYFUNCTION("IF(A60="""","""",IFERROR(IF(COUNTIF(FILTER(sublease_contract!G:G,ARRAYFORMULA(REGEXMATCH(sublease_contract!E:E,""\b""&amp;A60&amp;""\b""))),""入住中"")&gt;0,INDEX(FILTER(sublease_contract!D:D,ARRAYFORMULA(REGEXMATCH(sublease_contract!E:E,""\b""&amp;A60&amp;""\b"")),sublease_co"&amp;"ntract!G:G=""入住中""),1),IF(COUNTIF(FILTER(sublease_contract!G:G,ARRAYFORMULA(REGEXMATCH(sublease_contract!E:E,""\b""&amp;A60&amp;""\b""))),""尚未入住"")&gt;0,INDEX(FILTER(sublease_contract!D:D,ARRAYFORMULA(REGEXMATCH(sublease_contract!E:E,""\b""&amp;A60&amp;""\b"")),sublease_con"&amp;"tract!G:G=""尚未入住""),1),""非既有房客"")),""非既有房客""))
"),"非既有房客")</f>
        <v>非既有房客</v>
      </c>
      <c r="H60" s="227"/>
      <c r="I60" s="228" t="str">
        <f>IFERROR(__xludf.DUMMYFUNCTION("""COMPUTED_VALUE"""),"✔ 有效身分證")</f>
        <v>✔ 有效身分證</v>
      </c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>
      <c r="A61" s="213" t="s">
        <v>961</v>
      </c>
      <c r="B61" s="223" t="s">
        <v>1635</v>
      </c>
      <c r="C61" s="223" t="s">
        <v>1636</v>
      </c>
      <c r="D61" s="224" t="s">
        <v>1637</v>
      </c>
      <c r="E61" s="233"/>
      <c r="F61" s="226" t="str">
        <f>IFERROR(__xludf.DUMMYFUNCTION("IF(A61="""","""",IFERROR(IF(COUNTIF(FILTER(sublease_contract!G:G,ARRAYFORMULA(REGEXMATCH(sublease_contract!E:E,""\b""&amp;A61&amp;""\b""))),""入住中"")&gt;0,INDEX(FILTER(sublease_contract!C:C,ARRAYFORMULA(REGEXMATCH(sublease_contract!E:E,""\b""&amp;A61&amp;""\b"")),sublease_co"&amp;"ntract!G:G=""入住中""),1),IF(COUNTIF(FILTER(sublease_contract!G:G,ARRAYFORMULA(REGEXMATCH(sublease_contract!E:E,""\b""&amp;A61&amp;""\b""))),""尚未入住"")&gt;0,INDEX(FILTER(sublease_contract!C:C,ARRAYFORMULA(REGEXMATCH(sublease_contract!E:E,""\b""&amp;A61&amp;""\b"")),sublease_con"&amp;"tract!G:G=""尚未入住""),1),""非既有房客"")),""非既有房客""))
"),"非既有房客")</f>
        <v>非既有房客</v>
      </c>
      <c r="G61" s="226" t="str">
        <f>IFERROR(__xludf.DUMMYFUNCTION("IF(A61="""","""",IFERROR(IF(COUNTIF(FILTER(sublease_contract!G:G,ARRAYFORMULA(REGEXMATCH(sublease_contract!E:E,""\b""&amp;A61&amp;""\b""))),""入住中"")&gt;0,INDEX(FILTER(sublease_contract!D:D,ARRAYFORMULA(REGEXMATCH(sublease_contract!E:E,""\b""&amp;A61&amp;""\b"")),sublease_co"&amp;"ntract!G:G=""入住中""),1),IF(COUNTIF(FILTER(sublease_contract!G:G,ARRAYFORMULA(REGEXMATCH(sublease_contract!E:E,""\b""&amp;A61&amp;""\b""))),""尚未入住"")&gt;0,INDEX(FILTER(sublease_contract!D:D,ARRAYFORMULA(REGEXMATCH(sublease_contract!E:E,""\b""&amp;A61&amp;""\b"")),sublease_con"&amp;"tract!G:G=""尚未入住""),1),""非既有房客"")),""非既有房客""))
"),"非既有房客")</f>
        <v>非既有房客</v>
      </c>
      <c r="H61" s="227"/>
      <c r="I61" s="228" t="str">
        <f>IFERROR(__xludf.DUMMYFUNCTION("""COMPUTED_VALUE"""),"✔ 有效身分證")</f>
        <v>✔ 有效身分證</v>
      </c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>
      <c r="A62" s="213" t="s">
        <v>967</v>
      </c>
      <c r="B62" s="80" t="s">
        <v>1638</v>
      </c>
      <c r="C62" s="237" t="s">
        <v>1639</v>
      </c>
      <c r="D62" s="238" t="s">
        <v>1640</v>
      </c>
      <c r="E62" s="233" t="s">
        <v>1641</v>
      </c>
      <c r="F62" s="226" t="str">
        <f>IFERROR(__xludf.DUMMYFUNCTION("IF(A62="""","""",IFERROR(IF(COUNTIF(FILTER(sublease_contract!G:G,ARRAYFORMULA(REGEXMATCH(sublease_contract!E:E,""\b""&amp;A62&amp;""\b""))),""入住中"")&gt;0,INDEX(FILTER(sublease_contract!C:C,ARRAYFORMULA(REGEXMATCH(sublease_contract!E:E,""\b""&amp;A62&amp;""\b"")),sublease_co"&amp;"ntract!G:G=""入住中""),1),IF(COUNTIF(FILTER(sublease_contract!G:G,ARRAYFORMULA(REGEXMATCH(sublease_contract!E:E,""\b""&amp;A62&amp;""\b""))),""尚未入住"")&gt;0,INDEX(FILTER(sublease_contract!C:C,ARRAYFORMULA(REGEXMATCH(sublease_contract!E:E,""\b""&amp;A62&amp;""\b"")),sublease_con"&amp;"tract!G:G=""尚未入住""),1),""非既有房客"")),""非既有房客""))
"),"非既有房客")</f>
        <v>非既有房客</v>
      </c>
      <c r="G62" s="226" t="str">
        <f>IFERROR(__xludf.DUMMYFUNCTION("IF(A62="""","""",IFERROR(IF(COUNTIF(FILTER(sublease_contract!G:G,ARRAYFORMULA(REGEXMATCH(sublease_contract!E:E,""\b""&amp;A62&amp;""\b""))),""入住中"")&gt;0,INDEX(FILTER(sublease_contract!D:D,ARRAYFORMULA(REGEXMATCH(sublease_contract!E:E,""\b""&amp;A62&amp;""\b"")),sublease_co"&amp;"ntract!G:G=""入住中""),1),IF(COUNTIF(FILTER(sublease_contract!G:G,ARRAYFORMULA(REGEXMATCH(sublease_contract!E:E,""\b""&amp;A62&amp;""\b""))),""尚未入住"")&gt;0,INDEX(FILTER(sublease_contract!D:D,ARRAYFORMULA(REGEXMATCH(sublease_contract!E:E,""\b""&amp;A62&amp;""\b"")),sublease_con"&amp;"tract!G:G=""尚未入住""),1),""非既有房客"")),""非既有房客""))
"),"非既有房客")</f>
        <v>非既有房客</v>
      </c>
      <c r="H62" s="227"/>
      <c r="I62" s="234" t="str">
        <f>IFERROR(__xludf.DUMMYFUNCTION("""COMPUTED_VALUE"""),"✔ 有效身分證")</f>
        <v>✔ 有效身分證</v>
      </c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</row>
    <row r="63">
      <c r="A63" s="213" t="s">
        <v>971</v>
      </c>
      <c r="B63" s="223" t="s">
        <v>1642</v>
      </c>
      <c r="C63" s="223" t="s">
        <v>1643</v>
      </c>
      <c r="D63" s="224" t="s">
        <v>1644</v>
      </c>
      <c r="E63" s="230" t="s">
        <v>1645</v>
      </c>
      <c r="F63" s="226" t="str">
        <f>IFERROR(__xludf.DUMMYFUNCTION("IF(A63="""","""",IFERROR(IF(COUNTIF(FILTER(sublease_contract!G:G,ARRAYFORMULA(REGEXMATCH(sublease_contract!E:E,""\b""&amp;A63&amp;""\b""))),""入住中"")&gt;0,INDEX(FILTER(sublease_contract!C:C,ARRAYFORMULA(REGEXMATCH(sublease_contract!E:E,""\b""&amp;A63&amp;""\b"")),sublease_co"&amp;"ntract!G:G=""入住中""),1),IF(COUNTIF(FILTER(sublease_contract!G:G,ARRAYFORMULA(REGEXMATCH(sublease_contract!E:E,""\b""&amp;A63&amp;""\b""))),""尚未入住"")&gt;0,INDEX(FILTER(sublease_contract!C:C,ARRAYFORMULA(REGEXMATCH(sublease_contract!E:E,""\b""&amp;A63&amp;""\b"")),sublease_con"&amp;"tract!G:G=""尚未入住""),1),""非既有房客"")),""非既有房客""))
"),"非既有房客")</f>
        <v>非既有房客</v>
      </c>
      <c r="G63" s="226" t="str">
        <f>IFERROR(__xludf.DUMMYFUNCTION("IF(A63="""","""",IFERROR(IF(COUNTIF(FILTER(sublease_contract!G:G,ARRAYFORMULA(REGEXMATCH(sublease_contract!E:E,""\b""&amp;A63&amp;""\b""))),""入住中"")&gt;0,INDEX(FILTER(sublease_contract!D:D,ARRAYFORMULA(REGEXMATCH(sublease_contract!E:E,""\b""&amp;A63&amp;""\b"")),sublease_co"&amp;"ntract!G:G=""入住中""),1),IF(COUNTIF(FILTER(sublease_contract!G:G,ARRAYFORMULA(REGEXMATCH(sublease_contract!E:E,""\b""&amp;A63&amp;""\b""))),""尚未入住"")&gt;0,INDEX(FILTER(sublease_contract!D:D,ARRAYFORMULA(REGEXMATCH(sublease_contract!E:E,""\b""&amp;A63&amp;""\b"")),sublease_con"&amp;"tract!G:G=""尚未入住""),1),""非既有房客"")),""非既有房客""))
"),"非既有房客")</f>
        <v>非既有房客</v>
      </c>
      <c r="H63" s="227" t="s">
        <v>1646</v>
      </c>
      <c r="I63" s="239" t="str">
        <f>IFERROR(__xludf.DUMMYFUNCTION("""COMPUTED_VALUE"""),"✔ 有效身分證")</f>
        <v>✔ 有效身分證</v>
      </c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</row>
    <row r="64">
      <c r="A64" s="213" t="s">
        <v>1647</v>
      </c>
      <c r="B64" s="223" t="s">
        <v>1648</v>
      </c>
      <c r="C64" s="223" t="s">
        <v>1649</v>
      </c>
      <c r="D64" s="224" t="s">
        <v>1650</v>
      </c>
      <c r="E64" s="225" t="s">
        <v>1651</v>
      </c>
      <c r="F64" s="226" t="str">
        <f>IFERROR(__xludf.DUMMYFUNCTION("IF(A64="""","""",IFERROR(IF(COUNTIF(FILTER(sublease_contract!G:G,ARRAYFORMULA(REGEXMATCH(sublease_contract!E:E,""\b""&amp;A64&amp;""\b""))),""入住中"")&gt;0,INDEX(FILTER(sublease_contract!C:C,ARRAYFORMULA(REGEXMATCH(sublease_contract!E:E,""\b""&amp;A64&amp;""\b"")),sublease_co"&amp;"ntract!G:G=""入住中""),1),IF(COUNTIF(FILTER(sublease_contract!G:G,ARRAYFORMULA(REGEXMATCH(sublease_contract!E:E,""\b""&amp;A64&amp;""\b""))),""尚未入住"")&gt;0,INDEX(FILTER(sublease_contract!C:C,ARRAYFORMULA(REGEXMATCH(sublease_contract!E:E,""\b""&amp;A64&amp;""\b"")),sublease_con"&amp;"tract!G:G=""尚未入住""),1),""非既有房客"")),""非既有房客""))
"),"景安2分鐘")</f>
        <v>景安2分鐘</v>
      </c>
      <c r="G64" s="226" t="str">
        <f>IFERROR(__xludf.DUMMYFUNCTION("IF(A64="""","""",IFERROR(IF(COUNTIF(FILTER(sublease_contract!G:G,ARRAYFORMULA(REGEXMATCH(sublease_contract!E:E,""\b""&amp;A64&amp;""\b""))),""入住中"")&gt;0,INDEX(FILTER(sublease_contract!D:D,ARRAYFORMULA(REGEXMATCH(sublease_contract!E:E,""\b""&amp;A64&amp;""\b"")),sublease_co"&amp;"ntract!G:G=""入住中""),1),IF(COUNTIF(FILTER(sublease_contract!G:G,ARRAYFORMULA(REGEXMATCH(sublease_contract!E:E,""\b""&amp;A64&amp;""\b""))),""尚未入住"")&gt;0,INDEX(FILTER(sublease_contract!D:D,ARRAYFORMULA(REGEXMATCH(sublease_contract!E:E,""\b""&amp;A64&amp;""\b"")),sublease_con"&amp;"tract!G:G=""尚未入住""),1),""非既有房客"")),""非既有房客""))
"),"B")</f>
        <v>B</v>
      </c>
      <c r="H64" s="227" t="s">
        <v>1409</v>
      </c>
      <c r="I64" s="228" t="str">
        <f>IFERROR(__xludf.DUMMYFUNCTION("""COMPUTED_VALUE"""),"✔ 有效身分證")</f>
        <v>✔ 有效身分證</v>
      </c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>
      <c r="A65" s="213" t="s">
        <v>980</v>
      </c>
      <c r="B65" s="223" t="s">
        <v>1652</v>
      </c>
      <c r="C65" s="223" t="s">
        <v>1653</v>
      </c>
      <c r="D65" s="224" t="s">
        <v>1654</v>
      </c>
      <c r="E65" s="230" t="s">
        <v>1655</v>
      </c>
      <c r="F65" s="226" t="str">
        <f>IFERROR(__xludf.DUMMYFUNCTION("IF(A65="""","""",IFERROR(IF(COUNTIF(FILTER(sublease_contract!G:G,ARRAYFORMULA(REGEXMATCH(sublease_contract!E:E,""\b""&amp;A65&amp;""\b""))),""入住中"")&gt;0,INDEX(FILTER(sublease_contract!C:C,ARRAYFORMULA(REGEXMATCH(sublease_contract!E:E,""\b""&amp;A65&amp;""\b"")),sublease_co"&amp;"ntract!G:G=""入住中""),1),IF(COUNTIF(FILTER(sublease_contract!G:G,ARRAYFORMULA(REGEXMATCH(sublease_contract!E:E,""\b""&amp;A65&amp;""\b""))),""尚未入住"")&gt;0,INDEX(FILTER(sublease_contract!C:C,ARRAYFORMULA(REGEXMATCH(sublease_contract!E:E,""\b""&amp;A65&amp;""\b"")),sublease_con"&amp;"tract!G:G=""尚未入住""),1),""非既有房客"")),""非既有房客""))
"),"非既有房客")</f>
        <v>非既有房客</v>
      </c>
      <c r="G65" s="226" t="str">
        <f>IFERROR(__xludf.DUMMYFUNCTION("IF(A65="""","""",IFERROR(IF(COUNTIF(FILTER(sublease_contract!G:G,ARRAYFORMULA(REGEXMATCH(sublease_contract!E:E,""\b""&amp;A65&amp;""\b""))),""入住中"")&gt;0,INDEX(FILTER(sublease_contract!D:D,ARRAYFORMULA(REGEXMATCH(sublease_contract!E:E,""\b""&amp;A65&amp;""\b"")),sublease_co"&amp;"ntract!G:G=""入住中""),1),IF(COUNTIF(FILTER(sublease_contract!G:G,ARRAYFORMULA(REGEXMATCH(sublease_contract!E:E,""\b""&amp;A65&amp;""\b""))),""尚未入住"")&gt;0,INDEX(FILTER(sublease_contract!D:D,ARRAYFORMULA(REGEXMATCH(sublease_contract!E:E,""\b""&amp;A65&amp;""\b"")),sublease_con"&amp;"tract!G:G=""尚未入住""),1),""非既有房客"")),""非既有房客""))
"),"非既有房客")</f>
        <v>非既有房客</v>
      </c>
      <c r="H65" s="227" t="s">
        <v>1615</v>
      </c>
      <c r="I65" s="228" t="str">
        <f>IFERROR(__xludf.DUMMYFUNCTION("""COMPUTED_VALUE"""),"✔ 有效身分證")</f>
        <v>✔ 有效身分證</v>
      </c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>
      <c r="A66" s="212" t="s">
        <v>985</v>
      </c>
      <c r="B66" s="223" t="s">
        <v>1656</v>
      </c>
      <c r="C66" s="223" t="s">
        <v>1657</v>
      </c>
      <c r="D66" s="224" t="s">
        <v>1658</v>
      </c>
      <c r="E66" s="225" t="s">
        <v>1659</v>
      </c>
      <c r="F66" s="226" t="str">
        <f>IFERROR(__xludf.DUMMYFUNCTION("IF(A66="""","""",IFERROR(IF(COUNTIF(FILTER(sublease_contract!G:G,ARRAYFORMULA(REGEXMATCH(sublease_contract!E:E,""\b""&amp;A66&amp;""\b""))),""入住中"")&gt;0,INDEX(FILTER(sublease_contract!C:C,ARRAYFORMULA(REGEXMATCH(sublease_contract!E:E,""\b""&amp;A66&amp;""\b"")),sublease_co"&amp;"ntract!G:G=""入住中""),1),IF(COUNTIF(FILTER(sublease_contract!G:G,ARRAYFORMULA(REGEXMATCH(sublease_contract!E:E,""\b""&amp;A66&amp;""\b""))),""尚未入住"")&gt;0,INDEX(FILTER(sublease_contract!C:C,ARRAYFORMULA(REGEXMATCH(sublease_contract!E:E,""\b""&amp;A66&amp;""\b"")),sublease_con"&amp;"tract!G:G=""尚未入住""),1),""非既有房客"")),""非既有房客""))
"),"景安2分鐘")</f>
        <v>景安2分鐘</v>
      </c>
      <c r="G66" s="226" t="str">
        <f>IFERROR(__xludf.DUMMYFUNCTION("IF(A66="""","""",IFERROR(IF(COUNTIF(FILTER(sublease_contract!G:G,ARRAYFORMULA(REGEXMATCH(sublease_contract!E:E,""\b""&amp;A66&amp;""\b""))),""入住中"")&gt;0,INDEX(FILTER(sublease_contract!D:D,ARRAYFORMULA(REGEXMATCH(sublease_contract!E:E,""\b""&amp;A66&amp;""\b"")),sublease_co"&amp;"ntract!G:G=""入住中""),1),IF(COUNTIF(FILTER(sublease_contract!G:G,ARRAYFORMULA(REGEXMATCH(sublease_contract!E:E,""\b""&amp;A66&amp;""\b""))),""尚未入住"")&gt;0,INDEX(FILTER(sublease_contract!D:D,ARRAYFORMULA(REGEXMATCH(sublease_contract!E:E,""\b""&amp;A66&amp;""\b"")),sublease_con"&amp;"tract!G:G=""尚未入住""),1),""非既有房客"")),""非既有房客""))
"),"D")</f>
        <v>D</v>
      </c>
      <c r="H66" s="227" t="s">
        <v>1615</v>
      </c>
      <c r="I66" s="239" t="str">
        <f>IFERROR(__xludf.DUMMYFUNCTION("""COMPUTED_VALUE"""),"✔ 有效身分證")</f>
        <v>✔ 有效身分證</v>
      </c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</row>
    <row r="67">
      <c r="A67" s="213" t="s">
        <v>990</v>
      </c>
      <c r="B67" s="223" t="s">
        <v>1660</v>
      </c>
      <c r="C67" s="223" t="s">
        <v>1661</v>
      </c>
      <c r="D67" s="224" t="s">
        <v>1662</v>
      </c>
      <c r="E67" s="225" t="s">
        <v>1663</v>
      </c>
      <c r="F67" s="226" t="str">
        <f>IFERROR(__xludf.DUMMYFUNCTION("IF(A67="""","""",IFERROR(IF(COUNTIF(FILTER(sublease_contract!G:G,ARRAYFORMULA(REGEXMATCH(sublease_contract!E:E,""\b""&amp;A67&amp;""\b""))),""入住中"")&gt;0,INDEX(FILTER(sublease_contract!C:C,ARRAYFORMULA(REGEXMATCH(sublease_contract!E:E,""\b""&amp;A67&amp;""\b"")),sublease_co"&amp;"ntract!G:G=""入住中""),1),IF(COUNTIF(FILTER(sublease_contract!G:G,ARRAYFORMULA(REGEXMATCH(sublease_contract!E:E,""\b""&amp;A67&amp;""\b""))),""尚未入住"")&gt;0,INDEX(FILTER(sublease_contract!C:C,ARRAYFORMULA(REGEXMATCH(sublease_contract!E:E,""\b""&amp;A67&amp;""\b"")),sublease_con"&amp;"tract!G:G=""尚未入住""),1),""非既有房客"")),""非既有房客""))
"),"非既有房客")</f>
        <v>非既有房客</v>
      </c>
      <c r="G67" s="226" t="str">
        <f>IFERROR(__xludf.DUMMYFUNCTION("IF(A67="""","""",IFERROR(IF(COUNTIF(FILTER(sublease_contract!G:G,ARRAYFORMULA(REGEXMATCH(sublease_contract!E:E,""\b""&amp;A67&amp;""\b""))),""入住中"")&gt;0,INDEX(FILTER(sublease_contract!D:D,ARRAYFORMULA(REGEXMATCH(sublease_contract!E:E,""\b""&amp;A67&amp;""\b"")),sublease_co"&amp;"ntract!G:G=""入住中""),1),IF(COUNTIF(FILTER(sublease_contract!G:G,ARRAYFORMULA(REGEXMATCH(sublease_contract!E:E,""\b""&amp;A67&amp;""\b""))),""尚未入住"")&gt;0,INDEX(FILTER(sublease_contract!D:D,ARRAYFORMULA(REGEXMATCH(sublease_contract!E:E,""\b""&amp;A67&amp;""\b"")),sublease_con"&amp;"tract!G:G=""尚未入住""),1),""非既有房客"")),""非既有房客""))
"),"非既有房客")</f>
        <v>非既有房客</v>
      </c>
      <c r="H67" s="227"/>
      <c r="I67" s="228" t="str">
        <f>IFERROR(__xludf.DUMMYFUNCTION("""COMPUTED_VALUE"""),"❌ 無效身分證")</f>
        <v>❌ 無效身分證</v>
      </c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>
      <c r="A68" s="213" t="s">
        <v>994</v>
      </c>
      <c r="B68" s="223" t="s">
        <v>1664</v>
      </c>
      <c r="C68" s="237" t="s">
        <v>1665</v>
      </c>
      <c r="D68" s="238" t="s">
        <v>1666</v>
      </c>
      <c r="E68" s="233" t="s">
        <v>1667</v>
      </c>
      <c r="F68" s="226" t="str">
        <f>IFERROR(__xludf.DUMMYFUNCTION("IF(A68="""","""",IFERROR(IF(COUNTIF(FILTER(sublease_contract!G:G,ARRAYFORMULA(REGEXMATCH(sublease_contract!E:E,""\b""&amp;A68&amp;""\b""))),""入住中"")&gt;0,INDEX(FILTER(sublease_contract!C:C,ARRAYFORMULA(REGEXMATCH(sublease_contract!E:E,""\b""&amp;A68&amp;""\b"")),sublease_co"&amp;"ntract!G:G=""入住中""),1),IF(COUNTIF(FILTER(sublease_contract!G:G,ARRAYFORMULA(REGEXMATCH(sublease_contract!E:E,""\b""&amp;A68&amp;""\b""))),""尚未入住"")&gt;0,INDEX(FILTER(sublease_contract!C:C,ARRAYFORMULA(REGEXMATCH(sublease_contract!E:E,""\b""&amp;A68&amp;""\b"")),sublease_con"&amp;"tract!G:G=""尚未入住""),1),""非既有房客"")),""非既有房客""))
"),"中山北娘家旁")</f>
        <v>中山北娘家旁</v>
      </c>
      <c r="G68" s="226" t="str">
        <f>IFERROR(__xludf.DUMMYFUNCTION("IF(A68="""","""",IFERROR(IF(COUNTIF(FILTER(sublease_contract!G:G,ARRAYFORMULA(REGEXMATCH(sublease_contract!E:E,""\b""&amp;A68&amp;""\b""))),""入住中"")&gt;0,INDEX(FILTER(sublease_contract!D:D,ARRAYFORMULA(REGEXMATCH(sublease_contract!E:E,""\b""&amp;A68&amp;""\b"")),sublease_co"&amp;"ntract!G:G=""入住中""),1),IF(COUNTIF(FILTER(sublease_contract!G:G,ARRAYFORMULA(REGEXMATCH(sublease_contract!E:E,""\b""&amp;A68&amp;""\b""))),""尚未入住"")&gt;0,INDEX(FILTER(sublease_contract!D:D,ARRAYFORMULA(REGEXMATCH(sublease_contract!E:E,""\b""&amp;A68&amp;""\b"")),sublease_con"&amp;"tract!G:G=""尚未入住""),1),""非既有房客"")),""非既有房客""))
"),"A")</f>
        <v>A</v>
      </c>
      <c r="H68" s="227" t="s">
        <v>1615</v>
      </c>
      <c r="I68" s="228" t="str">
        <f>IFERROR(__xludf.DUMMYFUNCTION("""COMPUTED_VALUE"""),"✔ 有效身分證")</f>
        <v>✔ 有效身分證</v>
      </c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>
      <c r="A69" s="213" t="s">
        <v>998</v>
      </c>
      <c r="B69" s="223" t="s">
        <v>1668</v>
      </c>
      <c r="C69" s="237" t="s">
        <v>1669</v>
      </c>
      <c r="D69" s="238">
        <f>447380226606</f>
        <v>447380226606</v>
      </c>
      <c r="E69" s="233" t="s">
        <v>1670</v>
      </c>
      <c r="F69" s="226" t="str">
        <f>IFERROR(__xludf.DUMMYFUNCTION("IF(A69="""","""",IFERROR(IF(COUNTIF(FILTER(sublease_contract!G:G,ARRAYFORMULA(REGEXMATCH(sublease_contract!E:E,""\b""&amp;A69&amp;""\b""))),""入住中"")&gt;0,INDEX(FILTER(sublease_contract!C:C,ARRAYFORMULA(REGEXMATCH(sublease_contract!E:E,""\b""&amp;A69&amp;""\b"")),sublease_co"&amp;"ntract!G:G=""入住中""),1),IF(COUNTIF(FILTER(sublease_contract!G:G,ARRAYFORMULA(REGEXMATCH(sublease_contract!E:E,""\b""&amp;A69&amp;""\b""))),""尚未入住"")&gt;0,INDEX(FILTER(sublease_contract!C:C,ARRAYFORMULA(REGEXMATCH(sublease_contract!E:E,""\b""&amp;A69&amp;""\b"")),sublease_con"&amp;"tract!G:G=""尚未入住""),1),""非既有房客"")),""非既有房客""))
"),"非既有房客")</f>
        <v>非既有房客</v>
      </c>
      <c r="G69" s="226" t="str">
        <f>IFERROR(__xludf.DUMMYFUNCTION("IF(A69="""","""",IFERROR(IF(COUNTIF(FILTER(sublease_contract!G:G,ARRAYFORMULA(REGEXMATCH(sublease_contract!E:E,""\b""&amp;A69&amp;""\b""))),""入住中"")&gt;0,INDEX(FILTER(sublease_contract!D:D,ARRAYFORMULA(REGEXMATCH(sublease_contract!E:E,""\b""&amp;A69&amp;""\b"")),sublease_co"&amp;"ntract!G:G=""入住中""),1),IF(COUNTIF(FILTER(sublease_contract!G:G,ARRAYFORMULA(REGEXMATCH(sublease_contract!E:E,""\b""&amp;A69&amp;""\b""))),""尚未入住"")&gt;0,INDEX(FILTER(sublease_contract!D:D,ARRAYFORMULA(REGEXMATCH(sublease_contract!E:E,""\b""&amp;A69&amp;""\b"")),sublease_con"&amp;"tract!G:G=""尚未入住""),1),""非既有房客"")),""非既有房客""))
"),"非既有房客")</f>
        <v>非既有房客</v>
      </c>
      <c r="H69" s="227"/>
      <c r="I69" s="228" t="str">
        <f>IFERROR(__xludf.DUMMYFUNCTION("""COMPUTED_VALUE"""),"❌ 無效身分證")</f>
        <v>❌ 無效身分證</v>
      </c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>
      <c r="A70" s="213" t="s">
        <v>1002</v>
      </c>
      <c r="B70" s="223" t="s">
        <v>1671</v>
      </c>
      <c r="C70" s="237" t="s">
        <v>1672</v>
      </c>
      <c r="D70" s="238" t="s">
        <v>1673</v>
      </c>
      <c r="E70" s="236" t="s">
        <v>1674</v>
      </c>
      <c r="F70" s="226" t="str">
        <f>IFERROR(__xludf.DUMMYFUNCTION("IF(A70="""","""",IFERROR(IF(COUNTIF(FILTER(sublease_contract!G:G,ARRAYFORMULA(REGEXMATCH(sublease_contract!E:E,""\b""&amp;A70&amp;""\b""))),""入住中"")&gt;0,INDEX(FILTER(sublease_contract!C:C,ARRAYFORMULA(REGEXMATCH(sublease_contract!E:E,""\b""&amp;A70&amp;""\b"")),sublease_co"&amp;"ntract!G:G=""入住中""),1),IF(COUNTIF(FILTER(sublease_contract!G:G,ARRAYFORMULA(REGEXMATCH(sublease_contract!E:E,""\b""&amp;A70&amp;""\b""))),""尚未入住"")&gt;0,INDEX(FILTER(sublease_contract!C:C,ARRAYFORMULA(REGEXMATCH(sublease_contract!E:E,""\b""&amp;A70&amp;""\b"")),sublease_con"&amp;"tract!G:G=""尚未入住""),1),""非既有房客"")),""非既有房客""))
"),"中山北娘家旁")</f>
        <v>中山北娘家旁</v>
      </c>
      <c r="G70" s="226" t="str">
        <f>IFERROR(__xludf.DUMMYFUNCTION("IF(A70="""","""",IFERROR(IF(COUNTIF(FILTER(sublease_contract!G:G,ARRAYFORMULA(REGEXMATCH(sublease_contract!E:E,""\b""&amp;A70&amp;""\b""))),""入住中"")&gt;0,INDEX(FILTER(sublease_contract!D:D,ARRAYFORMULA(REGEXMATCH(sublease_contract!E:E,""\b""&amp;A70&amp;""\b"")),sublease_co"&amp;"ntract!G:G=""入住中""),1),IF(COUNTIF(FILTER(sublease_contract!G:G,ARRAYFORMULA(REGEXMATCH(sublease_contract!E:E,""\b""&amp;A70&amp;""\b""))),""尚未入住"")&gt;0,INDEX(FILTER(sublease_contract!D:D,ARRAYFORMULA(REGEXMATCH(sublease_contract!E:E,""\b""&amp;A70&amp;""\b"")),sublease_con"&amp;"tract!G:G=""尚未入住""),1),""非既有房客"")),""非既有房客""))
"),"C")</f>
        <v>C</v>
      </c>
      <c r="H70" s="227" t="s">
        <v>1675</v>
      </c>
      <c r="I70" s="228" t="str">
        <f>IFERROR(__xludf.DUMMYFUNCTION("""COMPUTED_VALUE"""),"✔ 有效身分證")</f>
        <v>✔ 有效身分證</v>
      </c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>
      <c r="A71" s="213" t="s">
        <v>1006</v>
      </c>
      <c r="B71" s="223" t="s">
        <v>1676</v>
      </c>
      <c r="C71" s="237" t="s">
        <v>1677</v>
      </c>
      <c r="D71" s="238" t="s">
        <v>1678</v>
      </c>
      <c r="E71" s="233" t="s">
        <v>1679</v>
      </c>
      <c r="F71" s="226" t="str">
        <f>IFERROR(__xludf.DUMMYFUNCTION("IF(A71="""","""",IFERROR(IF(COUNTIF(FILTER(sublease_contract!G:G,ARRAYFORMULA(REGEXMATCH(sublease_contract!E:E,""\b""&amp;A71&amp;""\b""))),""入住中"")&gt;0,INDEX(FILTER(sublease_contract!C:C,ARRAYFORMULA(REGEXMATCH(sublease_contract!E:E,""\b""&amp;A71&amp;""\b"")),sublease_co"&amp;"ntract!G:G=""入住中""),1),IF(COUNTIF(FILTER(sublease_contract!G:G,ARRAYFORMULA(REGEXMATCH(sublease_contract!E:E,""\b""&amp;A71&amp;""\b""))),""尚未入住"")&gt;0,INDEX(FILTER(sublease_contract!C:C,ARRAYFORMULA(REGEXMATCH(sublease_contract!E:E,""\b""&amp;A71&amp;""\b"")),sublease_con"&amp;"tract!G:G=""尚未入住""),1),""非既有房客"")),""非既有房客""))
"),"非既有房客")</f>
        <v>非既有房客</v>
      </c>
      <c r="G71" s="226" t="str">
        <f>IFERROR(__xludf.DUMMYFUNCTION("IF(A71="""","""",IFERROR(IF(COUNTIF(FILTER(sublease_contract!G:G,ARRAYFORMULA(REGEXMATCH(sublease_contract!E:E,""\b""&amp;A71&amp;""\b""))),""入住中"")&gt;0,INDEX(FILTER(sublease_contract!D:D,ARRAYFORMULA(REGEXMATCH(sublease_contract!E:E,""\b""&amp;A71&amp;""\b"")),sublease_co"&amp;"ntract!G:G=""入住中""),1),IF(COUNTIF(FILTER(sublease_contract!G:G,ARRAYFORMULA(REGEXMATCH(sublease_contract!E:E,""\b""&amp;A71&amp;""\b""))),""尚未入住"")&gt;0,INDEX(FILTER(sublease_contract!D:D,ARRAYFORMULA(REGEXMATCH(sublease_contract!E:E,""\b""&amp;A71&amp;""\b"")),sublease_con"&amp;"tract!G:G=""尚未入住""),1),""非既有房客"")),""非既有房客""))
"),"非既有房客")</f>
        <v>非既有房客</v>
      </c>
      <c r="H71" s="227"/>
      <c r="I71" s="228" t="str">
        <f>IFERROR(__xludf.DUMMYFUNCTION("""COMPUTED_VALUE"""),"✔ 有效身分證")</f>
        <v>✔ 有效身分證</v>
      </c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>
      <c r="A72" s="213" t="s">
        <v>1010</v>
      </c>
      <c r="B72" s="223" t="s">
        <v>1680</v>
      </c>
      <c r="C72" s="237" t="s">
        <v>1681</v>
      </c>
      <c r="D72" s="238" t="s">
        <v>1682</v>
      </c>
      <c r="E72" s="236" t="s">
        <v>1683</v>
      </c>
      <c r="F72" s="226" t="str">
        <f>IFERROR(__xludf.DUMMYFUNCTION("IF(A72="""","""",IFERROR(IF(COUNTIF(FILTER(sublease_contract!G:G,ARRAYFORMULA(REGEXMATCH(sublease_contract!E:E,""\b""&amp;A72&amp;""\b""))),""入住中"")&gt;0,INDEX(FILTER(sublease_contract!C:C,ARRAYFORMULA(REGEXMATCH(sublease_contract!E:E,""\b""&amp;A72&amp;""\b"")),sublease_co"&amp;"ntract!G:G=""入住中""),1),IF(COUNTIF(FILTER(sublease_contract!G:G,ARRAYFORMULA(REGEXMATCH(sublease_contract!E:E,""\b""&amp;A72&amp;""\b""))),""尚未入住"")&gt;0,INDEX(FILTER(sublease_contract!C:C,ARRAYFORMULA(REGEXMATCH(sublease_contract!E:E,""\b""&amp;A72&amp;""\b"")),sublease_con"&amp;"tract!G:G=""尚未入住""),1),""非既有房客"")),""非既有房客""))
"),"行天宮夏野良栗")</f>
        <v>行天宮夏野良栗</v>
      </c>
      <c r="G72" s="226" t="str">
        <f>IFERROR(__xludf.DUMMYFUNCTION("IF(A72="""","""",IFERROR(IF(COUNTIF(FILTER(sublease_contract!G:G,ARRAYFORMULA(REGEXMATCH(sublease_contract!E:E,""\b""&amp;A72&amp;""\b""))),""入住中"")&gt;0,INDEX(FILTER(sublease_contract!D:D,ARRAYFORMULA(REGEXMATCH(sublease_contract!E:E,""\b""&amp;A72&amp;""\b"")),sublease_co"&amp;"ntract!G:G=""入住中""),1),IF(COUNTIF(FILTER(sublease_contract!G:G,ARRAYFORMULA(REGEXMATCH(sublease_contract!E:E,""\b""&amp;A72&amp;""\b""))),""尚未入住"")&gt;0,INDEX(FILTER(sublease_contract!D:D,ARRAYFORMULA(REGEXMATCH(sublease_contract!E:E,""\b""&amp;A72&amp;""\b"")),sublease_con"&amp;"tract!G:G=""尚未入住""),1),""非既有房客"")),""非既有房客""))
"),"A")</f>
        <v>A</v>
      </c>
      <c r="H72" s="227" t="s">
        <v>1675</v>
      </c>
      <c r="I72" s="239" t="str">
        <f>IFERROR(__xludf.DUMMYFUNCTION("""COMPUTED_VALUE"""),"✔ 有效身分證")</f>
        <v>✔ 有效身分證</v>
      </c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</row>
    <row r="73">
      <c r="A73" s="213" t="s">
        <v>1014</v>
      </c>
      <c r="B73" s="223" t="s">
        <v>1684</v>
      </c>
      <c r="C73" s="237" t="s">
        <v>1685</v>
      </c>
      <c r="D73" s="238" t="s">
        <v>1686</v>
      </c>
      <c r="E73" s="233" t="s">
        <v>1687</v>
      </c>
      <c r="F73" s="226" t="str">
        <f>IFERROR(__xludf.DUMMYFUNCTION("IF(A73="""","""",IFERROR(IF(COUNTIF(FILTER(sublease_contract!G:G,ARRAYFORMULA(REGEXMATCH(sublease_contract!E:E,""\b""&amp;A73&amp;""\b""))),""入住中"")&gt;0,INDEX(FILTER(sublease_contract!C:C,ARRAYFORMULA(REGEXMATCH(sublease_contract!E:E,""\b""&amp;A73&amp;""\b"")),sublease_co"&amp;"ntract!G:G=""入住中""),1),IF(COUNTIF(FILTER(sublease_contract!G:G,ARRAYFORMULA(REGEXMATCH(sublease_contract!E:E,""\b""&amp;A73&amp;""\b""))),""尚未入住"")&gt;0,INDEX(FILTER(sublease_contract!C:C,ARRAYFORMULA(REGEXMATCH(sublease_contract!E:E,""\b""&amp;A73&amp;""\b"")),sublease_con"&amp;"tract!G:G=""尚未入住""),1),""非既有房客"")),""非既有房客""))
"),"行天宮夏野良栗")</f>
        <v>行天宮夏野良栗</v>
      </c>
      <c r="G73" s="226" t="str">
        <f>IFERROR(__xludf.DUMMYFUNCTION("IF(A73="""","""",IFERROR(IF(COUNTIF(FILTER(sublease_contract!G:G,ARRAYFORMULA(REGEXMATCH(sublease_contract!E:E,""\b""&amp;A73&amp;""\b""))),""入住中"")&gt;0,INDEX(FILTER(sublease_contract!D:D,ARRAYFORMULA(REGEXMATCH(sublease_contract!E:E,""\b""&amp;A73&amp;""\b"")),sublease_co"&amp;"ntract!G:G=""入住中""),1),IF(COUNTIF(FILTER(sublease_contract!G:G,ARRAYFORMULA(REGEXMATCH(sublease_contract!E:E,""\b""&amp;A73&amp;""\b""))),""尚未入住"")&gt;0,INDEX(FILTER(sublease_contract!D:D,ARRAYFORMULA(REGEXMATCH(sublease_contract!E:E,""\b""&amp;A73&amp;""\b"")),sublease_con"&amp;"tract!G:G=""尚未入住""),1),""非既有房客"")),""非既有房客""))
"),"B")</f>
        <v>B</v>
      </c>
      <c r="H73" s="227" t="s">
        <v>1688</v>
      </c>
      <c r="I73" s="239" t="str">
        <f>IFERROR(__xludf.DUMMYFUNCTION("""COMPUTED_VALUE"""),"✔ 有效身分證")</f>
        <v>✔ 有效身分證</v>
      </c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</row>
    <row r="74">
      <c r="A74" s="213" t="s">
        <v>1017</v>
      </c>
      <c r="B74" s="223" t="s">
        <v>1689</v>
      </c>
      <c r="C74" s="237" t="s">
        <v>1690</v>
      </c>
      <c r="D74" s="238" t="s">
        <v>1691</v>
      </c>
      <c r="E74" s="233" t="s">
        <v>1692</v>
      </c>
      <c r="F74" s="226" t="str">
        <f>IFERROR(__xludf.DUMMYFUNCTION("IF(A74="""","""",IFERROR(IF(COUNTIF(FILTER(sublease_contract!G:G,ARRAYFORMULA(REGEXMATCH(sublease_contract!E:E,""\b""&amp;A74&amp;""\b""))),""入住中"")&gt;0,INDEX(FILTER(sublease_contract!C:C,ARRAYFORMULA(REGEXMATCH(sublease_contract!E:E,""\b""&amp;A74&amp;""\b"")),sublease_co"&amp;"ntract!G:G=""入住中""),1),IF(COUNTIF(FILTER(sublease_contract!G:G,ARRAYFORMULA(REGEXMATCH(sublease_contract!E:E,""\b""&amp;A74&amp;""\b""))),""尚未入住"")&gt;0,INDEX(FILTER(sublease_contract!C:C,ARRAYFORMULA(REGEXMATCH(sublease_contract!E:E,""\b""&amp;A74&amp;""\b"")),sublease_con"&amp;"tract!G:G=""尚未入住""),1),""非既有房客"")),""非既有房客""))
"),"行天宮夏野良栗")</f>
        <v>行天宮夏野良栗</v>
      </c>
      <c r="G74" s="226" t="str">
        <f>IFERROR(__xludf.DUMMYFUNCTION("IF(A74="""","""",IFERROR(IF(COUNTIF(FILTER(sublease_contract!G:G,ARRAYFORMULA(REGEXMATCH(sublease_contract!E:E,""\b""&amp;A74&amp;""\b""))),""入住中"")&gt;0,INDEX(FILTER(sublease_contract!D:D,ARRAYFORMULA(REGEXMATCH(sublease_contract!E:E,""\b""&amp;A74&amp;""\b"")),sublease_co"&amp;"ntract!G:G=""入住中""),1),IF(COUNTIF(FILTER(sublease_contract!G:G,ARRAYFORMULA(REGEXMATCH(sublease_contract!E:E,""\b""&amp;A74&amp;""\b""))),""尚未入住"")&gt;0,INDEX(FILTER(sublease_contract!D:D,ARRAYFORMULA(REGEXMATCH(sublease_contract!E:E,""\b""&amp;A74&amp;""\b"")),sublease_con"&amp;"tract!G:G=""尚未入住""),1),""非既有房客"")),""非既有房客""))
"),"C")</f>
        <v>C</v>
      </c>
      <c r="H74" s="227" t="s">
        <v>1626</v>
      </c>
      <c r="I74" s="239" t="str">
        <f>IFERROR(__xludf.DUMMYFUNCTION("""COMPUTED_VALUE"""),"✔ 有效身分證")</f>
        <v>✔ 有效身分證</v>
      </c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</row>
    <row r="75">
      <c r="A75" s="207" t="s">
        <v>1020</v>
      </c>
      <c r="B75" s="223" t="s">
        <v>1693</v>
      </c>
      <c r="C75" s="237" t="s">
        <v>1694</v>
      </c>
      <c r="D75" s="238" t="s">
        <v>1695</v>
      </c>
      <c r="E75" s="233" t="s">
        <v>1696</v>
      </c>
      <c r="F75" s="226" t="str">
        <f>IFERROR(__xludf.DUMMYFUNCTION("IF(A75="""","""",IFERROR(IF(COUNTIF(FILTER(sublease_contract!G:G,ARRAYFORMULA(REGEXMATCH(sublease_contract!E:E,""\b""&amp;A75&amp;""\b""))),""入住中"")&gt;0,INDEX(FILTER(sublease_contract!C:C,ARRAYFORMULA(REGEXMATCH(sublease_contract!E:E,""\b""&amp;A75&amp;""\b"")),sublease_co"&amp;"ntract!G:G=""入住中""),1),IF(COUNTIF(FILTER(sublease_contract!G:G,ARRAYFORMULA(REGEXMATCH(sublease_contract!E:E,""\b""&amp;A75&amp;""\b""))),""尚未入住"")&gt;0,INDEX(FILTER(sublease_contract!C:C,ARRAYFORMULA(REGEXMATCH(sublease_contract!E:E,""\b""&amp;A75&amp;""\b"")),sublease_con"&amp;"tract!G:G=""尚未入住""),1),""非既有房客"")),""非既有房客""))
"),"行天宮夏野良栗")</f>
        <v>行天宮夏野良栗</v>
      </c>
      <c r="G75" s="226" t="str">
        <f>IFERROR(__xludf.DUMMYFUNCTION("IF(A75="""","""",IFERROR(IF(COUNTIF(FILTER(sublease_contract!G:G,ARRAYFORMULA(REGEXMATCH(sublease_contract!E:E,""\b""&amp;A75&amp;""\b""))),""入住中"")&gt;0,INDEX(FILTER(sublease_contract!D:D,ARRAYFORMULA(REGEXMATCH(sublease_contract!E:E,""\b""&amp;A75&amp;""\b"")),sublease_co"&amp;"ntract!G:G=""入住中""),1),IF(COUNTIF(FILTER(sublease_contract!G:G,ARRAYFORMULA(REGEXMATCH(sublease_contract!E:E,""\b""&amp;A75&amp;""\b""))),""尚未入住"")&gt;0,INDEX(FILTER(sublease_contract!D:D,ARRAYFORMULA(REGEXMATCH(sublease_contract!E:E,""\b""&amp;A75&amp;""\b"")),sublease_con"&amp;"tract!G:G=""尚未入住""),1),""非既有房客"")),""非既有房客""))
"),"D")</f>
        <v>D</v>
      </c>
      <c r="H75" s="227" t="s">
        <v>1425</v>
      </c>
      <c r="I75" s="239" t="str">
        <f>IFERROR(__xludf.DUMMYFUNCTION("""COMPUTED_VALUE"""),"✔ 有效身分證")</f>
        <v>✔ 有效身分證</v>
      </c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</row>
    <row r="76">
      <c r="A76" s="213" t="s">
        <v>1697</v>
      </c>
      <c r="B76" s="223" t="s">
        <v>1698</v>
      </c>
      <c r="C76" s="237" t="s">
        <v>1699</v>
      </c>
      <c r="D76" s="238" t="s">
        <v>1700</v>
      </c>
      <c r="E76" s="233" t="s">
        <v>1701</v>
      </c>
      <c r="F76" s="226" t="str">
        <f>IFERROR(__xludf.DUMMYFUNCTION("IF(A76="""","""",IFERROR(IF(COUNTIF(FILTER(sublease_contract!G:G,ARRAYFORMULA(REGEXMATCH(sublease_contract!E:E,""\b""&amp;A76&amp;""\b""))),""入住中"")&gt;0,INDEX(FILTER(sublease_contract!C:C,ARRAYFORMULA(REGEXMATCH(sublease_contract!E:E,""\b""&amp;A76&amp;""\b"")),sublease_co"&amp;"ntract!G:G=""入住中""),1),IF(COUNTIF(FILTER(sublease_contract!G:G,ARRAYFORMULA(REGEXMATCH(sublease_contract!E:E,""\b""&amp;A76&amp;""\b""))),""尚未入住"")&gt;0,INDEX(FILTER(sublease_contract!C:C,ARRAYFORMULA(REGEXMATCH(sublease_contract!E:E,""\b""&amp;A76&amp;""\b"")),sublease_con"&amp;"tract!G:G=""尚未入住""),1),""非既有房客"")),""非既有房客""))
"),"非既有房客")</f>
        <v>非既有房客</v>
      </c>
      <c r="G76" s="226" t="str">
        <f>IFERROR(__xludf.DUMMYFUNCTION("IF(A76="""","""",IFERROR(IF(COUNTIF(FILTER(sublease_contract!G:G,ARRAYFORMULA(REGEXMATCH(sublease_contract!E:E,""\b""&amp;A76&amp;""\b""))),""入住中"")&gt;0,INDEX(FILTER(sublease_contract!D:D,ARRAYFORMULA(REGEXMATCH(sublease_contract!E:E,""\b""&amp;A76&amp;""\b"")),sublease_co"&amp;"ntract!G:G=""入住中""),1),IF(COUNTIF(FILTER(sublease_contract!G:G,ARRAYFORMULA(REGEXMATCH(sublease_contract!E:E,""\b""&amp;A76&amp;""\b""))),""尚未入住"")&gt;0,INDEX(FILTER(sublease_contract!D:D,ARRAYFORMULA(REGEXMATCH(sublease_contract!E:E,""\b""&amp;A76&amp;""\b"")),sublease_con"&amp;"tract!G:G=""尚未入住""),1),""非既有房客"")),""非既有房客""))
"),"非既有房客")</f>
        <v>非既有房客</v>
      </c>
      <c r="H76" s="227" t="s">
        <v>1702</v>
      </c>
      <c r="I76" s="239" t="str">
        <f>IFERROR(__xludf.DUMMYFUNCTION("""COMPUTED_VALUE"""),"✔ 有效身分證")</f>
        <v>✔ 有效身分證</v>
      </c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</row>
    <row r="77">
      <c r="A77" s="213" t="s">
        <v>1027</v>
      </c>
      <c r="B77" s="223" t="s">
        <v>1703</v>
      </c>
      <c r="C77" s="80" t="s">
        <v>1704</v>
      </c>
      <c r="D77" s="232" t="s">
        <v>1705</v>
      </c>
      <c r="E77" s="245" t="s">
        <v>1706</v>
      </c>
      <c r="F77" s="226" t="str">
        <f>IFERROR(__xludf.DUMMYFUNCTION("IF(A77="""","""",IFERROR(IF(COUNTIF(FILTER(sublease_contract!G:G,ARRAYFORMULA(REGEXMATCH(sublease_contract!E:E,""\b""&amp;A77&amp;""\b""))),""入住中"")&gt;0,INDEX(FILTER(sublease_contract!C:C,ARRAYFORMULA(REGEXMATCH(sublease_contract!E:E,""\b""&amp;A77&amp;""\b"")),sublease_co"&amp;"ntract!G:G=""入住中""),1),IF(COUNTIF(FILTER(sublease_contract!G:G,ARRAYFORMULA(REGEXMATCH(sublease_contract!E:E,""\b""&amp;A77&amp;""\b""))),""尚未入住"")&gt;0,INDEX(FILTER(sublease_contract!C:C,ARRAYFORMULA(REGEXMATCH(sublease_contract!E:E,""\b""&amp;A77&amp;""\b"")),sublease_con"&amp;"tract!G:G=""尚未入住""),1),""非既有房客"")),""非既有房客""))
"),"中山北Feli家")</f>
        <v>中山北Feli家</v>
      </c>
      <c r="G77" s="226" t="str">
        <f>IFERROR(__xludf.DUMMYFUNCTION("IF(A77="""","""",IFERROR(IF(COUNTIF(FILTER(sublease_contract!G:G,ARRAYFORMULA(REGEXMATCH(sublease_contract!E:E,""\b""&amp;A77&amp;""\b""))),""入住中"")&gt;0,INDEX(FILTER(sublease_contract!D:D,ARRAYFORMULA(REGEXMATCH(sublease_contract!E:E,""\b""&amp;A77&amp;""\b"")),sublease_co"&amp;"ntract!G:G=""入住中""),1),IF(COUNTIF(FILTER(sublease_contract!G:G,ARRAYFORMULA(REGEXMATCH(sublease_contract!E:E,""\b""&amp;A77&amp;""\b""))),""尚未入住"")&gt;0,INDEX(FILTER(sublease_contract!D:D,ARRAYFORMULA(REGEXMATCH(sublease_contract!E:E,""\b""&amp;A77&amp;""\b"")),sublease_con"&amp;"tract!G:G=""尚未入住""),1),""非既有房客"")),""非既有房客""))
"),"A")</f>
        <v>A</v>
      </c>
      <c r="H77" s="227" t="s">
        <v>1615</v>
      </c>
      <c r="I77" s="239" t="str">
        <f>IFERROR(__xludf.DUMMYFUNCTION("""COMPUTED_VALUE"""),"✔ 有效身分證")</f>
        <v>✔ 有效身分證</v>
      </c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</row>
    <row r="78">
      <c r="A78" s="213" t="s">
        <v>1707</v>
      </c>
      <c r="B78" s="223" t="s">
        <v>1708</v>
      </c>
      <c r="C78" s="237" t="s">
        <v>1709</v>
      </c>
      <c r="D78" s="238" t="s">
        <v>1710</v>
      </c>
      <c r="E78" s="246" t="s">
        <v>1711</v>
      </c>
      <c r="F78" s="226" t="str">
        <f>IFERROR(__xludf.DUMMYFUNCTION("IF(A78="""","""",IFERROR(IF(COUNTIF(FILTER(sublease_contract!G:G,ARRAYFORMULA(REGEXMATCH(sublease_contract!E:E,""\b""&amp;A78&amp;""\b""))),""入住中"")&gt;0,INDEX(FILTER(sublease_contract!C:C,ARRAYFORMULA(REGEXMATCH(sublease_contract!E:E,""\b""&amp;A78&amp;""\b"")),sublease_co"&amp;"ntract!G:G=""入住中""),1),IF(COUNTIF(FILTER(sublease_contract!G:G,ARRAYFORMULA(REGEXMATCH(sublease_contract!E:E,""\b""&amp;A78&amp;""\b""))),""尚未入住"")&gt;0,INDEX(FILTER(sublease_contract!C:C,ARRAYFORMULA(REGEXMATCH(sublease_contract!E:E,""\b""&amp;A78&amp;""\b"")),sublease_con"&amp;"tract!G:G=""尚未入住""),1),""非既有房客"")),""非既有房客""))
"),"中山北Feli家")</f>
        <v>中山北Feli家</v>
      </c>
      <c r="G78" s="226" t="str">
        <f>IFERROR(__xludf.DUMMYFUNCTION("IF(A78="""","""",IFERROR(IF(COUNTIF(FILTER(sublease_contract!G:G,ARRAYFORMULA(REGEXMATCH(sublease_contract!E:E,""\b""&amp;A78&amp;""\b""))),""入住中"")&gt;0,INDEX(FILTER(sublease_contract!D:D,ARRAYFORMULA(REGEXMATCH(sublease_contract!E:E,""\b""&amp;A78&amp;""\b"")),sublease_co"&amp;"ntract!G:G=""入住中""),1),IF(COUNTIF(FILTER(sublease_contract!G:G,ARRAYFORMULA(REGEXMATCH(sublease_contract!E:E,""\b""&amp;A78&amp;""\b""))),""尚未入住"")&gt;0,INDEX(FILTER(sublease_contract!D:D,ARRAYFORMULA(REGEXMATCH(sublease_contract!E:E,""\b""&amp;A78&amp;""\b"")),sublease_con"&amp;"tract!G:G=""尚未入住""),1),""非既有房客"")),""非既有房客""))
"),"B")</f>
        <v>B</v>
      </c>
      <c r="H78" s="227" t="s">
        <v>1712</v>
      </c>
      <c r="I78" s="239" t="str">
        <f>IFERROR(__xludf.DUMMYFUNCTION("""COMPUTED_VALUE"""),"✔ 有效身分證")</f>
        <v>✔ 有效身分證</v>
      </c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</row>
    <row r="79">
      <c r="A79" s="213" t="s">
        <v>1035</v>
      </c>
      <c r="B79" s="223" t="s">
        <v>1713</v>
      </c>
      <c r="C79" s="80" t="s">
        <v>1714</v>
      </c>
      <c r="D79" s="232" t="s">
        <v>1715</v>
      </c>
      <c r="E79" s="232" t="s">
        <v>1716</v>
      </c>
      <c r="F79" s="226" t="str">
        <f>IFERROR(__xludf.DUMMYFUNCTION("IF(A79="""","""",IFERROR(IF(COUNTIF(FILTER(sublease_contract!G:G,ARRAYFORMULA(REGEXMATCH(sublease_contract!E:E,""\b""&amp;A79&amp;""\b""))),""入住中"")&gt;0,INDEX(FILTER(sublease_contract!C:C,ARRAYFORMULA(REGEXMATCH(sublease_contract!E:E,""\b""&amp;A79&amp;""\b"")),sublease_co"&amp;"ntract!G:G=""入住中""),1),IF(COUNTIF(FILTER(sublease_contract!G:G,ARRAYFORMULA(REGEXMATCH(sublease_contract!E:E,""\b""&amp;A79&amp;""\b""))),""尚未入住"")&gt;0,INDEX(FILTER(sublease_contract!C:C,ARRAYFORMULA(REGEXMATCH(sublease_contract!E:E,""\b""&amp;A79&amp;""\b"")),sublease_con"&amp;"tract!G:G=""尚未入住""),1),""非既有房客"")),""非既有房客""))
"),"非既有房客")</f>
        <v>非既有房客</v>
      </c>
      <c r="G79" s="226" t="str">
        <f>IFERROR(__xludf.DUMMYFUNCTION("IF(A79="""","""",IFERROR(IF(COUNTIF(FILTER(sublease_contract!G:G,ARRAYFORMULA(REGEXMATCH(sublease_contract!E:E,""\b""&amp;A79&amp;""\b""))),""入住中"")&gt;0,INDEX(FILTER(sublease_contract!D:D,ARRAYFORMULA(REGEXMATCH(sublease_contract!E:E,""\b""&amp;A79&amp;""\b"")),sublease_co"&amp;"ntract!G:G=""入住中""),1),IF(COUNTIF(FILTER(sublease_contract!G:G,ARRAYFORMULA(REGEXMATCH(sublease_contract!E:E,""\b""&amp;A79&amp;""\b""))),""尚未入住"")&gt;0,INDEX(FILTER(sublease_contract!D:D,ARRAYFORMULA(REGEXMATCH(sublease_contract!E:E,""\b""&amp;A79&amp;""\b"")),sublease_con"&amp;"tract!G:G=""尚未入住""),1),""非既有房客"")),""非既有房客""))
"),"非既有房客")</f>
        <v>非既有房客</v>
      </c>
      <c r="H79" s="227" t="s">
        <v>1425</v>
      </c>
      <c r="I79" s="239" t="str">
        <f>IFERROR(__xludf.DUMMYFUNCTION("""COMPUTED_VALUE"""),"✔ 有效身分證")</f>
        <v>✔ 有效身分證</v>
      </c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</row>
    <row r="80">
      <c r="A80" s="207" t="s">
        <v>1039</v>
      </c>
      <c r="B80" s="223" t="s">
        <v>1717</v>
      </c>
      <c r="C80" s="80" t="s">
        <v>1718</v>
      </c>
      <c r="D80" s="232" t="s">
        <v>1719</v>
      </c>
      <c r="E80" s="232" t="s">
        <v>1720</v>
      </c>
      <c r="F80" s="226" t="str">
        <f>IFERROR(__xludf.DUMMYFUNCTION("IF(A80="""","""",IFERROR(IF(COUNTIF(FILTER(sublease_contract!G:G,ARRAYFORMULA(REGEXMATCH(sublease_contract!E:E,""\b""&amp;A80&amp;""\b""))),""入住中"")&gt;0,INDEX(FILTER(sublease_contract!C:C,ARRAYFORMULA(REGEXMATCH(sublease_contract!E:E,""\b""&amp;A80&amp;""\b"")),sublease_co"&amp;"ntract!G:G=""入住中""),1),IF(COUNTIF(FILTER(sublease_contract!G:G,ARRAYFORMULA(REGEXMATCH(sublease_contract!E:E,""\b""&amp;A80&amp;""\b""))),""尚未入住"")&gt;0,INDEX(FILTER(sublease_contract!C:C,ARRAYFORMULA(REGEXMATCH(sublease_contract!E:E,""\b""&amp;A80&amp;""\b"")),sublease_con"&amp;"tract!G:G=""尚未入住""),1),""非既有房客"")),""非既有房客""))
"),"非既有房客")</f>
        <v>非既有房客</v>
      </c>
      <c r="G80" s="226" t="str">
        <f>IFERROR(__xludf.DUMMYFUNCTION("IF(A80="""","""",IFERROR(IF(COUNTIF(FILTER(sublease_contract!G:G,ARRAYFORMULA(REGEXMATCH(sublease_contract!E:E,""\b""&amp;A80&amp;""\b""))),""入住中"")&gt;0,INDEX(FILTER(sublease_contract!D:D,ARRAYFORMULA(REGEXMATCH(sublease_contract!E:E,""\b""&amp;A80&amp;""\b"")),sublease_co"&amp;"ntract!G:G=""入住中""),1),IF(COUNTIF(FILTER(sublease_contract!G:G,ARRAYFORMULA(REGEXMATCH(sublease_contract!E:E,""\b""&amp;A80&amp;""\b""))),""尚未入住"")&gt;0,INDEX(FILTER(sublease_contract!D:D,ARRAYFORMULA(REGEXMATCH(sublease_contract!E:E,""\b""&amp;A80&amp;""\b"")),sublease_con"&amp;"tract!G:G=""尚未入住""),1),""非既有房客"")),""非既有房客""))
"),"非既有房客")</f>
        <v>非既有房客</v>
      </c>
      <c r="H80" s="227"/>
      <c r="I80" s="239" t="str">
        <f>IFERROR(__xludf.DUMMYFUNCTION("""COMPUTED_VALUE"""),"✔ 有效身分證")</f>
        <v>✔ 有效身分證</v>
      </c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</row>
    <row r="81">
      <c r="A81" s="207" t="s">
        <v>1721</v>
      </c>
      <c r="B81" s="223" t="s">
        <v>1722</v>
      </c>
      <c r="C81" s="237" t="s">
        <v>1723</v>
      </c>
      <c r="D81" s="247" t="s">
        <v>1724</v>
      </c>
      <c r="E81" s="238" t="s">
        <v>1725</v>
      </c>
      <c r="F81" s="226" t="str">
        <f>IFERROR(__xludf.DUMMYFUNCTION("IF(A81="""","""",IFERROR(IF(COUNTIF(FILTER(sublease_contract!G:G,ARRAYFORMULA(REGEXMATCH(sublease_contract!E:E,""\b""&amp;A81&amp;""\b""))),""入住中"")&gt;0,INDEX(FILTER(sublease_contract!C:C,ARRAYFORMULA(REGEXMATCH(sublease_contract!E:E,""\b""&amp;A81&amp;""\b"")),sublease_co"&amp;"ntract!G:G=""入住中""),1),IF(COUNTIF(FILTER(sublease_contract!G:G,ARRAYFORMULA(REGEXMATCH(sublease_contract!E:E,""\b""&amp;A81&amp;""\b""))),""尚未入住"")&gt;0,INDEX(FILTER(sublease_contract!C:C,ARRAYFORMULA(REGEXMATCH(sublease_contract!E:E,""\b""&amp;A81&amp;""\b"")),sublease_con"&amp;"tract!G:G=""尚未入住""),1),""非既有房客"")),""非既有房客""))
"),"非既有房客")</f>
        <v>非既有房客</v>
      </c>
      <c r="G81" s="226" t="str">
        <f>IFERROR(__xludf.DUMMYFUNCTION("IF(A81="""","""",IFERROR(IF(COUNTIF(FILTER(sublease_contract!G:G,ARRAYFORMULA(REGEXMATCH(sublease_contract!E:E,""\b""&amp;A81&amp;""\b""))),""入住中"")&gt;0,INDEX(FILTER(sublease_contract!D:D,ARRAYFORMULA(REGEXMATCH(sublease_contract!E:E,""\b""&amp;A81&amp;""\b"")),sublease_co"&amp;"ntract!G:G=""入住中""),1),IF(COUNTIF(FILTER(sublease_contract!G:G,ARRAYFORMULA(REGEXMATCH(sublease_contract!E:E,""\b""&amp;A81&amp;""\b""))),""尚未入住"")&gt;0,INDEX(FILTER(sublease_contract!D:D,ARRAYFORMULA(REGEXMATCH(sublease_contract!E:E,""\b""&amp;A81&amp;""\b"")),sublease_con"&amp;"tract!G:G=""尚未入住""),1),""非既有房客"")),""非既有房客""))
"),"非既有房客")</f>
        <v>非既有房客</v>
      </c>
      <c r="H81" s="227" t="s">
        <v>1425</v>
      </c>
      <c r="I81" s="234" t="str">
        <f>IFERROR(__xludf.DUMMYFUNCTION("""COMPUTED_VALUE"""),"✔ 有效身分證")</f>
        <v>✔ 有效身分證</v>
      </c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</row>
    <row r="82">
      <c r="A82" s="207" t="s">
        <v>1726</v>
      </c>
      <c r="B82" s="248" t="s">
        <v>1727</v>
      </c>
      <c r="C82" s="238" t="s">
        <v>1728</v>
      </c>
      <c r="D82" s="238" t="s">
        <v>1729</v>
      </c>
      <c r="E82" s="249"/>
      <c r="F82" s="226" t="str">
        <f>IFERROR(__xludf.DUMMYFUNCTION("IF(A82="""","""",IFERROR(IF(COUNTIF(FILTER(sublease_contract!G:G,ARRAYFORMULA(REGEXMATCH(sublease_contract!E:E,""\b""&amp;A82&amp;""\b""))),""入住中"")&gt;0,INDEX(FILTER(sublease_contract!C:C,ARRAYFORMULA(REGEXMATCH(sublease_contract!E:E,""\b""&amp;A82&amp;""\b"")),sublease_co"&amp;"ntract!G:G=""入住中""),1),IF(COUNTIF(FILTER(sublease_contract!G:G,ARRAYFORMULA(REGEXMATCH(sublease_contract!E:E,""\b""&amp;A82&amp;""\b""))),""尚未入住"")&gt;0,INDEX(FILTER(sublease_contract!C:C,ARRAYFORMULA(REGEXMATCH(sublease_contract!E:E,""\b""&amp;A82&amp;""\b"")),sublease_con"&amp;"tract!G:G=""尚未入住""),1),""非既有房客"")),""非既有房客""))
"),"士林和豐")</f>
        <v>士林和豐</v>
      </c>
      <c r="G82" s="226" t="str">
        <f>IFERROR(__xludf.DUMMYFUNCTION("IF(A82="""","""",IFERROR(IF(COUNTIF(FILTER(sublease_contract!G:G,ARRAYFORMULA(REGEXMATCH(sublease_contract!E:E,""\b""&amp;A82&amp;""\b""))),""入住中"")&gt;0,INDEX(FILTER(sublease_contract!D:D,ARRAYFORMULA(REGEXMATCH(sublease_contract!E:E,""\b""&amp;A82&amp;""\b"")),sublease_co"&amp;"ntract!G:G=""入住中""),1),IF(COUNTIF(FILTER(sublease_contract!G:G,ARRAYFORMULA(REGEXMATCH(sublease_contract!E:E,""\b""&amp;A82&amp;""\b""))),""尚未入住"")&gt;0,INDEX(FILTER(sublease_contract!D:D,ARRAYFORMULA(REGEXMATCH(sublease_contract!E:E,""\b""&amp;A82&amp;""\b"")),sublease_con"&amp;"tract!G:G=""尚未入住""),1),""非既有房客"")),""非既有房客""))
"),"A")</f>
        <v>A</v>
      </c>
      <c r="H82" s="227" t="s">
        <v>1465</v>
      </c>
      <c r="I82" s="239" t="str">
        <f>IFERROR(__xludf.DUMMYFUNCTION("""COMPUTED_VALUE"""),"✔ 有效身分證")</f>
        <v>✔ 有效身分證</v>
      </c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</row>
    <row r="83" ht="16.5" customHeight="1">
      <c r="A83" s="216" t="s">
        <v>1730</v>
      </c>
      <c r="B83" s="243" t="s">
        <v>1731</v>
      </c>
      <c r="C83" s="224" t="s">
        <v>1732</v>
      </c>
      <c r="D83" s="224" t="s">
        <v>1733</v>
      </c>
      <c r="E83" s="249"/>
      <c r="F83" s="226" t="str">
        <f>IFERROR(__xludf.DUMMYFUNCTION("IF(A83="""","""",IFERROR(IF(COUNTIF(FILTER(sublease_contract!G:G,ARRAYFORMULA(REGEXMATCH(sublease_contract!E:E,""\b""&amp;A83&amp;""\b""))),""入住中"")&gt;0,INDEX(FILTER(sublease_contract!C:C,ARRAYFORMULA(REGEXMATCH(sublease_contract!E:E,""\b""&amp;A83&amp;""\b"")),sublease_co"&amp;"ntract!G:G=""入住中""),1),IF(COUNTIF(FILTER(sublease_contract!G:G,ARRAYFORMULA(REGEXMATCH(sublease_contract!E:E,""\b""&amp;A83&amp;""\b""))),""尚未入住"")&gt;0,INDEX(FILTER(sublease_contract!C:C,ARRAYFORMULA(REGEXMATCH(sublease_contract!E:E,""\b""&amp;A83&amp;""\b"")),sublease_con"&amp;"tract!G:G=""尚未入住""),1),""非既有房客"")),""非既有房客""))
"),"非既有房客")</f>
        <v>非既有房客</v>
      </c>
      <c r="G83" s="226" t="str">
        <f>IFERROR(__xludf.DUMMYFUNCTION("IF(A83="""","""",IFERROR(IF(COUNTIF(FILTER(sublease_contract!G:G,ARRAYFORMULA(REGEXMATCH(sublease_contract!E:E,""\b""&amp;A83&amp;""\b""))),""入住中"")&gt;0,INDEX(FILTER(sublease_contract!D:D,ARRAYFORMULA(REGEXMATCH(sublease_contract!E:E,""\b""&amp;A83&amp;""\b"")),sublease_co"&amp;"ntract!G:G=""入住中""),1),IF(COUNTIF(FILTER(sublease_contract!G:G,ARRAYFORMULA(REGEXMATCH(sublease_contract!E:E,""\b""&amp;A83&amp;""\b""))),""尚未入住"")&gt;0,INDEX(FILTER(sublease_contract!D:D,ARRAYFORMULA(REGEXMATCH(sublease_contract!E:E,""\b""&amp;A83&amp;""\b"")),sublease_con"&amp;"tract!G:G=""尚未入住""),1),""非既有房客"")),""非既有房客""))
"),"非既有房客")</f>
        <v>非既有房客</v>
      </c>
      <c r="H83" s="227"/>
      <c r="I83" s="234" t="str">
        <f>IFERROR(__xludf.DUMMYFUNCTION("""COMPUTED_VALUE"""),"✔ 有效身分證")</f>
        <v>✔ 有效身分證</v>
      </c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</row>
    <row r="84">
      <c r="A84" s="216" t="s">
        <v>1734</v>
      </c>
      <c r="B84" s="243" t="s">
        <v>1735</v>
      </c>
      <c r="C84" s="224" t="s">
        <v>1736</v>
      </c>
      <c r="D84" s="224" t="s">
        <v>1737</v>
      </c>
      <c r="E84" s="249"/>
      <c r="F84" s="226" t="str">
        <f>IFERROR(__xludf.DUMMYFUNCTION("IF(A84="""","""",IFERROR(IF(COUNTIF(FILTER(sublease_contract!G:G,ARRAYFORMULA(REGEXMATCH(sublease_contract!E:E,""\b""&amp;A84&amp;""\b""))),""入住中"")&gt;0,INDEX(FILTER(sublease_contract!C:C,ARRAYFORMULA(REGEXMATCH(sublease_contract!E:E,""\b""&amp;A84&amp;""\b"")),sublease_co"&amp;"ntract!G:G=""入住中""),1),IF(COUNTIF(FILTER(sublease_contract!G:G,ARRAYFORMULA(REGEXMATCH(sublease_contract!E:E,""\b""&amp;A84&amp;""\b""))),""尚未入住"")&gt;0,INDEX(FILTER(sublease_contract!C:C,ARRAYFORMULA(REGEXMATCH(sublease_contract!E:E,""\b""&amp;A84&amp;""\b"")),sublease_con"&amp;"tract!G:G=""尚未入住""),1),""非既有房客"")),""非既有房客""))
"),"非既有房客")</f>
        <v>非既有房客</v>
      </c>
      <c r="G84" s="226" t="str">
        <f>IFERROR(__xludf.DUMMYFUNCTION("IF(A84="""","""",IFERROR(IF(COUNTIF(FILTER(sublease_contract!G:G,ARRAYFORMULA(REGEXMATCH(sublease_contract!E:E,""\b""&amp;A84&amp;""\b""))),""入住中"")&gt;0,INDEX(FILTER(sublease_contract!D:D,ARRAYFORMULA(REGEXMATCH(sublease_contract!E:E,""\b""&amp;A84&amp;""\b"")),sublease_co"&amp;"ntract!G:G=""入住中""),1),IF(COUNTIF(FILTER(sublease_contract!G:G,ARRAYFORMULA(REGEXMATCH(sublease_contract!E:E,""\b""&amp;A84&amp;""\b""))),""尚未入住"")&gt;0,INDEX(FILTER(sublease_contract!D:D,ARRAYFORMULA(REGEXMATCH(sublease_contract!E:E,""\b""&amp;A84&amp;""\b"")),sublease_con"&amp;"tract!G:G=""尚未入住""),1),""非既有房客"")),""非既有房客""))
"),"非既有房客")</f>
        <v>非既有房客</v>
      </c>
      <c r="H84" s="227"/>
      <c r="I84" s="234" t="str">
        <f>IFERROR(__xludf.DUMMYFUNCTION("""COMPUTED_VALUE"""),"✔ 有效身分證")</f>
        <v>✔ 有效身分證</v>
      </c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</row>
    <row r="85">
      <c r="A85" s="207" t="s">
        <v>1738</v>
      </c>
      <c r="B85" s="243" t="s">
        <v>1739</v>
      </c>
      <c r="C85" s="224" t="s">
        <v>1740</v>
      </c>
      <c r="D85" s="224" t="s">
        <v>1741</v>
      </c>
      <c r="E85" s="241" t="s">
        <v>1742</v>
      </c>
      <c r="F85" s="226" t="str">
        <f>IFERROR(__xludf.DUMMYFUNCTION("IF(A85="""","""",IFERROR(IF(COUNTIF(FILTER(sublease_contract!G:G,ARRAYFORMULA(REGEXMATCH(sublease_contract!E:E,""\b""&amp;A85&amp;""\b""))),""入住中"")&gt;0,INDEX(FILTER(sublease_contract!C:C,ARRAYFORMULA(REGEXMATCH(sublease_contract!E:E,""\b""&amp;A85&amp;""\b"")),sublease_co"&amp;"ntract!G:G=""入住中""),1),IF(COUNTIF(FILTER(sublease_contract!G:G,ARRAYFORMULA(REGEXMATCH(sublease_contract!E:E,""\b""&amp;A85&amp;""\b""))),""尚未入住"")&gt;0,INDEX(FILTER(sublease_contract!C:C,ARRAYFORMULA(REGEXMATCH(sublease_contract!E:E,""\b""&amp;A85&amp;""\b"")),sublease_con"&amp;"tract!G:G=""尚未入住""),1),""非既有房客"")),""非既有房客""))
"),"非既有房客")</f>
        <v>非既有房客</v>
      </c>
      <c r="G85" s="226" t="str">
        <f>IFERROR(__xludf.DUMMYFUNCTION("IF(A85="""","""",IFERROR(IF(COUNTIF(FILTER(sublease_contract!G:G,ARRAYFORMULA(REGEXMATCH(sublease_contract!E:E,""\b""&amp;A85&amp;""\b""))),""入住中"")&gt;0,INDEX(FILTER(sublease_contract!D:D,ARRAYFORMULA(REGEXMATCH(sublease_contract!E:E,""\b""&amp;A85&amp;""\b"")),sublease_co"&amp;"ntract!G:G=""入住中""),1),IF(COUNTIF(FILTER(sublease_contract!G:G,ARRAYFORMULA(REGEXMATCH(sublease_contract!E:E,""\b""&amp;A85&amp;""\b""))),""尚未入住"")&gt;0,INDEX(FILTER(sublease_contract!D:D,ARRAYFORMULA(REGEXMATCH(sublease_contract!E:E,""\b""&amp;A85&amp;""\b"")),sublease_con"&amp;"tract!G:G=""尚未入住""),1),""非既有房客"")),""非既有房客""))
"),"非既有房客")</f>
        <v>非既有房客</v>
      </c>
      <c r="H85" s="227"/>
      <c r="I85" s="239" t="str">
        <f>IFERROR(__xludf.DUMMYFUNCTION("""COMPUTED_VALUE"""),"✔ 有效身分證")</f>
        <v>✔ 有效身分證</v>
      </c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</row>
    <row r="86">
      <c r="A86" s="207" t="s">
        <v>1743</v>
      </c>
      <c r="B86" s="243" t="s">
        <v>1744</v>
      </c>
      <c r="C86" s="224" t="s">
        <v>1745</v>
      </c>
      <c r="D86" s="224" t="s">
        <v>1746</v>
      </c>
      <c r="E86" s="241" t="s">
        <v>1747</v>
      </c>
      <c r="F86" s="226" t="str">
        <f>IFERROR(__xludf.DUMMYFUNCTION("IF(A86="""","""",IFERROR(IF(COUNTIF(FILTER(sublease_contract!G:G,ARRAYFORMULA(REGEXMATCH(sublease_contract!E:E,""\b""&amp;A86&amp;""\b""))),""入住中"")&gt;0,INDEX(FILTER(sublease_contract!C:C,ARRAYFORMULA(REGEXMATCH(sublease_contract!E:E,""\b""&amp;A86&amp;""\b"")),sublease_co"&amp;"ntract!G:G=""入住中""),1),IF(COUNTIF(FILTER(sublease_contract!G:G,ARRAYFORMULA(REGEXMATCH(sublease_contract!E:E,""\b""&amp;A86&amp;""\b""))),""尚未入住"")&gt;0,INDEX(FILTER(sublease_contract!C:C,ARRAYFORMULA(REGEXMATCH(sublease_contract!E:E,""\b""&amp;A86&amp;""\b"")),sublease_con"&amp;"tract!G:G=""尚未入住""),1),""非既有房客"")),""非既有房客""))
"),"市府爺爺家")</f>
        <v>市府爺爺家</v>
      </c>
      <c r="G86" s="226" t="str">
        <f>IFERROR(__xludf.DUMMYFUNCTION("IF(A86="""","""",IFERROR(IF(COUNTIF(FILTER(sublease_contract!G:G,ARRAYFORMULA(REGEXMATCH(sublease_contract!E:E,""\b""&amp;A86&amp;""\b""))),""入住中"")&gt;0,INDEX(FILTER(sublease_contract!D:D,ARRAYFORMULA(REGEXMATCH(sublease_contract!E:E,""\b""&amp;A86&amp;""\b"")),sublease_co"&amp;"ntract!G:G=""入住中""),1),IF(COUNTIF(FILTER(sublease_contract!G:G,ARRAYFORMULA(REGEXMATCH(sublease_contract!E:E,""\b""&amp;A86&amp;""\b""))),""尚未入住"")&gt;0,INDEX(FILTER(sublease_contract!D:D,ARRAYFORMULA(REGEXMATCH(sublease_contract!E:E,""\b""&amp;A86&amp;""\b"")),sublease_con"&amp;"tract!G:G=""尚未入住""),1),""非既有房客"")),""非既有房客""))
"),"A")</f>
        <v>A</v>
      </c>
      <c r="H86" s="227" t="s">
        <v>1748</v>
      </c>
      <c r="I86" s="239" t="str">
        <f>IFERROR(__xludf.DUMMYFUNCTION("""COMPUTED_VALUE"""),"✔ 有效身分證")</f>
        <v>✔ 有效身分證</v>
      </c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</row>
    <row r="87">
      <c r="A87" s="207" t="s">
        <v>1749</v>
      </c>
      <c r="B87" s="243" t="s">
        <v>1750</v>
      </c>
      <c r="C87" s="224" t="s">
        <v>1751</v>
      </c>
      <c r="D87" s="224" t="s">
        <v>1752</v>
      </c>
      <c r="E87" s="249"/>
      <c r="F87" s="226" t="str">
        <f>IFERROR(__xludf.DUMMYFUNCTION("IF(A87="""","""",IFERROR(IF(COUNTIF(FILTER(sublease_contract!G:G,ARRAYFORMULA(REGEXMATCH(sublease_contract!E:E,""\b""&amp;A87&amp;""\b""))),""入住中"")&gt;0,INDEX(FILTER(sublease_contract!C:C,ARRAYFORMULA(REGEXMATCH(sublease_contract!E:E,""\b""&amp;A87&amp;""\b"")),sublease_co"&amp;"ntract!G:G=""入住中""),1),IF(COUNTIF(FILTER(sublease_contract!G:G,ARRAYFORMULA(REGEXMATCH(sublease_contract!E:E,""\b""&amp;A87&amp;""\b""))),""尚未入住"")&gt;0,INDEX(FILTER(sublease_contract!C:C,ARRAYFORMULA(REGEXMATCH(sublease_contract!E:E,""\b""&amp;A87&amp;""\b"")),sublease_con"&amp;"tract!G:G=""尚未入住""),1),""非既有房客"")),""非既有房客""))
"),"非既有房客")</f>
        <v>非既有房客</v>
      </c>
      <c r="G87" s="226" t="str">
        <f>IFERROR(__xludf.DUMMYFUNCTION("IF(A87="""","""",IFERROR(IF(COUNTIF(FILTER(sublease_contract!G:G,ARRAYFORMULA(REGEXMATCH(sublease_contract!E:E,""\b""&amp;A87&amp;""\b""))),""入住中"")&gt;0,INDEX(FILTER(sublease_contract!D:D,ARRAYFORMULA(REGEXMATCH(sublease_contract!E:E,""\b""&amp;A87&amp;""\b"")),sublease_co"&amp;"ntract!G:G=""入住中""),1),IF(COUNTIF(FILTER(sublease_contract!G:G,ARRAYFORMULA(REGEXMATCH(sublease_contract!E:E,""\b""&amp;A87&amp;""\b""))),""尚未入住"")&gt;0,INDEX(FILTER(sublease_contract!D:D,ARRAYFORMULA(REGEXMATCH(sublease_contract!E:E,""\b""&amp;A87&amp;""\b"")),sublease_con"&amp;"tract!G:G=""尚未入住""),1),""非既有房客"")),""非既有房客""))
"),"非既有房客")</f>
        <v>非既有房客</v>
      </c>
      <c r="H87" s="227"/>
      <c r="I87" s="239" t="str">
        <f>IFERROR(__xludf.DUMMYFUNCTION("""COMPUTED_VALUE"""),"✔ 有效身分證")</f>
        <v>✔ 有效身分證</v>
      </c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</row>
    <row r="88">
      <c r="A88" s="207" t="s">
        <v>1753</v>
      </c>
      <c r="B88" s="224" t="s">
        <v>1754</v>
      </c>
      <c r="C88" s="224" t="s">
        <v>1755</v>
      </c>
      <c r="D88" s="224" t="s">
        <v>1756</v>
      </c>
      <c r="E88" s="249"/>
      <c r="F88" s="226" t="str">
        <f>IFERROR(__xludf.DUMMYFUNCTION("IF(A88="""","""",IFERROR(IF(COUNTIF(FILTER(sublease_contract!G:G,ARRAYFORMULA(REGEXMATCH(sublease_contract!E:E,""\b""&amp;A88&amp;""\b""))),""入住中"")&gt;0,INDEX(FILTER(sublease_contract!C:C,ARRAYFORMULA(REGEXMATCH(sublease_contract!E:E,""\b""&amp;A88&amp;""\b"")),sublease_co"&amp;"ntract!G:G=""入住中""),1),IF(COUNTIF(FILTER(sublease_contract!G:G,ARRAYFORMULA(REGEXMATCH(sublease_contract!E:E,""\b""&amp;A88&amp;""\b""))),""尚未入住"")&gt;0,INDEX(FILTER(sublease_contract!C:C,ARRAYFORMULA(REGEXMATCH(sublease_contract!E:E,""\b""&amp;A88&amp;""\b"")),sublease_con"&amp;"tract!G:G=""尚未入住""),1),""非既有房客"")),""非既有房客""))
"),"非既有房客")</f>
        <v>非既有房客</v>
      </c>
      <c r="G88" s="226" t="str">
        <f>IFERROR(__xludf.DUMMYFUNCTION("IF(A88="""","""",IFERROR(IF(COUNTIF(FILTER(sublease_contract!G:G,ARRAYFORMULA(REGEXMATCH(sublease_contract!E:E,""\b""&amp;A88&amp;""\b""))),""入住中"")&gt;0,INDEX(FILTER(sublease_contract!D:D,ARRAYFORMULA(REGEXMATCH(sublease_contract!E:E,""\b""&amp;A88&amp;""\b"")),sublease_co"&amp;"ntract!G:G=""入住中""),1),IF(COUNTIF(FILTER(sublease_contract!G:G,ARRAYFORMULA(REGEXMATCH(sublease_contract!E:E,""\b""&amp;A88&amp;""\b""))),""尚未入住"")&gt;0,INDEX(FILTER(sublease_contract!D:D,ARRAYFORMULA(REGEXMATCH(sublease_contract!E:E,""\b""&amp;A88&amp;""\b"")),sublease_con"&amp;"tract!G:G=""尚未入住""),1),""非既有房客"")),""非既有房客""))
"),"非既有房客")</f>
        <v>非既有房客</v>
      </c>
      <c r="H88" s="227"/>
      <c r="I88" s="239" t="str">
        <f>IFERROR(__xludf.DUMMYFUNCTION("""COMPUTED_VALUE"""),"✔ 有效身分證")</f>
        <v>✔ 有效身分證</v>
      </c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</row>
    <row r="89">
      <c r="A89" s="207" t="s">
        <v>1757</v>
      </c>
      <c r="B89" s="224" t="s">
        <v>1758</v>
      </c>
      <c r="C89" s="224" t="s">
        <v>1759</v>
      </c>
      <c r="D89" s="224" t="s">
        <v>1760</v>
      </c>
      <c r="E89" s="241" t="s">
        <v>1761</v>
      </c>
      <c r="F89" s="226" t="str">
        <f>IFERROR(__xludf.DUMMYFUNCTION("IF(A89="""","""",IFERROR(IF(COUNTIF(FILTER(sublease_contract!G:G,ARRAYFORMULA(REGEXMATCH(sublease_contract!E:E,""\b""&amp;A89&amp;""\b""))),""入住中"")&gt;0,INDEX(FILTER(sublease_contract!C:C,ARRAYFORMULA(REGEXMATCH(sublease_contract!E:E,""\b""&amp;A89&amp;""\b"")),sublease_co"&amp;"ntract!G:G=""入住中""),1),IF(COUNTIF(FILTER(sublease_contract!G:G,ARRAYFORMULA(REGEXMATCH(sublease_contract!E:E,""\b""&amp;A89&amp;""\b""))),""尚未入住"")&gt;0,INDEX(FILTER(sublease_contract!C:C,ARRAYFORMULA(REGEXMATCH(sublease_contract!E:E,""\b""&amp;A89&amp;""\b"")),sublease_con"&amp;"tract!G:G=""尚未入住""),1),""非既有房客"")),""非既有房客""))
"),"景安2分鐘")</f>
        <v>景安2分鐘</v>
      </c>
      <c r="G89" s="226" t="str">
        <f>IFERROR(__xludf.DUMMYFUNCTION("IF(A89="""","""",IFERROR(IF(COUNTIF(FILTER(sublease_contract!G:G,ARRAYFORMULA(REGEXMATCH(sublease_contract!E:E,""\b""&amp;A89&amp;""\b""))),""入住中"")&gt;0,INDEX(FILTER(sublease_contract!D:D,ARRAYFORMULA(REGEXMATCH(sublease_contract!E:E,""\b""&amp;A89&amp;""\b"")),sublease_co"&amp;"ntract!G:G=""入住中""),1),IF(COUNTIF(FILTER(sublease_contract!G:G,ARRAYFORMULA(REGEXMATCH(sublease_contract!E:E,""\b""&amp;A89&amp;""\b""))),""尚未入住"")&gt;0,INDEX(FILTER(sublease_contract!D:D,ARRAYFORMULA(REGEXMATCH(sublease_contract!E:E,""\b""&amp;A89&amp;""\b"")),sublease_con"&amp;"tract!G:G=""尚未入住""),1),""非既有房客"")),""非既有房客""))
"),"B")</f>
        <v>B</v>
      </c>
      <c r="H89" s="227" t="s">
        <v>1762</v>
      </c>
      <c r="I89" s="239" t="str">
        <f>IFERROR(__xludf.DUMMYFUNCTION("""COMPUTED_VALUE"""),"✔ 有效身分證")</f>
        <v>✔ 有效身分證</v>
      </c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</row>
    <row r="90">
      <c r="A90" s="207" t="s">
        <v>1763</v>
      </c>
      <c r="B90" s="238" t="s">
        <v>1764</v>
      </c>
      <c r="C90" s="238" t="s">
        <v>1765</v>
      </c>
      <c r="D90" s="238" t="s">
        <v>1766</v>
      </c>
      <c r="E90" s="249"/>
      <c r="F90" s="226" t="str">
        <f>IFERROR(__xludf.DUMMYFUNCTION("IF(A90="""","""",IFERROR(IF(COUNTIF(FILTER(sublease_contract!G:G,ARRAYFORMULA(REGEXMATCH(sublease_contract!E:E,""\b""&amp;A90&amp;""\b""))),""入住中"")&gt;0,INDEX(FILTER(sublease_contract!C:C,ARRAYFORMULA(REGEXMATCH(sublease_contract!E:E,""\b""&amp;A90&amp;""\b"")),sublease_co"&amp;"ntract!G:G=""入住中""),1),IF(COUNTIF(FILTER(sublease_contract!G:G,ARRAYFORMULA(REGEXMATCH(sublease_contract!E:E,""\b""&amp;A90&amp;""\b""))),""尚未入住"")&gt;0,INDEX(FILTER(sublease_contract!C:C,ARRAYFORMULA(REGEXMATCH(sublease_contract!E:E,""\b""&amp;A90&amp;""\b"")),sublease_con"&amp;"tract!G:G=""尚未入住""),1),""非既有房客"")),""非既有房客""))
"),"非既有房客")</f>
        <v>非既有房客</v>
      </c>
      <c r="G90" s="226" t="str">
        <f>IFERROR(__xludf.DUMMYFUNCTION("IF(A90="""","""",IFERROR(IF(COUNTIF(FILTER(sublease_contract!G:G,ARRAYFORMULA(REGEXMATCH(sublease_contract!E:E,""\b""&amp;A90&amp;""\b""))),""入住中"")&gt;0,INDEX(FILTER(sublease_contract!D:D,ARRAYFORMULA(REGEXMATCH(sublease_contract!E:E,""\b""&amp;A90&amp;""\b"")),sublease_co"&amp;"ntract!G:G=""入住中""),1),IF(COUNTIF(FILTER(sublease_contract!G:G,ARRAYFORMULA(REGEXMATCH(sublease_contract!E:E,""\b""&amp;A90&amp;""\b""))),""尚未入住"")&gt;0,INDEX(FILTER(sublease_contract!D:D,ARRAYFORMULA(REGEXMATCH(sublease_contract!E:E,""\b""&amp;A90&amp;""\b"")),sublease_con"&amp;"tract!G:G=""尚未入住""),1),""非既有房客"")),""非既有房客""))
"),"非既有房客")</f>
        <v>非既有房客</v>
      </c>
      <c r="H90" s="227" t="s">
        <v>1702</v>
      </c>
      <c r="I90" s="239" t="str">
        <f>IFERROR(__xludf.DUMMYFUNCTION("""COMPUTED_VALUE"""),"✔ 有效身分證")</f>
        <v>✔ 有效身分證</v>
      </c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</row>
    <row r="91">
      <c r="A91" s="207" t="s">
        <v>1767</v>
      </c>
      <c r="B91" s="238" t="s">
        <v>1768</v>
      </c>
      <c r="C91" s="238" t="s">
        <v>1769</v>
      </c>
      <c r="D91" s="238" t="s">
        <v>1770</v>
      </c>
      <c r="E91" s="241" t="s">
        <v>1771</v>
      </c>
      <c r="F91" s="226" t="str">
        <f>IFERROR(__xludf.DUMMYFUNCTION("IF(A91="""","""",IFERROR(IF(COUNTIF(FILTER(sublease_contract!G:G,ARRAYFORMULA(REGEXMATCH(sublease_contract!E:E,""\b""&amp;A91&amp;""\b""))),""入住中"")&gt;0,INDEX(FILTER(sublease_contract!C:C,ARRAYFORMULA(REGEXMATCH(sublease_contract!E:E,""\b""&amp;A91&amp;""\b"")),sublease_co"&amp;"ntract!G:G=""入住中""),1),IF(COUNTIF(FILTER(sublease_contract!G:G,ARRAYFORMULA(REGEXMATCH(sublease_contract!E:E,""\b""&amp;A91&amp;""\b""))),""尚未入住"")&gt;0,INDEX(FILTER(sublease_contract!C:C,ARRAYFORMULA(REGEXMATCH(sublease_contract!E:E,""\b""&amp;A91&amp;""\b"")),sublease_con"&amp;"tract!G:G=""尚未入住""),1),""非既有房客"")),""非既有房客""))
"),"中山北Feli家")</f>
        <v>中山北Feli家</v>
      </c>
      <c r="G91" s="226" t="str">
        <f>IFERROR(__xludf.DUMMYFUNCTION("IF(A91="""","""",IFERROR(IF(COUNTIF(FILTER(sublease_contract!G:G,ARRAYFORMULA(REGEXMATCH(sublease_contract!E:E,""\b""&amp;A91&amp;""\b""))),""入住中"")&gt;0,INDEX(FILTER(sublease_contract!D:D,ARRAYFORMULA(REGEXMATCH(sublease_contract!E:E,""\b""&amp;A91&amp;""\b"")),sublease_co"&amp;"ntract!G:G=""入住中""),1),IF(COUNTIF(FILTER(sublease_contract!G:G,ARRAYFORMULA(REGEXMATCH(sublease_contract!E:E,""\b""&amp;A91&amp;""\b""))),""尚未入住"")&gt;0,INDEX(FILTER(sublease_contract!D:D,ARRAYFORMULA(REGEXMATCH(sublease_contract!E:E,""\b""&amp;A91&amp;""\b"")),sublease_con"&amp;"tract!G:G=""尚未入住""),1),""非既有房客"")),""非既有房客""))
"),"B")</f>
        <v>B</v>
      </c>
      <c r="H91" s="227" t="s">
        <v>1712</v>
      </c>
      <c r="I91" s="239" t="str">
        <f>IFERROR(__xludf.DUMMYFUNCTION("""COMPUTED_VALUE"""),"✔ 有效身分證")</f>
        <v>✔ 有效身分證</v>
      </c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</row>
    <row r="92">
      <c r="A92" s="207" t="s">
        <v>1772</v>
      </c>
      <c r="B92" s="238" t="s">
        <v>1773</v>
      </c>
      <c r="C92" s="238" t="s">
        <v>1774</v>
      </c>
      <c r="D92" s="238" t="s">
        <v>1775</v>
      </c>
      <c r="E92" s="249"/>
      <c r="F92" s="226" t="str">
        <f>IFERROR(__xludf.DUMMYFUNCTION("IF(A92="""","""",IFERROR(IF(COUNTIF(FILTER(sublease_contract!G:G,ARRAYFORMULA(REGEXMATCH(sublease_contract!E:E,""\b""&amp;A92&amp;""\b""))),""入住中"")&gt;0,INDEX(FILTER(sublease_contract!C:C,ARRAYFORMULA(REGEXMATCH(sublease_contract!E:E,""\b""&amp;A92&amp;""\b"")),sublease_co"&amp;"ntract!G:G=""入住中""),1),IF(COUNTIF(FILTER(sublease_contract!G:G,ARRAYFORMULA(REGEXMATCH(sublease_contract!E:E,""\b""&amp;A92&amp;""\b""))),""尚未入住"")&gt;0,INDEX(FILTER(sublease_contract!C:C,ARRAYFORMULA(REGEXMATCH(sublease_contract!E:E,""\b""&amp;A92&amp;""\b"")),sublease_con"&amp;"tract!G:G=""尚未入住""),1),""非既有房客"")),""非既有房客""))
"),"非既有房客")</f>
        <v>非既有房客</v>
      </c>
      <c r="G92" s="226" t="str">
        <f>IFERROR(__xludf.DUMMYFUNCTION("IF(A92="""","""",IFERROR(IF(COUNTIF(FILTER(sublease_contract!G:G,ARRAYFORMULA(REGEXMATCH(sublease_contract!E:E,""\b""&amp;A92&amp;""\b""))),""入住中"")&gt;0,INDEX(FILTER(sublease_contract!D:D,ARRAYFORMULA(REGEXMATCH(sublease_contract!E:E,""\b""&amp;A92&amp;""\b"")),sublease_co"&amp;"ntract!G:G=""入住中""),1),IF(COUNTIF(FILTER(sublease_contract!G:G,ARRAYFORMULA(REGEXMATCH(sublease_contract!E:E,""\b""&amp;A92&amp;""\b""))),""尚未入住"")&gt;0,INDEX(FILTER(sublease_contract!D:D,ARRAYFORMULA(REGEXMATCH(sublease_contract!E:E,""\b""&amp;A92&amp;""\b"")),sublease_con"&amp;"tract!G:G=""尚未入住""),1),""非既有房客"")),""非既有房客""))
"),"非既有房客")</f>
        <v>非既有房客</v>
      </c>
      <c r="H92" s="227" t="s">
        <v>1776</v>
      </c>
      <c r="I92" s="239" t="str">
        <f>IFERROR(__xludf.DUMMYFUNCTION("""COMPUTED_VALUE"""),"✔ 有效身分證")</f>
        <v>✔ 有效身分證</v>
      </c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</row>
    <row r="93">
      <c r="A93" s="207" t="s">
        <v>1048</v>
      </c>
      <c r="B93" s="231" t="s">
        <v>1777</v>
      </c>
      <c r="C93" s="231" t="s">
        <v>1778</v>
      </c>
      <c r="D93" s="231" t="s">
        <v>1779</v>
      </c>
      <c r="E93" s="250" t="s">
        <v>1780</v>
      </c>
      <c r="F93" s="226" t="str">
        <f>IFERROR(__xludf.DUMMYFUNCTION("IF(A93="""","""",IFERROR(IF(COUNTIF(FILTER(sublease_contract!G:G,ARRAYFORMULA(REGEXMATCH(sublease_contract!E:E,""\b""&amp;A93&amp;""\b""))),""入住中"")&gt;0,INDEX(FILTER(sublease_contract!C:C,ARRAYFORMULA(REGEXMATCH(sublease_contract!E:E,""\b""&amp;A93&amp;""\b"")),sublease_co"&amp;"ntract!G:G=""入住中""),1),IF(COUNTIF(FILTER(sublease_contract!G:G,ARRAYFORMULA(REGEXMATCH(sublease_contract!E:E,""\b""&amp;A93&amp;""\b""))),""尚未入住"")&gt;0,INDEX(FILTER(sublease_contract!C:C,ARRAYFORMULA(REGEXMATCH(sublease_contract!E:E,""\b""&amp;A93&amp;""\b"")),sublease_con"&amp;"tract!G:G=""尚未入住""),1),""非既有房客"")),""非既有房客""))
"),"北醫醫師府")</f>
        <v>北醫醫師府</v>
      </c>
      <c r="G93" s="226" t="str">
        <f>IFERROR(__xludf.DUMMYFUNCTION("IF(A93="""","""",IFERROR(IF(COUNTIF(FILTER(sublease_contract!G:G,ARRAYFORMULA(REGEXMATCH(sublease_contract!E:E,""\b""&amp;A93&amp;""\b""))),""入住中"")&gt;0,INDEX(FILTER(sublease_contract!D:D,ARRAYFORMULA(REGEXMATCH(sublease_contract!E:E,""\b""&amp;A93&amp;""\b"")),sublease_co"&amp;"ntract!G:G=""入住中""),1),IF(COUNTIF(FILTER(sublease_contract!G:G,ARRAYFORMULA(REGEXMATCH(sublease_contract!E:E,""\b""&amp;A93&amp;""\b""))),""尚未入住"")&gt;0,INDEX(FILTER(sublease_contract!D:D,ARRAYFORMULA(REGEXMATCH(sublease_contract!E:E,""\b""&amp;A93&amp;""\b"")),sublease_con"&amp;"tract!G:G=""尚未入住""),1),""非既有房客"")),""非既有房客""))
"),"A")</f>
        <v>A</v>
      </c>
      <c r="H93" s="227" t="s">
        <v>1781</v>
      </c>
      <c r="I93" s="239" t="str">
        <f>IFERROR(__xludf.DUMMYFUNCTION("""COMPUTED_VALUE"""),"✔ 有效身分證")</f>
        <v>✔ 有效身分證</v>
      </c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</row>
    <row r="94">
      <c r="A94" s="251" t="s">
        <v>1052</v>
      </c>
      <c r="B94" s="252" t="s">
        <v>1782</v>
      </c>
      <c r="C94" s="252" t="s">
        <v>1783</v>
      </c>
      <c r="D94" s="252" t="s">
        <v>1784</v>
      </c>
      <c r="E94" s="253" t="s">
        <v>1785</v>
      </c>
      <c r="F94" s="254" t="str">
        <f>IFERROR(__xludf.DUMMYFUNCTION("IF(A94="""","""",IFERROR(IF(COUNTIF(FILTER(sublease_contract!G:G,ARRAYFORMULA(REGEXMATCH(sublease_contract!E:E,""\b""&amp;A94&amp;""\b""))),""入住中"")&gt;0,INDEX(FILTER(sublease_contract!C:C,ARRAYFORMULA(REGEXMATCH(sublease_contract!E:E,""\b""&amp;A94&amp;""\b"")),sublease_co"&amp;"ntract!G:G=""入住中""),1),IF(COUNTIF(FILTER(sublease_contract!G:G,ARRAYFORMULA(REGEXMATCH(sublease_contract!E:E,""\b""&amp;A94&amp;""\b""))),""尚未入住"")&gt;0,INDEX(FILTER(sublease_contract!C:C,ARRAYFORMULA(REGEXMATCH(sublease_contract!E:E,""\b""&amp;A94&amp;""\b"")),sublease_con"&amp;"tract!G:G=""尚未入住""),1),""非既有房客"")),""非既有房客""))
"),"中山北Feli家")</f>
        <v>中山北Feli家</v>
      </c>
      <c r="G94" s="254" t="str">
        <f>IFERROR(__xludf.DUMMYFUNCTION("IF(A94="""","""",IFERROR(IF(COUNTIF(FILTER(sublease_contract!G:G,ARRAYFORMULA(REGEXMATCH(sublease_contract!E:E,""\b""&amp;A94&amp;""\b""))),""入住中"")&gt;0,INDEX(FILTER(sublease_contract!D:D,ARRAYFORMULA(REGEXMATCH(sublease_contract!E:E,""\b""&amp;A94&amp;""\b"")),sublease_co"&amp;"ntract!G:G=""入住中""),1),IF(COUNTIF(FILTER(sublease_contract!G:G,ARRAYFORMULA(REGEXMATCH(sublease_contract!E:E,""\b""&amp;A94&amp;""\b""))),""尚未入住"")&gt;0,INDEX(FILTER(sublease_contract!D:D,ARRAYFORMULA(REGEXMATCH(sublease_contract!E:E,""\b""&amp;A94&amp;""\b"")),sublease_con"&amp;"tract!G:G=""尚未入住""),1),""非既有房客"")),""非既有房客""))
"),"D")</f>
        <v>D</v>
      </c>
      <c r="H94" s="227" t="s">
        <v>1430</v>
      </c>
      <c r="I94" s="255" t="str">
        <f>IFERROR(__xludf.DUMMYFUNCTION("""COMPUTED_VALUE"""),"✔ 有效身分證")</f>
        <v>✔ 有效身分證</v>
      </c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</row>
    <row r="95">
      <c r="A95" s="207" t="s">
        <v>1075</v>
      </c>
      <c r="B95" s="231" t="s">
        <v>1786</v>
      </c>
      <c r="C95" s="231" t="s">
        <v>1787</v>
      </c>
      <c r="D95" s="231" t="s">
        <v>1788</v>
      </c>
      <c r="E95" s="241" t="s">
        <v>1789</v>
      </c>
      <c r="F95" s="226" t="str">
        <f>IFERROR(__xludf.DUMMYFUNCTION("IF(A95="""","""",IFERROR(IF(COUNTIF(FILTER(sublease_contract!G:G,ARRAYFORMULA(REGEXMATCH(sublease_contract!E:E,""\b""&amp;A95&amp;""\b""))),""入住中"")&gt;0,INDEX(FILTER(sublease_contract!C:C,ARRAYFORMULA(REGEXMATCH(sublease_contract!E:E,""\b""&amp;A95&amp;""\b"")),sublease_co"&amp;"ntract!G:G=""入住中""),1),IF(COUNTIF(FILTER(sublease_contract!G:G,ARRAYFORMULA(REGEXMATCH(sublease_contract!E:E,""\b""&amp;A95&amp;""\b""))),""尚未入住"")&gt;0,INDEX(FILTER(sublease_contract!C:C,ARRAYFORMULA(REGEXMATCH(sublease_contract!E:E,""\b""&amp;A95&amp;""\b"")),sublease_con"&amp;"tract!G:G=""尚未入住""),1),""非既有房客"")),""非既有房客""))
"),"非既有房客")</f>
        <v>非既有房客</v>
      </c>
      <c r="G95" s="226" t="str">
        <f>IFERROR(__xludf.DUMMYFUNCTION("IF(A95="""","""",IFERROR(IF(COUNTIF(FILTER(sublease_contract!G:G,ARRAYFORMULA(REGEXMATCH(sublease_contract!E:E,""\b""&amp;A95&amp;""\b""))),""入住中"")&gt;0,INDEX(FILTER(sublease_contract!D:D,ARRAYFORMULA(REGEXMATCH(sublease_contract!E:E,""\b""&amp;A95&amp;""\b"")),sublease_co"&amp;"ntract!G:G=""入住中""),1),IF(COUNTIF(FILTER(sublease_contract!G:G,ARRAYFORMULA(REGEXMATCH(sublease_contract!E:E,""\b""&amp;A95&amp;""\b""))),""尚未入住"")&gt;0,INDEX(FILTER(sublease_contract!D:D,ARRAYFORMULA(REGEXMATCH(sublease_contract!E:E,""\b""&amp;A95&amp;""\b"")),sublease_con"&amp;"tract!G:G=""尚未入住""),1),""非既有房客"")),""非既有房客""))
"),"非既有房客")</f>
        <v>非既有房客</v>
      </c>
      <c r="H95" s="227"/>
      <c r="I95" s="239" t="str">
        <f>IFERROR(__xludf.DUMMYFUNCTION("""COMPUTED_VALUE"""),"✔ 有效身分證")</f>
        <v>✔ 有效身分證</v>
      </c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</row>
    <row r="96">
      <c r="A96" s="207" t="s">
        <v>1096</v>
      </c>
      <c r="B96" s="231" t="s">
        <v>1790</v>
      </c>
      <c r="C96" s="231" t="s">
        <v>1791</v>
      </c>
      <c r="D96" s="231" t="s">
        <v>1792</v>
      </c>
      <c r="E96" s="241" t="s">
        <v>1793</v>
      </c>
      <c r="F96" s="226" t="str">
        <f>IFERROR(__xludf.DUMMYFUNCTION("IF(A96="""","""",IFERROR(IF(COUNTIF(FILTER(sublease_contract!G:G,ARRAYFORMULA(REGEXMATCH(sublease_contract!E:E,""\b""&amp;A96&amp;""\b""))),""入住中"")&gt;0,INDEX(FILTER(sublease_contract!C:C,ARRAYFORMULA(REGEXMATCH(sublease_contract!E:E,""\b""&amp;A96&amp;""\b"")),sublease_co"&amp;"ntract!G:G=""入住中""),1),IF(COUNTIF(FILTER(sublease_contract!G:G,ARRAYFORMULA(REGEXMATCH(sublease_contract!E:E,""\b""&amp;A96&amp;""\b""))),""尚未入住"")&gt;0,INDEX(FILTER(sublease_contract!C:C,ARRAYFORMULA(REGEXMATCH(sublease_contract!E:E,""\b""&amp;A96&amp;""\b"")),sublease_con"&amp;"tract!G:G=""尚未入住""),1),""非既有房客"")),""非既有房客""))
"),"景安2分鐘")</f>
        <v>景安2分鐘</v>
      </c>
      <c r="G96" s="226" t="str">
        <f>IFERROR(__xludf.DUMMYFUNCTION("IF(A96="""","""",IFERROR(IF(COUNTIF(FILTER(sublease_contract!G:G,ARRAYFORMULA(REGEXMATCH(sublease_contract!E:E,""\b""&amp;A96&amp;""\b""))),""入住中"")&gt;0,INDEX(FILTER(sublease_contract!D:D,ARRAYFORMULA(REGEXMATCH(sublease_contract!E:E,""\b""&amp;A96&amp;""\b"")),sublease_co"&amp;"ntract!G:G=""入住中""),1),IF(COUNTIF(FILTER(sublease_contract!G:G,ARRAYFORMULA(REGEXMATCH(sublease_contract!E:E,""\b""&amp;A96&amp;""\b""))),""尚未入住"")&gt;0,INDEX(FILTER(sublease_contract!D:D,ARRAYFORMULA(REGEXMATCH(sublease_contract!E:E,""\b""&amp;A96&amp;""\b"")),sublease_con"&amp;"tract!G:G=""尚未入住""),1),""非既有房客"")),""非既有房客""))
"),"E")</f>
        <v>E</v>
      </c>
      <c r="H96" s="227" t="s">
        <v>1615</v>
      </c>
      <c r="I96" s="239" t="str">
        <f>IFERROR(__xludf.DUMMYFUNCTION("""COMPUTED_VALUE"""),"✔ 有效身分證")</f>
        <v>✔ 有效身分證</v>
      </c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</row>
    <row r="97">
      <c r="A97" s="207" t="s">
        <v>1087</v>
      </c>
      <c r="B97" s="231" t="s">
        <v>1794</v>
      </c>
      <c r="C97" s="231" t="s">
        <v>1795</v>
      </c>
      <c r="D97" s="231" t="s">
        <v>1796</v>
      </c>
      <c r="E97" s="241" t="s">
        <v>1797</v>
      </c>
      <c r="F97" s="226" t="str">
        <f>IFERROR(__xludf.DUMMYFUNCTION("IF(A97="""","""",IFERROR(IF(COUNTIF(FILTER(sublease_contract!G:G,ARRAYFORMULA(REGEXMATCH(sublease_contract!E:E,""\b""&amp;A97&amp;""\b""))),""入住中"")&gt;0,INDEX(FILTER(sublease_contract!C:C,ARRAYFORMULA(REGEXMATCH(sublease_contract!E:E,""\b""&amp;A97&amp;""\b"")),sublease_co"&amp;"ntract!G:G=""入住中""),1),IF(COUNTIF(FILTER(sublease_contract!G:G,ARRAYFORMULA(REGEXMATCH(sublease_contract!E:E,""\b""&amp;A97&amp;""\b""))),""尚未入住"")&gt;0,INDEX(FILTER(sublease_contract!C:C,ARRAYFORMULA(REGEXMATCH(sublease_contract!E:E,""\b""&amp;A97&amp;""\b"")),sublease_con"&amp;"tract!G:G=""尚未入住""),1),""非既有房客"")),""非既有房客""))
"),"中山北娘家旁")</f>
        <v>中山北娘家旁</v>
      </c>
      <c r="G97" s="226" t="str">
        <f>IFERROR(__xludf.DUMMYFUNCTION("IF(A97="""","""",IFERROR(IF(COUNTIF(FILTER(sublease_contract!G:G,ARRAYFORMULA(REGEXMATCH(sublease_contract!E:E,""\b""&amp;A97&amp;""\b""))),""入住中"")&gt;0,INDEX(FILTER(sublease_contract!D:D,ARRAYFORMULA(REGEXMATCH(sublease_contract!E:E,""\b""&amp;A97&amp;""\b"")),sublease_co"&amp;"ntract!G:G=""入住中""),1),IF(COUNTIF(FILTER(sublease_contract!G:G,ARRAYFORMULA(REGEXMATCH(sublease_contract!E:E,""\b""&amp;A97&amp;""\b""))),""尚未入住"")&gt;0,INDEX(FILTER(sublease_contract!D:D,ARRAYFORMULA(REGEXMATCH(sublease_contract!E:E,""\b""&amp;A97&amp;""\b"")),sublease_con"&amp;"tract!G:G=""尚未入住""),1),""非既有房客"")),""非既有房客""))
"),"B")</f>
        <v>B</v>
      </c>
      <c r="H97" s="227" t="s">
        <v>1399</v>
      </c>
      <c r="I97" s="239" t="str">
        <f>IFERROR(__xludf.DUMMYFUNCTION("""COMPUTED_VALUE"""),"✔ 有效身分證")</f>
        <v>✔ 有效身分證</v>
      </c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</row>
    <row r="98">
      <c r="A98" s="207" t="s">
        <v>1100</v>
      </c>
      <c r="B98" s="231" t="s">
        <v>1798</v>
      </c>
      <c r="C98" s="231" t="s">
        <v>1799</v>
      </c>
      <c r="D98" s="231" t="s">
        <v>1800</v>
      </c>
      <c r="E98" s="241" t="s">
        <v>1801</v>
      </c>
      <c r="F98" s="226" t="str">
        <f>IFERROR(__xludf.DUMMYFUNCTION("IF(A98="""","""",IFERROR(IF(COUNTIF(FILTER(sublease_contract!G:G,ARRAYFORMULA(REGEXMATCH(sublease_contract!E:E,""\b""&amp;A98&amp;""\b""))),""入住中"")&gt;0,INDEX(FILTER(sublease_contract!C:C,ARRAYFORMULA(REGEXMATCH(sublease_contract!E:E,""\b""&amp;A98&amp;""\b"")),sublease_co"&amp;"ntract!G:G=""入住中""),1),IF(COUNTIF(FILTER(sublease_contract!G:G,ARRAYFORMULA(REGEXMATCH(sublease_contract!E:E,""\b""&amp;A98&amp;""\b""))),""尚未入住"")&gt;0,INDEX(FILTER(sublease_contract!C:C,ARRAYFORMULA(REGEXMATCH(sublease_contract!E:E,""\b""&amp;A98&amp;""\b"")),sublease_con"&amp;"tract!G:G=""尚未入住""),1),""非既有房客"")),""非既有房客""))
"),"南港站挑高宅")</f>
        <v>南港站挑高宅</v>
      </c>
      <c r="G98" s="226" t="str">
        <f>IFERROR(__xludf.DUMMYFUNCTION("IF(A98="""","""",IFERROR(IF(COUNTIF(FILTER(sublease_contract!G:G,ARRAYFORMULA(REGEXMATCH(sublease_contract!E:E,""\b""&amp;A98&amp;""\b""))),""入住中"")&gt;0,INDEX(FILTER(sublease_contract!D:D,ARRAYFORMULA(REGEXMATCH(sublease_contract!E:E,""\b""&amp;A98&amp;""\b"")),sublease_co"&amp;"ntract!G:G=""入住中""),1),IF(COUNTIF(FILTER(sublease_contract!G:G,ARRAYFORMULA(REGEXMATCH(sublease_contract!E:E,""\b""&amp;A98&amp;""\b""))),""尚未入住"")&gt;0,INDEX(FILTER(sublease_contract!D:D,ARRAYFORMULA(REGEXMATCH(sublease_contract!E:E,""\b""&amp;A98&amp;""\b"")),sublease_con"&amp;"tract!G:G=""尚未入住""),1),""非既有房客"")),""非既有房客""))
"),"C")</f>
        <v>C</v>
      </c>
      <c r="H98" s="227" t="s">
        <v>1802</v>
      </c>
      <c r="I98" s="239" t="str">
        <f>IFERROR(__xludf.DUMMYFUNCTION("""COMPUTED_VALUE"""),"✔ 有效身分證")</f>
        <v>✔ 有效身分證</v>
      </c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</row>
    <row r="99">
      <c r="A99" s="207" t="s">
        <v>1104</v>
      </c>
      <c r="B99" s="231" t="s">
        <v>1803</v>
      </c>
      <c r="C99" s="231" t="s">
        <v>1804</v>
      </c>
      <c r="D99" s="231" t="s">
        <v>1805</v>
      </c>
      <c r="E99" s="241" t="s">
        <v>1806</v>
      </c>
      <c r="F99" s="226" t="str">
        <f>IFERROR(__xludf.DUMMYFUNCTION("IF(A99="""","""",IFERROR(IF(COUNTIF(FILTER(sublease_contract!G:G,ARRAYFORMULA(REGEXMATCH(sublease_contract!E:E,""\b""&amp;A99&amp;""\b""))),""入住中"")&gt;0,INDEX(FILTER(sublease_contract!C:C,ARRAYFORMULA(REGEXMATCH(sublease_contract!E:E,""\b""&amp;A99&amp;""\b"")),sublease_co"&amp;"ntract!G:G=""入住中""),1),IF(COUNTIF(FILTER(sublease_contract!G:G,ARRAYFORMULA(REGEXMATCH(sublease_contract!E:E,""\b""&amp;A99&amp;""\b""))),""尚未入住"")&gt;0,INDEX(FILTER(sublease_contract!C:C,ARRAYFORMULA(REGEXMATCH(sublease_contract!E:E,""\b""&amp;A99&amp;""\b"")),sublease_con"&amp;"tract!G:G=""尚未入住""),1),""非既有房客"")),""非既有房客""))
"),"非既有房客")</f>
        <v>非既有房客</v>
      </c>
      <c r="G99" s="226" t="str">
        <f>IFERROR(__xludf.DUMMYFUNCTION("IF(A99="""","""",IFERROR(IF(COUNTIF(FILTER(sublease_contract!G:G,ARRAYFORMULA(REGEXMATCH(sublease_contract!E:E,""\b""&amp;A99&amp;""\b""))),""入住中"")&gt;0,INDEX(FILTER(sublease_contract!D:D,ARRAYFORMULA(REGEXMATCH(sublease_contract!E:E,""\b""&amp;A99&amp;""\b"")),sublease_co"&amp;"ntract!G:G=""入住中""),1),IF(COUNTIF(FILTER(sublease_contract!G:G,ARRAYFORMULA(REGEXMATCH(sublease_contract!E:E,""\b""&amp;A99&amp;""\b""))),""尚未入住"")&gt;0,INDEX(FILTER(sublease_contract!D:D,ARRAYFORMULA(REGEXMATCH(sublease_contract!E:E,""\b""&amp;A99&amp;""\b"")),sublease_con"&amp;"tract!G:G=""尚未入住""),1),""非既有房客"")),""非既有房客""))
"),"非既有房客")</f>
        <v>非既有房客</v>
      </c>
      <c r="H99" s="227" t="s">
        <v>1807</v>
      </c>
      <c r="I99" s="239" t="str">
        <f>IFERROR(__xludf.DUMMYFUNCTION("""COMPUTED_VALUE"""),"✔ 有效身分證")</f>
        <v>✔ 有效身分證</v>
      </c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</row>
    <row r="100">
      <c r="A100" s="207" t="s">
        <v>1110</v>
      </c>
      <c r="B100" s="231" t="s">
        <v>1808</v>
      </c>
      <c r="C100" s="231" t="s">
        <v>1809</v>
      </c>
      <c r="D100" s="231" t="s">
        <v>1810</v>
      </c>
      <c r="E100" s="241" t="s">
        <v>1811</v>
      </c>
      <c r="F100" s="226" t="str">
        <f>IFERROR(__xludf.DUMMYFUNCTION("IF(A100="""","""",IFERROR(IF(COUNTIF(FILTER(sublease_contract!G:G,ARRAYFORMULA(REGEXMATCH(sublease_contract!E:E,""\b""&amp;A100&amp;""\b""))),""入住中"")&gt;0,INDEX(FILTER(sublease_contract!C:C,ARRAYFORMULA(REGEXMATCH(sublease_contract!E:E,""\b""&amp;A100&amp;""\b"")),sublease"&amp;"_contract!G:G=""入住中""),1),IF(COUNTIF(FILTER(sublease_contract!G:G,ARRAYFORMULA(REGEXMATCH(sublease_contract!E:E,""\b""&amp;A100&amp;""\b""))),""尚未入住"")&gt;0,INDEX(FILTER(sublease_contract!C:C,ARRAYFORMULA(REGEXMATCH(sublease_contract!E:E,""\b""&amp;A100&amp;""\b"")),subleas"&amp;"e_contract!G:G=""尚未入住""),1),""非既有房客"")),""非既有房客""))
"),"哈拉對面")</f>
        <v>哈拉對面</v>
      </c>
      <c r="G100" s="226" t="str">
        <f>IFERROR(__xludf.DUMMYFUNCTION("IF(A100="""", """", IFERROR(
  TEXTJOIN("", "", TRUE, FILTER(sublease_contract!D:D, 
    ARRAYFORMULA(REGEXMATCH(sublease_contract!E:E, ""\b"" &amp; A100 &amp; ""\b"")),
    sublease_contract!G:G=""入住中""
  )),
  ""非既有房客""
))
"),"B")</f>
        <v>B</v>
      </c>
      <c r="H100" s="227" t="s">
        <v>1523</v>
      </c>
      <c r="I100" s="239" t="str">
        <f>IFERROR(__xludf.DUMMYFUNCTION("""COMPUTED_VALUE"""),"✔ 有效身分證")</f>
        <v>✔ 有效身分證</v>
      </c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</row>
    <row r="101">
      <c r="A101" s="207" t="s">
        <v>1114</v>
      </c>
      <c r="B101" s="231" t="s">
        <v>1812</v>
      </c>
      <c r="C101" s="231" t="s">
        <v>1813</v>
      </c>
      <c r="D101" s="231" t="s">
        <v>1814</v>
      </c>
      <c r="E101" s="241" t="s">
        <v>1815</v>
      </c>
      <c r="F101" s="226" t="str">
        <f>IFERROR(__xludf.DUMMYFUNCTION("IF(A101="""", """", IFERROR(
  TEXTJOIN("", "", TRUE, FILTER(sublease_contract!C:C, 
    ARRAYFORMULA(REGEXMATCH(sublease_contract!E:E, ""\b"" &amp; A101 &amp; ""\b"")),
    sublease_contract!G:G=""入住中""
  )),
  ""非既有房客""
))
"),"金龍帽子先生")</f>
        <v>金龍帽子先生</v>
      </c>
      <c r="G101" s="226" t="str">
        <f>IFERROR(__xludf.DUMMYFUNCTION("IF(A101="""", """", IFERROR(
  TEXTJOIN("", "", TRUE, FILTER(sublease_contract!D:D, 
    ARRAYFORMULA(REGEXMATCH(sublease_contract!E:E, ""\b"" &amp; A101 &amp; ""\b"")),
    sublease_contract!G:G=""入住中""
  )),
  ""非既有房客""
))
"),"C")</f>
        <v>C</v>
      </c>
      <c r="H101" s="227" t="s">
        <v>1425</v>
      </c>
      <c r="I101" s="239" t="str">
        <f>IFERROR(__xludf.DUMMYFUNCTION("""COMPUTED_VALUE"""),"✔ 有效身分證")</f>
        <v>✔ 有效身分證</v>
      </c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</row>
    <row r="102">
      <c r="A102" s="207" t="s">
        <v>1120</v>
      </c>
      <c r="B102" s="232" t="s">
        <v>1816</v>
      </c>
      <c r="C102" s="232" t="s">
        <v>1817</v>
      </c>
      <c r="D102" s="232" t="s">
        <v>1818</v>
      </c>
      <c r="E102" s="232" t="s">
        <v>1819</v>
      </c>
      <c r="F102" s="257" t="str">
        <f>IFERROR(__xludf.DUMMYFUNCTION("IF(A102="""", """", IFERROR(
  TEXTJOIN("", "", TRUE, FILTER(sublease_contract!C:C, 
    ARRAYFORMULA(REGEXMATCH(sublease_contract!E:E, ""\b"" &amp; A102 &amp; ""\b"")),
    sublease_contract!G:G=""入住中""
  )),
  ""非既有房客""
))
"),"龍江229")</f>
        <v>龍江229</v>
      </c>
      <c r="G102" s="257" t="str">
        <f>IFERROR(__xludf.DUMMYFUNCTION("IF(A102="""", """", IFERROR(
  TEXTJOIN("", "", TRUE, FILTER(sublease_contract!D:D, 
    ARRAYFORMULA(REGEXMATCH(sublease_contract!E:E, ""\b"" &amp; A102 &amp; ""\b"")),
    sublease_contract!G:G=""入住中""
  )),
  ""非既有房客""
))
"),"C")</f>
        <v>C</v>
      </c>
      <c r="H102" s="227" t="s">
        <v>1820</v>
      </c>
      <c r="I102" s="234" t="str">
        <f>IFERROR(__xludf.DUMMYFUNCTION("""COMPUTED_VALUE"""),"✔ 有效身分證")</f>
        <v>✔ 有效身分證</v>
      </c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</row>
    <row r="103">
      <c r="A103" s="207" t="s">
        <v>1128</v>
      </c>
      <c r="B103" s="232" t="s">
        <v>1821</v>
      </c>
      <c r="C103" s="232" t="s">
        <v>1822</v>
      </c>
      <c r="D103" s="232" t="s">
        <v>1823</v>
      </c>
      <c r="E103" s="258" t="s">
        <v>1824</v>
      </c>
      <c r="F103" s="257" t="str">
        <f>IFERROR(__xludf.DUMMYFUNCTION("IF(A103="""", """", IFERROR(
  TEXTJOIN("", "", TRUE, FILTER(sublease_contract!C:C, 
    ARRAYFORMULA(REGEXMATCH(sublease_contract!E:E, ""\b"" &amp; A103 &amp; ""\b"")),
    sublease_contract!G:G=""入住中""
  )),
  ""非既有房客""
))
"),"非既有房客")</f>
        <v>非既有房客</v>
      </c>
      <c r="G103" s="257" t="str">
        <f>IFERROR(__xludf.DUMMYFUNCTION("IF(A103="""", """", IFERROR(
  TEXTJOIN("", "", TRUE, FILTER(sublease_contract!D:D, 
    ARRAYFORMULA(REGEXMATCH(sublease_contract!E:E, ""\b"" &amp; A103 &amp; ""\b"")),
    sublease_contract!G:G=""入住中""
  )),
  ""非既有房客""
))
"),"非既有房客")</f>
        <v>非既有房客</v>
      </c>
      <c r="H103" s="227" t="s">
        <v>1425</v>
      </c>
      <c r="I103" s="234" t="str">
        <f>IFERROR(__xludf.DUMMYFUNCTION("""COMPUTED_VALUE"""),"✔ 有效身分證")</f>
        <v>✔ 有效身分證</v>
      </c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</row>
    <row r="104">
      <c r="A104" s="207" t="s">
        <v>1141</v>
      </c>
      <c r="B104" s="224" t="s">
        <v>1825</v>
      </c>
      <c r="C104" s="231" t="s">
        <v>1826</v>
      </c>
      <c r="D104" s="231" t="s">
        <v>1827</v>
      </c>
      <c r="E104" s="249" t="s">
        <v>1828</v>
      </c>
      <c r="F104" s="257" t="str">
        <f>IFERROR(__xludf.DUMMYFUNCTION("IF(A104="""", """", IFERROR(
  TEXTJOIN("", "", TRUE, FILTER(sublease_contract!C:C, 
    ARRAYFORMULA(REGEXMATCH(sublease_contract!E:E, ""\b"" &amp; A104 &amp; ""\b"")),
    sublease_contract!G:G=""入住中""
  )),
  ""非既有房客""
))
"),"金龍帽子先生")</f>
        <v>金龍帽子先生</v>
      </c>
      <c r="G104" s="226" t="str">
        <f>IFERROR(__xludf.DUMMYFUNCTION("IF(A104="""", """", IFERROR(
  TEXTJOIN("", "", TRUE, FILTER(sublease_contract!D:D, 
    ARRAYFORMULA(REGEXMATCH(sublease_contract!E:E, ""\b"" &amp; A104 &amp; ""\b"")),
    sublease_contract!G:G=""入住中""
  )),
  ""非既有房客""
))
"),"D")</f>
        <v>D</v>
      </c>
      <c r="H104" s="227" t="s">
        <v>1394</v>
      </c>
      <c r="I104" s="239" t="str">
        <f>IFERROR(__xludf.DUMMYFUNCTION("""COMPUTED_VALUE"""),"✔ 有效身分證")</f>
        <v>✔ 有效身分證</v>
      </c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</row>
    <row r="105">
      <c r="A105" s="207" t="s">
        <v>1136</v>
      </c>
      <c r="B105" s="224" t="s">
        <v>1829</v>
      </c>
      <c r="C105" s="231" t="s">
        <v>1830</v>
      </c>
      <c r="D105" s="224" t="s">
        <v>1831</v>
      </c>
      <c r="E105" s="249" t="s">
        <v>1832</v>
      </c>
      <c r="F105" s="257" t="str">
        <f>IFERROR(__xludf.DUMMYFUNCTION("IF(A105="""", """", IFERROR(
  TEXTJOIN("", "", TRUE, FILTER(sublease_contract!C:C, 
    ARRAYFORMULA(REGEXMATCH(sublease_contract!E:E, ""\b"" &amp; A105 &amp; ""\b"")),
    sublease_contract!G:G=""入住中""
  )),
  ""非既有房客""
))
"),"中山北娘家旁")</f>
        <v>中山北娘家旁</v>
      </c>
      <c r="G105" s="257" t="str">
        <f>IFERROR(__xludf.DUMMYFUNCTION("IF(A105="""", """", IFERROR(
  TEXTJOIN("", "", TRUE, FILTER(sublease_contract!D:D, 
    ARRAYFORMULA(REGEXMATCH(sublease_contract!E:E, ""\b"" &amp; A105 &amp; ""\b"")),
    sublease_contract!G:G=""入住中""
  )),
  ""非既有房客""
))
"),"D")</f>
        <v>D</v>
      </c>
      <c r="H105" s="227" t="s">
        <v>1394</v>
      </c>
      <c r="I105" s="239" t="str">
        <f>IFERROR(__xludf.DUMMYFUNCTION("""COMPUTED_VALUE"""),"✔ 有效身分證")</f>
        <v>✔ 有效身分證</v>
      </c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</row>
    <row r="106">
      <c r="A106" s="207" t="s">
        <v>1158</v>
      </c>
      <c r="B106" s="232" t="s">
        <v>1833</v>
      </c>
      <c r="C106" s="232" t="s">
        <v>1834</v>
      </c>
      <c r="D106" s="232" t="s">
        <v>1835</v>
      </c>
      <c r="E106" s="258" t="s">
        <v>1836</v>
      </c>
      <c r="F106" s="257" t="str">
        <f>IFERROR(__xludf.DUMMYFUNCTION("IF(A106="""", """", IFERROR(
  TEXTJOIN("", "", TRUE, FILTER(sublease_contract!C:C, 
    ARRAYFORMULA(REGEXMATCH(sublease_contract!E:E, ""\b"" &amp; A106 &amp; ""\b"")),
    sublease_contract!G:G=""入住中""
  )),
  ""非既有房客""
))
"),"大湖山莊")</f>
        <v>大湖山莊</v>
      </c>
      <c r="G106" s="257" t="str">
        <f>IFERROR(__xludf.DUMMYFUNCTION("IF(A106="""", """", IFERROR(
  TEXTJOIN("", "", TRUE, FILTER(sublease_contract!D:D, 
    ARRAYFORMULA(REGEXMATCH(sublease_contract!E:E, ""\b"" &amp; A106 &amp; ""\b"")),
    sublease_contract!G:G=""入住中""
  )),
  ""非既有房客""
))
"),"G")</f>
        <v>G</v>
      </c>
      <c r="H106" s="227" t="s">
        <v>1425</v>
      </c>
      <c r="I106" s="239" t="str">
        <f>IFERROR(__xludf.DUMMYFUNCTION("""COMPUTED_VALUE"""),"✔ 有效身分證")</f>
        <v>✔ 有效身分證</v>
      </c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>
      <c r="A107" s="207" t="s">
        <v>1153</v>
      </c>
      <c r="B107" s="232" t="s">
        <v>1837</v>
      </c>
      <c r="C107" s="232" t="s">
        <v>1838</v>
      </c>
      <c r="D107" s="232" t="s">
        <v>1839</v>
      </c>
      <c r="E107" s="232" t="s">
        <v>1840</v>
      </c>
      <c r="F107" s="257" t="str">
        <f>IFERROR(__xludf.DUMMYFUNCTION("IF(A107="""", """", IFERROR(
  TEXTJOIN("", "", TRUE, FILTER(sublease_contract!C:C, 
    ARRAYFORMULA(REGEXMATCH(sublease_contract!E:E, ""\b"" &amp; A107 &amp; ""\b"")),
    sublease_contract!G:G=""入住中""
  )),
  ""非既有房客""
))
"),"非既有房客")</f>
        <v>非既有房客</v>
      </c>
      <c r="G107" s="257" t="str">
        <f>IFERROR(__xludf.DUMMYFUNCTION("IF(A107="""", """", IFERROR(
  TEXTJOIN("", "", TRUE, FILTER(sublease_contract!D:D, 
    ARRAYFORMULA(REGEXMATCH(sublease_contract!E:E, ""\b"" &amp; A107 &amp; ""\b"")),
    sublease_contract!G:G=""入住中""
  )),
  ""非既有房客""
))
"),"非既有房客")</f>
        <v>非既有房客</v>
      </c>
      <c r="H107" s="227" t="s">
        <v>1394</v>
      </c>
      <c r="I107" s="239" t="str">
        <f>IFERROR(__xludf.DUMMYFUNCTION("""COMPUTED_VALUE"""),"✔ 有效身分證")</f>
        <v>✔ 有效身分證</v>
      </c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>
      <c r="A108" s="207" t="s">
        <v>1167</v>
      </c>
      <c r="B108" s="232" t="s">
        <v>1841</v>
      </c>
      <c r="C108" s="232" t="s">
        <v>1842</v>
      </c>
      <c r="D108" s="232" t="s">
        <v>1843</v>
      </c>
      <c r="E108" s="258" t="s">
        <v>1844</v>
      </c>
      <c r="F108" s="257" t="str">
        <f>IFERROR(__xludf.DUMMYFUNCTION("IF(A108="""", """", IFERROR(
  TEXTJOIN("", "", TRUE, FILTER(sublease_contract!C:C, 
    ARRAYFORMULA(REGEXMATCH(sublease_contract!E:E, ""\b"" &amp; A108 &amp; ""\b"")),
    sublease_contract!G:G=""入住中""
  )),
  ""非既有房客""
))
"),"北醫醫師府")</f>
        <v>北醫醫師府</v>
      </c>
      <c r="G108" s="257" t="str">
        <f>IFERROR(__xludf.DUMMYFUNCTION("IF(A108="""", """", IFERROR(
  TEXTJOIN("", "", TRUE, FILTER(sublease_contract!D:D, 
    ARRAYFORMULA(REGEXMATCH(sublease_contract!E:E, ""\b"" &amp; A108 &amp; ""\b"")),
    sublease_contract!G:G=""入住中""
  )),
  ""非既有房客""
))
"),"D")</f>
        <v>D</v>
      </c>
      <c r="H108" s="227" t="s">
        <v>1394</v>
      </c>
      <c r="I108" s="259" t="str">
        <f>IFERROR(__xludf.DUMMYFUNCTION("""COMPUTED_VALUE"""),"✔ 有效身分證")</f>
        <v>✔ 有效身分證</v>
      </c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</row>
    <row r="109">
      <c r="A109" s="207" t="s">
        <v>1170</v>
      </c>
      <c r="B109" s="232" t="s">
        <v>1845</v>
      </c>
      <c r="C109" s="232" t="s">
        <v>1846</v>
      </c>
      <c r="D109" s="232" t="s">
        <v>1847</v>
      </c>
      <c r="E109" s="232" t="s">
        <v>1848</v>
      </c>
      <c r="F109" s="257" t="str">
        <f>IFERROR(__xludf.DUMMYFUNCTION("IF(A109="""", """", IFERROR(
  TEXTJOIN("", "", TRUE, FILTER(sublease_contract!C:C, 
    ARRAYFORMULA(REGEXMATCH(sublease_contract!E:E, ""\b"" &amp; A109 &amp; ""\b"")),
    sublease_contract!G:G=""入住中""
  )),
  ""非既有房客""
))
"),"內湖CityLink")</f>
        <v>內湖CityLink</v>
      </c>
      <c r="G109" s="257" t="str">
        <f>IFERROR(__xludf.DUMMYFUNCTION("IF(A109="""", """", IFERROR(
  TEXTJOIN("", "", TRUE, FILTER(sublease_contract!D:D, 
    ARRAYFORMULA(REGEXMATCH(sublease_contract!E:E, ""\b"" &amp; A109 &amp; ""\b"")),
    sublease_contract!G:G=""入住中""
  )),
  ""非既有房客""
))
"),"C")</f>
        <v>C</v>
      </c>
      <c r="H109" s="227" t="s">
        <v>1425</v>
      </c>
      <c r="I109" s="259" t="str">
        <f>IFERROR(__xludf.DUMMYFUNCTION("""COMPUTED_VALUE"""),"✔ 有效身分證")</f>
        <v>✔ 有效身分證</v>
      </c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</row>
    <row r="110">
      <c r="A110" s="207" t="s">
        <v>1178</v>
      </c>
      <c r="B110" s="224" t="s">
        <v>1849</v>
      </c>
      <c r="C110" s="224" t="s">
        <v>1850</v>
      </c>
      <c r="D110" s="224" t="s">
        <v>1851</v>
      </c>
      <c r="E110" s="246" t="s">
        <v>1852</v>
      </c>
      <c r="F110" s="257" t="str">
        <f>IFERROR(__xludf.DUMMYFUNCTION("IF(A110="""", """", IFERROR(
  TEXTJOIN("", "", TRUE, FILTER(sublease_contract!C:C, 
    ARRAYFORMULA(REGEXMATCH(sublease_contract!E:E, ""\b"" &amp; A110 &amp; ""\b"")),
    sublease_contract!G:G=""入住中""
  )),
  ""非既有房客""
))
"),"士林和豐")</f>
        <v>士林和豐</v>
      </c>
      <c r="G110" s="257" t="str">
        <f>IFERROR(__xludf.DUMMYFUNCTION("IF(A110="""", """", IFERROR(
  TEXTJOIN("", "", TRUE, FILTER(sublease_contract!D:D, 
    ARRAYFORMULA(REGEXMATCH(sublease_contract!E:E, ""\b"" &amp; A110 &amp; ""\b"")),
    sublease_contract!G:G=""入住中""
  )),
  ""非既有房客""
))
"),"C")</f>
        <v>C</v>
      </c>
      <c r="H110" s="227" t="s">
        <v>1425</v>
      </c>
      <c r="I110" s="239" t="str">
        <f>IFERROR(__xludf.DUMMYFUNCTION("""COMPUTED_VALUE"""),"✔ 有效身分證")</f>
        <v>✔ 有效身分證</v>
      </c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>
      <c r="A111" s="207" t="s">
        <v>1182</v>
      </c>
      <c r="B111" s="224" t="s">
        <v>1853</v>
      </c>
      <c r="C111" s="224" t="s">
        <v>1854</v>
      </c>
      <c r="D111" s="224" t="s">
        <v>1855</v>
      </c>
      <c r="E111" s="246" t="s">
        <v>1856</v>
      </c>
      <c r="F111" s="257" t="str">
        <f>IFERROR(__xludf.DUMMYFUNCTION("IF(A111="""", """", IFERROR(
  TEXTJOIN("", "", TRUE, FILTER(sublease_contract!C:C, 
    ARRAYFORMULA(REGEXMATCH(sublease_contract!E:E, ""\b"" &amp; A111 &amp; ""\b"")),
    sublease_contract!G:G=""入住中""
  )),
  ""非既有房客""
))
"),"龍江229")</f>
        <v>龍江229</v>
      </c>
      <c r="G111" s="257" t="str">
        <f>IFERROR(__xludf.DUMMYFUNCTION("IF(A111="""", """", IFERROR(
  TEXTJOIN("", "", TRUE, FILTER(sublease_contract!D:D, 
    ARRAYFORMULA(REGEXMATCH(sublease_contract!E:E, ""\b"" &amp; A111 &amp; ""\b"")),
    sublease_contract!G:G=""入住中""
  )),
  ""非既有房客""
))
"),"B")</f>
        <v>B</v>
      </c>
      <c r="H111" s="227" t="s">
        <v>1857</v>
      </c>
      <c r="I111" s="239" t="str">
        <f>IFERROR(__xludf.DUMMYFUNCTION("""COMPUTED_VALUE"""),"✔ 有效身分證")</f>
        <v>✔ 有效身分證</v>
      </c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>
      <c r="A112" s="207" t="s">
        <v>1187</v>
      </c>
      <c r="B112" s="232" t="s">
        <v>1858</v>
      </c>
      <c r="C112" s="232" t="s">
        <v>1859</v>
      </c>
      <c r="D112" s="232" t="s">
        <v>1860</v>
      </c>
      <c r="E112" s="232" t="s">
        <v>1861</v>
      </c>
      <c r="F112" s="257" t="str">
        <f>IFERROR(__xludf.DUMMYFUNCTION("IF(A112="""", """", IFERROR(
  TEXTJOIN("", "", TRUE, FILTER(sublease_contract!C:C, 
    ARRAYFORMULA(REGEXMATCH(sublease_contract!E:E, ""\b"" &amp; A112 &amp; ""\b"")),
    sublease_contract!G:G=""入住中""
  )),
  ""非既有房客""
))
"),"內湖CityLink")</f>
        <v>內湖CityLink</v>
      </c>
      <c r="G112" s="257" t="str">
        <f>IFERROR(__xludf.DUMMYFUNCTION("IF(A112="""", """", IFERROR(
  TEXTJOIN("", "", TRUE, FILTER(sublease_contract!D:D, 
    ARRAYFORMULA(REGEXMATCH(sublease_contract!E:E, ""\b"" &amp; A112 &amp; ""\b"")),
    sublease_contract!G:G=""入住中""
  )),
  ""非既有房客""
))
"),"A")</f>
        <v>A</v>
      </c>
      <c r="H112" s="227" t="s">
        <v>1394</v>
      </c>
      <c r="I112" s="239" t="str">
        <f>IFERROR(__xludf.DUMMYFUNCTION("""COMPUTED_VALUE"""),"✔ 有效身分證")</f>
        <v>✔ 有效身分證</v>
      </c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>
      <c r="A113" s="207" t="s">
        <v>1192</v>
      </c>
      <c r="B113" s="232" t="s">
        <v>1862</v>
      </c>
      <c r="C113" s="232" t="s">
        <v>1863</v>
      </c>
      <c r="D113" s="232" t="s">
        <v>1864</v>
      </c>
      <c r="E113" s="258" t="s">
        <v>1865</v>
      </c>
      <c r="F113" s="257" t="str">
        <f>IFERROR(__xludf.DUMMYFUNCTION("IF(A113="""", """", IFERROR(
  TEXTJOIN("", "", TRUE, FILTER(sublease_contract!C:C, 
    ARRAYFORMULA(REGEXMATCH(sublease_contract!E:E, ""\b"" &amp; A113 &amp; ""\b"")),
    sublease_contract!G:G=""入住中""
  )),
  ""非既有房客""
))
"),"哈拉對面")</f>
        <v>哈拉對面</v>
      </c>
      <c r="G113" s="257" t="str">
        <f>IFERROR(__xludf.DUMMYFUNCTION("IF(A113="""", """", IFERROR(
  TEXTJOIN("", "", TRUE, FILTER(sublease_contract!D:D, 
    ARRAYFORMULA(REGEXMATCH(sublease_contract!E:E, ""\b"" &amp; A113 &amp; ""\b"")),
    sublease_contract!G:G=""入住中""
  )),
  ""非既有房客""
))
"),"A")</f>
        <v>A</v>
      </c>
      <c r="H113" s="227" t="s">
        <v>1615</v>
      </c>
      <c r="I113" s="239" t="str">
        <f>IFERROR(__xludf.DUMMYFUNCTION("""COMPUTED_VALUE"""),"✔ 有效身分證")</f>
        <v>✔ 有效身分證</v>
      </c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>
      <c r="A114" s="207" t="s">
        <v>1197</v>
      </c>
      <c r="B114" s="232" t="s">
        <v>1866</v>
      </c>
      <c r="C114" s="232" t="s">
        <v>1867</v>
      </c>
      <c r="D114" s="232" t="s">
        <v>1868</v>
      </c>
      <c r="E114" s="232" t="s">
        <v>1869</v>
      </c>
      <c r="F114" s="257" t="str">
        <f>IFERROR(__xludf.DUMMYFUNCTION("IF(A114="""", """", IFERROR(
  TEXTJOIN("", "", TRUE, FILTER(sublease_contract!C:C, 
    ARRAYFORMULA(REGEXMATCH(sublease_contract!E:E, ""\b"" &amp; A114 &amp; ""\b"")),
    sublease_contract!G:G=""入住中""
  )),
  ""非既有房客""
))
"),"士林和豐")</f>
        <v>士林和豐</v>
      </c>
      <c r="G114" s="257" t="str">
        <f>IFERROR(__xludf.DUMMYFUNCTION("IF(A114="""", """", IFERROR(
  TEXTJOIN("", "", TRUE, FILTER(sublease_contract!D:D, 
    ARRAYFORMULA(REGEXMATCH(sublease_contract!E:E, ""\b"" &amp; A114 &amp; ""\b"")),
    sublease_contract!G:G=""入住中""
  )),
  ""非既有房客""
))
"),"B")</f>
        <v>B</v>
      </c>
      <c r="H114" s="227" t="s">
        <v>1626</v>
      </c>
      <c r="I114" s="239" t="str">
        <f>IFERROR(__xludf.DUMMYFUNCTION("""COMPUTED_VALUE"""),"✔ 有效身分證")</f>
        <v>✔ 有效身分證</v>
      </c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>
      <c r="A115" s="207" t="s">
        <v>1202</v>
      </c>
      <c r="B115" s="232" t="s">
        <v>1870</v>
      </c>
      <c r="C115" s="232" t="s">
        <v>1871</v>
      </c>
      <c r="D115" s="232" t="s">
        <v>1872</v>
      </c>
      <c r="E115" s="258" t="s">
        <v>1873</v>
      </c>
      <c r="F115" s="257" t="str">
        <f>IFERROR(__xludf.DUMMYFUNCTION("IF(A115="""", """", IFERROR(
  TEXTJOIN("", "", TRUE, FILTER(sublease_contract!C:C, 
    ARRAYFORMULA(REGEXMATCH(sublease_contract!E:E, ""\b"" &amp; A115 &amp; ""\b"")),
    sublease_contract!G:G=""入住中""
  )),
  ""非既有房客""
))
"),"內湖CityLink")</f>
        <v>內湖CityLink</v>
      </c>
      <c r="G115" s="257" t="str">
        <f>IFERROR(__xludf.DUMMYFUNCTION("IF(A115="""", """", IFERROR(
  TEXTJOIN("", "", TRUE, FILTER(sublease_contract!D:D, 
    ARRAYFORMULA(REGEXMATCH(sublease_contract!E:E, ""\b"" &amp; A115 &amp; ""\b"")),
    sublease_contract!G:G=""入住中""
  )),
  ""非既有房客""
))
"),"B")</f>
        <v>B</v>
      </c>
      <c r="H115" s="227" t="s">
        <v>1874</v>
      </c>
      <c r="I115" s="239" t="str">
        <f>IFERROR(__xludf.DUMMYFUNCTION("""COMPUTED_VALUE"""),"✔ 有效身分證")</f>
        <v>✔ 有效身分證</v>
      </c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>
      <c r="A116" s="207" t="s">
        <v>1206</v>
      </c>
      <c r="B116" s="232" t="s">
        <v>1875</v>
      </c>
      <c r="C116" s="232" t="s">
        <v>1876</v>
      </c>
      <c r="D116" s="232" t="s">
        <v>1877</v>
      </c>
      <c r="E116" s="232" t="s">
        <v>1878</v>
      </c>
      <c r="F116" s="257" t="str">
        <f>IFERROR(__xludf.DUMMYFUNCTION("IF(A116="""", """", IFERROR(
  TEXTJOIN("", "", TRUE, FILTER(sublease_contract!C:C, 
    ARRAYFORMULA(REGEXMATCH(sublease_contract!E:E, ""\b"" &amp; A116 &amp; ""\b"")),
    sublease_contract!G:G=""入住中""
  )),
  ""非既有房客""
))
"),"非既有房客")</f>
        <v>非既有房客</v>
      </c>
      <c r="G116" s="257" t="str">
        <f>IFERROR(__xludf.DUMMYFUNCTION("IF(A116="""", """", IFERROR(
  TEXTJOIN("", "", TRUE, FILTER(sublease_contract!D:D, 
    ARRAYFORMULA(REGEXMATCH(sublease_contract!E:E, ""\b"" &amp; A116 &amp; ""\b"")),
    sublease_contract!G:G=""入住中""
  )),
  ""非既有房客""
))
"),"非既有房客")</f>
        <v>非既有房客</v>
      </c>
      <c r="H116" s="227" t="s">
        <v>1879</v>
      </c>
      <c r="I116" s="239" t="str">
        <f>IFERROR(__xludf.DUMMYFUNCTION("""COMPUTED_VALUE"""),"✔ 有效身分證")</f>
        <v>✔ 有效身分證</v>
      </c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>
      <c r="A117" s="207" t="s">
        <v>1213</v>
      </c>
      <c r="B117" s="232" t="s">
        <v>1880</v>
      </c>
      <c r="C117" s="232" t="s">
        <v>1881</v>
      </c>
      <c r="D117" s="232" t="s">
        <v>1882</v>
      </c>
      <c r="E117" s="232" t="s">
        <v>1883</v>
      </c>
      <c r="F117" s="257" t="str">
        <f>IFERROR(__xludf.DUMMYFUNCTION("IF(A117="""", """", IFERROR(
  TEXTJOIN("", "", TRUE, FILTER(sublease_contract!C:C, 
    ARRAYFORMULA(REGEXMATCH(sublease_contract!E:E, ""\b"" &amp; A117 &amp; ""\b"")),
    sublease_contract!G:G=""入住中""
  )),
  ""非既有房客""
))
"),"大湖山莊")</f>
        <v>大湖山莊</v>
      </c>
      <c r="G117" s="257" t="str">
        <f>IFERROR(__xludf.DUMMYFUNCTION("IF(A117="""", """", IFERROR(
  TEXTJOIN("", "", TRUE, FILTER(sublease_contract!D:D, 
    ARRAYFORMULA(REGEXMATCH(sublease_contract!E:E, ""\b"" &amp; A117 &amp; ""\b"")),
    sublease_contract!G:G=""入住中""
  )),
  ""非既有房客""
))
"),"E")</f>
        <v>E</v>
      </c>
      <c r="H117" s="227" t="s">
        <v>1425</v>
      </c>
      <c r="I117" s="239" t="str">
        <f>IFERROR(__xludf.DUMMYFUNCTION("""COMPUTED_VALUE"""),"✔ 有效身分證")</f>
        <v>✔ 有效身分證</v>
      </c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>
      <c r="A118" s="207" t="s">
        <v>1217</v>
      </c>
      <c r="B118" s="232" t="s">
        <v>1884</v>
      </c>
      <c r="C118" s="232" t="s">
        <v>1885</v>
      </c>
      <c r="D118" s="232" t="s">
        <v>1886</v>
      </c>
      <c r="E118" s="232" t="s">
        <v>1887</v>
      </c>
      <c r="F118" s="257" t="str">
        <f>IFERROR(__xludf.DUMMYFUNCTION("IF(A118="""", """", IFERROR(
  TEXTJOIN("", "", TRUE, FILTER(sublease_contract!C:C, 
    ARRAYFORMULA(REGEXMATCH(sublease_contract!E:E, ""\b"" &amp; A118 &amp; ""\b"")),
    sublease_contract!G:G=""入住中""
  )),
  ""非既有房客""
))
"),"內湖CityLink")</f>
        <v>內湖CityLink</v>
      </c>
      <c r="G118" s="257" t="str">
        <f>IFERROR(__xludf.DUMMYFUNCTION("IF(A118="""", """", IFERROR(
  TEXTJOIN("", "", TRUE, FILTER(sublease_contract!D:D, 
    ARRAYFORMULA(REGEXMATCH(sublease_contract!E:E, ""\b"" &amp; A118 &amp; ""\b"")),
    sublease_contract!G:G=""入住中""
  )),
  ""非既有房客""
))
"),"F")</f>
        <v>F</v>
      </c>
      <c r="H118" s="227" t="s">
        <v>1888</v>
      </c>
      <c r="I118" s="239" t="str">
        <f>IFERROR(__xludf.DUMMYFUNCTION("""COMPUTED_VALUE"""),"✔ 有效身分證")</f>
        <v>✔ 有效身分證</v>
      </c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>
      <c r="A119" s="207" t="s">
        <v>1220</v>
      </c>
      <c r="B119" s="232" t="s">
        <v>1889</v>
      </c>
      <c r="C119" s="232" t="s">
        <v>1890</v>
      </c>
      <c r="D119" s="232" t="s">
        <v>1891</v>
      </c>
      <c r="E119" s="258" t="s">
        <v>1892</v>
      </c>
      <c r="F119" s="257" t="str">
        <f>IFERROR(__xludf.DUMMYFUNCTION("IF(A119="""", """", IFERROR(
  TEXTJOIN("", "", TRUE, FILTER(sublease_contract!C:C, 
    ARRAYFORMULA(REGEXMATCH(sublease_contract!E:E, ""\b"" &amp; A119 &amp; ""\b"")),
    sublease_contract!G:G=""入住中""
  )),
  ""非既有房客""
))
"),"北醫醫師府")</f>
        <v>北醫醫師府</v>
      </c>
      <c r="G119" s="257" t="str">
        <f>IFERROR(__xludf.DUMMYFUNCTION("IF(A119="""", """", IFERROR(
  TEXTJOIN("", "", TRUE, FILTER(sublease_contract!D:D, 
    ARRAYFORMULA(REGEXMATCH(sublease_contract!E:E, ""\b"" &amp; A119 &amp; ""\b"")),
    sublease_contract!G:G=""入住中""
  )),
  ""非既有房客""
))
"),"E")</f>
        <v>E</v>
      </c>
      <c r="H119" s="227" t="s">
        <v>1893</v>
      </c>
      <c r="I119" s="239" t="str">
        <f>IFERROR(__xludf.DUMMYFUNCTION("""COMPUTED_VALUE"""),"✔ 有效身分證")</f>
        <v>✔ 有效身分證</v>
      </c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>
      <c r="A120" s="207" t="s">
        <v>1223</v>
      </c>
      <c r="B120" s="232" t="s">
        <v>1894</v>
      </c>
      <c r="C120" s="232" t="s">
        <v>1895</v>
      </c>
      <c r="D120" s="232" t="s">
        <v>1896</v>
      </c>
      <c r="E120" s="232"/>
      <c r="F120" s="257" t="str">
        <f>IFERROR(__xludf.DUMMYFUNCTION("IF(A120="""", """", IFERROR(
  TEXTJOIN("", "", TRUE, FILTER(sublease_contract!C:C, 
    ARRAYFORMULA(REGEXMATCH(sublease_contract!E:E, ""\b"" &amp; A120 &amp; ""\b"")),
    sublease_contract!G:G=""入住中""
  )),
  ""非既有房客""
))
"),"北醫醫師府")</f>
        <v>北醫醫師府</v>
      </c>
      <c r="G120" s="257" t="str">
        <f>IFERROR(__xludf.DUMMYFUNCTION("IF(A120="""", """", IFERROR(
  TEXTJOIN("", "", TRUE, FILTER(sublease_contract!D:D, 
    ARRAYFORMULA(REGEXMATCH(sublease_contract!E:E, ""\b"" &amp; A120 &amp; ""\b"")),
    sublease_contract!G:G=""入住中""
  )),
  ""非既有房客""
))
"),"F")</f>
        <v>F</v>
      </c>
      <c r="H120" s="227" t="s">
        <v>1893</v>
      </c>
      <c r="I120" s="239" t="str">
        <f>IFERROR(__xludf.DUMMYFUNCTION("""COMPUTED_VALUE"""),"✔ 有效身分證")</f>
        <v>✔ 有效身分證</v>
      </c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>
      <c r="A121" s="207" t="s">
        <v>1229</v>
      </c>
      <c r="B121" s="232" t="s">
        <v>1897</v>
      </c>
      <c r="C121" s="232" t="s">
        <v>1898</v>
      </c>
      <c r="D121" s="232" t="s">
        <v>1899</v>
      </c>
      <c r="E121" s="232" t="s">
        <v>1900</v>
      </c>
      <c r="F121" s="257" t="str">
        <f>IFERROR(__xludf.DUMMYFUNCTION("IF(A121="""", """", IFERROR(
  TEXTJOIN("", "", TRUE, FILTER(sublease_contract!C:C, 
    ARRAYFORMULA(REGEXMATCH(sublease_contract!E:E, ""\b"" &amp; A121 &amp; ""\b"")),
    sublease_contract!G:G=""入住中""
  )),
  ""非既有房客""
))
"),"書香民生")</f>
        <v>書香民生</v>
      </c>
      <c r="G121" s="257" t="str">
        <f>IFERROR(__xludf.DUMMYFUNCTION("IF(A121="""", """", IFERROR(
  TEXTJOIN("", "", TRUE, FILTER(sublease_contract!D:D, 
    ARRAYFORMULA(REGEXMATCH(sublease_contract!E:E, ""\b"" &amp; A121 &amp; ""\b"")),
    sublease_contract!G:G=""入住中""
  )),
  ""非既有房客""
))
"),"A")</f>
        <v>A</v>
      </c>
      <c r="H121" s="261" t="s">
        <v>1901</v>
      </c>
      <c r="I121" s="259" t="str">
        <f>IFERROR(__xludf.DUMMYFUNCTION("""COMPUTED_VALUE"""),"✔ 有效身分證")</f>
        <v>✔ 有效身分證</v>
      </c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</row>
    <row r="122">
      <c r="A122" s="207" t="s">
        <v>1233</v>
      </c>
      <c r="B122" s="232" t="s">
        <v>1902</v>
      </c>
      <c r="C122" s="232" t="s">
        <v>1903</v>
      </c>
      <c r="D122" s="232" t="s">
        <v>1904</v>
      </c>
      <c r="E122" s="232" t="s">
        <v>1905</v>
      </c>
      <c r="F122" s="257" t="str">
        <f>IFERROR(__xludf.DUMMYFUNCTION("IF(A122="""", """", IFERROR(
  TEXTJOIN("", "", TRUE, FILTER(sublease_contract!C:C, 
    ARRAYFORMULA(REGEXMATCH(sublease_contract!E:E, ""\b"" &amp; A122 &amp; ""\b"")),
    sublease_contract!G:G=""入住中""
  )),
  ""非既有房客""
))
"),"書香民生")</f>
        <v>書香民生</v>
      </c>
      <c r="G122" s="257" t="str">
        <f>IFERROR(__xludf.DUMMYFUNCTION("IF(A122="""", """", IFERROR(
  TEXTJOIN("", "", TRUE, FILTER(sublease_contract!D:D, 
    ARRAYFORMULA(REGEXMATCH(sublease_contract!E:E, ""\b"" &amp; A122 &amp; ""\b"")),
    sublease_contract!G:G=""入住中""
  )),
  ""非既有房客""
))
"),"B")</f>
        <v>B</v>
      </c>
      <c r="H122" s="261" t="s">
        <v>1906</v>
      </c>
      <c r="I122" s="259" t="str">
        <f>IFERROR(__xludf.DUMMYFUNCTION("""COMPUTED_VALUE"""),"✔ 有效身分證")</f>
        <v>✔ 有效身分證</v>
      </c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</row>
    <row r="123">
      <c r="A123" s="207" t="s">
        <v>1237</v>
      </c>
      <c r="B123" s="262" t="s">
        <v>1907</v>
      </c>
      <c r="C123" s="232" t="s">
        <v>1908</v>
      </c>
      <c r="D123" s="232" t="s">
        <v>1909</v>
      </c>
      <c r="E123" s="232" t="s">
        <v>1910</v>
      </c>
      <c r="F123" s="257" t="str">
        <f>IFERROR(__xludf.DUMMYFUNCTION("IF(A123="""", """", IFERROR(
  TEXTJOIN("", "", TRUE, FILTER(sublease_contract!C:C, 
    ARRAYFORMULA(REGEXMATCH(sublease_contract!E:E, ""\b"" &amp; A123 &amp; ""\b"")),
    sublease_contract!G:G=""入住中""
  )),
  ""非既有房客""
))
"),"書香民生")</f>
        <v>書香民生</v>
      </c>
      <c r="G123" s="257" t="str">
        <f>IFERROR(__xludf.DUMMYFUNCTION("IF(A123="""", """", IFERROR(
  TEXTJOIN("", "", TRUE, FILTER(sublease_contract!D:D, 
    ARRAYFORMULA(REGEXMATCH(sublease_contract!E:E, ""\b"" &amp; A123 &amp; ""\b"")),
    sublease_contract!G:G=""入住中""
  )),
  ""非既有房客""
))
"),"C")</f>
        <v>C</v>
      </c>
      <c r="H123" s="261" t="s">
        <v>1911</v>
      </c>
      <c r="I123" s="259" t="str">
        <f>IFERROR(__xludf.DUMMYFUNCTION("""COMPUTED_VALUE"""),"✔ 有效身分證")</f>
        <v>✔ 有效身分證</v>
      </c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</row>
    <row r="124">
      <c r="A124" s="207" t="s">
        <v>1912</v>
      </c>
      <c r="B124" s="262" t="s">
        <v>1913</v>
      </c>
      <c r="C124" s="232" t="s">
        <v>1914</v>
      </c>
      <c r="D124" s="232" t="s">
        <v>1915</v>
      </c>
      <c r="E124" s="232" t="s">
        <v>1916</v>
      </c>
      <c r="F124" s="257" t="str">
        <f>IFERROR(__xludf.DUMMYFUNCTION("IF(A124="""", """", IFERROR(
  TEXTJOIN("", "", TRUE, FILTER(sublease_contract!C:C, 
    ARRAYFORMULA(REGEXMATCH(sublease_contract!E:E, ""\b"" &amp; A124 &amp; ""\b"")),
    sublease_contract!G:G=""入住中""
  )),
  ""非既有房客""
))
"),"書香民生")</f>
        <v>書香民生</v>
      </c>
      <c r="G124" s="257" t="str">
        <f>IFERROR(__xludf.DUMMYFUNCTION("IF(A124="""", """", IFERROR(
  TEXTJOIN("", "", TRUE, FILTER(sublease_contract!D:D, 
    ARRAYFORMULA(REGEXMATCH(sublease_contract!E:E, ""\b"" &amp; A124 &amp; ""\b"")),
    sublease_contract!G:G=""入住中""
  )),
  ""非既有房客""
))
"),"D")</f>
        <v>D</v>
      </c>
      <c r="H124" s="261" t="s">
        <v>1917</v>
      </c>
      <c r="I124" s="259" t="str">
        <f>IFERROR(__xludf.DUMMYFUNCTION("""COMPUTED_VALUE"""),"✔ 有效身分證")</f>
        <v>✔ 有效身分證</v>
      </c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</row>
    <row r="125">
      <c r="A125" s="207" t="s">
        <v>1247</v>
      </c>
      <c r="B125" s="232" t="s">
        <v>1918</v>
      </c>
      <c r="C125" s="232" t="s">
        <v>1919</v>
      </c>
      <c r="D125" s="232" t="s">
        <v>1920</v>
      </c>
      <c r="E125" s="258" t="s">
        <v>1921</v>
      </c>
      <c r="F125" s="257" t="str">
        <f>IFERROR(__xludf.DUMMYFUNCTION("IF(A125="""", """", IFERROR(
  TEXTJOIN("", "", TRUE, FILTER(sublease_contract!C:C, 
    ARRAYFORMULA(REGEXMATCH(sublease_contract!E:E, ""\b"" &amp; A125 &amp; ""\b"")),
    sublease_contract!G:G=""入住中""
  )),
  ""非既有房客""
))
"),"書香民生")</f>
        <v>書香民生</v>
      </c>
      <c r="G125" s="257" t="str">
        <f>IFERROR(__xludf.DUMMYFUNCTION("IF(A125="""", """", IFERROR(
  TEXTJOIN("", "", TRUE, FILTER(sublease_contract!D:D, 
    ARRAYFORMULA(REGEXMATCH(sublease_contract!E:E, ""\b"" &amp; A125 &amp; ""\b"")),
    sublease_contract!G:G=""入住中""
  )),
  ""非既有房客""
))
"),"E")</f>
        <v>E</v>
      </c>
      <c r="H125" s="261" t="s">
        <v>1922</v>
      </c>
      <c r="I125" s="259" t="str">
        <f>IFERROR(__xludf.DUMMYFUNCTION("""COMPUTED_VALUE"""),"✔ 有效身分證")</f>
        <v>✔ 有效身分證</v>
      </c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</row>
    <row r="126">
      <c r="A126" s="207" t="s">
        <v>1251</v>
      </c>
      <c r="B126" s="232" t="s">
        <v>1923</v>
      </c>
      <c r="C126" s="232" t="s">
        <v>1924</v>
      </c>
      <c r="D126" s="232" t="s">
        <v>1925</v>
      </c>
      <c r="E126" s="258" t="s">
        <v>1926</v>
      </c>
      <c r="F126" s="257" t="str">
        <f>IFERROR(__xludf.DUMMYFUNCTION("IF(A126="""", """", IFERROR(
  TEXTJOIN("", "", TRUE, FILTER(sublease_contract!C:C, 
    ARRAYFORMULA(REGEXMATCH(sublease_contract!E:E, ""\b"" &amp; A126 &amp; ""\b"")),
    sublease_contract!G:G=""入住中""
  )),
  ""非既有房客""
))
"),"書香民生")</f>
        <v>書香民生</v>
      </c>
      <c r="G126" s="257" t="str">
        <f>IFERROR(__xludf.DUMMYFUNCTION("IF(A126="""", """", IFERROR(
  TEXTJOIN("", "", TRUE, FILTER(sublease_contract!D:D, 
    ARRAYFORMULA(REGEXMATCH(sublease_contract!E:E, ""\b"" &amp; A126 &amp; ""\b"")),
    sublease_contract!G:G=""入住中""
  )),
  ""非既有房客""
))
"),"F")</f>
        <v>F</v>
      </c>
      <c r="H126" s="261" t="s">
        <v>1927</v>
      </c>
      <c r="I126" s="259" t="str">
        <f>IFERROR(__xludf.DUMMYFUNCTION("""COMPUTED_VALUE"""),"✔ 有效身分證")</f>
        <v>✔ 有效身分證</v>
      </c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</row>
    <row r="127">
      <c r="A127" s="207" t="s">
        <v>1253</v>
      </c>
      <c r="B127" s="232" t="s">
        <v>1928</v>
      </c>
      <c r="C127" s="232" t="s">
        <v>1929</v>
      </c>
      <c r="D127" s="232" t="s">
        <v>1930</v>
      </c>
      <c r="E127" s="232" t="s">
        <v>1931</v>
      </c>
      <c r="F127" s="257" t="str">
        <f>IFERROR(__xludf.DUMMYFUNCTION("IF(A127="""", """", IFERROR(
  TEXTJOIN("", "", TRUE, FILTER(sublease_contract!C:C, 
    ARRAYFORMULA(REGEXMATCH(sublease_contract!E:E, ""\b"" &amp; A127 &amp; ""\b"")),
    sublease_contract!G:G=""入住中""
  )),
  ""非既有房客""
))
"),"書香民生")</f>
        <v>書香民生</v>
      </c>
      <c r="G127" s="257" t="str">
        <f>IFERROR(__xludf.DUMMYFUNCTION("IF(A127="""", """", IFERROR(
  TEXTJOIN("", "", TRUE, FILTER(sublease_contract!D:D, 
    ARRAYFORMULA(REGEXMATCH(sublease_contract!E:E, ""\b"" &amp; A127 &amp; ""\b"")),
    sublease_contract!G:G=""入住中""
  )),
  ""非既有房客""
))
"),"G")</f>
        <v>G</v>
      </c>
      <c r="H127" s="261" t="s">
        <v>1932</v>
      </c>
      <c r="I127" s="259" t="str">
        <f>IFERROR(__xludf.DUMMYFUNCTION("""COMPUTED_VALUE"""),"✔ 有效身分證")</f>
        <v>✔ 有效身分證</v>
      </c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</row>
    <row r="128">
      <c r="A128" s="207" t="s">
        <v>1225</v>
      </c>
      <c r="B128" s="232" t="s">
        <v>1933</v>
      </c>
      <c r="C128" s="232" t="s">
        <v>1934</v>
      </c>
      <c r="D128" s="232" t="s">
        <v>1935</v>
      </c>
      <c r="E128" s="232" t="s">
        <v>1936</v>
      </c>
      <c r="F128" s="257" t="str">
        <f>IFERROR(__xludf.DUMMYFUNCTION("IF(A128="""", """", IFERROR(
  TEXTJOIN("", "", TRUE, FILTER(sublease_contract!C:C, 
    ARRAYFORMULA(REGEXMATCH(sublease_contract!E:E, ""\b"" &amp; A128 &amp; ""\b"")),
    sublease_contract!G:G=""入住中""
  )),
  ""非既有房客""
))
"),"內湖CityLink")</f>
        <v>內湖CityLink</v>
      </c>
      <c r="G128" s="257" t="str">
        <f>IFERROR(__xludf.DUMMYFUNCTION("IF(A128="""", """", IFERROR(
  TEXTJOIN("", "", TRUE, FILTER(sublease_contract!D:D, 
    ARRAYFORMULA(REGEXMATCH(sublease_contract!E:E, ""\b"" &amp; A128 &amp; ""\b"")),
    sublease_contract!G:G=""入住中""
  )),
  ""非既有房客""
))
"),"E")</f>
        <v>E</v>
      </c>
      <c r="H128" s="261" t="s">
        <v>1937</v>
      </c>
      <c r="I128" s="259" t="str">
        <f>IFERROR(__xludf.DUMMYFUNCTION("""COMPUTED_VALUE"""),"✔ 有效身分證")</f>
        <v>✔ 有效身分證</v>
      </c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</row>
    <row r="129">
      <c r="A129" s="207" t="s">
        <v>1938</v>
      </c>
      <c r="B129" s="232" t="s">
        <v>1939</v>
      </c>
      <c r="C129" s="232" t="s">
        <v>1940</v>
      </c>
      <c r="D129" s="232" t="s">
        <v>1941</v>
      </c>
      <c r="E129" s="232" t="s">
        <v>1942</v>
      </c>
      <c r="F129" s="257" t="str">
        <f>IFERROR(__xludf.DUMMYFUNCTION("IF(A129="""", """", IFERROR(
  TEXTJOIN("", "", TRUE, FILTER(sublease_contract!C:C, 
    ARRAYFORMULA(REGEXMATCH(sublease_contract!E:E, ""\b"" &amp; A129 &amp; ""\b"")),
    sublease_contract!G:G=""入住中""
  )),
  ""非既有房客""
))
"),"書香民生")</f>
        <v>書香民生</v>
      </c>
      <c r="G129" s="257" t="str">
        <f>IFERROR(__xludf.DUMMYFUNCTION("IF(A129="""", """", IFERROR(
  TEXTJOIN("", "", TRUE, FILTER(sublease_contract!D:D, 
    ARRAYFORMULA(REGEXMATCH(sublease_contract!E:E, ""\b"" &amp; A129 &amp; ""\b"")),
    sublease_contract!G:G=""入住中""
  )),
  ""非既有房客""
))
"),"D")</f>
        <v>D</v>
      </c>
      <c r="H129" s="261" t="s">
        <v>1943</v>
      </c>
      <c r="I129" s="259" t="str">
        <f>IFERROR(__xludf.DUMMYFUNCTION("""COMPUTED_VALUE"""),"✔ 有效身分證")</f>
        <v>✔ 有效身分證</v>
      </c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</row>
    <row r="130">
      <c r="A130" s="207" t="s">
        <v>1944</v>
      </c>
      <c r="B130" s="231" t="s">
        <v>1945</v>
      </c>
      <c r="C130" s="224"/>
      <c r="D130" s="224"/>
      <c r="E130" s="241" t="s">
        <v>1946</v>
      </c>
      <c r="F130" s="257" t="str">
        <f>IFERROR(__xludf.DUMMYFUNCTION("IF(A130="""", """", IFERROR(
  TEXTJOIN("", "", TRUE, FILTER(sublease_contract!C:C, 
    ARRAYFORMULA(REGEXMATCH(sublease_contract!E:E, ""\b"" &amp; A130 &amp; ""\b"")),
    sublease_contract!G:G=""入住中""
  )),
  ""非既有房客""
))
"),"非既有房客")</f>
        <v>非既有房客</v>
      </c>
      <c r="G130" s="257" t="str">
        <f>IFERROR(__xludf.DUMMYFUNCTION("IF(A130="""", """", IFERROR(
  TEXTJOIN("", "", TRUE, FILTER(sublease_contract!D:D, 
    ARRAYFORMULA(REGEXMATCH(sublease_contract!E:E, ""\b"" &amp; A130 &amp; ""\b"")),
    sublease_contract!G:G=""入住中""
  )),
  ""非既有房客""
))
"),"非既有房客")</f>
        <v>非既有房客</v>
      </c>
      <c r="H130" s="38"/>
      <c r="I130" s="259" t="str">
        <f>IFERROR(__xludf.DUMMYFUNCTION("""COMPUTED_VALUE"""),"")</f>
        <v/>
      </c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</row>
    <row r="131">
      <c r="A131" s="207" t="s">
        <v>1947</v>
      </c>
      <c r="B131" s="231" t="s">
        <v>1948</v>
      </c>
      <c r="C131" s="224"/>
      <c r="D131" s="224"/>
      <c r="E131" s="241" t="s">
        <v>1949</v>
      </c>
      <c r="F131" s="257" t="str">
        <f>IFERROR(__xludf.DUMMYFUNCTION("IF(A131="""", """", IFERROR(
  TEXTJOIN("", "", TRUE, FILTER(sublease_contract!C:C, 
    ARRAYFORMULA(REGEXMATCH(sublease_contract!E:E, ""\b"" &amp; A131 &amp; ""\b"")),
    sublease_contract!G:G=""入住中""
  )),
  ""非既有房客""
))
"),"非既有房客")</f>
        <v>非既有房客</v>
      </c>
      <c r="G131" s="257" t="str">
        <f>IFERROR(__xludf.DUMMYFUNCTION("IF(A131="""", """", IFERROR(
  TEXTJOIN("", "", TRUE, FILTER(sublease_contract!D:D, 
    ARRAYFORMULA(REGEXMATCH(sublease_contract!E:E, ""\b"" &amp; A131 &amp; ""\b"")),
    sublease_contract!G:G=""入住中""
  )),
  ""非既有房客""
))
"),"非既有房客")</f>
        <v>非既有房客</v>
      </c>
      <c r="H131" s="38"/>
      <c r="I131" s="259" t="str">
        <f>IFERROR(__xludf.DUMMYFUNCTION("""COMPUTED_VALUE"""),"")</f>
        <v/>
      </c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</row>
    <row r="132">
      <c r="A132" s="207" t="s">
        <v>1950</v>
      </c>
      <c r="B132" s="231" t="s">
        <v>1951</v>
      </c>
      <c r="C132" s="231" t="s">
        <v>1952</v>
      </c>
      <c r="D132" s="231" t="s">
        <v>1953</v>
      </c>
      <c r="E132" s="241" t="s">
        <v>1954</v>
      </c>
      <c r="F132" s="257" t="str">
        <f>IFERROR(__xludf.DUMMYFUNCTION("IF(A132="""", """", IFERROR(
  TEXTJOIN("", "", TRUE, FILTER(sublease_contract!C:C, 
    ARRAYFORMULA(REGEXMATCH(sublease_contract!E:E, ""\b"" &amp; A132 &amp; ""\b"")),
    sublease_contract!G:G=""入住中""
  )),
  ""非既有房客""
))
"),"大湖山莊")</f>
        <v>大湖山莊</v>
      </c>
      <c r="G132" s="257" t="str">
        <f>IFERROR(__xludf.DUMMYFUNCTION("IF(A132="""", """", IFERROR(
  TEXTJOIN("", "", TRUE, FILTER(sublease_contract!D:D, 
    ARRAYFORMULA(REGEXMATCH(sublease_contract!E:E, ""\b"" &amp; A132 &amp; ""\b"")),
    sublease_contract!G:G=""入住中""
  )),
  ""非既有房客""
))
"),"F")</f>
        <v>F</v>
      </c>
      <c r="H132" s="261" t="s">
        <v>1955</v>
      </c>
      <c r="I132" s="263" t="str">
        <f>IFERROR(__xludf.DUMMYFUNCTION("""COMPUTED_VALUE"""),"✔ 有效身分證")</f>
        <v>✔ 有效身分證</v>
      </c>
      <c r="J132" s="264"/>
      <c r="K132" s="264"/>
      <c r="L132" s="264"/>
      <c r="M132" s="264"/>
      <c r="N132" s="264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</row>
    <row r="133">
      <c r="A133" s="207" t="s">
        <v>1956</v>
      </c>
      <c r="B133" s="231" t="s">
        <v>1957</v>
      </c>
      <c r="C133" s="231" t="s">
        <v>1958</v>
      </c>
      <c r="D133" s="231" t="s">
        <v>1959</v>
      </c>
      <c r="E133" s="241" t="s">
        <v>1960</v>
      </c>
      <c r="F133" s="257" t="str">
        <f>IFERROR(__xludf.DUMMYFUNCTION("IF(A133="""", """", IFERROR(
  TEXTJOIN("", "", TRUE, FILTER(sublease_contract!C:C, 
    ARRAYFORMULA(REGEXMATCH(sublease_contract!E:E, ""\b"" &amp; A133 &amp; ""\b"")),
    sublease_contract!G:G=""入住中""
  )),
  ""非既有房客""
))
"),"大湖山莊")</f>
        <v>大湖山莊</v>
      </c>
      <c r="G133" s="257" t="str">
        <f>IFERROR(__xludf.DUMMYFUNCTION("IF(A133="""", """", IFERROR(
  TEXTJOIN("", "", TRUE, FILTER(sublease_contract!D:D, 
    ARRAYFORMULA(REGEXMATCH(sublease_contract!E:E, ""\b"" &amp; A133 &amp; ""\b"")),
    sublease_contract!G:G=""入住中""
  )),
  ""非既有房客""
))
"),"F")</f>
        <v>F</v>
      </c>
      <c r="H133" s="261" t="s">
        <v>1955</v>
      </c>
      <c r="I133" s="263" t="str">
        <f>IFERROR(__xludf.DUMMYFUNCTION("""COMPUTED_VALUE"""),"✔ 有效身分證")</f>
        <v>✔ 有效身分證</v>
      </c>
      <c r="J133" s="264"/>
      <c r="K133" s="264"/>
      <c r="L133" s="264"/>
      <c r="M133" s="264"/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</row>
    <row r="134">
      <c r="A134" s="207" t="s">
        <v>1269</v>
      </c>
      <c r="B134" s="231" t="s">
        <v>1961</v>
      </c>
      <c r="C134" s="231" t="s">
        <v>1962</v>
      </c>
      <c r="D134" s="231" t="s">
        <v>1963</v>
      </c>
      <c r="E134" s="241" t="s">
        <v>1964</v>
      </c>
      <c r="F134" s="257" t="str">
        <f>IFERROR(__xludf.DUMMYFUNCTION("IF(A134="""", """", IFERROR(
  TEXTJOIN("", "", TRUE, FILTER(sublease_contract!C:C, 
    ARRAYFORMULA(REGEXMATCH(sublease_contract!E:E, ""\b"" &amp; A134 &amp; ""\b"")),
    sublease_contract!G:G=""入住中""
  )),
  ""非既有房客""
))
"),"大湖山莊")</f>
        <v>大湖山莊</v>
      </c>
      <c r="G134" s="257" t="str">
        <f>IFERROR(__xludf.DUMMYFUNCTION("IF(A134="""", """", IFERROR(
  TEXTJOIN("", "", TRUE, FILTER(sublease_contract!D:D, 
    ARRAYFORMULA(REGEXMATCH(sublease_contract!E:E, ""\b"" &amp; A134 &amp; ""\b"")),
    sublease_contract!G:G=""入住中""
  )),
  ""非既有房客""
))
"),"A")</f>
        <v>A</v>
      </c>
      <c r="H134" s="261" t="s">
        <v>1965</v>
      </c>
      <c r="I134" s="263" t="str">
        <f>IFERROR(__xludf.DUMMYFUNCTION("""COMPUTED_VALUE"""),"✔ 有效身分證")</f>
        <v>✔ 有效身分證</v>
      </c>
      <c r="J134" s="264"/>
      <c r="K134" s="264"/>
      <c r="L134" s="264"/>
      <c r="M134" s="264"/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</row>
    <row r="135">
      <c r="A135" s="207" t="s">
        <v>1273</v>
      </c>
      <c r="B135" s="231" t="s">
        <v>1966</v>
      </c>
      <c r="C135" s="231" t="s">
        <v>1967</v>
      </c>
      <c r="D135" s="231" t="s">
        <v>1968</v>
      </c>
      <c r="E135" s="241" t="s">
        <v>1969</v>
      </c>
      <c r="F135" s="257" t="str">
        <f>IFERROR(__xludf.DUMMYFUNCTION("IF(A135="""", """", IFERROR(
  TEXTJOIN("", "", TRUE, FILTER(sublease_contract!C:C, 
    ARRAYFORMULA(REGEXMATCH(sublease_contract!E:E, ""\b"" &amp; A135 &amp; ""\b"")),
    sublease_contract!G:G=""入住中""
  )),
  ""非既有房客""
))
"),"大湖山莊")</f>
        <v>大湖山莊</v>
      </c>
      <c r="G135" s="257" t="str">
        <f>IFERROR(__xludf.DUMMYFUNCTION("IF(A135="""", """", IFERROR(
  TEXTJOIN("", "", TRUE, FILTER(sublease_contract!D:D, 
    ARRAYFORMULA(REGEXMATCH(sublease_contract!E:E, ""\b"" &amp; A135 &amp; ""\b"")),
    sublease_contract!G:G=""入住中""
  )),
  ""非既有房客""
))
"),"B")</f>
        <v>B</v>
      </c>
      <c r="H135" s="261" t="s">
        <v>1970</v>
      </c>
      <c r="I135" s="263" t="str">
        <f>IFERROR(__xludf.DUMMYFUNCTION("""COMPUTED_VALUE"""),"✔ 有效身分證")</f>
        <v>✔ 有效身分證</v>
      </c>
      <c r="J135" s="264"/>
      <c r="K135" s="264"/>
      <c r="L135" s="264"/>
      <c r="M135" s="264"/>
      <c r="N135" s="264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</row>
    <row r="136">
      <c r="A136" s="207" t="s">
        <v>1278</v>
      </c>
      <c r="B136" s="231" t="s">
        <v>1971</v>
      </c>
      <c r="C136" s="231" t="s">
        <v>1972</v>
      </c>
      <c r="D136" s="231" t="s">
        <v>1973</v>
      </c>
      <c r="E136" s="241" t="s">
        <v>1974</v>
      </c>
      <c r="F136" s="257" t="str">
        <f>IFERROR(__xludf.DUMMYFUNCTION("IF(A136="""", """", IFERROR(
  TEXTJOIN("", "", TRUE, FILTER(sublease_contract!C:C, 
    ARRAYFORMULA(REGEXMATCH(sublease_contract!E:E, ""\b"" &amp; A136 &amp; ""\b"")),
    sublease_contract!G:G=""入住中""
  )),
  ""非既有房客""
))
"),"景安2分鐘")</f>
        <v>景安2分鐘</v>
      </c>
      <c r="G136" s="257" t="str">
        <f>IFERROR(__xludf.DUMMYFUNCTION("IF(A136="""", """", IFERROR(
  TEXTJOIN("", "", TRUE, FILTER(sublease_contract!D:D, 
    ARRAYFORMULA(REGEXMATCH(sublease_contract!E:E, ""\b"" &amp; A136 &amp; ""\b"")),
    sublease_contract!G:G=""入住中""
  )),
  ""非既有房客""
))
"),"C")</f>
        <v>C</v>
      </c>
      <c r="H136" s="248" t="s">
        <v>1975</v>
      </c>
      <c r="I136" s="265" t="str">
        <f>IFERROR(__xludf.DUMMYFUNCTION("""COMPUTED_VALUE"""),"✔ 有效身分證")</f>
        <v>✔ 有效身分證</v>
      </c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>
      <c r="A137" s="207" t="s">
        <v>1976</v>
      </c>
      <c r="B137" s="224" t="s">
        <v>1977</v>
      </c>
      <c r="C137" s="224" t="s">
        <v>1978</v>
      </c>
      <c r="D137" s="224" t="s">
        <v>1979</v>
      </c>
      <c r="E137" s="241" t="s">
        <v>1980</v>
      </c>
      <c r="F137" s="239" t="str">
        <f>IFERROR(__xludf.DUMMYFUNCTION("IF(A137="""", """", IFERROR(
  TEXTJOIN("", "", TRUE, FILTER(sublease_contract!C:C, 
    ARRAYFORMULA(REGEXMATCH(sublease_contract!E:E, ""\b"" &amp; A137 &amp; ""\b"")),
    sublease_contract!G:G=""入住中""
  )),
  ""非既有房客""
))
"),"中山北Feli家")</f>
        <v>中山北Feli家</v>
      </c>
      <c r="G137" s="226" t="str">
        <f>IFERROR(__xludf.DUMMYFUNCTION("IF(A137="""", """", IFERROR(
  TEXTJOIN("", "", TRUE, FILTER(sublease_contract!D:D, 
    ARRAYFORMULA(REGEXMATCH(sublease_contract!E:E, ""\b"" &amp; A137 &amp; ""\b"")),
    sublease_contract!G:G=""入住中""
  )),
  ""非既有房客""
))
"),"E, F")</f>
        <v>E, F</v>
      </c>
      <c r="H137" s="248" t="s">
        <v>1981</v>
      </c>
      <c r="I137" s="239" t="str">
        <f>IFERROR(__xludf.DUMMYFUNCTION("""COMPUTED_VALUE"""),"✔ 有效身分證")</f>
        <v>✔ 有效身分證</v>
      </c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207" t="s">
        <v>1982</v>
      </c>
      <c r="B138" s="224" t="s">
        <v>1983</v>
      </c>
      <c r="C138" s="224" t="s">
        <v>1984</v>
      </c>
      <c r="D138" s="224" t="s">
        <v>1985</v>
      </c>
      <c r="E138" s="249" t="s">
        <v>1986</v>
      </c>
      <c r="F138" s="239" t="str">
        <f>IFERROR(__xludf.DUMMYFUNCTION("IF(A138="""", """", IFERROR(
  TEXTJOIN("", "", TRUE, FILTER(sublease_contract!C:C, 
    ARRAYFORMULA(REGEXMATCH(sublease_contract!E:E, ""\b"" &amp; A138 &amp; ""\b"")),
    sublease_contract!G:G=""入住中""
  )),
  ""非既有房客""
))
"),"中山北Feli家")</f>
        <v>中山北Feli家</v>
      </c>
      <c r="G138" s="226" t="str">
        <f>IFERROR(__xludf.DUMMYFUNCTION("IF(A138="""", """", IFERROR(
  TEXTJOIN("", "", TRUE, FILTER(sublease_contract!D:D, 
    ARRAYFORMULA(REGEXMATCH(sublease_contract!E:E, ""\b"" &amp; A138 &amp; ""\b"")),
    sublease_contract!G:G=""入住中""
  )),
  ""非既有房客""
))
"),"E, F")</f>
        <v>E, F</v>
      </c>
      <c r="H138" s="248" t="s">
        <v>1987</v>
      </c>
      <c r="I138" s="239" t="str">
        <f>IFERROR(__xludf.DUMMYFUNCTION("""COMPUTED_VALUE"""),"❌ 無效身分證")</f>
        <v>❌ 無效身分證</v>
      </c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207" t="s">
        <v>1284</v>
      </c>
      <c r="B139" s="224" t="s">
        <v>1988</v>
      </c>
      <c r="C139" s="224" t="s">
        <v>1989</v>
      </c>
      <c r="D139" s="224" t="s">
        <v>1990</v>
      </c>
      <c r="E139" s="249" t="s">
        <v>1991</v>
      </c>
      <c r="F139" s="239" t="str">
        <f>IFERROR(__xludf.DUMMYFUNCTION("IF(A139="""", """", IFERROR(
  TEXTJOIN("", "", TRUE, FILTER(sublease_contract!C:C, 
    ARRAYFORMULA(REGEXMATCH(sublease_contract!E:E, ""\b"" &amp; A139 &amp; ""\b"")),
    sublease_contract!G:G=""入住中""
  )),
  ""非既有房客""
))
"),"龍江229")</f>
        <v>龍江229</v>
      </c>
      <c r="G139" s="226" t="str">
        <f>IFERROR(__xludf.DUMMYFUNCTION("IF(A139="""", """", IFERROR(
  TEXTJOIN("", "", TRUE, FILTER(sublease_contract!D:D, 
    ARRAYFORMULA(REGEXMATCH(sublease_contract!E:E, ""\b"" &amp; A139 &amp; ""\b"")),
    sublease_contract!G:G=""入住中""
  )),
  ""非既有房客""
))
"),"A")</f>
        <v>A</v>
      </c>
      <c r="H139" s="248" t="s">
        <v>1992</v>
      </c>
      <c r="I139" s="239" t="str">
        <f>IFERROR(__xludf.DUMMYFUNCTION("""COMPUTED_VALUE"""),"✔ 有效身分證")</f>
        <v>✔ 有效身分證</v>
      </c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207" t="s">
        <v>1993</v>
      </c>
      <c r="B140" s="224" t="s">
        <v>1994</v>
      </c>
      <c r="C140" s="224" t="s">
        <v>1995</v>
      </c>
      <c r="D140" s="224" t="s">
        <v>1996</v>
      </c>
      <c r="E140" s="249"/>
      <c r="F140" s="239" t="str">
        <f>IFERROR(__xludf.DUMMYFUNCTION("IF(A140="""", """", IFERROR(
  TEXTJOIN("", "", TRUE, FILTER(sublease_contract!C:C, 
    ARRAYFORMULA(REGEXMATCH(sublease_contract!E:E, ""\b"" &amp; A140 &amp; ""\b"")),
    sublease_contract!G:G=""入住中""
  )),
  ""非既有房客""
))
"),"非既有房客")</f>
        <v>非既有房客</v>
      </c>
      <c r="G140" s="226" t="str">
        <f>IFERROR(__xludf.DUMMYFUNCTION("IF(A140="""", """", IFERROR(
  TEXTJOIN("", "", TRUE, FILTER(sublease_contract!D:D, 
    ARRAYFORMULA(REGEXMATCH(sublease_contract!E:E, ""\b"" &amp; A140 &amp; ""\b"")),
    sublease_contract!G:G=""入住中""
  )),
  ""非既有房客""
))
"),"非既有房客")</f>
        <v>非既有房客</v>
      </c>
      <c r="H140" s="248" t="s">
        <v>1394</v>
      </c>
      <c r="I140" s="239" t="str">
        <f>IFERROR(__xludf.DUMMYFUNCTION("""COMPUTED_VALUE"""),"✔ 有效身分證")</f>
        <v>✔ 有效身分證</v>
      </c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207" t="s">
        <v>1288</v>
      </c>
      <c r="B141" s="224" t="s">
        <v>1997</v>
      </c>
      <c r="C141" s="224" t="s">
        <v>1998</v>
      </c>
      <c r="D141" s="224" t="s">
        <v>1999</v>
      </c>
      <c r="E141" s="241" t="s">
        <v>2000</v>
      </c>
      <c r="F141" s="239" t="str">
        <f>IFERROR(__xludf.DUMMYFUNCTION("IF(A141="""", """", IFERROR(
  TEXTJOIN("", "", TRUE, FILTER(sublease_contract!C:C, 
    ARRAYFORMULA(REGEXMATCH(sublease_contract!E:E, ""\b"" &amp; A141 &amp; ""\b"")),
    sublease_contract!G:G=""入住中""
  )),
  ""非既有房客""
))
"),"南港站挑高宅")</f>
        <v>南港站挑高宅</v>
      </c>
      <c r="G141" s="226" t="str">
        <f>IFERROR(__xludf.DUMMYFUNCTION("IF(A141="""", """", IFERROR(
  TEXTJOIN("", "", TRUE, FILTER(sublease_contract!D:D, 
    ARRAYFORMULA(REGEXMATCH(sublease_contract!E:E, ""\b"" &amp; A141 &amp; ""\b"")),
    sublease_contract!G:G=""入住中""
  )),
  ""非既有房客""
))
"),"B")</f>
        <v>B</v>
      </c>
      <c r="H141" s="248" t="s">
        <v>1992</v>
      </c>
      <c r="I141" s="239" t="str">
        <f>IFERROR(__xludf.DUMMYFUNCTION("""COMPUTED_VALUE"""),"✔ 有效身分證")</f>
        <v>✔ 有效身分證</v>
      </c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207" t="s">
        <v>1301</v>
      </c>
      <c r="B142" s="232" t="s">
        <v>2001</v>
      </c>
      <c r="C142" s="232" t="s">
        <v>2002</v>
      </c>
      <c r="D142" s="232" t="s">
        <v>2003</v>
      </c>
      <c r="E142" s="232" t="s">
        <v>2004</v>
      </c>
      <c r="F142" s="239" t="str">
        <f>IFERROR(__xludf.DUMMYFUNCTION("IF(A142="""", """", IFERROR(
  TEXTJOIN("", "", TRUE, FILTER(sublease_contract!C:C, 
    ARRAYFORMULA(REGEXMATCH(sublease_contract!E:E, ""\b"" &amp; A142 &amp; ""\b"")),
    sublease_contract!G:G=""入住中""
  )),
  ""非既有房客""
))
"),"景安2分鐘")</f>
        <v>景安2分鐘</v>
      </c>
      <c r="G142" s="226" t="str">
        <f>IFERROR(__xludf.DUMMYFUNCTION("IF(A142="""", """", IFERROR(
  TEXTJOIN("", "", TRUE, FILTER(sublease_contract!D:D, 
    ARRAYFORMULA(REGEXMATCH(sublease_contract!E:E, ""\b"" &amp; A142 &amp; ""\b"")),
    sublease_contract!G:G=""入住中""
  )),
  ""非既有房客""
))
"),"A")</f>
        <v>A</v>
      </c>
      <c r="H142" s="248" t="s">
        <v>2005</v>
      </c>
      <c r="I142" s="239" t="str">
        <f>IFERROR(__xludf.DUMMYFUNCTION("""COMPUTED_VALUE"""),"✔ 有效身分證")</f>
        <v>✔ 有效身分證</v>
      </c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207" t="s">
        <v>1317</v>
      </c>
      <c r="B143" s="224" t="s">
        <v>2006</v>
      </c>
      <c r="C143" s="224" t="s">
        <v>2007</v>
      </c>
      <c r="D143" s="224" t="s">
        <v>2008</v>
      </c>
      <c r="E143" s="241" t="s">
        <v>2009</v>
      </c>
      <c r="F143" s="239" t="str">
        <f>IFERROR(__xludf.DUMMYFUNCTION("IF(A143="""", """", IFERROR(
  TEXTJOIN("", "", TRUE, FILTER(sublease_contract!C:C, 
    ARRAYFORMULA(REGEXMATCH(sublease_contract!E:E, ""\b"" &amp; A143 &amp; ""\b"")),
    sublease_contract!G:G=""入住中""
  )),
  ""非既有房客""
))
"),"內湖秘境")</f>
        <v>內湖秘境</v>
      </c>
      <c r="G143" s="226" t="str">
        <f>IFERROR(__xludf.DUMMYFUNCTION("IF(A143="""", """", IFERROR(
  TEXTJOIN("", "", TRUE, FILTER(sublease_contract!D:D, 
    ARRAYFORMULA(REGEXMATCH(sublease_contract!E:E, ""\b"" &amp; A143 &amp; ""\b"")),
    sublease_contract!G:G=""入住中""
  )),
  ""非既有房客""
))
"),"B")</f>
        <v>B</v>
      </c>
      <c r="H143" s="248" t="s">
        <v>2010</v>
      </c>
      <c r="I143" s="239" t="str">
        <f>IFERROR(__xludf.DUMMYFUNCTION("""COMPUTED_VALUE"""),"✔ 有效身分證")</f>
        <v>✔ 有效身分證</v>
      </c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207" t="s">
        <v>1323</v>
      </c>
      <c r="B144" s="224" t="s">
        <v>2011</v>
      </c>
      <c r="C144" s="224" t="s">
        <v>2012</v>
      </c>
      <c r="D144" s="231" t="s">
        <v>2013</v>
      </c>
      <c r="E144" s="241" t="s">
        <v>2014</v>
      </c>
      <c r="F144" s="239" t="str">
        <f>IFERROR(__xludf.DUMMYFUNCTION("IF(A144="""", """", IFERROR(
  TEXTJOIN("", "", TRUE, FILTER(sublease_contract!C:C, 
    ARRAYFORMULA(REGEXMATCH(sublease_contract!E:E, ""\b"" &amp; A144 &amp; ""\b"")),
    sublease_contract!G:G=""入住中""
  )),
  ""非既有房客""
))
"),"中山北Feli家")</f>
        <v>中山北Feli家</v>
      </c>
      <c r="G144" s="226" t="str">
        <f>IFERROR(__xludf.DUMMYFUNCTION("IF(A144="""", """", IFERROR(
  TEXTJOIN("", "", TRUE, FILTER(sublease_contract!D:D, 
    ARRAYFORMULA(REGEXMATCH(sublease_contract!E:E, ""\b"" &amp; A144 &amp; ""\b"")),
    sublease_contract!G:G=""入住中""
  )),
  ""非既有房客""
))
"),"C")</f>
        <v>C</v>
      </c>
      <c r="H144" s="248" t="s">
        <v>2015</v>
      </c>
      <c r="I144" s="239" t="str">
        <f>IFERROR(__xludf.DUMMYFUNCTION("""COMPUTED_VALUE"""),"✔ 有效身分證")</f>
        <v>✔ 有效身分證</v>
      </c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207" t="s">
        <v>1330</v>
      </c>
      <c r="B145" s="231" t="s">
        <v>2016</v>
      </c>
      <c r="C145" s="231" t="s">
        <v>2017</v>
      </c>
      <c r="D145" s="231" t="s">
        <v>2018</v>
      </c>
      <c r="E145" s="241" t="s">
        <v>2019</v>
      </c>
      <c r="F145" s="239" t="str">
        <f>IFERROR(__xludf.DUMMYFUNCTION("IF(A145="""", """", IFERROR(
  TEXTJOIN("", "", TRUE, FILTER(sublease_contract!C:C, 
    ARRAYFORMULA(REGEXMATCH(sublease_contract!E:E, ""\b"" &amp; A145 &amp; ""\b"")),
    sublease_contract!G:G=""入住中""
  )),
  ""非既有房客""
))
"),"龍江229")</f>
        <v>龍江229</v>
      </c>
      <c r="G145" s="226" t="str">
        <f>IFERROR(__xludf.DUMMYFUNCTION("IF(A145="""", """", IFERROR(
  TEXTJOIN("", "", TRUE, FILTER(sublease_contract!D:D, 
    ARRAYFORMULA(REGEXMATCH(sublease_contract!E:E, ""\b"" &amp; A145 &amp; ""\b"")),
    sublease_contract!G:G=""入住中""
  )),
  ""非既有房客""
))
"),"E")</f>
        <v>E</v>
      </c>
      <c r="H145" s="248" t="s">
        <v>2020</v>
      </c>
      <c r="I145" s="239" t="str">
        <f>IFERROR(__xludf.DUMMYFUNCTION("""COMPUTED_VALUE"""),"✔ 有效身分證")</f>
        <v>✔ 有效身分證</v>
      </c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207" t="s">
        <v>2021</v>
      </c>
      <c r="B146" s="231" t="s">
        <v>2022</v>
      </c>
      <c r="C146" s="231" t="s">
        <v>2023</v>
      </c>
      <c r="D146" s="231" t="s">
        <v>2024</v>
      </c>
      <c r="E146" s="241" t="s">
        <v>2025</v>
      </c>
      <c r="F146" s="239" t="str">
        <f>IFERROR(__xludf.DUMMYFUNCTION("IF(A146="""", """", IFERROR(
  TEXTJOIN("", "", TRUE, FILTER(sublease_contract!C:C, 
    ARRAYFORMULA(REGEXMATCH(sublease_contract!E:E, ""\b"" &amp; A146 &amp; ""\b"")),
    sublease_contract!G:G=""入住中""
  )),
  ""非既有房客""
))
"),"行天宮夏野良栗")</f>
        <v>行天宮夏野良栗</v>
      </c>
      <c r="G146" s="226" t="str">
        <f>IFERROR(__xludf.DUMMYFUNCTION("IF(A146="""", """", IFERROR(
  TEXTJOIN("", "", TRUE, FILTER(sublease_contract!D:D, 
    ARRAYFORMULA(REGEXMATCH(sublease_contract!E:E, ""\b"" &amp; A146 &amp; ""\b"")),
    sublease_contract!G:G=""入住中""
  )),
  ""非既有房客""
))
"),"兩房")</f>
        <v>兩房</v>
      </c>
      <c r="H146" s="248" t="s">
        <v>2026</v>
      </c>
      <c r="I146" s="239" t="str">
        <f>IFERROR(__xludf.DUMMYFUNCTION("""COMPUTED_VALUE"""),"✔ 有效身分證")</f>
        <v>✔ 有效身分證</v>
      </c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207" t="s">
        <v>2027</v>
      </c>
      <c r="B147" s="231" t="s">
        <v>2028</v>
      </c>
      <c r="C147" s="231" t="s">
        <v>2029</v>
      </c>
      <c r="D147" s="231" t="s">
        <v>2030</v>
      </c>
      <c r="E147" s="241" t="s">
        <v>2031</v>
      </c>
      <c r="F147" s="239" t="str">
        <f>IFERROR(__xludf.DUMMYFUNCTION("IF(A147="""", """", IFERROR(
  TEXTJOIN("", "", TRUE, FILTER(sublease_contract!C:C, 
    ARRAYFORMULA(REGEXMATCH(sublease_contract!E:E, ""\b"" &amp; A147 &amp; ""\b"")),
    sublease_contract!G:G=""入住中""
  )),
  ""非既有房客""
))
"),"行天宮夏野良栗")</f>
        <v>行天宮夏野良栗</v>
      </c>
      <c r="G147" s="226" t="str">
        <f>IFERROR(__xludf.DUMMYFUNCTION("IF(A147="""", """", IFERROR(
  TEXTJOIN("", "", TRUE, FILTER(sublease_contract!D:D, 
    ARRAYFORMULA(REGEXMATCH(sublease_contract!E:E, ""\b"" &amp; A147 &amp; ""\b"")),
    sublease_contract!G:G=""入住中""
  )),
  ""非既有房客""
))
"),"兩房")</f>
        <v>兩房</v>
      </c>
      <c r="H147" s="248" t="s">
        <v>2032</v>
      </c>
      <c r="I147" s="239" t="str">
        <f>IFERROR(__xludf.DUMMYFUNCTION("""COMPUTED_VALUE"""),"✔ 有效身分證")</f>
        <v>✔ 有效身分證</v>
      </c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207" t="s">
        <v>2033</v>
      </c>
      <c r="B148" s="231" t="s">
        <v>2034</v>
      </c>
      <c r="C148" s="231" t="s">
        <v>2035</v>
      </c>
      <c r="D148" s="231" t="s">
        <v>2036</v>
      </c>
      <c r="E148" s="241" t="s">
        <v>2037</v>
      </c>
      <c r="F148" s="239" t="str">
        <f>IFERROR(__xludf.DUMMYFUNCTION("IF(A148="""", """", IFERROR(
  TEXTJOIN("", "", TRUE, FILTER(sublease_contract!C:C, 
    ARRAYFORMULA(REGEXMATCH(sublease_contract!E:E, ""\b"" &amp; A148 &amp; ""\b"")),
    sublease_contract!G:G=""入住中""
  )),
  ""非既有房客""
))
"),"永春四號")</f>
        <v>永春四號</v>
      </c>
      <c r="G148" s="226" t="str">
        <f>IFERROR(__xludf.DUMMYFUNCTION("IF(A148="""", """", IFERROR(
  TEXTJOIN("", "", TRUE, FILTER(sublease_contract!D:D, 
    ARRAYFORMULA(REGEXMATCH(sublease_contract!E:E, ""\b"" &amp; A148 &amp; ""\b"")),
    sublease_contract!G:G=""入住中""
  )),
  ""非既有房客""
))
"),"兩房")</f>
        <v>兩房</v>
      </c>
      <c r="H148" s="248" t="s">
        <v>2038</v>
      </c>
      <c r="I148" s="239" t="str">
        <f>IFERROR(__xludf.DUMMYFUNCTION("""COMPUTED_VALUE"""),"✔ 有效身分證")</f>
        <v>✔ 有效身分證</v>
      </c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207" t="s">
        <v>2039</v>
      </c>
      <c r="B149" s="231" t="s">
        <v>2040</v>
      </c>
      <c r="C149" s="231" t="s">
        <v>2041</v>
      </c>
      <c r="D149" s="231" t="s">
        <v>2042</v>
      </c>
      <c r="E149" s="241" t="s">
        <v>2043</v>
      </c>
      <c r="F149" s="239" t="str">
        <f>IFERROR(__xludf.DUMMYFUNCTION("IF(A149="""", """", IFERROR(
  TEXTJOIN("", "", TRUE, FILTER(sublease_contract!C:C, 
    ARRAYFORMULA(REGEXMATCH(sublease_contract!E:E, ""\b"" &amp; A149 &amp; ""\b"")),
    sublease_contract!G:G=""入住中""
  )),
  ""非既有房客""
))
"),"永春四號")</f>
        <v>永春四號</v>
      </c>
      <c r="G149" s="226" t="str">
        <f>IFERROR(__xludf.DUMMYFUNCTION("IF(A149="""", """", IFERROR(
  TEXTJOIN("", "", TRUE, FILTER(sublease_contract!D:D, 
    ARRAYFORMULA(REGEXMATCH(sublease_contract!E:E, ""\b"" &amp; A149 &amp; ""\b"")),
    sublease_contract!G:G=""入住中""
  )),
  ""非既有房客""
))
"),"兩房")</f>
        <v>兩房</v>
      </c>
      <c r="H149" s="248" t="s">
        <v>2044</v>
      </c>
      <c r="I149" s="239" t="str">
        <f>IFERROR(__xludf.DUMMYFUNCTION("""COMPUTED_VALUE"""),"✔ 有效身分證")</f>
        <v>✔ 有效身分證</v>
      </c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207" t="s">
        <v>2045</v>
      </c>
      <c r="B150" s="231" t="s">
        <v>2046</v>
      </c>
      <c r="C150" s="231" t="s">
        <v>2047</v>
      </c>
      <c r="D150" s="231" t="s">
        <v>2048</v>
      </c>
      <c r="E150" s="241" t="s">
        <v>2049</v>
      </c>
      <c r="F150" s="239" t="str">
        <f>IFERROR(__xludf.DUMMYFUNCTION("IF(A150="""", """", IFERROR(
  TEXTJOIN("", "", TRUE, FILTER(sublease_contract!C:C, 
    ARRAYFORMULA(REGEXMATCH(sublease_contract!E:E, ""\b"" &amp; A150 &amp; ""\b"")),
    sublease_contract!G:G=""入住中""
  )),
  ""非既有房客""
))
"),"永春四號")</f>
        <v>永春四號</v>
      </c>
      <c r="G150" s="226" t="str">
        <f>IFERROR(__xludf.DUMMYFUNCTION("IF(A150="""", """", IFERROR(
  TEXTJOIN("", "", TRUE, FILTER(sublease_contract!D:D, 
    ARRAYFORMULA(REGEXMATCH(sublease_contract!E:E, ""\b"" &amp; A150 &amp; ""\b"")),
    sublease_contract!G:G=""入住中""
  )),
  ""非既有房客""
))
"),"兩房")</f>
        <v>兩房</v>
      </c>
      <c r="H150" s="248" t="s">
        <v>2050</v>
      </c>
      <c r="I150" s="239" t="str">
        <f>IFERROR(__xludf.DUMMYFUNCTION("""COMPUTED_VALUE"""),"✔ 有效身分證")</f>
        <v>✔ 有效身分證</v>
      </c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207" t="s">
        <v>1356</v>
      </c>
      <c r="B151" s="231" t="s">
        <v>2051</v>
      </c>
      <c r="C151" s="231" t="s">
        <v>2052</v>
      </c>
      <c r="D151" s="231" t="s">
        <v>2053</v>
      </c>
      <c r="E151" s="241" t="s">
        <v>2054</v>
      </c>
      <c r="F151" s="239" t="str">
        <f>IFERROR(__xludf.DUMMYFUNCTION("IF(A151="""", """", IFERROR(
  TEXTJOIN("", "", TRUE, FILTER(sublease_contract!C:C, 
    ARRAYFORMULA(REGEXMATCH(sublease_contract!E:E, ""\b"" &amp; A151 &amp; ""\b"")),
    sublease_contract!G:G=""入住中""
  )),
  ""非既有房客""
))
"),"內湖CityLink")</f>
        <v>內湖CityLink</v>
      </c>
      <c r="G151" s="226" t="str">
        <f>IFERROR(__xludf.DUMMYFUNCTION("IF(A151="""", """", IFERROR(
  TEXTJOIN("", "", TRUE, FILTER(sublease_contract!D:D, 
    ARRAYFORMULA(REGEXMATCH(sublease_contract!E:E, ""\b"" &amp; A151 &amp; ""\b"")),
    sublease_contract!G:G=""入住中""
  )),
  ""非既有房客""
))
"),"D")</f>
        <v>D</v>
      </c>
      <c r="H151" s="248" t="s">
        <v>2055</v>
      </c>
      <c r="I151" s="239" t="str">
        <f>IFERROR(__xludf.DUMMYFUNCTION("""COMPUTED_VALUE"""),"✔ 有效身分證")</f>
        <v>✔ 有效身分證</v>
      </c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207"/>
      <c r="B152" s="231"/>
      <c r="C152" s="231"/>
      <c r="D152" s="231"/>
      <c r="E152" s="241"/>
      <c r="F152" s="239"/>
      <c r="G152" s="226"/>
      <c r="H152" s="266"/>
      <c r="I152" s="239" t="str">
        <f>IFERROR(__xludf.DUMMYFUNCTION("""COMPUTED_VALUE"""),"")</f>
        <v/>
      </c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207"/>
      <c r="B153" s="231"/>
      <c r="C153" s="231"/>
      <c r="D153" s="231"/>
      <c r="E153" s="241"/>
      <c r="F153" s="239"/>
      <c r="G153" s="226"/>
      <c r="H153" s="266"/>
      <c r="I153" s="239" t="str">
        <f>IFERROR(__xludf.DUMMYFUNCTION("""COMPUTED_VALUE"""),"")</f>
        <v/>
      </c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207"/>
      <c r="B154" s="231"/>
      <c r="C154" s="231"/>
      <c r="D154" s="231"/>
      <c r="E154" s="241"/>
      <c r="F154" s="239"/>
      <c r="G154" s="226"/>
      <c r="H154" s="266"/>
      <c r="I154" s="239" t="str">
        <f>IFERROR(__xludf.DUMMYFUNCTION("""COMPUTED_VALUE"""),"")</f>
        <v/>
      </c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207"/>
      <c r="B155" s="231"/>
      <c r="C155" s="231"/>
      <c r="D155" s="231"/>
      <c r="E155" s="241"/>
      <c r="F155" s="239"/>
      <c r="G155" s="226"/>
      <c r="H155" s="266"/>
      <c r="I155" s="239" t="str">
        <f>IFERROR(__xludf.DUMMYFUNCTION("""COMPUTED_VALUE"""),"")</f>
        <v/>
      </c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207"/>
      <c r="B156" s="231"/>
      <c r="C156" s="231"/>
      <c r="D156" s="231"/>
      <c r="E156" s="241"/>
      <c r="F156" s="239"/>
      <c r="G156" s="226"/>
      <c r="H156" s="266"/>
      <c r="I156" s="239" t="str">
        <f>IFERROR(__xludf.DUMMYFUNCTION("""COMPUTED_VALUE"""),"")</f>
        <v/>
      </c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207"/>
      <c r="B157" s="231"/>
      <c r="C157" s="231"/>
      <c r="D157" s="231"/>
      <c r="E157" s="241"/>
      <c r="F157" s="239"/>
      <c r="G157" s="226"/>
      <c r="H157" s="266"/>
      <c r="I157" s="239" t="str">
        <f>IFERROR(__xludf.DUMMYFUNCTION("""COMPUTED_VALUE"""),"")</f>
        <v/>
      </c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207"/>
      <c r="B158" s="231"/>
      <c r="C158" s="231"/>
      <c r="D158" s="231"/>
      <c r="E158" s="241"/>
      <c r="F158" s="239"/>
      <c r="G158" s="226"/>
      <c r="H158" s="266"/>
      <c r="I158" s="239" t="str">
        <f>IFERROR(__xludf.DUMMYFUNCTION("""COMPUTED_VALUE"""),"")</f>
        <v/>
      </c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207"/>
      <c r="B159" s="231"/>
      <c r="C159" s="231"/>
      <c r="D159" s="231"/>
      <c r="E159" s="241"/>
      <c r="F159" s="239"/>
      <c r="G159" s="226"/>
      <c r="H159" s="266"/>
      <c r="I159" s="239" t="str">
        <f>IFERROR(__xludf.DUMMYFUNCTION("""COMPUTED_VALUE"""),"")</f>
        <v/>
      </c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207"/>
      <c r="B160" s="224"/>
      <c r="C160" s="224"/>
      <c r="D160" s="224"/>
      <c r="E160" s="249"/>
      <c r="F160" s="239"/>
      <c r="G160" s="226"/>
      <c r="H160" s="266"/>
      <c r="I160" s="239" t="str">
        <f>IFERROR(__xludf.DUMMYFUNCTION("""COMPUTED_VALUE"""),"")</f>
        <v/>
      </c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207"/>
      <c r="B161" s="224"/>
      <c r="C161" s="224"/>
      <c r="D161" s="224"/>
      <c r="E161" s="249"/>
      <c r="F161" s="239"/>
      <c r="G161" s="226"/>
      <c r="H161" s="266"/>
      <c r="I161" s="239" t="str">
        <f>IFERROR(__xludf.DUMMYFUNCTION("""COMPUTED_VALUE"""),"")</f>
        <v/>
      </c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207"/>
      <c r="B162" s="224"/>
      <c r="C162" s="224"/>
      <c r="D162" s="224"/>
      <c r="E162" s="249"/>
      <c r="F162" s="239"/>
      <c r="G162" s="226"/>
      <c r="H162" s="266"/>
      <c r="I162" s="239" t="str">
        <f>IFERROR(__xludf.DUMMYFUNCTION("""COMPUTED_VALUE"""),"")</f>
        <v/>
      </c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207"/>
      <c r="B163" s="224"/>
      <c r="C163" s="224"/>
      <c r="D163" s="224"/>
      <c r="E163" s="249"/>
      <c r="F163" s="239"/>
      <c r="G163" s="226"/>
      <c r="H163" s="266"/>
      <c r="I163" s="239" t="str">
        <f>IFERROR(__xludf.DUMMYFUNCTION("""COMPUTED_VALUE"""),"")</f>
        <v/>
      </c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207"/>
      <c r="B164" s="224"/>
      <c r="C164" s="224"/>
      <c r="D164" s="224"/>
      <c r="E164" s="249"/>
      <c r="F164" s="239"/>
      <c r="G164" s="226"/>
      <c r="H164" s="266"/>
      <c r="I164" s="239" t="str">
        <f>IFERROR(__xludf.DUMMYFUNCTION("""COMPUTED_VALUE"""),"")</f>
        <v/>
      </c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207"/>
      <c r="B165" s="224"/>
      <c r="C165" s="224"/>
      <c r="D165" s="224"/>
      <c r="E165" s="249"/>
      <c r="F165" s="239"/>
      <c r="G165" s="226"/>
      <c r="H165" s="266"/>
      <c r="I165" s="239" t="str">
        <f>IFERROR(__xludf.DUMMYFUNCTION("""COMPUTED_VALUE"""),"")</f>
        <v/>
      </c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207"/>
      <c r="B166" s="224"/>
      <c r="C166" s="224"/>
      <c r="D166" s="224"/>
      <c r="E166" s="249"/>
      <c r="F166" s="239"/>
      <c r="G166" s="226"/>
      <c r="H166" s="266"/>
      <c r="I166" s="239" t="str">
        <f>IFERROR(__xludf.DUMMYFUNCTION("""COMPUTED_VALUE"""),"")</f>
        <v/>
      </c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207"/>
      <c r="B167" s="224"/>
      <c r="C167" s="224"/>
      <c r="D167" s="224"/>
      <c r="E167" s="249"/>
      <c r="F167" s="239"/>
      <c r="G167" s="226"/>
      <c r="H167" s="266"/>
      <c r="I167" s="239" t="str">
        <f>IFERROR(__xludf.DUMMYFUNCTION("""COMPUTED_VALUE"""),"")</f>
        <v/>
      </c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207"/>
      <c r="B168" s="224"/>
      <c r="C168" s="224"/>
      <c r="D168" s="224"/>
      <c r="E168" s="249"/>
      <c r="F168" s="239"/>
      <c r="G168" s="226"/>
      <c r="H168" s="266"/>
      <c r="I168" s="239" t="str">
        <f>IFERROR(__xludf.DUMMYFUNCTION("""COMPUTED_VALUE"""),"")</f>
        <v/>
      </c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207"/>
      <c r="B169" s="224"/>
      <c r="C169" s="224"/>
      <c r="D169" s="224"/>
      <c r="E169" s="249"/>
      <c r="F169" s="239"/>
      <c r="G169" s="226"/>
      <c r="H169" s="266"/>
      <c r="I169" s="239" t="str">
        <f>IFERROR(__xludf.DUMMYFUNCTION("""COMPUTED_VALUE"""),"")</f>
        <v/>
      </c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207"/>
      <c r="B170" s="224"/>
      <c r="C170" s="224"/>
      <c r="D170" s="224"/>
      <c r="E170" s="249"/>
      <c r="F170" s="239"/>
      <c r="G170" s="226"/>
      <c r="H170" s="266"/>
      <c r="I170" s="239" t="str">
        <f>IFERROR(__xludf.DUMMYFUNCTION("""COMPUTED_VALUE"""),"")</f>
        <v/>
      </c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207"/>
      <c r="B171" s="224"/>
      <c r="C171" s="224"/>
      <c r="D171" s="224"/>
      <c r="E171" s="249"/>
      <c r="F171" s="239"/>
      <c r="G171" s="226"/>
      <c r="H171" s="266"/>
      <c r="I171" s="239" t="str">
        <f>IFERROR(__xludf.DUMMYFUNCTION("""COMPUTED_VALUE"""),"")</f>
        <v/>
      </c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207"/>
      <c r="B172" s="224"/>
      <c r="C172" s="224"/>
      <c r="D172" s="224"/>
      <c r="E172" s="249"/>
      <c r="F172" s="239"/>
      <c r="G172" s="226"/>
      <c r="H172" s="266"/>
      <c r="I172" s="239" t="str">
        <f>IFERROR(__xludf.DUMMYFUNCTION("""COMPUTED_VALUE"""),"")</f>
        <v/>
      </c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207"/>
      <c r="B173" s="224"/>
      <c r="C173" s="224"/>
      <c r="D173" s="224"/>
      <c r="E173" s="249"/>
      <c r="F173" s="239"/>
      <c r="G173" s="226"/>
      <c r="H173" s="266"/>
      <c r="I173" s="239" t="str">
        <f>IFERROR(__xludf.DUMMYFUNCTION("""COMPUTED_VALUE"""),"")</f>
        <v/>
      </c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207"/>
      <c r="B174" s="224"/>
      <c r="C174" s="224"/>
      <c r="D174" s="224"/>
      <c r="E174" s="249"/>
      <c r="F174" s="239"/>
      <c r="G174" s="226"/>
      <c r="H174" s="266"/>
      <c r="I174" s="239" t="str">
        <f>IFERROR(__xludf.DUMMYFUNCTION("""COMPUTED_VALUE"""),"")</f>
        <v/>
      </c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207"/>
      <c r="B175" s="224"/>
      <c r="C175" s="224"/>
      <c r="D175" s="224"/>
      <c r="E175" s="249"/>
      <c r="F175" s="239"/>
      <c r="G175" s="226"/>
      <c r="H175" s="266"/>
      <c r="I175" s="239" t="str">
        <f>IFERROR(__xludf.DUMMYFUNCTION("""COMPUTED_VALUE"""),"")</f>
        <v/>
      </c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207"/>
      <c r="B176" s="224"/>
      <c r="C176" s="224"/>
      <c r="D176" s="224"/>
      <c r="E176" s="249"/>
      <c r="F176" s="239"/>
      <c r="G176" s="226"/>
      <c r="H176" s="266"/>
      <c r="I176" s="239" t="str">
        <f>IFERROR(__xludf.DUMMYFUNCTION("""COMPUTED_VALUE"""),"")</f>
        <v/>
      </c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207"/>
      <c r="B177" s="224"/>
      <c r="C177" s="224"/>
      <c r="D177" s="224"/>
      <c r="E177" s="249"/>
      <c r="F177" s="239"/>
      <c r="G177" s="226"/>
      <c r="H177" s="266"/>
      <c r="I177" s="239" t="str">
        <f>IFERROR(__xludf.DUMMYFUNCTION("""COMPUTED_VALUE"""),"")</f>
        <v/>
      </c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207"/>
      <c r="B178" s="224"/>
      <c r="C178" s="224"/>
      <c r="D178" s="224"/>
      <c r="E178" s="249"/>
      <c r="F178" s="239"/>
      <c r="G178" s="226"/>
      <c r="H178" s="266"/>
      <c r="I178" s="239" t="str">
        <f>IFERROR(__xludf.DUMMYFUNCTION("""COMPUTED_VALUE"""),"")</f>
        <v/>
      </c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207"/>
      <c r="B179" s="224"/>
      <c r="C179" s="224"/>
      <c r="D179" s="224"/>
      <c r="E179" s="249"/>
      <c r="F179" s="239"/>
      <c r="G179" s="226"/>
      <c r="H179" s="266"/>
      <c r="I179" s="239" t="str">
        <f>IFERROR(__xludf.DUMMYFUNCTION("""COMPUTED_VALUE"""),"")</f>
        <v/>
      </c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207"/>
      <c r="B180" s="224"/>
      <c r="C180" s="224"/>
      <c r="D180" s="224"/>
      <c r="E180" s="249"/>
      <c r="F180" s="239"/>
      <c r="G180" s="226"/>
      <c r="H180" s="266"/>
      <c r="I180" s="239" t="str">
        <f>IFERROR(__xludf.DUMMYFUNCTION("""COMPUTED_VALUE"""),"")</f>
        <v/>
      </c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207"/>
      <c r="B181" s="224"/>
      <c r="C181" s="224"/>
      <c r="D181" s="224"/>
      <c r="E181" s="249"/>
      <c r="F181" s="239"/>
      <c r="G181" s="226"/>
      <c r="H181" s="266"/>
      <c r="I181" s="239" t="str">
        <f>IFERROR(__xludf.DUMMYFUNCTION("""COMPUTED_VALUE"""),"")</f>
        <v/>
      </c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207"/>
      <c r="B182" s="224"/>
      <c r="C182" s="224"/>
      <c r="D182" s="224"/>
      <c r="E182" s="249"/>
      <c r="F182" s="239"/>
      <c r="G182" s="226"/>
      <c r="H182" s="266"/>
      <c r="I182" s="239" t="str">
        <f>IFERROR(__xludf.DUMMYFUNCTION("""COMPUTED_VALUE"""),"")</f>
        <v/>
      </c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207"/>
      <c r="B183" s="224"/>
      <c r="C183" s="224"/>
      <c r="D183" s="224"/>
      <c r="E183" s="249"/>
      <c r="F183" s="239"/>
      <c r="G183" s="226"/>
      <c r="H183" s="266"/>
      <c r="I183" s="239" t="str">
        <f>IFERROR(__xludf.DUMMYFUNCTION("""COMPUTED_VALUE"""),"")</f>
        <v/>
      </c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207"/>
      <c r="B184" s="224"/>
      <c r="C184" s="224"/>
      <c r="D184" s="224"/>
      <c r="E184" s="249"/>
      <c r="F184" s="239"/>
      <c r="G184" s="226"/>
      <c r="H184" s="266"/>
      <c r="I184" s="239" t="str">
        <f>IFERROR(__xludf.DUMMYFUNCTION("""COMPUTED_VALUE"""),"")</f>
        <v/>
      </c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207"/>
      <c r="B185" s="224"/>
      <c r="C185" s="224"/>
      <c r="D185" s="224"/>
      <c r="E185" s="249"/>
      <c r="F185" s="239"/>
      <c r="G185" s="226"/>
      <c r="H185" s="266"/>
      <c r="I185" s="239" t="str">
        <f>IFERROR(__xludf.DUMMYFUNCTION("""COMPUTED_VALUE"""),"")</f>
        <v/>
      </c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207"/>
      <c r="B186" s="224"/>
      <c r="C186" s="224"/>
      <c r="D186" s="224"/>
      <c r="E186" s="249"/>
      <c r="F186" s="239"/>
      <c r="G186" s="226"/>
      <c r="H186" s="266"/>
      <c r="I186" s="239" t="str">
        <f>IFERROR(__xludf.DUMMYFUNCTION("""COMPUTED_VALUE"""),"")</f>
        <v/>
      </c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207"/>
      <c r="B187" s="224"/>
      <c r="C187" s="224"/>
      <c r="D187" s="224"/>
      <c r="E187" s="249"/>
      <c r="F187" s="239"/>
      <c r="G187" s="226"/>
      <c r="H187" s="266"/>
      <c r="I187" s="239" t="str">
        <f>IFERROR(__xludf.DUMMYFUNCTION("""COMPUTED_VALUE"""),"")</f>
        <v/>
      </c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207"/>
      <c r="B188" s="224"/>
      <c r="C188" s="224"/>
      <c r="D188" s="224"/>
      <c r="E188" s="249"/>
      <c r="F188" s="239"/>
      <c r="G188" s="226"/>
      <c r="H188" s="266"/>
      <c r="I188" s="239" t="str">
        <f>IFERROR(__xludf.DUMMYFUNCTION("""COMPUTED_VALUE"""),"")</f>
        <v/>
      </c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207"/>
      <c r="B189" s="224"/>
      <c r="C189" s="224"/>
      <c r="D189" s="224"/>
      <c r="E189" s="249"/>
      <c r="F189" s="239"/>
      <c r="G189" s="226"/>
      <c r="H189" s="266"/>
      <c r="I189" s="239" t="str">
        <f>IFERROR(__xludf.DUMMYFUNCTION("""COMPUTED_VALUE"""),"")</f>
        <v/>
      </c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207"/>
      <c r="B190" s="224"/>
      <c r="C190" s="224"/>
      <c r="D190" s="224"/>
      <c r="E190" s="249"/>
      <c r="F190" s="239"/>
      <c r="G190" s="226"/>
      <c r="H190" s="266"/>
      <c r="I190" s="239" t="str">
        <f>IFERROR(__xludf.DUMMYFUNCTION("""COMPUTED_VALUE"""),"")</f>
        <v/>
      </c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207"/>
      <c r="B191" s="224"/>
      <c r="C191" s="224"/>
      <c r="D191" s="224"/>
      <c r="E191" s="249"/>
      <c r="F191" s="239"/>
      <c r="G191" s="226"/>
      <c r="H191" s="266"/>
      <c r="I191" s="239" t="str">
        <f>IFERROR(__xludf.DUMMYFUNCTION("""COMPUTED_VALUE"""),"")</f>
        <v/>
      </c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207"/>
      <c r="B192" s="224"/>
      <c r="C192" s="224"/>
      <c r="D192" s="224"/>
      <c r="E192" s="249"/>
      <c r="F192" s="239"/>
      <c r="G192" s="226"/>
      <c r="H192" s="266"/>
      <c r="I192" s="239" t="str">
        <f>IFERROR(__xludf.DUMMYFUNCTION("""COMPUTED_VALUE"""),"")</f>
        <v/>
      </c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207"/>
      <c r="B193" s="224"/>
      <c r="C193" s="224"/>
      <c r="D193" s="224"/>
      <c r="E193" s="249"/>
      <c r="F193" s="239"/>
      <c r="G193" s="226"/>
      <c r="H193" s="266"/>
      <c r="I193" s="239" t="str">
        <f>IFERROR(__xludf.DUMMYFUNCTION("""COMPUTED_VALUE"""),"")</f>
        <v/>
      </c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207"/>
      <c r="B194" s="224"/>
      <c r="C194" s="224"/>
      <c r="D194" s="224"/>
      <c r="E194" s="249"/>
      <c r="F194" s="239"/>
      <c r="G194" s="226"/>
      <c r="H194" s="266"/>
      <c r="I194" s="239" t="str">
        <f>IFERROR(__xludf.DUMMYFUNCTION("""COMPUTED_VALUE"""),"")</f>
        <v/>
      </c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207"/>
      <c r="B195" s="224"/>
      <c r="C195" s="224"/>
      <c r="D195" s="224"/>
      <c r="E195" s="249"/>
      <c r="F195" s="239"/>
      <c r="G195" s="226"/>
      <c r="H195" s="266"/>
      <c r="I195" s="239" t="str">
        <f>IFERROR(__xludf.DUMMYFUNCTION("""COMPUTED_VALUE"""),"")</f>
        <v/>
      </c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207"/>
      <c r="B196" s="224"/>
      <c r="C196" s="224"/>
      <c r="D196" s="224"/>
      <c r="E196" s="249"/>
      <c r="F196" s="239"/>
      <c r="G196" s="226"/>
      <c r="H196" s="266"/>
      <c r="I196" s="239" t="str">
        <f>IFERROR(__xludf.DUMMYFUNCTION("""COMPUTED_VALUE"""),"")</f>
        <v/>
      </c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207"/>
      <c r="B197" s="224"/>
      <c r="C197" s="224"/>
      <c r="D197" s="224"/>
      <c r="E197" s="249"/>
      <c r="F197" s="239"/>
      <c r="G197" s="226"/>
      <c r="H197" s="266"/>
      <c r="I197" s="239" t="str">
        <f>IFERROR(__xludf.DUMMYFUNCTION("""COMPUTED_VALUE"""),"")</f>
        <v/>
      </c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207"/>
      <c r="B198" s="224"/>
      <c r="C198" s="224"/>
      <c r="D198" s="224"/>
      <c r="E198" s="249"/>
      <c r="F198" s="239"/>
      <c r="G198" s="226"/>
      <c r="H198" s="266"/>
      <c r="I198" s="239" t="str">
        <f>IFERROR(__xludf.DUMMYFUNCTION("""COMPUTED_VALUE"""),"")</f>
        <v/>
      </c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207"/>
      <c r="B199" s="224"/>
      <c r="C199" s="224"/>
      <c r="D199" s="224"/>
      <c r="E199" s="249"/>
      <c r="F199" s="239"/>
      <c r="G199" s="226"/>
      <c r="H199" s="266"/>
      <c r="I199" s="239" t="str">
        <f>IFERROR(__xludf.DUMMYFUNCTION("""COMPUTED_VALUE"""),"")</f>
        <v/>
      </c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207"/>
      <c r="B200" s="224"/>
      <c r="C200" s="224"/>
      <c r="D200" s="224"/>
      <c r="E200" s="249"/>
      <c r="F200" s="239"/>
      <c r="G200" s="226"/>
      <c r="H200" s="266"/>
      <c r="I200" s="239" t="str">
        <f>IFERROR(__xludf.DUMMYFUNCTION("""COMPUTED_VALUE"""),"")</f>
        <v/>
      </c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207"/>
      <c r="B201" s="224"/>
      <c r="C201" s="224"/>
      <c r="D201" s="224"/>
      <c r="E201" s="249"/>
      <c r="F201" s="239"/>
      <c r="G201" s="226"/>
      <c r="H201" s="266"/>
      <c r="I201" s="239" t="str">
        <f>IFERROR(__xludf.DUMMYFUNCTION("""COMPUTED_VALUE"""),"")</f>
        <v/>
      </c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207"/>
      <c r="B202" s="224"/>
      <c r="C202" s="224"/>
      <c r="D202" s="224"/>
      <c r="E202" s="249"/>
      <c r="F202" s="239"/>
      <c r="G202" s="226"/>
      <c r="H202" s="266"/>
      <c r="I202" s="239" t="str">
        <f>IFERROR(__xludf.DUMMYFUNCTION("""COMPUTED_VALUE"""),"")</f>
        <v/>
      </c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207"/>
      <c r="B203" s="224"/>
      <c r="C203" s="224"/>
      <c r="D203" s="224"/>
      <c r="E203" s="249"/>
      <c r="F203" s="239"/>
      <c r="G203" s="226"/>
      <c r="H203" s="266"/>
      <c r="I203" s="239" t="str">
        <f>IFERROR(__xludf.DUMMYFUNCTION("""COMPUTED_VALUE"""),"")</f>
        <v/>
      </c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207"/>
      <c r="B204" s="224"/>
      <c r="C204" s="224"/>
      <c r="D204" s="224"/>
      <c r="E204" s="249"/>
      <c r="F204" s="239"/>
      <c r="G204" s="226"/>
      <c r="H204" s="266"/>
      <c r="I204" s="239" t="str">
        <f>IFERROR(__xludf.DUMMYFUNCTION("""COMPUTED_VALUE"""),"")</f>
        <v/>
      </c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207"/>
      <c r="B205" s="224"/>
      <c r="C205" s="224"/>
      <c r="D205" s="224"/>
      <c r="E205" s="249"/>
      <c r="F205" s="239"/>
      <c r="G205" s="226"/>
      <c r="H205" s="266"/>
      <c r="I205" s="239" t="str">
        <f>IFERROR(__xludf.DUMMYFUNCTION("""COMPUTED_VALUE"""),"")</f>
        <v/>
      </c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207"/>
      <c r="B206" s="224"/>
      <c r="C206" s="224"/>
      <c r="D206" s="224"/>
      <c r="E206" s="249"/>
      <c r="F206" s="239"/>
      <c r="G206" s="226"/>
      <c r="H206" s="266"/>
      <c r="I206" s="239" t="str">
        <f>IFERROR(__xludf.DUMMYFUNCTION("""COMPUTED_VALUE"""),"")</f>
        <v/>
      </c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207"/>
      <c r="B207" s="224"/>
      <c r="C207" s="224"/>
      <c r="D207" s="224"/>
      <c r="E207" s="249"/>
      <c r="F207" s="239"/>
      <c r="G207" s="226"/>
      <c r="H207" s="266"/>
      <c r="I207" s="239" t="str">
        <f>IFERROR(__xludf.DUMMYFUNCTION("""COMPUTED_VALUE"""),"")</f>
        <v/>
      </c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207"/>
      <c r="B208" s="224"/>
      <c r="C208" s="224"/>
      <c r="D208" s="224"/>
      <c r="E208" s="249"/>
      <c r="F208" s="239"/>
      <c r="G208" s="226"/>
      <c r="H208" s="266"/>
      <c r="I208" s="239" t="str">
        <f>IFERROR(__xludf.DUMMYFUNCTION("""COMPUTED_VALUE"""),"")</f>
        <v/>
      </c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207"/>
      <c r="B209" s="224"/>
      <c r="C209" s="224"/>
      <c r="D209" s="224"/>
      <c r="E209" s="249"/>
      <c r="F209" s="239"/>
      <c r="G209" s="226"/>
      <c r="H209" s="266"/>
      <c r="I209" s="239" t="str">
        <f>IFERROR(__xludf.DUMMYFUNCTION("""COMPUTED_VALUE"""),"")</f>
        <v/>
      </c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207"/>
      <c r="B210" s="224"/>
      <c r="C210" s="224"/>
      <c r="D210" s="224"/>
      <c r="E210" s="249"/>
      <c r="F210" s="239"/>
      <c r="G210" s="226"/>
      <c r="H210" s="266"/>
      <c r="I210" s="239" t="str">
        <f>IFERROR(__xludf.DUMMYFUNCTION("""COMPUTED_VALUE"""),"")</f>
        <v/>
      </c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207"/>
      <c r="B211" s="224"/>
      <c r="C211" s="224"/>
      <c r="D211" s="224"/>
      <c r="E211" s="249"/>
      <c r="F211" s="239"/>
      <c r="G211" s="226"/>
      <c r="H211" s="266"/>
      <c r="I211" s="239" t="str">
        <f>IFERROR(__xludf.DUMMYFUNCTION("""COMPUTED_VALUE"""),"")</f>
        <v/>
      </c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207"/>
      <c r="B212" s="224"/>
      <c r="C212" s="224"/>
      <c r="D212" s="224"/>
      <c r="E212" s="249"/>
      <c r="F212" s="239"/>
      <c r="G212" s="226"/>
      <c r="H212" s="266"/>
      <c r="I212" s="239" t="str">
        <f>IFERROR(__xludf.DUMMYFUNCTION("""COMPUTED_VALUE"""),"")</f>
        <v/>
      </c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207"/>
      <c r="B213" s="224"/>
      <c r="C213" s="224"/>
      <c r="D213" s="224"/>
      <c r="E213" s="249"/>
      <c r="F213" s="239"/>
      <c r="G213" s="226"/>
      <c r="H213" s="266"/>
      <c r="I213" s="239" t="str">
        <f>IFERROR(__xludf.DUMMYFUNCTION("""COMPUTED_VALUE"""),"")</f>
        <v/>
      </c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207"/>
      <c r="B214" s="224"/>
      <c r="C214" s="224"/>
      <c r="D214" s="224"/>
      <c r="E214" s="249"/>
      <c r="F214" s="239"/>
      <c r="G214" s="226"/>
      <c r="H214" s="266"/>
      <c r="I214" s="239" t="str">
        <f>IFERROR(__xludf.DUMMYFUNCTION("""COMPUTED_VALUE"""),"")</f>
        <v/>
      </c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207"/>
      <c r="B215" s="224"/>
      <c r="C215" s="224"/>
      <c r="D215" s="224"/>
      <c r="E215" s="249"/>
      <c r="F215" s="239"/>
      <c r="G215" s="226"/>
      <c r="H215" s="266"/>
      <c r="I215" s="239" t="str">
        <f>IFERROR(__xludf.DUMMYFUNCTION("""COMPUTED_VALUE"""),"")</f>
        <v/>
      </c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207"/>
      <c r="B216" s="224"/>
      <c r="C216" s="224"/>
      <c r="D216" s="224"/>
      <c r="E216" s="249"/>
      <c r="F216" s="239"/>
      <c r="G216" s="226"/>
      <c r="H216" s="266"/>
      <c r="I216" s="239" t="str">
        <f>IFERROR(__xludf.DUMMYFUNCTION("""COMPUTED_VALUE"""),"")</f>
        <v/>
      </c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207"/>
      <c r="B217" s="224"/>
      <c r="C217" s="224"/>
      <c r="D217" s="224"/>
      <c r="E217" s="249"/>
      <c r="F217" s="239"/>
      <c r="G217" s="226"/>
      <c r="H217" s="266"/>
      <c r="I217" s="239" t="str">
        <f>IFERROR(__xludf.DUMMYFUNCTION("""COMPUTED_VALUE"""),"")</f>
        <v/>
      </c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207"/>
      <c r="B218" s="224"/>
      <c r="C218" s="224"/>
      <c r="D218" s="224"/>
      <c r="E218" s="249"/>
      <c r="F218" s="239"/>
      <c r="G218" s="226"/>
      <c r="H218" s="266"/>
      <c r="I218" s="239" t="str">
        <f>IFERROR(__xludf.DUMMYFUNCTION("""COMPUTED_VALUE"""),"")</f>
        <v/>
      </c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207"/>
      <c r="B219" s="224"/>
      <c r="C219" s="224"/>
      <c r="D219" s="224"/>
      <c r="E219" s="249"/>
      <c r="F219" s="239"/>
      <c r="G219" s="226"/>
      <c r="H219" s="266"/>
      <c r="I219" s="239" t="str">
        <f>IFERROR(__xludf.DUMMYFUNCTION("""COMPUTED_VALUE"""),"")</f>
        <v/>
      </c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207"/>
      <c r="B220" s="224"/>
      <c r="C220" s="224"/>
      <c r="D220" s="224"/>
      <c r="E220" s="249"/>
      <c r="F220" s="239"/>
      <c r="G220" s="226"/>
      <c r="H220" s="266"/>
      <c r="I220" s="239" t="str">
        <f>IFERROR(__xludf.DUMMYFUNCTION("""COMPUTED_VALUE"""),"")</f>
        <v/>
      </c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207"/>
      <c r="B221" s="224"/>
      <c r="C221" s="224"/>
      <c r="D221" s="224"/>
      <c r="E221" s="249"/>
      <c r="F221" s="239"/>
      <c r="G221" s="226"/>
      <c r="H221" s="266"/>
      <c r="I221" s="239" t="str">
        <f>IFERROR(__xludf.DUMMYFUNCTION("""COMPUTED_VALUE"""),"")</f>
        <v/>
      </c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207"/>
      <c r="B222" s="224"/>
      <c r="C222" s="224"/>
      <c r="D222" s="224"/>
      <c r="E222" s="249"/>
      <c r="F222" s="239"/>
      <c r="G222" s="226"/>
      <c r="H222" s="266"/>
      <c r="I222" s="239" t="str">
        <f>IFERROR(__xludf.DUMMYFUNCTION("""COMPUTED_VALUE"""),"")</f>
        <v/>
      </c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207"/>
      <c r="B223" s="224"/>
      <c r="C223" s="224"/>
      <c r="D223" s="224"/>
      <c r="E223" s="249"/>
      <c r="F223" s="239"/>
      <c r="G223" s="226"/>
      <c r="H223" s="266"/>
      <c r="I223" s="239" t="str">
        <f>IFERROR(__xludf.DUMMYFUNCTION("""COMPUTED_VALUE"""),"")</f>
        <v/>
      </c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207"/>
      <c r="B224" s="224"/>
      <c r="C224" s="224"/>
      <c r="D224" s="224"/>
      <c r="E224" s="249"/>
      <c r="F224" s="239"/>
      <c r="G224" s="226"/>
      <c r="H224" s="266"/>
      <c r="I224" s="239" t="str">
        <f>IFERROR(__xludf.DUMMYFUNCTION("""COMPUTED_VALUE"""),"")</f>
        <v/>
      </c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207"/>
      <c r="B225" s="224"/>
      <c r="C225" s="224"/>
      <c r="D225" s="224"/>
      <c r="E225" s="249"/>
      <c r="F225" s="239"/>
      <c r="G225" s="226"/>
      <c r="H225" s="266"/>
      <c r="I225" s="239" t="str">
        <f>IFERROR(__xludf.DUMMYFUNCTION("""COMPUTED_VALUE"""),"")</f>
        <v/>
      </c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207"/>
      <c r="B226" s="224"/>
      <c r="C226" s="224"/>
      <c r="D226" s="224"/>
      <c r="E226" s="249"/>
      <c r="F226" s="239"/>
      <c r="G226" s="226"/>
      <c r="H226" s="266"/>
      <c r="I226" s="239" t="str">
        <f>IFERROR(__xludf.DUMMYFUNCTION("""COMPUTED_VALUE"""),"")</f>
        <v/>
      </c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207"/>
      <c r="B227" s="224"/>
      <c r="C227" s="224"/>
      <c r="D227" s="224"/>
      <c r="E227" s="249"/>
      <c r="F227" s="239"/>
      <c r="G227" s="226"/>
      <c r="H227" s="266"/>
      <c r="I227" s="239" t="str">
        <f>IFERROR(__xludf.DUMMYFUNCTION("""COMPUTED_VALUE"""),"")</f>
        <v/>
      </c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207"/>
      <c r="B228" s="224"/>
      <c r="C228" s="224"/>
      <c r="D228" s="224"/>
      <c r="E228" s="249"/>
      <c r="F228" s="239"/>
      <c r="G228" s="226"/>
      <c r="H228" s="266"/>
      <c r="I228" s="239" t="str">
        <f>IFERROR(__xludf.DUMMYFUNCTION("""COMPUTED_VALUE"""),"")</f>
        <v/>
      </c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207"/>
      <c r="B229" s="224"/>
      <c r="C229" s="224"/>
      <c r="D229" s="224"/>
      <c r="E229" s="249"/>
      <c r="F229" s="239"/>
      <c r="G229" s="226"/>
      <c r="H229" s="266"/>
      <c r="I229" s="239" t="str">
        <f>IFERROR(__xludf.DUMMYFUNCTION("""COMPUTED_VALUE"""),"")</f>
        <v/>
      </c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207"/>
      <c r="B230" s="224"/>
      <c r="C230" s="224"/>
      <c r="D230" s="224"/>
      <c r="E230" s="249"/>
      <c r="F230" s="239"/>
      <c r="G230" s="226"/>
      <c r="H230" s="266"/>
      <c r="I230" s="239" t="str">
        <f>IFERROR(__xludf.DUMMYFUNCTION("""COMPUTED_VALUE"""),"")</f>
        <v/>
      </c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207"/>
      <c r="B231" s="224"/>
      <c r="C231" s="224"/>
      <c r="D231" s="224"/>
      <c r="E231" s="249"/>
      <c r="F231" s="239"/>
      <c r="G231" s="226"/>
      <c r="H231" s="266"/>
      <c r="I231" s="239" t="str">
        <f>IFERROR(__xludf.DUMMYFUNCTION("""COMPUTED_VALUE"""),"")</f>
        <v/>
      </c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207"/>
      <c r="B232" s="224"/>
      <c r="C232" s="224"/>
      <c r="D232" s="224"/>
      <c r="E232" s="249"/>
      <c r="F232" s="239"/>
      <c r="G232" s="226"/>
      <c r="H232" s="266"/>
      <c r="I232" s="239" t="str">
        <f>IFERROR(__xludf.DUMMYFUNCTION("""COMPUTED_VALUE"""),"")</f>
        <v/>
      </c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207"/>
      <c r="B233" s="224"/>
      <c r="C233" s="224"/>
      <c r="D233" s="224"/>
      <c r="E233" s="249"/>
      <c r="F233" s="239"/>
      <c r="G233" s="226"/>
      <c r="H233" s="266"/>
      <c r="I233" s="239" t="str">
        <f>IFERROR(__xludf.DUMMYFUNCTION("""COMPUTED_VALUE"""),"")</f>
        <v/>
      </c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207"/>
      <c r="B234" s="224"/>
      <c r="C234" s="224"/>
      <c r="D234" s="224"/>
      <c r="E234" s="249"/>
      <c r="F234" s="239"/>
      <c r="G234" s="226"/>
      <c r="H234" s="266"/>
      <c r="I234" s="239" t="str">
        <f>IFERROR(__xludf.DUMMYFUNCTION("""COMPUTED_VALUE"""),"")</f>
        <v/>
      </c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207"/>
      <c r="B235" s="224"/>
      <c r="C235" s="224"/>
      <c r="D235" s="224"/>
      <c r="E235" s="249"/>
      <c r="F235" s="239"/>
      <c r="G235" s="226"/>
      <c r="H235" s="266"/>
      <c r="I235" s="239" t="str">
        <f>IFERROR(__xludf.DUMMYFUNCTION("""COMPUTED_VALUE"""),"")</f>
        <v/>
      </c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207"/>
      <c r="B236" s="224"/>
      <c r="C236" s="224"/>
      <c r="D236" s="224"/>
      <c r="E236" s="249"/>
      <c r="F236" s="239"/>
      <c r="G236" s="226"/>
      <c r="H236" s="266"/>
      <c r="I236" s="239" t="str">
        <f>IFERROR(__xludf.DUMMYFUNCTION("""COMPUTED_VALUE"""),"")</f>
        <v/>
      </c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207"/>
      <c r="B237" s="224"/>
      <c r="C237" s="224"/>
      <c r="D237" s="224"/>
      <c r="E237" s="249"/>
      <c r="F237" s="239"/>
      <c r="G237" s="226"/>
      <c r="H237" s="266"/>
      <c r="I237" s="239" t="str">
        <f>IFERROR(__xludf.DUMMYFUNCTION("""COMPUTED_VALUE"""),"")</f>
        <v/>
      </c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207"/>
      <c r="B238" s="224"/>
      <c r="C238" s="224"/>
      <c r="D238" s="224"/>
      <c r="E238" s="249"/>
      <c r="F238" s="239"/>
      <c r="G238" s="226"/>
      <c r="H238" s="266"/>
      <c r="I238" s="239" t="str">
        <f>IFERROR(__xludf.DUMMYFUNCTION("""COMPUTED_VALUE"""),"")</f>
        <v/>
      </c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207"/>
      <c r="B239" s="224"/>
      <c r="C239" s="224"/>
      <c r="D239" s="224"/>
      <c r="E239" s="249"/>
      <c r="F239" s="239"/>
      <c r="G239" s="226"/>
      <c r="H239" s="266"/>
      <c r="I239" s="239" t="str">
        <f>IFERROR(__xludf.DUMMYFUNCTION("""COMPUTED_VALUE"""),"")</f>
        <v/>
      </c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207"/>
      <c r="B240" s="224"/>
      <c r="C240" s="224"/>
      <c r="D240" s="224"/>
      <c r="E240" s="249"/>
      <c r="F240" s="239"/>
      <c r="G240" s="226"/>
      <c r="H240" s="266"/>
      <c r="I240" s="239" t="str">
        <f>IFERROR(__xludf.DUMMYFUNCTION("""COMPUTED_VALUE"""),"")</f>
        <v/>
      </c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207"/>
      <c r="B241" s="224"/>
      <c r="C241" s="224"/>
      <c r="D241" s="224"/>
      <c r="E241" s="249"/>
      <c r="F241" s="239"/>
      <c r="G241" s="226"/>
      <c r="H241" s="266"/>
      <c r="I241" s="239" t="str">
        <f>IFERROR(__xludf.DUMMYFUNCTION("""COMPUTED_VALUE"""),"")</f>
        <v/>
      </c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207"/>
      <c r="B242" s="224"/>
      <c r="C242" s="224"/>
      <c r="D242" s="224"/>
      <c r="E242" s="249"/>
      <c r="F242" s="239"/>
      <c r="G242" s="226"/>
      <c r="H242" s="266"/>
      <c r="I242" s="239" t="str">
        <f>IFERROR(__xludf.DUMMYFUNCTION("""COMPUTED_VALUE"""),"")</f>
        <v/>
      </c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207"/>
      <c r="B243" s="224"/>
      <c r="C243" s="224"/>
      <c r="D243" s="224"/>
      <c r="E243" s="249"/>
      <c r="F243" s="239"/>
      <c r="G243" s="226"/>
      <c r="H243" s="266"/>
      <c r="I243" s="239" t="str">
        <f>IFERROR(__xludf.DUMMYFUNCTION("""COMPUTED_VALUE"""),"")</f>
        <v/>
      </c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207"/>
      <c r="B244" s="224"/>
      <c r="C244" s="224"/>
      <c r="D244" s="224"/>
      <c r="E244" s="249"/>
      <c r="F244" s="239"/>
      <c r="G244" s="226"/>
      <c r="H244" s="266"/>
      <c r="I244" s="239" t="str">
        <f>IFERROR(__xludf.DUMMYFUNCTION("""COMPUTED_VALUE"""),"")</f>
        <v/>
      </c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207"/>
      <c r="B245" s="224"/>
      <c r="C245" s="224"/>
      <c r="D245" s="224"/>
      <c r="E245" s="249"/>
      <c r="F245" s="239"/>
      <c r="G245" s="226"/>
      <c r="H245" s="266"/>
      <c r="I245" s="239" t="str">
        <f>IFERROR(__xludf.DUMMYFUNCTION("""COMPUTED_VALUE"""),"")</f>
        <v/>
      </c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207"/>
      <c r="B246" s="224"/>
      <c r="C246" s="224"/>
      <c r="D246" s="224"/>
      <c r="E246" s="249"/>
      <c r="F246" s="239"/>
      <c r="G246" s="226"/>
      <c r="H246" s="266"/>
      <c r="I246" s="239" t="str">
        <f>IFERROR(__xludf.DUMMYFUNCTION("""COMPUTED_VALUE"""),"")</f>
        <v/>
      </c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207"/>
      <c r="B247" s="224"/>
      <c r="C247" s="224"/>
      <c r="D247" s="224"/>
      <c r="E247" s="249"/>
      <c r="F247" s="239"/>
      <c r="G247" s="226"/>
      <c r="H247" s="266"/>
      <c r="I247" s="239" t="str">
        <f>IFERROR(__xludf.DUMMYFUNCTION("""COMPUTED_VALUE"""),"")</f>
        <v/>
      </c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207"/>
      <c r="B248" s="224"/>
      <c r="C248" s="224"/>
      <c r="D248" s="224"/>
      <c r="E248" s="249"/>
      <c r="F248" s="239"/>
      <c r="G248" s="226"/>
      <c r="H248" s="266"/>
      <c r="I248" s="239" t="str">
        <f>IFERROR(__xludf.DUMMYFUNCTION("""COMPUTED_VALUE"""),"")</f>
        <v/>
      </c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207"/>
      <c r="B249" s="224"/>
      <c r="C249" s="224"/>
      <c r="D249" s="224"/>
      <c r="E249" s="249"/>
      <c r="F249" s="239"/>
      <c r="G249" s="226"/>
      <c r="H249" s="266"/>
      <c r="I249" s="239" t="str">
        <f>IFERROR(__xludf.DUMMYFUNCTION("""COMPUTED_VALUE"""),"")</f>
        <v/>
      </c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207"/>
      <c r="B250" s="224"/>
      <c r="C250" s="224"/>
      <c r="D250" s="224"/>
      <c r="E250" s="249"/>
      <c r="F250" s="239"/>
      <c r="G250" s="226"/>
      <c r="H250" s="266"/>
      <c r="I250" s="239" t="str">
        <f>IFERROR(__xludf.DUMMYFUNCTION("""COMPUTED_VALUE"""),"")</f>
        <v/>
      </c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207"/>
      <c r="B251" s="224"/>
      <c r="C251" s="224"/>
      <c r="D251" s="224"/>
      <c r="E251" s="249"/>
      <c r="F251" s="239"/>
      <c r="G251" s="226"/>
      <c r="H251" s="266"/>
      <c r="I251" s="239" t="str">
        <f>IFERROR(__xludf.DUMMYFUNCTION("""COMPUTED_VALUE"""),"")</f>
        <v/>
      </c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207"/>
      <c r="B252" s="224"/>
      <c r="C252" s="224"/>
      <c r="D252" s="224"/>
      <c r="E252" s="249"/>
      <c r="F252" s="239"/>
      <c r="G252" s="226"/>
      <c r="H252" s="266"/>
      <c r="I252" s="239" t="str">
        <f>IFERROR(__xludf.DUMMYFUNCTION("""COMPUTED_VALUE"""),"")</f>
        <v/>
      </c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207"/>
      <c r="B253" s="224"/>
      <c r="C253" s="224"/>
      <c r="D253" s="224"/>
      <c r="E253" s="249"/>
      <c r="F253" s="239"/>
      <c r="G253" s="226"/>
      <c r="H253" s="266"/>
      <c r="I253" s="239" t="str">
        <f>IFERROR(__xludf.DUMMYFUNCTION("""COMPUTED_VALUE"""),"")</f>
        <v/>
      </c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207"/>
      <c r="B254" s="224"/>
      <c r="C254" s="224"/>
      <c r="D254" s="224"/>
      <c r="E254" s="249"/>
      <c r="F254" s="239"/>
      <c r="G254" s="226"/>
      <c r="H254" s="266"/>
      <c r="I254" s="239" t="str">
        <f>IFERROR(__xludf.DUMMYFUNCTION("""COMPUTED_VALUE"""),"")</f>
        <v/>
      </c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207"/>
      <c r="B255" s="224"/>
      <c r="C255" s="224"/>
      <c r="D255" s="224"/>
      <c r="E255" s="249"/>
      <c r="F255" s="239"/>
      <c r="G255" s="226"/>
      <c r="H255" s="266"/>
      <c r="I255" s="239" t="str">
        <f>IFERROR(__xludf.DUMMYFUNCTION("""COMPUTED_VALUE"""),"")</f>
        <v/>
      </c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207"/>
      <c r="B256" s="224"/>
      <c r="C256" s="224"/>
      <c r="D256" s="224"/>
      <c r="E256" s="249"/>
      <c r="F256" s="239"/>
      <c r="G256" s="226"/>
      <c r="H256" s="266"/>
      <c r="I256" s="239" t="str">
        <f>IFERROR(__xludf.DUMMYFUNCTION("""COMPUTED_VALUE"""),"")</f>
        <v/>
      </c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207"/>
      <c r="B257" s="224"/>
      <c r="C257" s="224"/>
      <c r="D257" s="224"/>
      <c r="E257" s="249"/>
      <c r="F257" s="239"/>
      <c r="G257" s="226"/>
      <c r="H257" s="266"/>
      <c r="I257" s="239" t="str">
        <f>IFERROR(__xludf.DUMMYFUNCTION("""COMPUTED_VALUE"""),"")</f>
        <v/>
      </c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207"/>
      <c r="B258" s="224"/>
      <c r="C258" s="224"/>
      <c r="D258" s="224"/>
      <c r="E258" s="249"/>
      <c r="F258" s="239"/>
      <c r="G258" s="226"/>
      <c r="H258" s="266"/>
      <c r="I258" s="239" t="str">
        <f>IFERROR(__xludf.DUMMYFUNCTION("""COMPUTED_VALUE"""),"")</f>
        <v/>
      </c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207"/>
      <c r="B259" s="224"/>
      <c r="C259" s="224"/>
      <c r="D259" s="224"/>
      <c r="E259" s="249"/>
      <c r="F259" s="239"/>
      <c r="G259" s="226"/>
      <c r="H259" s="266"/>
      <c r="I259" s="239" t="str">
        <f>IFERROR(__xludf.DUMMYFUNCTION("""COMPUTED_VALUE"""),"")</f>
        <v/>
      </c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207"/>
      <c r="B260" s="224"/>
      <c r="C260" s="224"/>
      <c r="D260" s="224"/>
      <c r="E260" s="249"/>
      <c r="F260" s="239"/>
      <c r="G260" s="226"/>
      <c r="H260" s="266"/>
      <c r="I260" s="239" t="str">
        <f>IFERROR(__xludf.DUMMYFUNCTION("""COMPUTED_VALUE"""),"")</f>
        <v/>
      </c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207"/>
      <c r="B261" s="224"/>
      <c r="C261" s="224"/>
      <c r="D261" s="224"/>
      <c r="E261" s="249"/>
      <c r="F261" s="239"/>
      <c r="G261" s="226"/>
      <c r="H261" s="266"/>
      <c r="I261" s="239" t="str">
        <f>IFERROR(__xludf.DUMMYFUNCTION("""COMPUTED_VALUE"""),"")</f>
        <v/>
      </c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207"/>
      <c r="B262" s="224"/>
      <c r="C262" s="224"/>
      <c r="D262" s="224"/>
      <c r="E262" s="249"/>
      <c r="F262" s="239"/>
      <c r="G262" s="226"/>
      <c r="H262" s="266"/>
      <c r="I262" s="239" t="str">
        <f>IFERROR(__xludf.DUMMYFUNCTION("""COMPUTED_VALUE"""),"")</f>
        <v/>
      </c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207"/>
      <c r="B263" s="224"/>
      <c r="C263" s="224"/>
      <c r="D263" s="224"/>
      <c r="E263" s="249"/>
      <c r="F263" s="239"/>
      <c r="G263" s="226"/>
      <c r="H263" s="266"/>
      <c r="I263" s="239" t="str">
        <f>IFERROR(__xludf.DUMMYFUNCTION("""COMPUTED_VALUE"""),"")</f>
        <v/>
      </c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207"/>
      <c r="B264" s="224"/>
      <c r="C264" s="224"/>
      <c r="D264" s="224"/>
      <c r="E264" s="249"/>
      <c r="F264" s="239"/>
      <c r="G264" s="226"/>
      <c r="H264" s="266"/>
      <c r="I264" s="239" t="str">
        <f>IFERROR(__xludf.DUMMYFUNCTION("""COMPUTED_VALUE"""),"")</f>
        <v/>
      </c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207"/>
      <c r="B265" s="224"/>
      <c r="C265" s="224"/>
      <c r="D265" s="224"/>
      <c r="E265" s="249"/>
      <c r="F265" s="239"/>
      <c r="G265" s="226"/>
      <c r="H265" s="266"/>
      <c r="I265" s="239" t="str">
        <f>IFERROR(__xludf.DUMMYFUNCTION("""COMPUTED_VALUE"""),"")</f>
        <v/>
      </c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207"/>
      <c r="B266" s="224"/>
      <c r="C266" s="224"/>
      <c r="D266" s="224"/>
      <c r="E266" s="249"/>
      <c r="F266" s="239"/>
      <c r="G266" s="226"/>
      <c r="H266" s="266"/>
      <c r="I266" s="239" t="str">
        <f>IFERROR(__xludf.DUMMYFUNCTION("""COMPUTED_VALUE"""),"")</f>
        <v/>
      </c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207"/>
      <c r="B267" s="224"/>
      <c r="C267" s="224"/>
      <c r="D267" s="224"/>
      <c r="E267" s="249"/>
      <c r="F267" s="239"/>
      <c r="G267" s="226"/>
      <c r="H267" s="266"/>
      <c r="I267" s="239" t="str">
        <f>IFERROR(__xludf.DUMMYFUNCTION("""COMPUTED_VALUE"""),"")</f>
        <v/>
      </c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207"/>
      <c r="B268" s="224"/>
      <c r="C268" s="224"/>
      <c r="D268" s="224"/>
      <c r="E268" s="249"/>
      <c r="F268" s="239"/>
      <c r="G268" s="226"/>
      <c r="H268" s="266"/>
      <c r="I268" s="239" t="str">
        <f>IFERROR(__xludf.DUMMYFUNCTION("""COMPUTED_VALUE"""),"")</f>
        <v/>
      </c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207"/>
      <c r="B269" s="224"/>
      <c r="C269" s="224"/>
      <c r="D269" s="224"/>
      <c r="E269" s="249"/>
      <c r="F269" s="239"/>
      <c r="G269" s="226"/>
      <c r="H269" s="266"/>
      <c r="I269" s="239" t="str">
        <f>IFERROR(__xludf.DUMMYFUNCTION("""COMPUTED_VALUE"""),"")</f>
        <v/>
      </c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207"/>
      <c r="B270" s="224"/>
      <c r="C270" s="224"/>
      <c r="D270" s="224"/>
      <c r="E270" s="249"/>
      <c r="F270" s="239"/>
      <c r="G270" s="226"/>
      <c r="H270" s="266"/>
      <c r="I270" s="239" t="str">
        <f>IFERROR(__xludf.DUMMYFUNCTION("""COMPUTED_VALUE"""),"")</f>
        <v/>
      </c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207"/>
      <c r="B271" s="224"/>
      <c r="C271" s="224"/>
      <c r="D271" s="224"/>
      <c r="E271" s="249"/>
      <c r="F271" s="239"/>
      <c r="G271" s="226"/>
      <c r="H271" s="266"/>
      <c r="I271" s="239" t="str">
        <f>IFERROR(__xludf.DUMMYFUNCTION("""COMPUTED_VALUE"""),"")</f>
        <v/>
      </c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207"/>
      <c r="B272" s="224"/>
      <c r="C272" s="224"/>
      <c r="D272" s="224"/>
      <c r="E272" s="249"/>
      <c r="F272" s="239"/>
      <c r="G272" s="226"/>
      <c r="H272" s="266"/>
      <c r="I272" s="239" t="str">
        <f>IFERROR(__xludf.DUMMYFUNCTION("""COMPUTED_VALUE"""),"")</f>
        <v/>
      </c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207"/>
      <c r="B273" s="224"/>
      <c r="C273" s="224"/>
      <c r="D273" s="224"/>
      <c r="E273" s="249"/>
      <c r="F273" s="239"/>
      <c r="G273" s="226"/>
      <c r="H273" s="266"/>
      <c r="I273" s="239" t="str">
        <f>IFERROR(__xludf.DUMMYFUNCTION("""COMPUTED_VALUE"""),"")</f>
        <v/>
      </c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207"/>
      <c r="B274" s="224"/>
      <c r="C274" s="224"/>
      <c r="D274" s="224"/>
      <c r="E274" s="249"/>
      <c r="F274" s="239"/>
      <c r="G274" s="226"/>
      <c r="H274" s="266"/>
      <c r="I274" s="239" t="str">
        <f>IFERROR(__xludf.DUMMYFUNCTION("""COMPUTED_VALUE"""),"")</f>
        <v/>
      </c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207"/>
      <c r="B275" s="224"/>
      <c r="C275" s="224"/>
      <c r="D275" s="224"/>
      <c r="E275" s="249"/>
      <c r="F275" s="239"/>
      <c r="G275" s="226"/>
      <c r="H275" s="266"/>
      <c r="I275" s="239" t="str">
        <f>IFERROR(__xludf.DUMMYFUNCTION("""COMPUTED_VALUE"""),"")</f>
        <v/>
      </c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207"/>
      <c r="B276" s="224"/>
      <c r="C276" s="224"/>
      <c r="D276" s="224"/>
      <c r="E276" s="249"/>
      <c r="F276" s="239"/>
      <c r="G276" s="226"/>
      <c r="H276" s="266"/>
      <c r="I276" s="239" t="str">
        <f>IFERROR(__xludf.DUMMYFUNCTION("""COMPUTED_VALUE"""),"")</f>
        <v/>
      </c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207"/>
      <c r="B277" s="224"/>
      <c r="C277" s="224"/>
      <c r="D277" s="224"/>
      <c r="E277" s="249"/>
      <c r="F277" s="239"/>
      <c r="G277" s="226"/>
      <c r="H277" s="266"/>
      <c r="I277" s="239" t="str">
        <f>IFERROR(__xludf.DUMMYFUNCTION("""COMPUTED_VALUE"""),"")</f>
        <v/>
      </c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207"/>
      <c r="B278" s="224"/>
      <c r="C278" s="224"/>
      <c r="D278" s="224"/>
      <c r="E278" s="249"/>
      <c r="F278" s="239"/>
      <c r="G278" s="226"/>
      <c r="H278" s="266"/>
      <c r="I278" s="239" t="str">
        <f>IFERROR(__xludf.DUMMYFUNCTION("""COMPUTED_VALUE"""),"")</f>
        <v/>
      </c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207"/>
      <c r="B279" s="224"/>
      <c r="C279" s="224"/>
      <c r="D279" s="224"/>
      <c r="E279" s="249"/>
      <c r="F279" s="239"/>
      <c r="G279" s="226"/>
      <c r="H279" s="266"/>
      <c r="I279" s="239" t="str">
        <f>IFERROR(__xludf.DUMMYFUNCTION("""COMPUTED_VALUE"""),"")</f>
        <v/>
      </c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207"/>
      <c r="B280" s="224"/>
      <c r="C280" s="224"/>
      <c r="D280" s="224"/>
      <c r="E280" s="249"/>
      <c r="F280" s="239"/>
      <c r="G280" s="226"/>
      <c r="H280" s="266"/>
      <c r="I280" s="239" t="str">
        <f>IFERROR(__xludf.DUMMYFUNCTION("""COMPUTED_VALUE"""),"")</f>
        <v/>
      </c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207"/>
      <c r="B281" s="224"/>
      <c r="C281" s="224"/>
      <c r="D281" s="224"/>
      <c r="E281" s="249"/>
      <c r="F281" s="239"/>
      <c r="G281" s="226"/>
      <c r="H281" s="266"/>
      <c r="I281" s="239" t="str">
        <f>IFERROR(__xludf.DUMMYFUNCTION("""COMPUTED_VALUE"""),"")</f>
        <v/>
      </c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207"/>
      <c r="B282" s="224"/>
      <c r="C282" s="224"/>
      <c r="D282" s="224"/>
      <c r="E282" s="249"/>
      <c r="F282" s="239"/>
      <c r="G282" s="226"/>
      <c r="H282" s="266"/>
      <c r="I282" s="239" t="str">
        <f>IFERROR(__xludf.DUMMYFUNCTION("""COMPUTED_VALUE"""),"")</f>
        <v/>
      </c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207"/>
      <c r="B283" s="224"/>
      <c r="C283" s="224"/>
      <c r="D283" s="224"/>
      <c r="E283" s="249"/>
      <c r="F283" s="239"/>
      <c r="G283" s="226"/>
      <c r="H283" s="266"/>
      <c r="I283" s="239" t="str">
        <f>IFERROR(__xludf.DUMMYFUNCTION("""COMPUTED_VALUE"""),"")</f>
        <v/>
      </c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207"/>
      <c r="B284" s="224"/>
      <c r="C284" s="224"/>
      <c r="D284" s="224"/>
      <c r="E284" s="249"/>
      <c r="F284" s="239"/>
      <c r="G284" s="226"/>
      <c r="H284" s="266"/>
      <c r="I284" s="239" t="str">
        <f>IFERROR(__xludf.DUMMYFUNCTION("""COMPUTED_VALUE"""),"")</f>
        <v/>
      </c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207"/>
      <c r="B285" s="224"/>
      <c r="C285" s="224"/>
      <c r="D285" s="224"/>
      <c r="E285" s="249"/>
      <c r="F285" s="239"/>
      <c r="G285" s="226"/>
      <c r="H285" s="266"/>
      <c r="I285" s="239" t="str">
        <f>IFERROR(__xludf.DUMMYFUNCTION("""COMPUTED_VALUE"""),"")</f>
        <v/>
      </c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207"/>
      <c r="B286" s="224"/>
      <c r="C286" s="224"/>
      <c r="D286" s="224"/>
      <c r="E286" s="249"/>
      <c r="F286" s="239"/>
      <c r="G286" s="226"/>
      <c r="H286" s="266"/>
      <c r="I286" s="239" t="str">
        <f>IFERROR(__xludf.DUMMYFUNCTION("""COMPUTED_VALUE"""),"")</f>
        <v/>
      </c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207"/>
      <c r="B287" s="224"/>
      <c r="C287" s="224"/>
      <c r="D287" s="224"/>
      <c r="E287" s="249"/>
      <c r="F287" s="239"/>
      <c r="G287" s="226"/>
      <c r="H287" s="266"/>
      <c r="I287" s="239" t="str">
        <f>IFERROR(__xludf.DUMMYFUNCTION("""COMPUTED_VALUE"""),"")</f>
        <v/>
      </c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207"/>
      <c r="B288" s="224"/>
      <c r="C288" s="224"/>
      <c r="D288" s="224"/>
      <c r="E288" s="249"/>
      <c r="F288" s="239"/>
      <c r="G288" s="226"/>
      <c r="H288" s="266"/>
      <c r="I288" s="239" t="str">
        <f>IFERROR(__xludf.DUMMYFUNCTION("""COMPUTED_VALUE"""),"")</f>
        <v/>
      </c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207"/>
      <c r="B289" s="224"/>
      <c r="C289" s="224"/>
      <c r="D289" s="224"/>
      <c r="E289" s="249"/>
      <c r="F289" s="239"/>
      <c r="G289" s="226"/>
      <c r="H289" s="266"/>
      <c r="I289" s="239" t="str">
        <f>IFERROR(__xludf.DUMMYFUNCTION("""COMPUTED_VALUE"""),"")</f>
        <v/>
      </c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207"/>
      <c r="B290" s="224"/>
      <c r="C290" s="224"/>
      <c r="D290" s="224"/>
      <c r="E290" s="249"/>
      <c r="F290" s="239"/>
      <c r="G290" s="226"/>
      <c r="H290" s="266"/>
      <c r="I290" s="239" t="str">
        <f>IFERROR(__xludf.DUMMYFUNCTION("""COMPUTED_VALUE"""),"")</f>
        <v/>
      </c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207"/>
      <c r="B291" s="224"/>
      <c r="C291" s="224"/>
      <c r="D291" s="224"/>
      <c r="E291" s="249"/>
      <c r="F291" s="239"/>
      <c r="G291" s="226"/>
      <c r="H291" s="266"/>
      <c r="I291" s="239" t="str">
        <f>IFERROR(__xludf.DUMMYFUNCTION("""COMPUTED_VALUE"""),"")</f>
        <v/>
      </c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207"/>
      <c r="B292" s="224"/>
      <c r="C292" s="224"/>
      <c r="D292" s="224"/>
      <c r="E292" s="249"/>
      <c r="F292" s="239"/>
      <c r="G292" s="226"/>
      <c r="H292" s="266"/>
      <c r="I292" s="239" t="str">
        <f>IFERROR(__xludf.DUMMYFUNCTION("""COMPUTED_VALUE"""),"")</f>
        <v/>
      </c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207"/>
      <c r="B293" s="224"/>
      <c r="C293" s="224"/>
      <c r="D293" s="224"/>
      <c r="E293" s="249"/>
      <c r="F293" s="239"/>
      <c r="G293" s="226"/>
      <c r="H293" s="266"/>
      <c r="I293" s="239" t="str">
        <f>IFERROR(__xludf.DUMMYFUNCTION("""COMPUTED_VALUE"""),"")</f>
        <v/>
      </c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207"/>
      <c r="B294" s="224"/>
      <c r="C294" s="224"/>
      <c r="D294" s="224"/>
      <c r="E294" s="249"/>
      <c r="F294" s="239"/>
      <c r="G294" s="226"/>
      <c r="H294" s="266"/>
      <c r="I294" s="239" t="str">
        <f>IFERROR(__xludf.DUMMYFUNCTION("""COMPUTED_VALUE"""),"")</f>
        <v/>
      </c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207"/>
      <c r="B295" s="224"/>
      <c r="C295" s="224"/>
      <c r="D295" s="224"/>
      <c r="E295" s="249"/>
      <c r="F295" s="239"/>
      <c r="G295" s="226"/>
      <c r="H295" s="266"/>
      <c r="I295" s="239" t="str">
        <f>IFERROR(__xludf.DUMMYFUNCTION("""COMPUTED_VALUE"""),"")</f>
        <v/>
      </c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207"/>
      <c r="B296" s="224"/>
      <c r="C296" s="224"/>
      <c r="D296" s="224"/>
      <c r="E296" s="249"/>
      <c r="F296" s="239"/>
      <c r="G296" s="226"/>
      <c r="H296" s="266"/>
      <c r="I296" s="239" t="str">
        <f>IFERROR(__xludf.DUMMYFUNCTION("""COMPUTED_VALUE"""),"")</f>
        <v/>
      </c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207"/>
      <c r="B297" s="224"/>
      <c r="C297" s="224"/>
      <c r="D297" s="224"/>
      <c r="E297" s="249"/>
      <c r="F297" s="239"/>
      <c r="G297" s="226"/>
      <c r="H297" s="266"/>
      <c r="I297" s="239" t="str">
        <f>IFERROR(__xludf.DUMMYFUNCTION("""COMPUTED_VALUE"""),"")</f>
        <v/>
      </c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207"/>
      <c r="B298" s="224"/>
      <c r="C298" s="224"/>
      <c r="D298" s="224"/>
      <c r="E298" s="249"/>
      <c r="F298" s="239"/>
      <c r="G298" s="226"/>
      <c r="H298" s="266"/>
      <c r="I298" s="239" t="str">
        <f>IFERROR(__xludf.DUMMYFUNCTION("""COMPUTED_VALUE"""),"")</f>
        <v/>
      </c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207"/>
      <c r="B299" s="224"/>
      <c r="C299" s="224"/>
      <c r="D299" s="224"/>
      <c r="E299" s="249"/>
      <c r="F299" s="239"/>
      <c r="G299" s="226"/>
      <c r="H299" s="266"/>
      <c r="I299" s="239" t="str">
        <f>IFERROR(__xludf.DUMMYFUNCTION("""COMPUTED_VALUE"""),"")</f>
        <v/>
      </c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207"/>
      <c r="B300" s="224"/>
      <c r="C300" s="224"/>
      <c r="D300" s="224"/>
      <c r="E300" s="249"/>
      <c r="F300" s="239"/>
      <c r="G300" s="226"/>
      <c r="H300" s="266"/>
      <c r="I300" s="239" t="str">
        <f>IFERROR(__xludf.DUMMYFUNCTION("""COMPUTED_VALUE"""),"")</f>
        <v/>
      </c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207"/>
      <c r="B301" s="224"/>
      <c r="C301" s="224"/>
      <c r="D301" s="224"/>
      <c r="E301" s="249"/>
      <c r="F301" s="239"/>
      <c r="G301" s="226"/>
      <c r="H301" s="266"/>
      <c r="I301" s="239" t="str">
        <f>IFERROR(__xludf.DUMMYFUNCTION("""COMPUTED_VALUE"""),"")</f>
        <v/>
      </c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207"/>
      <c r="B302" s="224"/>
      <c r="C302" s="224"/>
      <c r="D302" s="224"/>
      <c r="E302" s="249"/>
      <c r="F302" s="239"/>
      <c r="G302" s="226"/>
      <c r="H302" s="266"/>
      <c r="I302" s="239" t="str">
        <f>IFERROR(__xludf.DUMMYFUNCTION("""COMPUTED_VALUE"""),"")</f>
        <v/>
      </c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207"/>
      <c r="B303" s="224"/>
      <c r="C303" s="224"/>
      <c r="D303" s="224"/>
      <c r="E303" s="249"/>
      <c r="F303" s="239"/>
      <c r="G303" s="226"/>
      <c r="H303" s="266"/>
      <c r="I303" s="239" t="str">
        <f>IFERROR(__xludf.DUMMYFUNCTION("""COMPUTED_VALUE"""),"")</f>
        <v/>
      </c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207"/>
      <c r="B304" s="224"/>
      <c r="C304" s="224"/>
      <c r="D304" s="224"/>
      <c r="E304" s="249"/>
      <c r="F304" s="239"/>
      <c r="G304" s="226"/>
      <c r="H304" s="266"/>
      <c r="I304" s="239" t="str">
        <f>IFERROR(__xludf.DUMMYFUNCTION("""COMPUTED_VALUE"""),"")</f>
        <v/>
      </c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207"/>
      <c r="B305" s="224"/>
      <c r="C305" s="224"/>
      <c r="D305" s="224"/>
      <c r="E305" s="249"/>
      <c r="F305" s="239"/>
      <c r="G305" s="226"/>
      <c r="H305" s="266"/>
      <c r="I305" s="239" t="str">
        <f>IFERROR(__xludf.DUMMYFUNCTION("""COMPUTED_VALUE"""),"")</f>
        <v/>
      </c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207"/>
      <c r="B306" s="224"/>
      <c r="C306" s="224"/>
      <c r="D306" s="224"/>
      <c r="E306" s="249"/>
      <c r="F306" s="239"/>
      <c r="G306" s="226"/>
      <c r="H306" s="266"/>
      <c r="I306" s="239" t="str">
        <f>IFERROR(__xludf.DUMMYFUNCTION("""COMPUTED_VALUE"""),"")</f>
        <v/>
      </c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207"/>
      <c r="B307" s="224"/>
      <c r="C307" s="224"/>
      <c r="D307" s="224"/>
      <c r="E307" s="249"/>
      <c r="F307" s="239"/>
      <c r="G307" s="226"/>
      <c r="H307" s="266"/>
      <c r="I307" s="239" t="str">
        <f>IFERROR(__xludf.DUMMYFUNCTION("""COMPUTED_VALUE"""),"")</f>
        <v/>
      </c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207"/>
      <c r="B308" s="224"/>
      <c r="C308" s="224"/>
      <c r="D308" s="224"/>
      <c r="E308" s="249"/>
      <c r="F308" s="239"/>
      <c r="G308" s="226"/>
      <c r="H308" s="266"/>
      <c r="I308" s="239" t="str">
        <f>IFERROR(__xludf.DUMMYFUNCTION("""COMPUTED_VALUE"""),"")</f>
        <v/>
      </c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207"/>
      <c r="B309" s="224"/>
      <c r="C309" s="224"/>
      <c r="D309" s="224"/>
      <c r="E309" s="249"/>
      <c r="F309" s="239"/>
      <c r="G309" s="226"/>
      <c r="H309" s="266"/>
      <c r="I309" s="239" t="str">
        <f>IFERROR(__xludf.DUMMYFUNCTION("""COMPUTED_VALUE"""),"")</f>
        <v/>
      </c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207"/>
      <c r="B310" s="224"/>
      <c r="C310" s="224"/>
      <c r="D310" s="224"/>
      <c r="E310" s="249"/>
      <c r="F310" s="239"/>
      <c r="G310" s="226"/>
      <c r="H310" s="266"/>
      <c r="I310" s="239" t="str">
        <f>IFERROR(__xludf.DUMMYFUNCTION("""COMPUTED_VALUE"""),"")</f>
        <v/>
      </c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207"/>
      <c r="B311" s="224"/>
      <c r="C311" s="224"/>
      <c r="D311" s="224"/>
      <c r="E311" s="249"/>
      <c r="F311" s="239"/>
      <c r="G311" s="226"/>
      <c r="H311" s="266"/>
      <c r="I311" s="239" t="str">
        <f>IFERROR(__xludf.DUMMYFUNCTION("""COMPUTED_VALUE"""),"")</f>
        <v/>
      </c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207"/>
      <c r="B312" s="224"/>
      <c r="C312" s="224"/>
      <c r="D312" s="224"/>
      <c r="E312" s="249"/>
      <c r="F312" s="239"/>
      <c r="G312" s="226"/>
      <c r="H312" s="266"/>
      <c r="I312" s="239" t="str">
        <f>IFERROR(__xludf.DUMMYFUNCTION("""COMPUTED_VALUE"""),"")</f>
        <v/>
      </c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207"/>
      <c r="B313" s="224"/>
      <c r="C313" s="224"/>
      <c r="D313" s="224"/>
      <c r="E313" s="249"/>
      <c r="F313" s="239"/>
      <c r="G313" s="226"/>
      <c r="H313" s="266"/>
      <c r="I313" s="239" t="str">
        <f>IFERROR(__xludf.DUMMYFUNCTION("""COMPUTED_VALUE"""),"")</f>
        <v/>
      </c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207"/>
      <c r="B314" s="224"/>
      <c r="C314" s="224"/>
      <c r="D314" s="224"/>
      <c r="E314" s="249"/>
      <c r="F314" s="239"/>
      <c r="G314" s="226"/>
      <c r="H314" s="266"/>
      <c r="I314" s="239" t="str">
        <f>IFERROR(__xludf.DUMMYFUNCTION("""COMPUTED_VALUE"""),"")</f>
        <v/>
      </c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207"/>
      <c r="B315" s="224"/>
      <c r="C315" s="224"/>
      <c r="D315" s="224"/>
      <c r="E315" s="249"/>
      <c r="F315" s="239"/>
      <c r="G315" s="226"/>
      <c r="H315" s="266"/>
      <c r="I315" s="239" t="str">
        <f>IFERROR(__xludf.DUMMYFUNCTION("""COMPUTED_VALUE"""),"")</f>
        <v/>
      </c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207"/>
      <c r="B316" s="224"/>
      <c r="C316" s="224"/>
      <c r="D316" s="224"/>
      <c r="E316" s="249"/>
      <c r="F316" s="239"/>
      <c r="G316" s="226"/>
      <c r="H316" s="266"/>
      <c r="I316" s="239" t="str">
        <f>IFERROR(__xludf.DUMMYFUNCTION("""COMPUTED_VALUE"""),"")</f>
        <v/>
      </c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207"/>
      <c r="B317" s="224"/>
      <c r="C317" s="224"/>
      <c r="D317" s="224"/>
      <c r="E317" s="249"/>
      <c r="F317" s="239"/>
      <c r="G317" s="226"/>
      <c r="H317" s="266"/>
      <c r="I317" s="239" t="str">
        <f>IFERROR(__xludf.DUMMYFUNCTION("""COMPUTED_VALUE"""),"")</f>
        <v/>
      </c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207"/>
      <c r="B318" s="224"/>
      <c r="C318" s="224"/>
      <c r="D318" s="224"/>
      <c r="E318" s="249"/>
      <c r="F318" s="239"/>
      <c r="G318" s="226"/>
      <c r="H318" s="266"/>
      <c r="I318" s="239" t="str">
        <f>IFERROR(__xludf.DUMMYFUNCTION("""COMPUTED_VALUE"""),"")</f>
        <v/>
      </c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207"/>
      <c r="B319" s="224"/>
      <c r="C319" s="224"/>
      <c r="D319" s="224"/>
      <c r="E319" s="249"/>
      <c r="F319" s="239"/>
      <c r="G319" s="226"/>
      <c r="H319" s="266"/>
      <c r="I319" s="239" t="str">
        <f>IFERROR(__xludf.DUMMYFUNCTION("""COMPUTED_VALUE"""),"")</f>
        <v/>
      </c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207"/>
      <c r="B320" s="224"/>
      <c r="C320" s="224"/>
      <c r="D320" s="224"/>
      <c r="E320" s="249"/>
      <c r="F320" s="239"/>
      <c r="G320" s="226"/>
      <c r="H320" s="266"/>
      <c r="I320" s="239" t="str">
        <f>IFERROR(__xludf.DUMMYFUNCTION("""COMPUTED_VALUE"""),"")</f>
        <v/>
      </c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207"/>
      <c r="B321" s="224"/>
      <c r="C321" s="224"/>
      <c r="D321" s="224"/>
      <c r="E321" s="249"/>
      <c r="F321" s="239"/>
      <c r="G321" s="226"/>
      <c r="H321" s="266"/>
      <c r="I321" s="239" t="str">
        <f>IFERROR(__xludf.DUMMYFUNCTION("""COMPUTED_VALUE"""),"")</f>
        <v/>
      </c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207"/>
      <c r="B322" s="224"/>
      <c r="C322" s="224"/>
      <c r="D322" s="224"/>
      <c r="E322" s="249"/>
      <c r="F322" s="239"/>
      <c r="G322" s="226"/>
      <c r="H322" s="266"/>
      <c r="I322" s="239" t="str">
        <f>IFERROR(__xludf.DUMMYFUNCTION("""COMPUTED_VALUE"""),"")</f>
        <v/>
      </c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207"/>
      <c r="B323" s="224"/>
      <c r="C323" s="224"/>
      <c r="D323" s="224"/>
      <c r="E323" s="249"/>
      <c r="F323" s="239"/>
      <c r="G323" s="226"/>
      <c r="H323" s="266"/>
      <c r="I323" s="239" t="str">
        <f>IFERROR(__xludf.DUMMYFUNCTION("""COMPUTED_VALUE"""),"")</f>
        <v/>
      </c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207"/>
      <c r="B324" s="224"/>
      <c r="C324" s="224"/>
      <c r="D324" s="224"/>
      <c r="E324" s="249"/>
      <c r="F324" s="239"/>
      <c r="G324" s="226"/>
      <c r="H324" s="266"/>
      <c r="I324" s="239" t="str">
        <f>IFERROR(__xludf.DUMMYFUNCTION("""COMPUTED_VALUE"""),"")</f>
        <v/>
      </c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207"/>
      <c r="B325" s="224"/>
      <c r="C325" s="224"/>
      <c r="D325" s="224"/>
      <c r="E325" s="249"/>
      <c r="F325" s="239"/>
      <c r="G325" s="226"/>
      <c r="H325" s="266"/>
      <c r="I325" s="239" t="str">
        <f>IFERROR(__xludf.DUMMYFUNCTION("""COMPUTED_VALUE"""),"")</f>
        <v/>
      </c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207"/>
      <c r="B326" s="224"/>
      <c r="C326" s="224"/>
      <c r="D326" s="224"/>
      <c r="E326" s="249"/>
      <c r="F326" s="239"/>
      <c r="G326" s="226"/>
      <c r="H326" s="266"/>
      <c r="I326" s="239" t="str">
        <f>IFERROR(__xludf.DUMMYFUNCTION("""COMPUTED_VALUE"""),"")</f>
        <v/>
      </c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207"/>
      <c r="B327" s="224"/>
      <c r="C327" s="224"/>
      <c r="D327" s="224"/>
      <c r="E327" s="249"/>
      <c r="F327" s="239"/>
      <c r="G327" s="226"/>
      <c r="H327" s="266"/>
      <c r="I327" s="239" t="str">
        <f>IFERROR(__xludf.DUMMYFUNCTION("""COMPUTED_VALUE"""),"")</f>
        <v/>
      </c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207"/>
      <c r="B328" s="224"/>
      <c r="C328" s="224"/>
      <c r="D328" s="224"/>
      <c r="E328" s="249"/>
      <c r="F328" s="239"/>
      <c r="G328" s="226"/>
      <c r="H328" s="266"/>
      <c r="I328" s="239" t="str">
        <f>IFERROR(__xludf.DUMMYFUNCTION("""COMPUTED_VALUE"""),"")</f>
        <v/>
      </c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207"/>
      <c r="B329" s="224"/>
      <c r="C329" s="224"/>
      <c r="D329" s="224"/>
      <c r="E329" s="249"/>
      <c r="F329" s="239"/>
      <c r="G329" s="226"/>
      <c r="H329" s="266"/>
      <c r="I329" s="239" t="str">
        <f>IFERROR(__xludf.DUMMYFUNCTION("""COMPUTED_VALUE"""),"")</f>
        <v/>
      </c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207"/>
      <c r="B330" s="224"/>
      <c r="C330" s="224"/>
      <c r="D330" s="224"/>
      <c r="E330" s="249"/>
      <c r="F330" s="239"/>
      <c r="G330" s="226"/>
      <c r="H330" s="266"/>
      <c r="I330" s="239" t="str">
        <f>IFERROR(__xludf.DUMMYFUNCTION("""COMPUTED_VALUE"""),"")</f>
        <v/>
      </c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207"/>
      <c r="B331" s="224"/>
      <c r="C331" s="224"/>
      <c r="D331" s="224"/>
      <c r="E331" s="249"/>
      <c r="F331" s="239"/>
      <c r="G331" s="226"/>
      <c r="H331" s="266"/>
      <c r="I331" s="239" t="str">
        <f>IFERROR(__xludf.DUMMYFUNCTION("""COMPUTED_VALUE"""),"")</f>
        <v/>
      </c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207"/>
      <c r="B332" s="224"/>
      <c r="C332" s="224"/>
      <c r="D332" s="224"/>
      <c r="E332" s="249"/>
      <c r="F332" s="239"/>
      <c r="G332" s="226"/>
      <c r="H332" s="266"/>
      <c r="I332" s="239" t="str">
        <f>IFERROR(__xludf.DUMMYFUNCTION("""COMPUTED_VALUE"""),"")</f>
        <v/>
      </c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207"/>
      <c r="B333" s="224"/>
      <c r="C333" s="224"/>
      <c r="D333" s="224"/>
      <c r="E333" s="249"/>
      <c r="F333" s="239"/>
      <c r="G333" s="226"/>
      <c r="H333" s="266"/>
      <c r="I333" s="239" t="str">
        <f>IFERROR(__xludf.DUMMYFUNCTION("""COMPUTED_VALUE"""),"")</f>
        <v/>
      </c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207"/>
      <c r="B334" s="224"/>
      <c r="C334" s="224"/>
      <c r="D334" s="224"/>
      <c r="E334" s="249"/>
      <c r="F334" s="239"/>
      <c r="G334" s="226"/>
      <c r="H334" s="266"/>
      <c r="I334" s="239" t="str">
        <f>IFERROR(__xludf.DUMMYFUNCTION("""COMPUTED_VALUE"""),"")</f>
        <v/>
      </c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207"/>
      <c r="B335" s="224"/>
      <c r="C335" s="224"/>
      <c r="D335" s="224"/>
      <c r="E335" s="249"/>
      <c r="F335" s="239"/>
      <c r="G335" s="226"/>
      <c r="H335" s="266"/>
      <c r="I335" s="239" t="str">
        <f>IFERROR(__xludf.DUMMYFUNCTION("""COMPUTED_VALUE"""),"")</f>
        <v/>
      </c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207"/>
      <c r="B336" s="224"/>
      <c r="C336" s="224"/>
      <c r="D336" s="224"/>
      <c r="E336" s="249"/>
      <c r="F336" s="239"/>
      <c r="G336" s="226"/>
      <c r="H336" s="266"/>
      <c r="I336" s="239" t="str">
        <f>IFERROR(__xludf.DUMMYFUNCTION("""COMPUTED_VALUE"""),"")</f>
        <v/>
      </c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207"/>
      <c r="B337" s="224"/>
      <c r="C337" s="224"/>
      <c r="D337" s="224"/>
      <c r="E337" s="249"/>
      <c r="F337" s="239"/>
      <c r="G337" s="226"/>
      <c r="H337" s="266"/>
      <c r="I337" s="239" t="str">
        <f>IFERROR(__xludf.DUMMYFUNCTION("""COMPUTED_VALUE"""),"")</f>
        <v/>
      </c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207"/>
      <c r="B338" s="224"/>
      <c r="C338" s="224"/>
      <c r="D338" s="224"/>
      <c r="E338" s="249"/>
      <c r="F338" s="239"/>
      <c r="G338" s="226"/>
      <c r="H338" s="266"/>
      <c r="I338" s="239" t="str">
        <f>IFERROR(__xludf.DUMMYFUNCTION("""COMPUTED_VALUE"""),"")</f>
        <v/>
      </c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207"/>
      <c r="B339" s="224"/>
      <c r="C339" s="224"/>
      <c r="D339" s="224"/>
      <c r="E339" s="249"/>
      <c r="F339" s="239"/>
      <c r="G339" s="226"/>
      <c r="H339" s="266"/>
      <c r="I339" s="239" t="str">
        <f>IFERROR(__xludf.DUMMYFUNCTION("""COMPUTED_VALUE"""),"")</f>
        <v/>
      </c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207"/>
      <c r="B340" s="224"/>
      <c r="C340" s="224"/>
      <c r="D340" s="224"/>
      <c r="E340" s="249"/>
      <c r="F340" s="239"/>
      <c r="G340" s="226"/>
      <c r="H340" s="266"/>
      <c r="I340" s="239" t="str">
        <f>IFERROR(__xludf.DUMMYFUNCTION("""COMPUTED_VALUE"""),"")</f>
        <v/>
      </c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207"/>
      <c r="B341" s="224"/>
      <c r="C341" s="224"/>
      <c r="D341" s="224"/>
      <c r="E341" s="249"/>
      <c r="F341" s="239"/>
      <c r="G341" s="226"/>
      <c r="H341" s="266"/>
      <c r="I341" s="239" t="str">
        <f>IFERROR(__xludf.DUMMYFUNCTION("""COMPUTED_VALUE"""),"")</f>
        <v/>
      </c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207"/>
      <c r="B342" s="224"/>
      <c r="C342" s="224"/>
      <c r="D342" s="224"/>
      <c r="E342" s="249"/>
      <c r="F342" s="239"/>
      <c r="G342" s="226"/>
      <c r="H342" s="266"/>
      <c r="I342" s="239" t="str">
        <f>IFERROR(__xludf.DUMMYFUNCTION("""COMPUTED_VALUE"""),"")</f>
        <v/>
      </c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207"/>
      <c r="B343" s="224"/>
      <c r="C343" s="224"/>
      <c r="D343" s="224"/>
      <c r="E343" s="249"/>
      <c r="F343" s="239"/>
      <c r="G343" s="226"/>
      <c r="H343" s="266"/>
      <c r="I343" s="239" t="str">
        <f>IFERROR(__xludf.DUMMYFUNCTION("""COMPUTED_VALUE"""),"")</f>
        <v/>
      </c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207"/>
      <c r="B344" s="224"/>
      <c r="C344" s="224"/>
      <c r="D344" s="224"/>
      <c r="E344" s="249"/>
      <c r="F344" s="239"/>
      <c r="G344" s="226"/>
      <c r="H344" s="266"/>
      <c r="I344" s="239" t="str">
        <f>IFERROR(__xludf.DUMMYFUNCTION("""COMPUTED_VALUE"""),"")</f>
        <v/>
      </c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207"/>
      <c r="B345" s="224"/>
      <c r="C345" s="224"/>
      <c r="D345" s="224"/>
      <c r="E345" s="249"/>
      <c r="F345" s="239"/>
      <c r="G345" s="226"/>
      <c r="H345" s="266"/>
      <c r="I345" s="239" t="str">
        <f>IFERROR(__xludf.DUMMYFUNCTION("""COMPUTED_VALUE"""),"")</f>
        <v/>
      </c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207"/>
      <c r="B346" s="224"/>
      <c r="C346" s="224"/>
      <c r="D346" s="224"/>
      <c r="E346" s="249"/>
      <c r="F346" s="239"/>
      <c r="G346" s="226"/>
      <c r="H346" s="266"/>
      <c r="I346" s="239" t="str">
        <f>IFERROR(__xludf.DUMMYFUNCTION("""COMPUTED_VALUE"""),"")</f>
        <v/>
      </c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207"/>
      <c r="B347" s="224"/>
      <c r="C347" s="224"/>
      <c r="D347" s="224"/>
      <c r="E347" s="249"/>
      <c r="F347" s="239"/>
      <c r="G347" s="226"/>
      <c r="H347" s="266"/>
      <c r="I347" s="239" t="str">
        <f>IFERROR(__xludf.DUMMYFUNCTION("""COMPUTED_VALUE"""),"")</f>
        <v/>
      </c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207"/>
      <c r="B348" s="224"/>
      <c r="C348" s="224"/>
      <c r="D348" s="224"/>
      <c r="E348" s="249"/>
      <c r="F348" s="239"/>
      <c r="G348" s="226"/>
      <c r="H348" s="266"/>
      <c r="I348" s="239" t="str">
        <f>IFERROR(__xludf.DUMMYFUNCTION("""COMPUTED_VALUE"""),"")</f>
        <v/>
      </c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207"/>
      <c r="B349" s="224"/>
      <c r="C349" s="224"/>
      <c r="D349" s="224"/>
      <c r="E349" s="249"/>
      <c r="F349" s="239"/>
      <c r="G349" s="226"/>
      <c r="H349" s="266"/>
      <c r="I349" s="239" t="str">
        <f>IFERROR(__xludf.DUMMYFUNCTION("""COMPUTED_VALUE"""),"")</f>
        <v/>
      </c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207"/>
      <c r="B350" s="224"/>
      <c r="C350" s="224"/>
      <c r="D350" s="224"/>
      <c r="E350" s="249"/>
      <c r="F350" s="239"/>
      <c r="G350" s="226"/>
      <c r="H350" s="266"/>
      <c r="I350" s="239" t="str">
        <f>IFERROR(__xludf.DUMMYFUNCTION("""COMPUTED_VALUE"""),"")</f>
        <v/>
      </c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207"/>
      <c r="B351" s="224"/>
      <c r="C351" s="224"/>
      <c r="D351" s="224"/>
      <c r="E351" s="249"/>
      <c r="F351" s="239"/>
      <c r="G351" s="226"/>
      <c r="H351" s="266"/>
      <c r="I351" s="239" t="str">
        <f>IFERROR(__xludf.DUMMYFUNCTION("""COMPUTED_VALUE"""),"")</f>
        <v/>
      </c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207"/>
      <c r="B352" s="224"/>
      <c r="C352" s="224"/>
      <c r="D352" s="224"/>
      <c r="E352" s="249"/>
      <c r="F352" s="239"/>
      <c r="G352" s="226"/>
      <c r="H352" s="266"/>
      <c r="I352" s="239" t="str">
        <f>IFERROR(__xludf.DUMMYFUNCTION("""COMPUTED_VALUE"""),"")</f>
        <v/>
      </c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207"/>
      <c r="B353" s="224"/>
      <c r="C353" s="224"/>
      <c r="D353" s="224"/>
      <c r="E353" s="249"/>
      <c r="F353" s="239"/>
      <c r="G353" s="226"/>
      <c r="H353" s="266"/>
      <c r="I353" s="239" t="str">
        <f>IFERROR(__xludf.DUMMYFUNCTION("""COMPUTED_VALUE"""),"")</f>
        <v/>
      </c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207"/>
      <c r="B354" s="224"/>
      <c r="C354" s="224"/>
      <c r="D354" s="224"/>
      <c r="E354" s="249"/>
      <c r="F354" s="239"/>
      <c r="G354" s="226"/>
      <c r="H354" s="266"/>
      <c r="I354" s="239" t="str">
        <f>IFERROR(__xludf.DUMMYFUNCTION("""COMPUTED_VALUE"""),"")</f>
        <v/>
      </c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207"/>
      <c r="B355" s="224"/>
      <c r="C355" s="224"/>
      <c r="D355" s="224"/>
      <c r="E355" s="249"/>
      <c r="F355" s="239"/>
      <c r="G355" s="226"/>
      <c r="H355" s="266"/>
      <c r="I355" s="239" t="str">
        <f>IFERROR(__xludf.DUMMYFUNCTION("""COMPUTED_VALUE"""),"")</f>
        <v/>
      </c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207"/>
      <c r="B356" s="224"/>
      <c r="C356" s="224"/>
      <c r="D356" s="224"/>
      <c r="E356" s="249"/>
      <c r="F356" s="239"/>
      <c r="G356" s="226"/>
      <c r="H356" s="266"/>
      <c r="I356" s="239" t="str">
        <f>IFERROR(__xludf.DUMMYFUNCTION("""COMPUTED_VALUE"""),"")</f>
        <v/>
      </c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207"/>
      <c r="B357" s="224"/>
      <c r="C357" s="224"/>
      <c r="D357" s="224"/>
      <c r="E357" s="249"/>
      <c r="F357" s="239"/>
      <c r="G357" s="226"/>
      <c r="H357" s="266"/>
      <c r="I357" s="239" t="str">
        <f>IFERROR(__xludf.DUMMYFUNCTION("""COMPUTED_VALUE"""),"")</f>
        <v/>
      </c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207"/>
      <c r="B358" s="224"/>
      <c r="C358" s="224"/>
      <c r="D358" s="224"/>
      <c r="E358" s="249"/>
      <c r="F358" s="239"/>
      <c r="G358" s="226"/>
      <c r="H358" s="266"/>
      <c r="I358" s="239" t="str">
        <f>IFERROR(__xludf.DUMMYFUNCTION("""COMPUTED_VALUE"""),"")</f>
        <v/>
      </c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207"/>
      <c r="B359" s="224"/>
      <c r="C359" s="224"/>
      <c r="D359" s="224"/>
      <c r="E359" s="249"/>
      <c r="F359" s="239"/>
      <c r="G359" s="226"/>
      <c r="H359" s="266"/>
      <c r="I359" s="239" t="str">
        <f>IFERROR(__xludf.DUMMYFUNCTION("""COMPUTED_VALUE"""),"")</f>
        <v/>
      </c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207"/>
      <c r="B360" s="224"/>
      <c r="C360" s="224"/>
      <c r="D360" s="224"/>
      <c r="E360" s="249"/>
      <c r="F360" s="239"/>
      <c r="G360" s="226"/>
      <c r="H360" s="266"/>
      <c r="I360" s="239" t="str">
        <f>IFERROR(__xludf.DUMMYFUNCTION("""COMPUTED_VALUE"""),"")</f>
        <v/>
      </c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207"/>
      <c r="B361" s="224"/>
      <c r="C361" s="224"/>
      <c r="D361" s="224"/>
      <c r="E361" s="249"/>
      <c r="F361" s="239"/>
      <c r="G361" s="226"/>
      <c r="H361" s="266"/>
      <c r="I361" s="239" t="str">
        <f>IFERROR(__xludf.DUMMYFUNCTION("""COMPUTED_VALUE"""),"")</f>
        <v/>
      </c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207"/>
      <c r="B362" s="224"/>
      <c r="C362" s="224"/>
      <c r="D362" s="224"/>
      <c r="E362" s="249"/>
      <c r="F362" s="239"/>
      <c r="G362" s="226"/>
      <c r="H362" s="266"/>
      <c r="I362" s="239" t="str">
        <f>IFERROR(__xludf.DUMMYFUNCTION("""COMPUTED_VALUE"""),"")</f>
        <v/>
      </c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207"/>
      <c r="B363" s="224"/>
      <c r="C363" s="224"/>
      <c r="D363" s="224"/>
      <c r="E363" s="249"/>
      <c r="F363" s="239"/>
      <c r="G363" s="226"/>
      <c r="H363" s="266"/>
      <c r="I363" s="239" t="str">
        <f>IFERROR(__xludf.DUMMYFUNCTION("""COMPUTED_VALUE"""),"")</f>
        <v/>
      </c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207"/>
      <c r="B364" s="224"/>
      <c r="C364" s="224"/>
      <c r="D364" s="224"/>
      <c r="E364" s="249"/>
      <c r="F364" s="239"/>
      <c r="G364" s="226"/>
      <c r="H364" s="266"/>
      <c r="I364" s="239" t="str">
        <f>IFERROR(__xludf.DUMMYFUNCTION("""COMPUTED_VALUE"""),"")</f>
        <v/>
      </c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207"/>
      <c r="B365" s="224"/>
      <c r="C365" s="224"/>
      <c r="D365" s="224"/>
      <c r="E365" s="249"/>
      <c r="F365" s="239"/>
      <c r="G365" s="226"/>
      <c r="H365" s="266"/>
      <c r="I365" s="239" t="str">
        <f>IFERROR(__xludf.DUMMYFUNCTION("""COMPUTED_VALUE"""),"")</f>
        <v/>
      </c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207"/>
      <c r="B366" s="224"/>
      <c r="C366" s="224"/>
      <c r="D366" s="224"/>
      <c r="E366" s="249"/>
      <c r="F366" s="239"/>
      <c r="G366" s="226"/>
      <c r="H366" s="266"/>
      <c r="I366" s="239" t="str">
        <f>IFERROR(__xludf.DUMMYFUNCTION("""COMPUTED_VALUE"""),"")</f>
        <v/>
      </c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207"/>
      <c r="B367" s="224"/>
      <c r="C367" s="224"/>
      <c r="D367" s="224"/>
      <c r="E367" s="249"/>
      <c r="F367" s="239"/>
      <c r="G367" s="226"/>
      <c r="H367" s="266"/>
      <c r="I367" s="239" t="str">
        <f>IFERROR(__xludf.DUMMYFUNCTION("""COMPUTED_VALUE"""),"")</f>
        <v/>
      </c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207"/>
      <c r="B368" s="224"/>
      <c r="C368" s="224"/>
      <c r="D368" s="224"/>
      <c r="E368" s="249"/>
      <c r="F368" s="239"/>
      <c r="G368" s="226"/>
      <c r="H368" s="266"/>
      <c r="I368" s="239" t="str">
        <f>IFERROR(__xludf.DUMMYFUNCTION("""COMPUTED_VALUE"""),"")</f>
        <v/>
      </c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207"/>
      <c r="B369" s="224"/>
      <c r="C369" s="224"/>
      <c r="D369" s="224"/>
      <c r="E369" s="249"/>
      <c r="F369" s="239"/>
      <c r="G369" s="226"/>
      <c r="H369" s="266"/>
      <c r="I369" s="239" t="str">
        <f>IFERROR(__xludf.DUMMYFUNCTION("""COMPUTED_VALUE"""),"")</f>
        <v/>
      </c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207"/>
      <c r="B370" s="224"/>
      <c r="C370" s="224"/>
      <c r="D370" s="224"/>
      <c r="E370" s="249"/>
      <c r="F370" s="239"/>
      <c r="G370" s="226"/>
      <c r="H370" s="266"/>
      <c r="I370" s="239" t="str">
        <f>IFERROR(__xludf.DUMMYFUNCTION("""COMPUTED_VALUE"""),"")</f>
        <v/>
      </c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207"/>
      <c r="B371" s="224"/>
      <c r="C371" s="224"/>
      <c r="D371" s="224"/>
      <c r="E371" s="249"/>
      <c r="F371" s="239"/>
      <c r="G371" s="226"/>
      <c r="H371" s="266"/>
      <c r="I371" s="239" t="str">
        <f>IFERROR(__xludf.DUMMYFUNCTION("""COMPUTED_VALUE"""),"")</f>
        <v/>
      </c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207"/>
      <c r="B372" s="224"/>
      <c r="C372" s="224"/>
      <c r="D372" s="224"/>
      <c r="E372" s="249"/>
      <c r="F372" s="239"/>
      <c r="G372" s="226"/>
      <c r="H372" s="266"/>
      <c r="I372" s="239" t="str">
        <f>IFERROR(__xludf.DUMMYFUNCTION("""COMPUTED_VALUE"""),"")</f>
        <v/>
      </c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207"/>
      <c r="B373" s="224"/>
      <c r="C373" s="224"/>
      <c r="D373" s="224"/>
      <c r="E373" s="249"/>
      <c r="F373" s="239"/>
      <c r="G373" s="226"/>
      <c r="H373" s="266"/>
      <c r="I373" s="239" t="str">
        <f>IFERROR(__xludf.DUMMYFUNCTION("""COMPUTED_VALUE"""),"")</f>
        <v/>
      </c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207"/>
      <c r="B374" s="224"/>
      <c r="C374" s="224"/>
      <c r="D374" s="224"/>
      <c r="E374" s="249"/>
      <c r="F374" s="239"/>
      <c r="G374" s="226"/>
      <c r="H374" s="266"/>
      <c r="I374" s="239" t="str">
        <f>IFERROR(__xludf.DUMMYFUNCTION("""COMPUTED_VALUE"""),"")</f>
        <v/>
      </c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207"/>
      <c r="B375" s="224"/>
      <c r="C375" s="224"/>
      <c r="D375" s="224"/>
      <c r="E375" s="249"/>
      <c r="F375" s="239"/>
      <c r="G375" s="226"/>
      <c r="H375" s="266"/>
      <c r="I375" s="239" t="str">
        <f>IFERROR(__xludf.DUMMYFUNCTION("""COMPUTED_VALUE"""),"")</f>
        <v/>
      </c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207"/>
      <c r="B376" s="224"/>
      <c r="C376" s="224"/>
      <c r="D376" s="224"/>
      <c r="E376" s="249"/>
      <c r="F376" s="239"/>
      <c r="G376" s="226"/>
      <c r="H376" s="266"/>
      <c r="I376" s="239" t="str">
        <f>IFERROR(__xludf.DUMMYFUNCTION("""COMPUTED_VALUE"""),"")</f>
        <v/>
      </c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207"/>
      <c r="B377" s="224"/>
      <c r="C377" s="224"/>
      <c r="D377" s="224"/>
      <c r="E377" s="249"/>
      <c r="F377" s="239"/>
      <c r="G377" s="226"/>
      <c r="H377" s="266"/>
      <c r="I377" s="239" t="str">
        <f>IFERROR(__xludf.DUMMYFUNCTION("""COMPUTED_VALUE"""),"")</f>
        <v/>
      </c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207"/>
      <c r="B378" s="224"/>
      <c r="C378" s="224"/>
      <c r="D378" s="224"/>
      <c r="E378" s="249"/>
      <c r="F378" s="239"/>
      <c r="G378" s="226"/>
      <c r="H378" s="266"/>
      <c r="I378" s="239" t="str">
        <f>IFERROR(__xludf.DUMMYFUNCTION("""COMPUTED_VALUE"""),"")</f>
        <v/>
      </c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207"/>
      <c r="B379" s="224"/>
      <c r="C379" s="224"/>
      <c r="D379" s="224"/>
      <c r="E379" s="249"/>
      <c r="F379" s="239"/>
      <c r="G379" s="226"/>
      <c r="H379" s="266"/>
      <c r="I379" s="239" t="str">
        <f>IFERROR(__xludf.DUMMYFUNCTION("""COMPUTED_VALUE"""),"")</f>
        <v/>
      </c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207"/>
      <c r="B380" s="224"/>
      <c r="C380" s="224"/>
      <c r="D380" s="224"/>
      <c r="E380" s="249"/>
      <c r="F380" s="239"/>
      <c r="G380" s="226"/>
      <c r="H380" s="266"/>
      <c r="I380" s="239" t="str">
        <f>IFERROR(__xludf.DUMMYFUNCTION("""COMPUTED_VALUE"""),"")</f>
        <v/>
      </c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207"/>
      <c r="B381" s="224"/>
      <c r="C381" s="224"/>
      <c r="D381" s="224"/>
      <c r="E381" s="249"/>
      <c r="F381" s="239"/>
      <c r="G381" s="226"/>
      <c r="H381" s="266"/>
      <c r="I381" s="239" t="str">
        <f>IFERROR(__xludf.DUMMYFUNCTION("""COMPUTED_VALUE"""),"")</f>
        <v/>
      </c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207"/>
      <c r="B382" s="224"/>
      <c r="C382" s="224"/>
      <c r="D382" s="224"/>
      <c r="E382" s="249"/>
      <c r="F382" s="239"/>
      <c r="G382" s="226"/>
      <c r="H382" s="266"/>
      <c r="I382" s="239" t="str">
        <f>IFERROR(__xludf.DUMMYFUNCTION("""COMPUTED_VALUE"""),"")</f>
        <v/>
      </c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207"/>
      <c r="B383" s="224"/>
      <c r="C383" s="224"/>
      <c r="D383" s="224"/>
      <c r="E383" s="249"/>
      <c r="F383" s="239"/>
      <c r="G383" s="226"/>
      <c r="H383" s="266"/>
      <c r="I383" s="239" t="str">
        <f>IFERROR(__xludf.DUMMYFUNCTION("""COMPUTED_VALUE"""),"")</f>
        <v/>
      </c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207"/>
      <c r="B384" s="224"/>
      <c r="C384" s="224"/>
      <c r="D384" s="224"/>
      <c r="E384" s="249"/>
      <c r="F384" s="239"/>
      <c r="G384" s="226"/>
      <c r="H384" s="266"/>
      <c r="I384" s="239" t="str">
        <f>IFERROR(__xludf.DUMMYFUNCTION("""COMPUTED_VALUE"""),"")</f>
        <v/>
      </c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207"/>
      <c r="B385" s="224"/>
      <c r="C385" s="224"/>
      <c r="D385" s="224"/>
      <c r="E385" s="249"/>
      <c r="F385" s="239"/>
      <c r="G385" s="226"/>
      <c r="H385" s="266"/>
      <c r="I385" s="239" t="str">
        <f>IFERROR(__xludf.DUMMYFUNCTION("""COMPUTED_VALUE"""),"")</f>
        <v/>
      </c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207"/>
      <c r="B386" s="224"/>
      <c r="C386" s="224"/>
      <c r="D386" s="224"/>
      <c r="E386" s="249"/>
      <c r="F386" s="239"/>
      <c r="G386" s="226"/>
      <c r="H386" s="266"/>
      <c r="I386" s="239" t="str">
        <f>IFERROR(__xludf.DUMMYFUNCTION("""COMPUTED_VALUE"""),"")</f>
        <v/>
      </c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207"/>
      <c r="B387" s="224"/>
      <c r="C387" s="224"/>
      <c r="D387" s="224"/>
      <c r="E387" s="249"/>
      <c r="F387" s="239"/>
      <c r="G387" s="226"/>
      <c r="H387" s="266"/>
      <c r="I387" s="239" t="str">
        <f>IFERROR(__xludf.DUMMYFUNCTION("""COMPUTED_VALUE"""),"")</f>
        <v/>
      </c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207"/>
      <c r="B388" s="224"/>
      <c r="C388" s="224"/>
      <c r="D388" s="224"/>
      <c r="E388" s="249"/>
      <c r="F388" s="239"/>
      <c r="G388" s="226"/>
      <c r="H388" s="266"/>
      <c r="I388" s="239" t="str">
        <f>IFERROR(__xludf.DUMMYFUNCTION("""COMPUTED_VALUE"""),"")</f>
        <v/>
      </c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207"/>
      <c r="B389" s="224"/>
      <c r="C389" s="224"/>
      <c r="D389" s="224"/>
      <c r="E389" s="249"/>
      <c r="F389" s="239"/>
      <c r="G389" s="226"/>
      <c r="H389" s="266"/>
      <c r="I389" s="239" t="str">
        <f>IFERROR(__xludf.DUMMYFUNCTION("""COMPUTED_VALUE"""),"")</f>
        <v/>
      </c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207"/>
      <c r="B390" s="224"/>
      <c r="C390" s="224"/>
      <c r="D390" s="224"/>
      <c r="E390" s="249"/>
      <c r="F390" s="239"/>
      <c r="G390" s="226"/>
      <c r="H390" s="266"/>
      <c r="I390" s="239" t="str">
        <f>IFERROR(__xludf.DUMMYFUNCTION("""COMPUTED_VALUE"""),"")</f>
        <v/>
      </c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207"/>
      <c r="B391" s="224"/>
      <c r="C391" s="224"/>
      <c r="D391" s="224"/>
      <c r="E391" s="249"/>
      <c r="F391" s="239"/>
      <c r="G391" s="226"/>
      <c r="H391" s="266"/>
      <c r="I391" s="239" t="str">
        <f>IFERROR(__xludf.DUMMYFUNCTION("""COMPUTED_VALUE"""),"")</f>
        <v/>
      </c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207"/>
      <c r="B392" s="224"/>
      <c r="C392" s="224"/>
      <c r="D392" s="224"/>
      <c r="E392" s="249"/>
      <c r="F392" s="239"/>
      <c r="G392" s="226"/>
      <c r="H392" s="266"/>
      <c r="I392" s="239" t="str">
        <f>IFERROR(__xludf.DUMMYFUNCTION("""COMPUTED_VALUE"""),"")</f>
        <v/>
      </c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207"/>
      <c r="B393" s="224"/>
      <c r="C393" s="224"/>
      <c r="D393" s="224"/>
      <c r="E393" s="249"/>
      <c r="F393" s="239"/>
      <c r="G393" s="226"/>
      <c r="H393" s="266"/>
      <c r="I393" s="239" t="str">
        <f>IFERROR(__xludf.DUMMYFUNCTION("""COMPUTED_VALUE"""),"")</f>
        <v/>
      </c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207"/>
      <c r="B394" s="224"/>
      <c r="C394" s="224"/>
      <c r="D394" s="224"/>
      <c r="E394" s="249"/>
      <c r="F394" s="239"/>
      <c r="G394" s="226"/>
      <c r="H394" s="266"/>
      <c r="I394" s="239" t="str">
        <f>IFERROR(__xludf.DUMMYFUNCTION("""COMPUTED_VALUE"""),"")</f>
        <v/>
      </c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207"/>
      <c r="B395" s="224"/>
      <c r="C395" s="224"/>
      <c r="D395" s="224"/>
      <c r="E395" s="249"/>
      <c r="F395" s="239"/>
      <c r="G395" s="226"/>
      <c r="H395" s="266"/>
      <c r="I395" s="239" t="str">
        <f>IFERROR(__xludf.DUMMYFUNCTION("""COMPUTED_VALUE"""),"")</f>
        <v/>
      </c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207"/>
      <c r="B396" s="224"/>
      <c r="C396" s="224"/>
      <c r="D396" s="224"/>
      <c r="E396" s="249"/>
      <c r="F396" s="239"/>
      <c r="G396" s="226"/>
      <c r="H396" s="266"/>
      <c r="I396" s="239" t="str">
        <f>IFERROR(__xludf.DUMMYFUNCTION("""COMPUTED_VALUE"""),"")</f>
        <v/>
      </c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207"/>
      <c r="B397" s="224"/>
      <c r="C397" s="224"/>
      <c r="D397" s="224"/>
      <c r="E397" s="249"/>
      <c r="F397" s="239"/>
      <c r="G397" s="226"/>
      <c r="H397" s="266"/>
      <c r="I397" s="239" t="str">
        <f>IFERROR(__xludf.DUMMYFUNCTION("""COMPUTED_VALUE"""),"")</f>
        <v/>
      </c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207"/>
      <c r="B398" s="224"/>
      <c r="C398" s="224"/>
      <c r="D398" s="224"/>
      <c r="E398" s="249"/>
      <c r="F398" s="239"/>
      <c r="G398" s="226"/>
      <c r="H398" s="266"/>
      <c r="I398" s="239" t="str">
        <f>IFERROR(__xludf.DUMMYFUNCTION("""COMPUTED_VALUE"""),"")</f>
        <v/>
      </c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207"/>
      <c r="B399" s="224"/>
      <c r="C399" s="224"/>
      <c r="D399" s="224"/>
      <c r="E399" s="249"/>
      <c r="F399" s="239"/>
      <c r="G399" s="226"/>
      <c r="H399" s="266"/>
      <c r="I399" s="239" t="str">
        <f>IFERROR(__xludf.DUMMYFUNCTION("""COMPUTED_VALUE"""),"")</f>
        <v/>
      </c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207"/>
      <c r="B400" s="224"/>
      <c r="C400" s="224"/>
      <c r="D400" s="224"/>
      <c r="E400" s="249"/>
      <c r="F400" s="239"/>
      <c r="G400" s="226"/>
      <c r="H400" s="266"/>
      <c r="I400" s="239" t="str">
        <f>IFERROR(__xludf.DUMMYFUNCTION("""COMPUTED_VALUE"""),"")</f>
        <v/>
      </c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207"/>
      <c r="B401" s="224"/>
      <c r="C401" s="224"/>
      <c r="D401" s="224"/>
      <c r="E401" s="249"/>
      <c r="F401" s="239"/>
      <c r="G401" s="226"/>
      <c r="H401" s="266"/>
      <c r="I401" s="239" t="str">
        <f>IFERROR(__xludf.DUMMYFUNCTION("""COMPUTED_VALUE"""),"")</f>
        <v/>
      </c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207"/>
      <c r="B402" s="224"/>
      <c r="C402" s="224"/>
      <c r="D402" s="224"/>
      <c r="E402" s="249"/>
      <c r="F402" s="239"/>
      <c r="G402" s="226"/>
      <c r="H402" s="266"/>
      <c r="I402" s="239" t="str">
        <f>IFERROR(__xludf.DUMMYFUNCTION("""COMPUTED_VALUE"""),"")</f>
        <v/>
      </c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207"/>
      <c r="B403" s="224"/>
      <c r="C403" s="224"/>
      <c r="D403" s="224"/>
      <c r="E403" s="249"/>
      <c r="F403" s="239"/>
      <c r="G403" s="226"/>
      <c r="H403" s="266"/>
      <c r="I403" s="239" t="str">
        <f>IFERROR(__xludf.DUMMYFUNCTION("""COMPUTED_VALUE"""),"")</f>
        <v/>
      </c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207"/>
      <c r="B404" s="224"/>
      <c r="C404" s="224"/>
      <c r="D404" s="224"/>
      <c r="E404" s="249"/>
      <c r="F404" s="239"/>
      <c r="G404" s="226"/>
      <c r="H404" s="266"/>
      <c r="I404" s="239" t="str">
        <f>IFERROR(__xludf.DUMMYFUNCTION("""COMPUTED_VALUE"""),"")</f>
        <v/>
      </c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207"/>
      <c r="B405" s="224"/>
      <c r="C405" s="224"/>
      <c r="D405" s="224"/>
      <c r="E405" s="249"/>
      <c r="F405" s="239"/>
      <c r="G405" s="226"/>
      <c r="H405" s="266"/>
      <c r="I405" s="239" t="str">
        <f>IFERROR(__xludf.DUMMYFUNCTION("""COMPUTED_VALUE"""),"")</f>
        <v/>
      </c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207"/>
      <c r="B406" s="224"/>
      <c r="C406" s="224"/>
      <c r="D406" s="224"/>
      <c r="E406" s="249"/>
      <c r="F406" s="239"/>
      <c r="G406" s="226"/>
      <c r="H406" s="266"/>
      <c r="I406" s="239" t="str">
        <f>IFERROR(__xludf.DUMMYFUNCTION("""COMPUTED_VALUE"""),"")</f>
        <v/>
      </c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207"/>
      <c r="B407" s="224"/>
      <c r="C407" s="224"/>
      <c r="D407" s="224"/>
      <c r="E407" s="249"/>
      <c r="F407" s="239"/>
      <c r="G407" s="226"/>
      <c r="H407" s="266"/>
      <c r="I407" s="239" t="str">
        <f>IFERROR(__xludf.DUMMYFUNCTION("""COMPUTED_VALUE"""),"")</f>
        <v/>
      </c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207"/>
      <c r="B408" s="224"/>
      <c r="C408" s="224"/>
      <c r="D408" s="224"/>
      <c r="E408" s="249"/>
      <c r="F408" s="239"/>
      <c r="G408" s="226"/>
      <c r="H408" s="266"/>
      <c r="I408" s="239" t="str">
        <f>IFERROR(__xludf.DUMMYFUNCTION("""COMPUTED_VALUE"""),"")</f>
        <v/>
      </c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207"/>
      <c r="B409" s="224"/>
      <c r="C409" s="224"/>
      <c r="D409" s="224"/>
      <c r="E409" s="249"/>
      <c r="F409" s="239"/>
      <c r="G409" s="226"/>
      <c r="H409" s="266"/>
      <c r="I409" s="239" t="str">
        <f>IFERROR(__xludf.DUMMYFUNCTION("""COMPUTED_VALUE"""),"")</f>
        <v/>
      </c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207"/>
      <c r="B410" s="224"/>
      <c r="C410" s="224"/>
      <c r="D410" s="224"/>
      <c r="E410" s="249"/>
      <c r="F410" s="239"/>
      <c r="G410" s="226"/>
      <c r="H410" s="266"/>
      <c r="I410" s="239" t="str">
        <f>IFERROR(__xludf.DUMMYFUNCTION("""COMPUTED_VALUE"""),"")</f>
        <v/>
      </c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207"/>
      <c r="B411" s="224"/>
      <c r="C411" s="224"/>
      <c r="D411" s="224"/>
      <c r="E411" s="249"/>
      <c r="F411" s="239"/>
      <c r="G411" s="226"/>
      <c r="H411" s="266"/>
      <c r="I411" s="239" t="str">
        <f>IFERROR(__xludf.DUMMYFUNCTION("""COMPUTED_VALUE"""),"")</f>
        <v/>
      </c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207"/>
      <c r="B412" s="224"/>
      <c r="C412" s="224"/>
      <c r="D412" s="224"/>
      <c r="E412" s="249"/>
      <c r="F412" s="239"/>
      <c r="G412" s="226"/>
      <c r="H412" s="266"/>
      <c r="I412" s="239" t="str">
        <f>IFERROR(__xludf.DUMMYFUNCTION("""COMPUTED_VALUE"""),"")</f>
        <v/>
      </c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207"/>
      <c r="B413" s="224"/>
      <c r="C413" s="224"/>
      <c r="D413" s="224"/>
      <c r="E413" s="249"/>
      <c r="F413" s="239"/>
      <c r="G413" s="226"/>
      <c r="H413" s="266"/>
      <c r="I413" s="239" t="str">
        <f>IFERROR(__xludf.DUMMYFUNCTION("""COMPUTED_VALUE"""),"")</f>
        <v/>
      </c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207"/>
      <c r="B414" s="224"/>
      <c r="C414" s="224"/>
      <c r="D414" s="224"/>
      <c r="E414" s="249"/>
      <c r="F414" s="239"/>
      <c r="G414" s="226"/>
      <c r="H414" s="266"/>
      <c r="I414" s="239" t="str">
        <f>IFERROR(__xludf.DUMMYFUNCTION("""COMPUTED_VALUE"""),"")</f>
        <v/>
      </c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207"/>
      <c r="B415" s="224"/>
      <c r="C415" s="224"/>
      <c r="D415" s="224"/>
      <c r="E415" s="249"/>
      <c r="F415" s="239"/>
      <c r="G415" s="226"/>
      <c r="H415" s="266"/>
      <c r="I415" s="239" t="str">
        <f>IFERROR(__xludf.DUMMYFUNCTION("""COMPUTED_VALUE"""),"")</f>
        <v/>
      </c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207"/>
      <c r="B416" s="224"/>
      <c r="C416" s="224"/>
      <c r="D416" s="224"/>
      <c r="E416" s="249"/>
      <c r="F416" s="239"/>
      <c r="G416" s="226"/>
      <c r="H416" s="266"/>
      <c r="I416" s="239" t="str">
        <f>IFERROR(__xludf.DUMMYFUNCTION("""COMPUTED_VALUE"""),"")</f>
        <v/>
      </c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207"/>
      <c r="B417" s="224"/>
      <c r="C417" s="224"/>
      <c r="D417" s="224"/>
      <c r="E417" s="249"/>
      <c r="F417" s="239"/>
      <c r="G417" s="226"/>
      <c r="H417" s="266"/>
      <c r="I417" s="239" t="str">
        <f>IFERROR(__xludf.DUMMYFUNCTION("""COMPUTED_VALUE"""),"")</f>
        <v/>
      </c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207"/>
      <c r="B418" s="224"/>
      <c r="C418" s="224"/>
      <c r="D418" s="224"/>
      <c r="E418" s="249"/>
      <c r="F418" s="239"/>
      <c r="G418" s="226"/>
      <c r="H418" s="266"/>
      <c r="I418" s="239" t="str">
        <f>IFERROR(__xludf.DUMMYFUNCTION("""COMPUTED_VALUE"""),"")</f>
        <v/>
      </c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207"/>
      <c r="B419" s="224"/>
      <c r="C419" s="224"/>
      <c r="D419" s="224"/>
      <c r="E419" s="249"/>
      <c r="F419" s="239"/>
      <c r="G419" s="226"/>
      <c r="H419" s="266"/>
      <c r="I419" s="239" t="str">
        <f>IFERROR(__xludf.DUMMYFUNCTION("""COMPUTED_VALUE"""),"")</f>
        <v/>
      </c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207"/>
      <c r="B420" s="224"/>
      <c r="C420" s="224"/>
      <c r="D420" s="224"/>
      <c r="E420" s="249"/>
      <c r="F420" s="239"/>
      <c r="G420" s="226"/>
      <c r="H420" s="266"/>
      <c r="I420" s="239" t="str">
        <f>IFERROR(__xludf.DUMMYFUNCTION("""COMPUTED_VALUE"""),"")</f>
        <v/>
      </c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207"/>
      <c r="B421" s="224"/>
      <c r="C421" s="224"/>
      <c r="D421" s="224"/>
      <c r="E421" s="249"/>
      <c r="F421" s="239"/>
      <c r="G421" s="226"/>
      <c r="H421" s="266"/>
      <c r="I421" s="239" t="str">
        <f>IFERROR(__xludf.DUMMYFUNCTION("""COMPUTED_VALUE"""),"")</f>
        <v/>
      </c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207"/>
      <c r="B422" s="224"/>
      <c r="C422" s="224"/>
      <c r="D422" s="224"/>
      <c r="E422" s="249"/>
      <c r="F422" s="239"/>
      <c r="G422" s="226"/>
      <c r="H422" s="266"/>
      <c r="I422" s="239" t="str">
        <f>IFERROR(__xludf.DUMMYFUNCTION("""COMPUTED_VALUE"""),"")</f>
        <v/>
      </c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207"/>
      <c r="B423" s="224"/>
      <c r="C423" s="224"/>
      <c r="D423" s="224"/>
      <c r="E423" s="249"/>
      <c r="F423" s="239"/>
      <c r="G423" s="226"/>
      <c r="H423" s="266"/>
      <c r="I423" s="239" t="str">
        <f>IFERROR(__xludf.DUMMYFUNCTION("""COMPUTED_VALUE"""),"")</f>
        <v/>
      </c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207"/>
      <c r="B424" s="224"/>
      <c r="C424" s="224"/>
      <c r="D424" s="224"/>
      <c r="E424" s="249"/>
      <c r="F424" s="239"/>
      <c r="G424" s="226"/>
      <c r="H424" s="266"/>
      <c r="I424" s="239" t="str">
        <f>IFERROR(__xludf.DUMMYFUNCTION("""COMPUTED_VALUE"""),"")</f>
        <v/>
      </c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207"/>
      <c r="B425" s="224"/>
      <c r="C425" s="224"/>
      <c r="D425" s="224"/>
      <c r="E425" s="249"/>
      <c r="F425" s="239"/>
      <c r="G425" s="226"/>
      <c r="H425" s="266"/>
      <c r="I425" s="239" t="str">
        <f>IFERROR(__xludf.DUMMYFUNCTION("""COMPUTED_VALUE"""),"")</f>
        <v/>
      </c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207"/>
      <c r="B426" s="224"/>
      <c r="C426" s="224"/>
      <c r="D426" s="224"/>
      <c r="E426" s="249"/>
      <c r="F426" s="239"/>
      <c r="G426" s="226"/>
      <c r="H426" s="266"/>
      <c r="I426" s="239" t="str">
        <f>IFERROR(__xludf.DUMMYFUNCTION("""COMPUTED_VALUE"""),"")</f>
        <v/>
      </c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207"/>
      <c r="B427" s="224"/>
      <c r="C427" s="224"/>
      <c r="D427" s="224"/>
      <c r="E427" s="249"/>
      <c r="F427" s="239"/>
      <c r="G427" s="226"/>
      <c r="H427" s="266"/>
      <c r="I427" s="239" t="str">
        <f>IFERROR(__xludf.DUMMYFUNCTION("""COMPUTED_VALUE"""),"")</f>
        <v/>
      </c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207"/>
      <c r="B428" s="224"/>
      <c r="C428" s="224"/>
      <c r="D428" s="224"/>
      <c r="E428" s="249"/>
      <c r="F428" s="239"/>
      <c r="G428" s="226"/>
      <c r="H428" s="266"/>
      <c r="I428" s="239" t="str">
        <f>IFERROR(__xludf.DUMMYFUNCTION("""COMPUTED_VALUE"""),"")</f>
        <v/>
      </c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207"/>
      <c r="B429" s="224"/>
      <c r="C429" s="224"/>
      <c r="D429" s="224"/>
      <c r="E429" s="249"/>
      <c r="F429" s="239"/>
      <c r="G429" s="226"/>
      <c r="H429" s="266"/>
      <c r="I429" s="239" t="str">
        <f>IFERROR(__xludf.DUMMYFUNCTION("""COMPUTED_VALUE"""),"")</f>
        <v/>
      </c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207"/>
      <c r="B430" s="224"/>
      <c r="C430" s="224"/>
      <c r="D430" s="224"/>
      <c r="E430" s="249"/>
      <c r="F430" s="239"/>
      <c r="G430" s="226"/>
      <c r="H430" s="266"/>
      <c r="I430" s="239" t="str">
        <f>IFERROR(__xludf.DUMMYFUNCTION("""COMPUTED_VALUE"""),"")</f>
        <v/>
      </c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207"/>
      <c r="B431" s="224"/>
      <c r="C431" s="224"/>
      <c r="D431" s="224"/>
      <c r="E431" s="249"/>
      <c r="F431" s="239"/>
      <c r="G431" s="226"/>
      <c r="H431" s="266"/>
      <c r="I431" s="239" t="str">
        <f>IFERROR(__xludf.DUMMYFUNCTION("""COMPUTED_VALUE"""),"")</f>
        <v/>
      </c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207"/>
      <c r="B432" s="224"/>
      <c r="C432" s="224"/>
      <c r="D432" s="224"/>
      <c r="E432" s="249"/>
      <c r="F432" s="239"/>
      <c r="G432" s="226"/>
      <c r="H432" s="266"/>
      <c r="I432" s="239" t="str">
        <f>IFERROR(__xludf.DUMMYFUNCTION("""COMPUTED_VALUE"""),"")</f>
        <v/>
      </c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207"/>
      <c r="B433" s="224"/>
      <c r="C433" s="224"/>
      <c r="D433" s="224"/>
      <c r="E433" s="249"/>
      <c r="F433" s="239"/>
      <c r="G433" s="226"/>
      <c r="H433" s="266"/>
      <c r="I433" s="239" t="str">
        <f>IFERROR(__xludf.DUMMYFUNCTION("""COMPUTED_VALUE"""),"")</f>
        <v/>
      </c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207"/>
      <c r="B434" s="224"/>
      <c r="C434" s="224"/>
      <c r="D434" s="224"/>
      <c r="E434" s="249"/>
      <c r="F434" s="239"/>
      <c r="G434" s="226"/>
      <c r="H434" s="266"/>
      <c r="I434" s="239" t="str">
        <f>IFERROR(__xludf.DUMMYFUNCTION("""COMPUTED_VALUE"""),"")</f>
        <v/>
      </c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207"/>
      <c r="B435" s="224"/>
      <c r="C435" s="224"/>
      <c r="D435" s="224"/>
      <c r="E435" s="249"/>
      <c r="F435" s="239"/>
      <c r="G435" s="226"/>
      <c r="H435" s="266"/>
      <c r="I435" s="239" t="str">
        <f>IFERROR(__xludf.DUMMYFUNCTION("""COMPUTED_VALUE"""),"")</f>
        <v/>
      </c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207"/>
      <c r="B436" s="224"/>
      <c r="C436" s="224"/>
      <c r="D436" s="224"/>
      <c r="E436" s="249"/>
      <c r="F436" s="239"/>
      <c r="G436" s="226"/>
      <c r="H436" s="266"/>
      <c r="I436" s="239" t="str">
        <f>IFERROR(__xludf.DUMMYFUNCTION("""COMPUTED_VALUE"""),"")</f>
        <v/>
      </c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207"/>
      <c r="B437" s="224"/>
      <c r="C437" s="224"/>
      <c r="D437" s="224"/>
      <c r="E437" s="249"/>
      <c r="F437" s="239"/>
      <c r="G437" s="226"/>
      <c r="H437" s="266"/>
      <c r="I437" s="239" t="str">
        <f>IFERROR(__xludf.DUMMYFUNCTION("""COMPUTED_VALUE"""),"")</f>
        <v/>
      </c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207"/>
      <c r="B438" s="224"/>
      <c r="C438" s="224"/>
      <c r="D438" s="224"/>
      <c r="E438" s="249"/>
      <c r="F438" s="239"/>
      <c r="G438" s="226"/>
      <c r="H438" s="266"/>
      <c r="I438" s="239" t="str">
        <f>IFERROR(__xludf.DUMMYFUNCTION("""COMPUTED_VALUE"""),"")</f>
        <v/>
      </c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207"/>
      <c r="B439" s="224"/>
      <c r="C439" s="224"/>
      <c r="D439" s="224"/>
      <c r="E439" s="249"/>
      <c r="F439" s="239"/>
      <c r="G439" s="226"/>
      <c r="H439" s="266"/>
      <c r="I439" s="239" t="str">
        <f>IFERROR(__xludf.DUMMYFUNCTION("""COMPUTED_VALUE"""),"")</f>
        <v/>
      </c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207"/>
      <c r="B440" s="224"/>
      <c r="C440" s="224"/>
      <c r="D440" s="224"/>
      <c r="E440" s="249"/>
      <c r="F440" s="239"/>
      <c r="G440" s="226"/>
      <c r="H440" s="266"/>
      <c r="I440" s="239" t="str">
        <f>IFERROR(__xludf.DUMMYFUNCTION("""COMPUTED_VALUE"""),"")</f>
        <v/>
      </c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207"/>
      <c r="B441" s="224"/>
      <c r="C441" s="224"/>
      <c r="D441" s="224"/>
      <c r="E441" s="249"/>
      <c r="F441" s="239"/>
      <c r="G441" s="226"/>
      <c r="H441" s="266"/>
      <c r="I441" s="239" t="str">
        <f>IFERROR(__xludf.DUMMYFUNCTION("""COMPUTED_VALUE"""),"")</f>
        <v/>
      </c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207"/>
      <c r="B442" s="224"/>
      <c r="C442" s="224"/>
      <c r="D442" s="224"/>
      <c r="E442" s="249"/>
      <c r="F442" s="239"/>
      <c r="G442" s="226"/>
      <c r="H442" s="266"/>
      <c r="I442" s="239" t="str">
        <f>IFERROR(__xludf.DUMMYFUNCTION("""COMPUTED_VALUE"""),"")</f>
        <v/>
      </c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207"/>
      <c r="B443" s="224"/>
      <c r="C443" s="224"/>
      <c r="D443" s="224"/>
      <c r="E443" s="249"/>
      <c r="F443" s="239"/>
      <c r="G443" s="226"/>
      <c r="H443" s="266"/>
      <c r="I443" s="239" t="str">
        <f>IFERROR(__xludf.DUMMYFUNCTION("""COMPUTED_VALUE"""),"")</f>
        <v/>
      </c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207"/>
      <c r="B444" s="224"/>
      <c r="C444" s="224"/>
      <c r="D444" s="224"/>
      <c r="E444" s="249"/>
      <c r="F444" s="239"/>
      <c r="G444" s="226"/>
      <c r="H444" s="266"/>
      <c r="I444" s="239" t="str">
        <f>IFERROR(__xludf.DUMMYFUNCTION("""COMPUTED_VALUE"""),"")</f>
        <v/>
      </c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207"/>
      <c r="B445" s="224"/>
      <c r="C445" s="224"/>
      <c r="D445" s="224"/>
      <c r="E445" s="249"/>
      <c r="F445" s="239"/>
      <c r="G445" s="226"/>
      <c r="H445" s="266"/>
      <c r="I445" s="239" t="str">
        <f>IFERROR(__xludf.DUMMYFUNCTION("""COMPUTED_VALUE"""),"")</f>
        <v/>
      </c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207"/>
      <c r="B446" s="224"/>
      <c r="C446" s="224"/>
      <c r="D446" s="224"/>
      <c r="E446" s="249"/>
      <c r="F446" s="239"/>
      <c r="G446" s="226"/>
      <c r="H446" s="266"/>
      <c r="I446" s="239" t="str">
        <f>IFERROR(__xludf.DUMMYFUNCTION("""COMPUTED_VALUE"""),"")</f>
        <v/>
      </c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207"/>
      <c r="B447" s="224"/>
      <c r="C447" s="224"/>
      <c r="D447" s="224"/>
      <c r="E447" s="249"/>
      <c r="F447" s="239"/>
      <c r="G447" s="226"/>
      <c r="H447" s="266"/>
      <c r="I447" s="239" t="str">
        <f>IFERROR(__xludf.DUMMYFUNCTION("""COMPUTED_VALUE"""),"")</f>
        <v/>
      </c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207"/>
      <c r="B448" s="224"/>
      <c r="C448" s="224"/>
      <c r="D448" s="224"/>
      <c r="E448" s="249"/>
      <c r="F448" s="239"/>
      <c r="G448" s="226"/>
      <c r="H448" s="266"/>
      <c r="I448" s="239" t="str">
        <f>IFERROR(__xludf.DUMMYFUNCTION("""COMPUTED_VALUE"""),"")</f>
        <v/>
      </c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207"/>
      <c r="B449" s="224"/>
      <c r="C449" s="224"/>
      <c r="D449" s="224"/>
      <c r="E449" s="249"/>
      <c r="F449" s="239"/>
      <c r="G449" s="226"/>
      <c r="H449" s="266"/>
      <c r="I449" s="239" t="str">
        <f>IFERROR(__xludf.DUMMYFUNCTION("""COMPUTED_VALUE"""),"")</f>
        <v/>
      </c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207"/>
      <c r="B450" s="224"/>
      <c r="C450" s="224"/>
      <c r="D450" s="224"/>
      <c r="E450" s="249"/>
      <c r="F450" s="239"/>
      <c r="G450" s="226"/>
      <c r="H450" s="266"/>
      <c r="I450" s="239" t="str">
        <f>IFERROR(__xludf.DUMMYFUNCTION("""COMPUTED_VALUE"""),"")</f>
        <v/>
      </c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207"/>
      <c r="B451" s="224"/>
      <c r="C451" s="224"/>
      <c r="D451" s="224"/>
      <c r="E451" s="249"/>
      <c r="F451" s="239"/>
      <c r="G451" s="226"/>
      <c r="H451" s="266"/>
      <c r="I451" s="239" t="str">
        <f>IFERROR(__xludf.DUMMYFUNCTION("""COMPUTED_VALUE"""),"")</f>
        <v/>
      </c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207"/>
      <c r="B452" s="224"/>
      <c r="C452" s="224"/>
      <c r="D452" s="224"/>
      <c r="E452" s="249"/>
      <c r="F452" s="239"/>
      <c r="G452" s="226"/>
      <c r="H452" s="266"/>
      <c r="I452" s="239" t="str">
        <f>IFERROR(__xludf.DUMMYFUNCTION("""COMPUTED_VALUE"""),"")</f>
        <v/>
      </c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207"/>
      <c r="B453" s="224"/>
      <c r="C453" s="224"/>
      <c r="D453" s="224"/>
      <c r="E453" s="249"/>
      <c r="F453" s="239"/>
      <c r="G453" s="226"/>
      <c r="H453" s="266"/>
      <c r="I453" s="239" t="str">
        <f>IFERROR(__xludf.DUMMYFUNCTION("""COMPUTED_VALUE"""),"")</f>
        <v/>
      </c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207"/>
      <c r="B454" s="224"/>
      <c r="C454" s="224"/>
      <c r="D454" s="224"/>
      <c r="E454" s="249"/>
      <c r="F454" s="239"/>
      <c r="G454" s="226"/>
      <c r="H454" s="266"/>
      <c r="I454" s="239" t="str">
        <f>IFERROR(__xludf.DUMMYFUNCTION("""COMPUTED_VALUE"""),"")</f>
        <v/>
      </c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207"/>
      <c r="B455" s="224"/>
      <c r="C455" s="224"/>
      <c r="D455" s="224"/>
      <c r="E455" s="249"/>
      <c r="F455" s="239"/>
      <c r="G455" s="226"/>
      <c r="H455" s="266"/>
      <c r="I455" s="239" t="str">
        <f>IFERROR(__xludf.DUMMYFUNCTION("""COMPUTED_VALUE"""),"")</f>
        <v/>
      </c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207"/>
      <c r="B456" s="224"/>
      <c r="C456" s="224"/>
      <c r="D456" s="224"/>
      <c r="E456" s="249"/>
      <c r="F456" s="239"/>
      <c r="G456" s="226"/>
      <c r="H456" s="266"/>
      <c r="I456" s="239" t="str">
        <f>IFERROR(__xludf.DUMMYFUNCTION("""COMPUTED_VALUE"""),"")</f>
        <v/>
      </c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207"/>
      <c r="B457" s="224"/>
      <c r="C457" s="224"/>
      <c r="D457" s="224"/>
      <c r="E457" s="249"/>
      <c r="F457" s="239"/>
      <c r="G457" s="226"/>
      <c r="H457" s="266"/>
      <c r="I457" s="239" t="str">
        <f>IFERROR(__xludf.DUMMYFUNCTION("""COMPUTED_VALUE"""),"")</f>
        <v/>
      </c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207"/>
      <c r="B458" s="224"/>
      <c r="C458" s="224"/>
      <c r="D458" s="224"/>
      <c r="E458" s="249"/>
      <c r="F458" s="239"/>
      <c r="G458" s="226"/>
      <c r="H458" s="266"/>
      <c r="I458" s="239" t="str">
        <f>IFERROR(__xludf.DUMMYFUNCTION("""COMPUTED_VALUE"""),"")</f>
        <v/>
      </c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207"/>
      <c r="B459" s="224"/>
      <c r="C459" s="224"/>
      <c r="D459" s="224"/>
      <c r="E459" s="249"/>
      <c r="F459" s="239"/>
      <c r="G459" s="226"/>
      <c r="H459" s="266"/>
      <c r="I459" s="239" t="str">
        <f>IFERROR(__xludf.DUMMYFUNCTION("""COMPUTED_VALUE"""),"")</f>
        <v/>
      </c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207"/>
      <c r="B460" s="224"/>
      <c r="C460" s="224"/>
      <c r="D460" s="224"/>
      <c r="E460" s="249"/>
      <c r="F460" s="239"/>
      <c r="G460" s="226"/>
      <c r="H460" s="266"/>
      <c r="I460" s="239" t="str">
        <f>IFERROR(__xludf.DUMMYFUNCTION("""COMPUTED_VALUE"""),"")</f>
        <v/>
      </c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207"/>
      <c r="B461" s="224"/>
      <c r="C461" s="224"/>
      <c r="D461" s="224"/>
      <c r="E461" s="249"/>
      <c r="F461" s="239"/>
      <c r="G461" s="226"/>
      <c r="H461" s="266"/>
      <c r="I461" s="239" t="str">
        <f>IFERROR(__xludf.DUMMYFUNCTION("""COMPUTED_VALUE"""),"")</f>
        <v/>
      </c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207"/>
      <c r="B462" s="224"/>
      <c r="C462" s="224"/>
      <c r="D462" s="224"/>
      <c r="E462" s="249"/>
      <c r="F462" s="239"/>
      <c r="G462" s="226"/>
      <c r="H462" s="266"/>
      <c r="I462" s="239" t="str">
        <f>IFERROR(__xludf.DUMMYFUNCTION("""COMPUTED_VALUE"""),"")</f>
        <v/>
      </c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207"/>
      <c r="B463" s="224"/>
      <c r="C463" s="224"/>
      <c r="D463" s="224"/>
      <c r="E463" s="249"/>
      <c r="F463" s="239"/>
      <c r="G463" s="226"/>
      <c r="H463" s="266"/>
      <c r="I463" s="239" t="str">
        <f>IFERROR(__xludf.DUMMYFUNCTION("""COMPUTED_VALUE"""),"")</f>
        <v/>
      </c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207"/>
      <c r="B464" s="224"/>
      <c r="C464" s="224"/>
      <c r="D464" s="224"/>
      <c r="E464" s="249"/>
      <c r="F464" s="239"/>
      <c r="G464" s="226"/>
      <c r="H464" s="266"/>
      <c r="I464" s="239" t="str">
        <f>IFERROR(__xludf.DUMMYFUNCTION("""COMPUTED_VALUE"""),"")</f>
        <v/>
      </c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207"/>
      <c r="B465" s="224"/>
      <c r="C465" s="224"/>
      <c r="D465" s="224"/>
      <c r="E465" s="249"/>
      <c r="F465" s="239"/>
      <c r="G465" s="226"/>
      <c r="H465" s="266"/>
      <c r="I465" s="239" t="str">
        <f>IFERROR(__xludf.DUMMYFUNCTION("""COMPUTED_VALUE"""),"")</f>
        <v/>
      </c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207"/>
      <c r="B466" s="224"/>
      <c r="C466" s="224"/>
      <c r="D466" s="224"/>
      <c r="E466" s="249"/>
      <c r="F466" s="239"/>
      <c r="G466" s="226"/>
      <c r="H466" s="266"/>
      <c r="I466" s="239" t="str">
        <f>IFERROR(__xludf.DUMMYFUNCTION("""COMPUTED_VALUE"""),"")</f>
        <v/>
      </c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207"/>
      <c r="B467" s="224"/>
      <c r="C467" s="224"/>
      <c r="D467" s="224"/>
      <c r="E467" s="249"/>
      <c r="F467" s="239"/>
      <c r="G467" s="226"/>
      <c r="H467" s="266"/>
      <c r="I467" s="239" t="str">
        <f>IFERROR(__xludf.DUMMYFUNCTION("""COMPUTED_VALUE"""),"")</f>
        <v/>
      </c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207"/>
      <c r="B468" s="224"/>
      <c r="C468" s="224"/>
      <c r="D468" s="224"/>
      <c r="E468" s="249"/>
      <c r="F468" s="239"/>
      <c r="G468" s="226"/>
      <c r="H468" s="266"/>
      <c r="I468" s="239" t="str">
        <f>IFERROR(__xludf.DUMMYFUNCTION("""COMPUTED_VALUE"""),"")</f>
        <v/>
      </c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207"/>
      <c r="B469" s="224"/>
      <c r="C469" s="224"/>
      <c r="D469" s="224"/>
      <c r="E469" s="249"/>
      <c r="F469" s="239"/>
      <c r="G469" s="226"/>
      <c r="H469" s="266"/>
      <c r="I469" s="239" t="str">
        <f>IFERROR(__xludf.DUMMYFUNCTION("""COMPUTED_VALUE"""),"")</f>
        <v/>
      </c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207"/>
      <c r="B470" s="224"/>
      <c r="C470" s="224"/>
      <c r="D470" s="224"/>
      <c r="E470" s="249"/>
      <c r="F470" s="239"/>
      <c r="G470" s="226"/>
      <c r="H470" s="266"/>
      <c r="I470" s="239" t="str">
        <f>IFERROR(__xludf.DUMMYFUNCTION("""COMPUTED_VALUE"""),"")</f>
        <v/>
      </c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207"/>
      <c r="B471" s="224"/>
      <c r="C471" s="224"/>
      <c r="D471" s="224"/>
      <c r="E471" s="249"/>
      <c r="F471" s="239"/>
      <c r="G471" s="226"/>
      <c r="H471" s="266"/>
      <c r="I471" s="239" t="str">
        <f>IFERROR(__xludf.DUMMYFUNCTION("""COMPUTED_VALUE"""),"")</f>
        <v/>
      </c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207"/>
      <c r="B472" s="224"/>
      <c r="C472" s="224"/>
      <c r="D472" s="224"/>
      <c r="E472" s="249"/>
      <c r="F472" s="239"/>
      <c r="G472" s="226"/>
      <c r="H472" s="266"/>
      <c r="I472" s="239" t="str">
        <f>IFERROR(__xludf.DUMMYFUNCTION("""COMPUTED_VALUE"""),"")</f>
        <v/>
      </c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207"/>
      <c r="B473" s="224"/>
      <c r="C473" s="224"/>
      <c r="D473" s="224"/>
      <c r="E473" s="249"/>
      <c r="F473" s="239"/>
      <c r="G473" s="226"/>
      <c r="H473" s="266"/>
      <c r="I473" s="239" t="str">
        <f>IFERROR(__xludf.DUMMYFUNCTION("""COMPUTED_VALUE"""),"")</f>
        <v/>
      </c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207"/>
      <c r="B474" s="224"/>
      <c r="C474" s="224"/>
      <c r="D474" s="224"/>
      <c r="E474" s="249"/>
      <c r="F474" s="239"/>
      <c r="G474" s="226"/>
      <c r="H474" s="266"/>
      <c r="I474" s="239" t="str">
        <f>IFERROR(__xludf.DUMMYFUNCTION("""COMPUTED_VALUE"""),"")</f>
        <v/>
      </c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207"/>
      <c r="B475" s="224"/>
      <c r="C475" s="224"/>
      <c r="D475" s="224"/>
      <c r="E475" s="249"/>
      <c r="F475" s="239"/>
      <c r="G475" s="226"/>
      <c r="H475" s="266"/>
      <c r="I475" s="239" t="str">
        <f>IFERROR(__xludf.DUMMYFUNCTION("""COMPUTED_VALUE"""),"")</f>
        <v/>
      </c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207"/>
      <c r="B476" s="224"/>
      <c r="C476" s="224"/>
      <c r="D476" s="224"/>
      <c r="E476" s="249"/>
      <c r="F476" s="239"/>
      <c r="G476" s="226"/>
      <c r="H476" s="266"/>
      <c r="I476" s="239" t="str">
        <f>IFERROR(__xludf.DUMMYFUNCTION("""COMPUTED_VALUE"""),"")</f>
        <v/>
      </c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207"/>
      <c r="B477" s="224"/>
      <c r="C477" s="224"/>
      <c r="D477" s="224"/>
      <c r="E477" s="249"/>
      <c r="F477" s="239"/>
      <c r="G477" s="226"/>
      <c r="H477" s="266"/>
      <c r="I477" s="239" t="str">
        <f>IFERROR(__xludf.DUMMYFUNCTION("""COMPUTED_VALUE"""),"")</f>
        <v/>
      </c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207"/>
      <c r="B478" s="224"/>
      <c r="C478" s="224"/>
      <c r="D478" s="224"/>
      <c r="E478" s="249"/>
      <c r="F478" s="239"/>
      <c r="G478" s="226"/>
      <c r="H478" s="266"/>
      <c r="I478" s="239" t="str">
        <f>IFERROR(__xludf.DUMMYFUNCTION("""COMPUTED_VALUE"""),"")</f>
        <v/>
      </c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207"/>
      <c r="B479" s="224"/>
      <c r="C479" s="224"/>
      <c r="D479" s="224"/>
      <c r="E479" s="249"/>
      <c r="F479" s="239"/>
      <c r="G479" s="226"/>
      <c r="H479" s="266"/>
      <c r="I479" s="239" t="str">
        <f>IFERROR(__xludf.DUMMYFUNCTION("""COMPUTED_VALUE"""),"")</f>
        <v/>
      </c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207"/>
      <c r="B480" s="224"/>
      <c r="C480" s="224"/>
      <c r="D480" s="224"/>
      <c r="E480" s="249"/>
      <c r="F480" s="239"/>
      <c r="G480" s="226"/>
      <c r="H480" s="266"/>
      <c r="I480" s="239" t="str">
        <f>IFERROR(__xludf.DUMMYFUNCTION("""COMPUTED_VALUE"""),"")</f>
        <v/>
      </c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207"/>
      <c r="B481" s="224"/>
      <c r="C481" s="224"/>
      <c r="D481" s="224"/>
      <c r="E481" s="249"/>
      <c r="F481" s="239"/>
      <c r="G481" s="226"/>
      <c r="H481" s="266"/>
      <c r="I481" s="239" t="str">
        <f>IFERROR(__xludf.DUMMYFUNCTION("""COMPUTED_VALUE"""),"")</f>
        <v/>
      </c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207"/>
      <c r="B482" s="224"/>
      <c r="C482" s="224"/>
      <c r="D482" s="224"/>
      <c r="E482" s="249"/>
      <c r="F482" s="239"/>
      <c r="G482" s="226"/>
      <c r="H482" s="266"/>
      <c r="I482" s="239" t="str">
        <f>IFERROR(__xludf.DUMMYFUNCTION("""COMPUTED_VALUE"""),"")</f>
        <v/>
      </c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207"/>
      <c r="B483" s="224"/>
      <c r="C483" s="224"/>
      <c r="D483" s="224"/>
      <c r="E483" s="249"/>
      <c r="F483" s="239"/>
      <c r="G483" s="226"/>
      <c r="H483" s="266"/>
      <c r="I483" s="239" t="str">
        <f>IFERROR(__xludf.DUMMYFUNCTION("""COMPUTED_VALUE"""),"")</f>
        <v/>
      </c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207"/>
      <c r="B484" s="224"/>
      <c r="C484" s="224"/>
      <c r="D484" s="224"/>
      <c r="E484" s="249"/>
      <c r="F484" s="239"/>
      <c r="G484" s="226"/>
      <c r="H484" s="266"/>
      <c r="I484" s="239" t="str">
        <f>IFERROR(__xludf.DUMMYFUNCTION("""COMPUTED_VALUE"""),"")</f>
        <v/>
      </c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207"/>
      <c r="B485" s="224"/>
      <c r="C485" s="224"/>
      <c r="D485" s="224"/>
      <c r="E485" s="249"/>
      <c r="F485" s="239"/>
      <c r="G485" s="226"/>
      <c r="H485" s="266"/>
      <c r="I485" s="239" t="str">
        <f>IFERROR(__xludf.DUMMYFUNCTION("""COMPUTED_VALUE"""),"")</f>
        <v/>
      </c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207"/>
      <c r="B486" s="224"/>
      <c r="C486" s="224"/>
      <c r="D486" s="224"/>
      <c r="E486" s="249"/>
      <c r="F486" s="239"/>
      <c r="G486" s="226"/>
      <c r="H486" s="266"/>
      <c r="I486" s="239" t="str">
        <f>IFERROR(__xludf.DUMMYFUNCTION("""COMPUTED_VALUE"""),"")</f>
        <v/>
      </c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207"/>
      <c r="B487" s="224"/>
      <c r="C487" s="224"/>
      <c r="D487" s="224"/>
      <c r="E487" s="249"/>
      <c r="F487" s="239"/>
      <c r="G487" s="226"/>
      <c r="H487" s="266"/>
      <c r="I487" s="239" t="str">
        <f>IFERROR(__xludf.DUMMYFUNCTION("""COMPUTED_VALUE"""),"")</f>
        <v/>
      </c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207"/>
      <c r="B488" s="224"/>
      <c r="C488" s="224"/>
      <c r="D488" s="224"/>
      <c r="E488" s="249"/>
      <c r="F488" s="239"/>
      <c r="G488" s="226"/>
      <c r="H488" s="266"/>
      <c r="I488" s="239" t="str">
        <f>IFERROR(__xludf.DUMMYFUNCTION("""COMPUTED_VALUE"""),"")</f>
        <v/>
      </c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207"/>
      <c r="B489" s="224"/>
      <c r="C489" s="224"/>
      <c r="D489" s="224"/>
      <c r="E489" s="249"/>
      <c r="F489" s="239"/>
      <c r="G489" s="226"/>
      <c r="H489" s="266"/>
      <c r="I489" s="239" t="str">
        <f>IFERROR(__xludf.DUMMYFUNCTION("""COMPUTED_VALUE"""),"")</f>
        <v/>
      </c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207"/>
      <c r="B490" s="224"/>
      <c r="C490" s="224"/>
      <c r="D490" s="224"/>
      <c r="E490" s="249"/>
      <c r="F490" s="239"/>
      <c r="G490" s="226"/>
      <c r="H490" s="266"/>
      <c r="I490" s="239" t="str">
        <f>IFERROR(__xludf.DUMMYFUNCTION("""COMPUTED_VALUE"""),"")</f>
        <v/>
      </c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207"/>
      <c r="B491" s="224"/>
      <c r="C491" s="224"/>
      <c r="D491" s="224"/>
      <c r="E491" s="249"/>
      <c r="F491" s="239"/>
      <c r="G491" s="226"/>
      <c r="H491" s="266"/>
      <c r="I491" s="239" t="str">
        <f>IFERROR(__xludf.DUMMYFUNCTION("""COMPUTED_VALUE"""),"")</f>
        <v/>
      </c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207"/>
      <c r="B492" s="224"/>
      <c r="C492" s="224"/>
      <c r="D492" s="224"/>
      <c r="E492" s="249"/>
      <c r="F492" s="239"/>
      <c r="G492" s="226"/>
      <c r="H492" s="266"/>
      <c r="I492" s="239" t="str">
        <f>IFERROR(__xludf.DUMMYFUNCTION("""COMPUTED_VALUE"""),"")</f>
        <v/>
      </c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207"/>
      <c r="B493" s="224"/>
      <c r="C493" s="224"/>
      <c r="D493" s="224"/>
      <c r="E493" s="249"/>
      <c r="F493" s="239"/>
      <c r="G493" s="226"/>
      <c r="H493" s="266"/>
      <c r="I493" s="239" t="str">
        <f>IFERROR(__xludf.DUMMYFUNCTION("""COMPUTED_VALUE"""),"")</f>
        <v/>
      </c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207"/>
      <c r="B494" s="224"/>
      <c r="C494" s="224"/>
      <c r="D494" s="224"/>
      <c r="E494" s="249"/>
      <c r="F494" s="239"/>
      <c r="G494" s="226"/>
      <c r="H494" s="266"/>
      <c r="I494" s="239" t="str">
        <f>IFERROR(__xludf.DUMMYFUNCTION("""COMPUTED_VALUE"""),"")</f>
        <v/>
      </c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207"/>
      <c r="B495" s="224"/>
      <c r="C495" s="224"/>
      <c r="D495" s="224"/>
      <c r="E495" s="249"/>
      <c r="F495" s="239"/>
      <c r="G495" s="226"/>
      <c r="H495" s="266"/>
      <c r="I495" s="239" t="str">
        <f>IFERROR(__xludf.DUMMYFUNCTION("""COMPUTED_VALUE"""),"")</f>
        <v/>
      </c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207"/>
      <c r="B496" s="224"/>
      <c r="C496" s="224"/>
      <c r="D496" s="224"/>
      <c r="E496" s="249"/>
      <c r="F496" s="239"/>
      <c r="G496" s="226"/>
      <c r="H496" s="266"/>
      <c r="I496" s="239" t="str">
        <f>IFERROR(__xludf.DUMMYFUNCTION("""COMPUTED_VALUE"""),"")</f>
        <v/>
      </c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207"/>
      <c r="B497" s="224"/>
      <c r="C497" s="224"/>
      <c r="D497" s="224"/>
      <c r="E497" s="249"/>
      <c r="F497" s="239"/>
      <c r="G497" s="226"/>
      <c r="H497" s="266"/>
      <c r="I497" s="239" t="str">
        <f>IFERROR(__xludf.DUMMYFUNCTION("""COMPUTED_VALUE"""),"")</f>
        <v/>
      </c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207"/>
      <c r="B498" s="224"/>
      <c r="C498" s="224"/>
      <c r="D498" s="224"/>
      <c r="E498" s="249"/>
      <c r="F498" s="239"/>
      <c r="G498" s="226"/>
      <c r="H498" s="266"/>
      <c r="I498" s="239" t="str">
        <f>IFERROR(__xludf.DUMMYFUNCTION("""COMPUTED_VALUE"""),"")</f>
        <v/>
      </c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207"/>
      <c r="B499" s="224"/>
      <c r="C499" s="224"/>
      <c r="D499" s="224"/>
      <c r="E499" s="249"/>
      <c r="F499" s="239"/>
      <c r="G499" s="226"/>
      <c r="H499" s="266"/>
      <c r="I499" s="239" t="str">
        <f>IFERROR(__xludf.DUMMYFUNCTION("""COMPUTED_VALUE"""),"")</f>
        <v/>
      </c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207"/>
      <c r="B500" s="224"/>
      <c r="C500" s="224"/>
      <c r="D500" s="224"/>
      <c r="E500" s="249"/>
      <c r="F500" s="239"/>
      <c r="G500" s="226"/>
      <c r="H500" s="266"/>
      <c r="I500" s="239" t="str">
        <f>IFERROR(__xludf.DUMMYFUNCTION("""COMPUTED_VALUE"""),"")</f>
        <v/>
      </c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207"/>
      <c r="B501" s="224"/>
      <c r="C501" s="224"/>
      <c r="D501" s="224"/>
      <c r="E501" s="249"/>
      <c r="F501" s="239"/>
      <c r="G501" s="226"/>
      <c r="H501" s="266"/>
      <c r="I501" s="239" t="str">
        <f>IFERROR(__xludf.DUMMYFUNCTION("""COMPUTED_VALUE"""),"")</f>
        <v/>
      </c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207"/>
      <c r="B502" s="224"/>
      <c r="C502" s="224"/>
      <c r="D502" s="224"/>
      <c r="E502" s="249"/>
      <c r="F502" s="239"/>
      <c r="G502" s="226"/>
      <c r="H502" s="266"/>
      <c r="I502" s="239" t="str">
        <f>IFERROR(__xludf.DUMMYFUNCTION("""COMPUTED_VALUE"""),"")</f>
        <v/>
      </c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207"/>
      <c r="B503" s="224"/>
      <c r="C503" s="224"/>
      <c r="D503" s="224"/>
      <c r="E503" s="249"/>
      <c r="F503" s="239"/>
      <c r="G503" s="226"/>
      <c r="H503" s="266"/>
      <c r="I503" s="239" t="str">
        <f>IFERROR(__xludf.DUMMYFUNCTION("""COMPUTED_VALUE"""),"")</f>
        <v/>
      </c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207"/>
      <c r="B504" s="224"/>
      <c r="C504" s="224"/>
      <c r="D504" s="224"/>
      <c r="E504" s="249"/>
      <c r="F504" s="239"/>
      <c r="G504" s="226"/>
      <c r="H504" s="266"/>
      <c r="I504" s="239" t="str">
        <f>IFERROR(__xludf.DUMMYFUNCTION("""COMPUTED_VALUE"""),"")</f>
        <v/>
      </c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207"/>
      <c r="B505" s="224"/>
      <c r="C505" s="224"/>
      <c r="D505" s="224"/>
      <c r="E505" s="249"/>
      <c r="F505" s="239"/>
      <c r="G505" s="226"/>
      <c r="H505" s="266"/>
      <c r="I505" s="239" t="str">
        <f>IFERROR(__xludf.DUMMYFUNCTION("""COMPUTED_VALUE"""),"")</f>
        <v/>
      </c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207"/>
      <c r="B506" s="224"/>
      <c r="C506" s="224"/>
      <c r="D506" s="224"/>
      <c r="E506" s="249"/>
      <c r="F506" s="239"/>
      <c r="G506" s="226"/>
      <c r="H506" s="266"/>
      <c r="I506" s="239" t="str">
        <f>IFERROR(__xludf.DUMMYFUNCTION("""COMPUTED_VALUE"""),"")</f>
        <v/>
      </c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207"/>
      <c r="B507" s="224"/>
      <c r="C507" s="224"/>
      <c r="D507" s="224"/>
      <c r="E507" s="249"/>
      <c r="F507" s="239"/>
      <c r="G507" s="226"/>
      <c r="H507" s="266"/>
      <c r="I507" s="239" t="str">
        <f>IFERROR(__xludf.DUMMYFUNCTION("""COMPUTED_VALUE"""),"")</f>
        <v/>
      </c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207"/>
      <c r="B508" s="224"/>
      <c r="C508" s="224"/>
      <c r="D508" s="224"/>
      <c r="E508" s="249"/>
      <c r="F508" s="239"/>
      <c r="G508" s="226"/>
      <c r="H508" s="266"/>
      <c r="I508" s="239" t="str">
        <f>IFERROR(__xludf.DUMMYFUNCTION("""COMPUTED_VALUE"""),"")</f>
        <v/>
      </c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207"/>
      <c r="B509" s="224"/>
      <c r="C509" s="224"/>
      <c r="D509" s="224"/>
      <c r="E509" s="249"/>
      <c r="F509" s="239"/>
      <c r="G509" s="226"/>
      <c r="H509" s="266"/>
      <c r="I509" s="239" t="str">
        <f>IFERROR(__xludf.DUMMYFUNCTION("""COMPUTED_VALUE"""),"")</f>
        <v/>
      </c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207"/>
      <c r="B510" s="224"/>
      <c r="C510" s="224"/>
      <c r="D510" s="224"/>
      <c r="E510" s="249"/>
      <c r="F510" s="239"/>
      <c r="G510" s="226"/>
      <c r="H510" s="266"/>
      <c r="I510" s="239" t="str">
        <f>IFERROR(__xludf.DUMMYFUNCTION("""COMPUTED_VALUE"""),"")</f>
        <v/>
      </c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207"/>
      <c r="B511" s="224"/>
      <c r="C511" s="224"/>
      <c r="D511" s="224"/>
      <c r="E511" s="249"/>
      <c r="F511" s="239"/>
      <c r="G511" s="226"/>
      <c r="H511" s="266"/>
      <c r="I511" s="239" t="str">
        <f>IFERROR(__xludf.DUMMYFUNCTION("""COMPUTED_VALUE"""),"")</f>
        <v/>
      </c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207"/>
      <c r="B512" s="224"/>
      <c r="C512" s="224"/>
      <c r="D512" s="224"/>
      <c r="E512" s="249"/>
      <c r="F512" s="239"/>
      <c r="G512" s="226"/>
      <c r="H512" s="266"/>
      <c r="I512" s="239" t="str">
        <f>IFERROR(__xludf.DUMMYFUNCTION("""COMPUTED_VALUE"""),"")</f>
        <v/>
      </c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207"/>
      <c r="B513" s="224"/>
      <c r="C513" s="224"/>
      <c r="D513" s="224"/>
      <c r="E513" s="249"/>
      <c r="F513" s="239"/>
      <c r="G513" s="226"/>
      <c r="H513" s="266"/>
      <c r="I513" s="239" t="str">
        <f>IFERROR(__xludf.DUMMYFUNCTION("""COMPUTED_VALUE"""),"")</f>
        <v/>
      </c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207"/>
      <c r="B514" s="224"/>
      <c r="C514" s="224"/>
      <c r="D514" s="224"/>
      <c r="E514" s="249"/>
      <c r="F514" s="239"/>
      <c r="G514" s="226"/>
      <c r="H514" s="266"/>
      <c r="I514" s="239" t="str">
        <f>IFERROR(__xludf.DUMMYFUNCTION("""COMPUTED_VALUE"""),"")</f>
        <v/>
      </c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207"/>
      <c r="B515" s="224"/>
      <c r="C515" s="224"/>
      <c r="D515" s="224"/>
      <c r="E515" s="249"/>
      <c r="F515" s="239"/>
      <c r="G515" s="226"/>
      <c r="H515" s="266"/>
      <c r="I515" s="239" t="str">
        <f>IFERROR(__xludf.DUMMYFUNCTION("""COMPUTED_VALUE"""),"")</f>
        <v/>
      </c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207"/>
      <c r="B516" s="224"/>
      <c r="C516" s="224"/>
      <c r="D516" s="224"/>
      <c r="E516" s="249"/>
      <c r="F516" s="239"/>
      <c r="G516" s="226"/>
      <c r="H516" s="266"/>
      <c r="I516" s="239" t="str">
        <f>IFERROR(__xludf.DUMMYFUNCTION("""COMPUTED_VALUE"""),"")</f>
        <v/>
      </c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207"/>
      <c r="B517" s="224"/>
      <c r="C517" s="224"/>
      <c r="D517" s="224"/>
      <c r="E517" s="249"/>
      <c r="F517" s="239"/>
      <c r="G517" s="226"/>
      <c r="H517" s="266"/>
      <c r="I517" s="239" t="str">
        <f>IFERROR(__xludf.DUMMYFUNCTION("""COMPUTED_VALUE"""),"")</f>
        <v/>
      </c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207"/>
      <c r="B518" s="224"/>
      <c r="C518" s="224"/>
      <c r="D518" s="224"/>
      <c r="E518" s="249"/>
      <c r="F518" s="239"/>
      <c r="G518" s="226"/>
      <c r="H518" s="266"/>
      <c r="I518" s="239" t="str">
        <f>IFERROR(__xludf.DUMMYFUNCTION("""COMPUTED_VALUE"""),"")</f>
        <v/>
      </c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207"/>
      <c r="B519" s="224"/>
      <c r="C519" s="224"/>
      <c r="D519" s="224"/>
      <c r="E519" s="249"/>
      <c r="F519" s="239"/>
      <c r="G519" s="226"/>
      <c r="H519" s="266"/>
      <c r="I519" s="239" t="str">
        <f>IFERROR(__xludf.DUMMYFUNCTION("""COMPUTED_VALUE"""),"")</f>
        <v/>
      </c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207"/>
      <c r="B520" s="224"/>
      <c r="C520" s="224"/>
      <c r="D520" s="224"/>
      <c r="E520" s="249"/>
      <c r="F520" s="239"/>
      <c r="G520" s="226"/>
      <c r="H520" s="266"/>
      <c r="I520" s="239" t="str">
        <f>IFERROR(__xludf.DUMMYFUNCTION("""COMPUTED_VALUE"""),"")</f>
        <v/>
      </c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207"/>
      <c r="B521" s="224"/>
      <c r="C521" s="224"/>
      <c r="D521" s="224"/>
      <c r="E521" s="249"/>
      <c r="F521" s="239"/>
      <c r="G521" s="226"/>
      <c r="H521" s="266"/>
      <c r="I521" s="239" t="str">
        <f>IFERROR(__xludf.DUMMYFUNCTION("""COMPUTED_VALUE"""),"")</f>
        <v/>
      </c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207"/>
      <c r="B522" s="224"/>
      <c r="C522" s="224"/>
      <c r="D522" s="224"/>
      <c r="E522" s="249"/>
      <c r="F522" s="239"/>
      <c r="G522" s="226"/>
      <c r="H522" s="266"/>
      <c r="I522" s="239" t="str">
        <f>IFERROR(__xludf.DUMMYFUNCTION("""COMPUTED_VALUE"""),"")</f>
        <v/>
      </c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207"/>
      <c r="B523" s="224"/>
      <c r="C523" s="224"/>
      <c r="D523" s="224"/>
      <c r="E523" s="249"/>
      <c r="F523" s="239"/>
      <c r="G523" s="226"/>
      <c r="H523" s="266"/>
      <c r="I523" s="239" t="str">
        <f>IFERROR(__xludf.DUMMYFUNCTION("""COMPUTED_VALUE"""),"")</f>
        <v/>
      </c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207"/>
      <c r="B524" s="224"/>
      <c r="C524" s="224"/>
      <c r="D524" s="224"/>
      <c r="E524" s="249"/>
      <c r="F524" s="239"/>
      <c r="G524" s="226"/>
      <c r="H524" s="266"/>
      <c r="I524" s="239" t="str">
        <f>IFERROR(__xludf.DUMMYFUNCTION("""COMPUTED_VALUE"""),"")</f>
        <v/>
      </c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207"/>
      <c r="B525" s="224"/>
      <c r="C525" s="224"/>
      <c r="D525" s="224"/>
      <c r="E525" s="249"/>
      <c r="F525" s="239"/>
      <c r="G525" s="226"/>
      <c r="H525" s="266"/>
      <c r="I525" s="239" t="str">
        <f>IFERROR(__xludf.DUMMYFUNCTION("""COMPUTED_VALUE"""),"")</f>
        <v/>
      </c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207"/>
      <c r="B526" s="224"/>
      <c r="C526" s="224"/>
      <c r="D526" s="224"/>
      <c r="E526" s="249"/>
      <c r="F526" s="239"/>
      <c r="G526" s="226"/>
      <c r="H526" s="266"/>
      <c r="I526" s="239" t="str">
        <f>IFERROR(__xludf.DUMMYFUNCTION("""COMPUTED_VALUE"""),"")</f>
        <v/>
      </c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207"/>
      <c r="B527" s="224"/>
      <c r="C527" s="224"/>
      <c r="D527" s="224"/>
      <c r="E527" s="249"/>
      <c r="F527" s="239"/>
      <c r="G527" s="226"/>
      <c r="H527" s="266"/>
      <c r="I527" s="239" t="str">
        <f>IFERROR(__xludf.DUMMYFUNCTION("""COMPUTED_VALUE"""),"")</f>
        <v/>
      </c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207"/>
      <c r="B528" s="224"/>
      <c r="C528" s="224"/>
      <c r="D528" s="224"/>
      <c r="E528" s="249"/>
      <c r="F528" s="239"/>
      <c r="G528" s="226"/>
      <c r="H528" s="266"/>
      <c r="I528" s="239" t="str">
        <f>IFERROR(__xludf.DUMMYFUNCTION("""COMPUTED_VALUE"""),"")</f>
        <v/>
      </c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207"/>
      <c r="B529" s="224"/>
      <c r="C529" s="224"/>
      <c r="D529" s="224"/>
      <c r="E529" s="249"/>
      <c r="F529" s="239"/>
      <c r="G529" s="226"/>
      <c r="H529" s="266"/>
      <c r="I529" s="239" t="str">
        <f>IFERROR(__xludf.DUMMYFUNCTION("""COMPUTED_VALUE"""),"")</f>
        <v/>
      </c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207"/>
      <c r="B530" s="224"/>
      <c r="C530" s="224"/>
      <c r="D530" s="224"/>
      <c r="E530" s="249"/>
      <c r="F530" s="239"/>
      <c r="G530" s="226"/>
      <c r="H530" s="266"/>
      <c r="I530" s="239" t="str">
        <f>IFERROR(__xludf.DUMMYFUNCTION("""COMPUTED_VALUE"""),"")</f>
        <v/>
      </c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207"/>
      <c r="B531" s="224"/>
      <c r="C531" s="224"/>
      <c r="D531" s="224"/>
      <c r="E531" s="249"/>
      <c r="F531" s="239"/>
      <c r="G531" s="226"/>
      <c r="H531" s="266"/>
      <c r="I531" s="239" t="str">
        <f>IFERROR(__xludf.DUMMYFUNCTION("""COMPUTED_VALUE"""),"")</f>
        <v/>
      </c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207"/>
      <c r="B532" s="224"/>
      <c r="C532" s="224"/>
      <c r="D532" s="224"/>
      <c r="E532" s="249"/>
      <c r="F532" s="239"/>
      <c r="G532" s="226"/>
      <c r="H532" s="266"/>
      <c r="I532" s="239" t="str">
        <f>IFERROR(__xludf.DUMMYFUNCTION("""COMPUTED_VALUE"""),"")</f>
        <v/>
      </c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207"/>
      <c r="B533" s="224"/>
      <c r="C533" s="224"/>
      <c r="D533" s="224"/>
      <c r="E533" s="249"/>
      <c r="F533" s="239"/>
      <c r="G533" s="226"/>
      <c r="H533" s="266"/>
      <c r="I533" s="239" t="str">
        <f>IFERROR(__xludf.DUMMYFUNCTION("""COMPUTED_VALUE"""),"")</f>
        <v/>
      </c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207"/>
      <c r="B534" s="224"/>
      <c r="C534" s="224"/>
      <c r="D534" s="224"/>
      <c r="E534" s="249"/>
      <c r="F534" s="239"/>
      <c r="G534" s="226"/>
      <c r="H534" s="266"/>
      <c r="I534" s="239" t="str">
        <f>IFERROR(__xludf.DUMMYFUNCTION("""COMPUTED_VALUE"""),"")</f>
        <v/>
      </c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207"/>
      <c r="B535" s="224"/>
      <c r="C535" s="224"/>
      <c r="D535" s="224"/>
      <c r="E535" s="249"/>
      <c r="F535" s="239"/>
      <c r="G535" s="226"/>
      <c r="H535" s="266"/>
      <c r="I535" s="239" t="str">
        <f>IFERROR(__xludf.DUMMYFUNCTION("""COMPUTED_VALUE"""),"")</f>
        <v/>
      </c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207"/>
      <c r="B536" s="224"/>
      <c r="C536" s="224"/>
      <c r="D536" s="224"/>
      <c r="E536" s="249"/>
      <c r="F536" s="239"/>
      <c r="G536" s="226"/>
      <c r="H536" s="266"/>
      <c r="I536" s="239" t="str">
        <f>IFERROR(__xludf.DUMMYFUNCTION("""COMPUTED_VALUE"""),"")</f>
        <v/>
      </c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207"/>
      <c r="B537" s="224"/>
      <c r="C537" s="224"/>
      <c r="D537" s="224"/>
      <c r="E537" s="249"/>
      <c r="F537" s="239"/>
      <c r="G537" s="226"/>
      <c r="H537" s="266"/>
      <c r="I537" s="239" t="str">
        <f>IFERROR(__xludf.DUMMYFUNCTION("""COMPUTED_VALUE"""),"")</f>
        <v/>
      </c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207"/>
      <c r="B538" s="224"/>
      <c r="C538" s="224"/>
      <c r="D538" s="224"/>
      <c r="E538" s="249"/>
      <c r="F538" s="239"/>
      <c r="G538" s="226"/>
      <c r="H538" s="266"/>
      <c r="I538" s="239" t="str">
        <f>IFERROR(__xludf.DUMMYFUNCTION("""COMPUTED_VALUE"""),"")</f>
        <v/>
      </c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207"/>
      <c r="B539" s="224"/>
      <c r="C539" s="224"/>
      <c r="D539" s="224"/>
      <c r="E539" s="249"/>
      <c r="F539" s="239"/>
      <c r="G539" s="226"/>
      <c r="H539" s="266"/>
      <c r="I539" s="239" t="str">
        <f>IFERROR(__xludf.DUMMYFUNCTION("""COMPUTED_VALUE"""),"")</f>
        <v/>
      </c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207"/>
      <c r="B540" s="224"/>
      <c r="C540" s="224"/>
      <c r="D540" s="224"/>
      <c r="E540" s="249"/>
      <c r="F540" s="239"/>
      <c r="G540" s="226"/>
      <c r="H540" s="266"/>
      <c r="I540" s="239" t="str">
        <f>IFERROR(__xludf.DUMMYFUNCTION("""COMPUTED_VALUE"""),"")</f>
        <v/>
      </c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207"/>
      <c r="B541" s="224"/>
      <c r="C541" s="224"/>
      <c r="D541" s="224"/>
      <c r="E541" s="249"/>
      <c r="F541" s="239"/>
      <c r="G541" s="226"/>
      <c r="H541" s="266"/>
      <c r="I541" s="239" t="str">
        <f>IFERROR(__xludf.DUMMYFUNCTION("""COMPUTED_VALUE"""),"")</f>
        <v/>
      </c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207"/>
      <c r="B542" s="224"/>
      <c r="C542" s="224"/>
      <c r="D542" s="224"/>
      <c r="E542" s="249"/>
      <c r="F542" s="239"/>
      <c r="G542" s="226"/>
      <c r="H542" s="266"/>
      <c r="I542" s="239" t="str">
        <f>IFERROR(__xludf.DUMMYFUNCTION("""COMPUTED_VALUE"""),"")</f>
        <v/>
      </c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207"/>
      <c r="B543" s="224"/>
      <c r="C543" s="224"/>
      <c r="D543" s="224"/>
      <c r="E543" s="249"/>
      <c r="F543" s="239"/>
      <c r="G543" s="226"/>
      <c r="H543" s="266"/>
      <c r="I543" s="239" t="str">
        <f>IFERROR(__xludf.DUMMYFUNCTION("""COMPUTED_VALUE"""),"")</f>
        <v/>
      </c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207"/>
      <c r="B544" s="224"/>
      <c r="C544" s="224"/>
      <c r="D544" s="224"/>
      <c r="E544" s="249"/>
      <c r="F544" s="239"/>
      <c r="G544" s="226"/>
      <c r="H544" s="266"/>
      <c r="I544" s="239" t="str">
        <f>IFERROR(__xludf.DUMMYFUNCTION("""COMPUTED_VALUE"""),"")</f>
        <v/>
      </c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207"/>
      <c r="B545" s="224"/>
      <c r="C545" s="224"/>
      <c r="D545" s="224"/>
      <c r="E545" s="249"/>
      <c r="F545" s="239"/>
      <c r="G545" s="226"/>
      <c r="H545" s="266"/>
      <c r="I545" s="239" t="str">
        <f>IFERROR(__xludf.DUMMYFUNCTION("""COMPUTED_VALUE"""),"")</f>
        <v/>
      </c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207"/>
      <c r="B546" s="224"/>
      <c r="C546" s="224"/>
      <c r="D546" s="224"/>
      <c r="E546" s="249"/>
      <c r="F546" s="239"/>
      <c r="G546" s="226"/>
      <c r="H546" s="266"/>
      <c r="I546" s="239" t="str">
        <f>IFERROR(__xludf.DUMMYFUNCTION("""COMPUTED_VALUE"""),"")</f>
        <v/>
      </c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207"/>
      <c r="B547" s="224"/>
      <c r="C547" s="224"/>
      <c r="D547" s="224"/>
      <c r="E547" s="249"/>
      <c r="F547" s="239"/>
      <c r="G547" s="226"/>
      <c r="H547" s="266"/>
      <c r="I547" s="239" t="str">
        <f>IFERROR(__xludf.DUMMYFUNCTION("""COMPUTED_VALUE"""),"")</f>
        <v/>
      </c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207"/>
      <c r="B548" s="224"/>
      <c r="C548" s="224"/>
      <c r="D548" s="224"/>
      <c r="E548" s="249"/>
      <c r="F548" s="239"/>
      <c r="G548" s="226"/>
      <c r="H548" s="266"/>
      <c r="I548" s="239" t="str">
        <f>IFERROR(__xludf.DUMMYFUNCTION("""COMPUTED_VALUE"""),"")</f>
        <v/>
      </c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207"/>
      <c r="B549" s="224"/>
      <c r="C549" s="224"/>
      <c r="D549" s="224"/>
      <c r="E549" s="249"/>
      <c r="F549" s="239"/>
      <c r="G549" s="226"/>
      <c r="H549" s="266"/>
      <c r="I549" s="239" t="str">
        <f>IFERROR(__xludf.DUMMYFUNCTION("""COMPUTED_VALUE"""),"")</f>
        <v/>
      </c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207"/>
      <c r="B550" s="224"/>
      <c r="C550" s="224"/>
      <c r="D550" s="224"/>
      <c r="E550" s="249"/>
      <c r="F550" s="239"/>
      <c r="G550" s="226"/>
      <c r="H550" s="266"/>
      <c r="I550" s="239" t="str">
        <f>IFERROR(__xludf.DUMMYFUNCTION("""COMPUTED_VALUE"""),"")</f>
        <v/>
      </c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207"/>
      <c r="B551" s="224"/>
      <c r="C551" s="224"/>
      <c r="D551" s="224"/>
      <c r="E551" s="249"/>
      <c r="F551" s="239"/>
      <c r="G551" s="226"/>
      <c r="H551" s="266"/>
      <c r="I551" s="239" t="str">
        <f>IFERROR(__xludf.DUMMYFUNCTION("""COMPUTED_VALUE"""),"")</f>
        <v/>
      </c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207"/>
      <c r="B552" s="224"/>
      <c r="C552" s="224"/>
      <c r="D552" s="224"/>
      <c r="E552" s="249"/>
      <c r="F552" s="239"/>
      <c r="G552" s="226"/>
      <c r="H552" s="266"/>
      <c r="I552" s="239" t="str">
        <f>IFERROR(__xludf.DUMMYFUNCTION("""COMPUTED_VALUE"""),"")</f>
        <v/>
      </c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207"/>
      <c r="B553" s="224"/>
      <c r="C553" s="224"/>
      <c r="D553" s="224"/>
      <c r="E553" s="249"/>
      <c r="F553" s="239"/>
      <c r="G553" s="226"/>
      <c r="H553" s="266"/>
      <c r="I553" s="239" t="str">
        <f>IFERROR(__xludf.DUMMYFUNCTION("""COMPUTED_VALUE"""),"")</f>
        <v/>
      </c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207"/>
      <c r="B554" s="224"/>
      <c r="C554" s="224"/>
      <c r="D554" s="224"/>
      <c r="E554" s="249"/>
      <c r="F554" s="239"/>
      <c r="G554" s="226"/>
      <c r="H554" s="266"/>
      <c r="I554" s="239" t="str">
        <f>IFERROR(__xludf.DUMMYFUNCTION("""COMPUTED_VALUE"""),"")</f>
        <v/>
      </c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207"/>
      <c r="B555" s="224"/>
      <c r="C555" s="224"/>
      <c r="D555" s="224"/>
      <c r="E555" s="249"/>
      <c r="F555" s="239"/>
      <c r="G555" s="226"/>
      <c r="H555" s="266"/>
      <c r="I555" s="239" t="str">
        <f>IFERROR(__xludf.DUMMYFUNCTION("""COMPUTED_VALUE"""),"")</f>
        <v/>
      </c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207"/>
      <c r="B556" s="224"/>
      <c r="C556" s="224"/>
      <c r="D556" s="224"/>
      <c r="E556" s="249"/>
      <c r="F556" s="239"/>
      <c r="G556" s="226"/>
      <c r="H556" s="266"/>
      <c r="I556" s="239" t="str">
        <f>IFERROR(__xludf.DUMMYFUNCTION("""COMPUTED_VALUE"""),"")</f>
        <v/>
      </c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207"/>
      <c r="B557" s="224"/>
      <c r="C557" s="224"/>
      <c r="D557" s="224"/>
      <c r="E557" s="249"/>
      <c r="F557" s="239"/>
      <c r="G557" s="226"/>
      <c r="H557" s="266"/>
      <c r="I557" s="239" t="str">
        <f>IFERROR(__xludf.DUMMYFUNCTION("""COMPUTED_VALUE"""),"")</f>
        <v/>
      </c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207"/>
      <c r="B558" s="224"/>
      <c r="C558" s="224"/>
      <c r="D558" s="224"/>
      <c r="E558" s="249"/>
      <c r="F558" s="239"/>
      <c r="G558" s="226"/>
      <c r="H558" s="266"/>
      <c r="I558" s="239" t="str">
        <f>IFERROR(__xludf.DUMMYFUNCTION("""COMPUTED_VALUE"""),"")</f>
        <v/>
      </c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207"/>
      <c r="B559" s="224"/>
      <c r="C559" s="224"/>
      <c r="D559" s="224"/>
      <c r="E559" s="249"/>
      <c r="F559" s="239"/>
      <c r="G559" s="226"/>
      <c r="H559" s="266"/>
      <c r="I559" s="239" t="str">
        <f>IFERROR(__xludf.DUMMYFUNCTION("""COMPUTED_VALUE"""),"")</f>
        <v/>
      </c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207"/>
      <c r="B560" s="224"/>
      <c r="C560" s="224"/>
      <c r="D560" s="224"/>
      <c r="E560" s="249"/>
      <c r="F560" s="239"/>
      <c r="G560" s="226"/>
      <c r="H560" s="266"/>
      <c r="I560" s="239" t="str">
        <f>IFERROR(__xludf.DUMMYFUNCTION("""COMPUTED_VALUE"""),"")</f>
        <v/>
      </c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207"/>
      <c r="B561" s="224"/>
      <c r="C561" s="224"/>
      <c r="D561" s="224"/>
      <c r="E561" s="249"/>
      <c r="F561" s="239"/>
      <c r="G561" s="226"/>
      <c r="H561" s="266"/>
      <c r="I561" s="239" t="str">
        <f>IFERROR(__xludf.DUMMYFUNCTION("""COMPUTED_VALUE"""),"")</f>
        <v/>
      </c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207"/>
      <c r="B562" s="224"/>
      <c r="C562" s="224"/>
      <c r="D562" s="224"/>
      <c r="E562" s="249"/>
      <c r="F562" s="239"/>
      <c r="G562" s="226"/>
      <c r="H562" s="266"/>
      <c r="I562" s="239" t="str">
        <f>IFERROR(__xludf.DUMMYFUNCTION("""COMPUTED_VALUE"""),"")</f>
        <v/>
      </c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207"/>
      <c r="B563" s="224"/>
      <c r="C563" s="224"/>
      <c r="D563" s="224"/>
      <c r="E563" s="249"/>
      <c r="F563" s="239"/>
      <c r="G563" s="226"/>
      <c r="H563" s="266"/>
      <c r="I563" s="239" t="str">
        <f>IFERROR(__xludf.DUMMYFUNCTION("""COMPUTED_VALUE"""),"")</f>
        <v/>
      </c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207"/>
      <c r="B564" s="224"/>
      <c r="C564" s="224"/>
      <c r="D564" s="224"/>
      <c r="E564" s="249"/>
      <c r="F564" s="239"/>
      <c r="G564" s="226"/>
      <c r="H564" s="266"/>
      <c r="I564" s="239" t="str">
        <f>IFERROR(__xludf.DUMMYFUNCTION("""COMPUTED_VALUE"""),"")</f>
        <v/>
      </c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207"/>
      <c r="B565" s="224"/>
      <c r="C565" s="224"/>
      <c r="D565" s="224"/>
      <c r="E565" s="249"/>
      <c r="F565" s="239"/>
      <c r="G565" s="226"/>
      <c r="H565" s="266"/>
      <c r="I565" s="239" t="str">
        <f>IFERROR(__xludf.DUMMYFUNCTION("""COMPUTED_VALUE"""),"")</f>
        <v/>
      </c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207"/>
      <c r="B566" s="224"/>
      <c r="C566" s="224"/>
      <c r="D566" s="224"/>
      <c r="E566" s="249"/>
      <c r="F566" s="239"/>
      <c r="G566" s="226"/>
      <c r="H566" s="266"/>
      <c r="I566" s="239" t="str">
        <f>IFERROR(__xludf.DUMMYFUNCTION("""COMPUTED_VALUE"""),"")</f>
        <v/>
      </c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207"/>
      <c r="B567" s="224"/>
      <c r="C567" s="224"/>
      <c r="D567" s="224"/>
      <c r="E567" s="249"/>
      <c r="F567" s="239"/>
      <c r="G567" s="226"/>
      <c r="H567" s="266"/>
      <c r="I567" s="239" t="str">
        <f>IFERROR(__xludf.DUMMYFUNCTION("""COMPUTED_VALUE"""),"")</f>
        <v/>
      </c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207"/>
      <c r="B568" s="224"/>
      <c r="C568" s="224"/>
      <c r="D568" s="224"/>
      <c r="E568" s="249"/>
      <c r="F568" s="239"/>
      <c r="G568" s="226"/>
      <c r="H568" s="266"/>
      <c r="I568" s="239" t="str">
        <f>IFERROR(__xludf.DUMMYFUNCTION("""COMPUTED_VALUE"""),"")</f>
        <v/>
      </c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207"/>
      <c r="B569" s="224"/>
      <c r="C569" s="224"/>
      <c r="D569" s="224"/>
      <c r="E569" s="249"/>
      <c r="F569" s="239"/>
      <c r="G569" s="226"/>
      <c r="H569" s="266"/>
      <c r="I569" s="239" t="str">
        <f>IFERROR(__xludf.DUMMYFUNCTION("""COMPUTED_VALUE"""),"")</f>
        <v/>
      </c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207"/>
      <c r="B570" s="224"/>
      <c r="C570" s="224"/>
      <c r="D570" s="224"/>
      <c r="E570" s="249"/>
      <c r="F570" s="239"/>
      <c r="G570" s="226"/>
      <c r="H570" s="266"/>
      <c r="I570" s="239" t="str">
        <f>IFERROR(__xludf.DUMMYFUNCTION("""COMPUTED_VALUE"""),"")</f>
        <v/>
      </c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207"/>
      <c r="B571" s="224"/>
      <c r="C571" s="224"/>
      <c r="D571" s="224"/>
      <c r="E571" s="249"/>
      <c r="F571" s="239"/>
      <c r="G571" s="226"/>
      <c r="H571" s="266"/>
      <c r="I571" s="239" t="str">
        <f>IFERROR(__xludf.DUMMYFUNCTION("""COMPUTED_VALUE"""),"")</f>
        <v/>
      </c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207"/>
      <c r="B572" s="224"/>
      <c r="C572" s="224"/>
      <c r="D572" s="224"/>
      <c r="E572" s="249"/>
      <c r="F572" s="239"/>
      <c r="G572" s="226"/>
      <c r="H572" s="266"/>
      <c r="I572" s="239" t="str">
        <f>IFERROR(__xludf.DUMMYFUNCTION("""COMPUTED_VALUE"""),"")</f>
        <v/>
      </c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207"/>
      <c r="B573" s="224"/>
      <c r="C573" s="224"/>
      <c r="D573" s="224"/>
      <c r="E573" s="249"/>
      <c r="F573" s="239"/>
      <c r="G573" s="226"/>
      <c r="H573" s="266"/>
      <c r="I573" s="239" t="str">
        <f>IFERROR(__xludf.DUMMYFUNCTION("""COMPUTED_VALUE"""),"")</f>
        <v/>
      </c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207"/>
      <c r="B574" s="224"/>
      <c r="C574" s="224"/>
      <c r="D574" s="224"/>
      <c r="E574" s="249"/>
      <c r="F574" s="239"/>
      <c r="G574" s="226"/>
      <c r="H574" s="266"/>
      <c r="I574" s="239" t="str">
        <f>IFERROR(__xludf.DUMMYFUNCTION("""COMPUTED_VALUE"""),"")</f>
        <v/>
      </c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207"/>
      <c r="B575" s="224"/>
      <c r="C575" s="224"/>
      <c r="D575" s="224"/>
      <c r="E575" s="249"/>
      <c r="F575" s="239"/>
      <c r="G575" s="226"/>
      <c r="H575" s="266"/>
      <c r="I575" s="239" t="str">
        <f>IFERROR(__xludf.DUMMYFUNCTION("""COMPUTED_VALUE"""),"")</f>
        <v/>
      </c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207"/>
      <c r="B576" s="224"/>
      <c r="C576" s="224"/>
      <c r="D576" s="224"/>
      <c r="E576" s="249"/>
      <c r="F576" s="239"/>
      <c r="G576" s="226"/>
      <c r="H576" s="266"/>
      <c r="I576" s="239" t="str">
        <f>IFERROR(__xludf.DUMMYFUNCTION("""COMPUTED_VALUE"""),"")</f>
        <v/>
      </c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207"/>
      <c r="B577" s="224"/>
      <c r="C577" s="224"/>
      <c r="D577" s="224"/>
      <c r="E577" s="249"/>
      <c r="F577" s="239"/>
      <c r="G577" s="226"/>
      <c r="H577" s="266"/>
      <c r="I577" s="239" t="str">
        <f>IFERROR(__xludf.DUMMYFUNCTION("""COMPUTED_VALUE"""),"")</f>
        <v/>
      </c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207"/>
      <c r="B578" s="224"/>
      <c r="C578" s="224"/>
      <c r="D578" s="224"/>
      <c r="E578" s="249"/>
      <c r="F578" s="239"/>
      <c r="G578" s="226"/>
      <c r="H578" s="266"/>
      <c r="I578" s="239" t="str">
        <f>IFERROR(__xludf.DUMMYFUNCTION("""COMPUTED_VALUE"""),"")</f>
        <v/>
      </c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207"/>
      <c r="B579" s="224"/>
      <c r="C579" s="224"/>
      <c r="D579" s="224"/>
      <c r="E579" s="249"/>
      <c r="F579" s="239"/>
      <c r="G579" s="226"/>
      <c r="H579" s="266"/>
      <c r="I579" s="239" t="str">
        <f>IFERROR(__xludf.DUMMYFUNCTION("""COMPUTED_VALUE"""),"")</f>
        <v/>
      </c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207"/>
      <c r="B580" s="224"/>
      <c r="C580" s="224"/>
      <c r="D580" s="224"/>
      <c r="E580" s="249"/>
      <c r="F580" s="239"/>
      <c r="G580" s="226"/>
      <c r="H580" s="266"/>
      <c r="I580" s="239" t="str">
        <f>IFERROR(__xludf.DUMMYFUNCTION("""COMPUTED_VALUE"""),"")</f>
        <v/>
      </c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207"/>
      <c r="B581" s="224"/>
      <c r="C581" s="224"/>
      <c r="D581" s="224"/>
      <c r="E581" s="249"/>
      <c r="F581" s="239"/>
      <c r="G581" s="226"/>
      <c r="H581" s="266"/>
      <c r="I581" s="239" t="str">
        <f>IFERROR(__xludf.DUMMYFUNCTION("""COMPUTED_VALUE"""),"")</f>
        <v/>
      </c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207"/>
      <c r="B582" s="224"/>
      <c r="C582" s="224"/>
      <c r="D582" s="224"/>
      <c r="E582" s="249"/>
      <c r="F582" s="239"/>
      <c r="G582" s="226"/>
      <c r="H582" s="266"/>
      <c r="I582" s="239" t="str">
        <f>IFERROR(__xludf.DUMMYFUNCTION("""COMPUTED_VALUE"""),"")</f>
        <v/>
      </c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207"/>
      <c r="B583" s="224"/>
      <c r="C583" s="224"/>
      <c r="D583" s="224"/>
      <c r="E583" s="249"/>
      <c r="F583" s="239"/>
      <c r="G583" s="226"/>
      <c r="H583" s="266"/>
      <c r="I583" s="239" t="str">
        <f>IFERROR(__xludf.DUMMYFUNCTION("""COMPUTED_VALUE"""),"")</f>
        <v/>
      </c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207"/>
      <c r="B584" s="224"/>
      <c r="C584" s="224"/>
      <c r="D584" s="224"/>
      <c r="E584" s="249"/>
      <c r="F584" s="239"/>
      <c r="G584" s="226"/>
      <c r="H584" s="266"/>
      <c r="I584" s="239" t="str">
        <f>IFERROR(__xludf.DUMMYFUNCTION("""COMPUTED_VALUE"""),"")</f>
        <v/>
      </c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207"/>
      <c r="B585" s="224"/>
      <c r="C585" s="224"/>
      <c r="D585" s="224"/>
      <c r="E585" s="249"/>
      <c r="F585" s="239"/>
      <c r="G585" s="226"/>
      <c r="H585" s="266"/>
      <c r="I585" s="239" t="str">
        <f>IFERROR(__xludf.DUMMYFUNCTION("""COMPUTED_VALUE"""),"")</f>
        <v/>
      </c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207"/>
      <c r="B586" s="224"/>
      <c r="C586" s="224"/>
      <c r="D586" s="224"/>
      <c r="E586" s="249"/>
      <c r="F586" s="239"/>
      <c r="G586" s="226"/>
      <c r="H586" s="266"/>
      <c r="I586" s="239" t="str">
        <f>IFERROR(__xludf.DUMMYFUNCTION("""COMPUTED_VALUE"""),"")</f>
        <v/>
      </c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207"/>
      <c r="B587" s="224"/>
      <c r="C587" s="224"/>
      <c r="D587" s="224"/>
      <c r="E587" s="249"/>
      <c r="F587" s="239"/>
      <c r="G587" s="226"/>
      <c r="H587" s="266"/>
      <c r="I587" s="239" t="str">
        <f>IFERROR(__xludf.DUMMYFUNCTION("""COMPUTED_VALUE"""),"")</f>
        <v/>
      </c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207"/>
      <c r="B588" s="224"/>
      <c r="C588" s="224"/>
      <c r="D588" s="224"/>
      <c r="E588" s="249"/>
      <c r="F588" s="239"/>
      <c r="G588" s="226"/>
      <c r="H588" s="266"/>
      <c r="I588" s="239" t="str">
        <f>IFERROR(__xludf.DUMMYFUNCTION("""COMPUTED_VALUE"""),"")</f>
        <v/>
      </c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207"/>
      <c r="B589" s="224"/>
      <c r="C589" s="224"/>
      <c r="D589" s="224"/>
      <c r="E589" s="249"/>
      <c r="F589" s="239"/>
      <c r="G589" s="226"/>
      <c r="H589" s="266"/>
      <c r="I589" s="239" t="str">
        <f>IFERROR(__xludf.DUMMYFUNCTION("""COMPUTED_VALUE"""),"")</f>
        <v/>
      </c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207"/>
      <c r="B590" s="224"/>
      <c r="C590" s="224"/>
      <c r="D590" s="224"/>
      <c r="E590" s="249"/>
      <c r="F590" s="239"/>
      <c r="G590" s="226"/>
      <c r="H590" s="266"/>
      <c r="I590" s="239" t="str">
        <f>IFERROR(__xludf.DUMMYFUNCTION("""COMPUTED_VALUE"""),"")</f>
        <v/>
      </c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207"/>
      <c r="B591" s="224"/>
      <c r="C591" s="224"/>
      <c r="D591" s="224"/>
      <c r="E591" s="249"/>
      <c r="F591" s="239"/>
      <c r="G591" s="226"/>
      <c r="H591" s="266"/>
      <c r="I591" s="239" t="str">
        <f>IFERROR(__xludf.DUMMYFUNCTION("""COMPUTED_VALUE"""),"")</f>
        <v/>
      </c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207"/>
      <c r="B592" s="224"/>
      <c r="C592" s="224"/>
      <c r="D592" s="224"/>
      <c r="E592" s="249"/>
      <c r="F592" s="239"/>
      <c r="G592" s="226"/>
      <c r="H592" s="266"/>
      <c r="I592" s="239" t="str">
        <f>IFERROR(__xludf.DUMMYFUNCTION("""COMPUTED_VALUE"""),"")</f>
        <v/>
      </c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207"/>
      <c r="B593" s="224"/>
      <c r="C593" s="224"/>
      <c r="D593" s="224"/>
      <c r="E593" s="249"/>
      <c r="F593" s="239"/>
      <c r="G593" s="226"/>
      <c r="H593" s="266"/>
      <c r="I593" s="239" t="str">
        <f>IFERROR(__xludf.DUMMYFUNCTION("""COMPUTED_VALUE"""),"")</f>
        <v/>
      </c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207"/>
      <c r="B594" s="224"/>
      <c r="C594" s="224"/>
      <c r="D594" s="224"/>
      <c r="E594" s="249"/>
      <c r="F594" s="239"/>
      <c r="G594" s="226"/>
      <c r="H594" s="266"/>
      <c r="I594" s="239" t="str">
        <f>IFERROR(__xludf.DUMMYFUNCTION("""COMPUTED_VALUE"""),"")</f>
        <v/>
      </c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207"/>
      <c r="B595" s="224"/>
      <c r="C595" s="224"/>
      <c r="D595" s="224"/>
      <c r="E595" s="249"/>
      <c r="F595" s="239"/>
      <c r="G595" s="226"/>
      <c r="H595" s="266"/>
      <c r="I595" s="239" t="str">
        <f>IFERROR(__xludf.DUMMYFUNCTION("""COMPUTED_VALUE"""),"")</f>
        <v/>
      </c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207"/>
      <c r="B596" s="224"/>
      <c r="C596" s="224"/>
      <c r="D596" s="224"/>
      <c r="E596" s="249"/>
      <c r="F596" s="239"/>
      <c r="G596" s="226"/>
      <c r="H596" s="266"/>
      <c r="I596" s="239" t="str">
        <f>IFERROR(__xludf.DUMMYFUNCTION("""COMPUTED_VALUE"""),"")</f>
        <v/>
      </c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207"/>
      <c r="B597" s="224"/>
      <c r="C597" s="224"/>
      <c r="D597" s="224"/>
      <c r="E597" s="249"/>
      <c r="F597" s="239"/>
      <c r="G597" s="226"/>
      <c r="H597" s="266"/>
      <c r="I597" s="239" t="str">
        <f>IFERROR(__xludf.DUMMYFUNCTION("""COMPUTED_VALUE"""),"")</f>
        <v/>
      </c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207"/>
      <c r="B598" s="224"/>
      <c r="C598" s="224"/>
      <c r="D598" s="224"/>
      <c r="E598" s="249"/>
      <c r="F598" s="239"/>
      <c r="G598" s="226"/>
      <c r="H598" s="266"/>
      <c r="I598" s="239" t="str">
        <f>IFERROR(__xludf.DUMMYFUNCTION("""COMPUTED_VALUE"""),"")</f>
        <v/>
      </c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207"/>
      <c r="B599" s="224"/>
      <c r="C599" s="224"/>
      <c r="D599" s="224"/>
      <c r="E599" s="249"/>
      <c r="F599" s="239"/>
      <c r="G599" s="226"/>
      <c r="H599" s="266"/>
      <c r="I599" s="239" t="str">
        <f>IFERROR(__xludf.DUMMYFUNCTION("""COMPUTED_VALUE"""),"")</f>
        <v/>
      </c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207"/>
      <c r="B600" s="224"/>
      <c r="C600" s="224"/>
      <c r="D600" s="224"/>
      <c r="E600" s="249"/>
      <c r="F600" s="239"/>
      <c r="G600" s="226"/>
      <c r="H600" s="266"/>
      <c r="I600" s="239" t="str">
        <f>IFERROR(__xludf.DUMMYFUNCTION("""COMPUTED_VALUE"""),"")</f>
        <v/>
      </c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207"/>
      <c r="B601" s="224"/>
      <c r="C601" s="224"/>
      <c r="D601" s="224"/>
      <c r="E601" s="249"/>
      <c r="F601" s="239"/>
      <c r="G601" s="226"/>
      <c r="H601" s="266"/>
      <c r="I601" s="239" t="str">
        <f>IFERROR(__xludf.DUMMYFUNCTION("""COMPUTED_VALUE"""),"")</f>
        <v/>
      </c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207"/>
      <c r="B602" s="224"/>
      <c r="C602" s="224"/>
      <c r="D602" s="224"/>
      <c r="E602" s="249"/>
      <c r="F602" s="239"/>
      <c r="G602" s="226"/>
      <c r="H602" s="266"/>
      <c r="I602" s="239" t="str">
        <f>IFERROR(__xludf.DUMMYFUNCTION("""COMPUTED_VALUE"""),"")</f>
        <v/>
      </c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207"/>
      <c r="B603" s="224"/>
      <c r="C603" s="224"/>
      <c r="D603" s="224"/>
      <c r="E603" s="249"/>
      <c r="F603" s="239"/>
      <c r="G603" s="226"/>
      <c r="H603" s="266"/>
      <c r="I603" s="239" t="str">
        <f>IFERROR(__xludf.DUMMYFUNCTION("""COMPUTED_VALUE"""),"")</f>
        <v/>
      </c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207"/>
      <c r="B604" s="224"/>
      <c r="C604" s="224"/>
      <c r="D604" s="224"/>
      <c r="E604" s="249"/>
      <c r="F604" s="239"/>
      <c r="G604" s="226"/>
      <c r="H604" s="266"/>
      <c r="I604" s="239" t="str">
        <f>IFERROR(__xludf.DUMMYFUNCTION("""COMPUTED_VALUE"""),"")</f>
        <v/>
      </c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207"/>
      <c r="B605" s="224"/>
      <c r="C605" s="224"/>
      <c r="D605" s="224"/>
      <c r="E605" s="249"/>
      <c r="F605" s="239"/>
      <c r="G605" s="226"/>
      <c r="H605" s="266"/>
      <c r="I605" s="239" t="str">
        <f>IFERROR(__xludf.DUMMYFUNCTION("""COMPUTED_VALUE"""),"")</f>
        <v/>
      </c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</sheetData>
  <autoFilter ref="$A$1:$H$605"/>
  <customSheetViews>
    <customSheetView guid="{18BA9248-363D-4866-A55F-FAAAD9CF9AF5}" filter="1" showAutoFilter="1">
      <autoFilter ref="$B$1:$E$142"/>
    </customSheetView>
  </customSheetViews>
  <conditionalFormatting sqref="C2:C605">
    <cfRule type="expression" dxfId="15" priority="1">
      <formula>AND(C2&lt;&gt;"", COUNTIF($C$2:$C605, C2) &gt; 1)</formula>
    </cfRule>
  </conditionalFormatting>
  <conditionalFormatting sqref="D2:D605">
    <cfRule type="expression" dxfId="15" priority="2">
      <formula>AND(D2&lt;&gt;"", COUNTIF($D$2:$D605, D2) &gt; 1)</formula>
    </cfRule>
  </conditionalFormatting>
  <conditionalFormatting sqref="E2:E605">
    <cfRule type="expression" dxfId="15" priority="3">
      <formula>ARRAYFORMULA(SUM(COUNTIF(QUERY(FLATTEN(SPLIT($E$2:$E605, CHAR(10))), "where Col1 is not null"), IFERROR(QUERY(SPLIT(E2, CHAR(10)), "where Col1 is not null")))) &gt; COUNTA(IFERROR(QUERY(SPLIT(E2, CHAR(10)), "where Col1 is not null"))))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7" max="7" width="22.63"/>
  </cols>
  <sheetData>
    <row r="1">
      <c r="A1" s="267" t="s">
        <v>2056</v>
      </c>
      <c r="B1" s="267"/>
      <c r="C1" s="267" t="s">
        <v>2057</v>
      </c>
      <c r="D1" s="267" t="s">
        <v>2058</v>
      </c>
      <c r="E1" s="267" t="s">
        <v>2059</v>
      </c>
      <c r="F1" s="267" t="s">
        <v>2060</v>
      </c>
      <c r="G1" s="267" t="s">
        <v>2061</v>
      </c>
      <c r="H1" s="267" t="s">
        <v>2062</v>
      </c>
      <c r="I1" s="267" t="s">
        <v>2063</v>
      </c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</row>
    <row r="2">
      <c r="A2" s="37" t="s">
        <v>2064</v>
      </c>
      <c r="B2" s="37" t="s">
        <v>2065</v>
      </c>
      <c r="C2" s="37" t="s">
        <v>2066</v>
      </c>
      <c r="D2" s="37" t="s">
        <v>2067</v>
      </c>
      <c r="E2" s="37" t="s">
        <v>640</v>
      </c>
      <c r="F2" s="37" t="s">
        <v>647</v>
      </c>
      <c r="G2" s="37" t="s">
        <v>321</v>
      </c>
      <c r="H2" s="37" t="s">
        <v>18</v>
      </c>
      <c r="I2" s="37" t="s">
        <v>2068</v>
      </c>
    </row>
    <row r="3">
      <c r="A3" s="269" t="s">
        <v>483</v>
      </c>
      <c r="B3" s="37" t="s">
        <v>2069</v>
      </c>
      <c r="C3" s="37" t="s">
        <v>2070</v>
      </c>
      <c r="D3" s="37" t="s">
        <v>2071</v>
      </c>
      <c r="E3" s="37" t="s">
        <v>629</v>
      </c>
      <c r="F3" s="37" t="s">
        <v>632</v>
      </c>
      <c r="G3" s="37" t="s">
        <v>590</v>
      </c>
      <c r="H3" s="37" t="s">
        <v>47</v>
      </c>
      <c r="I3" s="31" t="s">
        <v>2072</v>
      </c>
    </row>
    <row r="4">
      <c r="B4" s="37"/>
      <c r="C4" s="37" t="s">
        <v>358</v>
      </c>
      <c r="D4" s="37" t="s">
        <v>484</v>
      </c>
      <c r="E4" s="37" t="s">
        <v>2073</v>
      </c>
      <c r="F4" s="37" t="s">
        <v>718</v>
      </c>
      <c r="G4" s="37" t="s">
        <v>2074</v>
      </c>
      <c r="H4" s="37" t="s">
        <v>2075</v>
      </c>
      <c r="I4" s="31" t="s">
        <v>2076</v>
      </c>
    </row>
    <row r="5">
      <c r="B5" s="37"/>
      <c r="C5" s="37" t="s">
        <v>2077</v>
      </c>
      <c r="D5" s="37" t="s">
        <v>2078</v>
      </c>
      <c r="F5" s="37" t="s">
        <v>2079</v>
      </c>
      <c r="G5" s="37" t="s">
        <v>2080</v>
      </c>
      <c r="H5" s="37" t="s">
        <v>229</v>
      </c>
      <c r="I5" s="31" t="s">
        <v>2081</v>
      </c>
    </row>
    <row r="6">
      <c r="B6" s="37"/>
      <c r="C6" s="37" t="s">
        <v>315</v>
      </c>
      <c r="D6" s="37" t="s">
        <v>2082</v>
      </c>
      <c r="H6" s="37" t="s">
        <v>2083</v>
      </c>
      <c r="I6" s="31" t="s">
        <v>2084</v>
      </c>
    </row>
    <row r="7">
      <c r="B7" s="37"/>
      <c r="C7" s="37" t="s">
        <v>546</v>
      </c>
      <c r="D7" s="37" t="s">
        <v>2085</v>
      </c>
      <c r="I7" s="31" t="s">
        <v>2086</v>
      </c>
    </row>
    <row r="8">
      <c r="B8" s="37"/>
      <c r="C8" s="37" t="s">
        <v>2087</v>
      </c>
      <c r="D8" s="37" t="s">
        <v>2088</v>
      </c>
      <c r="I8" s="31" t="s">
        <v>2089</v>
      </c>
    </row>
    <row r="9">
      <c r="B9" s="37"/>
      <c r="C9" s="37" t="s">
        <v>435</v>
      </c>
      <c r="D9" s="37" t="s">
        <v>2090</v>
      </c>
      <c r="I9" s="31" t="s">
        <v>2091</v>
      </c>
    </row>
    <row r="10">
      <c r="B10" s="37"/>
      <c r="C10" s="37" t="s">
        <v>2092</v>
      </c>
      <c r="D10" s="37" t="s">
        <v>2093</v>
      </c>
      <c r="I10" s="31" t="s">
        <v>2094</v>
      </c>
    </row>
    <row r="11">
      <c r="B11" s="37"/>
      <c r="C11" s="37" t="s">
        <v>338</v>
      </c>
      <c r="D11" s="37" t="s">
        <v>2095</v>
      </c>
      <c r="I11" s="31" t="s">
        <v>2096</v>
      </c>
    </row>
    <row r="12">
      <c r="B12" s="37"/>
      <c r="C12" s="37" t="s">
        <v>420</v>
      </c>
      <c r="D12" s="37" t="s">
        <v>2097</v>
      </c>
      <c r="I12" s="31" t="s">
        <v>2098</v>
      </c>
    </row>
    <row r="13">
      <c r="B13" s="37"/>
      <c r="C13" s="37" t="s">
        <v>2099</v>
      </c>
      <c r="D13" s="37" t="s">
        <v>2100</v>
      </c>
      <c r="I13" s="31" t="s">
        <v>2101</v>
      </c>
    </row>
    <row r="14">
      <c r="D14" s="37" t="s">
        <v>2102</v>
      </c>
      <c r="I14" s="31" t="s">
        <v>2103</v>
      </c>
    </row>
    <row r="15">
      <c r="D15" s="37" t="s">
        <v>2104</v>
      </c>
      <c r="I15" s="31" t="s">
        <v>2105</v>
      </c>
    </row>
    <row r="16">
      <c r="D16" s="37" t="s">
        <v>2106</v>
      </c>
      <c r="I16" s="31" t="s">
        <v>2107</v>
      </c>
    </row>
    <row r="17">
      <c r="D17" s="37" t="s">
        <v>2108</v>
      </c>
      <c r="I17" s="31" t="s">
        <v>2109</v>
      </c>
    </row>
    <row r="18">
      <c r="D18" s="37" t="s">
        <v>2110</v>
      </c>
      <c r="I18" s="31" t="s">
        <v>2111</v>
      </c>
    </row>
    <row r="19">
      <c r="D19" s="37" t="s">
        <v>2112</v>
      </c>
      <c r="I19" s="31" t="s">
        <v>2113</v>
      </c>
    </row>
    <row r="20">
      <c r="D20" s="37" t="s">
        <v>2114</v>
      </c>
      <c r="I20" s="31" t="s">
        <v>2115</v>
      </c>
    </row>
    <row r="21">
      <c r="D21" s="37" t="s">
        <v>2116</v>
      </c>
      <c r="I21" s="31" t="s">
        <v>2117</v>
      </c>
    </row>
    <row r="22">
      <c r="D22" s="37" t="s">
        <v>2118</v>
      </c>
      <c r="I22" s="31" t="s">
        <v>2119</v>
      </c>
    </row>
    <row r="23">
      <c r="D23" s="37" t="s">
        <v>2120</v>
      </c>
    </row>
    <row r="24">
      <c r="D24" s="37" t="s">
        <v>2121</v>
      </c>
    </row>
    <row r="25">
      <c r="D25" s="37" t="s">
        <v>2122</v>
      </c>
    </row>
    <row r="26">
      <c r="D26" s="37" t="s">
        <v>2123</v>
      </c>
    </row>
    <row r="27">
      <c r="D27" s="37" t="s">
        <v>2124</v>
      </c>
    </row>
    <row r="28">
      <c r="D28" s="37" t="s">
        <v>2125</v>
      </c>
    </row>
    <row r="29">
      <c r="D29" s="37" t="s">
        <v>2126</v>
      </c>
    </row>
    <row r="30">
      <c r="D30" s="37" t="s">
        <v>2127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  <col customWidth="1" min="3" max="3" width="20.5"/>
    <col customWidth="1" min="4" max="4" width="9.63"/>
    <col customWidth="1" min="5" max="5" width="16.13"/>
    <col customWidth="1" min="6" max="6" width="15.38"/>
    <col customWidth="1" min="9" max="9" width="19.63"/>
    <col customWidth="1" min="10" max="10" width="15.0"/>
  </cols>
  <sheetData>
    <row r="1">
      <c r="A1" s="107" t="str">
        <f>IFERROR(__xludf.DUMMYFUNCTION("{IMPORTRANGE(""1RN57IgBpCLekEtDVNT_NDJBYYi8Fd88SHmOtfju35do"", ""日記帳(每日記錄)!B1:H""); IMPORTRANGE(""1XqI881K82wcww8RIix4uscgDaEpM9eqpaW83k8aTfq0"", ""日記帳(每日記錄)!B2:H"")}"),"日期")</f>
        <v>日期</v>
      </c>
      <c r="B1" t="str">
        <f>IFERROR(__xludf.DUMMYFUNCTION("""COMPUTED_VALUE"""),"敘述")</f>
        <v>敘述</v>
      </c>
      <c r="C1" t="str">
        <f>IFERROR(__xludf.DUMMYFUNCTION("""COMPUTED_VALUE"""),"分類")</f>
        <v>分類</v>
      </c>
      <c r="D1" s="270" t="str">
        <f>IFERROR(__xludf.DUMMYFUNCTION("""COMPUTED_VALUE"""),"金額")</f>
        <v>金額</v>
      </c>
      <c r="E1" t="str">
        <f>IFERROR(__xludf.DUMMYFUNCTION("""COMPUTED_VALUE"""),"轉出帳戶")</f>
        <v>轉出帳戶</v>
      </c>
      <c r="F1" t="str">
        <f>IFERROR(__xludf.DUMMYFUNCTION("""COMPUTED_VALUE"""),"轉入帳戶")</f>
        <v>轉入帳戶</v>
      </c>
      <c r="G1" t="str">
        <f>IFERROR(__xludf.DUMMYFUNCTION("""COMPUTED_VALUE"""),"專案")</f>
        <v>專案</v>
      </c>
      <c r="H1" s="52" t="s">
        <v>2128</v>
      </c>
      <c r="I1" s="37" t="str">
        <f>IFERROR(__xludf.DUMMYFUNCTION("{IMPORTRANGE(""1RN57IgBpCLekEtDVNT_NDJBYYi8Fd88SHmOtfju35do"", ""日記帳(每日記錄)!M:M""); IMPORTRANGE(""1XqI881K82wcww8RIix4uscgDaEpM9eqpaW83k8aTfq0"", ""日記帳(每日記錄)!M2:M"")}"),"團隊標籤 (Team)")</f>
        <v>團隊標籤 (Team)</v>
      </c>
      <c r="J1" s="37" t="s">
        <v>2129</v>
      </c>
      <c r="K1" s="37" t="s">
        <v>2130</v>
      </c>
      <c r="L1" s="37" t="s">
        <v>2131</v>
      </c>
    </row>
    <row r="2">
      <c r="A2" s="107">
        <f>IFERROR(__xludf.DUMMYFUNCTION("""COMPUTED_VALUE"""),45212.0)</f>
        <v>45212</v>
      </c>
      <c r="B2" t="str">
        <f>IFERROR(__xludf.DUMMYFUNCTION("""COMPUTED_VALUE"""),"押金2個月")</f>
        <v>押金2個月</v>
      </c>
      <c r="C2" t="str">
        <f>IFERROR(__xludf.DUMMYFUNCTION("""COMPUTED_VALUE"""),"成本 - 對屋主押金")</f>
        <v>成本 - 對屋主押金</v>
      </c>
      <c r="D2" s="270">
        <f>IFERROR(__xludf.DUMMYFUNCTION("""COMPUTED_VALUE"""),-68000.0)</f>
        <v>-68000</v>
      </c>
      <c r="E2" t="str">
        <f>IFERROR(__xludf.DUMMYFUNCTION("""COMPUTED_VALUE"""),"Ben帳戶")</f>
        <v>Ben帳戶</v>
      </c>
      <c r="G2" t="str">
        <f>IFERROR(__xludf.DUMMYFUNCTION("""COMPUTED_VALUE"""),"永春四號")</f>
        <v>永春四號</v>
      </c>
      <c r="H2" s="106" t="str">
        <f t="shared" ref="H2:H14487" si="1">IF(A2="","",TEXT(A2, "yyyy-mm"))</f>
        <v>2023-10</v>
      </c>
      <c r="I2" s="271" t="str">
        <f>IFERROR(__xludf.DUMMYFUNCTION("""COMPUTED_VALUE"""),"貓狗企鵝")</f>
        <v>貓狗企鵝</v>
      </c>
      <c r="J2" t="str">
        <f>IFERROR(__xludf.DUMMYFUNCTION("IFS(
  AND(REGEXMATCH(E2, ""台銀籌備帳戶|玉山帳戶""), REGEXMATCH(C2, ""薪資"")), ""分潤支出"",
  AND(REGEXMATCH(E2, ""Ben帳戶|Elsa帳戶|Ben代墊|Ariel代墊|中信銀行共用""), REGEXMATCH(F2, ""Ben帳戶|Elsa帳戶|Ben代墊|Ariel代墊|中信銀行共用"")), ""內部轉帳(忽略)"",
  AND(E2&lt;&gt;"""", F2&lt;&gt;"""", NOT(REGEXMATCH(C2, "&amp;"""薪資""))), ""內部轉帳(忽略)"",
  REGEXMATCH(C2, ""薪資""), ""薪資變動(不計入)"",
  REGEXMATCH(C2, ""押金""), ""押金往來"",
  AND(E2&lt;&gt;"""", F2=""""), ""真實支出"",
  AND(E2="""", F2&lt;&gt;""""), ""真實收入"",
  TRUE, ""其他""
)"),"押金往來")</f>
        <v>押金往來</v>
      </c>
      <c r="K2">
        <f t="shared" ref="K2:K14487" si="2">IF(OR(J2="內部轉帳(忽略)", J2="分潤支出", J2="押金往來"), 0, D2)</f>
        <v>0</v>
      </c>
      <c r="L2">
        <f t="shared" ref="L2:L14487" si="3">IF(J2="分潤支出", ABS(D2), 0)</f>
        <v>0</v>
      </c>
    </row>
    <row r="3">
      <c r="A3" s="107">
        <f>IFERROR(__xludf.DUMMYFUNCTION("""COMPUTED_VALUE"""),45212.0)</f>
        <v>45212</v>
      </c>
      <c r="B3" t="str">
        <f>IFERROR(__xludf.DUMMYFUNCTION("""COMPUTED_VALUE"""),"公證費")</f>
        <v>公證費</v>
      </c>
      <c r="C3" t="str">
        <f>IFERROR(__xludf.DUMMYFUNCTION("""COMPUTED_VALUE"""),"成本 - 公證費")</f>
        <v>成本 - 公證費</v>
      </c>
      <c r="D3" s="270">
        <f>IFERROR(__xludf.DUMMYFUNCTION("""COMPUTED_VALUE"""),-8700.0)</f>
        <v>-8700</v>
      </c>
      <c r="E3" t="str">
        <f>IFERROR(__xludf.DUMMYFUNCTION("""COMPUTED_VALUE"""),"Elsa帳戶")</f>
        <v>Elsa帳戶</v>
      </c>
      <c r="G3" t="str">
        <f>IFERROR(__xludf.DUMMYFUNCTION("""COMPUTED_VALUE"""),"永春四號")</f>
        <v>永春四號</v>
      </c>
      <c r="H3" s="106" t="str">
        <f t="shared" si="1"/>
        <v>2023-10</v>
      </c>
      <c r="I3" s="271" t="str">
        <f>IFERROR(__xludf.DUMMYFUNCTION("""COMPUTED_VALUE"""),"貓狗企鵝")</f>
        <v>貓狗企鵝</v>
      </c>
      <c r="J3" t="str">
        <f>IFERROR(__xludf.DUMMYFUNCTION("IFS(
  AND(REGEXMATCH(E3, ""台銀籌備帳戶|玉山帳戶""), REGEXMATCH(C3, ""薪資"")), ""分潤支出"",
  AND(REGEXMATCH(E3, ""Ben帳戶|Elsa帳戶|Ben代墊|Ariel代墊|中信銀行共用""), REGEXMATCH(F3, ""Ben帳戶|Elsa帳戶|Ben代墊|Ariel代墊|中信銀行共用"")), ""內部轉帳(忽略)"",
  AND(E3&lt;&gt;"""", F3&lt;&gt;"""", NOT(REGEXMATCH(C3, "&amp;"""薪資""))), ""內部轉帳(忽略)"",
  REGEXMATCH(C3, ""薪資""), ""薪資變動(不計入)"",
  REGEXMATCH(C3, ""押金""), ""押金往來"",
  AND(E3&lt;&gt;"""", F3=""""), ""真實支出"",
  AND(E3="""", F3&lt;&gt;""""), ""真實收入"",
  TRUE, ""其他""
)"),"真實支出")</f>
        <v>真實支出</v>
      </c>
      <c r="K3" s="270">
        <f t="shared" si="2"/>
        <v>-8700</v>
      </c>
      <c r="L3">
        <f t="shared" si="3"/>
        <v>0</v>
      </c>
    </row>
    <row r="4">
      <c r="A4" s="107">
        <f>IFERROR(__xludf.DUMMYFUNCTION("""COMPUTED_VALUE"""),45212.0)</f>
        <v>45212</v>
      </c>
      <c r="B4" t="str">
        <f>IFERROR(__xludf.DUMMYFUNCTION("""COMPUTED_VALUE"""),"打鑰匙")</f>
        <v>打鑰匙</v>
      </c>
      <c r="C4" t="str">
        <f>IFERROR(__xludf.DUMMYFUNCTION("""COMPUTED_VALUE"""),"成本 - 進場前裝潢費")</f>
        <v>成本 - 進場前裝潢費</v>
      </c>
      <c r="D4" s="270">
        <f>IFERROR(__xludf.DUMMYFUNCTION("""COMPUTED_VALUE"""),-650.0)</f>
        <v>-650</v>
      </c>
      <c r="E4" t="str">
        <f>IFERROR(__xludf.DUMMYFUNCTION("""COMPUTED_VALUE"""),"Ben帳戶")</f>
        <v>Ben帳戶</v>
      </c>
      <c r="G4" t="str">
        <f>IFERROR(__xludf.DUMMYFUNCTION("""COMPUTED_VALUE"""),"永春四號")</f>
        <v>永春四號</v>
      </c>
      <c r="H4" s="106" t="str">
        <f t="shared" si="1"/>
        <v>2023-10</v>
      </c>
      <c r="I4" s="271" t="str">
        <f>IFERROR(__xludf.DUMMYFUNCTION("""COMPUTED_VALUE"""),"貓狗企鵝")</f>
        <v>貓狗企鵝</v>
      </c>
      <c r="J4" t="str">
        <f>IFERROR(__xludf.DUMMYFUNCTION("IFS(
  AND(REGEXMATCH(E4, ""台銀籌備帳戶|玉山帳戶""), REGEXMATCH(C4, ""薪資"")), ""分潤支出"",
  AND(REGEXMATCH(E4, ""Ben帳戶|Elsa帳戶|Ben代墊|Ariel代墊|中信銀行共用""), REGEXMATCH(F4, ""Ben帳戶|Elsa帳戶|Ben代墊|Ariel代墊|中信銀行共用"")), ""內部轉帳(忽略)"",
  AND(E4&lt;&gt;"""", F4&lt;&gt;"""", NOT(REGEXMATCH(C4, "&amp;"""薪資""))), ""內部轉帳(忽略)"",
  REGEXMATCH(C4, ""薪資""), ""薪資變動(不計入)"",
  REGEXMATCH(C4, ""押金""), ""押金往來"",
  AND(E4&lt;&gt;"""", F4=""""), ""真實支出"",
  AND(E4="""", F4&lt;&gt;""""), ""真實收入"",
  TRUE, ""其他""
)"),"真實支出")</f>
        <v>真實支出</v>
      </c>
      <c r="K4" s="270">
        <f t="shared" si="2"/>
        <v>-650</v>
      </c>
      <c r="L4">
        <f t="shared" si="3"/>
        <v>0</v>
      </c>
    </row>
    <row r="5">
      <c r="A5" s="107">
        <f>IFERROR(__xludf.DUMMYFUNCTION("""COMPUTED_VALUE"""),45213.0)</f>
        <v>45213</v>
      </c>
      <c r="B5" t="str">
        <f>IFERROR(__xludf.DUMMYFUNCTION("""COMPUTED_VALUE"""),"賣沙發")</f>
        <v>賣沙發</v>
      </c>
      <c r="C5" t="str">
        <f>IFERROR(__xludf.DUMMYFUNCTION("""COMPUTED_VALUE"""),"收入 - 其他")</f>
        <v>收入 - 其他</v>
      </c>
      <c r="D5" s="270">
        <f>IFERROR(__xludf.DUMMYFUNCTION("""COMPUTED_VALUE"""),1500.0)</f>
        <v>1500</v>
      </c>
      <c r="F5" t="str">
        <f>IFERROR(__xludf.DUMMYFUNCTION("""COMPUTED_VALUE"""),"Ben帳戶")</f>
        <v>Ben帳戶</v>
      </c>
      <c r="G5" t="str">
        <f>IFERROR(__xludf.DUMMYFUNCTION("""COMPUTED_VALUE"""),"永春四號")</f>
        <v>永春四號</v>
      </c>
      <c r="H5" s="106" t="str">
        <f t="shared" si="1"/>
        <v>2023-10</v>
      </c>
      <c r="I5" s="271" t="str">
        <f>IFERROR(__xludf.DUMMYFUNCTION("""COMPUTED_VALUE"""),"貓狗企鵝")</f>
        <v>貓狗企鵝</v>
      </c>
      <c r="J5" t="str">
        <f>IFERROR(__xludf.DUMMYFUNCTION("IFS(
  AND(REGEXMATCH(E5, ""台銀籌備帳戶|玉山帳戶""), REGEXMATCH(C5, ""薪資"")), ""分潤支出"",
  AND(REGEXMATCH(E5, ""Ben帳戶|Elsa帳戶|Ben代墊|Ariel代墊|中信銀行共用""), REGEXMATCH(F5, ""Ben帳戶|Elsa帳戶|Ben代墊|Ariel代墊|中信銀行共用"")), ""內部轉帳(忽略)"",
  AND(E5&lt;&gt;"""", F5&lt;&gt;"""", NOT(REGEXMATCH(C5, "&amp;"""薪資""))), ""內部轉帳(忽略)"",
  REGEXMATCH(C5, ""薪資""), ""薪資變動(不計入)"",
  REGEXMATCH(C5, ""押金""), ""押金往來"",
  AND(E5&lt;&gt;"""", F5=""""), ""真實支出"",
  AND(E5="""", F5&lt;&gt;""""), ""真實收入"",
  TRUE, ""其他""
)"),"真實收入")</f>
        <v>真實收入</v>
      </c>
      <c r="K5" s="270">
        <f t="shared" si="2"/>
        <v>1500</v>
      </c>
      <c r="L5">
        <f t="shared" si="3"/>
        <v>0</v>
      </c>
    </row>
    <row r="6">
      <c r="A6" s="107">
        <f>IFERROR(__xludf.DUMMYFUNCTION("""COMPUTED_VALUE"""),45213.0)</f>
        <v>45213</v>
      </c>
      <c r="B6" t="str">
        <f>IFERROR(__xludf.DUMMYFUNCTION("""COMPUTED_VALUE"""),"特力屋油漆")</f>
        <v>特力屋油漆</v>
      </c>
      <c r="C6" t="str">
        <f>IFERROR(__xludf.DUMMYFUNCTION("""COMPUTED_VALUE"""),"成本 - 進場前裝潢費")</f>
        <v>成本 - 進場前裝潢費</v>
      </c>
      <c r="D6" s="270">
        <f>IFERROR(__xludf.DUMMYFUNCTION("""COMPUTED_VALUE"""),-1661.0)</f>
        <v>-1661</v>
      </c>
      <c r="E6" t="str">
        <f>IFERROR(__xludf.DUMMYFUNCTION("""COMPUTED_VALUE"""),"Ben帳戶")</f>
        <v>Ben帳戶</v>
      </c>
      <c r="G6" t="str">
        <f>IFERROR(__xludf.DUMMYFUNCTION("""COMPUTED_VALUE"""),"永春四號")</f>
        <v>永春四號</v>
      </c>
      <c r="H6" s="106" t="str">
        <f t="shared" si="1"/>
        <v>2023-10</v>
      </c>
      <c r="I6" s="271" t="str">
        <f>IFERROR(__xludf.DUMMYFUNCTION("""COMPUTED_VALUE"""),"貓狗企鵝")</f>
        <v>貓狗企鵝</v>
      </c>
      <c r="J6" t="str">
        <f>IFERROR(__xludf.DUMMYFUNCTION("IFS(
  AND(REGEXMATCH(E6, ""台銀籌備帳戶|玉山帳戶""), REGEXMATCH(C6, ""薪資"")), ""分潤支出"",
  AND(REGEXMATCH(E6, ""Ben帳戶|Elsa帳戶|Ben代墊|Ariel代墊|中信銀行共用""), REGEXMATCH(F6, ""Ben帳戶|Elsa帳戶|Ben代墊|Ariel代墊|中信銀行共用"")), ""內部轉帳(忽略)"",
  AND(E6&lt;&gt;"""", F6&lt;&gt;"""", NOT(REGEXMATCH(C6, "&amp;"""薪資""))), ""內部轉帳(忽略)"",
  REGEXMATCH(C6, ""薪資""), ""薪資變動(不計入)"",
  REGEXMATCH(C6, ""押金""), ""押金往來"",
  AND(E6&lt;&gt;"""", F6=""""), ""真實支出"",
  AND(E6="""", F6&lt;&gt;""""), ""真實收入"",
  TRUE, ""其他""
)"),"真實支出")</f>
        <v>真實支出</v>
      </c>
      <c r="K6" s="270">
        <f t="shared" si="2"/>
        <v>-1661</v>
      </c>
      <c r="L6">
        <f t="shared" si="3"/>
        <v>0</v>
      </c>
    </row>
    <row r="7">
      <c r="A7" s="107">
        <f>IFERROR(__xludf.DUMMYFUNCTION("""COMPUTED_VALUE"""),45214.0)</f>
        <v>45214</v>
      </c>
      <c r="B7" t="str">
        <f>IFERROR(__xludf.DUMMYFUNCTION("""COMPUTED_VALUE"""),"特力屋油漆")</f>
        <v>特力屋油漆</v>
      </c>
      <c r="C7" t="str">
        <f>IFERROR(__xludf.DUMMYFUNCTION("""COMPUTED_VALUE"""),"成本 - 進場前裝潢費")</f>
        <v>成本 - 進場前裝潢費</v>
      </c>
      <c r="D7" s="270">
        <f>IFERROR(__xludf.DUMMYFUNCTION("""COMPUTED_VALUE"""),-3514.0)</f>
        <v>-3514</v>
      </c>
      <c r="E7" t="str">
        <f>IFERROR(__xludf.DUMMYFUNCTION("""COMPUTED_VALUE"""),"Ben帳戶")</f>
        <v>Ben帳戶</v>
      </c>
      <c r="G7" t="str">
        <f>IFERROR(__xludf.DUMMYFUNCTION("""COMPUTED_VALUE"""),"永春四號")</f>
        <v>永春四號</v>
      </c>
      <c r="H7" s="106" t="str">
        <f t="shared" si="1"/>
        <v>2023-10</v>
      </c>
      <c r="I7" s="271" t="str">
        <f>IFERROR(__xludf.DUMMYFUNCTION("""COMPUTED_VALUE"""),"貓狗企鵝")</f>
        <v>貓狗企鵝</v>
      </c>
      <c r="J7" t="str">
        <f>IFERROR(__xludf.DUMMYFUNCTION("IFS(
  AND(REGEXMATCH(E7, ""台銀籌備帳戶|玉山帳戶""), REGEXMATCH(C7, ""薪資"")), ""分潤支出"",
  AND(REGEXMATCH(E7, ""Ben帳戶|Elsa帳戶|Ben代墊|Ariel代墊|中信銀行共用""), REGEXMATCH(F7, ""Ben帳戶|Elsa帳戶|Ben代墊|Ariel代墊|中信銀行共用"")), ""內部轉帳(忽略)"",
  AND(E7&lt;&gt;"""", F7&lt;&gt;"""", NOT(REGEXMATCH(C7, "&amp;"""薪資""))), ""內部轉帳(忽略)"",
  REGEXMATCH(C7, ""薪資""), ""薪資變動(不計入)"",
  REGEXMATCH(C7, ""押金""), ""押金往來"",
  AND(E7&lt;&gt;"""", F7=""""), ""真實支出"",
  AND(E7="""", F7&lt;&gt;""""), ""真實收入"",
  TRUE, ""其他""
)"),"真實支出")</f>
        <v>真實支出</v>
      </c>
      <c r="K7" s="270">
        <f t="shared" si="2"/>
        <v>-3514</v>
      </c>
      <c r="L7">
        <f t="shared" si="3"/>
        <v>0</v>
      </c>
    </row>
    <row r="8">
      <c r="A8" s="107">
        <f>IFERROR(__xludf.DUMMYFUNCTION("""COMPUTED_VALUE"""),45216.0)</f>
        <v>45216</v>
      </c>
      <c r="B8" t="str">
        <f>IFERROR(__xludf.DUMMYFUNCTION("""COMPUTED_VALUE"""),"拆除 廖大哥")</f>
        <v>拆除 廖大哥</v>
      </c>
      <c r="C8" t="str">
        <f>IFERROR(__xludf.DUMMYFUNCTION("""COMPUTED_VALUE"""),"成本 - 進場前裝潢費")</f>
        <v>成本 - 進場前裝潢費</v>
      </c>
      <c r="D8" s="270">
        <f>IFERROR(__xludf.DUMMYFUNCTION("""COMPUTED_VALUE"""),-20000.0)</f>
        <v>-20000</v>
      </c>
      <c r="E8" t="str">
        <f>IFERROR(__xludf.DUMMYFUNCTION("""COMPUTED_VALUE"""),"Ben帳戶")</f>
        <v>Ben帳戶</v>
      </c>
      <c r="G8" t="str">
        <f>IFERROR(__xludf.DUMMYFUNCTION("""COMPUTED_VALUE"""),"永春四號")</f>
        <v>永春四號</v>
      </c>
      <c r="H8" s="106" t="str">
        <f t="shared" si="1"/>
        <v>2023-10</v>
      </c>
      <c r="I8" s="271" t="str">
        <f>IFERROR(__xludf.DUMMYFUNCTION("""COMPUTED_VALUE"""),"貓狗企鵝")</f>
        <v>貓狗企鵝</v>
      </c>
      <c r="J8" t="str">
        <f>IFERROR(__xludf.DUMMYFUNCTION("IFS(
  AND(REGEXMATCH(E8, ""台銀籌備帳戶|玉山帳戶""), REGEXMATCH(C8, ""薪資"")), ""分潤支出"",
  AND(REGEXMATCH(E8, ""Ben帳戶|Elsa帳戶|Ben代墊|Ariel代墊|中信銀行共用""), REGEXMATCH(F8, ""Ben帳戶|Elsa帳戶|Ben代墊|Ariel代墊|中信銀行共用"")), ""內部轉帳(忽略)"",
  AND(E8&lt;&gt;"""", F8&lt;&gt;"""", NOT(REGEXMATCH(C8, "&amp;"""薪資""))), ""內部轉帳(忽略)"",
  REGEXMATCH(C8, ""薪資""), ""薪資變動(不計入)"",
  REGEXMATCH(C8, ""押金""), ""押金往來"",
  AND(E8&lt;&gt;"""", F8=""""), ""真實支出"",
  AND(E8="""", F8&lt;&gt;""""), ""真實收入"",
  TRUE, ""其他""
)"),"真實支出")</f>
        <v>真實支出</v>
      </c>
      <c r="K8" s="270">
        <f t="shared" si="2"/>
        <v>-20000</v>
      </c>
      <c r="L8">
        <f t="shared" si="3"/>
        <v>0</v>
      </c>
    </row>
    <row r="9">
      <c r="A9" s="107">
        <f>IFERROR(__xludf.DUMMYFUNCTION("""COMPUTED_VALUE"""),45216.0)</f>
        <v>45216</v>
      </c>
      <c r="B9" t="str">
        <f>IFERROR(__xludf.DUMMYFUNCTION("""COMPUTED_VALUE"""),"淘寶 軟裝")</f>
        <v>淘寶 軟裝</v>
      </c>
      <c r="C9" t="str">
        <f>IFERROR(__xludf.DUMMYFUNCTION("""COMPUTED_VALUE"""),"成本 - 進場前裝潢費")</f>
        <v>成本 - 進場前裝潢費</v>
      </c>
      <c r="D9" s="270">
        <f>IFERROR(__xludf.DUMMYFUNCTION("""COMPUTED_VALUE"""),-17914.0)</f>
        <v>-17914</v>
      </c>
      <c r="E9" t="str">
        <f>IFERROR(__xludf.DUMMYFUNCTION("""COMPUTED_VALUE"""),"Ben帳戶")</f>
        <v>Ben帳戶</v>
      </c>
      <c r="G9" t="str">
        <f>IFERROR(__xludf.DUMMYFUNCTION("""COMPUTED_VALUE"""),"永春四號")</f>
        <v>永春四號</v>
      </c>
      <c r="H9" s="106" t="str">
        <f t="shared" si="1"/>
        <v>2023-10</v>
      </c>
      <c r="I9" s="271" t="str">
        <f>IFERROR(__xludf.DUMMYFUNCTION("""COMPUTED_VALUE"""),"貓狗企鵝")</f>
        <v>貓狗企鵝</v>
      </c>
      <c r="J9" t="str">
        <f>IFERROR(__xludf.DUMMYFUNCTION("IFS(
  AND(REGEXMATCH(E9, ""台銀籌備帳戶|玉山帳戶""), REGEXMATCH(C9, ""薪資"")), ""分潤支出"",
  AND(REGEXMATCH(E9, ""Ben帳戶|Elsa帳戶|Ben代墊|Ariel代墊|中信銀行共用""), REGEXMATCH(F9, ""Ben帳戶|Elsa帳戶|Ben代墊|Ariel代墊|中信銀行共用"")), ""內部轉帳(忽略)"",
  AND(E9&lt;&gt;"""", F9&lt;&gt;"""", NOT(REGEXMATCH(C9, "&amp;"""薪資""))), ""內部轉帳(忽略)"",
  REGEXMATCH(C9, ""薪資""), ""薪資變動(不計入)"",
  REGEXMATCH(C9, ""押金""), ""押金往來"",
  AND(E9&lt;&gt;"""", F9=""""), ""真實支出"",
  AND(E9="""", F9&lt;&gt;""""), ""真實收入"",
  TRUE, ""其他""
)"),"真實支出")</f>
        <v>真實支出</v>
      </c>
      <c r="K9" s="270">
        <f t="shared" si="2"/>
        <v>-17914</v>
      </c>
      <c r="L9">
        <f t="shared" si="3"/>
        <v>0</v>
      </c>
    </row>
    <row r="10">
      <c r="A10" s="107">
        <f>IFERROR(__xludf.DUMMYFUNCTION("""COMPUTED_VALUE"""),45216.0)</f>
        <v>45216</v>
      </c>
      <c r="B10" t="str">
        <f>IFERROR(__xludf.DUMMYFUNCTION("""COMPUTED_VALUE"""),"床跟床墊")</f>
        <v>床跟床墊</v>
      </c>
      <c r="C10" t="str">
        <f>IFERROR(__xludf.DUMMYFUNCTION("""COMPUTED_VALUE"""),"成本 - 進場前裝潢費")</f>
        <v>成本 - 進場前裝潢費</v>
      </c>
      <c r="D10" s="270">
        <f>IFERROR(__xludf.DUMMYFUNCTION("""COMPUTED_VALUE"""),-4908.0)</f>
        <v>-4908</v>
      </c>
      <c r="E10" t="str">
        <f>IFERROR(__xludf.DUMMYFUNCTION("""COMPUTED_VALUE"""),"Ben帳戶")</f>
        <v>Ben帳戶</v>
      </c>
      <c r="G10" t="str">
        <f>IFERROR(__xludf.DUMMYFUNCTION("""COMPUTED_VALUE"""),"永春四號")</f>
        <v>永春四號</v>
      </c>
      <c r="H10" s="106" t="str">
        <f t="shared" si="1"/>
        <v>2023-10</v>
      </c>
      <c r="I10" s="271" t="str">
        <f>IFERROR(__xludf.DUMMYFUNCTION("""COMPUTED_VALUE"""),"貓狗企鵝")</f>
        <v>貓狗企鵝</v>
      </c>
      <c r="J10" t="str">
        <f>IFERROR(__xludf.DUMMYFUNCTION("IFS(
  AND(REGEXMATCH(E10, ""台銀籌備帳戶|玉山帳戶""), REGEXMATCH(C10, ""薪資"")), ""分潤支出"",
  AND(REGEXMATCH(E10, ""Ben帳戶|Elsa帳戶|Ben代墊|Ariel代墊|中信銀行共用""), REGEXMATCH(F10, ""Ben帳戶|Elsa帳戶|Ben代墊|Ariel代墊|中信銀行共用"")), ""內部轉帳(忽略)"",
  AND(E10&lt;&gt;"""", F10&lt;&gt;"""", NOT(REGEXMATC"&amp;"H(C10, ""薪資""))), ""內部轉帳(忽略)"",
  REGEXMATCH(C10, ""薪資""), ""薪資變動(不計入)"",
  REGEXMATCH(C10, ""押金""), ""押金往來"",
  AND(E10&lt;&gt;"""", F10=""""), ""真實支出"",
  AND(E10="""", F10&lt;&gt;""""), ""真實收入"",
  TRUE, ""其他""
)"),"真實支出")</f>
        <v>真實支出</v>
      </c>
      <c r="K10" s="270">
        <f t="shared" si="2"/>
        <v>-4908</v>
      </c>
      <c r="L10">
        <f t="shared" si="3"/>
        <v>0</v>
      </c>
    </row>
    <row r="11">
      <c r="A11" s="107">
        <f>IFERROR(__xludf.DUMMYFUNCTION("""COMPUTED_VALUE"""),45217.0)</f>
        <v>45217</v>
      </c>
      <c r="B11" t="str">
        <f>IFERROR(__xludf.DUMMYFUNCTION("""COMPUTED_VALUE"""),"淘寶 LED燈")</f>
        <v>淘寶 LED燈</v>
      </c>
      <c r="C11" t="str">
        <f>IFERROR(__xludf.DUMMYFUNCTION("""COMPUTED_VALUE"""),"成本 - 進場前裝潢費")</f>
        <v>成本 - 進場前裝潢費</v>
      </c>
      <c r="D11" s="270">
        <f>IFERROR(__xludf.DUMMYFUNCTION("""COMPUTED_VALUE"""),-1157.0)</f>
        <v>-1157</v>
      </c>
      <c r="E11" t="str">
        <f>IFERROR(__xludf.DUMMYFUNCTION("""COMPUTED_VALUE"""),"Ben帳戶")</f>
        <v>Ben帳戶</v>
      </c>
      <c r="G11" t="str">
        <f>IFERROR(__xludf.DUMMYFUNCTION("""COMPUTED_VALUE"""),"永春四號")</f>
        <v>永春四號</v>
      </c>
      <c r="H11" s="106" t="str">
        <f t="shared" si="1"/>
        <v>2023-10</v>
      </c>
      <c r="I11" s="271" t="str">
        <f>IFERROR(__xludf.DUMMYFUNCTION("""COMPUTED_VALUE"""),"貓狗企鵝")</f>
        <v>貓狗企鵝</v>
      </c>
      <c r="J11" t="str">
        <f>IFERROR(__xludf.DUMMYFUNCTION("IFS(
  AND(REGEXMATCH(E11, ""台銀籌備帳戶|玉山帳戶""), REGEXMATCH(C11, ""薪資"")), ""分潤支出"",
  AND(REGEXMATCH(E11, ""Ben帳戶|Elsa帳戶|Ben代墊|Ariel代墊|中信銀行共用""), REGEXMATCH(F11, ""Ben帳戶|Elsa帳戶|Ben代墊|Ariel代墊|中信銀行共用"")), ""內部轉帳(忽略)"",
  AND(E11&lt;&gt;"""", F11&lt;&gt;"""", NOT(REGEXMATC"&amp;"H(C11, ""薪資""))), ""內部轉帳(忽略)"",
  REGEXMATCH(C11, ""薪資""), ""薪資變動(不計入)"",
  REGEXMATCH(C11, ""押金""), ""押金往來"",
  AND(E11&lt;&gt;"""", F11=""""), ""真實支出"",
  AND(E11="""", F11&lt;&gt;""""), ""真實收入"",
  TRUE, ""其他""
)"),"真實支出")</f>
        <v>真實支出</v>
      </c>
      <c r="K11" s="270">
        <f t="shared" si="2"/>
        <v>-1157</v>
      </c>
      <c r="L11">
        <f t="shared" si="3"/>
        <v>0</v>
      </c>
    </row>
    <row r="12">
      <c r="A12" s="107">
        <f>IFERROR(__xludf.DUMMYFUNCTION("""COMPUTED_VALUE"""),45217.0)</f>
        <v>45217</v>
      </c>
      <c r="B12" t="str">
        <f>IFERROR(__xludf.DUMMYFUNCTION("""COMPUTED_VALUE"""),"蝦皮 軟裝/草/椅子")</f>
        <v>蝦皮 軟裝/草/椅子</v>
      </c>
      <c r="C12" t="str">
        <f>IFERROR(__xludf.DUMMYFUNCTION("""COMPUTED_VALUE"""),"成本 - 進場前裝潢費")</f>
        <v>成本 - 進場前裝潢費</v>
      </c>
      <c r="D12" s="270">
        <f>IFERROR(__xludf.DUMMYFUNCTION("""COMPUTED_VALUE"""),-8824.0)</f>
        <v>-8824</v>
      </c>
      <c r="E12" t="str">
        <f>IFERROR(__xludf.DUMMYFUNCTION("""COMPUTED_VALUE"""),"Elsa帳戶")</f>
        <v>Elsa帳戶</v>
      </c>
      <c r="G12" t="str">
        <f>IFERROR(__xludf.DUMMYFUNCTION("""COMPUTED_VALUE"""),"永春四號")</f>
        <v>永春四號</v>
      </c>
      <c r="H12" s="106" t="str">
        <f t="shared" si="1"/>
        <v>2023-10</v>
      </c>
      <c r="I12" s="271" t="str">
        <f>IFERROR(__xludf.DUMMYFUNCTION("""COMPUTED_VALUE"""),"貓狗企鵝")</f>
        <v>貓狗企鵝</v>
      </c>
      <c r="J12" t="str">
        <f>IFERROR(__xludf.DUMMYFUNCTION("IFS(
  AND(REGEXMATCH(E12, ""台銀籌備帳戶|玉山帳戶""), REGEXMATCH(C12, ""薪資"")), ""分潤支出"",
  AND(REGEXMATCH(E12, ""Ben帳戶|Elsa帳戶|Ben代墊|Ariel代墊|中信銀行共用""), REGEXMATCH(F12, ""Ben帳戶|Elsa帳戶|Ben代墊|Ariel代墊|中信銀行共用"")), ""內部轉帳(忽略)"",
  AND(E12&lt;&gt;"""", F12&lt;&gt;"""", NOT(REGEXMATC"&amp;"H(C12, ""薪資""))), ""內部轉帳(忽略)"",
  REGEXMATCH(C12, ""薪資""), ""薪資變動(不計入)"",
  REGEXMATCH(C12, ""押金""), ""押金往來"",
  AND(E12&lt;&gt;"""", F12=""""), ""真實支出"",
  AND(E12="""", F12&lt;&gt;""""), ""真實收入"",
  TRUE, ""其他""
)"),"真實支出")</f>
        <v>真實支出</v>
      </c>
      <c r="K12" s="270">
        <f t="shared" si="2"/>
        <v>-8824</v>
      </c>
      <c r="L12">
        <f t="shared" si="3"/>
        <v>0</v>
      </c>
    </row>
    <row r="13">
      <c r="A13" s="107">
        <f>IFERROR(__xludf.DUMMYFUNCTION("""COMPUTED_VALUE"""),45218.0)</f>
        <v>45218</v>
      </c>
      <c r="B13" t="str">
        <f>IFERROR(__xludf.DUMMYFUNCTION("""COMPUTED_VALUE"""),"IKEA")</f>
        <v>IKEA</v>
      </c>
      <c r="C13" t="str">
        <f>IFERROR(__xludf.DUMMYFUNCTION("""COMPUTED_VALUE"""),"成本 - 進場前裝潢費")</f>
        <v>成本 - 進場前裝潢費</v>
      </c>
      <c r="D13" s="270">
        <f>IFERROR(__xludf.DUMMYFUNCTION("""COMPUTED_VALUE"""),-16804.0)</f>
        <v>-16804</v>
      </c>
      <c r="E13" t="str">
        <f>IFERROR(__xludf.DUMMYFUNCTION("""COMPUTED_VALUE"""),"Elsa帳戶")</f>
        <v>Elsa帳戶</v>
      </c>
      <c r="G13" t="str">
        <f>IFERROR(__xludf.DUMMYFUNCTION("""COMPUTED_VALUE"""),"永春四號")</f>
        <v>永春四號</v>
      </c>
      <c r="H13" s="106" t="str">
        <f t="shared" si="1"/>
        <v>2023-10</v>
      </c>
      <c r="I13" s="271" t="str">
        <f>IFERROR(__xludf.DUMMYFUNCTION("""COMPUTED_VALUE"""),"貓狗企鵝")</f>
        <v>貓狗企鵝</v>
      </c>
      <c r="J13" t="str">
        <f>IFERROR(__xludf.DUMMYFUNCTION("IFS(
  AND(REGEXMATCH(E13, ""台銀籌備帳戶|玉山帳戶""), REGEXMATCH(C13, ""薪資"")), ""分潤支出"",
  AND(REGEXMATCH(E13, ""Ben帳戶|Elsa帳戶|Ben代墊|Ariel代墊|中信銀行共用""), REGEXMATCH(F13, ""Ben帳戶|Elsa帳戶|Ben代墊|Ariel代墊|中信銀行共用"")), ""內部轉帳(忽略)"",
  AND(E13&lt;&gt;"""", F13&lt;&gt;"""", NOT(REGEXMATC"&amp;"H(C13, ""薪資""))), ""內部轉帳(忽略)"",
  REGEXMATCH(C13, ""薪資""), ""薪資變動(不計入)"",
  REGEXMATCH(C13, ""押金""), ""押金往來"",
  AND(E13&lt;&gt;"""", F13=""""), ""真實支出"",
  AND(E13="""", F13&lt;&gt;""""), ""真實收入"",
  TRUE, ""其他""
)"),"真實支出")</f>
        <v>真實支出</v>
      </c>
      <c r="K13" s="270">
        <f t="shared" si="2"/>
        <v>-16804</v>
      </c>
      <c r="L13">
        <f t="shared" si="3"/>
        <v>0</v>
      </c>
    </row>
    <row r="14">
      <c r="A14" s="107">
        <f>IFERROR(__xludf.DUMMYFUNCTION("""COMPUTED_VALUE"""),45218.0)</f>
        <v>45218</v>
      </c>
      <c r="B14" t="str">
        <f>IFERROR(__xludf.DUMMYFUNCTION("""COMPUTED_VALUE"""),"Joya LED燈")</f>
        <v>Joya LED燈</v>
      </c>
      <c r="C14" t="str">
        <f>IFERROR(__xludf.DUMMYFUNCTION("""COMPUTED_VALUE"""),"成本 - 進場前裝潢費")</f>
        <v>成本 - 進場前裝潢費</v>
      </c>
      <c r="D14" s="270">
        <f>IFERROR(__xludf.DUMMYFUNCTION("""COMPUTED_VALUE"""),-3620.0)</f>
        <v>-3620</v>
      </c>
      <c r="E14" t="str">
        <f>IFERROR(__xludf.DUMMYFUNCTION("""COMPUTED_VALUE"""),"Ben帳戶")</f>
        <v>Ben帳戶</v>
      </c>
      <c r="G14" t="str">
        <f>IFERROR(__xludf.DUMMYFUNCTION("""COMPUTED_VALUE"""),"永春四號")</f>
        <v>永春四號</v>
      </c>
      <c r="H14" s="106" t="str">
        <f t="shared" si="1"/>
        <v>2023-10</v>
      </c>
      <c r="I14" s="271" t="str">
        <f>IFERROR(__xludf.DUMMYFUNCTION("""COMPUTED_VALUE"""),"貓狗企鵝")</f>
        <v>貓狗企鵝</v>
      </c>
      <c r="J14" t="str">
        <f>IFERROR(__xludf.DUMMYFUNCTION("IFS(
  AND(REGEXMATCH(E14, ""台銀籌備帳戶|玉山帳戶""), REGEXMATCH(C14, ""薪資"")), ""分潤支出"",
  AND(REGEXMATCH(E14, ""Ben帳戶|Elsa帳戶|Ben代墊|Ariel代墊|中信銀行共用""), REGEXMATCH(F14, ""Ben帳戶|Elsa帳戶|Ben代墊|Ariel代墊|中信銀行共用"")), ""內部轉帳(忽略)"",
  AND(E14&lt;&gt;"""", F14&lt;&gt;"""", NOT(REGEXMATC"&amp;"H(C14, ""薪資""))), ""內部轉帳(忽略)"",
  REGEXMATCH(C14, ""薪資""), ""薪資變動(不計入)"",
  REGEXMATCH(C14, ""押金""), ""押金往來"",
  AND(E14&lt;&gt;"""", F14=""""), ""真實支出"",
  AND(E14="""", F14&lt;&gt;""""), ""真實收入"",
  TRUE, ""其他""
)"),"真實支出")</f>
        <v>真實支出</v>
      </c>
      <c r="K14" s="270">
        <f t="shared" si="2"/>
        <v>-3620</v>
      </c>
      <c r="L14">
        <f t="shared" si="3"/>
        <v>0</v>
      </c>
    </row>
    <row r="15">
      <c r="A15" s="107">
        <f>IFERROR(__xludf.DUMMYFUNCTION("""COMPUTED_VALUE"""),45218.0)</f>
        <v>45218</v>
      </c>
      <c r="B15" t="str">
        <f>IFERROR(__xludf.DUMMYFUNCTION("""COMPUTED_VALUE"""),"淘寶 小窗簾")</f>
        <v>淘寶 小窗簾</v>
      </c>
      <c r="C15" t="str">
        <f>IFERROR(__xludf.DUMMYFUNCTION("""COMPUTED_VALUE"""),"成本 - 進場前裝潢費")</f>
        <v>成本 - 進場前裝潢費</v>
      </c>
      <c r="D15" s="270">
        <f>IFERROR(__xludf.DUMMYFUNCTION("""COMPUTED_VALUE"""),-1544.0)</f>
        <v>-1544</v>
      </c>
      <c r="E15" t="str">
        <f>IFERROR(__xludf.DUMMYFUNCTION("""COMPUTED_VALUE"""),"Ben帳戶")</f>
        <v>Ben帳戶</v>
      </c>
      <c r="G15" t="str">
        <f>IFERROR(__xludf.DUMMYFUNCTION("""COMPUTED_VALUE"""),"永春四號")</f>
        <v>永春四號</v>
      </c>
      <c r="H15" s="106" t="str">
        <f t="shared" si="1"/>
        <v>2023-10</v>
      </c>
      <c r="I15" s="271" t="str">
        <f>IFERROR(__xludf.DUMMYFUNCTION("""COMPUTED_VALUE"""),"貓狗企鵝")</f>
        <v>貓狗企鵝</v>
      </c>
      <c r="J15" t="str">
        <f>IFERROR(__xludf.DUMMYFUNCTION("IFS(
  AND(REGEXMATCH(E15, ""台銀籌備帳戶|玉山帳戶""), REGEXMATCH(C15, ""薪資"")), ""分潤支出"",
  AND(REGEXMATCH(E15, ""Ben帳戶|Elsa帳戶|Ben代墊|Ariel代墊|中信銀行共用""), REGEXMATCH(F15, ""Ben帳戶|Elsa帳戶|Ben代墊|Ariel代墊|中信銀行共用"")), ""內部轉帳(忽略)"",
  AND(E15&lt;&gt;"""", F15&lt;&gt;"""", NOT(REGEXMATC"&amp;"H(C15, ""薪資""))), ""內部轉帳(忽略)"",
  REGEXMATCH(C15, ""薪資""), ""薪資變動(不計入)"",
  REGEXMATCH(C15, ""押金""), ""押金往來"",
  AND(E15&lt;&gt;"""", F15=""""), ""真實支出"",
  AND(E15="""", F15&lt;&gt;""""), ""真實收入"",
  TRUE, ""其他""
)"),"真實支出")</f>
        <v>真實支出</v>
      </c>
      <c r="K15" s="270">
        <f t="shared" si="2"/>
        <v>-1544</v>
      </c>
      <c r="L15">
        <f t="shared" si="3"/>
        <v>0</v>
      </c>
    </row>
    <row r="16">
      <c r="A16" s="107">
        <f>IFERROR(__xludf.DUMMYFUNCTION("""COMPUTED_VALUE"""),45218.0)</f>
        <v>45218</v>
      </c>
      <c r="B16" t="str">
        <f>IFERROR(__xludf.DUMMYFUNCTION("""COMPUTED_VALUE"""),"3M 濾水器")</f>
        <v>3M 濾水器</v>
      </c>
      <c r="C16" t="str">
        <f>IFERROR(__xludf.DUMMYFUNCTION("""COMPUTED_VALUE"""),"成本 - 進場前裝潢費")</f>
        <v>成本 - 進場前裝潢費</v>
      </c>
      <c r="D16" s="270">
        <f>IFERROR(__xludf.DUMMYFUNCTION("""COMPUTED_VALUE"""),-3990.0)</f>
        <v>-3990</v>
      </c>
      <c r="E16" t="str">
        <f>IFERROR(__xludf.DUMMYFUNCTION("""COMPUTED_VALUE"""),"Ben帳戶")</f>
        <v>Ben帳戶</v>
      </c>
      <c r="G16" t="str">
        <f>IFERROR(__xludf.DUMMYFUNCTION("""COMPUTED_VALUE"""),"永春四號")</f>
        <v>永春四號</v>
      </c>
      <c r="H16" s="106" t="str">
        <f t="shared" si="1"/>
        <v>2023-10</v>
      </c>
      <c r="I16" s="271" t="str">
        <f>IFERROR(__xludf.DUMMYFUNCTION("""COMPUTED_VALUE"""),"貓狗企鵝")</f>
        <v>貓狗企鵝</v>
      </c>
      <c r="J16" t="str">
        <f>IFERROR(__xludf.DUMMYFUNCTION("IFS(
  AND(REGEXMATCH(E16, ""台銀籌備帳戶|玉山帳戶""), REGEXMATCH(C16, ""薪資"")), ""分潤支出"",
  AND(REGEXMATCH(E16, ""Ben帳戶|Elsa帳戶|Ben代墊|Ariel代墊|中信銀行共用""), REGEXMATCH(F16, ""Ben帳戶|Elsa帳戶|Ben代墊|Ariel代墊|中信銀行共用"")), ""內部轉帳(忽略)"",
  AND(E16&lt;&gt;"""", F16&lt;&gt;"""", NOT(REGEXMATC"&amp;"H(C16, ""薪資""))), ""內部轉帳(忽略)"",
  REGEXMATCH(C16, ""薪資""), ""薪資變動(不計入)"",
  REGEXMATCH(C16, ""押金""), ""押金往來"",
  AND(E16&lt;&gt;"""", F16=""""), ""真實支出"",
  AND(E16="""", F16&lt;&gt;""""), ""真實收入"",
  TRUE, ""其他""
)"),"真實支出")</f>
        <v>真實支出</v>
      </c>
      <c r="K16" s="270">
        <f t="shared" si="2"/>
        <v>-3990</v>
      </c>
      <c r="L16">
        <f t="shared" si="3"/>
        <v>0</v>
      </c>
    </row>
    <row r="17">
      <c r="A17" s="107">
        <f>IFERROR(__xludf.DUMMYFUNCTION("""COMPUTED_VALUE"""),45219.0)</f>
        <v>45219</v>
      </c>
      <c r="B17" t="str">
        <f>IFERROR(__xludf.DUMMYFUNCTION("""COMPUTED_VALUE"""),"淘寶運費")</f>
        <v>淘寶運費</v>
      </c>
      <c r="C17" t="str">
        <f>IFERROR(__xludf.DUMMYFUNCTION("""COMPUTED_VALUE"""),"成本 - 進場前裝潢費")</f>
        <v>成本 - 進場前裝潢費</v>
      </c>
      <c r="D17" s="270">
        <f>IFERROR(__xludf.DUMMYFUNCTION("""COMPUTED_VALUE"""),-3878.0)</f>
        <v>-3878</v>
      </c>
      <c r="E17" t="str">
        <f>IFERROR(__xludf.DUMMYFUNCTION("""COMPUTED_VALUE"""),"Ben帳戶")</f>
        <v>Ben帳戶</v>
      </c>
      <c r="G17" t="str">
        <f>IFERROR(__xludf.DUMMYFUNCTION("""COMPUTED_VALUE"""),"永春四號")</f>
        <v>永春四號</v>
      </c>
      <c r="H17" s="106" t="str">
        <f t="shared" si="1"/>
        <v>2023-10</v>
      </c>
      <c r="I17" s="271" t="str">
        <f>IFERROR(__xludf.DUMMYFUNCTION("""COMPUTED_VALUE"""),"貓狗企鵝")</f>
        <v>貓狗企鵝</v>
      </c>
      <c r="J17" t="str">
        <f>IFERROR(__xludf.DUMMYFUNCTION("IFS(
  AND(REGEXMATCH(E17, ""台銀籌備帳戶|玉山帳戶""), REGEXMATCH(C17, ""薪資"")), ""分潤支出"",
  AND(REGEXMATCH(E17, ""Ben帳戶|Elsa帳戶|Ben代墊|Ariel代墊|中信銀行共用""), REGEXMATCH(F17, ""Ben帳戶|Elsa帳戶|Ben代墊|Ariel代墊|中信銀行共用"")), ""內部轉帳(忽略)"",
  AND(E17&lt;&gt;"""", F17&lt;&gt;"""", NOT(REGEXMATC"&amp;"H(C17, ""薪資""))), ""內部轉帳(忽略)"",
  REGEXMATCH(C17, ""薪資""), ""薪資變動(不計入)"",
  REGEXMATCH(C17, ""押金""), ""押金往來"",
  AND(E17&lt;&gt;"""", F17=""""), ""真實支出"",
  AND(E17="""", F17&lt;&gt;""""), ""真實收入"",
  TRUE, ""其他""
)"),"真實支出")</f>
        <v>真實支出</v>
      </c>
      <c r="K17" s="270">
        <f t="shared" si="2"/>
        <v>-3878</v>
      </c>
      <c r="L17">
        <f t="shared" si="3"/>
        <v>0</v>
      </c>
    </row>
    <row r="18">
      <c r="A18" s="107">
        <f>IFERROR(__xludf.DUMMYFUNCTION("""COMPUTED_VALUE"""),45220.0)</f>
        <v>45220</v>
      </c>
      <c r="B18" t="str">
        <f>IFERROR(__xludf.DUMMYFUNCTION("""COMPUTED_VALUE"""),"淘寶 畫 小木桌 躺椅 軟片")</f>
        <v>淘寶 畫 小木桌 躺椅 軟片</v>
      </c>
      <c r="C18" t="str">
        <f>IFERROR(__xludf.DUMMYFUNCTION("""COMPUTED_VALUE"""),"成本 - 進場前裝潢費")</f>
        <v>成本 - 進場前裝潢費</v>
      </c>
      <c r="D18" s="270">
        <f>IFERROR(__xludf.DUMMYFUNCTION("""COMPUTED_VALUE"""),-1145.0)</f>
        <v>-1145</v>
      </c>
      <c r="E18" t="str">
        <f>IFERROR(__xludf.DUMMYFUNCTION("""COMPUTED_VALUE"""),"Ben帳戶")</f>
        <v>Ben帳戶</v>
      </c>
      <c r="G18" t="str">
        <f>IFERROR(__xludf.DUMMYFUNCTION("""COMPUTED_VALUE"""),"永春四號")</f>
        <v>永春四號</v>
      </c>
      <c r="H18" s="106" t="str">
        <f t="shared" si="1"/>
        <v>2023-10</v>
      </c>
      <c r="I18" s="271" t="str">
        <f>IFERROR(__xludf.DUMMYFUNCTION("""COMPUTED_VALUE"""),"貓狗企鵝")</f>
        <v>貓狗企鵝</v>
      </c>
      <c r="J18" t="str">
        <f>IFERROR(__xludf.DUMMYFUNCTION("IFS(
  AND(REGEXMATCH(E18, ""台銀籌備帳戶|玉山帳戶""), REGEXMATCH(C18, ""薪資"")), ""分潤支出"",
  AND(REGEXMATCH(E18, ""Ben帳戶|Elsa帳戶|Ben代墊|Ariel代墊|中信銀行共用""), REGEXMATCH(F18, ""Ben帳戶|Elsa帳戶|Ben代墊|Ariel代墊|中信銀行共用"")), ""內部轉帳(忽略)"",
  AND(E18&lt;&gt;"""", F18&lt;&gt;"""", NOT(REGEXMATC"&amp;"H(C18, ""薪資""))), ""內部轉帳(忽略)"",
  REGEXMATCH(C18, ""薪資""), ""薪資變動(不計入)"",
  REGEXMATCH(C18, ""押金""), ""押金往來"",
  AND(E18&lt;&gt;"""", F18=""""), ""真實支出"",
  AND(E18="""", F18&lt;&gt;""""), ""真實收入"",
  TRUE, ""其他""
)"),"真實支出")</f>
        <v>真實支出</v>
      </c>
      <c r="K18" s="270">
        <f t="shared" si="2"/>
        <v>-1145</v>
      </c>
      <c r="L18">
        <f t="shared" si="3"/>
        <v>0</v>
      </c>
    </row>
    <row r="19">
      <c r="A19" s="107">
        <f>IFERROR(__xludf.DUMMYFUNCTION("""COMPUTED_VALUE"""),45221.0)</f>
        <v>45221</v>
      </c>
      <c r="B19" t="str">
        <f>IFERROR(__xludf.DUMMYFUNCTION("""COMPUTED_VALUE"""),"油漆 呂")</f>
        <v>油漆 呂</v>
      </c>
      <c r="C19" t="str">
        <f>IFERROR(__xludf.DUMMYFUNCTION("""COMPUTED_VALUE"""),"成本 - 進場前裝潢費")</f>
        <v>成本 - 進場前裝潢費</v>
      </c>
      <c r="D19" s="270">
        <f>IFERROR(__xludf.DUMMYFUNCTION("""COMPUTED_VALUE"""),-29400.0)</f>
        <v>-29400</v>
      </c>
      <c r="E19" t="str">
        <f>IFERROR(__xludf.DUMMYFUNCTION("""COMPUTED_VALUE"""),"Elsa帳戶")</f>
        <v>Elsa帳戶</v>
      </c>
      <c r="G19" t="str">
        <f>IFERROR(__xludf.DUMMYFUNCTION("""COMPUTED_VALUE"""),"永春四號")</f>
        <v>永春四號</v>
      </c>
      <c r="H19" s="106" t="str">
        <f t="shared" si="1"/>
        <v>2023-10</v>
      </c>
      <c r="I19" s="271" t="str">
        <f>IFERROR(__xludf.DUMMYFUNCTION("""COMPUTED_VALUE"""),"貓狗企鵝")</f>
        <v>貓狗企鵝</v>
      </c>
      <c r="J19" t="str">
        <f>IFERROR(__xludf.DUMMYFUNCTION("IFS(
  AND(REGEXMATCH(E19, ""台銀籌備帳戶|玉山帳戶""), REGEXMATCH(C19, ""薪資"")), ""分潤支出"",
  AND(REGEXMATCH(E19, ""Ben帳戶|Elsa帳戶|Ben代墊|Ariel代墊|中信銀行共用""), REGEXMATCH(F19, ""Ben帳戶|Elsa帳戶|Ben代墊|Ariel代墊|中信銀行共用"")), ""內部轉帳(忽略)"",
  AND(E19&lt;&gt;"""", F19&lt;&gt;"""", NOT(REGEXMATC"&amp;"H(C19, ""薪資""))), ""內部轉帳(忽略)"",
  REGEXMATCH(C19, ""薪資""), ""薪資變動(不計入)"",
  REGEXMATCH(C19, ""押金""), ""押金往來"",
  AND(E19&lt;&gt;"""", F19=""""), ""真實支出"",
  AND(E19="""", F19&lt;&gt;""""), ""真實收入"",
  TRUE, ""其他""
)"),"真實支出")</f>
        <v>真實支出</v>
      </c>
      <c r="K19" s="270">
        <f t="shared" si="2"/>
        <v>-29400</v>
      </c>
      <c r="L19">
        <f t="shared" si="3"/>
        <v>0</v>
      </c>
    </row>
    <row r="20">
      <c r="A20" s="107">
        <f>IFERROR(__xludf.DUMMYFUNCTION("""COMPUTED_VALUE"""),45222.0)</f>
        <v>45222</v>
      </c>
      <c r="B20" t="str">
        <f>IFERROR(__xludf.DUMMYFUNCTION("""COMPUTED_VALUE"""),"輕隔間 阿聖")</f>
        <v>輕隔間 阿聖</v>
      </c>
      <c r="C20" t="str">
        <f>IFERROR(__xludf.DUMMYFUNCTION("""COMPUTED_VALUE"""),"成本 - 進場前裝潢費")</f>
        <v>成本 - 進場前裝潢費</v>
      </c>
      <c r="D20" s="270">
        <f>IFERROR(__xludf.DUMMYFUNCTION("""COMPUTED_VALUE"""),-50925.0)</f>
        <v>-50925</v>
      </c>
      <c r="E20" t="str">
        <f>IFERROR(__xludf.DUMMYFUNCTION("""COMPUTED_VALUE"""),"Ben帳戶")</f>
        <v>Ben帳戶</v>
      </c>
      <c r="G20" t="str">
        <f>IFERROR(__xludf.DUMMYFUNCTION("""COMPUTED_VALUE"""),"永春四號")</f>
        <v>永春四號</v>
      </c>
      <c r="H20" s="106" t="str">
        <f t="shared" si="1"/>
        <v>2023-10</v>
      </c>
      <c r="I20" s="271" t="str">
        <f>IFERROR(__xludf.DUMMYFUNCTION("""COMPUTED_VALUE"""),"貓狗企鵝")</f>
        <v>貓狗企鵝</v>
      </c>
      <c r="J20" t="str">
        <f>IFERROR(__xludf.DUMMYFUNCTION("IFS(
  AND(REGEXMATCH(E20, ""台銀籌備帳戶|玉山帳戶""), REGEXMATCH(C20, ""薪資"")), ""分潤支出"",
  AND(REGEXMATCH(E20, ""Ben帳戶|Elsa帳戶|Ben代墊|Ariel代墊|中信銀行共用""), REGEXMATCH(F20, ""Ben帳戶|Elsa帳戶|Ben代墊|Ariel代墊|中信銀行共用"")), ""內部轉帳(忽略)"",
  AND(E20&lt;&gt;"""", F20&lt;&gt;"""", NOT(REGEXMATC"&amp;"H(C20, ""薪資""))), ""內部轉帳(忽略)"",
  REGEXMATCH(C20, ""薪資""), ""薪資變動(不計入)"",
  REGEXMATCH(C20, ""押金""), ""押金往來"",
  AND(E20&lt;&gt;"""", F20=""""), ""真實支出"",
  AND(E20="""", F20&lt;&gt;""""), ""真實收入"",
  TRUE, ""其他""
)"),"真實支出")</f>
        <v>真實支出</v>
      </c>
      <c r="K20" s="270">
        <f t="shared" si="2"/>
        <v>-50925</v>
      </c>
      <c r="L20">
        <f t="shared" si="3"/>
        <v>0</v>
      </c>
    </row>
    <row r="21">
      <c r="A21" s="107">
        <f>IFERROR(__xludf.DUMMYFUNCTION("""COMPUTED_VALUE"""),45223.0)</f>
        <v>45223</v>
      </c>
      <c r="B21" t="str">
        <f>IFERROR(__xludf.DUMMYFUNCTION("""COMPUTED_VALUE"""),"淘寶運費")</f>
        <v>淘寶運費</v>
      </c>
      <c r="C21" t="str">
        <f>IFERROR(__xludf.DUMMYFUNCTION("""COMPUTED_VALUE"""),"成本 - 進場前裝潢費")</f>
        <v>成本 - 進場前裝潢費</v>
      </c>
      <c r="D21" s="270">
        <f>IFERROR(__xludf.DUMMYFUNCTION("""COMPUTED_VALUE"""),-900.0)</f>
        <v>-900</v>
      </c>
      <c r="E21" t="str">
        <f>IFERROR(__xludf.DUMMYFUNCTION("""COMPUTED_VALUE"""),"Ben帳戶")</f>
        <v>Ben帳戶</v>
      </c>
      <c r="G21" t="str">
        <f>IFERROR(__xludf.DUMMYFUNCTION("""COMPUTED_VALUE"""),"永春四號")</f>
        <v>永春四號</v>
      </c>
      <c r="H21" s="106" t="str">
        <f t="shared" si="1"/>
        <v>2023-10</v>
      </c>
      <c r="I21" s="271" t="str">
        <f>IFERROR(__xludf.DUMMYFUNCTION("""COMPUTED_VALUE"""),"貓狗企鵝")</f>
        <v>貓狗企鵝</v>
      </c>
      <c r="J21" t="str">
        <f>IFERROR(__xludf.DUMMYFUNCTION("IFS(
  AND(REGEXMATCH(E21, ""台銀籌備帳戶|玉山帳戶""), REGEXMATCH(C21, ""薪資"")), ""分潤支出"",
  AND(REGEXMATCH(E21, ""Ben帳戶|Elsa帳戶|Ben代墊|Ariel代墊|中信銀行共用""), REGEXMATCH(F21, ""Ben帳戶|Elsa帳戶|Ben代墊|Ariel代墊|中信銀行共用"")), ""內部轉帳(忽略)"",
  AND(E21&lt;&gt;"""", F21&lt;&gt;"""", NOT(REGEXMATC"&amp;"H(C21, ""薪資""))), ""內部轉帳(忽略)"",
  REGEXMATCH(C21, ""薪資""), ""薪資變動(不計入)"",
  REGEXMATCH(C21, ""押金""), ""押金往來"",
  AND(E21&lt;&gt;"""", F21=""""), ""真實支出"",
  AND(E21="""", F21&lt;&gt;""""), ""真實收入"",
  TRUE, ""其他""
)"),"真實支出")</f>
        <v>真實支出</v>
      </c>
      <c r="K21" s="270">
        <f t="shared" si="2"/>
        <v>-900</v>
      </c>
      <c r="L21">
        <f t="shared" si="3"/>
        <v>0</v>
      </c>
    </row>
    <row r="22">
      <c r="A22" s="107">
        <f>IFERROR(__xludf.DUMMYFUNCTION("""COMPUTED_VALUE"""),45228.0)</f>
        <v>45228</v>
      </c>
      <c r="B22" t="str">
        <f>IFERROR(__xludf.DUMMYFUNCTION("""COMPUTED_VALUE"""),"淘寶運費")</f>
        <v>淘寶運費</v>
      </c>
      <c r="C22" t="str">
        <f>IFERROR(__xludf.DUMMYFUNCTION("""COMPUTED_VALUE"""),"成本 - 進場前裝潢費")</f>
        <v>成本 - 進場前裝潢費</v>
      </c>
      <c r="D22" s="270">
        <f>IFERROR(__xludf.DUMMYFUNCTION("""COMPUTED_VALUE"""),-3900.0)</f>
        <v>-3900</v>
      </c>
      <c r="E22" t="str">
        <f>IFERROR(__xludf.DUMMYFUNCTION("""COMPUTED_VALUE"""),"Ben帳戶")</f>
        <v>Ben帳戶</v>
      </c>
      <c r="G22" t="str">
        <f>IFERROR(__xludf.DUMMYFUNCTION("""COMPUTED_VALUE"""),"永春四號")</f>
        <v>永春四號</v>
      </c>
      <c r="H22" s="106" t="str">
        <f t="shared" si="1"/>
        <v>2023-10</v>
      </c>
      <c r="I22" s="271" t="str">
        <f>IFERROR(__xludf.DUMMYFUNCTION("""COMPUTED_VALUE"""),"貓狗企鵝")</f>
        <v>貓狗企鵝</v>
      </c>
      <c r="J22" t="str">
        <f>IFERROR(__xludf.DUMMYFUNCTION("IFS(
  AND(REGEXMATCH(E22, ""台銀籌備帳戶|玉山帳戶""), REGEXMATCH(C22, ""薪資"")), ""分潤支出"",
  AND(REGEXMATCH(E22, ""Ben帳戶|Elsa帳戶|Ben代墊|Ariel代墊|中信銀行共用""), REGEXMATCH(F22, ""Ben帳戶|Elsa帳戶|Ben代墊|Ariel代墊|中信銀行共用"")), ""內部轉帳(忽略)"",
  AND(E22&lt;&gt;"""", F22&lt;&gt;"""", NOT(REGEXMATC"&amp;"H(C22, ""薪資""))), ""內部轉帳(忽略)"",
  REGEXMATCH(C22, ""薪資""), ""薪資變動(不計入)"",
  REGEXMATCH(C22, ""押金""), ""押金往來"",
  AND(E22&lt;&gt;"""", F22=""""), ""真實支出"",
  AND(E22="""", F22&lt;&gt;""""), ""真實收入"",
  TRUE, ""其他""
)"),"真實支出")</f>
        <v>真實支出</v>
      </c>
      <c r="K22" s="270">
        <f t="shared" si="2"/>
        <v>-3900</v>
      </c>
      <c r="L22">
        <f t="shared" si="3"/>
        <v>0</v>
      </c>
    </row>
    <row r="23">
      <c r="A23" s="107">
        <f>IFERROR(__xludf.DUMMYFUNCTION("""COMPUTED_VALUE"""),45231.0)</f>
        <v>45231</v>
      </c>
      <c r="B23" t="str">
        <f>IFERROR(__xludf.DUMMYFUNCTION("""COMPUTED_VALUE"""),"冷氣 永春 楊師父")</f>
        <v>冷氣 永春 楊師父</v>
      </c>
      <c r="C23" t="str">
        <f>IFERROR(__xludf.DUMMYFUNCTION("""COMPUTED_VALUE"""),"成本 - 進場前裝潢費")</f>
        <v>成本 - 進場前裝潢費</v>
      </c>
      <c r="D23" s="270">
        <f>IFERROR(__xludf.DUMMYFUNCTION("""COMPUTED_VALUE"""),-30900.0)</f>
        <v>-30900</v>
      </c>
      <c r="E23" t="str">
        <f>IFERROR(__xludf.DUMMYFUNCTION("""COMPUTED_VALUE"""),"Ben帳戶")</f>
        <v>Ben帳戶</v>
      </c>
      <c r="G23" t="str">
        <f>IFERROR(__xludf.DUMMYFUNCTION("""COMPUTED_VALUE"""),"永春四號")</f>
        <v>永春四號</v>
      </c>
      <c r="H23" s="106" t="str">
        <f t="shared" si="1"/>
        <v>2023-11</v>
      </c>
      <c r="I23" s="271" t="str">
        <f>IFERROR(__xludf.DUMMYFUNCTION("""COMPUTED_VALUE"""),"貓狗企鵝")</f>
        <v>貓狗企鵝</v>
      </c>
      <c r="J23" t="str">
        <f>IFERROR(__xludf.DUMMYFUNCTION("IFS(
  AND(REGEXMATCH(E23, ""台銀籌備帳戶|玉山帳戶""), REGEXMATCH(C23, ""薪資"")), ""分潤支出"",
  AND(REGEXMATCH(E23, ""Ben帳戶|Elsa帳戶|Ben代墊|Ariel代墊|中信銀行共用""), REGEXMATCH(F23, ""Ben帳戶|Elsa帳戶|Ben代墊|Ariel代墊|中信銀行共用"")), ""內部轉帳(忽略)"",
  AND(E23&lt;&gt;"""", F23&lt;&gt;"""", NOT(REGEXMATC"&amp;"H(C23, ""薪資""))), ""內部轉帳(忽略)"",
  REGEXMATCH(C23, ""薪資""), ""薪資變動(不計入)"",
  REGEXMATCH(C23, ""押金""), ""押金往來"",
  AND(E23&lt;&gt;"""", F23=""""), ""真實支出"",
  AND(E23="""", F23&lt;&gt;""""), ""真實收入"",
  TRUE, ""其他""
)"),"真實支出")</f>
        <v>真實支出</v>
      </c>
      <c r="K23" s="270">
        <f t="shared" si="2"/>
        <v>-30900</v>
      </c>
      <c r="L23">
        <f t="shared" si="3"/>
        <v>0</v>
      </c>
    </row>
    <row r="24">
      <c r="A24" s="107">
        <f>IFERROR(__xludf.DUMMYFUNCTION("""COMPUTED_VALUE"""),45231.0)</f>
        <v>45231</v>
      </c>
      <c r="B24" t="str">
        <f>IFERROR(__xludf.DUMMYFUNCTION("""COMPUTED_VALUE"""),"MoMo壁燈*2")</f>
        <v>MoMo壁燈*2</v>
      </c>
      <c r="C24" t="str">
        <f>IFERROR(__xludf.DUMMYFUNCTION("""COMPUTED_VALUE"""),"成本 - 進場前裝潢費")</f>
        <v>成本 - 進場前裝潢費</v>
      </c>
      <c r="D24" s="270">
        <f>IFERROR(__xludf.DUMMYFUNCTION("""COMPUTED_VALUE"""),-2054.0)</f>
        <v>-2054</v>
      </c>
      <c r="E24" t="str">
        <f>IFERROR(__xludf.DUMMYFUNCTION("""COMPUTED_VALUE"""),"Elsa帳戶")</f>
        <v>Elsa帳戶</v>
      </c>
      <c r="G24" t="str">
        <f>IFERROR(__xludf.DUMMYFUNCTION("""COMPUTED_VALUE"""),"永春四號")</f>
        <v>永春四號</v>
      </c>
      <c r="H24" s="106" t="str">
        <f t="shared" si="1"/>
        <v>2023-11</v>
      </c>
      <c r="I24" s="271" t="str">
        <f>IFERROR(__xludf.DUMMYFUNCTION("""COMPUTED_VALUE"""),"貓狗企鵝")</f>
        <v>貓狗企鵝</v>
      </c>
      <c r="J24" t="str">
        <f>IFERROR(__xludf.DUMMYFUNCTION("IFS(
  AND(REGEXMATCH(E24, ""台銀籌備帳戶|玉山帳戶""), REGEXMATCH(C24, ""薪資"")), ""分潤支出"",
  AND(REGEXMATCH(E24, ""Ben帳戶|Elsa帳戶|Ben代墊|Ariel代墊|中信銀行共用""), REGEXMATCH(F24, ""Ben帳戶|Elsa帳戶|Ben代墊|Ariel代墊|中信銀行共用"")), ""內部轉帳(忽略)"",
  AND(E24&lt;&gt;"""", F24&lt;&gt;"""", NOT(REGEXMATC"&amp;"H(C24, ""薪資""))), ""內部轉帳(忽略)"",
  REGEXMATCH(C24, ""薪資""), ""薪資變動(不計入)"",
  REGEXMATCH(C24, ""押金""), ""押金往來"",
  AND(E24&lt;&gt;"""", F24=""""), ""真實支出"",
  AND(E24="""", F24&lt;&gt;""""), ""真實收入"",
  TRUE, ""其他""
)"),"真實支出")</f>
        <v>真實支出</v>
      </c>
      <c r="K24" s="270">
        <f t="shared" si="2"/>
        <v>-2054</v>
      </c>
      <c r="L24">
        <f t="shared" si="3"/>
        <v>0</v>
      </c>
    </row>
    <row r="25">
      <c r="A25" s="107">
        <f>IFERROR(__xludf.DUMMYFUNCTION("""COMPUTED_VALUE"""),45231.0)</f>
        <v>45231</v>
      </c>
      <c r="B25" t="str">
        <f>IFERROR(__xludf.DUMMYFUNCTION("""COMPUTED_VALUE"""),"MoMo燈泡*3")</f>
        <v>MoMo燈泡*3</v>
      </c>
      <c r="C25" t="str">
        <f>IFERROR(__xludf.DUMMYFUNCTION("""COMPUTED_VALUE"""),"成本 - 進場前裝潢費")</f>
        <v>成本 - 進場前裝潢費</v>
      </c>
      <c r="D25" s="270">
        <f>IFERROR(__xludf.DUMMYFUNCTION("""COMPUTED_VALUE"""),-848.0)</f>
        <v>-848</v>
      </c>
      <c r="E25" t="str">
        <f>IFERROR(__xludf.DUMMYFUNCTION("""COMPUTED_VALUE"""),"Elsa帳戶")</f>
        <v>Elsa帳戶</v>
      </c>
      <c r="G25" t="str">
        <f>IFERROR(__xludf.DUMMYFUNCTION("""COMPUTED_VALUE"""),"永春四號")</f>
        <v>永春四號</v>
      </c>
      <c r="H25" s="106" t="str">
        <f t="shared" si="1"/>
        <v>2023-11</v>
      </c>
      <c r="I25" s="271" t="str">
        <f>IFERROR(__xludf.DUMMYFUNCTION("""COMPUTED_VALUE"""),"貓狗企鵝")</f>
        <v>貓狗企鵝</v>
      </c>
      <c r="J25" t="str">
        <f>IFERROR(__xludf.DUMMYFUNCTION("IFS(
  AND(REGEXMATCH(E25, ""台銀籌備帳戶|玉山帳戶""), REGEXMATCH(C25, ""薪資"")), ""分潤支出"",
  AND(REGEXMATCH(E25, ""Ben帳戶|Elsa帳戶|Ben代墊|Ariel代墊|中信銀行共用""), REGEXMATCH(F25, ""Ben帳戶|Elsa帳戶|Ben代墊|Ariel代墊|中信銀行共用"")), ""內部轉帳(忽略)"",
  AND(E25&lt;&gt;"""", F25&lt;&gt;"""", NOT(REGEXMATC"&amp;"H(C25, ""薪資""))), ""內部轉帳(忽略)"",
  REGEXMATCH(C25, ""薪資""), ""薪資變動(不計入)"",
  REGEXMATCH(C25, ""押金""), ""押金往來"",
  AND(E25&lt;&gt;"""", F25=""""), ""真實支出"",
  AND(E25="""", F25&lt;&gt;""""), ""真實收入"",
  TRUE, ""其他""
)"),"真實支出")</f>
        <v>真實支出</v>
      </c>
      <c r="K25" s="270">
        <f t="shared" si="2"/>
        <v>-848</v>
      </c>
      <c r="L25">
        <f t="shared" si="3"/>
        <v>0</v>
      </c>
    </row>
    <row r="26">
      <c r="A26" s="107">
        <f>IFERROR(__xludf.DUMMYFUNCTION("""COMPUTED_VALUE"""),45233.0)</f>
        <v>45233</v>
      </c>
      <c r="B26" t="str">
        <f>IFERROR(__xludf.DUMMYFUNCTION("""COMPUTED_VALUE"""),"永春 地板")</f>
        <v>永春 地板</v>
      </c>
      <c r="C26" t="str">
        <f>IFERROR(__xludf.DUMMYFUNCTION("""COMPUTED_VALUE"""),"成本 - 進場前裝潢費")</f>
        <v>成本 - 進場前裝潢費</v>
      </c>
      <c r="D26" s="270">
        <f>IFERROR(__xludf.DUMMYFUNCTION("""COMPUTED_VALUE"""),-16320.0)</f>
        <v>-16320</v>
      </c>
      <c r="E26" t="str">
        <f>IFERROR(__xludf.DUMMYFUNCTION("""COMPUTED_VALUE"""),"Ben帳戶")</f>
        <v>Ben帳戶</v>
      </c>
      <c r="G26" t="str">
        <f>IFERROR(__xludf.DUMMYFUNCTION("""COMPUTED_VALUE"""),"永春四號")</f>
        <v>永春四號</v>
      </c>
      <c r="H26" s="106" t="str">
        <f t="shared" si="1"/>
        <v>2023-11</v>
      </c>
      <c r="I26" s="271" t="str">
        <f>IFERROR(__xludf.DUMMYFUNCTION("""COMPUTED_VALUE"""),"貓狗企鵝")</f>
        <v>貓狗企鵝</v>
      </c>
      <c r="J26" t="str">
        <f>IFERROR(__xludf.DUMMYFUNCTION("IFS(
  AND(REGEXMATCH(E26, ""台銀籌備帳戶|玉山帳戶""), REGEXMATCH(C26, ""薪資"")), ""分潤支出"",
  AND(REGEXMATCH(E26, ""Ben帳戶|Elsa帳戶|Ben代墊|Ariel代墊|中信銀行共用""), REGEXMATCH(F26, ""Ben帳戶|Elsa帳戶|Ben代墊|Ariel代墊|中信銀行共用"")), ""內部轉帳(忽略)"",
  AND(E26&lt;&gt;"""", F26&lt;&gt;"""", NOT(REGEXMATC"&amp;"H(C26, ""薪資""))), ""內部轉帳(忽略)"",
  REGEXMATCH(C26, ""薪資""), ""薪資變動(不計入)"",
  REGEXMATCH(C26, ""押金""), ""押金往來"",
  AND(E26&lt;&gt;"""", F26=""""), ""真實支出"",
  AND(E26="""", F26&lt;&gt;""""), ""真實收入"",
  TRUE, ""其他""
)"),"真實支出")</f>
        <v>真實支出</v>
      </c>
      <c r="K26" s="270">
        <f t="shared" si="2"/>
        <v>-16320</v>
      </c>
      <c r="L26">
        <f t="shared" si="3"/>
        <v>0</v>
      </c>
    </row>
    <row r="27">
      <c r="A27" s="107">
        <f>IFERROR(__xludf.DUMMYFUNCTION("""COMPUTED_VALUE"""),45237.0)</f>
        <v>45237</v>
      </c>
      <c r="B27" t="str">
        <f>IFERROR(__xludf.DUMMYFUNCTION("""COMPUTED_VALUE"""),"永春 2押1租 D房")</f>
        <v>永春 2押1租 D房</v>
      </c>
      <c r="C27" t="str">
        <f>IFERROR(__xludf.DUMMYFUNCTION("""COMPUTED_VALUE"""),"收入 - 押金")</f>
        <v>收入 - 押金</v>
      </c>
      <c r="D27" s="270">
        <f>IFERROR(__xludf.DUMMYFUNCTION("""COMPUTED_VALUE"""),29600.0)</f>
        <v>29600</v>
      </c>
      <c r="F27" t="str">
        <f>IFERROR(__xludf.DUMMYFUNCTION("""COMPUTED_VALUE"""),"Ben帳戶")</f>
        <v>Ben帳戶</v>
      </c>
      <c r="G27" t="str">
        <f>IFERROR(__xludf.DUMMYFUNCTION("""COMPUTED_VALUE"""),"永春四號")</f>
        <v>永春四號</v>
      </c>
      <c r="H27" s="106" t="str">
        <f t="shared" si="1"/>
        <v>2023-11</v>
      </c>
      <c r="I27" s="271" t="str">
        <f>IFERROR(__xludf.DUMMYFUNCTION("""COMPUTED_VALUE"""),"貓狗企鵝")</f>
        <v>貓狗企鵝</v>
      </c>
      <c r="J27" t="str">
        <f>IFERROR(__xludf.DUMMYFUNCTION("IFS(
  AND(REGEXMATCH(E27, ""台銀籌備帳戶|玉山帳戶""), REGEXMATCH(C27, ""薪資"")), ""分潤支出"",
  AND(REGEXMATCH(E27, ""Ben帳戶|Elsa帳戶|Ben代墊|Ariel代墊|中信銀行共用""), REGEXMATCH(F27, ""Ben帳戶|Elsa帳戶|Ben代墊|Ariel代墊|中信銀行共用"")), ""內部轉帳(忽略)"",
  AND(E27&lt;&gt;"""", F27&lt;&gt;"""", NOT(REGEXMATC"&amp;"H(C27, ""薪資""))), ""內部轉帳(忽略)"",
  REGEXMATCH(C27, ""薪資""), ""薪資變動(不計入)"",
  REGEXMATCH(C27, ""押金""), ""押金往來"",
  AND(E27&lt;&gt;"""", F27=""""), ""真實支出"",
  AND(E27="""", F27&lt;&gt;""""), ""真實收入"",
  TRUE, ""其他""
)"),"押金往來")</f>
        <v>押金往來</v>
      </c>
      <c r="K27">
        <f t="shared" si="2"/>
        <v>0</v>
      </c>
      <c r="L27">
        <f t="shared" si="3"/>
        <v>0</v>
      </c>
    </row>
    <row r="28">
      <c r="A28" s="107">
        <f>IFERROR(__xludf.DUMMYFUNCTION("""COMPUTED_VALUE"""),45237.0)</f>
        <v>45237</v>
      </c>
      <c r="B28" t="str">
        <f>IFERROR(__xludf.DUMMYFUNCTION("""COMPUTED_VALUE"""),"永春 2押1租 D房")</f>
        <v>永春 2押1租 D房</v>
      </c>
      <c r="C28" t="str">
        <f>IFERROR(__xludf.DUMMYFUNCTION("""COMPUTED_VALUE"""),"收入 - 租金")</f>
        <v>收入 - 租金</v>
      </c>
      <c r="D28" s="270">
        <f>IFERROR(__xludf.DUMMYFUNCTION("""COMPUTED_VALUE"""),14800.0)</f>
        <v>14800</v>
      </c>
      <c r="F28" t="str">
        <f>IFERROR(__xludf.DUMMYFUNCTION("""COMPUTED_VALUE"""),"Ben帳戶")</f>
        <v>Ben帳戶</v>
      </c>
      <c r="G28" t="str">
        <f>IFERROR(__xludf.DUMMYFUNCTION("""COMPUTED_VALUE"""),"永春四號")</f>
        <v>永春四號</v>
      </c>
      <c r="H28" s="106" t="str">
        <f t="shared" si="1"/>
        <v>2023-11</v>
      </c>
      <c r="I28" s="271" t="str">
        <f>IFERROR(__xludf.DUMMYFUNCTION("""COMPUTED_VALUE"""),"貓狗企鵝")</f>
        <v>貓狗企鵝</v>
      </c>
      <c r="J28" t="str">
        <f>IFERROR(__xludf.DUMMYFUNCTION("IFS(
  AND(REGEXMATCH(E28, ""台銀籌備帳戶|玉山帳戶""), REGEXMATCH(C28, ""薪資"")), ""分潤支出"",
  AND(REGEXMATCH(E28, ""Ben帳戶|Elsa帳戶|Ben代墊|Ariel代墊|中信銀行共用""), REGEXMATCH(F28, ""Ben帳戶|Elsa帳戶|Ben代墊|Ariel代墊|中信銀行共用"")), ""內部轉帳(忽略)"",
  AND(E28&lt;&gt;"""", F28&lt;&gt;"""", NOT(REGEXMATC"&amp;"H(C28, ""薪資""))), ""內部轉帳(忽略)"",
  REGEXMATCH(C28, ""薪資""), ""薪資變動(不計入)"",
  REGEXMATCH(C28, ""押金""), ""押金往來"",
  AND(E28&lt;&gt;"""", F28=""""), ""真實支出"",
  AND(E28="""", F28&lt;&gt;""""), ""真實收入"",
  TRUE, ""其他""
)"),"真實收入")</f>
        <v>真實收入</v>
      </c>
      <c r="K28" s="270">
        <f t="shared" si="2"/>
        <v>14800</v>
      </c>
      <c r="L28">
        <f t="shared" si="3"/>
        <v>0</v>
      </c>
    </row>
    <row r="29">
      <c r="A29" s="107">
        <f>IFERROR(__xludf.DUMMYFUNCTION("""COMPUTED_VALUE"""),45237.0)</f>
        <v>45237</v>
      </c>
      <c r="B29" t="str">
        <f>IFERROR(__xludf.DUMMYFUNCTION("""COMPUTED_VALUE"""),"永春 C 訂金")</f>
        <v>永春 C 訂金</v>
      </c>
      <c r="C29" t="str">
        <f>IFERROR(__xludf.DUMMYFUNCTION("""COMPUTED_VALUE"""),"收入 - 租金")</f>
        <v>收入 - 租金</v>
      </c>
      <c r="D29" s="270">
        <f>IFERROR(__xludf.DUMMYFUNCTION("""COMPUTED_VALUE"""),8000.0)</f>
        <v>8000</v>
      </c>
      <c r="F29" t="str">
        <f>IFERROR(__xludf.DUMMYFUNCTION("""COMPUTED_VALUE"""),"Elsa帳戶")</f>
        <v>Elsa帳戶</v>
      </c>
      <c r="G29" t="str">
        <f>IFERROR(__xludf.DUMMYFUNCTION("""COMPUTED_VALUE"""),"永春四號")</f>
        <v>永春四號</v>
      </c>
      <c r="H29" s="106" t="str">
        <f t="shared" si="1"/>
        <v>2023-11</v>
      </c>
      <c r="I29" s="271" t="str">
        <f>IFERROR(__xludf.DUMMYFUNCTION("""COMPUTED_VALUE"""),"貓狗企鵝")</f>
        <v>貓狗企鵝</v>
      </c>
      <c r="J29" t="str">
        <f>IFERROR(__xludf.DUMMYFUNCTION("IFS(
  AND(REGEXMATCH(E29, ""台銀籌備帳戶|玉山帳戶""), REGEXMATCH(C29, ""薪資"")), ""分潤支出"",
  AND(REGEXMATCH(E29, ""Ben帳戶|Elsa帳戶|Ben代墊|Ariel代墊|中信銀行共用""), REGEXMATCH(F29, ""Ben帳戶|Elsa帳戶|Ben代墊|Ariel代墊|中信銀行共用"")), ""內部轉帳(忽略)"",
  AND(E29&lt;&gt;"""", F29&lt;&gt;"""", NOT(REGEXMATC"&amp;"H(C29, ""薪資""))), ""內部轉帳(忽略)"",
  REGEXMATCH(C29, ""薪資""), ""薪資變動(不計入)"",
  REGEXMATCH(C29, ""押金""), ""押金往來"",
  AND(E29&lt;&gt;"""", F29=""""), ""真實支出"",
  AND(E29="""", F29&lt;&gt;""""), ""真實收入"",
  TRUE, ""其他""
)"),"真實收入")</f>
        <v>真實收入</v>
      </c>
      <c r="K29" s="270">
        <f t="shared" si="2"/>
        <v>8000</v>
      </c>
      <c r="L29">
        <f t="shared" si="3"/>
        <v>0</v>
      </c>
    </row>
    <row r="30">
      <c r="A30" s="107">
        <f>IFERROR(__xludf.DUMMYFUNCTION("""COMPUTED_VALUE"""),45238.0)</f>
        <v>45238</v>
      </c>
      <c r="B30" t="str">
        <f>IFERROR(__xludf.DUMMYFUNCTION("""COMPUTED_VALUE"""),"打掃怪400*3小")</f>
        <v>打掃怪400*3小</v>
      </c>
      <c r="C30" t="str">
        <f>IFERROR(__xludf.DUMMYFUNCTION("""COMPUTED_VALUE"""),"成本 - 進場前裝潢費")</f>
        <v>成本 - 進場前裝潢費</v>
      </c>
      <c r="D30" s="270">
        <f>IFERROR(__xludf.DUMMYFUNCTION("""COMPUTED_VALUE"""),-1200.0)</f>
        <v>-1200</v>
      </c>
      <c r="E30" t="str">
        <f>IFERROR(__xludf.DUMMYFUNCTION("""COMPUTED_VALUE"""),"Elsa帳戶")</f>
        <v>Elsa帳戶</v>
      </c>
      <c r="G30" t="str">
        <f>IFERROR(__xludf.DUMMYFUNCTION("""COMPUTED_VALUE"""),"永春四號")</f>
        <v>永春四號</v>
      </c>
      <c r="H30" s="106" t="str">
        <f t="shared" si="1"/>
        <v>2023-11</v>
      </c>
      <c r="I30" s="271" t="str">
        <f>IFERROR(__xludf.DUMMYFUNCTION("""COMPUTED_VALUE"""),"貓狗企鵝")</f>
        <v>貓狗企鵝</v>
      </c>
      <c r="J30" t="str">
        <f>IFERROR(__xludf.DUMMYFUNCTION("IFS(
  AND(REGEXMATCH(E30, ""台銀籌備帳戶|玉山帳戶""), REGEXMATCH(C30, ""薪資"")), ""分潤支出"",
  AND(REGEXMATCH(E30, ""Ben帳戶|Elsa帳戶|Ben代墊|Ariel代墊|中信銀行共用""), REGEXMATCH(F30, ""Ben帳戶|Elsa帳戶|Ben代墊|Ariel代墊|中信銀行共用"")), ""內部轉帳(忽略)"",
  AND(E30&lt;&gt;"""", F30&lt;&gt;"""", NOT(REGEXMATC"&amp;"H(C30, ""薪資""))), ""內部轉帳(忽略)"",
  REGEXMATCH(C30, ""薪資""), ""薪資變動(不計入)"",
  REGEXMATCH(C30, ""押金""), ""押金往來"",
  AND(E30&lt;&gt;"""", F30=""""), ""真實支出"",
  AND(E30="""", F30&lt;&gt;""""), ""真實收入"",
  TRUE, ""其他""
)"),"真實支出")</f>
        <v>真實支出</v>
      </c>
      <c r="K30" s="270">
        <f t="shared" si="2"/>
        <v>-1200</v>
      </c>
      <c r="L30">
        <f t="shared" si="3"/>
        <v>0</v>
      </c>
    </row>
    <row r="31">
      <c r="A31" s="107">
        <f>IFERROR(__xludf.DUMMYFUNCTION("""COMPUTED_VALUE"""),45239.0)</f>
        <v>45239</v>
      </c>
      <c r="B31" t="str">
        <f>IFERROR(__xludf.DUMMYFUNCTION("""COMPUTED_VALUE"""),"永春 C 首租")</f>
        <v>永春 C 首租</v>
      </c>
      <c r="C31" t="str">
        <f>IFERROR(__xludf.DUMMYFUNCTION("""COMPUTED_VALUE"""),"收入 - 押金")</f>
        <v>收入 - 押金</v>
      </c>
      <c r="D31" s="270">
        <f>IFERROR(__xludf.DUMMYFUNCTION("""COMPUTED_VALUE"""),29600.0)</f>
        <v>29600</v>
      </c>
      <c r="F31" t="str">
        <f>IFERROR(__xludf.DUMMYFUNCTION("""COMPUTED_VALUE"""),"Ben帳戶")</f>
        <v>Ben帳戶</v>
      </c>
      <c r="G31" t="str">
        <f>IFERROR(__xludf.DUMMYFUNCTION("""COMPUTED_VALUE"""),"永春四號")</f>
        <v>永春四號</v>
      </c>
      <c r="H31" s="106" t="str">
        <f t="shared" si="1"/>
        <v>2023-11</v>
      </c>
      <c r="I31" s="271" t="str">
        <f>IFERROR(__xludf.DUMMYFUNCTION("""COMPUTED_VALUE"""),"貓狗企鵝")</f>
        <v>貓狗企鵝</v>
      </c>
      <c r="J31" t="str">
        <f>IFERROR(__xludf.DUMMYFUNCTION("IFS(
  AND(REGEXMATCH(E31, ""台銀籌備帳戶|玉山帳戶""), REGEXMATCH(C31, ""薪資"")), ""分潤支出"",
  AND(REGEXMATCH(E31, ""Ben帳戶|Elsa帳戶|Ben代墊|Ariel代墊|中信銀行共用""), REGEXMATCH(F31, ""Ben帳戶|Elsa帳戶|Ben代墊|Ariel代墊|中信銀行共用"")), ""內部轉帳(忽略)"",
  AND(E31&lt;&gt;"""", F31&lt;&gt;"""", NOT(REGEXMATC"&amp;"H(C31, ""薪資""))), ""內部轉帳(忽略)"",
  REGEXMATCH(C31, ""薪資""), ""薪資變動(不計入)"",
  REGEXMATCH(C31, ""押金""), ""押金往來"",
  AND(E31&lt;&gt;"""", F31=""""), ""真實支出"",
  AND(E31="""", F31&lt;&gt;""""), ""真實收入"",
  TRUE, ""其他""
)"),"押金往來")</f>
        <v>押金往來</v>
      </c>
      <c r="K31">
        <f t="shared" si="2"/>
        <v>0</v>
      </c>
      <c r="L31">
        <f t="shared" si="3"/>
        <v>0</v>
      </c>
    </row>
    <row r="32">
      <c r="A32" s="107">
        <f>IFERROR(__xludf.DUMMYFUNCTION("""COMPUTED_VALUE"""),45239.0)</f>
        <v>45239</v>
      </c>
      <c r="B32" t="str">
        <f>IFERROR(__xludf.DUMMYFUNCTION("""COMPUTED_VALUE"""),"永春 C 首租")</f>
        <v>永春 C 首租</v>
      </c>
      <c r="C32" t="str">
        <f>IFERROR(__xludf.DUMMYFUNCTION("""COMPUTED_VALUE"""),"收入 - 租金")</f>
        <v>收入 - 租金</v>
      </c>
      <c r="D32" s="270">
        <f>IFERROR(__xludf.DUMMYFUNCTION("""COMPUTED_VALUE"""),2300.0)</f>
        <v>2300</v>
      </c>
      <c r="F32" t="str">
        <f>IFERROR(__xludf.DUMMYFUNCTION("""COMPUTED_VALUE"""),"Ben帳戶")</f>
        <v>Ben帳戶</v>
      </c>
      <c r="G32" t="str">
        <f>IFERROR(__xludf.DUMMYFUNCTION("""COMPUTED_VALUE"""),"永春四號")</f>
        <v>永春四號</v>
      </c>
      <c r="H32" s="106" t="str">
        <f t="shared" si="1"/>
        <v>2023-11</v>
      </c>
      <c r="I32" s="271" t="str">
        <f>IFERROR(__xludf.DUMMYFUNCTION("""COMPUTED_VALUE"""),"貓狗企鵝")</f>
        <v>貓狗企鵝</v>
      </c>
      <c r="J32" t="str">
        <f>IFERROR(__xludf.DUMMYFUNCTION("IFS(
  AND(REGEXMATCH(E32, ""台銀籌備帳戶|玉山帳戶""), REGEXMATCH(C32, ""薪資"")), ""分潤支出"",
  AND(REGEXMATCH(E32, ""Ben帳戶|Elsa帳戶|Ben代墊|Ariel代墊|中信銀行共用""), REGEXMATCH(F32, ""Ben帳戶|Elsa帳戶|Ben代墊|Ariel代墊|中信銀行共用"")), ""內部轉帳(忽略)"",
  AND(E32&lt;&gt;"""", F32&lt;&gt;"""", NOT(REGEXMATC"&amp;"H(C32, ""薪資""))), ""內部轉帳(忽略)"",
  REGEXMATCH(C32, ""薪資""), ""薪資變動(不計入)"",
  REGEXMATCH(C32, ""押金""), ""押金往來"",
  AND(E32&lt;&gt;"""", F32=""""), ""真實支出"",
  AND(E32="""", F32&lt;&gt;""""), ""真實收入"",
  TRUE, ""其他""
)"),"真實收入")</f>
        <v>真實收入</v>
      </c>
      <c r="K32" s="270">
        <f t="shared" si="2"/>
        <v>2300</v>
      </c>
      <c r="L32">
        <f t="shared" si="3"/>
        <v>0</v>
      </c>
    </row>
    <row r="33">
      <c r="A33" s="107">
        <f>IFERROR(__xludf.DUMMYFUNCTION("""COMPUTED_VALUE"""),45239.0)</f>
        <v>45239</v>
      </c>
      <c r="B33" t="str">
        <f>IFERROR(__xludf.DUMMYFUNCTION("""COMPUTED_VALUE"""),"永春 水電")</f>
        <v>永春 水電</v>
      </c>
      <c r="C33" t="str">
        <f>IFERROR(__xludf.DUMMYFUNCTION("""COMPUTED_VALUE"""),"成本 - 進場前裝潢費")</f>
        <v>成本 - 進場前裝潢費</v>
      </c>
      <c r="D33" s="270">
        <f>IFERROR(__xludf.DUMMYFUNCTION("""COMPUTED_VALUE"""),-26900.0)</f>
        <v>-26900</v>
      </c>
      <c r="E33" t="str">
        <f>IFERROR(__xludf.DUMMYFUNCTION("""COMPUTED_VALUE"""),"Ben帳戶")</f>
        <v>Ben帳戶</v>
      </c>
      <c r="G33" t="str">
        <f>IFERROR(__xludf.DUMMYFUNCTION("""COMPUTED_VALUE"""),"永春四號")</f>
        <v>永春四號</v>
      </c>
      <c r="H33" s="106" t="str">
        <f t="shared" si="1"/>
        <v>2023-11</v>
      </c>
      <c r="I33" s="271" t="str">
        <f>IFERROR(__xludf.DUMMYFUNCTION("""COMPUTED_VALUE"""),"貓狗企鵝")</f>
        <v>貓狗企鵝</v>
      </c>
      <c r="J33" t="str">
        <f>IFERROR(__xludf.DUMMYFUNCTION("IFS(
  AND(REGEXMATCH(E33, ""台銀籌備帳戶|玉山帳戶""), REGEXMATCH(C33, ""薪資"")), ""分潤支出"",
  AND(REGEXMATCH(E33, ""Ben帳戶|Elsa帳戶|Ben代墊|Ariel代墊|中信銀行共用""), REGEXMATCH(F33, ""Ben帳戶|Elsa帳戶|Ben代墊|Ariel代墊|中信銀行共用"")), ""內部轉帳(忽略)"",
  AND(E33&lt;&gt;"""", F33&lt;&gt;"""", NOT(REGEXMATC"&amp;"H(C33, ""薪資""))), ""內部轉帳(忽略)"",
  REGEXMATCH(C33, ""薪資""), ""薪資變動(不計入)"",
  REGEXMATCH(C33, ""押金""), ""押金往來"",
  AND(E33&lt;&gt;"""", F33=""""), ""真實支出"",
  AND(E33="""", F33&lt;&gt;""""), ""真實收入"",
  TRUE, ""其他""
)"),"真實支出")</f>
        <v>真實支出</v>
      </c>
      <c r="K33" s="270">
        <f t="shared" si="2"/>
        <v>-26900</v>
      </c>
      <c r="L33">
        <f t="shared" si="3"/>
        <v>0</v>
      </c>
    </row>
    <row r="34">
      <c r="A34" s="107">
        <f>IFERROR(__xludf.DUMMYFUNCTION("""COMPUTED_VALUE"""),45239.0)</f>
        <v>45239</v>
      </c>
      <c r="B34" t="str">
        <f>IFERROR(__xludf.DUMMYFUNCTION("""COMPUTED_VALUE"""),"初始資金")</f>
        <v>初始資金</v>
      </c>
      <c r="C34" t="str">
        <f>IFERROR(__xludf.DUMMYFUNCTION("""COMPUTED_VALUE"""),"收入 - 其他")</f>
        <v>收入 - 其他</v>
      </c>
      <c r="D34" s="270">
        <f>IFERROR(__xludf.DUMMYFUNCTION("""COMPUTED_VALUE"""),-101000.0)</f>
        <v>-101000</v>
      </c>
      <c r="E34" t="str">
        <f>IFERROR(__xludf.DUMMYFUNCTION("""COMPUTED_VALUE"""),"Ben帳戶")</f>
        <v>Ben帳戶</v>
      </c>
      <c r="F34" t="str">
        <f>IFERROR(__xludf.DUMMYFUNCTION("""COMPUTED_VALUE"""),"台銀籌備帳戶")</f>
        <v>台銀籌備帳戶</v>
      </c>
      <c r="H34" s="106" t="str">
        <f t="shared" si="1"/>
        <v>2023-11</v>
      </c>
      <c r="I34" s="271" t="str">
        <f>IFERROR(__xludf.DUMMYFUNCTION("""COMPUTED_VALUE"""),"貓狗企鵝")</f>
        <v>貓狗企鵝</v>
      </c>
      <c r="J34" t="str">
        <f>IFERROR(__xludf.DUMMYFUNCTION("IFS(
  AND(REGEXMATCH(E34, ""台銀籌備帳戶|玉山帳戶""), REGEXMATCH(C34, ""薪資"")), ""分潤支出"",
  AND(REGEXMATCH(E34, ""Ben帳戶|Elsa帳戶|Ben代墊|Ariel代墊|中信銀行共用""), REGEXMATCH(F34, ""Ben帳戶|Elsa帳戶|Ben代墊|Ariel代墊|中信銀行共用"")), ""內部轉帳(忽略)"",
  AND(E34&lt;&gt;"""", F34&lt;&gt;"""", NOT(REGEXMATC"&amp;"H(C34, ""薪資""))), ""內部轉帳(忽略)"",
  REGEXMATCH(C34, ""薪資""), ""薪資變動(不計入)"",
  REGEXMATCH(C34, ""押金""), ""押金往來"",
  AND(E34&lt;&gt;"""", F34=""""), ""真實支出"",
  AND(E34="""", F34&lt;&gt;""""), ""真實收入"",
  TRUE, ""其他""
)"),"內部轉帳(忽略)")</f>
        <v>內部轉帳(忽略)</v>
      </c>
      <c r="K34">
        <f t="shared" si="2"/>
        <v>0</v>
      </c>
      <c r="L34">
        <f t="shared" si="3"/>
        <v>0</v>
      </c>
    </row>
    <row r="35">
      <c r="A35" s="107">
        <f>IFERROR(__xludf.DUMMYFUNCTION("""COMPUTED_VALUE"""),45245.0)</f>
        <v>45245</v>
      </c>
      <c r="B35" t="str">
        <f>IFERROR(__xludf.DUMMYFUNCTION("""COMPUTED_VALUE"""),"永春 A 訂金")</f>
        <v>永春 A 訂金</v>
      </c>
      <c r="C35" t="str">
        <f>IFERROR(__xludf.DUMMYFUNCTION("""COMPUTED_VALUE"""),"收入 - 租金")</f>
        <v>收入 - 租金</v>
      </c>
      <c r="D35" s="270">
        <f>IFERROR(__xludf.DUMMYFUNCTION("""COMPUTED_VALUE"""),8000.0)</f>
        <v>8000</v>
      </c>
      <c r="F35" t="str">
        <f>IFERROR(__xludf.DUMMYFUNCTION("""COMPUTED_VALUE"""),"Elsa帳戶")</f>
        <v>Elsa帳戶</v>
      </c>
      <c r="G35" t="str">
        <f>IFERROR(__xludf.DUMMYFUNCTION("""COMPUTED_VALUE"""),"永春四號")</f>
        <v>永春四號</v>
      </c>
      <c r="H35" s="106" t="str">
        <f t="shared" si="1"/>
        <v>2023-11</v>
      </c>
      <c r="I35" s="271" t="str">
        <f>IFERROR(__xludf.DUMMYFUNCTION("""COMPUTED_VALUE"""),"貓狗企鵝")</f>
        <v>貓狗企鵝</v>
      </c>
      <c r="J35" t="str">
        <f>IFERROR(__xludf.DUMMYFUNCTION("IFS(
  AND(REGEXMATCH(E35, ""台銀籌備帳戶|玉山帳戶""), REGEXMATCH(C35, ""薪資"")), ""分潤支出"",
  AND(REGEXMATCH(E35, ""Ben帳戶|Elsa帳戶|Ben代墊|Ariel代墊|中信銀行共用""), REGEXMATCH(F35, ""Ben帳戶|Elsa帳戶|Ben代墊|Ariel代墊|中信銀行共用"")), ""內部轉帳(忽略)"",
  AND(E35&lt;&gt;"""", F35&lt;&gt;"""", NOT(REGEXMATC"&amp;"H(C35, ""薪資""))), ""內部轉帳(忽略)"",
  REGEXMATCH(C35, ""薪資""), ""薪資變動(不計入)"",
  REGEXMATCH(C35, ""押金""), ""押金往來"",
  AND(E35&lt;&gt;"""", F35=""""), ""真實支出"",
  AND(E35="""", F35&lt;&gt;""""), ""真實收入"",
  TRUE, ""其他""
)"),"真實收入")</f>
        <v>真實收入</v>
      </c>
      <c r="K35" s="270">
        <f t="shared" si="2"/>
        <v>8000</v>
      </c>
      <c r="L35">
        <f t="shared" si="3"/>
        <v>0</v>
      </c>
    </row>
    <row r="36">
      <c r="A36" s="107">
        <f>IFERROR(__xludf.DUMMYFUNCTION("""COMPUTED_VALUE"""),45245.0)</f>
        <v>45245</v>
      </c>
      <c r="B36" t="str">
        <f>IFERROR(__xludf.DUMMYFUNCTION("""COMPUTED_VALUE"""),"永春 B 訂金")</f>
        <v>永春 B 訂金</v>
      </c>
      <c r="C36" t="str">
        <f>IFERROR(__xludf.DUMMYFUNCTION("""COMPUTED_VALUE"""),"收入 - 租金")</f>
        <v>收入 - 租金</v>
      </c>
      <c r="D36" s="270">
        <f>IFERROR(__xludf.DUMMYFUNCTION("""COMPUTED_VALUE"""),8000.0)</f>
        <v>8000</v>
      </c>
      <c r="F36" t="str">
        <f>IFERROR(__xludf.DUMMYFUNCTION("""COMPUTED_VALUE"""),"Elsa帳戶")</f>
        <v>Elsa帳戶</v>
      </c>
      <c r="G36" t="str">
        <f>IFERROR(__xludf.DUMMYFUNCTION("""COMPUTED_VALUE"""),"永春四號")</f>
        <v>永春四號</v>
      </c>
      <c r="H36" s="106" t="str">
        <f t="shared" si="1"/>
        <v>2023-11</v>
      </c>
      <c r="I36" s="271" t="str">
        <f>IFERROR(__xludf.DUMMYFUNCTION("""COMPUTED_VALUE"""),"貓狗企鵝")</f>
        <v>貓狗企鵝</v>
      </c>
      <c r="J36" t="str">
        <f>IFERROR(__xludf.DUMMYFUNCTION("IFS(
  AND(REGEXMATCH(E36, ""台銀籌備帳戶|玉山帳戶""), REGEXMATCH(C36, ""薪資"")), ""分潤支出"",
  AND(REGEXMATCH(E36, ""Ben帳戶|Elsa帳戶|Ben代墊|Ariel代墊|中信銀行共用""), REGEXMATCH(F36, ""Ben帳戶|Elsa帳戶|Ben代墊|Ariel代墊|中信銀行共用"")), ""內部轉帳(忽略)"",
  AND(E36&lt;&gt;"""", F36&lt;&gt;"""", NOT(REGEXMATC"&amp;"H(C36, ""薪資""))), ""內部轉帳(忽略)"",
  REGEXMATCH(C36, ""薪資""), ""薪資變動(不計入)"",
  REGEXMATCH(C36, ""押金""), ""押金往來"",
  AND(E36&lt;&gt;"""", F36=""""), ""真實支出"",
  AND(E36="""", F36&lt;&gt;""""), ""真實收入"",
  TRUE, ""其他""
)"),"真實收入")</f>
        <v>真實收入</v>
      </c>
      <c r="K36" s="270">
        <f t="shared" si="2"/>
        <v>8000</v>
      </c>
      <c r="L36">
        <f t="shared" si="3"/>
        <v>0</v>
      </c>
    </row>
    <row r="37">
      <c r="A37" s="107">
        <f>IFERROR(__xludf.DUMMYFUNCTION("""COMPUTED_VALUE"""),45245.0)</f>
        <v>45245</v>
      </c>
      <c r="B37" t="str">
        <f>IFERROR(__xludf.DUMMYFUNCTION("""COMPUTED_VALUE"""),"浴室蓮蓬頭")</f>
        <v>浴室蓮蓬頭</v>
      </c>
      <c r="C37" t="str">
        <f>IFERROR(__xludf.DUMMYFUNCTION("""COMPUTED_VALUE"""),"成本 - 進場前裝潢費")</f>
        <v>成本 - 進場前裝潢費</v>
      </c>
      <c r="D37" s="270">
        <f>IFERROR(__xludf.DUMMYFUNCTION("""COMPUTED_VALUE"""),-469.0)</f>
        <v>-469</v>
      </c>
      <c r="E37" t="str">
        <f>IFERROR(__xludf.DUMMYFUNCTION("""COMPUTED_VALUE"""),"Elsa帳戶")</f>
        <v>Elsa帳戶</v>
      </c>
      <c r="G37" t="str">
        <f>IFERROR(__xludf.DUMMYFUNCTION("""COMPUTED_VALUE"""),"永春四號")</f>
        <v>永春四號</v>
      </c>
      <c r="H37" s="106" t="str">
        <f t="shared" si="1"/>
        <v>2023-11</v>
      </c>
      <c r="I37" s="271" t="str">
        <f>IFERROR(__xludf.DUMMYFUNCTION("""COMPUTED_VALUE"""),"貓狗企鵝")</f>
        <v>貓狗企鵝</v>
      </c>
      <c r="J37" t="str">
        <f>IFERROR(__xludf.DUMMYFUNCTION("IFS(
  AND(REGEXMATCH(E37, ""台銀籌備帳戶|玉山帳戶""), REGEXMATCH(C37, ""薪資"")), ""分潤支出"",
  AND(REGEXMATCH(E37, ""Ben帳戶|Elsa帳戶|Ben代墊|Ariel代墊|中信銀行共用""), REGEXMATCH(F37, ""Ben帳戶|Elsa帳戶|Ben代墊|Ariel代墊|中信銀行共用"")), ""內部轉帳(忽略)"",
  AND(E37&lt;&gt;"""", F37&lt;&gt;"""", NOT(REGEXMATC"&amp;"H(C37, ""薪資""))), ""內部轉帳(忽略)"",
  REGEXMATCH(C37, ""薪資""), ""薪資變動(不計入)"",
  REGEXMATCH(C37, ""押金""), ""押金往來"",
  AND(E37&lt;&gt;"""", F37=""""), ""真實支出"",
  AND(E37="""", F37&lt;&gt;""""), ""真實收入"",
  TRUE, ""其他""
)"),"真實支出")</f>
        <v>真實支出</v>
      </c>
      <c r="K37" s="270">
        <f t="shared" si="2"/>
        <v>-469</v>
      </c>
      <c r="L37">
        <f t="shared" si="3"/>
        <v>0</v>
      </c>
    </row>
    <row r="38">
      <c r="A38" s="107">
        <f>IFERROR(__xludf.DUMMYFUNCTION("""COMPUTED_VALUE"""),45245.0)</f>
        <v>45245</v>
      </c>
      <c r="B38">
        <f>IFERROR(__xludf.DUMMYFUNCTION("""COMPUTED_VALUE"""),591.0)</f>
        <v>591</v>
      </c>
      <c r="C38" t="str">
        <f>IFERROR(__xludf.DUMMYFUNCTION("""COMPUTED_VALUE"""),"成本 - 進場前裝潢費")</f>
        <v>成本 - 進場前裝潢費</v>
      </c>
      <c r="D38" s="270">
        <f>IFERROR(__xludf.DUMMYFUNCTION("""COMPUTED_VALUE"""),-1289.0)</f>
        <v>-1289</v>
      </c>
      <c r="E38" t="str">
        <f>IFERROR(__xludf.DUMMYFUNCTION("""COMPUTED_VALUE"""),"Ben帳戶")</f>
        <v>Ben帳戶</v>
      </c>
      <c r="G38" t="str">
        <f>IFERROR(__xludf.DUMMYFUNCTION("""COMPUTED_VALUE"""),"永春四號")</f>
        <v>永春四號</v>
      </c>
      <c r="H38" s="106" t="str">
        <f t="shared" si="1"/>
        <v>2023-11</v>
      </c>
      <c r="I38" s="271" t="str">
        <f>IFERROR(__xludf.DUMMYFUNCTION("""COMPUTED_VALUE"""),"貓狗企鵝")</f>
        <v>貓狗企鵝</v>
      </c>
      <c r="J38" t="str">
        <f>IFERROR(__xludf.DUMMYFUNCTION("IFS(
  AND(REGEXMATCH(E38, ""台銀籌備帳戶|玉山帳戶""), REGEXMATCH(C38, ""薪資"")), ""分潤支出"",
  AND(REGEXMATCH(E38, ""Ben帳戶|Elsa帳戶|Ben代墊|Ariel代墊|中信銀行共用""), REGEXMATCH(F38, ""Ben帳戶|Elsa帳戶|Ben代墊|Ariel代墊|中信銀行共用"")), ""內部轉帳(忽略)"",
  AND(E38&lt;&gt;"""", F38&lt;&gt;"""", NOT(REGEXMATC"&amp;"H(C38, ""薪資""))), ""內部轉帳(忽略)"",
  REGEXMATCH(C38, ""薪資""), ""薪資變動(不計入)"",
  REGEXMATCH(C38, ""押金""), ""押金往來"",
  AND(E38&lt;&gt;"""", F38=""""), ""真實支出"",
  AND(E38="""", F38&lt;&gt;""""), ""真實收入"",
  TRUE, ""其他""
)"),"真實支出")</f>
        <v>真實支出</v>
      </c>
      <c r="K38" s="270">
        <f t="shared" si="2"/>
        <v>-1289</v>
      </c>
      <c r="L38">
        <f t="shared" si="3"/>
        <v>0</v>
      </c>
    </row>
    <row r="39">
      <c r="A39" s="107">
        <f>IFERROR(__xludf.DUMMYFUNCTION("""COMPUTED_VALUE"""),45249.0)</f>
        <v>45249</v>
      </c>
      <c r="B39" t="str">
        <f>IFERROR(__xludf.DUMMYFUNCTION("""COMPUTED_VALUE"""),"加壓馬達 范老闆")</f>
        <v>加壓馬達 范老闆</v>
      </c>
      <c r="C39" t="str">
        <f>IFERROR(__xludf.DUMMYFUNCTION("""COMPUTED_VALUE"""),"成本 - 進場前裝潢費")</f>
        <v>成本 - 進場前裝潢費</v>
      </c>
      <c r="D39" s="270">
        <f>IFERROR(__xludf.DUMMYFUNCTION("""COMPUTED_VALUE"""),-6000.0)</f>
        <v>-6000</v>
      </c>
      <c r="E39" t="str">
        <f>IFERROR(__xludf.DUMMYFUNCTION("""COMPUTED_VALUE"""),"Ben帳戶")</f>
        <v>Ben帳戶</v>
      </c>
      <c r="G39" t="str">
        <f>IFERROR(__xludf.DUMMYFUNCTION("""COMPUTED_VALUE"""),"永春四號")</f>
        <v>永春四號</v>
      </c>
      <c r="H39" s="106" t="str">
        <f t="shared" si="1"/>
        <v>2023-11</v>
      </c>
      <c r="I39" s="271" t="str">
        <f>IFERROR(__xludf.DUMMYFUNCTION("""COMPUTED_VALUE"""),"貓狗企鵝")</f>
        <v>貓狗企鵝</v>
      </c>
      <c r="J39" t="str">
        <f>IFERROR(__xludf.DUMMYFUNCTION("IFS(
  AND(REGEXMATCH(E39, ""台銀籌備帳戶|玉山帳戶""), REGEXMATCH(C39, ""薪資"")), ""分潤支出"",
  AND(REGEXMATCH(E39, ""Ben帳戶|Elsa帳戶|Ben代墊|Ariel代墊|中信銀行共用""), REGEXMATCH(F39, ""Ben帳戶|Elsa帳戶|Ben代墊|Ariel代墊|中信銀行共用"")), ""內部轉帳(忽略)"",
  AND(E39&lt;&gt;"""", F39&lt;&gt;"""", NOT(REGEXMATC"&amp;"H(C39, ""薪資""))), ""內部轉帳(忽略)"",
  REGEXMATCH(C39, ""薪資""), ""薪資變動(不計入)"",
  REGEXMATCH(C39, ""押金""), ""押金往來"",
  AND(E39&lt;&gt;"""", F39=""""), ""真實支出"",
  AND(E39="""", F39&lt;&gt;""""), ""真實收入"",
  TRUE, ""其他""
)"),"真實支出")</f>
        <v>真實支出</v>
      </c>
      <c r="K39" s="270">
        <f t="shared" si="2"/>
        <v>-6000</v>
      </c>
      <c r="L39">
        <f t="shared" si="3"/>
        <v>0</v>
      </c>
    </row>
    <row r="40">
      <c r="A40" s="107">
        <f>IFERROR(__xludf.DUMMYFUNCTION("""COMPUTED_VALUE"""),45249.0)</f>
        <v>45249</v>
      </c>
      <c r="B40" t="str">
        <f>IFERROR(__xludf.DUMMYFUNCTION("""COMPUTED_VALUE"""),"水費")</f>
        <v>水費</v>
      </c>
      <c r="C40" t="str">
        <f>IFERROR(__xludf.DUMMYFUNCTION("""COMPUTED_VALUE"""),"成本 - 進場前裝潢費")</f>
        <v>成本 - 進場前裝潢費</v>
      </c>
      <c r="D40" s="270">
        <f>IFERROR(__xludf.DUMMYFUNCTION("""COMPUTED_VALUE"""),-399.0)</f>
        <v>-399</v>
      </c>
      <c r="E40" t="str">
        <f>IFERROR(__xludf.DUMMYFUNCTION("""COMPUTED_VALUE"""),"Ben帳戶")</f>
        <v>Ben帳戶</v>
      </c>
      <c r="G40" t="str">
        <f>IFERROR(__xludf.DUMMYFUNCTION("""COMPUTED_VALUE"""),"永春四號")</f>
        <v>永春四號</v>
      </c>
      <c r="H40" s="106" t="str">
        <f t="shared" si="1"/>
        <v>2023-11</v>
      </c>
      <c r="I40" s="271" t="str">
        <f>IFERROR(__xludf.DUMMYFUNCTION("""COMPUTED_VALUE"""),"貓狗企鵝")</f>
        <v>貓狗企鵝</v>
      </c>
      <c r="J40" t="str">
        <f>IFERROR(__xludf.DUMMYFUNCTION("IFS(
  AND(REGEXMATCH(E40, ""台銀籌備帳戶|玉山帳戶""), REGEXMATCH(C40, ""薪資"")), ""分潤支出"",
  AND(REGEXMATCH(E40, ""Ben帳戶|Elsa帳戶|Ben代墊|Ariel代墊|中信銀行共用""), REGEXMATCH(F40, ""Ben帳戶|Elsa帳戶|Ben代墊|Ariel代墊|中信銀行共用"")), ""內部轉帳(忽略)"",
  AND(E40&lt;&gt;"""", F40&lt;&gt;"""", NOT(REGEXMATC"&amp;"H(C40, ""薪資""))), ""內部轉帳(忽略)"",
  REGEXMATCH(C40, ""薪資""), ""薪資變動(不計入)"",
  REGEXMATCH(C40, ""押金""), ""押金往來"",
  AND(E40&lt;&gt;"""", F40=""""), ""真實支出"",
  AND(E40="""", F40&lt;&gt;""""), ""真實收入"",
  TRUE, ""其他""
)"),"真實支出")</f>
        <v>真實支出</v>
      </c>
      <c r="K40" s="270">
        <f t="shared" si="2"/>
        <v>-399</v>
      </c>
      <c r="L40">
        <f t="shared" si="3"/>
        <v>0</v>
      </c>
    </row>
    <row r="41">
      <c r="A41" s="107">
        <f>IFERROR(__xludf.DUMMYFUNCTION("""COMPUTED_VALUE"""),45250.0)</f>
        <v>45250</v>
      </c>
      <c r="B41" t="str">
        <f>IFERROR(__xludf.DUMMYFUNCTION("""COMPUTED_VALUE"""),"永春 B")</f>
        <v>永春 B</v>
      </c>
      <c r="C41" t="str">
        <f>IFERROR(__xludf.DUMMYFUNCTION("""COMPUTED_VALUE"""),"收入 - 租金")</f>
        <v>收入 - 租金</v>
      </c>
      <c r="D41" s="270">
        <f>IFERROR(__xludf.DUMMYFUNCTION("""COMPUTED_VALUE"""),8000.0)</f>
        <v>8000</v>
      </c>
      <c r="F41" t="str">
        <f>IFERROR(__xludf.DUMMYFUNCTION("""COMPUTED_VALUE"""),"台銀籌備帳戶")</f>
        <v>台銀籌備帳戶</v>
      </c>
      <c r="G41" t="str">
        <f>IFERROR(__xludf.DUMMYFUNCTION("""COMPUTED_VALUE"""),"永春四號")</f>
        <v>永春四號</v>
      </c>
      <c r="H41" s="106" t="str">
        <f t="shared" si="1"/>
        <v>2023-11</v>
      </c>
      <c r="I41" s="271" t="str">
        <f>IFERROR(__xludf.DUMMYFUNCTION("""COMPUTED_VALUE"""),"貓狗企鵝")</f>
        <v>貓狗企鵝</v>
      </c>
      <c r="J41" t="str">
        <f>IFERROR(__xludf.DUMMYFUNCTION("IFS(
  AND(REGEXMATCH(E41, ""台銀籌備帳戶|玉山帳戶""), REGEXMATCH(C41, ""薪資"")), ""分潤支出"",
  AND(REGEXMATCH(E41, ""Ben帳戶|Elsa帳戶|Ben代墊|Ariel代墊|中信銀行共用""), REGEXMATCH(F41, ""Ben帳戶|Elsa帳戶|Ben代墊|Ariel代墊|中信銀行共用"")), ""內部轉帳(忽略)"",
  AND(E41&lt;&gt;"""", F41&lt;&gt;"""", NOT(REGEXMATC"&amp;"H(C41, ""薪資""))), ""內部轉帳(忽略)"",
  REGEXMATCH(C41, ""薪資""), ""薪資變動(不計入)"",
  REGEXMATCH(C41, ""押金""), ""押金往來"",
  AND(E41&lt;&gt;"""", F41=""""), ""真實支出"",
  AND(E41="""", F41&lt;&gt;""""), ""真實收入"",
  TRUE, ""其他""
)"),"真實收入")</f>
        <v>真實收入</v>
      </c>
      <c r="K41" s="270">
        <f t="shared" si="2"/>
        <v>8000</v>
      </c>
      <c r="L41">
        <f t="shared" si="3"/>
        <v>0</v>
      </c>
    </row>
    <row r="42">
      <c r="A42" s="107">
        <f>IFERROR(__xludf.DUMMYFUNCTION("""COMPUTED_VALUE"""),45256.0)</f>
        <v>45256</v>
      </c>
      <c r="B42" t="str">
        <f>IFERROR(__xludf.DUMMYFUNCTION("""COMPUTED_VALUE"""),"永春 B")</f>
        <v>永春 B</v>
      </c>
      <c r="C42" t="str">
        <f>IFERROR(__xludf.DUMMYFUNCTION("""COMPUTED_VALUE"""),"收入 - 押金")</f>
        <v>收入 - 押金</v>
      </c>
      <c r="D42" s="270">
        <f>IFERROR(__xludf.DUMMYFUNCTION("""COMPUTED_VALUE"""),27000.0)</f>
        <v>27000</v>
      </c>
      <c r="F42" t="str">
        <f>IFERROR(__xludf.DUMMYFUNCTION("""COMPUTED_VALUE"""),"台銀籌備帳戶")</f>
        <v>台銀籌備帳戶</v>
      </c>
      <c r="G42" t="str">
        <f>IFERROR(__xludf.DUMMYFUNCTION("""COMPUTED_VALUE"""),"永春四號")</f>
        <v>永春四號</v>
      </c>
      <c r="H42" s="106" t="str">
        <f t="shared" si="1"/>
        <v>2023-11</v>
      </c>
      <c r="I42" s="271" t="str">
        <f>IFERROR(__xludf.DUMMYFUNCTION("""COMPUTED_VALUE"""),"貓狗企鵝")</f>
        <v>貓狗企鵝</v>
      </c>
      <c r="J42" t="str">
        <f>IFERROR(__xludf.DUMMYFUNCTION("IFS(
  AND(REGEXMATCH(E42, ""台銀籌備帳戶|玉山帳戶""), REGEXMATCH(C42, ""薪資"")), ""分潤支出"",
  AND(REGEXMATCH(E42, ""Ben帳戶|Elsa帳戶|Ben代墊|Ariel代墊|中信銀行共用""), REGEXMATCH(F42, ""Ben帳戶|Elsa帳戶|Ben代墊|Ariel代墊|中信銀行共用"")), ""內部轉帳(忽略)"",
  AND(E42&lt;&gt;"""", F42&lt;&gt;"""", NOT(REGEXMATC"&amp;"H(C42, ""薪資""))), ""內部轉帳(忽略)"",
  REGEXMATCH(C42, ""薪資""), ""薪資變動(不計入)"",
  REGEXMATCH(C42, ""押金""), ""押金往來"",
  AND(E42&lt;&gt;"""", F42=""""), ""真實支出"",
  AND(E42="""", F42&lt;&gt;""""), ""真實收入"",
  TRUE, ""其他""
)"),"押金往來")</f>
        <v>押金往來</v>
      </c>
      <c r="K42">
        <f t="shared" si="2"/>
        <v>0</v>
      </c>
      <c r="L42">
        <f t="shared" si="3"/>
        <v>0</v>
      </c>
    </row>
    <row r="43">
      <c r="A43" s="107">
        <f>IFERROR(__xludf.DUMMYFUNCTION("""COMPUTED_VALUE"""),45256.0)</f>
        <v>45256</v>
      </c>
      <c r="B43" t="str">
        <f>IFERROR(__xludf.DUMMYFUNCTION("""COMPUTED_VALUE"""),"永春 B")</f>
        <v>永春 B</v>
      </c>
      <c r="C43" t="str">
        <f>IFERROR(__xludf.DUMMYFUNCTION("""COMPUTED_VALUE"""),"收入 - 租金")</f>
        <v>收入 - 租金</v>
      </c>
      <c r="D43" s="270">
        <f>IFERROR(__xludf.DUMMYFUNCTION("""COMPUTED_VALUE"""),5500.0)</f>
        <v>5500</v>
      </c>
      <c r="F43" t="str">
        <f>IFERROR(__xludf.DUMMYFUNCTION("""COMPUTED_VALUE"""),"台銀籌備帳戶")</f>
        <v>台銀籌備帳戶</v>
      </c>
      <c r="G43" t="str">
        <f>IFERROR(__xludf.DUMMYFUNCTION("""COMPUTED_VALUE"""),"永春四號")</f>
        <v>永春四號</v>
      </c>
      <c r="H43" s="106" t="str">
        <f t="shared" si="1"/>
        <v>2023-11</v>
      </c>
      <c r="I43" s="271" t="str">
        <f>IFERROR(__xludf.DUMMYFUNCTION("""COMPUTED_VALUE"""),"貓狗企鵝")</f>
        <v>貓狗企鵝</v>
      </c>
      <c r="J43" t="str">
        <f>IFERROR(__xludf.DUMMYFUNCTION("IFS(
  AND(REGEXMATCH(E43, ""台銀籌備帳戶|玉山帳戶""), REGEXMATCH(C43, ""薪資"")), ""分潤支出"",
  AND(REGEXMATCH(E43, ""Ben帳戶|Elsa帳戶|Ben代墊|Ariel代墊|中信銀行共用""), REGEXMATCH(F43, ""Ben帳戶|Elsa帳戶|Ben代墊|Ariel代墊|中信銀行共用"")), ""內部轉帳(忽略)"",
  AND(E43&lt;&gt;"""", F43&lt;&gt;"""", NOT(REGEXMATC"&amp;"H(C43, ""薪資""))), ""內部轉帳(忽略)"",
  REGEXMATCH(C43, ""薪資""), ""薪資變動(不計入)"",
  REGEXMATCH(C43, ""押金""), ""押金往來"",
  AND(E43&lt;&gt;"""", F43=""""), ""真實支出"",
  AND(E43="""", F43&lt;&gt;""""), ""真實收入"",
  TRUE, ""其他""
)"),"真實收入")</f>
        <v>真實收入</v>
      </c>
      <c r="K43" s="270">
        <f t="shared" si="2"/>
        <v>5500</v>
      </c>
      <c r="L43">
        <f t="shared" si="3"/>
        <v>0</v>
      </c>
    </row>
    <row r="44">
      <c r="A44" s="107">
        <f>IFERROR(__xludf.DUMMYFUNCTION("""COMPUTED_VALUE"""),45258.0)</f>
        <v>45258</v>
      </c>
      <c r="B44" t="str">
        <f>IFERROR(__xludf.DUMMYFUNCTION("""COMPUTED_VALUE"""),"龍江 定金")</f>
        <v>龍江 定金</v>
      </c>
      <c r="C44" t="str">
        <f>IFERROR(__xludf.DUMMYFUNCTION("""COMPUTED_VALUE"""),"成本 - 對屋主押金")</f>
        <v>成本 - 對屋主押金</v>
      </c>
      <c r="D44" s="270">
        <f>IFERROR(__xludf.DUMMYFUNCTION("""COMPUTED_VALUE"""),-5000.0)</f>
        <v>-5000</v>
      </c>
      <c r="E44" t="str">
        <f>IFERROR(__xludf.DUMMYFUNCTION("""COMPUTED_VALUE"""),"Ben帳戶")</f>
        <v>Ben帳戶</v>
      </c>
      <c r="G44" t="str">
        <f>IFERROR(__xludf.DUMMYFUNCTION("""COMPUTED_VALUE"""),"龍江229")</f>
        <v>龍江229</v>
      </c>
      <c r="H44" s="106" t="str">
        <f t="shared" si="1"/>
        <v>2023-11</v>
      </c>
      <c r="I44" s="271" t="str">
        <f>IFERROR(__xludf.DUMMYFUNCTION("""COMPUTED_VALUE"""),"貓狗企鵝")</f>
        <v>貓狗企鵝</v>
      </c>
      <c r="J44" t="str">
        <f>IFERROR(__xludf.DUMMYFUNCTION("IFS(
  AND(REGEXMATCH(E44, ""台銀籌備帳戶|玉山帳戶""), REGEXMATCH(C44, ""薪資"")), ""分潤支出"",
  AND(REGEXMATCH(E44, ""Ben帳戶|Elsa帳戶|Ben代墊|Ariel代墊|中信銀行共用""), REGEXMATCH(F44, ""Ben帳戶|Elsa帳戶|Ben代墊|Ariel代墊|中信銀行共用"")), ""內部轉帳(忽略)"",
  AND(E44&lt;&gt;"""", F44&lt;&gt;"""", NOT(REGEXMATC"&amp;"H(C44, ""薪資""))), ""內部轉帳(忽略)"",
  REGEXMATCH(C44, ""薪資""), ""薪資變動(不計入)"",
  REGEXMATCH(C44, ""押金""), ""押金往來"",
  AND(E44&lt;&gt;"""", F44=""""), ""真實支出"",
  AND(E44="""", F44&lt;&gt;""""), ""真實收入"",
  TRUE, ""其他""
)"),"押金往來")</f>
        <v>押金往來</v>
      </c>
      <c r="K44">
        <f t="shared" si="2"/>
        <v>0</v>
      </c>
      <c r="L44">
        <f t="shared" si="3"/>
        <v>0</v>
      </c>
    </row>
    <row r="45">
      <c r="A45" s="107">
        <f>IFERROR(__xludf.DUMMYFUNCTION("""COMPUTED_VALUE"""),45261.0)</f>
        <v>45261</v>
      </c>
      <c r="B45" t="str">
        <f>IFERROR(__xludf.DUMMYFUNCTION("""COMPUTED_VALUE"""),"永春 D")</f>
        <v>永春 D</v>
      </c>
      <c r="C45" t="str">
        <f>IFERROR(__xludf.DUMMYFUNCTION("""COMPUTED_VALUE"""),"收入 - 租金")</f>
        <v>收入 - 租金</v>
      </c>
      <c r="D45" s="270">
        <f>IFERROR(__xludf.DUMMYFUNCTION("""COMPUTED_VALUE"""),9071.0)</f>
        <v>9071</v>
      </c>
      <c r="F45" t="str">
        <f>IFERROR(__xludf.DUMMYFUNCTION("""COMPUTED_VALUE"""),"台銀籌備帳戶")</f>
        <v>台銀籌備帳戶</v>
      </c>
      <c r="G45" t="str">
        <f>IFERROR(__xludf.DUMMYFUNCTION("""COMPUTED_VALUE"""),"永春四號")</f>
        <v>永春四號</v>
      </c>
      <c r="H45" s="106" t="str">
        <f t="shared" si="1"/>
        <v>2023-12</v>
      </c>
      <c r="I45" s="271" t="str">
        <f>IFERROR(__xludf.DUMMYFUNCTION("""COMPUTED_VALUE"""),"貓狗企鵝")</f>
        <v>貓狗企鵝</v>
      </c>
      <c r="J45" t="str">
        <f>IFERROR(__xludf.DUMMYFUNCTION("IFS(
  AND(REGEXMATCH(E45, ""台銀籌備帳戶|玉山帳戶""), REGEXMATCH(C45, ""薪資"")), ""分潤支出"",
  AND(REGEXMATCH(E45, ""Ben帳戶|Elsa帳戶|Ben代墊|Ariel代墊|中信銀行共用""), REGEXMATCH(F45, ""Ben帳戶|Elsa帳戶|Ben代墊|Ariel代墊|中信銀行共用"")), ""內部轉帳(忽略)"",
  AND(E45&lt;&gt;"""", F45&lt;&gt;"""", NOT(REGEXMATC"&amp;"H(C45, ""薪資""))), ""內部轉帳(忽略)"",
  REGEXMATCH(C45, ""薪資""), ""薪資變動(不計入)"",
  REGEXMATCH(C45, ""押金""), ""押金往來"",
  AND(E45&lt;&gt;"""", F45=""""), ""真實支出"",
  AND(E45="""", F45&lt;&gt;""""), ""真實收入"",
  TRUE, ""其他""
)"),"真實收入")</f>
        <v>真實收入</v>
      </c>
      <c r="K45" s="270">
        <f t="shared" si="2"/>
        <v>9071</v>
      </c>
      <c r="L45">
        <f t="shared" si="3"/>
        <v>0</v>
      </c>
    </row>
    <row r="46">
      <c r="A46" s="107">
        <f>IFERROR(__xludf.DUMMYFUNCTION("""COMPUTED_VALUE"""),45261.0)</f>
        <v>45261</v>
      </c>
      <c r="B46" t="str">
        <f>IFERROR(__xludf.DUMMYFUNCTION("""COMPUTED_VALUE"""),"永春 大租金 a")</f>
        <v>永春 大租金 a</v>
      </c>
      <c r="C46" t="str">
        <f>IFERROR(__xludf.DUMMYFUNCTION("""COMPUTED_VALUE"""),"成本 - 大租金")</f>
        <v>成本 - 大租金</v>
      </c>
      <c r="D46" s="270">
        <f>IFERROR(__xludf.DUMMYFUNCTION("""COMPUTED_VALUE"""),-10420.0)</f>
        <v>-10420</v>
      </c>
      <c r="E46" t="str">
        <f>IFERROR(__xludf.DUMMYFUNCTION("""COMPUTED_VALUE"""),"Ben帳戶")</f>
        <v>Ben帳戶</v>
      </c>
      <c r="G46" t="str">
        <f>IFERROR(__xludf.DUMMYFUNCTION("""COMPUTED_VALUE"""),"永春四號")</f>
        <v>永春四號</v>
      </c>
      <c r="H46" s="106" t="str">
        <f t="shared" si="1"/>
        <v>2023-12</v>
      </c>
      <c r="I46" s="271" t="str">
        <f>IFERROR(__xludf.DUMMYFUNCTION("""COMPUTED_VALUE"""),"貓狗企鵝")</f>
        <v>貓狗企鵝</v>
      </c>
      <c r="J46" t="str">
        <f>IFERROR(__xludf.DUMMYFUNCTION("IFS(
  AND(REGEXMATCH(E46, ""台銀籌備帳戶|玉山帳戶""), REGEXMATCH(C46, ""薪資"")), ""分潤支出"",
  AND(REGEXMATCH(E46, ""Ben帳戶|Elsa帳戶|Ben代墊|Ariel代墊|中信銀行共用""), REGEXMATCH(F46, ""Ben帳戶|Elsa帳戶|Ben代墊|Ariel代墊|中信銀行共用"")), ""內部轉帳(忽略)"",
  AND(E46&lt;&gt;"""", F46&lt;&gt;"""", NOT(REGEXMATC"&amp;"H(C46, ""薪資""))), ""內部轉帳(忽略)"",
  REGEXMATCH(C46, ""薪資""), ""薪資變動(不計入)"",
  REGEXMATCH(C46, ""押金""), ""押金往來"",
  AND(E46&lt;&gt;"""", F46=""""), ""真實支出"",
  AND(E46="""", F46&lt;&gt;""""), ""真實收入"",
  TRUE, ""其他""
)"),"真實支出")</f>
        <v>真實支出</v>
      </c>
      <c r="K46" s="270">
        <f t="shared" si="2"/>
        <v>-10420</v>
      </c>
      <c r="L46">
        <f t="shared" si="3"/>
        <v>0</v>
      </c>
    </row>
    <row r="47">
      <c r="A47" s="107">
        <f>IFERROR(__xludf.DUMMYFUNCTION("""COMPUTED_VALUE"""),45261.0)</f>
        <v>45261</v>
      </c>
      <c r="B47" t="str">
        <f>IFERROR(__xludf.DUMMYFUNCTION("""COMPUTED_VALUE"""),"永春 大租金 b")</f>
        <v>永春 大租金 b</v>
      </c>
      <c r="C47" t="str">
        <f>IFERROR(__xludf.DUMMYFUNCTION("""COMPUTED_VALUE"""),"成本 - 大租金")</f>
        <v>成本 - 大租金</v>
      </c>
      <c r="D47" s="270">
        <f>IFERROR(__xludf.DUMMYFUNCTION("""COMPUTED_VALUE"""),-10420.0)</f>
        <v>-10420</v>
      </c>
      <c r="E47" t="str">
        <f>IFERROR(__xludf.DUMMYFUNCTION("""COMPUTED_VALUE"""),"Ben帳戶")</f>
        <v>Ben帳戶</v>
      </c>
      <c r="G47" t="str">
        <f>IFERROR(__xludf.DUMMYFUNCTION("""COMPUTED_VALUE"""),"永春四號")</f>
        <v>永春四號</v>
      </c>
      <c r="H47" s="106" t="str">
        <f t="shared" si="1"/>
        <v>2023-12</v>
      </c>
      <c r="I47" s="271" t="str">
        <f>IFERROR(__xludf.DUMMYFUNCTION("""COMPUTED_VALUE"""),"貓狗企鵝")</f>
        <v>貓狗企鵝</v>
      </c>
      <c r="J47" t="str">
        <f>IFERROR(__xludf.DUMMYFUNCTION("IFS(
  AND(REGEXMATCH(E47, ""台銀籌備帳戶|玉山帳戶""), REGEXMATCH(C47, ""薪資"")), ""分潤支出"",
  AND(REGEXMATCH(E47, ""Ben帳戶|Elsa帳戶|Ben代墊|Ariel代墊|中信銀行共用""), REGEXMATCH(F47, ""Ben帳戶|Elsa帳戶|Ben代墊|Ariel代墊|中信銀行共用"")), ""內部轉帳(忽略)"",
  AND(E47&lt;&gt;"""", F47&lt;&gt;"""", NOT(REGEXMATC"&amp;"H(C47, ""薪資""))), ""內部轉帳(忽略)"",
  REGEXMATCH(C47, ""薪資""), ""薪資變動(不計入)"",
  REGEXMATCH(C47, ""押金""), ""押金往來"",
  AND(E47&lt;&gt;"""", F47=""""), ""真實支出"",
  AND(E47="""", F47&lt;&gt;""""), ""真實收入"",
  TRUE, ""其他""
)"),"真實支出")</f>
        <v>真實支出</v>
      </c>
      <c r="K47" s="270">
        <f t="shared" si="2"/>
        <v>-10420</v>
      </c>
      <c r="L47">
        <f t="shared" si="3"/>
        <v>0</v>
      </c>
    </row>
    <row r="48">
      <c r="A48" s="107">
        <f>IFERROR(__xludf.DUMMYFUNCTION("""COMPUTED_VALUE"""),45262.0)</f>
        <v>45262</v>
      </c>
      <c r="B48" t="str">
        <f>IFERROR(__xludf.DUMMYFUNCTION("""COMPUTED_VALUE"""),"永春 C 多繳租金 退費")</f>
        <v>永春 C 多繳租金 退費</v>
      </c>
      <c r="C48" t="str">
        <f>IFERROR(__xludf.DUMMYFUNCTION("""COMPUTED_VALUE"""),"收入 - 租金")</f>
        <v>收入 - 租金</v>
      </c>
      <c r="D48" s="270">
        <f>IFERROR(__xludf.DUMMYFUNCTION("""COMPUTED_VALUE"""),-3861.0)</f>
        <v>-3861</v>
      </c>
      <c r="E48" t="str">
        <f>IFERROR(__xludf.DUMMYFUNCTION("""COMPUTED_VALUE"""),"Ben帳戶")</f>
        <v>Ben帳戶</v>
      </c>
      <c r="G48" t="str">
        <f>IFERROR(__xludf.DUMMYFUNCTION("""COMPUTED_VALUE"""),"永春四號")</f>
        <v>永春四號</v>
      </c>
      <c r="H48" s="106" t="str">
        <f t="shared" si="1"/>
        <v>2023-12</v>
      </c>
      <c r="I48" s="271" t="str">
        <f>IFERROR(__xludf.DUMMYFUNCTION("""COMPUTED_VALUE"""),"貓狗企鵝")</f>
        <v>貓狗企鵝</v>
      </c>
      <c r="J48" t="str">
        <f>IFERROR(__xludf.DUMMYFUNCTION("IFS(
  AND(REGEXMATCH(E48, ""台銀籌備帳戶|玉山帳戶""), REGEXMATCH(C48, ""薪資"")), ""分潤支出"",
  AND(REGEXMATCH(E48, ""Ben帳戶|Elsa帳戶|Ben代墊|Ariel代墊|中信銀行共用""), REGEXMATCH(F48, ""Ben帳戶|Elsa帳戶|Ben代墊|Ariel代墊|中信銀行共用"")), ""內部轉帳(忽略)"",
  AND(E48&lt;&gt;"""", F48&lt;&gt;"""", NOT(REGEXMATC"&amp;"H(C48, ""薪資""))), ""內部轉帳(忽略)"",
  REGEXMATCH(C48, ""薪資""), ""薪資變動(不計入)"",
  REGEXMATCH(C48, ""押金""), ""押金往來"",
  AND(E48&lt;&gt;"""", F48=""""), ""真實支出"",
  AND(E48="""", F48&lt;&gt;""""), ""真實收入"",
  TRUE, ""其他""
)"),"真實支出")</f>
        <v>真實支出</v>
      </c>
      <c r="K48" s="270">
        <f t="shared" si="2"/>
        <v>-3861</v>
      </c>
      <c r="L48">
        <f t="shared" si="3"/>
        <v>0</v>
      </c>
    </row>
    <row r="49">
      <c r="A49" s="107">
        <f>IFERROR(__xludf.DUMMYFUNCTION("""COMPUTED_VALUE"""),45262.0)</f>
        <v>45262</v>
      </c>
      <c r="B49" t="str">
        <f>IFERROR(__xludf.DUMMYFUNCTION("""COMPUTED_VALUE"""),"永春 C")</f>
        <v>永春 C</v>
      </c>
      <c r="C49" t="str">
        <f>IFERROR(__xludf.DUMMYFUNCTION("""COMPUTED_VALUE"""),"收入 - 租金")</f>
        <v>收入 - 租金</v>
      </c>
      <c r="D49" s="270">
        <f>IFERROR(__xludf.DUMMYFUNCTION("""COMPUTED_VALUE"""),13300.0)</f>
        <v>13300</v>
      </c>
      <c r="F49" t="str">
        <f>IFERROR(__xludf.DUMMYFUNCTION("""COMPUTED_VALUE"""),"台銀籌備帳戶")</f>
        <v>台銀籌備帳戶</v>
      </c>
      <c r="G49" t="str">
        <f>IFERROR(__xludf.DUMMYFUNCTION("""COMPUTED_VALUE"""),"永春四號")</f>
        <v>永春四號</v>
      </c>
      <c r="H49" s="106" t="str">
        <f t="shared" si="1"/>
        <v>2023-12</v>
      </c>
      <c r="I49" s="271" t="str">
        <f>IFERROR(__xludf.DUMMYFUNCTION("""COMPUTED_VALUE"""),"貓狗企鵝")</f>
        <v>貓狗企鵝</v>
      </c>
      <c r="J49" t="str">
        <f>IFERROR(__xludf.DUMMYFUNCTION("IFS(
  AND(REGEXMATCH(E49, ""台銀籌備帳戶|玉山帳戶""), REGEXMATCH(C49, ""薪資"")), ""分潤支出"",
  AND(REGEXMATCH(E49, ""Ben帳戶|Elsa帳戶|Ben代墊|Ariel代墊|中信銀行共用""), REGEXMATCH(F49, ""Ben帳戶|Elsa帳戶|Ben代墊|Ariel代墊|中信銀行共用"")), ""內部轉帳(忽略)"",
  AND(E49&lt;&gt;"""", F49&lt;&gt;"""", NOT(REGEXMATC"&amp;"H(C49, ""薪資""))), ""內部轉帳(忽略)"",
  REGEXMATCH(C49, ""薪資""), ""薪資變動(不計入)"",
  REGEXMATCH(C49, ""押金""), ""押金往來"",
  AND(E49&lt;&gt;"""", F49=""""), ""真實支出"",
  AND(E49="""", F49&lt;&gt;""""), ""真實收入"",
  TRUE, ""其他""
)"),"真實收入")</f>
        <v>真實收入</v>
      </c>
      <c r="K49" s="270">
        <f t="shared" si="2"/>
        <v>13300</v>
      </c>
      <c r="L49">
        <f t="shared" si="3"/>
        <v>0</v>
      </c>
    </row>
    <row r="50">
      <c r="A50" s="107">
        <f>IFERROR(__xludf.DUMMYFUNCTION("""COMPUTED_VALUE"""),45262.0)</f>
        <v>45262</v>
      </c>
      <c r="B50" t="str">
        <f>IFERROR(__xludf.DUMMYFUNCTION("""COMPUTED_VALUE"""),"沖帳")</f>
        <v>沖帳</v>
      </c>
      <c r="C50" t="str">
        <f>IFERROR(__xludf.DUMMYFUNCTION("""COMPUTED_VALUE"""),"收入 - 其他")</f>
        <v>收入 - 其他</v>
      </c>
      <c r="D50" s="270">
        <f>IFERROR(__xludf.DUMMYFUNCTION("""COMPUTED_VALUE"""),647.0)</f>
        <v>647</v>
      </c>
      <c r="F50" t="str">
        <f>IFERROR(__xludf.DUMMYFUNCTION("""COMPUTED_VALUE"""),"台銀籌備帳戶")</f>
        <v>台銀籌備帳戶</v>
      </c>
      <c r="H50" s="106" t="str">
        <f t="shared" si="1"/>
        <v>2023-12</v>
      </c>
      <c r="I50" s="271" t="str">
        <f>IFERROR(__xludf.DUMMYFUNCTION("""COMPUTED_VALUE"""),"貓狗企鵝")</f>
        <v>貓狗企鵝</v>
      </c>
      <c r="J50" t="str">
        <f>IFERROR(__xludf.DUMMYFUNCTION("IFS(
  AND(REGEXMATCH(E50, ""台銀籌備帳戶|玉山帳戶""), REGEXMATCH(C50, ""薪資"")), ""分潤支出"",
  AND(REGEXMATCH(E50, ""Ben帳戶|Elsa帳戶|Ben代墊|Ariel代墊|中信銀行共用""), REGEXMATCH(F50, ""Ben帳戶|Elsa帳戶|Ben代墊|Ariel代墊|中信銀行共用"")), ""內部轉帳(忽略)"",
  AND(E50&lt;&gt;"""", F50&lt;&gt;"""", NOT(REGEXMATC"&amp;"H(C50, ""薪資""))), ""內部轉帳(忽略)"",
  REGEXMATCH(C50, ""薪資""), ""薪資變動(不計入)"",
  REGEXMATCH(C50, ""押金""), ""押金往來"",
  AND(E50&lt;&gt;"""", F50=""""), ""真實支出"",
  AND(E50="""", F50&lt;&gt;""""), ""真實收入"",
  TRUE, ""其他""
)"),"真實收入")</f>
        <v>真實收入</v>
      </c>
      <c r="K50" s="270">
        <f t="shared" si="2"/>
        <v>647</v>
      </c>
      <c r="L50">
        <f t="shared" si="3"/>
        <v>0</v>
      </c>
    </row>
    <row r="51">
      <c r="A51" s="107">
        <f>IFERROR(__xludf.DUMMYFUNCTION("""COMPUTED_VALUE"""),45264.0)</f>
        <v>45264</v>
      </c>
      <c r="B51" t="str">
        <f>IFERROR(__xludf.DUMMYFUNCTION("""COMPUTED_VALUE"""),"龍江 退定金")</f>
        <v>龍江 退定金</v>
      </c>
      <c r="C51" t="str">
        <f>IFERROR(__xludf.DUMMYFUNCTION("""COMPUTED_VALUE"""),"成本 - 對屋主押金")</f>
        <v>成本 - 對屋主押金</v>
      </c>
      <c r="D51" s="270">
        <f>IFERROR(__xludf.DUMMYFUNCTION("""COMPUTED_VALUE"""),8270.0)</f>
        <v>8270</v>
      </c>
      <c r="F51" t="str">
        <f>IFERROR(__xludf.DUMMYFUNCTION("""COMPUTED_VALUE"""),"Ben帳戶")</f>
        <v>Ben帳戶</v>
      </c>
      <c r="G51" t="str">
        <f>IFERROR(__xludf.DUMMYFUNCTION("""COMPUTED_VALUE"""),"龍江229")</f>
        <v>龍江229</v>
      </c>
      <c r="H51" s="106" t="str">
        <f t="shared" si="1"/>
        <v>2023-12</v>
      </c>
      <c r="I51" s="271" t="str">
        <f>IFERROR(__xludf.DUMMYFUNCTION("""COMPUTED_VALUE"""),"貓狗企鵝")</f>
        <v>貓狗企鵝</v>
      </c>
      <c r="J51" t="str">
        <f>IFERROR(__xludf.DUMMYFUNCTION("IFS(
  AND(REGEXMATCH(E51, ""台銀籌備帳戶|玉山帳戶""), REGEXMATCH(C51, ""薪資"")), ""分潤支出"",
  AND(REGEXMATCH(E51, ""Ben帳戶|Elsa帳戶|Ben代墊|Ariel代墊|中信銀行共用""), REGEXMATCH(F51, ""Ben帳戶|Elsa帳戶|Ben代墊|Ariel代墊|中信銀行共用"")), ""內部轉帳(忽略)"",
  AND(E51&lt;&gt;"""", F51&lt;&gt;"""", NOT(REGEXMATC"&amp;"H(C51, ""薪資""))), ""內部轉帳(忽略)"",
  REGEXMATCH(C51, ""薪資""), ""薪資變動(不計入)"",
  REGEXMATCH(C51, ""押金""), ""押金往來"",
  AND(E51&lt;&gt;"""", F51=""""), ""真實支出"",
  AND(E51="""", F51&lt;&gt;""""), ""真實收入"",
  TRUE, ""其他""
)"),"押金往來")</f>
        <v>押金往來</v>
      </c>
      <c r="K51">
        <f t="shared" si="2"/>
        <v>0</v>
      </c>
      <c r="L51">
        <f t="shared" si="3"/>
        <v>0</v>
      </c>
    </row>
    <row r="52">
      <c r="A52" s="107">
        <f>IFERROR(__xludf.DUMMYFUNCTION("""COMPUTED_VALUE"""),45264.0)</f>
        <v>45264</v>
      </c>
      <c r="B52" t="str">
        <f>IFERROR(__xludf.DUMMYFUNCTION("""COMPUTED_VALUE"""),"龍江 簽約金")</f>
        <v>龍江 簽約金</v>
      </c>
      <c r="C52" t="str">
        <f>IFERROR(__xludf.DUMMYFUNCTION("""COMPUTED_VALUE"""),"成本 - 大租金")</f>
        <v>成本 - 大租金</v>
      </c>
      <c r="D52" s="270">
        <f>IFERROR(__xludf.DUMMYFUNCTION("""COMPUTED_VALUE"""),-27000.0)</f>
        <v>-27000</v>
      </c>
      <c r="E52" t="str">
        <f>IFERROR(__xludf.DUMMYFUNCTION("""COMPUTED_VALUE"""),"Elsa帳戶")</f>
        <v>Elsa帳戶</v>
      </c>
      <c r="G52" t="str">
        <f>IFERROR(__xludf.DUMMYFUNCTION("""COMPUTED_VALUE"""),"龍江229")</f>
        <v>龍江229</v>
      </c>
      <c r="H52" s="106" t="str">
        <f t="shared" si="1"/>
        <v>2023-12</v>
      </c>
      <c r="I52" s="271" t="str">
        <f>IFERROR(__xludf.DUMMYFUNCTION("""COMPUTED_VALUE"""),"貓狗企鵝")</f>
        <v>貓狗企鵝</v>
      </c>
      <c r="J52" t="str">
        <f>IFERROR(__xludf.DUMMYFUNCTION("IFS(
  AND(REGEXMATCH(E52, ""台銀籌備帳戶|玉山帳戶""), REGEXMATCH(C52, ""薪資"")), ""分潤支出"",
  AND(REGEXMATCH(E52, ""Ben帳戶|Elsa帳戶|Ben代墊|Ariel代墊|中信銀行共用""), REGEXMATCH(F52, ""Ben帳戶|Elsa帳戶|Ben代墊|Ariel代墊|中信銀行共用"")), ""內部轉帳(忽略)"",
  AND(E52&lt;&gt;"""", F52&lt;&gt;"""", NOT(REGEXMATC"&amp;"H(C52, ""薪資""))), ""內部轉帳(忽略)"",
  REGEXMATCH(C52, ""薪資""), ""薪資變動(不計入)"",
  REGEXMATCH(C52, ""押金""), ""押金往來"",
  AND(E52&lt;&gt;"""", F52=""""), ""真實支出"",
  AND(E52="""", F52&lt;&gt;""""), ""真實收入"",
  TRUE, ""其他""
)"),"真實支出")</f>
        <v>真實支出</v>
      </c>
      <c r="K52" s="270">
        <f t="shared" si="2"/>
        <v>-27000</v>
      </c>
      <c r="L52">
        <f t="shared" si="3"/>
        <v>0</v>
      </c>
    </row>
    <row r="53">
      <c r="A53" s="107">
        <f>IFERROR(__xludf.DUMMYFUNCTION("""COMPUTED_VALUE"""),45264.0)</f>
        <v>45264</v>
      </c>
      <c r="B53" t="str">
        <f>IFERROR(__xludf.DUMMYFUNCTION("""COMPUTED_VALUE"""),"龍江 押金")</f>
        <v>龍江 押金</v>
      </c>
      <c r="C53" t="str">
        <f>IFERROR(__xludf.DUMMYFUNCTION("""COMPUTED_VALUE"""),"成本 - 對屋主押金")</f>
        <v>成本 - 對屋主押金</v>
      </c>
      <c r="D53" s="270">
        <f>IFERROR(__xludf.DUMMYFUNCTION("""COMPUTED_VALUE"""),-54000.0)</f>
        <v>-54000</v>
      </c>
      <c r="E53" t="str">
        <f>IFERROR(__xludf.DUMMYFUNCTION("""COMPUTED_VALUE"""),"Elsa帳戶")</f>
        <v>Elsa帳戶</v>
      </c>
      <c r="G53" t="str">
        <f>IFERROR(__xludf.DUMMYFUNCTION("""COMPUTED_VALUE"""),"龍江229")</f>
        <v>龍江229</v>
      </c>
      <c r="H53" s="106" t="str">
        <f t="shared" si="1"/>
        <v>2023-12</v>
      </c>
      <c r="I53" s="271" t="str">
        <f>IFERROR(__xludf.DUMMYFUNCTION("""COMPUTED_VALUE"""),"貓狗企鵝")</f>
        <v>貓狗企鵝</v>
      </c>
      <c r="J53" t="str">
        <f>IFERROR(__xludf.DUMMYFUNCTION("IFS(
  AND(REGEXMATCH(E53, ""台銀籌備帳戶|玉山帳戶""), REGEXMATCH(C53, ""薪資"")), ""分潤支出"",
  AND(REGEXMATCH(E53, ""Ben帳戶|Elsa帳戶|Ben代墊|Ariel代墊|中信銀行共用""), REGEXMATCH(F53, ""Ben帳戶|Elsa帳戶|Ben代墊|Ariel代墊|中信銀行共用"")), ""內部轉帳(忽略)"",
  AND(E53&lt;&gt;"""", F53&lt;&gt;"""", NOT(REGEXMATC"&amp;"H(C53, ""薪資""))), ""內部轉帳(忽略)"",
  REGEXMATCH(C53, ""薪資""), ""薪資變動(不計入)"",
  REGEXMATCH(C53, ""押金""), ""押金往來"",
  AND(E53&lt;&gt;"""", F53=""""), ""真實支出"",
  AND(E53="""", F53&lt;&gt;""""), ""真實收入"",
  TRUE, ""其他""
)"),"押金往來")</f>
        <v>押金往來</v>
      </c>
      <c r="K53">
        <f t="shared" si="2"/>
        <v>0</v>
      </c>
      <c r="L53">
        <f t="shared" si="3"/>
        <v>0</v>
      </c>
    </row>
    <row r="54">
      <c r="A54" s="107">
        <f>IFERROR(__xludf.DUMMYFUNCTION("""COMPUTED_VALUE"""),45266.0)</f>
        <v>45266</v>
      </c>
      <c r="B54" t="str">
        <f>IFERROR(__xludf.DUMMYFUNCTION("""COMPUTED_VALUE"""),"龍江 簽約金(補600元")</f>
        <v>龍江 簽約金(補600元</v>
      </c>
      <c r="C54" t="str">
        <f>IFERROR(__xludf.DUMMYFUNCTION("""COMPUTED_VALUE"""),"成本 - 大租金")</f>
        <v>成本 - 大租金</v>
      </c>
      <c r="D54" s="270">
        <f>IFERROR(__xludf.DUMMYFUNCTION("""COMPUTED_VALUE"""),-600.0)</f>
        <v>-600</v>
      </c>
      <c r="E54" t="str">
        <f>IFERROR(__xludf.DUMMYFUNCTION("""COMPUTED_VALUE"""),"Ben帳戶")</f>
        <v>Ben帳戶</v>
      </c>
      <c r="G54" t="str">
        <f>IFERROR(__xludf.DUMMYFUNCTION("""COMPUTED_VALUE"""),"龍江229")</f>
        <v>龍江229</v>
      </c>
      <c r="H54" s="106" t="str">
        <f t="shared" si="1"/>
        <v>2023-12</v>
      </c>
      <c r="I54" s="271" t="str">
        <f>IFERROR(__xludf.DUMMYFUNCTION("""COMPUTED_VALUE"""),"貓狗企鵝")</f>
        <v>貓狗企鵝</v>
      </c>
      <c r="J54" t="str">
        <f>IFERROR(__xludf.DUMMYFUNCTION("IFS(
  AND(REGEXMATCH(E54, ""台銀籌備帳戶|玉山帳戶""), REGEXMATCH(C54, ""薪資"")), ""分潤支出"",
  AND(REGEXMATCH(E54, ""Ben帳戶|Elsa帳戶|Ben代墊|Ariel代墊|中信銀行共用""), REGEXMATCH(F54, ""Ben帳戶|Elsa帳戶|Ben代墊|Ariel代墊|中信銀行共用"")), ""內部轉帳(忽略)"",
  AND(E54&lt;&gt;"""", F54&lt;&gt;"""", NOT(REGEXMATC"&amp;"H(C54, ""薪資""))), ""內部轉帳(忽略)"",
  REGEXMATCH(C54, ""薪資""), ""薪資變動(不計入)"",
  REGEXMATCH(C54, ""押金""), ""押金往來"",
  AND(E54&lt;&gt;"""", F54=""""), ""真實支出"",
  AND(E54="""", F54&lt;&gt;""""), ""真實收入"",
  TRUE, ""其他""
)"),"真實支出")</f>
        <v>真實支出</v>
      </c>
      <c r="K54" s="270">
        <f t="shared" si="2"/>
        <v>-600</v>
      </c>
      <c r="L54">
        <f t="shared" si="3"/>
        <v>0</v>
      </c>
    </row>
    <row r="55">
      <c r="A55" s="107">
        <f>IFERROR(__xludf.DUMMYFUNCTION("""COMPUTED_VALUE"""),45266.0)</f>
        <v>45266</v>
      </c>
      <c r="B55" t="str">
        <f>IFERROR(__xludf.DUMMYFUNCTION("""COMPUTED_VALUE"""),"龍江 租扣二代")</f>
        <v>龍江 租扣二代</v>
      </c>
      <c r="C55" t="str">
        <f>IFERROR(__xludf.DUMMYFUNCTION("""COMPUTED_VALUE"""),"成本 - 大租金")</f>
        <v>成本 - 大租金</v>
      </c>
      <c r="D55" s="270">
        <f>IFERROR(__xludf.DUMMYFUNCTION("""COMPUTED_VALUE"""),-2670.0)</f>
        <v>-2670</v>
      </c>
      <c r="E55" t="str">
        <f>IFERROR(__xludf.DUMMYFUNCTION("""COMPUTED_VALUE"""),"Ben帳戶")</f>
        <v>Ben帳戶</v>
      </c>
      <c r="G55" t="str">
        <f>IFERROR(__xludf.DUMMYFUNCTION("""COMPUTED_VALUE"""),"龍江229")</f>
        <v>龍江229</v>
      </c>
      <c r="H55" s="106" t="str">
        <f t="shared" si="1"/>
        <v>2023-12</v>
      </c>
      <c r="I55" s="271" t="str">
        <f>IFERROR(__xludf.DUMMYFUNCTION("""COMPUTED_VALUE"""),"貓狗企鵝")</f>
        <v>貓狗企鵝</v>
      </c>
      <c r="J55" t="str">
        <f>IFERROR(__xludf.DUMMYFUNCTION("IFS(
  AND(REGEXMATCH(E55, ""台銀籌備帳戶|玉山帳戶""), REGEXMATCH(C55, ""薪資"")), ""分潤支出"",
  AND(REGEXMATCH(E55, ""Ben帳戶|Elsa帳戶|Ben代墊|Ariel代墊|中信銀行共用""), REGEXMATCH(F55, ""Ben帳戶|Elsa帳戶|Ben代墊|Ariel代墊|中信銀行共用"")), ""內部轉帳(忽略)"",
  AND(E55&lt;&gt;"""", F55&lt;&gt;"""", NOT(REGEXMATC"&amp;"H(C55, ""薪資""))), ""內部轉帳(忽略)"",
  REGEXMATCH(C55, ""薪資""), ""薪資變動(不計入)"",
  REGEXMATCH(C55, ""押金""), ""押金往來"",
  AND(E55&lt;&gt;"""", F55=""""), ""真實支出"",
  AND(E55="""", F55&lt;&gt;""""), ""真實收入"",
  TRUE, ""其他""
)"),"真實支出")</f>
        <v>真實支出</v>
      </c>
      <c r="K55" s="270">
        <f t="shared" si="2"/>
        <v>-2670</v>
      </c>
      <c r="L55">
        <f t="shared" si="3"/>
        <v>0</v>
      </c>
    </row>
    <row r="56">
      <c r="A56" s="107">
        <f>IFERROR(__xludf.DUMMYFUNCTION("""COMPUTED_VALUE"""),45267.0)</f>
        <v>45267</v>
      </c>
      <c r="B56" t="str">
        <f>IFERROR(__xludf.DUMMYFUNCTION("""COMPUTED_VALUE"""),"龍江 淘寶 設計費")</f>
        <v>龍江 淘寶 設計費</v>
      </c>
      <c r="C56" t="str">
        <f>IFERROR(__xludf.DUMMYFUNCTION("""COMPUTED_VALUE"""),"成本 - 進場前裝潢費")</f>
        <v>成本 - 進場前裝潢費</v>
      </c>
      <c r="D56" s="270">
        <f>IFERROR(__xludf.DUMMYFUNCTION("""COMPUTED_VALUE"""),-2200.0)</f>
        <v>-2200</v>
      </c>
      <c r="E56" t="str">
        <f>IFERROR(__xludf.DUMMYFUNCTION("""COMPUTED_VALUE"""),"Ben帳戶")</f>
        <v>Ben帳戶</v>
      </c>
      <c r="G56" t="str">
        <f>IFERROR(__xludf.DUMMYFUNCTION("""COMPUTED_VALUE"""),"龍江229")</f>
        <v>龍江229</v>
      </c>
      <c r="H56" s="106" t="str">
        <f t="shared" si="1"/>
        <v>2023-12</v>
      </c>
      <c r="I56" s="271" t="str">
        <f>IFERROR(__xludf.DUMMYFUNCTION("""COMPUTED_VALUE"""),"貓狗企鵝")</f>
        <v>貓狗企鵝</v>
      </c>
      <c r="J56" t="str">
        <f>IFERROR(__xludf.DUMMYFUNCTION("IFS(
  AND(REGEXMATCH(E56, ""台銀籌備帳戶|玉山帳戶""), REGEXMATCH(C56, ""薪資"")), ""分潤支出"",
  AND(REGEXMATCH(E56, ""Ben帳戶|Elsa帳戶|Ben代墊|Ariel代墊|中信銀行共用""), REGEXMATCH(F56, ""Ben帳戶|Elsa帳戶|Ben代墊|Ariel代墊|中信銀行共用"")), ""內部轉帳(忽略)"",
  AND(E56&lt;&gt;"""", F56&lt;&gt;"""", NOT(REGEXMATC"&amp;"H(C56, ""薪資""))), ""內部轉帳(忽略)"",
  REGEXMATCH(C56, ""薪資""), ""薪資變動(不計入)"",
  REGEXMATCH(C56, ""押金""), ""押金往來"",
  AND(E56&lt;&gt;"""", F56=""""), ""真實支出"",
  AND(E56="""", F56&lt;&gt;""""), ""真實收入"",
  TRUE, ""其他""
)"),"真實支出")</f>
        <v>真實支出</v>
      </c>
      <c r="K56" s="270">
        <f t="shared" si="2"/>
        <v>-2200</v>
      </c>
      <c r="L56">
        <f t="shared" si="3"/>
        <v>0</v>
      </c>
    </row>
    <row r="57">
      <c r="A57" s="107">
        <f>IFERROR(__xludf.DUMMYFUNCTION("""COMPUTED_VALUE"""),45267.0)</f>
        <v>45267</v>
      </c>
      <c r="B57" t="str">
        <f>IFERROR(__xludf.DUMMYFUNCTION("""COMPUTED_VALUE"""),"鑰匙盒")</f>
        <v>鑰匙盒</v>
      </c>
      <c r="C57" t="str">
        <f>IFERROR(__xludf.DUMMYFUNCTION("""COMPUTED_VALUE"""),"費用 - 辦公用品")</f>
        <v>費用 - 辦公用品</v>
      </c>
      <c r="D57" s="270">
        <f>IFERROR(__xludf.DUMMYFUNCTION("""COMPUTED_VALUE"""),-600.0)</f>
        <v>-600</v>
      </c>
      <c r="E57" t="str">
        <f>IFERROR(__xludf.DUMMYFUNCTION("""COMPUTED_VALUE"""),"Ben帳戶")</f>
        <v>Ben帳戶</v>
      </c>
      <c r="H57" s="106" t="str">
        <f t="shared" si="1"/>
        <v>2023-12</v>
      </c>
      <c r="I57" s="271" t="str">
        <f>IFERROR(__xludf.DUMMYFUNCTION("""COMPUTED_VALUE"""),"貓狗企鵝")</f>
        <v>貓狗企鵝</v>
      </c>
      <c r="J57" t="str">
        <f>IFERROR(__xludf.DUMMYFUNCTION("IFS(
  AND(REGEXMATCH(E57, ""台銀籌備帳戶|玉山帳戶""), REGEXMATCH(C57, ""薪資"")), ""分潤支出"",
  AND(REGEXMATCH(E57, ""Ben帳戶|Elsa帳戶|Ben代墊|Ariel代墊|中信銀行共用""), REGEXMATCH(F57, ""Ben帳戶|Elsa帳戶|Ben代墊|Ariel代墊|中信銀行共用"")), ""內部轉帳(忽略)"",
  AND(E57&lt;&gt;"""", F57&lt;&gt;"""", NOT(REGEXMATC"&amp;"H(C57, ""薪資""))), ""內部轉帳(忽略)"",
  REGEXMATCH(C57, ""薪資""), ""薪資變動(不計入)"",
  REGEXMATCH(C57, ""押金""), ""押金往來"",
  AND(E57&lt;&gt;"""", F57=""""), ""真實支出"",
  AND(E57="""", F57&lt;&gt;""""), ""真實收入"",
  TRUE, ""其他""
)"),"真實支出")</f>
        <v>真實支出</v>
      </c>
      <c r="K57" s="270">
        <f t="shared" si="2"/>
        <v>-600</v>
      </c>
      <c r="L57">
        <f t="shared" si="3"/>
        <v>0</v>
      </c>
    </row>
    <row r="58">
      <c r="A58" s="107">
        <f>IFERROR(__xludf.DUMMYFUNCTION("""COMPUTED_VALUE"""),45267.0)</f>
        <v>45267</v>
      </c>
      <c r="B58" t="str">
        <f>IFERROR(__xludf.DUMMYFUNCTION("""COMPUTED_VALUE"""),"龍江 拆除 毛毛")</f>
        <v>龍江 拆除 毛毛</v>
      </c>
      <c r="C58" t="str">
        <f>IFERROR(__xludf.DUMMYFUNCTION("""COMPUTED_VALUE"""),"成本 - 進場前裝潢費")</f>
        <v>成本 - 進場前裝潢費</v>
      </c>
      <c r="D58" s="270">
        <f>IFERROR(__xludf.DUMMYFUNCTION("""COMPUTED_VALUE"""),-18000.0)</f>
        <v>-18000</v>
      </c>
      <c r="E58" t="str">
        <f>IFERROR(__xludf.DUMMYFUNCTION("""COMPUTED_VALUE"""),"Ben帳戶")</f>
        <v>Ben帳戶</v>
      </c>
      <c r="G58" t="str">
        <f>IFERROR(__xludf.DUMMYFUNCTION("""COMPUTED_VALUE"""),"龍江229")</f>
        <v>龍江229</v>
      </c>
      <c r="H58" s="106" t="str">
        <f t="shared" si="1"/>
        <v>2023-12</v>
      </c>
      <c r="I58" s="271" t="str">
        <f>IFERROR(__xludf.DUMMYFUNCTION("""COMPUTED_VALUE"""),"貓狗企鵝")</f>
        <v>貓狗企鵝</v>
      </c>
      <c r="J58" t="str">
        <f>IFERROR(__xludf.DUMMYFUNCTION("IFS(
  AND(REGEXMATCH(E58, ""台銀籌備帳戶|玉山帳戶""), REGEXMATCH(C58, ""薪資"")), ""分潤支出"",
  AND(REGEXMATCH(E58, ""Ben帳戶|Elsa帳戶|Ben代墊|Ariel代墊|中信銀行共用""), REGEXMATCH(F58, ""Ben帳戶|Elsa帳戶|Ben代墊|Ariel代墊|中信銀行共用"")), ""內部轉帳(忽略)"",
  AND(E58&lt;&gt;"""", F58&lt;&gt;"""", NOT(REGEXMATC"&amp;"H(C58, ""薪資""))), ""內部轉帳(忽略)"",
  REGEXMATCH(C58, ""薪資""), ""薪資變動(不計入)"",
  REGEXMATCH(C58, ""押金""), ""押金往來"",
  AND(E58&lt;&gt;"""", F58=""""), ""真實支出"",
  AND(E58="""", F58&lt;&gt;""""), ""真實收入"",
  TRUE, ""其他""
)"),"真實支出")</f>
        <v>真實支出</v>
      </c>
      <c r="K58" s="270">
        <f t="shared" si="2"/>
        <v>-18000</v>
      </c>
      <c r="L58">
        <f t="shared" si="3"/>
        <v>0</v>
      </c>
    </row>
    <row r="59">
      <c r="A59" s="107">
        <f>IFERROR(__xludf.DUMMYFUNCTION("""COMPUTED_VALUE"""),45267.0)</f>
        <v>45267</v>
      </c>
      <c r="B59" t="str">
        <f>IFERROR(__xludf.DUMMYFUNCTION("""COMPUTED_VALUE"""),"龍江 白鐵")</f>
        <v>龍江 白鐵</v>
      </c>
      <c r="C59" t="str">
        <f>IFERROR(__xludf.DUMMYFUNCTION("""COMPUTED_VALUE"""),"成本 - 進場前裝潢費")</f>
        <v>成本 - 進場前裝潢費</v>
      </c>
      <c r="D59" s="270">
        <f>IFERROR(__xludf.DUMMYFUNCTION("""COMPUTED_VALUE"""),-2000.0)</f>
        <v>-2000</v>
      </c>
      <c r="E59" t="str">
        <f>IFERROR(__xludf.DUMMYFUNCTION("""COMPUTED_VALUE"""),"Ben帳戶")</f>
        <v>Ben帳戶</v>
      </c>
      <c r="G59" t="str">
        <f>IFERROR(__xludf.DUMMYFUNCTION("""COMPUTED_VALUE"""),"龍江229")</f>
        <v>龍江229</v>
      </c>
      <c r="H59" s="106" t="str">
        <f t="shared" si="1"/>
        <v>2023-12</v>
      </c>
      <c r="I59" s="271" t="str">
        <f>IFERROR(__xludf.DUMMYFUNCTION("""COMPUTED_VALUE"""),"貓狗企鵝")</f>
        <v>貓狗企鵝</v>
      </c>
      <c r="J59" t="str">
        <f>IFERROR(__xludf.DUMMYFUNCTION("IFS(
  AND(REGEXMATCH(E59, ""台銀籌備帳戶|玉山帳戶""), REGEXMATCH(C59, ""薪資"")), ""分潤支出"",
  AND(REGEXMATCH(E59, ""Ben帳戶|Elsa帳戶|Ben代墊|Ariel代墊|中信銀行共用""), REGEXMATCH(F59, ""Ben帳戶|Elsa帳戶|Ben代墊|Ariel代墊|中信銀行共用"")), ""內部轉帳(忽略)"",
  AND(E59&lt;&gt;"""", F59&lt;&gt;"""", NOT(REGEXMATC"&amp;"H(C59, ""薪資""))), ""內部轉帳(忽略)"",
  REGEXMATCH(C59, ""薪資""), ""薪資變動(不計入)"",
  REGEXMATCH(C59, ""押金""), ""押金往來"",
  AND(E59&lt;&gt;"""", F59=""""), ""真實支出"",
  AND(E59="""", F59&lt;&gt;""""), ""真實收入"",
  TRUE, ""其他""
)"),"真實支出")</f>
        <v>真實支出</v>
      </c>
      <c r="K59" s="270">
        <f t="shared" si="2"/>
        <v>-2000</v>
      </c>
      <c r="L59">
        <f t="shared" si="3"/>
        <v>0</v>
      </c>
    </row>
    <row r="60">
      <c r="A60" s="107">
        <f>IFERROR(__xludf.DUMMYFUNCTION("""COMPUTED_VALUE"""),45268.0)</f>
        <v>45268</v>
      </c>
      <c r="B60" t="str">
        <f>IFERROR(__xludf.DUMMYFUNCTION("""COMPUTED_VALUE"""),"LED軌道燈")</f>
        <v>LED軌道燈</v>
      </c>
      <c r="C60" t="str">
        <f>IFERROR(__xludf.DUMMYFUNCTION("""COMPUTED_VALUE"""),"成本 - 進場前裝潢費")</f>
        <v>成本 - 進場前裝潢費</v>
      </c>
      <c r="D60" s="270">
        <f>IFERROR(__xludf.DUMMYFUNCTION("""COMPUTED_VALUE"""),-4304.0)</f>
        <v>-4304</v>
      </c>
      <c r="E60" t="str">
        <f>IFERROR(__xludf.DUMMYFUNCTION("""COMPUTED_VALUE"""),"Ben帳戶")</f>
        <v>Ben帳戶</v>
      </c>
      <c r="G60" t="str">
        <f>IFERROR(__xludf.DUMMYFUNCTION("""COMPUTED_VALUE"""),"龍江229")</f>
        <v>龍江229</v>
      </c>
      <c r="H60" s="106" t="str">
        <f t="shared" si="1"/>
        <v>2023-12</v>
      </c>
      <c r="I60" s="271" t="str">
        <f>IFERROR(__xludf.DUMMYFUNCTION("""COMPUTED_VALUE"""),"貓狗企鵝")</f>
        <v>貓狗企鵝</v>
      </c>
      <c r="J60" t="str">
        <f>IFERROR(__xludf.DUMMYFUNCTION("IFS(
  AND(REGEXMATCH(E60, ""台銀籌備帳戶|玉山帳戶""), REGEXMATCH(C60, ""薪資"")), ""分潤支出"",
  AND(REGEXMATCH(E60, ""Ben帳戶|Elsa帳戶|Ben代墊|Ariel代墊|中信銀行共用""), REGEXMATCH(F60, ""Ben帳戶|Elsa帳戶|Ben代墊|Ariel代墊|中信銀行共用"")), ""內部轉帳(忽略)"",
  AND(E60&lt;&gt;"""", F60&lt;&gt;"""", NOT(REGEXMATC"&amp;"H(C60, ""薪資""))), ""內部轉帳(忽略)"",
  REGEXMATCH(C60, ""薪資""), ""薪資變動(不計入)"",
  REGEXMATCH(C60, ""押金""), ""押金往來"",
  AND(E60&lt;&gt;"""", F60=""""), ""真實支出"",
  AND(E60="""", F60&lt;&gt;""""), ""真實收入"",
  TRUE, ""其他""
)"),"真實支出")</f>
        <v>真實支出</v>
      </c>
      <c r="K60" s="270">
        <f t="shared" si="2"/>
        <v>-4304</v>
      </c>
      <c r="L60">
        <f t="shared" si="3"/>
        <v>0</v>
      </c>
    </row>
    <row r="61">
      <c r="A61" s="107">
        <f>IFERROR(__xludf.DUMMYFUNCTION("""COMPUTED_VALUE"""),45270.0)</f>
        <v>45270</v>
      </c>
      <c r="B61" t="str">
        <f>IFERROR(__xludf.DUMMYFUNCTION("""COMPUTED_VALUE"""),"龍江 ikea 窗簾")</f>
        <v>龍江 ikea 窗簾</v>
      </c>
      <c r="C61" t="str">
        <f>IFERROR(__xludf.DUMMYFUNCTION("""COMPUTED_VALUE"""),"成本 - 進場前裝潢費")</f>
        <v>成本 - 進場前裝潢費</v>
      </c>
      <c r="D61" s="270">
        <f>IFERROR(__xludf.DUMMYFUNCTION("""COMPUTED_VALUE"""),-4998.0)</f>
        <v>-4998</v>
      </c>
      <c r="E61" t="str">
        <f>IFERROR(__xludf.DUMMYFUNCTION("""COMPUTED_VALUE"""),"Ben帳戶")</f>
        <v>Ben帳戶</v>
      </c>
      <c r="G61" t="str">
        <f>IFERROR(__xludf.DUMMYFUNCTION("""COMPUTED_VALUE"""),"龍江229")</f>
        <v>龍江229</v>
      </c>
      <c r="H61" s="106" t="str">
        <f t="shared" si="1"/>
        <v>2023-12</v>
      </c>
      <c r="I61" s="271" t="str">
        <f>IFERROR(__xludf.DUMMYFUNCTION("""COMPUTED_VALUE"""),"貓狗企鵝")</f>
        <v>貓狗企鵝</v>
      </c>
      <c r="J61" t="str">
        <f>IFERROR(__xludf.DUMMYFUNCTION("IFS(
  AND(REGEXMATCH(E61, ""台銀籌備帳戶|玉山帳戶""), REGEXMATCH(C61, ""薪資"")), ""分潤支出"",
  AND(REGEXMATCH(E61, ""Ben帳戶|Elsa帳戶|Ben代墊|Ariel代墊|中信銀行共用""), REGEXMATCH(F61, ""Ben帳戶|Elsa帳戶|Ben代墊|Ariel代墊|中信銀行共用"")), ""內部轉帳(忽略)"",
  AND(E61&lt;&gt;"""", F61&lt;&gt;"""", NOT(REGEXMATC"&amp;"H(C61, ""薪資""))), ""內部轉帳(忽略)"",
  REGEXMATCH(C61, ""薪資""), ""薪資變動(不計入)"",
  REGEXMATCH(C61, ""押金""), ""押金往來"",
  AND(E61&lt;&gt;"""", F61=""""), ""真實支出"",
  AND(E61="""", F61&lt;&gt;""""), ""真實收入"",
  TRUE, ""其他""
)"),"真實支出")</f>
        <v>真實支出</v>
      </c>
      <c r="K61" s="270">
        <f t="shared" si="2"/>
        <v>-4998</v>
      </c>
      <c r="L61">
        <f t="shared" si="3"/>
        <v>0</v>
      </c>
    </row>
    <row r="62">
      <c r="A62" s="107">
        <f>IFERROR(__xludf.DUMMYFUNCTION("""COMPUTED_VALUE"""),45272.0)</f>
        <v>45272</v>
      </c>
      <c r="B62" t="str">
        <f>IFERROR(__xludf.DUMMYFUNCTION("""COMPUTED_VALUE"""),"龍江 淘寶 窗簾")</f>
        <v>龍江 淘寶 窗簾</v>
      </c>
      <c r="C62" t="str">
        <f>IFERROR(__xludf.DUMMYFUNCTION("""COMPUTED_VALUE"""),"成本 - 進場前裝潢費")</f>
        <v>成本 - 進場前裝潢費</v>
      </c>
      <c r="D62" s="270">
        <f>IFERROR(__xludf.DUMMYFUNCTION("""COMPUTED_VALUE"""),-9536.0)</f>
        <v>-9536</v>
      </c>
      <c r="E62" t="str">
        <f>IFERROR(__xludf.DUMMYFUNCTION("""COMPUTED_VALUE"""),"Ben帳戶")</f>
        <v>Ben帳戶</v>
      </c>
      <c r="G62" t="str">
        <f>IFERROR(__xludf.DUMMYFUNCTION("""COMPUTED_VALUE"""),"龍江229")</f>
        <v>龍江229</v>
      </c>
      <c r="H62" s="106" t="str">
        <f t="shared" si="1"/>
        <v>2023-12</v>
      </c>
      <c r="I62" s="271" t="str">
        <f>IFERROR(__xludf.DUMMYFUNCTION("""COMPUTED_VALUE"""),"貓狗企鵝")</f>
        <v>貓狗企鵝</v>
      </c>
      <c r="J62" t="str">
        <f>IFERROR(__xludf.DUMMYFUNCTION("IFS(
  AND(REGEXMATCH(E62, ""台銀籌備帳戶|玉山帳戶""), REGEXMATCH(C62, ""薪資"")), ""分潤支出"",
  AND(REGEXMATCH(E62, ""Ben帳戶|Elsa帳戶|Ben代墊|Ariel代墊|中信銀行共用""), REGEXMATCH(F62, ""Ben帳戶|Elsa帳戶|Ben代墊|Ariel代墊|中信銀行共用"")), ""內部轉帳(忽略)"",
  AND(E62&lt;&gt;"""", F62&lt;&gt;"""", NOT(REGEXMATC"&amp;"H(C62, ""薪資""))), ""內部轉帳(忽略)"",
  REGEXMATCH(C62, ""薪資""), ""薪資變動(不計入)"",
  REGEXMATCH(C62, ""押金""), ""押金往來"",
  AND(E62&lt;&gt;"""", F62=""""), ""真實支出"",
  AND(E62="""", F62&lt;&gt;""""), ""真實收入"",
  TRUE, ""其他""
)"),"真實支出")</f>
        <v>真實支出</v>
      </c>
      <c r="K62" s="270">
        <f t="shared" si="2"/>
        <v>-9536</v>
      </c>
      <c r="L62">
        <f t="shared" si="3"/>
        <v>0</v>
      </c>
    </row>
    <row r="63">
      <c r="A63" s="107">
        <f>IFERROR(__xludf.DUMMYFUNCTION("""COMPUTED_VALUE"""),45272.0)</f>
        <v>45272</v>
      </c>
      <c r="B63" t="str">
        <f>IFERROR(__xludf.DUMMYFUNCTION("""COMPUTED_VALUE"""),"龍江 淘寶")</f>
        <v>龍江 淘寶</v>
      </c>
      <c r="C63" t="str">
        <f>IFERROR(__xludf.DUMMYFUNCTION("""COMPUTED_VALUE"""),"成本 - 進場前裝潢費")</f>
        <v>成本 - 進場前裝潢費</v>
      </c>
      <c r="D63" s="270">
        <f>IFERROR(__xludf.DUMMYFUNCTION("""COMPUTED_VALUE"""),-4255.0)</f>
        <v>-4255</v>
      </c>
      <c r="E63" t="str">
        <f>IFERROR(__xludf.DUMMYFUNCTION("""COMPUTED_VALUE"""),"Ben帳戶")</f>
        <v>Ben帳戶</v>
      </c>
      <c r="G63" t="str">
        <f>IFERROR(__xludf.DUMMYFUNCTION("""COMPUTED_VALUE"""),"龍江229")</f>
        <v>龍江229</v>
      </c>
      <c r="H63" s="106" t="str">
        <f t="shared" si="1"/>
        <v>2023-12</v>
      </c>
      <c r="I63" s="271" t="str">
        <f>IFERROR(__xludf.DUMMYFUNCTION("""COMPUTED_VALUE"""),"貓狗企鵝")</f>
        <v>貓狗企鵝</v>
      </c>
      <c r="J63" t="str">
        <f>IFERROR(__xludf.DUMMYFUNCTION("IFS(
  AND(REGEXMATCH(E63, ""台銀籌備帳戶|玉山帳戶""), REGEXMATCH(C63, ""薪資"")), ""分潤支出"",
  AND(REGEXMATCH(E63, ""Ben帳戶|Elsa帳戶|Ben代墊|Ariel代墊|中信銀行共用""), REGEXMATCH(F63, ""Ben帳戶|Elsa帳戶|Ben代墊|Ariel代墊|中信銀行共用"")), ""內部轉帳(忽略)"",
  AND(E63&lt;&gt;"""", F63&lt;&gt;"""", NOT(REGEXMATC"&amp;"H(C63, ""薪資""))), ""內部轉帳(忽略)"",
  REGEXMATCH(C63, ""薪資""), ""薪資變動(不計入)"",
  REGEXMATCH(C63, ""押金""), ""押金往來"",
  AND(E63&lt;&gt;"""", F63=""""), ""真實支出"",
  AND(E63="""", F63&lt;&gt;""""), ""真實收入"",
  TRUE, ""其他""
)"),"真實支出")</f>
        <v>真實支出</v>
      </c>
      <c r="K63" s="270">
        <f t="shared" si="2"/>
        <v>-4255</v>
      </c>
      <c r="L63">
        <f t="shared" si="3"/>
        <v>0</v>
      </c>
    </row>
    <row r="64">
      <c r="A64" s="107">
        <f>IFERROR(__xludf.DUMMYFUNCTION("""COMPUTED_VALUE"""),45272.0)</f>
        <v>45272</v>
      </c>
      <c r="B64" t="str">
        <f>IFERROR(__xludf.DUMMYFUNCTION("""COMPUTED_VALUE"""),"辜馨嬅 定金")</f>
        <v>辜馨嬅 定金</v>
      </c>
      <c r="C64" t="str">
        <f>IFERROR(__xludf.DUMMYFUNCTION("""COMPUTED_VALUE"""),"收入 - 租金")</f>
        <v>收入 - 租金</v>
      </c>
      <c r="D64" s="270">
        <f>IFERROR(__xludf.DUMMYFUNCTION("""COMPUTED_VALUE"""),8000.0)</f>
        <v>8000</v>
      </c>
      <c r="F64" t="str">
        <f>IFERROR(__xludf.DUMMYFUNCTION("""COMPUTED_VALUE"""),"台銀籌備帳戶")</f>
        <v>台銀籌備帳戶</v>
      </c>
      <c r="G64" t="str">
        <f>IFERROR(__xludf.DUMMYFUNCTION("""COMPUTED_VALUE"""),"永春四號")</f>
        <v>永春四號</v>
      </c>
      <c r="H64" s="106" t="str">
        <f t="shared" si="1"/>
        <v>2023-12</v>
      </c>
      <c r="I64" s="271" t="str">
        <f>IFERROR(__xludf.DUMMYFUNCTION("""COMPUTED_VALUE"""),"貓狗企鵝")</f>
        <v>貓狗企鵝</v>
      </c>
      <c r="J64" t="str">
        <f>IFERROR(__xludf.DUMMYFUNCTION("IFS(
  AND(REGEXMATCH(E64, ""台銀籌備帳戶|玉山帳戶""), REGEXMATCH(C64, ""薪資"")), ""分潤支出"",
  AND(REGEXMATCH(E64, ""Ben帳戶|Elsa帳戶|Ben代墊|Ariel代墊|中信銀行共用""), REGEXMATCH(F64, ""Ben帳戶|Elsa帳戶|Ben代墊|Ariel代墊|中信銀行共用"")), ""內部轉帳(忽略)"",
  AND(E64&lt;&gt;"""", F64&lt;&gt;"""", NOT(REGEXMATC"&amp;"H(C64, ""薪資""))), ""內部轉帳(忽略)"",
  REGEXMATCH(C64, ""薪資""), ""薪資變動(不計入)"",
  REGEXMATCH(C64, ""押金""), ""押金往來"",
  AND(E64&lt;&gt;"""", F64=""""), ""真實支出"",
  AND(E64="""", F64&lt;&gt;""""), ""真實收入"",
  TRUE, ""其他""
)"),"真實收入")</f>
        <v>真實收入</v>
      </c>
      <c r="K64" s="270">
        <f t="shared" si="2"/>
        <v>8000</v>
      </c>
      <c r="L64">
        <f t="shared" si="3"/>
        <v>0</v>
      </c>
    </row>
    <row r="65">
      <c r="A65" s="107">
        <f>IFERROR(__xludf.DUMMYFUNCTION("""COMPUTED_VALUE"""),45273.0)</f>
        <v>45273</v>
      </c>
      <c r="B65" t="str">
        <f>IFERROR(__xludf.DUMMYFUNCTION("""COMPUTED_VALUE"""),"龍江 輕隔間")</f>
        <v>龍江 輕隔間</v>
      </c>
      <c r="C65" t="str">
        <f>IFERROR(__xludf.DUMMYFUNCTION("""COMPUTED_VALUE"""),"成本 - 進場前裝潢費")</f>
        <v>成本 - 進場前裝潢費</v>
      </c>
      <c r="D65" s="270">
        <f>IFERROR(__xludf.DUMMYFUNCTION("""COMPUTED_VALUE"""),-63310.0)</f>
        <v>-63310</v>
      </c>
      <c r="E65" t="str">
        <f>IFERROR(__xludf.DUMMYFUNCTION("""COMPUTED_VALUE"""),"Elsa帳戶")</f>
        <v>Elsa帳戶</v>
      </c>
      <c r="G65" t="str">
        <f>IFERROR(__xludf.DUMMYFUNCTION("""COMPUTED_VALUE"""),"龍江229")</f>
        <v>龍江229</v>
      </c>
      <c r="H65" s="106" t="str">
        <f t="shared" si="1"/>
        <v>2023-12</v>
      </c>
      <c r="I65" s="271" t="str">
        <f>IFERROR(__xludf.DUMMYFUNCTION("""COMPUTED_VALUE"""),"貓狗企鵝")</f>
        <v>貓狗企鵝</v>
      </c>
      <c r="J65" t="str">
        <f>IFERROR(__xludf.DUMMYFUNCTION("IFS(
  AND(REGEXMATCH(E65, ""台銀籌備帳戶|玉山帳戶""), REGEXMATCH(C65, ""薪資"")), ""分潤支出"",
  AND(REGEXMATCH(E65, ""Ben帳戶|Elsa帳戶|Ben代墊|Ariel代墊|中信銀行共用""), REGEXMATCH(F65, ""Ben帳戶|Elsa帳戶|Ben代墊|Ariel代墊|中信銀行共用"")), ""內部轉帳(忽略)"",
  AND(E65&lt;&gt;"""", F65&lt;&gt;"""", NOT(REGEXMATC"&amp;"H(C65, ""薪資""))), ""內部轉帳(忽略)"",
  REGEXMATCH(C65, ""薪資""), ""薪資變動(不計入)"",
  REGEXMATCH(C65, ""押金""), ""押金往來"",
  AND(E65&lt;&gt;"""", F65=""""), ""真實支出"",
  AND(E65="""", F65&lt;&gt;""""), ""真實收入"",
  TRUE, ""其他""
)"),"真實支出")</f>
        <v>真實支出</v>
      </c>
      <c r="K65" s="270">
        <f t="shared" si="2"/>
        <v>-63310</v>
      </c>
      <c r="L65">
        <f t="shared" si="3"/>
        <v>0</v>
      </c>
    </row>
    <row r="66">
      <c r="A66" s="107">
        <f>IFERROR(__xludf.DUMMYFUNCTION("""COMPUTED_VALUE"""),45274.0)</f>
        <v>45274</v>
      </c>
      <c r="B66" t="str">
        <f>IFERROR(__xludf.DUMMYFUNCTION("""COMPUTED_VALUE"""),"龍江 大鞋櫃")</f>
        <v>龍江 大鞋櫃</v>
      </c>
      <c r="C66" t="str">
        <f>IFERROR(__xludf.DUMMYFUNCTION("""COMPUTED_VALUE"""),"成本 - 進場前裝潢費")</f>
        <v>成本 - 進場前裝潢費</v>
      </c>
      <c r="D66" s="270">
        <f>IFERROR(__xludf.DUMMYFUNCTION("""COMPUTED_VALUE"""),-3361.0)</f>
        <v>-3361</v>
      </c>
      <c r="E66" t="str">
        <f>IFERROR(__xludf.DUMMYFUNCTION("""COMPUTED_VALUE"""),"Ben帳戶")</f>
        <v>Ben帳戶</v>
      </c>
      <c r="G66" t="str">
        <f>IFERROR(__xludf.DUMMYFUNCTION("""COMPUTED_VALUE"""),"龍江229")</f>
        <v>龍江229</v>
      </c>
      <c r="H66" s="106" t="str">
        <f t="shared" si="1"/>
        <v>2023-12</v>
      </c>
      <c r="I66" s="271" t="str">
        <f>IFERROR(__xludf.DUMMYFUNCTION("""COMPUTED_VALUE"""),"貓狗企鵝")</f>
        <v>貓狗企鵝</v>
      </c>
      <c r="J66" t="str">
        <f>IFERROR(__xludf.DUMMYFUNCTION("IFS(
  AND(REGEXMATCH(E66, ""台銀籌備帳戶|玉山帳戶""), REGEXMATCH(C66, ""薪資"")), ""分潤支出"",
  AND(REGEXMATCH(E66, ""Ben帳戶|Elsa帳戶|Ben代墊|Ariel代墊|中信銀行共用""), REGEXMATCH(F66, ""Ben帳戶|Elsa帳戶|Ben代墊|Ariel代墊|中信銀行共用"")), ""內部轉帳(忽略)"",
  AND(E66&lt;&gt;"""", F66&lt;&gt;"""", NOT(REGEXMATC"&amp;"H(C66, ""薪資""))), ""內部轉帳(忽略)"",
  REGEXMATCH(C66, ""薪資""), ""薪資變動(不計入)"",
  REGEXMATCH(C66, ""押金""), ""押金往來"",
  AND(E66&lt;&gt;"""", F66=""""), ""真實支出"",
  AND(E66="""", F66&lt;&gt;""""), ""真實收入"",
  TRUE, ""其他""
)"),"真實支出")</f>
        <v>真實支出</v>
      </c>
      <c r="K66" s="270">
        <f t="shared" si="2"/>
        <v>-3361</v>
      </c>
      <c r="L66">
        <f t="shared" si="3"/>
        <v>0</v>
      </c>
    </row>
    <row r="67">
      <c r="A67" s="107">
        <f>IFERROR(__xludf.DUMMYFUNCTION("""COMPUTED_VALUE"""),45274.0)</f>
        <v>45274</v>
      </c>
      <c r="B67" t="str">
        <f>IFERROR(__xludf.DUMMYFUNCTION("""COMPUTED_VALUE"""),"3床3床架")</f>
        <v>3床3床架</v>
      </c>
      <c r="C67" t="str">
        <f>IFERROR(__xludf.DUMMYFUNCTION("""COMPUTED_VALUE"""),"成本 - 進場前裝潢費")</f>
        <v>成本 - 進場前裝潢費</v>
      </c>
      <c r="D67" s="270">
        <f>IFERROR(__xludf.DUMMYFUNCTION("""COMPUTED_VALUE"""),-16482.0)</f>
        <v>-16482</v>
      </c>
      <c r="E67" t="str">
        <f>IFERROR(__xludf.DUMMYFUNCTION("""COMPUTED_VALUE"""),"Ben帳戶")</f>
        <v>Ben帳戶</v>
      </c>
      <c r="G67" t="str">
        <f>IFERROR(__xludf.DUMMYFUNCTION("""COMPUTED_VALUE"""),"龍江229")</f>
        <v>龍江229</v>
      </c>
      <c r="H67" s="106" t="str">
        <f t="shared" si="1"/>
        <v>2023-12</v>
      </c>
      <c r="I67" s="271" t="str">
        <f>IFERROR(__xludf.DUMMYFUNCTION("""COMPUTED_VALUE"""),"貓狗企鵝")</f>
        <v>貓狗企鵝</v>
      </c>
      <c r="J67" t="str">
        <f>IFERROR(__xludf.DUMMYFUNCTION("IFS(
  AND(REGEXMATCH(E67, ""台銀籌備帳戶|玉山帳戶""), REGEXMATCH(C67, ""薪資"")), ""分潤支出"",
  AND(REGEXMATCH(E67, ""Ben帳戶|Elsa帳戶|Ben代墊|Ariel代墊|中信銀行共用""), REGEXMATCH(F67, ""Ben帳戶|Elsa帳戶|Ben代墊|Ariel代墊|中信銀行共用"")), ""內部轉帳(忽略)"",
  AND(E67&lt;&gt;"""", F67&lt;&gt;"""", NOT(REGEXMATC"&amp;"H(C67, ""薪資""))), ""內部轉帳(忽略)"",
  REGEXMATCH(C67, ""薪資""), ""薪資變動(不計入)"",
  REGEXMATCH(C67, ""押金""), ""押金往來"",
  AND(E67&lt;&gt;"""", F67=""""), ""真實支出"",
  AND(E67="""", F67&lt;&gt;""""), ""真實收入"",
  TRUE, ""其他""
)"),"真實支出")</f>
        <v>真實支出</v>
      </c>
      <c r="K67" s="270">
        <f t="shared" si="2"/>
        <v>-16482</v>
      </c>
      <c r="L67">
        <f t="shared" si="3"/>
        <v>0</v>
      </c>
    </row>
    <row r="68">
      <c r="A68" s="107">
        <f>IFERROR(__xludf.DUMMYFUNCTION("""COMPUTED_VALUE"""),45274.0)</f>
        <v>45274</v>
      </c>
      <c r="B68" t="str">
        <f>IFERROR(__xludf.DUMMYFUNCTION("""COMPUTED_VALUE"""),"IKEA+安裝費")</f>
        <v>IKEA+安裝費</v>
      </c>
      <c r="C68" t="str">
        <f>IFERROR(__xludf.DUMMYFUNCTION("""COMPUTED_VALUE"""),"成本 - 進場前裝潢費")</f>
        <v>成本 - 進場前裝潢費</v>
      </c>
      <c r="D68" s="270">
        <f>IFERROR(__xludf.DUMMYFUNCTION("""COMPUTED_VALUE"""),-41520.0)</f>
        <v>-41520</v>
      </c>
      <c r="E68" t="str">
        <f>IFERROR(__xludf.DUMMYFUNCTION("""COMPUTED_VALUE"""),"Elsa帳戶")</f>
        <v>Elsa帳戶</v>
      </c>
      <c r="G68" t="str">
        <f>IFERROR(__xludf.DUMMYFUNCTION("""COMPUTED_VALUE"""),"龍江229")</f>
        <v>龍江229</v>
      </c>
      <c r="H68" s="106" t="str">
        <f t="shared" si="1"/>
        <v>2023-12</v>
      </c>
      <c r="I68" s="271" t="str">
        <f>IFERROR(__xludf.DUMMYFUNCTION("""COMPUTED_VALUE"""),"貓狗企鵝")</f>
        <v>貓狗企鵝</v>
      </c>
      <c r="J68" t="str">
        <f>IFERROR(__xludf.DUMMYFUNCTION("IFS(
  AND(REGEXMATCH(E68, ""台銀籌備帳戶|玉山帳戶""), REGEXMATCH(C68, ""薪資"")), ""分潤支出"",
  AND(REGEXMATCH(E68, ""Ben帳戶|Elsa帳戶|Ben代墊|Ariel代墊|中信銀行共用""), REGEXMATCH(F68, ""Ben帳戶|Elsa帳戶|Ben代墊|Ariel代墊|中信銀行共用"")), ""內部轉帳(忽略)"",
  AND(E68&lt;&gt;"""", F68&lt;&gt;"""", NOT(REGEXMATC"&amp;"H(C68, ""薪資""))), ""內部轉帳(忽略)"",
  REGEXMATCH(C68, ""薪資""), ""薪資變動(不計入)"",
  REGEXMATCH(C68, ""押金""), ""押金往來"",
  AND(E68&lt;&gt;"""", F68=""""), ""真實支出"",
  AND(E68="""", F68&lt;&gt;""""), ""真實收入"",
  TRUE, ""其他""
)"),"真實支出")</f>
        <v>真實支出</v>
      </c>
      <c r="K68" s="270">
        <f t="shared" si="2"/>
        <v>-41520</v>
      </c>
      <c r="L68">
        <f t="shared" si="3"/>
        <v>0</v>
      </c>
    </row>
    <row r="69">
      <c r="A69" s="107">
        <f>IFERROR(__xludf.DUMMYFUNCTION("""COMPUTED_VALUE"""),45274.0)</f>
        <v>45274</v>
      </c>
      <c r="B69" t="str">
        <f>IFERROR(__xludf.DUMMYFUNCTION("""COMPUTED_VALUE"""),"5張書桌椅子(含運費)")</f>
        <v>5張書桌椅子(含運費)</v>
      </c>
      <c r="C69" t="str">
        <f>IFERROR(__xludf.DUMMYFUNCTION("""COMPUTED_VALUE"""),"成本 - 進場前裝潢費")</f>
        <v>成本 - 進場前裝潢費</v>
      </c>
      <c r="D69" s="270">
        <f>IFERROR(__xludf.DUMMYFUNCTION("""COMPUTED_VALUE"""),-5090.0)</f>
        <v>-5090</v>
      </c>
      <c r="E69" t="str">
        <f>IFERROR(__xludf.DUMMYFUNCTION("""COMPUTED_VALUE"""),"Elsa帳戶")</f>
        <v>Elsa帳戶</v>
      </c>
      <c r="G69" t="str">
        <f>IFERROR(__xludf.DUMMYFUNCTION("""COMPUTED_VALUE"""),"龍江229")</f>
        <v>龍江229</v>
      </c>
      <c r="H69" s="106" t="str">
        <f t="shared" si="1"/>
        <v>2023-12</v>
      </c>
      <c r="I69" s="271" t="str">
        <f>IFERROR(__xludf.DUMMYFUNCTION("""COMPUTED_VALUE"""),"貓狗企鵝")</f>
        <v>貓狗企鵝</v>
      </c>
      <c r="J69" t="str">
        <f>IFERROR(__xludf.DUMMYFUNCTION("IFS(
  AND(REGEXMATCH(E69, ""台銀籌備帳戶|玉山帳戶""), REGEXMATCH(C69, ""薪資"")), ""分潤支出"",
  AND(REGEXMATCH(E69, ""Ben帳戶|Elsa帳戶|Ben代墊|Ariel代墊|中信銀行共用""), REGEXMATCH(F69, ""Ben帳戶|Elsa帳戶|Ben代墊|Ariel代墊|中信銀行共用"")), ""內部轉帳(忽略)"",
  AND(E69&lt;&gt;"""", F69&lt;&gt;"""", NOT(REGEXMATC"&amp;"H(C69, ""薪資""))), ""內部轉帳(忽略)"",
  REGEXMATCH(C69, ""薪資""), ""薪資變動(不計入)"",
  REGEXMATCH(C69, ""押金""), ""押金往來"",
  AND(E69&lt;&gt;"""", F69=""""), ""真實支出"",
  AND(E69="""", F69&lt;&gt;""""), ""真實收入"",
  TRUE, ""其他""
)"),"真實支出")</f>
        <v>真實支出</v>
      </c>
      <c r="K69" s="270">
        <f t="shared" si="2"/>
        <v>-5090</v>
      </c>
      <c r="L69">
        <f t="shared" si="3"/>
        <v>0</v>
      </c>
    </row>
    <row r="70">
      <c r="A70" s="107">
        <f>IFERROR(__xludf.DUMMYFUNCTION("""COMPUTED_VALUE"""),45274.0)</f>
        <v>45274</v>
      </c>
      <c r="B70" t="str">
        <f>IFERROR(__xludf.DUMMYFUNCTION("""COMPUTED_VALUE"""),"冰箱")</f>
        <v>冰箱</v>
      </c>
      <c r="C70" t="str">
        <f>IFERROR(__xludf.DUMMYFUNCTION("""COMPUTED_VALUE"""),"成本 - 進場前裝潢費")</f>
        <v>成本 - 進場前裝潢費</v>
      </c>
      <c r="D70" s="270">
        <f>IFERROR(__xludf.DUMMYFUNCTION("""COMPUTED_VALUE"""),-17912.0)</f>
        <v>-17912</v>
      </c>
      <c r="E70" t="str">
        <f>IFERROR(__xludf.DUMMYFUNCTION("""COMPUTED_VALUE"""),"Ben帳戶")</f>
        <v>Ben帳戶</v>
      </c>
      <c r="G70" t="str">
        <f>IFERROR(__xludf.DUMMYFUNCTION("""COMPUTED_VALUE"""),"龍江229")</f>
        <v>龍江229</v>
      </c>
      <c r="H70" s="106" t="str">
        <f t="shared" si="1"/>
        <v>2023-12</v>
      </c>
      <c r="I70" s="271" t="str">
        <f>IFERROR(__xludf.DUMMYFUNCTION("""COMPUTED_VALUE"""),"貓狗企鵝")</f>
        <v>貓狗企鵝</v>
      </c>
      <c r="J70" t="str">
        <f>IFERROR(__xludf.DUMMYFUNCTION("IFS(
  AND(REGEXMATCH(E70, ""台銀籌備帳戶|玉山帳戶""), REGEXMATCH(C70, ""薪資"")), ""分潤支出"",
  AND(REGEXMATCH(E70, ""Ben帳戶|Elsa帳戶|Ben代墊|Ariel代墊|中信銀行共用""), REGEXMATCH(F70, ""Ben帳戶|Elsa帳戶|Ben代墊|Ariel代墊|中信銀行共用"")), ""內部轉帳(忽略)"",
  AND(E70&lt;&gt;"""", F70&lt;&gt;"""", NOT(REGEXMATC"&amp;"H(C70, ""薪資""))), ""內部轉帳(忽略)"",
  REGEXMATCH(C70, ""薪資""), ""薪資變動(不計入)"",
  REGEXMATCH(C70, ""押金""), ""押金往來"",
  AND(E70&lt;&gt;"""", F70=""""), ""真實支出"",
  AND(E70="""", F70&lt;&gt;""""), ""真實收入"",
  TRUE, ""其他""
)"),"真實支出")</f>
        <v>真實支出</v>
      </c>
      <c r="K70" s="270">
        <f t="shared" si="2"/>
        <v>-17912</v>
      </c>
      <c r="L70">
        <f t="shared" si="3"/>
        <v>0</v>
      </c>
    </row>
    <row r="71">
      <c r="A71" s="107">
        <f>IFERROR(__xludf.DUMMYFUNCTION("""COMPUTED_VALUE"""),45274.0)</f>
        <v>45274</v>
      </c>
      <c r="B71" t="str">
        <f>IFERROR(__xludf.DUMMYFUNCTION("""COMPUTED_VALUE"""),"床頭櫃")</f>
        <v>床頭櫃</v>
      </c>
      <c r="C71" t="str">
        <f>IFERROR(__xludf.DUMMYFUNCTION("""COMPUTED_VALUE"""),"成本 - 進場前裝潢費")</f>
        <v>成本 - 進場前裝潢費</v>
      </c>
      <c r="D71" s="270">
        <f>IFERROR(__xludf.DUMMYFUNCTION("""COMPUTED_VALUE"""),-350.0)</f>
        <v>-350</v>
      </c>
      <c r="E71" t="str">
        <f>IFERROR(__xludf.DUMMYFUNCTION("""COMPUTED_VALUE"""),"Ben帳戶")</f>
        <v>Ben帳戶</v>
      </c>
      <c r="G71" t="str">
        <f>IFERROR(__xludf.DUMMYFUNCTION("""COMPUTED_VALUE"""),"龍江229")</f>
        <v>龍江229</v>
      </c>
      <c r="H71" s="106" t="str">
        <f t="shared" si="1"/>
        <v>2023-12</v>
      </c>
      <c r="I71" s="271" t="str">
        <f>IFERROR(__xludf.DUMMYFUNCTION("""COMPUTED_VALUE"""),"貓狗企鵝")</f>
        <v>貓狗企鵝</v>
      </c>
      <c r="J71" t="str">
        <f>IFERROR(__xludf.DUMMYFUNCTION("IFS(
  AND(REGEXMATCH(E71, ""台銀籌備帳戶|玉山帳戶""), REGEXMATCH(C71, ""薪資"")), ""分潤支出"",
  AND(REGEXMATCH(E71, ""Ben帳戶|Elsa帳戶|Ben代墊|Ariel代墊|中信銀行共用""), REGEXMATCH(F71, ""Ben帳戶|Elsa帳戶|Ben代墊|Ariel代墊|中信銀行共用"")), ""內部轉帳(忽略)"",
  AND(E71&lt;&gt;"""", F71&lt;&gt;"""", NOT(REGEXMATC"&amp;"H(C71, ""薪資""))), ""內部轉帳(忽略)"",
  REGEXMATCH(C71, ""薪資""), ""薪資變動(不計入)"",
  REGEXMATCH(C71, ""押金""), ""押金往來"",
  AND(E71&lt;&gt;"""", F71=""""), ""真實支出"",
  AND(E71="""", F71&lt;&gt;""""), ""真實收入"",
  TRUE, ""其他""
)"),"真實支出")</f>
        <v>真實支出</v>
      </c>
      <c r="K71" s="270">
        <f t="shared" si="2"/>
        <v>-350</v>
      </c>
      <c r="L71">
        <f t="shared" si="3"/>
        <v>0</v>
      </c>
    </row>
    <row r="72">
      <c r="A72" s="107">
        <f>IFERROR(__xludf.DUMMYFUNCTION("""COMPUTED_VALUE"""),45275.0)</f>
        <v>45275</v>
      </c>
      <c r="B72" t="str">
        <f>IFERROR(__xludf.DUMMYFUNCTION("""COMPUTED_VALUE"""),"打掃怪")</f>
        <v>打掃怪</v>
      </c>
      <c r="C72" t="str">
        <f>IFERROR(__xludf.DUMMYFUNCTION("""COMPUTED_VALUE"""),"成本 - 進場前裝潢費")</f>
        <v>成本 - 進場前裝潢費</v>
      </c>
      <c r="D72" s="270">
        <f>IFERROR(__xludf.DUMMYFUNCTION("""COMPUTED_VALUE"""),-1500.0)</f>
        <v>-1500</v>
      </c>
      <c r="E72" t="str">
        <f>IFERROR(__xludf.DUMMYFUNCTION("""COMPUTED_VALUE"""),"Elsa帳戶")</f>
        <v>Elsa帳戶</v>
      </c>
      <c r="G72" t="str">
        <f>IFERROR(__xludf.DUMMYFUNCTION("""COMPUTED_VALUE"""),"龍江229")</f>
        <v>龍江229</v>
      </c>
      <c r="H72" s="106" t="str">
        <f t="shared" si="1"/>
        <v>2023-12</v>
      </c>
      <c r="I72" s="271" t="str">
        <f>IFERROR(__xludf.DUMMYFUNCTION("""COMPUTED_VALUE"""),"貓狗企鵝")</f>
        <v>貓狗企鵝</v>
      </c>
      <c r="J72" t="str">
        <f>IFERROR(__xludf.DUMMYFUNCTION("IFS(
  AND(REGEXMATCH(E72, ""台銀籌備帳戶|玉山帳戶""), REGEXMATCH(C72, ""薪資"")), ""分潤支出"",
  AND(REGEXMATCH(E72, ""Ben帳戶|Elsa帳戶|Ben代墊|Ariel代墊|中信銀行共用""), REGEXMATCH(F72, ""Ben帳戶|Elsa帳戶|Ben代墊|Ariel代墊|中信銀行共用"")), ""內部轉帳(忽略)"",
  AND(E72&lt;&gt;"""", F72&lt;&gt;"""", NOT(REGEXMATC"&amp;"H(C72, ""薪資""))), ""內部轉帳(忽略)"",
  REGEXMATCH(C72, ""薪資""), ""薪資變動(不計入)"",
  REGEXMATCH(C72, ""押金""), ""押金往來"",
  AND(E72&lt;&gt;"""", F72=""""), ""真實支出"",
  AND(E72="""", F72&lt;&gt;""""), ""真實收入"",
  TRUE, ""其他""
)"),"真實支出")</f>
        <v>真實支出</v>
      </c>
      <c r="K72" s="270">
        <f t="shared" si="2"/>
        <v>-1500</v>
      </c>
      <c r="L72">
        <f t="shared" si="3"/>
        <v>0</v>
      </c>
    </row>
    <row r="73">
      <c r="A73" s="107">
        <f>IFERROR(__xludf.DUMMYFUNCTION("""COMPUTED_VALUE"""),45275.0)</f>
        <v>45275</v>
      </c>
      <c r="B73" t="str">
        <f>IFERROR(__xludf.DUMMYFUNCTION("""COMPUTED_VALUE"""),"PChome吸塵器")</f>
        <v>PChome吸塵器</v>
      </c>
      <c r="C73" t="str">
        <f>IFERROR(__xludf.DUMMYFUNCTION("""COMPUTED_VALUE"""),"成本 - 進場前裝潢費")</f>
        <v>成本 - 進場前裝潢費</v>
      </c>
      <c r="D73" s="270">
        <f>IFERROR(__xludf.DUMMYFUNCTION("""COMPUTED_VALUE"""),-699.0)</f>
        <v>-699</v>
      </c>
      <c r="E73" t="str">
        <f>IFERROR(__xludf.DUMMYFUNCTION("""COMPUTED_VALUE"""),"Elsa帳戶")</f>
        <v>Elsa帳戶</v>
      </c>
      <c r="G73" t="str">
        <f>IFERROR(__xludf.DUMMYFUNCTION("""COMPUTED_VALUE"""),"龍江229")</f>
        <v>龍江229</v>
      </c>
      <c r="H73" s="106" t="str">
        <f t="shared" si="1"/>
        <v>2023-12</v>
      </c>
      <c r="I73" s="271" t="str">
        <f>IFERROR(__xludf.DUMMYFUNCTION("""COMPUTED_VALUE"""),"貓狗企鵝")</f>
        <v>貓狗企鵝</v>
      </c>
      <c r="J73" t="str">
        <f>IFERROR(__xludf.DUMMYFUNCTION("IFS(
  AND(REGEXMATCH(E73, ""台銀籌備帳戶|玉山帳戶""), REGEXMATCH(C73, ""薪資"")), ""分潤支出"",
  AND(REGEXMATCH(E73, ""Ben帳戶|Elsa帳戶|Ben代墊|Ariel代墊|中信銀行共用""), REGEXMATCH(F73, ""Ben帳戶|Elsa帳戶|Ben代墊|Ariel代墊|中信銀行共用"")), ""內部轉帳(忽略)"",
  AND(E73&lt;&gt;"""", F73&lt;&gt;"""", NOT(REGEXMATC"&amp;"H(C73, ""薪資""))), ""內部轉帳(忽略)"",
  REGEXMATCH(C73, ""薪資""), ""薪資變動(不計入)"",
  REGEXMATCH(C73, ""押金""), ""押金往來"",
  AND(E73&lt;&gt;"""", F73=""""), ""真實支出"",
  AND(E73="""", F73&lt;&gt;""""), ""真實收入"",
  TRUE, ""其他""
)"),"真實支出")</f>
        <v>真實支出</v>
      </c>
      <c r="K73" s="270">
        <f t="shared" si="2"/>
        <v>-699</v>
      </c>
      <c r="L73">
        <f t="shared" si="3"/>
        <v>0</v>
      </c>
    </row>
    <row r="74">
      <c r="A74" s="107">
        <f>IFERROR(__xludf.DUMMYFUNCTION("""COMPUTED_VALUE"""),45276.0)</f>
        <v>45276</v>
      </c>
      <c r="B74" t="str">
        <f>IFERROR(__xludf.DUMMYFUNCTION("""COMPUTED_VALUE"""),"假書")</f>
        <v>假書</v>
      </c>
      <c r="C74" t="str">
        <f>IFERROR(__xludf.DUMMYFUNCTION("""COMPUTED_VALUE"""),"成本 - 進場前裝潢費")</f>
        <v>成本 - 進場前裝潢費</v>
      </c>
      <c r="D74" s="270">
        <f>IFERROR(__xludf.DUMMYFUNCTION("""COMPUTED_VALUE"""),-150.0)</f>
        <v>-150</v>
      </c>
      <c r="E74" t="str">
        <f>IFERROR(__xludf.DUMMYFUNCTION("""COMPUTED_VALUE"""),"Ben帳戶")</f>
        <v>Ben帳戶</v>
      </c>
      <c r="G74" t="str">
        <f>IFERROR(__xludf.DUMMYFUNCTION("""COMPUTED_VALUE"""),"龍江229")</f>
        <v>龍江229</v>
      </c>
      <c r="H74" s="106" t="str">
        <f t="shared" si="1"/>
        <v>2023-12</v>
      </c>
      <c r="I74" s="271" t="str">
        <f>IFERROR(__xludf.DUMMYFUNCTION("""COMPUTED_VALUE"""),"貓狗企鵝")</f>
        <v>貓狗企鵝</v>
      </c>
      <c r="J74" t="str">
        <f>IFERROR(__xludf.DUMMYFUNCTION("IFS(
  AND(REGEXMATCH(E74, ""台銀籌備帳戶|玉山帳戶""), REGEXMATCH(C74, ""薪資"")), ""分潤支出"",
  AND(REGEXMATCH(E74, ""Ben帳戶|Elsa帳戶|Ben代墊|Ariel代墊|中信銀行共用""), REGEXMATCH(F74, ""Ben帳戶|Elsa帳戶|Ben代墊|Ariel代墊|中信銀行共用"")), ""內部轉帳(忽略)"",
  AND(E74&lt;&gt;"""", F74&lt;&gt;"""", NOT(REGEXMATC"&amp;"H(C74, ""薪資""))), ""內部轉帳(忽略)"",
  REGEXMATCH(C74, ""薪資""), ""薪資變動(不計入)"",
  REGEXMATCH(C74, ""押金""), ""押金往來"",
  AND(E74&lt;&gt;"""", F74=""""), ""真實支出"",
  AND(E74="""", F74&lt;&gt;""""), ""真實收入"",
  TRUE, ""其他""
)"),"真實支出")</f>
        <v>真實支出</v>
      </c>
      <c r="K74" s="270">
        <f t="shared" si="2"/>
        <v>-150</v>
      </c>
      <c r="L74">
        <f t="shared" si="3"/>
        <v>0</v>
      </c>
    </row>
    <row r="75">
      <c r="A75" s="107">
        <f>IFERROR(__xludf.DUMMYFUNCTION("""COMPUTED_VALUE"""),45276.0)</f>
        <v>45276</v>
      </c>
      <c r="B75" t="str">
        <f>IFERROR(__xludf.DUMMYFUNCTION("""COMPUTED_VALUE"""),"軟裝")</f>
        <v>軟裝</v>
      </c>
      <c r="C75" t="str">
        <f>IFERROR(__xludf.DUMMYFUNCTION("""COMPUTED_VALUE"""),"成本 - 進場前裝潢費")</f>
        <v>成本 - 進場前裝潢費</v>
      </c>
      <c r="D75" s="270">
        <f>IFERROR(__xludf.DUMMYFUNCTION("""COMPUTED_VALUE"""),-1080.0)</f>
        <v>-1080</v>
      </c>
      <c r="E75" t="str">
        <f>IFERROR(__xludf.DUMMYFUNCTION("""COMPUTED_VALUE"""),"Ben帳戶")</f>
        <v>Ben帳戶</v>
      </c>
      <c r="G75" t="str">
        <f>IFERROR(__xludf.DUMMYFUNCTION("""COMPUTED_VALUE"""),"龍江229")</f>
        <v>龍江229</v>
      </c>
      <c r="H75" s="106" t="str">
        <f t="shared" si="1"/>
        <v>2023-12</v>
      </c>
      <c r="I75" s="271" t="str">
        <f>IFERROR(__xludf.DUMMYFUNCTION("""COMPUTED_VALUE"""),"貓狗企鵝")</f>
        <v>貓狗企鵝</v>
      </c>
      <c r="J75" t="str">
        <f>IFERROR(__xludf.DUMMYFUNCTION("IFS(
  AND(REGEXMATCH(E75, ""台銀籌備帳戶|玉山帳戶""), REGEXMATCH(C75, ""薪資"")), ""分潤支出"",
  AND(REGEXMATCH(E75, ""Ben帳戶|Elsa帳戶|Ben代墊|Ariel代墊|中信銀行共用""), REGEXMATCH(F75, ""Ben帳戶|Elsa帳戶|Ben代墊|Ariel代墊|中信銀行共用"")), ""內部轉帳(忽略)"",
  AND(E75&lt;&gt;"""", F75&lt;&gt;"""", NOT(REGEXMATC"&amp;"H(C75, ""薪資""))), ""內部轉帳(忽略)"",
  REGEXMATCH(C75, ""薪資""), ""薪資變動(不計入)"",
  REGEXMATCH(C75, ""押金""), ""押金往來"",
  AND(E75&lt;&gt;"""", F75=""""), ""真實支出"",
  AND(E75="""", F75&lt;&gt;""""), ""真實收入"",
  TRUE, ""其他""
)"),"真實支出")</f>
        <v>真實支出</v>
      </c>
      <c r="K75" s="270">
        <f t="shared" si="2"/>
        <v>-1080</v>
      </c>
      <c r="L75">
        <f t="shared" si="3"/>
        <v>0</v>
      </c>
    </row>
    <row r="76">
      <c r="A76" s="107">
        <f>IFERROR(__xludf.DUMMYFUNCTION("""COMPUTED_VALUE"""),45276.0)</f>
        <v>45276</v>
      </c>
      <c r="B76" t="str">
        <f>IFERROR(__xludf.DUMMYFUNCTION("""COMPUTED_VALUE"""),"拖把+2馬桶刷")</f>
        <v>拖把+2馬桶刷</v>
      </c>
      <c r="C76" t="str">
        <f>IFERROR(__xludf.DUMMYFUNCTION("""COMPUTED_VALUE"""),"成本 - 進場前裝潢費")</f>
        <v>成本 - 進場前裝潢費</v>
      </c>
      <c r="D76" s="270">
        <f>IFERROR(__xludf.DUMMYFUNCTION("""COMPUTED_VALUE"""),-447.0)</f>
        <v>-447</v>
      </c>
      <c r="E76" t="str">
        <f>IFERROR(__xludf.DUMMYFUNCTION("""COMPUTED_VALUE"""),"Elsa帳戶")</f>
        <v>Elsa帳戶</v>
      </c>
      <c r="G76" t="str">
        <f>IFERROR(__xludf.DUMMYFUNCTION("""COMPUTED_VALUE"""),"龍江229")</f>
        <v>龍江229</v>
      </c>
      <c r="H76" s="106" t="str">
        <f t="shared" si="1"/>
        <v>2023-12</v>
      </c>
      <c r="I76" s="271" t="str">
        <f>IFERROR(__xludf.DUMMYFUNCTION("""COMPUTED_VALUE"""),"貓狗企鵝")</f>
        <v>貓狗企鵝</v>
      </c>
      <c r="J76" t="str">
        <f>IFERROR(__xludf.DUMMYFUNCTION("IFS(
  AND(REGEXMATCH(E76, ""台銀籌備帳戶|玉山帳戶""), REGEXMATCH(C76, ""薪資"")), ""分潤支出"",
  AND(REGEXMATCH(E76, ""Ben帳戶|Elsa帳戶|Ben代墊|Ariel代墊|中信銀行共用""), REGEXMATCH(F76, ""Ben帳戶|Elsa帳戶|Ben代墊|Ariel代墊|中信銀行共用"")), ""內部轉帳(忽略)"",
  AND(E76&lt;&gt;"""", F76&lt;&gt;"""", NOT(REGEXMATC"&amp;"H(C76, ""薪資""))), ""內部轉帳(忽略)"",
  REGEXMATCH(C76, ""薪資""), ""薪資變動(不計入)"",
  REGEXMATCH(C76, ""押金""), ""押金往來"",
  AND(E76&lt;&gt;"""", F76=""""), ""真實支出"",
  AND(E76="""", F76&lt;&gt;""""), ""真實收入"",
  TRUE, ""其他""
)"),"真實支出")</f>
        <v>真實支出</v>
      </c>
      <c r="K76" s="270">
        <f t="shared" si="2"/>
        <v>-447</v>
      </c>
      <c r="L76">
        <f t="shared" si="3"/>
        <v>0</v>
      </c>
    </row>
    <row r="77">
      <c r="A77" s="107">
        <f>IFERROR(__xludf.DUMMYFUNCTION("""COMPUTED_VALUE"""),45276.0)</f>
        <v>45276</v>
      </c>
      <c r="B77" t="str">
        <f>IFERROR(__xludf.DUMMYFUNCTION("""COMPUTED_VALUE"""),"保潔墊*4")</f>
        <v>保潔墊*4</v>
      </c>
      <c r="C77" t="str">
        <f>IFERROR(__xludf.DUMMYFUNCTION("""COMPUTED_VALUE"""),"成本 - 進場前裝潢費")</f>
        <v>成本 - 進場前裝潢費</v>
      </c>
      <c r="D77" s="270">
        <f>IFERROR(__xludf.DUMMYFUNCTION("""COMPUTED_VALUE"""),-740.0)</f>
        <v>-740</v>
      </c>
      <c r="E77" t="str">
        <f>IFERROR(__xludf.DUMMYFUNCTION("""COMPUTED_VALUE"""),"Elsa帳戶")</f>
        <v>Elsa帳戶</v>
      </c>
      <c r="G77" t="str">
        <f>IFERROR(__xludf.DUMMYFUNCTION("""COMPUTED_VALUE"""),"龍江229")</f>
        <v>龍江229</v>
      </c>
      <c r="H77" s="106" t="str">
        <f t="shared" si="1"/>
        <v>2023-12</v>
      </c>
      <c r="I77" s="271" t="str">
        <f>IFERROR(__xludf.DUMMYFUNCTION("""COMPUTED_VALUE"""),"貓狗企鵝")</f>
        <v>貓狗企鵝</v>
      </c>
      <c r="J77" t="str">
        <f>IFERROR(__xludf.DUMMYFUNCTION("IFS(
  AND(REGEXMATCH(E77, ""台銀籌備帳戶|玉山帳戶""), REGEXMATCH(C77, ""薪資"")), ""分潤支出"",
  AND(REGEXMATCH(E77, ""Ben帳戶|Elsa帳戶|Ben代墊|Ariel代墊|中信銀行共用""), REGEXMATCH(F77, ""Ben帳戶|Elsa帳戶|Ben代墊|Ariel代墊|中信銀行共用"")), ""內部轉帳(忽略)"",
  AND(E77&lt;&gt;"""", F77&lt;&gt;"""", NOT(REGEXMATC"&amp;"H(C77, ""薪資""))), ""內部轉帳(忽略)"",
  REGEXMATCH(C77, ""薪資""), ""薪資變動(不計入)"",
  REGEXMATCH(C77, ""押金""), ""押金往來"",
  AND(E77&lt;&gt;"""", F77=""""), ""真實支出"",
  AND(E77="""", F77&lt;&gt;""""), ""真實收入"",
  TRUE, ""其他""
)"),"真實支出")</f>
        <v>真實支出</v>
      </c>
      <c r="K77" s="270">
        <f t="shared" si="2"/>
        <v>-740</v>
      </c>
      <c r="L77">
        <f t="shared" si="3"/>
        <v>0</v>
      </c>
    </row>
    <row r="78">
      <c r="A78" s="107">
        <f>IFERROR(__xludf.DUMMYFUNCTION("""COMPUTED_VALUE"""),45278.0)</f>
        <v>45278</v>
      </c>
      <c r="B78" t="str">
        <f>IFERROR(__xludf.DUMMYFUNCTION("""COMPUTED_VALUE"""),"油漆 丁")</f>
        <v>油漆 丁</v>
      </c>
      <c r="C78" t="str">
        <f>IFERROR(__xludf.DUMMYFUNCTION("""COMPUTED_VALUE"""),"成本 - 進場前裝潢費")</f>
        <v>成本 - 進場前裝潢費</v>
      </c>
      <c r="D78" s="270">
        <f>IFERROR(__xludf.DUMMYFUNCTION("""COMPUTED_VALUE"""),-106600.0)</f>
        <v>-106600</v>
      </c>
      <c r="E78" t="str">
        <f>IFERROR(__xludf.DUMMYFUNCTION("""COMPUTED_VALUE"""),"Ben帳戶")</f>
        <v>Ben帳戶</v>
      </c>
      <c r="G78" t="str">
        <f>IFERROR(__xludf.DUMMYFUNCTION("""COMPUTED_VALUE"""),"龍江229")</f>
        <v>龍江229</v>
      </c>
      <c r="H78" s="106" t="str">
        <f t="shared" si="1"/>
        <v>2023-12</v>
      </c>
      <c r="I78" s="271" t="str">
        <f>IFERROR(__xludf.DUMMYFUNCTION("""COMPUTED_VALUE"""),"貓狗企鵝")</f>
        <v>貓狗企鵝</v>
      </c>
      <c r="J78" t="str">
        <f>IFERROR(__xludf.DUMMYFUNCTION("IFS(
  AND(REGEXMATCH(E78, ""台銀籌備帳戶|玉山帳戶""), REGEXMATCH(C78, ""薪資"")), ""分潤支出"",
  AND(REGEXMATCH(E78, ""Ben帳戶|Elsa帳戶|Ben代墊|Ariel代墊|中信銀行共用""), REGEXMATCH(F78, ""Ben帳戶|Elsa帳戶|Ben代墊|Ariel代墊|中信銀行共用"")), ""內部轉帳(忽略)"",
  AND(E78&lt;&gt;"""", F78&lt;&gt;"""", NOT(REGEXMATC"&amp;"H(C78, ""薪資""))), ""內部轉帳(忽略)"",
  REGEXMATCH(C78, ""薪資""), ""薪資變動(不計入)"",
  REGEXMATCH(C78, ""押金""), ""押金往來"",
  AND(E78&lt;&gt;"""", F78=""""), ""真實支出"",
  AND(E78="""", F78&lt;&gt;""""), ""真實收入"",
  TRUE, ""其他""
)"),"真實支出")</f>
        <v>真實支出</v>
      </c>
      <c r="K78" s="270">
        <f t="shared" si="2"/>
        <v>-106600</v>
      </c>
      <c r="L78">
        <f t="shared" si="3"/>
        <v>0</v>
      </c>
    </row>
    <row r="79">
      <c r="A79" s="107">
        <f>IFERROR(__xludf.DUMMYFUNCTION("""COMPUTED_VALUE"""),45278.0)</f>
        <v>45278</v>
      </c>
      <c r="B79" t="str">
        <f>IFERROR(__xludf.DUMMYFUNCTION("""COMPUTED_VALUE"""),"淘寶運費*2")</f>
        <v>淘寶運費*2</v>
      </c>
      <c r="C79" t="str">
        <f>IFERROR(__xludf.DUMMYFUNCTION("""COMPUTED_VALUE"""),"成本 - 進場前裝潢費")</f>
        <v>成本 - 進場前裝潢費</v>
      </c>
      <c r="D79" s="270">
        <f>IFERROR(__xludf.DUMMYFUNCTION("""COMPUTED_VALUE"""),-1300.0)</f>
        <v>-1300</v>
      </c>
      <c r="E79" t="str">
        <f>IFERROR(__xludf.DUMMYFUNCTION("""COMPUTED_VALUE"""),"Ben帳戶")</f>
        <v>Ben帳戶</v>
      </c>
      <c r="G79" t="str">
        <f>IFERROR(__xludf.DUMMYFUNCTION("""COMPUTED_VALUE"""),"龍江229")</f>
        <v>龍江229</v>
      </c>
      <c r="H79" s="106" t="str">
        <f t="shared" si="1"/>
        <v>2023-12</v>
      </c>
      <c r="I79" s="271" t="str">
        <f>IFERROR(__xludf.DUMMYFUNCTION("""COMPUTED_VALUE"""),"貓狗企鵝")</f>
        <v>貓狗企鵝</v>
      </c>
      <c r="J79" t="str">
        <f>IFERROR(__xludf.DUMMYFUNCTION("IFS(
  AND(REGEXMATCH(E79, ""台銀籌備帳戶|玉山帳戶""), REGEXMATCH(C79, ""薪資"")), ""分潤支出"",
  AND(REGEXMATCH(E79, ""Ben帳戶|Elsa帳戶|Ben代墊|Ariel代墊|中信銀行共用""), REGEXMATCH(F79, ""Ben帳戶|Elsa帳戶|Ben代墊|Ariel代墊|中信銀行共用"")), ""內部轉帳(忽略)"",
  AND(E79&lt;&gt;"""", F79&lt;&gt;"""", NOT(REGEXMATC"&amp;"H(C79, ""薪資""))), ""內部轉帳(忽略)"",
  REGEXMATCH(C79, ""薪資""), ""薪資變動(不計入)"",
  REGEXMATCH(C79, ""押金""), ""押金往來"",
  AND(E79&lt;&gt;"""", F79=""""), ""真實支出"",
  AND(E79="""", F79&lt;&gt;""""), ""真實收入"",
  TRUE, ""其他""
)"),"真實支出")</f>
        <v>真實支出</v>
      </c>
      <c r="K79" s="270">
        <f t="shared" si="2"/>
        <v>-1300</v>
      </c>
      <c r="L79">
        <f t="shared" si="3"/>
        <v>0</v>
      </c>
    </row>
    <row r="80">
      <c r="A80" s="107">
        <f>IFERROR(__xludf.DUMMYFUNCTION("""COMPUTED_VALUE"""),45278.0)</f>
        <v>45278</v>
      </c>
      <c r="B80" t="str">
        <f>IFERROR(__xludf.DUMMYFUNCTION("""COMPUTED_VALUE"""),"永春四號A辜馨嬅")</f>
        <v>永春四號A辜馨嬅</v>
      </c>
      <c r="C80" t="str">
        <f>IFERROR(__xludf.DUMMYFUNCTION("""COMPUTED_VALUE"""),"收入 - 租金")</f>
        <v>收入 - 租金</v>
      </c>
      <c r="D80" s="270">
        <f>IFERROR(__xludf.DUMMYFUNCTION("""COMPUTED_VALUE"""),69400.0)</f>
        <v>69400</v>
      </c>
      <c r="F80" t="str">
        <f>IFERROR(__xludf.DUMMYFUNCTION("""COMPUTED_VALUE"""),"台銀籌備帳戶")</f>
        <v>台銀籌備帳戶</v>
      </c>
      <c r="G80" t="str">
        <f>IFERROR(__xludf.DUMMYFUNCTION("""COMPUTED_VALUE"""),"永春四號")</f>
        <v>永春四號</v>
      </c>
      <c r="H80" s="106" t="str">
        <f t="shared" si="1"/>
        <v>2023-12</v>
      </c>
      <c r="I80" s="271" t="str">
        <f>IFERROR(__xludf.DUMMYFUNCTION("""COMPUTED_VALUE"""),"貓狗企鵝")</f>
        <v>貓狗企鵝</v>
      </c>
      <c r="J80" t="str">
        <f>IFERROR(__xludf.DUMMYFUNCTION("IFS(
  AND(REGEXMATCH(E80, ""台銀籌備帳戶|玉山帳戶""), REGEXMATCH(C80, ""薪資"")), ""分潤支出"",
  AND(REGEXMATCH(E80, ""Ben帳戶|Elsa帳戶|Ben代墊|Ariel代墊|中信銀行共用""), REGEXMATCH(F80, ""Ben帳戶|Elsa帳戶|Ben代墊|Ariel代墊|中信銀行共用"")), ""內部轉帳(忽略)"",
  AND(E80&lt;&gt;"""", F80&lt;&gt;"""", NOT(REGEXMATC"&amp;"H(C80, ""薪資""))), ""內部轉帳(忽略)"",
  REGEXMATCH(C80, ""薪資""), ""薪資變動(不計入)"",
  REGEXMATCH(C80, ""押金""), ""押金往來"",
  AND(E80&lt;&gt;"""", F80=""""), ""真實支出"",
  AND(E80="""", F80&lt;&gt;""""), ""真實收入"",
  TRUE, ""其他""
)"),"真實收入")</f>
        <v>真實收入</v>
      </c>
      <c r="K80" s="270">
        <f t="shared" si="2"/>
        <v>69400</v>
      </c>
      <c r="L80">
        <f t="shared" si="3"/>
        <v>0</v>
      </c>
    </row>
    <row r="81">
      <c r="A81" s="107">
        <f>IFERROR(__xludf.DUMMYFUNCTION("""COMPUTED_VALUE"""),45278.0)</f>
        <v>45278</v>
      </c>
      <c r="B81" t="str">
        <f>IFERROR(__xludf.DUMMYFUNCTION("""COMPUTED_VALUE"""),"永春四號A辜馨嬅")</f>
        <v>永春四號A辜馨嬅</v>
      </c>
      <c r="C81" t="str">
        <f>IFERROR(__xludf.DUMMYFUNCTION("""COMPUTED_VALUE"""),"收入 - 押金")</f>
        <v>收入 - 押金</v>
      </c>
      <c r="D81" s="270">
        <f>IFERROR(__xludf.DUMMYFUNCTION("""COMPUTED_VALUE"""),25800.0)</f>
        <v>25800</v>
      </c>
      <c r="F81" t="str">
        <f>IFERROR(__xludf.DUMMYFUNCTION("""COMPUTED_VALUE"""),"台銀籌備帳戶")</f>
        <v>台銀籌備帳戶</v>
      </c>
      <c r="G81" t="str">
        <f>IFERROR(__xludf.DUMMYFUNCTION("""COMPUTED_VALUE"""),"永春四號")</f>
        <v>永春四號</v>
      </c>
      <c r="H81" s="106" t="str">
        <f t="shared" si="1"/>
        <v>2023-12</v>
      </c>
      <c r="I81" s="271" t="str">
        <f>IFERROR(__xludf.DUMMYFUNCTION("""COMPUTED_VALUE"""),"貓狗企鵝")</f>
        <v>貓狗企鵝</v>
      </c>
      <c r="J81" t="str">
        <f>IFERROR(__xludf.DUMMYFUNCTION("IFS(
  AND(REGEXMATCH(E81, ""台銀籌備帳戶|玉山帳戶""), REGEXMATCH(C81, ""薪資"")), ""分潤支出"",
  AND(REGEXMATCH(E81, ""Ben帳戶|Elsa帳戶|Ben代墊|Ariel代墊|中信銀行共用""), REGEXMATCH(F81, ""Ben帳戶|Elsa帳戶|Ben代墊|Ariel代墊|中信銀行共用"")), ""內部轉帳(忽略)"",
  AND(E81&lt;&gt;"""", F81&lt;&gt;"""", NOT(REGEXMATC"&amp;"H(C81, ""薪資""))), ""內部轉帳(忽略)"",
  REGEXMATCH(C81, ""薪資""), ""薪資變動(不計入)"",
  REGEXMATCH(C81, ""押金""), ""押金往來"",
  AND(E81&lt;&gt;"""", F81=""""), ""真實支出"",
  AND(E81="""", F81&lt;&gt;""""), ""真實收入"",
  TRUE, ""其他""
)"),"押金往來")</f>
        <v>押金往來</v>
      </c>
      <c r="K81">
        <f t="shared" si="2"/>
        <v>0</v>
      </c>
      <c r="L81">
        <f t="shared" si="3"/>
        <v>0</v>
      </c>
    </row>
    <row r="82">
      <c r="A82" s="107">
        <f>IFERROR(__xludf.DUMMYFUNCTION("""COMPUTED_VALUE"""),45280.0)</f>
        <v>45280</v>
      </c>
      <c r="B82" t="str">
        <f>IFERROR(__xludf.DUMMYFUNCTION("""COMPUTED_VALUE"""),"北督網路+安裝+押金，已付1年")</f>
        <v>北督網路+安裝+押金，已付1年</v>
      </c>
      <c r="C82" t="str">
        <f>IFERROR(__xludf.DUMMYFUNCTION("""COMPUTED_VALUE"""),"成本 - 進場前裝潢費")</f>
        <v>成本 - 進場前裝潢費</v>
      </c>
      <c r="D82" s="270">
        <f>IFERROR(__xludf.DUMMYFUNCTION("""COMPUTED_VALUE"""),-3597.0)</f>
        <v>-3597</v>
      </c>
      <c r="E82" t="str">
        <f>IFERROR(__xludf.DUMMYFUNCTION("""COMPUTED_VALUE"""),"Elsa帳戶")</f>
        <v>Elsa帳戶</v>
      </c>
      <c r="G82" t="str">
        <f>IFERROR(__xludf.DUMMYFUNCTION("""COMPUTED_VALUE"""),"龍江229")</f>
        <v>龍江229</v>
      </c>
      <c r="H82" s="106" t="str">
        <f t="shared" si="1"/>
        <v>2023-12</v>
      </c>
      <c r="I82" s="271" t="str">
        <f>IFERROR(__xludf.DUMMYFUNCTION("""COMPUTED_VALUE"""),"貓狗企鵝")</f>
        <v>貓狗企鵝</v>
      </c>
      <c r="J82" t="str">
        <f>IFERROR(__xludf.DUMMYFUNCTION("IFS(
  AND(REGEXMATCH(E82, ""台銀籌備帳戶|玉山帳戶""), REGEXMATCH(C82, ""薪資"")), ""分潤支出"",
  AND(REGEXMATCH(E82, ""Ben帳戶|Elsa帳戶|Ben代墊|Ariel代墊|中信銀行共用""), REGEXMATCH(F82, ""Ben帳戶|Elsa帳戶|Ben代墊|Ariel代墊|中信銀行共用"")), ""內部轉帳(忽略)"",
  AND(E82&lt;&gt;"""", F82&lt;&gt;"""", NOT(REGEXMATC"&amp;"H(C82, ""薪資""))), ""內部轉帳(忽略)"",
  REGEXMATCH(C82, ""薪資""), ""薪資變動(不計入)"",
  REGEXMATCH(C82, ""押金""), ""押金往來"",
  AND(E82&lt;&gt;"""", F82=""""), ""真實支出"",
  AND(E82="""", F82&lt;&gt;""""), ""真實收入"",
  TRUE, ""其他""
)"),"真實支出")</f>
        <v>真實支出</v>
      </c>
      <c r="K82" s="270">
        <f t="shared" si="2"/>
        <v>-3597</v>
      </c>
      <c r="L82">
        <f t="shared" si="3"/>
        <v>0</v>
      </c>
    </row>
    <row r="83">
      <c r="A83" s="107">
        <f>IFERROR(__xludf.DUMMYFUNCTION("""COMPUTED_VALUE"""),45281.0)</f>
        <v>45281</v>
      </c>
      <c r="B83" t="str">
        <f>IFERROR(__xludf.DUMMYFUNCTION("""COMPUTED_VALUE"""),"淘寶運費")</f>
        <v>淘寶運費</v>
      </c>
      <c r="C83" t="str">
        <f>IFERROR(__xludf.DUMMYFUNCTION("""COMPUTED_VALUE"""),"成本 - 進場前裝潢費")</f>
        <v>成本 - 進場前裝潢費</v>
      </c>
      <c r="D83" s="270">
        <f>IFERROR(__xludf.DUMMYFUNCTION("""COMPUTED_VALUE"""),-6228.0)</f>
        <v>-6228</v>
      </c>
      <c r="E83" t="str">
        <f>IFERROR(__xludf.DUMMYFUNCTION("""COMPUTED_VALUE"""),"Ben帳戶")</f>
        <v>Ben帳戶</v>
      </c>
      <c r="G83" t="str">
        <f>IFERROR(__xludf.DUMMYFUNCTION("""COMPUTED_VALUE"""),"龍江229")</f>
        <v>龍江229</v>
      </c>
      <c r="H83" s="106" t="str">
        <f t="shared" si="1"/>
        <v>2023-12</v>
      </c>
      <c r="I83" s="271" t="str">
        <f>IFERROR(__xludf.DUMMYFUNCTION("""COMPUTED_VALUE"""),"貓狗企鵝")</f>
        <v>貓狗企鵝</v>
      </c>
      <c r="J83" t="str">
        <f>IFERROR(__xludf.DUMMYFUNCTION("IFS(
  AND(REGEXMATCH(E83, ""台銀籌備帳戶|玉山帳戶""), REGEXMATCH(C83, ""薪資"")), ""分潤支出"",
  AND(REGEXMATCH(E83, ""Ben帳戶|Elsa帳戶|Ben代墊|Ariel代墊|中信銀行共用""), REGEXMATCH(F83, ""Ben帳戶|Elsa帳戶|Ben代墊|Ariel代墊|中信銀行共用"")), ""內部轉帳(忽略)"",
  AND(E83&lt;&gt;"""", F83&lt;&gt;"""", NOT(REGEXMATC"&amp;"H(C83, ""薪資""))), ""內部轉帳(忽略)"",
  REGEXMATCH(C83, ""薪資""), ""薪資變動(不計入)"",
  REGEXMATCH(C83, ""押金""), ""押金往來"",
  AND(E83&lt;&gt;"""", F83=""""), ""真實支出"",
  AND(E83="""", F83&lt;&gt;""""), ""真實收入"",
  TRUE, ""其他""
)"),"真實支出")</f>
        <v>真實支出</v>
      </c>
      <c r="K83" s="270">
        <f t="shared" si="2"/>
        <v>-6228</v>
      </c>
      <c r="L83">
        <f t="shared" si="3"/>
        <v>0</v>
      </c>
    </row>
    <row r="84">
      <c r="A84" s="107">
        <f>IFERROR(__xludf.DUMMYFUNCTION("""COMPUTED_VALUE"""),45281.0)</f>
        <v>45281</v>
      </c>
      <c r="B84" t="str">
        <f>IFERROR(__xludf.DUMMYFUNCTION("""COMPUTED_VALUE"""),"坎燈*7")</f>
        <v>坎燈*7</v>
      </c>
      <c r="C84" t="str">
        <f>IFERROR(__xludf.DUMMYFUNCTION("""COMPUTED_VALUE"""),"成本 - 進場前裝潢費")</f>
        <v>成本 - 進場前裝潢費</v>
      </c>
      <c r="D84" s="270">
        <f>IFERROR(__xludf.DUMMYFUNCTION("""COMPUTED_VALUE"""),-1050.0)</f>
        <v>-1050</v>
      </c>
      <c r="E84" t="str">
        <f>IFERROR(__xludf.DUMMYFUNCTION("""COMPUTED_VALUE"""),"Ben帳戶")</f>
        <v>Ben帳戶</v>
      </c>
      <c r="G84" t="str">
        <f>IFERROR(__xludf.DUMMYFUNCTION("""COMPUTED_VALUE"""),"龍江229")</f>
        <v>龍江229</v>
      </c>
      <c r="H84" s="106" t="str">
        <f t="shared" si="1"/>
        <v>2023-12</v>
      </c>
      <c r="I84" s="271" t="str">
        <f>IFERROR(__xludf.DUMMYFUNCTION("""COMPUTED_VALUE"""),"貓狗企鵝")</f>
        <v>貓狗企鵝</v>
      </c>
      <c r="J84" t="str">
        <f>IFERROR(__xludf.DUMMYFUNCTION("IFS(
  AND(REGEXMATCH(E84, ""台銀籌備帳戶|玉山帳戶""), REGEXMATCH(C84, ""薪資"")), ""分潤支出"",
  AND(REGEXMATCH(E84, ""Ben帳戶|Elsa帳戶|Ben代墊|Ariel代墊|中信銀行共用""), REGEXMATCH(F84, ""Ben帳戶|Elsa帳戶|Ben代墊|Ariel代墊|中信銀行共用"")), ""內部轉帳(忽略)"",
  AND(E84&lt;&gt;"""", F84&lt;&gt;"""", NOT(REGEXMATC"&amp;"H(C84, ""薪資""))), ""內部轉帳(忽略)"",
  REGEXMATCH(C84, ""薪資""), ""薪資變動(不計入)"",
  REGEXMATCH(C84, ""押金""), ""押金往來"",
  AND(E84&lt;&gt;"""", F84=""""), ""真實支出"",
  AND(E84="""", F84&lt;&gt;""""), ""真實收入"",
  TRUE, ""其他""
)"),"真實支出")</f>
        <v>真實支出</v>
      </c>
      <c r="K84" s="270">
        <f t="shared" si="2"/>
        <v>-1050</v>
      </c>
      <c r="L84">
        <f t="shared" si="3"/>
        <v>0</v>
      </c>
    </row>
    <row r="85">
      <c r="A85" s="107">
        <f>IFERROR(__xludf.DUMMYFUNCTION("""COMPUTED_VALUE"""),45281.0)</f>
        <v>45281</v>
      </c>
      <c r="B85" t="str">
        <f>IFERROR(__xludf.DUMMYFUNCTION("""COMPUTED_VALUE"""),"濾水器 感應燈")</f>
        <v>濾水器 感應燈</v>
      </c>
      <c r="C85" t="str">
        <f>IFERROR(__xludf.DUMMYFUNCTION("""COMPUTED_VALUE"""),"成本 - 進場前裝潢費")</f>
        <v>成本 - 進場前裝潢費</v>
      </c>
      <c r="D85" s="270">
        <f>IFERROR(__xludf.DUMMYFUNCTION("""COMPUTED_VALUE"""),-4539.0)</f>
        <v>-4539</v>
      </c>
      <c r="E85" t="str">
        <f>IFERROR(__xludf.DUMMYFUNCTION("""COMPUTED_VALUE"""),"Ben帳戶")</f>
        <v>Ben帳戶</v>
      </c>
      <c r="G85" t="str">
        <f>IFERROR(__xludf.DUMMYFUNCTION("""COMPUTED_VALUE"""),"龍江229")</f>
        <v>龍江229</v>
      </c>
      <c r="H85" s="106" t="str">
        <f t="shared" si="1"/>
        <v>2023-12</v>
      </c>
      <c r="I85" s="271" t="str">
        <f>IFERROR(__xludf.DUMMYFUNCTION("""COMPUTED_VALUE"""),"貓狗企鵝")</f>
        <v>貓狗企鵝</v>
      </c>
      <c r="J85" t="str">
        <f>IFERROR(__xludf.DUMMYFUNCTION("IFS(
  AND(REGEXMATCH(E85, ""台銀籌備帳戶|玉山帳戶""), REGEXMATCH(C85, ""薪資"")), ""分潤支出"",
  AND(REGEXMATCH(E85, ""Ben帳戶|Elsa帳戶|Ben代墊|Ariel代墊|中信銀行共用""), REGEXMATCH(F85, ""Ben帳戶|Elsa帳戶|Ben代墊|Ariel代墊|中信銀行共用"")), ""內部轉帳(忽略)"",
  AND(E85&lt;&gt;"""", F85&lt;&gt;"""", NOT(REGEXMATC"&amp;"H(C85, ""薪資""))), ""內部轉帳(忽略)"",
  REGEXMATCH(C85, ""薪資""), ""薪資變動(不計入)"",
  REGEXMATCH(C85, ""押金""), ""押金往來"",
  AND(E85&lt;&gt;"""", F85=""""), ""真實支出"",
  AND(E85="""", F85&lt;&gt;""""), ""真實收入"",
  TRUE, ""其他""
)"),"真實支出")</f>
        <v>真實支出</v>
      </c>
      <c r="K85" s="270">
        <f t="shared" si="2"/>
        <v>-4539</v>
      </c>
      <c r="L85">
        <f t="shared" si="3"/>
        <v>0</v>
      </c>
    </row>
    <row r="86">
      <c r="A86" s="107">
        <f>IFERROR(__xludf.DUMMYFUNCTION("""COMPUTED_VALUE"""),45281.0)</f>
        <v>45281</v>
      </c>
      <c r="B86" t="str">
        <f>IFERROR(__xludf.DUMMYFUNCTION("""COMPUTED_VALUE"""),"軟裝 乾燥花")</f>
        <v>軟裝 乾燥花</v>
      </c>
      <c r="C86" t="str">
        <f>IFERROR(__xludf.DUMMYFUNCTION("""COMPUTED_VALUE"""),"成本 - 進場前裝潢費")</f>
        <v>成本 - 進場前裝潢費</v>
      </c>
      <c r="D86" s="270">
        <f>IFERROR(__xludf.DUMMYFUNCTION("""COMPUTED_VALUE"""),-1500.0)</f>
        <v>-1500</v>
      </c>
      <c r="E86" t="str">
        <f>IFERROR(__xludf.DUMMYFUNCTION("""COMPUTED_VALUE"""),"Ben帳戶")</f>
        <v>Ben帳戶</v>
      </c>
      <c r="G86" t="str">
        <f>IFERROR(__xludf.DUMMYFUNCTION("""COMPUTED_VALUE"""),"龍江229")</f>
        <v>龍江229</v>
      </c>
      <c r="H86" s="106" t="str">
        <f t="shared" si="1"/>
        <v>2023-12</v>
      </c>
      <c r="I86" s="271" t="str">
        <f>IFERROR(__xludf.DUMMYFUNCTION("""COMPUTED_VALUE"""),"貓狗企鵝")</f>
        <v>貓狗企鵝</v>
      </c>
      <c r="J86" t="str">
        <f>IFERROR(__xludf.DUMMYFUNCTION("IFS(
  AND(REGEXMATCH(E86, ""台銀籌備帳戶|玉山帳戶""), REGEXMATCH(C86, ""薪資"")), ""分潤支出"",
  AND(REGEXMATCH(E86, ""Ben帳戶|Elsa帳戶|Ben代墊|Ariel代墊|中信銀行共用""), REGEXMATCH(F86, ""Ben帳戶|Elsa帳戶|Ben代墊|Ariel代墊|中信銀行共用"")), ""內部轉帳(忽略)"",
  AND(E86&lt;&gt;"""", F86&lt;&gt;"""", NOT(REGEXMATC"&amp;"H(C86, ""薪資""))), ""內部轉帳(忽略)"",
  REGEXMATCH(C86, ""薪資""), ""薪資變動(不計入)"",
  REGEXMATCH(C86, ""押金""), ""押金往來"",
  AND(E86&lt;&gt;"""", F86=""""), ""真實支出"",
  AND(E86="""", F86&lt;&gt;""""), ""真實收入"",
  TRUE, ""其他""
)"),"真實支出")</f>
        <v>真實支出</v>
      </c>
      <c r="K86" s="270">
        <f t="shared" si="2"/>
        <v>-1500</v>
      </c>
      <c r="L86">
        <f t="shared" si="3"/>
        <v>0</v>
      </c>
    </row>
    <row r="87">
      <c r="A87" s="107">
        <f>IFERROR(__xludf.DUMMYFUNCTION("""COMPUTED_VALUE"""),45281.0)</f>
        <v>45281</v>
      </c>
      <c r="B87" t="str">
        <f>IFERROR(__xludf.DUMMYFUNCTION("""COMPUTED_VALUE"""),"利息")</f>
        <v>利息</v>
      </c>
      <c r="D87" s="270">
        <f>IFERROR(__xludf.DUMMYFUNCTION("""COMPUTED_VALUE"""),2565.0)</f>
        <v>2565</v>
      </c>
      <c r="F87" t="str">
        <f>IFERROR(__xludf.DUMMYFUNCTION("""COMPUTED_VALUE"""),"台銀籌備帳戶")</f>
        <v>台銀籌備帳戶</v>
      </c>
      <c r="H87" s="106" t="str">
        <f t="shared" si="1"/>
        <v>2023-12</v>
      </c>
      <c r="I87" s="271" t="str">
        <f>IFERROR(__xludf.DUMMYFUNCTION("""COMPUTED_VALUE"""),"貓狗企鵝")</f>
        <v>貓狗企鵝</v>
      </c>
      <c r="J87" t="str">
        <f>IFERROR(__xludf.DUMMYFUNCTION("IFS(
  AND(REGEXMATCH(E87, ""台銀籌備帳戶|玉山帳戶""), REGEXMATCH(C87, ""薪資"")), ""分潤支出"",
  AND(REGEXMATCH(E87, ""Ben帳戶|Elsa帳戶|Ben代墊|Ariel代墊|中信銀行共用""), REGEXMATCH(F87, ""Ben帳戶|Elsa帳戶|Ben代墊|Ariel代墊|中信銀行共用"")), ""內部轉帳(忽略)"",
  AND(E87&lt;&gt;"""", F87&lt;&gt;"""", NOT(REGEXMATC"&amp;"H(C87, ""薪資""))), ""內部轉帳(忽略)"",
  REGEXMATCH(C87, ""薪資""), ""薪資變動(不計入)"",
  REGEXMATCH(C87, ""押金""), ""押金往來"",
  AND(E87&lt;&gt;"""", F87=""""), ""真實支出"",
  AND(E87="""", F87&lt;&gt;""""), ""真實收入"",
  TRUE, ""其他""
)"),"真實收入")</f>
        <v>真實收入</v>
      </c>
      <c r="K87" s="270">
        <f t="shared" si="2"/>
        <v>2565</v>
      </c>
      <c r="L87">
        <f t="shared" si="3"/>
        <v>0</v>
      </c>
    </row>
    <row r="88">
      <c r="A88" s="107">
        <f>IFERROR(__xludf.DUMMYFUNCTION("""COMPUTED_VALUE"""),45282.0)</f>
        <v>45282</v>
      </c>
      <c r="B88" t="str">
        <f>IFERROR(__xludf.DUMMYFUNCTION("""COMPUTED_VALUE"""),"床安裝費")</f>
        <v>床安裝費</v>
      </c>
      <c r="C88" t="str">
        <f>IFERROR(__xludf.DUMMYFUNCTION("""COMPUTED_VALUE"""),"成本 - 進場前裝潢費")</f>
        <v>成本 - 進場前裝潢費</v>
      </c>
      <c r="D88" s="270">
        <f>IFERROR(__xludf.DUMMYFUNCTION("""COMPUTED_VALUE"""),-2600.0)</f>
        <v>-2600</v>
      </c>
      <c r="E88" t="str">
        <f>IFERROR(__xludf.DUMMYFUNCTION("""COMPUTED_VALUE"""),"Ben帳戶")</f>
        <v>Ben帳戶</v>
      </c>
      <c r="G88" t="str">
        <f>IFERROR(__xludf.DUMMYFUNCTION("""COMPUTED_VALUE"""),"龍江229")</f>
        <v>龍江229</v>
      </c>
      <c r="H88" s="106" t="str">
        <f t="shared" si="1"/>
        <v>2023-12</v>
      </c>
      <c r="I88" s="271" t="str">
        <f>IFERROR(__xludf.DUMMYFUNCTION("""COMPUTED_VALUE"""),"貓狗企鵝")</f>
        <v>貓狗企鵝</v>
      </c>
      <c r="J88" t="str">
        <f>IFERROR(__xludf.DUMMYFUNCTION("IFS(
  AND(REGEXMATCH(E88, ""台銀籌備帳戶|玉山帳戶""), REGEXMATCH(C88, ""薪資"")), ""分潤支出"",
  AND(REGEXMATCH(E88, ""Ben帳戶|Elsa帳戶|Ben代墊|Ariel代墊|中信銀行共用""), REGEXMATCH(F88, ""Ben帳戶|Elsa帳戶|Ben代墊|Ariel代墊|中信銀行共用"")), ""內部轉帳(忽略)"",
  AND(E88&lt;&gt;"""", F88&lt;&gt;"""", NOT(REGEXMATC"&amp;"H(C88, ""薪資""))), ""內部轉帳(忽略)"",
  REGEXMATCH(C88, ""薪資""), ""薪資變動(不計入)"",
  REGEXMATCH(C88, ""押金""), ""押金往來"",
  AND(E88&lt;&gt;"""", F88=""""), ""真實支出"",
  AND(E88="""", F88&lt;&gt;""""), ""真實收入"",
  TRUE, ""其他""
)"),"真實支出")</f>
        <v>真實支出</v>
      </c>
      <c r="K88" s="270">
        <f t="shared" si="2"/>
        <v>-2600</v>
      </c>
      <c r="L88">
        <f t="shared" si="3"/>
        <v>0</v>
      </c>
    </row>
    <row r="89">
      <c r="A89" s="107">
        <f>IFERROR(__xludf.DUMMYFUNCTION("""COMPUTED_VALUE"""),45283.0)</f>
        <v>45283</v>
      </c>
      <c r="B89" t="str">
        <f>IFERROR(__xludf.DUMMYFUNCTION("""COMPUTED_VALUE"""),"蝦皮廚房垃圾桶")</f>
        <v>蝦皮廚房垃圾桶</v>
      </c>
      <c r="C89" t="str">
        <f>IFERROR(__xludf.DUMMYFUNCTION("""COMPUTED_VALUE"""),"成本 - 進場前裝潢費")</f>
        <v>成本 - 進場前裝潢費</v>
      </c>
      <c r="D89" s="270">
        <f>IFERROR(__xludf.DUMMYFUNCTION("""COMPUTED_VALUE"""),-348.0)</f>
        <v>-348</v>
      </c>
      <c r="E89" t="str">
        <f>IFERROR(__xludf.DUMMYFUNCTION("""COMPUTED_VALUE"""),"Elsa帳戶")</f>
        <v>Elsa帳戶</v>
      </c>
      <c r="G89" t="str">
        <f>IFERROR(__xludf.DUMMYFUNCTION("""COMPUTED_VALUE"""),"龍江229")</f>
        <v>龍江229</v>
      </c>
      <c r="H89" s="106" t="str">
        <f t="shared" si="1"/>
        <v>2023-12</v>
      </c>
      <c r="I89" s="271" t="str">
        <f>IFERROR(__xludf.DUMMYFUNCTION("""COMPUTED_VALUE"""),"貓狗企鵝")</f>
        <v>貓狗企鵝</v>
      </c>
      <c r="J89" t="str">
        <f>IFERROR(__xludf.DUMMYFUNCTION("IFS(
  AND(REGEXMATCH(E89, ""台銀籌備帳戶|玉山帳戶""), REGEXMATCH(C89, ""薪資"")), ""分潤支出"",
  AND(REGEXMATCH(E89, ""Ben帳戶|Elsa帳戶|Ben代墊|Ariel代墊|中信銀行共用""), REGEXMATCH(F89, ""Ben帳戶|Elsa帳戶|Ben代墊|Ariel代墊|中信銀行共用"")), ""內部轉帳(忽略)"",
  AND(E89&lt;&gt;"""", F89&lt;&gt;"""", NOT(REGEXMATC"&amp;"H(C89, ""薪資""))), ""內部轉帳(忽略)"",
  REGEXMATCH(C89, ""薪資""), ""薪資變動(不計入)"",
  REGEXMATCH(C89, ""押金""), ""押金往來"",
  AND(E89&lt;&gt;"""", F89=""""), ""真實支出"",
  AND(E89="""", F89&lt;&gt;""""), ""真實收入"",
  TRUE, ""其他""
)"),"真實支出")</f>
        <v>真實支出</v>
      </c>
      <c r="K89" s="270">
        <f t="shared" si="2"/>
        <v>-348</v>
      </c>
      <c r="L89">
        <f t="shared" si="3"/>
        <v>0</v>
      </c>
    </row>
    <row r="90">
      <c r="A90" s="107">
        <f>IFERROR(__xludf.DUMMYFUNCTION("""COMPUTED_VALUE"""),45283.0)</f>
        <v>45283</v>
      </c>
      <c r="B90" t="str">
        <f>IFERROR(__xludf.DUMMYFUNCTION("""COMPUTED_VALUE"""),"蝦皮廁所垃圾桶*2")</f>
        <v>蝦皮廁所垃圾桶*2</v>
      </c>
      <c r="C90" t="str">
        <f>IFERROR(__xludf.DUMMYFUNCTION("""COMPUTED_VALUE"""),"成本 - 進場前裝潢費")</f>
        <v>成本 - 進場前裝潢費</v>
      </c>
      <c r="D90" s="270">
        <f>IFERROR(__xludf.DUMMYFUNCTION("""COMPUTED_VALUE"""),-541.0)</f>
        <v>-541</v>
      </c>
      <c r="E90" t="str">
        <f>IFERROR(__xludf.DUMMYFUNCTION("""COMPUTED_VALUE"""),"Elsa帳戶")</f>
        <v>Elsa帳戶</v>
      </c>
      <c r="G90" t="str">
        <f>IFERROR(__xludf.DUMMYFUNCTION("""COMPUTED_VALUE"""),"龍江229")</f>
        <v>龍江229</v>
      </c>
      <c r="H90" s="106" t="str">
        <f t="shared" si="1"/>
        <v>2023-12</v>
      </c>
      <c r="I90" s="271" t="str">
        <f>IFERROR(__xludf.DUMMYFUNCTION("""COMPUTED_VALUE"""),"貓狗企鵝")</f>
        <v>貓狗企鵝</v>
      </c>
      <c r="J90" t="str">
        <f>IFERROR(__xludf.DUMMYFUNCTION("IFS(
  AND(REGEXMATCH(E90, ""台銀籌備帳戶|玉山帳戶""), REGEXMATCH(C90, ""薪資"")), ""分潤支出"",
  AND(REGEXMATCH(E90, ""Ben帳戶|Elsa帳戶|Ben代墊|Ariel代墊|中信銀行共用""), REGEXMATCH(F90, ""Ben帳戶|Elsa帳戶|Ben代墊|Ariel代墊|中信銀行共用"")), ""內部轉帳(忽略)"",
  AND(E90&lt;&gt;"""", F90&lt;&gt;"""", NOT(REGEXMATC"&amp;"H(C90, ""薪資""))), ""內部轉帳(忽略)"",
  REGEXMATCH(C90, ""薪資""), ""薪資變動(不計入)"",
  REGEXMATCH(C90, ""押金""), ""押金往來"",
  AND(E90&lt;&gt;"""", F90=""""), ""真實支出"",
  AND(E90="""", F90&lt;&gt;""""), ""真實收入"",
  TRUE, ""其他""
)"),"真實支出")</f>
        <v>真實支出</v>
      </c>
      <c r="K90" s="270">
        <f t="shared" si="2"/>
        <v>-541</v>
      </c>
      <c r="L90">
        <f t="shared" si="3"/>
        <v>0</v>
      </c>
    </row>
    <row r="91">
      <c r="A91" s="107">
        <f>IFERROR(__xludf.DUMMYFUNCTION("""COMPUTED_VALUE"""),45283.0)</f>
        <v>45283</v>
      </c>
      <c r="B91" t="str">
        <f>IFERROR(__xludf.DUMMYFUNCTION("""COMPUTED_VALUE"""),"蝦皮阿草*3")</f>
        <v>蝦皮阿草*3</v>
      </c>
      <c r="C91" t="str">
        <f>IFERROR(__xludf.DUMMYFUNCTION("""COMPUTED_VALUE"""),"成本 - 進場前裝潢費")</f>
        <v>成本 - 進場前裝潢費</v>
      </c>
      <c r="D91" s="270">
        <f>IFERROR(__xludf.DUMMYFUNCTION("""COMPUTED_VALUE"""),-380.0)</f>
        <v>-380</v>
      </c>
      <c r="E91" t="str">
        <f>IFERROR(__xludf.DUMMYFUNCTION("""COMPUTED_VALUE"""),"Elsa帳戶")</f>
        <v>Elsa帳戶</v>
      </c>
      <c r="G91" t="str">
        <f>IFERROR(__xludf.DUMMYFUNCTION("""COMPUTED_VALUE"""),"龍江229")</f>
        <v>龍江229</v>
      </c>
      <c r="H91" s="106" t="str">
        <f t="shared" si="1"/>
        <v>2023-12</v>
      </c>
      <c r="I91" s="271" t="str">
        <f>IFERROR(__xludf.DUMMYFUNCTION("""COMPUTED_VALUE"""),"貓狗企鵝")</f>
        <v>貓狗企鵝</v>
      </c>
      <c r="J91" t="str">
        <f>IFERROR(__xludf.DUMMYFUNCTION("IFS(
  AND(REGEXMATCH(E91, ""台銀籌備帳戶|玉山帳戶""), REGEXMATCH(C91, ""薪資"")), ""分潤支出"",
  AND(REGEXMATCH(E91, ""Ben帳戶|Elsa帳戶|Ben代墊|Ariel代墊|中信銀行共用""), REGEXMATCH(F91, ""Ben帳戶|Elsa帳戶|Ben代墊|Ariel代墊|中信銀行共用"")), ""內部轉帳(忽略)"",
  AND(E91&lt;&gt;"""", F91&lt;&gt;"""", NOT(REGEXMATC"&amp;"H(C91, ""薪資""))), ""內部轉帳(忽略)"",
  REGEXMATCH(C91, ""薪資""), ""薪資變動(不計入)"",
  REGEXMATCH(C91, ""押金""), ""押金往來"",
  AND(E91&lt;&gt;"""", F91=""""), ""真實支出"",
  AND(E91="""", F91&lt;&gt;""""), ""真實收入"",
  TRUE, ""其他""
)"),"真實支出")</f>
        <v>真實支出</v>
      </c>
      <c r="K91" s="270">
        <f t="shared" si="2"/>
        <v>-380</v>
      </c>
      <c r="L91">
        <f t="shared" si="3"/>
        <v>0</v>
      </c>
    </row>
    <row r="92">
      <c r="A92" s="107">
        <f>IFERROR(__xludf.DUMMYFUNCTION("""COMPUTED_VALUE"""),45283.0)</f>
        <v>45283</v>
      </c>
      <c r="B92" t="str">
        <f>IFERROR(__xludf.DUMMYFUNCTION("""COMPUTED_VALUE"""),"淘寶運費")</f>
        <v>淘寶運費</v>
      </c>
      <c r="C92" t="str">
        <f>IFERROR(__xludf.DUMMYFUNCTION("""COMPUTED_VALUE"""),"成本 - 進場前裝潢費")</f>
        <v>成本 - 進場前裝潢費</v>
      </c>
      <c r="D92" s="270">
        <f>IFERROR(__xludf.DUMMYFUNCTION("""COMPUTED_VALUE"""),-563.0)</f>
        <v>-563</v>
      </c>
      <c r="E92" t="str">
        <f>IFERROR(__xludf.DUMMYFUNCTION("""COMPUTED_VALUE"""),"Ben帳戶")</f>
        <v>Ben帳戶</v>
      </c>
      <c r="G92" t="str">
        <f>IFERROR(__xludf.DUMMYFUNCTION("""COMPUTED_VALUE"""),"龍江229")</f>
        <v>龍江229</v>
      </c>
      <c r="H92" s="106" t="str">
        <f t="shared" si="1"/>
        <v>2023-12</v>
      </c>
      <c r="I92" s="271" t="str">
        <f>IFERROR(__xludf.DUMMYFUNCTION("""COMPUTED_VALUE"""),"貓狗企鵝")</f>
        <v>貓狗企鵝</v>
      </c>
      <c r="J92" t="str">
        <f>IFERROR(__xludf.DUMMYFUNCTION("IFS(
  AND(REGEXMATCH(E92, ""台銀籌備帳戶|玉山帳戶""), REGEXMATCH(C92, ""薪資"")), ""分潤支出"",
  AND(REGEXMATCH(E92, ""Ben帳戶|Elsa帳戶|Ben代墊|Ariel代墊|中信銀行共用""), REGEXMATCH(F92, ""Ben帳戶|Elsa帳戶|Ben代墊|Ariel代墊|中信銀行共用"")), ""內部轉帳(忽略)"",
  AND(E92&lt;&gt;"""", F92&lt;&gt;"""", NOT(REGEXMATC"&amp;"H(C92, ""薪資""))), ""內部轉帳(忽略)"",
  REGEXMATCH(C92, ""薪資""), ""薪資變動(不計入)"",
  REGEXMATCH(C92, ""押金""), ""押金往來"",
  AND(E92&lt;&gt;"""", F92=""""), ""真實支出"",
  AND(E92="""", F92&lt;&gt;""""), ""真實收入"",
  TRUE, ""其他""
)"),"真實支出")</f>
        <v>真實支出</v>
      </c>
      <c r="K92" s="270">
        <f t="shared" si="2"/>
        <v>-563</v>
      </c>
      <c r="L92">
        <f t="shared" si="3"/>
        <v>0</v>
      </c>
    </row>
    <row r="93">
      <c r="A93" s="107">
        <f>IFERROR(__xludf.DUMMYFUNCTION("""COMPUTED_VALUE"""),45287.0)</f>
        <v>45287</v>
      </c>
      <c r="B93" t="str">
        <f>IFERROR(__xludf.DUMMYFUNCTION("""COMPUTED_VALUE"""),"冷氣")</f>
        <v>冷氣</v>
      </c>
      <c r="C93" t="str">
        <f>IFERROR(__xludf.DUMMYFUNCTION("""COMPUTED_VALUE"""),"成本 - 進場前裝潢費")</f>
        <v>成本 - 進場前裝潢費</v>
      </c>
      <c r="D93" s="270">
        <f>IFERROR(__xludf.DUMMYFUNCTION("""COMPUTED_VALUE"""),-17300.0)</f>
        <v>-17300</v>
      </c>
      <c r="E93" t="str">
        <f>IFERROR(__xludf.DUMMYFUNCTION("""COMPUTED_VALUE"""),"Elsa帳戶")</f>
        <v>Elsa帳戶</v>
      </c>
      <c r="G93" t="str">
        <f>IFERROR(__xludf.DUMMYFUNCTION("""COMPUTED_VALUE"""),"龍江229")</f>
        <v>龍江229</v>
      </c>
      <c r="H93" s="106" t="str">
        <f t="shared" si="1"/>
        <v>2023-12</v>
      </c>
      <c r="I93" s="271" t="str">
        <f>IFERROR(__xludf.DUMMYFUNCTION("""COMPUTED_VALUE"""),"貓狗企鵝")</f>
        <v>貓狗企鵝</v>
      </c>
      <c r="J93" t="str">
        <f>IFERROR(__xludf.DUMMYFUNCTION("IFS(
  AND(REGEXMATCH(E93, ""台銀籌備帳戶|玉山帳戶""), REGEXMATCH(C93, ""薪資"")), ""分潤支出"",
  AND(REGEXMATCH(E93, ""Ben帳戶|Elsa帳戶|Ben代墊|Ariel代墊|中信銀行共用""), REGEXMATCH(F93, ""Ben帳戶|Elsa帳戶|Ben代墊|Ariel代墊|中信銀行共用"")), ""內部轉帳(忽略)"",
  AND(E93&lt;&gt;"""", F93&lt;&gt;"""", NOT(REGEXMATC"&amp;"H(C93, ""薪資""))), ""內部轉帳(忽略)"",
  REGEXMATCH(C93, ""薪資""), ""薪資變動(不計入)"",
  REGEXMATCH(C93, ""押金""), ""押金往來"",
  AND(E93&lt;&gt;"""", F93=""""), ""真實支出"",
  AND(E93="""", F93&lt;&gt;""""), ""真實收入"",
  TRUE, ""其他""
)"),"真實支出")</f>
        <v>真實支出</v>
      </c>
      <c r="K93" s="270">
        <f t="shared" si="2"/>
        <v>-17300</v>
      </c>
      <c r="L93">
        <f t="shared" si="3"/>
        <v>0</v>
      </c>
    </row>
    <row r="94">
      <c r="A94" s="107">
        <f>IFERROR(__xludf.DUMMYFUNCTION("""COMPUTED_VALUE"""),45287.0)</f>
        <v>45287</v>
      </c>
      <c r="B94" t="str">
        <f>IFERROR(__xludf.DUMMYFUNCTION("""COMPUTED_VALUE"""),"軟裝燈泡電池")</f>
        <v>軟裝燈泡電池</v>
      </c>
      <c r="C94" t="str">
        <f>IFERROR(__xludf.DUMMYFUNCTION("""COMPUTED_VALUE"""),"成本 - 進場前裝潢費")</f>
        <v>成本 - 進場前裝潢費</v>
      </c>
      <c r="D94" s="270">
        <f>IFERROR(__xludf.DUMMYFUNCTION("""COMPUTED_VALUE"""),-354.0)</f>
        <v>-354</v>
      </c>
      <c r="E94" t="str">
        <f>IFERROR(__xludf.DUMMYFUNCTION("""COMPUTED_VALUE"""),"Ben帳戶")</f>
        <v>Ben帳戶</v>
      </c>
      <c r="G94" t="str">
        <f>IFERROR(__xludf.DUMMYFUNCTION("""COMPUTED_VALUE"""),"龍江229")</f>
        <v>龍江229</v>
      </c>
      <c r="H94" s="106" t="str">
        <f t="shared" si="1"/>
        <v>2023-12</v>
      </c>
      <c r="I94" s="271" t="str">
        <f>IFERROR(__xludf.DUMMYFUNCTION("""COMPUTED_VALUE"""),"貓狗企鵝")</f>
        <v>貓狗企鵝</v>
      </c>
      <c r="J94" t="str">
        <f>IFERROR(__xludf.DUMMYFUNCTION("IFS(
  AND(REGEXMATCH(E94, ""台銀籌備帳戶|玉山帳戶""), REGEXMATCH(C94, ""薪資"")), ""分潤支出"",
  AND(REGEXMATCH(E94, ""Ben帳戶|Elsa帳戶|Ben代墊|Ariel代墊|中信銀行共用""), REGEXMATCH(F94, ""Ben帳戶|Elsa帳戶|Ben代墊|Ariel代墊|中信銀行共用"")), ""內部轉帳(忽略)"",
  AND(E94&lt;&gt;"""", F94&lt;&gt;"""", NOT(REGEXMATC"&amp;"H(C94, ""薪資""))), ""內部轉帳(忽略)"",
  REGEXMATCH(C94, ""薪資""), ""薪資變動(不計入)"",
  REGEXMATCH(C94, ""押金""), ""押金往來"",
  AND(E94&lt;&gt;"""", F94=""""), ""真實支出"",
  AND(E94="""", F94&lt;&gt;""""), ""真實收入"",
  TRUE, ""其他""
)"),"真實支出")</f>
        <v>真實支出</v>
      </c>
      <c r="K94" s="270">
        <f t="shared" si="2"/>
        <v>-354</v>
      </c>
      <c r="L94">
        <f t="shared" si="3"/>
        <v>0</v>
      </c>
    </row>
    <row r="95">
      <c r="A95" s="107">
        <f>IFERROR(__xludf.DUMMYFUNCTION("""COMPUTED_VALUE"""),45287.0)</f>
        <v>45287</v>
      </c>
      <c r="B95" t="str">
        <f>IFERROR(__xludf.DUMMYFUNCTION("""COMPUTED_VALUE"""),"除濕機")</f>
        <v>除濕機</v>
      </c>
      <c r="C95" t="str">
        <f>IFERROR(__xludf.DUMMYFUNCTION("""COMPUTED_VALUE"""),"成本 - 進場前裝潢費")</f>
        <v>成本 - 進場前裝潢費</v>
      </c>
      <c r="D95" s="270">
        <f>IFERROR(__xludf.DUMMYFUNCTION("""COMPUTED_VALUE"""),-5270.0)</f>
        <v>-5270</v>
      </c>
      <c r="E95" t="str">
        <f>IFERROR(__xludf.DUMMYFUNCTION("""COMPUTED_VALUE"""),"Ben帳戶")</f>
        <v>Ben帳戶</v>
      </c>
      <c r="G95" t="str">
        <f>IFERROR(__xludf.DUMMYFUNCTION("""COMPUTED_VALUE"""),"龍江229")</f>
        <v>龍江229</v>
      </c>
      <c r="H95" s="106" t="str">
        <f t="shared" si="1"/>
        <v>2023-12</v>
      </c>
      <c r="I95" s="271" t="str">
        <f>IFERROR(__xludf.DUMMYFUNCTION("""COMPUTED_VALUE"""),"貓狗企鵝")</f>
        <v>貓狗企鵝</v>
      </c>
      <c r="J95" t="str">
        <f>IFERROR(__xludf.DUMMYFUNCTION("IFS(
  AND(REGEXMATCH(E95, ""台銀籌備帳戶|玉山帳戶""), REGEXMATCH(C95, ""薪資"")), ""分潤支出"",
  AND(REGEXMATCH(E95, ""Ben帳戶|Elsa帳戶|Ben代墊|Ariel代墊|中信銀行共用""), REGEXMATCH(F95, ""Ben帳戶|Elsa帳戶|Ben代墊|Ariel代墊|中信銀行共用"")), ""內部轉帳(忽略)"",
  AND(E95&lt;&gt;"""", F95&lt;&gt;"""", NOT(REGEXMATC"&amp;"H(C95, ""薪資""))), ""內部轉帳(忽略)"",
  REGEXMATCH(C95, ""薪資""), ""薪資變動(不計入)"",
  REGEXMATCH(C95, ""押金""), ""押金往來"",
  AND(E95&lt;&gt;"""", F95=""""), ""真實支出"",
  AND(E95="""", F95&lt;&gt;""""), ""真實收入"",
  TRUE, ""其他""
)"),"真實支出")</f>
        <v>真實支出</v>
      </c>
      <c r="K95" s="270">
        <f t="shared" si="2"/>
        <v>-5270</v>
      </c>
      <c r="L95">
        <f t="shared" si="3"/>
        <v>0</v>
      </c>
    </row>
    <row r="96">
      <c r="A96" s="107">
        <f>IFERROR(__xludf.DUMMYFUNCTION("""COMPUTED_VALUE"""),45288.0)</f>
        <v>45288</v>
      </c>
      <c r="B96" t="str">
        <f>IFERROR(__xludf.DUMMYFUNCTION("""COMPUTED_VALUE"""),"永春四號D翁政熙")</f>
        <v>永春四號D翁政熙</v>
      </c>
      <c r="C96" t="str">
        <f>IFERROR(__xludf.DUMMYFUNCTION("""COMPUTED_VALUE"""),"收入 - 租金")</f>
        <v>收入 - 租金</v>
      </c>
      <c r="D96" s="270">
        <f>IFERROR(__xludf.DUMMYFUNCTION("""COMPUTED_VALUE"""),14800.0)</f>
        <v>14800</v>
      </c>
      <c r="F96" t="str">
        <f>IFERROR(__xludf.DUMMYFUNCTION("""COMPUTED_VALUE"""),"台銀籌備帳戶")</f>
        <v>台銀籌備帳戶</v>
      </c>
      <c r="G96" t="str">
        <f>IFERROR(__xludf.DUMMYFUNCTION("""COMPUTED_VALUE"""),"永春四號")</f>
        <v>永春四號</v>
      </c>
      <c r="H96" s="106" t="str">
        <f t="shared" si="1"/>
        <v>2023-12</v>
      </c>
      <c r="I96" s="271" t="str">
        <f>IFERROR(__xludf.DUMMYFUNCTION("""COMPUTED_VALUE"""),"貓狗企鵝")</f>
        <v>貓狗企鵝</v>
      </c>
      <c r="J96" t="str">
        <f>IFERROR(__xludf.DUMMYFUNCTION("IFS(
  AND(REGEXMATCH(E96, ""台銀籌備帳戶|玉山帳戶""), REGEXMATCH(C96, ""薪資"")), ""分潤支出"",
  AND(REGEXMATCH(E96, ""Ben帳戶|Elsa帳戶|Ben代墊|Ariel代墊|中信銀行共用""), REGEXMATCH(F96, ""Ben帳戶|Elsa帳戶|Ben代墊|Ariel代墊|中信銀行共用"")), ""內部轉帳(忽略)"",
  AND(E96&lt;&gt;"""", F96&lt;&gt;"""", NOT(REGEXMATC"&amp;"H(C96, ""薪資""))), ""內部轉帳(忽略)"",
  REGEXMATCH(C96, ""薪資""), ""薪資變動(不計入)"",
  REGEXMATCH(C96, ""押金""), ""押金往來"",
  AND(E96&lt;&gt;"""", F96=""""), ""真實支出"",
  AND(E96="""", F96&lt;&gt;""""), ""真實收入"",
  TRUE, ""其他""
)"),"真實收入")</f>
        <v>真實收入</v>
      </c>
      <c r="K96" s="270">
        <f t="shared" si="2"/>
        <v>14800</v>
      </c>
      <c r="L96">
        <f t="shared" si="3"/>
        <v>0</v>
      </c>
    </row>
    <row r="97">
      <c r="A97" s="107">
        <f>IFERROR(__xludf.DUMMYFUNCTION("""COMPUTED_VALUE"""),45289.0)</f>
        <v>45289</v>
      </c>
      <c r="B97" t="str">
        <f>IFERROR(__xludf.DUMMYFUNCTION("""COMPUTED_VALUE"""),"陽台燈")</f>
        <v>陽台燈</v>
      </c>
      <c r="C97" t="str">
        <f>IFERROR(__xludf.DUMMYFUNCTION("""COMPUTED_VALUE"""),"成本 - 進場前裝潢費")</f>
        <v>成本 - 進場前裝潢費</v>
      </c>
      <c r="D97" s="270">
        <f>IFERROR(__xludf.DUMMYFUNCTION("""COMPUTED_VALUE"""),-165.0)</f>
        <v>-165</v>
      </c>
      <c r="E97" t="str">
        <f>IFERROR(__xludf.DUMMYFUNCTION("""COMPUTED_VALUE"""),"Elsa帳戶")</f>
        <v>Elsa帳戶</v>
      </c>
      <c r="G97" t="str">
        <f>IFERROR(__xludf.DUMMYFUNCTION("""COMPUTED_VALUE"""),"龍江229")</f>
        <v>龍江229</v>
      </c>
      <c r="H97" s="106" t="str">
        <f t="shared" si="1"/>
        <v>2023-12</v>
      </c>
      <c r="I97" s="271" t="str">
        <f>IFERROR(__xludf.DUMMYFUNCTION("""COMPUTED_VALUE"""),"貓狗企鵝")</f>
        <v>貓狗企鵝</v>
      </c>
      <c r="J97" t="str">
        <f>IFERROR(__xludf.DUMMYFUNCTION("IFS(
  AND(REGEXMATCH(E97, ""台銀籌備帳戶|玉山帳戶""), REGEXMATCH(C97, ""薪資"")), ""分潤支出"",
  AND(REGEXMATCH(E97, ""Ben帳戶|Elsa帳戶|Ben代墊|Ariel代墊|中信銀行共用""), REGEXMATCH(F97, ""Ben帳戶|Elsa帳戶|Ben代墊|Ariel代墊|中信銀行共用"")), ""內部轉帳(忽略)"",
  AND(E97&lt;&gt;"""", F97&lt;&gt;"""", NOT(REGEXMATC"&amp;"H(C97, ""薪資""))), ""內部轉帳(忽略)"",
  REGEXMATCH(C97, ""薪資""), ""薪資變動(不計入)"",
  REGEXMATCH(C97, ""押金""), ""押金往來"",
  AND(E97&lt;&gt;"""", F97=""""), ""真實支出"",
  AND(E97="""", F97&lt;&gt;""""), ""真實收入"",
  TRUE, ""其他""
)"),"真實支出")</f>
        <v>真實支出</v>
      </c>
      <c r="K97" s="270">
        <f t="shared" si="2"/>
        <v>-165</v>
      </c>
      <c r="L97">
        <f t="shared" si="3"/>
        <v>0</v>
      </c>
    </row>
    <row r="98">
      <c r="A98" s="107">
        <f>IFERROR(__xludf.DUMMYFUNCTION("""COMPUTED_VALUE"""),45289.0)</f>
        <v>45289</v>
      </c>
      <c r="B98" t="str">
        <f>IFERROR(__xludf.DUMMYFUNCTION("""COMPUTED_VALUE"""),"延長線+電池")</f>
        <v>延長線+電池</v>
      </c>
      <c r="C98" t="str">
        <f>IFERROR(__xludf.DUMMYFUNCTION("""COMPUTED_VALUE"""),"成本 - 進場前裝潢費")</f>
        <v>成本 - 進場前裝潢費</v>
      </c>
      <c r="D98" s="270">
        <f>IFERROR(__xludf.DUMMYFUNCTION("""COMPUTED_VALUE"""),-445.0)</f>
        <v>-445</v>
      </c>
      <c r="E98" t="str">
        <f>IFERROR(__xludf.DUMMYFUNCTION("""COMPUTED_VALUE"""),"Elsa帳戶")</f>
        <v>Elsa帳戶</v>
      </c>
      <c r="G98" t="str">
        <f>IFERROR(__xludf.DUMMYFUNCTION("""COMPUTED_VALUE"""),"龍江229")</f>
        <v>龍江229</v>
      </c>
      <c r="H98" s="106" t="str">
        <f t="shared" si="1"/>
        <v>2023-12</v>
      </c>
      <c r="I98" s="271" t="str">
        <f>IFERROR(__xludf.DUMMYFUNCTION("""COMPUTED_VALUE"""),"貓狗企鵝")</f>
        <v>貓狗企鵝</v>
      </c>
      <c r="J98" t="str">
        <f>IFERROR(__xludf.DUMMYFUNCTION("IFS(
  AND(REGEXMATCH(E98, ""台銀籌備帳戶|玉山帳戶""), REGEXMATCH(C98, ""薪資"")), ""分潤支出"",
  AND(REGEXMATCH(E98, ""Ben帳戶|Elsa帳戶|Ben代墊|Ariel代墊|中信銀行共用""), REGEXMATCH(F98, ""Ben帳戶|Elsa帳戶|Ben代墊|Ariel代墊|中信銀行共用"")), ""內部轉帳(忽略)"",
  AND(E98&lt;&gt;"""", F98&lt;&gt;"""", NOT(REGEXMATC"&amp;"H(C98, ""薪資""))), ""內部轉帳(忽略)"",
  REGEXMATCH(C98, ""薪資""), ""薪資變動(不計入)"",
  REGEXMATCH(C98, ""押金""), ""押金往來"",
  AND(E98&lt;&gt;"""", F98=""""), ""真實支出"",
  AND(E98="""", F98&lt;&gt;""""), ""真實收入"",
  TRUE, ""其他""
)"),"真實支出")</f>
        <v>真實支出</v>
      </c>
      <c r="K98" s="270">
        <f t="shared" si="2"/>
        <v>-445</v>
      </c>
      <c r="L98">
        <f t="shared" si="3"/>
        <v>0</v>
      </c>
    </row>
    <row r="99">
      <c r="A99" s="107">
        <f>IFERROR(__xludf.DUMMYFUNCTION("""COMPUTED_VALUE"""),45291.0)</f>
        <v>45291</v>
      </c>
      <c r="B99" t="str">
        <f>IFERROR(__xludf.DUMMYFUNCTION("""COMPUTED_VALUE"""),"木地板")</f>
        <v>木地板</v>
      </c>
      <c r="C99" t="str">
        <f>IFERROR(__xludf.DUMMYFUNCTION("""COMPUTED_VALUE"""),"成本 - 進場前裝潢費")</f>
        <v>成本 - 進場前裝潢費</v>
      </c>
      <c r="D99" s="270">
        <f>IFERROR(__xludf.DUMMYFUNCTION("""COMPUTED_VALUE"""),-30120.0)</f>
        <v>-30120</v>
      </c>
      <c r="E99" t="str">
        <f>IFERROR(__xludf.DUMMYFUNCTION("""COMPUTED_VALUE"""),"Elsa帳戶")</f>
        <v>Elsa帳戶</v>
      </c>
      <c r="G99" t="str">
        <f>IFERROR(__xludf.DUMMYFUNCTION("""COMPUTED_VALUE"""),"龍江229")</f>
        <v>龍江229</v>
      </c>
      <c r="H99" s="106" t="str">
        <f t="shared" si="1"/>
        <v>2023-12</v>
      </c>
      <c r="I99" s="271" t="str">
        <f>IFERROR(__xludf.DUMMYFUNCTION("""COMPUTED_VALUE"""),"貓狗企鵝")</f>
        <v>貓狗企鵝</v>
      </c>
      <c r="J99" t="str">
        <f>IFERROR(__xludf.DUMMYFUNCTION("IFS(
  AND(REGEXMATCH(E99, ""台銀籌備帳戶|玉山帳戶""), REGEXMATCH(C99, ""薪資"")), ""分潤支出"",
  AND(REGEXMATCH(E99, ""Ben帳戶|Elsa帳戶|Ben代墊|Ariel代墊|中信銀行共用""), REGEXMATCH(F99, ""Ben帳戶|Elsa帳戶|Ben代墊|Ariel代墊|中信銀行共用"")), ""內部轉帳(忽略)"",
  AND(E99&lt;&gt;"""", F99&lt;&gt;"""", NOT(REGEXMATC"&amp;"H(C99, ""薪資""))), ""內部轉帳(忽略)"",
  REGEXMATCH(C99, ""薪資""), ""薪資變動(不計入)"",
  REGEXMATCH(C99, ""押金""), ""押金往來"",
  AND(E99&lt;&gt;"""", F99=""""), ""真實支出"",
  AND(E99="""", F99&lt;&gt;""""), ""真實收入"",
  TRUE, ""其他""
)"),"真實支出")</f>
        <v>真實支出</v>
      </c>
      <c r="K99" s="270">
        <f t="shared" si="2"/>
        <v>-30120</v>
      </c>
      <c r="L99">
        <f t="shared" si="3"/>
        <v>0</v>
      </c>
    </row>
    <row r="100">
      <c r="A100" s="107">
        <f>IFERROR(__xludf.DUMMYFUNCTION("""COMPUTED_VALUE"""),45291.0)</f>
        <v>45291</v>
      </c>
      <c r="B100" t="str">
        <f>IFERROR(__xludf.DUMMYFUNCTION("""COMPUTED_VALUE"""),"龍江A定金")</f>
        <v>龍江A定金</v>
      </c>
      <c r="C100" t="str">
        <f>IFERROR(__xludf.DUMMYFUNCTION("""COMPUTED_VALUE"""),"收入 - 租金")</f>
        <v>收入 - 租金</v>
      </c>
      <c r="D100" s="270">
        <f>IFERROR(__xludf.DUMMYFUNCTION("""COMPUTED_VALUE"""),10000.0)</f>
        <v>10000</v>
      </c>
      <c r="F100" t="str">
        <f>IFERROR(__xludf.DUMMYFUNCTION("""COMPUTED_VALUE"""),"台銀籌備帳戶")</f>
        <v>台銀籌備帳戶</v>
      </c>
      <c r="G100" t="str">
        <f>IFERROR(__xludf.DUMMYFUNCTION("""COMPUTED_VALUE"""),"龍江229")</f>
        <v>龍江229</v>
      </c>
      <c r="H100" s="106" t="str">
        <f t="shared" si="1"/>
        <v>2023-12</v>
      </c>
      <c r="I100" s="271" t="str">
        <f>IFERROR(__xludf.DUMMYFUNCTION("""COMPUTED_VALUE"""),"貓狗企鵝")</f>
        <v>貓狗企鵝</v>
      </c>
      <c r="J100" t="str">
        <f>IFERROR(__xludf.DUMMYFUNCTION("IFS(
  AND(REGEXMATCH(E100, ""台銀籌備帳戶|玉山帳戶""), REGEXMATCH(C100, ""薪資"")), ""分潤支出"",
  AND(REGEXMATCH(E100, ""Ben帳戶|Elsa帳戶|Ben代墊|Ariel代墊|中信銀行共用""), REGEXMATCH(F100, ""Ben帳戶|Elsa帳戶|Ben代墊|Ariel代墊|中信銀行共用"")), ""內部轉帳(忽略)"",
  AND(E100&lt;&gt;"""", F100&lt;&gt;"""", NOT(REG"&amp;"EXMATCH(C100, ""薪資""))), ""內部轉帳(忽略)"",
  REGEXMATCH(C100, ""薪資""), ""薪資變動(不計入)"",
  REGEXMATCH(C100, ""押金""), ""押金往來"",
  AND(E100&lt;&gt;"""", F100=""""), ""真實支出"",
  AND(E100="""", F100&lt;&gt;""""), ""真實收入"",
  TRUE, ""其他""
)"),"真實收入")</f>
        <v>真實收入</v>
      </c>
      <c r="K100" s="270">
        <f t="shared" si="2"/>
        <v>10000</v>
      </c>
      <c r="L100">
        <f t="shared" si="3"/>
        <v>0</v>
      </c>
    </row>
    <row r="101">
      <c r="A101" s="107">
        <f>IFERROR(__xludf.DUMMYFUNCTION("""COMPUTED_VALUE"""),45291.0)</f>
        <v>45291</v>
      </c>
      <c r="B101" t="str">
        <f>IFERROR(__xludf.DUMMYFUNCTION("""COMPUTED_VALUE"""),"龍江B定金")</f>
        <v>龍江B定金</v>
      </c>
      <c r="C101" t="str">
        <f>IFERROR(__xludf.DUMMYFUNCTION("""COMPUTED_VALUE"""),"收入 - 租金")</f>
        <v>收入 - 租金</v>
      </c>
      <c r="D101" s="270">
        <f>IFERROR(__xludf.DUMMYFUNCTION("""COMPUTED_VALUE"""),10000.0)</f>
        <v>10000</v>
      </c>
      <c r="F101" t="str">
        <f>IFERROR(__xludf.DUMMYFUNCTION("""COMPUTED_VALUE"""),"台銀籌備帳戶")</f>
        <v>台銀籌備帳戶</v>
      </c>
      <c r="G101" t="str">
        <f>IFERROR(__xludf.DUMMYFUNCTION("""COMPUTED_VALUE"""),"龍江229")</f>
        <v>龍江229</v>
      </c>
      <c r="H101" s="106" t="str">
        <f t="shared" si="1"/>
        <v>2023-12</v>
      </c>
      <c r="I101" s="271" t="str">
        <f>IFERROR(__xludf.DUMMYFUNCTION("""COMPUTED_VALUE"""),"貓狗企鵝")</f>
        <v>貓狗企鵝</v>
      </c>
      <c r="J101" t="str">
        <f>IFERROR(__xludf.DUMMYFUNCTION("IFS(
  AND(REGEXMATCH(E101, ""台銀籌備帳戶|玉山帳戶""), REGEXMATCH(C101, ""薪資"")), ""分潤支出"",
  AND(REGEXMATCH(E101, ""Ben帳戶|Elsa帳戶|Ben代墊|Ariel代墊|中信銀行共用""), REGEXMATCH(F101, ""Ben帳戶|Elsa帳戶|Ben代墊|Ariel代墊|中信銀行共用"")), ""內部轉帳(忽略)"",
  AND(E101&lt;&gt;"""", F101&lt;&gt;"""", NOT(REG"&amp;"EXMATCH(C101, ""薪資""))), ""內部轉帳(忽略)"",
  REGEXMATCH(C101, ""薪資""), ""薪資變動(不計入)"",
  REGEXMATCH(C101, ""押金""), ""押金往來"",
  AND(E101&lt;&gt;"""", F101=""""), ""真實支出"",
  AND(E101="""", F101&lt;&gt;""""), ""真實收入"",
  TRUE, ""其他""
)"),"真實收入")</f>
        <v>真實收入</v>
      </c>
      <c r="K101" s="270">
        <f t="shared" si="2"/>
        <v>10000</v>
      </c>
      <c r="L101">
        <f t="shared" si="3"/>
        <v>0</v>
      </c>
    </row>
    <row r="102">
      <c r="A102" s="107">
        <f>IFERROR(__xludf.DUMMYFUNCTION("""COMPUTED_VALUE"""),45292.0)</f>
        <v>45292</v>
      </c>
      <c r="B102" t="str">
        <f>IFERROR(__xludf.DUMMYFUNCTION("""COMPUTED_VALUE"""),"永春 大租金 a")</f>
        <v>永春 大租金 a</v>
      </c>
      <c r="C102" t="str">
        <f>IFERROR(__xludf.DUMMYFUNCTION("""COMPUTED_VALUE"""),"成本 - 大租金")</f>
        <v>成本 - 大租金</v>
      </c>
      <c r="D102" s="270">
        <f>IFERROR(__xludf.DUMMYFUNCTION("""COMPUTED_VALUE"""),-17000.0)</f>
        <v>-17000</v>
      </c>
      <c r="E102" t="str">
        <f>IFERROR(__xludf.DUMMYFUNCTION("""COMPUTED_VALUE"""),"Ben帳戶")</f>
        <v>Ben帳戶</v>
      </c>
      <c r="G102" t="str">
        <f>IFERROR(__xludf.DUMMYFUNCTION("""COMPUTED_VALUE"""),"永春四號")</f>
        <v>永春四號</v>
      </c>
      <c r="H102" s="106" t="str">
        <f t="shared" si="1"/>
        <v>2024-01</v>
      </c>
      <c r="I102" s="271" t="str">
        <f>IFERROR(__xludf.DUMMYFUNCTION("""COMPUTED_VALUE"""),"貓狗企鵝")</f>
        <v>貓狗企鵝</v>
      </c>
      <c r="J102" t="str">
        <f>IFERROR(__xludf.DUMMYFUNCTION("IFS(
  AND(REGEXMATCH(E102, ""台銀籌備帳戶|玉山帳戶""), REGEXMATCH(C102, ""薪資"")), ""分潤支出"",
  AND(REGEXMATCH(E102, ""Ben帳戶|Elsa帳戶|Ben代墊|Ariel代墊|中信銀行共用""), REGEXMATCH(F102, ""Ben帳戶|Elsa帳戶|Ben代墊|Ariel代墊|中信銀行共用"")), ""內部轉帳(忽略)"",
  AND(E102&lt;&gt;"""", F102&lt;&gt;"""", NOT(REG"&amp;"EXMATCH(C102, ""薪資""))), ""內部轉帳(忽略)"",
  REGEXMATCH(C102, ""薪資""), ""薪資變動(不計入)"",
  REGEXMATCH(C102, ""押金""), ""押金往來"",
  AND(E102&lt;&gt;"""", F102=""""), ""真實支出"",
  AND(E102="""", F102&lt;&gt;""""), ""真實收入"",
  TRUE, ""其他""
)"),"真實支出")</f>
        <v>真實支出</v>
      </c>
      <c r="K102" s="270">
        <f t="shared" si="2"/>
        <v>-17000</v>
      </c>
      <c r="L102">
        <f t="shared" si="3"/>
        <v>0</v>
      </c>
    </row>
    <row r="103">
      <c r="A103" s="107">
        <f>IFERROR(__xludf.DUMMYFUNCTION("""COMPUTED_VALUE"""),45292.0)</f>
        <v>45292</v>
      </c>
      <c r="B103" t="str">
        <f>IFERROR(__xludf.DUMMYFUNCTION("""COMPUTED_VALUE"""),"永春 大租金 b")</f>
        <v>永春 大租金 b</v>
      </c>
      <c r="C103" t="str">
        <f>IFERROR(__xludf.DUMMYFUNCTION("""COMPUTED_VALUE"""),"成本 - 大租金")</f>
        <v>成本 - 大租金</v>
      </c>
      <c r="D103" s="270">
        <f>IFERROR(__xludf.DUMMYFUNCTION("""COMPUTED_VALUE"""),-17000.0)</f>
        <v>-17000</v>
      </c>
      <c r="E103" t="str">
        <f>IFERROR(__xludf.DUMMYFUNCTION("""COMPUTED_VALUE"""),"Ben帳戶")</f>
        <v>Ben帳戶</v>
      </c>
      <c r="G103" t="str">
        <f>IFERROR(__xludf.DUMMYFUNCTION("""COMPUTED_VALUE"""),"永春四號")</f>
        <v>永春四號</v>
      </c>
      <c r="H103" s="106" t="str">
        <f t="shared" si="1"/>
        <v>2024-01</v>
      </c>
      <c r="I103" s="271" t="str">
        <f>IFERROR(__xludf.DUMMYFUNCTION("""COMPUTED_VALUE"""),"貓狗企鵝")</f>
        <v>貓狗企鵝</v>
      </c>
      <c r="J103" t="str">
        <f>IFERROR(__xludf.DUMMYFUNCTION("IFS(
  AND(REGEXMATCH(E103, ""台銀籌備帳戶|玉山帳戶""), REGEXMATCH(C103, ""薪資"")), ""分潤支出"",
  AND(REGEXMATCH(E103, ""Ben帳戶|Elsa帳戶|Ben代墊|Ariel代墊|中信銀行共用""), REGEXMATCH(F103, ""Ben帳戶|Elsa帳戶|Ben代墊|Ariel代墊|中信銀行共用"")), ""內部轉帳(忽略)"",
  AND(E103&lt;&gt;"""", F103&lt;&gt;"""", NOT(REG"&amp;"EXMATCH(C103, ""薪資""))), ""內部轉帳(忽略)"",
  REGEXMATCH(C103, ""薪資""), ""薪資變動(不計入)"",
  REGEXMATCH(C103, ""押金""), ""押金往來"",
  AND(E103&lt;&gt;"""", F103=""""), ""真實支出"",
  AND(E103="""", F103&lt;&gt;""""), ""真實收入"",
  TRUE, ""其他""
)"),"真實支出")</f>
        <v>真實支出</v>
      </c>
      <c r="K103" s="270">
        <f t="shared" si="2"/>
        <v>-17000</v>
      </c>
      <c r="L103">
        <f t="shared" si="3"/>
        <v>0</v>
      </c>
    </row>
    <row r="104">
      <c r="A104" s="107">
        <f>IFERROR(__xludf.DUMMYFUNCTION("""COMPUTED_VALUE"""),45292.0)</f>
        <v>45292</v>
      </c>
      <c r="B104" t="str">
        <f>IFERROR(__xludf.DUMMYFUNCTION("""COMPUTED_VALUE"""),"永春B")</f>
        <v>永春B</v>
      </c>
      <c r="C104" t="str">
        <f>IFERROR(__xludf.DUMMYFUNCTION("""COMPUTED_VALUE"""),"收入 - 租金")</f>
        <v>收入 - 租金</v>
      </c>
      <c r="D104" s="270">
        <f>IFERROR(__xludf.DUMMYFUNCTION("""COMPUTED_VALUE"""),13500.0)</f>
        <v>13500</v>
      </c>
      <c r="F104" t="str">
        <f>IFERROR(__xludf.DUMMYFUNCTION("""COMPUTED_VALUE"""),"台銀籌備帳戶")</f>
        <v>台銀籌備帳戶</v>
      </c>
      <c r="G104" t="str">
        <f>IFERROR(__xludf.DUMMYFUNCTION("""COMPUTED_VALUE"""),"永春四號")</f>
        <v>永春四號</v>
      </c>
      <c r="H104" s="106" t="str">
        <f t="shared" si="1"/>
        <v>2024-01</v>
      </c>
      <c r="I104" s="271" t="str">
        <f>IFERROR(__xludf.DUMMYFUNCTION("""COMPUTED_VALUE"""),"貓狗企鵝")</f>
        <v>貓狗企鵝</v>
      </c>
      <c r="J104" t="str">
        <f>IFERROR(__xludf.DUMMYFUNCTION("IFS(
  AND(REGEXMATCH(E104, ""台銀籌備帳戶|玉山帳戶""), REGEXMATCH(C104, ""薪資"")), ""分潤支出"",
  AND(REGEXMATCH(E104, ""Ben帳戶|Elsa帳戶|Ben代墊|Ariel代墊|中信銀行共用""), REGEXMATCH(F104, ""Ben帳戶|Elsa帳戶|Ben代墊|Ariel代墊|中信銀行共用"")), ""內部轉帳(忽略)"",
  AND(E104&lt;&gt;"""", F104&lt;&gt;"""", NOT(REG"&amp;"EXMATCH(C104, ""薪資""))), ""內部轉帳(忽略)"",
  REGEXMATCH(C104, ""薪資""), ""薪資變動(不計入)"",
  REGEXMATCH(C104, ""押金""), ""押金往來"",
  AND(E104&lt;&gt;"""", F104=""""), ""真實支出"",
  AND(E104="""", F104&lt;&gt;""""), ""真實收入"",
  TRUE, ""其他""
)"),"真實收入")</f>
        <v>真實收入</v>
      </c>
      <c r="K104" s="270">
        <f t="shared" si="2"/>
        <v>13500</v>
      </c>
      <c r="L104">
        <f t="shared" si="3"/>
        <v>0</v>
      </c>
    </row>
    <row r="105">
      <c r="A105" s="107">
        <f>IFERROR(__xludf.DUMMYFUNCTION("""COMPUTED_VALUE"""),45292.0)</f>
        <v>45292</v>
      </c>
      <c r="B105" t="str">
        <f>IFERROR(__xludf.DUMMYFUNCTION("""COMPUTED_VALUE"""),"永春C")</f>
        <v>永春C</v>
      </c>
      <c r="C105" t="str">
        <f>IFERROR(__xludf.DUMMYFUNCTION("""COMPUTED_VALUE"""),"收入 - 租金")</f>
        <v>收入 - 租金</v>
      </c>
      <c r="D105" s="270">
        <f>IFERROR(__xludf.DUMMYFUNCTION("""COMPUTED_VALUE"""),13300.0)</f>
        <v>13300</v>
      </c>
      <c r="F105" t="str">
        <f>IFERROR(__xludf.DUMMYFUNCTION("""COMPUTED_VALUE"""),"台銀籌備帳戶")</f>
        <v>台銀籌備帳戶</v>
      </c>
      <c r="G105" t="str">
        <f>IFERROR(__xludf.DUMMYFUNCTION("""COMPUTED_VALUE"""),"永春四號")</f>
        <v>永春四號</v>
      </c>
      <c r="H105" s="106" t="str">
        <f t="shared" si="1"/>
        <v>2024-01</v>
      </c>
      <c r="I105" s="271" t="str">
        <f>IFERROR(__xludf.DUMMYFUNCTION("""COMPUTED_VALUE"""),"貓狗企鵝")</f>
        <v>貓狗企鵝</v>
      </c>
      <c r="J105" t="str">
        <f>IFERROR(__xludf.DUMMYFUNCTION("IFS(
  AND(REGEXMATCH(E105, ""台銀籌備帳戶|玉山帳戶""), REGEXMATCH(C105, ""薪資"")), ""分潤支出"",
  AND(REGEXMATCH(E105, ""Ben帳戶|Elsa帳戶|Ben代墊|Ariel代墊|中信銀行共用""), REGEXMATCH(F105, ""Ben帳戶|Elsa帳戶|Ben代墊|Ariel代墊|中信銀行共用"")), ""內部轉帳(忽略)"",
  AND(E105&lt;&gt;"""", F105&lt;&gt;"""", NOT(REG"&amp;"EXMATCH(C105, ""薪資""))), ""內部轉帳(忽略)"",
  REGEXMATCH(C105, ""薪資""), ""薪資變動(不計入)"",
  REGEXMATCH(C105, ""押金""), ""押金往來"",
  AND(E105&lt;&gt;"""", F105=""""), ""真實支出"",
  AND(E105="""", F105&lt;&gt;""""), ""真實收入"",
  TRUE, ""其他""
)"),"真實收入")</f>
        <v>真實收入</v>
      </c>
      <c r="K105" s="270">
        <f t="shared" si="2"/>
        <v>13300</v>
      </c>
      <c r="L105">
        <f t="shared" si="3"/>
        <v>0</v>
      </c>
    </row>
    <row r="106">
      <c r="A106" s="107">
        <f>IFERROR(__xludf.DUMMYFUNCTION("""COMPUTED_VALUE"""),45294.0)</f>
        <v>45294</v>
      </c>
      <c r="B106" t="str">
        <f>IFERROR(__xludf.DUMMYFUNCTION("""COMPUTED_VALUE"""),"龍江229	E	李茂生")</f>
        <v>龍江229	E	李茂生</v>
      </c>
      <c r="C106" t="str">
        <f>IFERROR(__xludf.DUMMYFUNCTION("""COMPUTED_VALUE"""),"收入 - 租金")</f>
        <v>收入 - 租金</v>
      </c>
      <c r="D106" s="270">
        <f>IFERROR(__xludf.DUMMYFUNCTION("""COMPUTED_VALUE"""),10000.0)</f>
        <v>10000</v>
      </c>
      <c r="F106" t="str">
        <f>IFERROR(__xludf.DUMMYFUNCTION("""COMPUTED_VALUE"""),"台銀籌備帳戶")</f>
        <v>台銀籌備帳戶</v>
      </c>
      <c r="G106" t="str">
        <f>IFERROR(__xludf.DUMMYFUNCTION("""COMPUTED_VALUE"""),"龍江229")</f>
        <v>龍江229</v>
      </c>
      <c r="H106" s="106" t="str">
        <f t="shared" si="1"/>
        <v>2024-01</v>
      </c>
      <c r="I106" s="271" t="str">
        <f>IFERROR(__xludf.DUMMYFUNCTION("""COMPUTED_VALUE"""),"貓狗企鵝")</f>
        <v>貓狗企鵝</v>
      </c>
      <c r="J106" t="str">
        <f>IFERROR(__xludf.DUMMYFUNCTION("IFS(
  AND(REGEXMATCH(E106, ""台銀籌備帳戶|玉山帳戶""), REGEXMATCH(C106, ""薪資"")), ""分潤支出"",
  AND(REGEXMATCH(E106, ""Ben帳戶|Elsa帳戶|Ben代墊|Ariel代墊|中信銀行共用""), REGEXMATCH(F106, ""Ben帳戶|Elsa帳戶|Ben代墊|Ariel代墊|中信銀行共用"")), ""內部轉帳(忽略)"",
  AND(E106&lt;&gt;"""", F106&lt;&gt;"""", NOT(REG"&amp;"EXMATCH(C106, ""薪資""))), ""內部轉帳(忽略)"",
  REGEXMATCH(C106, ""薪資""), ""薪資變動(不計入)"",
  REGEXMATCH(C106, ""押金""), ""押金往來"",
  AND(E106&lt;&gt;"""", F106=""""), ""真實支出"",
  AND(E106="""", F106&lt;&gt;""""), ""真實收入"",
  TRUE, ""其他""
)"),"真實收入")</f>
        <v>真實收入</v>
      </c>
      <c r="K106" s="270">
        <f t="shared" si="2"/>
        <v>10000</v>
      </c>
      <c r="L106">
        <f t="shared" si="3"/>
        <v>0</v>
      </c>
    </row>
    <row r="107">
      <c r="A107" s="107">
        <f>IFERROR(__xludf.DUMMYFUNCTION("""COMPUTED_VALUE"""),45294.0)</f>
        <v>45294</v>
      </c>
      <c r="B107" t="str">
        <f>IFERROR(__xludf.DUMMYFUNCTION("""COMPUTED_VALUE"""),"C房訂金       0TWMP1234")</f>
        <v>C房訂金       0TWMP1234</v>
      </c>
      <c r="C107" t="str">
        <f>IFERROR(__xludf.DUMMYFUNCTION("""COMPUTED_VALUE"""),"收入 - 租金")</f>
        <v>收入 - 租金</v>
      </c>
      <c r="D107" s="270">
        <f>IFERROR(__xludf.DUMMYFUNCTION("""COMPUTED_VALUE"""),10000.0)</f>
        <v>10000</v>
      </c>
      <c r="F107" t="str">
        <f>IFERROR(__xludf.DUMMYFUNCTION("""COMPUTED_VALUE"""),"台銀籌備帳戶")</f>
        <v>台銀籌備帳戶</v>
      </c>
      <c r="G107" t="str">
        <f>IFERROR(__xludf.DUMMYFUNCTION("""COMPUTED_VALUE"""),"龍江229")</f>
        <v>龍江229</v>
      </c>
      <c r="H107" s="106" t="str">
        <f t="shared" si="1"/>
        <v>2024-01</v>
      </c>
      <c r="I107" s="271" t="str">
        <f>IFERROR(__xludf.DUMMYFUNCTION("""COMPUTED_VALUE"""),"貓狗企鵝")</f>
        <v>貓狗企鵝</v>
      </c>
      <c r="J107" t="str">
        <f>IFERROR(__xludf.DUMMYFUNCTION("IFS(
  AND(REGEXMATCH(E107, ""台銀籌備帳戶|玉山帳戶""), REGEXMATCH(C107, ""薪資"")), ""分潤支出"",
  AND(REGEXMATCH(E107, ""Ben帳戶|Elsa帳戶|Ben代墊|Ariel代墊|中信銀行共用""), REGEXMATCH(F107, ""Ben帳戶|Elsa帳戶|Ben代墊|Ariel代墊|中信銀行共用"")), ""內部轉帳(忽略)"",
  AND(E107&lt;&gt;"""", F107&lt;&gt;"""", NOT(REG"&amp;"EXMATCH(C107, ""薪資""))), ""內部轉帳(忽略)"",
  REGEXMATCH(C107, ""薪資""), ""薪資變動(不計入)"",
  REGEXMATCH(C107, ""押金""), ""押金往來"",
  AND(E107&lt;&gt;"""", F107=""""), ""真實支出"",
  AND(E107="""", F107&lt;&gt;""""), ""真實收入"",
  TRUE, ""其他""
)"),"真實收入")</f>
        <v>真實收入</v>
      </c>
      <c r="K107" s="270">
        <f t="shared" si="2"/>
        <v>10000</v>
      </c>
      <c r="L107">
        <f t="shared" si="3"/>
        <v>0</v>
      </c>
    </row>
    <row r="108">
      <c r="A108" s="107">
        <f>IFERROR(__xludf.DUMMYFUNCTION("""COMPUTED_VALUE"""),45295.0)</f>
        <v>45295</v>
      </c>
      <c r="B108" t="str">
        <f>IFERROR(__xludf.DUMMYFUNCTION("""COMPUTED_VALUE"""),"龍江 水電")</f>
        <v>龍江 水電</v>
      </c>
      <c r="C108" t="str">
        <f>IFERROR(__xludf.DUMMYFUNCTION("""COMPUTED_VALUE"""),"成本 - 進場前裝潢費")</f>
        <v>成本 - 進場前裝潢費</v>
      </c>
      <c r="D108" s="270">
        <f>IFERROR(__xludf.DUMMYFUNCTION("""COMPUTED_VALUE"""),-43275.0)</f>
        <v>-43275</v>
      </c>
      <c r="E108" t="str">
        <f>IFERROR(__xludf.DUMMYFUNCTION("""COMPUTED_VALUE"""),"台銀籌備帳戶")</f>
        <v>台銀籌備帳戶</v>
      </c>
      <c r="G108" t="str">
        <f>IFERROR(__xludf.DUMMYFUNCTION("""COMPUTED_VALUE"""),"龍江229")</f>
        <v>龍江229</v>
      </c>
      <c r="H108" s="106" t="str">
        <f t="shared" si="1"/>
        <v>2024-01</v>
      </c>
      <c r="I108" s="271" t="str">
        <f>IFERROR(__xludf.DUMMYFUNCTION("""COMPUTED_VALUE"""),"貓狗企鵝")</f>
        <v>貓狗企鵝</v>
      </c>
      <c r="J108" t="str">
        <f>IFERROR(__xludf.DUMMYFUNCTION("IFS(
  AND(REGEXMATCH(E108, ""台銀籌備帳戶|玉山帳戶""), REGEXMATCH(C108, ""薪資"")), ""分潤支出"",
  AND(REGEXMATCH(E108, ""Ben帳戶|Elsa帳戶|Ben代墊|Ariel代墊|中信銀行共用""), REGEXMATCH(F108, ""Ben帳戶|Elsa帳戶|Ben代墊|Ariel代墊|中信銀行共用"")), ""內部轉帳(忽略)"",
  AND(E108&lt;&gt;"""", F108&lt;&gt;"""", NOT(REG"&amp;"EXMATCH(C108, ""薪資""))), ""內部轉帳(忽略)"",
  REGEXMATCH(C108, ""薪資""), ""薪資變動(不計入)"",
  REGEXMATCH(C108, ""押金""), ""押金往來"",
  AND(E108&lt;&gt;"""", F108=""""), ""真實支出"",
  AND(E108="""", F108&lt;&gt;""""), ""真實收入"",
  TRUE, ""其他""
)"),"真實支出")</f>
        <v>真實支出</v>
      </c>
      <c r="K108" s="270">
        <f t="shared" si="2"/>
        <v>-43275</v>
      </c>
      <c r="L108">
        <f t="shared" si="3"/>
        <v>0</v>
      </c>
    </row>
    <row r="109">
      <c r="A109" s="107">
        <f>IFERROR(__xludf.DUMMYFUNCTION("""COMPUTED_VALUE"""),45295.0)</f>
        <v>45295</v>
      </c>
      <c r="B109" t="str">
        <f>IFERROR(__xludf.DUMMYFUNCTION("""COMPUTED_VALUE"""),"訂金           0001WB")</f>
        <v>訂金           0001WB</v>
      </c>
      <c r="C109" t="str">
        <f>IFERROR(__xludf.DUMMYFUNCTION("""COMPUTED_VALUE"""),"收入 - 租金")</f>
        <v>收入 - 租金</v>
      </c>
      <c r="D109" s="270">
        <f>IFERROR(__xludf.DUMMYFUNCTION("""COMPUTED_VALUE"""),10000.0)</f>
        <v>10000</v>
      </c>
      <c r="F109" t="str">
        <f>IFERROR(__xludf.DUMMYFUNCTION("""COMPUTED_VALUE"""),"台銀籌備帳戶")</f>
        <v>台銀籌備帳戶</v>
      </c>
      <c r="G109" t="str">
        <f>IFERROR(__xludf.DUMMYFUNCTION("""COMPUTED_VALUE"""),"龍江229")</f>
        <v>龍江229</v>
      </c>
      <c r="H109" s="106" t="str">
        <f t="shared" si="1"/>
        <v>2024-01</v>
      </c>
      <c r="I109" s="271" t="str">
        <f>IFERROR(__xludf.DUMMYFUNCTION("""COMPUTED_VALUE"""),"貓狗企鵝")</f>
        <v>貓狗企鵝</v>
      </c>
      <c r="J109" t="str">
        <f>IFERROR(__xludf.DUMMYFUNCTION("IFS(
  AND(REGEXMATCH(E109, ""台銀籌備帳戶|玉山帳戶""), REGEXMATCH(C109, ""薪資"")), ""分潤支出"",
  AND(REGEXMATCH(E109, ""Ben帳戶|Elsa帳戶|Ben代墊|Ariel代墊|中信銀行共用""), REGEXMATCH(F109, ""Ben帳戶|Elsa帳戶|Ben代墊|Ariel代墊|中信銀行共用"")), ""內部轉帳(忽略)"",
  AND(E109&lt;&gt;"""", F109&lt;&gt;"""", NOT(REG"&amp;"EXMATCH(C109, ""薪資""))), ""內部轉帳(忽略)"",
  REGEXMATCH(C109, ""薪資""), ""薪資變動(不計入)"",
  REGEXMATCH(C109, ""押金""), ""押金往來"",
  AND(E109&lt;&gt;"""", F109=""""), ""真實支出"",
  AND(E109="""", F109&lt;&gt;""""), ""真實收入"",
  TRUE, ""其他""
)"),"真實收入")</f>
        <v>真實收入</v>
      </c>
      <c r="K109" s="270">
        <f t="shared" si="2"/>
        <v>10000</v>
      </c>
      <c r="L109">
        <f t="shared" si="3"/>
        <v>0</v>
      </c>
    </row>
    <row r="110">
      <c r="A110" s="107">
        <f>IFERROR(__xludf.DUMMYFUNCTION("""COMPUTED_VALUE"""),45296.0)</f>
        <v>45296</v>
      </c>
      <c r="B110" t="str">
        <f>IFERROR(__xludf.DUMMYFUNCTION("""COMPUTED_VALUE"""),"鎖")</f>
        <v>鎖</v>
      </c>
      <c r="C110" t="str">
        <f>IFERROR(__xludf.DUMMYFUNCTION("""COMPUTED_VALUE"""),"成本 - 進場前裝潢費")</f>
        <v>成本 - 進場前裝潢費</v>
      </c>
      <c r="D110" s="270">
        <f>IFERROR(__xludf.DUMMYFUNCTION("""COMPUTED_VALUE"""),-3000.0)</f>
        <v>-3000</v>
      </c>
      <c r="E110" t="str">
        <f>IFERROR(__xludf.DUMMYFUNCTION("""COMPUTED_VALUE"""),"Ben帳戶")</f>
        <v>Ben帳戶</v>
      </c>
      <c r="G110" t="str">
        <f>IFERROR(__xludf.DUMMYFUNCTION("""COMPUTED_VALUE"""),"龍江229")</f>
        <v>龍江229</v>
      </c>
      <c r="H110" s="106" t="str">
        <f t="shared" si="1"/>
        <v>2024-01</v>
      </c>
      <c r="I110" s="271" t="str">
        <f>IFERROR(__xludf.DUMMYFUNCTION("""COMPUTED_VALUE"""),"貓狗企鵝")</f>
        <v>貓狗企鵝</v>
      </c>
      <c r="J110" t="str">
        <f>IFERROR(__xludf.DUMMYFUNCTION("IFS(
  AND(REGEXMATCH(E110, ""台銀籌備帳戶|玉山帳戶""), REGEXMATCH(C110, ""薪資"")), ""分潤支出"",
  AND(REGEXMATCH(E110, ""Ben帳戶|Elsa帳戶|Ben代墊|Ariel代墊|中信銀行共用""), REGEXMATCH(F110, ""Ben帳戶|Elsa帳戶|Ben代墊|Ariel代墊|中信銀行共用"")), ""內部轉帳(忽略)"",
  AND(E110&lt;&gt;"""", F110&lt;&gt;"""", NOT(REG"&amp;"EXMATCH(C110, ""薪資""))), ""內部轉帳(忽略)"",
  REGEXMATCH(C110, ""薪資""), ""薪資變動(不計入)"",
  REGEXMATCH(C110, ""押金""), ""押金往來"",
  AND(E110&lt;&gt;"""", F110=""""), ""真實支出"",
  AND(E110="""", F110&lt;&gt;""""), ""真實收入"",
  TRUE, ""其他""
)"),"真實支出")</f>
        <v>真實支出</v>
      </c>
      <c r="K110" s="270">
        <f t="shared" si="2"/>
        <v>-3000</v>
      </c>
      <c r="L110">
        <f t="shared" si="3"/>
        <v>0</v>
      </c>
    </row>
    <row r="111">
      <c r="A111" s="107">
        <f>IFERROR(__xludf.DUMMYFUNCTION("""COMPUTED_VALUE"""),45296.0)</f>
        <v>45296</v>
      </c>
      <c r="B111" t="str">
        <f>IFERROR(__xludf.DUMMYFUNCTION("""COMPUTED_VALUE"""),"鎖")</f>
        <v>鎖</v>
      </c>
      <c r="C111" t="str">
        <f>IFERROR(__xludf.DUMMYFUNCTION("""COMPUTED_VALUE"""),"成本 - 進場前裝潢費")</f>
        <v>成本 - 進場前裝潢費</v>
      </c>
      <c r="D111" s="270">
        <f>IFERROR(__xludf.DUMMYFUNCTION("""COMPUTED_VALUE"""),-600.0)</f>
        <v>-600</v>
      </c>
      <c r="E111" t="str">
        <f>IFERROR(__xludf.DUMMYFUNCTION("""COMPUTED_VALUE"""),"Elsa帳戶")</f>
        <v>Elsa帳戶</v>
      </c>
      <c r="G111" t="str">
        <f>IFERROR(__xludf.DUMMYFUNCTION("""COMPUTED_VALUE"""),"龍江229")</f>
        <v>龍江229</v>
      </c>
      <c r="H111" s="106" t="str">
        <f t="shared" si="1"/>
        <v>2024-01</v>
      </c>
      <c r="I111" s="271" t="str">
        <f>IFERROR(__xludf.DUMMYFUNCTION("""COMPUTED_VALUE"""),"貓狗企鵝")</f>
        <v>貓狗企鵝</v>
      </c>
      <c r="J111" t="str">
        <f>IFERROR(__xludf.DUMMYFUNCTION("IFS(
  AND(REGEXMATCH(E111, ""台銀籌備帳戶|玉山帳戶""), REGEXMATCH(C111, ""薪資"")), ""分潤支出"",
  AND(REGEXMATCH(E111, ""Ben帳戶|Elsa帳戶|Ben代墊|Ariel代墊|中信銀行共用""), REGEXMATCH(F111, ""Ben帳戶|Elsa帳戶|Ben代墊|Ariel代墊|中信銀行共用"")), ""內部轉帳(忽略)"",
  AND(E111&lt;&gt;"""", F111&lt;&gt;"""", NOT(REG"&amp;"EXMATCH(C111, ""薪資""))), ""內部轉帳(忽略)"",
  REGEXMATCH(C111, ""薪資""), ""薪資變動(不計入)"",
  REGEXMATCH(C111, ""押金""), ""押金往來"",
  AND(E111&lt;&gt;"""", F111=""""), ""真實支出"",
  AND(E111="""", F111&lt;&gt;""""), ""真實收入"",
  TRUE, ""其他""
)"),"真實支出")</f>
        <v>真實支出</v>
      </c>
      <c r="K111" s="270">
        <f t="shared" si="2"/>
        <v>-600</v>
      </c>
      <c r="L111">
        <f t="shared" si="3"/>
        <v>0</v>
      </c>
    </row>
    <row r="112">
      <c r="A112" s="107">
        <f>IFERROR(__xludf.DUMMYFUNCTION("""COMPUTED_VALUE"""),45296.0)</f>
        <v>45296</v>
      </c>
      <c r="B112" t="str">
        <f>IFERROR(__xludf.DUMMYFUNCTION("""COMPUTED_VALUE"""),"打鑰匙")</f>
        <v>打鑰匙</v>
      </c>
      <c r="C112" t="str">
        <f>IFERROR(__xludf.DUMMYFUNCTION("""COMPUTED_VALUE"""),"成本 - 進場前裝潢費")</f>
        <v>成本 - 進場前裝潢費</v>
      </c>
      <c r="D112" s="270">
        <f>IFERROR(__xludf.DUMMYFUNCTION("""COMPUTED_VALUE"""),-680.0)</f>
        <v>-680</v>
      </c>
      <c r="E112" t="str">
        <f>IFERROR(__xludf.DUMMYFUNCTION("""COMPUTED_VALUE"""),"Ben帳戶")</f>
        <v>Ben帳戶</v>
      </c>
      <c r="G112" t="str">
        <f>IFERROR(__xludf.DUMMYFUNCTION("""COMPUTED_VALUE"""),"龍江229")</f>
        <v>龍江229</v>
      </c>
      <c r="H112" s="106" t="str">
        <f t="shared" si="1"/>
        <v>2024-01</v>
      </c>
      <c r="I112" s="271" t="str">
        <f>IFERROR(__xludf.DUMMYFUNCTION("""COMPUTED_VALUE"""),"貓狗企鵝")</f>
        <v>貓狗企鵝</v>
      </c>
      <c r="J112" t="str">
        <f>IFERROR(__xludf.DUMMYFUNCTION("IFS(
  AND(REGEXMATCH(E112, ""台銀籌備帳戶|玉山帳戶""), REGEXMATCH(C112, ""薪資"")), ""分潤支出"",
  AND(REGEXMATCH(E112, ""Ben帳戶|Elsa帳戶|Ben代墊|Ariel代墊|中信銀行共用""), REGEXMATCH(F112, ""Ben帳戶|Elsa帳戶|Ben代墊|Ariel代墊|中信銀行共用"")), ""內部轉帳(忽略)"",
  AND(E112&lt;&gt;"""", F112&lt;&gt;"""", NOT(REG"&amp;"EXMATCH(C112, ""薪資""))), ""內部轉帳(忽略)"",
  REGEXMATCH(C112, ""薪資""), ""薪資變動(不計入)"",
  REGEXMATCH(C112, ""押金""), ""押金往來"",
  AND(E112&lt;&gt;"""", F112=""""), ""真實支出"",
  AND(E112="""", F112&lt;&gt;""""), ""真實收入"",
  TRUE, ""其他""
)"),"真實支出")</f>
        <v>真實支出</v>
      </c>
      <c r="K112" s="270">
        <f t="shared" si="2"/>
        <v>-680</v>
      </c>
      <c r="L112">
        <f t="shared" si="3"/>
        <v>0</v>
      </c>
    </row>
    <row r="113">
      <c r="A113" s="107">
        <f>IFERROR(__xludf.DUMMYFUNCTION("""COMPUTED_VALUE"""),45296.0)</f>
        <v>45296</v>
      </c>
      <c r="B113" t="str">
        <f>IFERROR(__xludf.DUMMYFUNCTION("""COMPUTED_VALUE"""),"佳惠的錢")</f>
        <v>佳惠的錢</v>
      </c>
      <c r="C113" t="str">
        <f>IFERROR(__xludf.DUMMYFUNCTION("""COMPUTED_VALUE"""),"費用 - Salary 薪資")</f>
        <v>費用 - Salary 薪資</v>
      </c>
      <c r="D113" s="270">
        <f>IFERROR(__xludf.DUMMYFUNCTION("""COMPUTED_VALUE"""),-9539.0)</f>
        <v>-9539</v>
      </c>
      <c r="E113" t="str">
        <f>IFERROR(__xludf.DUMMYFUNCTION("""COMPUTED_VALUE"""),"台銀籌備帳戶")</f>
        <v>台銀籌備帳戶</v>
      </c>
      <c r="F113" t="str">
        <f>IFERROR(__xludf.DUMMYFUNCTION("""COMPUTED_VALUE"""),"Elsa帳戶")</f>
        <v>Elsa帳戶</v>
      </c>
      <c r="H113" s="106" t="str">
        <f t="shared" si="1"/>
        <v>2024-01</v>
      </c>
      <c r="I113" s="271" t="str">
        <f>IFERROR(__xludf.DUMMYFUNCTION("""COMPUTED_VALUE"""),"貓狗企鵝")</f>
        <v>貓狗企鵝</v>
      </c>
      <c r="J113" t="str">
        <f>IFERROR(__xludf.DUMMYFUNCTION("IFS(
  AND(REGEXMATCH(E113, ""台銀籌備帳戶|玉山帳戶""), REGEXMATCH(C113, ""薪資"")), ""分潤支出"",
  AND(REGEXMATCH(E113, ""Ben帳戶|Elsa帳戶|Ben代墊|Ariel代墊|中信銀行共用""), REGEXMATCH(F113, ""Ben帳戶|Elsa帳戶|Ben代墊|Ariel代墊|中信銀行共用"")), ""內部轉帳(忽略)"",
  AND(E113&lt;&gt;"""", F113&lt;&gt;"""", NOT(REG"&amp;"EXMATCH(C113, ""薪資""))), ""內部轉帳(忽略)"",
  REGEXMATCH(C113, ""薪資""), ""薪資變動(不計入)"",
  REGEXMATCH(C113, ""押金""), ""押金往來"",
  AND(E113&lt;&gt;"""", F113=""""), ""真實支出"",
  AND(E113="""", F113&lt;&gt;""""), ""真實收入"",
  TRUE, ""其他""
)"),"分潤支出")</f>
        <v>分潤支出</v>
      </c>
      <c r="K113">
        <f t="shared" si="2"/>
        <v>0</v>
      </c>
      <c r="L113">
        <f t="shared" si="3"/>
        <v>9539</v>
      </c>
    </row>
    <row r="114">
      <c r="A114" s="107">
        <f>IFERROR(__xludf.DUMMYFUNCTION("""COMPUTED_VALUE"""),45296.0)</f>
        <v>45296</v>
      </c>
      <c r="B114" t="str">
        <f>IFERROR(__xludf.DUMMYFUNCTION("""COMPUTED_VALUE"""),"龍江229	E	李茂生")</f>
        <v>龍江229	E	李茂生</v>
      </c>
      <c r="C114" t="str">
        <f>IFERROR(__xludf.DUMMYFUNCTION("""COMPUTED_VALUE"""),"收入 - 租金")</f>
        <v>收入 - 租金</v>
      </c>
      <c r="D114" s="270">
        <f>IFERROR(__xludf.DUMMYFUNCTION("""COMPUTED_VALUE"""),2500.0)</f>
        <v>2500</v>
      </c>
      <c r="F114" t="str">
        <f>IFERROR(__xludf.DUMMYFUNCTION("""COMPUTED_VALUE"""),"台銀籌備帳戶")</f>
        <v>台銀籌備帳戶</v>
      </c>
      <c r="G114" t="str">
        <f>IFERROR(__xludf.DUMMYFUNCTION("""COMPUTED_VALUE"""),"龍江229")</f>
        <v>龍江229</v>
      </c>
      <c r="H114" s="106" t="str">
        <f t="shared" si="1"/>
        <v>2024-01</v>
      </c>
      <c r="I114" s="271" t="str">
        <f>IFERROR(__xludf.DUMMYFUNCTION("""COMPUTED_VALUE"""),"貓狗企鵝")</f>
        <v>貓狗企鵝</v>
      </c>
      <c r="J114" t="str">
        <f>IFERROR(__xludf.DUMMYFUNCTION("IFS(
  AND(REGEXMATCH(E114, ""台銀籌備帳戶|玉山帳戶""), REGEXMATCH(C114, ""薪資"")), ""分潤支出"",
  AND(REGEXMATCH(E114, ""Ben帳戶|Elsa帳戶|Ben代墊|Ariel代墊|中信銀行共用""), REGEXMATCH(F114, ""Ben帳戶|Elsa帳戶|Ben代墊|Ariel代墊|中信銀行共用"")), ""內部轉帳(忽略)"",
  AND(E114&lt;&gt;"""", F114&lt;&gt;"""", NOT(REG"&amp;"EXMATCH(C114, ""薪資""))), ""內部轉帳(忽略)"",
  REGEXMATCH(C114, ""薪資""), ""薪資變動(不計入)"",
  REGEXMATCH(C114, ""押金""), ""押金往來"",
  AND(E114&lt;&gt;"""", F114=""""), ""真實支出"",
  AND(E114="""", F114&lt;&gt;""""), ""真實收入"",
  TRUE, ""其他""
)"),"真實收入")</f>
        <v>真實收入</v>
      </c>
      <c r="K114" s="270">
        <f t="shared" si="2"/>
        <v>2500</v>
      </c>
      <c r="L114">
        <f t="shared" si="3"/>
        <v>0</v>
      </c>
    </row>
    <row r="115">
      <c r="A115" s="107">
        <f>IFERROR(__xludf.DUMMYFUNCTION("""COMPUTED_VALUE"""),45296.0)</f>
        <v>45296</v>
      </c>
      <c r="B115" t="str">
        <f>IFERROR(__xludf.DUMMYFUNCTION("""COMPUTED_VALUE"""),"龍江229	E	李茂生")</f>
        <v>龍江229	E	李茂生</v>
      </c>
      <c r="C115" t="str">
        <f>IFERROR(__xludf.DUMMYFUNCTION("""COMPUTED_VALUE"""),"收入 - 押金")</f>
        <v>收入 - 押金</v>
      </c>
      <c r="D115" s="270">
        <f>IFERROR(__xludf.DUMMYFUNCTION("""COMPUTED_VALUE"""),25000.0)</f>
        <v>25000</v>
      </c>
      <c r="F115" t="str">
        <f>IFERROR(__xludf.DUMMYFUNCTION("""COMPUTED_VALUE"""),"台銀籌備帳戶")</f>
        <v>台銀籌備帳戶</v>
      </c>
      <c r="G115" t="str">
        <f>IFERROR(__xludf.DUMMYFUNCTION("""COMPUTED_VALUE"""),"龍江229")</f>
        <v>龍江229</v>
      </c>
      <c r="H115" s="106" t="str">
        <f t="shared" si="1"/>
        <v>2024-01</v>
      </c>
      <c r="I115" s="271" t="str">
        <f>IFERROR(__xludf.DUMMYFUNCTION("""COMPUTED_VALUE"""),"貓狗企鵝")</f>
        <v>貓狗企鵝</v>
      </c>
      <c r="J115" t="str">
        <f>IFERROR(__xludf.DUMMYFUNCTION("IFS(
  AND(REGEXMATCH(E115, ""台銀籌備帳戶|玉山帳戶""), REGEXMATCH(C115, ""薪資"")), ""分潤支出"",
  AND(REGEXMATCH(E115, ""Ben帳戶|Elsa帳戶|Ben代墊|Ariel代墊|中信銀行共用""), REGEXMATCH(F115, ""Ben帳戶|Elsa帳戶|Ben代墊|Ariel代墊|中信銀行共用"")), ""內部轉帳(忽略)"",
  AND(E115&lt;&gt;"""", F115&lt;&gt;"""", NOT(REG"&amp;"EXMATCH(C115, ""薪資""))), ""內部轉帳(忽略)"",
  REGEXMATCH(C115, ""薪資""), ""薪資變動(不計入)"",
  REGEXMATCH(C115, ""押金""), ""押金往來"",
  AND(E115&lt;&gt;"""", F115=""""), ""真實支出"",
  AND(E115="""", F115&lt;&gt;""""), ""真實收入"",
  TRUE, ""其他""
)"),"押金往來")</f>
        <v>押金往來</v>
      </c>
      <c r="K115">
        <f t="shared" si="2"/>
        <v>0</v>
      </c>
      <c r="L115">
        <f t="shared" si="3"/>
        <v>0</v>
      </c>
    </row>
    <row r="116">
      <c r="A116" s="107">
        <f>IFERROR(__xludf.DUMMYFUNCTION("""COMPUTED_VALUE"""),45297.0)</f>
        <v>45297</v>
      </c>
      <c r="B116" t="str">
        <f>IFERROR(__xludf.DUMMYFUNCTION("""COMPUTED_VALUE"""),"龍江229A莊美娟")</f>
        <v>龍江229A莊美娟</v>
      </c>
      <c r="C116" t="str">
        <f>IFERROR(__xludf.DUMMYFUNCTION("""COMPUTED_VALUE"""),"收入 - 租金")</f>
        <v>收入 - 租金</v>
      </c>
      <c r="D116" s="270">
        <f>IFERROR(__xludf.DUMMYFUNCTION("""COMPUTED_VALUE"""),2800.0)</f>
        <v>2800</v>
      </c>
      <c r="F116" t="str">
        <f>IFERROR(__xludf.DUMMYFUNCTION("""COMPUTED_VALUE"""),"台銀籌備帳戶")</f>
        <v>台銀籌備帳戶</v>
      </c>
      <c r="G116" t="str">
        <f>IFERROR(__xludf.DUMMYFUNCTION("""COMPUTED_VALUE"""),"龍江229")</f>
        <v>龍江229</v>
      </c>
      <c r="H116" s="106" t="str">
        <f t="shared" si="1"/>
        <v>2024-01</v>
      </c>
      <c r="I116" s="271" t="str">
        <f>IFERROR(__xludf.DUMMYFUNCTION("""COMPUTED_VALUE"""),"貓狗企鵝")</f>
        <v>貓狗企鵝</v>
      </c>
      <c r="J116" t="str">
        <f>IFERROR(__xludf.DUMMYFUNCTION("IFS(
  AND(REGEXMATCH(E116, ""台銀籌備帳戶|玉山帳戶""), REGEXMATCH(C116, ""薪資"")), ""分潤支出"",
  AND(REGEXMATCH(E116, ""Ben帳戶|Elsa帳戶|Ben代墊|Ariel代墊|中信銀行共用""), REGEXMATCH(F116, ""Ben帳戶|Elsa帳戶|Ben代墊|Ariel代墊|中信銀行共用"")), ""內部轉帳(忽略)"",
  AND(E116&lt;&gt;"""", F116&lt;&gt;"""", NOT(REG"&amp;"EXMATCH(C116, ""薪資""))), ""內部轉帳(忽略)"",
  REGEXMATCH(C116, ""薪資""), ""薪資變動(不計入)"",
  REGEXMATCH(C116, ""押金""), ""押金往來"",
  AND(E116&lt;&gt;"""", F116=""""), ""真實支出"",
  AND(E116="""", F116&lt;&gt;""""), ""真實收入"",
  TRUE, ""其他""
)"),"真實收入")</f>
        <v>真實收入</v>
      </c>
      <c r="K116" s="270">
        <f t="shared" si="2"/>
        <v>2800</v>
      </c>
      <c r="L116">
        <f t="shared" si="3"/>
        <v>0</v>
      </c>
    </row>
    <row r="117">
      <c r="A117" s="107">
        <f>IFERROR(__xludf.DUMMYFUNCTION("""COMPUTED_VALUE"""),45297.0)</f>
        <v>45297</v>
      </c>
      <c r="B117" t="str">
        <f>IFERROR(__xludf.DUMMYFUNCTION("""COMPUTED_VALUE"""),"龍江229A莊美娟")</f>
        <v>龍江229A莊美娟</v>
      </c>
      <c r="C117" t="str">
        <f>IFERROR(__xludf.DUMMYFUNCTION("""COMPUTED_VALUE"""),"收入 - 押金")</f>
        <v>收入 - 押金</v>
      </c>
      <c r="D117" s="270">
        <f>IFERROR(__xludf.DUMMYFUNCTION("""COMPUTED_VALUE"""),25600.0)</f>
        <v>25600</v>
      </c>
      <c r="F117" t="str">
        <f>IFERROR(__xludf.DUMMYFUNCTION("""COMPUTED_VALUE"""),"台銀籌備帳戶")</f>
        <v>台銀籌備帳戶</v>
      </c>
      <c r="G117" t="str">
        <f>IFERROR(__xludf.DUMMYFUNCTION("""COMPUTED_VALUE"""),"龍江229")</f>
        <v>龍江229</v>
      </c>
      <c r="H117" s="106" t="str">
        <f t="shared" si="1"/>
        <v>2024-01</v>
      </c>
      <c r="I117" s="271" t="str">
        <f>IFERROR(__xludf.DUMMYFUNCTION("""COMPUTED_VALUE"""),"貓狗企鵝")</f>
        <v>貓狗企鵝</v>
      </c>
      <c r="J117" t="str">
        <f>IFERROR(__xludf.DUMMYFUNCTION("IFS(
  AND(REGEXMATCH(E117, ""台銀籌備帳戶|玉山帳戶""), REGEXMATCH(C117, ""薪資"")), ""分潤支出"",
  AND(REGEXMATCH(E117, ""Ben帳戶|Elsa帳戶|Ben代墊|Ariel代墊|中信銀行共用""), REGEXMATCH(F117, ""Ben帳戶|Elsa帳戶|Ben代墊|Ariel代墊|中信銀行共用"")), ""內部轉帳(忽略)"",
  AND(E117&lt;&gt;"""", F117&lt;&gt;"""", NOT(REG"&amp;"EXMATCH(C117, ""薪資""))), ""內部轉帳(忽略)"",
  REGEXMATCH(C117, ""薪資""), ""薪資變動(不計入)"",
  REGEXMATCH(C117, ""押金""), ""押金往來"",
  AND(E117&lt;&gt;"""", F117=""""), ""真實支出"",
  AND(E117="""", F117&lt;&gt;""""), ""真實收入"",
  TRUE, ""其他""
)"),"押金往來")</f>
        <v>押金往來</v>
      </c>
      <c r="K117">
        <f t="shared" si="2"/>
        <v>0</v>
      </c>
      <c r="L117">
        <f t="shared" si="3"/>
        <v>0</v>
      </c>
    </row>
    <row r="118">
      <c r="A118" s="107">
        <f>IFERROR(__xludf.DUMMYFUNCTION("""COMPUTED_VALUE"""),45297.0)</f>
        <v>45297</v>
      </c>
      <c r="B118" t="str">
        <f>IFERROR(__xludf.DUMMYFUNCTION("""COMPUTED_VALUE"""),"龍江229D黃依婷")</f>
        <v>龍江229D黃依婷</v>
      </c>
      <c r="C118" t="str">
        <f>IFERROR(__xludf.DUMMYFUNCTION("""COMPUTED_VALUE"""),"收入 - 押金")</f>
        <v>收入 - 押金</v>
      </c>
      <c r="D118" s="270">
        <f>IFERROR(__xludf.DUMMYFUNCTION("""COMPUTED_VALUE"""),26600.0)</f>
        <v>26600</v>
      </c>
      <c r="F118" t="str">
        <f>IFERROR(__xludf.DUMMYFUNCTION("""COMPUTED_VALUE"""),"台銀籌備帳戶")</f>
        <v>台銀籌備帳戶</v>
      </c>
      <c r="G118" t="str">
        <f>IFERROR(__xludf.DUMMYFUNCTION("""COMPUTED_VALUE"""),"龍江229")</f>
        <v>龍江229</v>
      </c>
      <c r="H118" s="106" t="str">
        <f t="shared" si="1"/>
        <v>2024-01</v>
      </c>
      <c r="I118" s="271" t="str">
        <f>IFERROR(__xludf.DUMMYFUNCTION("""COMPUTED_VALUE"""),"貓狗企鵝")</f>
        <v>貓狗企鵝</v>
      </c>
      <c r="J118" t="str">
        <f>IFERROR(__xludf.DUMMYFUNCTION("IFS(
  AND(REGEXMATCH(E118, ""台銀籌備帳戶|玉山帳戶""), REGEXMATCH(C118, ""薪資"")), ""分潤支出"",
  AND(REGEXMATCH(E118, ""Ben帳戶|Elsa帳戶|Ben代墊|Ariel代墊|中信銀行共用""), REGEXMATCH(F118, ""Ben帳戶|Elsa帳戶|Ben代墊|Ariel代墊|中信銀行共用"")), ""內部轉帳(忽略)"",
  AND(E118&lt;&gt;"""", F118&lt;&gt;"""", NOT(REG"&amp;"EXMATCH(C118, ""薪資""))), ""內部轉帳(忽略)"",
  REGEXMATCH(C118, ""薪資""), ""薪資變動(不計入)"",
  REGEXMATCH(C118, ""押金""), ""押金往來"",
  AND(E118&lt;&gt;"""", F118=""""), ""真實支出"",
  AND(E118="""", F118&lt;&gt;""""), ""真實收入"",
  TRUE, ""其他""
)"),"押金往來")</f>
        <v>押金往來</v>
      </c>
      <c r="K118">
        <f t="shared" si="2"/>
        <v>0</v>
      </c>
      <c r="L118">
        <f t="shared" si="3"/>
        <v>0</v>
      </c>
    </row>
    <row r="119">
      <c r="A119" s="107">
        <f>IFERROR(__xludf.DUMMYFUNCTION("""COMPUTED_VALUE"""),45297.0)</f>
        <v>45297</v>
      </c>
      <c r="B119" t="str">
        <f>IFERROR(__xludf.DUMMYFUNCTION("""COMPUTED_VALUE"""),"龍江229D黃依婷")</f>
        <v>龍江229D黃依婷</v>
      </c>
      <c r="C119" t="str">
        <f>IFERROR(__xludf.DUMMYFUNCTION("""COMPUTED_VALUE"""),"收入 - 租金")</f>
        <v>收入 - 租金</v>
      </c>
      <c r="D119" s="270">
        <f>IFERROR(__xludf.DUMMYFUNCTION("""COMPUTED_VALUE"""),3300.0)</f>
        <v>3300</v>
      </c>
      <c r="F119" t="str">
        <f>IFERROR(__xludf.DUMMYFUNCTION("""COMPUTED_VALUE"""),"台銀籌備帳戶")</f>
        <v>台銀籌備帳戶</v>
      </c>
      <c r="G119" t="str">
        <f>IFERROR(__xludf.DUMMYFUNCTION("""COMPUTED_VALUE"""),"龍江229")</f>
        <v>龍江229</v>
      </c>
      <c r="H119" s="106" t="str">
        <f t="shared" si="1"/>
        <v>2024-01</v>
      </c>
      <c r="I119" s="271" t="str">
        <f>IFERROR(__xludf.DUMMYFUNCTION("""COMPUTED_VALUE"""),"貓狗企鵝")</f>
        <v>貓狗企鵝</v>
      </c>
      <c r="J119" t="str">
        <f>IFERROR(__xludf.DUMMYFUNCTION("IFS(
  AND(REGEXMATCH(E119, ""台銀籌備帳戶|玉山帳戶""), REGEXMATCH(C119, ""薪資"")), ""分潤支出"",
  AND(REGEXMATCH(E119, ""Ben帳戶|Elsa帳戶|Ben代墊|Ariel代墊|中信銀行共用""), REGEXMATCH(F119, ""Ben帳戶|Elsa帳戶|Ben代墊|Ariel代墊|中信銀行共用"")), ""內部轉帳(忽略)"",
  AND(E119&lt;&gt;"""", F119&lt;&gt;"""", NOT(REG"&amp;"EXMATCH(C119, ""薪資""))), ""內部轉帳(忽略)"",
  REGEXMATCH(C119, ""薪資""), ""薪資變動(不計入)"",
  REGEXMATCH(C119, ""押金""), ""押金往來"",
  AND(E119&lt;&gt;"""", F119=""""), ""真實支出"",
  AND(E119="""", F119&lt;&gt;""""), ""真實收入"",
  TRUE, ""其他""
)"),"真實收入")</f>
        <v>真實收入</v>
      </c>
      <c r="K119" s="270">
        <f t="shared" si="2"/>
        <v>3300</v>
      </c>
      <c r="L119">
        <f t="shared" si="3"/>
        <v>0</v>
      </c>
    </row>
    <row r="120">
      <c r="A120" s="107">
        <f>IFERROR(__xludf.DUMMYFUNCTION("""COMPUTED_VALUE"""),45299.0)</f>
        <v>45299</v>
      </c>
      <c r="B120" t="str">
        <f>IFERROR(__xludf.DUMMYFUNCTION("""COMPUTED_VALUE"""),"龍江A衣櫃")</f>
        <v>龍江A衣櫃</v>
      </c>
      <c r="C120" t="str">
        <f>IFERROR(__xludf.DUMMYFUNCTION("""COMPUTED_VALUE"""),"成本 - 進場前裝潢費")</f>
        <v>成本 - 進場前裝潢費</v>
      </c>
      <c r="D120" s="270">
        <f>IFERROR(__xludf.DUMMYFUNCTION("""COMPUTED_VALUE"""),-3339.0)</f>
        <v>-3339</v>
      </c>
      <c r="E120" t="str">
        <f>IFERROR(__xludf.DUMMYFUNCTION("""COMPUTED_VALUE"""),"Ben帳戶")</f>
        <v>Ben帳戶</v>
      </c>
      <c r="G120" t="str">
        <f>IFERROR(__xludf.DUMMYFUNCTION("""COMPUTED_VALUE"""),"龍江229")</f>
        <v>龍江229</v>
      </c>
      <c r="H120" s="106" t="str">
        <f t="shared" si="1"/>
        <v>2024-01</v>
      </c>
      <c r="I120" s="271" t="str">
        <f>IFERROR(__xludf.DUMMYFUNCTION("""COMPUTED_VALUE"""),"貓狗企鵝")</f>
        <v>貓狗企鵝</v>
      </c>
      <c r="J120" t="str">
        <f>IFERROR(__xludf.DUMMYFUNCTION("IFS(
  AND(REGEXMATCH(E120, ""台銀籌備帳戶|玉山帳戶""), REGEXMATCH(C120, ""薪資"")), ""分潤支出"",
  AND(REGEXMATCH(E120, ""Ben帳戶|Elsa帳戶|Ben代墊|Ariel代墊|中信銀行共用""), REGEXMATCH(F120, ""Ben帳戶|Elsa帳戶|Ben代墊|Ariel代墊|中信銀行共用"")), ""內部轉帳(忽略)"",
  AND(E120&lt;&gt;"""", F120&lt;&gt;"""", NOT(REG"&amp;"EXMATCH(C120, ""薪資""))), ""內部轉帳(忽略)"",
  REGEXMATCH(C120, ""薪資""), ""薪資變動(不計入)"",
  REGEXMATCH(C120, ""押金""), ""押金往來"",
  AND(E120&lt;&gt;"""", F120=""""), ""真實支出"",
  AND(E120="""", F120&lt;&gt;""""), ""真實收入"",
  TRUE, ""其他""
)"),"真實支出")</f>
        <v>真實支出</v>
      </c>
      <c r="K120" s="270">
        <f t="shared" si="2"/>
        <v>-3339</v>
      </c>
      <c r="L120">
        <f t="shared" si="3"/>
        <v>0</v>
      </c>
    </row>
    <row r="121">
      <c r="A121" s="107">
        <f>IFERROR(__xludf.DUMMYFUNCTION("""COMPUTED_VALUE"""),45299.0)</f>
        <v>45299</v>
      </c>
      <c r="B121" t="str">
        <f>IFERROR(__xludf.DUMMYFUNCTION("""COMPUTED_VALUE"""),"龍江 輕隔間")</f>
        <v>龍江 輕隔間</v>
      </c>
      <c r="C121" t="str">
        <f>IFERROR(__xludf.DUMMYFUNCTION("""COMPUTED_VALUE"""),"成本 - 進場前裝潢費")</f>
        <v>成本 - 進場前裝潢費</v>
      </c>
      <c r="D121" s="270">
        <f>IFERROR(__xludf.DUMMYFUNCTION("""COMPUTED_VALUE"""),-3181.0)</f>
        <v>-3181</v>
      </c>
      <c r="E121" t="str">
        <f>IFERROR(__xludf.DUMMYFUNCTION("""COMPUTED_VALUE"""),"台銀籌備帳戶")</f>
        <v>台銀籌備帳戶</v>
      </c>
      <c r="G121" t="str">
        <f>IFERROR(__xludf.DUMMYFUNCTION("""COMPUTED_VALUE"""),"龍江229")</f>
        <v>龍江229</v>
      </c>
      <c r="H121" s="106" t="str">
        <f t="shared" si="1"/>
        <v>2024-01</v>
      </c>
      <c r="I121" s="271" t="str">
        <f>IFERROR(__xludf.DUMMYFUNCTION("""COMPUTED_VALUE"""),"貓狗企鵝")</f>
        <v>貓狗企鵝</v>
      </c>
      <c r="J121" t="str">
        <f>IFERROR(__xludf.DUMMYFUNCTION("IFS(
  AND(REGEXMATCH(E121, ""台銀籌備帳戶|玉山帳戶""), REGEXMATCH(C121, ""薪資"")), ""分潤支出"",
  AND(REGEXMATCH(E121, ""Ben帳戶|Elsa帳戶|Ben代墊|Ariel代墊|中信銀行共用""), REGEXMATCH(F121, ""Ben帳戶|Elsa帳戶|Ben代墊|Ariel代墊|中信銀行共用"")), ""內部轉帳(忽略)"",
  AND(E121&lt;&gt;"""", F121&lt;&gt;"""", NOT(REG"&amp;"EXMATCH(C121, ""薪資""))), ""內部轉帳(忽略)"",
  REGEXMATCH(C121, ""薪資""), ""薪資變動(不計入)"",
  REGEXMATCH(C121, ""押金""), ""押金往來"",
  AND(E121&lt;&gt;"""", F121=""""), ""真實支出"",
  AND(E121="""", F121&lt;&gt;""""), ""真實收入"",
  TRUE, ""其他""
)"),"真實支出")</f>
        <v>真實支出</v>
      </c>
      <c r="K121" s="270">
        <f t="shared" si="2"/>
        <v>-3181</v>
      </c>
      <c r="L121">
        <f t="shared" si="3"/>
        <v>0</v>
      </c>
    </row>
    <row r="122">
      <c r="A122" s="107">
        <f>IFERROR(__xludf.DUMMYFUNCTION("""COMPUTED_VALUE"""),45299.0)</f>
        <v>45299</v>
      </c>
      <c r="B122" t="str">
        <f>IFERROR(__xludf.DUMMYFUNCTION("""COMPUTED_VALUE"""),"龍江229B陳佩娟")</f>
        <v>龍江229B陳佩娟</v>
      </c>
      <c r="C122" t="str">
        <f>IFERROR(__xludf.DUMMYFUNCTION("""COMPUTED_VALUE"""),"收入 - 租金")</f>
        <v>收入 - 租金</v>
      </c>
      <c r="D122" s="270">
        <f>IFERROR(__xludf.DUMMYFUNCTION("""COMPUTED_VALUE"""),10000.0)</f>
        <v>10000</v>
      </c>
      <c r="F122" t="str">
        <f>IFERROR(__xludf.DUMMYFUNCTION("""COMPUTED_VALUE"""),"台銀籌備帳戶")</f>
        <v>台銀籌備帳戶</v>
      </c>
      <c r="G122" t="str">
        <f>IFERROR(__xludf.DUMMYFUNCTION("""COMPUTED_VALUE"""),"龍江229")</f>
        <v>龍江229</v>
      </c>
      <c r="H122" s="106" t="str">
        <f t="shared" si="1"/>
        <v>2024-01</v>
      </c>
      <c r="I122" s="271" t="str">
        <f>IFERROR(__xludf.DUMMYFUNCTION("""COMPUTED_VALUE"""),"貓狗企鵝")</f>
        <v>貓狗企鵝</v>
      </c>
      <c r="J122" t="str">
        <f>IFERROR(__xludf.DUMMYFUNCTION("IFS(
  AND(REGEXMATCH(E122, ""台銀籌備帳戶|玉山帳戶""), REGEXMATCH(C122, ""薪資"")), ""分潤支出"",
  AND(REGEXMATCH(E122, ""Ben帳戶|Elsa帳戶|Ben代墊|Ariel代墊|中信銀行共用""), REGEXMATCH(F122, ""Ben帳戶|Elsa帳戶|Ben代墊|Ariel代墊|中信銀行共用"")), ""內部轉帳(忽略)"",
  AND(E122&lt;&gt;"""", F122&lt;&gt;"""", NOT(REG"&amp;"EXMATCH(C122, ""薪資""))), ""內部轉帳(忽略)"",
  REGEXMATCH(C122, ""薪資""), ""薪資變動(不計入)"",
  REGEXMATCH(C122, ""押金""), ""押金往來"",
  AND(E122&lt;&gt;"""", F122=""""), ""真實支出"",
  AND(E122="""", F122&lt;&gt;""""), ""真實收入"",
  TRUE, ""其他""
)"),"真實收入")</f>
        <v>真實收入</v>
      </c>
      <c r="K122" s="270">
        <f t="shared" si="2"/>
        <v>10000</v>
      </c>
      <c r="L122">
        <f t="shared" si="3"/>
        <v>0</v>
      </c>
    </row>
    <row r="123">
      <c r="A123" s="107">
        <f>IFERROR(__xludf.DUMMYFUNCTION("""COMPUTED_VALUE"""),45299.0)</f>
        <v>45299</v>
      </c>
      <c r="B123" t="str">
        <f>IFERROR(__xludf.DUMMYFUNCTION("""COMPUTED_VALUE"""),"ｃ房           0TWMP1234")</f>
        <v>ｃ房           0TWMP1234</v>
      </c>
      <c r="C123" t="str">
        <f>IFERROR(__xludf.DUMMYFUNCTION("""COMPUTED_VALUE"""),"收入 - 押金")</f>
        <v>收入 - 押金</v>
      </c>
      <c r="D123" s="270">
        <f>IFERROR(__xludf.DUMMYFUNCTION("""COMPUTED_VALUE"""),33600.0)</f>
        <v>33600</v>
      </c>
      <c r="F123" t="str">
        <f>IFERROR(__xludf.DUMMYFUNCTION("""COMPUTED_VALUE"""),"台銀籌備帳戶")</f>
        <v>台銀籌備帳戶</v>
      </c>
      <c r="G123" t="str">
        <f>IFERROR(__xludf.DUMMYFUNCTION("""COMPUTED_VALUE"""),"龍江229")</f>
        <v>龍江229</v>
      </c>
      <c r="H123" s="106" t="str">
        <f t="shared" si="1"/>
        <v>2024-01</v>
      </c>
      <c r="I123" s="271" t="str">
        <f>IFERROR(__xludf.DUMMYFUNCTION("""COMPUTED_VALUE"""),"貓狗企鵝")</f>
        <v>貓狗企鵝</v>
      </c>
      <c r="J123" t="str">
        <f>IFERROR(__xludf.DUMMYFUNCTION("IFS(
  AND(REGEXMATCH(E123, ""台銀籌備帳戶|玉山帳戶""), REGEXMATCH(C123, ""薪資"")), ""分潤支出"",
  AND(REGEXMATCH(E123, ""Ben帳戶|Elsa帳戶|Ben代墊|Ariel代墊|中信銀行共用""), REGEXMATCH(F123, ""Ben帳戶|Elsa帳戶|Ben代墊|Ariel代墊|中信銀行共用"")), ""內部轉帳(忽略)"",
  AND(E123&lt;&gt;"""", F123&lt;&gt;"""", NOT(REG"&amp;"EXMATCH(C123, ""薪資""))), ""內部轉帳(忽略)"",
  REGEXMATCH(C123, ""薪資""), ""薪資變動(不計入)"",
  REGEXMATCH(C123, ""押金""), ""押金往來"",
  AND(E123&lt;&gt;"""", F123=""""), ""真實支出"",
  AND(E123="""", F123&lt;&gt;""""), ""真實收入"",
  TRUE, ""其他""
)"),"押金往來")</f>
        <v>押金往來</v>
      </c>
      <c r="K123">
        <f t="shared" si="2"/>
        <v>0</v>
      </c>
      <c r="L123">
        <f t="shared" si="3"/>
        <v>0</v>
      </c>
    </row>
    <row r="124">
      <c r="A124" s="107">
        <f>IFERROR(__xludf.DUMMYFUNCTION("""COMPUTED_VALUE"""),45299.0)</f>
        <v>45299</v>
      </c>
      <c r="B124" t="str">
        <f>IFERROR(__xludf.DUMMYFUNCTION("""COMPUTED_VALUE"""),"000S10900xxxx483")</f>
        <v>000S10900xxxx483</v>
      </c>
      <c r="C124" t="str">
        <f>IFERROR(__xludf.DUMMYFUNCTION("""COMPUTED_VALUE"""),"收入 - 租金")</f>
        <v>收入 - 租金</v>
      </c>
      <c r="D124" s="270">
        <f>IFERROR(__xludf.DUMMYFUNCTION("""COMPUTED_VALUE"""),6400.0)</f>
        <v>6400</v>
      </c>
      <c r="F124" t="str">
        <f>IFERROR(__xludf.DUMMYFUNCTION("""COMPUTED_VALUE"""),"台銀籌備帳戶")</f>
        <v>台銀籌備帳戶</v>
      </c>
      <c r="G124" t="str">
        <f>IFERROR(__xludf.DUMMYFUNCTION("""COMPUTED_VALUE"""),"龍江229")</f>
        <v>龍江229</v>
      </c>
      <c r="H124" s="106" t="str">
        <f t="shared" si="1"/>
        <v>2024-01</v>
      </c>
      <c r="I124" s="271" t="str">
        <f>IFERROR(__xludf.DUMMYFUNCTION("""COMPUTED_VALUE"""),"貓狗企鵝")</f>
        <v>貓狗企鵝</v>
      </c>
      <c r="J124" t="str">
        <f>IFERROR(__xludf.DUMMYFUNCTION("IFS(
  AND(REGEXMATCH(E124, ""台銀籌備帳戶|玉山帳戶""), REGEXMATCH(C124, ""薪資"")), ""分潤支出"",
  AND(REGEXMATCH(E124, ""Ben帳戶|Elsa帳戶|Ben代墊|Ariel代墊|中信銀行共用""), REGEXMATCH(F124, ""Ben帳戶|Elsa帳戶|Ben代墊|Ariel代墊|中信銀行共用"")), ""內部轉帳(忽略)"",
  AND(E124&lt;&gt;"""", F124&lt;&gt;"""", NOT(REG"&amp;"EXMATCH(C124, ""薪資""))), ""內部轉帳(忽略)"",
  REGEXMATCH(C124, ""薪資""), ""薪資變動(不計入)"",
  REGEXMATCH(C124, ""押金""), ""押金往來"",
  AND(E124&lt;&gt;"""", F124=""""), ""真實支出"",
  AND(E124="""", F124&lt;&gt;""""), ""真實收入"",
  TRUE, ""其他""
)"),"真實收入")</f>
        <v>真實收入</v>
      </c>
      <c r="K124" s="270">
        <f t="shared" si="2"/>
        <v>6400</v>
      </c>
      <c r="L124">
        <f t="shared" si="3"/>
        <v>0</v>
      </c>
    </row>
    <row r="125">
      <c r="A125" s="107">
        <f>IFERROR(__xludf.DUMMYFUNCTION("""COMPUTED_VALUE"""),45304.0)</f>
        <v>45304</v>
      </c>
      <c r="B125" t="str">
        <f>IFERROR(__xludf.DUMMYFUNCTION("""COMPUTED_VALUE"""),"龍江 地板")</f>
        <v>龍江 地板</v>
      </c>
      <c r="C125" t="str">
        <f>IFERROR(__xludf.DUMMYFUNCTION("""COMPUTED_VALUE"""),"成本 - 進場前裝潢費")</f>
        <v>成本 - 進場前裝潢費</v>
      </c>
      <c r="D125" s="270">
        <f>IFERROR(__xludf.DUMMYFUNCTION("""COMPUTED_VALUE"""),-1521.0)</f>
        <v>-1521</v>
      </c>
      <c r="E125" t="str">
        <f>IFERROR(__xludf.DUMMYFUNCTION("""COMPUTED_VALUE"""),"台銀籌備帳戶")</f>
        <v>台銀籌備帳戶</v>
      </c>
      <c r="G125" t="str">
        <f>IFERROR(__xludf.DUMMYFUNCTION("""COMPUTED_VALUE"""),"龍江229")</f>
        <v>龍江229</v>
      </c>
      <c r="H125" s="106" t="str">
        <f t="shared" si="1"/>
        <v>2024-01</v>
      </c>
      <c r="I125" s="271" t="str">
        <f>IFERROR(__xludf.DUMMYFUNCTION("""COMPUTED_VALUE"""),"貓狗企鵝")</f>
        <v>貓狗企鵝</v>
      </c>
      <c r="J125" t="str">
        <f>IFERROR(__xludf.DUMMYFUNCTION("IFS(
  AND(REGEXMATCH(E125, ""台銀籌備帳戶|玉山帳戶""), REGEXMATCH(C125, ""薪資"")), ""分潤支出"",
  AND(REGEXMATCH(E125, ""Ben帳戶|Elsa帳戶|Ben代墊|Ariel代墊|中信銀行共用""), REGEXMATCH(F125, ""Ben帳戶|Elsa帳戶|Ben代墊|Ariel代墊|中信銀行共用"")), ""內部轉帳(忽略)"",
  AND(E125&lt;&gt;"""", F125&lt;&gt;"""", NOT(REG"&amp;"EXMATCH(C125, ""薪資""))), ""內部轉帳(忽略)"",
  REGEXMATCH(C125, ""薪資""), ""薪資變動(不計入)"",
  REGEXMATCH(C125, ""押金""), ""押金往來"",
  AND(E125&lt;&gt;"""", F125=""""), ""真實支出"",
  AND(E125="""", F125&lt;&gt;""""), ""真實收入"",
  TRUE, ""其他""
)"),"真實支出")</f>
        <v>真實支出</v>
      </c>
      <c r="K125" s="270">
        <f t="shared" si="2"/>
        <v>-1521</v>
      </c>
      <c r="L125">
        <f t="shared" si="3"/>
        <v>0</v>
      </c>
    </row>
    <row r="126">
      <c r="A126" s="107">
        <f>IFERROR(__xludf.DUMMYFUNCTION("""COMPUTED_VALUE"""),45304.0)</f>
        <v>45304</v>
      </c>
      <c r="B126" t="str">
        <f>IFERROR(__xludf.DUMMYFUNCTION("""COMPUTED_VALUE"""),"公會費")</f>
        <v>公會費</v>
      </c>
      <c r="C126" t="str">
        <f>IFERROR(__xludf.DUMMYFUNCTION("""COMPUTED_VALUE"""),"費用 - 法律會計費用")</f>
        <v>費用 - 法律會計費用</v>
      </c>
      <c r="D126" s="270">
        <f>IFERROR(__xludf.DUMMYFUNCTION("""COMPUTED_VALUE"""),-10000.0)</f>
        <v>-10000</v>
      </c>
      <c r="E126" t="str">
        <f>IFERROR(__xludf.DUMMYFUNCTION("""COMPUTED_VALUE"""),"Ben帳戶")</f>
        <v>Ben帳戶</v>
      </c>
      <c r="H126" s="106" t="str">
        <f t="shared" si="1"/>
        <v>2024-01</v>
      </c>
      <c r="I126" s="271" t="str">
        <f>IFERROR(__xludf.DUMMYFUNCTION("""COMPUTED_VALUE"""),"貓狗企鵝")</f>
        <v>貓狗企鵝</v>
      </c>
      <c r="J126" t="str">
        <f>IFERROR(__xludf.DUMMYFUNCTION("IFS(
  AND(REGEXMATCH(E126, ""台銀籌備帳戶|玉山帳戶""), REGEXMATCH(C126, ""薪資"")), ""分潤支出"",
  AND(REGEXMATCH(E126, ""Ben帳戶|Elsa帳戶|Ben代墊|Ariel代墊|中信銀行共用""), REGEXMATCH(F126, ""Ben帳戶|Elsa帳戶|Ben代墊|Ariel代墊|中信銀行共用"")), ""內部轉帳(忽略)"",
  AND(E126&lt;&gt;"""", F126&lt;&gt;"""", NOT(REG"&amp;"EXMATCH(C126, ""薪資""))), ""內部轉帳(忽略)"",
  REGEXMATCH(C126, ""薪資""), ""薪資變動(不計入)"",
  REGEXMATCH(C126, ""押金""), ""押金往來"",
  AND(E126&lt;&gt;"""", F126=""""), ""真實支出"",
  AND(E126="""", F126&lt;&gt;""""), ""真實收入"",
  TRUE, ""其他""
)"),"真實支出")</f>
        <v>真實支出</v>
      </c>
      <c r="K126" s="270">
        <f t="shared" si="2"/>
        <v>-10000</v>
      </c>
      <c r="L126">
        <f t="shared" si="3"/>
        <v>0</v>
      </c>
    </row>
    <row r="127">
      <c r="A127" s="107">
        <f>IFERROR(__xludf.DUMMYFUNCTION("""COMPUTED_VALUE"""),45305.0)</f>
        <v>45305</v>
      </c>
      <c r="B127" t="str">
        <f>IFERROR(__xludf.DUMMYFUNCTION("""COMPUTED_VALUE"""),"Lalamove")</f>
        <v>Lalamove</v>
      </c>
      <c r="C127" t="str">
        <f>IFERROR(__xludf.DUMMYFUNCTION("""COMPUTED_VALUE"""),"成本 - 進場前裝潢費")</f>
        <v>成本 - 進場前裝潢費</v>
      </c>
      <c r="D127" s="270">
        <f>IFERROR(__xludf.DUMMYFUNCTION("""COMPUTED_VALUE"""),-233.0)</f>
        <v>-233</v>
      </c>
      <c r="E127" t="str">
        <f>IFERROR(__xludf.DUMMYFUNCTION("""COMPUTED_VALUE"""),"Ben帳戶")</f>
        <v>Ben帳戶</v>
      </c>
      <c r="G127" t="str">
        <f>IFERROR(__xludf.DUMMYFUNCTION("""COMPUTED_VALUE"""),"龍江229")</f>
        <v>龍江229</v>
      </c>
      <c r="H127" s="106" t="str">
        <f t="shared" si="1"/>
        <v>2024-01</v>
      </c>
      <c r="I127" s="271" t="str">
        <f>IFERROR(__xludf.DUMMYFUNCTION("""COMPUTED_VALUE"""),"貓狗企鵝")</f>
        <v>貓狗企鵝</v>
      </c>
      <c r="J127" t="str">
        <f>IFERROR(__xludf.DUMMYFUNCTION("IFS(
  AND(REGEXMATCH(E127, ""台銀籌備帳戶|玉山帳戶""), REGEXMATCH(C127, ""薪資"")), ""分潤支出"",
  AND(REGEXMATCH(E127, ""Ben帳戶|Elsa帳戶|Ben代墊|Ariel代墊|中信銀行共用""), REGEXMATCH(F127, ""Ben帳戶|Elsa帳戶|Ben代墊|Ariel代墊|中信銀行共用"")), ""內部轉帳(忽略)"",
  AND(E127&lt;&gt;"""", F127&lt;&gt;"""", NOT(REG"&amp;"EXMATCH(C127, ""薪資""))), ""內部轉帳(忽略)"",
  REGEXMATCH(C127, ""薪資""), ""薪資變動(不計入)"",
  REGEXMATCH(C127, ""押金""), ""押金往來"",
  AND(E127&lt;&gt;"""", F127=""""), ""真實支出"",
  AND(E127="""", F127&lt;&gt;""""), ""真實收入"",
  TRUE, ""其他""
)"),"真實支出")</f>
        <v>真實支出</v>
      </c>
      <c r="K127" s="270">
        <f t="shared" si="2"/>
        <v>-233</v>
      </c>
      <c r="L127">
        <f t="shared" si="3"/>
        <v>0</v>
      </c>
    </row>
    <row r="128">
      <c r="A128" s="107">
        <f>IFERROR(__xludf.DUMMYFUNCTION("""COMPUTED_VALUE"""),45305.0)</f>
        <v>45305</v>
      </c>
      <c r="B128" t="str">
        <f>IFERROR(__xludf.DUMMYFUNCTION("""COMPUTED_VALUE"""),"龍江B")</f>
        <v>龍江B</v>
      </c>
      <c r="C128" t="str">
        <f>IFERROR(__xludf.DUMMYFUNCTION("""COMPUTED_VALUE"""),"收入 - 租金")</f>
        <v>收入 - 租金</v>
      </c>
      <c r="D128" s="270">
        <f>IFERROR(__xludf.DUMMYFUNCTION("""COMPUTED_VALUE"""),3000.0)</f>
        <v>3000</v>
      </c>
      <c r="F128" t="str">
        <f>IFERROR(__xludf.DUMMYFUNCTION("""COMPUTED_VALUE"""),"台銀籌備帳戶")</f>
        <v>台銀籌備帳戶</v>
      </c>
      <c r="G128" t="str">
        <f>IFERROR(__xludf.DUMMYFUNCTION("""COMPUTED_VALUE"""),"龍江229")</f>
        <v>龍江229</v>
      </c>
      <c r="H128" s="106" t="str">
        <f t="shared" si="1"/>
        <v>2024-01</v>
      </c>
      <c r="I128" s="271" t="str">
        <f>IFERROR(__xludf.DUMMYFUNCTION("""COMPUTED_VALUE"""),"貓狗企鵝")</f>
        <v>貓狗企鵝</v>
      </c>
      <c r="J128" t="str">
        <f>IFERROR(__xludf.DUMMYFUNCTION("IFS(
  AND(REGEXMATCH(E128, ""台銀籌備帳戶|玉山帳戶""), REGEXMATCH(C128, ""薪資"")), ""分潤支出"",
  AND(REGEXMATCH(E128, ""Ben帳戶|Elsa帳戶|Ben代墊|Ariel代墊|中信銀行共用""), REGEXMATCH(F128, ""Ben帳戶|Elsa帳戶|Ben代墊|Ariel代墊|中信銀行共用"")), ""內部轉帳(忽略)"",
  AND(E128&lt;&gt;"""", F128&lt;&gt;"""", NOT(REG"&amp;"EXMATCH(C128, ""薪資""))), ""內部轉帳(忽略)"",
  REGEXMATCH(C128, ""薪資""), ""薪資變動(不計入)"",
  REGEXMATCH(C128, ""押金""), ""押金往來"",
  AND(E128&lt;&gt;"""", F128=""""), ""真實支出"",
  AND(E128="""", F128&lt;&gt;""""), ""真實收入"",
  TRUE, ""其他""
)"),"真實收入")</f>
        <v>真實收入</v>
      </c>
      <c r="K128" s="270">
        <f t="shared" si="2"/>
        <v>3000</v>
      </c>
      <c r="L128">
        <f t="shared" si="3"/>
        <v>0</v>
      </c>
    </row>
    <row r="129">
      <c r="A129" s="107">
        <f>IFERROR(__xludf.DUMMYFUNCTION("""COMPUTED_VALUE"""),45305.0)</f>
        <v>45305</v>
      </c>
      <c r="B129" t="str">
        <f>IFERROR(__xludf.DUMMYFUNCTION("""COMPUTED_VALUE"""),"龍江B")</f>
        <v>龍江B</v>
      </c>
      <c r="C129" t="str">
        <f>IFERROR(__xludf.DUMMYFUNCTION("""COMPUTED_VALUE"""),"收入 - 押金")</f>
        <v>收入 - 押金</v>
      </c>
      <c r="D129" s="270">
        <f>IFERROR(__xludf.DUMMYFUNCTION("""COMPUTED_VALUE"""),26000.0)</f>
        <v>26000</v>
      </c>
      <c r="F129" t="str">
        <f>IFERROR(__xludf.DUMMYFUNCTION("""COMPUTED_VALUE"""),"台銀籌備帳戶")</f>
        <v>台銀籌備帳戶</v>
      </c>
      <c r="G129" t="str">
        <f>IFERROR(__xludf.DUMMYFUNCTION("""COMPUTED_VALUE"""),"龍江229")</f>
        <v>龍江229</v>
      </c>
      <c r="H129" s="106" t="str">
        <f t="shared" si="1"/>
        <v>2024-01</v>
      </c>
      <c r="I129" s="271" t="str">
        <f>IFERROR(__xludf.DUMMYFUNCTION("""COMPUTED_VALUE"""),"貓狗企鵝")</f>
        <v>貓狗企鵝</v>
      </c>
      <c r="J129" t="str">
        <f>IFERROR(__xludf.DUMMYFUNCTION("IFS(
  AND(REGEXMATCH(E129, ""台銀籌備帳戶|玉山帳戶""), REGEXMATCH(C129, ""薪資"")), ""分潤支出"",
  AND(REGEXMATCH(E129, ""Ben帳戶|Elsa帳戶|Ben代墊|Ariel代墊|中信銀行共用""), REGEXMATCH(F129, ""Ben帳戶|Elsa帳戶|Ben代墊|Ariel代墊|中信銀行共用"")), ""內部轉帳(忽略)"",
  AND(E129&lt;&gt;"""", F129&lt;&gt;"""", NOT(REG"&amp;"EXMATCH(C129, ""薪資""))), ""內部轉帳(忽略)"",
  REGEXMATCH(C129, ""薪資""), ""薪資變動(不計入)"",
  REGEXMATCH(C129, ""押金""), ""押金往來"",
  AND(E129&lt;&gt;"""", F129=""""), ""真實支出"",
  AND(E129="""", F129&lt;&gt;""""), ""真實收入"",
  TRUE, ""其他""
)"),"押金往來")</f>
        <v>押金往來</v>
      </c>
      <c r="K129">
        <f t="shared" si="2"/>
        <v>0</v>
      </c>
      <c r="L129">
        <f t="shared" si="3"/>
        <v>0</v>
      </c>
    </row>
    <row r="130">
      <c r="A130" s="107">
        <f>IFERROR(__xludf.DUMMYFUNCTION("""COMPUTED_VALUE"""),45306.0)</f>
        <v>45306</v>
      </c>
      <c r="B130" t="str">
        <f>IFERROR(__xludf.DUMMYFUNCTION("""COMPUTED_VALUE"""),"康寧路押金")</f>
        <v>康寧路押金</v>
      </c>
      <c r="C130" t="str">
        <f>IFERROR(__xludf.DUMMYFUNCTION("""COMPUTED_VALUE"""),"成本 - 大租金")</f>
        <v>成本 - 大租金</v>
      </c>
      <c r="D130" s="270">
        <f>IFERROR(__xludf.DUMMYFUNCTION("""COMPUTED_VALUE"""),-52000.0)</f>
        <v>-52000</v>
      </c>
      <c r="E130" t="str">
        <f>IFERROR(__xludf.DUMMYFUNCTION("""COMPUTED_VALUE"""),"Ben帳戶")</f>
        <v>Ben帳戶</v>
      </c>
      <c r="G130" t="str">
        <f>IFERROR(__xludf.DUMMYFUNCTION("""COMPUTED_VALUE"""),"哈拉對面")</f>
        <v>哈拉對面</v>
      </c>
      <c r="H130" s="106" t="str">
        <f t="shared" si="1"/>
        <v>2024-01</v>
      </c>
      <c r="I130" s="271" t="str">
        <f>IFERROR(__xludf.DUMMYFUNCTION("""COMPUTED_VALUE"""),"貓狗企鵝")</f>
        <v>貓狗企鵝</v>
      </c>
      <c r="J130" t="str">
        <f>IFERROR(__xludf.DUMMYFUNCTION("IFS(
  AND(REGEXMATCH(E130, ""台銀籌備帳戶|玉山帳戶""), REGEXMATCH(C130, ""薪資"")), ""分潤支出"",
  AND(REGEXMATCH(E130, ""Ben帳戶|Elsa帳戶|Ben代墊|Ariel代墊|中信銀行共用""), REGEXMATCH(F130, ""Ben帳戶|Elsa帳戶|Ben代墊|Ariel代墊|中信銀行共用"")), ""內部轉帳(忽略)"",
  AND(E130&lt;&gt;"""", F130&lt;&gt;"""", NOT(REG"&amp;"EXMATCH(C130, ""薪資""))), ""內部轉帳(忽略)"",
  REGEXMATCH(C130, ""薪資""), ""薪資變動(不計入)"",
  REGEXMATCH(C130, ""押金""), ""押金往來"",
  AND(E130&lt;&gt;"""", F130=""""), ""真實支出"",
  AND(E130="""", F130&lt;&gt;""""), ""真實收入"",
  TRUE, ""其他""
)"),"真實支出")</f>
        <v>真實支出</v>
      </c>
      <c r="K130" s="270">
        <f t="shared" si="2"/>
        <v>-52000</v>
      </c>
      <c r="L130">
        <f t="shared" si="3"/>
        <v>0</v>
      </c>
    </row>
    <row r="131">
      <c r="A131" s="107">
        <f>IFERROR(__xludf.DUMMYFUNCTION("""COMPUTED_VALUE"""),45306.0)</f>
        <v>45306</v>
      </c>
      <c r="B131" t="str">
        <f>IFERROR(__xludf.DUMMYFUNCTION("""COMPUTED_VALUE"""),"Eddie佣金")</f>
        <v>Eddie佣金</v>
      </c>
      <c r="C131" t="str">
        <f>IFERROR(__xludf.DUMMYFUNCTION("""COMPUTED_VALUE"""),"成本 - 仲介費")</f>
        <v>成本 - 仲介費</v>
      </c>
      <c r="D131" s="270">
        <f>IFERROR(__xludf.DUMMYFUNCTION("""COMPUTED_VALUE"""),-30000.0)</f>
        <v>-30000</v>
      </c>
      <c r="E131" t="str">
        <f>IFERROR(__xludf.DUMMYFUNCTION("""COMPUTED_VALUE"""),"Ben帳戶")</f>
        <v>Ben帳戶</v>
      </c>
      <c r="G131" t="str">
        <f>IFERROR(__xludf.DUMMYFUNCTION("""COMPUTED_VALUE"""),"哈拉對面")</f>
        <v>哈拉對面</v>
      </c>
      <c r="H131" s="106" t="str">
        <f t="shared" si="1"/>
        <v>2024-01</v>
      </c>
      <c r="I131" s="271" t="str">
        <f>IFERROR(__xludf.DUMMYFUNCTION("""COMPUTED_VALUE"""),"貓狗企鵝")</f>
        <v>貓狗企鵝</v>
      </c>
      <c r="J131" t="str">
        <f>IFERROR(__xludf.DUMMYFUNCTION("IFS(
  AND(REGEXMATCH(E131, ""台銀籌備帳戶|玉山帳戶""), REGEXMATCH(C131, ""薪資"")), ""分潤支出"",
  AND(REGEXMATCH(E131, ""Ben帳戶|Elsa帳戶|Ben代墊|Ariel代墊|中信銀行共用""), REGEXMATCH(F131, ""Ben帳戶|Elsa帳戶|Ben代墊|Ariel代墊|中信銀行共用"")), ""內部轉帳(忽略)"",
  AND(E131&lt;&gt;"""", F131&lt;&gt;"""", NOT(REG"&amp;"EXMATCH(C131, ""薪資""))), ""內部轉帳(忽略)"",
  REGEXMATCH(C131, ""薪資""), ""薪資變動(不計入)"",
  REGEXMATCH(C131, ""押金""), ""押金往來"",
  AND(E131&lt;&gt;"""", F131=""""), ""真實支出"",
  AND(E131="""", F131&lt;&gt;""""), ""真實收入"",
  TRUE, ""其他""
)"),"真實支出")</f>
        <v>真實支出</v>
      </c>
      <c r="K131" s="270">
        <f t="shared" si="2"/>
        <v>-30000</v>
      </c>
      <c r="L131">
        <f t="shared" si="3"/>
        <v>0</v>
      </c>
    </row>
    <row r="132">
      <c r="A132" s="107">
        <f>IFERROR(__xludf.DUMMYFUNCTION("""COMPUTED_VALUE"""),45306.0)</f>
        <v>45306</v>
      </c>
      <c r="B132" t="str">
        <f>IFERROR(__xludf.DUMMYFUNCTION("""COMPUTED_VALUE"""),"康寧路租金押金")</f>
        <v>康寧路租金押金</v>
      </c>
      <c r="C132" t="str">
        <f>IFERROR(__xludf.DUMMYFUNCTION("""COMPUTED_VALUE"""),"成本 - 大租金")</f>
        <v>成本 - 大租金</v>
      </c>
      <c r="D132" s="270">
        <f>IFERROR(__xludf.DUMMYFUNCTION("""COMPUTED_VALUE"""),-25451.0)</f>
        <v>-25451</v>
      </c>
      <c r="E132" t="str">
        <f>IFERROR(__xludf.DUMMYFUNCTION("""COMPUTED_VALUE"""),"Ben帳戶")</f>
        <v>Ben帳戶</v>
      </c>
      <c r="G132" t="str">
        <f>IFERROR(__xludf.DUMMYFUNCTION("""COMPUTED_VALUE"""),"哈拉對面")</f>
        <v>哈拉對面</v>
      </c>
      <c r="H132" s="106" t="str">
        <f t="shared" si="1"/>
        <v>2024-01</v>
      </c>
      <c r="I132" s="271" t="str">
        <f>IFERROR(__xludf.DUMMYFUNCTION("""COMPUTED_VALUE"""),"貓狗企鵝")</f>
        <v>貓狗企鵝</v>
      </c>
      <c r="J132" t="str">
        <f>IFERROR(__xludf.DUMMYFUNCTION("IFS(
  AND(REGEXMATCH(E132, ""台銀籌備帳戶|玉山帳戶""), REGEXMATCH(C132, ""薪資"")), ""分潤支出"",
  AND(REGEXMATCH(E132, ""Ben帳戶|Elsa帳戶|Ben代墊|Ariel代墊|中信銀行共用""), REGEXMATCH(F132, ""Ben帳戶|Elsa帳戶|Ben代墊|Ariel代墊|中信銀行共用"")), ""內部轉帳(忽略)"",
  AND(E132&lt;&gt;"""", F132&lt;&gt;"""", NOT(REG"&amp;"EXMATCH(C132, ""薪資""))), ""內部轉帳(忽略)"",
  REGEXMATCH(C132, ""薪資""), ""薪資變動(不計入)"",
  REGEXMATCH(C132, ""押金""), ""押金往來"",
  AND(E132&lt;&gt;"""", F132=""""), ""真實支出"",
  AND(E132="""", F132&lt;&gt;""""), ""真實收入"",
  TRUE, ""其他""
)"),"真實支出")</f>
        <v>真實支出</v>
      </c>
      <c r="K132" s="270">
        <f t="shared" si="2"/>
        <v>-25451</v>
      </c>
      <c r="L132">
        <f t="shared" si="3"/>
        <v>0</v>
      </c>
    </row>
    <row r="133">
      <c r="A133" s="107">
        <f>IFERROR(__xludf.DUMMYFUNCTION("""COMPUTED_VALUE"""),45307.0)</f>
        <v>45307</v>
      </c>
      <c r="B133" t="str">
        <f>IFERROR(__xludf.DUMMYFUNCTION("""COMPUTED_VALUE"""),"康寧 打鑰匙")</f>
        <v>康寧 打鑰匙</v>
      </c>
      <c r="C133" t="str">
        <f>IFERROR(__xludf.DUMMYFUNCTION("""COMPUTED_VALUE"""),"成本 - 進場前裝潢費")</f>
        <v>成本 - 進場前裝潢費</v>
      </c>
      <c r="D133" s="270">
        <f>IFERROR(__xludf.DUMMYFUNCTION("""COMPUTED_VALUE"""),-1960.0)</f>
        <v>-1960</v>
      </c>
      <c r="E133" t="str">
        <f>IFERROR(__xludf.DUMMYFUNCTION("""COMPUTED_VALUE"""),"Ben帳戶")</f>
        <v>Ben帳戶</v>
      </c>
      <c r="G133" t="str">
        <f>IFERROR(__xludf.DUMMYFUNCTION("""COMPUTED_VALUE"""),"哈拉對面")</f>
        <v>哈拉對面</v>
      </c>
      <c r="H133" s="106" t="str">
        <f t="shared" si="1"/>
        <v>2024-01</v>
      </c>
      <c r="I133" s="271" t="str">
        <f>IFERROR(__xludf.DUMMYFUNCTION("""COMPUTED_VALUE"""),"貓狗企鵝")</f>
        <v>貓狗企鵝</v>
      </c>
      <c r="J133" t="str">
        <f>IFERROR(__xludf.DUMMYFUNCTION("IFS(
  AND(REGEXMATCH(E133, ""台銀籌備帳戶|玉山帳戶""), REGEXMATCH(C133, ""薪資"")), ""分潤支出"",
  AND(REGEXMATCH(E133, ""Ben帳戶|Elsa帳戶|Ben代墊|Ariel代墊|中信銀行共用""), REGEXMATCH(F133, ""Ben帳戶|Elsa帳戶|Ben代墊|Ariel代墊|中信銀行共用"")), ""內部轉帳(忽略)"",
  AND(E133&lt;&gt;"""", F133&lt;&gt;"""", NOT(REG"&amp;"EXMATCH(C133, ""薪資""))), ""內部轉帳(忽略)"",
  REGEXMATCH(C133, ""薪資""), ""薪資變動(不計入)"",
  REGEXMATCH(C133, ""押金""), ""押金往來"",
  AND(E133&lt;&gt;"""", F133=""""), ""真實支出"",
  AND(E133="""", F133&lt;&gt;""""), ""真實收入"",
  TRUE, ""其他""
)"),"真實支出")</f>
        <v>真實支出</v>
      </c>
      <c r="K133" s="270">
        <f t="shared" si="2"/>
        <v>-1960</v>
      </c>
      <c r="L133">
        <f t="shared" si="3"/>
        <v>0</v>
      </c>
    </row>
    <row r="134">
      <c r="A134" s="107">
        <f>IFERROR(__xludf.DUMMYFUNCTION("""COMPUTED_VALUE"""),45307.0)</f>
        <v>45307</v>
      </c>
      <c r="B134" t="str">
        <f>IFERROR(__xludf.DUMMYFUNCTION("""COMPUTED_VALUE"""),"窗簾")</f>
        <v>窗簾</v>
      </c>
      <c r="C134" t="str">
        <f>IFERROR(__xludf.DUMMYFUNCTION("""COMPUTED_VALUE"""),"成本 - 進場前裝潢費")</f>
        <v>成本 - 進場前裝潢費</v>
      </c>
      <c r="D134" s="270">
        <f>IFERROR(__xludf.DUMMYFUNCTION("""COMPUTED_VALUE"""),-5000.0)</f>
        <v>-5000</v>
      </c>
      <c r="E134" t="str">
        <f>IFERROR(__xludf.DUMMYFUNCTION("""COMPUTED_VALUE"""),"Ben帳戶")</f>
        <v>Ben帳戶</v>
      </c>
      <c r="G134" t="str">
        <f>IFERROR(__xludf.DUMMYFUNCTION("""COMPUTED_VALUE"""),"哈拉對面")</f>
        <v>哈拉對面</v>
      </c>
      <c r="H134" s="106" t="str">
        <f t="shared" si="1"/>
        <v>2024-01</v>
      </c>
      <c r="I134" s="271" t="str">
        <f>IFERROR(__xludf.DUMMYFUNCTION("""COMPUTED_VALUE"""),"貓狗企鵝")</f>
        <v>貓狗企鵝</v>
      </c>
      <c r="J134" t="str">
        <f>IFERROR(__xludf.DUMMYFUNCTION("IFS(
  AND(REGEXMATCH(E134, ""台銀籌備帳戶|玉山帳戶""), REGEXMATCH(C134, ""薪資"")), ""分潤支出"",
  AND(REGEXMATCH(E134, ""Ben帳戶|Elsa帳戶|Ben代墊|Ariel代墊|中信銀行共用""), REGEXMATCH(F134, ""Ben帳戶|Elsa帳戶|Ben代墊|Ariel代墊|中信銀行共用"")), ""內部轉帳(忽略)"",
  AND(E134&lt;&gt;"""", F134&lt;&gt;"""", NOT(REG"&amp;"EXMATCH(C134, ""薪資""))), ""內部轉帳(忽略)"",
  REGEXMATCH(C134, ""薪資""), ""薪資變動(不計入)"",
  REGEXMATCH(C134, ""押金""), ""押金往來"",
  AND(E134&lt;&gt;"""", F134=""""), ""真實支出"",
  AND(E134="""", F134&lt;&gt;""""), ""真實收入"",
  TRUE, ""其他""
)"),"真實支出")</f>
        <v>真實支出</v>
      </c>
      <c r="K134" s="270">
        <f t="shared" si="2"/>
        <v>-5000</v>
      </c>
      <c r="L134">
        <f t="shared" si="3"/>
        <v>0</v>
      </c>
    </row>
    <row r="135">
      <c r="A135" s="107">
        <f>IFERROR(__xludf.DUMMYFUNCTION("""COMPUTED_VALUE"""),45307.0)</f>
        <v>45307</v>
      </c>
      <c r="B135" t="str">
        <f>IFERROR(__xludf.DUMMYFUNCTION("""COMPUTED_VALUE"""),"收納桶*2")</f>
        <v>收納桶*2</v>
      </c>
      <c r="C135" t="str">
        <f>IFERROR(__xludf.DUMMYFUNCTION("""COMPUTED_VALUE"""),"成本 - 進場前裝潢費")</f>
        <v>成本 - 進場前裝潢費</v>
      </c>
      <c r="D135" s="270">
        <f>IFERROR(__xludf.DUMMYFUNCTION("""COMPUTED_VALUE"""),-538.0)</f>
        <v>-538</v>
      </c>
      <c r="E135" t="str">
        <f>IFERROR(__xludf.DUMMYFUNCTION("""COMPUTED_VALUE"""),"Elsa帳戶")</f>
        <v>Elsa帳戶</v>
      </c>
      <c r="G135" t="str">
        <f>IFERROR(__xludf.DUMMYFUNCTION("""COMPUTED_VALUE"""),"哈拉對面")</f>
        <v>哈拉對面</v>
      </c>
      <c r="H135" s="106" t="str">
        <f t="shared" si="1"/>
        <v>2024-01</v>
      </c>
      <c r="I135" s="271" t="str">
        <f>IFERROR(__xludf.DUMMYFUNCTION("""COMPUTED_VALUE"""),"貓狗企鵝")</f>
        <v>貓狗企鵝</v>
      </c>
      <c r="J135" t="str">
        <f>IFERROR(__xludf.DUMMYFUNCTION("IFS(
  AND(REGEXMATCH(E135, ""台銀籌備帳戶|玉山帳戶""), REGEXMATCH(C135, ""薪資"")), ""分潤支出"",
  AND(REGEXMATCH(E135, ""Ben帳戶|Elsa帳戶|Ben代墊|Ariel代墊|中信銀行共用""), REGEXMATCH(F135, ""Ben帳戶|Elsa帳戶|Ben代墊|Ariel代墊|中信銀行共用"")), ""內部轉帳(忽略)"",
  AND(E135&lt;&gt;"""", F135&lt;&gt;"""", NOT(REG"&amp;"EXMATCH(C135, ""薪資""))), ""內部轉帳(忽略)"",
  REGEXMATCH(C135, ""薪資""), ""薪資變動(不計入)"",
  REGEXMATCH(C135, ""押金""), ""押金往來"",
  AND(E135&lt;&gt;"""", F135=""""), ""真實支出"",
  AND(E135="""", F135&lt;&gt;""""), ""真實收入"",
  TRUE, ""其他""
)"),"真實支出")</f>
        <v>真實支出</v>
      </c>
      <c r="K135" s="270">
        <f t="shared" si="2"/>
        <v>-538</v>
      </c>
      <c r="L135">
        <f t="shared" si="3"/>
        <v>0</v>
      </c>
    </row>
    <row r="136">
      <c r="A136" s="107">
        <f>IFERROR(__xludf.DUMMYFUNCTION("""COMPUTED_VALUE"""),45307.0)</f>
        <v>45307</v>
      </c>
      <c r="B136" t="str">
        <f>IFERROR(__xludf.DUMMYFUNCTION("""COMPUTED_VALUE"""),"蝦皮書桌*3")</f>
        <v>蝦皮書桌*3</v>
      </c>
      <c r="C136" t="str">
        <f>IFERROR(__xludf.DUMMYFUNCTION("""COMPUTED_VALUE"""),"成本 - 進場前裝潢費")</f>
        <v>成本 - 進場前裝潢費</v>
      </c>
      <c r="D136" s="270">
        <f>IFERROR(__xludf.DUMMYFUNCTION("""COMPUTED_VALUE"""),-2295.0)</f>
        <v>-2295</v>
      </c>
      <c r="E136" t="str">
        <f>IFERROR(__xludf.DUMMYFUNCTION("""COMPUTED_VALUE"""),"Elsa帳戶")</f>
        <v>Elsa帳戶</v>
      </c>
      <c r="G136" t="str">
        <f>IFERROR(__xludf.DUMMYFUNCTION("""COMPUTED_VALUE"""),"哈拉對面")</f>
        <v>哈拉對面</v>
      </c>
      <c r="H136" s="106" t="str">
        <f t="shared" si="1"/>
        <v>2024-01</v>
      </c>
      <c r="I136" s="271" t="str">
        <f>IFERROR(__xludf.DUMMYFUNCTION("""COMPUTED_VALUE"""),"貓狗企鵝")</f>
        <v>貓狗企鵝</v>
      </c>
      <c r="J136" t="str">
        <f>IFERROR(__xludf.DUMMYFUNCTION("IFS(
  AND(REGEXMATCH(E136, ""台銀籌備帳戶|玉山帳戶""), REGEXMATCH(C136, ""薪資"")), ""分潤支出"",
  AND(REGEXMATCH(E136, ""Ben帳戶|Elsa帳戶|Ben代墊|Ariel代墊|中信銀行共用""), REGEXMATCH(F136, ""Ben帳戶|Elsa帳戶|Ben代墊|Ariel代墊|中信銀行共用"")), ""內部轉帳(忽略)"",
  AND(E136&lt;&gt;"""", F136&lt;&gt;"""", NOT(REG"&amp;"EXMATCH(C136, ""薪資""))), ""內部轉帳(忽略)"",
  REGEXMATCH(C136, ""薪資""), ""薪資變動(不計入)"",
  REGEXMATCH(C136, ""押金""), ""押金往來"",
  AND(E136&lt;&gt;"""", F136=""""), ""真實支出"",
  AND(E136="""", F136&lt;&gt;""""), ""真實收入"",
  TRUE, ""其他""
)"),"真實支出")</f>
        <v>真實支出</v>
      </c>
      <c r="K136" s="270">
        <f t="shared" si="2"/>
        <v>-2295</v>
      </c>
      <c r="L136">
        <f t="shared" si="3"/>
        <v>0</v>
      </c>
    </row>
    <row r="137">
      <c r="A137" s="107">
        <f>IFERROR(__xludf.DUMMYFUNCTION("""COMPUTED_VALUE"""),45307.0)</f>
        <v>45307</v>
      </c>
      <c r="B137" t="str">
        <f>IFERROR(__xludf.DUMMYFUNCTION("""COMPUTED_VALUE"""),"蝦皮椅子*4")</f>
        <v>蝦皮椅子*4</v>
      </c>
      <c r="C137" t="str">
        <f>IFERROR(__xludf.DUMMYFUNCTION("""COMPUTED_VALUE"""),"成本 - 進場前裝潢費")</f>
        <v>成本 - 進場前裝潢費</v>
      </c>
      <c r="D137" s="270">
        <f>IFERROR(__xludf.DUMMYFUNCTION("""COMPUTED_VALUE"""),-2484.0)</f>
        <v>-2484</v>
      </c>
      <c r="E137" t="str">
        <f>IFERROR(__xludf.DUMMYFUNCTION("""COMPUTED_VALUE"""),"Elsa帳戶")</f>
        <v>Elsa帳戶</v>
      </c>
      <c r="G137" t="str">
        <f>IFERROR(__xludf.DUMMYFUNCTION("""COMPUTED_VALUE"""),"哈拉對面")</f>
        <v>哈拉對面</v>
      </c>
      <c r="H137" s="106" t="str">
        <f t="shared" si="1"/>
        <v>2024-01</v>
      </c>
      <c r="I137" s="271" t="str">
        <f>IFERROR(__xludf.DUMMYFUNCTION("""COMPUTED_VALUE"""),"貓狗企鵝")</f>
        <v>貓狗企鵝</v>
      </c>
      <c r="J137" t="str">
        <f>IFERROR(__xludf.DUMMYFUNCTION("IFS(
  AND(REGEXMATCH(E137, ""台銀籌備帳戶|玉山帳戶""), REGEXMATCH(C137, ""薪資"")), ""分潤支出"",
  AND(REGEXMATCH(E137, ""Ben帳戶|Elsa帳戶|Ben代墊|Ariel代墊|中信銀行共用""), REGEXMATCH(F137, ""Ben帳戶|Elsa帳戶|Ben代墊|Ariel代墊|中信銀行共用"")), ""內部轉帳(忽略)"",
  AND(E137&lt;&gt;"""", F137&lt;&gt;"""", NOT(REG"&amp;"EXMATCH(C137, ""薪資""))), ""內部轉帳(忽略)"",
  REGEXMATCH(C137, ""薪資""), ""薪資變動(不計入)"",
  REGEXMATCH(C137, ""押金""), ""押金往來"",
  AND(E137&lt;&gt;"""", F137=""""), ""真實支出"",
  AND(E137="""", F137&lt;&gt;""""), ""真實收入"",
  TRUE, ""其他""
)"),"真實支出")</f>
        <v>真實支出</v>
      </c>
      <c r="K137" s="270">
        <f t="shared" si="2"/>
        <v>-2484</v>
      </c>
      <c r="L137">
        <f t="shared" si="3"/>
        <v>0</v>
      </c>
    </row>
    <row r="138">
      <c r="A138" s="107">
        <f>IFERROR(__xludf.DUMMYFUNCTION("""COMPUTED_VALUE"""),45307.0)</f>
        <v>45307</v>
      </c>
      <c r="B138" t="str">
        <f>IFERROR(__xludf.DUMMYFUNCTION("""COMPUTED_VALUE"""),"餐桌 椅 桌燈")</f>
        <v>餐桌 椅 桌燈</v>
      </c>
      <c r="C138" t="str">
        <f>IFERROR(__xludf.DUMMYFUNCTION("""COMPUTED_VALUE"""),"成本 - 進場前裝潢費")</f>
        <v>成本 - 進場前裝潢費</v>
      </c>
      <c r="D138" s="270">
        <f>IFERROR(__xludf.DUMMYFUNCTION("""COMPUTED_VALUE"""),-5215.0)</f>
        <v>-5215</v>
      </c>
      <c r="E138" t="str">
        <f>IFERROR(__xludf.DUMMYFUNCTION("""COMPUTED_VALUE"""),"Ben帳戶")</f>
        <v>Ben帳戶</v>
      </c>
      <c r="G138" t="str">
        <f>IFERROR(__xludf.DUMMYFUNCTION("""COMPUTED_VALUE"""),"哈拉對面")</f>
        <v>哈拉對面</v>
      </c>
      <c r="H138" s="106" t="str">
        <f t="shared" si="1"/>
        <v>2024-01</v>
      </c>
      <c r="I138" s="271" t="str">
        <f>IFERROR(__xludf.DUMMYFUNCTION("""COMPUTED_VALUE"""),"貓狗企鵝")</f>
        <v>貓狗企鵝</v>
      </c>
      <c r="J138" t="str">
        <f>IFERROR(__xludf.DUMMYFUNCTION("IFS(
  AND(REGEXMATCH(E138, ""台銀籌備帳戶|玉山帳戶""), REGEXMATCH(C138, ""薪資"")), ""分潤支出"",
  AND(REGEXMATCH(E138, ""Ben帳戶|Elsa帳戶|Ben代墊|Ariel代墊|中信銀行共用""), REGEXMATCH(F138, ""Ben帳戶|Elsa帳戶|Ben代墊|Ariel代墊|中信銀行共用"")), ""內部轉帳(忽略)"",
  AND(E138&lt;&gt;"""", F138&lt;&gt;"""", NOT(REG"&amp;"EXMATCH(C138, ""薪資""))), ""內部轉帳(忽略)"",
  REGEXMATCH(C138, ""薪資""), ""薪資變動(不計入)"",
  REGEXMATCH(C138, ""押金""), ""押金往來"",
  AND(E138&lt;&gt;"""", F138=""""), ""真實支出"",
  AND(E138="""", F138&lt;&gt;""""), ""真實收入"",
  TRUE, ""其他""
)"),"真實支出")</f>
        <v>真實支出</v>
      </c>
      <c r="K138" s="270">
        <f t="shared" si="2"/>
        <v>-5215</v>
      </c>
      <c r="L138">
        <f t="shared" si="3"/>
        <v>0</v>
      </c>
    </row>
    <row r="139">
      <c r="A139" s="107">
        <f>IFERROR(__xludf.DUMMYFUNCTION("""COMPUTED_VALUE"""),45307.0)</f>
        <v>45307</v>
      </c>
      <c r="B139" t="str">
        <f>IFERROR(__xludf.DUMMYFUNCTION("""COMPUTED_VALUE"""),"床")</f>
        <v>床</v>
      </c>
      <c r="C139" t="str">
        <f>IFERROR(__xludf.DUMMYFUNCTION("""COMPUTED_VALUE"""),"成本 - 進場前裝潢費")</f>
        <v>成本 - 進場前裝潢費</v>
      </c>
      <c r="D139" s="270">
        <f>IFERROR(__xludf.DUMMYFUNCTION("""COMPUTED_VALUE"""),-25547.0)</f>
        <v>-25547</v>
      </c>
      <c r="E139" t="str">
        <f>IFERROR(__xludf.DUMMYFUNCTION("""COMPUTED_VALUE"""),"Ben帳戶")</f>
        <v>Ben帳戶</v>
      </c>
      <c r="G139" t="str">
        <f>IFERROR(__xludf.DUMMYFUNCTION("""COMPUTED_VALUE"""),"哈拉對面")</f>
        <v>哈拉對面</v>
      </c>
      <c r="H139" s="106" t="str">
        <f t="shared" si="1"/>
        <v>2024-01</v>
      </c>
      <c r="I139" s="271" t="str">
        <f>IFERROR(__xludf.DUMMYFUNCTION("""COMPUTED_VALUE"""),"貓狗企鵝")</f>
        <v>貓狗企鵝</v>
      </c>
      <c r="J139" t="str">
        <f>IFERROR(__xludf.DUMMYFUNCTION("IFS(
  AND(REGEXMATCH(E139, ""台銀籌備帳戶|玉山帳戶""), REGEXMATCH(C139, ""薪資"")), ""分潤支出"",
  AND(REGEXMATCH(E139, ""Ben帳戶|Elsa帳戶|Ben代墊|Ariel代墊|中信銀行共用""), REGEXMATCH(F139, ""Ben帳戶|Elsa帳戶|Ben代墊|Ariel代墊|中信銀行共用"")), ""內部轉帳(忽略)"",
  AND(E139&lt;&gt;"""", F139&lt;&gt;"""", NOT(REG"&amp;"EXMATCH(C139, ""薪資""))), ""內部轉帳(忽略)"",
  REGEXMATCH(C139, ""薪資""), ""薪資變動(不計入)"",
  REGEXMATCH(C139, ""押金""), ""押金往來"",
  AND(E139&lt;&gt;"""", F139=""""), ""真實支出"",
  AND(E139="""", F139&lt;&gt;""""), ""真實收入"",
  TRUE, ""其他""
)"),"真實支出")</f>
        <v>真實支出</v>
      </c>
      <c r="K139" s="270">
        <f t="shared" si="2"/>
        <v>-25547</v>
      </c>
      <c r="L139">
        <f t="shared" si="3"/>
        <v>0</v>
      </c>
    </row>
    <row r="140">
      <c r="A140" s="107">
        <f>IFERROR(__xludf.DUMMYFUNCTION("""COMPUTED_VALUE"""),45308.0)</f>
        <v>45308</v>
      </c>
      <c r="B140" t="str">
        <f>IFERROR(__xludf.DUMMYFUNCTION("""COMPUTED_VALUE"""),"蝦皮保潔墊")</f>
        <v>蝦皮保潔墊</v>
      </c>
      <c r="C140" t="str">
        <f>IFERROR(__xludf.DUMMYFUNCTION("""COMPUTED_VALUE"""),"成本 - 進場前裝潢費")</f>
        <v>成本 - 進場前裝潢費</v>
      </c>
      <c r="D140" s="270">
        <f>IFERROR(__xludf.DUMMYFUNCTION("""COMPUTED_VALUE"""),-720.0)</f>
        <v>-720</v>
      </c>
      <c r="E140" t="str">
        <f>IFERROR(__xludf.DUMMYFUNCTION("""COMPUTED_VALUE"""),"Elsa帳戶")</f>
        <v>Elsa帳戶</v>
      </c>
      <c r="G140" t="str">
        <f>IFERROR(__xludf.DUMMYFUNCTION("""COMPUTED_VALUE"""),"哈拉對面")</f>
        <v>哈拉對面</v>
      </c>
      <c r="H140" s="106" t="str">
        <f t="shared" si="1"/>
        <v>2024-01</v>
      </c>
      <c r="I140" s="271" t="str">
        <f>IFERROR(__xludf.DUMMYFUNCTION("""COMPUTED_VALUE"""),"貓狗企鵝")</f>
        <v>貓狗企鵝</v>
      </c>
      <c r="J140" t="str">
        <f>IFERROR(__xludf.DUMMYFUNCTION("IFS(
  AND(REGEXMATCH(E140, ""台銀籌備帳戶|玉山帳戶""), REGEXMATCH(C140, ""薪資"")), ""分潤支出"",
  AND(REGEXMATCH(E140, ""Ben帳戶|Elsa帳戶|Ben代墊|Ariel代墊|中信銀行共用""), REGEXMATCH(F140, ""Ben帳戶|Elsa帳戶|Ben代墊|Ariel代墊|中信銀行共用"")), ""內部轉帳(忽略)"",
  AND(E140&lt;&gt;"""", F140&lt;&gt;"""", NOT(REG"&amp;"EXMATCH(C140, ""薪資""))), ""內部轉帳(忽略)"",
  REGEXMATCH(C140, ""薪資""), ""薪資變動(不計入)"",
  REGEXMATCH(C140, ""押金""), ""押金往來"",
  AND(E140&lt;&gt;"""", F140=""""), ""真實支出"",
  AND(E140="""", F140&lt;&gt;""""), ""真實收入"",
  TRUE, ""其他""
)"),"真實支出")</f>
        <v>真實支出</v>
      </c>
      <c r="K140" s="270">
        <f t="shared" si="2"/>
        <v>-720</v>
      </c>
      <c r="L140">
        <f t="shared" si="3"/>
        <v>0</v>
      </c>
    </row>
    <row r="141">
      <c r="A141" s="107">
        <f>IFERROR(__xludf.DUMMYFUNCTION("""COMPUTED_VALUE"""),45308.0)</f>
        <v>45308</v>
      </c>
      <c r="B141" t="str">
        <f>IFERROR(__xludf.DUMMYFUNCTION("""COMPUTED_VALUE"""),"康寧拆除")</f>
        <v>康寧拆除</v>
      </c>
      <c r="C141" t="str">
        <f>IFERROR(__xludf.DUMMYFUNCTION("""COMPUTED_VALUE"""),"成本 - 進場前裝潢費")</f>
        <v>成本 - 進場前裝潢費</v>
      </c>
      <c r="D141" s="270">
        <f>IFERROR(__xludf.DUMMYFUNCTION("""COMPUTED_VALUE"""),-20015.0)</f>
        <v>-20015</v>
      </c>
      <c r="E141" t="str">
        <f>IFERROR(__xludf.DUMMYFUNCTION("""COMPUTED_VALUE"""),"台銀籌備帳戶")</f>
        <v>台銀籌備帳戶</v>
      </c>
      <c r="G141" t="str">
        <f>IFERROR(__xludf.DUMMYFUNCTION("""COMPUTED_VALUE"""),"哈拉對面")</f>
        <v>哈拉對面</v>
      </c>
      <c r="H141" s="106" t="str">
        <f t="shared" si="1"/>
        <v>2024-01</v>
      </c>
      <c r="I141" s="271" t="str">
        <f>IFERROR(__xludf.DUMMYFUNCTION("""COMPUTED_VALUE"""),"貓狗企鵝")</f>
        <v>貓狗企鵝</v>
      </c>
      <c r="J141" t="str">
        <f>IFERROR(__xludf.DUMMYFUNCTION("IFS(
  AND(REGEXMATCH(E141, ""台銀籌備帳戶|玉山帳戶""), REGEXMATCH(C141, ""薪資"")), ""分潤支出"",
  AND(REGEXMATCH(E141, ""Ben帳戶|Elsa帳戶|Ben代墊|Ariel代墊|中信銀行共用""), REGEXMATCH(F141, ""Ben帳戶|Elsa帳戶|Ben代墊|Ariel代墊|中信銀行共用"")), ""內部轉帳(忽略)"",
  AND(E141&lt;&gt;"""", F141&lt;&gt;"""", NOT(REG"&amp;"EXMATCH(C141, ""薪資""))), ""內部轉帳(忽略)"",
  REGEXMATCH(C141, ""薪資""), ""薪資變動(不計入)"",
  REGEXMATCH(C141, ""押金""), ""押金往來"",
  AND(E141&lt;&gt;"""", F141=""""), ""真實支出"",
  AND(E141="""", F141&lt;&gt;""""), ""真實收入"",
  TRUE, ""其他""
)"),"真實支出")</f>
        <v>真實支出</v>
      </c>
      <c r="K141" s="270">
        <f t="shared" si="2"/>
        <v>-20015</v>
      </c>
      <c r="L141">
        <f t="shared" si="3"/>
        <v>0</v>
      </c>
    </row>
    <row r="142">
      <c r="A142" s="107">
        <f>IFERROR(__xludf.DUMMYFUNCTION("""COMPUTED_VALUE"""),45310.0)</f>
        <v>45310</v>
      </c>
      <c r="B142" t="str">
        <f>IFERROR(__xludf.DUMMYFUNCTION("""COMPUTED_VALUE"""),"淘寶運費")</f>
        <v>淘寶運費</v>
      </c>
      <c r="C142" t="str">
        <f>IFERROR(__xludf.DUMMYFUNCTION("""COMPUTED_VALUE"""),"成本 - 進場前裝潢費")</f>
        <v>成本 - 進場前裝潢費</v>
      </c>
      <c r="D142" s="270">
        <f>IFERROR(__xludf.DUMMYFUNCTION("""COMPUTED_VALUE"""),-2542.0)</f>
        <v>-2542</v>
      </c>
      <c r="E142" t="str">
        <f>IFERROR(__xludf.DUMMYFUNCTION("""COMPUTED_VALUE"""),"Ben帳戶")</f>
        <v>Ben帳戶</v>
      </c>
      <c r="G142" t="str">
        <f>IFERROR(__xludf.DUMMYFUNCTION("""COMPUTED_VALUE"""),"哈拉對面")</f>
        <v>哈拉對面</v>
      </c>
      <c r="H142" s="106" t="str">
        <f t="shared" si="1"/>
        <v>2024-01</v>
      </c>
      <c r="I142" s="271" t="str">
        <f>IFERROR(__xludf.DUMMYFUNCTION("""COMPUTED_VALUE"""),"貓狗企鵝")</f>
        <v>貓狗企鵝</v>
      </c>
      <c r="J142" t="str">
        <f>IFERROR(__xludf.DUMMYFUNCTION("IFS(
  AND(REGEXMATCH(E142, ""台銀籌備帳戶|玉山帳戶""), REGEXMATCH(C142, ""薪資"")), ""分潤支出"",
  AND(REGEXMATCH(E142, ""Ben帳戶|Elsa帳戶|Ben代墊|Ariel代墊|中信銀行共用""), REGEXMATCH(F142, ""Ben帳戶|Elsa帳戶|Ben代墊|Ariel代墊|中信銀行共用"")), ""內部轉帳(忽略)"",
  AND(E142&lt;&gt;"""", F142&lt;&gt;"""", NOT(REG"&amp;"EXMATCH(C142, ""薪資""))), ""內部轉帳(忽略)"",
  REGEXMATCH(C142, ""薪資""), ""薪資變動(不計入)"",
  REGEXMATCH(C142, ""押金""), ""押金往來"",
  AND(E142&lt;&gt;"""", F142=""""), ""真實支出"",
  AND(E142="""", F142&lt;&gt;""""), ""真實收入"",
  TRUE, ""其他""
)"),"真實支出")</f>
        <v>真實支出</v>
      </c>
      <c r="K142" s="270">
        <f t="shared" si="2"/>
        <v>-2542</v>
      </c>
      <c r="L142">
        <f t="shared" si="3"/>
        <v>0</v>
      </c>
    </row>
    <row r="143">
      <c r="A143" s="107">
        <f>IFERROR(__xludf.DUMMYFUNCTION("""COMPUTED_VALUE"""),45311.0)</f>
        <v>45311</v>
      </c>
      <c r="B143" t="str">
        <f>IFERROR(__xludf.DUMMYFUNCTION("""COMPUTED_VALUE"""),"康寧輕隔間")</f>
        <v>康寧輕隔間</v>
      </c>
      <c r="C143" t="str">
        <f>IFERROR(__xludf.DUMMYFUNCTION("""COMPUTED_VALUE"""),"成本 - 進場前裝潢費")</f>
        <v>成本 - 進場前裝潢費</v>
      </c>
      <c r="D143" s="270">
        <f>IFERROR(__xludf.DUMMYFUNCTION("""COMPUTED_VALUE"""),-39191.0)</f>
        <v>-39191</v>
      </c>
      <c r="E143" t="str">
        <f>IFERROR(__xludf.DUMMYFUNCTION("""COMPUTED_VALUE"""),"Elsa帳戶")</f>
        <v>Elsa帳戶</v>
      </c>
      <c r="G143" t="str">
        <f>IFERROR(__xludf.DUMMYFUNCTION("""COMPUTED_VALUE"""),"哈拉對面")</f>
        <v>哈拉對面</v>
      </c>
      <c r="H143" s="106" t="str">
        <f t="shared" si="1"/>
        <v>2024-01</v>
      </c>
      <c r="I143" s="271" t="str">
        <f>IFERROR(__xludf.DUMMYFUNCTION("""COMPUTED_VALUE"""),"貓狗企鵝")</f>
        <v>貓狗企鵝</v>
      </c>
      <c r="J143" t="str">
        <f>IFERROR(__xludf.DUMMYFUNCTION("IFS(
  AND(REGEXMATCH(E143, ""台銀籌備帳戶|玉山帳戶""), REGEXMATCH(C143, ""薪資"")), ""分潤支出"",
  AND(REGEXMATCH(E143, ""Ben帳戶|Elsa帳戶|Ben代墊|Ariel代墊|中信銀行共用""), REGEXMATCH(F143, ""Ben帳戶|Elsa帳戶|Ben代墊|Ariel代墊|中信銀行共用"")), ""內部轉帳(忽略)"",
  AND(E143&lt;&gt;"""", F143&lt;&gt;"""", NOT(REG"&amp;"EXMATCH(C143, ""薪資""))), ""內部轉帳(忽略)"",
  REGEXMATCH(C143, ""薪資""), ""薪資變動(不計入)"",
  REGEXMATCH(C143, ""押金""), ""押金往來"",
  AND(E143&lt;&gt;"""", F143=""""), ""真實支出"",
  AND(E143="""", F143&lt;&gt;""""), ""真實收入"",
  TRUE, ""其他""
)"),"真實支出")</f>
        <v>真實支出</v>
      </c>
      <c r="K143" s="270">
        <f t="shared" si="2"/>
        <v>-39191</v>
      </c>
      <c r="L143">
        <f t="shared" si="3"/>
        <v>0</v>
      </c>
    </row>
    <row r="144">
      <c r="A144" s="107">
        <f>IFERROR(__xludf.DUMMYFUNCTION("""COMPUTED_VALUE"""),45311.0)</f>
        <v>45311</v>
      </c>
      <c r="B144" t="str">
        <f>IFERROR(__xludf.DUMMYFUNCTION("""COMPUTED_VALUE"""),"冰箱冷氣")</f>
        <v>冰箱冷氣</v>
      </c>
      <c r="C144" t="str">
        <f>IFERROR(__xludf.DUMMYFUNCTION("""COMPUTED_VALUE"""),"成本 - 進場前裝潢費")</f>
        <v>成本 - 進場前裝潢費</v>
      </c>
      <c r="D144" s="270">
        <f>IFERROR(__xludf.DUMMYFUNCTION("""COMPUTED_VALUE"""),-28300.0)</f>
        <v>-28300</v>
      </c>
      <c r="E144" t="str">
        <f>IFERROR(__xludf.DUMMYFUNCTION("""COMPUTED_VALUE"""),"Elsa帳戶")</f>
        <v>Elsa帳戶</v>
      </c>
      <c r="G144" t="str">
        <f>IFERROR(__xludf.DUMMYFUNCTION("""COMPUTED_VALUE"""),"哈拉對面")</f>
        <v>哈拉對面</v>
      </c>
      <c r="H144" s="106" t="str">
        <f t="shared" si="1"/>
        <v>2024-01</v>
      </c>
      <c r="I144" s="271" t="str">
        <f>IFERROR(__xludf.DUMMYFUNCTION("""COMPUTED_VALUE"""),"貓狗企鵝")</f>
        <v>貓狗企鵝</v>
      </c>
      <c r="J144" t="str">
        <f>IFERROR(__xludf.DUMMYFUNCTION("IFS(
  AND(REGEXMATCH(E144, ""台銀籌備帳戶|玉山帳戶""), REGEXMATCH(C144, ""薪資"")), ""分潤支出"",
  AND(REGEXMATCH(E144, ""Ben帳戶|Elsa帳戶|Ben代墊|Ariel代墊|中信銀行共用""), REGEXMATCH(F144, ""Ben帳戶|Elsa帳戶|Ben代墊|Ariel代墊|中信銀行共用"")), ""內部轉帳(忽略)"",
  AND(E144&lt;&gt;"""", F144&lt;&gt;"""", NOT(REG"&amp;"EXMATCH(C144, ""薪資""))), ""內部轉帳(忽略)"",
  REGEXMATCH(C144, ""薪資""), ""薪資變動(不計入)"",
  REGEXMATCH(C144, ""押金""), ""押金往來"",
  AND(E144&lt;&gt;"""", F144=""""), ""真實支出"",
  AND(E144="""", F144&lt;&gt;""""), ""真實收入"",
  TRUE, ""其他""
)"),"真實支出")</f>
        <v>真實支出</v>
      </c>
      <c r="K144" s="270">
        <f t="shared" si="2"/>
        <v>-28300</v>
      </c>
      <c r="L144">
        <f t="shared" si="3"/>
        <v>0</v>
      </c>
    </row>
    <row r="145">
      <c r="A145" s="107">
        <f>IFERROR(__xludf.DUMMYFUNCTION("""COMPUTED_VALUE"""),45311.0)</f>
        <v>45311</v>
      </c>
      <c r="B145" t="str">
        <f>IFERROR(__xludf.DUMMYFUNCTION("""COMPUTED_VALUE"""),"IKEA")</f>
        <v>IKEA</v>
      </c>
      <c r="C145" t="str">
        <f>IFERROR(__xludf.DUMMYFUNCTION("""COMPUTED_VALUE"""),"成本 - 進場前裝潢費")</f>
        <v>成本 - 進場前裝潢費</v>
      </c>
      <c r="D145" s="270">
        <f>IFERROR(__xludf.DUMMYFUNCTION("""COMPUTED_VALUE"""),-10852.0)</f>
        <v>-10852</v>
      </c>
      <c r="E145" t="str">
        <f>IFERROR(__xludf.DUMMYFUNCTION("""COMPUTED_VALUE"""),"Elsa帳戶")</f>
        <v>Elsa帳戶</v>
      </c>
      <c r="G145" t="str">
        <f>IFERROR(__xludf.DUMMYFUNCTION("""COMPUTED_VALUE"""),"哈拉對面")</f>
        <v>哈拉對面</v>
      </c>
      <c r="H145" s="106" t="str">
        <f t="shared" si="1"/>
        <v>2024-01</v>
      </c>
      <c r="I145" s="271" t="str">
        <f>IFERROR(__xludf.DUMMYFUNCTION("""COMPUTED_VALUE"""),"貓狗企鵝")</f>
        <v>貓狗企鵝</v>
      </c>
      <c r="J145" t="str">
        <f>IFERROR(__xludf.DUMMYFUNCTION("IFS(
  AND(REGEXMATCH(E145, ""台銀籌備帳戶|玉山帳戶""), REGEXMATCH(C145, ""薪資"")), ""分潤支出"",
  AND(REGEXMATCH(E145, ""Ben帳戶|Elsa帳戶|Ben代墊|Ariel代墊|中信銀行共用""), REGEXMATCH(F145, ""Ben帳戶|Elsa帳戶|Ben代墊|Ariel代墊|中信銀行共用"")), ""內部轉帳(忽略)"",
  AND(E145&lt;&gt;"""", F145&lt;&gt;"""", NOT(REG"&amp;"EXMATCH(C145, ""薪資""))), ""內部轉帳(忽略)"",
  REGEXMATCH(C145, ""薪資""), ""薪資變動(不計入)"",
  REGEXMATCH(C145, ""押金""), ""押金往來"",
  AND(E145&lt;&gt;"""", F145=""""), ""真實支出"",
  AND(E145="""", F145&lt;&gt;""""), ""真實收入"",
  TRUE, ""其他""
)"),"真實支出")</f>
        <v>真實支出</v>
      </c>
      <c r="K145" s="270">
        <f t="shared" si="2"/>
        <v>-10852</v>
      </c>
      <c r="L145">
        <f t="shared" si="3"/>
        <v>0</v>
      </c>
    </row>
    <row r="146">
      <c r="A146" s="107">
        <f>IFERROR(__xludf.DUMMYFUNCTION("""COMPUTED_VALUE"""),45311.0)</f>
        <v>45311</v>
      </c>
      <c r="B146" t="str">
        <f>IFERROR(__xludf.DUMMYFUNCTION("""COMPUTED_VALUE"""),"淘寶運費")</f>
        <v>淘寶運費</v>
      </c>
      <c r="C146" t="str">
        <f>IFERROR(__xludf.DUMMYFUNCTION("""COMPUTED_VALUE"""),"成本 - 進場前裝潢費")</f>
        <v>成本 - 進場前裝潢費</v>
      </c>
      <c r="D146" s="270">
        <f>IFERROR(__xludf.DUMMYFUNCTION("""COMPUTED_VALUE"""),-456.0)</f>
        <v>-456</v>
      </c>
      <c r="E146" t="str">
        <f>IFERROR(__xludf.DUMMYFUNCTION("""COMPUTED_VALUE"""),"Ben帳戶")</f>
        <v>Ben帳戶</v>
      </c>
      <c r="G146" t="str">
        <f>IFERROR(__xludf.DUMMYFUNCTION("""COMPUTED_VALUE"""),"哈拉對面")</f>
        <v>哈拉對面</v>
      </c>
      <c r="H146" s="106" t="str">
        <f t="shared" si="1"/>
        <v>2024-01</v>
      </c>
      <c r="I146" s="271" t="str">
        <f>IFERROR(__xludf.DUMMYFUNCTION("""COMPUTED_VALUE"""),"貓狗企鵝")</f>
        <v>貓狗企鵝</v>
      </c>
      <c r="J146" t="str">
        <f>IFERROR(__xludf.DUMMYFUNCTION("IFS(
  AND(REGEXMATCH(E146, ""台銀籌備帳戶|玉山帳戶""), REGEXMATCH(C146, ""薪資"")), ""分潤支出"",
  AND(REGEXMATCH(E146, ""Ben帳戶|Elsa帳戶|Ben代墊|Ariel代墊|中信銀行共用""), REGEXMATCH(F146, ""Ben帳戶|Elsa帳戶|Ben代墊|Ariel代墊|中信銀行共用"")), ""內部轉帳(忽略)"",
  AND(E146&lt;&gt;"""", F146&lt;&gt;"""", NOT(REG"&amp;"EXMATCH(C146, ""薪資""))), ""內部轉帳(忽略)"",
  REGEXMATCH(C146, ""薪資""), ""薪資變動(不計入)"",
  REGEXMATCH(C146, ""押金""), ""押金往來"",
  AND(E146&lt;&gt;"""", F146=""""), ""真實支出"",
  AND(E146="""", F146&lt;&gt;""""), ""真實收入"",
  TRUE, ""其他""
)"),"真實支出")</f>
        <v>真實支出</v>
      </c>
      <c r="K146" s="270">
        <f t="shared" si="2"/>
        <v>-456</v>
      </c>
      <c r="L146">
        <f t="shared" si="3"/>
        <v>0</v>
      </c>
    </row>
    <row r="147">
      <c r="A147" s="107">
        <f>IFERROR(__xludf.DUMMYFUNCTION("""COMPUTED_VALUE"""),45311.0)</f>
        <v>45311</v>
      </c>
      <c r="B147" t="str">
        <f>IFERROR(__xludf.DUMMYFUNCTION("""COMPUTED_VALUE"""),"給弟弟的預付款")</f>
        <v>給弟弟的預付款</v>
      </c>
      <c r="C147" t="str">
        <f>IFERROR(__xludf.DUMMYFUNCTION("""COMPUTED_VALUE"""),"成本 - 進場前裝潢費")</f>
        <v>成本 - 進場前裝潢費</v>
      </c>
      <c r="D147" s="270">
        <f>IFERROR(__xludf.DUMMYFUNCTION("""COMPUTED_VALUE"""),-5100.0)</f>
        <v>-5100</v>
      </c>
      <c r="E147" t="str">
        <f>IFERROR(__xludf.DUMMYFUNCTION("""COMPUTED_VALUE"""),"Ben帳戶")</f>
        <v>Ben帳戶</v>
      </c>
      <c r="G147" t="str">
        <f>IFERROR(__xludf.DUMMYFUNCTION("""COMPUTED_VALUE"""),"哈拉對面")</f>
        <v>哈拉對面</v>
      </c>
      <c r="H147" s="106" t="str">
        <f t="shared" si="1"/>
        <v>2024-01</v>
      </c>
      <c r="I147" s="271" t="str">
        <f>IFERROR(__xludf.DUMMYFUNCTION("""COMPUTED_VALUE"""),"貓狗企鵝")</f>
        <v>貓狗企鵝</v>
      </c>
      <c r="J147" t="str">
        <f>IFERROR(__xludf.DUMMYFUNCTION("IFS(
  AND(REGEXMATCH(E147, ""台銀籌備帳戶|玉山帳戶""), REGEXMATCH(C147, ""薪資"")), ""分潤支出"",
  AND(REGEXMATCH(E147, ""Ben帳戶|Elsa帳戶|Ben代墊|Ariel代墊|中信銀行共用""), REGEXMATCH(F147, ""Ben帳戶|Elsa帳戶|Ben代墊|Ariel代墊|中信銀行共用"")), ""內部轉帳(忽略)"",
  AND(E147&lt;&gt;"""", F147&lt;&gt;"""", NOT(REG"&amp;"EXMATCH(C147, ""薪資""))), ""內部轉帳(忽略)"",
  REGEXMATCH(C147, ""薪資""), ""薪資變動(不計入)"",
  REGEXMATCH(C147, ""押金""), ""押金往來"",
  AND(E147&lt;&gt;"""", F147=""""), ""真實支出"",
  AND(E147="""", F147&lt;&gt;""""), ""真實收入"",
  TRUE, ""其他""
)"),"真實支出")</f>
        <v>真實支出</v>
      </c>
      <c r="K147" s="270">
        <f t="shared" si="2"/>
        <v>-5100</v>
      </c>
      <c r="L147">
        <f t="shared" si="3"/>
        <v>0</v>
      </c>
    </row>
    <row r="148">
      <c r="A148" s="107">
        <f>IFERROR(__xludf.DUMMYFUNCTION("""COMPUTED_VALUE"""),45311.0)</f>
        <v>45311</v>
      </c>
      <c r="B148" t="str">
        <f>IFERROR(__xludf.DUMMYFUNCTION("""COMPUTED_VALUE"""),"弟弟")</f>
        <v>弟弟</v>
      </c>
      <c r="C148" t="str">
        <f>IFERROR(__xludf.DUMMYFUNCTION("""COMPUTED_VALUE"""),"成本 - 進場前裝潢費")</f>
        <v>成本 - 進場前裝潢費</v>
      </c>
      <c r="D148" s="270">
        <f>IFERROR(__xludf.DUMMYFUNCTION("""COMPUTED_VALUE"""),-2810.0)</f>
        <v>-2810</v>
      </c>
      <c r="E148" t="str">
        <f>IFERROR(__xludf.DUMMYFUNCTION("""COMPUTED_VALUE"""),"Ben帳戶")</f>
        <v>Ben帳戶</v>
      </c>
      <c r="G148" t="str">
        <f>IFERROR(__xludf.DUMMYFUNCTION("""COMPUTED_VALUE"""),"哈拉對面")</f>
        <v>哈拉對面</v>
      </c>
      <c r="H148" s="106" t="str">
        <f t="shared" si="1"/>
        <v>2024-01</v>
      </c>
      <c r="I148" s="271" t="str">
        <f>IFERROR(__xludf.DUMMYFUNCTION("""COMPUTED_VALUE"""),"貓狗企鵝")</f>
        <v>貓狗企鵝</v>
      </c>
      <c r="J148" t="str">
        <f>IFERROR(__xludf.DUMMYFUNCTION("IFS(
  AND(REGEXMATCH(E148, ""台銀籌備帳戶|玉山帳戶""), REGEXMATCH(C148, ""薪資"")), ""分潤支出"",
  AND(REGEXMATCH(E148, ""Ben帳戶|Elsa帳戶|Ben代墊|Ariel代墊|中信銀行共用""), REGEXMATCH(F148, ""Ben帳戶|Elsa帳戶|Ben代墊|Ariel代墊|中信銀行共用"")), ""內部轉帳(忽略)"",
  AND(E148&lt;&gt;"""", F148&lt;&gt;"""", NOT(REG"&amp;"EXMATCH(C148, ""薪資""))), ""內部轉帳(忽略)"",
  REGEXMATCH(C148, ""薪資""), ""薪資變動(不計入)"",
  REGEXMATCH(C148, ""押金""), ""押金往來"",
  AND(E148&lt;&gt;"""", F148=""""), ""真實支出"",
  AND(E148="""", F148&lt;&gt;""""), ""真實收入"",
  TRUE, ""其他""
)"),"真實支出")</f>
        <v>真實支出</v>
      </c>
      <c r="K148" s="270">
        <f t="shared" si="2"/>
        <v>-2810</v>
      </c>
      <c r="L148">
        <f t="shared" si="3"/>
        <v>0</v>
      </c>
    </row>
    <row r="149">
      <c r="A149" s="107">
        <f>IFERROR(__xludf.DUMMYFUNCTION("""COMPUTED_VALUE"""),45312.0)</f>
        <v>45312</v>
      </c>
      <c r="B149" t="str">
        <f>IFERROR(__xludf.DUMMYFUNCTION("""COMPUTED_VALUE"""),"油漆 丁")</f>
        <v>油漆 丁</v>
      </c>
      <c r="C149" t="str">
        <f>IFERROR(__xludf.DUMMYFUNCTION("""COMPUTED_VALUE"""),"成本 - 進場前裝潢費")</f>
        <v>成本 - 進場前裝潢費</v>
      </c>
      <c r="D149" s="270">
        <f>IFERROR(__xludf.DUMMYFUNCTION("""COMPUTED_VALUE"""),-30000.0)</f>
        <v>-30000</v>
      </c>
      <c r="E149" t="str">
        <f>IFERROR(__xludf.DUMMYFUNCTION("""COMPUTED_VALUE"""),"Elsa帳戶")</f>
        <v>Elsa帳戶</v>
      </c>
      <c r="G149" t="str">
        <f>IFERROR(__xludf.DUMMYFUNCTION("""COMPUTED_VALUE"""),"哈拉對面")</f>
        <v>哈拉對面</v>
      </c>
      <c r="H149" s="106" t="str">
        <f t="shared" si="1"/>
        <v>2024-01</v>
      </c>
      <c r="I149" s="271" t="str">
        <f>IFERROR(__xludf.DUMMYFUNCTION("""COMPUTED_VALUE"""),"貓狗企鵝")</f>
        <v>貓狗企鵝</v>
      </c>
      <c r="J149" t="str">
        <f>IFERROR(__xludf.DUMMYFUNCTION("IFS(
  AND(REGEXMATCH(E149, ""台銀籌備帳戶|玉山帳戶""), REGEXMATCH(C149, ""薪資"")), ""分潤支出"",
  AND(REGEXMATCH(E149, ""Ben帳戶|Elsa帳戶|Ben代墊|Ariel代墊|中信銀行共用""), REGEXMATCH(F149, ""Ben帳戶|Elsa帳戶|Ben代墊|Ariel代墊|中信銀行共用"")), ""內部轉帳(忽略)"",
  AND(E149&lt;&gt;"""", F149&lt;&gt;"""", NOT(REG"&amp;"EXMATCH(C149, ""薪資""))), ""內部轉帳(忽略)"",
  REGEXMATCH(C149, ""薪資""), ""薪資變動(不計入)"",
  REGEXMATCH(C149, ""押金""), ""押金往來"",
  AND(E149&lt;&gt;"""", F149=""""), ""真實支出"",
  AND(E149="""", F149&lt;&gt;""""), ""真實收入"",
  TRUE, ""其他""
)"),"真實支出")</f>
        <v>真實支出</v>
      </c>
      <c r="K149" s="270">
        <f t="shared" si="2"/>
        <v>-30000</v>
      </c>
      <c r="L149">
        <f t="shared" si="3"/>
        <v>0</v>
      </c>
    </row>
    <row r="150">
      <c r="A150" s="107">
        <f>IFERROR(__xludf.DUMMYFUNCTION("""COMPUTED_VALUE"""),45315.0)</f>
        <v>45315</v>
      </c>
      <c r="B150" t="str">
        <f>IFERROR(__xludf.DUMMYFUNCTION("""COMPUTED_VALUE"""),"馬桶刷拖地板")</f>
        <v>馬桶刷拖地板</v>
      </c>
      <c r="C150" t="str">
        <f>IFERROR(__xludf.DUMMYFUNCTION("""COMPUTED_VALUE"""),"成本 - 進場前裝潢費")</f>
        <v>成本 - 進場前裝潢費</v>
      </c>
      <c r="D150" s="270">
        <f>IFERROR(__xludf.DUMMYFUNCTION("""COMPUTED_VALUE"""),-359.0)</f>
        <v>-359</v>
      </c>
      <c r="E150" t="str">
        <f>IFERROR(__xludf.DUMMYFUNCTION("""COMPUTED_VALUE"""),"Ben帳戶")</f>
        <v>Ben帳戶</v>
      </c>
      <c r="G150" t="str">
        <f>IFERROR(__xludf.DUMMYFUNCTION("""COMPUTED_VALUE"""),"哈拉對面")</f>
        <v>哈拉對面</v>
      </c>
      <c r="H150" s="106" t="str">
        <f t="shared" si="1"/>
        <v>2024-01</v>
      </c>
      <c r="I150" s="271" t="str">
        <f>IFERROR(__xludf.DUMMYFUNCTION("""COMPUTED_VALUE"""),"貓狗企鵝")</f>
        <v>貓狗企鵝</v>
      </c>
      <c r="J150" t="str">
        <f>IFERROR(__xludf.DUMMYFUNCTION("IFS(
  AND(REGEXMATCH(E150, ""台銀籌備帳戶|玉山帳戶""), REGEXMATCH(C150, ""薪資"")), ""分潤支出"",
  AND(REGEXMATCH(E150, ""Ben帳戶|Elsa帳戶|Ben代墊|Ariel代墊|中信銀行共用""), REGEXMATCH(F150, ""Ben帳戶|Elsa帳戶|Ben代墊|Ariel代墊|中信銀行共用"")), ""內部轉帳(忽略)"",
  AND(E150&lt;&gt;"""", F150&lt;&gt;"""", NOT(REG"&amp;"EXMATCH(C150, ""薪資""))), ""內部轉帳(忽略)"",
  REGEXMATCH(C150, ""薪資""), ""薪資變動(不計入)"",
  REGEXMATCH(C150, ""押金""), ""押金往來"",
  AND(E150&lt;&gt;"""", F150=""""), ""真實支出"",
  AND(E150="""", F150&lt;&gt;""""), ""真實收入"",
  TRUE, ""其他""
)"),"真實支出")</f>
        <v>真實支出</v>
      </c>
      <c r="K150" s="270">
        <f t="shared" si="2"/>
        <v>-359</v>
      </c>
      <c r="L150">
        <f t="shared" si="3"/>
        <v>0</v>
      </c>
    </row>
    <row r="151">
      <c r="A151" s="107">
        <f>IFERROR(__xludf.DUMMYFUNCTION("""COMPUTED_VALUE"""),45315.0)</f>
        <v>45315</v>
      </c>
      <c r="B151" t="str">
        <f>IFERROR(__xludf.DUMMYFUNCTION("""COMPUTED_VALUE"""),"蝦皮 廚房垃圾桶")</f>
        <v>蝦皮 廚房垃圾桶</v>
      </c>
      <c r="C151" t="str">
        <f>IFERROR(__xludf.DUMMYFUNCTION("""COMPUTED_VALUE"""),"成本 - 進場前裝潢費")</f>
        <v>成本 - 進場前裝潢費</v>
      </c>
      <c r="D151" s="270">
        <f>IFERROR(__xludf.DUMMYFUNCTION("""COMPUTED_VALUE"""),-239.0)</f>
        <v>-239</v>
      </c>
      <c r="E151" t="str">
        <f>IFERROR(__xludf.DUMMYFUNCTION("""COMPUTED_VALUE"""),"Elsa帳戶")</f>
        <v>Elsa帳戶</v>
      </c>
      <c r="G151" t="str">
        <f>IFERROR(__xludf.DUMMYFUNCTION("""COMPUTED_VALUE"""),"哈拉對面")</f>
        <v>哈拉對面</v>
      </c>
      <c r="H151" s="106" t="str">
        <f t="shared" si="1"/>
        <v>2024-01</v>
      </c>
      <c r="I151" s="271" t="str">
        <f>IFERROR(__xludf.DUMMYFUNCTION("""COMPUTED_VALUE"""),"貓狗企鵝")</f>
        <v>貓狗企鵝</v>
      </c>
      <c r="J151" t="str">
        <f>IFERROR(__xludf.DUMMYFUNCTION("IFS(
  AND(REGEXMATCH(E151, ""台銀籌備帳戶|玉山帳戶""), REGEXMATCH(C151, ""薪資"")), ""分潤支出"",
  AND(REGEXMATCH(E151, ""Ben帳戶|Elsa帳戶|Ben代墊|Ariel代墊|中信銀行共用""), REGEXMATCH(F151, ""Ben帳戶|Elsa帳戶|Ben代墊|Ariel代墊|中信銀行共用"")), ""內部轉帳(忽略)"",
  AND(E151&lt;&gt;"""", F151&lt;&gt;"""", NOT(REG"&amp;"EXMATCH(C151, ""薪資""))), ""內部轉帳(忽略)"",
  REGEXMATCH(C151, ""薪資""), ""薪資變動(不計入)"",
  REGEXMATCH(C151, ""押金""), ""押金往來"",
  AND(E151&lt;&gt;"""", F151=""""), ""真實支出"",
  AND(E151="""", F151&lt;&gt;""""), ""真實收入"",
  TRUE, ""其他""
)"),"真實支出")</f>
        <v>真實支出</v>
      </c>
      <c r="K151" s="270">
        <f t="shared" si="2"/>
        <v>-239</v>
      </c>
      <c r="L151">
        <f t="shared" si="3"/>
        <v>0</v>
      </c>
    </row>
    <row r="152">
      <c r="A152" s="107">
        <f>IFERROR(__xludf.DUMMYFUNCTION("""COMPUTED_VALUE"""),45315.0)</f>
        <v>45315</v>
      </c>
      <c r="B152" t="str">
        <f>IFERROR(__xludf.DUMMYFUNCTION("""COMPUTED_VALUE"""),"蝦皮 廁所垃圾桶*2")</f>
        <v>蝦皮 廁所垃圾桶*2</v>
      </c>
      <c r="C152" t="str">
        <f>IFERROR(__xludf.DUMMYFUNCTION("""COMPUTED_VALUE"""),"成本 - 進場前裝潢費")</f>
        <v>成本 - 進場前裝潢費</v>
      </c>
      <c r="D152" s="270">
        <f>IFERROR(__xludf.DUMMYFUNCTION("""COMPUTED_VALUE"""),-518.0)</f>
        <v>-518</v>
      </c>
      <c r="E152" t="str">
        <f>IFERROR(__xludf.DUMMYFUNCTION("""COMPUTED_VALUE"""),"Elsa帳戶")</f>
        <v>Elsa帳戶</v>
      </c>
      <c r="G152" t="str">
        <f>IFERROR(__xludf.DUMMYFUNCTION("""COMPUTED_VALUE"""),"哈拉對面")</f>
        <v>哈拉對面</v>
      </c>
      <c r="H152" s="106" t="str">
        <f t="shared" si="1"/>
        <v>2024-01</v>
      </c>
      <c r="I152" s="271" t="str">
        <f>IFERROR(__xludf.DUMMYFUNCTION("""COMPUTED_VALUE"""),"貓狗企鵝")</f>
        <v>貓狗企鵝</v>
      </c>
      <c r="J152" t="str">
        <f>IFERROR(__xludf.DUMMYFUNCTION("IFS(
  AND(REGEXMATCH(E152, ""台銀籌備帳戶|玉山帳戶""), REGEXMATCH(C152, ""薪資"")), ""分潤支出"",
  AND(REGEXMATCH(E152, ""Ben帳戶|Elsa帳戶|Ben代墊|Ariel代墊|中信銀行共用""), REGEXMATCH(F152, ""Ben帳戶|Elsa帳戶|Ben代墊|Ariel代墊|中信銀行共用"")), ""內部轉帳(忽略)"",
  AND(E152&lt;&gt;"""", F152&lt;&gt;"""", NOT(REG"&amp;"EXMATCH(C152, ""薪資""))), ""內部轉帳(忽略)"",
  REGEXMATCH(C152, ""薪資""), ""薪資變動(不計入)"",
  REGEXMATCH(C152, ""押金""), ""押金往來"",
  AND(E152&lt;&gt;"""", F152=""""), ""真實支出"",
  AND(E152="""", F152&lt;&gt;""""), ""真實收入"",
  TRUE, ""其他""
)"),"真實支出")</f>
        <v>真實支出</v>
      </c>
      <c r="K152" s="270">
        <f t="shared" si="2"/>
        <v>-518</v>
      </c>
      <c r="L152">
        <f t="shared" si="3"/>
        <v>0</v>
      </c>
    </row>
    <row r="153">
      <c r="A153" s="107">
        <f>IFERROR(__xludf.DUMMYFUNCTION("""COMPUTED_VALUE"""),45315.0)</f>
        <v>45315</v>
      </c>
      <c r="B153" t="str">
        <f>IFERROR(__xludf.DUMMYFUNCTION("""COMPUTED_VALUE"""),"蝦皮 馬桶刷, 拖把")</f>
        <v>蝦皮 馬桶刷, 拖把</v>
      </c>
      <c r="C153" t="str">
        <f>IFERROR(__xludf.DUMMYFUNCTION("""COMPUTED_VALUE"""),"成本 - 進場前裝潢費")</f>
        <v>成本 - 進場前裝潢費</v>
      </c>
      <c r="D153" s="270">
        <f>IFERROR(__xludf.DUMMYFUNCTION("""COMPUTED_VALUE"""),-318.0)</f>
        <v>-318</v>
      </c>
      <c r="E153" t="str">
        <f>IFERROR(__xludf.DUMMYFUNCTION("""COMPUTED_VALUE"""),"Elsa帳戶")</f>
        <v>Elsa帳戶</v>
      </c>
      <c r="G153" t="str">
        <f>IFERROR(__xludf.DUMMYFUNCTION("""COMPUTED_VALUE"""),"哈拉對面")</f>
        <v>哈拉對面</v>
      </c>
      <c r="H153" s="106" t="str">
        <f t="shared" si="1"/>
        <v>2024-01</v>
      </c>
      <c r="I153" s="271" t="str">
        <f>IFERROR(__xludf.DUMMYFUNCTION("""COMPUTED_VALUE"""),"貓狗企鵝")</f>
        <v>貓狗企鵝</v>
      </c>
      <c r="J153" t="str">
        <f>IFERROR(__xludf.DUMMYFUNCTION("IFS(
  AND(REGEXMATCH(E153, ""台銀籌備帳戶|玉山帳戶""), REGEXMATCH(C153, ""薪資"")), ""分潤支出"",
  AND(REGEXMATCH(E153, ""Ben帳戶|Elsa帳戶|Ben代墊|Ariel代墊|中信銀行共用""), REGEXMATCH(F153, ""Ben帳戶|Elsa帳戶|Ben代墊|Ariel代墊|中信銀行共用"")), ""內部轉帳(忽略)"",
  AND(E153&lt;&gt;"""", F153&lt;&gt;"""", NOT(REG"&amp;"EXMATCH(C153, ""薪資""))), ""內部轉帳(忽略)"",
  REGEXMATCH(C153, ""薪資""), ""薪資變動(不計入)"",
  REGEXMATCH(C153, ""押金""), ""押金往來"",
  AND(E153&lt;&gt;"""", F153=""""), ""真實支出"",
  AND(E153="""", F153&lt;&gt;""""), ""真實收入"",
  TRUE, ""其他""
)"),"真實支出")</f>
        <v>真實支出</v>
      </c>
      <c r="K153" s="270">
        <f t="shared" si="2"/>
        <v>-318</v>
      </c>
      <c r="L153">
        <f t="shared" si="3"/>
        <v>0</v>
      </c>
    </row>
    <row r="154">
      <c r="A154" s="107">
        <f>IFERROR(__xludf.DUMMYFUNCTION("""COMPUTED_VALUE"""),45315.0)</f>
        <v>45315</v>
      </c>
      <c r="B154" t="str">
        <f>IFERROR(__xludf.DUMMYFUNCTION("""COMPUTED_VALUE"""),"7-11 衛生紙")</f>
        <v>7-11 衛生紙</v>
      </c>
      <c r="C154" t="str">
        <f>IFERROR(__xludf.DUMMYFUNCTION("""COMPUTED_VALUE"""),"成本 - 進場前裝潢費")</f>
        <v>成本 - 進場前裝潢費</v>
      </c>
      <c r="D154" s="270">
        <f>IFERROR(__xludf.DUMMYFUNCTION("""COMPUTED_VALUE"""),-109.0)</f>
        <v>-109</v>
      </c>
      <c r="E154" t="str">
        <f>IFERROR(__xludf.DUMMYFUNCTION("""COMPUTED_VALUE"""),"Elsa帳戶")</f>
        <v>Elsa帳戶</v>
      </c>
      <c r="G154" t="str">
        <f>IFERROR(__xludf.DUMMYFUNCTION("""COMPUTED_VALUE"""),"哈拉對面")</f>
        <v>哈拉對面</v>
      </c>
      <c r="H154" s="106" t="str">
        <f t="shared" si="1"/>
        <v>2024-01</v>
      </c>
      <c r="I154" s="271" t="str">
        <f>IFERROR(__xludf.DUMMYFUNCTION("""COMPUTED_VALUE"""),"貓狗企鵝")</f>
        <v>貓狗企鵝</v>
      </c>
      <c r="J154" t="str">
        <f>IFERROR(__xludf.DUMMYFUNCTION("IFS(
  AND(REGEXMATCH(E154, ""台銀籌備帳戶|玉山帳戶""), REGEXMATCH(C154, ""薪資"")), ""分潤支出"",
  AND(REGEXMATCH(E154, ""Ben帳戶|Elsa帳戶|Ben代墊|Ariel代墊|中信銀行共用""), REGEXMATCH(F154, ""Ben帳戶|Elsa帳戶|Ben代墊|Ariel代墊|中信銀行共用"")), ""內部轉帳(忽略)"",
  AND(E154&lt;&gt;"""", F154&lt;&gt;"""", NOT(REG"&amp;"EXMATCH(C154, ""薪資""))), ""內部轉帳(忽略)"",
  REGEXMATCH(C154, ""薪資""), ""薪資變動(不計入)"",
  REGEXMATCH(C154, ""押金""), ""押金往來"",
  AND(E154&lt;&gt;"""", F154=""""), ""真實支出"",
  AND(E154="""", F154&lt;&gt;""""), ""真實收入"",
  TRUE, ""其他""
)"),"真實支出")</f>
        <v>真實支出</v>
      </c>
      <c r="K154" s="270">
        <f t="shared" si="2"/>
        <v>-109</v>
      </c>
      <c r="L154">
        <f t="shared" si="3"/>
        <v>0</v>
      </c>
    </row>
    <row r="155">
      <c r="A155" s="107">
        <f>IFERROR(__xludf.DUMMYFUNCTION("""COMPUTED_VALUE"""),45315.0)</f>
        <v>45315</v>
      </c>
      <c r="B155" t="str">
        <f>IFERROR(__xludf.DUMMYFUNCTION("""COMPUTED_VALUE"""),"MOMO 吸塵器")</f>
        <v>MOMO 吸塵器</v>
      </c>
      <c r="C155" t="str">
        <f>IFERROR(__xludf.DUMMYFUNCTION("""COMPUTED_VALUE"""),"成本 - 進場前裝潢費")</f>
        <v>成本 - 進場前裝潢費</v>
      </c>
      <c r="D155" s="270">
        <f>IFERROR(__xludf.DUMMYFUNCTION("""COMPUTED_VALUE"""),-1388.0)</f>
        <v>-1388</v>
      </c>
      <c r="E155" t="str">
        <f>IFERROR(__xludf.DUMMYFUNCTION("""COMPUTED_VALUE"""),"Elsa帳戶")</f>
        <v>Elsa帳戶</v>
      </c>
      <c r="G155" t="str">
        <f>IFERROR(__xludf.DUMMYFUNCTION("""COMPUTED_VALUE"""),"哈拉對面")</f>
        <v>哈拉對面</v>
      </c>
      <c r="H155" s="106" t="str">
        <f t="shared" si="1"/>
        <v>2024-01</v>
      </c>
      <c r="I155" s="271" t="str">
        <f>IFERROR(__xludf.DUMMYFUNCTION("""COMPUTED_VALUE"""),"貓狗企鵝")</f>
        <v>貓狗企鵝</v>
      </c>
      <c r="J155" t="str">
        <f>IFERROR(__xludf.DUMMYFUNCTION("IFS(
  AND(REGEXMATCH(E155, ""台銀籌備帳戶|玉山帳戶""), REGEXMATCH(C155, ""薪資"")), ""分潤支出"",
  AND(REGEXMATCH(E155, ""Ben帳戶|Elsa帳戶|Ben代墊|Ariel代墊|中信銀行共用""), REGEXMATCH(F155, ""Ben帳戶|Elsa帳戶|Ben代墊|Ariel代墊|中信銀行共用"")), ""內部轉帳(忽略)"",
  AND(E155&lt;&gt;"""", F155&lt;&gt;"""", NOT(REG"&amp;"EXMATCH(C155, ""薪資""))), ""內部轉帳(忽略)"",
  REGEXMATCH(C155, ""薪資""), ""薪資變動(不計入)"",
  REGEXMATCH(C155, ""押金""), ""押金往來"",
  AND(E155&lt;&gt;"""", F155=""""), ""真實支出"",
  AND(E155="""", F155&lt;&gt;""""), ""真實收入"",
  TRUE, ""其他""
)"),"真實支出")</f>
        <v>真實支出</v>
      </c>
      <c r="K155" s="270">
        <f t="shared" si="2"/>
        <v>-1388</v>
      </c>
      <c r="L155">
        <f t="shared" si="3"/>
        <v>0</v>
      </c>
    </row>
    <row r="156">
      <c r="A156" s="107">
        <f>IFERROR(__xludf.DUMMYFUNCTION("""COMPUTED_VALUE"""),45316.0)</f>
        <v>45316</v>
      </c>
      <c r="B156" t="str">
        <f>IFERROR(__xludf.DUMMYFUNCTION("""COMPUTED_VALUE"""),"淘寶運費")</f>
        <v>淘寶運費</v>
      </c>
      <c r="C156" t="str">
        <f>IFERROR(__xludf.DUMMYFUNCTION("""COMPUTED_VALUE"""),"成本 - 進場前裝潢費")</f>
        <v>成本 - 進場前裝潢費</v>
      </c>
      <c r="D156" s="270">
        <f>IFERROR(__xludf.DUMMYFUNCTION("""COMPUTED_VALUE"""),-563.0)</f>
        <v>-563</v>
      </c>
      <c r="E156" t="str">
        <f>IFERROR(__xludf.DUMMYFUNCTION("""COMPUTED_VALUE"""),"Ben帳戶")</f>
        <v>Ben帳戶</v>
      </c>
      <c r="G156" t="str">
        <f>IFERROR(__xludf.DUMMYFUNCTION("""COMPUTED_VALUE"""),"哈拉對面")</f>
        <v>哈拉對面</v>
      </c>
      <c r="H156" s="106" t="str">
        <f t="shared" si="1"/>
        <v>2024-01</v>
      </c>
      <c r="I156" s="271" t="str">
        <f>IFERROR(__xludf.DUMMYFUNCTION("""COMPUTED_VALUE"""),"貓狗企鵝")</f>
        <v>貓狗企鵝</v>
      </c>
      <c r="J156" t="str">
        <f>IFERROR(__xludf.DUMMYFUNCTION("IFS(
  AND(REGEXMATCH(E156, ""台銀籌備帳戶|玉山帳戶""), REGEXMATCH(C156, ""薪資"")), ""分潤支出"",
  AND(REGEXMATCH(E156, ""Ben帳戶|Elsa帳戶|Ben代墊|Ariel代墊|中信銀行共用""), REGEXMATCH(F156, ""Ben帳戶|Elsa帳戶|Ben代墊|Ariel代墊|中信銀行共用"")), ""內部轉帳(忽略)"",
  AND(E156&lt;&gt;"""", F156&lt;&gt;"""", NOT(REG"&amp;"EXMATCH(C156, ""薪資""))), ""內部轉帳(忽略)"",
  REGEXMATCH(C156, ""薪資""), ""薪資變動(不計入)"",
  REGEXMATCH(C156, ""押金""), ""押金往來"",
  AND(E156&lt;&gt;"""", F156=""""), ""真實支出"",
  AND(E156="""", F156&lt;&gt;""""), ""真實收入"",
  TRUE, ""其他""
)"),"真實支出")</f>
        <v>真實支出</v>
      </c>
      <c r="K156" s="270">
        <f t="shared" si="2"/>
        <v>-563</v>
      </c>
      <c r="L156">
        <f t="shared" si="3"/>
        <v>0</v>
      </c>
    </row>
    <row r="157">
      <c r="A157" s="107">
        <f>IFERROR(__xludf.DUMMYFUNCTION("""COMPUTED_VALUE"""),45316.0)</f>
        <v>45316</v>
      </c>
      <c r="B157" t="str">
        <f>IFERROR(__xludf.DUMMYFUNCTION("""COMPUTED_VALUE"""),"水龍頭置換全套")</f>
        <v>水龍頭置換全套</v>
      </c>
      <c r="C157" t="str">
        <f>IFERROR(__xludf.DUMMYFUNCTION("""COMPUTED_VALUE"""),"成本 - 進場前裝潢費")</f>
        <v>成本 - 進場前裝潢費</v>
      </c>
      <c r="D157" s="270">
        <f>IFERROR(__xludf.DUMMYFUNCTION("""COMPUTED_VALUE"""),-2100.0)</f>
        <v>-2100</v>
      </c>
      <c r="E157" t="str">
        <f>IFERROR(__xludf.DUMMYFUNCTION("""COMPUTED_VALUE"""),"Ben帳戶")</f>
        <v>Ben帳戶</v>
      </c>
      <c r="G157" t="str">
        <f>IFERROR(__xludf.DUMMYFUNCTION("""COMPUTED_VALUE"""),"哈拉對面")</f>
        <v>哈拉對面</v>
      </c>
      <c r="H157" s="106" t="str">
        <f t="shared" si="1"/>
        <v>2024-01</v>
      </c>
      <c r="I157" s="271" t="str">
        <f>IFERROR(__xludf.DUMMYFUNCTION("""COMPUTED_VALUE"""),"貓狗企鵝")</f>
        <v>貓狗企鵝</v>
      </c>
      <c r="J157" t="str">
        <f>IFERROR(__xludf.DUMMYFUNCTION("IFS(
  AND(REGEXMATCH(E157, ""台銀籌備帳戶|玉山帳戶""), REGEXMATCH(C157, ""薪資"")), ""分潤支出"",
  AND(REGEXMATCH(E157, ""Ben帳戶|Elsa帳戶|Ben代墊|Ariel代墊|中信銀行共用""), REGEXMATCH(F157, ""Ben帳戶|Elsa帳戶|Ben代墊|Ariel代墊|中信銀行共用"")), ""內部轉帳(忽略)"",
  AND(E157&lt;&gt;"""", F157&lt;&gt;"""", NOT(REG"&amp;"EXMATCH(C157, ""薪資""))), ""內部轉帳(忽略)"",
  REGEXMATCH(C157, ""薪資""), ""薪資變動(不計入)"",
  REGEXMATCH(C157, ""押金""), ""押金往來"",
  AND(E157&lt;&gt;"""", F157=""""), ""真實支出"",
  AND(E157="""", F157&lt;&gt;""""), ""真實收入"",
  TRUE, ""其他""
)"),"真實支出")</f>
        <v>真實支出</v>
      </c>
      <c r="K157" s="270">
        <f t="shared" si="2"/>
        <v>-2100</v>
      </c>
      <c r="L157">
        <f t="shared" si="3"/>
        <v>0</v>
      </c>
    </row>
    <row r="158">
      <c r="A158" s="107">
        <f>IFERROR(__xludf.DUMMYFUNCTION("""COMPUTED_VALUE"""),45316.0)</f>
        <v>45316</v>
      </c>
      <c r="B158" t="str">
        <f>IFERROR(__xludf.DUMMYFUNCTION("""COMPUTED_VALUE"""),"北都網路")</f>
        <v>北都網路</v>
      </c>
      <c r="C158" t="str">
        <f>IFERROR(__xludf.DUMMYFUNCTION("""COMPUTED_VALUE"""),"成本 - 進場前裝潢費")</f>
        <v>成本 - 進場前裝潢費</v>
      </c>
      <c r="D158" s="270">
        <f>IFERROR(__xludf.DUMMYFUNCTION("""COMPUTED_VALUE"""),-4100.0)</f>
        <v>-4100</v>
      </c>
      <c r="E158" t="str">
        <f>IFERROR(__xludf.DUMMYFUNCTION("""COMPUTED_VALUE"""),"Ben帳戶")</f>
        <v>Ben帳戶</v>
      </c>
      <c r="G158" t="str">
        <f>IFERROR(__xludf.DUMMYFUNCTION("""COMPUTED_VALUE"""),"哈拉對面")</f>
        <v>哈拉對面</v>
      </c>
      <c r="H158" s="106" t="str">
        <f t="shared" si="1"/>
        <v>2024-01</v>
      </c>
      <c r="I158" s="271" t="str">
        <f>IFERROR(__xludf.DUMMYFUNCTION("""COMPUTED_VALUE"""),"貓狗企鵝")</f>
        <v>貓狗企鵝</v>
      </c>
      <c r="J158" t="str">
        <f>IFERROR(__xludf.DUMMYFUNCTION("IFS(
  AND(REGEXMATCH(E158, ""台銀籌備帳戶|玉山帳戶""), REGEXMATCH(C158, ""薪資"")), ""分潤支出"",
  AND(REGEXMATCH(E158, ""Ben帳戶|Elsa帳戶|Ben代墊|Ariel代墊|中信銀行共用""), REGEXMATCH(F158, ""Ben帳戶|Elsa帳戶|Ben代墊|Ariel代墊|中信銀行共用"")), ""內部轉帳(忽略)"",
  AND(E158&lt;&gt;"""", F158&lt;&gt;"""", NOT(REG"&amp;"EXMATCH(C158, ""薪資""))), ""內部轉帳(忽略)"",
  REGEXMATCH(C158, ""薪資""), ""薪資變動(不計入)"",
  REGEXMATCH(C158, ""押金""), ""押金往來"",
  AND(E158&lt;&gt;"""", F158=""""), ""真實支出"",
  AND(E158="""", F158&lt;&gt;""""), ""真實收入"",
  TRUE, ""其他""
)"),"真實支出")</f>
        <v>真實支出</v>
      </c>
      <c r="K158" s="270">
        <f t="shared" si="2"/>
        <v>-4100</v>
      </c>
      <c r="L158">
        <f t="shared" si="3"/>
        <v>0</v>
      </c>
    </row>
    <row r="159">
      <c r="A159" s="107">
        <f>IFERROR(__xludf.DUMMYFUNCTION("""COMPUTED_VALUE"""),45316.0)</f>
        <v>45316</v>
      </c>
      <c r="B159" t="str">
        <f>IFERROR(__xludf.DUMMYFUNCTION("""COMPUTED_VALUE"""),"床架加般運費")</f>
        <v>床架加般運費</v>
      </c>
      <c r="C159" t="str">
        <f>IFERROR(__xludf.DUMMYFUNCTION("""COMPUTED_VALUE"""),"成本 - 進場前裝潢費")</f>
        <v>成本 - 進場前裝潢費</v>
      </c>
      <c r="D159" s="270">
        <f>IFERROR(__xludf.DUMMYFUNCTION("""COMPUTED_VALUE"""),-5900.0)</f>
        <v>-5900</v>
      </c>
      <c r="E159" t="str">
        <f>IFERROR(__xludf.DUMMYFUNCTION("""COMPUTED_VALUE"""),"Ben帳戶")</f>
        <v>Ben帳戶</v>
      </c>
      <c r="G159" t="str">
        <f>IFERROR(__xludf.DUMMYFUNCTION("""COMPUTED_VALUE"""),"哈拉對面")</f>
        <v>哈拉對面</v>
      </c>
      <c r="H159" s="106" t="str">
        <f t="shared" si="1"/>
        <v>2024-01</v>
      </c>
      <c r="I159" s="271" t="str">
        <f>IFERROR(__xludf.DUMMYFUNCTION("""COMPUTED_VALUE"""),"貓狗企鵝")</f>
        <v>貓狗企鵝</v>
      </c>
      <c r="J159" t="str">
        <f>IFERROR(__xludf.DUMMYFUNCTION("IFS(
  AND(REGEXMATCH(E159, ""台銀籌備帳戶|玉山帳戶""), REGEXMATCH(C159, ""薪資"")), ""分潤支出"",
  AND(REGEXMATCH(E159, ""Ben帳戶|Elsa帳戶|Ben代墊|Ariel代墊|中信銀行共用""), REGEXMATCH(F159, ""Ben帳戶|Elsa帳戶|Ben代墊|Ariel代墊|中信銀行共用"")), ""內部轉帳(忽略)"",
  AND(E159&lt;&gt;"""", F159&lt;&gt;"""", NOT(REG"&amp;"EXMATCH(C159, ""薪資""))), ""內部轉帳(忽略)"",
  REGEXMATCH(C159, ""薪資""), ""薪資變動(不計入)"",
  REGEXMATCH(C159, ""押金""), ""押金往來"",
  AND(E159&lt;&gt;"""", F159=""""), ""真實支出"",
  AND(E159="""", F159&lt;&gt;""""), ""真實收入"",
  TRUE, ""其他""
)"),"真實支出")</f>
        <v>真實支出</v>
      </c>
      <c r="K159" s="270">
        <f t="shared" si="2"/>
        <v>-5900</v>
      </c>
      <c r="L159">
        <f t="shared" si="3"/>
        <v>0</v>
      </c>
    </row>
    <row r="160">
      <c r="A160" s="107">
        <f>IFERROR(__xludf.DUMMYFUNCTION("""COMPUTED_VALUE"""),45316.0)</f>
        <v>45316</v>
      </c>
      <c r="B160" t="str">
        <f>IFERROR(__xludf.DUMMYFUNCTION("""COMPUTED_VALUE"""),"弟弟雜費")</f>
        <v>弟弟雜費</v>
      </c>
      <c r="C160" t="str">
        <f>IFERROR(__xludf.DUMMYFUNCTION("""COMPUTED_VALUE"""),"成本 - 進場前裝潢費")</f>
        <v>成本 - 進場前裝潢費</v>
      </c>
      <c r="D160" s="270">
        <f>IFERROR(__xludf.DUMMYFUNCTION("""COMPUTED_VALUE"""),-4266.0)</f>
        <v>-4266</v>
      </c>
      <c r="E160" t="str">
        <f>IFERROR(__xludf.DUMMYFUNCTION("""COMPUTED_VALUE"""),"Ben帳戶")</f>
        <v>Ben帳戶</v>
      </c>
      <c r="G160" t="str">
        <f>IFERROR(__xludf.DUMMYFUNCTION("""COMPUTED_VALUE"""),"哈拉對面")</f>
        <v>哈拉對面</v>
      </c>
      <c r="H160" s="106" t="str">
        <f t="shared" si="1"/>
        <v>2024-01</v>
      </c>
      <c r="I160" s="271" t="str">
        <f>IFERROR(__xludf.DUMMYFUNCTION("""COMPUTED_VALUE"""),"貓狗企鵝")</f>
        <v>貓狗企鵝</v>
      </c>
      <c r="J160" t="str">
        <f>IFERROR(__xludf.DUMMYFUNCTION("IFS(
  AND(REGEXMATCH(E160, ""台銀籌備帳戶|玉山帳戶""), REGEXMATCH(C160, ""薪資"")), ""分潤支出"",
  AND(REGEXMATCH(E160, ""Ben帳戶|Elsa帳戶|Ben代墊|Ariel代墊|中信銀行共用""), REGEXMATCH(F160, ""Ben帳戶|Elsa帳戶|Ben代墊|Ariel代墊|中信銀行共用"")), ""內部轉帳(忽略)"",
  AND(E160&lt;&gt;"""", F160&lt;&gt;"""", NOT(REG"&amp;"EXMATCH(C160, ""薪資""))), ""內部轉帳(忽略)"",
  REGEXMATCH(C160, ""薪資""), ""薪資變動(不計入)"",
  REGEXMATCH(C160, ""押金""), ""押金往來"",
  AND(E160&lt;&gt;"""", F160=""""), ""真實支出"",
  AND(E160="""", F160&lt;&gt;""""), ""真實收入"",
  TRUE, ""其他""
)"),"真實支出")</f>
        <v>真實支出</v>
      </c>
      <c r="K160" s="270">
        <f t="shared" si="2"/>
        <v>-4266</v>
      </c>
      <c r="L160">
        <f t="shared" si="3"/>
        <v>0</v>
      </c>
    </row>
    <row r="161">
      <c r="A161" s="107">
        <f>IFERROR(__xludf.DUMMYFUNCTION("""COMPUTED_VALUE"""),45317.0)</f>
        <v>45317</v>
      </c>
      <c r="B161" t="str">
        <f>IFERROR(__xludf.DUMMYFUNCTION("""COMPUTED_VALUE"""),"滅火器 濾水器")</f>
        <v>滅火器 濾水器</v>
      </c>
      <c r="C161" t="str">
        <f>IFERROR(__xludf.DUMMYFUNCTION("""COMPUTED_VALUE"""),"成本 - 進場前裝潢費")</f>
        <v>成本 - 進場前裝潢費</v>
      </c>
      <c r="D161" s="270">
        <f>IFERROR(__xludf.DUMMYFUNCTION("""COMPUTED_VALUE"""),-4970.0)</f>
        <v>-4970</v>
      </c>
      <c r="E161" t="str">
        <f>IFERROR(__xludf.DUMMYFUNCTION("""COMPUTED_VALUE"""),"Ben帳戶")</f>
        <v>Ben帳戶</v>
      </c>
      <c r="G161" t="str">
        <f>IFERROR(__xludf.DUMMYFUNCTION("""COMPUTED_VALUE"""),"哈拉對面")</f>
        <v>哈拉對面</v>
      </c>
      <c r="H161" s="106" t="str">
        <f t="shared" si="1"/>
        <v>2024-01</v>
      </c>
      <c r="I161" s="271" t="str">
        <f>IFERROR(__xludf.DUMMYFUNCTION("""COMPUTED_VALUE"""),"貓狗企鵝")</f>
        <v>貓狗企鵝</v>
      </c>
      <c r="J161" t="str">
        <f>IFERROR(__xludf.DUMMYFUNCTION("IFS(
  AND(REGEXMATCH(E161, ""台銀籌備帳戶|玉山帳戶""), REGEXMATCH(C161, ""薪資"")), ""分潤支出"",
  AND(REGEXMATCH(E161, ""Ben帳戶|Elsa帳戶|Ben代墊|Ariel代墊|中信銀行共用""), REGEXMATCH(F161, ""Ben帳戶|Elsa帳戶|Ben代墊|Ariel代墊|中信銀行共用"")), ""內部轉帳(忽略)"",
  AND(E161&lt;&gt;"""", F161&lt;&gt;"""", NOT(REG"&amp;"EXMATCH(C161, ""薪資""))), ""內部轉帳(忽略)"",
  REGEXMATCH(C161, ""薪資""), ""薪資變動(不計入)"",
  REGEXMATCH(C161, ""押金""), ""押金往來"",
  AND(E161&lt;&gt;"""", F161=""""), ""真實支出"",
  AND(E161="""", F161&lt;&gt;""""), ""真實收入"",
  TRUE, ""其他""
)"),"真實支出")</f>
        <v>真實支出</v>
      </c>
      <c r="K161" s="270">
        <f t="shared" si="2"/>
        <v>-4970</v>
      </c>
      <c r="L161">
        <f t="shared" si="3"/>
        <v>0</v>
      </c>
    </row>
    <row r="162">
      <c r="A162" s="107">
        <f>IFERROR(__xludf.DUMMYFUNCTION("""COMPUTED_VALUE"""),45317.0)</f>
        <v>45317</v>
      </c>
      <c r="B162" t="str">
        <f>IFERROR(__xludf.DUMMYFUNCTION("""COMPUTED_VALUE"""),"心朋二代                  '")</f>
        <v>心朋二代                  '</v>
      </c>
      <c r="C162" t="str">
        <f>IFERROR(__xludf.DUMMYFUNCTION("""COMPUTED_VALUE"""),"費用 - 法律會計費用")</f>
        <v>費用 - 法律會計費用</v>
      </c>
      <c r="D162" s="270">
        <f>IFERROR(__xludf.DUMMYFUNCTION("""COMPUTED_VALUE"""),-549.0)</f>
        <v>-549</v>
      </c>
      <c r="E162" t="str">
        <f>IFERROR(__xludf.DUMMYFUNCTION("""COMPUTED_VALUE"""),"台銀籌備帳戶")</f>
        <v>台銀籌備帳戶</v>
      </c>
      <c r="H162" s="106" t="str">
        <f t="shared" si="1"/>
        <v>2024-01</v>
      </c>
      <c r="I162" s="271" t="str">
        <f>IFERROR(__xludf.DUMMYFUNCTION("""COMPUTED_VALUE"""),"貓狗企鵝")</f>
        <v>貓狗企鵝</v>
      </c>
      <c r="J162" t="str">
        <f>IFERROR(__xludf.DUMMYFUNCTION("IFS(
  AND(REGEXMATCH(E162, ""台銀籌備帳戶|玉山帳戶""), REGEXMATCH(C162, ""薪資"")), ""分潤支出"",
  AND(REGEXMATCH(E162, ""Ben帳戶|Elsa帳戶|Ben代墊|Ariel代墊|中信銀行共用""), REGEXMATCH(F162, ""Ben帳戶|Elsa帳戶|Ben代墊|Ariel代墊|中信銀行共用"")), ""內部轉帳(忽略)"",
  AND(E162&lt;&gt;"""", F162&lt;&gt;"""", NOT(REG"&amp;"EXMATCH(C162, ""薪資""))), ""內部轉帳(忽略)"",
  REGEXMATCH(C162, ""薪資""), ""薪資變動(不計入)"",
  REGEXMATCH(C162, ""押金""), ""押金往來"",
  AND(E162&lt;&gt;"""", F162=""""), ""真實支出"",
  AND(E162="""", F162&lt;&gt;""""), ""真實收入"",
  TRUE, ""其他""
)"),"真實支出")</f>
        <v>真實支出</v>
      </c>
      <c r="K162" s="270">
        <f t="shared" si="2"/>
        <v>-549</v>
      </c>
      <c r="L162">
        <f t="shared" si="3"/>
        <v>0</v>
      </c>
    </row>
    <row r="163">
      <c r="A163" s="107">
        <f>IFERROR(__xludf.DUMMYFUNCTION("""COMPUTED_VALUE"""),45320.0)</f>
        <v>45320</v>
      </c>
      <c r="B163" t="str">
        <f>IFERROR(__xludf.DUMMYFUNCTION("""COMPUTED_VALUE"""),"裝潢款代墊                '")</f>
        <v>裝潢款代墊                '</v>
      </c>
      <c r="C163" t="str">
        <f>IFERROR(__xludf.DUMMYFUNCTION("""COMPUTED_VALUE"""),"費用 - Salary 薪資")</f>
        <v>費用 - Salary 薪資</v>
      </c>
      <c r="D163" s="270">
        <f>IFERROR(__xludf.DUMMYFUNCTION("""COMPUTED_VALUE"""),-100015.0)</f>
        <v>-100015</v>
      </c>
      <c r="E163" t="str">
        <f>IFERROR(__xludf.DUMMYFUNCTION("""COMPUTED_VALUE"""),"台銀籌備帳戶")</f>
        <v>台銀籌備帳戶</v>
      </c>
      <c r="F163" t="str">
        <f>IFERROR(__xludf.DUMMYFUNCTION("""COMPUTED_VALUE"""),"Elsa帳戶")</f>
        <v>Elsa帳戶</v>
      </c>
      <c r="H163" s="106" t="str">
        <f t="shared" si="1"/>
        <v>2024-01</v>
      </c>
      <c r="I163" s="271" t="str">
        <f>IFERROR(__xludf.DUMMYFUNCTION("""COMPUTED_VALUE"""),"貓狗企鵝")</f>
        <v>貓狗企鵝</v>
      </c>
      <c r="J163" t="str">
        <f>IFERROR(__xludf.DUMMYFUNCTION("IFS(
  AND(REGEXMATCH(E163, ""台銀籌備帳戶|玉山帳戶""), REGEXMATCH(C163, ""薪資"")), ""分潤支出"",
  AND(REGEXMATCH(E163, ""Ben帳戶|Elsa帳戶|Ben代墊|Ariel代墊|中信銀行共用""), REGEXMATCH(F163, ""Ben帳戶|Elsa帳戶|Ben代墊|Ariel代墊|中信銀行共用"")), ""內部轉帳(忽略)"",
  AND(E163&lt;&gt;"""", F163&lt;&gt;"""", NOT(REG"&amp;"EXMATCH(C163, ""薪資""))), ""內部轉帳(忽略)"",
  REGEXMATCH(C163, ""薪資""), ""薪資變動(不計入)"",
  REGEXMATCH(C163, ""押金""), ""押金往來"",
  AND(E163&lt;&gt;"""", F163=""""), ""真實支出"",
  AND(E163="""", F163&lt;&gt;""""), ""真實收入"",
  TRUE, ""其他""
)"),"分潤支出")</f>
        <v>分潤支出</v>
      </c>
      <c r="K163">
        <f t="shared" si="2"/>
        <v>0</v>
      </c>
      <c r="L163">
        <f t="shared" si="3"/>
        <v>100015</v>
      </c>
    </row>
    <row r="164">
      <c r="A164" s="107">
        <f>IFERROR(__xludf.DUMMYFUNCTION("""COMPUTED_VALUE"""),45320.0)</f>
        <v>45320</v>
      </c>
      <c r="B164" t="str">
        <f>IFERROR(__xludf.DUMMYFUNCTION("""COMPUTED_VALUE"""),"裝潢款代墊                '")</f>
        <v>裝潢款代墊                '</v>
      </c>
      <c r="C164" t="str">
        <f>IFERROR(__xludf.DUMMYFUNCTION("""COMPUTED_VALUE"""),"費用 - Salary 薪資")</f>
        <v>費用 - Salary 薪資</v>
      </c>
      <c r="D164" s="270">
        <f>IFERROR(__xludf.DUMMYFUNCTION("""COMPUTED_VALUE"""),-100015.0)</f>
        <v>-100015</v>
      </c>
      <c r="E164" t="str">
        <f>IFERROR(__xludf.DUMMYFUNCTION("""COMPUTED_VALUE"""),"台銀籌備帳戶")</f>
        <v>台銀籌備帳戶</v>
      </c>
      <c r="F164" t="str">
        <f>IFERROR(__xludf.DUMMYFUNCTION("""COMPUTED_VALUE"""),"Elsa帳戶")</f>
        <v>Elsa帳戶</v>
      </c>
      <c r="H164" s="106" t="str">
        <f t="shared" si="1"/>
        <v>2024-01</v>
      </c>
      <c r="I164" s="271" t="str">
        <f>IFERROR(__xludf.DUMMYFUNCTION("""COMPUTED_VALUE"""),"貓狗企鵝")</f>
        <v>貓狗企鵝</v>
      </c>
      <c r="J164" t="str">
        <f>IFERROR(__xludf.DUMMYFUNCTION("IFS(
  AND(REGEXMATCH(E164, ""台銀籌備帳戶|玉山帳戶""), REGEXMATCH(C164, ""薪資"")), ""分潤支出"",
  AND(REGEXMATCH(E164, ""Ben帳戶|Elsa帳戶|Ben代墊|Ariel代墊|中信銀行共用""), REGEXMATCH(F164, ""Ben帳戶|Elsa帳戶|Ben代墊|Ariel代墊|中信銀行共用"")), ""內部轉帳(忽略)"",
  AND(E164&lt;&gt;"""", F164&lt;&gt;"""", NOT(REG"&amp;"EXMATCH(C164, ""薪資""))), ""內部轉帳(忽略)"",
  REGEXMATCH(C164, ""薪資""), ""薪資變動(不計入)"",
  REGEXMATCH(C164, ""押金""), ""押金往來"",
  AND(E164&lt;&gt;"""", F164=""""), ""真實支出"",
  AND(E164="""", F164&lt;&gt;""""), ""真實收入"",
  TRUE, ""其他""
)"),"分潤支出")</f>
        <v>分潤支出</v>
      </c>
      <c r="K164">
        <f t="shared" si="2"/>
        <v>0</v>
      </c>
      <c r="L164">
        <f t="shared" si="3"/>
        <v>100015</v>
      </c>
    </row>
    <row r="165">
      <c r="A165" s="107">
        <f>IFERROR(__xludf.DUMMYFUNCTION("""COMPUTED_VALUE"""),45321.0)</f>
        <v>45321</v>
      </c>
      <c r="B165" t="str">
        <f>IFERROR(__xludf.DUMMYFUNCTION("""COMPUTED_VALUE"""),"電池 馬梯")</f>
        <v>電池 馬梯</v>
      </c>
      <c r="C165" t="str">
        <f>IFERROR(__xludf.DUMMYFUNCTION("""COMPUTED_VALUE"""),"成本 - 進場前裝潢費")</f>
        <v>成本 - 進場前裝潢費</v>
      </c>
      <c r="D165" s="270">
        <f>IFERROR(__xludf.DUMMYFUNCTION("""COMPUTED_VALUE"""),-765.0)</f>
        <v>-765</v>
      </c>
      <c r="E165" t="str">
        <f>IFERROR(__xludf.DUMMYFUNCTION("""COMPUTED_VALUE"""),"Ben帳戶")</f>
        <v>Ben帳戶</v>
      </c>
      <c r="G165" t="str">
        <f>IFERROR(__xludf.DUMMYFUNCTION("""COMPUTED_VALUE"""),"哈拉對面")</f>
        <v>哈拉對面</v>
      </c>
      <c r="H165" s="106" t="str">
        <f t="shared" si="1"/>
        <v>2024-01</v>
      </c>
      <c r="I165" s="271" t="str">
        <f>IFERROR(__xludf.DUMMYFUNCTION("""COMPUTED_VALUE"""),"貓狗企鵝")</f>
        <v>貓狗企鵝</v>
      </c>
      <c r="J165" t="str">
        <f>IFERROR(__xludf.DUMMYFUNCTION("IFS(
  AND(REGEXMATCH(E165, ""台銀籌備帳戶|玉山帳戶""), REGEXMATCH(C165, ""薪資"")), ""分潤支出"",
  AND(REGEXMATCH(E165, ""Ben帳戶|Elsa帳戶|Ben代墊|Ariel代墊|中信銀行共用""), REGEXMATCH(F165, ""Ben帳戶|Elsa帳戶|Ben代墊|Ariel代墊|中信銀行共用"")), ""內部轉帳(忽略)"",
  AND(E165&lt;&gt;"""", F165&lt;&gt;"""", NOT(REG"&amp;"EXMATCH(C165, ""薪資""))), ""內部轉帳(忽略)"",
  REGEXMATCH(C165, ""薪資""), ""薪資變動(不計入)"",
  REGEXMATCH(C165, ""押金""), ""押金往來"",
  AND(E165&lt;&gt;"""", F165=""""), ""真實支出"",
  AND(E165="""", F165&lt;&gt;""""), ""真實收入"",
  TRUE, ""其他""
)"),"真實支出")</f>
        <v>真實支出</v>
      </c>
      <c r="K165" s="270">
        <f t="shared" si="2"/>
        <v>-765</v>
      </c>
      <c r="L165">
        <f t="shared" si="3"/>
        <v>0</v>
      </c>
    </row>
    <row r="166">
      <c r="A166" s="107">
        <f>IFERROR(__xludf.DUMMYFUNCTION("""COMPUTED_VALUE"""),45321.0)</f>
        <v>45321</v>
      </c>
      <c r="B166" t="str">
        <f>IFERROR(__xludf.DUMMYFUNCTION("""COMPUTED_VALUE"""),"油漆 丁")</f>
        <v>油漆 丁</v>
      </c>
      <c r="C166" t="str">
        <f>IFERROR(__xludf.DUMMYFUNCTION("""COMPUTED_VALUE"""),"成本 - 進場前裝潢費")</f>
        <v>成本 - 進場前裝潢費</v>
      </c>
      <c r="D166" s="270">
        <f>IFERROR(__xludf.DUMMYFUNCTION("""COMPUTED_VALUE"""),-4800.0)</f>
        <v>-4800</v>
      </c>
      <c r="E166" t="str">
        <f>IFERROR(__xludf.DUMMYFUNCTION("""COMPUTED_VALUE"""),"Ben帳戶")</f>
        <v>Ben帳戶</v>
      </c>
      <c r="G166" t="str">
        <f>IFERROR(__xludf.DUMMYFUNCTION("""COMPUTED_VALUE"""),"哈拉對面")</f>
        <v>哈拉對面</v>
      </c>
      <c r="H166" s="106" t="str">
        <f t="shared" si="1"/>
        <v>2024-01</v>
      </c>
      <c r="I166" s="271" t="str">
        <f>IFERROR(__xludf.DUMMYFUNCTION("""COMPUTED_VALUE"""),"貓狗企鵝")</f>
        <v>貓狗企鵝</v>
      </c>
      <c r="J166" t="str">
        <f>IFERROR(__xludf.DUMMYFUNCTION("IFS(
  AND(REGEXMATCH(E166, ""台銀籌備帳戶|玉山帳戶""), REGEXMATCH(C166, ""薪資"")), ""分潤支出"",
  AND(REGEXMATCH(E166, ""Ben帳戶|Elsa帳戶|Ben代墊|Ariel代墊|中信銀行共用""), REGEXMATCH(F166, ""Ben帳戶|Elsa帳戶|Ben代墊|Ariel代墊|中信銀行共用"")), ""內部轉帳(忽略)"",
  AND(E166&lt;&gt;"""", F166&lt;&gt;"""", NOT(REG"&amp;"EXMATCH(C166, ""薪資""))), ""內部轉帳(忽略)"",
  REGEXMATCH(C166, ""薪資""), ""薪資變動(不計入)"",
  REGEXMATCH(C166, ""押金""), ""押金往來"",
  AND(E166&lt;&gt;"""", F166=""""), ""真實支出"",
  AND(E166="""", F166&lt;&gt;""""), ""真實收入"",
  TRUE, ""其他""
)"),"真實支出")</f>
        <v>真實支出</v>
      </c>
      <c r="K166" s="270">
        <f t="shared" si="2"/>
        <v>-4800</v>
      </c>
      <c r="L166">
        <f t="shared" si="3"/>
        <v>0</v>
      </c>
    </row>
    <row r="167">
      <c r="A167" s="107">
        <f>IFERROR(__xludf.DUMMYFUNCTION("""COMPUTED_VALUE"""),45321.0)</f>
        <v>45321</v>
      </c>
      <c r="B167">
        <f>IFERROR(__xludf.DUMMYFUNCTION("""COMPUTED_VALUE"""),591.0)</f>
        <v>591</v>
      </c>
      <c r="C167" t="str">
        <f>IFERROR(__xludf.DUMMYFUNCTION("""COMPUTED_VALUE"""),"成本 - 進場前裝潢費")</f>
        <v>成本 - 進場前裝潢費</v>
      </c>
      <c r="D167" s="270">
        <f>IFERROR(__xludf.DUMMYFUNCTION("""COMPUTED_VALUE"""),-1289.0)</f>
        <v>-1289</v>
      </c>
      <c r="E167" t="str">
        <f>IFERROR(__xludf.DUMMYFUNCTION("""COMPUTED_VALUE"""),"Ben帳戶")</f>
        <v>Ben帳戶</v>
      </c>
      <c r="G167" t="str">
        <f>IFERROR(__xludf.DUMMYFUNCTION("""COMPUTED_VALUE"""),"哈拉對面")</f>
        <v>哈拉對面</v>
      </c>
      <c r="H167" s="106" t="str">
        <f t="shared" si="1"/>
        <v>2024-01</v>
      </c>
      <c r="I167" s="271" t="str">
        <f>IFERROR(__xludf.DUMMYFUNCTION("""COMPUTED_VALUE"""),"貓狗企鵝")</f>
        <v>貓狗企鵝</v>
      </c>
      <c r="J167" t="str">
        <f>IFERROR(__xludf.DUMMYFUNCTION("IFS(
  AND(REGEXMATCH(E167, ""台銀籌備帳戶|玉山帳戶""), REGEXMATCH(C167, ""薪資"")), ""分潤支出"",
  AND(REGEXMATCH(E167, ""Ben帳戶|Elsa帳戶|Ben代墊|Ariel代墊|中信銀行共用""), REGEXMATCH(F167, ""Ben帳戶|Elsa帳戶|Ben代墊|Ariel代墊|中信銀行共用"")), ""內部轉帳(忽略)"",
  AND(E167&lt;&gt;"""", F167&lt;&gt;"""", NOT(REG"&amp;"EXMATCH(C167, ""薪資""))), ""內部轉帳(忽略)"",
  REGEXMATCH(C167, ""薪資""), ""薪資變動(不計入)"",
  REGEXMATCH(C167, ""押金""), ""押金往來"",
  AND(E167&lt;&gt;"""", F167=""""), ""真實支出"",
  AND(E167="""", F167&lt;&gt;""""), ""真實收入"",
  TRUE, ""其他""
)"),"真實支出")</f>
        <v>真實支出</v>
      </c>
      <c r="K167" s="270">
        <f t="shared" si="2"/>
        <v>-1289</v>
      </c>
      <c r="L167">
        <f t="shared" si="3"/>
        <v>0</v>
      </c>
    </row>
    <row r="168">
      <c r="A168" s="107">
        <f>IFERROR(__xludf.DUMMYFUNCTION("""COMPUTED_VALUE"""),45322.0)</f>
        <v>45322</v>
      </c>
      <c r="B168" t="str">
        <f>IFERROR(__xludf.DUMMYFUNCTION("""COMPUTED_VALUE"""),"龍江229A莊美娟")</f>
        <v>龍江229A莊美娟</v>
      </c>
      <c r="C168" t="str">
        <f>IFERROR(__xludf.DUMMYFUNCTION("""COMPUTED_VALUE"""),"收入 - 租金")</f>
        <v>收入 - 租金</v>
      </c>
      <c r="D168" s="270">
        <f>IFERROR(__xludf.DUMMYFUNCTION("""COMPUTED_VALUE"""),6621.0)</f>
        <v>6621</v>
      </c>
      <c r="F168" t="str">
        <f>IFERROR(__xludf.DUMMYFUNCTION("""COMPUTED_VALUE"""),"台銀籌備帳戶")</f>
        <v>台銀籌備帳戶</v>
      </c>
      <c r="G168" t="str">
        <f>IFERROR(__xludf.DUMMYFUNCTION("""COMPUTED_VALUE"""),"龍江229")</f>
        <v>龍江229</v>
      </c>
      <c r="H168" s="106" t="str">
        <f t="shared" si="1"/>
        <v>2024-01</v>
      </c>
      <c r="I168" s="271" t="str">
        <f>IFERROR(__xludf.DUMMYFUNCTION("""COMPUTED_VALUE"""),"貓狗企鵝")</f>
        <v>貓狗企鵝</v>
      </c>
      <c r="J168" t="str">
        <f>IFERROR(__xludf.DUMMYFUNCTION("IFS(
  AND(REGEXMATCH(E168, ""台銀籌備帳戶|玉山帳戶""), REGEXMATCH(C168, ""薪資"")), ""分潤支出"",
  AND(REGEXMATCH(E168, ""Ben帳戶|Elsa帳戶|Ben代墊|Ariel代墊|中信銀行共用""), REGEXMATCH(F168, ""Ben帳戶|Elsa帳戶|Ben代墊|Ariel代墊|中信銀行共用"")), ""內部轉帳(忽略)"",
  AND(E168&lt;&gt;"""", F168&lt;&gt;"""", NOT(REG"&amp;"EXMATCH(C168, ""薪資""))), ""內部轉帳(忽略)"",
  REGEXMATCH(C168, ""薪資""), ""薪資變動(不計入)"",
  REGEXMATCH(C168, ""押金""), ""押金往來"",
  AND(E168&lt;&gt;"""", F168=""""), ""真實支出"",
  AND(E168="""", F168&lt;&gt;""""), ""真實收入"",
  TRUE, ""其他""
)"),"真實收入")</f>
        <v>真實收入</v>
      </c>
      <c r="K168" s="270">
        <f t="shared" si="2"/>
        <v>6621</v>
      </c>
      <c r="L168">
        <f t="shared" si="3"/>
        <v>0</v>
      </c>
    </row>
    <row r="169">
      <c r="A169" s="107">
        <f>IFERROR(__xludf.DUMMYFUNCTION("""COMPUTED_VALUE"""),45322.0)</f>
        <v>45322</v>
      </c>
      <c r="B169" t="str">
        <f>IFERROR(__xludf.DUMMYFUNCTION("""COMPUTED_VALUE"""),"永春四號B袁家鳳")</f>
        <v>永春四號B袁家鳳</v>
      </c>
      <c r="C169" t="str">
        <f>IFERROR(__xludf.DUMMYFUNCTION("""COMPUTED_VALUE"""),"收入 - 租金")</f>
        <v>收入 - 租金</v>
      </c>
      <c r="D169" s="270">
        <f>IFERROR(__xludf.DUMMYFUNCTION("""COMPUTED_VALUE"""),13500.0)</f>
        <v>13500</v>
      </c>
      <c r="F169" t="str">
        <f>IFERROR(__xludf.DUMMYFUNCTION("""COMPUTED_VALUE"""),"台銀籌備帳戶")</f>
        <v>台銀籌備帳戶</v>
      </c>
      <c r="G169" t="str">
        <f>IFERROR(__xludf.DUMMYFUNCTION("""COMPUTED_VALUE"""),"永春四號")</f>
        <v>永春四號</v>
      </c>
      <c r="H169" s="106" t="str">
        <f t="shared" si="1"/>
        <v>2024-01</v>
      </c>
      <c r="I169" s="271" t="str">
        <f>IFERROR(__xludf.DUMMYFUNCTION("""COMPUTED_VALUE"""),"貓狗企鵝")</f>
        <v>貓狗企鵝</v>
      </c>
      <c r="J169" t="str">
        <f>IFERROR(__xludf.DUMMYFUNCTION("IFS(
  AND(REGEXMATCH(E169, ""台銀籌備帳戶|玉山帳戶""), REGEXMATCH(C169, ""薪資"")), ""分潤支出"",
  AND(REGEXMATCH(E169, ""Ben帳戶|Elsa帳戶|Ben代墊|Ariel代墊|中信銀行共用""), REGEXMATCH(F169, ""Ben帳戶|Elsa帳戶|Ben代墊|Ariel代墊|中信銀行共用"")), ""內部轉帳(忽略)"",
  AND(E169&lt;&gt;"""", F169&lt;&gt;"""", NOT(REG"&amp;"EXMATCH(C169, ""薪資""))), ""內部轉帳(忽略)"",
  REGEXMATCH(C169, ""薪資""), ""薪資變動(不計入)"",
  REGEXMATCH(C169, ""押金""), ""押金往來"",
  AND(E169&lt;&gt;"""", F169=""""), ""真實支出"",
  AND(E169="""", F169&lt;&gt;""""), ""真實收入"",
  TRUE, ""其他""
)"),"真實收入")</f>
        <v>真實收入</v>
      </c>
      <c r="K169" s="270">
        <f t="shared" si="2"/>
        <v>13500</v>
      </c>
      <c r="L169">
        <f t="shared" si="3"/>
        <v>0</v>
      </c>
    </row>
    <row r="170">
      <c r="A170" s="107">
        <f>IFERROR(__xludf.DUMMYFUNCTION("""COMPUTED_VALUE"""),45323.0)</f>
        <v>45323</v>
      </c>
      <c r="B170" t="str">
        <f>IFERROR(__xludf.DUMMYFUNCTION("""COMPUTED_VALUE"""),"永春四號D翁政熙")</f>
        <v>永春四號D翁政熙</v>
      </c>
      <c r="C170" t="str">
        <f>IFERROR(__xludf.DUMMYFUNCTION("""COMPUTED_VALUE"""),"收入 - 租金")</f>
        <v>收入 - 租金</v>
      </c>
      <c r="D170" s="270">
        <f>IFERROR(__xludf.DUMMYFUNCTION("""COMPUTED_VALUE"""),14800.0)</f>
        <v>14800</v>
      </c>
      <c r="F170" t="str">
        <f>IFERROR(__xludf.DUMMYFUNCTION("""COMPUTED_VALUE"""),"台銀籌備帳戶")</f>
        <v>台銀籌備帳戶</v>
      </c>
      <c r="G170" t="str">
        <f>IFERROR(__xludf.DUMMYFUNCTION("""COMPUTED_VALUE"""),"永春四號")</f>
        <v>永春四號</v>
      </c>
      <c r="H170" s="106" t="str">
        <f t="shared" si="1"/>
        <v>2024-02</v>
      </c>
      <c r="I170" s="271" t="str">
        <f>IFERROR(__xludf.DUMMYFUNCTION("""COMPUTED_VALUE"""),"貓狗企鵝")</f>
        <v>貓狗企鵝</v>
      </c>
      <c r="J170" t="str">
        <f>IFERROR(__xludf.DUMMYFUNCTION("IFS(
  AND(REGEXMATCH(E170, ""台銀籌備帳戶|玉山帳戶""), REGEXMATCH(C170, ""薪資"")), ""分潤支出"",
  AND(REGEXMATCH(E170, ""Ben帳戶|Elsa帳戶|Ben代墊|Ariel代墊|中信銀行共用""), REGEXMATCH(F170, ""Ben帳戶|Elsa帳戶|Ben代墊|Ariel代墊|中信銀行共用"")), ""內部轉帳(忽略)"",
  AND(E170&lt;&gt;"""", F170&lt;&gt;"""", NOT(REG"&amp;"EXMATCH(C170, ""薪資""))), ""內部轉帳(忽略)"",
  REGEXMATCH(C170, ""薪資""), ""薪資變動(不計入)"",
  REGEXMATCH(C170, ""押金""), ""押金往來"",
  AND(E170&lt;&gt;"""", F170=""""), ""真實支出"",
  AND(E170="""", F170&lt;&gt;""""), ""真實收入"",
  TRUE, ""其他""
)"),"真實收入")</f>
        <v>真實收入</v>
      </c>
      <c r="K170" s="270">
        <f t="shared" si="2"/>
        <v>14800</v>
      </c>
      <c r="L170">
        <f t="shared" si="3"/>
        <v>0</v>
      </c>
    </row>
    <row r="171">
      <c r="A171" s="107">
        <f>IFERROR(__xludf.DUMMYFUNCTION("""COMPUTED_VALUE"""),45323.0)</f>
        <v>45323</v>
      </c>
      <c r="B171" t="str">
        <f>IFERROR(__xludf.DUMMYFUNCTION("""COMPUTED_VALUE"""),"永春郭大哥                '")</f>
        <v>永春郭大哥                '</v>
      </c>
      <c r="C171" t="str">
        <f>IFERROR(__xludf.DUMMYFUNCTION("""COMPUTED_VALUE"""),"成本 - 大租金")</f>
        <v>成本 - 大租金</v>
      </c>
      <c r="D171" s="270">
        <f>IFERROR(__xludf.DUMMYFUNCTION("""COMPUTED_VALUE"""),-17015.0)</f>
        <v>-17015</v>
      </c>
      <c r="E171" t="str">
        <f>IFERROR(__xludf.DUMMYFUNCTION("""COMPUTED_VALUE"""),"台銀籌備帳戶")</f>
        <v>台銀籌備帳戶</v>
      </c>
      <c r="G171" t="str">
        <f>IFERROR(__xludf.DUMMYFUNCTION("""COMPUTED_VALUE"""),"永春四號")</f>
        <v>永春四號</v>
      </c>
      <c r="H171" s="106" t="str">
        <f t="shared" si="1"/>
        <v>2024-02</v>
      </c>
      <c r="I171" s="271" t="str">
        <f>IFERROR(__xludf.DUMMYFUNCTION("""COMPUTED_VALUE"""),"貓狗企鵝")</f>
        <v>貓狗企鵝</v>
      </c>
      <c r="J171" t="str">
        <f>IFERROR(__xludf.DUMMYFUNCTION("IFS(
  AND(REGEXMATCH(E171, ""台銀籌備帳戶|玉山帳戶""), REGEXMATCH(C171, ""薪資"")), ""分潤支出"",
  AND(REGEXMATCH(E171, ""Ben帳戶|Elsa帳戶|Ben代墊|Ariel代墊|中信銀行共用""), REGEXMATCH(F171, ""Ben帳戶|Elsa帳戶|Ben代墊|Ariel代墊|中信銀行共用"")), ""內部轉帳(忽略)"",
  AND(E171&lt;&gt;"""", F171&lt;&gt;"""", NOT(REG"&amp;"EXMATCH(C171, ""薪資""))), ""內部轉帳(忽略)"",
  REGEXMATCH(C171, ""薪資""), ""薪資變動(不計入)"",
  REGEXMATCH(C171, ""押金""), ""押金往來"",
  AND(E171&lt;&gt;"""", F171=""""), ""真實支出"",
  AND(E171="""", F171&lt;&gt;""""), ""真實收入"",
  TRUE, ""其他""
)"),"真實支出")</f>
        <v>真實支出</v>
      </c>
      <c r="K171" s="270">
        <f t="shared" si="2"/>
        <v>-17015</v>
      </c>
      <c r="L171">
        <f t="shared" si="3"/>
        <v>0</v>
      </c>
    </row>
    <row r="172">
      <c r="A172" s="107">
        <f>IFERROR(__xludf.DUMMYFUNCTION("""COMPUTED_VALUE"""),45323.0)</f>
        <v>45323</v>
      </c>
      <c r="B172" t="str">
        <f>IFERROR(__xludf.DUMMYFUNCTION("""COMPUTED_VALUE"""),"721168****95              '")</f>
        <v>721168****95              '</v>
      </c>
      <c r="C172" t="str">
        <f>IFERROR(__xludf.DUMMYFUNCTION("""COMPUTED_VALUE"""),"成本 - 大租金")</f>
        <v>成本 - 大租金</v>
      </c>
      <c r="D172" s="270">
        <f>IFERROR(__xludf.DUMMYFUNCTION("""COMPUTED_VALUE"""),-17015.0)</f>
        <v>-17015</v>
      </c>
      <c r="E172" t="str">
        <f>IFERROR(__xludf.DUMMYFUNCTION("""COMPUTED_VALUE"""),"台銀籌備帳戶")</f>
        <v>台銀籌備帳戶</v>
      </c>
      <c r="G172" t="str">
        <f>IFERROR(__xludf.DUMMYFUNCTION("""COMPUTED_VALUE"""),"永春四號")</f>
        <v>永春四號</v>
      </c>
      <c r="H172" s="106" t="str">
        <f t="shared" si="1"/>
        <v>2024-02</v>
      </c>
      <c r="I172" s="271" t="str">
        <f>IFERROR(__xludf.DUMMYFUNCTION("""COMPUTED_VALUE"""),"貓狗企鵝")</f>
        <v>貓狗企鵝</v>
      </c>
      <c r="J172" t="str">
        <f>IFERROR(__xludf.DUMMYFUNCTION("IFS(
  AND(REGEXMATCH(E172, ""台銀籌備帳戶|玉山帳戶""), REGEXMATCH(C172, ""薪資"")), ""分潤支出"",
  AND(REGEXMATCH(E172, ""Ben帳戶|Elsa帳戶|Ben代墊|Ariel代墊|中信銀行共用""), REGEXMATCH(F172, ""Ben帳戶|Elsa帳戶|Ben代墊|Ariel代墊|中信銀行共用"")), ""內部轉帳(忽略)"",
  AND(E172&lt;&gt;"""", F172&lt;&gt;"""", NOT(REG"&amp;"EXMATCH(C172, ""薪資""))), ""內部轉帳(忽略)"",
  REGEXMATCH(C172, ""薪資""), ""薪資變動(不計入)"",
  REGEXMATCH(C172, ""押金""), ""押金往來"",
  AND(E172&lt;&gt;"""", F172=""""), ""真實支出"",
  AND(E172="""", F172&lt;&gt;""""), ""真實收入"",
  TRUE, ""其他""
)"),"真實支出")</f>
        <v>真實支出</v>
      </c>
      <c r="K172" s="270">
        <f t="shared" si="2"/>
        <v>-17015</v>
      </c>
      <c r="L172">
        <f t="shared" si="3"/>
        <v>0</v>
      </c>
    </row>
    <row r="173">
      <c r="A173" s="107">
        <f>IFERROR(__xludf.DUMMYFUNCTION("""COMPUTED_VALUE"""),45323.0)</f>
        <v>45323</v>
      </c>
      <c r="B173" t="str">
        <f>IFERROR(__xludf.DUMMYFUNCTION("""COMPUTED_VALUE"""),"佳惠的錢                  '")</f>
        <v>佳惠的錢                  '</v>
      </c>
      <c r="C173" t="str">
        <f>IFERROR(__xludf.DUMMYFUNCTION("""COMPUTED_VALUE"""),"費用 - Salary 薪資")</f>
        <v>費用 - Salary 薪資</v>
      </c>
      <c r="D173" s="270">
        <f>IFERROR(__xludf.DUMMYFUNCTION("""COMPUTED_VALUE"""),-29015.0)</f>
        <v>-29015</v>
      </c>
      <c r="E173" t="str">
        <f>IFERROR(__xludf.DUMMYFUNCTION("""COMPUTED_VALUE"""),"台銀籌備帳戶")</f>
        <v>台銀籌備帳戶</v>
      </c>
      <c r="F173" t="str">
        <f>IFERROR(__xludf.DUMMYFUNCTION("""COMPUTED_VALUE"""),"Elsa帳戶")</f>
        <v>Elsa帳戶</v>
      </c>
      <c r="H173" s="106" t="str">
        <f t="shared" si="1"/>
        <v>2024-02</v>
      </c>
      <c r="I173" s="271" t="str">
        <f>IFERROR(__xludf.DUMMYFUNCTION("""COMPUTED_VALUE"""),"貓狗企鵝")</f>
        <v>貓狗企鵝</v>
      </c>
      <c r="J173" t="str">
        <f>IFERROR(__xludf.DUMMYFUNCTION("IFS(
  AND(REGEXMATCH(E173, ""台銀籌備帳戶|玉山帳戶""), REGEXMATCH(C173, ""薪資"")), ""分潤支出"",
  AND(REGEXMATCH(E173, ""Ben帳戶|Elsa帳戶|Ben代墊|Ariel代墊|中信銀行共用""), REGEXMATCH(F173, ""Ben帳戶|Elsa帳戶|Ben代墊|Ariel代墊|中信銀行共用"")), ""內部轉帳(忽略)"",
  AND(E173&lt;&gt;"""", F173&lt;&gt;"""", NOT(REG"&amp;"EXMATCH(C173, ""薪資""))), ""內部轉帳(忽略)"",
  REGEXMATCH(C173, ""薪資""), ""薪資變動(不計入)"",
  REGEXMATCH(C173, ""押金""), ""押金往來"",
  AND(E173&lt;&gt;"""", F173=""""), ""真實支出"",
  AND(E173="""", F173&lt;&gt;""""), ""真實收入"",
  TRUE, ""其他""
)"),"分潤支出")</f>
        <v>分潤支出</v>
      </c>
      <c r="K173">
        <f t="shared" si="2"/>
        <v>0</v>
      </c>
      <c r="L173">
        <f t="shared" si="3"/>
        <v>29015</v>
      </c>
    </row>
    <row r="174">
      <c r="A174" s="107">
        <f>IFERROR(__xludf.DUMMYFUNCTION("""COMPUTED_VALUE"""),45323.0)</f>
        <v>45323</v>
      </c>
      <c r="B174" t="str">
        <f>IFERROR(__xludf.DUMMYFUNCTION("""COMPUTED_VALUE"""),"永春四號C林聿妡")</f>
        <v>永春四號C林聿妡</v>
      </c>
      <c r="C174" t="str">
        <f>IFERROR(__xludf.DUMMYFUNCTION("""COMPUTED_VALUE"""),"收入 - 租金")</f>
        <v>收入 - 租金</v>
      </c>
      <c r="D174" s="270">
        <f>IFERROR(__xludf.DUMMYFUNCTION("""COMPUTED_VALUE"""),13300.0)</f>
        <v>13300</v>
      </c>
      <c r="F174" t="str">
        <f>IFERROR(__xludf.DUMMYFUNCTION("""COMPUTED_VALUE"""),"台銀籌備帳戶")</f>
        <v>台銀籌備帳戶</v>
      </c>
      <c r="G174" t="str">
        <f>IFERROR(__xludf.DUMMYFUNCTION("""COMPUTED_VALUE"""),"永春四號")</f>
        <v>永春四號</v>
      </c>
      <c r="H174" s="106" t="str">
        <f t="shared" si="1"/>
        <v>2024-02</v>
      </c>
      <c r="I174" s="271" t="str">
        <f>IFERROR(__xludf.DUMMYFUNCTION("""COMPUTED_VALUE"""),"貓狗企鵝")</f>
        <v>貓狗企鵝</v>
      </c>
      <c r="J174" t="str">
        <f>IFERROR(__xludf.DUMMYFUNCTION("IFS(
  AND(REGEXMATCH(E174, ""台銀籌備帳戶|玉山帳戶""), REGEXMATCH(C174, ""薪資"")), ""分潤支出"",
  AND(REGEXMATCH(E174, ""Ben帳戶|Elsa帳戶|Ben代墊|Ariel代墊|中信銀行共用""), REGEXMATCH(F174, ""Ben帳戶|Elsa帳戶|Ben代墊|Ariel代墊|中信銀行共用"")), ""內部轉帳(忽略)"",
  AND(E174&lt;&gt;"""", F174&lt;&gt;"""", NOT(REG"&amp;"EXMATCH(C174, ""薪資""))), ""內部轉帳(忽略)"",
  REGEXMATCH(C174, ""薪資""), ""薪資變動(不計入)"",
  REGEXMATCH(C174, ""押金""), ""押金往來"",
  AND(E174&lt;&gt;"""", F174=""""), ""真實支出"",
  AND(E174="""", F174&lt;&gt;""""), ""真實收入"",
  TRUE, ""其他""
)"),"真實收入")</f>
        <v>真實收入</v>
      </c>
      <c r="K174" s="270">
        <f t="shared" si="2"/>
        <v>13300</v>
      </c>
      <c r="L174">
        <f t="shared" si="3"/>
        <v>0</v>
      </c>
    </row>
    <row r="175">
      <c r="A175" s="107">
        <f>IFERROR(__xludf.DUMMYFUNCTION("""COMPUTED_VALUE"""),45323.0)</f>
        <v>45323</v>
      </c>
      <c r="B175" t="str">
        <f>IFERROR(__xludf.DUMMYFUNCTION("""COMPUTED_VALUE"""),"地板林義忠                '")</f>
        <v>地板林義忠                '</v>
      </c>
      <c r="C175" t="str">
        <f>IFERROR(__xludf.DUMMYFUNCTION("""COMPUTED_VALUE"""),"成本 - 進場前裝潢費")</f>
        <v>成本 - 進場前裝潢費</v>
      </c>
      <c r="D175" s="270">
        <f>IFERROR(__xludf.DUMMYFUNCTION("""COMPUTED_VALUE"""),-17844.0)</f>
        <v>-17844</v>
      </c>
      <c r="E175" t="str">
        <f>IFERROR(__xludf.DUMMYFUNCTION("""COMPUTED_VALUE"""),"台銀籌備帳戶")</f>
        <v>台銀籌備帳戶</v>
      </c>
      <c r="G175" t="str">
        <f>IFERROR(__xludf.DUMMYFUNCTION("""COMPUTED_VALUE"""),"龍江229")</f>
        <v>龍江229</v>
      </c>
      <c r="H175" s="106" t="str">
        <f t="shared" si="1"/>
        <v>2024-02</v>
      </c>
      <c r="I175" s="271" t="str">
        <f>IFERROR(__xludf.DUMMYFUNCTION("""COMPUTED_VALUE"""),"貓狗企鵝")</f>
        <v>貓狗企鵝</v>
      </c>
      <c r="J175" t="str">
        <f>IFERROR(__xludf.DUMMYFUNCTION("IFS(
  AND(REGEXMATCH(E175, ""台銀籌備帳戶|玉山帳戶""), REGEXMATCH(C175, ""薪資"")), ""分潤支出"",
  AND(REGEXMATCH(E175, ""Ben帳戶|Elsa帳戶|Ben代墊|Ariel代墊|中信銀行共用""), REGEXMATCH(F175, ""Ben帳戶|Elsa帳戶|Ben代墊|Ariel代墊|中信銀行共用"")), ""內部轉帳(忽略)"",
  AND(E175&lt;&gt;"""", F175&lt;&gt;"""", NOT(REG"&amp;"EXMATCH(C175, ""薪資""))), ""內部轉帳(忽略)"",
  REGEXMATCH(C175, ""薪資""), ""薪資變動(不計入)"",
  REGEXMATCH(C175, ""押金""), ""押金往來"",
  AND(E175&lt;&gt;"""", F175=""""), ""真實支出"",
  AND(E175="""", F175&lt;&gt;""""), ""真實收入"",
  TRUE, ""其他""
)"),"真實支出")</f>
        <v>真實支出</v>
      </c>
      <c r="K175" s="270">
        <f t="shared" si="2"/>
        <v>-17844</v>
      </c>
      <c r="L175">
        <f t="shared" si="3"/>
        <v>0</v>
      </c>
    </row>
    <row r="176">
      <c r="A176" s="107">
        <f>IFERROR(__xludf.DUMMYFUNCTION("""COMPUTED_VALUE"""),45323.0)</f>
        <v>45323</v>
      </c>
      <c r="B176" t="str">
        <f>IFERROR(__xludf.DUMMYFUNCTION("""COMPUTED_VALUE"""),"龍江229D黃依婷")</f>
        <v>龍江229D黃依婷</v>
      </c>
      <c r="C176" t="str">
        <f>IFERROR(__xludf.DUMMYFUNCTION("""COMPUTED_VALUE"""),"收入 - 租金")</f>
        <v>收入 - 租金</v>
      </c>
      <c r="D176" s="270">
        <f>IFERROR(__xludf.DUMMYFUNCTION("""COMPUTED_VALUE"""),13300.0)</f>
        <v>13300</v>
      </c>
      <c r="F176" t="str">
        <f>IFERROR(__xludf.DUMMYFUNCTION("""COMPUTED_VALUE"""),"台銀籌備帳戶")</f>
        <v>台銀籌備帳戶</v>
      </c>
      <c r="G176" t="str">
        <f>IFERROR(__xludf.DUMMYFUNCTION("""COMPUTED_VALUE"""),"龍江229")</f>
        <v>龍江229</v>
      </c>
      <c r="H176" s="106" t="str">
        <f t="shared" si="1"/>
        <v>2024-02</v>
      </c>
      <c r="I176" s="271" t="str">
        <f>IFERROR(__xludf.DUMMYFUNCTION("""COMPUTED_VALUE"""),"貓狗企鵝")</f>
        <v>貓狗企鵝</v>
      </c>
      <c r="J176" t="str">
        <f>IFERROR(__xludf.DUMMYFUNCTION("IFS(
  AND(REGEXMATCH(E176, ""台銀籌備帳戶|玉山帳戶""), REGEXMATCH(C176, ""薪資"")), ""分潤支出"",
  AND(REGEXMATCH(E176, ""Ben帳戶|Elsa帳戶|Ben代墊|Ariel代墊|中信銀行共用""), REGEXMATCH(F176, ""Ben帳戶|Elsa帳戶|Ben代墊|Ariel代墊|中信銀行共用"")), ""內部轉帳(忽略)"",
  AND(E176&lt;&gt;"""", F176&lt;&gt;"""", NOT(REG"&amp;"EXMATCH(C176, ""薪資""))), ""內部轉帳(忽略)"",
  REGEXMATCH(C176, ""薪資""), ""薪資變動(不計入)"",
  REGEXMATCH(C176, ""押金""), ""押金往來"",
  AND(E176&lt;&gt;"""", F176=""""), ""真實支出"",
  AND(E176="""", F176&lt;&gt;""""), ""真實收入"",
  TRUE, ""其他""
)"),"真實收入")</f>
        <v>真實收入</v>
      </c>
      <c r="K176" s="270">
        <f t="shared" si="2"/>
        <v>13300</v>
      </c>
      <c r="L176">
        <f t="shared" si="3"/>
        <v>0</v>
      </c>
    </row>
    <row r="177">
      <c r="A177" s="107">
        <f>IFERROR(__xludf.DUMMYFUNCTION("""COMPUTED_VALUE"""),45324.0)</f>
        <v>45324</v>
      </c>
      <c r="B177" t="str">
        <f>IFERROR(__xludf.DUMMYFUNCTION("""COMPUTED_VALUE"""),"龍江229E李茂生")</f>
        <v>龍江229E李茂生</v>
      </c>
      <c r="C177" t="str">
        <f>IFERROR(__xludf.DUMMYFUNCTION("""COMPUTED_VALUE"""),"收入 - 租金")</f>
        <v>收入 - 租金</v>
      </c>
      <c r="D177" s="270">
        <f>IFERROR(__xludf.DUMMYFUNCTION("""COMPUTED_VALUE"""),12500.0)</f>
        <v>12500</v>
      </c>
      <c r="F177" t="str">
        <f>IFERROR(__xludf.DUMMYFUNCTION("""COMPUTED_VALUE"""),"台銀籌備帳戶")</f>
        <v>台銀籌備帳戶</v>
      </c>
      <c r="G177" t="str">
        <f>IFERROR(__xludf.DUMMYFUNCTION("""COMPUTED_VALUE"""),"龍江229")</f>
        <v>龍江229</v>
      </c>
      <c r="H177" s="106" t="str">
        <f t="shared" si="1"/>
        <v>2024-02</v>
      </c>
      <c r="I177" s="271" t="str">
        <f>IFERROR(__xludf.DUMMYFUNCTION("""COMPUTED_VALUE"""),"貓狗企鵝")</f>
        <v>貓狗企鵝</v>
      </c>
      <c r="J177" t="str">
        <f>IFERROR(__xludf.DUMMYFUNCTION("IFS(
  AND(REGEXMATCH(E177, ""台銀籌備帳戶|玉山帳戶""), REGEXMATCH(C177, ""薪資"")), ""分潤支出"",
  AND(REGEXMATCH(E177, ""Ben帳戶|Elsa帳戶|Ben代墊|Ariel代墊|中信銀行共用""), REGEXMATCH(F177, ""Ben帳戶|Elsa帳戶|Ben代墊|Ariel代墊|中信銀行共用"")), ""內部轉帳(忽略)"",
  AND(E177&lt;&gt;"""", F177&lt;&gt;"""", NOT(REG"&amp;"EXMATCH(C177, ""薪資""))), ""內部轉帳(忽略)"",
  REGEXMATCH(C177, ""薪資""), ""薪資變動(不計入)"",
  REGEXMATCH(C177, ""押金""), ""押金往來"",
  AND(E177&lt;&gt;"""", F177=""""), ""真實支出"",
  AND(E177="""", F177&lt;&gt;""""), ""真實收入"",
  TRUE, ""其他""
)"),"真實收入")</f>
        <v>真實收入</v>
      </c>
      <c r="K177" s="270">
        <f t="shared" si="2"/>
        <v>12500</v>
      </c>
      <c r="L177">
        <f t="shared" si="3"/>
        <v>0</v>
      </c>
    </row>
    <row r="178">
      <c r="A178" s="107">
        <f>IFERROR(__xludf.DUMMYFUNCTION("""COMPUTED_VALUE"""),45324.0)</f>
        <v>45324</v>
      </c>
      <c r="B178" t="str">
        <f>IFERROR(__xludf.DUMMYFUNCTION("""COMPUTED_VALUE"""),"水電                      '")</f>
        <v>水電                      '</v>
      </c>
      <c r="C178" t="str">
        <f>IFERROR(__xludf.DUMMYFUNCTION("""COMPUTED_VALUE"""),"成本 - 進場前裝潢費")</f>
        <v>成本 - 進場前裝潢費</v>
      </c>
      <c r="D178" s="270">
        <f>IFERROR(__xludf.DUMMYFUNCTION("""COMPUTED_VALUE"""),-40555.0)</f>
        <v>-40555</v>
      </c>
      <c r="E178" t="str">
        <f>IFERROR(__xludf.DUMMYFUNCTION("""COMPUTED_VALUE"""),"台銀籌備帳戶")</f>
        <v>台銀籌備帳戶</v>
      </c>
      <c r="G178" t="str">
        <f>IFERROR(__xludf.DUMMYFUNCTION("""COMPUTED_VALUE"""),"哈拉對面")</f>
        <v>哈拉對面</v>
      </c>
      <c r="H178" s="106" t="str">
        <f t="shared" si="1"/>
        <v>2024-02</v>
      </c>
      <c r="I178" s="271" t="str">
        <f>IFERROR(__xludf.DUMMYFUNCTION("""COMPUTED_VALUE"""),"貓狗企鵝")</f>
        <v>貓狗企鵝</v>
      </c>
      <c r="J178" t="str">
        <f>IFERROR(__xludf.DUMMYFUNCTION("IFS(
  AND(REGEXMATCH(E178, ""台銀籌備帳戶|玉山帳戶""), REGEXMATCH(C178, ""薪資"")), ""分潤支出"",
  AND(REGEXMATCH(E178, ""Ben帳戶|Elsa帳戶|Ben代墊|Ariel代墊|中信銀行共用""), REGEXMATCH(F178, ""Ben帳戶|Elsa帳戶|Ben代墊|Ariel代墊|中信銀行共用"")), ""內部轉帳(忽略)"",
  AND(E178&lt;&gt;"""", F178&lt;&gt;"""", NOT(REG"&amp;"EXMATCH(C178, ""薪資""))), ""內部轉帳(忽略)"",
  REGEXMATCH(C178, ""薪資""), ""薪資變動(不計入)"",
  REGEXMATCH(C178, ""押金""), ""押金往來"",
  AND(E178&lt;&gt;"""", F178=""""), ""真實支出"",
  AND(E178="""", F178&lt;&gt;""""), ""真實收入"",
  TRUE, ""其他""
)"),"真實支出")</f>
        <v>真實支出</v>
      </c>
      <c r="K178" s="270">
        <f t="shared" si="2"/>
        <v>-40555</v>
      </c>
      <c r="L178">
        <f t="shared" si="3"/>
        <v>0</v>
      </c>
    </row>
    <row r="179">
      <c r="A179" s="107">
        <f>IFERROR(__xludf.DUMMYFUNCTION("""COMPUTED_VALUE"""),45325.0)</f>
        <v>45325</v>
      </c>
      <c r="B179" t="str">
        <f>IFERROR(__xludf.DUMMYFUNCTION("""COMPUTED_VALUE"""),"龍江229B陳佩娟")</f>
        <v>龍江229B陳佩娟</v>
      </c>
      <c r="C179" t="str">
        <f>IFERROR(__xludf.DUMMYFUNCTION("""COMPUTED_VALUE"""),"收入 - 租金")</f>
        <v>收入 - 租金</v>
      </c>
      <c r="D179" s="270">
        <f>IFERROR(__xludf.DUMMYFUNCTION("""COMPUTED_VALUE"""),4931.0)</f>
        <v>4931</v>
      </c>
      <c r="F179" t="str">
        <f>IFERROR(__xludf.DUMMYFUNCTION("""COMPUTED_VALUE"""),"台銀籌備帳戶")</f>
        <v>台銀籌備帳戶</v>
      </c>
      <c r="G179" t="str">
        <f>IFERROR(__xludf.DUMMYFUNCTION("""COMPUTED_VALUE"""),"龍江229")</f>
        <v>龍江229</v>
      </c>
      <c r="H179" s="106" t="str">
        <f t="shared" si="1"/>
        <v>2024-02</v>
      </c>
      <c r="I179" s="271" t="str">
        <f>IFERROR(__xludf.DUMMYFUNCTION("""COMPUTED_VALUE"""),"貓狗企鵝")</f>
        <v>貓狗企鵝</v>
      </c>
      <c r="J179" t="str">
        <f>IFERROR(__xludf.DUMMYFUNCTION("IFS(
  AND(REGEXMATCH(E179, ""台銀籌備帳戶|玉山帳戶""), REGEXMATCH(C179, ""薪資"")), ""分潤支出"",
  AND(REGEXMATCH(E179, ""Ben帳戶|Elsa帳戶|Ben代墊|Ariel代墊|中信銀行共用""), REGEXMATCH(F179, ""Ben帳戶|Elsa帳戶|Ben代墊|Ariel代墊|中信銀行共用"")), ""內部轉帳(忽略)"",
  AND(E179&lt;&gt;"""", F179&lt;&gt;"""", NOT(REG"&amp;"EXMATCH(C179, ""薪資""))), ""內部轉帳(忽略)"",
  REGEXMATCH(C179, ""薪資""), ""薪資變動(不計入)"",
  REGEXMATCH(C179, ""押金""), ""押金往來"",
  AND(E179&lt;&gt;"""", F179=""""), ""真實支出"",
  AND(E179="""", F179&lt;&gt;""""), ""真實收入"",
  TRUE, ""其他""
)"),"真實收入")</f>
        <v>真實收入</v>
      </c>
      <c r="K179" s="270">
        <f t="shared" si="2"/>
        <v>4931</v>
      </c>
      <c r="L179">
        <f t="shared" si="3"/>
        <v>0</v>
      </c>
    </row>
    <row r="180">
      <c r="A180" s="107">
        <f>IFERROR(__xludf.DUMMYFUNCTION("""COMPUTED_VALUE"""),45326.0)</f>
        <v>45326</v>
      </c>
      <c r="B180" t="str">
        <f>IFERROR(__xludf.DUMMYFUNCTION("""COMPUTED_VALUE"""),"哈拉對面B定金")</f>
        <v>哈拉對面B定金</v>
      </c>
      <c r="C180" t="str">
        <f>IFERROR(__xludf.DUMMYFUNCTION("""COMPUTED_VALUE"""),"收入 - 租金")</f>
        <v>收入 - 租金</v>
      </c>
      <c r="D180" s="270">
        <f>IFERROR(__xludf.DUMMYFUNCTION("""COMPUTED_VALUE"""),5000.0)</f>
        <v>5000</v>
      </c>
      <c r="F180" t="str">
        <f>IFERROR(__xludf.DUMMYFUNCTION("""COMPUTED_VALUE"""),"台銀籌備帳戶")</f>
        <v>台銀籌備帳戶</v>
      </c>
      <c r="G180" t="str">
        <f>IFERROR(__xludf.DUMMYFUNCTION("""COMPUTED_VALUE"""),"哈拉對面")</f>
        <v>哈拉對面</v>
      </c>
      <c r="H180" s="106" t="str">
        <f t="shared" si="1"/>
        <v>2024-02</v>
      </c>
      <c r="I180" s="271" t="str">
        <f>IFERROR(__xludf.DUMMYFUNCTION("""COMPUTED_VALUE"""),"貓狗企鵝")</f>
        <v>貓狗企鵝</v>
      </c>
      <c r="J180" t="str">
        <f>IFERROR(__xludf.DUMMYFUNCTION("IFS(
  AND(REGEXMATCH(E180, ""台銀籌備帳戶|玉山帳戶""), REGEXMATCH(C180, ""薪資"")), ""分潤支出"",
  AND(REGEXMATCH(E180, ""Ben帳戶|Elsa帳戶|Ben代墊|Ariel代墊|中信銀行共用""), REGEXMATCH(F180, ""Ben帳戶|Elsa帳戶|Ben代墊|Ariel代墊|中信銀行共用"")), ""內部轉帳(忽略)"",
  AND(E180&lt;&gt;"""", F180&lt;&gt;"""", NOT(REG"&amp;"EXMATCH(C180, ""薪資""))), ""內部轉帳(忽略)"",
  REGEXMATCH(C180, ""薪資""), ""薪資變動(不計入)"",
  REGEXMATCH(C180, ""押金""), ""押金往來"",
  AND(E180&lt;&gt;"""", F180=""""), ""真實支出"",
  AND(E180="""", F180&lt;&gt;""""), ""真實收入"",
  TRUE, ""其他""
)"),"真實收入")</f>
        <v>真實收入</v>
      </c>
      <c r="K180" s="270">
        <f t="shared" si="2"/>
        <v>5000</v>
      </c>
      <c r="L180">
        <f t="shared" si="3"/>
        <v>0</v>
      </c>
    </row>
    <row r="181">
      <c r="A181" s="107">
        <f>IFERROR(__xludf.DUMMYFUNCTION("""COMPUTED_VALUE"""),45326.0)</f>
        <v>45326</v>
      </c>
      <c r="B181" t="str">
        <f>IFERROR(__xludf.DUMMYFUNCTION("""COMPUTED_VALUE"""),"哈拉對面B定金")</f>
        <v>哈拉對面B定金</v>
      </c>
      <c r="C181" t="str">
        <f>IFERROR(__xludf.DUMMYFUNCTION("""COMPUTED_VALUE"""),"收入 - 租金")</f>
        <v>收入 - 租金</v>
      </c>
      <c r="D181" s="270">
        <f>IFERROR(__xludf.DUMMYFUNCTION("""COMPUTED_VALUE"""),5000.0)</f>
        <v>5000</v>
      </c>
      <c r="F181" t="str">
        <f>IFERROR(__xludf.DUMMYFUNCTION("""COMPUTED_VALUE"""),"台銀籌備帳戶")</f>
        <v>台銀籌備帳戶</v>
      </c>
      <c r="G181" t="str">
        <f>IFERROR(__xludf.DUMMYFUNCTION("""COMPUTED_VALUE"""),"哈拉對面")</f>
        <v>哈拉對面</v>
      </c>
      <c r="H181" s="106" t="str">
        <f t="shared" si="1"/>
        <v>2024-02</v>
      </c>
      <c r="I181" s="271" t="str">
        <f>IFERROR(__xludf.DUMMYFUNCTION("""COMPUTED_VALUE"""),"貓狗企鵝")</f>
        <v>貓狗企鵝</v>
      </c>
      <c r="J181" t="str">
        <f>IFERROR(__xludf.DUMMYFUNCTION("IFS(
  AND(REGEXMATCH(E181, ""台銀籌備帳戶|玉山帳戶""), REGEXMATCH(C181, ""薪資"")), ""分潤支出"",
  AND(REGEXMATCH(E181, ""Ben帳戶|Elsa帳戶|Ben代墊|Ariel代墊|中信銀行共用""), REGEXMATCH(F181, ""Ben帳戶|Elsa帳戶|Ben代墊|Ariel代墊|中信銀行共用"")), ""內部轉帳(忽略)"",
  AND(E181&lt;&gt;"""", F181&lt;&gt;"""", NOT(REG"&amp;"EXMATCH(C181, ""薪資""))), ""內部轉帳(忽略)"",
  REGEXMATCH(C181, ""薪資""), ""薪資變動(不計入)"",
  REGEXMATCH(C181, ""押金""), ""押金往來"",
  AND(E181&lt;&gt;"""", F181=""""), ""真實支出"",
  AND(E181="""", F181&lt;&gt;""""), ""真實收入"",
  TRUE, ""其他""
)"),"真實收入")</f>
        <v>真實收入</v>
      </c>
      <c r="K181" s="270">
        <f t="shared" si="2"/>
        <v>5000</v>
      </c>
      <c r="L181">
        <f t="shared" si="3"/>
        <v>0</v>
      </c>
    </row>
    <row r="182">
      <c r="A182" s="107">
        <f>IFERROR(__xludf.DUMMYFUNCTION("""COMPUTED_VALUE"""),45332.0)</f>
        <v>45332</v>
      </c>
      <c r="B182" t="str">
        <f>IFERROR(__xludf.DUMMYFUNCTION("""COMPUTED_VALUE"""),"點點簽(電子合約)")</f>
        <v>點點簽(電子合約)</v>
      </c>
      <c r="C182" t="str">
        <f>IFERROR(__xludf.DUMMYFUNCTION("""COMPUTED_VALUE"""),"費用 - 法律會計費用")</f>
        <v>費用 - 法律會計費用</v>
      </c>
      <c r="D182" s="270">
        <f>IFERROR(__xludf.DUMMYFUNCTION("""COMPUTED_VALUE"""),-3019.0)</f>
        <v>-3019</v>
      </c>
      <c r="E182" t="str">
        <f>IFERROR(__xludf.DUMMYFUNCTION("""COMPUTED_VALUE"""),"Ben帳戶")</f>
        <v>Ben帳戶</v>
      </c>
      <c r="H182" s="106" t="str">
        <f t="shared" si="1"/>
        <v>2024-02</v>
      </c>
      <c r="I182" s="271" t="str">
        <f>IFERROR(__xludf.DUMMYFUNCTION("""COMPUTED_VALUE"""),"貓狗企鵝")</f>
        <v>貓狗企鵝</v>
      </c>
      <c r="J182" t="str">
        <f>IFERROR(__xludf.DUMMYFUNCTION("IFS(
  AND(REGEXMATCH(E182, ""台銀籌備帳戶|玉山帳戶""), REGEXMATCH(C182, ""薪資"")), ""分潤支出"",
  AND(REGEXMATCH(E182, ""Ben帳戶|Elsa帳戶|Ben代墊|Ariel代墊|中信銀行共用""), REGEXMATCH(F182, ""Ben帳戶|Elsa帳戶|Ben代墊|Ariel代墊|中信銀行共用"")), ""內部轉帳(忽略)"",
  AND(E182&lt;&gt;"""", F182&lt;&gt;"""", NOT(REG"&amp;"EXMATCH(C182, ""薪資""))), ""內部轉帳(忽略)"",
  REGEXMATCH(C182, ""薪資""), ""薪資變動(不計入)"",
  REGEXMATCH(C182, ""押金""), ""押金往來"",
  AND(E182&lt;&gt;"""", F182=""""), ""真實支出"",
  AND(E182="""", F182&lt;&gt;""""), ""真實收入"",
  TRUE, ""其他""
)"),"真實支出")</f>
        <v>真實支出</v>
      </c>
      <c r="K182" s="270">
        <f t="shared" si="2"/>
        <v>-3019</v>
      </c>
      <c r="L182">
        <f t="shared" si="3"/>
        <v>0</v>
      </c>
    </row>
    <row r="183">
      <c r="A183" s="107">
        <f>IFERROR(__xludf.DUMMYFUNCTION("""COMPUTED_VALUE"""),45335.0)</f>
        <v>45335</v>
      </c>
      <c r="B183" t="str">
        <f>IFERROR(__xludf.DUMMYFUNCTION("""COMPUTED_VALUE"""),"循環扇芳香劑")</f>
        <v>循環扇芳香劑</v>
      </c>
      <c r="C183" t="str">
        <f>IFERROR(__xludf.DUMMYFUNCTION("""COMPUTED_VALUE"""),"成本 - 進場前裝潢費")</f>
        <v>成本 - 進場前裝潢費</v>
      </c>
      <c r="D183" s="270">
        <f>IFERROR(__xludf.DUMMYFUNCTION("""COMPUTED_VALUE"""),-2100.0)</f>
        <v>-2100</v>
      </c>
      <c r="E183" t="str">
        <f>IFERROR(__xludf.DUMMYFUNCTION("""COMPUTED_VALUE"""),"Ben帳戶")</f>
        <v>Ben帳戶</v>
      </c>
      <c r="G183" t="str">
        <f>IFERROR(__xludf.DUMMYFUNCTION("""COMPUTED_VALUE"""),"哈拉對面")</f>
        <v>哈拉對面</v>
      </c>
      <c r="H183" s="106" t="str">
        <f t="shared" si="1"/>
        <v>2024-02</v>
      </c>
      <c r="I183" s="271" t="str">
        <f>IFERROR(__xludf.DUMMYFUNCTION("""COMPUTED_VALUE"""),"貓狗企鵝")</f>
        <v>貓狗企鵝</v>
      </c>
      <c r="J183" t="str">
        <f>IFERROR(__xludf.DUMMYFUNCTION("IFS(
  AND(REGEXMATCH(E183, ""台銀籌備帳戶|玉山帳戶""), REGEXMATCH(C183, ""薪資"")), ""分潤支出"",
  AND(REGEXMATCH(E183, ""Ben帳戶|Elsa帳戶|Ben代墊|Ariel代墊|中信銀行共用""), REGEXMATCH(F183, ""Ben帳戶|Elsa帳戶|Ben代墊|Ariel代墊|中信銀行共用"")), ""內部轉帳(忽略)"",
  AND(E183&lt;&gt;"""", F183&lt;&gt;"""", NOT(REG"&amp;"EXMATCH(C183, ""薪資""))), ""內部轉帳(忽略)"",
  REGEXMATCH(C183, ""薪資""), ""薪資變動(不計入)"",
  REGEXMATCH(C183, ""押金""), ""押金往來"",
  AND(E183&lt;&gt;"""", F183=""""), ""真實支出"",
  AND(E183="""", F183&lt;&gt;""""), ""真實收入"",
  TRUE, ""其他""
)"),"真實支出")</f>
        <v>真實支出</v>
      </c>
      <c r="K183" s="270">
        <f t="shared" si="2"/>
        <v>-2100</v>
      </c>
      <c r="L183">
        <f t="shared" si="3"/>
        <v>0</v>
      </c>
    </row>
    <row r="184">
      <c r="A184" s="107">
        <f>IFERROR(__xludf.DUMMYFUNCTION("""COMPUTED_VALUE"""),45335.0)</f>
        <v>45335</v>
      </c>
      <c r="B184" t="str">
        <f>IFERROR(__xludf.DUMMYFUNCTION("""COMPUTED_VALUE"""),"哈拉對面B 1租 70589")</f>
        <v>哈拉對面B 1租 70589</v>
      </c>
      <c r="C184" t="str">
        <f>IFERROR(__xludf.DUMMYFUNCTION("""COMPUTED_VALUE"""),"收入 - 租金")</f>
        <v>收入 - 租金</v>
      </c>
      <c r="D184" s="270">
        <f>IFERROR(__xludf.DUMMYFUNCTION("""COMPUTED_VALUE"""),6100.0)</f>
        <v>6100</v>
      </c>
      <c r="F184" t="str">
        <f>IFERROR(__xludf.DUMMYFUNCTION("""COMPUTED_VALUE"""),"台銀籌備帳戶")</f>
        <v>台銀籌備帳戶</v>
      </c>
      <c r="G184" t="str">
        <f>IFERROR(__xludf.DUMMYFUNCTION("""COMPUTED_VALUE"""),"哈拉對面")</f>
        <v>哈拉對面</v>
      </c>
      <c r="H184" s="106" t="str">
        <f t="shared" si="1"/>
        <v>2024-02</v>
      </c>
      <c r="I184" s="271" t="str">
        <f>IFERROR(__xludf.DUMMYFUNCTION("""COMPUTED_VALUE"""),"貓狗企鵝")</f>
        <v>貓狗企鵝</v>
      </c>
      <c r="J184" t="str">
        <f>IFERROR(__xludf.DUMMYFUNCTION("IFS(
  AND(REGEXMATCH(E184, ""台銀籌備帳戶|玉山帳戶""), REGEXMATCH(C184, ""薪資"")), ""分潤支出"",
  AND(REGEXMATCH(E184, ""Ben帳戶|Elsa帳戶|Ben代墊|Ariel代墊|中信銀行共用""), REGEXMATCH(F184, ""Ben帳戶|Elsa帳戶|Ben代墊|Ariel代墊|中信銀行共用"")), ""內部轉帳(忽略)"",
  AND(E184&lt;&gt;"""", F184&lt;&gt;"""", NOT(REG"&amp;"EXMATCH(C184, ""薪資""))), ""內部轉帳(忽略)"",
  REGEXMATCH(C184, ""薪資""), ""薪資變動(不計入)"",
  REGEXMATCH(C184, ""押金""), ""押金往來"",
  AND(E184&lt;&gt;"""", F184=""""), ""真實支出"",
  AND(E184="""", F184&lt;&gt;""""), ""真實收入"",
  TRUE, ""其他""
)"),"真實收入")</f>
        <v>真實收入</v>
      </c>
      <c r="K184" s="270">
        <f t="shared" si="2"/>
        <v>6100</v>
      </c>
      <c r="L184">
        <f t="shared" si="3"/>
        <v>0</v>
      </c>
    </row>
    <row r="185">
      <c r="A185" s="107">
        <f>IFERROR(__xludf.DUMMYFUNCTION("""COMPUTED_VALUE"""),45335.0)</f>
        <v>45335</v>
      </c>
      <c r="B185" t="str">
        <f>IFERROR(__xludf.DUMMYFUNCTION("""COMPUTED_VALUE"""),"哈拉對面B 2押 84412")</f>
        <v>哈拉對面B 2押 84412</v>
      </c>
      <c r="C185" t="str">
        <f>IFERROR(__xludf.DUMMYFUNCTION("""COMPUTED_VALUE"""),"收入 - 押金")</f>
        <v>收入 - 押金</v>
      </c>
      <c r="D185" s="270">
        <f>IFERROR(__xludf.DUMMYFUNCTION("""COMPUTED_VALUE"""),38200.0)</f>
        <v>38200</v>
      </c>
      <c r="F185" t="str">
        <f>IFERROR(__xludf.DUMMYFUNCTION("""COMPUTED_VALUE"""),"台銀籌備帳戶")</f>
        <v>台銀籌備帳戶</v>
      </c>
      <c r="G185" t="str">
        <f>IFERROR(__xludf.DUMMYFUNCTION("""COMPUTED_VALUE"""),"哈拉對面")</f>
        <v>哈拉對面</v>
      </c>
      <c r="H185" s="106" t="str">
        <f t="shared" si="1"/>
        <v>2024-02</v>
      </c>
      <c r="I185" s="271" t="str">
        <f>IFERROR(__xludf.DUMMYFUNCTION("""COMPUTED_VALUE"""),"貓狗企鵝")</f>
        <v>貓狗企鵝</v>
      </c>
      <c r="J185" t="str">
        <f>IFERROR(__xludf.DUMMYFUNCTION("IFS(
  AND(REGEXMATCH(E185, ""台銀籌備帳戶|玉山帳戶""), REGEXMATCH(C185, ""薪資"")), ""分潤支出"",
  AND(REGEXMATCH(E185, ""Ben帳戶|Elsa帳戶|Ben代墊|Ariel代墊|中信銀行共用""), REGEXMATCH(F185, ""Ben帳戶|Elsa帳戶|Ben代墊|Ariel代墊|中信銀行共用"")), ""內部轉帳(忽略)"",
  AND(E185&lt;&gt;"""", F185&lt;&gt;"""", NOT(REG"&amp;"EXMATCH(C185, ""薪資""))), ""內部轉帳(忽略)"",
  REGEXMATCH(C185, ""薪資""), ""薪資變動(不計入)"",
  REGEXMATCH(C185, ""押金""), ""押金往來"",
  AND(E185&lt;&gt;"""", F185=""""), ""真實支出"",
  AND(E185="""", F185&lt;&gt;""""), ""真實收入"",
  TRUE, ""其他""
)"),"押金往來")</f>
        <v>押金往來</v>
      </c>
      <c r="K185">
        <f t="shared" si="2"/>
        <v>0</v>
      </c>
      <c r="L185">
        <f t="shared" si="3"/>
        <v>0</v>
      </c>
    </row>
    <row r="186">
      <c r="A186" s="107">
        <f>IFERROR(__xludf.DUMMYFUNCTION("""COMPUTED_VALUE"""),45340.0)</f>
        <v>45340</v>
      </c>
      <c r="B186" t="str">
        <f>IFERROR(__xludf.DUMMYFUNCTION("""COMPUTED_VALUE"""),"Lalamove")</f>
        <v>Lalamove</v>
      </c>
      <c r="C186" t="str">
        <f>IFERROR(__xludf.DUMMYFUNCTION("""COMPUTED_VALUE"""),"成本 - 進場前裝潢費")</f>
        <v>成本 - 進場前裝潢費</v>
      </c>
      <c r="D186" s="270">
        <f>IFERROR(__xludf.DUMMYFUNCTION("""COMPUTED_VALUE"""),-264.0)</f>
        <v>-264</v>
      </c>
      <c r="E186" t="str">
        <f>IFERROR(__xludf.DUMMYFUNCTION("""COMPUTED_VALUE"""),"Ben帳戶")</f>
        <v>Ben帳戶</v>
      </c>
      <c r="G186" t="str">
        <f>IFERROR(__xludf.DUMMYFUNCTION("""COMPUTED_VALUE"""),"北醫醫師府")</f>
        <v>北醫醫師府</v>
      </c>
      <c r="H186" s="106" t="str">
        <f t="shared" si="1"/>
        <v>2024-02</v>
      </c>
      <c r="I186" s="271" t="str">
        <f>IFERROR(__xludf.DUMMYFUNCTION("""COMPUTED_VALUE"""),"貓狗企鵝")</f>
        <v>貓狗企鵝</v>
      </c>
      <c r="J186" t="str">
        <f>IFERROR(__xludf.DUMMYFUNCTION("IFS(
  AND(REGEXMATCH(E186, ""台銀籌備帳戶|玉山帳戶""), REGEXMATCH(C186, ""薪資"")), ""分潤支出"",
  AND(REGEXMATCH(E186, ""Ben帳戶|Elsa帳戶|Ben代墊|Ariel代墊|中信銀行共用""), REGEXMATCH(F186, ""Ben帳戶|Elsa帳戶|Ben代墊|Ariel代墊|中信銀行共用"")), ""內部轉帳(忽略)"",
  AND(E186&lt;&gt;"""", F186&lt;&gt;"""", NOT(REG"&amp;"EXMATCH(C186, ""薪資""))), ""內部轉帳(忽略)"",
  REGEXMATCH(C186, ""薪資""), ""薪資變動(不計入)"",
  REGEXMATCH(C186, ""押金""), ""押金往來"",
  AND(E186&lt;&gt;"""", F186=""""), ""真實支出"",
  AND(E186="""", F186&lt;&gt;""""), ""真實收入"",
  TRUE, ""其他""
)"),"真實支出")</f>
        <v>真實支出</v>
      </c>
      <c r="K186" s="270">
        <f t="shared" si="2"/>
        <v>-264</v>
      </c>
      <c r="L186">
        <f t="shared" si="3"/>
        <v>0</v>
      </c>
    </row>
    <row r="187">
      <c r="A187" s="107">
        <f>IFERROR(__xludf.DUMMYFUNCTION("""COMPUTED_VALUE"""),45340.0)</f>
        <v>45340</v>
      </c>
      <c r="B187" t="str">
        <f>IFERROR(__xludf.DUMMYFUNCTION("""COMPUTED_VALUE"""),"117680****28")</f>
        <v>117680****28</v>
      </c>
      <c r="C187" t="str">
        <f>IFERROR(__xludf.DUMMYFUNCTION("""COMPUTED_VALUE"""),"成本 - 大租金")</f>
        <v>成本 - 大租金</v>
      </c>
      <c r="D187" s="270">
        <f>IFERROR(__xludf.DUMMYFUNCTION("""COMPUTED_VALUE"""),-10015.0)</f>
        <v>-10015</v>
      </c>
      <c r="E187" t="str">
        <f>IFERROR(__xludf.DUMMYFUNCTION("""COMPUTED_VALUE"""),"台銀籌備帳戶")</f>
        <v>台銀籌備帳戶</v>
      </c>
      <c r="G187" t="str">
        <f>IFERROR(__xludf.DUMMYFUNCTION("""COMPUTED_VALUE"""),"北醫醫師府")</f>
        <v>北醫醫師府</v>
      </c>
      <c r="H187" s="106" t="str">
        <f t="shared" si="1"/>
        <v>2024-02</v>
      </c>
      <c r="I187" s="271" t="str">
        <f>IFERROR(__xludf.DUMMYFUNCTION("""COMPUTED_VALUE"""),"貓狗企鵝")</f>
        <v>貓狗企鵝</v>
      </c>
      <c r="J187" t="str">
        <f>IFERROR(__xludf.DUMMYFUNCTION("IFS(
  AND(REGEXMATCH(E187, ""台銀籌備帳戶|玉山帳戶""), REGEXMATCH(C187, ""薪資"")), ""分潤支出"",
  AND(REGEXMATCH(E187, ""Ben帳戶|Elsa帳戶|Ben代墊|Ariel代墊|中信銀行共用""), REGEXMATCH(F187, ""Ben帳戶|Elsa帳戶|Ben代墊|Ariel代墊|中信銀行共用"")), ""內部轉帳(忽略)"",
  AND(E187&lt;&gt;"""", F187&lt;&gt;"""", NOT(REG"&amp;"EXMATCH(C187, ""薪資""))), ""內部轉帳(忽略)"",
  REGEXMATCH(C187, ""薪資""), ""薪資變動(不計入)"",
  REGEXMATCH(C187, ""押金""), ""押金往來"",
  AND(E187&lt;&gt;"""", F187=""""), ""真實支出"",
  AND(E187="""", F187&lt;&gt;""""), ""真實收入"",
  TRUE, ""其他""
)"),"真實支出")</f>
        <v>真實支出</v>
      </c>
      <c r="K187" s="270">
        <f t="shared" si="2"/>
        <v>-10015</v>
      </c>
      <c r="L187">
        <f t="shared" si="3"/>
        <v>0</v>
      </c>
    </row>
    <row r="188">
      <c r="A188" s="107">
        <f>IFERROR(__xludf.DUMMYFUNCTION("""COMPUTED_VALUE"""),45341.0)</f>
        <v>45341</v>
      </c>
      <c r="B188" t="str">
        <f>IFERROR(__xludf.DUMMYFUNCTION("""COMPUTED_VALUE"""),"淘寶")</f>
        <v>淘寶</v>
      </c>
      <c r="C188" t="str">
        <f>IFERROR(__xludf.DUMMYFUNCTION("""COMPUTED_VALUE"""),"成本 - 進場前裝潢費")</f>
        <v>成本 - 進場前裝潢費</v>
      </c>
      <c r="D188" s="270">
        <f>IFERROR(__xludf.DUMMYFUNCTION("""COMPUTED_VALUE"""),-2990.0)</f>
        <v>-2990</v>
      </c>
      <c r="E188" t="str">
        <f>IFERROR(__xludf.DUMMYFUNCTION("""COMPUTED_VALUE"""),"Ben帳戶")</f>
        <v>Ben帳戶</v>
      </c>
      <c r="G188" t="str">
        <f>IFERROR(__xludf.DUMMYFUNCTION("""COMPUTED_VALUE"""),"北醫醫師府")</f>
        <v>北醫醫師府</v>
      </c>
      <c r="H188" s="106" t="str">
        <f t="shared" si="1"/>
        <v>2024-02</v>
      </c>
      <c r="I188" s="271" t="str">
        <f>IFERROR(__xludf.DUMMYFUNCTION("""COMPUTED_VALUE"""),"貓狗企鵝")</f>
        <v>貓狗企鵝</v>
      </c>
      <c r="J188" t="str">
        <f>IFERROR(__xludf.DUMMYFUNCTION("IFS(
  AND(REGEXMATCH(E188, ""台銀籌備帳戶|玉山帳戶""), REGEXMATCH(C188, ""薪資"")), ""分潤支出"",
  AND(REGEXMATCH(E188, ""Ben帳戶|Elsa帳戶|Ben代墊|Ariel代墊|中信銀行共用""), REGEXMATCH(F188, ""Ben帳戶|Elsa帳戶|Ben代墊|Ariel代墊|中信銀行共用"")), ""內部轉帳(忽略)"",
  AND(E188&lt;&gt;"""", F188&lt;&gt;"""", NOT(REG"&amp;"EXMATCH(C188, ""薪資""))), ""內部轉帳(忽略)"",
  REGEXMATCH(C188, ""薪資""), ""薪資變動(不計入)"",
  REGEXMATCH(C188, ""押金""), ""押金往來"",
  AND(E188&lt;&gt;"""", F188=""""), ""真實支出"",
  AND(E188="""", F188&lt;&gt;""""), ""真實收入"",
  TRUE, ""其他""
)"),"真實支出")</f>
        <v>真實支出</v>
      </c>
      <c r="K188" s="270">
        <f t="shared" si="2"/>
        <v>-2990</v>
      </c>
      <c r="L188">
        <f t="shared" si="3"/>
        <v>0</v>
      </c>
    </row>
    <row r="189">
      <c r="A189" s="107">
        <f>IFERROR(__xludf.DUMMYFUNCTION("""COMPUTED_VALUE"""),45342.0)</f>
        <v>45342</v>
      </c>
      <c r="B189" t="str">
        <f>IFERROR(__xludf.DUMMYFUNCTION("""COMPUTED_VALUE"""),"龍江229C陳雨彤")</f>
        <v>龍江229C陳雨彤</v>
      </c>
      <c r="C189" t="str">
        <f>IFERROR(__xludf.DUMMYFUNCTION("""COMPUTED_VALUE"""),"收入 - 租金")</f>
        <v>收入 - 租金</v>
      </c>
      <c r="D189" s="270">
        <f>IFERROR(__xludf.DUMMYFUNCTION("""COMPUTED_VALUE"""),5793.0)</f>
        <v>5793</v>
      </c>
      <c r="F189" t="str">
        <f>IFERROR(__xludf.DUMMYFUNCTION("""COMPUTED_VALUE"""),"台銀籌備帳戶")</f>
        <v>台銀籌備帳戶</v>
      </c>
      <c r="G189" t="str">
        <f>IFERROR(__xludf.DUMMYFUNCTION("""COMPUTED_VALUE"""),"龍江229")</f>
        <v>龍江229</v>
      </c>
      <c r="H189" s="106" t="str">
        <f t="shared" si="1"/>
        <v>2024-02</v>
      </c>
      <c r="I189" s="271" t="str">
        <f>IFERROR(__xludf.DUMMYFUNCTION("""COMPUTED_VALUE"""),"貓狗企鵝")</f>
        <v>貓狗企鵝</v>
      </c>
      <c r="J189" t="str">
        <f>IFERROR(__xludf.DUMMYFUNCTION("IFS(
  AND(REGEXMATCH(E189, ""台銀籌備帳戶|玉山帳戶""), REGEXMATCH(C189, ""薪資"")), ""分潤支出"",
  AND(REGEXMATCH(E189, ""Ben帳戶|Elsa帳戶|Ben代墊|Ariel代墊|中信銀行共用""), REGEXMATCH(F189, ""Ben帳戶|Elsa帳戶|Ben代墊|Ariel代墊|中信銀行共用"")), ""內部轉帳(忽略)"",
  AND(E189&lt;&gt;"""", F189&lt;&gt;"""", NOT(REG"&amp;"EXMATCH(C189, ""薪資""))), ""內部轉帳(忽略)"",
  REGEXMATCH(C189, ""薪資""), ""薪資變動(不計入)"",
  REGEXMATCH(C189, ""押金""), ""押金往來"",
  AND(E189&lt;&gt;"""", F189=""""), ""真實支出"",
  AND(E189="""", F189&lt;&gt;""""), ""真實收入"",
  TRUE, ""其他""
)"),"真實收入")</f>
        <v>真實收入</v>
      </c>
      <c r="K189" s="270">
        <f t="shared" si="2"/>
        <v>5793</v>
      </c>
      <c r="L189">
        <f t="shared" si="3"/>
        <v>0</v>
      </c>
    </row>
    <row r="190">
      <c r="A190" s="107">
        <f>IFERROR(__xludf.DUMMYFUNCTION("""COMPUTED_VALUE"""),45343.0)</f>
        <v>45343</v>
      </c>
      <c r="B190" t="str">
        <f>IFERROR(__xludf.DUMMYFUNCTION("""COMPUTED_VALUE"""),"淘寶 窗戶 密封條")</f>
        <v>淘寶 窗戶 密封條</v>
      </c>
      <c r="C190" t="str">
        <f>IFERROR(__xludf.DUMMYFUNCTION("""COMPUTED_VALUE"""),"成本 - 進場前裝潢費")</f>
        <v>成本 - 進場前裝潢費</v>
      </c>
      <c r="D190" s="270">
        <f>IFERROR(__xludf.DUMMYFUNCTION("""COMPUTED_VALUE"""),-313.0)</f>
        <v>-313</v>
      </c>
      <c r="E190" t="str">
        <f>IFERROR(__xludf.DUMMYFUNCTION("""COMPUTED_VALUE"""),"Ben帳戶")</f>
        <v>Ben帳戶</v>
      </c>
      <c r="G190" t="str">
        <f>IFERROR(__xludf.DUMMYFUNCTION("""COMPUTED_VALUE"""),"龍江229")</f>
        <v>龍江229</v>
      </c>
      <c r="H190" s="106" t="str">
        <f t="shared" si="1"/>
        <v>2024-02</v>
      </c>
      <c r="I190" s="271" t="str">
        <f>IFERROR(__xludf.DUMMYFUNCTION("""COMPUTED_VALUE"""),"貓狗企鵝")</f>
        <v>貓狗企鵝</v>
      </c>
      <c r="J190" t="str">
        <f>IFERROR(__xludf.DUMMYFUNCTION("IFS(
  AND(REGEXMATCH(E190, ""台銀籌備帳戶|玉山帳戶""), REGEXMATCH(C190, ""薪資"")), ""分潤支出"",
  AND(REGEXMATCH(E190, ""Ben帳戶|Elsa帳戶|Ben代墊|Ariel代墊|中信銀行共用""), REGEXMATCH(F190, ""Ben帳戶|Elsa帳戶|Ben代墊|Ariel代墊|中信銀行共用"")), ""內部轉帳(忽略)"",
  AND(E190&lt;&gt;"""", F190&lt;&gt;"""", NOT(REG"&amp;"EXMATCH(C190, ""薪資""))), ""內部轉帳(忽略)"",
  REGEXMATCH(C190, ""薪資""), ""薪資變動(不計入)"",
  REGEXMATCH(C190, ""押金""), ""押金往來"",
  AND(E190&lt;&gt;"""", F190=""""), ""真實支出"",
  AND(E190="""", F190&lt;&gt;""""), ""真實收入"",
  TRUE, ""其他""
)"),"真實支出")</f>
        <v>真實支出</v>
      </c>
      <c r="K190" s="270">
        <f t="shared" si="2"/>
        <v>-313</v>
      </c>
      <c r="L190">
        <f t="shared" si="3"/>
        <v>0</v>
      </c>
    </row>
    <row r="191">
      <c r="A191" s="107">
        <f>IFERROR(__xludf.DUMMYFUNCTION("""COMPUTED_VALUE"""),45345.0)</f>
        <v>45345</v>
      </c>
      <c r="B191" t="str">
        <f>IFERROR(__xludf.DUMMYFUNCTION("""COMPUTED_VALUE"""),"經濟部-龍江冰箱補助")</f>
        <v>經濟部-龍江冰箱補助</v>
      </c>
      <c r="C191" t="str">
        <f>IFERROR(__xludf.DUMMYFUNCTION("""COMPUTED_VALUE"""),"收入 - 政府補助/退稅")</f>
        <v>收入 - 政府補助/退稅</v>
      </c>
      <c r="D191" s="270">
        <f>IFERROR(__xludf.DUMMYFUNCTION("""COMPUTED_VALUE"""),3000.0)</f>
        <v>3000</v>
      </c>
      <c r="F191" t="str">
        <f>IFERROR(__xludf.DUMMYFUNCTION("""COMPUTED_VALUE"""),"Elsa帳戶")</f>
        <v>Elsa帳戶</v>
      </c>
      <c r="G191" t="str">
        <f>IFERROR(__xludf.DUMMYFUNCTION("""COMPUTED_VALUE"""),"龍江229")</f>
        <v>龍江229</v>
      </c>
      <c r="H191" s="106" t="str">
        <f t="shared" si="1"/>
        <v>2024-02</v>
      </c>
      <c r="I191" s="271" t="str">
        <f>IFERROR(__xludf.DUMMYFUNCTION("""COMPUTED_VALUE"""),"貓狗企鵝")</f>
        <v>貓狗企鵝</v>
      </c>
      <c r="J191" t="str">
        <f>IFERROR(__xludf.DUMMYFUNCTION("IFS(
  AND(REGEXMATCH(E191, ""台銀籌備帳戶|玉山帳戶""), REGEXMATCH(C191, ""薪資"")), ""分潤支出"",
  AND(REGEXMATCH(E191, ""Ben帳戶|Elsa帳戶|Ben代墊|Ariel代墊|中信銀行共用""), REGEXMATCH(F191, ""Ben帳戶|Elsa帳戶|Ben代墊|Ariel代墊|中信銀行共用"")), ""內部轉帳(忽略)"",
  AND(E191&lt;&gt;"""", F191&lt;&gt;"""", NOT(REG"&amp;"EXMATCH(C191, ""薪資""))), ""內部轉帳(忽略)"",
  REGEXMATCH(C191, ""薪資""), ""薪資變動(不計入)"",
  REGEXMATCH(C191, ""押金""), ""押金往來"",
  AND(E191&lt;&gt;"""", F191=""""), ""真實支出"",
  AND(E191="""", F191&lt;&gt;""""), ""真實收入"",
  TRUE, ""其他""
)"),"真實收入")</f>
        <v>真實收入</v>
      </c>
      <c r="K191" s="270">
        <f t="shared" si="2"/>
        <v>3000</v>
      </c>
      <c r="L191">
        <f t="shared" si="3"/>
        <v>0</v>
      </c>
    </row>
    <row r="192">
      <c r="A192" s="107">
        <f>IFERROR(__xludf.DUMMYFUNCTION("""COMPUTED_VALUE"""),45346.0)</f>
        <v>45346</v>
      </c>
      <c r="B192" t="str">
        <f>IFERROR(__xludf.DUMMYFUNCTION("""COMPUTED_VALUE"""),"2個月押金")</f>
        <v>2個月押金</v>
      </c>
      <c r="C192" t="str">
        <f>IFERROR(__xludf.DUMMYFUNCTION("""COMPUTED_VALUE"""),"成本 - 大租金")</f>
        <v>成本 - 大租金</v>
      </c>
      <c r="D192" s="270">
        <f>IFERROR(__xludf.DUMMYFUNCTION("""COMPUTED_VALUE"""),-41200.0)</f>
        <v>-41200</v>
      </c>
      <c r="E192" t="str">
        <f>IFERROR(__xludf.DUMMYFUNCTION("""COMPUTED_VALUE"""),"Elsa帳戶")</f>
        <v>Elsa帳戶</v>
      </c>
      <c r="G192" t="str">
        <f>IFERROR(__xludf.DUMMYFUNCTION("""COMPUTED_VALUE"""),"北醫醫師府")</f>
        <v>北醫醫師府</v>
      </c>
      <c r="H192" s="106" t="str">
        <f t="shared" si="1"/>
        <v>2024-02</v>
      </c>
      <c r="I192" s="271" t="str">
        <f>IFERROR(__xludf.DUMMYFUNCTION("""COMPUTED_VALUE"""),"貓狗企鵝")</f>
        <v>貓狗企鵝</v>
      </c>
      <c r="J192" t="str">
        <f>IFERROR(__xludf.DUMMYFUNCTION("IFS(
  AND(REGEXMATCH(E192, ""台銀籌備帳戶|玉山帳戶""), REGEXMATCH(C192, ""薪資"")), ""分潤支出"",
  AND(REGEXMATCH(E192, ""Ben帳戶|Elsa帳戶|Ben代墊|Ariel代墊|中信銀行共用""), REGEXMATCH(F192, ""Ben帳戶|Elsa帳戶|Ben代墊|Ariel代墊|中信銀行共用"")), ""內部轉帳(忽略)"",
  AND(E192&lt;&gt;"""", F192&lt;&gt;"""", NOT(REG"&amp;"EXMATCH(C192, ""薪資""))), ""內部轉帳(忽略)"",
  REGEXMATCH(C192, ""薪資""), ""薪資變動(不計入)"",
  REGEXMATCH(C192, ""押金""), ""押金往來"",
  AND(E192&lt;&gt;"""", F192=""""), ""真實支出"",
  AND(E192="""", F192&lt;&gt;""""), ""真實收入"",
  TRUE, ""其他""
)"),"真實支出")</f>
        <v>真實支出</v>
      </c>
      <c r="K192" s="270">
        <f t="shared" si="2"/>
        <v>-41200</v>
      </c>
      <c r="L192">
        <f t="shared" si="3"/>
        <v>0</v>
      </c>
    </row>
    <row r="193">
      <c r="A193" s="107">
        <f>IFERROR(__xludf.DUMMYFUNCTION("""COMPUTED_VALUE"""),45347.0)</f>
        <v>45347</v>
      </c>
      <c r="B193" t="str">
        <f>IFERROR(__xludf.DUMMYFUNCTION("""COMPUTED_VALUE"""),"哈拉 C 租金")</f>
        <v>哈拉 C 租金</v>
      </c>
      <c r="C193" t="str">
        <f>IFERROR(__xludf.DUMMYFUNCTION("""COMPUTED_VALUE"""),"收入 - 租金")</f>
        <v>收入 - 租金</v>
      </c>
      <c r="D193" s="270">
        <f>IFERROR(__xludf.DUMMYFUNCTION("""COMPUTED_VALUE"""),5400.0)</f>
        <v>5400</v>
      </c>
      <c r="F193" t="str">
        <f>IFERROR(__xludf.DUMMYFUNCTION("""COMPUTED_VALUE"""),"Ben帳戶")</f>
        <v>Ben帳戶</v>
      </c>
      <c r="G193" t="str">
        <f>IFERROR(__xludf.DUMMYFUNCTION("""COMPUTED_VALUE"""),"哈拉對面")</f>
        <v>哈拉對面</v>
      </c>
      <c r="H193" s="106" t="str">
        <f t="shared" si="1"/>
        <v>2024-02</v>
      </c>
      <c r="I193" s="271" t="str">
        <f>IFERROR(__xludf.DUMMYFUNCTION("""COMPUTED_VALUE"""),"貓狗企鵝")</f>
        <v>貓狗企鵝</v>
      </c>
      <c r="J193" t="str">
        <f>IFERROR(__xludf.DUMMYFUNCTION("IFS(
  AND(REGEXMATCH(E193, ""台銀籌備帳戶|玉山帳戶""), REGEXMATCH(C193, ""薪資"")), ""分潤支出"",
  AND(REGEXMATCH(E193, ""Ben帳戶|Elsa帳戶|Ben代墊|Ariel代墊|中信銀行共用""), REGEXMATCH(F193, ""Ben帳戶|Elsa帳戶|Ben代墊|Ariel代墊|中信銀行共用"")), ""內部轉帳(忽略)"",
  AND(E193&lt;&gt;"""", F193&lt;&gt;"""", NOT(REG"&amp;"EXMATCH(C193, ""薪資""))), ""內部轉帳(忽略)"",
  REGEXMATCH(C193, ""薪資""), ""薪資變動(不計入)"",
  REGEXMATCH(C193, ""押金""), ""押金往來"",
  AND(E193&lt;&gt;"""", F193=""""), ""真實支出"",
  AND(E193="""", F193&lt;&gt;""""), ""真實收入"",
  TRUE, ""其他""
)"),"真實收入")</f>
        <v>真實收入</v>
      </c>
      <c r="K193" s="270">
        <f t="shared" si="2"/>
        <v>5400</v>
      </c>
      <c r="L193">
        <f t="shared" si="3"/>
        <v>0</v>
      </c>
    </row>
    <row r="194">
      <c r="A194" s="107">
        <f>IFERROR(__xludf.DUMMYFUNCTION("""COMPUTED_VALUE"""),45347.0)</f>
        <v>45347</v>
      </c>
      <c r="B194" t="str">
        <f>IFERROR(__xludf.DUMMYFUNCTION("""COMPUTED_VALUE"""),"哈拉對面C徐鉦庭")</f>
        <v>哈拉對面C徐鉦庭</v>
      </c>
      <c r="C194" t="str">
        <f>IFERROR(__xludf.DUMMYFUNCTION("""COMPUTED_VALUE"""),"收入 - 租金")</f>
        <v>收入 - 租金</v>
      </c>
      <c r="D194" s="270">
        <f>IFERROR(__xludf.DUMMYFUNCTION("""COMPUTED_VALUE"""),10000.0)</f>
        <v>10000</v>
      </c>
      <c r="F194" t="str">
        <f>IFERROR(__xludf.DUMMYFUNCTION("""COMPUTED_VALUE"""),"台銀籌備帳戶")</f>
        <v>台銀籌備帳戶</v>
      </c>
      <c r="G194" t="str">
        <f>IFERROR(__xludf.DUMMYFUNCTION("""COMPUTED_VALUE"""),"哈拉對面")</f>
        <v>哈拉對面</v>
      </c>
      <c r="H194" s="106" t="str">
        <f t="shared" si="1"/>
        <v>2024-02</v>
      </c>
      <c r="I194" s="271" t="str">
        <f>IFERROR(__xludf.DUMMYFUNCTION("""COMPUTED_VALUE"""),"貓狗企鵝")</f>
        <v>貓狗企鵝</v>
      </c>
      <c r="J194" t="str">
        <f>IFERROR(__xludf.DUMMYFUNCTION("IFS(
  AND(REGEXMATCH(E194, ""台銀籌備帳戶|玉山帳戶""), REGEXMATCH(C194, ""薪資"")), ""分潤支出"",
  AND(REGEXMATCH(E194, ""Ben帳戶|Elsa帳戶|Ben代墊|Ariel代墊|中信銀行共用""), REGEXMATCH(F194, ""Ben帳戶|Elsa帳戶|Ben代墊|Ariel代墊|中信銀行共用"")), ""內部轉帳(忽略)"",
  AND(E194&lt;&gt;"""", F194&lt;&gt;"""", NOT(REG"&amp;"EXMATCH(C194, ""薪資""))), ""內部轉帳(忽略)"",
  REGEXMATCH(C194, ""薪資""), ""薪資變動(不計入)"",
  REGEXMATCH(C194, ""押金""), ""押金往來"",
  AND(E194&lt;&gt;"""", F194=""""), ""真實支出"",
  AND(E194="""", F194&lt;&gt;""""), ""真實收入"",
  TRUE, ""其他""
)"),"真實收入")</f>
        <v>真實收入</v>
      </c>
      <c r="K194" s="270">
        <f t="shared" si="2"/>
        <v>10000</v>
      </c>
      <c r="L194">
        <f t="shared" si="3"/>
        <v>0</v>
      </c>
    </row>
    <row r="195">
      <c r="A195" s="107">
        <f>IFERROR(__xludf.DUMMYFUNCTION("""COMPUTED_VALUE"""),45347.0)</f>
        <v>45347</v>
      </c>
      <c r="B195" t="str">
        <f>IFERROR(__xludf.DUMMYFUNCTION("""COMPUTED_VALUE"""),"哈拉對面C徐鉦庭")</f>
        <v>哈拉對面C徐鉦庭</v>
      </c>
      <c r="C195" t="str">
        <f>IFERROR(__xludf.DUMMYFUNCTION("""COMPUTED_VALUE"""),"收入 - 租金")</f>
        <v>收入 - 租金</v>
      </c>
      <c r="D195" s="270">
        <f>IFERROR(__xludf.DUMMYFUNCTION("""COMPUTED_VALUE"""),20000.0)</f>
        <v>20000</v>
      </c>
      <c r="F195" t="str">
        <f>IFERROR(__xludf.DUMMYFUNCTION("""COMPUTED_VALUE"""),"台銀籌備帳戶")</f>
        <v>台銀籌備帳戶</v>
      </c>
      <c r="G195" t="str">
        <f>IFERROR(__xludf.DUMMYFUNCTION("""COMPUTED_VALUE"""),"哈拉對面")</f>
        <v>哈拉對面</v>
      </c>
      <c r="H195" s="106" t="str">
        <f t="shared" si="1"/>
        <v>2024-02</v>
      </c>
      <c r="I195" s="271" t="str">
        <f>IFERROR(__xludf.DUMMYFUNCTION("""COMPUTED_VALUE"""),"貓狗企鵝")</f>
        <v>貓狗企鵝</v>
      </c>
      <c r="J195" t="str">
        <f>IFERROR(__xludf.DUMMYFUNCTION("IFS(
  AND(REGEXMATCH(E195, ""台銀籌備帳戶|玉山帳戶""), REGEXMATCH(C195, ""薪資"")), ""分潤支出"",
  AND(REGEXMATCH(E195, ""Ben帳戶|Elsa帳戶|Ben代墊|Ariel代墊|中信銀行共用""), REGEXMATCH(F195, ""Ben帳戶|Elsa帳戶|Ben代墊|Ariel代墊|中信銀行共用"")), ""內部轉帳(忽略)"",
  AND(E195&lt;&gt;"""", F195&lt;&gt;"""", NOT(REG"&amp;"EXMATCH(C195, ""薪資""))), ""內部轉帳(忽略)"",
  REGEXMATCH(C195, ""薪資""), ""薪資變動(不計入)"",
  REGEXMATCH(C195, ""押金""), ""押金往來"",
  AND(E195&lt;&gt;"""", F195=""""), ""真實支出"",
  AND(E195="""", F195&lt;&gt;""""), ""真實收入"",
  TRUE, ""其他""
)"),"真實收入")</f>
        <v>真實收入</v>
      </c>
      <c r="K195" s="270">
        <f t="shared" si="2"/>
        <v>20000</v>
      </c>
      <c r="L195">
        <f t="shared" si="3"/>
        <v>0</v>
      </c>
    </row>
    <row r="196">
      <c r="A196" s="107">
        <f>IFERROR(__xludf.DUMMYFUNCTION("""COMPUTED_VALUE"""),45348.0)</f>
        <v>45348</v>
      </c>
      <c r="B196" t="str">
        <f>IFERROR(__xludf.DUMMYFUNCTION("""COMPUTED_VALUE"""),"北醫 窗簾")</f>
        <v>北醫 窗簾</v>
      </c>
      <c r="C196" t="str">
        <f>IFERROR(__xludf.DUMMYFUNCTION("""COMPUTED_VALUE"""),"成本 - 進場前裝潢費")</f>
        <v>成本 - 進場前裝潢費</v>
      </c>
      <c r="D196" s="270">
        <f>IFERROR(__xludf.DUMMYFUNCTION("""COMPUTED_VALUE"""),-9170.0)</f>
        <v>-9170</v>
      </c>
      <c r="E196" t="str">
        <f>IFERROR(__xludf.DUMMYFUNCTION("""COMPUTED_VALUE"""),"Ben帳戶")</f>
        <v>Ben帳戶</v>
      </c>
      <c r="G196" t="str">
        <f>IFERROR(__xludf.DUMMYFUNCTION("""COMPUTED_VALUE"""),"北醫醫師府")</f>
        <v>北醫醫師府</v>
      </c>
      <c r="H196" s="106" t="str">
        <f t="shared" si="1"/>
        <v>2024-02</v>
      </c>
      <c r="I196" s="271" t="str">
        <f>IFERROR(__xludf.DUMMYFUNCTION("""COMPUTED_VALUE"""),"貓狗企鵝")</f>
        <v>貓狗企鵝</v>
      </c>
      <c r="J196" t="str">
        <f>IFERROR(__xludf.DUMMYFUNCTION("IFS(
  AND(REGEXMATCH(E196, ""台銀籌備帳戶|玉山帳戶""), REGEXMATCH(C196, ""薪資"")), ""分潤支出"",
  AND(REGEXMATCH(E196, ""Ben帳戶|Elsa帳戶|Ben代墊|Ariel代墊|中信銀行共用""), REGEXMATCH(F196, ""Ben帳戶|Elsa帳戶|Ben代墊|Ariel代墊|中信銀行共用"")), ""內部轉帳(忽略)"",
  AND(E196&lt;&gt;"""", F196&lt;&gt;"""", NOT(REG"&amp;"EXMATCH(C196, ""薪資""))), ""內部轉帳(忽略)"",
  REGEXMATCH(C196, ""薪資""), ""薪資變動(不計入)"",
  REGEXMATCH(C196, ""押金""), ""押金往來"",
  AND(E196&lt;&gt;"""", F196=""""), ""真實支出"",
  AND(E196="""", F196&lt;&gt;""""), ""真實收入"",
  TRUE, ""其他""
)"),"真實支出")</f>
        <v>真實支出</v>
      </c>
      <c r="K196" s="270">
        <f t="shared" si="2"/>
        <v>-9170</v>
      </c>
      <c r="L196">
        <f t="shared" si="3"/>
        <v>0</v>
      </c>
    </row>
    <row r="197">
      <c r="A197" s="107">
        <f>IFERROR(__xludf.DUMMYFUNCTION("""COMPUTED_VALUE"""),45348.0)</f>
        <v>45348</v>
      </c>
      <c r="B197" t="str">
        <f>IFERROR(__xludf.DUMMYFUNCTION("""COMPUTED_VALUE"""),"淘寶軟裝/書桌/餐桌/吊燈")</f>
        <v>淘寶軟裝/書桌/餐桌/吊燈</v>
      </c>
      <c r="C197" t="str">
        <f>IFERROR(__xludf.DUMMYFUNCTION("""COMPUTED_VALUE"""),"成本 - 進場前裝潢費")</f>
        <v>成本 - 進場前裝潢費</v>
      </c>
      <c r="D197" s="270">
        <f>IFERROR(__xludf.DUMMYFUNCTION("""COMPUTED_VALUE"""),-34420.0)</f>
        <v>-34420</v>
      </c>
      <c r="E197" t="str">
        <f>IFERROR(__xludf.DUMMYFUNCTION("""COMPUTED_VALUE"""),"Ben帳戶")</f>
        <v>Ben帳戶</v>
      </c>
      <c r="G197" t="str">
        <f>IFERROR(__xludf.DUMMYFUNCTION("""COMPUTED_VALUE"""),"北醫醫師府")</f>
        <v>北醫醫師府</v>
      </c>
      <c r="H197" s="106" t="str">
        <f t="shared" si="1"/>
        <v>2024-02</v>
      </c>
      <c r="I197" s="271" t="str">
        <f>IFERROR(__xludf.DUMMYFUNCTION("""COMPUTED_VALUE"""),"貓狗企鵝")</f>
        <v>貓狗企鵝</v>
      </c>
      <c r="J197" t="str">
        <f>IFERROR(__xludf.DUMMYFUNCTION("IFS(
  AND(REGEXMATCH(E197, ""台銀籌備帳戶|玉山帳戶""), REGEXMATCH(C197, ""薪資"")), ""分潤支出"",
  AND(REGEXMATCH(E197, ""Ben帳戶|Elsa帳戶|Ben代墊|Ariel代墊|中信銀行共用""), REGEXMATCH(F197, ""Ben帳戶|Elsa帳戶|Ben代墊|Ariel代墊|中信銀行共用"")), ""內部轉帳(忽略)"",
  AND(E197&lt;&gt;"""", F197&lt;&gt;"""", NOT(REG"&amp;"EXMATCH(C197, ""薪資""))), ""內部轉帳(忽略)"",
  REGEXMATCH(C197, ""薪資""), ""薪資變動(不計入)"",
  REGEXMATCH(C197, ""押金""), ""押金往來"",
  AND(E197&lt;&gt;"""", F197=""""), ""真實支出"",
  AND(E197="""", F197&lt;&gt;""""), ""真實收入"",
  TRUE, ""其他""
)"),"真實支出")</f>
        <v>真實支出</v>
      </c>
      <c r="K197" s="270">
        <f t="shared" si="2"/>
        <v>-34420</v>
      </c>
      <c r="L197">
        <f t="shared" si="3"/>
        <v>0</v>
      </c>
    </row>
    <row r="198">
      <c r="A198" s="107">
        <f>IFERROR(__xludf.DUMMYFUNCTION("""COMPUTED_VALUE"""),45348.0)</f>
        <v>45348</v>
      </c>
      <c r="B198" t="str">
        <f>IFERROR(__xludf.DUMMYFUNCTION("""COMPUTED_VALUE"""),"哈拉對面11-12月水費")</f>
        <v>哈拉對面11-12月水費</v>
      </c>
      <c r="C198" t="str">
        <f>IFERROR(__xludf.DUMMYFUNCTION("""COMPUTED_VALUE"""),"成本 - 進場前裝潢費")</f>
        <v>成本 - 進場前裝潢費</v>
      </c>
      <c r="D198" s="270">
        <f>IFERROR(__xludf.DUMMYFUNCTION("""COMPUTED_VALUE"""),-273.0)</f>
        <v>-273</v>
      </c>
      <c r="E198" t="str">
        <f>IFERROR(__xludf.DUMMYFUNCTION("""COMPUTED_VALUE"""),"Elsa帳戶")</f>
        <v>Elsa帳戶</v>
      </c>
      <c r="G198" t="str">
        <f>IFERROR(__xludf.DUMMYFUNCTION("""COMPUTED_VALUE"""),"哈拉對面")</f>
        <v>哈拉對面</v>
      </c>
      <c r="H198" s="106" t="str">
        <f t="shared" si="1"/>
        <v>2024-02</v>
      </c>
      <c r="I198" s="271" t="str">
        <f>IFERROR(__xludf.DUMMYFUNCTION("""COMPUTED_VALUE"""),"貓狗企鵝")</f>
        <v>貓狗企鵝</v>
      </c>
      <c r="J198" t="str">
        <f>IFERROR(__xludf.DUMMYFUNCTION("IFS(
  AND(REGEXMATCH(E198, ""台銀籌備帳戶|玉山帳戶""), REGEXMATCH(C198, ""薪資"")), ""分潤支出"",
  AND(REGEXMATCH(E198, ""Ben帳戶|Elsa帳戶|Ben代墊|Ariel代墊|中信銀行共用""), REGEXMATCH(F198, ""Ben帳戶|Elsa帳戶|Ben代墊|Ariel代墊|中信銀行共用"")), ""內部轉帳(忽略)"",
  AND(E198&lt;&gt;"""", F198&lt;&gt;"""", NOT(REG"&amp;"EXMATCH(C198, ""薪資""))), ""內部轉帳(忽略)"",
  REGEXMATCH(C198, ""薪資""), ""薪資變動(不計入)"",
  REGEXMATCH(C198, ""押金""), ""押金往來"",
  AND(E198&lt;&gt;"""", F198=""""), ""真實支出"",
  AND(E198="""", F198&lt;&gt;""""), ""真實收入"",
  TRUE, ""其他""
)"),"真實支出")</f>
        <v>真實支出</v>
      </c>
      <c r="K198" s="270">
        <f t="shared" si="2"/>
        <v>-273</v>
      </c>
      <c r="L198">
        <f t="shared" si="3"/>
        <v>0</v>
      </c>
    </row>
    <row r="199">
      <c r="A199" s="107">
        <f>IFERROR(__xludf.DUMMYFUNCTION("""COMPUTED_VALUE"""),45348.0)</f>
        <v>45348</v>
      </c>
      <c r="B199" t="str">
        <f>IFERROR(__xludf.DUMMYFUNCTION("""COMPUTED_VALUE"""),"哈拉對面2月天然瓦斯費")</f>
        <v>哈拉對面2月天然瓦斯費</v>
      </c>
      <c r="C199" t="str">
        <f>IFERROR(__xludf.DUMMYFUNCTION("""COMPUTED_VALUE"""),"成本 - 進場前裝潢費")</f>
        <v>成本 - 進場前裝潢費</v>
      </c>
      <c r="D199" s="270">
        <f>IFERROR(__xludf.DUMMYFUNCTION("""COMPUTED_VALUE"""),-120.0)</f>
        <v>-120</v>
      </c>
      <c r="E199" t="str">
        <f>IFERROR(__xludf.DUMMYFUNCTION("""COMPUTED_VALUE"""),"Elsa帳戶")</f>
        <v>Elsa帳戶</v>
      </c>
      <c r="G199" t="str">
        <f>IFERROR(__xludf.DUMMYFUNCTION("""COMPUTED_VALUE"""),"哈拉對面")</f>
        <v>哈拉對面</v>
      </c>
      <c r="H199" s="106" t="str">
        <f t="shared" si="1"/>
        <v>2024-02</v>
      </c>
      <c r="I199" s="271" t="str">
        <f>IFERROR(__xludf.DUMMYFUNCTION("""COMPUTED_VALUE"""),"貓狗企鵝")</f>
        <v>貓狗企鵝</v>
      </c>
      <c r="J199" t="str">
        <f>IFERROR(__xludf.DUMMYFUNCTION("IFS(
  AND(REGEXMATCH(E199, ""台銀籌備帳戶|玉山帳戶""), REGEXMATCH(C199, ""薪資"")), ""分潤支出"",
  AND(REGEXMATCH(E199, ""Ben帳戶|Elsa帳戶|Ben代墊|Ariel代墊|中信銀行共用""), REGEXMATCH(F199, ""Ben帳戶|Elsa帳戶|Ben代墊|Ariel代墊|中信銀行共用"")), ""內部轉帳(忽略)"",
  AND(E199&lt;&gt;"""", F199&lt;&gt;"""", NOT(REG"&amp;"EXMATCH(C199, ""薪資""))), ""內部轉帳(忽略)"",
  REGEXMATCH(C199, ""薪資""), ""薪資變動(不計入)"",
  REGEXMATCH(C199, ""押金""), ""押金往來"",
  AND(E199&lt;&gt;"""", F199=""""), ""真實支出"",
  AND(E199="""", F199&lt;&gt;""""), ""真實收入"",
  TRUE, ""其他""
)"),"真實支出")</f>
        <v>真實支出</v>
      </c>
      <c r="K199" s="270">
        <f t="shared" si="2"/>
        <v>-120</v>
      </c>
      <c r="L199">
        <f t="shared" si="3"/>
        <v>0</v>
      </c>
    </row>
    <row r="200">
      <c r="A200" s="107">
        <f>IFERROR(__xludf.DUMMYFUNCTION("""COMPUTED_VALUE"""),45348.0)</f>
        <v>45348</v>
      </c>
      <c r="B200" t="str">
        <f>IFERROR(__xludf.DUMMYFUNCTION("""COMPUTED_VALUE"""),"條條燈")</f>
        <v>條條燈</v>
      </c>
      <c r="C200" t="str">
        <f>IFERROR(__xludf.DUMMYFUNCTION("""COMPUTED_VALUE"""),"成本 - 進場前裝潢費")</f>
        <v>成本 - 進場前裝潢費</v>
      </c>
      <c r="D200" s="270">
        <f>IFERROR(__xludf.DUMMYFUNCTION("""COMPUTED_VALUE"""),-13200.0)</f>
        <v>-13200</v>
      </c>
      <c r="E200" t="str">
        <f>IFERROR(__xludf.DUMMYFUNCTION("""COMPUTED_VALUE"""),"Elsa帳戶")</f>
        <v>Elsa帳戶</v>
      </c>
      <c r="G200" t="str">
        <f>IFERROR(__xludf.DUMMYFUNCTION("""COMPUTED_VALUE"""),"北醫醫師府")</f>
        <v>北醫醫師府</v>
      </c>
      <c r="H200" s="106" t="str">
        <f t="shared" si="1"/>
        <v>2024-02</v>
      </c>
      <c r="I200" s="271" t="str">
        <f>IFERROR(__xludf.DUMMYFUNCTION("""COMPUTED_VALUE"""),"貓狗企鵝")</f>
        <v>貓狗企鵝</v>
      </c>
      <c r="J200" t="str">
        <f>IFERROR(__xludf.DUMMYFUNCTION("IFS(
  AND(REGEXMATCH(E200, ""台銀籌備帳戶|玉山帳戶""), REGEXMATCH(C200, ""薪資"")), ""分潤支出"",
  AND(REGEXMATCH(E200, ""Ben帳戶|Elsa帳戶|Ben代墊|Ariel代墊|中信銀行共用""), REGEXMATCH(F200, ""Ben帳戶|Elsa帳戶|Ben代墊|Ariel代墊|中信銀行共用"")), ""內部轉帳(忽略)"",
  AND(E200&lt;&gt;"""", F200&lt;&gt;"""", NOT(REG"&amp;"EXMATCH(C200, ""薪資""))), ""內部轉帳(忽略)"",
  REGEXMATCH(C200, ""薪資""), ""薪資變動(不計入)"",
  REGEXMATCH(C200, ""押金""), ""押金往來"",
  AND(E200&lt;&gt;"""", F200=""""), ""真實支出"",
  AND(E200="""", F200&lt;&gt;""""), ""真實收入"",
  TRUE, ""其他""
)"),"真實支出")</f>
        <v>真實支出</v>
      </c>
      <c r="K200" s="270">
        <f t="shared" si="2"/>
        <v>-13200</v>
      </c>
      <c r="L200">
        <f t="shared" si="3"/>
        <v>0</v>
      </c>
    </row>
    <row r="201">
      <c r="A201" s="107">
        <f>IFERROR(__xludf.DUMMYFUNCTION("""COMPUTED_VALUE"""),45350.0)</f>
        <v>45350</v>
      </c>
      <c r="B201" t="str">
        <f>IFERROR(__xludf.DUMMYFUNCTION("""COMPUTED_VALUE"""),"龍江紗窗")</f>
        <v>龍江紗窗</v>
      </c>
      <c r="C201" t="str">
        <f>IFERROR(__xludf.DUMMYFUNCTION("""COMPUTED_VALUE"""),"成本 - 租後修繕")</f>
        <v>成本 - 租後修繕</v>
      </c>
      <c r="D201" s="270">
        <f>IFERROR(__xludf.DUMMYFUNCTION("""COMPUTED_VALUE"""),-2800.0)</f>
        <v>-2800</v>
      </c>
      <c r="E201" t="str">
        <f>IFERROR(__xludf.DUMMYFUNCTION("""COMPUTED_VALUE"""),"Ben帳戶")</f>
        <v>Ben帳戶</v>
      </c>
      <c r="G201" t="str">
        <f>IFERROR(__xludf.DUMMYFUNCTION("""COMPUTED_VALUE"""),"龍江229")</f>
        <v>龍江229</v>
      </c>
      <c r="H201" s="106" t="str">
        <f t="shared" si="1"/>
        <v>2024-02</v>
      </c>
      <c r="I201" s="271" t="str">
        <f>IFERROR(__xludf.DUMMYFUNCTION("""COMPUTED_VALUE"""),"貓狗企鵝")</f>
        <v>貓狗企鵝</v>
      </c>
      <c r="J201" t="str">
        <f>IFERROR(__xludf.DUMMYFUNCTION("IFS(
  AND(REGEXMATCH(E201, ""台銀籌備帳戶|玉山帳戶""), REGEXMATCH(C201, ""薪資"")), ""分潤支出"",
  AND(REGEXMATCH(E201, ""Ben帳戶|Elsa帳戶|Ben代墊|Ariel代墊|中信銀行共用""), REGEXMATCH(F201, ""Ben帳戶|Elsa帳戶|Ben代墊|Ariel代墊|中信銀行共用"")), ""內部轉帳(忽略)"",
  AND(E201&lt;&gt;"""", F201&lt;&gt;"""", NOT(REG"&amp;"EXMATCH(C201, ""薪資""))), ""內部轉帳(忽略)"",
  REGEXMATCH(C201, ""薪資""), ""薪資變動(不計入)"",
  REGEXMATCH(C201, ""押金""), ""押金往來"",
  AND(E201&lt;&gt;"""", F201=""""), ""真實支出"",
  AND(E201="""", F201&lt;&gt;""""), ""真實收入"",
  TRUE, ""其他""
)"),"真實支出")</f>
        <v>真實支出</v>
      </c>
      <c r="K201" s="270">
        <f t="shared" si="2"/>
        <v>-2800</v>
      </c>
      <c r="L201">
        <f t="shared" si="3"/>
        <v>0</v>
      </c>
    </row>
    <row r="202">
      <c r="A202" s="107">
        <f>IFERROR(__xludf.DUMMYFUNCTION("""COMPUTED_VALUE"""),45350.0)</f>
        <v>45350</v>
      </c>
      <c r="B202" t="str">
        <f>IFERROR(__xludf.DUMMYFUNCTION("""COMPUTED_VALUE"""),"弟弟代墊")</f>
        <v>弟弟代墊</v>
      </c>
      <c r="C202" t="str">
        <f>IFERROR(__xludf.DUMMYFUNCTION("""COMPUTED_VALUE"""),"費用 - 人力成本")</f>
        <v>費用 - 人力成本</v>
      </c>
      <c r="D202" s="270">
        <f>IFERROR(__xludf.DUMMYFUNCTION("""COMPUTED_VALUE"""),-9809.0)</f>
        <v>-9809</v>
      </c>
      <c r="E202" t="str">
        <f>IFERROR(__xludf.DUMMYFUNCTION("""COMPUTED_VALUE"""),"台銀籌備帳戶")</f>
        <v>台銀籌備帳戶</v>
      </c>
      <c r="H202" s="106" t="str">
        <f t="shared" si="1"/>
        <v>2024-02</v>
      </c>
      <c r="I202" s="271" t="str">
        <f>IFERROR(__xludf.DUMMYFUNCTION("""COMPUTED_VALUE"""),"貓狗企鵝")</f>
        <v>貓狗企鵝</v>
      </c>
      <c r="J202" t="str">
        <f>IFERROR(__xludf.DUMMYFUNCTION("IFS(
  AND(REGEXMATCH(E202, ""台銀籌備帳戶|玉山帳戶""), REGEXMATCH(C202, ""薪資"")), ""分潤支出"",
  AND(REGEXMATCH(E202, ""Ben帳戶|Elsa帳戶|Ben代墊|Ariel代墊|中信銀行共用""), REGEXMATCH(F202, ""Ben帳戶|Elsa帳戶|Ben代墊|Ariel代墊|中信銀行共用"")), ""內部轉帳(忽略)"",
  AND(E202&lt;&gt;"""", F202&lt;&gt;"""", NOT(REG"&amp;"EXMATCH(C202, ""薪資""))), ""內部轉帳(忽略)"",
  REGEXMATCH(C202, ""薪資""), ""薪資變動(不計入)"",
  REGEXMATCH(C202, ""押金""), ""押金往來"",
  AND(E202&lt;&gt;"""", F202=""""), ""真實支出"",
  AND(E202="""", F202&lt;&gt;""""), ""真實收入"",
  TRUE, ""其他""
)"),"真實支出")</f>
        <v>真實支出</v>
      </c>
      <c r="K202" s="270">
        <f t="shared" si="2"/>
        <v>-9809</v>
      </c>
      <c r="L202">
        <f t="shared" si="3"/>
        <v>0</v>
      </c>
    </row>
    <row r="203">
      <c r="A203" s="107">
        <f>IFERROR(__xludf.DUMMYFUNCTION("""COMPUTED_VALUE"""),45351.0)</f>
        <v>45351</v>
      </c>
      <c r="B203" t="str">
        <f>IFERROR(__xludf.DUMMYFUNCTION("""COMPUTED_VALUE"""),"鐵門定金")</f>
        <v>鐵門定金</v>
      </c>
      <c r="C203" t="str">
        <f>IFERROR(__xludf.DUMMYFUNCTION("""COMPUTED_VALUE"""),"成本 - 進場前裝潢費")</f>
        <v>成本 - 進場前裝潢費</v>
      </c>
      <c r="D203" s="270">
        <f>IFERROR(__xludf.DUMMYFUNCTION("""COMPUTED_VALUE"""),-10000.0)</f>
        <v>-10000</v>
      </c>
      <c r="E203" t="str">
        <f>IFERROR(__xludf.DUMMYFUNCTION("""COMPUTED_VALUE"""),"Ben帳戶")</f>
        <v>Ben帳戶</v>
      </c>
      <c r="G203" t="str">
        <f>IFERROR(__xludf.DUMMYFUNCTION("""COMPUTED_VALUE"""),"北醫醫師府")</f>
        <v>北醫醫師府</v>
      </c>
      <c r="H203" s="106" t="str">
        <f t="shared" si="1"/>
        <v>2024-02</v>
      </c>
      <c r="I203" s="271" t="str">
        <f>IFERROR(__xludf.DUMMYFUNCTION("""COMPUTED_VALUE"""),"貓狗企鵝")</f>
        <v>貓狗企鵝</v>
      </c>
      <c r="J203" t="str">
        <f>IFERROR(__xludf.DUMMYFUNCTION("IFS(
  AND(REGEXMATCH(E203, ""台銀籌備帳戶|玉山帳戶""), REGEXMATCH(C203, ""薪資"")), ""分潤支出"",
  AND(REGEXMATCH(E203, ""Ben帳戶|Elsa帳戶|Ben代墊|Ariel代墊|中信銀行共用""), REGEXMATCH(F203, ""Ben帳戶|Elsa帳戶|Ben代墊|Ariel代墊|中信銀行共用"")), ""內部轉帳(忽略)"",
  AND(E203&lt;&gt;"""", F203&lt;&gt;"""", NOT(REG"&amp;"EXMATCH(C203, ""薪資""))), ""內部轉帳(忽略)"",
  REGEXMATCH(C203, ""薪資""), ""薪資變動(不計入)"",
  REGEXMATCH(C203, ""押金""), ""押金往來"",
  AND(E203&lt;&gt;"""", F203=""""), ""真實支出"",
  AND(E203="""", F203&lt;&gt;""""), ""真實收入"",
  TRUE, ""其他""
)"),"真實支出")</f>
        <v>真實支出</v>
      </c>
      <c r="K203" s="270">
        <f t="shared" si="2"/>
        <v>-10000</v>
      </c>
      <c r="L203">
        <f t="shared" si="3"/>
        <v>0</v>
      </c>
    </row>
    <row r="204">
      <c r="A204" s="107">
        <f>IFERROR(__xludf.DUMMYFUNCTION("""COMPUTED_VALUE"""),45351.0)</f>
        <v>45351</v>
      </c>
      <c r="B204" t="str">
        <f>IFERROR(__xludf.DUMMYFUNCTION("""COMPUTED_VALUE"""),"哈拉對面A李柏緯")</f>
        <v>哈拉對面A李柏緯</v>
      </c>
      <c r="C204" t="str">
        <f>IFERROR(__xludf.DUMMYFUNCTION("""COMPUTED_VALUE"""),"收入 - 租金")</f>
        <v>收入 - 租金</v>
      </c>
      <c r="D204" s="270">
        <f>IFERROR(__xludf.DUMMYFUNCTION("""COMPUTED_VALUE"""),10000.0)</f>
        <v>10000</v>
      </c>
      <c r="F204" t="str">
        <f>IFERROR(__xludf.DUMMYFUNCTION("""COMPUTED_VALUE"""),"台銀籌備帳戶")</f>
        <v>台銀籌備帳戶</v>
      </c>
      <c r="G204" t="str">
        <f>IFERROR(__xludf.DUMMYFUNCTION("""COMPUTED_VALUE"""),"哈拉對面")</f>
        <v>哈拉對面</v>
      </c>
      <c r="H204" s="106" t="str">
        <f t="shared" si="1"/>
        <v>2024-02</v>
      </c>
      <c r="I204" s="271" t="str">
        <f>IFERROR(__xludf.DUMMYFUNCTION("""COMPUTED_VALUE"""),"貓狗企鵝")</f>
        <v>貓狗企鵝</v>
      </c>
      <c r="J204" t="str">
        <f>IFERROR(__xludf.DUMMYFUNCTION("IFS(
  AND(REGEXMATCH(E204, ""台銀籌備帳戶|玉山帳戶""), REGEXMATCH(C204, ""薪資"")), ""分潤支出"",
  AND(REGEXMATCH(E204, ""Ben帳戶|Elsa帳戶|Ben代墊|Ariel代墊|中信銀行共用""), REGEXMATCH(F204, ""Ben帳戶|Elsa帳戶|Ben代墊|Ariel代墊|中信銀行共用"")), ""內部轉帳(忽略)"",
  AND(E204&lt;&gt;"""", F204&lt;&gt;"""", NOT(REG"&amp;"EXMATCH(C204, ""薪資""))), ""內部轉帳(忽略)"",
  REGEXMATCH(C204, ""薪資""), ""薪資變動(不計入)"",
  REGEXMATCH(C204, ""押金""), ""押金往來"",
  AND(E204&lt;&gt;"""", F204=""""), ""真實支出"",
  AND(E204="""", F204&lt;&gt;""""), ""真實收入"",
  TRUE, ""其他""
)"),"真實收入")</f>
        <v>真實收入</v>
      </c>
      <c r="K204" s="270">
        <f t="shared" si="2"/>
        <v>10000</v>
      </c>
      <c r="L204">
        <f t="shared" si="3"/>
        <v>0</v>
      </c>
    </row>
    <row r="205">
      <c r="A205" s="107">
        <f>IFERROR(__xludf.DUMMYFUNCTION("""COMPUTED_VALUE"""),45351.0)</f>
        <v>45351</v>
      </c>
      <c r="B205" t="str">
        <f>IFERROR(__xludf.DUMMYFUNCTION("""COMPUTED_VALUE"""),"哈拉對面A李柏緯")</f>
        <v>哈拉對面A李柏緯</v>
      </c>
      <c r="C205" t="str">
        <f>IFERROR(__xludf.DUMMYFUNCTION("""COMPUTED_VALUE"""),"收入 - 租金")</f>
        <v>收入 - 租金</v>
      </c>
      <c r="D205" s="270">
        <f>IFERROR(__xludf.DUMMYFUNCTION("""COMPUTED_VALUE"""),23900.0)</f>
        <v>23900</v>
      </c>
      <c r="F205" t="str">
        <f>IFERROR(__xludf.DUMMYFUNCTION("""COMPUTED_VALUE"""),"台銀籌備帳戶")</f>
        <v>台銀籌備帳戶</v>
      </c>
      <c r="G205" t="str">
        <f>IFERROR(__xludf.DUMMYFUNCTION("""COMPUTED_VALUE"""),"哈拉對面")</f>
        <v>哈拉對面</v>
      </c>
      <c r="H205" s="106" t="str">
        <f t="shared" si="1"/>
        <v>2024-02</v>
      </c>
      <c r="I205" s="271" t="str">
        <f>IFERROR(__xludf.DUMMYFUNCTION("""COMPUTED_VALUE"""),"貓狗企鵝")</f>
        <v>貓狗企鵝</v>
      </c>
      <c r="J205" t="str">
        <f>IFERROR(__xludf.DUMMYFUNCTION("IFS(
  AND(REGEXMATCH(E205, ""台銀籌備帳戶|玉山帳戶""), REGEXMATCH(C205, ""薪資"")), ""分潤支出"",
  AND(REGEXMATCH(E205, ""Ben帳戶|Elsa帳戶|Ben代墊|Ariel代墊|中信銀行共用""), REGEXMATCH(F205, ""Ben帳戶|Elsa帳戶|Ben代墊|Ariel代墊|中信銀行共用"")), ""內部轉帳(忽略)"",
  AND(E205&lt;&gt;"""", F205&lt;&gt;"""", NOT(REG"&amp;"EXMATCH(C205, ""薪資""))), ""內部轉帳(忽略)"",
  REGEXMATCH(C205, ""薪資""), ""薪資變動(不計入)"",
  REGEXMATCH(C205, ""押金""), ""押金往來"",
  AND(E205&lt;&gt;"""", F205=""""), ""真實支出"",
  AND(E205="""", F205&lt;&gt;""""), ""真實收入"",
  TRUE, ""其他""
)"),"真實收入")</f>
        <v>真實收入</v>
      </c>
      <c r="K205" s="270">
        <f t="shared" si="2"/>
        <v>23900</v>
      </c>
      <c r="L205">
        <f t="shared" si="3"/>
        <v>0</v>
      </c>
    </row>
    <row r="206">
      <c r="A206" s="107">
        <f>IFERROR(__xludf.DUMMYFUNCTION("""COMPUTED_VALUE"""),45352.0)</f>
        <v>45352</v>
      </c>
      <c r="B206" t="str">
        <f>IFERROR(__xludf.DUMMYFUNCTION("""COMPUTED_VALUE"""),"MoMo 2台洗衣機")</f>
        <v>MoMo 2台洗衣機</v>
      </c>
      <c r="C206" t="str">
        <f>IFERROR(__xludf.DUMMYFUNCTION("""COMPUTED_VALUE"""),"成本 - 進場前裝潢費")</f>
        <v>成本 - 進場前裝潢費</v>
      </c>
      <c r="D206" s="270">
        <f>IFERROR(__xludf.DUMMYFUNCTION("""COMPUTED_VALUE"""),-13580.0)</f>
        <v>-13580</v>
      </c>
      <c r="E206" t="str">
        <f>IFERROR(__xludf.DUMMYFUNCTION("""COMPUTED_VALUE"""),"Elsa帳戶")</f>
        <v>Elsa帳戶</v>
      </c>
      <c r="G206" t="str">
        <f>IFERROR(__xludf.DUMMYFUNCTION("""COMPUTED_VALUE"""),"北醫醫師府")</f>
        <v>北醫醫師府</v>
      </c>
      <c r="H206" s="106" t="str">
        <f t="shared" si="1"/>
        <v>2024-03</v>
      </c>
      <c r="I206" s="271" t="str">
        <f>IFERROR(__xludf.DUMMYFUNCTION("""COMPUTED_VALUE"""),"貓狗企鵝")</f>
        <v>貓狗企鵝</v>
      </c>
      <c r="J206" t="str">
        <f>IFERROR(__xludf.DUMMYFUNCTION("IFS(
  AND(REGEXMATCH(E206, ""台銀籌備帳戶|玉山帳戶""), REGEXMATCH(C206, ""薪資"")), ""分潤支出"",
  AND(REGEXMATCH(E206, ""Ben帳戶|Elsa帳戶|Ben代墊|Ariel代墊|中信銀行共用""), REGEXMATCH(F206, ""Ben帳戶|Elsa帳戶|Ben代墊|Ariel代墊|中信銀行共用"")), ""內部轉帳(忽略)"",
  AND(E206&lt;&gt;"""", F206&lt;&gt;"""", NOT(REG"&amp;"EXMATCH(C206, ""薪資""))), ""內部轉帳(忽略)"",
  REGEXMATCH(C206, ""薪資""), ""薪資變動(不計入)"",
  REGEXMATCH(C206, ""押金""), ""押金往來"",
  AND(E206&lt;&gt;"""", F206=""""), ""真實支出"",
  AND(E206="""", F206&lt;&gt;""""), ""真實收入"",
  TRUE, ""其他""
)"),"真實支出")</f>
        <v>真實支出</v>
      </c>
      <c r="K206" s="270">
        <f t="shared" si="2"/>
        <v>-13580</v>
      </c>
      <c r="L206">
        <f t="shared" si="3"/>
        <v>0</v>
      </c>
    </row>
    <row r="207">
      <c r="A207" s="107">
        <f>IFERROR(__xludf.DUMMYFUNCTION("""COMPUTED_VALUE"""),45352.0)</f>
        <v>45352</v>
      </c>
      <c r="B207" t="str">
        <f>IFERROR(__xludf.DUMMYFUNCTION("""COMPUTED_VALUE"""),"蝦皮 氣氛燈/垃圾桶/馬桶刷/拖把")</f>
        <v>蝦皮 氣氛燈/垃圾桶/馬桶刷/拖把</v>
      </c>
      <c r="C207" t="str">
        <f>IFERROR(__xludf.DUMMYFUNCTION("""COMPUTED_VALUE"""),"成本 - 進場前裝潢費")</f>
        <v>成本 - 進場前裝潢費</v>
      </c>
      <c r="D207" s="270">
        <f>IFERROR(__xludf.DUMMYFUNCTION("""COMPUTED_VALUE"""),-2082.0)</f>
        <v>-2082</v>
      </c>
      <c r="E207" t="str">
        <f>IFERROR(__xludf.DUMMYFUNCTION("""COMPUTED_VALUE"""),"Elsa帳戶")</f>
        <v>Elsa帳戶</v>
      </c>
      <c r="G207" t="str">
        <f>IFERROR(__xludf.DUMMYFUNCTION("""COMPUTED_VALUE"""),"北醫醫師府")</f>
        <v>北醫醫師府</v>
      </c>
      <c r="H207" s="106" t="str">
        <f t="shared" si="1"/>
        <v>2024-03</v>
      </c>
      <c r="I207" s="271" t="str">
        <f>IFERROR(__xludf.DUMMYFUNCTION("""COMPUTED_VALUE"""),"貓狗企鵝")</f>
        <v>貓狗企鵝</v>
      </c>
      <c r="J207" t="str">
        <f>IFERROR(__xludf.DUMMYFUNCTION("IFS(
  AND(REGEXMATCH(E207, ""台銀籌備帳戶|玉山帳戶""), REGEXMATCH(C207, ""薪資"")), ""分潤支出"",
  AND(REGEXMATCH(E207, ""Ben帳戶|Elsa帳戶|Ben代墊|Ariel代墊|中信銀行共用""), REGEXMATCH(F207, ""Ben帳戶|Elsa帳戶|Ben代墊|Ariel代墊|中信銀行共用"")), ""內部轉帳(忽略)"",
  AND(E207&lt;&gt;"""", F207&lt;&gt;"""", NOT(REG"&amp;"EXMATCH(C207, ""薪資""))), ""內部轉帳(忽略)"",
  REGEXMATCH(C207, ""薪資""), ""薪資變動(不計入)"",
  REGEXMATCH(C207, ""押金""), ""押金往來"",
  AND(E207&lt;&gt;"""", F207=""""), ""真實支出"",
  AND(E207="""", F207&lt;&gt;""""), ""真實收入"",
  TRUE, ""其他""
)"),"真實支出")</f>
        <v>真實支出</v>
      </c>
      <c r="K207" s="270">
        <f t="shared" si="2"/>
        <v>-2082</v>
      </c>
      <c r="L207">
        <f t="shared" si="3"/>
        <v>0</v>
      </c>
    </row>
    <row r="208">
      <c r="A208" s="107">
        <f>IFERROR(__xludf.DUMMYFUNCTION("""COMPUTED_VALUE"""),45352.0)</f>
        <v>45352</v>
      </c>
      <c r="B208" t="str">
        <f>IFERROR(__xludf.DUMMYFUNCTION("""COMPUTED_VALUE"""),"MoMo 2台冰箱")</f>
        <v>MoMo 2台冰箱</v>
      </c>
      <c r="C208" t="str">
        <f>IFERROR(__xludf.DUMMYFUNCTION("""COMPUTED_VALUE"""),"成本 - 進場前裝潢費")</f>
        <v>成本 - 進場前裝潢費</v>
      </c>
      <c r="D208" s="270">
        <f>IFERROR(__xludf.DUMMYFUNCTION("""COMPUTED_VALUE"""),-29641.0)</f>
        <v>-29641</v>
      </c>
      <c r="E208" t="str">
        <f>IFERROR(__xludf.DUMMYFUNCTION("""COMPUTED_VALUE"""),"Elsa帳戶")</f>
        <v>Elsa帳戶</v>
      </c>
      <c r="G208" t="str">
        <f>IFERROR(__xludf.DUMMYFUNCTION("""COMPUTED_VALUE"""),"北醫醫師府")</f>
        <v>北醫醫師府</v>
      </c>
      <c r="H208" s="106" t="str">
        <f t="shared" si="1"/>
        <v>2024-03</v>
      </c>
      <c r="I208" s="271" t="str">
        <f>IFERROR(__xludf.DUMMYFUNCTION("""COMPUTED_VALUE"""),"貓狗企鵝")</f>
        <v>貓狗企鵝</v>
      </c>
      <c r="J208" t="str">
        <f>IFERROR(__xludf.DUMMYFUNCTION("IFS(
  AND(REGEXMATCH(E208, ""台銀籌備帳戶|玉山帳戶""), REGEXMATCH(C208, ""薪資"")), ""分潤支出"",
  AND(REGEXMATCH(E208, ""Ben帳戶|Elsa帳戶|Ben代墊|Ariel代墊|中信銀行共用""), REGEXMATCH(F208, ""Ben帳戶|Elsa帳戶|Ben代墊|Ariel代墊|中信銀行共用"")), ""內部轉帳(忽略)"",
  AND(E208&lt;&gt;"""", F208&lt;&gt;"""", NOT(REG"&amp;"EXMATCH(C208, ""薪資""))), ""內部轉帳(忽略)"",
  REGEXMATCH(C208, ""薪資""), ""薪資變動(不計入)"",
  REGEXMATCH(C208, ""押金""), ""押金往來"",
  AND(E208&lt;&gt;"""", F208=""""), ""真實支出"",
  AND(E208="""", F208&lt;&gt;""""), ""真實收入"",
  TRUE, ""其他""
)"),"真實支出")</f>
        <v>真實支出</v>
      </c>
      <c r="K208" s="270">
        <f t="shared" si="2"/>
        <v>-29641</v>
      </c>
      <c r="L208">
        <f t="shared" si="3"/>
        <v>0</v>
      </c>
    </row>
    <row r="209">
      <c r="A209" s="107">
        <f>IFERROR(__xludf.DUMMYFUNCTION("""COMPUTED_VALUE"""),45352.0)</f>
        <v>45352</v>
      </c>
      <c r="B209" t="str">
        <f>IFERROR(__xludf.DUMMYFUNCTION("""COMPUTED_VALUE"""),"搬家費")</f>
        <v>搬家費</v>
      </c>
      <c r="C209" t="str">
        <f>IFERROR(__xludf.DUMMYFUNCTION("""COMPUTED_VALUE"""),"成本 - 進場前裝潢費")</f>
        <v>成本 - 進場前裝潢費</v>
      </c>
      <c r="D209" s="270">
        <f>IFERROR(__xludf.DUMMYFUNCTION("""COMPUTED_VALUE"""),-4000.0)</f>
        <v>-4000</v>
      </c>
      <c r="E209" t="str">
        <f>IFERROR(__xludf.DUMMYFUNCTION("""COMPUTED_VALUE"""),"Ben帳戶")</f>
        <v>Ben帳戶</v>
      </c>
      <c r="G209" t="str">
        <f>IFERROR(__xludf.DUMMYFUNCTION("""COMPUTED_VALUE"""),"哈拉對面")</f>
        <v>哈拉對面</v>
      </c>
      <c r="H209" s="106" t="str">
        <f t="shared" si="1"/>
        <v>2024-03</v>
      </c>
      <c r="I209" s="271" t="str">
        <f>IFERROR(__xludf.DUMMYFUNCTION("""COMPUTED_VALUE"""),"貓狗企鵝")</f>
        <v>貓狗企鵝</v>
      </c>
      <c r="J209" t="str">
        <f>IFERROR(__xludf.DUMMYFUNCTION("IFS(
  AND(REGEXMATCH(E209, ""台銀籌備帳戶|玉山帳戶""), REGEXMATCH(C209, ""薪資"")), ""分潤支出"",
  AND(REGEXMATCH(E209, ""Ben帳戶|Elsa帳戶|Ben代墊|Ariel代墊|中信銀行共用""), REGEXMATCH(F209, ""Ben帳戶|Elsa帳戶|Ben代墊|Ariel代墊|中信銀行共用"")), ""內部轉帳(忽略)"",
  AND(E209&lt;&gt;"""", F209&lt;&gt;"""", NOT(REG"&amp;"EXMATCH(C209, ""薪資""))), ""內部轉帳(忽略)"",
  REGEXMATCH(C209, ""薪資""), ""薪資變動(不計入)"",
  REGEXMATCH(C209, ""押金""), ""押金往來"",
  AND(E209&lt;&gt;"""", F209=""""), ""真實支出"",
  AND(E209="""", F209&lt;&gt;""""), ""真實收入"",
  TRUE, ""其他""
)"),"真實支出")</f>
        <v>真實支出</v>
      </c>
      <c r="K209" s="270">
        <f t="shared" si="2"/>
        <v>-4000</v>
      </c>
      <c r="L209">
        <f t="shared" si="3"/>
        <v>0</v>
      </c>
    </row>
    <row r="210">
      <c r="A210" s="107">
        <f>IFERROR(__xludf.DUMMYFUNCTION("""COMPUTED_VALUE"""),45352.0)</f>
        <v>45352</v>
      </c>
      <c r="B210" t="str">
        <f>IFERROR(__xludf.DUMMYFUNCTION("""COMPUTED_VALUE"""),"龍江229A莊美娟")</f>
        <v>龍江229A莊美娟</v>
      </c>
      <c r="C210" t="str">
        <f>IFERROR(__xludf.DUMMYFUNCTION("""COMPUTED_VALUE"""),"收入 - 租金")</f>
        <v>收入 - 租金</v>
      </c>
      <c r="D210" s="270">
        <f>IFERROR(__xludf.DUMMYFUNCTION("""COMPUTED_VALUE"""),12800.0)</f>
        <v>12800</v>
      </c>
      <c r="F210" t="str">
        <f>IFERROR(__xludf.DUMMYFUNCTION("""COMPUTED_VALUE"""),"台銀籌備帳戶")</f>
        <v>台銀籌備帳戶</v>
      </c>
      <c r="G210" t="str">
        <f>IFERROR(__xludf.DUMMYFUNCTION("""COMPUTED_VALUE"""),"龍江229")</f>
        <v>龍江229</v>
      </c>
      <c r="H210" s="106" t="str">
        <f t="shared" si="1"/>
        <v>2024-03</v>
      </c>
      <c r="I210" s="271" t="str">
        <f>IFERROR(__xludf.DUMMYFUNCTION("""COMPUTED_VALUE"""),"貓狗企鵝")</f>
        <v>貓狗企鵝</v>
      </c>
      <c r="J210" t="str">
        <f>IFERROR(__xludf.DUMMYFUNCTION("IFS(
  AND(REGEXMATCH(E210, ""台銀籌備帳戶|玉山帳戶""), REGEXMATCH(C210, ""薪資"")), ""分潤支出"",
  AND(REGEXMATCH(E210, ""Ben帳戶|Elsa帳戶|Ben代墊|Ariel代墊|中信銀行共用""), REGEXMATCH(F210, ""Ben帳戶|Elsa帳戶|Ben代墊|Ariel代墊|中信銀行共用"")), ""內部轉帳(忽略)"",
  AND(E210&lt;&gt;"""", F210&lt;&gt;"""", NOT(REG"&amp;"EXMATCH(C210, ""薪資""))), ""內部轉帳(忽略)"",
  REGEXMATCH(C210, ""薪資""), ""薪資變動(不計入)"",
  REGEXMATCH(C210, ""押金""), ""押金往來"",
  AND(E210&lt;&gt;"""", F210=""""), ""真實支出"",
  AND(E210="""", F210&lt;&gt;""""), ""真實收入"",
  TRUE, ""其他""
)"),"真實收入")</f>
        <v>真實收入</v>
      </c>
      <c r="K210" s="270">
        <f t="shared" si="2"/>
        <v>12800</v>
      </c>
      <c r="L210">
        <f t="shared" si="3"/>
        <v>0</v>
      </c>
    </row>
    <row r="211">
      <c r="A211" s="107">
        <f>IFERROR(__xludf.DUMMYFUNCTION("""COMPUTED_VALUE"""),45352.0)</f>
        <v>45352</v>
      </c>
      <c r="B211" t="str">
        <f>IFERROR(__xludf.DUMMYFUNCTION("""COMPUTED_VALUE"""),"永春四號D翁政熙")</f>
        <v>永春四號D翁政熙</v>
      </c>
      <c r="C211" t="str">
        <f>IFERROR(__xludf.DUMMYFUNCTION("""COMPUTED_VALUE"""),"收入 - 租金")</f>
        <v>收入 - 租金</v>
      </c>
      <c r="D211" s="270">
        <f>IFERROR(__xludf.DUMMYFUNCTION("""COMPUTED_VALUE"""),14800.0)</f>
        <v>14800</v>
      </c>
      <c r="F211" t="str">
        <f>IFERROR(__xludf.DUMMYFUNCTION("""COMPUTED_VALUE"""),"台銀籌備帳戶")</f>
        <v>台銀籌備帳戶</v>
      </c>
      <c r="G211" t="str">
        <f>IFERROR(__xludf.DUMMYFUNCTION("""COMPUTED_VALUE"""),"永春四號")</f>
        <v>永春四號</v>
      </c>
      <c r="H211" s="106" t="str">
        <f t="shared" si="1"/>
        <v>2024-03</v>
      </c>
      <c r="I211" s="271" t="str">
        <f>IFERROR(__xludf.DUMMYFUNCTION("""COMPUTED_VALUE"""),"貓狗企鵝")</f>
        <v>貓狗企鵝</v>
      </c>
      <c r="J211" t="str">
        <f>IFERROR(__xludf.DUMMYFUNCTION("IFS(
  AND(REGEXMATCH(E211, ""台銀籌備帳戶|玉山帳戶""), REGEXMATCH(C211, ""薪資"")), ""分潤支出"",
  AND(REGEXMATCH(E211, ""Ben帳戶|Elsa帳戶|Ben代墊|Ariel代墊|中信銀行共用""), REGEXMATCH(F211, ""Ben帳戶|Elsa帳戶|Ben代墊|Ariel代墊|中信銀行共用"")), ""內部轉帳(忽略)"",
  AND(E211&lt;&gt;"""", F211&lt;&gt;"""", NOT(REG"&amp;"EXMATCH(C211, ""薪資""))), ""內部轉帳(忽略)"",
  REGEXMATCH(C211, ""薪資""), ""薪資變動(不計入)"",
  REGEXMATCH(C211, ""押金""), ""押金往來"",
  AND(E211&lt;&gt;"""", F211=""""), ""真實支出"",
  AND(E211="""", F211&lt;&gt;""""), ""真實收入"",
  TRUE, ""其他""
)"),"真實收入")</f>
        <v>真實收入</v>
      </c>
      <c r="K211" s="270">
        <f t="shared" si="2"/>
        <v>14800</v>
      </c>
      <c r="L211">
        <f t="shared" si="3"/>
        <v>0</v>
      </c>
    </row>
    <row r="212">
      <c r="A212" s="107">
        <f>IFERROR(__xludf.DUMMYFUNCTION("""COMPUTED_VALUE"""),45352.0)</f>
        <v>45352</v>
      </c>
      <c r="B212" t="str">
        <f>IFERROR(__xludf.DUMMYFUNCTION("""COMPUTED_VALUE"""),"永春郭大哥")</f>
        <v>永春郭大哥</v>
      </c>
      <c r="C212" t="str">
        <f>IFERROR(__xludf.DUMMYFUNCTION("""COMPUTED_VALUE"""),"成本 - 大租金")</f>
        <v>成本 - 大租金</v>
      </c>
      <c r="D212" s="270">
        <f>IFERROR(__xludf.DUMMYFUNCTION("""COMPUTED_VALUE"""),-17015.0)</f>
        <v>-17015</v>
      </c>
      <c r="E212" t="str">
        <f>IFERROR(__xludf.DUMMYFUNCTION("""COMPUTED_VALUE"""),"台銀籌備帳戶")</f>
        <v>台銀籌備帳戶</v>
      </c>
      <c r="G212" t="str">
        <f>IFERROR(__xludf.DUMMYFUNCTION("""COMPUTED_VALUE"""),"永春四號")</f>
        <v>永春四號</v>
      </c>
      <c r="H212" s="106" t="str">
        <f t="shared" si="1"/>
        <v>2024-03</v>
      </c>
      <c r="I212" s="271" t="str">
        <f>IFERROR(__xludf.DUMMYFUNCTION("""COMPUTED_VALUE"""),"貓狗企鵝")</f>
        <v>貓狗企鵝</v>
      </c>
      <c r="J212" t="str">
        <f>IFERROR(__xludf.DUMMYFUNCTION("IFS(
  AND(REGEXMATCH(E212, ""台銀籌備帳戶|玉山帳戶""), REGEXMATCH(C212, ""薪資"")), ""分潤支出"",
  AND(REGEXMATCH(E212, ""Ben帳戶|Elsa帳戶|Ben代墊|Ariel代墊|中信銀行共用""), REGEXMATCH(F212, ""Ben帳戶|Elsa帳戶|Ben代墊|Ariel代墊|中信銀行共用"")), ""內部轉帳(忽略)"",
  AND(E212&lt;&gt;"""", F212&lt;&gt;"""", NOT(REG"&amp;"EXMATCH(C212, ""薪資""))), ""內部轉帳(忽略)"",
  REGEXMATCH(C212, ""薪資""), ""薪資變動(不計入)"",
  REGEXMATCH(C212, ""押金""), ""押金往來"",
  AND(E212&lt;&gt;"""", F212=""""), ""真實支出"",
  AND(E212="""", F212&lt;&gt;""""), ""真實收入"",
  TRUE, ""其他""
)"),"真實支出")</f>
        <v>真實支出</v>
      </c>
      <c r="K212" s="270">
        <f t="shared" si="2"/>
        <v>-17015</v>
      </c>
      <c r="L212">
        <f t="shared" si="3"/>
        <v>0</v>
      </c>
    </row>
    <row r="213">
      <c r="A213" s="107">
        <f>IFERROR(__xludf.DUMMYFUNCTION("""COMPUTED_VALUE"""),45352.0)</f>
        <v>45352</v>
      </c>
      <c r="B213" t="str">
        <f>IFERROR(__xludf.DUMMYFUNCTION("""COMPUTED_VALUE"""),"永春郭大哥")</f>
        <v>永春郭大哥</v>
      </c>
      <c r="C213" t="str">
        <f>IFERROR(__xludf.DUMMYFUNCTION("""COMPUTED_VALUE"""),"成本 - 大租金")</f>
        <v>成本 - 大租金</v>
      </c>
      <c r="D213" s="270">
        <f>IFERROR(__xludf.DUMMYFUNCTION("""COMPUTED_VALUE"""),-17015.0)</f>
        <v>-17015</v>
      </c>
      <c r="E213" t="str">
        <f>IFERROR(__xludf.DUMMYFUNCTION("""COMPUTED_VALUE"""),"台銀籌備帳戶")</f>
        <v>台銀籌備帳戶</v>
      </c>
      <c r="G213" t="str">
        <f>IFERROR(__xludf.DUMMYFUNCTION("""COMPUTED_VALUE"""),"永春四號")</f>
        <v>永春四號</v>
      </c>
      <c r="H213" s="106" t="str">
        <f t="shared" si="1"/>
        <v>2024-03</v>
      </c>
      <c r="I213" s="271" t="str">
        <f>IFERROR(__xludf.DUMMYFUNCTION("""COMPUTED_VALUE"""),"貓狗企鵝")</f>
        <v>貓狗企鵝</v>
      </c>
      <c r="J213" t="str">
        <f>IFERROR(__xludf.DUMMYFUNCTION("IFS(
  AND(REGEXMATCH(E213, ""台銀籌備帳戶|玉山帳戶""), REGEXMATCH(C213, ""薪資"")), ""分潤支出"",
  AND(REGEXMATCH(E213, ""Ben帳戶|Elsa帳戶|Ben代墊|Ariel代墊|中信銀行共用""), REGEXMATCH(F213, ""Ben帳戶|Elsa帳戶|Ben代墊|Ariel代墊|中信銀行共用"")), ""內部轉帳(忽略)"",
  AND(E213&lt;&gt;"""", F213&lt;&gt;"""", NOT(REG"&amp;"EXMATCH(C213, ""薪資""))), ""內部轉帳(忽略)"",
  REGEXMATCH(C213, ""薪資""), ""薪資變動(不計入)"",
  REGEXMATCH(C213, ""押金""), ""押金往來"",
  AND(E213&lt;&gt;"""", F213=""""), ""真實支出"",
  AND(E213="""", F213&lt;&gt;""""), ""真實收入"",
  TRUE, ""其他""
)"),"真實支出")</f>
        <v>真實支出</v>
      </c>
      <c r="K213" s="270">
        <f t="shared" si="2"/>
        <v>-17015</v>
      </c>
      <c r="L213">
        <f t="shared" si="3"/>
        <v>0</v>
      </c>
    </row>
    <row r="214">
      <c r="A214" s="107">
        <f>IFERROR(__xludf.DUMMYFUNCTION("""COMPUTED_VALUE"""),45352.0)</f>
        <v>45352</v>
      </c>
      <c r="B214" t="str">
        <f>IFERROR(__xludf.DUMMYFUNCTION("""COMPUTED_VALUE"""),"永春四號B袁家鳳")</f>
        <v>永春四號B袁家鳳</v>
      </c>
      <c r="C214" t="str">
        <f>IFERROR(__xludf.DUMMYFUNCTION("""COMPUTED_VALUE"""),"收入 - 租金")</f>
        <v>收入 - 租金</v>
      </c>
      <c r="D214" s="270">
        <f>IFERROR(__xludf.DUMMYFUNCTION("""COMPUTED_VALUE"""),13500.0)</f>
        <v>13500</v>
      </c>
      <c r="F214" t="str">
        <f>IFERROR(__xludf.DUMMYFUNCTION("""COMPUTED_VALUE"""),"台銀籌備帳戶")</f>
        <v>台銀籌備帳戶</v>
      </c>
      <c r="G214" t="str">
        <f>IFERROR(__xludf.DUMMYFUNCTION("""COMPUTED_VALUE"""),"永春四號")</f>
        <v>永春四號</v>
      </c>
      <c r="H214" s="106" t="str">
        <f t="shared" si="1"/>
        <v>2024-03</v>
      </c>
      <c r="I214" s="271" t="str">
        <f>IFERROR(__xludf.DUMMYFUNCTION("""COMPUTED_VALUE"""),"貓狗企鵝")</f>
        <v>貓狗企鵝</v>
      </c>
      <c r="J214" t="str">
        <f>IFERROR(__xludf.DUMMYFUNCTION("IFS(
  AND(REGEXMATCH(E214, ""台銀籌備帳戶|玉山帳戶""), REGEXMATCH(C214, ""薪資"")), ""分潤支出"",
  AND(REGEXMATCH(E214, ""Ben帳戶|Elsa帳戶|Ben代墊|Ariel代墊|中信銀行共用""), REGEXMATCH(F214, ""Ben帳戶|Elsa帳戶|Ben代墊|Ariel代墊|中信銀行共用"")), ""內部轉帳(忽略)"",
  AND(E214&lt;&gt;"""", F214&lt;&gt;"""", NOT(REG"&amp;"EXMATCH(C214, ""薪資""))), ""內部轉帳(忽略)"",
  REGEXMATCH(C214, ""薪資""), ""薪資變動(不計入)"",
  REGEXMATCH(C214, ""押金""), ""押金往來"",
  AND(E214&lt;&gt;"""", F214=""""), ""真實支出"",
  AND(E214="""", F214&lt;&gt;""""), ""真實收入"",
  TRUE, ""其他""
)"),"真實收入")</f>
        <v>真實收入</v>
      </c>
      <c r="K214" s="270">
        <f t="shared" si="2"/>
        <v>13500</v>
      </c>
      <c r="L214">
        <f t="shared" si="3"/>
        <v>0</v>
      </c>
    </row>
    <row r="215">
      <c r="A215" s="107">
        <f>IFERROR(__xludf.DUMMYFUNCTION("""COMPUTED_VALUE"""),45352.0)</f>
        <v>45352</v>
      </c>
      <c r="B215" t="str">
        <f>IFERROR(__xludf.DUMMYFUNCTION("""COMPUTED_VALUE"""),"佳惠的錢")</f>
        <v>佳惠的錢</v>
      </c>
      <c r="C215" t="str">
        <f>IFERROR(__xludf.DUMMYFUNCTION("""COMPUTED_VALUE"""),"費用 - Salary 薪資")</f>
        <v>費用 - Salary 薪資</v>
      </c>
      <c r="D215" s="270">
        <f>IFERROR(__xludf.DUMMYFUNCTION("""COMPUTED_VALUE"""),-29015.0)</f>
        <v>-29015</v>
      </c>
      <c r="E215" t="str">
        <f>IFERROR(__xludf.DUMMYFUNCTION("""COMPUTED_VALUE"""),"台銀籌備帳戶")</f>
        <v>台銀籌備帳戶</v>
      </c>
      <c r="F215" t="str">
        <f>IFERROR(__xludf.DUMMYFUNCTION("""COMPUTED_VALUE"""),"Elsa帳戶")</f>
        <v>Elsa帳戶</v>
      </c>
      <c r="H215" s="106" t="str">
        <f t="shared" si="1"/>
        <v>2024-03</v>
      </c>
      <c r="I215" s="271" t="str">
        <f>IFERROR(__xludf.DUMMYFUNCTION("""COMPUTED_VALUE"""),"貓狗企鵝")</f>
        <v>貓狗企鵝</v>
      </c>
      <c r="J215" t="str">
        <f>IFERROR(__xludf.DUMMYFUNCTION("IFS(
  AND(REGEXMATCH(E215, ""台銀籌備帳戶|玉山帳戶""), REGEXMATCH(C215, ""薪資"")), ""分潤支出"",
  AND(REGEXMATCH(E215, ""Ben帳戶|Elsa帳戶|Ben代墊|Ariel代墊|中信銀行共用""), REGEXMATCH(F215, ""Ben帳戶|Elsa帳戶|Ben代墊|Ariel代墊|中信銀行共用"")), ""內部轉帳(忽略)"",
  AND(E215&lt;&gt;"""", F215&lt;&gt;"""", NOT(REG"&amp;"EXMATCH(C215, ""薪資""))), ""內部轉帳(忽略)"",
  REGEXMATCH(C215, ""薪資""), ""薪資變動(不計入)"",
  REGEXMATCH(C215, ""押金""), ""押金往來"",
  AND(E215&lt;&gt;"""", F215=""""), ""真實支出"",
  AND(E215="""", F215&lt;&gt;""""), ""真實收入"",
  TRUE, ""其他""
)"),"分潤支出")</f>
        <v>分潤支出</v>
      </c>
      <c r="K215">
        <f t="shared" si="2"/>
        <v>0</v>
      </c>
      <c r="L215">
        <f t="shared" si="3"/>
        <v>29015</v>
      </c>
    </row>
    <row r="216">
      <c r="A216" s="107">
        <f>IFERROR(__xludf.DUMMYFUNCTION("""COMPUTED_VALUE"""),45352.0)</f>
        <v>45352</v>
      </c>
      <c r="B216" t="str">
        <f>IFERROR(__xludf.DUMMYFUNCTION("""COMPUTED_VALUE"""),"龍江229游r")</f>
        <v>龍江229游r</v>
      </c>
      <c r="C216" t="str">
        <f>IFERROR(__xludf.DUMMYFUNCTION("""COMPUTED_VALUE"""),"成本 - 大租金")</f>
        <v>成本 - 大租金</v>
      </c>
      <c r="D216" s="270">
        <f>IFERROR(__xludf.DUMMYFUNCTION("""COMPUTED_VALUE"""),-21990.0)</f>
        <v>-21990</v>
      </c>
      <c r="E216" t="str">
        <f>IFERROR(__xludf.DUMMYFUNCTION("""COMPUTED_VALUE"""),"台銀籌備帳戶")</f>
        <v>台銀籌備帳戶</v>
      </c>
      <c r="G216" t="str">
        <f>IFERROR(__xludf.DUMMYFUNCTION("""COMPUTED_VALUE"""),"龍江229")</f>
        <v>龍江229</v>
      </c>
      <c r="H216" s="106" t="str">
        <f t="shared" si="1"/>
        <v>2024-03</v>
      </c>
      <c r="I216" s="271" t="str">
        <f>IFERROR(__xludf.DUMMYFUNCTION("""COMPUTED_VALUE"""),"貓狗企鵝")</f>
        <v>貓狗企鵝</v>
      </c>
      <c r="J216" t="str">
        <f>IFERROR(__xludf.DUMMYFUNCTION("IFS(
  AND(REGEXMATCH(E216, ""台銀籌備帳戶|玉山帳戶""), REGEXMATCH(C216, ""薪資"")), ""分潤支出"",
  AND(REGEXMATCH(E216, ""Ben帳戶|Elsa帳戶|Ben代墊|Ariel代墊|中信銀行共用""), REGEXMATCH(F216, ""Ben帳戶|Elsa帳戶|Ben代墊|Ariel代墊|中信銀行共用"")), ""內部轉帳(忽略)"",
  AND(E216&lt;&gt;"""", F216&lt;&gt;"""", NOT(REG"&amp;"EXMATCH(C216, ""薪資""))), ""內部轉帳(忽略)"",
  REGEXMATCH(C216, ""薪資""), ""薪資變動(不計入)"",
  REGEXMATCH(C216, ""押金""), ""押金往來"",
  AND(E216&lt;&gt;"""", F216=""""), ""真實支出"",
  AND(E216="""", F216&lt;&gt;""""), ""真實收入"",
  TRUE, ""其他""
)"),"真實支出")</f>
        <v>真實支出</v>
      </c>
      <c r="K216" s="270">
        <f t="shared" si="2"/>
        <v>-21990</v>
      </c>
      <c r="L216">
        <f t="shared" si="3"/>
        <v>0</v>
      </c>
    </row>
    <row r="217">
      <c r="A217" s="107">
        <f>IFERROR(__xludf.DUMMYFUNCTION("""COMPUTED_VALUE"""),45352.0)</f>
        <v>45352</v>
      </c>
      <c r="B217" t="str">
        <f>IFERROR(__xludf.DUMMYFUNCTION("""COMPUTED_VALUE"""),"Ben代墊")</f>
        <v>Ben代墊</v>
      </c>
      <c r="C217" t="str">
        <f>IFERROR(__xludf.DUMMYFUNCTION("""COMPUTED_VALUE"""),"費用 - Salary 薪資")</f>
        <v>費用 - Salary 薪資</v>
      </c>
      <c r="D217" s="270">
        <f>IFERROR(__xludf.DUMMYFUNCTION("""COMPUTED_VALUE"""),-29030.0)</f>
        <v>-29030</v>
      </c>
      <c r="E217" t="str">
        <f>IFERROR(__xludf.DUMMYFUNCTION("""COMPUTED_VALUE"""),"台銀籌備帳戶")</f>
        <v>台銀籌備帳戶</v>
      </c>
      <c r="F217" t="str">
        <f>IFERROR(__xludf.DUMMYFUNCTION("""COMPUTED_VALUE"""),"Ben帳戶")</f>
        <v>Ben帳戶</v>
      </c>
      <c r="H217" s="106" t="str">
        <f t="shared" si="1"/>
        <v>2024-03</v>
      </c>
      <c r="I217" s="271" t="str">
        <f>IFERROR(__xludf.DUMMYFUNCTION("""COMPUTED_VALUE"""),"貓狗企鵝")</f>
        <v>貓狗企鵝</v>
      </c>
      <c r="J217" t="str">
        <f>IFERROR(__xludf.DUMMYFUNCTION("IFS(
  AND(REGEXMATCH(E217, ""台銀籌備帳戶|玉山帳戶""), REGEXMATCH(C217, ""薪資"")), ""分潤支出"",
  AND(REGEXMATCH(E217, ""Ben帳戶|Elsa帳戶|Ben代墊|Ariel代墊|中信銀行共用""), REGEXMATCH(F217, ""Ben帳戶|Elsa帳戶|Ben代墊|Ariel代墊|中信銀行共用"")), ""內部轉帳(忽略)"",
  AND(E217&lt;&gt;"""", F217&lt;&gt;"""", NOT(REG"&amp;"EXMATCH(C217, ""薪資""))), ""內部轉帳(忽略)"",
  REGEXMATCH(C217, ""薪資""), ""薪資變動(不計入)"",
  REGEXMATCH(C217, ""押金""), ""押金往來"",
  AND(E217&lt;&gt;"""", F217=""""), ""真實支出"",
  AND(E217="""", F217&lt;&gt;""""), ""真實收入"",
  TRUE, ""其他""
)"),"分潤支出")</f>
        <v>分潤支出</v>
      </c>
      <c r="K217">
        <f t="shared" si="2"/>
        <v>0</v>
      </c>
      <c r="L217">
        <f t="shared" si="3"/>
        <v>29030</v>
      </c>
    </row>
    <row r="218">
      <c r="A218" s="107">
        <f>IFERROR(__xludf.DUMMYFUNCTION("""COMPUTED_VALUE"""),45352.0)</f>
        <v>45352</v>
      </c>
      <c r="B218" t="str">
        <f>IFERROR(__xludf.DUMMYFUNCTION("""COMPUTED_VALUE"""),"龍江229D黃依婷")</f>
        <v>龍江229D黃依婷</v>
      </c>
      <c r="C218" t="str">
        <f>IFERROR(__xludf.DUMMYFUNCTION("""COMPUTED_VALUE"""),"收入 - 租金")</f>
        <v>收入 - 租金</v>
      </c>
      <c r="D218" s="270">
        <f>IFERROR(__xludf.DUMMYFUNCTION("""COMPUTED_VALUE"""),13300.0)</f>
        <v>13300</v>
      </c>
      <c r="F218" t="str">
        <f>IFERROR(__xludf.DUMMYFUNCTION("""COMPUTED_VALUE"""),"台銀籌備帳戶")</f>
        <v>台銀籌備帳戶</v>
      </c>
      <c r="G218" t="str">
        <f>IFERROR(__xludf.DUMMYFUNCTION("""COMPUTED_VALUE"""),"龍江229")</f>
        <v>龍江229</v>
      </c>
      <c r="H218" s="106" t="str">
        <f t="shared" si="1"/>
        <v>2024-03</v>
      </c>
      <c r="I218" s="271" t="str">
        <f>IFERROR(__xludf.DUMMYFUNCTION("""COMPUTED_VALUE"""),"貓狗企鵝")</f>
        <v>貓狗企鵝</v>
      </c>
      <c r="J218" t="str">
        <f>IFERROR(__xludf.DUMMYFUNCTION("IFS(
  AND(REGEXMATCH(E218, ""台銀籌備帳戶|玉山帳戶""), REGEXMATCH(C218, ""薪資"")), ""分潤支出"",
  AND(REGEXMATCH(E218, ""Ben帳戶|Elsa帳戶|Ben代墊|Ariel代墊|中信銀行共用""), REGEXMATCH(F218, ""Ben帳戶|Elsa帳戶|Ben代墊|Ariel代墊|中信銀行共用"")), ""內部轉帳(忽略)"",
  AND(E218&lt;&gt;"""", F218&lt;&gt;"""", NOT(REG"&amp;"EXMATCH(C218, ""薪資""))), ""內部轉帳(忽略)"",
  REGEXMATCH(C218, ""薪資""), ""薪資變動(不計入)"",
  REGEXMATCH(C218, ""押金""), ""押金往來"",
  AND(E218&lt;&gt;"""", F218=""""), ""真實支出"",
  AND(E218="""", F218&lt;&gt;""""), ""真實收入"",
  TRUE, ""其他""
)"),"真實收入")</f>
        <v>真實收入</v>
      </c>
      <c r="K218" s="270">
        <f t="shared" si="2"/>
        <v>13300</v>
      </c>
      <c r="L218">
        <f t="shared" si="3"/>
        <v>0</v>
      </c>
    </row>
    <row r="219">
      <c r="A219" s="107">
        <f>IFERROR(__xludf.DUMMYFUNCTION("""COMPUTED_VALUE"""),45353.0)</f>
        <v>45353</v>
      </c>
      <c r="B219" t="str">
        <f>IFERROR(__xludf.DUMMYFUNCTION("""COMPUTED_VALUE"""),"永春四號C林聿妡")</f>
        <v>永春四號C林聿妡</v>
      </c>
      <c r="C219" t="str">
        <f>IFERROR(__xludf.DUMMYFUNCTION("""COMPUTED_VALUE"""),"收入 - 租金")</f>
        <v>收入 - 租金</v>
      </c>
      <c r="D219" s="270">
        <f>IFERROR(__xludf.DUMMYFUNCTION("""COMPUTED_VALUE"""),10800.0)</f>
        <v>10800</v>
      </c>
      <c r="F219" t="str">
        <f>IFERROR(__xludf.DUMMYFUNCTION("""COMPUTED_VALUE"""),"台銀籌備帳戶")</f>
        <v>台銀籌備帳戶</v>
      </c>
      <c r="G219" t="str">
        <f>IFERROR(__xludf.DUMMYFUNCTION("""COMPUTED_VALUE"""),"永春四號")</f>
        <v>永春四號</v>
      </c>
      <c r="H219" s="106" t="str">
        <f t="shared" si="1"/>
        <v>2024-03</v>
      </c>
      <c r="I219" s="271" t="str">
        <f>IFERROR(__xludf.DUMMYFUNCTION("""COMPUTED_VALUE"""),"貓狗企鵝")</f>
        <v>貓狗企鵝</v>
      </c>
      <c r="J219" t="str">
        <f>IFERROR(__xludf.DUMMYFUNCTION("IFS(
  AND(REGEXMATCH(E219, ""台銀籌備帳戶|玉山帳戶""), REGEXMATCH(C219, ""薪資"")), ""分潤支出"",
  AND(REGEXMATCH(E219, ""Ben帳戶|Elsa帳戶|Ben代墊|Ariel代墊|中信銀行共用""), REGEXMATCH(F219, ""Ben帳戶|Elsa帳戶|Ben代墊|Ariel代墊|中信銀行共用"")), ""內部轉帳(忽略)"",
  AND(E219&lt;&gt;"""", F219&lt;&gt;"""", NOT(REG"&amp;"EXMATCH(C219, ""薪資""))), ""內部轉帳(忽略)"",
  REGEXMATCH(C219, ""薪資""), ""薪資變動(不計入)"",
  REGEXMATCH(C219, ""押金""), ""押金往來"",
  AND(E219&lt;&gt;"""", F219=""""), ""真實支出"",
  AND(E219="""", F219&lt;&gt;""""), ""真實收入"",
  TRUE, ""其他""
)"),"真實收入")</f>
        <v>真實收入</v>
      </c>
      <c r="K219" s="270">
        <f t="shared" si="2"/>
        <v>10800</v>
      </c>
      <c r="L219">
        <f t="shared" si="3"/>
        <v>0</v>
      </c>
    </row>
    <row r="220">
      <c r="A220" s="107">
        <f>IFERROR(__xludf.DUMMYFUNCTION("""COMPUTED_VALUE"""),45353.0)</f>
        <v>45353</v>
      </c>
      <c r="B220" t="str">
        <f>IFERROR(__xludf.DUMMYFUNCTION("""COMPUTED_VALUE"""),"龍江229B陳佩娟")</f>
        <v>龍江229B陳佩娟</v>
      </c>
      <c r="C220" t="str">
        <f>IFERROR(__xludf.DUMMYFUNCTION("""COMPUTED_VALUE"""),"收入 - 租金")</f>
        <v>收入 - 租金</v>
      </c>
      <c r="D220" s="270">
        <f>IFERROR(__xludf.DUMMYFUNCTION("""COMPUTED_VALUE"""),13000.0)</f>
        <v>13000</v>
      </c>
      <c r="F220" t="str">
        <f>IFERROR(__xludf.DUMMYFUNCTION("""COMPUTED_VALUE"""),"台銀籌備帳戶")</f>
        <v>台銀籌備帳戶</v>
      </c>
      <c r="G220" t="str">
        <f>IFERROR(__xludf.DUMMYFUNCTION("""COMPUTED_VALUE"""),"龍江229")</f>
        <v>龍江229</v>
      </c>
      <c r="H220" s="106" t="str">
        <f t="shared" si="1"/>
        <v>2024-03</v>
      </c>
      <c r="I220" s="271" t="str">
        <f>IFERROR(__xludf.DUMMYFUNCTION("""COMPUTED_VALUE"""),"貓狗企鵝")</f>
        <v>貓狗企鵝</v>
      </c>
      <c r="J220" t="str">
        <f>IFERROR(__xludf.DUMMYFUNCTION("IFS(
  AND(REGEXMATCH(E220, ""台銀籌備帳戶|玉山帳戶""), REGEXMATCH(C220, ""薪資"")), ""分潤支出"",
  AND(REGEXMATCH(E220, ""Ben帳戶|Elsa帳戶|Ben代墊|Ariel代墊|中信銀行共用""), REGEXMATCH(F220, ""Ben帳戶|Elsa帳戶|Ben代墊|Ariel代墊|中信銀行共用"")), ""內部轉帳(忽略)"",
  AND(E220&lt;&gt;"""", F220&lt;&gt;"""", NOT(REG"&amp;"EXMATCH(C220, ""薪資""))), ""內部轉帳(忽略)"",
  REGEXMATCH(C220, ""薪資""), ""薪資變動(不計入)"",
  REGEXMATCH(C220, ""押金""), ""押金往來"",
  AND(E220&lt;&gt;"""", F220=""""), ""真實支出"",
  AND(E220="""", F220&lt;&gt;""""), ""真實收入"",
  TRUE, ""其他""
)"),"真實收入")</f>
        <v>真實收入</v>
      </c>
      <c r="K220" s="270">
        <f t="shared" si="2"/>
        <v>13000</v>
      </c>
      <c r="L220">
        <f t="shared" si="3"/>
        <v>0</v>
      </c>
    </row>
    <row r="221">
      <c r="A221" s="107">
        <f>IFERROR(__xludf.DUMMYFUNCTION("""COMPUTED_VALUE"""),45354.0)</f>
        <v>45354</v>
      </c>
      <c r="B221" t="str">
        <f>IFERROR(__xludf.DUMMYFUNCTION("""COMPUTED_VALUE"""),"哈拉對面D定金")</f>
        <v>哈拉對面D定金</v>
      </c>
      <c r="C221" t="str">
        <f>IFERROR(__xludf.DUMMYFUNCTION("""COMPUTED_VALUE"""),"收入 - 租金")</f>
        <v>收入 - 租金</v>
      </c>
      <c r="D221" s="270">
        <f>IFERROR(__xludf.DUMMYFUNCTION("""COMPUTED_VALUE"""),10000.0)</f>
        <v>10000</v>
      </c>
      <c r="F221" t="str">
        <f>IFERROR(__xludf.DUMMYFUNCTION("""COMPUTED_VALUE"""),"台銀籌備帳戶")</f>
        <v>台銀籌備帳戶</v>
      </c>
      <c r="G221" t="str">
        <f>IFERROR(__xludf.DUMMYFUNCTION("""COMPUTED_VALUE"""),"哈拉對面")</f>
        <v>哈拉對面</v>
      </c>
      <c r="H221" s="106" t="str">
        <f t="shared" si="1"/>
        <v>2024-03</v>
      </c>
      <c r="I221" s="271" t="str">
        <f>IFERROR(__xludf.DUMMYFUNCTION("""COMPUTED_VALUE"""),"貓狗企鵝")</f>
        <v>貓狗企鵝</v>
      </c>
      <c r="J221" t="str">
        <f>IFERROR(__xludf.DUMMYFUNCTION("IFS(
  AND(REGEXMATCH(E221, ""台銀籌備帳戶|玉山帳戶""), REGEXMATCH(C221, ""薪資"")), ""分潤支出"",
  AND(REGEXMATCH(E221, ""Ben帳戶|Elsa帳戶|Ben代墊|Ariel代墊|中信銀行共用""), REGEXMATCH(F221, ""Ben帳戶|Elsa帳戶|Ben代墊|Ariel代墊|中信銀行共用"")), ""內部轉帳(忽略)"",
  AND(E221&lt;&gt;"""", F221&lt;&gt;"""", NOT(REG"&amp;"EXMATCH(C221, ""薪資""))), ""內部轉帳(忽略)"",
  REGEXMATCH(C221, ""薪資""), ""薪資變動(不計入)"",
  REGEXMATCH(C221, ""押金""), ""押金往來"",
  AND(E221&lt;&gt;"""", F221=""""), ""真實支出"",
  AND(E221="""", F221&lt;&gt;""""), ""真實收入"",
  TRUE, ""其他""
)"),"真實收入")</f>
        <v>真實收入</v>
      </c>
      <c r="K221" s="270">
        <f t="shared" si="2"/>
        <v>10000</v>
      </c>
      <c r="L221">
        <f t="shared" si="3"/>
        <v>0</v>
      </c>
    </row>
    <row r="222">
      <c r="A222" s="107">
        <f>IFERROR(__xludf.DUMMYFUNCTION("""COMPUTED_VALUE"""),45354.0)</f>
        <v>45354</v>
      </c>
      <c r="B222" t="str">
        <f>IFERROR(__xludf.DUMMYFUNCTION("""COMPUTED_VALUE"""),"毛毛拆除吳興")</f>
        <v>毛毛拆除吳興</v>
      </c>
      <c r="C222" t="str">
        <f>IFERROR(__xludf.DUMMYFUNCTION("""COMPUTED_VALUE"""),"成本 - 進場前裝潢費")</f>
        <v>成本 - 進場前裝潢費</v>
      </c>
      <c r="D222" s="270">
        <f>IFERROR(__xludf.DUMMYFUNCTION("""COMPUTED_VALUE"""),-37765.0)</f>
        <v>-37765</v>
      </c>
      <c r="E222" t="str">
        <f>IFERROR(__xludf.DUMMYFUNCTION("""COMPUTED_VALUE"""),"台銀籌備帳戶")</f>
        <v>台銀籌備帳戶</v>
      </c>
      <c r="G222" t="str">
        <f>IFERROR(__xludf.DUMMYFUNCTION("""COMPUTED_VALUE"""),"北醫醫師府")</f>
        <v>北醫醫師府</v>
      </c>
      <c r="H222" s="106" t="str">
        <f t="shared" si="1"/>
        <v>2024-03</v>
      </c>
      <c r="I222" s="271" t="str">
        <f>IFERROR(__xludf.DUMMYFUNCTION("""COMPUTED_VALUE"""),"貓狗企鵝")</f>
        <v>貓狗企鵝</v>
      </c>
      <c r="J222" t="str">
        <f>IFERROR(__xludf.DUMMYFUNCTION("IFS(
  AND(REGEXMATCH(E222, ""台銀籌備帳戶|玉山帳戶""), REGEXMATCH(C222, ""薪資"")), ""分潤支出"",
  AND(REGEXMATCH(E222, ""Ben帳戶|Elsa帳戶|Ben代墊|Ariel代墊|中信銀行共用""), REGEXMATCH(F222, ""Ben帳戶|Elsa帳戶|Ben代墊|Ariel代墊|中信銀行共用"")), ""內部轉帳(忽略)"",
  AND(E222&lt;&gt;"""", F222&lt;&gt;"""", NOT(REG"&amp;"EXMATCH(C222, ""薪資""))), ""內部轉帳(忽略)"",
  REGEXMATCH(C222, ""薪資""), ""薪資變動(不計入)"",
  REGEXMATCH(C222, ""押金""), ""押金往來"",
  AND(E222&lt;&gt;"""", F222=""""), ""真實支出"",
  AND(E222="""", F222&lt;&gt;""""), ""真實收入"",
  TRUE, ""其他""
)"),"真實支出")</f>
        <v>真實支出</v>
      </c>
      <c r="K222" s="270">
        <f t="shared" si="2"/>
        <v>-37765</v>
      </c>
      <c r="L222">
        <f t="shared" si="3"/>
        <v>0</v>
      </c>
    </row>
    <row r="223">
      <c r="A223" s="107">
        <f>IFERROR(__xludf.DUMMYFUNCTION("""COMPUTED_VALUE"""),45354.0)</f>
        <v>45354</v>
      </c>
      <c r="B223" t="str">
        <f>IFERROR(__xludf.DUMMYFUNCTION("""COMPUTED_VALUE"""),"運匠運費")</f>
        <v>運匠運費</v>
      </c>
      <c r="C223" t="str">
        <f>IFERROR(__xludf.DUMMYFUNCTION("""COMPUTED_VALUE"""),"成本 - 進場前裝潢費")</f>
        <v>成本 - 進場前裝潢費</v>
      </c>
      <c r="D223" s="270">
        <f>IFERROR(__xludf.DUMMYFUNCTION("""COMPUTED_VALUE"""),-1165.0)</f>
        <v>-1165</v>
      </c>
      <c r="E223" t="str">
        <f>IFERROR(__xludf.DUMMYFUNCTION("""COMPUTED_VALUE"""),"台銀籌備帳戶")</f>
        <v>台銀籌備帳戶</v>
      </c>
      <c r="G223" t="str">
        <f>IFERROR(__xludf.DUMMYFUNCTION("""COMPUTED_VALUE"""),"北醫醫師府")</f>
        <v>北醫醫師府</v>
      </c>
      <c r="H223" s="106" t="str">
        <f t="shared" si="1"/>
        <v>2024-03</v>
      </c>
      <c r="I223" s="271" t="str">
        <f>IFERROR(__xludf.DUMMYFUNCTION("""COMPUTED_VALUE"""),"貓狗企鵝")</f>
        <v>貓狗企鵝</v>
      </c>
      <c r="J223" t="str">
        <f>IFERROR(__xludf.DUMMYFUNCTION("IFS(
  AND(REGEXMATCH(E223, ""台銀籌備帳戶|玉山帳戶""), REGEXMATCH(C223, ""薪資"")), ""分潤支出"",
  AND(REGEXMATCH(E223, ""Ben帳戶|Elsa帳戶|Ben代墊|Ariel代墊|中信銀行共用""), REGEXMATCH(F223, ""Ben帳戶|Elsa帳戶|Ben代墊|Ariel代墊|中信銀行共用"")), ""內部轉帳(忽略)"",
  AND(E223&lt;&gt;"""", F223&lt;&gt;"""", NOT(REG"&amp;"EXMATCH(C223, ""薪資""))), ""內部轉帳(忽略)"",
  REGEXMATCH(C223, ""薪資""), ""薪資變動(不計入)"",
  REGEXMATCH(C223, ""押金""), ""押金往來"",
  AND(E223&lt;&gt;"""", F223=""""), ""真實支出"",
  AND(E223="""", F223&lt;&gt;""""), ""真實收入"",
  TRUE, ""其他""
)"),"真實支出")</f>
        <v>真實支出</v>
      </c>
      <c r="K223" s="270">
        <f t="shared" si="2"/>
        <v>-1165</v>
      </c>
      <c r="L223">
        <f t="shared" si="3"/>
        <v>0</v>
      </c>
    </row>
    <row r="224">
      <c r="A224" s="107">
        <f>IFERROR(__xludf.DUMMYFUNCTION("""COMPUTED_VALUE"""),45355.0)</f>
        <v>45355</v>
      </c>
      <c r="B224" t="str">
        <f>IFERROR(__xludf.DUMMYFUNCTION("""COMPUTED_VALUE"""),"淘寶運費")</f>
        <v>淘寶運費</v>
      </c>
      <c r="C224" t="str">
        <f>IFERROR(__xludf.DUMMYFUNCTION("""COMPUTED_VALUE"""),"成本 - 進場前裝潢費")</f>
        <v>成本 - 進場前裝潢費</v>
      </c>
      <c r="D224" s="270">
        <f>IFERROR(__xludf.DUMMYFUNCTION("""COMPUTED_VALUE"""),-15000.0)</f>
        <v>-15000</v>
      </c>
      <c r="E224" t="str">
        <f>IFERROR(__xludf.DUMMYFUNCTION("""COMPUTED_VALUE"""),"Ben帳戶")</f>
        <v>Ben帳戶</v>
      </c>
      <c r="G224" t="str">
        <f>IFERROR(__xludf.DUMMYFUNCTION("""COMPUTED_VALUE"""),"北醫醫師府")</f>
        <v>北醫醫師府</v>
      </c>
      <c r="H224" s="106" t="str">
        <f t="shared" si="1"/>
        <v>2024-03</v>
      </c>
      <c r="I224" s="271" t="str">
        <f>IFERROR(__xludf.DUMMYFUNCTION("""COMPUTED_VALUE"""),"貓狗企鵝")</f>
        <v>貓狗企鵝</v>
      </c>
      <c r="J224" t="str">
        <f>IFERROR(__xludf.DUMMYFUNCTION("IFS(
  AND(REGEXMATCH(E224, ""台銀籌備帳戶|玉山帳戶""), REGEXMATCH(C224, ""薪資"")), ""分潤支出"",
  AND(REGEXMATCH(E224, ""Ben帳戶|Elsa帳戶|Ben代墊|Ariel代墊|中信銀行共用""), REGEXMATCH(F224, ""Ben帳戶|Elsa帳戶|Ben代墊|Ariel代墊|中信銀行共用"")), ""內部轉帳(忽略)"",
  AND(E224&lt;&gt;"""", F224&lt;&gt;"""", NOT(REG"&amp;"EXMATCH(C224, ""薪資""))), ""內部轉帳(忽略)"",
  REGEXMATCH(C224, ""薪資""), ""薪資變動(不計入)"",
  REGEXMATCH(C224, ""押金""), ""押金往來"",
  AND(E224&lt;&gt;"""", F224=""""), ""真實支出"",
  AND(E224="""", F224&lt;&gt;""""), ""真實收入"",
  TRUE, ""其他""
)"),"真實支出")</f>
        <v>真實支出</v>
      </c>
      <c r="K224" s="270">
        <f t="shared" si="2"/>
        <v>-15000</v>
      </c>
      <c r="L224">
        <f t="shared" si="3"/>
        <v>0</v>
      </c>
    </row>
    <row r="225">
      <c r="A225" s="107">
        <f>IFERROR(__xludf.DUMMYFUNCTION("""COMPUTED_VALUE"""),45355.0)</f>
        <v>45355</v>
      </c>
      <c r="B225" t="str">
        <f>IFERROR(__xludf.DUMMYFUNCTION("""COMPUTED_VALUE"""),"訂製床")</f>
        <v>訂製床</v>
      </c>
      <c r="C225" t="str">
        <f>IFERROR(__xludf.DUMMYFUNCTION("""COMPUTED_VALUE"""),"成本 - 進場前裝潢費")</f>
        <v>成本 - 進場前裝潢費</v>
      </c>
      <c r="D225" s="270">
        <f>IFERROR(__xludf.DUMMYFUNCTION("""COMPUTED_VALUE"""),-3700.0)</f>
        <v>-3700</v>
      </c>
      <c r="E225" t="str">
        <f>IFERROR(__xludf.DUMMYFUNCTION("""COMPUTED_VALUE"""),"Ben帳戶")</f>
        <v>Ben帳戶</v>
      </c>
      <c r="G225" t="str">
        <f>IFERROR(__xludf.DUMMYFUNCTION("""COMPUTED_VALUE"""),"北醫醫師府")</f>
        <v>北醫醫師府</v>
      </c>
      <c r="H225" s="106" t="str">
        <f t="shared" si="1"/>
        <v>2024-03</v>
      </c>
      <c r="I225" s="271" t="str">
        <f>IFERROR(__xludf.DUMMYFUNCTION("""COMPUTED_VALUE"""),"貓狗企鵝")</f>
        <v>貓狗企鵝</v>
      </c>
      <c r="J225" t="str">
        <f>IFERROR(__xludf.DUMMYFUNCTION("IFS(
  AND(REGEXMATCH(E225, ""台銀籌備帳戶|玉山帳戶""), REGEXMATCH(C225, ""薪資"")), ""分潤支出"",
  AND(REGEXMATCH(E225, ""Ben帳戶|Elsa帳戶|Ben代墊|Ariel代墊|中信銀行共用""), REGEXMATCH(F225, ""Ben帳戶|Elsa帳戶|Ben代墊|Ariel代墊|中信銀行共用"")), ""內部轉帳(忽略)"",
  AND(E225&lt;&gt;"""", F225&lt;&gt;"""", NOT(REG"&amp;"EXMATCH(C225, ""薪資""))), ""內部轉帳(忽略)"",
  REGEXMATCH(C225, ""薪資""), ""薪資變動(不計入)"",
  REGEXMATCH(C225, ""押金""), ""押金往來"",
  AND(E225&lt;&gt;"""", F225=""""), ""真實支出"",
  AND(E225="""", F225&lt;&gt;""""), ""真實收入"",
  TRUE, ""其他""
)"),"真實支出")</f>
        <v>真實支出</v>
      </c>
      <c r="K225" s="270">
        <f t="shared" si="2"/>
        <v>-3700</v>
      </c>
      <c r="L225">
        <f t="shared" si="3"/>
        <v>0</v>
      </c>
    </row>
    <row r="226">
      <c r="A226" s="107">
        <f>IFERROR(__xludf.DUMMYFUNCTION("""COMPUTED_VALUE"""),45355.0)</f>
        <v>45355</v>
      </c>
      <c r="B226" t="str">
        <f>IFERROR(__xludf.DUMMYFUNCTION("""COMPUTED_VALUE"""),"哈拉對面B林宜芳")</f>
        <v>哈拉對面B林宜芳</v>
      </c>
      <c r="C226" t="str">
        <f>IFERROR(__xludf.DUMMYFUNCTION("""COMPUTED_VALUE"""),"收入 - 租金")</f>
        <v>收入 - 租金</v>
      </c>
      <c r="D226" s="270">
        <f>IFERROR(__xludf.DUMMYFUNCTION("""COMPUTED_VALUE"""),5853.0)</f>
        <v>5853</v>
      </c>
      <c r="F226" t="str">
        <f>IFERROR(__xludf.DUMMYFUNCTION("""COMPUTED_VALUE"""),"台銀籌備帳戶")</f>
        <v>台銀籌備帳戶</v>
      </c>
      <c r="G226" t="str">
        <f>IFERROR(__xludf.DUMMYFUNCTION("""COMPUTED_VALUE"""),"哈拉對面")</f>
        <v>哈拉對面</v>
      </c>
      <c r="H226" s="106" t="str">
        <f t="shared" si="1"/>
        <v>2024-03</v>
      </c>
      <c r="I226" s="271" t="str">
        <f>IFERROR(__xludf.DUMMYFUNCTION("""COMPUTED_VALUE"""),"貓狗企鵝")</f>
        <v>貓狗企鵝</v>
      </c>
      <c r="J226" t="str">
        <f>IFERROR(__xludf.DUMMYFUNCTION("IFS(
  AND(REGEXMATCH(E226, ""台銀籌備帳戶|玉山帳戶""), REGEXMATCH(C226, ""薪資"")), ""分潤支出"",
  AND(REGEXMATCH(E226, ""Ben帳戶|Elsa帳戶|Ben代墊|Ariel代墊|中信銀行共用""), REGEXMATCH(F226, ""Ben帳戶|Elsa帳戶|Ben代墊|Ariel代墊|中信銀行共用"")), ""內部轉帳(忽略)"",
  AND(E226&lt;&gt;"""", F226&lt;&gt;"""", NOT(REG"&amp;"EXMATCH(C226, ""薪資""))), ""內部轉帳(忽略)"",
  REGEXMATCH(C226, ""薪資""), ""薪資變動(不計入)"",
  REGEXMATCH(C226, ""押金""), ""押金往來"",
  AND(E226&lt;&gt;"""", F226=""""), ""真實支出"",
  AND(E226="""", F226&lt;&gt;""""), ""真實收入"",
  TRUE, ""其他""
)"),"真實收入")</f>
        <v>真實收入</v>
      </c>
      <c r="K226" s="270">
        <f t="shared" si="2"/>
        <v>5853</v>
      </c>
      <c r="L226">
        <f t="shared" si="3"/>
        <v>0</v>
      </c>
    </row>
    <row r="227">
      <c r="A227" s="107">
        <f>IFERROR(__xludf.DUMMYFUNCTION("""COMPUTED_VALUE"""),45355.0)</f>
        <v>45355</v>
      </c>
      <c r="B227" t="str">
        <f>IFERROR(__xludf.DUMMYFUNCTION("""COMPUTED_VALUE"""),"哈拉對面B林宜芳")</f>
        <v>哈拉對面B林宜芳</v>
      </c>
      <c r="C227" t="str">
        <f>IFERROR(__xludf.DUMMYFUNCTION("""COMPUTED_VALUE"""),"收入 - 租金")</f>
        <v>收入 - 租金</v>
      </c>
      <c r="D227" s="270">
        <f>IFERROR(__xludf.DUMMYFUNCTION("""COMPUTED_VALUE"""),5853.0)</f>
        <v>5853</v>
      </c>
      <c r="F227" t="str">
        <f>IFERROR(__xludf.DUMMYFUNCTION("""COMPUTED_VALUE"""),"台銀籌備帳戶")</f>
        <v>台銀籌備帳戶</v>
      </c>
      <c r="G227" t="str">
        <f>IFERROR(__xludf.DUMMYFUNCTION("""COMPUTED_VALUE"""),"哈拉對面")</f>
        <v>哈拉對面</v>
      </c>
      <c r="H227" s="106" t="str">
        <f t="shared" si="1"/>
        <v>2024-03</v>
      </c>
      <c r="I227" s="271" t="str">
        <f>IFERROR(__xludf.DUMMYFUNCTION("""COMPUTED_VALUE"""),"貓狗企鵝")</f>
        <v>貓狗企鵝</v>
      </c>
      <c r="J227" t="str">
        <f>IFERROR(__xludf.DUMMYFUNCTION("IFS(
  AND(REGEXMATCH(E227, ""台銀籌備帳戶|玉山帳戶""), REGEXMATCH(C227, ""薪資"")), ""分潤支出"",
  AND(REGEXMATCH(E227, ""Ben帳戶|Elsa帳戶|Ben代墊|Ariel代墊|中信銀行共用""), REGEXMATCH(F227, ""Ben帳戶|Elsa帳戶|Ben代墊|Ariel代墊|中信銀行共用"")), ""內部轉帳(忽略)"",
  AND(E227&lt;&gt;"""", F227&lt;&gt;"""", NOT(REG"&amp;"EXMATCH(C227, ""薪資""))), ""內部轉帳(忽略)"",
  REGEXMATCH(C227, ""薪資""), ""薪資變動(不計入)"",
  REGEXMATCH(C227, ""押金""), ""押金往來"",
  AND(E227&lt;&gt;"""", F227=""""), ""真實支出"",
  AND(E227="""", F227&lt;&gt;""""), ""真實收入"",
  TRUE, ""其他""
)"),"真實收入")</f>
        <v>真實收入</v>
      </c>
      <c r="K227" s="270">
        <f t="shared" si="2"/>
        <v>5853</v>
      </c>
      <c r="L227">
        <f t="shared" si="3"/>
        <v>0</v>
      </c>
    </row>
    <row r="228">
      <c r="A228" s="107">
        <f>IFERROR(__xludf.DUMMYFUNCTION("""COMPUTED_VALUE"""),45356.0)</f>
        <v>45356</v>
      </c>
      <c r="B228" t="str">
        <f>IFERROR(__xludf.DUMMYFUNCTION("""COMPUTED_VALUE"""),"蝦皮保潔墊(3單+3雙)")</f>
        <v>蝦皮保潔墊(3單+3雙)</v>
      </c>
      <c r="C228" t="str">
        <f>IFERROR(__xludf.DUMMYFUNCTION("""COMPUTED_VALUE"""),"成本 - 進場前裝潢費")</f>
        <v>成本 - 進場前裝潢費</v>
      </c>
      <c r="D228" s="270">
        <f>IFERROR(__xludf.DUMMYFUNCTION("""COMPUTED_VALUE"""),-1170.0)</f>
        <v>-1170</v>
      </c>
      <c r="E228" t="str">
        <f>IFERROR(__xludf.DUMMYFUNCTION("""COMPUTED_VALUE"""),"Elsa帳戶")</f>
        <v>Elsa帳戶</v>
      </c>
      <c r="G228" t="str">
        <f>IFERROR(__xludf.DUMMYFUNCTION("""COMPUTED_VALUE"""),"北醫醫師府")</f>
        <v>北醫醫師府</v>
      </c>
      <c r="H228" s="106" t="str">
        <f t="shared" si="1"/>
        <v>2024-03</v>
      </c>
      <c r="I228" s="271" t="str">
        <f>IFERROR(__xludf.DUMMYFUNCTION("""COMPUTED_VALUE"""),"貓狗企鵝")</f>
        <v>貓狗企鵝</v>
      </c>
      <c r="J228" t="str">
        <f>IFERROR(__xludf.DUMMYFUNCTION("IFS(
  AND(REGEXMATCH(E228, ""台銀籌備帳戶|玉山帳戶""), REGEXMATCH(C228, ""薪資"")), ""分潤支出"",
  AND(REGEXMATCH(E228, ""Ben帳戶|Elsa帳戶|Ben代墊|Ariel代墊|中信銀行共用""), REGEXMATCH(F228, ""Ben帳戶|Elsa帳戶|Ben代墊|Ariel代墊|中信銀行共用"")), ""內部轉帳(忽略)"",
  AND(E228&lt;&gt;"""", F228&lt;&gt;"""", NOT(REG"&amp;"EXMATCH(C228, ""薪資""))), ""內部轉帳(忽略)"",
  REGEXMATCH(C228, ""薪資""), ""薪資變動(不計入)"",
  REGEXMATCH(C228, ""押金""), ""押金往來"",
  AND(E228&lt;&gt;"""", F228=""""), ""真實支出"",
  AND(E228="""", F228&lt;&gt;""""), ""真實收入"",
  TRUE, ""其他""
)"),"真實支出")</f>
        <v>真實支出</v>
      </c>
      <c r="K228" s="270">
        <f t="shared" si="2"/>
        <v>-1170</v>
      </c>
      <c r="L228">
        <f t="shared" si="3"/>
        <v>0</v>
      </c>
    </row>
    <row r="229">
      <c r="A229" s="107">
        <f>IFERROR(__xludf.DUMMYFUNCTION("""COMPUTED_VALUE"""),45356.0)</f>
        <v>45356</v>
      </c>
      <c r="B229" t="str">
        <f>IFERROR(__xludf.DUMMYFUNCTION("""COMPUTED_VALUE"""),"龍江229	E	李茂生")</f>
        <v>龍江229	E	李茂生</v>
      </c>
      <c r="C229" t="str">
        <f>IFERROR(__xludf.DUMMYFUNCTION("""COMPUTED_VALUE"""),"收入 - 租金")</f>
        <v>收入 - 租金</v>
      </c>
      <c r="D229" s="270">
        <f>IFERROR(__xludf.DUMMYFUNCTION("""COMPUTED_VALUE"""),12500.0)</f>
        <v>12500</v>
      </c>
      <c r="F229" t="str">
        <f>IFERROR(__xludf.DUMMYFUNCTION("""COMPUTED_VALUE"""),"台銀籌備帳戶")</f>
        <v>台銀籌備帳戶</v>
      </c>
      <c r="G229" t="str">
        <f>IFERROR(__xludf.DUMMYFUNCTION("""COMPUTED_VALUE"""),"龍江229")</f>
        <v>龍江229</v>
      </c>
      <c r="H229" s="106" t="str">
        <f t="shared" si="1"/>
        <v>2024-03</v>
      </c>
      <c r="I229" s="271" t="str">
        <f>IFERROR(__xludf.DUMMYFUNCTION("""COMPUTED_VALUE"""),"貓狗企鵝")</f>
        <v>貓狗企鵝</v>
      </c>
      <c r="J229" t="str">
        <f>IFERROR(__xludf.DUMMYFUNCTION("IFS(
  AND(REGEXMATCH(E229, ""台銀籌備帳戶|玉山帳戶""), REGEXMATCH(C229, ""薪資"")), ""分潤支出"",
  AND(REGEXMATCH(E229, ""Ben帳戶|Elsa帳戶|Ben代墊|Ariel代墊|中信銀行共用""), REGEXMATCH(F229, ""Ben帳戶|Elsa帳戶|Ben代墊|Ariel代墊|中信銀行共用"")), ""內部轉帳(忽略)"",
  AND(E229&lt;&gt;"""", F229&lt;&gt;"""", NOT(REG"&amp;"EXMATCH(C229, ""薪資""))), ""內部轉帳(忽略)"",
  REGEXMATCH(C229, ""薪資""), ""薪資變動(不計入)"",
  REGEXMATCH(C229, ""押金""), ""押金往來"",
  AND(E229&lt;&gt;"""", F229=""""), ""真實支出"",
  AND(E229="""", F229&lt;&gt;""""), ""真實收入"",
  TRUE, ""其他""
)"),"真實收入")</f>
        <v>真實收入</v>
      </c>
      <c r="K229" s="270">
        <f t="shared" si="2"/>
        <v>12500</v>
      </c>
      <c r="L229">
        <f t="shared" si="3"/>
        <v>0</v>
      </c>
    </row>
    <row r="230">
      <c r="A230" s="107">
        <f>IFERROR(__xludf.DUMMYFUNCTION("""COMPUTED_VALUE"""),45357.0)</f>
        <v>45357</v>
      </c>
      <c r="B230" t="str">
        <f>IFERROR(__xludf.DUMMYFUNCTION("""COMPUTED_VALUE"""),"哈拉C床")</f>
        <v>哈拉C床</v>
      </c>
      <c r="C230" t="str">
        <f>IFERROR(__xludf.DUMMYFUNCTION("""COMPUTED_VALUE"""),"成本 - 進場前裝潢費")</f>
        <v>成本 - 進場前裝潢費</v>
      </c>
      <c r="D230" s="270">
        <f>IFERROR(__xludf.DUMMYFUNCTION("""COMPUTED_VALUE"""),-2868.0)</f>
        <v>-2868</v>
      </c>
      <c r="E230" t="str">
        <f>IFERROR(__xludf.DUMMYFUNCTION("""COMPUTED_VALUE"""),"Ben帳戶")</f>
        <v>Ben帳戶</v>
      </c>
      <c r="G230" t="str">
        <f>IFERROR(__xludf.DUMMYFUNCTION("""COMPUTED_VALUE"""),"哈拉對面")</f>
        <v>哈拉對面</v>
      </c>
      <c r="H230" s="106" t="str">
        <f t="shared" si="1"/>
        <v>2024-03</v>
      </c>
      <c r="I230" s="271" t="str">
        <f>IFERROR(__xludf.DUMMYFUNCTION("""COMPUTED_VALUE"""),"貓狗企鵝")</f>
        <v>貓狗企鵝</v>
      </c>
      <c r="J230" t="str">
        <f>IFERROR(__xludf.DUMMYFUNCTION("IFS(
  AND(REGEXMATCH(E230, ""台銀籌備帳戶|玉山帳戶""), REGEXMATCH(C230, ""薪資"")), ""分潤支出"",
  AND(REGEXMATCH(E230, ""Ben帳戶|Elsa帳戶|Ben代墊|Ariel代墊|中信銀行共用""), REGEXMATCH(F230, ""Ben帳戶|Elsa帳戶|Ben代墊|Ariel代墊|中信銀行共用"")), ""內部轉帳(忽略)"",
  AND(E230&lt;&gt;"""", F230&lt;&gt;"""", NOT(REG"&amp;"EXMATCH(C230, ""薪資""))), ""內部轉帳(忽略)"",
  REGEXMATCH(C230, ""薪資""), ""薪資變動(不計入)"",
  REGEXMATCH(C230, ""押金""), ""押金往來"",
  AND(E230&lt;&gt;"""", F230=""""), ""真實支出"",
  AND(E230="""", F230&lt;&gt;""""), ""真實收入"",
  TRUE, ""其他""
)"),"真實支出")</f>
        <v>真實支出</v>
      </c>
      <c r="K230" s="270">
        <f t="shared" si="2"/>
        <v>-2868</v>
      </c>
      <c r="L230">
        <f t="shared" si="3"/>
        <v>0</v>
      </c>
    </row>
    <row r="231">
      <c r="A231" s="107">
        <f>IFERROR(__xludf.DUMMYFUNCTION("""COMPUTED_VALUE"""),45357.0)</f>
        <v>45357</v>
      </c>
      <c r="B231" t="str">
        <f>IFERROR(__xludf.DUMMYFUNCTION("""COMPUTED_VALUE"""),"插座開關")</f>
        <v>插座開關</v>
      </c>
      <c r="C231" t="str">
        <f>IFERROR(__xludf.DUMMYFUNCTION("""COMPUTED_VALUE"""),"成本 - 進場前裝潢費")</f>
        <v>成本 - 進場前裝潢費</v>
      </c>
      <c r="D231" s="270">
        <f>IFERROR(__xludf.DUMMYFUNCTION("""COMPUTED_VALUE"""),-2633.0)</f>
        <v>-2633</v>
      </c>
      <c r="E231" t="str">
        <f>IFERROR(__xludf.DUMMYFUNCTION("""COMPUTED_VALUE"""),"Ben帳戶")</f>
        <v>Ben帳戶</v>
      </c>
      <c r="G231" t="str">
        <f>IFERROR(__xludf.DUMMYFUNCTION("""COMPUTED_VALUE"""),"北醫醫師府")</f>
        <v>北醫醫師府</v>
      </c>
      <c r="H231" s="106" t="str">
        <f t="shared" si="1"/>
        <v>2024-03</v>
      </c>
      <c r="I231" s="271" t="str">
        <f>IFERROR(__xludf.DUMMYFUNCTION("""COMPUTED_VALUE"""),"貓狗企鵝")</f>
        <v>貓狗企鵝</v>
      </c>
      <c r="J231" t="str">
        <f>IFERROR(__xludf.DUMMYFUNCTION("IFS(
  AND(REGEXMATCH(E231, ""台銀籌備帳戶|玉山帳戶""), REGEXMATCH(C231, ""薪資"")), ""分潤支出"",
  AND(REGEXMATCH(E231, ""Ben帳戶|Elsa帳戶|Ben代墊|Ariel代墊|中信銀行共用""), REGEXMATCH(F231, ""Ben帳戶|Elsa帳戶|Ben代墊|Ariel代墊|中信銀行共用"")), ""內部轉帳(忽略)"",
  AND(E231&lt;&gt;"""", F231&lt;&gt;"""", NOT(REG"&amp;"EXMATCH(C231, ""薪資""))), ""內部轉帳(忽略)"",
  REGEXMATCH(C231, ""薪資""), ""薪資變動(不計入)"",
  REGEXMATCH(C231, ""押金""), ""押金往來"",
  AND(E231&lt;&gt;"""", F231=""""), ""真實支出"",
  AND(E231="""", F231&lt;&gt;""""), ""真實收入"",
  TRUE, ""其他""
)"),"真實支出")</f>
        <v>真實支出</v>
      </c>
      <c r="K231" s="270">
        <f t="shared" si="2"/>
        <v>-2633</v>
      </c>
      <c r="L231">
        <f t="shared" si="3"/>
        <v>0</v>
      </c>
    </row>
    <row r="232">
      <c r="A232" s="107">
        <f>IFERROR(__xludf.DUMMYFUNCTION("""COMPUTED_VALUE"""),45357.0)</f>
        <v>45357</v>
      </c>
      <c r="B232" t="str">
        <f>IFERROR(__xludf.DUMMYFUNCTION("""COMPUTED_VALUE"""),"IKEA櫃子們")</f>
        <v>IKEA櫃子們</v>
      </c>
      <c r="C232" t="str">
        <f>IFERROR(__xludf.DUMMYFUNCTION("""COMPUTED_VALUE"""),"成本 - 進場前裝潢費")</f>
        <v>成本 - 進場前裝潢費</v>
      </c>
      <c r="D232" s="270">
        <f>IFERROR(__xludf.DUMMYFUNCTION("""COMPUTED_VALUE"""),-9068.0)</f>
        <v>-9068</v>
      </c>
      <c r="E232" t="str">
        <f>IFERROR(__xludf.DUMMYFUNCTION("""COMPUTED_VALUE"""),"Elsa帳戶")</f>
        <v>Elsa帳戶</v>
      </c>
      <c r="G232" t="str">
        <f>IFERROR(__xludf.DUMMYFUNCTION("""COMPUTED_VALUE"""),"北醫醫師府")</f>
        <v>北醫醫師府</v>
      </c>
      <c r="H232" s="106" t="str">
        <f t="shared" si="1"/>
        <v>2024-03</v>
      </c>
      <c r="I232" s="271" t="str">
        <f>IFERROR(__xludf.DUMMYFUNCTION("""COMPUTED_VALUE"""),"貓狗企鵝")</f>
        <v>貓狗企鵝</v>
      </c>
      <c r="J232" t="str">
        <f>IFERROR(__xludf.DUMMYFUNCTION("IFS(
  AND(REGEXMATCH(E232, ""台銀籌備帳戶|玉山帳戶""), REGEXMATCH(C232, ""薪資"")), ""分潤支出"",
  AND(REGEXMATCH(E232, ""Ben帳戶|Elsa帳戶|Ben代墊|Ariel代墊|中信銀行共用""), REGEXMATCH(F232, ""Ben帳戶|Elsa帳戶|Ben代墊|Ariel代墊|中信銀行共用"")), ""內部轉帳(忽略)"",
  AND(E232&lt;&gt;"""", F232&lt;&gt;"""", NOT(REG"&amp;"EXMATCH(C232, ""薪資""))), ""內部轉帳(忽略)"",
  REGEXMATCH(C232, ""薪資""), ""薪資變動(不計入)"",
  REGEXMATCH(C232, ""押金""), ""押金往來"",
  AND(E232&lt;&gt;"""", F232=""""), ""真實支出"",
  AND(E232="""", F232&lt;&gt;""""), ""真實收入"",
  TRUE, ""其他""
)"),"真實支出")</f>
        <v>真實支出</v>
      </c>
      <c r="K232" s="270">
        <f t="shared" si="2"/>
        <v>-9068</v>
      </c>
      <c r="L232">
        <f t="shared" si="3"/>
        <v>0</v>
      </c>
    </row>
    <row r="233">
      <c r="A233" s="107">
        <f>IFERROR(__xludf.DUMMYFUNCTION("""COMPUTED_VALUE"""),45357.0)</f>
        <v>45357</v>
      </c>
      <c r="B233" t="str">
        <f>IFERROR(__xludf.DUMMYFUNCTION("""COMPUTED_VALUE"""),"訂做床")</f>
        <v>訂做床</v>
      </c>
      <c r="C233" t="str">
        <f>IFERROR(__xludf.DUMMYFUNCTION("""COMPUTED_VALUE"""),"成本 - 進場前裝潢費")</f>
        <v>成本 - 進場前裝潢費</v>
      </c>
      <c r="D233" s="270">
        <f>IFERROR(__xludf.DUMMYFUNCTION("""COMPUTED_VALUE"""),-3300.0)</f>
        <v>-3300</v>
      </c>
      <c r="E233" t="str">
        <f>IFERROR(__xludf.DUMMYFUNCTION("""COMPUTED_VALUE"""),"Ben帳戶")</f>
        <v>Ben帳戶</v>
      </c>
      <c r="G233" t="str">
        <f>IFERROR(__xludf.DUMMYFUNCTION("""COMPUTED_VALUE"""),"北醫醫師府")</f>
        <v>北醫醫師府</v>
      </c>
      <c r="H233" s="106" t="str">
        <f t="shared" si="1"/>
        <v>2024-03</v>
      </c>
      <c r="I233" s="271" t="str">
        <f>IFERROR(__xludf.DUMMYFUNCTION("""COMPUTED_VALUE"""),"貓狗企鵝")</f>
        <v>貓狗企鵝</v>
      </c>
      <c r="J233" t="str">
        <f>IFERROR(__xludf.DUMMYFUNCTION("IFS(
  AND(REGEXMATCH(E233, ""台銀籌備帳戶|玉山帳戶""), REGEXMATCH(C233, ""薪資"")), ""分潤支出"",
  AND(REGEXMATCH(E233, ""Ben帳戶|Elsa帳戶|Ben代墊|Ariel代墊|中信銀行共用""), REGEXMATCH(F233, ""Ben帳戶|Elsa帳戶|Ben代墊|Ariel代墊|中信銀行共用"")), ""內部轉帳(忽略)"",
  AND(E233&lt;&gt;"""", F233&lt;&gt;"""", NOT(REG"&amp;"EXMATCH(C233, ""薪資""))), ""內部轉帳(忽略)"",
  REGEXMATCH(C233, ""薪資""), ""薪資變動(不計入)"",
  REGEXMATCH(C233, ""押金""), ""押金往來"",
  AND(E233&lt;&gt;"""", F233=""""), ""真實支出"",
  AND(E233="""", F233&lt;&gt;""""), ""真實收入"",
  TRUE, ""其他""
)"),"真實支出")</f>
        <v>真實支出</v>
      </c>
      <c r="K233" s="270">
        <f t="shared" si="2"/>
        <v>-3300</v>
      </c>
      <c r="L233">
        <f t="shared" si="3"/>
        <v>0</v>
      </c>
    </row>
    <row r="234">
      <c r="A234" s="107">
        <f>IFERROR(__xludf.DUMMYFUNCTION("""COMPUTED_VALUE"""),45357.0)</f>
        <v>45357</v>
      </c>
      <c r="B234" t="str">
        <f>IFERROR(__xludf.DUMMYFUNCTION("""COMPUTED_VALUE"""),"床")</f>
        <v>床</v>
      </c>
      <c r="C234" t="str">
        <f>IFERROR(__xludf.DUMMYFUNCTION("""COMPUTED_VALUE"""),"成本 - 進場前裝潢費")</f>
        <v>成本 - 進場前裝潢費</v>
      </c>
      <c r="D234" s="270">
        <f>IFERROR(__xludf.DUMMYFUNCTION("""COMPUTED_VALUE"""),-22319.0)</f>
        <v>-22319</v>
      </c>
      <c r="E234" t="str">
        <f>IFERROR(__xludf.DUMMYFUNCTION("""COMPUTED_VALUE"""),"Ben帳戶")</f>
        <v>Ben帳戶</v>
      </c>
      <c r="G234" t="str">
        <f>IFERROR(__xludf.DUMMYFUNCTION("""COMPUTED_VALUE"""),"北醫醫師府")</f>
        <v>北醫醫師府</v>
      </c>
      <c r="H234" s="106" t="str">
        <f t="shared" si="1"/>
        <v>2024-03</v>
      </c>
      <c r="I234" s="271" t="str">
        <f>IFERROR(__xludf.DUMMYFUNCTION("""COMPUTED_VALUE"""),"貓狗企鵝")</f>
        <v>貓狗企鵝</v>
      </c>
      <c r="J234" t="str">
        <f>IFERROR(__xludf.DUMMYFUNCTION("IFS(
  AND(REGEXMATCH(E234, ""台銀籌備帳戶|玉山帳戶""), REGEXMATCH(C234, ""薪資"")), ""分潤支出"",
  AND(REGEXMATCH(E234, ""Ben帳戶|Elsa帳戶|Ben代墊|Ariel代墊|中信銀行共用""), REGEXMATCH(F234, ""Ben帳戶|Elsa帳戶|Ben代墊|Ariel代墊|中信銀行共用"")), ""內部轉帳(忽略)"",
  AND(E234&lt;&gt;"""", F234&lt;&gt;"""", NOT(REG"&amp;"EXMATCH(C234, ""薪資""))), ""內部轉帳(忽略)"",
  REGEXMATCH(C234, ""薪資""), ""薪資變動(不計入)"",
  REGEXMATCH(C234, ""押金""), ""押金往來"",
  AND(E234&lt;&gt;"""", F234=""""), ""真實支出"",
  AND(E234="""", F234&lt;&gt;""""), ""真實收入"",
  TRUE, ""其他""
)"),"真實支出")</f>
        <v>真實支出</v>
      </c>
      <c r="K234" s="270">
        <f t="shared" si="2"/>
        <v>-22319</v>
      </c>
      <c r="L234">
        <f t="shared" si="3"/>
        <v>0</v>
      </c>
    </row>
    <row r="235">
      <c r="A235" s="107">
        <f>IFERROR(__xludf.DUMMYFUNCTION("""COMPUTED_VALUE"""),45357.0)</f>
        <v>45357</v>
      </c>
      <c r="B235" t="str">
        <f>IFERROR(__xludf.DUMMYFUNCTION("""COMPUTED_VALUE"""),"龍江229C陳雨彤")</f>
        <v>龍江229C陳雨彤</v>
      </c>
      <c r="C235" t="str">
        <f>IFERROR(__xludf.DUMMYFUNCTION("""COMPUTED_VALUE"""),"收入 - 租金")</f>
        <v>收入 - 租金</v>
      </c>
      <c r="D235" s="270">
        <f>IFERROR(__xludf.DUMMYFUNCTION("""COMPUTED_VALUE"""),16800.0)</f>
        <v>16800</v>
      </c>
      <c r="F235" t="str">
        <f>IFERROR(__xludf.DUMMYFUNCTION("""COMPUTED_VALUE"""),"台銀籌備帳戶")</f>
        <v>台銀籌備帳戶</v>
      </c>
      <c r="G235" t="str">
        <f>IFERROR(__xludf.DUMMYFUNCTION("""COMPUTED_VALUE"""),"龍江229")</f>
        <v>龍江229</v>
      </c>
      <c r="H235" s="106" t="str">
        <f t="shared" si="1"/>
        <v>2024-03</v>
      </c>
      <c r="I235" s="271" t="str">
        <f>IFERROR(__xludf.DUMMYFUNCTION("""COMPUTED_VALUE"""),"貓狗企鵝")</f>
        <v>貓狗企鵝</v>
      </c>
      <c r="J235" t="str">
        <f>IFERROR(__xludf.DUMMYFUNCTION("IFS(
  AND(REGEXMATCH(E235, ""台銀籌備帳戶|玉山帳戶""), REGEXMATCH(C235, ""薪資"")), ""分潤支出"",
  AND(REGEXMATCH(E235, ""Ben帳戶|Elsa帳戶|Ben代墊|Ariel代墊|中信銀行共用""), REGEXMATCH(F235, ""Ben帳戶|Elsa帳戶|Ben代墊|Ariel代墊|中信銀行共用"")), ""內部轉帳(忽略)"",
  AND(E235&lt;&gt;"""", F235&lt;&gt;"""", NOT(REG"&amp;"EXMATCH(C235, ""薪資""))), ""內部轉帳(忽略)"",
  REGEXMATCH(C235, ""薪資""), ""薪資變動(不計入)"",
  REGEXMATCH(C235, ""押金""), ""押金往來"",
  AND(E235&lt;&gt;"""", F235=""""), ""真實支出"",
  AND(E235="""", F235&lt;&gt;""""), ""真實收入"",
  TRUE, ""其他""
)"),"真實收入")</f>
        <v>真實收入</v>
      </c>
      <c r="K235" s="270">
        <f t="shared" si="2"/>
        <v>16800</v>
      </c>
      <c r="L235">
        <f t="shared" si="3"/>
        <v>0</v>
      </c>
    </row>
    <row r="236">
      <c r="A236" s="107">
        <f>IFERROR(__xludf.DUMMYFUNCTION("""COMPUTED_VALUE"""),45358.0)</f>
        <v>45358</v>
      </c>
      <c r="B236" t="str">
        <f>IFERROR(__xludf.DUMMYFUNCTION("""COMPUTED_VALUE"""),"小言師傅 輕隔間")</f>
        <v>小言師傅 輕隔間</v>
      </c>
      <c r="C236" t="str">
        <f>IFERROR(__xludf.DUMMYFUNCTION("""COMPUTED_VALUE"""),"成本 - 進場前裝潢費")</f>
        <v>成本 - 進場前裝潢費</v>
      </c>
      <c r="D236" s="270">
        <f>IFERROR(__xludf.DUMMYFUNCTION("""COMPUTED_VALUE"""),-65450.0)</f>
        <v>-65450</v>
      </c>
      <c r="E236" t="str">
        <f>IFERROR(__xludf.DUMMYFUNCTION("""COMPUTED_VALUE"""),"Elsa帳戶")</f>
        <v>Elsa帳戶</v>
      </c>
      <c r="G236" t="str">
        <f>IFERROR(__xludf.DUMMYFUNCTION("""COMPUTED_VALUE"""),"北醫醫師府")</f>
        <v>北醫醫師府</v>
      </c>
      <c r="H236" s="106" t="str">
        <f t="shared" si="1"/>
        <v>2024-03</v>
      </c>
      <c r="I236" s="271" t="str">
        <f>IFERROR(__xludf.DUMMYFUNCTION("""COMPUTED_VALUE"""),"貓狗企鵝")</f>
        <v>貓狗企鵝</v>
      </c>
      <c r="J236" t="str">
        <f>IFERROR(__xludf.DUMMYFUNCTION("IFS(
  AND(REGEXMATCH(E236, ""台銀籌備帳戶|玉山帳戶""), REGEXMATCH(C236, ""薪資"")), ""分潤支出"",
  AND(REGEXMATCH(E236, ""Ben帳戶|Elsa帳戶|Ben代墊|Ariel代墊|中信銀行共用""), REGEXMATCH(F236, ""Ben帳戶|Elsa帳戶|Ben代墊|Ariel代墊|中信銀行共用"")), ""內部轉帳(忽略)"",
  AND(E236&lt;&gt;"""", F236&lt;&gt;"""", NOT(REG"&amp;"EXMATCH(C236, ""薪資""))), ""內部轉帳(忽略)"",
  REGEXMATCH(C236, ""薪資""), ""薪資變動(不計入)"",
  REGEXMATCH(C236, ""押金""), ""押金往來"",
  AND(E236&lt;&gt;"""", F236=""""), ""真實支出"",
  AND(E236="""", F236&lt;&gt;""""), ""真實收入"",
  TRUE, ""其他""
)"),"真實支出")</f>
        <v>真實支出</v>
      </c>
      <c r="K236" s="270">
        <f t="shared" si="2"/>
        <v>-65450</v>
      </c>
      <c r="L236">
        <f t="shared" si="3"/>
        <v>0</v>
      </c>
    </row>
    <row r="237">
      <c r="A237" s="107">
        <f>IFERROR(__xludf.DUMMYFUNCTION("""COMPUTED_VALUE"""),45358.0)</f>
        <v>45358</v>
      </c>
      <c r="B237" t="str">
        <f>IFERROR(__xludf.DUMMYFUNCTION("""COMPUTED_VALUE"""),"哈拉對面D柳翰洋")</f>
        <v>哈拉對面D柳翰洋</v>
      </c>
      <c r="C237" t="str">
        <f>IFERROR(__xludf.DUMMYFUNCTION("""COMPUTED_VALUE"""),"收入 - 租金")</f>
        <v>收入 - 租金</v>
      </c>
      <c r="D237" s="270">
        <f>IFERROR(__xludf.DUMMYFUNCTION("""COMPUTED_VALUE"""),26900.0)</f>
        <v>26900</v>
      </c>
      <c r="F237" t="str">
        <f>IFERROR(__xludf.DUMMYFUNCTION("""COMPUTED_VALUE"""),"台銀籌備帳戶")</f>
        <v>台銀籌備帳戶</v>
      </c>
      <c r="G237" t="str">
        <f>IFERROR(__xludf.DUMMYFUNCTION("""COMPUTED_VALUE"""),"哈拉對面")</f>
        <v>哈拉對面</v>
      </c>
      <c r="H237" s="106" t="str">
        <f t="shared" si="1"/>
        <v>2024-03</v>
      </c>
      <c r="I237" s="271" t="str">
        <f>IFERROR(__xludf.DUMMYFUNCTION("""COMPUTED_VALUE"""),"貓狗企鵝")</f>
        <v>貓狗企鵝</v>
      </c>
      <c r="J237" t="str">
        <f>IFERROR(__xludf.DUMMYFUNCTION("IFS(
  AND(REGEXMATCH(E237, ""台銀籌備帳戶|玉山帳戶""), REGEXMATCH(C237, ""薪資"")), ""分潤支出"",
  AND(REGEXMATCH(E237, ""Ben帳戶|Elsa帳戶|Ben代墊|Ariel代墊|中信銀行共用""), REGEXMATCH(F237, ""Ben帳戶|Elsa帳戶|Ben代墊|Ariel代墊|中信銀行共用"")), ""內部轉帳(忽略)"",
  AND(E237&lt;&gt;"""", F237&lt;&gt;"""", NOT(REG"&amp;"EXMATCH(C237, ""薪資""))), ""內部轉帳(忽略)"",
  REGEXMATCH(C237, ""薪資""), ""薪資變動(不計入)"",
  REGEXMATCH(C237, ""押金""), ""押金往來"",
  AND(E237&lt;&gt;"""", F237=""""), ""真實支出"",
  AND(E237="""", F237&lt;&gt;""""), ""真實收入"",
  TRUE, ""其他""
)"),"真實收入")</f>
        <v>真實收入</v>
      </c>
      <c r="K237" s="270">
        <f t="shared" si="2"/>
        <v>26900</v>
      </c>
      <c r="L237">
        <f t="shared" si="3"/>
        <v>0</v>
      </c>
    </row>
    <row r="238">
      <c r="A238" s="107">
        <f>IFERROR(__xludf.DUMMYFUNCTION("""COMPUTED_VALUE"""),45358.0)</f>
        <v>45358</v>
      </c>
      <c r="B238" t="str">
        <f>IFERROR(__xludf.DUMMYFUNCTION("""COMPUTED_VALUE"""),"吳興冷氣小翔 '")</f>
        <v>吳興冷氣小翔 '</v>
      </c>
      <c r="C238" t="str">
        <f>IFERROR(__xludf.DUMMYFUNCTION("""COMPUTED_VALUE"""),"成本 - 進場前裝潢費")</f>
        <v>成本 - 進場前裝潢費</v>
      </c>
      <c r="D238" s="270">
        <f>IFERROR(__xludf.DUMMYFUNCTION("""COMPUTED_VALUE"""),-16815.0)</f>
        <v>-16815</v>
      </c>
      <c r="E238" t="str">
        <f>IFERROR(__xludf.DUMMYFUNCTION("""COMPUTED_VALUE"""),"台銀籌備帳戶")</f>
        <v>台銀籌備帳戶</v>
      </c>
      <c r="G238" t="str">
        <f>IFERROR(__xludf.DUMMYFUNCTION("""COMPUTED_VALUE"""),"北醫醫師府")</f>
        <v>北醫醫師府</v>
      </c>
      <c r="H238" s="106" t="str">
        <f t="shared" si="1"/>
        <v>2024-03</v>
      </c>
      <c r="I238" s="271" t="str">
        <f>IFERROR(__xludf.DUMMYFUNCTION("""COMPUTED_VALUE"""),"貓狗企鵝")</f>
        <v>貓狗企鵝</v>
      </c>
      <c r="J238" t="str">
        <f>IFERROR(__xludf.DUMMYFUNCTION("IFS(
  AND(REGEXMATCH(E238, ""台銀籌備帳戶|玉山帳戶""), REGEXMATCH(C238, ""薪資"")), ""分潤支出"",
  AND(REGEXMATCH(E238, ""Ben帳戶|Elsa帳戶|Ben代墊|Ariel代墊|中信銀行共用""), REGEXMATCH(F238, ""Ben帳戶|Elsa帳戶|Ben代墊|Ariel代墊|中信銀行共用"")), ""內部轉帳(忽略)"",
  AND(E238&lt;&gt;"""", F238&lt;&gt;"""", NOT(REG"&amp;"EXMATCH(C238, ""薪資""))), ""內部轉帳(忽略)"",
  REGEXMATCH(C238, ""薪資""), ""薪資變動(不計入)"",
  REGEXMATCH(C238, ""押金""), ""押金往來"",
  AND(E238&lt;&gt;"""", F238=""""), ""真實支出"",
  AND(E238="""", F238&lt;&gt;""""), ""真實收入"",
  TRUE, ""其他""
)"),"真實支出")</f>
        <v>真實支出</v>
      </c>
      <c r="K238" s="270">
        <f t="shared" si="2"/>
        <v>-16815</v>
      </c>
      <c r="L238">
        <f t="shared" si="3"/>
        <v>0</v>
      </c>
    </row>
    <row r="239">
      <c r="A239" s="107">
        <f>IFERROR(__xludf.DUMMYFUNCTION("""COMPUTED_VALUE"""),45359.0)</f>
        <v>45359</v>
      </c>
      <c r="B239" t="str">
        <f>IFERROR(__xludf.DUMMYFUNCTION("""COMPUTED_VALUE"""),"標籤機")</f>
        <v>標籤機</v>
      </c>
      <c r="C239" t="str">
        <f>IFERROR(__xludf.DUMMYFUNCTION("""COMPUTED_VALUE"""),"成本 - 進場前裝潢費")</f>
        <v>成本 - 進場前裝潢費</v>
      </c>
      <c r="D239" s="270">
        <f>IFERROR(__xludf.DUMMYFUNCTION("""COMPUTED_VALUE"""),-1010.0)</f>
        <v>-1010</v>
      </c>
      <c r="E239" t="str">
        <f>IFERROR(__xludf.DUMMYFUNCTION("""COMPUTED_VALUE"""),"Elsa帳戶")</f>
        <v>Elsa帳戶</v>
      </c>
      <c r="G239" t="str">
        <f>IFERROR(__xludf.DUMMYFUNCTION("""COMPUTED_VALUE"""),"北醫醫師府")</f>
        <v>北醫醫師府</v>
      </c>
      <c r="H239" s="106" t="str">
        <f t="shared" si="1"/>
        <v>2024-03</v>
      </c>
      <c r="I239" s="271" t="str">
        <f>IFERROR(__xludf.DUMMYFUNCTION("""COMPUTED_VALUE"""),"貓狗企鵝")</f>
        <v>貓狗企鵝</v>
      </c>
      <c r="J239" t="str">
        <f>IFERROR(__xludf.DUMMYFUNCTION("IFS(
  AND(REGEXMATCH(E239, ""台銀籌備帳戶|玉山帳戶""), REGEXMATCH(C239, ""薪資"")), ""分潤支出"",
  AND(REGEXMATCH(E239, ""Ben帳戶|Elsa帳戶|Ben代墊|Ariel代墊|中信銀行共用""), REGEXMATCH(F239, ""Ben帳戶|Elsa帳戶|Ben代墊|Ariel代墊|中信銀行共用"")), ""內部轉帳(忽略)"",
  AND(E239&lt;&gt;"""", F239&lt;&gt;"""", NOT(REG"&amp;"EXMATCH(C239, ""薪資""))), ""內部轉帳(忽略)"",
  REGEXMATCH(C239, ""薪資""), ""薪資變動(不計入)"",
  REGEXMATCH(C239, ""押金""), ""押金往來"",
  AND(E239&lt;&gt;"""", F239=""""), ""真實支出"",
  AND(E239="""", F239&lt;&gt;""""), ""真實收入"",
  TRUE, ""其他""
)"),"真實支出")</f>
        <v>真實支出</v>
      </c>
      <c r="K239" s="270">
        <f t="shared" si="2"/>
        <v>-1010</v>
      </c>
      <c r="L239">
        <f t="shared" si="3"/>
        <v>0</v>
      </c>
    </row>
    <row r="240">
      <c r="A240" s="107">
        <f>IFERROR(__xludf.DUMMYFUNCTION("""COMPUTED_VALUE"""),45359.0)</f>
        <v>45359</v>
      </c>
      <c r="B240" t="str">
        <f>IFERROR(__xludf.DUMMYFUNCTION("""COMPUTED_VALUE"""),"龍江229游r '")</f>
        <v>龍江229游r '</v>
      </c>
      <c r="C240" t="str">
        <f>IFERROR(__xludf.DUMMYFUNCTION("""COMPUTED_VALUE"""),"成本 - 大租金")</f>
        <v>成本 - 大租金</v>
      </c>
      <c r="D240" s="270">
        <f>IFERROR(__xludf.DUMMYFUNCTION("""COMPUTED_VALUE"""),-2370.0)</f>
        <v>-2370</v>
      </c>
      <c r="E240" t="str">
        <f>IFERROR(__xludf.DUMMYFUNCTION("""COMPUTED_VALUE"""),"台銀籌備帳戶")</f>
        <v>台銀籌備帳戶</v>
      </c>
      <c r="G240" t="str">
        <f>IFERROR(__xludf.DUMMYFUNCTION("""COMPUTED_VALUE"""),"龍江229")</f>
        <v>龍江229</v>
      </c>
      <c r="H240" s="106" t="str">
        <f t="shared" si="1"/>
        <v>2024-03</v>
      </c>
      <c r="I240" s="271" t="str">
        <f>IFERROR(__xludf.DUMMYFUNCTION("""COMPUTED_VALUE"""),"貓狗企鵝")</f>
        <v>貓狗企鵝</v>
      </c>
      <c r="J240" t="str">
        <f>IFERROR(__xludf.DUMMYFUNCTION("IFS(
  AND(REGEXMATCH(E240, ""台銀籌備帳戶|玉山帳戶""), REGEXMATCH(C240, ""薪資"")), ""分潤支出"",
  AND(REGEXMATCH(E240, ""Ben帳戶|Elsa帳戶|Ben代墊|Ariel代墊|中信銀行共用""), REGEXMATCH(F240, ""Ben帳戶|Elsa帳戶|Ben代墊|Ariel代墊|中信銀行共用"")), ""內部轉帳(忽略)"",
  AND(E240&lt;&gt;"""", F240&lt;&gt;"""", NOT(REG"&amp;"EXMATCH(C240, ""薪資""))), ""內部轉帳(忽略)"",
  REGEXMATCH(C240, ""薪資""), ""薪資變動(不計入)"",
  REGEXMATCH(C240, ""押金""), ""押金往來"",
  AND(E240&lt;&gt;"""", F240=""""), ""真實支出"",
  AND(E240="""", F240&lt;&gt;""""), ""真實收入"",
  TRUE, ""其他""
)"),"真實支出")</f>
        <v>真實支出</v>
      </c>
      <c r="K240" s="270">
        <f t="shared" si="2"/>
        <v>-2370</v>
      </c>
      <c r="L240">
        <f t="shared" si="3"/>
        <v>0</v>
      </c>
    </row>
    <row r="241">
      <c r="A241" s="107">
        <f>IFERROR(__xludf.DUMMYFUNCTION("""COMPUTED_VALUE"""),45359.0)</f>
        <v>45359</v>
      </c>
      <c r="B241" t="str">
        <f>IFERROR(__xludf.DUMMYFUNCTION("""COMPUTED_VALUE"""),"哈拉馬桶 '")</f>
        <v>哈拉馬桶 '</v>
      </c>
      <c r="C241" t="str">
        <f>IFERROR(__xludf.DUMMYFUNCTION("""COMPUTED_VALUE"""),"成本 - 進場前裝潢費")</f>
        <v>成本 - 進場前裝潢費</v>
      </c>
      <c r="D241" s="270">
        <f>IFERROR(__xludf.DUMMYFUNCTION("""COMPUTED_VALUE"""),-23325.0)</f>
        <v>-23325</v>
      </c>
      <c r="E241" t="str">
        <f>IFERROR(__xludf.DUMMYFUNCTION("""COMPUTED_VALUE"""),"台銀籌備帳戶")</f>
        <v>台銀籌備帳戶</v>
      </c>
      <c r="G241" t="str">
        <f>IFERROR(__xludf.DUMMYFUNCTION("""COMPUTED_VALUE"""),"哈拉對面")</f>
        <v>哈拉對面</v>
      </c>
      <c r="H241" s="106" t="str">
        <f t="shared" si="1"/>
        <v>2024-03</v>
      </c>
      <c r="I241" s="271" t="str">
        <f>IFERROR(__xludf.DUMMYFUNCTION("""COMPUTED_VALUE"""),"貓狗企鵝")</f>
        <v>貓狗企鵝</v>
      </c>
      <c r="J241" t="str">
        <f>IFERROR(__xludf.DUMMYFUNCTION("IFS(
  AND(REGEXMATCH(E241, ""台銀籌備帳戶|玉山帳戶""), REGEXMATCH(C241, ""薪資"")), ""分潤支出"",
  AND(REGEXMATCH(E241, ""Ben帳戶|Elsa帳戶|Ben代墊|Ariel代墊|中信銀行共用""), REGEXMATCH(F241, ""Ben帳戶|Elsa帳戶|Ben代墊|Ariel代墊|中信銀行共用"")), ""內部轉帳(忽略)"",
  AND(E241&lt;&gt;"""", F241&lt;&gt;"""", NOT(REG"&amp;"EXMATCH(C241, ""薪資""))), ""內部轉帳(忽略)"",
  REGEXMATCH(C241, ""薪資""), ""薪資變動(不計入)"",
  REGEXMATCH(C241, ""押金""), ""押金往來"",
  AND(E241&lt;&gt;"""", F241=""""), ""真實支出"",
  AND(E241="""", F241&lt;&gt;""""), ""真實收入"",
  TRUE, ""其他""
)"),"真實支出")</f>
        <v>真實支出</v>
      </c>
      <c r="K241" s="270">
        <f t="shared" si="2"/>
        <v>-23325</v>
      </c>
      <c r="L241">
        <f t="shared" si="3"/>
        <v>0</v>
      </c>
    </row>
    <row r="242">
      <c r="A242" s="107">
        <f>IFERROR(__xludf.DUMMYFUNCTION("""COMPUTED_VALUE"""),45360.0)</f>
        <v>45360</v>
      </c>
      <c r="B242" t="str">
        <f>IFERROR(__xludf.DUMMYFUNCTION("""COMPUTED_VALUE"""),"哥哥/弟弟房 淘寶把手")</f>
        <v>哥哥/弟弟房 淘寶把手</v>
      </c>
      <c r="C242" t="str">
        <f>IFERROR(__xludf.DUMMYFUNCTION("""COMPUTED_VALUE"""),"成本 - 進場前裝潢費")</f>
        <v>成本 - 進場前裝潢費</v>
      </c>
      <c r="D242" s="270">
        <f>IFERROR(__xludf.DUMMYFUNCTION("""COMPUTED_VALUE"""),-2000.0)</f>
        <v>-2000</v>
      </c>
      <c r="E242" t="str">
        <f>IFERROR(__xludf.DUMMYFUNCTION("""COMPUTED_VALUE"""),"Ben帳戶")</f>
        <v>Ben帳戶</v>
      </c>
      <c r="G242" t="str">
        <f>IFERROR(__xludf.DUMMYFUNCTION("""COMPUTED_VALUE"""),"北醫醫師府")</f>
        <v>北醫醫師府</v>
      </c>
      <c r="H242" s="106" t="str">
        <f t="shared" si="1"/>
        <v>2024-03</v>
      </c>
      <c r="I242" s="271" t="str">
        <f>IFERROR(__xludf.DUMMYFUNCTION("""COMPUTED_VALUE"""),"貓狗企鵝")</f>
        <v>貓狗企鵝</v>
      </c>
      <c r="J242" t="str">
        <f>IFERROR(__xludf.DUMMYFUNCTION("IFS(
  AND(REGEXMATCH(E242, ""台銀籌備帳戶|玉山帳戶""), REGEXMATCH(C242, ""薪資"")), ""分潤支出"",
  AND(REGEXMATCH(E242, ""Ben帳戶|Elsa帳戶|Ben代墊|Ariel代墊|中信銀行共用""), REGEXMATCH(F242, ""Ben帳戶|Elsa帳戶|Ben代墊|Ariel代墊|中信銀行共用"")), ""內部轉帳(忽略)"",
  AND(E242&lt;&gt;"""", F242&lt;&gt;"""", NOT(REG"&amp;"EXMATCH(C242, ""薪資""))), ""內部轉帳(忽略)"",
  REGEXMATCH(C242, ""薪資""), ""薪資變動(不計入)"",
  REGEXMATCH(C242, ""押金""), ""押金往來"",
  AND(E242&lt;&gt;"""", F242=""""), ""真實支出"",
  AND(E242="""", F242&lt;&gt;""""), ""真實收入"",
  TRUE, ""其他""
)"),"真實支出")</f>
        <v>真實支出</v>
      </c>
      <c r="K242" s="270">
        <f t="shared" si="2"/>
        <v>-2000</v>
      </c>
      <c r="L242">
        <f t="shared" si="3"/>
        <v>0</v>
      </c>
    </row>
    <row r="243">
      <c r="A243" s="107">
        <f>IFERROR(__xludf.DUMMYFUNCTION("""COMPUTED_VALUE"""),45360.0)</f>
        <v>45360</v>
      </c>
      <c r="B243" t="str">
        <f>IFERROR(__xludf.DUMMYFUNCTION("""COMPUTED_VALUE"""),"滅火器")</f>
        <v>滅火器</v>
      </c>
      <c r="C243" t="str">
        <f>IFERROR(__xludf.DUMMYFUNCTION("""COMPUTED_VALUE"""),"成本 - 進場前裝潢費")</f>
        <v>成本 - 進場前裝潢費</v>
      </c>
      <c r="D243" s="270">
        <f>IFERROR(__xludf.DUMMYFUNCTION("""COMPUTED_VALUE"""),-1299.0)</f>
        <v>-1299</v>
      </c>
      <c r="E243" t="str">
        <f>IFERROR(__xludf.DUMMYFUNCTION("""COMPUTED_VALUE"""),"Elsa帳戶")</f>
        <v>Elsa帳戶</v>
      </c>
      <c r="G243" t="str">
        <f>IFERROR(__xludf.DUMMYFUNCTION("""COMPUTED_VALUE"""),"北醫醫師府")</f>
        <v>北醫醫師府</v>
      </c>
      <c r="H243" s="106" t="str">
        <f t="shared" si="1"/>
        <v>2024-03</v>
      </c>
      <c r="I243" s="271" t="str">
        <f>IFERROR(__xludf.DUMMYFUNCTION("""COMPUTED_VALUE"""),"貓狗企鵝")</f>
        <v>貓狗企鵝</v>
      </c>
      <c r="J243" t="str">
        <f>IFERROR(__xludf.DUMMYFUNCTION("IFS(
  AND(REGEXMATCH(E243, ""台銀籌備帳戶|玉山帳戶""), REGEXMATCH(C243, ""薪資"")), ""分潤支出"",
  AND(REGEXMATCH(E243, ""Ben帳戶|Elsa帳戶|Ben代墊|Ariel代墊|中信銀行共用""), REGEXMATCH(F243, ""Ben帳戶|Elsa帳戶|Ben代墊|Ariel代墊|中信銀行共用"")), ""內部轉帳(忽略)"",
  AND(E243&lt;&gt;"""", F243&lt;&gt;"""", NOT(REG"&amp;"EXMATCH(C243, ""薪資""))), ""內部轉帳(忽略)"",
  REGEXMATCH(C243, ""薪資""), ""薪資變動(不計入)"",
  REGEXMATCH(C243, ""押金""), ""押金往來"",
  AND(E243&lt;&gt;"""", F243=""""), ""真實支出"",
  AND(E243="""", F243&lt;&gt;""""), ""真實收入"",
  TRUE, ""其他""
)"),"真實支出")</f>
        <v>真實支出</v>
      </c>
      <c r="K243" s="270">
        <f t="shared" si="2"/>
        <v>-1299</v>
      </c>
      <c r="L243">
        <f t="shared" si="3"/>
        <v>0</v>
      </c>
    </row>
    <row r="244">
      <c r="A244" s="107">
        <f>IFERROR(__xludf.DUMMYFUNCTION("""COMPUTED_VALUE"""),45360.0)</f>
        <v>45360</v>
      </c>
      <c r="B244" t="str">
        <f>IFERROR(__xludf.DUMMYFUNCTION("""COMPUTED_VALUE"""),"潔客幫打掃怪")</f>
        <v>潔客幫打掃怪</v>
      </c>
      <c r="C244" t="str">
        <f>IFERROR(__xludf.DUMMYFUNCTION("""COMPUTED_VALUE"""),"成本 - 進場前裝潢費")</f>
        <v>成本 - 進場前裝潢費</v>
      </c>
      <c r="D244" s="270">
        <f>IFERROR(__xludf.DUMMYFUNCTION("""COMPUTED_VALUE"""),-1600.0)</f>
        <v>-1600</v>
      </c>
      <c r="E244" t="str">
        <f>IFERROR(__xludf.DUMMYFUNCTION("""COMPUTED_VALUE"""),"Elsa帳戶")</f>
        <v>Elsa帳戶</v>
      </c>
      <c r="G244" t="str">
        <f>IFERROR(__xludf.DUMMYFUNCTION("""COMPUTED_VALUE"""),"北醫醫師府")</f>
        <v>北醫醫師府</v>
      </c>
      <c r="H244" s="106" t="str">
        <f t="shared" si="1"/>
        <v>2024-03</v>
      </c>
      <c r="I244" s="271" t="str">
        <f>IFERROR(__xludf.DUMMYFUNCTION("""COMPUTED_VALUE"""),"貓狗企鵝")</f>
        <v>貓狗企鵝</v>
      </c>
      <c r="J244" t="str">
        <f>IFERROR(__xludf.DUMMYFUNCTION("IFS(
  AND(REGEXMATCH(E244, ""台銀籌備帳戶|玉山帳戶""), REGEXMATCH(C244, ""薪資"")), ""分潤支出"",
  AND(REGEXMATCH(E244, ""Ben帳戶|Elsa帳戶|Ben代墊|Ariel代墊|中信銀行共用""), REGEXMATCH(F244, ""Ben帳戶|Elsa帳戶|Ben代墊|Ariel代墊|中信銀行共用"")), ""內部轉帳(忽略)"",
  AND(E244&lt;&gt;"""", F244&lt;&gt;"""", NOT(REG"&amp;"EXMATCH(C244, ""薪資""))), ""內部轉帳(忽略)"",
  REGEXMATCH(C244, ""薪資""), ""薪資變動(不計入)"",
  REGEXMATCH(C244, ""押金""), ""押金往來"",
  AND(E244&lt;&gt;"""", F244=""""), ""真實支出"",
  AND(E244="""", F244&lt;&gt;""""), ""真實收入"",
  TRUE, ""其他""
)"),"真實支出")</f>
        <v>真實支出</v>
      </c>
      <c r="K244" s="270">
        <f t="shared" si="2"/>
        <v>-1600</v>
      </c>
      <c r="L244">
        <f t="shared" si="3"/>
        <v>0</v>
      </c>
    </row>
    <row r="245">
      <c r="A245" s="107">
        <f>IFERROR(__xludf.DUMMYFUNCTION("""COMPUTED_VALUE"""),45361.0)</f>
        <v>45361</v>
      </c>
      <c r="B245" t="str">
        <f>IFERROR(__xludf.DUMMYFUNCTION("""COMPUTED_VALUE"""),"ikea 窗簾桿")</f>
        <v>ikea 窗簾桿</v>
      </c>
      <c r="C245" t="str">
        <f>IFERROR(__xludf.DUMMYFUNCTION("""COMPUTED_VALUE"""),"成本 - 進場前裝潢費")</f>
        <v>成本 - 進場前裝潢費</v>
      </c>
      <c r="D245" s="270">
        <f>IFERROR(__xludf.DUMMYFUNCTION("""COMPUTED_VALUE"""),-6962.0)</f>
        <v>-6962</v>
      </c>
      <c r="E245" t="str">
        <f>IFERROR(__xludf.DUMMYFUNCTION("""COMPUTED_VALUE"""),"Elsa帳戶")</f>
        <v>Elsa帳戶</v>
      </c>
      <c r="G245" t="str">
        <f>IFERROR(__xludf.DUMMYFUNCTION("""COMPUTED_VALUE"""),"北醫醫師府")</f>
        <v>北醫醫師府</v>
      </c>
      <c r="H245" s="106" t="str">
        <f t="shared" si="1"/>
        <v>2024-03</v>
      </c>
      <c r="I245" s="271" t="str">
        <f>IFERROR(__xludf.DUMMYFUNCTION("""COMPUTED_VALUE"""),"貓狗企鵝")</f>
        <v>貓狗企鵝</v>
      </c>
      <c r="J245" t="str">
        <f>IFERROR(__xludf.DUMMYFUNCTION("IFS(
  AND(REGEXMATCH(E245, ""台銀籌備帳戶|玉山帳戶""), REGEXMATCH(C245, ""薪資"")), ""分潤支出"",
  AND(REGEXMATCH(E245, ""Ben帳戶|Elsa帳戶|Ben代墊|Ariel代墊|中信銀行共用""), REGEXMATCH(F245, ""Ben帳戶|Elsa帳戶|Ben代墊|Ariel代墊|中信銀行共用"")), ""內部轉帳(忽略)"",
  AND(E245&lt;&gt;"""", F245&lt;&gt;"""", NOT(REG"&amp;"EXMATCH(C245, ""薪資""))), ""內部轉帳(忽略)"",
  REGEXMATCH(C245, ""薪資""), ""薪資變動(不計入)"",
  REGEXMATCH(C245, ""押金""), ""押金往來"",
  AND(E245&lt;&gt;"""", F245=""""), ""真實支出"",
  AND(E245="""", F245&lt;&gt;""""), ""真實收入"",
  TRUE, ""其他""
)"),"真實支出")</f>
        <v>真實支出</v>
      </c>
      <c r="K245" s="270">
        <f t="shared" si="2"/>
        <v>-6962</v>
      </c>
      <c r="L245">
        <f t="shared" si="3"/>
        <v>0</v>
      </c>
    </row>
    <row r="246">
      <c r="A246" s="107">
        <f>IFERROR(__xludf.DUMMYFUNCTION("""COMPUTED_VALUE"""),45361.0)</f>
        <v>45361</v>
      </c>
      <c r="B246" t="str">
        <f>IFERROR(__xludf.DUMMYFUNCTION("""COMPUTED_VALUE"""),"貼皮")</f>
        <v>貼皮</v>
      </c>
      <c r="C246" t="str">
        <f>IFERROR(__xludf.DUMMYFUNCTION("""COMPUTED_VALUE"""),"成本 - 進場前裝潢費")</f>
        <v>成本 - 進場前裝潢費</v>
      </c>
      <c r="D246" s="270">
        <f>IFERROR(__xludf.DUMMYFUNCTION("""COMPUTED_VALUE"""),-1650.0)</f>
        <v>-1650</v>
      </c>
      <c r="E246" t="str">
        <f>IFERROR(__xludf.DUMMYFUNCTION("""COMPUTED_VALUE"""),"Ben帳戶")</f>
        <v>Ben帳戶</v>
      </c>
      <c r="G246" t="str">
        <f>IFERROR(__xludf.DUMMYFUNCTION("""COMPUTED_VALUE"""),"北醫醫師府")</f>
        <v>北醫醫師府</v>
      </c>
      <c r="H246" s="106" t="str">
        <f t="shared" si="1"/>
        <v>2024-03</v>
      </c>
      <c r="I246" s="271" t="str">
        <f>IFERROR(__xludf.DUMMYFUNCTION("""COMPUTED_VALUE"""),"貓狗企鵝")</f>
        <v>貓狗企鵝</v>
      </c>
      <c r="J246" t="str">
        <f>IFERROR(__xludf.DUMMYFUNCTION("IFS(
  AND(REGEXMATCH(E246, ""台銀籌備帳戶|玉山帳戶""), REGEXMATCH(C246, ""薪資"")), ""分潤支出"",
  AND(REGEXMATCH(E246, ""Ben帳戶|Elsa帳戶|Ben代墊|Ariel代墊|中信銀行共用""), REGEXMATCH(F246, ""Ben帳戶|Elsa帳戶|Ben代墊|Ariel代墊|中信銀行共用"")), ""內部轉帳(忽略)"",
  AND(E246&lt;&gt;"""", F246&lt;&gt;"""", NOT(REG"&amp;"EXMATCH(C246, ""薪資""))), ""內部轉帳(忽略)"",
  REGEXMATCH(C246, ""薪資""), ""薪資變動(不計入)"",
  REGEXMATCH(C246, ""押金""), ""押金往來"",
  AND(E246&lt;&gt;"""", F246=""""), ""真實支出"",
  AND(E246="""", F246&lt;&gt;""""), ""真實收入"",
  TRUE, ""其他""
)"),"真實支出")</f>
        <v>真實支出</v>
      </c>
      <c r="K246" s="270">
        <f t="shared" si="2"/>
        <v>-1650</v>
      </c>
      <c r="L246">
        <f t="shared" si="3"/>
        <v>0</v>
      </c>
    </row>
    <row r="247">
      <c r="A247" s="107">
        <f>IFERROR(__xludf.DUMMYFUNCTION("""COMPUTED_VALUE"""),45361.0)</f>
        <v>45361</v>
      </c>
      <c r="B247" t="str">
        <f>IFERROR(__xludf.DUMMYFUNCTION("""COMPUTED_VALUE"""),"北都網路")</f>
        <v>北都網路</v>
      </c>
      <c r="C247" t="str">
        <f>IFERROR(__xludf.DUMMYFUNCTION("""COMPUTED_VALUE"""),"成本 - 進場前裝潢費")</f>
        <v>成本 - 進場前裝潢費</v>
      </c>
      <c r="D247" s="270">
        <f>IFERROR(__xludf.DUMMYFUNCTION("""COMPUTED_VALUE"""),-300.0)</f>
        <v>-300</v>
      </c>
      <c r="E247" t="str">
        <f>IFERROR(__xludf.DUMMYFUNCTION("""COMPUTED_VALUE"""),"Ben帳戶")</f>
        <v>Ben帳戶</v>
      </c>
      <c r="G247" t="str">
        <f>IFERROR(__xludf.DUMMYFUNCTION("""COMPUTED_VALUE"""),"北醫醫師府")</f>
        <v>北醫醫師府</v>
      </c>
      <c r="H247" s="106" t="str">
        <f t="shared" si="1"/>
        <v>2024-03</v>
      </c>
      <c r="I247" s="271" t="str">
        <f>IFERROR(__xludf.DUMMYFUNCTION("""COMPUTED_VALUE"""),"貓狗企鵝")</f>
        <v>貓狗企鵝</v>
      </c>
      <c r="J247" t="str">
        <f>IFERROR(__xludf.DUMMYFUNCTION("IFS(
  AND(REGEXMATCH(E247, ""台銀籌備帳戶|玉山帳戶""), REGEXMATCH(C247, ""薪資"")), ""分潤支出"",
  AND(REGEXMATCH(E247, ""Ben帳戶|Elsa帳戶|Ben代墊|Ariel代墊|中信銀行共用""), REGEXMATCH(F247, ""Ben帳戶|Elsa帳戶|Ben代墊|Ariel代墊|中信銀行共用"")), ""內部轉帳(忽略)"",
  AND(E247&lt;&gt;"""", F247&lt;&gt;"""", NOT(REG"&amp;"EXMATCH(C247, ""薪資""))), ""內部轉帳(忽略)"",
  REGEXMATCH(C247, ""薪資""), ""薪資變動(不計入)"",
  REGEXMATCH(C247, ""押金""), ""押金往來"",
  AND(E247&lt;&gt;"""", F247=""""), ""真實支出"",
  AND(E247="""", F247&lt;&gt;""""), ""真實收入"",
  TRUE, ""其他""
)"),"真實支出")</f>
        <v>真實支出</v>
      </c>
      <c r="K247" s="270">
        <f t="shared" si="2"/>
        <v>-300</v>
      </c>
      <c r="L247">
        <f t="shared" si="3"/>
        <v>0</v>
      </c>
    </row>
    <row r="248">
      <c r="A248" s="107">
        <f>IFERROR(__xludf.DUMMYFUNCTION("""COMPUTED_VALUE"""),45361.0)</f>
        <v>45361</v>
      </c>
      <c r="B248" t="str">
        <f>IFERROR(__xludf.DUMMYFUNCTION("""COMPUTED_VALUE"""),"WiFi強波器")</f>
        <v>WiFi強波器</v>
      </c>
      <c r="C248" t="str">
        <f>IFERROR(__xludf.DUMMYFUNCTION("""COMPUTED_VALUE"""),"成本 - 進場前裝潢費")</f>
        <v>成本 - 進場前裝潢費</v>
      </c>
      <c r="D248" s="270">
        <f>IFERROR(__xludf.DUMMYFUNCTION("""COMPUTED_VALUE"""),-2399.0)</f>
        <v>-2399</v>
      </c>
      <c r="E248" t="str">
        <f>IFERROR(__xludf.DUMMYFUNCTION("""COMPUTED_VALUE"""),"Ben帳戶")</f>
        <v>Ben帳戶</v>
      </c>
      <c r="G248" t="str">
        <f>IFERROR(__xludf.DUMMYFUNCTION("""COMPUTED_VALUE"""),"北醫醫師府")</f>
        <v>北醫醫師府</v>
      </c>
      <c r="H248" s="106" t="str">
        <f t="shared" si="1"/>
        <v>2024-03</v>
      </c>
      <c r="I248" s="271" t="str">
        <f>IFERROR(__xludf.DUMMYFUNCTION("""COMPUTED_VALUE"""),"貓狗企鵝")</f>
        <v>貓狗企鵝</v>
      </c>
      <c r="J248" t="str">
        <f>IFERROR(__xludf.DUMMYFUNCTION("IFS(
  AND(REGEXMATCH(E248, ""台銀籌備帳戶|玉山帳戶""), REGEXMATCH(C248, ""薪資"")), ""分潤支出"",
  AND(REGEXMATCH(E248, ""Ben帳戶|Elsa帳戶|Ben代墊|Ariel代墊|中信銀行共用""), REGEXMATCH(F248, ""Ben帳戶|Elsa帳戶|Ben代墊|Ariel代墊|中信銀行共用"")), ""內部轉帳(忽略)"",
  AND(E248&lt;&gt;"""", F248&lt;&gt;"""", NOT(REG"&amp;"EXMATCH(C248, ""薪資""))), ""內部轉帳(忽略)"",
  REGEXMATCH(C248, ""薪資""), ""薪資變動(不計入)"",
  REGEXMATCH(C248, ""押金""), ""押金往來"",
  AND(E248&lt;&gt;"""", F248=""""), ""真實支出"",
  AND(E248="""", F248&lt;&gt;""""), ""真實收入"",
  TRUE, ""其他""
)"),"真實支出")</f>
        <v>真實支出</v>
      </c>
      <c r="K248" s="270">
        <f t="shared" si="2"/>
        <v>-2399</v>
      </c>
      <c r="L248">
        <f t="shared" si="3"/>
        <v>0</v>
      </c>
    </row>
    <row r="249">
      <c r="A249" s="107">
        <f>IFERROR(__xludf.DUMMYFUNCTION("""COMPUTED_VALUE"""),45364.0)</f>
        <v>45364</v>
      </c>
      <c r="B249" t="str">
        <f>IFERROR(__xludf.DUMMYFUNCTION("""COMPUTED_VALUE"""),"IKEA 鑽牆費")</f>
        <v>IKEA 鑽牆費</v>
      </c>
      <c r="C249" t="str">
        <f>IFERROR(__xludf.DUMMYFUNCTION("""COMPUTED_VALUE"""),"成本 - 進場前裝潢費")</f>
        <v>成本 - 進場前裝潢費</v>
      </c>
      <c r="D249" s="270">
        <f>IFERROR(__xludf.DUMMYFUNCTION("""COMPUTED_VALUE"""),-240.0)</f>
        <v>-240</v>
      </c>
      <c r="E249" t="str">
        <f>IFERROR(__xludf.DUMMYFUNCTION("""COMPUTED_VALUE"""),"Elsa帳戶")</f>
        <v>Elsa帳戶</v>
      </c>
      <c r="G249" t="str">
        <f>IFERROR(__xludf.DUMMYFUNCTION("""COMPUTED_VALUE"""),"北醫醫師府")</f>
        <v>北醫醫師府</v>
      </c>
      <c r="H249" s="106" t="str">
        <f t="shared" si="1"/>
        <v>2024-03</v>
      </c>
      <c r="I249" s="271" t="str">
        <f>IFERROR(__xludf.DUMMYFUNCTION("""COMPUTED_VALUE"""),"貓狗企鵝")</f>
        <v>貓狗企鵝</v>
      </c>
      <c r="J249" t="str">
        <f>IFERROR(__xludf.DUMMYFUNCTION("IFS(
  AND(REGEXMATCH(E249, ""台銀籌備帳戶|玉山帳戶""), REGEXMATCH(C249, ""薪資"")), ""分潤支出"",
  AND(REGEXMATCH(E249, ""Ben帳戶|Elsa帳戶|Ben代墊|Ariel代墊|中信銀行共用""), REGEXMATCH(F249, ""Ben帳戶|Elsa帳戶|Ben代墊|Ariel代墊|中信銀行共用"")), ""內部轉帳(忽略)"",
  AND(E249&lt;&gt;"""", F249&lt;&gt;"""", NOT(REG"&amp;"EXMATCH(C249, ""薪資""))), ""內部轉帳(忽略)"",
  REGEXMATCH(C249, ""薪資""), ""薪資變動(不計入)"",
  REGEXMATCH(C249, ""押金""), ""押金往來"",
  AND(E249&lt;&gt;"""", F249=""""), ""真實支出"",
  AND(E249="""", F249&lt;&gt;""""), ""真實收入"",
  TRUE, ""其他""
)"),"真實支出")</f>
        <v>真實支出</v>
      </c>
      <c r="K249" s="270">
        <f t="shared" si="2"/>
        <v>-240</v>
      </c>
      <c r="L249">
        <f t="shared" si="3"/>
        <v>0</v>
      </c>
    </row>
    <row r="250">
      <c r="A250" s="107">
        <f>IFERROR(__xludf.DUMMYFUNCTION("""COMPUTED_VALUE"""),45364.0)</f>
        <v>45364</v>
      </c>
      <c r="B250" t="str">
        <f>IFERROR(__xludf.DUMMYFUNCTION("""COMPUTED_VALUE"""),"冰箱搬運費")</f>
        <v>冰箱搬運費</v>
      </c>
      <c r="C250" t="str">
        <f>IFERROR(__xludf.DUMMYFUNCTION("""COMPUTED_VALUE"""),"成本 - 進場前裝潢費")</f>
        <v>成本 - 進場前裝潢費</v>
      </c>
      <c r="D250" s="270">
        <f>IFERROR(__xludf.DUMMYFUNCTION("""COMPUTED_VALUE"""),-100.0)</f>
        <v>-100</v>
      </c>
      <c r="E250" t="str">
        <f>IFERROR(__xludf.DUMMYFUNCTION("""COMPUTED_VALUE"""),"Ben帳戶")</f>
        <v>Ben帳戶</v>
      </c>
      <c r="G250" t="str">
        <f>IFERROR(__xludf.DUMMYFUNCTION("""COMPUTED_VALUE"""),"北醫醫師府")</f>
        <v>北醫醫師府</v>
      </c>
      <c r="H250" s="106" t="str">
        <f t="shared" si="1"/>
        <v>2024-03</v>
      </c>
      <c r="I250" s="271" t="str">
        <f>IFERROR(__xludf.DUMMYFUNCTION("""COMPUTED_VALUE"""),"貓狗企鵝")</f>
        <v>貓狗企鵝</v>
      </c>
      <c r="J250" t="str">
        <f>IFERROR(__xludf.DUMMYFUNCTION("IFS(
  AND(REGEXMATCH(E250, ""台銀籌備帳戶|玉山帳戶""), REGEXMATCH(C250, ""薪資"")), ""分潤支出"",
  AND(REGEXMATCH(E250, ""Ben帳戶|Elsa帳戶|Ben代墊|Ariel代墊|中信銀行共用""), REGEXMATCH(F250, ""Ben帳戶|Elsa帳戶|Ben代墊|Ariel代墊|中信銀行共用"")), ""內部轉帳(忽略)"",
  AND(E250&lt;&gt;"""", F250&lt;&gt;"""", NOT(REG"&amp;"EXMATCH(C250, ""薪資""))), ""內部轉帳(忽略)"",
  REGEXMATCH(C250, ""薪資""), ""薪資變動(不計入)"",
  REGEXMATCH(C250, ""押金""), ""押金往來"",
  AND(E250&lt;&gt;"""", F250=""""), ""真實支出"",
  AND(E250="""", F250&lt;&gt;""""), ""真實收入"",
  TRUE, ""其他""
)"),"真實支出")</f>
        <v>真實支出</v>
      </c>
      <c r="K250" s="270">
        <f t="shared" si="2"/>
        <v>-100</v>
      </c>
      <c r="L250">
        <f t="shared" si="3"/>
        <v>0</v>
      </c>
    </row>
    <row r="251">
      <c r="A251" s="107">
        <f>IFERROR(__xludf.DUMMYFUNCTION("""COMPUTED_VALUE"""),45364.0)</f>
        <v>45364</v>
      </c>
      <c r="B251" t="str">
        <f>IFERROR(__xludf.DUMMYFUNCTION("""COMPUTED_VALUE"""),"吳興冷氣小翔 '")</f>
        <v>吳興冷氣小翔 '</v>
      </c>
      <c r="C251" t="str">
        <f>IFERROR(__xludf.DUMMYFUNCTION("""COMPUTED_VALUE"""),"成本 - 進場前裝潢費")</f>
        <v>成本 - 進場前裝潢費</v>
      </c>
      <c r="D251" s="270">
        <f>IFERROR(__xludf.DUMMYFUNCTION("""COMPUTED_VALUE"""),-26015.0)</f>
        <v>-26015</v>
      </c>
      <c r="E251" t="str">
        <f>IFERROR(__xludf.DUMMYFUNCTION("""COMPUTED_VALUE"""),"台銀籌備帳戶")</f>
        <v>台銀籌備帳戶</v>
      </c>
      <c r="G251" t="str">
        <f>IFERROR(__xludf.DUMMYFUNCTION("""COMPUTED_VALUE"""),"北醫醫師府")</f>
        <v>北醫醫師府</v>
      </c>
      <c r="H251" s="106" t="str">
        <f t="shared" si="1"/>
        <v>2024-03</v>
      </c>
      <c r="I251" s="271" t="str">
        <f>IFERROR(__xludf.DUMMYFUNCTION("""COMPUTED_VALUE"""),"貓狗企鵝")</f>
        <v>貓狗企鵝</v>
      </c>
      <c r="J251" t="str">
        <f>IFERROR(__xludf.DUMMYFUNCTION("IFS(
  AND(REGEXMATCH(E251, ""台銀籌備帳戶|玉山帳戶""), REGEXMATCH(C251, ""薪資"")), ""分潤支出"",
  AND(REGEXMATCH(E251, ""Ben帳戶|Elsa帳戶|Ben代墊|Ariel代墊|中信銀行共用""), REGEXMATCH(F251, ""Ben帳戶|Elsa帳戶|Ben代墊|Ariel代墊|中信銀行共用"")), ""內部轉帳(忽略)"",
  AND(E251&lt;&gt;"""", F251&lt;&gt;"""", NOT(REG"&amp;"EXMATCH(C251, ""薪資""))), ""內部轉帳(忽略)"",
  REGEXMATCH(C251, ""薪資""), ""薪資變動(不計入)"",
  REGEXMATCH(C251, ""押金""), ""押金往來"",
  AND(E251&lt;&gt;"""", F251=""""), ""真實支出"",
  AND(E251="""", F251&lt;&gt;""""), ""真實收入"",
  TRUE, ""其他""
)"),"真實支出")</f>
        <v>真實支出</v>
      </c>
      <c r="K251" s="270">
        <f t="shared" si="2"/>
        <v>-26015</v>
      </c>
      <c r="L251">
        <f t="shared" si="3"/>
        <v>0</v>
      </c>
    </row>
    <row r="252">
      <c r="A252" s="107">
        <f>IFERROR(__xludf.DUMMYFUNCTION("""COMPUTED_VALUE"""),45364.0)</f>
        <v>45364</v>
      </c>
      <c r="B252" t="str">
        <f>IFERROR(__xludf.DUMMYFUNCTION("""COMPUTED_VALUE"""),"鐵門尾款 '")</f>
        <v>鐵門尾款 '</v>
      </c>
      <c r="C252" t="str">
        <f>IFERROR(__xludf.DUMMYFUNCTION("""COMPUTED_VALUE"""),"成本 - 進場前裝潢費")</f>
        <v>成本 - 進場前裝潢費</v>
      </c>
      <c r="D252" s="270">
        <f>IFERROR(__xludf.DUMMYFUNCTION("""COMPUTED_VALUE"""),-12065.0)</f>
        <v>-12065</v>
      </c>
      <c r="E252" t="str">
        <f>IFERROR(__xludf.DUMMYFUNCTION("""COMPUTED_VALUE"""),"台銀籌備帳戶")</f>
        <v>台銀籌備帳戶</v>
      </c>
      <c r="G252" t="str">
        <f>IFERROR(__xludf.DUMMYFUNCTION("""COMPUTED_VALUE"""),"北醫醫師府")</f>
        <v>北醫醫師府</v>
      </c>
      <c r="H252" s="106" t="str">
        <f t="shared" si="1"/>
        <v>2024-03</v>
      </c>
      <c r="I252" s="271" t="str">
        <f>IFERROR(__xludf.DUMMYFUNCTION("""COMPUTED_VALUE"""),"貓狗企鵝")</f>
        <v>貓狗企鵝</v>
      </c>
      <c r="J252" t="str">
        <f>IFERROR(__xludf.DUMMYFUNCTION("IFS(
  AND(REGEXMATCH(E252, ""台銀籌備帳戶|玉山帳戶""), REGEXMATCH(C252, ""薪資"")), ""分潤支出"",
  AND(REGEXMATCH(E252, ""Ben帳戶|Elsa帳戶|Ben代墊|Ariel代墊|中信銀行共用""), REGEXMATCH(F252, ""Ben帳戶|Elsa帳戶|Ben代墊|Ariel代墊|中信銀行共用"")), ""內部轉帳(忽略)"",
  AND(E252&lt;&gt;"""", F252&lt;&gt;"""", NOT(REG"&amp;"EXMATCH(C252, ""薪資""))), ""內部轉帳(忽略)"",
  REGEXMATCH(C252, ""薪資""), ""薪資變動(不計入)"",
  REGEXMATCH(C252, ""押金""), ""押金往來"",
  AND(E252&lt;&gt;"""", F252=""""), ""真實支出"",
  AND(E252="""", F252&lt;&gt;""""), ""真實收入"",
  TRUE, ""其他""
)"),"真實支出")</f>
        <v>真實支出</v>
      </c>
      <c r="K252" s="270">
        <f t="shared" si="2"/>
        <v>-12065</v>
      </c>
      <c r="L252">
        <f t="shared" si="3"/>
        <v>0</v>
      </c>
    </row>
    <row r="253">
      <c r="A253" s="107">
        <f>IFERROR(__xludf.DUMMYFUNCTION("""COMPUTED_VALUE"""),45365.0)</f>
        <v>45365</v>
      </c>
      <c r="B253" t="str">
        <f>IFERROR(__xludf.DUMMYFUNCTION("""COMPUTED_VALUE"""),"地板")</f>
        <v>地板</v>
      </c>
      <c r="C253" t="str">
        <f>IFERROR(__xludf.DUMMYFUNCTION("""COMPUTED_VALUE"""),"成本 - 進場前裝潢費")</f>
        <v>成本 - 進場前裝潢費</v>
      </c>
      <c r="D253" s="270">
        <f>IFERROR(__xludf.DUMMYFUNCTION("""COMPUTED_VALUE"""),-42840.0)</f>
        <v>-42840</v>
      </c>
      <c r="E253" t="str">
        <f>IFERROR(__xludf.DUMMYFUNCTION("""COMPUTED_VALUE"""),"Elsa帳戶")</f>
        <v>Elsa帳戶</v>
      </c>
      <c r="G253" t="str">
        <f>IFERROR(__xludf.DUMMYFUNCTION("""COMPUTED_VALUE"""),"北醫醫師府")</f>
        <v>北醫醫師府</v>
      </c>
      <c r="H253" s="106" t="str">
        <f t="shared" si="1"/>
        <v>2024-03</v>
      </c>
      <c r="I253" s="271" t="str">
        <f>IFERROR(__xludf.DUMMYFUNCTION("""COMPUTED_VALUE"""),"貓狗企鵝")</f>
        <v>貓狗企鵝</v>
      </c>
      <c r="J253" t="str">
        <f>IFERROR(__xludf.DUMMYFUNCTION("IFS(
  AND(REGEXMATCH(E253, ""台銀籌備帳戶|玉山帳戶""), REGEXMATCH(C253, ""薪資"")), ""分潤支出"",
  AND(REGEXMATCH(E253, ""Ben帳戶|Elsa帳戶|Ben代墊|Ariel代墊|中信銀行共用""), REGEXMATCH(F253, ""Ben帳戶|Elsa帳戶|Ben代墊|Ariel代墊|中信銀行共用"")), ""內部轉帳(忽略)"",
  AND(E253&lt;&gt;"""", F253&lt;&gt;"""", NOT(REG"&amp;"EXMATCH(C253, ""薪資""))), ""內部轉帳(忽略)"",
  REGEXMATCH(C253, ""薪資""), ""薪資變動(不計入)"",
  REGEXMATCH(C253, ""押金""), ""押金往來"",
  AND(E253&lt;&gt;"""", F253=""""), ""真實支出"",
  AND(E253="""", F253&lt;&gt;""""), ""真實收入"",
  TRUE, ""其他""
)"),"真實支出")</f>
        <v>真實支出</v>
      </c>
      <c r="K253" s="270">
        <f t="shared" si="2"/>
        <v>-42840</v>
      </c>
      <c r="L253">
        <f t="shared" si="3"/>
        <v>0</v>
      </c>
    </row>
    <row r="254">
      <c r="A254" s="107">
        <f>IFERROR(__xludf.DUMMYFUNCTION("""COMPUTED_VALUE"""),45367.0)</f>
        <v>45367</v>
      </c>
      <c r="B254" t="str">
        <f>IFERROR(__xludf.DUMMYFUNCTION("""COMPUTED_VALUE"""),"五金")</f>
        <v>五金</v>
      </c>
      <c r="C254" t="str">
        <f>IFERROR(__xludf.DUMMYFUNCTION("""COMPUTED_VALUE"""),"成本 - 進場前裝潢費")</f>
        <v>成本 - 進場前裝潢費</v>
      </c>
      <c r="D254" s="270">
        <f>IFERROR(__xludf.DUMMYFUNCTION("""COMPUTED_VALUE"""),-292.0)</f>
        <v>-292</v>
      </c>
      <c r="E254" t="str">
        <f>IFERROR(__xludf.DUMMYFUNCTION("""COMPUTED_VALUE"""),"Ben帳戶")</f>
        <v>Ben帳戶</v>
      </c>
      <c r="G254" t="str">
        <f>IFERROR(__xludf.DUMMYFUNCTION("""COMPUTED_VALUE"""),"北醫醫師府")</f>
        <v>北醫醫師府</v>
      </c>
      <c r="H254" s="106" t="str">
        <f t="shared" si="1"/>
        <v>2024-03</v>
      </c>
      <c r="I254" s="271" t="str">
        <f>IFERROR(__xludf.DUMMYFUNCTION("""COMPUTED_VALUE"""),"貓狗企鵝")</f>
        <v>貓狗企鵝</v>
      </c>
      <c r="J254" t="str">
        <f>IFERROR(__xludf.DUMMYFUNCTION("IFS(
  AND(REGEXMATCH(E254, ""台銀籌備帳戶|玉山帳戶""), REGEXMATCH(C254, ""薪資"")), ""分潤支出"",
  AND(REGEXMATCH(E254, ""Ben帳戶|Elsa帳戶|Ben代墊|Ariel代墊|中信銀行共用""), REGEXMATCH(F254, ""Ben帳戶|Elsa帳戶|Ben代墊|Ariel代墊|中信銀行共用"")), ""內部轉帳(忽略)"",
  AND(E254&lt;&gt;"""", F254&lt;&gt;"""", NOT(REG"&amp;"EXMATCH(C254, ""薪資""))), ""內部轉帳(忽略)"",
  REGEXMATCH(C254, ""薪資""), ""薪資變動(不計入)"",
  REGEXMATCH(C254, ""押金""), ""押金往來"",
  AND(E254&lt;&gt;"""", F254=""""), ""真實支出"",
  AND(E254="""", F254&lt;&gt;""""), ""真實收入"",
  TRUE, ""其他""
)"),"真實支出")</f>
        <v>真實支出</v>
      </c>
      <c r="K254" s="270">
        <f t="shared" si="2"/>
        <v>-292</v>
      </c>
      <c r="L254">
        <f t="shared" si="3"/>
        <v>0</v>
      </c>
    </row>
    <row r="255">
      <c r="A255" s="107">
        <f>IFERROR(__xludf.DUMMYFUNCTION("""COMPUTED_VALUE"""),45367.0)</f>
        <v>45367</v>
      </c>
      <c r="B255" t="str">
        <f>IFERROR(__xludf.DUMMYFUNCTION("""COMPUTED_VALUE"""),"延長線 陽台燈")</f>
        <v>延長線 陽台燈</v>
      </c>
      <c r="C255" t="str">
        <f>IFERROR(__xludf.DUMMYFUNCTION("""COMPUTED_VALUE"""),"成本 - 進場前裝潢費")</f>
        <v>成本 - 進場前裝潢費</v>
      </c>
      <c r="D255" s="270">
        <f>IFERROR(__xludf.DUMMYFUNCTION("""COMPUTED_VALUE"""),-1350.0)</f>
        <v>-1350</v>
      </c>
      <c r="E255" t="str">
        <f>IFERROR(__xludf.DUMMYFUNCTION("""COMPUTED_VALUE"""),"Ben帳戶")</f>
        <v>Ben帳戶</v>
      </c>
      <c r="G255" t="str">
        <f>IFERROR(__xludf.DUMMYFUNCTION("""COMPUTED_VALUE"""),"北醫醫師府")</f>
        <v>北醫醫師府</v>
      </c>
      <c r="H255" s="106" t="str">
        <f t="shared" si="1"/>
        <v>2024-03</v>
      </c>
      <c r="I255" s="271" t="str">
        <f>IFERROR(__xludf.DUMMYFUNCTION("""COMPUTED_VALUE"""),"貓狗企鵝")</f>
        <v>貓狗企鵝</v>
      </c>
      <c r="J255" t="str">
        <f>IFERROR(__xludf.DUMMYFUNCTION("IFS(
  AND(REGEXMATCH(E255, ""台銀籌備帳戶|玉山帳戶""), REGEXMATCH(C255, ""薪資"")), ""分潤支出"",
  AND(REGEXMATCH(E255, ""Ben帳戶|Elsa帳戶|Ben代墊|Ariel代墊|中信銀行共用""), REGEXMATCH(F255, ""Ben帳戶|Elsa帳戶|Ben代墊|Ariel代墊|中信銀行共用"")), ""內部轉帳(忽略)"",
  AND(E255&lt;&gt;"""", F255&lt;&gt;"""", NOT(REG"&amp;"EXMATCH(C255, ""薪資""))), ""內部轉帳(忽略)"",
  REGEXMATCH(C255, ""薪資""), ""薪資變動(不計入)"",
  REGEXMATCH(C255, ""押金""), ""押金往來"",
  AND(E255&lt;&gt;"""", F255=""""), ""真實支出"",
  AND(E255="""", F255&lt;&gt;""""), ""真實收入"",
  TRUE, ""其他""
)"),"真實支出")</f>
        <v>真實支出</v>
      </c>
      <c r="K255" s="270">
        <f t="shared" si="2"/>
        <v>-1350</v>
      </c>
      <c r="L255">
        <f t="shared" si="3"/>
        <v>0</v>
      </c>
    </row>
    <row r="256">
      <c r="A256" s="107">
        <f>IFERROR(__xludf.DUMMYFUNCTION("""COMPUTED_VALUE"""),45368.0)</f>
        <v>45368</v>
      </c>
      <c r="B256" t="str">
        <f>IFERROR(__xludf.DUMMYFUNCTION("""COMPUTED_VALUE"""),"蝦皮收納櫃/木地板")</f>
        <v>蝦皮收納櫃/木地板</v>
      </c>
      <c r="C256" t="str">
        <f>IFERROR(__xludf.DUMMYFUNCTION("""COMPUTED_VALUE"""),"成本 - 進場前裝潢費")</f>
        <v>成本 - 進場前裝潢費</v>
      </c>
      <c r="D256" s="270">
        <f>IFERROR(__xludf.DUMMYFUNCTION("""COMPUTED_VALUE"""),-949.0)</f>
        <v>-949</v>
      </c>
      <c r="E256" t="str">
        <f>IFERROR(__xludf.DUMMYFUNCTION("""COMPUTED_VALUE"""),"Elsa帳戶")</f>
        <v>Elsa帳戶</v>
      </c>
      <c r="G256" t="str">
        <f>IFERROR(__xludf.DUMMYFUNCTION("""COMPUTED_VALUE"""),"北醫醫師府")</f>
        <v>北醫醫師府</v>
      </c>
      <c r="H256" s="106" t="str">
        <f t="shared" si="1"/>
        <v>2024-03</v>
      </c>
      <c r="I256" s="271" t="str">
        <f>IFERROR(__xludf.DUMMYFUNCTION("""COMPUTED_VALUE"""),"貓狗企鵝")</f>
        <v>貓狗企鵝</v>
      </c>
      <c r="J256" t="str">
        <f>IFERROR(__xludf.DUMMYFUNCTION("IFS(
  AND(REGEXMATCH(E256, ""台銀籌備帳戶|玉山帳戶""), REGEXMATCH(C256, ""薪資"")), ""分潤支出"",
  AND(REGEXMATCH(E256, ""Ben帳戶|Elsa帳戶|Ben代墊|Ariel代墊|中信銀行共用""), REGEXMATCH(F256, ""Ben帳戶|Elsa帳戶|Ben代墊|Ariel代墊|中信銀行共用"")), ""內部轉帳(忽略)"",
  AND(E256&lt;&gt;"""", F256&lt;&gt;"""", NOT(REG"&amp;"EXMATCH(C256, ""薪資""))), ""內部轉帳(忽略)"",
  REGEXMATCH(C256, ""薪資""), ""薪資變動(不計入)"",
  REGEXMATCH(C256, ""押金""), ""押金往來"",
  AND(E256&lt;&gt;"""", F256=""""), ""真實支出"",
  AND(E256="""", F256&lt;&gt;""""), ""真實收入"",
  TRUE, ""其他""
)"),"真實支出")</f>
        <v>真實支出</v>
      </c>
      <c r="K256" s="270">
        <f t="shared" si="2"/>
        <v>-949</v>
      </c>
      <c r="L256">
        <f t="shared" si="3"/>
        <v>0</v>
      </c>
    </row>
    <row r="257">
      <c r="A257" s="107">
        <f>IFERROR(__xludf.DUMMYFUNCTION("""COMPUTED_VALUE"""),45368.0)</f>
        <v>45368</v>
      </c>
      <c r="B257" t="str">
        <f>IFERROR(__xludf.DUMMYFUNCTION("""COMPUTED_VALUE"""),"北醫丁油漆")</f>
        <v>北醫丁油漆</v>
      </c>
      <c r="C257" t="str">
        <f>IFERROR(__xludf.DUMMYFUNCTION("""COMPUTED_VALUE"""),"成本 - 進場前裝潢費")</f>
        <v>成本 - 進場前裝潢費</v>
      </c>
      <c r="D257" s="270">
        <f>IFERROR(__xludf.DUMMYFUNCTION("""COMPUTED_VALUE"""),-65015.0)</f>
        <v>-65015</v>
      </c>
      <c r="E257" t="str">
        <f>IFERROR(__xludf.DUMMYFUNCTION("""COMPUTED_VALUE"""),"台銀籌備帳戶")</f>
        <v>台銀籌備帳戶</v>
      </c>
      <c r="G257" t="str">
        <f>IFERROR(__xludf.DUMMYFUNCTION("""COMPUTED_VALUE"""),"北醫醫師府")</f>
        <v>北醫醫師府</v>
      </c>
      <c r="H257" s="106" t="str">
        <f t="shared" si="1"/>
        <v>2024-03</v>
      </c>
      <c r="I257" s="271" t="str">
        <f>IFERROR(__xludf.DUMMYFUNCTION("""COMPUTED_VALUE"""),"貓狗企鵝")</f>
        <v>貓狗企鵝</v>
      </c>
      <c r="J257" t="str">
        <f>IFERROR(__xludf.DUMMYFUNCTION("IFS(
  AND(REGEXMATCH(E257, ""台銀籌備帳戶|玉山帳戶""), REGEXMATCH(C257, ""薪資"")), ""分潤支出"",
  AND(REGEXMATCH(E257, ""Ben帳戶|Elsa帳戶|Ben代墊|Ariel代墊|中信銀行共用""), REGEXMATCH(F257, ""Ben帳戶|Elsa帳戶|Ben代墊|Ariel代墊|中信銀行共用"")), ""內部轉帳(忽略)"",
  AND(E257&lt;&gt;"""", F257&lt;&gt;"""", NOT(REG"&amp;"EXMATCH(C257, ""薪資""))), ""內部轉帳(忽略)"",
  REGEXMATCH(C257, ""薪資""), ""薪資變動(不計入)"",
  REGEXMATCH(C257, ""押金""), ""押金往來"",
  AND(E257&lt;&gt;"""", F257=""""), ""真實支出"",
  AND(E257="""", F257&lt;&gt;""""), ""真實收入"",
  TRUE, ""其他""
)"),"真實支出")</f>
        <v>真實支出</v>
      </c>
      <c r="K257" s="270">
        <f t="shared" si="2"/>
        <v>-65015</v>
      </c>
      <c r="L257">
        <f t="shared" si="3"/>
        <v>0</v>
      </c>
    </row>
    <row r="258">
      <c r="A258" s="107">
        <f>IFERROR(__xludf.DUMMYFUNCTION("""COMPUTED_VALUE"""),45369.0)</f>
        <v>45369</v>
      </c>
      <c r="B258" t="str">
        <f>IFERROR(__xludf.DUMMYFUNCTION("""COMPUTED_VALUE"""),"IKEA畫/鞋櫃/陽台桌")</f>
        <v>IKEA畫/鞋櫃/陽台桌</v>
      </c>
      <c r="C258" t="str">
        <f>IFERROR(__xludf.DUMMYFUNCTION("""COMPUTED_VALUE"""),"成本 - 進場前裝潢費")</f>
        <v>成本 - 進場前裝潢費</v>
      </c>
      <c r="D258" s="270">
        <f>IFERROR(__xludf.DUMMYFUNCTION("""COMPUTED_VALUE"""),-5837.0)</f>
        <v>-5837</v>
      </c>
      <c r="E258" t="str">
        <f>IFERROR(__xludf.DUMMYFUNCTION("""COMPUTED_VALUE"""),"Elsa帳戶")</f>
        <v>Elsa帳戶</v>
      </c>
      <c r="G258" t="str">
        <f>IFERROR(__xludf.DUMMYFUNCTION("""COMPUTED_VALUE"""),"北醫醫師府")</f>
        <v>北醫醫師府</v>
      </c>
      <c r="H258" s="106" t="str">
        <f t="shared" si="1"/>
        <v>2024-03</v>
      </c>
      <c r="I258" s="271" t="str">
        <f>IFERROR(__xludf.DUMMYFUNCTION("""COMPUTED_VALUE"""),"貓狗企鵝")</f>
        <v>貓狗企鵝</v>
      </c>
      <c r="J258" t="str">
        <f>IFERROR(__xludf.DUMMYFUNCTION("IFS(
  AND(REGEXMATCH(E258, ""台銀籌備帳戶|玉山帳戶""), REGEXMATCH(C258, ""薪資"")), ""分潤支出"",
  AND(REGEXMATCH(E258, ""Ben帳戶|Elsa帳戶|Ben代墊|Ariel代墊|中信銀行共用""), REGEXMATCH(F258, ""Ben帳戶|Elsa帳戶|Ben代墊|Ariel代墊|中信銀行共用"")), ""內部轉帳(忽略)"",
  AND(E258&lt;&gt;"""", F258&lt;&gt;"""", NOT(REG"&amp;"EXMATCH(C258, ""薪資""))), ""內部轉帳(忽略)"",
  REGEXMATCH(C258, ""薪資""), ""薪資變動(不計入)"",
  REGEXMATCH(C258, ""押金""), ""押金往來"",
  AND(E258&lt;&gt;"""", F258=""""), ""真實支出"",
  AND(E258="""", F258&lt;&gt;""""), ""真實收入"",
  TRUE, ""其他""
)"),"真實支出")</f>
        <v>真實支出</v>
      </c>
      <c r="K258" s="270">
        <f t="shared" si="2"/>
        <v>-5837</v>
      </c>
      <c r="L258">
        <f t="shared" si="3"/>
        <v>0</v>
      </c>
    </row>
    <row r="259">
      <c r="A259" s="107">
        <f>IFERROR(__xludf.DUMMYFUNCTION("""COMPUTED_VALUE"""),45369.0)</f>
        <v>45369</v>
      </c>
      <c r="B259" t="str">
        <f>IFERROR(__xludf.DUMMYFUNCTION("""COMPUTED_VALUE"""),"3張黑白掛畫相片")</f>
        <v>3張黑白掛畫相片</v>
      </c>
      <c r="C259" t="str">
        <f>IFERROR(__xludf.DUMMYFUNCTION("""COMPUTED_VALUE"""),"成本 - 進場前裝潢費")</f>
        <v>成本 - 進場前裝潢費</v>
      </c>
      <c r="D259" s="270">
        <f>IFERROR(__xludf.DUMMYFUNCTION("""COMPUTED_VALUE"""),-180.0)</f>
        <v>-180</v>
      </c>
      <c r="E259" t="str">
        <f>IFERROR(__xludf.DUMMYFUNCTION("""COMPUTED_VALUE"""),"Elsa帳戶")</f>
        <v>Elsa帳戶</v>
      </c>
      <c r="G259" t="str">
        <f>IFERROR(__xludf.DUMMYFUNCTION("""COMPUTED_VALUE"""),"北醫醫師府")</f>
        <v>北醫醫師府</v>
      </c>
      <c r="H259" s="106" t="str">
        <f t="shared" si="1"/>
        <v>2024-03</v>
      </c>
      <c r="I259" s="271" t="str">
        <f>IFERROR(__xludf.DUMMYFUNCTION("""COMPUTED_VALUE"""),"貓狗企鵝")</f>
        <v>貓狗企鵝</v>
      </c>
      <c r="J259" t="str">
        <f>IFERROR(__xludf.DUMMYFUNCTION("IFS(
  AND(REGEXMATCH(E259, ""台銀籌備帳戶|玉山帳戶""), REGEXMATCH(C259, ""薪資"")), ""分潤支出"",
  AND(REGEXMATCH(E259, ""Ben帳戶|Elsa帳戶|Ben代墊|Ariel代墊|中信銀行共用""), REGEXMATCH(F259, ""Ben帳戶|Elsa帳戶|Ben代墊|Ariel代墊|中信銀行共用"")), ""內部轉帳(忽略)"",
  AND(E259&lt;&gt;"""", F259&lt;&gt;"""", NOT(REG"&amp;"EXMATCH(C259, ""薪資""))), ""內部轉帳(忽略)"",
  REGEXMATCH(C259, ""薪資""), ""薪資變動(不計入)"",
  REGEXMATCH(C259, ""押金""), ""押金往來"",
  AND(E259&lt;&gt;"""", F259=""""), ""真實支出"",
  AND(E259="""", F259&lt;&gt;""""), ""真實收入"",
  TRUE, ""其他""
)"),"真實支出")</f>
        <v>真實支出</v>
      </c>
      <c r="K259" s="270">
        <f t="shared" si="2"/>
        <v>-180</v>
      </c>
      <c r="L259">
        <f t="shared" si="3"/>
        <v>0</v>
      </c>
    </row>
    <row r="260">
      <c r="A260" s="107">
        <f>IFERROR(__xludf.DUMMYFUNCTION("""COMPUTED_VALUE"""),45370.0)</f>
        <v>45370</v>
      </c>
      <c r="B260" t="str">
        <f>IFERROR(__xludf.DUMMYFUNCTION("""COMPUTED_VALUE"""),"財政部-龍江冰箱補助")</f>
        <v>財政部-龍江冰箱補助</v>
      </c>
      <c r="C260" t="str">
        <f>IFERROR(__xludf.DUMMYFUNCTION("""COMPUTED_VALUE"""),"收入 - 政府補助/退稅")</f>
        <v>收入 - 政府補助/退稅</v>
      </c>
      <c r="D260" s="270">
        <f>IFERROR(__xludf.DUMMYFUNCTION("""COMPUTED_VALUE"""),1600.0)</f>
        <v>1600</v>
      </c>
      <c r="F260" t="str">
        <f>IFERROR(__xludf.DUMMYFUNCTION("""COMPUTED_VALUE"""),"Elsa帳戶")</f>
        <v>Elsa帳戶</v>
      </c>
      <c r="G260" t="str">
        <f>IFERROR(__xludf.DUMMYFUNCTION("""COMPUTED_VALUE"""),"龍江229")</f>
        <v>龍江229</v>
      </c>
      <c r="H260" s="106" t="str">
        <f t="shared" si="1"/>
        <v>2024-03</v>
      </c>
      <c r="I260" s="271" t="str">
        <f>IFERROR(__xludf.DUMMYFUNCTION("""COMPUTED_VALUE"""),"貓狗企鵝")</f>
        <v>貓狗企鵝</v>
      </c>
      <c r="J260" t="str">
        <f>IFERROR(__xludf.DUMMYFUNCTION("IFS(
  AND(REGEXMATCH(E260, ""台銀籌備帳戶|玉山帳戶""), REGEXMATCH(C260, ""薪資"")), ""分潤支出"",
  AND(REGEXMATCH(E260, ""Ben帳戶|Elsa帳戶|Ben代墊|Ariel代墊|中信銀行共用""), REGEXMATCH(F260, ""Ben帳戶|Elsa帳戶|Ben代墊|Ariel代墊|中信銀行共用"")), ""內部轉帳(忽略)"",
  AND(E260&lt;&gt;"""", F260&lt;&gt;"""", NOT(REG"&amp;"EXMATCH(C260, ""薪資""))), ""內部轉帳(忽略)"",
  REGEXMATCH(C260, ""薪資""), ""薪資變動(不計入)"",
  REGEXMATCH(C260, ""押金""), ""押金往來"",
  AND(E260&lt;&gt;"""", F260=""""), ""真實支出"",
  AND(E260="""", F260&lt;&gt;""""), ""真實收入"",
  TRUE, ""其他""
)"),"真實收入")</f>
        <v>真實收入</v>
      </c>
      <c r="K260" s="270">
        <f t="shared" si="2"/>
        <v>1600</v>
      </c>
      <c r="L260">
        <f t="shared" si="3"/>
        <v>0</v>
      </c>
    </row>
    <row r="261">
      <c r="A261" s="107">
        <f>IFERROR(__xludf.DUMMYFUNCTION("""COMPUTED_VALUE"""),45374.0)</f>
        <v>45374</v>
      </c>
      <c r="B261" t="str">
        <f>IFERROR(__xludf.DUMMYFUNCTION("""COMPUTED_VALUE"""),"運匠")</f>
        <v>運匠</v>
      </c>
      <c r="C261" t="str">
        <f>IFERROR(__xludf.DUMMYFUNCTION("""COMPUTED_VALUE"""),"成本 - 進場前裝潢費")</f>
        <v>成本 - 進場前裝潢費</v>
      </c>
      <c r="D261" s="270">
        <f>IFERROR(__xludf.DUMMYFUNCTION("""COMPUTED_VALUE"""),-349.0)</f>
        <v>-349</v>
      </c>
      <c r="E261" t="str">
        <f>IFERROR(__xludf.DUMMYFUNCTION("""COMPUTED_VALUE"""),"Ben帳戶")</f>
        <v>Ben帳戶</v>
      </c>
      <c r="G261" t="str">
        <f>IFERROR(__xludf.DUMMYFUNCTION("""COMPUTED_VALUE"""),"北醫醫師府")</f>
        <v>北醫醫師府</v>
      </c>
      <c r="H261" s="106" t="str">
        <f t="shared" si="1"/>
        <v>2024-03</v>
      </c>
      <c r="I261" s="271" t="str">
        <f>IFERROR(__xludf.DUMMYFUNCTION("""COMPUTED_VALUE"""),"貓狗企鵝")</f>
        <v>貓狗企鵝</v>
      </c>
      <c r="J261" t="str">
        <f>IFERROR(__xludf.DUMMYFUNCTION("IFS(
  AND(REGEXMATCH(E261, ""台銀籌備帳戶|玉山帳戶""), REGEXMATCH(C261, ""薪資"")), ""分潤支出"",
  AND(REGEXMATCH(E261, ""Ben帳戶|Elsa帳戶|Ben代墊|Ariel代墊|中信銀行共用""), REGEXMATCH(F261, ""Ben帳戶|Elsa帳戶|Ben代墊|Ariel代墊|中信銀行共用"")), ""內部轉帳(忽略)"",
  AND(E261&lt;&gt;"""", F261&lt;&gt;"""", NOT(REG"&amp;"EXMATCH(C261, ""薪資""))), ""內部轉帳(忽略)"",
  REGEXMATCH(C261, ""薪資""), ""薪資變動(不計入)"",
  REGEXMATCH(C261, ""押金""), ""押金往來"",
  AND(E261&lt;&gt;"""", F261=""""), ""真實支出"",
  AND(E261="""", F261&lt;&gt;""""), ""真實收入"",
  TRUE, ""其他""
)"),"真實支出")</f>
        <v>真實支出</v>
      </c>
      <c r="K261" s="270">
        <f t="shared" si="2"/>
        <v>-349</v>
      </c>
      <c r="L261">
        <f t="shared" si="3"/>
        <v>0</v>
      </c>
    </row>
    <row r="262">
      <c r="A262" s="107">
        <f>IFERROR(__xludf.DUMMYFUNCTION("""COMPUTED_VALUE"""),45374.0)</f>
        <v>45374</v>
      </c>
      <c r="B262" t="str">
        <f>IFERROR(__xludf.DUMMYFUNCTION("""COMPUTED_VALUE"""),"打掃怪")</f>
        <v>打掃怪</v>
      </c>
      <c r="C262" t="str">
        <f>IFERROR(__xludf.DUMMYFUNCTION("""COMPUTED_VALUE"""),"成本 - 進場前裝潢費")</f>
        <v>成本 - 進場前裝潢費</v>
      </c>
      <c r="D262" s="270">
        <f>IFERROR(__xludf.DUMMYFUNCTION("""COMPUTED_VALUE"""),-200.0)</f>
        <v>-200</v>
      </c>
      <c r="E262" t="str">
        <f>IFERROR(__xludf.DUMMYFUNCTION("""COMPUTED_VALUE"""),"Ben帳戶")</f>
        <v>Ben帳戶</v>
      </c>
      <c r="G262" t="str">
        <f>IFERROR(__xludf.DUMMYFUNCTION("""COMPUTED_VALUE"""),"北醫醫師府")</f>
        <v>北醫醫師府</v>
      </c>
      <c r="H262" s="106" t="str">
        <f t="shared" si="1"/>
        <v>2024-03</v>
      </c>
      <c r="I262" s="271" t="str">
        <f>IFERROR(__xludf.DUMMYFUNCTION("""COMPUTED_VALUE"""),"貓狗企鵝")</f>
        <v>貓狗企鵝</v>
      </c>
      <c r="J262" t="str">
        <f>IFERROR(__xludf.DUMMYFUNCTION("IFS(
  AND(REGEXMATCH(E262, ""台銀籌備帳戶|玉山帳戶""), REGEXMATCH(C262, ""薪資"")), ""分潤支出"",
  AND(REGEXMATCH(E262, ""Ben帳戶|Elsa帳戶|Ben代墊|Ariel代墊|中信銀行共用""), REGEXMATCH(F262, ""Ben帳戶|Elsa帳戶|Ben代墊|Ariel代墊|中信銀行共用"")), ""內部轉帳(忽略)"",
  AND(E262&lt;&gt;"""", F262&lt;&gt;"""", NOT(REG"&amp;"EXMATCH(C262, ""薪資""))), ""內部轉帳(忽略)"",
  REGEXMATCH(C262, ""薪資""), ""薪資變動(不計入)"",
  REGEXMATCH(C262, ""押金""), ""押金往來"",
  AND(E262&lt;&gt;"""", F262=""""), ""真實支出"",
  AND(E262="""", F262&lt;&gt;""""), ""真實收入"",
  TRUE, ""其他""
)"),"真實支出")</f>
        <v>真實支出</v>
      </c>
      <c r="K262" s="270">
        <f t="shared" si="2"/>
        <v>-200</v>
      </c>
      <c r="L262">
        <f t="shared" si="3"/>
        <v>0</v>
      </c>
    </row>
    <row r="263">
      <c r="A263" s="107">
        <f>IFERROR(__xludf.DUMMYFUNCTION("""COMPUTED_VALUE"""),45374.0)</f>
        <v>45374</v>
      </c>
      <c r="B263" t="str">
        <f>IFERROR(__xludf.DUMMYFUNCTION("""COMPUTED_VALUE"""),"打掃怪")</f>
        <v>打掃怪</v>
      </c>
      <c r="C263" t="str">
        <f>IFERROR(__xludf.DUMMYFUNCTION("""COMPUTED_VALUE"""),"成本 - 進場前裝潢費")</f>
        <v>成本 - 進場前裝潢費</v>
      </c>
      <c r="D263" s="270">
        <f>IFERROR(__xludf.DUMMYFUNCTION("""COMPUTED_VALUE"""),-500.0)</f>
        <v>-500</v>
      </c>
      <c r="E263" t="str">
        <f>IFERROR(__xludf.DUMMYFUNCTION("""COMPUTED_VALUE"""),"Elsa帳戶")</f>
        <v>Elsa帳戶</v>
      </c>
      <c r="G263" t="str">
        <f>IFERROR(__xludf.DUMMYFUNCTION("""COMPUTED_VALUE"""),"北醫醫師府")</f>
        <v>北醫醫師府</v>
      </c>
      <c r="H263" s="106" t="str">
        <f t="shared" si="1"/>
        <v>2024-03</v>
      </c>
      <c r="I263" s="271" t="str">
        <f>IFERROR(__xludf.DUMMYFUNCTION("""COMPUTED_VALUE"""),"貓狗企鵝")</f>
        <v>貓狗企鵝</v>
      </c>
      <c r="J263" t="str">
        <f>IFERROR(__xludf.DUMMYFUNCTION("IFS(
  AND(REGEXMATCH(E263, ""台銀籌備帳戶|玉山帳戶""), REGEXMATCH(C263, ""薪資"")), ""分潤支出"",
  AND(REGEXMATCH(E263, ""Ben帳戶|Elsa帳戶|Ben代墊|Ariel代墊|中信銀行共用""), REGEXMATCH(F263, ""Ben帳戶|Elsa帳戶|Ben代墊|Ariel代墊|中信銀行共用"")), ""內部轉帳(忽略)"",
  AND(E263&lt;&gt;"""", F263&lt;&gt;"""", NOT(REG"&amp;"EXMATCH(C263, ""薪資""))), ""內部轉帳(忽略)"",
  REGEXMATCH(C263, ""薪資""), ""薪資變動(不計入)"",
  REGEXMATCH(C263, ""押金""), ""押金往來"",
  AND(E263&lt;&gt;"""", F263=""""), ""真實支出"",
  AND(E263="""", F263&lt;&gt;""""), ""真實收入"",
  TRUE, ""其他""
)"),"真實支出")</f>
        <v>真實支出</v>
      </c>
      <c r="K263" s="270">
        <f t="shared" si="2"/>
        <v>-500</v>
      </c>
      <c r="L263">
        <f t="shared" si="3"/>
        <v>0</v>
      </c>
    </row>
    <row r="264">
      <c r="A264" s="107">
        <f>IFERROR(__xludf.DUMMYFUNCTION("""COMPUTED_VALUE"""),45374.0)</f>
        <v>45374</v>
      </c>
      <c r="B264" t="str">
        <f>IFERROR(__xludf.DUMMYFUNCTION("""COMPUTED_VALUE"""),"停車費")</f>
        <v>停車費</v>
      </c>
      <c r="C264" t="str">
        <f>IFERROR(__xludf.DUMMYFUNCTION("""COMPUTED_VALUE"""),"成本 - 進場前裝潢費")</f>
        <v>成本 - 進場前裝潢費</v>
      </c>
      <c r="D264" s="270">
        <f>IFERROR(__xludf.DUMMYFUNCTION("""COMPUTED_VALUE"""),-375.0)</f>
        <v>-375</v>
      </c>
      <c r="E264" t="str">
        <f>IFERROR(__xludf.DUMMYFUNCTION("""COMPUTED_VALUE"""),"Elsa帳戶")</f>
        <v>Elsa帳戶</v>
      </c>
      <c r="G264" t="str">
        <f>IFERROR(__xludf.DUMMYFUNCTION("""COMPUTED_VALUE"""),"北醫醫師府")</f>
        <v>北醫醫師府</v>
      </c>
      <c r="H264" s="106" t="str">
        <f t="shared" si="1"/>
        <v>2024-03</v>
      </c>
      <c r="I264" s="271" t="str">
        <f>IFERROR(__xludf.DUMMYFUNCTION("""COMPUTED_VALUE"""),"貓狗企鵝")</f>
        <v>貓狗企鵝</v>
      </c>
      <c r="J264" t="str">
        <f>IFERROR(__xludf.DUMMYFUNCTION("IFS(
  AND(REGEXMATCH(E264, ""台銀籌備帳戶|玉山帳戶""), REGEXMATCH(C264, ""薪資"")), ""分潤支出"",
  AND(REGEXMATCH(E264, ""Ben帳戶|Elsa帳戶|Ben代墊|Ariel代墊|中信銀行共用""), REGEXMATCH(F264, ""Ben帳戶|Elsa帳戶|Ben代墊|Ariel代墊|中信銀行共用"")), ""內部轉帳(忽略)"",
  AND(E264&lt;&gt;"""", F264&lt;&gt;"""", NOT(REG"&amp;"EXMATCH(C264, ""薪資""))), ""內部轉帳(忽略)"",
  REGEXMATCH(C264, ""薪資""), ""薪資變動(不計入)"",
  REGEXMATCH(C264, ""押金""), ""押金往來"",
  AND(E264&lt;&gt;"""", F264=""""), ""真實支出"",
  AND(E264="""", F264&lt;&gt;""""), ""真實收入"",
  TRUE, ""其他""
)"),"真實支出")</f>
        <v>真實支出</v>
      </c>
      <c r="K264" s="270">
        <f t="shared" si="2"/>
        <v>-375</v>
      </c>
      <c r="L264">
        <f t="shared" si="3"/>
        <v>0</v>
      </c>
    </row>
    <row r="265">
      <c r="A265" s="107">
        <f>IFERROR(__xludf.DUMMYFUNCTION("""COMPUTED_VALUE"""),45375.0)</f>
        <v>45375</v>
      </c>
      <c r="B265" t="str">
        <f>IFERROR(__xludf.DUMMYFUNCTION("""COMPUTED_VALUE"""),"停車費")</f>
        <v>停車費</v>
      </c>
      <c r="C265" t="str">
        <f>IFERROR(__xludf.DUMMYFUNCTION("""COMPUTED_VALUE"""),"成本 - 進場前裝潢費")</f>
        <v>成本 - 進場前裝潢費</v>
      </c>
      <c r="D265" s="270">
        <f>IFERROR(__xludf.DUMMYFUNCTION("""COMPUTED_VALUE"""),-180.0)</f>
        <v>-180</v>
      </c>
      <c r="E265" t="str">
        <f>IFERROR(__xludf.DUMMYFUNCTION("""COMPUTED_VALUE"""),"Elsa帳戶")</f>
        <v>Elsa帳戶</v>
      </c>
      <c r="G265" t="str">
        <f>IFERROR(__xludf.DUMMYFUNCTION("""COMPUTED_VALUE"""),"北醫醫師府")</f>
        <v>北醫醫師府</v>
      </c>
      <c r="H265" s="106" t="str">
        <f t="shared" si="1"/>
        <v>2024-03</v>
      </c>
      <c r="I265" s="271" t="str">
        <f>IFERROR(__xludf.DUMMYFUNCTION("""COMPUTED_VALUE"""),"貓狗企鵝")</f>
        <v>貓狗企鵝</v>
      </c>
      <c r="J265" t="str">
        <f>IFERROR(__xludf.DUMMYFUNCTION("IFS(
  AND(REGEXMATCH(E265, ""台銀籌備帳戶|玉山帳戶""), REGEXMATCH(C265, ""薪資"")), ""分潤支出"",
  AND(REGEXMATCH(E265, ""Ben帳戶|Elsa帳戶|Ben代墊|Ariel代墊|中信銀行共用""), REGEXMATCH(F265, ""Ben帳戶|Elsa帳戶|Ben代墊|Ariel代墊|中信銀行共用"")), ""內部轉帳(忽略)"",
  AND(E265&lt;&gt;"""", F265&lt;&gt;"""", NOT(REG"&amp;"EXMATCH(C265, ""薪資""))), ""內部轉帳(忽略)"",
  REGEXMATCH(C265, ""薪資""), ""薪資變動(不計入)"",
  REGEXMATCH(C265, ""押金""), ""押金往來"",
  AND(E265&lt;&gt;"""", F265=""""), ""真實支出"",
  AND(E265="""", F265&lt;&gt;""""), ""真實收入"",
  TRUE, ""其他""
)"),"真實支出")</f>
        <v>真實支出</v>
      </c>
      <c r="K265" s="270">
        <f t="shared" si="2"/>
        <v>-180</v>
      </c>
      <c r="L265">
        <f t="shared" si="3"/>
        <v>0</v>
      </c>
    </row>
    <row r="266">
      <c r="A266" s="107">
        <f>IFERROR(__xludf.DUMMYFUNCTION("""COMPUTED_VALUE"""),45377.0)</f>
        <v>45377</v>
      </c>
      <c r="B266" t="str">
        <f>IFERROR(__xludf.DUMMYFUNCTION("""COMPUTED_VALUE"""),"1-3月的稅")</f>
        <v>1-3月的稅</v>
      </c>
      <c r="C266" t="str">
        <f>IFERROR(__xludf.DUMMYFUNCTION("""COMPUTED_VALUE"""),"成本 - 稅金")</f>
        <v>成本 - 稅金</v>
      </c>
      <c r="D266" s="270">
        <f>IFERROR(__xludf.DUMMYFUNCTION("""COMPUTED_VALUE"""),-5889.0)</f>
        <v>-5889</v>
      </c>
      <c r="E266" t="str">
        <f>IFERROR(__xludf.DUMMYFUNCTION("""COMPUTED_VALUE"""),"Ben帳戶")</f>
        <v>Ben帳戶</v>
      </c>
      <c r="H266" s="106" t="str">
        <f t="shared" si="1"/>
        <v>2024-03</v>
      </c>
      <c r="I266" s="271" t="str">
        <f>IFERROR(__xludf.DUMMYFUNCTION("""COMPUTED_VALUE"""),"貓狗企鵝")</f>
        <v>貓狗企鵝</v>
      </c>
      <c r="J266" t="str">
        <f>IFERROR(__xludf.DUMMYFUNCTION("IFS(
  AND(REGEXMATCH(E266, ""台銀籌備帳戶|玉山帳戶""), REGEXMATCH(C266, ""薪資"")), ""分潤支出"",
  AND(REGEXMATCH(E266, ""Ben帳戶|Elsa帳戶|Ben代墊|Ariel代墊|中信銀行共用""), REGEXMATCH(F266, ""Ben帳戶|Elsa帳戶|Ben代墊|Ariel代墊|中信銀行共用"")), ""內部轉帳(忽略)"",
  AND(E266&lt;&gt;"""", F266&lt;&gt;"""", NOT(REG"&amp;"EXMATCH(C266, ""薪資""))), ""內部轉帳(忽略)"",
  REGEXMATCH(C266, ""薪資""), ""薪資變動(不計入)"",
  REGEXMATCH(C266, ""押金""), ""押金往來"",
  AND(E266&lt;&gt;"""", F266=""""), ""真實支出"",
  AND(E266="""", F266&lt;&gt;""""), ""真實收入"",
  TRUE, ""其他""
)"),"真實支出")</f>
        <v>真實支出</v>
      </c>
      <c r="K266" s="270">
        <f t="shared" si="2"/>
        <v>-5889</v>
      </c>
      <c r="L266">
        <f t="shared" si="3"/>
        <v>0</v>
      </c>
    </row>
    <row r="267">
      <c r="A267" s="107">
        <f>IFERROR(__xludf.DUMMYFUNCTION("""COMPUTED_VALUE"""),45379.0)</f>
        <v>45379</v>
      </c>
      <c r="B267" t="str">
        <f>IFERROR(__xludf.DUMMYFUNCTION("""COMPUTED_VALUE"""),"591廣告")</f>
        <v>591廣告</v>
      </c>
      <c r="C267" t="str">
        <f>IFERROR(__xludf.DUMMYFUNCTION("""COMPUTED_VALUE"""),"費用 - 租用費用")</f>
        <v>費用 - 租用費用</v>
      </c>
      <c r="D267" s="270">
        <f>IFERROR(__xludf.DUMMYFUNCTION("""COMPUTED_VALUE"""),-1289.0)</f>
        <v>-1289</v>
      </c>
      <c r="E267" t="str">
        <f>IFERROR(__xludf.DUMMYFUNCTION("""COMPUTED_VALUE"""),"Ben帳戶")</f>
        <v>Ben帳戶</v>
      </c>
      <c r="G267" t="str">
        <f>IFERROR(__xludf.DUMMYFUNCTION("""COMPUTED_VALUE"""),"北醫醫師府")</f>
        <v>北醫醫師府</v>
      </c>
      <c r="H267" s="106" t="str">
        <f t="shared" si="1"/>
        <v>2024-03</v>
      </c>
      <c r="I267" s="271" t="str">
        <f>IFERROR(__xludf.DUMMYFUNCTION("""COMPUTED_VALUE"""),"貓狗企鵝")</f>
        <v>貓狗企鵝</v>
      </c>
      <c r="J267" t="str">
        <f>IFERROR(__xludf.DUMMYFUNCTION("IFS(
  AND(REGEXMATCH(E267, ""台銀籌備帳戶|玉山帳戶""), REGEXMATCH(C267, ""薪資"")), ""分潤支出"",
  AND(REGEXMATCH(E267, ""Ben帳戶|Elsa帳戶|Ben代墊|Ariel代墊|中信銀行共用""), REGEXMATCH(F267, ""Ben帳戶|Elsa帳戶|Ben代墊|Ariel代墊|中信銀行共用"")), ""內部轉帳(忽略)"",
  AND(E267&lt;&gt;"""", F267&lt;&gt;"""", NOT(REG"&amp;"EXMATCH(C267, ""薪資""))), ""內部轉帳(忽略)"",
  REGEXMATCH(C267, ""薪資""), ""薪資變動(不計入)"",
  REGEXMATCH(C267, ""押金""), ""押金往來"",
  AND(E267&lt;&gt;"""", F267=""""), ""真實支出"",
  AND(E267="""", F267&lt;&gt;""""), ""真實收入"",
  TRUE, ""其他""
)"),"真實支出")</f>
        <v>真實支出</v>
      </c>
      <c r="K267" s="270">
        <f t="shared" si="2"/>
        <v>-1289</v>
      </c>
      <c r="L267">
        <f t="shared" si="3"/>
        <v>0</v>
      </c>
    </row>
    <row r="268">
      <c r="A268" s="107">
        <f>IFERROR(__xludf.DUMMYFUNCTION("""COMPUTED_VALUE"""),45381.0)</f>
        <v>45381</v>
      </c>
      <c r="B268" t="str">
        <f>IFERROR(__xludf.DUMMYFUNCTION("""COMPUTED_VALUE"""),"哈拉對面C徐鉦庭")</f>
        <v>哈拉對面C徐鉦庭</v>
      </c>
      <c r="C268" t="str">
        <f>IFERROR(__xludf.DUMMYFUNCTION("""COMPUTED_VALUE"""),"收入 - 租金")</f>
        <v>收入 - 租金</v>
      </c>
      <c r="D268" s="270">
        <f>IFERROR(__xludf.DUMMYFUNCTION("""COMPUTED_VALUE"""),5693.0)</f>
        <v>5693</v>
      </c>
      <c r="F268" t="str">
        <f>IFERROR(__xludf.DUMMYFUNCTION("""COMPUTED_VALUE"""),"台銀籌備帳戶")</f>
        <v>台銀籌備帳戶</v>
      </c>
      <c r="G268" t="str">
        <f>IFERROR(__xludf.DUMMYFUNCTION("""COMPUTED_VALUE"""),"哈拉對面")</f>
        <v>哈拉對面</v>
      </c>
      <c r="H268" s="106" t="str">
        <f t="shared" si="1"/>
        <v>2024-03</v>
      </c>
      <c r="I268" s="271" t="str">
        <f>IFERROR(__xludf.DUMMYFUNCTION("""COMPUTED_VALUE"""),"貓狗企鵝")</f>
        <v>貓狗企鵝</v>
      </c>
      <c r="J268" t="str">
        <f>IFERROR(__xludf.DUMMYFUNCTION("IFS(
  AND(REGEXMATCH(E268, ""台銀籌備帳戶|玉山帳戶""), REGEXMATCH(C268, ""薪資"")), ""分潤支出"",
  AND(REGEXMATCH(E268, ""Ben帳戶|Elsa帳戶|Ben代墊|Ariel代墊|中信銀行共用""), REGEXMATCH(F268, ""Ben帳戶|Elsa帳戶|Ben代墊|Ariel代墊|中信銀行共用"")), ""內部轉帳(忽略)"",
  AND(E268&lt;&gt;"""", F268&lt;&gt;"""", NOT(REG"&amp;"EXMATCH(C268, ""薪資""))), ""內部轉帳(忽略)"",
  REGEXMATCH(C268, ""薪資""), ""薪資變動(不計入)"",
  REGEXMATCH(C268, ""押金""), ""押金往來"",
  AND(E268&lt;&gt;"""", F268=""""), ""真實支出"",
  AND(E268="""", F268&lt;&gt;""""), ""真實收入"",
  TRUE, ""其他""
)"),"真實收入")</f>
        <v>真實收入</v>
      </c>
      <c r="K268" s="270">
        <f t="shared" si="2"/>
        <v>5693</v>
      </c>
      <c r="L268">
        <f t="shared" si="3"/>
        <v>0</v>
      </c>
    </row>
    <row r="269">
      <c r="A269" s="107">
        <f>IFERROR(__xludf.DUMMYFUNCTION("""COMPUTED_VALUE"""),45381.0)</f>
        <v>45381</v>
      </c>
      <c r="B269" t="str">
        <f>IFERROR(__xludf.DUMMYFUNCTION("""COMPUTED_VALUE"""),"北醫EF定金")</f>
        <v>北醫EF定金</v>
      </c>
      <c r="C269" t="str">
        <f>IFERROR(__xludf.DUMMYFUNCTION("""COMPUTED_VALUE"""),"收入 - 租金")</f>
        <v>收入 - 租金</v>
      </c>
      <c r="D269" s="270">
        <f>IFERROR(__xludf.DUMMYFUNCTION("""COMPUTED_VALUE"""),20000.0)</f>
        <v>20000</v>
      </c>
      <c r="F269" t="str">
        <f>IFERROR(__xludf.DUMMYFUNCTION("""COMPUTED_VALUE"""),"台銀籌備帳戶")</f>
        <v>台銀籌備帳戶</v>
      </c>
      <c r="G269" t="str">
        <f>IFERROR(__xludf.DUMMYFUNCTION("""COMPUTED_VALUE"""),"北醫醫師府")</f>
        <v>北醫醫師府</v>
      </c>
      <c r="H269" s="106" t="str">
        <f t="shared" si="1"/>
        <v>2024-03</v>
      </c>
      <c r="I269" s="271" t="str">
        <f>IFERROR(__xludf.DUMMYFUNCTION("""COMPUTED_VALUE"""),"貓狗企鵝")</f>
        <v>貓狗企鵝</v>
      </c>
      <c r="J269" t="str">
        <f>IFERROR(__xludf.DUMMYFUNCTION("IFS(
  AND(REGEXMATCH(E269, ""台銀籌備帳戶|玉山帳戶""), REGEXMATCH(C269, ""薪資"")), ""分潤支出"",
  AND(REGEXMATCH(E269, ""Ben帳戶|Elsa帳戶|Ben代墊|Ariel代墊|中信銀行共用""), REGEXMATCH(F269, ""Ben帳戶|Elsa帳戶|Ben代墊|Ariel代墊|中信銀行共用"")), ""內部轉帳(忽略)"",
  AND(E269&lt;&gt;"""", F269&lt;&gt;"""", NOT(REG"&amp;"EXMATCH(C269, ""薪資""))), ""內部轉帳(忽略)"",
  REGEXMATCH(C269, ""薪資""), ""薪資變動(不計入)"",
  REGEXMATCH(C269, ""押金""), ""押金往來"",
  AND(E269&lt;&gt;"""", F269=""""), ""真實支出"",
  AND(E269="""", F269&lt;&gt;""""), ""真實收入"",
  TRUE, ""其他""
)"),"真實收入")</f>
        <v>真實收入</v>
      </c>
      <c r="K269" s="270">
        <f t="shared" si="2"/>
        <v>20000</v>
      </c>
      <c r="L269">
        <f t="shared" si="3"/>
        <v>0</v>
      </c>
    </row>
    <row r="270">
      <c r="A270" s="107">
        <f>IFERROR(__xludf.DUMMYFUNCTION("""COMPUTED_VALUE"""),45381.0)</f>
        <v>45381</v>
      </c>
      <c r="B270" t="str">
        <f>IFERROR(__xludf.DUMMYFUNCTION("""COMPUTED_VALUE"""),"哈拉對面A李柏緯")</f>
        <v>哈拉對面A李柏緯</v>
      </c>
      <c r="C270" t="str">
        <f>IFERROR(__xludf.DUMMYFUNCTION("""COMPUTED_VALUE"""),"收入 - 租金")</f>
        <v>收入 - 租金</v>
      </c>
      <c r="D270" s="270">
        <f>IFERROR(__xludf.DUMMYFUNCTION("""COMPUTED_VALUE"""),9870.0)</f>
        <v>9870</v>
      </c>
      <c r="F270" t="str">
        <f>IFERROR(__xludf.DUMMYFUNCTION("""COMPUTED_VALUE"""),"台銀籌備帳戶")</f>
        <v>台銀籌備帳戶</v>
      </c>
      <c r="G270" t="str">
        <f>IFERROR(__xludf.DUMMYFUNCTION("""COMPUTED_VALUE"""),"哈拉對面")</f>
        <v>哈拉對面</v>
      </c>
      <c r="H270" s="106" t="str">
        <f t="shared" si="1"/>
        <v>2024-03</v>
      </c>
      <c r="I270" s="271" t="str">
        <f>IFERROR(__xludf.DUMMYFUNCTION("""COMPUTED_VALUE"""),"貓狗企鵝")</f>
        <v>貓狗企鵝</v>
      </c>
      <c r="J270" t="str">
        <f>IFERROR(__xludf.DUMMYFUNCTION("IFS(
  AND(REGEXMATCH(E270, ""台銀籌備帳戶|玉山帳戶""), REGEXMATCH(C270, ""薪資"")), ""分潤支出"",
  AND(REGEXMATCH(E270, ""Ben帳戶|Elsa帳戶|Ben代墊|Ariel代墊|中信銀行共用""), REGEXMATCH(F270, ""Ben帳戶|Elsa帳戶|Ben代墊|Ariel代墊|中信銀行共用"")), ""內部轉帳(忽略)"",
  AND(E270&lt;&gt;"""", F270&lt;&gt;"""", NOT(REG"&amp;"EXMATCH(C270, ""薪資""))), ""內部轉帳(忽略)"",
  REGEXMATCH(C270, ""薪資""), ""薪資變動(不計入)"",
  REGEXMATCH(C270, ""押金""), ""押金往來"",
  AND(E270&lt;&gt;"""", F270=""""), ""真實支出"",
  AND(E270="""", F270&lt;&gt;""""), ""真實收入"",
  TRUE, ""其他""
)"),"真實收入")</f>
        <v>真實收入</v>
      </c>
      <c r="K270" s="270">
        <f t="shared" si="2"/>
        <v>9870</v>
      </c>
      <c r="L270">
        <f t="shared" si="3"/>
        <v>0</v>
      </c>
    </row>
    <row r="271">
      <c r="A271" s="107">
        <f>IFERROR(__xludf.DUMMYFUNCTION("""COMPUTED_VALUE"""),45382.0)</f>
        <v>45382</v>
      </c>
      <c r="B271" t="str">
        <f>IFERROR(__xludf.DUMMYFUNCTION("""COMPUTED_VALUE"""),"大湖山莊2個月押金")</f>
        <v>大湖山莊2個月押金</v>
      </c>
      <c r="C271" t="str">
        <f>IFERROR(__xludf.DUMMYFUNCTION("""COMPUTED_VALUE"""),"成本 - 對屋主押金")</f>
        <v>成本 - 對屋主押金</v>
      </c>
      <c r="D271" s="270">
        <f>IFERROR(__xludf.DUMMYFUNCTION("""COMPUTED_VALUE"""),-76000.0)</f>
        <v>-76000</v>
      </c>
      <c r="E271" t="str">
        <f>IFERROR(__xludf.DUMMYFUNCTION("""COMPUTED_VALUE"""),"Ben帳戶")</f>
        <v>Ben帳戶</v>
      </c>
      <c r="G271" t="str">
        <f>IFERROR(__xludf.DUMMYFUNCTION("""COMPUTED_VALUE"""),"大湖山莊")</f>
        <v>大湖山莊</v>
      </c>
      <c r="H271" s="106" t="str">
        <f t="shared" si="1"/>
        <v>2024-03</v>
      </c>
      <c r="I271" s="271" t="str">
        <f>IFERROR(__xludf.DUMMYFUNCTION("""COMPUTED_VALUE"""),"貓狗企鵝")</f>
        <v>貓狗企鵝</v>
      </c>
      <c r="J271" t="str">
        <f>IFERROR(__xludf.DUMMYFUNCTION("IFS(
  AND(REGEXMATCH(E271, ""台銀籌備帳戶|玉山帳戶""), REGEXMATCH(C271, ""薪資"")), ""分潤支出"",
  AND(REGEXMATCH(E271, ""Ben帳戶|Elsa帳戶|Ben代墊|Ariel代墊|中信銀行共用""), REGEXMATCH(F271, ""Ben帳戶|Elsa帳戶|Ben代墊|Ariel代墊|中信銀行共用"")), ""內部轉帳(忽略)"",
  AND(E271&lt;&gt;"""", F271&lt;&gt;"""", NOT(REG"&amp;"EXMATCH(C271, ""薪資""))), ""內部轉帳(忽略)"",
  REGEXMATCH(C271, ""薪資""), ""薪資變動(不計入)"",
  REGEXMATCH(C271, ""押金""), ""押金往來"",
  AND(E271&lt;&gt;"""", F271=""""), ""真實支出"",
  AND(E271="""", F271&lt;&gt;""""), ""真實收入"",
  TRUE, ""其他""
)"),"押金往來")</f>
        <v>押金往來</v>
      </c>
      <c r="K271">
        <f t="shared" si="2"/>
        <v>0</v>
      </c>
      <c r="L271">
        <f t="shared" si="3"/>
        <v>0</v>
      </c>
    </row>
    <row r="272">
      <c r="A272" s="107">
        <f>IFERROR(__xludf.DUMMYFUNCTION("""COMPUTED_VALUE"""),45382.0)</f>
        <v>45382</v>
      </c>
      <c r="B272" t="str">
        <f>IFERROR(__xludf.DUMMYFUNCTION("""COMPUTED_VALUE"""),"大湖山莊0.5個月仲介費")</f>
        <v>大湖山莊0.5個月仲介費</v>
      </c>
      <c r="C272" t="str">
        <f>IFERROR(__xludf.DUMMYFUNCTION("""COMPUTED_VALUE"""),"成本 - 仲介費")</f>
        <v>成本 - 仲介費</v>
      </c>
      <c r="D272" s="270">
        <f>IFERROR(__xludf.DUMMYFUNCTION("""COMPUTED_VALUE"""),-19400.0)</f>
        <v>-19400</v>
      </c>
      <c r="E272" t="str">
        <f>IFERROR(__xludf.DUMMYFUNCTION("""COMPUTED_VALUE"""),"Elsa帳戶")</f>
        <v>Elsa帳戶</v>
      </c>
      <c r="G272" t="str">
        <f>IFERROR(__xludf.DUMMYFUNCTION("""COMPUTED_VALUE"""),"大湖山莊")</f>
        <v>大湖山莊</v>
      </c>
      <c r="H272" s="106" t="str">
        <f t="shared" si="1"/>
        <v>2024-03</v>
      </c>
      <c r="I272" s="271" t="str">
        <f>IFERROR(__xludf.DUMMYFUNCTION("""COMPUTED_VALUE"""),"貓狗企鵝")</f>
        <v>貓狗企鵝</v>
      </c>
      <c r="J272" t="str">
        <f>IFERROR(__xludf.DUMMYFUNCTION("IFS(
  AND(REGEXMATCH(E272, ""台銀籌備帳戶|玉山帳戶""), REGEXMATCH(C272, ""薪資"")), ""分潤支出"",
  AND(REGEXMATCH(E272, ""Ben帳戶|Elsa帳戶|Ben代墊|Ariel代墊|中信銀行共用""), REGEXMATCH(F272, ""Ben帳戶|Elsa帳戶|Ben代墊|Ariel代墊|中信銀行共用"")), ""內部轉帳(忽略)"",
  AND(E272&lt;&gt;"""", F272&lt;&gt;"""", NOT(REG"&amp;"EXMATCH(C272, ""薪資""))), ""內部轉帳(忽略)"",
  REGEXMATCH(C272, ""薪資""), ""薪資變動(不計入)"",
  REGEXMATCH(C272, ""押金""), ""押金往來"",
  AND(E272&lt;&gt;"""", F272=""""), ""真實支出"",
  AND(E272="""", F272&lt;&gt;""""), ""真實收入"",
  TRUE, ""其他""
)"),"真實支出")</f>
        <v>真實支出</v>
      </c>
      <c r="K272" s="270">
        <f t="shared" si="2"/>
        <v>-19400</v>
      </c>
      <c r="L272">
        <f t="shared" si="3"/>
        <v>0</v>
      </c>
    </row>
    <row r="273">
      <c r="A273" s="107">
        <f>IFERROR(__xludf.DUMMYFUNCTION("""COMPUTED_VALUE"""),45383.0)</f>
        <v>45383</v>
      </c>
      <c r="B273" t="str">
        <f>IFERROR(__xludf.DUMMYFUNCTION("""COMPUTED_VALUE"""),"磁吸沙網")</f>
        <v>磁吸沙網</v>
      </c>
      <c r="C273" t="str">
        <f>IFERROR(__xludf.DUMMYFUNCTION("""COMPUTED_VALUE"""),"成本 - 進場前裝潢費")</f>
        <v>成本 - 進場前裝潢費</v>
      </c>
      <c r="D273" s="270">
        <f>IFERROR(__xludf.DUMMYFUNCTION("""COMPUTED_VALUE"""),-180.0)</f>
        <v>-180</v>
      </c>
      <c r="E273" t="str">
        <f>IFERROR(__xludf.DUMMYFUNCTION("""COMPUTED_VALUE"""),"Ben帳戶")</f>
        <v>Ben帳戶</v>
      </c>
      <c r="G273" t="str">
        <f>IFERROR(__xludf.DUMMYFUNCTION("""COMPUTED_VALUE"""),"北醫醫師府")</f>
        <v>北醫醫師府</v>
      </c>
      <c r="H273" s="106" t="str">
        <f t="shared" si="1"/>
        <v>2024-04</v>
      </c>
      <c r="I273" s="271" t="str">
        <f>IFERROR(__xludf.DUMMYFUNCTION("""COMPUTED_VALUE"""),"貓狗企鵝")</f>
        <v>貓狗企鵝</v>
      </c>
      <c r="J273" t="str">
        <f>IFERROR(__xludf.DUMMYFUNCTION("IFS(
  AND(REGEXMATCH(E273, ""台銀籌備帳戶|玉山帳戶""), REGEXMATCH(C273, ""薪資"")), ""分潤支出"",
  AND(REGEXMATCH(E273, ""Ben帳戶|Elsa帳戶|Ben代墊|Ariel代墊|中信銀行共用""), REGEXMATCH(F273, ""Ben帳戶|Elsa帳戶|Ben代墊|Ariel代墊|中信銀行共用"")), ""內部轉帳(忽略)"",
  AND(E273&lt;&gt;"""", F273&lt;&gt;"""", NOT(REG"&amp;"EXMATCH(C273, ""薪資""))), ""內部轉帳(忽略)"",
  REGEXMATCH(C273, ""薪資""), ""薪資變動(不計入)"",
  REGEXMATCH(C273, ""押金""), ""押金往來"",
  AND(E273&lt;&gt;"""", F273=""""), ""真實支出"",
  AND(E273="""", F273&lt;&gt;""""), ""真實收入"",
  TRUE, ""其他""
)"),"真實支出")</f>
        <v>真實支出</v>
      </c>
      <c r="K273" s="270">
        <f t="shared" si="2"/>
        <v>-180</v>
      </c>
      <c r="L273">
        <f t="shared" si="3"/>
        <v>0</v>
      </c>
    </row>
    <row r="274">
      <c r="A274" s="107">
        <f>IFERROR(__xludf.DUMMYFUNCTION("""COMPUTED_VALUE"""),45383.0)</f>
        <v>45383</v>
      </c>
      <c r="B274" t="str">
        <f>IFERROR(__xludf.DUMMYFUNCTION("""COMPUTED_VALUE"""),"龍江229A莊美娟")</f>
        <v>龍江229A莊美娟</v>
      </c>
      <c r="C274" t="str">
        <f>IFERROR(__xludf.DUMMYFUNCTION("""COMPUTED_VALUE"""),"收入 - 租金")</f>
        <v>收入 - 租金</v>
      </c>
      <c r="D274" s="270">
        <f>IFERROR(__xludf.DUMMYFUNCTION("""COMPUTED_VALUE"""),12800.0)</f>
        <v>12800</v>
      </c>
      <c r="F274" t="str">
        <f>IFERROR(__xludf.DUMMYFUNCTION("""COMPUTED_VALUE"""),"台銀籌備帳戶")</f>
        <v>台銀籌備帳戶</v>
      </c>
      <c r="G274" t="str">
        <f>IFERROR(__xludf.DUMMYFUNCTION("""COMPUTED_VALUE"""),"龍江229")</f>
        <v>龍江229</v>
      </c>
      <c r="H274" s="106" t="str">
        <f t="shared" si="1"/>
        <v>2024-04</v>
      </c>
      <c r="I274" s="271" t="str">
        <f>IFERROR(__xludf.DUMMYFUNCTION("""COMPUTED_VALUE"""),"貓狗企鵝")</f>
        <v>貓狗企鵝</v>
      </c>
      <c r="J274" t="str">
        <f>IFERROR(__xludf.DUMMYFUNCTION("IFS(
  AND(REGEXMATCH(E274, ""台銀籌備帳戶|玉山帳戶""), REGEXMATCH(C274, ""薪資"")), ""分潤支出"",
  AND(REGEXMATCH(E274, ""Ben帳戶|Elsa帳戶|Ben代墊|Ariel代墊|中信銀行共用""), REGEXMATCH(F274, ""Ben帳戶|Elsa帳戶|Ben代墊|Ariel代墊|中信銀行共用"")), ""內部轉帳(忽略)"",
  AND(E274&lt;&gt;"""", F274&lt;&gt;"""", NOT(REG"&amp;"EXMATCH(C274, ""薪資""))), ""內部轉帳(忽略)"",
  REGEXMATCH(C274, ""薪資""), ""薪資變動(不計入)"",
  REGEXMATCH(C274, ""押金""), ""押金往來"",
  AND(E274&lt;&gt;"""", F274=""""), ""真實支出"",
  AND(E274="""", F274&lt;&gt;""""), ""真實收入"",
  TRUE, ""其他""
)"),"真實收入")</f>
        <v>真實收入</v>
      </c>
      <c r="K274" s="270">
        <f t="shared" si="2"/>
        <v>12800</v>
      </c>
      <c r="L274">
        <f t="shared" si="3"/>
        <v>0</v>
      </c>
    </row>
    <row r="275">
      <c r="A275" s="107">
        <f>IFERROR(__xludf.DUMMYFUNCTION("""COMPUTED_VALUE"""),45383.0)</f>
        <v>45383</v>
      </c>
      <c r="B275" t="str">
        <f>IFERROR(__xludf.DUMMYFUNCTION("""COMPUTED_VALUE"""),"永春郭大哥 '")</f>
        <v>永春郭大哥 '</v>
      </c>
      <c r="C275" t="str">
        <f>IFERROR(__xludf.DUMMYFUNCTION("""COMPUTED_VALUE"""),"成本 - 大租金")</f>
        <v>成本 - 大租金</v>
      </c>
      <c r="D275" s="270">
        <f>IFERROR(__xludf.DUMMYFUNCTION("""COMPUTED_VALUE"""),-17015.0)</f>
        <v>-17015</v>
      </c>
      <c r="E275" t="str">
        <f>IFERROR(__xludf.DUMMYFUNCTION("""COMPUTED_VALUE"""),"台銀籌備帳戶")</f>
        <v>台銀籌備帳戶</v>
      </c>
      <c r="G275" t="str">
        <f>IFERROR(__xludf.DUMMYFUNCTION("""COMPUTED_VALUE"""),"永春四號")</f>
        <v>永春四號</v>
      </c>
      <c r="H275" s="106" t="str">
        <f t="shared" si="1"/>
        <v>2024-04</v>
      </c>
      <c r="I275" s="271" t="str">
        <f>IFERROR(__xludf.DUMMYFUNCTION("""COMPUTED_VALUE"""),"貓狗企鵝")</f>
        <v>貓狗企鵝</v>
      </c>
      <c r="J275" t="str">
        <f>IFERROR(__xludf.DUMMYFUNCTION("IFS(
  AND(REGEXMATCH(E275, ""台銀籌備帳戶|玉山帳戶""), REGEXMATCH(C275, ""薪資"")), ""分潤支出"",
  AND(REGEXMATCH(E275, ""Ben帳戶|Elsa帳戶|Ben代墊|Ariel代墊|中信銀行共用""), REGEXMATCH(F275, ""Ben帳戶|Elsa帳戶|Ben代墊|Ariel代墊|中信銀行共用"")), ""內部轉帳(忽略)"",
  AND(E275&lt;&gt;"""", F275&lt;&gt;"""", NOT(REG"&amp;"EXMATCH(C275, ""薪資""))), ""內部轉帳(忽略)"",
  REGEXMATCH(C275, ""薪資""), ""薪資變動(不計入)"",
  REGEXMATCH(C275, ""押金""), ""押金往來"",
  AND(E275&lt;&gt;"""", F275=""""), ""真實支出"",
  AND(E275="""", F275&lt;&gt;""""), ""真實收入"",
  TRUE, ""其他""
)"),"真實支出")</f>
        <v>真實支出</v>
      </c>
      <c r="K275" s="270">
        <f t="shared" si="2"/>
        <v>-17015</v>
      </c>
      <c r="L275">
        <f t="shared" si="3"/>
        <v>0</v>
      </c>
    </row>
    <row r="276">
      <c r="A276" s="107">
        <f>IFERROR(__xludf.DUMMYFUNCTION("""COMPUTED_VALUE"""),45383.0)</f>
        <v>45383</v>
      </c>
      <c r="B276" t="str">
        <f>IFERROR(__xludf.DUMMYFUNCTION("""COMPUTED_VALUE"""),"721168****95 '")</f>
        <v>721168****95 '</v>
      </c>
      <c r="C276" t="str">
        <f>IFERROR(__xludf.DUMMYFUNCTION("""COMPUTED_VALUE"""),"成本 - 大租金")</f>
        <v>成本 - 大租金</v>
      </c>
      <c r="D276" s="270">
        <f>IFERROR(__xludf.DUMMYFUNCTION("""COMPUTED_VALUE"""),-17015.0)</f>
        <v>-17015</v>
      </c>
      <c r="E276" t="str">
        <f>IFERROR(__xludf.DUMMYFUNCTION("""COMPUTED_VALUE"""),"台銀籌備帳戶")</f>
        <v>台銀籌備帳戶</v>
      </c>
      <c r="G276" t="str">
        <f>IFERROR(__xludf.DUMMYFUNCTION("""COMPUTED_VALUE"""),"永春四號")</f>
        <v>永春四號</v>
      </c>
      <c r="H276" s="106" t="str">
        <f t="shared" si="1"/>
        <v>2024-04</v>
      </c>
      <c r="I276" s="271" t="str">
        <f>IFERROR(__xludf.DUMMYFUNCTION("""COMPUTED_VALUE"""),"貓狗企鵝")</f>
        <v>貓狗企鵝</v>
      </c>
      <c r="J276" t="str">
        <f>IFERROR(__xludf.DUMMYFUNCTION("IFS(
  AND(REGEXMATCH(E276, ""台銀籌備帳戶|玉山帳戶""), REGEXMATCH(C276, ""薪資"")), ""分潤支出"",
  AND(REGEXMATCH(E276, ""Ben帳戶|Elsa帳戶|Ben代墊|Ariel代墊|中信銀行共用""), REGEXMATCH(F276, ""Ben帳戶|Elsa帳戶|Ben代墊|Ariel代墊|中信銀行共用"")), ""內部轉帳(忽略)"",
  AND(E276&lt;&gt;"""", F276&lt;&gt;"""", NOT(REG"&amp;"EXMATCH(C276, ""薪資""))), ""內部轉帳(忽略)"",
  REGEXMATCH(C276, ""薪資""), ""薪資變動(不計入)"",
  REGEXMATCH(C276, ""押金""), ""押金往來"",
  AND(E276&lt;&gt;"""", F276=""""), ""真實支出"",
  AND(E276="""", F276&lt;&gt;""""), ""真實收入"",
  TRUE, ""其他""
)"),"真實支出")</f>
        <v>真實支出</v>
      </c>
      <c r="K276" s="270">
        <f t="shared" si="2"/>
        <v>-17015</v>
      </c>
      <c r="L276">
        <f t="shared" si="3"/>
        <v>0</v>
      </c>
    </row>
    <row r="277">
      <c r="A277" s="107">
        <f>IFERROR(__xludf.DUMMYFUNCTION("""COMPUTED_VALUE"""),45383.0)</f>
        <v>45383</v>
      </c>
      <c r="B277" t="str">
        <f>IFERROR(__xludf.DUMMYFUNCTION("""COMPUTED_VALUE"""),"龍江229游r '")</f>
        <v>龍江229游r '</v>
      </c>
      <c r="C277" t="str">
        <f>IFERROR(__xludf.DUMMYFUNCTION("""COMPUTED_VALUE"""),"成本 - 大租金")</f>
        <v>成本 - 大租金</v>
      </c>
      <c r="D277" s="270">
        <f>IFERROR(__xludf.DUMMYFUNCTION("""COMPUTED_VALUE"""),-24345.0)</f>
        <v>-24345</v>
      </c>
      <c r="E277" t="str">
        <f>IFERROR(__xludf.DUMMYFUNCTION("""COMPUTED_VALUE"""),"台銀籌備帳戶")</f>
        <v>台銀籌備帳戶</v>
      </c>
      <c r="G277" t="str">
        <f>IFERROR(__xludf.DUMMYFUNCTION("""COMPUTED_VALUE"""),"龍江229")</f>
        <v>龍江229</v>
      </c>
      <c r="H277" s="106" t="str">
        <f t="shared" si="1"/>
        <v>2024-04</v>
      </c>
      <c r="I277" s="271" t="str">
        <f>IFERROR(__xludf.DUMMYFUNCTION("""COMPUTED_VALUE"""),"貓狗企鵝")</f>
        <v>貓狗企鵝</v>
      </c>
      <c r="J277" t="str">
        <f>IFERROR(__xludf.DUMMYFUNCTION("IFS(
  AND(REGEXMATCH(E277, ""台銀籌備帳戶|玉山帳戶""), REGEXMATCH(C277, ""薪資"")), ""分潤支出"",
  AND(REGEXMATCH(E277, ""Ben帳戶|Elsa帳戶|Ben代墊|Ariel代墊|中信銀行共用""), REGEXMATCH(F277, ""Ben帳戶|Elsa帳戶|Ben代墊|Ariel代墊|中信銀行共用"")), ""內部轉帳(忽略)"",
  AND(E277&lt;&gt;"""", F277&lt;&gt;"""", NOT(REG"&amp;"EXMATCH(C277, ""薪資""))), ""內部轉帳(忽略)"",
  REGEXMATCH(C277, ""薪資""), ""薪資變動(不計入)"",
  REGEXMATCH(C277, ""押金""), ""押金往來"",
  AND(E277&lt;&gt;"""", F277=""""), ""真實支出"",
  AND(E277="""", F277&lt;&gt;""""), ""真實收入"",
  TRUE, ""其他""
)"),"真實支出")</f>
        <v>真實支出</v>
      </c>
      <c r="K277" s="270">
        <f t="shared" si="2"/>
        <v>-24345</v>
      </c>
      <c r="L277">
        <f t="shared" si="3"/>
        <v>0</v>
      </c>
    </row>
    <row r="278">
      <c r="A278" s="107">
        <f>IFERROR(__xludf.DUMMYFUNCTION("""COMPUTED_VALUE"""),45383.0)</f>
        <v>45383</v>
      </c>
      <c r="B278" t="str">
        <f>IFERROR(__xludf.DUMMYFUNCTION("""COMPUTED_VALUE"""),"吳興街房租 '")</f>
        <v>吳興街房租 '</v>
      </c>
      <c r="C278" t="str">
        <f>IFERROR(__xludf.DUMMYFUNCTION("""COMPUTED_VALUE"""),"成本 - 大租金")</f>
        <v>成本 - 大租金</v>
      </c>
      <c r="D278" s="270">
        <f>IFERROR(__xludf.DUMMYFUNCTION("""COMPUTED_VALUE"""),-25075.0)</f>
        <v>-25075</v>
      </c>
      <c r="E278" t="str">
        <f>IFERROR(__xludf.DUMMYFUNCTION("""COMPUTED_VALUE"""),"台銀籌備帳戶")</f>
        <v>台銀籌備帳戶</v>
      </c>
      <c r="G278" t="str">
        <f>IFERROR(__xludf.DUMMYFUNCTION("""COMPUTED_VALUE"""),"北醫醫師府")</f>
        <v>北醫醫師府</v>
      </c>
      <c r="H278" s="106" t="str">
        <f t="shared" si="1"/>
        <v>2024-04</v>
      </c>
      <c r="I278" s="271" t="str">
        <f>IFERROR(__xludf.DUMMYFUNCTION("""COMPUTED_VALUE"""),"貓狗企鵝")</f>
        <v>貓狗企鵝</v>
      </c>
      <c r="J278" t="str">
        <f>IFERROR(__xludf.DUMMYFUNCTION("IFS(
  AND(REGEXMATCH(E278, ""台銀籌備帳戶|玉山帳戶""), REGEXMATCH(C278, ""薪資"")), ""分潤支出"",
  AND(REGEXMATCH(E278, ""Ben帳戶|Elsa帳戶|Ben代墊|Ariel代墊|中信銀行共用""), REGEXMATCH(F278, ""Ben帳戶|Elsa帳戶|Ben代墊|Ariel代墊|中信銀行共用"")), ""內部轉帳(忽略)"",
  AND(E278&lt;&gt;"""", F278&lt;&gt;"""", NOT(REG"&amp;"EXMATCH(C278, ""薪資""))), ""內部轉帳(忽略)"",
  REGEXMATCH(C278, ""薪資""), ""薪資變動(不計入)"",
  REGEXMATCH(C278, ""押金""), ""押金往來"",
  AND(E278&lt;&gt;"""", F278=""""), ""真實支出"",
  AND(E278="""", F278&lt;&gt;""""), ""真實收入"",
  TRUE, ""其他""
)"),"真實支出")</f>
        <v>真實支出</v>
      </c>
      <c r="K278" s="270">
        <f t="shared" si="2"/>
        <v>-25075</v>
      </c>
      <c r="L278">
        <f t="shared" si="3"/>
        <v>0</v>
      </c>
    </row>
    <row r="279">
      <c r="A279" s="107">
        <f>IFERROR(__xludf.DUMMYFUNCTION("""COMPUTED_VALUE"""),45383.0)</f>
        <v>45383</v>
      </c>
      <c r="B279" t="str">
        <f>IFERROR(__xludf.DUMMYFUNCTION("""COMPUTED_VALUE"""),"哈拉4月房租 '")</f>
        <v>哈拉4月房租 '</v>
      </c>
      <c r="C279" t="str">
        <f>IFERROR(__xludf.DUMMYFUNCTION("""COMPUTED_VALUE"""),"成本 - 大租金")</f>
        <v>成本 - 大租金</v>
      </c>
      <c r="D279" s="270">
        <f>IFERROR(__xludf.DUMMYFUNCTION("""COMPUTED_VALUE"""),-10800.0)</f>
        <v>-10800</v>
      </c>
      <c r="E279" t="str">
        <f>IFERROR(__xludf.DUMMYFUNCTION("""COMPUTED_VALUE"""),"台銀籌備帳戶")</f>
        <v>台銀籌備帳戶</v>
      </c>
      <c r="G279" t="str">
        <f>IFERROR(__xludf.DUMMYFUNCTION("""COMPUTED_VALUE"""),"哈拉對面")</f>
        <v>哈拉對面</v>
      </c>
      <c r="H279" s="106" t="str">
        <f t="shared" si="1"/>
        <v>2024-04</v>
      </c>
      <c r="I279" s="271" t="str">
        <f>IFERROR(__xludf.DUMMYFUNCTION("""COMPUTED_VALUE"""),"貓狗企鵝")</f>
        <v>貓狗企鵝</v>
      </c>
      <c r="J279" t="str">
        <f>IFERROR(__xludf.DUMMYFUNCTION("IFS(
  AND(REGEXMATCH(E279, ""台銀籌備帳戶|玉山帳戶""), REGEXMATCH(C279, ""薪資"")), ""分潤支出"",
  AND(REGEXMATCH(E279, ""Ben帳戶|Elsa帳戶|Ben代墊|Ariel代墊|中信銀行共用""), REGEXMATCH(F279, ""Ben帳戶|Elsa帳戶|Ben代墊|Ariel代墊|中信銀行共用"")), ""內部轉帳(忽略)"",
  AND(E279&lt;&gt;"""", F279&lt;&gt;"""", NOT(REG"&amp;"EXMATCH(C279, ""薪資""))), ""內部轉帳(忽略)"",
  REGEXMATCH(C279, ""薪資""), ""薪資變動(不計入)"",
  REGEXMATCH(C279, ""押金""), ""押金往來"",
  AND(E279&lt;&gt;"""", F279=""""), ""真實支出"",
  AND(E279="""", F279&lt;&gt;""""), ""真實收入"",
  TRUE, ""其他""
)"),"真實支出")</f>
        <v>真實支出</v>
      </c>
      <c r="K279" s="270">
        <f t="shared" si="2"/>
        <v>-10800</v>
      </c>
      <c r="L279">
        <f t="shared" si="3"/>
        <v>0</v>
      </c>
    </row>
    <row r="280">
      <c r="A280" s="107">
        <f>IFERROR(__xludf.DUMMYFUNCTION("""COMPUTED_VALUE"""),45383.0)</f>
        <v>45383</v>
      </c>
      <c r="B280" t="str">
        <f>IFERROR(__xludf.DUMMYFUNCTION("""COMPUTED_VALUE"""),"佳惠裝潢款 '")</f>
        <v>佳惠裝潢款 '</v>
      </c>
      <c r="C280" t="str">
        <f>IFERROR(__xludf.DUMMYFUNCTION("""COMPUTED_VALUE"""),"費用 - Salary 薪資")</f>
        <v>費用 - Salary 薪資</v>
      </c>
      <c r="D280" s="270">
        <f>IFERROR(__xludf.DUMMYFUNCTION("""COMPUTED_VALUE"""),-43015.0)</f>
        <v>-43015</v>
      </c>
      <c r="E280" t="str">
        <f>IFERROR(__xludf.DUMMYFUNCTION("""COMPUTED_VALUE"""),"台銀籌備帳戶")</f>
        <v>台銀籌備帳戶</v>
      </c>
      <c r="F280" t="str">
        <f>IFERROR(__xludf.DUMMYFUNCTION("""COMPUTED_VALUE"""),"Elsa帳戶")</f>
        <v>Elsa帳戶</v>
      </c>
      <c r="H280" s="106" t="str">
        <f t="shared" si="1"/>
        <v>2024-04</v>
      </c>
      <c r="I280" s="271" t="str">
        <f>IFERROR(__xludf.DUMMYFUNCTION("""COMPUTED_VALUE"""),"貓狗企鵝")</f>
        <v>貓狗企鵝</v>
      </c>
      <c r="J280" t="str">
        <f>IFERROR(__xludf.DUMMYFUNCTION("IFS(
  AND(REGEXMATCH(E280, ""台銀籌備帳戶|玉山帳戶""), REGEXMATCH(C280, ""薪資"")), ""分潤支出"",
  AND(REGEXMATCH(E280, ""Ben帳戶|Elsa帳戶|Ben代墊|Ariel代墊|中信銀行共用""), REGEXMATCH(F280, ""Ben帳戶|Elsa帳戶|Ben代墊|Ariel代墊|中信銀行共用"")), ""內部轉帳(忽略)"",
  AND(E280&lt;&gt;"""", F280&lt;&gt;"""", NOT(REG"&amp;"EXMATCH(C280, ""薪資""))), ""內部轉帳(忽略)"",
  REGEXMATCH(C280, ""薪資""), ""薪資變動(不計入)"",
  REGEXMATCH(C280, ""押金""), ""押金往來"",
  AND(E280&lt;&gt;"""", F280=""""), ""真實支出"",
  AND(E280="""", F280&lt;&gt;""""), ""真實收入"",
  TRUE, ""其他""
)"),"分潤支出")</f>
        <v>分潤支出</v>
      </c>
      <c r="K280">
        <f t="shared" si="2"/>
        <v>0</v>
      </c>
      <c r="L280">
        <f t="shared" si="3"/>
        <v>43015</v>
      </c>
    </row>
    <row r="281">
      <c r="A281" s="107">
        <f>IFERROR(__xludf.DUMMYFUNCTION("""COMPUTED_VALUE"""),45383.0)</f>
        <v>45383</v>
      </c>
      <c r="B281" t="str">
        <f>IFERROR(__xludf.DUMMYFUNCTION("""COMPUTED_VALUE"""),"Ben裝潢款 '")</f>
        <v>Ben裝潢款 '</v>
      </c>
      <c r="C281" t="str">
        <f>IFERROR(__xludf.DUMMYFUNCTION("""COMPUTED_VALUE"""),"費用 - Salary 薪資")</f>
        <v>費用 - Salary 薪資</v>
      </c>
      <c r="D281" s="270">
        <f>IFERROR(__xludf.DUMMYFUNCTION("""COMPUTED_VALUE"""),-43015.0)</f>
        <v>-43015</v>
      </c>
      <c r="E281" t="str">
        <f>IFERROR(__xludf.DUMMYFUNCTION("""COMPUTED_VALUE"""),"台銀籌備帳戶")</f>
        <v>台銀籌備帳戶</v>
      </c>
      <c r="F281" t="str">
        <f>IFERROR(__xludf.DUMMYFUNCTION("""COMPUTED_VALUE"""),"Ben帳戶")</f>
        <v>Ben帳戶</v>
      </c>
      <c r="H281" s="106" t="str">
        <f t="shared" si="1"/>
        <v>2024-04</v>
      </c>
      <c r="I281" s="271" t="str">
        <f>IFERROR(__xludf.DUMMYFUNCTION("""COMPUTED_VALUE"""),"貓狗企鵝")</f>
        <v>貓狗企鵝</v>
      </c>
      <c r="J281" t="str">
        <f>IFERROR(__xludf.DUMMYFUNCTION("IFS(
  AND(REGEXMATCH(E281, ""台銀籌備帳戶|玉山帳戶""), REGEXMATCH(C281, ""薪資"")), ""分潤支出"",
  AND(REGEXMATCH(E281, ""Ben帳戶|Elsa帳戶|Ben代墊|Ariel代墊|中信銀行共用""), REGEXMATCH(F281, ""Ben帳戶|Elsa帳戶|Ben代墊|Ariel代墊|中信銀行共用"")), ""內部轉帳(忽略)"",
  AND(E281&lt;&gt;"""", F281&lt;&gt;"""", NOT(REG"&amp;"EXMATCH(C281, ""薪資""))), ""內部轉帳(忽略)"",
  REGEXMATCH(C281, ""薪資""), ""薪資變動(不計入)"",
  REGEXMATCH(C281, ""押金""), ""押金往來"",
  AND(E281&lt;&gt;"""", F281=""""), ""真實支出"",
  AND(E281="""", F281&lt;&gt;""""), ""真實收入"",
  TRUE, ""其他""
)"),"分潤支出")</f>
        <v>分潤支出</v>
      </c>
      <c r="K281">
        <f t="shared" si="2"/>
        <v>0</v>
      </c>
      <c r="L281">
        <f t="shared" si="3"/>
        <v>43015</v>
      </c>
    </row>
    <row r="282">
      <c r="A282" s="107">
        <f>IFERROR(__xludf.DUMMYFUNCTION("""COMPUTED_VALUE"""),45383.0)</f>
        <v>45383</v>
      </c>
      <c r="B282" t="str">
        <f>IFERROR(__xludf.DUMMYFUNCTION("""COMPUTED_VALUE"""),"永春四號B袁家鳳")</f>
        <v>永春四號B袁家鳳</v>
      </c>
      <c r="C282" t="str">
        <f>IFERROR(__xludf.DUMMYFUNCTION("""COMPUTED_VALUE"""),"收入 - 租金")</f>
        <v>收入 - 租金</v>
      </c>
      <c r="D282" s="270">
        <f>IFERROR(__xludf.DUMMYFUNCTION("""COMPUTED_VALUE"""),13500.0)</f>
        <v>13500</v>
      </c>
      <c r="F282" t="str">
        <f>IFERROR(__xludf.DUMMYFUNCTION("""COMPUTED_VALUE"""),"台銀籌備帳戶")</f>
        <v>台銀籌備帳戶</v>
      </c>
      <c r="G282" t="str">
        <f>IFERROR(__xludf.DUMMYFUNCTION("""COMPUTED_VALUE"""),"永春四號")</f>
        <v>永春四號</v>
      </c>
      <c r="H282" s="106" t="str">
        <f t="shared" si="1"/>
        <v>2024-04</v>
      </c>
      <c r="I282" s="271" t="str">
        <f>IFERROR(__xludf.DUMMYFUNCTION("""COMPUTED_VALUE"""),"貓狗企鵝")</f>
        <v>貓狗企鵝</v>
      </c>
      <c r="J282" t="str">
        <f>IFERROR(__xludf.DUMMYFUNCTION("IFS(
  AND(REGEXMATCH(E282, ""台銀籌備帳戶|玉山帳戶""), REGEXMATCH(C282, ""薪資"")), ""分潤支出"",
  AND(REGEXMATCH(E282, ""Ben帳戶|Elsa帳戶|Ben代墊|Ariel代墊|中信銀行共用""), REGEXMATCH(F282, ""Ben帳戶|Elsa帳戶|Ben代墊|Ariel代墊|中信銀行共用"")), ""內部轉帳(忽略)"",
  AND(E282&lt;&gt;"""", F282&lt;&gt;"""", NOT(REG"&amp;"EXMATCH(C282, ""薪資""))), ""內部轉帳(忽略)"",
  REGEXMATCH(C282, ""薪資""), ""薪資變動(不計入)"",
  REGEXMATCH(C282, ""押金""), ""押金往來"",
  AND(E282&lt;&gt;"""", F282=""""), ""真實支出"",
  AND(E282="""", F282&lt;&gt;""""), ""真實收入"",
  TRUE, ""其他""
)"),"真實收入")</f>
        <v>真實收入</v>
      </c>
      <c r="K282" s="270">
        <f t="shared" si="2"/>
        <v>13500</v>
      </c>
      <c r="L282">
        <f t="shared" si="3"/>
        <v>0</v>
      </c>
    </row>
    <row r="283">
      <c r="A283" s="107">
        <f>IFERROR(__xludf.DUMMYFUNCTION("""COMPUTED_VALUE"""),45383.0)</f>
        <v>45383</v>
      </c>
      <c r="B283" t="str">
        <f>IFERROR(__xludf.DUMMYFUNCTION("""COMPUTED_VALUE"""),"永春四號D翁政熙")</f>
        <v>永春四號D翁政熙</v>
      </c>
      <c r="C283" t="str">
        <f>IFERROR(__xludf.DUMMYFUNCTION("""COMPUTED_VALUE"""),"收入 - 租金")</f>
        <v>收入 - 租金</v>
      </c>
      <c r="D283" s="270">
        <f>IFERROR(__xludf.DUMMYFUNCTION("""COMPUTED_VALUE"""),14800.0)</f>
        <v>14800</v>
      </c>
      <c r="F283" t="str">
        <f>IFERROR(__xludf.DUMMYFUNCTION("""COMPUTED_VALUE"""),"台銀籌備帳戶")</f>
        <v>台銀籌備帳戶</v>
      </c>
      <c r="G283" t="str">
        <f>IFERROR(__xludf.DUMMYFUNCTION("""COMPUTED_VALUE"""),"永春四號")</f>
        <v>永春四號</v>
      </c>
      <c r="H283" s="106" t="str">
        <f t="shared" si="1"/>
        <v>2024-04</v>
      </c>
      <c r="I283" s="271" t="str">
        <f>IFERROR(__xludf.DUMMYFUNCTION("""COMPUTED_VALUE"""),"貓狗企鵝")</f>
        <v>貓狗企鵝</v>
      </c>
      <c r="J283" t="str">
        <f>IFERROR(__xludf.DUMMYFUNCTION("IFS(
  AND(REGEXMATCH(E283, ""台銀籌備帳戶|玉山帳戶""), REGEXMATCH(C283, ""薪資"")), ""分潤支出"",
  AND(REGEXMATCH(E283, ""Ben帳戶|Elsa帳戶|Ben代墊|Ariel代墊|中信銀行共用""), REGEXMATCH(F283, ""Ben帳戶|Elsa帳戶|Ben代墊|Ariel代墊|中信銀行共用"")), ""內部轉帳(忽略)"",
  AND(E283&lt;&gt;"""", F283&lt;&gt;"""", NOT(REG"&amp;"EXMATCH(C283, ""薪資""))), ""內部轉帳(忽略)"",
  REGEXMATCH(C283, ""薪資""), ""薪資變動(不計入)"",
  REGEXMATCH(C283, ""押金""), ""押金往來"",
  AND(E283&lt;&gt;"""", F283=""""), ""真實支出"",
  AND(E283="""", F283&lt;&gt;""""), ""真實收入"",
  TRUE, ""其他""
)"),"真實收入")</f>
        <v>真實收入</v>
      </c>
      <c r="K283" s="270">
        <f t="shared" si="2"/>
        <v>14800</v>
      </c>
      <c r="L283">
        <f t="shared" si="3"/>
        <v>0</v>
      </c>
    </row>
    <row r="284">
      <c r="A284" s="107">
        <f>IFERROR(__xludf.DUMMYFUNCTION("""COMPUTED_VALUE"""),45383.0)</f>
        <v>45383</v>
      </c>
      <c r="B284" t="str">
        <f>IFERROR(__xludf.DUMMYFUNCTION("""COMPUTED_VALUE"""),"龍江229B陳佩娟")</f>
        <v>龍江229B陳佩娟</v>
      </c>
      <c r="C284" t="str">
        <f>IFERROR(__xludf.DUMMYFUNCTION("""COMPUTED_VALUE"""),"收入 - 租金")</f>
        <v>收入 - 租金</v>
      </c>
      <c r="D284" s="270">
        <f>IFERROR(__xludf.DUMMYFUNCTION("""COMPUTED_VALUE"""),13000.0)</f>
        <v>13000</v>
      </c>
      <c r="F284" t="str">
        <f>IFERROR(__xludf.DUMMYFUNCTION("""COMPUTED_VALUE"""),"台銀籌備帳戶")</f>
        <v>台銀籌備帳戶</v>
      </c>
      <c r="G284" t="str">
        <f>IFERROR(__xludf.DUMMYFUNCTION("""COMPUTED_VALUE"""),"龍江229")</f>
        <v>龍江229</v>
      </c>
      <c r="H284" s="106" t="str">
        <f t="shared" si="1"/>
        <v>2024-04</v>
      </c>
      <c r="I284" s="271" t="str">
        <f>IFERROR(__xludf.DUMMYFUNCTION("""COMPUTED_VALUE"""),"貓狗企鵝")</f>
        <v>貓狗企鵝</v>
      </c>
      <c r="J284" t="str">
        <f>IFERROR(__xludf.DUMMYFUNCTION("IFS(
  AND(REGEXMATCH(E284, ""台銀籌備帳戶|玉山帳戶""), REGEXMATCH(C284, ""薪資"")), ""分潤支出"",
  AND(REGEXMATCH(E284, ""Ben帳戶|Elsa帳戶|Ben代墊|Ariel代墊|中信銀行共用""), REGEXMATCH(F284, ""Ben帳戶|Elsa帳戶|Ben代墊|Ariel代墊|中信銀行共用"")), ""內部轉帳(忽略)"",
  AND(E284&lt;&gt;"""", F284&lt;&gt;"""", NOT(REG"&amp;"EXMATCH(C284, ""薪資""))), ""內部轉帳(忽略)"",
  REGEXMATCH(C284, ""薪資""), ""薪資變動(不計入)"",
  REGEXMATCH(C284, ""押金""), ""押金往來"",
  AND(E284&lt;&gt;"""", F284=""""), ""真實支出"",
  AND(E284="""", F284&lt;&gt;""""), ""真實收入"",
  TRUE, ""其他""
)"),"真實收入")</f>
        <v>真實收入</v>
      </c>
      <c r="K284" s="270">
        <f t="shared" si="2"/>
        <v>13000</v>
      </c>
      <c r="L284">
        <f t="shared" si="3"/>
        <v>0</v>
      </c>
    </row>
    <row r="285">
      <c r="A285" s="107">
        <f>IFERROR(__xludf.DUMMYFUNCTION("""COMPUTED_VALUE"""),45383.0)</f>
        <v>45383</v>
      </c>
      <c r="B285" t="str">
        <f>IFERROR(__xludf.DUMMYFUNCTION("""COMPUTED_VALUE"""),"哈拉對面D柳翰洋")</f>
        <v>哈拉對面D柳翰洋</v>
      </c>
      <c r="C285" t="str">
        <f>IFERROR(__xludf.DUMMYFUNCTION("""COMPUTED_VALUE"""),"收入 - 租金")</f>
        <v>收入 - 租金</v>
      </c>
      <c r="D285" s="270">
        <f>IFERROR(__xludf.DUMMYFUNCTION("""COMPUTED_VALUE"""),9020.0)</f>
        <v>9020</v>
      </c>
      <c r="F285" t="str">
        <f>IFERROR(__xludf.DUMMYFUNCTION("""COMPUTED_VALUE"""),"台銀籌備帳戶")</f>
        <v>台銀籌備帳戶</v>
      </c>
      <c r="G285" t="str">
        <f>IFERROR(__xludf.DUMMYFUNCTION("""COMPUTED_VALUE"""),"哈拉對面")</f>
        <v>哈拉對面</v>
      </c>
      <c r="H285" s="106" t="str">
        <f t="shared" si="1"/>
        <v>2024-04</v>
      </c>
      <c r="I285" s="271" t="str">
        <f>IFERROR(__xludf.DUMMYFUNCTION("""COMPUTED_VALUE"""),"貓狗企鵝")</f>
        <v>貓狗企鵝</v>
      </c>
      <c r="J285" t="str">
        <f>IFERROR(__xludf.DUMMYFUNCTION("IFS(
  AND(REGEXMATCH(E285, ""台銀籌備帳戶|玉山帳戶""), REGEXMATCH(C285, ""薪資"")), ""分潤支出"",
  AND(REGEXMATCH(E285, ""Ben帳戶|Elsa帳戶|Ben代墊|Ariel代墊|中信銀行共用""), REGEXMATCH(F285, ""Ben帳戶|Elsa帳戶|Ben代墊|Ariel代墊|中信銀行共用"")), ""內部轉帳(忽略)"",
  AND(E285&lt;&gt;"""", F285&lt;&gt;"""", NOT(REG"&amp;"EXMATCH(C285, ""薪資""))), ""內部轉帳(忽略)"",
  REGEXMATCH(C285, ""薪資""), ""薪資變動(不計入)"",
  REGEXMATCH(C285, ""押金""), ""押金往來"",
  AND(E285&lt;&gt;"""", F285=""""), ""真實支出"",
  AND(E285="""", F285&lt;&gt;""""), ""真實收入"",
  TRUE, ""其他""
)"),"真實收入")</f>
        <v>真實收入</v>
      </c>
      <c r="K285" s="270">
        <f t="shared" si="2"/>
        <v>9020</v>
      </c>
      <c r="L285">
        <f t="shared" si="3"/>
        <v>0</v>
      </c>
    </row>
    <row r="286">
      <c r="A286" s="107">
        <f>IFERROR(__xludf.DUMMYFUNCTION("""COMPUTED_VALUE"""),45383.0)</f>
        <v>45383</v>
      </c>
      <c r="B286" t="str">
        <f>IFERROR(__xludf.DUMMYFUNCTION("""COMPUTED_VALUE"""),"龍江229	E	李茂生")</f>
        <v>龍江229	E	李茂生</v>
      </c>
      <c r="C286" t="str">
        <f>IFERROR(__xludf.DUMMYFUNCTION("""COMPUTED_VALUE"""),"收入 - 租金")</f>
        <v>收入 - 租金</v>
      </c>
      <c r="D286" s="270">
        <f>IFERROR(__xludf.DUMMYFUNCTION("""COMPUTED_VALUE"""),12500.0)</f>
        <v>12500</v>
      </c>
      <c r="F286" t="str">
        <f>IFERROR(__xludf.DUMMYFUNCTION("""COMPUTED_VALUE"""),"台銀籌備帳戶")</f>
        <v>台銀籌備帳戶</v>
      </c>
      <c r="G286" t="str">
        <f>IFERROR(__xludf.DUMMYFUNCTION("""COMPUTED_VALUE"""),"龍江229")</f>
        <v>龍江229</v>
      </c>
      <c r="H286" s="106" t="str">
        <f t="shared" si="1"/>
        <v>2024-04</v>
      </c>
      <c r="I286" s="271" t="str">
        <f>IFERROR(__xludf.DUMMYFUNCTION("""COMPUTED_VALUE"""),"貓狗企鵝")</f>
        <v>貓狗企鵝</v>
      </c>
      <c r="J286" t="str">
        <f>IFERROR(__xludf.DUMMYFUNCTION("IFS(
  AND(REGEXMATCH(E286, ""台銀籌備帳戶|玉山帳戶""), REGEXMATCH(C286, ""薪資"")), ""分潤支出"",
  AND(REGEXMATCH(E286, ""Ben帳戶|Elsa帳戶|Ben代墊|Ariel代墊|中信銀行共用""), REGEXMATCH(F286, ""Ben帳戶|Elsa帳戶|Ben代墊|Ariel代墊|中信銀行共用"")), ""內部轉帳(忽略)"",
  AND(E286&lt;&gt;"""", F286&lt;&gt;"""", NOT(REG"&amp;"EXMATCH(C286, ""薪資""))), ""內部轉帳(忽略)"",
  REGEXMATCH(C286, ""薪資""), ""薪資變動(不計入)"",
  REGEXMATCH(C286, ""押金""), ""押金往來"",
  AND(E286&lt;&gt;"""", F286=""""), ""真實支出"",
  AND(E286="""", F286&lt;&gt;""""), ""真實收入"",
  TRUE, ""其他""
)"),"真實收入")</f>
        <v>真實收入</v>
      </c>
      <c r="K286" s="270">
        <f t="shared" si="2"/>
        <v>12500</v>
      </c>
      <c r="L286">
        <f t="shared" si="3"/>
        <v>0</v>
      </c>
    </row>
    <row r="287">
      <c r="A287" s="107">
        <f>IFERROR(__xludf.DUMMYFUNCTION("""COMPUTED_VALUE"""),45384.0)</f>
        <v>45384</v>
      </c>
      <c r="B287" t="str">
        <f>IFERROR(__xludf.DUMMYFUNCTION("""COMPUTED_VALUE"""),"打鑰匙")</f>
        <v>打鑰匙</v>
      </c>
      <c r="C287" t="str">
        <f>IFERROR(__xludf.DUMMYFUNCTION("""COMPUTED_VALUE"""),"成本 - 進場前裝潢費")</f>
        <v>成本 - 進場前裝潢費</v>
      </c>
      <c r="D287" s="270">
        <f>IFERROR(__xludf.DUMMYFUNCTION("""COMPUTED_VALUE"""),-1240.0)</f>
        <v>-1240</v>
      </c>
      <c r="E287" t="str">
        <f>IFERROR(__xludf.DUMMYFUNCTION("""COMPUTED_VALUE"""),"Ben帳戶")</f>
        <v>Ben帳戶</v>
      </c>
      <c r="G287" t="str">
        <f>IFERROR(__xludf.DUMMYFUNCTION("""COMPUTED_VALUE"""),"北醫醫師府")</f>
        <v>北醫醫師府</v>
      </c>
      <c r="H287" s="106" t="str">
        <f t="shared" si="1"/>
        <v>2024-04</v>
      </c>
      <c r="I287" s="271" t="str">
        <f>IFERROR(__xludf.DUMMYFUNCTION("""COMPUTED_VALUE"""),"貓狗企鵝")</f>
        <v>貓狗企鵝</v>
      </c>
      <c r="J287" t="str">
        <f>IFERROR(__xludf.DUMMYFUNCTION("IFS(
  AND(REGEXMATCH(E287, ""台銀籌備帳戶|玉山帳戶""), REGEXMATCH(C287, ""薪資"")), ""分潤支出"",
  AND(REGEXMATCH(E287, ""Ben帳戶|Elsa帳戶|Ben代墊|Ariel代墊|中信銀行共用""), REGEXMATCH(F287, ""Ben帳戶|Elsa帳戶|Ben代墊|Ariel代墊|中信銀行共用"")), ""內部轉帳(忽略)"",
  AND(E287&lt;&gt;"""", F287&lt;&gt;"""", NOT(REG"&amp;"EXMATCH(C287, ""薪資""))), ""內部轉帳(忽略)"",
  REGEXMATCH(C287, ""薪資""), ""薪資變動(不計入)"",
  REGEXMATCH(C287, ""押金""), ""押金往來"",
  AND(E287&lt;&gt;"""", F287=""""), ""真實支出"",
  AND(E287="""", F287&lt;&gt;""""), ""真實收入"",
  TRUE, ""其他""
)"),"真實支出")</f>
        <v>真實支出</v>
      </c>
      <c r="K287" s="270">
        <f t="shared" si="2"/>
        <v>-1240</v>
      </c>
      <c r="L287">
        <f t="shared" si="3"/>
        <v>0</v>
      </c>
    </row>
    <row r="288">
      <c r="A288" s="107">
        <f>IFERROR(__xludf.DUMMYFUNCTION("""COMPUTED_VALUE"""),45384.0)</f>
        <v>45384</v>
      </c>
      <c r="B288" t="str">
        <f>IFERROR(__xludf.DUMMYFUNCTION("""COMPUTED_VALUE"""),"龍江229D黃依婷")</f>
        <v>龍江229D黃依婷</v>
      </c>
      <c r="C288" t="str">
        <f>IFERROR(__xludf.DUMMYFUNCTION("""COMPUTED_VALUE"""),"收入 - 租金")</f>
        <v>收入 - 租金</v>
      </c>
      <c r="D288" s="270">
        <f>IFERROR(__xludf.DUMMYFUNCTION("""COMPUTED_VALUE"""),13300.0)</f>
        <v>13300</v>
      </c>
      <c r="F288" t="str">
        <f>IFERROR(__xludf.DUMMYFUNCTION("""COMPUTED_VALUE"""),"台銀籌備帳戶")</f>
        <v>台銀籌備帳戶</v>
      </c>
      <c r="G288" t="str">
        <f>IFERROR(__xludf.DUMMYFUNCTION("""COMPUTED_VALUE"""),"龍江229")</f>
        <v>龍江229</v>
      </c>
      <c r="H288" s="106" t="str">
        <f t="shared" si="1"/>
        <v>2024-04</v>
      </c>
      <c r="I288" s="271" t="str">
        <f>IFERROR(__xludf.DUMMYFUNCTION("""COMPUTED_VALUE"""),"貓狗企鵝")</f>
        <v>貓狗企鵝</v>
      </c>
      <c r="J288" t="str">
        <f>IFERROR(__xludf.DUMMYFUNCTION("IFS(
  AND(REGEXMATCH(E288, ""台銀籌備帳戶|玉山帳戶""), REGEXMATCH(C288, ""薪資"")), ""分潤支出"",
  AND(REGEXMATCH(E288, ""Ben帳戶|Elsa帳戶|Ben代墊|Ariel代墊|中信銀行共用""), REGEXMATCH(F288, ""Ben帳戶|Elsa帳戶|Ben代墊|Ariel代墊|中信銀行共用"")), ""內部轉帳(忽略)"",
  AND(E288&lt;&gt;"""", F288&lt;&gt;"""", NOT(REG"&amp;"EXMATCH(C288, ""薪資""))), ""內部轉帳(忽略)"",
  REGEXMATCH(C288, ""薪資""), ""薪資變動(不計入)"",
  REGEXMATCH(C288, ""押金""), ""押金往來"",
  AND(E288&lt;&gt;"""", F288=""""), ""真實支出"",
  AND(E288="""", F288&lt;&gt;""""), ""真實收入"",
  TRUE, ""其他""
)"),"真實收入")</f>
        <v>真實收入</v>
      </c>
      <c r="K288" s="270">
        <f t="shared" si="2"/>
        <v>13300</v>
      </c>
      <c r="L288">
        <f t="shared" si="3"/>
        <v>0</v>
      </c>
    </row>
    <row r="289">
      <c r="A289" s="107">
        <f>IFERROR(__xludf.DUMMYFUNCTION("""COMPUTED_VALUE"""),45384.0)</f>
        <v>45384</v>
      </c>
      <c r="B289" t="str">
        <f>IFERROR(__xludf.DUMMYFUNCTION("""COMPUTED_VALUE"""),"退稅")</f>
        <v>退稅</v>
      </c>
      <c r="C289" t="str">
        <f>IFERROR(__xludf.DUMMYFUNCTION("""COMPUTED_VALUE"""),"收入 - 政府補助/退稅")</f>
        <v>收入 - 政府補助/退稅</v>
      </c>
      <c r="D289" s="270">
        <f>IFERROR(__xludf.DUMMYFUNCTION("""COMPUTED_VALUE"""),1200.0)</f>
        <v>1200</v>
      </c>
      <c r="F289" t="str">
        <f>IFERROR(__xludf.DUMMYFUNCTION("""COMPUTED_VALUE"""),"台銀籌備帳戶")</f>
        <v>台銀籌備帳戶</v>
      </c>
      <c r="H289" s="106" t="str">
        <f t="shared" si="1"/>
        <v>2024-04</v>
      </c>
      <c r="I289" s="271" t="str">
        <f>IFERROR(__xludf.DUMMYFUNCTION("""COMPUTED_VALUE"""),"貓狗企鵝")</f>
        <v>貓狗企鵝</v>
      </c>
      <c r="J289" t="str">
        <f>IFERROR(__xludf.DUMMYFUNCTION("IFS(
  AND(REGEXMATCH(E289, ""台銀籌備帳戶|玉山帳戶""), REGEXMATCH(C289, ""薪資"")), ""分潤支出"",
  AND(REGEXMATCH(E289, ""Ben帳戶|Elsa帳戶|Ben代墊|Ariel代墊|中信銀行共用""), REGEXMATCH(F289, ""Ben帳戶|Elsa帳戶|Ben代墊|Ariel代墊|中信銀行共用"")), ""內部轉帳(忽略)"",
  AND(E289&lt;&gt;"""", F289&lt;&gt;"""", NOT(REG"&amp;"EXMATCH(C289, ""薪資""))), ""內部轉帳(忽略)"",
  REGEXMATCH(C289, ""薪資""), ""薪資變動(不計入)"",
  REGEXMATCH(C289, ""押金""), ""押金往來"",
  AND(E289&lt;&gt;"""", F289=""""), ""真實支出"",
  AND(E289="""", F289&lt;&gt;""""), ""真實收入"",
  TRUE, ""其他""
)"),"真實收入")</f>
        <v>真實收入</v>
      </c>
      <c r="K289" s="270">
        <f t="shared" si="2"/>
        <v>1200</v>
      </c>
      <c r="L289">
        <f t="shared" si="3"/>
        <v>0</v>
      </c>
    </row>
    <row r="290">
      <c r="A290" s="107">
        <f>IFERROR(__xludf.DUMMYFUNCTION("""COMPUTED_VALUE"""),45384.0)</f>
        <v>45384</v>
      </c>
      <c r="B290" t="str">
        <f>IFERROR(__xludf.DUMMYFUNCTION("""COMPUTED_VALUE"""),"北醫 C定金")</f>
        <v>北醫 C定金</v>
      </c>
      <c r="C290" t="str">
        <f>IFERROR(__xludf.DUMMYFUNCTION("""COMPUTED_VALUE"""),"收入 - 租金")</f>
        <v>收入 - 租金</v>
      </c>
      <c r="D290" s="270">
        <f>IFERROR(__xludf.DUMMYFUNCTION("""COMPUTED_VALUE"""),10000.0)</f>
        <v>10000</v>
      </c>
      <c r="F290" t="str">
        <f>IFERROR(__xludf.DUMMYFUNCTION("""COMPUTED_VALUE"""),"台銀籌備帳戶")</f>
        <v>台銀籌備帳戶</v>
      </c>
      <c r="G290" t="str">
        <f>IFERROR(__xludf.DUMMYFUNCTION("""COMPUTED_VALUE"""),"北醫醫師府")</f>
        <v>北醫醫師府</v>
      </c>
      <c r="H290" s="106" t="str">
        <f t="shared" si="1"/>
        <v>2024-04</v>
      </c>
      <c r="I290" s="271" t="str">
        <f>IFERROR(__xludf.DUMMYFUNCTION("""COMPUTED_VALUE"""),"貓狗企鵝")</f>
        <v>貓狗企鵝</v>
      </c>
      <c r="J290" t="str">
        <f>IFERROR(__xludf.DUMMYFUNCTION("IFS(
  AND(REGEXMATCH(E290, ""台銀籌備帳戶|玉山帳戶""), REGEXMATCH(C290, ""薪資"")), ""分潤支出"",
  AND(REGEXMATCH(E290, ""Ben帳戶|Elsa帳戶|Ben代墊|Ariel代墊|中信銀行共用""), REGEXMATCH(F290, ""Ben帳戶|Elsa帳戶|Ben代墊|Ariel代墊|中信銀行共用"")), ""內部轉帳(忽略)"",
  AND(E290&lt;&gt;"""", F290&lt;&gt;"""", NOT(REG"&amp;"EXMATCH(C290, ""薪資""))), ""內部轉帳(忽略)"",
  REGEXMATCH(C290, ""薪資""), ""薪資變動(不計入)"",
  REGEXMATCH(C290, ""押金""), ""押金往來"",
  AND(E290&lt;&gt;"""", F290=""""), ""真實支出"",
  AND(E290="""", F290&lt;&gt;""""), ""真實收入"",
  TRUE, ""其他""
)"),"真實收入")</f>
        <v>真實收入</v>
      </c>
      <c r="K290" s="270">
        <f t="shared" si="2"/>
        <v>10000</v>
      </c>
      <c r="L290">
        <f t="shared" si="3"/>
        <v>0</v>
      </c>
    </row>
    <row r="291">
      <c r="A291" s="107">
        <f>IFERROR(__xludf.DUMMYFUNCTION("""COMPUTED_VALUE"""),45384.0)</f>
        <v>45384</v>
      </c>
      <c r="B291" t="str">
        <f>IFERROR(__xludf.DUMMYFUNCTION("""COMPUTED_VALUE"""),"北醫 B定金")</f>
        <v>北醫 B定金</v>
      </c>
      <c r="C291" t="str">
        <f>IFERROR(__xludf.DUMMYFUNCTION("""COMPUTED_VALUE"""),"收入 - 租金")</f>
        <v>收入 - 租金</v>
      </c>
      <c r="D291" s="270">
        <f>IFERROR(__xludf.DUMMYFUNCTION("""COMPUTED_VALUE"""),10000.0)</f>
        <v>10000</v>
      </c>
      <c r="F291" t="str">
        <f>IFERROR(__xludf.DUMMYFUNCTION("""COMPUTED_VALUE"""),"台銀籌備帳戶")</f>
        <v>台銀籌備帳戶</v>
      </c>
      <c r="G291" t="str">
        <f>IFERROR(__xludf.DUMMYFUNCTION("""COMPUTED_VALUE"""),"北醫醫師府")</f>
        <v>北醫醫師府</v>
      </c>
      <c r="H291" s="106" t="str">
        <f t="shared" si="1"/>
        <v>2024-04</v>
      </c>
      <c r="I291" s="271" t="str">
        <f>IFERROR(__xludf.DUMMYFUNCTION("""COMPUTED_VALUE"""),"貓狗企鵝")</f>
        <v>貓狗企鵝</v>
      </c>
      <c r="J291" t="str">
        <f>IFERROR(__xludf.DUMMYFUNCTION("IFS(
  AND(REGEXMATCH(E291, ""台銀籌備帳戶|玉山帳戶""), REGEXMATCH(C291, ""薪資"")), ""分潤支出"",
  AND(REGEXMATCH(E291, ""Ben帳戶|Elsa帳戶|Ben代墊|Ariel代墊|中信銀行共用""), REGEXMATCH(F291, ""Ben帳戶|Elsa帳戶|Ben代墊|Ariel代墊|中信銀行共用"")), ""內部轉帳(忽略)"",
  AND(E291&lt;&gt;"""", F291&lt;&gt;"""", NOT(REG"&amp;"EXMATCH(C291, ""薪資""))), ""內部轉帳(忽略)"",
  REGEXMATCH(C291, ""薪資""), ""薪資變動(不計入)"",
  REGEXMATCH(C291, ""押金""), ""押金往來"",
  AND(E291&lt;&gt;"""", F291=""""), ""真實支出"",
  AND(E291="""", F291&lt;&gt;""""), ""真實收入"",
  TRUE, ""其他""
)"),"真實收入")</f>
        <v>真實收入</v>
      </c>
      <c r="K291" s="270">
        <f t="shared" si="2"/>
        <v>10000</v>
      </c>
      <c r="L291">
        <f t="shared" si="3"/>
        <v>0</v>
      </c>
    </row>
    <row r="292">
      <c r="A292" s="107">
        <f>IFERROR(__xludf.DUMMYFUNCTION("""COMPUTED_VALUE"""),45384.0)</f>
        <v>45384</v>
      </c>
      <c r="B292" t="str">
        <f>IFERROR(__xludf.DUMMYFUNCTION("""COMPUTED_VALUE"""),"北醫 E 2押1租")</f>
        <v>北醫 E 2押1租</v>
      </c>
      <c r="C292" t="str">
        <f>IFERROR(__xludf.DUMMYFUNCTION("""COMPUTED_VALUE"""),"收入 - 租金")</f>
        <v>收入 - 租金</v>
      </c>
      <c r="D292" s="270">
        <f>IFERROR(__xludf.DUMMYFUNCTION("""COMPUTED_VALUE"""),34400.0)</f>
        <v>34400</v>
      </c>
      <c r="F292" t="str">
        <f>IFERROR(__xludf.DUMMYFUNCTION("""COMPUTED_VALUE"""),"台銀籌備帳戶")</f>
        <v>台銀籌備帳戶</v>
      </c>
      <c r="G292" t="str">
        <f>IFERROR(__xludf.DUMMYFUNCTION("""COMPUTED_VALUE"""),"北醫醫師府")</f>
        <v>北醫醫師府</v>
      </c>
      <c r="H292" s="106" t="str">
        <f t="shared" si="1"/>
        <v>2024-04</v>
      </c>
      <c r="I292" s="271" t="str">
        <f>IFERROR(__xludf.DUMMYFUNCTION("""COMPUTED_VALUE"""),"貓狗企鵝")</f>
        <v>貓狗企鵝</v>
      </c>
      <c r="J292" t="str">
        <f>IFERROR(__xludf.DUMMYFUNCTION("IFS(
  AND(REGEXMATCH(E292, ""台銀籌備帳戶|玉山帳戶""), REGEXMATCH(C292, ""薪資"")), ""分潤支出"",
  AND(REGEXMATCH(E292, ""Ben帳戶|Elsa帳戶|Ben代墊|Ariel代墊|中信銀行共用""), REGEXMATCH(F292, ""Ben帳戶|Elsa帳戶|Ben代墊|Ariel代墊|中信銀行共用"")), ""內部轉帳(忽略)"",
  AND(E292&lt;&gt;"""", F292&lt;&gt;"""", NOT(REG"&amp;"EXMATCH(C292, ""薪資""))), ""內部轉帳(忽略)"",
  REGEXMATCH(C292, ""薪資""), ""薪資變動(不計入)"",
  REGEXMATCH(C292, ""押金""), ""押金往來"",
  AND(E292&lt;&gt;"""", F292=""""), ""真實支出"",
  AND(E292="""", F292&lt;&gt;""""), ""真實收入"",
  TRUE, ""其他""
)"),"真實收入")</f>
        <v>真實收入</v>
      </c>
      <c r="K292" s="270">
        <f t="shared" si="2"/>
        <v>34400</v>
      </c>
      <c r="L292">
        <f t="shared" si="3"/>
        <v>0</v>
      </c>
    </row>
    <row r="293">
      <c r="A293" s="107">
        <f>IFERROR(__xludf.DUMMYFUNCTION("""COMPUTED_VALUE"""),45384.0)</f>
        <v>45384</v>
      </c>
      <c r="B293" t="str">
        <f>IFERROR(__xludf.DUMMYFUNCTION("""COMPUTED_VALUE"""),"北醫 F 2押1租")</f>
        <v>北醫 F 2押1租</v>
      </c>
      <c r="C293" t="str">
        <f>IFERROR(__xludf.DUMMYFUNCTION("""COMPUTED_VALUE"""),"收入 - 租金")</f>
        <v>收入 - 租金</v>
      </c>
      <c r="D293" s="270">
        <f>IFERROR(__xludf.DUMMYFUNCTION("""COMPUTED_VALUE"""),34400.0)</f>
        <v>34400</v>
      </c>
      <c r="F293" t="str">
        <f>IFERROR(__xludf.DUMMYFUNCTION("""COMPUTED_VALUE"""),"台銀籌備帳戶")</f>
        <v>台銀籌備帳戶</v>
      </c>
      <c r="G293" t="str">
        <f>IFERROR(__xludf.DUMMYFUNCTION("""COMPUTED_VALUE"""),"北醫醫師府")</f>
        <v>北醫醫師府</v>
      </c>
      <c r="H293" s="106" t="str">
        <f t="shared" si="1"/>
        <v>2024-04</v>
      </c>
      <c r="I293" s="271" t="str">
        <f>IFERROR(__xludf.DUMMYFUNCTION("""COMPUTED_VALUE"""),"貓狗企鵝")</f>
        <v>貓狗企鵝</v>
      </c>
      <c r="J293" t="str">
        <f>IFERROR(__xludf.DUMMYFUNCTION("IFS(
  AND(REGEXMATCH(E293, ""台銀籌備帳戶|玉山帳戶""), REGEXMATCH(C293, ""薪資"")), ""分潤支出"",
  AND(REGEXMATCH(E293, ""Ben帳戶|Elsa帳戶|Ben代墊|Ariel代墊|中信銀行共用""), REGEXMATCH(F293, ""Ben帳戶|Elsa帳戶|Ben代墊|Ariel代墊|中信銀行共用"")), ""內部轉帳(忽略)"",
  AND(E293&lt;&gt;"""", F293&lt;&gt;"""", NOT(REG"&amp;"EXMATCH(C293, ""薪資""))), ""內部轉帳(忽略)"",
  REGEXMATCH(C293, ""薪資""), ""薪資變動(不計入)"",
  REGEXMATCH(C293, ""押金""), ""押金往來"",
  AND(E293&lt;&gt;"""", F293=""""), ""真實支出"",
  AND(E293="""", F293&lt;&gt;""""), ""真實收入"",
  TRUE, ""其他""
)"),"真實收入")</f>
        <v>真實收入</v>
      </c>
      <c r="K293" s="270">
        <f t="shared" si="2"/>
        <v>34400</v>
      </c>
      <c r="L293">
        <f t="shared" si="3"/>
        <v>0</v>
      </c>
    </row>
    <row r="294">
      <c r="A294" s="107">
        <f>IFERROR(__xludf.DUMMYFUNCTION("""COMPUTED_VALUE"""),45385.0)</f>
        <v>45385</v>
      </c>
      <c r="B294" t="str">
        <f>IFERROR(__xludf.DUMMYFUNCTION("""COMPUTED_VALUE"""),"居家整聊室 軟裝線上課程")</f>
        <v>居家整聊室 軟裝線上課程</v>
      </c>
      <c r="C294" t="str">
        <f>IFERROR(__xludf.DUMMYFUNCTION("""COMPUTED_VALUE"""),"費用 - 辦公用品")</f>
        <v>費用 - 辦公用品</v>
      </c>
      <c r="D294" s="270">
        <f>IFERROR(__xludf.DUMMYFUNCTION("""COMPUTED_VALUE"""),-2000.0)</f>
        <v>-2000</v>
      </c>
      <c r="E294" t="str">
        <f>IFERROR(__xludf.DUMMYFUNCTION("""COMPUTED_VALUE"""),"Elsa帳戶")</f>
        <v>Elsa帳戶</v>
      </c>
      <c r="G294" t="str">
        <f>IFERROR(__xludf.DUMMYFUNCTION("""COMPUTED_VALUE"""),"大湖山莊")</f>
        <v>大湖山莊</v>
      </c>
      <c r="H294" s="106" t="str">
        <f t="shared" si="1"/>
        <v>2024-04</v>
      </c>
      <c r="I294" s="271" t="str">
        <f>IFERROR(__xludf.DUMMYFUNCTION("""COMPUTED_VALUE"""),"貓狗企鵝")</f>
        <v>貓狗企鵝</v>
      </c>
      <c r="J294" t="str">
        <f>IFERROR(__xludf.DUMMYFUNCTION("IFS(
  AND(REGEXMATCH(E294, ""台銀籌備帳戶|玉山帳戶""), REGEXMATCH(C294, ""薪資"")), ""分潤支出"",
  AND(REGEXMATCH(E294, ""Ben帳戶|Elsa帳戶|Ben代墊|Ariel代墊|中信銀行共用""), REGEXMATCH(F294, ""Ben帳戶|Elsa帳戶|Ben代墊|Ariel代墊|中信銀行共用"")), ""內部轉帳(忽略)"",
  AND(E294&lt;&gt;"""", F294&lt;&gt;"""", NOT(REG"&amp;"EXMATCH(C294, ""薪資""))), ""內部轉帳(忽略)"",
  REGEXMATCH(C294, ""薪資""), ""薪資變動(不計入)"",
  REGEXMATCH(C294, ""押金""), ""押金往來"",
  AND(E294&lt;&gt;"""", F294=""""), ""真實支出"",
  AND(E294="""", F294&lt;&gt;""""), ""真實收入"",
  TRUE, ""其他""
)"),"真實支出")</f>
        <v>真實支出</v>
      </c>
      <c r="K294" s="270">
        <f t="shared" si="2"/>
        <v>-2000</v>
      </c>
      <c r="L294">
        <f t="shared" si="3"/>
        <v>0</v>
      </c>
    </row>
    <row r="295">
      <c r="A295" s="107">
        <f>IFERROR(__xludf.DUMMYFUNCTION("""COMPUTED_VALUE"""),45385.0)</f>
        <v>45385</v>
      </c>
      <c r="B295" t="str">
        <f>IFERROR(__xludf.DUMMYFUNCTION("""COMPUTED_VALUE"""),"淘寶軟裝")</f>
        <v>淘寶軟裝</v>
      </c>
      <c r="C295" t="str">
        <f>IFERROR(__xludf.DUMMYFUNCTION("""COMPUTED_VALUE"""),"成本 - 進場前裝潢費")</f>
        <v>成本 - 進場前裝潢費</v>
      </c>
      <c r="D295" s="270">
        <f>IFERROR(__xludf.DUMMYFUNCTION("""COMPUTED_VALUE"""),-4287.0)</f>
        <v>-4287</v>
      </c>
      <c r="E295" t="str">
        <f>IFERROR(__xludf.DUMMYFUNCTION("""COMPUTED_VALUE"""),"Elsa帳戶")</f>
        <v>Elsa帳戶</v>
      </c>
      <c r="G295" t="str">
        <f>IFERROR(__xludf.DUMMYFUNCTION("""COMPUTED_VALUE"""),"大湖山莊")</f>
        <v>大湖山莊</v>
      </c>
      <c r="H295" s="106" t="str">
        <f t="shared" si="1"/>
        <v>2024-04</v>
      </c>
      <c r="I295" s="271" t="str">
        <f>IFERROR(__xludf.DUMMYFUNCTION("""COMPUTED_VALUE"""),"貓狗企鵝")</f>
        <v>貓狗企鵝</v>
      </c>
      <c r="J295" t="str">
        <f>IFERROR(__xludf.DUMMYFUNCTION("IFS(
  AND(REGEXMATCH(E295, ""台銀籌備帳戶|玉山帳戶""), REGEXMATCH(C295, ""薪資"")), ""分潤支出"",
  AND(REGEXMATCH(E295, ""Ben帳戶|Elsa帳戶|Ben代墊|Ariel代墊|中信銀行共用""), REGEXMATCH(F295, ""Ben帳戶|Elsa帳戶|Ben代墊|Ariel代墊|中信銀行共用"")), ""內部轉帳(忽略)"",
  AND(E295&lt;&gt;"""", F295&lt;&gt;"""", NOT(REG"&amp;"EXMATCH(C295, ""薪資""))), ""內部轉帳(忽略)"",
  REGEXMATCH(C295, ""薪資""), ""薪資變動(不計入)"",
  REGEXMATCH(C295, ""押金""), ""押金往來"",
  AND(E295&lt;&gt;"""", F295=""""), ""真實支出"",
  AND(E295="""", F295&lt;&gt;""""), ""真實收入"",
  TRUE, ""其他""
)"),"真實支出")</f>
        <v>真實支出</v>
      </c>
      <c r="K295" s="270">
        <f t="shared" si="2"/>
        <v>-4287</v>
      </c>
      <c r="L295">
        <f t="shared" si="3"/>
        <v>0</v>
      </c>
    </row>
    <row r="296">
      <c r="A296" s="107">
        <f>IFERROR(__xludf.DUMMYFUNCTION("""COMPUTED_VALUE"""),45385.0)</f>
        <v>45385</v>
      </c>
      <c r="B296" t="str">
        <f>IFERROR(__xludf.DUMMYFUNCTION("""COMPUTED_VALUE"""),"五金")</f>
        <v>五金</v>
      </c>
      <c r="C296" t="str">
        <f>IFERROR(__xludf.DUMMYFUNCTION("""COMPUTED_VALUE"""),"成本 - 進場前裝潢費")</f>
        <v>成本 - 進場前裝潢費</v>
      </c>
      <c r="D296" s="270">
        <f>IFERROR(__xludf.DUMMYFUNCTION("""COMPUTED_VALUE"""),-354.0)</f>
        <v>-354</v>
      </c>
      <c r="E296" t="str">
        <f>IFERROR(__xludf.DUMMYFUNCTION("""COMPUTED_VALUE"""),"Ben帳戶")</f>
        <v>Ben帳戶</v>
      </c>
      <c r="G296" t="str">
        <f>IFERROR(__xludf.DUMMYFUNCTION("""COMPUTED_VALUE"""),"大湖山莊")</f>
        <v>大湖山莊</v>
      </c>
      <c r="H296" s="106" t="str">
        <f t="shared" si="1"/>
        <v>2024-04</v>
      </c>
      <c r="I296" s="271" t="str">
        <f>IFERROR(__xludf.DUMMYFUNCTION("""COMPUTED_VALUE"""),"貓狗企鵝")</f>
        <v>貓狗企鵝</v>
      </c>
      <c r="J296" t="str">
        <f>IFERROR(__xludf.DUMMYFUNCTION("IFS(
  AND(REGEXMATCH(E296, ""台銀籌備帳戶|玉山帳戶""), REGEXMATCH(C296, ""薪資"")), ""分潤支出"",
  AND(REGEXMATCH(E296, ""Ben帳戶|Elsa帳戶|Ben代墊|Ariel代墊|中信銀行共用""), REGEXMATCH(F296, ""Ben帳戶|Elsa帳戶|Ben代墊|Ariel代墊|中信銀行共用"")), ""內部轉帳(忽略)"",
  AND(E296&lt;&gt;"""", F296&lt;&gt;"""", NOT(REG"&amp;"EXMATCH(C296, ""薪資""))), ""內部轉帳(忽略)"",
  REGEXMATCH(C296, ""薪資""), ""薪資變動(不計入)"",
  REGEXMATCH(C296, ""押金""), ""押金往來"",
  AND(E296&lt;&gt;"""", F296=""""), ""真實支出"",
  AND(E296="""", F296&lt;&gt;""""), ""真實收入"",
  TRUE, ""其他""
)"),"真實支出")</f>
        <v>真實支出</v>
      </c>
      <c r="K296" s="270">
        <f t="shared" si="2"/>
        <v>-354</v>
      </c>
      <c r="L296">
        <f t="shared" si="3"/>
        <v>0</v>
      </c>
    </row>
    <row r="297">
      <c r="A297" s="107">
        <f>IFERROR(__xludf.DUMMYFUNCTION("""COMPUTED_VALUE"""),45386.0)</f>
        <v>45386</v>
      </c>
      <c r="B297" t="str">
        <f>IFERROR(__xludf.DUMMYFUNCTION("""COMPUTED_VALUE"""),"北醫 B 2押1租")</f>
        <v>北醫 B 2押1租</v>
      </c>
      <c r="C297" t="str">
        <f>IFERROR(__xludf.DUMMYFUNCTION("""COMPUTED_VALUE"""),"收入 - 租金")</f>
        <v>收入 - 租金</v>
      </c>
      <c r="D297" s="270">
        <f>IFERROR(__xludf.DUMMYFUNCTION("""COMPUTED_VALUE"""),34500.0)</f>
        <v>34500</v>
      </c>
      <c r="F297" t="str">
        <f>IFERROR(__xludf.DUMMYFUNCTION("""COMPUTED_VALUE"""),"台銀籌備帳戶")</f>
        <v>台銀籌備帳戶</v>
      </c>
      <c r="G297" t="str">
        <f>IFERROR(__xludf.DUMMYFUNCTION("""COMPUTED_VALUE"""),"北醫醫師府")</f>
        <v>北醫醫師府</v>
      </c>
      <c r="H297" s="106" t="str">
        <f t="shared" si="1"/>
        <v>2024-04</v>
      </c>
      <c r="I297" s="271" t="str">
        <f>IFERROR(__xludf.DUMMYFUNCTION("""COMPUTED_VALUE"""),"貓狗企鵝")</f>
        <v>貓狗企鵝</v>
      </c>
      <c r="J297" t="str">
        <f>IFERROR(__xludf.DUMMYFUNCTION("IFS(
  AND(REGEXMATCH(E297, ""台銀籌備帳戶|玉山帳戶""), REGEXMATCH(C297, ""薪資"")), ""分潤支出"",
  AND(REGEXMATCH(E297, ""Ben帳戶|Elsa帳戶|Ben代墊|Ariel代墊|中信銀行共用""), REGEXMATCH(F297, ""Ben帳戶|Elsa帳戶|Ben代墊|Ariel代墊|中信銀行共用"")), ""內部轉帳(忽略)"",
  AND(E297&lt;&gt;"""", F297&lt;&gt;"""", NOT(REG"&amp;"EXMATCH(C297, ""薪資""))), ""內部轉帳(忽略)"",
  REGEXMATCH(C297, ""薪資""), ""薪資變動(不計入)"",
  REGEXMATCH(C297, ""押金""), ""押金往來"",
  AND(E297&lt;&gt;"""", F297=""""), ""真實支出"",
  AND(E297="""", F297&lt;&gt;""""), ""真實收入"",
  TRUE, ""其他""
)"),"真實收入")</f>
        <v>真實收入</v>
      </c>
      <c r="K297" s="270">
        <f t="shared" si="2"/>
        <v>34500</v>
      </c>
      <c r="L297">
        <f t="shared" si="3"/>
        <v>0</v>
      </c>
    </row>
    <row r="298">
      <c r="A298" s="107">
        <f>IFERROR(__xludf.DUMMYFUNCTION("""COMPUTED_VALUE"""),45387.0)</f>
        <v>45387</v>
      </c>
      <c r="B298" t="str">
        <f>IFERROR(__xludf.DUMMYFUNCTION("""COMPUTED_VALUE"""),"永春四號C林聿妡")</f>
        <v>永春四號C林聿妡</v>
      </c>
      <c r="C298" t="str">
        <f>IFERROR(__xludf.DUMMYFUNCTION("""COMPUTED_VALUE"""),"收入 - 租金")</f>
        <v>收入 - 租金</v>
      </c>
      <c r="D298" s="270">
        <f>IFERROR(__xludf.DUMMYFUNCTION("""COMPUTED_VALUE"""),13300.0)</f>
        <v>13300</v>
      </c>
      <c r="F298" t="str">
        <f>IFERROR(__xludf.DUMMYFUNCTION("""COMPUTED_VALUE"""),"台銀籌備帳戶")</f>
        <v>台銀籌備帳戶</v>
      </c>
      <c r="G298" t="str">
        <f>IFERROR(__xludf.DUMMYFUNCTION("""COMPUTED_VALUE"""),"永春四號")</f>
        <v>永春四號</v>
      </c>
      <c r="H298" s="106" t="str">
        <f t="shared" si="1"/>
        <v>2024-04</v>
      </c>
      <c r="I298" s="271" t="str">
        <f>IFERROR(__xludf.DUMMYFUNCTION("""COMPUTED_VALUE"""),"貓狗企鵝")</f>
        <v>貓狗企鵝</v>
      </c>
      <c r="J298" t="str">
        <f>IFERROR(__xludf.DUMMYFUNCTION("IFS(
  AND(REGEXMATCH(E298, ""台銀籌備帳戶|玉山帳戶""), REGEXMATCH(C298, ""薪資"")), ""分潤支出"",
  AND(REGEXMATCH(E298, ""Ben帳戶|Elsa帳戶|Ben代墊|Ariel代墊|中信銀行共用""), REGEXMATCH(F298, ""Ben帳戶|Elsa帳戶|Ben代墊|Ariel代墊|中信銀行共用"")), ""內部轉帳(忽略)"",
  AND(E298&lt;&gt;"""", F298&lt;&gt;"""", NOT(REG"&amp;"EXMATCH(C298, ""薪資""))), ""內部轉帳(忽略)"",
  REGEXMATCH(C298, ""薪資""), ""薪資變動(不計入)"",
  REGEXMATCH(C298, ""押金""), ""押金往來"",
  AND(E298&lt;&gt;"""", F298=""""), ""真實支出"",
  AND(E298="""", F298&lt;&gt;""""), ""真實收入"",
  TRUE, ""其他""
)"),"真實收入")</f>
        <v>真實收入</v>
      </c>
      <c r="K298" s="270">
        <f t="shared" si="2"/>
        <v>13300</v>
      </c>
      <c r="L298">
        <f t="shared" si="3"/>
        <v>0</v>
      </c>
    </row>
    <row r="299">
      <c r="A299" s="107">
        <f>IFERROR(__xludf.DUMMYFUNCTION("""COMPUTED_VALUE"""),45387.0)</f>
        <v>45387</v>
      </c>
      <c r="B299" t="str">
        <f>IFERROR(__xludf.DUMMYFUNCTION("""COMPUTED_VALUE"""),"北醫 C 2押1租")</f>
        <v>北醫 C 2押1租</v>
      </c>
      <c r="C299" t="str">
        <f>IFERROR(__xludf.DUMMYFUNCTION("""COMPUTED_VALUE"""),"收入 - 租金")</f>
        <v>收入 - 租金</v>
      </c>
      <c r="D299" s="270">
        <f>IFERROR(__xludf.DUMMYFUNCTION("""COMPUTED_VALUE"""),29000.0)</f>
        <v>29000</v>
      </c>
      <c r="F299" t="str">
        <f>IFERROR(__xludf.DUMMYFUNCTION("""COMPUTED_VALUE"""),"台銀籌備帳戶")</f>
        <v>台銀籌備帳戶</v>
      </c>
      <c r="G299" t="str">
        <f>IFERROR(__xludf.DUMMYFUNCTION("""COMPUTED_VALUE"""),"北醫醫師府")</f>
        <v>北醫醫師府</v>
      </c>
      <c r="H299" s="106" t="str">
        <f t="shared" si="1"/>
        <v>2024-04</v>
      </c>
      <c r="I299" s="271" t="str">
        <f>IFERROR(__xludf.DUMMYFUNCTION("""COMPUTED_VALUE"""),"貓狗企鵝")</f>
        <v>貓狗企鵝</v>
      </c>
      <c r="J299" t="str">
        <f>IFERROR(__xludf.DUMMYFUNCTION("IFS(
  AND(REGEXMATCH(E299, ""台銀籌備帳戶|玉山帳戶""), REGEXMATCH(C299, ""薪資"")), ""分潤支出"",
  AND(REGEXMATCH(E299, ""Ben帳戶|Elsa帳戶|Ben代墊|Ariel代墊|中信銀行共用""), REGEXMATCH(F299, ""Ben帳戶|Elsa帳戶|Ben代墊|Ariel代墊|中信銀行共用"")), ""內部轉帳(忽略)"",
  AND(E299&lt;&gt;"""", F299&lt;&gt;"""", NOT(REG"&amp;"EXMATCH(C299, ""薪資""))), ""內部轉帳(忽略)"",
  REGEXMATCH(C299, ""薪資""), ""薪資變動(不計入)"",
  REGEXMATCH(C299, ""押金""), ""押金往來"",
  AND(E299&lt;&gt;"""", F299=""""), ""真實支出"",
  AND(E299="""", F299&lt;&gt;""""), ""真實收入"",
  TRUE, ""其他""
)"),"真實收入")</f>
        <v>真實收入</v>
      </c>
      <c r="K299" s="270">
        <f t="shared" si="2"/>
        <v>29000</v>
      </c>
      <c r="L299">
        <f t="shared" si="3"/>
        <v>0</v>
      </c>
    </row>
    <row r="300">
      <c r="A300" s="107">
        <f>IFERROR(__xludf.DUMMYFUNCTION("""COMPUTED_VALUE"""),45389.0)</f>
        <v>45389</v>
      </c>
      <c r="B300" t="str">
        <f>IFERROR(__xludf.DUMMYFUNCTION("""COMPUTED_VALUE"""),"joyaled條條燈")</f>
        <v>joyaled條條燈</v>
      </c>
      <c r="C300" t="str">
        <f>IFERROR(__xludf.DUMMYFUNCTION("""COMPUTED_VALUE"""),"成本 - 進場前裝潢費")</f>
        <v>成本 - 進場前裝潢費</v>
      </c>
      <c r="D300" s="270">
        <f>IFERROR(__xludf.DUMMYFUNCTION("""COMPUTED_VALUE"""),-11001.0)</f>
        <v>-11001</v>
      </c>
      <c r="E300" t="str">
        <f>IFERROR(__xludf.DUMMYFUNCTION("""COMPUTED_VALUE"""),"Elsa帳戶")</f>
        <v>Elsa帳戶</v>
      </c>
      <c r="G300" t="str">
        <f>IFERROR(__xludf.DUMMYFUNCTION("""COMPUTED_VALUE"""),"大湖山莊")</f>
        <v>大湖山莊</v>
      </c>
      <c r="H300" s="106" t="str">
        <f t="shared" si="1"/>
        <v>2024-04</v>
      </c>
      <c r="I300" s="271" t="str">
        <f>IFERROR(__xludf.DUMMYFUNCTION("""COMPUTED_VALUE"""),"貓狗企鵝")</f>
        <v>貓狗企鵝</v>
      </c>
      <c r="J300" t="str">
        <f>IFERROR(__xludf.DUMMYFUNCTION("IFS(
  AND(REGEXMATCH(E300, ""台銀籌備帳戶|玉山帳戶""), REGEXMATCH(C300, ""薪資"")), ""分潤支出"",
  AND(REGEXMATCH(E300, ""Ben帳戶|Elsa帳戶|Ben代墊|Ariel代墊|中信銀行共用""), REGEXMATCH(F300, ""Ben帳戶|Elsa帳戶|Ben代墊|Ariel代墊|中信銀行共用"")), ""內部轉帳(忽略)"",
  AND(E300&lt;&gt;"""", F300&lt;&gt;"""", NOT(REG"&amp;"EXMATCH(C300, ""薪資""))), ""內部轉帳(忽略)"",
  REGEXMATCH(C300, ""薪資""), ""薪資變動(不計入)"",
  REGEXMATCH(C300, ""押金""), ""押金往來"",
  AND(E300&lt;&gt;"""", F300=""""), ""真實支出"",
  AND(E300="""", F300&lt;&gt;""""), ""真實收入"",
  TRUE, ""其他""
)"),"真實支出")</f>
        <v>真實支出</v>
      </c>
      <c r="K300" s="270">
        <f t="shared" si="2"/>
        <v>-11001</v>
      </c>
      <c r="L300">
        <f t="shared" si="3"/>
        <v>0</v>
      </c>
    </row>
    <row r="301">
      <c r="A301" s="107">
        <f>IFERROR(__xludf.DUMMYFUNCTION("""COMPUTED_VALUE"""),45389.0)</f>
        <v>45389</v>
      </c>
      <c r="B301" t="str">
        <f>IFERROR(__xludf.DUMMYFUNCTION("""COMPUTED_VALUE"""),"淘寶軟裝")</f>
        <v>淘寶軟裝</v>
      </c>
      <c r="C301" t="str">
        <f>IFERROR(__xludf.DUMMYFUNCTION("""COMPUTED_VALUE"""),"成本 - 進場前裝潢費")</f>
        <v>成本 - 進場前裝潢費</v>
      </c>
      <c r="D301" s="270">
        <f>IFERROR(__xludf.DUMMYFUNCTION("""COMPUTED_VALUE"""),-5096.0)</f>
        <v>-5096</v>
      </c>
      <c r="E301" t="str">
        <f>IFERROR(__xludf.DUMMYFUNCTION("""COMPUTED_VALUE"""),"Elsa帳戶")</f>
        <v>Elsa帳戶</v>
      </c>
      <c r="G301" t="str">
        <f>IFERROR(__xludf.DUMMYFUNCTION("""COMPUTED_VALUE"""),"大湖山莊")</f>
        <v>大湖山莊</v>
      </c>
      <c r="H301" s="106" t="str">
        <f t="shared" si="1"/>
        <v>2024-04</v>
      </c>
      <c r="I301" s="271" t="str">
        <f>IFERROR(__xludf.DUMMYFUNCTION("""COMPUTED_VALUE"""),"貓狗企鵝")</f>
        <v>貓狗企鵝</v>
      </c>
      <c r="J301" t="str">
        <f>IFERROR(__xludf.DUMMYFUNCTION("IFS(
  AND(REGEXMATCH(E301, ""台銀籌備帳戶|玉山帳戶""), REGEXMATCH(C301, ""薪資"")), ""分潤支出"",
  AND(REGEXMATCH(E301, ""Ben帳戶|Elsa帳戶|Ben代墊|Ariel代墊|中信銀行共用""), REGEXMATCH(F301, ""Ben帳戶|Elsa帳戶|Ben代墊|Ariel代墊|中信銀行共用"")), ""內部轉帳(忽略)"",
  AND(E301&lt;&gt;"""", F301&lt;&gt;"""", NOT(REG"&amp;"EXMATCH(C301, ""薪資""))), ""內部轉帳(忽略)"",
  REGEXMATCH(C301, ""薪資""), ""薪資變動(不計入)"",
  REGEXMATCH(C301, ""押金""), ""押金往來"",
  AND(E301&lt;&gt;"""", F301=""""), ""真實支出"",
  AND(E301="""", F301&lt;&gt;""""), ""真實收入"",
  TRUE, ""其他""
)"),"真實支出")</f>
        <v>真實支出</v>
      </c>
      <c r="K301" s="270">
        <f t="shared" si="2"/>
        <v>-5096</v>
      </c>
      <c r="L301">
        <f t="shared" si="3"/>
        <v>0</v>
      </c>
    </row>
    <row r="302">
      <c r="A302" s="107">
        <f>IFERROR(__xludf.DUMMYFUNCTION("""COMPUTED_VALUE"""),45389.0)</f>
        <v>45389</v>
      </c>
      <c r="B302" t="str">
        <f>IFERROR(__xludf.DUMMYFUNCTION("""COMPUTED_VALUE"""),"IKEA")</f>
        <v>IKEA</v>
      </c>
      <c r="C302" t="str">
        <f>IFERROR(__xludf.DUMMYFUNCTION("""COMPUTED_VALUE"""),"成本 - 進場前裝潢費")</f>
        <v>成本 - 進場前裝潢費</v>
      </c>
      <c r="D302" s="270">
        <f>IFERROR(__xludf.DUMMYFUNCTION("""COMPUTED_VALUE"""),-30493.0)</f>
        <v>-30493</v>
      </c>
      <c r="E302" t="str">
        <f>IFERROR(__xludf.DUMMYFUNCTION("""COMPUTED_VALUE"""),"Elsa帳戶")</f>
        <v>Elsa帳戶</v>
      </c>
      <c r="G302" t="str">
        <f>IFERROR(__xludf.DUMMYFUNCTION("""COMPUTED_VALUE"""),"大湖山莊")</f>
        <v>大湖山莊</v>
      </c>
      <c r="H302" s="106" t="str">
        <f t="shared" si="1"/>
        <v>2024-04</v>
      </c>
      <c r="I302" s="271" t="str">
        <f>IFERROR(__xludf.DUMMYFUNCTION("""COMPUTED_VALUE"""),"貓狗企鵝")</f>
        <v>貓狗企鵝</v>
      </c>
      <c r="J302" t="str">
        <f>IFERROR(__xludf.DUMMYFUNCTION("IFS(
  AND(REGEXMATCH(E302, ""台銀籌備帳戶|玉山帳戶""), REGEXMATCH(C302, ""薪資"")), ""分潤支出"",
  AND(REGEXMATCH(E302, ""Ben帳戶|Elsa帳戶|Ben代墊|Ariel代墊|中信銀行共用""), REGEXMATCH(F302, ""Ben帳戶|Elsa帳戶|Ben代墊|Ariel代墊|中信銀行共用"")), ""內部轉帳(忽略)"",
  AND(E302&lt;&gt;"""", F302&lt;&gt;"""", NOT(REG"&amp;"EXMATCH(C302, ""薪資""))), ""內部轉帳(忽略)"",
  REGEXMATCH(C302, ""薪資""), ""薪資變動(不計入)"",
  REGEXMATCH(C302, ""押金""), ""押金往來"",
  AND(E302&lt;&gt;"""", F302=""""), ""真實支出"",
  AND(E302="""", F302&lt;&gt;""""), ""真實收入"",
  TRUE, ""其他""
)"),"真實支出")</f>
        <v>真實支出</v>
      </c>
      <c r="K302" s="270">
        <f t="shared" si="2"/>
        <v>-30493</v>
      </c>
      <c r="L302">
        <f t="shared" si="3"/>
        <v>0</v>
      </c>
    </row>
    <row r="303">
      <c r="A303" s="107">
        <f>IFERROR(__xludf.DUMMYFUNCTION("""COMPUTED_VALUE"""),45389.0)</f>
        <v>45389</v>
      </c>
      <c r="B303" t="str">
        <f>IFERROR(__xludf.DUMMYFUNCTION("""COMPUTED_VALUE"""),"淘寶軟裝運費")</f>
        <v>淘寶軟裝運費</v>
      </c>
      <c r="C303" t="str">
        <f>IFERROR(__xludf.DUMMYFUNCTION("""COMPUTED_VALUE"""),"成本 - 進場前裝潢費")</f>
        <v>成本 - 進場前裝潢費</v>
      </c>
      <c r="D303" s="270">
        <f>IFERROR(__xludf.DUMMYFUNCTION("""COMPUTED_VALUE"""),-899.0)</f>
        <v>-899</v>
      </c>
      <c r="E303" t="str">
        <f>IFERROR(__xludf.DUMMYFUNCTION("""COMPUTED_VALUE"""),"Ben帳戶")</f>
        <v>Ben帳戶</v>
      </c>
      <c r="G303" t="str">
        <f>IFERROR(__xludf.DUMMYFUNCTION("""COMPUTED_VALUE"""),"大湖山莊")</f>
        <v>大湖山莊</v>
      </c>
      <c r="H303" s="106" t="str">
        <f t="shared" si="1"/>
        <v>2024-04</v>
      </c>
      <c r="I303" s="271" t="str">
        <f>IFERROR(__xludf.DUMMYFUNCTION("""COMPUTED_VALUE"""),"貓狗企鵝")</f>
        <v>貓狗企鵝</v>
      </c>
      <c r="J303" t="str">
        <f>IFERROR(__xludf.DUMMYFUNCTION("IFS(
  AND(REGEXMATCH(E303, ""台銀籌備帳戶|玉山帳戶""), REGEXMATCH(C303, ""薪資"")), ""分潤支出"",
  AND(REGEXMATCH(E303, ""Ben帳戶|Elsa帳戶|Ben代墊|Ariel代墊|中信銀行共用""), REGEXMATCH(F303, ""Ben帳戶|Elsa帳戶|Ben代墊|Ariel代墊|中信銀行共用"")), ""內部轉帳(忽略)"",
  AND(E303&lt;&gt;"""", F303&lt;&gt;"""", NOT(REG"&amp;"EXMATCH(C303, ""薪資""))), ""內部轉帳(忽略)"",
  REGEXMATCH(C303, ""薪資""), ""薪資變動(不計入)"",
  REGEXMATCH(C303, ""押金""), ""押金往來"",
  AND(E303&lt;&gt;"""", F303=""""), ""真實支出"",
  AND(E303="""", F303&lt;&gt;""""), ""真實收入"",
  TRUE, ""其他""
)"),"真實支出")</f>
        <v>真實支出</v>
      </c>
      <c r="K303" s="270">
        <f t="shared" si="2"/>
        <v>-899</v>
      </c>
      <c r="L303">
        <f t="shared" si="3"/>
        <v>0</v>
      </c>
    </row>
    <row r="304">
      <c r="A304" s="107">
        <f>IFERROR(__xludf.DUMMYFUNCTION("""COMPUTED_VALUE"""),45389.0)</f>
        <v>45389</v>
      </c>
      <c r="B304" t="str">
        <f>IFERROR(__xludf.DUMMYFUNCTION("""COMPUTED_VALUE"""),"淘寶書桌, 餐桌, 椅子, 氣氛燈")</f>
        <v>淘寶書桌, 餐桌, 椅子, 氣氛燈</v>
      </c>
      <c r="C304" t="str">
        <f>IFERROR(__xludf.DUMMYFUNCTION("""COMPUTED_VALUE"""),"成本 - 進場前裝潢費")</f>
        <v>成本 - 進場前裝潢費</v>
      </c>
      <c r="D304" s="270">
        <f>IFERROR(__xludf.DUMMYFUNCTION("""COMPUTED_VALUE"""),-15955.0)</f>
        <v>-15955</v>
      </c>
      <c r="E304" t="str">
        <f>IFERROR(__xludf.DUMMYFUNCTION("""COMPUTED_VALUE"""),"Elsa帳戶")</f>
        <v>Elsa帳戶</v>
      </c>
      <c r="G304" t="str">
        <f>IFERROR(__xludf.DUMMYFUNCTION("""COMPUTED_VALUE"""),"大湖山莊")</f>
        <v>大湖山莊</v>
      </c>
      <c r="H304" s="106" t="str">
        <f t="shared" si="1"/>
        <v>2024-04</v>
      </c>
      <c r="I304" s="271" t="str">
        <f>IFERROR(__xludf.DUMMYFUNCTION("""COMPUTED_VALUE"""),"貓狗企鵝")</f>
        <v>貓狗企鵝</v>
      </c>
      <c r="J304" t="str">
        <f>IFERROR(__xludf.DUMMYFUNCTION("IFS(
  AND(REGEXMATCH(E304, ""台銀籌備帳戶|玉山帳戶""), REGEXMATCH(C304, ""薪資"")), ""分潤支出"",
  AND(REGEXMATCH(E304, ""Ben帳戶|Elsa帳戶|Ben代墊|Ariel代墊|中信銀行共用""), REGEXMATCH(F304, ""Ben帳戶|Elsa帳戶|Ben代墊|Ariel代墊|中信銀行共用"")), ""內部轉帳(忽略)"",
  AND(E304&lt;&gt;"""", F304&lt;&gt;"""", NOT(REG"&amp;"EXMATCH(C304, ""薪資""))), ""內部轉帳(忽略)"",
  REGEXMATCH(C304, ""薪資""), ""薪資變動(不計入)"",
  REGEXMATCH(C304, ""押金""), ""押金往來"",
  AND(E304&lt;&gt;"""", F304=""""), ""真實支出"",
  AND(E304="""", F304&lt;&gt;""""), ""真實收入"",
  TRUE, ""其他""
)"),"真實支出")</f>
        <v>真實支出</v>
      </c>
      <c r="K304" s="270">
        <f t="shared" si="2"/>
        <v>-15955</v>
      </c>
      <c r="L304">
        <f t="shared" si="3"/>
        <v>0</v>
      </c>
    </row>
    <row r="305">
      <c r="A305" s="107">
        <f>IFERROR(__xludf.DUMMYFUNCTION("""COMPUTED_VALUE"""),45390.0)</f>
        <v>45390</v>
      </c>
      <c r="B305" t="str">
        <f>IFERROR(__xludf.DUMMYFUNCTION("""COMPUTED_VALUE"""),"窗簾")</f>
        <v>窗簾</v>
      </c>
      <c r="C305" t="str">
        <f>IFERROR(__xludf.DUMMYFUNCTION("""COMPUTED_VALUE"""),"成本 - 進場前裝潢費")</f>
        <v>成本 - 進場前裝潢費</v>
      </c>
      <c r="D305" s="270">
        <f>IFERROR(__xludf.DUMMYFUNCTION("""COMPUTED_VALUE"""),-12240.0)</f>
        <v>-12240</v>
      </c>
      <c r="E305" t="str">
        <f>IFERROR(__xludf.DUMMYFUNCTION("""COMPUTED_VALUE"""),"Ben帳戶")</f>
        <v>Ben帳戶</v>
      </c>
      <c r="G305" t="str">
        <f>IFERROR(__xludf.DUMMYFUNCTION("""COMPUTED_VALUE"""),"大湖山莊")</f>
        <v>大湖山莊</v>
      </c>
      <c r="H305" s="106" t="str">
        <f t="shared" si="1"/>
        <v>2024-04</v>
      </c>
      <c r="I305" s="271" t="str">
        <f>IFERROR(__xludf.DUMMYFUNCTION("""COMPUTED_VALUE"""),"貓狗企鵝")</f>
        <v>貓狗企鵝</v>
      </c>
      <c r="J305" t="str">
        <f>IFERROR(__xludf.DUMMYFUNCTION("IFS(
  AND(REGEXMATCH(E305, ""台銀籌備帳戶|玉山帳戶""), REGEXMATCH(C305, ""薪資"")), ""分潤支出"",
  AND(REGEXMATCH(E305, ""Ben帳戶|Elsa帳戶|Ben代墊|Ariel代墊|中信銀行共用""), REGEXMATCH(F305, ""Ben帳戶|Elsa帳戶|Ben代墊|Ariel代墊|中信銀行共用"")), ""內部轉帳(忽略)"",
  AND(E305&lt;&gt;"""", F305&lt;&gt;"""", NOT(REG"&amp;"EXMATCH(C305, ""薪資""))), ""內部轉帳(忽略)"",
  REGEXMATCH(C305, ""薪資""), ""薪資變動(不計入)"",
  REGEXMATCH(C305, ""押金""), ""押金往來"",
  AND(E305&lt;&gt;"""", F305=""""), ""真實支出"",
  AND(E305="""", F305&lt;&gt;""""), ""真實收入"",
  TRUE, ""其他""
)"),"真實支出")</f>
        <v>真實支出</v>
      </c>
      <c r="K305" s="270">
        <f t="shared" si="2"/>
        <v>-12240</v>
      </c>
      <c r="L305">
        <f t="shared" si="3"/>
        <v>0</v>
      </c>
    </row>
    <row r="306">
      <c r="A306" s="107">
        <f>IFERROR(__xludf.DUMMYFUNCTION("""COMPUTED_VALUE"""),45390.0)</f>
        <v>45390</v>
      </c>
      <c r="B306" t="str">
        <f>IFERROR(__xludf.DUMMYFUNCTION("""COMPUTED_VALUE"""),"北醫 A 定")</f>
        <v>北醫 A 定</v>
      </c>
      <c r="C306" t="str">
        <f>IFERROR(__xludf.DUMMYFUNCTION("""COMPUTED_VALUE"""),"收入 - 租金")</f>
        <v>收入 - 租金</v>
      </c>
      <c r="D306" s="270">
        <f>IFERROR(__xludf.DUMMYFUNCTION("""COMPUTED_VALUE"""),10000.0)</f>
        <v>10000</v>
      </c>
      <c r="F306" t="str">
        <f>IFERROR(__xludf.DUMMYFUNCTION("""COMPUTED_VALUE"""),"台銀籌備帳戶")</f>
        <v>台銀籌備帳戶</v>
      </c>
      <c r="G306" t="str">
        <f>IFERROR(__xludf.DUMMYFUNCTION("""COMPUTED_VALUE"""),"北醫醫師府")</f>
        <v>北醫醫師府</v>
      </c>
      <c r="H306" s="106" t="str">
        <f t="shared" si="1"/>
        <v>2024-04</v>
      </c>
      <c r="I306" s="271" t="str">
        <f>IFERROR(__xludf.DUMMYFUNCTION("""COMPUTED_VALUE"""),"貓狗企鵝")</f>
        <v>貓狗企鵝</v>
      </c>
      <c r="J306" t="str">
        <f>IFERROR(__xludf.DUMMYFUNCTION("IFS(
  AND(REGEXMATCH(E306, ""台銀籌備帳戶|玉山帳戶""), REGEXMATCH(C306, ""薪資"")), ""分潤支出"",
  AND(REGEXMATCH(E306, ""Ben帳戶|Elsa帳戶|Ben代墊|Ariel代墊|中信銀行共用""), REGEXMATCH(F306, ""Ben帳戶|Elsa帳戶|Ben代墊|Ariel代墊|中信銀行共用"")), ""內部轉帳(忽略)"",
  AND(E306&lt;&gt;"""", F306&lt;&gt;"""", NOT(REG"&amp;"EXMATCH(C306, ""薪資""))), ""內部轉帳(忽略)"",
  REGEXMATCH(C306, ""薪資""), ""薪資變動(不計入)"",
  REGEXMATCH(C306, ""押金""), ""押金往來"",
  AND(E306&lt;&gt;"""", F306=""""), ""真實支出"",
  AND(E306="""", F306&lt;&gt;""""), ""真實收入"",
  TRUE, ""其他""
)"),"真實收入")</f>
        <v>真實收入</v>
      </c>
      <c r="K306" s="270">
        <f t="shared" si="2"/>
        <v>10000</v>
      </c>
      <c r="L306">
        <f t="shared" si="3"/>
        <v>0</v>
      </c>
    </row>
    <row r="307">
      <c r="A307" s="107">
        <f>IFERROR(__xludf.DUMMYFUNCTION("""COMPUTED_VALUE"""),45391.0)</f>
        <v>45391</v>
      </c>
      <c r="B307" t="str">
        <f>IFERROR(__xludf.DUMMYFUNCTION("""COMPUTED_VALUE"""),"毛毛拆除")</f>
        <v>毛毛拆除</v>
      </c>
      <c r="C307" t="str">
        <f>IFERROR(__xludf.DUMMYFUNCTION("""COMPUTED_VALUE"""),"成本 - 進場前裝潢費")</f>
        <v>成本 - 進場前裝潢費</v>
      </c>
      <c r="D307" s="270">
        <f>IFERROR(__xludf.DUMMYFUNCTION("""COMPUTED_VALUE"""),-38850.0)</f>
        <v>-38850</v>
      </c>
      <c r="E307" t="str">
        <f>IFERROR(__xludf.DUMMYFUNCTION("""COMPUTED_VALUE"""),"Elsa帳戶")</f>
        <v>Elsa帳戶</v>
      </c>
      <c r="G307" t="str">
        <f>IFERROR(__xludf.DUMMYFUNCTION("""COMPUTED_VALUE"""),"大湖山莊")</f>
        <v>大湖山莊</v>
      </c>
      <c r="H307" s="106" t="str">
        <f t="shared" si="1"/>
        <v>2024-04</v>
      </c>
      <c r="I307" s="271" t="str">
        <f>IFERROR(__xludf.DUMMYFUNCTION("""COMPUTED_VALUE"""),"貓狗企鵝")</f>
        <v>貓狗企鵝</v>
      </c>
      <c r="J307" t="str">
        <f>IFERROR(__xludf.DUMMYFUNCTION("IFS(
  AND(REGEXMATCH(E307, ""台銀籌備帳戶|玉山帳戶""), REGEXMATCH(C307, ""薪資"")), ""分潤支出"",
  AND(REGEXMATCH(E307, ""Ben帳戶|Elsa帳戶|Ben代墊|Ariel代墊|中信銀行共用""), REGEXMATCH(F307, ""Ben帳戶|Elsa帳戶|Ben代墊|Ariel代墊|中信銀行共用"")), ""內部轉帳(忽略)"",
  AND(E307&lt;&gt;"""", F307&lt;&gt;"""", NOT(REG"&amp;"EXMATCH(C307, ""薪資""))), ""內部轉帳(忽略)"",
  REGEXMATCH(C307, ""薪資""), ""薪資變動(不計入)"",
  REGEXMATCH(C307, ""押金""), ""押金往來"",
  AND(E307&lt;&gt;"""", F307=""""), ""真實支出"",
  AND(E307="""", F307&lt;&gt;""""), ""真實收入"",
  TRUE, ""其他""
)"),"真實支出")</f>
        <v>真實支出</v>
      </c>
      <c r="K307" s="270">
        <f t="shared" si="2"/>
        <v>-38850</v>
      </c>
      <c r="L307">
        <f t="shared" si="3"/>
        <v>0</v>
      </c>
    </row>
    <row r="308">
      <c r="A308" s="107">
        <f>IFERROR(__xludf.DUMMYFUNCTION("""COMPUTED_VALUE"""),45391.0)</f>
        <v>45391</v>
      </c>
      <c r="B308" t="str">
        <f>IFERROR(__xludf.DUMMYFUNCTION("""COMPUTED_VALUE"""),"龍江季繳垃圾代收")</f>
        <v>龍江季繳垃圾代收</v>
      </c>
      <c r="C308" t="str">
        <f>IFERROR(__xludf.DUMMYFUNCTION("""COMPUTED_VALUE"""),"成本 - 固定開銷(網路代收清潔)")</f>
        <v>成本 - 固定開銷(網路代收清潔)</v>
      </c>
      <c r="D308" s="270">
        <f>IFERROR(__xludf.DUMMYFUNCTION("""COMPUTED_VALUE"""),-2369.0)</f>
        <v>-2369</v>
      </c>
      <c r="E308" t="str">
        <f>IFERROR(__xludf.DUMMYFUNCTION("""COMPUTED_VALUE"""),"Elsa帳戶")</f>
        <v>Elsa帳戶</v>
      </c>
      <c r="G308" t="str">
        <f>IFERROR(__xludf.DUMMYFUNCTION("""COMPUTED_VALUE"""),"大湖山莊")</f>
        <v>大湖山莊</v>
      </c>
      <c r="H308" s="106" t="str">
        <f t="shared" si="1"/>
        <v>2024-04</v>
      </c>
      <c r="I308" s="271" t="str">
        <f>IFERROR(__xludf.DUMMYFUNCTION("""COMPUTED_VALUE"""),"貓狗企鵝")</f>
        <v>貓狗企鵝</v>
      </c>
      <c r="J308" t="str">
        <f>IFERROR(__xludf.DUMMYFUNCTION("IFS(
  AND(REGEXMATCH(E308, ""台銀籌備帳戶|玉山帳戶""), REGEXMATCH(C308, ""薪資"")), ""分潤支出"",
  AND(REGEXMATCH(E308, ""Ben帳戶|Elsa帳戶|Ben代墊|Ariel代墊|中信銀行共用""), REGEXMATCH(F308, ""Ben帳戶|Elsa帳戶|Ben代墊|Ariel代墊|中信銀行共用"")), ""內部轉帳(忽略)"",
  AND(E308&lt;&gt;"""", F308&lt;&gt;"""", NOT(REG"&amp;"EXMATCH(C308, ""薪資""))), ""內部轉帳(忽略)"",
  REGEXMATCH(C308, ""薪資""), ""薪資變動(不計入)"",
  REGEXMATCH(C308, ""押金""), ""押金往來"",
  AND(E308&lt;&gt;"""", F308=""""), ""真實支出"",
  AND(E308="""", F308&lt;&gt;""""), ""真實收入"",
  TRUE, ""其他""
)"),"真實支出")</f>
        <v>真實支出</v>
      </c>
      <c r="K308" s="270">
        <f t="shared" si="2"/>
        <v>-2369</v>
      </c>
      <c r="L308">
        <f t="shared" si="3"/>
        <v>0</v>
      </c>
    </row>
    <row r="309">
      <c r="A309" s="107">
        <f>IFERROR(__xludf.DUMMYFUNCTION("""COMPUTED_VALUE"""),45391.0)</f>
        <v>45391</v>
      </c>
      <c r="B309" t="str">
        <f>IFERROR(__xludf.DUMMYFUNCTION("""COMPUTED_VALUE"""),"淘寶 把手")</f>
        <v>淘寶 把手</v>
      </c>
      <c r="C309" t="str">
        <f>IFERROR(__xludf.DUMMYFUNCTION("""COMPUTED_VALUE"""),"成本 - 進場前裝潢費")</f>
        <v>成本 - 進場前裝潢費</v>
      </c>
      <c r="D309" s="270">
        <f>IFERROR(__xludf.DUMMYFUNCTION("""COMPUTED_VALUE"""),-4870.0)</f>
        <v>-4870</v>
      </c>
      <c r="E309" t="str">
        <f>IFERROR(__xludf.DUMMYFUNCTION("""COMPUTED_VALUE"""),"Ben帳戶")</f>
        <v>Ben帳戶</v>
      </c>
      <c r="G309" t="str">
        <f>IFERROR(__xludf.DUMMYFUNCTION("""COMPUTED_VALUE"""),"大湖山莊")</f>
        <v>大湖山莊</v>
      </c>
      <c r="H309" s="106" t="str">
        <f t="shared" si="1"/>
        <v>2024-04</v>
      </c>
      <c r="I309" s="271" t="str">
        <f>IFERROR(__xludf.DUMMYFUNCTION("""COMPUTED_VALUE"""),"貓狗企鵝")</f>
        <v>貓狗企鵝</v>
      </c>
      <c r="J309" t="str">
        <f>IFERROR(__xludf.DUMMYFUNCTION("IFS(
  AND(REGEXMATCH(E309, ""台銀籌備帳戶|玉山帳戶""), REGEXMATCH(C309, ""薪資"")), ""分潤支出"",
  AND(REGEXMATCH(E309, ""Ben帳戶|Elsa帳戶|Ben代墊|Ariel代墊|中信銀行共用""), REGEXMATCH(F309, ""Ben帳戶|Elsa帳戶|Ben代墊|Ariel代墊|中信銀行共用"")), ""內部轉帳(忽略)"",
  AND(E309&lt;&gt;"""", F309&lt;&gt;"""", NOT(REG"&amp;"EXMATCH(C309, ""薪資""))), ""內部轉帳(忽略)"",
  REGEXMATCH(C309, ""薪資""), ""薪資變動(不計入)"",
  REGEXMATCH(C309, ""押金""), ""押金往來"",
  AND(E309&lt;&gt;"""", F309=""""), ""真實支出"",
  AND(E309="""", F309&lt;&gt;""""), ""真實收入"",
  TRUE, ""其他""
)"),"真實支出")</f>
        <v>真實支出</v>
      </c>
      <c r="K309" s="270">
        <f t="shared" si="2"/>
        <v>-4870</v>
      </c>
      <c r="L309">
        <f t="shared" si="3"/>
        <v>0</v>
      </c>
    </row>
    <row r="310">
      <c r="A310" s="107">
        <f>IFERROR(__xludf.DUMMYFUNCTION("""COMPUTED_VALUE"""),45391.0)</f>
        <v>45391</v>
      </c>
      <c r="B310" t="str">
        <f>IFERROR(__xludf.DUMMYFUNCTION("""COMPUTED_VALUE"""),"MoMo 洗衣機*2")</f>
        <v>MoMo 洗衣機*2</v>
      </c>
      <c r="C310" t="str">
        <f>IFERROR(__xludf.DUMMYFUNCTION("""COMPUTED_VALUE"""),"成本 - 進場前裝潢費")</f>
        <v>成本 - 進場前裝潢費</v>
      </c>
      <c r="D310" s="270">
        <f>IFERROR(__xludf.DUMMYFUNCTION("""COMPUTED_VALUE"""),-13580.0)</f>
        <v>-13580</v>
      </c>
      <c r="E310" t="str">
        <f>IFERROR(__xludf.DUMMYFUNCTION("""COMPUTED_VALUE"""),"Elsa帳戶")</f>
        <v>Elsa帳戶</v>
      </c>
      <c r="G310" t="str">
        <f>IFERROR(__xludf.DUMMYFUNCTION("""COMPUTED_VALUE"""),"大湖山莊")</f>
        <v>大湖山莊</v>
      </c>
      <c r="H310" s="106" t="str">
        <f t="shared" si="1"/>
        <v>2024-04</v>
      </c>
      <c r="I310" s="271" t="str">
        <f>IFERROR(__xludf.DUMMYFUNCTION("""COMPUTED_VALUE"""),"貓狗企鵝")</f>
        <v>貓狗企鵝</v>
      </c>
      <c r="J310" t="str">
        <f>IFERROR(__xludf.DUMMYFUNCTION("IFS(
  AND(REGEXMATCH(E310, ""台銀籌備帳戶|玉山帳戶""), REGEXMATCH(C310, ""薪資"")), ""分潤支出"",
  AND(REGEXMATCH(E310, ""Ben帳戶|Elsa帳戶|Ben代墊|Ariel代墊|中信銀行共用""), REGEXMATCH(F310, ""Ben帳戶|Elsa帳戶|Ben代墊|Ariel代墊|中信銀行共用"")), ""內部轉帳(忽略)"",
  AND(E310&lt;&gt;"""", F310&lt;&gt;"""", NOT(REG"&amp;"EXMATCH(C310, ""薪資""))), ""內部轉帳(忽略)"",
  REGEXMATCH(C310, ""薪資""), ""薪資變動(不計入)"",
  REGEXMATCH(C310, ""押金""), ""押金往來"",
  AND(E310&lt;&gt;"""", F310=""""), ""真實支出"",
  AND(E310="""", F310&lt;&gt;""""), ""真實收入"",
  TRUE, ""其他""
)"),"真實支出")</f>
        <v>真實支出</v>
      </c>
      <c r="K310" s="270">
        <f t="shared" si="2"/>
        <v>-13580</v>
      </c>
      <c r="L310">
        <f t="shared" si="3"/>
        <v>0</v>
      </c>
    </row>
    <row r="311">
      <c r="A311" s="107">
        <f>IFERROR(__xludf.DUMMYFUNCTION("""COMPUTED_VALUE"""),45391.0)</f>
        <v>45391</v>
      </c>
      <c r="B311" t="str">
        <f>IFERROR(__xludf.DUMMYFUNCTION("""COMPUTED_VALUE"""),"吳興街水電")</f>
        <v>吳興街水電</v>
      </c>
      <c r="C311" t="str">
        <f>IFERROR(__xludf.DUMMYFUNCTION("""COMPUTED_VALUE"""),"成本 - 進場前裝潢費")</f>
        <v>成本 - 進場前裝潢費</v>
      </c>
      <c r="D311" s="270">
        <f>IFERROR(__xludf.DUMMYFUNCTION("""COMPUTED_VALUE"""),-38955.0)</f>
        <v>-38955</v>
      </c>
      <c r="E311" t="str">
        <f>IFERROR(__xludf.DUMMYFUNCTION("""COMPUTED_VALUE"""),"Ben帳戶")</f>
        <v>Ben帳戶</v>
      </c>
      <c r="G311" t="str">
        <f>IFERROR(__xludf.DUMMYFUNCTION("""COMPUTED_VALUE"""),"北醫醫師府")</f>
        <v>北醫醫師府</v>
      </c>
      <c r="H311" s="106" t="str">
        <f t="shared" si="1"/>
        <v>2024-04</v>
      </c>
      <c r="I311" s="271" t="str">
        <f>IFERROR(__xludf.DUMMYFUNCTION("""COMPUTED_VALUE"""),"貓狗企鵝")</f>
        <v>貓狗企鵝</v>
      </c>
      <c r="J311" t="str">
        <f>IFERROR(__xludf.DUMMYFUNCTION("IFS(
  AND(REGEXMATCH(E311, ""台銀籌備帳戶|玉山帳戶""), REGEXMATCH(C311, ""薪資"")), ""分潤支出"",
  AND(REGEXMATCH(E311, ""Ben帳戶|Elsa帳戶|Ben代墊|Ariel代墊|中信銀行共用""), REGEXMATCH(F311, ""Ben帳戶|Elsa帳戶|Ben代墊|Ariel代墊|中信銀行共用"")), ""內部轉帳(忽略)"",
  AND(E311&lt;&gt;"""", F311&lt;&gt;"""", NOT(REG"&amp;"EXMATCH(C311, ""薪資""))), ""內部轉帳(忽略)"",
  REGEXMATCH(C311, ""薪資""), ""薪資變動(不計入)"",
  REGEXMATCH(C311, ""押金""), ""押金往來"",
  AND(E311&lt;&gt;"""", F311=""""), ""真實支出"",
  AND(E311="""", F311&lt;&gt;""""), ""真實收入"",
  TRUE, ""其他""
)"),"真實支出")</f>
        <v>真實支出</v>
      </c>
      <c r="K311" s="270">
        <f t="shared" si="2"/>
        <v>-38955</v>
      </c>
      <c r="L311">
        <f t="shared" si="3"/>
        <v>0</v>
      </c>
    </row>
    <row r="312">
      <c r="A312" s="107">
        <f>IFERROR(__xludf.DUMMYFUNCTION("""COMPUTED_VALUE"""),45391.0)</f>
        <v>45391</v>
      </c>
      <c r="B312" t="str">
        <f>IFERROR(__xludf.DUMMYFUNCTION("""COMPUTED_VALUE"""),"MoMo 洗脫烘*1")</f>
        <v>MoMo 洗脫烘*1</v>
      </c>
      <c r="C312" t="str">
        <f>IFERROR(__xludf.DUMMYFUNCTION("""COMPUTED_VALUE"""),"成本 - 進場前裝潢費")</f>
        <v>成本 - 進場前裝潢費</v>
      </c>
      <c r="D312" s="270">
        <f>IFERROR(__xludf.DUMMYFUNCTION("""COMPUTED_VALUE"""),-11900.0)</f>
        <v>-11900</v>
      </c>
      <c r="E312" t="str">
        <f>IFERROR(__xludf.DUMMYFUNCTION("""COMPUTED_VALUE"""),"Elsa帳戶")</f>
        <v>Elsa帳戶</v>
      </c>
      <c r="G312" t="str">
        <f>IFERROR(__xludf.DUMMYFUNCTION("""COMPUTED_VALUE"""),"大湖山莊")</f>
        <v>大湖山莊</v>
      </c>
      <c r="H312" s="106" t="str">
        <f t="shared" si="1"/>
        <v>2024-04</v>
      </c>
      <c r="I312" s="271" t="str">
        <f>IFERROR(__xludf.DUMMYFUNCTION("""COMPUTED_VALUE"""),"貓狗企鵝")</f>
        <v>貓狗企鵝</v>
      </c>
      <c r="J312" t="str">
        <f>IFERROR(__xludf.DUMMYFUNCTION("IFS(
  AND(REGEXMATCH(E312, ""台銀籌備帳戶|玉山帳戶""), REGEXMATCH(C312, ""薪資"")), ""分潤支出"",
  AND(REGEXMATCH(E312, ""Ben帳戶|Elsa帳戶|Ben代墊|Ariel代墊|中信銀行共用""), REGEXMATCH(F312, ""Ben帳戶|Elsa帳戶|Ben代墊|Ariel代墊|中信銀行共用"")), ""內部轉帳(忽略)"",
  AND(E312&lt;&gt;"""", F312&lt;&gt;"""", NOT(REG"&amp;"EXMATCH(C312, ""薪資""))), ""內部轉帳(忽略)"",
  REGEXMATCH(C312, ""薪資""), ""薪資變動(不計入)"",
  REGEXMATCH(C312, ""押金""), ""押金往來"",
  AND(E312&lt;&gt;"""", F312=""""), ""真實支出"",
  AND(E312="""", F312&lt;&gt;""""), ""真實收入"",
  TRUE, ""其他""
)"),"真實支出")</f>
        <v>真實支出</v>
      </c>
      <c r="K312" s="270">
        <f t="shared" si="2"/>
        <v>-11900</v>
      </c>
      <c r="L312">
        <f t="shared" si="3"/>
        <v>0</v>
      </c>
    </row>
    <row r="313">
      <c r="A313" s="107">
        <f>IFERROR(__xludf.DUMMYFUNCTION("""COMPUTED_VALUE"""),45391.0)</f>
        <v>45391</v>
      </c>
      <c r="B313" t="str">
        <f>IFERROR(__xludf.DUMMYFUNCTION("""COMPUTED_VALUE"""),"淘寶畫")</f>
        <v>淘寶畫</v>
      </c>
      <c r="C313" t="str">
        <f>IFERROR(__xludf.DUMMYFUNCTION("""COMPUTED_VALUE"""),"成本 - 進場前裝潢費")</f>
        <v>成本 - 進場前裝潢費</v>
      </c>
      <c r="D313" s="270">
        <f>IFERROR(__xludf.DUMMYFUNCTION("""COMPUTED_VALUE"""),-965.0)</f>
        <v>-965</v>
      </c>
      <c r="E313" t="str">
        <f>IFERROR(__xludf.DUMMYFUNCTION("""COMPUTED_VALUE"""),"Ben帳戶")</f>
        <v>Ben帳戶</v>
      </c>
      <c r="G313" t="str">
        <f>IFERROR(__xludf.DUMMYFUNCTION("""COMPUTED_VALUE"""),"大湖山莊")</f>
        <v>大湖山莊</v>
      </c>
      <c r="H313" s="106" t="str">
        <f t="shared" si="1"/>
        <v>2024-04</v>
      </c>
      <c r="I313" s="271" t="str">
        <f>IFERROR(__xludf.DUMMYFUNCTION("""COMPUTED_VALUE"""),"貓狗企鵝")</f>
        <v>貓狗企鵝</v>
      </c>
      <c r="J313" t="str">
        <f>IFERROR(__xludf.DUMMYFUNCTION("IFS(
  AND(REGEXMATCH(E313, ""台銀籌備帳戶|玉山帳戶""), REGEXMATCH(C313, ""薪資"")), ""分潤支出"",
  AND(REGEXMATCH(E313, ""Ben帳戶|Elsa帳戶|Ben代墊|Ariel代墊|中信銀行共用""), REGEXMATCH(F313, ""Ben帳戶|Elsa帳戶|Ben代墊|Ariel代墊|中信銀行共用"")), ""內部轉帳(忽略)"",
  AND(E313&lt;&gt;"""", F313&lt;&gt;"""", NOT(REG"&amp;"EXMATCH(C313, ""薪資""))), ""內部轉帳(忽略)"",
  REGEXMATCH(C313, ""薪資""), ""薪資變動(不計入)"",
  REGEXMATCH(C313, ""押金""), ""押金往來"",
  AND(E313&lt;&gt;"""", F313=""""), ""真實支出"",
  AND(E313="""", F313&lt;&gt;""""), ""真實收入"",
  TRUE, ""其他""
)"),"真實支出")</f>
        <v>真實支出</v>
      </c>
      <c r="K313" s="270">
        <f t="shared" si="2"/>
        <v>-965</v>
      </c>
      <c r="L313">
        <f t="shared" si="3"/>
        <v>0</v>
      </c>
    </row>
    <row r="314">
      <c r="A314" s="107">
        <f>IFERROR(__xludf.DUMMYFUNCTION("""COMPUTED_VALUE"""),45391.0)</f>
        <v>45391</v>
      </c>
      <c r="B314" t="str">
        <f>IFERROR(__xludf.DUMMYFUNCTION("""COMPUTED_VALUE"""),"五金")</f>
        <v>五金</v>
      </c>
      <c r="D314" s="270">
        <f>IFERROR(__xludf.DUMMYFUNCTION("""COMPUTED_VALUE"""),-395.0)</f>
        <v>-395</v>
      </c>
      <c r="E314" t="str">
        <f>IFERROR(__xludf.DUMMYFUNCTION("""COMPUTED_VALUE"""),"Ben帳戶")</f>
        <v>Ben帳戶</v>
      </c>
      <c r="H314" s="106" t="str">
        <f t="shared" si="1"/>
        <v>2024-04</v>
      </c>
      <c r="I314" s="271" t="str">
        <f>IFERROR(__xludf.DUMMYFUNCTION("""COMPUTED_VALUE"""),"貓狗企鵝")</f>
        <v>貓狗企鵝</v>
      </c>
      <c r="J314" t="str">
        <f>IFERROR(__xludf.DUMMYFUNCTION("IFS(
  AND(REGEXMATCH(E314, ""台銀籌備帳戶|玉山帳戶""), REGEXMATCH(C314, ""薪資"")), ""分潤支出"",
  AND(REGEXMATCH(E314, ""Ben帳戶|Elsa帳戶|Ben代墊|Ariel代墊|中信銀行共用""), REGEXMATCH(F314, ""Ben帳戶|Elsa帳戶|Ben代墊|Ariel代墊|中信銀行共用"")), ""內部轉帳(忽略)"",
  AND(E314&lt;&gt;"""", F314&lt;&gt;"""", NOT(REG"&amp;"EXMATCH(C314, ""薪資""))), ""內部轉帳(忽略)"",
  REGEXMATCH(C314, ""薪資""), ""薪資變動(不計入)"",
  REGEXMATCH(C314, ""押金""), ""押金往來"",
  AND(E314&lt;&gt;"""", F314=""""), ""真實支出"",
  AND(E314="""", F314&lt;&gt;""""), ""真實收入"",
  TRUE, ""其他""
)"),"真實支出")</f>
        <v>真實支出</v>
      </c>
      <c r="K314" s="270">
        <f t="shared" si="2"/>
        <v>-395</v>
      </c>
      <c r="L314">
        <f t="shared" si="3"/>
        <v>0</v>
      </c>
    </row>
    <row r="315">
      <c r="A315" s="107">
        <f>IFERROR(__xludf.DUMMYFUNCTION("""COMPUTED_VALUE"""),45391.0)</f>
        <v>45391</v>
      </c>
      <c r="B315" t="str">
        <f>IFERROR(__xludf.DUMMYFUNCTION("""COMPUTED_VALUE"""),"弟弟")</f>
        <v>弟弟</v>
      </c>
      <c r="C315" t="str">
        <f>IFERROR(__xludf.DUMMYFUNCTION("""COMPUTED_VALUE"""),"費用 - 人力成本")</f>
        <v>費用 - 人力成本</v>
      </c>
      <c r="D315" s="270">
        <f>IFERROR(__xludf.DUMMYFUNCTION("""COMPUTED_VALUE"""),-16100.0)</f>
        <v>-16100</v>
      </c>
      <c r="E315" t="str">
        <f>IFERROR(__xludf.DUMMYFUNCTION("""COMPUTED_VALUE"""),"Ben帳戶")</f>
        <v>Ben帳戶</v>
      </c>
      <c r="H315" s="106" t="str">
        <f t="shared" si="1"/>
        <v>2024-04</v>
      </c>
      <c r="I315" s="271" t="str">
        <f>IFERROR(__xludf.DUMMYFUNCTION("""COMPUTED_VALUE"""),"貓狗企鵝")</f>
        <v>貓狗企鵝</v>
      </c>
      <c r="J315" t="str">
        <f>IFERROR(__xludf.DUMMYFUNCTION("IFS(
  AND(REGEXMATCH(E315, ""台銀籌備帳戶|玉山帳戶""), REGEXMATCH(C315, ""薪資"")), ""分潤支出"",
  AND(REGEXMATCH(E315, ""Ben帳戶|Elsa帳戶|Ben代墊|Ariel代墊|中信銀行共用""), REGEXMATCH(F315, ""Ben帳戶|Elsa帳戶|Ben代墊|Ariel代墊|中信銀行共用"")), ""內部轉帳(忽略)"",
  AND(E315&lt;&gt;"""", F315&lt;&gt;"""", NOT(REG"&amp;"EXMATCH(C315, ""薪資""))), ""內部轉帳(忽略)"",
  REGEXMATCH(C315, ""薪資""), ""薪資變動(不計入)"",
  REGEXMATCH(C315, ""押金""), ""押金往來"",
  AND(E315&lt;&gt;"""", F315=""""), ""真實支出"",
  AND(E315="""", F315&lt;&gt;""""), ""真實收入"",
  TRUE, ""其他""
)"),"真實支出")</f>
        <v>真實支出</v>
      </c>
      <c r="K315" s="270">
        <f t="shared" si="2"/>
        <v>-16100</v>
      </c>
      <c r="L315">
        <f t="shared" si="3"/>
        <v>0</v>
      </c>
    </row>
    <row r="316">
      <c r="A316" s="107">
        <f>IFERROR(__xludf.DUMMYFUNCTION("""COMPUTED_VALUE"""),45391.0)</f>
        <v>45391</v>
      </c>
      <c r="B316" t="str">
        <f>IFERROR(__xludf.DUMMYFUNCTION("""COMPUTED_VALUE"""),"淘寶運費")</f>
        <v>淘寶運費</v>
      </c>
      <c r="D316" s="270">
        <f>IFERROR(__xludf.DUMMYFUNCTION("""COMPUTED_VALUE"""),-7500.0)</f>
        <v>-7500</v>
      </c>
      <c r="E316" t="str">
        <f>IFERROR(__xludf.DUMMYFUNCTION("""COMPUTED_VALUE"""),"Ben帳戶")</f>
        <v>Ben帳戶</v>
      </c>
      <c r="H316" s="106" t="str">
        <f t="shared" si="1"/>
        <v>2024-04</v>
      </c>
      <c r="I316" s="271" t="str">
        <f>IFERROR(__xludf.DUMMYFUNCTION("""COMPUTED_VALUE"""),"貓狗企鵝")</f>
        <v>貓狗企鵝</v>
      </c>
      <c r="J316" t="str">
        <f>IFERROR(__xludf.DUMMYFUNCTION("IFS(
  AND(REGEXMATCH(E316, ""台銀籌備帳戶|玉山帳戶""), REGEXMATCH(C316, ""薪資"")), ""分潤支出"",
  AND(REGEXMATCH(E316, ""Ben帳戶|Elsa帳戶|Ben代墊|Ariel代墊|中信銀行共用""), REGEXMATCH(F316, ""Ben帳戶|Elsa帳戶|Ben代墊|Ariel代墊|中信銀行共用"")), ""內部轉帳(忽略)"",
  AND(E316&lt;&gt;"""", F316&lt;&gt;"""", NOT(REG"&amp;"EXMATCH(C316, ""薪資""))), ""內部轉帳(忽略)"",
  REGEXMATCH(C316, ""薪資""), ""薪資變動(不計入)"",
  REGEXMATCH(C316, ""押金""), ""押金往來"",
  AND(E316&lt;&gt;"""", F316=""""), ""真實支出"",
  AND(E316="""", F316&lt;&gt;""""), ""真實收入"",
  TRUE, ""其他""
)"),"真實支出")</f>
        <v>真實支出</v>
      </c>
      <c r="K316" s="270">
        <f t="shared" si="2"/>
        <v>-7500</v>
      </c>
      <c r="L316">
        <f t="shared" si="3"/>
        <v>0</v>
      </c>
    </row>
    <row r="317">
      <c r="A317" s="107">
        <f>IFERROR(__xludf.DUMMYFUNCTION("""COMPUTED_VALUE"""),45392.0)</f>
        <v>45392</v>
      </c>
      <c r="B317" t="str">
        <f>IFERROR(__xludf.DUMMYFUNCTION("""COMPUTED_VALUE"""),"康寧路B")</f>
        <v>康寧路B</v>
      </c>
      <c r="C317" t="str">
        <f>IFERROR(__xludf.DUMMYFUNCTION("""COMPUTED_VALUE"""),"收入 - 租金")</f>
        <v>收入 - 租金</v>
      </c>
      <c r="D317" s="270">
        <f>IFERROR(__xludf.DUMMYFUNCTION("""COMPUTED_VALUE"""),9550.0)</f>
        <v>9550</v>
      </c>
      <c r="F317" t="str">
        <f>IFERROR(__xludf.DUMMYFUNCTION("""COMPUTED_VALUE"""),"台銀籌備帳戶")</f>
        <v>台銀籌備帳戶</v>
      </c>
      <c r="G317" t="str">
        <f>IFERROR(__xludf.DUMMYFUNCTION("""COMPUTED_VALUE"""),"哈拉對面")</f>
        <v>哈拉對面</v>
      </c>
      <c r="H317" s="106" t="str">
        <f t="shared" si="1"/>
        <v>2024-04</v>
      </c>
      <c r="I317" s="271" t="str">
        <f>IFERROR(__xludf.DUMMYFUNCTION("""COMPUTED_VALUE"""),"貓狗企鵝")</f>
        <v>貓狗企鵝</v>
      </c>
      <c r="J317" t="str">
        <f>IFERROR(__xludf.DUMMYFUNCTION("IFS(
  AND(REGEXMATCH(E317, ""台銀籌備帳戶|玉山帳戶""), REGEXMATCH(C317, ""薪資"")), ""分潤支出"",
  AND(REGEXMATCH(E317, ""Ben帳戶|Elsa帳戶|Ben代墊|Ariel代墊|中信銀行共用""), REGEXMATCH(F317, ""Ben帳戶|Elsa帳戶|Ben代墊|Ariel代墊|中信銀行共用"")), ""內部轉帳(忽略)"",
  AND(E317&lt;&gt;"""", F317&lt;&gt;"""", NOT(REG"&amp;"EXMATCH(C317, ""薪資""))), ""內部轉帳(忽略)"",
  REGEXMATCH(C317, ""薪資""), ""薪資變動(不計入)"",
  REGEXMATCH(C317, ""押金""), ""押金往來"",
  AND(E317&lt;&gt;"""", F317=""""), ""真實支出"",
  AND(E317="""", F317&lt;&gt;""""), ""真實收入"",
  TRUE, ""其他""
)"),"真實收入")</f>
        <v>真實收入</v>
      </c>
      <c r="K317" s="270">
        <f t="shared" si="2"/>
        <v>9550</v>
      </c>
      <c r="L317">
        <f t="shared" si="3"/>
        <v>0</v>
      </c>
    </row>
    <row r="318">
      <c r="A318" s="107">
        <f>IFERROR(__xludf.DUMMYFUNCTION("""COMPUTED_VALUE"""),45392.0)</f>
        <v>45392</v>
      </c>
      <c r="B318" t="str">
        <f>IFERROR(__xludf.DUMMYFUNCTION("""COMPUTED_VALUE"""),"北醫 D 定")</f>
        <v>北醫 D 定</v>
      </c>
      <c r="C318" t="str">
        <f>IFERROR(__xludf.DUMMYFUNCTION("""COMPUTED_VALUE"""),"收入 - 租金")</f>
        <v>收入 - 租金</v>
      </c>
      <c r="D318" s="270">
        <f>IFERROR(__xludf.DUMMYFUNCTION("""COMPUTED_VALUE"""),10000.0)</f>
        <v>10000</v>
      </c>
      <c r="F318" t="str">
        <f>IFERROR(__xludf.DUMMYFUNCTION("""COMPUTED_VALUE"""),"台銀籌備帳戶")</f>
        <v>台銀籌備帳戶</v>
      </c>
      <c r="G318" t="str">
        <f>IFERROR(__xludf.DUMMYFUNCTION("""COMPUTED_VALUE"""),"北醫醫師府")</f>
        <v>北醫醫師府</v>
      </c>
      <c r="H318" s="106" t="str">
        <f t="shared" si="1"/>
        <v>2024-04</v>
      </c>
      <c r="I318" s="271" t="str">
        <f>IFERROR(__xludf.DUMMYFUNCTION("""COMPUTED_VALUE"""),"貓狗企鵝")</f>
        <v>貓狗企鵝</v>
      </c>
      <c r="J318" t="str">
        <f>IFERROR(__xludf.DUMMYFUNCTION("IFS(
  AND(REGEXMATCH(E318, ""台銀籌備帳戶|玉山帳戶""), REGEXMATCH(C318, ""薪資"")), ""分潤支出"",
  AND(REGEXMATCH(E318, ""Ben帳戶|Elsa帳戶|Ben代墊|Ariel代墊|中信銀行共用""), REGEXMATCH(F318, ""Ben帳戶|Elsa帳戶|Ben代墊|Ariel代墊|中信銀行共用"")), ""內部轉帳(忽略)"",
  AND(E318&lt;&gt;"""", F318&lt;&gt;"""", NOT(REG"&amp;"EXMATCH(C318, ""薪資""))), ""內部轉帳(忽略)"",
  REGEXMATCH(C318, ""薪資""), ""薪資變動(不計入)"",
  REGEXMATCH(C318, ""押金""), ""押金往來"",
  AND(E318&lt;&gt;"""", F318=""""), ""真實支出"",
  AND(E318="""", F318&lt;&gt;""""), ""真實收入"",
  TRUE, ""其他""
)"),"真實收入")</f>
        <v>真實收入</v>
      </c>
      <c r="K318" s="270">
        <f t="shared" si="2"/>
        <v>10000</v>
      </c>
      <c r="L318">
        <f t="shared" si="3"/>
        <v>0</v>
      </c>
    </row>
    <row r="319">
      <c r="A319" s="107">
        <f>IFERROR(__xludf.DUMMYFUNCTION("""COMPUTED_VALUE"""),45393.0)</f>
        <v>45393</v>
      </c>
      <c r="B319" t="str">
        <f>IFERROR(__xludf.DUMMYFUNCTION("""COMPUTED_VALUE"""),"蝦皮30L垃圾桶*2")</f>
        <v>蝦皮30L垃圾桶*2</v>
      </c>
      <c r="C319" t="str">
        <f>IFERROR(__xludf.DUMMYFUNCTION("""COMPUTED_VALUE"""),"成本 - 進場前裝潢費")</f>
        <v>成本 - 進場前裝潢費</v>
      </c>
      <c r="D319" s="270">
        <f>IFERROR(__xludf.DUMMYFUNCTION("""COMPUTED_VALUE"""),-852.0)</f>
        <v>-852</v>
      </c>
      <c r="E319" t="str">
        <f>IFERROR(__xludf.DUMMYFUNCTION("""COMPUTED_VALUE"""),"Elsa帳戶")</f>
        <v>Elsa帳戶</v>
      </c>
      <c r="G319" t="str">
        <f>IFERROR(__xludf.DUMMYFUNCTION("""COMPUTED_VALUE"""),"北醫醫師府")</f>
        <v>北醫醫師府</v>
      </c>
      <c r="H319" s="106" t="str">
        <f t="shared" si="1"/>
        <v>2024-04</v>
      </c>
      <c r="I319" s="271" t="str">
        <f>IFERROR(__xludf.DUMMYFUNCTION("""COMPUTED_VALUE"""),"貓狗企鵝")</f>
        <v>貓狗企鵝</v>
      </c>
      <c r="J319" t="str">
        <f>IFERROR(__xludf.DUMMYFUNCTION("IFS(
  AND(REGEXMATCH(E319, ""台銀籌備帳戶|玉山帳戶""), REGEXMATCH(C319, ""薪資"")), ""分潤支出"",
  AND(REGEXMATCH(E319, ""Ben帳戶|Elsa帳戶|Ben代墊|Ariel代墊|中信銀行共用""), REGEXMATCH(F319, ""Ben帳戶|Elsa帳戶|Ben代墊|Ariel代墊|中信銀行共用"")), ""內部轉帳(忽略)"",
  AND(E319&lt;&gt;"""", F319&lt;&gt;"""", NOT(REG"&amp;"EXMATCH(C319, ""薪資""))), ""內部轉帳(忽略)"",
  REGEXMATCH(C319, ""薪資""), ""薪資變動(不計入)"",
  REGEXMATCH(C319, ""押金""), ""押金往來"",
  AND(E319&lt;&gt;"""", F319=""""), ""真實支出"",
  AND(E319="""", F319&lt;&gt;""""), ""真實收入"",
  TRUE, ""其他""
)"),"真實支出")</f>
        <v>真實支出</v>
      </c>
      <c r="K319" s="270">
        <f t="shared" si="2"/>
        <v>-852</v>
      </c>
      <c r="L319">
        <f t="shared" si="3"/>
        <v>0</v>
      </c>
    </row>
    <row r="320">
      <c r="A320" s="107">
        <f>IFERROR(__xludf.DUMMYFUNCTION("""COMPUTED_VALUE"""),45393.0)</f>
        <v>45393</v>
      </c>
      <c r="B320" t="str">
        <f>IFERROR(__xludf.DUMMYFUNCTION("""COMPUTED_VALUE"""),"康寧路B")</f>
        <v>康寧路B</v>
      </c>
      <c r="C320" t="str">
        <f>IFERROR(__xludf.DUMMYFUNCTION("""COMPUTED_VALUE"""),"收入 - 租金")</f>
        <v>收入 - 租金</v>
      </c>
      <c r="D320" s="270">
        <f>IFERROR(__xludf.DUMMYFUNCTION("""COMPUTED_VALUE"""),9550.0)</f>
        <v>9550</v>
      </c>
      <c r="F320" t="str">
        <f>IFERROR(__xludf.DUMMYFUNCTION("""COMPUTED_VALUE"""),"台銀籌備帳戶")</f>
        <v>台銀籌備帳戶</v>
      </c>
      <c r="G320" t="str">
        <f>IFERROR(__xludf.DUMMYFUNCTION("""COMPUTED_VALUE"""),"哈拉對面")</f>
        <v>哈拉對面</v>
      </c>
      <c r="H320" s="106" t="str">
        <f t="shared" si="1"/>
        <v>2024-04</v>
      </c>
      <c r="I320" s="271" t="str">
        <f>IFERROR(__xludf.DUMMYFUNCTION("""COMPUTED_VALUE"""),"貓狗企鵝")</f>
        <v>貓狗企鵝</v>
      </c>
      <c r="J320" t="str">
        <f>IFERROR(__xludf.DUMMYFUNCTION("IFS(
  AND(REGEXMATCH(E320, ""台銀籌備帳戶|玉山帳戶""), REGEXMATCH(C320, ""薪資"")), ""分潤支出"",
  AND(REGEXMATCH(E320, ""Ben帳戶|Elsa帳戶|Ben代墊|Ariel代墊|中信銀行共用""), REGEXMATCH(F320, ""Ben帳戶|Elsa帳戶|Ben代墊|Ariel代墊|中信銀行共用"")), ""內部轉帳(忽略)"",
  AND(E320&lt;&gt;"""", F320&lt;&gt;"""", NOT(REG"&amp;"EXMATCH(C320, ""薪資""))), ""內部轉帳(忽略)"",
  REGEXMATCH(C320, ""薪資""), ""薪資變動(不計入)"",
  REGEXMATCH(C320, ""押金""), ""押金往來"",
  AND(E320&lt;&gt;"""", F320=""""), ""真實支出"",
  AND(E320="""", F320&lt;&gt;""""), ""真實收入"",
  TRUE, ""其他""
)"),"真實收入")</f>
        <v>真實收入</v>
      </c>
      <c r="K320" s="270">
        <f t="shared" si="2"/>
        <v>9550</v>
      </c>
      <c r="L320">
        <f t="shared" si="3"/>
        <v>0</v>
      </c>
    </row>
    <row r="321">
      <c r="A321" s="107">
        <f>IFERROR(__xludf.DUMMYFUNCTION("""COMPUTED_VALUE"""),45393.0)</f>
        <v>45393</v>
      </c>
      <c r="B321" t="str">
        <f>IFERROR(__xludf.DUMMYFUNCTION("""COMPUTED_VALUE"""),"龍江C")</f>
        <v>龍江C</v>
      </c>
      <c r="C321" t="str">
        <f>IFERROR(__xludf.DUMMYFUNCTION("""COMPUTED_VALUE"""),"收入 - 租金")</f>
        <v>收入 - 租金</v>
      </c>
      <c r="D321" s="270">
        <f>IFERROR(__xludf.DUMMYFUNCTION("""COMPUTED_VALUE"""),10000.0)</f>
        <v>10000</v>
      </c>
      <c r="F321" t="str">
        <f>IFERROR(__xludf.DUMMYFUNCTION("""COMPUTED_VALUE"""),"台銀籌備帳戶")</f>
        <v>台銀籌備帳戶</v>
      </c>
      <c r="G321" t="str">
        <f>IFERROR(__xludf.DUMMYFUNCTION("""COMPUTED_VALUE"""),"龍江229")</f>
        <v>龍江229</v>
      </c>
      <c r="H321" s="106" t="str">
        <f t="shared" si="1"/>
        <v>2024-04</v>
      </c>
      <c r="I321" s="271" t="str">
        <f>IFERROR(__xludf.DUMMYFUNCTION("""COMPUTED_VALUE"""),"貓狗企鵝")</f>
        <v>貓狗企鵝</v>
      </c>
      <c r="J321" t="str">
        <f>IFERROR(__xludf.DUMMYFUNCTION("IFS(
  AND(REGEXMATCH(E321, ""台銀籌備帳戶|玉山帳戶""), REGEXMATCH(C321, ""薪資"")), ""分潤支出"",
  AND(REGEXMATCH(E321, ""Ben帳戶|Elsa帳戶|Ben代墊|Ariel代墊|中信銀行共用""), REGEXMATCH(F321, ""Ben帳戶|Elsa帳戶|Ben代墊|Ariel代墊|中信銀行共用"")), ""內部轉帳(忽略)"",
  AND(E321&lt;&gt;"""", F321&lt;&gt;"""", NOT(REG"&amp;"EXMATCH(C321, ""薪資""))), ""內部轉帳(忽略)"",
  REGEXMATCH(C321, ""薪資""), ""薪資變動(不計入)"",
  REGEXMATCH(C321, ""押金""), ""押金往來"",
  AND(E321&lt;&gt;"""", F321=""""), ""真實支出"",
  AND(E321="""", F321&lt;&gt;""""), ""真實收入"",
  TRUE, ""其他""
)"),"真實收入")</f>
        <v>真實收入</v>
      </c>
      <c r="K321" s="270">
        <f t="shared" si="2"/>
        <v>10000</v>
      </c>
      <c r="L321">
        <f t="shared" si="3"/>
        <v>0</v>
      </c>
    </row>
    <row r="322">
      <c r="A322" s="107">
        <f>IFERROR(__xludf.DUMMYFUNCTION("""COMPUTED_VALUE"""),45393.0)</f>
        <v>45393</v>
      </c>
      <c r="B322" t="str">
        <f>IFERROR(__xludf.DUMMYFUNCTION("""COMPUTED_VALUE"""),"龍江C")</f>
        <v>龍江C</v>
      </c>
      <c r="C322" t="str">
        <f>IFERROR(__xludf.DUMMYFUNCTION("""COMPUTED_VALUE"""),"收入 - 租金")</f>
        <v>收入 - 租金</v>
      </c>
      <c r="D322" s="270">
        <f>IFERROR(__xludf.DUMMYFUNCTION("""COMPUTED_VALUE"""),6800.0)</f>
        <v>6800</v>
      </c>
      <c r="F322" t="str">
        <f>IFERROR(__xludf.DUMMYFUNCTION("""COMPUTED_VALUE"""),"台銀籌備帳戶")</f>
        <v>台銀籌備帳戶</v>
      </c>
      <c r="G322" t="str">
        <f>IFERROR(__xludf.DUMMYFUNCTION("""COMPUTED_VALUE"""),"龍江229")</f>
        <v>龍江229</v>
      </c>
      <c r="H322" s="106" t="str">
        <f t="shared" si="1"/>
        <v>2024-04</v>
      </c>
      <c r="I322" s="271" t="str">
        <f>IFERROR(__xludf.DUMMYFUNCTION("""COMPUTED_VALUE"""),"貓狗企鵝")</f>
        <v>貓狗企鵝</v>
      </c>
      <c r="J322" t="str">
        <f>IFERROR(__xludf.DUMMYFUNCTION("IFS(
  AND(REGEXMATCH(E322, ""台銀籌備帳戶|玉山帳戶""), REGEXMATCH(C322, ""薪資"")), ""分潤支出"",
  AND(REGEXMATCH(E322, ""Ben帳戶|Elsa帳戶|Ben代墊|Ariel代墊|中信銀行共用""), REGEXMATCH(F322, ""Ben帳戶|Elsa帳戶|Ben代墊|Ariel代墊|中信銀行共用"")), ""內部轉帳(忽略)"",
  AND(E322&lt;&gt;"""", F322&lt;&gt;"""", NOT(REG"&amp;"EXMATCH(C322, ""薪資""))), ""內部轉帳(忽略)"",
  REGEXMATCH(C322, ""薪資""), ""薪資變動(不計入)"",
  REGEXMATCH(C322, ""押金""), ""押金往來"",
  AND(E322&lt;&gt;"""", F322=""""), ""真實支出"",
  AND(E322="""", F322&lt;&gt;""""), ""真實收入"",
  TRUE, ""其他""
)"),"真實收入")</f>
        <v>真實收入</v>
      </c>
      <c r="K322" s="270">
        <f t="shared" si="2"/>
        <v>6800</v>
      </c>
      <c r="L322">
        <f t="shared" si="3"/>
        <v>0</v>
      </c>
    </row>
    <row r="323">
      <c r="A323" s="107">
        <f>IFERROR(__xludf.DUMMYFUNCTION("""COMPUTED_VALUE"""),45394.0)</f>
        <v>45394</v>
      </c>
      <c r="B323" t="str">
        <f>IFERROR(__xludf.DUMMYFUNCTION("""COMPUTED_VALUE"""),"MoMo冰箱")</f>
        <v>MoMo冰箱</v>
      </c>
      <c r="C323" t="str">
        <f>IFERROR(__xludf.DUMMYFUNCTION("""COMPUTED_VALUE"""),"成本 - 進場前裝潢費")</f>
        <v>成本 - 進場前裝潢費</v>
      </c>
      <c r="D323" s="270">
        <f>IFERROR(__xludf.DUMMYFUNCTION("""COMPUTED_VALUE"""),-19900.0)</f>
        <v>-19900</v>
      </c>
      <c r="E323" t="str">
        <f>IFERROR(__xludf.DUMMYFUNCTION("""COMPUTED_VALUE"""),"Elsa帳戶")</f>
        <v>Elsa帳戶</v>
      </c>
      <c r="G323" t="str">
        <f>IFERROR(__xludf.DUMMYFUNCTION("""COMPUTED_VALUE"""),"大湖山莊")</f>
        <v>大湖山莊</v>
      </c>
      <c r="H323" s="106" t="str">
        <f t="shared" si="1"/>
        <v>2024-04</v>
      </c>
      <c r="I323" s="271" t="str">
        <f>IFERROR(__xludf.DUMMYFUNCTION("""COMPUTED_VALUE"""),"貓狗企鵝")</f>
        <v>貓狗企鵝</v>
      </c>
      <c r="J323" t="str">
        <f>IFERROR(__xludf.DUMMYFUNCTION("IFS(
  AND(REGEXMATCH(E323, ""台銀籌備帳戶|玉山帳戶""), REGEXMATCH(C323, ""薪資"")), ""分潤支出"",
  AND(REGEXMATCH(E323, ""Ben帳戶|Elsa帳戶|Ben代墊|Ariel代墊|中信銀行共用""), REGEXMATCH(F323, ""Ben帳戶|Elsa帳戶|Ben代墊|Ariel代墊|中信銀行共用"")), ""內部轉帳(忽略)"",
  AND(E323&lt;&gt;"""", F323&lt;&gt;"""", NOT(REG"&amp;"EXMATCH(C323, ""薪資""))), ""內部轉帳(忽略)"",
  REGEXMATCH(C323, ""薪資""), ""薪資變動(不計入)"",
  REGEXMATCH(C323, ""押金""), ""押金往來"",
  AND(E323&lt;&gt;"""", F323=""""), ""真實支出"",
  AND(E323="""", F323&lt;&gt;""""), ""真實收入"",
  TRUE, ""其他""
)"),"真實支出")</f>
        <v>真實支出</v>
      </c>
      <c r="K323" s="270">
        <f t="shared" si="2"/>
        <v>-19900</v>
      </c>
      <c r="L323">
        <f t="shared" si="3"/>
        <v>0</v>
      </c>
    </row>
    <row r="324">
      <c r="A324" s="107">
        <f>IFERROR(__xludf.DUMMYFUNCTION("""COMPUTED_VALUE"""),45394.0)</f>
        <v>45394</v>
      </c>
      <c r="B324" t="str">
        <f>IFERROR(__xludf.DUMMYFUNCTION("""COMPUTED_VALUE"""),"開關插座")</f>
        <v>開關插座</v>
      </c>
      <c r="C324" t="str">
        <f>IFERROR(__xludf.DUMMYFUNCTION("""COMPUTED_VALUE"""),"成本 - 進場前裝潢費")</f>
        <v>成本 - 進場前裝潢費</v>
      </c>
      <c r="D324" s="270">
        <f>IFERROR(__xludf.DUMMYFUNCTION("""COMPUTED_VALUE"""),-4109.0)</f>
        <v>-4109</v>
      </c>
      <c r="E324" t="str">
        <f>IFERROR(__xludf.DUMMYFUNCTION("""COMPUTED_VALUE"""),"Ben帳戶")</f>
        <v>Ben帳戶</v>
      </c>
      <c r="G324" t="str">
        <f>IFERROR(__xludf.DUMMYFUNCTION("""COMPUTED_VALUE"""),"大湖山莊")</f>
        <v>大湖山莊</v>
      </c>
      <c r="H324" s="106" t="str">
        <f t="shared" si="1"/>
        <v>2024-04</v>
      </c>
      <c r="I324" s="271" t="str">
        <f>IFERROR(__xludf.DUMMYFUNCTION("""COMPUTED_VALUE"""),"貓狗企鵝")</f>
        <v>貓狗企鵝</v>
      </c>
      <c r="J324" t="str">
        <f>IFERROR(__xludf.DUMMYFUNCTION("IFS(
  AND(REGEXMATCH(E324, ""台銀籌備帳戶|玉山帳戶""), REGEXMATCH(C324, ""薪資"")), ""分潤支出"",
  AND(REGEXMATCH(E324, ""Ben帳戶|Elsa帳戶|Ben代墊|Ariel代墊|中信銀行共用""), REGEXMATCH(F324, ""Ben帳戶|Elsa帳戶|Ben代墊|Ariel代墊|中信銀行共用"")), ""內部轉帳(忽略)"",
  AND(E324&lt;&gt;"""", F324&lt;&gt;"""", NOT(REG"&amp;"EXMATCH(C324, ""薪資""))), ""內部轉帳(忽略)"",
  REGEXMATCH(C324, ""薪資""), ""薪資變動(不計入)"",
  REGEXMATCH(C324, ""押金""), ""押金往來"",
  AND(E324&lt;&gt;"""", F324=""""), ""真實支出"",
  AND(E324="""", F324&lt;&gt;""""), ""真實收入"",
  TRUE, ""其他""
)"),"真實支出")</f>
        <v>真實支出</v>
      </c>
      <c r="K324" s="270">
        <f t="shared" si="2"/>
        <v>-4109</v>
      </c>
      <c r="L324">
        <f t="shared" si="3"/>
        <v>0</v>
      </c>
    </row>
    <row r="325">
      <c r="A325" s="107">
        <f>IFERROR(__xludf.DUMMYFUNCTION("""COMPUTED_VALUE"""),45394.0)</f>
        <v>45394</v>
      </c>
      <c r="B325" t="str">
        <f>IFERROR(__xludf.DUMMYFUNCTION("""COMPUTED_VALUE"""),"淘寶 燈")</f>
        <v>淘寶 燈</v>
      </c>
      <c r="C325" t="str">
        <f>IFERROR(__xludf.DUMMYFUNCTION("""COMPUTED_VALUE"""),"成本 - 進場前裝潢費")</f>
        <v>成本 - 進場前裝潢費</v>
      </c>
      <c r="D325" s="270">
        <f>IFERROR(__xludf.DUMMYFUNCTION("""COMPUTED_VALUE"""),-1575.0)</f>
        <v>-1575</v>
      </c>
      <c r="E325" t="str">
        <f>IFERROR(__xludf.DUMMYFUNCTION("""COMPUTED_VALUE"""),"Ben帳戶")</f>
        <v>Ben帳戶</v>
      </c>
      <c r="G325" t="str">
        <f>IFERROR(__xludf.DUMMYFUNCTION("""COMPUTED_VALUE"""),"大湖山莊")</f>
        <v>大湖山莊</v>
      </c>
      <c r="H325" s="106" t="str">
        <f t="shared" si="1"/>
        <v>2024-04</v>
      </c>
      <c r="I325" s="271" t="str">
        <f>IFERROR(__xludf.DUMMYFUNCTION("""COMPUTED_VALUE"""),"貓狗企鵝")</f>
        <v>貓狗企鵝</v>
      </c>
      <c r="J325" t="str">
        <f>IFERROR(__xludf.DUMMYFUNCTION("IFS(
  AND(REGEXMATCH(E325, ""台銀籌備帳戶|玉山帳戶""), REGEXMATCH(C325, ""薪資"")), ""分潤支出"",
  AND(REGEXMATCH(E325, ""Ben帳戶|Elsa帳戶|Ben代墊|Ariel代墊|中信銀行共用""), REGEXMATCH(F325, ""Ben帳戶|Elsa帳戶|Ben代墊|Ariel代墊|中信銀行共用"")), ""內部轉帳(忽略)"",
  AND(E325&lt;&gt;"""", F325&lt;&gt;"""", NOT(REG"&amp;"EXMATCH(C325, ""薪資""))), ""內部轉帳(忽略)"",
  REGEXMATCH(C325, ""薪資""), ""薪資變動(不計入)"",
  REGEXMATCH(C325, ""押金""), ""押金往來"",
  AND(E325&lt;&gt;"""", F325=""""), ""真實支出"",
  AND(E325="""", F325&lt;&gt;""""), ""真實收入"",
  TRUE, ""其他""
)"),"真實支出")</f>
        <v>真實支出</v>
      </c>
      <c r="K325" s="270">
        <f t="shared" si="2"/>
        <v>-1575</v>
      </c>
      <c r="L325">
        <f t="shared" si="3"/>
        <v>0</v>
      </c>
    </row>
    <row r="326">
      <c r="A326" s="107">
        <f>IFERROR(__xludf.DUMMYFUNCTION("""COMPUTED_VALUE"""),45394.0)</f>
        <v>45394</v>
      </c>
      <c r="B326" t="str">
        <f>IFERROR(__xludf.DUMMYFUNCTION("""COMPUTED_VALUE"""),"蝦皮滅火器*3")</f>
        <v>蝦皮滅火器*3</v>
      </c>
      <c r="C326" t="str">
        <f>IFERROR(__xludf.DUMMYFUNCTION("""COMPUTED_VALUE"""),"成本 - 進場前裝潢費")</f>
        <v>成本 - 進場前裝潢費</v>
      </c>
      <c r="D326" s="270">
        <f>IFERROR(__xludf.DUMMYFUNCTION("""COMPUTED_VALUE"""),-1920.0)</f>
        <v>-1920</v>
      </c>
      <c r="E326" t="str">
        <f>IFERROR(__xludf.DUMMYFUNCTION("""COMPUTED_VALUE"""),"Elsa帳戶")</f>
        <v>Elsa帳戶</v>
      </c>
      <c r="G326" t="str">
        <f>IFERROR(__xludf.DUMMYFUNCTION("""COMPUTED_VALUE"""),"大湖山莊")</f>
        <v>大湖山莊</v>
      </c>
      <c r="H326" s="106" t="str">
        <f t="shared" si="1"/>
        <v>2024-04</v>
      </c>
      <c r="I326" s="271" t="str">
        <f>IFERROR(__xludf.DUMMYFUNCTION("""COMPUTED_VALUE"""),"貓狗企鵝")</f>
        <v>貓狗企鵝</v>
      </c>
      <c r="J326" t="str">
        <f>IFERROR(__xludf.DUMMYFUNCTION("IFS(
  AND(REGEXMATCH(E326, ""台銀籌備帳戶|玉山帳戶""), REGEXMATCH(C326, ""薪資"")), ""分潤支出"",
  AND(REGEXMATCH(E326, ""Ben帳戶|Elsa帳戶|Ben代墊|Ariel代墊|中信銀行共用""), REGEXMATCH(F326, ""Ben帳戶|Elsa帳戶|Ben代墊|Ariel代墊|中信銀行共用"")), ""內部轉帳(忽略)"",
  AND(E326&lt;&gt;"""", F326&lt;&gt;"""", NOT(REG"&amp;"EXMATCH(C326, ""薪資""))), ""內部轉帳(忽略)"",
  REGEXMATCH(C326, ""薪資""), ""薪資變動(不計入)"",
  REGEXMATCH(C326, ""押金""), ""押金往來"",
  AND(E326&lt;&gt;"""", F326=""""), ""真實支出"",
  AND(E326="""", F326&lt;&gt;""""), ""真實收入"",
  TRUE, ""其他""
)"),"真實支出")</f>
        <v>真實支出</v>
      </c>
      <c r="K326" s="270">
        <f t="shared" si="2"/>
        <v>-1920</v>
      </c>
      <c r="L326">
        <f t="shared" si="3"/>
        <v>0</v>
      </c>
    </row>
    <row r="327">
      <c r="A327" s="107">
        <f>IFERROR(__xludf.DUMMYFUNCTION("""COMPUTED_VALUE"""),45394.0)</f>
        <v>45394</v>
      </c>
      <c r="B327" t="str">
        <f>IFERROR(__xludf.DUMMYFUNCTION("""COMPUTED_VALUE"""),"運費")</f>
        <v>運費</v>
      </c>
      <c r="C327" t="str">
        <f>IFERROR(__xludf.DUMMYFUNCTION("""COMPUTED_VALUE"""),"成本 - 進場前裝潢費")</f>
        <v>成本 - 進場前裝潢費</v>
      </c>
      <c r="D327" s="270">
        <f>IFERROR(__xludf.DUMMYFUNCTION("""COMPUTED_VALUE"""),-5000.0)</f>
        <v>-5000</v>
      </c>
      <c r="E327" t="str">
        <f>IFERROR(__xludf.DUMMYFUNCTION("""COMPUTED_VALUE"""),"Ben帳戶")</f>
        <v>Ben帳戶</v>
      </c>
      <c r="G327" t="str">
        <f>IFERROR(__xludf.DUMMYFUNCTION("""COMPUTED_VALUE"""),"大湖山莊")</f>
        <v>大湖山莊</v>
      </c>
      <c r="H327" s="106" t="str">
        <f t="shared" si="1"/>
        <v>2024-04</v>
      </c>
      <c r="I327" s="271" t="str">
        <f>IFERROR(__xludf.DUMMYFUNCTION("""COMPUTED_VALUE"""),"貓狗企鵝")</f>
        <v>貓狗企鵝</v>
      </c>
      <c r="J327" t="str">
        <f>IFERROR(__xludf.DUMMYFUNCTION("IFS(
  AND(REGEXMATCH(E327, ""台銀籌備帳戶|玉山帳戶""), REGEXMATCH(C327, ""薪資"")), ""分潤支出"",
  AND(REGEXMATCH(E327, ""Ben帳戶|Elsa帳戶|Ben代墊|Ariel代墊|中信銀行共用""), REGEXMATCH(F327, ""Ben帳戶|Elsa帳戶|Ben代墊|Ariel代墊|中信銀行共用"")), ""內部轉帳(忽略)"",
  AND(E327&lt;&gt;"""", F327&lt;&gt;"""", NOT(REG"&amp;"EXMATCH(C327, ""薪資""))), ""內部轉帳(忽略)"",
  REGEXMATCH(C327, ""薪資""), ""薪資變動(不計入)"",
  REGEXMATCH(C327, ""押金""), ""押金往來"",
  AND(E327&lt;&gt;"""", F327=""""), ""真實支出"",
  AND(E327="""", F327&lt;&gt;""""), ""真實收入"",
  TRUE, ""其他""
)"),"真實支出")</f>
        <v>真實支出</v>
      </c>
      <c r="K327" s="270">
        <f t="shared" si="2"/>
        <v>-5000</v>
      </c>
      <c r="L327">
        <f t="shared" si="3"/>
        <v>0</v>
      </c>
    </row>
    <row r="328">
      <c r="A328" s="107">
        <f>IFERROR(__xludf.DUMMYFUNCTION("""COMPUTED_VALUE"""),45394.0)</f>
        <v>45394</v>
      </c>
      <c r="B328" t="str">
        <f>IFERROR(__xludf.DUMMYFUNCTION("""COMPUTED_VALUE"""),"蝦皮垃圾桶*2")</f>
        <v>蝦皮垃圾桶*2</v>
      </c>
      <c r="C328" t="str">
        <f>IFERROR(__xludf.DUMMYFUNCTION("""COMPUTED_VALUE"""),"成本 - 進場前裝潢費")</f>
        <v>成本 - 進場前裝潢費</v>
      </c>
      <c r="D328" s="270">
        <f>IFERROR(__xludf.DUMMYFUNCTION("""COMPUTED_VALUE"""),-852.0)</f>
        <v>-852</v>
      </c>
      <c r="E328" t="str">
        <f>IFERROR(__xludf.DUMMYFUNCTION("""COMPUTED_VALUE"""),"Elsa帳戶")</f>
        <v>Elsa帳戶</v>
      </c>
      <c r="G328" t="str">
        <f>IFERROR(__xludf.DUMMYFUNCTION("""COMPUTED_VALUE"""),"北醫醫師府")</f>
        <v>北醫醫師府</v>
      </c>
      <c r="H328" s="106" t="str">
        <f t="shared" si="1"/>
        <v>2024-04</v>
      </c>
      <c r="I328" s="271" t="str">
        <f>IFERROR(__xludf.DUMMYFUNCTION("""COMPUTED_VALUE"""),"貓狗企鵝")</f>
        <v>貓狗企鵝</v>
      </c>
      <c r="J328" t="str">
        <f>IFERROR(__xludf.DUMMYFUNCTION("IFS(
  AND(REGEXMATCH(E328, ""台銀籌備帳戶|玉山帳戶""), REGEXMATCH(C328, ""薪資"")), ""分潤支出"",
  AND(REGEXMATCH(E328, ""Ben帳戶|Elsa帳戶|Ben代墊|Ariel代墊|中信銀行共用""), REGEXMATCH(F328, ""Ben帳戶|Elsa帳戶|Ben代墊|Ariel代墊|中信銀行共用"")), ""內部轉帳(忽略)"",
  AND(E328&lt;&gt;"""", F328&lt;&gt;"""", NOT(REG"&amp;"EXMATCH(C328, ""薪資""))), ""內部轉帳(忽略)"",
  REGEXMATCH(C328, ""薪資""), ""薪資變動(不計入)"",
  REGEXMATCH(C328, ""押金""), ""押金往來"",
  AND(E328&lt;&gt;"""", F328=""""), ""真實支出"",
  AND(E328="""", F328&lt;&gt;""""), ""真實收入"",
  TRUE, ""其他""
)"),"真實支出")</f>
        <v>真實支出</v>
      </c>
      <c r="K328" s="270">
        <f t="shared" si="2"/>
        <v>-852</v>
      </c>
      <c r="L328">
        <f t="shared" si="3"/>
        <v>0</v>
      </c>
    </row>
    <row r="329">
      <c r="A329" s="107">
        <f>IFERROR(__xludf.DUMMYFUNCTION("""COMPUTED_VALUE"""),45395.0)</f>
        <v>45395</v>
      </c>
      <c r="B329" t="str">
        <f>IFERROR(__xludf.DUMMYFUNCTION("""COMPUTED_VALUE"""),"北醫 A 2押1租")</f>
        <v>北醫 A 2押1租</v>
      </c>
      <c r="C329" t="str">
        <f>IFERROR(__xludf.DUMMYFUNCTION("""COMPUTED_VALUE"""),"收入 - 租金")</f>
        <v>收入 - 租金</v>
      </c>
      <c r="D329" s="270">
        <f>IFERROR(__xludf.DUMMYFUNCTION("""COMPUTED_VALUE"""),30500.0)</f>
        <v>30500</v>
      </c>
      <c r="F329" t="str">
        <f>IFERROR(__xludf.DUMMYFUNCTION("""COMPUTED_VALUE"""),"台銀籌備帳戶")</f>
        <v>台銀籌備帳戶</v>
      </c>
      <c r="G329" t="str">
        <f>IFERROR(__xludf.DUMMYFUNCTION("""COMPUTED_VALUE"""),"北醫醫師府")</f>
        <v>北醫醫師府</v>
      </c>
      <c r="H329" s="106" t="str">
        <f t="shared" si="1"/>
        <v>2024-04</v>
      </c>
      <c r="I329" s="271" t="str">
        <f>IFERROR(__xludf.DUMMYFUNCTION("""COMPUTED_VALUE"""),"貓狗企鵝")</f>
        <v>貓狗企鵝</v>
      </c>
      <c r="J329" t="str">
        <f>IFERROR(__xludf.DUMMYFUNCTION("IFS(
  AND(REGEXMATCH(E329, ""台銀籌備帳戶|玉山帳戶""), REGEXMATCH(C329, ""薪資"")), ""分潤支出"",
  AND(REGEXMATCH(E329, ""Ben帳戶|Elsa帳戶|Ben代墊|Ariel代墊|中信銀行共用""), REGEXMATCH(F329, ""Ben帳戶|Elsa帳戶|Ben代墊|Ariel代墊|中信銀行共用"")), ""內部轉帳(忽略)"",
  AND(E329&lt;&gt;"""", F329&lt;&gt;"""", NOT(REG"&amp;"EXMATCH(C329, ""薪資""))), ""內部轉帳(忽略)"",
  REGEXMATCH(C329, ""薪資""), ""薪資變動(不計入)"",
  REGEXMATCH(C329, ""押金""), ""押金往來"",
  AND(E329&lt;&gt;"""", F329=""""), ""真實支出"",
  AND(E329="""", F329&lt;&gt;""""), ""真實收入"",
  TRUE, ""其他""
)"),"真實收入")</f>
        <v>真實收入</v>
      </c>
      <c r="K329" s="270">
        <f t="shared" si="2"/>
        <v>30500</v>
      </c>
      <c r="L329">
        <f t="shared" si="3"/>
        <v>0</v>
      </c>
    </row>
    <row r="330">
      <c r="A330" s="107">
        <f>IFERROR(__xludf.DUMMYFUNCTION("""COMPUTED_VALUE"""),45396.0)</f>
        <v>45396</v>
      </c>
      <c r="B330" t="str">
        <f>IFERROR(__xludf.DUMMYFUNCTION("""COMPUTED_VALUE"""),"床")</f>
        <v>床</v>
      </c>
      <c r="C330" t="str">
        <f>IFERROR(__xludf.DUMMYFUNCTION("""COMPUTED_VALUE"""),"成本 - 進場前裝潢費")</f>
        <v>成本 - 進場前裝潢費</v>
      </c>
      <c r="D330" s="270">
        <f>IFERROR(__xludf.DUMMYFUNCTION("""COMPUTED_VALUE"""),-25325.0)</f>
        <v>-25325</v>
      </c>
      <c r="E330" t="str">
        <f>IFERROR(__xludf.DUMMYFUNCTION("""COMPUTED_VALUE"""),"Ben帳戶")</f>
        <v>Ben帳戶</v>
      </c>
      <c r="G330" t="str">
        <f>IFERROR(__xludf.DUMMYFUNCTION("""COMPUTED_VALUE"""),"大湖山莊")</f>
        <v>大湖山莊</v>
      </c>
      <c r="H330" s="106" t="str">
        <f t="shared" si="1"/>
        <v>2024-04</v>
      </c>
      <c r="I330" s="271" t="str">
        <f>IFERROR(__xludf.DUMMYFUNCTION("""COMPUTED_VALUE"""),"貓狗企鵝")</f>
        <v>貓狗企鵝</v>
      </c>
      <c r="J330" t="str">
        <f>IFERROR(__xludf.DUMMYFUNCTION("IFS(
  AND(REGEXMATCH(E330, ""台銀籌備帳戶|玉山帳戶""), REGEXMATCH(C330, ""薪資"")), ""分潤支出"",
  AND(REGEXMATCH(E330, ""Ben帳戶|Elsa帳戶|Ben代墊|Ariel代墊|中信銀行共用""), REGEXMATCH(F330, ""Ben帳戶|Elsa帳戶|Ben代墊|Ariel代墊|中信銀行共用"")), ""內部轉帳(忽略)"",
  AND(E330&lt;&gt;"""", F330&lt;&gt;"""", NOT(REG"&amp;"EXMATCH(C330, ""薪資""))), ""內部轉帳(忽略)"",
  REGEXMATCH(C330, ""薪資""), ""薪資變動(不計入)"",
  REGEXMATCH(C330, ""押金""), ""押金往來"",
  AND(E330&lt;&gt;"""", F330=""""), ""真實支出"",
  AND(E330="""", F330&lt;&gt;""""), ""真實收入"",
  TRUE, ""其他""
)"),"真實支出")</f>
        <v>真實支出</v>
      </c>
      <c r="K330" s="270">
        <f t="shared" si="2"/>
        <v>-25325</v>
      </c>
      <c r="L330">
        <f t="shared" si="3"/>
        <v>0</v>
      </c>
    </row>
    <row r="331">
      <c r="A331" s="107">
        <f>IFERROR(__xludf.DUMMYFUNCTION("""COMPUTED_VALUE"""),45396.0)</f>
        <v>45396</v>
      </c>
      <c r="B331" t="str">
        <f>IFERROR(__xludf.DUMMYFUNCTION("""COMPUTED_VALUE"""),"窗簾桿")</f>
        <v>窗簾桿</v>
      </c>
      <c r="C331" t="str">
        <f>IFERROR(__xludf.DUMMYFUNCTION("""COMPUTED_VALUE"""),"成本 - 進場前裝潢費")</f>
        <v>成本 - 進場前裝潢費</v>
      </c>
      <c r="D331" s="270">
        <f>IFERROR(__xludf.DUMMYFUNCTION("""COMPUTED_VALUE"""),-1500.0)</f>
        <v>-1500</v>
      </c>
      <c r="E331" t="str">
        <f>IFERROR(__xludf.DUMMYFUNCTION("""COMPUTED_VALUE"""),"Ben帳戶")</f>
        <v>Ben帳戶</v>
      </c>
      <c r="G331" t="str">
        <f>IFERROR(__xludf.DUMMYFUNCTION("""COMPUTED_VALUE"""),"大湖山莊")</f>
        <v>大湖山莊</v>
      </c>
      <c r="H331" s="106" t="str">
        <f t="shared" si="1"/>
        <v>2024-04</v>
      </c>
      <c r="I331" s="271" t="str">
        <f>IFERROR(__xludf.DUMMYFUNCTION("""COMPUTED_VALUE"""),"貓狗企鵝")</f>
        <v>貓狗企鵝</v>
      </c>
      <c r="J331" t="str">
        <f>IFERROR(__xludf.DUMMYFUNCTION("IFS(
  AND(REGEXMATCH(E331, ""台銀籌備帳戶|玉山帳戶""), REGEXMATCH(C331, ""薪資"")), ""分潤支出"",
  AND(REGEXMATCH(E331, ""Ben帳戶|Elsa帳戶|Ben代墊|Ariel代墊|中信銀行共用""), REGEXMATCH(F331, ""Ben帳戶|Elsa帳戶|Ben代墊|Ariel代墊|中信銀行共用"")), ""內部轉帳(忽略)"",
  AND(E331&lt;&gt;"""", F331&lt;&gt;"""", NOT(REG"&amp;"EXMATCH(C331, ""薪資""))), ""內部轉帳(忽略)"",
  REGEXMATCH(C331, ""薪資""), ""薪資變動(不計入)"",
  REGEXMATCH(C331, ""押金""), ""押金往來"",
  AND(E331&lt;&gt;"""", F331=""""), ""真實支出"",
  AND(E331="""", F331&lt;&gt;""""), ""真實收入"",
  TRUE, ""其他""
)"),"真實支出")</f>
        <v>真實支出</v>
      </c>
      <c r="K331" s="270">
        <f t="shared" si="2"/>
        <v>-1500</v>
      </c>
      <c r="L331">
        <f t="shared" si="3"/>
        <v>0</v>
      </c>
    </row>
    <row r="332">
      <c r="A332" s="107">
        <f>IFERROR(__xludf.DUMMYFUNCTION("""COMPUTED_VALUE"""),45397.0)</f>
        <v>45397</v>
      </c>
      <c r="B332" t="str">
        <f>IFERROR(__xludf.DUMMYFUNCTION("""COMPUTED_VALUE"""),"北醫 D 2押1租")</f>
        <v>北醫 D 2押1租</v>
      </c>
      <c r="C332" t="str">
        <f>IFERROR(__xludf.DUMMYFUNCTION("""COMPUTED_VALUE"""),"收入 - 租金")</f>
        <v>收入 - 租金</v>
      </c>
      <c r="D332" s="270">
        <f>IFERROR(__xludf.DUMMYFUNCTION("""COMPUTED_VALUE"""),25900.0)</f>
        <v>25900</v>
      </c>
      <c r="F332" t="str">
        <f>IFERROR(__xludf.DUMMYFUNCTION("""COMPUTED_VALUE"""),"台銀籌備帳戶")</f>
        <v>台銀籌備帳戶</v>
      </c>
      <c r="G332" t="str">
        <f>IFERROR(__xludf.DUMMYFUNCTION("""COMPUTED_VALUE"""),"北醫醫師府")</f>
        <v>北醫醫師府</v>
      </c>
      <c r="H332" s="106" t="str">
        <f t="shared" si="1"/>
        <v>2024-04</v>
      </c>
      <c r="I332" s="271" t="str">
        <f>IFERROR(__xludf.DUMMYFUNCTION("""COMPUTED_VALUE"""),"貓狗企鵝")</f>
        <v>貓狗企鵝</v>
      </c>
      <c r="J332" t="str">
        <f>IFERROR(__xludf.DUMMYFUNCTION("IFS(
  AND(REGEXMATCH(E332, ""台銀籌備帳戶|玉山帳戶""), REGEXMATCH(C332, ""薪資"")), ""分潤支出"",
  AND(REGEXMATCH(E332, ""Ben帳戶|Elsa帳戶|Ben代墊|Ariel代墊|中信銀行共用""), REGEXMATCH(F332, ""Ben帳戶|Elsa帳戶|Ben代墊|Ariel代墊|中信銀行共用"")), ""內部轉帳(忽略)"",
  AND(E332&lt;&gt;"""", F332&lt;&gt;"""", NOT(REG"&amp;"EXMATCH(C332, ""薪資""))), ""內部轉帳(忽略)"",
  REGEXMATCH(C332, ""薪資""), ""薪資變動(不計入)"",
  REGEXMATCH(C332, ""押金""), ""押金往來"",
  AND(E332&lt;&gt;"""", F332=""""), ""真實支出"",
  AND(E332="""", F332&lt;&gt;""""), ""真實收入"",
  TRUE, ""其他""
)"),"真實收入")</f>
        <v>真實收入</v>
      </c>
      <c r="K332" s="270">
        <f t="shared" si="2"/>
        <v>25900</v>
      </c>
      <c r="L332">
        <f t="shared" si="3"/>
        <v>0</v>
      </c>
    </row>
    <row r="333">
      <c r="A333" s="107">
        <f>IFERROR(__xludf.DUMMYFUNCTION("""COMPUTED_VALUE"""),45398.0)</f>
        <v>45398</v>
      </c>
      <c r="B333" t="str">
        <f>IFERROR(__xludf.DUMMYFUNCTION("""COMPUTED_VALUE"""),"保潔墊")</f>
        <v>保潔墊</v>
      </c>
      <c r="C333" t="str">
        <f>IFERROR(__xludf.DUMMYFUNCTION("""COMPUTED_VALUE"""),"成本 - 進場前裝潢費")</f>
        <v>成本 - 進場前裝潢費</v>
      </c>
      <c r="D333" s="270">
        <f>IFERROR(__xludf.DUMMYFUNCTION("""COMPUTED_VALUE"""),-1680.0)</f>
        <v>-1680</v>
      </c>
      <c r="E333" t="str">
        <f>IFERROR(__xludf.DUMMYFUNCTION("""COMPUTED_VALUE"""),"Elsa帳戶")</f>
        <v>Elsa帳戶</v>
      </c>
      <c r="H333" s="106" t="str">
        <f t="shared" si="1"/>
        <v>2024-04</v>
      </c>
      <c r="I333" s="271" t="str">
        <f>IFERROR(__xludf.DUMMYFUNCTION("""COMPUTED_VALUE"""),"貓狗企鵝")</f>
        <v>貓狗企鵝</v>
      </c>
      <c r="J333" t="str">
        <f>IFERROR(__xludf.DUMMYFUNCTION("IFS(
  AND(REGEXMATCH(E333, ""台銀籌備帳戶|玉山帳戶""), REGEXMATCH(C333, ""薪資"")), ""分潤支出"",
  AND(REGEXMATCH(E333, ""Ben帳戶|Elsa帳戶|Ben代墊|Ariel代墊|中信銀行共用""), REGEXMATCH(F333, ""Ben帳戶|Elsa帳戶|Ben代墊|Ariel代墊|中信銀行共用"")), ""內部轉帳(忽略)"",
  AND(E333&lt;&gt;"""", F333&lt;&gt;"""", NOT(REG"&amp;"EXMATCH(C333, ""薪資""))), ""內部轉帳(忽略)"",
  REGEXMATCH(C333, ""薪資""), ""薪資變動(不計入)"",
  REGEXMATCH(C333, ""押金""), ""押金往來"",
  AND(E333&lt;&gt;"""", F333=""""), ""真實支出"",
  AND(E333="""", F333&lt;&gt;""""), ""真實收入"",
  TRUE, ""其他""
)"),"真實支出")</f>
        <v>真實支出</v>
      </c>
      <c r="K333" s="270">
        <f t="shared" si="2"/>
        <v>-1680</v>
      </c>
      <c r="L333">
        <f t="shared" si="3"/>
        <v>0</v>
      </c>
    </row>
    <row r="334">
      <c r="A334" s="107">
        <f>IFERROR(__xludf.DUMMYFUNCTION("""COMPUTED_VALUE"""),45398.0)</f>
        <v>45398</v>
      </c>
      <c r="B334" t="str">
        <f>IFERROR(__xludf.DUMMYFUNCTION("""COMPUTED_VALUE"""),"A房冷氣+換窗")</f>
        <v>A房冷氣+換窗</v>
      </c>
      <c r="C334" t="str">
        <f>IFERROR(__xludf.DUMMYFUNCTION("""COMPUTED_VALUE"""),"成本 - 進場前裝潢費")</f>
        <v>成本 - 進場前裝潢費</v>
      </c>
      <c r="D334" s="270">
        <f>IFERROR(__xludf.DUMMYFUNCTION("""COMPUTED_VALUE"""),-39500.0)</f>
        <v>-39500</v>
      </c>
      <c r="E334" t="str">
        <f>IFERROR(__xludf.DUMMYFUNCTION("""COMPUTED_VALUE"""),"Elsa帳戶")</f>
        <v>Elsa帳戶</v>
      </c>
      <c r="G334" t="str">
        <f>IFERROR(__xludf.DUMMYFUNCTION("""COMPUTED_VALUE"""),"北醫醫師府")</f>
        <v>北醫醫師府</v>
      </c>
      <c r="H334" s="106" t="str">
        <f t="shared" si="1"/>
        <v>2024-04</v>
      </c>
      <c r="I334" s="271" t="str">
        <f>IFERROR(__xludf.DUMMYFUNCTION("""COMPUTED_VALUE"""),"貓狗企鵝")</f>
        <v>貓狗企鵝</v>
      </c>
      <c r="J334" t="str">
        <f>IFERROR(__xludf.DUMMYFUNCTION("IFS(
  AND(REGEXMATCH(E334, ""台銀籌備帳戶|玉山帳戶""), REGEXMATCH(C334, ""薪資"")), ""分潤支出"",
  AND(REGEXMATCH(E334, ""Ben帳戶|Elsa帳戶|Ben代墊|Ariel代墊|中信銀行共用""), REGEXMATCH(F334, ""Ben帳戶|Elsa帳戶|Ben代墊|Ariel代墊|中信銀行共用"")), ""內部轉帳(忽略)"",
  AND(E334&lt;&gt;"""", F334&lt;&gt;"""", NOT(REG"&amp;"EXMATCH(C334, ""薪資""))), ""內部轉帳(忽略)"",
  REGEXMATCH(C334, ""薪資""), ""薪資變動(不計入)"",
  REGEXMATCH(C334, ""押金""), ""押金往來"",
  AND(E334&lt;&gt;"""", F334=""""), ""真實支出"",
  AND(E334="""", F334&lt;&gt;""""), ""真實收入"",
  TRUE, ""其他""
)"),"真實支出")</f>
        <v>真實支出</v>
      </c>
      <c r="K334" s="270">
        <f t="shared" si="2"/>
        <v>-39500</v>
      </c>
      <c r="L334">
        <f t="shared" si="3"/>
        <v>0</v>
      </c>
    </row>
    <row r="335">
      <c r="A335" s="107">
        <f>IFERROR(__xludf.DUMMYFUNCTION("""COMPUTED_VALUE"""),45398.0)</f>
        <v>45398</v>
      </c>
      <c r="B335" s="105" t="str">
        <f>IFERROR(__xludf.DUMMYFUNCTION("""COMPUTED_VALUE"""),"龍將水電瓦斯")</f>
        <v>龍將水電瓦斯</v>
      </c>
      <c r="C335" t="str">
        <f>IFERROR(__xludf.DUMMYFUNCTION("""COMPUTED_VALUE"""),"成本 - 租後修繕")</f>
        <v>成本 - 租後修繕</v>
      </c>
      <c r="D335" s="270">
        <f>IFERROR(__xludf.DUMMYFUNCTION("""COMPUTED_VALUE"""),-3708.0)</f>
        <v>-3708</v>
      </c>
      <c r="E335" t="str">
        <f>IFERROR(__xludf.DUMMYFUNCTION("""COMPUTED_VALUE"""),"Ben帳戶")</f>
        <v>Ben帳戶</v>
      </c>
      <c r="G335" t="str">
        <f>IFERROR(__xludf.DUMMYFUNCTION("""COMPUTED_VALUE"""),"龍江229")</f>
        <v>龍江229</v>
      </c>
      <c r="H335" s="106" t="str">
        <f t="shared" si="1"/>
        <v>2024-04</v>
      </c>
      <c r="I335" s="271" t="str">
        <f>IFERROR(__xludf.DUMMYFUNCTION("""COMPUTED_VALUE"""),"貓狗企鵝")</f>
        <v>貓狗企鵝</v>
      </c>
      <c r="J335" t="str">
        <f>IFERROR(__xludf.DUMMYFUNCTION("IFS(
  AND(REGEXMATCH(E335, ""台銀籌備帳戶|玉山帳戶""), REGEXMATCH(C335, ""薪資"")), ""分潤支出"",
  AND(REGEXMATCH(E335, ""Ben帳戶|Elsa帳戶|Ben代墊|Ariel代墊|中信銀行共用""), REGEXMATCH(F335, ""Ben帳戶|Elsa帳戶|Ben代墊|Ariel代墊|中信銀行共用"")), ""內部轉帳(忽略)"",
  AND(E335&lt;&gt;"""", F335&lt;&gt;"""", NOT(REG"&amp;"EXMATCH(C335, ""薪資""))), ""內部轉帳(忽略)"",
  REGEXMATCH(C335, ""薪資""), ""薪資變動(不計入)"",
  REGEXMATCH(C335, ""押金""), ""押金往來"",
  AND(E335&lt;&gt;"""", F335=""""), ""真實支出"",
  AND(E335="""", F335&lt;&gt;""""), ""真實收入"",
  TRUE, ""其他""
)"),"真實支出")</f>
        <v>真實支出</v>
      </c>
      <c r="K335" s="270">
        <f t="shared" si="2"/>
        <v>-3708</v>
      </c>
      <c r="L335">
        <f t="shared" si="3"/>
        <v>0</v>
      </c>
    </row>
    <row r="336">
      <c r="A336" s="107">
        <f>IFERROR(__xludf.DUMMYFUNCTION("""COMPUTED_VALUE"""),45399.0)</f>
        <v>45399</v>
      </c>
      <c r="B336" t="str">
        <f>IFERROR(__xludf.DUMMYFUNCTION("""COMPUTED_VALUE"""),"油漆丁")</f>
        <v>油漆丁</v>
      </c>
      <c r="C336" t="str">
        <f>IFERROR(__xludf.DUMMYFUNCTION("""COMPUTED_VALUE"""),"成本 - 進場前裝潢費")</f>
        <v>成本 - 進場前裝潢費</v>
      </c>
      <c r="D336" s="270">
        <f>IFERROR(__xludf.DUMMYFUNCTION("""COMPUTED_VALUE"""),-50000.0)</f>
        <v>-50000</v>
      </c>
      <c r="E336" t="str">
        <f>IFERROR(__xludf.DUMMYFUNCTION("""COMPUTED_VALUE"""),"Elsa帳戶")</f>
        <v>Elsa帳戶</v>
      </c>
      <c r="G336" t="str">
        <f>IFERROR(__xludf.DUMMYFUNCTION("""COMPUTED_VALUE"""),"大湖山莊")</f>
        <v>大湖山莊</v>
      </c>
      <c r="H336" s="106" t="str">
        <f t="shared" si="1"/>
        <v>2024-04</v>
      </c>
      <c r="I336" s="271" t="str">
        <f>IFERROR(__xludf.DUMMYFUNCTION("""COMPUTED_VALUE"""),"貓狗企鵝")</f>
        <v>貓狗企鵝</v>
      </c>
      <c r="J336" t="str">
        <f>IFERROR(__xludf.DUMMYFUNCTION("IFS(
  AND(REGEXMATCH(E336, ""台銀籌備帳戶|玉山帳戶""), REGEXMATCH(C336, ""薪資"")), ""分潤支出"",
  AND(REGEXMATCH(E336, ""Ben帳戶|Elsa帳戶|Ben代墊|Ariel代墊|中信銀行共用""), REGEXMATCH(F336, ""Ben帳戶|Elsa帳戶|Ben代墊|Ariel代墊|中信銀行共用"")), ""內部轉帳(忽略)"",
  AND(E336&lt;&gt;"""", F336&lt;&gt;"""", NOT(REG"&amp;"EXMATCH(C336, ""薪資""))), ""內部轉帳(忽略)"",
  REGEXMATCH(C336, ""薪資""), ""薪資變動(不計入)"",
  REGEXMATCH(C336, ""押金""), ""押金往來"",
  AND(E336&lt;&gt;"""", F336=""""), ""真實支出"",
  AND(E336="""", F336&lt;&gt;""""), ""真實收入"",
  TRUE, ""其他""
)"),"真實支出")</f>
        <v>真實支出</v>
      </c>
      <c r="K336" s="270">
        <f t="shared" si="2"/>
        <v>-50000</v>
      </c>
      <c r="L336">
        <f t="shared" si="3"/>
        <v>0</v>
      </c>
    </row>
    <row r="337">
      <c r="A337" s="107">
        <f>IFERROR(__xludf.DUMMYFUNCTION("""COMPUTED_VALUE"""),45401.0)</f>
        <v>45401</v>
      </c>
      <c r="B337" t="str">
        <f>IFERROR(__xludf.DUMMYFUNCTION("""COMPUTED_VALUE"""),"千山淨水馬達+濾心")</f>
        <v>千山淨水馬達+濾心</v>
      </c>
      <c r="C337" t="str">
        <f>IFERROR(__xludf.DUMMYFUNCTION("""COMPUTED_VALUE"""),"成本 - 進場前裝潢費")</f>
        <v>成本 - 進場前裝潢費</v>
      </c>
      <c r="D337" s="270">
        <f>IFERROR(__xludf.DUMMYFUNCTION("""COMPUTED_VALUE"""),-5960.0)</f>
        <v>-5960</v>
      </c>
      <c r="E337" t="str">
        <f>IFERROR(__xludf.DUMMYFUNCTION("""COMPUTED_VALUE"""),"Elsa帳戶")</f>
        <v>Elsa帳戶</v>
      </c>
      <c r="G337" t="str">
        <f>IFERROR(__xludf.DUMMYFUNCTION("""COMPUTED_VALUE"""),"北醫醫師府")</f>
        <v>北醫醫師府</v>
      </c>
      <c r="H337" s="106" t="str">
        <f t="shared" si="1"/>
        <v>2024-04</v>
      </c>
      <c r="I337" s="271" t="str">
        <f>IFERROR(__xludf.DUMMYFUNCTION("""COMPUTED_VALUE"""),"貓狗企鵝")</f>
        <v>貓狗企鵝</v>
      </c>
      <c r="J337" t="str">
        <f>IFERROR(__xludf.DUMMYFUNCTION("IFS(
  AND(REGEXMATCH(E337, ""台銀籌備帳戶|玉山帳戶""), REGEXMATCH(C337, ""薪資"")), ""分潤支出"",
  AND(REGEXMATCH(E337, ""Ben帳戶|Elsa帳戶|Ben代墊|Ariel代墊|中信銀行共用""), REGEXMATCH(F337, ""Ben帳戶|Elsa帳戶|Ben代墊|Ariel代墊|中信銀行共用"")), ""內部轉帳(忽略)"",
  AND(E337&lt;&gt;"""", F337&lt;&gt;"""", NOT(REG"&amp;"EXMATCH(C337, ""薪資""))), ""內部轉帳(忽略)"",
  REGEXMATCH(C337, ""薪資""), ""薪資變動(不計入)"",
  REGEXMATCH(C337, ""押金""), ""押金往來"",
  AND(E337&lt;&gt;"""", F337=""""), ""真實支出"",
  AND(E337="""", F337&lt;&gt;""""), ""真實收入"",
  TRUE, ""其他""
)"),"真實支出")</f>
        <v>真實支出</v>
      </c>
      <c r="K337" s="270">
        <f t="shared" si="2"/>
        <v>-5960</v>
      </c>
      <c r="L337">
        <f t="shared" si="3"/>
        <v>0</v>
      </c>
    </row>
    <row r="338">
      <c r="A338" s="107">
        <f>IFERROR(__xludf.DUMMYFUNCTION("""COMPUTED_VALUE"""),45402.0)</f>
        <v>45402</v>
      </c>
      <c r="B338" t="str">
        <f>IFERROR(__xludf.DUMMYFUNCTION("""COMPUTED_VALUE"""),"Pchome 吸塵器*2")</f>
        <v>Pchome 吸塵器*2</v>
      </c>
      <c r="C338" t="str">
        <f>IFERROR(__xludf.DUMMYFUNCTION("""COMPUTED_VALUE"""),"成本 - 進場前裝潢費")</f>
        <v>成本 - 進場前裝潢費</v>
      </c>
      <c r="D338" s="270">
        <f>IFERROR(__xludf.DUMMYFUNCTION("""COMPUTED_VALUE"""),-2822.0)</f>
        <v>-2822</v>
      </c>
      <c r="E338" t="str">
        <f>IFERROR(__xludf.DUMMYFUNCTION("""COMPUTED_VALUE"""),"Elsa帳戶")</f>
        <v>Elsa帳戶</v>
      </c>
      <c r="G338" t="str">
        <f>IFERROR(__xludf.DUMMYFUNCTION("""COMPUTED_VALUE"""),"大湖山莊")</f>
        <v>大湖山莊</v>
      </c>
      <c r="H338" s="106" t="str">
        <f t="shared" si="1"/>
        <v>2024-04</v>
      </c>
      <c r="I338" s="271" t="str">
        <f>IFERROR(__xludf.DUMMYFUNCTION("""COMPUTED_VALUE"""),"貓狗企鵝")</f>
        <v>貓狗企鵝</v>
      </c>
      <c r="J338" t="str">
        <f>IFERROR(__xludf.DUMMYFUNCTION("IFS(
  AND(REGEXMATCH(E338, ""台銀籌備帳戶|玉山帳戶""), REGEXMATCH(C338, ""薪資"")), ""分潤支出"",
  AND(REGEXMATCH(E338, ""Ben帳戶|Elsa帳戶|Ben代墊|Ariel代墊|中信銀行共用""), REGEXMATCH(F338, ""Ben帳戶|Elsa帳戶|Ben代墊|Ariel代墊|中信銀行共用"")), ""內部轉帳(忽略)"",
  AND(E338&lt;&gt;"""", F338&lt;&gt;"""", NOT(REG"&amp;"EXMATCH(C338, ""薪資""))), ""內部轉帳(忽略)"",
  REGEXMATCH(C338, ""薪資""), ""薪資變動(不計入)"",
  REGEXMATCH(C338, ""押金""), ""押金往來"",
  AND(E338&lt;&gt;"""", F338=""""), ""真實支出"",
  AND(E338="""", F338&lt;&gt;""""), ""真實收入"",
  TRUE, ""其他""
)"),"真實支出")</f>
        <v>真實支出</v>
      </c>
      <c r="K338" s="270">
        <f t="shared" si="2"/>
        <v>-2822</v>
      </c>
      <c r="L338">
        <f t="shared" si="3"/>
        <v>0</v>
      </c>
    </row>
    <row r="339">
      <c r="A339" s="107">
        <f>IFERROR(__xludf.DUMMYFUNCTION("""COMPUTED_VALUE"""),45402.0)</f>
        <v>45402</v>
      </c>
      <c r="B339" t="str">
        <f>IFERROR(__xludf.DUMMYFUNCTION("""COMPUTED_VALUE"""),"蝦皮拖把*2")</f>
        <v>蝦皮拖把*2</v>
      </c>
      <c r="C339" t="str">
        <f>IFERROR(__xludf.DUMMYFUNCTION("""COMPUTED_VALUE"""),"成本 - 進場前裝潢費")</f>
        <v>成本 - 進場前裝潢費</v>
      </c>
      <c r="D339" s="270">
        <f>IFERROR(__xludf.DUMMYFUNCTION("""COMPUTED_VALUE"""),-378.0)</f>
        <v>-378</v>
      </c>
      <c r="E339" t="str">
        <f>IFERROR(__xludf.DUMMYFUNCTION("""COMPUTED_VALUE"""),"Elsa帳戶")</f>
        <v>Elsa帳戶</v>
      </c>
      <c r="G339" t="str">
        <f>IFERROR(__xludf.DUMMYFUNCTION("""COMPUTED_VALUE"""),"大湖山莊")</f>
        <v>大湖山莊</v>
      </c>
      <c r="H339" s="106" t="str">
        <f t="shared" si="1"/>
        <v>2024-04</v>
      </c>
      <c r="I339" s="271" t="str">
        <f>IFERROR(__xludf.DUMMYFUNCTION("""COMPUTED_VALUE"""),"貓狗企鵝")</f>
        <v>貓狗企鵝</v>
      </c>
      <c r="J339" t="str">
        <f>IFERROR(__xludf.DUMMYFUNCTION("IFS(
  AND(REGEXMATCH(E339, ""台銀籌備帳戶|玉山帳戶""), REGEXMATCH(C339, ""薪資"")), ""分潤支出"",
  AND(REGEXMATCH(E339, ""Ben帳戶|Elsa帳戶|Ben代墊|Ariel代墊|中信銀行共用""), REGEXMATCH(F339, ""Ben帳戶|Elsa帳戶|Ben代墊|Ariel代墊|中信銀行共用"")), ""內部轉帳(忽略)"",
  AND(E339&lt;&gt;"""", F339&lt;&gt;"""", NOT(REG"&amp;"EXMATCH(C339, ""薪資""))), ""內部轉帳(忽略)"",
  REGEXMATCH(C339, ""薪資""), ""薪資變動(不計入)"",
  REGEXMATCH(C339, ""押金""), ""押金往來"",
  AND(E339&lt;&gt;"""", F339=""""), ""真實支出"",
  AND(E339="""", F339&lt;&gt;""""), ""真實收入"",
  TRUE, ""其他""
)"),"真實支出")</f>
        <v>真實支出</v>
      </c>
      <c r="K339" s="270">
        <f t="shared" si="2"/>
        <v>-378</v>
      </c>
      <c r="L339">
        <f t="shared" si="3"/>
        <v>0</v>
      </c>
    </row>
    <row r="340">
      <c r="A340" s="107">
        <f>IFERROR(__xludf.DUMMYFUNCTION("""COMPUTED_VALUE"""),45402.0)</f>
        <v>45402</v>
      </c>
      <c r="B340" t="str">
        <f>IFERROR(__xludf.DUMMYFUNCTION("""COMPUTED_VALUE"""),"濾水器")</f>
        <v>濾水器</v>
      </c>
      <c r="C340" t="str">
        <f>IFERROR(__xludf.DUMMYFUNCTION("""COMPUTED_VALUE"""),"成本 - 進場前裝潢費")</f>
        <v>成本 - 進場前裝潢費</v>
      </c>
      <c r="D340" s="270">
        <f>IFERROR(__xludf.DUMMYFUNCTION("""COMPUTED_VALUE"""),-3290.0)</f>
        <v>-3290</v>
      </c>
      <c r="E340" t="str">
        <f>IFERROR(__xludf.DUMMYFUNCTION("""COMPUTED_VALUE"""),"Ben帳戶")</f>
        <v>Ben帳戶</v>
      </c>
      <c r="G340" t="str">
        <f>IFERROR(__xludf.DUMMYFUNCTION("""COMPUTED_VALUE"""),"大湖山莊")</f>
        <v>大湖山莊</v>
      </c>
      <c r="H340" s="106" t="str">
        <f t="shared" si="1"/>
        <v>2024-04</v>
      </c>
      <c r="I340" s="271" t="str">
        <f>IFERROR(__xludf.DUMMYFUNCTION("""COMPUTED_VALUE"""),"貓狗企鵝")</f>
        <v>貓狗企鵝</v>
      </c>
      <c r="J340" t="str">
        <f>IFERROR(__xludf.DUMMYFUNCTION("IFS(
  AND(REGEXMATCH(E340, ""台銀籌備帳戶|玉山帳戶""), REGEXMATCH(C340, ""薪資"")), ""分潤支出"",
  AND(REGEXMATCH(E340, ""Ben帳戶|Elsa帳戶|Ben代墊|Ariel代墊|中信銀行共用""), REGEXMATCH(F340, ""Ben帳戶|Elsa帳戶|Ben代墊|Ariel代墊|中信銀行共用"")), ""內部轉帳(忽略)"",
  AND(E340&lt;&gt;"""", F340&lt;&gt;"""", NOT(REG"&amp;"EXMATCH(C340, ""薪資""))), ""內部轉帳(忽略)"",
  REGEXMATCH(C340, ""薪資""), ""薪資變動(不計入)"",
  REGEXMATCH(C340, ""押金""), ""押金往來"",
  AND(E340&lt;&gt;"""", F340=""""), ""真實支出"",
  AND(E340="""", F340&lt;&gt;""""), ""真實收入"",
  TRUE, ""其他""
)"),"真實支出")</f>
        <v>真實支出</v>
      </c>
      <c r="K340" s="270">
        <f t="shared" si="2"/>
        <v>-3290</v>
      </c>
      <c r="L340">
        <f t="shared" si="3"/>
        <v>0</v>
      </c>
    </row>
    <row r="341">
      <c r="A341" s="107">
        <f>IFERROR(__xludf.DUMMYFUNCTION("""COMPUTED_VALUE"""),45402.0)</f>
        <v>45402</v>
      </c>
      <c r="B341" t="str">
        <f>IFERROR(__xludf.DUMMYFUNCTION("""COMPUTED_VALUE"""),"油漆裝備")</f>
        <v>油漆裝備</v>
      </c>
      <c r="C341" t="str">
        <f>IFERROR(__xludf.DUMMYFUNCTION("""COMPUTED_VALUE"""),"成本 - 進場前裝潢費")</f>
        <v>成本 - 進場前裝潢費</v>
      </c>
      <c r="D341" s="270">
        <f>IFERROR(__xludf.DUMMYFUNCTION("""COMPUTED_VALUE"""),-632.0)</f>
        <v>-632</v>
      </c>
      <c r="E341" t="str">
        <f>IFERROR(__xludf.DUMMYFUNCTION("""COMPUTED_VALUE"""),"Elsa帳戶")</f>
        <v>Elsa帳戶</v>
      </c>
      <c r="G341" t="str">
        <f>IFERROR(__xludf.DUMMYFUNCTION("""COMPUTED_VALUE"""),"大湖山莊")</f>
        <v>大湖山莊</v>
      </c>
      <c r="H341" s="106" t="str">
        <f t="shared" si="1"/>
        <v>2024-04</v>
      </c>
      <c r="I341" s="271" t="str">
        <f>IFERROR(__xludf.DUMMYFUNCTION("""COMPUTED_VALUE"""),"貓狗企鵝")</f>
        <v>貓狗企鵝</v>
      </c>
      <c r="J341" t="str">
        <f>IFERROR(__xludf.DUMMYFUNCTION("IFS(
  AND(REGEXMATCH(E341, ""台銀籌備帳戶|玉山帳戶""), REGEXMATCH(C341, ""薪資"")), ""分潤支出"",
  AND(REGEXMATCH(E341, ""Ben帳戶|Elsa帳戶|Ben代墊|Ariel代墊|中信銀行共用""), REGEXMATCH(F341, ""Ben帳戶|Elsa帳戶|Ben代墊|Ariel代墊|中信銀行共用"")), ""內部轉帳(忽略)"",
  AND(E341&lt;&gt;"""", F341&lt;&gt;"""", NOT(REG"&amp;"EXMATCH(C341, ""薪資""))), ""內部轉帳(忽略)"",
  REGEXMATCH(C341, ""薪資""), ""薪資變動(不計入)"",
  REGEXMATCH(C341, ""押金""), ""押金往來"",
  AND(E341&lt;&gt;"""", F341=""""), ""真實支出"",
  AND(E341="""", F341&lt;&gt;""""), ""真實收入"",
  TRUE, ""其他""
)"),"真實支出")</f>
        <v>真實支出</v>
      </c>
      <c r="K341" s="270">
        <f t="shared" si="2"/>
        <v>-632</v>
      </c>
      <c r="L341">
        <f t="shared" si="3"/>
        <v>0</v>
      </c>
    </row>
    <row r="342">
      <c r="A342" s="107">
        <f>IFERROR(__xludf.DUMMYFUNCTION("""COMPUTED_VALUE"""),45402.0)</f>
        <v>45402</v>
      </c>
      <c r="B342" t="str">
        <f>IFERROR(__xludf.DUMMYFUNCTION("""COMPUTED_VALUE"""),"五金")</f>
        <v>五金</v>
      </c>
      <c r="C342" t="str">
        <f>IFERROR(__xludf.DUMMYFUNCTION("""COMPUTED_VALUE"""),"成本 - 進場前裝潢費")</f>
        <v>成本 - 進場前裝潢費</v>
      </c>
      <c r="D342" s="270">
        <f>IFERROR(__xludf.DUMMYFUNCTION("""COMPUTED_VALUE"""),-1870.0)</f>
        <v>-1870</v>
      </c>
      <c r="E342" t="str">
        <f>IFERROR(__xludf.DUMMYFUNCTION("""COMPUTED_VALUE"""),"Ben帳戶")</f>
        <v>Ben帳戶</v>
      </c>
      <c r="G342" t="str">
        <f>IFERROR(__xludf.DUMMYFUNCTION("""COMPUTED_VALUE"""),"大湖山莊")</f>
        <v>大湖山莊</v>
      </c>
      <c r="H342" s="106" t="str">
        <f t="shared" si="1"/>
        <v>2024-04</v>
      </c>
      <c r="I342" s="271" t="str">
        <f>IFERROR(__xludf.DUMMYFUNCTION("""COMPUTED_VALUE"""),"貓狗企鵝")</f>
        <v>貓狗企鵝</v>
      </c>
      <c r="J342" t="str">
        <f>IFERROR(__xludf.DUMMYFUNCTION("IFS(
  AND(REGEXMATCH(E342, ""台銀籌備帳戶|玉山帳戶""), REGEXMATCH(C342, ""薪資"")), ""分潤支出"",
  AND(REGEXMATCH(E342, ""Ben帳戶|Elsa帳戶|Ben代墊|Ariel代墊|中信銀行共用""), REGEXMATCH(F342, ""Ben帳戶|Elsa帳戶|Ben代墊|Ariel代墊|中信銀行共用"")), ""內部轉帳(忽略)"",
  AND(E342&lt;&gt;"""", F342&lt;&gt;"""", NOT(REG"&amp;"EXMATCH(C342, ""薪資""))), ""內部轉帳(忽略)"",
  REGEXMATCH(C342, ""薪資""), ""薪資變動(不計入)"",
  REGEXMATCH(C342, ""押金""), ""押金往來"",
  AND(E342&lt;&gt;"""", F342=""""), ""真實支出"",
  AND(E342="""", F342&lt;&gt;""""), ""真實收入"",
  TRUE, ""其他""
)"),"真實支出")</f>
        <v>真實支出</v>
      </c>
      <c r="K342" s="270">
        <f t="shared" si="2"/>
        <v>-1870</v>
      </c>
      <c r="L342">
        <f t="shared" si="3"/>
        <v>0</v>
      </c>
    </row>
    <row r="343">
      <c r="A343" s="107">
        <f>IFERROR(__xludf.DUMMYFUNCTION("""COMPUTED_VALUE"""),45402.0)</f>
        <v>45402</v>
      </c>
      <c r="B343" t="str">
        <f>IFERROR(__xludf.DUMMYFUNCTION("""COMPUTED_VALUE"""),"中山-大湖山莊 黃黃費")</f>
        <v>中山-大湖山莊 黃黃費</v>
      </c>
      <c r="C343" t="str">
        <f>IFERROR(__xludf.DUMMYFUNCTION("""COMPUTED_VALUE"""),"成本 - 進場前裝潢費")</f>
        <v>成本 - 進場前裝潢費</v>
      </c>
      <c r="D343" s="270">
        <f>IFERROR(__xludf.DUMMYFUNCTION("""COMPUTED_VALUE"""),-330.0)</f>
        <v>-330</v>
      </c>
      <c r="E343" t="str">
        <f>IFERROR(__xludf.DUMMYFUNCTION("""COMPUTED_VALUE"""),"Elsa帳戶")</f>
        <v>Elsa帳戶</v>
      </c>
      <c r="G343" t="str">
        <f>IFERROR(__xludf.DUMMYFUNCTION("""COMPUTED_VALUE"""),"大湖山莊")</f>
        <v>大湖山莊</v>
      </c>
      <c r="H343" s="106" t="str">
        <f t="shared" si="1"/>
        <v>2024-04</v>
      </c>
      <c r="I343" s="271" t="str">
        <f>IFERROR(__xludf.DUMMYFUNCTION("""COMPUTED_VALUE"""),"貓狗企鵝")</f>
        <v>貓狗企鵝</v>
      </c>
      <c r="J343" t="str">
        <f>IFERROR(__xludf.DUMMYFUNCTION("IFS(
  AND(REGEXMATCH(E343, ""台銀籌備帳戶|玉山帳戶""), REGEXMATCH(C343, ""薪資"")), ""分潤支出"",
  AND(REGEXMATCH(E343, ""Ben帳戶|Elsa帳戶|Ben代墊|Ariel代墊|中信銀行共用""), REGEXMATCH(F343, ""Ben帳戶|Elsa帳戶|Ben代墊|Ariel代墊|中信銀行共用"")), ""內部轉帳(忽略)"",
  AND(E343&lt;&gt;"""", F343&lt;&gt;"""", NOT(REG"&amp;"EXMATCH(C343, ""薪資""))), ""內部轉帳(忽略)"",
  REGEXMATCH(C343, ""薪資""), ""薪資變動(不計入)"",
  REGEXMATCH(C343, ""押金""), ""押金往來"",
  AND(E343&lt;&gt;"""", F343=""""), ""真實支出"",
  AND(E343="""", F343&lt;&gt;""""), ""真實收入"",
  TRUE, ""其他""
)"),"真實支出")</f>
        <v>真實支出</v>
      </c>
      <c r="K343" s="270">
        <f t="shared" si="2"/>
        <v>-330</v>
      </c>
      <c r="L343">
        <f t="shared" si="3"/>
        <v>0</v>
      </c>
    </row>
    <row r="344">
      <c r="A344" s="107">
        <f>IFERROR(__xludf.DUMMYFUNCTION("""COMPUTED_VALUE"""),45402.0)</f>
        <v>45402</v>
      </c>
      <c r="B344" t="str">
        <f>IFERROR(__xludf.DUMMYFUNCTION("""COMPUTED_VALUE"""),"員工聚餐")</f>
        <v>員工聚餐</v>
      </c>
      <c r="C344" t="str">
        <f>IFERROR(__xludf.DUMMYFUNCTION("""COMPUTED_VALUE"""),"成本 - 進場前裝潢費")</f>
        <v>成本 - 進場前裝潢費</v>
      </c>
      <c r="D344" s="270">
        <f>IFERROR(__xludf.DUMMYFUNCTION("""COMPUTED_VALUE"""),-4307.0)</f>
        <v>-4307</v>
      </c>
      <c r="E344" t="str">
        <f>IFERROR(__xludf.DUMMYFUNCTION("""COMPUTED_VALUE"""),"Ben帳戶")</f>
        <v>Ben帳戶</v>
      </c>
      <c r="H344" s="106" t="str">
        <f t="shared" si="1"/>
        <v>2024-04</v>
      </c>
      <c r="I344" s="271" t="str">
        <f>IFERROR(__xludf.DUMMYFUNCTION("""COMPUTED_VALUE"""),"貓狗企鵝")</f>
        <v>貓狗企鵝</v>
      </c>
      <c r="J344" t="str">
        <f>IFERROR(__xludf.DUMMYFUNCTION("IFS(
  AND(REGEXMATCH(E344, ""台銀籌備帳戶|玉山帳戶""), REGEXMATCH(C344, ""薪資"")), ""分潤支出"",
  AND(REGEXMATCH(E344, ""Ben帳戶|Elsa帳戶|Ben代墊|Ariel代墊|中信銀行共用""), REGEXMATCH(F344, ""Ben帳戶|Elsa帳戶|Ben代墊|Ariel代墊|中信銀行共用"")), ""內部轉帳(忽略)"",
  AND(E344&lt;&gt;"""", F344&lt;&gt;"""", NOT(REG"&amp;"EXMATCH(C344, ""薪資""))), ""內部轉帳(忽略)"",
  REGEXMATCH(C344, ""薪資""), ""薪資變動(不計入)"",
  REGEXMATCH(C344, ""押金""), ""押金往來"",
  AND(E344&lt;&gt;"""", F344=""""), ""真實支出"",
  AND(E344="""", F344&lt;&gt;""""), ""真實收入"",
  TRUE, ""其他""
)"),"真實支出")</f>
        <v>真實支出</v>
      </c>
      <c r="K344" s="270">
        <f t="shared" si="2"/>
        <v>-4307</v>
      </c>
      <c r="L344">
        <f t="shared" si="3"/>
        <v>0</v>
      </c>
    </row>
    <row r="345">
      <c r="A345" s="107">
        <f>IFERROR(__xludf.DUMMYFUNCTION("""COMPUTED_VALUE"""),45402.0)</f>
        <v>45402</v>
      </c>
      <c r="B345" t="str">
        <f>IFERROR(__xludf.DUMMYFUNCTION("""COMPUTED_VALUE"""),"LED")</f>
        <v>LED</v>
      </c>
      <c r="C345" t="str">
        <f>IFERROR(__xludf.DUMMYFUNCTION("""COMPUTED_VALUE"""),"成本 - 進場前裝潢費")</f>
        <v>成本 - 進場前裝潢費</v>
      </c>
      <c r="D345" s="270">
        <f>IFERROR(__xludf.DUMMYFUNCTION("""COMPUTED_VALUE"""),-5016.0)</f>
        <v>-5016</v>
      </c>
      <c r="E345" t="str">
        <f>IFERROR(__xludf.DUMMYFUNCTION("""COMPUTED_VALUE"""),"Ben帳戶")</f>
        <v>Ben帳戶</v>
      </c>
      <c r="G345" t="str">
        <f>IFERROR(__xludf.DUMMYFUNCTION("""COMPUTED_VALUE"""),"大湖山莊")</f>
        <v>大湖山莊</v>
      </c>
      <c r="H345" s="106" t="str">
        <f t="shared" si="1"/>
        <v>2024-04</v>
      </c>
      <c r="I345" s="271" t="str">
        <f>IFERROR(__xludf.DUMMYFUNCTION("""COMPUTED_VALUE"""),"貓狗企鵝")</f>
        <v>貓狗企鵝</v>
      </c>
      <c r="J345" t="str">
        <f>IFERROR(__xludf.DUMMYFUNCTION("IFS(
  AND(REGEXMATCH(E345, ""台銀籌備帳戶|玉山帳戶""), REGEXMATCH(C345, ""薪資"")), ""分潤支出"",
  AND(REGEXMATCH(E345, ""Ben帳戶|Elsa帳戶|Ben代墊|Ariel代墊|中信銀行共用""), REGEXMATCH(F345, ""Ben帳戶|Elsa帳戶|Ben代墊|Ariel代墊|中信銀行共用"")), ""內部轉帳(忽略)"",
  AND(E345&lt;&gt;"""", F345&lt;&gt;"""", NOT(REG"&amp;"EXMATCH(C345, ""薪資""))), ""內部轉帳(忽略)"",
  REGEXMATCH(C345, ""薪資""), ""薪資變動(不計入)"",
  REGEXMATCH(C345, ""押金""), ""押金往來"",
  AND(E345&lt;&gt;"""", F345=""""), ""真實支出"",
  AND(E345="""", F345&lt;&gt;""""), ""真實收入"",
  TRUE, ""其他""
)"),"真實支出")</f>
        <v>真實支出</v>
      </c>
      <c r="K345" s="270">
        <f t="shared" si="2"/>
        <v>-5016</v>
      </c>
      <c r="L345">
        <f t="shared" si="3"/>
        <v>0</v>
      </c>
    </row>
    <row r="346">
      <c r="A346" s="107">
        <f>IFERROR(__xludf.DUMMYFUNCTION("""COMPUTED_VALUE"""),45405.0)</f>
        <v>45405</v>
      </c>
      <c r="B346" t="str">
        <f>IFERROR(__xludf.DUMMYFUNCTION("""COMPUTED_VALUE"""),"C房櫃子含運費+組裝")</f>
        <v>C房櫃子含運費+組裝</v>
      </c>
      <c r="C346" t="str">
        <f>IFERROR(__xludf.DUMMYFUNCTION("""COMPUTED_VALUE"""),"成本 - 進場前裝潢費")</f>
        <v>成本 - 進場前裝潢費</v>
      </c>
      <c r="D346" s="270">
        <f>IFERROR(__xludf.DUMMYFUNCTION("""COMPUTED_VALUE"""),-3988.0)</f>
        <v>-3988</v>
      </c>
      <c r="E346" t="str">
        <f>IFERROR(__xludf.DUMMYFUNCTION("""COMPUTED_VALUE"""),"Elsa帳戶")</f>
        <v>Elsa帳戶</v>
      </c>
      <c r="G346" t="str">
        <f>IFERROR(__xludf.DUMMYFUNCTION("""COMPUTED_VALUE"""),"北醫醫師府")</f>
        <v>北醫醫師府</v>
      </c>
      <c r="H346" s="106" t="str">
        <f t="shared" si="1"/>
        <v>2024-04</v>
      </c>
      <c r="I346" s="271" t="str">
        <f>IFERROR(__xludf.DUMMYFUNCTION("""COMPUTED_VALUE"""),"貓狗企鵝")</f>
        <v>貓狗企鵝</v>
      </c>
      <c r="J346" t="str">
        <f>IFERROR(__xludf.DUMMYFUNCTION("IFS(
  AND(REGEXMATCH(E346, ""台銀籌備帳戶|玉山帳戶""), REGEXMATCH(C346, ""薪資"")), ""分潤支出"",
  AND(REGEXMATCH(E346, ""Ben帳戶|Elsa帳戶|Ben代墊|Ariel代墊|中信銀行共用""), REGEXMATCH(F346, ""Ben帳戶|Elsa帳戶|Ben代墊|Ariel代墊|中信銀行共用"")), ""內部轉帳(忽略)"",
  AND(E346&lt;&gt;"""", F346&lt;&gt;"""", NOT(REG"&amp;"EXMATCH(C346, ""薪資""))), ""內部轉帳(忽略)"",
  REGEXMATCH(C346, ""薪資""), ""薪資變動(不計入)"",
  REGEXMATCH(C346, ""押金""), ""押金往來"",
  AND(E346&lt;&gt;"""", F346=""""), ""真實支出"",
  AND(E346="""", F346&lt;&gt;""""), ""真實收入"",
  TRUE, ""其他""
)"),"真實支出")</f>
        <v>真實支出</v>
      </c>
      <c r="K346" s="270">
        <f t="shared" si="2"/>
        <v>-3988</v>
      </c>
      <c r="L346">
        <f t="shared" si="3"/>
        <v>0</v>
      </c>
    </row>
    <row r="347">
      <c r="A347" s="107">
        <f>IFERROR(__xludf.DUMMYFUNCTION("""COMPUTED_VALUE"""),45405.0)</f>
        <v>45405</v>
      </c>
      <c r="B347" t="str">
        <f>IFERROR(__xludf.DUMMYFUNCTION("""COMPUTED_VALUE"""),"滴油網")</f>
        <v>滴油網</v>
      </c>
      <c r="C347" t="str">
        <f>IFERROR(__xludf.DUMMYFUNCTION("""COMPUTED_VALUE"""),"成本 - 進場前裝潢費")</f>
        <v>成本 - 進場前裝潢費</v>
      </c>
      <c r="D347" s="270">
        <f>IFERROR(__xludf.DUMMYFUNCTION("""COMPUTED_VALUE"""),-214.0)</f>
        <v>-214</v>
      </c>
      <c r="E347" t="str">
        <f>IFERROR(__xludf.DUMMYFUNCTION("""COMPUTED_VALUE"""),"Ben帳戶")</f>
        <v>Ben帳戶</v>
      </c>
      <c r="G347" t="str">
        <f>IFERROR(__xludf.DUMMYFUNCTION("""COMPUTED_VALUE"""),"北醫醫師府")</f>
        <v>北醫醫師府</v>
      </c>
      <c r="H347" s="106" t="str">
        <f t="shared" si="1"/>
        <v>2024-04</v>
      </c>
      <c r="I347" s="271" t="str">
        <f>IFERROR(__xludf.DUMMYFUNCTION("""COMPUTED_VALUE"""),"貓狗企鵝")</f>
        <v>貓狗企鵝</v>
      </c>
      <c r="J347" t="str">
        <f>IFERROR(__xludf.DUMMYFUNCTION("IFS(
  AND(REGEXMATCH(E347, ""台銀籌備帳戶|玉山帳戶""), REGEXMATCH(C347, ""薪資"")), ""分潤支出"",
  AND(REGEXMATCH(E347, ""Ben帳戶|Elsa帳戶|Ben代墊|Ariel代墊|中信銀行共用""), REGEXMATCH(F347, ""Ben帳戶|Elsa帳戶|Ben代墊|Ariel代墊|中信銀行共用"")), ""內部轉帳(忽略)"",
  AND(E347&lt;&gt;"""", F347&lt;&gt;"""", NOT(REG"&amp;"EXMATCH(C347, ""薪資""))), ""內部轉帳(忽略)"",
  REGEXMATCH(C347, ""薪資""), ""薪資變動(不計入)"",
  REGEXMATCH(C347, ""押金""), ""押金往來"",
  AND(E347&lt;&gt;"""", F347=""""), ""真實支出"",
  AND(E347="""", F347&lt;&gt;""""), ""真實收入"",
  TRUE, ""其他""
)"),"真實支出")</f>
        <v>真實支出</v>
      </c>
      <c r="K347" s="270">
        <f t="shared" si="2"/>
        <v>-214</v>
      </c>
      <c r="L347">
        <f t="shared" si="3"/>
        <v>0</v>
      </c>
    </row>
    <row r="348">
      <c r="A348" s="107">
        <f>IFERROR(__xludf.DUMMYFUNCTION("""COMPUTED_VALUE"""),45406.0)</f>
        <v>45406</v>
      </c>
      <c r="B348" t="str">
        <f>IFERROR(__xludf.DUMMYFUNCTION("""COMPUTED_VALUE"""),"1-2月垃圾代收")</f>
        <v>1-2月垃圾代收</v>
      </c>
      <c r="C348" t="str">
        <f>IFERROR(__xludf.DUMMYFUNCTION("""COMPUTED_VALUE"""),"成本 - 固定開銷(網路代收清潔)")</f>
        <v>成本 - 固定開銷(網路代收清潔)</v>
      </c>
      <c r="D348" s="270">
        <f>IFERROR(__xludf.DUMMYFUNCTION("""COMPUTED_VALUE"""),-900.0)</f>
        <v>-900</v>
      </c>
      <c r="E348" t="str">
        <f>IFERROR(__xludf.DUMMYFUNCTION("""COMPUTED_VALUE"""),"Elsa帳戶")</f>
        <v>Elsa帳戶</v>
      </c>
      <c r="G348" t="str">
        <f>IFERROR(__xludf.DUMMYFUNCTION("""COMPUTED_VALUE"""),"哈拉對面")</f>
        <v>哈拉對面</v>
      </c>
      <c r="H348" s="106" t="str">
        <f t="shared" si="1"/>
        <v>2024-04</v>
      </c>
      <c r="I348" s="271" t="str">
        <f>IFERROR(__xludf.DUMMYFUNCTION("""COMPUTED_VALUE"""),"貓狗企鵝")</f>
        <v>貓狗企鵝</v>
      </c>
      <c r="J348" t="str">
        <f>IFERROR(__xludf.DUMMYFUNCTION("IFS(
  AND(REGEXMATCH(E348, ""台銀籌備帳戶|玉山帳戶""), REGEXMATCH(C348, ""薪資"")), ""分潤支出"",
  AND(REGEXMATCH(E348, ""Ben帳戶|Elsa帳戶|Ben代墊|Ariel代墊|中信銀行共用""), REGEXMATCH(F348, ""Ben帳戶|Elsa帳戶|Ben代墊|Ariel代墊|中信銀行共用"")), ""內部轉帳(忽略)"",
  AND(E348&lt;&gt;"""", F348&lt;&gt;"""", NOT(REG"&amp;"EXMATCH(C348, ""薪資""))), ""內部轉帳(忽略)"",
  REGEXMATCH(C348, ""薪資""), ""薪資變動(不計入)"",
  REGEXMATCH(C348, ""押金""), ""押金往來"",
  AND(E348&lt;&gt;"""", F348=""""), ""真實支出"",
  AND(E348="""", F348&lt;&gt;""""), ""真實收入"",
  TRUE, ""其他""
)"),"真實支出")</f>
        <v>真實支出</v>
      </c>
      <c r="K348" s="270">
        <f t="shared" si="2"/>
        <v>-900</v>
      </c>
      <c r="L348">
        <f t="shared" si="3"/>
        <v>0</v>
      </c>
    </row>
    <row r="349">
      <c r="A349" s="107">
        <f>IFERROR(__xludf.DUMMYFUNCTION("""COMPUTED_VALUE"""),45406.0)</f>
        <v>45406</v>
      </c>
      <c r="B349" t="str">
        <f>IFERROR(__xludf.DUMMYFUNCTION("""COMPUTED_VALUE"""),"蝦皮五金")</f>
        <v>蝦皮五金</v>
      </c>
      <c r="C349" t="str">
        <f>IFERROR(__xludf.DUMMYFUNCTION("""COMPUTED_VALUE"""),"成本 - 進場前裝潢費")</f>
        <v>成本 - 進場前裝潢費</v>
      </c>
      <c r="D349" s="270">
        <f>IFERROR(__xludf.DUMMYFUNCTION("""COMPUTED_VALUE"""),-2647.0)</f>
        <v>-2647</v>
      </c>
      <c r="E349" t="str">
        <f>IFERROR(__xludf.DUMMYFUNCTION("""COMPUTED_VALUE"""),"Ben帳戶")</f>
        <v>Ben帳戶</v>
      </c>
      <c r="G349" t="str">
        <f>IFERROR(__xludf.DUMMYFUNCTION("""COMPUTED_VALUE"""),"大湖山莊")</f>
        <v>大湖山莊</v>
      </c>
      <c r="H349" s="106" t="str">
        <f t="shared" si="1"/>
        <v>2024-04</v>
      </c>
      <c r="I349" s="271" t="str">
        <f>IFERROR(__xludf.DUMMYFUNCTION("""COMPUTED_VALUE"""),"貓狗企鵝")</f>
        <v>貓狗企鵝</v>
      </c>
      <c r="J349" t="str">
        <f>IFERROR(__xludf.DUMMYFUNCTION("IFS(
  AND(REGEXMATCH(E349, ""台銀籌備帳戶|玉山帳戶""), REGEXMATCH(C349, ""薪資"")), ""分潤支出"",
  AND(REGEXMATCH(E349, ""Ben帳戶|Elsa帳戶|Ben代墊|Ariel代墊|中信銀行共用""), REGEXMATCH(F349, ""Ben帳戶|Elsa帳戶|Ben代墊|Ariel代墊|中信銀行共用"")), ""內部轉帳(忽略)"",
  AND(E349&lt;&gt;"""", F349&lt;&gt;"""", NOT(REG"&amp;"EXMATCH(C349, ""薪資""))), ""內部轉帳(忽略)"",
  REGEXMATCH(C349, ""薪資""), ""薪資變動(不計入)"",
  REGEXMATCH(C349, ""押金""), ""押金往來"",
  AND(E349&lt;&gt;"""", F349=""""), ""真實支出"",
  AND(E349="""", F349&lt;&gt;""""), ""真實收入"",
  TRUE, ""其他""
)"),"真實支出")</f>
        <v>真實支出</v>
      </c>
      <c r="K349" s="270">
        <f t="shared" si="2"/>
        <v>-2647</v>
      </c>
      <c r="L349">
        <f t="shared" si="3"/>
        <v>0</v>
      </c>
    </row>
    <row r="350">
      <c r="A350" s="107">
        <f>IFERROR(__xludf.DUMMYFUNCTION("""COMPUTED_VALUE"""),45406.0)</f>
        <v>45406</v>
      </c>
      <c r="B350" t="str">
        <f>IFERROR(__xludf.DUMMYFUNCTION("""COMPUTED_VALUE"""),"打鑰匙")</f>
        <v>打鑰匙</v>
      </c>
      <c r="C350" t="str">
        <f>IFERROR(__xludf.DUMMYFUNCTION("""COMPUTED_VALUE"""),"成本 - 進場前裝潢費")</f>
        <v>成本 - 進場前裝潢費</v>
      </c>
      <c r="D350" s="270">
        <f>IFERROR(__xludf.DUMMYFUNCTION("""COMPUTED_VALUE"""),-1500.0)</f>
        <v>-1500</v>
      </c>
      <c r="E350" t="str">
        <f>IFERROR(__xludf.DUMMYFUNCTION("""COMPUTED_VALUE"""),"Elsa帳戶")</f>
        <v>Elsa帳戶</v>
      </c>
      <c r="G350" t="str">
        <f>IFERROR(__xludf.DUMMYFUNCTION("""COMPUTED_VALUE"""),"大湖山莊")</f>
        <v>大湖山莊</v>
      </c>
      <c r="H350" s="106" t="str">
        <f t="shared" si="1"/>
        <v>2024-04</v>
      </c>
      <c r="I350" s="271" t="str">
        <f>IFERROR(__xludf.DUMMYFUNCTION("""COMPUTED_VALUE"""),"貓狗企鵝")</f>
        <v>貓狗企鵝</v>
      </c>
      <c r="J350" t="str">
        <f>IFERROR(__xludf.DUMMYFUNCTION("IFS(
  AND(REGEXMATCH(E350, ""台銀籌備帳戶|玉山帳戶""), REGEXMATCH(C350, ""薪資"")), ""分潤支出"",
  AND(REGEXMATCH(E350, ""Ben帳戶|Elsa帳戶|Ben代墊|Ariel代墊|中信銀行共用""), REGEXMATCH(F350, ""Ben帳戶|Elsa帳戶|Ben代墊|Ariel代墊|中信銀行共用"")), ""內部轉帳(忽略)"",
  AND(E350&lt;&gt;"""", F350&lt;&gt;"""", NOT(REG"&amp;"EXMATCH(C350, ""薪資""))), ""內部轉帳(忽略)"",
  REGEXMATCH(C350, ""薪資""), ""薪資變動(不計入)"",
  REGEXMATCH(C350, ""押金""), ""押金往來"",
  AND(E350&lt;&gt;"""", F350=""""), ""真實支出"",
  AND(E350="""", F350&lt;&gt;""""), ""真實收入"",
  TRUE, ""其他""
)"),"真實支出")</f>
        <v>真實支出</v>
      </c>
      <c r="K350" s="270">
        <f t="shared" si="2"/>
        <v>-1500</v>
      </c>
      <c r="L350">
        <f t="shared" si="3"/>
        <v>0</v>
      </c>
    </row>
    <row r="351">
      <c r="A351" s="107">
        <f>IFERROR(__xludf.DUMMYFUNCTION("""COMPUTED_VALUE"""),45406.0)</f>
        <v>45406</v>
      </c>
      <c r="B351" t="str">
        <f>IFERROR(__xludf.DUMMYFUNCTION("""COMPUTED_VALUE"""),"毛毛衣櫃")</f>
        <v>毛毛衣櫃</v>
      </c>
      <c r="C351" t="str">
        <f>IFERROR(__xludf.DUMMYFUNCTION("""COMPUTED_VALUE"""),"成本 - 租後修繕")</f>
        <v>成本 - 租後修繕</v>
      </c>
      <c r="D351" s="270">
        <f>IFERROR(__xludf.DUMMYFUNCTION("""COMPUTED_VALUE"""),-2100.0)</f>
        <v>-2100</v>
      </c>
      <c r="E351" t="str">
        <f>IFERROR(__xludf.DUMMYFUNCTION("""COMPUTED_VALUE"""),"Ben帳戶")</f>
        <v>Ben帳戶</v>
      </c>
      <c r="G351" t="str">
        <f>IFERROR(__xludf.DUMMYFUNCTION("""COMPUTED_VALUE"""),"北醫醫師府")</f>
        <v>北醫醫師府</v>
      </c>
      <c r="H351" s="106" t="str">
        <f t="shared" si="1"/>
        <v>2024-04</v>
      </c>
      <c r="I351" s="271" t="str">
        <f>IFERROR(__xludf.DUMMYFUNCTION("""COMPUTED_VALUE"""),"貓狗企鵝")</f>
        <v>貓狗企鵝</v>
      </c>
      <c r="J351" t="str">
        <f>IFERROR(__xludf.DUMMYFUNCTION("IFS(
  AND(REGEXMATCH(E351, ""台銀籌備帳戶|玉山帳戶""), REGEXMATCH(C351, ""薪資"")), ""分潤支出"",
  AND(REGEXMATCH(E351, ""Ben帳戶|Elsa帳戶|Ben代墊|Ariel代墊|中信銀行共用""), REGEXMATCH(F351, ""Ben帳戶|Elsa帳戶|Ben代墊|Ariel代墊|中信銀行共用"")), ""內部轉帳(忽略)"",
  AND(E351&lt;&gt;"""", F351&lt;&gt;"""", NOT(REG"&amp;"EXMATCH(C351, ""薪資""))), ""內部轉帳(忽略)"",
  REGEXMATCH(C351, ""薪資""), ""薪資變動(不計入)"",
  REGEXMATCH(C351, ""押金""), ""押金往來"",
  AND(E351&lt;&gt;"""", F351=""""), ""真實支出"",
  AND(E351="""", F351&lt;&gt;""""), ""真實收入"",
  TRUE, ""其他""
)"),"真實支出")</f>
        <v>真實支出</v>
      </c>
      <c r="K351" s="270">
        <f t="shared" si="2"/>
        <v>-2100</v>
      </c>
      <c r="L351">
        <f t="shared" si="3"/>
        <v>0</v>
      </c>
    </row>
    <row r="352">
      <c r="A352" s="107">
        <f>IFERROR(__xludf.DUMMYFUNCTION("""COMPUTED_VALUE"""),45408.0)</f>
        <v>45408</v>
      </c>
      <c r="B352" t="str">
        <f>IFERROR(__xludf.DUMMYFUNCTION("""COMPUTED_VALUE"""),"中山-大湖 黃黃費")</f>
        <v>中山-大湖 黃黃費</v>
      </c>
      <c r="C352" t="str">
        <f>IFERROR(__xludf.DUMMYFUNCTION("""COMPUTED_VALUE"""),"成本 - 進場前裝潢費")</f>
        <v>成本 - 進場前裝潢費</v>
      </c>
      <c r="D352" s="270">
        <f>IFERROR(__xludf.DUMMYFUNCTION("""COMPUTED_VALUE"""),-340.0)</f>
        <v>-340</v>
      </c>
      <c r="E352" t="str">
        <f>IFERROR(__xludf.DUMMYFUNCTION("""COMPUTED_VALUE"""),"Elsa帳戶")</f>
        <v>Elsa帳戶</v>
      </c>
      <c r="G352" t="str">
        <f>IFERROR(__xludf.DUMMYFUNCTION("""COMPUTED_VALUE"""),"大湖山莊")</f>
        <v>大湖山莊</v>
      </c>
      <c r="H352" s="106" t="str">
        <f t="shared" si="1"/>
        <v>2024-04</v>
      </c>
      <c r="I352" s="271" t="str">
        <f>IFERROR(__xludf.DUMMYFUNCTION("""COMPUTED_VALUE"""),"貓狗企鵝")</f>
        <v>貓狗企鵝</v>
      </c>
      <c r="J352" t="str">
        <f>IFERROR(__xludf.DUMMYFUNCTION("IFS(
  AND(REGEXMATCH(E352, ""台銀籌備帳戶|玉山帳戶""), REGEXMATCH(C352, ""薪資"")), ""分潤支出"",
  AND(REGEXMATCH(E352, ""Ben帳戶|Elsa帳戶|Ben代墊|Ariel代墊|中信銀行共用""), REGEXMATCH(F352, ""Ben帳戶|Elsa帳戶|Ben代墊|Ariel代墊|中信銀行共用"")), ""內部轉帳(忽略)"",
  AND(E352&lt;&gt;"""", F352&lt;&gt;"""", NOT(REG"&amp;"EXMATCH(C352, ""薪資""))), ""內部轉帳(忽略)"",
  REGEXMATCH(C352, ""薪資""), ""薪資變動(不計入)"",
  REGEXMATCH(C352, ""押金""), ""押金往來"",
  AND(E352&lt;&gt;"""", F352=""""), ""真實支出"",
  AND(E352="""", F352&lt;&gt;""""), ""真實收入"",
  TRUE, ""其他""
)"),"真實支出")</f>
        <v>真實支出</v>
      </c>
      <c r="K352" s="270">
        <f t="shared" si="2"/>
        <v>-340</v>
      </c>
      <c r="L352">
        <f t="shared" si="3"/>
        <v>0</v>
      </c>
    </row>
    <row r="353">
      <c r="A353" s="107">
        <f>IFERROR(__xludf.DUMMYFUNCTION("""COMPUTED_VALUE"""),45410.0)</f>
        <v>45410</v>
      </c>
      <c r="B353" t="str">
        <f>IFERROR(__xludf.DUMMYFUNCTION("""COMPUTED_VALUE"""),"餐卷給典蓉被衣櫃壓")</f>
        <v>餐卷給典蓉被衣櫃壓</v>
      </c>
      <c r="C353" t="str">
        <f>IFERROR(__xludf.DUMMYFUNCTION("""COMPUTED_VALUE"""),"成本 - 租後修繕")</f>
        <v>成本 - 租後修繕</v>
      </c>
      <c r="D353" s="270">
        <f>IFERROR(__xludf.DUMMYFUNCTION("""COMPUTED_VALUE"""),-1998.0)</f>
        <v>-1998</v>
      </c>
      <c r="E353" t="str">
        <f>IFERROR(__xludf.DUMMYFUNCTION("""COMPUTED_VALUE"""),"Ben帳戶")</f>
        <v>Ben帳戶</v>
      </c>
      <c r="G353" t="str">
        <f>IFERROR(__xludf.DUMMYFUNCTION("""COMPUTED_VALUE"""),"北醫醫師府")</f>
        <v>北醫醫師府</v>
      </c>
      <c r="H353" s="106" t="str">
        <f t="shared" si="1"/>
        <v>2024-04</v>
      </c>
      <c r="I353" s="271" t="str">
        <f>IFERROR(__xludf.DUMMYFUNCTION("""COMPUTED_VALUE"""),"貓狗企鵝")</f>
        <v>貓狗企鵝</v>
      </c>
      <c r="J353" t="str">
        <f>IFERROR(__xludf.DUMMYFUNCTION("IFS(
  AND(REGEXMATCH(E353, ""台銀籌備帳戶|玉山帳戶""), REGEXMATCH(C353, ""薪資"")), ""分潤支出"",
  AND(REGEXMATCH(E353, ""Ben帳戶|Elsa帳戶|Ben代墊|Ariel代墊|中信銀行共用""), REGEXMATCH(F353, ""Ben帳戶|Elsa帳戶|Ben代墊|Ariel代墊|中信銀行共用"")), ""內部轉帳(忽略)"",
  AND(E353&lt;&gt;"""", F353&lt;&gt;"""", NOT(REG"&amp;"EXMATCH(C353, ""薪資""))), ""內部轉帳(忽略)"",
  REGEXMATCH(C353, ""薪資""), ""薪資變動(不計入)"",
  REGEXMATCH(C353, ""押金""), ""押金往來"",
  AND(E353&lt;&gt;"""", F353=""""), ""真實支出"",
  AND(E353="""", F353&lt;&gt;""""), ""真實收入"",
  TRUE, ""其他""
)"),"真實支出")</f>
        <v>真實支出</v>
      </c>
      <c r="K353" s="270">
        <f t="shared" si="2"/>
        <v>-1998</v>
      </c>
      <c r="L353">
        <f t="shared" si="3"/>
        <v>0</v>
      </c>
    </row>
    <row r="354">
      <c r="A354" s="107">
        <f>IFERROR(__xludf.DUMMYFUNCTION("""COMPUTED_VALUE"""),45410.0)</f>
        <v>45410</v>
      </c>
      <c r="B354" t="str">
        <f>IFERROR(__xludf.DUMMYFUNCTION("""COMPUTED_VALUE"""),"螺絲收納")</f>
        <v>螺絲收納</v>
      </c>
      <c r="C354" t="str">
        <f>IFERROR(__xludf.DUMMYFUNCTION("""COMPUTED_VALUE"""),"成本 - 進場前裝潢費")</f>
        <v>成本 - 進場前裝潢費</v>
      </c>
      <c r="D354" s="270">
        <f>IFERROR(__xludf.DUMMYFUNCTION("""COMPUTED_VALUE"""),-250.0)</f>
        <v>-250</v>
      </c>
      <c r="E354" t="str">
        <f>IFERROR(__xludf.DUMMYFUNCTION("""COMPUTED_VALUE"""),"Ben帳戶")</f>
        <v>Ben帳戶</v>
      </c>
      <c r="G354" t="str">
        <f>IFERROR(__xludf.DUMMYFUNCTION("""COMPUTED_VALUE"""),"大湖山莊")</f>
        <v>大湖山莊</v>
      </c>
      <c r="H354" s="106" t="str">
        <f t="shared" si="1"/>
        <v>2024-04</v>
      </c>
      <c r="I354" s="271" t="str">
        <f>IFERROR(__xludf.DUMMYFUNCTION("""COMPUTED_VALUE"""),"貓狗企鵝")</f>
        <v>貓狗企鵝</v>
      </c>
      <c r="J354" t="str">
        <f>IFERROR(__xludf.DUMMYFUNCTION("IFS(
  AND(REGEXMATCH(E354, ""台銀籌備帳戶|玉山帳戶""), REGEXMATCH(C354, ""薪資"")), ""分潤支出"",
  AND(REGEXMATCH(E354, ""Ben帳戶|Elsa帳戶|Ben代墊|Ariel代墊|中信銀行共用""), REGEXMATCH(F354, ""Ben帳戶|Elsa帳戶|Ben代墊|Ariel代墊|中信銀行共用"")), ""內部轉帳(忽略)"",
  AND(E354&lt;&gt;"""", F354&lt;&gt;"""", NOT(REG"&amp;"EXMATCH(C354, ""薪資""))), ""內部轉帳(忽略)"",
  REGEXMATCH(C354, ""薪資""), ""薪資變動(不計入)"",
  REGEXMATCH(C354, ""押金""), ""押金往來"",
  AND(E354&lt;&gt;"""", F354=""""), ""真實支出"",
  AND(E354="""", F354&lt;&gt;""""), ""真實收入"",
  TRUE, ""其他""
)"),"真實支出")</f>
        <v>真實支出</v>
      </c>
      <c r="K354" s="270">
        <f t="shared" si="2"/>
        <v>-250</v>
      </c>
      <c r="L354">
        <f t="shared" si="3"/>
        <v>0</v>
      </c>
    </row>
    <row r="355">
      <c r="A355" s="107">
        <f>IFERROR(__xludf.DUMMYFUNCTION("""COMPUTED_VALUE"""),45410.0)</f>
        <v>45410</v>
      </c>
      <c r="B355" t="str">
        <f>IFERROR(__xludf.DUMMYFUNCTION("""COMPUTED_VALUE"""),"五金")</f>
        <v>五金</v>
      </c>
      <c r="C355" t="str">
        <f>IFERROR(__xludf.DUMMYFUNCTION("""COMPUTED_VALUE"""),"成本 - 進場前裝潢費")</f>
        <v>成本 - 進場前裝潢費</v>
      </c>
      <c r="D355" s="270">
        <f>IFERROR(__xludf.DUMMYFUNCTION("""COMPUTED_VALUE"""),-320.0)</f>
        <v>-320</v>
      </c>
      <c r="E355" t="str">
        <f>IFERROR(__xludf.DUMMYFUNCTION("""COMPUTED_VALUE"""),"Ben帳戶")</f>
        <v>Ben帳戶</v>
      </c>
      <c r="G355" t="str">
        <f>IFERROR(__xludf.DUMMYFUNCTION("""COMPUTED_VALUE"""),"大湖山莊")</f>
        <v>大湖山莊</v>
      </c>
      <c r="H355" s="106" t="str">
        <f t="shared" si="1"/>
        <v>2024-04</v>
      </c>
      <c r="I355" s="271" t="str">
        <f>IFERROR(__xludf.DUMMYFUNCTION("""COMPUTED_VALUE"""),"貓狗企鵝")</f>
        <v>貓狗企鵝</v>
      </c>
      <c r="J355" t="str">
        <f>IFERROR(__xludf.DUMMYFUNCTION("IFS(
  AND(REGEXMATCH(E355, ""台銀籌備帳戶|玉山帳戶""), REGEXMATCH(C355, ""薪資"")), ""分潤支出"",
  AND(REGEXMATCH(E355, ""Ben帳戶|Elsa帳戶|Ben代墊|Ariel代墊|中信銀行共用""), REGEXMATCH(F355, ""Ben帳戶|Elsa帳戶|Ben代墊|Ariel代墊|中信銀行共用"")), ""內部轉帳(忽略)"",
  AND(E355&lt;&gt;"""", F355&lt;&gt;"""", NOT(REG"&amp;"EXMATCH(C355, ""薪資""))), ""內部轉帳(忽略)"",
  REGEXMATCH(C355, ""薪資""), ""薪資變動(不計入)"",
  REGEXMATCH(C355, ""押金""), ""押金往來"",
  AND(E355&lt;&gt;"""", F355=""""), ""真實支出"",
  AND(E355="""", F355&lt;&gt;""""), ""真實收入"",
  TRUE, ""其他""
)"),"真實支出")</f>
        <v>真實支出</v>
      </c>
      <c r="K355" s="270">
        <f t="shared" si="2"/>
        <v>-320</v>
      </c>
      <c r="L355">
        <f t="shared" si="3"/>
        <v>0</v>
      </c>
    </row>
    <row r="356">
      <c r="A356" s="107">
        <f>IFERROR(__xludf.DUMMYFUNCTION("""COMPUTED_VALUE"""),45410.0)</f>
        <v>45410</v>
      </c>
      <c r="B356" t="str">
        <f>IFERROR(__xludf.DUMMYFUNCTION("""COMPUTED_VALUE"""),"搬運")</f>
        <v>搬運</v>
      </c>
      <c r="C356" t="str">
        <f>IFERROR(__xludf.DUMMYFUNCTION("""COMPUTED_VALUE"""),"成本 - 進場前裝潢費")</f>
        <v>成本 - 進場前裝潢費</v>
      </c>
      <c r="D356" s="270">
        <f>IFERROR(__xludf.DUMMYFUNCTION("""COMPUTED_VALUE"""),-900.0)</f>
        <v>-900</v>
      </c>
      <c r="E356" t="str">
        <f>IFERROR(__xludf.DUMMYFUNCTION("""COMPUTED_VALUE"""),"Elsa帳戶")</f>
        <v>Elsa帳戶</v>
      </c>
      <c r="G356" t="str">
        <f>IFERROR(__xludf.DUMMYFUNCTION("""COMPUTED_VALUE"""),"大湖山莊")</f>
        <v>大湖山莊</v>
      </c>
      <c r="H356" s="106" t="str">
        <f t="shared" si="1"/>
        <v>2024-04</v>
      </c>
      <c r="I356" s="271" t="str">
        <f>IFERROR(__xludf.DUMMYFUNCTION("""COMPUTED_VALUE"""),"貓狗企鵝")</f>
        <v>貓狗企鵝</v>
      </c>
      <c r="J356" t="str">
        <f>IFERROR(__xludf.DUMMYFUNCTION("IFS(
  AND(REGEXMATCH(E356, ""台銀籌備帳戶|玉山帳戶""), REGEXMATCH(C356, ""薪資"")), ""分潤支出"",
  AND(REGEXMATCH(E356, ""Ben帳戶|Elsa帳戶|Ben代墊|Ariel代墊|中信銀行共用""), REGEXMATCH(F356, ""Ben帳戶|Elsa帳戶|Ben代墊|Ariel代墊|中信銀行共用"")), ""內部轉帳(忽略)"",
  AND(E356&lt;&gt;"""", F356&lt;&gt;"""", NOT(REG"&amp;"EXMATCH(C356, ""薪資""))), ""內部轉帳(忽略)"",
  REGEXMATCH(C356, ""薪資""), ""薪資變動(不計入)"",
  REGEXMATCH(C356, ""押金""), ""押金往來"",
  AND(E356&lt;&gt;"""", F356=""""), ""真實支出"",
  AND(E356="""", F356&lt;&gt;""""), ""真實收入"",
  TRUE, ""其他""
)"),"真實支出")</f>
        <v>真實支出</v>
      </c>
      <c r="K356" s="270">
        <f t="shared" si="2"/>
        <v>-900</v>
      </c>
      <c r="L356">
        <f t="shared" si="3"/>
        <v>0</v>
      </c>
    </row>
    <row r="357">
      <c r="A357" s="107">
        <f>IFERROR(__xludf.DUMMYFUNCTION("""COMPUTED_VALUE"""),45412.0)</f>
        <v>45412</v>
      </c>
      <c r="B357" t="str">
        <f>IFERROR(__xludf.DUMMYFUNCTION("""COMPUTED_VALUE"""),"國稅局")</f>
        <v>國稅局</v>
      </c>
      <c r="C357" t="str">
        <f>IFERROR(__xludf.DUMMYFUNCTION("""COMPUTED_VALUE"""),"收入 - 政府補助/退稅")</f>
        <v>收入 - 政府補助/退稅</v>
      </c>
      <c r="D357" s="270">
        <f>IFERROR(__xludf.DUMMYFUNCTION("""COMPUTED_VALUE"""),1200.0)</f>
        <v>1200</v>
      </c>
      <c r="F357" t="str">
        <f>IFERROR(__xludf.DUMMYFUNCTION("""COMPUTED_VALUE"""),"台銀籌備帳戶")</f>
        <v>台銀籌備帳戶</v>
      </c>
      <c r="G357" t="str">
        <f>IFERROR(__xludf.DUMMYFUNCTION("""COMPUTED_VALUE"""),"北醫醫師府")</f>
        <v>北醫醫師府</v>
      </c>
      <c r="H357" s="106" t="str">
        <f t="shared" si="1"/>
        <v>2024-04</v>
      </c>
      <c r="I357" s="271" t="str">
        <f>IFERROR(__xludf.DUMMYFUNCTION("""COMPUTED_VALUE"""),"貓狗企鵝")</f>
        <v>貓狗企鵝</v>
      </c>
      <c r="J357" t="str">
        <f>IFERROR(__xludf.DUMMYFUNCTION("IFS(
  AND(REGEXMATCH(E357, ""台銀籌備帳戶|玉山帳戶""), REGEXMATCH(C357, ""薪資"")), ""分潤支出"",
  AND(REGEXMATCH(E357, ""Ben帳戶|Elsa帳戶|Ben代墊|Ariel代墊|中信銀行共用""), REGEXMATCH(F357, ""Ben帳戶|Elsa帳戶|Ben代墊|Ariel代墊|中信銀行共用"")), ""內部轉帳(忽略)"",
  AND(E357&lt;&gt;"""", F357&lt;&gt;"""", NOT(REG"&amp;"EXMATCH(C357, ""薪資""))), ""內部轉帳(忽略)"",
  REGEXMATCH(C357, ""薪資""), ""薪資變動(不計入)"",
  REGEXMATCH(C357, ""押金""), ""押金往來"",
  AND(E357&lt;&gt;"""", F357=""""), ""真實支出"",
  AND(E357="""", F357&lt;&gt;""""), ""真實收入"",
  TRUE, ""其他""
)"),"真實收入")</f>
        <v>真實收入</v>
      </c>
      <c r="K357" s="270">
        <f t="shared" si="2"/>
        <v>1200</v>
      </c>
      <c r="L357">
        <f t="shared" si="3"/>
        <v>0</v>
      </c>
    </row>
    <row r="358">
      <c r="A358" s="107">
        <f>IFERROR(__xludf.DUMMYFUNCTION("""COMPUTED_VALUE"""),45412.0)</f>
        <v>45412</v>
      </c>
      <c r="B358" t="str">
        <f>IFERROR(__xludf.DUMMYFUNCTION("""COMPUTED_VALUE"""),"國稅局")</f>
        <v>國稅局</v>
      </c>
      <c r="C358" t="str">
        <f>IFERROR(__xludf.DUMMYFUNCTION("""COMPUTED_VALUE"""),"收入 - 政府補助/退稅")</f>
        <v>收入 - 政府補助/退稅</v>
      </c>
      <c r="D358" s="270">
        <f>IFERROR(__xludf.DUMMYFUNCTION("""COMPUTED_VALUE"""),1200.0)</f>
        <v>1200</v>
      </c>
      <c r="F358" t="str">
        <f>IFERROR(__xludf.DUMMYFUNCTION("""COMPUTED_VALUE"""),"台銀籌備帳戶")</f>
        <v>台銀籌備帳戶</v>
      </c>
      <c r="G358" t="str">
        <f>IFERROR(__xludf.DUMMYFUNCTION("""COMPUTED_VALUE"""),"北醫醫師府")</f>
        <v>北醫醫師府</v>
      </c>
      <c r="H358" s="106" t="str">
        <f t="shared" si="1"/>
        <v>2024-04</v>
      </c>
      <c r="I358" s="271" t="str">
        <f>IFERROR(__xludf.DUMMYFUNCTION("""COMPUTED_VALUE"""),"貓狗企鵝")</f>
        <v>貓狗企鵝</v>
      </c>
      <c r="J358" t="str">
        <f>IFERROR(__xludf.DUMMYFUNCTION("IFS(
  AND(REGEXMATCH(E358, ""台銀籌備帳戶|玉山帳戶""), REGEXMATCH(C358, ""薪資"")), ""分潤支出"",
  AND(REGEXMATCH(E358, ""Ben帳戶|Elsa帳戶|Ben代墊|Ariel代墊|中信銀行共用""), REGEXMATCH(F358, ""Ben帳戶|Elsa帳戶|Ben代墊|Ariel代墊|中信銀行共用"")), ""內部轉帳(忽略)"",
  AND(E358&lt;&gt;"""", F358&lt;&gt;"""", NOT(REG"&amp;"EXMATCH(C358, ""薪資""))), ""內部轉帳(忽略)"",
  REGEXMATCH(C358, ""薪資""), ""薪資變動(不計入)"",
  REGEXMATCH(C358, ""押金""), ""押金往來"",
  AND(E358&lt;&gt;"""", F358=""""), ""真實支出"",
  AND(E358="""", F358&lt;&gt;""""), ""真實收入"",
  TRUE, ""其他""
)"),"真實收入")</f>
        <v>真實收入</v>
      </c>
      <c r="K358" s="270">
        <f t="shared" si="2"/>
        <v>1200</v>
      </c>
      <c r="L358">
        <f t="shared" si="3"/>
        <v>0</v>
      </c>
    </row>
    <row r="359">
      <c r="A359" s="107">
        <f>IFERROR(__xludf.DUMMYFUNCTION("""COMPUTED_VALUE"""),45412.0)</f>
        <v>45412</v>
      </c>
      <c r="B359" t="str">
        <f>IFERROR(__xludf.DUMMYFUNCTION("""COMPUTED_VALUE"""),"哈拉對面D 柳")</f>
        <v>哈拉對面D 柳</v>
      </c>
      <c r="C359" t="str">
        <f>IFERROR(__xludf.DUMMYFUNCTION("""COMPUTED_VALUE"""),"收入 - 租金")</f>
        <v>收入 - 租金</v>
      </c>
      <c r="D359" s="270">
        <f>IFERROR(__xludf.DUMMYFUNCTION("""COMPUTED_VALUE"""),12300.0)</f>
        <v>12300</v>
      </c>
      <c r="F359" t="str">
        <f>IFERROR(__xludf.DUMMYFUNCTION("""COMPUTED_VALUE"""),"台銀籌備帳戶")</f>
        <v>台銀籌備帳戶</v>
      </c>
      <c r="G359" t="str">
        <f>IFERROR(__xludf.DUMMYFUNCTION("""COMPUTED_VALUE"""),"哈拉對面")</f>
        <v>哈拉對面</v>
      </c>
      <c r="H359" s="106" t="str">
        <f t="shared" si="1"/>
        <v>2024-04</v>
      </c>
      <c r="I359" s="271" t="str">
        <f>IFERROR(__xludf.DUMMYFUNCTION("""COMPUTED_VALUE"""),"貓狗企鵝")</f>
        <v>貓狗企鵝</v>
      </c>
      <c r="J359" t="str">
        <f>IFERROR(__xludf.DUMMYFUNCTION("IFS(
  AND(REGEXMATCH(E359, ""台銀籌備帳戶|玉山帳戶""), REGEXMATCH(C359, ""薪資"")), ""分潤支出"",
  AND(REGEXMATCH(E359, ""Ben帳戶|Elsa帳戶|Ben代墊|Ariel代墊|中信銀行共用""), REGEXMATCH(F359, ""Ben帳戶|Elsa帳戶|Ben代墊|Ariel代墊|中信銀行共用"")), ""內部轉帳(忽略)"",
  AND(E359&lt;&gt;"""", F359&lt;&gt;"""", NOT(REG"&amp;"EXMATCH(C359, ""薪資""))), ""內部轉帳(忽略)"",
  REGEXMATCH(C359, ""薪資""), ""薪資變動(不計入)"",
  REGEXMATCH(C359, ""押金""), ""押金往來"",
  AND(E359&lt;&gt;"""", F359=""""), ""真實支出"",
  AND(E359="""", F359&lt;&gt;""""), ""真實收入"",
  TRUE, ""其他""
)"),"真實收入")</f>
        <v>真實收入</v>
      </c>
      <c r="K359" s="270">
        <f t="shared" si="2"/>
        <v>12300</v>
      </c>
      <c r="L359">
        <f t="shared" si="3"/>
        <v>0</v>
      </c>
    </row>
    <row r="360">
      <c r="A360" s="107">
        <f>IFERROR(__xludf.DUMMYFUNCTION("""COMPUTED_VALUE"""),45413.0)</f>
        <v>45413</v>
      </c>
      <c r="B360" t="str">
        <f>IFERROR(__xludf.DUMMYFUNCTION("""COMPUTED_VALUE"""),"燈泡軟管")</f>
        <v>燈泡軟管</v>
      </c>
      <c r="C360" t="str">
        <f>IFERROR(__xludf.DUMMYFUNCTION("""COMPUTED_VALUE"""),"成本 - 進場前裝潢費")</f>
        <v>成本 - 進場前裝潢費</v>
      </c>
      <c r="D360" s="270">
        <f>IFERROR(__xludf.DUMMYFUNCTION("""COMPUTED_VALUE"""),-580.0)</f>
        <v>-580</v>
      </c>
      <c r="E360" t="str">
        <f>IFERROR(__xludf.DUMMYFUNCTION("""COMPUTED_VALUE"""),"Ben帳戶")</f>
        <v>Ben帳戶</v>
      </c>
      <c r="G360" t="str">
        <f>IFERROR(__xludf.DUMMYFUNCTION("""COMPUTED_VALUE"""),"大湖山莊")</f>
        <v>大湖山莊</v>
      </c>
      <c r="H360" s="106" t="str">
        <f t="shared" si="1"/>
        <v>2024-05</v>
      </c>
      <c r="I360" s="271" t="str">
        <f>IFERROR(__xludf.DUMMYFUNCTION("""COMPUTED_VALUE"""),"貓狗企鵝")</f>
        <v>貓狗企鵝</v>
      </c>
      <c r="J360" t="str">
        <f>IFERROR(__xludf.DUMMYFUNCTION("IFS(
  AND(REGEXMATCH(E360, ""台銀籌備帳戶|玉山帳戶""), REGEXMATCH(C360, ""薪資"")), ""分潤支出"",
  AND(REGEXMATCH(E360, ""Ben帳戶|Elsa帳戶|Ben代墊|Ariel代墊|中信銀行共用""), REGEXMATCH(F360, ""Ben帳戶|Elsa帳戶|Ben代墊|Ariel代墊|中信銀行共用"")), ""內部轉帳(忽略)"",
  AND(E360&lt;&gt;"""", F360&lt;&gt;"""", NOT(REG"&amp;"EXMATCH(C360, ""薪資""))), ""內部轉帳(忽略)"",
  REGEXMATCH(C360, ""薪資""), ""薪資變動(不計入)"",
  REGEXMATCH(C360, ""押金""), ""押金往來"",
  AND(E360&lt;&gt;"""", F360=""""), ""真實支出"",
  AND(E360="""", F360&lt;&gt;""""), ""真實收入"",
  TRUE, ""其他""
)"),"真實支出")</f>
        <v>真實支出</v>
      </c>
      <c r="K360" s="270">
        <f t="shared" si="2"/>
        <v>-580</v>
      </c>
      <c r="L360">
        <f t="shared" si="3"/>
        <v>0</v>
      </c>
    </row>
    <row r="361">
      <c r="A361" s="107">
        <f>IFERROR(__xludf.DUMMYFUNCTION("""COMPUTED_VALUE"""),45413.0)</f>
        <v>45413</v>
      </c>
      <c r="B361" t="str">
        <f>IFERROR(__xludf.DUMMYFUNCTION("""COMPUTED_VALUE"""),"大湖垃圾袋收(到2024/12)")</f>
        <v>大湖垃圾袋收(到2024/12)</v>
      </c>
      <c r="C361" t="str">
        <f>IFERROR(__xludf.DUMMYFUNCTION("""COMPUTED_VALUE"""),"成本 - 進場前裝潢費")</f>
        <v>成本 - 進場前裝潢費</v>
      </c>
      <c r="D361" s="270">
        <f>IFERROR(__xludf.DUMMYFUNCTION("""COMPUTED_VALUE"""),-2250.0)</f>
        <v>-2250</v>
      </c>
      <c r="E361" t="str">
        <f>IFERROR(__xludf.DUMMYFUNCTION("""COMPUTED_VALUE"""),"Ben帳戶")</f>
        <v>Ben帳戶</v>
      </c>
      <c r="G361" t="str">
        <f>IFERROR(__xludf.DUMMYFUNCTION("""COMPUTED_VALUE"""),"大湖山莊")</f>
        <v>大湖山莊</v>
      </c>
      <c r="H361" s="106" t="str">
        <f t="shared" si="1"/>
        <v>2024-05</v>
      </c>
      <c r="I361" s="271" t="str">
        <f>IFERROR(__xludf.DUMMYFUNCTION("""COMPUTED_VALUE"""),"貓狗企鵝")</f>
        <v>貓狗企鵝</v>
      </c>
      <c r="J361" t="str">
        <f>IFERROR(__xludf.DUMMYFUNCTION("IFS(
  AND(REGEXMATCH(E361, ""台銀籌備帳戶|玉山帳戶""), REGEXMATCH(C361, ""薪資"")), ""分潤支出"",
  AND(REGEXMATCH(E361, ""Ben帳戶|Elsa帳戶|Ben代墊|Ariel代墊|中信銀行共用""), REGEXMATCH(F361, ""Ben帳戶|Elsa帳戶|Ben代墊|Ariel代墊|中信銀行共用"")), ""內部轉帳(忽略)"",
  AND(E361&lt;&gt;"""", F361&lt;&gt;"""", NOT(REG"&amp;"EXMATCH(C361, ""薪資""))), ""內部轉帳(忽略)"",
  REGEXMATCH(C361, ""薪資""), ""薪資變動(不計入)"",
  REGEXMATCH(C361, ""押金""), ""押金往來"",
  AND(E361&lt;&gt;"""", F361=""""), ""真實支出"",
  AND(E361="""", F361&lt;&gt;""""), ""真實收入"",
  TRUE, ""其他""
)"),"真實支出")</f>
        <v>真實支出</v>
      </c>
      <c r="K361" s="270">
        <f t="shared" si="2"/>
        <v>-2250</v>
      </c>
      <c r="L361">
        <f t="shared" si="3"/>
        <v>0</v>
      </c>
    </row>
    <row r="362">
      <c r="A362" s="107">
        <f>IFERROR(__xludf.DUMMYFUNCTION("""COMPUTED_VALUE"""),45413.0)</f>
        <v>45413</v>
      </c>
      <c r="B362" t="str">
        <f>IFERROR(__xludf.DUMMYFUNCTION("""COMPUTED_VALUE"""),"枕頭棉被循環扇")</f>
        <v>枕頭棉被循環扇</v>
      </c>
      <c r="C362" t="str">
        <f>IFERROR(__xludf.DUMMYFUNCTION("""COMPUTED_VALUE"""),"成本 - 進場前裝潢費")</f>
        <v>成本 - 進場前裝潢費</v>
      </c>
      <c r="D362" s="270">
        <f>IFERROR(__xludf.DUMMYFUNCTION("""COMPUTED_VALUE"""),-2995.0)</f>
        <v>-2995</v>
      </c>
      <c r="E362" t="str">
        <f>IFERROR(__xludf.DUMMYFUNCTION("""COMPUTED_VALUE"""),"Ben帳戶")</f>
        <v>Ben帳戶</v>
      </c>
      <c r="G362" t="str">
        <f>IFERROR(__xludf.DUMMYFUNCTION("""COMPUTED_VALUE"""),"大湖山莊")</f>
        <v>大湖山莊</v>
      </c>
      <c r="H362" s="106" t="str">
        <f t="shared" si="1"/>
        <v>2024-05</v>
      </c>
      <c r="I362" s="271" t="str">
        <f>IFERROR(__xludf.DUMMYFUNCTION("""COMPUTED_VALUE"""),"貓狗企鵝")</f>
        <v>貓狗企鵝</v>
      </c>
      <c r="J362" t="str">
        <f>IFERROR(__xludf.DUMMYFUNCTION("IFS(
  AND(REGEXMATCH(E362, ""台銀籌備帳戶|玉山帳戶""), REGEXMATCH(C362, ""薪資"")), ""分潤支出"",
  AND(REGEXMATCH(E362, ""Ben帳戶|Elsa帳戶|Ben代墊|Ariel代墊|中信銀行共用""), REGEXMATCH(F362, ""Ben帳戶|Elsa帳戶|Ben代墊|Ariel代墊|中信銀行共用"")), ""內部轉帳(忽略)"",
  AND(E362&lt;&gt;"""", F362&lt;&gt;"""", NOT(REG"&amp;"EXMATCH(C362, ""薪資""))), ""內部轉帳(忽略)"",
  REGEXMATCH(C362, ""薪資""), ""薪資變動(不計入)"",
  REGEXMATCH(C362, ""押金""), ""押金往來"",
  AND(E362&lt;&gt;"""", F362=""""), ""真實支出"",
  AND(E362="""", F362&lt;&gt;""""), ""真實收入"",
  TRUE, ""其他""
)"),"真實支出")</f>
        <v>真實支出</v>
      </c>
      <c r="K362" s="270">
        <f t="shared" si="2"/>
        <v>-2995</v>
      </c>
      <c r="L362">
        <f t="shared" si="3"/>
        <v>0</v>
      </c>
    </row>
    <row r="363">
      <c r="A363" s="107">
        <f>IFERROR(__xludf.DUMMYFUNCTION("""COMPUTED_VALUE"""),45413.0)</f>
        <v>45413</v>
      </c>
      <c r="B363" t="str">
        <f>IFERROR(__xludf.DUMMYFUNCTION("""COMPUTED_VALUE"""),"永春四號C林聿妡")</f>
        <v>永春四號C林聿妡</v>
      </c>
      <c r="C363" t="str">
        <f>IFERROR(__xludf.DUMMYFUNCTION("""COMPUTED_VALUE"""),"收入 - 租金")</f>
        <v>收入 - 租金</v>
      </c>
      <c r="D363" s="270">
        <f>IFERROR(__xludf.DUMMYFUNCTION("""COMPUTED_VALUE"""),13300.0)</f>
        <v>13300</v>
      </c>
      <c r="F363" t="str">
        <f>IFERROR(__xludf.DUMMYFUNCTION("""COMPUTED_VALUE"""),"台銀籌備帳戶")</f>
        <v>台銀籌備帳戶</v>
      </c>
      <c r="G363" t="str">
        <f>IFERROR(__xludf.DUMMYFUNCTION("""COMPUTED_VALUE"""),"永春四號")</f>
        <v>永春四號</v>
      </c>
      <c r="H363" s="106" t="str">
        <f t="shared" si="1"/>
        <v>2024-05</v>
      </c>
      <c r="I363" s="271" t="str">
        <f>IFERROR(__xludf.DUMMYFUNCTION("""COMPUTED_VALUE"""),"貓狗企鵝")</f>
        <v>貓狗企鵝</v>
      </c>
      <c r="J363" t="str">
        <f>IFERROR(__xludf.DUMMYFUNCTION("IFS(
  AND(REGEXMATCH(E363, ""台銀籌備帳戶|玉山帳戶""), REGEXMATCH(C363, ""薪資"")), ""分潤支出"",
  AND(REGEXMATCH(E363, ""Ben帳戶|Elsa帳戶|Ben代墊|Ariel代墊|中信銀行共用""), REGEXMATCH(F363, ""Ben帳戶|Elsa帳戶|Ben代墊|Ariel代墊|中信銀行共用"")), ""內部轉帳(忽略)"",
  AND(E363&lt;&gt;"""", F363&lt;&gt;"""", NOT(REG"&amp;"EXMATCH(C363, ""薪資""))), ""內部轉帳(忽略)"",
  REGEXMATCH(C363, ""薪資""), ""薪資變動(不計入)"",
  REGEXMATCH(C363, ""押金""), ""押金往來"",
  AND(E363&lt;&gt;"""", F363=""""), ""真實支出"",
  AND(E363="""", F363&lt;&gt;""""), ""真實收入"",
  TRUE, ""其他""
)"),"真實收入")</f>
        <v>真實收入</v>
      </c>
      <c r="K363" s="270">
        <f t="shared" si="2"/>
        <v>13300</v>
      </c>
      <c r="L363">
        <f t="shared" si="3"/>
        <v>0</v>
      </c>
    </row>
    <row r="364">
      <c r="A364" s="107">
        <f>IFERROR(__xludf.DUMMYFUNCTION("""COMPUTED_VALUE"""),45413.0)</f>
        <v>45413</v>
      </c>
      <c r="B364" t="str">
        <f>IFERROR(__xludf.DUMMYFUNCTION("""COMPUTED_VALUE"""),"龍江229A莊美娟")</f>
        <v>龍江229A莊美娟</v>
      </c>
      <c r="C364" t="str">
        <f>IFERROR(__xludf.DUMMYFUNCTION("""COMPUTED_VALUE"""),"收入 - 租金")</f>
        <v>收入 - 租金</v>
      </c>
      <c r="D364" s="270">
        <f>IFERROR(__xludf.DUMMYFUNCTION("""COMPUTED_VALUE"""),12800.0)</f>
        <v>12800</v>
      </c>
      <c r="F364" t="str">
        <f>IFERROR(__xludf.DUMMYFUNCTION("""COMPUTED_VALUE"""),"台銀籌備帳戶")</f>
        <v>台銀籌備帳戶</v>
      </c>
      <c r="G364" t="str">
        <f>IFERROR(__xludf.DUMMYFUNCTION("""COMPUTED_VALUE"""),"龍江229")</f>
        <v>龍江229</v>
      </c>
      <c r="H364" s="106" t="str">
        <f t="shared" si="1"/>
        <v>2024-05</v>
      </c>
      <c r="I364" s="271" t="str">
        <f>IFERROR(__xludf.DUMMYFUNCTION("""COMPUTED_VALUE"""),"貓狗企鵝")</f>
        <v>貓狗企鵝</v>
      </c>
      <c r="J364" t="str">
        <f>IFERROR(__xludf.DUMMYFUNCTION("IFS(
  AND(REGEXMATCH(E364, ""台銀籌備帳戶|玉山帳戶""), REGEXMATCH(C364, ""薪資"")), ""分潤支出"",
  AND(REGEXMATCH(E364, ""Ben帳戶|Elsa帳戶|Ben代墊|Ariel代墊|中信銀行共用""), REGEXMATCH(F364, ""Ben帳戶|Elsa帳戶|Ben代墊|Ariel代墊|中信銀行共用"")), ""內部轉帳(忽略)"",
  AND(E364&lt;&gt;"""", F364&lt;&gt;"""", NOT(REG"&amp;"EXMATCH(C364, ""薪資""))), ""內部轉帳(忽略)"",
  REGEXMATCH(C364, ""薪資""), ""薪資變動(不計入)"",
  REGEXMATCH(C364, ""押金""), ""押金往來"",
  AND(E364&lt;&gt;"""", F364=""""), ""真實支出"",
  AND(E364="""", F364&lt;&gt;""""), ""真實收入"",
  TRUE, ""其他""
)"),"真實收入")</f>
        <v>真實收入</v>
      </c>
      <c r="K364" s="270">
        <f t="shared" si="2"/>
        <v>12800</v>
      </c>
      <c r="L364">
        <f t="shared" si="3"/>
        <v>0</v>
      </c>
    </row>
    <row r="365">
      <c r="A365" s="107">
        <f>IFERROR(__xludf.DUMMYFUNCTION("""COMPUTED_VALUE"""),45413.0)</f>
        <v>45413</v>
      </c>
      <c r="B365" t="str">
        <f>IFERROR(__xludf.DUMMYFUNCTION("""COMPUTED_VALUE"""),"永春郭大哥")</f>
        <v>永春郭大哥</v>
      </c>
      <c r="C365" t="str">
        <f>IFERROR(__xludf.DUMMYFUNCTION("""COMPUTED_VALUE"""),"成本 - 大租金")</f>
        <v>成本 - 大租金</v>
      </c>
      <c r="D365" s="270">
        <f>IFERROR(__xludf.DUMMYFUNCTION("""COMPUTED_VALUE"""),-17015.0)</f>
        <v>-17015</v>
      </c>
      <c r="E365" t="str">
        <f>IFERROR(__xludf.DUMMYFUNCTION("""COMPUTED_VALUE"""),"台銀籌備帳戶")</f>
        <v>台銀籌備帳戶</v>
      </c>
      <c r="G365" t="str">
        <f>IFERROR(__xludf.DUMMYFUNCTION("""COMPUTED_VALUE"""),"永春四號")</f>
        <v>永春四號</v>
      </c>
      <c r="H365" s="106" t="str">
        <f t="shared" si="1"/>
        <v>2024-05</v>
      </c>
      <c r="I365" s="271" t="str">
        <f>IFERROR(__xludf.DUMMYFUNCTION("""COMPUTED_VALUE"""),"貓狗企鵝")</f>
        <v>貓狗企鵝</v>
      </c>
      <c r="J365" t="str">
        <f>IFERROR(__xludf.DUMMYFUNCTION("IFS(
  AND(REGEXMATCH(E365, ""台銀籌備帳戶|玉山帳戶""), REGEXMATCH(C365, ""薪資"")), ""分潤支出"",
  AND(REGEXMATCH(E365, ""Ben帳戶|Elsa帳戶|Ben代墊|Ariel代墊|中信銀行共用""), REGEXMATCH(F365, ""Ben帳戶|Elsa帳戶|Ben代墊|Ariel代墊|中信銀行共用"")), ""內部轉帳(忽略)"",
  AND(E365&lt;&gt;"""", F365&lt;&gt;"""", NOT(REG"&amp;"EXMATCH(C365, ""薪資""))), ""內部轉帳(忽略)"",
  REGEXMATCH(C365, ""薪資""), ""薪資變動(不計入)"",
  REGEXMATCH(C365, ""押金""), ""押金往來"",
  AND(E365&lt;&gt;"""", F365=""""), ""真實支出"",
  AND(E365="""", F365&lt;&gt;""""), ""真實收入"",
  TRUE, ""其他""
)"),"真實支出")</f>
        <v>真實支出</v>
      </c>
      <c r="K365" s="270">
        <f t="shared" si="2"/>
        <v>-17015</v>
      </c>
      <c r="L365">
        <f t="shared" si="3"/>
        <v>0</v>
      </c>
    </row>
    <row r="366">
      <c r="A366" s="107">
        <f>IFERROR(__xludf.DUMMYFUNCTION("""COMPUTED_VALUE"""),45413.0)</f>
        <v>45413</v>
      </c>
      <c r="B366" t="str">
        <f>IFERROR(__xludf.DUMMYFUNCTION("""COMPUTED_VALUE"""),"永春郭大哥")</f>
        <v>永春郭大哥</v>
      </c>
      <c r="C366" t="str">
        <f>IFERROR(__xludf.DUMMYFUNCTION("""COMPUTED_VALUE"""),"成本 - 大租金")</f>
        <v>成本 - 大租金</v>
      </c>
      <c r="D366" s="270">
        <f>IFERROR(__xludf.DUMMYFUNCTION("""COMPUTED_VALUE"""),-17015.0)</f>
        <v>-17015</v>
      </c>
      <c r="E366" t="str">
        <f>IFERROR(__xludf.DUMMYFUNCTION("""COMPUTED_VALUE"""),"台銀籌備帳戶")</f>
        <v>台銀籌備帳戶</v>
      </c>
      <c r="G366" t="str">
        <f>IFERROR(__xludf.DUMMYFUNCTION("""COMPUTED_VALUE"""),"永春四號")</f>
        <v>永春四號</v>
      </c>
      <c r="H366" s="106" t="str">
        <f t="shared" si="1"/>
        <v>2024-05</v>
      </c>
      <c r="I366" s="271" t="str">
        <f>IFERROR(__xludf.DUMMYFUNCTION("""COMPUTED_VALUE"""),"貓狗企鵝")</f>
        <v>貓狗企鵝</v>
      </c>
      <c r="J366" t="str">
        <f>IFERROR(__xludf.DUMMYFUNCTION("IFS(
  AND(REGEXMATCH(E366, ""台銀籌備帳戶|玉山帳戶""), REGEXMATCH(C366, ""薪資"")), ""分潤支出"",
  AND(REGEXMATCH(E366, ""Ben帳戶|Elsa帳戶|Ben代墊|Ariel代墊|中信銀行共用""), REGEXMATCH(F366, ""Ben帳戶|Elsa帳戶|Ben代墊|Ariel代墊|中信銀行共用"")), ""內部轉帳(忽略)"",
  AND(E366&lt;&gt;"""", F366&lt;&gt;"""", NOT(REG"&amp;"EXMATCH(C366, ""薪資""))), ""內部轉帳(忽略)"",
  REGEXMATCH(C366, ""薪資""), ""薪資變動(不計入)"",
  REGEXMATCH(C366, ""押金""), ""押金往來"",
  AND(E366&lt;&gt;"""", F366=""""), ""真實支出"",
  AND(E366="""", F366&lt;&gt;""""), ""真實收入"",
  TRUE, ""其他""
)"),"真實支出")</f>
        <v>真實支出</v>
      </c>
      <c r="K366" s="270">
        <f t="shared" si="2"/>
        <v>-17015</v>
      </c>
      <c r="L366">
        <f t="shared" si="3"/>
        <v>0</v>
      </c>
    </row>
    <row r="367">
      <c r="A367" s="107">
        <f>IFERROR(__xludf.DUMMYFUNCTION("""COMPUTED_VALUE"""),45413.0)</f>
        <v>45413</v>
      </c>
      <c r="B367" t="str">
        <f>IFERROR(__xludf.DUMMYFUNCTION("""COMPUTED_VALUE"""),"龍江229游r")</f>
        <v>龍江229游r</v>
      </c>
      <c r="C367" t="str">
        <f>IFERROR(__xludf.DUMMYFUNCTION("""COMPUTED_VALUE"""),"成本 - 大租金")</f>
        <v>成本 - 大租金</v>
      </c>
      <c r="D367" s="270">
        <f>IFERROR(__xludf.DUMMYFUNCTION("""COMPUTED_VALUE"""),-24345.0)</f>
        <v>-24345</v>
      </c>
      <c r="E367" t="str">
        <f>IFERROR(__xludf.DUMMYFUNCTION("""COMPUTED_VALUE"""),"台銀籌備帳戶")</f>
        <v>台銀籌備帳戶</v>
      </c>
      <c r="G367" t="str">
        <f>IFERROR(__xludf.DUMMYFUNCTION("""COMPUTED_VALUE"""),"龍江229")</f>
        <v>龍江229</v>
      </c>
      <c r="H367" s="106" t="str">
        <f t="shared" si="1"/>
        <v>2024-05</v>
      </c>
      <c r="I367" s="271" t="str">
        <f>IFERROR(__xludf.DUMMYFUNCTION("""COMPUTED_VALUE"""),"貓狗企鵝")</f>
        <v>貓狗企鵝</v>
      </c>
      <c r="J367" t="str">
        <f>IFERROR(__xludf.DUMMYFUNCTION("IFS(
  AND(REGEXMATCH(E367, ""台銀籌備帳戶|玉山帳戶""), REGEXMATCH(C367, ""薪資"")), ""分潤支出"",
  AND(REGEXMATCH(E367, ""Ben帳戶|Elsa帳戶|Ben代墊|Ariel代墊|中信銀行共用""), REGEXMATCH(F367, ""Ben帳戶|Elsa帳戶|Ben代墊|Ariel代墊|中信銀行共用"")), ""內部轉帳(忽略)"",
  AND(E367&lt;&gt;"""", F367&lt;&gt;"""", NOT(REG"&amp;"EXMATCH(C367, ""薪資""))), ""內部轉帳(忽略)"",
  REGEXMATCH(C367, ""薪資""), ""薪資變動(不計入)"",
  REGEXMATCH(C367, ""押金""), ""押金往來"",
  AND(E367&lt;&gt;"""", F367=""""), ""真實支出"",
  AND(E367="""", F367&lt;&gt;""""), ""真實收入"",
  TRUE, ""其他""
)"),"真實支出")</f>
        <v>真實支出</v>
      </c>
      <c r="K367" s="270">
        <f t="shared" si="2"/>
        <v>-24345</v>
      </c>
      <c r="L367">
        <f t="shared" si="3"/>
        <v>0</v>
      </c>
    </row>
    <row r="368">
      <c r="A368" s="107">
        <f>IFERROR(__xludf.DUMMYFUNCTION("""COMPUTED_VALUE"""),45413.0)</f>
        <v>45413</v>
      </c>
      <c r="B368" t="str">
        <f>IFERROR(__xludf.DUMMYFUNCTION("""COMPUTED_VALUE"""),"哈拉房租")</f>
        <v>哈拉房租</v>
      </c>
      <c r="C368" t="str">
        <f>IFERROR(__xludf.DUMMYFUNCTION("""COMPUTED_VALUE"""),"成本 - 大租金")</f>
        <v>成本 - 大租金</v>
      </c>
      <c r="D368" s="270">
        <f>IFERROR(__xludf.DUMMYFUNCTION("""COMPUTED_VALUE"""),-25466.0)</f>
        <v>-25466</v>
      </c>
      <c r="E368" t="str">
        <f>IFERROR(__xludf.DUMMYFUNCTION("""COMPUTED_VALUE"""),"台銀籌備帳戶")</f>
        <v>台銀籌備帳戶</v>
      </c>
      <c r="G368" t="str">
        <f>IFERROR(__xludf.DUMMYFUNCTION("""COMPUTED_VALUE"""),"哈拉對面")</f>
        <v>哈拉對面</v>
      </c>
      <c r="H368" s="106" t="str">
        <f t="shared" si="1"/>
        <v>2024-05</v>
      </c>
      <c r="I368" s="271" t="str">
        <f>IFERROR(__xludf.DUMMYFUNCTION("""COMPUTED_VALUE"""),"貓狗企鵝")</f>
        <v>貓狗企鵝</v>
      </c>
      <c r="J368" t="str">
        <f>IFERROR(__xludf.DUMMYFUNCTION("IFS(
  AND(REGEXMATCH(E368, ""台銀籌備帳戶|玉山帳戶""), REGEXMATCH(C368, ""薪資"")), ""分潤支出"",
  AND(REGEXMATCH(E368, ""Ben帳戶|Elsa帳戶|Ben代墊|Ariel代墊|中信銀行共用""), REGEXMATCH(F368, ""Ben帳戶|Elsa帳戶|Ben代墊|Ariel代墊|中信銀行共用"")), ""內部轉帳(忽略)"",
  AND(E368&lt;&gt;"""", F368&lt;&gt;"""", NOT(REG"&amp;"EXMATCH(C368, ""薪資""))), ""內部轉帳(忽略)"",
  REGEXMATCH(C368, ""薪資""), ""薪資變動(不計入)"",
  REGEXMATCH(C368, ""押金""), ""押金往來"",
  AND(E368&lt;&gt;"""", F368=""""), ""真實支出"",
  AND(E368="""", F368&lt;&gt;""""), ""真實收入"",
  TRUE, ""其他""
)"),"真實支出")</f>
        <v>真實支出</v>
      </c>
      <c r="K368" s="270">
        <f t="shared" si="2"/>
        <v>-25466</v>
      </c>
      <c r="L368">
        <f t="shared" si="3"/>
        <v>0</v>
      </c>
    </row>
    <row r="369">
      <c r="A369" s="107">
        <f>IFERROR(__xludf.DUMMYFUNCTION("""COMPUTED_VALUE"""),45413.0)</f>
        <v>45413</v>
      </c>
      <c r="B369" t="str">
        <f>IFERROR(__xludf.DUMMYFUNCTION("""COMPUTED_VALUE"""),"吳興街房租")</f>
        <v>吳興街房租</v>
      </c>
      <c r="C369" t="str">
        <f>IFERROR(__xludf.DUMMYFUNCTION("""COMPUTED_VALUE"""),"成本 - 大租金")</f>
        <v>成本 - 大租金</v>
      </c>
      <c r="D369" s="270">
        <f>IFERROR(__xludf.DUMMYFUNCTION("""COMPUTED_VALUE"""),-25075.0)</f>
        <v>-25075</v>
      </c>
      <c r="E369" t="str">
        <f>IFERROR(__xludf.DUMMYFUNCTION("""COMPUTED_VALUE"""),"台銀籌備帳戶")</f>
        <v>台銀籌備帳戶</v>
      </c>
      <c r="G369" t="str">
        <f>IFERROR(__xludf.DUMMYFUNCTION("""COMPUTED_VALUE"""),"北醫醫師府")</f>
        <v>北醫醫師府</v>
      </c>
      <c r="H369" s="106" t="str">
        <f t="shared" si="1"/>
        <v>2024-05</v>
      </c>
      <c r="I369" s="271" t="str">
        <f>IFERROR(__xludf.DUMMYFUNCTION("""COMPUTED_VALUE"""),"貓狗企鵝")</f>
        <v>貓狗企鵝</v>
      </c>
      <c r="J369" t="str">
        <f>IFERROR(__xludf.DUMMYFUNCTION("IFS(
  AND(REGEXMATCH(E369, ""台銀籌備帳戶|玉山帳戶""), REGEXMATCH(C369, ""薪資"")), ""分潤支出"",
  AND(REGEXMATCH(E369, ""Ben帳戶|Elsa帳戶|Ben代墊|Ariel代墊|中信銀行共用""), REGEXMATCH(F369, ""Ben帳戶|Elsa帳戶|Ben代墊|Ariel代墊|中信銀行共用"")), ""內部轉帳(忽略)"",
  AND(E369&lt;&gt;"""", F369&lt;&gt;"""", NOT(REG"&amp;"EXMATCH(C369, ""薪資""))), ""內部轉帳(忽略)"",
  REGEXMATCH(C369, ""薪資""), ""薪資變動(不計入)"",
  REGEXMATCH(C369, ""押金""), ""押金往來"",
  AND(E369&lt;&gt;"""", F369=""""), ""真實支出"",
  AND(E369="""", F369&lt;&gt;""""), ""真實收入"",
  TRUE, ""其他""
)"),"真實支出")</f>
        <v>真實支出</v>
      </c>
      <c r="K369" s="270">
        <f t="shared" si="2"/>
        <v>-25075</v>
      </c>
      <c r="L369">
        <f t="shared" si="3"/>
        <v>0</v>
      </c>
    </row>
    <row r="370">
      <c r="A370" s="107">
        <f>IFERROR(__xludf.DUMMYFUNCTION("""COMPUTED_VALUE"""),45413.0)</f>
        <v>45413</v>
      </c>
      <c r="B370" t="str">
        <f>IFERROR(__xludf.DUMMYFUNCTION("""COMPUTED_VALUE"""),"佳惠裝潢款")</f>
        <v>佳惠裝潢款</v>
      </c>
      <c r="C370" t="str">
        <f>IFERROR(__xludf.DUMMYFUNCTION("""COMPUTED_VALUE"""),"費用 - Salary 薪資")</f>
        <v>費用 - Salary 薪資</v>
      </c>
      <c r="D370" s="270">
        <f>IFERROR(__xludf.DUMMYFUNCTION("""COMPUTED_VALUE"""),-43015.0)</f>
        <v>-43015</v>
      </c>
      <c r="E370" t="str">
        <f>IFERROR(__xludf.DUMMYFUNCTION("""COMPUTED_VALUE"""),"台銀籌備帳戶")</f>
        <v>台銀籌備帳戶</v>
      </c>
      <c r="F370" t="str">
        <f>IFERROR(__xludf.DUMMYFUNCTION("""COMPUTED_VALUE"""),"Elsa帳戶")</f>
        <v>Elsa帳戶</v>
      </c>
      <c r="H370" s="106" t="str">
        <f t="shared" si="1"/>
        <v>2024-05</v>
      </c>
      <c r="I370" s="271" t="str">
        <f>IFERROR(__xludf.DUMMYFUNCTION("""COMPUTED_VALUE"""),"貓狗企鵝")</f>
        <v>貓狗企鵝</v>
      </c>
      <c r="J370" t="str">
        <f>IFERROR(__xludf.DUMMYFUNCTION("IFS(
  AND(REGEXMATCH(E370, ""台銀籌備帳戶|玉山帳戶""), REGEXMATCH(C370, ""薪資"")), ""分潤支出"",
  AND(REGEXMATCH(E370, ""Ben帳戶|Elsa帳戶|Ben代墊|Ariel代墊|中信銀行共用""), REGEXMATCH(F370, ""Ben帳戶|Elsa帳戶|Ben代墊|Ariel代墊|中信銀行共用"")), ""內部轉帳(忽略)"",
  AND(E370&lt;&gt;"""", F370&lt;&gt;"""", NOT(REG"&amp;"EXMATCH(C370, ""薪資""))), ""內部轉帳(忽略)"",
  REGEXMATCH(C370, ""薪資""), ""薪資變動(不計入)"",
  REGEXMATCH(C370, ""押金""), ""押金往來"",
  AND(E370&lt;&gt;"""", F370=""""), ""真實支出"",
  AND(E370="""", F370&lt;&gt;""""), ""真實收入"",
  TRUE, ""其他""
)"),"分潤支出")</f>
        <v>分潤支出</v>
      </c>
      <c r="K370">
        <f t="shared" si="2"/>
        <v>0</v>
      </c>
      <c r="L370">
        <f t="shared" si="3"/>
        <v>43015</v>
      </c>
    </row>
    <row r="371">
      <c r="A371" s="107">
        <f>IFERROR(__xludf.DUMMYFUNCTION("""COMPUTED_VALUE"""),45413.0)</f>
        <v>45413</v>
      </c>
      <c r="B371" t="str">
        <f>IFERROR(__xludf.DUMMYFUNCTION("""COMPUTED_VALUE"""),"Ben裝潢款")</f>
        <v>Ben裝潢款</v>
      </c>
      <c r="C371" t="str">
        <f>IFERROR(__xludf.DUMMYFUNCTION("""COMPUTED_VALUE"""),"費用 - Salary 薪資")</f>
        <v>費用 - Salary 薪資</v>
      </c>
      <c r="D371" s="270">
        <f>IFERROR(__xludf.DUMMYFUNCTION("""COMPUTED_VALUE"""),-43015.0)</f>
        <v>-43015</v>
      </c>
      <c r="E371" t="str">
        <f>IFERROR(__xludf.DUMMYFUNCTION("""COMPUTED_VALUE"""),"台銀籌備帳戶")</f>
        <v>台銀籌備帳戶</v>
      </c>
      <c r="F371" t="str">
        <f>IFERROR(__xludf.DUMMYFUNCTION("""COMPUTED_VALUE"""),"Ben帳戶")</f>
        <v>Ben帳戶</v>
      </c>
      <c r="H371" s="106" t="str">
        <f t="shared" si="1"/>
        <v>2024-05</v>
      </c>
      <c r="I371" s="271" t="str">
        <f>IFERROR(__xludf.DUMMYFUNCTION("""COMPUTED_VALUE"""),"貓狗企鵝")</f>
        <v>貓狗企鵝</v>
      </c>
      <c r="J371" t="str">
        <f>IFERROR(__xludf.DUMMYFUNCTION("IFS(
  AND(REGEXMATCH(E371, ""台銀籌備帳戶|玉山帳戶""), REGEXMATCH(C371, ""薪資"")), ""分潤支出"",
  AND(REGEXMATCH(E371, ""Ben帳戶|Elsa帳戶|Ben代墊|Ariel代墊|中信銀行共用""), REGEXMATCH(F371, ""Ben帳戶|Elsa帳戶|Ben代墊|Ariel代墊|中信銀行共用"")), ""內部轉帳(忽略)"",
  AND(E371&lt;&gt;"""", F371&lt;&gt;"""", NOT(REG"&amp;"EXMATCH(C371, ""薪資""))), ""內部轉帳(忽略)"",
  REGEXMATCH(C371, ""薪資""), ""薪資變動(不計入)"",
  REGEXMATCH(C371, ""押金""), ""押金往來"",
  AND(E371&lt;&gt;"""", F371=""""), ""真實支出"",
  AND(E371="""", F371&lt;&gt;""""), ""真實收入"",
  TRUE, ""其他""
)"),"分潤支出")</f>
        <v>分潤支出</v>
      </c>
      <c r="K371">
        <f t="shared" si="2"/>
        <v>0</v>
      </c>
      <c r="L371">
        <f t="shared" si="3"/>
        <v>43015</v>
      </c>
    </row>
    <row r="372">
      <c r="A372" s="107">
        <f>IFERROR(__xludf.DUMMYFUNCTION("""COMPUTED_VALUE"""),45413.0)</f>
        <v>45413</v>
      </c>
      <c r="B372" t="str">
        <f>IFERROR(__xludf.DUMMYFUNCTION("""COMPUTED_VALUE"""),"哈拉對面C徐鉦庭")</f>
        <v>哈拉對面C徐鉦庭</v>
      </c>
      <c r="C372" t="str">
        <f>IFERROR(__xludf.DUMMYFUNCTION("""COMPUTED_VALUE"""),"收入 - 租金")</f>
        <v>收入 - 租金</v>
      </c>
      <c r="D372" s="270">
        <f>IFERROR(__xludf.DUMMYFUNCTION("""COMPUTED_VALUE"""),11800.0)</f>
        <v>11800</v>
      </c>
      <c r="F372" t="str">
        <f>IFERROR(__xludf.DUMMYFUNCTION("""COMPUTED_VALUE"""),"台銀籌備帳戶")</f>
        <v>台銀籌備帳戶</v>
      </c>
      <c r="G372" t="str">
        <f>IFERROR(__xludf.DUMMYFUNCTION("""COMPUTED_VALUE"""),"哈拉對面")</f>
        <v>哈拉對面</v>
      </c>
      <c r="H372" s="106" t="str">
        <f t="shared" si="1"/>
        <v>2024-05</v>
      </c>
      <c r="I372" s="271" t="str">
        <f>IFERROR(__xludf.DUMMYFUNCTION("""COMPUTED_VALUE"""),"貓狗企鵝")</f>
        <v>貓狗企鵝</v>
      </c>
      <c r="J372" t="str">
        <f>IFERROR(__xludf.DUMMYFUNCTION("IFS(
  AND(REGEXMATCH(E372, ""台銀籌備帳戶|玉山帳戶""), REGEXMATCH(C372, ""薪資"")), ""分潤支出"",
  AND(REGEXMATCH(E372, ""Ben帳戶|Elsa帳戶|Ben代墊|Ariel代墊|中信銀行共用""), REGEXMATCH(F372, ""Ben帳戶|Elsa帳戶|Ben代墊|Ariel代墊|中信銀行共用"")), ""內部轉帳(忽略)"",
  AND(E372&lt;&gt;"""", F372&lt;&gt;"""", NOT(REG"&amp;"EXMATCH(C372, ""薪資""))), ""內部轉帳(忽略)"",
  REGEXMATCH(C372, ""薪資""), ""薪資變動(不計入)"",
  REGEXMATCH(C372, ""押金""), ""押金往來"",
  AND(E372&lt;&gt;"""", F372=""""), ""真實支出"",
  AND(E372="""", F372&lt;&gt;""""), ""真實收入"",
  TRUE, ""其他""
)"),"真實收入")</f>
        <v>真實收入</v>
      </c>
      <c r="K372" s="270">
        <f t="shared" si="2"/>
        <v>11800</v>
      </c>
      <c r="L372">
        <f t="shared" si="3"/>
        <v>0</v>
      </c>
    </row>
    <row r="373">
      <c r="A373" s="107">
        <f>IFERROR(__xludf.DUMMYFUNCTION("""COMPUTED_VALUE"""),45413.0)</f>
        <v>45413</v>
      </c>
      <c r="B373" t="str">
        <f>IFERROR(__xludf.DUMMYFUNCTION("""COMPUTED_VALUE"""),"北醫醫師府D劉怡秀")</f>
        <v>北醫醫師府D劉怡秀</v>
      </c>
      <c r="C373" t="str">
        <f>IFERROR(__xludf.DUMMYFUNCTION("""COMPUTED_VALUE"""),"收入 - 租金")</f>
        <v>收入 - 租金</v>
      </c>
      <c r="D373" s="270">
        <f>IFERROR(__xludf.DUMMYFUNCTION("""COMPUTED_VALUE"""),12000.0)</f>
        <v>12000</v>
      </c>
      <c r="F373" t="str">
        <f>IFERROR(__xludf.DUMMYFUNCTION("""COMPUTED_VALUE"""),"台銀籌備帳戶")</f>
        <v>台銀籌備帳戶</v>
      </c>
      <c r="G373" t="str">
        <f>IFERROR(__xludf.DUMMYFUNCTION("""COMPUTED_VALUE"""),"北醫醫師府")</f>
        <v>北醫醫師府</v>
      </c>
      <c r="H373" s="106" t="str">
        <f t="shared" si="1"/>
        <v>2024-05</v>
      </c>
      <c r="I373" s="271" t="str">
        <f>IFERROR(__xludf.DUMMYFUNCTION("""COMPUTED_VALUE"""),"貓狗企鵝")</f>
        <v>貓狗企鵝</v>
      </c>
      <c r="J373" t="str">
        <f>IFERROR(__xludf.DUMMYFUNCTION("IFS(
  AND(REGEXMATCH(E373, ""台銀籌備帳戶|玉山帳戶""), REGEXMATCH(C373, ""薪資"")), ""分潤支出"",
  AND(REGEXMATCH(E373, ""Ben帳戶|Elsa帳戶|Ben代墊|Ariel代墊|中信銀行共用""), REGEXMATCH(F373, ""Ben帳戶|Elsa帳戶|Ben代墊|Ariel代墊|中信銀行共用"")), ""內部轉帳(忽略)"",
  AND(E373&lt;&gt;"""", F373&lt;&gt;"""", NOT(REG"&amp;"EXMATCH(C373, ""薪資""))), ""內部轉帳(忽略)"",
  REGEXMATCH(C373, ""薪資""), ""薪資變動(不計入)"",
  REGEXMATCH(C373, ""押金""), ""押金往來"",
  AND(E373&lt;&gt;"""", F373=""""), ""真實支出"",
  AND(E373="""", F373&lt;&gt;""""), ""真實收入"",
  TRUE, ""其他""
)"),"真實收入")</f>
        <v>真實收入</v>
      </c>
      <c r="K373" s="270">
        <f t="shared" si="2"/>
        <v>12000</v>
      </c>
      <c r="L373">
        <f t="shared" si="3"/>
        <v>0</v>
      </c>
    </row>
    <row r="374">
      <c r="A374" s="107">
        <f>IFERROR(__xludf.DUMMYFUNCTION("""COMPUTED_VALUE"""),45413.0)</f>
        <v>45413</v>
      </c>
      <c r="B374" t="str">
        <f>IFERROR(__xludf.DUMMYFUNCTION("""COMPUTED_VALUE"""),"北醫醫師府B王品涵")</f>
        <v>北醫醫師府B王品涵</v>
      </c>
      <c r="C374" t="str">
        <f>IFERROR(__xludf.DUMMYFUNCTION("""COMPUTED_VALUE"""),"收入 - 租金")</f>
        <v>收入 - 租金</v>
      </c>
      <c r="D374" s="270">
        <f>IFERROR(__xludf.DUMMYFUNCTION("""COMPUTED_VALUE"""),17800.0)</f>
        <v>17800</v>
      </c>
      <c r="F374" t="str">
        <f>IFERROR(__xludf.DUMMYFUNCTION("""COMPUTED_VALUE"""),"台銀籌備帳戶")</f>
        <v>台銀籌備帳戶</v>
      </c>
      <c r="G374" t="str">
        <f>IFERROR(__xludf.DUMMYFUNCTION("""COMPUTED_VALUE"""),"北醫醫師府")</f>
        <v>北醫醫師府</v>
      </c>
      <c r="H374" s="106" t="str">
        <f t="shared" si="1"/>
        <v>2024-05</v>
      </c>
      <c r="I374" s="271" t="str">
        <f>IFERROR(__xludf.DUMMYFUNCTION("""COMPUTED_VALUE"""),"貓狗企鵝")</f>
        <v>貓狗企鵝</v>
      </c>
      <c r="J374" t="str">
        <f>IFERROR(__xludf.DUMMYFUNCTION("IFS(
  AND(REGEXMATCH(E374, ""台銀籌備帳戶|玉山帳戶""), REGEXMATCH(C374, ""薪資"")), ""分潤支出"",
  AND(REGEXMATCH(E374, ""Ben帳戶|Elsa帳戶|Ben代墊|Ariel代墊|中信銀行共用""), REGEXMATCH(F374, ""Ben帳戶|Elsa帳戶|Ben代墊|Ariel代墊|中信銀行共用"")), ""內部轉帳(忽略)"",
  AND(E374&lt;&gt;"""", F374&lt;&gt;"""", NOT(REG"&amp;"EXMATCH(C374, ""薪資""))), ""內部轉帳(忽略)"",
  REGEXMATCH(C374, ""薪資""), ""薪資變動(不計入)"",
  REGEXMATCH(C374, ""押金""), ""押金往來"",
  AND(E374&lt;&gt;"""", F374=""""), ""真實支出"",
  AND(E374="""", F374&lt;&gt;""""), ""真實收入"",
  TRUE, ""其他""
)"),"真實收入")</f>
        <v>真實收入</v>
      </c>
      <c r="K374" s="270">
        <f t="shared" si="2"/>
        <v>17800</v>
      </c>
      <c r="L374">
        <f t="shared" si="3"/>
        <v>0</v>
      </c>
    </row>
    <row r="375">
      <c r="A375" s="107">
        <f>IFERROR(__xludf.DUMMYFUNCTION("""COMPUTED_VALUE"""),45413.0)</f>
        <v>45413</v>
      </c>
      <c r="B375" t="str">
        <f>IFERROR(__xludf.DUMMYFUNCTION("""COMPUTED_VALUE"""),"永春四號D翁政熙")</f>
        <v>永春四號D翁政熙</v>
      </c>
      <c r="C375" t="str">
        <f>IFERROR(__xludf.DUMMYFUNCTION("""COMPUTED_VALUE"""),"收入 - 租金")</f>
        <v>收入 - 租金</v>
      </c>
      <c r="D375" s="270">
        <f>IFERROR(__xludf.DUMMYFUNCTION("""COMPUTED_VALUE"""),14800.0)</f>
        <v>14800</v>
      </c>
      <c r="F375" t="str">
        <f>IFERROR(__xludf.DUMMYFUNCTION("""COMPUTED_VALUE"""),"台銀籌備帳戶")</f>
        <v>台銀籌備帳戶</v>
      </c>
      <c r="G375" t="str">
        <f>IFERROR(__xludf.DUMMYFUNCTION("""COMPUTED_VALUE"""),"永春四號")</f>
        <v>永春四號</v>
      </c>
      <c r="H375" s="106" t="str">
        <f t="shared" si="1"/>
        <v>2024-05</v>
      </c>
      <c r="I375" s="271" t="str">
        <f>IFERROR(__xludf.DUMMYFUNCTION("""COMPUTED_VALUE"""),"貓狗企鵝")</f>
        <v>貓狗企鵝</v>
      </c>
      <c r="J375" t="str">
        <f>IFERROR(__xludf.DUMMYFUNCTION("IFS(
  AND(REGEXMATCH(E375, ""台銀籌備帳戶|玉山帳戶""), REGEXMATCH(C375, ""薪資"")), ""分潤支出"",
  AND(REGEXMATCH(E375, ""Ben帳戶|Elsa帳戶|Ben代墊|Ariel代墊|中信銀行共用""), REGEXMATCH(F375, ""Ben帳戶|Elsa帳戶|Ben代墊|Ariel代墊|中信銀行共用"")), ""內部轉帳(忽略)"",
  AND(E375&lt;&gt;"""", F375&lt;&gt;"""", NOT(REG"&amp;"EXMATCH(C375, ""薪資""))), ""內部轉帳(忽略)"",
  REGEXMATCH(C375, ""薪資""), ""薪資變動(不計入)"",
  REGEXMATCH(C375, ""押金""), ""押金往來"",
  AND(E375&lt;&gt;"""", F375=""""), ""真實支出"",
  AND(E375="""", F375&lt;&gt;""""), ""真實收入"",
  TRUE, ""其他""
)"),"真實收入")</f>
        <v>真實收入</v>
      </c>
      <c r="K375" s="270">
        <f t="shared" si="2"/>
        <v>14800</v>
      </c>
      <c r="L375">
        <f t="shared" si="3"/>
        <v>0</v>
      </c>
    </row>
    <row r="376">
      <c r="A376" s="107">
        <f>IFERROR(__xludf.DUMMYFUNCTION("""COMPUTED_VALUE"""),45413.0)</f>
        <v>45413</v>
      </c>
      <c r="B376" t="str">
        <f>IFERROR(__xludf.DUMMYFUNCTION("""COMPUTED_VALUE"""),"北醫醫師府C余典蓉")</f>
        <v>北醫醫師府C余典蓉</v>
      </c>
      <c r="C376" t="str">
        <f>IFERROR(__xludf.DUMMYFUNCTION("""COMPUTED_VALUE"""),"收入 - 租金")</f>
        <v>收入 - 租金</v>
      </c>
      <c r="D376" s="270">
        <f>IFERROR(__xludf.DUMMYFUNCTION("""COMPUTED_VALUE"""),13000.0)</f>
        <v>13000</v>
      </c>
      <c r="F376" t="str">
        <f>IFERROR(__xludf.DUMMYFUNCTION("""COMPUTED_VALUE"""),"台銀籌備帳戶")</f>
        <v>台銀籌備帳戶</v>
      </c>
      <c r="G376" t="str">
        <f>IFERROR(__xludf.DUMMYFUNCTION("""COMPUTED_VALUE"""),"北醫醫師府")</f>
        <v>北醫醫師府</v>
      </c>
      <c r="H376" s="106" t="str">
        <f t="shared" si="1"/>
        <v>2024-05</v>
      </c>
      <c r="I376" s="271" t="str">
        <f>IFERROR(__xludf.DUMMYFUNCTION("""COMPUTED_VALUE"""),"貓狗企鵝")</f>
        <v>貓狗企鵝</v>
      </c>
      <c r="J376" t="str">
        <f>IFERROR(__xludf.DUMMYFUNCTION("IFS(
  AND(REGEXMATCH(E376, ""台銀籌備帳戶|玉山帳戶""), REGEXMATCH(C376, ""薪資"")), ""分潤支出"",
  AND(REGEXMATCH(E376, ""Ben帳戶|Elsa帳戶|Ben代墊|Ariel代墊|中信銀行共用""), REGEXMATCH(F376, ""Ben帳戶|Elsa帳戶|Ben代墊|Ariel代墊|中信銀行共用"")), ""內部轉帳(忽略)"",
  AND(E376&lt;&gt;"""", F376&lt;&gt;"""", NOT(REG"&amp;"EXMATCH(C376, ""薪資""))), ""內部轉帳(忽略)"",
  REGEXMATCH(C376, ""薪資""), ""薪資變動(不計入)"",
  REGEXMATCH(C376, ""押金""), ""押金往來"",
  AND(E376&lt;&gt;"""", F376=""""), ""真實支出"",
  AND(E376="""", F376&lt;&gt;""""), ""真實收入"",
  TRUE, ""其他""
)"),"真實收入")</f>
        <v>真實收入</v>
      </c>
      <c r="K376" s="270">
        <f t="shared" si="2"/>
        <v>13000</v>
      </c>
      <c r="L376">
        <f t="shared" si="3"/>
        <v>0</v>
      </c>
    </row>
    <row r="377">
      <c r="A377" s="107">
        <f>IFERROR(__xludf.DUMMYFUNCTION("""COMPUTED_VALUE"""),45413.0)</f>
        <v>45413</v>
      </c>
      <c r="B377" t="str">
        <f>IFERROR(__xludf.DUMMYFUNCTION("""COMPUTED_VALUE"""),"龍江229C陳雨彤")</f>
        <v>龍江229C陳雨彤</v>
      </c>
      <c r="C377" t="str">
        <f>IFERROR(__xludf.DUMMYFUNCTION("""COMPUTED_VALUE"""),"收入 - 租金")</f>
        <v>收入 - 租金</v>
      </c>
      <c r="D377" s="270">
        <f>IFERROR(__xludf.DUMMYFUNCTION("""COMPUTED_VALUE"""),16800.0)</f>
        <v>16800</v>
      </c>
      <c r="F377" t="str">
        <f>IFERROR(__xludf.DUMMYFUNCTION("""COMPUTED_VALUE"""),"台銀籌備帳戶")</f>
        <v>台銀籌備帳戶</v>
      </c>
      <c r="G377" t="str">
        <f>IFERROR(__xludf.DUMMYFUNCTION("""COMPUTED_VALUE"""),"龍江229")</f>
        <v>龍江229</v>
      </c>
      <c r="H377" s="106" t="str">
        <f t="shared" si="1"/>
        <v>2024-05</v>
      </c>
      <c r="I377" s="271" t="str">
        <f>IFERROR(__xludf.DUMMYFUNCTION("""COMPUTED_VALUE"""),"貓狗企鵝")</f>
        <v>貓狗企鵝</v>
      </c>
      <c r="J377" t="str">
        <f>IFERROR(__xludf.DUMMYFUNCTION("IFS(
  AND(REGEXMATCH(E377, ""台銀籌備帳戶|玉山帳戶""), REGEXMATCH(C377, ""薪資"")), ""分潤支出"",
  AND(REGEXMATCH(E377, ""Ben帳戶|Elsa帳戶|Ben代墊|Ariel代墊|中信銀行共用""), REGEXMATCH(F377, ""Ben帳戶|Elsa帳戶|Ben代墊|Ariel代墊|中信銀行共用"")), ""內部轉帳(忽略)"",
  AND(E377&lt;&gt;"""", F377&lt;&gt;"""", NOT(REG"&amp;"EXMATCH(C377, ""薪資""))), ""內部轉帳(忽略)"",
  REGEXMATCH(C377, ""薪資""), ""薪資變動(不計入)"",
  REGEXMATCH(C377, ""押金""), ""押金往來"",
  AND(E377&lt;&gt;"""", F377=""""), ""真實支出"",
  AND(E377="""", F377&lt;&gt;""""), ""真實收入"",
  TRUE, ""其他""
)"),"真實收入")</f>
        <v>真實收入</v>
      </c>
      <c r="K377" s="270">
        <f t="shared" si="2"/>
        <v>16800</v>
      </c>
      <c r="L377">
        <f t="shared" si="3"/>
        <v>0</v>
      </c>
    </row>
    <row r="378">
      <c r="A378" s="107">
        <f>IFERROR(__xludf.DUMMYFUNCTION("""COMPUTED_VALUE"""),45413.0)</f>
        <v>45413</v>
      </c>
      <c r="B378" t="str">
        <f>IFERROR(__xludf.DUMMYFUNCTION("""COMPUTED_VALUE"""),"龍江229B陳佩娟")</f>
        <v>龍江229B陳佩娟</v>
      </c>
      <c r="C378" t="str">
        <f>IFERROR(__xludf.DUMMYFUNCTION("""COMPUTED_VALUE"""),"收入 - 租金")</f>
        <v>收入 - 租金</v>
      </c>
      <c r="D378" s="270">
        <f>IFERROR(__xludf.DUMMYFUNCTION("""COMPUTED_VALUE"""),13000.0)</f>
        <v>13000</v>
      </c>
      <c r="F378" t="str">
        <f>IFERROR(__xludf.DUMMYFUNCTION("""COMPUTED_VALUE"""),"台銀籌備帳戶")</f>
        <v>台銀籌備帳戶</v>
      </c>
      <c r="G378" t="str">
        <f>IFERROR(__xludf.DUMMYFUNCTION("""COMPUTED_VALUE"""),"龍江229")</f>
        <v>龍江229</v>
      </c>
      <c r="H378" s="106" t="str">
        <f t="shared" si="1"/>
        <v>2024-05</v>
      </c>
      <c r="I378" s="271" t="str">
        <f>IFERROR(__xludf.DUMMYFUNCTION("""COMPUTED_VALUE"""),"貓狗企鵝")</f>
        <v>貓狗企鵝</v>
      </c>
      <c r="J378" t="str">
        <f>IFERROR(__xludf.DUMMYFUNCTION("IFS(
  AND(REGEXMATCH(E378, ""台銀籌備帳戶|玉山帳戶""), REGEXMATCH(C378, ""薪資"")), ""分潤支出"",
  AND(REGEXMATCH(E378, ""Ben帳戶|Elsa帳戶|Ben代墊|Ariel代墊|中信銀行共用""), REGEXMATCH(F378, ""Ben帳戶|Elsa帳戶|Ben代墊|Ariel代墊|中信銀行共用"")), ""內部轉帳(忽略)"",
  AND(E378&lt;&gt;"""", F378&lt;&gt;"""", NOT(REG"&amp;"EXMATCH(C378, ""薪資""))), ""內部轉帳(忽略)"",
  REGEXMATCH(C378, ""薪資""), ""薪資變動(不計入)"",
  REGEXMATCH(C378, ""押金""), ""押金往來"",
  AND(E378&lt;&gt;"""", F378=""""), ""真實支出"",
  AND(E378="""", F378&lt;&gt;""""), ""真實收入"",
  TRUE, ""其他""
)"),"真實收入")</f>
        <v>真實收入</v>
      </c>
      <c r="K378" s="270">
        <f t="shared" si="2"/>
        <v>13000</v>
      </c>
      <c r="L378">
        <f t="shared" si="3"/>
        <v>0</v>
      </c>
    </row>
    <row r="379">
      <c r="A379" s="107">
        <f>IFERROR(__xludf.DUMMYFUNCTION("""COMPUTED_VALUE"""),45413.0)</f>
        <v>45413</v>
      </c>
      <c r="B379" t="str">
        <f>IFERROR(__xludf.DUMMYFUNCTION("""COMPUTED_VALUE"""),"凱播網路兩個月+押金+安裝費")</f>
        <v>凱播網路兩個月+押金+安裝費</v>
      </c>
      <c r="C379" t="str">
        <f>IFERROR(__xludf.DUMMYFUNCTION("""COMPUTED_VALUE"""),"成本 - 進場前裝潢費")</f>
        <v>成本 - 進場前裝潢費</v>
      </c>
      <c r="D379" s="270">
        <f>IFERROR(__xludf.DUMMYFUNCTION("""COMPUTED_VALUE"""),-6000.0)</f>
        <v>-6000</v>
      </c>
      <c r="E379" t="str">
        <f>IFERROR(__xludf.DUMMYFUNCTION("""COMPUTED_VALUE"""),"Ben帳戶")</f>
        <v>Ben帳戶</v>
      </c>
      <c r="G379" t="str">
        <f>IFERROR(__xludf.DUMMYFUNCTION("""COMPUTED_VALUE"""),"大湖山莊")</f>
        <v>大湖山莊</v>
      </c>
      <c r="H379" s="106" t="str">
        <f t="shared" si="1"/>
        <v>2024-05</v>
      </c>
      <c r="I379" s="271" t="str">
        <f>IFERROR(__xludf.DUMMYFUNCTION("""COMPUTED_VALUE"""),"貓狗企鵝")</f>
        <v>貓狗企鵝</v>
      </c>
      <c r="J379" t="str">
        <f>IFERROR(__xludf.DUMMYFUNCTION("IFS(
  AND(REGEXMATCH(E379, ""台銀籌備帳戶|玉山帳戶""), REGEXMATCH(C379, ""薪資"")), ""分潤支出"",
  AND(REGEXMATCH(E379, ""Ben帳戶|Elsa帳戶|Ben代墊|Ariel代墊|中信銀行共用""), REGEXMATCH(F379, ""Ben帳戶|Elsa帳戶|Ben代墊|Ariel代墊|中信銀行共用"")), ""內部轉帳(忽略)"",
  AND(E379&lt;&gt;"""", F379&lt;&gt;"""", NOT(REG"&amp;"EXMATCH(C379, ""薪資""))), ""內部轉帳(忽略)"",
  REGEXMATCH(C379, ""薪資""), ""薪資變動(不計入)"",
  REGEXMATCH(C379, ""押金""), ""押金往來"",
  AND(E379&lt;&gt;"""", F379=""""), ""真實支出"",
  AND(E379="""", F379&lt;&gt;""""), ""真實收入"",
  TRUE, ""其他""
)"),"真實支出")</f>
        <v>真實支出</v>
      </c>
      <c r="K379" s="270">
        <f t="shared" si="2"/>
        <v>-6000</v>
      </c>
      <c r="L379">
        <f t="shared" si="3"/>
        <v>0</v>
      </c>
    </row>
    <row r="380">
      <c r="A380" s="107">
        <f>IFERROR(__xludf.DUMMYFUNCTION("""COMPUTED_VALUE"""),45414.0)</f>
        <v>45414</v>
      </c>
      <c r="B380" t="str">
        <f>IFERROR(__xludf.DUMMYFUNCTION("""COMPUTED_VALUE"""),"龍江229D黃依婷")</f>
        <v>龍江229D黃依婷</v>
      </c>
      <c r="C380" t="str">
        <f>IFERROR(__xludf.DUMMYFUNCTION("""COMPUTED_VALUE"""),"收入 - 租金")</f>
        <v>收入 - 租金</v>
      </c>
      <c r="D380" s="270">
        <f>IFERROR(__xludf.DUMMYFUNCTION("""COMPUTED_VALUE"""),13300.0)</f>
        <v>13300</v>
      </c>
      <c r="F380" t="str">
        <f>IFERROR(__xludf.DUMMYFUNCTION("""COMPUTED_VALUE"""),"台銀籌備帳戶")</f>
        <v>台銀籌備帳戶</v>
      </c>
      <c r="G380" t="str">
        <f>IFERROR(__xludf.DUMMYFUNCTION("""COMPUTED_VALUE"""),"龍江229")</f>
        <v>龍江229</v>
      </c>
      <c r="H380" s="106" t="str">
        <f t="shared" si="1"/>
        <v>2024-05</v>
      </c>
      <c r="I380" s="271" t="str">
        <f>IFERROR(__xludf.DUMMYFUNCTION("""COMPUTED_VALUE"""),"貓狗企鵝")</f>
        <v>貓狗企鵝</v>
      </c>
      <c r="J380" t="str">
        <f>IFERROR(__xludf.DUMMYFUNCTION("IFS(
  AND(REGEXMATCH(E380, ""台銀籌備帳戶|玉山帳戶""), REGEXMATCH(C380, ""薪資"")), ""分潤支出"",
  AND(REGEXMATCH(E380, ""Ben帳戶|Elsa帳戶|Ben代墊|Ariel代墊|中信銀行共用""), REGEXMATCH(F380, ""Ben帳戶|Elsa帳戶|Ben代墊|Ariel代墊|中信銀行共用"")), ""內部轉帳(忽略)"",
  AND(E380&lt;&gt;"""", F380&lt;&gt;"""", NOT(REG"&amp;"EXMATCH(C380, ""薪資""))), ""內部轉帳(忽略)"",
  REGEXMATCH(C380, ""薪資""), ""薪資變動(不計入)"",
  REGEXMATCH(C380, ""押金""), ""押金往來"",
  AND(E380&lt;&gt;"""", F380=""""), ""真實支出"",
  AND(E380="""", F380&lt;&gt;""""), ""真實收入"",
  TRUE, ""其他""
)"),"真實收入")</f>
        <v>真實收入</v>
      </c>
      <c r="K380" s="270">
        <f t="shared" si="2"/>
        <v>13300</v>
      </c>
      <c r="L380">
        <f t="shared" si="3"/>
        <v>0</v>
      </c>
    </row>
    <row r="381">
      <c r="A381" s="107">
        <f>IFERROR(__xludf.DUMMYFUNCTION("""COMPUTED_VALUE"""),45414.0)</f>
        <v>45414</v>
      </c>
      <c r="B381" t="str">
        <f>IFERROR(__xludf.DUMMYFUNCTION("""COMPUTED_VALUE"""),"永春四號B袁家鳳")</f>
        <v>永春四號B袁家鳳</v>
      </c>
      <c r="C381" t="str">
        <f>IFERROR(__xludf.DUMMYFUNCTION("""COMPUTED_VALUE"""),"收入 - 租金")</f>
        <v>收入 - 租金</v>
      </c>
      <c r="D381" s="270">
        <f>IFERROR(__xludf.DUMMYFUNCTION("""COMPUTED_VALUE"""),13500.0)</f>
        <v>13500</v>
      </c>
      <c r="F381" t="str">
        <f>IFERROR(__xludf.DUMMYFUNCTION("""COMPUTED_VALUE"""),"台銀籌備帳戶")</f>
        <v>台銀籌備帳戶</v>
      </c>
      <c r="G381" t="str">
        <f>IFERROR(__xludf.DUMMYFUNCTION("""COMPUTED_VALUE"""),"永春四號")</f>
        <v>永春四號</v>
      </c>
      <c r="H381" s="106" t="str">
        <f t="shared" si="1"/>
        <v>2024-05</v>
      </c>
      <c r="I381" s="271" t="str">
        <f>IFERROR(__xludf.DUMMYFUNCTION("""COMPUTED_VALUE"""),"貓狗企鵝")</f>
        <v>貓狗企鵝</v>
      </c>
      <c r="J381" t="str">
        <f>IFERROR(__xludf.DUMMYFUNCTION("IFS(
  AND(REGEXMATCH(E381, ""台銀籌備帳戶|玉山帳戶""), REGEXMATCH(C381, ""薪資"")), ""分潤支出"",
  AND(REGEXMATCH(E381, ""Ben帳戶|Elsa帳戶|Ben代墊|Ariel代墊|中信銀行共用""), REGEXMATCH(F381, ""Ben帳戶|Elsa帳戶|Ben代墊|Ariel代墊|中信銀行共用"")), ""內部轉帳(忽略)"",
  AND(E381&lt;&gt;"""", F381&lt;&gt;"""", NOT(REG"&amp;"EXMATCH(C381, ""薪資""))), ""內部轉帳(忽略)"",
  REGEXMATCH(C381, ""薪資""), ""薪資變動(不計入)"",
  REGEXMATCH(C381, ""押金""), ""押金往來"",
  AND(E381&lt;&gt;"""", F381=""""), ""真實支出"",
  AND(E381="""", F381&lt;&gt;""""), ""真實收入"",
  TRUE, ""其他""
)"),"真實收入")</f>
        <v>真實收入</v>
      </c>
      <c r="K381" s="270">
        <f t="shared" si="2"/>
        <v>13500</v>
      </c>
      <c r="L381">
        <f t="shared" si="3"/>
        <v>0</v>
      </c>
    </row>
    <row r="382">
      <c r="A382" s="107">
        <f>IFERROR(__xludf.DUMMYFUNCTION("""COMPUTED_VALUE"""),45414.0)</f>
        <v>45414</v>
      </c>
      <c r="B382" t="str">
        <f>IFERROR(__xludf.DUMMYFUNCTION("""COMPUTED_VALUE"""),"哈拉對面A李柏緯")</f>
        <v>哈拉對面A李柏緯</v>
      </c>
      <c r="C382" t="str">
        <f>IFERROR(__xludf.DUMMYFUNCTION("""COMPUTED_VALUE"""),"收入 - 租金")</f>
        <v>收入 - 租金</v>
      </c>
      <c r="D382" s="270">
        <f>IFERROR(__xludf.DUMMYFUNCTION("""COMPUTED_VALUE"""),11300.0)</f>
        <v>11300</v>
      </c>
      <c r="F382" t="str">
        <f>IFERROR(__xludf.DUMMYFUNCTION("""COMPUTED_VALUE"""),"台銀籌備帳戶")</f>
        <v>台銀籌備帳戶</v>
      </c>
      <c r="G382" t="str">
        <f>IFERROR(__xludf.DUMMYFUNCTION("""COMPUTED_VALUE"""),"哈拉對面")</f>
        <v>哈拉對面</v>
      </c>
      <c r="H382" s="106" t="str">
        <f t="shared" si="1"/>
        <v>2024-05</v>
      </c>
      <c r="I382" s="271" t="str">
        <f>IFERROR(__xludf.DUMMYFUNCTION("""COMPUTED_VALUE"""),"貓狗企鵝")</f>
        <v>貓狗企鵝</v>
      </c>
      <c r="J382" t="str">
        <f>IFERROR(__xludf.DUMMYFUNCTION("IFS(
  AND(REGEXMATCH(E382, ""台銀籌備帳戶|玉山帳戶""), REGEXMATCH(C382, ""薪資"")), ""分潤支出"",
  AND(REGEXMATCH(E382, ""Ben帳戶|Elsa帳戶|Ben代墊|Ariel代墊|中信銀行共用""), REGEXMATCH(F382, ""Ben帳戶|Elsa帳戶|Ben代墊|Ariel代墊|中信銀行共用"")), ""內部轉帳(忽略)"",
  AND(E382&lt;&gt;"""", F382&lt;&gt;"""", NOT(REG"&amp;"EXMATCH(C382, ""薪資""))), ""內部轉帳(忽略)"",
  REGEXMATCH(C382, ""薪資""), ""薪資變動(不計入)"",
  REGEXMATCH(C382, ""押金""), ""押金往來"",
  AND(E382&lt;&gt;"""", F382=""""), ""真實支出"",
  AND(E382="""", F382&lt;&gt;""""), ""真實收入"",
  TRUE, ""其他""
)"),"真實收入")</f>
        <v>真實收入</v>
      </c>
      <c r="K382" s="270">
        <f t="shared" si="2"/>
        <v>11300</v>
      </c>
      <c r="L382">
        <f t="shared" si="3"/>
        <v>0</v>
      </c>
    </row>
    <row r="383">
      <c r="A383" s="107">
        <f>IFERROR(__xludf.DUMMYFUNCTION("""COMPUTED_VALUE"""),45414.0)</f>
        <v>45414</v>
      </c>
      <c r="B383" t="str">
        <f>IFERROR(__xludf.DUMMYFUNCTION("""COMPUTED_VALUE"""),"北醫醫師府A鄭伊彤")</f>
        <v>北醫醫師府A鄭伊彤</v>
      </c>
      <c r="C383" t="str">
        <f>IFERROR(__xludf.DUMMYFUNCTION("""COMPUTED_VALUE"""),"收入 - 租金")</f>
        <v>收入 - 租金</v>
      </c>
      <c r="D383" s="270">
        <f>IFERROR(__xludf.DUMMYFUNCTION("""COMPUTED_VALUE"""),13500.0)</f>
        <v>13500</v>
      </c>
      <c r="F383" t="str">
        <f>IFERROR(__xludf.DUMMYFUNCTION("""COMPUTED_VALUE"""),"台銀籌備帳戶")</f>
        <v>台銀籌備帳戶</v>
      </c>
      <c r="G383" t="str">
        <f>IFERROR(__xludf.DUMMYFUNCTION("""COMPUTED_VALUE"""),"北醫醫師府")</f>
        <v>北醫醫師府</v>
      </c>
      <c r="H383" s="106" t="str">
        <f t="shared" si="1"/>
        <v>2024-05</v>
      </c>
      <c r="I383" s="271" t="str">
        <f>IFERROR(__xludf.DUMMYFUNCTION("""COMPUTED_VALUE"""),"貓狗企鵝")</f>
        <v>貓狗企鵝</v>
      </c>
      <c r="J383" t="str">
        <f>IFERROR(__xludf.DUMMYFUNCTION("IFS(
  AND(REGEXMATCH(E383, ""台銀籌備帳戶|玉山帳戶""), REGEXMATCH(C383, ""薪資"")), ""分潤支出"",
  AND(REGEXMATCH(E383, ""Ben帳戶|Elsa帳戶|Ben代墊|Ariel代墊|中信銀行共用""), REGEXMATCH(F383, ""Ben帳戶|Elsa帳戶|Ben代墊|Ariel代墊|中信銀行共用"")), ""內部轉帳(忽略)"",
  AND(E383&lt;&gt;"""", F383&lt;&gt;"""", NOT(REG"&amp;"EXMATCH(C383, ""薪資""))), ""內部轉帳(忽略)"",
  REGEXMATCH(C383, ""薪資""), ""薪資變動(不計入)"",
  REGEXMATCH(C383, ""押金""), ""押金往來"",
  AND(E383&lt;&gt;"""", F383=""""), ""真實支出"",
  AND(E383="""", F383&lt;&gt;""""), ""真實收入"",
  TRUE, ""其他""
)"),"真實收入")</f>
        <v>真實收入</v>
      </c>
      <c r="K383" s="270">
        <f t="shared" si="2"/>
        <v>13500</v>
      </c>
      <c r="L383">
        <f t="shared" si="3"/>
        <v>0</v>
      </c>
    </row>
    <row r="384">
      <c r="A384" s="107">
        <f>IFERROR(__xludf.DUMMYFUNCTION("""COMPUTED_VALUE"""),45415.0)</f>
        <v>45415</v>
      </c>
      <c r="B384" t="str">
        <f>IFERROR(__xludf.DUMMYFUNCTION("""COMPUTED_VALUE"""),"龍江229	E	李茂生")</f>
        <v>龍江229	E	李茂生</v>
      </c>
      <c r="C384" t="str">
        <f>IFERROR(__xludf.DUMMYFUNCTION("""COMPUTED_VALUE"""),"收入 - 租金")</f>
        <v>收入 - 租金</v>
      </c>
      <c r="D384" s="270">
        <f>IFERROR(__xludf.DUMMYFUNCTION("""COMPUTED_VALUE"""),12500.0)</f>
        <v>12500</v>
      </c>
      <c r="F384" t="str">
        <f>IFERROR(__xludf.DUMMYFUNCTION("""COMPUTED_VALUE"""),"台銀籌備帳戶")</f>
        <v>台銀籌備帳戶</v>
      </c>
      <c r="G384" t="str">
        <f>IFERROR(__xludf.DUMMYFUNCTION("""COMPUTED_VALUE"""),"龍江229")</f>
        <v>龍江229</v>
      </c>
      <c r="H384" s="106" t="str">
        <f t="shared" si="1"/>
        <v>2024-05</v>
      </c>
      <c r="I384" s="271" t="str">
        <f>IFERROR(__xludf.DUMMYFUNCTION("""COMPUTED_VALUE"""),"貓狗企鵝")</f>
        <v>貓狗企鵝</v>
      </c>
      <c r="J384" t="str">
        <f>IFERROR(__xludf.DUMMYFUNCTION("IFS(
  AND(REGEXMATCH(E384, ""台銀籌備帳戶|玉山帳戶""), REGEXMATCH(C384, ""薪資"")), ""分潤支出"",
  AND(REGEXMATCH(E384, ""Ben帳戶|Elsa帳戶|Ben代墊|Ariel代墊|中信銀行共用""), REGEXMATCH(F384, ""Ben帳戶|Elsa帳戶|Ben代墊|Ariel代墊|中信銀行共用"")), ""內部轉帳(忽略)"",
  AND(E384&lt;&gt;"""", F384&lt;&gt;"""", NOT(REG"&amp;"EXMATCH(C384, ""薪資""))), ""內部轉帳(忽略)"",
  REGEXMATCH(C384, ""薪資""), ""薪資變動(不計入)"",
  REGEXMATCH(C384, ""押金""), ""押金往來"",
  AND(E384&lt;&gt;"""", F384=""""), ""真實支出"",
  AND(E384="""", F384&lt;&gt;""""), ""真實收入"",
  TRUE, ""其他""
)"),"真實收入")</f>
        <v>真實收入</v>
      </c>
      <c r="K384" s="270">
        <f t="shared" si="2"/>
        <v>12500</v>
      </c>
      <c r="L384">
        <f t="shared" si="3"/>
        <v>0</v>
      </c>
    </row>
    <row r="385">
      <c r="A385" s="107">
        <f>IFERROR(__xludf.DUMMYFUNCTION("""COMPUTED_VALUE"""),45415.0)</f>
        <v>45415</v>
      </c>
      <c r="B385" t="str">
        <f>IFERROR(__xludf.DUMMYFUNCTION("""COMPUTED_VALUE"""),"哈拉對面B林宜芳")</f>
        <v>哈拉對面B林宜芳</v>
      </c>
      <c r="C385" t="str">
        <f>IFERROR(__xludf.DUMMYFUNCTION("""COMPUTED_VALUE"""),"收入 - 租金")</f>
        <v>收入 - 租金</v>
      </c>
      <c r="D385" s="270">
        <f>IFERROR(__xludf.DUMMYFUNCTION("""COMPUTED_VALUE"""),9550.0)</f>
        <v>9550</v>
      </c>
      <c r="F385" t="str">
        <f>IFERROR(__xludf.DUMMYFUNCTION("""COMPUTED_VALUE"""),"台銀籌備帳戶")</f>
        <v>台銀籌備帳戶</v>
      </c>
      <c r="G385" t="str">
        <f>IFERROR(__xludf.DUMMYFUNCTION("""COMPUTED_VALUE"""),"哈拉對面")</f>
        <v>哈拉對面</v>
      </c>
      <c r="H385" s="106" t="str">
        <f t="shared" si="1"/>
        <v>2024-05</v>
      </c>
      <c r="I385" s="271" t="str">
        <f>IFERROR(__xludf.DUMMYFUNCTION("""COMPUTED_VALUE"""),"貓狗企鵝")</f>
        <v>貓狗企鵝</v>
      </c>
      <c r="J385" t="str">
        <f>IFERROR(__xludf.DUMMYFUNCTION("IFS(
  AND(REGEXMATCH(E385, ""台銀籌備帳戶|玉山帳戶""), REGEXMATCH(C385, ""薪資"")), ""分潤支出"",
  AND(REGEXMATCH(E385, ""Ben帳戶|Elsa帳戶|Ben代墊|Ariel代墊|中信銀行共用""), REGEXMATCH(F385, ""Ben帳戶|Elsa帳戶|Ben代墊|Ariel代墊|中信銀行共用"")), ""內部轉帳(忽略)"",
  AND(E385&lt;&gt;"""", F385&lt;&gt;"""", NOT(REG"&amp;"EXMATCH(C385, ""薪資""))), ""內部轉帳(忽略)"",
  REGEXMATCH(C385, ""薪資""), ""薪資變動(不計入)"",
  REGEXMATCH(C385, ""押金""), ""押金往來"",
  AND(E385&lt;&gt;"""", F385=""""), ""真實支出"",
  AND(E385="""", F385&lt;&gt;""""), ""真實收入"",
  TRUE, ""其他""
)"),"真實收入")</f>
        <v>真實收入</v>
      </c>
      <c r="K385" s="270">
        <f t="shared" si="2"/>
        <v>9550</v>
      </c>
      <c r="L385">
        <f t="shared" si="3"/>
        <v>0</v>
      </c>
    </row>
    <row r="386">
      <c r="A386" s="107">
        <f>IFERROR(__xludf.DUMMYFUNCTION("""COMPUTED_VALUE"""),45418.0)</f>
        <v>45418</v>
      </c>
      <c r="B386">
        <f>IFERROR(__xludf.DUMMYFUNCTION("""COMPUTED_VALUE"""),591.0)</f>
        <v>591</v>
      </c>
      <c r="C386" t="str">
        <f>IFERROR(__xludf.DUMMYFUNCTION("""COMPUTED_VALUE"""),"成本 - 進場前裝潢費")</f>
        <v>成本 - 進場前裝潢費</v>
      </c>
      <c r="D386" s="270">
        <f>IFERROR(__xludf.DUMMYFUNCTION("""COMPUTED_VALUE"""),-1289.0)</f>
        <v>-1289</v>
      </c>
      <c r="E386" t="str">
        <f>IFERROR(__xludf.DUMMYFUNCTION("""COMPUTED_VALUE"""),"Ben帳戶")</f>
        <v>Ben帳戶</v>
      </c>
      <c r="G386" t="str">
        <f>IFERROR(__xludf.DUMMYFUNCTION("""COMPUTED_VALUE"""),"大湖山莊")</f>
        <v>大湖山莊</v>
      </c>
      <c r="H386" s="106" t="str">
        <f t="shared" si="1"/>
        <v>2024-05</v>
      </c>
      <c r="I386" s="271" t="str">
        <f>IFERROR(__xludf.DUMMYFUNCTION("""COMPUTED_VALUE"""),"貓狗企鵝")</f>
        <v>貓狗企鵝</v>
      </c>
      <c r="J386" t="str">
        <f>IFERROR(__xludf.DUMMYFUNCTION("IFS(
  AND(REGEXMATCH(E386, ""台銀籌備帳戶|玉山帳戶""), REGEXMATCH(C386, ""薪資"")), ""分潤支出"",
  AND(REGEXMATCH(E386, ""Ben帳戶|Elsa帳戶|Ben代墊|Ariel代墊|中信銀行共用""), REGEXMATCH(F386, ""Ben帳戶|Elsa帳戶|Ben代墊|Ariel代墊|中信銀行共用"")), ""內部轉帳(忽略)"",
  AND(E386&lt;&gt;"""", F386&lt;&gt;"""", NOT(REG"&amp;"EXMATCH(C386, ""薪資""))), ""內部轉帳(忽略)"",
  REGEXMATCH(C386, ""薪資""), ""薪資變動(不計入)"",
  REGEXMATCH(C386, ""押金""), ""押金往來"",
  AND(E386&lt;&gt;"""", F386=""""), ""真實支出"",
  AND(E386="""", F386&lt;&gt;""""), ""真實收入"",
  TRUE, ""其他""
)"),"真實支出")</f>
        <v>真實支出</v>
      </c>
      <c r="K386" s="270">
        <f t="shared" si="2"/>
        <v>-1289</v>
      </c>
      <c r="L386">
        <f t="shared" si="3"/>
        <v>0</v>
      </c>
    </row>
    <row r="387">
      <c r="A387" s="107">
        <f>IFERROR(__xludf.DUMMYFUNCTION("""COMPUTED_VALUE"""),45418.0)</f>
        <v>45418</v>
      </c>
      <c r="B387" t="str">
        <f>IFERROR(__xludf.DUMMYFUNCTION("""COMPUTED_VALUE"""),"大湖螢光水電")</f>
        <v>大湖螢光水電</v>
      </c>
      <c r="C387" t="str">
        <f>IFERROR(__xludf.DUMMYFUNCTION("""COMPUTED_VALUE"""),"成本 - 進場前裝潢費")</f>
        <v>成本 - 進場前裝潢費</v>
      </c>
      <c r="D387" s="270">
        <f>IFERROR(__xludf.DUMMYFUNCTION("""COMPUTED_VALUE"""),-42630.0)</f>
        <v>-42630</v>
      </c>
      <c r="E387" t="str">
        <f>IFERROR(__xludf.DUMMYFUNCTION("""COMPUTED_VALUE"""),"Ben帳戶")</f>
        <v>Ben帳戶</v>
      </c>
      <c r="G387" t="str">
        <f>IFERROR(__xludf.DUMMYFUNCTION("""COMPUTED_VALUE"""),"大湖山莊")</f>
        <v>大湖山莊</v>
      </c>
      <c r="H387" s="106" t="str">
        <f t="shared" si="1"/>
        <v>2024-05</v>
      </c>
      <c r="I387" s="271" t="str">
        <f>IFERROR(__xludf.DUMMYFUNCTION("""COMPUTED_VALUE"""),"貓狗企鵝")</f>
        <v>貓狗企鵝</v>
      </c>
      <c r="J387" t="str">
        <f>IFERROR(__xludf.DUMMYFUNCTION("IFS(
  AND(REGEXMATCH(E387, ""台銀籌備帳戶|玉山帳戶""), REGEXMATCH(C387, ""薪資"")), ""分潤支出"",
  AND(REGEXMATCH(E387, ""Ben帳戶|Elsa帳戶|Ben代墊|Ariel代墊|中信銀行共用""), REGEXMATCH(F387, ""Ben帳戶|Elsa帳戶|Ben代墊|Ariel代墊|中信銀行共用"")), ""內部轉帳(忽略)"",
  AND(E387&lt;&gt;"""", F387&lt;&gt;"""", NOT(REG"&amp;"EXMATCH(C387, ""薪資""))), ""內部轉帳(忽略)"",
  REGEXMATCH(C387, ""薪資""), ""薪資變動(不計入)"",
  REGEXMATCH(C387, ""押金""), ""押金往來"",
  AND(E387&lt;&gt;"""", F387=""""), ""真實支出"",
  AND(E387="""", F387&lt;&gt;""""), ""真實收入"",
  TRUE, ""其他""
)"),"真實支出")</f>
        <v>真實支出</v>
      </c>
      <c r="K387" s="270">
        <f t="shared" si="2"/>
        <v>-42630</v>
      </c>
      <c r="L387">
        <f t="shared" si="3"/>
        <v>0</v>
      </c>
    </row>
    <row r="388">
      <c r="A388" s="107">
        <f>IFERROR(__xludf.DUMMYFUNCTION("""COMPUTED_VALUE"""),45419.0)</f>
        <v>45419</v>
      </c>
      <c r="B388" t="str">
        <f>IFERROR(__xludf.DUMMYFUNCTION("""COMPUTED_VALUE"""),"電子發票")</f>
        <v>電子發票</v>
      </c>
      <c r="C388" t="str">
        <f>IFERROR(__xludf.DUMMYFUNCTION("""COMPUTED_VALUE"""),"費用 - 辦公用品")</f>
        <v>費用 - 辦公用品</v>
      </c>
      <c r="D388" s="270">
        <f>IFERROR(__xludf.DUMMYFUNCTION("""COMPUTED_VALUE"""),-660.0)</f>
        <v>-660</v>
      </c>
      <c r="E388" t="str">
        <f>IFERROR(__xludf.DUMMYFUNCTION("""COMPUTED_VALUE"""),"Ben帳戶")</f>
        <v>Ben帳戶</v>
      </c>
      <c r="H388" s="106" t="str">
        <f t="shared" si="1"/>
        <v>2024-05</v>
      </c>
      <c r="I388" s="271" t="str">
        <f>IFERROR(__xludf.DUMMYFUNCTION("""COMPUTED_VALUE"""),"貓狗企鵝")</f>
        <v>貓狗企鵝</v>
      </c>
      <c r="J388" t="str">
        <f>IFERROR(__xludf.DUMMYFUNCTION("IFS(
  AND(REGEXMATCH(E388, ""台銀籌備帳戶|玉山帳戶""), REGEXMATCH(C388, ""薪資"")), ""分潤支出"",
  AND(REGEXMATCH(E388, ""Ben帳戶|Elsa帳戶|Ben代墊|Ariel代墊|中信銀行共用""), REGEXMATCH(F388, ""Ben帳戶|Elsa帳戶|Ben代墊|Ariel代墊|中信銀行共用"")), ""內部轉帳(忽略)"",
  AND(E388&lt;&gt;"""", F388&lt;&gt;"""", NOT(REG"&amp;"EXMATCH(C388, ""薪資""))), ""內部轉帳(忽略)"",
  REGEXMATCH(C388, ""薪資""), ""薪資變動(不計入)"",
  REGEXMATCH(C388, ""押金""), ""押金往來"",
  AND(E388&lt;&gt;"""", F388=""""), ""真實支出"",
  AND(E388="""", F388&lt;&gt;""""), ""真實收入"",
  TRUE, ""其他""
)"),"真實支出")</f>
        <v>真實支出</v>
      </c>
      <c r="K388" s="270">
        <f t="shared" si="2"/>
        <v>-660</v>
      </c>
      <c r="L388">
        <f t="shared" si="3"/>
        <v>0</v>
      </c>
    </row>
    <row r="389">
      <c r="A389" s="107">
        <f>IFERROR(__xludf.DUMMYFUNCTION("""COMPUTED_VALUE"""),45419.0)</f>
        <v>45419</v>
      </c>
      <c r="B389" t="str">
        <f>IFERROR(__xludf.DUMMYFUNCTION("""COMPUTED_VALUE"""),"大湖巧巧地板")</f>
        <v>大湖巧巧地板</v>
      </c>
      <c r="C389" t="str">
        <f>IFERROR(__xludf.DUMMYFUNCTION("""COMPUTED_VALUE"""),"成本 - 進場前裝潢費")</f>
        <v>成本 - 進場前裝潢費</v>
      </c>
      <c r="D389" s="270">
        <f>IFERROR(__xludf.DUMMYFUNCTION("""COMPUTED_VALUE"""),-46095.0)</f>
        <v>-46095</v>
      </c>
      <c r="E389" t="str">
        <f>IFERROR(__xludf.DUMMYFUNCTION("""COMPUTED_VALUE"""),"Elsa帳戶")</f>
        <v>Elsa帳戶</v>
      </c>
      <c r="G389" t="str">
        <f>IFERROR(__xludf.DUMMYFUNCTION("""COMPUTED_VALUE"""),"大湖山莊")</f>
        <v>大湖山莊</v>
      </c>
      <c r="H389" s="106" t="str">
        <f t="shared" si="1"/>
        <v>2024-05</v>
      </c>
      <c r="I389" s="271" t="str">
        <f>IFERROR(__xludf.DUMMYFUNCTION("""COMPUTED_VALUE"""),"貓狗企鵝")</f>
        <v>貓狗企鵝</v>
      </c>
      <c r="J389" t="str">
        <f>IFERROR(__xludf.DUMMYFUNCTION("IFS(
  AND(REGEXMATCH(E389, ""台銀籌備帳戶|玉山帳戶""), REGEXMATCH(C389, ""薪資"")), ""分潤支出"",
  AND(REGEXMATCH(E389, ""Ben帳戶|Elsa帳戶|Ben代墊|Ariel代墊|中信銀行共用""), REGEXMATCH(F389, ""Ben帳戶|Elsa帳戶|Ben代墊|Ariel代墊|中信銀行共用"")), ""內部轉帳(忽略)"",
  AND(E389&lt;&gt;"""", F389&lt;&gt;"""", NOT(REG"&amp;"EXMATCH(C389, ""薪資""))), ""內部轉帳(忽略)"",
  REGEXMATCH(C389, ""薪資""), ""薪資變動(不計入)"",
  REGEXMATCH(C389, ""押金""), ""押金往來"",
  AND(E389&lt;&gt;"""", F389=""""), ""真實支出"",
  AND(E389="""", F389&lt;&gt;""""), ""真實收入"",
  TRUE, ""其他""
)"),"真實支出")</f>
        <v>真實支出</v>
      </c>
      <c r="K389" s="270">
        <f t="shared" si="2"/>
        <v>-46095</v>
      </c>
      <c r="L389">
        <f t="shared" si="3"/>
        <v>0</v>
      </c>
    </row>
    <row r="390">
      <c r="A390" s="107">
        <f>IFERROR(__xludf.DUMMYFUNCTION("""COMPUTED_VALUE"""),45419.0)</f>
        <v>45419</v>
      </c>
      <c r="B390" t="str">
        <f>IFERROR(__xludf.DUMMYFUNCTION("""COMPUTED_VALUE"""),"通樂+C房套房掛衣桿")</f>
        <v>通樂+C房套房掛衣桿</v>
      </c>
      <c r="C390" t="str">
        <f>IFERROR(__xludf.DUMMYFUNCTION("""COMPUTED_VALUE"""),"成本 - 租後修繕")</f>
        <v>成本 - 租後修繕</v>
      </c>
      <c r="D390" s="270">
        <f>IFERROR(__xludf.DUMMYFUNCTION("""COMPUTED_VALUE"""),-270.0)</f>
        <v>-270</v>
      </c>
      <c r="E390" t="str">
        <f>IFERROR(__xludf.DUMMYFUNCTION("""COMPUTED_VALUE"""),"Elsa帳戶")</f>
        <v>Elsa帳戶</v>
      </c>
      <c r="G390" t="str">
        <f>IFERROR(__xludf.DUMMYFUNCTION("""COMPUTED_VALUE"""),"北醫醫師府")</f>
        <v>北醫醫師府</v>
      </c>
      <c r="H390" s="106" t="str">
        <f t="shared" si="1"/>
        <v>2024-05</v>
      </c>
      <c r="I390" s="271" t="str">
        <f>IFERROR(__xludf.DUMMYFUNCTION("""COMPUTED_VALUE"""),"貓狗企鵝")</f>
        <v>貓狗企鵝</v>
      </c>
      <c r="J390" t="str">
        <f>IFERROR(__xludf.DUMMYFUNCTION("IFS(
  AND(REGEXMATCH(E390, ""台銀籌備帳戶|玉山帳戶""), REGEXMATCH(C390, ""薪資"")), ""分潤支出"",
  AND(REGEXMATCH(E390, ""Ben帳戶|Elsa帳戶|Ben代墊|Ariel代墊|中信銀行共用""), REGEXMATCH(F390, ""Ben帳戶|Elsa帳戶|Ben代墊|Ariel代墊|中信銀行共用"")), ""內部轉帳(忽略)"",
  AND(E390&lt;&gt;"""", F390&lt;&gt;"""", NOT(REG"&amp;"EXMATCH(C390, ""薪資""))), ""內部轉帳(忽略)"",
  REGEXMATCH(C390, ""薪資""), ""薪資變動(不計入)"",
  REGEXMATCH(C390, ""押金""), ""押金往來"",
  AND(E390&lt;&gt;"""", F390=""""), ""真實支出"",
  AND(E390="""", F390&lt;&gt;""""), ""真實收入"",
  TRUE, ""其他""
)"),"真實支出")</f>
        <v>真實支出</v>
      </c>
      <c r="K390" s="270">
        <f t="shared" si="2"/>
        <v>-270</v>
      </c>
      <c r="L390">
        <f t="shared" si="3"/>
        <v>0</v>
      </c>
    </row>
    <row r="391">
      <c r="A391" s="107">
        <f>IFERROR(__xludf.DUMMYFUNCTION("""COMPUTED_VALUE"""),45420.0)</f>
        <v>45420</v>
      </c>
      <c r="B391" t="str">
        <f>IFERROR(__xludf.DUMMYFUNCTION("""COMPUTED_VALUE"""),"財政部冷氣補助*3台")</f>
        <v>財政部冷氣補助*3台</v>
      </c>
      <c r="C391" t="str">
        <f>IFERROR(__xludf.DUMMYFUNCTION("""COMPUTED_VALUE"""),"收入 - 政府補助/退稅")</f>
        <v>收入 - 政府補助/退稅</v>
      </c>
      <c r="D391" s="270">
        <f>IFERROR(__xludf.DUMMYFUNCTION("""COMPUTED_VALUE"""),4800.0)</f>
        <v>4800</v>
      </c>
      <c r="F391" t="str">
        <f>IFERROR(__xludf.DUMMYFUNCTION("""COMPUTED_VALUE"""),"Elsa帳戶")</f>
        <v>Elsa帳戶</v>
      </c>
      <c r="G391" t="str">
        <f>IFERROR(__xludf.DUMMYFUNCTION("""COMPUTED_VALUE"""),"北醫醫師府")</f>
        <v>北醫醫師府</v>
      </c>
      <c r="H391" s="106" t="str">
        <f t="shared" si="1"/>
        <v>2024-05</v>
      </c>
      <c r="I391" s="271" t="str">
        <f>IFERROR(__xludf.DUMMYFUNCTION("""COMPUTED_VALUE"""),"貓狗企鵝")</f>
        <v>貓狗企鵝</v>
      </c>
      <c r="J391" t="str">
        <f>IFERROR(__xludf.DUMMYFUNCTION("IFS(
  AND(REGEXMATCH(E391, ""台銀籌備帳戶|玉山帳戶""), REGEXMATCH(C391, ""薪資"")), ""分潤支出"",
  AND(REGEXMATCH(E391, ""Ben帳戶|Elsa帳戶|Ben代墊|Ariel代墊|中信銀行共用""), REGEXMATCH(F391, ""Ben帳戶|Elsa帳戶|Ben代墊|Ariel代墊|中信銀行共用"")), ""內部轉帳(忽略)"",
  AND(E391&lt;&gt;"""", F391&lt;&gt;"""", NOT(REG"&amp;"EXMATCH(C391, ""薪資""))), ""內部轉帳(忽略)"",
  REGEXMATCH(C391, ""薪資""), ""薪資變動(不計入)"",
  REGEXMATCH(C391, ""押金""), ""押金往來"",
  AND(E391&lt;&gt;"""", F391=""""), ""真實支出"",
  AND(E391="""", F391&lt;&gt;""""), ""真實收入"",
  TRUE, ""其他""
)"),"真實收入")</f>
        <v>真實收入</v>
      </c>
      <c r="K391" s="270">
        <f t="shared" si="2"/>
        <v>4800</v>
      </c>
      <c r="L391">
        <f t="shared" si="3"/>
        <v>0</v>
      </c>
    </row>
    <row r="392">
      <c r="A392" s="107">
        <f>IFERROR(__xludf.DUMMYFUNCTION("""COMPUTED_VALUE"""),45421.0)</f>
        <v>45421</v>
      </c>
      <c r="B392" t="str">
        <f>IFERROR(__xludf.DUMMYFUNCTION("""COMPUTED_VALUE"""),"大湖山莊G林文心 訂金")</f>
        <v>大湖山莊G林文心 訂金</v>
      </c>
      <c r="C392" t="str">
        <f>IFERROR(__xludf.DUMMYFUNCTION("""COMPUTED_VALUE"""),"收入 - 租金")</f>
        <v>收入 - 租金</v>
      </c>
      <c r="D392" s="270">
        <f>IFERROR(__xludf.DUMMYFUNCTION("""COMPUTED_VALUE"""),10000.0)</f>
        <v>10000</v>
      </c>
      <c r="F392" t="str">
        <f>IFERROR(__xludf.DUMMYFUNCTION("""COMPUTED_VALUE"""),"台銀籌備帳戶")</f>
        <v>台銀籌備帳戶</v>
      </c>
      <c r="G392" t="str">
        <f>IFERROR(__xludf.DUMMYFUNCTION("""COMPUTED_VALUE"""),"大湖山莊")</f>
        <v>大湖山莊</v>
      </c>
      <c r="H392" s="106" t="str">
        <f t="shared" si="1"/>
        <v>2024-05</v>
      </c>
      <c r="I392" s="271" t="str">
        <f>IFERROR(__xludf.DUMMYFUNCTION("""COMPUTED_VALUE"""),"貓狗企鵝")</f>
        <v>貓狗企鵝</v>
      </c>
      <c r="J392" t="str">
        <f>IFERROR(__xludf.DUMMYFUNCTION("IFS(
  AND(REGEXMATCH(E392, ""台銀籌備帳戶|玉山帳戶""), REGEXMATCH(C392, ""薪資"")), ""分潤支出"",
  AND(REGEXMATCH(E392, ""Ben帳戶|Elsa帳戶|Ben代墊|Ariel代墊|中信銀行共用""), REGEXMATCH(F392, ""Ben帳戶|Elsa帳戶|Ben代墊|Ariel代墊|中信銀行共用"")), ""內部轉帳(忽略)"",
  AND(E392&lt;&gt;"""", F392&lt;&gt;"""", NOT(REG"&amp;"EXMATCH(C392, ""薪資""))), ""內部轉帳(忽略)"",
  REGEXMATCH(C392, ""薪資""), ""薪資變動(不計入)"",
  REGEXMATCH(C392, ""押金""), ""押金往來"",
  AND(E392&lt;&gt;"""", F392=""""), ""真實支出"",
  AND(E392="""", F392&lt;&gt;""""), ""真實收入"",
  TRUE, ""其他""
)"),"真實收入")</f>
        <v>真實收入</v>
      </c>
      <c r="K392" s="270">
        <f t="shared" si="2"/>
        <v>10000</v>
      </c>
      <c r="L392">
        <f t="shared" si="3"/>
        <v>0</v>
      </c>
    </row>
    <row r="393">
      <c r="A393" s="107">
        <f>IFERROR(__xludf.DUMMYFUNCTION("""COMPUTED_VALUE"""),45422.0)</f>
        <v>45422</v>
      </c>
      <c r="B393" t="str">
        <f>IFERROR(__xludf.DUMMYFUNCTION("""COMPUTED_VALUE"""),"大湖水電費")</f>
        <v>大湖水電費</v>
      </c>
      <c r="C393" t="str">
        <f>IFERROR(__xludf.DUMMYFUNCTION("""COMPUTED_VALUE"""),"成本 - 進場前裝潢費")</f>
        <v>成本 - 進場前裝潢費</v>
      </c>
      <c r="D393" s="270">
        <f>IFERROR(__xludf.DUMMYFUNCTION("""COMPUTED_VALUE"""),-369.0)</f>
        <v>-369</v>
      </c>
      <c r="E393" t="str">
        <f>IFERROR(__xludf.DUMMYFUNCTION("""COMPUTED_VALUE"""),"Elsa帳戶")</f>
        <v>Elsa帳戶</v>
      </c>
      <c r="G393" t="str">
        <f>IFERROR(__xludf.DUMMYFUNCTION("""COMPUTED_VALUE"""),"大湖山莊")</f>
        <v>大湖山莊</v>
      </c>
      <c r="H393" s="106" t="str">
        <f t="shared" si="1"/>
        <v>2024-05</v>
      </c>
      <c r="I393" s="271" t="str">
        <f>IFERROR(__xludf.DUMMYFUNCTION("""COMPUTED_VALUE"""),"貓狗企鵝")</f>
        <v>貓狗企鵝</v>
      </c>
      <c r="J393" t="str">
        <f>IFERROR(__xludf.DUMMYFUNCTION("IFS(
  AND(REGEXMATCH(E393, ""台銀籌備帳戶|玉山帳戶""), REGEXMATCH(C393, ""薪資"")), ""分潤支出"",
  AND(REGEXMATCH(E393, ""Ben帳戶|Elsa帳戶|Ben代墊|Ariel代墊|中信銀行共用""), REGEXMATCH(F393, ""Ben帳戶|Elsa帳戶|Ben代墊|Ariel代墊|中信銀行共用"")), ""內部轉帳(忽略)"",
  AND(E393&lt;&gt;"""", F393&lt;&gt;"""", NOT(REG"&amp;"EXMATCH(C393, ""薪資""))), ""內部轉帳(忽略)"",
  REGEXMATCH(C393, ""薪資""), ""薪資變動(不計入)"",
  REGEXMATCH(C393, ""押金""), ""押金往來"",
  AND(E393&lt;&gt;"""", F393=""""), ""真實支出"",
  AND(E393="""", F393&lt;&gt;""""), ""真實收入"",
  TRUE, ""其他""
)"),"真實支出")</f>
        <v>真實支出</v>
      </c>
      <c r="K393" s="270">
        <f t="shared" si="2"/>
        <v>-369</v>
      </c>
      <c r="L393">
        <f t="shared" si="3"/>
        <v>0</v>
      </c>
    </row>
    <row r="394">
      <c r="A394" s="107">
        <f>IFERROR(__xludf.DUMMYFUNCTION("""COMPUTED_VALUE"""),45422.0)</f>
        <v>45422</v>
      </c>
      <c r="B394" t="str">
        <f>IFERROR(__xludf.DUMMYFUNCTION("""COMPUTED_VALUE"""),"心朋記帳服務")</f>
        <v>心朋記帳服務</v>
      </c>
      <c r="C394" t="str">
        <f>IFERROR(__xludf.DUMMYFUNCTION("""COMPUTED_VALUE"""),"費用 - 租用費用")</f>
        <v>費用 - 租用費用</v>
      </c>
      <c r="D394" s="270">
        <f>IFERROR(__xludf.DUMMYFUNCTION("""COMPUTED_VALUE"""),-60400.0)</f>
        <v>-60400</v>
      </c>
      <c r="E394" t="str">
        <f>IFERROR(__xludf.DUMMYFUNCTION("""COMPUTED_VALUE"""),"台銀籌備帳戶")</f>
        <v>台銀籌備帳戶</v>
      </c>
      <c r="H394" s="106" t="str">
        <f t="shared" si="1"/>
        <v>2024-05</v>
      </c>
      <c r="I394" s="271" t="str">
        <f>IFERROR(__xludf.DUMMYFUNCTION("""COMPUTED_VALUE"""),"貓狗企鵝")</f>
        <v>貓狗企鵝</v>
      </c>
      <c r="J394" t="str">
        <f>IFERROR(__xludf.DUMMYFUNCTION("IFS(
  AND(REGEXMATCH(E394, ""台銀籌備帳戶|玉山帳戶""), REGEXMATCH(C394, ""薪資"")), ""分潤支出"",
  AND(REGEXMATCH(E394, ""Ben帳戶|Elsa帳戶|Ben代墊|Ariel代墊|中信銀行共用""), REGEXMATCH(F394, ""Ben帳戶|Elsa帳戶|Ben代墊|Ariel代墊|中信銀行共用"")), ""內部轉帳(忽略)"",
  AND(E394&lt;&gt;"""", F394&lt;&gt;"""", NOT(REG"&amp;"EXMATCH(C394, ""薪資""))), ""內部轉帳(忽略)"",
  REGEXMATCH(C394, ""薪資""), ""薪資變動(不計入)"",
  REGEXMATCH(C394, ""押金""), ""押金往來"",
  AND(E394&lt;&gt;"""", F394=""""), ""真實支出"",
  AND(E394="""", F394&lt;&gt;""""), ""真實收入"",
  TRUE, ""其他""
)"),"真實支出")</f>
        <v>真實支出</v>
      </c>
      <c r="K394" s="270">
        <f t="shared" si="2"/>
        <v>-60400</v>
      </c>
      <c r="L394">
        <f t="shared" si="3"/>
        <v>0</v>
      </c>
    </row>
    <row r="395">
      <c r="A395" s="107">
        <f>IFERROR(__xludf.DUMMYFUNCTION("""COMPUTED_VALUE"""),45422.0)</f>
        <v>45422</v>
      </c>
      <c r="B395" t="str">
        <f>IFERROR(__xludf.DUMMYFUNCTION("""COMPUTED_VALUE"""),"心朋二代健保")</f>
        <v>心朋二代健保</v>
      </c>
      <c r="C395" t="str">
        <f>IFERROR(__xludf.DUMMYFUNCTION("""COMPUTED_VALUE"""),"成本 - 大租金")</f>
        <v>成本 - 大租金</v>
      </c>
      <c r="D395" s="270">
        <f>IFERROR(__xludf.DUMMYFUNCTION("""COMPUTED_VALUE"""),-11617.0)</f>
        <v>-11617</v>
      </c>
      <c r="E395" t="str">
        <f>IFERROR(__xludf.DUMMYFUNCTION("""COMPUTED_VALUE"""),"台銀籌備帳戶")</f>
        <v>台銀籌備帳戶</v>
      </c>
      <c r="H395" s="106" t="str">
        <f t="shared" si="1"/>
        <v>2024-05</v>
      </c>
      <c r="I395" s="271" t="str">
        <f>IFERROR(__xludf.DUMMYFUNCTION("""COMPUTED_VALUE"""),"貓狗企鵝")</f>
        <v>貓狗企鵝</v>
      </c>
      <c r="J395" t="str">
        <f>IFERROR(__xludf.DUMMYFUNCTION("IFS(
  AND(REGEXMATCH(E395, ""台銀籌備帳戶|玉山帳戶""), REGEXMATCH(C395, ""薪資"")), ""分潤支出"",
  AND(REGEXMATCH(E395, ""Ben帳戶|Elsa帳戶|Ben代墊|Ariel代墊|中信銀行共用""), REGEXMATCH(F395, ""Ben帳戶|Elsa帳戶|Ben代墊|Ariel代墊|中信銀行共用"")), ""內部轉帳(忽略)"",
  AND(E395&lt;&gt;"""", F395&lt;&gt;"""", NOT(REG"&amp;"EXMATCH(C395, ""薪資""))), ""內部轉帳(忽略)"",
  REGEXMATCH(C395, ""薪資""), ""薪資變動(不計入)"",
  REGEXMATCH(C395, ""押金""), ""押金往來"",
  AND(E395&lt;&gt;"""", F395=""""), ""真實支出"",
  AND(E395="""", F395&lt;&gt;""""), ""真實收入"",
  TRUE, ""其他""
)"),"真實支出")</f>
        <v>真實支出</v>
      </c>
      <c r="K395" s="270">
        <f t="shared" si="2"/>
        <v>-11617</v>
      </c>
      <c r="L395">
        <f t="shared" si="3"/>
        <v>0</v>
      </c>
    </row>
    <row r="396">
      <c r="A396" s="107">
        <f>IFERROR(__xludf.DUMMYFUNCTION("""COMPUTED_VALUE"""),45423.0)</f>
        <v>45423</v>
      </c>
      <c r="B396" t="str">
        <f>IFERROR(__xludf.DUMMYFUNCTION("""COMPUTED_VALUE"""),"哈拉對面B林宜芳")</f>
        <v>哈拉對面B林宜芳</v>
      </c>
      <c r="C396" t="str">
        <f>IFERROR(__xludf.DUMMYFUNCTION("""COMPUTED_VALUE"""),"收入 - 租金")</f>
        <v>收入 - 租金</v>
      </c>
      <c r="D396" s="270">
        <f>IFERROR(__xludf.DUMMYFUNCTION("""COMPUTED_VALUE"""),9550.0)</f>
        <v>9550</v>
      </c>
      <c r="F396" t="str">
        <f>IFERROR(__xludf.DUMMYFUNCTION("""COMPUTED_VALUE"""),"台銀籌備帳戶")</f>
        <v>台銀籌備帳戶</v>
      </c>
      <c r="G396" t="str">
        <f>IFERROR(__xludf.DUMMYFUNCTION("""COMPUTED_VALUE"""),"哈拉對面")</f>
        <v>哈拉對面</v>
      </c>
      <c r="H396" s="106" t="str">
        <f t="shared" si="1"/>
        <v>2024-05</v>
      </c>
      <c r="I396" s="271" t="str">
        <f>IFERROR(__xludf.DUMMYFUNCTION("""COMPUTED_VALUE"""),"貓狗企鵝")</f>
        <v>貓狗企鵝</v>
      </c>
      <c r="J396" t="str">
        <f>IFERROR(__xludf.DUMMYFUNCTION("IFS(
  AND(REGEXMATCH(E396, ""台銀籌備帳戶|玉山帳戶""), REGEXMATCH(C396, ""薪資"")), ""分潤支出"",
  AND(REGEXMATCH(E396, ""Ben帳戶|Elsa帳戶|Ben代墊|Ariel代墊|中信銀行共用""), REGEXMATCH(F396, ""Ben帳戶|Elsa帳戶|Ben代墊|Ariel代墊|中信銀行共用"")), ""內部轉帳(忽略)"",
  AND(E396&lt;&gt;"""", F396&lt;&gt;"""", NOT(REG"&amp;"EXMATCH(C396, ""薪資""))), ""內部轉帳(忽略)"",
  REGEXMATCH(C396, ""薪資""), ""薪資變動(不計入)"",
  REGEXMATCH(C396, ""押金""), ""押金往來"",
  AND(E396&lt;&gt;"""", F396=""""), ""真實支出"",
  AND(E396="""", F396&lt;&gt;""""), ""真實收入"",
  TRUE, ""其他""
)"),"真實收入")</f>
        <v>真實收入</v>
      </c>
      <c r="K396" s="270">
        <f t="shared" si="2"/>
        <v>9550</v>
      </c>
      <c r="L396">
        <f t="shared" si="3"/>
        <v>0</v>
      </c>
    </row>
    <row r="397">
      <c r="A397" s="107">
        <f>IFERROR(__xludf.DUMMYFUNCTION("""COMPUTED_VALUE"""),45424.0)</f>
        <v>45424</v>
      </c>
      <c r="B397" t="str">
        <f>IFERROR(__xludf.DUMMYFUNCTION("""COMPUTED_VALUE"""),"瓦斯+住警")</f>
        <v>瓦斯+住警</v>
      </c>
      <c r="C397" t="str">
        <f>IFERROR(__xludf.DUMMYFUNCTION("""COMPUTED_VALUE"""),"成本 - 進場前裝潢費")</f>
        <v>成本 - 進場前裝潢費</v>
      </c>
      <c r="D397" s="270">
        <f>IFERROR(__xludf.DUMMYFUNCTION("""COMPUTED_VALUE"""),-674.0)</f>
        <v>-674</v>
      </c>
      <c r="E397" t="str">
        <f>IFERROR(__xludf.DUMMYFUNCTION("""COMPUTED_VALUE"""),"Ben帳戶")</f>
        <v>Ben帳戶</v>
      </c>
      <c r="G397" t="str">
        <f>IFERROR(__xludf.DUMMYFUNCTION("""COMPUTED_VALUE"""),"大湖山莊")</f>
        <v>大湖山莊</v>
      </c>
      <c r="H397" s="106" t="str">
        <f t="shared" si="1"/>
        <v>2024-05</v>
      </c>
      <c r="I397" s="271" t="str">
        <f>IFERROR(__xludf.DUMMYFUNCTION("""COMPUTED_VALUE"""),"貓狗企鵝")</f>
        <v>貓狗企鵝</v>
      </c>
      <c r="J397" t="str">
        <f>IFERROR(__xludf.DUMMYFUNCTION("IFS(
  AND(REGEXMATCH(E397, ""台銀籌備帳戶|玉山帳戶""), REGEXMATCH(C397, ""薪資"")), ""分潤支出"",
  AND(REGEXMATCH(E397, ""Ben帳戶|Elsa帳戶|Ben代墊|Ariel代墊|中信銀行共用""), REGEXMATCH(F397, ""Ben帳戶|Elsa帳戶|Ben代墊|Ariel代墊|中信銀行共用"")), ""內部轉帳(忽略)"",
  AND(E397&lt;&gt;"""", F397&lt;&gt;"""", NOT(REG"&amp;"EXMATCH(C397, ""薪資""))), ""內部轉帳(忽略)"",
  REGEXMATCH(C397, ""薪資""), ""薪資變動(不計入)"",
  REGEXMATCH(C397, ""押金""), ""押金往來"",
  AND(E397&lt;&gt;"""", F397=""""), ""真實支出"",
  AND(E397="""", F397&lt;&gt;""""), ""真實收入"",
  TRUE, ""其他""
)"),"真實支出")</f>
        <v>真實支出</v>
      </c>
      <c r="K397" s="270">
        <f t="shared" si="2"/>
        <v>-674</v>
      </c>
      <c r="L397">
        <f t="shared" si="3"/>
        <v>0</v>
      </c>
    </row>
    <row r="398">
      <c r="A398" s="107">
        <f>IFERROR(__xludf.DUMMYFUNCTION("""COMPUTED_VALUE"""),45424.0)</f>
        <v>45424</v>
      </c>
      <c r="B398" t="str">
        <f>IFERROR(__xludf.DUMMYFUNCTION("""COMPUTED_VALUE"""),"大湖E定金 ")</f>
        <v>大湖E定金 </v>
      </c>
      <c r="C398" t="str">
        <f>IFERROR(__xludf.DUMMYFUNCTION("""COMPUTED_VALUE"""),"收入 - 租金")</f>
        <v>收入 - 租金</v>
      </c>
      <c r="D398" s="270">
        <f>IFERROR(__xludf.DUMMYFUNCTION("""COMPUTED_VALUE"""),10000.0)</f>
        <v>10000</v>
      </c>
      <c r="F398" t="str">
        <f>IFERROR(__xludf.DUMMYFUNCTION("""COMPUTED_VALUE"""),"Ben帳戶")</f>
        <v>Ben帳戶</v>
      </c>
      <c r="G398" t="str">
        <f>IFERROR(__xludf.DUMMYFUNCTION("""COMPUTED_VALUE"""),"大湖山莊")</f>
        <v>大湖山莊</v>
      </c>
      <c r="H398" s="106" t="str">
        <f t="shared" si="1"/>
        <v>2024-05</v>
      </c>
      <c r="I398" s="271" t="str">
        <f>IFERROR(__xludf.DUMMYFUNCTION("""COMPUTED_VALUE"""),"貓狗企鵝")</f>
        <v>貓狗企鵝</v>
      </c>
      <c r="J398" t="str">
        <f>IFERROR(__xludf.DUMMYFUNCTION("IFS(
  AND(REGEXMATCH(E398, ""台銀籌備帳戶|玉山帳戶""), REGEXMATCH(C398, ""薪資"")), ""分潤支出"",
  AND(REGEXMATCH(E398, ""Ben帳戶|Elsa帳戶|Ben代墊|Ariel代墊|中信銀行共用""), REGEXMATCH(F398, ""Ben帳戶|Elsa帳戶|Ben代墊|Ariel代墊|中信銀行共用"")), ""內部轉帳(忽略)"",
  AND(E398&lt;&gt;"""", F398&lt;&gt;"""", NOT(REG"&amp;"EXMATCH(C398, ""薪資""))), ""內部轉帳(忽略)"",
  REGEXMATCH(C398, ""薪資""), ""薪資變動(不計入)"",
  REGEXMATCH(C398, ""押金""), ""押金往來"",
  AND(E398&lt;&gt;"""", F398=""""), ""真實支出"",
  AND(E398="""", F398&lt;&gt;""""), ""真實收入"",
  TRUE, ""其他""
)"),"真實收入")</f>
        <v>真實收入</v>
      </c>
      <c r="K398" s="270">
        <f t="shared" si="2"/>
        <v>10000</v>
      </c>
      <c r="L398">
        <f t="shared" si="3"/>
        <v>0</v>
      </c>
    </row>
    <row r="399">
      <c r="A399" s="107">
        <f>IFERROR(__xludf.DUMMYFUNCTION("""COMPUTED_VALUE"""),45424.0)</f>
        <v>45424</v>
      </c>
      <c r="B399" t="str">
        <f>IFERROR(__xludf.DUMMYFUNCTION("""COMPUTED_VALUE"""),"大湖 窗簾桿")</f>
        <v>大湖 窗簾桿</v>
      </c>
      <c r="C399" t="str">
        <f>IFERROR(__xludf.DUMMYFUNCTION("""COMPUTED_VALUE"""),"成本 - 進場前裝潢費")</f>
        <v>成本 - 進場前裝潢費</v>
      </c>
      <c r="D399" s="270">
        <f>IFERROR(__xludf.DUMMYFUNCTION("""COMPUTED_VALUE"""),-4655.0)</f>
        <v>-4655</v>
      </c>
      <c r="E399" t="str">
        <f>IFERROR(__xludf.DUMMYFUNCTION("""COMPUTED_VALUE"""),"Ben帳戶")</f>
        <v>Ben帳戶</v>
      </c>
      <c r="G399" t="str">
        <f>IFERROR(__xludf.DUMMYFUNCTION("""COMPUTED_VALUE"""),"大湖山莊")</f>
        <v>大湖山莊</v>
      </c>
      <c r="H399" s="106" t="str">
        <f t="shared" si="1"/>
        <v>2024-05</v>
      </c>
      <c r="I399" s="271" t="str">
        <f>IFERROR(__xludf.DUMMYFUNCTION("""COMPUTED_VALUE"""),"貓狗企鵝")</f>
        <v>貓狗企鵝</v>
      </c>
      <c r="J399" t="str">
        <f>IFERROR(__xludf.DUMMYFUNCTION("IFS(
  AND(REGEXMATCH(E399, ""台銀籌備帳戶|玉山帳戶""), REGEXMATCH(C399, ""薪資"")), ""分潤支出"",
  AND(REGEXMATCH(E399, ""Ben帳戶|Elsa帳戶|Ben代墊|Ariel代墊|中信銀行共用""), REGEXMATCH(F399, ""Ben帳戶|Elsa帳戶|Ben代墊|Ariel代墊|中信銀行共用"")), ""內部轉帳(忽略)"",
  AND(E399&lt;&gt;"""", F399&lt;&gt;"""", NOT(REG"&amp;"EXMATCH(C399, ""薪資""))), ""內部轉帳(忽略)"",
  REGEXMATCH(C399, ""薪資""), ""薪資變動(不計入)"",
  REGEXMATCH(C399, ""押金""), ""押金往來"",
  AND(E399&lt;&gt;"""", F399=""""), ""真實支出"",
  AND(E399="""", F399&lt;&gt;""""), ""真實收入"",
  TRUE, ""其他""
)"),"真實支出")</f>
        <v>真實支出</v>
      </c>
      <c r="K399" s="270">
        <f t="shared" si="2"/>
        <v>-4655</v>
      </c>
      <c r="L399">
        <f t="shared" si="3"/>
        <v>0</v>
      </c>
    </row>
    <row r="400">
      <c r="A400" s="107">
        <f>IFERROR(__xludf.DUMMYFUNCTION("""COMPUTED_VALUE"""),45424.0)</f>
        <v>45424</v>
      </c>
      <c r="B400" t="str">
        <f>IFERROR(__xludf.DUMMYFUNCTION("""COMPUTED_VALUE"""),"大湖山莊F 高千涵訂金")</f>
        <v>大湖山莊F 高千涵訂金</v>
      </c>
      <c r="C400" t="str">
        <f>IFERROR(__xludf.DUMMYFUNCTION("""COMPUTED_VALUE"""),"收入 - 租金")</f>
        <v>收入 - 租金</v>
      </c>
      <c r="D400" s="270">
        <f>IFERROR(__xludf.DUMMYFUNCTION("""COMPUTED_VALUE"""),10000.0)</f>
        <v>10000</v>
      </c>
      <c r="F400" t="str">
        <f>IFERROR(__xludf.DUMMYFUNCTION("""COMPUTED_VALUE"""),"台銀籌備帳戶")</f>
        <v>台銀籌備帳戶</v>
      </c>
      <c r="G400" t="str">
        <f>IFERROR(__xludf.DUMMYFUNCTION("""COMPUTED_VALUE"""),"大湖山莊")</f>
        <v>大湖山莊</v>
      </c>
      <c r="H400" s="106" t="str">
        <f t="shared" si="1"/>
        <v>2024-05</v>
      </c>
      <c r="I400" s="271" t="str">
        <f>IFERROR(__xludf.DUMMYFUNCTION("""COMPUTED_VALUE"""),"貓狗企鵝")</f>
        <v>貓狗企鵝</v>
      </c>
      <c r="J400" t="str">
        <f>IFERROR(__xludf.DUMMYFUNCTION("IFS(
  AND(REGEXMATCH(E400, ""台銀籌備帳戶|玉山帳戶""), REGEXMATCH(C400, ""薪資"")), ""分潤支出"",
  AND(REGEXMATCH(E400, ""Ben帳戶|Elsa帳戶|Ben代墊|Ariel代墊|中信銀行共用""), REGEXMATCH(F400, ""Ben帳戶|Elsa帳戶|Ben代墊|Ariel代墊|中信銀行共用"")), ""內部轉帳(忽略)"",
  AND(E400&lt;&gt;"""", F400&lt;&gt;"""", NOT(REG"&amp;"EXMATCH(C400, ""薪資""))), ""內部轉帳(忽略)"",
  REGEXMATCH(C400, ""薪資""), ""薪資變動(不計入)"",
  REGEXMATCH(C400, ""押金""), ""押金往來"",
  AND(E400&lt;&gt;"""", F400=""""), ""真實支出"",
  AND(E400="""", F400&lt;&gt;""""), ""真實收入"",
  TRUE, ""其他""
)"),"真實收入")</f>
        <v>真實收入</v>
      </c>
      <c r="K400" s="270">
        <f t="shared" si="2"/>
        <v>10000</v>
      </c>
      <c r="L400">
        <f t="shared" si="3"/>
        <v>0</v>
      </c>
    </row>
    <row r="401">
      <c r="A401" s="107">
        <f>IFERROR(__xludf.DUMMYFUNCTION("""COMPUTED_VALUE"""),45424.0)</f>
        <v>45424</v>
      </c>
      <c r="B401" t="str">
        <f>IFERROR(__xludf.DUMMYFUNCTION("""COMPUTED_VALUE"""),"大湖山莊D陳昭瑄")</f>
        <v>大湖山莊D陳昭瑄</v>
      </c>
      <c r="C401" t="str">
        <f>IFERROR(__xludf.DUMMYFUNCTION("""COMPUTED_VALUE"""),"收入 - 租金")</f>
        <v>收入 - 租金</v>
      </c>
      <c r="D401" s="270">
        <f>IFERROR(__xludf.DUMMYFUNCTION("""COMPUTED_VALUE"""),10000.0)</f>
        <v>10000</v>
      </c>
      <c r="F401" t="str">
        <f>IFERROR(__xludf.DUMMYFUNCTION("""COMPUTED_VALUE"""),"台銀籌備帳戶")</f>
        <v>台銀籌備帳戶</v>
      </c>
      <c r="G401" t="str">
        <f>IFERROR(__xludf.DUMMYFUNCTION("""COMPUTED_VALUE"""),"大湖山莊")</f>
        <v>大湖山莊</v>
      </c>
      <c r="H401" s="106" t="str">
        <f t="shared" si="1"/>
        <v>2024-05</v>
      </c>
      <c r="I401" s="271" t="str">
        <f>IFERROR(__xludf.DUMMYFUNCTION("""COMPUTED_VALUE"""),"貓狗企鵝")</f>
        <v>貓狗企鵝</v>
      </c>
      <c r="J401" t="str">
        <f>IFERROR(__xludf.DUMMYFUNCTION("IFS(
  AND(REGEXMATCH(E401, ""台銀籌備帳戶|玉山帳戶""), REGEXMATCH(C401, ""薪資"")), ""分潤支出"",
  AND(REGEXMATCH(E401, ""Ben帳戶|Elsa帳戶|Ben代墊|Ariel代墊|中信銀行共用""), REGEXMATCH(F401, ""Ben帳戶|Elsa帳戶|Ben代墊|Ariel代墊|中信銀行共用"")), ""內部轉帳(忽略)"",
  AND(E401&lt;&gt;"""", F401&lt;&gt;"""", NOT(REG"&amp;"EXMATCH(C401, ""薪資""))), ""內部轉帳(忽略)"",
  REGEXMATCH(C401, ""薪資""), ""薪資變動(不計入)"",
  REGEXMATCH(C401, ""押金""), ""押金往來"",
  AND(E401&lt;&gt;"""", F401=""""), ""真實支出"",
  AND(E401="""", F401&lt;&gt;""""), ""真實收入"",
  TRUE, ""其他""
)"),"真實收入")</f>
        <v>真實收入</v>
      </c>
      <c r="K401" s="270">
        <f t="shared" si="2"/>
        <v>10000</v>
      </c>
      <c r="L401">
        <f t="shared" si="3"/>
        <v>0</v>
      </c>
    </row>
    <row r="402">
      <c r="A402" s="107">
        <f>IFERROR(__xludf.DUMMYFUNCTION("""COMPUTED_VALUE"""),45424.0)</f>
        <v>45424</v>
      </c>
      <c r="B402" t="str">
        <f>IFERROR(__xludf.DUMMYFUNCTION("""COMPUTED_VALUE"""),"大湖山莊B施惠卿")</f>
        <v>大湖山莊B施惠卿</v>
      </c>
      <c r="C402" t="str">
        <f>IFERROR(__xludf.DUMMYFUNCTION("""COMPUTED_VALUE"""),"收入 - 租金")</f>
        <v>收入 - 租金</v>
      </c>
      <c r="D402" s="270">
        <f>IFERROR(__xludf.DUMMYFUNCTION("""COMPUTED_VALUE"""),10000.0)</f>
        <v>10000</v>
      </c>
      <c r="F402" t="str">
        <f>IFERROR(__xludf.DUMMYFUNCTION("""COMPUTED_VALUE"""),"台銀籌備帳戶")</f>
        <v>台銀籌備帳戶</v>
      </c>
      <c r="G402" t="str">
        <f>IFERROR(__xludf.DUMMYFUNCTION("""COMPUTED_VALUE"""),"大湖山莊")</f>
        <v>大湖山莊</v>
      </c>
      <c r="H402" s="106" t="str">
        <f t="shared" si="1"/>
        <v>2024-05</v>
      </c>
      <c r="I402" s="271" t="str">
        <f>IFERROR(__xludf.DUMMYFUNCTION("""COMPUTED_VALUE"""),"貓狗企鵝")</f>
        <v>貓狗企鵝</v>
      </c>
      <c r="J402" t="str">
        <f>IFERROR(__xludf.DUMMYFUNCTION("IFS(
  AND(REGEXMATCH(E402, ""台銀籌備帳戶|玉山帳戶""), REGEXMATCH(C402, ""薪資"")), ""分潤支出"",
  AND(REGEXMATCH(E402, ""Ben帳戶|Elsa帳戶|Ben代墊|Ariel代墊|中信銀行共用""), REGEXMATCH(F402, ""Ben帳戶|Elsa帳戶|Ben代墊|Ariel代墊|中信銀行共用"")), ""內部轉帳(忽略)"",
  AND(E402&lt;&gt;"""", F402&lt;&gt;"""", NOT(REG"&amp;"EXMATCH(C402, ""薪資""))), ""內部轉帳(忽略)"",
  REGEXMATCH(C402, ""薪資""), ""薪資變動(不計入)"",
  REGEXMATCH(C402, ""押金""), ""押金往來"",
  AND(E402&lt;&gt;"""", F402=""""), ""真實支出"",
  AND(E402="""", F402&lt;&gt;""""), ""真實收入"",
  TRUE, ""其他""
)"),"真實收入")</f>
        <v>真實收入</v>
      </c>
      <c r="K402" s="270">
        <f t="shared" si="2"/>
        <v>10000</v>
      </c>
      <c r="L402">
        <f t="shared" si="3"/>
        <v>0</v>
      </c>
    </row>
    <row r="403">
      <c r="A403" s="107">
        <f>IFERROR(__xludf.DUMMYFUNCTION("""COMPUTED_VALUE"""),45424.0)</f>
        <v>45424</v>
      </c>
      <c r="B403" t="str">
        <f>IFERROR(__xludf.DUMMYFUNCTION("""COMPUTED_VALUE"""),"大湖山莊C吳亭逸")</f>
        <v>大湖山莊C吳亭逸</v>
      </c>
      <c r="C403" t="str">
        <f>IFERROR(__xludf.DUMMYFUNCTION("""COMPUTED_VALUE"""),"收入 - 租金")</f>
        <v>收入 - 租金</v>
      </c>
      <c r="D403" s="270">
        <f>IFERROR(__xludf.DUMMYFUNCTION("""COMPUTED_VALUE"""),10000.0)</f>
        <v>10000</v>
      </c>
      <c r="F403" t="str">
        <f>IFERROR(__xludf.DUMMYFUNCTION("""COMPUTED_VALUE"""),"台銀籌備帳戶")</f>
        <v>台銀籌備帳戶</v>
      </c>
      <c r="G403" t="str">
        <f>IFERROR(__xludf.DUMMYFUNCTION("""COMPUTED_VALUE"""),"大湖山莊")</f>
        <v>大湖山莊</v>
      </c>
      <c r="H403" s="106" t="str">
        <f t="shared" si="1"/>
        <v>2024-05</v>
      </c>
      <c r="I403" s="271" t="str">
        <f>IFERROR(__xludf.DUMMYFUNCTION("""COMPUTED_VALUE"""),"貓狗企鵝")</f>
        <v>貓狗企鵝</v>
      </c>
      <c r="J403" t="str">
        <f>IFERROR(__xludf.DUMMYFUNCTION("IFS(
  AND(REGEXMATCH(E403, ""台銀籌備帳戶|玉山帳戶""), REGEXMATCH(C403, ""薪資"")), ""分潤支出"",
  AND(REGEXMATCH(E403, ""Ben帳戶|Elsa帳戶|Ben代墊|Ariel代墊|中信銀行共用""), REGEXMATCH(F403, ""Ben帳戶|Elsa帳戶|Ben代墊|Ariel代墊|中信銀行共用"")), ""內部轉帳(忽略)"",
  AND(E403&lt;&gt;"""", F403&lt;&gt;"""", NOT(REG"&amp;"EXMATCH(C403, ""薪資""))), ""內部轉帳(忽略)"",
  REGEXMATCH(C403, ""薪資""), ""薪資變動(不計入)"",
  REGEXMATCH(C403, ""押金""), ""押金往來"",
  AND(E403&lt;&gt;"""", F403=""""), ""真實支出"",
  AND(E403="""", F403&lt;&gt;""""), ""真實收入"",
  TRUE, ""其他""
)"),"真實收入")</f>
        <v>真實收入</v>
      </c>
      <c r="K403" s="270">
        <f t="shared" si="2"/>
        <v>10000</v>
      </c>
      <c r="L403">
        <f t="shared" si="3"/>
        <v>0</v>
      </c>
    </row>
    <row r="404">
      <c r="A404" s="107">
        <f>IFERROR(__xludf.DUMMYFUNCTION("""COMPUTED_VALUE"""),45426.0)</f>
        <v>45426</v>
      </c>
      <c r="B404" t="str">
        <f>IFERROR(__xludf.DUMMYFUNCTION("""COMPUTED_VALUE"""),"大湖 清潔")</f>
        <v>大湖 清潔</v>
      </c>
      <c r="C404" t="str">
        <f>IFERROR(__xludf.DUMMYFUNCTION("""COMPUTED_VALUE"""),"成本 - 進場前裝潢費")</f>
        <v>成本 - 進場前裝潢費</v>
      </c>
      <c r="D404" s="270">
        <f>IFERROR(__xludf.DUMMYFUNCTION("""COMPUTED_VALUE"""),-1400.0)</f>
        <v>-1400</v>
      </c>
      <c r="E404" t="str">
        <f>IFERROR(__xludf.DUMMYFUNCTION("""COMPUTED_VALUE"""),"Ben帳戶")</f>
        <v>Ben帳戶</v>
      </c>
      <c r="G404" t="str">
        <f>IFERROR(__xludf.DUMMYFUNCTION("""COMPUTED_VALUE"""),"大湖山莊")</f>
        <v>大湖山莊</v>
      </c>
      <c r="H404" s="106" t="str">
        <f t="shared" si="1"/>
        <v>2024-05</v>
      </c>
      <c r="I404" s="271" t="str">
        <f>IFERROR(__xludf.DUMMYFUNCTION("""COMPUTED_VALUE"""),"貓狗企鵝")</f>
        <v>貓狗企鵝</v>
      </c>
      <c r="J404" t="str">
        <f>IFERROR(__xludf.DUMMYFUNCTION("IFS(
  AND(REGEXMATCH(E404, ""台銀籌備帳戶|玉山帳戶""), REGEXMATCH(C404, ""薪資"")), ""分潤支出"",
  AND(REGEXMATCH(E404, ""Ben帳戶|Elsa帳戶|Ben代墊|Ariel代墊|中信銀行共用""), REGEXMATCH(F404, ""Ben帳戶|Elsa帳戶|Ben代墊|Ariel代墊|中信銀行共用"")), ""內部轉帳(忽略)"",
  AND(E404&lt;&gt;"""", F404&lt;&gt;"""", NOT(REG"&amp;"EXMATCH(C404, ""薪資""))), ""內部轉帳(忽略)"",
  REGEXMATCH(C404, ""薪資""), ""薪資變動(不計入)"",
  REGEXMATCH(C404, ""押金""), ""押金往來"",
  AND(E404&lt;&gt;"""", F404=""""), ""真實支出"",
  AND(E404="""", F404&lt;&gt;""""), ""真實收入"",
  TRUE, ""其他""
)"),"真實支出")</f>
        <v>真實支出</v>
      </c>
      <c r="K404" s="270">
        <f t="shared" si="2"/>
        <v>-1400</v>
      </c>
      <c r="L404">
        <f t="shared" si="3"/>
        <v>0</v>
      </c>
    </row>
    <row r="405">
      <c r="A405" s="107">
        <f>IFERROR(__xludf.DUMMYFUNCTION("""COMPUTED_VALUE"""),45426.0)</f>
        <v>45426</v>
      </c>
      <c r="B405" t="str">
        <f>IFERROR(__xludf.DUMMYFUNCTION("""COMPUTED_VALUE"""),"大湖 鑰匙")</f>
        <v>大湖 鑰匙</v>
      </c>
      <c r="C405" t="str">
        <f>IFERROR(__xludf.DUMMYFUNCTION("""COMPUTED_VALUE"""),"成本 - 進場前裝潢費")</f>
        <v>成本 - 進場前裝潢費</v>
      </c>
      <c r="D405" s="270">
        <f>IFERROR(__xludf.DUMMYFUNCTION("""COMPUTED_VALUE"""),-700.0)</f>
        <v>-700</v>
      </c>
      <c r="E405" t="str">
        <f>IFERROR(__xludf.DUMMYFUNCTION("""COMPUTED_VALUE"""),"Ben帳戶")</f>
        <v>Ben帳戶</v>
      </c>
      <c r="G405" t="str">
        <f>IFERROR(__xludf.DUMMYFUNCTION("""COMPUTED_VALUE"""),"大湖山莊")</f>
        <v>大湖山莊</v>
      </c>
      <c r="H405" s="106" t="str">
        <f t="shared" si="1"/>
        <v>2024-05</v>
      </c>
      <c r="I405" s="271" t="str">
        <f>IFERROR(__xludf.DUMMYFUNCTION("""COMPUTED_VALUE"""),"貓狗企鵝")</f>
        <v>貓狗企鵝</v>
      </c>
      <c r="J405" t="str">
        <f>IFERROR(__xludf.DUMMYFUNCTION("IFS(
  AND(REGEXMATCH(E405, ""台銀籌備帳戶|玉山帳戶""), REGEXMATCH(C405, ""薪資"")), ""分潤支出"",
  AND(REGEXMATCH(E405, ""Ben帳戶|Elsa帳戶|Ben代墊|Ariel代墊|中信銀行共用""), REGEXMATCH(F405, ""Ben帳戶|Elsa帳戶|Ben代墊|Ariel代墊|中信銀行共用"")), ""內部轉帳(忽略)"",
  AND(E405&lt;&gt;"""", F405&lt;&gt;"""", NOT(REG"&amp;"EXMATCH(C405, ""薪資""))), ""內部轉帳(忽略)"",
  REGEXMATCH(C405, ""薪資""), ""薪資變動(不計入)"",
  REGEXMATCH(C405, ""押金""), ""押金往來"",
  AND(E405&lt;&gt;"""", F405=""""), ""真實支出"",
  AND(E405="""", F405&lt;&gt;""""), ""真實收入"",
  TRUE, ""其他""
)"),"真實支出")</f>
        <v>真實支出</v>
      </c>
      <c r="K405" s="270">
        <f t="shared" si="2"/>
        <v>-700</v>
      </c>
      <c r="L405">
        <f t="shared" si="3"/>
        <v>0</v>
      </c>
    </row>
    <row r="406">
      <c r="A406" s="107">
        <f>IFERROR(__xludf.DUMMYFUNCTION("""COMPUTED_VALUE"""),45426.0)</f>
        <v>45426</v>
      </c>
      <c r="B406" t="str">
        <f>IFERROR(__xludf.DUMMYFUNCTION("""COMPUTED_VALUE"""),"國稅?")</f>
        <v>國稅?</v>
      </c>
      <c r="C406" t="str">
        <f>IFERROR(__xludf.DUMMYFUNCTION("""COMPUTED_VALUE"""),"收入 - 政府補助/退稅")</f>
        <v>收入 - 政府補助/退稅</v>
      </c>
      <c r="D406" s="270">
        <f>IFERROR(__xludf.DUMMYFUNCTION("""COMPUTED_VALUE"""),2000.0)</f>
        <v>2000</v>
      </c>
      <c r="F406" t="str">
        <f>IFERROR(__xludf.DUMMYFUNCTION("""COMPUTED_VALUE"""),"台銀籌備帳戶")</f>
        <v>台銀籌備帳戶</v>
      </c>
      <c r="H406" s="106" t="str">
        <f t="shared" si="1"/>
        <v>2024-05</v>
      </c>
      <c r="I406" s="271" t="str">
        <f>IFERROR(__xludf.DUMMYFUNCTION("""COMPUTED_VALUE"""),"貓狗企鵝")</f>
        <v>貓狗企鵝</v>
      </c>
      <c r="J406" t="str">
        <f>IFERROR(__xludf.DUMMYFUNCTION("IFS(
  AND(REGEXMATCH(E406, ""台銀籌備帳戶|玉山帳戶""), REGEXMATCH(C406, ""薪資"")), ""分潤支出"",
  AND(REGEXMATCH(E406, ""Ben帳戶|Elsa帳戶|Ben代墊|Ariel代墊|中信銀行共用""), REGEXMATCH(F406, ""Ben帳戶|Elsa帳戶|Ben代墊|Ariel代墊|中信銀行共用"")), ""內部轉帳(忽略)"",
  AND(E406&lt;&gt;"""", F406&lt;&gt;"""", NOT(REG"&amp;"EXMATCH(C406, ""薪資""))), ""內部轉帳(忽略)"",
  REGEXMATCH(C406, ""薪資""), ""薪資變動(不計入)"",
  REGEXMATCH(C406, ""押金""), ""押金往來"",
  AND(E406&lt;&gt;"""", F406=""""), ""真實支出"",
  AND(E406="""", F406&lt;&gt;""""), ""真實收入"",
  TRUE, ""其他""
)"),"真實收入")</f>
        <v>真實收入</v>
      </c>
      <c r="K406" s="270">
        <f t="shared" si="2"/>
        <v>2000</v>
      </c>
      <c r="L406">
        <f t="shared" si="3"/>
        <v>0</v>
      </c>
    </row>
    <row r="407">
      <c r="A407" s="107">
        <f>IFERROR(__xludf.DUMMYFUNCTION("""COMPUTED_VALUE"""),45427.0)</f>
        <v>45427</v>
      </c>
      <c r="B407" t="str">
        <f>IFERROR(__xludf.DUMMYFUNCTION("""COMPUTED_VALUE"""),"退大湖C童童定金")</f>
        <v>退大湖C童童定金</v>
      </c>
      <c r="C407" t="str">
        <f>IFERROR(__xludf.DUMMYFUNCTION("""COMPUTED_VALUE"""),"收入 - 租金")</f>
        <v>收入 - 租金</v>
      </c>
      <c r="D407" s="270">
        <f>IFERROR(__xludf.DUMMYFUNCTION("""COMPUTED_VALUE"""),-10000.0)</f>
        <v>-10000</v>
      </c>
      <c r="E407" t="str">
        <f>IFERROR(__xludf.DUMMYFUNCTION("""COMPUTED_VALUE"""),"Ben帳戶")</f>
        <v>Ben帳戶</v>
      </c>
      <c r="G407" t="str">
        <f>IFERROR(__xludf.DUMMYFUNCTION("""COMPUTED_VALUE"""),"大湖山莊")</f>
        <v>大湖山莊</v>
      </c>
      <c r="H407" s="106" t="str">
        <f t="shared" si="1"/>
        <v>2024-05</v>
      </c>
      <c r="I407" s="271" t="str">
        <f>IFERROR(__xludf.DUMMYFUNCTION("""COMPUTED_VALUE"""),"貓狗企鵝")</f>
        <v>貓狗企鵝</v>
      </c>
      <c r="J407" t="str">
        <f>IFERROR(__xludf.DUMMYFUNCTION("IFS(
  AND(REGEXMATCH(E407, ""台銀籌備帳戶|玉山帳戶""), REGEXMATCH(C407, ""薪資"")), ""分潤支出"",
  AND(REGEXMATCH(E407, ""Ben帳戶|Elsa帳戶|Ben代墊|Ariel代墊|中信銀行共用""), REGEXMATCH(F407, ""Ben帳戶|Elsa帳戶|Ben代墊|Ariel代墊|中信銀行共用"")), ""內部轉帳(忽略)"",
  AND(E407&lt;&gt;"""", F407&lt;&gt;"""", NOT(REG"&amp;"EXMATCH(C407, ""薪資""))), ""內部轉帳(忽略)"",
  REGEXMATCH(C407, ""薪資""), ""薪資變動(不計入)"",
  REGEXMATCH(C407, ""押金""), ""押金往來"",
  AND(E407&lt;&gt;"""", F407=""""), ""真實支出"",
  AND(E407="""", F407&lt;&gt;""""), ""真實收入"",
  TRUE, ""其他""
)"),"真實支出")</f>
        <v>真實支出</v>
      </c>
      <c r="K407" s="270">
        <f t="shared" si="2"/>
        <v>-10000</v>
      </c>
      <c r="L407">
        <f t="shared" si="3"/>
        <v>0</v>
      </c>
    </row>
    <row r="408">
      <c r="A408" s="107">
        <f>IFERROR(__xludf.DUMMYFUNCTION("""COMPUTED_VALUE"""),45427.0)</f>
        <v>45427</v>
      </c>
      <c r="B408" t="str">
        <f>IFERROR(__xludf.DUMMYFUNCTION("""COMPUTED_VALUE"""),"輕隔間+木門")</f>
        <v>輕隔間+木門</v>
      </c>
      <c r="C408" t="str">
        <f>IFERROR(__xludf.DUMMYFUNCTION("""COMPUTED_VALUE"""),"成本 - 進場前裝潢費")</f>
        <v>成本 - 進場前裝潢費</v>
      </c>
      <c r="D408" s="270">
        <f>IFERROR(__xludf.DUMMYFUNCTION("""COMPUTED_VALUE"""),-67935.0)</f>
        <v>-67935</v>
      </c>
      <c r="E408" t="str">
        <f>IFERROR(__xludf.DUMMYFUNCTION("""COMPUTED_VALUE"""),"Elsa帳戶")</f>
        <v>Elsa帳戶</v>
      </c>
      <c r="G408" t="str">
        <f>IFERROR(__xludf.DUMMYFUNCTION("""COMPUTED_VALUE"""),"大湖山莊")</f>
        <v>大湖山莊</v>
      </c>
      <c r="H408" s="106" t="str">
        <f t="shared" si="1"/>
        <v>2024-05</v>
      </c>
      <c r="I408" s="271" t="str">
        <f>IFERROR(__xludf.DUMMYFUNCTION("""COMPUTED_VALUE"""),"貓狗企鵝")</f>
        <v>貓狗企鵝</v>
      </c>
      <c r="J408" t="str">
        <f>IFERROR(__xludf.DUMMYFUNCTION("IFS(
  AND(REGEXMATCH(E408, ""台銀籌備帳戶|玉山帳戶""), REGEXMATCH(C408, ""薪資"")), ""分潤支出"",
  AND(REGEXMATCH(E408, ""Ben帳戶|Elsa帳戶|Ben代墊|Ariel代墊|中信銀行共用""), REGEXMATCH(F408, ""Ben帳戶|Elsa帳戶|Ben代墊|Ariel代墊|中信銀行共用"")), ""內部轉帳(忽略)"",
  AND(E408&lt;&gt;"""", F408&lt;&gt;"""", NOT(REG"&amp;"EXMATCH(C408, ""薪資""))), ""內部轉帳(忽略)"",
  REGEXMATCH(C408, ""薪資""), ""薪資變動(不計入)"",
  REGEXMATCH(C408, ""押金""), ""押金往來"",
  AND(E408&lt;&gt;"""", F408=""""), ""真實支出"",
  AND(E408="""", F408&lt;&gt;""""), ""真實收入"",
  TRUE, ""其他""
)"),"真實支出")</f>
        <v>真實支出</v>
      </c>
      <c r="K408" s="270">
        <f t="shared" si="2"/>
        <v>-67935</v>
      </c>
      <c r="L408">
        <f t="shared" si="3"/>
        <v>0</v>
      </c>
    </row>
    <row r="409">
      <c r="A409" s="107">
        <f>IFERROR(__xludf.DUMMYFUNCTION("""COMPUTED_VALUE"""),45428.0)</f>
        <v>45428</v>
      </c>
      <c r="B409" t="str">
        <f>IFERROR(__xludf.DUMMYFUNCTION("""COMPUTED_VALUE"""),"大湖山莊C吳亭逸")</f>
        <v>大湖山莊C吳亭逸</v>
      </c>
      <c r="C409" t="str">
        <f>IFERROR(__xludf.DUMMYFUNCTION("""COMPUTED_VALUE"""),"收入 - 租金")</f>
        <v>收入 - 租金</v>
      </c>
      <c r="D409" s="270">
        <f>IFERROR(__xludf.DUMMYFUNCTION("""COMPUTED_VALUE"""),35383.0)</f>
        <v>35383</v>
      </c>
      <c r="F409" t="str">
        <f>IFERROR(__xludf.DUMMYFUNCTION("""COMPUTED_VALUE"""),"台銀籌備帳戶")</f>
        <v>台銀籌備帳戶</v>
      </c>
      <c r="G409" t="str">
        <f>IFERROR(__xludf.DUMMYFUNCTION("""COMPUTED_VALUE"""),"大湖山莊")</f>
        <v>大湖山莊</v>
      </c>
      <c r="H409" s="106" t="str">
        <f t="shared" si="1"/>
        <v>2024-05</v>
      </c>
      <c r="I409" s="271" t="str">
        <f>IFERROR(__xludf.DUMMYFUNCTION("""COMPUTED_VALUE"""),"貓狗企鵝")</f>
        <v>貓狗企鵝</v>
      </c>
      <c r="J409" t="str">
        <f>IFERROR(__xludf.DUMMYFUNCTION("IFS(
  AND(REGEXMATCH(E409, ""台銀籌備帳戶|玉山帳戶""), REGEXMATCH(C409, ""薪資"")), ""分潤支出"",
  AND(REGEXMATCH(E409, ""Ben帳戶|Elsa帳戶|Ben代墊|Ariel代墊|中信銀行共用""), REGEXMATCH(F409, ""Ben帳戶|Elsa帳戶|Ben代墊|Ariel代墊|中信銀行共用"")), ""內部轉帳(忽略)"",
  AND(E409&lt;&gt;"""", F409&lt;&gt;"""", NOT(REG"&amp;"EXMATCH(C409, ""薪資""))), ""內部轉帳(忽略)"",
  REGEXMATCH(C409, ""薪資""), ""薪資變動(不計入)"",
  REGEXMATCH(C409, ""押金""), ""押金往來"",
  AND(E409&lt;&gt;"""", F409=""""), ""真實支出"",
  AND(E409="""", F409&lt;&gt;""""), ""真實收入"",
  TRUE, ""其他""
)"),"真實收入")</f>
        <v>真實收入</v>
      </c>
      <c r="K409" s="270">
        <f t="shared" si="2"/>
        <v>35383</v>
      </c>
      <c r="L409">
        <f t="shared" si="3"/>
        <v>0</v>
      </c>
    </row>
    <row r="410">
      <c r="A410" s="107">
        <f>IFERROR(__xludf.DUMMYFUNCTION("""COMPUTED_VALUE"""),45428.0)</f>
        <v>45428</v>
      </c>
      <c r="B410" t="str">
        <f>IFERROR(__xludf.DUMMYFUNCTION("""COMPUTED_VALUE"""),"大湖山莊D陳昭瑄")</f>
        <v>大湖山莊D陳昭瑄</v>
      </c>
      <c r="C410" t="str">
        <f>IFERROR(__xludf.DUMMYFUNCTION("""COMPUTED_VALUE"""),"收入 - 租金")</f>
        <v>收入 - 租金</v>
      </c>
      <c r="D410" s="270">
        <f>IFERROR(__xludf.DUMMYFUNCTION("""COMPUTED_VALUE"""),32800.0)</f>
        <v>32800</v>
      </c>
      <c r="F410" t="str">
        <f>IFERROR(__xludf.DUMMYFUNCTION("""COMPUTED_VALUE"""),"台銀籌備帳戶")</f>
        <v>台銀籌備帳戶</v>
      </c>
      <c r="G410" t="str">
        <f>IFERROR(__xludf.DUMMYFUNCTION("""COMPUTED_VALUE"""),"大湖山莊")</f>
        <v>大湖山莊</v>
      </c>
      <c r="H410" s="106" t="str">
        <f t="shared" si="1"/>
        <v>2024-05</v>
      </c>
      <c r="I410" s="271" t="str">
        <f>IFERROR(__xludf.DUMMYFUNCTION("""COMPUTED_VALUE"""),"貓狗企鵝")</f>
        <v>貓狗企鵝</v>
      </c>
      <c r="J410" t="str">
        <f>IFERROR(__xludf.DUMMYFUNCTION("IFS(
  AND(REGEXMATCH(E410, ""台銀籌備帳戶|玉山帳戶""), REGEXMATCH(C410, ""薪資"")), ""分潤支出"",
  AND(REGEXMATCH(E410, ""Ben帳戶|Elsa帳戶|Ben代墊|Ariel代墊|中信銀行共用""), REGEXMATCH(F410, ""Ben帳戶|Elsa帳戶|Ben代墊|Ariel代墊|中信銀行共用"")), ""內部轉帳(忽略)"",
  AND(E410&lt;&gt;"""", F410&lt;&gt;"""", NOT(REG"&amp;"EXMATCH(C410, ""薪資""))), ""內部轉帳(忽略)"",
  REGEXMATCH(C410, ""薪資""), ""薪資變動(不計入)"",
  REGEXMATCH(C410, ""押金""), ""押金往來"",
  AND(E410&lt;&gt;"""", F410=""""), ""真實支出"",
  AND(E410="""", F410&lt;&gt;""""), ""真實收入"",
  TRUE, ""其他""
)"),"真實收入")</f>
        <v>真實收入</v>
      </c>
      <c r="K410" s="270">
        <f t="shared" si="2"/>
        <v>32800</v>
      </c>
      <c r="L410">
        <f t="shared" si="3"/>
        <v>0</v>
      </c>
    </row>
    <row r="411">
      <c r="A411" s="107">
        <f>IFERROR(__xludf.DUMMYFUNCTION("""COMPUTED_VALUE"""),45428.0)</f>
        <v>45428</v>
      </c>
      <c r="B411" t="str">
        <f>IFERROR(__xludf.DUMMYFUNCTION("""COMPUTED_VALUE"""),"大湖山莊G林文心")</f>
        <v>大湖山莊G林文心</v>
      </c>
      <c r="C411" t="str">
        <f>IFERROR(__xludf.DUMMYFUNCTION("""COMPUTED_VALUE"""),"收入 - 租金")</f>
        <v>收入 - 租金</v>
      </c>
      <c r="D411" s="270">
        <f>IFERROR(__xludf.DUMMYFUNCTION("""COMPUTED_VALUE"""),26674.0)</f>
        <v>26674</v>
      </c>
      <c r="F411" t="str">
        <f>IFERROR(__xludf.DUMMYFUNCTION("""COMPUTED_VALUE"""),"台銀籌備帳戶")</f>
        <v>台銀籌備帳戶</v>
      </c>
      <c r="G411" t="str">
        <f>IFERROR(__xludf.DUMMYFUNCTION("""COMPUTED_VALUE"""),"大湖山莊")</f>
        <v>大湖山莊</v>
      </c>
      <c r="H411" s="106" t="str">
        <f t="shared" si="1"/>
        <v>2024-05</v>
      </c>
      <c r="I411" s="271" t="str">
        <f>IFERROR(__xludf.DUMMYFUNCTION("""COMPUTED_VALUE"""),"貓狗企鵝")</f>
        <v>貓狗企鵝</v>
      </c>
      <c r="J411" t="str">
        <f>IFERROR(__xludf.DUMMYFUNCTION("IFS(
  AND(REGEXMATCH(E411, ""台銀籌備帳戶|玉山帳戶""), REGEXMATCH(C411, ""薪資"")), ""分潤支出"",
  AND(REGEXMATCH(E411, ""Ben帳戶|Elsa帳戶|Ben代墊|Ariel代墊|中信銀行共用""), REGEXMATCH(F411, ""Ben帳戶|Elsa帳戶|Ben代墊|Ariel代墊|中信銀行共用"")), ""內部轉帳(忽略)"",
  AND(E411&lt;&gt;"""", F411&lt;&gt;"""", NOT(REG"&amp;"EXMATCH(C411, ""薪資""))), ""內部轉帳(忽略)"",
  REGEXMATCH(C411, ""薪資""), ""薪資變動(不計入)"",
  REGEXMATCH(C411, ""押金""), ""押金往來"",
  AND(E411&lt;&gt;"""", F411=""""), ""真實支出"",
  AND(E411="""", F411&lt;&gt;""""), ""真實收入"",
  TRUE, ""其他""
)"),"真實收入")</f>
        <v>真實收入</v>
      </c>
      <c r="K411" s="270">
        <f t="shared" si="2"/>
        <v>26674</v>
      </c>
      <c r="L411">
        <f t="shared" si="3"/>
        <v>0</v>
      </c>
    </row>
    <row r="412">
      <c r="A412" s="107">
        <f>IFERROR(__xludf.DUMMYFUNCTION("""COMPUTED_VALUE"""),45428.0)</f>
        <v>45428</v>
      </c>
      <c r="B412" t="str">
        <f>IFERROR(__xludf.DUMMYFUNCTION("""COMPUTED_VALUE"""),"大湖山莊B施惠卿")</f>
        <v>大湖山莊B施惠卿</v>
      </c>
      <c r="C412" t="str">
        <f>IFERROR(__xludf.DUMMYFUNCTION("""COMPUTED_VALUE"""),"收入 - 租金")</f>
        <v>收入 - 租金</v>
      </c>
      <c r="D412" s="270">
        <f>IFERROR(__xludf.DUMMYFUNCTION("""COMPUTED_VALUE"""),28713.0)</f>
        <v>28713</v>
      </c>
      <c r="F412" t="str">
        <f>IFERROR(__xludf.DUMMYFUNCTION("""COMPUTED_VALUE"""),"台銀籌備帳戶")</f>
        <v>台銀籌備帳戶</v>
      </c>
      <c r="G412" t="str">
        <f>IFERROR(__xludf.DUMMYFUNCTION("""COMPUTED_VALUE"""),"大湖山莊")</f>
        <v>大湖山莊</v>
      </c>
      <c r="H412" s="106" t="str">
        <f t="shared" si="1"/>
        <v>2024-05</v>
      </c>
      <c r="I412" s="271" t="str">
        <f>IFERROR(__xludf.DUMMYFUNCTION("""COMPUTED_VALUE"""),"貓狗企鵝")</f>
        <v>貓狗企鵝</v>
      </c>
      <c r="J412" t="str">
        <f>IFERROR(__xludf.DUMMYFUNCTION("IFS(
  AND(REGEXMATCH(E412, ""台銀籌備帳戶|玉山帳戶""), REGEXMATCH(C412, ""薪資"")), ""分潤支出"",
  AND(REGEXMATCH(E412, ""Ben帳戶|Elsa帳戶|Ben代墊|Ariel代墊|中信銀行共用""), REGEXMATCH(F412, ""Ben帳戶|Elsa帳戶|Ben代墊|Ariel代墊|中信銀行共用"")), ""內部轉帳(忽略)"",
  AND(E412&lt;&gt;"""", F412&lt;&gt;"""", NOT(REG"&amp;"EXMATCH(C412, ""薪資""))), ""內部轉帳(忽略)"",
  REGEXMATCH(C412, ""薪資""), ""薪資變動(不計入)"",
  REGEXMATCH(C412, ""押金""), ""押金往來"",
  AND(E412&lt;&gt;"""", F412=""""), ""真實支出"",
  AND(E412="""", F412&lt;&gt;""""), ""真實收入"",
  TRUE, ""其他""
)"),"真實收入")</f>
        <v>真實收入</v>
      </c>
      <c r="K412" s="270">
        <f t="shared" si="2"/>
        <v>28713</v>
      </c>
      <c r="L412">
        <f t="shared" si="3"/>
        <v>0</v>
      </c>
    </row>
    <row r="413">
      <c r="A413" s="107">
        <f>IFERROR(__xludf.DUMMYFUNCTION("""COMPUTED_VALUE"""),45429.0)</f>
        <v>45429</v>
      </c>
      <c r="B413" t="str">
        <f>IFERROR(__xludf.DUMMYFUNCTION("""COMPUTED_VALUE"""),"永春排風")</f>
        <v>永春排風</v>
      </c>
      <c r="C413" t="str">
        <f>IFERROR(__xludf.DUMMYFUNCTION("""COMPUTED_VALUE"""),"成本 - 進場前裝潢費")</f>
        <v>成本 - 進場前裝潢費</v>
      </c>
      <c r="D413" s="270">
        <f>IFERROR(__xludf.DUMMYFUNCTION("""COMPUTED_VALUE"""),-2675.0)</f>
        <v>-2675</v>
      </c>
      <c r="E413" t="str">
        <f>IFERROR(__xludf.DUMMYFUNCTION("""COMPUTED_VALUE"""),"Ben帳戶")</f>
        <v>Ben帳戶</v>
      </c>
      <c r="G413" t="str">
        <f>IFERROR(__xludf.DUMMYFUNCTION("""COMPUTED_VALUE"""),"永春四號")</f>
        <v>永春四號</v>
      </c>
      <c r="H413" s="106" t="str">
        <f t="shared" si="1"/>
        <v>2024-05</v>
      </c>
      <c r="I413" s="271" t="str">
        <f>IFERROR(__xludf.DUMMYFUNCTION("""COMPUTED_VALUE"""),"貓狗企鵝")</f>
        <v>貓狗企鵝</v>
      </c>
      <c r="J413" t="str">
        <f>IFERROR(__xludf.DUMMYFUNCTION("IFS(
  AND(REGEXMATCH(E413, ""台銀籌備帳戶|玉山帳戶""), REGEXMATCH(C413, ""薪資"")), ""分潤支出"",
  AND(REGEXMATCH(E413, ""Ben帳戶|Elsa帳戶|Ben代墊|Ariel代墊|中信銀行共用""), REGEXMATCH(F413, ""Ben帳戶|Elsa帳戶|Ben代墊|Ariel代墊|中信銀行共用"")), ""內部轉帳(忽略)"",
  AND(E413&lt;&gt;"""", F413&lt;&gt;"""", NOT(REG"&amp;"EXMATCH(C413, ""薪資""))), ""內部轉帳(忽略)"",
  REGEXMATCH(C413, ""薪資""), ""薪資變動(不計入)"",
  REGEXMATCH(C413, ""押金""), ""押金往來"",
  AND(E413&lt;&gt;"""", F413=""""), ""真實支出"",
  AND(E413="""", F413&lt;&gt;""""), ""真實收入"",
  TRUE, ""其他""
)"),"真實支出")</f>
        <v>真實支出</v>
      </c>
      <c r="K413" s="270">
        <f t="shared" si="2"/>
        <v>-2675</v>
      </c>
      <c r="L413">
        <f t="shared" si="3"/>
        <v>0</v>
      </c>
    </row>
    <row r="414">
      <c r="A414" s="107">
        <f>IFERROR(__xludf.DUMMYFUNCTION("""COMPUTED_VALUE"""),45429.0)</f>
        <v>45429</v>
      </c>
      <c r="B414" t="str">
        <f>IFERROR(__xludf.DUMMYFUNCTION("""COMPUTED_VALUE"""),"哈拉 垃圾代收")</f>
        <v>哈拉 垃圾代收</v>
      </c>
      <c r="C414" t="str">
        <f>IFERROR(__xludf.DUMMYFUNCTION("""COMPUTED_VALUE"""),"成本 - 固定開銷(網路代收清潔)")</f>
        <v>成本 - 固定開銷(網路代收清潔)</v>
      </c>
      <c r="D414" s="270">
        <f>IFERROR(__xludf.DUMMYFUNCTION("""COMPUTED_VALUE"""),-1500.0)</f>
        <v>-1500</v>
      </c>
      <c r="E414" t="str">
        <f>IFERROR(__xludf.DUMMYFUNCTION("""COMPUTED_VALUE"""),"Ben帳戶")</f>
        <v>Ben帳戶</v>
      </c>
      <c r="G414" t="str">
        <f>IFERROR(__xludf.DUMMYFUNCTION("""COMPUTED_VALUE"""),"哈拉對面")</f>
        <v>哈拉對面</v>
      </c>
      <c r="H414" s="106" t="str">
        <f t="shared" si="1"/>
        <v>2024-05</v>
      </c>
      <c r="I414" s="271" t="str">
        <f>IFERROR(__xludf.DUMMYFUNCTION("""COMPUTED_VALUE"""),"貓狗企鵝")</f>
        <v>貓狗企鵝</v>
      </c>
      <c r="J414" t="str">
        <f>IFERROR(__xludf.DUMMYFUNCTION("IFS(
  AND(REGEXMATCH(E414, ""台銀籌備帳戶|玉山帳戶""), REGEXMATCH(C414, ""薪資"")), ""分潤支出"",
  AND(REGEXMATCH(E414, ""Ben帳戶|Elsa帳戶|Ben代墊|Ariel代墊|中信銀行共用""), REGEXMATCH(F414, ""Ben帳戶|Elsa帳戶|Ben代墊|Ariel代墊|中信銀行共用"")), ""內部轉帳(忽略)"",
  AND(E414&lt;&gt;"""", F414&lt;&gt;"""", NOT(REG"&amp;"EXMATCH(C414, ""薪資""))), ""內部轉帳(忽略)"",
  REGEXMATCH(C414, ""薪資""), ""薪資變動(不計入)"",
  REGEXMATCH(C414, ""押金""), ""押金往來"",
  AND(E414&lt;&gt;"""", F414=""""), ""真實支出"",
  AND(E414="""", F414&lt;&gt;""""), ""真實收入"",
  TRUE, ""其他""
)"),"真實支出")</f>
        <v>真實支出</v>
      </c>
      <c r="K414" s="270">
        <f t="shared" si="2"/>
        <v>-1500</v>
      </c>
      <c r="L414">
        <f t="shared" si="3"/>
        <v>0</v>
      </c>
    </row>
    <row r="415">
      <c r="A415" s="107">
        <f>IFERROR(__xludf.DUMMYFUNCTION("""COMPUTED_VALUE"""),45431.0)</f>
        <v>45431</v>
      </c>
      <c r="B415" t="str">
        <f>IFERROR(__xludf.DUMMYFUNCTION("""COMPUTED_VALUE"""),"運費")</f>
        <v>運費</v>
      </c>
      <c r="C415" t="str">
        <f>IFERROR(__xludf.DUMMYFUNCTION("""COMPUTED_VALUE"""),"成本 - 進場前裝潢費")</f>
        <v>成本 - 進場前裝潢費</v>
      </c>
      <c r="D415" s="270">
        <f>IFERROR(__xludf.DUMMYFUNCTION("""COMPUTED_VALUE"""),-713.0)</f>
        <v>-713</v>
      </c>
      <c r="E415" t="str">
        <f>IFERROR(__xludf.DUMMYFUNCTION("""COMPUTED_VALUE"""),"Ben帳戶")</f>
        <v>Ben帳戶</v>
      </c>
      <c r="G415" t="str">
        <f>IFERROR(__xludf.DUMMYFUNCTION("""COMPUTED_VALUE"""),"大湖山莊")</f>
        <v>大湖山莊</v>
      </c>
      <c r="H415" s="106" t="str">
        <f t="shared" si="1"/>
        <v>2024-05</v>
      </c>
      <c r="I415" s="271" t="str">
        <f>IFERROR(__xludf.DUMMYFUNCTION("""COMPUTED_VALUE"""),"貓狗企鵝")</f>
        <v>貓狗企鵝</v>
      </c>
      <c r="J415" t="str">
        <f>IFERROR(__xludf.DUMMYFUNCTION("IFS(
  AND(REGEXMATCH(E415, ""台銀籌備帳戶|玉山帳戶""), REGEXMATCH(C415, ""薪資"")), ""分潤支出"",
  AND(REGEXMATCH(E415, ""Ben帳戶|Elsa帳戶|Ben代墊|Ariel代墊|中信銀行共用""), REGEXMATCH(F415, ""Ben帳戶|Elsa帳戶|Ben代墊|Ariel代墊|中信銀行共用"")), ""內部轉帳(忽略)"",
  AND(E415&lt;&gt;"""", F415&lt;&gt;"""", NOT(REG"&amp;"EXMATCH(C415, ""薪資""))), ""內部轉帳(忽略)"",
  REGEXMATCH(C415, ""薪資""), ""薪資變動(不計入)"",
  REGEXMATCH(C415, ""押金""), ""押金往來"",
  AND(E415&lt;&gt;"""", F415=""""), ""真實支出"",
  AND(E415="""", F415&lt;&gt;""""), ""真實收入"",
  TRUE, ""其他""
)"),"真實支出")</f>
        <v>真實支出</v>
      </c>
      <c r="K415" s="270">
        <f t="shared" si="2"/>
        <v>-713</v>
      </c>
      <c r="L415">
        <f t="shared" si="3"/>
        <v>0</v>
      </c>
    </row>
    <row r="416">
      <c r="A416" s="107">
        <f>IFERROR(__xludf.DUMMYFUNCTION("""COMPUTED_VALUE"""),45431.0)</f>
        <v>45431</v>
      </c>
      <c r="B416" t="str">
        <f>IFERROR(__xludf.DUMMYFUNCTION("""COMPUTED_VALUE"""),"A房曬衣桿")</f>
        <v>A房曬衣桿</v>
      </c>
      <c r="C416" t="str">
        <f>IFERROR(__xludf.DUMMYFUNCTION("""COMPUTED_VALUE"""),"成本 - 進場前裝潢費")</f>
        <v>成本 - 進場前裝潢費</v>
      </c>
      <c r="D416" s="270">
        <f>IFERROR(__xludf.DUMMYFUNCTION("""COMPUTED_VALUE"""),-809.0)</f>
        <v>-809</v>
      </c>
      <c r="E416" t="str">
        <f>IFERROR(__xludf.DUMMYFUNCTION("""COMPUTED_VALUE"""),"Elsa帳戶")</f>
        <v>Elsa帳戶</v>
      </c>
      <c r="G416" t="str">
        <f>IFERROR(__xludf.DUMMYFUNCTION("""COMPUTED_VALUE"""),"大湖山莊")</f>
        <v>大湖山莊</v>
      </c>
      <c r="H416" s="106" t="str">
        <f t="shared" si="1"/>
        <v>2024-05</v>
      </c>
      <c r="I416" s="271" t="str">
        <f>IFERROR(__xludf.DUMMYFUNCTION("""COMPUTED_VALUE"""),"貓狗企鵝")</f>
        <v>貓狗企鵝</v>
      </c>
      <c r="J416" t="str">
        <f>IFERROR(__xludf.DUMMYFUNCTION("IFS(
  AND(REGEXMATCH(E416, ""台銀籌備帳戶|玉山帳戶""), REGEXMATCH(C416, ""薪資"")), ""分潤支出"",
  AND(REGEXMATCH(E416, ""Ben帳戶|Elsa帳戶|Ben代墊|Ariel代墊|中信銀行共用""), REGEXMATCH(F416, ""Ben帳戶|Elsa帳戶|Ben代墊|Ariel代墊|中信銀行共用"")), ""內部轉帳(忽略)"",
  AND(E416&lt;&gt;"""", F416&lt;&gt;"""", NOT(REG"&amp;"EXMATCH(C416, ""薪資""))), ""內部轉帳(忽略)"",
  REGEXMATCH(C416, ""薪資""), ""薪資變動(不計入)"",
  REGEXMATCH(C416, ""押金""), ""押金往來"",
  AND(E416&lt;&gt;"""", F416=""""), ""真實支出"",
  AND(E416="""", F416&lt;&gt;""""), ""真實收入"",
  TRUE, ""其他""
)"),"真實支出")</f>
        <v>真實支出</v>
      </c>
      <c r="K416" s="270">
        <f t="shared" si="2"/>
        <v>-809</v>
      </c>
      <c r="L416">
        <f t="shared" si="3"/>
        <v>0</v>
      </c>
    </row>
    <row r="417">
      <c r="A417" s="107">
        <f>IFERROR(__xludf.DUMMYFUNCTION("""COMPUTED_VALUE"""),45431.0)</f>
        <v>45431</v>
      </c>
      <c r="B417" t="str">
        <f>IFERROR(__xludf.DUMMYFUNCTION("""COMPUTED_VALUE"""),"大湖山莊F 高千涵")</f>
        <v>大湖山莊F 高千涵</v>
      </c>
      <c r="C417" t="str">
        <f>IFERROR(__xludf.DUMMYFUNCTION("""COMPUTED_VALUE"""),"收入 - 租金")</f>
        <v>收入 - 租金</v>
      </c>
      <c r="D417" s="270">
        <f>IFERROR(__xludf.DUMMYFUNCTION("""COMPUTED_VALUE"""),43300.0)</f>
        <v>43300</v>
      </c>
      <c r="F417" t="str">
        <f>IFERROR(__xludf.DUMMYFUNCTION("""COMPUTED_VALUE"""),"台銀籌備帳戶")</f>
        <v>台銀籌備帳戶</v>
      </c>
      <c r="G417" t="str">
        <f>IFERROR(__xludf.DUMMYFUNCTION("""COMPUTED_VALUE"""),"大湖山莊")</f>
        <v>大湖山莊</v>
      </c>
      <c r="H417" s="106" t="str">
        <f t="shared" si="1"/>
        <v>2024-05</v>
      </c>
      <c r="I417" s="271" t="str">
        <f>IFERROR(__xludf.DUMMYFUNCTION("""COMPUTED_VALUE"""),"貓狗企鵝")</f>
        <v>貓狗企鵝</v>
      </c>
      <c r="J417" t="str">
        <f>IFERROR(__xludf.DUMMYFUNCTION("IFS(
  AND(REGEXMATCH(E417, ""台銀籌備帳戶|玉山帳戶""), REGEXMATCH(C417, ""薪資"")), ""分潤支出"",
  AND(REGEXMATCH(E417, ""Ben帳戶|Elsa帳戶|Ben代墊|Ariel代墊|中信銀行共用""), REGEXMATCH(F417, ""Ben帳戶|Elsa帳戶|Ben代墊|Ariel代墊|中信銀行共用"")), ""內部轉帳(忽略)"",
  AND(E417&lt;&gt;"""", F417&lt;&gt;"""", NOT(REG"&amp;"EXMATCH(C417, ""薪資""))), ""內部轉帳(忽略)"",
  REGEXMATCH(C417, ""薪資""), ""薪資變動(不計入)"",
  REGEXMATCH(C417, ""押金""), ""押金往來"",
  AND(E417&lt;&gt;"""", F417=""""), ""真實支出"",
  AND(E417="""", F417&lt;&gt;""""), ""真實收入"",
  TRUE, ""其他""
)"),"真實收入")</f>
        <v>真實收入</v>
      </c>
      <c r="K417" s="270">
        <f t="shared" si="2"/>
        <v>43300</v>
      </c>
      <c r="L417">
        <f t="shared" si="3"/>
        <v>0</v>
      </c>
    </row>
    <row r="418">
      <c r="A418" s="107">
        <f>IFERROR(__xludf.DUMMYFUNCTION("""COMPUTED_VALUE"""),45431.0)</f>
        <v>45431</v>
      </c>
      <c r="B418" t="str">
        <f>IFERROR(__xludf.DUMMYFUNCTION("""COMPUTED_VALUE"""),"大湖山莊A熊翊丞")</f>
        <v>大湖山莊A熊翊丞</v>
      </c>
      <c r="C418" t="str">
        <f>IFERROR(__xludf.DUMMYFUNCTION("""COMPUTED_VALUE"""),"收入 - 租金")</f>
        <v>收入 - 租金</v>
      </c>
      <c r="D418" s="270">
        <f>IFERROR(__xludf.DUMMYFUNCTION("""COMPUTED_VALUE"""),10000.0)</f>
        <v>10000</v>
      </c>
      <c r="F418" t="str">
        <f>IFERROR(__xludf.DUMMYFUNCTION("""COMPUTED_VALUE"""),"台銀籌備帳戶")</f>
        <v>台銀籌備帳戶</v>
      </c>
      <c r="G418" t="str">
        <f>IFERROR(__xludf.DUMMYFUNCTION("""COMPUTED_VALUE"""),"大湖山莊")</f>
        <v>大湖山莊</v>
      </c>
      <c r="H418" s="106" t="str">
        <f t="shared" si="1"/>
        <v>2024-05</v>
      </c>
      <c r="I418" s="271" t="str">
        <f>IFERROR(__xludf.DUMMYFUNCTION("""COMPUTED_VALUE"""),"貓狗企鵝")</f>
        <v>貓狗企鵝</v>
      </c>
      <c r="J418" t="str">
        <f>IFERROR(__xludf.DUMMYFUNCTION("IFS(
  AND(REGEXMATCH(E418, ""台銀籌備帳戶|玉山帳戶""), REGEXMATCH(C418, ""薪資"")), ""分潤支出"",
  AND(REGEXMATCH(E418, ""Ben帳戶|Elsa帳戶|Ben代墊|Ariel代墊|中信銀行共用""), REGEXMATCH(F418, ""Ben帳戶|Elsa帳戶|Ben代墊|Ariel代墊|中信銀行共用"")), ""內部轉帳(忽略)"",
  AND(E418&lt;&gt;"""", F418&lt;&gt;"""", NOT(REG"&amp;"EXMATCH(C418, ""薪資""))), ""內部轉帳(忽略)"",
  REGEXMATCH(C418, ""薪資""), ""薪資變動(不計入)"",
  REGEXMATCH(C418, ""押金""), ""押金往來"",
  AND(E418&lt;&gt;"""", F418=""""), ""真實支出"",
  AND(E418="""", F418&lt;&gt;""""), ""真實收入"",
  TRUE, ""其他""
)"),"真實收入")</f>
        <v>真實收入</v>
      </c>
      <c r="K418" s="270">
        <f t="shared" si="2"/>
        <v>10000</v>
      </c>
      <c r="L418">
        <f t="shared" si="3"/>
        <v>0</v>
      </c>
    </row>
    <row r="419">
      <c r="A419" s="107">
        <f>IFERROR(__xludf.DUMMYFUNCTION("""COMPUTED_VALUE"""),45431.0)</f>
        <v>45431</v>
      </c>
      <c r="B419" t="str">
        <f>IFERROR(__xludf.DUMMYFUNCTION("""COMPUTED_VALUE"""),"大湖山莊A熊翊丞")</f>
        <v>大湖山莊A熊翊丞</v>
      </c>
      <c r="C419" t="str">
        <f>IFERROR(__xludf.DUMMYFUNCTION("""COMPUTED_VALUE"""),"收入 - 租金")</f>
        <v>收入 - 租金</v>
      </c>
      <c r="D419" s="270">
        <f>IFERROR(__xludf.DUMMYFUNCTION("""COMPUTED_VALUE"""),29800.0)</f>
        <v>29800</v>
      </c>
      <c r="F419" t="str">
        <f>IFERROR(__xludf.DUMMYFUNCTION("""COMPUTED_VALUE"""),"台銀籌備帳戶")</f>
        <v>台銀籌備帳戶</v>
      </c>
      <c r="G419" t="str">
        <f>IFERROR(__xludf.DUMMYFUNCTION("""COMPUTED_VALUE"""),"大湖山莊")</f>
        <v>大湖山莊</v>
      </c>
      <c r="H419" s="106" t="str">
        <f t="shared" si="1"/>
        <v>2024-05</v>
      </c>
      <c r="I419" s="271" t="str">
        <f>IFERROR(__xludf.DUMMYFUNCTION("""COMPUTED_VALUE"""),"貓狗企鵝")</f>
        <v>貓狗企鵝</v>
      </c>
      <c r="J419" t="str">
        <f>IFERROR(__xludf.DUMMYFUNCTION("IFS(
  AND(REGEXMATCH(E419, ""台銀籌備帳戶|玉山帳戶""), REGEXMATCH(C419, ""薪資"")), ""分潤支出"",
  AND(REGEXMATCH(E419, ""Ben帳戶|Elsa帳戶|Ben代墊|Ariel代墊|中信銀行共用""), REGEXMATCH(F419, ""Ben帳戶|Elsa帳戶|Ben代墊|Ariel代墊|中信銀行共用"")), ""內部轉帳(忽略)"",
  AND(E419&lt;&gt;"""", F419&lt;&gt;"""", NOT(REG"&amp;"EXMATCH(C419, ""薪資""))), ""內部轉帳(忽略)"",
  REGEXMATCH(C419, ""薪資""), ""薪資變動(不計入)"",
  REGEXMATCH(C419, ""押金""), ""押金往來"",
  AND(E419&lt;&gt;"""", F419=""""), ""真實支出"",
  AND(E419="""", F419&lt;&gt;""""), ""真實收入"",
  TRUE, ""其他""
)"),"真實收入")</f>
        <v>真實收入</v>
      </c>
      <c r="K419" s="270">
        <f t="shared" si="2"/>
        <v>29800</v>
      </c>
      <c r="L419">
        <f t="shared" si="3"/>
        <v>0</v>
      </c>
    </row>
    <row r="420">
      <c r="A420" s="107">
        <f>IFERROR(__xludf.DUMMYFUNCTION("""COMPUTED_VALUE"""),45432.0)</f>
        <v>45432</v>
      </c>
      <c r="B420" t="str">
        <f>IFERROR(__xludf.DUMMYFUNCTION("""COMPUTED_VALUE"""),"冷氣遙控器")</f>
        <v>冷氣遙控器</v>
      </c>
      <c r="C420" t="str">
        <f>IFERROR(__xludf.DUMMYFUNCTION("""COMPUTED_VALUE"""),"成本 - 租後修繕")</f>
        <v>成本 - 租後修繕</v>
      </c>
      <c r="D420" s="270">
        <f>IFERROR(__xludf.DUMMYFUNCTION("""COMPUTED_VALUE"""),-205.0)</f>
        <v>-205</v>
      </c>
      <c r="E420" t="str">
        <f>IFERROR(__xludf.DUMMYFUNCTION("""COMPUTED_VALUE"""),"Ben帳戶")</f>
        <v>Ben帳戶</v>
      </c>
      <c r="G420" t="str">
        <f>IFERROR(__xludf.DUMMYFUNCTION("""COMPUTED_VALUE"""),"永春四號")</f>
        <v>永春四號</v>
      </c>
      <c r="H420" s="106" t="str">
        <f t="shared" si="1"/>
        <v>2024-05</v>
      </c>
      <c r="I420" s="271" t="str">
        <f>IFERROR(__xludf.DUMMYFUNCTION("""COMPUTED_VALUE"""),"貓狗企鵝")</f>
        <v>貓狗企鵝</v>
      </c>
      <c r="J420" t="str">
        <f>IFERROR(__xludf.DUMMYFUNCTION("IFS(
  AND(REGEXMATCH(E420, ""台銀籌備帳戶|玉山帳戶""), REGEXMATCH(C420, ""薪資"")), ""分潤支出"",
  AND(REGEXMATCH(E420, ""Ben帳戶|Elsa帳戶|Ben代墊|Ariel代墊|中信銀行共用""), REGEXMATCH(F420, ""Ben帳戶|Elsa帳戶|Ben代墊|Ariel代墊|中信銀行共用"")), ""內部轉帳(忽略)"",
  AND(E420&lt;&gt;"""", F420&lt;&gt;"""", NOT(REG"&amp;"EXMATCH(C420, ""薪資""))), ""內部轉帳(忽略)"",
  REGEXMATCH(C420, ""薪資""), ""薪資變動(不計入)"",
  REGEXMATCH(C420, ""押金""), ""押金往來"",
  AND(E420&lt;&gt;"""", F420=""""), ""真實支出"",
  AND(E420="""", F420&lt;&gt;""""), ""真實收入"",
  TRUE, ""其他""
)"),"真實支出")</f>
        <v>真實支出</v>
      </c>
      <c r="K420" s="270">
        <f t="shared" si="2"/>
        <v>-205</v>
      </c>
      <c r="L420">
        <f t="shared" si="3"/>
        <v>0</v>
      </c>
    </row>
    <row r="421">
      <c r="A421" s="107">
        <f>IFERROR(__xludf.DUMMYFUNCTION("""COMPUTED_VALUE"""),45433.0)</f>
        <v>45433</v>
      </c>
      <c r="B421" t="str">
        <f>IFERROR(__xludf.DUMMYFUNCTION("""COMPUTED_VALUE"""),"弟弟")</f>
        <v>弟弟</v>
      </c>
      <c r="C421" t="str">
        <f>IFERROR(__xludf.DUMMYFUNCTION("""COMPUTED_VALUE"""),"成本 - 進場前裝潢費")</f>
        <v>成本 - 進場前裝潢費</v>
      </c>
      <c r="D421" s="270">
        <f>IFERROR(__xludf.DUMMYFUNCTION("""COMPUTED_VALUE"""),-18385.0)</f>
        <v>-18385</v>
      </c>
      <c r="E421" t="str">
        <f>IFERROR(__xludf.DUMMYFUNCTION("""COMPUTED_VALUE"""),"Ben帳戶")</f>
        <v>Ben帳戶</v>
      </c>
      <c r="G421" t="str">
        <f>IFERROR(__xludf.DUMMYFUNCTION("""COMPUTED_VALUE"""),"大湖山莊")</f>
        <v>大湖山莊</v>
      </c>
      <c r="H421" s="106" t="str">
        <f t="shared" si="1"/>
        <v>2024-05</v>
      </c>
      <c r="I421" s="271" t="str">
        <f>IFERROR(__xludf.DUMMYFUNCTION("""COMPUTED_VALUE"""),"貓狗企鵝")</f>
        <v>貓狗企鵝</v>
      </c>
      <c r="J421" t="str">
        <f>IFERROR(__xludf.DUMMYFUNCTION("IFS(
  AND(REGEXMATCH(E421, ""台銀籌備帳戶|玉山帳戶""), REGEXMATCH(C421, ""薪資"")), ""分潤支出"",
  AND(REGEXMATCH(E421, ""Ben帳戶|Elsa帳戶|Ben代墊|Ariel代墊|中信銀行共用""), REGEXMATCH(F421, ""Ben帳戶|Elsa帳戶|Ben代墊|Ariel代墊|中信銀行共用"")), ""內部轉帳(忽略)"",
  AND(E421&lt;&gt;"""", F421&lt;&gt;"""", NOT(REG"&amp;"EXMATCH(C421, ""薪資""))), ""內部轉帳(忽略)"",
  REGEXMATCH(C421, ""薪資""), ""薪資變動(不計入)"",
  REGEXMATCH(C421, ""押金""), ""押金往來"",
  AND(E421&lt;&gt;"""", F421=""""), ""真實支出"",
  AND(E421="""", F421&lt;&gt;""""), ""真實收入"",
  TRUE, ""其他""
)"),"真實支出")</f>
        <v>真實支出</v>
      </c>
      <c r="K421" s="270">
        <f t="shared" si="2"/>
        <v>-18385</v>
      </c>
      <c r="L421">
        <f t="shared" si="3"/>
        <v>0</v>
      </c>
    </row>
    <row r="422">
      <c r="A422" s="107">
        <f>IFERROR(__xludf.DUMMYFUNCTION("""COMPUTED_VALUE"""),45433.0)</f>
        <v>45433</v>
      </c>
      <c r="B422" t="str">
        <f>IFERROR(__xludf.DUMMYFUNCTION("""COMPUTED_VALUE"""),"吳興街二代健保")</f>
        <v>吳興街二代健保</v>
      </c>
      <c r="C422" t="str">
        <f>IFERROR(__xludf.DUMMYFUNCTION("""COMPUTED_VALUE"""),"成本 - 大租金")</f>
        <v>成本 - 大租金</v>
      </c>
      <c r="D422" s="270">
        <f>IFERROR(__xludf.DUMMYFUNCTION("""COMPUTED_VALUE"""),-540.0)</f>
        <v>-540</v>
      </c>
      <c r="E422" t="str">
        <f>IFERROR(__xludf.DUMMYFUNCTION("""COMPUTED_VALUE"""),"Ben帳戶")</f>
        <v>Ben帳戶</v>
      </c>
      <c r="G422" t="str">
        <f>IFERROR(__xludf.DUMMYFUNCTION("""COMPUTED_VALUE"""),"北醫醫師府")</f>
        <v>北醫醫師府</v>
      </c>
      <c r="H422" s="106" t="str">
        <f t="shared" si="1"/>
        <v>2024-05</v>
      </c>
      <c r="I422" s="271" t="str">
        <f>IFERROR(__xludf.DUMMYFUNCTION("""COMPUTED_VALUE"""),"貓狗企鵝")</f>
        <v>貓狗企鵝</v>
      </c>
      <c r="J422" t="str">
        <f>IFERROR(__xludf.DUMMYFUNCTION("IFS(
  AND(REGEXMATCH(E422, ""台銀籌備帳戶|玉山帳戶""), REGEXMATCH(C422, ""薪資"")), ""分潤支出"",
  AND(REGEXMATCH(E422, ""Ben帳戶|Elsa帳戶|Ben代墊|Ariel代墊|中信銀行共用""), REGEXMATCH(F422, ""Ben帳戶|Elsa帳戶|Ben代墊|Ariel代墊|中信銀行共用"")), ""內部轉帳(忽略)"",
  AND(E422&lt;&gt;"""", F422&lt;&gt;"""", NOT(REG"&amp;"EXMATCH(C422, ""薪資""))), ""內部轉帳(忽略)"",
  REGEXMATCH(C422, ""薪資""), ""薪資變動(不計入)"",
  REGEXMATCH(C422, ""押金""), ""押金往來"",
  AND(E422&lt;&gt;"""", F422=""""), ""真實支出"",
  AND(E422="""", F422&lt;&gt;""""), ""真實收入"",
  TRUE, ""其他""
)"),"真實支出")</f>
        <v>真實支出</v>
      </c>
      <c r="K422" s="270">
        <f t="shared" si="2"/>
        <v>-540</v>
      </c>
      <c r="L422">
        <f t="shared" si="3"/>
        <v>0</v>
      </c>
    </row>
    <row r="423">
      <c r="A423" s="107">
        <f>IFERROR(__xludf.DUMMYFUNCTION("""COMPUTED_VALUE"""),45433.0)</f>
        <v>45433</v>
      </c>
      <c r="B423" t="str">
        <f>IFERROR(__xludf.DUMMYFUNCTION("""COMPUTED_VALUE"""),"大湖瓦斯爐配線")</f>
        <v>大湖瓦斯爐配線</v>
      </c>
      <c r="C423" t="str">
        <f>IFERROR(__xludf.DUMMYFUNCTION("""COMPUTED_VALUE"""),"成本 - 租後修繕")</f>
        <v>成本 - 租後修繕</v>
      </c>
      <c r="D423" s="270">
        <f>IFERROR(__xludf.DUMMYFUNCTION("""COMPUTED_VALUE"""),-1050.0)</f>
        <v>-1050</v>
      </c>
      <c r="E423" t="str">
        <f>IFERROR(__xludf.DUMMYFUNCTION("""COMPUTED_VALUE"""),"Ben帳戶")</f>
        <v>Ben帳戶</v>
      </c>
      <c r="G423" t="str">
        <f>IFERROR(__xludf.DUMMYFUNCTION("""COMPUTED_VALUE"""),"大湖山莊")</f>
        <v>大湖山莊</v>
      </c>
      <c r="H423" s="106" t="str">
        <f t="shared" si="1"/>
        <v>2024-05</v>
      </c>
      <c r="I423" s="271" t="str">
        <f>IFERROR(__xludf.DUMMYFUNCTION("""COMPUTED_VALUE"""),"貓狗企鵝")</f>
        <v>貓狗企鵝</v>
      </c>
      <c r="J423" t="str">
        <f>IFERROR(__xludf.DUMMYFUNCTION("IFS(
  AND(REGEXMATCH(E423, ""台銀籌備帳戶|玉山帳戶""), REGEXMATCH(C423, ""薪資"")), ""分潤支出"",
  AND(REGEXMATCH(E423, ""Ben帳戶|Elsa帳戶|Ben代墊|Ariel代墊|中信銀行共用""), REGEXMATCH(F423, ""Ben帳戶|Elsa帳戶|Ben代墊|Ariel代墊|中信銀行共用"")), ""內部轉帳(忽略)"",
  AND(E423&lt;&gt;"""", F423&lt;&gt;"""", NOT(REG"&amp;"EXMATCH(C423, ""薪資""))), ""內部轉帳(忽略)"",
  REGEXMATCH(C423, ""薪資""), ""薪資變動(不計入)"",
  REGEXMATCH(C423, ""押金""), ""押金往來"",
  AND(E423&lt;&gt;"""", F423=""""), ""真實支出"",
  AND(E423="""", F423&lt;&gt;""""), ""真實收入"",
  TRUE, ""其他""
)"),"真實支出")</f>
        <v>真實支出</v>
      </c>
      <c r="K423" s="270">
        <f t="shared" si="2"/>
        <v>-1050</v>
      </c>
      <c r="L423">
        <f t="shared" si="3"/>
        <v>0</v>
      </c>
    </row>
    <row r="424">
      <c r="A424" s="107">
        <f>IFERROR(__xludf.DUMMYFUNCTION("""COMPUTED_VALUE"""),45434.0)</f>
        <v>45434</v>
      </c>
      <c r="B424" t="str">
        <f>IFERROR(__xludf.DUMMYFUNCTION("""COMPUTED_VALUE"""),"大湖冷氣")</f>
        <v>大湖冷氣</v>
      </c>
      <c r="C424" t="str">
        <f>IFERROR(__xludf.DUMMYFUNCTION("""COMPUTED_VALUE"""),"成本 - 進場前裝潢費")</f>
        <v>成本 - 進場前裝潢費</v>
      </c>
      <c r="D424" s="270">
        <f>IFERROR(__xludf.DUMMYFUNCTION("""COMPUTED_VALUE"""),-74000.0)</f>
        <v>-74000</v>
      </c>
      <c r="E424" t="str">
        <f>IFERROR(__xludf.DUMMYFUNCTION("""COMPUTED_VALUE"""),"Elsa帳戶")</f>
        <v>Elsa帳戶</v>
      </c>
      <c r="G424" t="str">
        <f>IFERROR(__xludf.DUMMYFUNCTION("""COMPUTED_VALUE"""),"大湖山莊")</f>
        <v>大湖山莊</v>
      </c>
      <c r="H424" s="106" t="str">
        <f t="shared" si="1"/>
        <v>2024-05</v>
      </c>
      <c r="I424" s="271" t="str">
        <f>IFERROR(__xludf.DUMMYFUNCTION("""COMPUTED_VALUE"""),"貓狗企鵝")</f>
        <v>貓狗企鵝</v>
      </c>
      <c r="J424" t="str">
        <f>IFERROR(__xludf.DUMMYFUNCTION("IFS(
  AND(REGEXMATCH(E424, ""台銀籌備帳戶|玉山帳戶""), REGEXMATCH(C424, ""薪資"")), ""分潤支出"",
  AND(REGEXMATCH(E424, ""Ben帳戶|Elsa帳戶|Ben代墊|Ariel代墊|中信銀行共用""), REGEXMATCH(F424, ""Ben帳戶|Elsa帳戶|Ben代墊|Ariel代墊|中信銀行共用"")), ""內部轉帳(忽略)"",
  AND(E424&lt;&gt;"""", F424&lt;&gt;"""", NOT(REG"&amp;"EXMATCH(C424, ""薪資""))), ""內部轉帳(忽略)"",
  REGEXMATCH(C424, ""薪資""), ""薪資變動(不計入)"",
  REGEXMATCH(C424, ""押金""), ""押金往來"",
  AND(E424&lt;&gt;"""", F424=""""), ""真實支出"",
  AND(E424="""", F424&lt;&gt;""""), ""真實收入"",
  TRUE, ""其他""
)"),"真實支出")</f>
        <v>真實支出</v>
      </c>
      <c r="K424" s="270">
        <f t="shared" si="2"/>
        <v>-74000</v>
      </c>
      <c r="L424">
        <f t="shared" si="3"/>
        <v>0</v>
      </c>
    </row>
    <row r="425">
      <c r="A425" s="107">
        <f>IFERROR(__xludf.DUMMYFUNCTION("""COMPUTED_VALUE"""),45442.0)</f>
        <v>45442</v>
      </c>
      <c r="B425" t="str">
        <f>IFERROR(__xludf.DUMMYFUNCTION("""COMPUTED_VALUE"""),"F房退租")</f>
        <v>F房退租</v>
      </c>
      <c r="C425" t="str">
        <f>IFERROR(__xludf.DUMMYFUNCTION("""COMPUTED_VALUE"""),"收入 - 押金")</f>
        <v>收入 - 押金</v>
      </c>
      <c r="D425" s="270">
        <f>IFERROR(__xludf.DUMMYFUNCTION("""COMPUTED_VALUE"""),-26700.0)</f>
        <v>-26700</v>
      </c>
      <c r="E425" t="str">
        <f>IFERROR(__xludf.DUMMYFUNCTION("""COMPUTED_VALUE"""),"Ben帳戶")</f>
        <v>Ben帳戶</v>
      </c>
      <c r="G425" t="str">
        <f>IFERROR(__xludf.DUMMYFUNCTION("""COMPUTED_VALUE"""),"大湖山莊")</f>
        <v>大湖山莊</v>
      </c>
      <c r="H425" s="106" t="str">
        <f t="shared" si="1"/>
        <v>2024-05</v>
      </c>
      <c r="I425" s="271" t="str">
        <f>IFERROR(__xludf.DUMMYFUNCTION("""COMPUTED_VALUE"""),"貓狗企鵝")</f>
        <v>貓狗企鵝</v>
      </c>
      <c r="J425" t="str">
        <f>IFERROR(__xludf.DUMMYFUNCTION("IFS(
  AND(REGEXMATCH(E425, ""台銀籌備帳戶|玉山帳戶""), REGEXMATCH(C425, ""薪資"")), ""分潤支出"",
  AND(REGEXMATCH(E425, ""Ben帳戶|Elsa帳戶|Ben代墊|Ariel代墊|中信銀行共用""), REGEXMATCH(F425, ""Ben帳戶|Elsa帳戶|Ben代墊|Ariel代墊|中信銀行共用"")), ""內部轉帳(忽略)"",
  AND(E425&lt;&gt;"""", F425&lt;&gt;"""", NOT(REG"&amp;"EXMATCH(C425, ""薪資""))), ""內部轉帳(忽略)"",
  REGEXMATCH(C425, ""薪資""), ""薪資變動(不計入)"",
  REGEXMATCH(C425, ""押金""), ""押金往來"",
  AND(E425&lt;&gt;"""", F425=""""), ""真實支出"",
  AND(E425="""", F425&lt;&gt;""""), ""真實收入"",
  TRUE, ""其他""
)"),"押金往來")</f>
        <v>押金往來</v>
      </c>
      <c r="K425">
        <f t="shared" si="2"/>
        <v>0</v>
      </c>
      <c r="L425">
        <f t="shared" si="3"/>
        <v>0</v>
      </c>
    </row>
    <row r="426">
      <c r="A426" s="107">
        <f>IFERROR(__xludf.DUMMYFUNCTION("""COMPUTED_VALUE"""),45443.0)</f>
        <v>45443</v>
      </c>
      <c r="B426" t="str">
        <f>IFERROR(__xludf.DUMMYFUNCTION("""COMPUTED_VALUE"""),"哈拉對面D柳翰洋")</f>
        <v>哈拉對面D柳翰洋</v>
      </c>
      <c r="C426" t="str">
        <f>IFERROR(__xludf.DUMMYFUNCTION("""COMPUTED_VALUE"""),"收入 - 租金")</f>
        <v>收入 - 租金</v>
      </c>
      <c r="D426" s="270">
        <f>IFERROR(__xludf.DUMMYFUNCTION("""COMPUTED_VALUE"""),12300.0)</f>
        <v>12300</v>
      </c>
      <c r="F426" t="str">
        <f>IFERROR(__xludf.DUMMYFUNCTION("""COMPUTED_VALUE"""),"台銀籌備帳戶")</f>
        <v>台銀籌備帳戶</v>
      </c>
      <c r="G426" t="str">
        <f>IFERROR(__xludf.DUMMYFUNCTION("""COMPUTED_VALUE"""),"哈拉對面")</f>
        <v>哈拉對面</v>
      </c>
      <c r="H426" s="106" t="str">
        <f t="shared" si="1"/>
        <v>2024-05</v>
      </c>
      <c r="I426" s="271" t="str">
        <f>IFERROR(__xludf.DUMMYFUNCTION("""COMPUTED_VALUE"""),"貓狗企鵝")</f>
        <v>貓狗企鵝</v>
      </c>
      <c r="J426" t="str">
        <f>IFERROR(__xludf.DUMMYFUNCTION("IFS(
  AND(REGEXMATCH(E426, ""台銀籌備帳戶|玉山帳戶""), REGEXMATCH(C426, ""薪資"")), ""分潤支出"",
  AND(REGEXMATCH(E426, ""Ben帳戶|Elsa帳戶|Ben代墊|Ariel代墊|中信銀行共用""), REGEXMATCH(F426, ""Ben帳戶|Elsa帳戶|Ben代墊|Ariel代墊|中信銀行共用"")), ""內部轉帳(忽略)"",
  AND(E426&lt;&gt;"""", F426&lt;&gt;"""", NOT(REG"&amp;"EXMATCH(C426, ""薪資""))), ""內部轉帳(忽略)"",
  REGEXMATCH(C426, ""薪資""), ""薪資變動(不計入)"",
  REGEXMATCH(C426, ""押金""), ""押金往來"",
  AND(E426&lt;&gt;"""", F426=""""), ""真實支出"",
  AND(E426="""", F426&lt;&gt;""""), ""真實收入"",
  TRUE, ""其他""
)"),"真實收入")</f>
        <v>真實收入</v>
      </c>
      <c r="K426" s="270">
        <f t="shared" si="2"/>
        <v>12300</v>
      </c>
      <c r="L426">
        <f t="shared" si="3"/>
        <v>0</v>
      </c>
    </row>
    <row r="427">
      <c r="A427" s="107">
        <f>IFERROR(__xludf.DUMMYFUNCTION("""COMPUTED_VALUE"""),45443.0)</f>
        <v>45443</v>
      </c>
      <c r="B427" t="str">
        <f>IFERROR(__xludf.DUMMYFUNCTION("""COMPUTED_VALUE"""),"大湖山莊房租")</f>
        <v>大湖山莊房租</v>
      </c>
      <c r="C427" t="str">
        <f>IFERROR(__xludf.DUMMYFUNCTION("""COMPUTED_VALUE"""),"成本 - 大租金")</f>
        <v>成本 - 大租金</v>
      </c>
      <c r="D427" s="270">
        <f>IFERROR(__xludf.DUMMYFUNCTION("""COMPUTED_VALUE"""),-34716.0)</f>
        <v>-34716</v>
      </c>
      <c r="E427" t="str">
        <f>IFERROR(__xludf.DUMMYFUNCTION("""COMPUTED_VALUE"""),"台銀籌備帳戶")</f>
        <v>台銀籌備帳戶</v>
      </c>
      <c r="G427" t="str">
        <f>IFERROR(__xludf.DUMMYFUNCTION("""COMPUTED_VALUE"""),"大湖山莊")</f>
        <v>大湖山莊</v>
      </c>
      <c r="H427" s="106" t="str">
        <f t="shared" si="1"/>
        <v>2024-05</v>
      </c>
      <c r="I427" s="271" t="str">
        <f>IFERROR(__xludf.DUMMYFUNCTION("""COMPUTED_VALUE"""),"貓狗企鵝")</f>
        <v>貓狗企鵝</v>
      </c>
      <c r="J427" t="str">
        <f>IFERROR(__xludf.DUMMYFUNCTION("IFS(
  AND(REGEXMATCH(E427, ""台銀籌備帳戶|玉山帳戶""), REGEXMATCH(C427, ""薪資"")), ""分潤支出"",
  AND(REGEXMATCH(E427, ""Ben帳戶|Elsa帳戶|Ben代墊|Ariel代墊|中信銀行共用""), REGEXMATCH(F427, ""Ben帳戶|Elsa帳戶|Ben代墊|Ariel代墊|中信銀行共用"")), ""內部轉帳(忽略)"",
  AND(E427&lt;&gt;"""", F427&lt;&gt;"""", NOT(REG"&amp;"EXMATCH(C427, ""薪資""))), ""內部轉帳(忽略)"",
  REGEXMATCH(C427, ""薪資""), ""薪資變動(不計入)"",
  REGEXMATCH(C427, ""押金""), ""押金往來"",
  AND(E427&lt;&gt;"""", F427=""""), ""真實支出"",
  AND(E427="""", F427&lt;&gt;""""), ""真實收入"",
  TRUE, ""其他""
)"),"真實支出")</f>
        <v>真實支出</v>
      </c>
      <c r="K427" s="270">
        <f t="shared" si="2"/>
        <v>-34716</v>
      </c>
      <c r="L427">
        <f t="shared" si="3"/>
        <v>0</v>
      </c>
    </row>
    <row r="428">
      <c r="A428" s="107">
        <f>IFERROR(__xludf.DUMMYFUNCTION("""COMPUTED_VALUE"""),45444.0)</f>
        <v>45444</v>
      </c>
      <c r="B428" t="str">
        <f>IFERROR(__xludf.DUMMYFUNCTION("""COMPUTED_VALUE"""),"永春郭大哥")</f>
        <v>永春郭大哥</v>
      </c>
      <c r="C428" t="str">
        <f>IFERROR(__xludf.DUMMYFUNCTION("""COMPUTED_VALUE"""),"成本 - 大租金")</f>
        <v>成本 - 大租金</v>
      </c>
      <c r="D428" s="270">
        <f>IFERROR(__xludf.DUMMYFUNCTION("""COMPUTED_VALUE"""),-17015.0)</f>
        <v>-17015</v>
      </c>
      <c r="E428" t="str">
        <f>IFERROR(__xludf.DUMMYFUNCTION("""COMPUTED_VALUE"""),"台銀籌備帳戶")</f>
        <v>台銀籌備帳戶</v>
      </c>
      <c r="G428" t="str">
        <f>IFERROR(__xludf.DUMMYFUNCTION("""COMPUTED_VALUE"""),"永春四號")</f>
        <v>永春四號</v>
      </c>
      <c r="H428" s="106" t="str">
        <f t="shared" si="1"/>
        <v>2024-06</v>
      </c>
      <c r="I428" s="271" t="str">
        <f>IFERROR(__xludf.DUMMYFUNCTION("""COMPUTED_VALUE"""),"貓狗企鵝")</f>
        <v>貓狗企鵝</v>
      </c>
      <c r="J428" t="str">
        <f>IFERROR(__xludf.DUMMYFUNCTION("IFS(
  AND(REGEXMATCH(E428, ""台銀籌備帳戶|玉山帳戶""), REGEXMATCH(C428, ""薪資"")), ""分潤支出"",
  AND(REGEXMATCH(E428, ""Ben帳戶|Elsa帳戶|Ben代墊|Ariel代墊|中信銀行共用""), REGEXMATCH(F428, ""Ben帳戶|Elsa帳戶|Ben代墊|Ariel代墊|中信銀行共用"")), ""內部轉帳(忽略)"",
  AND(E428&lt;&gt;"""", F428&lt;&gt;"""", NOT(REG"&amp;"EXMATCH(C428, ""薪資""))), ""內部轉帳(忽略)"",
  REGEXMATCH(C428, ""薪資""), ""薪資變動(不計入)"",
  REGEXMATCH(C428, ""押金""), ""押金往來"",
  AND(E428&lt;&gt;"""", F428=""""), ""真實支出"",
  AND(E428="""", F428&lt;&gt;""""), ""真實收入"",
  TRUE, ""其他""
)"),"真實支出")</f>
        <v>真實支出</v>
      </c>
      <c r="K428" s="270">
        <f t="shared" si="2"/>
        <v>-17015</v>
      </c>
      <c r="L428">
        <f t="shared" si="3"/>
        <v>0</v>
      </c>
    </row>
    <row r="429">
      <c r="A429" s="107">
        <f>IFERROR(__xludf.DUMMYFUNCTION("""COMPUTED_VALUE"""),45444.0)</f>
        <v>45444</v>
      </c>
      <c r="B429" t="str">
        <f>IFERROR(__xludf.DUMMYFUNCTION("""COMPUTED_VALUE"""),"永春郭大哥")</f>
        <v>永春郭大哥</v>
      </c>
      <c r="C429" t="str">
        <f>IFERROR(__xludf.DUMMYFUNCTION("""COMPUTED_VALUE"""),"成本 - 大租金")</f>
        <v>成本 - 大租金</v>
      </c>
      <c r="D429" s="270">
        <f>IFERROR(__xludf.DUMMYFUNCTION("""COMPUTED_VALUE"""),-17015.0)</f>
        <v>-17015</v>
      </c>
      <c r="E429" t="str">
        <f>IFERROR(__xludf.DUMMYFUNCTION("""COMPUTED_VALUE"""),"台銀籌備帳戶")</f>
        <v>台銀籌備帳戶</v>
      </c>
      <c r="G429" t="str">
        <f>IFERROR(__xludf.DUMMYFUNCTION("""COMPUTED_VALUE"""),"永春四號")</f>
        <v>永春四號</v>
      </c>
      <c r="H429" s="106" t="str">
        <f t="shared" si="1"/>
        <v>2024-06</v>
      </c>
      <c r="I429" s="271" t="str">
        <f>IFERROR(__xludf.DUMMYFUNCTION("""COMPUTED_VALUE"""),"貓狗企鵝")</f>
        <v>貓狗企鵝</v>
      </c>
      <c r="J429" t="str">
        <f>IFERROR(__xludf.DUMMYFUNCTION("IFS(
  AND(REGEXMATCH(E429, ""台銀籌備帳戶|玉山帳戶""), REGEXMATCH(C429, ""薪資"")), ""分潤支出"",
  AND(REGEXMATCH(E429, ""Ben帳戶|Elsa帳戶|Ben代墊|Ariel代墊|中信銀行共用""), REGEXMATCH(F429, ""Ben帳戶|Elsa帳戶|Ben代墊|Ariel代墊|中信銀行共用"")), ""內部轉帳(忽略)"",
  AND(E429&lt;&gt;"""", F429&lt;&gt;"""", NOT(REG"&amp;"EXMATCH(C429, ""薪資""))), ""內部轉帳(忽略)"",
  REGEXMATCH(C429, ""薪資""), ""薪資變動(不計入)"",
  REGEXMATCH(C429, ""押金""), ""押金往來"",
  AND(E429&lt;&gt;"""", F429=""""), ""真實支出"",
  AND(E429="""", F429&lt;&gt;""""), ""真實收入"",
  TRUE, ""其他""
)"),"真實支出")</f>
        <v>真實支出</v>
      </c>
      <c r="K429" s="270">
        <f t="shared" si="2"/>
        <v>-17015</v>
      </c>
      <c r="L429">
        <f t="shared" si="3"/>
        <v>0</v>
      </c>
    </row>
    <row r="430">
      <c r="A430" s="107">
        <f>IFERROR(__xludf.DUMMYFUNCTION("""COMPUTED_VALUE"""),45444.0)</f>
        <v>45444</v>
      </c>
      <c r="B430" t="str">
        <f>IFERROR(__xludf.DUMMYFUNCTION("""COMPUTED_VALUE"""),"龍江229游r")</f>
        <v>龍江229游r</v>
      </c>
      <c r="C430" t="str">
        <f>IFERROR(__xludf.DUMMYFUNCTION("""COMPUTED_VALUE"""),"成本 - 大租金")</f>
        <v>成本 - 大租金</v>
      </c>
      <c r="D430" s="270">
        <f>IFERROR(__xludf.DUMMYFUNCTION("""COMPUTED_VALUE"""),-24345.0)</f>
        <v>-24345</v>
      </c>
      <c r="E430" t="str">
        <f>IFERROR(__xludf.DUMMYFUNCTION("""COMPUTED_VALUE"""),"台銀籌備帳戶")</f>
        <v>台銀籌備帳戶</v>
      </c>
      <c r="G430" t="str">
        <f>IFERROR(__xludf.DUMMYFUNCTION("""COMPUTED_VALUE"""),"龍江229")</f>
        <v>龍江229</v>
      </c>
      <c r="H430" s="106" t="str">
        <f t="shared" si="1"/>
        <v>2024-06</v>
      </c>
      <c r="I430" s="271" t="str">
        <f>IFERROR(__xludf.DUMMYFUNCTION("""COMPUTED_VALUE"""),"貓狗企鵝")</f>
        <v>貓狗企鵝</v>
      </c>
      <c r="J430" t="str">
        <f>IFERROR(__xludf.DUMMYFUNCTION("IFS(
  AND(REGEXMATCH(E430, ""台銀籌備帳戶|玉山帳戶""), REGEXMATCH(C430, ""薪資"")), ""分潤支出"",
  AND(REGEXMATCH(E430, ""Ben帳戶|Elsa帳戶|Ben代墊|Ariel代墊|中信銀行共用""), REGEXMATCH(F430, ""Ben帳戶|Elsa帳戶|Ben代墊|Ariel代墊|中信銀行共用"")), ""內部轉帳(忽略)"",
  AND(E430&lt;&gt;"""", F430&lt;&gt;"""", NOT(REG"&amp;"EXMATCH(C430, ""薪資""))), ""內部轉帳(忽略)"",
  REGEXMATCH(C430, ""薪資""), ""薪資變動(不計入)"",
  REGEXMATCH(C430, ""押金""), ""押金往來"",
  AND(E430&lt;&gt;"""", F430=""""), ""真實支出"",
  AND(E430="""", F430&lt;&gt;""""), ""真實收入"",
  TRUE, ""其他""
)"),"真實支出")</f>
        <v>真實支出</v>
      </c>
      <c r="K430" s="270">
        <f t="shared" si="2"/>
        <v>-24345</v>
      </c>
      <c r="L430">
        <f t="shared" si="3"/>
        <v>0</v>
      </c>
    </row>
    <row r="431">
      <c r="A431" s="107">
        <f>IFERROR(__xludf.DUMMYFUNCTION("""COMPUTED_VALUE"""),45444.0)</f>
        <v>45444</v>
      </c>
      <c r="B431" t="str">
        <f>IFERROR(__xludf.DUMMYFUNCTION("""COMPUTED_VALUE"""),"哈拉校長")</f>
        <v>哈拉校長</v>
      </c>
      <c r="C431" t="str">
        <f>IFERROR(__xludf.DUMMYFUNCTION("""COMPUTED_VALUE"""),"成本 - 大租金")</f>
        <v>成本 - 大租金</v>
      </c>
      <c r="D431" s="270">
        <f>IFERROR(__xludf.DUMMYFUNCTION("""COMPUTED_VALUE"""),-25466.0)</f>
        <v>-25466</v>
      </c>
      <c r="E431" t="str">
        <f>IFERROR(__xludf.DUMMYFUNCTION("""COMPUTED_VALUE"""),"台銀籌備帳戶")</f>
        <v>台銀籌備帳戶</v>
      </c>
      <c r="G431" t="str">
        <f>IFERROR(__xludf.DUMMYFUNCTION("""COMPUTED_VALUE"""),"哈拉對面")</f>
        <v>哈拉對面</v>
      </c>
      <c r="H431" s="106" t="str">
        <f t="shared" si="1"/>
        <v>2024-06</v>
      </c>
      <c r="I431" s="271" t="str">
        <f>IFERROR(__xludf.DUMMYFUNCTION("""COMPUTED_VALUE"""),"貓狗企鵝")</f>
        <v>貓狗企鵝</v>
      </c>
      <c r="J431" t="str">
        <f>IFERROR(__xludf.DUMMYFUNCTION("IFS(
  AND(REGEXMATCH(E431, ""台銀籌備帳戶|玉山帳戶""), REGEXMATCH(C431, ""薪資"")), ""分潤支出"",
  AND(REGEXMATCH(E431, ""Ben帳戶|Elsa帳戶|Ben代墊|Ariel代墊|中信銀行共用""), REGEXMATCH(F431, ""Ben帳戶|Elsa帳戶|Ben代墊|Ariel代墊|中信銀行共用"")), ""內部轉帳(忽略)"",
  AND(E431&lt;&gt;"""", F431&lt;&gt;"""", NOT(REG"&amp;"EXMATCH(C431, ""薪資""))), ""內部轉帳(忽略)"",
  REGEXMATCH(C431, ""薪資""), ""薪資變動(不計入)"",
  REGEXMATCH(C431, ""押金""), ""押金往來"",
  AND(E431&lt;&gt;"""", F431=""""), ""真實支出"",
  AND(E431="""", F431&lt;&gt;""""), ""真實收入"",
  TRUE, ""其他""
)"),"真實支出")</f>
        <v>真實支出</v>
      </c>
      <c r="K431" s="270">
        <f t="shared" si="2"/>
        <v>-25466</v>
      </c>
      <c r="L431">
        <f t="shared" si="3"/>
        <v>0</v>
      </c>
    </row>
    <row r="432">
      <c r="A432" s="107">
        <f>IFERROR(__xludf.DUMMYFUNCTION("""COMPUTED_VALUE"""),45444.0)</f>
        <v>45444</v>
      </c>
      <c r="B432" t="str">
        <f>IFERROR(__xludf.DUMMYFUNCTION("""COMPUTED_VALUE"""),"吳興街房租")</f>
        <v>吳興街房租</v>
      </c>
      <c r="C432" t="str">
        <f>IFERROR(__xludf.DUMMYFUNCTION("""COMPUTED_VALUE"""),"成本 - 大租金")</f>
        <v>成本 - 大租金</v>
      </c>
      <c r="D432" s="270">
        <f>IFERROR(__xludf.DUMMYFUNCTION("""COMPUTED_VALUE"""),-25075.0)</f>
        <v>-25075</v>
      </c>
      <c r="E432" t="str">
        <f>IFERROR(__xludf.DUMMYFUNCTION("""COMPUTED_VALUE"""),"台銀籌備帳戶")</f>
        <v>台銀籌備帳戶</v>
      </c>
      <c r="G432" t="str">
        <f>IFERROR(__xludf.DUMMYFUNCTION("""COMPUTED_VALUE"""),"北醫醫師府")</f>
        <v>北醫醫師府</v>
      </c>
      <c r="H432" s="106" t="str">
        <f t="shared" si="1"/>
        <v>2024-06</v>
      </c>
      <c r="I432" s="271" t="str">
        <f>IFERROR(__xludf.DUMMYFUNCTION("""COMPUTED_VALUE"""),"貓狗企鵝")</f>
        <v>貓狗企鵝</v>
      </c>
      <c r="J432" t="str">
        <f>IFERROR(__xludf.DUMMYFUNCTION("IFS(
  AND(REGEXMATCH(E432, ""台銀籌備帳戶|玉山帳戶""), REGEXMATCH(C432, ""薪資"")), ""分潤支出"",
  AND(REGEXMATCH(E432, ""Ben帳戶|Elsa帳戶|Ben代墊|Ariel代墊|中信銀行共用""), REGEXMATCH(F432, ""Ben帳戶|Elsa帳戶|Ben代墊|Ariel代墊|中信銀行共用"")), ""內部轉帳(忽略)"",
  AND(E432&lt;&gt;"""", F432&lt;&gt;"""", NOT(REG"&amp;"EXMATCH(C432, ""薪資""))), ""內部轉帳(忽略)"",
  REGEXMATCH(C432, ""薪資""), ""薪資變動(不計入)"",
  REGEXMATCH(C432, ""押金""), ""押金往來"",
  AND(E432&lt;&gt;"""", F432=""""), ""真實支出"",
  AND(E432="""", F432&lt;&gt;""""), ""真實收入"",
  TRUE, ""其他""
)"),"真實支出")</f>
        <v>真實支出</v>
      </c>
      <c r="K432" s="270">
        <f t="shared" si="2"/>
        <v>-25075</v>
      </c>
      <c r="L432">
        <f t="shared" si="3"/>
        <v>0</v>
      </c>
    </row>
    <row r="433">
      <c r="A433" s="107">
        <f>IFERROR(__xludf.DUMMYFUNCTION("""COMPUTED_VALUE"""),45444.0)</f>
        <v>45444</v>
      </c>
      <c r="B433" t="str">
        <f>IFERROR(__xludf.DUMMYFUNCTION("""COMPUTED_VALUE"""),"佳惠裝潢款")</f>
        <v>佳惠裝潢款</v>
      </c>
      <c r="C433" t="str">
        <f>IFERROR(__xludf.DUMMYFUNCTION("""COMPUTED_VALUE"""),"費用 - Salary 薪資")</f>
        <v>費用 - Salary 薪資</v>
      </c>
      <c r="D433" s="270">
        <f>IFERROR(__xludf.DUMMYFUNCTION("""COMPUTED_VALUE"""),-43015.0)</f>
        <v>-43015</v>
      </c>
      <c r="E433" t="str">
        <f>IFERROR(__xludf.DUMMYFUNCTION("""COMPUTED_VALUE"""),"台銀籌備帳戶")</f>
        <v>台銀籌備帳戶</v>
      </c>
      <c r="F433" t="str">
        <f>IFERROR(__xludf.DUMMYFUNCTION("""COMPUTED_VALUE"""),"Elsa帳戶")</f>
        <v>Elsa帳戶</v>
      </c>
      <c r="H433" s="106" t="str">
        <f t="shared" si="1"/>
        <v>2024-06</v>
      </c>
      <c r="I433" s="271" t="str">
        <f>IFERROR(__xludf.DUMMYFUNCTION("""COMPUTED_VALUE"""),"貓狗企鵝")</f>
        <v>貓狗企鵝</v>
      </c>
      <c r="J433" t="str">
        <f>IFERROR(__xludf.DUMMYFUNCTION("IFS(
  AND(REGEXMATCH(E433, ""台銀籌備帳戶|玉山帳戶""), REGEXMATCH(C433, ""薪資"")), ""分潤支出"",
  AND(REGEXMATCH(E433, ""Ben帳戶|Elsa帳戶|Ben代墊|Ariel代墊|中信銀行共用""), REGEXMATCH(F433, ""Ben帳戶|Elsa帳戶|Ben代墊|Ariel代墊|中信銀行共用"")), ""內部轉帳(忽略)"",
  AND(E433&lt;&gt;"""", F433&lt;&gt;"""", NOT(REG"&amp;"EXMATCH(C433, ""薪資""))), ""內部轉帳(忽略)"",
  REGEXMATCH(C433, ""薪資""), ""薪資變動(不計入)"",
  REGEXMATCH(C433, ""押金""), ""押金往來"",
  AND(E433&lt;&gt;"""", F433=""""), ""真實支出"",
  AND(E433="""", F433&lt;&gt;""""), ""真實收入"",
  TRUE, ""其他""
)"),"分潤支出")</f>
        <v>分潤支出</v>
      </c>
      <c r="K433">
        <f t="shared" si="2"/>
        <v>0</v>
      </c>
      <c r="L433">
        <f t="shared" si="3"/>
        <v>43015</v>
      </c>
    </row>
    <row r="434">
      <c r="A434" s="107">
        <f>IFERROR(__xludf.DUMMYFUNCTION("""COMPUTED_VALUE"""),45444.0)</f>
        <v>45444</v>
      </c>
      <c r="B434" t="str">
        <f>IFERROR(__xludf.DUMMYFUNCTION("""COMPUTED_VALUE"""),"Ben裝潢款")</f>
        <v>Ben裝潢款</v>
      </c>
      <c r="C434" t="str">
        <f>IFERROR(__xludf.DUMMYFUNCTION("""COMPUTED_VALUE"""),"費用 - Salary 薪資")</f>
        <v>費用 - Salary 薪資</v>
      </c>
      <c r="D434" s="270">
        <f>IFERROR(__xludf.DUMMYFUNCTION("""COMPUTED_VALUE"""),-43015.0)</f>
        <v>-43015</v>
      </c>
      <c r="E434" t="str">
        <f>IFERROR(__xludf.DUMMYFUNCTION("""COMPUTED_VALUE"""),"台銀籌備帳戶")</f>
        <v>台銀籌備帳戶</v>
      </c>
      <c r="F434" t="str">
        <f>IFERROR(__xludf.DUMMYFUNCTION("""COMPUTED_VALUE"""),"Ben帳戶")</f>
        <v>Ben帳戶</v>
      </c>
      <c r="H434" s="106" t="str">
        <f t="shared" si="1"/>
        <v>2024-06</v>
      </c>
      <c r="I434" s="271" t="str">
        <f>IFERROR(__xludf.DUMMYFUNCTION("""COMPUTED_VALUE"""),"貓狗企鵝")</f>
        <v>貓狗企鵝</v>
      </c>
      <c r="J434" t="str">
        <f>IFERROR(__xludf.DUMMYFUNCTION("IFS(
  AND(REGEXMATCH(E434, ""台銀籌備帳戶|玉山帳戶""), REGEXMATCH(C434, ""薪資"")), ""分潤支出"",
  AND(REGEXMATCH(E434, ""Ben帳戶|Elsa帳戶|Ben代墊|Ariel代墊|中信銀行共用""), REGEXMATCH(F434, ""Ben帳戶|Elsa帳戶|Ben代墊|Ariel代墊|中信銀行共用"")), ""內部轉帳(忽略)"",
  AND(E434&lt;&gt;"""", F434&lt;&gt;"""", NOT(REG"&amp;"EXMATCH(C434, ""薪資""))), ""內部轉帳(忽略)"",
  REGEXMATCH(C434, ""薪資""), ""薪資變動(不計入)"",
  REGEXMATCH(C434, ""押金""), ""押金往來"",
  AND(E434&lt;&gt;"""", F434=""""), ""真實支出"",
  AND(E434="""", F434&lt;&gt;""""), ""真實收入"",
  TRUE, ""其他""
)"),"分潤支出")</f>
        <v>分潤支出</v>
      </c>
      <c r="K434">
        <f t="shared" si="2"/>
        <v>0</v>
      </c>
      <c r="L434">
        <f t="shared" si="3"/>
        <v>43015</v>
      </c>
    </row>
    <row r="435">
      <c r="A435" s="107">
        <f>IFERROR(__xludf.DUMMYFUNCTION("""COMPUTED_VALUE"""),45444.0)</f>
        <v>45444</v>
      </c>
      <c r="B435" t="str">
        <f>IFERROR(__xludf.DUMMYFUNCTION("""COMPUTED_VALUE"""),"北醫醫師府F林雍勳")</f>
        <v>北醫醫師府F林雍勳</v>
      </c>
      <c r="C435" t="str">
        <f>IFERROR(__xludf.DUMMYFUNCTION("""COMPUTED_VALUE"""),"收入 - 租金")</f>
        <v>收入 - 租金</v>
      </c>
      <c r="D435" s="270">
        <f>IFERROR(__xludf.DUMMYFUNCTION("""COMPUTED_VALUE"""),14800.0)</f>
        <v>14800</v>
      </c>
      <c r="F435" t="str">
        <f>IFERROR(__xludf.DUMMYFUNCTION("""COMPUTED_VALUE"""),"台銀籌備帳戶")</f>
        <v>台銀籌備帳戶</v>
      </c>
      <c r="G435" t="str">
        <f>IFERROR(__xludf.DUMMYFUNCTION("""COMPUTED_VALUE"""),"北醫醫師府")</f>
        <v>北醫醫師府</v>
      </c>
      <c r="H435" s="106" t="str">
        <f t="shared" si="1"/>
        <v>2024-06</v>
      </c>
      <c r="I435" s="271" t="str">
        <f>IFERROR(__xludf.DUMMYFUNCTION("""COMPUTED_VALUE"""),"貓狗企鵝")</f>
        <v>貓狗企鵝</v>
      </c>
      <c r="J435" t="str">
        <f>IFERROR(__xludf.DUMMYFUNCTION("IFS(
  AND(REGEXMATCH(E435, ""台銀籌備帳戶|玉山帳戶""), REGEXMATCH(C435, ""薪資"")), ""分潤支出"",
  AND(REGEXMATCH(E435, ""Ben帳戶|Elsa帳戶|Ben代墊|Ariel代墊|中信銀行共用""), REGEXMATCH(F435, ""Ben帳戶|Elsa帳戶|Ben代墊|Ariel代墊|中信銀行共用"")), ""內部轉帳(忽略)"",
  AND(E435&lt;&gt;"""", F435&lt;&gt;"""", NOT(REG"&amp;"EXMATCH(C435, ""薪資""))), ""內部轉帳(忽略)"",
  REGEXMATCH(C435, ""薪資""), ""薪資變動(不計入)"",
  REGEXMATCH(C435, ""押金""), ""押金往來"",
  AND(E435&lt;&gt;"""", F435=""""), ""真實支出"",
  AND(E435="""", F435&lt;&gt;""""), ""真實收入"",
  TRUE, ""其他""
)"),"真實收入")</f>
        <v>真實收入</v>
      </c>
      <c r="K435" s="270">
        <f t="shared" si="2"/>
        <v>14800</v>
      </c>
      <c r="L435">
        <f t="shared" si="3"/>
        <v>0</v>
      </c>
    </row>
    <row r="436">
      <c r="A436" s="107">
        <f>IFERROR(__xludf.DUMMYFUNCTION("""COMPUTED_VALUE"""),45444.0)</f>
        <v>45444</v>
      </c>
      <c r="B436" t="str">
        <f>IFERROR(__xludf.DUMMYFUNCTION("""COMPUTED_VALUE"""),"哈拉對面A李柏緯")</f>
        <v>哈拉對面A李柏緯</v>
      </c>
      <c r="C436" t="str">
        <f>IFERROR(__xludf.DUMMYFUNCTION("""COMPUTED_VALUE"""),"收入 - 租金")</f>
        <v>收入 - 租金</v>
      </c>
      <c r="D436" s="270">
        <f>IFERROR(__xludf.DUMMYFUNCTION("""COMPUTED_VALUE"""),11300.0)</f>
        <v>11300</v>
      </c>
      <c r="F436" t="str">
        <f>IFERROR(__xludf.DUMMYFUNCTION("""COMPUTED_VALUE"""),"台銀籌備帳戶")</f>
        <v>台銀籌備帳戶</v>
      </c>
      <c r="G436" t="str">
        <f>IFERROR(__xludf.DUMMYFUNCTION("""COMPUTED_VALUE"""),"哈拉對面")</f>
        <v>哈拉對面</v>
      </c>
      <c r="H436" s="106" t="str">
        <f t="shared" si="1"/>
        <v>2024-06</v>
      </c>
      <c r="I436" s="271" t="str">
        <f>IFERROR(__xludf.DUMMYFUNCTION("""COMPUTED_VALUE"""),"貓狗企鵝")</f>
        <v>貓狗企鵝</v>
      </c>
      <c r="J436" t="str">
        <f>IFERROR(__xludf.DUMMYFUNCTION("IFS(
  AND(REGEXMATCH(E436, ""台銀籌備帳戶|玉山帳戶""), REGEXMATCH(C436, ""薪資"")), ""分潤支出"",
  AND(REGEXMATCH(E436, ""Ben帳戶|Elsa帳戶|Ben代墊|Ariel代墊|中信銀行共用""), REGEXMATCH(F436, ""Ben帳戶|Elsa帳戶|Ben代墊|Ariel代墊|中信銀行共用"")), ""內部轉帳(忽略)"",
  AND(E436&lt;&gt;"""", F436&lt;&gt;"""", NOT(REG"&amp;"EXMATCH(C436, ""薪資""))), ""內部轉帳(忽略)"",
  REGEXMATCH(C436, ""薪資""), ""薪資變動(不計入)"",
  REGEXMATCH(C436, ""押金""), ""押金往來"",
  AND(E436&lt;&gt;"""", F436=""""), ""真實支出"",
  AND(E436="""", F436&lt;&gt;""""), ""真實收入"",
  TRUE, ""其他""
)"),"真實收入")</f>
        <v>真實收入</v>
      </c>
      <c r="K436" s="270">
        <f t="shared" si="2"/>
        <v>11300</v>
      </c>
      <c r="L436">
        <f t="shared" si="3"/>
        <v>0</v>
      </c>
    </row>
    <row r="437">
      <c r="A437" s="107">
        <f>IFERROR(__xludf.DUMMYFUNCTION("""COMPUTED_VALUE"""),45444.0)</f>
        <v>45444</v>
      </c>
      <c r="B437" t="str">
        <f>IFERROR(__xludf.DUMMYFUNCTION("""COMPUTED_VALUE"""),"龍江229C陳雨彤")</f>
        <v>龍江229C陳雨彤</v>
      </c>
      <c r="C437" t="str">
        <f>IFERROR(__xludf.DUMMYFUNCTION("""COMPUTED_VALUE"""),"收入 - 租金")</f>
        <v>收入 - 租金</v>
      </c>
      <c r="D437" s="270">
        <f>IFERROR(__xludf.DUMMYFUNCTION("""COMPUTED_VALUE"""),16800.0)</f>
        <v>16800</v>
      </c>
      <c r="F437" t="str">
        <f>IFERROR(__xludf.DUMMYFUNCTION("""COMPUTED_VALUE"""),"台銀籌備帳戶")</f>
        <v>台銀籌備帳戶</v>
      </c>
      <c r="G437" t="str">
        <f>IFERROR(__xludf.DUMMYFUNCTION("""COMPUTED_VALUE"""),"龍江229")</f>
        <v>龍江229</v>
      </c>
      <c r="H437" s="106" t="str">
        <f t="shared" si="1"/>
        <v>2024-06</v>
      </c>
      <c r="I437" s="271" t="str">
        <f>IFERROR(__xludf.DUMMYFUNCTION("""COMPUTED_VALUE"""),"貓狗企鵝")</f>
        <v>貓狗企鵝</v>
      </c>
      <c r="J437" t="str">
        <f>IFERROR(__xludf.DUMMYFUNCTION("IFS(
  AND(REGEXMATCH(E437, ""台銀籌備帳戶|玉山帳戶""), REGEXMATCH(C437, ""薪資"")), ""分潤支出"",
  AND(REGEXMATCH(E437, ""Ben帳戶|Elsa帳戶|Ben代墊|Ariel代墊|中信銀行共用""), REGEXMATCH(F437, ""Ben帳戶|Elsa帳戶|Ben代墊|Ariel代墊|中信銀行共用"")), ""內部轉帳(忽略)"",
  AND(E437&lt;&gt;"""", F437&lt;&gt;"""", NOT(REG"&amp;"EXMATCH(C437, ""薪資""))), ""內部轉帳(忽略)"",
  REGEXMATCH(C437, ""薪資""), ""薪資變動(不計入)"",
  REGEXMATCH(C437, ""押金""), ""押金往來"",
  AND(E437&lt;&gt;"""", F437=""""), ""真實支出"",
  AND(E437="""", F437&lt;&gt;""""), ""真實收入"",
  TRUE, ""其他""
)"),"真實收入")</f>
        <v>真實收入</v>
      </c>
      <c r="K437" s="270">
        <f t="shared" si="2"/>
        <v>16800</v>
      </c>
      <c r="L437">
        <f t="shared" si="3"/>
        <v>0</v>
      </c>
    </row>
    <row r="438">
      <c r="A438" s="107">
        <f>IFERROR(__xludf.DUMMYFUNCTION("""COMPUTED_VALUE"""),45444.0)</f>
        <v>45444</v>
      </c>
      <c r="B438" t="str">
        <f>IFERROR(__xludf.DUMMYFUNCTION("""COMPUTED_VALUE"""),"永春四號C林聿妡")</f>
        <v>永春四號C林聿妡</v>
      </c>
      <c r="C438" t="str">
        <f>IFERROR(__xludf.DUMMYFUNCTION("""COMPUTED_VALUE"""),"收入 - 租金")</f>
        <v>收入 - 租金</v>
      </c>
      <c r="D438" s="270">
        <f>IFERROR(__xludf.DUMMYFUNCTION("""COMPUTED_VALUE"""),13300.0)</f>
        <v>13300</v>
      </c>
      <c r="F438" t="str">
        <f>IFERROR(__xludf.DUMMYFUNCTION("""COMPUTED_VALUE"""),"台銀籌備帳戶")</f>
        <v>台銀籌備帳戶</v>
      </c>
      <c r="G438" t="str">
        <f>IFERROR(__xludf.DUMMYFUNCTION("""COMPUTED_VALUE"""),"永春四號")</f>
        <v>永春四號</v>
      </c>
      <c r="H438" s="106" t="str">
        <f t="shared" si="1"/>
        <v>2024-06</v>
      </c>
      <c r="I438" s="271" t="str">
        <f>IFERROR(__xludf.DUMMYFUNCTION("""COMPUTED_VALUE"""),"貓狗企鵝")</f>
        <v>貓狗企鵝</v>
      </c>
      <c r="J438" t="str">
        <f>IFERROR(__xludf.DUMMYFUNCTION("IFS(
  AND(REGEXMATCH(E438, ""台銀籌備帳戶|玉山帳戶""), REGEXMATCH(C438, ""薪資"")), ""分潤支出"",
  AND(REGEXMATCH(E438, ""Ben帳戶|Elsa帳戶|Ben代墊|Ariel代墊|中信銀行共用""), REGEXMATCH(F438, ""Ben帳戶|Elsa帳戶|Ben代墊|Ariel代墊|中信銀行共用"")), ""內部轉帳(忽略)"",
  AND(E438&lt;&gt;"""", F438&lt;&gt;"""", NOT(REG"&amp;"EXMATCH(C438, ""薪資""))), ""內部轉帳(忽略)"",
  REGEXMATCH(C438, ""薪資""), ""薪資變動(不計入)"",
  REGEXMATCH(C438, ""押金""), ""押金往來"",
  AND(E438&lt;&gt;"""", F438=""""), ""真實支出"",
  AND(E438="""", F438&lt;&gt;""""), ""真實收入"",
  TRUE, ""其他""
)"),"真實收入")</f>
        <v>真實收入</v>
      </c>
      <c r="K438" s="270">
        <f t="shared" si="2"/>
        <v>13300</v>
      </c>
      <c r="L438">
        <f t="shared" si="3"/>
        <v>0</v>
      </c>
    </row>
    <row r="439">
      <c r="A439" s="107">
        <f>IFERROR(__xludf.DUMMYFUNCTION("""COMPUTED_VALUE"""),45444.0)</f>
        <v>45444</v>
      </c>
      <c r="B439" t="str">
        <f>IFERROR(__xludf.DUMMYFUNCTION("""COMPUTED_VALUE"""),"龍江229B陳佩娟")</f>
        <v>龍江229B陳佩娟</v>
      </c>
      <c r="C439" t="str">
        <f>IFERROR(__xludf.DUMMYFUNCTION("""COMPUTED_VALUE"""),"收入 - 租金")</f>
        <v>收入 - 租金</v>
      </c>
      <c r="D439" s="270">
        <f>IFERROR(__xludf.DUMMYFUNCTION("""COMPUTED_VALUE"""),13000.0)</f>
        <v>13000</v>
      </c>
      <c r="F439" t="str">
        <f>IFERROR(__xludf.DUMMYFUNCTION("""COMPUTED_VALUE"""),"台銀籌備帳戶")</f>
        <v>台銀籌備帳戶</v>
      </c>
      <c r="G439" t="str">
        <f>IFERROR(__xludf.DUMMYFUNCTION("""COMPUTED_VALUE"""),"龍江229")</f>
        <v>龍江229</v>
      </c>
      <c r="H439" s="106" t="str">
        <f t="shared" si="1"/>
        <v>2024-06</v>
      </c>
      <c r="I439" s="271" t="str">
        <f>IFERROR(__xludf.DUMMYFUNCTION("""COMPUTED_VALUE"""),"貓狗企鵝")</f>
        <v>貓狗企鵝</v>
      </c>
      <c r="J439" t="str">
        <f>IFERROR(__xludf.DUMMYFUNCTION("IFS(
  AND(REGEXMATCH(E439, ""台銀籌備帳戶|玉山帳戶""), REGEXMATCH(C439, ""薪資"")), ""分潤支出"",
  AND(REGEXMATCH(E439, ""Ben帳戶|Elsa帳戶|Ben代墊|Ariel代墊|中信銀行共用""), REGEXMATCH(F439, ""Ben帳戶|Elsa帳戶|Ben代墊|Ariel代墊|中信銀行共用"")), ""內部轉帳(忽略)"",
  AND(E439&lt;&gt;"""", F439&lt;&gt;"""", NOT(REG"&amp;"EXMATCH(C439, ""薪資""))), ""內部轉帳(忽略)"",
  REGEXMATCH(C439, ""薪資""), ""薪資變動(不計入)"",
  REGEXMATCH(C439, ""押金""), ""押金往來"",
  AND(E439&lt;&gt;"""", F439=""""), ""真實支出"",
  AND(E439="""", F439&lt;&gt;""""), ""真實收入"",
  TRUE, ""其他""
)"),"真實收入")</f>
        <v>真實收入</v>
      </c>
      <c r="K439" s="270">
        <f t="shared" si="2"/>
        <v>13000</v>
      </c>
      <c r="L439">
        <f t="shared" si="3"/>
        <v>0</v>
      </c>
    </row>
    <row r="440">
      <c r="A440" s="107">
        <f>IFERROR(__xludf.DUMMYFUNCTION("""COMPUTED_VALUE"""),45444.0)</f>
        <v>45444</v>
      </c>
      <c r="B440" t="str">
        <f>IFERROR(__xludf.DUMMYFUNCTION("""COMPUTED_VALUE"""),"北醫醫師府A鄭伊彤")</f>
        <v>北醫醫師府A鄭伊彤</v>
      </c>
      <c r="C440" t="str">
        <f>IFERROR(__xludf.DUMMYFUNCTION("""COMPUTED_VALUE"""),"收入 - 租金")</f>
        <v>收入 - 租金</v>
      </c>
      <c r="D440" s="270">
        <f>IFERROR(__xludf.DUMMYFUNCTION("""COMPUTED_VALUE"""),13500.0)</f>
        <v>13500</v>
      </c>
      <c r="F440" t="str">
        <f>IFERROR(__xludf.DUMMYFUNCTION("""COMPUTED_VALUE"""),"台銀籌備帳戶")</f>
        <v>台銀籌備帳戶</v>
      </c>
      <c r="G440" t="str">
        <f>IFERROR(__xludf.DUMMYFUNCTION("""COMPUTED_VALUE"""),"北醫醫師府")</f>
        <v>北醫醫師府</v>
      </c>
      <c r="H440" s="106" t="str">
        <f t="shared" si="1"/>
        <v>2024-06</v>
      </c>
      <c r="I440" s="271" t="str">
        <f>IFERROR(__xludf.DUMMYFUNCTION("""COMPUTED_VALUE"""),"貓狗企鵝")</f>
        <v>貓狗企鵝</v>
      </c>
      <c r="J440" t="str">
        <f>IFERROR(__xludf.DUMMYFUNCTION("IFS(
  AND(REGEXMATCH(E440, ""台銀籌備帳戶|玉山帳戶""), REGEXMATCH(C440, ""薪資"")), ""分潤支出"",
  AND(REGEXMATCH(E440, ""Ben帳戶|Elsa帳戶|Ben代墊|Ariel代墊|中信銀行共用""), REGEXMATCH(F440, ""Ben帳戶|Elsa帳戶|Ben代墊|Ariel代墊|中信銀行共用"")), ""內部轉帳(忽略)"",
  AND(E440&lt;&gt;"""", F440&lt;&gt;"""", NOT(REG"&amp;"EXMATCH(C440, ""薪資""))), ""內部轉帳(忽略)"",
  REGEXMATCH(C440, ""薪資""), ""薪資變動(不計入)"",
  REGEXMATCH(C440, ""押金""), ""押金往來"",
  AND(E440&lt;&gt;"""", F440=""""), ""真實支出"",
  AND(E440="""", F440&lt;&gt;""""), ""真實收入"",
  TRUE, ""其他""
)"),"真實收入")</f>
        <v>真實收入</v>
      </c>
      <c r="K440" s="270">
        <f t="shared" si="2"/>
        <v>13500</v>
      </c>
      <c r="L440">
        <f t="shared" si="3"/>
        <v>0</v>
      </c>
    </row>
    <row r="441">
      <c r="A441" s="107">
        <f>IFERROR(__xludf.DUMMYFUNCTION("""COMPUTED_VALUE"""),45445.0)</f>
        <v>45445</v>
      </c>
      <c r="B441" t="str">
        <f>IFERROR(__xludf.DUMMYFUNCTION("""COMPUTED_VALUE"""),"龍江229D黃依婷")</f>
        <v>龍江229D黃依婷</v>
      </c>
      <c r="C441" t="str">
        <f>IFERROR(__xludf.DUMMYFUNCTION("""COMPUTED_VALUE"""),"收入 - 租金")</f>
        <v>收入 - 租金</v>
      </c>
      <c r="D441" s="270">
        <f>IFERROR(__xludf.DUMMYFUNCTION("""COMPUTED_VALUE"""),13300.0)</f>
        <v>13300</v>
      </c>
      <c r="F441" t="str">
        <f>IFERROR(__xludf.DUMMYFUNCTION("""COMPUTED_VALUE"""),"台銀籌備帳戶")</f>
        <v>台銀籌備帳戶</v>
      </c>
      <c r="G441" t="str">
        <f>IFERROR(__xludf.DUMMYFUNCTION("""COMPUTED_VALUE"""),"龍江229")</f>
        <v>龍江229</v>
      </c>
      <c r="H441" s="106" t="str">
        <f t="shared" si="1"/>
        <v>2024-06</v>
      </c>
      <c r="I441" s="271" t="str">
        <f>IFERROR(__xludf.DUMMYFUNCTION("""COMPUTED_VALUE"""),"貓狗企鵝")</f>
        <v>貓狗企鵝</v>
      </c>
      <c r="J441" t="str">
        <f>IFERROR(__xludf.DUMMYFUNCTION("IFS(
  AND(REGEXMATCH(E441, ""台銀籌備帳戶|玉山帳戶""), REGEXMATCH(C441, ""薪資"")), ""分潤支出"",
  AND(REGEXMATCH(E441, ""Ben帳戶|Elsa帳戶|Ben代墊|Ariel代墊|中信銀行共用""), REGEXMATCH(F441, ""Ben帳戶|Elsa帳戶|Ben代墊|Ariel代墊|中信銀行共用"")), ""內部轉帳(忽略)"",
  AND(E441&lt;&gt;"""", F441&lt;&gt;"""", NOT(REG"&amp;"EXMATCH(C441, ""薪資""))), ""內部轉帳(忽略)"",
  REGEXMATCH(C441, ""薪資""), ""薪資變動(不計入)"",
  REGEXMATCH(C441, ""押金""), ""押金往來"",
  AND(E441&lt;&gt;"""", F441=""""), ""真實支出"",
  AND(E441="""", F441&lt;&gt;""""), ""真實收入"",
  TRUE, ""其他""
)"),"真實收入")</f>
        <v>真實收入</v>
      </c>
      <c r="K441" s="270">
        <f t="shared" si="2"/>
        <v>13300</v>
      </c>
      <c r="L441">
        <f t="shared" si="3"/>
        <v>0</v>
      </c>
    </row>
    <row r="442">
      <c r="A442" s="107">
        <f>IFERROR(__xludf.DUMMYFUNCTION("""COMPUTED_VALUE"""),45445.0)</f>
        <v>45445</v>
      </c>
      <c r="B442" t="str">
        <f>IFERROR(__xludf.DUMMYFUNCTION("""COMPUTED_VALUE"""),"北醫醫師府C余典蓉")</f>
        <v>北醫醫師府C余典蓉</v>
      </c>
      <c r="C442" t="str">
        <f>IFERROR(__xludf.DUMMYFUNCTION("""COMPUTED_VALUE"""),"收入 - 租金")</f>
        <v>收入 - 租金</v>
      </c>
      <c r="D442" s="270">
        <f>IFERROR(__xludf.DUMMYFUNCTION("""COMPUTED_VALUE"""),13000.0)</f>
        <v>13000</v>
      </c>
      <c r="F442" t="str">
        <f>IFERROR(__xludf.DUMMYFUNCTION("""COMPUTED_VALUE"""),"台銀籌備帳戶")</f>
        <v>台銀籌備帳戶</v>
      </c>
      <c r="G442" t="str">
        <f>IFERROR(__xludf.DUMMYFUNCTION("""COMPUTED_VALUE"""),"北醫醫師府")</f>
        <v>北醫醫師府</v>
      </c>
      <c r="H442" s="106" t="str">
        <f t="shared" si="1"/>
        <v>2024-06</v>
      </c>
      <c r="I442" s="271" t="str">
        <f>IFERROR(__xludf.DUMMYFUNCTION("""COMPUTED_VALUE"""),"貓狗企鵝")</f>
        <v>貓狗企鵝</v>
      </c>
      <c r="J442" t="str">
        <f>IFERROR(__xludf.DUMMYFUNCTION("IFS(
  AND(REGEXMATCH(E442, ""台銀籌備帳戶|玉山帳戶""), REGEXMATCH(C442, ""薪資"")), ""分潤支出"",
  AND(REGEXMATCH(E442, ""Ben帳戶|Elsa帳戶|Ben代墊|Ariel代墊|中信銀行共用""), REGEXMATCH(F442, ""Ben帳戶|Elsa帳戶|Ben代墊|Ariel代墊|中信銀行共用"")), ""內部轉帳(忽略)"",
  AND(E442&lt;&gt;"""", F442&lt;&gt;"""", NOT(REG"&amp;"EXMATCH(C442, ""薪資""))), ""內部轉帳(忽略)"",
  REGEXMATCH(C442, ""薪資""), ""薪資變動(不計入)"",
  REGEXMATCH(C442, ""押金""), ""押金往來"",
  AND(E442&lt;&gt;"""", F442=""""), ""真實支出"",
  AND(E442="""", F442&lt;&gt;""""), ""真實收入"",
  TRUE, ""其他""
)"),"真實收入")</f>
        <v>真實收入</v>
      </c>
      <c r="K442" s="270">
        <f t="shared" si="2"/>
        <v>13000</v>
      </c>
      <c r="L442">
        <f t="shared" si="3"/>
        <v>0</v>
      </c>
    </row>
    <row r="443">
      <c r="A443" s="107">
        <f>IFERROR(__xludf.DUMMYFUNCTION("""COMPUTED_VALUE"""),45445.0)</f>
        <v>45445</v>
      </c>
      <c r="B443" t="str">
        <f>IFERROR(__xludf.DUMMYFUNCTION("""COMPUTED_VALUE"""),"永春四號D翁政熙")</f>
        <v>永春四號D翁政熙</v>
      </c>
      <c r="C443" t="str">
        <f>IFERROR(__xludf.DUMMYFUNCTION("""COMPUTED_VALUE"""),"收入 - 租金")</f>
        <v>收入 - 租金</v>
      </c>
      <c r="D443" s="270">
        <f>IFERROR(__xludf.DUMMYFUNCTION("""COMPUTED_VALUE"""),14800.0)</f>
        <v>14800</v>
      </c>
      <c r="F443" t="str">
        <f>IFERROR(__xludf.DUMMYFUNCTION("""COMPUTED_VALUE"""),"台銀籌備帳戶")</f>
        <v>台銀籌備帳戶</v>
      </c>
      <c r="G443" t="str">
        <f>IFERROR(__xludf.DUMMYFUNCTION("""COMPUTED_VALUE"""),"永春四號")</f>
        <v>永春四號</v>
      </c>
      <c r="H443" s="106" t="str">
        <f t="shared" si="1"/>
        <v>2024-06</v>
      </c>
      <c r="I443" s="271" t="str">
        <f>IFERROR(__xludf.DUMMYFUNCTION("""COMPUTED_VALUE"""),"貓狗企鵝")</f>
        <v>貓狗企鵝</v>
      </c>
      <c r="J443" t="str">
        <f>IFERROR(__xludf.DUMMYFUNCTION("IFS(
  AND(REGEXMATCH(E443, ""台銀籌備帳戶|玉山帳戶""), REGEXMATCH(C443, ""薪資"")), ""分潤支出"",
  AND(REGEXMATCH(E443, ""Ben帳戶|Elsa帳戶|Ben代墊|Ariel代墊|中信銀行共用""), REGEXMATCH(F443, ""Ben帳戶|Elsa帳戶|Ben代墊|Ariel代墊|中信銀行共用"")), ""內部轉帳(忽略)"",
  AND(E443&lt;&gt;"""", F443&lt;&gt;"""", NOT(REG"&amp;"EXMATCH(C443, ""薪資""))), ""內部轉帳(忽略)"",
  REGEXMATCH(C443, ""薪資""), ""薪資變動(不計入)"",
  REGEXMATCH(C443, ""押金""), ""押金往來"",
  AND(E443&lt;&gt;"""", F443=""""), ""真實支出"",
  AND(E443="""", F443&lt;&gt;""""), ""真實收入"",
  TRUE, ""其他""
)"),"真實收入")</f>
        <v>真實收入</v>
      </c>
      <c r="K443" s="270">
        <f t="shared" si="2"/>
        <v>14800</v>
      </c>
      <c r="L443">
        <f t="shared" si="3"/>
        <v>0</v>
      </c>
    </row>
    <row r="444">
      <c r="A444" s="107">
        <f>IFERROR(__xludf.DUMMYFUNCTION("""COMPUTED_VALUE"""),45445.0)</f>
        <v>45445</v>
      </c>
      <c r="B444" t="str">
        <f>IFERROR(__xludf.DUMMYFUNCTION("""COMPUTED_VALUE"""),"哈拉對面C徐鉦庭")</f>
        <v>哈拉對面C徐鉦庭</v>
      </c>
      <c r="C444" t="str">
        <f>IFERROR(__xludf.DUMMYFUNCTION("""COMPUTED_VALUE"""),"收入 - 租金")</f>
        <v>收入 - 租金</v>
      </c>
      <c r="D444" s="270">
        <f>IFERROR(__xludf.DUMMYFUNCTION("""COMPUTED_VALUE"""),11800.0)</f>
        <v>11800</v>
      </c>
      <c r="F444" t="str">
        <f>IFERROR(__xludf.DUMMYFUNCTION("""COMPUTED_VALUE"""),"台銀籌備帳戶")</f>
        <v>台銀籌備帳戶</v>
      </c>
      <c r="G444" t="str">
        <f>IFERROR(__xludf.DUMMYFUNCTION("""COMPUTED_VALUE"""),"哈拉對面")</f>
        <v>哈拉對面</v>
      </c>
      <c r="H444" s="106" t="str">
        <f t="shared" si="1"/>
        <v>2024-06</v>
      </c>
      <c r="I444" s="271" t="str">
        <f>IFERROR(__xludf.DUMMYFUNCTION("""COMPUTED_VALUE"""),"貓狗企鵝")</f>
        <v>貓狗企鵝</v>
      </c>
      <c r="J444" t="str">
        <f>IFERROR(__xludf.DUMMYFUNCTION("IFS(
  AND(REGEXMATCH(E444, ""台銀籌備帳戶|玉山帳戶""), REGEXMATCH(C444, ""薪資"")), ""分潤支出"",
  AND(REGEXMATCH(E444, ""Ben帳戶|Elsa帳戶|Ben代墊|Ariel代墊|中信銀行共用""), REGEXMATCH(F444, ""Ben帳戶|Elsa帳戶|Ben代墊|Ariel代墊|中信銀行共用"")), ""內部轉帳(忽略)"",
  AND(E444&lt;&gt;"""", F444&lt;&gt;"""", NOT(REG"&amp;"EXMATCH(C444, ""薪資""))), ""內部轉帳(忽略)"",
  REGEXMATCH(C444, ""薪資""), ""薪資變動(不計入)"",
  REGEXMATCH(C444, ""押金""), ""押金往來"",
  AND(E444&lt;&gt;"""", F444=""""), ""真實支出"",
  AND(E444="""", F444&lt;&gt;""""), ""真實收入"",
  TRUE, ""其他""
)"),"真實收入")</f>
        <v>真實收入</v>
      </c>
      <c r="K444" s="270">
        <f t="shared" si="2"/>
        <v>11800</v>
      </c>
      <c r="L444">
        <f t="shared" si="3"/>
        <v>0</v>
      </c>
    </row>
    <row r="445">
      <c r="A445" s="107">
        <f>IFERROR(__xludf.DUMMYFUNCTION("""COMPUTED_VALUE"""),45445.0)</f>
        <v>45445</v>
      </c>
      <c r="B445" t="str">
        <f>IFERROR(__xludf.DUMMYFUNCTION("""COMPUTED_VALUE"""),"北醫醫師府B王品涵")</f>
        <v>北醫醫師府B王品涵</v>
      </c>
      <c r="C445" t="str">
        <f>IFERROR(__xludf.DUMMYFUNCTION("""COMPUTED_VALUE"""),"收入 - 租金")</f>
        <v>收入 - 租金</v>
      </c>
      <c r="D445" s="270">
        <f>IFERROR(__xludf.DUMMYFUNCTION("""COMPUTED_VALUE"""),17800.0)</f>
        <v>17800</v>
      </c>
      <c r="F445" t="str">
        <f>IFERROR(__xludf.DUMMYFUNCTION("""COMPUTED_VALUE"""),"台銀籌備帳戶")</f>
        <v>台銀籌備帳戶</v>
      </c>
      <c r="G445" t="str">
        <f>IFERROR(__xludf.DUMMYFUNCTION("""COMPUTED_VALUE"""),"北醫醫師府")</f>
        <v>北醫醫師府</v>
      </c>
      <c r="H445" s="106" t="str">
        <f t="shared" si="1"/>
        <v>2024-06</v>
      </c>
      <c r="I445" s="271" t="str">
        <f>IFERROR(__xludf.DUMMYFUNCTION("""COMPUTED_VALUE"""),"貓狗企鵝")</f>
        <v>貓狗企鵝</v>
      </c>
      <c r="J445" t="str">
        <f>IFERROR(__xludf.DUMMYFUNCTION("IFS(
  AND(REGEXMATCH(E445, ""台銀籌備帳戶|玉山帳戶""), REGEXMATCH(C445, ""薪資"")), ""分潤支出"",
  AND(REGEXMATCH(E445, ""Ben帳戶|Elsa帳戶|Ben代墊|Ariel代墊|中信銀行共用""), REGEXMATCH(F445, ""Ben帳戶|Elsa帳戶|Ben代墊|Ariel代墊|中信銀行共用"")), ""內部轉帳(忽略)"",
  AND(E445&lt;&gt;"""", F445&lt;&gt;"""", NOT(REG"&amp;"EXMATCH(C445, ""薪資""))), ""內部轉帳(忽略)"",
  REGEXMATCH(C445, ""薪資""), ""薪資變動(不計入)"",
  REGEXMATCH(C445, ""押金""), ""押金往來"",
  AND(E445&lt;&gt;"""", F445=""""), ""真實支出"",
  AND(E445="""", F445&lt;&gt;""""), ""真實收入"",
  TRUE, ""其他""
)"),"真實收入")</f>
        <v>真實收入</v>
      </c>
      <c r="K445" s="270">
        <f t="shared" si="2"/>
        <v>17800</v>
      </c>
      <c r="L445">
        <f t="shared" si="3"/>
        <v>0</v>
      </c>
    </row>
    <row r="446">
      <c r="A446" s="107">
        <f>IFERROR(__xludf.DUMMYFUNCTION("""COMPUTED_VALUE"""),45445.0)</f>
        <v>45445</v>
      </c>
      <c r="B446" t="str">
        <f>IFERROR(__xludf.DUMMYFUNCTION("""COMPUTED_VALUE"""),"永春四號B袁家鳳")</f>
        <v>永春四號B袁家鳳</v>
      </c>
      <c r="C446" t="str">
        <f>IFERROR(__xludf.DUMMYFUNCTION("""COMPUTED_VALUE"""),"收入 - 租金")</f>
        <v>收入 - 租金</v>
      </c>
      <c r="D446" s="270">
        <f>IFERROR(__xludf.DUMMYFUNCTION("""COMPUTED_VALUE"""),13500.0)</f>
        <v>13500</v>
      </c>
      <c r="F446" t="str">
        <f>IFERROR(__xludf.DUMMYFUNCTION("""COMPUTED_VALUE"""),"台銀籌備帳戶")</f>
        <v>台銀籌備帳戶</v>
      </c>
      <c r="G446" t="str">
        <f>IFERROR(__xludf.DUMMYFUNCTION("""COMPUTED_VALUE"""),"永春四號")</f>
        <v>永春四號</v>
      </c>
      <c r="H446" s="106" t="str">
        <f t="shared" si="1"/>
        <v>2024-06</v>
      </c>
      <c r="I446" s="271" t="str">
        <f>IFERROR(__xludf.DUMMYFUNCTION("""COMPUTED_VALUE"""),"貓狗企鵝")</f>
        <v>貓狗企鵝</v>
      </c>
      <c r="J446" t="str">
        <f>IFERROR(__xludf.DUMMYFUNCTION("IFS(
  AND(REGEXMATCH(E446, ""台銀籌備帳戶|玉山帳戶""), REGEXMATCH(C446, ""薪資"")), ""分潤支出"",
  AND(REGEXMATCH(E446, ""Ben帳戶|Elsa帳戶|Ben代墊|Ariel代墊|中信銀行共用""), REGEXMATCH(F446, ""Ben帳戶|Elsa帳戶|Ben代墊|Ariel代墊|中信銀行共用"")), ""內部轉帳(忽略)"",
  AND(E446&lt;&gt;"""", F446&lt;&gt;"""", NOT(REG"&amp;"EXMATCH(C446, ""薪資""))), ""內部轉帳(忽略)"",
  REGEXMATCH(C446, ""薪資""), ""薪資變動(不計入)"",
  REGEXMATCH(C446, ""押金""), ""押金往來"",
  AND(E446&lt;&gt;"""", F446=""""), ""真實支出"",
  AND(E446="""", F446&lt;&gt;""""), ""真實收入"",
  TRUE, ""其他""
)"),"真實收入")</f>
        <v>真實收入</v>
      </c>
      <c r="K446" s="270">
        <f t="shared" si="2"/>
        <v>13500</v>
      </c>
      <c r="L446">
        <f t="shared" si="3"/>
        <v>0</v>
      </c>
    </row>
    <row r="447">
      <c r="A447" s="107">
        <f>IFERROR(__xludf.DUMMYFUNCTION("""COMPUTED_VALUE"""),45445.0)</f>
        <v>45445</v>
      </c>
      <c r="B447" t="str">
        <f>IFERROR(__xludf.DUMMYFUNCTION("""COMPUTED_VALUE"""),"北醫醫師府E洪睿佑")</f>
        <v>北醫醫師府E洪睿佑</v>
      </c>
      <c r="C447" t="str">
        <f>IFERROR(__xludf.DUMMYFUNCTION("""COMPUTED_VALUE"""),"收入 - 租金")</f>
        <v>收入 - 租金</v>
      </c>
      <c r="D447" s="270">
        <f>IFERROR(__xludf.DUMMYFUNCTION("""COMPUTED_VALUE"""),14800.0)</f>
        <v>14800</v>
      </c>
      <c r="F447" t="str">
        <f>IFERROR(__xludf.DUMMYFUNCTION("""COMPUTED_VALUE"""),"台銀籌備帳戶")</f>
        <v>台銀籌備帳戶</v>
      </c>
      <c r="G447" t="str">
        <f>IFERROR(__xludf.DUMMYFUNCTION("""COMPUTED_VALUE"""),"北醫醫師府")</f>
        <v>北醫醫師府</v>
      </c>
      <c r="H447" s="106" t="str">
        <f t="shared" si="1"/>
        <v>2024-06</v>
      </c>
      <c r="I447" s="271" t="str">
        <f>IFERROR(__xludf.DUMMYFUNCTION("""COMPUTED_VALUE"""),"貓狗企鵝")</f>
        <v>貓狗企鵝</v>
      </c>
      <c r="J447" t="str">
        <f>IFERROR(__xludf.DUMMYFUNCTION("IFS(
  AND(REGEXMATCH(E447, ""台銀籌備帳戶|玉山帳戶""), REGEXMATCH(C447, ""薪資"")), ""分潤支出"",
  AND(REGEXMATCH(E447, ""Ben帳戶|Elsa帳戶|Ben代墊|Ariel代墊|中信銀行共用""), REGEXMATCH(F447, ""Ben帳戶|Elsa帳戶|Ben代墊|Ariel代墊|中信銀行共用"")), ""內部轉帳(忽略)"",
  AND(E447&lt;&gt;"""", F447&lt;&gt;"""", NOT(REG"&amp;"EXMATCH(C447, ""薪資""))), ""內部轉帳(忽略)"",
  REGEXMATCH(C447, ""薪資""), ""薪資變動(不計入)"",
  REGEXMATCH(C447, ""押金""), ""押金往來"",
  AND(E447&lt;&gt;"""", F447=""""), ""真實支出"",
  AND(E447="""", F447&lt;&gt;""""), ""真實收入"",
  TRUE, ""其他""
)"),"真實收入")</f>
        <v>真實收入</v>
      </c>
      <c r="K447" s="270">
        <f t="shared" si="2"/>
        <v>14800</v>
      </c>
      <c r="L447">
        <f t="shared" si="3"/>
        <v>0</v>
      </c>
    </row>
    <row r="448">
      <c r="A448" s="107">
        <f>IFERROR(__xludf.DUMMYFUNCTION("""COMPUTED_VALUE"""),45445.0)</f>
        <v>45445</v>
      </c>
      <c r="B448" t="str">
        <f>IFERROR(__xludf.DUMMYFUNCTION("""COMPUTED_VALUE"""),"龍江229A莊美娟")</f>
        <v>龍江229A莊美娟</v>
      </c>
      <c r="C448" t="str">
        <f>IFERROR(__xludf.DUMMYFUNCTION("""COMPUTED_VALUE"""),"收入 - 租金")</f>
        <v>收入 - 租金</v>
      </c>
      <c r="D448" s="270">
        <f>IFERROR(__xludf.DUMMYFUNCTION("""COMPUTED_VALUE"""),12800.0)</f>
        <v>12800</v>
      </c>
      <c r="F448" t="str">
        <f>IFERROR(__xludf.DUMMYFUNCTION("""COMPUTED_VALUE"""),"台銀籌備帳戶")</f>
        <v>台銀籌備帳戶</v>
      </c>
      <c r="G448" t="str">
        <f>IFERROR(__xludf.DUMMYFUNCTION("""COMPUTED_VALUE"""),"龍江229")</f>
        <v>龍江229</v>
      </c>
      <c r="H448" s="106" t="str">
        <f t="shared" si="1"/>
        <v>2024-06</v>
      </c>
      <c r="I448" s="271" t="str">
        <f>IFERROR(__xludf.DUMMYFUNCTION("""COMPUTED_VALUE"""),"貓狗企鵝")</f>
        <v>貓狗企鵝</v>
      </c>
      <c r="J448" t="str">
        <f>IFERROR(__xludf.DUMMYFUNCTION("IFS(
  AND(REGEXMATCH(E448, ""台銀籌備帳戶|玉山帳戶""), REGEXMATCH(C448, ""薪資"")), ""分潤支出"",
  AND(REGEXMATCH(E448, ""Ben帳戶|Elsa帳戶|Ben代墊|Ariel代墊|中信銀行共用""), REGEXMATCH(F448, ""Ben帳戶|Elsa帳戶|Ben代墊|Ariel代墊|中信銀行共用"")), ""內部轉帳(忽略)"",
  AND(E448&lt;&gt;"""", F448&lt;&gt;"""", NOT(REG"&amp;"EXMATCH(C448, ""薪資""))), ""內部轉帳(忽略)"",
  REGEXMATCH(C448, ""薪資""), ""薪資變動(不計入)"",
  REGEXMATCH(C448, ""押金""), ""押金往來"",
  AND(E448&lt;&gt;"""", F448=""""), ""真實支出"",
  AND(E448="""", F448&lt;&gt;""""), ""真實收入"",
  TRUE, ""其他""
)"),"真實收入")</f>
        <v>真實收入</v>
      </c>
      <c r="K448" s="270">
        <f t="shared" si="2"/>
        <v>12800</v>
      </c>
      <c r="L448">
        <f t="shared" si="3"/>
        <v>0</v>
      </c>
    </row>
    <row r="449">
      <c r="A449" s="107">
        <f>IFERROR(__xludf.DUMMYFUNCTION("""COMPUTED_VALUE"""),45445.0)</f>
        <v>45445</v>
      </c>
      <c r="B449" t="str">
        <f>IFERROR(__xludf.DUMMYFUNCTION("""COMPUTED_VALUE"""),"大湖山莊G林文心")</f>
        <v>大湖山莊G林文心</v>
      </c>
      <c r="C449" t="str">
        <f>IFERROR(__xludf.DUMMYFUNCTION("""COMPUTED_VALUE"""),"收入 - 租金")</f>
        <v>收入 - 租金</v>
      </c>
      <c r="D449" s="270">
        <f>IFERROR(__xludf.DUMMYFUNCTION("""COMPUTED_VALUE"""),8000.0)</f>
        <v>8000</v>
      </c>
      <c r="F449" t="str">
        <f>IFERROR(__xludf.DUMMYFUNCTION("""COMPUTED_VALUE"""),"台銀籌備帳戶")</f>
        <v>台銀籌備帳戶</v>
      </c>
      <c r="G449" t="str">
        <f>IFERROR(__xludf.DUMMYFUNCTION("""COMPUTED_VALUE"""),"大湖山莊")</f>
        <v>大湖山莊</v>
      </c>
      <c r="H449" s="106" t="str">
        <f t="shared" si="1"/>
        <v>2024-06</v>
      </c>
      <c r="I449" s="271" t="str">
        <f>IFERROR(__xludf.DUMMYFUNCTION("""COMPUTED_VALUE"""),"貓狗企鵝")</f>
        <v>貓狗企鵝</v>
      </c>
      <c r="J449" t="str">
        <f>IFERROR(__xludf.DUMMYFUNCTION("IFS(
  AND(REGEXMATCH(E449, ""台銀籌備帳戶|玉山帳戶""), REGEXMATCH(C449, ""薪資"")), ""分潤支出"",
  AND(REGEXMATCH(E449, ""Ben帳戶|Elsa帳戶|Ben代墊|Ariel代墊|中信銀行共用""), REGEXMATCH(F449, ""Ben帳戶|Elsa帳戶|Ben代墊|Ariel代墊|中信銀行共用"")), ""內部轉帳(忽略)"",
  AND(E449&lt;&gt;"""", F449&lt;&gt;"""", NOT(REG"&amp;"EXMATCH(C449, ""薪資""))), ""內部轉帳(忽略)"",
  REGEXMATCH(C449, ""薪資""), ""薪資變動(不計入)"",
  REGEXMATCH(C449, ""押金""), ""押金往來"",
  AND(E449&lt;&gt;"""", F449=""""), ""真實支出"",
  AND(E449="""", F449&lt;&gt;""""), ""真實收入"",
  TRUE, ""其他""
)"),"真實收入")</f>
        <v>真實收入</v>
      </c>
      <c r="K449" s="270">
        <f t="shared" si="2"/>
        <v>8000</v>
      </c>
      <c r="L449">
        <f t="shared" si="3"/>
        <v>0</v>
      </c>
    </row>
    <row r="450">
      <c r="A450" s="107">
        <f>IFERROR(__xludf.DUMMYFUNCTION("""COMPUTED_VALUE"""),45446.0)</f>
        <v>45446</v>
      </c>
      <c r="B450" t="str">
        <f>IFERROR(__xludf.DUMMYFUNCTION("""COMPUTED_VALUE"""),"北醫醫師府D劉怡秀")</f>
        <v>北醫醫師府D劉怡秀</v>
      </c>
      <c r="C450" t="str">
        <f>IFERROR(__xludf.DUMMYFUNCTION("""COMPUTED_VALUE"""),"收入 - 租金")</f>
        <v>收入 - 租金</v>
      </c>
      <c r="D450" s="270">
        <f>IFERROR(__xludf.DUMMYFUNCTION("""COMPUTED_VALUE"""),12000.0)</f>
        <v>12000</v>
      </c>
      <c r="F450" t="str">
        <f>IFERROR(__xludf.DUMMYFUNCTION("""COMPUTED_VALUE"""),"台銀籌備帳戶")</f>
        <v>台銀籌備帳戶</v>
      </c>
      <c r="G450" t="str">
        <f>IFERROR(__xludf.DUMMYFUNCTION("""COMPUTED_VALUE"""),"北醫醫師府")</f>
        <v>北醫醫師府</v>
      </c>
      <c r="H450" s="106" t="str">
        <f t="shared" si="1"/>
        <v>2024-06</v>
      </c>
      <c r="I450" s="271" t="str">
        <f>IFERROR(__xludf.DUMMYFUNCTION("""COMPUTED_VALUE"""),"貓狗企鵝")</f>
        <v>貓狗企鵝</v>
      </c>
      <c r="J450" t="str">
        <f>IFERROR(__xludf.DUMMYFUNCTION("IFS(
  AND(REGEXMATCH(E450, ""台銀籌備帳戶|玉山帳戶""), REGEXMATCH(C450, ""薪資"")), ""分潤支出"",
  AND(REGEXMATCH(E450, ""Ben帳戶|Elsa帳戶|Ben代墊|Ariel代墊|中信銀行共用""), REGEXMATCH(F450, ""Ben帳戶|Elsa帳戶|Ben代墊|Ariel代墊|中信銀行共用"")), ""內部轉帳(忽略)"",
  AND(E450&lt;&gt;"""", F450&lt;&gt;"""", NOT(REG"&amp;"EXMATCH(C450, ""薪資""))), ""內部轉帳(忽略)"",
  REGEXMATCH(C450, ""薪資""), ""薪資變動(不計入)"",
  REGEXMATCH(C450, ""押金""), ""押金往來"",
  AND(E450&lt;&gt;"""", F450=""""), ""真實支出"",
  AND(E450="""", F450&lt;&gt;""""), ""真實收入"",
  TRUE, ""其他""
)"),"真實收入")</f>
        <v>真實收入</v>
      </c>
      <c r="K450" s="270">
        <f t="shared" si="2"/>
        <v>12000</v>
      </c>
      <c r="L450">
        <f t="shared" si="3"/>
        <v>0</v>
      </c>
    </row>
    <row r="451">
      <c r="A451" s="107">
        <f>IFERROR(__xludf.DUMMYFUNCTION("""COMPUTED_VALUE"""),45446.0)</f>
        <v>45446</v>
      </c>
      <c r="B451" t="str">
        <f>IFERROR(__xludf.DUMMYFUNCTION("""COMPUTED_VALUE"""),"哈拉對面B林宜芳")</f>
        <v>哈拉對面B林宜芳</v>
      </c>
      <c r="C451" t="str">
        <f>IFERROR(__xludf.DUMMYFUNCTION("""COMPUTED_VALUE"""),"收入 - 租金")</f>
        <v>收入 - 租金</v>
      </c>
      <c r="D451" s="270">
        <f>IFERROR(__xludf.DUMMYFUNCTION("""COMPUTED_VALUE"""),9550.0)</f>
        <v>9550</v>
      </c>
      <c r="F451" t="str">
        <f>IFERROR(__xludf.DUMMYFUNCTION("""COMPUTED_VALUE"""),"台銀籌備帳戶")</f>
        <v>台銀籌備帳戶</v>
      </c>
      <c r="G451" t="str">
        <f>IFERROR(__xludf.DUMMYFUNCTION("""COMPUTED_VALUE"""),"哈拉對面")</f>
        <v>哈拉對面</v>
      </c>
      <c r="H451" s="106" t="str">
        <f t="shared" si="1"/>
        <v>2024-06</v>
      </c>
      <c r="I451" s="271" t="str">
        <f>IFERROR(__xludf.DUMMYFUNCTION("""COMPUTED_VALUE"""),"貓狗企鵝")</f>
        <v>貓狗企鵝</v>
      </c>
      <c r="J451" t="str">
        <f>IFERROR(__xludf.DUMMYFUNCTION("IFS(
  AND(REGEXMATCH(E451, ""台銀籌備帳戶|玉山帳戶""), REGEXMATCH(C451, ""薪資"")), ""分潤支出"",
  AND(REGEXMATCH(E451, ""Ben帳戶|Elsa帳戶|Ben代墊|Ariel代墊|中信銀行共用""), REGEXMATCH(F451, ""Ben帳戶|Elsa帳戶|Ben代墊|Ariel代墊|中信銀行共用"")), ""內部轉帳(忽略)"",
  AND(E451&lt;&gt;"""", F451&lt;&gt;"""", NOT(REG"&amp;"EXMATCH(C451, ""薪資""))), ""內部轉帳(忽略)"",
  REGEXMATCH(C451, ""薪資""), ""薪資變動(不計入)"",
  REGEXMATCH(C451, ""押金""), ""押金往來"",
  AND(E451&lt;&gt;"""", F451=""""), ""真實支出"",
  AND(E451="""", F451&lt;&gt;""""), ""真實收入"",
  TRUE, ""其他""
)"),"真實收入")</f>
        <v>真實收入</v>
      </c>
      <c r="K451" s="270">
        <f t="shared" si="2"/>
        <v>9550</v>
      </c>
      <c r="L451">
        <f t="shared" si="3"/>
        <v>0</v>
      </c>
    </row>
    <row r="452">
      <c r="A452" s="107">
        <f>IFERROR(__xludf.DUMMYFUNCTION("""COMPUTED_VALUE"""),45446.0)</f>
        <v>45446</v>
      </c>
      <c r="B452" t="str">
        <f>IFERROR(__xludf.DUMMYFUNCTION("""COMPUTED_VALUE"""),"大湖山莊C吳亭逸")</f>
        <v>大湖山莊C吳亭逸</v>
      </c>
      <c r="C452" t="str">
        <f>IFERROR(__xludf.DUMMYFUNCTION("""COMPUTED_VALUE"""),"收入 - 租金")</f>
        <v>收入 - 租金</v>
      </c>
      <c r="D452" s="270">
        <f>IFERROR(__xludf.DUMMYFUNCTION("""COMPUTED_VALUE"""),18800.0)</f>
        <v>18800</v>
      </c>
      <c r="F452" t="str">
        <f>IFERROR(__xludf.DUMMYFUNCTION("""COMPUTED_VALUE"""),"台銀籌備帳戶")</f>
        <v>台銀籌備帳戶</v>
      </c>
      <c r="G452" t="str">
        <f>IFERROR(__xludf.DUMMYFUNCTION("""COMPUTED_VALUE"""),"大湖山莊")</f>
        <v>大湖山莊</v>
      </c>
      <c r="H452" s="106" t="str">
        <f t="shared" si="1"/>
        <v>2024-06</v>
      </c>
      <c r="I452" s="271" t="str">
        <f>IFERROR(__xludf.DUMMYFUNCTION("""COMPUTED_VALUE"""),"貓狗企鵝")</f>
        <v>貓狗企鵝</v>
      </c>
      <c r="J452" t="str">
        <f>IFERROR(__xludf.DUMMYFUNCTION("IFS(
  AND(REGEXMATCH(E452, ""台銀籌備帳戶|玉山帳戶""), REGEXMATCH(C452, ""薪資"")), ""分潤支出"",
  AND(REGEXMATCH(E452, ""Ben帳戶|Elsa帳戶|Ben代墊|Ariel代墊|中信銀行共用""), REGEXMATCH(F452, ""Ben帳戶|Elsa帳戶|Ben代墊|Ariel代墊|中信銀行共用"")), ""內部轉帳(忽略)"",
  AND(E452&lt;&gt;"""", F452&lt;&gt;"""", NOT(REG"&amp;"EXMATCH(C452, ""薪資""))), ""內部轉帳(忽略)"",
  REGEXMATCH(C452, ""薪資""), ""薪資變動(不計入)"",
  REGEXMATCH(C452, ""押金""), ""押金往來"",
  AND(E452&lt;&gt;"""", F452=""""), ""真實支出"",
  AND(E452="""", F452&lt;&gt;""""), ""真實收入"",
  TRUE, ""其他""
)"),"真實收入")</f>
        <v>真實收入</v>
      </c>
      <c r="K452" s="270">
        <f t="shared" si="2"/>
        <v>18800</v>
      </c>
      <c r="L452">
        <f t="shared" si="3"/>
        <v>0</v>
      </c>
    </row>
    <row r="453">
      <c r="A453" s="107">
        <f>IFERROR(__xludf.DUMMYFUNCTION("""COMPUTED_VALUE"""),45446.0)</f>
        <v>45446</v>
      </c>
      <c r="B453" t="str">
        <f>IFERROR(__xludf.DUMMYFUNCTION("""COMPUTED_VALUE"""),"哈拉對面B林宜芳")</f>
        <v>哈拉對面B林宜芳</v>
      </c>
      <c r="C453" t="str">
        <f>IFERROR(__xludf.DUMMYFUNCTION("""COMPUTED_VALUE"""),"收入 - 租金")</f>
        <v>收入 - 租金</v>
      </c>
      <c r="D453" s="270">
        <f>IFERROR(__xludf.DUMMYFUNCTION("""COMPUTED_VALUE"""),9550.0)</f>
        <v>9550</v>
      </c>
      <c r="F453" t="str">
        <f>IFERROR(__xludf.DUMMYFUNCTION("""COMPUTED_VALUE"""),"台銀籌備帳戶")</f>
        <v>台銀籌備帳戶</v>
      </c>
      <c r="G453" t="str">
        <f>IFERROR(__xludf.DUMMYFUNCTION("""COMPUTED_VALUE"""),"哈拉對面")</f>
        <v>哈拉對面</v>
      </c>
      <c r="H453" s="106" t="str">
        <f t="shared" si="1"/>
        <v>2024-06</v>
      </c>
      <c r="I453" s="271" t="str">
        <f>IFERROR(__xludf.DUMMYFUNCTION("""COMPUTED_VALUE"""),"貓狗企鵝")</f>
        <v>貓狗企鵝</v>
      </c>
      <c r="J453" t="str">
        <f>IFERROR(__xludf.DUMMYFUNCTION("IFS(
  AND(REGEXMATCH(E453, ""台銀籌備帳戶|玉山帳戶""), REGEXMATCH(C453, ""薪資"")), ""分潤支出"",
  AND(REGEXMATCH(E453, ""Ben帳戶|Elsa帳戶|Ben代墊|Ariel代墊|中信銀行共用""), REGEXMATCH(F453, ""Ben帳戶|Elsa帳戶|Ben代墊|Ariel代墊|中信銀行共用"")), ""內部轉帳(忽略)"",
  AND(E453&lt;&gt;"""", F453&lt;&gt;"""", NOT(REG"&amp;"EXMATCH(C453, ""薪資""))), ""內部轉帳(忽略)"",
  REGEXMATCH(C453, ""薪資""), ""薪資變動(不計入)"",
  REGEXMATCH(C453, ""押金""), ""押金往來"",
  AND(E453&lt;&gt;"""", F453=""""), ""真實支出"",
  AND(E453="""", F453&lt;&gt;""""), ""真實收入"",
  TRUE, ""其他""
)"),"真實收入")</f>
        <v>真實收入</v>
      </c>
      <c r="K453" s="270">
        <f t="shared" si="2"/>
        <v>9550</v>
      </c>
      <c r="L453">
        <f t="shared" si="3"/>
        <v>0</v>
      </c>
    </row>
    <row r="454">
      <c r="A454" s="107">
        <f>IFERROR(__xludf.DUMMYFUNCTION("""COMPUTED_VALUE"""),45446.0)</f>
        <v>45446</v>
      </c>
      <c r="B454" t="str">
        <f>IFERROR(__xludf.DUMMYFUNCTION("""COMPUTED_VALUE"""),"大湖山莊F房租訂金")</f>
        <v>大湖山莊F房租訂金</v>
      </c>
      <c r="C454" t="str">
        <f>IFERROR(__xludf.DUMMYFUNCTION("""COMPUTED_VALUE"""),"收入 - 租金")</f>
        <v>收入 - 租金</v>
      </c>
      <c r="D454" s="270">
        <f>IFERROR(__xludf.DUMMYFUNCTION("""COMPUTED_VALUE"""),10000.0)</f>
        <v>10000</v>
      </c>
      <c r="F454" t="str">
        <f>IFERROR(__xludf.DUMMYFUNCTION("""COMPUTED_VALUE"""),"台銀籌備帳戶")</f>
        <v>台銀籌備帳戶</v>
      </c>
      <c r="G454" t="str">
        <f>IFERROR(__xludf.DUMMYFUNCTION("""COMPUTED_VALUE"""),"大湖山莊")</f>
        <v>大湖山莊</v>
      </c>
      <c r="H454" s="106" t="str">
        <f t="shared" si="1"/>
        <v>2024-06</v>
      </c>
      <c r="I454" s="271" t="str">
        <f>IFERROR(__xludf.DUMMYFUNCTION("""COMPUTED_VALUE"""),"貓狗企鵝")</f>
        <v>貓狗企鵝</v>
      </c>
      <c r="J454" t="str">
        <f>IFERROR(__xludf.DUMMYFUNCTION("IFS(
  AND(REGEXMATCH(E454, ""台銀籌備帳戶|玉山帳戶""), REGEXMATCH(C454, ""薪資"")), ""分潤支出"",
  AND(REGEXMATCH(E454, ""Ben帳戶|Elsa帳戶|Ben代墊|Ariel代墊|中信銀行共用""), REGEXMATCH(F454, ""Ben帳戶|Elsa帳戶|Ben代墊|Ariel代墊|中信銀行共用"")), ""內部轉帳(忽略)"",
  AND(E454&lt;&gt;"""", F454&lt;&gt;"""", NOT(REG"&amp;"EXMATCH(C454, ""薪資""))), ""內部轉帳(忽略)"",
  REGEXMATCH(C454, ""薪資""), ""薪資變動(不計入)"",
  REGEXMATCH(C454, ""押金""), ""押金往來"",
  AND(E454&lt;&gt;"""", F454=""""), ""真實支出"",
  AND(E454="""", F454&lt;&gt;""""), ""真實收入"",
  TRUE, ""其他""
)"),"真實收入")</f>
        <v>真實收入</v>
      </c>
      <c r="K454" s="270">
        <f t="shared" si="2"/>
        <v>10000</v>
      </c>
      <c r="L454">
        <f t="shared" si="3"/>
        <v>0</v>
      </c>
    </row>
    <row r="455">
      <c r="A455" s="107">
        <f>IFERROR(__xludf.DUMMYFUNCTION("""COMPUTED_VALUE"""),45447.0)</f>
        <v>45447</v>
      </c>
      <c r="B455" t="str">
        <f>IFERROR(__xludf.DUMMYFUNCTION("""COMPUTED_VALUE"""),"龍江229	E	李茂生")</f>
        <v>龍江229	E	李茂生</v>
      </c>
      <c r="C455" t="str">
        <f>IFERROR(__xludf.DUMMYFUNCTION("""COMPUTED_VALUE"""),"收入 - 租金")</f>
        <v>收入 - 租金</v>
      </c>
      <c r="D455" s="270">
        <f>IFERROR(__xludf.DUMMYFUNCTION("""COMPUTED_VALUE"""),12500.0)</f>
        <v>12500</v>
      </c>
      <c r="F455" t="str">
        <f>IFERROR(__xludf.DUMMYFUNCTION("""COMPUTED_VALUE"""),"台銀籌備帳戶")</f>
        <v>台銀籌備帳戶</v>
      </c>
      <c r="G455" t="str">
        <f>IFERROR(__xludf.DUMMYFUNCTION("""COMPUTED_VALUE"""),"龍江229")</f>
        <v>龍江229</v>
      </c>
      <c r="H455" s="106" t="str">
        <f t="shared" si="1"/>
        <v>2024-06</v>
      </c>
      <c r="I455" s="271" t="str">
        <f>IFERROR(__xludf.DUMMYFUNCTION("""COMPUTED_VALUE"""),"貓狗企鵝")</f>
        <v>貓狗企鵝</v>
      </c>
      <c r="J455" t="str">
        <f>IFERROR(__xludf.DUMMYFUNCTION("IFS(
  AND(REGEXMATCH(E455, ""台銀籌備帳戶|玉山帳戶""), REGEXMATCH(C455, ""薪資"")), ""分潤支出"",
  AND(REGEXMATCH(E455, ""Ben帳戶|Elsa帳戶|Ben代墊|Ariel代墊|中信銀行共用""), REGEXMATCH(F455, ""Ben帳戶|Elsa帳戶|Ben代墊|Ariel代墊|中信銀行共用"")), ""內部轉帳(忽略)"",
  AND(E455&lt;&gt;"""", F455&lt;&gt;"""", NOT(REG"&amp;"EXMATCH(C455, ""薪資""))), ""內部轉帳(忽略)"",
  REGEXMATCH(C455, ""薪資""), ""薪資變動(不計入)"",
  REGEXMATCH(C455, ""押金""), ""押金往來"",
  AND(E455&lt;&gt;"""", F455=""""), ""真實支出"",
  AND(E455="""", F455&lt;&gt;""""), ""真實收入"",
  TRUE, ""其他""
)"),"真實收入")</f>
        <v>真實收入</v>
      </c>
      <c r="K455" s="270">
        <f t="shared" si="2"/>
        <v>12500</v>
      </c>
      <c r="L455">
        <f t="shared" si="3"/>
        <v>0</v>
      </c>
    </row>
    <row r="456">
      <c r="A456" s="107">
        <f>IFERROR(__xludf.DUMMYFUNCTION("""COMPUTED_VALUE"""),45448.0)</f>
        <v>45448</v>
      </c>
      <c r="B456" t="str">
        <f>IFERROR(__xludf.DUMMYFUNCTION("""COMPUTED_VALUE"""),"大湖山莊G林文心")</f>
        <v>大湖山莊G林文心</v>
      </c>
      <c r="C456" t="str">
        <f>IFERROR(__xludf.DUMMYFUNCTION("""COMPUTED_VALUE"""),"收入 - 租金")</f>
        <v>收入 - 租金</v>
      </c>
      <c r="D456" s="270">
        <f>IFERROR(__xludf.DUMMYFUNCTION("""COMPUTED_VALUE"""),7000.0)</f>
        <v>7000</v>
      </c>
      <c r="F456" t="str">
        <f>IFERROR(__xludf.DUMMYFUNCTION("""COMPUTED_VALUE"""),"台銀籌備帳戶")</f>
        <v>台銀籌備帳戶</v>
      </c>
      <c r="G456" t="str">
        <f>IFERROR(__xludf.DUMMYFUNCTION("""COMPUTED_VALUE"""),"大湖山莊")</f>
        <v>大湖山莊</v>
      </c>
      <c r="H456" s="106" t="str">
        <f t="shared" si="1"/>
        <v>2024-06</v>
      </c>
      <c r="I456" s="271" t="str">
        <f>IFERROR(__xludf.DUMMYFUNCTION("""COMPUTED_VALUE"""),"貓狗企鵝")</f>
        <v>貓狗企鵝</v>
      </c>
      <c r="J456" t="str">
        <f>IFERROR(__xludf.DUMMYFUNCTION("IFS(
  AND(REGEXMATCH(E456, ""台銀籌備帳戶|玉山帳戶""), REGEXMATCH(C456, ""薪資"")), ""分潤支出"",
  AND(REGEXMATCH(E456, ""Ben帳戶|Elsa帳戶|Ben代墊|Ariel代墊|中信銀行共用""), REGEXMATCH(F456, ""Ben帳戶|Elsa帳戶|Ben代墊|Ariel代墊|中信銀行共用"")), ""內部轉帳(忽略)"",
  AND(E456&lt;&gt;"""", F456&lt;&gt;"""", NOT(REG"&amp;"EXMATCH(C456, ""薪資""))), ""內部轉帳(忽略)"",
  REGEXMATCH(C456, ""薪資""), ""薪資變動(不計入)"",
  REGEXMATCH(C456, ""押金""), ""押金往來"",
  AND(E456&lt;&gt;"""", F456=""""), ""真實支出"",
  AND(E456="""", F456&lt;&gt;""""), ""真實收入"",
  TRUE, ""其他""
)"),"真實收入")</f>
        <v>真實收入</v>
      </c>
      <c r="K456" s="270">
        <f t="shared" si="2"/>
        <v>7000</v>
      </c>
      <c r="L456">
        <f t="shared" si="3"/>
        <v>0</v>
      </c>
    </row>
    <row r="457">
      <c r="A457" s="107">
        <f>IFERROR(__xludf.DUMMYFUNCTION("""COMPUTED_VALUE"""),45449.0)</f>
        <v>45449</v>
      </c>
      <c r="B457" t="str">
        <f>IFERROR(__xludf.DUMMYFUNCTION("""COMPUTED_VALUE"""),"大湖F房 押金+首租")</f>
        <v>大湖F房 押金+首租</v>
      </c>
      <c r="C457" t="str">
        <f>IFERROR(__xludf.DUMMYFUNCTION("""COMPUTED_VALUE"""),"收入 - 租金")</f>
        <v>收入 - 租金</v>
      </c>
      <c r="D457" s="270">
        <f>IFERROR(__xludf.DUMMYFUNCTION("""COMPUTED_VALUE"""),43866.0)</f>
        <v>43866</v>
      </c>
      <c r="F457" t="str">
        <f>IFERROR(__xludf.DUMMYFUNCTION("""COMPUTED_VALUE"""),"台銀籌備帳戶")</f>
        <v>台銀籌備帳戶</v>
      </c>
      <c r="G457" t="str">
        <f>IFERROR(__xludf.DUMMYFUNCTION("""COMPUTED_VALUE"""),"大湖山莊")</f>
        <v>大湖山莊</v>
      </c>
      <c r="H457" s="106" t="str">
        <f t="shared" si="1"/>
        <v>2024-06</v>
      </c>
      <c r="I457" s="271" t="str">
        <f>IFERROR(__xludf.DUMMYFUNCTION("""COMPUTED_VALUE"""),"貓狗企鵝")</f>
        <v>貓狗企鵝</v>
      </c>
      <c r="J457" t="str">
        <f>IFERROR(__xludf.DUMMYFUNCTION("IFS(
  AND(REGEXMATCH(E457, ""台銀籌備帳戶|玉山帳戶""), REGEXMATCH(C457, ""薪資"")), ""分潤支出"",
  AND(REGEXMATCH(E457, ""Ben帳戶|Elsa帳戶|Ben代墊|Ariel代墊|中信銀行共用""), REGEXMATCH(F457, ""Ben帳戶|Elsa帳戶|Ben代墊|Ariel代墊|中信銀行共用"")), ""內部轉帳(忽略)"",
  AND(E457&lt;&gt;"""", F457&lt;&gt;"""", NOT(REG"&amp;"EXMATCH(C457, ""薪資""))), ""內部轉帳(忽略)"",
  REGEXMATCH(C457, ""薪資""), ""薪資變動(不計入)"",
  REGEXMATCH(C457, ""押金""), ""押金往來"",
  AND(E457&lt;&gt;"""", F457=""""), ""真實支出"",
  AND(E457="""", F457&lt;&gt;""""), ""真實收入"",
  TRUE, ""其他""
)"),"真實收入")</f>
        <v>真實收入</v>
      </c>
      <c r="K457" s="270">
        <f t="shared" si="2"/>
        <v>43866</v>
      </c>
      <c r="L457">
        <f t="shared" si="3"/>
        <v>0</v>
      </c>
    </row>
    <row r="458">
      <c r="A458" s="107">
        <f>IFERROR(__xludf.DUMMYFUNCTION("""COMPUTED_VALUE"""),45450.0)</f>
        <v>45450</v>
      </c>
      <c r="B458" t="str">
        <f>IFERROR(__xludf.DUMMYFUNCTION("""COMPUTED_VALUE"""),"大湖E房 定金")</f>
        <v>大湖E房 定金</v>
      </c>
      <c r="C458" t="str">
        <f>IFERROR(__xludf.DUMMYFUNCTION("""COMPUTED_VALUE"""),"收入 - 租金")</f>
        <v>收入 - 租金</v>
      </c>
      <c r="D458" s="270">
        <f>IFERROR(__xludf.DUMMYFUNCTION("""COMPUTED_VALUE"""),10000.0)</f>
        <v>10000</v>
      </c>
      <c r="F458" t="str">
        <f>IFERROR(__xludf.DUMMYFUNCTION("""COMPUTED_VALUE"""),"台銀籌備帳戶")</f>
        <v>台銀籌備帳戶</v>
      </c>
      <c r="G458" t="str">
        <f>IFERROR(__xludf.DUMMYFUNCTION("""COMPUTED_VALUE"""),"大湖山莊")</f>
        <v>大湖山莊</v>
      </c>
      <c r="H458" s="106" t="str">
        <f t="shared" si="1"/>
        <v>2024-06</v>
      </c>
      <c r="I458" s="271" t="str">
        <f>IFERROR(__xludf.DUMMYFUNCTION("""COMPUTED_VALUE"""),"貓狗企鵝")</f>
        <v>貓狗企鵝</v>
      </c>
      <c r="J458" t="str">
        <f>IFERROR(__xludf.DUMMYFUNCTION("IFS(
  AND(REGEXMATCH(E458, ""台銀籌備帳戶|玉山帳戶""), REGEXMATCH(C458, ""薪資"")), ""分潤支出"",
  AND(REGEXMATCH(E458, ""Ben帳戶|Elsa帳戶|Ben代墊|Ariel代墊|中信銀行共用""), REGEXMATCH(F458, ""Ben帳戶|Elsa帳戶|Ben代墊|Ariel代墊|中信銀行共用"")), ""內部轉帳(忽略)"",
  AND(E458&lt;&gt;"""", F458&lt;&gt;"""", NOT(REG"&amp;"EXMATCH(C458, ""薪資""))), ""內部轉帳(忽略)"",
  REGEXMATCH(C458, ""薪資""), ""薪資變動(不計入)"",
  REGEXMATCH(C458, ""押金""), ""押金往來"",
  AND(E458&lt;&gt;"""", F458=""""), ""真實支出"",
  AND(E458="""", F458&lt;&gt;""""), ""真實收入"",
  TRUE, ""其他""
)"),"真實收入")</f>
        <v>真實收入</v>
      </c>
      <c r="K458" s="270">
        <f t="shared" si="2"/>
        <v>10000</v>
      </c>
      <c r="L458">
        <f t="shared" si="3"/>
        <v>0</v>
      </c>
    </row>
    <row r="459">
      <c r="A459" s="107">
        <f>IFERROR(__xludf.DUMMYFUNCTION("""COMPUTED_VALUE"""),45451.0)</f>
        <v>45451</v>
      </c>
      <c r="B459" t="str">
        <f>IFERROR(__xludf.DUMMYFUNCTION("""COMPUTED_VALUE"""),"大湖E房 押金+首租")</f>
        <v>大湖E房 押金+首租</v>
      </c>
      <c r="C459" t="str">
        <f>IFERROR(__xludf.DUMMYFUNCTION("""COMPUTED_VALUE"""),"收入 - 租金")</f>
        <v>收入 - 租金</v>
      </c>
      <c r="D459" s="270">
        <f>IFERROR(__xludf.DUMMYFUNCTION("""COMPUTED_VALUE"""),24067.0)</f>
        <v>24067</v>
      </c>
      <c r="F459" t="str">
        <f>IFERROR(__xludf.DUMMYFUNCTION("""COMPUTED_VALUE"""),"台銀籌備帳戶")</f>
        <v>台銀籌備帳戶</v>
      </c>
      <c r="H459" s="106" t="str">
        <f t="shared" si="1"/>
        <v>2024-06</v>
      </c>
      <c r="I459" s="271" t="str">
        <f>IFERROR(__xludf.DUMMYFUNCTION("""COMPUTED_VALUE"""),"貓狗企鵝")</f>
        <v>貓狗企鵝</v>
      </c>
      <c r="J459" t="str">
        <f>IFERROR(__xludf.DUMMYFUNCTION("IFS(
  AND(REGEXMATCH(E459, ""台銀籌備帳戶|玉山帳戶""), REGEXMATCH(C459, ""薪資"")), ""分潤支出"",
  AND(REGEXMATCH(E459, ""Ben帳戶|Elsa帳戶|Ben代墊|Ariel代墊|中信銀行共用""), REGEXMATCH(F459, ""Ben帳戶|Elsa帳戶|Ben代墊|Ariel代墊|中信銀行共用"")), ""內部轉帳(忽略)"",
  AND(E459&lt;&gt;"""", F459&lt;&gt;"""", NOT(REG"&amp;"EXMATCH(C459, ""薪資""))), ""內部轉帳(忽略)"",
  REGEXMATCH(C459, ""薪資""), ""薪資變動(不計入)"",
  REGEXMATCH(C459, ""押金""), ""押金往來"",
  AND(E459&lt;&gt;"""", F459=""""), ""真實支出"",
  AND(E459="""", F459&lt;&gt;""""), ""真實收入"",
  TRUE, ""其他""
)"),"真實收入")</f>
        <v>真實收入</v>
      </c>
      <c r="K459" s="270">
        <f t="shared" si="2"/>
        <v>24067</v>
      </c>
      <c r="L459">
        <f t="shared" si="3"/>
        <v>0</v>
      </c>
    </row>
    <row r="460">
      <c r="A460" s="107">
        <f>IFERROR(__xludf.DUMMYFUNCTION("""COMPUTED_VALUE"""),45452.0)</f>
        <v>45452</v>
      </c>
      <c r="B460" t="str">
        <f>IFERROR(__xludf.DUMMYFUNCTION("""COMPUTED_VALUE"""),"北醫 水電")</f>
        <v>北醫 水電</v>
      </c>
      <c r="C460" t="str">
        <f>IFERROR(__xludf.DUMMYFUNCTION("""COMPUTED_VALUE"""),"成本 - 租後修繕")</f>
        <v>成本 - 租後修繕</v>
      </c>
      <c r="D460" s="270">
        <f>IFERROR(__xludf.DUMMYFUNCTION("""COMPUTED_VALUE"""),-230.0)</f>
        <v>-230</v>
      </c>
      <c r="E460" t="str">
        <f>IFERROR(__xludf.DUMMYFUNCTION("""COMPUTED_VALUE"""),"Ben帳戶")</f>
        <v>Ben帳戶</v>
      </c>
      <c r="G460" t="str">
        <f>IFERROR(__xludf.DUMMYFUNCTION("""COMPUTED_VALUE"""),"北醫醫師府")</f>
        <v>北醫醫師府</v>
      </c>
      <c r="H460" s="106" t="str">
        <f t="shared" si="1"/>
        <v>2024-06</v>
      </c>
      <c r="I460" s="271" t="str">
        <f>IFERROR(__xludf.DUMMYFUNCTION("""COMPUTED_VALUE"""),"貓狗企鵝")</f>
        <v>貓狗企鵝</v>
      </c>
      <c r="J460" t="str">
        <f>IFERROR(__xludf.DUMMYFUNCTION("IFS(
  AND(REGEXMATCH(E460, ""台銀籌備帳戶|玉山帳戶""), REGEXMATCH(C460, ""薪資"")), ""分潤支出"",
  AND(REGEXMATCH(E460, ""Ben帳戶|Elsa帳戶|Ben代墊|Ariel代墊|中信銀行共用""), REGEXMATCH(F460, ""Ben帳戶|Elsa帳戶|Ben代墊|Ariel代墊|中信銀行共用"")), ""內部轉帳(忽略)"",
  AND(E460&lt;&gt;"""", F460&lt;&gt;"""", NOT(REG"&amp;"EXMATCH(C460, ""薪資""))), ""內部轉帳(忽略)"",
  REGEXMATCH(C460, ""薪資""), ""薪資變動(不計入)"",
  REGEXMATCH(C460, ""押金""), ""押金往來"",
  AND(E460&lt;&gt;"""", F460=""""), ""真實支出"",
  AND(E460="""", F460&lt;&gt;""""), ""真實收入"",
  TRUE, ""其他""
)"),"真實支出")</f>
        <v>真實支出</v>
      </c>
      <c r="K460" s="270">
        <f t="shared" si="2"/>
        <v>-230</v>
      </c>
      <c r="L460">
        <f t="shared" si="3"/>
        <v>0</v>
      </c>
    </row>
    <row r="461">
      <c r="A461" s="107">
        <f>IFERROR(__xludf.DUMMYFUNCTION("""COMPUTED_VALUE"""),45454.0)</f>
        <v>45454</v>
      </c>
      <c r="B461" t="str">
        <f>IFERROR(__xludf.DUMMYFUNCTION("""COMPUTED_VALUE"""),"寶琳 永春浴室 除霉")</f>
        <v>寶琳 永春浴室 除霉</v>
      </c>
      <c r="C461" t="str">
        <f>IFERROR(__xludf.DUMMYFUNCTION("""COMPUTED_VALUE"""),"成本 - 租後修繕")</f>
        <v>成本 - 租後修繕</v>
      </c>
      <c r="D461" s="270">
        <f>IFERROR(__xludf.DUMMYFUNCTION("""COMPUTED_VALUE"""),-700.0)</f>
        <v>-700</v>
      </c>
      <c r="E461" t="str">
        <f>IFERROR(__xludf.DUMMYFUNCTION("""COMPUTED_VALUE"""),"Ben帳戶")</f>
        <v>Ben帳戶</v>
      </c>
      <c r="G461" t="str">
        <f>IFERROR(__xludf.DUMMYFUNCTION("""COMPUTED_VALUE"""),"永春四號")</f>
        <v>永春四號</v>
      </c>
      <c r="H461" s="106" t="str">
        <f t="shared" si="1"/>
        <v>2024-06</v>
      </c>
      <c r="I461" s="271" t="str">
        <f>IFERROR(__xludf.DUMMYFUNCTION("""COMPUTED_VALUE"""),"貓狗企鵝")</f>
        <v>貓狗企鵝</v>
      </c>
      <c r="J461" t="str">
        <f>IFERROR(__xludf.DUMMYFUNCTION("IFS(
  AND(REGEXMATCH(E461, ""台銀籌備帳戶|玉山帳戶""), REGEXMATCH(C461, ""薪資"")), ""分潤支出"",
  AND(REGEXMATCH(E461, ""Ben帳戶|Elsa帳戶|Ben代墊|Ariel代墊|中信銀行共用""), REGEXMATCH(F461, ""Ben帳戶|Elsa帳戶|Ben代墊|Ariel代墊|中信銀行共用"")), ""內部轉帳(忽略)"",
  AND(E461&lt;&gt;"""", F461&lt;&gt;"""", NOT(REG"&amp;"EXMATCH(C461, ""薪資""))), ""內部轉帳(忽略)"",
  REGEXMATCH(C461, ""薪資""), ""薪資變動(不計入)"",
  REGEXMATCH(C461, ""押金""), ""押金往來"",
  AND(E461&lt;&gt;"""", F461=""""), ""真實支出"",
  AND(E461="""", F461&lt;&gt;""""), ""真實收入"",
  TRUE, ""其他""
)"),"真實支出")</f>
        <v>真實支出</v>
      </c>
      <c r="K461" s="270">
        <f t="shared" si="2"/>
        <v>-700</v>
      </c>
      <c r="L461">
        <f t="shared" si="3"/>
        <v>0</v>
      </c>
    </row>
    <row r="462">
      <c r="A462" s="107">
        <f>IFERROR(__xludf.DUMMYFUNCTION("""COMPUTED_VALUE"""),45454.0)</f>
        <v>45454</v>
      </c>
      <c r="B462" t="str">
        <f>IFERROR(__xludf.DUMMYFUNCTION("""COMPUTED_VALUE"""),"財政部-冰箱(個人)")</f>
        <v>財政部-冰箱(個人)</v>
      </c>
      <c r="C462" t="str">
        <f>IFERROR(__xludf.DUMMYFUNCTION("""COMPUTED_VALUE"""),"收入 - 政府補助/退稅")</f>
        <v>收入 - 政府補助/退稅</v>
      </c>
      <c r="D462" s="270">
        <f>IFERROR(__xludf.DUMMYFUNCTION("""COMPUTED_VALUE"""),2000.0)</f>
        <v>2000</v>
      </c>
      <c r="F462" t="str">
        <f>IFERROR(__xludf.DUMMYFUNCTION("""COMPUTED_VALUE"""),"Elsa帳戶")</f>
        <v>Elsa帳戶</v>
      </c>
      <c r="G462" t="str">
        <f>IFERROR(__xludf.DUMMYFUNCTION("""COMPUTED_VALUE"""),"大湖山莊")</f>
        <v>大湖山莊</v>
      </c>
      <c r="H462" s="106" t="str">
        <f t="shared" si="1"/>
        <v>2024-06</v>
      </c>
      <c r="I462" s="271" t="str">
        <f>IFERROR(__xludf.DUMMYFUNCTION("""COMPUTED_VALUE"""),"貓狗企鵝")</f>
        <v>貓狗企鵝</v>
      </c>
      <c r="J462" t="str">
        <f>IFERROR(__xludf.DUMMYFUNCTION("IFS(
  AND(REGEXMATCH(E462, ""台銀籌備帳戶|玉山帳戶""), REGEXMATCH(C462, ""薪資"")), ""分潤支出"",
  AND(REGEXMATCH(E462, ""Ben帳戶|Elsa帳戶|Ben代墊|Ariel代墊|中信銀行共用""), REGEXMATCH(F462, ""Ben帳戶|Elsa帳戶|Ben代墊|Ariel代墊|中信銀行共用"")), ""內部轉帳(忽略)"",
  AND(E462&lt;&gt;"""", F462&lt;&gt;"""", NOT(REG"&amp;"EXMATCH(C462, ""薪資""))), ""內部轉帳(忽略)"",
  REGEXMATCH(C462, ""薪資""), ""薪資變動(不計入)"",
  REGEXMATCH(C462, ""押金""), ""押金往來"",
  AND(E462&lt;&gt;"""", F462=""""), ""真實支出"",
  AND(E462="""", F462&lt;&gt;""""), ""真實收入"",
  TRUE, ""其他""
)"),"真實收入")</f>
        <v>真實收入</v>
      </c>
      <c r="K462" s="270">
        <f t="shared" si="2"/>
        <v>2000</v>
      </c>
      <c r="L462">
        <f t="shared" si="3"/>
        <v>0</v>
      </c>
    </row>
    <row r="463">
      <c r="A463" s="107">
        <f>IFERROR(__xludf.DUMMYFUNCTION("""COMPUTED_VALUE"""),45459.0)</f>
        <v>45459</v>
      </c>
      <c r="B463" t="str">
        <f>IFERROR(__xludf.DUMMYFUNCTION("""COMPUTED_VALUE"""),"寶琳 大湖清潔")</f>
        <v>寶琳 大湖清潔</v>
      </c>
      <c r="C463" t="str">
        <f>IFERROR(__xludf.DUMMYFUNCTION("""COMPUTED_VALUE"""),"成本 - 租後修繕")</f>
        <v>成本 - 租後修繕</v>
      </c>
      <c r="D463" s="270">
        <f>IFERROR(__xludf.DUMMYFUNCTION("""COMPUTED_VALUE"""),-1050.0)</f>
        <v>-1050</v>
      </c>
      <c r="E463" t="str">
        <f>IFERROR(__xludf.DUMMYFUNCTION("""COMPUTED_VALUE"""),"Elsa帳戶")</f>
        <v>Elsa帳戶</v>
      </c>
      <c r="G463" t="str">
        <f>IFERROR(__xludf.DUMMYFUNCTION("""COMPUTED_VALUE"""),"大湖山莊")</f>
        <v>大湖山莊</v>
      </c>
      <c r="H463" s="106" t="str">
        <f t="shared" si="1"/>
        <v>2024-06</v>
      </c>
      <c r="I463" s="271" t="str">
        <f>IFERROR(__xludf.DUMMYFUNCTION("""COMPUTED_VALUE"""),"貓狗企鵝")</f>
        <v>貓狗企鵝</v>
      </c>
      <c r="J463" t="str">
        <f>IFERROR(__xludf.DUMMYFUNCTION("IFS(
  AND(REGEXMATCH(E463, ""台銀籌備帳戶|玉山帳戶""), REGEXMATCH(C463, ""薪資"")), ""分潤支出"",
  AND(REGEXMATCH(E463, ""Ben帳戶|Elsa帳戶|Ben代墊|Ariel代墊|中信銀行共用""), REGEXMATCH(F463, ""Ben帳戶|Elsa帳戶|Ben代墊|Ariel代墊|中信銀行共用"")), ""內部轉帳(忽略)"",
  AND(E463&lt;&gt;"""", F463&lt;&gt;"""", NOT(REG"&amp;"EXMATCH(C463, ""薪資""))), ""內部轉帳(忽略)"",
  REGEXMATCH(C463, ""薪資""), ""薪資變動(不計入)"",
  REGEXMATCH(C463, ""押金""), ""押金往來"",
  AND(E463&lt;&gt;"""", F463=""""), ""真實支出"",
  AND(E463="""", F463&lt;&gt;""""), ""真實收入"",
  TRUE, ""其他""
)"),"真實支出")</f>
        <v>真實支出</v>
      </c>
      <c r="K463" s="270">
        <f t="shared" si="2"/>
        <v>-1050</v>
      </c>
      <c r="L463">
        <f t="shared" si="3"/>
        <v>0</v>
      </c>
    </row>
    <row r="464">
      <c r="A464" s="107">
        <f>IFERROR(__xludf.DUMMYFUNCTION("""COMPUTED_VALUE"""),45459.0)</f>
        <v>45459</v>
      </c>
      <c r="B464" t="str">
        <f>IFERROR(__xludf.DUMMYFUNCTION("""COMPUTED_VALUE"""),"大湖電費")</f>
        <v>大湖電費</v>
      </c>
      <c r="C464" t="str">
        <f>IFERROR(__xludf.DUMMYFUNCTION("""COMPUTED_VALUE"""),"成本 - 租後修繕")</f>
        <v>成本 - 租後修繕</v>
      </c>
      <c r="D464" s="270">
        <f>IFERROR(__xludf.DUMMYFUNCTION("""COMPUTED_VALUE"""),-619.0)</f>
        <v>-619</v>
      </c>
      <c r="E464" t="str">
        <f>IFERROR(__xludf.DUMMYFUNCTION("""COMPUTED_VALUE"""),"Elsa帳戶")</f>
        <v>Elsa帳戶</v>
      </c>
      <c r="G464" t="str">
        <f>IFERROR(__xludf.DUMMYFUNCTION("""COMPUTED_VALUE"""),"大湖山莊")</f>
        <v>大湖山莊</v>
      </c>
      <c r="H464" s="106" t="str">
        <f t="shared" si="1"/>
        <v>2024-06</v>
      </c>
      <c r="I464" s="271" t="str">
        <f>IFERROR(__xludf.DUMMYFUNCTION("""COMPUTED_VALUE"""),"貓狗企鵝")</f>
        <v>貓狗企鵝</v>
      </c>
      <c r="J464" t="str">
        <f>IFERROR(__xludf.DUMMYFUNCTION("IFS(
  AND(REGEXMATCH(E464, ""台銀籌備帳戶|玉山帳戶""), REGEXMATCH(C464, ""薪資"")), ""分潤支出"",
  AND(REGEXMATCH(E464, ""Ben帳戶|Elsa帳戶|Ben代墊|Ariel代墊|中信銀行共用""), REGEXMATCH(F464, ""Ben帳戶|Elsa帳戶|Ben代墊|Ariel代墊|中信銀行共用"")), ""內部轉帳(忽略)"",
  AND(E464&lt;&gt;"""", F464&lt;&gt;"""", NOT(REG"&amp;"EXMATCH(C464, ""薪資""))), ""內部轉帳(忽略)"",
  REGEXMATCH(C464, ""薪資""), ""薪資變動(不計入)"",
  REGEXMATCH(C464, ""押金""), ""押金往來"",
  AND(E464&lt;&gt;"""", F464=""""), ""真實支出"",
  AND(E464="""", F464&lt;&gt;""""), ""真實收入"",
  TRUE, ""其他""
)"),"真實支出")</f>
        <v>真實支出</v>
      </c>
      <c r="K464" s="270">
        <f t="shared" si="2"/>
        <v>-619</v>
      </c>
      <c r="L464">
        <f t="shared" si="3"/>
        <v>0</v>
      </c>
    </row>
    <row r="465">
      <c r="A465" s="107">
        <f>IFERROR(__xludf.DUMMYFUNCTION("""COMPUTED_VALUE"""),45459.0)</f>
        <v>45459</v>
      </c>
      <c r="B465" t="str">
        <f>IFERROR(__xludf.DUMMYFUNCTION("""COMPUTED_VALUE"""),"大湖水費")</f>
        <v>大湖水費</v>
      </c>
      <c r="C465" t="str">
        <f>IFERROR(__xludf.DUMMYFUNCTION("""COMPUTED_VALUE"""),"成本 - 租後修繕")</f>
        <v>成本 - 租後修繕</v>
      </c>
      <c r="D465" s="270">
        <f>IFERROR(__xludf.DUMMYFUNCTION("""COMPUTED_VALUE"""),-301.0)</f>
        <v>-301</v>
      </c>
      <c r="E465" t="str">
        <f>IFERROR(__xludf.DUMMYFUNCTION("""COMPUTED_VALUE"""),"Ben帳戶")</f>
        <v>Ben帳戶</v>
      </c>
      <c r="G465" t="str">
        <f>IFERROR(__xludf.DUMMYFUNCTION("""COMPUTED_VALUE"""),"大湖山莊")</f>
        <v>大湖山莊</v>
      </c>
      <c r="H465" s="106" t="str">
        <f t="shared" si="1"/>
        <v>2024-06</v>
      </c>
      <c r="I465" s="271" t="str">
        <f>IFERROR(__xludf.DUMMYFUNCTION("""COMPUTED_VALUE"""),"貓狗企鵝")</f>
        <v>貓狗企鵝</v>
      </c>
      <c r="J465" t="str">
        <f>IFERROR(__xludf.DUMMYFUNCTION("IFS(
  AND(REGEXMATCH(E465, ""台銀籌備帳戶|玉山帳戶""), REGEXMATCH(C465, ""薪資"")), ""分潤支出"",
  AND(REGEXMATCH(E465, ""Ben帳戶|Elsa帳戶|Ben代墊|Ariel代墊|中信銀行共用""), REGEXMATCH(F465, ""Ben帳戶|Elsa帳戶|Ben代墊|Ariel代墊|中信銀行共用"")), ""內部轉帳(忽略)"",
  AND(E465&lt;&gt;"""", F465&lt;&gt;"""", NOT(REG"&amp;"EXMATCH(C465, ""薪資""))), ""內部轉帳(忽略)"",
  REGEXMATCH(C465, ""薪資""), ""薪資變動(不計入)"",
  REGEXMATCH(C465, ""押金""), ""押金往來"",
  AND(E465&lt;&gt;"""", F465=""""), ""真實支出"",
  AND(E465="""", F465&lt;&gt;""""), ""真實收入"",
  TRUE, ""其他""
)"),"真實支出")</f>
        <v>真實支出</v>
      </c>
      <c r="K465" s="270">
        <f t="shared" si="2"/>
        <v>-301</v>
      </c>
      <c r="L465">
        <f t="shared" si="3"/>
        <v>0</v>
      </c>
    </row>
    <row r="466">
      <c r="A466" s="107">
        <f>IFERROR(__xludf.DUMMYFUNCTION("""COMPUTED_VALUE"""),45459.0)</f>
        <v>45459</v>
      </c>
      <c r="B466" t="str">
        <f>IFERROR(__xludf.DUMMYFUNCTION("""COMPUTED_VALUE"""),"北醫E買濾網")</f>
        <v>北醫E買濾網</v>
      </c>
      <c r="C466" t="str">
        <f>IFERROR(__xludf.DUMMYFUNCTION("""COMPUTED_VALUE"""),"成本 - 租後修繕")</f>
        <v>成本 - 租後修繕</v>
      </c>
      <c r="D466" s="270">
        <f>IFERROR(__xludf.DUMMYFUNCTION("""COMPUTED_VALUE"""),-225.0)</f>
        <v>-225</v>
      </c>
      <c r="E466" t="str">
        <f>IFERROR(__xludf.DUMMYFUNCTION("""COMPUTED_VALUE"""),"Ben帳戶")</f>
        <v>Ben帳戶</v>
      </c>
      <c r="G466" t="str">
        <f>IFERROR(__xludf.DUMMYFUNCTION("""COMPUTED_VALUE"""),"北醫醫師府")</f>
        <v>北醫醫師府</v>
      </c>
      <c r="H466" s="106" t="str">
        <f t="shared" si="1"/>
        <v>2024-06</v>
      </c>
      <c r="I466" s="271" t="str">
        <f>IFERROR(__xludf.DUMMYFUNCTION("""COMPUTED_VALUE"""),"貓狗企鵝")</f>
        <v>貓狗企鵝</v>
      </c>
      <c r="J466" t="str">
        <f>IFERROR(__xludf.DUMMYFUNCTION("IFS(
  AND(REGEXMATCH(E466, ""台銀籌備帳戶|玉山帳戶""), REGEXMATCH(C466, ""薪資"")), ""分潤支出"",
  AND(REGEXMATCH(E466, ""Ben帳戶|Elsa帳戶|Ben代墊|Ariel代墊|中信銀行共用""), REGEXMATCH(F466, ""Ben帳戶|Elsa帳戶|Ben代墊|Ariel代墊|中信銀行共用"")), ""內部轉帳(忽略)"",
  AND(E466&lt;&gt;"""", F466&lt;&gt;"""", NOT(REG"&amp;"EXMATCH(C466, ""薪資""))), ""內部轉帳(忽略)"",
  REGEXMATCH(C466, ""薪資""), ""薪資變動(不計入)"",
  REGEXMATCH(C466, ""押金""), ""押金往來"",
  AND(E466&lt;&gt;"""", F466=""""), ""真實支出"",
  AND(E466="""", F466&lt;&gt;""""), ""真實收入"",
  TRUE, ""其他""
)"),"真實支出")</f>
        <v>真實支出</v>
      </c>
      <c r="K466" s="270">
        <f t="shared" si="2"/>
        <v>-225</v>
      </c>
      <c r="L466">
        <f t="shared" si="3"/>
        <v>0</v>
      </c>
    </row>
    <row r="467">
      <c r="A467" s="107">
        <f>IFERROR(__xludf.DUMMYFUNCTION("""COMPUTED_VALUE"""),45461.0)</f>
        <v>45461</v>
      </c>
      <c r="B467" t="str">
        <f>IFERROR(__xludf.DUMMYFUNCTION("""COMPUTED_VALUE"""),"網域購買")</f>
        <v>網域購買</v>
      </c>
      <c r="C467" t="str">
        <f>IFERROR(__xludf.DUMMYFUNCTION("""COMPUTED_VALUE"""),"費用 - 辦公用品")</f>
        <v>費用 - 辦公用品</v>
      </c>
      <c r="D467" s="270">
        <f>IFERROR(__xludf.DUMMYFUNCTION("""COMPUTED_VALUE"""),-1391.0)</f>
        <v>-1391</v>
      </c>
      <c r="E467" t="str">
        <f>IFERROR(__xludf.DUMMYFUNCTION("""COMPUTED_VALUE"""),"Ben帳戶")</f>
        <v>Ben帳戶</v>
      </c>
      <c r="H467" s="106" t="str">
        <f t="shared" si="1"/>
        <v>2024-06</v>
      </c>
      <c r="I467" s="271" t="str">
        <f>IFERROR(__xludf.DUMMYFUNCTION("""COMPUTED_VALUE"""),"貓狗企鵝")</f>
        <v>貓狗企鵝</v>
      </c>
      <c r="J467" t="str">
        <f>IFERROR(__xludf.DUMMYFUNCTION("IFS(
  AND(REGEXMATCH(E467, ""台銀籌備帳戶|玉山帳戶""), REGEXMATCH(C467, ""薪資"")), ""分潤支出"",
  AND(REGEXMATCH(E467, ""Ben帳戶|Elsa帳戶|Ben代墊|Ariel代墊|中信銀行共用""), REGEXMATCH(F467, ""Ben帳戶|Elsa帳戶|Ben代墊|Ariel代墊|中信銀行共用"")), ""內部轉帳(忽略)"",
  AND(E467&lt;&gt;"""", F467&lt;&gt;"""", NOT(REG"&amp;"EXMATCH(C467, ""薪資""))), ""內部轉帳(忽略)"",
  REGEXMATCH(C467, ""薪資""), ""薪資變動(不計入)"",
  REGEXMATCH(C467, ""押金""), ""押金往來"",
  AND(E467&lt;&gt;"""", F467=""""), ""真實支出"",
  AND(E467="""", F467&lt;&gt;""""), ""真實收入"",
  TRUE, ""其他""
)"),"真實支出")</f>
        <v>真實支出</v>
      </c>
      <c r="K467" s="270">
        <f t="shared" si="2"/>
        <v>-1391</v>
      </c>
      <c r="L467">
        <f t="shared" si="3"/>
        <v>0</v>
      </c>
    </row>
    <row r="468">
      <c r="A468" s="107">
        <f>IFERROR(__xludf.DUMMYFUNCTION("""COMPUTED_VALUE"""),45461.0)</f>
        <v>45461</v>
      </c>
      <c r="B468" t="str">
        <f>IFERROR(__xludf.DUMMYFUNCTION("""COMPUTED_VALUE"""),"龍江E 訂金")</f>
        <v>龍江E 訂金</v>
      </c>
      <c r="C468" t="str">
        <f>IFERROR(__xludf.DUMMYFUNCTION("""COMPUTED_VALUE"""),"收入 - 租金")</f>
        <v>收入 - 租金</v>
      </c>
      <c r="D468" s="270">
        <f>IFERROR(__xludf.DUMMYFUNCTION("""COMPUTED_VALUE"""),10000.0)</f>
        <v>10000</v>
      </c>
      <c r="F468" t="str">
        <f>IFERROR(__xludf.DUMMYFUNCTION("""COMPUTED_VALUE"""),"台銀籌備帳戶")</f>
        <v>台銀籌備帳戶</v>
      </c>
      <c r="G468" t="str">
        <f>IFERROR(__xludf.DUMMYFUNCTION("""COMPUTED_VALUE"""),"龍江229")</f>
        <v>龍江229</v>
      </c>
      <c r="H468" s="106" t="str">
        <f t="shared" si="1"/>
        <v>2024-06</v>
      </c>
      <c r="I468" s="271" t="str">
        <f>IFERROR(__xludf.DUMMYFUNCTION("""COMPUTED_VALUE"""),"貓狗企鵝")</f>
        <v>貓狗企鵝</v>
      </c>
      <c r="J468" t="str">
        <f>IFERROR(__xludf.DUMMYFUNCTION("IFS(
  AND(REGEXMATCH(E468, ""台銀籌備帳戶|玉山帳戶""), REGEXMATCH(C468, ""薪資"")), ""分潤支出"",
  AND(REGEXMATCH(E468, ""Ben帳戶|Elsa帳戶|Ben代墊|Ariel代墊|中信銀行共用""), REGEXMATCH(F468, ""Ben帳戶|Elsa帳戶|Ben代墊|Ariel代墊|中信銀行共用"")), ""內部轉帳(忽略)"",
  AND(E468&lt;&gt;"""", F468&lt;&gt;"""", NOT(REG"&amp;"EXMATCH(C468, ""薪資""))), ""內部轉帳(忽略)"",
  REGEXMATCH(C468, ""薪資""), ""薪資變動(不計入)"",
  REGEXMATCH(C468, ""押金""), ""押金往來"",
  AND(E468&lt;&gt;"""", F468=""""), ""真實支出"",
  AND(E468="""", F468&lt;&gt;""""), ""真實收入"",
  TRUE, ""其他""
)"),"真實收入")</f>
        <v>真實收入</v>
      </c>
      <c r="K468" s="270">
        <f t="shared" si="2"/>
        <v>10000</v>
      </c>
      <c r="L468">
        <f t="shared" si="3"/>
        <v>0</v>
      </c>
    </row>
    <row r="469">
      <c r="A469" s="107">
        <f>IFERROR(__xludf.DUMMYFUNCTION("""COMPUTED_VALUE"""),45461.0)</f>
        <v>45461</v>
      </c>
      <c r="B469" t="str">
        <f>IFERROR(__xludf.DUMMYFUNCTION("""COMPUTED_VALUE"""),"退大湖F押金")</f>
        <v>退大湖F押金</v>
      </c>
      <c r="C469" t="str">
        <f>IFERROR(__xludf.DUMMYFUNCTION("""COMPUTED_VALUE"""),"收入 - 租金")</f>
        <v>收入 - 租金</v>
      </c>
      <c r="D469" s="270">
        <f>IFERROR(__xludf.DUMMYFUNCTION("""COMPUTED_VALUE"""),-30015.0)</f>
        <v>-30015</v>
      </c>
      <c r="E469" t="str">
        <f>IFERROR(__xludf.DUMMYFUNCTION("""COMPUTED_VALUE"""),"台銀籌備帳戶")</f>
        <v>台銀籌備帳戶</v>
      </c>
      <c r="H469" s="106" t="str">
        <f t="shared" si="1"/>
        <v>2024-06</v>
      </c>
      <c r="I469" s="271" t="str">
        <f>IFERROR(__xludf.DUMMYFUNCTION("""COMPUTED_VALUE"""),"貓狗企鵝")</f>
        <v>貓狗企鵝</v>
      </c>
      <c r="J469" t="str">
        <f>IFERROR(__xludf.DUMMYFUNCTION("IFS(
  AND(REGEXMATCH(E469, ""台銀籌備帳戶|玉山帳戶""), REGEXMATCH(C469, ""薪資"")), ""分潤支出"",
  AND(REGEXMATCH(E469, ""Ben帳戶|Elsa帳戶|Ben代墊|Ariel代墊|中信銀行共用""), REGEXMATCH(F469, ""Ben帳戶|Elsa帳戶|Ben代墊|Ariel代墊|中信銀行共用"")), ""內部轉帳(忽略)"",
  AND(E469&lt;&gt;"""", F469&lt;&gt;"""", NOT(REG"&amp;"EXMATCH(C469, ""薪資""))), ""內部轉帳(忽略)"",
  REGEXMATCH(C469, ""薪資""), ""薪資變動(不計入)"",
  REGEXMATCH(C469, ""押金""), ""押金往來"",
  AND(E469&lt;&gt;"""", F469=""""), ""真實支出"",
  AND(E469="""", F469&lt;&gt;""""), ""真實收入"",
  TRUE, ""其他""
)"),"真實支出")</f>
        <v>真實支出</v>
      </c>
      <c r="K469" s="270">
        <f t="shared" si="2"/>
        <v>-30015</v>
      </c>
      <c r="L469">
        <f t="shared" si="3"/>
        <v>0</v>
      </c>
    </row>
    <row r="470">
      <c r="A470" s="107">
        <f>IFERROR(__xludf.DUMMYFUNCTION("""COMPUTED_VALUE"""),45462.0)</f>
        <v>45462</v>
      </c>
      <c r="B470" t="str">
        <f>IFERROR(__xludf.DUMMYFUNCTION("""COMPUTED_VALUE"""),"大湖C 姚伯謙租屋訂金")</f>
        <v>大湖C 姚伯謙租屋訂金</v>
      </c>
      <c r="C470" t="str">
        <f>IFERROR(__xludf.DUMMYFUNCTION("""COMPUTED_VALUE"""),"收入 - 租金")</f>
        <v>收入 - 租金</v>
      </c>
      <c r="D470" s="270">
        <f>IFERROR(__xludf.DUMMYFUNCTION("""COMPUTED_VALUE"""),10000.0)</f>
        <v>10000</v>
      </c>
      <c r="F470" t="str">
        <f>IFERROR(__xludf.DUMMYFUNCTION("""COMPUTED_VALUE"""),"台銀籌備帳戶")</f>
        <v>台銀籌備帳戶</v>
      </c>
      <c r="G470" t="str">
        <f>IFERROR(__xludf.DUMMYFUNCTION("""COMPUTED_VALUE"""),"大湖山莊")</f>
        <v>大湖山莊</v>
      </c>
      <c r="H470" s="106" t="str">
        <f t="shared" si="1"/>
        <v>2024-06</v>
      </c>
      <c r="I470" s="271" t="str">
        <f>IFERROR(__xludf.DUMMYFUNCTION("""COMPUTED_VALUE"""),"貓狗企鵝")</f>
        <v>貓狗企鵝</v>
      </c>
      <c r="J470" t="str">
        <f>IFERROR(__xludf.DUMMYFUNCTION("IFS(
  AND(REGEXMATCH(E470, ""台銀籌備帳戶|玉山帳戶""), REGEXMATCH(C470, ""薪資"")), ""分潤支出"",
  AND(REGEXMATCH(E470, ""Ben帳戶|Elsa帳戶|Ben代墊|Ariel代墊|中信銀行共用""), REGEXMATCH(F470, ""Ben帳戶|Elsa帳戶|Ben代墊|Ariel代墊|中信銀行共用"")), ""內部轉帳(忽略)"",
  AND(E470&lt;&gt;"""", F470&lt;&gt;"""", NOT(REG"&amp;"EXMATCH(C470, ""薪資""))), ""內部轉帳(忽略)"",
  REGEXMATCH(C470, ""薪資""), ""薪資變動(不計入)"",
  REGEXMATCH(C470, ""押金""), ""押金往來"",
  AND(E470&lt;&gt;"""", F470=""""), ""真實支出"",
  AND(E470="""", F470&lt;&gt;""""), ""真實收入"",
  TRUE, ""其他""
)"),"真實收入")</f>
        <v>真實收入</v>
      </c>
      <c r="K470" s="270">
        <f t="shared" si="2"/>
        <v>10000</v>
      </c>
      <c r="L470">
        <f t="shared" si="3"/>
        <v>0</v>
      </c>
    </row>
    <row r="471">
      <c r="A471" s="107">
        <f>IFERROR(__xludf.DUMMYFUNCTION("""COMPUTED_VALUE"""),45463.0)</f>
        <v>45463</v>
      </c>
      <c r="B471" t="str">
        <f>IFERROR(__xludf.DUMMYFUNCTION("""COMPUTED_VALUE"""),"大湖C  姚伯謙２押１租")</f>
        <v>大湖C  姚伯謙２押１租</v>
      </c>
      <c r="C471" t="str">
        <f>IFERROR(__xludf.DUMMYFUNCTION("""COMPUTED_VALUE"""),"收入 - 租金")</f>
        <v>收入 - 租金</v>
      </c>
      <c r="D471" s="270">
        <f>IFERROR(__xludf.DUMMYFUNCTION("""COMPUTED_VALUE"""),46400.0)</f>
        <v>46400</v>
      </c>
      <c r="F471" t="str">
        <f>IFERROR(__xludf.DUMMYFUNCTION("""COMPUTED_VALUE"""),"台銀籌備帳戶")</f>
        <v>台銀籌備帳戶</v>
      </c>
      <c r="G471" t="str">
        <f>IFERROR(__xludf.DUMMYFUNCTION("""COMPUTED_VALUE"""),"大湖山莊")</f>
        <v>大湖山莊</v>
      </c>
      <c r="H471" s="106" t="str">
        <f t="shared" si="1"/>
        <v>2024-06</v>
      </c>
      <c r="I471" s="271" t="str">
        <f>IFERROR(__xludf.DUMMYFUNCTION("""COMPUTED_VALUE"""),"貓狗企鵝")</f>
        <v>貓狗企鵝</v>
      </c>
      <c r="J471" t="str">
        <f>IFERROR(__xludf.DUMMYFUNCTION("IFS(
  AND(REGEXMATCH(E471, ""台銀籌備帳戶|玉山帳戶""), REGEXMATCH(C471, ""薪資"")), ""分潤支出"",
  AND(REGEXMATCH(E471, ""Ben帳戶|Elsa帳戶|Ben代墊|Ariel代墊|中信銀行共用""), REGEXMATCH(F471, ""Ben帳戶|Elsa帳戶|Ben代墊|Ariel代墊|中信銀行共用"")), ""內部轉帳(忽略)"",
  AND(E471&lt;&gt;"""", F471&lt;&gt;"""", NOT(REG"&amp;"EXMATCH(C471, ""薪資""))), ""內部轉帳(忽略)"",
  REGEXMATCH(C471, ""薪資""), ""薪資變動(不計入)"",
  REGEXMATCH(C471, ""押金""), ""押金往來"",
  AND(E471&lt;&gt;"""", F471=""""), ""真實支出"",
  AND(E471="""", F471&lt;&gt;""""), ""真實收入"",
  TRUE, ""其他""
)"),"真實收入")</f>
        <v>真實收入</v>
      </c>
      <c r="K471" s="270">
        <f t="shared" si="2"/>
        <v>46400</v>
      </c>
      <c r="L471">
        <f t="shared" si="3"/>
        <v>0</v>
      </c>
    </row>
    <row r="472">
      <c r="A472" s="107">
        <f>IFERROR(__xludf.DUMMYFUNCTION("""COMPUTED_VALUE"""),45464.0)</f>
        <v>45464</v>
      </c>
      <c r="B472" t="str">
        <f>IFERROR(__xludf.DUMMYFUNCTION("""COMPUTED_VALUE"""),"利息")</f>
        <v>利息</v>
      </c>
      <c r="C472" t="str">
        <f>IFERROR(__xludf.DUMMYFUNCTION("""COMPUTED_VALUE"""),"收入 - 其他")</f>
        <v>收入 - 其他</v>
      </c>
      <c r="D472" s="270">
        <f>IFERROR(__xludf.DUMMYFUNCTION("""COMPUTED_VALUE"""),1241.0)</f>
        <v>1241</v>
      </c>
      <c r="F472" t="str">
        <f>IFERROR(__xludf.DUMMYFUNCTION("""COMPUTED_VALUE"""),"台銀籌備帳戶")</f>
        <v>台銀籌備帳戶</v>
      </c>
      <c r="H472" s="106" t="str">
        <f t="shared" si="1"/>
        <v>2024-06</v>
      </c>
      <c r="I472" s="271" t="str">
        <f>IFERROR(__xludf.DUMMYFUNCTION("""COMPUTED_VALUE"""),"貓狗企鵝")</f>
        <v>貓狗企鵝</v>
      </c>
      <c r="J472" t="str">
        <f>IFERROR(__xludf.DUMMYFUNCTION("IFS(
  AND(REGEXMATCH(E472, ""台銀籌備帳戶|玉山帳戶""), REGEXMATCH(C472, ""薪資"")), ""分潤支出"",
  AND(REGEXMATCH(E472, ""Ben帳戶|Elsa帳戶|Ben代墊|Ariel代墊|中信銀行共用""), REGEXMATCH(F472, ""Ben帳戶|Elsa帳戶|Ben代墊|Ariel代墊|中信銀行共用"")), ""內部轉帳(忽略)"",
  AND(E472&lt;&gt;"""", F472&lt;&gt;"""", NOT(REG"&amp;"EXMATCH(C472, ""薪資""))), ""內部轉帳(忽略)"",
  REGEXMATCH(C472, ""薪資""), ""薪資變動(不計入)"",
  REGEXMATCH(C472, ""押金""), ""押金往來"",
  AND(E472&lt;&gt;"""", F472=""""), ""真實支出"",
  AND(E472="""", F472&lt;&gt;""""), ""真實收入"",
  TRUE, ""其他""
)"),"真實收入")</f>
        <v>真實收入</v>
      </c>
      <c r="K472" s="270">
        <f t="shared" si="2"/>
        <v>1241</v>
      </c>
      <c r="L472">
        <f t="shared" si="3"/>
        <v>0</v>
      </c>
    </row>
    <row r="473">
      <c r="A473" s="107">
        <f>IFERROR(__xludf.DUMMYFUNCTION("""COMPUTED_VALUE"""),45467.0)</f>
        <v>45467</v>
      </c>
      <c r="B473" t="str">
        <f>IFERROR(__xludf.DUMMYFUNCTION("""COMPUTED_VALUE"""),"南港看屋來回小黃")</f>
        <v>南港看屋來回小黃</v>
      </c>
      <c r="C473" t="str">
        <f>IFERROR(__xludf.DUMMYFUNCTION("""COMPUTED_VALUE"""),"成本 - 交通費")</f>
        <v>成本 - 交通費</v>
      </c>
      <c r="D473" s="270">
        <f>IFERROR(__xludf.DUMMYFUNCTION("""COMPUTED_VALUE"""),-552.0)</f>
        <v>-552</v>
      </c>
      <c r="E473" t="str">
        <f>IFERROR(__xludf.DUMMYFUNCTION("""COMPUTED_VALUE"""),"Elsa帳戶")</f>
        <v>Elsa帳戶</v>
      </c>
      <c r="G473" t="str">
        <f>IFERROR(__xludf.DUMMYFUNCTION("""COMPUTED_VALUE"""),"南港站挑高宅")</f>
        <v>南港站挑高宅</v>
      </c>
      <c r="H473" s="106" t="str">
        <f t="shared" si="1"/>
        <v>2024-06</v>
      </c>
      <c r="I473" s="271" t="str">
        <f>IFERROR(__xludf.DUMMYFUNCTION("""COMPUTED_VALUE"""),"貓狗企鵝")</f>
        <v>貓狗企鵝</v>
      </c>
      <c r="J473" t="str">
        <f>IFERROR(__xludf.DUMMYFUNCTION("IFS(
  AND(REGEXMATCH(E473, ""台銀籌備帳戶|玉山帳戶""), REGEXMATCH(C473, ""薪資"")), ""分潤支出"",
  AND(REGEXMATCH(E473, ""Ben帳戶|Elsa帳戶|Ben代墊|Ariel代墊|中信銀行共用""), REGEXMATCH(F473, ""Ben帳戶|Elsa帳戶|Ben代墊|Ariel代墊|中信銀行共用"")), ""內部轉帳(忽略)"",
  AND(E473&lt;&gt;"""", F473&lt;&gt;"""", NOT(REG"&amp;"EXMATCH(C473, ""薪資""))), ""內部轉帳(忽略)"",
  REGEXMATCH(C473, ""薪資""), ""薪資變動(不計入)"",
  REGEXMATCH(C473, ""押金""), ""押金往來"",
  AND(E473&lt;&gt;"""", F473=""""), ""真實支出"",
  AND(E473="""", F473&lt;&gt;""""), ""真實收入"",
  TRUE, ""其他""
)"),"真實支出")</f>
        <v>真實支出</v>
      </c>
      <c r="K473" s="270">
        <f t="shared" si="2"/>
        <v>-552</v>
      </c>
      <c r="L473">
        <f t="shared" si="3"/>
        <v>0</v>
      </c>
    </row>
    <row r="474">
      <c r="A474" s="107">
        <f>IFERROR(__xludf.DUMMYFUNCTION("""COMPUTED_VALUE"""),45467.0)</f>
        <v>45467</v>
      </c>
      <c r="B474" t="str">
        <f>IFERROR(__xludf.DUMMYFUNCTION("""COMPUTED_VALUE"""),"龍江E 首租2押")</f>
        <v>龍江E 首租2押</v>
      </c>
      <c r="C474" t="str">
        <f>IFERROR(__xludf.DUMMYFUNCTION("""COMPUTED_VALUE"""),"收入 - 租金")</f>
        <v>收入 - 租金</v>
      </c>
      <c r="D474" s="270">
        <f>IFERROR(__xludf.DUMMYFUNCTION("""COMPUTED_VALUE"""),10000.0)</f>
        <v>10000</v>
      </c>
      <c r="F474" t="str">
        <f>IFERROR(__xludf.DUMMYFUNCTION("""COMPUTED_VALUE"""),"台銀籌備帳戶")</f>
        <v>台銀籌備帳戶</v>
      </c>
      <c r="G474" t="str">
        <f>IFERROR(__xludf.DUMMYFUNCTION("""COMPUTED_VALUE"""),"龍江229")</f>
        <v>龍江229</v>
      </c>
      <c r="H474" s="106" t="str">
        <f t="shared" si="1"/>
        <v>2024-06</v>
      </c>
      <c r="I474" s="271" t="str">
        <f>IFERROR(__xludf.DUMMYFUNCTION("""COMPUTED_VALUE"""),"貓狗企鵝")</f>
        <v>貓狗企鵝</v>
      </c>
      <c r="J474" t="str">
        <f>IFERROR(__xludf.DUMMYFUNCTION("IFS(
  AND(REGEXMATCH(E474, ""台銀籌備帳戶|玉山帳戶""), REGEXMATCH(C474, ""薪資"")), ""分潤支出"",
  AND(REGEXMATCH(E474, ""Ben帳戶|Elsa帳戶|Ben代墊|Ariel代墊|中信銀行共用""), REGEXMATCH(F474, ""Ben帳戶|Elsa帳戶|Ben代墊|Ariel代墊|中信銀行共用"")), ""內部轉帳(忽略)"",
  AND(E474&lt;&gt;"""", F474&lt;&gt;"""", NOT(REG"&amp;"EXMATCH(C474, ""薪資""))), ""內部轉帳(忽略)"",
  REGEXMATCH(C474, ""薪資""), ""薪資變動(不計入)"",
  REGEXMATCH(C474, ""押金""), ""押金往來"",
  AND(E474&lt;&gt;"""", F474=""""), ""真實支出"",
  AND(E474="""", F474&lt;&gt;""""), ""真實收入"",
  TRUE, ""其他""
)"),"真實收入")</f>
        <v>真實收入</v>
      </c>
      <c r="K474" s="270">
        <f t="shared" si="2"/>
        <v>10000</v>
      </c>
      <c r="L474">
        <f t="shared" si="3"/>
        <v>0</v>
      </c>
    </row>
    <row r="475">
      <c r="A475" s="107">
        <f>IFERROR(__xludf.DUMMYFUNCTION("""COMPUTED_VALUE"""),45467.0)</f>
        <v>45467</v>
      </c>
      <c r="B475" t="str">
        <f>IFERROR(__xludf.DUMMYFUNCTION("""COMPUTED_VALUE"""),"龍江E 首租2押")</f>
        <v>龍江E 首租2押</v>
      </c>
      <c r="C475" t="str">
        <f>IFERROR(__xludf.DUMMYFUNCTION("""COMPUTED_VALUE"""),"收入 - 租金")</f>
        <v>收入 - 租金</v>
      </c>
      <c r="D475" s="270">
        <f>IFERROR(__xludf.DUMMYFUNCTION("""COMPUTED_VALUE"""),10000.0)</f>
        <v>10000</v>
      </c>
      <c r="F475" t="str">
        <f>IFERROR(__xludf.DUMMYFUNCTION("""COMPUTED_VALUE"""),"台銀籌備帳戶")</f>
        <v>台銀籌備帳戶</v>
      </c>
      <c r="G475" t="str">
        <f>IFERROR(__xludf.DUMMYFUNCTION("""COMPUTED_VALUE"""),"龍江229")</f>
        <v>龍江229</v>
      </c>
      <c r="H475" s="106" t="str">
        <f t="shared" si="1"/>
        <v>2024-06</v>
      </c>
      <c r="I475" s="271" t="str">
        <f>IFERROR(__xludf.DUMMYFUNCTION("""COMPUTED_VALUE"""),"貓狗企鵝")</f>
        <v>貓狗企鵝</v>
      </c>
      <c r="J475" t="str">
        <f>IFERROR(__xludf.DUMMYFUNCTION("IFS(
  AND(REGEXMATCH(E475, ""台銀籌備帳戶|玉山帳戶""), REGEXMATCH(C475, ""薪資"")), ""分潤支出"",
  AND(REGEXMATCH(E475, ""Ben帳戶|Elsa帳戶|Ben代墊|Ariel代墊|中信銀行共用""), REGEXMATCH(F475, ""Ben帳戶|Elsa帳戶|Ben代墊|Ariel代墊|中信銀行共用"")), ""內部轉帳(忽略)"",
  AND(E475&lt;&gt;"""", F475&lt;&gt;"""", NOT(REG"&amp;"EXMATCH(C475, ""薪資""))), ""內部轉帳(忽略)"",
  REGEXMATCH(C475, ""薪資""), ""薪資變動(不計入)"",
  REGEXMATCH(C475, ""押金""), ""押金往來"",
  AND(E475&lt;&gt;"""", F475=""""), ""真實支出"",
  AND(E475="""", F475&lt;&gt;""""), ""真實收入"",
  TRUE, ""其他""
)"),"真實收入")</f>
        <v>真實收入</v>
      </c>
      <c r="K475" s="270">
        <f t="shared" si="2"/>
        <v>10000</v>
      </c>
      <c r="L475">
        <f t="shared" si="3"/>
        <v>0</v>
      </c>
    </row>
    <row r="476">
      <c r="A476" s="107">
        <f>IFERROR(__xludf.DUMMYFUNCTION("""COMPUTED_VALUE"""),45467.0)</f>
        <v>45467</v>
      </c>
      <c r="B476" t="str">
        <f>IFERROR(__xludf.DUMMYFUNCTION("""COMPUTED_VALUE"""),"龍江E 首租2押")</f>
        <v>龍江E 首租2押</v>
      </c>
      <c r="C476" t="str">
        <f>IFERROR(__xludf.DUMMYFUNCTION("""COMPUTED_VALUE"""),"收入 - 租金")</f>
        <v>收入 - 租金</v>
      </c>
      <c r="D476" s="270">
        <f>IFERROR(__xludf.DUMMYFUNCTION("""COMPUTED_VALUE"""),10000.0)</f>
        <v>10000</v>
      </c>
      <c r="F476" t="str">
        <f>IFERROR(__xludf.DUMMYFUNCTION("""COMPUTED_VALUE"""),"台銀籌備帳戶")</f>
        <v>台銀籌備帳戶</v>
      </c>
      <c r="G476" t="str">
        <f>IFERROR(__xludf.DUMMYFUNCTION("""COMPUTED_VALUE"""),"龍江229")</f>
        <v>龍江229</v>
      </c>
      <c r="H476" s="106" t="str">
        <f t="shared" si="1"/>
        <v>2024-06</v>
      </c>
      <c r="I476" s="271" t="str">
        <f>IFERROR(__xludf.DUMMYFUNCTION("""COMPUTED_VALUE"""),"貓狗企鵝")</f>
        <v>貓狗企鵝</v>
      </c>
      <c r="J476" t="str">
        <f>IFERROR(__xludf.DUMMYFUNCTION("IFS(
  AND(REGEXMATCH(E476, ""台銀籌備帳戶|玉山帳戶""), REGEXMATCH(C476, ""薪資"")), ""分潤支出"",
  AND(REGEXMATCH(E476, ""Ben帳戶|Elsa帳戶|Ben代墊|Ariel代墊|中信銀行共用""), REGEXMATCH(F476, ""Ben帳戶|Elsa帳戶|Ben代墊|Ariel代墊|中信銀行共用"")), ""內部轉帳(忽略)"",
  AND(E476&lt;&gt;"""", F476&lt;&gt;"""", NOT(REG"&amp;"EXMATCH(C476, ""薪資""))), ""內部轉帳(忽略)"",
  REGEXMATCH(C476, ""薪資""), ""薪資變動(不計入)"",
  REGEXMATCH(C476, ""押金""), ""押金往來"",
  AND(E476&lt;&gt;"""", F476=""""), ""真實支出"",
  AND(E476="""", F476&lt;&gt;""""), ""真實收入"",
  TRUE, ""其他""
)"),"真實收入")</f>
        <v>真實收入</v>
      </c>
      <c r="K476" s="270">
        <f t="shared" si="2"/>
        <v>10000</v>
      </c>
      <c r="L476">
        <f t="shared" si="3"/>
        <v>0</v>
      </c>
    </row>
    <row r="477">
      <c r="A477" s="107">
        <f>IFERROR(__xludf.DUMMYFUNCTION("""COMPUTED_VALUE"""),45467.0)</f>
        <v>45467</v>
      </c>
      <c r="B477" t="str">
        <f>IFERROR(__xludf.DUMMYFUNCTION("""COMPUTED_VALUE"""),"龍江E 首租2押")</f>
        <v>龍江E 首租2押</v>
      </c>
      <c r="C477" t="str">
        <f>IFERROR(__xludf.DUMMYFUNCTION("""COMPUTED_VALUE"""),"收入 - 租金")</f>
        <v>收入 - 租金</v>
      </c>
      <c r="D477" s="270">
        <f>IFERROR(__xludf.DUMMYFUNCTION("""COMPUTED_VALUE"""),400.0)</f>
        <v>400</v>
      </c>
      <c r="F477" t="str">
        <f>IFERROR(__xludf.DUMMYFUNCTION("""COMPUTED_VALUE"""),"台銀籌備帳戶")</f>
        <v>台銀籌備帳戶</v>
      </c>
      <c r="G477" t="str">
        <f>IFERROR(__xludf.DUMMYFUNCTION("""COMPUTED_VALUE"""),"龍江229")</f>
        <v>龍江229</v>
      </c>
      <c r="H477" s="106" t="str">
        <f t="shared" si="1"/>
        <v>2024-06</v>
      </c>
      <c r="I477" s="271" t="str">
        <f>IFERROR(__xludf.DUMMYFUNCTION("""COMPUTED_VALUE"""),"貓狗企鵝")</f>
        <v>貓狗企鵝</v>
      </c>
      <c r="J477" t="str">
        <f>IFERROR(__xludf.DUMMYFUNCTION("IFS(
  AND(REGEXMATCH(E477, ""台銀籌備帳戶|玉山帳戶""), REGEXMATCH(C477, ""薪資"")), ""分潤支出"",
  AND(REGEXMATCH(E477, ""Ben帳戶|Elsa帳戶|Ben代墊|Ariel代墊|中信銀行共用""), REGEXMATCH(F477, ""Ben帳戶|Elsa帳戶|Ben代墊|Ariel代墊|中信銀行共用"")), ""內部轉帳(忽略)"",
  AND(E477&lt;&gt;"""", F477&lt;&gt;"""", NOT(REG"&amp;"EXMATCH(C477, ""薪資""))), ""內部轉帳(忽略)"",
  REGEXMATCH(C477, ""薪資""), ""薪資變動(不計入)"",
  REGEXMATCH(C477, ""押金""), ""押金往來"",
  AND(E477&lt;&gt;"""", F477=""""), ""真實支出"",
  AND(E477="""", F477&lt;&gt;""""), ""真實收入"",
  TRUE, ""其他""
)"),"真實收入")</f>
        <v>真實收入</v>
      </c>
      <c r="K477" s="270">
        <f t="shared" si="2"/>
        <v>400</v>
      </c>
      <c r="L477">
        <f t="shared" si="3"/>
        <v>0</v>
      </c>
    </row>
    <row r="478">
      <c r="A478" s="107">
        <f>IFERROR(__xludf.DUMMYFUNCTION("""COMPUTED_VALUE"""),45468.0)</f>
        <v>45468</v>
      </c>
      <c r="B478" t="str">
        <f>IFERROR(__xludf.DUMMYFUNCTION("""COMPUTED_VALUE"""),"大道路 斡旋金")</f>
        <v>大道路 斡旋金</v>
      </c>
      <c r="C478" t="str">
        <f>IFERROR(__xludf.DUMMYFUNCTION("""COMPUTED_VALUE"""),"成本 - 仲介費")</f>
        <v>成本 - 仲介費</v>
      </c>
      <c r="D478" s="270">
        <f>IFERROR(__xludf.DUMMYFUNCTION("""COMPUTED_VALUE"""),-5000.0)</f>
        <v>-5000</v>
      </c>
      <c r="E478" t="str">
        <f>IFERROR(__xludf.DUMMYFUNCTION("""COMPUTED_VALUE"""),"Ben帳戶")</f>
        <v>Ben帳戶</v>
      </c>
      <c r="H478" s="106" t="str">
        <f t="shared" si="1"/>
        <v>2024-06</v>
      </c>
      <c r="I478" s="271" t="str">
        <f>IFERROR(__xludf.DUMMYFUNCTION("""COMPUTED_VALUE"""),"貓狗企鵝")</f>
        <v>貓狗企鵝</v>
      </c>
      <c r="J478" t="str">
        <f>IFERROR(__xludf.DUMMYFUNCTION("IFS(
  AND(REGEXMATCH(E478, ""台銀籌備帳戶|玉山帳戶""), REGEXMATCH(C478, ""薪資"")), ""分潤支出"",
  AND(REGEXMATCH(E478, ""Ben帳戶|Elsa帳戶|Ben代墊|Ariel代墊|中信銀行共用""), REGEXMATCH(F478, ""Ben帳戶|Elsa帳戶|Ben代墊|Ariel代墊|中信銀行共用"")), ""內部轉帳(忽略)"",
  AND(E478&lt;&gt;"""", F478&lt;&gt;"""", NOT(REG"&amp;"EXMATCH(C478, ""薪資""))), ""內部轉帳(忽略)"",
  REGEXMATCH(C478, ""薪資""), ""薪資變動(不計入)"",
  REGEXMATCH(C478, ""押金""), ""押金往來"",
  AND(E478&lt;&gt;"""", F478=""""), ""真實支出"",
  AND(E478="""", F478&lt;&gt;""""), ""真實收入"",
  TRUE, ""其他""
)"),"真實支出")</f>
        <v>真實支出</v>
      </c>
      <c r="K478" s="270">
        <f t="shared" si="2"/>
        <v>-5000</v>
      </c>
      <c r="L478">
        <f t="shared" si="3"/>
        <v>0</v>
      </c>
    </row>
    <row r="479">
      <c r="A479" s="107">
        <f>IFERROR(__xludf.DUMMYFUNCTION("""COMPUTED_VALUE"""),45468.0)</f>
        <v>45468</v>
      </c>
      <c r="B479" t="str">
        <f>IFERROR(__xludf.DUMMYFUNCTION("""COMPUTED_VALUE"""),"大湖山莊 天然氣")</f>
        <v>大湖山莊 天然氣</v>
      </c>
      <c r="C479" t="str">
        <f>IFERROR(__xludf.DUMMYFUNCTION("""COMPUTED_VALUE"""),"成本 - 租後修繕")</f>
        <v>成本 - 租後修繕</v>
      </c>
      <c r="D479" s="270">
        <f>IFERROR(__xludf.DUMMYFUNCTION("""COMPUTED_VALUE"""),-377.0)</f>
        <v>-377</v>
      </c>
      <c r="E479" t="str">
        <f>IFERROR(__xludf.DUMMYFUNCTION("""COMPUTED_VALUE"""),"Elsa帳戶")</f>
        <v>Elsa帳戶</v>
      </c>
      <c r="G479" t="str">
        <f>IFERROR(__xludf.DUMMYFUNCTION("""COMPUTED_VALUE"""),"大湖山莊")</f>
        <v>大湖山莊</v>
      </c>
      <c r="H479" s="106" t="str">
        <f t="shared" si="1"/>
        <v>2024-06</v>
      </c>
      <c r="I479" s="271" t="str">
        <f>IFERROR(__xludf.DUMMYFUNCTION("""COMPUTED_VALUE"""),"貓狗企鵝")</f>
        <v>貓狗企鵝</v>
      </c>
      <c r="J479" t="str">
        <f>IFERROR(__xludf.DUMMYFUNCTION("IFS(
  AND(REGEXMATCH(E479, ""台銀籌備帳戶|玉山帳戶""), REGEXMATCH(C479, ""薪資"")), ""分潤支出"",
  AND(REGEXMATCH(E479, ""Ben帳戶|Elsa帳戶|Ben代墊|Ariel代墊|中信銀行共用""), REGEXMATCH(F479, ""Ben帳戶|Elsa帳戶|Ben代墊|Ariel代墊|中信銀行共用"")), ""內部轉帳(忽略)"",
  AND(E479&lt;&gt;"""", F479&lt;&gt;"""", NOT(REG"&amp;"EXMATCH(C479, ""薪資""))), ""內部轉帳(忽略)"",
  REGEXMATCH(C479, ""薪資""), ""薪資變動(不計入)"",
  REGEXMATCH(C479, ""押金""), ""押金往來"",
  AND(E479&lt;&gt;"""", F479=""""), ""真實支出"",
  AND(E479="""", F479&lt;&gt;""""), ""真實收入"",
  TRUE, ""其他""
)"),"真實支出")</f>
        <v>真實支出</v>
      </c>
      <c r="K479" s="270">
        <f t="shared" si="2"/>
        <v>-377</v>
      </c>
      <c r="L479">
        <f t="shared" si="3"/>
        <v>0</v>
      </c>
    </row>
    <row r="480">
      <c r="A480" s="107">
        <f>IFERROR(__xludf.DUMMYFUNCTION("""COMPUTED_VALUE"""),45468.0)</f>
        <v>45468</v>
      </c>
      <c r="B480" t="str">
        <f>IFERROR(__xludf.DUMMYFUNCTION("""COMPUTED_VALUE"""),"退押大湖C")</f>
        <v>退押大湖C</v>
      </c>
      <c r="C480" t="str">
        <f>IFERROR(__xludf.DUMMYFUNCTION("""COMPUTED_VALUE"""),"收入 - 押金")</f>
        <v>收入 - 押金</v>
      </c>
      <c r="D480" s="270">
        <f>IFERROR(__xludf.DUMMYFUNCTION("""COMPUTED_VALUE"""),-37715.0)</f>
        <v>-37715</v>
      </c>
      <c r="E480" t="str">
        <f>IFERROR(__xludf.DUMMYFUNCTION("""COMPUTED_VALUE"""),"台銀籌備帳戶")</f>
        <v>台銀籌備帳戶</v>
      </c>
      <c r="G480" t="str">
        <f>IFERROR(__xludf.DUMMYFUNCTION("""COMPUTED_VALUE"""),"大湖山莊")</f>
        <v>大湖山莊</v>
      </c>
      <c r="H480" s="106" t="str">
        <f t="shared" si="1"/>
        <v>2024-06</v>
      </c>
      <c r="I480" s="271" t="str">
        <f>IFERROR(__xludf.DUMMYFUNCTION("""COMPUTED_VALUE"""),"貓狗企鵝")</f>
        <v>貓狗企鵝</v>
      </c>
      <c r="J480" t="str">
        <f>IFERROR(__xludf.DUMMYFUNCTION("IFS(
  AND(REGEXMATCH(E480, ""台銀籌備帳戶|玉山帳戶""), REGEXMATCH(C480, ""薪資"")), ""分潤支出"",
  AND(REGEXMATCH(E480, ""Ben帳戶|Elsa帳戶|Ben代墊|Ariel代墊|中信銀行共用""), REGEXMATCH(F480, ""Ben帳戶|Elsa帳戶|Ben代墊|Ariel代墊|中信銀行共用"")), ""內部轉帳(忽略)"",
  AND(E480&lt;&gt;"""", F480&lt;&gt;"""", NOT(REG"&amp;"EXMATCH(C480, ""薪資""))), ""內部轉帳(忽略)"",
  REGEXMATCH(C480, ""薪資""), ""薪資變動(不計入)"",
  REGEXMATCH(C480, ""押金""), ""押金往來"",
  AND(E480&lt;&gt;"""", F480=""""), ""真實支出"",
  AND(E480="""", F480&lt;&gt;""""), ""真實收入"",
  TRUE, ""其他""
)"),"押金往來")</f>
        <v>押金往來</v>
      </c>
      <c r="K480">
        <f t="shared" si="2"/>
        <v>0</v>
      </c>
      <c r="L480">
        <f t="shared" si="3"/>
        <v>0</v>
      </c>
    </row>
    <row r="481">
      <c r="A481" s="107">
        <f>IFERROR(__xludf.DUMMYFUNCTION("""COMPUTED_VALUE"""),45470.0)</f>
        <v>45470</v>
      </c>
      <c r="B481" t="str">
        <f>IFERROR(__xludf.DUMMYFUNCTION("""COMPUTED_VALUE"""),"大道路 斡旋金")</f>
        <v>大道路 斡旋金</v>
      </c>
      <c r="C481" t="str">
        <f>IFERROR(__xludf.DUMMYFUNCTION("""COMPUTED_VALUE"""),"成本 - 仲介費")</f>
        <v>成本 - 仲介費</v>
      </c>
      <c r="D481" s="270">
        <f>IFERROR(__xludf.DUMMYFUNCTION("""COMPUTED_VALUE"""),4970.0)</f>
        <v>4970</v>
      </c>
      <c r="F481" t="str">
        <f>IFERROR(__xludf.DUMMYFUNCTION("""COMPUTED_VALUE"""),"Ben帳戶")</f>
        <v>Ben帳戶</v>
      </c>
      <c r="H481" s="106" t="str">
        <f t="shared" si="1"/>
        <v>2024-06</v>
      </c>
      <c r="I481" s="271" t="str">
        <f>IFERROR(__xludf.DUMMYFUNCTION("""COMPUTED_VALUE"""),"貓狗企鵝")</f>
        <v>貓狗企鵝</v>
      </c>
      <c r="J481" t="str">
        <f>IFERROR(__xludf.DUMMYFUNCTION("IFS(
  AND(REGEXMATCH(E481, ""台銀籌備帳戶|玉山帳戶""), REGEXMATCH(C481, ""薪資"")), ""分潤支出"",
  AND(REGEXMATCH(E481, ""Ben帳戶|Elsa帳戶|Ben代墊|Ariel代墊|中信銀行共用""), REGEXMATCH(F481, ""Ben帳戶|Elsa帳戶|Ben代墊|Ariel代墊|中信銀行共用"")), ""內部轉帳(忽略)"",
  AND(E481&lt;&gt;"""", F481&lt;&gt;"""", NOT(REG"&amp;"EXMATCH(C481, ""薪資""))), ""內部轉帳(忽略)"",
  REGEXMATCH(C481, ""薪資""), ""薪資變動(不計入)"",
  REGEXMATCH(C481, ""押金""), ""押金往來"",
  AND(E481&lt;&gt;"""", F481=""""), ""真實支出"",
  AND(E481="""", F481&lt;&gt;""""), ""真實收入"",
  TRUE, ""其他""
)"),"真實收入")</f>
        <v>真實收入</v>
      </c>
      <c r="K481" s="270">
        <f t="shared" si="2"/>
        <v>4970</v>
      </c>
      <c r="L481">
        <f t="shared" si="3"/>
        <v>0</v>
      </c>
    </row>
    <row r="482">
      <c r="A482" s="107">
        <f>IFERROR(__xludf.DUMMYFUNCTION("""COMPUTED_VALUE"""),45470.0)</f>
        <v>45470</v>
      </c>
      <c r="B482" t="str">
        <f>IFERROR(__xludf.DUMMYFUNCTION("""COMPUTED_VALUE"""),"經濟部-冷氣(個人)")</f>
        <v>經濟部-冷氣(個人)</v>
      </c>
      <c r="C482" t="str">
        <f>IFERROR(__xludf.DUMMYFUNCTION("""COMPUTED_VALUE"""),"收入 - 政府補助/退稅")</f>
        <v>收入 - 政府補助/退稅</v>
      </c>
      <c r="D482" s="270">
        <f>IFERROR(__xludf.DUMMYFUNCTION("""COMPUTED_VALUE"""),3000.0)</f>
        <v>3000</v>
      </c>
      <c r="F482" t="str">
        <f>IFERROR(__xludf.DUMMYFUNCTION("""COMPUTED_VALUE"""),"Elsa帳戶")</f>
        <v>Elsa帳戶</v>
      </c>
      <c r="G482" t="str">
        <f>IFERROR(__xludf.DUMMYFUNCTION("""COMPUTED_VALUE"""),"北醫醫師府")</f>
        <v>北醫醫師府</v>
      </c>
      <c r="H482" s="106" t="str">
        <f t="shared" si="1"/>
        <v>2024-06</v>
      </c>
      <c r="I482" s="271" t="str">
        <f>IFERROR(__xludf.DUMMYFUNCTION("""COMPUTED_VALUE"""),"貓狗企鵝")</f>
        <v>貓狗企鵝</v>
      </c>
      <c r="J482" t="str">
        <f>IFERROR(__xludf.DUMMYFUNCTION("IFS(
  AND(REGEXMATCH(E482, ""台銀籌備帳戶|玉山帳戶""), REGEXMATCH(C482, ""薪資"")), ""分潤支出"",
  AND(REGEXMATCH(E482, ""Ben帳戶|Elsa帳戶|Ben代墊|Ariel代墊|中信銀行共用""), REGEXMATCH(F482, ""Ben帳戶|Elsa帳戶|Ben代墊|Ariel代墊|中信銀行共用"")), ""內部轉帳(忽略)"",
  AND(E482&lt;&gt;"""", F482&lt;&gt;"""", NOT(REG"&amp;"EXMATCH(C482, ""薪資""))), ""內部轉帳(忽略)"",
  REGEXMATCH(C482, ""薪資""), ""薪資變動(不計入)"",
  REGEXMATCH(C482, ""押金""), ""押金往來"",
  AND(E482&lt;&gt;"""", F482=""""), ""真實支出"",
  AND(E482="""", F482&lt;&gt;""""), ""真實收入"",
  TRUE, ""其他""
)"),"真實收入")</f>
        <v>真實收入</v>
      </c>
      <c r="K482" s="270">
        <f t="shared" si="2"/>
        <v>3000</v>
      </c>
      <c r="L482">
        <f t="shared" si="3"/>
        <v>0</v>
      </c>
    </row>
    <row r="483">
      <c r="A483" s="107">
        <f>IFERROR(__xludf.DUMMYFUNCTION("""COMPUTED_VALUE"""),45470.0)</f>
        <v>45470</v>
      </c>
      <c r="B483" t="str">
        <f>IFERROR(__xludf.DUMMYFUNCTION("""COMPUTED_VALUE"""),"經濟部-冷氣(個人)")</f>
        <v>經濟部-冷氣(個人)</v>
      </c>
      <c r="C483" t="str">
        <f>IFERROR(__xludf.DUMMYFUNCTION("""COMPUTED_VALUE"""),"收入 - 政府補助/退稅")</f>
        <v>收入 - 政府補助/退稅</v>
      </c>
      <c r="D483" s="270">
        <f>IFERROR(__xludf.DUMMYFUNCTION("""COMPUTED_VALUE"""),3000.0)</f>
        <v>3000</v>
      </c>
      <c r="F483" t="str">
        <f>IFERROR(__xludf.DUMMYFUNCTION("""COMPUTED_VALUE"""),"Elsa帳戶")</f>
        <v>Elsa帳戶</v>
      </c>
      <c r="G483" t="str">
        <f>IFERROR(__xludf.DUMMYFUNCTION("""COMPUTED_VALUE"""),"北醫醫師府")</f>
        <v>北醫醫師府</v>
      </c>
      <c r="H483" s="106" t="str">
        <f t="shared" si="1"/>
        <v>2024-06</v>
      </c>
      <c r="I483" s="271" t="str">
        <f>IFERROR(__xludf.DUMMYFUNCTION("""COMPUTED_VALUE"""),"貓狗企鵝")</f>
        <v>貓狗企鵝</v>
      </c>
      <c r="J483" t="str">
        <f>IFERROR(__xludf.DUMMYFUNCTION("IFS(
  AND(REGEXMATCH(E483, ""台銀籌備帳戶|玉山帳戶""), REGEXMATCH(C483, ""薪資"")), ""分潤支出"",
  AND(REGEXMATCH(E483, ""Ben帳戶|Elsa帳戶|Ben代墊|Ariel代墊|中信銀行共用""), REGEXMATCH(F483, ""Ben帳戶|Elsa帳戶|Ben代墊|Ariel代墊|中信銀行共用"")), ""內部轉帳(忽略)"",
  AND(E483&lt;&gt;"""", F483&lt;&gt;"""", NOT(REG"&amp;"EXMATCH(C483, ""薪資""))), ""內部轉帳(忽略)"",
  REGEXMATCH(C483, ""薪資""), ""薪資變動(不計入)"",
  REGEXMATCH(C483, ""押金""), ""押金往來"",
  AND(E483&lt;&gt;"""", F483=""""), ""真實支出"",
  AND(E483="""", F483&lt;&gt;""""), ""真實收入"",
  TRUE, ""其他""
)"),"真實收入")</f>
        <v>真實收入</v>
      </c>
      <c r="K483" s="270">
        <f t="shared" si="2"/>
        <v>3000</v>
      </c>
      <c r="L483">
        <f t="shared" si="3"/>
        <v>0</v>
      </c>
    </row>
    <row r="484">
      <c r="A484" s="107">
        <f>IFERROR(__xludf.DUMMYFUNCTION("""COMPUTED_VALUE"""),45470.0)</f>
        <v>45470</v>
      </c>
      <c r="B484" t="str">
        <f>IFERROR(__xludf.DUMMYFUNCTION("""COMPUTED_VALUE"""),"經濟部-冷氣(個人)")</f>
        <v>經濟部-冷氣(個人)</v>
      </c>
      <c r="C484" t="str">
        <f>IFERROR(__xludf.DUMMYFUNCTION("""COMPUTED_VALUE"""),"收入 - 政府補助/退稅")</f>
        <v>收入 - 政府補助/退稅</v>
      </c>
      <c r="D484" s="270">
        <f>IFERROR(__xludf.DUMMYFUNCTION("""COMPUTED_VALUE"""),3000.0)</f>
        <v>3000</v>
      </c>
      <c r="F484" t="str">
        <f>IFERROR(__xludf.DUMMYFUNCTION("""COMPUTED_VALUE"""),"Elsa帳戶")</f>
        <v>Elsa帳戶</v>
      </c>
      <c r="G484" t="str">
        <f>IFERROR(__xludf.DUMMYFUNCTION("""COMPUTED_VALUE"""),"大湖山莊")</f>
        <v>大湖山莊</v>
      </c>
      <c r="H484" s="106" t="str">
        <f t="shared" si="1"/>
        <v>2024-06</v>
      </c>
      <c r="I484" s="271" t="str">
        <f>IFERROR(__xludf.DUMMYFUNCTION("""COMPUTED_VALUE"""),"貓狗企鵝")</f>
        <v>貓狗企鵝</v>
      </c>
      <c r="J484" t="str">
        <f>IFERROR(__xludf.DUMMYFUNCTION("IFS(
  AND(REGEXMATCH(E484, ""台銀籌備帳戶|玉山帳戶""), REGEXMATCH(C484, ""薪資"")), ""分潤支出"",
  AND(REGEXMATCH(E484, ""Ben帳戶|Elsa帳戶|Ben代墊|Ariel代墊|中信銀行共用""), REGEXMATCH(F484, ""Ben帳戶|Elsa帳戶|Ben代墊|Ariel代墊|中信銀行共用"")), ""內部轉帳(忽略)"",
  AND(E484&lt;&gt;"""", F484&lt;&gt;"""", NOT(REG"&amp;"EXMATCH(C484, ""薪資""))), ""內部轉帳(忽略)"",
  REGEXMATCH(C484, ""薪資""), ""薪資變動(不計入)"",
  REGEXMATCH(C484, ""押金""), ""押金往來"",
  AND(E484&lt;&gt;"""", F484=""""), ""真實支出"",
  AND(E484="""", F484&lt;&gt;""""), ""真實收入"",
  TRUE, ""其他""
)"),"真實收入")</f>
        <v>真實收入</v>
      </c>
      <c r="K484" s="270">
        <f t="shared" si="2"/>
        <v>3000</v>
      </c>
      <c r="L484">
        <f t="shared" si="3"/>
        <v>0</v>
      </c>
    </row>
    <row r="485">
      <c r="A485" s="107">
        <f>IFERROR(__xludf.DUMMYFUNCTION("""COMPUTED_VALUE"""),45470.0)</f>
        <v>45470</v>
      </c>
      <c r="B485" t="str">
        <f>IFERROR(__xludf.DUMMYFUNCTION("""COMPUTED_VALUE"""),"經濟部-冷氣(個人)")</f>
        <v>經濟部-冷氣(個人)</v>
      </c>
      <c r="C485" t="str">
        <f>IFERROR(__xludf.DUMMYFUNCTION("""COMPUTED_VALUE"""),"收入 - 政府補助/退稅")</f>
        <v>收入 - 政府補助/退稅</v>
      </c>
      <c r="D485" s="270">
        <f>IFERROR(__xludf.DUMMYFUNCTION("""COMPUTED_VALUE"""),3000.0)</f>
        <v>3000</v>
      </c>
      <c r="F485" t="str">
        <f>IFERROR(__xludf.DUMMYFUNCTION("""COMPUTED_VALUE"""),"Elsa帳戶")</f>
        <v>Elsa帳戶</v>
      </c>
      <c r="G485" t="str">
        <f>IFERROR(__xludf.DUMMYFUNCTION("""COMPUTED_VALUE"""),"大湖山莊")</f>
        <v>大湖山莊</v>
      </c>
      <c r="H485" s="106" t="str">
        <f t="shared" si="1"/>
        <v>2024-06</v>
      </c>
      <c r="I485" s="271" t="str">
        <f>IFERROR(__xludf.DUMMYFUNCTION("""COMPUTED_VALUE"""),"貓狗企鵝")</f>
        <v>貓狗企鵝</v>
      </c>
      <c r="J485" t="str">
        <f>IFERROR(__xludf.DUMMYFUNCTION("IFS(
  AND(REGEXMATCH(E485, ""台銀籌備帳戶|玉山帳戶""), REGEXMATCH(C485, ""薪資"")), ""分潤支出"",
  AND(REGEXMATCH(E485, ""Ben帳戶|Elsa帳戶|Ben代墊|Ariel代墊|中信銀行共用""), REGEXMATCH(F485, ""Ben帳戶|Elsa帳戶|Ben代墊|Ariel代墊|中信銀行共用"")), ""內部轉帳(忽略)"",
  AND(E485&lt;&gt;"""", F485&lt;&gt;"""", NOT(REG"&amp;"EXMATCH(C485, ""薪資""))), ""內部轉帳(忽略)"",
  REGEXMATCH(C485, ""薪資""), ""薪資變動(不計入)"",
  REGEXMATCH(C485, ""押金""), ""押金往來"",
  AND(E485&lt;&gt;"""", F485=""""), ""真實支出"",
  AND(E485="""", F485&lt;&gt;""""), ""真實收入"",
  TRUE, ""其他""
)"),"真實收入")</f>
        <v>真實收入</v>
      </c>
      <c r="K485" s="270">
        <f t="shared" si="2"/>
        <v>3000</v>
      </c>
      <c r="L485">
        <f t="shared" si="3"/>
        <v>0</v>
      </c>
    </row>
    <row r="486">
      <c r="A486" s="107">
        <f>IFERROR(__xludf.DUMMYFUNCTION("""COMPUTED_VALUE"""),45472.0)</f>
        <v>45472</v>
      </c>
      <c r="B486" t="str">
        <f>IFERROR(__xludf.DUMMYFUNCTION("""COMPUTED_VALUE"""),"吳興街 延長線")</f>
        <v>吳興街 延長線</v>
      </c>
      <c r="C486" t="str">
        <f>IFERROR(__xludf.DUMMYFUNCTION("""COMPUTED_VALUE"""),"成本 - 租後修繕")</f>
        <v>成本 - 租後修繕</v>
      </c>
      <c r="D486" s="270">
        <f>IFERROR(__xludf.DUMMYFUNCTION("""COMPUTED_VALUE"""),-208.0)</f>
        <v>-208</v>
      </c>
      <c r="E486" t="str">
        <f>IFERROR(__xludf.DUMMYFUNCTION("""COMPUTED_VALUE"""),"Ben帳戶")</f>
        <v>Ben帳戶</v>
      </c>
      <c r="G486" t="str">
        <f>IFERROR(__xludf.DUMMYFUNCTION("""COMPUTED_VALUE"""),"北醫醫師府")</f>
        <v>北醫醫師府</v>
      </c>
      <c r="H486" s="106" t="str">
        <f t="shared" si="1"/>
        <v>2024-06</v>
      </c>
      <c r="I486" s="271" t="str">
        <f>IFERROR(__xludf.DUMMYFUNCTION("""COMPUTED_VALUE"""),"貓狗企鵝")</f>
        <v>貓狗企鵝</v>
      </c>
      <c r="J486" t="str">
        <f>IFERROR(__xludf.DUMMYFUNCTION("IFS(
  AND(REGEXMATCH(E486, ""台銀籌備帳戶|玉山帳戶""), REGEXMATCH(C486, ""薪資"")), ""分潤支出"",
  AND(REGEXMATCH(E486, ""Ben帳戶|Elsa帳戶|Ben代墊|Ariel代墊|中信銀行共用""), REGEXMATCH(F486, ""Ben帳戶|Elsa帳戶|Ben代墊|Ariel代墊|中信銀行共用"")), ""內部轉帳(忽略)"",
  AND(E486&lt;&gt;"""", F486&lt;&gt;"""", NOT(REG"&amp;"EXMATCH(C486, ""薪資""))), ""內部轉帳(忽略)"",
  REGEXMATCH(C486, ""薪資""), ""薪資變動(不計入)"",
  REGEXMATCH(C486, ""押金""), ""押金往來"",
  AND(E486&lt;&gt;"""", F486=""""), ""真實支出"",
  AND(E486="""", F486&lt;&gt;""""), ""真實收入"",
  TRUE, ""其他""
)"),"真實支出")</f>
        <v>真實支出</v>
      </c>
      <c r="K486" s="270">
        <f t="shared" si="2"/>
        <v>-208</v>
      </c>
      <c r="L486">
        <f t="shared" si="3"/>
        <v>0</v>
      </c>
    </row>
    <row r="487">
      <c r="A487" s="107">
        <f>IFERROR(__xludf.DUMMYFUNCTION("""COMPUTED_VALUE"""),45472.0)</f>
        <v>45472</v>
      </c>
      <c r="B487" t="str">
        <f>IFERROR(__xludf.DUMMYFUNCTION("""COMPUTED_VALUE"""),"北醫熱水器")</f>
        <v>北醫熱水器</v>
      </c>
      <c r="C487" t="str">
        <f>IFERROR(__xludf.DUMMYFUNCTION("""COMPUTED_VALUE"""),"成本 - 租後修繕")</f>
        <v>成本 - 租後修繕</v>
      </c>
      <c r="D487" s="270">
        <f>IFERROR(__xludf.DUMMYFUNCTION("""COMPUTED_VALUE"""),-30815.0)</f>
        <v>-30815</v>
      </c>
      <c r="E487" t="str">
        <f>IFERROR(__xludf.DUMMYFUNCTION("""COMPUTED_VALUE"""),"台銀籌備帳戶")</f>
        <v>台銀籌備帳戶</v>
      </c>
      <c r="G487" t="str">
        <f>IFERROR(__xludf.DUMMYFUNCTION("""COMPUTED_VALUE"""),"北醫醫師府")</f>
        <v>北醫醫師府</v>
      </c>
      <c r="H487" s="106" t="str">
        <f t="shared" si="1"/>
        <v>2024-06</v>
      </c>
      <c r="I487" s="271" t="str">
        <f>IFERROR(__xludf.DUMMYFUNCTION("""COMPUTED_VALUE"""),"貓狗企鵝")</f>
        <v>貓狗企鵝</v>
      </c>
      <c r="J487" t="str">
        <f>IFERROR(__xludf.DUMMYFUNCTION("IFS(
  AND(REGEXMATCH(E487, ""台銀籌備帳戶|玉山帳戶""), REGEXMATCH(C487, ""薪資"")), ""分潤支出"",
  AND(REGEXMATCH(E487, ""Ben帳戶|Elsa帳戶|Ben代墊|Ariel代墊|中信銀行共用""), REGEXMATCH(F487, ""Ben帳戶|Elsa帳戶|Ben代墊|Ariel代墊|中信銀行共用"")), ""內部轉帳(忽略)"",
  AND(E487&lt;&gt;"""", F487&lt;&gt;"""", NOT(REG"&amp;"EXMATCH(C487, ""薪資""))), ""內部轉帳(忽略)"",
  REGEXMATCH(C487, ""薪資""), ""薪資變動(不計入)"",
  REGEXMATCH(C487, ""押金""), ""押金往來"",
  AND(E487&lt;&gt;"""", F487=""""), ""真實支出"",
  AND(E487="""", F487&lt;&gt;""""), ""真實收入"",
  TRUE, ""其他""
)"),"真實支出")</f>
        <v>真實支出</v>
      </c>
      <c r="K487" s="270">
        <f t="shared" si="2"/>
        <v>-30815</v>
      </c>
      <c r="L487">
        <f t="shared" si="3"/>
        <v>0</v>
      </c>
    </row>
    <row r="488">
      <c r="A488" s="107">
        <f>IFERROR(__xludf.DUMMYFUNCTION("""COMPUTED_VALUE"""),45473.0)</f>
        <v>45473</v>
      </c>
      <c r="B488" t="str">
        <f>IFERROR(__xludf.DUMMYFUNCTION("""COMPUTED_VALUE"""),"哈拉對面D柳翰洋")</f>
        <v>哈拉對面D柳翰洋</v>
      </c>
      <c r="C488" t="str">
        <f>IFERROR(__xludf.DUMMYFUNCTION("""COMPUTED_VALUE"""),"收入 - 租金")</f>
        <v>收入 - 租金</v>
      </c>
      <c r="D488" s="270">
        <f>IFERROR(__xludf.DUMMYFUNCTION("""COMPUTED_VALUE"""),12300.0)</f>
        <v>12300</v>
      </c>
      <c r="F488" t="str">
        <f>IFERROR(__xludf.DUMMYFUNCTION("""COMPUTED_VALUE"""),"台銀籌備帳戶")</f>
        <v>台銀籌備帳戶</v>
      </c>
      <c r="G488" t="str">
        <f>IFERROR(__xludf.DUMMYFUNCTION("""COMPUTED_VALUE"""),"哈拉對面")</f>
        <v>哈拉對面</v>
      </c>
      <c r="H488" s="106" t="str">
        <f t="shared" si="1"/>
        <v>2024-06</v>
      </c>
      <c r="I488" s="271" t="str">
        <f>IFERROR(__xludf.DUMMYFUNCTION("""COMPUTED_VALUE"""),"貓狗企鵝")</f>
        <v>貓狗企鵝</v>
      </c>
      <c r="J488" t="str">
        <f>IFERROR(__xludf.DUMMYFUNCTION("IFS(
  AND(REGEXMATCH(E488, ""台銀籌備帳戶|玉山帳戶""), REGEXMATCH(C488, ""薪資"")), ""分潤支出"",
  AND(REGEXMATCH(E488, ""Ben帳戶|Elsa帳戶|Ben代墊|Ariel代墊|中信銀行共用""), REGEXMATCH(F488, ""Ben帳戶|Elsa帳戶|Ben代墊|Ariel代墊|中信銀行共用"")), ""內部轉帳(忽略)"",
  AND(E488&lt;&gt;"""", F488&lt;&gt;"""", NOT(REG"&amp;"EXMATCH(C488, ""薪資""))), ""內部轉帳(忽略)"",
  REGEXMATCH(C488, ""薪資""), ""薪資變動(不計入)"",
  REGEXMATCH(C488, ""押金""), ""押金往來"",
  AND(E488&lt;&gt;"""", F488=""""), ""真實支出"",
  AND(E488="""", F488&lt;&gt;""""), ""真實收入"",
  TRUE, ""其他""
)"),"真實收入")</f>
        <v>真實收入</v>
      </c>
      <c r="K488" s="270">
        <f t="shared" si="2"/>
        <v>12300</v>
      </c>
      <c r="L488">
        <f t="shared" si="3"/>
        <v>0</v>
      </c>
    </row>
    <row r="489">
      <c r="A489" s="107">
        <f>IFERROR(__xludf.DUMMYFUNCTION("""COMPUTED_VALUE"""),45474.0)</f>
        <v>45474</v>
      </c>
      <c r="B489" t="str">
        <f>IFERROR(__xludf.DUMMYFUNCTION("""COMPUTED_VALUE"""),"北醫醫師府D劉怡秀")</f>
        <v>北醫醫師府D劉怡秀</v>
      </c>
      <c r="C489" t="str">
        <f>IFERROR(__xludf.DUMMYFUNCTION("""COMPUTED_VALUE"""),"收入 - 租金")</f>
        <v>收入 - 租金</v>
      </c>
      <c r="D489" s="270">
        <f>IFERROR(__xludf.DUMMYFUNCTION("""COMPUTED_VALUE"""),12000.0)</f>
        <v>12000</v>
      </c>
      <c r="F489" t="str">
        <f>IFERROR(__xludf.DUMMYFUNCTION("""COMPUTED_VALUE"""),"台銀籌備帳戶")</f>
        <v>台銀籌備帳戶</v>
      </c>
      <c r="G489" t="str">
        <f>IFERROR(__xludf.DUMMYFUNCTION("""COMPUTED_VALUE"""),"北醫醫師府")</f>
        <v>北醫醫師府</v>
      </c>
      <c r="H489" s="106" t="str">
        <f t="shared" si="1"/>
        <v>2024-07</v>
      </c>
      <c r="I489" s="271" t="str">
        <f>IFERROR(__xludf.DUMMYFUNCTION("""COMPUTED_VALUE"""),"貓狗企鵝")</f>
        <v>貓狗企鵝</v>
      </c>
      <c r="J489" t="str">
        <f>IFERROR(__xludf.DUMMYFUNCTION("IFS(
  AND(REGEXMATCH(E489, ""台銀籌備帳戶|玉山帳戶""), REGEXMATCH(C489, ""薪資"")), ""分潤支出"",
  AND(REGEXMATCH(E489, ""Ben帳戶|Elsa帳戶|Ben代墊|Ariel代墊|中信銀行共用""), REGEXMATCH(F489, ""Ben帳戶|Elsa帳戶|Ben代墊|Ariel代墊|中信銀行共用"")), ""內部轉帳(忽略)"",
  AND(E489&lt;&gt;"""", F489&lt;&gt;"""", NOT(REG"&amp;"EXMATCH(C489, ""薪資""))), ""內部轉帳(忽略)"",
  REGEXMATCH(C489, ""薪資""), ""薪資變動(不計入)"",
  REGEXMATCH(C489, ""押金""), ""押金往來"",
  AND(E489&lt;&gt;"""", F489=""""), ""真實支出"",
  AND(E489="""", F489&lt;&gt;""""), ""真實收入"",
  TRUE, ""其他""
)"),"真實收入")</f>
        <v>真實收入</v>
      </c>
      <c r="K489" s="270">
        <f t="shared" si="2"/>
        <v>12000</v>
      </c>
      <c r="L489">
        <f t="shared" si="3"/>
        <v>0</v>
      </c>
    </row>
    <row r="490">
      <c r="A490" s="107">
        <f>IFERROR(__xludf.DUMMYFUNCTION("""COMPUTED_VALUE"""),45474.0)</f>
        <v>45474</v>
      </c>
      <c r="B490" t="str">
        <f>IFERROR(__xludf.DUMMYFUNCTION("""COMPUTED_VALUE"""),"永春四號B袁家鳳")</f>
        <v>永春四號B袁家鳳</v>
      </c>
      <c r="C490" t="str">
        <f>IFERROR(__xludf.DUMMYFUNCTION("""COMPUTED_VALUE"""),"收入 - 租金")</f>
        <v>收入 - 租金</v>
      </c>
      <c r="D490" s="270">
        <f>IFERROR(__xludf.DUMMYFUNCTION("""COMPUTED_VALUE"""),13500.0)</f>
        <v>13500</v>
      </c>
      <c r="F490" t="str">
        <f>IFERROR(__xludf.DUMMYFUNCTION("""COMPUTED_VALUE"""),"台銀籌備帳戶")</f>
        <v>台銀籌備帳戶</v>
      </c>
      <c r="G490" t="str">
        <f>IFERROR(__xludf.DUMMYFUNCTION("""COMPUTED_VALUE"""),"永春四號")</f>
        <v>永春四號</v>
      </c>
      <c r="H490" s="106" t="str">
        <f t="shared" si="1"/>
        <v>2024-07</v>
      </c>
      <c r="I490" s="271" t="str">
        <f>IFERROR(__xludf.DUMMYFUNCTION("""COMPUTED_VALUE"""),"貓狗企鵝")</f>
        <v>貓狗企鵝</v>
      </c>
      <c r="J490" t="str">
        <f>IFERROR(__xludf.DUMMYFUNCTION("IFS(
  AND(REGEXMATCH(E490, ""台銀籌備帳戶|玉山帳戶""), REGEXMATCH(C490, ""薪資"")), ""分潤支出"",
  AND(REGEXMATCH(E490, ""Ben帳戶|Elsa帳戶|Ben代墊|Ariel代墊|中信銀行共用""), REGEXMATCH(F490, ""Ben帳戶|Elsa帳戶|Ben代墊|Ariel代墊|中信銀行共用"")), ""內部轉帳(忽略)"",
  AND(E490&lt;&gt;"""", F490&lt;&gt;"""", NOT(REG"&amp;"EXMATCH(C490, ""薪資""))), ""內部轉帳(忽略)"",
  REGEXMATCH(C490, ""薪資""), ""薪資變動(不計入)"",
  REGEXMATCH(C490, ""押金""), ""押金往來"",
  AND(E490&lt;&gt;"""", F490=""""), ""真實支出"",
  AND(E490="""", F490&lt;&gt;""""), ""真實收入"",
  TRUE, ""其他""
)"),"真實收入")</f>
        <v>真實收入</v>
      </c>
      <c r="K490" s="270">
        <f t="shared" si="2"/>
        <v>13500</v>
      </c>
      <c r="L490">
        <f t="shared" si="3"/>
        <v>0</v>
      </c>
    </row>
    <row r="491">
      <c r="A491" s="107">
        <f>IFERROR(__xludf.DUMMYFUNCTION("""COMPUTED_VALUE"""),45474.0)</f>
        <v>45474</v>
      </c>
      <c r="B491" t="str">
        <f>IFERROR(__xludf.DUMMYFUNCTION("""COMPUTED_VALUE"""),"龍江229A莊美娟")</f>
        <v>龍江229A莊美娟</v>
      </c>
      <c r="C491" t="str">
        <f>IFERROR(__xludf.DUMMYFUNCTION("""COMPUTED_VALUE"""),"收入 - 租金")</f>
        <v>收入 - 租金</v>
      </c>
      <c r="D491" s="270">
        <f>IFERROR(__xludf.DUMMYFUNCTION("""COMPUTED_VALUE"""),12800.0)</f>
        <v>12800</v>
      </c>
      <c r="F491" t="str">
        <f>IFERROR(__xludf.DUMMYFUNCTION("""COMPUTED_VALUE"""),"台銀籌備帳戶")</f>
        <v>台銀籌備帳戶</v>
      </c>
      <c r="G491" t="str">
        <f>IFERROR(__xludf.DUMMYFUNCTION("""COMPUTED_VALUE"""),"龍江229")</f>
        <v>龍江229</v>
      </c>
      <c r="H491" s="106" t="str">
        <f t="shared" si="1"/>
        <v>2024-07</v>
      </c>
      <c r="I491" s="271" t="str">
        <f>IFERROR(__xludf.DUMMYFUNCTION("""COMPUTED_VALUE"""),"貓狗企鵝")</f>
        <v>貓狗企鵝</v>
      </c>
      <c r="J491" t="str">
        <f>IFERROR(__xludf.DUMMYFUNCTION("IFS(
  AND(REGEXMATCH(E491, ""台銀籌備帳戶|玉山帳戶""), REGEXMATCH(C491, ""薪資"")), ""分潤支出"",
  AND(REGEXMATCH(E491, ""Ben帳戶|Elsa帳戶|Ben代墊|Ariel代墊|中信銀行共用""), REGEXMATCH(F491, ""Ben帳戶|Elsa帳戶|Ben代墊|Ariel代墊|中信銀行共用"")), ""內部轉帳(忽略)"",
  AND(E491&lt;&gt;"""", F491&lt;&gt;"""", NOT(REG"&amp;"EXMATCH(C491, ""薪資""))), ""內部轉帳(忽略)"",
  REGEXMATCH(C491, ""薪資""), ""薪資變動(不計入)"",
  REGEXMATCH(C491, ""押金""), ""押金往來"",
  AND(E491&lt;&gt;"""", F491=""""), ""真實支出"",
  AND(E491="""", F491&lt;&gt;""""), ""真實收入"",
  TRUE, ""其他""
)"),"真實收入")</f>
        <v>真實收入</v>
      </c>
      <c r="K491" s="270">
        <f t="shared" si="2"/>
        <v>12800</v>
      </c>
      <c r="L491">
        <f t="shared" si="3"/>
        <v>0</v>
      </c>
    </row>
    <row r="492">
      <c r="A492" s="107">
        <f>IFERROR(__xludf.DUMMYFUNCTION("""COMPUTED_VALUE"""),45474.0)</f>
        <v>45474</v>
      </c>
      <c r="B492" t="str">
        <f>IFERROR(__xludf.DUMMYFUNCTION("""COMPUTED_VALUE"""),"北醫醫師府C余典蓉")</f>
        <v>北醫醫師府C余典蓉</v>
      </c>
      <c r="C492" t="str">
        <f>IFERROR(__xludf.DUMMYFUNCTION("""COMPUTED_VALUE"""),"收入 - 租金")</f>
        <v>收入 - 租金</v>
      </c>
      <c r="D492" s="270">
        <f>IFERROR(__xludf.DUMMYFUNCTION("""COMPUTED_VALUE"""),13000.0)</f>
        <v>13000</v>
      </c>
      <c r="F492" t="str">
        <f>IFERROR(__xludf.DUMMYFUNCTION("""COMPUTED_VALUE"""),"台銀籌備帳戶")</f>
        <v>台銀籌備帳戶</v>
      </c>
      <c r="G492" t="str">
        <f>IFERROR(__xludf.DUMMYFUNCTION("""COMPUTED_VALUE"""),"北醫醫師府")</f>
        <v>北醫醫師府</v>
      </c>
      <c r="H492" s="106" t="str">
        <f t="shared" si="1"/>
        <v>2024-07</v>
      </c>
      <c r="I492" s="271" t="str">
        <f>IFERROR(__xludf.DUMMYFUNCTION("""COMPUTED_VALUE"""),"貓狗企鵝")</f>
        <v>貓狗企鵝</v>
      </c>
      <c r="J492" t="str">
        <f>IFERROR(__xludf.DUMMYFUNCTION("IFS(
  AND(REGEXMATCH(E492, ""台銀籌備帳戶|玉山帳戶""), REGEXMATCH(C492, ""薪資"")), ""分潤支出"",
  AND(REGEXMATCH(E492, ""Ben帳戶|Elsa帳戶|Ben代墊|Ariel代墊|中信銀行共用""), REGEXMATCH(F492, ""Ben帳戶|Elsa帳戶|Ben代墊|Ariel代墊|中信銀行共用"")), ""內部轉帳(忽略)"",
  AND(E492&lt;&gt;"""", F492&lt;&gt;"""", NOT(REG"&amp;"EXMATCH(C492, ""薪資""))), ""內部轉帳(忽略)"",
  REGEXMATCH(C492, ""薪資""), ""薪資變動(不計入)"",
  REGEXMATCH(C492, ""押金""), ""押金往來"",
  AND(E492&lt;&gt;"""", F492=""""), ""真實支出"",
  AND(E492="""", F492&lt;&gt;""""), ""真實收入"",
  TRUE, ""其他""
)"),"真實收入")</f>
        <v>真實收入</v>
      </c>
      <c r="K492" s="270">
        <f t="shared" si="2"/>
        <v>13000</v>
      </c>
      <c r="L492">
        <f t="shared" si="3"/>
        <v>0</v>
      </c>
    </row>
    <row r="493">
      <c r="A493" s="107">
        <f>IFERROR(__xludf.DUMMYFUNCTION("""COMPUTED_VALUE"""),45474.0)</f>
        <v>45474</v>
      </c>
      <c r="B493" t="str">
        <f>IFERROR(__xludf.DUMMYFUNCTION("""COMPUTED_VALUE"""),"哈拉大房租")</f>
        <v>哈拉大房租</v>
      </c>
      <c r="C493" t="str">
        <f>IFERROR(__xludf.DUMMYFUNCTION("""COMPUTED_VALUE"""),"成本 - 大租金")</f>
        <v>成本 - 大租金</v>
      </c>
      <c r="D493" s="270">
        <f>IFERROR(__xludf.DUMMYFUNCTION("""COMPUTED_VALUE"""),-25466.0)</f>
        <v>-25466</v>
      </c>
      <c r="E493" t="str">
        <f>IFERROR(__xludf.DUMMYFUNCTION("""COMPUTED_VALUE"""),"台銀籌備帳戶")</f>
        <v>台銀籌備帳戶</v>
      </c>
      <c r="G493" t="str">
        <f>IFERROR(__xludf.DUMMYFUNCTION("""COMPUTED_VALUE"""),"哈拉對面")</f>
        <v>哈拉對面</v>
      </c>
      <c r="H493" s="106" t="str">
        <f t="shared" si="1"/>
        <v>2024-07</v>
      </c>
      <c r="I493" s="271" t="str">
        <f>IFERROR(__xludf.DUMMYFUNCTION("""COMPUTED_VALUE"""),"貓狗企鵝")</f>
        <v>貓狗企鵝</v>
      </c>
      <c r="J493" t="str">
        <f>IFERROR(__xludf.DUMMYFUNCTION("IFS(
  AND(REGEXMATCH(E493, ""台銀籌備帳戶|玉山帳戶""), REGEXMATCH(C493, ""薪資"")), ""分潤支出"",
  AND(REGEXMATCH(E493, ""Ben帳戶|Elsa帳戶|Ben代墊|Ariel代墊|中信銀行共用""), REGEXMATCH(F493, ""Ben帳戶|Elsa帳戶|Ben代墊|Ariel代墊|中信銀行共用"")), ""內部轉帳(忽略)"",
  AND(E493&lt;&gt;"""", F493&lt;&gt;"""", NOT(REG"&amp;"EXMATCH(C493, ""薪資""))), ""內部轉帳(忽略)"",
  REGEXMATCH(C493, ""薪資""), ""薪資變動(不計入)"",
  REGEXMATCH(C493, ""押金""), ""押金往來"",
  AND(E493&lt;&gt;"""", F493=""""), ""真實支出"",
  AND(E493="""", F493&lt;&gt;""""), ""真實收入"",
  TRUE, ""其他""
)"),"真實支出")</f>
        <v>真實支出</v>
      </c>
      <c r="K493" s="270">
        <f t="shared" si="2"/>
        <v>-25466</v>
      </c>
      <c r="L493">
        <f t="shared" si="3"/>
        <v>0</v>
      </c>
    </row>
    <row r="494">
      <c r="A494" s="107">
        <f>IFERROR(__xludf.DUMMYFUNCTION("""COMPUTED_VALUE"""),45474.0)</f>
        <v>45474</v>
      </c>
      <c r="B494" t="str">
        <f>IFERROR(__xludf.DUMMYFUNCTION("""COMPUTED_VALUE"""),"大湖山莊房租")</f>
        <v>大湖山莊房租</v>
      </c>
      <c r="C494" t="str">
        <f>IFERROR(__xludf.DUMMYFUNCTION("""COMPUTED_VALUE"""),"成本 - 大租金")</f>
        <v>成本 - 大租金</v>
      </c>
      <c r="D494" s="270">
        <f>IFERROR(__xludf.DUMMYFUNCTION("""COMPUTED_VALUE"""),-34716.0)</f>
        <v>-34716</v>
      </c>
      <c r="E494" t="str">
        <f>IFERROR(__xludf.DUMMYFUNCTION("""COMPUTED_VALUE"""),"台銀籌備帳戶")</f>
        <v>台銀籌備帳戶</v>
      </c>
      <c r="G494" t="str">
        <f>IFERROR(__xludf.DUMMYFUNCTION("""COMPUTED_VALUE"""),"大湖山莊")</f>
        <v>大湖山莊</v>
      </c>
      <c r="H494" s="106" t="str">
        <f t="shared" si="1"/>
        <v>2024-07</v>
      </c>
      <c r="I494" s="271" t="str">
        <f>IFERROR(__xludf.DUMMYFUNCTION("""COMPUTED_VALUE"""),"貓狗企鵝")</f>
        <v>貓狗企鵝</v>
      </c>
      <c r="J494" t="str">
        <f>IFERROR(__xludf.DUMMYFUNCTION("IFS(
  AND(REGEXMATCH(E494, ""台銀籌備帳戶|玉山帳戶""), REGEXMATCH(C494, ""薪資"")), ""分潤支出"",
  AND(REGEXMATCH(E494, ""Ben帳戶|Elsa帳戶|Ben代墊|Ariel代墊|中信銀行共用""), REGEXMATCH(F494, ""Ben帳戶|Elsa帳戶|Ben代墊|Ariel代墊|中信銀行共用"")), ""內部轉帳(忽略)"",
  AND(E494&lt;&gt;"""", F494&lt;&gt;"""", NOT(REG"&amp;"EXMATCH(C494, ""薪資""))), ""內部轉帳(忽略)"",
  REGEXMATCH(C494, ""薪資""), ""薪資變動(不計入)"",
  REGEXMATCH(C494, ""押金""), ""押金往來"",
  AND(E494&lt;&gt;"""", F494=""""), ""真實支出"",
  AND(E494="""", F494&lt;&gt;""""), ""真實收入"",
  TRUE, ""其他""
)"),"真實支出")</f>
        <v>真實支出</v>
      </c>
      <c r="K494" s="270">
        <f t="shared" si="2"/>
        <v>-34716</v>
      </c>
      <c r="L494">
        <f t="shared" si="3"/>
        <v>0</v>
      </c>
    </row>
    <row r="495">
      <c r="A495" s="107">
        <f>IFERROR(__xludf.DUMMYFUNCTION("""COMPUTED_VALUE"""),45474.0)</f>
        <v>45474</v>
      </c>
      <c r="B495" t="str">
        <f>IFERROR(__xludf.DUMMYFUNCTION("""COMPUTED_VALUE"""),"龍江229游r")</f>
        <v>龍江229游r</v>
      </c>
      <c r="C495" t="str">
        <f>IFERROR(__xludf.DUMMYFUNCTION("""COMPUTED_VALUE"""),"成本 - 大租金")</f>
        <v>成本 - 大租金</v>
      </c>
      <c r="D495" s="270">
        <f>IFERROR(__xludf.DUMMYFUNCTION("""COMPUTED_VALUE"""),-24345.0)</f>
        <v>-24345</v>
      </c>
      <c r="E495" t="str">
        <f>IFERROR(__xludf.DUMMYFUNCTION("""COMPUTED_VALUE"""),"台銀籌備帳戶")</f>
        <v>台銀籌備帳戶</v>
      </c>
      <c r="G495" t="str">
        <f>IFERROR(__xludf.DUMMYFUNCTION("""COMPUTED_VALUE"""),"龍江229")</f>
        <v>龍江229</v>
      </c>
      <c r="H495" s="106" t="str">
        <f t="shared" si="1"/>
        <v>2024-07</v>
      </c>
      <c r="I495" s="271" t="str">
        <f>IFERROR(__xludf.DUMMYFUNCTION("""COMPUTED_VALUE"""),"貓狗企鵝")</f>
        <v>貓狗企鵝</v>
      </c>
      <c r="J495" t="str">
        <f>IFERROR(__xludf.DUMMYFUNCTION("IFS(
  AND(REGEXMATCH(E495, ""台銀籌備帳戶|玉山帳戶""), REGEXMATCH(C495, ""薪資"")), ""分潤支出"",
  AND(REGEXMATCH(E495, ""Ben帳戶|Elsa帳戶|Ben代墊|Ariel代墊|中信銀行共用""), REGEXMATCH(F495, ""Ben帳戶|Elsa帳戶|Ben代墊|Ariel代墊|中信銀行共用"")), ""內部轉帳(忽略)"",
  AND(E495&lt;&gt;"""", F495&lt;&gt;"""", NOT(REG"&amp;"EXMATCH(C495, ""薪資""))), ""內部轉帳(忽略)"",
  REGEXMATCH(C495, ""薪資""), ""薪資變動(不計入)"",
  REGEXMATCH(C495, ""押金""), ""押金往來"",
  AND(E495&lt;&gt;"""", F495=""""), ""真實支出"",
  AND(E495="""", F495&lt;&gt;""""), ""真實收入"",
  TRUE, ""其他""
)"),"真實支出")</f>
        <v>真實支出</v>
      </c>
      <c r="K495" s="270">
        <f t="shared" si="2"/>
        <v>-24345</v>
      </c>
      <c r="L495">
        <f t="shared" si="3"/>
        <v>0</v>
      </c>
    </row>
    <row r="496">
      <c r="A496" s="107">
        <f>IFERROR(__xludf.DUMMYFUNCTION("""COMPUTED_VALUE"""),45474.0)</f>
        <v>45474</v>
      </c>
      <c r="B496" t="str">
        <f>IFERROR(__xludf.DUMMYFUNCTION("""COMPUTED_VALUE"""),"永春郭大哥")</f>
        <v>永春郭大哥</v>
      </c>
      <c r="C496" t="str">
        <f>IFERROR(__xludf.DUMMYFUNCTION("""COMPUTED_VALUE"""),"成本 - 大租金")</f>
        <v>成本 - 大租金</v>
      </c>
      <c r="D496" s="270">
        <f>IFERROR(__xludf.DUMMYFUNCTION("""COMPUTED_VALUE"""),-17015.0)</f>
        <v>-17015</v>
      </c>
      <c r="E496" t="str">
        <f>IFERROR(__xludf.DUMMYFUNCTION("""COMPUTED_VALUE"""),"台銀籌備帳戶")</f>
        <v>台銀籌備帳戶</v>
      </c>
      <c r="G496" t="str">
        <f>IFERROR(__xludf.DUMMYFUNCTION("""COMPUTED_VALUE"""),"永春四號")</f>
        <v>永春四號</v>
      </c>
      <c r="H496" s="106" t="str">
        <f t="shared" si="1"/>
        <v>2024-07</v>
      </c>
      <c r="I496" s="271" t="str">
        <f>IFERROR(__xludf.DUMMYFUNCTION("""COMPUTED_VALUE"""),"貓狗企鵝")</f>
        <v>貓狗企鵝</v>
      </c>
      <c r="J496" t="str">
        <f>IFERROR(__xludf.DUMMYFUNCTION("IFS(
  AND(REGEXMATCH(E496, ""台銀籌備帳戶|玉山帳戶""), REGEXMATCH(C496, ""薪資"")), ""分潤支出"",
  AND(REGEXMATCH(E496, ""Ben帳戶|Elsa帳戶|Ben代墊|Ariel代墊|中信銀行共用""), REGEXMATCH(F496, ""Ben帳戶|Elsa帳戶|Ben代墊|Ariel代墊|中信銀行共用"")), ""內部轉帳(忽略)"",
  AND(E496&lt;&gt;"""", F496&lt;&gt;"""", NOT(REG"&amp;"EXMATCH(C496, ""薪資""))), ""內部轉帳(忽略)"",
  REGEXMATCH(C496, ""薪資""), ""薪資變動(不計入)"",
  REGEXMATCH(C496, ""押金""), ""押金往來"",
  AND(E496&lt;&gt;"""", F496=""""), ""真實支出"",
  AND(E496="""", F496&lt;&gt;""""), ""真實收入"",
  TRUE, ""其他""
)"),"真實支出")</f>
        <v>真實支出</v>
      </c>
      <c r="K496" s="270">
        <f t="shared" si="2"/>
        <v>-17015</v>
      </c>
      <c r="L496">
        <f t="shared" si="3"/>
        <v>0</v>
      </c>
    </row>
    <row r="497">
      <c r="A497" s="107">
        <f>IFERROR(__xludf.DUMMYFUNCTION("""COMPUTED_VALUE"""),45474.0)</f>
        <v>45474</v>
      </c>
      <c r="B497" t="str">
        <f>IFERROR(__xludf.DUMMYFUNCTION("""COMPUTED_VALUE"""),"永春郭大哥")</f>
        <v>永春郭大哥</v>
      </c>
      <c r="C497" t="str">
        <f>IFERROR(__xludf.DUMMYFUNCTION("""COMPUTED_VALUE"""),"成本 - 大租金")</f>
        <v>成本 - 大租金</v>
      </c>
      <c r="D497" s="270">
        <f>IFERROR(__xludf.DUMMYFUNCTION("""COMPUTED_VALUE"""),-17015.0)</f>
        <v>-17015</v>
      </c>
      <c r="E497" t="str">
        <f>IFERROR(__xludf.DUMMYFUNCTION("""COMPUTED_VALUE"""),"台銀籌備帳戶")</f>
        <v>台銀籌備帳戶</v>
      </c>
      <c r="G497" t="str">
        <f>IFERROR(__xludf.DUMMYFUNCTION("""COMPUTED_VALUE"""),"永春四號")</f>
        <v>永春四號</v>
      </c>
      <c r="H497" s="106" t="str">
        <f t="shared" si="1"/>
        <v>2024-07</v>
      </c>
      <c r="I497" s="271" t="str">
        <f>IFERROR(__xludf.DUMMYFUNCTION("""COMPUTED_VALUE"""),"貓狗企鵝")</f>
        <v>貓狗企鵝</v>
      </c>
      <c r="J497" t="str">
        <f>IFERROR(__xludf.DUMMYFUNCTION("IFS(
  AND(REGEXMATCH(E497, ""台銀籌備帳戶|玉山帳戶""), REGEXMATCH(C497, ""薪資"")), ""分潤支出"",
  AND(REGEXMATCH(E497, ""Ben帳戶|Elsa帳戶|Ben代墊|Ariel代墊|中信銀行共用""), REGEXMATCH(F497, ""Ben帳戶|Elsa帳戶|Ben代墊|Ariel代墊|中信銀行共用"")), ""內部轉帳(忽略)"",
  AND(E497&lt;&gt;"""", F497&lt;&gt;"""", NOT(REG"&amp;"EXMATCH(C497, ""薪資""))), ""內部轉帳(忽略)"",
  REGEXMATCH(C497, ""薪資""), ""薪資變動(不計入)"",
  REGEXMATCH(C497, ""押金""), ""押金往來"",
  AND(E497&lt;&gt;"""", F497=""""), ""真實支出"",
  AND(E497="""", F497&lt;&gt;""""), ""真實收入"",
  TRUE, ""其他""
)"),"真實支出")</f>
        <v>真實支出</v>
      </c>
      <c r="K497" s="270">
        <f t="shared" si="2"/>
        <v>-17015</v>
      </c>
      <c r="L497">
        <f t="shared" si="3"/>
        <v>0</v>
      </c>
    </row>
    <row r="498">
      <c r="A498" s="107">
        <f>IFERROR(__xludf.DUMMYFUNCTION("""COMPUTED_VALUE"""),45474.0)</f>
        <v>45474</v>
      </c>
      <c r="B498" t="str">
        <f>IFERROR(__xludf.DUMMYFUNCTION("""COMPUTED_VALUE"""),"北醫吳醫師")</f>
        <v>北醫吳醫師</v>
      </c>
      <c r="C498" t="str">
        <f>IFERROR(__xludf.DUMMYFUNCTION("""COMPUTED_VALUE"""),"成本 - 大租金")</f>
        <v>成本 - 大租金</v>
      </c>
      <c r="D498" s="270">
        <f>IFERROR(__xludf.DUMMYFUNCTION("""COMPUTED_VALUE"""),-25075.0)</f>
        <v>-25075</v>
      </c>
      <c r="E498" t="str">
        <f>IFERROR(__xludf.DUMMYFUNCTION("""COMPUTED_VALUE"""),"台銀籌備帳戶")</f>
        <v>台銀籌備帳戶</v>
      </c>
      <c r="G498" t="str">
        <f>IFERROR(__xludf.DUMMYFUNCTION("""COMPUTED_VALUE"""),"北醫醫師府")</f>
        <v>北醫醫師府</v>
      </c>
      <c r="H498" s="106" t="str">
        <f t="shared" si="1"/>
        <v>2024-07</v>
      </c>
      <c r="I498" s="271" t="str">
        <f>IFERROR(__xludf.DUMMYFUNCTION("""COMPUTED_VALUE"""),"貓狗企鵝")</f>
        <v>貓狗企鵝</v>
      </c>
      <c r="J498" t="str">
        <f>IFERROR(__xludf.DUMMYFUNCTION("IFS(
  AND(REGEXMATCH(E498, ""台銀籌備帳戶|玉山帳戶""), REGEXMATCH(C498, ""薪資"")), ""分潤支出"",
  AND(REGEXMATCH(E498, ""Ben帳戶|Elsa帳戶|Ben代墊|Ariel代墊|中信銀行共用""), REGEXMATCH(F498, ""Ben帳戶|Elsa帳戶|Ben代墊|Ariel代墊|中信銀行共用"")), ""內部轉帳(忽略)"",
  AND(E498&lt;&gt;"""", F498&lt;&gt;"""", NOT(REG"&amp;"EXMATCH(C498, ""薪資""))), ""內部轉帳(忽略)"",
  REGEXMATCH(C498, ""薪資""), ""薪資變動(不計入)"",
  REGEXMATCH(C498, ""押金""), ""押金往來"",
  AND(E498&lt;&gt;"""", F498=""""), ""真實支出"",
  AND(E498="""", F498&lt;&gt;""""), ""真實收入"",
  TRUE, ""其他""
)"),"真實支出")</f>
        <v>真實支出</v>
      </c>
      <c r="K498" s="270">
        <f t="shared" si="2"/>
        <v>-25075</v>
      </c>
      <c r="L498">
        <f t="shared" si="3"/>
        <v>0</v>
      </c>
    </row>
    <row r="499">
      <c r="A499" s="107">
        <f>IFERROR(__xludf.DUMMYFUNCTION("""COMPUTED_VALUE"""),45474.0)</f>
        <v>45474</v>
      </c>
      <c r="B499" t="str">
        <f>IFERROR(__xludf.DUMMYFUNCTION("""COMPUTED_VALUE"""),"我裝潢代墊款")</f>
        <v>我裝潢代墊款</v>
      </c>
      <c r="C499" t="str">
        <f>IFERROR(__xludf.DUMMYFUNCTION("""COMPUTED_VALUE"""),"費用 - Salary 薪資")</f>
        <v>費用 - Salary 薪資</v>
      </c>
      <c r="D499" s="270">
        <f>IFERROR(__xludf.DUMMYFUNCTION("""COMPUTED_VALUE"""),-200015.0)</f>
        <v>-200015</v>
      </c>
      <c r="E499" t="str">
        <f>IFERROR(__xludf.DUMMYFUNCTION("""COMPUTED_VALUE"""),"台銀籌備帳戶")</f>
        <v>台銀籌備帳戶</v>
      </c>
      <c r="F499" t="str">
        <f>IFERROR(__xludf.DUMMYFUNCTION("""COMPUTED_VALUE"""),"Ben帳戶")</f>
        <v>Ben帳戶</v>
      </c>
      <c r="H499" s="106" t="str">
        <f t="shared" si="1"/>
        <v>2024-07</v>
      </c>
      <c r="I499" s="271" t="str">
        <f>IFERROR(__xludf.DUMMYFUNCTION("""COMPUTED_VALUE"""),"貓狗企鵝")</f>
        <v>貓狗企鵝</v>
      </c>
      <c r="J499" t="str">
        <f>IFERROR(__xludf.DUMMYFUNCTION("IFS(
  AND(REGEXMATCH(E499, ""台銀籌備帳戶|玉山帳戶""), REGEXMATCH(C499, ""薪資"")), ""分潤支出"",
  AND(REGEXMATCH(E499, ""Ben帳戶|Elsa帳戶|Ben代墊|Ariel代墊|中信銀行共用""), REGEXMATCH(F499, ""Ben帳戶|Elsa帳戶|Ben代墊|Ariel代墊|中信銀行共用"")), ""內部轉帳(忽略)"",
  AND(E499&lt;&gt;"""", F499&lt;&gt;"""", NOT(REG"&amp;"EXMATCH(C499, ""薪資""))), ""內部轉帳(忽略)"",
  REGEXMATCH(C499, ""薪資""), ""薪資變動(不計入)"",
  REGEXMATCH(C499, ""押金""), ""押金往來"",
  AND(E499&lt;&gt;"""", F499=""""), ""真實支出"",
  AND(E499="""", F499&lt;&gt;""""), ""真實收入"",
  TRUE, ""其他""
)"),"分潤支出")</f>
        <v>分潤支出</v>
      </c>
      <c r="K499">
        <f t="shared" si="2"/>
        <v>0</v>
      </c>
      <c r="L499">
        <f t="shared" si="3"/>
        <v>200015</v>
      </c>
    </row>
    <row r="500">
      <c r="A500" s="107">
        <f>IFERROR(__xludf.DUMMYFUNCTION("""COMPUTED_VALUE"""),45474.0)</f>
        <v>45474</v>
      </c>
      <c r="B500" t="str">
        <f>IFERROR(__xludf.DUMMYFUNCTION("""COMPUTED_VALUE"""),"哈拉對面A李柏緯")</f>
        <v>哈拉對面A李柏緯</v>
      </c>
      <c r="C500" t="str">
        <f>IFERROR(__xludf.DUMMYFUNCTION("""COMPUTED_VALUE"""),"收入 - 租金")</f>
        <v>收入 - 租金</v>
      </c>
      <c r="D500" s="270">
        <f>IFERROR(__xludf.DUMMYFUNCTION("""COMPUTED_VALUE"""),11300.0)</f>
        <v>11300</v>
      </c>
      <c r="F500" t="str">
        <f>IFERROR(__xludf.DUMMYFUNCTION("""COMPUTED_VALUE"""),"台銀籌備帳戶")</f>
        <v>台銀籌備帳戶</v>
      </c>
      <c r="G500" t="str">
        <f>IFERROR(__xludf.DUMMYFUNCTION("""COMPUTED_VALUE"""),"哈拉對面")</f>
        <v>哈拉對面</v>
      </c>
      <c r="H500" s="106" t="str">
        <f t="shared" si="1"/>
        <v>2024-07</v>
      </c>
      <c r="I500" s="271" t="str">
        <f>IFERROR(__xludf.DUMMYFUNCTION("""COMPUTED_VALUE"""),"貓狗企鵝")</f>
        <v>貓狗企鵝</v>
      </c>
      <c r="J500" t="str">
        <f>IFERROR(__xludf.DUMMYFUNCTION("IFS(
  AND(REGEXMATCH(E500, ""台銀籌備帳戶|玉山帳戶""), REGEXMATCH(C500, ""薪資"")), ""分潤支出"",
  AND(REGEXMATCH(E500, ""Ben帳戶|Elsa帳戶|Ben代墊|Ariel代墊|中信銀行共用""), REGEXMATCH(F500, ""Ben帳戶|Elsa帳戶|Ben代墊|Ariel代墊|中信銀行共用"")), ""內部轉帳(忽略)"",
  AND(E500&lt;&gt;"""", F500&lt;&gt;"""", NOT(REG"&amp;"EXMATCH(C500, ""薪資""))), ""內部轉帳(忽略)"",
  REGEXMATCH(C500, ""薪資""), ""薪資變動(不計入)"",
  REGEXMATCH(C500, ""押金""), ""押金往來"",
  AND(E500&lt;&gt;"""", F500=""""), ""真實支出"",
  AND(E500="""", F500&lt;&gt;""""), ""真實收入"",
  TRUE, ""其他""
)"),"真實收入")</f>
        <v>真實收入</v>
      </c>
      <c r="K500" s="270">
        <f t="shared" si="2"/>
        <v>11300</v>
      </c>
      <c r="L500">
        <f t="shared" si="3"/>
        <v>0</v>
      </c>
    </row>
    <row r="501">
      <c r="A501" s="107">
        <f>IFERROR(__xludf.DUMMYFUNCTION("""COMPUTED_VALUE"""),45474.0)</f>
        <v>45474</v>
      </c>
      <c r="B501" t="str">
        <f>IFERROR(__xludf.DUMMYFUNCTION("""COMPUTED_VALUE"""),"北醫醫師府B王品涵")</f>
        <v>北醫醫師府B王品涵</v>
      </c>
      <c r="C501" t="str">
        <f>IFERROR(__xludf.DUMMYFUNCTION("""COMPUTED_VALUE"""),"收入 - 租金")</f>
        <v>收入 - 租金</v>
      </c>
      <c r="D501" s="270">
        <f>IFERROR(__xludf.DUMMYFUNCTION("""COMPUTED_VALUE"""),17800.0)</f>
        <v>17800</v>
      </c>
      <c r="F501" t="str">
        <f>IFERROR(__xludf.DUMMYFUNCTION("""COMPUTED_VALUE"""),"台銀籌備帳戶")</f>
        <v>台銀籌備帳戶</v>
      </c>
      <c r="G501" t="str">
        <f>IFERROR(__xludf.DUMMYFUNCTION("""COMPUTED_VALUE"""),"北醫醫師府")</f>
        <v>北醫醫師府</v>
      </c>
      <c r="H501" s="106" t="str">
        <f t="shared" si="1"/>
        <v>2024-07</v>
      </c>
      <c r="I501" s="271" t="str">
        <f>IFERROR(__xludf.DUMMYFUNCTION("""COMPUTED_VALUE"""),"貓狗企鵝")</f>
        <v>貓狗企鵝</v>
      </c>
      <c r="J501" t="str">
        <f>IFERROR(__xludf.DUMMYFUNCTION("IFS(
  AND(REGEXMATCH(E501, ""台銀籌備帳戶|玉山帳戶""), REGEXMATCH(C501, ""薪資"")), ""分潤支出"",
  AND(REGEXMATCH(E501, ""Ben帳戶|Elsa帳戶|Ben代墊|Ariel代墊|中信銀行共用""), REGEXMATCH(F501, ""Ben帳戶|Elsa帳戶|Ben代墊|Ariel代墊|中信銀行共用"")), ""內部轉帳(忽略)"",
  AND(E501&lt;&gt;"""", F501&lt;&gt;"""", NOT(REG"&amp;"EXMATCH(C501, ""薪資""))), ""內部轉帳(忽略)"",
  REGEXMATCH(C501, ""薪資""), ""薪資變動(不計入)"",
  REGEXMATCH(C501, ""押金""), ""押金往來"",
  AND(E501&lt;&gt;"""", F501=""""), ""真實支出"",
  AND(E501="""", F501&lt;&gt;""""), ""真實收入"",
  TRUE, ""其他""
)"),"真實收入")</f>
        <v>真實收入</v>
      </c>
      <c r="K501" s="270">
        <f t="shared" si="2"/>
        <v>17800</v>
      </c>
      <c r="L501">
        <f t="shared" si="3"/>
        <v>0</v>
      </c>
    </row>
    <row r="502">
      <c r="A502" s="107">
        <f>IFERROR(__xludf.DUMMYFUNCTION("""COMPUTED_VALUE"""),45474.0)</f>
        <v>45474</v>
      </c>
      <c r="B502" t="str">
        <f>IFERROR(__xludf.DUMMYFUNCTION("""COMPUTED_VALUE"""),"哈拉對面C徐鉦庭")</f>
        <v>哈拉對面C徐鉦庭</v>
      </c>
      <c r="C502" t="str">
        <f>IFERROR(__xludf.DUMMYFUNCTION("""COMPUTED_VALUE"""),"收入 - 租金")</f>
        <v>收入 - 租金</v>
      </c>
      <c r="D502" s="270">
        <f>IFERROR(__xludf.DUMMYFUNCTION("""COMPUTED_VALUE"""),11800.0)</f>
        <v>11800</v>
      </c>
      <c r="F502" t="str">
        <f>IFERROR(__xludf.DUMMYFUNCTION("""COMPUTED_VALUE"""),"台銀籌備帳戶")</f>
        <v>台銀籌備帳戶</v>
      </c>
      <c r="G502" t="str">
        <f>IFERROR(__xludf.DUMMYFUNCTION("""COMPUTED_VALUE"""),"哈拉對面")</f>
        <v>哈拉對面</v>
      </c>
      <c r="H502" s="106" t="str">
        <f t="shared" si="1"/>
        <v>2024-07</v>
      </c>
      <c r="I502" s="271" t="str">
        <f>IFERROR(__xludf.DUMMYFUNCTION("""COMPUTED_VALUE"""),"貓狗企鵝")</f>
        <v>貓狗企鵝</v>
      </c>
      <c r="J502" t="str">
        <f>IFERROR(__xludf.DUMMYFUNCTION("IFS(
  AND(REGEXMATCH(E502, ""台銀籌備帳戶|玉山帳戶""), REGEXMATCH(C502, ""薪資"")), ""分潤支出"",
  AND(REGEXMATCH(E502, ""Ben帳戶|Elsa帳戶|Ben代墊|Ariel代墊|中信銀行共用""), REGEXMATCH(F502, ""Ben帳戶|Elsa帳戶|Ben代墊|Ariel代墊|中信銀行共用"")), ""內部轉帳(忽略)"",
  AND(E502&lt;&gt;"""", F502&lt;&gt;"""", NOT(REG"&amp;"EXMATCH(C502, ""薪資""))), ""內部轉帳(忽略)"",
  REGEXMATCH(C502, ""薪資""), ""薪資變動(不計入)"",
  REGEXMATCH(C502, ""押金""), ""押金往來"",
  AND(E502&lt;&gt;"""", F502=""""), ""真實支出"",
  AND(E502="""", F502&lt;&gt;""""), ""真實收入"",
  TRUE, ""其他""
)"),"真實收入")</f>
        <v>真實收入</v>
      </c>
      <c r="K502" s="270">
        <f t="shared" si="2"/>
        <v>11800</v>
      </c>
      <c r="L502">
        <f t="shared" si="3"/>
        <v>0</v>
      </c>
    </row>
    <row r="503">
      <c r="A503" s="107">
        <f>IFERROR(__xludf.DUMMYFUNCTION("""COMPUTED_VALUE"""),45474.0)</f>
        <v>45474</v>
      </c>
      <c r="B503" t="str">
        <f>IFERROR(__xludf.DUMMYFUNCTION("""COMPUTED_VALUE"""),"永春四號D翁政熙")</f>
        <v>永春四號D翁政熙</v>
      </c>
      <c r="C503" t="str">
        <f>IFERROR(__xludf.DUMMYFUNCTION("""COMPUTED_VALUE"""),"收入 - 租金")</f>
        <v>收入 - 租金</v>
      </c>
      <c r="D503" s="270">
        <f>IFERROR(__xludf.DUMMYFUNCTION("""COMPUTED_VALUE"""),14800.0)</f>
        <v>14800</v>
      </c>
      <c r="F503" t="str">
        <f>IFERROR(__xludf.DUMMYFUNCTION("""COMPUTED_VALUE"""),"台銀籌備帳戶")</f>
        <v>台銀籌備帳戶</v>
      </c>
      <c r="G503" t="str">
        <f>IFERROR(__xludf.DUMMYFUNCTION("""COMPUTED_VALUE"""),"永春四號")</f>
        <v>永春四號</v>
      </c>
      <c r="H503" s="106" t="str">
        <f t="shared" si="1"/>
        <v>2024-07</v>
      </c>
      <c r="I503" s="271" t="str">
        <f>IFERROR(__xludf.DUMMYFUNCTION("""COMPUTED_VALUE"""),"貓狗企鵝")</f>
        <v>貓狗企鵝</v>
      </c>
      <c r="J503" t="str">
        <f>IFERROR(__xludf.DUMMYFUNCTION("IFS(
  AND(REGEXMATCH(E503, ""台銀籌備帳戶|玉山帳戶""), REGEXMATCH(C503, ""薪資"")), ""分潤支出"",
  AND(REGEXMATCH(E503, ""Ben帳戶|Elsa帳戶|Ben代墊|Ariel代墊|中信銀行共用""), REGEXMATCH(F503, ""Ben帳戶|Elsa帳戶|Ben代墊|Ariel代墊|中信銀行共用"")), ""內部轉帳(忽略)"",
  AND(E503&lt;&gt;"""", F503&lt;&gt;"""", NOT(REG"&amp;"EXMATCH(C503, ""薪資""))), ""內部轉帳(忽略)"",
  REGEXMATCH(C503, ""薪資""), ""薪資變動(不計入)"",
  REGEXMATCH(C503, ""押金""), ""押金往來"",
  AND(E503&lt;&gt;"""", F503=""""), ""真實支出"",
  AND(E503="""", F503&lt;&gt;""""), ""真實收入"",
  TRUE, ""其他""
)"),"真實收入")</f>
        <v>真實收入</v>
      </c>
      <c r="K503" s="270">
        <f t="shared" si="2"/>
        <v>14800</v>
      </c>
      <c r="L503">
        <f t="shared" si="3"/>
        <v>0</v>
      </c>
    </row>
    <row r="504">
      <c r="A504" s="107">
        <f>IFERROR(__xludf.DUMMYFUNCTION("""COMPUTED_VALUE"""),45474.0)</f>
        <v>45474</v>
      </c>
      <c r="B504" t="str">
        <f>IFERROR(__xludf.DUMMYFUNCTION("""COMPUTED_VALUE"""),"北醫醫師府E洪睿佑")</f>
        <v>北醫醫師府E洪睿佑</v>
      </c>
      <c r="C504" t="str">
        <f>IFERROR(__xludf.DUMMYFUNCTION("""COMPUTED_VALUE"""),"收入 - 租金")</f>
        <v>收入 - 租金</v>
      </c>
      <c r="D504" s="270">
        <f>IFERROR(__xludf.DUMMYFUNCTION("""COMPUTED_VALUE"""),14800.0)</f>
        <v>14800</v>
      </c>
      <c r="F504" t="str">
        <f>IFERROR(__xludf.DUMMYFUNCTION("""COMPUTED_VALUE"""),"台銀籌備帳戶")</f>
        <v>台銀籌備帳戶</v>
      </c>
      <c r="G504" t="str">
        <f>IFERROR(__xludf.DUMMYFUNCTION("""COMPUTED_VALUE"""),"北醫醫師府")</f>
        <v>北醫醫師府</v>
      </c>
      <c r="H504" s="106" t="str">
        <f t="shared" si="1"/>
        <v>2024-07</v>
      </c>
      <c r="I504" s="271" t="str">
        <f>IFERROR(__xludf.DUMMYFUNCTION("""COMPUTED_VALUE"""),"貓狗企鵝")</f>
        <v>貓狗企鵝</v>
      </c>
      <c r="J504" t="str">
        <f>IFERROR(__xludf.DUMMYFUNCTION("IFS(
  AND(REGEXMATCH(E504, ""台銀籌備帳戶|玉山帳戶""), REGEXMATCH(C504, ""薪資"")), ""分潤支出"",
  AND(REGEXMATCH(E504, ""Ben帳戶|Elsa帳戶|Ben代墊|Ariel代墊|中信銀行共用""), REGEXMATCH(F504, ""Ben帳戶|Elsa帳戶|Ben代墊|Ariel代墊|中信銀行共用"")), ""內部轉帳(忽略)"",
  AND(E504&lt;&gt;"""", F504&lt;&gt;"""", NOT(REG"&amp;"EXMATCH(C504, ""薪資""))), ""內部轉帳(忽略)"",
  REGEXMATCH(C504, ""薪資""), ""薪資變動(不計入)"",
  REGEXMATCH(C504, ""押金""), ""押金往來"",
  AND(E504&lt;&gt;"""", F504=""""), ""真實支出"",
  AND(E504="""", F504&lt;&gt;""""), ""真實收入"",
  TRUE, ""其他""
)"),"真實收入")</f>
        <v>真實收入</v>
      </c>
      <c r="K504" s="270">
        <f t="shared" si="2"/>
        <v>14800</v>
      </c>
      <c r="L504">
        <f t="shared" si="3"/>
        <v>0</v>
      </c>
    </row>
    <row r="505">
      <c r="A505" s="107">
        <f>IFERROR(__xludf.DUMMYFUNCTION("""COMPUTED_VALUE"""),45474.0)</f>
        <v>45474</v>
      </c>
      <c r="B505" t="str">
        <f>IFERROR(__xludf.DUMMYFUNCTION("""COMPUTED_VALUE"""),"大湖山莊B施惠卿")</f>
        <v>大湖山莊B施惠卿</v>
      </c>
      <c r="C505" t="str">
        <f>IFERROR(__xludf.DUMMYFUNCTION("""COMPUTED_VALUE"""),"收入 - 租金")</f>
        <v>收入 - 租金</v>
      </c>
      <c r="D505" s="270">
        <f>IFERROR(__xludf.DUMMYFUNCTION("""COMPUTED_VALUE"""),12800.0)</f>
        <v>12800</v>
      </c>
      <c r="F505" t="str">
        <f>IFERROR(__xludf.DUMMYFUNCTION("""COMPUTED_VALUE"""),"台銀籌備帳戶")</f>
        <v>台銀籌備帳戶</v>
      </c>
      <c r="G505" t="str">
        <f>IFERROR(__xludf.DUMMYFUNCTION("""COMPUTED_VALUE"""),"大湖山莊")</f>
        <v>大湖山莊</v>
      </c>
      <c r="H505" s="106" t="str">
        <f t="shared" si="1"/>
        <v>2024-07</v>
      </c>
      <c r="I505" s="271" t="str">
        <f>IFERROR(__xludf.DUMMYFUNCTION("""COMPUTED_VALUE"""),"貓狗企鵝")</f>
        <v>貓狗企鵝</v>
      </c>
      <c r="J505" t="str">
        <f>IFERROR(__xludf.DUMMYFUNCTION("IFS(
  AND(REGEXMATCH(E505, ""台銀籌備帳戶|玉山帳戶""), REGEXMATCH(C505, ""薪資"")), ""分潤支出"",
  AND(REGEXMATCH(E505, ""Ben帳戶|Elsa帳戶|Ben代墊|Ariel代墊|中信銀行共用""), REGEXMATCH(F505, ""Ben帳戶|Elsa帳戶|Ben代墊|Ariel代墊|中信銀行共用"")), ""內部轉帳(忽略)"",
  AND(E505&lt;&gt;"""", F505&lt;&gt;"""", NOT(REG"&amp;"EXMATCH(C505, ""薪資""))), ""內部轉帳(忽略)"",
  REGEXMATCH(C505, ""薪資""), ""薪資變動(不計入)"",
  REGEXMATCH(C505, ""押金""), ""押金往來"",
  AND(E505&lt;&gt;"""", F505=""""), ""真實支出"",
  AND(E505="""", F505&lt;&gt;""""), ""真實收入"",
  TRUE, ""其他""
)"),"真實收入")</f>
        <v>真實收入</v>
      </c>
      <c r="K505" s="270">
        <f t="shared" si="2"/>
        <v>12800</v>
      </c>
      <c r="L505">
        <f t="shared" si="3"/>
        <v>0</v>
      </c>
    </row>
    <row r="506">
      <c r="A506" s="107">
        <f>IFERROR(__xludf.DUMMYFUNCTION("""COMPUTED_VALUE"""),45474.0)</f>
        <v>45474</v>
      </c>
      <c r="B506" t="str">
        <f>IFERROR(__xludf.DUMMYFUNCTION("""COMPUTED_VALUE"""),"大湖山莊G林文心")</f>
        <v>大湖山莊G林文心</v>
      </c>
      <c r="C506" t="str">
        <f>IFERROR(__xludf.DUMMYFUNCTION("""COMPUTED_VALUE"""),"收入 - 租金")</f>
        <v>收入 - 租金</v>
      </c>
      <c r="D506" s="270">
        <f>IFERROR(__xludf.DUMMYFUNCTION("""COMPUTED_VALUE"""),15000.0)</f>
        <v>15000</v>
      </c>
      <c r="F506" t="str">
        <f>IFERROR(__xludf.DUMMYFUNCTION("""COMPUTED_VALUE"""),"台銀籌備帳戶")</f>
        <v>台銀籌備帳戶</v>
      </c>
      <c r="G506" t="str">
        <f>IFERROR(__xludf.DUMMYFUNCTION("""COMPUTED_VALUE"""),"大湖山莊")</f>
        <v>大湖山莊</v>
      </c>
      <c r="H506" s="106" t="str">
        <f t="shared" si="1"/>
        <v>2024-07</v>
      </c>
      <c r="I506" s="271" t="str">
        <f>IFERROR(__xludf.DUMMYFUNCTION("""COMPUTED_VALUE"""),"貓狗企鵝")</f>
        <v>貓狗企鵝</v>
      </c>
      <c r="J506" t="str">
        <f>IFERROR(__xludf.DUMMYFUNCTION("IFS(
  AND(REGEXMATCH(E506, ""台銀籌備帳戶|玉山帳戶""), REGEXMATCH(C506, ""薪資"")), ""分潤支出"",
  AND(REGEXMATCH(E506, ""Ben帳戶|Elsa帳戶|Ben代墊|Ariel代墊|中信銀行共用""), REGEXMATCH(F506, ""Ben帳戶|Elsa帳戶|Ben代墊|Ariel代墊|中信銀行共用"")), ""內部轉帳(忽略)"",
  AND(E506&lt;&gt;"""", F506&lt;&gt;"""", NOT(REG"&amp;"EXMATCH(C506, ""薪資""))), ""內部轉帳(忽略)"",
  REGEXMATCH(C506, ""薪資""), ""薪資變動(不計入)"",
  REGEXMATCH(C506, ""押金""), ""押金往來"",
  AND(E506&lt;&gt;"""", F506=""""), ""真實支出"",
  AND(E506="""", F506&lt;&gt;""""), ""真實收入"",
  TRUE, ""其他""
)"),"真實收入")</f>
        <v>真實收入</v>
      </c>
      <c r="K506" s="270">
        <f t="shared" si="2"/>
        <v>15000</v>
      </c>
      <c r="L506">
        <f t="shared" si="3"/>
        <v>0</v>
      </c>
    </row>
    <row r="507">
      <c r="A507" s="107">
        <f>IFERROR(__xludf.DUMMYFUNCTION("""COMPUTED_VALUE"""),45474.0)</f>
        <v>45474</v>
      </c>
      <c r="B507" t="str">
        <f>IFERROR(__xludf.DUMMYFUNCTION("""COMPUTED_VALUE"""),"永春四號A辜馨嬅")</f>
        <v>永春四號A辜馨嬅</v>
      </c>
      <c r="C507" t="str">
        <f>IFERROR(__xludf.DUMMYFUNCTION("""COMPUTED_VALUE"""),"收入 - 租金")</f>
        <v>收入 - 租金</v>
      </c>
      <c r="D507" s="270">
        <f>IFERROR(__xludf.DUMMYFUNCTION("""COMPUTED_VALUE"""),77400.0)</f>
        <v>77400</v>
      </c>
      <c r="F507" t="str">
        <f>IFERROR(__xludf.DUMMYFUNCTION("""COMPUTED_VALUE"""),"台銀籌備帳戶")</f>
        <v>台銀籌備帳戶</v>
      </c>
      <c r="G507" t="str">
        <f>IFERROR(__xludf.DUMMYFUNCTION("""COMPUTED_VALUE"""),"永春四號")</f>
        <v>永春四號</v>
      </c>
      <c r="H507" s="106" t="str">
        <f t="shared" si="1"/>
        <v>2024-07</v>
      </c>
      <c r="I507" s="271" t="str">
        <f>IFERROR(__xludf.DUMMYFUNCTION("""COMPUTED_VALUE"""),"貓狗企鵝")</f>
        <v>貓狗企鵝</v>
      </c>
      <c r="J507" t="str">
        <f>IFERROR(__xludf.DUMMYFUNCTION("IFS(
  AND(REGEXMATCH(E507, ""台銀籌備帳戶|玉山帳戶""), REGEXMATCH(C507, ""薪資"")), ""分潤支出"",
  AND(REGEXMATCH(E507, ""Ben帳戶|Elsa帳戶|Ben代墊|Ariel代墊|中信銀行共用""), REGEXMATCH(F507, ""Ben帳戶|Elsa帳戶|Ben代墊|Ariel代墊|中信銀行共用"")), ""內部轉帳(忽略)"",
  AND(E507&lt;&gt;"""", F507&lt;&gt;"""", NOT(REG"&amp;"EXMATCH(C507, ""薪資""))), ""內部轉帳(忽略)"",
  REGEXMATCH(C507, ""薪資""), ""薪資變動(不計入)"",
  REGEXMATCH(C507, ""押金""), ""押金往來"",
  AND(E507&lt;&gt;"""", F507=""""), ""真實支出"",
  AND(E507="""", F507&lt;&gt;""""), ""真實收入"",
  TRUE, ""其他""
)"),"真實收入")</f>
        <v>真實收入</v>
      </c>
      <c r="K507" s="270">
        <f t="shared" si="2"/>
        <v>77400</v>
      </c>
      <c r="L507">
        <f t="shared" si="3"/>
        <v>0</v>
      </c>
    </row>
    <row r="508">
      <c r="A508" s="107">
        <f>IFERROR(__xludf.DUMMYFUNCTION("""COMPUTED_VALUE"""),45474.0)</f>
        <v>45474</v>
      </c>
      <c r="B508" t="str">
        <f>IFERROR(__xludf.DUMMYFUNCTION("""COMPUTED_VALUE"""),"永春四號C林聿妡")</f>
        <v>永春四號C林聿妡</v>
      </c>
      <c r="C508" t="str">
        <f>IFERROR(__xludf.DUMMYFUNCTION("""COMPUTED_VALUE"""),"收入 - 租金")</f>
        <v>收入 - 租金</v>
      </c>
      <c r="D508" s="270">
        <f>IFERROR(__xludf.DUMMYFUNCTION("""COMPUTED_VALUE"""),13300.0)</f>
        <v>13300</v>
      </c>
      <c r="F508" t="str">
        <f>IFERROR(__xludf.DUMMYFUNCTION("""COMPUTED_VALUE"""),"台銀籌備帳戶")</f>
        <v>台銀籌備帳戶</v>
      </c>
      <c r="G508" t="str">
        <f>IFERROR(__xludf.DUMMYFUNCTION("""COMPUTED_VALUE"""),"永春四號")</f>
        <v>永春四號</v>
      </c>
      <c r="H508" s="106" t="str">
        <f t="shared" si="1"/>
        <v>2024-07</v>
      </c>
      <c r="I508" s="271" t="str">
        <f>IFERROR(__xludf.DUMMYFUNCTION("""COMPUTED_VALUE"""),"貓狗企鵝")</f>
        <v>貓狗企鵝</v>
      </c>
      <c r="J508" t="str">
        <f>IFERROR(__xludf.DUMMYFUNCTION("IFS(
  AND(REGEXMATCH(E508, ""台銀籌備帳戶|玉山帳戶""), REGEXMATCH(C508, ""薪資"")), ""分潤支出"",
  AND(REGEXMATCH(E508, ""Ben帳戶|Elsa帳戶|Ben代墊|Ariel代墊|中信銀行共用""), REGEXMATCH(F508, ""Ben帳戶|Elsa帳戶|Ben代墊|Ariel代墊|中信銀行共用"")), ""內部轉帳(忽略)"",
  AND(E508&lt;&gt;"""", F508&lt;&gt;"""", NOT(REG"&amp;"EXMATCH(C508, ""薪資""))), ""內部轉帳(忽略)"",
  REGEXMATCH(C508, ""薪資""), ""薪資變動(不計入)"",
  REGEXMATCH(C508, ""押金""), ""押金往來"",
  AND(E508&lt;&gt;"""", F508=""""), ""真實支出"",
  AND(E508="""", F508&lt;&gt;""""), ""真實收入"",
  TRUE, ""其他""
)"),"真實收入")</f>
        <v>真實收入</v>
      </c>
      <c r="K508" s="270">
        <f t="shared" si="2"/>
        <v>13300</v>
      </c>
      <c r="L508">
        <f t="shared" si="3"/>
        <v>0</v>
      </c>
    </row>
    <row r="509">
      <c r="A509" s="107">
        <f>IFERROR(__xludf.DUMMYFUNCTION("""COMPUTED_VALUE"""),45474.0)</f>
        <v>45474</v>
      </c>
      <c r="B509" t="str">
        <f>IFERROR(__xludf.DUMMYFUNCTION("""COMPUTED_VALUE"""),"大湖山莊E吳彥霆")</f>
        <v>大湖山莊E吳彥霆</v>
      </c>
      <c r="C509" t="str">
        <f>IFERROR(__xludf.DUMMYFUNCTION("""COMPUTED_VALUE"""),"收入 - 租金")</f>
        <v>收入 - 租金</v>
      </c>
      <c r="D509" s="270">
        <f>IFERROR(__xludf.DUMMYFUNCTION("""COMPUTED_VALUE"""),12500.0)</f>
        <v>12500</v>
      </c>
      <c r="F509" t="str">
        <f>IFERROR(__xludf.DUMMYFUNCTION("""COMPUTED_VALUE"""),"台銀籌備帳戶")</f>
        <v>台銀籌備帳戶</v>
      </c>
      <c r="G509" t="str">
        <f>IFERROR(__xludf.DUMMYFUNCTION("""COMPUTED_VALUE"""),"大湖山莊")</f>
        <v>大湖山莊</v>
      </c>
      <c r="H509" s="106" t="str">
        <f t="shared" si="1"/>
        <v>2024-07</v>
      </c>
      <c r="I509" s="271" t="str">
        <f>IFERROR(__xludf.DUMMYFUNCTION("""COMPUTED_VALUE"""),"貓狗企鵝")</f>
        <v>貓狗企鵝</v>
      </c>
      <c r="J509" t="str">
        <f>IFERROR(__xludf.DUMMYFUNCTION("IFS(
  AND(REGEXMATCH(E509, ""台銀籌備帳戶|玉山帳戶""), REGEXMATCH(C509, ""薪資"")), ""分潤支出"",
  AND(REGEXMATCH(E509, ""Ben帳戶|Elsa帳戶|Ben代墊|Ariel代墊|中信銀行共用""), REGEXMATCH(F509, ""Ben帳戶|Elsa帳戶|Ben代墊|Ariel代墊|中信銀行共用"")), ""內部轉帳(忽略)"",
  AND(E509&lt;&gt;"""", F509&lt;&gt;"""", NOT(REG"&amp;"EXMATCH(C509, ""薪資""))), ""內部轉帳(忽略)"",
  REGEXMATCH(C509, ""薪資""), ""薪資變動(不計入)"",
  REGEXMATCH(C509, ""押金""), ""押金往來"",
  AND(E509&lt;&gt;"""", F509=""""), ""真實支出"",
  AND(E509="""", F509&lt;&gt;""""), ""真實收入"",
  TRUE, ""其他""
)"),"真實收入")</f>
        <v>真實收入</v>
      </c>
      <c r="K509" s="270">
        <f t="shared" si="2"/>
        <v>12500</v>
      </c>
      <c r="L509">
        <f t="shared" si="3"/>
        <v>0</v>
      </c>
    </row>
    <row r="510">
      <c r="A510" s="107">
        <f>IFERROR(__xludf.DUMMYFUNCTION("""COMPUTED_VALUE"""),45474.0)</f>
        <v>45474</v>
      </c>
      <c r="B510" t="str">
        <f>IFERROR(__xludf.DUMMYFUNCTION("""COMPUTED_VALUE"""),"龍江229D黃依婷")</f>
        <v>龍江229D黃依婷</v>
      </c>
      <c r="C510" t="str">
        <f>IFERROR(__xludf.DUMMYFUNCTION("""COMPUTED_VALUE"""),"收入 - 租金")</f>
        <v>收入 - 租金</v>
      </c>
      <c r="D510" s="270">
        <f>IFERROR(__xludf.DUMMYFUNCTION("""COMPUTED_VALUE"""),13300.0)</f>
        <v>13300</v>
      </c>
      <c r="F510" t="str">
        <f>IFERROR(__xludf.DUMMYFUNCTION("""COMPUTED_VALUE"""),"台銀籌備帳戶")</f>
        <v>台銀籌備帳戶</v>
      </c>
      <c r="G510" t="str">
        <f>IFERROR(__xludf.DUMMYFUNCTION("""COMPUTED_VALUE"""),"龍江229")</f>
        <v>龍江229</v>
      </c>
      <c r="H510" s="106" t="str">
        <f t="shared" si="1"/>
        <v>2024-07</v>
      </c>
      <c r="I510" s="271" t="str">
        <f>IFERROR(__xludf.DUMMYFUNCTION("""COMPUTED_VALUE"""),"貓狗企鵝")</f>
        <v>貓狗企鵝</v>
      </c>
      <c r="J510" t="str">
        <f>IFERROR(__xludf.DUMMYFUNCTION("IFS(
  AND(REGEXMATCH(E510, ""台銀籌備帳戶|玉山帳戶""), REGEXMATCH(C510, ""薪資"")), ""分潤支出"",
  AND(REGEXMATCH(E510, ""Ben帳戶|Elsa帳戶|Ben代墊|Ariel代墊|中信銀行共用""), REGEXMATCH(F510, ""Ben帳戶|Elsa帳戶|Ben代墊|Ariel代墊|中信銀行共用"")), ""內部轉帳(忽略)"",
  AND(E510&lt;&gt;"""", F510&lt;&gt;"""", NOT(REG"&amp;"EXMATCH(C510, ""薪資""))), ""內部轉帳(忽略)"",
  REGEXMATCH(C510, ""薪資""), ""薪資變動(不計入)"",
  REGEXMATCH(C510, ""押金""), ""押金往來"",
  AND(E510&lt;&gt;"""", F510=""""), ""真實支出"",
  AND(E510="""", F510&lt;&gt;""""), ""真實收入"",
  TRUE, ""其他""
)"),"真實收入")</f>
        <v>真實收入</v>
      </c>
      <c r="K510" s="270">
        <f t="shared" si="2"/>
        <v>13300</v>
      </c>
      <c r="L510">
        <f t="shared" si="3"/>
        <v>0</v>
      </c>
    </row>
    <row r="511">
      <c r="A511" s="107">
        <f>IFERROR(__xludf.DUMMYFUNCTION("""COMPUTED_VALUE"""),45475.0)</f>
        <v>45475</v>
      </c>
      <c r="B511" t="str">
        <f>IFERROR(__xludf.DUMMYFUNCTION("""COMPUTED_VALUE"""),"Elsa 代墊款")</f>
        <v>Elsa 代墊款</v>
      </c>
      <c r="C511" t="str">
        <f>IFERROR(__xludf.DUMMYFUNCTION("""COMPUTED_VALUE"""),"費用 - Salary 薪資")</f>
        <v>費用 - Salary 薪資</v>
      </c>
      <c r="D511" s="270">
        <f>IFERROR(__xludf.DUMMYFUNCTION("""COMPUTED_VALUE"""),-100000.0)</f>
        <v>-100000</v>
      </c>
      <c r="E511" t="str">
        <f>IFERROR(__xludf.DUMMYFUNCTION("""COMPUTED_VALUE"""),"Ben帳戶")</f>
        <v>Ben帳戶</v>
      </c>
      <c r="F511" t="str">
        <f>IFERROR(__xludf.DUMMYFUNCTION("""COMPUTED_VALUE"""),"Elsa帳戶")</f>
        <v>Elsa帳戶</v>
      </c>
      <c r="H511" s="106" t="str">
        <f t="shared" si="1"/>
        <v>2024-07</v>
      </c>
      <c r="I511" s="271" t="str">
        <f>IFERROR(__xludf.DUMMYFUNCTION("""COMPUTED_VALUE"""),"貓狗企鵝")</f>
        <v>貓狗企鵝</v>
      </c>
      <c r="J511" t="str">
        <f>IFERROR(__xludf.DUMMYFUNCTION("IFS(
  AND(REGEXMATCH(E511, ""台銀籌備帳戶|玉山帳戶""), REGEXMATCH(C511, ""薪資"")), ""分潤支出"",
  AND(REGEXMATCH(E511, ""Ben帳戶|Elsa帳戶|Ben代墊|Ariel代墊|中信銀行共用""), REGEXMATCH(F511, ""Ben帳戶|Elsa帳戶|Ben代墊|Ariel代墊|中信銀行共用"")), ""內部轉帳(忽略)"",
  AND(E511&lt;&gt;"""", F511&lt;&gt;"""", NOT(REG"&amp;"EXMATCH(C511, ""薪資""))), ""內部轉帳(忽略)"",
  REGEXMATCH(C511, ""薪資""), ""薪資變動(不計入)"",
  REGEXMATCH(C511, ""押金""), ""押金往來"",
  AND(E511&lt;&gt;"""", F511=""""), ""真實支出"",
  AND(E511="""", F511&lt;&gt;""""), ""真實收入"",
  TRUE, ""其他""
)"),"內部轉帳(忽略)")</f>
        <v>內部轉帳(忽略)</v>
      </c>
      <c r="K511">
        <f t="shared" si="2"/>
        <v>0</v>
      </c>
      <c r="L511">
        <f t="shared" si="3"/>
        <v>0</v>
      </c>
    </row>
    <row r="512">
      <c r="A512" s="107">
        <f>IFERROR(__xludf.DUMMYFUNCTION("""COMPUTED_VALUE"""),45475.0)</f>
        <v>45475</v>
      </c>
      <c r="B512" t="str">
        <f>IFERROR(__xludf.DUMMYFUNCTION("""COMPUTED_VALUE"""),"龍江229C陳雨彤")</f>
        <v>龍江229C陳雨彤</v>
      </c>
      <c r="C512" t="str">
        <f>IFERROR(__xludf.DUMMYFUNCTION("""COMPUTED_VALUE"""),"收入 - 租金")</f>
        <v>收入 - 租金</v>
      </c>
      <c r="D512" s="270">
        <f>IFERROR(__xludf.DUMMYFUNCTION("""COMPUTED_VALUE"""),16800.0)</f>
        <v>16800</v>
      </c>
      <c r="F512" t="str">
        <f>IFERROR(__xludf.DUMMYFUNCTION("""COMPUTED_VALUE"""),"台銀籌備帳戶")</f>
        <v>台銀籌備帳戶</v>
      </c>
      <c r="G512" t="str">
        <f>IFERROR(__xludf.DUMMYFUNCTION("""COMPUTED_VALUE"""),"龍江229")</f>
        <v>龍江229</v>
      </c>
      <c r="H512" s="106" t="str">
        <f t="shared" si="1"/>
        <v>2024-07</v>
      </c>
      <c r="I512" s="271" t="str">
        <f>IFERROR(__xludf.DUMMYFUNCTION("""COMPUTED_VALUE"""),"貓狗企鵝")</f>
        <v>貓狗企鵝</v>
      </c>
      <c r="J512" t="str">
        <f>IFERROR(__xludf.DUMMYFUNCTION("IFS(
  AND(REGEXMATCH(E512, ""台銀籌備帳戶|玉山帳戶""), REGEXMATCH(C512, ""薪資"")), ""分潤支出"",
  AND(REGEXMATCH(E512, ""Ben帳戶|Elsa帳戶|Ben代墊|Ariel代墊|中信銀行共用""), REGEXMATCH(F512, ""Ben帳戶|Elsa帳戶|Ben代墊|Ariel代墊|中信銀行共用"")), ""內部轉帳(忽略)"",
  AND(E512&lt;&gt;"""", F512&lt;&gt;"""", NOT(REG"&amp;"EXMATCH(C512, ""薪資""))), ""內部轉帳(忽略)"",
  REGEXMATCH(C512, ""薪資""), ""薪資變動(不計入)"",
  REGEXMATCH(C512, ""押金""), ""押金往來"",
  AND(E512&lt;&gt;"""", F512=""""), ""真實支出"",
  AND(E512="""", F512&lt;&gt;""""), ""真實收入"",
  TRUE, ""其他""
)"),"真實收入")</f>
        <v>真實收入</v>
      </c>
      <c r="K512" s="270">
        <f t="shared" si="2"/>
        <v>16800</v>
      </c>
      <c r="L512">
        <f t="shared" si="3"/>
        <v>0</v>
      </c>
    </row>
    <row r="513">
      <c r="A513" s="107">
        <f>IFERROR(__xludf.DUMMYFUNCTION("""COMPUTED_VALUE"""),45475.0)</f>
        <v>45475</v>
      </c>
      <c r="B513" t="str">
        <f>IFERROR(__xludf.DUMMYFUNCTION("""COMPUTED_VALUE"""),"龍江229B陳佩娟")</f>
        <v>龍江229B陳佩娟</v>
      </c>
      <c r="C513" t="str">
        <f>IFERROR(__xludf.DUMMYFUNCTION("""COMPUTED_VALUE"""),"收入 - 租金")</f>
        <v>收入 - 租金</v>
      </c>
      <c r="D513" s="270">
        <f>IFERROR(__xludf.DUMMYFUNCTION("""COMPUTED_VALUE"""),13000.0)</f>
        <v>13000</v>
      </c>
      <c r="F513" t="str">
        <f>IFERROR(__xludf.DUMMYFUNCTION("""COMPUTED_VALUE"""),"台銀籌備帳戶")</f>
        <v>台銀籌備帳戶</v>
      </c>
      <c r="G513" t="str">
        <f>IFERROR(__xludf.DUMMYFUNCTION("""COMPUTED_VALUE"""),"龍江229")</f>
        <v>龍江229</v>
      </c>
      <c r="H513" s="106" t="str">
        <f t="shared" si="1"/>
        <v>2024-07</v>
      </c>
      <c r="I513" s="271" t="str">
        <f>IFERROR(__xludf.DUMMYFUNCTION("""COMPUTED_VALUE"""),"貓狗企鵝")</f>
        <v>貓狗企鵝</v>
      </c>
      <c r="J513" t="str">
        <f>IFERROR(__xludf.DUMMYFUNCTION("IFS(
  AND(REGEXMATCH(E513, ""台銀籌備帳戶|玉山帳戶""), REGEXMATCH(C513, ""薪資"")), ""分潤支出"",
  AND(REGEXMATCH(E513, ""Ben帳戶|Elsa帳戶|Ben代墊|Ariel代墊|中信銀行共用""), REGEXMATCH(F513, ""Ben帳戶|Elsa帳戶|Ben代墊|Ariel代墊|中信銀行共用"")), ""內部轉帳(忽略)"",
  AND(E513&lt;&gt;"""", F513&lt;&gt;"""", NOT(REG"&amp;"EXMATCH(C513, ""薪資""))), ""內部轉帳(忽略)"",
  REGEXMATCH(C513, ""薪資""), ""薪資變動(不計入)"",
  REGEXMATCH(C513, ""押金""), ""押金往來"",
  AND(E513&lt;&gt;"""", F513=""""), ""真實支出"",
  AND(E513="""", F513&lt;&gt;""""), ""真實收入"",
  TRUE, ""其他""
)"),"真實收入")</f>
        <v>真實收入</v>
      </c>
      <c r="K513" s="270">
        <f t="shared" si="2"/>
        <v>13000</v>
      </c>
      <c r="L513">
        <f t="shared" si="3"/>
        <v>0</v>
      </c>
    </row>
    <row r="514">
      <c r="A514" s="107">
        <f>IFERROR(__xludf.DUMMYFUNCTION("""COMPUTED_VALUE"""),45475.0)</f>
        <v>45475</v>
      </c>
      <c r="B514" t="str">
        <f>IFERROR(__xludf.DUMMYFUNCTION("""COMPUTED_VALUE"""),"北醫醫師府A鄭伊彤")</f>
        <v>北醫醫師府A鄭伊彤</v>
      </c>
      <c r="C514" t="str">
        <f>IFERROR(__xludf.DUMMYFUNCTION("""COMPUTED_VALUE"""),"收入 - 租金")</f>
        <v>收入 - 租金</v>
      </c>
      <c r="D514" s="270">
        <f>IFERROR(__xludf.DUMMYFUNCTION("""COMPUTED_VALUE"""),13500.0)</f>
        <v>13500</v>
      </c>
      <c r="F514" t="str">
        <f>IFERROR(__xludf.DUMMYFUNCTION("""COMPUTED_VALUE"""),"台銀籌備帳戶")</f>
        <v>台銀籌備帳戶</v>
      </c>
      <c r="G514" t="str">
        <f>IFERROR(__xludf.DUMMYFUNCTION("""COMPUTED_VALUE"""),"北醫醫師府")</f>
        <v>北醫醫師府</v>
      </c>
      <c r="H514" s="106" t="str">
        <f t="shared" si="1"/>
        <v>2024-07</v>
      </c>
      <c r="I514" s="271" t="str">
        <f>IFERROR(__xludf.DUMMYFUNCTION("""COMPUTED_VALUE"""),"貓狗企鵝")</f>
        <v>貓狗企鵝</v>
      </c>
      <c r="J514" t="str">
        <f>IFERROR(__xludf.DUMMYFUNCTION("IFS(
  AND(REGEXMATCH(E514, ""台銀籌備帳戶|玉山帳戶""), REGEXMATCH(C514, ""薪資"")), ""分潤支出"",
  AND(REGEXMATCH(E514, ""Ben帳戶|Elsa帳戶|Ben代墊|Ariel代墊|中信銀行共用""), REGEXMATCH(F514, ""Ben帳戶|Elsa帳戶|Ben代墊|Ariel代墊|中信銀行共用"")), ""內部轉帳(忽略)"",
  AND(E514&lt;&gt;"""", F514&lt;&gt;"""", NOT(REG"&amp;"EXMATCH(C514, ""薪資""))), ""內部轉帳(忽略)"",
  REGEXMATCH(C514, ""薪資""), ""薪資變動(不計入)"",
  REGEXMATCH(C514, ""押金""), ""押金往來"",
  AND(E514&lt;&gt;"""", F514=""""), ""真實支出"",
  AND(E514="""", F514&lt;&gt;""""), ""真實收入"",
  TRUE, ""其他""
)"),"真實收入")</f>
        <v>真實收入</v>
      </c>
      <c r="K514" s="270">
        <f t="shared" si="2"/>
        <v>13500</v>
      </c>
      <c r="L514">
        <f t="shared" si="3"/>
        <v>0</v>
      </c>
    </row>
    <row r="515">
      <c r="A515" s="107">
        <f>IFERROR(__xludf.DUMMYFUNCTION("""COMPUTED_VALUE"""),45475.0)</f>
        <v>45475</v>
      </c>
      <c r="B515" t="str">
        <f>IFERROR(__xludf.DUMMYFUNCTION("""COMPUTED_VALUE"""),"大湖山莊D陳昭瑄")</f>
        <v>大湖山莊D陳昭瑄</v>
      </c>
      <c r="C515" t="str">
        <f>IFERROR(__xludf.DUMMYFUNCTION("""COMPUTED_VALUE"""),"收入 - 租金")</f>
        <v>收入 - 租金</v>
      </c>
      <c r="D515" s="270">
        <f>IFERROR(__xludf.DUMMYFUNCTION("""COMPUTED_VALUE"""),14300.0)</f>
        <v>14300</v>
      </c>
      <c r="F515" t="str">
        <f>IFERROR(__xludf.DUMMYFUNCTION("""COMPUTED_VALUE"""),"台銀籌備帳戶")</f>
        <v>台銀籌備帳戶</v>
      </c>
      <c r="G515" t="str">
        <f>IFERROR(__xludf.DUMMYFUNCTION("""COMPUTED_VALUE"""),"大湖山莊")</f>
        <v>大湖山莊</v>
      </c>
      <c r="H515" s="106" t="str">
        <f t="shared" si="1"/>
        <v>2024-07</v>
      </c>
      <c r="I515" s="271" t="str">
        <f>IFERROR(__xludf.DUMMYFUNCTION("""COMPUTED_VALUE"""),"貓狗企鵝")</f>
        <v>貓狗企鵝</v>
      </c>
      <c r="J515" t="str">
        <f>IFERROR(__xludf.DUMMYFUNCTION("IFS(
  AND(REGEXMATCH(E515, ""台銀籌備帳戶|玉山帳戶""), REGEXMATCH(C515, ""薪資"")), ""分潤支出"",
  AND(REGEXMATCH(E515, ""Ben帳戶|Elsa帳戶|Ben代墊|Ariel代墊|中信銀行共用""), REGEXMATCH(F515, ""Ben帳戶|Elsa帳戶|Ben代墊|Ariel代墊|中信銀行共用"")), ""內部轉帳(忽略)"",
  AND(E515&lt;&gt;"""", F515&lt;&gt;"""", NOT(REG"&amp;"EXMATCH(C515, ""薪資""))), ""內部轉帳(忽略)"",
  REGEXMATCH(C515, ""薪資""), ""薪資變動(不計入)"",
  REGEXMATCH(C515, ""押金""), ""押金往來"",
  AND(E515&lt;&gt;"""", F515=""""), ""真實支出"",
  AND(E515="""", F515&lt;&gt;""""), ""真實收入"",
  TRUE, ""其他""
)"),"真實收入")</f>
        <v>真實收入</v>
      </c>
      <c r="K515" s="270">
        <f t="shared" si="2"/>
        <v>14300</v>
      </c>
      <c r="L515">
        <f t="shared" si="3"/>
        <v>0</v>
      </c>
    </row>
    <row r="516">
      <c r="A516" s="107">
        <f>IFERROR(__xludf.DUMMYFUNCTION("""COMPUTED_VALUE"""),45476.0)</f>
        <v>45476</v>
      </c>
      <c r="B516" t="str">
        <f>IFERROR(__xludf.DUMMYFUNCTION("""COMPUTED_VALUE"""),"北醫醫師府F林雍勳")</f>
        <v>北醫醫師府F林雍勳</v>
      </c>
      <c r="C516" t="str">
        <f>IFERROR(__xludf.DUMMYFUNCTION("""COMPUTED_VALUE"""),"收入 - 租金")</f>
        <v>收入 - 租金</v>
      </c>
      <c r="D516" s="270">
        <f>IFERROR(__xludf.DUMMYFUNCTION("""COMPUTED_VALUE"""),14800.0)</f>
        <v>14800</v>
      </c>
      <c r="F516" t="str">
        <f>IFERROR(__xludf.DUMMYFUNCTION("""COMPUTED_VALUE"""),"台銀籌備帳戶")</f>
        <v>台銀籌備帳戶</v>
      </c>
      <c r="G516" t="str">
        <f>IFERROR(__xludf.DUMMYFUNCTION("""COMPUTED_VALUE"""),"北醫醫師府")</f>
        <v>北醫醫師府</v>
      </c>
      <c r="H516" s="106" t="str">
        <f t="shared" si="1"/>
        <v>2024-07</v>
      </c>
      <c r="I516" s="271" t="str">
        <f>IFERROR(__xludf.DUMMYFUNCTION("""COMPUTED_VALUE"""),"貓狗企鵝")</f>
        <v>貓狗企鵝</v>
      </c>
      <c r="J516" t="str">
        <f>IFERROR(__xludf.DUMMYFUNCTION("IFS(
  AND(REGEXMATCH(E516, ""台銀籌備帳戶|玉山帳戶""), REGEXMATCH(C516, ""薪資"")), ""分潤支出"",
  AND(REGEXMATCH(E516, ""Ben帳戶|Elsa帳戶|Ben代墊|Ariel代墊|中信銀行共用""), REGEXMATCH(F516, ""Ben帳戶|Elsa帳戶|Ben代墊|Ariel代墊|中信銀行共用"")), ""內部轉帳(忽略)"",
  AND(E516&lt;&gt;"""", F516&lt;&gt;"""", NOT(REG"&amp;"EXMATCH(C516, ""薪資""))), ""內部轉帳(忽略)"",
  REGEXMATCH(C516, ""薪資""), ""薪資變動(不計入)"",
  REGEXMATCH(C516, ""押金""), ""押金往來"",
  AND(E516&lt;&gt;"""", F516=""""), ""真實支出"",
  AND(E516="""", F516&lt;&gt;""""), ""真實收入"",
  TRUE, ""其他""
)"),"真實收入")</f>
        <v>真實收入</v>
      </c>
      <c r="K516" s="270">
        <f t="shared" si="2"/>
        <v>14800</v>
      </c>
      <c r="L516">
        <f t="shared" si="3"/>
        <v>0</v>
      </c>
    </row>
    <row r="517">
      <c r="A517" s="107">
        <f>IFERROR(__xludf.DUMMYFUNCTION("""COMPUTED_VALUE"""),45476.0)</f>
        <v>45476</v>
      </c>
      <c r="B517" t="str">
        <f>IFERROR(__xludf.DUMMYFUNCTION("""COMPUTED_VALUE"""),"大湖山莊A熊翊丞")</f>
        <v>大湖山莊A熊翊丞</v>
      </c>
      <c r="C517" t="str">
        <f>IFERROR(__xludf.DUMMYFUNCTION("""COMPUTED_VALUE"""),"收入 - 租金")</f>
        <v>收入 - 租金</v>
      </c>
      <c r="D517" s="270">
        <f>IFERROR(__xludf.DUMMYFUNCTION("""COMPUTED_VALUE"""),13500.0)</f>
        <v>13500</v>
      </c>
      <c r="F517" t="str">
        <f>IFERROR(__xludf.DUMMYFUNCTION("""COMPUTED_VALUE"""),"台銀籌備帳戶")</f>
        <v>台銀籌備帳戶</v>
      </c>
      <c r="G517" t="str">
        <f>IFERROR(__xludf.DUMMYFUNCTION("""COMPUTED_VALUE"""),"大湖山莊")</f>
        <v>大湖山莊</v>
      </c>
      <c r="H517" s="106" t="str">
        <f t="shared" si="1"/>
        <v>2024-07</v>
      </c>
      <c r="I517" s="271" t="str">
        <f>IFERROR(__xludf.DUMMYFUNCTION("""COMPUTED_VALUE"""),"貓狗企鵝")</f>
        <v>貓狗企鵝</v>
      </c>
      <c r="J517" t="str">
        <f>IFERROR(__xludf.DUMMYFUNCTION("IFS(
  AND(REGEXMATCH(E517, ""台銀籌備帳戶|玉山帳戶""), REGEXMATCH(C517, ""薪資"")), ""分潤支出"",
  AND(REGEXMATCH(E517, ""Ben帳戶|Elsa帳戶|Ben代墊|Ariel代墊|中信銀行共用""), REGEXMATCH(F517, ""Ben帳戶|Elsa帳戶|Ben代墊|Ariel代墊|中信銀行共用"")), ""內部轉帳(忽略)"",
  AND(E517&lt;&gt;"""", F517&lt;&gt;"""", NOT(REG"&amp;"EXMATCH(C517, ""薪資""))), ""內部轉帳(忽略)"",
  REGEXMATCH(C517, ""薪資""), ""薪資變動(不計入)"",
  REGEXMATCH(C517, ""押金""), ""押金往來"",
  AND(E517&lt;&gt;"""", F517=""""), ""真實支出"",
  AND(E517="""", F517&lt;&gt;""""), ""真實收入"",
  TRUE, ""其他""
)"),"真實收入")</f>
        <v>真實收入</v>
      </c>
      <c r="K517" s="270">
        <f t="shared" si="2"/>
        <v>13500</v>
      </c>
      <c r="L517">
        <f t="shared" si="3"/>
        <v>0</v>
      </c>
    </row>
    <row r="518">
      <c r="A518" s="107">
        <f>IFERROR(__xludf.DUMMYFUNCTION("""COMPUTED_VALUE"""),45476.0)</f>
        <v>45476</v>
      </c>
      <c r="B518" t="str">
        <f>IFERROR(__xludf.DUMMYFUNCTION("""COMPUTED_VALUE"""),"哈拉對面B林宜芳")</f>
        <v>哈拉對面B林宜芳</v>
      </c>
      <c r="C518" t="str">
        <f>IFERROR(__xludf.DUMMYFUNCTION("""COMPUTED_VALUE"""),"收入 - 租金")</f>
        <v>收入 - 租金</v>
      </c>
      <c r="D518" s="270">
        <f>IFERROR(__xludf.DUMMYFUNCTION("""COMPUTED_VALUE"""),9550.0)</f>
        <v>9550</v>
      </c>
      <c r="F518" t="str">
        <f>IFERROR(__xludf.DUMMYFUNCTION("""COMPUTED_VALUE"""),"台銀籌備帳戶")</f>
        <v>台銀籌備帳戶</v>
      </c>
      <c r="G518" t="str">
        <f>IFERROR(__xludf.DUMMYFUNCTION("""COMPUTED_VALUE"""),"哈拉對面")</f>
        <v>哈拉對面</v>
      </c>
      <c r="H518" s="106" t="str">
        <f t="shared" si="1"/>
        <v>2024-07</v>
      </c>
      <c r="I518" s="271" t="str">
        <f>IFERROR(__xludf.DUMMYFUNCTION("""COMPUTED_VALUE"""),"貓狗企鵝")</f>
        <v>貓狗企鵝</v>
      </c>
      <c r="J518" t="str">
        <f>IFERROR(__xludf.DUMMYFUNCTION("IFS(
  AND(REGEXMATCH(E518, ""台銀籌備帳戶|玉山帳戶""), REGEXMATCH(C518, ""薪資"")), ""分潤支出"",
  AND(REGEXMATCH(E518, ""Ben帳戶|Elsa帳戶|Ben代墊|Ariel代墊|中信銀行共用""), REGEXMATCH(F518, ""Ben帳戶|Elsa帳戶|Ben代墊|Ariel代墊|中信銀行共用"")), ""內部轉帳(忽略)"",
  AND(E518&lt;&gt;"""", F518&lt;&gt;"""", NOT(REG"&amp;"EXMATCH(C518, ""薪資""))), ""內部轉帳(忽略)"",
  REGEXMATCH(C518, ""薪資""), ""薪資變動(不計入)"",
  REGEXMATCH(C518, ""押金""), ""押金往來"",
  AND(E518&lt;&gt;"""", F518=""""), ""真實支出"",
  AND(E518="""", F518&lt;&gt;""""), ""真實收入"",
  TRUE, ""其他""
)"),"真實收入")</f>
        <v>真實收入</v>
      </c>
      <c r="K518" s="270">
        <f t="shared" si="2"/>
        <v>9550</v>
      </c>
      <c r="L518">
        <f t="shared" si="3"/>
        <v>0</v>
      </c>
    </row>
    <row r="519">
      <c r="A519" s="107">
        <f>IFERROR(__xludf.DUMMYFUNCTION("""COMPUTED_VALUE"""),45476.0)</f>
        <v>45476</v>
      </c>
      <c r="B519" t="str">
        <f>IFERROR(__xludf.DUMMYFUNCTION("""COMPUTED_VALUE"""),"哈拉對面B林宜芳")</f>
        <v>哈拉對面B林宜芳</v>
      </c>
      <c r="C519" t="str">
        <f>IFERROR(__xludf.DUMMYFUNCTION("""COMPUTED_VALUE"""),"收入 - 租金")</f>
        <v>收入 - 租金</v>
      </c>
      <c r="D519" s="270">
        <f>IFERROR(__xludf.DUMMYFUNCTION("""COMPUTED_VALUE"""),9550.0)</f>
        <v>9550</v>
      </c>
      <c r="F519" t="str">
        <f>IFERROR(__xludf.DUMMYFUNCTION("""COMPUTED_VALUE"""),"台銀籌備帳戶")</f>
        <v>台銀籌備帳戶</v>
      </c>
      <c r="G519" t="str">
        <f>IFERROR(__xludf.DUMMYFUNCTION("""COMPUTED_VALUE"""),"哈拉對面")</f>
        <v>哈拉對面</v>
      </c>
      <c r="H519" s="106" t="str">
        <f t="shared" si="1"/>
        <v>2024-07</v>
      </c>
      <c r="I519" s="271" t="str">
        <f>IFERROR(__xludf.DUMMYFUNCTION("""COMPUTED_VALUE"""),"貓狗企鵝")</f>
        <v>貓狗企鵝</v>
      </c>
      <c r="J519" t="str">
        <f>IFERROR(__xludf.DUMMYFUNCTION("IFS(
  AND(REGEXMATCH(E519, ""台銀籌備帳戶|玉山帳戶""), REGEXMATCH(C519, ""薪資"")), ""分潤支出"",
  AND(REGEXMATCH(E519, ""Ben帳戶|Elsa帳戶|Ben代墊|Ariel代墊|中信銀行共用""), REGEXMATCH(F519, ""Ben帳戶|Elsa帳戶|Ben代墊|Ariel代墊|中信銀行共用"")), ""內部轉帳(忽略)"",
  AND(E519&lt;&gt;"""", F519&lt;&gt;"""", NOT(REG"&amp;"EXMATCH(C519, ""薪資""))), ""內部轉帳(忽略)"",
  REGEXMATCH(C519, ""薪資""), ""薪資變動(不計入)"",
  REGEXMATCH(C519, ""押金""), ""押金往來"",
  AND(E519&lt;&gt;"""", F519=""""), ""真實支出"",
  AND(E519="""", F519&lt;&gt;""""), ""真實收入"",
  TRUE, ""其他""
)"),"真實收入")</f>
        <v>真實收入</v>
      </c>
      <c r="K519" s="270">
        <f t="shared" si="2"/>
        <v>9550</v>
      </c>
      <c r="L519">
        <f t="shared" si="3"/>
        <v>0</v>
      </c>
    </row>
    <row r="520">
      <c r="A520" s="107">
        <f>IFERROR(__xludf.DUMMYFUNCTION("""COMPUTED_VALUE"""),45476.0)</f>
        <v>45476</v>
      </c>
      <c r="B520" t="str">
        <f>IFERROR(__xludf.DUMMYFUNCTION("""COMPUTED_VALUE"""),"龍江E退押")</f>
        <v>龍江E退押</v>
      </c>
      <c r="C520" t="str">
        <f>IFERROR(__xludf.DUMMYFUNCTION("""COMPUTED_VALUE"""),"收入 - 押金")</f>
        <v>收入 - 押金</v>
      </c>
      <c r="D520" s="270">
        <f>IFERROR(__xludf.DUMMYFUNCTION("""COMPUTED_VALUE"""),-23975.0)</f>
        <v>-23975</v>
      </c>
      <c r="E520" t="str">
        <f>IFERROR(__xludf.DUMMYFUNCTION("""COMPUTED_VALUE"""),"台銀籌備帳戶")</f>
        <v>台銀籌備帳戶</v>
      </c>
      <c r="G520" t="str">
        <f>IFERROR(__xludf.DUMMYFUNCTION("""COMPUTED_VALUE"""),"龍江229")</f>
        <v>龍江229</v>
      </c>
      <c r="H520" s="106" t="str">
        <f t="shared" si="1"/>
        <v>2024-07</v>
      </c>
      <c r="I520" s="271" t="str">
        <f>IFERROR(__xludf.DUMMYFUNCTION("""COMPUTED_VALUE"""),"貓狗企鵝")</f>
        <v>貓狗企鵝</v>
      </c>
      <c r="J520" t="str">
        <f>IFERROR(__xludf.DUMMYFUNCTION("IFS(
  AND(REGEXMATCH(E520, ""台銀籌備帳戶|玉山帳戶""), REGEXMATCH(C520, ""薪資"")), ""分潤支出"",
  AND(REGEXMATCH(E520, ""Ben帳戶|Elsa帳戶|Ben代墊|Ariel代墊|中信銀行共用""), REGEXMATCH(F520, ""Ben帳戶|Elsa帳戶|Ben代墊|Ariel代墊|中信銀行共用"")), ""內部轉帳(忽略)"",
  AND(E520&lt;&gt;"""", F520&lt;&gt;"""", NOT(REG"&amp;"EXMATCH(C520, ""薪資""))), ""內部轉帳(忽略)"",
  REGEXMATCH(C520, ""薪資""), ""薪資變動(不計入)"",
  REGEXMATCH(C520, ""押金""), ""押金往來"",
  AND(E520&lt;&gt;"""", F520=""""), ""真實支出"",
  AND(E520="""", F520&lt;&gt;""""), ""真實收入"",
  TRUE, ""其他""
)"),"押金往來")</f>
        <v>押金往來</v>
      </c>
      <c r="K520">
        <f t="shared" si="2"/>
        <v>0</v>
      </c>
      <c r="L520">
        <f t="shared" si="3"/>
        <v>0</v>
      </c>
    </row>
    <row r="521">
      <c r="A521" s="107">
        <f>IFERROR(__xludf.DUMMYFUNCTION("""COMPUTED_VALUE"""),45476.0)</f>
        <v>45476</v>
      </c>
      <c r="B521" t="str">
        <f>IFERROR(__xludf.DUMMYFUNCTION("""COMPUTED_VALUE"""),"退還 大湖山莊A熊翊丞 200元")</f>
        <v>退還 大湖山莊A熊翊丞 200元</v>
      </c>
      <c r="C521" t="str">
        <f>IFERROR(__xludf.DUMMYFUNCTION("""COMPUTED_VALUE"""),"收入 - 租金")</f>
        <v>收入 - 租金</v>
      </c>
      <c r="D521" s="270">
        <f>IFERROR(__xludf.DUMMYFUNCTION("""COMPUTED_VALUE"""),-200.0)</f>
        <v>-200</v>
      </c>
      <c r="E521" t="str">
        <f>IFERROR(__xludf.DUMMYFUNCTION("""COMPUTED_VALUE"""),"Ben帳戶")</f>
        <v>Ben帳戶</v>
      </c>
      <c r="G521" t="str">
        <f>IFERROR(__xludf.DUMMYFUNCTION("""COMPUTED_VALUE"""),"大湖山莊")</f>
        <v>大湖山莊</v>
      </c>
      <c r="H521" s="106" t="str">
        <f t="shared" si="1"/>
        <v>2024-07</v>
      </c>
      <c r="I521" s="271" t="str">
        <f>IFERROR(__xludf.DUMMYFUNCTION("""COMPUTED_VALUE"""),"貓狗企鵝")</f>
        <v>貓狗企鵝</v>
      </c>
      <c r="J521" t="str">
        <f>IFERROR(__xludf.DUMMYFUNCTION("IFS(
  AND(REGEXMATCH(E521, ""台銀籌備帳戶|玉山帳戶""), REGEXMATCH(C521, ""薪資"")), ""分潤支出"",
  AND(REGEXMATCH(E521, ""Ben帳戶|Elsa帳戶|Ben代墊|Ariel代墊|中信銀行共用""), REGEXMATCH(F521, ""Ben帳戶|Elsa帳戶|Ben代墊|Ariel代墊|中信銀行共用"")), ""內部轉帳(忽略)"",
  AND(E521&lt;&gt;"""", F521&lt;&gt;"""", NOT(REG"&amp;"EXMATCH(C521, ""薪資""))), ""內部轉帳(忽略)"",
  REGEXMATCH(C521, ""薪資""), ""薪資變動(不計入)"",
  REGEXMATCH(C521, ""押金""), ""押金往來"",
  AND(E521&lt;&gt;"""", F521=""""), ""真實支出"",
  AND(E521="""", F521&lt;&gt;""""), ""真實收入"",
  TRUE, ""其他""
)"),"真實支出")</f>
        <v>真實支出</v>
      </c>
      <c r="K521" s="270">
        <f t="shared" si="2"/>
        <v>-200</v>
      </c>
      <c r="L521">
        <f t="shared" si="3"/>
        <v>0</v>
      </c>
    </row>
    <row r="522">
      <c r="A522" s="107">
        <f>IFERROR(__xludf.DUMMYFUNCTION("""COMPUTED_VALUE"""),45476.0)</f>
        <v>45476</v>
      </c>
      <c r="B522" t="str">
        <f>IFERROR(__xludf.DUMMYFUNCTION("""COMPUTED_VALUE"""),"軌道燈條")</f>
        <v>軌道燈條</v>
      </c>
      <c r="C522" t="str">
        <f>IFERROR(__xludf.DUMMYFUNCTION("""COMPUTED_VALUE"""),"成本 - 進場前裝潢費")</f>
        <v>成本 - 進場前裝潢費</v>
      </c>
      <c r="D522" s="270">
        <f>IFERROR(__xludf.DUMMYFUNCTION("""COMPUTED_VALUE"""),-13737.0)</f>
        <v>-13737</v>
      </c>
      <c r="E522" t="str">
        <f>IFERROR(__xludf.DUMMYFUNCTION("""COMPUTED_VALUE"""),"Elsa帳戶")</f>
        <v>Elsa帳戶</v>
      </c>
      <c r="G522" t="str">
        <f>IFERROR(__xludf.DUMMYFUNCTION("""COMPUTED_VALUE"""),"南港站挑高宅")</f>
        <v>南港站挑高宅</v>
      </c>
      <c r="H522" s="106" t="str">
        <f t="shared" si="1"/>
        <v>2024-07</v>
      </c>
      <c r="I522" s="271" t="str">
        <f>IFERROR(__xludf.DUMMYFUNCTION("""COMPUTED_VALUE"""),"貓狗企鵝")</f>
        <v>貓狗企鵝</v>
      </c>
      <c r="J522" t="str">
        <f>IFERROR(__xludf.DUMMYFUNCTION("IFS(
  AND(REGEXMATCH(E522, ""台銀籌備帳戶|玉山帳戶""), REGEXMATCH(C522, ""薪資"")), ""分潤支出"",
  AND(REGEXMATCH(E522, ""Ben帳戶|Elsa帳戶|Ben代墊|Ariel代墊|中信銀行共用""), REGEXMATCH(F522, ""Ben帳戶|Elsa帳戶|Ben代墊|Ariel代墊|中信銀行共用"")), ""內部轉帳(忽略)"",
  AND(E522&lt;&gt;"""", F522&lt;&gt;"""", NOT(REG"&amp;"EXMATCH(C522, ""薪資""))), ""內部轉帳(忽略)"",
  REGEXMATCH(C522, ""薪資""), ""薪資變動(不計入)"",
  REGEXMATCH(C522, ""押金""), ""押金往來"",
  AND(E522&lt;&gt;"""", F522=""""), ""真實支出"",
  AND(E522="""", F522&lt;&gt;""""), ""真實收入"",
  TRUE, ""其他""
)"),"真實支出")</f>
        <v>真實支出</v>
      </c>
      <c r="K522" s="270">
        <f t="shared" si="2"/>
        <v>-13737</v>
      </c>
      <c r="L522">
        <f t="shared" si="3"/>
        <v>0</v>
      </c>
    </row>
    <row r="523">
      <c r="A523" s="107">
        <f>IFERROR(__xludf.DUMMYFUNCTION("""COMPUTED_VALUE"""),45477.0)</f>
        <v>45477</v>
      </c>
      <c r="B523" t="str">
        <f>IFERROR(__xludf.DUMMYFUNCTION("""COMPUTED_VALUE"""),"龍江垃圾代收季繳")</f>
        <v>龍江垃圾代收季繳</v>
      </c>
      <c r="C523" t="str">
        <f>IFERROR(__xludf.DUMMYFUNCTION("""COMPUTED_VALUE"""),"成本 - 固定開銷(網路代收清潔)")</f>
        <v>成本 - 固定開銷(網路代收清潔)</v>
      </c>
      <c r="D523" s="270">
        <f>IFERROR(__xludf.DUMMYFUNCTION("""COMPUTED_VALUE"""),-2369.0)</f>
        <v>-2369</v>
      </c>
      <c r="E523" t="str">
        <f>IFERROR(__xludf.DUMMYFUNCTION("""COMPUTED_VALUE"""),"Elsa帳戶")</f>
        <v>Elsa帳戶</v>
      </c>
      <c r="G523" t="str">
        <f>IFERROR(__xludf.DUMMYFUNCTION("""COMPUTED_VALUE"""),"龍江229")</f>
        <v>龍江229</v>
      </c>
      <c r="H523" s="106" t="str">
        <f t="shared" si="1"/>
        <v>2024-07</v>
      </c>
      <c r="I523" s="271" t="str">
        <f>IFERROR(__xludf.DUMMYFUNCTION("""COMPUTED_VALUE"""),"貓狗企鵝")</f>
        <v>貓狗企鵝</v>
      </c>
      <c r="J523" t="str">
        <f>IFERROR(__xludf.DUMMYFUNCTION("IFS(
  AND(REGEXMATCH(E523, ""台銀籌備帳戶|玉山帳戶""), REGEXMATCH(C523, ""薪資"")), ""分潤支出"",
  AND(REGEXMATCH(E523, ""Ben帳戶|Elsa帳戶|Ben代墊|Ariel代墊|中信銀行共用""), REGEXMATCH(F523, ""Ben帳戶|Elsa帳戶|Ben代墊|Ariel代墊|中信銀行共用"")), ""內部轉帳(忽略)"",
  AND(E523&lt;&gt;"""", F523&lt;&gt;"""", NOT(REG"&amp;"EXMATCH(C523, ""薪資""))), ""內部轉帳(忽略)"",
  REGEXMATCH(C523, ""薪資""), ""薪資變動(不計入)"",
  REGEXMATCH(C523, ""押金""), ""押金往來"",
  AND(E523&lt;&gt;"""", F523=""""), ""真實支出"",
  AND(E523="""", F523&lt;&gt;""""), ""真實收入"",
  TRUE, ""其他""
)"),"真實支出")</f>
        <v>真實支出</v>
      </c>
      <c r="K523" s="270">
        <f t="shared" si="2"/>
        <v>-2369</v>
      </c>
      <c r="L523">
        <f t="shared" si="3"/>
        <v>0</v>
      </c>
    </row>
    <row r="524">
      <c r="A524" s="107">
        <f>IFERROR(__xludf.DUMMYFUNCTION("""COMPUTED_VALUE"""),45478.0)</f>
        <v>45478</v>
      </c>
      <c r="B524" t="str">
        <f>IFERROR(__xludf.DUMMYFUNCTION("""COMPUTED_VALUE"""),"南港大押金")</f>
        <v>南港大押金</v>
      </c>
      <c r="C524" t="str">
        <f>IFERROR(__xludf.DUMMYFUNCTION("""COMPUTED_VALUE"""),"成本 - 大租金")</f>
        <v>成本 - 大租金</v>
      </c>
      <c r="D524" s="270">
        <f>IFERROR(__xludf.DUMMYFUNCTION("""COMPUTED_VALUE"""),-73000.0)</f>
        <v>-73000</v>
      </c>
      <c r="E524" t="str">
        <f>IFERROR(__xludf.DUMMYFUNCTION("""COMPUTED_VALUE"""),"Ben帳戶")</f>
        <v>Ben帳戶</v>
      </c>
      <c r="G524" t="str">
        <f>IFERROR(__xludf.DUMMYFUNCTION("""COMPUTED_VALUE"""),"南港站挑高宅")</f>
        <v>南港站挑高宅</v>
      </c>
      <c r="H524" s="106" t="str">
        <f t="shared" si="1"/>
        <v>2024-07</v>
      </c>
      <c r="I524" s="271" t="str">
        <f>IFERROR(__xludf.DUMMYFUNCTION("""COMPUTED_VALUE"""),"貓狗企鵝")</f>
        <v>貓狗企鵝</v>
      </c>
      <c r="J524" t="str">
        <f>IFERROR(__xludf.DUMMYFUNCTION("IFS(
  AND(REGEXMATCH(E524, ""台銀籌備帳戶|玉山帳戶""), REGEXMATCH(C524, ""薪資"")), ""分潤支出"",
  AND(REGEXMATCH(E524, ""Ben帳戶|Elsa帳戶|Ben代墊|Ariel代墊|中信銀行共用""), REGEXMATCH(F524, ""Ben帳戶|Elsa帳戶|Ben代墊|Ariel代墊|中信銀行共用"")), ""內部轉帳(忽略)"",
  AND(E524&lt;&gt;"""", F524&lt;&gt;"""", NOT(REG"&amp;"EXMATCH(C524, ""薪資""))), ""內部轉帳(忽略)"",
  REGEXMATCH(C524, ""薪資""), ""薪資變動(不計入)"",
  REGEXMATCH(C524, ""押金""), ""押金往來"",
  AND(E524&lt;&gt;"""", F524=""""), ""真實支出"",
  AND(E524="""", F524&lt;&gt;""""), ""真實收入"",
  TRUE, ""其他""
)"),"真實支出")</f>
        <v>真實支出</v>
      </c>
      <c r="K524" s="270">
        <f t="shared" si="2"/>
        <v>-73000</v>
      </c>
      <c r="L524">
        <f t="shared" si="3"/>
        <v>0</v>
      </c>
    </row>
    <row r="525">
      <c r="A525" s="107">
        <f>IFERROR(__xludf.DUMMYFUNCTION("""COMPUTED_VALUE"""),45478.0)</f>
        <v>45478</v>
      </c>
      <c r="B525" t="str">
        <f>IFERROR(__xludf.DUMMYFUNCTION("""COMPUTED_VALUE"""),"南港房仲服務費")</f>
        <v>南港房仲服務費</v>
      </c>
      <c r="C525" t="str">
        <f>IFERROR(__xludf.DUMMYFUNCTION("""COMPUTED_VALUE"""),"成本 - 仲介費")</f>
        <v>成本 - 仲介費</v>
      </c>
      <c r="D525" s="270">
        <f>IFERROR(__xludf.DUMMYFUNCTION("""COMPUTED_VALUE"""),-71500.0)</f>
        <v>-71500</v>
      </c>
      <c r="E525" t="str">
        <f>IFERROR(__xludf.DUMMYFUNCTION("""COMPUTED_VALUE"""),"Elsa帳戶")</f>
        <v>Elsa帳戶</v>
      </c>
      <c r="G525" t="str">
        <f>IFERROR(__xludf.DUMMYFUNCTION("""COMPUTED_VALUE"""),"南港站挑高宅")</f>
        <v>南港站挑高宅</v>
      </c>
      <c r="H525" s="106" t="str">
        <f t="shared" si="1"/>
        <v>2024-07</v>
      </c>
      <c r="I525" s="271" t="str">
        <f>IFERROR(__xludf.DUMMYFUNCTION("""COMPUTED_VALUE"""),"貓狗企鵝")</f>
        <v>貓狗企鵝</v>
      </c>
      <c r="J525" t="str">
        <f>IFERROR(__xludf.DUMMYFUNCTION("IFS(
  AND(REGEXMATCH(E525, ""台銀籌備帳戶|玉山帳戶""), REGEXMATCH(C525, ""薪資"")), ""分潤支出"",
  AND(REGEXMATCH(E525, ""Ben帳戶|Elsa帳戶|Ben代墊|Ariel代墊|中信銀行共用""), REGEXMATCH(F525, ""Ben帳戶|Elsa帳戶|Ben代墊|Ariel代墊|中信銀行共用"")), ""內部轉帳(忽略)"",
  AND(E525&lt;&gt;"""", F525&lt;&gt;"""", NOT(REG"&amp;"EXMATCH(C525, ""薪資""))), ""內部轉帳(忽略)"",
  REGEXMATCH(C525, ""薪資""), ""薪資變動(不計入)"",
  REGEXMATCH(C525, ""押金""), ""押金往來"",
  AND(E525&lt;&gt;"""", F525=""""), ""真實支出"",
  AND(E525="""", F525&lt;&gt;""""), ""真實收入"",
  TRUE, ""其他""
)"),"真實支出")</f>
        <v>真實支出</v>
      </c>
      <c r="K525" s="270">
        <f t="shared" si="2"/>
        <v>-71500</v>
      </c>
      <c r="L525">
        <f t="shared" si="3"/>
        <v>0</v>
      </c>
    </row>
    <row r="526">
      <c r="A526" s="107">
        <f>IFERROR(__xludf.DUMMYFUNCTION("""COMPUTED_VALUE"""),45478.0)</f>
        <v>45478</v>
      </c>
      <c r="B526" t="str">
        <f>IFERROR(__xludf.DUMMYFUNCTION("""COMPUTED_VALUE"""),"南港公證費")</f>
        <v>南港公證費</v>
      </c>
      <c r="C526" t="str">
        <f>IFERROR(__xludf.DUMMYFUNCTION("""COMPUTED_VALUE"""),"成本 - 公證費")</f>
        <v>成本 - 公證費</v>
      </c>
      <c r="D526" s="270">
        <f>IFERROR(__xludf.DUMMYFUNCTION("""COMPUTED_VALUE"""),-8600.0)</f>
        <v>-8600</v>
      </c>
      <c r="E526" t="str">
        <f>IFERROR(__xludf.DUMMYFUNCTION("""COMPUTED_VALUE"""),"Elsa帳戶")</f>
        <v>Elsa帳戶</v>
      </c>
      <c r="G526" t="str">
        <f>IFERROR(__xludf.DUMMYFUNCTION("""COMPUTED_VALUE"""),"南港站挑高宅")</f>
        <v>南港站挑高宅</v>
      </c>
      <c r="H526" s="106" t="str">
        <f t="shared" si="1"/>
        <v>2024-07</v>
      </c>
      <c r="I526" s="271" t="str">
        <f>IFERROR(__xludf.DUMMYFUNCTION("""COMPUTED_VALUE"""),"貓狗企鵝")</f>
        <v>貓狗企鵝</v>
      </c>
      <c r="J526" t="str">
        <f>IFERROR(__xludf.DUMMYFUNCTION("IFS(
  AND(REGEXMATCH(E526, ""台銀籌備帳戶|玉山帳戶""), REGEXMATCH(C526, ""薪資"")), ""分潤支出"",
  AND(REGEXMATCH(E526, ""Ben帳戶|Elsa帳戶|Ben代墊|Ariel代墊|中信銀行共用""), REGEXMATCH(F526, ""Ben帳戶|Elsa帳戶|Ben代墊|Ariel代墊|中信銀行共用"")), ""內部轉帳(忽略)"",
  AND(E526&lt;&gt;"""", F526&lt;&gt;"""", NOT(REG"&amp;"EXMATCH(C526, ""薪資""))), ""內部轉帳(忽略)"",
  REGEXMATCH(C526, ""薪資""), ""薪資變動(不計入)"",
  REGEXMATCH(C526, ""押金""), ""押金往來"",
  AND(E526&lt;&gt;"""", F526=""""), ""真實支出"",
  AND(E526="""", F526&lt;&gt;""""), ""真實收入"",
  TRUE, ""其他""
)"),"真實支出")</f>
        <v>真實支出</v>
      </c>
      <c r="K526" s="270">
        <f t="shared" si="2"/>
        <v>-8600</v>
      </c>
      <c r="L526">
        <f t="shared" si="3"/>
        <v>0</v>
      </c>
    </row>
    <row r="527">
      <c r="A527" s="107">
        <f>IFERROR(__xludf.DUMMYFUNCTION("""COMPUTED_VALUE"""),45479.0)</f>
        <v>45479</v>
      </c>
      <c r="B527" t="str">
        <f>IFERROR(__xludf.DUMMYFUNCTION("""COMPUTED_VALUE"""),"帶看感謝金 - 惠卿")</f>
        <v>帶看感謝金 - 惠卿</v>
      </c>
      <c r="C527" t="str">
        <f>IFERROR(__xludf.DUMMYFUNCTION("""COMPUTED_VALUE"""),"成本 - 仲介費")</f>
        <v>成本 - 仲介費</v>
      </c>
      <c r="D527" s="270">
        <f>IFERROR(__xludf.DUMMYFUNCTION("""COMPUTED_VALUE"""),-2000.0)</f>
        <v>-2000</v>
      </c>
      <c r="E527" t="str">
        <f>IFERROR(__xludf.DUMMYFUNCTION("""COMPUTED_VALUE"""),"Ben帳戶")</f>
        <v>Ben帳戶</v>
      </c>
      <c r="G527" t="str">
        <f>IFERROR(__xludf.DUMMYFUNCTION("""COMPUTED_VALUE"""),"大湖山莊")</f>
        <v>大湖山莊</v>
      </c>
      <c r="H527" s="106" t="str">
        <f t="shared" si="1"/>
        <v>2024-07</v>
      </c>
      <c r="I527" s="271" t="str">
        <f>IFERROR(__xludf.DUMMYFUNCTION("""COMPUTED_VALUE"""),"貓狗企鵝")</f>
        <v>貓狗企鵝</v>
      </c>
      <c r="J527" t="str">
        <f>IFERROR(__xludf.DUMMYFUNCTION("IFS(
  AND(REGEXMATCH(E527, ""台銀籌備帳戶|玉山帳戶""), REGEXMATCH(C527, ""薪資"")), ""分潤支出"",
  AND(REGEXMATCH(E527, ""Ben帳戶|Elsa帳戶|Ben代墊|Ariel代墊|中信銀行共用""), REGEXMATCH(F527, ""Ben帳戶|Elsa帳戶|Ben代墊|Ariel代墊|中信銀行共用"")), ""內部轉帳(忽略)"",
  AND(E527&lt;&gt;"""", F527&lt;&gt;"""", NOT(REG"&amp;"EXMATCH(C527, ""薪資""))), ""內部轉帳(忽略)"",
  REGEXMATCH(C527, ""薪資""), ""薪資變動(不計入)"",
  REGEXMATCH(C527, ""押金""), ""押金往來"",
  AND(E527&lt;&gt;"""", F527=""""), ""真實支出"",
  AND(E527="""", F527&lt;&gt;""""), ""真實收入"",
  TRUE, ""其他""
)"),"真實支出")</f>
        <v>真實支出</v>
      </c>
      <c r="K527" s="270">
        <f t="shared" si="2"/>
        <v>-2000</v>
      </c>
      <c r="L527">
        <f t="shared" si="3"/>
        <v>0</v>
      </c>
    </row>
    <row r="528">
      <c r="A528" s="107">
        <f>IFERROR(__xludf.DUMMYFUNCTION("""COMPUTED_VALUE"""),45479.0)</f>
        <v>45479</v>
      </c>
      <c r="B528" t="str">
        <f>IFERROR(__xludf.DUMMYFUNCTION("""COMPUTED_VALUE"""),"大湖山莊F吳智方")</f>
        <v>大湖山莊F吳智方</v>
      </c>
      <c r="C528" t="str">
        <f>IFERROR(__xludf.DUMMYFUNCTION("""COMPUTED_VALUE"""),"收入 - 租金")</f>
        <v>收入 - 租金</v>
      </c>
      <c r="D528" s="270">
        <f>IFERROR(__xludf.DUMMYFUNCTION("""COMPUTED_VALUE"""),10000.0)</f>
        <v>10000</v>
      </c>
      <c r="F528" t="str">
        <f>IFERROR(__xludf.DUMMYFUNCTION("""COMPUTED_VALUE"""),"台銀籌備帳戶")</f>
        <v>台銀籌備帳戶</v>
      </c>
      <c r="G528" t="str">
        <f>IFERROR(__xludf.DUMMYFUNCTION("""COMPUTED_VALUE"""),"大湖山莊")</f>
        <v>大湖山莊</v>
      </c>
      <c r="H528" s="106" t="str">
        <f t="shared" si="1"/>
        <v>2024-07</v>
      </c>
      <c r="I528" s="271" t="str">
        <f>IFERROR(__xludf.DUMMYFUNCTION("""COMPUTED_VALUE"""),"貓狗企鵝")</f>
        <v>貓狗企鵝</v>
      </c>
      <c r="J528" t="str">
        <f>IFERROR(__xludf.DUMMYFUNCTION("IFS(
  AND(REGEXMATCH(E528, ""台銀籌備帳戶|玉山帳戶""), REGEXMATCH(C528, ""薪資"")), ""分潤支出"",
  AND(REGEXMATCH(E528, ""Ben帳戶|Elsa帳戶|Ben代墊|Ariel代墊|中信銀行共用""), REGEXMATCH(F528, ""Ben帳戶|Elsa帳戶|Ben代墊|Ariel代墊|中信銀行共用"")), ""內部轉帳(忽略)"",
  AND(E528&lt;&gt;"""", F528&lt;&gt;"""", NOT(REG"&amp;"EXMATCH(C528, ""薪資""))), ""內部轉帳(忽略)"",
  REGEXMATCH(C528, ""薪資""), ""薪資變動(不計入)"",
  REGEXMATCH(C528, ""押金""), ""押金往來"",
  AND(E528&lt;&gt;"""", F528=""""), ""真實支出"",
  AND(E528="""", F528&lt;&gt;""""), ""真實收入"",
  TRUE, ""其他""
)"),"真實收入")</f>
        <v>真實收入</v>
      </c>
      <c r="K528" s="270">
        <f t="shared" si="2"/>
        <v>10000</v>
      </c>
      <c r="L528">
        <f t="shared" si="3"/>
        <v>0</v>
      </c>
    </row>
    <row r="529">
      <c r="A529" s="107">
        <f>IFERROR(__xludf.DUMMYFUNCTION("""COMPUTED_VALUE"""),45479.0)</f>
        <v>45479</v>
      </c>
      <c r="B529" t="str">
        <f>IFERROR(__xludf.DUMMYFUNCTION("""COMPUTED_VALUE"""),"大湖垃圾代收")</f>
        <v>大湖垃圾代收</v>
      </c>
      <c r="C529" t="str">
        <f>IFERROR(__xludf.DUMMYFUNCTION("""COMPUTED_VALUE"""),"成本 - 固定開銷(網路代收清潔)")</f>
        <v>成本 - 固定開銷(網路代收清潔)</v>
      </c>
      <c r="D529" s="270">
        <f>IFERROR(__xludf.DUMMYFUNCTION("""COMPUTED_VALUE"""),-1515.0)</f>
        <v>-1515</v>
      </c>
      <c r="E529" t="str">
        <f>IFERROR(__xludf.DUMMYFUNCTION("""COMPUTED_VALUE"""),"台銀籌備帳戶")</f>
        <v>台銀籌備帳戶</v>
      </c>
      <c r="G529" t="str">
        <f>IFERROR(__xludf.DUMMYFUNCTION("""COMPUTED_VALUE"""),"大湖山莊")</f>
        <v>大湖山莊</v>
      </c>
      <c r="H529" s="106" t="str">
        <f t="shared" si="1"/>
        <v>2024-07</v>
      </c>
      <c r="I529" s="271" t="str">
        <f>IFERROR(__xludf.DUMMYFUNCTION("""COMPUTED_VALUE"""),"貓狗企鵝")</f>
        <v>貓狗企鵝</v>
      </c>
      <c r="J529" t="str">
        <f>IFERROR(__xludf.DUMMYFUNCTION("IFS(
  AND(REGEXMATCH(E529, ""台銀籌備帳戶|玉山帳戶""), REGEXMATCH(C529, ""薪資"")), ""分潤支出"",
  AND(REGEXMATCH(E529, ""Ben帳戶|Elsa帳戶|Ben代墊|Ariel代墊|中信銀行共用""), REGEXMATCH(F529, ""Ben帳戶|Elsa帳戶|Ben代墊|Ariel代墊|中信銀行共用"")), ""內部轉帳(忽略)"",
  AND(E529&lt;&gt;"""", F529&lt;&gt;"""", NOT(REG"&amp;"EXMATCH(C529, ""薪資""))), ""內部轉帳(忽略)"",
  REGEXMATCH(C529, ""薪資""), ""薪資變動(不計入)"",
  REGEXMATCH(C529, ""押金""), ""押金往來"",
  AND(E529&lt;&gt;"""", F529=""""), ""真實支出"",
  AND(E529="""", F529&lt;&gt;""""), ""真實收入"",
  TRUE, ""其他""
)"),"真實支出")</f>
        <v>真實支出</v>
      </c>
      <c r="K529" s="270">
        <f t="shared" si="2"/>
        <v>-1515</v>
      </c>
      <c r="L529">
        <f t="shared" si="3"/>
        <v>0</v>
      </c>
    </row>
    <row r="530">
      <c r="A530" s="107">
        <f>IFERROR(__xludf.DUMMYFUNCTION("""COMPUTED_VALUE"""),45480.0)</f>
        <v>45480</v>
      </c>
      <c r="B530" t="str">
        <f>IFERROR(__xludf.DUMMYFUNCTION("""COMPUTED_VALUE"""),"淘寶傢俱")</f>
        <v>淘寶傢俱</v>
      </c>
      <c r="C530" t="str">
        <f>IFERROR(__xludf.DUMMYFUNCTION("""COMPUTED_VALUE"""),"成本 - 進場前裝潢費")</f>
        <v>成本 - 進場前裝潢費</v>
      </c>
      <c r="D530" s="270">
        <f>IFERROR(__xludf.DUMMYFUNCTION("""COMPUTED_VALUE"""),-13661.0)</f>
        <v>-13661</v>
      </c>
      <c r="E530" t="str">
        <f>IFERROR(__xludf.DUMMYFUNCTION("""COMPUTED_VALUE"""),"Elsa帳戶")</f>
        <v>Elsa帳戶</v>
      </c>
      <c r="G530" t="str">
        <f>IFERROR(__xludf.DUMMYFUNCTION("""COMPUTED_VALUE"""),"南港站挑高宅")</f>
        <v>南港站挑高宅</v>
      </c>
      <c r="H530" s="106" t="str">
        <f t="shared" si="1"/>
        <v>2024-07</v>
      </c>
      <c r="I530" s="271" t="str">
        <f>IFERROR(__xludf.DUMMYFUNCTION("""COMPUTED_VALUE"""),"貓狗企鵝")</f>
        <v>貓狗企鵝</v>
      </c>
      <c r="J530" t="str">
        <f>IFERROR(__xludf.DUMMYFUNCTION("IFS(
  AND(REGEXMATCH(E530, ""台銀籌備帳戶|玉山帳戶""), REGEXMATCH(C530, ""薪資"")), ""分潤支出"",
  AND(REGEXMATCH(E530, ""Ben帳戶|Elsa帳戶|Ben代墊|Ariel代墊|中信銀行共用""), REGEXMATCH(F530, ""Ben帳戶|Elsa帳戶|Ben代墊|Ariel代墊|中信銀行共用"")), ""內部轉帳(忽略)"",
  AND(E530&lt;&gt;"""", F530&lt;&gt;"""", NOT(REG"&amp;"EXMATCH(C530, ""薪資""))), ""內部轉帳(忽略)"",
  REGEXMATCH(C530, ""薪資""), ""薪資變動(不計入)"",
  REGEXMATCH(C530, ""押金""), ""押金往來"",
  AND(E530&lt;&gt;"""", F530=""""), ""真實支出"",
  AND(E530="""", F530&lt;&gt;""""), ""真實收入"",
  TRUE, ""其他""
)"),"真實支出")</f>
        <v>真實支出</v>
      </c>
      <c r="K530" s="270">
        <f t="shared" si="2"/>
        <v>-13661</v>
      </c>
      <c r="L530">
        <f t="shared" si="3"/>
        <v>0</v>
      </c>
    </row>
    <row r="531">
      <c r="A531" s="107">
        <f>IFERROR(__xludf.DUMMYFUNCTION("""COMPUTED_VALUE"""),45480.0)</f>
        <v>45480</v>
      </c>
      <c r="B531" t="str">
        <f>IFERROR(__xludf.DUMMYFUNCTION("""COMPUTED_VALUE"""),"大湖電池")</f>
        <v>大湖電池</v>
      </c>
      <c r="C531" t="str">
        <f>IFERROR(__xludf.DUMMYFUNCTION("""COMPUTED_VALUE"""),"成本 - 租後修繕")</f>
        <v>成本 - 租後修繕</v>
      </c>
      <c r="D531" s="270">
        <f>IFERROR(__xludf.DUMMYFUNCTION("""COMPUTED_VALUE"""),-119.0)</f>
        <v>-119</v>
      </c>
      <c r="E531" t="str">
        <f>IFERROR(__xludf.DUMMYFUNCTION("""COMPUTED_VALUE"""),"Ben帳戶")</f>
        <v>Ben帳戶</v>
      </c>
      <c r="G531" t="str">
        <f>IFERROR(__xludf.DUMMYFUNCTION("""COMPUTED_VALUE"""),"大湖山莊")</f>
        <v>大湖山莊</v>
      </c>
      <c r="H531" s="106" t="str">
        <f t="shared" si="1"/>
        <v>2024-07</v>
      </c>
      <c r="I531" s="271" t="str">
        <f>IFERROR(__xludf.DUMMYFUNCTION("""COMPUTED_VALUE"""),"貓狗企鵝")</f>
        <v>貓狗企鵝</v>
      </c>
      <c r="J531" t="str">
        <f>IFERROR(__xludf.DUMMYFUNCTION("IFS(
  AND(REGEXMATCH(E531, ""台銀籌備帳戶|玉山帳戶""), REGEXMATCH(C531, ""薪資"")), ""分潤支出"",
  AND(REGEXMATCH(E531, ""Ben帳戶|Elsa帳戶|Ben代墊|Ariel代墊|中信銀行共用""), REGEXMATCH(F531, ""Ben帳戶|Elsa帳戶|Ben代墊|Ariel代墊|中信銀行共用"")), ""內部轉帳(忽略)"",
  AND(E531&lt;&gt;"""", F531&lt;&gt;"""", NOT(REG"&amp;"EXMATCH(C531, ""薪資""))), ""內部轉帳(忽略)"",
  REGEXMATCH(C531, ""薪資""), ""薪資變動(不計入)"",
  REGEXMATCH(C531, ""押金""), ""押金往來"",
  AND(E531&lt;&gt;"""", F531=""""), ""真實支出"",
  AND(E531="""", F531&lt;&gt;""""), ""真實收入"",
  TRUE, ""其他""
)"),"真實支出")</f>
        <v>真實支出</v>
      </c>
      <c r="K531" s="270">
        <f t="shared" si="2"/>
        <v>-119</v>
      </c>
      <c r="L531">
        <f t="shared" si="3"/>
        <v>0</v>
      </c>
    </row>
    <row r="532">
      <c r="A532" s="107">
        <f>IFERROR(__xludf.DUMMYFUNCTION("""COMPUTED_VALUE"""),45481.0)</f>
        <v>45481</v>
      </c>
      <c r="B532" t="str">
        <f>IFERROR(__xludf.DUMMYFUNCTION("""COMPUTED_VALUE"""),"大湖山莊F吳智方")</f>
        <v>大湖山莊F吳智方</v>
      </c>
      <c r="C532" t="str">
        <f>IFERROR(__xludf.DUMMYFUNCTION("""COMPUTED_VALUE"""),"收入 - 租金")</f>
        <v>收入 - 租金</v>
      </c>
      <c r="D532" s="270">
        <f>IFERROR(__xludf.DUMMYFUNCTION("""COMPUTED_VALUE"""),24035.0)</f>
        <v>24035</v>
      </c>
      <c r="F532" t="str">
        <f>IFERROR(__xludf.DUMMYFUNCTION("""COMPUTED_VALUE"""),"台銀籌備帳戶")</f>
        <v>台銀籌備帳戶</v>
      </c>
      <c r="G532" t="str">
        <f>IFERROR(__xludf.DUMMYFUNCTION("""COMPUTED_VALUE"""),"大湖山莊")</f>
        <v>大湖山莊</v>
      </c>
      <c r="H532" s="106" t="str">
        <f t="shared" si="1"/>
        <v>2024-07</v>
      </c>
      <c r="I532" s="271" t="str">
        <f>IFERROR(__xludf.DUMMYFUNCTION("""COMPUTED_VALUE"""),"貓狗企鵝")</f>
        <v>貓狗企鵝</v>
      </c>
      <c r="J532" t="str">
        <f>IFERROR(__xludf.DUMMYFUNCTION("IFS(
  AND(REGEXMATCH(E532, ""台銀籌備帳戶|玉山帳戶""), REGEXMATCH(C532, ""薪資"")), ""分潤支出"",
  AND(REGEXMATCH(E532, ""Ben帳戶|Elsa帳戶|Ben代墊|Ariel代墊|中信銀行共用""), REGEXMATCH(F532, ""Ben帳戶|Elsa帳戶|Ben代墊|Ariel代墊|中信銀行共用"")), ""內部轉帳(忽略)"",
  AND(E532&lt;&gt;"""", F532&lt;&gt;"""", NOT(REG"&amp;"EXMATCH(C532, ""薪資""))), ""內部轉帳(忽略)"",
  REGEXMATCH(C532, ""薪資""), ""薪資變動(不計入)"",
  REGEXMATCH(C532, ""押金""), ""押金往來"",
  AND(E532&lt;&gt;"""", F532=""""), ""真實支出"",
  AND(E532="""", F532&lt;&gt;""""), ""真實收入"",
  TRUE, ""其他""
)"),"真實收入")</f>
        <v>真實收入</v>
      </c>
      <c r="K532" s="270">
        <f t="shared" si="2"/>
        <v>24035</v>
      </c>
      <c r="L532">
        <f t="shared" si="3"/>
        <v>0</v>
      </c>
    </row>
    <row r="533">
      <c r="A533" s="107">
        <f>IFERROR(__xludf.DUMMYFUNCTION("""COMPUTED_VALUE"""),45481.0)</f>
        <v>45481</v>
      </c>
      <c r="B533" t="str">
        <f>IFERROR(__xludf.DUMMYFUNCTION("""COMPUTED_VALUE"""),"大湖山莊F吳智方")</f>
        <v>大湖山莊F吳智方</v>
      </c>
      <c r="C533" t="str">
        <f>IFERROR(__xludf.DUMMYFUNCTION("""COMPUTED_VALUE"""),"收入 - 租金")</f>
        <v>收入 - 租金</v>
      </c>
      <c r="D533" s="270">
        <f>IFERROR(__xludf.DUMMYFUNCTION("""COMPUTED_VALUE"""),24030.0)</f>
        <v>24030</v>
      </c>
      <c r="F533" t="str">
        <f>IFERROR(__xludf.DUMMYFUNCTION("""COMPUTED_VALUE"""),"台銀籌備帳戶")</f>
        <v>台銀籌備帳戶</v>
      </c>
      <c r="G533" t="str">
        <f>IFERROR(__xludf.DUMMYFUNCTION("""COMPUTED_VALUE"""),"大湖山莊")</f>
        <v>大湖山莊</v>
      </c>
      <c r="H533" s="106" t="str">
        <f t="shared" si="1"/>
        <v>2024-07</v>
      </c>
      <c r="I533" s="271" t="str">
        <f>IFERROR(__xludf.DUMMYFUNCTION("""COMPUTED_VALUE"""),"貓狗企鵝")</f>
        <v>貓狗企鵝</v>
      </c>
      <c r="J533" t="str">
        <f>IFERROR(__xludf.DUMMYFUNCTION("IFS(
  AND(REGEXMATCH(E533, ""台銀籌備帳戶|玉山帳戶""), REGEXMATCH(C533, ""薪資"")), ""分潤支出"",
  AND(REGEXMATCH(E533, ""Ben帳戶|Elsa帳戶|Ben代墊|Ariel代墊|中信銀行共用""), REGEXMATCH(F533, ""Ben帳戶|Elsa帳戶|Ben代墊|Ariel代墊|中信銀行共用"")), ""內部轉帳(忽略)"",
  AND(E533&lt;&gt;"""", F533&lt;&gt;"""", NOT(REG"&amp;"EXMATCH(C533, ""薪資""))), ""內部轉帳(忽略)"",
  REGEXMATCH(C533, ""薪資""), ""薪資變動(不計入)"",
  REGEXMATCH(C533, ""押金""), ""押金往來"",
  AND(E533&lt;&gt;"""", F533=""""), ""真實支出"",
  AND(E533="""", F533&lt;&gt;""""), ""真實收入"",
  TRUE, ""其他""
)"),"真實收入")</f>
        <v>真實收入</v>
      </c>
      <c r="K533" s="270">
        <f t="shared" si="2"/>
        <v>24030</v>
      </c>
      <c r="L533">
        <f t="shared" si="3"/>
        <v>0</v>
      </c>
    </row>
    <row r="534">
      <c r="A534" s="107">
        <f>IFERROR(__xludf.DUMMYFUNCTION("""COMPUTED_VALUE"""),45482.0)</f>
        <v>45482</v>
      </c>
      <c r="B534" t="str">
        <f>IFERROR(__xludf.DUMMYFUNCTION("""COMPUTED_VALUE"""),"市府爺爺家 押金*2個月")</f>
        <v>市府爺爺家 押金*2個月</v>
      </c>
      <c r="C534" t="str">
        <f>IFERROR(__xludf.DUMMYFUNCTION("""COMPUTED_VALUE"""),"成本 - 對屋主押金")</f>
        <v>成本 - 對屋主押金</v>
      </c>
      <c r="D534" s="270">
        <f>IFERROR(__xludf.DUMMYFUNCTION("""COMPUTED_VALUE"""),-24000.0)</f>
        <v>-24000</v>
      </c>
      <c r="E534" t="str">
        <f>IFERROR(__xludf.DUMMYFUNCTION("""COMPUTED_VALUE"""),"Elsa帳戶")</f>
        <v>Elsa帳戶</v>
      </c>
      <c r="G534" t="str">
        <f>IFERROR(__xludf.DUMMYFUNCTION("""COMPUTED_VALUE"""),"市府爺爺家")</f>
        <v>市府爺爺家</v>
      </c>
      <c r="H534" s="106" t="str">
        <f t="shared" si="1"/>
        <v>2024-07</v>
      </c>
      <c r="I534" s="271" t="str">
        <f>IFERROR(__xludf.DUMMYFUNCTION("""COMPUTED_VALUE"""),"貓狗企鵝")</f>
        <v>貓狗企鵝</v>
      </c>
      <c r="J534" t="str">
        <f>IFERROR(__xludf.DUMMYFUNCTION("IFS(
  AND(REGEXMATCH(E534, ""台銀籌備帳戶|玉山帳戶""), REGEXMATCH(C534, ""薪資"")), ""分潤支出"",
  AND(REGEXMATCH(E534, ""Ben帳戶|Elsa帳戶|Ben代墊|Ariel代墊|中信銀行共用""), REGEXMATCH(F534, ""Ben帳戶|Elsa帳戶|Ben代墊|Ariel代墊|中信銀行共用"")), ""內部轉帳(忽略)"",
  AND(E534&lt;&gt;"""", F534&lt;&gt;"""", NOT(REG"&amp;"EXMATCH(C534, ""薪資""))), ""內部轉帳(忽略)"",
  REGEXMATCH(C534, ""薪資""), ""薪資變動(不計入)"",
  REGEXMATCH(C534, ""押金""), ""押金往來"",
  AND(E534&lt;&gt;"""", F534=""""), ""真實支出"",
  AND(E534="""", F534&lt;&gt;""""), ""真實收入"",
  TRUE, ""其他""
)"),"押金往來")</f>
        <v>押金往來</v>
      </c>
      <c r="K534">
        <f t="shared" si="2"/>
        <v>0</v>
      </c>
      <c r="L534">
        <f t="shared" si="3"/>
        <v>0</v>
      </c>
    </row>
    <row r="535">
      <c r="A535" s="107">
        <f>IFERROR(__xludf.DUMMYFUNCTION("""COMPUTED_VALUE"""),45482.0)</f>
        <v>45482</v>
      </c>
      <c r="B535" t="str">
        <f>IFERROR(__xludf.DUMMYFUNCTION("""COMPUTED_VALUE"""),"市府爺爺家 管理費9-12月")</f>
        <v>市府爺爺家 管理費9-12月</v>
      </c>
      <c r="C535" t="str">
        <f>IFERROR(__xludf.DUMMYFUNCTION("""COMPUTED_VALUE"""),"成本 - 固定開銷(網路代收清潔)")</f>
        <v>成本 - 固定開銷(網路代收清潔)</v>
      </c>
      <c r="D535" s="270">
        <f>IFERROR(__xludf.DUMMYFUNCTION("""COMPUTED_VALUE"""),-2000.0)</f>
        <v>-2000</v>
      </c>
      <c r="E535" t="str">
        <f>IFERROR(__xludf.DUMMYFUNCTION("""COMPUTED_VALUE"""),"Elsa帳戶")</f>
        <v>Elsa帳戶</v>
      </c>
      <c r="G535" t="str">
        <f>IFERROR(__xludf.DUMMYFUNCTION("""COMPUTED_VALUE"""),"市府爺爺家")</f>
        <v>市府爺爺家</v>
      </c>
      <c r="H535" s="106" t="str">
        <f t="shared" si="1"/>
        <v>2024-07</v>
      </c>
      <c r="I535" s="271" t="str">
        <f>IFERROR(__xludf.DUMMYFUNCTION("""COMPUTED_VALUE"""),"貓狗企鵝")</f>
        <v>貓狗企鵝</v>
      </c>
      <c r="J535" t="str">
        <f>IFERROR(__xludf.DUMMYFUNCTION("IFS(
  AND(REGEXMATCH(E535, ""台銀籌備帳戶|玉山帳戶""), REGEXMATCH(C535, ""薪資"")), ""分潤支出"",
  AND(REGEXMATCH(E535, ""Ben帳戶|Elsa帳戶|Ben代墊|Ariel代墊|中信銀行共用""), REGEXMATCH(F535, ""Ben帳戶|Elsa帳戶|Ben代墊|Ariel代墊|中信銀行共用"")), ""內部轉帳(忽略)"",
  AND(E535&lt;&gt;"""", F535&lt;&gt;"""", NOT(REG"&amp;"EXMATCH(C535, ""薪資""))), ""內部轉帳(忽略)"",
  REGEXMATCH(C535, ""薪資""), ""薪資變動(不計入)"",
  REGEXMATCH(C535, ""押金""), ""押金往來"",
  AND(E535&lt;&gt;"""", F535=""""), ""真實支出"",
  AND(E535="""", F535&lt;&gt;""""), ""真實收入"",
  TRUE, ""其他""
)"),"真實支出")</f>
        <v>真實支出</v>
      </c>
      <c r="K535" s="270">
        <f t="shared" si="2"/>
        <v>-2000</v>
      </c>
      <c r="L535">
        <f t="shared" si="3"/>
        <v>0</v>
      </c>
    </row>
    <row r="536">
      <c r="A536" s="107">
        <f>IFERROR(__xludf.DUMMYFUNCTION("""COMPUTED_VALUE"""),45482.0)</f>
        <v>45482</v>
      </c>
      <c r="B536" t="str">
        <f>IFERROR(__xludf.DUMMYFUNCTION("""COMPUTED_VALUE"""),"大湖冷氣補助(貨物稅)")</f>
        <v>大湖冷氣補助(貨物稅)</v>
      </c>
      <c r="C536" t="str">
        <f>IFERROR(__xludf.DUMMYFUNCTION("""COMPUTED_VALUE"""),"收入 - 政府補助/退稅")</f>
        <v>收入 - 政府補助/退稅</v>
      </c>
      <c r="D536" s="270">
        <f>IFERROR(__xludf.DUMMYFUNCTION("""COMPUTED_VALUE"""),1600.0)</f>
        <v>1600</v>
      </c>
      <c r="F536" t="str">
        <f>IFERROR(__xludf.DUMMYFUNCTION("""COMPUTED_VALUE"""),"Elsa帳戶")</f>
        <v>Elsa帳戶</v>
      </c>
      <c r="G536" t="str">
        <f>IFERROR(__xludf.DUMMYFUNCTION("""COMPUTED_VALUE"""),"大湖山莊")</f>
        <v>大湖山莊</v>
      </c>
      <c r="H536" s="106" t="str">
        <f t="shared" si="1"/>
        <v>2024-07</v>
      </c>
      <c r="I536" s="271" t="str">
        <f>IFERROR(__xludf.DUMMYFUNCTION("""COMPUTED_VALUE"""),"貓狗企鵝")</f>
        <v>貓狗企鵝</v>
      </c>
      <c r="J536" t="str">
        <f>IFERROR(__xludf.DUMMYFUNCTION("IFS(
  AND(REGEXMATCH(E536, ""台銀籌備帳戶|玉山帳戶""), REGEXMATCH(C536, ""薪資"")), ""分潤支出"",
  AND(REGEXMATCH(E536, ""Ben帳戶|Elsa帳戶|Ben代墊|Ariel代墊|中信銀行共用""), REGEXMATCH(F536, ""Ben帳戶|Elsa帳戶|Ben代墊|Ariel代墊|中信銀行共用"")), ""內部轉帳(忽略)"",
  AND(E536&lt;&gt;"""", F536&lt;&gt;"""", NOT(REG"&amp;"EXMATCH(C536, ""薪資""))), ""內部轉帳(忽略)"",
  REGEXMATCH(C536, ""薪資""), ""薪資變動(不計入)"",
  REGEXMATCH(C536, ""押金""), ""押金往來"",
  AND(E536&lt;&gt;"""", F536=""""), ""真實支出"",
  AND(E536="""", F536&lt;&gt;""""), ""真實收入"",
  TRUE, ""其他""
)"),"真實收入")</f>
        <v>真實收入</v>
      </c>
      <c r="K536" s="270">
        <f t="shared" si="2"/>
        <v>1600</v>
      </c>
      <c r="L536">
        <f t="shared" si="3"/>
        <v>0</v>
      </c>
    </row>
    <row r="537">
      <c r="A537" s="107">
        <f>IFERROR(__xludf.DUMMYFUNCTION("""COMPUTED_VALUE"""),45482.0)</f>
        <v>45482</v>
      </c>
      <c r="B537" t="str">
        <f>IFERROR(__xludf.DUMMYFUNCTION("""COMPUTED_VALUE"""),"大湖冷氣補助(貨物稅)")</f>
        <v>大湖冷氣補助(貨物稅)</v>
      </c>
      <c r="C537" t="str">
        <f>IFERROR(__xludf.DUMMYFUNCTION("""COMPUTED_VALUE"""),"收入 - 政府補助/退稅")</f>
        <v>收入 - 政府補助/退稅</v>
      </c>
      <c r="D537" s="270">
        <f>IFERROR(__xludf.DUMMYFUNCTION("""COMPUTED_VALUE"""),2000.0)</f>
        <v>2000</v>
      </c>
      <c r="F537" t="str">
        <f>IFERROR(__xludf.DUMMYFUNCTION("""COMPUTED_VALUE"""),"Elsa帳戶")</f>
        <v>Elsa帳戶</v>
      </c>
      <c r="G537" t="str">
        <f>IFERROR(__xludf.DUMMYFUNCTION("""COMPUTED_VALUE"""),"大湖山莊")</f>
        <v>大湖山莊</v>
      </c>
      <c r="H537" s="106" t="str">
        <f t="shared" si="1"/>
        <v>2024-07</v>
      </c>
      <c r="I537" s="271" t="str">
        <f>IFERROR(__xludf.DUMMYFUNCTION("""COMPUTED_VALUE"""),"貓狗企鵝")</f>
        <v>貓狗企鵝</v>
      </c>
      <c r="J537" t="str">
        <f>IFERROR(__xludf.DUMMYFUNCTION("IFS(
  AND(REGEXMATCH(E537, ""台銀籌備帳戶|玉山帳戶""), REGEXMATCH(C537, ""薪資"")), ""分潤支出"",
  AND(REGEXMATCH(E537, ""Ben帳戶|Elsa帳戶|Ben代墊|Ariel代墊|中信銀行共用""), REGEXMATCH(F537, ""Ben帳戶|Elsa帳戶|Ben代墊|Ariel代墊|中信銀行共用"")), ""內部轉帳(忽略)"",
  AND(E537&lt;&gt;"""", F537&lt;&gt;"""", NOT(REG"&amp;"EXMATCH(C537, ""薪資""))), ""內部轉帳(忽略)"",
  REGEXMATCH(C537, ""薪資""), ""薪資變動(不計入)"",
  REGEXMATCH(C537, ""押金""), ""押金往來"",
  AND(E537&lt;&gt;"""", F537=""""), ""真實支出"",
  AND(E537="""", F537&lt;&gt;""""), ""真實收入"",
  TRUE, ""其他""
)"),"真實收入")</f>
        <v>真實收入</v>
      </c>
      <c r="K537" s="270">
        <f t="shared" si="2"/>
        <v>2000</v>
      </c>
      <c r="L537">
        <f t="shared" si="3"/>
        <v>0</v>
      </c>
    </row>
    <row r="538">
      <c r="A538" s="107">
        <f>IFERROR(__xludf.DUMMYFUNCTION("""COMPUTED_VALUE"""),45483.0)</f>
        <v>45483</v>
      </c>
      <c r="B538" t="str">
        <f>IFERROR(__xludf.DUMMYFUNCTION("""COMPUTED_VALUE"""),"南港拆除")</f>
        <v>南港拆除</v>
      </c>
      <c r="C538" t="str">
        <f>IFERROR(__xludf.DUMMYFUNCTION("""COMPUTED_VALUE"""),"成本 - 進場前裝潢費")</f>
        <v>成本 - 進場前裝潢費</v>
      </c>
      <c r="D538" s="270">
        <f>IFERROR(__xludf.DUMMYFUNCTION("""COMPUTED_VALUE"""),-16815.0)</f>
        <v>-16815</v>
      </c>
      <c r="E538" t="str">
        <f>IFERROR(__xludf.DUMMYFUNCTION("""COMPUTED_VALUE"""),"台銀籌備帳戶")</f>
        <v>台銀籌備帳戶</v>
      </c>
      <c r="G538" t="str">
        <f>IFERROR(__xludf.DUMMYFUNCTION("""COMPUTED_VALUE"""),"南港站挑高宅")</f>
        <v>南港站挑高宅</v>
      </c>
      <c r="H538" s="106" t="str">
        <f t="shared" si="1"/>
        <v>2024-07</v>
      </c>
      <c r="I538" s="271" t="str">
        <f>IFERROR(__xludf.DUMMYFUNCTION("""COMPUTED_VALUE"""),"貓狗企鵝")</f>
        <v>貓狗企鵝</v>
      </c>
      <c r="J538" t="str">
        <f>IFERROR(__xludf.DUMMYFUNCTION("IFS(
  AND(REGEXMATCH(E538, ""台銀籌備帳戶|玉山帳戶""), REGEXMATCH(C538, ""薪資"")), ""分潤支出"",
  AND(REGEXMATCH(E538, ""Ben帳戶|Elsa帳戶|Ben代墊|Ariel代墊|中信銀行共用""), REGEXMATCH(F538, ""Ben帳戶|Elsa帳戶|Ben代墊|Ariel代墊|中信銀行共用"")), ""內部轉帳(忽略)"",
  AND(E538&lt;&gt;"""", F538&lt;&gt;"""", NOT(REG"&amp;"EXMATCH(C538, ""薪資""))), ""內部轉帳(忽略)"",
  REGEXMATCH(C538, ""薪資""), ""薪資變動(不計入)"",
  REGEXMATCH(C538, ""押金""), ""押金往來"",
  AND(E538&lt;&gt;"""", F538=""""), ""真實支出"",
  AND(E538="""", F538&lt;&gt;""""), ""真實收入"",
  TRUE, ""其他""
)"),"真實支出")</f>
        <v>真實支出</v>
      </c>
      <c r="K538" s="270">
        <f t="shared" si="2"/>
        <v>-16815</v>
      </c>
      <c r="L538">
        <f t="shared" si="3"/>
        <v>0</v>
      </c>
    </row>
    <row r="539">
      <c r="A539" s="107">
        <f>IFERROR(__xludf.DUMMYFUNCTION("""COMPUTED_VALUE"""),45483.0)</f>
        <v>45483</v>
      </c>
      <c r="B539" t="str">
        <f>IFERROR(__xludf.DUMMYFUNCTION("""COMPUTED_VALUE"""),"南港毛拆除")</f>
        <v>南港毛拆除</v>
      </c>
      <c r="C539" t="str">
        <f>IFERROR(__xludf.DUMMYFUNCTION("""COMPUTED_VALUE"""),"成本 - 進場前裝潢費")</f>
        <v>成本 - 進場前裝潢費</v>
      </c>
      <c r="D539" s="270">
        <f>IFERROR(__xludf.DUMMYFUNCTION("""COMPUTED_VALUE"""),-2115.0)</f>
        <v>-2115</v>
      </c>
      <c r="E539" t="str">
        <f>IFERROR(__xludf.DUMMYFUNCTION("""COMPUTED_VALUE"""),"台銀籌備帳戶")</f>
        <v>台銀籌備帳戶</v>
      </c>
      <c r="G539" t="str">
        <f>IFERROR(__xludf.DUMMYFUNCTION("""COMPUTED_VALUE"""),"南港站挑高宅")</f>
        <v>南港站挑高宅</v>
      </c>
      <c r="H539" s="106" t="str">
        <f t="shared" si="1"/>
        <v>2024-07</v>
      </c>
      <c r="I539" s="271" t="str">
        <f>IFERROR(__xludf.DUMMYFUNCTION("""COMPUTED_VALUE"""),"貓狗企鵝")</f>
        <v>貓狗企鵝</v>
      </c>
      <c r="J539" t="str">
        <f>IFERROR(__xludf.DUMMYFUNCTION("IFS(
  AND(REGEXMATCH(E539, ""台銀籌備帳戶|玉山帳戶""), REGEXMATCH(C539, ""薪資"")), ""分潤支出"",
  AND(REGEXMATCH(E539, ""Ben帳戶|Elsa帳戶|Ben代墊|Ariel代墊|中信銀行共用""), REGEXMATCH(F539, ""Ben帳戶|Elsa帳戶|Ben代墊|Ariel代墊|中信銀行共用"")), ""內部轉帳(忽略)"",
  AND(E539&lt;&gt;"""", F539&lt;&gt;"""", NOT(REG"&amp;"EXMATCH(C539, ""薪資""))), ""內部轉帳(忽略)"",
  REGEXMATCH(C539, ""薪資""), ""薪資變動(不計入)"",
  REGEXMATCH(C539, ""押金""), ""押金往來"",
  AND(E539&lt;&gt;"""", F539=""""), ""真實支出"",
  AND(E539="""", F539&lt;&gt;""""), ""真實收入"",
  TRUE, ""其他""
)"),"真實支出")</f>
        <v>真實支出</v>
      </c>
      <c r="K539" s="270">
        <f t="shared" si="2"/>
        <v>-2115</v>
      </c>
      <c r="L539">
        <f t="shared" si="3"/>
        <v>0</v>
      </c>
    </row>
    <row r="540">
      <c r="A540" s="107">
        <f>IFERROR(__xludf.DUMMYFUNCTION("""COMPUTED_VALUE"""),45484.0)</f>
        <v>45484</v>
      </c>
      <c r="B540" t="str">
        <f>IFERROR(__xludf.DUMMYFUNCTION("""COMPUTED_VALUE"""),"南港夾層單人床")</f>
        <v>南港夾層單人床</v>
      </c>
      <c r="C540" t="str">
        <f>IFERROR(__xludf.DUMMYFUNCTION("""COMPUTED_VALUE"""),"成本 - 進場前裝潢費")</f>
        <v>成本 - 進場前裝潢費</v>
      </c>
      <c r="D540" s="270">
        <f>IFERROR(__xludf.DUMMYFUNCTION("""COMPUTED_VALUE"""),-9000.0)</f>
        <v>-9000</v>
      </c>
      <c r="E540" t="str">
        <f>IFERROR(__xludf.DUMMYFUNCTION("""COMPUTED_VALUE"""),"Ben帳戶")</f>
        <v>Ben帳戶</v>
      </c>
      <c r="G540" t="str">
        <f>IFERROR(__xludf.DUMMYFUNCTION("""COMPUTED_VALUE"""),"南港站挑高宅")</f>
        <v>南港站挑高宅</v>
      </c>
      <c r="H540" s="106" t="str">
        <f t="shared" si="1"/>
        <v>2024-07</v>
      </c>
      <c r="I540" s="271" t="str">
        <f>IFERROR(__xludf.DUMMYFUNCTION("""COMPUTED_VALUE"""),"貓狗企鵝")</f>
        <v>貓狗企鵝</v>
      </c>
      <c r="J540" t="str">
        <f>IFERROR(__xludf.DUMMYFUNCTION("IFS(
  AND(REGEXMATCH(E540, ""台銀籌備帳戶|玉山帳戶""), REGEXMATCH(C540, ""薪資"")), ""分潤支出"",
  AND(REGEXMATCH(E540, ""Ben帳戶|Elsa帳戶|Ben代墊|Ariel代墊|中信銀行共用""), REGEXMATCH(F540, ""Ben帳戶|Elsa帳戶|Ben代墊|Ariel代墊|中信銀行共用"")), ""內部轉帳(忽略)"",
  AND(E540&lt;&gt;"""", F540&lt;&gt;"""", NOT(REG"&amp;"EXMATCH(C540, ""薪資""))), ""內部轉帳(忽略)"",
  REGEXMATCH(C540, ""薪資""), ""薪資變動(不計入)"",
  REGEXMATCH(C540, ""押金""), ""押金往來"",
  AND(E540&lt;&gt;"""", F540=""""), ""真實支出"",
  AND(E540="""", F540&lt;&gt;""""), ""真實收入"",
  TRUE, ""其他""
)"),"真實支出")</f>
        <v>真實支出</v>
      </c>
      <c r="K540" s="270">
        <f t="shared" si="2"/>
        <v>-9000</v>
      </c>
      <c r="L540">
        <f t="shared" si="3"/>
        <v>0</v>
      </c>
    </row>
    <row r="541">
      <c r="A541" s="107">
        <f>IFERROR(__xludf.DUMMYFUNCTION("""COMPUTED_VALUE"""),45484.0)</f>
        <v>45484</v>
      </c>
      <c r="B541" t="str">
        <f>IFERROR(__xludf.DUMMYFUNCTION("""COMPUTED_VALUE"""),"移動式冷氣")</f>
        <v>移動式冷氣</v>
      </c>
      <c r="C541" t="str">
        <f>IFERROR(__xludf.DUMMYFUNCTION("""COMPUTED_VALUE"""),"成本 - 進場前裝潢費")</f>
        <v>成本 - 進場前裝潢費</v>
      </c>
      <c r="D541" s="270">
        <f>IFERROR(__xludf.DUMMYFUNCTION("""COMPUTED_VALUE"""),-9717.0)</f>
        <v>-9717</v>
      </c>
      <c r="E541" t="str">
        <f>IFERROR(__xludf.DUMMYFUNCTION("""COMPUTED_VALUE"""),"Ben帳戶")</f>
        <v>Ben帳戶</v>
      </c>
      <c r="G541" t="str">
        <f>IFERROR(__xludf.DUMMYFUNCTION("""COMPUTED_VALUE"""),"市府爺爺家")</f>
        <v>市府爺爺家</v>
      </c>
      <c r="H541" s="106" t="str">
        <f t="shared" si="1"/>
        <v>2024-07</v>
      </c>
      <c r="I541" s="271" t="str">
        <f>IFERROR(__xludf.DUMMYFUNCTION("""COMPUTED_VALUE"""),"貓狗企鵝")</f>
        <v>貓狗企鵝</v>
      </c>
      <c r="J541" t="str">
        <f>IFERROR(__xludf.DUMMYFUNCTION("IFS(
  AND(REGEXMATCH(E541, ""台銀籌備帳戶|玉山帳戶""), REGEXMATCH(C541, ""薪資"")), ""分潤支出"",
  AND(REGEXMATCH(E541, ""Ben帳戶|Elsa帳戶|Ben代墊|Ariel代墊|中信銀行共用""), REGEXMATCH(F541, ""Ben帳戶|Elsa帳戶|Ben代墊|Ariel代墊|中信銀行共用"")), ""內部轉帳(忽略)"",
  AND(E541&lt;&gt;"""", F541&lt;&gt;"""", NOT(REG"&amp;"EXMATCH(C541, ""薪資""))), ""內部轉帳(忽略)"",
  REGEXMATCH(C541, ""薪資""), ""薪資變動(不計入)"",
  REGEXMATCH(C541, ""押金""), ""押金往來"",
  AND(E541&lt;&gt;"""", F541=""""), ""真實支出"",
  AND(E541="""", F541&lt;&gt;""""), ""真實收入"",
  TRUE, ""其他""
)"),"真實支出")</f>
        <v>真實支出</v>
      </c>
      <c r="K541" s="270">
        <f t="shared" si="2"/>
        <v>-9717</v>
      </c>
      <c r="L541">
        <f t="shared" si="3"/>
        <v>0</v>
      </c>
    </row>
    <row r="542">
      <c r="A542" s="107">
        <f>IFERROR(__xludf.DUMMYFUNCTION("""COMPUTED_VALUE"""),45484.0)</f>
        <v>45484</v>
      </c>
      <c r="B542" t="str">
        <f>IFERROR(__xludf.DUMMYFUNCTION("""COMPUTED_VALUE"""),"淘寶運費")</f>
        <v>淘寶運費</v>
      </c>
      <c r="C542" t="str">
        <f>IFERROR(__xludf.DUMMYFUNCTION("""COMPUTED_VALUE"""),"成本 - 進場前裝潢費")</f>
        <v>成本 - 進場前裝潢費</v>
      </c>
      <c r="D542" s="270">
        <f>IFERROR(__xludf.DUMMYFUNCTION("""COMPUTED_VALUE"""),-6017.0)</f>
        <v>-6017</v>
      </c>
      <c r="E542" t="str">
        <f>IFERROR(__xludf.DUMMYFUNCTION("""COMPUTED_VALUE"""),"Ben帳戶")</f>
        <v>Ben帳戶</v>
      </c>
      <c r="G542" t="str">
        <f>IFERROR(__xludf.DUMMYFUNCTION("""COMPUTED_VALUE"""),"南港站挑高宅")</f>
        <v>南港站挑高宅</v>
      </c>
      <c r="H542" s="106" t="str">
        <f t="shared" si="1"/>
        <v>2024-07</v>
      </c>
      <c r="I542" s="271" t="str">
        <f>IFERROR(__xludf.DUMMYFUNCTION("""COMPUTED_VALUE"""),"貓狗企鵝")</f>
        <v>貓狗企鵝</v>
      </c>
      <c r="J542" t="str">
        <f>IFERROR(__xludf.DUMMYFUNCTION("IFS(
  AND(REGEXMATCH(E542, ""台銀籌備帳戶|玉山帳戶""), REGEXMATCH(C542, ""薪資"")), ""分潤支出"",
  AND(REGEXMATCH(E542, ""Ben帳戶|Elsa帳戶|Ben代墊|Ariel代墊|中信銀行共用""), REGEXMATCH(F542, ""Ben帳戶|Elsa帳戶|Ben代墊|Ariel代墊|中信銀行共用"")), ""內部轉帳(忽略)"",
  AND(E542&lt;&gt;"""", F542&lt;&gt;"""", NOT(REG"&amp;"EXMATCH(C542, ""薪資""))), ""內部轉帳(忽略)"",
  REGEXMATCH(C542, ""薪資""), ""薪資變動(不計入)"",
  REGEXMATCH(C542, ""押金""), ""押金往來"",
  AND(E542&lt;&gt;"""", F542=""""), ""真實支出"",
  AND(E542="""", F542&lt;&gt;""""), ""真實收入"",
  TRUE, ""其他""
)"),"真實支出")</f>
        <v>真實支出</v>
      </c>
      <c r="K542" s="270">
        <f t="shared" si="2"/>
        <v>-6017</v>
      </c>
      <c r="L542">
        <f t="shared" si="3"/>
        <v>0</v>
      </c>
    </row>
    <row r="543">
      <c r="A543" s="107">
        <f>IFERROR(__xludf.DUMMYFUNCTION("""COMPUTED_VALUE"""),45484.0)</f>
        <v>45484</v>
      </c>
      <c r="B543" t="str">
        <f>IFERROR(__xludf.DUMMYFUNCTION("""COMPUTED_VALUE"""),"北醫馬桶水管")</f>
        <v>北醫馬桶水管</v>
      </c>
      <c r="C543" t="str">
        <f>IFERROR(__xludf.DUMMYFUNCTION("""COMPUTED_VALUE"""),"成本 - 進場前裝潢費")</f>
        <v>成本 - 進場前裝潢費</v>
      </c>
      <c r="D543" s="270">
        <f>IFERROR(__xludf.DUMMYFUNCTION("""COMPUTED_VALUE"""),-18365.0)</f>
        <v>-18365</v>
      </c>
      <c r="E543" t="str">
        <f>IFERROR(__xludf.DUMMYFUNCTION("""COMPUTED_VALUE"""),"台銀籌備帳戶")</f>
        <v>台銀籌備帳戶</v>
      </c>
      <c r="G543" t="str">
        <f>IFERROR(__xludf.DUMMYFUNCTION("""COMPUTED_VALUE"""),"北醫醫師府")</f>
        <v>北醫醫師府</v>
      </c>
      <c r="H543" s="106" t="str">
        <f t="shared" si="1"/>
        <v>2024-07</v>
      </c>
      <c r="I543" s="271" t="str">
        <f>IFERROR(__xludf.DUMMYFUNCTION("""COMPUTED_VALUE"""),"貓狗企鵝")</f>
        <v>貓狗企鵝</v>
      </c>
      <c r="J543" t="str">
        <f>IFERROR(__xludf.DUMMYFUNCTION("IFS(
  AND(REGEXMATCH(E543, ""台銀籌備帳戶|玉山帳戶""), REGEXMATCH(C543, ""薪資"")), ""分潤支出"",
  AND(REGEXMATCH(E543, ""Ben帳戶|Elsa帳戶|Ben代墊|Ariel代墊|中信銀行共用""), REGEXMATCH(F543, ""Ben帳戶|Elsa帳戶|Ben代墊|Ariel代墊|中信銀行共用"")), ""內部轉帳(忽略)"",
  AND(E543&lt;&gt;"""", F543&lt;&gt;"""", NOT(REG"&amp;"EXMATCH(C543, ""薪資""))), ""內部轉帳(忽略)"",
  REGEXMATCH(C543, ""薪資""), ""薪資變動(不計入)"",
  REGEXMATCH(C543, ""押金""), ""押金往來"",
  AND(E543&lt;&gt;"""", F543=""""), ""真實支出"",
  AND(E543="""", F543&lt;&gt;""""), ""真實收入"",
  TRUE, ""其他""
)"),"真實支出")</f>
        <v>真實支出</v>
      </c>
      <c r="K543" s="270">
        <f t="shared" si="2"/>
        <v>-18365</v>
      </c>
      <c r="L543">
        <f t="shared" si="3"/>
        <v>0</v>
      </c>
    </row>
    <row r="544">
      <c r="A544" s="107">
        <f>IFERROR(__xludf.DUMMYFUNCTION("""COMPUTED_VALUE"""),45484.0)</f>
        <v>45484</v>
      </c>
      <c r="B544" t="str">
        <f>IFERROR(__xludf.DUMMYFUNCTION("""COMPUTED_VALUE"""),"心朋二代健保")</f>
        <v>心朋二代健保</v>
      </c>
      <c r="C544" t="str">
        <f>IFERROR(__xludf.DUMMYFUNCTION("""COMPUTED_VALUE"""),"成本 - 稅金")</f>
        <v>成本 - 稅金</v>
      </c>
      <c r="D544" s="270">
        <f>IFERROR(__xludf.DUMMYFUNCTION("""COMPUTED_VALUE"""),-15716.0)</f>
        <v>-15716</v>
      </c>
      <c r="E544" t="str">
        <f>IFERROR(__xludf.DUMMYFUNCTION("""COMPUTED_VALUE"""),"台銀籌備帳戶")</f>
        <v>台銀籌備帳戶</v>
      </c>
      <c r="H544" s="106" t="str">
        <f t="shared" si="1"/>
        <v>2024-07</v>
      </c>
      <c r="I544" s="271" t="str">
        <f>IFERROR(__xludf.DUMMYFUNCTION("""COMPUTED_VALUE"""),"貓狗企鵝")</f>
        <v>貓狗企鵝</v>
      </c>
      <c r="J544" t="str">
        <f>IFERROR(__xludf.DUMMYFUNCTION("IFS(
  AND(REGEXMATCH(E544, ""台銀籌備帳戶|玉山帳戶""), REGEXMATCH(C544, ""薪資"")), ""分潤支出"",
  AND(REGEXMATCH(E544, ""Ben帳戶|Elsa帳戶|Ben代墊|Ariel代墊|中信銀行共用""), REGEXMATCH(F544, ""Ben帳戶|Elsa帳戶|Ben代墊|Ariel代墊|中信銀行共用"")), ""內部轉帳(忽略)"",
  AND(E544&lt;&gt;"""", F544&lt;&gt;"""", NOT(REG"&amp;"EXMATCH(C544, ""薪資""))), ""內部轉帳(忽略)"",
  REGEXMATCH(C544, ""薪資""), ""薪資變動(不計入)"",
  REGEXMATCH(C544, ""押金""), ""押金往來"",
  AND(E544&lt;&gt;"""", F544=""""), ""真實支出"",
  AND(E544="""", F544&lt;&gt;""""), ""真實收入"",
  TRUE, ""其他""
)"),"真實支出")</f>
        <v>真實支出</v>
      </c>
      <c r="K544" s="270">
        <f t="shared" si="2"/>
        <v>-15716</v>
      </c>
      <c r="L544">
        <f t="shared" si="3"/>
        <v>0</v>
      </c>
    </row>
    <row r="545">
      <c r="A545" s="107">
        <f>IFERROR(__xludf.DUMMYFUNCTION("""COMPUTED_VALUE"""),45484.0)</f>
        <v>45484</v>
      </c>
      <c r="B545" t="str">
        <f>IFERROR(__xludf.DUMMYFUNCTION("""COMPUTED_VALUE"""),"市府爺爺租金")</f>
        <v>市府爺爺租金</v>
      </c>
      <c r="C545" t="str">
        <f>IFERROR(__xludf.DUMMYFUNCTION("""COMPUTED_VALUE"""),"成本 - 大租金")</f>
        <v>成本 - 大租金</v>
      </c>
      <c r="D545" s="270">
        <f>IFERROR(__xludf.DUMMYFUNCTION("""COMPUTED_VALUE"""),-12015.0)</f>
        <v>-12015</v>
      </c>
      <c r="E545" t="str">
        <f>IFERROR(__xludf.DUMMYFUNCTION("""COMPUTED_VALUE"""),"台銀籌備帳戶")</f>
        <v>台銀籌備帳戶</v>
      </c>
      <c r="G545" t="str">
        <f>IFERROR(__xludf.DUMMYFUNCTION("""COMPUTED_VALUE"""),"市府爺爺家")</f>
        <v>市府爺爺家</v>
      </c>
      <c r="H545" s="106" t="str">
        <f t="shared" si="1"/>
        <v>2024-07</v>
      </c>
      <c r="I545" s="271" t="str">
        <f>IFERROR(__xludf.DUMMYFUNCTION("""COMPUTED_VALUE"""),"貓狗企鵝")</f>
        <v>貓狗企鵝</v>
      </c>
      <c r="J545" t="str">
        <f>IFERROR(__xludf.DUMMYFUNCTION("IFS(
  AND(REGEXMATCH(E545, ""台銀籌備帳戶|玉山帳戶""), REGEXMATCH(C545, ""薪資"")), ""分潤支出"",
  AND(REGEXMATCH(E545, ""Ben帳戶|Elsa帳戶|Ben代墊|Ariel代墊|中信銀行共用""), REGEXMATCH(F545, ""Ben帳戶|Elsa帳戶|Ben代墊|Ariel代墊|中信銀行共用"")), ""內部轉帳(忽略)"",
  AND(E545&lt;&gt;"""", F545&lt;&gt;"""", NOT(REG"&amp;"EXMATCH(C545, ""薪資""))), ""內部轉帳(忽略)"",
  REGEXMATCH(C545, ""薪資""), ""薪資變動(不計入)"",
  REGEXMATCH(C545, ""押金""), ""押金往來"",
  AND(E545&lt;&gt;"""", F545=""""), ""真實支出"",
  AND(E545="""", F545&lt;&gt;""""), ""真實收入"",
  TRUE, ""其他""
)"),"真實支出")</f>
        <v>真實支出</v>
      </c>
      <c r="K545" s="270">
        <f t="shared" si="2"/>
        <v>-12015</v>
      </c>
      <c r="L545">
        <f t="shared" si="3"/>
        <v>0</v>
      </c>
    </row>
    <row r="546">
      <c r="A546" s="107">
        <f>IFERROR(__xludf.DUMMYFUNCTION("""COMPUTED_VALUE"""),45485.0)</f>
        <v>45485</v>
      </c>
      <c r="B546" t="str">
        <f>IFERROR(__xludf.DUMMYFUNCTION("""COMPUTED_VALUE"""),"IKEA傢俱+運費+組裝費")</f>
        <v>IKEA傢俱+運費+組裝費</v>
      </c>
      <c r="C546" t="str">
        <f>IFERROR(__xludf.DUMMYFUNCTION("""COMPUTED_VALUE"""),"成本 - 進場前裝潢費")</f>
        <v>成本 - 進場前裝潢費</v>
      </c>
      <c r="D546" s="270">
        <f>IFERROR(__xludf.DUMMYFUNCTION("""COMPUTED_VALUE"""),-18456.0)</f>
        <v>-18456</v>
      </c>
      <c r="E546" t="str">
        <f>IFERROR(__xludf.DUMMYFUNCTION("""COMPUTED_VALUE"""),"Elsa帳戶")</f>
        <v>Elsa帳戶</v>
      </c>
      <c r="G546" t="str">
        <f>IFERROR(__xludf.DUMMYFUNCTION("""COMPUTED_VALUE"""),"市府爺爺家")</f>
        <v>市府爺爺家</v>
      </c>
      <c r="H546" s="106" t="str">
        <f t="shared" si="1"/>
        <v>2024-07</v>
      </c>
      <c r="I546" s="271" t="str">
        <f>IFERROR(__xludf.DUMMYFUNCTION("""COMPUTED_VALUE"""),"貓狗企鵝")</f>
        <v>貓狗企鵝</v>
      </c>
      <c r="J546" t="str">
        <f>IFERROR(__xludf.DUMMYFUNCTION("IFS(
  AND(REGEXMATCH(E546, ""台銀籌備帳戶|玉山帳戶""), REGEXMATCH(C546, ""薪資"")), ""分潤支出"",
  AND(REGEXMATCH(E546, ""Ben帳戶|Elsa帳戶|Ben代墊|Ariel代墊|中信銀行共用""), REGEXMATCH(F546, ""Ben帳戶|Elsa帳戶|Ben代墊|Ariel代墊|中信銀行共用"")), ""內部轉帳(忽略)"",
  AND(E546&lt;&gt;"""", F546&lt;&gt;"""", NOT(REG"&amp;"EXMATCH(C546, ""薪資""))), ""內部轉帳(忽略)"",
  REGEXMATCH(C546, ""薪資""), ""薪資變動(不計入)"",
  REGEXMATCH(C546, ""押金""), ""押金往來"",
  AND(E546&lt;&gt;"""", F546=""""), ""真實支出"",
  AND(E546="""", F546&lt;&gt;""""), ""真實收入"",
  TRUE, ""其他""
)"),"真實支出")</f>
        <v>真實支出</v>
      </c>
      <c r="K546" s="270">
        <f t="shared" si="2"/>
        <v>-18456</v>
      </c>
      <c r="L546">
        <f t="shared" si="3"/>
        <v>0</v>
      </c>
    </row>
    <row r="547">
      <c r="A547" s="107">
        <f>IFERROR(__xludf.DUMMYFUNCTION("""COMPUTED_VALUE"""),45485.0)</f>
        <v>45485</v>
      </c>
      <c r="B547" t="str">
        <f>IFERROR(__xludf.DUMMYFUNCTION("""COMPUTED_VALUE"""),"MoMo桌子")</f>
        <v>MoMo桌子</v>
      </c>
      <c r="C547" t="str">
        <f>IFERROR(__xludf.DUMMYFUNCTION("""COMPUTED_VALUE"""),"成本 - 進場前裝潢費")</f>
        <v>成本 - 進場前裝潢費</v>
      </c>
      <c r="D547" s="270">
        <f>IFERROR(__xludf.DUMMYFUNCTION("""COMPUTED_VALUE"""),-901.0)</f>
        <v>-901</v>
      </c>
      <c r="E547" t="str">
        <f>IFERROR(__xludf.DUMMYFUNCTION("""COMPUTED_VALUE"""),"Elsa帳戶")</f>
        <v>Elsa帳戶</v>
      </c>
      <c r="G547" t="str">
        <f>IFERROR(__xludf.DUMMYFUNCTION("""COMPUTED_VALUE"""),"市府爺爺家")</f>
        <v>市府爺爺家</v>
      </c>
      <c r="H547" s="106" t="str">
        <f t="shared" si="1"/>
        <v>2024-07</v>
      </c>
      <c r="I547" s="271" t="str">
        <f>IFERROR(__xludf.DUMMYFUNCTION("""COMPUTED_VALUE"""),"貓狗企鵝")</f>
        <v>貓狗企鵝</v>
      </c>
      <c r="J547" t="str">
        <f>IFERROR(__xludf.DUMMYFUNCTION("IFS(
  AND(REGEXMATCH(E547, ""台銀籌備帳戶|玉山帳戶""), REGEXMATCH(C547, ""薪資"")), ""分潤支出"",
  AND(REGEXMATCH(E547, ""Ben帳戶|Elsa帳戶|Ben代墊|Ariel代墊|中信銀行共用""), REGEXMATCH(F547, ""Ben帳戶|Elsa帳戶|Ben代墊|Ariel代墊|中信銀行共用"")), ""內部轉帳(忽略)"",
  AND(E547&lt;&gt;"""", F547&lt;&gt;"""", NOT(REG"&amp;"EXMATCH(C547, ""薪資""))), ""內部轉帳(忽略)"",
  REGEXMATCH(C547, ""薪資""), ""薪資變動(不計入)"",
  REGEXMATCH(C547, ""押金""), ""押金往來"",
  AND(E547&lt;&gt;"""", F547=""""), ""真實支出"",
  AND(E547="""", F547&lt;&gt;""""), ""真實收入"",
  TRUE, ""其他""
)"),"真實支出")</f>
        <v>真實支出</v>
      </c>
      <c r="K547" s="270">
        <f t="shared" si="2"/>
        <v>-901</v>
      </c>
      <c r="L547">
        <f t="shared" si="3"/>
        <v>0</v>
      </c>
    </row>
    <row r="548">
      <c r="A548" s="107">
        <f>IFERROR(__xludf.DUMMYFUNCTION("""COMPUTED_VALUE"""),45486.0)</f>
        <v>45486</v>
      </c>
      <c r="B548" t="str">
        <f>IFERROR(__xludf.DUMMYFUNCTION("""COMPUTED_VALUE"""),"MoMO 冰箱, 洗衣機")</f>
        <v>MoMO 冰箱, 洗衣機</v>
      </c>
      <c r="C548" t="str">
        <f>IFERROR(__xludf.DUMMYFUNCTION("""COMPUTED_VALUE"""),"成本 - 進場前裝潢費")</f>
        <v>成本 - 進場前裝潢費</v>
      </c>
      <c r="D548" s="270">
        <f>IFERROR(__xludf.DUMMYFUNCTION("""COMPUTED_VALUE"""),-22673.0)</f>
        <v>-22673</v>
      </c>
      <c r="E548" t="str">
        <f>IFERROR(__xludf.DUMMYFUNCTION("""COMPUTED_VALUE"""),"Elsa帳戶")</f>
        <v>Elsa帳戶</v>
      </c>
      <c r="G548" t="str">
        <f>IFERROR(__xludf.DUMMYFUNCTION("""COMPUTED_VALUE"""),"南港站挑高宅")</f>
        <v>南港站挑高宅</v>
      </c>
      <c r="H548" s="106" t="str">
        <f t="shared" si="1"/>
        <v>2024-07</v>
      </c>
      <c r="I548" s="271" t="str">
        <f>IFERROR(__xludf.DUMMYFUNCTION("""COMPUTED_VALUE"""),"貓狗企鵝")</f>
        <v>貓狗企鵝</v>
      </c>
      <c r="J548" t="str">
        <f>IFERROR(__xludf.DUMMYFUNCTION("IFS(
  AND(REGEXMATCH(E548, ""台銀籌備帳戶|玉山帳戶""), REGEXMATCH(C548, ""薪資"")), ""分潤支出"",
  AND(REGEXMATCH(E548, ""Ben帳戶|Elsa帳戶|Ben代墊|Ariel代墊|中信銀行共用""), REGEXMATCH(F548, ""Ben帳戶|Elsa帳戶|Ben代墊|Ariel代墊|中信銀行共用"")), ""內部轉帳(忽略)"",
  AND(E548&lt;&gt;"""", F548&lt;&gt;"""", NOT(REG"&amp;"EXMATCH(C548, ""薪資""))), ""內部轉帳(忽略)"",
  REGEXMATCH(C548, ""薪資""), ""薪資變動(不計入)"",
  REGEXMATCH(C548, ""押金""), ""押金往來"",
  AND(E548&lt;&gt;"""", F548=""""), ""真實支出"",
  AND(E548="""", F548&lt;&gt;""""), ""真實收入"",
  TRUE, ""其他""
)"),"真實支出")</f>
        <v>真實支出</v>
      </c>
      <c r="K548" s="270">
        <f t="shared" si="2"/>
        <v>-22673</v>
      </c>
      <c r="L548">
        <f t="shared" si="3"/>
        <v>0</v>
      </c>
    </row>
    <row r="549">
      <c r="A549" s="107">
        <f>IFERROR(__xludf.DUMMYFUNCTION("""COMPUTED_VALUE"""),45486.0)</f>
        <v>45486</v>
      </c>
      <c r="B549" t="str">
        <f>IFERROR(__xludf.DUMMYFUNCTION("""COMPUTED_VALUE"""),"軟裝 畫*12")</f>
        <v>軟裝 畫*12</v>
      </c>
      <c r="C549" t="str">
        <f>IFERROR(__xludf.DUMMYFUNCTION("""COMPUTED_VALUE"""),"成本 - 進場前裝潢費")</f>
        <v>成本 - 進場前裝潢費</v>
      </c>
      <c r="D549" s="270">
        <f>IFERROR(__xludf.DUMMYFUNCTION("""COMPUTED_VALUE"""),-1785.0)</f>
        <v>-1785</v>
      </c>
      <c r="E549" t="str">
        <f>IFERROR(__xludf.DUMMYFUNCTION("""COMPUTED_VALUE"""),"Ben帳戶")</f>
        <v>Ben帳戶</v>
      </c>
      <c r="G549" t="str">
        <f>IFERROR(__xludf.DUMMYFUNCTION("""COMPUTED_VALUE"""),"南港站挑高宅")</f>
        <v>南港站挑高宅</v>
      </c>
      <c r="H549" s="106" t="str">
        <f t="shared" si="1"/>
        <v>2024-07</v>
      </c>
      <c r="I549" s="271" t="str">
        <f>IFERROR(__xludf.DUMMYFUNCTION("""COMPUTED_VALUE"""),"貓狗企鵝")</f>
        <v>貓狗企鵝</v>
      </c>
      <c r="J549" t="str">
        <f>IFERROR(__xludf.DUMMYFUNCTION("IFS(
  AND(REGEXMATCH(E549, ""台銀籌備帳戶|玉山帳戶""), REGEXMATCH(C549, ""薪資"")), ""分潤支出"",
  AND(REGEXMATCH(E549, ""Ben帳戶|Elsa帳戶|Ben代墊|Ariel代墊|中信銀行共用""), REGEXMATCH(F549, ""Ben帳戶|Elsa帳戶|Ben代墊|Ariel代墊|中信銀行共用"")), ""內部轉帳(忽略)"",
  AND(E549&lt;&gt;"""", F549&lt;&gt;"""", NOT(REG"&amp;"EXMATCH(C549, ""薪資""))), ""內部轉帳(忽略)"",
  REGEXMATCH(C549, ""薪資""), ""薪資變動(不計入)"",
  REGEXMATCH(C549, ""押金""), ""押金往來"",
  AND(E549&lt;&gt;"""", F549=""""), ""真實支出"",
  AND(E549="""", F549&lt;&gt;""""), ""真實收入"",
  TRUE, ""其他""
)"),"真實支出")</f>
        <v>真實支出</v>
      </c>
      <c r="K549" s="270">
        <f t="shared" si="2"/>
        <v>-1785</v>
      </c>
      <c r="L549">
        <f t="shared" si="3"/>
        <v>0</v>
      </c>
    </row>
    <row r="550">
      <c r="A550" s="107">
        <f>IFERROR(__xludf.DUMMYFUNCTION("""COMPUTED_VALUE"""),45486.0)</f>
        <v>45486</v>
      </c>
      <c r="B550" t="str">
        <f>IFERROR(__xludf.DUMMYFUNCTION("""COMPUTED_VALUE"""),"插座轉接頭")</f>
        <v>插座轉接頭</v>
      </c>
      <c r="C550" t="str">
        <f>IFERROR(__xludf.DUMMYFUNCTION("""COMPUTED_VALUE"""),"成本 - 進場前裝潢費")</f>
        <v>成本 - 進場前裝潢費</v>
      </c>
      <c r="D550" s="270">
        <f>IFERROR(__xludf.DUMMYFUNCTION("""COMPUTED_VALUE"""),-118.0)</f>
        <v>-118</v>
      </c>
      <c r="E550" t="str">
        <f>IFERROR(__xludf.DUMMYFUNCTION("""COMPUTED_VALUE"""),"Elsa帳戶")</f>
        <v>Elsa帳戶</v>
      </c>
      <c r="G550" t="str">
        <f>IFERROR(__xludf.DUMMYFUNCTION("""COMPUTED_VALUE"""),"市府爺爺家")</f>
        <v>市府爺爺家</v>
      </c>
      <c r="H550" s="106" t="str">
        <f t="shared" si="1"/>
        <v>2024-07</v>
      </c>
      <c r="I550" s="271" t="str">
        <f>IFERROR(__xludf.DUMMYFUNCTION("""COMPUTED_VALUE"""),"貓狗企鵝")</f>
        <v>貓狗企鵝</v>
      </c>
      <c r="J550" t="str">
        <f>IFERROR(__xludf.DUMMYFUNCTION("IFS(
  AND(REGEXMATCH(E550, ""台銀籌備帳戶|玉山帳戶""), REGEXMATCH(C550, ""薪資"")), ""分潤支出"",
  AND(REGEXMATCH(E550, ""Ben帳戶|Elsa帳戶|Ben代墊|Ariel代墊|中信銀行共用""), REGEXMATCH(F550, ""Ben帳戶|Elsa帳戶|Ben代墊|Ariel代墊|中信銀行共用"")), ""內部轉帳(忽略)"",
  AND(E550&lt;&gt;"""", F550&lt;&gt;"""", NOT(REG"&amp;"EXMATCH(C550, ""薪資""))), ""內部轉帳(忽略)"",
  REGEXMATCH(C550, ""薪資""), ""薪資變動(不計入)"",
  REGEXMATCH(C550, ""押金""), ""押金往來"",
  AND(E550&lt;&gt;"""", F550=""""), ""真實支出"",
  AND(E550="""", F550&lt;&gt;""""), ""真實收入"",
  TRUE, ""其他""
)"),"真實支出")</f>
        <v>真實支出</v>
      </c>
      <c r="K550" s="270">
        <f t="shared" si="2"/>
        <v>-118</v>
      </c>
      <c r="L550">
        <f t="shared" si="3"/>
        <v>0</v>
      </c>
    </row>
    <row r="551">
      <c r="A551" s="107">
        <f>IFERROR(__xludf.DUMMYFUNCTION("""COMPUTED_VALUE"""),45486.0)</f>
        <v>45486</v>
      </c>
      <c r="B551" t="str">
        <f>IFERROR(__xludf.DUMMYFUNCTION("""COMPUTED_VALUE"""),"床")</f>
        <v>床</v>
      </c>
      <c r="C551" t="str">
        <f>IFERROR(__xludf.DUMMYFUNCTION("""COMPUTED_VALUE"""),"成本 - 進場前裝潢費")</f>
        <v>成本 - 進場前裝潢費</v>
      </c>
      <c r="D551" s="270">
        <f>IFERROR(__xludf.DUMMYFUNCTION("""COMPUTED_VALUE"""),-22047.0)</f>
        <v>-22047</v>
      </c>
      <c r="E551" t="str">
        <f>IFERROR(__xludf.DUMMYFUNCTION("""COMPUTED_VALUE"""),"Ben帳戶")</f>
        <v>Ben帳戶</v>
      </c>
      <c r="G551" t="str">
        <f>IFERROR(__xludf.DUMMYFUNCTION("""COMPUTED_VALUE"""),"南港站挑高宅")</f>
        <v>南港站挑高宅</v>
      </c>
      <c r="H551" s="106" t="str">
        <f t="shared" si="1"/>
        <v>2024-07</v>
      </c>
      <c r="I551" s="271" t="str">
        <f>IFERROR(__xludf.DUMMYFUNCTION("""COMPUTED_VALUE"""),"貓狗企鵝")</f>
        <v>貓狗企鵝</v>
      </c>
      <c r="J551" t="str">
        <f>IFERROR(__xludf.DUMMYFUNCTION("IFS(
  AND(REGEXMATCH(E551, ""台銀籌備帳戶|玉山帳戶""), REGEXMATCH(C551, ""薪資"")), ""分潤支出"",
  AND(REGEXMATCH(E551, ""Ben帳戶|Elsa帳戶|Ben代墊|Ariel代墊|中信銀行共用""), REGEXMATCH(F551, ""Ben帳戶|Elsa帳戶|Ben代墊|Ariel代墊|中信銀行共用"")), ""內部轉帳(忽略)"",
  AND(E551&lt;&gt;"""", F551&lt;&gt;"""", NOT(REG"&amp;"EXMATCH(C551, ""薪資""))), ""內部轉帳(忽略)"",
  REGEXMATCH(C551, ""薪資""), ""薪資變動(不計入)"",
  REGEXMATCH(C551, ""押金""), ""押金往來"",
  AND(E551&lt;&gt;"""", F551=""""), ""真實支出"",
  AND(E551="""", F551&lt;&gt;""""), ""真實收入"",
  TRUE, ""其他""
)"),"真實支出")</f>
        <v>真實支出</v>
      </c>
      <c r="K551" s="270">
        <f t="shared" si="2"/>
        <v>-22047</v>
      </c>
      <c r="L551">
        <f t="shared" si="3"/>
        <v>0</v>
      </c>
    </row>
    <row r="552">
      <c r="A552" s="107">
        <f>IFERROR(__xludf.DUMMYFUNCTION("""COMPUTED_VALUE"""),45486.0)</f>
        <v>45486</v>
      </c>
      <c r="B552" t="str">
        <f>IFERROR(__xludf.DUMMYFUNCTION("""COMPUTED_VALUE"""),"床")</f>
        <v>床</v>
      </c>
      <c r="C552" t="str">
        <f>IFERROR(__xludf.DUMMYFUNCTION("""COMPUTED_VALUE"""),"成本 - 進場前裝潢費")</f>
        <v>成本 - 進場前裝潢費</v>
      </c>
      <c r="D552" s="270">
        <f>IFERROR(__xludf.DUMMYFUNCTION("""COMPUTED_VALUE"""),-2322.0)</f>
        <v>-2322</v>
      </c>
      <c r="E552" t="str">
        <f>IFERROR(__xludf.DUMMYFUNCTION("""COMPUTED_VALUE"""),"Ben帳戶")</f>
        <v>Ben帳戶</v>
      </c>
      <c r="G552" t="str">
        <f>IFERROR(__xludf.DUMMYFUNCTION("""COMPUTED_VALUE"""),"大湖山莊")</f>
        <v>大湖山莊</v>
      </c>
      <c r="H552" s="106" t="str">
        <f t="shared" si="1"/>
        <v>2024-07</v>
      </c>
      <c r="I552" s="271" t="str">
        <f>IFERROR(__xludf.DUMMYFUNCTION("""COMPUTED_VALUE"""),"貓狗企鵝")</f>
        <v>貓狗企鵝</v>
      </c>
      <c r="J552" t="str">
        <f>IFERROR(__xludf.DUMMYFUNCTION("IFS(
  AND(REGEXMATCH(E552, ""台銀籌備帳戶|玉山帳戶""), REGEXMATCH(C552, ""薪資"")), ""分潤支出"",
  AND(REGEXMATCH(E552, ""Ben帳戶|Elsa帳戶|Ben代墊|Ariel代墊|中信銀行共用""), REGEXMATCH(F552, ""Ben帳戶|Elsa帳戶|Ben代墊|Ariel代墊|中信銀行共用"")), ""內部轉帳(忽略)"",
  AND(E552&lt;&gt;"""", F552&lt;&gt;"""", NOT(REG"&amp;"EXMATCH(C552, ""薪資""))), ""內部轉帳(忽略)"",
  REGEXMATCH(C552, ""薪資""), ""薪資變動(不計入)"",
  REGEXMATCH(C552, ""押金""), ""押金往來"",
  AND(E552&lt;&gt;"""", F552=""""), ""真實支出"",
  AND(E552="""", F552&lt;&gt;""""), ""真實收入"",
  TRUE, ""其他""
)"),"真實支出")</f>
        <v>真實支出</v>
      </c>
      <c r="K552" s="270">
        <f t="shared" si="2"/>
        <v>-2322</v>
      </c>
      <c r="L552">
        <f t="shared" si="3"/>
        <v>0</v>
      </c>
    </row>
    <row r="553">
      <c r="A553" s="107">
        <f>IFERROR(__xludf.DUMMYFUNCTION("""COMPUTED_VALUE"""),45486.0)</f>
        <v>45486</v>
      </c>
      <c r="B553" t="str">
        <f>IFERROR(__xludf.DUMMYFUNCTION("""COMPUTED_VALUE"""),"北醫 垃圾代收 季收")</f>
        <v>北醫 垃圾代收 季收</v>
      </c>
      <c r="C553" t="str">
        <f>IFERROR(__xludf.DUMMYFUNCTION("""COMPUTED_VALUE"""),"成本 - 固定開銷(網路代收清潔)")</f>
        <v>成本 - 固定開銷(網路代收清潔)</v>
      </c>
      <c r="D553" s="270">
        <f>IFERROR(__xludf.DUMMYFUNCTION("""COMPUTED_VALUE"""),-3499.0)</f>
        <v>-3499</v>
      </c>
      <c r="E553" t="str">
        <f>IFERROR(__xludf.DUMMYFUNCTION("""COMPUTED_VALUE"""),"Elsa帳戶")</f>
        <v>Elsa帳戶</v>
      </c>
      <c r="G553" t="str">
        <f>IFERROR(__xludf.DUMMYFUNCTION("""COMPUTED_VALUE"""),"北醫醫師府")</f>
        <v>北醫醫師府</v>
      </c>
      <c r="H553" s="106" t="str">
        <f t="shared" si="1"/>
        <v>2024-07</v>
      </c>
      <c r="I553" s="271" t="str">
        <f>IFERROR(__xludf.DUMMYFUNCTION("""COMPUTED_VALUE"""),"貓狗企鵝")</f>
        <v>貓狗企鵝</v>
      </c>
      <c r="J553" t="str">
        <f>IFERROR(__xludf.DUMMYFUNCTION("IFS(
  AND(REGEXMATCH(E553, ""台銀籌備帳戶|玉山帳戶""), REGEXMATCH(C553, ""薪資"")), ""分潤支出"",
  AND(REGEXMATCH(E553, ""Ben帳戶|Elsa帳戶|Ben代墊|Ariel代墊|中信銀行共用""), REGEXMATCH(F553, ""Ben帳戶|Elsa帳戶|Ben代墊|Ariel代墊|中信銀行共用"")), ""內部轉帳(忽略)"",
  AND(E553&lt;&gt;"""", F553&lt;&gt;"""", NOT(REG"&amp;"EXMATCH(C553, ""薪資""))), ""內部轉帳(忽略)"",
  REGEXMATCH(C553, ""薪資""), ""薪資變動(不計入)"",
  REGEXMATCH(C553, ""押金""), ""押金往來"",
  AND(E553&lt;&gt;"""", F553=""""), ""真實支出"",
  AND(E553="""", F553&lt;&gt;""""), ""真實收入"",
  TRUE, ""其他""
)"),"真實支出")</f>
        <v>真實支出</v>
      </c>
      <c r="K553" s="270">
        <f t="shared" si="2"/>
        <v>-3499</v>
      </c>
      <c r="L553">
        <f t="shared" si="3"/>
        <v>0</v>
      </c>
    </row>
    <row r="554">
      <c r="A554" s="107">
        <f>IFERROR(__xludf.DUMMYFUNCTION("""COMPUTED_VALUE"""),45487.0)</f>
        <v>45487</v>
      </c>
      <c r="B554" t="str">
        <f>IFERROR(__xludf.DUMMYFUNCTION("""COMPUTED_VALUE"""),"大垃圾袋")</f>
        <v>大垃圾袋</v>
      </c>
      <c r="C554" t="str">
        <f>IFERROR(__xludf.DUMMYFUNCTION("""COMPUTED_VALUE"""),"成本 - 進場前裝潢費")</f>
        <v>成本 - 進場前裝潢費</v>
      </c>
      <c r="D554" s="270">
        <f>IFERROR(__xludf.DUMMYFUNCTION("""COMPUTED_VALUE"""),-95.0)</f>
        <v>-95</v>
      </c>
      <c r="E554" t="str">
        <f>IFERROR(__xludf.DUMMYFUNCTION("""COMPUTED_VALUE"""),"Ben帳戶")</f>
        <v>Ben帳戶</v>
      </c>
      <c r="G554" t="str">
        <f>IFERROR(__xludf.DUMMYFUNCTION("""COMPUTED_VALUE"""),"南港站挑高宅")</f>
        <v>南港站挑高宅</v>
      </c>
      <c r="H554" s="106" t="str">
        <f t="shared" si="1"/>
        <v>2024-07</v>
      </c>
      <c r="I554" s="271" t="str">
        <f>IFERROR(__xludf.DUMMYFUNCTION("""COMPUTED_VALUE"""),"貓狗企鵝")</f>
        <v>貓狗企鵝</v>
      </c>
      <c r="J554" t="str">
        <f>IFERROR(__xludf.DUMMYFUNCTION("IFS(
  AND(REGEXMATCH(E554, ""台銀籌備帳戶|玉山帳戶""), REGEXMATCH(C554, ""薪資"")), ""分潤支出"",
  AND(REGEXMATCH(E554, ""Ben帳戶|Elsa帳戶|Ben代墊|Ariel代墊|中信銀行共用""), REGEXMATCH(F554, ""Ben帳戶|Elsa帳戶|Ben代墊|Ariel代墊|中信銀行共用"")), ""內部轉帳(忽略)"",
  AND(E554&lt;&gt;"""", F554&lt;&gt;"""", NOT(REG"&amp;"EXMATCH(C554, ""薪資""))), ""內部轉帳(忽略)"",
  REGEXMATCH(C554, ""薪資""), ""薪資變動(不計入)"",
  REGEXMATCH(C554, ""押金""), ""押金往來"",
  AND(E554&lt;&gt;"""", F554=""""), ""真實支出"",
  AND(E554="""", F554&lt;&gt;""""), ""真實收入"",
  TRUE, ""其他""
)"),"真實支出")</f>
        <v>真實支出</v>
      </c>
      <c r="K554" s="270">
        <f t="shared" si="2"/>
        <v>-95</v>
      </c>
      <c r="L554">
        <f t="shared" si="3"/>
        <v>0</v>
      </c>
    </row>
    <row r="555">
      <c r="A555" s="107">
        <f>IFERROR(__xludf.DUMMYFUNCTION("""COMPUTED_VALUE"""),45487.0)</f>
        <v>45487</v>
      </c>
      <c r="B555" t="str">
        <f>IFERROR(__xludf.DUMMYFUNCTION("""COMPUTED_VALUE"""),"油漆")</f>
        <v>油漆</v>
      </c>
      <c r="C555" t="str">
        <f>IFERROR(__xludf.DUMMYFUNCTION("""COMPUTED_VALUE"""),"成本 - 進場前裝潢費")</f>
        <v>成本 - 進場前裝潢費</v>
      </c>
      <c r="D555" s="270">
        <f>IFERROR(__xludf.DUMMYFUNCTION("""COMPUTED_VALUE"""),-515.0)</f>
        <v>-515</v>
      </c>
      <c r="E555" t="str">
        <f>IFERROR(__xludf.DUMMYFUNCTION("""COMPUTED_VALUE"""),"Ben帳戶")</f>
        <v>Ben帳戶</v>
      </c>
      <c r="G555" t="str">
        <f>IFERROR(__xludf.DUMMYFUNCTION("""COMPUTED_VALUE"""),"市府爺爺家")</f>
        <v>市府爺爺家</v>
      </c>
      <c r="H555" s="106" t="str">
        <f t="shared" si="1"/>
        <v>2024-07</v>
      </c>
      <c r="I555" s="271" t="str">
        <f>IFERROR(__xludf.DUMMYFUNCTION("""COMPUTED_VALUE"""),"貓狗企鵝")</f>
        <v>貓狗企鵝</v>
      </c>
      <c r="J555" t="str">
        <f>IFERROR(__xludf.DUMMYFUNCTION("IFS(
  AND(REGEXMATCH(E555, ""台銀籌備帳戶|玉山帳戶""), REGEXMATCH(C555, ""薪資"")), ""分潤支出"",
  AND(REGEXMATCH(E555, ""Ben帳戶|Elsa帳戶|Ben代墊|Ariel代墊|中信銀行共用""), REGEXMATCH(F555, ""Ben帳戶|Elsa帳戶|Ben代墊|Ariel代墊|中信銀行共用"")), ""內部轉帳(忽略)"",
  AND(E555&lt;&gt;"""", F555&lt;&gt;"""", NOT(REG"&amp;"EXMATCH(C555, ""薪資""))), ""內部轉帳(忽略)"",
  REGEXMATCH(C555, ""薪資""), ""薪資變動(不計入)"",
  REGEXMATCH(C555, ""押金""), ""押金往來"",
  AND(E555&lt;&gt;"""", F555=""""), ""真實支出"",
  AND(E555="""", F555&lt;&gt;""""), ""真實收入"",
  TRUE, ""其他""
)"),"真實支出")</f>
        <v>真實支出</v>
      </c>
      <c r="K555" s="270">
        <f t="shared" si="2"/>
        <v>-515</v>
      </c>
      <c r="L555">
        <f t="shared" si="3"/>
        <v>0</v>
      </c>
    </row>
    <row r="556">
      <c r="A556" s="107">
        <f>IFERROR(__xludf.DUMMYFUNCTION("""COMPUTED_VALUE"""),45487.0)</f>
        <v>45487</v>
      </c>
      <c r="B556" t="str">
        <f>IFERROR(__xludf.DUMMYFUNCTION("""COMPUTED_VALUE"""),"棉被枕頭")</f>
        <v>棉被枕頭</v>
      </c>
      <c r="C556" t="str">
        <f>IFERROR(__xludf.DUMMYFUNCTION("""COMPUTED_VALUE"""),"成本 - 進場前裝潢費")</f>
        <v>成本 - 進場前裝潢費</v>
      </c>
      <c r="D556" s="270">
        <f>IFERROR(__xludf.DUMMYFUNCTION("""COMPUTED_VALUE"""),-1343.0)</f>
        <v>-1343</v>
      </c>
      <c r="E556" t="str">
        <f>IFERROR(__xludf.DUMMYFUNCTION("""COMPUTED_VALUE"""),"Ben帳戶")</f>
        <v>Ben帳戶</v>
      </c>
      <c r="G556" t="str">
        <f>IFERROR(__xludf.DUMMYFUNCTION("""COMPUTED_VALUE"""),"市府爺爺家")</f>
        <v>市府爺爺家</v>
      </c>
      <c r="H556" s="106" t="str">
        <f t="shared" si="1"/>
        <v>2024-07</v>
      </c>
      <c r="I556" s="271" t="str">
        <f>IFERROR(__xludf.DUMMYFUNCTION("""COMPUTED_VALUE"""),"貓狗企鵝")</f>
        <v>貓狗企鵝</v>
      </c>
      <c r="J556" t="str">
        <f>IFERROR(__xludf.DUMMYFUNCTION("IFS(
  AND(REGEXMATCH(E556, ""台銀籌備帳戶|玉山帳戶""), REGEXMATCH(C556, ""薪資"")), ""分潤支出"",
  AND(REGEXMATCH(E556, ""Ben帳戶|Elsa帳戶|Ben代墊|Ariel代墊|中信銀行共用""), REGEXMATCH(F556, ""Ben帳戶|Elsa帳戶|Ben代墊|Ariel代墊|中信銀行共用"")), ""內部轉帳(忽略)"",
  AND(E556&lt;&gt;"""", F556&lt;&gt;"""", NOT(REG"&amp;"EXMATCH(C556, ""薪資""))), ""內部轉帳(忽略)"",
  REGEXMATCH(C556, ""薪資""), ""薪資變動(不計入)"",
  REGEXMATCH(C556, ""押金""), ""押金往來"",
  AND(E556&lt;&gt;"""", F556=""""), ""真實支出"",
  AND(E556="""", F556&lt;&gt;""""), ""真實收入"",
  TRUE, ""其他""
)"),"真實支出")</f>
        <v>真實支出</v>
      </c>
      <c r="K556" s="270">
        <f t="shared" si="2"/>
        <v>-1343</v>
      </c>
      <c r="L556">
        <f t="shared" si="3"/>
        <v>0</v>
      </c>
    </row>
    <row r="557">
      <c r="A557" s="107">
        <f>IFERROR(__xludf.DUMMYFUNCTION("""COMPUTED_VALUE"""),45489.0)</f>
        <v>45489</v>
      </c>
      <c r="B557" t="str">
        <f>IFERROR(__xludf.DUMMYFUNCTION("""COMPUTED_VALUE"""),"MOMO吸塵器")</f>
        <v>MOMO吸塵器</v>
      </c>
      <c r="C557" t="str">
        <f>IFERROR(__xludf.DUMMYFUNCTION("""COMPUTED_VALUE"""),"成本 - 進場前裝潢費")</f>
        <v>成本 - 進場前裝潢費</v>
      </c>
      <c r="D557" s="270">
        <f>IFERROR(__xludf.DUMMYFUNCTION("""COMPUTED_VALUE"""),-1588.0)</f>
        <v>-1588</v>
      </c>
      <c r="E557" t="str">
        <f>IFERROR(__xludf.DUMMYFUNCTION("""COMPUTED_VALUE"""),"Elsa帳戶")</f>
        <v>Elsa帳戶</v>
      </c>
      <c r="G557" t="str">
        <f>IFERROR(__xludf.DUMMYFUNCTION("""COMPUTED_VALUE"""),"市府爺爺家")</f>
        <v>市府爺爺家</v>
      </c>
      <c r="H557" s="106" t="str">
        <f t="shared" si="1"/>
        <v>2024-07</v>
      </c>
      <c r="I557" s="271" t="str">
        <f>IFERROR(__xludf.DUMMYFUNCTION("""COMPUTED_VALUE"""),"貓狗企鵝")</f>
        <v>貓狗企鵝</v>
      </c>
      <c r="J557" t="str">
        <f>IFERROR(__xludf.DUMMYFUNCTION("IFS(
  AND(REGEXMATCH(E557, ""台銀籌備帳戶|玉山帳戶""), REGEXMATCH(C557, ""薪資"")), ""分潤支出"",
  AND(REGEXMATCH(E557, ""Ben帳戶|Elsa帳戶|Ben代墊|Ariel代墊|中信銀行共用""), REGEXMATCH(F557, ""Ben帳戶|Elsa帳戶|Ben代墊|Ariel代墊|中信銀行共用"")), ""內部轉帳(忽略)"",
  AND(E557&lt;&gt;"""", F557&lt;&gt;"""", NOT(REG"&amp;"EXMATCH(C557, ""薪資""))), ""內部轉帳(忽略)"",
  REGEXMATCH(C557, ""薪資""), ""薪資變動(不計入)"",
  REGEXMATCH(C557, ""押金""), ""押金往來"",
  AND(E557&lt;&gt;"""", F557=""""), ""真實支出"",
  AND(E557="""", F557&lt;&gt;""""), ""真實收入"",
  TRUE, ""其他""
)"),"真實支出")</f>
        <v>真實支出</v>
      </c>
      <c r="K557" s="270">
        <f t="shared" si="2"/>
        <v>-1588</v>
      </c>
      <c r="L557">
        <f t="shared" si="3"/>
        <v>0</v>
      </c>
    </row>
    <row r="558">
      <c r="A558" s="107">
        <f>IFERROR(__xludf.DUMMYFUNCTION("""COMPUTED_VALUE"""),45489.0)</f>
        <v>45489</v>
      </c>
      <c r="B558" t="str">
        <f>IFERROR(__xludf.DUMMYFUNCTION("""COMPUTED_VALUE"""),"保潔墊")</f>
        <v>保潔墊</v>
      </c>
      <c r="C558" t="str">
        <f>IFERROR(__xludf.DUMMYFUNCTION("""COMPUTED_VALUE"""),"成本 - 進場前裝潢費")</f>
        <v>成本 - 進場前裝潢費</v>
      </c>
      <c r="D558" s="270">
        <f>IFERROR(__xludf.DUMMYFUNCTION("""COMPUTED_VALUE"""),-1800.0)</f>
        <v>-1800</v>
      </c>
      <c r="E558" t="str">
        <f>IFERROR(__xludf.DUMMYFUNCTION("""COMPUTED_VALUE"""),"Elsa帳戶")</f>
        <v>Elsa帳戶</v>
      </c>
      <c r="G558" t="str">
        <f>IFERROR(__xludf.DUMMYFUNCTION("""COMPUTED_VALUE"""),"南港站挑高宅")</f>
        <v>南港站挑高宅</v>
      </c>
      <c r="H558" s="106" t="str">
        <f t="shared" si="1"/>
        <v>2024-07</v>
      </c>
      <c r="I558" s="271" t="str">
        <f>IFERROR(__xludf.DUMMYFUNCTION("""COMPUTED_VALUE"""),"貓狗企鵝")</f>
        <v>貓狗企鵝</v>
      </c>
      <c r="J558" t="str">
        <f>IFERROR(__xludf.DUMMYFUNCTION("IFS(
  AND(REGEXMATCH(E558, ""台銀籌備帳戶|玉山帳戶""), REGEXMATCH(C558, ""薪資"")), ""分潤支出"",
  AND(REGEXMATCH(E558, ""Ben帳戶|Elsa帳戶|Ben代墊|Ariel代墊|中信銀行共用""), REGEXMATCH(F558, ""Ben帳戶|Elsa帳戶|Ben代墊|Ariel代墊|中信銀行共用"")), ""內部轉帳(忽略)"",
  AND(E558&lt;&gt;"""", F558&lt;&gt;"""", NOT(REG"&amp;"EXMATCH(C558, ""薪資""))), ""內部轉帳(忽略)"",
  REGEXMATCH(C558, ""薪資""), ""薪資變動(不計入)"",
  REGEXMATCH(C558, ""押金""), ""押金往來"",
  AND(E558&lt;&gt;"""", F558=""""), ""真實支出"",
  AND(E558="""", F558&lt;&gt;""""), ""真實收入"",
  TRUE, ""其他""
)"),"真實支出")</f>
        <v>真實支出</v>
      </c>
      <c r="K558" s="270">
        <f t="shared" si="2"/>
        <v>-1800</v>
      </c>
      <c r="L558">
        <f t="shared" si="3"/>
        <v>0</v>
      </c>
    </row>
    <row r="559">
      <c r="A559" s="107">
        <f>IFERROR(__xludf.DUMMYFUNCTION("""COMPUTED_VALUE"""),45489.0)</f>
        <v>45489</v>
      </c>
      <c r="B559" t="str">
        <f>IFERROR(__xludf.DUMMYFUNCTION("""COMPUTED_VALUE"""),"拖把")</f>
        <v>拖把</v>
      </c>
      <c r="C559" t="str">
        <f>IFERROR(__xludf.DUMMYFUNCTION("""COMPUTED_VALUE"""),"成本 - 進場前裝潢費")</f>
        <v>成本 - 進場前裝潢費</v>
      </c>
      <c r="D559" s="270">
        <f>IFERROR(__xludf.DUMMYFUNCTION("""COMPUTED_VALUE"""),-194.0)</f>
        <v>-194</v>
      </c>
      <c r="E559" t="str">
        <f>IFERROR(__xludf.DUMMYFUNCTION("""COMPUTED_VALUE"""),"Elsa帳戶")</f>
        <v>Elsa帳戶</v>
      </c>
      <c r="G559" t="str">
        <f>IFERROR(__xludf.DUMMYFUNCTION("""COMPUTED_VALUE"""),"南港站挑高宅")</f>
        <v>南港站挑高宅</v>
      </c>
      <c r="H559" s="106" t="str">
        <f t="shared" si="1"/>
        <v>2024-07</v>
      </c>
      <c r="I559" s="271" t="str">
        <f>IFERROR(__xludf.DUMMYFUNCTION("""COMPUTED_VALUE"""),"貓狗企鵝")</f>
        <v>貓狗企鵝</v>
      </c>
      <c r="J559" t="str">
        <f>IFERROR(__xludf.DUMMYFUNCTION("IFS(
  AND(REGEXMATCH(E559, ""台銀籌備帳戶|玉山帳戶""), REGEXMATCH(C559, ""薪資"")), ""分潤支出"",
  AND(REGEXMATCH(E559, ""Ben帳戶|Elsa帳戶|Ben代墊|Ariel代墊|中信銀行共用""), REGEXMATCH(F559, ""Ben帳戶|Elsa帳戶|Ben代墊|Ariel代墊|中信銀行共用"")), ""內部轉帳(忽略)"",
  AND(E559&lt;&gt;"""", F559&lt;&gt;"""", NOT(REG"&amp;"EXMATCH(C559, ""薪資""))), ""內部轉帳(忽略)"",
  REGEXMATCH(C559, ""薪資""), ""薪資變動(不計入)"",
  REGEXMATCH(C559, ""押金""), ""押金往來"",
  AND(E559&lt;&gt;"""", F559=""""), ""真實支出"",
  AND(E559="""", F559&lt;&gt;""""), ""真實收入"",
  TRUE, ""其他""
)"),"真實支出")</f>
        <v>真實支出</v>
      </c>
      <c r="K559" s="270">
        <f t="shared" si="2"/>
        <v>-194</v>
      </c>
      <c r="L559">
        <f t="shared" si="3"/>
        <v>0</v>
      </c>
    </row>
    <row r="560">
      <c r="A560" s="107">
        <f>IFERROR(__xludf.DUMMYFUNCTION("""COMPUTED_VALUE"""),45489.0)</f>
        <v>45489</v>
      </c>
      <c r="B560" t="str">
        <f>IFERROR(__xludf.DUMMYFUNCTION("""COMPUTED_VALUE"""),"拖把")</f>
        <v>拖把</v>
      </c>
      <c r="C560" t="str">
        <f>IFERROR(__xludf.DUMMYFUNCTION("""COMPUTED_VALUE"""),"成本 - 進場前裝潢費")</f>
        <v>成本 - 進場前裝潢費</v>
      </c>
      <c r="D560" s="270">
        <f>IFERROR(__xludf.DUMMYFUNCTION("""COMPUTED_VALUE"""),-194.0)</f>
        <v>-194</v>
      </c>
      <c r="E560" t="str">
        <f>IFERROR(__xludf.DUMMYFUNCTION("""COMPUTED_VALUE"""),"Elsa帳戶")</f>
        <v>Elsa帳戶</v>
      </c>
      <c r="G560" t="str">
        <f>IFERROR(__xludf.DUMMYFUNCTION("""COMPUTED_VALUE"""),"市府爺爺家")</f>
        <v>市府爺爺家</v>
      </c>
      <c r="H560" s="106" t="str">
        <f t="shared" si="1"/>
        <v>2024-07</v>
      </c>
      <c r="I560" s="271" t="str">
        <f>IFERROR(__xludf.DUMMYFUNCTION("""COMPUTED_VALUE"""),"貓狗企鵝")</f>
        <v>貓狗企鵝</v>
      </c>
      <c r="J560" t="str">
        <f>IFERROR(__xludf.DUMMYFUNCTION("IFS(
  AND(REGEXMATCH(E560, ""台銀籌備帳戶|玉山帳戶""), REGEXMATCH(C560, ""薪資"")), ""分潤支出"",
  AND(REGEXMATCH(E560, ""Ben帳戶|Elsa帳戶|Ben代墊|Ariel代墊|中信銀行共用""), REGEXMATCH(F560, ""Ben帳戶|Elsa帳戶|Ben代墊|Ariel代墊|中信銀行共用"")), ""內部轉帳(忽略)"",
  AND(E560&lt;&gt;"""", F560&lt;&gt;"""", NOT(REG"&amp;"EXMATCH(C560, ""薪資""))), ""內部轉帳(忽略)"",
  REGEXMATCH(C560, ""薪資""), ""薪資變動(不計入)"",
  REGEXMATCH(C560, ""押金""), ""押金往來"",
  AND(E560&lt;&gt;"""", F560=""""), ""真實支出"",
  AND(E560="""", F560&lt;&gt;""""), ""真實收入"",
  TRUE, ""其他""
)"),"真實支出")</f>
        <v>真實支出</v>
      </c>
      <c r="K560" s="270">
        <f t="shared" si="2"/>
        <v>-194</v>
      </c>
      <c r="L560">
        <f t="shared" si="3"/>
        <v>0</v>
      </c>
    </row>
    <row r="561">
      <c r="A561" s="107">
        <f>IFERROR(__xludf.DUMMYFUNCTION("""COMPUTED_VALUE"""),45489.0)</f>
        <v>45489</v>
      </c>
      <c r="B561" t="str">
        <f>IFERROR(__xludf.DUMMYFUNCTION("""COMPUTED_VALUE"""),"淘寶運費")</f>
        <v>淘寶運費</v>
      </c>
      <c r="C561" t="str">
        <f>IFERROR(__xludf.DUMMYFUNCTION("""COMPUTED_VALUE"""),"成本 - 進場前裝潢費")</f>
        <v>成本 - 進場前裝潢費</v>
      </c>
      <c r="D561" s="270">
        <f>IFERROR(__xludf.DUMMYFUNCTION("""COMPUTED_VALUE"""),-3810.0)</f>
        <v>-3810</v>
      </c>
      <c r="E561" t="str">
        <f>IFERROR(__xludf.DUMMYFUNCTION("""COMPUTED_VALUE"""),"Ben帳戶")</f>
        <v>Ben帳戶</v>
      </c>
      <c r="G561" t="str">
        <f>IFERROR(__xludf.DUMMYFUNCTION("""COMPUTED_VALUE"""),"南港站挑高宅")</f>
        <v>南港站挑高宅</v>
      </c>
      <c r="H561" s="106" t="str">
        <f t="shared" si="1"/>
        <v>2024-07</v>
      </c>
      <c r="I561" s="271" t="str">
        <f>IFERROR(__xludf.DUMMYFUNCTION("""COMPUTED_VALUE"""),"貓狗企鵝")</f>
        <v>貓狗企鵝</v>
      </c>
      <c r="J561" t="str">
        <f>IFERROR(__xludf.DUMMYFUNCTION("IFS(
  AND(REGEXMATCH(E561, ""台銀籌備帳戶|玉山帳戶""), REGEXMATCH(C561, ""薪資"")), ""分潤支出"",
  AND(REGEXMATCH(E561, ""Ben帳戶|Elsa帳戶|Ben代墊|Ariel代墊|中信銀行共用""), REGEXMATCH(F561, ""Ben帳戶|Elsa帳戶|Ben代墊|Ariel代墊|中信銀行共用"")), ""內部轉帳(忽略)"",
  AND(E561&lt;&gt;"""", F561&lt;&gt;"""", NOT(REG"&amp;"EXMATCH(C561, ""薪資""))), ""內部轉帳(忽略)"",
  REGEXMATCH(C561, ""薪資""), ""薪資變動(不計入)"",
  REGEXMATCH(C561, ""押金""), ""押金往來"",
  AND(E561&lt;&gt;"""", F561=""""), ""真實支出"",
  AND(E561="""", F561&lt;&gt;""""), ""真實收入"",
  TRUE, ""其他""
)"),"真實支出")</f>
        <v>真實支出</v>
      </c>
      <c r="K561" s="270">
        <f t="shared" si="2"/>
        <v>-3810</v>
      </c>
      <c r="L561">
        <f t="shared" si="3"/>
        <v>0</v>
      </c>
    </row>
    <row r="562">
      <c r="A562" s="107">
        <f>IFERROR(__xludf.DUMMYFUNCTION("""COMPUTED_VALUE"""),45489.0)</f>
        <v>45489</v>
      </c>
      <c r="B562" t="str">
        <f>IFERROR(__xludf.DUMMYFUNCTION("""COMPUTED_VALUE"""),"油漆")</f>
        <v>油漆</v>
      </c>
      <c r="C562" t="str">
        <f>IFERROR(__xludf.DUMMYFUNCTION("""COMPUTED_VALUE"""),"成本 - 進場前裝潢費")</f>
        <v>成本 - 進場前裝潢費</v>
      </c>
      <c r="D562" s="270">
        <f>IFERROR(__xludf.DUMMYFUNCTION("""COMPUTED_VALUE"""),-720.0)</f>
        <v>-720</v>
      </c>
      <c r="E562" t="str">
        <f>IFERROR(__xludf.DUMMYFUNCTION("""COMPUTED_VALUE"""),"Ben帳戶")</f>
        <v>Ben帳戶</v>
      </c>
      <c r="G562" t="str">
        <f>IFERROR(__xludf.DUMMYFUNCTION("""COMPUTED_VALUE"""),"市府爺爺家")</f>
        <v>市府爺爺家</v>
      </c>
      <c r="H562" s="106" t="str">
        <f t="shared" si="1"/>
        <v>2024-07</v>
      </c>
      <c r="I562" s="271" t="str">
        <f>IFERROR(__xludf.DUMMYFUNCTION("""COMPUTED_VALUE"""),"貓狗企鵝")</f>
        <v>貓狗企鵝</v>
      </c>
      <c r="J562" t="str">
        <f>IFERROR(__xludf.DUMMYFUNCTION("IFS(
  AND(REGEXMATCH(E562, ""台銀籌備帳戶|玉山帳戶""), REGEXMATCH(C562, ""薪資"")), ""分潤支出"",
  AND(REGEXMATCH(E562, ""Ben帳戶|Elsa帳戶|Ben代墊|Ariel代墊|中信銀行共用""), REGEXMATCH(F562, ""Ben帳戶|Elsa帳戶|Ben代墊|Ariel代墊|中信銀行共用"")), ""內部轉帳(忽略)"",
  AND(E562&lt;&gt;"""", F562&lt;&gt;"""", NOT(REG"&amp;"EXMATCH(C562, ""薪資""))), ""內部轉帳(忽略)"",
  REGEXMATCH(C562, ""薪資""), ""薪資變動(不計入)"",
  REGEXMATCH(C562, ""押金""), ""押金往來"",
  AND(E562&lt;&gt;"""", F562=""""), ""真實支出"",
  AND(E562="""", F562&lt;&gt;""""), ""真實收入"",
  TRUE, ""其他""
)"),"真實支出")</f>
        <v>真實支出</v>
      </c>
      <c r="K562" s="270">
        <f t="shared" si="2"/>
        <v>-720</v>
      </c>
      <c r="L562">
        <f t="shared" si="3"/>
        <v>0</v>
      </c>
    </row>
    <row r="563">
      <c r="A563" s="107">
        <f>IFERROR(__xludf.DUMMYFUNCTION("""COMPUTED_VALUE"""),45489.0)</f>
        <v>45489</v>
      </c>
      <c r="B563" t="str">
        <f>IFERROR(__xludf.DUMMYFUNCTION("""COMPUTED_VALUE"""),"抽風機濾網")</f>
        <v>抽風機濾網</v>
      </c>
      <c r="C563" t="str">
        <f>IFERROR(__xludf.DUMMYFUNCTION("""COMPUTED_VALUE"""),"成本 - 租後修繕")</f>
        <v>成本 - 租後修繕</v>
      </c>
      <c r="D563" s="270">
        <f>IFERROR(__xludf.DUMMYFUNCTION("""COMPUTED_VALUE"""),-165.0)</f>
        <v>-165</v>
      </c>
      <c r="E563" t="str">
        <f>IFERROR(__xludf.DUMMYFUNCTION("""COMPUTED_VALUE"""),"Elsa帳戶")</f>
        <v>Elsa帳戶</v>
      </c>
      <c r="G563" t="str">
        <f>IFERROR(__xludf.DUMMYFUNCTION("""COMPUTED_VALUE"""),"北醫醫師府")</f>
        <v>北醫醫師府</v>
      </c>
      <c r="H563" s="106" t="str">
        <f t="shared" si="1"/>
        <v>2024-07</v>
      </c>
      <c r="I563" s="271" t="str">
        <f>IFERROR(__xludf.DUMMYFUNCTION("""COMPUTED_VALUE"""),"貓狗企鵝")</f>
        <v>貓狗企鵝</v>
      </c>
      <c r="J563" t="str">
        <f>IFERROR(__xludf.DUMMYFUNCTION("IFS(
  AND(REGEXMATCH(E563, ""台銀籌備帳戶|玉山帳戶""), REGEXMATCH(C563, ""薪資"")), ""分潤支出"",
  AND(REGEXMATCH(E563, ""Ben帳戶|Elsa帳戶|Ben代墊|Ariel代墊|中信銀行共用""), REGEXMATCH(F563, ""Ben帳戶|Elsa帳戶|Ben代墊|Ariel代墊|中信銀行共用"")), ""內部轉帳(忽略)"",
  AND(E563&lt;&gt;"""", F563&lt;&gt;"""", NOT(REG"&amp;"EXMATCH(C563, ""薪資""))), ""內部轉帳(忽略)"",
  REGEXMATCH(C563, ""薪資""), ""薪資變動(不計入)"",
  REGEXMATCH(C563, ""押金""), ""押金往來"",
  AND(E563&lt;&gt;"""", F563=""""), ""真實支出"",
  AND(E563="""", F563&lt;&gt;""""), ""真實收入"",
  TRUE, ""其他""
)"),"真實支出")</f>
        <v>真實支出</v>
      </c>
      <c r="K563" s="270">
        <f t="shared" si="2"/>
        <v>-165</v>
      </c>
      <c r="L563">
        <f t="shared" si="3"/>
        <v>0</v>
      </c>
    </row>
    <row r="564">
      <c r="A564" s="107">
        <f>IFERROR(__xludf.DUMMYFUNCTION("""COMPUTED_VALUE"""),45489.0)</f>
        <v>45489</v>
      </c>
      <c r="B564" t="str">
        <f>IFERROR(__xludf.DUMMYFUNCTION("""COMPUTED_VALUE"""),"計程車費")</f>
        <v>計程車費</v>
      </c>
      <c r="C564" t="str">
        <f>IFERROR(__xludf.DUMMYFUNCTION("""COMPUTED_VALUE"""),"成本 - 交通費")</f>
        <v>成本 - 交通費</v>
      </c>
      <c r="D564" s="270">
        <f>IFERROR(__xludf.DUMMYFUNCTION("""COMPUTED_VALUE"""),-255.0)</f>
        <v>-255</v>
      </c>
      <c r="E564" t="str">
        <f>IFERROR(__xludf.DUMMYFUNCTION("""COMPUTED_VALUE"""),"Ben帳戶")</f>
        <v>Ben帳戶</v>
      </c>
      <c r="G564" t="str">
        <f>IFERROR(__xludf.DUMMYFUNCTION("""COMPUTED_VALUE"""),"市府爺爺家")</f>
        <v>市府爺爺家</v>
      </c>
      <c r="H564" s="106" t="str">
        <f t="shared" si="1"/>
        <v>2024-07</v>
      </c>
      <c r="I564" s="271" t="str">
        <f>IFERROR(__xludf.DUMMYFUNCTION("""COMPUTED_VALUE"""),"貓狗企鵝")</f>
        <v>貓狗企鵝</v>
      </c>
      <c r="J564" t="str">
        <f>IFERROR(__xludf.DUMMYFUNCTION("IFS(
  AND(REGEXMATCH(E564, ""台銀籌備帳戶|玉山帳戶""), REGEXMATCH(C564, ""薪資"")), ""分潤支出"",
  AND(REGEXMATCH(E564, ""Ben帳戶|Elsa帳戶|Ben代墊|Ariel代墊|中信銀行共用""), REGEXMATCH(F564, ""Ben帳戶|Elsa帳戶|Ben代墊|Ariel代墊|中信銀行共用"")), ""內部轉帳(忽略)"",
  AND(E564&lt;&gt;"""", F564&lt;&gt;"""", NOT(REG"&amp;"EXMATCH(C564, ""薪資""))), ""內部轉帳(忽略)"",
  REGEXMATCH(C564, ""薪資""), ""薪資變動(不計入)"",
  REGEXMATCH(C564, ""押金""), ""押金往來"",
  AND(E564&lt;&gt;"""", F564=""""), ""真實支出"",
  AND(E564="""", F564&lt;&gt;""""), ""真實收入"",
  TRUE, ""其他""
)"),"真實支出")</f>
        <v>真實支出</v>
      </c>
      <c r="K564" s="270">
        <f t="shared" si="2"/>
        <v>-255</v>
      </c>
      <c r="L564">
        <f t="shared" si="3"/>
        <v>0</v>
      </c>
    </row>
    <row r="565">
      <c r="A565" s="107">
        <f>IFERROR(__xludf.DUMMYFUNCTION("""COMPUTED_VALUE"""),45489.0)</f>
        <v>45489</v>
      </c>
      <c r="B565" t="str">
        <f>IFERROR(__xludf.DUMMYFUNCTION("""COMPUTED_VALUE"""),"南港輕隔間")</f>
        <v>南港輕隔間</v>
      </c>
      <c r="C565" t="str">
        <f>IFERROR(__xludf.DUMMYFUNCTION("""COMPUTED_VALUE"""),"成本 - 進場前裝潢費")</f>
        <v>成本 - 進場前裝潢費</v>
      </c>
      <c r="D565" s="270">
        <f>IFERROR(__xludf.DUMMYFUNCTION("""COMPUTED_VALUE"""),-60926.0)</f>
        <v>-60926</v>
      </c>
      <c r="E565" t="str">
        <f>IFERROR(__xludf.DUMMYFUNCTION("""COMPUTED_VALUE"""),"台銀籌備帳戶")</f>
        <v>台銀籌備帳戶</v>
      </c>
      <c r="G565" t="str">
        <f>IFERROR(__xludf.DUMMYFUNCTION("""COMPUTED_VALUE"""),"南港站挑高宅")</f>
        <v>南港站挑高宅</v>
      </c>
      <c r="H565" s="106" t="str">
        <f t="shared" si="1"/>
        <v>2024-07</v>
      </c>
      <c r="I565" s="271" t="str">
        <f>IFERROR(__xludf.DUMMYFUNCTION("""COMPUTED_VALUE"""),"貓狗企鵝")</f>
        <v>貓狗企鵝</v>
      </c>
      <c r="J565" t="str">
        <f>IFERROR(__xludf.DUMMYFUNCTION("IFS(
  AND(REGEXMATCH(E565, ""台銀籌備帳戶|玉山帳戶""), REGEXMATCH(C565, ""薪資"")), ""分潤支出"",
  AND(REGEXMATCH(E565, ""Ben帳戶|Elsa帳戶|Ben代墊|Ariel代墊|中信銀行共用""), REGEXMATCH(F565, ""Ben帳戶|Elsa帳戶|Ben代墊|Ariel代墊|中信銀行共用"")), ""內部轉帳(忽略)"",
  AND(E565&lt;&gt;"""", F565&lt;&gt;"""", NOT(REG"&amp;"EXMATCH(C565, ""薪資""))), ""內部轉帳(忽略)"",
  REGEXMATCH(C565, ""薪資""), ""薪資變動(不計入)"",
  REGEXMATCH(C565, ""押金""), ""押金往來"",
  AND(E565&lt;&gt;"""", F565=""""), ""真實支出"",
  AND(E565="""", F565&lt;&gt;""""), ""真實收入"",
  TRUE, ""其他""
)"),"真實支出")</f>
        <v>真實支出</v>
      </c>
      <c r="K565" s="270">
        <f t="shared" si="2"/>
        <v>-60926</v>
      </c>
      <c r="L565">
        <f t="shared" si="3"/>
        <v>0</v>
      </c>
    </row>
    <row r="566">
      <c r="A566" s="107">
        <f>IFERROR(__xludf.DUMMYFUNCTION("""COMPUTED_VALUE"""),45490.0)</f>
        <v>45490</v>
      </c>
      <c r="B566" t="str">
        <f>IFERROR(__xludf.DUMMYFUNCTION("""COMPUTED_VALUE"""),"地址變更登記")</f>
        <v>地址變更登記</v>
      </c>
      <c r="C566" t="str">
        <f>IFERROR(__xludf.DUMMYFUNCTION("""COMPUTED_VALUE"""),"費用 - 法律會計費用")</f>
        <v>費用 - 法律會計費用</v>
      </c>
      <c r="D566" s="270">
        <f>IFERROR(__xludf.DUMMYFUNCTION("""COMPUTED_VALUE"""),-700.0)</f>
        <v>-700</v>
      </c>
      <c r="E566" t="str">
        <f>IFERROR(__xludf.DUMMYFUNCTION("""COMPUTED_VALUE"""),"Ben帳戶")</f>
        <v>Ben帳戶</v>
      </c>
      <c r="H566" s="106" t="str">
        <f t="shared" si="1"/>
        <v>2024-07</v>
      </c>
      <c r="I566" s="271" t="str">
        <f>IFERROR(__xludf.DUMMYFUNCTION("""COMPUTED_VALUE"""),"貓狗企鵝")</f>
        <v>貓狗企鵝</v>
      </c>
      <c r="J566" t="str">
        <f>IFERROR(__xludf.DUMMYFUNCTION("IFS(
  AND(REGEXMATCH(E566, ""台銀籌備帳戶|玉山帳戶""), REGEXMATCH(C566, ""薪資"")), ""分潤支出"",
  AND(REGEXMATCH(E566, ""Ben帳戶|Elsa帳戶|Ben代墊|Ariel代墊|中信銀行共用""), REGEXMATCH(F566, ""Ben帳戶|Elsa帳戶|Ben代墊|Ariel代墊|中信銀行共用"")), ""內部轉帳(忽略)"",
  AND(E566&lt;&gt;"""", F566&lt;&gt;"""", NOT(REG"&amp;"EXMATCH(C566, ""薪資""))), ""內部轉帳(忽略)"",
  REGEXMATCH(C566, ""薪資""), ""薪資變動(不計入)"",
  REGEXMATCH(C566, ""押金""), ""押金往來"",
  AND(E566&lt;&gt;"""", F566=""""), ""真實支出"",
  AND(E566="""", F566&lt;&gt;""""), ""真實收入"",
  TRUE, ""其他""
)"),"真實支出")</f>
        <v>真實支出</v>
      </c>
      <c r="K566" s="270">
        <f t="shared" si="2"/>
        <v>-700</v>
      </c>
      <c r="L566">
        <f t="shared" si="3"/>
        <v>0</v>
      </c>
    </row>
    <row r="567">
      <c r="A567" s="107">
        <f>IFERROR(__xludf.DUMMYFUNCTION("""COMPUTED_VALUE"""),45490.0)</f>
        <v>45490</v>
      </c>
      <c r="B567" t="str">
        <f>IFERROR(__xludf.DUMMYFUNCTION("""COMPUTED_VALUE"""),"網站hosting Bluehost 年費")</f>
        <v>網站hosting Bluehost 年費</v>
      </c>
      <c r="C567" t="str">
        <f>IFERROR(__xludf.DUMMYFUNCTION("""COMPUTED_VALUE"""),"費用 - 辦公用品")</f>
        <v>費用 - 辦公用品</v>
      </c>
      <c r="D567" s="270">
        <f>IFERROR(__xludf.DUMMYFUNCTION("""COMPUTED_VALUE"""),-819.0)</f>
        <v>-819</v>
      </c>
      <c r="E567" t="str">
        <f>IFERROR(__xludf.DUMMYFUNCTION("""COMPUTED_VALUE"""),"Ben帳戶")</f>
        <v>Ben帳戶</v>
      </c>
      <c r="H567" s="106" t="str">
        <f t="shared" si="1"/>
        <v>2024-07</v>
      </c>
      <c r="I567" s="271" t="str">
        <f>IFERROR(__xludf.DUMMYFUNCTION("""COMPUTED_VALUE"""),"貓狗企鵝")</f>
        <v>貓狗企鵝</v>
      </c>
      <c r="J567" t="str">
        <f>IFERROR(__xludf.DUMMYFUNCTION("IFS(
  AND(REGEXMATCH(E567, ""台銀籌備帳戶|玉山帳戶""), REGEXMATCH(C567, ""薪資"")), ""分潤支出"",
  AND(REGEXMATCH(E567, ""Ben帳戶|Elsa帳戶|Ben代墊|Ariel代墊|中信銀行共用""), REGEXMATCH(F567, ""Ben帳戶|Elsa帳戶|Ben代墊|Ariel代墊|中信銀行共用"")), ""內部轉帳(忽略)"",
  AND(E567&lt;&gt;"""", F567&lt;&gt;"""", NOT(REG"&amp;"EXMATCH(C567, ""薪資""))), ""內部轉帳(忽略)"",
  REGEXMATCH(C567, ""薪資""), ""薪資變動(不計入)"",
  REGEXMATCH(C567, ""押金""), ""押金往來"",
  AND(E567&lt;&gt;"""", F567=""""), ""真實支出"",
  AND(E567="""", F567&lt;&gt;""""), ""真實收入"",
  TRUE, ""其他""
)"),"真實支出")</f>
        <v>真實支出</v>
      </c>
      <c r="K567" s="270">
        <f t="shared" si="2"/>
        <v>-819</v>
      </c>
      <c r="L567">
        <f t="shared" si="3"/>
        <v>0</v>
      </c>
    </row>
    <row r="568">
      <c r="A568" s="107">
        <f>IFERROR(__xludf.DUMMYFUNCTION("""COMPUTED_VALUE"""),45490.0)</f>
        <v>45490</v>
      </c>
      <c r="B568" t="str">
        <f>IFERROR(__xludf.DUMMYFUNCTION("""COMPUTED_VALUE"""),"網站管理 wordpress 年費")</f>
        <v>網站管理 wordpress 年費</v>
      </c>
      <c r="C568" t="str">
        <f>IFERROR(__xludf.DUMMYFUNCTION("""COMPUTED_VALUE"""),"費用 - 辦公用品")</f>
        <v>費用 - 辦公用品</v>
      </c>
      <c r="D568" s="270">
        <f>IFERROR(__xludf.DUMMYFUNCTION("""COMPUTED_VALUE"""),-700.0)</f>
        <v>-700</v>
      </c>
      <c r="E568" t="str">
        <f>IFERROR(__xludf.DUMMYFUNCTION("""COMPUTED_VALUE"""),"Ben帳戶")</f>
        <v>Ben帳戶</v>
      </c>
      <c r="H568" s="106" t="str">
        <f t="shared" si="1"/>
        <v>2024-07</v>
      </c>
      <c r="I568" s="271" t="str">
        <f>IFERROR(__xludf.DUMMYFUNCTION("""COMPUTED_VALUE"""),"貓狗企鵝")</f>
        <v>貓狗企鵝</v>
      </c>
      <c r="J568" t="str">
        <f>IFERROR(__xludf.DUMMYFUNCTION("IFS(
  AND(REGEXMATCH(E568, ""台銀籌備帳戶|玉山帳戶""), REGEXMATCH(C568, ""薪資"")), ""分潤支出"",
  AND(REGEXMATCH(E568, ""Ben帳戶|Elsa帳戶|Ben代墊|Ariel代墊|中信銀行共用""), REGEXMATCH(F568, ""Ben帳戶|Elsa帳戶|Ben代墊|Ariel代墊|中信銀行共用"")), ""內部轉帳(忽略)"",
  AND(E568&lt;&gt;"""", F568&lt;&gt;"""", NOT(REG"&amp;"EXMATCH(C568, ""薪資""))), ""內部轉帳(忽略)"",
  REGEXMATCH(C568, ""薪資""), ""薪資變動(不計入)"",
  REGEXMATCH(C568, ""押金""), ""押金往來"",
  AND(E568&lt;&gt;"""", F568=""""), ""真實支出"",
  AND(E568="""", F568&lt;&gt;""""), ""真實收入"",
  TRUE, ""其他""
)"),"真實支出")</f>
        <v>真實支出</v>
      </c>
      <c r="K568" s="270">
        <f t="shared" si="2"/>
        <v>-700</v>
      </c>
      <c r="L568">
        <f t="shared" si="3"/>
        <v>0</v>
      </c>
    </row>
    <row r="569">
      <c r="A569" s="107">
        <f>IFERROR(__xludf.DUMMYFUNCTION("""COMPUTED_VALUE"""),45491.0)</f>
        <v>45491</v>
      </c>
      <c r="B569" t="str">
        <f>IFERROR(__xludf.DUMMYFUNCTION("""COMPUTED_VALUE"""),"淘寶運費")</f>
        <v>淘寶運費</v>
      </c>
      <c r="C569" t="str">
        <f>IFERROR(__xludf.DUMMYFUNCTION("""COMPUTED_VALUE"""),"成本 - 進場前裝潢費")</f>
        <v>成本 - 進場前裝潢費</v>
      </c>
      <c r="D569" s="270">
        <f>IFERROR(__xludf.DUMMYFUNCTION("""COMPUTED_VALUE"""),-806.0)</f>
        <v>-806</v>
      </c>
      <c r="E569" t="str">
        <f>IFERROR(__xludf.DUMMYFUNCTION("""COMPUTED_VALUE"""),"Ben帳戶")</f>
        <v>Ben帳戶</v>
      </c>
      <c r="G569" t="str">
        <f>IFERROR(__xludf.DUMMYFUNCTION("""COMPUTED_VALUE"""),"南港站挑高宅")</f>
        <v>南港站挑高宅</v>
      </c>
      <c r="H569" s="106" t="str">
        <f t="shared" si="1"/>
        <v>2024-07</v>
      </c>
      <c r="I569" s="271" t="str">
        <f>IFERROR(__xludf.DUMMYFUNCTION("""COMPUTED_VALUE"""),"貓狗企鵝")</f>
        <v>貓狗企鵝</v>
      </c>
      <c r="J569" t="str">
        <f>IFERROR(__xludf.DUMMYFUNCTION("IFS(
  AND(REGEXMATCH(E569, ""台銀籌備帳戶|玉山帳戶""), REGEXMATCH(C569, ""薪資"")), ""分潤支出"",
  AND(REGEXMATCH(E569, ""Ben帳戶|Elsa帳戶|Ben代墊|Ariel代墊|中信銀行共用""), REGEXMATCH(F569, ""Ben帳戶|Elsa帳戶|Ben代墊|Ariel代墊|中信銀行共用"")), ""內部轉帳(忽略)"",
  AND(E569&lt;&gt;"""", F569&lt;&gt;"""", NOT(REG"&amp;"EXMATCH(C569, ""薪資""))), ""內部轉帳(忽略)"",
  REGEXMATCH(C569, ""薪資""), ""薪資變動(不計入)"",
  REGEXMATCH(C569, ""押金""), ""押金往來"",
  AND(E569&lt;&gt;"""", F569=""""), ""真實支出"",
  AND(E569="""", F569&lt;&gt;""""), ""真實收入"",
  TRUE, ""其他""
)"),"真實支出")</f>
        <v>真實支出</v>
      </c>
      <c r="K569" s="270">
        <f t="shared" si="2"/>
        <v>-806</v>
      </c>
      <c r="L569">
        <f t="shared" si="3"/>
        <v>0</v>
      </c>
    </row>
    <row r="570">
      <c r="A570" s="107">
        <f>IFERROR(__xludf.DUMMYFUNCTION("""COMPUTED_VALUE"""),45492.0)</f>
        <v>45492</v>
      </c>
      <c r="B570" t="str">
        <f>IFERROR(__xludf.DUMMYFUNCTION("""COMPUTED_VALUE"""),"打鑰匙")</f>
        <v>打鑰匙</v>
      </c>
      <c r="C570" t="str">
        <f>IFERROR(__xludf.DUMMYFUNCTION("""COMPUTED_VALUE"""),"成本 - 進場前裝潢費")</f>
        <v>成本 - 進場前裝潢費</v>
      </c>
      <c r="D570" s="270">
        <f>IFERROR(__xludf.DUMMYFUNCTION("""COMPUTED_VALUE"""),-600.0)</f>
        <v>-600</v>
      </c>
      <c r="E570" t="str">
        <f>IFERROR(__xludf.DUMMYFUNCTION("""COMPUTED_VALUE"""),"Ben帳戶")</f>
        <v>Ben帳戶</v>
      </c>
      <c r="G570" t="str">
        <f>IFERROR(__xludf.DUMMYFUNCTION("""COMPUTED_VALUE"""),"市府爺爺家")</f>
        <v>市府爺爺家</v>
      </c>
      <c r="H570" s="106" t="str">
        <f t="shared" si="1"/>
        <v>2024-07</v>
      </c>
      <c r="I570" s="271" t="str">
        <f>IFERROR(__xludf.DUMMYFUNCTION("""COMPUTED_VALUE"""),"貓狗企鵝")</f>
        <v>貓狗企鵝</v>
      </c>
      <c r="J570" t="str">
        <f>IFERROR(__xludf.DUMMYFUNCTION("IFS(
  AND(REGEXMATCH(E570, ""台銀籌備帳戶|玉山帳戶""), REGEXMATCH(C570, ""薪資"")), ""分潤支出"",
  AND(REGEXMATCH(E570, ""Ben帳戶|Elsa帳戶|Ben代墊|Ariel代墊|中信銀行共用""), REGEXMATCH(F570, ""Ben帳戶|Elsa帳戶|Ben代墊|Ariel代墊|中信銀行共用"")), ""內部轉帳(忽略)"",
  AND(E570&lt;&gt;"""", F570&lt;&gt;"""", NOT(REG"&amp;"EXMATCH(C570, ""薪資""))), ""內部轉帳(忽略)"",
  REGEXMATCH(C570, ""薪資""), ""薪資變動(不計入)"",
  REGEXMATCH(C570, ""押金""), ""押金往來"",
  AND(E570&lt;&gt;"""", F570=""""), ""真實支出"",
  AND(E570="""", F570&lt;&gt;""""), ""真實收入"",
  TRUE, ""其他""
)"),"真實支出")</f>
        <v>真實支出</v>
      </c>
      <c r="K570" s="270">
        <f t="shared" si="2"/>
        <v>-600</v>
      </c>
      <c r="L570">
        <f t="shared" si="3"/>
        <v>0</v>
      </c>
    </row>
    <row r="571">
      <c r="A571" s="107">
        <f>IFERROR(__xludf.DUMMYFUNCTION("""COMPUTED_VALUE"""),45492.0)</f>
        <v>45492</v>
      </c>
      <c r="B571" t="str">
        <f>IFERROR(__xludf.DUMMYFUNCTION("""COMPUTED_VALUE"""),"通馬桶")</f>
        <v>通馬桶</v>
      </c>
      <c r="C571" t="str">
        <f>IFERROR(__xludf.DUMMYFUNCTION("""COMPUTED_VALUE"""),"成本 - 進場前裝潢費")</f>
        <v>成本 - 進場前裝潢費</v>
      </c>
      <c r="D571" s="270">
        <f>IFERROR(__xludf.DUMMYFUNCTION("""COMPUTED_VALUE"""),-1000.0)</f>
        <v>-1000</v>
      </c>
      <c r="E571" t="str">
        <f>IFERROR(__xludf.DUMMYFUNCTION("""COMPUTED_VALUE"""),"Ben帳戶")</f>
        <v>Ben帳戶</v>
      </c>
      <c r="G571" t="str">
        <f>IFERROR(__xludf.DUMMYFUNCTION("""COMPUTED_VALUE"""),"市府爺爺家")</f>
        <v>市府爺爺家</v>
      </c>
      <c r="H571" s="106" t="str">
        <f t="shared" si="1"/>
        <v>2024-07</v>
      </c>
      <c r="I571" s="271" t="str">
        <f>IFERROR(__xludf.DUMMYFUNCTION("""COMPUTED_VALUE"""),"貓狗企鵝")</f>
        <v>貓狗企鵝</v>
      </c>
      <c r="J571" t="str">
        <f>IFERROR(__xludf.DUMMYFUNCTION("IFS(
  AND(REGEXMATCH(E571, ""台銀籌備帳戶|玉山帳戶""), REGEXMATCH(C571, ""薪資"")), ""分潤支出"",
  AND(REGEXMATCH(E571, ""Ben帳戶|Elsa帳戶|Ben代墊|Ariel代墊|中信銀行共用""), REGEXMATCH(F571, ""Ben帳戶|Elsa帳戶|Ben代墊|Ariel代墊|中信銀行共用"")), ""內部轉帳(忽略)"",
  AND(E571&lt;&gt;"""", F571&lt;&gt;"""", NOT(REG"&amp;"EXMATCH(C571, ""薪資""))), ""內部轉帳(忽略)"",
  REGEXMATCH(C571, ""薪資""), ""薪資變動(不計入)"",
  REGEXMATCH(C571, ""押金""), ""押金往來"",
  AND(E571&lt;&gt;"""", F571=""""), ""真實支出"",
  AND(E571="""", F571&lt;&gt;""""), ""真實收入"",
  TRUE, ""其他""
)"),"真實支出")</f>
        <v>真實支出</v>
      </c>
      <c r="K571" s="270">
        <f t="shared" si="2"/>
        <v>-1000</v>
      </c>
      <c r="L571">
        <f t="shared" si="3"/>
        <v>0</v>
      </c>
    </row>
    <row r="572">
      <c r="A572" s="107">
        <f>IFERROR(__xludf.DUMMYFUNCTION("""COMPUTED_VALUE"""),45493.0)</f>
        <v>45493</v>
      </c>
      <c r="B572" t="str">
        <f>IFERROR(__xludf.DUMMYFUNCTION("""COMPUTED_VALUE"""),"寶琳 清潔")</f>
        <v>寶琳 清潔</v>
      </c>
      <c r="C572" t="str">
        <f>IFERROR(__xludf.DUMMYFUNCTION("""COMPUTED_VALUE"""),"成本 - 固定開銷(網路代收清潔)")</f>
        <v>成本 - 固定開銷(網路代收清潔)</v>
      </c>
      <c r="D572" s="270">
        <f>IFERROR(__xludf.DUMMYFUNCTION("""COMPUTED_VALUE"""),-1050.0)</f>
        <v>-1050</v>
      </c>
      <c r="E572" t="str">
        <f>IFERROR(__xludf.DUMMYFUNCTION("""COMPUTED_VALUE"""),"Elsa帳戶")</f>
        <v>Elsa帳戶</v>
      </c>
      <c r="G572" t="str">
        <f>IFERROR(__xludf.DUMMYFUNCTION("""COMPUTED_VALUE"""),"大湖山莊")</f>
        <v>大湖山莊</v>
      </c>
      <c r="H572" s="106" t="str">
        <f t="shared" si="1"/>
        <v>2024-07</v>
      </c>
      <c r="I572" s="271" t="str">
        <f>IFERROR(__xludf.DUMMYFUNCTION("""COMPUTED_VALUE"""),"貓狗企鵝")</f>
        <v>貓狗企鵝</v>
      </c>
      <c r="J572" t="str">
        <f>IFERROR(__xludf.DUMMYFUNCTION("IFS(
  AND(REGEXMATCH(E572, ""台銀籌備帳戶|玉山帳戶""), REGEXMATCH(C572, ""薪資"")), ""分潤支出"",
  AND(REGEXMATCH(E572, ""Ben帳戶|Elsa帳戶|Ben代墊|Ariel代墊|中信銀行共用""), REGEXMATCH(F572, ""Ben帳戶|Elsa帳戶|Ben代墊|Ariel代墊|中信銀行共用"")), ""內部轉帳(忽略)"",
  AND(E572&lt;&gt;"""", F572&lt;&gt;"""", NOT(REG"&amp;"EXMATCH(C572, ""薪資""))), ""內部轉帳(忽略)"",
  REGEXMATCH(C572, ""薪資""), ""薪資變動(不計入)"",
  REGEXMATCH(C572, ""押金""), ""押金往來"",
  AND(E572&lt;&gt;"""", F572=""""), ""真實支出"",
  AND(E572="""", F572&lt;&gt;""""), ""真實收入"",
  TRUE, ""其他""
)"),"真實支出")</f>
        <v>真實支出</v>
      </c>
      <c r="K572" s="270">
        <f t="shared" si="2"/>
        <v>-1050</v>
      </c>
      <c r="L572">
        <f t="shared" si="3"/>
        <v>0</v>
      </c>
    </row>
    <row r="573">
      <c r="A573" s="107">
        <f>IFERROR(__xludf.DUMMYFUNCTION("""COMPUTED_VALUE"""),45493.0)</f>
        <v>45493</v>
      </c>
      <c r="B573" t="str">
        <f>IFERROR(__xludf.DUMMYFUNCTION("""COMPUTED_VALUE"""),"IKEA")</f>
        <v>IKEA</v>
      </c>
      <c r="C573" t="str">
        <f>IFERROR(__xludf.DUMMYFUNCTION("""COMPUTED_VALUE"""),"成本 - 進場前裝潢費")</f>
        <v>成本 - 進場前裝潢費</v>
      </c>
      <c r="D573" s="270">
        <f>IFERROR(__xludf.DUMMYFUNCTION("""COMPUTED_VALUE"""),-9613.0)</f>
        <v>-9613</v>
      </c>
      <c r="E573" t="str">
        <f>IFERROR(__xludf.DUMMYFUNCTION("""COMPUTED_VALUE"""),"Ben帳戶")</f>
        <v>Ben帳戶</v>
      </c>
      <c r="G573" t="str">
        <f>IFERROR(__xludf.DUMMYFUNCTION("""COMPUTED_VALUE"""),"南港站挑高宅")</f>
        <v>南港站挑高宅</v>
      </c>
      <c r="H573" s="106" t="str">
        <f t="shared" si="1"/>
        <v>2024-07</v>
      </c>
      <c r="I573" s="271" t="str">
        <f>IFERROR(__xludf.DUMMYFUNCTION("""COMPUTED_VALUE"""),"貓狗企鵝")</f>
        <v>貓狗企鵝</v>
      </c>
      <c r="J573" t="str">
        <f>IFERROR(__xludf.DUMMYFUNCTION("IFS(
  AND(REGEXMATCH(E573, ""台銀籌備帳戶|玉山帳戶""), REGEXMATCH(C573, ""薪資"")), ""分潤支出"",
  AND(REGEXMATCH(E573, ""Ben帳戶|Elsa帳戶|Ben代墊|Ariel代墊|中信銀行共用""), REGEXMATCH(F573, ""Ben帳戶|Elsa帳戶|Ben代墊|Ariel代墊|中信銀行共用"")), ""內部轉帳(忽略)"",
  AND(E573&lt;&gt;"""", F573&lt;&gt;"""", NOT(REG"&amp;"EXMATCH(C573, ""薪資""))), ""內部轉帳(忽略)"",
  REGEXMATCH(C573, ""薪資""), ""薪資變動(不計入)"",
  REGEXMATCH(C573, ""押金""), ""押金往來"",
  AND(E573&lt;&gt;"""", F573=""""), ""真實支出"",
  AND(E573="""", F573&lt;&gt;""""), ""真實收入"",
  TRUE, ""其他""
)"),"真實支出")</f>
        <v>真實支出</v>
      </c>
      <c r="K573" s="270">
        <f t="shared" si="2"/>
        <v>-9613</v>
      </c>
      <c r="L573">
        <f t="shared" si="3"/>
        <v>0</v>
      </c>
    </row>
    <row r="574">
      <c r="A574" s="107">
        <f>IFERROR(__xludf.DUMMYFUNCTION("""COMPUTED_VALUE"""),45493.0)</f>
        <v>45493</v>
      </c>
      <c r="B574" t="str">
        <f>IFERROR(__xludf.DUMMYFUNCTION("""COMPUTED_VALUE"""),"資金運用77")</f>
        <v>資金運用77</v>
      </c>
      <c r="C574" t="str">
        <f>IFERROR(__xludf.DUMMYFUNCTION("""COMPUTED_VALUE"""),"成本 - 進場前裝潢費")</f>
        <v>成本 - 進場前裝潢費</v>
      </c>
      <c r="D574" s="270">
        <f>IFERROR(__xludf.DUMMYFUNCTION("""COMPUTED_VALUE"""),-70015.0)</f>
        <v>-70015</v>
      </c>
      <c r="E574" t="str">
        <f>IFERROR(__xludf.DUMMYFUNCTION("""COMPUTED_VALUE"""),"台銀籌備帳戶")</f>
        <v>台銀籌備帳戶</v>
      </c>
      <c r="G574" t="str">
        <f>IFERROR(__xludf.DUMMYFUNCTION("""COMPUTED_VALUE"""),"南港站挑高宅")</f>
        <v>南港站挑高宅</v>
      </c>
      <c r="H574" s="106" t="str">
        <f t="shared" si="1"/>
        <v>2024-07</v>
      </c>
      <c r="I574" s="271" t="str">
        <f>IFERROR(__xludf.DUMMYFUNCTION("""COMPUTED_VALUE"""),"貓狗企鵝")</f>
        <v>貓狗企鵝</v>
      </c>
      <c r="J574" t="str">
        <f>IFERROR(__xludf.DUMMYFUNCTION("IFS(
  AND(REGEXMATCH(E574, ""台銀籌備帳戶|玉山帳戶""), REGEXMATCH(C574, ""薪資"")), ""分潤支出"",
  AND(REGEXMATCH(E574, ""Ben帳戶|Elsa帳戶|Ben代墊|Ariel代墊|中信銀行共用""), REGEXMATCH(F574, ""Ben帳戶|Elsa帳戶|Ben代墊|Ariel代墊|中信銀行共用"")), ""內部轉帳(忽略)"",
  AND(E574&lt;&gt;"""", F574&lt;&gt;"""", NOT(REG"&amp;"EXMATCH(C574, ""薪資""))), ""內部轉帳(忽略)"",
  REGEXMATCH(C574, ""薪資""), ""薪資變動(不計入)"",
  REGEXMATCH(C574, ""押金""), ""押金往來"",
  AND(E574&lt;&gt;"""", F574=""""), ""真實支出"",
  AND(E574="""", F574&lt;&gt;""""), ""真實收入"",
  TRUE, ""其他""
)"),"真實支出")</f>
        <v>真實支出</v>
      </c>
      <c r="K574" s="270">
        <f t="shared" si="2"/>
        <v>-70015</v>
      </c>
      <c r="L574">
        <f t="shared" si="3"/>
        <v>0</v>
      </c>
    </row>
    <row r="575">
      <c r="A575" s="107">
        <f>IFERROR(__xludf.DUMMYFUNCTION("""COMPUTED_VALUE"""),45494.0)</f>
        <v>45494</v>
      </c>
      <c r="B575" t="str">
        <f>IFERROR(__xludf.DUMMYFUNCTION("""COMPUTED_VALUE"""),"市府爺爺家 水費")</f>
        <v>市府爺爺家 水費</v>
      </c>
      <c r="C575" t="str">
        <f>IFERROR(__xludf.DUMMYFUNCTION("""COMPUTED_VALUE"""),"成本 - 進場前裝潢費")</f>
        <v>成本 - 進場前裝潢費</v>
      </c>
      <c r="D575" s="270">
        <f>IFERROR(__xludf.DUMMYFUNCTION("""COMPUTED_VALUE"""),-76.0)</f>
        <v>-76</v>
      </c>
      <c r="E575" t="str">
        <f>IFERROR(__xludf.DUMMYFUNCTION("""COMPUTED_VALUE"""),"Elsa帳戶")</f>
        <v>Elsa帳戶</v>
      </c>
      <c r="G575" t="str">
        <f>IFERROR(__xludf.DUMMYFUNCTION("""COMPUTED_VALUE"""),"市府爺爺家")</f>
        <v>市府爺爺家</v>
      </c>
      <c r="H575" s="106" t="str">
        <f t="shared" si="1"/>
        <v>2024-07</v>
      </c>
      <c r="I575" s="271" t="str">
        <f>IFERROR(__xludf.DUMMYFUNCTION("""COMPUTED_VALUE"""),"貓狗企鵝")</f>
        <v>貓狗企鵝</v>
      </c>
      <c r="J575" t="str">
        <f>IFERROR(__xludf.DUMMYFUNCTION("IFS(
  AND(REGEXMATCH(E575, ""台銀籌備帳戶|玉山帳戶""), REGEXMATCH(C575, ""薪資"")), ""分潤支出"",
  AND(REGEXMATCH(E575, ""Ben帳戶|Elsa帳戶|Ben代墊|Ariel代墊|中信銀行共用""), REGEXMATCH(F575, ""Ben帳戶|Elsa帳戶|Ben代墊|Ariel代墊|中信銀行共用"")), ""內部轉帳(忽略)"",
  AND(E575&lt;&gt;"""", F575&lt;&gt;"""", NOT(REG"&amp;"EXMATCH(C575, ""薪資""))), ""內部轉帳(忽略)"",
  REGEXMATCH(C575, ""薪資""), ""薪資變動(不計入)"",
  REGEXMATCH(C575, ""押金""), ""押金往來"",
  AND(E575&lt;&gt;"""", F575=""""), ""真實支出"",
  AND(E575="""", F575&lt;&gt;""""), ""真實收入"",
  TRUE, ""其他""
)"),"真實支出")</f>
        <v>真實支出</v>
      </c>
      <c r="K575" s="270">
        <f t="shared" si="2"/>
        <v>-76</v>
      </c>
      <c r="L575">
        <f t="shared" si="3"/>
        <v>0</v>
      </c>
    </row>
    <row r="576">
      <c r="A576" s="107">
        <f>IFERROR(__xludf.DUMMYFUNCTION("""COMPUTED_VALUE"""),45495.0)</f>
        <v>45495</v>
      </c>
      <c r="B576" t="str">
        <f>IFERROR(__xludf.DUMMYFUNCTION("""COMPUTED_VALUE"""),"瓦斯訂閱")</f>
        <v>瓦斯訂閱</v>
      </c>
      <c r="C576" t="str">
        <f>IFERROR(__xludf.DUMMYFUNCTION("""COMPUTED_VALUE"""),"成本 - 進場前裝潢費")</f>
        <v>成本 - 進場前裝潢費</v>
      </c>
      <c r="D576" s="270">
        <f>IFERROR(__xludf.DUMMYFUNCTION("""COMPUTED_VALUE"""),-3298.0)</f>
        <v>-3298</v>
      </c>
      <c r="E576" t="str">
        <f>IFERROR(__xludf.DUMMYFUNCTION("""COMPUTED_VALUE"""),"Ben帳戶")</f>
        <v>Ben帳戶</v>
      </c>
      <c r="G576" t="str">
        <f>IFERROR(__xludf.DUMMYFUNCTION("""COMPUTED_VALUE"""),"市府爺爺家")</f>
        <v>市府爺爺家</v>
      </c>
      <c r="H576" s="106" t="str">
        <f t="shared" si="1"/>
        <v>2024-07</v>
      </c>
      <c r="I576" s="271" t="str">
        <f>IFERROR(__xludf.DUMMYFUNCTION("""COMPUTED_VALUE"""),"貓狗企鵝")</f>
        <v>貓狗企鵝</v>
      </c>
      <c r="J576" t="str">
        <f>IFERROR(__xludf.DUMMYFUNCTION("IFS(
  AND(REGEXMATCH(E576, ""台銀籌備帳戶|玉山帳戶""), REGEXMATCH(C576, ""薪資"")), ""分潤支出"",
  AND(REGEXMATCH(E576, ""Ben帳戶|Elsa帳戶|Ben代墊|Ariel代墊|中信銀行共用""), REGEXMATCH(F576, ""Ben帳戶|Elsa帳戶|Ben代墊|Ariel代墊|中信銀行共用"")), ""內部轉帳(忽略)"",
  AND(E576&lt;&gt;"""", F576&lt;&gt;"""", NOT(REG"&amp;"EXMATCH(C576, ""薪資""))), ""內部轉帳(忽略)"",
  REGEXMATCH(C576, ""薪資""), ""薪資變動(不計入)"",
  REGEXMATCH(C576, ""押金""), ""押金往來"",
  AND(E576&lt;&gt;"""", F576=""""), ""真實支出"",
  AND(E576="""", F576&lt;&gt;""""), ""真實收入"",
  TRUE, ""其他""
)"),"真實支出")</f>
        <v>真實支出</v>
      </c>
      <c r="K576" s="270">
        <f t="shared" si="2"/>
        <v>-3298</v>
      </c>
      <c r="L576">
        <f t="shared" si="3"/>
        <v>0</v>
      </c>
    </row>
    <row r="577">
      <c r="A577" s="107">
        <f>IFERROR(__xludf.DUMMYFUNCTION("""COMPUTED_VALUE"""),45495.0)</f>
        <v>45495</v>
      </c>
      <c r="B577" t="str">
        <f>IFERROR(__xludf.DUMMYFUNCTION("""COMPUTED_VALUE"""),"市府爺爺家停車費")</f>
        <v>市府爺爺家停車費</v>
      </c>
      <c r="C577" t="str">
        <f>IFERROR(__xludf.DUMMYFUNCTION("""COMPUTED_VALUE"""),"成本 - 進場前裝潢費")</f>
        <v>成本 - 進場前裝潢費</v>
      </c>
      <c r="D577" s="270">
        <f>IFERROR(__xludf.DUMMYFUNCTION("""COMPUTED_VALUE"""),-200.0)</f>
        <v>-200</v>
      </c>
      <c r="E577" t="str">
        <f>IFERROR(__xludf.DUMMYFUNCTION("""COMPUTED_VALUE"""),"Elsa帳戶")</f>
        <v>Elsa帳戶</v>
      </c>
      <c r="G577" t="str">
        <f>IFERROR(__xludf.DUMMYFUNCTION("""COMPUTED_VALUE"""),"市府爺爺家")</f>
        <v>市府爺爺家</v>
      </c>
      <c r="H577" s="106" t="str">
        <f t="shared" si="1"/>
        <v>2024-07</v>
      </c>
      <c r="I577" s="271" t="str">
        <f>IFERROR(__xludf.DUMMYFUNCTION("""COMPUTED_VALUE"""),"貓狗企鵝")</f>
        <v>貓狗企鵝</v>
      </c>
      <c r="J577" t="str">
        <f>IFERROR(__xludf.DUMMYFUNCTION("IFS(
  AND(REGEXMATCH(E577, ""台銀籌備帳戶|玉山帳戶""), REGEXMATCH(C577, ""薪資"")), ""分潤支出"",
  AND(REGEXMATCH(E577, ""Ben帳戶|Elsa帳戶|Ben代墊|Ariel代墊|中信銀行共用""), REGEXMATCH(F577, ""Ben帳戶|Elsa帳戶|Ben代墊|Ariel代墊|中信銀行共用"")), ""內部轉帳(忽略)"",
  AND(E577&lt;&gt;"""", F577&lt;&gt;"""", NOT(REG"&amp;"EXMATCH(C577, ""薪資""))), ""內部轉帳(忽略)"",
  REGEXMATCH(C577, ""薪資""), ""薪資變動(不計入)"",
  REGEXMATCH(C577, ""押金""), ""押金往來"",
  AND(E577&lt;&gt;"""", F577=""""), ""真實支出"",
  AND(E577="""", F577&lt;&gt;""""), ""真實收入"",
  TRUE, ""其他""
)"),"真實支出")</f>
        <v>真實支出</v>
      </c>
      <c r="K577" s="270">
        <f t="shared" si="2"/>
        <v>-200</v>
      </c>
      <c r="L577">
        <f t="shared" si="3"/>
        <v>0</v>
      </c>
    </row>
    <row r="578">
      <c r="A578" s="107">
        <f>IFERROR(__xludf.DUMMYFUNCTION("""COMPUTED_VALUE"""),45497.0)</f>
        <v>45497</v>
      </c>
      <c r="B578" t="str">
        <f>IFERROR(__xludf.DUMMYFUNCTION("""COMPUTED_VALUE"""),"水電市府")</f>
        <v>水電市府</v>
      </c>
      <c r="C578" t="str">
        <f>IFERROR(__xludf.DUMMYFUNCTION("""COMPUTED_VALUE"""),"成本 - 進場前裝潢費")</f>
        <v>成本 - 進場前裝潢費</v>
      </c>
      <c r="D578" s="270">
        <f>IFERROR(__xludf.DUMMYFUNCTION("""COMPUTED_VALUE"""),-9360.0)</f>
        <v>-9360</v>
      </c>
      <c r="E578" t="str">
        <f>IFERROR(__xludf.DUMMYFUNCTION("""COMPUTED_VALUE"""),"台銀籌備帳戶")</f>
        <v>台銀籌備帳戶</v>
      </c>
      <c r="G578" t="str">
        <f>IFERROR(__xludf.DUMMYFUNCTION("""COMPUTED_VALUE"""),"市府爺爺家")</f>
        <v>市府爺爺家</v>
      </c>
      <c r="H578" s="106" t="str">
        <f t="shared" si="1"/>
        <v>2024-07</v>
      </c>
      <c r="I578" s="271" t="str">
        <f>IFERROR(__xludf.DUMMYFUNCTION("""COMPUTED_VALUE"""),"貓狗企鵝")</f>
        <v>貓狗企鵝</v>
      </c>
      <c r="J578" t="str">
        <f>IFERROR(__xludf.DUMMYFUNCTION("IFS(
  AND(REGEXMATCH(E578, ""台銀籌備帳戶|玉山帳戶""), REGEXMATCH(C578, ""薪資"")), ""分潤支出"",
  AND(REGEXMATCH(E578, ""Ben帳戶|Elsa帳戶|Ben代墊|Ariel代墊|中信銀行共用""), REGEXMATCH(F578, ""Ben帳戶|Elsa帳戶|Ben代墊|Ariel代墊|中信銀行共用"")), ""內部轉帳(忽略)"",
  AND(E578&lt;&gt;"""", F578&lt;&gt;"""", NOT(REG"&amp;"EXMATCH(C578, ""薪資""))), ""內部轉帳(忽略)"",
  REGEXMATCH(C578, ""薪資""), ""薪資變動(不計入)"",
  REGEXMATCH(C578, ""押金""), ""押金往來"",
  AND(E578&lt;&gt;"""", F578=""""), ""真實支出"",
  AND(E578="""", F578&lt;&gt;""""), ""真實收入"",
  TRUE, ""其他""
)"),"真實支出")</f>
        <v>真實支出</v>
      </c>
      <c r="K578" s="270">
        <f t="shared" si="2"/>
        <v>-9360</v>
      </c>
      <c r="L578">
        <f t="shared" si="3"/>
        <v>0</v>
      </c>
    </row>
    <row r="579">
      <c r="A579" s="107">
        <f>IFERROR(__xludf.DUMMYFUNCTION("""COMPUTED_VALUE"""),45497.0)</f>
        <v>45497</v>
      </c>
      <c r="B579" t="str">
        <f>IFERROR(__xludf.DUMMYFUNCTION("""COMPUTED_VALUE"""),"水電南港")</f>
        <v>水電南港</v>
      </c>
      <c r="C579" t="str">
        <f>IFERROR(__xludf.DUMMYFUNCTION("""COMPUTED_VALUE"""),"成本 - 進場前裝潢費")</f>
        <v>成本 - 進場前裝潢費</v>
      </c>
      <c r="D579" s="270">
        <f>IFERROR(__xludf.DUMMYFUNCTION("""COMPUTED_VALUE"""),-70365.0)</f>
        <v>-70365</v>
      </c>
      <c r="E579" t="str">
        <f>IFERROR(__xludf.DUMMYFUNCTION("""COMPUTED_VALUE"""),"台銀籌備帳戶")</f>
        <v>台銀籌備帳戶</v>
      </c>
      <c r="G579" t="str">
        <f>IFERROR(__xludf.DUMMYFUNCTION("""COMPUTED_VALUE"""),"南港站挑高宅")</f>
        <v>南港站挑高宅</v>
      </c>
      <c r="H579" s="106" t="str">
        <f t="shared" si="1"/>
        <v>2024-07</v>
      </c>
      <c r="I579" s="271" t="str">
        <f>IFERROR(__xludf.DUMMYFUNCTION("""COMPUTED_VALUE"""),"貓狗企鵝")</f>
        <v>貓狗企鵝</v>
      </c>
      <c r="J579" t="str">
        <f>IFERROR(__xludf.DUMMYFUNCTION("IFS(
  AND(REGEXMATCH(E579, ""台銀籌備帳戶|玉山帳戶""), REGEXMATCH(C579, ""薪資"")), ""分潤支出"",
  AND(REGEXMATCH(E579, ""Ben帳戶|Elsa帳戶|Ben代墊|Ariel代墊|中信銀行共用""), REGEXMATCH(F579, ""Ben帳戶|Elsa帳戶|Ben代墊|Ariel代墊|中信銀行共用"")), ""內部轉帳(忽略)"",
  AND(E579&lt;&gt;"""", F579&lt;&gt;"""", NOT(REG"&amp;"EXMATCH(C579, ""薪資""))), ""內部轉帳(忽略)"",
  REGEXMATCH(C579, ""薪資""), ""薪資變動(不計入)"",
  REGEXMATCH(C579, ""押金""), ""押金往來"",
  AND(E579&lt;&gt;"""", F579=""""), ""真實支出"",
  AND(E579="""", F579&lt;&gt;""""), ""真實收入"",
  TRUE, ""其他""
)"),"真實支出")</f>
        <v>真實支出</v>
      </c>
      <c r="K579" s="270">
        <f t="shared" si="2"/>
        <v>-70365</v>
      </c>
      <c r="L579">
        <f t="shared" si="3"/>
        <v>0</v>
      </c>
    </row>
    <row r="580">
      <c r="A580" s="107">
        <f>IFERROR(__xludf.DUMMYFUNCTION("""COMPUTED_VALUE"""),45497.0)</f>
        <v>45497</v>
      </c>
      <c r="B580" t="str">
        <f>IFERROR(__xludf.DUMMYFUNCTION("""COMPUTED_VALUE"""),"水電熱水器大湖")</f>
        <v>水電熱水器大湖</v>
      </c>
      <c r="C580" t="str">
        <f>IFERROR(__xludf.DUMMYFUNCTION("""COMPUTED_VALUE"""),"成本 - 租後修繕")</f>
        <v>成本 - 租後修繕</v>
      </c>
      <c r="D580" s="270">
        <f>IFERROR(__xludf.DUMMYFUNCTION("""COMPUTED_VALUE"""),-24675.0)</f>
        <v>-24675</v>
      </c>
      <c r="E580" t="str">
        <f>IFERROR(__xludf.DUMMYFUNCTION("""COMPUTED_VALUE"""),"台銀籌備帳戶")</f>
        <v>台銀籌備帳戶</v>
      </c>
      <c r="G580" t="str">
        <f>IFERROR(__xludf.DUMMYFUNCTION("""COMPUTED_VALUE"""),"大湖山莊")</f>
        <v>大湖山莊</v>
      </c>
      <c r="H580" s="106" t="str">
        <f t="shared" si="1"/>
        <v>2024-07</v>
      </c>
      <c r="I580" s="271" t="str">
        <f>IFERROR(__xludf.DUMMYFUNCTION("""COMPUTED_VALUE"""),"貓狗企鵝")</f>
        <v>貓狗企鵝</v>
      </c>
      <c r="J580" t="str">
        <f>IFERROR(__xludf.DUMMYFUNCTION("IFS(
  AND(REGEXMATCH(E580, ""台銀籌備帳戶|玉山帳戶""), REGEXMATCH(C580, ""薪資"")), ""分潤支出"",
  AND(REGEXMATCH(E580, ""Ben帳戶|Elsa帳戶|Ben代墊|Ariel代墊|中信銀行共用""), REGEXMATCH(F580, ""Ben帳戶|Elsa帳戶|Ben代墊|Ariel代墊|中信銀行共用"")), ""內部轉帳(忽略)"",
  AND(E580&lt;&gt;"""", F580&lt;&gt;"""", NOT(REG"&amp;"EXMATCH(C580, ""薪資""))), ""內部轉帳(忽略)"",
  REGEXMATCH(C580, ""薪資""), ""薪資變動(不計入)"",
  REGEXMATCH(C580, ""押金""), ""押金往來"",
  AND(E580&lt;&gt;"""", F580=""""), ""真實支出"",
  AND(E580="""", F580&lt;&gt;""""), ""真實收入"",
  TRUE, ""其他""
)"),"真實支出")</f>
        <v>真實支出</v>
      </c>
      <c r="K580" s="270">
        <f t="shared" si="2"/>
        <v>-24675</v>
      </c>
      <c r="L580">
        <f t="shared" si="3"/>
        <v>0</v>
      </c>
    </row>
    <row r="581">
      <c r="A581" s="107">
        <f>IFERROR(__xludf.DUMMYFUNCTION("""COMPUTED_VALUE"""),45498.0)</f>
        <v>45498</v>
      </c>
      <c r="B581" t="str">
        <f>IFERROR(__xludf.DUMMYFUNCTION("""COMPUTED_VALUE"""),"冷氣南港")</f>
        <v>冷氣南港</v>
      </c>
      <c r="C581" t="str">
        <f>IFERROR(__xludf.DUMMYFUNCTION("""COMPUTED_VALUE"""),"成本 - 進場前裝潢費")</f>
        <v>成本 - 進場前裝潢費</v>
      </c>
      <c r="D581" s="270">
        <f>IFERROR(__xludf.DUMMYFUNCTION("""COMPUTED_VALUE"""),-100015.0)</f>
        <v>-100015</v>
      </c>
      <c r="E581" t="str">
        <f>IFERROR(__xludf.DUMMYFUNCTION("""COMPUTED_VALUE"""),"台銀籌備帳戶")</f>
        <v>台銀籌備帳戶</v>
      </c>
      <c r="G581" t="str">
        <f>IFERROR(__xludf.DUMMYFUNCTION("""COMPUTED_VALUE"""),"南港站挑高宅")</f>
        <v>南港站挑高宅</v>
      </c>
      <c r="H581" s="106" t="str">
        <f t="shared" si="1"/>
        <v>2024-07</v>
      </c>
      <c r="I581" s="271" t="str">
        <f>IFERROR(__xludf.DUMMYFUNCTION("""COMPUTED_VALUE"""),"貓狗企鵝")</f>
        <v>貓狗企鵝</v>
      </c>
      <c r="J581" t="str">
        <f>IFERROR(__xludf.DUMMYFUNCTION("IFS(
  AND(REGEXMATCH(E581, ""台銀籌備帳戶|玉山帳戶""), REGEXMATCH(C581, ""薪資"")), ""分潤支出"",
  AND(REGEXMATCH(E581, ""Ben帳戶|Elsa帳戶|Ben代墊|Ariel代墊|中信銀行共用""), REGEXMATCH(F581, ""Ben帳戶|Elsa帳戶|Ben代墊|Ariel代墊|中信銀行共用"")), ""內部轉帳(忽略)"",
  AND(E581&lt;&gt;"""", F581&lt;&gt;"""", NOT(REG"&amp;"EXMATCH(C581, ""薪資""))), ""內部轉帳(忽略)"",
  REGEXMATCH(C581, ""薪資""), ""薪資變動(不計入)"",
  REGEXMATCH(C581, ""押金""), ""押金往來"",
  AND(E581&lt;&gt;"""", F581=""""), ""真實支出"",
  AND(E581="""", F581&lt;&gt;""""), ""真實收入"",
  TRUE, ""其他""
)"),"真實支出")</f>
        <v>真實支出</v>
      </c>
      <c r="K581" s="270">
        <f t="shared" si="2"/>
        <v>-100015</v>
      </c>
      <c r="L581">
        <f t="shared" si="3"/>
        <v>0</v>
      </c>
    </row>
    <row r="582">
      <c r="A582" s="107">
        <f>IFERROR(__xludf.DUMMYFUNCTION("""COMPUTED_VALUE"""),45498.0)</f>
        <v>45498</v>
      </c>
      <c r="B582" t="str">
        <f>IFERROR(__xludf.DUMMYFUNCTION("""COMPUTED_VALUE"""),"冷氣南港")</f>
        <v>冷氣南港</v>
      </c>
      <c r="C582" t="str">
        <f>IFERROR(__xludf.DUMMYFUNCTION("""COMPUTED_VALUE"""),"成本 - 進場前裝潢費")</f>
        <v>成本 - 進場前裝潢費</v>
      </c>
      <c r="D582" s="270">
        <f>IFERROR(__xludf.DUMMYFUNCTION("""COMPUTED_VALUE"""),-15315.0)</f>
        <v>-15315</v>
      </c>
      <c r="E582" t="str">
        <f>IFERROR(__xludf.DUMMYFUNCTION("""COMPUTED_VALUE"""),"台銀籌備帳戶")</f>
        <v>台銀籌備帳戶</v>
      </c>
      <c r="G582" t="str">
        <f>IFERROR(__xludf.DUMMYFUNCTION("""COMPUTED_VALUE"""),"南港站挑高宅")</f>
        <v>南港站挑高宅</v>
      </c>
      <c r="H582" s="106" t="str">
        <f t="shared" si="1"/>
        <v>2024-07</v>
      </c>
      <c r="I582" s="271" t="str">
        <f>IFERROR(__xludf.DUMMYFUNCTION("""COMPUTED_VALUE"""),"貓狗企鵝")</f>
        <v>貓狗企鵝</v>
      </c>
      <c r="J582" t="str">
        <f>IFERROR(__xludf.DUMMYFUNCTION("IFS(
  AND(REGEXMATCH(E582, ""台銀籌備帳戶|玉山帳戶""), REGEXMATCH(C582, ""薪資"")), ""分潤支出"",
  AND(REGEXMATCH(E582, ""Ben帳戶|Elsa帳戶|Ben代墊|Ariel代墊|中信銀行共用""), REGEXMATCH(F582, ""Ben帳戶|Elsa帳戶|Ben代墊|Ariel代墊|中信銀行共用"")), ""內部轉帳(忽略)"",
  AND(E582&lt;&gt;"""", F582&lt;&gt;"""", NOT(REG"&amp;"EXMATCH(C582, ""薪資""))), ""內部轉帳(忽略)"",
  REGEXMATCH(C582, ""薪資""), ""薪資變動(不計入)"",
  REGEXMATCH(C582, ""押金""), ""押金往來"",
  AND(E582&lt;&gt;"""", F582=""""), ""真實支出"",
  AND(E582="""", F582&lt;&gt;""""), ""真實收入"",
  TRUE, ""其他""
)"),"真實支出")</f>
        <v>真實支出</v>
      </c>
      <c r="K582" s="270">
        <f t="shared" si="2"/>
        <v>-15315</v>
      </c>
      <c r="L582">
        <f t="shared" si="3"/>
        <v>0</v>
      </c>
    </row>
    <row r="583">
      <c r="A583" s="107">
        <f>IFERROR(__xludf.DUMMYFUNCTION("""COMPUTED_VALUE"""),45499.0)</f>
        <v>45499</v>
      </c>
      <c r="B583" t="str">
        <f>IFERROR(__xludf.DUMMYFUNCTION("""COMPUTED_VALUE"""),"南港站電費")</f>
        <v>南港站電費</v>
      </c>
      <c r="C583" t="str">
        <f>IFERROR(__xludf.DUMMYFUNCTION("""COMPUTED_VALUE"""),"成本 - 進場前裝潢費")</f>
        <v>成本 - 進場前裝潢費</v>
      </c>
      <c r="D583" s="270">
        <f>IFERROR(__xludf.DUMMYFUNCTION("""COMPUTED_VALUE"""),-80.0)</f>
        <v>-80</v>
      </c>
      <c r="E583" t="str">
        <f>IFERROR(__xludf.DUMMYFUNCTION("""COMPUTED_VALUE"""),"Elsa帳戶")</f>
        <v>Elsa帳戶</v>
      </c>
      <c r="G583" t="str">
        <f>IFERROR(__xludf.DUMMYFUNCTION("""COMPUTED_VALUE"""),"南港站挑高宅")</f>
        <v>南港站挑高宅</v>
      </c>
      <c r="H583" s="106" t="str">
        <f t="shared" si="1"/>
        <v>2024-07</v>
      </c>
      <c r="I583" s="271" t="str">
        <f>IFERROR(__xludf.DUMMYFUNCTION("""COMPUTED_VALUE"""),"貓狗企鵝")</f>
        <v>貓狗企鵝</v>
      </c>
      <c r="J583" t="str">
        <f>IFERROR(__xludf.DUMMYFUNCTION("IFS(
  AND(REGEXMATCH(E583, ""台銀籌備帳戶|玉山帳戶""), REGEXMATCH(C583, ""薪資"")), ""分潤支出"",
  AND(REGEXMATCH(E583, ""Ben帳戶|Elsa帳戶|Ben代墊|Ariel代墊|中信銀行共用""), REGEXMATCH(F583, ""Ben帳戶|Elsa帳戶|Ben代墊|Ariel代墊|中信銀行共用"")), ""內部轉帳(忽略)"",
  AND(E583&lt;&gt;"""", F583&lt;&gt;"""", NOT(REG"&amp;"EXMATCH(C583, ""薪資""))), ""內部轉帳(忽略)"",
  REGEXMATCH(C583, ""薪資""), ""薪資變動(不計入)"",
  REGEXMATCH(C583, ""押金""), ""押金往來"",
  AND(E583&lt;&gt;"""", F583=""""), ""真實支出"",
  AND(E583="""", F583&lt;&gt;""""), ""真實收入"",
  TRUE, ""其他""
)"),"真實支出")</f>
        <v>真實支出</v>
      </c>
      <c r="K583" s="270">
        <f t="shared" si="2"/>
        <v>-80</v>
      </c>
      <c r="L583">
        <f t="shared" si="3"/>
        <v>0</v>
      </c>
    </row>
    <row r="584">
      <c r="A584" s="107">
        <f>IFERROR(__xludf.DUMMYFUNCTION("""COMPUTED_VALUE"""),45499.0)</f>
        <v>45499</v>
      </c>
      <c r="B584" t="str">
        <f>IFERROR(__xludf.DUMMYFUNCTION("""COMPUTED_VALUE"""),"市府爺爺定金")</f>
        <v>市府爺爺定金</v>
      </c>
      <c r="C584" t="str">
        <f>IFERROR(__xludf.DUMMYFUNCTION("""COMPUTED_VALUE"""),"收入 - 租金")</f>
        <v>收入 - 租金</v>
      </c>
      <c r="D584" s="270">
        <f>IFERROR(__xludf.DUMMYFUNCTION("""COMPUTED_VALUE"""),10000.0)</f>
        <v>10000</v>
      </c>
      <c r="F584" t="str">
        <f>IFERROR(__xludf.DUMMYFUNCTION("""COMPUTED_VALUE"""),"台銀籌備帳戶")</f>
        <v>台銀籌備帳戶</v>
      </c>
      <c r="G584" t="str">
        <f>IFERROR(__xludf.DUMMYFUNCTION("""COMPUTED_VALUE"""),"市府爺爺家")</f>
        <v>市府爺爺家</v>
      </c>
      <c r="H584" s="106" t="str">
        <f t="shared" si="1"/>
        <v>2024-07</v>
      </c>
      <c r="I584" s="271" t="str">
        <f>IFERROR(__xludf.DUMMYFUNCTION("""COMPUTED_VALUE"""),"貓狗企鵝")</f>
        <v>貓狗企鵝</v>
      </c>
      <c r="J584" t="str">
        <f>IFERROR(__xludf.DUMMYFUNCTION("IFS(
  AND(REGEXMATCH(E584, ""台銀籌備帳戶|玉山帳戶""), REGEXMATCH(C584, ""薪資"")), ""分潤支出"",
  AND(REGEXMATCH(E584, ""Ben帳戶|Elsa帳戶|Ben代墊|Ariel代墊|中信銀行共用""), REGEXMATCH(F584, ""Ben帳戶|Elsa帳戶|Ben代墊|Ariel代墊|中信銀行共用"")), ""內部轉帳(忽略)"",
  AND(E584&lt;&gt;"""", F584&lt;&gt;"""", NOT(REG"&amp;"EXMATCH(C584, ""薪資""))), ""內部轉帳(忽略)"",
  REGEXMATCH(C584, ""薪資""), ""薪資變動(不計入)"",
  REGEXMATCH(C584, ""押金""), ""押金往來"",
  AND(E584&lt;&gt;"""", F584=""""), ""真實支出"",
  AND(E584="""", F584&lt;&gt;""""), ""真實收入"",
  TRUE, ""其他""
)"),"真實收入")</f>
        <v>真實收入</v>
      </c>
      <c r="K584" s="270">
        <f t="shared" si="2"/>
        <v>10000</v>
      </c>
      <c r="L584">
        <f t="shared" si="3"/>
        <v>0</v>
      </c>
    </row>
    <row r="585">
      <c r="A585" s="107">
        <f>IFERROR(__xludf.DUMMYFUNCTION("""COMPUTED_VALUE"""),45500.0)</f>
        <v>45500</v>
      </c>
      <c r="B585" t="str">
        <f>IFERROR(__xludf.DUMMYFUNCTION("""COMPUTED_VALUE"""),"大湖床墊搬運")</f>
        <v>大湖床墊搬運</v>
      </c>
      <c r="C585" t="str">
        <f>IFERROR(__xludf.DUMMYFUNCTION("""COMPUTED_VALUE"""),"成本 - 進場前裝潢費")</f>
        <v>成本 - 進場前裝潢費</v>
      </c>
      <c r="D585" s="270">
        <f>IFERROR(__xludf.DUMMYFUNCTION("""COMPUTED_VALUE"""),-1000.0)</f>
        <v>-1000</v>
      </c>
      <c r="E585" t="str">
        <f>IFERROR(__xludf.DUMMYFUNCTION("""COMPUTED_VALUE"""),"Ben帳戶")</f>
        <v>Ben帳戶</v>
      </c>
      <c r="G585" t="str">
        <f>IFERROR(__xludf.DUMMYFUNCTION("""COMPUTED_VALUE"""),"大湖山莊")</f>
        <v>大湖山莊</v>
      </c>
      <c r="H585" s="106" t="str">
        <f t="shared" si="1"/>
        <v>2024-07</v>
      </c>
      <c r="I585" s="271" t="str">
        <f>IFERROR(__xludf.DUMMYFUNCTION("""COMPUTED_VALUE"""),"貓狗企鵝")</f>
        <v>貓狗企鵝</v>
      </c>
      <c r="J585" t="str">
        <f>IFERROR(__xludf.DUMMYFUNCTION("IFS(
  AND(REGEXMATCH(E585, ""台銀籌備帳戶|玉山帳戶""), REGEXMATCH(C585, ""薪資"")), ""分潤支出"",
  AND(REGEXMATCH(E585, ""Ben帳戶|Elsa帳戶|Ben代墊|Ariel代墊|中信銀行共用""), REGEXMATCH(F585, ""Ben帳戶|Elsa帳戶|Ben代墊|Ariel代墊|中信銀行共用"")), ""內部轉帳(忽略)"",
  AND(E585&lt;&gt;"""", F585&lt;&gt;"""", NOT(REG"&amp;"EXMATCH(C585, ""薪資""))), ""內部轉帳(忽略)"",
  REGEXMATCH(C585, ""薪資""), ""薪資變動(不計入)"",
  REGEXMATCH(C585, ""押金""), ""押金往來"",
  AND(E585&lt;&gt;"""", F585=""""), ""真實支出"",
  AND(E585="""", F585&lt;&gt;""""), ""真實收入"",
  TRUE, ""其他""
)"),"真實支出")</f>
        <v>真實支出</v>
      </c>
      <c r="K585" s="270">
        <f t="shared" si="2"/>
        <v>-1000</v>
      </c>
      <c r="L585">
        <f t="shared" si="3"/>
        <v>0</v>
      </c>
    </row>
    <row r="586">
      <c r="A586" s="107">
        <f>IFERROR(__xludf.DUMMYFUNCTION("""COMPUTED_VALUE"""),45500.0)</f>
        <v>45500</v>
      </c>
      <c r="B586" t="str">
        <f>IFERROR(__xludf.DUMMYFUNCTION("""COMPUTED_VALUE"""),"小玉搬運南港")</f>
        <v>小玉搬運南港</v>
      </c>
      <c r="C586" t="str">
        <f>IFERROR(__xludf.DUMMYFUNCTION("""COMPUTED_VALUE"""),"成本 - 進場前裝潢費")</f>
        <v>成本 - 進場前裝潢費</v>
      </c>
      <c r="D586" s="270">
        <f>IFERROR(__xludf.DUMMYFUNCTION("""COMPUTED_VALUE"""),-2615.0)</f>
        <v>-2615</v>
      </c>
      <c r="E586" t="str">
        <f>IFERROR(__xludf.DUMMYFUNCTION("""COMPUTED_VALUE"""),"台銀籌備帳戶")</f>
        <v>台銀籌備帳戶</v>
      </c>
      <c r="G586" t="str">
        <f>IFERROR(__xludf.DUMMYFUNCTION("""COMPUTED_VALUE"""),"南港站挑高宅")</f>
        <v>南港站挑高宅</v>
      </c>
      <c r="H586" s="106" t="str">
        <f t="shared" si="1"/>
        <v>2024-07</v>
      </c>
      <c r="I586" s="271" t="str">
        <f>IFERROR(__xludf.DUMMYFUNCTION("""COMPUTED_VALUE"""),"貓狗企鵝")</f>
        <v>貓狗企鵝</v>
      </c>
      <c r="J586" t="str">
        <f>IFERROR(__xludf.DUMMYFUNCTION("IFS(
  AND(REGEXMATCH(E586, ""台銀籌備帳戶|玉山帳戶""), REGEXMATCH(C586, ""薪資"")), ""分潤支出"",
  AND(REGEXMATCH(E586, ""Ben帳戶|Elsa帳戶|Ben代墊|Ariel代墊|中信銀行共用""), REGEXMATCH(F586, ""Ben帳戶|Elsa帳戶|Ben代墊|Ariel代墊|中信銀行共用"")), ""內部轉帳(忽略)"",
  AND(E586&lt;&gt;"""", F586&lt;&gt;"""", NOT(REG"&amp;"EXMATCH(C586, ""薪資""))), ""內部轉帳(忽略)"",
  REGEXMATCH(C586, ""薪資""), ""薪資變動(不計入)"",
  REGEXMATCH(C586, ""押金""), ""押金往來"",
  AND(E586&lt;&gt;"""", F586=""""), ""真實支出"",
  AND(E586="""", F586&lt;&gt;""""), ""真實收入"",
  TRUE, ""其他""
)"),"真實支出")</f>
        <v>真實支出</v>
      </c>
      <c r="K586" s="270">
        <f t="shared" si="2"/>
        <v>-2615</v>
      </c>
      <c r="L586">
        <f t="shared" si="3"/>
        <v>0</v>
      </c>
    </row>
    <row r="587">
      <c r="A587" s="107">
        <f>IFERROR(__xludf.DUMMYFUNCTION("""COMPUTED_VALUE"""),45502.0)</f>
        <v>45502</v>
      </c>
      <c r="B587" t="str">
        <f>IFERROR(__xludf.DUMMYFUNCTION("""COMPUTED_VALUE"""),"寶琳清潔3小時")</f>
        <v>寶琳清潔3小時</v>
      </c>
      <c r="C587" t="str">
        <f>IFERROR(__xludf.DUMMYFUNCTION("""COMPUTED_VALUE"""),"成本 - 進場前裝潢費")</f>
        <v>成本 - 進場前裝潢費</v>
      </c>
      <c r="D587" s="270">
        <f>IFERROR(__xludf.DUMMYFUNCTION("""COMPUTED_VALUE"""),-1050.0)</f>
        <v>-1050</v>
      </c>
      <c r="E587" t="str">
        <f>IFERROR(__xludf.DUMMYFUNCTION("""COMPUTED_VALUE"""),"Elsa帳戶")</f>
        <v>Elsa帳戶</v>
      </c>
      <c r="G587" t="str">
        <f>IFERROR(__xludf.DUMMYFUNCTION("""COMPUTED_VALUE"""),"南港站挑高宅")</f>
        <v>南港站挑高宅</v>
      </c>
      <c r="H587" s="106" t="str">
        <f t="shared" si="1"/>
        <v>2024-07</v>
      </c>
      <c r="I587" s="271" t="str">
        <f>IFERROR(__xludf.DUMMYFUNCTION("""COMPUTED_VALUE"""),"貓狗企鵝")</f>
        <v>貓狗企鵝</v>
      </c>
      <c r="J587" t="str">
        <f>IFERROR(__xludf.DUMMYFUNCTION("IFS(
  AND(REGEXMATCH(E587, ""台銀籌備帳戶|玉山帳戶""), REGEXMATCH(C587, ""薪資"")), ""分潤支出"",
  AND(REGEXMATCH(E587, ""Ben帳戶|Elsa帳戶|Ben代墊|Ariel代墊|中信銀行共用""), REGEXMATCH(F587, ""Ben帳戶|Elsa帳戶|Ben代墊|Ariel代墊|中信銀行共用"")), ""內部轉帳(忽略)"",
  AND(E587&lt;&gt;"""", F587&lt;&gt;"""", NOT(REG"&amp;"EXMATCH(C587, ""薪資""))), ""內部轉帳(忽略)"",
  REGEXMATCH(C587, ""薪資""), ""薪資變動(不計入)"",
  REGEXMATCH(C587, ""押金""), ""押金往來"",
  AND(E587&lt;&gt;"""", F587=""""), ""真實支出"",
  AND(E587="""", F587&lt;&gt;""""), ""真實收入"",
  TRUE, ""其他""
)"),"真實支出")</f>
        <v>真實支出</v>
      </c>
      <c r="K587" s="270">
        <f t="shared" si="2"/>
        <v>-1050</v>
      </c>
      <c r="L587">
        <f t="shared" si="3"/>
        <v>0</v>
      </c>
    </row>
    <row r="588">
      <c r="A588" s="107">
        <f>IFERROR(__xludf.DUMMYFUNCTION("""COMPUTED_VALUE"""),45502.0)</f>
        <v>45502</v>
      </c>
      <c r="B588" t="str">
        <f>IFERROR(__xludf.DUMMYFUNCTION("""COMPUTED_VALUE"""),"寶琳南港清潔")</f>
        <v>寶琳南港清潔</v>
      </c>
      <c r="C588" t="str">
        <f>IFERROR(__xludf.DUMMYFUNCTION("""COMPUTED_VALUE"""),"成本 - 進場前裝潢費")</f>
        <v>成本 - 進場前裝潢費</v>
      </c>
      <c r="D588" s="270">
        <f>IFERROR(__xludf.DUMMYFUNCTION("""COMPUTED_VALUE"""),-1050.0)</f>
        <v>-1050</v>
      </c>
      <c r="E588" t="str">
        <f>IFERROR(__xludf.DUMMYFUNCTION("""COMPUTED_VALUE"""),"Elsa帳戶")</f>
        <v>Elsa帳戶</v>
      </c>
      <c r="G588" t="str">
        <f>IFERROR(__xludf.DUMMYFUNCTION("""COMPUTED_VALUE"""),"南港站挑高宅")</f>
        <v>南港站挑高宅</v>
      </c>
      <c r="H588" s="106" t="str">
        <f t="shared" si="1"/>
        <v>2024-07</v>
      </c>
      <c r="I588" s="271" t="str">
        <f>IFERROR(__xludf.DUMMYFUNCTION("""COMPUTED_VALUE"""),"貓狗企鵝")</f>
        <v>貓狗企鵝</v>
      </c>
      <c r="J588" t="str">
        <f>IFERROR(__xludf.DUMMYFUNCTION("IFS(
  AND(REGEXMATCH(E588, ""台銀籌備帳戶|玉山帳戶""), REGEXMATCH(C588, ""薪資"")), ""分潤支出"",
  AND(REGEXMATCH(E588, ""Ben帳戶|Elsa帳戶|Ben代墊|Ariel代墊|中信銀行共用""), REGEXMATCH(F588, ""Ben帳戶|Elsa帳戶|Ben代墊|Ariel代墊|中信銀行共用"")), ""內部轉帳(忽略)"",
  AND(E588&lt;&gt;"""", F588&lt;&gt;"""", NOT(REG"&amp;"EXMATCH(C588, ""薪資""))), ""內部轉帳(忽略)"",
  REGEXMATCH(C588, ""薪資""), ""薪資變動(不計入)"",
  REGEXMATCH(C588, ""押金""), ""押金往來"",
  AND(E588&lt;&gt;"""", F588=""""), ""真實支出"",
  AND(E588="""", F588&lt;&gt;""""), ""真實收入"",
  TRUE, ""其他""
)"),"真實支出")</f>
        <v>真實支出</v>
      </c>
      <c r="K588" s="270">
        <f t="shared" si="2"/>
        <v>-1050</v>
      </c>
      <c r="L588">
        <f t="shared" si="3"/>
        <v>0</v>
      </c>
    </row>
    <row r="589">
      <c r="A589" s="107">
        <f>IFERROR(__xludf.DUMMYFUNCTION("""COMPUTED_VALUE"""),45503.0)</f>
        <v>45503</v>
      </c>
      <c r="B589" t="str">
        <f>IFERROR(__xludf.DUMMYFUNCTION("""COMPUTED_VALUE"""),"市府爺爺Irene KK 首租2押")</f>
        <v>市府爺爺Irene KK 首租2押</v>
      </c>
      <c r="C589" t="str">
        <f>IFERROR(__xludf.DUMMYFUNCTION("""COMPUTED_VALUE"""),"收入 - 租金")</f>
        <v>收入 - 租金</v>
      </c>
      <c r="D589" s="270">
        <f>IFERROR(__xludf.DUMMYFUNCTION("""COMPUTED_VALUE"""),30000.0)</f>
        <v>30000</v>
      </c>
      <c r="F589" t="str">
        <f>IFERROR(__xludf.DUMMYFUNCTION("""COMPUTED_VALUE"""),"台銀籌備帳戶")</f>
        <v>台銀籌備帳戶</v>
      </c>
      <c r="G589" t="str">
        <f>IFERROR(__xludf.DUMMYFUNCTION("""COMPUTED_VALUE"""),"市府爺爺家")</f>
        <v>市府爺爺家</v>
      </c>
      <c r="H589" s="106" t="str">
        <f t="shared" si="1"/>
        <v>2024-07</v>
      </c>
      <c r="I589" s="271" t="str">
        <f>IFERROR(__xludf.DUMMYFUNCTION("""COMPUTED_VALUE"""),"貓狗企鵝")</f>
        <v>貓狗企鵝</v>
      </c>
      <c r="J589" t="str">
        <f>IFERROR(__xludf.DUMMYFUNCTION("IFS(
  AND(REGEXMATCH(E589, ""台銀籌備帳戶|玉山帳戶""), REGEXMATCH(C589, ""薪資"")), ""分潤支出"",
  AND(REGEXMATCH(E589, ""Ben帳戶|Elsa帳戶|Ben代墊|Ariel代墊|中信銀行共用""), REGEXMATCH(F589, ""Ben帳戶|Elsa帳戶|Ben代墊|Ariel代墊|中信銀行共用"")), ""內部轉帳(忽略)"",
  AND(E589&lt;&gt;"""", F589&lt;&gt;"""", NOT(REG"&amp;"EXMATCH(C589, ""薪資""))), ""內部轉帳(忽略)"",
  REGEXMATCH(C589, ""薪資""), ""薪資變動(不計入)"",
  REGEXMATCH(C589, ""押金""), ""押金往來"",
  AND(E589&lt;&gt;"""", F589=""""), ""真實支出"",
  AND(E589="""", F589&lt;&gt;""""), ""真實收入"",
  TRUE, ""其他""
)"),"真實收入")</f>
        <v>真實收入</v>
      </c>
      <c r="K589" s="270">
        <f t="shared" si="2"/>
        <v>30000</v>
      </c>
      <c r="L589">
        <f t="shared" si="3"/>
        <v>0</v>
      </c>
    </row>
    <row r="590">
      <c r="A590" s="107">
        <f>IFERROR(__xludf.DUMMYFUNCTION("""COMPUTED_VALUE"""),45503.0)</f>
        <v>45503</v>
      </c>
      <c r="B590" t="str">
        <f>IFERROR(__xludf.DUMMYFUNCTION("""COMPUTED_VALUE"""),"市府爺爺Irene KK 首租2押")</f>
        <v>市府爺爺Irene KK 首租2押</v>
      </c>
      <c r="C590" t="str">
        <f>IFERROR(__xludf.DUMMYFUNCTION("""COMPUTED_VALUE"""),"收入 - 租金")</f>
        <v>收入 - 租金</v>
      </c>
      <c r="D590" s="270">
        <f>IFERROR(__xludf.DUMMYFUNCTION("""COMPUTED_VALUE"""),28800.0)</f>
        <v>28800</v>
      </c>
      <c r="F590" t="str">
        <f>IFERROR(__xludf.DUMMYFUNCTION("""COMPUTED_VALUE"""),"台銀籌備帳戶")</f>
        <v>台銀籌備帳戶</v>
      </c>
      <c r="G590" t="str">
        <f>IFERROR(__xludf.DUMMYFUNCTION("""COMPUTED_VALUE"""),"市府爺爺家")</f>
        <v>市府爺爺家</v>
      </c>
      <c r="H590" s="106" t="str">
        <f t="shared" si="1"/>
        <v>2024-07</v>
      </c>
      <c r="I590" s="271" t="str">
        <f>IFERROR(__xludf.DUMMYFUNCTION("""COMPUTED_VALUE"""),"貓狗企鵝")</f>
        <v>貓狗企鵝</v>
      </c>
      <c r="J590" t="str">
        <f>IFERROR(__xludf.DUMMYFUNCTION("IFS(
  AND(REGEXMATCH(E590, ""台銀籌備帳戶|玉山帳戶""), REGEXMATCH(C590, ""薪資"")), ""分潤支出"",
  AND(REGEXMATCH(E590, ""Ben帳戶|Elsa帳戶|Ben代墊|Ariel代墊|中信銀行共用""), REGEXMATCH(F590, ""Ben帳戶|Elsa帳戶|Ben代墊|Ariel代墊|中信銀行共用"")), ""內部轉帳(忽略)"",
  AND(E590&lt;&gt;"""", F590&lt;&gt;"""", NOT(REG"&amp;"EXMATCH(C590, ""薪資""))), ""內部轉帳(忽略)"",
  REGEXMATCH(C590, ""薪資""), ""薪資變動(不計入)"",
  REGEXMATCH(C590, ""押金""), ""押金往來"",
  AND(E590&lt;&gt;"""", F590=""""), ""真實支出"",
  AND(E590="""", F590&lt;&gt;""""), ""真實收入"",
  TRUE, ""其他""
)"),"真實收入")</f>
        <v>真實收入</v>
      </c>
      <c r="K590" s="270">
        <f t="shared" si="2"/>
        <v>28800</v>
      </c>
      <c r="L590">
        <f t="shared" si="3"/>
        <v>0</v>
      </c>
    </row>
    <row r="591">
      <c r="A591" s="107">
        <f>IFERROR(__xludf.DUMMYFUNCTION("""COMPUTED_VALUE"""),45503.0)</f>
        <v>45503</v>
      </c>
      <c r="B591" t="str">
        <f>IFERROR(__xludf.DUMMYFUNCTION("""COMPUTED_VALUE"""),"小玉搬運爺爺")</f>
        <v>小玉搬運爺爺</v>
      </c>
      <c r="C591" t="str">
        <f>IFERROR(__xludf.DUMMYFUNCTION("""COMPUTED_VALUE"""),"成本 - 進場前裝潢費")</f>
        <v>成本 - 進場前裝潢費</v>
      </c>
      <c r="D591" s="270">
        <f>IFERROR(__xludf.DUMMYFUNCTION("""COMPUTED_VALUE"""),-1275.0)</f>
        <v>-1275</v>
      </c>
      <c r="E591" t="str">
        <f>IFERROR(__xludf.DUMMYFUNCTION("""COMPUTED_VALUE"""),"台銀籌備帳戶")</f>
        <v>台銀籌備帳戶</v>
      </c>
      <c r="G591" t="str">
        <f>IFERROR(__xludf.DUMMYFUNCTION("""COMPUTED_VALUE"""),"南港站挑高宅")</f>
        <v>南港站挑高宅</v>
      </c>
      <c r="H591" s="106" t="str">
        <f t="shared" si="1"/>
        <v>2024-07</v>
      </c>
      <c r="I591" s="271" t="str">
        <f>IFERROR(__xludf.DUMMYFUNCTION("""COMPUTED_VALUE"""),"貓狗企鵝")</f>
        <v>貓狗企鵝</v>
      </c>
      <c r="J591" t="str">
        <f>IFERROR(__xludf.DUMMYFUNCTION("IFS(
  AND(REGEXMATCH(E591, ""台銀籌備帳戶|玉山帳戶""), REGEXMATCH(C591, ""薪資"")), ""分潤支出"",
  AND(REGEXMATCH(E591, ""Ben帳戶|Elsa帳戶|Ben代墊|Ariel代墊|中信銀行共用""), REGEXMATCH(F591, ""Ben帳戶|Elsa帳戶|Ben代墊|Ariel代墊|中信銀行共用"")), ""內部轉帳(忽略)"",
  AND(E591&lt;&gt;"""", F591&lt;&gt;"""", NOT(REG"&amp;"EXMATCH(C591, ""薪資""))), ""內部轉帳(忽略)"",
  REGEXMATCH(C591, ""薪資""), ""薪資變動(不計入)"",
  REGEXMATCH(C591, ""押金""), ""押金往來"",
  AND(E591&lt;&gt;"""", F591=""""), ""真實支出"",
  AND(E591="""", F591&lt;&gt;""""), ""真實收入"",
  TRUE, ""其他""
)"),"真實支出")</f>
        <v>真實支出</v>
      </c>
      <c r="K591" s="270">
        <f t="shared" si="2"/>
        <v>-1275</v>
      </c>
      <c r="L591">
        <f t="shared" si="3"/>
        <v>0</v>
      </c>
    </row>
    <row r="592">
      <c r="A592" s="107">
        <f>IFERROR(__xludf.DUMMYFUNCTION("""COMPUTED_VALUE"""),45504.0)</f>
        <v>45504</v>
      </c>
      <c r="B592" t="str">
        <f>IFERROR(__xludf.DUMMYFUNCTION("""COMPUTED_VALUE"""),"IKEA傢俱+運費+組裝費")</f>
        <v>IKEA傢俱+運費+組裝費</v>
      </c>
      <c r="C592" t="str">
        <f>IFERROR(__xludf.DUMMYFUNCTION("""COMPUTED_VALUE"""),"成本 - 進場前裝潢費")</f>
        <v>成本 - 進場前裝潢費</v>
      </c>
      <c r="D592" s="270">
        <f>IFERROR(__xludf.DUMMYFUNCTION("""COMPUTED_VALUE"""),-35836.0)</f>
        <v>-35836</v>
      </c>
      <c r="E592" t="str">
        <f>IFERROR(__xludf.DUMMYFUNCTION("""COMPUTED_VALUE"""),"Elsa帳戶")</f>
        <v>Elsa帳戶</v>
      </c>
      <c r="G592" t="str">
        <f>IFERROR(__xludf.DUMMYFUNCTION("""COMPUTED_VALUE"""),"南港站挑高宅")</f>
        <v>南港站挑高宅</v>
      </c>
      <c r="H592" s="106" t="str">
        <f t="shared" si="1"/>
        <v>2024-07</v>
      </c>
      <c r="I592" s="271" t="str">
        <f>IFERROR(__xludf.DUMMYFUNCTION("""COMPUTED_VALUE"""),"貓狗企鵝")</f>
        <v>貓狗企鵝</v>
      </c>
      <c r="J592" t="str">
        <f>IFERROR(__xludf.DUMMYFUNCTION("IFS(
  AND(REGEXMATCH(E592, ""台銀籌備帳戶|玉山帳戶""), REGEXMATCH(C592, ""薪資"")), ""分潤支出"",
  AND(REGEXMATCH(E592, ""Ben帳戶|Elsa帳戶|Ben代墊|Ariel代墊|中信銀行共用""), REGEXMATCH(F592, ""Ben帳戶|Elsa帳戶|Ben代墊|Ariel代墊|中信銀行共用"")), ""內部轉帳(忽略)"",
  AND(E592&lt;&gt;"""", F592&lt;&gt;"""", NOT(REG"&amp;"EXMATCH(C592, ""薪資""))), ""內部轉帳(忽略)"",
  REGEXMATCH(C592, ""薪資""), ""薪資變動(不計入)"",
  REGEXMATCH(C592, ""押金""), ""押金往來"",
  AND(E592&lt;&gt;"""", F592=""""), ""真實支出"",
  AND(E592="""", F592&lt;&gt;""""), ""真實收入"",
  TRUE, ""其他""
)"),"真實支出")</f>
        <v>真實支出</v>
      </c>
      <c r="K592" s="270">
        <f t="shared" si="2"/>
        <v>-35836</v>
      </c>
      <c r="L592">
        <f t="shared" si="3"/>
        <v>0</v>
      </c>
    </row>
    <row r="593">
      <c r="A593" s="107">
        <f>IFERROR(__xludf.DUMMYFUNCTION("""COMPUTED_VALUE"""),45504.0)</f>
        <v>45504</v>
      </c>
      <c r="B593" t="str">
        <f>IFERROR(__xludf.DUMMYFUNCTION("""COMPUTED_VALUE"""),"五金")</f>
        <v>五金</v>
      </c>
      <c r="D593" s="270">
        <f>IFERROR(__xludf.DUMMYFUNCTION("""COMPUTED_VALUE"""),-1218.0)</f>
        <v>-1218</v>
      </c>
      <c r="E593" t="str">
        <f>IFERROR(__xludf.DUMMYFUNCTION("""COMPUTED_VALUE"""),"Ben帳戶")</f>
        <v>Ben帳戶</v>
      </c>
      <c r="H593" s="106" t="str">
        <f t="shared" si="1"/>
        <v>2024-07</v>
      </c>
      <c r="I593" s="271" t="str">
        <f>IFERROR(__xludf.DUMMYFUNCTION("""COMPUTED_VALUE"""),"貓狗企鵝")</f>
        <v>貓狗企鵝</v>
      </c>
      <c r="J593" t="str">
        <f>IFERROR(__xludf.DUMMYFUNCTION("IFS(
  AND(REGEXMATCH(E593, ""台銀籌備帳戶|玉山帳戶""), REGEXMATCH(C593, ""薪資"")), ""分潤支出"",
  AND(REGEXMATCH(E593, ""Ben帳戶|Elsa帳戶|Ben代墊|Ariel代墊|中信銀行共用""), REGEXMATCH(F593, ""Ben帳戶|Elsa帳戶|Ben代墊|Ariel代墊|中信銀行共用"")), ""內部轉帳(忽略)"",
  AND(E593&lt;&gt;"""", F593&lt;&gt;"""", NOT(REG"&amp;"EXMATCH(C593, ""薪資""))), ""內部轉帳(忽略)"",
  REGEXMATCH(C593, ""薪資""), ""薪資變動(不計入)"",
  REGEXMATCH(C593, ""押金""), ""押金往來"",
  AND(E593&lt;&gt;"""", F593=""""), ""真實支出"",
  AND(E593="""", F593&lt;&gt;""""), ""真實收入"",
  TRUE, ""其他""
)"),"真實支出")</f>
        <v>真實支出</v>
      </c>
      <c r="K593" s="270">
        <f t="shared" si="2"/>
        <v>-1218</v>
      </c>
      <c r="L593">
        <f t="shared" si="3"/>
        <v>0</v>
      </c>
    </row>
    <row r="594">
      <c r="A594" s="107">
        <f>IFERROR(__xludf.DUMMYFUNCTION("""COMPUTED_VALUE"""),45504.0)</f>
        <v>45504</v>
      </c>
      <c r="B594" t="str">
        <f>IFERROR(__xludf.DUMMYFUNCTION("""COMPUTED_VALUE"""),"哈拉對面D柳翰洋")</f>
        <v>哈拉對面D柳翰洋</v>
      </c>
      <c r="C594" t="str">
        <f>IFERROR(__xludf.DUMMYFUNCTION("""COMPUTED_VALUE"""),"收入 - 租金")</f>
        <v>收入 - 租金</v>
      </c>
      <c r="D594" s="270">
        <f>IFERROR(__xludf.DUMMYFUNCTION("""COMPUTED_VALUE"""),12300.0)</f>
        <v>12300</v>
      </c>
      <c r="F594" t="str">
        <f>IFERROR(__xludf.DUMMYFUNCTION("""COMPUTED_VALUE"""),"台銀籌備帳戶")</f>
        <v>台銀籌備帳戶</v>
      </c>
      <c r="G594" t="str">
        <f>IFERROR(__xludf.DUMMYFUNCTION("""COMPUTED_VALUE"""),"哈拉對面")</f>
        <v>哈拉對面</v>
      </c>
      <c r="H594" s="106" t="str">
        <f t="shared" si="1"/>
        <v>2024-07</v>
      </c>
      <c r="I594" s="271" t="str">
        <f>IFERROR(__xludf.DUMMYFUNCTION("""COMPUTED_VALUE"""),"貓狗企鵝")</f>
        <v>貓狗企鵝</v>
      </c>
      <c r="J594" t="str">
        <f>IFERROR(__xludf.DUMMYFUNCTION("IFS(
  AND(REGEXMATCH(E594, ""台銀籌備帳戶|玉山帳戶""), REGEXMATCH(C594, ""薪資"")), ""分潤支出"",
  AND(REGEXMATCH(E594, ""Ben帳戶|Elsa帳戶|Ben代墊|Ariel代墊|中信銀行共用""), REGEXMATCH(F594, ""Ben帳戶|Elsa帳戶|Ben代墊|Ariel代墊|中信銀行共用"")), ""內部轉帳(忽略)"",
  AND(E594&lt;&gt;"""", F594&lt;&gt;"""", NOT(REG"&amp;"EXMATCH(C594, ""薪資""))), ""內部轉帳(忽略)"",
  REGEXMATCH(C594, ""薪資""), ""薪資變動(不計入)"",
  REGEXMATCH(C594, ""押金""), ""押金往來"",
  AND(E594&lt;&gt;"""", F594=""""), ""真實支出"",
  AND(E594="""", F594&lt;&gt;""""), ""真實收入"",
  TRUE, ""其他""
)"),"真實收入")</f>
        <v>真實收入</v>
      </c>
      <c r="K594" s="270">
        <f t="shared" si="2"/>
        <v>12300</v>
      </c>
      <c r="L594">
        <f t="shared" si="3"/>
        <v>0</v>
      </c>
    </row>
    <row r="595">
      <c r="A595" s="107">
        <f>IFERROR(__xludf.DUMMYFUNCTION("""COMPUTED_VALUE"""),45504.0)</f>
        <v>45504</v>
      </c>
      <c r="B595" t="str">
        <f>IFERROR(__xludf.DUMMYFUNCTION("""COMPUTED_VALUE"""),"大湖山莊C姚伯謙")</f>
        <v>大湖山莊C姚伯謙</v>
      </c>
      <c r="C595" t="str">
        <f>IFERROR(__xludf.DUMMYFUNCTION("""COMPUTED_VALUE"""),"收入 - 租金")</f>
        <v>收入 - 租金</v>
      </c>
      <c r="D595" s="270">
        <f>IFERROR(__xludf.DUMMYFUNCTION("""COMPUTED_VALUE"""),18800.0)</f>
        <v>18800</v>
      </c>
      <c r="F595" t="str">
        <f>IFERROR(__xludf.DUMMYFUNCTION("""COMPUTED_VALUE"""),"台銀籌備帳戶")</f>
        <v>台銀籌備帳戶</v>
      </c>
      <c r="G595" t="str">
        <f>IFERROR(__xludf.DUMMYFUNCTION("""COMPUTED_VALUE"""),"大湖山莊")</f>
        <v>大湖山莊</v>
      </c>
      <c r="H595" s="106" t="str">
        <f t="shared" si="1"/>
        <v>2024-07</v>
      </c>
      <c r="I595" s="271" t="str">
        <f>IFERROR(__xludf.DUMMYFUNCTION("""COMPUTED_VALUE"""),"貓狗企鵝")</f>
        <v>貓狗企鵝</v>
      </c>
      <c r="J595" t="str">
        <f>IFERROR(__xludf.DUMMYFUNCTION("IFS(
  AND(REGEXMATCH(E595, ""台銀籌備帳戶|玉山帳戶""), REGEXMATCH(C595, ""薪資"")), ""分潤支出"",
  AND(REGEXMATCH(E595, ""Ben帳戶|Elsa帳戶|Ben代墊|Ariel代墊|中信銀行共用""), REGEXMATCH(F595, ""Ben帳戶|Elsa帳戶|Ben代墊|Ariel代墊|中信銀行共用"")), ""內部轉帳(忽略)"",
  AND(E595&lt;&gt;"""", F595&lt;&gt;"""", NOT(REG"&amp;"EXMATCH(C595, ""薪資""))), ""內部轉帳(忽略)"",
  REGEXMATCH(C595, ""薪資""), ""薪資變動(不計入)"",
  REGEXMATCH(C595, ""押金""), ""押金往來"",
  AND(E595&lt;&gt;"""", F595=""""), ""真實支出"",
  AND(E595="""", F595&lt;&gt;""""), ""真實收入"",
  TRUE, ""其他""
)"),"真實收入")</f>
        <v>真實收入</v>
      </c>
      <c r="K595" s="270">
        <f t="shared" si="2"/>
        <v>18800</v>
      </c>
      <c r="L595">
        <f t="shared" si="3"/>
        <v>0</v>
      </c>
    </row>
    <row r="596">
      <c r="A596" s="107">
        <f>IFERROR(__xludf.DUMMYFUNCTION("""COMPUTED_VALUE"""),45505.0)</f>
        <v>45505</v>
      </c>
      <c r="B596" t="str">
        <f>IFERROR(__xludf.DUMMYFUNCTION("""COMPUTED_VALUE"""),"淘寶運費")</f>
        <v>淘寶運費</v>
      </c>
      <c r="C596" t="str">
        <f>IFERROR(__xludf.DUMMYFUNCTION("""COMPUTED_VALUE"""),"成本 - 進場前裝潢費")</f>
        <v>成本 - 進場前裝潢費</v>
      </c>
      <c r="D596" s="270">
        <f>IFERROR(__xludf.DUMMYFUNCTION("""COMPUTED_VALUE"""),-469.0)</f>
        <v>-469</v>
      </c>
      <c r="E596" t="str">
        <f>IFERROR(__xludf.DUMMYFUNCTION("""COMPUTED_VALUE"""),"Ben帳戶")</f>
        <v>Ben帳戶</v>
      </c>
      <c r="G596" t="str">
        <f>IFERROR(__xludf.DUMMYFUNCTION("""COMPUTED_VALUE"""),"南港站挑高宅")</f>
        <v>南港站挑高宅</v>
      </c>
      <c r="H596" s="106" t="str">
        <f t="shared" si="1"/>
        <v>2024-08</v>
      </c>
      <c r="I596" s="271" t="str">
        <f>IFERROR(__xludf.DUMMYFUNCTION("""COMPUTED_VALUE"""),"貓狗企鵝")</f>
        <v>貓狗企鵝</v>
      </c>
      <c r="J596" t="str">
        <f>IFERROR(__xludf.DUMMYFUNCTION("IFS(
  AND(REGEXMATCH(E596, ""台銀籌備帳戶|玉山帳戶""), REGEXMATCH(C596, ""薪資"")), ""分潤支出"",
  AND(REGEXMATCH(E596, ""Ben帳戶|Elsa帳戶|Ben代墊|Ariel代墊|中信銀行共用""), REGEXMATCH(F596, ""Ben帳戶|Elsa帳戶|Ben代墊|Ariel代墊|中信銀行共用"")), ""內部轉帳(忽略)"",
  AND(E596&lt;&gt;"""", F596&lt;&gt;"""", NOT(REG"&amp;"EXMATCH(C596, ""薪資""))), ""內部轉帳(忽略)"",
  REGEXMATCH(C596, ""薪資""), ""薪資變動(不計入)"",
  REGEXMATCH(C596, ""押金""), ""押金往來"",
  AND(E596&lt;&gt;"""", F596=""""), ""真實支出"",
  AND(E596="""", F596&lt;&gt;""""), ""真實收入"",
  TRUE, ""其他""
)"),"真實支出")</f>
        <v>真實支出</v>
      </c>
      <c r="K596" s="270">
        <f t="shared" si="2"/>
        <v>-469</v>
      </c>
      <c r="L596">
        <f t="shared" si="3"/>
        <v>0</v>
      </c>
    </row>
    <row r="597">
      <c r="A597" s="107">
        <f>IFERROR(__xludf.DUMMYFUNCTION("""COMPUTED_VALUE"""),45505.0)</f>
        <v>45505</v>
      </c>
      <c r="B597" t="str">
        <f>IFERROR(__xludf.DUMMYFUNCTION("""COMPUTED_VALUE"""),"大湖山莊D陳昭瑄")</f>
        <v>大湖山莊D陳昭瑄</v>
      </c>
      <c r="C597" t="str">
        <f>IFERROR(__xludf.DUMMYFUNCTION("""COMPUTED_VALUE"""),"收入 - 租金")</f>
        <v>收入 - 租金</v>
      </c>
      <c r="D597" s="270">
        <f>IFERROR(__xludf.DUMMYFUNCTION("""COMPUTED_VALUE"""),14300.0)</f>
        <v>14300</v>
      </c>
      <c r="F597" t="str">
        <f>IFERROR(__xludf.DUMMYFUNCTION("""COMPUTED_VALUE"""),"台銀籌備帳戶")</f>
        <v>台銀籌備帳戶</v>
      </c>
      <c r="G597" t="str">
        <f>IFERROR(__xludf.DUMMYFUNCTION("""COMPUTED_VALUE"""),"大湖山莊")</f>
        <v>大湖山莊</v>
      </c>
      <c r="H597" s="106" t="str">
        <f t="shared" si="1"/>
        <v>2024-08</v>
      </c>
      <c r="I597" s="271" t="str">
        <f>IFERROR(__xludf.DUMMYFUNCTION("""COMPUTED_VALUE"""),"貓狗企鵝")</f>
        <v>貓狗企鵝</v>
      </c>
      <c r="J597" t="str">
        <f>IFERROR(__xludf.DUMMYFUNCTION("IFS(
  AND(REGEXMATCH(E597, ""台銀籌備帳戶|玉山帳戶""), REGEXMATCH(C597, ""薪資"")), ""分潤支出"",
  AND(REGEXMATCH(E597, ""Ben帳戶|Elsa帳戶|Ben代墊|Ariel代墊|中信銀行共用""), REGEXMATCH(F597, ""Ben帳戶|Elsa帳戶|Ben代墊|Ariel代墊|中信銀行共用"")), ""內部轉帳(忽略)"",
  AND(E597&lt;&gt;"""", F597&lt;&gt;"""", NOT(REG"&amp;"EXMATCH(C597, ""薪資""))), ""內部轉帳(忽略)"",
  REGEXMATCH(C597, ""薪資""), ""薪資變動(不計入)"",
  REGEXMATCH(C597, ""押金""), ""押金往來"",
  AND(E597&lt;&gt;"""", F597=""""), ""真實支出"",
  AND(E597="""", F597&lt;&gt;""""), ""真實收入"",
  TRUE, ""其他""
)"),"真實收入")</f>
        <v>真實收入</v>
      </c>
      <c r="K597" s="270">
        <f t="shared" si="2"/>
        <v>14300</v>
      </c>
      <c r="L597">
        <f t="shared" si="3"/>
        <v>0</v>
      </c>
    </row>
    <row r="598">
      <c r="A598" s="107">
        <f>IFERROR(__xludf.DUMMYFUNCTION("""COMPUTED_VALUE"""),45505.0)</f>
        <v>45505</v>
      </c>
      <c r="B598" t="str">
        <f>IFERROR(__xludf.DUMMYFUNCTION("""COMPUTED_VALUE"""),"北醫醫師府B王品涵")</f>
        <v>北醫醫師府B王品涵</v>
      </c>
      <c r="C598" t="str">
        <f>IFERROR(__xludf.DUMMYFUNCTION("""COMPUTED_VALUE"""),"收入 - 租金")</f>
        <v>收入 - 租金</v>
      </c>
      <c r="D598" s="270">
        <f>IFERROR(__xludf.DUMMYFUNCTION("""COMPUTED_VALUE"""),17800.0)</f>
        <v>17800</v>
      </c>
      <c r="F598" t="str">
        <f>IFERROR(__xludf.DUMMYFUNCTION("""COMPUTED_VALUE"""),"台銀籌備帳戶")</f>
        <v>台銀籌備帳戶</v>
      </c>
      <c r="G598" t="str">
        <f>IFERROR(__xludf.DUMMYFUNCTION("""COMPUTED_VALUE"""),"北醫醫師府")</f>
        <v>北醫醫師府</v>
      </c>
      <c r="H598" s="106" t="str">
        <f t="shared" si="1"/>
        <v>2024-08</v>
      </c>
      <c r="I598" s="271" t="str">
        <f>IFERROR(__xludf.DUMMYFUNCTION("""COMPUTED_VALUE"""),"貓狗企鵝")</f>
        <v>貓狗企鵝</v>
      </c>
      <c r="J598" t="str">
        <f>IFERROR(__xludf.DUMMYFUNCTION("IFS(
  AND(REGEXMATCH(E598, ""台銀籌備帳戶|玉山帳戶""), REGEXMATCH(C598, ""薪資"")), ""分潤支出"",
  AND(REGEXMATCH(E598, ""Ben帳戶|Elsa帳戶|Ben代墊|Ariel代墊|中信銀行共用""), REGEXMATCH(F598, ""Ben帳戶|Elsa帳戶|Ben代墊|Ariel代墊|中信銀行共用"")), ""內部轉帳(忽略)"",
  AND(E598&lt;&gt;"""", F598&lt;&gt;"""", NOT(REG"&amp;"EXMATCH(C598, ""薪資""))), ""內部轉帳(忽略)"",
  REGEXMATCH(C598, ""薪資""), ""薪資變動(不計入)"",
  REGEXMATCH(C598, ""押金""), ""押金往來"",
  AND(E598&lt;&gt;"""", F598=""""), ""真實支出"",
  AND(E598="""", F598&lt;&gt;""""), ""真實收入"",
  TRUE, ""其他""
)"),"真實收入")</f>
        <v>真實收入</v>
      </c>
      <c r="K598" s="270">
        <f t="shared" si="2"/>
        <v>17800</v>
      </c>
      <c r="L598">
        <f t="shared" si="3"/>
        <v>0</v>
      </c>
    </row>
    <row r="599">
      <c r="A599" s="107">
        <f>IFERROR(__xludf.DUMMYFUNCTION("""COMPUTED_VALUE"""),45505.0)</f>
        <v>45505</v>
      </c>
      <c r="B599" t="str">
        <f>IFERROR(__xludf.DUMMYFUNCTION("""COMPUTED_VALUE"""),"北醫醫師府D劉怡秀")</f>
        <v>北醫醫師府D劉怡秀</v>
      </c>
      <c r="C599" t="str">
        <f>IFERROR(__xludf.DUMMYFUNCTION("""COMPUTED_VALUE"""),"收入 - 租金")</f>
        <v>收入 - 租金</v>
      </c>
      <c r="D599" s="270">
        <f>IFERROR(__xludf.DUMMYFUNCTION("""COMPUTED_VALUE"""),12000.0)</f>
        <v>12000</v>
      </c>
      <c r="F599" t="str">
        <f>IFERROR(__xludf.DUMMYFUNCTION("""COMPUTED_VALUE"""),"台銀籌備帳戶")</f>
        <v>台銀籌備帳戶</v>
      </c>
      <c r="G599" t="str">
        <f>IFERROR(__xludf.DUMMYFUNCTION("""COMPUTED_VALUE"""),"北醫醫師府")</f>
        <v>北醫醫師府</v>
      </c>
      <c r="H599" s="106" t="str">
        <f t="shared" si="1"/>
        <v>2024-08</v>
      </c>
      <c r="I599" s="271" t="str">
        <f>IFERROR(__xludf.DUMMYFUNCTION("""COMPUTED_VALUE"""),"貓狗企鵝")</f>
        <v>貓狗企鵝</v>
      </c>
      <c r="J599" t="str">
        <f>IFERROR(__xludf.DUMMYFUNCTION("IFS(
  AND(REGEXMATCH(E599, ""台銀籌備帳戶|玉山帳戶""), REGEXMATCH(C599, ""薪資"")), ""分潤支出"",
  AND(REGEXMATCH(E599, ""Ben帳戶|Elsa帳戶|Ben代墊|Ariel代墊|中信銀行共用""), REGEXMATCH(F599, ""Ben帳戶|Elsa帳戶|Ben代墊|Ariel代墊|中信銀行共用"")), ""內部轉帳(忽略)"",
  AND(E599&lt;&gt;"""", F599&lt;&gt;"""", NOT(REG"&amp;"EXMATCH(C599, ""薪資""))), ""內部轉帳(忽略)"",
  REGEXMATCH(C599, ""薪資""), ""薪資變動(不計入)"",
  REGEXMATCH(C599, ""押金""), ""押金往來"",
  AND(E599&lt;&gt;"""", F599=""""), ""真實支出"",
  AND(E599="""", F599&lt;&gt;""""), ""真實收入"",
  TRUE, ""其他""
)"),"真實收入")</f>
        <v>真實收入</v>
      </c>
      <c r="K599" s="270">
        <f t="shared" si="2"/>
        <v>12000</v>
      </c>
      <c r="L599">
        <f t="shared" si="3"/>
        <v>0</v>
      </c>
    </row>
    <row r="600">
      <c r="A600" s="107">
        <f>IFERROR(__xludf.DUMMYFUNCTION("""COMPUTED_VALUE"""),45505.0)</f>
        <v>45505</v>
      </c>
      <c r="B600" t="str">
        <f>IFERROR(__xludf.DUMMYFUNCTION("""COMPUTED_VALUE"""),"永春四號B袁家鳳")</f>
        <v>永春四號B袁家鳳</v>
      </c>
      <c r="C600" t="str">
        <f>IFERROR(__xludf.DUMMYFUNCTION("""COMPUTED_VALUE"""),"收入 - 租金")</f>
        <v>收入 - 租金</v>
      </c>
      <c r="D600" s="270">
        <f>IFERROR(__xludf.DUMMYFUNCTION("""COMPUTED_VALUE"""),13500.0)</f>
        <v>13500</v>
      </c>
      <c r="F600" t="str">
        <f>IFERROR(__xludf.DUMMYFUNCTION("""COMPUTED_VALUE"""),"台銀籌備帳戶")</f>
        <v>台銀籌備帳戶</v>
      </c>
      <c r="G600" t="str">
        <f>IFERROR(__xludf.DUMMYFUNCTION("""COMPUTED_VALUE"""),"永春四號")</f>
        <v>永春四號</v>
      </c>
      <c r="H600" s="106" t="str">
        <f t="shared" si="1"/>
        <v>2024-08</v>
      </c>
      <c r="I600" s="271" t="str">
        <f>IFERROR(__xludf.DUMMYFUNCTION("""COMPUTED_VALUE"""),"貓狗企鵝")</f>
        <v>貓狗企鵝</v>
      </c>
      <c r="J600" t="str">
        <f>IFERROR(__xludf.DUMMYFUNCTION("IFS(
  AND(REGEXMATCH(E600, ""台銀籌備帳戶|玉山帳戶""), REGEXMATCH(C600, ""薪資"")), ""分潤支出"",
  AND(REGEXMATCH(E600, ""Ben帳戶|Elsa帳戶|Ben代墊|Ariel代墊|中信銀行共用""), REGEXMATCH(F600, ""Ben帳戶|Elsa帳戶|Ben代墊|Ariel代墊|中信銀行共用"")), ""內部轉帳(忽略)"",
  AND(E600&lt;&gt;"""", F600&lt;&gt;"""", NOT(REG"&amp;"EXMATCH(C600, ""薪資""))), ""內部轉帳(忽略)"",
  REGEXMATCH(C600, ""薪資""), ""薪資變動(不計入)"",
  REGEXMATCH(C600, ""押金""), ""押金往來"",
  AND(E600&lt;&gt;"""", F600=""""), ""真實支出"",
  AND(E600="""", F600&lt;&gt;""""), ""真實收入"",
  TRUE, ""其他""
)"),"真實收入")</f>
        <v>真實收入</v>
      </c>
      <c r="K600" s="270">
        <f t="shared" si="2"/>
        <v>13500</v>
      </c>
      <c r="L600">
        <f t="shared" si="3"/>
        <v>0</v>
      </c>
    </row>
    <row r="601">
      <c r="A601" s="107">
        <f>IFERROR(__xludf.DUMMYFUNCTION("""COMPUTED_VALUE"""),45505.0)</f>
        <v>45505</v>
      </c>
      <c r="B601" t="str">
        <f>IFERROR(__xludf.DUMMYFUNCTION("""COMPUTED_VALUE"""),"龍江229A莊美娟")</f>
        <v>龍江229A莊美娟</v>
      </c>
      <c r="C601" t="str">
        <f>IFERROR(__xludf.DUMMYFUNCTION("""COMPUTED_VALUE"""),"收入 - 租金")</f>
        <v>收入 - 租金</v>
      </c>
      <c r="D601" s="270">
        <f>IFERROR(__xludf.DUMMYFUNCTION("""COMPUTED_VALUE"""),12800.0)</f>
        <v>12800</v>
      </c>
      <c r="F601" t="str">
        <f>IFERROR(__xludf.DUMMYFUNCTION("""COMPUTED_VALUE"""),"台銀籌備帳戶")</f>
        <v>台銀籌備帳戶</v>
      </c>
      <c r="G601" t="str">
        <f>IFERROR(__xludf.DUMMYFUNCTION("""COMPUTED_VALUE"""),"龍江229")</f>
        <v>龍江229</v>
      </c>
      <c r="H601" s="106" t="str">
        <f t="shared" si="1"/>
        <v>2024-08</v>
      </c>
      <c r="I601" s="271" t="str">
        <f>IFERROR(__xludf.DUMMYFUNCTION("""COMPUTED_VALUE"""),"貓狗企鵝")</f>
        <v>貓狗企鵝</v>
      </c>
      <c r="J601" t="str">
        <f>IFERROR(__xludf.DUMMYFUNCTION("IFS(
  AND(REGEXMATCH(E601, ""台銀籌備帳戶|玉山帳戶""), REGEXMATCH(C601, ""薪資"")), ""分潤支出"",
  AND(REGEXMATCH(E601, ""Ben帳戶|Elsa帳戶|Ben代墊|Ariel代墊|中信銀行共用""), REGEXMATCH(F601, ""Ben帳戶|Elsa帳戶|Ben代墊|Ariel代墊|中信銀行共用"")), ""內部轉帳(忽略)"",
  AND(E601&lt;&gt;"""", F601&lt;&gt;"""", NOT(REG"&amp;"EXMATCH(C601, ""薪資""))), ""內部轉帳(忽略)"",
  REGEXMATCH(C601, ""薪資""), ""薪資變動(不計入)"",
  REGEXMATCH(C601, ""押金""), ""押金往來"",
  AND(E601&lt;&gt;"""", F601=""""), ""真實支出"",
  AND(E601="""", F601&lt;&gt;""""), ""真實收入"",
  TRUE, ""其他""
)"),"真實收入")</f>
        <v>真實收入</v>
      </c>
      <c r="K601" s="270">
        <f t="shared" si="2"/>
        <v>12800</v>
      </c>
      <c r="L601">
        <f t="shared" si="3"/>
        <v>0</v>
      </c>
    </row>
    <row r="602">
      <c r="A602" s="107">
        <f>IFERROR(__xludf.DUMMYFUNCTION("""COMPUTED_VALUE"""),45505.0)</f>
        <v>45505</v>
      </c>
      <c r="B602" t="str">
        <f>IFERROR(__xludf.DUMMYFUNCTION("""COMPUTED_VALUE"""),"永春四號D翁政熙")</f>
        <v>永春四號D翁政熙</v>
      </c>
      <c r="C602" t="str">
        <f>IFERROR(__xludf.DUMMYFUNCTION("""COMPUTED_VALUE"""),"收入 - 租金")</f>
        <v>收入 - 租金</v>
      </c>
      <c r="D602" s="270">
        <f>IFERROR(__xludf.DUMMYFUNCTION("""COMPUTED_VALUE"""),14800.0)</f>
        <v>14800</v>
      </c>
      <c r="F602" t="str">
        <f>IFERROR(__xludf.DUMMYFUNCTION("""COMPUTED_VALUE"""),"台銀籌備帳戶")</f>
        <v>台銀籌備帳戶</v>
      </c>
      <c r="G602" t="str">
        <f>IFERROR(__xludf.DUMMYFUNCTION("""COMPUTED_VALUE"""),"永春四號")</f>
        <v>永春四號</v>
      </c>
      <c r="H602" s="106" t="str">
        <f t="shared" si="1"/>
        <v>2024-08</v>
      </c>
      <c r="I602" s="271" t="str">
        <f>IFERROR(__xludf.DUMMYFUNCTION("""COMPUTED_VALUE"""),"貓狗企鵝")</f>
        <v>貓狗企鵝</v>
      </c>
      <c r="J602" t="str">
        <f>IFERROR(__xludf.DUMMYFUNCTION("IFS(
  AND(REGEXMATCH(E602, ""台銀籌備帳戶|玉山帳戶""), REGEXMATCH(C602, ""薪資"")), ""分潤支出"",
  AND(REGEXMATCH(E602, ""Ben帳戶|Elsa帳戶|Ben代墊|Ariel代墊|中信銀行共用""), REGEXMATCH(F602, ""Ben帳戶|Elsa帳戶|Ben代墊|Ariel代墊|中信銀行共用"")), ""內部轉帳(忽略)"",
  AND(E602&lt;&gt;"""", F602&lt;&gt;"""", NOT(REG"&amp;"EXMATCH(C602, ""薪資""))), ""內部轉帳(忽略)"",
  REGEXMATCH(C602, ""薪資""), ""薪資變動(不計入)"",
  REGEXMATCH(C602, ""押金""), ""押金往來"",
  AND(E602&lt;&gt;"""", F602=""""), ""真實支出"",
  AND(E602="""", F602&lt;&gt;""""), ""真實收入"",
  TRUE, ""其他""
)"),"真實收入")</f>
        <v>真實收入</v>
      </c>
      <c r="K602" s="270">
        <f t="shared" si="2"/>
        <v>14800</v>
      </c>
      <c r="L602">
        <f t="shared" si="3"/>
        <v>0</v>
      </c>
    </row>
    <row r="603">
      <c r="A603" s="107">
        <f>IFERROR(__xludf.DUMMYFUNCTION("""COMPUTED_VALUE"""),45505.0)</f>
        <v>45505</v>
      </c>
      <c r="B603" t="str">
        <f>IFERROR(__xludf.DUMMYFUNCTION("""COMPUTED_VALUE"""),"北醫醫師府F林雍勳")</f>
        <v>北醫醫師府F林雍勳</v>
      </c>
      <c r="C603" t="str">
        <f>IFERROR(__xludf.DUMMYFUNCTION("""COMPUTED_VALUE"""),"收入 - 租金")</f>
        <v>收入 - 租金</v>
      </c>
      <c r="D603" s="270">
        <f>IFERROR(__xludf.DUMMYFUNCTION("""COMPUTED_VALUE"""),14800.0)</f>
        <v>14800</v>
      </c>
      <c r="F603" t="str">
        <f>IFERROR(__xludf.DUMMYFUNCTION("""COMPUTED_VALUE"""),"台銀籌備帳戶")</f>
        <v>台銀籌備帳戶</v>
      </c>
      <c r="G603" t="str">
        <f>IFERROR(__xludf.DUMMYFUNCTION("""COMPUTED_VALUE"""),"北醫醫師府")</f>
        <v>北醫醫師府</v>
      </c>
      <c r="H603" s="106" t="str">
        <f t="shared" si="1"/>
        <v>2024-08</v>
      </c>
      <c r="I603" s="271" t="str">
        <f>IFERROR(__xludf.DUMMYFUNCTION("""COMPUTED_VALUE"""),"貓狗企鵝")</f>
        <v>貓狗企鵝</v>
      </c>
      <c r="J603" t="str">
        <f>IFERROR(__xludf.DUMMYFUNCTION("IFS(
  AND(REGEXMATCH(E603, ""台銀籌備帳戶|玉山帳戶""), REGEXMATCH(C603, ""薪資"")), ""分潤支出"",
  AND(REGEXMATCH(E603, ""Ben帳戶|Elsa帳戶|Ben代墊|Ariel代墊|中信銀行共用""), REGEXMATCH(F603, ""Ben帳戶|Elsa帳戶|Ben代墊|Ariel代墊|中信銀行共用"")), ""內部轉帳(忽略)"",
  AND(E603&lt;&gt;"""", F603&lt;&gt;"""", NOT(REG"&amp;"EXMATCH(C603, ""薪資""))), ""內部轉帳(忽略)"",
  REGEXMATCH(C603, ""薪資""), ""薪資變動(不計入)"",
  REGEXMATCH(C603, ""押金""), ""押金往來"",
  AND(E603&lt;&gt;"""", F603=""""), ""真實支出"",
  AND(E603="""", F603&lt;&gt;""""), ""真實收入"",
  TRUE, ""其他""
)"),"真實收入")</f>
        <v>真實收入</v>
      </c>
      <c r="K603" s="270">
        <f t="shared" si="2"/>
        <v>14800</v>
      </c>
      <c r="L603">
        <f t="shared" si="3"/>
        <v>0</v>
      </c>
    </row>
    <row r="604">
      <c r="A604" s="107">
        <f>IFERROR(__xludf.DUMMYFUNCTION("""COMPUTED_VALUE"""),45505.0)</f>
        <v>45505</v>
      </c>
      <c r="B604" t="str">
        <f>IFERROR(__xludf.DUMMYFUNCTION("""COMPUTED_VALUE"""),"大湖山莊房租")</f>
        <v>大湖山莊房租</v>
      </c>
      <c r="C604" t="str">
        <f>IFERROR(__xludf.DUMMYFUNCTION("""COMPUTED_VALUE"""),"成本 - 大租金")</f>
        <v>成本 - 大租金</v>
      </c>
      <c r="D604" s="270">
        <f>IFERROR(__xludf.DUMMYFUNCTION("""COMPUTED_VALUE"""),-34716.0)</f>
        <v>-34716</v>
      </c>
      <c r="E604" t="str">
        <f>IFERROR(__xludf.DUMMYFUNCTION("""COMPUTED_VALUE"""),"台銀籌備帳戶")</f>
        <v>台銀籌備帳戶</v>
      </c>
      <c r="G604" t="str">
        <f>IFERROR(__xludf.DUMMYFUNCTION("""COMPUTED_VALUE"""),"大湖山莊")</f>
        <v>大湖山莊</v>
      </c>
      <c r="H604" s="106" t="str">
        <f t="shared" si="1"/>
        <v>2024-08</v>
      </c>
      <c r="I604" s="271" t="str">
        <f>IFERROR(__xludf.DUMMYFUNCTION("""COMPUTED_VALUE"""),"貓狗企鵝")</f>
        <v>貓狗企鵝</v>
      </c>
      <c r="J604" t="str">
        <f>IFERROR(__xludf.DUMMYFUNCTION("IFS(
  AND(REGEXMATCH(E604, ""台銀籌備帳戶|玉山帳戶""), REGEXMATCH(C604, ""薪資"")), ""分潤支出"",
  AND(REGEXMATCH(E604, ""Ben帳戶|Elsa帳戶|Ben代墊|Ariel代墊|中信銀行共用""), REGEXMATCH(F604, ""Ben帳戶|Elsa帳戶|Ben代墊|Ariel代墊|中信銀行共用"")), ""內部轉帳(忽略)"",
  AND(E604&lt;&gt;"""", F604&lt;&gt;"""", NOT(REG"&amp;"EXMATCH(C604, ""薪資""))), ""內部轉帳(忽略)"",
  REGEXMATCH(C604, ""薪資""), ""薪資變動(不計入)"",
  REGEXMATCH(C604, ""押金""), ""押金往來"",
  AND(E604&lt;&gt;"""", F604=""""), ""真實支出"",
  AND(E604="""", F604&lt;&gt;""""), ""真實收入"",
  TRUE, ""其他""
)"),"真實支出")</f>
        <v>真實支出</v>
      </c>
      <c r="K604" s="270">
        <f t="shared" si="2"/>
        <v>-34716</v>
      </c>
      <c r="L604">
        <f t="shared" si="3"/>
        <v>0</v>
      </c>
    </row>
    <row r="605">
      <c r="A605" s="107">
        <f>IFERROR(__xludf.DUMMYFUNCTION("""COMPUTED_VALUE"""),45505.0)</f>
        <v>45505</v>
      </c>
      <c r="B605" t="str">
        <f>IFERROR(__xludf.DUMMYFUNCTION("""COMPUTED_VALUE"""),"龍江229游r")</f>
        <v>龍江229游r</v>
      </c>
      <c r="C605" t="str">
        <f>IFERROR(__xludf.DUMMYFUNCTION("""COMPUTED_VALUE"""),"成本 - 大租金")</f>
        <v>成本 - 大租金</v>
      </c>
      <c r="D605" s="270">
        <f>IFERROR(__xludf.DUMMYFUNCTION("""COMPUTED_VALUE"""),-24345.0)</f>
        <v>-24345</v>
      </c>
      <c r="E605" t="str">
        <f>IFERROR(__xludf.DUMMYFUNCTION("""COMPUTED_VALUE"""),"台銀籌備帳戶")</f>
        <v>台銀籌備帳戶</v>
      </c>
      <c r="G605" t="str">
        <f>IFERROR(__xludf.DUMMYFUNCTION("""COMPUTED_VALUE"""),"龍江229")</f>
        <v>龍江229</v>
      </c>
      <c r="H605" s="106" t="str">
        <f t="shared" si="1"/>
        <v>2024-08</v>
      </c>
      <c r="I605" s="271" t="str">
        <f>IFERROR(__xludf.DUMMYFUNCTION("""COMPUTED_VALUE"""),"貓狗企鵝")</f>
        <v>貓狗企鵝</v>
      </c>
      <c r="J605" t="str">
        <f>IFERROR(__xludf.DUMMYFUNCTION("IFS(
  AND(REGEXMATCH(E605, ""台銀籌備帳戶|玉山帳戶""), REGEXMATCH(C605, ""薪資"")), ""分潤支出"",
  AND(REGEXMATCH(E605, ""Ben帳戶|Elsa帳戶|Ben代墊|Ariel代墊|中信銀行共用""), REGEXMATCH(F605, ""Ben帳戶|Elsa帳戶|Ben代墊|Ariel代墊|中信銀行共用"")), ""內部轉帳(忽略)"",
  AND(E605&lt;&gt;"""", F605&lt;&gt;"""", NOT(REG"&amp;"EXMATCH(C605, ""薪資""))), ""內部轉帳(忽略)"",
  REGEXMATCH(C605, ""薪資""), ""薪資變動(不計入)"",
  REGEXMATCH(C605, ""押金""), ""押金往來"",
  AND(E605&lt;&gt;"""", F605=""""), ""真實支出"",
  AND(E605="""", F605&lt;&gt;""""), ""真實收入"",
  TRUE, ""其他""
)"),"真實支出")</f>
        <v>真實支出</v>
      </c>
      <c r="K605" s="270">
        <f t="shared" si="2"/>
        <v>-24345</v>
      </c>
      <c r="L605">
        <f t="shared" si="3"/>
        <v>0</v>
      </c>
    </row>
    <row r="606">
      <c r="A606" s="107">
        <f>IFERROR(__xludf.DUMMYFUNCTION("""COMPUTED_VALUE"""),45505.0)</f>
        <v>45505</v>
      </c>
      <c r="B606" t="str">
        <f>IFERROR(__xludf.DUMMYFUNCTION("""COMPUTED_VALUE"""),"永春郭大哥")</f>
        <v>永春郭大哥</v>
      </c>
      <c r="C606" t="str">
        <f>IFERROR(__xludf.DUMMYFUNCTION("""COMPUTED_VALUE"""),"成本 - 大租金")</f>
        <v>成本 - 大租金</v>
      </c>
      <c r="D606" s="270">
        <f>IFERROR(__xludf.DUMMYFUNCTION("""COMPUTED_VALUE"""),-17015.0)</f>
        <v>-17015</v>
      </c>
      <c r="E606" t="str">
        <f>IFERROR(__xludf.DUMMYFUNCTION("""COMPUTED_VALUE"""),"台銀籌備帳戶")</f>
        <v>台銀籌備帳戶</v>
      </c>
      <c r="G606" t="str">
        <f>IFERROR(__xludf.DUMMYFUNCTION("""COMPUTED_VALUE"""),"永春四號")</f>
        <v>永春四號</v>
      </c>
      <c r="H606" s="106" t="str">
        <f t="shared" si="1"/>
        <v>2024-08</v>
      </c>
      <c r="I606" s="271" t="str">
        <f>IFERROR(__xludf.DUMMYFUNCTION("""COMPUTED_VALUE"""),"貓狗企鵝")</f>
        <v>貓狗企鵝</v>
      </c>
      <c r="J606" t="str">
        <f>IFERROR(__xludf.DUMMYFUNCTION("IFS(
  AND(REGEXMATCH(E606, ""台銀籌備帳戶|玉山帳戶""), REGEXMATCH(C606, ""薪資"")), ""分潤支出"",
  AND(REGEXMATCH(E606, ""Ben帳戶|Elsa帳戶|Ben代墊|Ariel代墊|中信銀行共用""), REGEXMATCH(F606, ""Ben帳戶|Elsa帳戶|Ben代墊|Ariel代墊|中信銀行共用"")), ""內部轉帳(忽略)"",
  AND(E606&lt;&gt;"""", F606&lt;&gt;"""", NOT(REG"&amp;"EXMATCH(C606, ""薪資""))), ""內部轉帳(忽略)"",
  REGEXMATCH(C606, ""薪資""), ""薪資變動(不計入)"",
  REGEXMATCH(C606, ""押金""), ""押金往來"",
  AND(E606&lt;&gt;"""", F606=""""), ""真實支出"",
  AND(E606="""", F606&lt;&gt;""""), ""真實收入"",
  TRUE, ""其他""
)"),"真實支出")</f>
        <v>真實支出</v>
      </c>
      <c r="K606" s="270">
        <f t="shared" si="2"/>
        <v>-17015</v>
      </c>
      <c r="L606">
        <f t="shared" si="3"/>
        <v>0</v>
      </c>
    </row>
    <row r="607">
      <c r="A607" s="107">
        <f>IFERROR(__xludf.DUMMYFUNCTION("""COMPUTED_VALUE"""),45505.0)</f>
        <v>45505</v>
      </c>
      <c r="B607" t="str">
        <f>IFERROR(__xludf.DUMMYFUNCTION("""COMPUTED_VALUE"""),"永春郭大哥")</f>
        <v>永春郭大哥</v>
      </c>
      <c r="C607" t="str">
        <f>IFERROR(__xludf.DUMMYFUNCTION("""COMPUTED_VALUE"""),"成本 - 大租金")</f>
        <v>成本 - 大租金</v>
      </c>
      <c r="D607" s="270">
        <f>IFERROR(__xludf.DUMMYFUNCTION("""COMPUTED_VALUE"""),-17015.0)</f>
        <v>-17015</v>
      </c>
      <c r="E607" t="str">
        <f>IFERROR(__xludf.DUMMYFUNCTION("""COMPUTED_VALUE"""),"台銀籌備帳戶")</f>
        <v>台銀籌備帳戶</v>
      </c>
      <c r="G607" t="str">
        <f>IFERROR(__xludf.DUMMYFUNCTION("""COMPUTED_VALUE"""),"永春四號")</f>
        <v>永春四號</v>
      </c>
      <c r="H607" s="106" t="str">
        <f t="shared" si="1"/>
        <v>2024-08</v>
      </c>
      <c r="I607" s="271" t="str">
        <f>IFERROR(__xludf.DUMMYFUNCTION("""COMPUTED_VALUE"""),"貓狗企鵝")</f>
        <v>貓狗企鵝</v>
      </c>
      <c r="J607" t="str">
        <f>IFERROR(__xludf.DUMMYFUNCTION("IFS(
  AND(REGEXMATCH(E607, ""台銀籌備帳戶|玉山帳戶""), REGEXMATCH(C607, ""薪資"")), ""分潤支出"",
  AND(REGEXMATCH(E607, ""Ben帳戶|Elsa帳戶|Ben代墊|Ariel代墊|中信銀行共用""), REGEXMATCH(F607, ""Ben帳戶|Elsa帳戶|Ben代墊|Ariel代墊|中信銀行共用"")), ""內部轉帳(忽略)"",
  AND(E607&lt;&gt;"""", F607&lt;&gt;"""", NOT(REG"&amp;"EXMATCH(C607, ""薪資""))), ""內部轉帳(忽略)"",
  REGEXMATCH(C607, ""薪資""), ""薪資變動(不計入)"",
  REGEXMATCH(C607, ""押金""), ""押金往來"",
  AND(E607&lt;&gt;"""", F607=""""), ""真實支出"",
  AND(E607="""", F607&lt;&gt;""""), ""真實收入"",
  TRUE, ""其他""
)"),"真實支出")</f>
        <v>真實支出</v>
      </c>
      <c r="K607" s="270">
        <f t="shared" si="2"/>
        <v>-17015</v>
      </c>
      <c r="L607">
        <f t="shared" si="3"/>
        <v>0</v>
      </c>
    </row>
    <row r="608">
      <c r="A608" s="107">
        <f>IFERROR(__xludf.DUMMYFUNCTION("""COMPUTED_VALUE"""),45505.0)</f>
        <v>45505</v>
      </c>
      <c r="B608" t="str">
        <f>IFERROR(__xludf.DUMMYFUNCTION("""COMPUTED_VALUE"""),"北醫吳醫師")</f>
        <v>北醫吳醫師</v>
      </c>
      <c r="C608" t="str">
        <f>IFERROR(__xludf.DUMMYFUNCTION("""COMPUTED_VALUE"""),"成本 - 大租金")</f>
        <v>成本 - 大租金</v>
      </c>
      <c r="D608" s="270">
        <f>IFERROR(__xludf.DUMMYFUNCTION("""COMPUTED_VALUE"""),-25075.0)</f>
        <v>-25075</v>
      </c>
      <c r="E608" t="str">
        <f>IFERROR(__xludf.DUMMYFUNCTION("""COMPUTED_VALUE"""),"台銀籌備帳戶")</f>
        <v>台銀籌備帳戶</v>
      </c>
      <c r="G608" t="str">
        <f>IFERROR(__xludf.DUMMYFUNCTION("""COMPUTED_VALUE"""),"北醫醫師府")</f>
        <v>北醫醫師府</v>
      </c>
      <c r="H608" s="106" t="str">
        <f t="shared" si="1"/>
        <v>2024-08</v>
      </c>
      <c r="I608" s="271" t="str">
        <f>IFERROR(__xludf.DUMMYFUNCTION("""COMPUTED_VALUE"""),"貓狗企鵝")</f>
        <v>貓狗企鵝</v>
      </c>
      <c r="J608" t="str">
        <f>IFERROR(__xludf.DUMMYFUNCTION("IFS(
  AND(REGEXMATCH(E608, ""台銀籌備帳戶|玉山帳戶""), REGEXMATCH(C608, ""薪資"")), ""分潤支出"",
  AND(REGEXMATCH(E608, ""Ben帳戶|Elsa帳戶|Ben代墊|Ariel代墊|中信銀行共用""), REGEXMATCH(F608, ""Ben帳戶|Elsa帳戶|Ben代墊|Ariel代墊|中信銀行共用"")), ""內部轉帳(忽略)"",
  AND(E608&lt;&gt;"""", F608&lt;&gt;"""", NOT(REG"&amp;"EXMATCH(C608, ""薪資""))), ""內部轉帳(忽略)"",
  REGEXMATCH(C608, ""薪資""), ""薪資變動(不計入)"",
  REGEXMATCH(C608, ""押金""), ""押金往來"",
  AND(E608&lt;&gt;"""", F608=""""), ""真實支出"",
  AND(E608="""", F608&lt;&gt;""""), ""真實收入"",
  TRUE, ""其他""
)"),"真實支出")</f>
        <v>真實支出</v>
      </c>
      <c r="K608" s="270">
        <f t="shared" si="2"/>
        <v>-25075</v>
      </c>
      <c r="L608">
        <f t="shared" si="3"/>
        <v>0</v>
      </c>
    </row>
    <row r="609">
      <c r="A609" s="107">
        <f>IFERROR(__xludf.DUMMYFUNCTION("""COMPUTED_VALUE"""),45505.0)</f>
        <v>45505</v>
      </c>
      <c r="B609" t="str">
        <f>IFERROR(__xludf.DUMMYFUNCTION("""COMPUTED_VALUE"""),"我裝潢代墊款")</f>
        <v>我裝潢代墊款</v>
      </c>
      <c r="C609" t="str">
        <f>IFERROR(__xludf.DUMMYFUNCTION("""COMPUTED_VALUE"""),"費用 - Salary 薪資")</f>
        <v>費用 - Salary 薪資</v>
      </c>
      <c r="D609" s="270">
        <f>IFERROR(__xludf.DUMMYFUNCTION("""COMPUTED_VALUE"""),-200015.0)</f>
        <v>-200015</v>
      </c>
      <c r="E609" t="str">
        <f>IFERROR(__xludf.DUMMYFUNCTION("""COMPUTED_VALUE"""),"台銀籌備帳戶")</f>
        <v>台銀籌備帳戶</v>
      </c>
      <c r="F609" t="str">
        <f>IFERROR(__xludf.DUMMYFUNCTION("""COMPUTED_VALUE"""),"Ben帳戶")</f>
        <v>Ben帳戶</v>
      </c>
      <c r="H609" s="106" t="str">
        <f t="shared" si="1"/>
        <v>2024-08</v>
      </c>
      <c r="I609" s="271" t="str">
        <f>IFERROR(__xludf.DUMMYFUNCTION("""COMPUTED_VALUE"""),"貓狗企鵝")</f>
        <v>貓狗企鵝</v>
      </c>
      <c r="J609" t="str">
        <f>IFERROR(__xludf.DUMMYFUNCTION("IFS(
  AND(REGEXMATCH(E609, ""台銀籌備帳戶|玉山帳戶""), REGEXMATCH(C609, ""薪資"")), ""分潤支出"",
  AND(REGEXMATCH(E609, ""Ben帳戶|Elsa帳戶|Ben代墊|Ariel代墊|中信銀行共用""), REGEXMATCH(F609, ""Ben帳戶|Elsa帳戶|Ben代墊|Ariel代墊|中信銀行共用"")), ""內部轉帳(忽略)"",
  AND(E609&lt;&gt;"""", F609&lt;&gt;"""", NOT(REG"&amp;"EXMATCH(C609, ""薪資""))), ""內部轉帳(忽略)"",
  REGEXMATCH(C609, ""薪資""), ""薪資變動(不計入)"",
  REGEXMATCH(C609, ""押金""), ""押金往來"",
  AND(E609&lt;&gt;"""", F609=""""), ""真實支出"",
  AND(E609="""", F609&lt;&gt;""""), ""真實收入"",
  TRUE, ""其他""
)"),"分潤支出")</f>
        <v>分潤支出</v>
      </c>
      <c r="K609">
        <f t="shared" si="2"/>
        <v>0</v>
      </c>
      <c r="L609">
        <f t="shared" si="3"/>
        <v>200015</v>
      </c>
    </row>
    <row r="610">
      <c r="A610" s="107">
        <f>IFERROR(__xludf.DUMMYFUNCTION("""COMPUTED_VALUE"""),45505.0)</f>
        <v>45505</v>
      </c>
      <c r="B610" t="str">
        <f>IFERROR(__xludf.DUMMYFUNCTION("""COMPUTED_VALUE"""),"哈拉陳校長")</f>
        <v>哈拉陳校長</v>
      </c>
      <c r="C610" t="str">
        <f>IFERROR(__xludf.DUMMYFUNCTION("""COMPUTED_VALUE"""),"成本 - 大租金")</f>
        <v>成本 - 大租金</v>
      </c>
      <c r="D610" s="270">
        <f>IFERROR(__xludf.DUMMYFUNCTION("""COMPUTED_VALUE"""),-25466.0)</f>
        <v>-25466</v>
      </c>
      <c r="E610" t="str">
        <f>IFERROR(__xludf.DUMMYFUNCTION("""COMPUTED_VALUE"""),"台銀籌備帳戶")</f>
        <v>台銀籌備帳戶</v>
      </c>
      <c r="G610" t="str">
        <f>IFERROR(__xludf.DUMMYFUNCTION("""COMPUTED_VALUE"""),"哈拉對面")</f>
        <v>哈拉對面</v>
      </c>
      <c r="H610" s="106" t="str">
        <f t="shared" si="1"/>
        <v>2024-08</v>
      </c>
      <c r="I610" s="271" t="str">
        <f>IFERROR(__xludf.DUMMYFUNCTION("""COMPUTED_VALUE"""),"貓狗企鵝")</f>
        <v>貓狗企鵝</v>
      </c>
      <c r="J610" t="str">
        <f>IFERROR(__xludf.DUMMYFUNCTION("IFS(
  AND(REGEXMATCH(E610, ""台銀籌備帳戶|玉山帳戶""), REGEXMATCH(C610, ""薪資"")), ""分潤支出"",
  AND(REGEXMATCH(E610, ""Ben帳戶|Elsa帳戶|Ben代墊|Ariel代墊|中信銀行共用""), REGEXMATCH(F610, ""Ben帳戶|Elsa帳戶|Ben代墊|Ariel代墊|中信銀行共用"")), ""內部轉帳(忽略)"",
  AND(E610&lt;&gt;"""", F610&lt;&gt;"""", NOT(REG"&amp;"EXMATCH(C610, ""薪資""))), ""內部轉帳(忽略)"",
  REGEXMATCH(C610, ""薪資""), ""薪資變動(不計入)"",
  REGEXMATCH(C610, ""押金""), ""押金往來"",
  AND(E610&lt;&gt;"""", F610=""""), ""真實支出"",
  AND(E610="""", F610&lt;&gt;""""), ""真實收入"",
  TRUE, ""其他""
)"),"真實支出")</f>
        <v>真實支出</v>
      </c>
      <c r="K610" s="270">
        <f t="shared" si="2"/>
        <v>-25466</v>
      </c>
      <c r="L610">
        <f t="shared" si="3"/>
        <v>0</v>
      </c>
    </row>
    <row r="611">
      <c r="A611" s="107">
        <f>IFERROR(__xludf.DUMMYFUNCTION("""COMPUTED_VALUE"""),45505.0)</f>
        <v>45505</v>
      </c>
      <c r="B611" t="str">
        <f>IFERROR(__xludf.DUMMYFUNCTION("""COMPUTED_VALUE"""),"哈拉對面	C	徐鉦庭")</f>
        <v>哈拉對面	C	徐鉦庭</v>
      </c>
      <c r="C611" t="str">
        <f>IFERROR(__xludf.DUMMYFUNCTION("""COMPUTED_VALUE"""),"收入 - 租金")</f>
        <v>收入 - 租金</v>
      </c>
      <c r="D611" s="270">
        <f>IFERROR(__xludf.DUMMYFUNCTION("""COMPUTED_VALUE"""),11800.0)</f>
        <v>11800</v>
      </c>
      <c r="F611" t="str">
        <f>IFERROR(__xludf.DUMMYFUNCTION("""COMPUTED_VALUE"""),"台銀籌備帳戶")</f>
        <v>台銀籌備帳戶</v>
      </c>
      <c r="G611" t="str">
        <f>IFERROR(__xludf.DUMMYFUNCTION("""COMPUTED_VALUE"""),"哈拉對面")</f>
        <v>哈拉對面</v>
      </c>
      <c r="H611" s="106" t="str">
        <f t="shared" si="1"/>
        <v>2024-08</v>
      </c>
      <c r="I611" s="271" t="str">
        <f>IFERROR(__xludf.DUMMYFUNCTION("""COMPUTED_VALUE"""),"貓狗企鵝")</f>
        <v>貓狗企鵝</v>
      </c>
      <c r="J611" t="str">
        <f>IFERROR(__xludf.DUMMYFUNCTION("IFS(
  AND(REGEXMATCH(E611, ""台銀籌備帳戶|玉山帳戶""), REGEXMATCH(C611, ""薪資"")), ""分潤支出"",
  AND(REGEXMATCH(E611, ""Ben帳戶|Elsa帳戶|Ben代墊|Ariel代墊|中信銀行共用""), REGEXMATCH(F611, ""Ben帳戶|Elsa帳戶|Ben代墊|Ariel代墊|中信銀行共用"")), ""內部轉帳(忽略)"",
  AND(E611&lt;&gt;"""", F611&lt;&gt;"""", NOT(REG"&amp;"EXMATCH(C611, ""薪資""))), ""內部轉帳(忽略)"",
  REGEXMATCH(C611, ""薪資""), ""薪資變動(不計入)"",
  REGEXMATCH(C611, ""押金""), ""押金往來"",
  AND(E611&lt;&gt;"""", F611=""""), ""真實支出"",
  AND(E611="""", F611&lt;&gt;""""), ""真實收入"",
  TRUE, ""其他""
)"),"真實收入")</f>
        <v>真實收入</v>
      </c>
      <c r="K611" s="270">
        <f t="shared" si="2"/>
        <v>11800</v>
      </c>
      <c r="L611">
        <f t="shared" si="3"/>
        <v>0</v>
      </c>
    </row>
    <row r="612">
      <c r="A612" s="107">
        <f>IFERROR(__xludf.DUMMYFUNCTION("""COMPUTED_VALUE"""),45505.0)</f>
        <v>45505</v>
      </c>
      <c r="B612" t="str">
        <f>IFERROR(__xludf.DUMMYFUNCTION("""COMPUTED_VALUE"""),"北醫醫師府A鄭伊彤")</f>
        <v>北醫醫師府A鄭伊彤</v>
      </c>
      <c r="C612" t="str">
        <f>IFERROR(__xludf.DUMMYFUNCTION("""COMPUTED_VALUE"""),"收入 - 租金")</f>
        <v>收入 - 租金</v>
      </c>
      <c r="D612" s="270">
        <f>IFERROR(__xludf.DUMMYFUNCTION("""COMPUTED_VALUE"""),13500.0)</f>
        <v>13500</v>
      </c>
      <c r="F612" t="str">
        <f>IFERROR(__xludf.DUMMYFUNCTION("""COMPUTED_VALUE"""),"台銀籌備帳戶")</f>
        <v>台銀籌備帳戶</v>
      </c>
      <c r="G612" t="str">
        <f>IFERROR(__xludf.DUMMYFUNCTION("""COMPUTED_VALUE"""),"北醫醫師府")</f>
        <v>北醫醫師府</v>
      </c>
      <c r="H612" s="106" t="str">
        <f t="shared" si="1"/>
        <v>2024-08</v>
      </c>
      <c r="I612" s="271" t="str">
        <f>IFERROR(__xludf.DUMMYFUNCTION("""COMPUTED_VALUE"""),"貓狗企鵝")</f>
        <v>貓狗企鵝</v>
      </c>
      <c r="J612" t="str">
        <f>IFERROR(__xludf.DUMMYFUNCTION("IFS(
  AND(REGEXMATCH(E612, ""台銀籌備帳戶|玉山帳戶""), REGEXMATCH(C612, ""薪資"")), ""分潤支出"",
  AND(REGEXMATCH(E612, ""Ben帳戶|Elsa帳戶|Ben代墊|Ariel代墊|中信銀行共用""), REGEXMATCH(F612, ""Ben帳戶|Elsa帳戶|Ben代墊|Ariel代墊|中信銀行共用"")), ""內部轉帳(忽略)"",
  AND(E612&lt;&gt;"""", F612&lt;&gt;"""", NOT(REG"&amp;"EXMATCH(C612, ""薪資""))), ""內部轉帳(忽略)"",
  REGEXMATCH(C612, ""薪資""), ""薪資變動(不計入)"",
  REGEXMATCH(C612, ""押金""), ""押金往來"",
  AND(E612&lt;&gt;"""", F612=""""), ""真實支出"",
  AND(E612="""", F612&lt;&gt;""""), ""真實收入"",
  TRUE, ""其他""
)"),"真實收入")</f>
        <v>真實收入</v>
      </c>
      <c r="K612" s="270">
        <f t="shared" si="2"/>
        <v>13500</v>
      </c>
      <c r="L612">
        <f t="shared" si="3"/>
        <v>0</v>
      </c>
    </row>
    <row r="613">
      <c r="A613" s="107">
        <f>IFERROR(__xludf.DUMMYFUNCTION("""COMPUTED_VALUE"""),45505.0)</f>
        <v>45505</v>
      </c>
      <c r="B613" t="str">
        <f>IFERROR(__xludf.DUMMYFUNCTION("""COMPUTED_VALUE"""),"南港地板忠")</f>
        <v>南港地板忠</v>
      </c>
      <c r="C613" t="str">
        <f>IFERROR(__xludf.DUMMYFUNCTION("""COMPUTED_VALUE"""),"成本 - 進場前裝潢費")</f>
        <v>成本 - 進場前裝潢費</v>
      </c>
      <c r="D613" s="270">
        <f>IFERROR(__xludf.DUMMYFUNCTION("""COMPUTED_VALUE"""),-31215.0)</f>
        <v>-31215</v>
      </c>
      <c r="E613" t="str">
        <f>IFERROR(__xludf.DUMMYFUNCTION("""COMPUTED_VALUE"""),"台銀籌備帳戶")</f>
        <v>台銀籌備帳戶</v>
      </c>
      <c r="G613" t="str">
        <f>IFERROR(__xludf.DUMMYFUNCTION("""COMPUTED_VALUE"""),"南港站挑高宅")</f>
        <v>南港站挑高宅</v>
      </c>
      <c r="H613" s="106" t="str">
        <f t="shared" si="1"/>
        <v>2024-08</v>
      </c>
      <c r="I613" s="271" t="str">
        <f>IFERROR(__xludf.DUMMYFUNCTION("""COMPUTED_VALUE"""),"貓狗企鵝")</f>
        <v>貓狗企鵝</v>
      </c>
      <c r="J613" t="str">
        <f>IFERROR(__xludf.DUMMYFUNCTION("IFS(
  AND(REGEXMATCH(E613, ""台銀籌備帳戶|玉山帳戶""), REGEXMATCH(C613, ""薪資"")), ""分潤支出"",
  AND(REGEXMATCH(E613, ""Ben帳戶|Elsa帳戶|Ben代墊|Ariel代墊|中信銀行共用""), REGEXMATCH(F613, ""Ben帳戶|Elsa帳戶|Ben代墊|Ariel代墊|中信銀行共用"")), ""內部轉帳(忽略)"",
  AND(E613&lt;&gt;"""", F613&lt;&gt;"""", NOT(REG"&amp;"EXMATCH(C613, ""薪資""))), ""內部轉帳(忽略)"",
  REGEXMATCH(C613, ""薪資""), ""薪資變動(不計入)"",
  REGEXMATCH(C613, ""押金""), ""押金往來"",
  AND(E613&lt;&gt;"""", F613=""""), ""真實支出"",
  AND(E613="""", F613&lt;&gt;""""), ""真實收入"",
  TRUE, ""其他""
)"),"真實支出")</f>
        <v>真實支出</v>
      </c>
      <c r="K613" s="270">
        <f t="shared" si="2"/>
        <v>-31215</v>
      </c>
      <c r="L613">
        <f t="shared" si="3"/>
        <v>0</v>
      </c>
    </row>
    <row r="614">
      <c r="A614" s="107">
        <f>IFERROR(__xludf.DUMMYFUNCTION("""COMPUTED_VALUE"""),45505.0)</f>
        <v>45505</v>
      </c>
      <c r="B614" t="str">
        <f>IFERROR(__xludf.DUMMYFUNCTION("""COMPUTED_VALUE"""),"南港地板發票")</f>
        <v>南港地板發票</v>
      </c>
      <c r="C614" t="str">
        <f>IFERROR(__xludf.DUMMYFUNCTION("""COMPUTED_VALUE"""),"成本 - 進場前裝潢費")</f>
        <v>成本 - 進場前裝潢費</v>
      </c>
      <c r="D614" s="270">
        <f>IFERROR(__xludf.DUMMYFUNCTION("""COMPUTED_VALUE"""),-1575.0)</f>
        <v>-1575</v>
      </c>
      <c r="E614" t="str">
        <f>IFERROR(__xludf.DUMMYFUNCTION("""COMPUTED_VALUE"""),"台銀籌備帳戶")</f>
        <v>台銀籌備帳戶</v>
      </c>
      <c r="G614" t="str">
        <f>IFERROR(__xludf.DUMMYFUNCTION("""COMPUTED_VALUE"""),"南港站挑高宅")</f>
        <v>南港站挑高宅</v>
      </c>
      <c r="H614" s="106" t="str">
        <f t="shared" si="1"/>
        <v>2024-08</v>
      </c>
      <c r="I614" s="271" t="str">
        <f>IFERROR(__xludf.DUMMYFUNCTION("""COMPUTED_VALUE"""),"貓狗企鵝")</f>
        <v>貓狗企鵝</v>
      </c>
      <c r="J614" t="str">
        <f>IFERROR(__xludf.DUMMYFUNCTION("IFS(
  AND(REGEXMATCH(E614, ""台銀籌備帳戶|玉山帳戶""), REGEXMATCH(C614, ""薪資"")), ""分潤支出"",
  AND(REGEXMATCH(E614, ""Ben帳戶|Elsa帳戶|Ben代墊|Ariel代墊|中信銀行共用""), REGEXMATCH(F614, ""Ben帳戶|Elsa帳戶|Ben代墊|Ariel代墊|中信銀行共用"")), ""內部轉帳(忽略)"",
  AND(E614&lt;&gt;"""", F614&lt;&gt;"""", NOT(REG"&amp;"EXMATCH(C614, ""薪資""))), ""內部轉帳(忽略)"",
  REGEXMATCH(C614, ""薪資""), ""薪資變動(不計入)"",
  REGEXMATCH(C614, ""押金""), ""押金往來"",
  AND(E614&lt;&gt;"""", F614=""""), ""真實支出"",
  AND(E614="""", F614&lt;&gt;""""), ""真實收入"",
  TRUE, ""其他""
)"),"真實支出")</f>
        <v>真實支出</v>
      </c>
      <c r="K614" s="270">
        <f t="shared" si="2"/>
        <v>-1575</v>
      </c>
      <c r="L614">
        <f t="shared" si="3"/>
        <v>0</v>
      </c>
    </row>
    <row r="615">
      <c r="A615" s="107">
        <f>IFERROR(__xludf.DUMMYFUNCTION("""COMPUTED_VALUE"""),45505.0)</f>
        <v>45505</v>
      </c>
      <c r="B615" t="str">
        <f>IFERROR(__xludf.DUMMYFUNCTION("""COMPUTED_VALUE"""),"南港拆除")</f>
        <v>南港拆除</v>
      </c>
      <c r="C615" t="str">
        <f>IFERROR(__xludf.DUMMYFUNCTION("""COMPUTED_VALUE"""),"成本 - 進場前裝潢費")</f>
        <v>成本 - 進場前裝潢費</v>
      </c>
      <c r="D615" s="270">
        <f>IFERROR(__xludf.DUMMYFUNCTION("""COMPUTED_VALUE"""),-2115.0)</f>
        <v>-2115</v>
      </c>
      <c r="E615" t="str">
        <f>IFERROR(__xludf.DUMMYFUNCTION("""COMPUTED_VALUE"""),"台銀籌備帳戶")</f>
        <v>台銀籌備帳戶</v>
      </c>
      <c r="G615" t="str">
        <f>IFERROR(__xludf.DUMMYFUNCTION("""COMPUTED_VALUE"""),"南港站挑高宅")</f>
        <v>南港站挑高宅</v>
      </c>
      <c r="H615" s="106" t="str">
        <f t="shared" si="1"/>
        <v>2024-08</v>
      </c>
      <c r="I615" s="271" t="str">
        <f>IFERROR(__xludf.DUMMYFUNCTION("""COMPUTED_VALUE"""),"貓狗企鵝")</f>
        <v>貓狗企鵝</v>
      </c>
      <c r="J615" t="str">
        <f>IFERROR(__xludf.DUMMYFUNCTION("IFS(
  AND(REGEXMATCH(E615, ""台銀籌備帳戶|玉山帳戶""), REGEXMATCH(C615, ""薪資"")), ""分潤支出"",
  AND(REGEXMATCH(E615, ""Ben帳戶|Elsa帳戶|Ben代墊|Ariel代墊|中信銀行共用""), REGEXMATCH(F615, ""Ben帳戶|Elsa帳戶|Ben代墊|Ariel代墊|中信銀行共用"")), ""內部轉帳(忽略)"",
  AND(E615&lt;&gt;"""", F615&lt;&gt;"""", NOT(REG"&amp;"EXMATCH(C615, ""薪資""))), ""內部轉帳(忽略)"",
  REGEXMATCH(C615, ""薪資""), ""薪資變動(不計入)"",
  REGEXMATCH(C615, ""押金""), ""押金往來"",
  AND(E615&lt;&gt;"""", F615=""""), ""真實支出"",
  AND(E615="""", F615&lt;&gt;""""), ""真實收入"",
  TRUE, ""其他""
)"),"真實支出")</f>
        <v>真實支出</v>
      </c>
      <c r="K615" s="270">
        <f t="shared" si="2"/>
        <v>-2115</v>
      </c>
      <c r="L615">
        <f t="shared" si="3"/>
        <v>0</v>
      </c>
    </row>
    <row r="616">
      <c r="A616" s="107">
        <f>IFERROR(__xludf.DUMMYFUNCTION("""COMPUTED_VALUE"""),45505.0)</f>
        <v>45505</v>
      </c>
      <c r="B616" t="str">
        <f>IFERROR(__xludf.DUMMYFUNCTION("""COMPUTED_VALUE"""),"龍江229B陳佩娟")</f>
        <v>龍江229B陳佩娟</v>
      </c>
      <c r="C616" t="str">
        <f>IFERROR(__xludf.DUMMYFUNCTION("""COMPUTED_VALUE"""),"收入 - 租金")</f>
        <v>收入 - 租金</v>
      </c>
      <c r="D616" s="270">
        <f>IFERROR(__xludf.DUMMYFUNCTION("""COMPUTED_VALUE"""),13000.0)</f>
        <v>13000</v>
      </c>
      <c r="F616" t="str">
        <f>IFERROR(__xludf.DUMMYFUNCTION("""COMPUTED_VALUE"""),"台銀籌備帳戶")</f>
        <v>台銀籌備帳戶</v>
      </c>
      <c r="G616" t="str">
        <f>IFERROR(__xludf.DUMMYFUNCTION("""COMPUTED_VALUE"""),"龍江229")</f>
        <v>龍江229</v>
      </c>
      <c r="H616" s="106" t="str">
        <f t="shared" si="1"/>
        <v>2024-08</v>
      </c>
      <c r="I616" s="271" t="str">
        <f>IFERROR(__xludf.DUMMYFUNCTION("""COMPUTED_VALUE"""),"貓狗企鵝")</f>
        <v>貓狗企鵝</v>
      </c>
      <c r="J616" t="str">
        <f>IFERROR(__xludf.DUMMYFUNCTION("IFS(
  AND(REGEXMATCH(E616, ""台銀籌備帳戶|玉山帳戶""), REGEXMATCH(C616, ""薪資"")), ""分潤支出"",
  AND(REGEXMATCH(E616, ""Ben帳戶|Elsa帳戶|Ben代墊|Ariel代墊|中信銀行共用""), REGEXMATCH(F616, ""Ben帳戶|Elsa帳戶|Ben代墊|Ariel代墊|中信銀行共用"")), ""內部轉帳(忽略)"",
  AND(E616&lt;&gt;"""", F616&lt;&gt;"""", NOT(REG"&amp;"EXMATCH(C616, ""薪資""))), ""內部轉帳(忽略)"",
  REGEXMATCH(C616, ""薪資""), ""薪資變動(不計入)"",
  REGEXMATCH(C616, ""押金""), ""押金往來"",
  AND(E616&lt;&gt;"""", F616=""""), ""真實支出"",
  AND(E616="""", F616&lt;&gt;""""), ""真實收入"",
  TRUE, ""其他""
)"),"真實收入")</f>
        <v>真實收入</v>
      </c>
      <c r="K616" s="270">
        <f t="shared" si="2"/>
        <v>13000</v>
      </c>
      <c r="L616">
        <f t="shared" si="3"/>
        <v>0</v>
      </c>
    </row>
    <row r="617">
      <c r="A617" s="107">
        <f>IFERROR(__xludf.DUMMYFUNCTION("""COMPUTED_VALUE"""),45505.0)</f>
        <v>45505</v>
      </c>
      <c r="B617" t="str">
        <f>IFERROR(__xludf.DUMMYFUNCTION("""COMPUTED_VALUE"""),"笨蛋睡衣轉錯")</f>
        <v>笨蛋睡衣轉錯</v>
      </c>
      <c r="C617" t="str">
        <f>IFERROR(__xludf.DUMMYFUNCTION("""COMPUTED_VALUE"""),"收入 - 其他")</f>
        <v>收入 - 其他</v>
      </c>
      <c r="D617" s="270">
        <f>IFERROR(__xludf.DUMMYFUNCTION("""COMPUTED_VALUE"""),13500.0)</f>
        <v>13500</v>
      </c>
      <c r="F617" t="str">
        <f>IFERROR(__xludf.DUMMYFUNCTION("""COMPUTED_VALUE"""),"台銀籌備帳戶")</f>
        <v>台銀籌備帳戶</v>
      </c>
      <c r="H617" s="106" t="str">
        <f t="shared" si="1"/>
        <v>2024-08</v>
      </c>
      <c r="I617" s="271" t="str">
        <f>IFERROR(__xludf.DUMMYFUNCTION("""COMPUTED_VALUE"""),"貓狗企鵝")</f>
        <v>貓狗企鵝</v>
      </c>
      <c r="J617" t="str">
        <f>IFERROR(__xludf.DUMMYFUNCTION("IFS(
  AND(REGEXMATCH(E617, ""台銀籌備帳戶|玉山帳戶""), REGEXMATCH(C617, ""薪資"")), ""分潤支出"",
  AND(REGEXMATCH(E617, ""Ben帳戶|Elsa帳戶|Ben代墊|Ariel代墊|中信銀行共用""), REGEXMATCH(F617, ""Ben帳戶|Elsa帳戶|Ben代墊|Ariel代墊|中信銀行共用"")), ""內部轉帳(忽略)"",
  AND(E617&lt;&gt;"""", F617&lt;&gt;"""", NOT(REG"&amp;"EXMATCH(C617, ""薪資""))), ""內部轉帳(忽略)"",
  REGEXMATCH(C617, ""薪資""), ""薪資變動(不計入)"",
  REGEXMATCH(C617, ""押金""), ""押金往來"",
  AND(E617&lt;&gt;"""", F617=""""), ""真實支出"",
  AND(E617="""", F617&lt;&gt;""""), ""真實收入"",
  TRUE, ""其他""
)"),"真實收入")</f>
        <v>真實收入</v>
      </c>
      <c r="K617" s="270">
        <f t="shared" si="2"/>
        <v>13500</v>
      </c>
      <c r="L617">
        <f t="shared" si="3"/>
        <v>0</v>
      </c>
    </row>
    <row r="618">
      <c r="A618" s="107">
        <f>IFERROR(__xludf.DUMMYFUNCTION("""COMPUTED_VALUE"""),45505.0)</f>
        <v>45505</v>
      </c>
      <c r="B618" t="str">
        <f>IFERROR(__xludf.DUMMYFUNCTION("""COMPUTED_VALUE"""),"龍江229	E	許霈琪")</f>
        <v>龍江229	E	許霈琪</v>
      </c>
      <c r="C618" t="str">
        <f>IFERROR(__xludf.DUMMYFUNCTION("""COMPUTED_VALUE"""),"收入 - 租金")</f>
        <v>收入 - 租金</v>
      </c>
      <c r="D618" s="270">
        <f>IFERROR(__xludf.DUMMYFUNCTION("""COMPUTED_VALUE"""),13500.0)</f>
        <v>13500</v>
      </c>
      <c r="F618" t="str">
        <f>IFERROR(__xludf.DUMMYFUNCTION("""COMPUTED_VALUE"""),"台銀籌備帳戶")</f>
        <v>台銀籌備帳戶</v>
      </c>
      <c r="G618" t="str">
        <f>IFERROR(__xludf.DUMMYFUNCTION("""COMPUTED_VALUE"""),"龍江229")</f>
        <v>龍江229</v>
      </c>
      <c r="H618" s="106" t="str">
        <f t="shared" si="1"/>
        <v>2024-08</v>
      </c>
      <c r="I618" s="271" t="str">
        <f>IFERROR(__xludf.DUMMYFUNCTION("""COMPUTED_VALUE"""),"貓狗企鵝")</f>
        <v>貓狗企鵝</v>
      </c>
      <c r="J618" t="str">
        <f>IFERROR(__xludf.DUMMYFUNCTION("IFS(
  AND(REGEXMATCH(E618, ""台銀籌備帳戶|玉山帳戶""), REGEXMATCH(C618, ""薪資"")), ""分潤支出"",
  AND(REGEXMATCH(E618, ""Ben帳戶|Elsa帳戶|Ben代墊|Ariel代墊|中信銀行共用""), REGEXMATCH(F618, ""Ben帳戶|Elsa帳戶|Ben代墊|Ariel代墊|中信銀行共用"")), ""內部轉帳(忽略)"",
  AND(E618&lt;&gt;"""", F618&lt;&gt;"""", NOT(REG"&amp;"EXMATCH(C618, ""薪資""))), ""內部轉帳(忽略)"",
  REGEXMATCH(C618, ""薪資""), ""薪資變動(不計入)"",
  REGEXMATCH(C618, ""押金""), ""押金往來"",
  AND(E618&lt;&gt;"""", F618=""""), ""真實支出"",
  AND(E618="""", F618&lt;&gt;""""), ""真實收入"",
  TRUE, ""其他""
)"),"真實收入")</f>
        <v>真實收入</v>
      </c>
      <c r="K618" s="270">
        <f t="shared" si="2"/>
        <v>13500</v>
      </c>
      <c r="L618">
        <f t="shared" si="3"/>
        <v>0</v>
      </c>
    </row>
    <row r="619">
      <c r="A619" s="107">
        <f>IFERROR(__xludf.DUMMYFUNCTION("""COMPUTED_VALUE"""),45505.0)</f>
        <v>45505</v>
      </c>
      <c r="B619" t="str">
        <f>IFERROR(__xludf.DUMMYFUNCTION("""COMPUTED_VALUE"""),"北醫醫師府C余典蓉")</f>
        <v>北醫醫師府C余典蓉</v>
      </c>
      <c r="C619" t="str">
        <f>IFERROR(__xludf.DUMMYFUNCTION("""COMPUTED_VALUE"""),"收入 - 租金")</f>
        <v>收入 - 租金</v>
      </c>
      <c r="D619" s="270">
        <f>IFERROR(__xludf.DUMMYFUNCTION("""COMPUTED_VALUE"""),13000.0)</f>
        <v>13000</v>
      </c>
      <c r="F619" t="str">
        <f>IFERROR(__xludf.DUMMYFUNCTION("""COMPUTED_VALUE"""),"台銀籌備帳戶")</f>
        <v>台銀籌備帳戶</v>
      </c>
      <c r="G619" t="str">
        <f>IFERROR(__xludf.DUMMYFUNCTION("""COMPUTED_VALUE"""),"北醫醫師府")</f>
        <v>北醫醫師府</v>
      </c>
      <c r="H619" s="106" t="str">
        <f t="shared" si="1"/>
        <v>2024-08</v>
      </c>
      <c r="I619" s="271" t="str">
        <f>IFERROR(__xludf.DUMMYFUNCTION("""COMPUTED_VALUE"""),"貓狗企鵝")</f>
        <v>貓狗企鵝</v>
      </c>
      <c r="J619" t="str">
        <f>IFERROR(__xludf.DUMMYFUNCTION("IFS(
  AND(REGEXMATCH(E619, ""台銀籌備帳戶|玉山帳戶""), REGEXMATCH(C619, ""薪資"")), ""分潤支出"",
  AND(REGEXMATCH(E619, ""Ben帳戶|Elsa帳戶|Ben代墊|Ariel代墊|中信銀行共用""), REGEXMATCH(F619, ""Ben帳戶|Elsa帳戶|Ben代墊|Ariel代墊|中信銀行共用"")), ""內部轉帳(忽略)"",
  AND(E619&lt;&gt;"""", F619&lt;&gt;"""", NOT(REG"&amp;"EXMATCH(C619, ""薪資""))), ""內部轉帳(忽略)"",
  REGEXMATCH(C619, ""薪資""), ""薪資變動(不計入)"",
  REGEXMATCH(C619, ""押金""), ""押金往來"",
  AND(E619&lt;&gt;"""", F619=""""), ""真實支出"",
  AND(E619="""", F619&lt;&gt;""""), ""真實收入"",
  TRUE, ""其他""
)"),"真實收入")</f>
        <v>真實收入</v>
      </c>
      <c r="K619" s="270">
        <f t="shared" si="2"/>
        <v>13000</v>
      </c>
      <c r="L619">
        <f t="shared" si="3"/>
        <v>0</v>
      </c>
    </row>
    <row r="620">
      <c r="A620" s="107">
        <f>IFERROR(__xludf.DUMMYFUNCTION("""COMPUTED_VALUE"""),45505.0)</f>
        <v>45505</v>
      </c>
      <c r="B620" t="str">
        <f>IFERROR(__xludf.DUMMYFUNCTION("""COMPUTED_VALUE"""),"大湖山莊	E	吳彥霆")</f>
        <v>大湖山莊	E	吳彥霆</v>
      </c>
      <c r="C620" t="str">
        <f>IFERROR(__xludf.DUMMYFUNCTION("""COMPUTED_VALUE"""),"收入 - 租金")</f>
        <v>收入 - 租金</v>
      </c>
      <c r="D620" s="270">
        <f>IFERROR(__xludf.DUMMYFUNCTION("""COMPUTED_VALUE"""),12500.0)</f>
        <v>12500</v>
      </c>
      <c r="F620" t="str">
        <f>IFERROR(__xludf.DUMMYFUNCTION("""COMPUTED_VALUE"""),"台銀籌備帳戶")</f>
        <v>台銀籌備帳戶</v>
      </c>
      <c r="G620" t="str">
        <f>IFERROR(__xludf.DUMMYFUNCTION("""COMPUTED_VALUE"""),"大湖山莊")</f>
        <v>大湖山莊</v>
      </c>
      <c r="H620" s="106" t="str">
        <f t="shared" si="1"/>
        <v>2024-08</v>
      </c>
      <c r="I620" s="271" t="str">
        <f>IFERROR(__xludf.DUMMYFUNCTION("""COMPUTED_VALUE"""),"貓狗企鵝")</f>
        <v>貓狗企鵝</v>
      </c>
      <c r="J620" t="str">
        <f>IFERROR(__xludf.DUMMYFUNCTION("IFS(
  AND(REGEXMATCH(E620, ""台銀籌備帳戶|玉山帳戶""), REGEXMATCH(C620, ""薪資"")), ""分潤支出"",
  AND(REGEXMATCH(E620, ""Ben帳戶|Elsa帳戶|Ben代墊|Ariel代墊|中信銀行共用""), REGEXMATCH(F620, ""Ben帳戶|Elsa帳戶|Ben代墊|Ariel代墊|中信銀行共用"")), ""內部轉帳(忽略)"",
  AND(E620&lt;&gt;"""", F620&lt;&gt;"""", NOT(REG"&amp;"EXMATCH(C620, ""薪資""))), ""內部轉帳(忽略)"",
  REGEXMATCH(C620, ""薪資""), ""薪資變動(不計入)"",
  REGEXMATCH(C620, ""押金""), ""押金往來"",
  AND(E620&lt;&gt;"""", F620=""""), ""真實支出"",
  AND(E620="""", F620&lt;&gt;""""), ""真實收入"",
  TRUE, ""其他""
)"),"真實收入")</f>
        <v>真實收入</v>
      </c>
      <c r="K620" s="270">
        <f t="shared" si="2"/>
        <v>12500</v>
      </c>
      <c r="L620">
        <f t="shared" si="3"/>
        <v>0</v>
      </c>
    </row>
    <row r="621">
      <c r="A621" s="107">
        <f>IFERROR(__xludf.DUMMYFUNCTION("""COMPUTED_VALUE"""),45505.0)</f>
        <v>45505</v>
      </c>
      <c r="B621" t="str">
        <f>IFERROR(__xludf.DUMMYFUNCTION("""COMPUTED_VALUE"""),"龍江229	C	陳雨彤")</f>
        <v>龍江229	C	陳雨彤</v>
      </c>
      <c r="C621" t="str">
        <f>IFERROR(__xludf.DUMMYFUNCTION("""COMPUTED_VALUE"""),"收入 - 租金")</f>
        <v>收入 - 租金</v>
      </c>
      <c r="D621" s="270">
        <f>IFERROR(__xludf.DUMMYFUNCTION("""COMPUTED_VALUE"""),16800.0)</f>
        <v>16800</v>
      </c>
      <c r="F621" t="str">
        <f>IFERROR(__xludf.DUMMYFUNCTION("""COMPUTED_VALUE"""),"台銀籌備帳戶")</f>
        <v>台銀籌備帳戶</v>
      </c>
      <c r="G621" t="str">
        <f>IFERROR(__xludf.DUMMYFUNCTION("""COMPUTED_VALUE"""),"龍江229")</f>
        <v>龍江229</v>
      </c>
      <c r="H621" s="106" t="str">
        <f t="shared" si="1"/>
        <v>2024-08</v>
      </c>
      <c r="I621" s="271" t="str">
        <f>IFERROR(__xludf.DUMMYFUNCTION("""COMPUTED_VALUE"""),"貓狗企鵝")</f>
        <v>貓狗企鵝</v>
      </c>
      <c r="J621" t="str">
        <f>IFERROR(__xludf.DUMMYFUNCTION("IFS(
  AND(REGEXMATCH(E621, ""台銀籌備帳戶|玉山帳戶""), REGEXMATCH(C621, ""薪資"")), ""分潤支出"",
  AND(REGEXMATCH(E621, ""Ben帳戶|Elsa帳戶|Ben代墊|Ariel代墊|中信銀行共用""), REGEXMATCH(F621, ""Ben帳戶|Elsa帳戶|Ben代墊|Ariel代墊|中信銀行共用"")), ""內部轉帳(忽略)"",
  AND(E621&lt;&gt;"""", F621&lt;&gt;"""", NOT(REG"&amp;"EXMATCH(C621, ""薪資""))), ""內部轉帳(忽略)"",
  REGEXMATCH(C621, ""薪資""), ""薪資變動(不計入)"",
  REGEXMATCH(C621, ""押金""), ""押金往來"",
  AND(E621&lt;&gt;"""", F621=""""), ""真實支出"",
  AND(E621="""", F621&lt;&gt;""""), ""真實收入"",
  TRUE, ""其他""
)"),"真實收入")</f>
        <v>真實收入</v>
      </c>
      <c r="K621" s="270">
        <f t="shared" si="2"/>
        <v>16800</v>
      </c>
      <c r="L621">
        <f t="shared" si="3"/>
        <v>0</v>
      </c>
    </row>
    <row r="622">
      <c r="A622" s="107">
        <f>IFERROR(__xludf.DUMMYFUNCTION("""COMPUTED_VALUE"""),45505.0)</f>
        <v>45505</v>
      </c>
      <c r="B622" t="str">
        <f>IFERROR(__xludf.DUMMYFUNCTION("""COMPUTED_VALUE"""),"大湖山莊B施惠卿")</f>
        <v>大湖山莊B施惠卿</v>
      </c>
      <c r="C622" t="str">
        <f>IFERROR(__xludf.DUMMYFUNCTION("""COMPUTED_VALUE"""),"收入 - 租金")</f>
        <v>收入 - 租金</v>
      </c>
      <c r="D622" s="270">
        <f>IFERROR(__xludf.DUMMYFUNCTION("""COMPUTED_VALUE"""),12800.0)</f>
        <v>12800</v>
      </c>
      <c r="F622" t="str">
        <f>IFERROR(__xludf.DUMMYFUNCTION("""COMPUTED_VALUE"""),"台銀籌備帳戶")</f>
        <v>台銀籌備帳戶</v>
      </c>
      <c r="G622" t="str">
        <f>IFERROR(__xludf.DUMMYFUNCTION("""COMPUTED_VALUE"""),"大湖山莊")</f>
        <v>大湖山莊</v>
      </c>
      <c r="H622" s="106" t="str">
        <f t="shared" si="1"/>
        <v>2024-08</v>
      </c>
      <c r="I622" s="271" t="str">
        <f>IFERROR(__xludf.DUMMYFUNCTION("""COMPUTED_VALUE"""),"貓狗企鵝")</f>
        <v>貓狗企鵝</v>
      </c>
      <c r="J622" t="str">
        <f>IFERROR(__xludf.DUMMYFUNCTION("IFS(
  AND(REGEXMATCH(E622, ""台銀籌備帳戶|玉山帳戶""), REGEXMATCH(C622, ""薪資"")), ""分潤支出"",
  AND(REGEXMATCH(E622, ""Ben帳戶|Elsa帳戶|Ben代墊|Ariel代墊|中信銀行共用""), REGEXMATCH(F622, ""Ben帳戶|Elsa帳戶|Ben代墊|Ariel代墊|中信銀行共用"")), ""內部轉帳(忽略)"",
  AND(E622&lt;&gt;"""", F622&lt;&gt;"""", NOT(REG"&amp;"EXMATCH(C622, ""薪資""))), ""內部轉帳(忽略)"",
  REGEXMATCH(C622, ""薪資""), ""薪資變動(不計入)"",
  REGEXMATCH(C622, ""押金""), ""押金往來"",
  AND(E622&lt;&gt;"""", F622=""""), ""真實支出"",
  AND(E622="""", F622&lt;&gt;""""), ""真實收入"",
  TRUE, ""其他""
)"),"真實收入")</f>
        <v>真實收入</v>
      </c>
      <c r="K622" s="270">
        <f t="shared" si="2"/>
        <v>12800</v>
      </c>
      <c r="L622">
        <f t="shared" si="3"/>
        <v>0</v>
      </c>
    </row>
    <row r="623">
      <c r="A623" s="107">
        <f>IFERROR(__xludf.DUMMYFUNCTION("""COMPUTED_VALUE"""),45505.0)</f>
        <v>45505</v>
      </c>
      <c r="B623" t="str">
        <f>IFERROR(__xludf.DUMMYFUNCTION("""COMPUTED_VALUE"""),"北醫醫師府E洪睿佑")</f>
        <v>北醫醫師府E洪睿佑</v>
      </c>
      <c r="C623" t="str">
        <f>IFERROR(__xludf.DUMMYFUNCTION("""COMPUTED_VALUE"""),"收入 - 租金")</f>
        <v>收入 - 租金</v>
      </c>
      <c r="D623" s="270">
        <f>IFERROR(__xludf.DUMMYFUNCTION("""COMPUTED_VALUE"""),14800.0)</f>
        <v>14800</v>
      </c>
      <c r="F623" t="str">
        <f>IFERROR(__xludf.DUMMYFUNCTION("""COMPUTED_VALUE"""),"台銀籌備帳戶")</f>
        <v>台銀籌備帳戶</v>
      </c>
      <c r="G623" t="str">
        <f>IFERROR(__xludf.DUMMYFUNCTION("""COMPUTED_VALUE"""),"北醫醫師府")</f>
        <v>北醫醫師府</v>
      </c>
      <c r="H623" s="106" t="str">
        <f t="shared" si="1"/>
        <v>2024-08</v>
      </c>
      <c r="I623" s="271" t="str">
        <f>IFERROR(__xludf.DUMMYFUNCTION("""COMPUTED_VALUE"""),"貓狗企鵝")</f>
        <v>貓狗企鵝</v>
      </c>
      <c r="J623" t="str">
        <f>IFERROR(__xludf.DUMMYFUNCTION("IFS(
  AND(REGEXMATCH(E623, ""台銀籌備帳戶|玉山帳戶""), REGEXMATCH(C623, ""薪資"")), ""分潤支出"",
  AND(REGEXMATCH(E623, ""Ben帳戶|Elsa帳戶|Ben代墊|Ariel代墊|中信銀行共用""), REGEXMATCH(F623, ""Ben帳戶|Elsa帳戶|Ben代墊|Ariel代墊|中信銀行共用"")), ""內部轉帳(忽略)"",
  AND(E623&lt;&gt;"""", F623&lt;&gt;"""", NOT(REG"&amp;"EXMATCH(C623, ""薪資""))), ""內部轉帳(忽略)"",
  REGEXMATCH(C623, ""薪資""), ""薪資變動(不計入)"",
  REGEXMATCH(C623, ""押金""), ""押金往來"",
  AND(E623&lt;&gt;"""", F623=""""), ""真實支出"",
  AND(E623="""", F623&lt;&gt;""""), ""真實收入"",
  TRUE, ""其他""
)"),"真實收入")</f>
        <v>真實收入</v>
      </c>
      <c r="K623" s="270">
        <f t="shared" si="2"/>
        <v>14800</v>
      </c>
      <c r="L623">
        <f t="shared" si="3"/>
        <v>0</v>
      </c>
    </row>
    <row r="624">
      <c r="A624" s="107">
        <f>IFERROR(__xludf.DUMMYFUNCTION("""COMPUTED_VALUE"""),45505.0)</f>
        <v>45505</v>
      </c>
      <c r="B624" t="str">
        <f>IFERROR(__xludf.DUMMYFUNCTION("""COMPUTED_VALUE"""),"Elsa 代墊款")</f>
        <v>Elsa 代墊款</v>
      </c>
      <c r="C624" t="str">
        <f>IFERROR(__xludf.DUMMYFUNCTION("""COMPUTED_VALUE"""),"費用 - Salary 薪資")</f>
        <v>費用 - Salary 薪資</v>
      </c>
      <c r="D624" s="270">
        <f>IFERROR(__xludf.DUMMYFUNCTION("""COMPUTED_VALUE"""),-100000.0)</f>
        <v>-100000</v>
      </c>
      <c r="E624" t="str">
        <f>IFERROR(__xludf.DUMMYFUNCTION("""COMPUTED_VALUE"""),"Ben帳戶")</f>
        <v>Ben帳戶</v>
      </c>
      <c r="F624" t="str">
        <f>IFERROR(__xludf.DUMMYFUNCTION("""COMPUTED_VALUE"""),"Elsa帳戶")</f>
        <v>Elsa帳戶</v>
      </c>
      <c r="H624" s="106" t="str">
        <f t="shared" si="1"/>
        <v>2024-08</v>
      </c>
      <c r="I624" s="271" t="str">
        <f>IFERROR(__xludf.DUMMYFUNCTION("""COMPUTED_VALUE"""),"貓狗企鵝")</f>
        <v>貓狗企鵝</v>
      </c>
      <c r="J624" t="str">
        <f>IFERROR(__xludf.DUMMYFUNCTION("IFS(
  AND(REGEXMATCH(E624, ""台銀籌備帳戶|玉山帳戶""), REGEXMATCH(C624, ""薪資"")), ""分潤支出"",
  AND(REGEXMATCH(E624, ""Ben帳戶|Elsa帳戶|Ben代墊|Ariel代墊|中信銀行共用""), REGEXMATCH(F624, ""Ben帳戶|Elsa帳戶|Ben代墊|Ariel代墊|中信銀行共用"")), ""內部轉帳(忽略)"",
  AND(E624&lt;&gt;"""", F624&lt;&gt;"""", NOT(REG"&amp;"EXMATCH(C624, ""薪資""))), ""內部轉帳(忽略)"",
  REGEXMATCH(C624, ""薪資""), ""薪資變動(不計入)"",
  REGEXMATCH(C624, ""押金""), ""押金往來"",
  AND(E624&lt;&gt;"""", F624=""""), ""真實支出"",
  AND(E624="""", F624&lt;&gt;""""), ""真實收入"",
  TRUE, ""其他""
)"),"內部轉帳(忽略)")</f>
        <v>內部轉帳(忽略)</v>
      </c>
      <c r="K624">
        <f t="shared" si="2"/>
        <v>0</v>
      </c>
      <c r="L624">
        <f t="shared" si="3"/>
        <v>0</v>
      </c>
    </row>
    <row r="625">
      <c r="A625" s="107">
        <f>IFERROR(__xludf.DUMMYFUNCTION("""COMPUTED_VALUE"""),45506.0)</f>
        <v>45506</v>
      </c>
      <c r="B625" t="str">
        <f>IFERROR(__xludf.DUMMYFUNCTION("""COMPUTED_VALUE"""),"窗簾桿")</f>
        <v>窗簾桿</v>
      </c>
      <c r="C625" t="str">
        <f>IFERROR(__xludf.DUMMYFUNCTION("""COMPUTED_VALUE"""),"成本 - 進場前裝潢費")</f>
        <v>成本 - 進場前裝潢費</v>
      </c>
      <c r="D625" s="270">
        <f>IFERROR(__xludf.DUMMYFUNCTION("""COMPUTED_VALUE"""),-2300.0)</f>
        <v>-2300</v>
      </c>
      <c r="E625" t="str">
        <f>IFERROR(__xludf.DUMMYFUNCTION("""COMPUTED_VALUE"""),"Ben帳戶")</f>
        <v>Ben帳戶</v>
      </c>
      <c r="G625" t="str">
        <f>IFERROR(__xludf.DUMMYFUNCTION("""COMPUTED_VALUE"""),"南港站挑高宅")</f>
        <v>南港站挑高宅</v>
      </c>
      <c r="H625" s="106" t="str">
        <f t="shared" si="1"/>
        <v>2024-08</v>
      </c>
      <c r="I625" s="271" t="str">
        <f>IFERROR(__xludf.DUMMYFUNCTION("""COMPUTED_VALUE"""),"貓狗企鵝")</f>
        <v>貓狗企鵝</v>
      </c>
      <c r="J625" t="str">
        <f>IFERROR(__xludf.DUMMYFUNCTION("IFS(
  AND(REGEXMATCH(E625, ""台銀籌備帳戶|玉山帳戶""), REGEXMATCH(C625, ""薪資"")), ""分潤支出"",
  AND(REGEXMATCH(E625, ""Ben帳戶|Elsa帳戶|Ben代墊|Ariel代墊|中信銀行共用""), REGEXMATCH(F625, ""Ben帳戶|Elsa帳戶|Ben代墊|Ariel代墊|中信銀行共用"")), ""內部轉帳(忽略)"",
  AND(E625&lt;&gt;"""", F625&lt;&gt;"""", NOT(REG"&amp;"EXMATCH(C625, ""薪資""))), ""內部轉帳(忽略)"",
  REGEXMATCH(C625, ""薪資""), ""薪資變動(不計入)"",
  REGEXMATCH(C625, ""押金""), ""押金往來"",
  AND(E625&lt;&gt;"""", F625=""""), ""真實支出"",
  AND(E625="""", F625&lt;&gt;""""), ""真實收入"",
  TRUE, ""其他""
)"),"真實支出")</f>
        <v>真實支出</v>
      </c>
      <c r="K625" s="270">
        <f t="shared" si="2"/>
        <v>-2300</v>
      </c>
      <c r="L625">
        <f t="shared" si="3"/>
        <v>0</v>
      </c>
    </row>
    <row r="626">
      <c r="A626" s="107">
        <f>IFERROR(__xludf.DUMMYFUNCTION("""COMPUTED_VALUE"""),45506.0)</f>
        <v>45506</v>
      </c>
      <c r="B626">
        <f>IFERROR(__xludf.DUMMYFUNCTION("""COMPUTED_VALUE"""),591.0)</f>
        <v>591</v>
      </c>
      <c r="C626" t="str">
        <f>IFERROR(__xludf.DUMMYFUNCTION("""COMPUTED_VALUE"""),"成本 - 仲介費")</f>
        <v>成本 - 仲介費</v>
      </c>
      <c r="D626" s="270">
        <f>IFERROR(__xludf.DUMMYFUNCTION("""COMPUTED_VALUE"""),-1289.0)</f>
        <v>-1289</v>
      </c>
      <c r="E626" t="str">
        <f>IFERROR(__xludf.DUMMYFUNCTION("""COMPUTED_VALUE"""),"Ben帳戶")</f>
        <v>Ben帳戶</v>
      </c>
      <c r="G626" t="str">
        <f>IFERROR(__xludf.DUMMYFUNCTION("""COMPUTED_VALUE"""),"哈拉對面")</f>
        <v>哈拉對面</v>
      </c>
      <c r="H626" s="106" t="str">
        <f t="shared" si="1"/>
        <v>2024-08</v>
      </c>
      <c r="I626" s="271" t="str">
        <f>IFERROR(__xludf.DUMMYFUNCTION("""COMPUTED_VALUE"""),"貓狗企鵝")</f>
        <v>貓狗企鵝</v>
      </c>
      <c r="J626" t="str">
        <f>IFERROR(__xludf.DUMMYFUNCTION("IFS(
  AND(REGEXMATCH(E626, ""台銀籌備帳戶|玉山帳戶""), REGEXMATCH(C626, ""薪資"")), ""分潤支出"",
  AND(REGEXMATCH(E626, ""Ben帳戶|Elsa帳戶|Ben代墊|Ariel代墊|中信銀行共用""), REGEXMATCH(F626, ""Ben帳戶|Elsa帳戶|Ben代墊|Ariel代墊|中信銀行共用"")), ""內部轉帳(忽略)"",
  AND(E626&lt;&gt;"""", F626&lt;&gt;"""", NOT(REG"&amp;"EXMATCH(C626, ""薪資""))), ""內部轉帳(忽略)"",
  REGEXMATCH(C626, ""薪資""), ""薪資變動(不計入)"",
  REGEXMATCH(C626, ""押金""), ""押金往來"",
  AND(E626&lt;&gt;"""", F626=""""), ""真實支出"",
  AND(E626="""", F626&lt;&gt;""""), ""真實收入"",
  TRUE, ""其他""
)"),"真實支出")</f>
        <v>真實支出</v>
      </c>
      <c r="K626" s="270">
        <f t="shared" si="2"/>
        <v>-1289</v>
      </c>
      <c r="L626">
        <f t="shared" si="3"/>
        <v>0</v>
      </c>
    </row>
    <row r="627">
      <c r="A627" s="107">
        <f>IFERROR(__xludf.DUMMYFUNCTION("""COMPUTED_VALUE"""),45506.0)</f>
        <v>45506</v>
      </c>
      <c r="B627" t="str">
        <f>IFERROR(__xludf.DUMMYFUNCTION("""COMPUTED_VALUE"""),"龍江229D黃依婷")</f>
        <v>龍江229D黃依婷</v>
      </c>
      <c r="C627" t="str">
        <f>IFERROR(__xludf.DUMMYFUNCTION("""COMPUTED_VALUE"""),"收入 - 租金")</f>
        <v>收入 - 租金</v>
      </c>
      <c r="D627" s="270">
        <f>IFERROR(__xludf.DUMMYFUNCTION("""COMPUTED_VALUE"""),13300.0)</f>
        <v>13300</v>
      </c>
      <c r="F627" t="str">
        <f>IFERROR(__xludf.DUMMYFUNCTION("""COMPUTED_VALUE"""),"台銀籌備帳戶")</f>
        <v>台銀籌備帳戶</v>
      </c>
      <c r="G627" t="str">
        <f>IFERROR(__xludf.DUMMYFUNCTION("""COMPUTED_VALUE"""),"龍江229")</f>
        <v>龍江229</v>
      </c>
      <c r="H627" s="106" t="str">
        <f t="shared" si="1"/>
        <v>2024-08</v>
      </c>
      <c r="I627" s="271" t="str">
        <f>IFERROR(__xludf.DUMMYFUNCTION("""COMPUTED_VALUE"""),"貓狗企鵝")</f>
        <v>貓狗企鵝</v>
      </c>
      <c r="J627" t="str">
        <f>IFERROR(__xludf.DUMMYFUNCTION("IFS(
  AND(REGEXMATCH(E627, ""台銀籌備帳戶|玉山帳戶""), REGEXMATCH(C627, ""薪資"")), ""分潤支出"",
  AND(REGEXMATCH(E627, ""Ben帳戶|Elsa帳戶|Ben代墊|Ariel代墊|中信銀行共用""), REGEXMATCH(F627, ""Ben帳戶|Elsa帳戶|Ben代墊|Ariel代墊|中信銀行共用"")), ""內部轉帳(忽略)"",
  AND(E627&lt;&gt;"""", F627&lt;&gt;"""", NOT(REG"&amp;"EXMATCH(C627, ""薪資""))), ""內部轉帳(忽略)"",
  REGEXMATCH(C627, ""薪資""), ""薪資變動(不計入)"",
  REGEXMATCH(C627, ""押金""), ""押金往來"",
  AND(E627&lt;&gt;"""", F627=""""), ""真實支出"",
  AND(E627="""", F627&lt;&gt;""""), ""真實收入"",
  TRUE, ""其他""
)"),"真實收入")</f>
        <v>真實收入</v>
      </c>
      <c r="K627" s="270">
        <f t="shared" si="2"/>
        <v>13300</v>
      </c>
      <c r="L627">
        <f t="shared" si="3"/>
        <v>0</v>
      </c>
    </row>
    <row r="628">
      <c r="A628" s="107">
        <f>IFERROR(__xludf.DUMMYFUNCTION("""COMPUTED_VALUE"""),45506.0)</f>
        <v>45506</v>
      </c>
      <c r="B628" t="str">
        <f>IFERROR(__xludf.DUMMYFUNCTION("""COMPUTED_VALUE"""),"哈拉對面A李柏緯")</f>
        <v>哈拉對面A李柏緯</v>
      </c>
      <c r="C628" t="str">
        <f>IFERROR(__xludf.DUMMYFUNCTION("""COMPUTED_VALUE"""),"收入 - 租金")</f>
        <v>收入 - 租金</v>
      </c>
      <c r="D628" s="270">
        <f>IFERROR(__xludf.DUMMYFUNCTION("""COMPUTED_VALUE"""),11300.0)</f>
        <v>11300</v>
      </c>
      <c r="F628" t="str">
        <f>IFERROR(__xludf.DUMMYFUNCTION("""COMPUTED_VALUE"""),"台銀籌備帳戶")</f>
        <v>台銀籌備帳戶</v>
      </c>
      <c r="G628" t="str">
        <f>IFERROR(__xludf.DUMMYFUNCTION("""COMPUTED_VALUE"""),"哈拉對面")</f>
        <v>哈拉對面</v>
      </c>
      <c r="H628" s="106" t="str">
        <f t="shared" si="1"/>
        <v>2024-08</v>
      </c>
      <c r="I628" s="271" t="str">
        <f>IFERROR(__xludf.DUMMYFUNCTION("""COMPUTED_VALUE"""),"貓狗企鵝")</f>
        <v>貓狗企鵝</v>
      </c>
      <c r="J628" t="str">
        <f>IFERROR(__xludf.DUMMYFUNCTION("IFS(
  AND(REGEXMATCH(E628, ""台銀籌備帳戶|玉山帳戶""), REGEXMATCH(C628, ""薪資"")), ""分潤支出"",
  AND(REGEXMATCH(E628, ""Ben帳戶|Elsa帳戶|Ben代墊|Ariel代墊|中信銀行共用""), REGEXMATCH(F628, ""Ben帳戶|Elsa帳戶|Ben代墊|Ariel代墊|中信銀行共用"")), ""內部轉帳(忽略)"",
  AND(E628&lt;&gt;"""", F628&lt;&gt;"""", NOT(REG"&amp;"EXMATCH(C628, ""薪資""))), ""內部轉帳(忽略)"",
  REGEXMATCH(C628, ""薪資""), ""薪資變動(不計入)"",
  REGEXMATCH(C628, ""押金""), ""押金往來"",
  AND(E628&lt;&gt;"""", F628=""""), ""真實支出"",
  AND(E628="""", F628&lt;&gt;""""), ""真實收入"",
  TRUE, ""其他""
)"),"真實收入")</f>
        <v>真實收入</v>
      </c>
      <c r="K628" s="270">
        <f t="shared" si="2"/>
        <v>11300</v>
      </c>
      <c r="L628">
        <f t="shared" si="3"/>
        <v>0</v>
      </c>
    </row>
    <row r="629">
      <c r="A629" s="107">
        <f>IFERROR(__xludf.DUMMYFUNCTION("""COMPUTED_VALUE"""),45506.0)</f>
        <v>45506</v>
      </c>
      <c r="B629" t="str">
        <f>IFERROR(__xludf.DUMMYFUNCTION("""COMPUTED_VALUE"""),"大湖山莊G林文心")</f>
        <v>大湖山莊G林文心</v>
      </c>
      <c r="C629" t="str">
        <f>IFERROR(__xludf.DUMMYFUNCTION("""COMPUTED_VALUE"""),"收入 - 租金")</f>
        <v>收入 - 租金</v>
      </c>
      <c r="D629" s="270">
        <f>IFERROR(__xludf.DUMMYFUNCTION("""COMPUTED_VALUE"""),15000.0)</f>
        <v>15000</v>
      </c>
      <c r="F629" t="str">
        <f>IFERROR(__xludf.DUMMYFUNCTION("""COMPUTED_VALUE"""),"台銀籌備帳戶")</f>
        <v>台銀籌備帳戶</v>
      </c>
      <c r="G629" t="str">
        <f>IFERROR(__xludf.DUMMYFUNCTION("""COMPUTED_VALUE"""),"大湖山莊")</f>
        <v>大湖山莊</v>
      </c>
      <c r="H629" s="106" t="str">
        <f t="shared" si="1"/>
        <v>2024-08</v>
      </c>
      <c r="I629" s="271" t="str">
        <f>IFERROR(__xludf.DUMMYFUNCTION("""COMPUTED_VALUE"""),"貓狗企鵝")</f>
        <v>貓狗企鵝</v>
      </c>
      <c r="J629" t="str">
        <f>IFERROR(__xludf.DUMMYFUNCTION("IFS(
  AND(REGEXMATCH(E629, ""台銀籌備帳戶|玉山帳戶""), REGEXMATCH(C629, ""薪資"")), ""分潤支出"",
  AND(REGEXMATCH(E629, ""Ben帳戶|Elsa帳戶|Ben代墊|Ariel代墊|中信銀行共用""), REGEXMATCH(F629, ""Ben帳戶|Elsa帳戶|Ben代墊|Ariel代墊|中信銀行共用"")), ""內部轉帳(忽略)"",
  AND(E629&lt;&gt;"""", F629&lt;&gt;"""", NOT(REG"&amp;"EXMATCH(C629, ""薪資""))), ""內部轉帳(忽略)"",
  REGEXMATCH(C629, ""薪資""), ""薪資變動(不計入)"",
  REGEXMATCH(C629, ""押金""), ""押金往來"",
  AND(E629&lt;&gt;"""", F629=""""), ""真實支出"",
  AND(E629="""", F629&lt;&gt;""""), ""真實收入"",
  TRUE, ""其他""
)"),"真實收入")</f>
        <v>真實收入</v>
      </c>
      <c r="K629" s="270">
        <f t="shared" si="2"/>
        <v>15000</v>
      </c>
      <c r="L629">
        <f t="shared" si="3"/>
        <v>0</v>
      </c>
    </row>
    <row r="630">
      <c r="A630" s="107">
        <f>IFERROR(__xludf.DUMMYFUNCTION("""COMPUTED_VALUE"""),45507.0)</f>
        <v>45507</v>
      </c>
      <c r="B630" t="str">
        <f>IFERROR(__xludf.DUMMYFUNCTION("""COMPUTED_VALUE"""),"冷氣小翔大湖")</f>
        <v>冷氣小翔大湖</v>
      </c>
      <c r="C630" t="str">
        <f>IFERROR(__xludf.DUMMYFUNCTION("""COMPUTED_VALUE"""),"成本 - 租後修繕")</f>
        <v>成本 - 租後修繕</v>
      </c>
      <c r="D630" s="270">
        <f>IFERROR(__xludf.DUMMYFUNCTION("""COMPUTED_VALUE"""),-9465.0)</f>
        <v>-9465</v>
      </c>
      <c r="E630" t="str">
        <f>IFERROR(__xludf.DUMMYFUNCTION("""COMPUTED_VALUE"""),"台銀籌備帳戶")</f>
        <v>台銀籌備帳戶</v>
      </c>
      <c r="G630" t="str">
        <f>IFERROR(__xludf.DUMMYFUNCTION("""COMPUTED_VALUE"""),"大湖山莊")</f>
        <v>大湖山莊</v>
      </c>
      <c r="H630" s="106" t="str">
        <f t="shared" si="1"/>
        <v>2024-08</v>
      </c>
      <c r="I630" s="271" t="str">
        <f>IFERROR(__xludf.DUMMYFUNCTION("""COMPUTED_VALUE"""),"貓狗企鵝")</f>
        <v>貓狗企鵝</v>
      </c>
      <c r="J630" t="str">
        <f>IFERROR(__xludf.DUMMYFUNCTION("IFS(
  AND(REGEXMATCH(E630, ""台銀籌備帳戶|玉山帳戶""), REGEXMATCH(C630, ""薪資"")), ""分潤支出"",
  AND(REGEXMATCH(E630, ""Ben帳戶|Elsa帳戶|Ben代墊|Ariel代墊|中信銀行共用""), REGEXMATCH(F630, ""Ben帳戶|Elsa帳戶|Ben代墊|Ariel代墊|中信銀行共用"")), ""內部轉帳(忽略)"",
  AND(E630&lt;&gt;"""", F630&lt;&gt;"""", NOT(REG"&amp;"EXMATCH(C630, ""薪資""))), ""內部轉帳(忽略)"",
  REGEXMATCH(C630, ""薪資""), ""薪資變動(不計入)"",
  REGEXMATCH(C630, ""押金""), ""押金往來"",
  AND(E630&lt;&gt;"""", F630=""""), ""真實支出"",
  AND(E630="""", F630&lt;&gt;""""), ""真實收入"",
  TRUE, ""其他""
)"),"真實支出")</f>
        <v>真實支出</v>
      </c>
      <c r="K630" s="270">
        <f t="shared" si="2"/>
        <v>-9465</v>
      </c>
      <c r="L630">
        <f t="shared" si="3"/>
        <v>0</v>
      </c>
    </row>
    <row r="631">
      <c r="A631" s="107">
        <f>IFERROR(__xludf.DUMMYFUNCTION("""COMPUTED_VALUE"""),45507.0)</f>
        <v>45507</v>
      </c>
      <c r="B631" t="str">
        <f>IFERROR(__xludf.DUMMYFUNCTION("""COMPUTED_VALUE"""),"還笨蛋轉錯錢")</f>
        <v>還笨蛋轉錯錢</v>
      </c>
      <c r="C631" t="str">
        <f>IFERROR(__xludf.DUMMYFUNCTION("""COMPUTED_VALUE"""),"費用 - 匯費")</f>
        <v>費用 - 匯費</v>
      </c>
      <c r="D631" s="270">
        <f>IFERROR(__xludf.DUMMYFUNCTION("""COMPUTED_VALUE"""),-13515.0)</f>
        <v>-13515</v>
      </c>
      <c r="E631" t="str">
        <f>IFERROR(__xludf.DUMMYFUNCTION("""COMPUTED_VALUE"""),"台銀籌備帳戶")</f>
        <v>台銀籌備帳戶</v>
      </c>
      <c r="H631" s="106" t="str">
        <f t="shared" si="1"/>
        <v>2024-08</v>
      </c>
      <c r="I631" s="271" t="str">
        <f>IFERROR(__xludf.DUMMYFUNCTION("""COMPUTED_VALUE"""),"貓狗企鵝")</f>
        <v>貓狗企鵝</v>
      </c>
      <c r="J631" t="str">
        <f>IFERROR(__xludf.DUMMYFUNCTION("IFS(
  AND(REGEXMATCH(E631, ""台銀籌備帳戶|玉山帳戶""), REGEXMATCH(C631, ""薪資"")), ""分潤支出"",
  AND(REGEXMATCH(E631, ""Ben帳戶|Elsa帳戶|Ben代墊|Ariel代墊|中信銀行共用""), REGEXMATCH(F631, ""Ben帳戶|Elsa帳戶|Ben代墊|Ariel代墊|中信銀行共用"")), ""內部轉帳(忽略)"",
  AND(E631&lt;&gt;"""", F631&lt;&gt;"""", NOT(REG"&amp;"EXMATCH(C631, ""薪資""))), ""內部轉帳(忽略)"",
  REGEXMATCH(C631, ""薪資""), ""薪資變動(不計入)"",
  REGEXMATCH(C631, ""押金""), ""押金往來"",
  AND(E631&lt;&gt;"""", F631=""""), ""真實支出"",
  AND(E631="""", F631&lt;&gt;""""), ""真實收入"",
  TRUE, ""其他""
)"),"真實支出")</f>
        <v>真實支出</v>
      </c>
      <c r="K631" s="270">
        <f t="shared" si="2"/>
        <v>-13515</v>
      </c>
      <c r="L631">
        <f t="shared" si="3"/>
        <v>0</v>
      </c>
    </row>
    <row r="632">
      <c r="A632" s="107">
        <f>IFERROR(__xludf.DUMMYFUNCTION("""COMPUTED_VALUE"""),45507.0)</f>
        <v>45507</v>
      </c>
      <c r="B632" t="str">
        <f>IFERROR(__xludf.DUMMYFUNCTION("""COMPUTED_VALUE"""),"大湖山莊	A	熊翊丞")</f>
        <v>大湖山莊	A	熊翊丞</v>
      </c>
      <c r="C632" t="str">
        <f>IFERROR(__xludf.DUMMYFUNCTION("""COMPUTED_VALUE"""),"收入 - 租金")</f>
        <v>收入 - 租金</v>
      </c>
      <c r="D632" s="270">
        <f>IFERROR(__xludf.DUMMYFUNCTION("""COMPUTED_VALUE"""),13300.0)</f>
        <v>13300</v>
      </c>
      <c r="F632" t="str">
        <f>IFERROR(__xludf.DUMMYFUNCTION("""COMPUTED_VALUE"""),"台銀籌備帳戶")</f>
        <v>台銀籌備帳戶</v>
      </c>
      <c r="G632" t="str">
        <f>IFERROR(__xludf.DUMMYFUNCTION("""COMPUTED_VALUE"""),"大湖山莊")</f>
        <v>大湖山莊</v>
      </c>
      <c r="H632" s="106" t="str">
        <f t="shared" si="1"/>
        <v>2024-08</v>
      </c>
      <c r="I632" s="271" t="str">
        <f>IFERROR(__xludf.DUMMYFUNCTION("""COMPUTED_VALUE"""),"貓狗企鵝")</f>
        <v>貓狗企鵝</v>
      </c>
      <c r="J632" t="str">
        <f>IFERROR(__xludf.DUMMYFUNCTION("IFS(
  AND(REGEXMATCH(E632, ""台銀籌備帳戶|玉山帳戶""), REGEXMATCH(C632, ""薪資"")), ""分潤支出"",
  AND(REGEXMATCH(E632, ""Ben帳戶|Elsa帳戶|Ben代墊|Ariel代墊|中信銀行共用""), REGEXMATCH(F632, ""Ben帳戶|Elsa帳戶|Ben代墊|Ariel代墊|中信銀行共用"")), ""內部轉帳(忽略)"",
  AND(E632&lt;&gt;"""", F632&lt;&gt;"""", NOT(REG"&amp;"EXMATCH(C632, ""薪資""))), ""內部轉帳(忽略)"",
  REGEXMATCH(C632, ""薪資""), ""薪資變動(不計入)"",
  REGEXMATCH(C632, ""押金""), ""押金往來"",
  AND(E632&lt;&gt;"""", F632=""""), ""真實支出"",
  AND(E632="""", F632&lt;&gt;""""), ""真實收入"",
  TRUE, ""其他""
)"),"真實收入")</f>
        <v>真實收入</v>
      </c>
      <c r="K632" s="270">
        <f t="shared" si="2"/>
        <v>13300</v>
      </c>
      <c r="L632">
        <f t="shared" si="3"/>
        <v>0</v>
      </c>
    </row>
    <row r="633">
      <c r="A633" s="107">
        <f>IFERROR(__xludf.DUMMYFUNCTION("""COMPUTED_VALUE"""),45507.0)</f>
        <v>45507</v>
      </c>
      <c r="B633" t="str">
        <f>IFERROR(__xludf.DUMMYFUNCTION("""COMPUTED_VALUE"""),"永春四號	C	林聿妡")</f>
        <v>永春四號	C	林聿妡</v>
      </c>
      <c r="C633" t="str">
        <f>IFERROR(__xludf.DUMMYFUNCTION("""COMPUTED_VALUE"""),"收入 - 租金")</f>
        <v>收入 - 租金</v>
      </c>
      <c r="D633" s="270">
        <f>IFERROR(__xludf.DUMMYFUNCTION("""COMPUTED_VALUE"""),13300.0)</f>
        <v>13300</v>
      </c>
      <c r="F633" t="str">
        <f>IFERROR(__xludf.DUMMYFUNCTION("""COMPUTED_VALUE"""),"台銀籌備帳戶")</f>
        <v>台銀籌備帳戶</v>
      </c>
      <c r="G633" t="str">
        <f>IFERROR(__xludf.DUMMYFUNCTION("""COMPUTED_VALUE"""),"永春四號")</f>
        <v>永春四號</v>
      </c>
      <c r="H633" s="106" t="str">
        <f t="shared" si="1"/>
        <v>2024-08</v>
      </c>
      <c r="I633" s="271" t="str">
        <f>IFERROR(__xludf.DUMMYFUNCTION("""COMPUTED_VALUE"""),"貓狗企鵝")</f>
        <v>貓狗企鵝</v>
      </c>
      <c r="J633" t="str">
        <f>IFERROR(__xludf.DUMMYFUNCTION("IFS(
  AND(REGEXMATCH(E633, ""台銀籌備帳戶|玉山帳戶""), REGEXMATCH(C633, ""薪資"")), ""分潤支出"",
  AND(REGEXMATCH(E633, ""Ben帳戶|Elsa帳戶|Ben代墊|Ariel代墊|中信銀行共用""), REGEXMATCH(F633, ""Ben帳戶|Elsa帳戶|Ben代墊|Ariel代墊|中信銀行共用"")), ""內部轉帳(忽略)"",
  AND(E633&lt;&gt;"""", F633&lt;&gt;"""", NOT(REG"&amp;"EXMATCH(C633, ""薪資""))), ""內部轉帳(忽略)"",
  REGEXMATCH(C633, ""薪資""), ""薪資變動(不計入)"",
  REGEXMATCH(C633, ""押金""), ""押金往來"",
  AND(E633&lt;&gt;"""", F633=""""), ""真實支出"",
  AND(E633="""", F633&lt;&gt;""""), ""真實收入"",
  TRUE, ""其他""
)"),"真實收入")</f>
        <v>真實收入</v>
      </c>
      <c r="K633" s="270">
        <f t="shared" si="2"/>
        <v>13300</v>
      </c>
      <c r="L633">
        <f t="shared" si="3"/>
        <v>0</v>
      </c>
    </row>
    <row r="634">
      <c r="A634" s="107">
        <f>IFERROR(__xludf.DUMMYFUNCTION("""COMPUTED_VALUE"""),45509.0)</f>
        <v>45509</v>
      </c>
      <c r="B634" t="str">
        <f>IFERROR(__xludf.DUMMYFUNCTION("""COMPUTED_VALUE"""),"瓦斯桶+押金")</f>
        <v>瓦斯桶+押金</v>
      </c>
      <c r="C634" t="str">
        <f>IFERROR(__xludf.DUMMYFUNCTION("""COMPUTED_VALUE"""),"成本 - 進場前裝潢費")</f>
        <v>成本 - 進場前裝潢費</v>
      </c>
      <c r="D634" s="270">
        <f>IFERROR(__xludf.DUMMYFUNCTION("""COMPUTED_VALUE"""),-2299.0)</f>
        <v>-2299</v>
      </c>
      <c r="E634" t="str">
        <f>IFERROR(__xludf.DUMMYFUNCTION("""COMPUTED_VALUE"""),"Elsa帳戶")</f>
        <v>Elsa帳戶</v>
      </c>
      <c r="G634" t="str">
        <f>IFERROR(__xludf.DUMMYFUNCTION("""COMPUTED_VALUE"""),"南港站挑高宅")</f>
        <v>南港站挑高宅</v>
      </c>
      <c r="H634" s="106" t="str">
        <f t="shared" si="1"/>
        <v>2024-08</v>
      </c>
      <c r="I634" s="271" t="str">
        <f>IFERROR(__xludf.DUMMYFUNCTION("""COMPUTED_VALUE"""),"貓狗企鵝")</f>
        <v>貓狗企鵝</v>
      </c>
      <c r="J634" t="str">
        <f>IFERROR(__xludf.DUMMYFUNCTION("IFS(
  AND(REGEXMATCH(E634, ""台銀籌備帳戶|玉山帳戶""), REGEXMATCH(C634, ""薪資"")), ""分潤支出"",
  AND(REGEXMATCH(E634, ""Ben帳戶|Elsa帳戶|Ben代墊|Ariel代墊|中信銀行共用""), REGEXMATCH(F634, ""Ben帳戶|Elsa帳戶|Ben代墊|Ariel代墊|中信銀行共用"")), ""內部轉帳(忽略)"",
  AND(E634&lt;&gt;"""", F634&lt;&gt;"""", NOT(REG"&amp;"EXMATCH(C634, ""薪資""))), ""內部轉帳(忽略)"",
  REGEXMATCH(C634, ""薪資""), ""薪資變動(不計入)"",
  REGEXMATCH(C634, ""押金""), ""押金往來"",
  AND(E634&lt;&gt;"""", F634=""""), ""真實支出"",
  AND(E634="""", F634&lt;&gt;""""), ""真實收入"",
  TRUE, ""其他""
)"),"真實支出")</f>
        <v>真實支出</v>
      </c>
      <c r="K634" s="270">
        <f t="shared" si="2"/>
        <v>-2299</v>
      </c>
      <c r="L634">
        <f t="shared" si="3"/>
        <v>0</v>
      </c>
    </row>
    <row r="635">
      <c r="A635" s="107">
        <f>IFERROR(__xludf.DUMMYFUNCTION("""COMPUTED_VALUE"""),45511.0)</f>
        <v>45511</v>
      </c>
      <c r="B635" t="str">
        <f>IFERROR(__xludf.DUMMYFUNCTION("""COMPUTED_VALUE"""),"社會住宅領標")</f>
        <v>社會住宅領標</v>
      </c>
      <c r="C635" t="str">
        <f>IFERROR(__xludf.DUMMYFUNCTION("""COMPUTED_VALUE"""),"費用 - 稅金")</f>
        <v>費用 - 稅金</v>
      </c>
      <c r="D635" s="270">
        <f>IFERROR(__xludf.DUMMYFUNCTION("""COMPUTED_VALUE"""),-1150.0)</f>
        <v>-1150</v>
      </c>
      <c r="E635" t="str">
        <f>IFERROR(__xludf.DUMMYFUNCTION("""COMPUTED_VALUE"""),"Ben帳戶")</f>
        <v>Ben帳戶</v>
      </c>
      <c r="H635" s="106" t="str">
        <f t="shared" si="1"/>
        <v>2024-08</v>
      </c>
      <c r="I635" s="271" t="str">
        <f>IFERROR(__xludf.DUMMYFUNCTION("""COMPUTED_VALUE"""),"貓狗企鵝")</f>
        <v>貓狗企鵝</v>
      </c>
      <c r="J635" t="str">
        <f>IFERROR(__xludf.DUMMYFUNCTION("IFS(
  AND(REGEXMATCH(E635, ""台銀籌備帳戶|玉山帳戶""), REGEXMATCH(C635, ""薪資"")), ""分潤支出"",
  AND(REGEXMATCH(E635, ""Ben帳戶|Elsa帳戶|Ben代墊|Ariel代墊|中信銀行共用""), REGEXMATCH(F635, ""Ben帳戶|Elsa帳戶|Ben代墊|Ariel代墊|中信銀行共用"")), ""內部轉帳(忽略)"",
  AND(E635&lt;&gt;"""", F635&lt;&gt;"""", NOT(REG"&amp;"EXMATCH(C635, ""薪資""))), ""內部轉帳(忽略)"",
  REGEXMATCH(C635, ""薪資""), ""薪資變動(不計入)"",
  REGEXMATCH(C635, ""押金""), ""押金往來"",
  AND(E635&lt;&gt;"""", F635=""""), ""真實支出"",
  AND(E635="""", F635&lt;&gt;""""), ""真實收入"",
  TRUE, ""其他""
)"),"真實支出")</f>
        <v>真實支出</v>
      </c>
      <c r="K635" s="270">
        <f t="shared" si="2"/>
        <v>-1150</v>
      </c>
      <c r="L635">
        <f t="shared" si="3"/>
        <v>0</v>
      </c>
    </row>
    <row r="636">
      <c r="A636" s="107">
        <f>IFERROR(__xludf.DUMMYFUNCTION("""COMPUTED_VALUE"""),45511.0)</f>
        <v>45511</v>
      </c>
      <c r="B636" t="str">
        <f>IFERROR(__xludf.DUMMYFUNCTION("""COMPUTED_VALUE"""),"地址變更規費")</f>
        <v>地址變更規費</v>
      </c>
      <c r="C636" t="str">
        <f>IFERROR(__xludf.DUMMYFUNCTION("""COMPUTED_VALUE"""),"費用 - 稅金")</f>
        <v>費用 - 稅金</v>
      </c>
      <c r="D636" s="270">
        <f>IFERROR(__xludf.DUMMYFUNCTION("""COMPUTED_VALUE"""),-800.0)</f>
        <v>-800</v>
      </c>
      <c r="E636" t="str">
        <f>IFERROR(__xludf.DUMMYFUNCTION("""COMPUTED_VALUE"""),"Ben帳戶")</f>
        <v>Ben帳戶</v>
      </c>
      <c r="H636" s="106" t="str">
        <f t="shared" si="1"/>
        <v>2024-08</v>
      </c>
      <c r="I636" s="271" t="str">
        <f>IFERROR(__xludf.DUMMYFUNCTION("""COMPUTED_VALUE"""),"貓狗企鵝")</f>
        <v>貓狗企鵝</v>
      </c>
      <c r="J636" t="str">
        <f>IFERROR(__xludf.DUMMYFUNCTION("IFS(
  AND(REGEXMATCH(E636, ""台銀籌備帳戶|玉山帳戶""), REGEXMATCH(C636, ""薪資"")), ""分潤支出"",
  AND(REGEXMATCH(E636, ""Ben帳戶|Elsa帳戶|Ben代墊|Ariel代墊|中信銀行共用""), REGEXMATCH(F636, ""Ben帳戶|Elsa帳戶|Ben代墊|Ariel代墊|中信銀行共用"")), ""內部轉帳(忽略)"",
  AND(E636&lt;&gt;"""", F636&lt;&gt;"""", NOT(REG"&amp;"EXMATCH(C636, ""薪資""))), ""內部轉帳(忽略)"",
  REGEXMATCH(C636, ""薪資""), ""薪資變動(不計入)"",
  REGEXMATCH(C636, ""押金""), ""押金往來"",
  AND(E636&lt;&gt;"""", F636=""""), ""真實支出"",
  AND(E636="""", F636&lt;&gt;""""), ""真實收入"",
  TRUE, ""其他""
)"),"真實支出")</f>
        <v>真實支出</v>
      </c>
      <c r="K636" s="270">
        <f t="shared" si="2"/>
        <v>-800</v>
      </c>
      <c r="L636">
        <f t="shared" si="3"/>
        <v>0</v>
      </c>
    </row>
    <row r="637">
      <c r="A637" s="107">
        <f>IFERROR(__xludf.DUMMYFUNCTION("""COMPUTED_VALUE"""),45511.0)</f>
        <v>45511</v>
      </c>
      <c r="B637" t="str">
        <f>IFERROR(__xludf.DUMMYFUNCTION("""COMPUTED_VALUE"""),"拉拉木送窗簾桿")</f>
        <v>拉拉木送窗簾桿</v>
      </c>
      <c r="C637" t="str">
        <f>IFERROR(__xludf.DUMMYFUNCTION("""COMPUTED_VALUE"""),"成本 - 進場前裝潢費")</f>
        <v>成本 - 進場前裝潢費</v>
      </c>
      <c r="D637" s="270">
        <f>IFERROR(__xludf.DUMMYFUNCTION("""COMPUTED_VALUE"""),-132.0)</f>
        <v>-132</v>
      </c>
      <c r="E637" t="str">
        <f>IFERROR(__xludf.DUMMYFUNCTION("""COMPUTED_VALUE"""),"Elsa帳戶")</f>
        <v>Elsa帳戶</v>
      </c>
      <c r="G637" t="str">
        <f>IFERROR(__xludf.DUMMYFUNCTION("""COMPUTED_VALUE"""),"南港站挑高宅")</f>
        <v>南港站挑高宅</v>
      </c>
      <c r="H637" s="106" t="str">
        <f t="shared" si="1"/>
        <v>2024-08</v>
      </c>
      <c r="I637" s="271" t="str">
        <f>IFERROR(__xludf.DUMMYFUNCTION("""COMPUTED_VALUE"""),"貓狗企鵝")</f>
        <v>貓狗企鵝</v>
      </c>
      <c r="J637" t="str">
        <f>IFERROR(__xludf.DUMMYFUNCTION("IFS(
  AND(REGEXMATCH(E637, ""台銀籌備帳戶|玉山帳戶""), REGEXMATCH(C637, ""薪資"")), ""分潤支出"",
  AND(REGEXMATCH(E637, ""Ben帳戶|Elsa帳戶|Ben代墊|Ariel代墊|中信銀行共用""), REGEXMATCH(F637, ""Ben帳戶|Elsa帳戶|Ben代墊|Ariel代墊|中信銀行共用"")), ""內部轉帳(忽略)"",
  AND(E637&lt;&gt;"""", F637&lt;&gt;"""", NOT(REG"&amp;"EXMATCH(C637, ""薪資""))), ""內部轉帳(忽略)"",
  REGEXMATCH(C637, ""薪資""), ""薪資變動(不計入)"",
  REGEXMATCH(C637, ""押金""), ""押金往來"",
  AND(E637&lt;&gt;"""", F637=""""), ""真實支出"",
  AND(E637="""", F637&lt;&gt;""""), ""真實收入"",
  TRUE, ""其他""
)"),"真實支出")</f>
        <v>真實支出</v>
      </c>
      <c r="K637" s="270">
        <f t="shared" si="2"/>
        <v>-132</v>
      </c>
      <c r="L637">
        <f t="shared" si="3"/>
        <v>0</v>
      </c>
    </row>
    <row r="638">
      <c r="A638" s="107">
        <f>IFERROR(__xludf.DUMMYFUNCTION("""COMPUTED_VALUE"""),45512.0)</f>
        <v>45512</v>
      </c>
      <c r="B638" t="str">
        <f>IFERROR(__xludf.DUMMYFUNCTION("""COMPUTED_VALUE"""),"Ikea交通費")</f>
        <v>Ikea交通費</v>
      </c>
      <c r="C638" t="str">
        <f>IFERROR(__xludf.DUMMYFUNCTION("""COMPUTED_VALUE"""),"成本 - 進場前裝潢費")</f>
        <v>成本 - 進場前裝潢費</v>
      </c>
      <c r="D638" s="270">
        <f>IFERROR(__xludf.DUMMYFUNCTION("""COMPUTED_VALUE"""),-500.0)</f>
        <v>-500</v>
      </c>
      <c r="E638" t="str">
        <f>IFERROR(__xludf.DUMMYFUNCTION("""COMPUTED_VALUE"""),"Ben帳戶")</f>
        <v>Ben帳戶</v>
      </c>
      <c r="G638" t="str">
        <f>IFERROR(__xludf.DUMMYFUNCTION("""COMPUTED_VALUE"""),"南港站挑高宅")</f>
        <v>南港站挑高宅</v>
      </c>
      <c r="H638" s="106" t="str">
        <f t="shared" si="1"/>
        <v>2024-08</v>
      </c>
      <c r="I638" s="271" t="str">
        <f>IFERROR(__xludf.DUMMYFUNCTION("""COMPUTED_VALUE"""),"貓狗企鵝")</f>
        <v>貓狗企鵝</v>
      </c>
      <c r="J638" t="str">
        <f>IFERROR(__xludf.DUMMYFUNCTION("IFS(
  AND(REGEXMATCH(E638, ""台銀籌備帳戶|玉山帳戶""), REGEXMATCH(C638, ""薪資"")), ""分潤支出"",
  AND(REGEXMATCH(E638, ""Ben帳戶|Elsa帳戶|Ben代墊|Ariel代墊|中信銀行共用""), REGEXMATCH(F638, ""Ben帳戶|Elsa帳戶|Ben代墊|Ariel代墊|中信銀行共用"")), ""內部轉帳(忽略)"",
  AND(E638&lt;&gt;"""", F638&lt;&gt;"""", NOT(REG"&amp;"EXMATCH(C638, ""薪資""))), ""內部轉帳(忽略)"",
  REGEXMATCH(C638, ""薪資""), ""薪資變動(不計入)"",
  REGEXMATCH(C638, ""押金""), ""押金往來"",
  AND(E638&lt;&gt;"""", F638=""""), ""真實支出"",
  AND(E638="""", F638&lt;&gt;""""), ""真實收入"",
  TRUE, ""其他""
)"),"真實支出")</f>
        <v>真實支出</v>
      </c>
      <c r="K638" s="270">
        <f t="shared" si="2"/>
        <v>-500</v>
      </c>
      <c r="L638">
        <f t="shared" si="3"/>
        <v>0</v>
      </c>
    </row>
    <row r="639">
      <c r="A639" s="107">
        <f>IFERROR(__xludf.DUMMYFUNCTION("""COMPUTED_VALUE"""),45512.0)</f>
        <v>45512</v>
      </c>
      <c r="B639" t="str">
        <f>IFERROR(__xludf.DUMMYFUNCTION("""COMPUTED_VALUE"""),"Astra網站佈景")</f>
        <v>Astra網站佈景</v>
      </c>
      <c r="C639" t="str">
        <f>IFERROR(__xludf.DUMMYFUNCTION("""COMPUTED_VALUE"""),"費用 - 辦公用品")</f>
        <v>費用 - 辦公用品</v>
      </c>
      <c r="D639" s="270">
        <f>IFERROR(__xludf.DUMMYFUNCTION("""COMPUTED_VALUE"""),-2500.0)</f>
        <v>-2500</v>
      </c>
      <c r="E639" t="str">
        <f>IFERROR(__xludf.DUMMYFUNCTION("""COMPUTED_VALUE"""),"Ben帳戶")</f>
        <v>Ben帳戶</v>
      </c>
      <c r="H639" s="106" t="str">
        <f t="shared" si="1"/>
        <v>2024-08</v>
      </c>
      <c r="I639" s="271" t="str">
        <f>IFERROR(__xludf.DUMMYFUNCTION("""COMPUTED_VALUE"""),"貓狗企鵝")</f>
        <v>貓狗企鵝</v>
      </c>
      <c r="J639" t="str">
        <f>IFERROR(__xludf.DUMMYFUNCTION("IFS(
  AND(REGEXMATCH(E639, ""台銀籌備帳戶|玉山帳戶""), REGEXMATCH(C639, ""薪資"")), ""分潤支出"",
  AND(REGEXMATCH(E639, ""Ben帳戶|Elsa帳戶|Ben代墊|Ariel代墊|中信銀行共用""), REGEXMATCH(F639, ""Ben帳戶|Elsa帳戶|Ben代墊|Ariel代墊|中信銀行共用"")), ""內部轉帳(忽略)"",
  AND(E639&lt;&gt;"""", F639&lt;&gt;"""", NOT(REG"&amp;"EXMATCH(C639, ""薪資""))), ""內部轉帳(忽略)"",
  REGEXMATCH(C639, ""薪資""), ""薪資變動(不計入)"",
  REGEXMATCH(C639, ""押金""), ""押金往來"",
  AND(E639&lt;&gt;"""", F639=""""), ""真實支出"",
  AND(E639="""", F639&lt;&gt;""""), ""真實收入"",
  TRUE, ""其他""
)"),"真實支出")</f>
        <v>真實支出</v>
      </c>
      <c r="K639" s="270">
        <f t="shared" si="2"/>
        <v>-2500</v>
      </c>
      <c r="L639">
        <f t="shared" si="3"/>
        <v>0</v>
      </c>
    </row>
    <row r="640">
      <c r="A640" s="107">
        <f>IFERROR(__xludf.DUMMYFUNCTION("""COMPUTED_VALUE"""),45512.0)</f>
        <v>45512</v>
      </c>
      <c r="B640" t="str">
        <f>IFERROR(__xludf.DUMMYFUNCTION("""COMPUTED_VALUE"""),"Momo吸塵器")</f>
        <v>Momo吸塵器</v>
      </c>
      <c r="C640" t="str">
        <f>IFERROR(__xludf.DUMMYFUNCTION("""COMPUTED_VALUE"""),"成本 - 進場前裝潢費")</f>
        <v>成本 - 進場前裝潢費</v>
      </c>
      <c r="D640" s="270">
        <f>IFERROR(__xludf.DUMMYFUNCTION("""COMPUTED_VALUE"""),-1380.0)</f>
        <v>-1380</v>
      </c>
      <c r="E640" t="str">
        <f>IFERROR(__xludf.DUMMYFUNCTION("""COMPUTED_VALUE"""),"Elsa帳戶")</f>
        <v>Elsa帳戶</v>
      </c>
      <c r="G640" t="str">
        <f>IFERROR(__xludf.DUMMYFUNCTION("""COMPUTED_VALUE"""),"南港站挑高宅")</f>
        <v>南港站挑高宅</v>
      </c>
      <c r="H640" s="106" t="str">
        <f t="shared" si="1"/>
        <v>2024-08</v>
      </c>
      <c r="I640" s="271" t="str">
        <f>IFERROR(__xludf.DUMMYFUNCTION("""COMPUTED_VALUE"""),"貓狗企鵝")</f>
        <v>貓狗企鵝</v>
      </c>
      <c r="J640" t="str">
        <f>IFERROR(__xludf.DUMMYFUNCTION("IFS(
  AND(REGEXMATCH(E640, ""台銀籌備帳戶|玉山帳戶""), REGEXMATCH(C640, ""薪資"")), ""分潤支出"",
  AND(REGEXMATCH(E640, ""Ben帳戶|Elsa帳戶|Ben代墊|Ariel代墊|中信銀行共用""), REGEXMATCH(F640, ""Ben帳戶|Elsa帳戶|Ben代墊|Ariel代墊|中信銀行共用"")), ""內部轉帳(忽略)"",
  AND(E640&lt;&gt;"""", F640&lt;&gt;"""", NOT(REG"&amp;"EXMATCH(C640, ""薪資""))), ""內部轉帳(忽略)"",
  REGEXMATCH(C640, ""薪資""), ""薪資變動(不計入)"",
  REGEXMATCH(C640, ""押金""), ""押金往來"",
  AND(E640&lt;&gt;"""", F640=""""), ""真實支出"",
  AND(E640="""", F640&lt;&gt;""""), ""真實收入"",
  TRUE, ""其他""
)"),"真實支出")</f>
        <v>真實支出</v>
      </c>
      <c r="K640" s="270">
        <f t="shared" si="2"/>
        <v>-1380</v>
      </c>
      <c r="L640">
        <f t="shared" si="3"/>
        <v>0</v>
      </c>
    </row>
    <row r="641">
      <c r="A641" s="107">
        <f>IFERROR(__xludf.DUMMYFUNCTION("""COMPUTED_VALUE"""),45512.0)</f>
        <v>45512</v>
      </c>
      <c r="B641" t="str">
        <f>IFERROR(__xludf.DUMMYFUNCTION("""COMPUTED_VALUE"""),"永春系統櫃")</f>
        <v>永春系統櫃</v>
      </c>
      <c r="C641" t="str">
        <f>IFERROR(__xludf.DUMMYFUNCTION("""COMPUTED_VALUE"""),"成本 - 租後修繕")</f>
        <v>成本 - 租後修繕</v>
      </c>
      <c r="D641" s="270">
        <f>IFERROR(__xludf.DUMMYFUNCTION("""COMPUTED_VALUE"""),-8415.0)</f>
        <v>-8415</v>
      </c>
      <c r="E641" t="str">
        <f>IFERROR(__xludf.DUMMYFUNCTION("""COMPUTED_VALUE"""),"台銀籌備帳戶")</f>
        <v>台銀籌備帳戶</v>
      </c>
      <c r="G641" t="str">
        <f>IFERROR(__xludf.DUMMYFUNCTION("""COMPUTED_VALUE"""),"永春四號")</f>
        <v>永春四號</v>
      </c>
      <c r="H641" s="106" t="str">
        <f t="shared" si="1"/>
        <v>2024-08</v>
      </c>
      <c r="I641" s="271" t="str">
        <f>IFERROR(__xludf.DUMMYFUNCTION("""COMPUTED_VALUE"""),"貓狗企鵝")</f>
        <v>貓狗企鵝</v>
      </c>
      <c r="J641" t="str">
        <f>IFERROR(__xludf.DUMMYFUNCTION("IFS(
  AND(REGEXMATCH(E641, ""台銀籌備帳戶|玉山帳戶""), REGEXMATCH(C641, ""薪資"")), ""分潤支出"",
  AND(REGEXMATCH(E641, ""Ben帳戶|Elsa帳戶|Ben代墊|Ariel代墊|中信銀行共用""), REGEXMATCH(F641, ""Ben帳戶|Elsa帳戶|Ben代墊|Ariel代墊|中信銀行共用"")), ""內部轉帳(忽略)"",
  AND(E641&lt;&gt;"""", F641&lt;&gt;"""", NOT(REG"&amp;"EXMATCH(C641, ""薪資""))), ""內部轉帳(忽略)"",
  REGEXMATCH(C641, ""薪資""), ""薪資變動(不計入)"",
  REGEXMATCH(C641, ""押金""), ""押金往來"",
  AND(E641&lt;&gt;"""", F641=""""), ""真實支出"",
  AND(E641="""", F641&lt;&gt;""""), ""真實收入"",
  TRUE, ""其他""
)"),"真實支出")</f>
        <v>真實支出</v>
      </c>
      <c r="K641" s="270">
        <f t="shared" si="2"/>
        <v>-8415</v>
      </c>
      <c r="L641">
        <f t="shared" si="3"/>
        <v>0</v>
      </c>
    </row>
    <row r="642">
      <c r="A642" s="107">
        <f>IFERROR(__xludf.DUMMYFUNCTION("""COMPUTED_VALUE"""),45514.0)</f>
        <v>45514</v>
      </c>
      <c r="B642" t="str">
        <f>IFERROR(__xludf.DUMMYFUNCTION("""COMPUTED_VALUE"""),"哈拉套房-小芳/昆霖 押金")</f>
        <v>哈拉套房-小芳/昆霖 押金</v>
      </c>
      <c r="C642" t="str">
        <f>IFERROR(__xludf.DUMMYFUNCTION("""COMPUTED_VALUE"""),"收入 - 租金")</f>
        <v>收入 - 租金</v>
      </c>
      <c r="D642" s="270">
        <f>IFERROR(__xludf.DUMMYFUNCTION("""COMPUTED_VALUE"""),-28806.0)</f>
        <v>-28806</v>
      </c>
      <c r="E642" t="str">
        <f>IFERROR(__xludf.DUMMYFUNCTION("""COMPUTED_VALUE"""),"Elsa帳戶")</f>
        <v>Elsa帳戶</v>
      </c>
      <c r="G642" t="str">
        <f>IFERROR(__xludf.DUMMYFUNCTION("""COMPUTED_VALUE"""),"哈拉對面")</f>
        <v>哈拉對面</v>
      </c>
      <c r="H642" s="106" t="str">
        <f t="shared" si="1"/>
        <v>2024-08</v>
      </c>
      <c r="I642" s="271" t="str">
        <f>IFERROR(__xludf.DUMMYFUNCTION("""COMPUTED_VALUE"""),"貓狗企鵝")</f>
        <v>貓狗企鵝</v>
      </c>
      <c r="J642" t="str">
        <f>IFERROR(__xludf.DUMMYFUNCTION("IFS(
  AND(REGEXMATCH(E642, ""台銀籌備帳戶|玉山帳戶""), REGEXMATCH(C642, ""薪資"")), ""分潤支出"",
  AND(REGEXMATCH(E642, ""Ben帳戶|Elsa帳戶|Ben代墊|Ariel代墊|中信銀行共用""), REGEXMATCH(F642, ""Ben帳戶|Elsa帳戶|Ben代墊|Ariel代墊|中信銀行共用"")), ""內部轉帳(忽略)"",
  AND(E642&lt;&gt;"""", F642&lt;&gt;"""", NOT(REG"&amp;"EXMATCH(C642, ""薪資""))), ""內部轉帳(忽略)"",
  REGEXMATCH(C642, ""薪資""), ""薪資變動(不計入)"",
  REGEXMATCH(C642, ""押金""), ""押金往來"",
  AND(E642&lt;&gt;"""", F642=""""), ""真實支出"",
  AND(E642="""", F642&lt;&gt;""""), ""真實收入"",
  TRUE, ""其他""
)"),"真實支出")</f>
        <v>真實支出</v>
      </c>
      <c r="K642" s="270">
        <f t="shared" si="2"/>
        <v>-28806</v>
      </c>
      <c r="L642">
        <f t="shared" si="3"/>
        <v>0</v>
      </c>
    </row>
    <row r="643">
      <c r="A643" s="107">
        <f>IFERROR(__xludf.DUMMYFUNCTION("""COMPUTED_VALUE"""),45519.0)</f>
        <v>45519</v>
      </c>
      <c r="B643" t="str">
        <f>IFERROR(__xludf.DUMMYFUNCTION("""COMPUTED_VALUE"""),"寶琳清潔")</f>
        <v>寶琳清潔</v>
      </c>
      <c r="C643" t="str">
        <f>IFERROR(__xludf.DUMMYFUNCTION("""COMPUTED_VALUE"""),"成本 - 固定開銷(網路代收清潔)")</f>
        <v>成本 - 固定開銷(網路代收清潔)</v>
      </c>
      <c r="D643" s="270">
        <f>IFERROR(__xludf.DUMMYFUNCTION("""COMPUTED_VALUE"""),-1050.0)</f>
        <v>-1050</v>
      </c>
      <c r="E643" t="str">
        <f>IFERROR(__xludf.DUMMYFUNCTION("""COMPUTED_VALUE"""),"Elsa帳戶")</f>
        <v>Elsa帳戶</v>
      </c>
      <c r="G643" t="str">
        <f>IFERROR(__xludf.DUMMYFUNCTION("""COMPUTED_VALUE"""),"大湖山莊")</f>
        <v>大湖山莊</v>
      </c>
      <c r="H643" s="106" t="str">
        <f t="shared" si="1"/>
        <v>2024-08</v>
      </c>
      <c r="I643" s="271" t="str">
        <f>IFERROR(__xludf.DUMMYFUNCTION("""COMPUTED_VALUE"""),"貓狗企鵝")</f>
        <v>貓狗企鵝</v>
      </c>
      <c r="J643" t="str">
        <f>IFERROR(__xludf.DUMMYFUNCTION("IFS(
  AND(REGEXMATCH(E643, ""台銀籌備帳戶|玉山帳戶""), REGEXMATCH(C643, ""薪資"")), ""分潤支出"",
  AND(REGEXMATCH(E643, ""Ben帳戶|Elsa帳戶|Ben代墊|Ariel代墊|中信銀行共用""), REGEXMATCH(F643, ""Ben帳戶|Elsa帳戶|Ben代墊|Ariel代墊|中信銀行共用"")), ""內部轉帳(忽略)"",
  AND(E643&lt;&gt;"""", F643&lt;&gt;"""", NOT(REG"&amp;"EXMATCH(C643, ""薪資""))), ""內部轉帳(忽略)"",
  REGEXMATCH(C643, ""薪資""), ""薪資變動(不計入)"",
  REGEXMATCH(C643, ""押金""), ""押金往來"",
  AND(E643&lt;&gt;"""", F643=""""), ""真實支出"",
  AND(E643="""", F643&lt;&gt;""""), ""真實收入"",
  TRUE, ""其他""
)"),"真實支出")</f>
        <v>真實支出</v>
      </c>
      <c r="K643" s="270">
        <f t="shared" si="2"/>
        <v>-1050</v>
      </c>
      <c r="L643">
        <f t="shared" si="3"/>
        <v>0</v>
      </c>
    </row>
    <row r="644">
      <c r="A644" s="107">
        <f>IFERROR(__xludf.DUMMYFUNCTION("""COMPUTED_VALUE"""),45521.0)</f>
        <v>45521</v>
      </c>
      <c r="B644" t="str">
        <f>IFERROR(__xludf.DUMMYFUNCTION("""COMPUTED_VALUE"""),"哈拉室友帶看感謝金")</f>
        <v>哈拉室友帶看感謝金</v>
      </c>
      <c r="C644" t="str">
        <f>IFERROR(__xludf.DUMMYFUNCTION("""COMPUTED_VALUE"""),"費用 - 交通費")</f>
        <v>費用 - 交通費</v>
      </c>
      <c r="D644" s="270">
        <f>IFERROR(__xludf.DUMMYFUNCTION("""COMPUTED_VALUE"""),-1000.0)</f>
        <v>-1000</v>
      </c>
      <c r="E644" t="str">
        <f>IFERROR(__xludf.DUMMYFUNCTION("""COMPUTED_VALUE"""),"Ben帳戶")</f>
        <v>Ben帳戶</v>
      </c>
      <c r="G644" t="str">
        <f>IFERROR(__xludf.DUMMYFUNCTION("""COMPUTED_VALUE"""),"哈拉對面")</f>
        <v>哈拉對面</v>
      </c>
      <c r="H644" s="106" t="str">
        <f t="shared" si="1"/>
        <v>2024-08</v>
      </c>
      <c r="I644" s="271" t="str">
        <f>IFERROR(__xludf.DUMMYFUNCTION("""COMPUTED_VALUE"""),"貓狗企鵝")</f>
        <v>貓狗企鵝</v>
      </c>
      <c r="J644" t="str">
        <f>IFERROR(__xludf.DUMMYFUNCTION("IFS(
  AND(REGEXMATCH(E644, ""台銀籌備帳戶|玉山帳戶""), REGEXMATCH(C644, ""薪資"")), ""分潤支出"",
  AND(REGEXMATCH(E644, ""Ben帳戶|Elsa帳戶|Ben代墊|Ariel代墊|中信銀行共用""), REGEXMATCH(F644, ""Ben帳戶|Elsa帳戶|Ben代墊|Ariel代墊|中信銀行共用"")), ""內部轉帳(忽略)"",
  AND(E644&lt;&gt;"""", F644&lt;&gt;"""", NOT(REG"&amp;"EXMATCH(C644, ""薪資""))), ""內部轉帳(忽略)"",
  REGEXMATCH(C644, ""薪資""), ""薪資變動(不計入)"",
  REGEXMATCH(C644, ""押金""), ""押金往來"",
  AND(E644&lt;&gt;"""", F644=""""), ""真實支出"",
  AND(E644="""", F644&lt;&gt;""""), ""真實收入"",
  TRUE, ""其他""
)"),"真實支出")</f>
        <v>真實支出</v>
      </c>
      <c r="K644" s="270">
        <f t="shared" si="2"/>
        <v>-1000</v>
      </c>
      <c r="L644">
        <f t="shared" si="3"/>
        <v>0</v>
      </c>
    </row>
    <row r="645">
      <c r="A645" s="107">
        <f>IFERROR(__xludf.DUMMYFUNCTION("""COMPUTED_VALUE"""),45521.0)</f>
        <v>45521</v>
      </c>
      <c r="B645" t="str">
        <f>IFERROR(__xludf.DUMMYFUNCTION("""COMPUTED_VALUE"""),"哈拉對面B黃彥瑞")</f>
        <v>哈拉對面B黃彥瑞</v>
      </c>
      <c r="C645" t="str">
        <f>IFERROR(__xludf.DUMMYFUNCTION("""COMPUTED_VALUE"""),"收入 - 租金")</f>
        <v>收入 - 租金</v>
      </c>
      <c r="D645" s="270">
        <f>IFERROR(__xludf.DUMMYFUNCTION("""COMPUTED_VALUE"""),10000.0)</f>
        <v>10000</v>
      </c>
      <c r="F645" t="str">
        <f>IFERROR(__xludf.DUMMYFUNCTION("""COMPUTED_VALUE"""),"台銀籌備帳戶")</f>
        <v>台銀籌備帳戶</v>
      </c>
      <c r="G645" t="str">
        <f>IFERROR(__xludf.DUMMYFUNCTION("""COMPUTED_VALUE"""),"哈拉對面")</f>
        <v>哈拉對面</v>
      </c>
      <c r="H645" s="106" t="str">
        <f t="shared" si="1"/>
        <v>2024-08</v>
      </c>
      <c r="I645" s="271" t="str">
        <f>IFERROR(__xludf.DUMMYFUNCTION("""COMPUTED_VALUE"""),"貓狗企鵝")</f>
        <v>貓狗企鵝</v>
      </c>
      <c r="J645" t="str">
        <f>IFERROR(__xludf.DUMMYFUNCTION("IFS(
  AND(REGEXMATCH(E645, ""台銀籌備帳戶|玉山帳戶""), REGEXMATCH(C645, ""薪資"")), ""分潤支出"",
  AND(REGEXMATCH(E645, ""Ben帳戶|Elsa帳戶|Ben代墊|Ariel代墊|中信銀行共用""), REGEXMATCH(F645, ""Ben帳戶|Elsa帳戶|Ben代墊|Ariel代墊|中信銀行共用"")), ""內部轉帳(忽略)"",
  AND(E645&lt;&gt;"""", F645&lt;&gt;"""", NOT(REG"&amp;"EXMATCH(C645, ""薪資""))), ""內部轉帳(忽略)"",
  REGEXMATCH(C645, ""薪資""), ""薪資變動(不計入)"",
  REGEXMATCH(C645, ""押金""), ""押金往來"",
  AND(E645&lt;&gt;"""", F645=""""), ""真實支出"",
  AND(E645="""", F645&lt;&gt;""""), ""真實收入"",
  TRUE, ""其他""
)"),"真實收入")</f>
        <v>真實收入</v>
      </c>
      <c r="K645" s="270">
        <f t="shared" si="2"/>
        <v>10000</v>
      </c>
      <c r="L645">
        <f t="shared" si="3"/>
        <v>0</v>
      </c>
    </row>
    <row r="646">
      <c r="A646" s="107">
        <f>IFERROR(__xludf.DUMMYFUNCTION("""COMPUTED_VALUE"""),45523.0)</f>
        <v>45523</v>
      </c>
      <c r="B646" t="str">
        <f>IFERROR(__xludf.DUMMYFUNCTION("""COMPUTED_VALUE"""),"北醫屋主拜訪禮物")</f>
        <v>北醫屋主拜訪禮物</v>
      </c>
      <c r="C646" t="str">
        <f>IFERROR(__xludf.DUMMYFUNCTION("""COMPUTED_VALUE"""),"費用 - 餐飲")</f>
        <v>費用 - 餐飲</v>
      </c>
      <c r="D646" s="270">
        <f>IFERROR(__xludf.DUMMYFUNCTION("""COMPUTED_VALUE"""),-690.0)</f>
        <v>-690</v>
      </c>
      <c r="E646" t="str">
        <f>IFERROR(__xludf.DUMMYFUNCTION("""COMPUTED_VALUE"""),"Ben帳戶")</f>
        <v>Ben帳戶</v>
      </c>
      <c r="G646" t="str">
        <f>IFERROR(__xludf.DUMMYFUNCTION("""COMPUTED_VALUE"""),"北醫醫師府")</f>
        <v>北醫醫師府</v>
      </c>
      <c r="H646" s="106" t="str">
        <f t="shared" si="1"/>
        <v>2024-08</v>
      </c>
      <c r="I646" s="271" t="str">
        <f>IFERROR(__xludf.DUMMYFUNCTION("""COMPUTED_VALUE"""),"貓狗企鵝")</f>
        <v>貓狗企鵝</v>
      </c>
      <c r="J646" t="str">
        <f>IFERROR(__xludf.DUMMYFUNCTION("IFS(
  AND(REGEXMATCH(E646, ""台銀籌備帳戶|玉山帳戶""), REGEXMATCH(C646, ""薪資"")), ""分潤支出"",
  AND(REGEXMATCH(E646, ""Ben帳戶|Elsa帳戶|Ben代墊|Ariel代墊|中信銀行共用""), REGEXMATCH(F646, ""Ben帳戶|Elsa帳戶|Ben代墊|Ariel代墊|中信銀行共用"")), ""內部轉帳(忽略)"",
  AND(E646&lt;&gt;"""", F646&lt;&gt;"""", NOT(REG"&amp;"EXMATCH(C646, ""薪資""))), ""內部轉帳(忽略)"",
  REGEXMATCH(C646, ""薪資""), ""薪資變動(不計入)"",
  REGEXMATCH(C646, ""押金""), ""押金往來"",
  AND(E646&lt;&gt;"""", F646=""""), ""真實支出"",
  AND(E646="""", F646&lt;&gt;""""), ""真實收入"",
  TRUE, ""其他""
)"),"真實支出")</f>
        <v>真實支出</v>
      </c>
      <c r="K646" s="270">
        <f t="shared" si="2"/>
        <v>-690</v>
      </c>
      <c r="L646">
        <f t="shared" si="3"/>
        <v>0</v>
      </c>
    </row>
    <row r="647">
      <c r="A647" s="107">
        <f>IFERROR(__xludf.DUMMYFUNCTION("""COMPUTED_VALUE"""),45523.0)</f>
        <v>45523</v>
      </c>
      <c r="B647" t="str">
        <f>IFERROR(__xludf.DUMMYFUNCTION("""COMPUTED_VALUE"""),"企鵝代墊款")</f>
        <v>企鵝代墊款</v>
      </c>
      <c r="C647" t="str">
        <f>IFERROR(__xludf.DUMMYFUNCTION("""COMPUTED_VALUE"""),"成本 - 進場前裝潢費")</f>
        <v>成本 - 進場前裝潢費</v>
      </c>
      <c r="D647" s="270">
        <f>IFERROR(__xludf.DUMMYFUNCTION("""COMPUTED_VALUE"""),-19846.0)</f>
        <v>-19846</v>
      </c>
      <c r="E647" t="str">
        <f>IFERROR(__xludf.DUMMYFUNCTION("""COMPUTED_VALUE"""),"Ben帳戶")</f>
        <v>Ben帳戶</v>
      </c>
      <c r="G647" t="str">
        <f>IFERROR(__xludf.DUMMYFUNCTION("""COMPUTED_VALUE"""),"南港站挑高宅")</f>
        <v>南港站挑高宅</v>
      </c>
      <c r="H647" s="106" t="str">
        <f t="shared" si="1"/>
        <v>2024-08</v>
      </c>
      <c r="I647" s="271" t="str">
        <f>IFERROR(__xludf.DUMMYFUNCTION("""COMPUTED_VALUE"""),"貓狗企鵝")</f>
        <v>貓狗企鵝</v>
      </c>
      <c r="J647" t="str">
        <f>IFERROR(__xludf.DUMMYFUNCTION("IFS(
  AND(REGEXMATCH(E647, ""台銀籌備帳戶|玉山帳戶""), REGEXMATCH(C647, ""薪資"")), ""分潤支出"",
  AND(REGEXMATCH(E647, ""Ben帳戶|Elsa帳戶|Ben代墊|Ariel代墊|中信銀行共用""), REGEXMATCH(F647, ""Ben帳戶|Elsa帳戶|Ben代墊|Ariel代墊|中信銀行共用"")), ""內部轉帳(忽略)"",
  AND(E647&lt;&gt;"""", F647&lt;&gt;"""", NOT(REG"&amp;"EXMATCH(C647, ""薪資""))), ""內部轉帳(忽略)"",
  REGEXMATCH(C647, ""薪資""), ""薪資變動(不計入)"",
  REGEXMATCH(C647, ""押金""), ""押金往來"",
  AND(E647&lt;&gt;"""", F647=""""), ""真實支出"",
  AND(E647="""", F647&lt;&gt;""""), ""真實收入"",
  TRUE, ""其他""
)"),"真實支出")</f>
        <v>真實支出</v>
      </c>
      <c r="K647" s="270">
        <f t="shared" si="2"/>
        <v>-19846</v>
      </c>
      <c r="L647">
        <f t="shared" si="3"/>
        <v>0</v>
      </c>
    </row>
    <row r="648">
      <c r="A648" s="107">
        <f>IFERROR(__xludf.DUMMYFUNCTION("""COMPUTED_VALUE"""),45523.0)</f>
        <v>45523</v>
      </c>
      <c r="B648" t="str">
        <f>IFERROR(__xludf.DUMMYFUNCTION("""COMPUTED_VALUE"""),"企鵝代墊款(網路/滅火器）")</f>
        <v>企鵝代墊款(網路/滅火器）</v>
      </c>
      <c r="C648" t="str">
        <f>IFERROR(__xludf.DUMMYFUNCTION("""COMPUTED_VALUE"""),"成本 - 進場前裝潢費")</f>
        <v>成本 - 進場前裝潢費</v>
      </c>
      <c r="D648" s="270">
        <f>IFERROR(__xludf.DUMMYFUNCTION("""COMPUTED_VALUE"""),-6700.0)</f>
        <v>-6700</v>
      </c>
      <c r="E648" t="str">
        <f>IFERROR(__xludf.DUMMYFUNCTION("""COMPUTED_VALUE"""),"Ben帳戶")</f>
        <v>Ben帳戶</v>
      </c>
      <c r="G648" t="str">
        <f>IFERROR(__xludf.DUMMYFUNCTION("""COMPUTED_VALUE"""),"市府爺爺家")</f>
        <v>市府爺爺家</v>
      </c>
      <c r="H648" s="106" t="str">
        <f t="shared" si="1"/>
        <v>2024-08</v>
      </c>
      <c r="I648" s="271" t="str">
        <f>IFERROR(__xludf.DUMMYFUNCTION("""COMPUTED_VALUE"""),"貓狗企鵝")</f>
        <v>貓狗企鵝</v>
      </c>
      <c r="J648" t="str">
        <f>IFERROR(__xludf.DUMMYFUNCTION("IFS(
  AND(REGEXMATCH(E648, ""台銀籌備帳戶|玉山帳戶""), REGEXMATCH(C648, ""薪資"")), ""分潤支出"",
  AND(REGEXMATCH(E648, ""Ben帳戶|Elsa帳戶|Ben代墊|Ariel代墊|中信銀行共用""), REGEXMATCH(F648, ""Ben帳戶|Elsa帳戶|Ben代墊|Ariel代墊|中信銀行共用"")), ""內部轉帳(忽略)"",
  AND(E648&lt;&gt;"""", F648&lt;&gt;"""", NOT(REG"&amp;"EXMATCH(C648, ""薪資""))), ""內部轉帳(忽略)"",
  REGEXMATCH(C648, ""薪資""), ""薪資變動(不計入)"",
  REGEXMATCH(C648, ""押金""), ""押金往來"",
  AND(E648&lt;&gt;"""", F648=""""), ""真實支出"",
  AND(E648="""", F648&lt;&gt;""""), ""真實收入"",
  TRUE, ""其他""
)"),"真實支出")</f>
        <v>真實支出</v>
      </c>
      <c r="K648" s="270">
        <f t="shared" si="2"/>
        <v>-6700</v>
      </c>
      <c r="L648">
        <f t="shared" si="3"/>
        <v>0</v>
      </c>
    </row>
    <row r="649">
      <c r="A649" s="107">
        <f>IFERROR(__xludf.DUMMYFUNCTION("""COMPUTED_VALUE"""),45523.0)</f>
        <v>45523</v>
      </c>
      <c r="B649" t="str">
        <f>IFERROR(__xludf.DUMMYFUNCTION("""COMPUTED_VALUE"""),"小玉搬運南港")</f>
        <v>小玉搬運南港</v>
      </c>
      <c r="C649" t="str">
        <f>IFERROR(__xludf.DUMMYFUNCTION("""COMPUTED_VALUE"""),"成本 - 進場前裝潢費")</f>
        <v>成本 - 進場前裝潢費</v>
      </c>
      <c r="D649" s="270">
        <f>IFERROR(__xludf.DUMMYFUNCTION("""COMPUTED_VALUE"""),-1007.0)</f>
        <v>-1007</v>
      </c>
      <c r="E649" t="str">
        <f>IFERROR(__xludf.DUMMYFUNCTION("""COMPUTED_VALUE"""),"台銀籌備帳戶")</f>
        <v>台銀籌備帳戶</v>
      </c>
      <c r="G649" t="str">
        <f>IFERROR(__xludf.DUMMYFUNCTION("""COMPUTED_VALUE"""),"南港站挑高宅")</f>
        <v>南港站挑高宅</v>
      </c>
      <c r="H649" s="106" t="str">
        <f t="shared" si="1"/>
        <v>2024-08</v>
      </c>
      <c r="I649" s="271" t="str">
        <f>IFERROR(__xludf.DUMMYFUNCTION("""COMPUTED_VALUE"""),"貓狗企鵝")</f>
        <v>貓狗企鵝</v>
      </c>
      <c r="J649" t="str">
        <f>IFERROR(__xludf.DUMMYFUNCTION("IFS(
  AND(REGEXMATCH(E649, ""台銀籌備帳戶|玉山帳戶""), REGEXMATCH(C649, ""薪資"")), ""分潤支出"",
  AND(REGEXMATCH(E649, ""Ben帳戶|Elsa帳戶|Ben代墊|Ariel代墊|中信銀行共用""), REGEXMATCH(F649, ""Ben帳戶|Elsa帳戶|Ben代墊|Ariel代墊|中信銀行共用"")), ""內部轉帳(忽略)"",
  AND(E649&lt;&gt;"""", F649&lt;&gt;"""", NOT(REG"&amp;"EXMATCH(C649, ""薪資""))), ""內部轉帳(忽略)"",
  REGEXMATCH(C649, ""薪資""), ""薪資變動(不計入)"",
  REGEXMATCH(C649, ""押金""), ""押金往來"",
  AND(E649&lt;&gt;"""", F649=""""), ""真實支出"",
  AND(E649="""", F649&lt;&gt;""""), ""真實收入"",
  TRUE, ""其他""
)"),"真實支出")</f>
        <v>真實支出</v>
      </c>
      <c r="K649" s="270">
        <f t="shared" si="2"/>
        <v>-1007</v>
      </c>
      <c r="L649">
        <f t="shared" si="3"/>
        <v>0</v>
      </c>
    </row>
    <row r="650">
      <c r="A650" s="107">
        <f>IFERROR(__xludf.DUMMYFUNCTION("""COMPUTED_VALUE"""),45523.0)</f>
        <v>45523</v>
      </c>
      <c r="B650" t="str">
        <f>IFERROR(__xludf.DUMMYFUNCTION("""COMPUTED_VALUE"""),"永春磁磚")</f>
        <v>永春磁磚</v>
      </c>
      <c r="C650" t="str">
        <f>IFERROR(__xludf.DUMMYFUNCTION("""COMPUTED_VALUE"""),"成本 - 出勤費")</f>
        <v>成本 - 出勤費</v>
      </c>
      <c r="D650" s="270">
        <f>IFERROR(__xludf.DUMMYFUNCTION("""COMPUTED_VALUE"""),-50015.0)</f>
        <v>-50015</v>
      </c>
      <c r="E650" t="str">
        <f>IFERROR(__xludf.DUMMYFUNCTION("""COMPUTED_VALUE"""),"台銀籌備帳戶")</f>
        <v>台銀籌備帳戶</v>
      </c>
      <c r="G650" t="str">
        <f>IFERROR(__xludf.DUMMYFUNCTION("""COMPUTED_VALUE"""),"永春四號")</f>
        <v>永春四號</v>
      </c>
      <c r="H650" s="106" t="str">
        <f t="shared" si="1"/>
        <v>2024-08</v>
      </c>
      <c r="I650" s="271" t="str">
        <f>IFERROR(__xludf.DUMMYFUNCTION("""COMPUTED_VALUE"""),"貓狗企鵝")</f>
        <v>貓狗企鵝</v>
      </c>
      <c r="J650" t="str">
        <f>IFERROR(__xludf.DUMMYFUNCTION("IFS(
  AND(REGEXMATCH(E650, ""台銀籌備帳戶|玉山帳戶""), REGEXMATCH(C650, ""薪資"")), ""分潤支出"",
  AND(REGEXMATCH(E650, ""Ben帳戶|Elsa帳戶|Ben代墊|Ariel代墊|中信銀行共用""), REGEXMATCH(F650, ""Ben帳戶|Elsa帳戶|Ben代墊|Ariel代墊|中信銀行共用"")), ""內部轉帳(忽略)"",
  AND(E650&lt;&gt;"""", F650&lt;&gt;"""", NOT(REG"&amp;"EXMATCH(C650, ""薪資""))), ""內部轉帳(忽略)"",
  REGEXMATCH(C650, ""薪資""), ""薪資變動(不計入)"",
  REGEXMATCH(C650, ""押金""), ""押金往來"",
  AND(E650&lt;&gt;"""", F650=""""), ""真實支出"",
  AND(E650="""", F650&lt;&gt;""""), ""真實收入"",
  TRUE, ""其他""
)"),"真實支出")</f>
        <v>真實支出</v>
      </c>
      <c r="K650" s="270">
        <f t="shared" si="2"/>
        <v>-50015</v>
      </c>
      <c r="L650">
        <f t="shared" si="3"/>
        <v>0</v>
      </c>
    </row>
    <row r="651">
      <c r="A651" s="107">
        <f>IFERROR(__xludf.DUMMYFUNCTION("""COMPUTED_VALUE"""),45524.0)</f>
        <v>45524</v>
      </c>
      <c r="B651" t="str">
        <f>IFERROR(__xludf.DUMMYFUNCTION("""COMPUTED_VALUE"""),"南港591刊登")</f>
        <v>南港591刊登</v>
      </c>
      <c r="C651" t="str">
        <f>IFERROR(__xludf.DUMMYFUNCTION("""COMPUTED_VALUE"""),"成本 - 仲介費")</f>
        <v>成本 - 仲介費</v>
      </c>
      <c r="D651" s="270">
        <f>IFERROR(__xludf.DUMMYFUNCTION("""COMPUTED_VALUE"""),-1289.0)</f>
        <v>-1289</v>
      </c>
      <c r="E651" t="str">
        <f>IFERROR(__xludf.DUMMYFUNCTION("""COMPUTED_VALUE"""),"Elsa帳戶")</f>
        <v>Elsa帳戶</v>
      </c>
      <c r="G651" t="str">
        <f>IFERROR(__xludf.DUMMYFUNCTION("""COMPUTED_VALUE"""),"南港站挑高宅")</f>
        <v>南港站挑高宅</v>
      </c>
      <c r="H651" s="106" t="str">
        <f t="shared" si="1"/>
        <v>2024-08</v>
      </c>
      <c r="I651" s="271" t="str">
        <f>IFERROR(__xludf.DUMMYFUNCTION("""COMPUTED_VALUE"""),"貓狗企鵝")</f>
        <v>貓狗企鵝</v>
      </c>
      <c r="J651" t="str">
        <f>IFERROR(__xludf.DUMMYFUNCTION("IFS(
  AND(REGEXMATCH(E651, ""台銀籌備帳戶|玉山帳戶""), REGEXMATCH(C651, ""薪資"")), ""分潤支出"",
  AND(REGEXMATCH(E651, ""Ben帳戶|Elsa帳戶|Ben代墊|Ariel代墊|中信銀行共用""), REGEXMATCH(F651, ""Ben帳戶|Elsa帳戶|Ben代墊|Ariel代墊|中信銀行共用"")), ""內部轉帳(忽略)"",
  AND(E651&lt;&gt;"""", F651&lt;&gt;"""", NOT(REG"&amp;"EXMATCH(C651, ""薪資""))), ""內部轉帳(忽略)"",
  REGEXMATCH(C651, ""薪資""), ""薪資變動(不計入)"",
  REGEXMATCH(C651, ""押金""), ""押金往來"",
  AND(E651&lt;&gt;"""", F651=""""), ""真實支出"",
  AND(E651="""", F651&lt;&gt;""""), ""真實收入"",
  TRUE, ""其他""
)"),"真實支出")</f>
        <v>真實支出</v>
      </c>
      <c r="K651" s="270">
        <f t="shared" si="2"/>
        <v>-1289</v>
      </c>
      <c r="L651">
        <f t="shared" si="3"/>
        <v>0</v>
      </c>
    </row>
    <row r="652">
      <c r="A652" s="107">
        <f>IFERROR(__xludf.DUMMYFUNCTION("""COMPUTED_VALUE"""),45524.0)</f>
        <v>45524</v>
      </c>
      <c r="B652" t="str">
        <f>IFERROR(__xludf.DUMMYFUNCTION("""COMPUTED_VALUE"""),"爸爸朋友冷氣")</f>
        <v>爸爸朋友冷氣</v>
      </c>
      <c r="C652" t="str">
        <f>IFERROR(__xludf.DUMMYFUNCTION("""COMPUTED_VALUE"""),"費用 - 匯費")</f>
        <v>費用 - 匯費</v>
      </c>
      <c r="D652" s="270">
        <f>IFERROR(__xludf.DUMMYFUNCTION("""COMPUTED_VALUE"""),-2000.0)</f>
        <v>-2000</v>
      </c>
      <c r="E652" t="str">
        <f>IFERROR(__xludf.DUMMYFUNCTION("""COMPUTED_VALUE"""),"Ben帳戶")</f>
        <v>Ben帳戶</v>
      </c>
      <c r="H652" s="106" t="str">
        <f t="shared" si="1"/>
        <v>2024-08</v>
      </c>
      <c r="I652" s="271" t="str">
        <f>IFERROR(__xludf.DUMMYFUNCTION("""COMPUTED_VALUE"""),"貓狗企鵝")</f>
        <v>貓狗企鵝</v>
      </c>
      <c r="J652" t="str">
        <f>IFERROR(__xludf.DUMMYFUNCTION("IFS(
  AND(REGEXMATCH(E652, ""台銀籌備帳戶|玉山帳戶""), REGEXMATCH(C652, ""薪資"")), ""分潤支出"",
  AND(REGEXMATCH(E652, ""Ben帳戶|Elsa帳戶|Ben代墊|Ariel代墊|中信銀行共用""), REGEXMATCH(F652, ""Ben帳戶|Elsa帳戶|Ben代墊|Ariel代墊|中信銀行共用"")), ""內部轉帳(忽略)"",
  AND(E652&lt;&gt;"""", F652&lt;&gt;"""", NOT(REG"&amp;"EXMATCH(C652, ""薪資""))), ""內部轉帳(忽略)"",
  REGEXMATCH(C652, ""薪資""), ""薪資變動(不計入)"",
  REGEXMATCH(C652, ""押金""), ""押金往來"",
  AND(E652&lt;&gt;"""", F652=""""), ""真實支出"",
  AND(E652="""", F652&lt;&gt;""""), ""真實收入"",
  TRUE, ""其他""
)"),"真實支出")</f>
        <v>真實支出</v>
      </c>
      <c r="K652" s="270">
        <f t="shared" si="2"/>
        <v>-2000</v>
      </c>
      <c r="L652">
        <f t="shared" si="3"/>
        <v>0</v>
      </c>
    </row>
    <row r="653">
      <c r="A653" s="107">
        <f>IFERROR(__xludf.DUMMYFUNCTION("""COMPUTED_VALUE"""),45524.0)</f>
        <v>45524</v>
      </c>
      <c r="B653" t="str">
        <f>IFERROR(__xludf.DUMMYFUNCTION("""COMPUTED_VALUE"""),"蝦皮共用衛浴層架")</f>
        <v>蝦皮共用衛浴層架</v>
      </c>
      <c r="C653" t="str">
        <f>IFERROR(__xludf.DUMMYFUNCTION("""COMPUTED_VALUE"""),"成本 - 進場前裝潢費")</f>
        <v>成本 - 進場前裝潢費</v>
      </c>
      <c r="D653" s="270">
        <f>IFERROR(__xludf.DUMMYFUNCTION("""COMPUTED_VALUE"""),-666.0)</f>
        <v>-666</v>
      </c>
      <c r="E653" t="str">
        <f>IFERROR(__xludf.DUMMYFUNCTION("""COMPUTED_VALUE"""),"Elsa帳戶")</f>
        <v>Elsa帳戶</v>
      </c>
      <c r="G653" t="str">
        <f>IFERROR(__xludf.DUMMYFUNCTION("""COMPUTED_VALUE"""),"南港站挑高宅")</f>
        <v>南港站挑高宅</v>
      </c>
      <c r="H653" s="106" t="str">
        <f t="shared" si="1"/>
        <v>2024-08</v>
      </c>
      <c r="I653" s="271" t="str">
        <f>IFERROR(__xludf.DUMMYFUNCTION("""COMPUTED_VALUE"""),"貓狗企鵝")</f>
        <v>貓狗企鵝</v>
      </c>
      <c r="J653" t="str">
        <f>IFERROR(__xludf.DUMMYFUNCTION("IFS(
  AND(REGEXMATCH(E653, ""台銀籌備帳戶|玉山帳戶""), REGEXMATCH(C653, ""薪資"")), ""分潤支出"",
  AND(REGEXMATCH(E653, ""Ben帳戶|Elsa帳戶|Ben代墊|Ariel代墊|中信銀行共用""), REGEXMATCH(F653, ""Ben帳戶|Elsa帳戶|Ben代墊|Ariel代墊|中信銀行共用"")), ""內部轉帳(忽略)"",
  AND(E653&lt;&gt;"""", F653&lt;&gt;"""", NOT(REG"&amp;"EXMATCH(C653, ""薪資""))), ""內部轉帳(忽略)"",
  REGEXMATCH(C653, ""薪資""), ""薪資變動(不計入)"",
  REGEXMATCH(C653, ""押金""), ""押金往來"",
  AND(E653&lt;&gt;"""", F653=""""), ""真實支出"",
  AND(E653="""", F653&lt;&gt;""""), ""真實收入"",
  TRUE, ""其他""
)"),"真實支出")</f>
        <v>真實支出</v>
      </c>
      <c r="K653" s="270">
        <f t="shared" si="2"/>
        <v>-666</v>
      </c>
      <c r="L653">
        <f t="shared" si="3"/>
        <v>0</v>
      </c>
    </row>
    <row r="654">
      <c r="A654" s="107">
        <f>IFERROR(__xludf.DUMMYFUNCTION("""COMPUTED_VALUE"""),45524.0)</f>
        <v>45524</v>
      </c>
      <c r="B654" t="str">
        <f>IFERROR(__xludf.DUMMYFUNCTION("""COMPUTED_VALUE"""),"Momo電蚊拍*2支")</f>
        <v>Momo電蚊拍*2支</v>
      </c>
      <c r="C654" t="str">
        <f>IFERROR(__xludf.DUMMYFUNCTION("""COMPUTED_VALUE"""),"成本 - 進場前裝潢費")</f>
        <v>成本 - 進場前裝潢費</v>
      </c>
      <c r="D654" s="270">
        <f>IFERROR(__xludf.DUMMYFUNCTION("""COMPUTED_VALUE"""),-702.0)</f>
        <v>-702</v>
      </c>
      <c r="E654" t="str">
        <f>IFERROR(__xludf.DUMMYFUNCTION("""COMPUTED_VALUE"""),"Elsa帳戶")</f>
        <v>Elsa帳戶</v>
      </c>
      <c r="G654" t="str">
        <f>IFERROR(__xludf.DUMMYFUNCTION("""COMPUTED_VALUE"""),"南港站挑高宅")</f>
        <v>南港站挑高宅</v>
      </c>
      <c r="H654" s="106" t="str">
        <f t="shared" si="1"/>
        <v>2024-08</v>
      </c>
      <c r="I654" s="271" t="str">
        <f>IFERROR(__xludf.DUMMYFUNCTION("""COMPUTED_VALUE"""),"貓狗企鵝")</f>
        <v>貓狗企鵝</v>
      </c>
      <c r="J654" t="str">
        <f>IFERROR(__xludf.DUMMYFUNCTION("IFS(
  AND(REGEXMATCH(E654, ""台銀籌備帳戶|玉山帳戶""), REGEXMATCH(C654, ""薪資"")), ""分潤支出"",
  AND(REGEXMATCH(E654, ""Ben帳戶|Elsa帳戶|Ben代墊|Ariel代墊|中信銀行共用""), REGEXMATCH(F654, ""Ben帳戶|Elsa帳戶|Ben代墊|Ariel代墊|中信銀行共用"")), ""內部轉帳(忽略)"",
  AND(E654&lt;&gt;"""", F654&lt;&gt;"""", NOT(REG"&amp;"EXMATCH(C654, ""薪資""))), ""內部轉帳(忽略)"",
  REGEXMATCH(C654, ""薪資""), ""薪資變動(不計入)"",
  REGEXMATCH(C654, ""押金""), ""押金往來"",
  AND(E654&lt;&gt;"""", F654=""""), ""真實支出"",
  AND(E654="""", F654&lt;&gt;""""), ""真實收入"",
  TRUE, ""其他""
)"),"真實支出")</f>
        <v>真實支出</v>
      </c>
      <c r="K654" s="270">
        <f t="shared" si="2"/>
        <v>-702</v>
      </c>
      <c r="L654">
        <f t="shared" si="3"/>
        <v>0</v>
      </c>
    </row>
    <row r="655">
      <c r="A655" s="107">
        <f>IFERROR(__xludf.DUMMYFUNCTION("""COMPUTED_VALUE"""),45524.0)</f>
        <v>45524</v>
      </c>
      <c r="B655" t="str">
        <f>IFERROR(__xludf.DUMMYFUNCTION("""COMPUTED_VALUE"""),"蝦皮馬桶刷*2")</f>
        <v>蝦皮馬桶刷*2</v>
      </c>
      <c r="C655" t="str">
        <f>IFERROR(__xludf.DUMMYFUNCTION("""COMPUTED_VALUE"""),"成本 - 進場前裝潢費")</f>
        <v>成本 - 進場前裝潢費</v>
      </c>
      <c r="D655" s="270">
        <f>IFERROR(__xludf.DUMMYFUNCTION("""COMPUTED_VALUE"""),-258.0)</f>
        <v>-258</v>
      </c>
      <c r="E655" t="str">
        <f>IFERROR(__xludf.DUMMYFUNCTION("""COMPUTED_VALUE"""),"Elsa帳戶")</f>
        <v>Elsa帳戶</v>
      </c>
      <c r="G655" t="str">
        <f>IFERROR(__xludf.DUMMYFUNCTION("""COMPUTED_VALUE"""),"南港站挑高宅")</f>
        <v>南港站挑高宅</v>
      </c>
      <c r="H655" s="106" t="str">
        <f t="shared" si="1"/>
        <v>2024-08</v>
      </c>
      <c r="I655" s="271" t="str">
        <f>IFERROR(__xludf.DUMMYFUNCTION("""COMPUTED_VALUE"""),"貓狗企鵝")</f>
        <v>貓狗企鵝</v>
      </c>
      <c r="J655" t="str">
        <f>IFERROR(__xludf.DUMMYFUNCTION("IFS(
  AND(REGEXMATCH(E655, ""台銀籌備帳戶|玉山帳戶""), REGEXMATCH(C655, ""薪資"")), ""分潤支出"",
  AND(REGEXMATCH(E655, ""Ben帳戶|Elsa帳戶|Ben代墊|Ariel代墊|中信銀行共用""), REGEXMATCH(F655, ""Ben帳戶|Elsa帳戶|Ben代墊|Ariel代墊|中信銀行共用"")), ""內部轉帳(忽略)"",
  AND(E655&lt;&gt;"""", F655&lt;&gt;"""", NOT(REG"&amp;"EXMATCH(C655, ""薪資""))), ""內部轉帳(忽略)"",
  REGEXMATCH(C655, ""薪資""), ""薪資變動(不計入)"",
  REGEXMATCH(C655, ""押金""), ""押金往來"",
  AND(E655&lt;&gt;"""", F655=""""), ""真實支出"",
  AND(E655="""", F655&lt;&gt;""""), ""真實收入"",
  TRUE, ""其他""
)"),"真實支出")</f>
        <v>真實支出</v>
      </c>
      <c r="K655" s="270">
        <f t="shared" si="2"/>
        <v>-258</v>
      </c>
      <c r="L655">
        <f t="shared" si="3"/>
        <v>0</v>
      </c>
    </row>
    <row r="656">
      <c r="A656" s="107">
        <f>IFERROR(__xludf.DUMMYFUNCTION("""COMPUTED_VALUE"""),45524.0)</f>
        <v>45524</v>
      </c>
      <c r="B656" t="str">
        <f>IFERROR(__xludf.DUMMYFUNCTION("""COMPUTED_VALUE"""),"淘寶擺飾買買")</f>
        <v>淘寶擺飾買買</v>
      </c>
      <c r="C656" t="str">
        <f>IFERROR(__xludf.DUMMYFUNCTION("""COMPUTED_VALUE"""),"成本 - 進場前裝潢費")</f>
        <v>成本 - 進場前裝潢費</v>
      </c>
      <c r="D656" s="270">
        <f>IFERROR(__xludf.DUMMYFUNCTION("""COMPUTED_VALUE"""),-694.0)</f>
        <v>-694</v>
      </c>
      <c r="E656" t="str">
        <f>IFERROR(__xludf.DUMMYFUNCTION("""COMPUTED_VALUE"""),"Elsa帳戶")</f>
        <v>Elsa帳戶</v>
      </c>
      <c r="G656" t="str">
        <f>IFERROR(__xludf.DUMMYFUNCTION("""COMPUTED_VALUE"""),"南港站挑高宅")</f>
        <v>南港站挑高宅</v>
      </c>
      <c r="H656" s="106" t="str">
        <f t="shared" si="1"/>
        <v>2024-08</v>
      </c>
      <c r="I656" s="271" t="str">
        <f>IFERROR(__xludf.DUMMYFUNCTION("""COMPUTED_VALUE"""),"貓狗企鵝")</f>
        <v>貓狗企鵝</v>
      </c>
      <c r="J656" t="str">
        <f>IFERROR(__xludf.DUMMYFUNCTION("IFS(
  AND(REGEXMATCH(E656, ""台銀籌備帳戶|玉山帳戶""), REGEXMATCH(C656, ""薪資"")), ""分潤支出"",
  AND(REGEXMATCH(E656, ""Ben帳戶|Elsa帳戶|Ben代墊|Ariel代墊|中信銀行共用""), REGEXMATCH(F656, ""Ben帳戶|Elsa帳戶|Ben代墊|Ariel代墊|中信銀行共用"")), ""內部轉帳(忽略)"",
  AND(E656&lt;&gt;"""", F656&lt;&gt;"""", NOT(REG"&amp;"EXMATCH(C656, ""薪資""))), ""內部轉帳(忽略)"",
  REGEXMATCH(C656, ""薪資""), ""薪資變動(不計入)"",
  REGEXMATCH(C656, ""押金""), ""押金往來"",
  AND(E656&lt;&gt;"""", F656=""""), ""真實支出"",
  AND(E656="""", F656&lt;&gt;""""), ""真實收入"",
  TRUE, ""其他""
)"),"真實支出")</f>
        <v>真實支出</v>
      </c>
      <c r="K656" s="270">
        <f t="shared" si="2"/>
        <v>-694</v>
      </c>
      <c r="L656">
        <f t="shared" si="3"/>
        <v>0</v>
      </c>
    </row>
    <row r="657">
      <c r="A657" s="107">
        <f>IFERROR(__xludf.DUMMYFUNCTION("""COMPUTED_VALUE"""),45524.0)</f>
        <v>45524</v>
      </c>
      <c r="B657" t="str">
        <f>IFERROR(__xludf.DUMMYFUNCTION("""COMPUTED_VALUE"""),"貨物稅退稅")</f>
        <v>貨物稅退稅</v>
      </c>
      <c r="C657" t="str">
        <f>IFERROR(__xludf.DUMMYFUNCTION("""COMPUTED_VALUE"""),"收入 - 政府補助/退稅")</f>
        <v>收入 - 政府補助/退稅</v>
      </c>
      <c r="D657" s="270">
        <f>IFERROR(__xludf.DUMMYFUNCTION("""COMPUTED_VALUE"""),2000.0)</f>
        <v>2000</v>
      </c>
      <c r="F657" t="str">
        <f>IFERROR(__xludf.DUMMYFUNCTION("""COMPUTED_VALUE"""),"台銀籌備帳戶")</f>
        <v>台銀籌備帳戶</v>
      </c>
      <c r="G657" t="str">
        <f>IFERROR(__xludf.DUMMYFUNCTION("""COMPUTED_VALUE"""),"南港站挑高宅")</f>
        <v>南港站挑高宅</v>
      </c>
      <c r="H657" s="106" t="str">
        <f t="shared" si="1"/>
        <v>2024-08</v>
      </c>
      <c r="I657" s="271" t="str">
        <f>IFERROR(__xludf.DUMMYFUNCTION("""COMPUTED_VALUE"""),"貓狗企鵝")</f>
        <v>貓狗企鵝</v>
      </c>
      <c r="J657" t="str">
        <f>IFERROR(__xludf.DUMMYFUNCTION("IFS(
  AND(REGEXMATCH(E657, ""台銀籌備帳戶|玉山帳戶""), REGEXMATCH(C657, ""薪資"")), ""分潤支出"",
  AND(REGEXMATCH(E657, ""Ben帳戶|Elsa帳戶|Ben代墊|Ariel代墊|中信銀行共用""), REGEXMATCH(F657, ""Ben帳戶|Elsa帳戶|Ben代墊|Ariel代墊|中信銀行共用"")), ""內部轉帳(忽略)"",
  AND(E657&lt;&gt;"""", F657&lt;&gt;"""", NOT(REG"&amp;"EXMATCH(C657, ""薪資""))), ""內部轉帳(忽略)"",
  REGEXMATCH(C657, ""薪資""), ""薪資變動(不計入)"",
  REGEXMATCH(C657, ""押金""), ""押金往來"",
  AND(E657&lt;&gt;"""", F657=""""), ""真實支出"",
  AND(E657="""", F657&lt;&gt;""""), ""真實收入"",
  TRUE, ""其他""
)"),"真實收入")</f>
        <v>真實收入</v>
      </c>
      <c r="K657" s="270">
        <f t="shared" si="2"/>
        <v>2000</v>
      </c>
      <c r="L657">
        <f t="shared" si="3"/>
        <v>0</v>
      </c>
    </row>
    <row r="658">
      <c r="A658" s="107">
        <f>IFERROR(__xludf.DUMMYFUNCTION("""COMPUTED_VALUE"""),45524.0)</f>
        <v>45524</v>
      </c>
      <c r="B658" t="str">
        <f>IFERROR(__xludf.DUMMYFUNCTION("""COMPUTED_VALUE"""),"南港站挑高宅D吳城慕")</f>
        <v>南港站挑高宅D吳城慕</v>
      </c>
      <c r="C658" t="str">
        <f>IFERROR(__xludf.DUMMYFUNCTION("""COMPUTED_VALUE"""),"收入 - 租金")</f>
        <v>收入 - 租金</v>
      </c>
      <c r="D658" s="270">
        <f>IFERROR(__xludf.DUMMYFUNCTION("""COMPUTED_VALUE"""),10000.0)</f>
        <v>10000</v>
      </c>
      <c r="F658" t="str">
        <f>IFERROR(__xludf.DUMMYFUNCTION("""COMPUTED_VALUE"""),"台銀籌備帳戶")</f>
        <v>台銀籌備帳戶</v>
      </c>
      <c r="G658" t="str">
        <f>IFERROR(__xludf.DUMMYFUNCTION("""COMPUTED_VALUE"""),"南港站挑高宅")</f>
        <v>南港站挑高宅</v>
      </c>
      <c r="H658" s="106" t="str">
        <f t="shared" si="1"/>
        <v>2024-08</v>
      </c>
      <c r="I658" s="271" t="str">
        <f>IFERROR(__xludf.DUMMYFUNCTION("""COMPUTED_VALUE"""),"貓狗企鵝")</f>
        <v>貓狗企鵝</v>
      </c>
      <c r="J658" t="str">
        <f>IFERROR(__xludf.DUMMYFUNCTION("IFS(
  AND(REGEXMATCH(E658, ""台銀籌備帳戶|玉山帳戶""), REGEXMATCH(C658, ""薪資"")), ""分潤支出"",
  AND(REGEXMATCH(E658, ""Ben帳戶|Elsa帳戶|Ben代墊|Ariel代墊|中信銀行共用""), REGEXMATCH(F658, ""Ben帳戶|Elsa帳戶|Ben代墊|Ariel代墊|中信銀行共用"")), ""內部轉帳(忽略)"",
  AND(E658&lt;&gt;"""", F658&lt;&gt;"""", NOT(REG"&amp;"EXMATCH(C658, ""薪資""))), ""內部轉帳(忽略)"",
  REGEXMATCH(C658, ""薪資""), ""薪資變動(不計入)"",
  REGEXMATCH(C658, ""押金""), ""押金往來"",
  AND(E658&lt;&gt;"""", F658=""""), ""真實支出"",
  AND(E658="""", F658&lt;&gt;""""), ""真實收入"",
  TRUE, ""其他""
)"),"真實收入")</f>
        <v>真實收入</v>
      </c>
      <c r="K658" s="270">
        <f t="shared" si="2"/>
        <v>10000</v>
      </c>
      <c r="L658">
        <f t="shared" si="3"/>
        <v>0</v>
      </c>
    </row>
    <row r="659">
      <c r="A659" s="107">
        <f>IFERROR(__xludf.DUMMYFUNCTION("""COMPUTED_VALUE"""),45525.0)</f>
        <v>45525</v>
      </c>
      <c r="B659" t="str">
        <f>IFERROR(__xludf.DUMMYFUNCTION("""COMPUTED_VALUE"""),"哈拉B房1租2押")</f>
        <v>哈拉B房1租2押</v>
      </c>
      <c r="C659" t="str">
        <f>IFERROR(__xludf.DUMMYFUNCTION("""COMPUTED_VALUE"""),"收入 - 租金")</f>
        <v>收入 - 租金</v>
      </c>
      <c r="D659" s="270">
        <f>IFERROR(__xludf.DUMMYFUNCTION("""COMPUTED_VALUE"""),34000.0)</f>
        <v>34000</v>
      </c>
      <c r="F659" t="str">
        <f>IFERROR(__xludf.DUMMYFUNCTION("""COMPUTED_VALUE"""),"Ben帳戶")</f>
        <v>Ben帳戶</v>
      </c>
      <c r="G659" t="str">
        <f>IFERROR(__xludf.DUMMYFUNCTION("""COMPUTED_VALUE"""),"哈拉對面")</f>
        <v>哈拉對面</v>
      </c>
      <c r="H659" s="106" t="str">
        <f t="shared" si="1"/>
        <v>2024-08</v>
      </c>
      <c r="I659" s="271" t="str">
        <f>IFERROR(__xludf.DUMMYFUNCTION("""COMPUTED_VALUE"""),"貓狗企鵝")</f>
        <v>貓狗企鵝</v>
      </c>
      <c r="J659" t="str">
        <f>IFERROR(__xludf.DUMMYFUNCTION("IFS(
  AND(REGEXMATCH(E659, ""台銀籌備帳戶|玉山帳戶""), REGEXMATCH(C659, ""薪資"")), ""分潤支出"",
  AND(REGEXMATCH(E659, ""Ben帳戶|Elsa帳戶|Ben代墊|Ariel代墊|中信銀行共用""), REGEXMATCH(F659, ""Ben帳戶|Elsa帳戶|Ben代墊|Ariel代墊|中信銀行共用"")), ""內部轉帳(忽略)"",
  AND(E659&lt;&gt;"""", F659&lt;&gt;"""", NOT(REG"&amp;"EXMATCH(C659, ""薪資""))), ""內部轉帳(忽略)"",
  REGEXMATCH(C659, ""薪資""), ""薪資變動(不計入)"",
  REGEXMATCH(C659, ""押金""), ""押金往來"",
  AND(E659&lt;&gt;"""", F659=""""), ""真實支出"",
  AND(E659="""", F659&lt;&gt;""""), ""真實收入"",
  TRUE, ""其他""
)"),"真實收入")</f>
        <v>真實收入</v>
      </c>
      <c r="K659" s="270">
        <f t="shared" si="2"/>
        <v>34000</v>
      </c>
      <c r="L659">
        <f t="shared" si="3"/>
        <v>0</v>
      </c>
    </row>
    <row r="660">
      <c r="A660" s="107">
        <f>IFERROR(__xludf.DUMMYFUNCTION("""COMPUTED_VALUE"""),45525.0)</f>
        <v>45525</v>
      </c>
      <c r="B660" t="str">
        <f>IFERROR(__xludf.DUMMYFUNCTION("""COMPUTED_VALUE"""),"定金")</f>
        <v>定金</v>
      </c>
      <c r="C660" t="str">
        <f>IFERROR(__xludf.DUMMYFUNCTION("""COMPUTED_VALUE"""),"收入 - 租金")</f>
        <v>收入 - 租金</v>
      </c>
      <c r="D660" s="270">
        <f>IFERROR(__xludf.DUMMYFUNCTION("""COMPUTED_VALUE"""),10000.0)</f>
        <v>10000</v>
      </c>
      <c r="F660" t="str">
        <f>IFERROR(__xludf.DUMMYFUNCTION("""COMPUTED_VALUE"""),"台銀籌備帳戶")</f>
        <v>台銀籌備帳戶</v>
      </c>
      <c r="G660" t="str">
        <f>IFERROR(__xludf.DUMMYFUNCTION("""COMPUTED_VALUE"""),"南港站挑高宅")</f>
        <v>南港站挑高宅</v>
      </c>
      <c r="H660" s="106" t="str">
        <f t="shared" si="1"/>
        <v>2024-08</v>
      </c>
      <c r="I660" s="271" t="str">
        <f>IFERROR(__xludf.DUMMYFUNCTION("""COMPUTED_VALUE"""),"貓狗企鵝")</f>
        <v>貓狗企鵝</v>
      </c>
      <c r="J660" t="str">
        <f>IFERROR(__xludf.DUMMYFUNCTION("IFS(
  AND(REGEXMATCH(E660, ""台銀籌備帳戶|玉山帳戶""), REGEXMATCH(C660, ""薪資"")), ""分潤支出"",
  AND(REGEXMATCH(E660, ""Ben帳戶|Elsa帳戶|Ben代墊|Ariel代墊|中信銀行共用""), REGEXMATCH(F660, ""Ben帳戶|Elsa帳戶|Ben代墊|Ariel代墊|中信銀行共用"")), ""內部轉帳(忽略)"",
  AND(E660&lt;&gt;"""", F660&lt;&gt;"""", NOT(REG"&amp;"EXMATCH(C660, ""薪資""))), ""內部轉帳(忽略)"",
  REGEXMATCH(C660, ""薪資""), ""薪資變動(不計入)"",
  REGEXMATCH(C660, ""押金""), ""押金往來"",
  AND(E660&lt;&gt;"""", F660=""""), ""真實支出"",
  AND(E660="""", F660&lt;&gt;""""), ""真實收入"",
  TRUE, ""其他""
)"),"真實收入")</f>
        <v>真實收入</v>
      </c>
      <c r="K660" s="270">
        <f t="shared" si="2"/>
        <v>10000</v>
      </c>
      <c r="L660">
        <f t="shared" si="3"/>
        <v>0</v>
      </c>
    </row>
    <row r="661">
      <c r="A661" s="107">
        <f>IFERROR(__xludf.DUMMYFUNCTION("""COMPUTED_VALUE"""),45525.0)</f>
        <v>45525</v>
      </c>
      <c r="B661" t="str">
        <f>IFERROR(__xludf.DUMMYFUNCTION("""COMPUTED_VALUE"""),"南港站挑高宅A莊以棋")</f>
        <v>南港站挑高宅A莊以棋</v>
      </c>
      <c r="C661" t="str">
        <f>IFERROR(__xludf.DUMMYFUNCTION("""COMPUTED_VALUE"""),"收入 - 租金")</f>
        <v>收入 - 租金</v>
      </c>
      <c r="D661" s="270">
        <f>IFERROR(__xludf.DUMMYFUNCTION("""COMPUTED_VALUE"""),10000.0)</f>
        <v>10000</v>
      </c>
      <c r="F661" t="str">
        <f>IFERROR(__xludf.DUMMYFUNCTION("""COMPUTED_VALUE"""),"台銀籌備帳戶")</f>
        <v>台銀籌備帳戶</v>
      </c>
      <c r="G661" t="str">
        <f>IFERROR(__xludf.DUMMYFUNCTION("""COMPUTED_VALUE"""),"南港站挑高宅")</f>
        <v>南港站挑高宅</v>
      </c>
      <c r="H661" s="106" t="str">
        <f t="shared" si="1"/>
        <v>2024-08</v>
      </c>
      <c r="I661" s="271" t="str">
        <f>IFERROR(__xludf.DUMMYFUNCTION("""COMPUTED_VALUE"""),"貓狗企鵝")</f>
        <v>貓狗企鵝</v>
      </c>
      <c r="J661" t="str">
        <f>IFERROR(__xludf.DUMMYFUNCTION("IFS(
  AND(REGEXMATCH(E661, ""台銀籌備帳戶|玉山帳戶""), REGEXMATCH(C661, ""薪資"")), ""分潤支出"",
  AND(REGEXMATCH(E661, ""Ben帳戶|Elsa帳戶|Ben代墊|Ariel代墊|中信銀行共用""), REGEXMATCH(F661, ""Ben帳戶|Elsa帳戶|Ben代墊|Ariel代墊|中信銀行共用"")), ""內部轉帳(忽略)"",
  AND(E661&lt;&gt;"""", F661&lt;&gt;"""", NOT(REG"&amp;"EXMATCH(C661, ""薪資""))), ""內部轉帳(忽略)"",
  REGEXMATCH(C661, ""薪資""), ""薪資變動(不計入)"",
  REGEXMATCH(C661, ""押金""), ""押金往來"",
  AND(E661&lt;&gt;"""", F661=""""), ""真實支出"",
  AND(E661="""", F661&lt;&gt;""""), ""真實收入"",
  TRUE, ""其他""
)"),"真實收入")</f>
        <v>真實收入</v>
      </c>
      <c r="K661" s="270">
        <f t="shared" si="2"/>
        <v>10000</v>
      </c>
      <c r="L661">
        <f t="shared" si="3"/>
        <v>0</v>
      </c>
    </row>
    <row r="662">
      <c r="A662" s="107">
        <f>IFERROR(__xludf.DUMMYFUNCTION("""COMPUTED_VALUE"""),45526.0)</f>
        <v>45526</v>
      </c>
      <c r="B662" t="str">
        <f>IFERROR(__xludf.DUMMYFUNCTION("""COMPUTED_VALUE"""),"南港站挑高宅D吳城慕")</f>
        <v>南港站挑高宅D吳城慕</v>
      </c>
      <c r="C662" t="str">
        <f>IFERROR(__xludf.DUMMYFUNCTION("""COMPUTED_VALUE"""),"收入 - 租金")</f>
        <v>收入 - 租金</v>
      </c>
      <c r="D662" s="270">
        <f>IFERROR(__xludf.DUMMYFUNCTION("""COMPUTED_VALUE"""),36590.0)</f>
        <v>36590</v>
      </c>
      <c r="F662" t="str">
        <f>IFERROR(__xludf.DUMMYFUNCTION("""COMPUTED_VALUE"""),"台銀籌備帳戶")</f>
        <v>台銀籌備帳戶</v>
      </c>
      <c r="G662" t="str">
        <f>IFERROR(__xludf.DUMMYFUNCTION("""COMPUTED_VALUE"""),"南港站挑高宅")</f>
        <v>南港站挑高宅</v>
      </c>
      <c r="H662" s="106" t="str">
        <f t="shared" si="1"/>
        <v>2024-08</v>
      </c>
      <c r="I662" s="271" t="str">
        <f>IFERROR(__xludf.DUMMYFUNCTION("""COMPUTED_VALUE"""),"貓狗企鵝")</f>
        <v>貓狗企鵝</v>
      </c>
      <c r="J662" t="str">
        <f>IFERROR(__xludf.DUMMYFUNCTION("IFS(
  AND(REGEXMATCH(E662, ""台銀籌備帳戶|玉山帳戶""), REGEXMATCH(C662, ""薪資"")), ""分潤支出"",
  AND(REGEXMATCH(E662, ""Ben帳戶|Elsa帳戶|Ben代墊|Ariel代墊|中信銀行共用""), REGEXMATCH(F662, ""Ben帳戶|Elsa帳戶|Ben代墊|Ariel代墊|中信銀行共用"")), ""內部轉帳(忽略)"",
  AND(E662&lt;&gt;"""", F662&lt;&gt;"""", NOT(REG"&amp;"EXMATCH(C662, ""薪資""))), ""內部轉帳(忽略)"",
  REGEXMATCH(C662, ""薪資""), ""薪資變動(不計入)"",
  REGEXMATCH(C662, ""押金""), ""押金往來"",
  AND(E662&lt;&gt;"""", F662=""""), ""真實支出"",
  AND(E662="""", F662&lt;&gt;""""), ""真實收入"",
  TRUE, ""其他""
)"),"真實收入")</f>
        <v>真實收入</v>
      </c>
      <c r="K662" s="270">
        <f t="shared" si="2"/>
        <v>36590</v>
      </c>
      <c r="L662">
        <f t="shared" si="3"/>
        <v>0</v>
      </c>
    </row>
    <row r="663">
      <c r="A663" s="107">
        <f>IFERROR(__xludf.DUMMYFUNCTION("""COMPUTED_VALUE"""),45526.0)</f>
        <v>45526</v>
      </c>
      <c r="B663" t="str">
        <f>IFERROR(__xludf.DUMMYFUNCTION("""COMPUTED_VALUE"""),"定金")</f>
        <v>定金</v>
      </c>
      <c r="C663" t="str">
        <f>IFERROR(__xludf.DUMMYFUNCTION("""COMPUTED_VALUE"""),"收入 - 租金")</f>
        <v>收入 - 租金</v>
      </c>
      <c r="D663" s="270">
        <f>IFERROR(__xludf.DUMMYFUNCTION("""COMPUTED_VALUE"""),10000.0)</f>
        <v>10000</v>
      </c>
      <c r="F663" t="str">
        <f>IFERROR(__xludf.DUMMYFUNCTION("""COMPUTED_VALUE"""),"台銀籌備帳戶")</f>
        <v>台銀籌備帳戶</v>
      </c>
      <c r="G663" t="str">
        <f>IFERROR(__xludf.DUMMYFUNCTION("""COMPUTED_VALUE"""),"南港站挑高宅")</f>
        <v>南港站挑高宅</v>
      </c>
      <c r="H663" s="106" t="str">
        <f t="shared" si="1"/>
        <v>2024-08</v>
      </c>
      <c r="I663" s="271" t="str">
        <f>IFERROR(__xludf.DUMMYFUNCTION("""COMPUTED_VALUE"""),"貓狗企鵝")</f>
        <v>貓狗企鵝</v>
      </c>
      <c r="J663" t="str">
        <f>IFERROR(__xludf.DUMMYFUNCTION("IFS(
  AND(REGEXMATCH(E663, ""台銀籌備帳戶|玉山帳戶""), REGEXMATCH(C663, ""薪資"")), ""分潤支出"",
  AND(REGEXMATCH(E663, ""Ben帳戶|Elsa帳戶|Ben代墊|Ariel代墊|中信銀行共用""), REGEXMATCH(F663, ""Ben帳戶|Elsa帳戶|Ben代墊|Ariel代墊|中信銀行共用"")), ""內部轉帳(忽略)"",
  AND(E663&lt;&gt;"""", F663&lt;&gt;"""", NOT(REG"&amp;"EXMATCH(C663, ""薪資""))), ""內部轉帳(忽略)"",
  REGEXMATCH(C663, ""薪資""), ""薪資變動(不計入)"",
  REGEXMATCH(C663, ""押金""), ""押金往來"",
  AND(E663&lt;&gt;"""", F663=""""), ""真實支出"",
  AND(E663="""", F663&lt;&gt;""""), ""真實收入"",
  TRUE, ""其他""
)"),"真實收入")</f>
        <v>真實收入</v>
      </c>
      <c r="K663" s="270">
        <f t="shared" si="2"/>
        <v>10000</v>
      </c>
      <c r="L663">
        <f t="shared" si="3"/>
        <v>0</v>
      </c>
    </row>
    <row r="664">
      <c r="A664" s="107">
        <f>IFERROR(__xludf.DUMMYFUNCTION("""COMPUTED_VALUE"""),45526.0)</f>
        <v>45526</v>
      </c>
      <c r="B664" t="str">
        <f>IFERROR(__xludf.DUMMYFUNCTION("""COMPUTED_VALUE"""),"北醫醫師府B王品涵")</f>
        <v>北醫醫師府B王品涵</v>
      </c>
      <c r="C664" t="str">
        <f>IFERROR(__xludf.DUMMYFUNCTION("""COMPUTED_VALUE"""),"收入 - 租金")</f>
        <v>收入 - 租金</v>
      </c>
      <c r="D664" s="270">
        <f>IFERROR(__xludf.DUMMYFUNCTION("""COMPUTED_VALUE"""),4710.0)</f>
        <v>4710</v>
      </c>
      <c r="F664" t="str">
        <f>IFERROR(__xludf.DUMMYFUNCTION("""COMPUTED_VALUE"""),"台銀籌備帳戶")</f>
        <v>台銀籌備帳戶</v>
      </c>
      <c r="G664" t="str">
        <f>IFERROR(__xludf.DUMMYFUNCTION("""COMPUTED_VALUE"""),"北醫醫師府")</f>
        <v>北醫醫師府</v>
      </c>
      <c r="H664" s="106" t="str">
        <f t="shared" si="1"/>
        <v>2024-08</v>
      </c>
      <c r="I664" s="271" t="str">
        <f>IFERROR(__xludf.DUMMYFUNCTION("""COMPUTED_VALUE"""),"貓狗企鵝")</f>
        <v>貓狗企鵝</v>
      </c>
      <c r="J664" t="str">
        <f>IFERROR(__xludf.DUMMYFUNCTION("IFS(
  AND(REGEXMATCH(E664, ""台銀籌備帳戶|玉山帳戶""), REGEXMATCH(C664, ""薪資"")), ""分潤支出"",
  AND(REGEXMATCH(E664, ""Ben帳戶|Elsa帳戶|Ben代墊|Ariel代墊|中信銀行共用""), REGEXMATCH(F664, ""Ben帳戶|Elsa帳戶|Ben代墊|Ariel代墊|中信銀行共用"")), ""內部轉帳(忽略)"",
  AND(E664&lt;&gt;"""", F664&lt;&gt;"""", NOT(REG"&amp;"EXMATCH(C664, ""薪資""))), ""內部轉帳(忽略)"",
  REGEXMATCH(C664, ""薪資""), ""薪資變動(不計入)"",
  REGEXMATCH(C664, ""押金""), ""押金往來"",
  AND(E664&lt;&gt;"""", F664=""""), ""真實支出"",
  AND(E664="""", F664&lt;&gt;""""), ""真實收入"",
  TRUE, ""其他""
)"),"真實收入")</f>
        <v>真實收入</v>
      </c>
      <c r="K664" s="270">
        <f t="shared" si="2"/>
        <v>4710</v>
      </c>
      <c r="L664">
        <f t="shared" si="3"/>
        <v>0</v>
      </c>
    </row>
    <row r="665">
      <c r="A665" s="107">
        <f>IFERROR(__xludf.DUMMYFUNCTION("""COMPUTED_VALUE"""),45526.0)</f>
        <v>45526</v>
      </c>
      <c r="B665" t="str">
        <f>IFERROR(__xludf.DUMMYFUNCTION("""COMPUTED_VALUE"""),"南港站挑高宅A莊以棋")</f>
        <v>南港站挑高宅A莊以棋</v>
      </c>
      <c r="C665" t="str">
        <f>IFERROR(__xludf.DUMMYFUNCTION("""COMPUTED_VALUE"""),"收入 - 租金")</f>
        <v>收入 - 租金</v>
      </c>
      <c r="D665" s="270">
        <f>IFERROR(__xludf.DUMMYFUNCTION("""COMPUTED_VALUE"""),28900.0)</f>
        <v>28900</v>
      </c>
      <c r="F665" t="str">
        <f>IFERROR(__xludf.DUMMYFUNCTION("""COMPUTED_VALUE"""),"台銀籌備帳戶")</f>
        <v>台銀籌備帳戶</v>
      </c>
      <c r="G665" t="str">
        <f>IFERROR(__xludf.DUMMYFUNCTION("""COMPUTED_VALUE"""),"南港站挑高宅")</f>
        <v>南港站挑高宅</v>
      </c>
      <c r="H665" s="106" t="str">
        <f t="shared" si="1"/>
        <v>2024-08</v>
      </c>
      <c r="I665" s="271" t="str">
        <f>IFERROR(__xludf.DUMMYFUNCTION("""COMPUTED_VALUE"""),"貓狗企鵝")</f>
        <v>貓狗企鵝</v>
      </c>
      <c r="J665" t="str">
        <f>IFERROR(__xludf.DUMMYFUNCTION("IFS(
  AND(REGEXMATCH(E665, ""台銀籌備帳戶|玉山帳戶""), REGEXMATCH(C665, ""薪資"")), ""分潤支出"",
  AND(REGEXMATCH(E665, ""Ben帳戶|Elsa帳戶|Ben代墊|Ariel代墊|中信銀行共用""), REGEXMATCH(F665, ""Ben帳戶|Elsa帳戶|Ben代墊|Ariel代墊|中信銀行共用"")), ""內部轉帳(忽略)"",
  AND(E665&lt;&gt;"""", F665&lt;&gt;"""", NOT(REG"&amp;"EXMATCH(C665, ""薪資""))), ""內部轉帳(忽略)"",
  REGEXMATCH(C665, ""薪資""), ""薪資變動(不計入)"",
  REGEXMATCH(C665, ""押金""), ""押金往來"",
  AND(E665&lt;&gt;"""", F665=""""), ""真實支出"",
  AND(E665="""", F665&lt;&gt;""""), ""真實收入"",
  TRUE, ""其他""
)"),"真實收入")</f>
        <v>真實收入</v>
      </c>
      <c r="K665" s="270">
        <f t="shared" si="2"/>
        <v>28900</v>
      </c>
      <c r="L665">
        <f t="shared" si="3"/>
        <v>0</v>
      </c>
    </row>
    <row r="666">
      <c r="A666" s="107">
        <f>IFERROR(__xludf.DUMMYFUNCTION("""COMPUTED_VALUE"""),45527.0)</f>
        <v>45527</v>
      </c>
      <c r="B666" t="str">
        <f>IFERROR(__xludf.DUMMYFUNCTION("""COMPUTED_VALUE"""),"南港站挑高宅E張劉明翔")</f>
        <v>南港站挑高宅E張劉明翔</v>
      </c>
      <c r="C666" t="str">
        <f>IFERROR(__xludf.DUMMYFUNCTION("""COMPUTED_VALUE"""),"收入 - 租金")</f>
        <v>收入 - 租金</v>
      </c>
      <c r="D666" s="270">
        <f>IFERROR(__xludf.DUMMYFUNCTION("""COMPUTED_VALUE"""),28400.0)</f>
        <v>28400</v>
      </c>
      <c r="F666" t="str">
        <f>IFERROR(__xludf.DUMMYFUNCTION("""COMPUTED_VALUE"""),"台銀籌備帳戶")</f>
        <v>台銀籌備帳戶</v>
      </c>
      <c r="G666" t="str">
        <f>IFERROR(__xludf.DUMMYFUNCTION("""COMPUTED_VALUE"""),"南港站挑高宅")</f>
        <v>南港站挑高宅</v>
      </c>
      <c r="H666" s="106" t="str">
        <f t="shared" si="1"/>
        <v>2024-08</v>
      </c>
      <c r="I666" s="271" t="str">
        <f>IFERROR(__xludf.DUMMYFUNCTION("""COMPUTED_VALUE"""),"貓狗企鵝")</f>
        <v>貓狗企鵝</v>
      </c>
      <c r="J666" t="str">
        <f>IFERROR(__xludf.DUMMYFUNCTION("IFS(
  AND(REGEXMATCH(E666, ""台銀籌備帳戶|玉山帳戶""), REGEXMATCH(C666, ""薪資"")), ""分潤支出"",
  AND(REGEXMATCH(E666, ""Ben帳戶|Elsa帳戶|Ben代墊|Ariel代墊|中信銀行共用""), REGEXMATCH(F666, ""Ben帳戶|Elsa帳戶|Ben代墊|Ariel代墊|中信銀行共用"")), ""內部轉帳(忽略)"",
  AND(E666&lt;&gt;"""", F666&lt;&gt;"""", NOT(REG"&amp;"EXMATCH(C666, ""薪資""))), ""內部轉帳(忽略)"",
  REGEXMATCH(C666, ""薪資""), ""薪資變動(不計入)"",
  REGEXMATCH(C666, ""押金""), ""押金往來"",
  AND(E666&lt;&gt;"""", F666=""""), ""真實支出"",
  AND(E666="""", F666&lt;&gt;""""), ""真實收入"",
  TRUE, ""其他""
)"),"真實收入")</f>
        <v>真實收入</v>
      </c>
      <c r="K666" s="270">
        <f t="shared" si="2"/>
        <v>28400</v>
      </c>
      <c r="L666">
        <f t="shared" si="3"/>
        <v>0</v>
      </c>
    </row>
    <row r="667">
      <c r="A667" s="107">
        <f>IFERROR(__xludf.DUMMYFUNCTION("""COMPUTED_VALUE"""),45527.0)</f>
        <v>45527</v>
      </c>
      <c r="B667" t="str">
        <f>IFERROR(__xludf.DUMMYFUNCTION("""COMPUTED_VALUE"""),"永春廚具")</f>
        <v>永春廚具</v>
      </c>
      <c r="C667" t="str">
        <f>IFERROR(__xludf.DUMMYFUNCTION("""COMPUTED_VALUE"""),"成本 - 租後修繕")</f>
        <v>成本 - 租後修繕</v>
      </c>
      <c r="D667" s="270">
        <f>IFERROR(__xludf.DUMMYFUNCTION("""COMPUTED_VALUE"""),-22380.0)</f>
        <v>-22380</v>
      </c>
      <c r="E667" t="str">
        <f>IFERROR(__xludf.DUMMYFUNCTION("""COMPUTED_VALUE"""),"台銀籌備帳戶")</f>
        <v>台銀籌備帳戶</v>
      </c>
      <c r="G667" t="str">
        <f>IFERROR(__xludf.DUMMYFUNCTION("""COMPUTED_VALUE"""),"永春四號")</f>
        <v>永春四號</v>
      </c>
      <c r="H667" s="106" t="str">
        <f t="shared" si="1"/>
        <v>2024-08</v>
      </c>
      <c r="I667" s="271" t="str">
        <f>IFERROR(__xludf.DUMMYFUNCTION("""COMPUTED_VALUE"""),"貓狗企鵝")</f>
        <v>貓狗企鵝</v>
      </c>
      <c r="J667" t="str">
        <f>IFERROR(__xludf.DUMMYFUNCTION("IFS(
  AND(REGEXMATCH(E667, ""台銀籌備帳戶|玉山帳戶""), REGEXMATCH(C667, ""薪資"")), ""分潤支出"",
  AND(REGEXMATCH(E667, ""Ben帳戶|Elsa帳戶|Ben代墊|Ariel代墊|中信銀行共用""), REGEXMATCH(F667, ""Ben帳戶|Elsa帳戶|Ben代墊|Ariel代墊|中信銀行共用"")), ""內部轉帳(忽略)"",
  AND(E667&lt;&gt;"""", F667&lt;&gt;"""", NOT(REG"&amp;"EXMATCH(C667, ""薪資""))), ""內部轉帳(忽略)"",
  REGEXMATCH(C667, ""薪資""), ""薪資變動(不計入)"",
  REGEXMATCH(C667, ""押金""), ""押金往來"",
  AND(E667&lt;&gt;"""", F667=""""), ""真實支出"",
  AND(E667="""", F667&lt;&gt;""""), ""真實收入"",
  TRUE, ""其他""
)"),"真實支出")</f>
        <v>真實支出</v>
      </c>
      <c r="K667" s="270">
        <f t="shared" si="2"/>
        <v>-22380</v>
      </c>
      <c r="L667">
        <f t="shared" si="3"/>
        <v>0</v>
      </c>
    </row>
    <row r="668">
      <c r="A668" s="107">
        <f>IFERROR(__xludf.DUMMYFUNCTION("""COMPUTED_VALUE"""),45528.0)</f>
        <v>45528</v>
      </c>
      <c r="B668" t="str">
        <f>IFERROR(__xludf.DUMMYFUNCTION("""COMPUTED_VALUE"""),"南港-電池12顆")</f>
        <v>南港-電池12顆</v>
      </c>
      <c r="C668" t="str">
        <f>IFERROR(__xludf.DUMMYFUNCTION("""COMPUTED_VALUE"""),"成本 - 進場前裝潢費")</f>
        <v>成本 - 進場前裝潢費</v>
      </c>
      <c r="D668" s="270">
        <f>IFERROR(__xludf.DUMMYFUNCTION("""COMPUTED_VALUE"""),-269.0)</f>
        <v>-269</v>
      </c>
      <c r="E668" t="str">
        <f>IFERROR(__xludf.DUMMYFUNCTION("""COMPUTED_VALUE"""),"Elsa帳戶")</f>
        <v>Elsa帳戶</v>
      </c>
      <c r="G668" t="str">
        <f>IFERROR(__xludf.DUMMYFUNCTION("""COMPUTED_VALUE"""),"南港站挑高宅")</f>
        <v>南港站挑高宅</v>
      </c>
      <c r="H668" s="106" t="str">
        <f t="shared" si="1"/>
        <v>2024-08</v>
      </c>
      <c r="I668" s="271" t="str">
        <f>IFERROR(__xludf.DUMMYFUNCTION("""COMPUTED_VALUE"""),"貓狗企鵝")</f>
        <v>貓狗企鵝</v>
      </c>
      <c r="J668" t="str">
        <f>IFERROR(__xludf.DUMMYFUNCTION("IFS(
  AND(REGEXMATCH(E668, ""台銀籌備帳戶|玉山帳戶""), REGEXMATCH(C668, ""薪資"")), ""分潤支出"",
  AND(REGEXMATCH(E668, ""Ben帳戶|Elsa帳戶|Ben代墊|Ariel代墊|中信銀行共用""), REGEXMATCH(F668, ""Ben帳戶|Elsa帳戶|Ben代墊|Ariel代墊|中信銀行共用"")), ""內部轉帳(忽略)"",
  AND(E668&lt;&gt;"""", F668&lt;&gt;"""", NOT(REG"&amp;"EXMATCH(C668, ""薪資""))), ""內部轉帳(忽略)"",
  REGEXMATCH(C668, ""薪資""), ""薪資變動(不計入)"",
  REGEXMATCH(C668, ""押金""), ""押金往來"",
  AND(E668&lt;&gt;"""", F668=""""), ""真實支出"",
  AND(E668="""", F668&lt;&gt;""""), ""真實收入"",
  TRUE, ""其他""
)"),"真實支出")</f>
        <v>真實支出</v>
      </c>
      <c r="K668" s="270">
        <f t="shared" si="2"/>
        <v>-269</v>
      </c>
      <c r="L668">
        <f t="shared" si="3"/>
        <v>0</v>
      </c>
    </row>
    <row r="669">
      <c r="A669" s="107">
        <f>IFERROR(__xludf.DUMMYFUNCTION("""COMPUTED_VALUE"""),45528.0)</f>
        <v>45528</v>
      </c>
      <c r="B669" t="str">
        <f>IFERROR(__xludf.DUMMYFUNCTION("""COMPUTED_VALUE"""),"南港挑高B定金")</f>
        <v>南港挑高B定金</v>
      </c>
      <c r="C669" t="str">
        <f>IFERROR(__xludf.DUMMYFUNCTION("""COMPUTED_VALUE"""),"收入 - 租金")</f>
        <v>收入 - 租金</v>
      </c>
      <c r="D669" s="270">
        <f>IFERROR(__xludf.DUMMYFUNCTION("""COMPUTED_VALUE"""),10000.0)</f>
        <v>10000</v>
      </c>
      <c r="F669" t="str">
        <f>IFERROR(__xludf.DUMMYFUNCTION("""COMPUTED_VALUE"""),"Elsa帳戶")</f>
        <v>Elsa帳戶</v>
      </c>
      <c r="G669" t="str">
        <f>IFERROR(__xludf.DUMMYFUNCTION("""COMPUTED_VALUE"""),"南港站挑高宅")</f>
        <v>南港站挑高宅</v>
      </c>
      <c r="H669" s="106" t="str">
        <f t="shared" si="1"/>
        <v>2024-08</v>
      </c>
      <c r="I669" s="271" t="str">
        <f>IFERROR(__xludf.DUMMYFUNCTION("""COMPUTED_VALUE"""),"貓狗企鵝")</f>
        <v>貓狗企鵝</v>
      </c>
      <c r="J669" t="str">
        <f>IFERROR(__xludf.DUMMYFUNCTION("IFS(
  AND(REGEXMATCH(E669, ""台銀籌備帳戶|玉山帳戶""), REGEXMATCH(C669, ""薪資"")), ""分潤支出"",
  AND(REGEXMATCH(E669, ""Ben帳戶|Elsa帳戶|Ben代墊|Ariel代墊|中信銀行共用""), REGEXMATCH(F669, ""Ben帳戶|Elsa帳戶|Ben代墊|Ariel代墊|中信銀行共用"")), ""內部轉帳(忽略)"",
  AND(E669&lt;&gt;"""", F669&lt;&gt;"""", NOT(REG"&amp;"EXMATCH(C669, ""薪資""))), ""內部轉帳(忽略)"",
  REGEXMATCH(C669, ""薪資""), ""薪資變動(不計入)"",
  REGEXMATCH(C669, ""押金""), ""押金往來"",
  AND(E669&lt;&gt;"""", F669=""""), ""真實支出"",
  AND(E669="""", F669&lt;&gt;""""), ""真實收入"",
  TRUE, ""其他""
)"),"真實收入")</f>
        <v>真實收入</v>
      </c>
      <c r="K669" s="270">
        <f t="shared" si="2"/>
        <v>10000</v>
      </c>
      <c r="L669">
        <f t="shared" si="3"/>
        <v>0</v>
      </c>
    </row>
    <row r="670">
      <c r="A670" s="107">
        <f>IFERROR(__xludf.DUMMYFUNCTION("""COMPUTED_VALUE"""),45528.0)</f>
        <v>45528</v>
      </c>
      <c r="B670" t="str">
        <f>IFERROR(__xludf.DUMMYFUNCTION("""COMPUTED_VALUE"""),"油漆丁永春補漆")</f>
        <v>油漆丁永春補漆</v>
      </c>
      <c r="C670" t="str">
        <f>IFERROR(__xludf.DUMMYFUNCTION("""COMPUTED_VALUE"""),"成本 - 租後修繕")</f>
        <v>成本 - 租後修繕</v>
      </c>
      <c r="D670" s="270">
        <f>IFERROR(__xludf.DUMMYFUNCTION("""COMPUTED_VALUE"""),-2015.0)</f>
        <v>-2015</v>
      </c>
      <c r="E670" t="str">
        <f>IFERROR(__xludf.DUMMYFUNCTION("""COMPUTED_VALUE"""),"台銀籌備帳戶")</f>
        <v>台銀籌備帳戶</v>
      </c>
      <c r="G670" t="str">
        <f>IFERROR(__xludf.DUMMYFUNCTION("""COMPUTED_VALUE"""),"永春四號")</f>
        <v>永春四號</v>
      </c>
      <c r="H670" s="106" t="str">
        <f t="shared" si="1"/>
        <v>2024-08</v>
      </c>
      <c r="I670" s="271" t="str">
        <f>IFERROR(__xludf.DUMMYFUNCTION("""COMPUTED_VALUE"""),"貓狗企鵝")</f>
        <v>貓狗企鵝</v>
      </c>
      <c r="J670" t="str">
        <f>IFERROR(__xludf.DUMMYFUNCTION("IFS(
  AND(REGEXMATCH(E670, ""台銀籌備帳戶|玉山帳戶""), REGEXMATCH(C670, ""薪資"")), ""分潤支出"",
  AND(REGEXMATCH(E670, ""Ben帳戶|Elsa帳戶|Ben代墊|Ariel代墊|中信銀行共用""), REGEXMATCH(F670, ""Ben帳戶|Elsa帳戶|Ben代墊|Ariel代墊|中信銀行共用"")), ""內部轉帳(忽略)"",
  AND(E670&lt;&gt;"""", F670&lt;&gt;"""", NOT(REG"&amp;"EXMATCH(C670, ""薪資""))), ""內部轉帳(忽略)"",
  REGEXMATCH(C670, ""薪資""), ""薪資變動(不計入)"",
  REGEXMATCH(C670, ""押金""), ""押金往來"",
  AND(E670&lt;&gt;"""", F670=""""), ""真實支出"",
  AND(E670="""", F670&lt;&gt;""""), ""真實收入"",
  TRUE, ""其他""
)"),"真實支出")</f>
        <v>真實支出</v>
      </c>
      <c r="K670" s="270">
        <f t="shared" si="2"/>
        <v>-2015</v>
      </c>
      <c r="L670">
        <f t="shared" si="3"/>
        <v>0</v>
      </c>
    </row>
    <row r="671">
      <c r="A671" s="107">
        <f>IFERROR(__xludf.DUMMYFUNCTION("""COMPUTED_VALUE"""),45528.0)</f>
        <v>45528</v>
      </c>
      <c r="B671" t="str">
        <f>IFERROR(__xludf.DUMMYFUNCTION("""COMPUTED_VALUE"""),"永春磁磚家俊")</f>
        <v>永春磁磚家俊</v>
      </c>
      <c r="C671" t="str">
        <f>IFERROR(__xludf.DUMMYFUNCTION("""COMPUTED_VALUE"""),"成本 - 租後修繕")</f>
        <v>成本 - 租後修繕</v>
      </c>
      <c r="D671" s="270">
        <f>IFERROR(__xludf.DUMMYFUNCTION("""COMPUTED_VALUE"""),-38265.0)</f>
        <v>-38265</v>
      </c>
      <c r="E671" t="str">
        <f>IFERROR(__xludf.DUMMYFUNCTION("""COMPUTED_VALUE"""),"台銀籌備帳戶")</f>
        <v>台銀籌備帳戶</v>
      </c>
      <c r="G671" t="str">
        <f>IFERROR(__xludf.DUMMYFUNCTION("""COMPUTED_VALUE"""),"永春四號")</f>
        <v>永春四號</v>
      </c>
      <c r="H671" s="106" t="str">
        <f t="shared" si="1"/>
        <v>2024-08</v>
      </c>
      <c r="I671" s="271" t="str">
        <f>IFERROR(__xludf.DUMMYFUNCTION("""COMPUTED_VALUE"""),"貓狗企鵝")</f>
        <v>貓狗企鵝</v>
      </c>
      <c r="J671" t="str">
        <f>IFERROR(__xludf.DUMMYFUNCTION("IFS(
  AND(REGEXMATCH(E671, ""台銀籌備帳戶|玉山帳戶""), REGEXMATCH(C671, ""薪資"")), ""分潤支出"",
  AND(REGEXMATCH(E671, ""Ben帳戶|Elsa帳戶|Ben代墊|Ariel代墊|中信銀行共用""), REGEXMATCH(F671, ""Ben帳戶|Elsa帳戶|Ben代墊|Ariel代墊|中信銀行共用"")), ""內部轉帳(忽略)"",
  AND(E671&lt;&gt;"""", F671&lt;&gt;"""", NOT(REG"&amp;"EXMATCH(C671, ""薪資""))), ""內部轉帳(忽略)"",
  REGEXMATCH(C671, ""薪資""), ""薪資變動(不計入)"",
  REGEXMATCH(C671, ""押金""), ""押金往來"",
  AND(E671&lt;&gt;"""", F671=""""), ""真實支出"",
  AND(E671="""", F671&lt;&gt;""""), ""真實收入"",
  TRUE, ""其他""
)"),"真實支出")</f>
        <v>真實支出</v>
      </c>
      <c r="K671" s="270">
        <f t="shared" si="2"/>
        <v>-38265</v>
      </c>
      <c r="L671">
        <f t="shared" si="3"/>
        <v>0</v>
      </c>
    </row>
    <row r="672">
      <c r="A672" s="107">
        <f>IFERROR(__xludf.DUMMYFUNCTION("""COMPUTED_VALUE"""),45530.0)</f>
        <v>45530</v>
      </c>
      <c r="B672" t="str">
        <f>IFERROR(__xludf.DUMMYFUNCTION("""COMPUTED_VALUE"""),"Momo 濾水壺")</f>
        <v>Momo 濾水壺</v>
      </c>
      <c r="C672" t="str">
        <f>IFERROR(__xludf.DUMMYFUNCTION("""COMPUTED_VALUE"""),"成本 - 進場前裝潢費")</f>
        <v>成本 - 進場前裝潢費</v>
      </c>
      <c r="D672" s="270">
        <f>IFERROR(__xludf.DUMMYFUNCTION("""COMPUTED_VALUE"""),-1099.0)</f>
        <v>-1099</v>
      </c>
      <c r="E672" t="str">
        <f>IFERROR(__xludf.DUMMYFUNCTION("""COMPUTED_VALUE"""),"Ben帳戶")</f>
        <v>Ben帳戶</v>
      </c>
      <c r="G672" t="str">
        <f>IFERROR(__xludf.DUMMYFUNCTION("""COMPUTED_VALUE"""),"南港站挑高宅")</f>
        <v>南港站挑高宅</v>
      </c>
      <c r="H672" s="106" t="str">
        <f t="shared" si="1"/>
        <v>2024-08</v>
      </c>
      <c r="I672" s="271" t="str">
        <f>IFERROR(__xludf.DUMMYFUNCTION("""COMPUTED_VALUE"""),"貓狗企鵝")</f>
        <v>貓狗企鵝</v>
      </c>
      <c r="J672" t="str">
        <f>IFERROR(__xludf.DUMMYFUNCTION("IFS(
  AND(REGEXMATCH(E672, ""台銀籌備帳戶|玉山帳戶""), REGEXMATCH(C672, ""薪資"")), ""分潤支出"",
  AND(REGEXMATCH(E672, ""Ben帳戶|Elsa帳戶|Ben代墊|Ariel代墊|中信銀行共用""), REGEXMATCH(F672, ""Ben帳戶|Elsa帳戶|Ben代墊|Ariel代墊|中信銀行共用"")), ""內部轉帳(忽略)"",
  AND(E672&lt;&gt;"""", F672&lt;&gt;"""", NOT(REG"&amp;"EXMATCH(C672, ""薪資""))), ""內部轉帳(忽略)"",
  REGEXMATCH(C672, ""薪資""), ""薪資變動(不計入)"",
  REGEXMATCH(C672, ""押金""), ""押金往來"",
  AND(E672&lt;&gt;"""", F672=""""), ""真實支出"",
  AND(E672="""", F672&lt;&gt;""""), ""真實收入"",
  TRUE, ""其他""
)"),"真實支出")</f>
        <v>真實支出</v>
      </c>
      <c r="K672" s="270">
        <f t="shared" si="2"/>
        <v>-1099</v>
      </c>
      <c r="L672">
        <f t="shared" si="3"/>
        <v>0</v>
      </c>
    </row>
    <row r="673">
      <c r="A673" s="107">
        <f>IFERROR(__xludf.DUMMYFUNCTION("""COMPUTED_VALUE"""),45530.0)</f>
        <v>45530</v>
      </c>
      <c r="B673" t="str">
        <f>IFERROR(__xludf.DUMMYFUNCTION("""COMPUTED_VALUE"""),"內湖金龍路定金")</f>
        <v>內湖金龍路定金</v>
      </c>
      <c r="C673" t="str">
        <f>IFERROR(__xludf.DUMMYFUNCTION("""COMPUTED_VALUE"""),"費用 - 租用費用")</f>
        <v>費用 - 租用費用</v>
      </c>
      <c r="D673" s="270">
        <f>IFERROR(__xludf.DUMMYFUNCTION("""COMPUTED_VALUE"""),-35500.0)</f>
        <v>-35500</v>
      </c>
      <c r="E673" t="str">
        <f>IFERROR(__xludf.DUMMYFUNCTION("""COMPUTED_VALUE"""),"Ben帳戶")</f>
        <v>Ben帳戶</v>
      </c>
      <c r="G673" t="str">
        <f>IFERROR(__xludf.DUMMYFUNCTION("""COMPUTED_VALUE"""),"金龍帽子先生")</f>
        <v>金龍帽子先生</v>
      </c>
      <c r="H673" s="106" t="str">
        <f t="shared" si="1"/>
        <v>2024-08</v>
      </c>
      <c r="I673" s="271" t="str">
        <f>IFERROR(__xludf.DUMMYFUNCTION("""COMPUTED_VALUE"""),"貓狗企鵝")</f>
        <v>貓狗企鵝</v>
      </c>
      <c r="J673" t="str">
        <f>IFERROR(__xludf.DUMMYFUNCTION("IFS(
  AND(REGEXMATCH(E673, ""台銀籌備帳戶|玉山帳戶""), REGEXMATCH(C673, ""薪資"")), ""分潤支出"",
  AND(REGEXMATCH(E673, ""Ben帳戶|Elsa帳戶|Ben代墊|Ariel代墊|中信銀行共用""), REGEXMATCH(F673, ""Ben帳戶|Elsa帳戶|Ben代墊|Ariel代墊|中信銀行共用"")), ""內部轉帳(忽略)"",
  AND(E673&lt;&gt;"""", F673&lt;&gt;"""", NOT(REG"&amp;"EXMATCH(C673, ""薪資""))), ""內部轉帳(忽略)"",
  REGEXMATCH(C673, ""薪資""), ""薪資變動(不計入)"",
  REGEXMATCH(C673, ""押金""), ""押金往來"",
  AND(E673&lt;&gt;"""", F673=""""), ""真實支出"",
  AND(E673="""", F673&lt;&gt;""""), ""真實收入"",
  TRUE, ""其他""
)"),"真實支出")</f>
        <v>真實支出</v>
      </c>
      <c r="K673" s="270">
        <f t="shared" si="2"/>
        <v>-35500</v>
      </c>
      <c r="L673">
        <f t="shared" si="3"/>
        <v>0</v>
      </c>
    </row>
    <row r="674">
      <c r="A674" s="107">
        <f>IFERROR(__xludf.DUMMYFUNCTION("""COMPUTED_VALUE"""),45532.0)</f>
        <v>45532</v>
      </c>
      <c r="B674" t="str">
        <f>IFERROR(__xludf.DUMMYFUNCTION("""COMPUTED_VALUE"""),"出勤時間(內湖區)")</f>
        <v>出勤時間(內湖區)</v>
      </c>
      <c r="C674" t="str">
        <f>IFERROR(__xludf.DUMMYFUNCTION("""COMPUTED_VALUE"""),"成本 - 出勤費")</f>
        <v>成本 - 出勤費</v>
      </c>
      <c r="D674" s="270">
        <f>IFERROR(__xludf.DUMMYFUNCTION("""COMPUTED_VALUE"""),-1000.0)</f>
        <v>-1000</v>
      </c>
      <c r="E674" t="str">
        <f>IFERROR(__xludf.DUMMYFUNCTION("""COMPUTED_VALUE"""),"Ben帳戶")</f>
        <v>Ben帳戶</v>
      </c>
      <c r="G674" t="str">
        <f>IFERROR(__xludf.DUMMYFUNCTION("""COMPUTED_VALUE"""),"金龍帽子先生")</f>
        <v>金龍帽子先生</v>
      </c>
      <c r="H674" s="106" t="str">
        <f t="shared" si="1"/>
        <v>2024-08</v>
      </c>
      <c r="I674" s="271" t="str">
        <f>IFERROR(__xludf.DUMMYFUNCTION("""COMPUTED_VALUE"""),"貓狗企鵝")</f>
        <v>貓狗企鵝</v>
      </c>
      <c r="J674" t="str">
        <f>IFERROR(__xludf.DUMMYFUNCTION("IFS(
  AND(REGEXMATCH(E674, ""台銀籌備帳戶|玉山帳戶""), REGEXMATCH(C674, ""薪資"")), ""分潤支出"",
  AND(REGEXMATCH(E674, ""Ben帳戶|Elsa帳戶|Ben代墊|Ariel代墊|中信銀行共用""), REGEXMATCH(F674, ""Ben帳戶|Elsa帳戶|Ben代墊|Ariel代墊|中信銀行共用"")), ""內部轉帳(忽略)"",
  AND(E674&lt;&gt;"""", F674&lt;&gt;"""", NOT(REG"&amp;"EXMATCH(C674, ""薪資""))), ""內部轉帳(忽略)"",
  REGEXMATCH(C674, ""薪資""), ""薪資變動(不計入)"",
  REGEXMATCH(C674, ""押金""), ""押金往來"",
  AND(E674&lt;&gt;"""", F674=""""), ""真實支出"",
  AND(E674="""", F674&lt;&gt;""""), ""真實收入"",
  TRUE, ""其他""
)"),"真實支出")</f>
        <v>真實支出</v>
      </c>
      <c r="K674" s="270">
        <f t="shared" si="2"/>
        <v>-1000</v>
      </c>
      <c r="L674">
        <f t="shared" si="3"/>
        <v>0</v>
      </c>
    </row>
    <row r="675">
      <c r="A675" s="107">
        <f>IFERROR(__xludf.DUMMYFUNCTION("""COMPUTED_VALUE"""),45532.0)</f>
        <v>45532</v>
      </c>
      <c r="B675" t="str">
        <f>IFERROR(__xludf.DUMMYFUNCTION("""COMPUTED_VALUE"""),"鑰匙費用(內湖區)")</f>
        <v>鑰匙費用(內湖區)</v>
      </c>
      <c r="C675" t="str">
        <f>IFERROR(__xludf.DUMMYFUNCTION("""COMPUTED_VALUE"""),"成本 - 進場前裝潢費")</f>
        <v>成本 - 進場前裝潢費</v>
      </c>
      <c r="D675" s="270">
        <f>IFERROR(__xludf.DUMMYFUNCTION("""COMPUTED_VALUE"""),-2400.0)</f>
        <v>-2400</v>
      </c>
      <c r="E675" t="str">
        <f>IFERROR(__xludf.DUMMYFUNCTION("""COMPUTED_VALUE"""),"Ben帳戶")</f>
        <v>Ben帳戶</v>
      </c>
      <c r="G675" t="str">
        <f>IFERROR(__xludf.DUMMYFUNCTION("""COMPUTED_VALUE"""),"金龍帽子先生")</f>
        <v>金龍帽子先生</v>
      </c>
      <c r="H675" s="106" t="str">
        <f t="shared" si="1"/>
        <v>2024-08</v>
      </c>
      <c r="I675" s="271" t="str">
        <f>IFERROR(__xludf.DUMMYFUNCTION("""COMPUTED_VALUE"""),"貓狗企鵝")</f>
        <v>貓狗企鵝</v>
      </c>
      <c r="J675" t="str">
        <f>IFERROR(__xludf.DUMMYFUNCTION("IFS(
  AND(REGEXMATCH(E675, ""台銀籌備帳戶|玉山帳戶""), REGEXMATCH(C675, ""薪資"")), ""分潤支出"",
  AND(REGEXMATCH(E675, ""Ben帳戶|Elsa帳戶|Ben代墊|Ariel代墊|中信銀行共用""), REGEXMATCH(F675, ""Ben帳戶|Elsa帳戶|Ben代墊|Ariel代墊|中信銀行共用"")), ""內部轉帳(忽略)"",
  AND(E675&lt;&gt;"""", F675&lt;&gt;"""", NOT(REG"&amp;"EXMATCH(C675, ""薪資""))), ""內部轉帳(忽略)"",
  REGEXMATCH(C675, ""薪資""), ""薪資變動(不計入)"",
  REGEXMATCH(C675, ""押金""), ""押金往來"",
  AND(E675&lt;&gt;"""", F675=""""), ""真實支出"",
  AND(E675="""", F675&lt;&gt;""""), ""真實收入"",
  TRUE, ""其他""
)"),"真實支出")</f>
        <v>真實支出</v>
      </c>
      <c r="K675" s="270">
        <f t="shared" si="2"/>
        <v>-2400</v>
      </c>
      <c r="L675">
        <f t="shared" si="3"/>
        <v>0</v>
      </c>
    </row>
    <row r="676">
      <c r="A676" s="107">
        <f>IFERROR(__xludf.DUMMYFUNCTION("""COMPUTED_VALUE"""),45533.0)</f>
        <v>45533</v>
      </c>
      <c r="B676" t="str">
        <f>IFERROR(__xludf.DUMMYFUNCTION("""COMPUTED_VALUE"""),"金龍路押金")</f>
        <v>金龍路押金</v>
      </c>
      <c r="C676" t="str">
        <f>IFERROR(__xludf.DUMMYFUNCTION("""COMPUTED_VALUE"""),"成本 - 大租金")</f>
        <v>成本 - 大租金</v>
      </c>
      <c r="D676" s="270">
        <f>IFERROR(__xludf.DUMMYFUNCTION("""COMPUTED_VALUE"""),-71000.0)</f>
        <v>-71000</v>
      </c>
      <c r="E676" t="str">
        <f>IFERROR(__xludf.DUMMYFUNCTION("""COMPUTED_VALUE"""),"Ben帳戶")</f>
        <v>Ben帳戶</v>
      </c>
      <c r="G676" t="str">
        <f>IFERROR(__xludf.DUMMYFUNCTION("""COMPUTED_VALUE"""),"金龍帽子先生")</f>
        <v>金龍帽子先生</v>
      </c>
      <c r="H676" s="106" t="str">
        <f t="shared" si="1"/>
        <v>2024-08</v>
      </c>
      <c r="I676" s="271" t="str">
        <f>IFERROR(__xludf.DUMMYFUNCTION("""COMPUTED_VALUE"""),"貓狗企鵝")</f>
        <v>貓狗企鵝</v>
      </c>
      <c r="J676" t="str">
        <f>IFERROR(__xludf.DUMMYFUNCTION("IFS(
  AND(REGEXMATCH(E676, ""台銀籌備帳戶|玉山帳戶""), REGEXMATCH(C676, ""薪資"")), ""分潤支出"",
  AND(REGEXMATCH(E676, ""Ben帳戶|Elsa帳戶|Ben代墊|Ariel代墊|中信銀行共用""), REGEXMATCH(F676, ""Ben帳戶|Elsa帳戶|Ben代墊|Ariel代墊|中信銀行共用"")), ""內部轉帳(忽略)"",
  AND(E676&lt;&gt;"""", F676&lt;&gt;"""", NOT(REG"&amp;"EXMATCH(C676, ""薪資""))), ""內部轉帳(忽略)"",
  REGEXMATCH(C676, ""薪資""), ""薪資變動(不計入)"",
  REGEXMATCH(C676, ""押金""), ""押金往來"",
  AND(E676&lt;&gt;"""", F676=""""), ""真實支出"",
  AND(E676="""", F676&lt;&gt;""""), ""真實收入"",
  TRUE, ""其他""
)"),"真實支出")</f>
        <v>真實支出</v>
      </c>
      <c r="K676" s="270">
        <f t="shared" si="2"/>
        <v>-71000</v>
      </c>
      <c r="L676">
        <f t="shared" si="3"/>
        <v>0</v>
      </c>
    </row>
    <row r="677">
      <c r="A677" s="107">
        <f>IFERROR(__xludf.DUMMYFUNCTION("""COMPUTED_VALUE"""),45533.0)</f>
        <v>45533</v>
      </c>
      <c r="B677" t="str">
        <f>IFERROR(__xludf.DUMMYFUNCTION("""COMPUTED_VALUE"""),"金龍路房仲費")</f>
        <v>金龍路房仲費</v>
      </c>
      <c r="C677" t="str">
        <f>IFERROR(__xludf.DUMMYFUNCTION("""COMPUTED_VALUE"""),"成本 - 仲介費")</f>
        <v>成本 - 仲介費</v>
      </c>
      <c r="D677" s="270">
        <f>IFERROR(__xludf.DUMMYFUNCTION("""COMPUTED_VALUE"""),-45500.0)</f>
        <v>-45500</v>
      </c>
      <c r="E677" t="str">
        <f>IFERROR(__xludf.DUMMYFUNCTION("""COMPUTED_VALUE"""),"Ben帳戶")</f>
        <v>Ben帳戶</v>
      </c>
      <c r="G677" t="str">
        <f>IFERROR(__xludf.DUMMYFUNCTION("""COMPUTED_VALUE"""),"金龍帽子先生")</f>
        <v>金龍帽子先生</v>
      </c>
      <c r="H677" s="106" t="str">
        <f t="shared" si="1"/>
        <v>2024-08</v>
      </c>
      <c r="I677" s="271" t="str">
        <f>IFERROR(__xludf.DUMMYFUNCTION("""COMPUTED_VALUE"""),"貓狗企鵝")</f>
        <v>貓狗企鵝</v>
      </c>
      <c r="J677" t="str">
        <f>IFERROR(__xludf.DUMMYFUNCTION("IFS(
  AND(REGEXMATCH(E677, ""台銀籌備帳戶|玉山帳戶""), REGEXMATCH(C677, ""薪資"")), ""分潤支出"",
  AND(REGEXMATCH(E677, ""Ben帳戶|Elsa帳戶|Ben代墊|Ariel代墊|中信銀行共用""), REGEXMATCH(F677, ""Ben帳戶|Elsa帳戶|Ben代墊|Ariel代墊|中信銀行共用"")), ""內部轉帳(忽略)"",
  AND(E677&lt;&gt;"""", F677&lt;&gt;"""", NOT(REG"&amp;"EXMATCH(C677, ""薪資""))), ""內部轉帳(忽略)"",
  REGEXMATCH(C677, ""薪資""), ""薪資變動(不計入)"",
  REGEXMATCH(C677, ""押金""), ""押金往來"",
  AND(E677&lt;&gt;"""", F677=""""), ""真實支出"",
  AND(E677="""", F677&lt;&gt;""""), ""真實收入"",
  TRUE, ""其他""
)"),"真實支出")</f>
        <v>真實支出</v>
      </c>
      <c r="K677" s="270">
        <f t="shared" si="2"/>
        <v>-45500</v>
      </c>
      <c r="L677">
        <f t="shared" si="3"/>
        <v>0</v>
      </c>
    </row>
    <row r="678">
      <c r="A678" s="107">
        <f>IFERROR(__xludf.DUMMYFUNCTION("""COMPUTED_VALUE"""),45533.0)</f>
        <v>45533</v>
      </c>
      <c r="B678" t="str">
        <f>IFERROR(__xludf.DUMMYFUNCTION("""COMPUTED_VALUE"""),"公證費")</f>
        <v>公證費</v>
      </c>
      <c r="C678" t="str">
        <f>IFERROR(__xludf.DUMMYFUNCTION("""COMPUTED_VALUE"""),"成本 - 公證費")</f>
        <v>成本 - 公證費</v>
      </c>
      <c r="D678" s="270">
        <f>IFERROR(__xludf.DUMMYFUNCTION("""COMPUTED_VALUE"""),-3750.0)</f>
        <v>-3750</v>
      </c>
      <c r="E678" t="str">
        <f>IFERROR(__xludf.DUMMYFUNCTION("""COMPUTED_VALUE"""),"Ben帳戶")</f>
        <v>Ben帳戶</v>
      </c>
      <c r="G678" t="str">
        <f>IFERROR(__xludf.DUMMYFUNCTION("""COMPUTED_VALUE"""),"金龍帽子先生")</f>
        <v>金龍帽子先生</v>
      </c>
      <c r="H678" s="106" t="str">
        <f t="shared" si="1"/>
        <v>2024-08</v>
      </c>
      <c r="I678" s="271" t="str">
        <f>IFERROR(__xludf.DUMMYFUNCTION("""COMPUTED_VALUE"""),"貓狗企鵝")</f>
        <v>貓狗企鵝</v>
      </c>
      <c r="J678" t="str">
        <f>IFERROR(__xludf.DUMMYFUNCTION("IFS(
  AND(REGEXMATCH(E678, ""台銀籌備帳戶|玉山帳戶""), REGEXMATCH(C678, ""薪資"")), ""分潤支出"",
  AND(REGEXMATCH(E678, ""Ben帳戶|Elsa帳戶|Ben代墊|Ariel代墊|中信銀行共用""), REGEXMATCH(F678, ""Ben帳戶|Elsa帳戶|Ben代墊|Ariel代墊|中信銀行共用"")), ""內部轉帳(忽略)"",
  AND(E678&lt;&gt;"""", F678&lt;&gt;"""", NOT(REG"&amp;"EXMATCH(C678, ""薪資""))), ""內部轉帳(忽略)"",
  REGEXMATCH(C678, ""薪資""), ""薪資變動(不計入)"",
  REGEXMATCH(C678, ""押金""), ""押金往來"",
  AND(E678&lt;&gt;"""", F678=""""), ""真實支出"",
  AND(E678="""", F678&lt;&gt;""""), ""真實收入"",
  TRUE, ""其他""
)"),"真實支出")</f>
        <v>真實支出</v>
      </c>
      <c r="K678" s="270">
        <f t="shared" si="2"/>
        <v>-3750</v>
      </c>
      <c r="L678">
        <f t="shared" si="3"/>
        <v>0</v>
      </c>
    </row>
    <row r="679">
      <c r="A679" s="107">
        <f>IFERROR(__xludf.DUMMYFUNCTION("""COMPUTED_VALUE"""),45533.0)</f>
        <v>45533</v>
      </c>
      <c r="B679" t="str">
        <f>IFERROR(__xludf.DUMMYFUNCTION("""COMPUTED_VALUE"""),"大湖山莊F吳智方")</f>
        <v>大湖山莊F吳智方</v>
      </c>
      <c r="C679" t="str">
        <f>IFERROR(__xludf.DUMMYFUNCTION("""COMPUTED_VALUE"""),"收入 - 租金")</f>
        <v>收入 - 租金</v>
      </c>
      <c r="D679" s="270">
        <f>IFERROR(__xludf.DUMMYFUNCTION("""COMPUTED_VALUE"""),9000.0)</f>
        <v>9000</v>
      </c>
      <c r="F679" t="str">
        <f>IFERROR(__xludf.DUMMYFUNCTION("""COMPUTED_VALUE"""),"台銀籌備帳戶")</f>
        <v>台銀籌備帳戶</v>
      </c>
      <c r="G679" t="str">
        <f>IFERROR(__xludf.DUMMYFUNCTION("""COMPUTED_VALUE"""),"大湖山莊")</f>
        <v>大湖山莊</v>
      </c>
      <c r="H679" s="106" t="str">
        <f t="shared" si="1"/>
        <v>2024-08</v>
      </c>
      <c r="I679" s="271" t="str">
        <f>IFERROR(__xludf.DUMMYFUNCTION("""COMPUTED_VALUE"""),"貓狗企鵝")</f>
        <v>貓狗企鵝</v>
      </c>
      <c r="J679" t="str">
        <f>IFERROR(__xludf.DUMMYFUNCTION("IFS(
  AND(REGEXMATCH(E679, ""台銀籌備帳戶|玉山帳戶""), REGEXMATCH(C679, ""薪資"")), ""分潤支出"",
  AND(REGEXMATCH(E679, ""Ben帳戶|Elsa帳戶|Ben代墊|Ariel代墊|中信銀行共用""), REGEXMATCH(F679, ""Ben帳戶|Elsa帳戶|Ben代墊|Ariel代墊|中信銀行共用"")), ""內部轉帳(忽略)"",
  AND(E679&lt;&gt;"""", F679&lt;&gt;"""", NOT(REG"&amp;"EXMATCH(C679, ""薪資""))), ""內部轉帳(忽略)"",
  REGEXMATCH(C679, ""薪資""), ""薪資變動(不計入)"",
  REGEXMATCH(C679, ""押金""), ""押金往來"",
  AND(E679&lt;&gt;"""", F679=""""), ""真實支出"",
  AND(E679="""", F679&lt;&gt;""""), ""真實收入"",
  TRUE, ""其他""
)"),"真實收入")</f>
        <v>真實收入</v>
      </c>
      <c r="K679" s="270">
        <f t="shared" si="2"/>
        <v>9000</v>
      </c>
      <c r="L679">
        <f t="shared" si="3"/>
        <v>0</v>
      </c>
    </row>
    <row r="680">
      <c r="A680" s="107">
        <f>IFERROR(__xludf.DUMMYFUNCTION("""COMPUTED_VALUE"""),45533.0)</f>
        <v>45533</v>
      </c>
      <c r="B680" t="str">
        <f>IFERROR(__xludf.DUMMYFUNCTION("""COMPUTED_VALUE"""),"南港壁癌蓋板")</f>
        <v>南港壁癌蓋板</v>
      </c>
      <c r="C680" t="str">
        <f>IFERROR(__xludf.DUMMYFUNCTION("""COMPUTED_VALUE"""),"成本 - 進場前裝潢費")</f>
        <v>成本 - 進場前裝潢費</v>
      </c>
      <c r="D680" s="270">
        <f>IFERROR(__xludf.DUMMYFUNCTION("""COMPUTED_VALUE"""),46000.0)</f>
        <v>46000</v>
      </c>
      <c r="F680" t="str">
        <f>IFERROR(__xludf.DUMMYFUNCTION("""COMPUTED_VALUE"""),"台銀籌備帳戶")</f>
        <v>台銀籌備帳戶</v>
      </c>
      <c r="G680" t="str">
        <f>IFERROR(__xludf.DUMMYFUNCTION("""COMPUTED_VALUE"""),"南港站挑高宅")</f>
        <v>南港站挑高宅</v>
      </c>
      <c r="H680" s="106" t="str">
        <f t="shared" si="1"/>
        <v>2024-08</v>
      </c>
      <c r="I680" s="271" t="str">
        <f>IFERROR(__xludf.DUMMYFUNCTION("""COMPUTED_VALUE"""),"貓狗企鵝")</f>
        <v>貓狗企鵝</v>
      </c>
      <c r="J680" t="str">
        <f>IFERROR(__xludf.DUMMYFUNCTION("IFS(
  AND(REGEXMATCH(E680, ""台銀籌備帳戶|玉山帳戶""), REGEXMATCH(C680, ""薪資"")), ""分潤支出"",
  AND(REGEXMATCH(E680, ""Ben帳戶|Elsa帳戶|Ben代墊|Ariel代墊|中信銀行共用""), REGEXMATCH(F680, ""Ben帳戶|Elsa帳戶|Ben代墊|Ariel代墊|中信銀行共用"")), ""內部轉帳(忽略)"",
  AND(E680&lt;&gt;"""", F680&lt;&gt;"""", NOT(REG"&amp;"EXMATCH(C680, ""薪資""))), ""內部轉帳(忽略)"",
  REGEXMATCH(C680, ""薪資""), ""薪資變動(不計入)"",
  REGEXMATCH(C680, ""押金""), ""押金往來"",
  AND(E680&lt;&gt;"""", F680=""""), ""真實支出"",
  AND(E680="""", F680&lt;&gt;""""), ""真實收入"",
  TRUE, ""其他""
)"),"真實收入")</f>
        <v>真實收入</v>
      </c>
      <c r="K680" s="270">
        <f t="shared" si="2"/>
        <v>46000</v>
      </c>
      <c r="L680">
        <f t="shared" si="3"/>
        <v>0</v>
      </c>
    </row>
    <row r="681">
      <c r="A681" s="107">
        <f>IFERROR(__xludf.DUMMYFUNCTION("""COMPUTED_VALUE"""),45534.0)</f>
        <v>45534</v>
      </c>
      <c r="B681" t="str">
        <f>IFERROR(__xludf.DUMMYFUNCTION("""COMPUTED_VALUE"""),"哈拉小芳水電費")</f>
        <v>哈拉小芳水電費</v>
      </c>
      <c r="C681" t="str">
        <f>IFERROR(__xludf.DUMMYFUNCTION("""COMPUTED_VALUE"""),"成本 - 進場前裝潢費")</f>
        <v>成本 - 進場前裝潢費</v>
      </c>
      <c r="D681" s="270">
        <f>IFERROR(__xludf.DUMMYFUNCTION("""COMPUTED_VALUE"""),1688.0)</f>
        <v>1688</v>
      </c>
      <c r="F681" t="str">
        <f>IFERROR(__xludf.DUMMYFUNCTION("""COMPUTED_VALUE"""),"台銀籌備帳戶")</f>
        <v>台銀籌備帳戶</v>
      </c>
      <c r="G681" t="str">
        <f>IFERROR(__xludf.DUMMYFUNCTION("""COMPUTED_VALUE"""),"哈拉對面")</f>
        <v>哈拉對面</v>
      </c>
      <c r="H681" s="106" t="str">
        <f t="shared" si="1"/>
        <v>2024-08</v>
      </c>
      <c r="I681" s="271" t="str">
        <f>IFERROR(__xludf.DUMMYFUNCTION("""COMPUTED_VALUE"""),"貓狗企鵝")</f>
        <v>貓狗企鵝</v>
      </c>
      <c r="J681" t="str">
        <f>IFERROR(__xludf.DUMMYFUNCTION("IFS(
  AND(REGEXMATCH(E681, ""台銀籌備帳戶|玉山帳戶""), REGEXMATCH(C681, ""薪資"")), ""分潤支出"",
  AND(REGEXMATCH(E681, ""Ben帳戶|Elsa帳戶|Ben代墊|Ariel代墊|中信銀行共用""), REGEXMATCH(F681, ""Ben帳戶|Elsa帳戶|Ben代墊|Ariel代墊|中信銀行共用"")), ""內部轉帳(忽略)"",
  AND(E681&lt;&gt;"""", F681&lt;&gt;"""", NOT(REG"&amp;"EXMATCH(C681, ""薪資""))), ""內部轉帳(忽略)"",
  REGEXMATCH(C681, ""薪資""), ""薪資變動(不計入)"",
  REGEXMATCH(C681, ""押金""), ""押金往來"",
  AND(E681&lt;&gt;"""", F681=""""), ""真實支出"",
  AND(E681="""", F681&lt;&gt;""""), ""真實收入"",
  TRUE, ""其他""
)"),"真實收入")</f>
        <v>真實收入</v>
      </c>
      <c r="K681" s="270">
        <f t="shared" si="2"/>
        <v>1688</v>
      </c>
      <c r="L681">
        <f t="shared" si="3"/>
        <v>0</v>
      </c>
    </row>
    <row r="682">
      <c r="A682" s="107">
        <f>IFERROR(__xludf.DUMMYFUNCTION("""COMPUTED_VALUE"""),45534.0)</f>
        <v>45534</v>
      </c>
      <c r="B682" t="str">
        <f>IFERROR(__xludf.DUMMYFUNCTION("""COMPUTED_VALUE"""),"哈拉對面D柳翰洋")</f>
        <v>哈拉對面D柳翰洋</v>
      </c>
      <c r="C682" t="str">
        <f>IFERROR(__xludf.DUMMYFUNCTION("""COMPUTED_VALUE"""),"收入 - 租金")</f>
        <v>收入 - 租金</v>
      </c>
      <c r="D682" s="270">
        <f>IFERROR(__xludf.DUMMYFUNCTION("""COMPUTED_VALUE"""),12300.0)</f>
        <v>12300</v>
      </c>
      <c r="F682" t="str">
        <f>IFERROR(__xludf.DUMMYFUNCTION("""COMPUTED_VALUE"""),"台銀籌備帳戶")</f>
        <v>台銀籌備帳戶</v>
      </c>
      <c r="G682" t="str">
        <f>IFERROR(__xludf.DUMMYFUNCTION("""COMPUTED_VALUE"""),"哈拉對面")</f>
        <v>哈拉對面</v>
      </c>
      <c r="H682" s="106" t="str">
        <f t="shared" si="1"/>
        <v>2024-08</v>
      </c>
      <c r="I682" s="271" t="str">
        <f>IFERROR(__xludf.DUMMYFUNCTION("""COMPUTED_VALUE"""),"貓狗企鵝")</f>
        <v>貓狗企鵝</v>
      </c>
      <c r="J682" t="str">
        <f>IFERROR(__xludf.DUMMYFUNCTION("IFS(
  AND(REGEXMATCH(E682, ""台銀籌備帳戶|玉山帳戶""), REGEXMATCH(C682, ""薪資"")), ""分潤支出"",
  AND(REGEXMATCH(E682, ""Ben帳戶|Elsa帳戶|Ben代墊|Ariel代墊|中信銀行共用""), REGEXMATCH(F682, ""Ben帳戶|Elsa帳戶|Ben代墊|Ariel代墊|中信銀行共用"")), ""內部轉帳(忽略)"",
  AND(E682&lt;&gt;"""", F682&lt;&gt;"""", NOT(REG"&amp;"EXMATCH(C682, ""薪資""))), ""內部轉帳(忽略)"",
  REGEXMATCH(C682, ""薪資""), ""薪資變動(不計入)"",
  REGEXMATCH(C682, ""押金""), ""押金往來"",
  AND(E682&lt;&gt;"""", F682=""""), ""真實支出"",
  AND(E682="""", F682&lt;&gt;""""), ""真實收入"",
  TRUE, ""其他""
)"),"真實收入")</f>
        <v>真實收入</v>
      </c>
      <c r="K682" s="270">
        <f t="shared" si="2"/>
        <v>12300</v>
      </c>
      <c r="L682">
        <f t="shared" si="3"/>
        <v>0</v>
      </c>
    </row>
    <row r="683">
      <c r="A683" s="107">
        <f>IFERROR(__xludf.DUMMYFUNCTION("""COMPUTED_VALUE"""),45534.0)</f>
        <v>45534</v>
      </c>
      <c r="B683" t="str">
        <f>IFERROR(__xludf.DUMMYFUNCTION("""COMPUTED_VALUE"""),"出勤時間(永春區)")</f>
        <v>出勤時間(永春區)</v>
      </c>
      <c r="C683" t="str">
        <f>IFERROR(__xludf.DUMMYFUNCTION("""COMPUTED_VALUE"""),"成本 - 出勤費")</f>
        <v>成本 - 出勤費</v>
      </c>
      <c r="D683" s="270">
        <f>IFERROR(__xludf.DUMMYFUNCTION("""COMPUTED_VALUE"""),-800.0)</f>
        <v>-800</v>
      </c>
      <c r="E683" t="str">
        <f>IFERROR(__xludf.DUMMYFUNCTION("""COMPUTED_VALUE"""),"Ben帳戶")</f>
        <v>Ben帳戶</v>
      </c>
      <c r="G683" t="str">
        <f>IFERROR(__xludf.DUMMYFUNCTION("""COMPUTED_VALUE"""),"永春四號")</f>
        <v>永春四號</v>
      </c>
      <c r="H683" s="106" t="str">
        <f t="shared" si="1"/>
        <v>2024-08</v>
      </c>
      <c r="I683" s="271" t="str">
        <f>IFERROR(__xludf.DUMMYFUNCTION("""COMPUTED_VALUE"""),"貓狗企鵝")</f>
        <v>貓狗企鵝</v>
      </c>
      <c r="J683" t="str">
        <f>IFERROR(__xludf.DUMMYFUNCTION("IFS(
  AND(REGEXMATCH(E683, ""台銀籌備帳戶|玉山帳戶""), REGEXMATCH(C683, ""薪資"")), ""分潤支出"",
  AND(REGEXMATCH(E683, ""Ben帳戶|Elsa帳戶|Ben代墊|Ariel代墊|中信銀行共用""), REGEXMATCH(F683, ""Ben帳戶|Elsa帳戶|Ben代墊|Ariel代墊|中信銀行共用"")), ""內部轉帳(忽略)"",
  AND(E683&lt;&gt;"""", F683&lt;&gt;"""", NOT(REG"&amp;"EXMATCH(C683, ""薪資""))), ""內部轉帳(忽略)"",
  REGEXMATCH(C683, ""薪資""), ""薪資變動(不計入)"",
  REGEXMATCH(C683, ""押金""), ""押金往來"",
  AND(E683&lt;&gt;"""", F683=""""), ""真實支出"",
  AND(E683="""", F683&lt;&gt;""""), ""真實收入"",
  TRUE, ""其他""
)"),"真實支出")</f>
        <v>真實支出</v>
      </c>
      <c r="K683" s="270">
        <f t="shared" si="2"/>
        <v>-800</v>
      </c>
      <c r="L683">
        <f t="shared" si="3"/>
        <v>0</v>
      </c>
    </row>
    <row r="684">
      <c r="A684" s="107">
        <f>IFERROR(__xludf.DUMMYFUNCTION("""COMPUTED_VALUE"""),45535.0)</f>
        <v>45535</v>
      </c>
      <c r="B684" t="str">
        <f>IFERROR(__xludf.DUMMYFUNCTION("""COMPUTED_VALUE"""),"南港B首租2押")</f>
        <v>南港B首租2押</v>
      </c>
      <c r="C684" t="str">
        <f>IFERROR(__xludf.DUMMYFUNCTION("""COMPUTED_VALUE"""),"收入 - 租金")</f>
        <v>收入 - 租金</v>
      </c>
      <c r="D684" s="270">
        <f>IFERROR(__xludf.DUMMYFUNCTION("""COMPUTED_VALUE"""),26800.0)</f>
        <v>26800</v>
      </c>
      <c r="F684" t="str">
        <f>IFERROR(__xludf.DUMMYFUNCTION("""COMPUTED_VALUE"""),"Ben帳戶")</f>
        <v>Ben帳戶</v>
      </c>
      <c r="G684" t="str">
        <f>IFERROR(__xludf.DUMMYFUNCTION("""COMPUTED_VALUE"""),"南港站挑高宅")</f>
        <v>南港站挑高宅</v>
      </c>
      <c r="H684" s="106" t="str">
        <f t="shared" si="1"/>
        <v>2024-08</v>
      </c>
      <c r="I684" s="271" t="str">
        <f>IFERROR(__xludf.DUMMYFUNCTION("""COMPUTED_VALUE"""),"貓狗企鵝")</f>
        <v>貓狗企鵝</v>
      </c>
      <c r="J684" t="str">
        <f>IFERROR(__xludf.DUMMYFUNCTION("IFS(
  AND(REGEXMATCH(E684, ""台銀籌備帳戶|玉山帳戶""), REGEXMATCH(C684, ""薪資"")), ""分潤支出"",
  AND(REGEXMATCH(E684, ""Ben帳戶|Elsa帳戶|Ben代墊|Ariel代墊|中信銀行共用""), REGEXMATCH(F684, ""Ben帳戶|Elsa帳戶|Ben代墊|Ariel代墊|中信銀行共用"")), ""內部轉帳(忽略)"",
  AND(E684&lt;&gt;"""", F684&lt;&gt;"""", NOT(REG"&amp;"EXMATCH(C684, ""薪資""))), ""內部轉帳(忽略)"",
  REGEXMATCH(C684, ""薪資""), ""薪資變動(不計入)"",
  REGEXMATCH(C684, ""押金""), ""押金往來"",
  AND(E684&lt;&gt;"""", F684=""""), ""真實支出"",
  AND(E684="""", F684&lt;&gt;""""), ""真實收入"",
  TRUE, ""其他""
)"),"真實收入")</f>
        <v>真實收入</v>
      </c>
      <c r="K684" s="270">
        <f t="shared" si="2"/>
        <v>26800</v>
      </c>
      <c r="L684">
        <f t="shared" si="3"/>
        <v>0</v>
      </c>
    </row>
    <row r="685">
      <c r="A685" s="107">
        <f>IFERROR(__xludf.DUMMYFUNCTION("""COMPUTED_VALUE"""),45535.0)</f>
        <v>45535</v>
      </c>
      <c r="B685" t="str">
        <f>IFERROR(__xludf.DUMMYFUNCTION("""COMPUTED_VALUE"""),"金龍LED Joya")</f>
        <v>金龍LED Joya</v>
      </c>
      <c r="C685" t="str">
        <f>IFERROR(__xludf.DUMMYFUNCTION("""COMPUTED_VALUE"""),"成本 - 進場前裝潢費")</f>
        <v>成本 - 進場前裝潢費</v>
      </c>
      <c r="D685" s="270">
        <f>IFERROR(__xludf.DUMMYFUNCTION("""COMPUTED_VALUE"""),-3021.0)</f>
        <v>-3021</v>
      </c>
      <c r="E685" t="str">
        <f>IFERROR(__xludf.DUMMYFUNCTION("""COMPUTED_VALUE"""),"Ben帳戶")</f>
        <v>Ben帳戶</v>
      </c>
      <c r="G685" t="str">
        <f>IFERROR(__xludf.DUMMYFUNCTION("""COMPUTED_VALUE"""),"金龍帽子先生")</f>
        <v>金龍帽子先生</v>
      </c>
      <c r="H685" s="106" t="str">
        <f t="shared" si="1"/>
        <v>2024-08</v>
      </c>
      <c r="I685" s="271" t="str">
        <f>IFERROR(__xludf.DUMMYFUNCTION("""COMPUTED_VALUE"""),"貓狗企鵝")</f>
        <v>貓狗企鵝</v>
      </c>
      <c r="J685" t="str">
        <f>IFERROR(__xludf.DUMMYFUNCTION("IFS(
  AND(REGEXMATCH(E685, ""台銀籌備帳戶|玉山帳戶""), REGEXMATCH(C685, ""薪資"")), ""分潤支出"",
  AND(REGEXMATCH(E685, ""Ben帳戶|Elsa帳戶|Ben代墊|Ariel代墊|中信銀行共用""), REGEXMATCH(F685, ""Ben帳戶|Elsa帳戶|Ben代墊|Ariel代墊|中信銀行共用"")), ""內部轉帳(忽略)"",
  AND(E685&lt;&gt;"""", F685&lt;&gt;"""", NOT(REG"&amp;"EXMATCH(C685, ""薪資""))), ""內部轉帳(忽略)"",
  REGEXMATCH(C685, ""薪資""), ""薪資變動(不計入)"",
  REGEXMATCH(C685, ""押金""), ""押金往來"",
  AND(E685&lt;&gt;"""", F685=""""), ""真實支出"",
  AND(E685="""", F685&lt;&gt;""""), ""真實收入"",
  TRUE, ""其他""
)"),"真實支出")</f>
        <v>真實支出</v>
      </c>
      <c r="K685" s="270">
        <f t="shared" si="2"/>
        <v>-3021</v>
      </c>
      <c r="L685">
        <f t="shared" si="3"/>
        <v>0</v>
      </c>
    </row>
    <row r="686">
      <c r="A686" s="107">
        <f>IFERROR(__xludf.DUMMYFUNCTION("""COMPUTED_VALUE"""),45535.0)</f>
        <v>45535</v>
      </c>
      <c r="B686" t="str">
        <f>IFERROR(__xludf.DUMMYFUNCTION("""COMPUTED_VALUE"""),"窗簾")</f>
        <v>窗簾</v>
      </c>
      <c r="C686" t="str">
        <f>IFERROR(__xludf.DUMMYFUNCTION("""COMPUTED_VALUE"""),"成本 - 進場前裝潢費")</f>
        <v>成本 - 進場前裝潢費</v>
      </c>
      <c r="D686" s="270">
        <f>IFERROR(__xludf.DUMMYFUNCTION("""COMPUTED_VALUE"""),-5050.0)</f>
        <v>-5050</v>
      </c>
      <c r="E686" t="str">
        <f>IFERROR(__xludf.DUMMYFUNCTION("""COMPUTED_VALUE"""),"Ben帳戶")</f>
        <v>Ben帳戶</v>
      </c>
      <c r="G686" t="str">
        <f>IFERROR(__xludf.DUMMYFUNCTION("""COMPUTED_VALUE"""),"金龍帽子先生")</f>
        <v>金龍帽子先生</v>
      </c>
      <c r="H686" s="106" t="str">
        <f t="shared" si="1"/>
        <v>2024-08</v>
      </c>
      <c r="I686" s="271" t="str">
        <f>IFERROR(__xludf.DUMMYFUNCTION("""COMPUTED_VALUE"""),"貓狗企鵝")</f>
        <v>貓狗企鵝</v>
      </c>
      <c r="J686" t="str">
        <f>IFERROR(__xludf.DUMMYFUNCTION("IFS(
  AND(REGEXMATCH(E686, ""台銀籌備帳戶|玉山帳戶""), REGEXMATCH(C686, ""薪資"")), ""分潤支出"",
  AND(REGEXMATCH(E686, ""Ben帳戶|Elsa帳戶|Ben代墊|Ariel代墊|中信銀行共用""), REGEXMATCH(F686, ""Ben帳戶|Elsa帳戶|Ben代墊|Ariel代墊|中信銀行共用"")), ""內部轉帳(忽略)"",
  AND(E686&lt;&gt;"""", F686&lt;&gt;"""", NOT(REG"&amp;"EXMATCH(C686, ""薪資""))), ""內部轉帳(忽略)"",
  REGEXMATCH(C686, ""薪資""), ""薪資變動(不計入)"",
  REGEXMATCH(C686, ""押金""), ""押金往來"",
  AND(E686&lt;&gt;"""", F686=""""), ""真實支出"",
  AND(E686="""", F686&lt;&gt;""""), ""真實收入"",
  TRUE, ""其他""
)"),"真實支出")</f>
        <v>真實支出</v>
      </c>
      <c r="K686" s="270">
        <f t="shared" si="2"/>
        <v>-5050</v>
      </c>
      <c r="L686">
        <f t="shared" si="3"/>
        <v>0</v>
      </c>
    </row>
    <row r="687">
      <c r="A687" s="107">
        <f>IFERROR(__xludf.DUMMYFUNCTION("""COMPUTED_VALUE"""),45535.0)</f>
        <v>45535</v>
      </c>
      <c r="B687" t="str">
        <f>IFERROR(__xludf.DUMMYFUNCTION("""COMPUTED_VALUE"""),"淘寶桌椅、燈、裝飾們")</f>
        <v>淘寶桌椅、燈、裝飾們</v>
      </c>
      <c r="C687" t="str">
        <f>IFERROR(__xludf.DUMMYFUNCTION("""COMPUTED_VALUE"""),"成本 - 進場前裝潢費")</f>
        <v>成本 - 進場前裝潢費</v>
      </c>
      <c r="D687" s="270">
        <f>IFERROR(__xludf.DUMMYFUNCTION("""COMPUTED_VALUE"""),-11906.0)</f>
        <v>-11906</v>
      </c>
      <c r="E687" t="str">
        <f>IFERROR(__xludf.DUMMYFUNCTION("""COMPUTED_VALUE"""),"Elsa帳戶")</f>
        <v>Elsa帳戶</v>
      </c>
      <c r="G687" t="str">
        <f>IFERROR(__xludf.DUMMYFUNCTION("""COMPUTED_VALUE"""),"金龍帽子先生")</f>
        <v>金龍帽子先生</v>
      </c>
      <c r="H687" s="106" t="str">
        <f t="shared" si="1"/>
        <v>2024-08</v>
      </c>
      <c r="I687" s="271" t="str">
        <f>IFERROR(__xludf.DUMMYFUNCTION("""COMPUTED_VALUE"""),"貓狗企鵝")</f>
        <v>貓狗企鵝</v>
      </c>
      <c r="J687" t="str">
        <f>IFERROR(__xludf.DUMMYFUNCTION("IFS(
  AND(REGEXMATCH(E687, ""台銀籌備帳戶|玉山帳戶""), REGEXMATCH(C687, ""薪資"")), ""分潤支出"",
  AND(REGEXMATCH(E687, ""Ben帳戶|Elsa帳戶|Ben代墊|Ariel代墊|中信銀行共用""), REGEXMATCH(F687, ""Ben帳戶|Elsa帳戶|Ben代墊|Ariel代墊|中信銀行共用"")), ""內部轉帳(忽略)"",
  AND(E687&lt;&gt;"""", F687&lt;&gt;"""", NOT(REG"&amp;"EXMATCH(C687, ""薪資""))), ""內部轉帳(忽略)"",
  REGEXMATCH(C687, ""薪資""), ""薪資變動(不計入)"",
  REGEXMATCH(C687, ""押金""), ""押金往來"",
  AND(E687&lt;&gt;"""", F687=""""), ""真實支出"",
  AND(E687="""", F687&lt;&gt;""""), ""真實收入"",
  TRUE, ""其他""
)"),"真實支出")</f>
        <v>真實支出</v>
      </c>
      <c r="K687" s="270">
        <f t="shared" si="2"/>
        <v>-11906</v>
      </c>
      <c r="L687">
        <f t="shared" si="3"/>
        <v>0</v>
      </c>
    </row>
    <row r="688">
      <c r="A688" s="107">
        <f>IFERROR(__xludf.DUMMYFUNCTION("""COMPUTED_VALUE"""),45535.0)</f>
        <v>45535</v>
      </c>
      <c r="B688" t="str">
        <f>IFERROR(__xludf.DUMMYFUNCTION("""COMPUTED_VALUE"""),"大湖山莊B施惠卿")</f>
        <v>大湖山莊B施惠卿</v>
      </c>
      <c r="C688" t="str">
        <f>IFERROR(__xludf.DUMMYFUNCTION("""COMPUTED_VALUE"""),"收入 - 租金")</f>
        <v>收入 - 租金</v>
      </c>
      <c r="D688" s="270">
        <f>IFERROR(__xludf.DUMMYFUNCTION("""COMPUTED_VALUE"""),12800.0)</f>
        <v>12800</v>
      </c>
      <c r="F688" t="str">
        <f>IFERROR(__xludf.DUMMYFUNCTION("""COMPUTED_VALUE"""),"台銀籌備帳戶")</f>
        <v>台銀籌備帳戶</v>
      </c>
      <c r="G688" t="str">
        <f>IFERROR(__xludf.DUMMYFUNCTION("""COMPUTED_VALUE"""),"大湖山莊")</f>
        <v>大湖山莊</v>
      </c>
      <c r="H688" s="106" t="str">
        <f t="shared" si="1"/>
        <v>2024-08</v>
      </c>
      <c r="I688" s="271" t="str">
        <f>IFERROR(__xludf.DUMMYFUNCTION("""COMPUTED_VALUE"""),"貓狗企鵝")</f>
        <v>貓狗企鵝</v>
      </c>
      <c r="J688" t="str">
        <f>IFERROR(__xludf.DUMMYFUNCTION("IFS(
  AND(REGEXMATCH(E688, ""台銀籌備帳戶|玉山帳戶""), REGEXMATCH(C688, ""薪資"")), ""分潤支出"",
  AND(REGEXMATCH(E688, ""Ben帳戶|Elsa帳戶|Ben代墊|Ariel代墊|中信銀行共用""), REGEXMATCH(F688, ""Ben帳戶|Elsa帳戶|Ben代墊|Ariel代墊|中信銀行共用"")), ""內部轉帳(忽略)"",
  AND(E688&lt;&gt;"""", F688&lt;&gt;"""", NOT(REG"&amp;"EXMATCH(C688, ""薪資""))), ""內部轉帳(忽略)"",
  REGEXMATCH(C688, ""薪資""), ""薪資變動(不計入)"",
  REGEXMATCH(C688, ""押金""), ""押金往來"",
  AND(E688&lt;&gt;"""", F688=""""), ""真實支出"",
  AND(E688="""", F688&lt;&gt;""""), ""真實收入"",
  TRUE, ""其他""
)"),"真實收入")</f>
        <v>真實收入</v>
      </c>
      <c r="K688" s="270">
        <f t="shared" si="2"/>
        <v>12800</v>
      </c>
      <c r="L688">
        <f t="shared" si="3"/>
        <v>0</v>
      </c>
    </row>
    <row r="689">
      <c r="A689" s="107">
        <f>IFERROR(__xludf.DUMMYFUNCTION("""COMPUTED_VALUE"""),45535.0)</f>
        <v>45535</v>
      </c>
      <c r="B689" t="str">
        <f>IFERROR(__xludf.DUMMYFUNCTION("""COMPUTED_VALUE"""),"KK南港柵欄")</f>
        <v>KK南港柵欄</v>
      </c>
      <c r="C689" t="str">
        <f>IFERROR(__xludf.DUMMYFUNCTION("""COMPUTED_VALUE"""),"成本 - 進場前裝潢費")</f>
        <v>成本 - 進場前裝潢費</v>
      </c>
      <c r="D689" s="270">
        <f>IFERROR(__xludf.DUMMYFUNCTION("""COMPUTED_VALUE"""),-3690.0)</f>
        <v>-3690</v>
      </c>
      <c r="E689" t="str">
        <f>IFERROR(__xludf.DUMMYFUNCTION("""COMPUTED_VALUE"""),"台銀籌備帳戶")</f>
        <v>台銀籌備帳戶</v>
      </c>
      <c r="G689" t="str">
        <f>IFERROR(__xludf.DUMMYFUNCTION("""COMPUTED_VALUE"""),"南港站挑高宅")</f>
        <v>南港站挑高宅</v>
      </c>
      <c r="H689" s="106" t="str">
        <f t="shared" si="1"/>
        <v>2024-08</v>
      </c>
      <c r="I689" s="271" t="str">
        <f>IFERROR(__xludf.DUMMYFUNCTION("""COMPUTED_VALUE"""),"貓狗企鵝")</f>
        <v>貓狗企鵝</v>
      </c>
      <c r="J689" t="str">
        <f>IFERROR(__xludf.DUMMYFUNCTION("IFS(
  AND(REGEXMATCH(E689, ""台銀籌備帳戶|玉山帳戶""), REGEXMATCH(C689, ""薪資"")), ""分潤支出"",
  AND(REGEXMATCH(E689, ""Ben帳戶|Elsa帳戶|Ben代墊|Ariel代墊|中信銀行共用""), REGEXMATCH(F689, ""Ben帳戶|Elsa帳戶|Ben代墊|Ariel代墊|中信銀行共用"")), ""內部轉帳(忽略)"",
  AND(E689&lt;&gt;"""", F689&lt;&gt;"""", NOT(REG"&amp;"EXMATCH(C689, ""薪資""))), ""內部轉帳(忽略)"",
  REGEXMATCH(C689, ""薪資""), ""薪資變動(不計入)"",
  REGEXMATCH(C689, ""押金""), ""押金往來"",
  AND(E689&lt;&gt;"""", F689=""""), ""真實支出"",
  AND(E689="""", F689&lt;&gt;""""), ""真實收入"",
  TRUE, ""其他""
)"),"真實支出")</f>
        <v>真實支出</v>
      </c>
      <c r="K689" s="270">
        <f t="shared" si="2"/>
        <v>-3690</v>
      </c>
      <c r="L689">
        <f t="shared" si="3"/>
        <v>0</v>
      </c>
    </row>
    <row r="690">
      <c r="A690" s="107">
        <f>IFERROR(__xludf.DUMMYFUNCTION("""COMPUTED_VALUE"""),45535.0)</f>
        <v>45535</v>
      </c>
      <c r="B690" t="str">
        <f>IFERROR(__xludf.DUMMYFUNCTION("""COMPUTED_VALUE"""),"金龍拆除")</f>
        <v>金龍拆除</v>
      </c>
      <c r="C690" t="str">
        <f>IFERROR(__xludf.DUMMYFUNCTION("""COMPUTED_VALUE"""),"成本 - 進場前裝潢費")</f>
        <v>成本 - 進場前裝潢費</v>
      </c>
      <c r="D690" s="270">
        <f>IFERROR(__xludf.DUMMYFUNCTION("""COMPUTED_VALUE"""),-22015.0)</f>
        <v>-22015</v>
      </c>
      <c r="E690" t="str">
        <f>IFERROR(__xludf.DUMMYFUNCTION("""COMPUTED_VALUE"""),"台銀籌備帳戶")</f>
        <v>台銀籌備帳戶</v>
      </c>
      <c r="G690" t="str">
        <f>IFERROR(__xludf.DUMMYFUNCTION("""COMPUTED_VALUE"""),"金龍帽子先生")</f>
        <v>金龍帽子先生</v>
      </c>
      <c r="H690" s="106" t="str">
        <f t="shared" si="1"/>
        <v>2024-08</v>
      </c>
      <c r="I690" s="271" t="str">
        <f>IFERROR(__xludf.DUMMYFUNCTION("""COMPUTED_VALUE"""),"貓狗企鵝")</f>
        <v>貓狗企鵝</v>
      </c>
      <c r="J690" t="str">
        <f>IFERROR(__xludf.DUMMYFUNCTION("IFS(
  AND(REGEXMATCH(E690, ""台銀籌備帳戶|玉山帳戶""), REGEXMATCH(C690, ""薪資"")), ""分潤支出"",
  AND(REGEXMATCH(E690, ""Ben帳戶|Elsa帳戶|Ben代墊|Ariel代墊|中信銀行共用""), REGEXMATCH(F690, ""Ben帳戶|Elsa帳戶|Ben代墊|Ariel代墊|中信銀行共用"")), ""內部轉帳(忽略)"",
  AND(E690&lt;&gt;"""", F690&lt;&gt;"""", NOT(REG"&amp;"EXMATCH(C690, ""薪資""))), ""內部轉帳(忽略)"",
  REGEXMATCH(C690, ""薪資""), ""薪資變動(不計入)"",
  REGEXMATCH(C690, ""押金""), ""押金往來"",
  AND(E690&lt;&gt;"""", F690=""""), ""真實支出"",
  AND(E690="""", F690&lt;&gt;""""), ""真實收入"",
  TRUE, ""其他""
)"),"真實支出")</f>
        <v>真實支出</v>
      </c>
      <c r="K690" s="270">
        <f t="shared" si="2"/>
        <v>-22015</v>
      </c>
      <c r="L690">
        <f t="shared" si="3"/>
        <v>0</v>
      </c>
    </row>
    <row r="691">
      <c r="A691" s="107">
        <f>IFERROR(__xludf.DUMMYFUNCTION("""COMPUTED_VALUE"""),45536.0)</f>
        <v>45536</v>
      </c>
      <c r="B691" t="str">
        <f>IFERROR(__xludf.DUMMYFUNCTION("""COMPUTED_VALUE"""),"蓮蓬頭")</f>
        <v>蓮蓬頭</v>
      </c>
      <c r="C691" t="str">
        <f>IFERROR(__xludf.DUMMYFUNCTION("""COMPUTED_VALUE"""),"成本 - 進場前裝潢費")</f>
        <v>成本 - 進場前裝潢費</v>
      </c>
      <c r="D691" s="270">
        <f>IFERROR(__xludf.DUMMYFUNCTION("""COMPUTED_VALUE"""),-420.0)</f>
        <v>-420</v>
      </c>
      <c r="E691" t="str">
        <f>IFERROR(__xludf.DUMMYFUNCTION("""COMPUTED_VALUE"""),"Ben帳戶")</f>
        <v>Ben帳戶</v>
      </c>
      <c r="G691" t="str">
        <f>IFERROR(__xludf.DUMMYFUNCTION("""COMPUTED_VALUE"""),"金龍帽子先生")</f>
        <v>金龍帽子先生</v>
      </c>
      <c r="H691" s="106" t="str">
        <f t="shared" si="1"/>
        <v>2024-09</v>
      </c>
      <c r="I691" s="271" t="str">
        <f>IFERROR(__xludf.DUMMYFUNCTION("""COMPUTED_VALUE"""),"貓狗企鵝")</f>
        <v>貓狗企鵝</v>
      </c>
      <c r="J691" t="str">
        <f>IFERROR(__xludf.DUMMYFUNCTION("IFS(
  AND(REGEXMATCH(E691, ""台銀籌備帳戶|玉山帳戶""), REGEXMATCH(C691, ""薪資"")), ""分潤支出"",
  AND(REGEXMATCH(E691, ""Ben帳戶|Elsa帳戶|Ben代墊|Ariel代墊|中信銀行共用""), REGEXMATCH(F691, ""Ben帳戶|Elsa帳戶|Ben代墊|Ariel代墊|中信銀行共用"")), ""內部轉帳(忽略)"",
  AND(E691&lt;&gt;"""", F691&lt;&gt;"""", NOT(REG"&amp;"EXMATCH(C691, ""薪資""))), ""內部轉帳(忽略)"",
  REGEXMATCH(C691, ""薪資""), ""薪資變動(不計入)"",
  REGEXMATCH(C691, ""押金""), ""押金往來"",
  AND(E691&lt;&gt;"""", F691=""""), ""真實支出"",
  AND(E691="""", F691&lt;&gt;""""), ""真實收入"",
  TRUE, ""其他""
)"),"真實支出")</f>
        <v>真實支出</v>
      </c>
      <c r="K691" s="270">
        <f t="shared" si="2"/>
        <v>-420</v>
      </c>
      <c r="L691">
        <f t="shared" si="3"/>
        <v>0</v>
      </c>
    </row>
    <row r="692">
      <c r="A692" s="107">
        <f>IFERROR(__xludf.DUMMYFUNCTION("""COMPUTED_VALUE"""),45536.0)</f>
        <v>45536</v>
      </c>
      <c r="B692" t="str">
        <f>IFERROR(__xludf.DUMMYFUNCTION("""COMPUTED_VALUE"""),"蝦皮(馬桶刷/拖把/掃把...)")</f>
        <v>蝦皮(馬桶刷/拖把/掃把...)</v>
      </c>
      <c r="C692" t="str">
        <f>IFERROR(__xludf.DUMMYFUNCTION("""COMPUTED_VALUE"""),"成本 - 進場前裝潢費")</f>
        <v>成本 - 進場前裝潢費</v>
      </c>
      <c r="D692" s="270">
        <f>IFERROR(__xludf.DUMMYFUNCTION("""COMPUTED_VALUE"""),-639.0)</f>
        <v>-639</v>
      </c>
      <c r="E692" t="str">
        <f>IFERROR(__xludf.DUMMYFUNCTION("""COMPUTED_VALUE"""),"Elsa帳戶")</f>
        <v>Elsa帳戶</v>
      </c>
      <c r="G692" t="str">
        <f>IFERROR(__xludf.DUMMYFUNCTION("""COMPUTED_VALUE"""),"金龍帽子先生")</f>
        <v>金龍帽子先生</v>
      </c>
      <c r="H692" s="106" t="str">
        <f t="shared" si="1"/>
        <v>2024-09</v>
      </c>
      <c r="I692" s="271" t="str">
        <f>IFERROR(__xludf.DUMMYFUNCTION("""COMPUTED_VALUE"""),"貓狗企鵝")</f>
        <v>貓狗企鵝</v>
      </c>
      <c r="J692" t="str">
        <f>IFERROR(__xludf.DUMMYFUNCTION("IFS(
  AND(REGEXMATCH(E692, ""台銀籌備帳戶|玉山帳戶""), REGEXMATCH(C692, ""薪資"")), ""分潤支出"",
  AND(REGEXMATCH(E692, ""Ben帳戶|Elsa帳戶|Ben代墊|Ariel代墊|中信銀行共用""), REGEXMATCH(F692, ""Ben帳戶|Elsa帳戶|Ben代墊|Ariel代墊|中信銀行共用"")), ""內部轉帳(忽略)"",
  AND(E692&lt;&gt;"""", F692&lt;&gt;"""", NOT(REG"&amp;"EXMATCH(C692, ""薪資""))), ""內部轉帳(忽略)"",
  REGEXMATCH(C692, ""薪資""), ""薪資變動(不計入)"",
  REGEXMATCH(C692, ""押金""), ""押金往來"",
  AND(E692&lt;&gt;"""", F692=""""), ""真實支出"",
  AND(E692="""", F692&lt;&gt;""""), ""真實收入"",
  TRUE, ""其他""
)"),"真實支出")</f>
        <v>真實支出</v>
      </c>
      <c r="K692" s="270">
        <f t="shared" si="2"/>
        <v>-639</v>
      </c>
      <c r="L692">
        <f t="shared" si="3"/>
        <v>0</v>
      </c>
    </row>
    <row r="693">
      <c r="A693" s="107">
        <f>IFERROR(__xludf.DUMMYFUNCTION("""COMPUTED_VALUE"""),45536.0)</f>
        <v>45536</v>
      </c>
      <c r="B693" t="str">
        <f>IFERROR(__xludf.DUMMYFUNCTION("""COMPUTED_VALUE"""),"MoMo 冰箱")</f>
        <v>MoMo 冰箱</v>
      </c>
      <c r="C693" t="str">
        <f>IFERROR(__xludf.DUMMYFUNCTION("""COMPUTED_VALUE"""),"成本 - 進場前裝潢費")</f>
        <v>成本 - 進場前裝潢費</v>
      </c>
      <c r="D693" s="270">
        <f>IFERROR(__xludf.DUMMYFUNCTION("""COMPUTED_VALUE"""),-15199.0)</f>
        <v>-15199</v>
      </c>
      <c r="E693" t="str">
        <f>IFERROR(__xludf.DUMMYFUNCTION("""COMPUTED_VALUE"""),"Elsa帳戶")</f>
        <v>Elsa帳戶</v>
      </c>
      <c r="G693" t="str">
        <f>IFERROR(__xludf.DUMMYFUNCTION("""COMPUTED_VALUE"""),"金龍帽子先生")</f>
        <v>金龍帽子先生</v>
      </c>
      <c r="H693" s="106" t="str">
        <f t="shared" si="1"/>
        <v>2024-09</v>
      </c>
      <c r="I693" s="271" t="str">
        <f>IFERROR(__xludf.DUMMYFUNCTION("""COMPUTED_VALUE"""),"貓狗企鵝")</f>
        <v>貓狗企鵝</v>
      </c>
      <c r="J693" t="str">
        <f>IFERROR(__xludf.DUMMYFUNCTION("IFS(
  AND(REGEXMATCH(E693, ""台銀籌備帳戶|玉山帳戶""), REGEXMATCH(C693, ""薪資"")), ""分潤支出"",
  AND(REGEXMATCH(E693, ""Ben帳戶|Elsa帳戶|Ben代墊|Ariel代墊|中信銀行共用""), REGEXMATCH(F693, ""Ben帳戶|Elsa帳戶|Ben代墊|Ariel代墊|中信銀行共用"")), ""內部轉帳(忽略)"",
  AND(E693&lt;&gt;"""", F693&lt;&gt;"""", NOT(REG"&amp;"EXMATCH(C693, ""薪資""))), ""內部轉帳(忽略)"",
  REGEXMATCH(C693, ""薪資""), ""薪資變動(不計入)"",
  REGEXMATCH(C693, ""押金""), ""押金往來"",
  AND(E693&lt;&gt;"""", F693=""""), ""真實支出"",
  AND(E693="""", F693&lt;&gt;""""), ""真實收入"",
  TRUE, ""其他""
)"),"真實支出")</f>
        <v>真實支出</v>
      </c>
      <c r="K693" s="270">
        <f t="shared" si="2"/>
        <v>-15199</v>
      </c>
      <c r="L693">
        <f t="shared" si="3"/>
        <v>0</v>
      </c>
    </row>
    <row r="694">
      <c r="A694" s="107">
        <f>IFERROR(__xludf.DUMMYFUNCTION("""COMPUTED_VALUE"""),45536.0)</f>
        <v>45536</v>
      </c>
      <c r="B694" t="str">
        <f>IFERROR(__xludf.DUMMYFUNCTION("""COMPUTED_VALUE"""),"MoMo 洗衣機*2")</f>
        <v>MoMo 洗衣機*2</v>
      </c>
      <c r="C694" t="str">
        <f>IFERROR(__xludf.DUMMYFUNCTION("""COMPUTED_VALUE"""),"成本 - 進場前裝潢費")</f>
        <v>成本 - 進場前裝潢費</v>
      </c>
      <c r="D694" s="270">
        <f>IFERROR(__xludf.DUMMYFUNCTION("""COMPUTED_VALUE"""),-12078.0)</f>
        <v>-12078</v>
      </c>
      <c r="E694" t="str">
        <f>IFERROR(__xludf.DUMMYFUNCTION("""COMPUTED_VALUE"""),"Elsa帳戶")</f>
        <v>Elsa帳戶</v>
      </c>
      <c r="G694" t="str">
        <f>IFERROR(__xludf.DUMMYFUNCTION("""COMPUTED_VALUE"""),"金龍帽子先生")</f>
        <v>金龍帽子先生</v>
      </c>
      <c r="H694" s="106" t="str">
        <f t="shared" si="1"/>
        <v>2024-09</v>
      </c>
      <c r="I694" s="271" t="str">
        <f>IFERROR(__xludf.DUMMYFUNCTION("""COMPUTED_VALUE"""),"貓狗企鵝")</f>
        <v>貓狗企鵝</v>
      </c>
      <c r="J694" t="str">
        <f>IFERROR(__xludf.DUMMYFUNCTION("IFS(
  AND(REGEXMATCH(E694, ""台銀籌備帳戶|玉山帳戶""), REGEXMATCH(C694, ""薪資"")), ""分潤支出"",
  AND(REGEXMATCH(E694, ""Ben帳戶|Elsa帳戶|Ben代墊|Ariel代墊|中信銀行共用""), REGEXMATCH(F694, ""Ben帳戶|Elsa帳戶|Ben代墊|Ariel代墊|中信銀行共用"")), ""內部轉帳(忽略)"",
  AND(E694&lt;&gt;"""", F694&lt;&gt;"""", NOT(REG"&amp;"EXMATCH(C694, ""薪資""))), ""內部轉帳(忽略)"",
  REGEXMATCH(C694, ""薪資""), ""薪資變動(不計入)"",
  REGEXMATCH(C694, ""押金""), ""押金往來"",
  AND(E694&lt;&gt;"""", F694=""""), ""真實支出"",
  AND(E694="""", F694&lt;&gt;""""), ""真實收入"",
  TRUE, ""其他""
)"),"真實支出")</f>
        <v>真實支出</v>
      </c>
      <c r="K694" s="270">
        <f t="shared" si="2"/>
        <v>-12078</v>
      </c>
      <c r="L694">
        <f t="shared" si="3"/>
        <v>0</v>
      </c>
    </row>
    <row r="695">
      <c r="A695" s="107">
        <f>IFERROR(__xludf.DUMMYFUNCTION("""COMPUTED_VALUE"""),45536.0)</f>
        <v>45536</v>
      </c>
      <c r="B695" t="str">
        <f>IFERROR(__xludf.DUMMYFUNCTION("""COMPUTED_VALUE"""),"蝦皮大垃圾桶*2")</f>
        <v>蝦皮大垃圾桶*2</v>
      </c>
      <c r="C695" t="str">
        <f>IFERROR(__xludf.DUMMYFUNCTION("""COMPUTED_VALUE"""),"成本 - 進場前裝潢費")</f>
        <v>成本 - 進場前裝潢費</v>
      </c>
      <c r="D695" s="270">
        <f>IFERROR(__xludf.DUMMYFUNCTION("""COMPUTED_VALUE"""),-940.0)</f>
        <v>-940</v>
      </c>
      <c r="E695" t="str">
        <f>IFERROR(__xludf.DUMMYFUNCTION("""COMPUTED_VALUE"""),"Elsa帳戶")</f>
        <v>Elsa帳戶</v>
      </c>
      <c r="G695" t="str">
        <f>IFERROR(__xludf.DUMMYFUNCTION("""COMPUTED_VALUE"""),"南港站挑高宅")</f>
        <v>南港站挑高宅</v>
      </c>
      <c r="H695" s="106" t="str">
        <f t="shared" si="1"/>
        <v>2024-09</v>
      </c>
      <c r="I695" s="271" t="str">
        <f>IFERROR(__xludf.DUMMYFUNCTION("""COMPUTED_VALUE"""),"貓狗企鵝")</f>
        <v>貓狗企鵝</v>
      </c>
      <c r="J695" t="str">
        <f>IFERROR(__xludf.DUMMYFUNCTION("IFS(
  AND(REGEXMATCH(E695, ""台銀籌備帳戶|玉山帳戶""), REGEXMATCH(C695, ""薪資"")), ""分潤支出"",
  AND(REGEXMATCH(E695, ""Ben帳戶|Elsa帳戶|Ben代墊|Ariel代墊|中信銀行共用""), REGEXMATCH(F695, ""Ben帳戶|Elsa帳戶|Ben代墊|Ariel代墊|中信銀行共用"")), ""內部轉帳(忽略)"",
  AND(E695&lt;&gt;"""", F695&lt;&gt;"""", NOT(REG"&amp;"EXMATCH(C695, ""薪資""))), ""內部轉帳(忽略)"",
  REGEXMATCH(C695, ""薪資""), ""薪資變動(不計入)"",
  REGEXMATCH(C695, ""押金""), ""押金往來"",
  AND(E695&lt;&gt;"""", F695=""""), ""真實支出"",
  AND(E695="""", F695&lt;&gt;""""), ""真實收入"",
  TRUE, ""其他""
)"),"真實支出")</f>
        <v>真實支出</v>
      </c>
      <c r="K695" s="270">
        <f t="shared" si="2"/>
        <v>-940</v>
      </c>
      <c r="L695">
        <f t="shared" si="3"/>
        <v>0</v>
      </c>
    </row>
    <row r="696">
      <c r="A696" s="107">
        <f>IFERROR(__xludf.DUMMYFUNCTION("""COMPUTED_VALUE"""),45536.0)</f>
        <v>45536</v>
      </c>
      <c r="B696" t="str">
        <f>IFERROR(__xludf.DUMMYFUNCTION("""COMPUTED_VALUE"""),"蝦皮大垃圾桶*2")</f>
        <v>蝦皮大垃圾桶*2</v>
      </c>
      <c r="C696" t="str">
        <f>IFERROR(__xludf.DUMMYFUNCTION("""COMPUTED_VALUE"""),"成本 - 進場前裝潢費")</f>
        <v>成本 - 進場前裝潢費</v>
      </c>
      <c r="D696" s="270">
        <f>IFERROR(__xludf.DUMMYFUNCTION("""COMPUTED_VALUE"""),-940.0)</f>
        <v>-940</v>
      </c>
      <c r="E696" t="str">
        <f>IFERROR(__xludf.DUMMYFUNCTION("""COMPUTED_VALUE"""),"Elsa帳戶")</f>
        <v>Elsa帳戶</v>
      </c>
      <c r="G696" t="str">
        <f>IFERROR(__xludf.DUMMYFUNCTION("""COMPUTED_VALUE"""),"金龍帽子先生")</f>
        <v>金龍帽子先生</v>
      </c>
      <c r="H696" s="106" t="str">
        <f t="shared" si="1"/>
        <v>2024-09</v>
      </c>
      <c r="I696" s="271" t="str">
        <f>IFERROR(__xludf.DUMMYFUNCTION("""COMPUTED_VALUE"""),"貓狗企鵝")</f>
        <v>貓狗企鵝</v>
      </c>
      <c r="J696" t="str">
        <f>IFERROR(__xludf.DUMMYFUNCTION("IFS(
  AND(REGEXMATCH(E696, ""台銀籌備帳戶|玉山帳戶""), REGEXMATCH(C696, ""薪資"")), ""分潤支出"",
  AND(REGEXMATCH(E696, ""Ben帳戶|Elsa帳戶|Ben代墊|Ariel代墊|中信銀行共用""), REGEXMATCH(F696, ""Ben帳戶|Elsa帳戶|Ben代墊|Ariel代墊|中信銀行共用"")), ""內部轉帳(忽略)"",
  AND(E696&lt;&gt;"""", F696&lt;&gt;"""", NOT(REG"&amp;"EXMATCH(C696, ""薪資""))), ""內部轉帳(忽略)"",
  REGEXMATCH(C696, ""薪資""), ""薪資變動(不計入)"",
  REGEXMATCH(C696, ""押金""), ""押金往來"",
  AND(E696&lt;&gt;"""", F696=""""), ""真實支出"",
  AND(E696="""", F696&lt;&gt;""""), ""真實收入"",
  TRUE, ""其他""
)"),"真實支出")</f>
        <v>真實支出</v>
      </c>
      <c r="K696" s="270">
        <f t="shared" si="2"/>
        <v>-940</v>
      </c>
      <c r="L696">
        <f t="shared" si="3"/>
        <v>0</v>
      </c>
    </row>
    <row r="697">
      <c r="A697" s="107">
        <f>IFERROR(__xludf.DUMMYFUNCTION("""COMPUTED_VALUE"""),45536.0)</f>
        <v>45536</v>
      </c>
      <c r="B697" t="str">
        <f>IFERROR(__xludf.DUMMYFUNCTION("""COMPUTED_VALUE"""),"南港水費")</f>
        <v>南港水費</v>
      </c>
      <c r="C697" t="str">
        <f>IFERROR(__xludf.DUMMYFUNCTION("""COMPUTED_VALUE"""),"成本 - 進場前裝潢費")</f>
        <v>成本 - 進場前裝潢費</v>
      </c>
      <c r="D697" s="270">
        <f>IFERROR(__xludf.DUMMYFUNCTION("""COMPUTED_VALUE"""),-127.0)</f>
        <v>-127</v>
      </c>
      <c r="E697" t="str">
        <f>IFERROR(__xludf.DUMMYFUNCTION("""COMPUTED_VALUE"""),"Elsa帳戶")</f>
        <v>Elsa帳戶</v>
      </c>
      <c r="G697" t="str">
        <f>IFERROR(__xludf.DUMMYFUNCTION("""COMPUTED_VALUE"""),"南港站挑高宅")</f>
        <v>南港站挑高宅</v>
      </c>
      <c r="H697" s="106" t="str">
        <f t="shared" si="1"/>
        <v>2024-09</v>
      </c>
      <c r="I697" s="271" t="str">
        <f>IFERROR(__xludf.DUMMYFUNCTION("""COMPUTED_VALUE"""),"貓狗企鵝")</f>
        <v>貓狗企鵝</v>
      </c>
      <c r="J697" t="str">
        <f>IFERROR(__xludf.DUMMYFUNCTION("IFS(
  AND(REGEXMATCH(E697, ""台銀籌備帳戶|玉山帳戶""), REGEXMATCH(C697, ""薪資"")), ""分潤支出"",
  AND(REGEXMATCH(E697, ""Ben帳戶|Elsa帳戶|Ben代墊|Ariel代墊|中信銀行共用""), REGEXMATCH(F697, ""Ben帳戶|Elsa帳戶|Ben代墊|Ariel代墊|中信銀行共用"")), ""內部轉帳(忽略)"",
  AND(E697&lt;&gt;"""", F697&lt;&gt;"""", NOT(REG"&amp;"EXMATCH(C697, ""薪資""))), ""內部轉帳(忽略)"",
  REGEXMATCH(C697, ""薪資""), ""薪資變動(不計入)"",
  REGEXMATCH(C697, ""押金""), ""押金往來"",
  AND(E697&lt;&gt;"""", F697=""""), ""真實支出"",
  AND(E697="""", F697&lt;&gt;""""), ""真實收入"",
  TRUE, ""其他""
)"),"真實支出")</f>
        <v>真實支出</v>
      </c>
      <c r="K697" s="270">
        <f t="shared" si="2"/>
        <v>-127</v>
      </c>
      <c r="L697">
        <f t="shared" si="3"/>
        <v>0</v>
      </c>
    </row>
    <row r="698">
      <c r="A698" s="107">
        <f>IFERROR(__xludf.DUMMYFUNCTION("""COMPUTED_VALUE"""),45536.0)</f>
        <v>45536</v>
      </c>
      <c r="B698" t="str">
        <f>IFERROR(__xludf.DUMMYFUNCTION("""COMPUTED_VALUE"""),"蝦皮 廁所垃圾桶*2")</f>
        <v>蝦皮 廁所垃圾桶*2</v>
      </c>
      <c r="C698" t="str">
        <f>IFERROR(__xludf.DUMMYFUNCTION("""COMPUTED_VALUE"""),"成本 - 進場前裝潢費")</f>
        <v>成本 - 進場前裝潢費</v>
      </c>
      <c r="D698" s="270">
        <f>IFERROR(__xludf.DUMMYFUNCTION("""COMPUTED_VALUE"""),-508.0)</f>
        <v>-508</v>
      </c>
      <c r="E698" t="str">
        <f>IFERROR(__xludf.DUMMYFUNCTION("""COMPUTED_VALUE"""),"Elsa帳戶")</f>
        <v>Elsa帳戶</v>
      </c>
      <c r="G698" t="str">
        <f>IFERROR(__xludf.DUMMYFUNCTION("""COMPUTED_VALUE"""),"金龍帽子先生")</f>
        <v>金龍帽子先生</v>
      </c>
      <c r="H698" s="106" t="str">
        <f t="shared" si="1"/>
        <v>2024-09</v>
      </c>
      <c r="I698" s="271" t="str">
        <f>IFERROR(__xludf.DUMMYFUNCTION("""COMPUTED_VALUE"""),"貓狗企鵝")</f>
        <v>貓狗企鵝</v>
      </c>
      <c r="J698" t="str">
        <f>IFERROR(__xludf.DUMMYFUNCTION("IFS(
  AND(REGEXMATCH(E698, ""台銀籌備帳戶|玉山帳戶""), REGEXMATCH(C698, ""薪資"")), ""分潤支出"",
  AND(REGEXMATCH(E698, ""Ben帳戶|Elsa帳戶|Ben代墊|Ariel代墊|中信銀行共用""), REGEXMATCH(F698, ""Ben帳戶|Elsa帳戶|Ben代墊|Ariel代墊|中信銀行共用"")), ""內部轉帳(忽略)"",
  AND(E698&lt;&gt;"""", F698&lt;&gt;"""", NOT(REG"&amp;"EXMATCH(C698, ""薪資""))), ""內部轉帳(忽略)"",
  REGEXMATCH(C698, ""薪資""), ""薪資變動(不計入)"",
  REGEXMATCH(C698, ""押金""), ""押金往來"",
  AND(E698&lt;&gt;"""", F698=""""), ""真實支出"",
  AND(E698="""", F698&lt;&gt;""""), ""真實收入"",
  TRUE, ""其他""
)"),"真實支出")</f>
        <v>真實支出</v>
      </c>
      <c r="K698" s="270">
        <f t="shared" si="2"/>
        <v>-508</v>
      </c>
      <c r="L698">
        <f t="shared" si="3"/>
        <v>0</v>
      </c>
    </row>
    <row r="699">
      <c r="A699" s="107">
        <f>IFERROR(__xludf.DUMMYFUNCTION("""COMPUTED_VALUE"""),45536.0)</f>
        <v>45536</v>
      </c>
      <c r="B699" t="str">
        <f>IFERROR(__xludf.DUMMYFUNCTION("""COMPUTED_VALUE"""),"北醫醫師府C余典蓉")</f>
        <v>北醫醫師府C余典蓉</v>
      </c>
      <c r="C699" t="str">
        <f>IFERROR(__xludf.DUMMYFUNCTION("""COMPUTED_VALUE"""),"收入 - 租金")</f>
        <v>收入 - 租金</v>
      </c>
      <c r="D699" s="270">
        <f>IFERROR(__xludf.DUMMYFUNCTION("""COMPUTED_VALUE"""),13000.0)</f>
        <v>13000</v>
      </c>
      <c r="F699" t="str">
        <f>IFERROR(__xludf.DUMMYFUNCTION("""COMPUTED_VALUE"""),"台銀籌備帳戶")</f>
        <v>台銀籌備帳戶</v>
      </c>
      <c r="G699" t="str">
        <f>IFERROR(__xludf.DUMMYFUNCTION("""COMPUTED_VALUE"""),"北醫醫師府")</f>
        <v>北醫醫師府</v>
      </c>
      <c r="H699" s="106" t="str">
        <f t="shared" si="1"/>
        <v>2024-09</v>
      </c>
      <c r="I699" s="271" t="str">
        <f>IFERROR(__xludf.DUMMYFUNCTION("""COMPUTED_VALUE"""),"貓狗企鵝")</f>
        <v>貓狗企鵝</v>
      </c>
      <c r="J699" t="str">
        <f>IFERROR(__xludf.DUMMYFUNCTION("IFS(
  AND(REGEXMATCH(E699, ""台銀籌備帳戶|玉山帳戶""), REGEXMATCH(C699, ""薪資"")), ""分潤支出"",
  AND(REGEXMATCH(E699, ""Ben帳戶|Elsa帳戶|Ben代墊|Ariel代墊|中信銀行共用""), REGEXMATCH(F699, ""Ben帳戶|Elsa帳戶|Ben代墊|Ariel代墊|中信銀行共用"")), ""內部轉帳(忽略)"",
  AND(E699&lt;&gt;"""", F699&lt;&gt;"""", NOT(REG"&amp;"EXMATCH(C699, ""薪資""))), ""內部轉帳(忽略)"",
  REGEXMATCH(C699, ""薪資""), ""薪資變動(不計入)"",
  REGEXMATCH(C699, ""押金""), ""押金往來"",
  AND(E699&lt;&gt;"""", F699=""""), ""真實支出"",
  AND(E699="""", F699&lt;&gt;""""), ""真實收入"",
  TRUE, ""其他""
)"),"真實收入")</f>
        <v>真實收入</v>
      </c>
      <c r="K699" s="270">
        <f t="shared" si="2"/>
        <v>13000</v>
      </c>
      <c r="L699">
        <f t="shared" si="3"/>
        <v>0</v>
      </c>
    </row>
    <row r="700">
      <c r="A700" s="107">
        <f>IFERROR(__xludf.DUMMYFUNCTION("""COMPUTED_VALUE"""),45536.0)</f>
        <v>45536</v>
      </c>
      <c r="B700" t="str">
        <f>IFERROR(__xludf.DUMMYFUNCTION("""COMPUTED_VALUE"""),"南港挑高租金")</f>
        <v>南港挑高租金</v>
      </c>
      <c r="C700" t="str">
        <f>IFERROR(__xludf.DUMMYFUNCTION("""COMPUTED_VALUE"""),"成本 - 大租金")</f>
        <v>成本 - 大租金</v>
      </c>
      <c r="D700" s="270">
        <f>IFERROR(__xludf.DUMMYFUNCTION("""COMPUTED_VALUE"""),-18250.0)</f>
        <v>-18250</v>
      </c>
      <c r="E700" t="str">
        <f>IFERROR(__xludf.DUMMYFUNCTION("""COMPUTED_VALUE"""),"台銀籌備帳戶")</f>
        <v>台銀籌備帳戶</v>
      </c>
      <c r="G700" t="str">
        <f>IFERROR(__xludf.DUMMYFUNCTION("""COMPUTED_VALUE"""),"南港站挑高宅")</f>
        <v>南港站挑高宅</v>
      </c>
      <c r="H700" s="106" t="str">
        <f t="shared" si="1"/>
        <v>2024-09</v>
      </c>
      <c r="I700" s="271" t="str">
        <f>IFERROR(__xludf.DUMMYFUNCTION("""COMPUTED_VALUE"""),"貓狗企鵝")</f>
        <v>貓狗企鵝</v>
      </c>
      <c r="J700" t="str">
        <f>IFERROR(__xludf.DUMMYFUNCTION("IFS(
  AND(REGEXMATCH(E700, ""台銀籌備帳戶|玉山帳戶""), REGEXMATCH(C700, ""薪資"")), ""分潤支出"",
  AND(REGEXMATCH(E700, ""Ben帳戶|Elsa帳戶|Ben代墊|Ariel代墊|中信銀行共用""), REGEXMATCH(F700, ""Ben帳戶|Elsa帳戶|Ben代墊|Ariel代墊|中信銀行共用"")), ""內部轉帳(忽略)"",
  AND(E700&lt;&gt;"""", F700&lt;&gt;"""", NOT(REG"&amp;"EXMATCH(C700, ""薪資""))), ""內部轉帳(忽略)"",
  REGEXMATCH(C700, ""薪資""), ""薪資變動(不計入)"",
  REGEXMATCH(C700, ""押金""), ""押金往來"",
  AND(E700&lt;&gt;"""", F700=""""), ""真實支出"",
  AND(E700="""", F700&lt;&gt;""""), ""真實收入"",
  TRUE, ""其他""
)"),"真實支出")</f>
        <v>真實支出</v>
      </c>
      <c r="K700" s="270">
        <f t="shared" si="2"/>
        <v>-18250</v>
      </c>
      <c r="L700">
        <f t="shared" si="3"/>
        <v>0</v>
      </c>
    </row>
    <row r="701">
      <c r="A701" s="107">
        <f>IFERROR(__xludf.DUMMYFUNCTION("""COMPUTED_VALUE"""),45536.0)</f>
        <v>45536</v>
      </c>
      <c r="B701" t="str">
        <f>IFERROR(__xludf.DUMMYFUNCTION("""COMPUTED_VALUE"""),"龍江229A莊美娟")</f>
        <v>龍江229A莊美娟</v>
      </c>
      <c r="C701" t="str">
        <f>IFERROR(__xludf.DUMMYFUNCTION("""COMPUTED_VALUE"""),"收入 - 租金")</f>
        <v>收入 - 租金</v>
      </c>
      <c r="D701" s="270">
        <f>IFERROR(__xludf.DUMMYFUNCTION("""COMPUTED_VALUE"""),12800.0)</f>
        <v>12800</v>
      </c>
      <c r="F701" t="str">
        <f>IFERROR(__xludf.DUMMYFUNCTION("""COMPUTED_VALUE"""),"台銀籌備帳戶")</f>
        <v>台銀籌備帳戶</v>
      </c>
      <c r="G701" t="str">
        <f>IFERROR(__xludf.DUMMYFUNCTION("""COMPUTED_VALUE"""),"龍江229")</f>
        <v>龍江229</v>
      </c>
      <c r="H701" s="106" t="str">
        <f t="shared" si="1"/>
        <v>2024-09</v>
      </c>
      <c r="I701" s="271" t="str">
        <f>IFERROR(__xludf.DUMMYFUNCTION("""COMPUTED_VALUE"""),"貓狗企鵝")</f>
        <v>貓狗企鵝</v>
      </c>
      <c r="J701" t="str">
        <f>IFERROR(__xludf.DUMMYFUNCTION("IFS(
  AND(REGEXMATCH(E701, ""台銀籌備帳戶|玉山帳戶""), REGEXMATCH(C701, ""薪資"")), ""分潤支出"",
  AND(REGEXMATCH(E701, ""Ben帳戶|Elsa帳戶|Ben代墊|Ariel代墊|中信銀行共用""), REGEXMATCH(F701, ""Ben帳戶|Elsa帳戶|Ben代墊|Ariel代墊|中信銀行共用"")), ""內部轉帳(忽略)"",
  AND(E701&lt;&gt;"""", F701&lt;&gt;"""", NOT(REG"&amp;"EXMATCH(C701, ""薪資""))), ""內部轉帳(忽略)"",
  REGEXMATCH(C701, ""薪資""), ""薪資變動(不計入)"",
  REGEXMATCH(C701, ""押金""), ""押金往來"",
  AND(E701&lt;&gt;"""", F701=""""), ""真實支出"",
  AND(E701="""", F701&lt;&gt;""""), ""真實收入"",
  TRUE, ""其他""
)"),"真實收入")</f>
        <v>真實收入</v>
      </c>
      <c r="K701" s="270">
        <f t="shared" si="2"/>
        <v>12800</v>
      </c>
      <c r="L701">
        <f t="shared" si="3"/>
        <v>0</v>
      </c>
    </row>
    <row r="702">
      <c r="A702" s="107">
        <f>IFERROR(__xludf.DUMMYFUNCTION("""COMPUTED_VALUE"""),45536.0)</f>
        <v>45536</v>
      </c>
      <c r="B702" t="str">
        <f>IFERROR(__xludf.DUMMYFUNCTION("""COMPUTED_VALUE"""),"永春四號D翁政熙")</f>
        <v>永春四號D翁政熙</v>
      </c>
      <c r="C702" t="str">
        <f>IFERROR(__xludf.DUMMYFUNCTION("""COMPUTED_VALUE"""),"收入 - 租金")</f>
        <v>收入 - 租金</v>
      </c>
      <c r="D702" s="270">
        <f>IFERROR(__xludf.DUMMYFUNCTION("""COMPUTED_VALUE"""),14800.0)</f>
        <v>14800</v>
      </c>
      <c r="F702" t="str">
        <f>IFERROR(__xludf.DUMMYFUNCTION("""COMPUTED_VALUE"""),"台銀籌備帳戶")</f>
        <v>台銀籌備帳戶</v>
      </c>
      <c r="G702" t="str">
        <f>IFERROR(__xludf.DUMMYFUNCTION("""COMPUTED_VALUE"""),"永春四號")</f>
        <v>永春四號</v>
      </c>
      <c r="H702" s="106" t="str">
        <f t="shared" si="1"/>
        <v>2024-09</v>
      </c>
      <c r="I702" s="271" t="str">
        <f>IFERROR(__xludf.DUMMYFUNCTION("""COMPUTED_VALUE"""),"貓狗企鵝")</f>
        <v>貓狗企鵝</v>
      </c>
      <c r="J702" t="str">
        <f>IFERROR(__xludf.DUMMYFUNCTION("IFS(
  AND(REGEXMATCH(E702, ""台銀籌備帳戶|玉山帳戶""), REGEXMATCH(C702, ""薪資"")), ""分潤支出"",
  AND(REGEXMATCH(E702, ""Ben帳戶|Elsa帳戶|Ben代墊|Ariel代墊|中信銀行共用""), REGEXMATCH(F702, ""Ben帳戶|Elsa帳戶|Ben代墊|Ariel代墊|中信銀行共用"")), ""內部轉帳(忽略)"",
  AND(E702&lt;&gt;"""", F702&lt;&gt;"""", NOT(REG"&amp;"EXMATCH(C702, ""薪資""))), ""內部轉帳(忽略)"",
  REGEXMATCH(C702, ""薪資""), ""薪資變動(不計入)"",
  REGEXMATCH(C702, ""押金""), ""押金往來"",
  AND(E702&lt;&gt;"""", F702=""""), ""真實支出"",
  AND(E702="""", F702&lt;&gt;""""), ""真實收入"",
  TRUE, ""其他""
)"),"真實收入")</f>
        <v>真實收入</v>
      </c>
      <c r="K702" s="270">
        <f t="shared" si="2"/>
        <v>14800</v>
      </c>
      <c r="L702">
        <f t="shared" si="3"/>
        <v>0</v>
      </c>
    </row>
    <row r="703">
      <c r="A703" s="107">
        <f>IFERROR(__xludf.DUMMYFUNCTION("""COMPUTED_VALUE"""),45536.0)</f>
        <v>45536</v>
      </c>
      <c r="B703" t="str">
        <f>IFERROR(__xludf.DUMMYFUNCTION("""COMPUTED_VALUE"""),"永春郭大哥")</f>
        <v>永春郭大哥</v>
      </c>
      <c r="C703" t="str">
        <f>IFERROR(__xludf.DUMMYFUNCTION("""COMPUTED_VALUE"""),"成本 - 大租金")</f>
        <v>成本 - 大租金</v>
      </c>
      <c r="D703" s="270">
        <f>IFERROR(__xludf.DUMMYFUNCTION("""COMPUTED_VALUE"""),-17015.0)</f>
        <v>-17015</v>
      </c>
      <c r="E703" t="str">
        <f>IFERROR(__xludf.DUMMYFUNCTION("""COMPUTED_VALUE"""),"台銀籌備帳戶")</f>
        <v>台銀籌備帳戶</v>
      </c>
      <c r="G703" t="str">
        <f>IFERROR(__xludf.DUMMYFUNCTION("""COMPUTED_VALUE"""),"永春四號")</f>
        <v>永春四號</v>
      </c>
      <c r="H703" s="106" t="str">
        <f t="shared" si="1"/>
        <v>2024-09</v>
      </c>
      <c r="I703" s="271" t="str">
        <f>IFERROR(__xludf.DUMMYFUNCTION("""COMPUTED_VALUE"""),"貓狗企鵝")</f>
        <v>貓狗企鵝</v>
      </c>
      <c r="J703" t="str">
        <f>IFERROR(__xludf.DUMMYFUNCTION("IFS(
  AND(REGEXMATCH(E703, ""台銀籌備帳戶|玉山帳戶""), REGEXMATCH(C703, ""薪資"")), ""分潤支出"",
  AND(REGEXMATCH(E703, ""Ben帳戶|Elsa帳戶|Ben代墊|Ariel代墊|中信銀行共用""), REGEXMATCH(F703, ""Ben帳戶|Elsa帳戶|Ben代墊|Ariel代墊|中信銀行共用"")), ""內部轉帳(忽略)"",
  AND(E703&lt;&gt;"""", F703&lt;&gt;"""", NOT(REG"&amp;"EXMATCH(C703, ""薪資""))), ""內部轉帳(忽略)"",
  REGEXMATCH(C703, ""薪資""), ""薪資變動(不計入)"",
  REGEXMATCH(C703, ""押金""), ""押金往來"",
  AND(E703&lt;&gt;"""", F703=""""), ""真實支出"",
  AND(E703="""", F703&lt;&gt;""""), ""真實收入"",
  TRUE, ""其他""
)"),"真實支出")</f>
        <v>真實支出</v>
      </c>
      <c r="K703" s="270">
        <f t="shared" si="2"/>
        <v>-17015</v>
      </c>
      <c r="L703">
        <f t="shared" si="3"/>
        <v>0</v>
      </c>
    </row>
    <row r="704">
      <c r="A704" s="107">
        <f>IFERROR(__xludf.DUMMYFUNCTION("""COMPUTED_VALUE"""),45536.0)</f>
        <v>45536</v>
      </c>
      <c r="B704" t="str">
        <f>IFERROR(__xludf.DUMMYFUNCTION("""COMPUTED_VALUE"""),"永春郭大哥")</f>
        <v>永春郭大哥</v>
      </c>
      <c r="C704" t="str">
        <f>IFERROR(__xludf.DUMMYFUNCTION("""COMPUTED_VALUE"""),"成本 - 大租金")</f>
        <v>成本 - 大租金</v>
      </c>
      <c r="D704" s="270">
        <f>IFERROR(__xludf.DUMMYFUNCTION("""COMPUTED_VALUE"""),-17015.0)</f>
        <v>-17015</v>
      </c>
      <c r="E704" t="str">
        <f>IFERROR(__xludf.DUMMYFUNCTION("""COMPUTED_VALUE"""),"台銀籌備帳戶")</f>
        <v>台銀籌備帳戶</v>
      </c>
      <c r="G704" t="str">
        <f>IFERROR(__xludf.DUMMYFUNCTION("""COMPUTED_VALUE"""),"永春四號")</f>
        <v>永春四號</v>
      </c>
      <c r="H704" s="106" t="str">
        <f t="shared" si="1"/>
        <v>2024-09</v>
      </c>
      <c r="I704" s="271" t="str">
        <f>IFERROR(__xludf.DUMMYFUNCTION("""COMPUTED_VALUE"""),"貓狗企鵝")</f>
        <v>貓狗企鵝</v>
      </c>
      <c r="J704" t="str">
        <f>IFERROR(__xludf.DUMMYFUNCTION("IFS(
  AND(REGEXMATCH(E704, ""台銀籌備帳戶|玉山帳戶""), REGEXMATCH(C704, ""薪資"")), ""分潤支出"",
  AND(REGEXMATCH(E704, ""Ben帳戶|Elsa帳戶|Ben代墊|Ariel代墊|中信銀行共用""), REGEXMATCH(F704, ""Ben帳戶|Elsa帳戶|Ben代墊|Ariel代墊|中信銀行共用"")), ""內部轉帳(忽略)"",
  AND(E704&lt;&gt;"""", F704&lt;&gt;"""", NOT(REG"&amp;"EXMATCH(C704, ""薪資""))), ""內部轉帳(忽略)"",
  REGEXMATCH(C704, ""薪資""), ""薪資變動(不計入)"",
  REGEXMATCH(C704, ""押金""), ""押金往來"",
  AND(E704&lt;&gt;"""", F704=""""), ""真實支出"",
  AND(E704="""", F704&lt;&gt;""""), ""真實收入"",
  TRUE, ""其他""
)"),"真實支出")</f>
        <v>真實支出</v>
      </c>
      <c r="K704" s="270">
        <f t="shared" si="2"/>
        <v>-17015</v>
      </c>
      <c r="L704">
        <f t="shared" si="3"/>
        <v>0</v>
      </c>
    </row>
    <row r="705">
      <c r="A705" s="107">
        <f>IFERROR(__xludf.DUMMYFUNCTION("""COMPUTED_VALUE"""),45536.0)</f>
        <v>45536</v>
      </c>
      <c r="B705" t="str">
        <f>IFERROR(__xludf.DUMMYFUNCTION("""COMPUTED_VALUE"""),"我裝潢代墊款")</f>
        <v>我裝潢代墊款</v>
      </c>
      <c r="C705" t="str">
        <f>IFERROR(__xludf.DUMMYFUNCTION("""COMPUTED_VALUE"""),"費用 - Salary 薪資")</f>
        <v>費用 - Salary 薪資</v>
      </c>
      <c r="D705" s="270">
        <f>IFERROR(__xludf.DUMMYFUNCTION("""COMPUTED_VALUE"""),-200015.0)</f>
        <v>-200015</v>
      </c>
      <c r="E705" t="str">
        <f>IFERROR(__xludf.DUMMYFUNCTION("""COMPUTED_VALUE"""),"台銀籌備帳戶")</f>
        <v>台銀籌備帳戶</v>
      </c>
      <c r="F705" t="str">
        <f>IFERROR(__xludf.DUMMYFUNCTION("""COMPUTED_VALUE"""),"Ben帳戶")</f>
        <v>Ben帳戶</v>
      </c>
      <c r="H705" s="106" t="str">
        <f t="shared" si="1"/>
        <v>2024-09</v>
      </c>
      <c r="I705" s="271" t="str">
        <f>IFERROR(__xludf.DUMMYFUNCTION("""COMPUTED_VALUE"""),"貓狗企鵝")</f>
        <v>貓狗企鵝</v>
      </c>
      <c r="J705" t="str">
        <f>IFERROR(__xludf.DUMMYFUNCTION("IFS(
  AND(REGEXMATCH(E705, ""台銀籌備帳戶|玉山帳戶""), REGEXMATCH(C705, ""薪資"")), ""分潤支出"",
  AND(REGEXMATCH(E705, ""Ben帳戶|Elsa帳戶|Ben代墊|Ariel代墊|中信銀行共用""), REGEXMATCH(F705, ""Ben帳戶|Elsa帳戶|Ben代墊|Ariel代墊|中信銀行共用"")), ""內部轉帳(忽略)"",
  AND(E705&lt;&gt;"""", F705&lt;&gt;"""", NOT(REG"&amp;"EXMATCH(C705, ""薪資""))), ""內部轉帳(忽略)"",
  REGEXMATCH(C705, ""薪資""), ""薪資變動(不計入)"",
  REGEXMATCH(C705, ""押金""), ""押金往來"",
  AND(E705&lt;&gt;"""", F705=""""), ""真實支出"",
  AND(E705="""", F705&lt;&gt;""""), ""真實收入"",
  TRUE, ""其他""
)"),"分潤支出")</f>
        <v>分潤支出</v>
      </c>
      <c r="K705">
        <f t="shared" si="2"/>
        <v>0</v>
      </c>
      <c r="L705">
        <f t="shared" si="3"/>
        <v>200015</v>
      </c>
    </row>
    <row r="706">
      <c r="A706" s="107">
        <f>IFERROR(__xludf.DUMMYFUNCTION("""COMPUTED_VALUE"""),45536.0)</f>
        <v>45536</v>
      </c>
      <c r="B706" t="str">
        <f>IFERROR(__xludf.DUMMYFUNCTION("""COMPUTED_VALUE"""),"北醫陳醫師")</f>
        <v>北醫陳醫師</v>
      </c>
      <c r="C706" t="str">
        <f>IFERROR(__xludf.DUMMYFUNCTION("""COMPUTED_VALUE"""),"成本 - 大租金")</f>
        <v>成本 - 大租金</v>
      </c>
      <c r="D706" s="270">
        <f>IFERROR(__xludf.DUMMYFUNCTION("""COMPUTED_VALUE"""),-12815.0)</f>
        <v>-12815</v>
      </c>
      <c r="E706" t="str">
        <f>IFERROR(__xludf.DUMMYFUNCTION("""COMPUTED_VALUE"""),"台銀籌備帳戶")</f>
        <v>台銀籌備帳戶</v>
      </c>
      <c r="G706" t="str">
        <f>IFERROR(__xludf.DUMMYFUNCTION("""COMPUTED_VALUE"""),"北醫醫師府")</f>
        <v>北醫醫師府</v>
      </c>
      <c r="H706" s="106" t="str">
        <f t="shared" si="1"/>
        <v>2024-09</v>
      </c>
      <c r="I706" s="271" t="str">
        <f>IFERROR(__xludf.DUMMYFUNCTION("""COMPUTED_VALUE"""),"貓狗企鵝")</f>
        <v>貓狗企鵝</v>
      </c>
      <c r="J706" t="str">
        <f>IFERROR(__xludf.DUMMYFUNCTION("IFS(
  AND(REGEXMATCH(E706, ""台銀籌備帳戶|玉山帳戶""), REGEXMATCH(C706, ""薪資"")), ""分潤支出"",
  AND(REGEXMATCH(E706, ""Ben帳戶|Elsa帳戶|Ben代墊|Ariel代墊|中信銀行共用""), REGEXMATCH(F706, ""Ben帳戶|Elsa帳戶|Ben代墊|Ariel代墊|中信銀行共用"")), ""內部轉帳(忽略)"",
  AND(E706&lt;&gt;"""", F706&lt;&gt;"""", NOT(REG"&amp;"EXMATCH(C706, ""薪資""))), ""內部轉帳(忽略)"",
  REGEXMATCH(C706, ""薪資""), ""薪資變動(不計入)"",
  REGEXMATCH(C706, ""押金""), ""押金往來"",
  AND(E706&lt;&gt;"""", F706=""""), ""真實支出"",
  AND(E706="""", F706&lt;&gt;""""), ""真實收入"",
  TRUE, ""其他""
)"),"真實支出")</f>
        <v>真實支出</v>
      </c>
      <c r="K706" s="270">
        <f t="shared" si="2"/>
        <v>-12815</v>
      </c>
      <c r="L706">
        <f t="shared" si="3"/>
        <v>0</v>
      </c>
    </row>
    <row r="707">
      <c r="A707" s="107">
        <f>IFERROR(__xludf.DUMMYFUNCTION("""COMPUTED_VALUE"""),45536.0)</f>
        <v>45536</v>
      </c>
      <c r="B707" t="str">
        <f>IFERROR(__xludf.DUMMYFUNCTION("""COMPUTED_VALUE"""),"哈拉陳校長")</f>
        <v>哈拉陳校長</v>
      </c>
      <c r="C707" t="str">
        <f>IFERROR(__xludf.DUMMYFUNCTION("""COMPUTED_VALUE"""),"成本 - 大租金")</f>
        <v>成本 - 大租金</v>
      </c>
      <c r="D707" s="270">
        <f>IFERROR(__xludf.DUMMYFUNCTION("""COMPUTED_VALUE"""),-13015.0)</f>
        <v>-13015</v>
      </c>
      <c r="E707" t="str">
        <f>IFERROR(__xludf.DUMMYFUNCTION("""COMPUTED_VALUE"""),"台銀籌備帳戶")</f>
        <v>台銀籌備帳戶</v>
      </c>
      <c r="G707" t="str">
        <f>IFERROR(__xludf.DUMMYFUNCTION("""COMPUTED_VALUE"""),"哈拉對面")</f>
        <v>哈拉對面</v>
      </c>
      <c r="H707" s="106" t="str">
        <f t="shared" si="1"/>
        <v>2024-09</v>
      </c>
      <c r="I707" s="271" t="str">
        <f>IFERROR(__xludf.DUMMYFUNCTION("""COMPUTED_VALUE"""),"貓狗企鵝")</f>
        <v>貓狗企鵝</v>
      </c>
      <c r="J707" t="str">
        <f>IFERROR(__xludf.DUMMYFUNCTION("IFS(
  AND(REGEXMATCH(E707, ""台銀籌備帳戶|玉山帳戶""), REGEXMATCH(C707, ""薪資"")), ""分潤支出"",
  AND(REGEXMATCH(E707, ""Ben帳戶|Elsa帳戶|Ben代墊|Ariel代墊|中信銀行共用""), REGEXMATCH(F707, ""Ben帳戶|Elsa帳戶|Ben代墊|Ariel代墊|中信銀行共用"")), ""內部轉帳(忽略)"",
  AND(E707&lt;&gt;"""", F707&lt;&gt;"""", NOT(REG"&amp;"EXMATCH(C707, ""薪資""))), ""內部轉帳(忽略)"",
  REGEXMATCH(C707, ""薪資""), ""薪資變動(不計入)"",
  REGEXMATCH(C707, ""押金""), ""押金往來"",
  AND(E707&lt;&gt;"""", F707=""""), ""真實支出"",
  AND(E707="""", F707&lt;&gt;""""), ""真實收入"",
  TRUE, ""其他""
)"),"真實支出")</f>
        <v>真實支出</v>
      </c>
      <c r="K707" s="270">
        <f t="shared" si="2"/>
        <v>-13015</v>
      </c>
      <c r="L707">
        <f t="shared" si="3"/>
        <v>0</v>
      </c>
    </row>
    <row r="708">
      <c r="A708" s="107">
        <f>IFERROR(__xludf.DUMMYFUNCTION("""COMPUTED_VALUE"""),45536.0)</f>
        <v>45536</v>
      </c>
      <c r="B708" t="str">
        <f>IFERROR(__xludf.DUMMYFUNCTION("""COMPUTED_VALUE"""),"龍江游sir")</f>
        <v>龍江游sir</v>
      </c>
      <c r="C708" t="str">
        <f>IFERROR(__xludf.DUMMYFUNCTION("""COMPUTED_VALUE"""),"成本 - 大租金")</f>
        <v>成本 - 大租金</v>
      </c>
      <c r="D708" s="270">
        <f>IFERROR(__xludf.DUMMYFUNCTION("""COMPUTED_VALUE"""),-13515.0)</f>
        <v>-13515</v>
      </c>
      <c r="E708" t="str">
        <f>IFERROR(__xludf.DUMMYFUNCTION("""COMPUTED_VALUE"""),"台銀籌備帳戶")</f>
        <v>台銀籌備帳戶</v>
      </c>
      <c r="G708" t="str">
        <f>IFERROR(__xludf.DUMMYFUNCTION("""COMPUTED_VALUE"""),"龍江229")</f>
        <v>龍江229</v>
      </c>
      <c r="H708" s="106" t="str">
        <f t="shared" si="1"/>
        <v>2024-09</v>
      </c>
      <c r="I708" s="271" t="str">
        <f>IFERROR(__xludf.DUMMYFUNCTION("""COMPUTED_VALUE"""),"貓狗企鵝")</f>
        <v>貓狗企鵝</v>
      </c>
      <c r="J708" t="str">
        <f>IFERROR(__xludf.DUMMYFUNCTION("IFS(
  AND(REGEXMATCH(E708, ""台銀籌備帳戶|玉山帳戶""), REGEXMATCH(C708, ""薪資"")), ""分潤支出"",
  AND(REGEXMATCH(E708, ""Ben帳戶|Elsa帳戶|Ben代墊|Ariel代墊|中信銀行共用""), REGEXMATCH(F708, ""Ben帳戶|Elsa帳戶|Ben代墊|Ariel代墊|中信銀行共用"")), ""內部轉帳(忽略)"",
  AND(E708&lt;&gt;"""", F708&lt;&gt;"""", NOT(REG"&amp;"EXMATCH(C708, ""薪資""))), ""內部轉帳(忽略)"",
  REGEXMATCH(C708, ""薪資""), ""薪資變動(不計入)"",
  REGEXMATCH(C708, ""押金""), ""押金往來"",
  AND(E708&lt;&gt;"""", F708=""""), ""真實支出"",
  AND(E708="""", F708&lt;&gt;""""), ""真實收入"",
  TRUE, ""其他""
)"),"真實支出")</f>
        <v>真實支出</v>
      </c>
      <c r="K708" s="270">
        <f t="shared" si="2"/>
        <v>-13515</v>
      </c>
      <c r="L708">
        <f t="shared" si="3"/>
        <v>0</v>
      </c>
    </row>
    <row r="709">
      <c r="A709" s="107">
        <f>IFERROR(__xludf.DUMMYFUNCTION("""COMPUTED_VALUE"""),45536.0)</f>
        <v>45536</v>
      </c>
      <c r="B709" t="str">
        <f>IFERROR(__xludf.DUMMYFUNCTION("""COMPUTED_VALUE"""),"大湖陳彩霞")</f>
        <v>大湖陳彩霞</v>
      </c>
      <c r="C709" t="str">
        <f>IFERROR(__xludf.DUMMYFUNCTION("""COMPUTED_VALUE"""),"成本 - 大租金")</f>
        <v>成本 - 大租金</v>
      </c>
      <c r="D709" s="270">
        <f>IFERROR(__xludf.DUMMYFUNCTION("""COMPUTED_VALUE"""),-19415.0)</f>
        <v>-19415</v>
      </c>
      <c r="E709" t="str">
        <f>IFERROR(__xludf.DUMMYFUNCTION("""COMPUTED_VALUE"""),"台銀籌備帳戶")</f>
        <v>台銀籌備帳戶</v>
      </c>
      <c r="G709" t="str">
        <f>IFERROR(__xludf.DUMMYFUNCTION("""COMPUTED_VALUE"""),"大湖山莊")</f>
        <v>大湖山莊</v>
      </c>
      <c r="H709" s="106" t="str">
        <f t="shared" si="1"/>
        <v>2024-09</v>
      </c>
      <c r="I709" s="271" t="str">
        <f>IFERROR(__xludf.DUMMYFUNCTION("""COMPUTED_VALUE"""),"貓狗企鵝")</f>
        <v>貓狗企鵝</v>
      </c>
      <c r="J709" t="str">
        <f>IFERROR(__xludf.DUMMYFUNCTION("IFS(
  AND(REGEXMATCH(E709, ""台銀籌備帳戶|玉山帳戶""), REGEXMATCH(C709, ""薪資"")), ""分潤支出"",
  AND(REGEXMATCH(E709, ""Ben帳戶|Elsa帳戶|Ben代墊|Ariel代墊|中信銀行共用""), REGEXMATCH(F709, ""Ben帳戶|Elsa帳戶|Ben代墊|Ariel代墊|中信銀行共用"")), ""內部轉帳(忽略)"",
  AND(E709&lt;&gt;"""", F709&lt;&gt;"""", NOT(REG"&amp;"EXMATCH(C709, ""薪資""))), ""內部轉帳(忽略)"",
  REGEXMATCH(C709, ""薪資""), ""薪資變動(不計入)"",
  REGEXMATCH(C709, ""押金""), ""押金往來"",
  AND(E709&lt;&gt;"""", F709=""""), ""真實支出"",
  AND(E709="""", F709&lt;&gt;""""), ""真實收入"",
  TRUE, ""其他""
)"),"真實支出")</f>
        <v>真實支出</v>
      </c>
      <c r="K709" s="270">
        <f t="shared" si="2"/>
        <v>-19415</v>
      </c>
      <c r="L709">
        <f t="shared" si="3"/>
        <v>0</v>
      </c>
    </row>
    <row r="710">
      <c r="A710" s="107">
        <f>IFERROR(__xludf.DUMMYFUNCTION("""COMPUTED_VALUE"""),45536.0)</f>
        <v>45536</v>
      </c>
      <c r="B710" t="str">
        <f>IFERROR(__xludf.DUMMYFUNCTION("""COMPUTED_VALUE"""),"北醫醫師府D劉怡秀")</f>
        <v>北醫醫師府D劉怡秀</v>
      </c>
      <c r="C710" t="str">
        <f>IFERROR(__xludf.DUMMYFUNCTION("""COMPUTED_VALUE"""),"收入 - 租金")</f>
        <v>收入 - 租金</v>
      </c>
      <c r="D710" s="270">
        <f>IFERROR(__xludf.DUMMYFUNCTION("""COMPUTED_VALUE"""),12000.0)</f>
        <v>12000</v>
      </c>
      <c r="F710" t="str">
        <f>IFERROR(__xludf.DUMMYFUNCTION("""COMPUTED_VALUE"""),"台銀籌備帳戶")</f>
        <v>台銀籌備帳戶</v>
      </c>
      <c r="G710" t="str">
        <f>IFERROR(__xludf.DUMMYFUNCTION("""COMPUTED_VALUE"""),"北醫醫師府")</f>
        <v>北醫醫師府</v>
      </c>
      <c r="H710" s="106" t="str">
        <f t="shared" si="1"/>
        <v>2024-09</v>
      </c>
      <c r="I710" s="271" t="str">
        <f>IFERROR(__xludf.DUMMYFUNCTION("""COMPUTED_VALUE"""),"貓狗企鵝")</f>
        <v>貓狗企鵝</v>
      </c>
      <c r="J710" t="str">
        <f>IFERROR(__xludf.DUMMYFUNCTION("IFS(
  AND(REGEXMATCH(E710, ""台銀籌備帳戶|玉山帳戶""), REGEXMATCH(C710, ""薪資"")), ""分潤支出"",
  AND(REGEXMATCH(E710, ""Ben帳戶|Elsa帳戶|Ben代墊|Ariel代墊|中信銀行共用""), REGEXMATCH(F710, ""Ben帳戶|Elsa帳戶|Ben代墊|Ariel代墊|中信銀行共用"")), ""內部轉帳(忽略)"",
  AND(E710&lt;&gt;"""", F710&lt;&gt;"""", NOT(REG"&amp;"EXMATCH(C710, ""薪資""))), ""內部轉帳(忽略)"",
  REGEXMATCH(C710, ""薪資""), ""薪資變動(不計入)"",
  REGEXMATCH(C710, ""押金""), ""押金往來"",
  AND(E710&lt;&gt;"""", F710=""""), ""真實支出"",
  AND(E710="""", F710&lt;&gt;""""), ""真實收入"",
  TRUE, ""其他""
)"),"真實收入")</f>
        <v>真實收入</v>
      </c>
      <c r="K710" s="270">
        <f t="shared" si="2"/>
        <v>12000</v>
      </c>
      <c r="L710">
        <f t="shared" si="3"/>
        <v>0</v>
      </c>
    </row>
    <row r="711">
      <c r="A711" s="107">
        <f>IFERROR(__xludf.DUMMYFUNCTION("""COMPUTED_VALUE"""),45536.0)</f>
        <v>45536</v>
      </c>
      <c r="B711" t="str">
        <f>IFERROR(__xludf.DUMMYFUNCTION("""COMPUTED_VALUE"""),"大湖山莊A熊翊丞")</f>
        <v>大湖山莊A熊翊丞</v>
      </c>
      <c r="C711" t="str">
        <f>IFERROR(__xludf.DUMMYFUNCTION("""COMPUTED_VALUE"""),"收入 - 租金")</f>
        <v>收入 - 租金</v>
      </c>
      <c r="D711" s="270">
        <f>IFERROR(__xludf.DUMMYFUNCTION("""COMPUTED_VALUE"""),13300.0)</f>
        <v>13300</v>
      </c>
      <c r="F711" t="str">
        <f>IFERROR(__xludf.DUMMYFUNCTION("""COMPUTED_VALUE"""),"台銀籌備帳戶")</f>
        <v>台銀籌備帳戶</v>
      </c>
      <c r="G711" t="str">
        <f>IFERROR(__xludf.DUMMYFUNCTION("""COMPUTED_VALUE"""),"大湖山莊")</f>
        <v>大湖山莊</v>
      </c>
      <c r="H711" s="106" t="str">
        <f t="shared" si="1"/>
        <v>2024-09</v>
      </c>
      <c r="I711" s="271" t="str">
        <f>IFERROR(__xludf.DUMMYFUNCTION("""COMPUTED_VALUE"""),"貓狗企鵝")</f>
        <v>貓狗企鵝</v>
      </c>
      <c r="J711" t="str">
        <f>IFERROR(__xludf.DUMMYFUNCTION("IFS(
  AND(REGEXMATCH(E711, ""台銀籌備帳戶|玉山帳戶""), REGEXMATCH(C711, ""薪資"")), ""分潤支出"",
  AND(REGEXMATCH(E711, ""Ben帳戶|Elsa帳戶|Ben代墊|Ariel代墊|中信銀行共用""), REGEXMATCH(F711, ""Ben帳戶|Elsa帳戶|Ben代墊|Ariel代墊|中信銀行共用"")), ""內部轉帳(忽略)"",
  AND(E711&lt;&gt;"""", F711&lt;&gt;"""", NOT(REG"&amp;"EXMATCH(C711, ""薪資""))), ""內部轉帳(忽略)"",
  REGEXMATCH(C711, ""薪資""), ""薪資變動(不計入)"",
  REGEXMATCH(C711, ""押金""), ""押金往來"",
  AND(E711&lt;&gt;"""", F711=""""), ""真實支出"",
  AND(E711="""", F711&lt;&gt;""""), ""真實收入"",
  TRUE, ""其他""
)"),"真實收入")</f>
        <v>真實收入</v>
      </c>
      <c r="K711" s="270">
        <f t="shared" si="2"/>
        <v>13300</v>
      </c>
      <c r="L711">
        <f t="shared" si="3"/>
        <v>0</v>
      </c>
    </row>
    <row r="712">
      <c r="A712" s="107">
        <f>IFERROR(__xludf.DUMMYFUNCTION("""COMPUTED_VALUE"""),45536.0)</f>
        <v>45536</v>
      </c>
      <c r="B712" t="str">
        <f>IFERROR(__xludf.DUMMYFUNCTION("""COMPUTED_VALUE"""),"龍江229	E	許霈琪")</f>
        <v>龍江229	E	許霈琪</v>
      </c>
      <c r="C712" t="str">
        <f>IFERROR(__xludf.DUMMYFUNCTION("""COMPUTED_VALUE"""),"收入 - 租金")</f>
        <v>收入 - 租金</v>
      </c>
      <c r="D712" s="270">
        <f>IFERROR(__xludf.DUMMYFUNCTION("""COMPUTED_VALUE"""),13500.0)</f>
        <v>13500</v>
      </c>
      <c r="F712" t="str">
        <f>IFERROR(__xludf.DUMMYFUNCTION("""COMPUTED_VALUE"""),"台銀籌備帳戶")</f>
        <v>台銀籌備帳戶</v>
      </c>
      <c r="G712" t="str">
        <f>IFERROR(__xludf.DUMMYFUNCTION("""COMPUTED_VALUE"""),"龍江229")</f>
        <v>龍江229</v>
      </c>
      <c r="H712" s="106" t="str">
        <f t="shared" si="1"/>
        <v>2024-09</v>
      </c>
      <c r="I712" s="271" t="str">
        <f>IFERROR(__xludf.DUMMYFUNCTION("""COMPUTED_VALUE"""),"貓狗企鵝")</f>
        <v>貓狗企鵝</v>
      </c>
      <c r="J712" t="str">
        <f>IFERROR(__xludf.DUMMYFUNCTION("IFS(
  AND(REGEXMATCH(E712, ""台銀籌備帳戶|玉山帳戶""), REGEXMATCH(C712, ""薪資"")), ""分潤支出"",
  AND(REGEXMATCH(E712, ""Ben帳戶|Elsa帳戶|Ben代墊|Ariel代墊|中信銀行共用""), REGEXMATCH(F712, ""Ben帳戶|Elsa帳戶|Ben代墊|Ariel代墊|中信銀行共用"")), ""內部轉帳(忽略)"",
  AND(E712&lt;&gt;"""", F712&lt;&gt;"""", NOT(REG"&amp;"EXMATCH(C712, ""薪資""))), ""內部轉帳(忽略)"",
  REGEXMATCH(C712, ""薪資""), ""薪資變動(不計入)"",
  REGEXMATCH(C712, ""押金""), ""押金往來"",
  AND(E712&lt;&gt;"""", F712=""""), ""真實支出"",
  AND(E712="""", F712&lt;&gt;""""), ""真實收入"",
  TRUE, ""其他""
)"),"真實收入")</f>
        <v>真實收入</v>
      </c>
      <c r="K712" s="270">
        <f t="shared" si="2"/>
        <v>13500</v>
      </c>
      <c r="L712">
        <f t="shared" si="3"/>
        <v>0</v>
      </c>
    </row>
    <row r="713">
      <c r="A713" s="107">
        <f>IFERROR(__xludf.DUMMYFUNCTION("""COMPUTED_VALUE"""),45536.0)</f>
        <v>45536</v>
      </c>
      <c r="B713" t="str">
        <f>IFERROR(__xludf.DUMMYFUNCTION("""COMPUTED_VALUE"""),"大湖山莊D陳昭瑄")</f>
        <v>大湖山莊D陳昭瑄</v>
      </c>
      <c r="C713" t="str">
        <f>IFERROR(__xludf.DUMMYFUNCTION("""COMPUTED_VALUE"""),"收入 - 租金")</f>
        <v>收入 - 租金</v>
      </c>
      <c r="D713" s="270">
        <f>IFERROR(__xludf.DUMMYFUNCTION("""COMPUTED_VALUE"""),14300.0)</f>
        <v>14300</v>
      </c>
      <c r="F713" t="str">
        <f>IFERROR(__xludf.DUMMYFUNCTION("""COMPUTED_VALUE"""),"台銀籌備帳戶")</f>
        <v>台銀籌備帳戶</v>
      </c>
      <c r="G713" t="str">
        <f>IFERROR(__xludf.DUMMYFUNCTION("""COMPUTED_VALUE"""),"大湖山莊")</f>
        <v>大湖山莊</v>
      </c>
      <c r="H713" s="106" t="str">
        <f t="shared" si="1"/>
        <v>2024-09</v>
      </c>
      <c r="I713" s="271" t="str">
        <f>IFERROR(__xludf.DUMMYFUNCTION("""COMPUTED_VALUE"""),"貓狗企鵝")</f>
        <v>貓狗企鵝</v>
      </c>
      <c r="J713" t="str">
        <f>IFERROR(__xludf.DUMMYFUNCTION("IFS(
  AND(REGEXMATCH(E713, ""台銀籌備帳戶|玉山帳戶""), REGEXMATCH(C713, ""薪資"")), ""分潤支出"",
  AND(REGEXMATCH(E713, ""Ben帳戶|Elsa帳戶|Ben代墊|Ariel代墊|中信銀行共用""), REGEXMATCH(F713, ""Ben帳戶|Elsa帳戶|Ben代墊|Ariel代墊|中信銀行共用"")), ""內部轉帳(忽略)"",
  AND(E713&lt;&gt;"""", F713&lt;&gt;"""", NOT(REG"&amp;"EXMATCH(C713, ""薪資""))), ""內部轉帳(忽略)"",
  REGEXMATCH(C713, ""薪資""), ""薪資變動(不計入)"",
  REGEXMATCH(C713, ""押金""), ""押金往來"",
  AND(E713&lt;&gt;"""", F713=""""), ""真實支出"",
  AND(E713="""", F713&lt;&gt;""""), ""真實收入"",
  TRUE, ""其他""
)"),"真實收入")</f>
        <v>真實收入</v>
      </c>
      <c r="K713" s="270">
        <f t="shared" si="2"/>
        <v>14300</v>
      </c>
      <c r="L713">
        <f t="shared" si="3"/>
        <v>0</v>
      </c>
    </row>
    <row r="714">
      <c r="A714" s="107">
        <f>IFERROR(__xludf.DUMMYFUNCTION("""COMPUTED_VALUE"""),45536.0)</f>
        <v>45536</v>
      </c>
      <c r="B714" t="str">
        <f>IFERROR(__xludf.DUMMYFUNCTION("""COMPUTED_VALUE"""),"大湖山莊G林文心")</f>
        <v>大湖山莊G林文心</v>
      </c>
      <c r="C714" t="str">
        <f>IFERROR(__xludf.DUMMYFUNCTION("""COMPUTED_VALUE"""),"收入 - 租金")</f>
        <v>收入 - 租金</v>
      </c>
      <c r="D714" s="270">
        <f>IFERROR(__xludf.DUMMYFUNCTION("""COMPUTED_VALUE"""),15000.0)</f>
        <v>15000</v>
      </c>
      <c r="F714" t="str">
        <f>IFERROR(__xludf.DUMMYFUNCTION("""COMPUTED_VALUE"""),"台銀籌備帳戶")</f>
        <v>台銀籌備帳戶</v>
      </c>
      <c r="G714" t="str">
        <f>IFERROR(__xludf.DUMMYFUNCTION("""COMPUTED_VALUE"""),"大湖山莊")</f>
        <v>大湖山莊</v>
      </c>
      <c r="H714" s="106" t="str">
        <f t="shared" si="1"/>
        <v>2024-09</v>
      </c>
      <c r="I714" s="271" t="str">
        <f>IFERROR(__xludf.DUMMYFUNCTION("""COMPUTED_VALUE"""),"貓狗企鵝")</f>
        <v>貓狗企鵝</v>
      </c>
      <c r="J714" t="str">
        <f>IFERROR(__xludf.DUMMYFUNCTION("IFS(
  AND(REGEXMATCH(E714, ""台銀籌備帳戶|玉山帳戶""), REGEXMATCH(C714, ""薪資"")), ""分潤支出"",
  AND(REGEXMATCH(E714, ""Ben帳戶|Elsa帳戶|Ben代墊|Ariel代墊|中信銀行共用""), REGEXMATCH(F714, ""Ben帳戶|Elsa帳戶|Ben代墊|Ariel代墊|中信銀行共用"")), ""內部轉帳(忽略)"",
  AND(E714&lt;&gt;"""", F714&lt;&gt;"""", NOT(REG"&amp;"EXMATCH(C714, ""薪資""))), ""內部轉帳(忽略)"",
  REGEXMATCH(C714, ""薪資""), ""薪資變動(不計入)"",
  REGEXMATCH(C714, ""押金""), ""押金往來"",
  AND(E714&lt;&gt;"""", F714=""""), ""真實支出"",
  AND(E714="""", F714&lt;&gt;""""), ""真實收入"",
  TRUE, ""其他""
)"),"真實收入")</f>
        <v>真實收入</v>
      </c>
      <c r="K714" s="270">
        <f t="shared" si="2"/>
        <v>15000</v>
      </c>
      <c r="L714">
        <f t="shared" si="3"/>
        <v>0</v>
      </c>
    </row>
    <row r="715">
      <c r="A715" s="107">
        <f>IFERROR(__xludf.DUMMYFUNCTION("""COMPUTED_VALUE"""),45536.0)</f>
        <v>45536</v>
      </c>
      <c r="B715" t="str">
        <f>IFERROR(__xludf.DUMMYFUNCTION("""COMPUTED_VALUE"""),"北醫醫師府E洪睿佑")</f>
        <v>北醫醫師府E洪睿佑</v>
      </c>
      <c r="C715" t="str">
        <f>IFERROR(__xludf.DUMMYFUNCTION("""COMPUTED_VALUE"""),"收入 - 租金")</f>
        <v>收入 - 租金</v>
      </c>
      <c r="D715" s="270">
        <f>IFERROR(__xludf.DUMMYFUNCTION("""COMPUTED_VALUE"""),14800.0)</f>
        <v>14800</v>
      </c>
      <c r="F715" t="str">
        <f>IFERROR(__xludf.DUMMYFUNCTION("""COMPUTED_VALUE"""),"台銀籌備帳戶")</f>
        <v>台銀籌備帳戶</v>
      </c>
      <c r="G715" t="str">
        <f>IFERROR(__xludf.DUMMYFUNCTION("""COMPUTED_VALUE"""),"北醫醫師府")</f>
        <v>北醫醫師府</v>
      </c>
      <c r="H715" s="106" t="str">
        <f t="shared" si="1"/>
        <v>2024-09</v>
      </c>
      <c r="I715" s="271" t="str">
        <f>IFERROR(__xludf.DUMMYFUNCTION("""COMPUTED_VALUE"""),"貓狗企鵝")</f>
        <v>貓狗企鵝</v>
      </c>
      <c r="J715" t="str">
        <f>IFERROR(__xludf.DUMMYFUNCTION("IFS(
  AND(REGEXMATCH(E715, ""台銀籌備帳戶|玉山帳戶""), REGEXMATCH(C715, ""薪資"")), ""分潤支出"",
  AND(REGEXMATCH(E715, ""Ben帳戶|Elsa帳戶|Ben代墊|Ariel代墊|中信銀行共用""), REGEXMATCH(F715, ""Ben帳戶|Elsa帳戶|Ben代墊|Ariel代墊|中信銀行共用"")), ""內部轉帳(忽略)"",
  AND(E715&lt;&gt;"""", F715&lt;&gt;"""", NOT(REG"&amp;"EXMATCH(C715, ""薪資""))), ""內部轉帳(忽略)"",
  REGEXMATCH(C715, ""薪資""), ""薪資變動(不計入)"",
  REGEXMATCH(C715, ""押金""), ""押金往來"",
  AND(E715&lt;&gt;"""", F715=""""), ""真實支出"",
  AND(E715="""", F715&lt;&gt;""""), ""真實收入"",
  TRUE, ""其他""
)"),"真實收入")</f>
        <v>真實收入</v>
      </c>
      <c r="K715" s="270">
        <f t="shared" si="2"/>
        <v>14800</v>
      </c>
      <c r="L715">
        <f t="shared" si="3"/>
        <v>0</v>
      </c>
    </row>
    <row r="716">
      <c r="A716" s="107">
        <f>IFERROR(__xludf.DUMMYFUNCTION("""COMPUTED_VALUE"""),45536.0)</f>
        <v>45536</v>
      </c>
      <c r="B716" t="str">
        <f>IFERROR(__xludf.DUMMYFUNCTION("""COMPUTED_VALUE"""),"永春四號B袁家鳳")</f>
        <v>永春四號B袁家鳳</v>
      </c>
      <c r="C716" t="str">
        <f>IFERROR(__xludf.DUMMYFUNCTION("""COMPUTED_VALUE"""),"收入 - 租金")</f>
        <v>收入 - 租金</v>
      </c>
      <c r="D716" s="270">
        <f>IFERROR(__xludf.DUMMYFUNCTION("""COMPUTED_VALUE"""),13500.0)</f>
        <v>13500</v>
      </c>
      <c r="F716" t="str">
        <f>IFERROR(__xludf.DUMMYFUNCTION("""COMPUTED_VALUE"""),"台銀籌備帳戶")</f>
        <v>台銀籌備帳戶</v>
      </c>
      <c r="G716" t="str">
        <f>IFERROR(__xludf.DUMMYFUNCTION("""COMPUTED_VALUE"""),"永春四號")</f>
        <v>永春四號</v>
      </c>
      <c r="H716" s="106" t="str">
        <f t="shared" si="1"/>
        <v>2024-09</v>
      </c>
      <c r="I716" s="271" t="str">
        <f>IFERROR(__xludf.DUMMYFUNCTION("""COMPUTED_VALUE"""),"貓狗企鵝")</f>
        <v>貓狗企鵝</v>
      </c>
      <c r="J716" t="str">
        <f>IFERROR(__xludf.DUMMYFUNCTION("IFS(
  AND(REGEXMATCH(E716, ""台銀籌備帳戶|玉山帳戶""), REGEXMATCH(C716, ""薪資"")), ""分潤支出"",
  AND(REGEXMATCH(E716, ""Ben帳戶|Elsa帳戶|Ben代墊|Ariel代墊|中信銀行共用""), REGEXMATCH(F716, ""Ben帳戶|Elsa帳戶|Ben代墊|Ariel代墊|中信銀行共用"")), ""內部轉帳(忽略)"",
  AND(E716&lt;&gt;"""", F716&lt;&gt;"""", NOT(REG"&amp;"EXMATCH(C716, ""薪資""))), ""內部轉帳(忽略)"",
  REGEXMATCH(C716, ""薪資""), ""薪資變動(不計入)"",
  REGEXMATCH(C716, ""押金""), ""押金往來"",
  AND(E716&lt;&gt;"""", F716=""""), ""真實支出"",
  AND(E716="""", F716&lt;&gt;""""), ""真實收入"",
  TRUE, ""其他""
)"),"真實收入")</f>
        <v>真實收入</v>
      </c>
      <c r="K716" s="270">
        <f t="shared" si="2"/>
        <v>13500</v>
      </c>
      <c r="L716">
        <f t="shared" si="3"/>
        <v>0</v>
      </c>
    </row>
    <row r="717">
      <c r="A717" s="107">
        <f>IFERROR(__xludf.DUMMYFUNCTION("""COMPUTED_VALUE"""),45536.0)</f>
        <v>45536</v>
      </c>
      <c r="B717" t="str">
        <f>IFERROR(__xludf.DUMMYFUNCTION("""COMPUTED_VALUE"""),"永春四號C林聿妡")</f>
        <v>永春四號C林聿妡</v>
      </c>
      <c r="C717" t="str">
        <f>IFERROR(__xludf.DUMMYFUNCTION("""COMPUTED_VALUE"""),"收入 - 租金")</f>
        <v>收入 - 租金</v>
      </c>
      <c r="D717" s="270">
        <f>IFERROR(__xludf.DUMMYFUNCTION("""COMPUTED_VALUE"""),13300.0)</f>
        <v>13300</v>
      </c>
      <c r="F717" t="str">
        <f>IFERROR(__xludf.DUMMYFUNCTION("""COMPUTED_VALUE"""),"台銀籌備帳戶")</f>
        <v>台銀籌備帳戶</v>
      </c>
      <c r="G717" t="str">
        <f>IFERROR(__xludf.DUMMYFUNCTION("""COMPUTED_VALUE"""),"永春四號")</f>
        <v>永春四號</v>
      </c>
      <c r="H717" s="106" t="str">
        <f t="shared" si="1"/>
        <v>2024-09</v>
      </c>
      <c r="I717" s="271" t="str">
        <f>IFERROR(__xludf.DUMMYFUNCTION("""COMPUTED_VALUE"""),"貓狗企鵝")</f>
        <v>貓狗企鵝</v>
      </c>
      <c r="J717" t="str">
        <f>IFERROR(__xludf.DUMMYFUNCTION("IFS(
  AND(REGEXMATCH(E717, ""台銀籌備帳戶|玉山帳戶""), REGEXMATCH(C717, ""薪資"")), ""分潤支出"",
  AND(REGEXMATCH(E717, ""Ben帳戶|Elsa帳戶|Ben代墊|Ariel代墊|中信銀行共用""), REGEXMATCH(F717, ""Ben帳戶|Elsa帳戶|Ben代墊|Ariel代墊|中信銀行共用"")), ""內部轉帳(忽略)"",
  AND(E717&lt;&gt;"""", F717&lt;&gt;"""", NOT(REG"&amp;"EXMATCH(C717, ""薪資""))), ""內部轉帳(忽略)"",
  REGEXMATCH(C717, ""薪資""), ""薪資變動(不計入)"",
  REGEXMATCH(C717, ""押金""), ""押金往來"",
  AND(E717&lt;&gt;"""", F717=""""), ""真實支出"",
  AND(E717="""", F717&lt;&gt;""""), ""真實收入"",
  TRUE, ""其他""
)"),"真實收入")</f>
        <v>真實收入</v>
      </c>
      <c r="K717" s="270">
        <f t="shared" si="2"/>
        <v>13300</v>
      </c>
      <c r="L717">
        <f t="shared" si="3"/>
        <v>0</v>
      </c>
    </row>
    <row r="718">
      <c r="A718" s="107">
        <f>IFERROR(__xludf.DUMMYFUNCTION("""COMPUTED_VALUE"""),45536.0)</f>
        <v>45536</v>
      </c>
      <c r="B718" t="str">
        <f>IFERROR(__xludf.DUMMYFUNCTION("""COMPUTED_VALUE"""),"北醫醫師府F林雍勳")</f>
        <v>北醫醫師府F林雍勳</v>
      </c>
      <c r="C718" t="str">
        <f>IFERROR(__xludf.DUMMYFUNCTION("""COMPUTED_VALUE"""),"收入 - 租金")</f>
        <v>收入 - 租金</v>
      </c>
      <c r="D718" s="270">
        <f>IFERROR(__xludf.DUMMYFUNCTION("""COMPUTED_VALUE"""),14800.0)</f>
        <v>14800</v>
      </c>
      <c r="F718" t="str">
        <f>IFERROR(__xludf.DUMMYFUNCTION("""COMPUTED_VALUE"""),"台銀籌備帳戶")</f>
        <v>台銀籌備帳戶</v>
      </c>
      <c r="G718" t="str">
        <f>IFERROR(__xludf.DUMMYFUNCTION("""COMPUTED_VALUE"""),"北醫醫師府")</f>
        <v>北醫醫師府</v>
      </c>
      <c r="H718" s="106" t="str">
        <f t="shared" si="1"/>
        <v>2024-09</v>
      </c>
      <c r="I718" s="271" t="str">
        <f>IFERROR(__xludf.DUMMYFUNCTION("""COMPUTED_VALUE"""),"貓狗企鵝")</f>
        <v>貓狗企鵝</v>
      </c>
      <c r="J718" t="str">
        <f>IFERROR(__xludf.DUMMYFUNCTION("IFS(
  AND(REGEXMATCH(E718, ""台銀籌備帳戶|玉山帳戶""), REGEXMATCH(C718, ""薪資"")), ""分潤支出"",
  AND(REGEXMATCH(E718, ""Ben帳戶|Elsa帳戶|Ben代墊|Ariel代墊|中信銀行共用""), REGEXMATCH(F718, ""Ben帳戶|Elsa帳戶|Ben代墊|Ariel代墊|中信銀行共用"")), ""內部轉帳(忽略)"",
  AND(E718&lt;&gt;"""", F718&lt;&gt;"""", NOT(REG"&amp;"EXMATCH(C718, ""薪資""))), ""內部轉帳(忽略)"",
  REGEXMATCH(C718, ""薪資""), ""薪資變動(不計入)"",
  REGEXMATCH(C718, ""押金""), ""押金往來"",
  AND(E718&lt;&gt;"""", F718=""""), ""真實支出"",
  AND(E718="""", F718&lt;&gt;""""), ""真實收入"",
  TRUE, ""其他""
)"),"真實收入")</f>
        <v>真實收入</v>
      </c>
      <c r="K718" s="270">
        <f t="shared" si="2"/>
        <v>14800</v>
      </c>
      <c r="L718">
        <f t="shared" si="3"/>
        <v>0</v>
      </c>
    </row>
    <row r="719">
      <c r="A719" s="107">
        <f>IFERROR(__xludf.DUMMYFUNCTION("""COMPUTED_VALUE"""),45536.0)</f>
        <v>45536</v>
      </c>
      <c r="B719" t="str">
        <f>IFERROR(__xludf.DUMMYFUNCTION("""COMPUTED_VALUE"""),"北醫醫師府B王品涵")</f>
        <v>北醫醫師府B王品涵</v>
      </c>
      <c r="C719" t="str">
        <f>IFERROR(__xludf.DUMMYFUNCTION("""COMPUTED_VALUE"""),"收入 - 租金")</f>
        <v>收入 - 租金</v>
      </c>
      <c r="D719" s="270">
        <f>IFERROR(__xludf.DUMMYFUNCTION("""COMPUTED_VALUE"""),19800.0)</f>
        <v>19800</v>
      </c>
      <c r="F719" t="str">
        <f>IFERROR(__xludf.DUMMYFUNCTION("""COMPUTED_VALUE"""),"台銀籌備帳戶")</f>
        <v>台銀籌備帳戶</v>
      </c>
      <c r="G719" t="str">
        <f>IFERROR(__xludf.DUMMYFUNCTION("""COMPUTED_VALUE"""),"北醫醫師府")</f>
        <v>北醫醫師府</v>
      </c>
      <c r="H719" s="106" t="str">
        <f t="shared" si="1"/>
        <v>2024-09</v>
      </c>
      <c r="I719" s="271" t="str">
        <f>IFERROR(__xludf.DUMMYFUNCTION("""COMPUTED_VALUE"""),"貓狗企鵝")</f>
        <v>貓狗企鵝</v>
      </c>
      <c r="J719" t="str">
        <f>IFERROR(__xludf.DUMMYFUNCTION("IFS(
  AND(REGEXMATCH(E719, ""台銀籌備帳戶|玉山帳戶""), REGEXMATCH(C719, ""薪資"")), ""分潤支出"",
  AND(REGEXMATCH(E719, ""Ben帳戶|Elsa帳戶|Ben代墊|Ariel代墊|中信銀行共用""), REGEXMATCH(F719, ""Ben帳戶|Elsa帳戶|Ben代墊|Ariel代墊|中信銀行共用"")), ""內部轉帳(忽略)"",
  AND(E719&lt;&gt;"""", F719&lt;&gt;"""", NOT(REG"&amp;"EXMATCH(C719, ""薪資""))), ""內部轉帳(忽略)"",
  REGEXMATCH(C719, ""薪資""), ""薪資變動(不計入)"",
  REGEXMATCH(C719, ""押金""), ""押金往來"",
  AND(E719&lt;&gt;"""", F719=""""), ""真實支出"",
  AND(E719="""", F719&lt;&gt;""""), ""真實收入"",
  TRUE, ""其他""
)"),"真實收入")</f>
        <v>真實收入</v>
      </c>
      <c r="K719" s="270">
        <f t="shared" si="2"/>
        <v>19800</v>
      </c>
      <c r="L719">
        <f t="shared" si="3"/>
        <v>0</v>
      </c>
    </row>
    <row r="720">
      <c r="A720" s="107">
        <f>IFERROR(__xludf.DUMMYFUNCTION("""COMPUTED_VALUE"""),45536.0)</f>
        <v>45536</v>
      </c>
      <c r="B720" t="str">
        <f>IFERROR(__xludf.DUMMYFUNCTION("""COMPUTED_VALUE"""),"大湖山莊E吳彥霆")</f>
        <v>大湖山莊E吳彥霆</v>
      </c>
      <c r="C720" t="str">
        <f>IFERROR(__xludf.DUMMYFUNCTION("""COMPUTED_VALUE"""),"收入 - 租金")</f>
        <v>收入 - 租金</v>
      </c>
      <c r="D720" s="270">
        <f>IFERROR(__xludf.DUMMYFUNCTION("""COMPUTED_VALUE"""),12500.0)</f>
        <v>12500</v>
      </c>
      <c r="F720" t="str">
        <f>IFERROR(__xludf.DUMMYFUNCTION("""COMPUTED_VALUE"""),"台銀籌備帳戶")</f>
        <v>台銀籌備帳戶</v>
      </c>
      <c r="G720" t="str">
        <f>IFERROR(__xludf.DUMMYFUNCTION("""COMPUTED_VALUE"""),"大湖山莊")</f>
        <v>大湖山莊</v>
      </c>
      <c r="H720" s="106" t="str">
        <f t="shared" si="1"/>
        <v>2024-09</v>
      </c>
      <c r="I720" s="271" t="str">
        <f>IFERROR(__xludf.DUMMYFUNCTION("""COMPUTED_VALUE"""),"貓狗企鵝")</f>
        <v>貓狗企鵝</v>
      </c>
      <c r="J720" t="str">
        <f>IFERROR(__xludf.DUMMYFUNCTION("IFS(
  AND(REGEXMATCH(E720, ""台銀籌備帳戶|玉山帳戶""), REGEXMATCH(C720, ""薪資"")), ""分潤支出"",
  AND(REGEXMATCH(E720, ""Ben帳戶|Elsa帳戶|Ben代墊|Ariel代墊|中信銀行共用""), REGEXMATCH(F720, ""Ben帳戶|Elsa帳戶|Ben代墊|Ariel代墊|中信銀行共用"")), ""內部轉帳(忽略)"",
  AND(E720&lt;&gt;"""", F720&lt;&gt;"""", NOT(REG"&amp;"EXMATCH(C720, ""薪資""))), ""內部轉帳(忽略)"",
  REGEXMATCH(C720, ""薪資""), ""薪資變動(不計入)"",
  REGEXMATCH(C720, ""押金""), ""押金往來"",
  AND(E720&lt;&gt;"""", F720=""""), ""真實支出"",
  AND(E720="""", F720&lt;&gt;""""), ""真實收入"",
  TRUE, ""其他""
)"),"真實收入")</f>
        <v>真實收入</v>
      </c>
      <c r="K720" s="270">
        <f t="shared" si="2"/>
        <v>12500</v>
      </c>
      <c r="L720">
        <f t="shared" si="3"/>
        <v>0</v>
      </c>
    </row>
    <row r="721">
      <c r="A721" s="107">
        <f>IFERROR(__xludf.DUMMYFUNCTION("""COMPUTED_VALUE"""),45536.0)</f>
        <v>45536</v>
      </c>
      <c r="B721" t="str">
        <f>IFERROR(__xludf.DUMMYFUNCTION("""COMPUTED_VALUE"""),"Elsa 代墊款")</f>
        <v>Elsa 代墊款</v>
      </c>
      <c r="C721" t="str">
        <f>IFERROR(__xludf.DUMMYFUNCTION("""COMPUTED_VALUE"""),"費用 - Salary 薪資")</f>
        <v>費用 - Salary 薪資</v>
      </c>
      <c r="D721" s="270">
        <f>IFERROR(__xludf.DUMMYFUNCTION("""COMPUTED_VALUE"""),-100000.0)</f>
        <v>-100000</v>
      </c>
      <c r="E721" t="str">
        <f>IFERROR(__xludf.DUMMYFUNCTION("""COMPUTED_VALUE"""),"Ben帳戶")</f>
        <v>Ben帳戶</v>
      </c>
      <c r="F721" t="str">
        <f>IFERROR(__xludf.DUMMYFUNCTION("""COMPUTED_VALUE"""),"Elsa帳戶")</f>
        <v>Elsa帳戶</v>
      </c>
      <c r="H721" s="106" t="str">
        <f t="shared" si="1"/>
        <v>2024-09</v>
      </c>
      <c r="I721" s="271" t="str">
        <f>IFERROR(__xludf.DUMMYFUNCTION("""COMPUTED_VALUE"""),"貓狗企鵝")</f>
        <v>貓狗企鵝</v>
      </c>
      <c r="J721" t="str">
        <f>IFERROR(__xludf.DUMMYFUNCTION("IFS(
  AND(REGEXMATCH(E721, ""台銀籌備帳戶|玉山帳戶""), REGEXMATCH(C721, ""薪資"")), ""分潤支出"",
  AND(REGEXMATCH(E721, ""Ben帳戶|Elsa帳戶|Ben代墊|Ariel代墊|中信銀行共用""), REGEXMATCH(F721, ""Ben帳戶|Elsa帳戶|Ben代墊|Ariel代墊|中信銀行共用"")), ""內部轉帳(忽略)"",
  AND(E721&lt;&gt;"""", F721&lt;&gt;"""", NOT(REG"&amp;"EXMATCH(C721, ""薪資""))), ""內部轉帳(忽略)"",
  REGEXMATCH(C721, ""薪資""), ""薪資變動(不計入)"",
  REGEXMATCH(C721, ""押金""), ""押金往來"",
  AND(E721&lt;&gt;"""", F721=""""), ""真實支出"",
  AND(E721="""", F721&lt;&gt;""""), ""真實收入"",
  TRUE, ""其他""
)"),"內部轉帳(忽略)")</f>
        <v>內部轉帳(忽略)</v>
      </c>
      <c r="K721">
        <f t="shared" si="2"/>
        <v>0</v>
      </c>
      <c r="L721">
        <f t="shared" si="3"/>
        <v>0</v>
      </c>
    </row>
    <row r="722">
      <c r="A722" s="107">
        <f>IFERROR(__xludf.DUMMYFUNCTION("""COMPUTED_VALUE"""),45537.0)</f>
        <v>45537</v>
      </c>
      <c r="B722" t="str">
        <f>IFERROR(__xludf.DUMMYFUNCTION("""COMPUTED_VALUE"""),"哈拉對面C徐鉦庭")</f>
        <v>哈拉對面C徐鉦庭</v>
      </c>
      <c r="C722" t="str">
        <f>IFERROR(__xludf.DUMMYFUNCTION("""COMPUTED_VALUE"""),"收入 - 租金")</f>
        <v>收入 - 租金</v>
      </c>
      <c r="D722" s="270">
        <f>IFERROR(__xludf.DUMMYFUNCTION("""COMPUTED_VALUE"""),11800.0)</f>
        <v>11800</v>
      </c>
      <c r="F722" t="str">
        <f>IFERROR(__xludf.DUMMYFUNCTION("""COMPUTED_VALUE"""),"台銀籌備帳戶")</f>
        <v>台銀籌備帳戶</v>
      </c>
      <c r="G722" t="str">
        <f>IFERROR(__xludf.DUMMYFUNCTION("""COMPUTED_VALUE"""),"哈拉對面")</f>
        <v>哈拉對面</v>
      </c>
      <c r="H722" s="106" t="str">
        <f t="shared" si="1"/>
        <v>2024-09</v>
      </c>
      <c r="I722" s="271" t="str">
        <f>IFERROR(__xludf.DUMMYFUNCTION("""COMPUTED_VALUE"""),"貓狗企鵝")</f>
        <v>貓狗企鵝</v>
      </c>
      <c r="J722" t="str">
        <f>IFERROR(__xludf.DUMMYFUNCTION("IFS(
  AND(REGEXMATCH(E722, ""台銀籌備帳戶|玉山帳戶""), REGEXMATCH(C722, ""薪資"")), ""分潤支出"",
  AND(REGEXMATCH(E722, ""Ben帳戶|Elsa帳戶|Ben代墊|Ariel代墊|中信銀行共用""), REGEXMATCH(F722, ""Ben帳戶|Elsa帳戶|Ben代墊|Ariel代墊|中信銀行共用"")), ""內部轉帳(忽略)"",
  AND(E722&lt;&gt;"""", F722&lt;&gt;"""", NOT(REG"&amp;"EXMATCH(C722, ""薪資""))), ""內部轉帳(忽略)"",
  REGEXMATCH(C722, ""薪資""), ""薪資變動(不計入)"",
  REGEXMATCH(C722, ""押金""), ""押金往來"",
  AND(E722&lt;&gt;"""", F722=""""), ""真實支出"",
  AND(E722="""", F722&lt;&gt;""""), ""真實收入"",
  TRUE, ""其他""
)"),"真實收入")</f>
        <v>真實收入</v>
      </c>
      <c r="K722" s="270">
        <f t="shared" si="2"/>
        <v>11800</v>
      </c>
      <c r="L722">
        <f t="shared" si="3"/>
        <v>0</v>
      </c>
    </row>
    <row r="723">
      <c r="A723" s="107">
        <f>IFERROR(__xludf.DUMMYFUNCTION("""COMPUTED_VALUE"""),45537.0)</f>
        <v>45537</v>
      </c>
      <c r="B723" t="str">
        <f>IFERROR(__xludf.DUMMYFUNCTION("""COMPUTED_VALUE"""),"南港C定金")</f>
        <v>南港C定金</v>
      </c>
      <c r="C723" t="str">
        <f>IFERROR(__xludf.DUMMYFUNCTION("""COMPUTED_VALUE"""),"收入 - 租金")</f>
        <v>收入 - 租金</v>
      </c>
      <c r="D723" s="270">
        <f>IFERROR(__xludf.DUMMYFUNCTION("""COMPUTED_VALUE"""),10000.0)</f>
        <v>10000</v>
      </c>
      <c r="F723" t="str">
        <f>IFERROR(__xludf.DUMMYFUNCTION("""COMPUTED_VALUE"""),"台銀籌備帳戶")</f>
        <v>台銀籌備帳戶</v>
      </c>
      <c r="G723" t="str">
        <f>IFERROR(__xludf.DUMMYFUNCTION("""COMPUTED_VALUE"""),"南港站挑高宅")</f>
        <v>南港站挑高宅</v>
      </c>
      <c r="H723" s="106" t="str">
        <f t="shared" si="1"/>
        <v>2024-09</v>
      </c>
      <c r="I723" s="271" t="str">
        <f>IFERROR(__xludf.DUMMYFUNCTION("""COMPUTED_VALUE"""),"貓狗企鵝")</f>
        <v>貓狗企鵝</v>
      </c>
      <c r="J723" t="str">
        <f>IFERROR(__xludf.DUMMYFUNCTION("IFS(
  AND(REGEXMATCH(E723, ""台銀籌備帳戶|玉山帳戶""), REGEXMATCH(C723, ""薪資"")), ""分潤支出"",
  AND(REGEXMATCH(E723, ""Ben帳戶|Elsa帳戶|Ben代墊|Ariel代墊|中信銀行共用""), REGEXMATCH(F723, ""Ben帳戶|Elsa帳戶|Ben代墊|Ariel代墊|中信銀行共用"")), ""內部轉帳(忽略)"",
  AND(E723&lt;&gt;"""", F723&lt;&gt;"""", NOT(REG"&amp;"EXMATCH(C723, ""薪資""))), ""內部轉帳(忽略)"",
  REGEXMATCH(C723, ""薪資""), ""薪資變動(不計入)"",
  REGEXMATCH(C723, ""押金""), ""押金往來"",
  AND(E723&lt;&gt;"""", F723=""""), ""真實支出"",
  AND(E723="""", F723&lt;&gt;""""), ""真實收入"",
  TRUE, ""其他""
)"),"真實收入")</f>
        <v>真實收入</v>
      </c>
      <c r="K723" s="270">
        <f t="shared" si="2"/>
        <v>10000</v>
      </c>
      <c r="L723">
        <f t="shared" si="3"/>
        <v>0</v>
      </c>
    </row>
    <row r="724">
      <c r="A724" s="107">
        <f>IFERROR(__xludf.DUMMYFUNCTION("""COMPUTED_VALUE"""),45538.0)</f>
        <v>45538</v>
      </c>
      <c r="B724" t="str">
        <f>IFERROR(__xludf.DUMMYFUNCTION("""COMPUTED_VALUE"""),"龍江229C陳雨彤")</f>
        <v>龍江229C陳雨彤</v>
      </c>
      <c r="C724" t="str">
        <f>IFERROR(__xludf.DUMMYFUNCTION("""COMPUTED_VALUE"""),"收入 - 租金")</f>
        <v>收入 - 租金</v>
      </c>
      <c r="D724" s="270">
        <f>IFERROR(__xludf.DUMMYFUNCTION("""COMPUTED_VALUE"""),16800.0)</f>
        <v>16800</v>
      </c>
      <c r="F724" t="str">
        <f>IFERROR(__xludf.DUMMYFUNCTION("""COMPUTED_VALUE"""),"台銀籌備帳戶")</f>
        <v>台銀籌備帳戶</v>
      </c>
      <c r="G724" t="str">
        <f>IFERROR(__xludf.DUMMYFUNCTION("""COMPUTED_VALUE"""),"龍江229")</f>
        <v>龍江229</v>
      </c>
      <c r="H724" s="106" t="str">
        <f t="shared" si="1"/>
        <v>2024-09</v>
      </c>
      <c r="I724" s="271" t="str">
        <f>IFERROR(__xludf.DUMMYFUNCTION("""COMPUTED_VALUE"""),"貓狗企鵝")</f>
        <v>貓狗企鵝</v>
      </c>
      <c r="J724" t="str">
        <f>IFERROR(__xludf.DUMMYFUNCTION("IFS(
  AND(REGEXMATCH(E724, ""台銀籌備帳戶|玉山帳戶""), REGEXMATCH(C724, ""薪資"")), ""分潤支出"",
  AND(REGEXMATCH(E724, ""Ben帳戶|Elsa帳戶|Ben代墊|Ariel代墊|中信銀行共用""), REGEXMATCH(F724, ""Ben帳戶|Elsa帳戶|Ben代墊|Ariel代墊|中信銀行共用"")), ""內部轉帳(忽略)"",
  AND(E724&lt;&gt;"""", F724&lt;&gt;"""", NOT(REG"&amp;"EXMATCH(C724, ""薪資""))), ""內部轉帳(忽略)"",
  REGEXMATCH(C724, ""薪資""), ""薪資變動(不計入)"",
  REGEXMATCH(C724, ""押金""), ""押金往來"",
  AND(E724&lt;&gt;"""", F724=""""), ""真實支出"",
  AND(E724="""", F724&lt;&gt;""""), ""真實收入"",
  TRUE, ""其他""
)"),"真實收入")</f>
        <v>真實收入</v>
      </c>
      <c r="K724" s="270">
        <f t="shared" si="2"/>
        <v>16800</v>
      </c>
      <c r="L724">
        <f t="shared" si="3"/>
        <v>0</v>
      </c>
    </row>
    <row r="725">
      <c r="A725" s="107">
        <f>IFERROR(__xludf.DUMMYFUNCTION("""COMPUTED_VALUE"""),45538.0)</f>
        <v>45538</v>
      </c>
      <c r="B725" t="str">
        <f>IFERROR(__xludf.DUMMYFUNCTION("""COMPUTED_VALUE"""),"貨物稅退稅")</f>
        <v>貨物稅退稅</v>
      </c>
      <c r="C725" t="str">
        <f>IFERROR(__xludf.DUMMYFUNCTION("""COMPUTED_VALUE"""),"收入 - 政府補助/退稅")</f>
        <v>收入 - 政府補助/退稅</v>
      </c>
      <c r="D725" s="270">
        <f>IFERROR(__xludf.DUMMYFUNCTION("""COMPUTED_VALUE"""),1600.0)</f>
        <v>1600</v>
      </c>
      <c r="F725" t="str">
        <f>IFERROR(__xludf.DUMMYFUNCTION("""COMPUTED_VALUE"""),"台銀籌備帳戶")</f>
        <v>台銀籌備帳戶</v>
      </c>
      <c r="G725" t="str">
        <f>IFERROR(__xludf.DUMMYFUNCTION("""COMPUTED_VALUE"""),"南港站挑高宅")</f>
        <v>南港站挑高宅</v>
      </c>
      <c r="H725" s="106" t="str">
        <f t="shared" si="1"/>
        <v>2024-09</v>
      </c>
      <c r="I725" s="271" t="str">
        <f>IFERROR(__xludf.DUMMYFUNCTION("""COMPUTED_VALUE"""),"貓狗企鵝")</f>
        <v>貓狗企鵝</v>
      </c>
      <c r="J725" t="str">
        <f>IFERROR(__xludf.DUMMYFUNCTION("IFS(
  AND(REGEXMATCH(E725, ""台銀籌備帳戶|玉山帳戶""), REGEXMATCH(C725, ""薪資"")), ""分潤支出"",
  AND(REGEXMATCH(E725, ""Ben帳戶|Elsa帳戶|Ben代墊|Ariel代墊|中信銀行共用""), REGEXMATCH(F725, ""Ben帳戶|Elsa帳戶|Ben代墊|Ariel代墊|中信銀行共用"")), ""內部轉帳(忽略)"",
  AND(E725&lt;&gt;"""", F725&lt;&gt;"""", NOT(REG"&amp;"EXMATCH(C725, ""薪資""))), ""內部轉帳(忽略)"",
  REGEXMATCH(C725, ""薪資""), ""薪資變動(不計入)"",
  REGEXMATCH(C725, ""押金""), ""押金往來"",
  AND(E725&lt;&gt;"""", F725=""""), ""真實支出"",
  AND(E725="""", F725&lt;&gt;""""), ""真實收入"",
  TRUE, ""其他""
)"),"真實收入")</f>
        <v>真實收入</v>
      </c>
      <c r="K725" s="270">
        <f t="shared" si="2"/>
        <v>1600</v>
      </c>
      <c r="L725">
        <f t="shared" si="3"/>
        <v>0</v>
      </c>
    </row>
    <row r="726">
      <c r="A726" s="107">
        <f>IFERROR(__xludf.DUMMYFUNCTION("""COMPUTED_VALUE"""),45538.0)</f>
        <v>45538</v>
      </c>
      <c r="B726" t="str">
        <f>IFERROR(__xludf.DUMMYFUNCTION("""COMPUTED_VALUE"""),"貨物稅退稅")</f>
        <v>貨物稅退稅</v>
      </c>
      <c r="C726" t="str">
        <f>IFERROR(__xludf.DUMMYFUNCTION("""COMPUTED_VALUE"""),"收入 - 政府補助/退稅")</f>
        <v>收入 - 政府補助/退稅</v>
      </c>
      <c r="D726" s="270">
        <f>IFERROR(__xludf.DUMMYFUNCTION("""COMPUTED_VALUE"""),2000.0)</f>
        <v>2000</v>
      </c>
      <c r="F726" t="str">
        <f>IFERROR(__xludf.DUMMYFUNCTION("""COMPUTED_VALUE"""),"台銀籌備帳戶")</f>
        <v>台銀籌備帳戶</v>
      </c>
      <c r="G726" t="str">
        <f>IFERROR(__xludf.DUMMYFUNCTION("""COMPUTED_VALUE"""),"南港站挑高宅")</f>
        <v>南港站挑高宅</v>
      </c>
      <c r="H726" s="106" t="str">
        <f t="shared" si="1"/>
        <v>2024-09</v>
      </c>
      <c r="I726" s="271" t="str">
        <f>IFERROR(__xludf.DUMMYFUNCTION("""COMPUTED_VALUE"""),"貓狗企鵝")</f>
        <v>貓狗企鵝</v>
      </c>
      <c r="J726" t="str">
        <f>IFERROR(__xludf.DUMMYFUNCTION("IFS(
  AND(REGEXMATCH(E726, ""台銀籌備帳戶|玉山帳戶""), REGEXMATCH(C726, ""薪資"")), ""分潤支出"",
  AND(REGEXMATCH(E726, ""Ben帳戶|Elsa帳戶|Ben代墊|Ariel代墊|中信銀行共用""), REGEXMATCH(F726, ""Ben帳戶|Elsa帳戶|Ben代墊|Ariel代墊|中信銀行共用"")), ""內部轉帳(忽略)"",
  AND(E726&lt;&gt;"""", F726&lt;&gt;"""", NOT(REG"&amp;"EXMATCH(C726, ""薪資""))), ""內部轉帳(忽略)"",
  REGEXMATCH(C726, ""薪資""), ""薪資變動(不計入)"",
  REGEXMATCH(C726, ""押金""), ""押金往來"",
  AND(E726&lt;&gt;"""", F726=""""), ""真實支出"",
  AND(E726="""", F726&lt;&gt;""""), ""真實收入"",
  TRUE, ""其他""
)"),"真實收入")</f>
        <v>真實收入</v>
      </c>
      <c r="K726" s="270">
        <f t="shared" si="2"/>
        <v>2000</v>
      </c>
      <c r="L726">
        <f t="shared" si="3"/>
        <v>0</v>
      </c>
    </row>
    <row r="727">
      <c r="A727" s="107">
        <f>IFERROR(__xludf.DUMMYFUNCTION("""COMPUTED_VALUE"""),45538.0)</f>
        <v>45538</v>
      </c>
      <c r="B727" t="str">
        <f>IFERROR(__xludf.DUMMYFUNCTION("""COMPUTED_VALUE"""),"貨物稅退稅")</f>
        <v>貨物稅退稅</v>
      </c>
      <c r="C727" t="str">
        <f>IFERROR(__xludf.DUMMYFUNCTION("""COMPUTED_VALUE"""),"收入 - 政府補助/退稅")</f>
        <v>收入 - 政府補助/退稅</v>
      </c>
      <c r="D727" s="270">
        <f>IFERROR(__xludf.DUMMYFUNCTION("""COMPUTED_VALUE"""),1600.0)</f>
        <v>1600</v>
      </c>
      <c r="F727" t="str">
        <f>IFERROR(__xludf.DUMMYFUNCTION("""COMPUTED_VALUE"""),"台銀籌備帳戶")</f>
        <v>台銀籌備帳戶</v>
      </c>
      <c r="G727" t="str">
        <f>IFERROR(__xludf.DUMMYFUNCTION("""COMPUTED_VALUE"""),"南港站挑高宅")</f>
        <v>南港站挑高宅</v>
      </c>
      <c r="H727" s="106" t="str">
        <f t="shared" si="1"/>
        <v>2024-09</v>
      </c>
      <c r="I727" s="271" t="str">
        <f>IFERROR(__xludf.DUMMYFUNCTION("""COMPUTED_VALUE"""),"貓狗企鵝")</f>
        <v>貓狗企鵝</v>
      </c>
      <c r="J727" t="str">
        <f>IFERROR(__xludf.DUMMYFUNCTION("IFS(
  AND(REGEXMATCH(E727, ""台銀籌備帳戶|玉山帳戶""), REGEXMATCH(C727, ""薪資"")), ""分潤支出"",
  AND(REGEXMATCH(E727, ""Ben帳戶|Elsa帳戶|Ben代墊|Ariel代墊|中信銀行共用""), REGEXMATCH(F727, ""Ben帳戶|Elsa帳戶|Ben代墊|Ariel代墊|中信銀行共用"")), ""內部轉帳(忽略)"",
  AND(E727&lt;&gt;"""", F727&lt;&gt;"""", NOT(REG"&amp;"EXMATCH(C727, ""薪資""))), ""內部轉帳(忽略)"",
  REGEXMATCH(C727, ""薪資""), ""薪資變動(不計入)"",
  REGEXMATCH(C727, ""押金""), ""押金往來"",
  AND(E727&lt;&gt;"""", F727=""""), ""真實支出"",
  AND(E727="""", F727&lt;&gt;""""), ""真實收入"",
  TRUE, ""其他""
)"),"真實收入")</f>
        <v>真實收入</v>
      </c>
      <c r="K727" s="270">
        <f t="shared" si="2"/>
        <v>1600</v>
      </c>
      <c r="L727">
        <f t="shared" si="3"/>
        <v>0</v>
      </c>
    </row>
    <row r="728">
      <c r="A728" s="107">
        <f>IFERROR(__xludf.DUMMYFUNCTION("""COMPUTED_VALUE"""),45538.0)</f>
        <v>45538</v>
      </c>
      <c r="B728" t="str">
        <f>IFERROR(__xludf.DUMMYFUNCTION("""COMPUTED_VALUE"""),"貨物稅退稅")</f>
        <v>貨物稅退稅</v>
      </c>
      <c r="C728" t="str">
        <f>IFERROR(__xludf.DUMMYFUNCTION("""COMPUTED_VALUE"""),"收入 - 政府補助/退稅")</f>
        <v>收入 - 政府補助/退稅</v>
      </c>
      <c r="D728" s="270">
        <f>IFERROR(__xludf.DUMMYFUNCTION("""COMPUTED_VALUE"""),1200.0)</f>
        <v>1200</v>
      </c>
      <c r="F728" t="str">
        <f>IFERROR(__xludf.DUMMYFUNCTION("""COMPUTED_VALUE"""),"台銀籌備帳戶")</f>
        <v>台銀籌備帳戶</v>
      </c>
      <c r="G728" t="str">
        <f>IFERROR(__xludf.DUMMYFUNCTION("""COMPUTED_VALUE"""),"南港站挑高宅")</f>
        <v>南港站挑高宅</v>
      </c>
      <c r="H728" s="106" t="str">
        <f t="shared" si="1"/>
        <v>2024-09</v>
      </c>
      <c r="I728" s="271" t="str">
        <f>IFERROR(__xludf.DUMMYFUNCTION("""COMPUTED_VALUE"""),"貓狗企鵝")</f>
        <v>貓狗企鵝</v>
      </c>
      <c r="J728" t="str">
        <f>IFERROR(__xludf.DUMMYFUNCTION("IFS(
  AND(REGEXMATCH(E728, ""台銀籌備帳戶|玉山帳戶""), REGEXMATCH(C728, ""薪資"")), ""分潤支出"",
  AND(REGEXMATCH(E728, ""Ben帳戶|Elsa帳戶|Ben代墊|Ariel代墊|中信銀行共用""), REGEXMATCH(F728, ""Ben帳戶|Elsa帳戶|Ben代墊|Ariel代墊|中信銀行共用"")), ""內部轉帳(忽略)"",
  AND(E728&lt;&gt;"""", F728&lt;&gt;"""", NOT(REG"&amp;"EXMATCH(C728, ""薪資""))), ""內部轉帳(忽略)"",
  REGEXMATCH(C728, ""薪資""), ""薪資變動(不計入)"",
  REGEXMATCH(C728, ""押金""), ""押金往來"",
  AND(E728&lt;&gt;"""", F728=""""), ""真實支出"",
  AND(E728="""", F728&lt;&gt;""""), ""真實收入"",
  TRUE, ""其他""
)"),"真實收入")</f>
        <v>真實收入</v>
      </c>
      <c r="K728" s="270">
        <f t="shared" si="2"/>
        <v>1200</v>
      </c>
      <c r="L728">
        <f t="shared" si="3"/>
        <v>0</v>
      </c>
    </row>
    <row r="729">
      <c r="A729" s="107">
        <f>IFERROR(__xludf.DUMMYFUNCTION("""COMPUTED_VALUE"""),45538.0)</f>
        <v>45538</v>
      </c>
      <c r="B729" t="str">
        <f>IFERROR(__xludf.DUMMYFUNCTION("""COMPUTED_VALUE"""),"貨物稅退稅")</f>
        <v>貨物稅退稅</v>
      </c>
      <c r="C729" t="str">
        <f>IFERROR(__xludf.DUMMYFUNCTION("""COMPUTED_VALUE"""),"收入 - 政府補助/退稅")</f>
        <v>收入 - 政府補助/退稅</v>
      </c>
      <c r="D729" s="270">
        <f>IFERROR(__xludf.DUMMYFUNCTION("""COMPUTED_VALUE"""),1600.0)</f>
        <v>1600</v>
      </c>
      <c r="F729" t="str">
        <f>IFERROR(__xludf.DUMMYFUNCTION("""COMPUTED_VALUE"""),"台銀籌備帳戶")</f>
        <v>台銀籌備帳戶</v>
      </c>
      <c r="G729" t="str">
        <f>IFERROR(__xludf.DUMMYFUNCTION("""COMPUTED_VALUE"""),"南港站挑高宅")</f>
        <v>南港站挑高宅</v>
      </c>
      <c r="H729" s="106" t="str">
        <f t="shared" si="1"/>
        <v>2024-09</v>
      </c>
      <c r="I729" s="271" t="str">
        <f>IFERROR(__xludf.DUMMYFUNCTION("""COMPUTED_VALUE"""),"貓狗企鵝")</f>
        <v>貓狗企鵝</v>
      </c>
      <c r="J729" t="str">
        <f>IFERROR(__xludf.DUMMYFUNCTION("IFS(
  AND(REGEXMATCH(E729, ""台銀籌備帳戶|玉山帳戶""), REGEXMATCH(C729, ""薪資"")), ""分潤支出"",
  AND(REGEXMATCH(E729, ""Ben帳戶|Elsa帳戶|Ben代墊|Ariel代墊|中信銀行共用""), REGEXMATCH(F729, ""Ben帳戶|Elsa帳戶|Ben代墊|Ariel代墊|中信銀行共用"")), ""內部轉帳(忽略)"",
  AND(E729&lt;&gt;"""", F729&lt;&gt;"""", NOT(REG"&amp;"EXMATCH(C729, ""薪資""))), ""內部轉帳(忽略)"",
  REGEXMATCH(C729, ""薪資""), ""薪資變動(不計入)"",
  REGEXMATCH(C729, ""押金""), ""押金往來"",
  AND(E729&lt;&gt;"""", F729=""""), ""真實支出"",
  AND(E729="""", F729&lt;&gt;""""), ""真實收入"",
  TRUE, ""其他""
)"),"真實收入")</f>
        <v>真實收入</v>
      </c>
      <c r="K729" s="270">
        <f t="shared" si="2"/>
        <v>1600</v>
      </c>
      <c r="L729">
        <f t="shared" si="3"/>
        <v>0</v>
      </c>
    </row>
    <row r="730">
      <c r="A730" s="107">
        <f>IFERROR(__xludf.DUMMYFUNCTION("""COMPUTED_VALUE"""),45538.0)</f>
        <v>45538</v>
      </c>
      <c r="B730" t="str">
        <f>IFERROR(__xludf.DUMMYFUNCTION("""COMPUTED_VALUE"""),"貨物稅退稅")</f>
        <v>貨物稅退稅</v>
      </c>
      <c r="C730" t="str">
        <f>IFERROR(__xludf.DUMMYFUNCTION("""COMPUTED_VALUE"""),"收入 - 政府補助/退稅")</f>
        <v>收入 - 政府補助/退稅</v>
      </c>
      <c r="D730" s="270">
        <f>IFERROR(__xludf.DUMMYFUNCTION("""COMPUTED_VALUE"""),1600.0)</f>
        <v>1600</v>
      </c>
      <c r="F730" t="str">
        <f>IFERROR(__xludf.DUMMYFUNCTION("""COMPUTED_VALUE"""),"台銀籌備帳戶")</f>
        <v>台銀籌備帳戶</v>
      </c>
      <c r="G730" t="str">
        <f>IFERROR(__xludf.DUMMYFUNCTION("""COMPUTED_VALUE"""),"南港站挑高宅")</f>
        <v>南港站挑高宅</v>
      </c>
      <c r="H730" s="106" t="str">
        <f t="shared" si="1"/>
        <v>2024-09</v>
      </c>
      <c r="I730" s="271" t="str">
        <f>IFERROR(__xludf.DUMMYFUNCTION("""COMPUTED_VALUE"""),"貓狗企鵝")</f>
        <v>貓狗企鵝</v>
      </c>
      <c r="J730" t="str">
        <f>IFERROR(__xludf.DUMMYFUNCTION("IFS(
  AND(REGEXMATCH(E730, ""台銀籌備帳戶|玉山帳戶""), REGEXMATCH(C730, ""薪資"")), ""分潤支出"",
  AND(REGEXMATCH(E730, ""Ben帳戶|Elsa帳戶|Ben代墊|Ariel代墊|中信銀行共用""), REGEXMATCH(F730, ""Ben帳戶|Elsa帳戶|Ben代墊|Ariel代墊|中信銀行共用"")), ""內部轉帳(忽略)"",
  AND(E730&lt;&gt;"""", F730&lt;&gt;"""", NOT(REG"&amp;"EXMATCH(C730, ""薪資""))), ""內部轉帳(忽略)"",
  REGEXMATCH(C730, ""薪資""), ""薪資變動(不計入)"",
  REGEXMATCH(C730, ""押金""), ""押金往來"",
  AND(E730&lt;&gt;"""", F730=""""), ""真實支出"",
  AND(E730="""", F730&lt;&gt;""""), ""真實收入"",
  TRUE, ""其他""
)"),"真實收入")</f>
        <v>真實收入</v>
      </c>
      <c r="K730" s="270">
        <f t="shared" si="2"/>
        <v>1600</v>
      </c>
      <c r="L730">
        <f t="shared" si="3"/>
        <v>0</v>
      </c>
    </row>
    <row r="731">
      <c r="A731" s="107">
        <f>IFERROR(__xludf.DUMMYFUNCTION("""COMPUTED_VALUE"""),45538.0)</f>
        <v>45538</v>
      </c>
      <c r="B731" t="str">
        <f>IFERROR(__xludf.DUMMYFUNCTION("""COMPUTED_VALUE"""),"爺爺家電費")</f>
        <v>爺爺家電費</v>
      </c>
      <c r="C731" t="str">
        <f>IFERROR(__xludf.DUMMYFUNCTION("""COMPUTED_VALUE"""),"成本 - 進場前裝潢費")</f>
        <v>成本 - 進場前裝潢費</v>
      </c>
      <c r="D731" s="270">
        <f>IFERROR(__xludf.DUMMYFUNCTION("""COMPUTED_VALUE"""),-620.0)</f>
        <v>-620</v>
      </c>
      <c r="E731" t="str">
        <f>IFERROR(__xludf.DUMMYFUNCTION("""COMPUTED_VALUE"""),"Ben帳戶")</f>
        <v>Ben帳戶</v>
      </c>
      <c r="G731" t="str">
        <f>IFERROR(__xludf.DUMMYFUNCTION("""COMPUTED_VALUE"""),"市府爺爺家")</f>
        <v>市府爺爺家</v>
      </c>
      <c r="H731" s="106" t="str">
        <f t="shared" si="1"/>
        <v>2024-09</v>
      </c>
      <c r="I731" s="271" t="str">
        <f>IFERROR(__xludf.DUMMYFUNCTION("""COMPUTED_VALUE"""),"貓狗企鵝")</f>
        <v>貓狗企鵝</v>
      </c>
      <c r="J731" t="str">
        <f>IFERROR(__xludf.DUMMYFUNCTION("IFS(
  AND(REGEXMATCH(E731, ""台銀籌備帳戶|玉山帳戶""), REGEXMATCH(C731, ""薪資"")), ""分潤支出"",
  AND(REGEXMATCH(E731, ""Ben帳戶|Elsa帳戶|Ben代墊|Ariel代墊|中信銀行共用""), REGEXMATCH(F731, ""Ben帳戶|Elsa帳戶|Ben代墊|Ariel代墊|中信銀行共用"")), ""內部轉帳(忽略)"",
  AND(E731&lt;&gt;"""", F731&lt;&gt;"""", NOT(REG"&amp;"EXMATCH(C731, ""薪資""))), ""內部轉帳(忽略)"",
  REGEXMATCH(C731, ""薪資""), ""薪資變動(不計入)"",
  REGEXMATCH(C731, ""押金""), ""押金往來"",
  AND(E731&lt;&gt;"""", F731=""""), ""真實支出"",
  AND(E731="""", F731&lt;&gt;""""), ""真實收入"",
  TRUE, ""其他""
)"),"真實支出")</f>
        <v>真實支出</v>
      </c>
      <c r="K731" s="270">
        <f t="shared" si="2"/>
        <v>-620</v>
      </c>
      <c r="L731">
        <f t="shared" si="3"/>
        <v>0</v>
      </c>
    </row>
    <row r="732">
      <c r="A732" s="107">
        <f>IFERROR(__xludf.DUMMYFUNCTION("""COMPUTED_VALUE"""),45538.0)</f>
        <v>45538</v>
      </c>
      <c r="B732" t="str">
        <f>IFERROR(__xludf.DUMMYFUNCTION("""COMPUTED_VALUE"""),"五金")</f>
        <v>五金</v>
      </c>
      <c r="C732" t="str">
        <f>IFERROR(__xludf.DUMMYFUNCTION("""COMPUTED_VALUE"""),"成本 - 進場前裝潢費")</f>
        <v>成本 - 進場前裝潢費</v>
      </c>
      <c r="D732" s="270">
        <f>IFERROR(__xludf.DUMMYFUNCTION("""COMPUTED_VALUE"""),-175.0)</f>
        <v>-175</v>
      </c>
      <c r="E732" t="str">
        <f>IFERROR(__xludf.DUMMYFUNCTION("""COMPUTED_VALUE"""),"Ben帳戶")</f>
        <v>Ben帳戶</v>
      </c>
      <c r="G732" t="str">
        <f>IFERROR(__xludf.DUMMYFUNCTION("""COMPUTED_VALUE"""),"金龍帽子先生")</f>
        <v>金龍帽子先生</v>
      </c>
      <c r="H732" s="106" t="str">
        <f t="shared" si="1"/>
        <v>2024-09</v>
      </c>
      <c r="I732" s="271" t="str">
        <f>IFERROR(__xludf.DUMMYFUNCTION("""COMPUTED_VALUE"""),"貓狗企鵝")</f>
        <v>貓狗企鵝</v>
      </c>
      <c r="J732" t="str">
        <f>IFERROR(__xludf.DUMMYFUNCTION("IFS(
  AND(REGEXMATCH(E732, ""台銀籌備帳戶|玉山帳戶""), REGEXMATCH(C732, ""薪資"")), ""分潤支出"",
  AND(REGEXMATCH(E732, ""Ben帳戶|Elsa帳戶|Ben代墊|Ariel代墊|中信銀行共用""), REGEXMATCH(F732, ""Ben帳戶|Elsa帳戶|Ben代墊|Ariel代墊|中信銀行共用"")), ""內部轉帳(忽略)"",
  AND(E732&lt;&gt;"""", F732&lt;&gt;"""", NOT(REG"&amp;"EXMATCH(C732, ""薪資""))), ""內部轉帳(忽略)"",
  REGEXMATCH(C732, ""薪資""), ""薪資變動(不計入)"",
  REGEXMATCH(C732, ""押金""), ""押金往來"",
  AND(E732&lt;&gt;"""", F732=""""), ""真實支出"",
  AND(E732="""", F732&lt;&gt;""""), ""真實收入"",
  TRUE, ""其他""
)"),"真實支出")</f>
        <v>真實支出</v>
      </c>
      <c r="K732" s="270">
        <f t="shared" si="2"/>
        <v>-175</v>
      </c>
      <c r="L732">
        <f t="shared" si="3"/>
        <v>0</v>
      </c>
    </row>
    <row r="733">
      <c r="A733" s="107">
        <f>IFERROR(__xludf.DUMMYFUNCTION("""COMPUTED_VALUE"""),45538.0)</f>
        <v>45538</v>
      </c>
      <c r="B733" t="str">
        <f>IFERROR(__xludf.DUMMYFUNCTION("""COMPUTED_VALUE"""),"南港室友帶看感謝金")</f>
        <v>南港室友帶看感謝金</v>
      </c>
      <c r="C733" t="str">
        <f>IFERROR(__xludf.DUMMYFUNCTION("""COMPUTED_VALUE"""),"成本 - 仲介費")</f>
        <v>成本 - 仲介費</v>
      </c>
      <c r="D733" s="270">
        <f>IFERROR(__xludf.DUMMYFUNCTION("""COMPUTED_VALUE"""),-1000.0)</f>
        <v>-1000</v>
      </c>
      <c r="E733" t="str">
        <f>IFERROR(__xludf.DUMMYFUNCTION("""COMPUTED_VALUE"""),"Ben帳戶")</f>
        <v>Ben帳戶</v>
      </c>
      <c r="G733" t="str">
        <f>IFERROR(__xludf.DUMMYFUNCTION("""COMPUTED_VALUE"""),"南港站挑高宅")</f>
        <v>南港站挑高宅</v>
      </c>
      <c r="H733" s="106" t="str">
        <f t="shared" si="1"/>
        <v>2024-09</v>
      </c>
      <c r="I733" s="271" t="str">
        <f>IFERROR(__xludf.DUMMYFUNCTION("""COMPUTED_VALUE"""),"貓狗企鵝")</f>
        <v>貓狗企鵝</v>
      </c>
      <c r="J733" t="str">
        <f>IFERROR(__xludf.DUMMYFUNCTION("IFS(
  AND(REGEXMATCH(E733, ""台銀籌備帳戶|玉山帳戶""), REGEXMATCH(C733, ""薪資"")), ""分潤支出"",
  AND(REGEXMATCH(E733, ""Ben帳戶|Elsa帳戶|Ben代墊|Ariel代墊|中信銀行共用""), REGEXMATCH(F733, ""Ben帳戶|Elsa帳戶|Ben代墊|Ariel代墊|中信銀行共用"")), ""內部轉帳(忽略)"",
  AND(E733&lt;&gt;"""", F733&lt;&gt;"""", NOT(REG"&amp;"EXMATCH(C733, ""薪資""))), ""內部轉帳(忽略)"",
  REGEXMATCH(C733, ""薪資""), ""薪資變動(不計入)"",
  REGEXMATCH(C733, ""押金""), ""押金往來"",
  AND(E733&lt;&gt;"""", F733=""""), ""真實支出"",
  AND(E733="""", F733&lt;&gt;""""), ""真實收入"",
  TRUE, ""其他""
)"),"真實支出")</f>
        <v>真實支出</v>
      </c>
      <c r="K733" s="270">
        <f t="shared" si="2"/>
        <v>-1000</v>
      </c>
      <c r="L733">
        <f t="shared" si="3"/>
        <v>0</v>
      </c>
    </row>
    <row r="734">
      <c r="A734" s="107">
        <f>IFERROR(__xludf.DUMMYFUNCTION("""COMPUTED_VALUE"""),45538.0)</f>
        <v>45538</v>
      </c>
      <c r="B734" t="str">
        <f>IFERROR(__xludf.DUMMYFUNCTION("""COMPUTED_VALUE"""),"大湖Ａｎｄｙ")</f>
        <v>大湖Ａｎｄｙ</v>
      </c>
      <c r="C734" t="str">
        <f>IFERROR(__xludf.DUMMYFUNCTION("""COMPUTED_VALUE"""),"收入 - 租金")</f>
        <v>收入 - 租金</v>
      </c>
      <c r="D734" s="270">
        <f>IFERROR(__xludf.DUMMYFUNCTION("""COMPUTED_VALUE"""),18800.0)</f>
        <v>18800</v>
      </c>
      <c r="F734" t="str">
        <f>IFERROR(__xludf.DUMMYFUNCTION("""COMPUTED_VALUE"""),"台銀籌備帳戶")</f>
        <v>台銀籌備帳戶</v>
      </c>
      <c r="G734" t="str">
        <f>IFERROR(__xludf.DUMMYFUNCTION("""COMPUTED_VALUE"""),"大湖山莊")</f>
        <v>大湖山莊</v>
      </c>
      <c r="H734" s="106" t="str">
        <f t="shared" si="1"/>
        <v>2024-09</v>
      </c>
      <c r="I734" s="271" t="str">
        <f>IFERROR(__xludf.DUMMYFUNCTION("""COMPUTED_VALUE"""),"貓狗企鵝")</f>
        <v>貓狗企鵝</v>
      </c>
      <c r="J734" t="str">
        <f>IFERROR(__xludf.DUMMYFUNCTION("IFS(
  AND(REGEXMATCH(E734, ""台銀籌備帳戶|玉山帳戶""), REGEXMATCH(C734, ""薪資"")), ""分潤支出"",
  AND(REGEXMATCH(E734, ""Ben帳戶|Elsa帳戶|Ben代墊|Ariel代墊|中信銀行共用""), REGEXMATCH(F734, ""Ben帳戶|Elsa帳戶|Ben代墊|Ariel代墊|中信銀行共用"")), ""內部轉帳(忽略)"",
  AND(E734&lt;&gt;"""", F734&lt;&gt;"""", NOT(REG"&amp;"EXMATCH(C734, ""薪資""))), ""內部轉帳(忽略)"",
  REGEXMATCH(C734, ""薪資""), ""薪資變動(不計入)"",
  REGEXMATCH(C734, ""押金""), ""押金往來"",
  AND(E734&lt;&gt;"""", F734=""""), ""真實支出"",
  AND(E734="""", F734&lt;&gt;""""), ""真實收入"",
  TRUE, ""其他""
)"),"真實收入")</f>
        <v>真實收入</v>
      </c>
      <c r="K734" s="270">
        <f t="shared" si="2"/>
        <v>18800</v>
      </c>
      <c r="L734">
        <f t="shared" si="3"/>
        <v>0</v>
      </c>
    </row>
    <row r="735">
      <c r="A735" s="107">
        <f>IFERROR(__xludf.DUMMYFUNCTION("""COMPUTED_VALUE"""),45538.0)</f>
        <v>45538</v>
      </c>
      <c r="B735" t="str">
        <f>IFERROR(__xludf.DUMMYFUNCTION("""COMPUTED_VALUE"""),"龍江229	D	黃依婷")</f>
        <v>龍江229	D	黃依婷</v>
      </c>
      <c r="C735" t="str">
        <f>IFERROR(__xludf.DUMMYFUNCTION("""COMPUTED_VALUE"""),"收入 - 租金")</f>
        <v>收入 - 租金</v>
      </c>
      <c r="D735" s="270">
        <f>IFERROR(__xludf.DUMMYFUNCTION("""COMPUTED_VALUE"""),13300.0)</f>
        <v>13300</v>
      </c>
      <c r="F735" t="str">
        <f>IFERROR(__xludf.DUMMYFUNCTION("""COMPUTED_VALUE"""),"台銀籌備帳戶")</f>
        <v>台銀籌備帳戶</v>
      </c>
      <c r="G735" t="str">
        <f>IFERROR(__xludf.DUMMYFUNCTION("""COMPUTED_VALUE"""),"龍江229")</f>
        <v>龍江229</v>
      </c>
      <c r="H735" s="106" t="str">
        <f t="shared" si="1"/>
        <v>2024-09</v>
      </c>
      <c r="I735" s="271" t="str">
        <f>IFERROR(__xludf.DUMMYFUNCTION("""COMPUTED_VALUE"""),"貓狗企鵝")</f>
        <v>貓狗企鵝</v>
      </c>
      <c r="J735" t="str">
        <f>IFERROR(__xludf.DUMMYFUNCTION("IFS(
  AND(REGEXMATCH(E735, ""台銀籌備帳戶|玉山帳戶""), REGEXMATCH(C735, ""薪資"")), ""分潤支出"",
  AND(REGEXMATCH(E735, ""Ben帳戶|Elsa帳戶|Ben代墊|Ariel代墊|中信銀行共用""), REGEXMATCH(F735, ""Ben帳戶|Elsa帳戶|Ben代墊|Ariel代墊|中信銀行共用"")), ""內部轉帳(忽略)"",
  AND(E735&lt;&gt;"""", F735&lt;&gt;"""", NOT(REG"&amp;"EXMATCH(C735, ""薪資""))), ""內部轉帳(忽略)"",
  REGEXMATCH(C735, ""薪資""), ""薪資變動(不計入)"",
  REGEXMATCH(C735, ""押金""), ""押金往來"",
  AND(E735&lt;&gt;"""", F735=""""), ""真實支出"",
  AND(E735="""", F735&lt;&gt;""""), ""真實收入"",
  TRUE, ""其他""
)"),"真實收入")</f>
        <v>真實收入</v>
      </c>
      <c r="K735" s="270">
        <f t="shared" si="2"/>
        <v>13300</v>
      </c>
      <c r="L735">
        <f t="shared" si="3"/>
        <v>0</v>
      </c>
    </row>
    <row r="736">
      <c r="A736" s="107">
        <f>IFERROR(__xludf.DUMMYFUNCTION("""COMPUTED_VALUE"""),45538.0)</f>
        <v>45538</v>
      </c>
      <c r="B736" t="str">
        <f>IFERROR(__xludf.DUMMYFUNCTION("""COMPUTED_VALUE"""),"北醫Ａ")</f>
        <v>北醫Ａ</v>
      </c>
      <c r="C736" t="str">
        <f>IFERROR(__xludf.DUMMYFUNCTION("""COMPUTED_VALUE"""),"收入 - 租金")</f>
        <v>收入 - 租金</v>
      </c>
      <c r="D736" s="270">
        <f>IFERROR(__xludf.DUMMYFUNCTION("""COMPUTED_VALUE"""),13500.0)</f>
        <v>13500</v>
      </c>
      <c r="F736" t="str">
        <f>IFERROR(__xludf.DUMMYFUNCTION("""COMPUTED_VALUE"""),"台銀籌備帳戶")</f>
        <v>台銀籌備帳戶</v>
      </c>
      <c r="G736" t="str">
        <f>IFERROR(__xludf.DUMMYFUNCTION("""COMPUTED_VALUE"""),"北醫醫師府")</f>
        <v>北醫醫師府</v>
      </c>
      <c r="H736" s="106" t="str">
        <f t="shared" si="1"/>
        <v>2024-09</v>
      </c>
      <c r="I736" s="271" t="str">
        <f>IFERROR(__xludf.DUMMYFUNCTION("""COMPUTED_VALUE"""),"貓狗企鵝")</f>
        <v>貓狗企鵝</v>
      </c>
      <c r="J736" t="str">
        <f>IFERROR(__xludf.DUMMYFUNCTION("IFS(
  AND(REGEXMATCH(E736, ""台銀籌備帳戶|玉山帳戶""), REGEXMATCH(C736, ""薪資"")), ""分潤支出"",
  AND(REGEXMATCH(E736, ""Ben帳戶|Elsa帳戶|Ben代墊|Ariel代墊|中信銀行共用""), REGEXMATCH(F736, ""Ben帳戶|Elsa帳戶|Ben代墊|Ariel代墊|中信銀行共用"")), ""內部轉帳(忽略)"",
  AND(E736&lt;&gt;"""", F736&lt;&gt;"""", NOT(REG"&amp;"EXMATCH(C736, ""薪資""))), ""內部轉帳(忽略)"",
  REGEXMATCH(C736, ""薪資""), ""薪資變動(不計入)"",
  REGEXMATCH(C736, ""押金""), ""押金往來"",
  AND(E736&lt;&gt;"""", F736=""""), ""真實支出"",
  AND(E736="""", F736&lt;&gt;""""), ""真實收入"",
  TRUE, ""其他""
)"),"真實收入")</f>
        <v>真實收入</v>
      </c>
      <c r="K736" s="270">
        <f t="shared" si="2"/>
        <v>13500</v>
      </c>
      <c r="L736">
        <f t="shared" si="3"/>
        <v>0</v>
      </c>
    </row>
    <row r="737">
      <c r="A737" s="107">
        <f>IFERROR(__xludf.DUMMYFUNCTION("""COMPUTED_VALUE"""),45538.0)</f>
        <v>45538</v>
      </c>
      <c r="B737" t="str">
        <f>IFERROR(__xludf.DUMMYFUNCTION("""COMPUTED_VALUE"""),"龍江229	B	陳佩娟")</f>
        <v>龍江229	B	陳佩娟</v>
      </c>
      <c r="C737" t="str">
        <f>IFERROR(__xludf.DUMMYFUNCTION("""COMPUTED_VALUE"""),"收入 - 租金")</f>
        <v>收入 - 租金</v>
      </c>
      <c r="D737" s="270">
        <f>IFERROR(__xludf.DUMMYFUNCTION("""COMPUTED_VALUE"""),13000.0)</f>
        <v>13000</v>
      </c>
      <c r="F737" t="str">
        <f>IFERROR(__xludf.DUMMYFUNCTION("""COMPUTED_VALUE"""),"台銀籌備帳戶")</f>
        <v>台銀籌備帳戶</v>
      </c>
      <c r="G737" t="str">
        <f>IFERROR(__xludf.DUMMYFUNCTION("""COMPUTED_VALUE"""),"龍江229")</f>
        <v>龍江229</v>
      </c>
      <c r="H737" s="106" t="str">
        <f t="shared" si="1"/>
        <v>2024-09</v>
      </c>
      <c r="I737" s="271" t="str">
        <f>IFERROR(__xludf.DUMMYFUNCTION("""COMPUTED_VALUE"""),"貓狗企鵝")</f>
        <v>貓狗企鵝</v>
      </c>
      <c r="J737" t="str">
        <f>IFERROR(__xludf.DUMMYFUNCTION("IFS(
  AND(REGEXMATCH(E737, ""台銀籌備帳戶|玉山帳戶""), REGEXMATCH(C737, ""薪資"")), ""分潤支出"",
  AND(REGEXMATCH(E737, ""Ben帳戶|Elsa帳戶|Ben代墊|Ariel代墊|中信銀行共用""), REGEXMATCH(F737, ""Ben帳戶|Elsa帳戶|Ben代墊|Ariel代墊|中信銀行共用"")), ""內部轉帳(忽略)"",
  AND(E737&lt;&gt;"""", F737&lt;&gt;"""", NOT(REG"&amp;"EXMATCH(C737, ""薪資""))), ""內部轉帳(忽略)"",
  REGEXMATCH(C737, ""薪資""), ""薪資變動(不計入)"",
  REGEXMATCH(C737, ""押金""), ""押金往來"",
  AND(E737&lt;&gt;"""", F737=""""), ""真實支出"",
  AND(E737="""", F737&lt;&gt;""""), ""真實收入"",
  TRUE, ""其他""
)"),"真實收入")</f>
        <v>真實收入</v>
      </c>
      <c r="K737" s="270">
        <f t="shared" si="2"/>
        <v>13000</v>
      </c>
      <c r="L737">
        <f t="shared" si="3"/>
        <v>0</v>
      </c>
    </row>
    <row r="738">
      <c r="A738" s="107">
        <f>IFERROR(__xludf.DUMMYFUNCTION("""COMPUTED_VALUE"""),45538.0)</f>
        <v>45538</v>
      </c>
      <c r="B738" t="str">
        <f>IFERROR(__xludf.DUMMYFUNCTION("""COMPUTED_VALUE"""),"哈拉對面	A	李柏緯")</f>
        <v>哈拉對面	A	李柏緯</v>
      </c>
      <c r="C738" t="str">
        <f>IFERROR(__xludf.DUMMYFUNCTION("""COMPUTED_VALUE"""),"收入 - 租金")</f>
        <v>收入 - 租金</v>
      </c>
      <c r="D738" s="270">
        <f>IFERROR(__xludf.DUMMYFUNCTION("""COMPUTED_VALUE"""),5924.0)</f>
        <v>5924</v>
      </c>
      <c r="F738" t="str">
        <f>IFERROR(__xludf.DUMMYFUNCTION("""COMPUTED_VALUE"""),"台銀籌備帳戶")</f>
        <v>台銀籌備帳戶</v>
      </c>
      <c r="G738" t="str">
        <f>IFERROR(__xludf.DUMMYFUNCTION("""COMPUTED_VALUE"""),"哈拉對面")</f>
        <v>哈拉對面</v>
      </c>
      <c r="H738" s="106" t="str">
        <f t="shared" si="1"/>
        <v>2024-09</v>
      </c>
      <c r="I738" s="271" t="str">
        <f>IFERROR(__xludf.DUMMYFUNCTION("""COMPUTED_VALUE"""),"貓狗企鵝")</f>
        <v>貓狗企鵝</v>
      </c>
      <c r="J738" t="str">
        <f>IFERROR(__xludf.DUMMYFUNCTION("IFS(
  AND(REGEXMATCH(E738, ""台銀籌備帳戶|玉山帳戶""), REGEXMATCH(C738, ""薪資"")), ""分潤支出"",
  AND(REGEXMATCH(E738, ""Ben帳戶|Elsa帳戶|Ben代墊|Ariel代墊|中信銀行共用""), REGEXMATCH(F738, ""Ben帳戶|Elsa帳戶|Ben代墊|Ariel代墊|中信銀行共用"")), ""內部轉帳(忽略)"",
  AND(E738&lt;&gt;"""", F738&lt;&gt;"""", NOT(REG"&amp;"EXMATCH(C738, ""薪資""))), ""內部轉帳(忽略)"",
  REGEXMATCH(C738, ""薪資""), ""薪資變動(不計入)"",
  REGEXMATCH(C738, ""押金""), ""押金往來"",
  AND(E738&lt;&gt;"""", F738=""""), ""真實支出"",
  AND(E738="""", F738&lt;&gt;""""), ""真實收入"",
  TRUE, ""其他""
)"),"真實收入")</f>
        <v>真實收入</v>
      </c>
      <c r="K738" s="270">
        <f t="shared" si="2"/>
        <v>5924</v>
      </c>
      <c r="L738">
        <f t="shared" si="3"/>
        <v>0</v>
      </c>
    </row>
    <row r="739">
      <c r="A739" s="107">
        <f>IFERROR(__xludf.DUMMYFUNCTION("""COMPUTED_VALUE"""),45539.0)</f>
        <v>45539</v>
      </c>
      <c r="B739" t="str">
        <f>IFERROR(__xludf.DUMMYFUNCTION("""COMPUTED_VALUE"""),"大湖山莊	F	吳智方")</f>
        <v>大湖山莊	F	吳智方</v>
      </c>
      <c r="C739" t="str">
        <f>IFERROR(__xludf.DUMMYFUNCTION("""COMPUTED_VALUE"""),"收入 - 租金")</f>
        <v>收入 - 租金</v>
      </c>
      <c r="D739" s="270">
        <f>IFERROR(__xludf.DUMMYFUNCTION("""COMPUTED_VALUE"""),9000.0)</f>
        <v>9000</v>
      </c>
      <c r="F739" t="str">
        <f>IFERROR(__xludf.DUMMYFUNCTION("""COMPUTED_VALUE"""),"台銀籌備帳戶")</f>
        <v>台銀籌備帳戶</v>
      </c>
      <c r="G739" t="str">
        <f>IFERROR(__xludf.DUMMYFUNCTION("""COMPUTED_VALUE"""),"大湖山莊")</f>
        <v>大湖山莊</v>
      </c>
      <c r="H739" s="106" t="str">
        <f t="shared" si="1"/>
        <v>2024-09</v>
      </c>
      <c r="I739" s="271" t="str">
        <f>IFERROR(__xludf.DUMMYFUNCTION("""COMPUTED_VALUE"""),"貓狗企鵝")</f>
        <v>貓狗企鵝</v>
      </c>
      <c r="J739" t="str">
        <f>IFERROR(__xludf.DUMMYFUNCTION("IFS(
  AND(REGEXMATCH(E739, ""台銀籌備帳戶|玉山帳戶""), REGEXMATCH(C739, ""薪資"")), ""分潤支出"",
  AND(REGEXMATCH(E739, ""Ben帳戶|Elsa帳戶|Ben代墊|Ariel代墊|中信銀行共用""), REGEXMATCH(F739, ""Ben帳戶|Elsa帳戶|Ben代墊|Ariel代墊|中信銀行共用"")), ""內部轉帳(忽略)"",
  AND(E739&lt;&gt;"""", F739&lt;&gt;"""", NOT(REG"&amp;"EXMATCH(C739, ""薪資""))), ""內部轉帳(忽略)"",
  REGEXMATCH(C739, ""薪資""), ""薪資變動(不計入)"",
  REGEXMATCH(C739, ""押金""), ""押金往來"",
  AND(E739&lt;&gt;"""", F739=""""), ""真實支出"",
  AND(E739="""", F739&lt;&gt;""""), ""真實收入"",
  TRUE, ""其他""
)"),"真實收入")</f>
        <v>真實收入</v>
      </c>
      <c r="K739" s="270">
        <f t="shared" si="2"/>
        <v>9000</v>
      </c>
      <c r="L739">
        <f t="shared" si="3"/>
        <v>0</v>
      </c>
    </row>
    <row r="740">
      <c r="A740" s="107">
        <f>IFERROR(__xludf.DUMMYFUNCTION("""COMPUTED_VALUE"""),45539.0)</f>
        <v>45539</v>
      </c>
      <c r="B740" t="str">
        <f>IFERROR(__xludf.DUMMYFUNCTION("""COMPUTED_VALUE"""),"帽子先生 IKEA")</f>
        <v>帽子先生 IKEA</v>
      </c>
      <c r="C740" t="str">
        <f>IFERROR(__xludf.DUMMYFUNCTION("""COMPUTED_VALUE"""),"成本 - 進場前裝潢費")</f>
        <v>成本 - 進場前裝潢費</v>
      </c>
      <c r="D740" s="270">
        <f>IFERROR(__xludf.DUMMYFUNCTION("""COMPUTED_VALUE"""),-35611.0)</f>
        <v>-35611</v>
      </c>
      <c r="E740" t="str">
        <f>IFERROR(__xludf.DUMMYFUNCTION("""COMPUTED_VALUE"""),"Elsa帳戶")</f>
        <v>Elsa帳戶</v>
      </c>
      <c r="G740" t="str">
        <f>IFERROR(__xludf.DUMMYFUNCTION("""COMPUTED_VALUE"""),"金龍帽子先生")</f>
        <v>金龍帽子先生</v>
      </c>
      <c r="H740" s="106" t="str">
        <f t="shared" si="1"/>
        <v>2024-09</v>
      </c>
      <c r="I740" s="271" t="str">
        <f>IFERROR(__xludf.DUMMYFUNCTION("""COMPUTED_VALUE"""),"貓狗企鵝")</f>
        <v>貓狗企鵝</v>
      </c>
      <c r="J740" t="str">
        <f>IFERROR(__xludf.DUMMYFUNCTION("IFS(
  AND(REGEXMATCH(E740, ""台銀籌備帳戶|玉山帳戶""), REGEXMATCH(C740, ""薪資"")), ""分潤支出"",
  AND(REGEXMATCH(E740, ""Ben帳戶|Elsa帳戶|Ben代墊|Ariel代墊|中信銀行共用""), REGEXMATCH(F740, ""Ben帳戶|Elsa帳戶|Ben代墊|Ariel代墊|中信銀行共用"")), ""內部轉帳(忽略)"",
  AND(E740&lt;&gt;"""", F740&lt;&gt;"""", NOT(REG"&amp;"EXMATCH(C740, ""薪資""))), ""內部轉帳(忽略)"",
  REGEXMATCH(C740, ""薪資""), ""薪資變動(不計入)"",
  REGEXMATCH(C740, ""押金""), ""押金往來"",
  AND(E740&lt;&gt;"""", F740=""""), ""真實支出"",
  AND(E740="""", F740&lt;&gt;""""), ""真實收入"",
  TRUE, ""其他""
)"),"真實支出")</f>
        <v>真實支出</v>
      </c>
      <c r="K740" s="270">
        <f t="shared" si="2"/>
        <v>-35611</v>
      </c>
      <c r="L740">
        <f t="shared" si="3"/>
        <v>0</v>
      </c>
    </row>
    <row r="741">
      <c r="A741" s="107">
        <f>IFERROR(__xludf.DUMMYFUNCTION("""COMPUTED_VALUE"""),45539.0)</f>
        <v>45539</v>
      </c>
      <c r="B741" t="str">
        <f>IFERROR(__xludf.DUMMYFUNCTION("""COMPUTED_VALUE"""),"運費")</f>
        <v>運費</v>
      </c>
      <c r="C741" t="str">
        <f>IFERROR(__xludf.DUMMYFUNCTION("""COMPUTED_VALUE"""),"成本 - 進場前裝潢費")</f>
        <v>成本 - 進場前裝潢費</v>
      </c>
      <c r="D741" s="270">
        <f>IFERROR(__xludf.DUMMYFUNCTION("""COMPUTED_VALUE"""),-3515.0)</f>
        <v>-3515</v>
      </c>
      <c r="E741" t="str">
        <f>IFERROR(__xludf.DUMMYFUNCTION("""COMPUTED_VALUE"""),"Ben帳戶")</f>
        <v>Ben帳戶</v>
      </c>
      <c r="G741" t="str">
        <f>IFERROR(__xludf.DUMMYFUNCTION("""COMPUTED_VALUE"""),"金龍帽子先生")</f>
        <v>金龍帽子先生</v>
      </c>
      <c r="H741" s="106" t="str">
        <f t="shared" si="1"/>
        <v>2024-09</v>
      </c>
      <c r="I741" s="271" t="str">
        <f>IFERROR(__xludf.DUMMYFUNCTION("""COMPUTED_VALUE"""),"貓狗企鵝")</f>
        <v>貓狗企鵝</v>
      </c>
      <c r="J741" t="str">
        <f>IFERROR(__xludf.DUMMYFUNCTION("IFS(
  AND(REGEXMATCH(E741, ""台銀籌備帳戶|玉山帳戶""), REGEXMATCH(C741, ""薪資"")), ""分潤支出"",
  AND(REGEXMATCH(E741, ""Ben帳戶|Elsa帳戶|Ben代墊|Ariel代墊|中信銀行共用""), REGEXMATCH(F741, ""Ben帳戶|Elsa帳戶|Ben代墊|Ariel代墊|中信銀行共用"")), ""內部轉帳(忽略)"",
  AND(E741&lt;&gt;"""", F741&lt;&gt;"""", NOT(REG"&amp;"EXMATCH(C741, ""薪資""))), ""內部轉帳(忽略)"",
  REGEXMATCH(C741, ""薪資""), ""薪資變動(不計入)"",
  REGEXMATCH(C741, ""押金""), ""押金往來"",
  AND(E741&lt;&gt;"""", F741=""""), ""真實支出"",
  AND(E741="""", F741&lt;&gt;""""), ""真實收入"",
  TRUE, ""其他""
)"),"真實支出")</f>
        <v>真實支出</v>
      </c>
      <c r="K741" s="270">
        <f t="shared" si="2"/>
        <v>-3515</v>
      </c>
      <c r="L741">
        <f t="shared" si="3"/>
        <v>0</v>
      </c>
    </row>
    <row r="742">
      <c r="A742" s="107">
        <f>IFERROR(__xludf.DUMMYFUNCTION("""COMPUTED_VALUE"""),45539.0)</f>
        <v>45539</v>
      </c>
      <c r="B742" t="str">
        <f>IFERROR(__xludf.DUMMYFUNCTION("""COMPUTED_VALUE"""),"瓦斯桶")</f>
        <v>瓦斯桶</v>
      </c>
      <c r="C742" t="str">
        <f>IFERROR(__xludf.DUMMYFUNCTION("""COMPUTED_VALUE"""),"成本 - 租後修繕")</f>
        <v>成本 - 租後修繕</v>
      </c>
      <c r="D742" s="270">
        <f>IFERROR(__xludf.DUMMYFUNCTION("""COMPUTED_VALUE"""),-730.0)</f>
        <v>-730</v>
      </c>
      <c r="E742" t="str">
        <f>IFERROR(__xludf.DUMMYFUNCTION("""COMPUTED_VALUE"""),"Ben帳戶")</f>
        <v>Ben帳戶</v>
      </c>
      <c r="G742" t="str">
        <f>IFERROR(__xludf.DUMMYFUNCTION("""COMPUTED_VALUE"""),"市府爺爺家")</f>
        <v>市府爺爺家</v>
      </c>
      <c r="H742" s="106" t="str">
        <f t="shared" si="1"/>
        <v>2024-09</v>
      </c>
      <c r="I742" s="271" t="str">
        <f>IFERROR(__xludf.DUMMYFUNCTION("""COMPUTED_VALUE"""),"貓狗企鵝")</f>
        <v>貓狗企鵝</v>
      </c>
      <c r="J742" t="str">
        <f>IFERROR(__xludf.DUMMYFUNCTION("IFS(
  AND(REGEXMATCH(E742, ""台銀籌備帳戶|玉山帳戶""), REGEXMATCH(C742, ""薪資"")), ""分潤支出"",
  AND(REGEXMATCH(E742, ""Ben帳戶|Elsa帳戶|Ben代墊|Ariel代墊|中信銀行共用""), REGEXMATCH(F742, ""Ben帳戶|Elsa帳戶|Ben代墊|Ariel代墊|中信銀行共用"")), ""內部轉帳(忽略)"",
  AND(E742&lt;&gt;"""", F742&lt;&gt;"""", NOT(REG"&amp;"EXMATCH(C742, ""薪資""))), ""內部轉帳(忽略)"",
  REGEXMATCH(C742, ""薪資""), ""薪資變動(不計入)"",
  REGEXMATCH(C742, ""押金""), ""押金往來"",
  AND(E742&lt;&gt;"""", F742=""""), ""真實支出"",
  AND(E742="""", F742&lt;&gt;""""), ""真實收入"",
  TRUE, ""其他""
)"),"真實支出")</f>
        <v>真實支出</v>
      </c>
      <c r="K742" s="270">
        <f t="shared" si="2"/>
        <v>-730</v>
      </c>
      <c r="L742">
        <f t="shared" si="3"/>
        <v>0</v>
      </c>
    </row>
    <row r="743">
      <c r="A743" s="107">
        <f>IFERROR(__xludf.DUMMYFUNCTION("""COMPUTED_VALUE"""),45539.0)</f>
        <v>45539</v>
      </c>
      <c r="B743" t="str">
        <f>IFERROR(__xludf.DUMMYFUNCTION("""COMPUTED_VALUE"""),"市府爺爺家	A	蔡艾霖")</f>
        <v>市府爺爺家	A	蔡艾霖</v>
      </c>
      <c r="C743" t="str">
        <f>IFERROR(__xludf.DUMMYFUNCTION("""COMPUTED_VALUE"""),"收入 - 租金")</f>
        <v>收入 - 租金</v>
      </c>
      <c r="D743" s="270">
        <f>IFERROR(__xludf.DUMMYFUNCTION("""COMPUTED_VALUE"""),23000.0)</f>
        <v>23000</v>
      </c>
      <c r="F743" t="str">
        <f>IFERROR(__xludf.DUMMYFUNCTION("""COMPUTED_VALUE"""),"台銀籌備帳戶")</f>
        <v>台銀籌備帳戶</v>
      </c>
      <c r="G743" t="str">
        <f>IFERROR(__xludf.DUMMYFUNCTION("""COMPUTED_VALUE"""),"市府爺爺家")</f>
        <v>市府爺爺家</v>
      </c>
      <c r="H743" s="106" t="str">
        <f t="shared" si="1"/>
        <v>2024-09</v>
      </c>
      <c r="I743" s="271" t="str">
        <f>IFERROR(__xludf.DUMMYFUNCTION("""COMPUTED_VALUE"""),"貓狗企鵝")</f>
        <v>貓狗企鵝</v>
      </c>
      <c r="J743" t="str">
        <f>IFERROR(__xludf.DUMMYFUNCTION("IFS(
  AND(REGEXMATCH(E743, ""台銀籌備帳戶|玉山帳戶""), REGEXMATCH(C743, ""薪資"")), ""分潤支出"",
  AND(REGEXMATCH(E743, ""Ben帳戶|Elsa帳戶|Ben代墊|Ariel代墊|中信銀行共用""), REGEXMATCH(F743, ""Ben帳戶|Elsa帳戶|Ben代墊|Ariel代墊|中信銀行共用"")), ""內部轉帳(忽略)"",
  AND(E743&lt;&gt;"""", F743&lt;&gt;"""", NOT(REG"&amp;"EXMATCH(C743, ""薪資""))), ""內部轉帳(忽略)"",
  REGEXMATCH(C743, ""薪資""), ""薪資變動(不計入)"",
  REGEXMATCH(C743, ""押金""), ""押金往來"",
  AND(E743&lt;&gt;"""", F743=""""), ""真實支出"",
  AND(E743="""", F743&lt;&gt;""""), ""真實收入"",
  TRUE, ""其他""
)"),"真實收入")</f>
        <v>真實收入</v>
      </c>
      <c r="K743" s="270">
        <f t="shared" si="2"/>
        <v>23000</v>
      </c>
      <c r="L743">
        <f t="shared" si="3"/>
        <v>0</v>
      </c>
    </row>
    <row r="744">
      <c r="A744" s="107">
        <f>IFERROR(__xludf.DUMMYFUNCTION("""COMPUTED_VALUE"""),45541.0)</f>
        <v>45541</v>
      </c>
      <c r="B744" t="str">
        <f>IFERROR(__xludf.DUMMYFUNCTION("""COMPUTED_VALUE"""),"宜得利窗簾桿")</f>
        <v>宜得利窗簾桿</v>
      </c>
      <c r="C744" t="str">
        <f>IFERROR(__xludf.DUMMYFUNCTION("""COMPUTED_VALUE"""),"成本 - 進場前裝潢費")</f>
        <v>成本 - 進場前裝潢費</v>
      </c>
      <c r="D744" s="270">
        <f>IFERROR(__xludf.DUMMYFUNCTION("""COMPUTED_VALUE"""),-718.0)</f>
        <v>-718</v>
      </c>
      <c r="E744" t="str">
        <f>IFERROR(__xludf.DUMMYFUNCTION("""COMPUTED_VALUE"""),"Ben帳戶")</f>
        <v>Ben帳戶</v>
      </c>
      <c r="G744" t="str">
        <f>IFERROR(__xludf.DUMMYFUNCTION("""COMPUTED_VALUE"""),"金龍帽子先生")</f>
        <v>金龍帽子先生</v>
      </c>
      <c r="H744" s="106" t="str">
        <f t="shared" si="1"/>
        <v>2024-09</v>
      </c>
      <c r="I744" s="271" t="str">
        <f>IFERROR(__xludf.DUMMYFUNCTION("""COMPUTED_VALUE"""),"貓狗企鵝")</f>
        <v>貓狗企鵝</v>
      </c>
      <c r="J744" t="str">
        <f>IFERROR(__xludf.DUMMYFUNCTION("IFS(
  AND(REGEXMATCH(E744, ""台銀籌備帳戶|玉山帳戶""), REGEXMATCH(C744, ""薪資"")), ""分潤支出"",
  AND(REGEXMATCH(E744, ""Ben帳戶|Elsa帳戶|Ben代墊|Ariel代墊|中信銀行共用""), REGEXMATCH(F744, ""Ben帳戶|Elsa帳戶|Ben代墊|Ariel代墊|中信銀行共用"")), ""內部轉帳(忽略)"",
  AND(E744&lt;&gt;"""", F744&lt;&gt;"""", NOT(REG"&amp;"EXMATCH(C744, ""薪資""))), ""內部轉帳(忽略)"",
  REGEXMATCH(C744, ""薪資""), ""薪資變動(不計入)"",
  REGEXMATCH(C744, ""押金""), ""押金往來"",
  AND(E744&lt;&gt;"""", F744=""""), ""真實支出"",
  AND(E744="""", F744&lt;&gt;""""), ""真實收入"",
  TRUE, ""其他""
)"),"真實支出")</f>
        <v>真實支出</v>
      </c>
      <c r="K744" s="270">
        <f t="shared" si="2"/>
        <v>-718</v>
      </c>
      <c r="L744">
        <f t="shared" si="3"/>
        <v>0</v>
      </c>
    </row>
    <row r="745">
      <c r="A745" s="107">
        <f>IFERROR(__xludf.DUMMYFUNCTION("""COMPUTED_VALUE"""),45541.0)</f>
        <v>45541</v>
      </c>
      <c r="B745" t="str">
        <f>IFERROR(__xludf.DUMMYFUNCTION("""COMPUTED_VALUE"""),"通樂+水們")</f>
        <v>通樂+水們</v>
      </c>
      <c r="C745" t="str">
        <f>IFERROR(__xludf.DUMMYFUNCTION("""COMPUTED_VALUE"""),"成本 - 進場前裝潢費")</f>
        <v>成本 - 進場前裝潢費</v>
      </c>
      <c r="D745" s="270">
        <f>IFERROR(__xludf.DUMMYFUNCTION("""COMPUTED_VALUE"""),-380.0)</f>
        <v>-380</v>
      </c>
      <c r="E745" t="str">
        <f>IFERROR(__xludf.DUMMYFUNCTION("""COMPUTED_VALUE"""),"Elsa帳戶")</f>
        <v>Elsa帳戶</v>
      </c>
      <c r="G745" t="str">
        <f>IFERROR(__xludf.DUMMYFUNCTION("""COMPUTED_VALUE"""),"金龍帽子先生")</f>
        <v>金龍帽子先生</v>
      </c>
      <c r="H745" s="106" t="str">
        <f t="shared" si="1"/>
        <v>2024-09</v>
      </c>
      <c r="I745" s="271" t="str">
        <f>IFERROR(__xludf.DUMMYFUNCTION("""COMPUTED_VALUE"""),"貓狗企鵝")</f>
        <v>貓狗企鵝</v>
      </c>
      <c r="J745" t="str">
        <f>IFERROR(__xludf.DUMMYFUNCTION("IFS(
  AND(REGEXMATCH(E745, ""台銀籌備帳戶|玉山帳戶""), REGEXMATCH(C745, ""薪資"")), ""分潤支出"",
  AND(REGEXMATCH(E745, ""Ben帳戶|Elsa帳戶|Ben代墊|Ariel代墊|中信銀行共用""), REGEXMATCH(F745, ""Ben帳戶|Elsa帳戶|Ben代墊|Ariel代墊|中信銀行共用"")), ""內部轉帳(忽略)"",
  AND(E745&lt;&gt;"""", F745&lt;&gt;"""", NOT(REG"&amp;"EXMATCH(C745, ""薪資""))), ""內部轉帳(忽略)"",
  REGEXMATCH(C745, ""薪資""), ""薪資變動(不計入)"",
  REGEXMATCH(C745, ""押金""), ""押金往來"",
  AND(E745&lt;&gt;"""", F745=""""), ""真實支出"",
  AND(E745="""", F745&lt;&gt;""""), ""真實收入"",
  TRUE, ""其他""
)"),"真實支出")</f>
        <v>真實支出</v>
      </c>
      <c r="K745" s="270">
        <f t="shared" si="2"/>
        <v>-380</v>
      </c>
      <c r="L745">
        <f t="shared" si="3"/>
        <v>0</v>
      </c>
    </row>
    <row r="746">
      <c r="A746" s="107">
        <f>IFERROR(__xludf.DUMMYFUNCTION("""COMPUTED_VALUE"""),45541.0)</f>
        <v>45541</v>
      </c>
      <c r="B746" t="str">
        <f>IFERROR(__xludf.DUMMYFUNCTION("""COMPUTED_VALUE"""),"永春修繕保險費")</f>
        <v>永春修繕保險費</v>
      </c>
      <c r="C746" t="str">
        <f>IFERROR(__xludf.DUMMYFUNCTION("""COMPUTED_VALUE"""),"成本 - 進場前裝潢費")</f>
        <v>成本 - 進場前裝潢費</v>
      </c>
      <c r="D746" s="270">
        <f>IFERROR(__xludf.DUMMYFUNCTION("""COMPUTED_VALUE"""),85500.0)</f>
        <v>85500</v>
      </c>
      <c r="F746" t="str">
        <f>IFERROR(__xludf.DUMMYFUNCTION("""COMPUTED_VALUE"""),"台銀籌備帳戶")</f>
        <v>台銀籌備帳戶</v>
      </c>
      <c r="G746" t="str">
        <f>IFERROR(__xludf.DUMMYFUNCTION("""COMPUTED_VALUE"""),"永春四號")</f>
        <v>永春四號</v>
      </c>
      <c r="H746" s="106" t="str">
        <f t="shared" si="1"/>
        <v>2024-09</v>
      </c>
      <c r="I746" s="271" t="str">
        <f>IFERROR(__xludf.DUMMYFUNCTION("""COMPUTED_VALUE"""),"貓狗企鵝")</f>
        <v>貓狗企鵝</v>
      </c>
      <c r="J746" t="str">
        <f>IFERROR(__xludf.DUMMYFUNCTION("IFS(
  AND(REGEXMATCH(E746, ""台銀籌備帳戶|玉山帳戶""), REGEXMATCH(C746, ""薪資"")), ""分潤支出"",
  AND(REGEXMATCH(E746, ""Ben帳戶|Elsa帳戶|Ben代墊|Ariel代墊|中信銀行共用""), REGEXMATCH(F746, ""Ben帳戶|Elsa帳戶|Ben代墊|Ariel代墊|中信銀行共用"")), ""內部轉帳(忽略)"",
  AND(E746&lt;&gt;"""", F746&lt;&gt;"""", NOT(REG"&amp;"EXMATCH(C746, ""薪資""))), ""內部轉帳(忽略)"",
  REGEXMATCH(C746, ""薪資""), ""薪資變動(不計入)"",
  REGEXMATCH(C746, ""押金""), ""押金往來"",
  AND(E746&lt;&gt;"""", F746=""""), ""真實支出"",
  AND(E746="""", F746&lt;&gt;""""), ""真實收入"",
  TRUE, ""其他""
)"),"真實收入")</f>
        <v>真實收入</v>
      </c>
      <c r="K746" s="270">
        <f t="shared" si="2"/>
        <v>85500</v>
      </c>
      <c r="L746">
        <f t="shared" si="3"/>
        <v>0</v>
      </c>
    </row>
    <row r="747">
      <c r="A747" s="107">
        <f>IFERROR(__xludf.DUMMYFUNCTION("""COMPUTED_VALUE"""),45541.0)</f>
        <v>45541</v>
      </c>
      <c r="B747" t="str">
        <f>IFERROR(__xludf.DUMMYFUNCTION("""COMPUTED_VALUE"""),"金龍輕隔間")</f>
        <v>金龍輕隔間</v>
      </c>
      <c r="C747" t="str">
        <f>IFERROR(__xludf.DUMMYFUNCTION("""COMPUTED_VALUE"""),"成本 - 進場前裝潢費")</f>
        <v>成本 - 進場前裝潢費</v>
      </c>
      <c r="D747" s="270">
        <f>IFERROR(__xludf.DUMMYFUNCTION("""COMPUTED_VALUE"""),-27441.0)</f>
        <v>-27441</v>
      </c>
      <c r="E747" t="str">
        <f>IFERROR(__xludf.DUMMYFUNCTION("""COMPUTED_VALUE"""),"台銀籌備帳戶")</f>
        <v>台銀籌備帳戶</v>
      </c>
      <c r="G747" t="str">
        <f>IFERROR(__xludf.DUMMYFUNCTION("""COMPUTED_VALUE"""),"金龍帽子先生")</f>
        <v>金龍帽子先生</v>
      </c>
      <c r="H747" s="106" t="str">
        <f t="shared" si="1"/>
        <v>2024-09</v>
      </c>
      <c r="I747" s="271" t="str">
        <f>IFERROR(__xludf.DUMMYFUNCTION("""COMPUTED_VALUE"""),"貓狗企鵝")</f>
        <v>貓狗企鵝</v>
      </c>
      <c r="J747" t="str">
        <f>IFERROR(__xludf.DUMMYFUNCTION("IFS(
  AND(REGEXMATCH(E747, ""台銀籌備帳戶|玉山帳戶""), REGEXMATCH(C747, ""薪資"")), ""分潤支出"",
  AND(REGEXMATCH(E747, ""Ben帳戶|Elsa帳戶|Ben代墊|Ariel代墊|中信銀行共用""), REGEXMATCH(F747, ""Ben帳戶|Elsa帳戶|Ben代墊|Ariel代墊|中信銀行共用"")), ""內部轉帳(忽略)"",
  AND(E747&lt;&gt;"""", F747&lt;&gt;"""", NOT(REG"&amp;"EXMATCH(C747, ""薪資""))), ""內部轉帳(忽略)"",
  REGEXMATCH(C747, ""薪資""), ""薪資變動(不計入)"",
  REGEXMATCH(C747, ""押金""), ""押金往來"",
  AND(E747&lt;&gt;"""", F747=""""), ""真實支出"",
  AND(E747="""", F747&lt;&gt;""""), ""真實收入"",
  TRUE, ""其他""
)"),"真實支出")</f>
        <v>真實支出</v>
      </c>
      <c r="K747" s="270">
        <f t="shared" si="2"/>
        <v>-27441</v>
      </c>
      <c r="L747">
        <f t="shared" si="3"/>
        <v>0</v>
      </c>
    </row>
    <row r="748">
      <c r="A748" s="107">
        <f>IFERROR(__xludf.DUMMYFUNCTION("""COMPUTED_VALUE"""),45542.0)</f>
        <v>45542</v>
      </c>
      <c r="B748" t="str">
        <f>IFERROR(__xludf.DUMMYFUNCTION("""COMPUTED_VALUE"""),"南港馬梯")</f>
        <v>南港馬梯</v>
      </c>
      <c r="C748" t="str">
        <f>IFERROR(__xludf.DUMMYFUNCTION("""COMPUTED_VALUE"""),"成本 - 進場前裝潢費")</f>
        <v>成本 - 進場前裝潢費</v>
      </c>
      <c r="D748" s="270">
        <f>IFERROR(__xludf.DUMMYFUNCTION("""COMPUTED_VALUE"""),-2115.0)</f>
        <v>-2115</v>
      </c>
      <c r="E748" t="str">
        <f>IFERROR(__xludf.DUMMYFUNCTION("""COMPUTED_VALUE"""),"Elsa帳戶")</f>
        <v>Elsa帳戶</v>
      </c>
      <c r="G748" t="str">
        <f>IFERROR(__xludf.DUMMYFUNCTION("""COMPUTED_VALUE"""),"南港站挑高宅")</f>
        <v>南港站挑高宅</v>
      </c>
      <c r="H748" s="106" t="str">
        <f t="shared" si="1"/>
        <v>2024-09</v>
      </c>
      <c r="I748" s="271" t="str">
        <f>IFERROR(__xludf.DUMMYFUNCTION("""COMPUTED_VALUE"""),"貓狗企鵝")</f>
        <v>貓狗企鵝</v>
      </c>
      <c r="J748" t="str">
        <f>IFERROR(__xludf.DUMMYFUNCTION("IFS(
  AND(REGEXMATCH(E748, ""台銀籌備帳戶|玉山帳戶""), REGEXMATCH(C748, ""薪資"")), ""分潤支出"",
  AND(REGEXMATCH(E748, ""Ben帳戶|Elsa帳戶|Ben代墊|Ariel代墊|中信銀行共用""), REGEXMATCH(F748, ""Ben帳戶|Elsa帳戶|Ben代墊|Ariel代墊|中信銀行共用"")), ""內部轉帳(忽略)"",
  AND(E748&lt;&gt;"""", F748&lt;&gt;"""", NOT(REG"&amp;"EXMATCH(C748, ""薪資""))), ""內部轉帳(忽略)"",
  REGEXMATCH(C748, ""薪資""), ""薪資變動(不計入)"",
  REGEXMATCH(C748, ""押金""), ""押金往來"",
  AND(E748&lt;&gt;"""", F748=""""), ""真實支出"",
  AND(E748="""", F748&lt;&gt;""""), ""真實收入"",
  TRUE, ""其他""
)"),"真實支出")</f>
        <v>真實支出</v>
      </c>
      <c r="K748" s="270">
        <f t="shared" si="2"/>
        <v>-2115</v>
      </c>
      <c r="L748">
        <f t="shared" si="3"/>
        <v>0</v>
      </c>
    </row>
    <row r="749">
      <c r="A749" s="107">
        <f>IFERROR(__xludf.DUMMYFUNCTION("""COMPUTED_VALUE"""),45542.0)</f>
        <v>45542</v>
      </c>
      <c r="B749" t="str">
        <f>IFERROR(__xludf.DUMMYFUNCTION("""COMPUTED_VALUE"""),"開鎖費")</f>
        <v>開鎖費</v>
      </c>
      <c r="C749" t="str">
        <f>IFERROR(__xludf.DUMMYFUNCTION("""COMPUTED_VALUE"""),"成本 - 租後修繕")</f>
        <v>成本 - 租後修繕</v>
      </c>
      <c r="D749" s="270">
        <f>IFERROR(__xludf.DUMMYFUNCTION("""COMPUTED_VALUE"""),-300.0)</f>
        <v>-300</v>
      </c>
      <c r="E749" t="str">
        <f>IFERROR(__xludf.DUMMYFUNCTION("""COMPUTED_VALUE"""),"Ben帳戶")</f>
        <v>Ben帳戶</v>
      </c>
      <c r="G749" t="str">
        <f>IFERROR(__xludf.DUMMYFUNCTION("""COMPUTED_VALUE"""),"南港站挑高宅")</f>
        <v>南港站挑高宅</v>
      </c>
      <c r="H749" s="106" t="str">
        <f t="shared" si="1"/>
        <v>2024-09</v>
      </c>
      <c r="I749" s="271" t="str">
        <f>IFERROR(__xludf.DUMMYFUNCTION("""COMPUTED_VALUE"""),"貓狗企鵝")</f>
        <v>貓狗企鵝</v>
      </c>
      <c r="J749" t="str">
        <f>IFERROR(__xludf.DUMMYFUNCTION("IFS(
  AND(REGEXMATCH(E749, ""台銀籌備帳戶|玉山帳戶""), REGEXMATCH(C749, ""薪資"")), ""分潤支出"",
  AND(REGEXMATCH(E749, ""Ben帳戶|Elsa帳戶|Ben代墊|Ariel代墊|中信銀行共用""), REGEXMATCH(F749, ""Ben帳戶|Elsa帳戶|Ben代墊|Ariel代墊|中信銀行共用"")), ""內部轉帳(忽略)"",
  AND(E749&lt;&gt;"""", F749&lt;&gt;"""", NOT(REG"&amp;"EXMATCH(C749, ""薪資""))), ""內部轉帳(忽略)"",
  REGEXMATCH(C749, ""薪資""), ""薪資變動(不計入)"",
  REGEXMATCH(C749, ""押金""), ""押金往來"",
  AND(E749&lt;&gt;"""", F749=""""), ""真實支出"",
  AND(E749="""", F749&lt;&gt;""""), ""真實收入"",
  TRUE, ""其他""
)"),"真實支出")</f>
        <v>真實支出</v>
      </c>
      <c r="K749" s="270">
        <f t="shared" si="2"/>
        <v>-300</v>
      </c>
      <c r="L749">
        <f t="shared" si="3"/>
        <v>0</v>
      </c>
    </row>
    <row r="750">
      <c r="A750" s="107">
        <f>IFERROR(__xludf.DUMMYFUNCTION("""COMPUTED_VALUE"""),45542.0)</f>
        <v>45542</v>
      </c>
      <c r="B750" t="str">
        <f>IFERROR(__xludf.DUMMYFUNCTION("""COMPUTED_VALUE"""),"南港-中山 小黃")</f>
        <v>南港-中山 小黃</v>
      </c>
      <c r="C750" t="str">
        <f>IFERROR(__xludf.DUMMYFUNCTION("""COMPUTED_VALUE"""),"成本 - 出勤費")</f>
        <v>成本 - 出勤費</v>
      </c>
      <c r="D750" s="270">
        <f>IFERROR(__xludf.DUMMYFUNCTION("""COMPUTED_VALUE"""),-345.0)</f>
        <v>-345</v>
      </c>
      <c r="E750" t="str">
        <f>IFERROR(__xludf.DUMMYFUNCTION("""COMPUTED_VALUE"""),"Elsa帳戶")</f>
        <v>Elsa帳戶</v>
      </c>
      <c r="G750" t="str">
        <f>IFERROR(__xludf.DUMMYFUNCTION("""COMPUTED_VALUE"""),"南港站挑高宅")</f>
        <v>南港站挑高宅</v>
      </c>
      <c r="H750" s="106" t="str">
        <f t="shared" si="1"/>
        <v>2024-09</v>
      </c>
      <c r="I750" s="271" t="str">
        <f>IFERROR(__xludf.DUMMYFUNCTION("""COMPUTED_VALUE"""),"貓狗企鵝")</f>
        <v>貓狗企鵝</v>
      </c>
      <c r="J750" t="str">
        <f>IFERROR(__xludf.DUMMYFUNCTION("IFS(
  AND(REGEXMATCH(E750, ""台銀籌備帳戶|玉山帳戶""), REGEXMATCH(C750, ""薪資"")), ""分潤支出"",
  AND(REGEXMATCH(E750, ""Ben帳戶|Elsa帳戶|Ben代墊|Ariel代墊|中信銀行共用""), REGEXMATCH(F750, ""Ben帳戶|Elsa帳戶|Ben代墊|Ariel代墊|中信銀行共用"")), ""內部轉帳(忽略)"",
  AND(E750&lt;&gt;"""", F750&lt;&gt;"""", NOT(REG"&amp;"EXMATCH(C750, ""薪資""))), ""內部轉帳(忽略)"",
  REGEXMATCH(C750, ""薪資""), ""薪資變動(不計入)"",
  REGEXMATCH(C750, ""押金""), ""押金往來"",
  AND(E750&lt;&gt;"""", F750=""""), ""真實支出"",
  AND(E750="""", F750&lt;&gt;""""), ""真實收入"",
  TRUE, ""其他""
)"),"真實支出")</f>
        <v>真實支出</v>
      </c>
      <c r="K750" s="270">
        <f t="shared" si="2"/>
        <v>-345</v>
      </c>
      <c r="L750">
        <f t="shared" si="3"/>
        <v>0</v>
      </c>
    </row>
    <row r="751">
      <c r="A751" s="107">
        <f>IFERROR(__xludf.DUMMYFUNCTION("""COMPUTED_VALUE"""),45542.0)</f>
        <v>45542</v>
      </c>
      <c r="B751" t="str">
        <f>IFERROR(__xludf.DUMMYFUNCTION("""COMPUTED_VALUE"""),"南港A房大衣櫃")</f>
        <v>南港A房大衣櫃</v>
      </c>
      <c r="C751" t="str">
        <f>IFERROR(__xludf.DUMMYFUNCTION("""COMPUTED_VALUE"""),"成本 - 進場前裝潢費")</f>
        <v>成本 - 進場前裝潢費</v>
      </c>
      <c r="D751" s="270">
        <f>IFERROR(__xludf.DUMMYFUNCTION("""COMPUTED_VALUE"""),-6972.0)</f>
        <v>-6972</v>
      </c>
      <c r="E751" t="str">
        <f>IFERROR(__xludf.DUMMYFUNCTION("""COMPUTED_VALUE"""),"Elsa帳戶")</f>
        <v>Elsa帳戶</v>
      </c>
      <c r="G751" t="str">
        <f>IFERROR(__xludf.DUMMYFUNCTION("""COMPUTED_VALUE"""),"南港站挑高宅")</f>
        <v>南港站挑高宅</v>
      </c>
      <c r="H751" s="106" t="str">
        <f t="shared" si="1"/>
        <v>2024-09</v>
      </c>
      <c r="I751" s="271" t="str">
        <f>IFERROR(__xludf.DUMMYFUNCTION("""COMPUTED_VALUE"""),"貓狗企鵝")</f>
        <v>貓狗企鵝</v>
      </c>
      <c r="J751" t="str">
        <f>IFERROR(__xludf.DUMMYFUNCTION("IFS(
  AND(REGEXMATCH(E751, ""台銀籌備帳戶|玉山帳戶""), REGEXMATCH(C751, ""薪資"")), ""分潤支出"",
  AND(REGEXMATCH(E751, ""Ben帳戶|Elsa帳戶|Ben代墊|Ariel代墊|中信銀行共用""), REGEXMATCH(F751, ""Ben帳戶|Elsa帳戶|Ben代墊|Ariel代墊|中信銀行共用"")), ""內部轉帳(忽略)"",
  AND(E751&lt;&gt;"""", F751&lt;&gt;"""", NOT(REG"&amp;"EXMATCH(C751, ""薪資""))), ""內部轉帳(忽略)"",
  REGEXMATCH(C751, ""薪資""), ""薪資變動(不計入)"",
  REGEXMATCH(C751, ""押金""), ""押金往來"",
  AND(E751&lt;&gt;"""", F751=""""), ""真實支出"",
  AND(E751="""", F751&lt;&gt;""""), ""真實收入"",
  TRUE, ""其他""
)"),"真實支出")</f>
        <v>真實支出</v>
      </c>
      <c r="K751" s="270">
        <f t="shared" si="2"/>
        <v>-6972</v>
      </c>
      <c r="L751">
        <f t="shared" si="3"/>
        <v>0</v>
      </c>
    </row>
    <row r="752">
      <c r="A752" s="107">
        <f>IFERROR(__xludf.DUMMYFUNCTION("""COMPUTED_VALUE"""),45542.0)</f>
        <v>45542</v>
      </c>
      <c r="B752" t="str">
        <f>IFERROR(__xludf.DUMMYFUNCTION("""COMPUTED_VALUE"""),"帽子先生 A房抽屜門把")</f>
        <v>帽子先生 A房抽屜門把</v>
      </c>
      <c r="C752" t="str">
        <f>IFERROR(__xludf.DUMMYFUNCTION("""COMPUTED_VALUE"""),"成本 - 進場前裝潢費")</f>
        <v>成本 - 進場前裝潢費</v>
      </c>
      <c r="D752" s="270">
        <f>IFERROR(__xludf.DUMMYFUNCTION("""COMPUTED_VALUE"""),-210.0)</f>
        <v>-210</v>
      </c>
      <c r="E752" t="str">
        <f>IFERROR(__xludf.DUMMYFUNCTION("""COMPUTED_VALUE"""),"Ben帳戶")</f>
        <v>Ben帳戶</v>
      </c>
      <c r="G752" t="str">
        <f>IFERROR(__xludf.DUMMYFUNCTION("""COMPUTED_VALUE"""),"金龍帽子先生")</f>
        <v>金龍帽子先生</v>
      </c>
      <c r="H752" s="106" t="str">
        <f t="shared" si="1"/>
        <v>2024-09</v>
      </c>
      <c r="I752" s="271" t="str">
        <f>IFERROR(__xludf.DUMMYFUNCTION("""COMPUTED_VALUE"""),"貓狗企鵝")</f>
        <v>貓狗企鵝</v>
      </c>
      <c r="J752" t="str">
        <f>IFERROR(__xludf.DUMMYFUNCTION("IFS(
  AND(REGEXMATCH(E752, ""台銀籌備帳戶|玉山帳戶""), REGEXMATCH(C752, ""薪資"")), ""分潤支出"",
  AND(REGEXMATCH(E752, ""Ben帳戶|Elsa帳戶|Ben代墊|Ariel代墊|中信銀行共用""), REGEXMATCH(F752, ""Ben帳戶|Elsa帳戶|Ben代墊|Ariel代墊|中信銀行共用"")), ""內部轉帳(忽略)"",
  AND(E752&lt;&gt;"""", F752&lt;&gt;"""", NOT(REG"&amp;"EXMATCH(C752, ""薪資""))), ""內部轉帳(忽略)"",
  REGEXMATCH(C752, ""薪資""), ""薪資變動(不計入)"",
  REGEXMATCH(C752, ""押金""), ""押金往來"",
  AND(E752&lt;&gt;"""", F752=""""), ""真實支出"",
  AND(E752="""", F752&lt;&gt;""""), ""真實收入"",
  TRUE, ""其他""
)"),"真實支出")</f>
        <v>真實支出</v>
      </c>
      <c r="K752" s="270">
        <f t="shared" si="2"/>
        <v>-210</v>
      </c>
      <c r="L752">
        <f t="shared" si="3"/>
        <v>0</v>
      </c>
    </row>
    <row r="753">
      <c r="A753" s="107">
        <f>IFERROR(__xludf.DUMMYFUNCTION("""COMPUTED_VALUE"""),45542.0)</f>
        <v>45542</v>
      </c>
      <c r="B753" t="str">
        <f>IFERROR(__xludf.DUMMYFUNCTION("""COMPUTED_VALUE"""),"南港站挑高宅C王子昇")</f>
        <v>南港站挑高宅C王子昇</v>
      </c>
      <c r="C753" t="str">
        <f>IFERROR(__xludf.DUMMYFUNCTION("""COMPUTED_VALUE"""),"收入 - 租金")</f>
        <v>收入 - 租金</v>
      </c>
      <c r="D753" s="270">
        <f>IFERROR(__xludf.DUMMYFUNCTION("""COMPUTED_VALUE"""),45200.0)</f>
        <v>45200</v>
      </c>
      <c r="F753" t="str">
        <f>IFERROR(__xludf.DUMMYFUNCTION("""COMPUTED_VALUE"""),"台銀籌備帳戶")</f>
        <v>台銀籌備帳戶</v>
      </c>
      <c r="G753" t="str">
        <f>IFERROR(__xludf.DUMMYFUNCTION("""COMPUTED_VALUE"""),"南港站挑高宅")</f>
        <v>南港站挑高宅</v>
      </c>
      <c r="H753" s="106" t="str">
        <f t="shared" si="1"/>
        <v>2024-09</v>
      </c>
      <c r="I753" s="271" t="str">
        <f>IFERROR(__xludf.DUMMYFUNCTION("""COMPUTED_VALUE"""),"貓狗企鵝")</f>
        <v>貓狗企鵝</v>
      </c>
      <c r="J753" t="str">
        <f>IFERROR(__xludf.DUMMYFUNCTION("IFS(
  AND(REGEXMATCH(E753, ""台銀籌備帳戶|玉山帳戶""), REGEXMATCH(C753, ""薪資"")), ""分潤支出"",
  AND(REGEXMATCH(E753, ""Ben帳戶|Elsa帳戶|Ben代墊|Ariel代墊|中信銀行共用""), REGEXMATCH(F753, ""Ben帳戶|Elsa帳戶|Ben代墊|Ariel代墊|中信銀行共用"")), ""內部轉帳(忽略)"",
  AND(E753&lt;&gt;"""", F753&lt;&gt;"""", NOT(REG"&amp;"EXMATCH(C753, ""薪資""))), ""內部轉帳(忽略)"",
  REGEXMATCH(C753, ""薪資""), ""薪資變動(不計入)"",
  REGEXMATCH(C753, ""押金""), ""押金往來"",
  AND(E753&lt;&gt;"""", F753=""""), ""真實支出"",
  AND(E753="""", F753&lt;&gt;""""), ""真實收入"",
  TRUE, ""其他""
)"),"真實收入")</f>
        <v>真實收入</v>
      </c>
      <c r="K753" s="270">
        <f t="shared" si="2"/>
        <v>45200</v>
      </c>
      <c r="L753">
        <f t="shared" si="3"/>
        <v>0</v>
      </c>
    </row>
    <row r="754">
      <c r="A754" s="107">
        <f>IFERROR(__xludf.DUMMYFUNCTION("""COMPUTED_VALUE"""),45543.0)</f>
        <v>45543</v>
      </c>
      <c r="B754" t="str">
        <f>IFERROR(__xludf.DUMMYFUNCTION("""COMPUTED_VALUE"""),"蝦皮收納盒")</f>
        <v>蝦皮收納盒</v>
      </c>
      <c r="C754" t="str">
        <f>IFERROR(__xludf.DUMMYFUNCTION("""COMPUTED_VALUE"""),"成本 - 進場前裝潢費")</f>
        <v>成本 - 進場前裝潢費</v>
      </c>
      <c r="D754" s="270">
        <f>IFERROR(__xludf.DUMMYFUNCTION("""COMPUTED_VALUE"""),-855.0)</f>
        <v>-855</v>
      </c>
      <c r="E754" t="str">
        <f>IFERROR(__xludf.DUMMYFUNCTION("""COMPUTED_VALUE"""),"Elsa帳戶")</f>
        <v>Elsa帳戶</v>
      </c>
      <c r="G754" t="str">
        <f>IFERROR(__xludf.DUMMYFUNCTION("""COMPUTED_VALUE"""),"景安2分鐘")</f>
        <v>景安2分鐘</v>
      </c>
      <c r="H754" s="106" t="str">
        <f t="shared" si="1"/>
        <v>2024-09</v>
      </c>
      <c r="I754" s="271" t="str">
        <f>IFERROR(__xludf.DUMMYFUNCTION("""COMPUTED_VALUE"""),"貓狗企鵝")</f>
        <v>貓狗企鵝</v>
      </c>
      <c r="J754" t="str">
        <f>IFERROR(__xludf.DUMMYFUNCTION("IFS(
  AND(REGEXMATCH(E754, ""台銀籌備帳戶|玉山帳戶""), REGEXMATCH(C754, ""薪資"")), ""分潤支出"",
  AND(REGEXMATCH(E754, ""Ben帳戶|Elsa帳戶|Ben代墊|Ariel代墊|中信銀行共用""), REGEXMATCH(F754, ""Ben帳戶|Elsa帳戶|Ben代墊|Ariel代墊|中信銀行共用"")), ""內部轉帳(忽略)"",
  AND(E754&lt;&gt;"""", F754&lt;&gt;"""", NOT(REG"&amp;"EXMATCH(C754, ""薪資""))), ""內部轉帳(忽略)"",
  REGEXMATCH(C754, ""薪資""), ""薪資變動(不計入)"",
  REGEXMATCH(C754, ""押金""), ""押金往來"",
  AND(E754&lt;&gt;"""", F754=""""), ""真實支出"",
  AND(E754="""", F754&lt;&gt;""""), ""真實收入"",
  TRUE, ""其他""
)"),"真實支出")</f>
        <v>真實支出</v>
      </c>
      <c r="K754" s="270">
        <f t="shared" si="2"/>
        <v>-855</v>
      </c>
      <c r="L754">
        <f t="shared" si="3"/>
        <v>0</v>
      </c>
    </row>
    <row r="755">
      <c r="A755" s="107">
        <f>IFERROR(__xludf.DUMMYFUNCTION("""COMPUTED_VALUE"""),45543.0)</f>
        <v>45543</v>
      </c>
      <c r="B755" t="str">
        <f>IFERROR(__xludf.DUMMYFUNCTION("""COMPUTED_VALUE"""),"景安2分鐘定金")</f>
        <v>景安2分鐘定金</v>
      </c>
      <c r="C755" t="str">
        <f>IFERROR(__xludf.DUMMYFUNCTION("""COMPUTED_VALUE"""),"成本 - 大租金")</f>
        <v>成本 - 大租金</v>
      </c>
      <c r="D755" s="270">
        <f>IFERROR(__xludf.DUMMYFUNCTION("""COMPUTED_VALUE"""),-19800.0)</f>
        <v>-19800</v>
      </c>
      <c r="E755" t="str">
        <f>IFERROR(__xludf.DUMMYFUNCTION("""COMPUTED_VALUE"""),"Ben帳戶")</f>
        <v>Ben帳戶</v>
      </c>
      <c r="G755" t="str">
        <f>IFERROR(__xludf.DUMMYFUNCTION("""COMPUTED_VALUE"""),"景安2分鐘")</f>
        <v>景安2分鐘</v>
      </c>
      <c r="H755" s="106" t="str">
        <f t="shared" si="1"/>
        <v>2024-09</v>
      </c>
      <c r="I755" s="271" t="str">
        <f>IFERROR(__xludf.DUMMYFUNCTION("""COMPUTED_VALUE"""),"貓狗企鵝")</f>
        <v>貓狗企鵝</v>
      </c>
      <c r="J755" t="str">
        <f>IFERROR(__xludf.DUMMYFUNCTION("IFS(
  AND(REGEXMATCH(E755, ""台銀籌備帳戶|玉山帳戶""), REGEXMATCH(C755, ""薪資"")), ""分潤支出"",
  AND(REGEXMATCH(E755, ""Ben帳戶|Elsa帳戶|Ben代墊|Ariel代墊|中信銀行共用""), REGEXMATCH(F755, ""Ben帳戶|Elsa帳戶|Ben代墊|Ariel代墊|中信銀行共用"")), ""內部轉帳(忽略)"",
  AND(E755&lt;&gt;"""", F755&lt;&gt;"""", NOT(REG"&amp;"EXMATCH(C755, ""薪資""))), ""內部轉帳(忽略)"",
  REGEXMATCH(C755, ""薪資""), ""薪資變動(不計入)"",
  REGEXMATCH(C755, ""押金""), ""押金往來"",
  AND(E755&lt;&gt;"""", F755=""""), ""真實支出"",
  AND(E755="""", F755&lt;&gt;""""), ""真實收入"",
  TRUE, ""其他""
)"),"真實支出")</f>
        <v>真實支出</v>
      </c>
      <c r="K755" s="270">
        <f t="shared" si="2"/>
        <v>-19800</v>
      </c>
      <c r="L755">
        <f t="shared" si="3"/>
        <v>0</v>
      </c>
    </row>
    <row r="756">
      <c r="A756" s="107">
        <f>IFERROR(__xludf.DUMMYFUNCTION("""COMPUTED_VALUE"""),45543.0)</f>
        <v>45543</v>
      </c>
      <c r="B756" t="str">
        <f>IFERROR(__xludf.DUMMYFUNCTION("""COMPUTED_VALUE"""),"床")</f>
        <v>床</v>
      </c>
      <c r="C756" t="str">
        <f>IFERROR(__xludf.DUMMYFUNCTION("""COMPUTED_VALUE"""),"成本 - 進場前裝潢費")</f>
        <v>成本 - 進場前裝潢費</v>
      </c>
      <c r="D756" s="270">
        <f>IFERROR(__xludf.DUMMYFUNCTION("""COMPUTED_VALUE"""),-28800.0)</f>
        <v>-28800</v>
      </c>
      <c r="E756" t="str">
        <f>IFERROR(__xludf.DUMMYFUNCTION("""COMPUTED_VALUE"""),"Ben帳戶")</f>
        <v>Ben帳戶</v>
      </c>
      <c r="G756" t="str">
        <f>IFERROR(__xludf.DUMMYFUNCTION("""COMPUTED_VALUE"""),"金龍帽子先生")</f>
        <v>金龍帽子先生</v>
      </c>
      <c r="H756" s="106" t="str">
        <f t="shared" si="1"/>
        <v>2024-09</v>
      </c>
      <c r="I756" s="271" t="str">
        <f>IFERROR(__xludf.DUMMYFUNCTION("""COMPUTED_VALUE"""),"貓狗企鵝")</f>
        <v>貓狗企鵝</v>
      </c>
      <c r="J756" t="str">
        <f>IFERROR(__xludf.DUMMYFUNCTION("IFS(
  AND(REGEXMATCH(E756, ""台銀籌備帳戶|玉山帳戶""), REGEXMATCH(C756, ""薪資"")), ""分潤支出"",
  AND(REGEXMATCH(E756, ""Ben帳戶|Elsa帳戶|Ben代墊|Ariel代墊|中信銀行共用""), REGEXMATCH(F756, ""Ben帳戶|Elsa帳戶|Ben代墊|Ariel代墊|中信銀行共用"")), ""內部轉帳(忽略)"",
  AND(E756&lt;&gt;"""", F756&lt;&gt;"""", NOT(REG"&amp;"EXMATCH(C756, ""薪資""))), ""內部轉帳(忽略)"",
  REGEXMATCH(C756, ""薪資""), ""薪資變動(不計入)"",
  REGEXMATCH(C756, ""押金""), ""押金往來"",
  AND(E756&lt;&gt;"""", F756=""""), ""真實支出"",
  AND(E756="""", F756&lt;&gt;""""), ""真實收入"",
  TRUE, ""其他""
)"),"真實支出")</f>
        <v>真實支出</v>
      </c>
      <c r="K756" s="270">
        <f t="shared" si="2"/>
        <v>-28800</v>
      </c>
      <c r="L756">
        <f t="shared" si="3"/>
        <v>0</v>
      </c>
    </row>
    <row r="757">
      <c r="A757" s="107">
        <f>IFERROR(__xludf.DUMMYFUNCTION("""COMPUTED_VALUE"""),45544.0)</f>
        <v>45544</v>
      </c>
      <c r="B757" t="str">
        <f>IFERROR(__xludf.DUMMYFUNCTION("""COMPUTED_VALUE"""),"景安2分鐘 2個月押金")</f>
        <v>景安2分鐘 2個月押金</v>
      </c>
      <c r="C757" t="str">
        <f>IFERROR(__xludf.DUMMYFUNCTION("""COMPUTED_VALUE"""),"成本 - 對屋主押金")</f>
        <v>成本 - 對屋主押金</v>
      </c>
      <c r="D757" s="270">
        <f>IFERROR(__xludf.DUMMYFUNCTION("""COMPUTED_VALUE"""),-55200.0)</f>
        <v>-55200</v>
      </c>
      <c r="E757" t="str">
        <f>IFERROR(__xludf.DUMMYFUNCTION("""COMPUTED_VALUE"""),"Elsa帳戶")</f>
        <v>Elsa帳戶</v>
      </c>
      <c r="G757" t="str">
        <f>IFERROR(__xludf.DUMMYFUNCTION("""COMPUTED_VALUE"""),"景安2分鐘")</f>
        <v>景安2分鐘</v>
      </c>
      <c r="H757" s="106" t="str">
        <f t="shared" si="1"/>
        <v>2024-09</v>
      </c>
      <c r="I757" s="271" t="str">
        <f>IFERROR(__xludf.DUMMYFUNCTION("""COMPUTED_VALUE"""),"貓狗企鵝")</f>
        <v>貓狗企鵝</v>
      </c>
      <c r="J757" t="str">
        <f>IFERROR(__xludf.DUMMYFUNCTION("IFS(
  AND(REGEXMATCH(E757, ""台銀籌備帳戶|玉山帳戶""), REGEXMATCH(C757, ""薪資"")), ""分潤支出"",
  AND(REGEXMATCH(E757, ""Ben帳戶|Elsa帳戶|Ben代墊|Ariel代墊|中信銀行共用""), REGEXMATCH(F757, ""Ben帳戶|Elsa帳戶|Ben代墊|Ariel代墊|中信銀行共用"")), ""內部轉帳(忽略)"",
  AND(E757&lt;&gt;"""", F757&lt;&gt;"""", NOT(REG"&amp;"EXMATCH(C757, ""薪資""))), ""內部轉帳(忽略)"",
  REGEXMATCH(C757, ""薪資""), ""薪資變動(不計入)"",
  REGEXMATCH(C757, ""押金""), ""押金往來"",
  AND(E757&lt;&gt;"""", F757=""""), ""真實支出"",
  AND(E757="""", F757&lt;&gt;""""), ""真實收入"",
  TRUE, ""其他""
)"),"押金往來")</f>
        <v>押金往來</v>
      </c>
      <c r="K757">
        <f t="shared" si="2"/>
        <v>0</v>
      </c>
      <c r="L757">
        <f t="shared" si="3"/>
        <v>0</v>
      </c>
    </row>
    <row r="758">
      <c r="A758" s="107">
        <f>IFERROR(__xludf.DUMMYFUNCTION("""COMPUTED_VALUE"""),45544.0)</f>
        <v>45544</v>
      </c>
      <c r="B758" t="str">
        <f>IFERROR(__xludf.DUMMYFUNCTION("""COMPUTED_VALUE"""),"出勤時間(內湖區)")</f>
        <v>出勤時間(內湖區)</v>
      </c>
      <c r="C758" t="str">
        <f>IFERROR(__xludf.DUMMYFUNCTION("""COMPUTED_VALUE"""),"成本 - 出勤費")</f>
        <v>成本 - 出勤費</v>
      </c>
      <c r="D758" s="270">
        <f>IFERROR(__xludf.DUMMYFUNCTION("""COMPUTED_VALUE"""),-1200.0)</f>
        <v>-1200</v>
      </c>
      <c r="E758" t="str">
        <f>IFERROR(__xludf.DUMMYFUNCTION("""COMPUTED_VALUE"""),"Ben帳戶")</f>
        <v>Ben帳戶</v>
      </c>
      <c r="G758" t="str">
        <f>IFERROR(__xludf.DUMMYFUNCTION("""COMPUTED_VALUE"""),"金龍帽子先生")</f>
        <v>金龍帽子先生</v>
      </c>
      <c r="H758" s="106" t="str">
        <f t="shared" si="1"/>
        <v>2024-09</v>
      </c>
      <c r="I758" s="271" t="str">
        <f>IFERROR(__xludf.DUMMYFUNCTION("""COMPUTED_VALUE"""),"貓狗企鵝")</f>
        <v>貓狗企鵝</v>
      </c>
      <c r="J758" t="str">
        <f>IFERROR(__xludf.DUMMYFUNCTION("IFS(
  AND(REGEXMATCH(E758, ""台銀籌備帳戶|玉山帳戶""), REGEXMATCH(C758, ""薪資"")), ""分潤支出"",
  AND(REGEXMATCH(E758, ""Ben帳戶|Elsa帳戶|Ben代墊|Ariel代墊|中信銀行共用""), REGEXMATCH(F758, ""Ben帳戶|Elsa帳戶|Ben代墊|Ariel代墊|中信銀行共用"")), ""內部轉帳(忽略)"",
  AND(E758&lt;&gt;"""", F758&lt;&gt;"""", NOT(REG"&amp;"EXMATCH(C758, ""薪資""))), ""內部轉帳(忽略)"",
  REGEXMATCH(C758, ""薪資""), ""薪資變動(不計入)"",
  REGEXMATCH(C758, ""押金""), ""押金往來"",
  AND(E758&lt;&gt;"""", F758=""""), ""真實支出"",
  AND(E758="""", F758&lt;&gt;""""), ""真實收入"",
  TRUE, ""其他""
)"),"真實支出")</f>
        <v>真實支出</v>
      </c>
      <c r="K758" s="270">
        <f t="shared" si="2"/>
        <v>-1200</v>
      </c>
      <c r="L758">
        <f t="shared" si="3"/>
        <v>0</v>
      </c>
    </row>
    <row r="759">
      <c r="A759" s="107">
        <f>IFERROR(__xludf.DUMMYFUNCTION("""COMPUTED_VALUE"""),45544.0)</f>
        <v>45544</v>
      </c>
      <c r="B759" t="str">
        <f>IFERROR(__xludf.DUMMYFUNCTION("""COMPUTED_VALUE"""),"北都費用(內湖區)")</f>
        <v>北都費用(內湖區)</v>
      </c>
      <c r="C759" t="str">
        <f>IFERROR(__xludf.DUMMYFUNCTION("""COMPUTED_VALUE"""),"成本 - 進場前裝潢費")</f>
        <v>成本 - 進場前裝潢費</v>
      </c>
      <c r="D759" s="270">
        <f>IFERROR(__xludf.DUMMYFUNCTION("""COMPUTED_VALUE"""),-4100.0)</f>
        <v>-4100</v>
      </c>
      <c r="E759" t="str">
        <f>IFERROR(__xludf.DUMMYFUNCTION("""COMPUTED_VALUE"""),"Ben帳戶")</f>
        <v>Ben帳戶</v>
      </c>
      <c r="G759" t="str">
        <f>IFERROR(__xludf.DUMMYFUNCTION("""COMPUTED_VALUE"""),"金龍帽子先生")</f>
        <v>金龍帽子先生</v>
      </c>
      <c r="H759" s="106" t="str">
        <f t="shared" si="1"/>
        <v>2024-09</v>
      </c>
      <c r="I759" s="271" t="str">
        <f>IFERROR(__xludf.DUMMYFUNCTION("""COMPUTED_VALUE"""),"貓狗企鵝")</f>
        <v>貓狗企鵝</v>
      </c>
      <c r="J759" t="str">
        <f>IFERROR(__xludf.DUMMYFUNCTION("IFS(
  AND(REGEXMATCH(E759, ""台銀籌備帳戶|玉山帳戶""), REGEXMATCH(C759, ""薪資"")), ""分潤支出"",
  AND(REGEXMATCH(E759, ""Ben帳戶|Elsa帳戶|Ben代墊|Ariel代墊|中信銀行共用""), REGEXMATCH(F759, ""Ben帳戶|Elsa帳戶|Ben代墊|Ariel代墊|中信銀行共用"")), ""內部轉帳(忽略)"",
  AND(E759&lt;&gt;"""", F759&lt;&gt;"""", NOT(REG"&amp;"EXMATCH(C759, ""薪資""))), ""內部轉帳(忽略)"",
  REGEXMATCH(C759, ""薪資""), ""薪資變動(不計入)"",
  REGEXMATCH(C759, ""押金""), ""押金往來"",
  AND(E759&lt;&gt;"""", F759=""""), ""真實支出"",
  AND(E759="""", F759&lt;&gt;""""), ""真實收入"",
  TRUE, ""其他""
)"),"真實支出")</f>
        <v>真實支出</v>
      </c>
      <c r="K759" s="270">
        <f t="shared" si="2"/>
        <v>-4100</v>
      </c>
      <c r="L759">
        <f t="shared" si="3"/>
        <v>0</v>
      </c>
    </row>
    <row r="760">
      <c r="A760" s="107">
        <f>IFERROR(__xludf.DUMMYFUNCTION("""COMPUTED_VALUE"""),45544.0)</f>
        <v>45544</v>
      </c>
      <c r="B760" t="str">
        <f>IFERROR(__xludf.DUMMYFUNCTION("""COMPUTED_VALUE"""),"門把滅火器等費用(內湖區)")</f>
        <v>門把滅火器等費用(內湖區)</v>
      </c>
      <c r="C760" t="str">
        <f>IFERROR(__xludf.DUMMYFUNCTION("""COMPUTED_VALUE"""),"成本 - 進場前裝潢費")</f>
        <v>成本 - 進場前裝潢費</v>
      </c>
      <c r="D760" s="270">
        <f>IFERROR(__xludf.DUMMYFUNCTION("""COMPUTED_VALUE"""),-2300.0)</f>
        <v>-2300</v>
      </c>
      <c r="E760" t="str">
        <f>IFERROR(__xludf.DUMMYFUNCTION("""COMPUTED_VALUE"""),"Ben帳戶")</f>
        <v>Ben帳戶</v>
      </c>
      <c r="G760" t="str">
        <f>IFERROR(__xludf.DUMMYFUNCTION("""COMPUTED_VALUE"""),"金龍帽子先生")</f>
        <v>金龍帽子先生</v>
      </c>
      <c r="H760" s="106" t="str">
        <f t="shared" si="1"/>
        <v>2024-09</v>
      </c>
      <c r="I760" s="271" t="str">
        <f>IFERROR(__xludf.DUMMYFUNCTION("""COMPUTED_VALUE"""),"貓狗企鵝")</f>
        <v>貓狗企鵝</v>
      </c>
      <c r="J760" t="str">
        <f>IFERROR(__xludf.DUMMYFUNCTION("IFS(
  AND(REGEXMATCH(E760, ""台銀籌備帳戶|玉山帳戶""), REGEXMATCH(C760, ""薪資"")), ""分潤支出"",
  AND(REGEXMATCH(E760, ""Ben帳戶|Elsa帳戶|Ben代墊|Ariel代墊|中信銀行共用""), REGEXMATCH(F760, ""Ben帳戶|Elsa帳戶|Ben代墊|Ariel代墊|中信銀行共用"")), ""內部轉帳(忽略)"",
  AND(E760&lt;&gt;"""", F760&lt;&gt;"""", NOT(REG"&amp;"EXMATCH(C760, ""薪資""))), ""內部轉帳(忽略)"",
  REGEXMATCH(C760, ""薪資""), ""薪資變動(不計入)"",
  REGEXMATCH(C760, ""押金""), ""押金往來"",
  AND(E760&lt;&gt;"""", F760=""""), ""真實支出"",
  AND(E760="""", F760&lt;&gt;""""), ""真實收入"",
  TRUE, ""其他""
)"),"真實支出")</f>
        <v>真實支出</v>
      </c>
      <c r="K760" s="270">
        <f t="shared" si="2"/>
        <v>-2300</v>
      </c>
      <c r="L760">
        <f t="shared" si="3"/>
        <v>0</v>
      </c>
    </row>
    <row r="761">
      <c r="A761" s="107">
        <f>IFERROR(__xludf.DUMMYFUNCTION("""COMPUTED_VALUE"""),45545.0)</f>
        <v>45545</v>
      </c>
      <c r="B761" t="str">
        <f>IFERROR(__xludf.DUMMYFUNCTION("""COMPUTED_VALUE"""),"運費")</f>
        <v>運費</v>
      </c>
      <c r="C761" t="str">
        <f>IFERROR(__xludf.DUMMYFUNCTION("""COMPUTED_VALUE"""),"成本 - 進場前裝潢費")</f>
        <v>成本 - 進場前裝潢費</v>
      </c>
      <c r="D761" s="270">
        <f>IFERROR(__xludf.DUMMYFUNCTION("""COMPUTED_VALUE"""),-5094.0)</f>
        <v>-5094</v>
      </c>
      <c r="E761" t="str">
        <f>IFERROR(__xludf.DUMMYFUNCTION("""COMPUTED_VALUE"""),"Ben帳戶")</f>
        <v>Ben帳戶</v>
      </c>
      <c r="G761" t="str">
        <f>IFERROR(__xludf.DUMMYFUNCTION("""COMPUTED_VALUE"""),"金龍帽子先生")</f>
        <v>金龍帽子先生</v>
      </c>
      <c r="H761" s="106" t="str">
        <f t="shared" si="1"/>
        <v>2024-09</v>
      </c>
      <c r="I761" s="271" t="str">
        <f>IFERROR(__xludf.DUMMYFUNCTION("""COMPUTED_VALUE"""),"貓狗企鵝")</f>
        <v>貓狗企鵝</v>
      </c>
      <c r="J761" t="str">
        <f>IFERROR(__xludf.DUMMYFUNCTION("IFS(
  AND(REGEXMATCH(E761, ""台銀籌備帳戶|玉山帳戶""), REGEXMATCH(C761, ""薪資"")), ""分潤支出"",
  AND(REGEXMATCH(E761, ""Ben帳戶|Elsa帳戶|Ben代墊|Ariel代墊|中信銀行共用""), REGEXMATCH(F761, ""Ben帳戶|Elsa帳戶|Ben代墊|Ariel代墊|中信銀行共用"")), ""內部轉帳(忽略)"",
  AND(E761&lt;&gt;"""", F761&lt;&gt;"""", NOT(REG"&amp;"EXMATCH(C761, ""薪資""))), ""內部轉帳(忽略)"",
  REGEXMATCH(C761, ""薪資""), ""薪資變動(不計入)"",
  REGEXMATCH(C761, ""押金""), ""押金往來"",
  AND(E761&lt;&gt;"""", F761=""""), ""真實支出"",
  AND(E761="""", F761&lt;&gt;""""), ""真實收入"",
  TRUE, ""其他""
)"),"真實支出")</f>
        <v>真實支出</v>
      </c>
      <c r="K761" s="270">
        <f t="shared" si="2"/>
        <v>-5094</v>
      </c>
      <c r="L761">
        <f t="shared" si="3"/>
        <v>0</v>
      </c>
    </row>
    <row r="762">
      <c r="A762" s="107">
        <f>IFERROR(__xludf.DUMMYFUNCTION("""COMPUTED_VALUE"""),45545.0)</f>
        <v>45545</v>
      </c>
      <c r="B762" t="str">
        <f>IFERROR(__xludf.DUMMYFUNCTION("""COMPUTED_VALUE"""),"景安2分鐘 打鑰匙")</f>
        <v>景安2分鐘 打鑰匙</v>
      </c>
      <c r="C762" t="str">
        <f>IFERROR(__xludf.DUMMYFUNCTION("""COMPUTED_VALUE"""),"成本 - 進場前裝潢費")</f>
        <v>成本 - 進場前裝潢費</v>
      </c>
      <c r="D762" s="270">
        <f>IFERROR(__xludf.DUMMYFUNCTION("""COMPUTED_VALUE"""),-2700.0)</f>
        <v>-2700</v>
      </c>
      <c r="E762" t="str">
        <f>IFERROR(__xludf.DUMMYFUNCTION("""COMPUTED_VALUE"""),"Ben帳戶")</f>
        <v>Ben帳戶</v>
      </c>
      <c r="G762" t="str">
        <f>IFERROR(__xludf.DUMMYFUNCTION("""COMPUTED_VALUE"""),"景安2分鐘")</f>
        <v>景安2分鐘</v>
      </c>
      <c r="H762" s="106" t="str">
        <f t="shared" si="1"/>
        <v>2024-09</v>
      </c>
      <c r="I762" s="271" t="str">
        <f>IFERROR(__xludf.DUMMYFUNCTION("""COMPUTED_VALUE"""),"貓狗企鵝")</f>
        <v>貓狗企鵝</v>
      </c>
      <c r="J762" t="str">
        <f>IFERROR(__xludf.DUMMYFUNCTION("IFS(
  AND(REGEXMATCH(E762, ""台銀籌備帳戶|玉山帳戶""), REGEXMATCH(C762, ""薪資"")), ""分潤支出"",
  AND(REGEXMATCH(E762, ""Ben帳戶|Elsa帳戶|Ben代墊|Ariel代墊|中信銀行共用""), REGEXMATCH(F762, ""Ben帳戶|Elsa帳戶|Ben代墊|Ariel代墊|中信銀行共用"")), ""內部轉帳(忽略)"",
  AND(E762&lt;&gt;"""", F762&lt;&gt;"""", NOT(REG"&amp;"EXMATCH(C762, ""薪資""))), ""內部轉帳(忽略)"",
  REGEXMATCH(C762, ""薪資""), ""薪資變動(不計入)"",
  REGEXMATCH(C762, ""押金""), ""押金往來"",
  AND(E762&lt;&gt;"""", F762=""""), ""真實支出"",
  AND(E762="""", F762&lt;&gt;""""), ""真實收入"",
  TRUE, ""其他""
)"),"真實支出")</f>
        <v>真實支出</v>
      </c>
      <c r="K762" s="270">
        <f t="shared" si="2"/>
        <v>-2700</v>
      </c>
      <c r="L762">
        <f t="shared" si="3"/>
        <v>0</v>
      </c>
    </row>
    <row r="763">
      <c r="A763" s="107">
        <f>IFERROR(__xludf.DUMMYFUNCTION("""COMPUTED_VALUE"""),45545.0)</f>
        <v>45545</v>
      </c>
      <c r="B763" t="str">
        <f>IFERROR(__xludf.DUMMYFUNCTION("""COMPUTED_VALUE"""),"JOYA LED")</f>
        <v>JOYA LED</v>
      </c>
      <c r="C763" t="str">
        <f>IFERROR(__xludf.DUMMYFUNCTION("""COMPUTED_VALUE"""),"成本 - 進場前裝潢費")</f>
        <v>成本 - 進場前裝潢費</v>
      </c>
      <c r="D763" s="270">
        <f>IFERROR(__xludf.DUMMYFUNCTION("""COMPUTED_VALUE"""),-4508.0)</f>
        <v>-4508</v>
      </c>
      <c r="E763" t="str">
        <f>IFERROR(__xludf.DUMMYFUNCTION("""COMPUTED_VALUE"""),"Elsa帳戶")</f>
        <v>Elsa帳戶</v>
      </c>
      <c r="G763" t="str">
        <f>IFERROR(__xludf.DUMMYFUNCTION("""COMPUTED_VALUE"""),"景安2分鐘")</f>
        <v>景安2分鐘</v>
      </c>
      <c r="H763" s="106" t="str">
        <f t="shared" si="1"/>
        <v>2024-09</v>
      </c>
      <c r="I763" s="271" t="str">
        <f>IFERROR(__xludf.DUMMYFUNCTION("""COMPUTED_VALUE"""),"貓狗企鵝")</f>
        <v>貓狗企鵝</v>
      </c>
      <c r="J763" t="str">
        <f>IFERROR(__xludf.DUMMYFUNCTION("IFS(
  AND(REGEXMATCH(E763, ""台銀籌備帳戶|玉山帳戶""), REGEXMATCH(C763, ""薪資"")), ""分潤支出"",
  AND(REGEXMATCH(E763, ""Ben帳戶|Elsa帳戶|Ben代墊|Ariel代墊|中信銀行共用""), REGEXMATCH(F763, ""Ben帳戶|Elsa帳戶|Ben代墊|Ariel代墊|中信銀行共用"")), ""內部轉帳(忽略)"",
  AND(E763&lt;&gt;"""", F763&lt;&gt;"""", NOT(REG"&amp;"EXMATCH(C763, ""薪資""))), ""內部轉帳(忽略)"",
  REGEXMATCH(C763, ""薪資""), ""薪資變動(不計入)"",
  REGEXMATCH(C763, ""押金""), ""押金往來"",
  AND(E763&lt;&gt;"""", F763=""""), ""真實支出"",
  AND(E763="""", F763&lt;&gt;""""), ""真實收入"",
  TRUE, ""其他""
)"),"真實支出")</f>
        <v>真實支出</v>
      </c>
      <c r="K763" s="270">
        <f t="shared" si="2"/>
        <v>-4508</v>
      </c>
      <c r="L763">
        <f t="shared" si="3"/>
        <v>0</v>
      </c>
    </row>
    <row r="764">
      <c r="A764" s="107">
        <f>IFERROR(__xludf.DUMMYFUNCTION("""COMPUTED_VALUE"""),45545.0)</f>
        <v>45545</v>
      </c>
      <c r="B764" t="str">
        <f>IFERROR(__xludf.DUMMYFUNCTION("""COMPUTED_VALUE"""),"北醫 抽油煙機濾網*1")</f>
        <v>北醫 抽油煙機濾網*1</v>
      </c>
      <c r="C764" t="str">
        <f>IFERROR(__xludf.DUMMYFUNCTION("""COMPUTED_VALUE"""),"成本 - 租後修繕")</f>
        <v>成本 - 租後修繕</v>
      </c>
      <c r="D764" s="270">
        <f>IFERROR(__xludf.DUMMYFUNCTION("""COMPUTED_VALUE"""),-130.0)</f>
        <v>-130</v>
      </c>
      <c r="E764" t="str">
        <f>IFERROR(__xludf.DUMMYFUNCTION("""COMPUTED_VALUE"""),"Elsa帳戶")</f>
        <v>Elsa帳戶</v>
      </c>
      <c r="G764" t="str">
        <f>IFERROR(__xludf.DUMMYFUNCTION("""COMPUTED_VALUE"""),"北醫醫師府")</f>
        <v>北醫醫師府</v>
      </c>
      <c r="H764" s="106" t="str">
        <f t="shared" si="1"/>
        <v>2024-09</v>
      </c>
      <c r="I764" s="271" t="str">
        <f>IFERROR(__xludf.DUMMYFUNCTION("""COMPUTED_VALUE"""),"貓狗企鵝")</f>
        <v>貓狗企鵝</v>
      </c>
      <c r="J764" t="str">
        <f>IFERROR(__xludf.DUMMYFUNCTION("IFS(
  AND(REGEXMATCH(E764, ""台銀籌備帳戶|玉山帳戶""), REGEXMATCH(C764, ""薪資"")), ""分潤支出"",
  AND(REGEXMATCH(E764, ""Ben帳戶|Elsa帳戶|Ben代墊|Ariel代墊|中信銀行共用""), REGEXMATCH(F764, ""Ben帳戶|Elsa帳戶|Ben代墊|Ariel代墊|中信銀行共用"")), ""內部轉帳(忽略)"",
  AND(E764&lt;&gt;"""", F764&lt;&gt;"""", NOT(REG"&amp;"EXMATCH(C764, ""薪資""))), ""內部轉帳(忽略)"",
  REGEXMATCH(C764, ""薪資""), ""薪資變動(不計入)"",
  REGEXMATCH(C764, ""押金""), ""押金往來"",
  AND(E764&lt;&gt;"""", F764=""""), ""真實支出"",
  AND(E764="""", F764&lt;&gt;""""), ""真實收入"",
  TRUE, ""其他""
)"),"真實支出")</f>
        <v>真實支出</v>
      </c>
      <c r="K764" s="270">
        <f t="shared" si="2"/>
        <v>-130</v>
      </c>
      <c r="L764">
        <f t="shared" si="3"/>
        <v>0</v>
      </c>
    </row>
    <row r="765">
      <c r="A765" s="107">
        <f>IFERROR(__xludf.DUMMYFUNCTION("""COMPUTED_VALUE"""),45545.0)</f>
        <v>45545</v>
      </c>
      <c r="B765" t="str">
        <f>IFERROR(__xludf.DUMMYFUNCTION("""COMPUTED_VALUE"""),"小玉搬運")</f>
        <v>小玉搬運</v>
      </c>
      <c r="C765" t="str">
        <f>IFERROR(__xludf.DUMMYFUNCTION("""COMPUTED_VALUE"""),"成本 - 進場前裝潢費")</f>
        <v>成本 - 進場前裝潢費</v>
      </c>
      <c r="D765" s="270">
        <f>IFERROR(__xludf.DUMMYFUNCTION("""COMPUTED_VALUE"""),-1115.0)</f>
        <v>-1115</v>
      </c>
      <c r="E765" t="str">
        <f>IFERROR(__xludf.DUMMYFUNCTION("""COMPUTED_VALUE"""),"台銀籌備帳戶")</f>
        <v>台銀籌備帳戶</v>
      </c>
      <c r="G765" t="str">
        <f>IFERROR(__xludf.DUMMYFUNCTION("""COMPUTED_VALUE"""),"景安2分鐘")</f>
        <v>景安2分鐘</v>
      </c>
      <c r="H765" s="106" t="str">
        <f t="shared" si="1"/>
        <v>2024-09</v>
      </c>
      <c r="I765" s="271" t="str">
        <f>IFERROR(__xludf.DUMMYFUNCTION("""COMPUTED_VALUE"""),"貓狗企鵝")</f>
        <v>貓狗企鵝</v>
      </c>
      <c r="J765" t="str">
        <f>IFERROR(__xludf.DUMMYFUNCTION("IFS(
  AND(REGEXMATCH(E765, ""台銀籌備帳戶|玉山帳戶""), REGEXMATCH(C765, ""薪資"")), ""分潤支出"",
  AND(REGEXMATCH(E765, ""Ben帳戶|Elsa帳戶|Ben代墊|Ariel代墊|中信銀行共用""), REGEXMATCH(F765, ""Ben帳戶|Elsa帳戶|Ben代墊|Ariel代墊|中信銀行共用"")), ""內部轉帳(忽略)"",
  AND(E765&lt;&gt;"""", F765&lt;&gt;"""", NOT(REG"&amp;"EXMATCH(C765, ""薪資""))), ""內部轉帳(忽略)"",
  REGEXMATCH(C765, ""薪資""), ""薪資變動(不計入)"",
  REGEXMATCH(C765, ""押金""), ""押金往來"",
  AND(E765&lt;&gt;"""", F765=""""), ""真實支出"",
  AND(E765="""", F765&lt;&gt;""""), ""真實收入"",
  TRUE, ""其他""
)"),"真實支出")</f>
        <v>真實支出</v>
      </c>
      <c r="K765" s="270">
        <f t="shared" si="2"/>
        <v>-1115</v>
      </c>
      <c r="L765">
        <f t="shared" si="3"/>
        <v>0</v>
      </c>
    </row>
    <row r="766">
      <c r="A766" s="107">
        <f>IFERROR(__xludf.DUMMYFUNCTION("""COMPUTED_VALUE"""),45546.0)</f>
        <v>45546</v>
      </c>
      <c r="B766" t="str">
        <f>IFERROR(__xludf.DUMMYFUNCTION("""COMPUTED_VALUE"""),"出勤時間(景安區)")</f>
        <v>出勤時間(景安區)</v>
      </c>
      <c r="C766" t="str">
        <f>IFERROR(__xludf.DUMMYFUNCTION("""COMPUTED_VALUE"""),"成本 - 出勤費")</f>
        <v>成本 - 出勤費</v>
      </c>
      <c r="D766" s="270">
        <f>IFERROR(__xludf.DUMMYFUNCTION("""COMPUTED_VALUE"""),-1000.0)</f>
        <v>-1000</v>
      </c>
      <c r="E766" t="str">
        <f>IFERROR(__xludf.DUMMYFUNCTION("""COMPUTED_VALUE"""),"Ben帳戶")</f>
        <v>Ben帳戶</v>
      </c>
      <c r="G766" t="str">
        <f>IFERROR(__xludf.DUMMYFUNCTION("""COMPUTED_VALUE"""),"景安2分鐘")</f>
        <v>景安2分鐘</v>
      </c>
      <c r="H766" s="106" t="str">
        <f t="shared" si="1"/>
        <v>2024-09</v>
      </c>
      <c r="I766" s="271" t="str">
        <f>IFERROR(__xludf.DUMMYFUNCTION("""COMPUTED_VALUE"""),"貓狗企鵝")</f>
        <v>貓狗企鵝</v>
      </c>
      <c r="J766" t="str">
        <f>IFERROR(__xludf.DUMMYFUNCTION("IFS(
  AND(REGEXMATCH(E766, ""台銀籌備帳戶|玉山帳戶""), REGEXMATCH(C766, ""薪資"")), ""分潤支出"",
  AND(REGEXMATCH(E766, ""Ben帳戶|Elsa帳戶|Ben代墊|Ariel代墊|中信銀行共用""), REGEXMATCH(F766, ""Ben帳戶|Elsa帳戶|Ben代墊|Ariel代墊|中信銀行共用"")), ""內部轉帳(忽略)"",
  AND(E766&lt;&gt;"""", F766&lt;&gt;"""", NOT(REG"&amp;"EXMATCH(C766, ""薪資""))), ""內部轉帳(忽略)"",
  REGEXMATCH(C766, ""薪資""), ""薪資變動(不計入)"",
  REGEXMATCH(C766, ""押金""), ""押金往來"",
  AND(E766&lt;&gt;"""", F766=""""), ""真實支出"",
  AND(E766="""", F766&lt;&gt;""""), ""真實收入"",
  TRUE, ""其他""
)"),"真實支出")</f>
        <v>真實支出</v>
      </c>
      <c r="K766" s="270">
        <f t="shared" si="2"/>
        <v>-1000</v>
      </c>
      <c r="L766">
        <f t="shared" si="3"/>
        <v>0</v>
      </c>
    </row>
    <row r="767">
      <c r="A767" s="107">
        <f>IFERROR(__xludf.DUMMYFUNCTION("""COMPUTED_VALUE"""),45547.0)</f>
        <v>45547</v>
      </c>
      <c r="B767" t="str">
        <f>IFERROR(__xludf.DUMMYFUNCTION("""COMPUTED_VALUE"""),"***查無此帳號***89790***")</f>
        <v>***查無此帳號***89790***</v>
      </c>
      <c r="D767" s="270">
        <f>IFERROR(__xludf.DUMMYFUNCTION("""COMPUTED_VALUE"""),302.0)</f>
        <v>302</v>
      </c>
      <c r="F767" t="str">
        <f>IFERROR(__xludf.DUMMYFUNCTION("""COMPUTED_VALUE"""),"台銀籌備帳戶")</f>
        <v>台銀籌備帳戶</v>
      </c>
      <c r="H767" s="106" t="str">
        <f t="shared" si="1"/>
        <v>2024-09</v>
      </c>
      <c r="I767" s="271" t="str">
        <f>IFERROR(__xludf.DUMMYFUNCTION("""COMPUTED_VALUE"""),"貓狗企鵝")</f>
        <v>貓狗企鵝</v>
      </c>
      <c r="J767" t="str">
        <f>IFERROR(__xludf.DUMMYFUNCTION("IFS(
  AND(REGEXMATCH(E767, ""台銀籌備帳戶|玉山帳戶""), REGEXMATCH(C767, ""薪資"")), ""分潤支出"",
  AND(REGEXMATCH(E767, ""Ben帳戶|Elsa帳戶|Ben代墊|Ariel代墊|中信銀行共用""), REGEXMATCH(F767, ""Ben帳戶|Elsa帳戶|Ben代墊|Ariel代墊|中信銀行共用"")), ""內部轉帳(忽略)"",
  AND(E767&lt;&gt;"""", F767&lt;&gt;"""", NOT(REG"&amp;"EXMATCH(C767, ""薪資""))), ""內部轉帳(忽略)"",
  REGEXMATCH(C767, ""薪資""), ""薪資變動(不計入)"",
  REGEXMATCH(C767, ""押金""), ""押金往來"",
  AND(E767&lt;&gt;"""", F767=""""), ""真實支出"",
  AND(E767="""", F767&lt;&gt;""""), ""真實收入"",
  TRUE, ""其他""
)"),"真實收入")</f>
        <v>真實收入</v>
      </c>
      <c r="K767" s="270">
        <f t="shared" si="2"/>
        <v>302</v>
      </c>
      <c r="L767">
        <f t="shared" si="3"/>
        <v>0</v>
      </c>
    </row>
    <row r="768">
      <c r="A768" s="107">
        <f>IFERROR(__xludf.DUMMYFUNCTION("""COMPUTED_VALUE"""),45547.0)</f>
        <v>45547</v>
      </c>
      <c r="B768" t="str">
        <f>IFERROR(__xludf.DUMMYFUNCTION("""COMPUTED_VALUE"""),"帽子先生清潔")</f>
        <v>帽子先生清潔</v>
      </c>
      <c r="C768" t="str">
        <f>IFERROR(__xludf.DUMMYFUNCTION("""COMPUTED_VALUE"""),"成本 - 進場前裝潢費")</f>
        <v>成本 - 進場前裝潢費</v>
      </c>
      <c r="D768" s="270">
        <f>IFERROR(__xludf.DUMMYFUNCTION("""COMPUTED_VALUE"""),-7181.0)</f>
        <v>-7181</v>
      </c>
      <c r="E768" t="str">
        <f>IFERROR(__xludf.DUMMYFUNCTION("""COMPUTED_VALUE"""),"台銀籌備帳戶")</f>
        <v>台銀籌備帳戶</v>
      </c>
      <c r="G768" t="str">
        <f>IFERROR(__xludf.DUMMYFUNCTION("""COMPUTED_VALUE"""),"金龍帽子先生")</f>
        <v>金龍帽子先生</v>
      </c>
      <c r="H768" s="106" t="str">
        <f t="shared" si="1"/>
        <v>2024-09</v>
      </c>
      <c r="I768" s="271" t="str">
        <f>IFERROR(__xludf.DUMMYFUNCTION("""COMPUTED_VALUE"""),"貓狗企鵝")</f>
        <v>貓狗企鵝</v>
      </c>
      <c r="J768" t="str">
        <f>IFERROR(__xludf.DUMMYFUNCTION("IFS(
  AND(REGEXMATCH(E768, ""台銀籌備帳戶|玉山帳戶""), REGEXMATCH(C768, ""薪資"")), ""分潤支出"",
  AND(REGEXMATCH(E768, ""Ben帳戶|Elsa帳戶|Ben代墊|Ariel代墊|中信銀行共用""), REGEXMATCH(F768, ""Ben帳戶|Elsa帳戶|Ben代墊|Ariel代墊|中信銀行共用"")), ""內部轉帳(忽略)"",
  AND(E768&lt;&gt;"""", F768&lt;&gt;"""", NOT(REG"&amp;"EXMATCH(C768, ""薪資""))), ""內部轉帳(忽略)"",
  REGEXMATCH(C768, ""薪資""), ""薪資變動(不計入)"",
  REGEXMATCH(C768, ""押金""), ""押金往來"",
  AND(E768&lt;&gt;"""", F768=""""), ""真實支出"",
  AND(E768="""", F768&lt;&gt;""""), ""真實收入"",
  TRUE, ""其他""
)"),"真實支出")</f>
        <v>真實支出</v>
      </c>
      <c r="K768" s="270">
        <f t="shared" si="2"/>
        <v>-7181</v>
      </c>
      <c r="L768">
        <f t="shared" si="3"/>
        <v>0</v>
      </c>
    </row>
    <row r="769">
      <c r="A769" s="107">
        <f>IFERROR(__xludf.DUMMYFUNCTION("""COMPUTED_VALUE"""),45547.0)</f>
        <v>45547</v>
      </c>
      <c r="B769" t="str">
        <f>IFERROR(__xludf.DUMMYFUNCTION("""COMPUTED_VALUE"""),"出勤時間(景安區)")</f>
        <v>出勤時間(景安區)</v>
      </c>
      <c r="C769" t="str">
        <f>IFERROR(__xludf.DUMMYFUNCTION("""COMPUTED_VALUE"""),"成本 - 出勤費")</f>
        <v>成本 - 出勤費</v>
      </c>
      <c r="D769" s="270">
        <f>IFERROR(__xludf.DUMMYFUNCTION("""COMPUTED_VALUE"""),-400.0)</f>
        <v>-400</v>
      </c>
      <c r="E769" t="str">
        <f>IFERROR(__xludf.DUMMYFUNCTION("""COMPUTED_VALUE"""),"Ben帳戶")</f>
        <v>Ben帳戶</v>
      </c>
      <c r="G769" t="str">
        <f>IFERROR(__xludf.DUMMYFUNCTION("""COMPUTED_VALUE"""),"景安2分鐘")</f>
        <v>景安2分鐘</v>
      </c>
      <c r="H769" s="106" t="str">
        <f t="shared" si="1"/>
        <v>2024-09</v>
      </c>
      <c r="I769" s="271" t="str">
        <f>IFERROR(__xludf.DUMMYFUNCTION("""COMPUTED_VALUE"""),"貓狗企鵝")</f>
        <v>貓狗企鵝</v>
      </c>
      <c r="J769" t="str">
        <f>IFERROR(__xludf.DUMMYFUNCTION("IFS(
  AND(REGEXMATCH(E769, ""台銀籌備帳戶|玉山帳戶""), REGEXMATCH(C769, ""薪資"")), ""分潤支出"",
  AND(REGEXMATCH(E769, ""Ben帳戶|Elsa帳戶|Ben代墊|Ariel代墊|中信銀行共用""), REGEXMATCH(F769, ""Ben帳戶|Elsa帳戶|Ben代墊|Ariel代墊|中信銀行共用"")), ""內部轉帳(忽略)"",
  AND(E769&lt;&gt;"""", F769&lt;&gt;"""", NOT(REG"&amp;"EXMATCH(C769, ""薪資""))), ""內部轉帳(忽略)"",
  REGEXMATCH(C769, ""薪資""), ""薪資變動(不計入)"",
  REGEXMATCH(C769, ""押金""), ""押金往來"",
  AND(E769&lt;&gt;"""", F769=""""), ""真實支出"",
  AND(E769="""", F769&lt;&gt;""""), ""真實收入"",
  TRUE, ""其他""
)"),"真實支出")</f>
        <v>真實支出</v>
      </c>
      <c r="K769" s="270">
        <f t="shared" si="2"/>
        <v>-400</v>
      </c>
      <c r="L769">
        <f t="shared" si="3"/>
        <v>0</v>
      </c>
    </row>
    <row r="770">
      <c r="A770" s="107">
        <f>IFERROR(__xludf.DUMMYFUNCTION("""COMPUTED_VALUE"""),45547.0)</f>
        <v>45547</v>
      </c>
      <c r="B770" t="str">
        <f>IFERROR(__xludf.DUMMYFUNCTION("""COMPUTED_VALUE"""),"妥妥租印章費用")</f>
        <v>妥妥租印章費用</v>
      </c>
      <c r="C770" t="str">
        <f>IFERROR(__xludf.DUMMYFUNCTION("""COMPUTED_VALUE"""),"成本 - 進場前裝潢費")</f>
        <v>成本 - 進場前裝潢費</v>
      </c>
      <c r="D770" s="270">
        <f>IFERROR(__xludf.DUMMYFUNCTION("""COMPUTED_VALUE"""),-500.0)</f>
        <v>-500</v>
      </c>
      <c r="E770" t="str">
        <f>IFERROR(__xludf.DUMMYFUNCTION("""COMPUTED_VALUE"""),"Ben帳戶")</f>
        <v>Ben帳戶</v>
      </c>
      <c r="G770" t="str">
        <f>IFERROR(__xludf.DUMMYFUNCTION("""COMPUTED_VALUE"""),"景安2分鐘")</f>
        <v>景安2分鐘</v>
      </c>
      <c r="H770" s="106" t="str">
        <f t="shared" si="1"/>
        <v>2024-09</v>
      </c>
      <c r="I770" s="271" t="str">
        <f>IFERROR(__xludf.DUMMYFUNCTION("""COMPUTED_VALUE"""),"貓狗企鵝")</f>
        <v>貓狗企鵝</v>
      </c>
      <c r="J770" t="str">
        <f>IFERROR(__xludf.DUMMYFUNCTION("IFS(
  AND(REGEXMATCH(E770, ""台銀籌備帳戶|玉山帳戶""), REGEXMATCH(C770, ""薪資"")), ""分潤支出"",
  AND(REGEXMATCH(E770, ""Ben帳戶|Elsa帳戶|Ben代墊|Ariel代墊|中信銀行共用""), REGEXMATCH(F770, ""Ben帳戶|Elsa帳戶|Ben代墊|Ariel代墊|中信銀行共用"")), ""內部轉帳(忽略)"",
  AND(E770&lt;&gt;"""", F770&lt;&gt;"""", NOT(REG"&amp;"EXMATCH(C770, ""薪資""))), ""內部轉帳(忽略)"",
  REGEXMATCH(C770, ""薪資""), ""薪資變動(不計入)"",
  REGEXMATCH(C770, ""押金""), ""押金往來"",
  AND(E770&lt;&gt;"""", F770=""""), ""真實支出"",
  AND(E770="""", F770&lt;&gt;""""), ""真實收入"",
  TRUE, ""其他""
)"),"真實支出")</f>
        <v>真實支出</v>
      </c>
      <c r="K770" s="270">
        <f t="shared" si="2"/>
        <v>-500</v>
      </c>
      <c r="L770">
        <f t="shared" si="3"/>
        <v>0</v>
      </c>
    </row>
    <row r="771">
      <c r="A771" s="107">
        <f>IFERROR(__xludf.DUMMYFUNCTION("""COMPUTED_VALUE"""),45547.0)</f>
        <v>45547</v>
      </c>
      <c r="B771" t="str">
        <f>IFERROR(__xludf.DUMMYFUNCTION("""COMPUTED_VALUE"""),"網路費用(景安區)")</f>
        <v>網路費用(景安區)</v>
      </c>
      <c r="C771" t="str">
        <f>IFERROR(__xludf.DUMMYFUNCTION("""COMPUTED_VALUE"""),"成本 - 進場前裝潢費")</f>
        <v>成本 - 進場前裝潢費</v>
      </c>
      <c r="D771" s="270">
        <f>IFERROR(__xludf.DUMMYFUNCTION("""COMPUTED_VALUE"""),-2500.0)</f>
        <v>-2500</v>
      </c>
      <c r="E771" t="str">
        <f>IFERROR(__xludf.DUMMYFUNCTION("""COMPUTED_VALUE"""),"Ben帳戶")</f>
        <v>Ben帳戶</v>
      </c>
      <c r="G771" t="str">
        <f>IFERROR(__xludf.DUMMYFUNCTION("""COMPUTED_VALUE"""),"景安2分鐘")</f>
        <v>景安2分鐘</v>
      </c>
      <c r="H771" s="106" t="str">
        <f t="shared" si="1"/>
        <v>2024-09</v>
      </c>
      <c r="I771" s="271" t="str">
        <f>IFERROR(__xludf.DUMMYFUNCTION("""COMPUTED_VALUE"""),"貓狗企鵝")</f>
        <v>貓狗企鵝</v>
      </c>
      <c r="J771" t="str">
        <f>IFERROR(__xludf.DUMMYFUNCTION("IFS(
  AND(REGEXMATCH(E771, ""台銀籌備帳戶|玉山帳戶""), REGEXMATCH(C771, ""薪資"")), ""分潤支出"",
  AND(REGEXMATCH(E771, ""Ben帳戶|Elsa帳戶|Ben代墊|Ariel代墊|中信銀行共用""), REGEXMATCH(F771, ""Ben帳戶|Elsa帳戶|Ben代墊|Ariel代墊|中信銀行共用"")), ""內部轉帳(忽略)"",
  AND(E771&lt;&gt;"""", F771&lt;&gt;"""", NOT(REG"&amp;"EXMATCH(C771, ""薪資""))), ""內部轉帳(忽略)"",
  REGEXMATCH(C771, ""薪資""), ""薪資變動(不計入)"",
  REGEXMATCH(C771, ""押金""), ""押金往來"",
  AND(E771&lt;&gt;"""", F771=""""), ""真實支出"",
  AND(E771="""", F771&lt;&gt;""""), ""真實收入"",
  TRUE, ""其他""
)"),"真實支出")</f>
        <v>真實支出</v>
      </c>
      <c r="K771" s="270">
        <f t="shared" si="2"/>
        <v>-2500</v>
      </c>
      <c r="L771">
        <f t="shared" si="3"/>
        <v>0</v>
      </c>
    </row>
    <row r="772">
      <c r="A772" s="107">
        <f>IFERROR(__xludf.DUMMYFUNCTION("""COMPUTED_VALUE"""),45548.0)</f>
        <v>45548</v>
      </c>
      <c r="B772" t="str">
        <f>IFERROR(__xludf.DUMMYFUNCTION("""COMPUTED_VALUE"""),"Momo吸塵器")</f>
        <v>Momo吸塵器</v>
      </c>
      <c r="C772" t="str">
        <f>IFERROR(__xludf.DUMMYFUNCTION("""COMPUTED_VALUE"""),"成本 - 進場前裝潢費")</f>
        <v>成本 - 進場前裝潢費</v>
      </c>
      <c r="D772" s="270">
        <f>IFERROR(__xludf.DUMMYFUNCTION("""COMPUTED_VALUE"""),-1349.0)</f>
        <v>-1349</v>
      </c>
      <c r="E772" t="str">
        <f>IFERROR(__xludf.DUMMYFUNCTION("""COMPUTED_VALUE"""),"Elsa帳戶")</f>
        <v>Elsa帳戶</v>
      </c>
      <c r="G772" t="str">
        <f>IFERROR(__xludf.DUMMYFUNCTION("""COMPUTED_VALUE"""),"金龍帽子先生")</f>
        <v>金龍帽子先生</v>
      </c>
      <c r="H772" s="106" t="str">
        <f t="shared" si="1"/>
        <v>2024-09</v>
      </c>
      <c r="I772" s="271" t="str">
        <f>IFERROR(__xludf.DUMMYFUNCTION("""COMPUTED_VALUE"""),"貓狗企鵝")</f>
        <v>貓狗企鵝</v>
      </c>
      <c r="J772" t="str">
        <f>IFERROR(__xludf.DUMMYFUNCTION("IFS(
  AND(REGEXMATCH(E772, ""台銀籌備帳戶|玉山帳戶""), REGEXMATCH(C772, ""薪資"")), ""分潤支出"",
  AND(REGEXMATCH(E772, ""Ben帳戶|Elsa帳戶|Ben代墊|Ariel代墊|中信銀行共用""), REGEXMATCH(F772, ""Ben帳戶|Elsa帳戶|Ben代墊|Ariel代墊|中信銀行共用"")), ""內部轉帳(忽略)"",
  AND(E772&lt;&gt;"""", F772&lt;&gt;"""", NOT(REG"&amp;"EXMATCH(C772, ""薪資""))), ""內部轉帳(忽略)"",
  REGEXMATCH(C772, ""薪資""), ""薪資變動(不計入)"",
  REGEXMATCH(C772, ""押金""), ""押金往來"",
  AND(E772&lt;&gt;"""", F772=""""), ""真實支出"",
  AND(E772="""", F772&lt;&gt;""""), ""真實收入"",
  TRUE, ""其他""
)"),"真實支出")</f>
        <v>真實支出</v>
      </c>
      <c r="K772" s="270">
        <f t="shared" si="2"/>
        <v>-1349</v>
      </c>
      <c r="L772">
        <f t="shared" si="3"/>
        <v>0</v>
      </c>
    </row>
    <row r="773">
      <c r="A773" s="107">
        <f>IFERROR(__xludf.DUMMYFUNCTION("""COMPUTED_VALUE"""),45548.0)</f>
        <v>45548</v>
      </c>
      <c r="B773" t="str">
        <f>IFERROR(__xludf.DUMMYFUNCTION("""COMPUTED_VALUE"""),"Momo吸塵器")</f>
        <v>Momo吸塵器</v>
      </c>
      <c r="C773" t="str">
        <f>IFERROR(__xludf.DUMMYFUNCTION("""COMPUTED_VALUE"""),"成本 - 進場前裝潢費")</f>
        <v>成本 - 進場前裝潢費</v>
      </c>
      <c r="D773" s="270">
        <f>IFERROR(__xludf.DUMMYFUNCTION("""COMPUTED_VALUE"""),-1349.0)</f>
        <v>-1349</v>
      </c>
      <c r="E773" t="str">
        <f>IFERROR(__xludf.DUMMYFUNCTION("""COMPUTED_VALUE"""),"Elsa帳戶")</f>
        <v>Elsa帳戶</v>
      </c>
      <c r="G773" t="str">
        <f>IFERROR(__xludf.DUMMYFUNCTION("""COMPUTED_VALUE"""),"景安2分鐘")</f>
        <v>景安2分鐘</v>
      </c>
      <c r="H773" s="106" t="str">
        <f t="shared" si="1"/>
        <v>2024-09</v>
      </c>
      <c r="I773" s="271" t="str">
        <f>IFERROR(__xludf.DUMMYFUNCTION("""COMPUTED_VALUE"""),"貓狗企鵝")</f>
        <v>貓狗企鵝</v>
      </c>
      <c r="J773" t="str">
        <f>IFERROR(__xludf.DUMMYFUNCTION("IFS(
  AND(REGEXMATCH(E773, ""台銀籌備帳戶|玉山帳戶""), REGEXMATCH(C773, ""薪資"")), ""分潤支出"",
  AND(REGEXMATCH(E773, ""Ben帳戶|Elsa帳戶|Ben代墊|Ariel代墊|中信銀行共用""), REGEXMATCH(F773, ""Ben帳戶|Elsa帳戶|Ben代墊|Ariel代墊|中信銀行共用"")), ""內部轉帳(忽略)"",
  AND(E773&lt;&gt;"""", F773&lt;&gt;"""", NOT(REG"&amp;"EXMATCH(C773, ""薪資""))), ""內部轉帳(忽略)"",
  REGEXMATCH(C773, ""薪資""), ""薪資變動(不計入)"",
  REGEXMATCH(C773, ""押金""), ""押金往來"",
  AND(E773&lt;&gt;"""", F773=""""), ""真實支出"",
  AND(E773="""", F773&lt;&gt;""""), ""真實收入"",
  TRUE, ""其他""
)"),"真實支出")</f>
        <v>真實支出</v>
      </c>
      <c r="K773" s="270">
        <f t="shared" si="2"/>
        <v>-1349</v>
      </c>
      <c r="L773">
        <f t="shared" si="3"/>
        <v>0</v>
      </c>
    </row>
    <row r="774">
      <c r="A774" s="107">
        <f>IFERROR(__xludf.DUMMYFUNCTION("""COMPUTED_VALUE"""),45548.0)</f>
        <v>45548</v>
      </c>
      <c r="B774" t="str">
        <f>IFERROR(__xludf.DUMMYFUNCTION("""COMPUTED_VALUE"""),"蝦皮垃圾桶*2, 壁板*4")</f>
        <v>蝦皮垃圾桶*2, 壁板*4</v>
      </c>
      <c r="C774" t="str">
        <f>IFERROR(__xludf.DUMMYFUNCTION("""COMPUTED_VALUE"""),"成本 - 進場前裝潢費")</f>
        <v>成本 - 進場前裝潢費</v>
      </c>
      <c r="D774" s="270">
        <f>IFERROR(__xludf.DUMMYFUNCTION("""COMPUTED_VALUE"""),-1290.0)</f>
        <v>-1290</v>
      </c>
      <c r="E774" t="str">
        <f>IFERROR(__xludf.DUMMYFUNCTION("""COMPUTED_VALUE"""),"Elsa帳戶")</f>
        <v>Elsa帳戶</v>
      </c>
      <c r="G774" t="str">
        <f>IFERROR(__xludf.DUMMYFUNCTION("""COMPUTED_VALUE"""),"景安2分鐘")</f>
        <v>景安2分鐘</v>
      </c>
      <c r="H774" s="106" t="str">
        <f t="shared" si="1"/>
        <v>2024-09</v>
      </c>
      <c r="I774" s="271" t="str">
        <f>IFERROR(__xludf.DUMMYFUNCTION("""COMPUTED_VALUE"""),"貓狗企鵝")</f>
        <v>貓狗企鵝</v>
      </c>
      <c r="J774" t="str">
        <f>IFERROR(__xludf.DUMMYFUNCTION("IFS(
  AND(REGEXMATCH(E774, ""台銀籌備帳戶|玉山帳戶""), REGEXMATCH(C774, ""薪資"")), ""分潤支出"",
  AND(REGEXMATCH(E774, ""Ben帳戶|Elsa帳戶|Ben代墊|Ariel代墊|中信銀行共用""), REGEXMATCH(F774, ""Ben帳戶|Elsa帳戶|Ben代墊|Ariel代墊|中信銀行共用"")), ""內部轉帳(忽略)"",
  AND(E774&lt;&gt;"""", F774&lt;&gt;"""", NOT(REG"&amp;"EXMATCH(C774, ""薪資""))), ""內部轉帳(忽略)"",
  REGEXMATCH(C774, ""薪資""), ""薪資變動(不計入)"",
  REGEXMATCH(C774, ""押金""), ""押金往來"",
  AND(E774&lt;&gt;"""", F774=""""), ""真實支出"",
  AND(E774="""", F774&lt;&gt;""""), ""真實收入"",
  TRUE, ""其他""
)"),"真實支出")</f>
        <v>真實支出</v>
      </c>
      <c r="K774" s="270">
        <f t="shared" si="2"/>
        <v>-1290</v>
      </c>
      <c r="L774">
        <f t="shared" si="3"/>
        <v>0</v>
      </c>
    </row>
    <row r="775">
      <c r="A775" s="107">
        <f>IFERROR(__xludf.DUMMYFUNCTION("""COMPUTED_VALUE"""),45548.0)</f>
        <v>45548</v>
      </c>
      <c r="B775" t="str">
        <f>IFERROR(__xludf.DUMMYFUNCTION("""COMPUTED_VALUE"""),"出勤時間(內湖區)")</f>
        <v>出勤時間(內湖區)</v>
      </c>
      <c r="C775" t="str">
        <f>IFERROR(__xludf.DUMMYFUNCTION("""COMPUTED_VALUE"""),"成本 - 出勤費")</f>
        <v>成本 - 出勤費</v>
      </c>
      <c r="D775" s="270">
        <f>IFERROR(__xludf.DUMMYFUNCTION("""COMPUTED_VALUE"""),-2000.0)</f>
        <v>-2000</v>
      </c>
      <c r="E775" t="str">
        <f>IFERROR(__xludf.DUMMYFUNCTION("""COMPUTED_VALUE"""),"Ben帳戶")</f>
        <v>Ben帳戶</v>
      </c>
      <c r="G775" t="str">
        <f>IFERROR(__xludf.DUMMYFUNCTION("""COMPUTED_VALUE"""),"金龍帽子先生")</f>
        <v>金龍帽子先生</v>
      </c>
      <c r="H775" s="106" t="str">
        <f t="shared" si="1"/>
        <v>2024-09</v>
      </c>
      <c r="I775" s="271" t="str">
        <f>IFERROR(__xludf.DUMMYFUNCTION("""COMPUTED_VALUE"""),"貓狗企鵝")</f>
        <v>貓狗企鵝</v>
      </c>
      <c r="J775" t="str">
        <f>IFERROR(__xludf.DUMMYFUNCTION("IFS(
  AND(REGEXMATCH(E775, ""台銀籌備帳戶|玉山帳戶""), REGEXMATCH(C775, ""薪資"")), ""分潤支出"",
  AND(REGEXMATCH(E775, ""Ben帳戶|Elsa帳戶|Ben代墊|Ariel代墊|中信銀行共用""), REGEXMATCH(F775, ""Ben帳戶|Elsa帳戶|Ben代墊|Ariel代墊|中信銀行共用"")), ""內部轉帳(忽略)"",
  AND(E775&lt;&gt;"""", F775&lt;&gt;"""", NOT(REG"&amp;"EXMATCH(C775, ""薪資""))), ""內部轉帳(忽略)"",
  REGEXMATCH(C775, ""薪資""), ""薪資變動(不計入)"",
  REGEXMATCH(C775, ""押金""), ""押金往來"",
  AND(E775&lt;&gt;"""", F775=""""), ""真實支出"",
  AND(E775="""", F775&lt;&gt;""""), ""真實收入"",
  TRUE, ""其他""
)"),"真實支出")</f>
        <v>真實支出</v>
      </c>
      <c r="K775" s="270">
        <f t="shared" si="2"/>
        <v>-2000</v>
      </c>
      <c r="L775">
        <f t="shared" si="3"/>
        <v>0</v>
      </c>
    </row>
    <row r="776">
      <c r="A776" s="107">
        <f>IFERROR(__xludf.DUMMYFUNCTION("""COMPUTED_VALUE"""),45549.0)</f>
        <v>45549</v>
      </c>
      <c r="B776" t="str">
        <f>IFERROR(__xludf.DUMMYFUNCTION("""COMPUTED_VALUE"""),"淘寶桌椅們")</f>
        <v>淘寶桌椅們</v>
      </c>
      <c r="C776" t="str">
        <f>IFERROR(__xludf.DUMMYFUNCTION("""COMPUTED_VALUE"""),"成本 - 進場前裝潢費")</f>
        <v>成本 - 進場前裝潢費</v>
      </c>
      <c r="D776" s="270">
        <f>IFERROR(__xludf.DUMMYFUNCTION("""COMPUTED_VALUE"""),-17295.0)</f>
        <v>-17295</v>
      </c>
      <c r="E776" t="str">
        <f>IFERROR(__xludf.DUMMYFUNCTION("""COMPUTED_VALUE"""),"Elsa帳戶")</f>
        <v>Elsa帳戶</v>
      </c>
      <c r="G776" t="str">
        <f>IFERROR(__xludf.DUMMYFUNCTION("""COMPUTED_VALUE"""),"景安2分鐘")</f>
        <v>景安2分鐘</v>
      </c>
      <c r="H776" s="106" t="str">
        <f t="shared" si="1"/>
        <v>2024-09</v>
      </c>
      <c r="I776" s="271" t="str">
        <f>IFERROR(__xludf.DUMMYFUNCTION("""COMPUTED_VALUE"""),"貓狗企鵝")</f>
        <v>貓狗企鵝</v>
      </c>
      <c r="J776" t="str">
        <f>IFERROR(__xludf.DUMMYFUNCTION("IFS(
  AND(REGEXMATCH(E776, ""台銀籌備帳戶|玉山帳戶""), REGEXMATCH(C776, ""薪資"")), ""分潤支出"",
  AND(REGEXMATCH(E776, ""Ben帳戶|Elsa帳戶|Ben代墊|Ariel代墊|中信銀行共用""), REGEXMATCH(F776, ""Ben帳戶|Elsa帳戶|Ben代墊|Ariel代墊|中信銀行共用"")), ""內部轉帳(忽略)"",
  AND(E776&lt;&gt;"""", F776&lt;&gt;"""", NOT(REG"&amp;"EXMATCH(C776, ""薪資""))), ""內部轉帳(忽略)"",
  REGEXMATCH(C776, ""薪資""), ""薪資變動(不計入)"",
  REGEXMATCH(C776, ""押金""), ""押金往來"",
  AND(E776&lt;&gt;"""", F776=""""), ""真實支出"",
  AND(E776="""", F776&lt;&gt;""""), ""真實收入"",
  TRUE, ""其他""
)"),"真實支出")</f>
        <v>真實支出</v>
      </c>
      <c r="K776" s="270">
        <f t="shared" si="2"/>
        <v>-17295</v>
      </c>
      <c r="L776">
        <f t="shared" si="3"/>
        <v>0</v>
      </c>
    </row>
    <row r="777">
      <c r="A777" s="107">
        <f>IFERROR(__xludf.DUMMYFUNCTION("""COMPUTED_VALUE"""),45549.0)</f>
        <v>45549</v>
      </c>
      <c r="B777" t="str">
        <f>IFERROR(__xludf.DUMMYFUNCTION("""COMPUTED_VALUE"""),"垃圾代收費")</f>
        <v>垃圾代收費</v>
      </c>
      <c r="C777" t="str">
        <f>IFERROR(__xludf.DUMMYFUNCTION("""COMPUTED_VALUE"""),"成本 - 進場前裝潢費")</f>
        <v>成本 - 進場前裝潢費</v>
      </c>
      <c r="D777" s="270">
        <f>IFERROR(__xludf.DUMMYFUNCTION("""COMPUTED_VALUE"""),-2000.0)</f>
        <v>-2000</v>
      </c>
      <c r="E777" t="str">
        <f>IFERROR(__xludf.DUMMYFUNCTION("""COMPUTED_VALUE"""),"Ben帳戶")</f>
        <v>Ben帳戶</v>
      </c>
      <c r="G777" t="str">
        <f>IFERROR(__xludf.DUMMYFUNCTION("""COMPUTED_VALUE"""),"金龍帽子先生")</f>
        <v>金龍帽子先生</v>
      </c>
      <c r="H777" s="106" t="str">
        <f t="shared" si="1"/>
        <v>2024-09</v>
      </c>
      <c r="I777" s="271" t="str">
        <f>IFERROR(__xludf.DUMMYFUNCTION("""COMPUTED_VALUE"""),"貓狗企鵝")</f>
        <v>貓狗企鵝</v>
      </c>
      <c r="J777" t="str">
        <f>IFERROR(__xludf.DUMMYFUNCTION("IFS(
  AND(REGEXMATCH(E777, ""台銀籌備帳戶|玉山帳戶""), REGEXMATCH(C777, ""薪資"")), ""分潤支出"",
  AND(REGEXMATCH(E777, ""Ben帳戶|Elsa帳戶|Ben代墊|Ariel代墊|中信銀行共用""), REGEXMATCH(F777, ""Ben帳戶|Elsa帳戶|Ben代墊|Ariel代墊|中信銀行共用"")), ""內部轉帳(忽略)"",
  AND(E777&lt;&gt;"""", F777&lt;&gt;"""", NOT(REG"&amp;"EXMATCH(C777, ""薪資""))), ""內部轉帳(忽略)"",
  REGEXMATCH(C777, ""薪資""), ""薪資變動(不計入)"",
  REGEXMATCH(C777, ""押金""), ""押金往來"",
  AND(E777&lt;&gt;"""", F777=""""), ""真實支出"",
  AND(E777="""", F777&lt;&gt;""""), ""真實收入"",
  TRUE, ""其他""
)"),"真實支出")</f>
        <v>真實支出</v>
      </c>
      <c r="K777" s="270">
        <f t="shared" si="2"/>
        <v>-2000</v>
      </c>
      <c r="L777">
        <f t="shared" si="3"/>
        <v>0</v>
      </c>
    </row>
    <row r="778">
      <c r="A778" s="107">
        <f>IFERROR(__xludf.DUMMYFUNCTION("""COMPUTED_VALUE"""),45550.0)</f>
        <v>45550</v>
      </c>
      <c r="B778" t="str">
        <f>IFERROR(__xludf.DUMMYFUNCTION("""COMPUTED_VALUE"""),"寶琳清掃")</f>
        <v>寶琳清掃</v>
      </c>
      <c r="C778" t="str">
        <f>IFERROR(__xludf.DUMMYFUNCTION("""COMPUTED_VALUE"""),"成本 - 固定開銷(網路代收清潔)")</f>
        <v>成本 - 固定開銷(網路代收清潔)</v>
      </c>
      <c r="D778" s="270">
        <f>IFERROR(__xludf.DUMMYFUNCTION("""COMPUTED_VALUE"""),-700.0)</f>
        <v>-700</v>
      </c>
      <c r="E778" t="str">
        <f>IFERROR(__xludf.DUMMYFUNCTION("""COMPUTED_VALUE"""),"Elsa帳戶")</f>
        <v>Elsa帳戶</v>
      </c>
      <c r="G778" t="str">
        <f>IFERROR(__xludf.DUMMYFUNCTION("""COMPUTED_VALUE"""),"大湖山莊")</f>
        <v>大湖山莊</v>
      </c>
      <c r="H778" s="106" t="str">
        <f t="shared" si="1"/>
        <v>2024-09</v>
      </c>
      <c r="I778" s="271" t="str">
        <f>IFERROR(__xludf.DUMMYFUNCTION("""COMPUTED_VALUE"""),"貓狗企鵝")</f>
        <v>貓狗企鵝</v>
      </c>
      <c r="J778" t="str">
        <f>IFERROR(__xludf.DUMMYFUNCTION("IFS(
  AND(REGEXMATCH(E778, ""台銀籌備帳戶|玉山帳戶""), REGEXMATCH(C778, ""薪資"")), ""分潤支出"",
  AND(REGEXMATCH(E778, ""Ben帳戶|Elsa帳戶|Ben代墊|Ariel代墊|中信銀行共用""), REGEXMATCH(F778, ""Ben帳戶|Elsa帳戶|Ben代墊|Ariel代墊|中信銀行共用"")), ""內部轉帳(忽略)"",
  AND(E778&lt;&gt;"""", F778&lt;&gt;"""", NOT(REG"&amp;"EXMATCH(C778, ""薪資""))), ""內部轉帳(忽略)"",
  REGEXMATCH(C778, ""薪資""), ""薪資變動(不計入)"",
  REGEXMATCH(C778, ""押金""), ""押金往來"",
  AND(E778&lt;&gt;"""", F778=""""), ""真實支出"",
  AND(E778="""", F778&lt;&gt;""""), ""真實收入"",
  TRUE, ""其他""
)"),"真實支出")</f>
        <v>真實支出</v>
      </c>
      <c r="K778" s="270">
        <f t="shared" si="2"/>
        <v>-700</v>
      </c>
      <c r="L778">
        <f t="shared" si="3"/>
        <v>0</v>
      </c>
    </row>
    <row r="779">
      <c r="A779" s="107">
        <f>IFERROR(__xludf.DUMMYFUNCTION("""COMPUTED_VALUE"""),45550.0)</f>
        <v>45550</v>
      </c>
      <c r="B779" t="str">
        <f>IFERROR(__xludf.DUMMYFUNCTION("""COMPUTED_VALUE"""),"南港挑高租金")</f>
        <v>南港挑高租金</v>
      </c>
      <c r="C779" t="str">
        <f>IFERROR(__xludf.DUMMYFUNCTION("""COMPUTED_VALUE"""),"成本 - 大租金")</f>
        <v>成本 - 大租金</v>
      </c>
      <c r="D779" s="270">
        <f>IFERROR(__xludf.DUMMYFUNCTION("""COMPUTED_VALUE"""),-18250.0)</f>
        <v>-18250</v>
      </c>
      <c r="E779" t="str">
        <f>IFERROR(__xludf.DUMMYFUNCTION("""COMPUTED_VALUE"""),"台銀籌備帳戶")</f>
        <v>台銀籌備帳戶</v>
      </c>
      <c r="G779" t="str">
        <f>IFERROR(__xludf.DUMMYFUNCTION("""COMPUTED_VALUE"""),"南港站挑高宅")</f>
        <v>南港站挑高宅</v>
      </c>
      <c r="H779" s="106" t="str">
        <f t="shared" si="1"/>
        <v>2024-09</v>
      </c>
      <c r="I779" s="271" t="str">
        <f>IFERROR(__xludf.DUMMYFUNCTION("""COMPUTED_VALUE"""),"貓狗企鵝")</f>
        <v>貓狗企鵝</v>
      </c>
      <c r="J779" t="str">
        <f>IFERROR(__xludf.DUMMYFUNCTION("IFS(
  AND(REGEXMATCH(E779, ""台銀籌備帳戶|玉山帳戶""), REGEXMATCH(C779, ""薪資"")), ""分潤支出"",
  AND(REGEXMATCH(E779, ""Ben帳戶|Elsa帳戶|Ben代墊|Ariel代墊|中信銀行共用""), REGEXMATCH(F779, ""Ben帳戶|Elsa帳戶|Ben代墊|Ariel代墊|中信銀行共用"")), ""內部轉帳(忽略)"",
  AND(E779&lt;&gt;"""", F779&lt;&gt;"""", NOT(REG"&amp;"EXMATCH(C779, ""薪資""))), ""內部轉帳(忽略)"",
  REGEXMATCH(C779, ""薪資""), ""薪資變動(不計入)"",
  REGEXMATCH(C779, ""押金""), ""押金往來"",
  AND(E779&lt;&gt;"""", F779=""""), ""真實支出"",
  AND(E779="""", F779&lt;&gt;""""), ""真實收入"",
  TRUE, ""其他""
)"),"真實支出")</f>
        <v>真實支出</v>
      </c>
      <c r="K779" s="270">
        <f t="shared" si="2"/>
        <v>-18250</v>
      </c>
      <c r="L779">
        <f t="shared" si="3"/>
        <v>0</v>
      </c>
    </row>
    <row r="780">
      <c r="A780" s="107">
        <f>IFERROR(__xludf.DUMMYFUNCTION("""COMPUTED_VALUE"""),45550.0)</f>
        <v>45550</v>
      </c>
      <c r="B780" t="str">
        <f>IFERROR(__xludf.DUMMYFUNCTION("""COMPUTED_VALUE"""),"北醫陳醫師")</f>
        <v>北醫陳醫師</v>
      </c>
      <c r="C780" t="str">
        <f>IFERROR(__xludf.DUMMYFUNCTION("""COMPUTED_VALUE"""),"成本 - 大租金")</f>
        <v>成本 - 大租金</v>
      </c>
      <c r="D780" s="270">
        <f>IFERROR(__xludf.DUMMYFUNCTION("""COMPUTED_VALUE"""),-12815.0)</f>
        <v>-12815</v>
      </c>
      <c r="E780" t="str">
        <f>IFERROR(__xludf.DUMMYFUNCTION("""COMPUTED_VALUE"""),"台銀籌備帳戶")</f>
        <v>台銀籌備帳戶</v>
      </c>
      <c r="G780" t="str">
        <f>IFERROR(__xludf.DUMMYFUNCTION("""COMPUTED_VALUE"""),"北醫醫師府")</f>
        <v>北醫醫師府</v>
      </c>
      <c r="H780" s="106" t="str">
        <f t="shared" si="1"/>
        <v>2024-09</v>
      </c>
      <c r="I780" s="271" t="str">
        <f>IFERROR(__xludf.DUMMYFUNCTION("""COMPUTED_VALUE"""),"貓狗企鵝")</f>
        <v>貓狗企鵝</v>
      </c>
      <c r="J780" t="str">
        <f>IFERROR(__xludf.DUMMYFUNCTION("IFS(
  AND(REGEXMATCH(E780, ""台銀籌備帳戶|玉山帳戶""), REGEXMATCH(C780, ""薪資"")), ""分潤支出"",
  AND(REGEXMATCH(E780, ""Ben帳戶|Elsa帳戶|Ben代墊|Ariel代墊|中信銀行共用""), REGEXMATCH(F780, ""Ben帳戶|Elsa帳戶|Ben代墊|Ariel代墊|中信銀行共用"")), ""內部轉帳(忽略)"",
  AND(E780&lt;&gt;"""", F780&lt;&gt;"""", NOT(REG"&amp;"EXMATCH(C780, ""薪資""))), ""內部轉帳(忽略)"",
  REGEXMATCH(C780, ""薪資""), ""薪資變動(不計入)"",
  REGEXMATCH(C780, ""押金""), ""押金往來"",
  AND(E780&lt;&gt;"""", F780=""""), ""真實支出"",
  AND(E780="""", F780&lt;&gt;""""), ""真實收入"",
  TRUE, ""其他""
)"),"真實支出")</f>
        <v>真實支出</v>
      </c>
      <c r="K780" s="270">
        <f t="shared" si="2"/>
        <v>-12815</v>
      </c>
      <c r="L780">
        <f t="shared" si="3"/>
        <v>0</v>
      </c>
    </row>
    <row r="781">
      <c r="A781" s="107">
        <f>IFERROR(__xludf.DUMMYFUNCTION("""COMPUTED_VALUE"""),45550.0)</f>
        <v>45550</v>
      </c>
      <c r="B781" t="str">
        <f>IFERROR(__xludf.DUMMYFUNCTION("""COMPUTED_VALUE"""),"哈拉陳校長")</f>
        <v>哈拉陳校長</v>
      </c>
      <c r="C781" t="str">
        <f>IFERROR(__xludf.DUMMYFUNCTION("""COMPUTED_VALUE"""),"成本 - 大租金")</f>
        <v>成本 - 大租金</v>
      </c>
      <c r="D781" s="270">
        <f>IFERROR(__xludf.DUMMYFUNCTION("""COMPUTED_VALUE"""),-13015.0)</f>
        <v>-13015</v>
      </c>
      <c r="E781" t="str">
        <f>IFERROR(__xludf.DUMMYFUNCTION("""COMPUTED_VALUE"""),"台銀籌備帳戶")</f>
        <v>台銀籌備帳戶</v>
      </c>
      <c r="G781" t="str">
        <f>IFERROR(__xludf.DUMMYFUNCTION("""COMPUTED_VALUE"""),"哈拉對面")</f>
        <v>哈拉對面</v>
      </c>
      <c r="H781" s="106" t="str">
        <f t="shared" si="1"/>
        <v>2024-09</v>
      </c>
      <c r="I781" s="271" t="str">
        <f>IFERROR(__xludf.DUMMYFUNCTION("""COMPUTED_VALUE"""),"貓狗企鵝")</f>
        <v>貓狗企鵝</v>
      </c>
      <c r="J781" t="str">
        <f>IFERROR(__xludf.DUMMYFUNCTION("IFS(
  AND(REGEXMATCH(E781, ""台銀籌備帳戶|玉山帳戶""), REGEXMATCH(C781, ""薪資"")), ""分潤支出"",
  AND(REGEXMATCH(E781, ""Ben帳戶|Elsa帳戶|Ben代墊|Ariel代墊|中信銀行共用""), REGEXMATCH(F781, ""Ben帳戶|Elsa帳戶|Ben代墊|Ariel代墊|中信銀行共用"")), ""內部轉帳(忽略)"",
  AND(E781&lt;&gt;"""", F781&lt;&gt;"""", NOT(REG"&amp;"EXMATCH(C781, ""薪資""))), ""內部轉帳(忽略)"",
  REGEXMATCH(C781, ""薪資""), ""薪資變動(不計入)"",
  REGEXMATCH(C781, ""押金""), ""押金往來"",
  AND(E781&lt;&gt;"""", F781=""""), ""真實支出"",
  AND(E781="""", F781&lt;&gt;""""), ""真實收入"",
  TRUE, ""其他""
)"),"真實支出")</f>
        <v>真實支出</v>
      </c>
      <c r="K781" s="270">
        <f t="shared" si="2"/>
        <v>-13015</v>
      </c>
      <c r="L781">
        <f t="shared" si="3"/>
        <v>0</v>
      </c>
    </row>
    <row r="782">
      <c r="A782" s="107">
        <f>IFERROR(__xludf.DUMMYFUNCTION("""COMPUTED_VALUE"""),45550.0)</f>
        <v>45550</v>
      </c>
      <c r="B782" t="str">
        <f>IFERROR(__xludf.DUMMYFUNCTION("""COMPUTED_VALUE"""),"龍江游sir")</f>
        <v>龍江游sir</v>
      </c>
      <c r="C782" t="str">
        <f>IFERROR(__xludf.DUMMYFUNCTION("""COMPUTED_VALUE"""),"成本 - 大租金")</f>
        <v>成本 - 大租金</v>
      </c>
      <c r="D782" s="270">
        <f>IFERROR(__xludf.DUMMYFUNCTION("""COMPUTED_VALUE"""),-13515.0)</f>
        <v>-13515</v>
      </c>
      <c r="E782" t="str">
        <f>IFERROR(__xludf.DUMMYFUNCTION("""COMPUTED_VALUE"""),"台銀籌備帳戶")</f>
        <v>台銀籌備帳戶</v>
      </c>
      <c r="G782" t="str">
        <f>IFERROR(__xludf.DUMMYFUNCTION("""COMPUTED_VALUE"""),"龍江229")</f>
        <v>龍江229</v>
      </c>
      <c r="H782" s="106" t="str">
        <f t="shared" si="1"/>
        <v>2024-09</v>
      </c>
      <c r="I782" s="271" t="str">
        <f>IFERROR(__xludf.DUMMYFUNCTION("""COMPUTED_VALUE"""),"貓狗企鵝")</f>
        <v>貓狗企鵝</v>
      </c>
      <c r="J782" t="str">
        <f>IFERROR(__xludf.DUMMYFUNCTION("IFS(
  AND(REGEXMATCH(E782, ""台銀籌備帳戶|玉山帳戶""), REGEXMATCH(C782, ""薪資"")), ""分潤支出"",
  AND(REGEXMATCH(E782, ""Ben帳戶|Elsa帳戶|Ben代墊|Ariel代墊|中信銀行共用""), REGEXMATCH(F782, ""Ben帳戶|Elsa帳戶|Ben代墊|Ariel代墊|中信銀行共用"")), ""內部轉帳(忽略)"",
  AND(E782&lt;&gt;"""", F782&lt;&gt;"""", NOT(REG"&amp;"EXMATCH(C782, ""薪資""))), ""內部轉帳(忽略)"",
  REGEXMATCH(C782, ""薪資""), ""薪資變動(不計入)"",
  REGEXMATCH(C782, ""押金""), ""押金往來"",
  AND(E782&lt;&gt;"""", F782=""""), ""真實支出"",
  AND(E782="""", F782&lt;&gt;""""), ""真實收入"",
  TRUE, ""其他""
)"),"真實支出")</f>
        <v>真實支出</v>
      </c>
      <c r="K782" s="270">
        <f t="shared" si="2"/>
        <v>-13515</v>
      </c>
      <c r="L782">
        <f t="shared" si="3"/>
        <v>0</v>
      </c>
    </row>
    <row r="783">
      <c r="A783" s="107">
        <f>IFERROR(__xludf.DUMMYFUNCTION("""COMPUTED_VALUE"""),45550.0)</f>
        <v>45550</v>
      </c>
      <c r="B783" t="str">
        <f>IFERROR(__xludf.DUMMYFUNCTION("""COMPUTED_VALUE"""),"大湖陳彩霞")</f>
        <v>大湖陳彩霞</v>
      </c>
      <c r="C783" t="str">
        <f>IFERROR(__xludf.DUMMYFUNCTION("""COMPUTED_VALUE"""),"成本 - 大租金")</f>
        <v>成本 - 大租金</v>
      </c>
      <c r="D783" s="270">
        <f>IFERROR(__xludf.DUMMYFUNCTION("""COMPUTED_VALUE"""),-19415.0)</f>
        <v>-19415</v>
      </c>
      <c r="E783" t="str">
        <f>IFERROR(__xludf.DUMMYFUNCTION("""COMPUTED_VALUE"""),"台銀籌備帳戶")</f>
        <v>台銀籌備帳戶</v>
      </c>
      <c r="G783" t="str">
        <f>IFERROR(__xludf.DUMMYFUNCTION("""COMPUTED_VALUE"""),"大湖山莊")</f>
        <v>大湖山莊</v>
      </c>
      <c r="H783" s="106" t="str">
        <f t="shared" si="1"/>
        <v>2024-09</v>
      </c>
      <c r="I783" s="271" t="str">
        <f>IFERROR(__xludf.DUMMYFUNCTION("""COMPUTED_VALUE"""),"貓狗企鵝")</f>
        <v>貓狗企鵝</v>
      </c>
      <c r="J783" t="str">
        <f>IFERROR(__xludf.DUMMYFUNCTION("IFS(
  AND(REGEXMATCH(E783, ""台銀籌備帳戶|玉山帳戶""), REGEXMATCH(C783, ""薪資"")), ""分潤支出"",
  AND(REGEXMATCH(E783, ""Ben帳戶|Elsa帳戶|Ben代墊|Ariel代墊|中信銀行共用""), REGEXMATCH(F783, ""Ben帳戶|Elsa帳戶|Ben代墊|Ariel代墊|中信銀行共用"")), ""內部轉帳(忽略)"",
  AND(E783&lt;&gt;"""", F783&lt;&gt;"""", NOT(REG"&amp;"EXMATCH(C783, ""薪資""))), ""內部轉帳(忽略)"",
  REGEXMATCH(C783, ""薪資""), ""薪資變動(不計入)"",
  REGEXMATCH(C783, ""押金""), ""押金往來"",
  AND(E783&lt;&gt;"""", F783=""""), ""真實支出"",
  AND(E783="""", F783&lt;&gt;""""), ""真實收入"",
  TRUE, ""其他""
)"),"真實支出")</f>
        <v>真實支出</v>
      </c>
      <c r="K783" s="270">
        <f t="shared" si="2"/>
        <v>-19415</v>
      </c>
      <c r="L783">
        <f t="shared" si="3"/>
        <v>0</v>
      </c>
    </row>
    <row r="784">
      <c r="A784" s="107">
        <f>IFERROR(__xludf.DUMMYFUNCTION("""COMPUTED_VALUE"""),45550.0)</f>
        <v>45550</v>
      </c>
      <c r="B784" t="str">
        <f>IFERROR(__xludf.DUMMYFUNCTION("""COMPUTED_VALUE"""),"哈拉對面B林宜芳")</f>
        <v>哈拉對面B林宜芳</v>
      </c>
      <c r="C784" t="str">
        <f>IFERROR(__xludf.DUMMYFUNCTION("""COMPUTED_VALUE"""),"收入 - 租金")</f>
        <v>收入 - 租金</v>
      </c>
      <c r="D784" s="270">
        <f>IFERROR(__xludf.DUMMYFUNCTION("""COMPUTED_VALUE"""),1688.0)</f>
        <v>1688</v>
      </c>
      <c r="F784" t="str">
        <f>IFERROR(__xludf.DUMMYFUNCTION("""COMPUTED_VALUE"""),"台銀籌備帳戶")</f>
        <v>台銀籌備帳戶</v>
      </c>
      <c r="G784" t="str">
        <f>IFERROR(__xludf.DUMMYFUNCTION("""COMPUTED_VALUE"""),"哈拉對面")</f>
        <v>哈拉對面</v>
      </c>
      <c r="H784" s="106" t="str">
        <f t="shared" si="1"/>
        <v>2024-09</v>
      </c>
      <c r="I784" s="271" t="str">
        <f>IFERROR(__xludf.DUMMYFUNCTION("""COMPUTED_VALUE"""),"貓狗企鵝")</f>
        <v>貓狗企鵝</v>
      </c>
      <c r="J784" t="str">
        <f>IFERROR(__xludf.DUMMYFUNCTION("IFS(
  AND(REGEXMATCH(E784, ""台銀籌備帳戶|玉山帳戶""), REGEXMATCH(C784, ""薪資"")), ""分潤支出"",
  AND(REGEXMATCH(E784, ""Ben帳戶|Elsa帳戶|Ben代墊|Ariel代墊|中信銀行共用""), REGEXMATCH(F784, ""Ben帳戶|Elsa帳戶|Ben代墊|Ariel代墊|中信銀行共用"")), ""內部轉帳(忽略)"",
  AND(E784&lt;&gt;"""", F784&lt;&gt;"""", NOT(REG"&amp;"EXMATCH(C784, ""薪資""))), ""內部轉帳(忽略)"",
  REGEXMATCH(C784, ""薪資""), ""薪資變動(不計入)"",
  REGEXMATCH(C784, ""押金""), ""押金往來"",
  AND(E784&lt;&gt;"""", F784=""""), ""真實支出"",
  AND(E784="""", F784&lt;&gt;""""), ""真實收入"",
  TRUE, ""其他""
)"),"真實收入")</f>
        <v>真實收入</v>
      </c>
      <c r="K784" s="270">
        <f t="shared" si="2"/>
        <v>1688</v>
      </c>
      <c r="L784">
        <f t="shared" si="3"/>
        <v>0</v>
      </c>
    </row>
    <row r="785">
      <c r="A785" s="107">
        <f>IFERROR(__xludf.DUMMYFUNCTION("""COMPUTED_VALUE"""),45551.0)</f>
        <v>45551</v>
      </c>
      <c r="B785" t="str">
        <f>IFERROR(__xludf.DUMMYFUNCTION("""COMPUTED_VALUE"""),"出勤時間(景安區)")</f>
        <v>出勤時間(景安區)</v>
      </c>
      <c r="C785" t="str">
        <f>IFERROR(__xludf.DUMMYFUNCTION("""COMPUTED_VALUE"""),"成本 - 出勤費")</f>
        <v>成本 - 出勤費</v>
      </c>
      <c r="D785" s="270">
        <f>IFERROR(__xludf.DUMMYFUNCTION("""COMPUTED_VALUE"""),-1000.0)</f>
        <v>-1000</v>
      </c>
      <c r="E785" t="str">
        <f>IFERROR(__xludf.DUMMYFUNCTION("""COMPUTED_VALUE"""),"Ben帳戶")</f>
        <v>Ben帳戶</v>
      </c>
      <c r="G785" t="str">
        <f>IFERROR(__xludf.DUMMYFUNCTION("""COMPUTED_VALUE"""),"景安2分鐘")</f>
        <v>景安2分鐘</v>
      </c>
      <c r="H785" s="106" t="str">
        <f t="shared" si="1"/>
        <v>2024-09</v>
      </c>
      <c r="I785" s="271" t="str">
        <f>IFERROR(__xludf.DUMMYFUNCTION("""COMPUTED_VALUE"""),"貓狗企鵝")</f>
        <v>貓狗企鵝</v>
      </c>
      <c r="J785" t="str">
        <f>IFERROR(__xludf.DUMMYFUNCTION("IFS(
  AND(REGEXMATCH(E785, ""台銀籌備帳戶|玉山帳戶""), REGEXMATCH(C785, ""薪資"")), ""分潤支出"",
  AND(REGEXMATCH(E785, ""Ben帳戶|Elsa帳戶|Ben代墊|Ariel代墊|中信銀行共用""), REGEXMATCH(F785, ""Ben帳戶|Elsa帳戶|Ben代墊|Ariel代墊|中信銀行共用"")), ""內部轉帳(忽略)"",
  AND(E785&lt;&gt;"""", F785&lt;&gt;"""", NOT(REG"&amp;"EXMATCH(C785, ""薪資""))), ""內部轉帳(忽略)"",
  REGEXMATCH(C785, ""薪資""), ""薪資變動(不計入)"",
  REGEXMATCH(C785, ""押金""), ""押金往來"",
  AND(E785&lt;&gt;"""", F785=""""), ""真實支出"",
  AND(E785="""", F785&lt;&gt;""""), ""真實收入"",
  TRUE, ""其他""
)"),"真實支出")</f>
        <v>真實支出</v>
      </c>
      <c r="K785" s="270">
        <f t="shared" si="2"/>
        <v>-1000</v>
      </c>
      <c r="L785">
        <f t="shared" si="3"/>
        <v>0</v>
      </c>
    </row>
    <row r="786">
      <c r="A786" s="107">
        <f>IFERROR(__xludf.DUMMYFUNCTION("""COMPUTED_VALUE"""),45552.0)</f>
        <v>45552</v>
      </c>
      <c r="B786" t="str">
        <f>IFERROR(__xludf.DUMMYFUNCTION("""COMPUTED_VALUE"""),"MoMo 洗衣機*2+冰箱")</f>
        <v>MoMo 洗衣機*2+冰箱</v>
      </c>
      <c r="C786" t="str">
        <f>IFERROR(__xludf.DUMMYFUNCTION("""COMPUTED_VALUE"""),"成本 - 進場前裝潢費")</f>
        <v>成本 - 進場前裝潢費</v>
      </c>
      <c r="D786" s="270">
        <f>IFERROR(__xludf.DUMMYFUNCTION("""COMPUTED_VALUE"""),-30468.0)</f>
        <v>-30468</v>
      </c>
      <c r="E786" t="str">
        <f>IFERROR(__xludf.DUMMYFUNCTION("""COMPUTED_VALUE"""),"Elsa帳戶")</f>
        <v>Elsa帳戶</v>
      </c>
      <c r="G786" t="str">
        <f>IFERROR(__xludf.DUMMYFUNCTION("""COMPUTED_VALUE"""),"景安2分鐘")</f>
        <v>景安2分鐘</v>
      </c>
      <c r="H786" s="106" t="str">
        <f t="shared" si="1"/>
        <v>2024-09</v>
      </c>
      <c r="I786" s="271" t="str">
        <f>IFERROR(__xludf.DUMMYFUNCTION("""COMPUTED_VALUE"""),"貓狗企鵝")</f>
        <v>貓狗企鵝</v>
      </c>
      <c r="J786" t="str">
        <f>IFERROR(__xludf.DUMMYFUNCTION("IFS(
  AND(REGEXMATCH(E786, ""台銀籌備帳戶|玉山帳戶""), REGEXMATCH(C786, ""薪資"")), ""分潤支出"",
  AND(REGEXMATCH(E786, ""Ben帳戶|Elsa帳戶|Ben代墊|Ariel代墊|中信銀行共用""), REGEXMATCH(F786, ""Ben帳戶|Elsa帳戶|Ben代墊|Ariel代墊|中信銀行共用"")), ""內部轉帳(忽略)"",
  AND(E786&lt;&gt;"""", F786&lt;&gt;"""", NOT(REG"&amp;"EXMATCH(C786, ""薪資""))), ""內部轉帳(忽略)"",
  REGEXMATCH(C786, ""薪資""), ""薪資變動(不計入)"",
  REGEXMATCH(C786, ""押金""), ""押金往來"",
  AND(E786&lt;&gt;"""", F786=""""), ""真實支出"",
  AND(E786="""", F786&lt;&gt;""""), ""真實收入"",
  TRUE, ""其他""
)"),"真實支出")</f>
        <v>真實支出</v>
      </c>
      <c r="K786" s="270">
        <f t="shared" si="2"/>
        <v>-30468</v>
      </c>
      <c r="L786">
        <f t="shared" si="3"/>
        <v>0</v>
      </c>
    </row>
    <row r="787">
      <c r="A787" s="107">
        <f>IFERROR(__xludf.DUMMYFUNCTION("""COMPUTED_VALUE"""),45552.0)</f>
        <v>45552</v>
      </c>
      <c r="B787" t="str">
        <f>IFERROR(__xludf.DUMMYFUNCTION("""COMPUTED_VALUE"""),"IKEA")</f>
        <v>IKEA</v>
      </c>
      <c r="C787" t="str">
        <f>IFERROR(__xludf.DUMMYFUNCTION("""COMPUTED_VALUE"""),"成本 - 進場前裝潢費")</f>
        <v>成本 - 進場前裝潢費</v>
      </c>
      <c r="D787" s="270">
        <f>IFERROR(__xludf.DUMMYFUNCTION("""COMPUTED_VALUE"""),-57392.0)</f>
        <v>-57392</v>
      </c>
      <c r="E787" t="str">
        <f>IFERROR(__xludf.DUMMYFUNCTION("""COMPUTED_VALUE"""),"Elsa帳戶")</f>
        <v>Elsa帳戶</v>
      </c>
      <c r="G787" t="str">
        <f>IFERROR(__xludf.DUMMYFUNCTION("""COMPUTED_VALUE"""),"景安2分鐘")</f>
        <v>景安2分鐘</v>
      </c>
      <c r="H787" s="106" t="str">
        <f t="shared" si="1"/>
        <v>2024-09</v>
      </c>
      <c r="I787" s="271" t="str">
        <f>IFERROR(__xludf.DUMMYFUNCTION("""COMPUTED_VALUE"""),"貓狗企鵝")</f>
        <v>貓狗企鵝</v>
      </c>
      <c r="J787" t="str">
        <f>IFERROR(__xludf.DUMMYFUNCTION("IFS(
  AND(REGEXMATCH(E787, ""台銀籌備帳戶|玉山帳戶""), REGEXMATCH(C787, ""薪資"")), ""分潤支出"",
  AND(REGEXMATCH(E787, ""Ben帳戶|Elsa帳戶|Ben代墊|Ariel代墊|中信銀行共用""), REGEXMATCH(F787, ""Ben帳戶|Elsa帳戶|Ben代墊|Ariel代墊|中信銀行共用"")), ""內部轉帳(忽略)"",
  AND(E787&lt;&gt;"""", F787&lt;&gt;"""", NOT(REG"&amp;"EXMATCH(C787, ""薪資""))), ""內部轉帳(忽略)"",
  REGEXMATCH(C787, ""薪資""), ""薪資變動(不計入)"",
  REGEXMATCH(C787, ""押金""), ""押金往來"",
  AND(E787&lt;&gt;"""", F787=""""), ""真實支出"",
  AND(E787="""", F787&lt;&gt;""""), ""真實收入"",
  TRUE, ""其他""
)"),"真實支出")</f>
        <v>真實支出</v>
      </c>
      <c r="K787" s="270">
        <f t="shared" si="2"/>
        <v>-57392</v>
      </c>
      <c r="L787">
        <f t="shared" si="3"/>
        <v>0</v>
      </c>
    </row>
    <row r="788">
      <c r="A788" s="107">
        <f>IFERROR(__xludf.DUMMYFUNCTION("""COMPUTED_VALUE"""),45552.0)</f>
        <v>45552</v>
      </c>
      <c r="B788" t="str">
        <f>IFERROR(__xludf.DUMMYFUNCTION("""COMPUTED_VALUE"""),"景安大門換鎖")</f>
        <v>景安大門換鎖</v>
      </c>
      <c r="C788" t="str">
        <f>IFERROR(__xludf.DUMMYFUNCTION("""COMPUTED_VALUE"""),"成本 - 進場前裝潢費")</f>
        <v>成本 - 進場前裝潢費</v>
      </c>
      <c r="D788" s="270">
        <f>IFERROR(__xludf.DUMMYFUNCTION("""COMPUTED_VALUE"""),-1200.0)</f>
        <v>-1200</v>
      </c>
      <c r="E788" t="str">
        <f>IFERROR(__xludf.DUMMYFUNCTION("""COMPUTED_VALUE"""),"Ben帳戶")</f>
        <v>Ben帳戶</v>
      </c>
      <c r="G788" t="str">
        <f>IFERROR(__xludf.DUMMYFUNCTION("""COMPUTED_VALUE"""),"景安2分鐘")</f>
        <v>景安2分鐘</v>
      </c>
      <c r="H788" s="106" t="str">
        <f t="shared" si="1"/>
        <v>2024-09</v>
      </c>
      <c r="I788" s="271" t="str">
        <f>IFERROR(__xludf.DUMMYFUNCTION("""COMPUTED_VALUE"""),"貓狗企鵝")</f>
        <v>貓狗企鵝</v>
      </c>
      <c r="J788" t="str">
        <f>IFERROR(__xludf.DUMMYFUNCTION("IFS(
  AND(REGEXMATCH(E788, ""台銀籌備帳戶|玉山帳戶""), REGEXMATCH(C788, ""薪資"")), ""分潤支出"",
  AND(REGEXMATCH(E788, ""Ben帳戶|Elsa帳戶|Ben代墊|Ariel代墊|中信銀行共用""), REGEXMATCH(F788, ""Ben帳戶|Elsa帳戶|Ben代墊|Ariel代墊|中信銀行共用"")), ""內部轉帳(忽略)"",
  AND(E788&lt;&gt;"""", F788&lt;&gt;"""", NOT(REG"&amp;"EXMATCH(C788, ""薪資""))), ""內部轉帳(忽略)"",
  REGEXMATCH(C788, ""薪資""), ""薪資變動(不計入)"",
  REGEXMATCH(C788, ""押金""), ""押金往來"",
  AND(E788&lt;&gt;"""", F788=""""), ""真實支出"",
  AND(E788="""", F788&lt;&gt;""""), ""真實收入"",
  TRUE, ""其他""
)"),"真實支出")</f>
        <v>真實支出</v>
      </c>
      <c r="K788" s="270">
        <f t="shared" si="2"/>
        <v>-1200</v>
      </c>
      <c r="L788">
        <f t="shared" si="3"/>
        <v>0</v>
      </c>
    </row>
    <row r="789">
      <c r="A789" s="107">
        <f>IFERROR(__xludf.DUMMYFUNCTION("""COMPUTED_VALUE"""),45552.0)</f>
        <v>45552</v>
      </c>
      <c r="B789" t="str">
        <f>IFERROR(__xludf.DUMMYFUNCTION("""COMPUTED_VALUE"""),"蝦皮掃把 拖把")</f>
        <v>蝦皮掃把 拖把</v>
      </c>
      <c r="C789" t="str">
        <f>IFERROR(__xludf.DUMMYFUNCTION("""COMPUTED_VALUE"""),"成本 - 進場前裝潢費")</f>
        <v>成本 - 進場前裝潢費</v>
      </c>
      <c r="D789" s="270">
        <f>IFERROR(__xludf.DUMMYFUNCTION("""COMPUTED_VALUE"""),-407.0)</f>
        <v>-407</v>
      </c>
      <c r="E789" t="str">
        <f>IFERROR(__xludf.DUMMYFUNCTION("""COMPUTED_VALUE"""),"Elsa帳戶")</f>
        <v>Elsa帳戶</v>
      </c>
      <c r="G789" t="str">
        <f>IFERROR(__xludf.DUMMYFUNCTION("""COMPUTED_VALUE"""),"景安2分鐘")</f>
        <v>景安2分鐘</v>
      </c>
      <c r="H789" s="106" t="str">
        <f t="shared" si="1"/>
        <v>2024-09</v>
      </c>
      <c r="I789" s="271" t="str">
        <f>IFERROR(__xludf.DUMMYFUNCTION("""COMPUTED_VALUE"""),"貓狗企鵝")</f>
        <v>貓狗企鵝</v>
      </c>
      <c r="J789" t="str">
        <f>IFERROR(__xludf.DUMMYFUNCTION("IFS(
  AND(REGEXMATCH(E789, ""台銀籌備帳戶|玉山帳戶""), REGEXMATCH(C789, ""薪資"")), ""分潤支出"",
  AND(REGEXMATCH(E789, ""Ben帳戶|Elsa帳戶|Ben代墊|Ariel代墊|中信銀行共用""), REGEXMATCH(F789, ""Ben帳戶|Elsa帳戶|Ben代墊|Ariel代墊|中信銀行共用"")), ""內部轉帳(忽略)"",
  AND(E789&lt;&gt;"""", F789&lt;&gt;"""", NOT(REG"&amp;"EXMATCH(C789, ""薪資""))), ""內部轉帳(忽略)"",
  REGEXMATCH(C789, ""薪資""), ""薪資變動(不計入)"",
  REGEXMATCH(C789, ""押金""), ""押金往來"",
  AND(E789&lt;&gt;"""", F789=""""), ""真實支出"",
  AND(E789="""", F789&lt;&gt;""""), ""真實收入"",
  TRUE, ""其他""
)"),"真實支出")</f>
        <v>真實支出</v>
      </c>
      <c r="K789" s="270">
        <f t="shared" si="2"/>
        <v>-407</v>
      </c>
      <c r="L789">
        <f t="shared" si="3"/>
        <v>0</v>
      </c>
    </row>
    <row r="790">
      <c r="A790" s="107">
        <f>IFERROR(__xludf.DUMMYFUNCTION("""COMPUTED_VALUE"""),45552.0)</f>
        <v>45552</v>
      </c>
      <c r="B790" t="str">
        <f>IFERROR(__xludf.DUMMYFUNCTION("""COMPUTED_VALUE"""),"蝦皮 保潔墊")</f>
        <v>蝦皮 保潔墊</v>
      </c>
      <c r="C790" t="str">
        <f>IFERROR(__xludf.DUMMYFUNCTION("""COMPUTED_VALUE"""),"成本 - 進場前裝潢費")</f>
        <v>成本 - 進場前裝潢費</v>
      </c>
      <c r="D790" s="270">
        <f>IFERROR(__xludf.DUMMYFUNCTION("""COMPUTED_VALUE"""),-1560.0)</f>
        <v>-1560</v>
      </c>
      <c r="E790" t="str">
        <f>IFERROR(__xludf.DUMMYFUNCTION("""COMPUTED_VALUE"""),"Elsa帳戶")</f>
        <v>Elsa帳戶</v>
      </c>
      <c r="G790" t="str">
        <f>IFERROR(__xludf.DUMMYFUNCTION("""COMPUTED_VALUE"""),"景安2分鐘")</f>
        <v>景安2分鐘</v>
      </c>
      <c r="H790" s="106" t="str">
        <f t="shared" si="1"/>
        <v>2024-09</v>
      </c>
      <c r="I790" s="271" t="str">
        <f>IFERROR(__xludf.DUMMYFUNCTION("""COMPUTED_VALUE"""),"貓狗企鵝")</f>
        <v>貓狗企鵝</v>
      </c>
      <c r="J790" t="str">
        <f>IFERROR(__xludf.DUMMYFUNCTION("IFS(
  AND(REGEXMATCH(E790, ""台銀籌備帳戶|玉山帳戶""), REGEXMATCH(C790, ""薪資"")), ""分潤支出"",
  AND(REGEXMATCH(E790, ""Ben帳戶|Elsa帳戶|Ben代墊|Ariel代墊|中信銀行共用""), REGEXMATCH(F790, ""Ben帳戶|Elsa帳戶|Ben代墊|Ariel代墊|中信銀行共用"")), ""內部轉帳(忽略)"",
  AND(E790&lt;&gt;"""", F790&lt;&gt;"""", NOT(REG"&amp;"EXMATCH(C790, ""薪資""))), ""內部轉帳(忽略)"",
  REGEXMATCH(C790, ""薪資""), ""薪資變動(不計入)"",
  REGEXMATCH(C790, ""押金""), ""押金往來"",
  AND(E790&lt;&gt;"""", F790=""""), ""真實支出"",
  AND(E790="""", F790&lt;&gt;""""), ""真實收入"",
  TRUE, ""其他""
)"),"真實支出")</f>
        <v>真實支出</v>
      </c>
      <c r="K790" s="270">
        <f t="shared" si="2"/>
        <v>-1560</v>
      </c>
      <c r="L790">
        <f t="shared" si="3"/>
        <v>0</v>
      </c>
    </row>
    <row r="791">
      <c r="A791" s="107">
        <f>IFERROR(__xludf.DUMMYFUNCTION("""COMPUTED_VALUE"""),45552.0)</f>
        <v>45552</v>
      </c>
      <c r="B791" t="str">
        <f>IFERROR(__xludf.DUMMYFUNCTION("""COMPUTED_VALUE"""),"KK金龍水電")</f>
        <v>KK金龍水電</v>
      </c>
      <c r="C791" t="str">
        <f>IFERROR(__xludf.DUMMYFUNCTION("""COMPUTED_VALUE"""),"成本 - 進場前裝潢費")</f>
        <v>成本 - 進場前裝潢費</v>
      </c>
      <c r="D791" s="270">
        <f>IFERROR(__xludf.DUMMYFUNCTION("""COMPUTED_VALUE"""),-48315.0)</f>
        <v>-48315</v>
      </c>
      <c r="E791" t="str">
        <f>IFERROR(__xludf.DUMMYFUNCTION("""COMPUTED_VALUE"""),"台銀籌備帳戶")</f>
        <v>台銀籌備帳戶</v>
      </c>
      <c r="G791" t="str">
        <f>IFERROR(__xludf.DUMMYFUNCTION("""COMPUTED_VALUE"""),"金龍帽子先生")</f>
        <v>金龍帽子先生</v>
      </c>
      <c r="H791" s="106" t="str">
        <f t="shared" si="1"/>
        <v>2024-09</v>
      </c>
      <c r="I791" s="271" t="str">
        <f>IFERROR(__xludf.DUMMYFUNCTION("""COMPUTED_VALUE"""),"貓狗企鵝")</f>
        <v>貓狗企鵝</v>
      </c>
      <c r="J791" t="str">
        <f>IFERROR(__xludf.DUMMYFUNCTION("IFS(
  AND(REGEXMATCH(E791, ""台銀籌備帳戶|玉山帳戶""), REGEXMATCH(C791, ""薪資"")), ""分潤支出"",
  AND(REGEXMATCH(E791, ""Ben帳戶|Elsa帳戶|Ben代墊|Ariel代墊|中信銀行共用""), REGEXMATCH(F791, ""Ben帳戶|Elsa帳戶|Ben代墊|Ariel代墊|中信銀行共用"")), ""內部轉帳(忽略)"",
  AND(E791&lt;&gt;"""", F791&lt;&gt;"""", NOT(REG"&amp;"EXMATCH(C791, ""薪資""))), ""內部轉帳(忽略)"",
  REGEXMATCH(C791, ""薪資""), ""薪資變動(不計入)"",
  REGEXMATCH(C791, ""押金""), ""押金往來"",
  AND(E791&lt;&gt;"""", F791=""""), ""真實支出"",
  AND(E791="""", F791&lt;&gt;""""), ""真實收入"",
  TRUE, ""其他""
)"),"真實支出")</f>
        <v>真實支出</v>
      </c>
      <c r="K791" s="270">
        <f t="shared" si="2"/>
        <v>-48315</v>
      </c>
      <c r="L791">
        <f t="shared" si="3"/>
        <v>0</v>
      </c>
    </row>
    <row r="792">
      <c r="A792" s="107">
        <f>IFERROR(__xludf.DUMMYFUNCTION("""COMPUTED_VALUE"""),45553.0)</f>
        <v>45553</v>
      </c>
      <c r="B792" t="str">
        <f>IFERROR(__xludf.DUMMYFUNCTION("""COMPUTED_VALUE"""),"公證費")</f>
        <v>公證費</v>
      </c>
      <c r="C792" t="str">
        <f>IFERROR(__xludf.DUMMYFUNCTION("""COMPUTED_VALUE"""),"成本 - 公證費")</f>
        <v>成本 - 公證費</v>
      </c>
      <c r="D792" s="270">
        <f>IFERROR(__xludf.DUMMYFUNCTION("""COMPUTED_VALUE"""),-3750.0)</f>
        <v>-3750</v>
      </c>
      <c r="E792" t="str">
        <f>IFERROR(__xludf.DUMMYFUNCTION("""COMPUTED_VALUE"""),"Ben帳戶")</f>
        <v>Ben帳戶</v>
      </c>
      <c r="G792" t="str">
        <f>IFERROR(__xludf.DUMMYFUNCTION("""COMPUTED_VALUE"""),"景安2分鐘")</f>
        <v>景安2分鐘</v>
      </c>
      <c r="H792" s="106" t="str">
        <f t="shared" si="1"/>
        <v>2024-09</v>
      </c>
      <c r="I792" s="271" t="str">
        <f>IFERROR(__xludf.DUMMYFUNCTION("""COMPUTED_VALUE"""),"貓狗企鵝")</f>
        <v>貓狗企鵝</v>
      </c>
      <c r="J792" t="str">
        <f>IFERROR(__xludf.DUMMYFUNCTION("IFS(
  AND(REGEXMATCH(E792, ""台銀籌備帳戶|玉山帳戶""), REGEXMATCH(C792, ""薪資"")), ""分潤支出"",
  AND(REGEXMATCH(E792, ""Ben帳戶|Elsa帳戶|Ben代墊|Ariel代墊|中信銀行共用""), REGEXMATCH(F792, ""Ben帳戶|Elsa帳戶|Ben代墊|Ariel代墊|中信銀行共用"")), ""內部轉帳(忽略)"",
  AND(E792&lt;&gt;"""", F792&lt;&gt;"""", NOT(REG"&amp;"EXMATCH(C792, ""薪資""))), ""內部轉帳(忽略)"",
  REGEXMATCH(C792, ""薪資""), ""薪資變動(不計入)"",
  REGEXMATCH(C792, ""押金""), ""押金往來"",
  AND(E792&lt;&gt;"""", F792=""""), ""真實支出"",
  AND(E792="""", F792&lt;&gt;""""), ""真實收入"",
  TRUE, ""其他""
)"),"真實支出")</f>
        <v>真實支出</v>
      </c>
      <c r="K792" s="270">
        <f t="shared" si="2"/>
        <v>-3750</v>
      </c>
      <c r="L792">
        <f t="shared" si="3"/>
        <v>0</v>
      </c>
    </row>
    <row r="793">
      <c r="A793" s="107">
        <f>IFERROR(__xludf.DUMMYFUNCTION("""COMPUTED_VALUE"""),45553.0)</f>
        <v>45553</v>
      </c>
      <c r="B793" t="str">
        <f>IFERROR(__xludf.DUMMYFUNCTION("""COMPUTED_VALUE"""),"景安床")</f>
        <v>景安床</v>
      </c>
      <c r="C793" t="str">
        <f>IFERROR(__xludf.DUMMYFUNCTION("""COMPUTED_VALUE"""),"成本 - 進場前裝潢費")</f>
        <v>成本 - 進場前裝潢費</v>
      </c>
      <c r="D793" s="270">
        <f>IFERROR(__xludf.DUMMYFUNCTION("""COMPUTED_VALUE"""),-36700.0)</f>
        <v>-36700</v>
      </c>
      <c r="E793" t="str">
        <f>IFERROR(__xludf.DUMMYFUNCTION("""COMPUTED_VALUE"""),"Ben帳戶")</f>
        <v>Ben帳戶</v>
      </c>
      <c r="G793" t="str">
        <f>IFERROR(__xludf.DUMMYFUNCTION("""COMPUTED_VALUE"""),"景安2分鐘")</f>
        <v>景安2分鐘</v>
      </c>
      <c r="H793" s="106" t="str">
        <f t="shared" si="1"/>
        <v>2024-09</v>
      </c>
      <c r="I793" s="271" t="str">
        <f>IFERROR(__xludf.DUMMYFUNCTION("""COMPUTED_VALUE"""),"貓狗企鵝")</f>
        <v>貓狗企鵝</v>
      </c>
      <c r="J793" t="str">
        <f>IFERROR(__xludf.DUMMYFUNCTION("IFS(
  AND(REGEXMATCH(E793, ""台銀籌備帳戶|玉山帳戶""), REGEXMATCH(C793, ""薪資"")), ""分潤支出"",
  AND(REGEXMATCH(E793, ""Ben帳戶|Elsa帳戶|Ben代墊|Ariel代墊|中信銀行共用""), REGEXMATCH(F793, ""Ben帳戶|Elsa帳戶|Ben代墊|Ariel代墊|中信銀行共用"")), ""內部轉帳(忽略)"",
  AND(E793&lt;&gt;"""", F793&lt;&gt;"""", NOT(REG"&amp;"EXMATCH(C793, ""薪資""))), ""內部轉帳(忽略)"",
  REGEXMATCH(C793, ""薪資""), ""薪資變動(不計入)"",
  REGEXMATCH(C793, ""押金""), ""押金往來"",
  AND(E793&lt;&gt;"""", F793=""""), ""真實支出"",
  AND(E793="""", F793&lt;&gt;""""), ""真實收入"",
  TRUE, ""其他""
)"),"真實支出")</f>
        <v>真實支出</v>
      </c>
      <c r="K793" s="270">
        <f t="shared" si="2"/>
        <v>-36700</v>
      </c>
      <c r="L793">
        <f t="shared" si="3"/>
        <v>0</v>
      </c>
    </row>
    <row r="794">
      <c r="A794" s="107">
        <f>IFERROR(__xludf.DUMMYFUNCTION("""COMPUTED_VALUE"""),45554.0)</f>
        <v>45554</v>
      </c>
      <c r="B794" t="str">
        <f>IFERROR(__xludf.DUMMYFUNCTION("""COMPUTED_VALUE"""),"印表機碳粉")</f>
        <v>印表機碳粉</v>
      </c>
      <c r="C794" t="str">
        <f>IFERROR(__xludf.DUMMYFUNCTION("""COMPUTED_VALUE"""),"費用 - 辦公用品")</f>
        <v>費用 - 辦公用品</v>
      </c>
      <c r="D794" s="270">
        <f>IFERROR(__xludf.DUMMYFUNCTION("""COMPUTED_VALUE"""),-1550.0)</f>
        <v>-1550</v>
      </c>
      <c r="E794" t="str">
        <f>IFERROR(__xludf.DUMMYFUNCTION("""COMPUTED_VALUE"""),"Ben帳戶")</f>
        <v>Ben帳戶</v>
      </c>
      <c r="H794" s="106" t="str">
        <f t="shared" si="1"/>
        <v>2024-09</v>
      </c>
      <c r="I794" s="271" t="str">
        <f>IFERROR(__xludf.DUMMYFUNCTION("""COMPUTED_VALUE"""),"貓狗企鵝")</f>
        <v>貓狗企鵝</v>
      </c>
      <c r="J794" t="str">
        <f>IFERROR(__xludf.DUMMYFUNCTION("IFS(
  AND(REGEXMATCH(E794, ""台銀籌備帳戶|玉山帳戶""), REGEXMATCH(C794, ""薪資"")), ""分潤支出"",
  AND(REGEXMATCH(E794, ""Ben帳戶|Elsa帳戶|Ben代墊|Ariel代墊|中信銀行共用""), REGEXMATCH(F794, ""Ben帳戶|Elsa帳戶|Ben代墊|Ariel代墊|中信銀行共用"")), ""內部轉帳(忽略)"",
  AND(E794&lt;&gt;"""", F794&lt;&gt;"""", NOT(REG"&amp;"EXMATCH(C794, ""薪資""))), ""內部轉帳(忽略)"",
  REGEXMATCH(C794, ""薪資""), ""薪資變動(不計入)"",
  REGEXMATCH(C794, ""押金""), ""押金往來"",
  AND(E794&lt;&gt;"""", F794=""""), ""真實支出"",
  AND(E794="""", F794&lt;&gt;""""), ""真實收入"",
  TRUE, ""其他""
)"),"真實支出")</f>
        <v>真實支出</v>
      </c>
      <c r="K794" s="270">
        <f t="shared" si="2"/>
        <v>-1550</v>
      </c>
      <c r="L794">
        <f t="shared" si="3"/>
        <v>0</v>
      </c>
    </row>
    <row r="795">
      <c r="A795" s="107">
        <f>IFERROR(__xludf.DUMMYFUNCTION("""COMPUTED_VALUE"""),45554.0)</f>
        <v>45554</v>
      </c>
      <c r="B795" t="str">
        <f>IFERROR(__xludf.DUMMYFUNCTION("""COMPUTED_VALUE"""),"景安輕隔間")</f>
        <v>景安輕隔間</v>
      </c>
      <c r="C795" t="str">
        <f>IFERROR(__xludf.DUMMYFUNCTION("""COMPUTED_VALUE"""),"成本 - 進場前裝潢費")</f>
        <v>成本 - 進場前裝潢費</v>
      </c>
      <c r="D795" s="270">
        <f>IFERROR(__xludf.DUMMYFUNCTION("""COMPUTED_VALUE"""),-28491.0)</f>
        <v>-28491</v>
      </c>
      <c r="E795" t="str">
        <f>IFERROR(__xludf.DUMMYFUNCTION("""COMPUTED_VALUE"""),"台銀籌備帳戶")</f>
        <v>台銀籌備帳戶</v>
      </c>
      <c r="G795" t="str">
        <f>IFERROR(__xludf.DUMMYFUNCTION("""COMPUTED_VALUE"""),"景安2分鐘")</f>
        <v>景安2分鐘</v>
      </c>
      <c r="H795" s="106" t="str">
        <f t="shared" si="1"/>
        <v>2024-09</v>
      </c>
      <c r="I795" s="271" t="str">
        <f>IFERROR(__xludf.DUMMYFUNCTION("""COMPUTED_VALUE"""),"貓狗企鵝")</f>
        <v>貓狗企鵝</v>
      </c>
      <c r="J795" t="str">
        <f>IFERROR(__xludf.DUMMYFUNCTION("IFS(
  AND(REGEXMATCH(E795, ""台銀籌備帳戶|玉山帳戶""), REGEXMATCH(C795, ""薪資"")), ""分潤支出"",
  AND(REGEXMATCH(E795, ""Ben帳戶|Elsa帳戶|Ben代墊|Ariel代墊|中信銀行共用""), REGEXMATCH(F795, ""Ben帳戶|Elsa帳戶|Ben代墊|Ariel代墊|中信銀行共用"")), ""內部轉帳(忽略)"",
  AND(E795&lt;&gt;"""", F795&lt;&gt;"""", NOT(REG"&amp;"EXMATCH(C795, ""薪資""))), ""內部轉帳(忽略)"",
  REGEXMATCH(C795, ""薪資""), ""薪資變動(不計入)"",
  REGEXMATCH(C795, ""押金""), ""押金往來"",
  AND(E795&lt;&gt;"""", F795=""""), ""真實支出"",
  AND(E795="""", F795&lt;&gt;""""), ""真實收入"",
  TRUE, ""其他""
)"),"真實支出")</f>
        <v>真實支出</v>
      </c>
      <c r="K795" s="270">
        <f t="shared" si="2"/>
        <v>-28491</v>
      </c>
      <c r="L795">
        <f t="shared" si="3"/>
        <v>0</v>
      </c>
    </row>
    <row r="796">
      <c r="A796" s="107">
        <f>IFERROR(__xludf.DUMMYFUNCTION("""COMPUTED_VALUE"""),45554.0)</f>
        <v>45554</v>
      </c>
      <c r="B796" t="str">
        <f>IFERROR(__xludf.DUMMYFUNCTION("""COMPUTED_VALUE"""),"景安拆除")</f>
        <v>景安拆除</v>
      </c>
      <c r="C796" t="str">
        <f>IFERROR(__xludf.DUMMYFUNCTION("""COMPUTED_VALUE"""),"成本 - 進場前裝潢費")</f>
        <v>成本 - 進場前裝潢費</v>
      </c>
      <c r="D796" s="270">
        <f>IFERROR(__xludf.DUMMYFUNCTION("""COMPUTED_VALUE"""),-14715.0)</f>
        <v>-14715</v>
      </c>
      <c r="E796" t="str">
        <f>IFERROR(__xludf.DUMMYFUNCTION("""COMPUTED_VALUE"""),"台銀籌備帳戶")</f>
        <v>台銀籌備帳戶</v>
      </c>
      <c r="G796" t="str">
        <f>IFERROR(__xludf.DUMMYFUNCTION("""COMPUTED_VALUE"""),"景安2分鐘")</f>
        <v>景安2分鐘</v>
      </c>
      <c r="H796" s="106" t="str">
        <f t="shared" si="1"/>
        <v>2024-09</v>
      </c>
      <c r="I796" s="271" t="str">
        <f>IFERROR(__xludf.DUMMYFUNCTION("""COMPUTED_VALUE"""),"貓狗企鵝")</f>
        <v>貓狗企鵝</v>
      </c>
      <c r="J796" t="str">
        <f>IFERROR(__xludf.DUMMYFUNCTION("IFS(
  AND(REGEXMATCH(E796, ""台銀籌備帳戶|玉山帳戶""), REGEXMATCH(C796, ""薪資"")), ""分潤支出"",
  AND(REGEXMATCH(E796, ""Ben帳戶|Elsa帳戶|Ben代墊|Ariel代墊|中信銀行共用""), REGEXMATCH(F796, ""Ben帳戶|Elsa帳戶|Ben代墊|Ariel代墊|中信銀行共用"")), ""內部轉帳(忽略)"",
  AND(E796&lt;&gt;"""", F796&lt;&gt;"""", NOT(REG"&amp;"EXMATCH(C796, ""薪資""))), ""內部轉帳(忽略)"",
  REGEXMATCH(C796, ""薪資""), ""薪資變動(不計入)"",
  REGEXMATCH(C796, ""押金""), ""押金往來"",
  AND(E796&lt;&gt;"""", F796=""""), ""真實支出"",
  AND(E796="""", F796&lt;&gt;""""), ""真實收入"",
  TRUE, ""其他""
)"),"真實支出")</f>
        <v>真實支出</v>
      </c>
      <c r="K796" s="270">
        <f t="shared" si="2"/>
        <v>-14715</v>
      </c>
      <c r="L796">
        <f t="shared" si="3"/>
        <v>0</v>
      </c>
    </row>
    <row r="797">
      <c r="A797" s="107">
        <f>IFERROR(__xludf.DUMMYFUNCTION("""COMPUTED_VALUE"""),45555.0)</f>
        <v>45555</v>
      </c>
      <c r="B797" t="str">
        <f>IFERROR(__xludf.DUMMYFUNCTION("""COMPUTED_VALUE"""),"運費")</f>
        <v>運費</v>
      </c>
      <c r="C797" t="str">
        <f>IFERROR(__xludf.DUMMYFUNCTION("""COMPUTED_VALUE"""),"成本 - 進場前裝潢費")</f>
        <v>成本 - 進場前裝潢費</v>
      </c>
      <c r="D797" s="270">
        <f>IFERROR(__xludf.DUMMYFUNCTION("""COMPUTED_VALUE"""),-4092.0)</f>
        <v>-4092</v>
      </c>
      <c r="E797" t="str">
        <f>IFERROR(__xludf.DUMMYFUNCTION("""COMPUTED_VALUE"""),"Ben帳戶")</f>
        <v>Ben帳戶</v>
      </c>
      <c r="G797" t="str">
        <f>IFERROR(__xludf.DUMMYFUNCTION("""COMPUTED_VALUE"""),"景安2分鐘")</f>
        <v>景安2分鐘</v>
      </c>
      <c r="H797" s="106" t="str">
        <f t="shared" si="1"/>
        <v>2024-09</v>
      </c>
      <c r="I797" s="271" t="str">
        <f>IFERROR(__xludf.DUMMYFUNCTION("""COMPUTED_VALUE"""),"貓狗企鵝")</f>
        <v>貓狗企鵝</v>
      </c>
      <c r="J797" t="str">
        <f>IFERROR(__xludf.DUMMYFUNCTION("IFS(
  AND(REGEXMATCH(E797, ""台銀籌備帳戶|玉山帳戶""), REGEXMATCH(C797, ""薪資"")), ""分潤支出"",
  AND(REGEXMATCH(E797, ""Ben帳戶|Elsa帳戶|Ben代墊|Ariel代墊|中信銀行共用""), REGEXMATCH(F797, ""Ben帳戶|Elsa帳戶|Ben代墊|Ariel代墊|中信銀行共用"")), ""內部轉帳(忽略)"",
  AND(E797&lt;&gt;"""", F797&lt;&gt;"""", NOT(REG"&amp;"EXMATCH(C797, ""薪資""))), ""內部轉帳(忽略)"",
  REGEXMATCH(C797, ""薪資""), ""薪資變動(不計入)"",
  REGEXMATCH(C797, ""押金""), ""押金往來"",
  AND(E797&lt;&gt;"""", F797=""""), ""真實支出"",
  AND(E797="""", F797&lt;&gt;""""), ""真實收入"",
  TRUE, ""其他""
)"),"真實支出")</f>
        <v>真實支出</v>
      </c>
      <c r="K797" s="270">
        <f t="shared" si="2"/>
        <v>-4092</v>
      </c>
      <c r="L797">
        <f t="shared" si="3"/>
        <v>0</v>
      </c>
    </row>
    <row r="798">
      <c r="A798" s="107">
        <f>IFERROR(__xludf.DUMMYFUNCTION("""COMPUTED_VALUE"""),45555.0)</f>
        <v>45555</v>
      </c>
      <c r="B798" t="str">
        <f>IFERROR(__xludf.DUMMYFUNCTION("""COMPUTED_VALUE"""),"Simpany退錢")</f>
        <v>Simpany退錢</v>
      </c>
      <c r="C798" t="str">
        <f>IFERROR(__xludf.DUMMYFUNCTION("""COMPUTED_VALUE"""),"費用 - 租用費用")</f>
        <v>費用 - 租用費用</v>
      </c>
      <c r="D798" s="270">
        <f>IFERROR(__xludf.DUMMYFUNCTION("""COMPUTED_VALUE"""),43600.0)</f>
        <v>43600</v>
      </c>
      <c r="F798" t="str">
        <f>IFERROR(__xludf.DUMMYFUNCTION("""COMPUTED_VALUE"""),"台銀籌備帳戶")</f>
        <v>台銀籌備帳戶</v>
      </c>
      <c r="H798" s="106" t="str">
        <f t="shared" si="1"/>
        <v>2024-09</v>
      </c>
      <c r="I798" s="271" t="str">
        <f>IFERROR(__xludf.DUMMYFUNCTION("""COMPUTED_VALUE"""),"貓狗企鵝")</f>
        <v>貓狗企鵝</v>
      </c>
      <c r="J798" t="str">
        <f>IFERROR(__xludf.DUMMYFUNCTION("IFS(
  AND(REGEXMATCH(E798, ""台銀籌備帳戶|玉山帳戶""), REGEXMATCH(C798, ""薪資"")), ""分潤支出"",
  AND(REGEXMATCH(E798, ""Ben帳戶|Elsa帳戶|Ben代墊|Ariel代墊|中信銀行共用""), REGEXMATCH(F798, ""Ben帳戶|Elsa帳戶|Ben代墊|Ariel代墊|中信銀行共用"")), ""內部轉帳(忽略)"",
  AND(E798&lt;&gt;"""", F798&lt;&gt;"""", NOT(REG"&amp;"EXMATCH(C798, ""薪資""))), ""內部轉帳(忽略)"",
  REGEXMATCH(C798, ""薪資""), ""薪資變動(不計入)"",
  REGEXMATCH(C798, ""押金""), ""押金往來"",
  AND(E798&lt;&gt;"""", F798=""""), ""真實支出"",
  AND(E798="""", F798&lt;&gt;""""), ""真實收入"",
  TRUE, ""其他""
)"),"真實收入")</f>
        <v>真實收入</v>
      </c>
      <c r="K798" s="270">
        <f t="shared" si="2"/>
        <v>43600</v>
      </c>
      <c r="L798">
        <f t="shared" si="3"/>
        <v>0</v>
      </c>
    </row>
    <row r="799">
      <c r="A799" s="107">
        <f>IFERROR(__xludf.DUMMYFUNCTION("""COMPUTED_VALUE"""),45556.0)</f>
        <v>45556</v>
      </c>
      <c r="B799" t="str">
        <f>IFERROR(__xludf.DUMMYFUNCTION("""COMPUTED_VALUE"""),"591 PO文")</f>
        <v>591 PO文</v>
      </c>
      <c r="C799" t="str">
        <f>IFERROR(__xludf.DUMMYFUNCTION("""COMPUTED_VALUE"""),"成本 - 進場前裝潢費")</f>
        <v>成本 - 進場前裝潢費</v>
      </c>
      <c r="D799" s="270">
        <f>IFERROR(__xludf.DUMMYFUNCTION("""COMPUTED_VALUE"""),-1289.0)</f>
        <v>-1289</v>
      </c>
      <c r="E799" t="str">
        <f>IFERROR(__xludf.DUMMYFUNCTION("""COMPUTED_VALUE"""),"Elsa帳戶")</f>
        <v>Elsa帳戶</v>
      </c>
      <c r="G799" t="str">
        <f>IFERROR(__xludf.DUMMYFUNCTION("""COMPUTED_VALUE"""),"金龍帽子先生")</f>
        <v>金龍帽子先生</v>
      </c>
      <c r="H799" s="106" t="str">
        <f t="shared" si="1"/>
        <v>2024-09</v>
      </c>
      <c r="I799" s="271" t="str">
        <f>IFERROR(__xludf.DUMMYFUNCTION("""COMPUTED_VALUE"""),"貓狗企鵝")</f>
        <v>貓狗企鵝</v>
      </c>
      <c r="J799" t="str">
        <f>IFERROR(__xludf.DUMMYFUNCTION("IFS(
  AND(REGEXMATCH(E799, ""台銀籌備帳戶|玉山帳戶""), REGEXMATCH(C799, ""薪資"")), ""分潤支出"",
  AND(REGEXMATCH(E799, ""Ben帳戶|Elsa帳戶|Ben代墊|Ariel代墊|中信銀行共用""), REGEXMATCH(F799, ""Ben帳戶|Elsa帳戶|Ben代墊|Ariel代墊|中信銀行共用"")), ""內部轉帳(忽略)"",
  AND(E799&lt;&gt;"""", F799&lt;&gt;"""", NOT(REG"&amp;"EXMATCH(C799, ""薪資""))), ""內部轉帳(忽略)"",
  REGEXMATCH(C799, ""薪資""), ""薪資變動(不計入)"",
  REGEXMATCH(C799, ""押金""), ""押金往來"",
  AND(E799&lt;&gt;"""", F799=""""), ""真實支出"",
  AND(E799="""", F799&lt;&gt;""""), ""真實收入"",
  TRUE, ""其他""
)"),"真實支出")</f>
        <v>真實支出</v>
      </c>
      <c r="K799" s="270">
        <f t="shared" si="2"/>
        <v>-1289</v>
      </c>
      <c r="L799">
        <f t="shared" si="3"/>
        <v>0</v>
      </c>
    </row>
    <row r="800">
      <c r="A800" s="107">
        <f>IFERROR(__xludf.DUMMYFUNCTION("""COMPUTED_VALUE"""),45556.0)</f>
        <v>45556</v>
      </c>
      <c r="B800" t="str">
        <f>IFERROR(__xludf.DUMMYFUNCTION("""COMPUTED_VALUE"""),"通水管")</f>
        <v>通水管</v>
      </c>
      <c r="C800" t="str">
        <f>IFERROR(__xludf.DUMMYFUNCTION("""COMPUTED_VALUE"""),"成本 - 租後修繕")</f>
        <v>成本 - 租後修繕</v>
      </c>
      <c r="D800" s="270">
        <f>IFERROR(__xludf.DUMMYFUNCTION("""COMPUTED_VALUE"""),-1250.0)</f>
        <v>-1250</v>
      </c>
      <c r="E800" t="str">
        <f>IFERROR(__xludf.DUMMYFUNCTION("""COMPUTED_VALUE"""),"Ben帳戶")</f>
        <v>Ben帳戶</v>
      </c>
      <c r="G800" t="str">
        <f>IFERROR(__xludf.DUMMYFUNCTION("""COMPUTED_VALUE"""),"大湖山莊")</f>
        <v>大湖山莊</v>
      </c>
      <c r="H800" s="106" t="str">
        <f t="shared" si="1"/>
        <v>2024-09</v>
      </c>
      <c r="I800" s="271" t="str">
        <f>IFERROR(__xludf.DUMMYFUNCTION("""COMPUTED_VALUE"""),"貓狗企鵝")</f>
        <v>貓狗企鵝</v>
      </c>
      <c r="J800" t="str">
        <f>IFERROR(__xludf.DUMMYFUNCTION("IFS(
  AND(REGEXMATCH(E800, ""台銀籌備帳戶|玉山帳戶""), REGEXMATCH(C800, ""薪資"")), ""分潤支出"",
  AND(REGEXMATCH(E800, ""Ben帳戶|Elsa帳戶|Ben代墊|Ariel代墊|中信銀行共用""), REGEXMATCH(F800, ""Ben帳戶|Elsa帳戶|Ben代墊|Ariel代墊|中信銀行共用"")), ""內部轉帳(忽略)"",
  AND(E800&lt;&gt;"""", F800&lt;&gt;"""", NOT(REG"&amp;"EXMATCH(C800, ""薪資""))), ""內部轉帳(忽略)"",
  REGEXMATCH(C800, ""薪資""), ""薪資變動(不計入)"",
  REGEXMATCH(C800, ""押金""), ""押金往來"",
  AND(E800&lt;&gt;"""", F800=""""), ""真實支出"",
  AND(E800="""", F800&lt;&gt;""""), ""真實收入"",
  TRUE, ""其他""
)"),"真實支出")</f>
        <v>真實支出</v>
      </c>
      <c r="K800" s="270">
        <f t="shared" si="2"/>
        <v>-1250</v>
      </c>
      <c r="L800">
        <f t="shared" si="3"/>
        <v>0</v>
      </c>
    </row>
    <row r="801">
      <c r="A801" s="107">
        <f>IFERROR(__xludf.DUMMYFUNCTION("""COMPUTED_VALUE"""),45556.0)</f>
        <v>45556</v>
      </c>
      <c r="B801" t="str">
        <f>IFERROR(__xludf.DUMMYFUNCTION("""COMPUTED_VALUE"""),"金龍帽子先生C李侑芯")</f>
        <v>金龍帽子先生C李侑芯</v>
      </c>
      <c r="C801" t="str">
        <f>IFERROR(__xludf.DUMMYFUNCTION("""COMPUTED_VALUE"""),"收入 - 租金")</f>
        <v>收入 - 租金</v>
      </c>
      <c r="D801" s="270">
        <f>IFERROR(__xludf.DUMMYFUNCTION("""COMPUTED_VALUE"""),10000.0)</f>
        <v>10000</v>
      </c>
      <c r="F801" t="str">
        <f>IFERROR(__xludf.DUMMYFUNCTION("""COMPUTED_VALUE"""),"台銀籌備帳戶")</f>
        <v>台銀籌備帳戶</v>
      </c>
      <c r="G801" t="str">
        <f>IFERROR(__xludf.DUMMYFUNCTION("""COMPUTED_VALUE"""),"金龍帽子先生")</f>
        <v>金龍帽子先生</v>
      </c>
      <c r="H801" s="106" t="str">
        <f t="shared" si="1"/>
        <v>2024-09</v>
      </c>
      <c r="I801" s="271" t="str">
        <f>IFERROR(__xludf.DUMMYFUNCTION("""COMPUTED_VALUE"""),"貓狗企鵝")</f>
        <v>貓狗企鵝</v>
      </c>
      <c r="J801" t="str">
        <f>IFERROR(__xludf.DUMMYFUNCTION("IFS(
  AND(REGEXMATCH(E801, ""台銀籌備帳戶|玉山帳戶""), REGEXMATCH(C801, ""薪資"")), ""分潤支出"",
  AND(REGEXMATCH(E801, ""Ben帳戶|Elsa帳戶|Ben代墊|Ariel代墊|中信銀行共用""), REGEXMATCH(F801, ""Ben帳戶|Elsa帳戶|Ben代墊|Ariel代墊|中信銀行共用"")), ""內部轉帳(忽略)"",
  AND(E801&lt;&gt;"""", F801&lt;&gt;"""", NOT(REG"&amp;"EXMATCH(C801, ""薪資""))), ""內部轉帳(忽略)"",
  REGEXMATCH(C801, ""薪資""), ""薪資變動(不計入)"",
  REGEXMATCH(C801, ""押金""), ""押金往來"",
  AND(E801&lt;&gt;"""", F801=""""), ""真實支出"",
  AND(E801="""", F801&lt;&gt;""""), ""真實收入"",
  TRUE, ""其他""
)"),"真實收入")</f>
        <v>真實收入</v>
      </c>
      <c r="K801" s="270">
        <f t="shared" si="2"/>
        <v>10000</v>
      </c>
      <c r="L801">
        <f t="shared" si="3"/>
        <v>0</v>
      </c>
    </row>
    <row r="802">
      <c r="A802" s="107">
        <f>IFERROR(__xludf.DUMMYFUNCTION("""COMPUTED_VALUE"""),45556.0)</f>
        <v>45556</v>
      </c>
      <c r="B802" t="str">
        <f>IFERROR(__xludf.DUMMYFUNCTION("""COMPUTED_VALUE"""),"網路安裝退佣")</f>
        <v>網路安裝退佣</v>
      </c>
      <c r="C802" t="str">
        <f>IFERROR(__xludf.DUMMYFUNCTION("""COMPUTED_VALUE"""),"成本 - 固定開銷(網路代收清潔)")</f>
        <v>成本 - 固定開銷(網路代收清潔)</v>
      </c>
      <c r="D802" s="270">
        <f>IFERROR(__xludf.DUMMYFUNCTION("""COMPUTED_VALUE"""),500.0)</f>
        <v>500</v>
      </c>
      <c r="F802" t="str">
        <f>IFERROR(__xludf.DUMMYFUNCTION("""COMPUTED_VALUE"""),"台銀籌備帳戶")</f>
        <v>台銀籌備帳戶</v>
      </c>
      <c r="G802" t="str">
        <f>IFERROR(__xludf.DUMMYFUNCTION("""COMPUTED_VALUE"""),"景安2分鐘")</f>
        <v>景安2分鐘</v>
      </c>
      <c r="H802" s="106" t="str">
        <f t="shared" si="1"/>
        <v>2024-09</v>
      </c>
      <c r="I802" s="271" t="str">
        <f>IFERROR(__xludf.DUMMYFUNCTION("""COMPUTED_VALUE"""),"貓狗企鵝")</f>
        <v>貓狗企鵝</v>
      </c>
      <c r="J802" t="str">
        <f>IFERROR(__xludf.DUMMYFUNCTION("IFS(
  AND(REGEXMATCH(E802, ""台銀籌備帳戶|玉山帳戶""), REGEXMATCH(C802, ""薪資"")), ""分潤支出"",
  AND(REGEXMATCH(E802, ""Ben帳戶|Elsa帳戶|Ben代墊|Ariel代墊|中信銀行共用""), REGEXMATCH(F802, ""Ben帳戶|Elsa帳戶|Ben代墊|Ariel代墊|中信銀行共用"")), ""內部轉帳(忽略)"",
  AND(E802&lt;&gt;"""", F802&lt;&gt;"""", NOT(REG"&amp;"EXMATCH(C802, ""薪資""))), ""內部轉帳(忽略)"",
  REGEXMATCH(C802, ""薪資""), ""薪資變動(不計入)"",
  REGEXMATCH(C802, ""押金""), ""押金往來"",
  AND(E802&lt;&gt;"""", F802=""""), ""真實支出"",
  AND(E802="""", F802&lt;&gt;""""), ""真實收入"",
  TRUE, ""其他""
)"),"真實收入")</f>
        <v>真實收入</v>
      </c>
      <c r="K802" s="270">
        <f t="shared" si="2"/>
        <v>500</v>
      </c>
      <c r="L802">
        <f t="shared" si="3"/>
        <v>0</v>
      </c>
    </row>
    <row r="803">
      <c r="A803" s="107">
        <f>IFERROR(__xludf.DUMMYFUNCTION("""COMPUTED_VALUE"""),45556.0)</f>
        <v>45556</v>
      </c>
      <c r="B803" t="str">
        <f>IFERROR(__xludf.DUMMYFUNCTION("""COMPUTED_VALUE"""),"金龍帽子先生D劉曉婷")</f>
        <v>金龍帽子先生D劉曉婷</v>
      </c>
      <c r="C803" t="str">
        <f>IFERROR(__xludf.DUMMYFUNCTION("""COMPUTED_VALUE"""),"收入 - 租金")</f>
        <v>收入 - 租金</v>
      </c>
      <c r="D803" s="270">
        <f>IFERROR(__xludf.DUMMYFUNCTION("""COMPUTED_VALUE"""),10000.0)</f>
        <v>10000</v>
      </c>
      <c r="F803" t="str">
        <f>IFERROR(__xludf.DUMMYFUNCTION("""COMPUTED_VALUE"""),"台銀籌備帳戶")</f>
        <v>台銀籌備帳戶</v>
      </c>
      <c r="G803" t="str">
        <f>IFERROR(__xludf.DUMMYFUNCTION("""COMPUTED_VALUE"""),"金龍帽子先生")</f>
        <v>金龍帽子先生</v>
      </c>
      <c r="H803" s="106" t="str">
        <f t="shared" si="1"/>
        <v>2024-09</v>
      </c>
      <c r="I803" s="271" t="str">
        <f>IFERROR(__xludf.DUMMYFUNCTION("""COMPUTED_VALUE"""),"貓狗企鵝")</f>
        <v>貓狗企鵝</v>
      </c>
      <c r="J803" t="str">
        <f>IFERROR(__xludf.DUMMYFUNCTION("IFS(
  AND(REGEXMATCH(E803, ""台銀籌備帳戶|玉山帳戶""), REGEXMATCH(C803, ""薪資"")), ""分潤支出"",
  AND(REGEXMATCH(E803, ""Ben帳戶|Elsa帳戶|Ben代墊|Ariel代墊|中信銀行共用""), REGEXMATCH(F803, ""Ben帳戶|Elsa帳戶|Ben代墊|Ariel代墊|中信銀行共用"")), ""內部轉帳(忽略)"",
  AND(E803&lt;&gt;"""", F803&lt;&gt;"""", NOT(REG"&amp;"EXMATCH(C803, ""薪資""))), ""內部轉帳(忽略)"",
  REGEXMATCH(C803, ""薪資""), ""薪資變動(不計入)"",
  REGEXMATCH(C803, ""押金""), ""押金往來"",
  AND(E803&lt;&gt;"""", F803=""""), ""真實支出"",
  AND(E803="""", F803&lt;&gt;""""), ""真實收入"",
  TRUE, ""其他""
)"),"真實收入")</f>
        <v>真實收入</v>
      </c>
      <c r="K803" s="270">
        <f t="shared" si="2"/>
        <v>10000</v>
      </c>
      <c r="L803">
        <f t="shared" si="3"/>
        <v>0</v>
      </c>
    </row>
    <row r="804">
      <c r="A804" s="107">
        <f>IFERROR(__xludf.DUMMYFUNCTION("""COMPUTED_VALUE"""),45557.0)</f>
        <v>45557</v>
      </c>
      <c r="B804" t="str">
        <f>IFERROR(__xludf.DUMMYFUNCTION("""COMPUTED_VALUE"""),"運費")</f>
        <v>運費</v>
      </c>
      <c r="C804" t="str">
        <f>IFERROR(__xludf.DUMMYFUNCTION("""COMPUTED_VALUE"""),"成本 - 進場前裝潢費")</f>
        <v>成本 - 進場前裝潢費</v>
      </c>
      <c r="D804" s="270">
        <f>IFERROR(__xludf.DUMMYFUNCTION("""COMPUTED_VALUE"""),-6262.0)</f>
        <v>-6262</v>
      </c>
      <c r="E804" t="str">
        <f>IFERROR(__xludf.DUMMYFUNCTION("""COMPUTED_VALUE"""),"Ben帳戶")</f>
        <v>Ben帳戶</v>
      </c>
      <c r="G804" t="str">
        <f>IFERROR(__xludf.DUMMYFUNCTION("""COMPUTED_VALUE"""),"景安2分鐘")</f>
        <v>景安2分鐘</v>
      </c>
      <c r="H804" s="106" t="str">
        <f t="shared" si="1"/>
        <v>2024-09</v>
      </c>
      <c r="I804" s="271" t="str">
        <f>IFERROR(__xludf.DUMMYFUNCTION("""COMPUTED_VALUE"""),"貓狗企鵝")</f>
        <v>貓狗企鵝</v>
      </c>
      <c r="J804" t="str">
        <f>IFERROR(__xludf.DUMMYFUNCTION("IFS(
  AND(REGEXMATCH(E804, ""台銀籌備帳戶|玉山帳戶""), REGEXMATCH(C804, ""薪資"")), ""分潤支出"",
  AND(REGEXMATCH(E804, ""Ben帳戶|Elsa帳戶|Ben代墊|Ariel代墊|中信銀行共用""), REGEXMATCH(F804, ""Ben帳戶|Elsa帳戶|Ben代墊|Ariel代墊|中信銀行共用"")), ""內部轉帳(忽略)"",
  AND(E804&lt;&gt;"""", F804&lt;&gt;"""", NOT(REG"&amp;"EXMATCH(C804, ""薪資""))), ""內部轉帳(忽略)"",
  REGEXMATCH(C804, ""薪資""), ""薪資變動(不計入)"",
  REGEXMATCH(C804, ""押金""), ""押金往來"",
  AND(E804&lt;&gt;"""", F804=""""), ""真實支出"",
  AND(E804="""", F804&lt;&gt;""""), ""真實收入"",
  TRUE, ""其他""
)"),"真實支出")</f>
        <v>真實支出</v>
      </c>
      <c r="K804" s="270">
        <f t="shared" si="2"/>
        <v>-6262</v>
      </c>
      <c r="L804">
        <f t="shared" si="3"/>
        <v>0</v>
      </c>
    </row>
    <row r="805">
      <c r="A805" s="107">
        <f>IFERROR(__xludf.DUMMYFUNCTION("""COMPUTED_VALUE"""),45557.0)</f>
        <v>45557</v>
      </c>
      <c r="B805" t="str">
        <f>IFERROR(__xludf.DUMMYFUNCTION("""COMPUTED_VALUE"""),"文具")</f>
        <v>文具</v>
      </c>
      <c r="C805" t="str">
        <f>IFERROR(__xludf.DUMMYFUNCTION("""COMPUTED_VALUE"""),"費用 - 辦公用品")</f>
        <v>費用 - 辦公用品</v>
      </c>
      <c r="D805" s="270">
        <f>IFERROR(__xludf.DUMMYFUNCTION("""COMPUTED_VALUE"""),-1194.0)</f>
        <v>-1194</v>
      </c>
      <c r="E805" t="str">
        <f>IFERROR(__xludf.DUMMYFUNCTION("""COMPUTED_VALUE"""),"Ben帳戶")</f>
        <v>Ben帳戶</v>
      </c>
      <c r="H805" s="106" t="str">
        <f t="shared" si="1"/>
        <v>2024-09</v>
      </c>
      <c r="I805" s="271" t="str">
        <f>IFERROR(__xludf.DUMMYFUNCTION("""COMPUTED_VALUE"""),"貓狗企鵝")</f>
        <v>貓狗企鵝</v>
      </c>
      <c r="J805" t="str">
        <f>IFERROR(__xludf.DUMMYFUNCTION("IFS(
  AND(REGEXMATCH(E805, ""台銀籌備帳戶|玉山帳戶""), REGEXMATCH(C805, ""薪資"")), ""分潤支出"",
  AND(REGEXMATCH(E805, ""Ben帳戶|Elsa帳戶|Ben代墊|Ariel代墊|中信銀行共用""), REGEXMATCH(F805, ""Ben帳戶|Elsa帳戶|Ben代墊|Ariel代墊|中信銀行共用"")), ""內部轉帳(忽略)"",
  AND(E805&lt;&gt;"""", F805&lt;&gt;"""", NOT(REG"&amp;"EXMATCH(C805, ""薪資""))), ""內部轉帳(忽略)"",
  REGEXMATCH(C805, ""薪資""), ""薪資變動(不計入)"",
  REGEXMATCH(C805, ""押金""), ""押金往來"",
  AND(E805&lt;&gt;"""", F805=""""), ""真實支出"",
  AND(E805="""", F805&lt;&gt;""""), ""真實收入"",
  TRUE, ""其他""
)"),"真實支出")</f>
        <v>真實支出</v>
      </c>
      <c r="K805" s="270">
        <f t="shared" si="2"/>
        <v>-1194</v>
      </c>
      <c r="L805">
        <f t="shared" si="3"/>
        <v>0</v>
      </c>
    </row>
    <row r="806">
      <c r="A806" s="107">
        <f>IFERROR(__xludf.DUMMYFUNCTION("""COMPUTED_VALUE"""),45557.0)</f>
        <v>45557</v>
      </c>
      <c r="B806" t="str">
        <f>IFERROR(__xludf.DUMMYFUNCTION("""COMPUTED_VALUE"""),"油漆丁景安")</f>
        <v>油漆丁景安</v>
      </c>
      <c r="C806" t="str">
        <f>IFERROR(__xludf.DUMMYFUNCTION("""COMPUTED_VALUE"""),"成本 - 進場前裝潢費")</f>
        <v>成本 - 進場前裝潢費</v>
      </c>
      <c r="D806" s="270">
        <f>IFERROR(__xludf.DUMMYFUNCTION("""COMPUTED_VALUE"""),-19815.0)</f>
        <v>-19815</v>
      </c>
      <c r="E806" t="str">
        <f>IFERROR(__xludf.DUMMYFUNCTION("""COMPUTED_VALUE"""),"台銀籌備帳戶")</f>
        <v>台銀籌備帳戶</v>
      </c>
      <c r="G806" t="str">
        <f>IFERROR(__xludf.DUMMYFUNCTION("""COMPUTED_VALUE"""),"景安2分鐘")</f>
        <v>景安2分鐘</v>
      </c>
      <c r="H806" s="106" t="str">
        <f t="shared" si="1"/>
        <v>2024-09</v>
      </c>
      <c r="I806" s="271" t="str">
        <f>IFERROR(__xludf.DUMMYFUNCTION("""COMPUTED_VALUE"""),"貓狗企鵝")</f>
        <v>貓狗企鵝</v>
      </c>
      <c r="J806" t="str">
        <f>IFERROR(__xludf.DUMMYFUNCTION("IFS(
  AND(REGEXMATCH(E806, ""台銀籌備帳戶|玉山帳戶""), REGEXMATCH(C806, ""薪資"")), ""分潤支出"",
  AND(REGEXMATCH(E806, ""Ben帳戶|Elsa帳戶|Ben代墊|Ariel代墊|中信銀行共用""), REGEXMATCH(F806, ""Ben帳戶|Elsa帳戶|Ben代墊|Ariel代墊|中信銀行共用"")), ""內部轉帳(忽略)"",
  AND(E806&lt;&gt;"""", F806&lt;&gt;"""", NOT(REG"&amp;"EXMATCH(C806, ""薪資""))), ""內部轉帳(忽略)"",
  REGEXMATCH(C806, ""薪資""), ""薪資變動(不計入)"",
  REGEXMATCH(C806, ""押金""), ""押金往來"",
  AND(E806&lt;&gt;"""", F806=""""), ""真實支出"",
  AND(E806="""", F806&lt;&gt;""""), ""真實收入"",
  TRUE, ""其他""
)"),"真實支出")</f>
        <v>真實支出</v>
      </c>
      <c r="K806" s="270">
        <f t="shared" si="2"/>
        <v>-19815</v>
      </c>
      <c r="L806">
        <f t="shared" si="3"/>
        <v>0</v>
      </c>
    </row>
    <row r="807">
      <c r="A807" s="107">
        <f>IFERROR(__xludf.DUMMYFUNCTION("""COMPUTED_VALUE"""),45558.0)</f>
        <v>45558</v>
      </c>
      <c r="B807" t="str">
        <f>IFERROR(__xludf.DUMMYFUNCTION("""COMPUTED_VALUE"""),"中山娘家大房租")</f>
        <v>中山娘家大房租</v>
      </c>
      <c r="C807" t="str">
        <f>IFERROR(__xludf.DUMMYFUNCTION("""COMPUTED_VALUE"""),"成本 - 大租金")</f>
        <v>成本 - 大租金</v>
      </c>
      <c r="D807" s="270">
        <f>IFERROR(__xludf.DUMMYFUNCTION("""COMPUTED_VALUE"""),-23000.0)</f>
        <v>-23000</v>
      </c>
      <c r="E807" t="str">
        <f>IFERROR(__xludf.DUMMYFUNCTION("""COMPUTED_VALUE"""),"Ben帳戶")</f>
        <v>Ben帳戶</v>
      </c>
      <c r="G807" t="str">
        <f>IFERROR(__xludf.DUMMYFUNCTION("""COMPUTED_VALUE"""),"中山北娘家旁")</f>
        <v>中山北娘家旁</v>
      </c>
      <c r="H807" s="106" t="str">
        <f t="shared" si="1"/>
        <v>2024-09</v>
      </c>
      <c r="I807" s="271" t="str">
        <f>IFERROR(__xludf.DUMMYFUNCTION("""COMPUTED_VALUE"""),"貓狗企鵝")</f>
        <v>貓狗企鵝</v>
      </c>
      <c r="J807" t="str">
        <f>IFERROR(__xludf.DUMMYFUNCTION("IFS(
  AND(REGEXMATCH(E807, ""台銀籌備帳戶|玉山帳戶""), REGEXMATCH(C807, ""薪資"")), ""分潤支出"",
  AND(REGEXMATCH(E807, ""Ben帳戶|Elsa帳戶|Ben代墊|Ariel代墊|中信銀行共用""), REGEXMATCH(F807, ""Ben帳戶|Elsa帳戶|Ben代墊|Ariel代墊|中信銀行共用"")), ""內部轉帳(忽略)"",
  AND(E807&lt;&gt;"""", F807&lt;&gt;"""", NOT(REG"&amp;"EXMATCH(C807, ""薪資""))), ""內部轉帳(忽略)"",
  REGEXMATCH(C807, ""薪資""), ""薪資變動(不計入)"",
  REGEXMATCH(C807, ""押金""), ""押金往來"",
  AND(E807&lt;&gt;"""", F807=""""), ""真實支出"",
  AND(E807="""", F807&lt;&gt;""""), ""真實收入"",
  TRUE, ""其他""
)"),"真實支出")</f>
        <v>真實支出</v>
      </c>
      <c r="K807" s="270">
        <f t="shared" si="2"/>
        <v>-23000</v>
      </c>
      <c r="L807">
        <f t="shared" si="3"/>
        <v>0</v>
      </c>
    </row>
    <row r="808">
      <c r="A808" s="107">
        <f>IFERROR(__xludf.DUMMYFUNCTION("""COMPUTED_VALUE"""),45558.0)</f>
        <v>45558</v>
      </c>
      <c r="B808" t="str">
        <f>IFERROR(__xludf.DUMMYFUNCTION("""COMPUTED_VALUE"""),"公證費")</f>
        <v>公證費</v>
      </c>
      <c r="C808" t="str">
        <f>IFERROR(__xludf.DUMMYFUNCTION("""COMPUTED_VALUE"""),"成本 - 公證費")</f>
        <v>成本 - 公證費</v>
      </c>
      <c r="D808" s="270">
        <f>IFERROR(__xludf.DUMMYFUNCTION("""COMPUTED_VALUE"""),-7500.0)</f>
        <v>-7500</v>
      </c>
      <c r="E808" t="str">
        <f>IFERROR(__xludf.DUMMYFUNCTION("""COMPUTED_VALUE"""),"Ben帳戶")</f>
        <v>Ben帳戶</v>
      </c>
      <c r="G808" t="str">
        <f>IFERROR(__xludf.DUMMYFUNCTION("""COMPUTED_VALUE"""),"中山北娘家旁")</f>
        <v>中山北娘家旁</v>
      </c>
      <c r="H808" s="106" t="str">
        <f t="shared" si="1"/>
        <v>2024-09</v>
      </c>
      <c r="I808" s="271" t="str">
        <f>IFERROR(__xludf.DUMMYFUNCTION("""COMPUTED_VALUE"""),"貓狗企鵝")</f>
        <v>貓狗企鵝</v>
      </c>
      <c r="J808" t="str">
        <f>IFERROR(__xludf.DUMMYFUNCTION("IFS(
  AND(REGEXMATCH(E808, ""台銀籌備帳戶|玉山帳戶""), REGEXMATCH(C808, ""薪資"")), ""分潤支出"",
  AND(REGEXMATCH(E808, ""Ben帳戶|Elsa帳戶|Ben代墊|Ariel代墊|中信銀行共用""), REGEXMATCH(F808, ""Ben帳戶|Elsa帳戶|Ben代墊|Ariel代墊|中信銀行共用"")), ""內部轉帳(忽略)"",
  AND(E808&lt;&gt;"""", F808&lt;&gt;"""", NOT(REG"&amp;"EXMATCH(C808, ""薪資""))), ""內部轉帳(忽略)"",
  REGEXMATCH(C808, ""薪資""), ""薪資變動(不計入)"",
  REGEXMATCH(C808, ""押金""), ""押金往來"",
  AND(E808&lt;&gt;"""", F808=""""), ""真實支出"",
  AND(E808="""", F808&lt;&gt;""""), ""真實收入"",
  TRUE, ""其他""
)"),"真實支出")</f>
        <v>真實支出</v>
      </c>
      <c r="K808" s="270">
        <f t="shared" si="2"/>
        <v>-7500</v>
      </c>
      <c r="L808">
        <f t="shared" si="3"/>
        <v>0</v>
      </c>
    </row>
    <row r="809">
      <c r="A809" s="107">
        <f>IFERROR(__xludf.DUMMYFUNCTION("""COMPUTED_VALUE"""),45558.0)</f>
        <v>45558</v>
      </c>
      <c r="B809" t="str">
        <f>IFERROR(__xludf.DUMMYFUNCTION("""COMPUTED_VALUE"""),"南港A Ikea門把")</f>
        <v>南港A Ikea門把</v>
      </c>
      <c r="C809" t="str">
        <f>IFERROR(__xludf.DUMMYFUNCTION("""COMPUTED_VALUE"""),"成本 - 租後修繕")</f>
        <v>成本 - 租後修繕</v>
      </c>
      <c r="D809" s="270">
        <f>IFERROR(__xludf.DUMMYFUNCTION("""COMPUTED_VALUE"""),-450.0)</f>
        <v>-450</v>
      </c>
      <c r="E809" t="str">
        <f>IFERROR(__xludf.DUMMYFUNCTION("""COMPUTED_VALUE"""),"Ben帳戶")</f>
        <v>Ben帳戶</v>
      </c>
      <c r="G809" t="str">
        <f>IFERROR(__xludf.DUMMYFUNCTION("""COMPUTED_VALUE"""),"南港站挑高宅")</f>
        <v>南港站挑高宅</v>
      </c>
      <c r="H809" s="106" t="str">
        <f t="shared" si="1"/>
        <v>2024-09</v>
      </c>
      <c r="I809" s="271" t="str">
        <f>IFERROR(__xludf.DUMMYFUNCTION("""COMPUTED_VALUE"""),"貓狗企鵝")</f>
        <v>貓狗企鵝</v>
      </c>
      <c r="J809" t="str">
        <f>IFERROR(__xludf.DUMMYFUNCTION("IFS(
  AND(REGEXMATCH(E809, ""台銀籌備帳戶|玉山帳戶""), REGEXMATCH(C809, ""薪資"")), ""分潤支出"",
  AND(REGEXMATCH(E809, ""Ben帳戶|Elsa帳戶|Ben代墊|Ariel代墊|中信銀行共用""), REGEXMATCH(F809, ""Ben帳戶|Elsa帳戶|Ben代墊|Ariel代墊|中信銀行共用"")), ""內部轉帳(忽略)"",
  AND(E809&lt;&gt;"""", F809&lt;&gt;"""", NOT(REG"&amp;"EXMATCH(C809, ""薪資""))), ""內部轉帳(忽略)"",
  REGEXMATCH(C809, ""薪資""), ""薪資變動(不計入)"",
  REGEXMATCH(C809, ""押金""), ""押金往來"",
  AND(E809&lt;&gt;"""", F809=""""), ""真實支出"",
  AND(E809="""", F809&lt;&gt;""""), ""真實收入"",
  TRUE, ""其他""
)"),"真實支出")</f>
        <v>真實支出</v>
      </c>
      <c r="K809" s="270">
        <f t="shared" si="2"/>
        <v>-450</v>
      </c>
      <c r="L809">
        <f t="shared" si="3"/>
        <v>0</v>
      </c>
    </row>
    <row r="810">
      <c r="A810" s="107">
        <f>IFERROR(__xludf.DUMMYFUNCTION("""COMPUTED_VALUE"""),45559.0)</f>
        <v>45559</v>
      </c>
      <c r="B810" t="str">
        <f>IFERROR(__xludf.DUMMYFUNCTION("""COMPUTED_VALUE"""),"丁丁油漆景安")</f>
        <v>丁丁油漆景安</v>
      </c>
      <c r="C810" t="str">
        <f>IFERROR(__xludf.DUMMYFUNCTION("""COMPUTED_VALUE"""),"成本 - 進場前裝潢費")</f>
        <v>成本 - 進場前裝潢費</v>
      </c>
      <c r="D810" s="270">
        <f>IFERROR(__xludf.DUMMYFUNCTION("""COMPUTED_VALUE"""),-17215.0)</f>
        <v>-17215</v>
      </c>
      <c r="E810" t="str">
        <f>IFERROR(__xludf.DUMMYFUNCTION("""COMPUTED_VALUE"""),"台銀籌備帳戶")</f>
        <v>台銀籌備帳戶</v>
      </c>
      <c r="G810" t="str">
        <f>IFERROR(__xludf.DUMMYFUNCTION("""COMPUTED_VALUE"""),"景安2分鐘")</f>
        <v>景安2分鐘</v>
      </c>
      <c r="H810" s="106" t="str">
        <f t="shared" si="1"/>
        <v>2024-09</v>
      </c>
      <c r="I810" s="271" t="str">
        <f>IFERROR(__xludf.DUMMYFUNCTION("""COMPUTED_VALUE"""),"貓狗企鵝")</f>
        <v>貓狗企鵝</v>
      </c>
      <c r="J810" t="str">
        <f>IFERROR(__xludf.DUMMYFUNCTION("IFS(
  AND(REGEXMATCH(E810, ""台銀籌備帳戶|玉山帳戶""), REGEXMATCH(C810, ""薪資"")), ""分潤支出"",
  AND(REGEXMATCH(E810, ""Ben帳戶|Elsa帳戶|Ben代墊|Ariel代墊|中信銀行共用""), REGEXMATCH(F810, ""Ben帳戶|Elsa帳戶|Ben代墊|Ariel代墊|中信銀行共用"")), ""內部轉帳(忽略)"",
  AND(E810&lt;&gt;"""", F810&lt;&gt;"""", NOT(REG"&amp;"EXMATCH(C810, ""薪資""))), ""內部轉帳(忽略)"",
  REGEXMATCH(C810, ""薪資""), ""薪資變動(不計入)"",
  REGEXMATCH(C810, ""押金""), ""押金往來"",
  AND(E810&lt;&gt;"""", F810=""""), ""真實支出"",
  AND(E810="""", F810&lt;&gt;""""), ""真實收入"",
  TRUE, ""其他""
)"),"真實支出")</f>
        <v>真實支出</v>
      </c>
      <c r="K810" s="270">
        <f t="shared" si="2"/>
        <v>-17215</v>
      </c>
      <c r="L810">
        <f t="shared" si="3"/>
        <v>0</v>
      </c>
    </row>
    <row r="811">
      <c r="A811" s="107">
        <f>IFERROR(__xludf.DUMMYFUNCTION("""COMPUTED_VALUE"""),45560.0)</f>
        <v>45560</v>
      </c>
      <c r="B811" t="str">
        <f>IFERROR(__xludf.DUMMYFUNCTION("""COMPUTED_VALUE"""),"淘寶運費")</f>
        <v>淘寶運費</v>
      </c>
      <c r="C811" t="str">
        <f>IFERROR(__xludf.DUMMYFUNCTION("""COMPUTED_VALUE"""),"成本 - 進場前裝潢費")</f>
        <v>成本 - 進場前裝潢費</v>
      </c>
      <c r="D811" s="270">
        <f>IFERROR(__xludf.DUMMYFUNCTION("""COMPUTED_VALUE"""),-10000.0)</f>
        <v>-10000</v>
      </c>
      <c r="E811" t="str">
        <f>IFERROR(__xludf.DUMMYFUNCTION("""COMPUTED_VALUE"""),"Elsa帳戶")</f>
        <v>Elsa帳戶</v>
      </c>
      <c r="G811" t="str">
        <f>IFERROR(__xludf.DUMMYFUNCTION("""COMPUTED_VALUE"""),"景安2分鐘")</f>
        <v>景安2分鐘</v>
      </c>
      <c r="H811" s="106" t="str">
        <f t="shared" si="1"/>
        <v>2024-09</v>
      </c>
      <c r="I811" s="271" t="str">
        <f>IFERROR(__xludf.DUMMYFUNCTION("""COMPUTED_VALUE"""),"貓狗企鵝")</f>
        <v>貓狗企鵝</v>
      </c>
      <c r="J811" t="str">
        <f>IFERROR(__xludf.DUMMYFUNCTION("IFS(
  AND(REGEXMATCH(E811, ""台銀籌備帳戶|玉山帳戶""), REGEXMATCH(C811, ""薪資"")), ""分潤支出"",
  AND(REGEXMATCH(E811, ""Ben帳戶|Elsa帳戶|Ben代墊|Ariel代墊|中信銀行共用""), REGEXMATCH(F811, ""Ben帳戶|Elsa帳戶|Ben代墊|Ariel代墊|中信銀行共用"")), ""內部轉帳(忽略)"",
  AND(E811&lt;&gt;"""", F811&lt;&gt;"""", NOT(REG"&amp;"EXMATCH(C811, ""薪資""))), ""內部轉帳(忽略)"",
  REGEXMATCH(C811, ""薪資""), ""薪資變動(不計入)"",
  REGEXMATCH(C811, ""押金""), ""押金往來"",
  AND(E811&lt;&gt;"""", F811=""""), ""真實支出"",
  AND(E811="""", F811&lt;&gt;""""), ""真實收入"",
  TRUE, ""其他""
)"),"真實支出")</f>
        <v>真實支出</v>
      </c>
      <c r="K811" s="270">
        <f t="shared" si="2"/>
        <v>-10000</v>
      </c>
      <c r="L811">
        <f t="shared" si="3"/>
        <v>0</v>
      </c>
    </row>
    <row r="812">
      <c r="A812" s="107">
        <f>IFERROR(__xludf.DUMMYFUNCTION("""COMPUTED_VALUE"""),45560.0)</f>
        <v>45560</v>
      </c>
      <c r="B812" t="str">
        <f>IFERROR(__xludf.DUMMYFUNCTION("""COMPUTED_VALUE"""),"JOYA LED")</f>
        <v>JOYA LED</v>
      </c>
      <c r="C812" t="str">
        <f>IFERROR(__xludf.DUMMYFUNCTION("""COMPUTED_VALUE"""),"成本 - 進場前裝潢費")</f>
        <v>成本 - 進場前裝潢費</v>
      </c>
      <c r="D812" s="270">
        <f>IFERROR(__xludf.DUMMYFUNCTION("""COMPUTED_VALUE"""),-7952.0)</f>
        <v>-7952</v>
      </c>
      <c r="E812" t="str">
        <f>IFERROR(__xludf.DUMMYFUNCTION("""COMPUTED_VALUE"""),"Elsa帳戶")</f>
        <v>Elsa帳戶</v>
      </c>
      <c r="G812" t="str">
        <f>IFERROR(__xludf.DUMMYFUNCTION("""COMPUTED_VALUE"""),"中山北娘家旁")</f>
        <v>中山北娘家旁</v>
      </c>
      <c r="H812" s="106" t="str">
        <f t="shared" si="1"/>
        <v>2024-09</v>
      </c>
      <c r="I812" s="271" t="str">
        <f>IFERROR(__xludf.DUMMYFUNCTION("""COMPUTED_VALUE"""),"貓狗企鵝")</f>
        <v>貓狗企鵝</v>
      </c>
      <c r="J812" t="str">
        <f>IFERROR(__xludf.DUMMYFUNCTION("IFS(
  AND(REGEXMATCH(E812, ""台銀籌備帳戶|玉山帳戶""), REGEXMATCH(C812, ""薪資"")), ""分潤支出"",
  AND(REGEXMATCH(E812, ""Ben帳戶|Elsa帳戶|Ben代墊|Ariel代墊|中信銀行共用""), REGEXMATCH(F812, ""Ben帳戶|Elsa帳戶|Ben代墊|Ariel代墊|中信銀行共用"")), ""內部轉帳(忽略)"",
  AND(E812&lt;&gt;"""", F812&lt;&gt;"""", NOT(REG"&amp;"EXMATCH(C812, ""薪資""))), ""內部轉帳(忽略)"",
  REGEXMATCH(C812, ""薪資""), ""薪資變動(不計入)"",
  REGEXMATCH(C812, ""押金""), ""押金往來"",
  AND(E812&lt;&gt;"""", F812=""""), ""真實支出"",
  AND(E812="""", F812&lt;&gt;""""), ""真實收入"",
  TRUE, ""其他""
)"),"真實支出")</f>
        <v>真實支出</v>
      </c>
      <c r="K812" s="270">
        <f t="shared" si="2"/>
        <v>-7952</v>
      </c>
      <c r="L812">
        <f t="shared" si="3"/>
        <v>0</v>
      </c>
    </row>
    <row r="813">
      <c r="A813" s="107">
        <f>IFERROR(__xludf.DUMMYFUNCTION("""COMPUTED_VALUE"""),45560.0)</f>
        <v>45560</v>
      </c>
      <c r="B813" t="str">
        <f>IFERROR(__xludf.DUMMYFUNCTION("""COMPUTED_VALUE"""),"大湖山莊F吳智方")</f>
        <v>大湖山莊F吳智方</v>
      </c>
      <c r="C813" t="str">
        <f>IFERROR(__xludf.DUMMYFUNCTION("""COMPUTED_VALUE"""),"收入 - 租金")</f>
        <v>收入 - 租金</v>
      </c>
      <c r="D813" s="270">
        <f>IFERROR(__xludf.DUMMYFUNCTION("""COMPUTED_VALUE"""),9000.0)</f>
        <v>9000</v>
      </c>
      <c r="F813" t="str">
        <f>IFERROR(__xludf.DUMMYFUNCTION("""COMPUTED_VALUE"""),"台銀籌備帳戶")</f>
        <v>台銀籌備帳戶</v>
      </c>
      <c r="G813" t="str">
        <f>IFERROR(__xludf.DUMMYFUNCTION("""COMPUTED_VALUE"""),"大湖山莊")</f>
        <v>大湖山莊</v>
      </c>
      <c r="H813" s="106" t="str">
        <f t="shared" si="1"/>
        <v>2024-09</v>
      </c>
      <c r="I813" s="271" t="str">
        <f>IFERROR(__xludf.DUMMYFUNCTION("""COMPUTED_VALUE"""),"貓狗企鵝")</f>
        <v>貓狗企鵝</v>
      </c>
      <c r="J813" t="str">
        <f>IFERROR(__xludf.DUMMYFUNCTION("IFS(
  AND(REGEXMATCH(E813, ""台銀籌備帳戶|玉山帳戶""), REGEXMATCH(C813, ""薪資"")), ""分潤支出"",
  AND(REGEXMATCH(E813, ""Ben帳戶|Elsa帳戶|Ben代墊|Ariel代墊|中信銀行共用""), REGEXMATCH(F813, ""Ben帳戶|Elsa帳戶|Ben代墊|Ariel代墊|中信銀行共用"")), ""內部轉帳(忽略)"",
  AND(E813&lt;&gt;"""", F813&lt;&gt;"""", NOT(REG"&amp;"EXMATCH(C813, ""薪資""))), ""內部轉帳(忽略)"",
  REGEXMATCH(C813, ""薪資""), ""薪資變動(不計入)"",
  REGEXMATCH(C813, ""押金""), ""押金往來"",
  AND(E813&lt;&gt;"""", F813=""""), ""真實支出"",
  AND(E813="""", F813&lt;&gt;""""), ""真實收入"",
  TRUE, ""其他""
)"),"真實收入")</f>
        <v>真實收入</v>
      </c>
      <c r="K813" s="270">
        <f t="shared" si="2"/>
        <v>9000</v>
      </c>
      <c r="L813">
        <f t="shared" si="3"/>
        <v>0</v>
      </c>
    </row>
    <row r="814">
      <c r="A814" s="107">
        <f>IFERROR(__xludf.DUMMYFUNCTION("""COMPUTED_VALUE"""),45560.0)</f>
        <v>45560</v>
      </c>
      <c r="B814" t="str">
        <f>IFERROR(__xludf.DUMMYFUNCTION("""COMPUTED_VALUE"""),"大湖山莊F吳智方")</f>
        <v>大湖山莊F吳智方</v>
      </c>
      <c r="C814" t="str">
        <f>IFERROR(__xludf.DUMMYFUNCTION("""COMPUTED_VALUE"""),"收入 - 租金")</f>
        <v>收入 - 租金</v>
      </c>
      <c r="D814" s="270">
        <f>IFERROR(__xludf.DUMMYFUNCTION("""COMPUTED_VALUE"""),9000.0)</f>
        <v>9000</v>
      </c>
      <c r="F814" t="str">
        <f>IFERROR(__xludf.DUMMYFUNCTION("""COMPUTED_VALUE"""),"台銀籌備帳戶")</f>
        <v>台銀籌備帳戶</v>
      </c>
      <c r="G814" t="str">
        <f>IFERROR(__xludf.DUMMYFUNCTION("""COMPUTED_VALUE"""),"大湖山莊")</f>
        <v>大湖山莊</v>
      </c>
      <c r="H814" s="106" t="str">
        <f t="shared" si="1"/>
        <v>2024-09</v>
      </c>
      <c r="I814" s="271" t="str">
        <f>IFERROR(__xludf.DUMMYFUNCTION("""COMPUTED_VALUE"""),"貓狗企鵝")</f>
        <v>貓狗企鵝</v>
      </c>
      <c r="J814" t="str">
        <f>IFERROR(__xludf.DUMMYFUNCTION("IFS(
  AND(REGEXMATCH(E814, ""台銀籌備帳戶|玉山帳戶""), REGEXMATCH(C814, ""薪資"")), ""分潤支出"",
  AND(REGEXMATCH(E814, ""Ben帳戶|Elsa帳戶|Ben代墊|Ariel代墊|中信銀行共用""), REGEXMATCH(F814, ""Ben帳戶|Elsa帳戶|Ben代墊|Ariel代墊|中信銀行共用"")), ""內部轉帳(忽略)"",
  AND(E814&lt;&gt;"""", F814&lt;&gt;"""", NOT(REG"&amp;"EXMATCH(C814, ""薪資""))), ""內部轉帳(忽略)"",
  REGEXMATCH(C814, ""薪資""), ""薪資變動(不計入)"",
  REGEXMATCH(C814, ""押金""), ""押金往來"",
  AND(E814&lt;&gt;"""", F814=""""), ""真實支出"",
  AND(E814="""", F814&lt;&gt;""""), ""真實收入"",
  TRUE, ""其他""
)"),"真實收入")</f>
        <v>真實收入</v>
      </c>
      <c r="K814" s="270">
        <f t="shared" si="2"/>
        <v>9000</v>
      </c>
      <c r="L814">
        <f t="shared" si="3"/>
        <v>0</v>
      </c>
    </row>
    <row r="815">
      <c r="A815" s="107">
        <f>IFERROR(__xludf.DUMMYFUNCTION("""COMPUTED_VALUE"""),45560.0)</f>
        <v>45560</v>
      </c>
      <c r="B815" t="str">
        <f>IFERROR(__xludf.DUMMYFUNCTION("""COMPUTED_VALUE"""),"金龍帽子先生  D        劉曉婷")</f>
        <v>金龍帽子先生  D        劉曉婷</v>
      </c>
      <c r="C815" t="str">
        <f>IFERROR(__xludf.DUMMYFUNCTION("""COMPUTED_VALUE"""),"收入 - 租金")</f>
        <v>收入 - 租金</v>
      </c>
      <c r="D815" s="270">
        <f>IFERROR(__xludf.DUMMYFUNCTION("""COMPUTED_VALUE"""),10000.0)</f>
        <v>10000</v>
      </c>
      <c r="F815" t="str">
        <f>IFERROR(__xludf.DUMMYFUNCTION("""COMPUTED_VALUE"""),"台銀籌備帳戶")</f>
        <v>台銀籌備帳戶</v>
      </c>
      <c r="G815" t="str">
        <f>IFERROR(__xludf.DUMMYFUNCTION("""COMPUTED_VALUE"""),"金龍帽子先生")</f>
        <v>金龍帽子先生</v>
      </c>
      <c r="H815" s="106" t="str">
        <f t="shared" si="1"/>
        <v>2024-09</v>
      </c>
      <c r="I815" s="271" t="str">
        <f>IFERROR(__xludf.DUMMYFUNCTION("""COMPUTED_VALUE"""),"貓狗企鵝")</f>
        <v>貓狗企鵝</v>
      </c>
      <c r="J815" t="str">
        <f>IFERROR(__xludf.DUMMYFUNCTION("IFS(
  AND(REGEXMATCH(E815, ""台銀籌備帳戶|玉山帳戶""), REGEXMATCH(C815, ""薪資"")), ""分潤支出"",
  AND(REGEXMATCH(E815, ""Ben帳戶|Elsa帳戶|Ben代墊|Ariel代墊|中信銀行共用""), REGEXMATCH(F815, ""Ben帳戶|Elsa帳戶|Ben代墊|Ariel代墊|中信銀行共用"")), ""內部轉帳(忽略)"",
  AND(E815&lt;&gt;"""", F815&lt;&gt;"""", NOT(REG"&amp;"EXMATCH(C815, ""薪資""))), ""內部轉帳(忽略)"",
  REGEXMATCH(C815, ""薪資""), ""薪資變動(不計入)"",
  REGEXMATCH(C815, ""押金""), ""押金往來"",
  AND(E815&lt;&gt;"""", F815=""""), ""真實支出"",
  AND(E815="""", F815&lt;&gt;""""), ""真實收入"",
  TRUE, ""其他""
)"),"真實收入")</f>
        <v>真實收入</v>
      </c>
      <c r="K815" s="270">
        <f t="shared" si="2"/>
        <v>10000</v>
      </c>
      <c r="L815">
        <f t="shared" si="3"/>
        <v>0</v>
      </c>
    </row>
    <row r="816">
      <c r="A816" s="107">
        <f>IFERROR(__xludf.DUMMYFUNCTION("""COMPUTED_VALUE"""),45560.0)</f>
        <v>45560</v>
      </c>
      <c r="B816" t="str">
        <f>IFERROR(__xludf.DUMMYFUNCTION("""COMPUTED_VALUE"""),"金龍帽子先生A范裕哲")</f>
        <v>金龍帽子先生A范裕哲</v>
      </c>
      <c r="C816" t="str">
        <f>IFERROR(__xludf.DUMMYFUNCTION("""COMPUTED_VALUE"""),"收入 - 租金")</f>
        <v>收入 - 租金</v>
      </c>
      <c r="D816" s="270">
        <f>IFERROR(__xludf.DUMMYFUNCTION("""COMPUTED_VALUE"""),10000.0)</f>
        <v>10000</v>
      </c>
      <c r="F816" t="str">
        <f>IFERROR(__xludf.DUMMYFUNCTION("""COMPUTED_VALUE"""),"台銀籌備帳戶")</f>
        <v>台銀籌備帳戶</v>
      </c>
      <c r="G816" t="str">
        <f>IFERROR(__xludf.DUMMYFUNCTION("""COMPUTED_VALUE"""),"金龍帽子先生")</f>
        <v>金龍帽子先生</v>
      </c>
      <c r="H816" s="106" t="str">
        <f t="shared" si="1"/>
        <v>2024-09</v>
      </c>
      <c r="I816" s="271" t="str">
        <f>IFERROR(__xludf.DUMMYFUNCTION("""COMPUTED_VALUE"""),"貓狗企鵝")</f>
        <v>貓狗企鵝</v>
      </c>
      <c r="J816" t="str">
        <f>IFERROR(__xludf.DUMMYFUNCTION("IFS(
  AND(REGEXMATCH(E816, ""台銀籌備帳戶|玉山帳戶""), REGEXMATCH(C816, ""薪資"")), ""分潤支出"",
  AND(REGEXMATCH(E816, ""Ben帳戶|Elsa帳戶|Ben代墊|Ariel代墊|中信銀行共用""), REGEXMATCH(F816, ""Ben帳戶|Elsa帳戶|Ben代墊|Ariel代墊|中信銀行共用"")), ""內部轉帳(忽略)"",
  AND(E816&lt;&gt;"""", F816&lt;&gt;"""", NOT(REG"&amp;"EXMATCH(C816, ""薪資""))), ""內部轉帳(忽略)"",
  REGEXMATCH(C816, ""薪資""), ""薪資變動(不計入)"",
  REGEXMATCH(C816, ""押金""), ""押金往來"",
  AND(E816&lt;&gt;"""", F816=""""), ""真實支出"",
  AND(E816="""", F816&lt;&gt;""""), ""真實收入"",
  TRUE, ""其他""
)"),"真實收入")</f>
        <v>真實收入</v>
      </c>
      <c r="K816" s="270">
        <f t="shared" si="2"/>
        <v>10000</v>
      </c>
      <c r="L816">
        <f t="shared" si="3"/>
        <v>0</v>
      </c>
    </row>
    <row r="817">
      <c r="A817" s="107">
        <f>IFERROR(__xludf.DUMMYFUNCTION("""COMPUTED_VALUE"""),45560.0)</f>
        <v>45560</v>
      </c>
      <c r="B817" t="str">
        <f>IFERROR(__xludf.DUMMYFUNCTION("""COMPUTED_VALUE"""),"出勤時間(景安區)")</f>
        <v>出勤時間(景安區)</v>
      </c>
      <c r="C817" t="str">
        <f>IFERROR(__xludf.DUMMYFUNCTION("""COMPUTED_VALUE"""),"成本 - 出勤費")</f>
        <v>成本 - 出勤費</v>
      </c>
      <c r="D817" s="270">
        <f>IFERROR(__xludf.DUMMYFUNCTION("""COMPUTED_VALUE"""),-1600.0)</f>
        <v>-1600</v>
      </c>
      <c r="E817" t="str">
        <f>IFERROR(__xludf.DUMMYFUNCTION("""COMPUTED_VALUE"""),"Ben帳戶")</f>
        <v>Ben帳戶</v>
      </c>
      <c r="G817" t="str">
        <f>IFERROR(__xludf.DUMMYFUNCTION("""COMPUTED_VALUE"""),"景安2分鐘")</f>
        <v>景安2分鐘</v>
      </c>
      <c r="H817" s="106" t="str">
        <f t="shared" si="1"/>
        <v>2024-09</v>
      </c>
      <c r="I817" s="271" t="str">
        <f>IFERROR(__xludf.DUMMYFUNCTION("""COMPUTED_VALUE"""),"貓狗企鵝")</f>
        <v>貓狗企鵝</v>
      </c>
      <c r="J817" t="str">
        <f>IFERROR(__xludf.DUMMYFUNCTION("IFS(
  AND(REGEXMATCH(E817, ""台銀籌備帳戶|玉山帳戶""), REGEXMATCH(C817, ""薪資"")), ""分潤支出"",
  AND(REGEXMATCH(E817, ""Ben帳戶|Elsa帳戶|Ben代墊|Ariel代墊|中信銀行共用""), REGEXMATCH(F817, ""Ben帳戶|Elsa帳戶|Ben代墊|Ariel代墊|中信銀行共用"")), ""內部轉帳(忽略)"",
  AND(E817&lt;&gt;"""", F817&lt;&gt;"""", NOT(REG"&amp;"EXMATCH(C817, ""薪資""))), ""內部轉帳(忽略)"",
  REGEXMATCH(C817, ""薪資""), ""薪資變動(不計入)"",
  REGEXMATCH(C817, ""押金""), ""押金往來"",
  AND(E817&lt;&gt;"""", F817=""""), ""真實支出"",
  AND(E817="""", F817&lt;&gt;""""), ""真實收入"",
  TRUE, ""其他""
)"),"真實支出")</f>
        <v>真實支出</v>
      </c>
      <c r="K817" s="270">
        <f t="shared" si="2"/>
        <v>-1600</v>
      </c>
      <c r="L817">
        <f t="shared" si="3"/>
        <v>0</v>
      </c>
    </row>
    <row r="818">
      <c r="A818" s="107">
        <f>IFERROR(__xludf.DUMMYFUNCTION("""COMPUTED_VALUE"""),45560.0)</f>
        <v>45560</v>
      </c>
      <c r="B818" t="str">
        <f>IFERROR(__xludf.DUMMYFUNCTION("""COMPUTED_VALUE"""),"門把滅火器等費用(景安區)")</f>
        <v>門把滅火器等費用(景安區)</v>
      </c>
      <c r="C818" t="str">
        <f>IFERROR(__xludf.DUMMYFUNCTION("""COMPUTED_VALUE"""),"成本 - 進場前裝潢費")</f>
        <v>成本 - 進場前裝潢費</v>
      </c>
      <c r="D818" s="270">
        <f>IFERROR(__xludf.DUMMYFUNCTION("""COMPUTED_VALUE"""),-3300.0)</f>
        <v>-3300</v>
      </c>
      <c r="E818" t="str">
        <f>IFERROR(__xludf.DUMMYFUNCTION("""COMPUTED_VALUE"""),"Ben帳戶")</f>
        <v>Ben帳戶</v>
      </c>
      <c r="G818" t="str">
        <f>IFERROR(__xludf.DUMMYFUNCTION("""COMPUTED_VALUE"""),"景安2分鐘")</f>
        <v>景安2分鐘</v>
      </c>
      <c r="H818" s="106" t="str">
        <f t="shared" si="1"/>
        <v>2024-09</v>
      </c>
      <c r="I818" s="271" t="str">
        <f>IFERROR(__xludf.DUMMYFUNCTION("""COMPUTED_VALUE"""),"貓狗企鵝")</f>
        <v>貓狗企鵝</v>
      </c>
      <c r="J818" t="str">
        <f>IFERROR(__xludf.DUMMYFUNCTION("IFS(
  AND(REGEXMATCH(E818, ""台銀籌備帳戶|玉山帳戶""), REGEXMATCH(C818, ""薪資"")), ""分潤支出"",
  AND(REGEXMATCH(E818, ""Ben帳戶|Elsa帳戶|Ben代墊|Ariel代墊|中信銀行共用""), REGEXMATCH(F818, ""Ben帳戶|Elsa帳戶|Ben代墊|Ariel代墊|中信銀行共用"")), ""內部轉帳(忽略)"",
  AND(E818&lt;&gt;"""", F818&lt;&gt;"""", NOT(REG"&amp;"EXMATCH(C818, ""薪資""))), ""內部轉帳(忽略)"",
  REGEXMATCH(C818, ""薪資""), ""薪資變動(不計入)"",
  REGEXMATCH(C818, ""押金""), ""押金往來"",
  AND(E818&lt;&gt;"""", F818=""""), ""真實支出"",
  AND(E818="""", F818&lt;&gt;""""), ""真實收入"",
  TRUE, ""其他""
)"),"真實支出")</f>
        <v>真實支出</v>
      </c>
      <c r="K818" s="270">
        <f t="shared" si="2"/>
        <v>-3300</v>
      </c>
      <c r="L818">
        <f t="shared" si="3"/>
        <v>0</v>
      </c>
    </row>
    <row r="819">
      <c r="A819" s="107">
        <f>IFERROR(__xludf.DUMMYFUNCTION("""COMPUTED_VALUE"""),45560.0)</f>
        <v>45560</v>
      </c>
      <c r="B819" t="str">
        <f>IFERROR(__xludf.DUMMYFUNCTION("""COMPUTED_VALUE"""),"哥哥答應給冰箱小販的小費景安區)")</f>
        <v>哥哥答應給冰箱小販的小費景安區)</v>
      </c>
      <c r="C819" t="str">
        <f>IFERROR(__xludf.DUMMYFUNCTION("""COMPUTED_VALUE"""),"成本 - 進場前裝潢費")</f>
        <v>成本 - 進場前裝潢費</v>
      </c>
      <c r="D819" s="270">
        <f>IFERROR(__xludf.DUMMYFUNCTION("""COMPUTED_VALUE"""),-500.0)</f>
        <v>-500</v>
      </c>
      <c r="E819" t="str">
        <f>IFERROR(__xludf.DUMMYFUNCTION("""COMPUTED_VALUE"""),"Ben帳戶")</f>
        <v>Ben帳戶</v>
      </c>
      <c r="G819" t="str">
        <f>IFERROR(__xludf.DUMMYFUNCTION("""COMPUTED_VALUE"""),"景安2分鐘")</f>
        <v>景安2分鐘</v>
      </c>
      <c r="H819" s="106" t="str">
        <f t="shared" si="1"/>
        <v>2024-09</v>
      </c>
      <c r="I819" s="271" t="str">
        <f>IFERROR(__xludf.DUMMYFUNCTION("""COMPUTED_VALUE"""),"貓狗企鵝")</f>
        <v>貓狗企鵝</v>
      </c>
      <c r="J819" t="str">
        <f>IFERROR(__xludf.DUMMYFUNCTION("IFS(
  AND(REGEXMATCH(E819, ""台銀籌備帳戶|玉山帳戶""), REGEXMATCH(C819, ""薪資"")), ""分潤支出"",
  AND(REGEXMATCH(E819, ""Ben帳戶|Elsa帳戶|Ben代墊|Ariel代墊|中信銀行共用""), REGEXMATCH(F819, ""Ben帳戶|Elsa帳戶|Ben代墊|Ariel代墊|中信銀行共用"")), ""內部轉帳(忽略)"",
  AND(E819&lt;&gt;"""", F819&lt;&gt;"""", NOT(REG"&amp;"EXMATCH(C819, ""薪資""))), ""內部轉帳(忽略)"",
  REGEXMATCH(C819, ""薪資""), ""薪資變動(不計入)"",
  REGEXMATCH(C819, ""押金""), ""押金往來"",
  AND(E819&lt;&gt;"""", F819=""""), ""真實支出"",
  AND(E819="""", F819&lt;&gt;""""), ""真實收入"",
  TRUE, ""其他""
)"),"真實支出")</f>
        <v>真實支出</v>
      </c>
      <c r="K819" s="270">
        <f t="shared" si="2"/>
        <v>-500</v>
      </c>
      <c r="L819">
        <f t="shared" si="3"/>
        <v>0</v>
      </c>
    </row>
    <row r="820">
      <c r="A820" s="107">
        <f>IFERROR(__xludf.DUMMYFUNCTION("""COMPUTED_VALUE"""),45561.0)</f>
        <v>45561</v>
      </c>
      <c r="B820" t="str">
        <f>IFERROR(__xludf.DUMMYFUNCTION("""COMPUTED_VALUE"""),"哈拉套房桌")</f>
        <v>哈拉套房桌</v>
      </c>
      <c r="C820" t="str">
        <f>IFERROR(__xludf.DUMMYFUNCTION("""COMPUTED_VALUE"""),"成本 - 租後修繕")</f>
        <v>成本 - 租後修繕</v>
      </c>
      <c r="D820" s="270">
        <f>IFERROR(__xludf.DUMMYFUNCTION("""COMPUTED_VALUE"""),-1174.0)</f>
        <v>-1174</v>
      </c>
      <c r="E820" t="str">
        <f>IFERROR(__xludf.DUMMYFUNCTION("""COMPUTED_VALUE"""),"Ben帳戶")</f>
        <v>Ben帳戶</v>
      </c>
      <c r="G820" t="str">
        <f>IFERROR(__xludf.DUMMYFUNCTION("""COMPUTED_VALUE"""),"哈拉對面")</f>
        <v>哈拉對面</v>
      </c>
      <c r="H820" s="106" t="str">
        <f t="shared" si="1"/>
        <v>2024-09</v>
      </c>
      <c r="I820" s="271" t="str">
        <f>IFERROR(__xludf.DUMMYFUNCTION("""COMPUTED_VALUE"""),"貓狗企鵝")</f>
        <v>貓狗企鵝</v>
      </c>
      <c r="J820" t="str">
        <f>IFERROR(__xludf.DUMMYFUNCTION("IFS(
  AND(REGEXMATCH(E820, ""台銀籌備帳戶|玉山帳戶""), REGEXMATCH(C820, ""薪資"")), ""分潤支出"",
  AND(REGEXMATCH(E820, ""Ben帳戶|Elsa帳戶|Ben代墊|Ariel代墊|中信銀行共用""), REGEXMATCH(F820, ""Ben帳戶|Elsa帳戶|Ben代墊|Ariel代墊|中信銀行共用"")), ""內部轉帳(忽略)"",
  AND(E820&lt;&gt;"""", F820&lt;&gt;"""", NOT(REG"&amp;"EXMATCH(C820, ""薪資""))), ""內部轉帳(忽略)"",
  REGEXMATCH(C820, ""薪資""), ""薪資變動(不計入)"",
  REGEXMATCH(C820, ""押金""), ""押金往來"",
  AND(E820&lt;&gt;"""", F820=""""), ""真實支出"",
  AND(E820="""", F820&lt;&gt;""""), ""真實收入"",
  TRUE, ""其他""
)"),"真實支出")</f>
        <v>真實支出</v>
      </c>
      <c r="K820" s="270">
        <f t="shared" si="2"/>
        <v>-1174</v>
      </c>
      <c r="L820">
        <f t="shared" si="3"/>
        <v>0</v>
      </c>
    </row>
    <row r="821">
      <c r="A821" s="107">
        <f>IFERROR(__xludf.DUMMYFUNCTION("""COMPUTED_VALUE"""),45561.0)</f>
        <v>45561</v>
      </c>
      <c r="B821" t="str">
        <f>IFERROR(__xludf.DUMMYFUNCTION("""COMPUTED_VALUE"""),"金龍帽子先生C李侑芯")</f>
        <v>金龍帽子先生C李侑芯</v>
      </c>
      <c r="C821" t="str">
        <f>IFERROR(__xludf.DUMMYFUNCTION("""COMPUTED_VALUE"""),"收入 - 租金")</f>
        <v>收入 - 租金</v>
      </c>
      <c r="D821" s="270">
        <f>IFERROR(__xludf.DUMMYFUNCTION("""COMPUTED_VALUE"""),34300.0)</f>
        <v>34300</v>
      </c>
      <c r="F821" t="str">
        <f>IFERROR(__xludf.DUMMYFUNCTION("""COMPUTED_VALUE"""),"台銀籌備帳戶")</f>
        <v>台銀籌備帳戶</v>
      </c>
      <c r="G821" t="str">
        <f>IFERROR(__xludf.DUMMYFUNCTION("""COMPUTED_VALUE"""),"金龍帽子先生")</f>
        <v>金龍帽子先生</v>
      </c>
      <c r="H821" s="106" t="str">
        <f t="shared" si="1"/>
        <v>2024-09</v>
      </c>
      <c r="I821" s="271" t="str">
        <f>IFERROR(__xludf.DUMMYFUNCTION("""COMPUTED_VALUE"""),"貓狗企鵝")</f>
        <v>貓狗企鵝</v>
      </c>
      <c r="J821" t="str">
        <f>IFERROR(__xludf.DUMMYFUNCTION("IFS(
  AND(REGEXMATCH(E821, ""台銀籌備帳戶|玉山帳戶""), REGEXMATCH(C821, ""薪資"")), ""分潤支出"",
  AND(REGEXMATCH(E821, ""Ben帳戶|Elsa帳戶|Ben代墊|Ariel代墊|中信銀行共用""), REGEXMATCH(F821, ""Ben帳戶|Elsa帳戶|Ben代墊|Ariel代墊|中信銀行共用"")), ""內部轉帳(忽略)"",
  AND(E821&lt;&gt;"""", F821&lt;&gt;"""", NOT(REG"&amp;"EXMATCH(C821, ""薪資""))), ""內部轉帳(忽略)"",
  REGEXMATCH(C821, ""薪資""), ""薪資變動(不計入)"",
  REGEXMATCH(C821, ""押金""), ""押金往來"",
  AND(E821&lt;&gt;"""", F821=""""), ""真實支出"",
  AND(E821="""", F821&lt;&gt;""""), ""真實收入"",
  TRUE, ""其他""
)"),"真實收入")</f>
        <v>真實收入</v>
      </c>
      <c r="K821" s="270">
        <f t="shared" si="2"/>
        <v>34300</v>
      </c>
      <c r="L821">
        <f t="shared" si="3"/>
        <v>0</v>
      </c>
    </row>
    <row r="822">
      <c r="A822" s="107">
        <f>IFERROR(__xludf.DUMMYFUNCTION("""COMPUTED_VALUE"""),45561.0)</f>
        <v>45561</v>
      </c>
      <c r="B822" t="str">
        <f>IFERROR(__xludf.DUMMYFUNCTION("""COMPUTED_VALUE"""),"金龍帽子先生B羅宇潔")</f>
        <v>金龍帽子先生B羅宇潔</v>
      </c>
      <c r="C822" t="str">
        <f>IFERROR(__xludf.DUMMYFUNCTION("""COMPUTED_VALUE"""),"收入 - 租金")</f>
        <v>收入 - 租金</v>
      </c>
      <c r="D822" s="270">
        <f>IFERROR(__xludf.DUMMYFUNCTION("""COMPUTED_VALUE"""),28184.0)</f>
        <v>28184</v>
      </c>
      <c r="F822" t="str">
        <f>IFERROR(__xludf.DUMMYFUNCTION("""COMPUTED_VALUE"""),"台銀籌備帳戶")</f>
        <v>台銀籌備帳戶</v>
      </c>
      <c r="G822" t="str">
        <f>IFERROR(__xludf.DUMMYFUNCTION("""COMPUTED_VALUE"""),"金龍帽子先生")</f>
        <v>金龍帽子先生</v>
      </c>
      <c r="H822" s="106" t="str">
        <f t="shared" si="1"/>
        <v>2024-09</v>
      </c>
      <c r="I822" s="271" t="str">
        <f>IFERROR(__xludf.DUMMYFUNCTION("""COMPUTED_VALUE"""),"貓狗企鵝")</f>
        <v>貓狗企鵝</v>
      </c>
      <c r="J822" t="str">
        <f>IFERROR(__xludf.DUMMYFUNCTION("IFS(
  AND(REGEXMATCH(E822, ""台銀籌備帳戶|玉山帳戶""), REGEXMATCH(C822, ""薪資"")), ""分潤支出"",
  AND(REGEXMATCH(E822, ""Ben帳戶|Elsa帳戶|Ben代墊|Ariel代墊|中信銀行共用""), REGEXMATCH(F822, ""Ben帳戶|Elsa帳戶|Ben代墊|Ariel代墊|中信銀行共用"")), ""內部轉帳(忽略)"",
  AND(E822&lt;&gt;"""", F822&lt;&gt;"""", NOT(REG"&amp;"EXMATCH(C822, ""薪資""))), ""內部轉帳(忽略)"",
  REGEXMATCH(C822, ""薪資""), ""薪資變動(不計入)"",
  REGEXMATCH(C822, ""押金""), ""押金往來"",
  AND(E822&lt;&gt;"""", F822=""""), ""真實支出"",
  AND(E822="""", F822&lt;&gt;""""), ""真實收入"",
  TRUE, ""其他""
)"),"真實收入")</f>
        <v>真實收入</v>
      </c>
      <c r="K822" s="270">
        <f t="shared" si="2"/>
        <v>28184</v>
      </c>
      <c r="L822">
        <f t="shared" si="3"/>
        <v>0</v>
      </c>
    </row>
    <row r="823">
      <c r="A823" s="107">
        <f>IFERROR(__xludf.DUMMYFUNCTION("""COMPUTED_VALUE"""),45561.0)</f>
        <v>45561</v>
      </c>
      <c r="B823" t="str">
        <f>IFERROR(__xludf.DUMMYFUNCTION("""COMPUTED_VALUE"""),"冷氣柑仔景安")</f>
        <v>冷氣柑仔景安</v>
      </c>
      <c r="C823" t="str">
        <f>IFERROR(__xludf.DUMMYFUNCTION("""COMPUTED_VALUE"""),"成本 - 進場前裝潢費")</f>
        <v>成本 - 進場前裝潢費</v>
      </c>
      <c r="D823" s="270">
        <f>IFERROR(__xludf.DUMMYFUNCTION("""COMPUTED_VALUE"""),-123415.0)</f>
        <v>-123415</v>
      </c>
      <c r="E823" t="str">
        <f>IFERROR(__xludf.DUMMYFUNCTION("""COMPUTED_VALUE"""),"台銀籌備帳戶")</f>
        <v>台銀籌備帳戶</v>
      </c>
      <c r="G823" t="str">
        <f>IFERROR(__xludf.DUMMYFUNCTION("""COMPUTED_VALUE"""),"景安2分鐘")</f>
        <v>景安2分鐘</v>
      </c>
      <c r="H823" s="106" t="str">
        <f t="shared" si="1"/>
        <v>2024-09</v>
      </c>
      <c r="I823" s="271" t="str">
        <f>IFERROR(__xludf.DUMMYFUNCTION("""COMPUTED_VALUE"""),"貓狗企鵝")</f>
        <v>貓狗企鵝</v>
      </c>
      <c r="J823" t="str">
        <f>IFERROR(__xludf.DUMMYFUNCTION("IFS(
  AND(REGEXMATCH(E823, ""台銀籌備帳戶|玉山帳戶""), REGEXMATCH(C823, ""薪資"")), ""分潤支出"",
  AND(REGEXMATCH(E823, ""Ben帳戶|Elsa帳戶|Ben代墊|Ariel代墊|中信銀行共用""), REGEXMATCH(F823, ""Ben帳戶|Elsa帳戶|Ben代墊|Ariel代墊|中信銀行共用"")), ""內部轉帳(忽略)"",
  AND(E823&lt;&gt;"""", F823&lt;&gt;"""", NOT(REG"&amp;"EXMATCH(C823, ""薪資""))), ""內部轉帳(忽略)"",
  REGEXMATCH(C823, ""薪資""), ""薪資變動(不計入)"",
  REGEXMATCH(C823, ""押金""), ""押金往來"",
  AND(E823&lt;&gt;"""", F823=""""), ""真實支出"",
  AND(E823="""", F823&lt;&gt;""""), ""真實收入"",
  TRUE, ""其他""
)"),"真實支出")</f>
        <v>真實支出</v>
      </c>
      <c r="K823" s="270">
        <f t="shared" si="2"/>
        <v>-123415</v>
      </c>
      <c r="L823">
        <f t="shared" si="3"/>
        <v>0</v>
      </c>
    </row>
    <row r="824">
      <c r="A824" s="107">
        <f>IFERROR(__xludf.DUMMYFUNCTION("""COMPUTED_VALUE"""),45561.0)</f>
        <v>45561</v>
      </c>
      <c r="B824" t="str">
        <f>IFERROR(__xludf.DUMMYFUNCTION("""COMPUTED_VALUE"""),"景安廚具")</f>
        <v>景安廚具</v>
      </c>
      <c r="C824" t="str">
        <f>IFERROR(__xludf.DUMMYFUNCTION("""COMPUTED_VALUE"""),"成本 - 進場前裝潢費")</f>
        <v>成本 - 進場前裝潢費</v>
      </c>
      <c r="D824" s="270">
        <f>IFERROR(__xludf.DUMMYFUNCTION("""COMPUTED_VALUE"""),-21750.0)</f>
        <v>-21750</v>
      </c>
      <c r="E824" t="str">
        <f>IFERROR(__xludf.DUMMYFUNCTION("""COMPUTED_VALUE"""),"台銀籌備帳戶")</f>
        <v>台銀籌備帳戶</v>
      </c>
      <c r="G824" t="str">
        <f>IFERROR(__xludf.DUMMYFUNCTION("""COMPUTED_VALUE"""),"景安2分鐘")</f>
        <v>景安2分鐘</v>
      </c>
      <c r="H824" s="106" t="str">
        <f t="shared" si="1"/>
        <v>2024-09</v>
      </c>
      <c r="I824" s="271" t="str">
        <f>IFERROR(__xludf.DUMMYFUNCTION("""COMPUTED_VALUE"""),"貓狗企鵝")</f>
        <v>貓狗企鵝</v>
      </c>
      <c r="J824" t="str">
        <f>IFERROR(__xludf.DUMMYFUNCTION("IFS(
  AND(REGEXMATCH(E824, ""台銀籌備帳戶|玉山帳戶""), REGEXMATCH(C824, ""薪資"")), ""分潤支出"",
  AND(REGEXMATCH(E824, ""Ben帳戶|Elsa帳戶|Ben代墊|Ariel代墊|中信銀行共用""), REGEXMATCH(F824, ""Ben帳戶|Elsa帳戶|Ben代墊|Ariel代墊|中信銀行共用"")), ""內部轉帳(忽略)"",
  AND(E824&lt;&gt;"""", F824&lt;&gt;"""", NOT(REG"&amp;"EXMATCH(C824, ""薪資""))), ""內部轉帳(忽略)"",
  REGEXMATCH(C824, ""薪資""), ""薪資變動(不計入)"",
  REGEXMATCH(C824, ""押金""), ""押金往來"",
  AND(E824&lt;&gt;"""", F824=""""), ""真實支出"",
  AND(E824="""", F824&lt;&gt;""""), ""真實收入"",
  TRUE, ""其他""
)"),"真實支出")</f>
        <v>真實支出</v>
      </c>
      <c r="K824" s="270">
        <f t="shared" si="2"/>
        <v>-21750</v>
      </c>
      <c r="L824">
        <f t="shared" si="3"/>
        <v>0</v>
      </c>
    </row>
    <row r="825">
      <c r="A825" s="107">
        <f>IFERROR(__xludf.DUMMYFUNCTION("""COMPUTED_VALUE"""),45561.0)</f>
        <v>45561</v>
      </c>
      <c r="B825" t="str">
        <f>IFERROR(__xludf.DUMMYFUNCTION("""COMPUTED_VALUE"""),"出勤時間(景安區)")</f>
        <v>出勤時間(景安區)</v>
      </c>
      <c r="C825" t="str">
        <f>IFERROR(__xludf.DUMMYFUNCTION("""COMPUTED_VALUE"""),"成本 - 出勤費")</f>
        <v>成本 - 出勤費</v>
      </c>
      <c r="D825" s="270">
        <f>IFERROR(__xludf.DUMMYFUNCTION("""COMPUTED_VALUE"""),-1000.0)</f>
        <v>-1000</v>
      </c>
      <c r="E825" t="str">
        <f>IFERROR(__xludf.DUMMYFUNCTION("""COMPUTED_VALUE"""),"Ben帳戶")</f>
        <v>Ben帳戶</v>
      </c>
      <c r="G825" t="str">
        <f>IFERROR(__xludf.DUMMYFUNCTION("""COMPUTED_VALUE"""),"景安2分鐘")</f>
        <v>景安2分鐘</v>
      </c>
      <c r="H825" s="106" t="str">
        <f t="shared" si="1"/>
        <v>2024-09</v>
      </c>
      <c r="I825" s="271" t="str">
        <f>IFERROR(__xludf.DUMMYFUNCTION("""COMPUTED_VALUE"""),"貓狗企鵝")</f>
        <v>貓狗企鵝</v>
      </c>
      <c r="J825" t="str">
        <f>IFERROR(__xludf.DUMMYFUNCTION("IFS(
  AND(REGEXMATCH(E825, ""台銀籌備帳戶|玉山帳戶""), REGEXMATCH(C825, ""薪資"")), ""分潤支出"",
  AND(REGEXMATCH(E825, ""Ben帳戶|Elsa帳戶|Ben代墊|Ariel代墊|中信銀行共用""), REGEXMATCH(F825, ""Ben帳戶|Elsa帳戶|Ben代墊|Ariel代墊|中信銀行共用"")), ""內部轉帳(忽略)"",
  AND(E825&lt;&gt;"""", F825&lt;&gt;"""", NOT(REG"&amp;"EXMATCH(C825, ""薪資""))), ""內部轉帳(忽略)"",
  REGEXMATCH(C825, ""薪資""), ""薪資變動(不計入)"",
  REGEXMATCH(C825, ""押金""), ""押金往來"",
  AND(E825&lt;&gt;"""", F825=""""), ""真實支出"",
  AND(E825="""", F825&lt;&gt;""""), ""真實收入"",
  TRUE, ""其他""
)"),"真實支出")</f>
        <v>真實支出</v>
      </c>
      <c r="K825" s="270">
        <f t="shared" si="2"/>
        <v>-1000</v>
      </c>
      <c r="L825">
        <f t="shared" si="3"/>
        <v>0</v>
      </c>
    </row>
    <row r="826">
      <c r="A826" s="107">
        <f>IFERROR(__xludf.DUMMYFUNCTION("""COMPUTED_VALUE"""),45562.0)</f>
        <v>45562</v>
      </c>
      <c r="B826" t="str">
        <f>IFERROR(__xludf.DUMMYFUNCTION("""COMPUTED_VALUE"""),"退押金KK")</f>
        <v>退押金KK</v>
      </c>
      <c r="C826" t="str">
        <f>IFERROR(__xludf.DUMMYFUNCTION("""COMPUTED_VALUE"""),"收入 - 租金")</f>
        <v>收入 - 租金</v>
      </c>
      <c r="D826" s="270">
        <f>IFERROR(__xludf.DUMMYFUNCTION("""COMPUTED_VALUE"""),-45000.0)</f>
        <v>-45000</v>
      </c>
      <c r="E826" t="str">
        <f>IFERROR(__xludf.DUMMYFUNCTION("""COMPUTED_VALUE"""),"Ben帳戶")</f>
        <v>Ben帳戶</v>
      </c>
      <c r="G826" t="str">
        <f>IFERROR(__xludf.DUMMYFUNCTION("""COMPUTED_VALUE"""),"市府爺爺家")</f>
        <v>市府爺爺家</v>
      </c>
      <c r="H826" s="106" t="str">
        <f t="shared" si="1"/>
        <v>2024-09</v>
      </c>
      <c r="I826" s="271" t="str">
        <f>IFERROR(__xludf.DUMMYFUNCTION("""COMPUTED_VALUE"""),"貓狗企鵝")</f>
        <v>貓狗企鵝</v>
      </c>
      <c r="J826" t="str">
        <f>IFERROR(__xludf.DUMMYFUNCTION("IFS(
  AND(REGEXMATCH(E826, ""台銀籌備帳戶|玉山帳戶""), REGEXMATCH(C826, ""薪資"")), ""分潤支出"",
  AND(REGEXMATCH(E826, ""Ben帳戶|Elsa帳戶|Ben代墊|Ariel代墊|中信銀行共用""), REGEXMATCH(F826, ""Ben帳戶|Elsa帳戶|Ben代墊|Ariel代墊|中信銀行共用"")), ""內部轉帳(忽略)"",
  AND(E826&lt;&gt;"""", F826&lt;&gt;"""", NOT(REG"&amp;"EXMATCH(C826, ""薪資""))), ""內部轉帳(忽略)"",
  REGEXMATCH(C826, ""薪資""), ""薪資變動(不計入)"",
  REGEXMATCH(C826, ""押金""), ""押金往來"",
  AND(E826&lt;&gt;"""", F826=""""), ""真實支出"",
  AND(E826="""", F826&lt;&gt;""""), ""真實收入"",
  TRUE, ""其他""
)"),"真實支出")</f>
        <v>真實支出</v>
      </c>
      <c r="K826" s="270">
        <f t="shared" si="2"/>
        <v>-45000</v>
      </c>
      <c r="L826">
        <f t="shared" si="3"/>
        <v>0</v>
      </c>
    </row>
    <row r="827">
      <c r="A827" s="107">
        <f>IFERROR(__xludf.DUMMYFUNCTION("""COMPUTED_VALUE"""),45562.0)</f>
        <v>45562</v>
      </c>
      <c r="B827" t="str">
        <f>IFERROR(__xludf.DUMMYFUNCTION("""COMPUTED_VALUE"""),"南港站挑高宅	B	林鍇蓓")</f>
        <v>南港站挑高宅	B	林鍇蓓</v>
      </c>
      <c r="C827" t="str">
        <f>IFERROR(__xludf.DUMMYFUNCTION("""COMPUTED_VALUE"""),"收入 - 租金")</f>
        <v>收入 - 租金</v>
      </c>
      <c r="D827" s="270">
        <f>IFERROR(__xludf.DUMMYFUNCTION("""COMPUTED_VALUE"""),12300.0)</f>
        <v>12300</v>
      </c>
      <c r="F827" t="str">
        <f>IFERROR(__xludf.DUMMYFUNCTION("""COMPUTED_VALUE"""),"台銀籌備帳戶")</f>
        <v>台銀籌備帳戶</v>
      </c>
      <c r="G827" t="str">
        <f>IFERROR(__xludf.DUMMYFUNCTION("""COMPUTED_VALUE"""),"南港站挑高宅")</f>
        <v>南港站挑高宅</v>
      </c>
      <c r="H827" s="106" t="str">
        <f t="shared" si="1"/>
        <v>2024-09</v>
      </c>
      <c r="I827" s="271" t="str">
        <f>IFERROR(__xludf.DUMMYFUNCTION("""COMPUTED_VALUE"""),"貓狗企鵝")</f>
        <v>貓狗企鵝</v>
      </c>
      <c r="J827" t="str">
        <f>IFERROR(__xludf.DUMMYFUNCTION("IFS(
  AND(REGEXMATCH(E827, ""台銀籌備帳戶|玉山帳戶""), REGEXMATCH(C827, ""薪資"")), ""分潤支出"",
  AND(REGEXMATCH(E827, ""Ben帳戶|Elsa帳戶|Ben代墊|Ariel代墊|中信銀行共用""), REGEXMATCH(F827, ""Ben帳戶|Elsa帳戶|Ben代墊|Ariel代墊|中信銀行共用"")), ""內部轉帳(忽略)"",
  AND(E827&lt;&gt;"""", F827&lt;&gt;"""", NOT(REG"&amp;"EXMATCH(C827, ""薪資""))), ""內部轉帳(忽略)"",
  REGEXMATCH(C827, ""薪資""), ""薪資變動(不計入)"",
  REGEXMATCH(C827, ""押金""), ""押金往來"",
  AND(E827&lt;&gt;"""", F827=""""), ""真實支出"",
  AND(E827="""", F827&lt;&gt;""""), ""真實收入"",
  TRUE, ""其他""
)"),"真實收入")</f>
        <v>真實收入</v>
      </c>
      <c r="K827" s="270">
        <f t="shared" si="2"/>
        <v>12300</v>
      </c>
      <c r="L827">
        <f t="shared" si="3"/>
        <v>0</v>
      </c>
    </row>
    <row r="828">
      <c r="A828" s="107">
        <f>IFERROR(__xludf.DUMMYFUNCTION("""COMPUTED_VALUE"""),45562.0)</f>
        <v>45562</v>
      </c>
      <c r="B828" t="str">
        <f>IFERROR(__xludf.DUMMYFUNCTION("""COMPUTED_VALUE"""),"哈拉對面C徐鉦庭")</f>
        <v>哈拉對面C徐鉦庭</v>
      </c>
      <c r="C828" t="str">
        <f>IFERROR(__xludf.DUMMYFUNCTION("""COMPUTED_VALUE"""),"收入 - 租金")</f>
        <v>收入 - 租金</v>
      </c>
      <c r="D828" s="270">
        <f>IFERROR(__xludf.DUMMYFUNCTION("""COMPUTED_VALUE"""),11800.0)</f>
        <v>11800</v>
      </c>
      <c r="F828" t="str">
        <f>IFERROR(__xludf.DUMMYFUNCTION("""COMPUTED_VALUE"""),"台銀籌備帳戶")</f>
        <v>台銀籌備帳戶</v>
      </c>
      <c r="G828" t="str">
        <f>IFERROR(__xludf.DUMMYFUNCTION("""COMPUTED_VALUE"""),"哈拉對面")</f>
        <v>哈拉對面</v>
      </c>
      <c r="H828" s="106" t="str">
        <f t="shared" si="1"/>
        <v>2024-09</v>
      </c>
      <c r="I828" s="271" t="str">
        <f>IFERROR(__xludf.DUMMYFUNCTION("""COMPUTED_VALUE"""),"貓狗企鵝")</f>
        <v>貓狗企鵝</v>
      </c>
      <c r="J828" t="str">
        <f>IFERROR(__xludf.DUMMYFUNCTION("IFS(
  AND(REGEXMATCH(E828, ""台銀籌備帳戶|玉山帳戶""), REGEXMATCH(C828, ""薪資"")), ""分潤支出"",
  AND(REGEXMATCH(E828, ""Ben帳戶|Elsa帳戶|Ben代墊|Ariel代墊|中信銀行共用""), REGEXMATCH(F828, ""Ben帳戶|Elsa帳戶|Ben代墊|Ariel代墊|中信銀行共用"")), ""內部轉帳(忽略)"",
  AND(E828&lt;&gt;"""", F828&lt;&gt;"""", NOT(REG"&amp;"EXMATCH(C828, ""薪資""))), ""內部轉帳(忽略)"",
  REGEXMATCH(C828, ""薪資""), ""薪資變動(不計入)"",
  REGEXMATCH(C828, ""押金""), ""押金往來"",
  AND(E828&lt;&gt;"""", F828=""""), ""真實支出"",
  AND(E828="""", F828&lt;&gt;""""), ""真實收入"",
  TRUE, ""其他""
)"),"真實收入")</f>
        <v>真實收入</v>
      </c>
      <c r="K828" s="270">
        <f t="shared" si="2"/>
        <v>11800</v>
      </c>
      <c r="L828">
        <f t="shared" si="3"/>
        <v>0</v>
      </c>
    </row>
    <row r="829">
      <c r="A829" s="107">
        <f>IFERROR(__xludf.DUMMYFUNCTION("""COMPUTED_VALUE"""),45562.0)</f>
        <v>45562</v>
      </c>
      <c r="B829" t="str">
        <f>IFERROR(__xludf.DUMMYFUNCTION("""COMPUTED_VALUE"""),"出勤時間(景安區)")</f>
        <v>出勤時間(景安區)</v>
      </c>
      <c r="C829" t="str">
        <f>IFERROR(__xludf.DUMMYFUNCTION("""COMPUTED_VALUE"""),"成本 - 出勤費")</f>
        <v>成本 - 出勤費</v>
      </c>
      <c r="D829" s="270">
        <f>IFERROR(__xludf.DUMMYFUNCTION("""COMPUTED_VALUE"""),-1000.0)</f>
        <v>-1000</v>
      </c>
      <c r="E829" t="str">
        <f>IFERROR(__xludf.DUMMYFUNCTION("""COMPUTED_VALUE"""),"Ben帳戶")</f>
        <v>Ben帳戶</v>
      </c>
      <c r="G829" t="str">
        <f>IFERROR(__xludf.DUMMYFUNCTION("""COMPUTED_VALUE"""),"景安2分鐘")</f>
        <v>景安2分鐘</v>
      </c>
      <c r="H829" s="106" t="str">
        <f t="shared" si="1"/>
        <v>2024-09</v>
      </c>
      <c r="I829" s="271" t="str">
        <f>IFERROR(__xludf.DUMMYFUNCTION("""COMPUTED_VALUE"""),"貓狗企鵝")</f>
        <v>貓狗企鵝</v>
      </c>
      <c r="J829" t="str">
        <f>IFERROR(__xludf.DUMMYFUNCTION("IFS(
  AND(REGEXMATCH(E829, ""台銀籌備帳戶|玉山帳戶""), REGEXMATCH(C829, ""薪資"")), ""分潤支出"",
  AND(REGEXMATCH(E829, ""Ben帳戶|Elsa帳戶|Ben代墊|Ariel代墊|中信銀行共用""), REGEXMATCH(F829, ""Ben帳戶|Elsa帳戶|Ben代墊|Ariel代墊|中信銀行共用"")), ""內部轉帳(忽略)"",
  AND(E829&lt;&gt;"""", F829&lt;&gt;"""", NOT(REG"&amp;"EXMATCH(C829, ""薪資""))), ""內部轉帳(忽略)"",
  REGEXMATCH(C829, ""薪資""), ""薪資變動(不計入)"",
  REGEXMATCH(C829, ""押金""), ""押金往來"",
  AND(E829&lt;&gt;"""", F829=""""), ""真實支出"",
  AND(E829="""", F829&lt;&gt;""""), ""真實收入"",
  TRUE, ""其他""
)"),"真實支出")</f>
        <v>真實支出</v>
      </c>
      <c r="K829" s="270">
        <f t="shared" si="2"/>
        <v>-1000</v>
      </c>
      <c r="L829">
        <f t="shared" si="3"/>
        <v>0</v>
      </c>
    </row>
    <row r="830">
      <c r="A830" s="107">
        <f>IFERROR(__xludf.DUMMYFUNCTION("""COMPUTED_VALUE"""),45563.0)</f>
        <v>45563</v>
      </c>
      <c r="B830" t="str">
        <f>IFERROR(__xludf.DUMMYFUNCTION("""COMPUTED_VALUE"""),"金龍帽子先生D劉曉婷")</f>
        <v>金龍帽子先生D劉曉婷</v>
      </c>
      <c r="C830" t="str">
        <f>IFERROR(__xludf.DUMMYFUNCTION("""COMPUTED_VALUE"""),"收入 - 租金")</f>
        <v>收入 - 租金</v>
      </c>
      <c r="D830" s="270">
        <f>IFERROR(__xludf.DUMMYFUNCTION("""COMPUTED_VALUE"""),37400.0)</f>
        <v>37400</v>
      </c>
      <c r="F830" t="str">
        <f>IFERROR(__xludf.DUMMYFUNCTION("""COMPUTED_VALUE"""),"台銀籌備帳戶")</f>
        <v>台銀籌備帳戶</v>
      </c>
      <c r="G830" t="str">
        <f>IFERROR(__xludf.DUMMYFUNCTION("""COMPUTED_VALUE"""),"金龍帽子先生")</f>
        <v>金龍帽子先生</v>
      </c>
      <c r="H830" s="106" t="str">
        <f t="shared" si="1"/>
        <v>2024-09</v>
      </c>
      <c r="I830" s="271" t="str">
        <f>IFERROR(__xludf.DUMMYFUNCTION("""COMPUTED_VALUE"""),"貓狗企鵝")</f>
        <v>貓狗企鵝</v>
      </c>
      <c r="J830" t="str">
        <f>IFERROR(__xludf.DUMMYFUNCTION("IFS(
  AND(REGEXMATCH(E830, ""台銀籌備帳戶|玉山帳戶""), REGEXMATCH(C830, ""薪資"")), ""分潤支出"",
  AND(REGEXMATCH(E830, ""Ben帳戶|Elsa帳戶|Ben代墊|Ariel代墊|中信銀行共用""), REGEXMATCH(F830, ""Ben帳戶|Elsa帳戶|Ben代墊|Ariel代墊|中信銀行共用"")), ""內部轉帳(忽略)"",
  AND(E830&lt;&gt;"""", F830&lt;&gt;"""", NOT(REG"&amp;"EXMATCH(C830, ""薪資""))), ""內部轉帳(忽略)"",
  REGEXMATCH(C830, ""薪資""), ""薪資變動(不計入)"",
  REGEXMATCH(C830, ""押金""), ""押金往來"",
  AND(E830&lt;&gt;"""", F830=""""), ""真實支出"",
  AND(E830="""", F830&lt;&gt;""""), ""真實收入"",
  TRUE, ""其他""
)"),"真實收入")</f>
        <v>真實收入</v>
      </c>
      <c r="K830" s="270">
        <f t="shared" si="2"/>
        <v>37400</v>
      </c>
      <c r="L830">
        <f t="shared" si="3"/>
        <v>0</v>
      </c>
    </row>
    <row r="831">
      <c r="A831" s="107">
        <f>IFERROR(__xludf.DUMMYFUNCTION("""COMPUTED_VALUE"""),45563.0)</f>
        <v>45563</v>
      </c>
      <c r="B831" t="str">
        <f>IFERROR(__xludf.DUMMYFUNCTION("""COMPUTED_VALUE"""),"小玉景安")</f>
        <v>小玉景安</v>
      </c>
      <c r="C831" t="str">
        <f>IFERROR(__xludf.DUMMYFUNCTION("""COMPUTED_VALUE"""),"成本 - 進場前裝潢費")</f>
        <v>成本 - 進場前裝潢費</v>
      </c>
      <c r="D831" s="270">
        <f>IFERROR(__xludf.DUMMYFUNCTION("""COMPUTED_VALUE"""),-1815.0)</f>
        <v>-1815</v>
      </c>
      <c r="E831" t="str">
        <f>IFERROR(__xludf.DUMMYFUNCTION("""COMPUTED_VALUE"""),"台銀籌備帳戶")</f>
        <v>台銀籌備帳戶</v>
      </c>
      <c r="G831" t="str">
        <f>IFERROR(__xludf.DUMMYFUNCTION("""COMPUTED_VALUE"""),"景安2分鐘")</f>
        <v>景安2分鐘</v>
      </c>
      <c r="H831" s="106" t="str">
        <f t="shared" si="1"/>
        <v>2024-09</v>
      </c>
      <c r="I831" s="271" t="str">
        <f>IFERROR(__xludf.DUMMYFUNCTION("""COMPUTED_VALUE"""),"貓狗企鵝")</f>
        <v>貓狗企鵝</v>
      </c>
      <c r="J831" t="str">
        <f>IFERROR(__xludf.DUMMYFUNCTION("IFS(
  AND(REGEXMATCH(E831, ""台銀籌備帳戶|玉山帳戶""), REGEXMATCH(C831, ""薪資"")), ""分潤支出"",
  AND(REGEXMATCH(E831, ""Ben帳戶|Elsa帳戶|Ben代墊|Ariel代墊|中信銀行共用""), REGEXMATCH(F831, ""Ben帳戶|Elsa帳戶|Ben代墊|Ariel代墊|中信銀行共用"")), ""內部轉帳(忽略)"",
  AND(E831&lt;&gt;"""", F831&lt;&gt;"""", NOT(REG"&amp;"EXMATCH(C831, ""薪資""))), ""內部轉帳(忽略)"",
  REGEXMATCH(C831, ""薪資""), ""薪資變動(不計入)"",
  REGEXMATCH(C831, ""押金""), ""押金往來"",
  AND(E831&lt;&gt;"""", F831=""""), ""真實支出"",
  AND(E831="""", F831&lt;&gt;""""), ""真實收入"",
  TRUE, ""其他""
)"),"真實支出")</f>
        <v>真實支出</v>
      </c>
      <c r="K831" s="270">
        <f t="shared" si="2"/>
        <v>-1815</v>
      </c>
      <c r="L831">
        <f t="shared" si="3"/>
        <v>0</v>
      </c>
    </row>
    <row r="832">
      <c r="A832" s="107">
        <f>IFERROR(__xludf.DUMMYFUNCTION("""COMPUTED_VALUE"""),45563.0)</f>
        <v>45563</v>
      </c>
      <c r="B832" t="str">
        <f>IFERROR(__xludf.DUMMYFUNCTION("""COMPUTED_VALUE"""),"出勤時間(景安區)")</f>
        <v>出勤時間(景安區)</v>
      </c>
      <c r="C832" t="str">
        <f>IFERROR(__xludf.DUMMYFUNCTION("""COMPUTED_VALUE"""),"成本 - 出勤費")</f>
        <v>成本 - 出勤費</v>
      </c>
      <c r="D832" s="270">
        <f>IFERROR(__xludf.DUMMYFUNCTION("""COMPUTED_VALUE"""),-1600.0)</f>
        <v>-1600</v>
      </c>
      <c r="E832" t="str">
        <f>IFERROR(__xludf.DUMMYFUNCTION("""COMPUTED_VALUE"""),"Ben帳戶")</f>
        <v>Ben帳戶</v>
      </c>
      <c r="G832" t="str">
        <f>IFERROR(__xludf.DUMMYFUNCTION("""COMPUTED_VALUE"""),"景安2分鐘")</f>
        <v>景安2分鐘</v>
      </c>
      <c r="H832" s="106" t="str">
        <f t="shared" si="1"/>
        <v>2024-09</v>
      </c>
      <c r="I832" s="271" t="str">
        <f>IFERROR(__xludf.DUMMYFUNCTION("""COMPUTED_VALUE"""),"貓狗企鵝")</f>
        <v>貓狗企鵝</v>
      </c>
      <c r="J832" t="str">
        <f>IFERROR(__xludf.DUMMYFUNCTION("IFS(
  AND(REGEXMATCH(E832, ""台銀籌備帳戶|玉山帳戶""), REGEXMATCH(C832, ""薪資"")), ""分潤支出"",
  AND(REGEXMATCH(E832, ""Ben帳戶|Elsa帳戶|Ben代墊|Ariel代墊|中信銀行共用""), REGEXMATCH(F832, ""Ben帳戶|Elsa帳戶|Ben代墊|Ariel代墊|中信銀行共用"")), ""內部轉帳(忽略)"",
  AND(E832&lt;&gt;"""", F832&lt;&gt;"""", NOT(REG"&amp;"EXMATCH(C832, ""薪資""))), ""內部轉帳(忽略)"",
  REGEXMATCH(C832, ""薪資""), ""薪資變動(不計入)"",
  REGEXMATCH(C832, ""押金""), ""押金往來"",
  AND(E832&lt;&gt;"""", F832=""""), ""真實支出"",
  AND(E832="""", F832&lt;&gt;""""), ""真實收入"",
  TRUE, ""其他""
)"),"真實支出")</f>
        <v>真實支出</v>
      </c>
      <c r="K832" s="270">
        <f t="shared" si="2"/>
        <v>-1600</v>
      </c>
      <c r="L832">
        <f t="shared" si="3"/>
        <v>0</v>
      </c>
    </row>
    <row r="833">
      <c r="A833" s="107">
        <f>IFERROR(__xludf.DUMMYFUNCTION("""COMPUTED_VALUE"""),45564.0)</f>
        <v>45564</v>
      </c>
      <c r="B833" t="str">
        <f>IFERROR(__xludf.DUMMYFUNCTION("""COMPUTED_VALUE"""),"591 PO文")</f>
        <v>591 PO文</v>
      </c>
      <c r="C833" t="str">
        <f>IFERROR(__xludf.DUMMYFUNCTION("""COMPUTED_VALUE"""),"成本 - 租後修繕")</f>
        <v>成本 - 租後修繕</v>
      </c>
      <c r="D833" s="270">
        <f>IFERROR(__xludf.DUMMYFUNCTION("""COMPUTED_VALUE"""),-1289.0)</f>
        <v>-1289</v>
      </c>
      <c r="E833" t="str">
        <f>IFERROR(__xludf.DUMMYFUNCTION("""COMPUTED_VALUE"""),"Elsa帳戶")</f>
        <v>Elsa帳戶</v>
      </c>
      <c r="G833" t="str">
        <f>IFERROR(__xludf.DUMMYFUNCTION("""COMPUTED_VALUE"""),"市府爺爺家")</f>
        <v>市府爺爺家</v>
      </c>
      <c r="H833" s="106" t="str">
        <f t="shared" si="1"/>
        <v>2024-09</v>
      </c>
      <c r="I833" s="271" t="str">
        <f>IFERROR(__xludf.DUMMYFUNCTION("""COMPUTED_VALUE"""),"貓狗企鵝")</f>
        <v>貓狗企鵝</v>
      </c>
      <c r="J833" t="str">
        <f>IFERROR(__xludf.DUMMYFUNCTION("IFS(
  AND(REGEXMATCH(E833, ""台銀籌備帳戶|玉山帳戶""), REGEXMATCH(C833, ""薪資"")), ""分潤支出"",
  AND(REGEXMATCH(E833, ""Ben帳戶|Elsa帳戶|Ben代墊|Ariel代墊|中信銀行共用""), REGEXMATCH(F833, ""Ben帳戶|Elsa帳戶|Ben代墊|Ariel代墊|中信銀行共用"")), ""內部轉帳(忽略)"",
  AND(E833&lt;&gt;"""", F833&lt;&gt;"""", NOT(REG"&amp;"EXMATCH(C833, ""薪資""))), ""內部轉帳(忽略)"",
  REGEXMATCH(C833, ""薪資""), ""薪資變動(不計入)"",
  REGEXMATCH(C833, ""押金""), ""押金往來"",
  AND(E833&lt;&gt;"""", F833=""""), ""真實支出"",
  AND(E833="""", F833&lt;&gt;""""), ""真實收入"",
  TRUE, ""其他""
)"),"真實支出")</f>
        <v>真實支出</v>
      </c>
      <c r="K833" s="270">
        <f t="shared" si="2"/>
        <v>-1289</v>
      </c>
      <c r="L833">
        <f t="shared" si="3"/>
        <v>0</v>
      </c>
    </row>
    <row r="834">
      <c r="A834" s="107">
        <f>IFERROR(__xludf.DUMMYFUNCTION("""COMPUTED_VALUE"""),45565.0)</f>
        <v>45565</v>
      </c>
      <c r="B834" t="str">
        <f>IFERROR(__xludf.DUMMYFUNCTION("""COMPUTED_VALUE"""),"設計軟體Canva月費")</f>
        <v>設計軟體Canva月費</v>
      </c>
      <c r="C834" t="str">
        <f>IFERROR(__xludf.DUMMYFUNCTION("""COMPUTED_VALUE"""),"費用 - 辦公用品")</f>
        <v>費用 - 辦公用品</v>
      </c>
      <c r="D834" s="270">
        <f>IFERROR(__xludf.DUMMYFUNCTION("""COMPUTED_VALUE"""),-500.0)</f>
        <v>-500</v>
      </c>
      <c r="E834" t="str">
        <f>IFERROR(__xludf.DUMMYFUNCTION("""COMPUTED_VALUE"""),"Ben帳戶")</f>
        <v>Ben帳戶</v>
      </c>
      <c r="H834" s="106" t="str">
        <f t="shared" si="1"/>
        <v>2024-09</v>
      </c>
      <c r="I834" s="271" t="str">
        <f>IFERROR(__xludf.DUMMYFUNCTION("""COMPUTED_VALUE"""),"貓狗企鵝")</f>
        <v>貓狗企鵝</v>
      </c>
      <c r="J834" t="str">
        <f>IFERROR(__xludf.DUMMYFUNCTION("IFS(
  AND(REGEXMATCH(E834, ""台銀籌備帳戶|玉山帳戶""), REGEXMATCH(C834, ""薪資"")), ""分潤支出"",
  AND(REGEXMATCH(E834, ""Ben帳戶|Elsa帳戶|Ben代墊|Ariel代墊|中信銀行共用""), REGEXMATCH(F834, ""Ben帳戶|Elsa帳戶|Ben代墊|Ariel代墊|中信銀行共用"")), ""內部轉帳(忽略)"",
  AND(E834&lt;&gt;"""", F834&lt;&gt;"""", NOT(REG"&amp;"EXMATCH(C834, ""薪資""))), ""內部轉帳(忽略)"",
  REGEXMATCH(C834, ""薪資""), ""薪資變動(不計入)"",
  REGEXMATCH(C834, ""押金""), ""押金往來"",
  AND(E834&lt;&gt;"""", F834=""""), ""真實支出"",
  AND(E834="""", F834&lt;&gt;""""), ""真實收入"",
  TRUE, ""其他""
)"),"真實支出")</f>
        <v>真實支出</v>
      </c>
      <c r="K834" s="270">
        <f t="shared" si="2"/>
        <v>-500</v>
      </c>
      <c r="L834">
        <f t="shared" si="3"/>
        <v>0</v>
      </c>
    </row>
    <row r="835">
      <c r="A835" s="107">
        <f>IFERROR(__xludf.DUMMYFUNCTION("""COMPUTED_VALUE"""),45565.0)</f>
        <v>45565</v>
      </c>
      <c r="B835" t="str">
        <f>IFERROR(__xludf.DUMMYFUNCTION("""COMPUTED_VALUE"""),"名片費")</f>
        <v>名片費</v>
      </c>
      <c r="C835" t="str">
        <f>IFERROR(__xludf.DUMMYFUNCTION("""COMPUTED_VALUE"""),"費用 - 辦公用品")</f>
        <v>費用 - 辦公用品</v>
      </c>
      <c r="D835" s="270">
        <f>IFERROR(__xludf.DUMMYFUNCTION("""COMPUTED_VALUE"""),-255.0)</f>
        <v>-255</v>
      </c>
      <c r="E835" t="str">
        <f>IFERROR(__xludf.DUMMYFUNCTION("""COMPUTED_VALUE"""),"Ben帳戶")</f>
        <v>Ben帳戶</v>
      </c>
      <c r="H835" s="106" t="str">
        <f t="shared" si="1"/>
        <v>2024-09</v>
      </c>
      <c r="I835" s="271" t="str">
        <f>IFERROR(__xludf.DUMMYFUNCTION("""COMPUTED_VALUE"""),"貓狗企鵝")</f>
        <v>貓狗企鵝</v>
      </c>
      <c r="J835" t="str">
        <f>IFERROR(__xludf.DUMMYFUNCTION("IFS(
  AND(REGEXMATCH(E835, ""台銀籌備帳戶|玉山帳戶""), REGEXMATCH(C835, ""薪資"")), ""分潤支出"",
  AND(REGEXMATCH(E835, ""Ben帳戶|Elsa帳戶|Ben代墊|Ariel代墊|中信銀行共用""), REGEXMATCH(F835, ""Ben帳戶|Elsa帳戶|Ben代墊|Ariel代墊|中信銀行共用"")), ""內部轉帳(忽略)"",
  AND(E835&lt;&gt;"""", F835&lt;&gt;"""", NOT(REG"&amp;"EXMATCH(C835, ""薪資""))), ""內部轉帳(忽略)"",
  REGEXMATCH(C835, ""薪資""), ""薪資變動(不計入)"",
  REGEXMATCH(C835, ""押金""), ""押金往來"",
  AND(E835&lt;&gt;"""", F835=""""), ""真實支出"",
  AND(E835="""", F835&lt;&gt;""""), ""真實收入"",
  TRUE, ""其他""
)"),"真實支出")</f>
        <v>真實支出</v>
      </c>
      <c r="K835" s="270">
        <f t="shared" si="2"/>
        <v>-255</v>
      </c>
      <c r="L835">
        <f t="shared" si="3"/>
        <v>0</v>
      </c>
    </row>
    <row r="836">
      <c r="A836" s="107">
        <f>IFERROR(__xludf.DUMMYFUNCTION("""COMPUTED_VALUE"""),45565.0)</f>
        <v>45565</v>
      </c>
      <c r="B836" t="str">
        <f>IFERROR(__xludf.DUMMYFUNCTION("""COMPUTED_VALUE"""),"淘寶桌/椅/櫃子")</f>
        <v>淘寶桌/椅/櫃子</v>
      </c>
      <c r="C836" t="str">
        <f>IFERROR(__xludf.DUMMYFUNCTION("""COMPUTED_VALUE"""),"成本 - 進場前裝潢費")</f>
        <v>成本 - 進場前裝潢費</v>
      </c>
      <c r="D836" s="270">
        <f>IFERROR(__xludf.DUMMYFUNCTION("""COMPUTED_VALUE"""),-7583.0)</f>
        <v>-7583</v>
      </c>
      <c r="E836" t="str">
        <f>IFERROR(__xludf.DUMMYFUNCTION("""COMPUTED_VALUE"""),"Elsa帳戶")</f>
        <v>Elsa帳戶</v>
      </c>
      <c r="G836" t="str">
        <f>IFERROR(__xludf.DUMMYFUNCTION("""COMPUTED_VALUE"""),"中山北娘家旁")</f>
        <v>中山北娘家旁</v>
      </c>
      <c r="H836" s="106" t="str">
        <f t="shared" si="1"/>
        <v>2024-09</v>
      </c>
      <c r="I836" s="271" t="str">
        <f>IFERROR(__xludf.DUMMYFUNCTION("""COMPUTED_VALUE"""),"貓狗企鵝")</f>
        <v>貓狗企鵝</v>
      </c>
      <c r="J836" t="str">
        <f>IFERROR(__xludf.DUMMYFUNCTION("IFS(
  AND(REGEXMATCH(E836, ""台銀籌備帳戶|玉山帳戶""), REGEXMATCH(C836, ""薪資"")), ""分潤支出"",
  AND(REGEXMATCH(E836, ""Ben帳戶|Elsa帳戶|Ben代墊|Ariel代墊|中信銀行共用""), REGEXMATCH(F836, ""Ben帳戶|Elsa帳戶|Ben代墊|Ariel代墊|中信銀行共用"")), ""內部轉帳(忽略)"",
  AND(E836&lt;&gt;"""", F836&lt;&gt;"""", NOT(REG"&amp;"EXMATCH(C836, ""薪資""))), ""內部轉帳(忽略)"",
  REGEXMATCH(C836, ""薪資""), ""薪資變動(不計入)"",
  REGEXMATCH(C836, ""押金""), ""押金往來"",
  AND(E836&lt;&gt;"""", F836=""""), ""真實支出"",
  AND(E836="""", F836&lt;&gt;""""), ""真實收入"",
  TRUE, ""其他""
)"),"真實支出")</f>
        <v>真實支出</v>
      </c>
      <c r="K836" s="270">
        <f t="shared" si="2"/>
        <v>-7583</v>
      </c>
      <c r="L836">
        <f t="shared" si="3"/>
        <v>0</v>
      </c>
    </row>
    <row r="837">
      <c r="A837" s="107">
        <f>IFERROR(__xludf.DUMMYFUNCTION("""COMPUTED_VALUE"""),45565.0)</f>
        <v>45565</v>
      </c>
      <c r="B837" t="str">
        <f>IFERROR(__xludf.DUMMYFUNCTION("""COMPUTED_VALUE"""),"Feli租金")</f>
        <v>Feli租金</v>
      </c>
      <c r="C837" t="str">
        <f>IFERROR(__xludf.DUMMYFUNCTION("""COMPUTED_VALUE"""),"成本 - 大租金")</f>
        <v>成本 - 大租金</v>
      </c>
      <c r="D837" s="270">
        <f>IFERROR(__xludf.DUMMYFUNCTION("""COMPUTED_VALUE"""),-18015.0)</f>
        <v>-18015</v>
      </c>
      <c r="E837" t="str">
        <f>IFERROR(__xludf.DUMMYFUNCTION("""COMPUTED_VALUE"""),"台銀籌備帳戶")</f>
        <v>台銀籌備帳戶</v>
      </c>
      <c r="G837" t="str">
        <f>IFERROR(__xludf.DUMMYFUNCTION("""COMPUTED_VALUE"""),"中山北Feli家")</f>
        <v>中山北Feli家</v>
      </c>
      <c r="H837" s="106" t="str">
        <f t="shared" si="1"/>
        <v>2024-09</v>
      </c>
      <c r="I837" s="271" t="str">
        <f>IFERROR(__xludf.DUMMYFUNCTION("""COMPUTED_VALUE"""),"貓狗企鵝")</f>
        <v>貓狗企鵝</v>
      </c>
      <c r="J837" t="str">
        <f>IFERROR(__xludf.DUMMYFUNCTION("IFS(
  AND(REGEXMATCH(E837, ""台銀籌備帳戶|玉山帳戶""), REGEXMATCH(C837, ""薪資"")), ""分潤支出"",
  AND(REGEXMATCH(E837, ""Ben帳戶|Elsa帳戶|Ben代墊|Ariel代墊|中信銀行共用""), REGEXMATCH(F837, ""Ben帳戶|Elsa帳戶|Ben代墊|Ariel代墊|中信銀行共用"")), ""內部轉帳(忽略)"",
  AND(E837&lt;&gt;"""", F837&lt;&gt;"""", NOT(REG"&amp;"EXMATCH(C837, ""薪資""))), ""內部轉帳(忽略)"",
  REGEXMATCH(C837, ""薪資""), ""薪資變動(不計入)"",
  REGEXMATCH(C837, ""押金""), ""押金往來"",
  AND(E837&lt;&gt;"""", F837=""""), ""真實支出"",
  AND(E837="""", F837&lt;&gt;""""), ""真實收入"",
  TRUE, ""其他""
)"),"真實支出")</f>
        <v>真實支出</v>
      </c>
      <c r="K837" s="270">
        <f t="shared" si="2"/>
        <v>-18015</v>
      </c>
      <c r="L837">
        <f t="shared" si="3"/>
        <v>0</v>
      </c>
    </row>
    <row r="838">
      <c r="A838" s="107">
        <f>IFERROR(__xludf.DUMMYFUNCTION("""COMPUTED_VALUE"""),45565.0)</f>
        <v>45565</v>
      </c>
      <c r="B838" t="str">
        <f>IFERROR(__xludf.DUMMYFUNCTION("""COMPUTED_VALUE"""),"哈拉對面D柳翰洋")</f>
        <v>哈拉對面D柳翰洋</v>
      </c>
      <c r="C838" t="str">
        <f>IFERROR(__xludf.DUMMYFUNCTION("""COMPUTED_VALUE"""),"收入 - 租金")</f>
        <v>收入 - 租金</v>
      </c>
      <c r="D838" s="270">
        <f>IFERROR(__xludf.DUMMYFUNCTION("""COMPUTED_VALUE"""),12300.0)</f>
        <v>12300</v>
      </c>
      <c r="F838" t="str">
        <f>IFERROR(__xludf.DUMMYFUNCTION("""COMPUTED_VALUE"""),"台銀籌備帳戶")</f>
        <v>台銀籌備帳戶</v>
      </c>
      <c r="G838" t="str">
        <f>IFERROR(__xludf.DUMMYFUNCTION("""COMPUTED_VALUE"""),"哈拉對面")</f>
        <v>哈拉對面</v>
      </c>
      <c r="H838" s="106" t="str">
        <f t="shared" si="1"/>
        <v>2024-09</v>
      </c>
      <c r="I838" s="271" t="str">
        <f>IFERROR(__xludf.DUMMYFUNCTION("""COMPUTED_VALUE"""),"貓狗企鵝")</f>
        <v>貓狗企鵝</v>
      </c>
      <c r="J838" t="str">
        <f>IFERROR(__xludf.DUMMYFUNCTION("IFS(
  AND(REGEXMATCH(E838, ""台銀籌備帳戶|玉山帳戶""), REGEXMATCH(C838, ""薪資"")), ""分潤支出"",
  AND(REGEXMATCH(E838, ""Ben帳戶|Elsa帳戶|Ben代墊|Ariel代墊|中信銀行共用""), REGEXMATCH(F838, ""Ben帳戶|Elsa帳戶|Ben代墊|Ariel代墊|中信銀行共用"")), ""內部轉帳(忽略)"",
  AND(E838&lt;&gt;"""", F838&lt;&gt;"""", NOT(REG"&amp;"EXMATCH(C838, ""薪資""))), ""內部轉帳(忽略)"",
  REGEXMATCH(C838, ""薪資""), ""薪資變動(不計入)"",
  REGEXMATCH(C838, ""押金""), ""押金往來"",
  AND(E838&lt;&gt;"""", F838=""""), ""真實支出"",
  AND(E838="""", F838&lt;&gt;""""), ""真實收入"",
  TRUE, ""其他""
)"),"真實收入")</f>
        <v>真實收入</v>
      </c>
      <c r="K838" s="270">
        <f t="shared" si="2"/>
        <v>12300</v>
      </c>
      <c r="L838">
        <f t="shared" si="3"/>
        <v>0</v>
      </c>
    </row>
    <row r="839">
      <c r="A839" s="107">
        <f>IFERROR(__xludf.DUMMYFUNCTION("""COMPUTED_VALUE"""),45565.0)</f>
        <v>45565</v>
      </c>
      <c r="B839" t="str">
        <f>IFERROR(__xludf.DUMMYFUNCTION("""COMPUTED_VALUE"""),"金龍帽子先生A范裕哲")</f>
        <v>金龍帽子先生A范裕哲</v>
      </c>
      <c r="C839" t="str">
        <f>IFERROR(__xludf.DUMMYFUNCTION("""COMPUTED_VALUE"""),"收入 - 租金")</f>
        <v>收入 - 租金</v>
      </c>
      <c r="D839" s="270">
        <f>IFERROR(__xludf.DUMMYFUNCTION("""COMPUTED_VALUE"""),37910.0)</f>
        <v>37910</v>
      </c>
      <c r="F839" t="str">
        <f>IFERROR(__xludf.DUMMYFUNCTION("""COMPUTED_VALUE"""),"台銀籌備帳戶")</f>
        <v>台銀籌備帳戶</v>
      </c>
      <c r="G839" t="str">
        <f>IFERROR(__xludf.DUMMYFUNCTION("""COMPUTED_VALUE"""),"金龍帽子先生")</f>
        <v>金龍帽子先生</v>
      </c>
      <c r="H839" s="106" t="str">
        <f t="shared" si="1"/>
        <v>2024-09</v>
      </c>
      <c r="I839" s="271" t="str">
        <f>IFERROR(__xludf.DUMMYFUNCTION("""COMPUTED_VALUE"""),"貓狗企鵝")</f>
        <v>貓狗企鵝</v>
      </c>
      <c r="J839" t="str">
        <f>IFERROR(__xludf.DUMMYFUNCTION("IFS(
  AND(REGEXMATCH(E839, ""台銀籌備帳戶|玉山帳戶""), REGEXMATCH(C839, ""薪資"")), ""分潤支出"",
  AND(REGEXMATCH(E839, ""Ben帳戶|Elsa帳戶|Ben代墊|Ariel代墊|中信銀行共用""), REGEXMATCH(F839, ""Ben帳戶|Elsa帳戶|Ben代墊|Ariel代墊|中信銀行共用"")), ""內部轉帳(忽略)"",
  AND(E839&lt;&gt;"""", F839&lt;&gt;"""", NOT(REG"&amp;"EXMATCH(C839, ""薪資""))), ""內部轉帳(忽略)"",
  REGEXMATCH(C839, ""薪資""), ""薪資變動(不計入)"",
  REGEXMATCH(C839, ""押金""), ""押金往來"",
  AND(E839&lt;&gt;"""", F839=""""), ""真實支出"",
  AND(E839="""", F839&lt;&gt;""""), ""真實收入"",
  TRUE, ""其他""
)"),"真實收入")</f>
        <v>真實收入</v>
      </c>
      <c r="K839" s="270">
        <f t="shared" si="2"/>
        <v>37910</v>
      </c>
      <c r="L839">
        <f t="shared" si="3"/>
        <v>0</v>
      </c>
    </row>
    <row r="840">
      <c r="A840" s="107">
        <f>IFERROR(__xludf.DUMMYFUNCTION("""COMPUTED_VALUE"""),45565.0)</f>
        <v>45565</v>
      </c>
      <c r="B840" t="str">
        <f>IFERROR(__xludf.DUMMYFUNCTION("""COMPUTED_VALUE"""),"大湖山莊C姚伯謙")</f>
        <v>大湖山莊C姚伯謙</v>
      </c>
      <c r="C840" t="str">
        <f>IFERROR(__xludf.DUMMYFUNCTION("""COMPUTED_VALUE"""),"收入 - 租金")</f>
        <v>收入 - 租金</v>
      </c>
      <c r="D840" s="270">
        <f>IFERROR(__xludf.DUMMYFUNCTION("""COMPUTED_VALUE"""),18800.0)</f>
        <v>18800</v>
      </c>
      <c r="F840" t="str">
        <f>IFERROR(__xludf.DUMMYFUNCTION("""COMPUTED_VALUE"""),"台銀籌備帳戶")</f>
        <v>台銀籌備帳戶</v>
      </c>
      <c r="G840" t="str">
        <f>IFERROR(__xludf.DUMMYFUNCTION("""COMPUTED_VALUE"""),"大湖山莊")</f>
        <v>大湖山莊</v>
      </c>
      <c r="H840" s="106" t="str">
        <f t="shared" si="1"/>
        <v>2024-09</v>
      </c>
      <c r="I840" s="271" t="str">
        <f>IFERROR(__xludf.DUMMYFUNCTION("""COMPUTED_VALUE"""),"貓狗企鵝")</f>
        <v>貓狗企鵝</v>
      </c>
      <c r="J840" t="str">
        <f>IFERROR(__xludf.DUMMYFUNCTION("IFS(
  AND(REGEXMATCH(E840, ""台銀籌備帳戶|玉山帳戶""), REGEXMATCH(C840, ""薪資"")), ""分潤支出"",
  AND(REGEXMATCH(E840, ""Ben帳戶|Elsa帳戶|Ben代墊|Ariel代墊|中信銀行共用""), REGEXMATCH(F840, ""Ben帳戶|Elsa帳戶|Ben代墊|Ariel代墊|中信銀行共用"")), ""內部轉帳(忽略)"",
  AND(E840&lt;&gt;"""", F840&lt;&gt;"""", NOT(REG"&amp;"EXMATCH(C840, ""薪資""))), ""內部轉帳(忽略)"",
  REGEXMATCH(C840, ""薪資""), ""薪資變動(不計入)"",
  REGEXMATCH(C840, ""押金""), ""押金往來"",
  AND(E840&lt;&gt;"""", F840=""""), ""真實支出"",
  AND(E840="""", F840&lt;&gt;""""), ""真實收入"",
  TRUE, ""其他""
)"),"真實收入")</f>
        <v>真實收入</v>
      </c>
      <c r="K840" s="270">
        <f t="shared" si="2"/>
        <v>18800</v>
      </c>
      <c r="L840">
        <f t="shared" si="3"/>
        <v>0</v>
      </c>
    </row>
    <row r="841">
      <c r="A841" s="107">
        <f>IFERROR(__xludf.DUMMYFUNCTION("""COMPUTED_VALUE"""),45565.0)</f>
        <v>45565</v>
      </c>
      <c r="B841" t="str">
        <f>IFERROR(__xludf.DUMMYFUNCTION("""COMPUTED_VALUE"""),"娘家旁床")</f>
        <v>娘家旁床</v>
      </c>
      <c r="C841" t="str">
        <f>IFERROR(__xludf.DUMMYFUNCTION("""COMPUTED_VALUE"""),"成本 - 進場前裝潢費")</f>
        <v>成本 - 進場前裝潢費</v>
      </c>
      <c r="D841" s="270">
        <f>IFERROR(__xludf.DUMMYFUNCTION("""COMPUTED_VALUE"""),-29715.0)</f>
        <v>-29715</v>
      </c>
      <c r="E841" t="str">
        <f>IFERROR(__xludf.DUMMYFUNCTION("""COMPUTED_VALUE"""),"台銀籌備帳戶")</f>
        <v>台銀籌備帳戶</v>
      </c>
      <c r="G841" t="str">
        <f>IFERROR(__xludf.DUMMYFUNCTION("""COMPUTED_VALUE"""),"中山北娘家旁")</f>
        <v>中山北娘家旁</v>
      </c>
      <c r="H841" s="106" t="str">
        <f t="shared" si="1"/>
        <v>2024-09</v>
      </c>
      <c r="I841" s="271" t="str">
        <f>IFERROR(__xludf.DUMMYFUNCTION("""COMPUTED_VALUE"""),"貓狗企鵝")</f>
        <v>貓狗企鵝</v>
      </c>
      <c r="J841" t="str">
        <f>IFERROR(__xludf.DUMMYFUNCTION("IFS(
  AND(REGEXMATCH(E841, ""台銀籌備帳戶|玉山帳戶""), REGEXMATCH(C841, ""薪資"")), ""分潤支出"",
  AND(REGEXMATCH(E841, ""Ben帳戶|Elsa帳戶|Ben代墊|Ariel代墊|中信銀行共用""), REGEXMATCH(F841, ""Ben帳戶|Elsa帳戶|Ben代墊|Ariel代墊|中信銀行共用"")), ""內部轉帳(忽略)"",
  AND(E841&lt;&gt;"""", F841&lt;&gt;"""", NOT(REG"&amp;"EXMATCH(C841, ""薪資""))), ""內部轉帳(忽略)"",
  REGEXMATCH(C841, ""薪資""), ""薪資變動(不計入)"",
  REGEXMATCH(C841, ""押金""), ""押金往來"",
  AND(E841&lt;&gt;"""", F841=""""), ""真實支出"",
  AND(E841="""", F841&lt;&gt;""""), ""真實收入"",
  TRUE, ""其他""
)"),"真實支出")</f>
        <v>真實支出</v>
      </c>
      <c r="K841" s="270">
        <f t="shared" si="2"/>
        <v>-29715</v>
      </c>
      <c r="L841">
        <f t="shared" si="3"/>
        <v>0</v>
      </c>
    </row>
    <row r="842">
      <c r="A842" s="107">
        <f>IFERROR(__xludf.DUMMYFUNCTION("""COMPUTED_VALUE"""),45566.0)</f>
        <v>45566</v>
      </c>
      <c r="B842" t="str">
        <f>IFERROR(__xludf.DUMMYFUNCTION("""COMPUTED_VALUE"""),"哈拉對面A李柏緯")</f>
        <v>哈拉對面A李柏緯</v>
      </c>
      <c r="C842" t="str">
        <f>IFERROR(__xludf.DUMMYFUNCTION("""COMPUTED_VALUE"""),"收入 - 租金")</f>
        <v>收入 - 租金</v>
      </c>
      <c r="D842" s="270">
        <f>IFERROR(__xludf.DUMMYFUNCTION("""COMPUTED_VALUE"""),11300.0)</f>
        <v>11300</v>
      </c>
      <c r="F842" t="str">
        <f>IFERROR(__xludf.DUMMYFUNCTION("""COMPUTED_VALUE"""),"台銀籌備帳戶")</f>
        <v>台銀籌備帳戶</v>
      </c>
      <c r="G842" t="str">
        <f>IFERROR(__xludf.DUMMYFUNCTION("""COMPUTED_VALUE"""),"哈拉對面")</f>
        <v>哈拉對面</v>
      </c>
      <c r="H842" s="106" t="str">
        <f t="shared" si="1"/>
        <v>2024-10</v>
      </c>
      <c r="I842" s="271" t="str">
        <f>IFERROR(__xludf.DUMMYFUNCTION("""COMPUTED_VALUE"""),"貓狗企鵝")</f>
        <v>貓狗企鵝</v>
      </c>
      <c r="J842" t="str">
        <f>IFERROR(__xludf.DUMMYFUNCTION("IFS(
  AND(REGEXMATCH(E842, ""台銀籌備帳戶|玉山帳戶""), REGEXMATCH(C842, ""薪資"")), ""分潤支出"",
  AND(REGEXMATCH(E842, ""Ben帳戶|Elsa帳戶|Ben代墊|Ariel代墊|中信銀行共用""), REGEXMATCH(F842, ""Ben帳戶|Elsa帳戶|Ben代墊|Ariel代墊|中信銀行共用"")), ""內部轉帳(忽略)"",
  AND(E842&lt;&gt;"""", F842&lt;&gt;"""", NOT(REG"&amp;"EXMATCH(C842, ""薪資""))), ""內部轉帳(忽略)"",
  REGEXMATCH(C842, ""薪資""), ""薪資變動(不計入)"",
  REGEXMATCH(C842, ""押金""), ""押金往來"",
  AND(E842&lt;&gt;"""", F842=""""), ""真實支出"",
  AND(E842="""", F842&lt;&gt;""""), ""真實收入"",
  TRUE, ""其他""
)"),"真實收入")</f>
        <v>真實收入</v>
      </c>
      <c r="K842" s="270">
        <f t="shared" si="2"/>
        <v>11300</v>
      </c>
      <c r="L842">
        <f t="shared" si="3"/>
        <v>0</v>
      </c>
    </row>
    <row r="843">
      <c r="A843" s="107">
        <f>IFERROR(__xludf.DUMMYFUNCTION("""COMPUTED_VALUE"""),45566.0)</f>
        <v>45566</v>
      </c>
      <c r="B843" t="str">
        <f>IFERROR(__xludf.DUMMYFUNCTION("""COMPUTED_VALUE"""),"南港挑高租金")</f>
        <v>南港挑高租金</v>
      </c>
      <c r="C843" t="str">
        <f>IFERROR(__xludf.DUMMYFUNCTION("""COMPUTED_VALUE"""),"成本 - 大租金")</f>
        <v>成本 - 大租金</v>
      </c>
      <c r="D843" s="270">
        <f>IFERROR(__xludf.DUMMYFUNCTION("""COMPUTED_VALUE"""),-18250.0)</f>
        <v>-18250</v>
      </c>
      <c r="E843" t="str">
        <f>IFERROR(__xludf.DUMMYFUNCTION("""COMPUTED_VALUE"""),"台銀籌備帳戶")</f>
        <v>台銀籌備帳戶</v>
      </c>
      <c r="G843" t="str">
        <f>IFERROR(__xludf.DUMMYFUNCTION("""COMPUTED_VALUE"""),"南港站挑高宅")</f>
        <v>南港站挑高宅</v>
      </c>
      <c r="H843" s="106" t="str">
        <f t="shared" si="1"/>
        <v>2024-10</v>
      </c>
      <c r="I843" s="271" t="str">
        <f>IFERROR(__xludf.DUMMYFUNCTION("""COMPUTED_VALUE"""),"貓狗企鵝")</f>
        <v>貓狗企鵝</v>
      </c>
      <c r="J843" t="str">
        <f>IFERROR(__xludf.DUMMYFUNCTION("IFS(
  AND(REGEXMATCH(E843, ""台銀籌備帳戶|玉山帳戶""), REGEXMATCH(C843, ""薪資"")), ""分潤支出"",
  AND(REGEXMATCH(E843, ""Ben帳戶|Elsa帳戶|Ben代墊|Ariel代墊|中信銀行共用""), REGEXMATCH(F843, ""Ben帳戶|Elsa帳戶|Ben代墊|Ariel代墊|中信銀行共用"")), ""內部轉帳(忽略)"",
  AND(E843&lt;&gt;"""", F843&lt;&gt;"""", NOT(REG"&amp;"EXMATCH(C843, ""薪資""))), ""內部轉帳(忽略)"",
  REGEXMATCH(C843, ""薪資""), ""薪資變動(不計入)"",
  REGEXMATCH(C843, ""押金""), ""押金往來"",
  AND(E843&lt;&gt;"""", F843=""""), ""真實支出"",
  AND(E843="""", F843&lt;&gt;""""), ""真實收入"",
  TRUE, ""其他""
)"),"真實支出")</f>
        <v>真實支出</v>
      </c>
      <c r="K843" s="270">
        <f t="shared" si="2"/>
        <v>-18250</v>
      </c>
      <c r="L843">
        <f t="shared" si="3"/>
        <v>0</v>
      </c>
    </row>
    <row r="844">
      <c r="A844" s="107">
        <f>IFERROR(__xludf.DUMMYFUNCTION("""COMPUTED_VALUE"""),45566.0)</f>
        <v>45566</v>
      </c>
      <c r="B844" t="str">
        <f>IFERROR(__xludf.DUMMYFUNCTION("""COMPUTED_VALUE"""),"龍江229A莊美娟")</f>
        <v>龍江229A莊美娟</v>
      </c>
      <c r="C844" t="str">
        <f>IFERROR(__xludf.DUMMYFUNCTION("""COMPUTED_VALUE"""),"收入 - 租金")</f>
        <v>收入 - 租金</v>
      </c>
      <c r="D844" s="270">
        <f>IFERROR(__xludf.DUMMYFUNCTION("""COMPUTED_VALUE"""),12800.0)</f>
        <v>12800</v>
      </c>
      <c r="F844" t="str">
        <f>IFERROR(__xludf.DUMMYFUNCTION("""COMPUTED_VALUE"""),"台銀籌備帳戶")</f>
        <v>台銀籌備帳戶</v>
      </c>
      <c r="G844" t="str">
        <f>IFERROR(__xludf.DUMMYFUNCTION("""COMPUTED_VALUE"""),"龍江229")</f>
        <v>龍江229</v>
      </c>
      <c r="H844" s="106" t="str">
        <f t="shared" si="1"/>
        <v>2024-10</v>
      </c>
      <c r="I844" s="271" t="str">
        <f>IFERROR(__xludf.DUMMYFUNCTION("""COMPUTED_VALUE"""),"貓狗企鵝")</f>
        <v>貓狗企鵝</v>
      </c>
      <c r="J844" t="str">
        <f>IFERROR(__xludf.DUMMYFUNCTION("IFS(
  AND(REGEXMATCH(E844, ""台銀籌備帳戶|玉山帳戶""), REGEXMATCH(C844, ""薪資"")), ""分潤支出"",
  AND(REGEXMATCH(E844, ""Ben帳戶|Elsa帳戶|Ben代墊|Ariel代墊|中信銀行共用""), REGEXMATCH(F844, ""Ben帳戶|Elsa帳戶|Ben代墊|Ariel代墊|中信銀行共用"")), ""內部轉帳(忽略)"",
  AND(E844&lt;&gt;"""", F844&lt;&gt;"""", NOT(REG"&amp;"EXMATCH(C844, ""薪資""))), ""內部轉帳(忽略)"",
  REGEXMATCH(C844, ""薪資""), ""薪資變動(不計入)"",
  REGEXMATCH(C844, ""押金""), ""押金往來"",
  AND(E844&lt;&gt;"""", F844=""""), ""真實支出"",
  AND(E844="""", F844&lt;&gt;""""), ""真實收入"",
  TRUE, ""其他""
)"),"真實收入")</f>
        <v>真實收入</v>
      </c>
      <c r="K844" s="270">
        <f t="shared" si="2"/>
        <v>12800</v>
      </c>
      <c r="L844">
        <f t="shared" si="3"/>
        <v>0</v>
      </c>
    </row>
    <row r="845">
      <c r="A845" s="107">
        <f>IFERROR(__xludf.DUMMYFUNCTION("""COMPUTED_VALUE"""),45566.0)</f>
        <v>45566</v>
      </c>
      <c r="B845" t="str">
        <f>IFERROR(__xludf.DUMMYFUNCTION("""COMPUTED_VALUE"""),"永春郭大哥")</f>
        <v>永春郭大哥</v>
      </c>
      <c r="C845" t="str">
        <f>IFERROR(__xludf.DUMMYFUNCTION("""COMPUTED_VALUE"""),"成本 - 大租金")</f>
        <v>成本 - 大租金</v>
      </c>
      <c r="D845" s="270">
        <f>IFERROR(__xludf.DUMMYFUNCTION("""COMPUTED_VALUE"""),-17015.0)</f>
        <v>-17015</v>
      </c>
      <c r="E845" t="str">
        <f>IFERROR(__xludf.DUMMYFUNCTION("""COMPUTED_VALUE"""),"台銀籌備帳戶")</f>
        <v>台銀籌備帳戶</v>
      </c>
      <c r="G845" t="str">
        <f>IFERROR(__xludf.DUMMYFUNCTION("""COMPUTED_VALUE"""),"永春四號")</f>
        <v>永春四號</v>
      </c>
      <c r="H845" s="106" t="str">
        <f t="shared" si="1"/>
        <v>2024-10</v>
      </c>
      <c r="I845" s="271" t="str">
        <f>IFERROR(__xludf.DUMMYFUNCTION("""COMPUTED_VALUE"""),"貓狗企鵝")</f>
        <v>貓狗企鵝</v>
      </c>
      <c r="J845" t="str">
        <f>IFERROR(__xludf.DUMMYFUNCTION("IFS(
  AND(REGEXMATCH(E845, ""台銀籌備帳戶|玉山帳戶""), REGEXMATCH(C845, ""薪資"")), ""分潤支出"",
  AND(REGEXMATCH(E845, ""Ben帳戶|Elsa帳戶|Ben代墊|Ariel代墊|中信銀行共用""), REGEXMATCH(F845, ""Ben帳戶|Elsa帳戶|Ben代墊|Ariel代墊|中信銀行共用"")), ""內部轉帳(忽略)"",
  AND(E845&lt;&gt;"""", F845&lt;&gt;"""", NOT(REG"&amp;"EXMATCH(C845, ""薪資""))), ""內部轉帳(忽略)"",
  REGEXMATCH(C845, ""薪資""), ""薪資變動(不計入)"",
  REGEXMATCH(C845, ""押金""), ""押金往來"",
  AND(E845&lt;&gt;"""", F845=""""), ""真實支出"",
  AND(E845="""", F845&lt;&gt;""""), ""真實收入"",
  TRUE, ""其他""
)"),"真實支出")</f>
        <v>真實支出</v>
      </c>
      <c r="K845" s="270">
        <f t="shared" si="2"/>
        <v>-17015</v>
      </c>
      <c r="L845">
        <f t="shared" si="3"/>
        <v>0</v>
      </c>
    </row>
    <row r="846">
      <c r="A846" s="107">
        <f>IFERROR(__xludf.DUMMYFUNCTION("""COMPUTED_VALUE"""),45566.0)</f>
        <v>45566</v>
      </c>
      <c r="B846" t="str">
        <f>IFERROR(__xludf.DUMMYFUNCTION("""COMPUTED_VALUE"""),"永春郭大哥")</f>
        <v>永春郭大哥</v>
      </c>
      <c r="C846" t="str">
        <f>IFERROR(__xludf.DUMMYFUNCTION("""COMPUTED_VALUE"""),"成本 - 大租金")</f>
        <v>成本 - 大租金</v>
      </c>
      <c r="D846" s="270">
        <f>IFERROR(__xludf.DUMMYFUNCTION("""COMPUTED_VALUE"""),-17015.0)</f>
        <v>-17015</v>
      </c>
      <c r="E846" t="str">
        <f>IFERROR(__xludf.DUMMYFUNCTION("""COMPUTED_VALUE"""),"台銀籌備帳戶")</f>
        <v>台銀籌備帳戶</v>
      </c>
      <c r="G846" t="str">
        <f>IFERROR(__xludf.DUMMYFUNCTION("""COMPUTED_VALUE"""),"永春四號")</f>
        <v>永春四號</v>
      </c>
      <c r="H846" s="106" t="str">
        <f t="shared" si="1"/>
        <v>2024-10</v>
      </c>
      <c r="I846" s="271" t="str">
        <f>IFERROR(__xludf.DUMMYFUNCTION("""COMPUTED_VALUE"""),"貓狗企鵝")</f>
        <v>貓狗企鵝</v>
      </c>
      <c r="J846" t="str">
        <f>IFERROR(__xludf.DUMMYFUNCTION("IFS(
  AND(REGEXMATCH(E846, ""台銀籌備帳戶|玉山帳戶""), REGEXMATCH(C846, ""薪資"")), ""分潤支出"",
  AND(REGEXMATCH(E846, ""Ben帳戶|Elsa帳戶|Ben代墊|Ariel代墊|中信銀行共用""), REGEXMATCH(F846, ""Ben帳戶|Elsa帳戶|Ben代墊|Ariel代墊|中信銀行共用"")), ""內部轉帳(忽略)"",
  AND(E846&lt;&gt;"""", F846&lt;&gt;"""", NOT(REG"&amp;"EXMATCH(C846, ""薪資""))), ""內部轉帳(忽略)"",
  REGEXMATCH(C846, ""薪資""), ""薪資變動(不計入)"",
  REGEXMATCH(C846, ""押金""), ""押金往來"",
  AND(E846&lt;&gt;"""", F846=""""), ""真實支出"",
  AND(E846="""", F846&lt;&gt;""""), ""真實收入"",
  TRUE, ""其他""
)"),"真實支出")</f>
        <v>真實支出</v>
      </c>
      <c r="K846" s="270">
        <f t="shared" si="2"/>
        <v>-17015</v>
      </c>
      <c r="L846">
        <f t="shared" si="3"/>
        <v>0</v>
      </c>
    </row>
    <row r="847">
      <c r="A847" s="107">
        <f>IFERROR(__xludf.DUMMYFUNCTION("""COMPUTED_VALUE"""),45566.0)</f>
        <v>45566</v>
      </c>
      <c r="B847" t="str">
        <f>IFERROR(__xludf.DUMMYFUNCTION("""COMPUTED_VALUE"""),"我裝潢代墊款")</f>
        <v>我裝潢代墊款</v>
      </c>
      <c r="C847" t="str">
        <f>IFERROR(__xludf.DUMMYFUNCTION("""COMPUTED_VALUE"""),"費用 - Salary 薪資")</f>
        <v>費用 - Salary 薪資</v>
      </c>
      <c r="D847" s="270">
        <f>IFERROR(__xludf.DUMMYFUNCTION("""COMPUTED_VALUE"""),-200015.0)</f>
        <v>-200015</v>
      </c>
      <c r="E847" t="str">
        <f>IFERROR(__xludf.DUMMYFUNCTION("""COMPUTED_VALUE"""),"台銀籌備帳戶")</f>
        <v>台銀籌備帳戶</v>
      </c>
      <c r="F847" t="str">
        <f>IFERROR(__xludf.DUMMYFUNCTION("""COMPUTED_VALUE"""),"Ben帳戶")</f>
        <v>Ben帳戶</v>
      </c>
      <c r="H847" s="106" t="str">
        <f t="shared" si="1"/>
        <v>2024-10</v>
      </c>
      <c r="I847" s="271" t="str">
        <f>IFERROR(__xludf.DUMMYFUNCTION("""COMPUTED_VALUE"""),"貓狗企鵝")</f>
        <v>貓狗企鵝</v>
      </c>
      <c r="J847" t="str">
        <f>IFERROR(__xludf.DUMMYFUNCTION("IFS(
  AND(REGEXMATCH(E847, ""台銀籌備帳戶|玉山帳戶""), REGEXMATCH(C847, ""薪資"")), ""分潤支出"",
  AND(REGEXMATCH(E847, ""Ben帳戶|Elsa帳戶|Ben代墊|Ariel代墊|中信銀行共用""), REGEXMATCH(F847, ""Ben帳戶|Elsa帳戶|Ben代墊|Ariel代墊|中信銀行共用"")), ""內部轉帳(忽略)"",
  AND(E847&lt;&gt;"""", F847&lt;&gt;"""", NOT(REG"&amp;"EXMATCH(C847, ""薪資""))), ""內部轉帳(忽略)"",
  REGEXMATCH(C847, ""薪資""), ""薪資變動(不計入)"",
  REGEXMATCH(C847, ""押金""), ""押金往來"",
  AND(E847&lt;&gt;"""", F847=""""), ""真實支出"",
  AND(E847="""", F847&lt;&gt;""""), ""真實收入"",
  TRUE, ""其他""
)"),"分潤支出")</f>
        <v>分潤支出</v>
      </c>
      <c r="K847">
        <f t="shared" si="2"/>
        <v>0</v>
      </c>
      <c r="L847">
        <f t="shared" si="3"/>
        <v>200015</v>
      </c>
    </row>
    <row r="848">
      <c r="A848" s="107">
        <f>IFERROR(__xludf.DUMMYFUNCTION("""COMPUTED_VALUE"""),45566.0)</f>
        <v>45566</v>
      </c>
      <c r="B848" t="str">
        <f>IFERROR(__xludf.DUMMYFUNCTION("""COMPUTED_VALUE"""),"市府爺爺租金")</f>
        <v>市府爺爺租金</v>
      </c>
      <c r="C848" t="str">
        <f>IFERROR(__xludf.DUMMYFUNCTION("""COMPUTED_VALUE"""),"成本 - 大租金")</f>
        <v>成本 - 大租金</v>
      </c>
      <c r="D848" s="270">
        <f>IFERROR(__xludf.DUMMYFUNCTION("""COMPUTED_VALUE"""),-12015.0)</f>
        <v>-12015</v>
      </c>
      <c r="E848" t="str">
        <f>IFERROR(__xludf.DUMMYFUNCTION("""COMPUTED_VALUE"""),"台銀籌備帳戶")</f>
        <v>台銀籌備帳戶</v>
      </c>
      <c r="G848" t="str">
        <f>IFERROR(__xludf.DUMMYFUNCTION("""COMPUTED_VALUE"""),"市府爺爺家")</f>
        <v>市府爺爺家</v>
      </c>
      <c r="H848" s="106" t="str">
        <f t="shared" si="1"/>
        <v>2024-10</v>
      </c>
      <c r="I848" s="271" t="str">
        <f>IFERROR(__xludf.DUMMYFUNCTION("""COMPUTED_VALUE"""),"貓狗企鵝")</f>
        <v>貓狗企鵝</v>
      </c>
      <c r="J848" t="str">
        <f>IFERROR(__xludf.DUMMYFUNCTION("IFS(
  AND(REGEXMATCH(E848, ""台銀籌備帳戶|玉山帳戶""), REGEXMATCH(C848, ""薪資"")), ""分潤支出"",
  AND(REGEXMATCH(E848, ""Ben帳戶|Elsa帳戶|Ben代墊|Ariel代墊|中信銀行共用""), REGEXMATCH(F848, ""Ben帳戶|Elsa帳戶|Ben代墊|Ariel代墊|中信銀行共用"")), ""內部轉帳(忽略)"",
  AND(E848&lt;&gt;"""", F848&lt;&gt;"""", NOT(REG"&amp;"EXMATCH(C848, ""薪資""))), ""內部轉帳(忽略)"",
  REGEXMATCH(C848, ""薪資""), ""薪資變動(不計入)"",
  REGEXMATCH(C848, ""押金""), ""押金往來"",
  AND(E848&lt;&gt;"""", F848=""""), ""真實支出"",
  AND(E848="""", F848&lt;&gt;""""), ""真實收入"",
  TRUE, ""其他""
)"),"真實支出")</f>
        <v>真實支出</v>
      </c>
      <c r="K848" s="270">
        <f t="shared" si="2"/>
        <v>-12015</v>
      </c>
      <c r="L848">
        <f t="shared" si="3"/>
        <v>0</v>
      </c>
    </row>
    <row r="849">
      <c r="A849" s="107">
        <f>IFERROR(__xludf.DUMMYFUNCTION("""COMPUTED_VALUE"""),45566.0)</f>
        <v>45566</v>
      </c>
      <c r="B849" t="str">
        <f>IFERROR(__xludf.DUMMYFUNCTION("""COMPUTED_VALUE"""),"北醫陳醫師")</f>
        <v>北醫陳醫師</v>
      </c>
      <c r="C849" t="str">
        <f>IFERROR(__xludf.DUMMYFUNCTION("""COMPUTED_VALUE"""),"成本 - 大租金")</f>
        <v>成本 - 大租金</v>
      </c>
      <c r="D849" s="270">
        <f>IFERROR(__xludf.DUMMYFUNCTION("""COMPUTED_VALUE"""),-12815.0)</f>
        <v>-12815</v>
      </c>
      <c r="E849" t="str">
        <f>IFERROR(__xludf.DUMMYFUNCTION("""COMPUTED_VALUE"""),"台銀籌備帳戶")</f>
        <v>台銀籌備帳戶</v>
      </c>
      <c r="G849" t="str">
        <f>IFERROR(__xludf.DUMMYFUNCTION("""COMPUTED_VALUE"""),"北醫醫師府")</f>
        <v>北醫醫師府</v>
      </c>
      <c r="H849" s="106" t="str">
        <f t="shared" si="1"/>
        <v>2024-10</v>
      </c>
      <c r="I849" s="271" t="str">
        <f>IFERROR(__xludf.DUMMYFUNCTION("""COMPUTED_VALUE"""),"貓狗企鵝")</f>
        <v>貓狗企鵝</v>
      </c>
      <c r="J849" t="str">
        <f>IFERROR(__xludf.DUMMYFUNCTION("IFS(
  AND(REGEXMATCH(E849, ""台銀籌備帳戶|玉山帳戶""), REGEXMATCH(C849, ""薪資"")), ""分潤支出"",
  AND(REGEXMATCH(E849, ""Ben帳戶|Elsa帳戶|Ben代墊|Ariel代墊|中信銀行共用""), REGEXMATCH(F849, ""Ben帳戶|Elsa帳戶|Ben代墊|Ariel代墊|中信銀行共用"")), ""內部轉帳(忽略)"",
  AND(E849&lt;&gt;"""", F849&lt;&gt;"""", NOT(REG"&amp;"EXMATCH(C849, ""薪資""))), ""內部轉帳(忽略)"",
  REGEXMATCH(C849, ""薪資""), ""薪資變動(不計入)"",
  REGEXMATCH(C849, ""押金""), ""押金往來"",
  AND(E849&lt;&gt;"""", F849=""""), ""真實支出"",
  AND(E849="""", F849&lt;&gt;""""), ""真實收入"",
  TRUE, ""其他""
)"),"真實支出")</f>
        <v>真實支出</v>
      </c>
      <c r="K849" s="270">
        <f t="shared" si="2"/>
        <v>-12815</v>
      </c>
      <c r="L849">
        <f t="shared" si="3"/>
        <v>0</v>
      </c>
    </row>
    <row r="850">
      <c r="A850" s="107">
        <f>IFERROR(__xludf.DUMMYFUNCTION("""COMPUTED_VALUE"""),45566.0)</f>
        <v>45566</v>
      </c>
      <c r="B850" t="str">
        <f>IFERROR(__xludf.DUMMYFUNCTION("""COMPUTED_VALUE"""),"00北醫陳醫師")</f>
        <v>00北醫陳醫師</v>
      </c>
      <c r="C850" t="str">
        <f>IFERROR(__xludf.DUMMYFUNCTION("""COMPUTED_VALUE"""),"成本 - 大租金")</f>
        <v>成本 - 大租金</v>
      </c>
      <c r="D850" s="270">
        <f>IFERROR(__xludf.DUMMYFUNCTION("""COMPUTED_VALUE"""),12815.0)</f>
        <v>12815</v>
      </c>
      <c r="F850" t="str">
        <f>IFERROR(__xludf.DUMMYFUNCTION("""COMPUTED_VALUE"""),"台銀籌備帳戶")</f>
        <v>台銀籌備帳戶</v>
      </c>
      <c r="G850" t="str">
        <f>IFERROR(__xludf.DUMMYFUNCTION("""COMPUTED_VALUE"""),"北醫醫師府")</f>
        <v>北醫醫師府</v>
      </c>
      <c r="H850" s="106" t="str">
        <f t="shared" si="1"/>
        <v>2024-10</v>
      </c>
      <c r="I850" s="271" t="str">
        <f>IFERROR(__xludf.DUMMYFUNCTION("""COMPUTED_VALUE"""),"貓狗企鵝")</f>
        <v>貓狗企鵝</v>
      </c>
      <c r="J850" t="str">
        <f>IFERROR(__xludf.DUMMYFUNCTION("IFS(
  AND(REGEXMATCH(E850, ""台銀籌備帳戶|玉山帳戶""), REGEXMATCH(C850, ""薪資"")), ""分潤支出"",
  AND(REGEXMATCH(E850, ""Ben帳戶|Elsa帳戶|Ben代墊|Ariel代墊|中信銀行共用""), REGEXMATCH(F850, ""Ben帳戶|Elsa帳戶|Ben代墊|Ariel代墊|中信銀行共用"")), ""內部轉帳(忽略)"",
  AND(E850&lt;&gt;"""", F850&lt;&gt;"""", NOT(REG"&amp;"EXMATCH(C850, ""薪資""))), ""內部轉帳(忽略)"",
  REGEXMATCH(C850, ""薪資""), ""薪資變動(不計入)"",
  REGEXMATCH(C850, ""押金""), ""押金往來"",
  AND(E850&lt;&gt;"""", F850=""""), ""真實支出"",
  AND(E850="""", F850&lt;&gt;""""), ""真實收入"",
  TRUE, ""其他""
)"),"真實收入")</f>
        <v>真實收入</v>
      </c>
      <c r="K850" s="270">
        <f t="shared" si="2"/>
        <v>12815</v>
      </c>
      <c r="L850">
        <f t="shared" si="3"/>
        <v>0</v>
      </c>
    </row>
    <row r="851">
      <c r="A851" s="107">
        <f>IFERROR(__xludf.DUMMYFUNCTION("""COMPUTED_VALUE"""),45566.0)</f>
        <v>45566</v>
      </c>
      <c r="B851" t="str">
        <f>IFERROR(__xludf.DUMMYFUNCTION("""COMPUTED_VALUE"""),"哈拉陳校長")</f>
        <v>哈拉陳校長</v>
      </c>
      <c r="C851" t="str">
        <f>IFERROR(__xludf.DUMMYFUNCTION("""COMPUTED_VALUE"""),"成本 - 大租金")</f>
        <v>成本 - 大租金</v>
      </c>
      <c r="D851" s="270">
        <f>IFERROR(__xludf.DUMMYFUNCTION("""COMPUTED_VALUE"""),-13015.0)</f>
        <v>-13015</v>
      </c>
      <c r="E851" t="str">
        <f>IFERROR(__xludf.DUMMYFUNCTION("""COMPUTED_VALUE"""),"台銀籌備帳戶")</f>
        <v>台銀籌備帳戶</v>
      </c>
      <c r="G851" t="str">
        <f>IFERROR(__xludf.DUMMYFUNCTION("""COMPUTED_VALUE"""),"哈拉對面")</f>
        <v>哈拉對面</v>
      </c>
      <c r="H851" s="106" t="str">
        <f t="shared" si="1"/>
        <v>2024-10</v>
      </c>
      <c r="I851" s="271" t="str">
        <f>IFERROR(__xludf.DUMMYFUNCTION("""COMPUTED_VALUE"""),"貓狗企鵝")</f>
        <v>貓狗企鵝</v>
      </c>
      <c r="J851" t="str">
        <f>IFERROR(__xludf.DUMMYFUNCTION("IFS(
  AND(REGEXMATCH(E851, ""台銀籌備帳戶|玉山帳戶""), REGEXMATCH(C851, ""薪資"")), ""分潤支出"",
  AND(REGEXMATCH(E851, ""Ben帳戶|Elsa帳戶|Ben代墊|Ariel代墊|中信銀行共用""), REGEXMATCH(F851, ""Ben帳戶|Elsa帳戶|Ben代墊|Ariel代墊|中信銀行共用"")), ""內部轉帳(忽略)"",
  AND(E851&lt;&gt;"""", F851&lt;&gt;"""", NOT(REG"&amp;"EXMATCH(C851, ""薪資""))), ""內部轉帳(忽略)"",
  REGEXMATCH(C851, ""薪資""), ""薪資變動(不計入)"",
  REGEXMATCH(C851, ""押金""), ""押金往來"",
  AND(E851&lt;&gt;"""", F851=""""), ""真實支出"",
  AND(E851="""", F851&lt;&gt;""""), ""真實收入"",
  TRUE, ""其他""
)"),"真實支出")</f>
        <v>真實支出</v>
      </c>
      <c r="K851" s="270">
        <f t="shared" si="2"/>
        <v>-13015</v>
      </c>
      <c r="L851">
        <f t="shared" si="3"/>
        <v>0</v>
      </c>
    </row>
    <row r="852">
      <c r="A852" s="107">
        <f>IFERROR(__xludf.DUMMYFUNCTION("""COMPUTED_VALUE"""),45566.0)</f>
        <v>45566</v>
      </c>
      <c r="B852" t="str">
        <f>IFERROR(__xludf.DUMMYFUNCTION("""COMPUTED_VALUE"""),"龍江游sir")</f>
        <v>龍江游sir</v>
      </c>
      <c r="C852" t="str">
        <f>IFERROR(__xludf.DUMMYFUNCTION("""COMPUTED_VALUE"""),"成本 - 大租金")</f>
        <v>成本 - 大租金</v>
      </c>
      <c r="D852" s="270">
        <f>IFERROR(__xludf.DUMMYFUNCTION("""COMPUTED_VALUE"""),-13515.0)</f>
        <v>-13515</v>
      </c>
      <c r="E852" t="str">
        <f>IFERROR(__xludf.DUMMYFUNCTION("""COMPUTED_VALUE"""),"台銀籌備帳戶")</f>
        <v>台銀籌備帳戶</v>
      </c>
      <c r="G852" t="str">
        <f>IFERROR(__xludf.DUMMYFUNCTION("""COMPUTED_VALUE"""),"龍江229")</f>
        <v>龍江229</v>
      </c>
      <c r="H852" s="106" t="str">
        <f t="shared" si="1"/>
        <v>2024-10</v>
      </c>
      <c r="I852" s="271" t="str">
        <f>IFERROR(__xludf.DUMMYFUNCTION("""COMPUTED_VALUE"""),"貓狗企鵝")</f>
        <v>貓狗企鵝</v>
      </c>
      <c r="J852" t="str">
        <f>IFERROR(__xludf.DUMMYFUNCTION("IFS(
  AND(REGEXMATCH(E852, ""台銀籌備帳戶|玉山帳戶""), REGEXMATCH(C852, ""薪資"")), ""分潤支出"",
  AND(REGEXMATCH(E852, ""Ben帳戶|Elsa帳戶|Ben代墊|Ariel代墊|中信銀行共用""), REGEXMATCH(F852, ""Ben帳戶|Elsa帳戶|Ben代墊|Ariel代墊|中信銀行共用"")), ""內部轉帳(忽略)"",
  AND(E852&lt;&gt;"""", F852&lt;&gt;"""", NOT(REG"&amp;"EXMATCH(C852, ""薪資""))), ""內部轉帳(忽略)"",
  REGEXMATCH(C852, ""薪資""), ""薪資變動(不計入)"",
  REGEXMATCH(C852, ""押金""), ""押金往來"",
  AND(E852&lt;&gt;"""", F852=""""), ""真實支出"",
  AND(E852="""", F852&lt;&gt;""""), ""真實收入"",
  TRUE, ""其他""
)"),"真實支出")</f>
        <v>真實支出</v>
      </c>
      <c r="K852" s="270">
        <f t="shared" si="2"/>
        <v>-13515</v>
      </c>
      <c r="L852">
        <f t="shared" si="3"/>
        <v>0</v>
      </c>
    </row>
    <row r="853">
      <c r="A853" s="107">
        <f>IFERROR(__xludf.DUMMYFUNCTION("""COMPUTED_VALUE"""),45566.0)</f>
        <v>45566</v>
      </c>
      <c r="B853" t="str">
        <f>IFERROR(__xludf.DUMMYFUNCTION("""COMPUTED_VALUE"""),"00龍江游sir")</f>
        <v>00龍江游sir</v>
      </c>
      <c r="C853" t="str">
        <f>IFERROR(__xludf.DUMMYFUNCTION("""COMPUTED_VALUE"""),"成本 - 大租金")</f>
        <v>成本 - 大租金</v>
      </c>
      <c r="D853" s="270">
        <f>IFERROR(__xludf.DUMMYFUNCTION("""COMPUTED_VALUE"""),13515.0)</f>
        <v>13515</v>
      </c>
      <c r="F853" t="str">
        <f>IFERROR(__xludf.DUMMYFUNCTION("""COMPUTED_VALUE"""),"台銀籌備帳戶")</f>
        <v>台銀籌備帳戶</v>
      </c>
      <c r="G853" t="str">
        <f>IFERROR(__xludf.DUMMYFUNCTION("""COMPUTED_VALUE"""),"龍江229")</f>
        <v>龍江229</v>
      </c>
      <c r="H853" s="106" t="str">
        <f t="shared" si="1"/>
        <v>2024-10</v>
      </c>
      <c r="I853" s="271" t="str">
        <f>IFERROR(__xludf.DUMMYFUNCTION("""COMPUTED_VALUE"""),"貓狗企鵝")</f>
        <v>貓狗企鵝</v>
      </c>
      <c r="J853" t="str">
        <f>IFERROR(__xludf.DUMMYFUNCTION("IFS(
  AND(REGEXMATCH(E853, ""台銀籌備帳戶|玉山帳戶""), REGEXMATCH(C853, ""薪資"")), ""分潤支出"",
  AND(REGEXMATCH(E853, ""Ben帳戶|Elsa帳戶|Ben代墊|Ariel代墊|中信銀行共用""), REGEXMATCH(F853, ""Ben帳戶|Elsa帳戶|Ben代墊|Ariel代墊|中信銀行共用"")), ""內部轉帳(忽略)"",
  AND(E853&lt;&gt;"""", F853&lt;&gt;"""", NOT(REG"&amp;"EXMATCH(C853, ""薪資""))), ""內部轉帳(忽略)"",
  REGEXMATCH(C853, ""薪資""), ""薪資變動(不計入)"",
  REGEXMATCH(C853, ""押金""), ""押金往來"",
  AND(E853&lt;&gt;"""", F853=""""), ""真實支出"",
  AND(E853="""", F853&lt;&gt;""""), ""真實收入"",
  TRUE, ""其他""
)"),"真實收入")</f>
        <v>真實收入</v>
      </c>
      <c r="K853" s="270">
        <f t="shared" si="2"/>
        <v>13515</v>
      </c>
      <c r="L853">
        <f t="shared" si="3"/>
        <v>0</v>
      </c>
    </row>
    <row r="854">
      <c r="A854" s="107">
        <f>IFERROR(__xludf.DUMMYFUNCTION("""COMPUTED_VALUE"""),45566.0)</f>
        <v>45566</v>
      </c>
      <c r="B854" t="str">
        <f>IFERROR(__xludf.DUMMYFUNCTION("""COMPUTED_VALUE"""),"大湖陳彩霞")</f>
        <v>大湖陳彩霞</v>
      </c>
      <c r="C854" t="str">
        <f>IFERROR(__xludf.DUMMYFUNCTION("""COMPUTED_VALUE"""),"成本 - 大租金")</f>
        <v>成本 - 大租金</v>
      </c>
      <c r="D854" s="270">
        <f>IFERROR(__xludf.DUMMYFUNCTION("""COMPUTED_VALUE"""),-19415.0)</f>
        <v>-19415</v>
      </c>
      <c r="E854" t="str">
        <f>IFERROR(__xludf.DUMMYFUNCTION("""COMPUTED_VALUE"""),"台銀籌備帳戶")</f>
        <v>台銀籌備帳戶</v>
      </c>
      <c r="G854" t="str">
        <f>IFERROR(__xludf.DUMMYFUNCTION("""COMPUTED_VALUE"""),"大湖山莊")</f>
        <v>大湖山莊</v>
      </c>
      <c r="H854" s="106" t="str">
        <f t="shared" si="1"/>
        <v>2024-10</v>
      </c>
      <c r="I854" s="271" t="str">
        <f>IFERROR(__xludf.DUMMYFUNCTION("""COMPUTED_VALUE"""),"貓狗企鵝")</f>
        <v>貓狗企鵝</v>
      </c>
      <c r="J854" t="str">
        <f>IFERROR(__xludf.DUMMYFUNCTION("IFS(
  AND(REGEXMATCH(E854, ""台銀籌備帳戶|玉山帳戶""), REGEXMATCH(C854, ""薪資"")), ""分潤支出"",
  AND(REGEXMATCH(E854, ""Ben帳戶|Elsa帳戶|Ben代墊|Ariel代墊|中信銀行共用""), REGEXMATCH(F854, ""Ben帳戶|Elsa帳戶|Ben代墊|Ariel代墊|中信銀行共用"")), ""內部轉帳(忽略)"",
  AND(E854&lt;&gt;"""", F854&lt;&gt;"""", NOT(REG"&amp;"EXMATCH(C854, ""薪資""))), ""內部轉帳(忽略)"",
  REGEXMATCH(C854, ""薪資""), ""薪資變動(不計入)"",
  REGEXMATCH(C854, ""押金""), ""押金往來"",
  AND(E854&lt;&gt;"""", F854=""""), ""真實支出"",
  AND(E854="""", F854&lt;&gt;""""), ""真實收入"",
  TRUE, ""其他""
)"),"真實支出")</f>
        <v>真實支出</v>
      </c>
      <c r="K854" s="270">
        <f t="shared" si="2"/>
        <v>-19415</v>
      </c>
      <c r="L854">
        <f t="shared" si="3"/>
        <v>0</v>
      </c>
    </row>
    <row r="855">
      <c r="A855" s="107">
        <f>IFERROR(__xludf.DUMMYFUNCTION("""COMPUTED_VALUE"""),45566.0)</f>
        <v>45566</v>
      </c>
      <c r="B855" t="str">
        <f>IFERROR(__xludf.DUMMYFUNCTION("""COMPUTED_VALUE"""),"龍江229B陳佩娟")</f>
        <v>龍江229B陳佩娟</v>
      </c>
      <c r="C855" t="str">
        <f>IFERROR(__xludf.DUMMYFUNCTION("""COMPUTED_VALUE"""),"收入 - 租金")</f>
        <v>收入 - 租金</v>
      </c>
      <c r="D855" s="270">
        <f>IFERROR(__xludf.DUMMYFUNCTION("""COMPUTED_VALUE"""),13000.0)</f>
        <v>13000</v>
      </c>
      <c r="F855" t="str">
        <f>IFERROR(__xludf.DUMMYFUNCTION("""COMPUTED_VALUE"""),"台銀籌備帳戶")</f>
        <v>台銀籌備帳戶</v>
      </c>
      <c r="G855" t="str">
        <f>IFERROR(__xludf.DUMMYFUNCTION("""COMPUTED_VALUE"""),"龍江229")</f>
        <v>龍江229</v>
      </c>
      <c r="H855" s="106" t="str">
        <f t="shared" si="1"/>
        <v>2024-10</v>
      </c>
      <c r="I855" s="271" t="str">
        <f>IFERROR(__xludf.DUMMYFUNCTION("""COMPUTED_VALUE"""),"貓狗企鵝")</f>
        <v>貓狗企鵝</v>
      </c>
      <c r="J855" t="str">
        <f>IFERROR(__xludf.DUMMYFUNCTION("IFS(
  AND(REGEXMATCH(E855, ""台銀籌備帳戶|玉山帳戶""), REGEXMATCH(C855, ""薪資"")), ""分潤支出"",
  AND(REGEXMATCH(E855, ""Ben帳戶|Elsa帳戶|Ben代墊|Ariel代墊|中信銀行共用""), REGEXMATCH(F855, ""Ben帳戶|Elsa帳戶|Ben代墊|Ariel代墊|中信銀行共用"")), ""內部轉帳(忽略)"",
  AND(E855&lt;&gt;"""", F855&lt;&gt;"""", NOT(REG"&amp;"EXMATCH(C855, ""薪資""))), ""內部轉帳(忽略)"",
  REGEXMATCH(C855, ""薪資""), ""薪資變動(不計入)"",
  REGEXMATCH(C855, ""押金""), ""押金往來"",
  AND(E855&lt;&gt;"""", F855=""""), ""真實支出"",
  AND(E855="""", F855&lt;&gt;""""), ""真實收入"",
  TRUE, ""其他""
)"),"真實收入")</f>
        <v>真實收入</v>
      </c>
      <c r="K855" s="270">
        <f t="shared" si="2"/>
        <v>13000</v>
      </c>
      <c r="L855">
        <f t="shared" si="3"/>
        <v>0</v>
      </c>
    </row>
    <row r="856">
      <c r="A856" s="107">
        <f>IFERROR(__xludf.DUMMYFUNCTION("""COMPUTED_VALUE"""),45566.0)</f>
        <v>45566</v>
      </c>
      <c r="B856" t="str">
        <f>IFERROR(__xludf.DUMMYFUNCTION("""COMPUTED_VALUE"""),"大湖山莊D陳昭瑄")</f>
        <v>大湖山莊D陳昭瑄</v>
      </c>
      <c r="C856" t="str">
        <f>IFERROR(__xludf.DUMMYFUNCTION("""COMPUTED_VALUE"""),"收入 - 租金")</f>
        <v>收入 - 租金</v>
      </c>
      <c r="D856" s="270">
        <f>IFERROR(__xludf.DUMMYFUNCTION("""COMPUTED_VALUE"""),14300.0)</f>
        <v>14300</v>
      </c>
      <c r="F856" t="str">
        <f>IFERROR(__xludf.DUMMYFUNCTION("""COMPUTED_VALUE"""),"台銀籌備帳戶")</f>
        <v>台銀籌備帳戶</v>
      </c>
      <c r="G856" t="str">
        <f>IFERROR(__xludf.DUMMYFUNCTION("""COMPUTED_VALUE"""),"大湖山莊")</f>
        <v>大湖山莊</v>
      </c>
      <c r="H856" s="106" t="str">
        <f t="shared" si="1"/>
        <v>2024-10</v>
      </c>
      <c r="I856" s="271" t="str">
        <f>IFERROR(__xludf.DUMMYFUNCTION("""COMPUTED_VALUE"""),"貓狗企鵝")</f>
        <v>貓狗企鵝</v>
      </c>
      <c r="J856" t="str">
        <f>IFERROR(__xludf.DUMMYFUNCTION("IFS(
  AND(REGEXMATCH(E856, ""台銀籌備帳戶|玉山帳戶""), REGEXMATCH(C856, ""薪資"")), ""分潤支出"",
  AND(REGEXMATCH(E856, ""Ben帳戶|Elsa帳戶|Ben代墊|Ariel代墊|中信銀行共用""), REGEXMATCH(F856, ""Ben帳戶|Elsa帳戶|Ben代墊|Ariel代墊|中信銀行共用"")), ""內部轉帳(忽略)"",
  AND(E856&lt;&gt;"""", F856&lt;&gt;"""", NOT(REG"&amp;"EXMATCH(C856, ""薪資""))), ""內部轉帳(忽略)"",
  REGEXMATCH(C856, ""薪資""), ""薪資變動(不計入)"",
  REGEXMATCH(C856, ""押金""), ""押金往來"",
  AND(E856&lt;&gt;"""", F856=""""), ""真實支出"",
  AND(E856="""", F856&lt;&gt;""""), ""真實收入"",
  TRUE, ""其他""
)"),"真實收入")</f>
        <v>真實收入</v>
      </c>
      <c r="K856" s="270">
        <f t="shared" si="2"/>
        <v>14300</v>
      </c>
      <c r="L856">
        <f t="shared" si="3"/>
        <v>0</v>
      </c>
    </row>
    <row r="857">
      <c r="A857" s="107">
        <f>IFERROR(__xludf.DUMMYFUNCTION("""COMPUTED_VALUE"""),45566.0)</f>
        <v>45566</v>
      </c>
      <c r="B857" t="str">
        <f>IFERROR(__xludf.DUMMYFUNCTION("""COMPUTED_VALUE"""),"北醫醫師府A鄭伊彤")</f>
        <v>北醫醫師府A鄭伊彤</v>
      </c>
      <c r="C857" t="str">
        <f>IFERROR(__xludf.DUMMYFUNCTION("""COMPUTED_VALUE"""),"收入 - 租金")</f>
        <v>收入 - 租金</v>
      </c>
      <c r="D857" s="270">
        <f>IFERROR(__xludf.DUMMYFUNCTION("""COMPUTED_VALUE"""),13500.0)</f>
        <v>13500</v>
      </c>
      <c r="F857" t="str">
        <f>IFERROR(__xludf.DUMMYFUNCTION("""COMPUTED_VALUE"""),"台銀籌備帳戶")</f>
        <v>台銀籌備帳戶</v>
      </c>
      <c r="G857" t="str">
        <f>IFERROR(__xludf.DUMMYFUNCTION("""COMPUTED_VALUE"""),"北醫醫師府")</f>
        <v>北醫醫師府</v>
      </c>
      <c r="H857" s="106" t="str">
        <f t="shared" si="1"/>
        <v>2024-10</v>
      </c>
      <c r="I857" s="271" t="str">
        <f>IFERROR(__xludf.DUMMYFUNCTION("""COMPUTED_VALUE"""),"貓狗企鵝")</f>
        <v>貓狗企鵝</v>
      </c>
      <c r="J857" t="str">
        <f>IFERROR(__xludf.DUMMYFUNCTION("IFS(
  AND(REGEXMATCH(E857, ""台銀籌備帳戶|玉山帳戶""), REGEXMATCH(C857, ""薪資"")), ""分潤支出"",
  AND(REGEXMATCH(E857, ""Ben帳戶|Elsa帳戶|Ben代墊|Ariel代墊|中信銀行共用""), REGEXMATCH(F857, ""Ben帳戶|Elsa帳戶|Ben代墊|Ariel代墊|中信銀行共用"")), ""內部轉帳(忽略)"",
  AND(E857&lt;&gt;"""", F857&lt;&gt;"""", NOT(REG"&amp;"EXMATCH(C857, ""薪資""))), ""內部轉帳(忽略)"",
  REGEXMATCH(C857, ""薪資""), ""薪資變動(不計入)"",
  REGEXMATCH(C857, ""押金""), ""押金往來"",
  AND(E857&lt;&gt;"""", F857=""""), ""真實支出"",
  AND(E857="""", F857&lt;&gt;""""), ""真實收入"",
  TRUE, ""其他""
)"),"真實收入")</f>
        <v>真實收入</v>
      </c>
      <c r="K857" s="270">
        <f t="shared" si="2"/>
        <v>13500</v>
      </c>
      <c r="L857">
        <f t="shared" si="3"/>
        <v>0</v>
      </c>
    </row>
    <row r="858">
      <c r="A858" s="107">
        <f>IFERROR(__xludf.DUMMYFUNCTION("""COMPUTED_VALUE"""),45566.0)</f>
        <v>45566</v>
      </c>
      <c r="B858" t="str">
        <f>IFERROR(__xludf.DUMMYFUNCTION("""COMPUTED_VALUE"""),"龍江229E許霈琪")</f>
        <v>龍江229E許霈琪</v>
      </c>
      <c r="C858" t="str">
        <f>IFERROR(__xludf.DUMMYFUNCTION("""COMPUTED_VALUE"""),"收入 - 租金")</f>
        <v>收入 - 租金</v>
      </c>
      <c r="D858" s="270">
        <f>IFERROR(__xludf.DUMMYFUNCTION("""COMPUTED_VALUE"""),13500.0)</f>
        <v>13500</v>
      </c>
      <c r="F858" t="str">
        <f>IFERROR(__xludf.DUMMYFUNCTION("""COMPUTED_VALUE"""),"台銀籌備帳戶")</f>
        <v>台銀籌備帳戶</v>
      </c>
      <c r="G858" t="str">
        <f>IFERROR(__xludf.DUMMYFUNCTION("""COMPUTED_VALUE"""),"龍江229")</f>
        <v>龍江229</v>
      </c>
      <c r="H858" s="106" t="str">
        <f t="shared" si="1"/>
        <v>2024-10</v>
      </c>
      <c r="I858" s="271" t="str">
        <f>IFERROR(__xludf.DUMMYFUNCTION("""COMPUTED_VALUE"""),"貓狗企鵝")</f>
        <v>貓狗企鵝</v>
      </c>
      <c r="J858" t="str">
        <f>IFERROR(__xludf.DUMMYFUNCTION("IFS(
  AND(REGEXMATCH(E858, ""台銀籌備帳戶|玉山帳戶""), REGEXMATCH(C858, ""薪資"")), ""分潤支出"",
  AND(REGEXMATCH(E858, ""Ben帳戶|Elsa帳戶|Ben代墊|Ariel代墊|中信銀行共用""), REGEXMATCH(F858, ""Ben帳戶|Elsa帳戶|Ben代墊|Ariel代墊|中信銀行共用"")), ""內部轉帳(忽略)"",
  AND(E858&lt;&gt;"""", F858&lt;&gt;"""", NOT(REG"&amp;"EXMATCH(C858, ""薪資""))), ""內部轉帳(忽略)"",
  REGEXMATCH(C858, ""薪資""), ""薪資變動(不計入)"",
  REGEXMATCH(C858, ""押金""), ""押金往來"",
  AND(E858&lt;&gt;"""", F858=""""), ""真實支出"",
  AND(E858="""", F858&lt;&gt;""""), ""真實收入"",
  TRUE, ""其他""
)"),"真實收入")</f>
        <v>真實收入</v>
      </c>
      <c r="K858" s="270">
        <f t="shared" si="2"/>
        <v>13500</v>
      </c>
      <c r="L858">
        <f t="shared" si="3"/>
        <v>0</v>
      </c>
    </row>
    <row r="859">
      <c r="A859" s="107">
        <f>IFERROR(__xludf.DUMMYFUNCTION("""COMPUTED_VALUE"""),45566.0)</f>
        <v>45566</v>
      </c>
      <c r="B859" t="str">
        <f>IFERROR(__xludf.DUMMYFUNCTION("""COMPUTED_VALUE"""),"永春四號D翁政熙")</f>
        <v>永春四號D翁政熙</v>
      </c>
      <c r="C859" t="str">
        <f>IFERROR(__xludf.DUMMYFUNCTION("""COMPUTED_VALUE"""),"收入 - 租金")</f>
        <v>收入 - 租金</v>
      </c>
      <c r="D859" s="270">
        <f>IFERROR(__xludf.DUMMYFUNCTION("""COMPUTED_VALUE"""),14800.0)</f>
        <v>14800</v>
      </c>
      <c r="F859" t="str">
        <f>IFERROR(__xludf.DUMMYFUNCTION("""COMPUTED_VALUE"""),"台銀籌備帳戶")</f>
        <v>台銀籌備帳戶</v>
      </c>
      <c r="G859" t="str">
        <f>IFERROR(__xludf.DUMMYFUNCTION("""COMPUTED_VALUE"""),"永春四號")</f>
        <v>永春四號</v>
      </c>
      <c r="H859" s="106" t="str">
        <f t="shared" si="1"/>
        <v>2024-10</v>
      </c>
      <c r="I859" s="271" t="str">
        <f>IFERROR(__xludf.DUMMYFUNCTION("""COMPUTED_VALUE"""),"貓狗企鵝")</f>
        <v>貓狗企鵝</v>
      </c>
      <c r="J859" t="str">
        <f>IFERROR(__xludf.DUMMYFUNCTION("IFS(
  AND(REGEXMATCH(E859, ""台銀籌備帳戶|玉山帳戶""), REGEXMATCH(C859, ""薪資"")), ""分潤支出"",
  AND(REGEXMATCH(E859, ""Ben帳戶|Elsa帳戶|Ben代墊|Ariel代墊|中信銀行共用""), REGEXMATCH(F859, ""Ben帳戶|Elsa帳戶|Ben代墊|Ariel代墊|中信銀行共用"")), ""內部轉帳(忽略)"",
  AND(E859&lt;&gt;"""", F859&lt;&gt;"""", NOT(REG"&amp;"EXMATCH(C859, ""薪資""))), ""內部轉帳(忽略)"",
  REGEXMATCH(C859, ""薪資""), ""薪資變動(不計入)"",
  REGEXMATCH(C859, ""押金""), ""押金往來"",
  AND(E859&lt;&gt;"""", F859=""""), ""真實支出"",
  AND(E859="""", F859&lt;&gt;""""), ""真實收入"",
  TRUE, ""其他""
)"),"真實收入")</f>
        <v>真實收入</v>
      </c>
      <c r="K859" s="270">
        <f t="shared" si="2"/>
        <v>14800</v>
      </c>
      <c r="L859">
        <f t="shared" si="3"/>
        <v>0</v>
      </c>
    </row>
    <row r="860">
      <c r="A860" s="107">
        <f>IFERROR(__xludf.DUMMYFUNCTION("""COMPUTED_VALUE"""),45566.0)</f>
        <v>45566</v>
      </c>
      <c r="B860" t="str">
        <f>IFERROR(__xludf.DUMMYFUNCTION("""COMPUTED_VALUE"""),"大湖山莊G林文心")</f>
        <v>大湖山莊G林文心</v>
      </c>
      <c r="C860" t="str">
        <f>IFERROR(__xludf.DUMMYFUNCTION("""COMPUTED_VALUE"""),"收入 - 租金")</f>
        <v>收入 - 租金</v>
      </c>
      <c r="D860" s="270">
        <f>IFERROR(__xludf.DUMMYFUNCTION("""COMPUTED_VALUE"""),15000.0)</f>
        <v>15000</v>
      </c>
      <c r="F860" t="str">
        <f>IFERROR(__xludf.DUMMYFUNCTION("""COMPUTED_VALUE"""),"台銀籌備帳戶")</f>
        <v>台銀籌備帳戶</v>
      </c>
      <c r="G860" t="str">
        <f>IFERROR(__xludf.DUMMYFUNCTION("""COMPUTED_VALUE"""),"大湖山莊")</f>
        <v>大湖山莊</v>
      </c>
      <c r="H860" s="106" t="str">
        <f t="shared" si="1"/>
        <v>2024-10</v>
      </c>
      <c r="I860" s="271" t="str">
        <f>IFERROR(__xludf.DUMMYFUNCTION("""COMPUTED_VALUE"""),"貓狗企鵝")</f>
        <v>貓狗企鵝</v>
      </c>
      <c r="J860" t="str">
        <f>IFERROR(__xludf.DUMMYFUNCTION("IFS(
  AND(REGEXMATCH(E860, ""台銀籌備帳戶|玉山帳戶""), REGEXMATCH(C860, ""薪資"")), ""分潤支出"",
  AND(REGEXMATCH(E860, ""Ben帳戶|Elsa帳戶|Ben代墊|Ariel代墊|中信銀行共用""), REGEXMATCH(F860, ""Ben帳戶|Elsa帳戶|Ben代墊|Ariel代墊|中信銀行共用"")), ""內部轉帳(忽略)"",
  AND(E860&lt;&gt;"""", F860&lt;&gt;"""", NOT(REG"&amp;"EXMATCH(C860, ""薪資""))), ""內部轉帳(忽略)"",
  REGEXMATCH(C860, ""薪資""), ""薪資變動(不計入)"",
  REGEXMATCH(C860, ""押金""), ""押金往來"",
  AND(E860&lt;&gt;"""", F860=""""), ""真實支出"",
  AND(E860="""", F860&lt;&gt;""""), ""真實收入"",
  TRUE, ""其他""
)"),"真實收入")</f>
        <v>真實收入</v>
      </c>
      <c r="K860" s="270">
        <f t="shared" si="2"/>
        <v>15000</v>
      </c>
      <c r="L860">
        <f t="shared" si="3"/>
        <v>0</v>
      </c>
    </row>
    <row r="861">
      <c r="A861" s="107">
        <f>IFERROR(__xludf.DUMMYFUNCTION("""COMPUTED_VALUE"""),45566.0)</f>
        <v>45566</v>
      </c>
      <c r="B861" t="str">
        <f>IFERROR(__xludf.DUMMYFUNCTION("""COMPUTED_VALUE"""),"哈拉對面B黃彥瑞")</f>
        <v>哈拉對面B黃彥瑞</v>
      </c>
      <c r="C861" t="str">
        <f>IFERROR(__xludf.DUMMYFUNCTION("""COMPUTED_VALUE"""),"收入 - 租金")</f>
        <v>收入 - 租金</v>
      </c>
      <c r="D861" s="270">
        <f>IFERROR(__xludf.DUMMYFUNCTION("""COMPUTED_VALUE"""),15800.0)</f>
        <v>15800</v>
      </c>
      <c r="F861" t="str">
        <f>IFERROR(__xludf.DUMMYFUNCTION("""COMPUTED_VALUE"""),"台銀籌備帳戶")</f>
        <v>台銀籌備帳戶</v>
      </c>
      <c r="G861" t="str">
        <f>IFERROR(__xludf.DUMMYFUNCTION("""COMPUTED_VALUE"""),"哈拉對面")</f>
        <v>哈拉對面</v>
      </c>
      <c r="H861" s="106" t="str">
        <f t="shared" si="1"/>
        <v>2024-10</v>
      </c>
      <c r="I861" s="271" t="str">
        <f>IFERROR(__xludf.DUMMYFUNCTION("""COMPUTED_VALUE"""),"貓狗企鵝")</f>
        <v>貓狗企鵝</v>
      </c>
      <c r="J861" t="str">
        <f>IFERROR(__xludf.DUMMYFUNCTION("IFS(
  AND(REGEXMATCH(E861, ""台銀籌備帳戶|玉山帳戶""), REGEXMATCH(C861, ""薪資"")), ""分潤支出"",
  AND(REGEXMATCH(E861, ""Ben帳戶|Elsa帳戶|Ben代墊|Ariel代墊|中信銀行共用""), REGEXMATCH(F861, ""Ben帳戶|Elsa帳戶|Ben代墊|Ariel代墊|中信銀行共用"")), ""內部轉帳(忽略)"",
  AND(E861&lt;&gt;"""", F861&lt;&gt;"""", NOT(REG"&amp;"EXMATCH(C861, ""薪資""))), ""內部轉帳(忽略)"",
  REGEXMATCH(C861, ""薪資""), ""薪資變動(不計入)"",
  REGEXMATCH(C861, ""押金""), ""押金往來"",
  AND(E861&lt;&gt;"""", F861=""""), ""真實支出"",
  AND(E861="""", F861&lt;&gt;""""), ""真實收入"",
  TRUE, ""其他""
)"),"真實收入")</f>
        <v>真實收入</v>
      </c>
      <c r="K861" s="270">
        <f t="shared" si="2"/>
        <v>15800</v>
      </c>
      <c r="L861">
        <f t="shared" si="3"/>
        <v>0</v>
      </c>
    </row>
    <row r="862">
      <c r="A862" s="107">
        <f>IFERROR(__xludf.DUMMYFUNCTION("""COMPUTED_VALUE"""),45566.0)</f>
        <v>45566</v>
      </c>
      <c r="B862" t="str">
        <f>IFERROR(__xludf.DUMMYFUNCTION("""COMPUTED_VALUE"""),"北醫醫師府B王品涵")</f>
        <v>北醫醫師府B王品涵</v>
      </c>
      <c r="C862" t="str">
        <f>IFERROR(__xludf.DUMMYFUNCTION("""COMPUTED_VALUE"""),"收入 - 租金")</f>
        <v>收入 - 租金</v>
      </c>
      <c r="D862" s="270">
        <f>IFERROR(__xludf.DUMMYFUNCTION("""COMPUTED_VALUE"""),19800.0)</f>
        <v>19800</v>
      </c>
      <c r="F862" t="str">
        <f>IFERROR(__xludf.DUMMYFUNCTION("""COMPUTED_VALUE"""),"台銀籌備帳戶")</f>
        <v>台銀籌備帳戶</v>
      </c>
      <c r="G862" t="str">
        <f>IFERROR(__xludf.DUMMYFUNCTION("""COMPUTED_VALUE"""),"北醫醫師府")</f>
        <v>北醫醫師府</v>
      </c>
      <c r="H862" s="106" t="str">
        <f t="shared" si="1"/>
        <v>2024-10</v>
      </c>
      <c r="I862" s="271" t="str">
        <f>IFERROR(__xludf.DUMMYFUNCTION("""COMPUTED_VALUE"""),"貓狗企鵝")</f>
        <v>貓狗企鵝</v>
      </c>
      <c r="J862" t="str">
        <f>IFERROR(__xludf.DUMMYFUNCTION("IFS(
  AND(REGEXMATCH(E862, ""台銀籌備帳戶|玉山帳戶""), REGEXMATCH(C862, ""薪資"")), ""分潤支出"",
  AND(REGEXMATCH(E862, ""Ben帳戶|Elsa帳戶|Ben代墊|Ariel代墊|中信銀行共用""), REGEXMATCH(F862, ""Ben帳戶|Elsa帳戶|Ben代墊|Ariel代墊|中信銀行共用"")), ""內部轉帳(忽略)"",
  AND(E862&lt;&gt;"""", F862&lt;&gt;"""", NOT(REG"&amp;"EXMATCH(C862, ""薪資""))), ""內部轉帳(忽略)"",
  REGEXMATCH(C862, ""薪資""), ""薪資變動(不計入)"",
  REGEXMATCH(C862, ""押金""), ""押金往來"",
  AND(E862&lt;&gt;"""", F862=""""), ""真實支出"",
  AND(E862="""", F862&lt;&gt;""""), ""真實收入"",
  TRUE, ""其他""
)"),"真實收入")</f>
        <v>真實收入</v>
      </c>
      <c r="K862" s="270">
        <f t="shared" si="2"/>
        <v>19800</v>
      </c>
      <c r="L862">
        <f t="shared" si="3"/>
        <v>0</v>
      </c>
    </row>
    <row r="863">
      <c r="A863" s="107">
        <f>IFERROR(__xludf.DUMMYFUNCTION("""COMPUTED_VALUE"""),45566.0)</f>
        <v>45566</v>
      </c>
      <c r="B863" t="str">
        <f>IFERROR(__xludf.DUMMYFUNCTION("""COMPUTED_VALUE"""),"南港站挑高宅A莊以棋")</f>
        <v>南港站挑高宅A莊以棋</v>
      </c>
      <c r="C863" t="str">
        <f>IFERROR(__xludf.DUMMYFUNCTION("""COMPUTED_VALUE"""),"收入 - 租金")</f>
        <v>收入 - 租金</v>
      </c>
      <c r="D863" s="270">
        <f>IFERROR(__xludf.DUMMYFUNCTION("""COMPUTED_VALUE"""),13000.0)</f>
        <v>13000</v>
      </c>
      <c r="F863" t="str">
        <f>IFERROR(__xludf.DUMMYFUNCTION("""COMPUTED_VALUE"""),"台銀籌備帳戶")</f>
        <v>台銀籌備帳戶</v>
      </c>
      <c r="G863" t="str">
        <f>IFERROR(__xludf.DUMMYFUNCTION("""COMPUTED_VALUE"""),"南港站挑高宅")</f>
        <v>南港站挑高宅</v>
      </c>
      <c r="H863" s="106" t="str">
        <f t="shared" si="1"/>
        <v>2024-10</v>
      </c>
      <c r="I863" s="271" t="str">
        <f>IFERROR(__xludf.DUMMYFUNCTION("""COMPUTED_VALUE"""),"貓狗企鵝")</f>
        <v>貓狗企鵝</v>
      </c>
      <c r="J863" t="str">
        <f>IFERROR(__xludf.DUMMYFUNCTION("IFS(
  AND(REGEXMATCH(E863, ""台銀籌備帳戶|玉山帳戶""), REGEXMATCH(C863, ""薪資"")), ""分潤支出"",
  AND(REGEXMATCH(E863, ""Ben帳戶|Elsa帳戶|Ben代墊|Ariel代墊|中信銀行共用""), REGEXMATCH(F863, ""Ben帳戶|Elsa帳戶|Ben代墊|Ariel代墊|中信銀行共用"")), ""內部轉帳(忽略)"",
  AND(E863&lt;&gt;"""", F863&lt;&gt;"""", NOT(REG"&amp;"EXMATCH(C863, ""薪資""))), ""內部轉帳(忽略)"",
  REGEXMATCH(C863, ""薪資""), ""薪資變動(不計入)"",
  REGEXMATCH(C863, ""押金""), ""押金往來"",
  AND(E863&lt;&gt;"""", F863=""""), ""真實支出"",
  AND(E863="""", F863&lt;&gt;""""), ""真實收入"",
  TRUE, ""其他""
)"),"真實收入")</f>
        <v>真實收入</v>
      </c>
      <c r="K863" s="270">
        <f t="shared" si="2"/>
        <v>13000</v>
      </c>
      <c r="L863">
        <f t="shared" si="3"/>
        <v>0</v>
      </c>
    </row>
    <row r="864">
      <c r="A864" s="107">
        <f>IFERROR(__xludf.DUMMYFUNCTION("""COMPUTED_VALUE"""),45566.0)</f>
        <v>45566</v>
      </c>
      <c r="B864" t="str">
        <f>IFERROR(__xludf.DUMMYFUNCTION("""COMPUTED_VALUE"""),"北醫醫師府C余典蓉")</f>
        <v>北醫醫師府C余典蓉</v>
      </c>
      <c r="C864" t="str">
        <f>IFERROR(__xludf.DUMMYFUNCTION("""COMPUTED_VALUE"""),"收入 - 租金")</f>
        <v>收入 - 租金</v>
      </c>
      <c r="D864" s="270">
        <f>IFERROR(__xludf.DUMMYFUNCTION("""COMPUTED_VALUE"""),13000.0)</f>
        <v>13000</v>
      </c>
      <c r="F864" t="str">
        <f>IFERROR(__xludf.DUMMYFUNCTION("""COMPUTED_VALUE"""),"台銀籌備帳戶")</f>
        <v>台銀籌備帳戶</v>
      </c>
      <c r="G864" t="str">
        <f>IFERROR(__xludf.DUMMYFUNCTION("""COMPUTED_VALUE"""),"北醫醫師府")</f>
        <v>北醫醫師府</v>
      </c>
      <c r="H864" s="106" t="str">
        <f t="shared" si="1"/>
        <v>2024-10</v>
      </c>
      <c r="I864" s="271" t="str">
        <f>IFERROR(__xludf.DUMMYFUNCTION("""COMPUTED_VALUE"""),"貓狗企鵝")</f>
        <v>貓狗企鵝</v>
      </c>
      <c r="J864" t="str">
        <f>IFERROR(__xludf.DUMMYFUNCTION("IFS(
  AND(REGEXMATCH(E864, ""台銀籌備帳戶|玉山帳戶""), REGEXMATCH(C864, ""薪資"")), ""分潤支出"",
  AND(REGEXMATCH(E864, ""Ben帳戶|Elsa帳戶|Ben代墊|Ariel代墊|中信銀行共用""), REGEXMATCH(F864, ""Ben帳戶|Elsa帳戶|Ben代墊|Ariel代墊|中信銀行共用"")), ""內部轉帳(忽略)"",
  AND(E864&lt;&gt;"""", F864&lt;&gt;"""", NOT(REG"&amp;"EXMATCH(C864, ""薪資""))), ""內部轉帳(忽略)"",
  REGEXMATCH(C864, ""薪資""), ""薪資變動(不計入)"",
  REGEXMATCH(C864, ""押金""), ""押金往來"",
  AND(E864&lt;&gt;"""", F864=""""), ""真實支出"",
  AND(E864="""", F864&lt;&gt;""""), ""真實收入"",
  TRUE, ""其他""
)"),"真實收入")</f>
        <v>真實收入</v>
      </c>
      <c r="K864" s="270">
        <f t="shared" si="2"/>
        <v>13000</v>
      </c>
      <c r="L864">
        <f t="shared" si="3"/>
        <v>0</v>
      </c>
    </row>
    <row r="865">
      <c r="A865" s="107">
        <f>IFERROR(__xludf.DUMMYFUNCTION("""COMPUTED_VALUE"""),45567.0)</f>
        <v>45567</v>
      </c>
      <c r="B865" t="str">
        <f>IFERROR(__xludf.DUMMYFUNCTION("""COMPUTED_VALUE"""),"Elsa代墊款 10/1")</f>
        <v>Elsa代墊款 10/1</v>
      </c>
      <c r="C865" t="str">
        <f>IFERROR(__xludf.DUMMYFUNCTION("""COMPUTED_VALUE"""),"費用 - Salary 薪資")</f>
        <v>費用 - Salary 薪資</v>
      </c>
      <c r="D865" s="270">
        <f>IFERROR(__xludf.DUMMYFUNCTION("""COMPUTED_VALUE"""),-100000.0)</f>
        <v>-100000</v>
      </c>
      <c r="E865" t="str">
        <f>IFERROR(__xludf.DUMMYFUNCTION("""COMPUTED_VALUE"""),"Ben帳戶")</f>
        <v>Ben帳戶</v>
      </c>
      <c r="F865" t="str">
        <f>IFERROR(__xludf.DUMMYFUNCTION("""COMPUTED_VALUE"""),"Elsa帳戶")</f>
        <v>Elsa帳戶</v>
      </c>
      <c r="H865" s="106" t="str">
        <f t="shared" si="1"/>
        <v>2024-10</v>
      </c>
      <c r="I865" s="271" t="str">
        <f>IFERROR(__xludf.DUMMYFUNCTION("""COMPUTED_VALUE"""),"貓狗企鵝")</f>
        <v>貓狗企鵝</v>
      </c>
      <c r="J865" t="str">
        <f>IFERROR(__xludf.DUMMYFUNCTION("IFS(
  AND(REGEXMATCH(E865, ""台銀籌備帳戶|玉山帳戶""), REGEXMATCH(C865, ""薪資"")), ""分潤支出"",
  AND(REGEXMATCH(E865, ""Ben帳戶|Elsa帳戶|Ben代墊|Ariel代墊|中信銀行共用""), REGEXMATCH(F865, ""Ben帳戶|Elsa帳戶|Ben代墊|Ariel代墊|中信銀行共用"")), ""內部轉帳(忽略)"",
  AND(E865&lt;&gt;"""", F865&lt;&gt;"""", NOT(REG"&amp;"EXMATCH(C865, ""薪資""))), ""內部轉帳(忽略)"",
  REGEXMATCH(C865, ""薪資""), ""薪資變動(不計入)"",
  REGEXMATCH(C865, ""押金""), ""押金往來"",
  AND(E865&lt;&gt;"""", F865=""""), ""真實支出"",
  AND(E865="""", F865&lt;&gt;""""), ""真實收入"",
  TRUE, ""其他""
)"),"內部轉帳(忽略)")</f>
        <v>內部轉帳(忽略)</v>
      </c>
      <c r="K865">
        <f t="shared" si="2"/>
        <v>0</v>
      </c>
      <c r="L865">
        <f t="shared" si="3"/>
        <v>0</v>
      </c>
    </row>
    <row r="866">
      <c r="A866" s="107">
        <f>IFERROR(__xludf.DUMMYFUNCTION("""COMPUTED_VALUE"""),45567.0)</f>
        <v>45567</v>
      </c>
      <c r="B866" t="str">
        <f>IFERROR(__xludf.DUMMYFUNCTION("""COMPUTED_VALUE"""),"寶琳清潔")</f>
        <v>寶琳清潔</v>
      </c>
      <c r="C866" t="str">
        <f>IFERROR(__xludf.DUMMYFUNCTION("""COMPUTED_VALUE"""),"成本 - 進場前裝潢費")</f>
        <v>成本 - 進場前裝潢費</v>
      </c>
      <c r="D866" s="270">
        <f>IFERROR(__xludf.DUMMYFUNCTION("""COMPUTED_VALUE"""),-1050.0)</f>
        <v>-1050</v>
      </c>
      <c r="E866" t="str">
        <f>IFERROR(__xludf.DUMMYFUNCTION("""COMPUTED_VALUE"""),"Elsa帳戶")</f>
        <v>Elsa帳戶</v>
      </c>
      <c r="G866" t="str">
        <f>IFERROR(__xludf.DUMMYFUNCTION("""COMPUTED_VALUE"""),"景安2分鐘")</f>
        <v>景安2分鐘</v>
      </c>
      <c r="H866" s="106" t="str">
        <f t="shared" si="1"/>
        <v>2024-10</v>
      </c>
      <c r="I866" s="271" t="str">
        <f>IFERROR(__xludf.DUMMYFUNCTION("""COMPUTED_VALUE"""),"貓狗企鵝")</f>
        <v>貓狗企鵝</v>
      </c>
      <c r="J866" t="str">
        <f>IFERROR(__xludf.DUMMYFUNCTION("IFS(
  AND(REGEXMATCH(E866, ""台銀籌備帳戶|玉山帳戶""), REGEXMATCH(C866, ""薪資"")), ""分潤支出"",
  AND(REGEXMATCH(E866, ""Ben帳戶|Elsa帳戶|Ben代墊|Ariel代墊|中信銀行共用""), REGEXMATCH(F866, ""Ben帳戶|Elsa帳戶|Ben代墊|Ariel代墊|中信銀行共用"")), ""內部轉帳(忽略)"",
  AND(E866&lt;&gt;"""", F866&lt;&gt;"""", NOT(REG"&amp;"EXMATCH(C866, ""薪資""))), ""內部轉帳(忽略)"",
  REGEXMATCH(C866, ""薪資""), ""薪資變動(不計入)"",
  REGEXMATCH(C866, ""押金""), ""押金往來"",
  AND(E866&lt;&gt;"""", F866=""""), ""真實支出"",
  AND(E866="""", F866&lt;&gt;""""), ""真實收入"",
  TRUE, ""其他""
)"),"真實支出")</f>
        <v>真實支出</v>
      </c>
      <c r="K866" s="270">
        <f t="shared" si="2"/>
        <v>-1050</v>
      </c>
      <c r="L866">
        <f t="shared" si="3"/>
        <v>0</v>
      </c>
    </row>
    <row r="867">
      <c r="A867" s="107">
        <f>IFERROR(__xludf.DUMMYFUNCTION("""COMPUTED_VALUE"""),45567.0)</f>
        <v>45567</v>
      </c>
      <c r="B867" t="str">
        <f>IFERROR(__xludf.DUMMYFUNCTION("""COMPUTED_VALUE"""),"南港站挑高宅D吳城慕")</f>
        <v>南港站挑高宅D吳城慕</v>
      </c>
      <c r="C867" t="str">
        <f>IFERROR(__xludf.DUMMYFUNCTION("""COMPUTED_VALUE"""),"收入 - 租金")</f>
        <v>收入 - 租金</v>
      </c>
      <c r="D867" s="270">
        <f>IFERROR(__xludf.DUMMYFUNCTION("""COMPUTED_VALUE"""),14300.0)</f>
        <v>14300</v>
      </c>
      <c r="F867" t="str">
        <f>IFERROR(__xludf.DUMMYFUNCTION("""COMPUTED_VALUE"""),"台銀籌備帳戶")</f>
        <v>台銀籌備帳戶</v>
      </c>
      <c r="G867" t="str">
        <f>IFERROR(__xludf.DUMMYFUNCTION("""COMPUTED_VALUE"""),"南港站挑高宅")</f>
        <v>南港站挑高宅</v>
      </c>
      <c r="H867" s="106" t="str">
        <f t="shared" si="1"/>
        <v>2024-10</v>
      </c>
      <c r="I867" s="271" t="str">
        <f>IFERROR(__xludf.DUMMYFUNCTION("""COMPUTED_VALUE"""),"貓狗企鵝")</f>
        <v>貓狗企鵝</v>
      </c>
      <c r="J867" t="str">
        <f>IFERROR(__xludf.DUMMYFUNCTION("IFS(
  AND(REGEXMATCH(E867, ""台銀籌備帳戶|玉山帳戶""), REGEXMATCH(C867, ""薪資"")), ""分潤支出"",
  AND(REGEXMATCH(E867, ""Ben帳戶|Elsa帳戶|Ben代墊|Ariel代墊|中信銀行共用""), REGEXMATCH(F867, ""Ben帳戶|Elsa帳戶|Ben代墊|Ariel代墊|中信銀行共用"")), ""內部轉帳(忽略)"",
  AND(E867&lt;&gt;"""", F867&lt;&gt;"""", NOT(REG"&amp;"EXMATCH(C867, ""薪資""))), ""內部轉帳(忽略)"",
  REGEXMATCH(C867, ""薪資""), ""薪資變動(不計入)"",
  REGEXMATCH(C867, ""押金""), ""押金往來"",
  AND(E867&lt;&gt;"""", F867=""""), ""真實支出"",
  AND(E867="""", F867&lt;&gt;""""), ""真實收入"",
  TRUE, ""其他""
)"),"真實收入")</f>
        <v>真實收入</v>
      </c>
      <c r="K867" s="270">
        <f t="shared" si="2"/>
        <v>14300</v>
      </c>
      <c r="L867">
        <f t="shared" si="3"/>
        <v>0</v>
      </c>
    </row>
    <row r="868">
      <c r="A868" s="107">
        <f>IFERROR(__xludf.DUMMYFUNCTION("""COMPUTED_VALUE"""),45567.0)</f>
        <v>45567</v>
      </c>
      <c r="B868" t="str">
        <f>IFERROR(__xludf.DUMMYFUNCTION("""COMPUTED_VALUE"""),"永春四號B袁家鳳")</f>
        <v>永春四號B袁家鳳</v>
      </c>
      <c r="C868" t="str">
        <f>IFERROR(__xludf.DUMMYFUNCTION("""COMPUTED_VALUE"""),"收入 - 租金")</f>
        <v>收入 - 租金</v>
      </c>
      <c r="D868" s="270">
        <f>IFERROR(__xludf.DUMMYFUNCTION("""COMPUTED_VALUE"""),13500.0)</f>
        <v>13500</v>
      </c>
      <c r="F868" t="str">
        <f>IFERROR(__xludf.DUMMYFUNCTION("""COMPUTED_VALUE"""),"台銀籌備帳戶")</f>
        <v>台銀籌備帳戶</v>
      </c>
      <c r="G868" t="str">
        <f>IFERROR(__xludf.DUMMYFUNCTION("""COMPUTED_VALUE"""),"永春四號")</f>
        <v>永春四號</v>
      </c>
      <c r="H868" s="106" t="str">
        <f t="shared" si="1"/>
        <v>2024-10</v>
      </c>
      <c r="I868" s="271" t="str">
        <f>IFERROR(__xludf.DUMMYFUNCTION("""COMPUTED_VALUE"""),"貓狗企鵝")</f>
        <v>貓狗企鵝</v>
      </c>
      <c r="J868" t="str">
        <f>IFERROR(__xludf.DUMMYFUNCTION("IFS(
  AND(REGEXMATCH(E868, ""台銀籌備帳戶|玉山帳戶""), REGEXMATCH(C868, ""薪資"")), ""分潤支出"",
  AND(REGEXMATCH(E868, ""Ben帳戶|Elsa帳戶|Ben代墊|Ariel代墊|中信銀行共用""), REGEXMATCH(F868, ""Ben帳戶|Elsa帳戶|Ben代墊|Ariel代墊|中信銀行共用"")), ""內部轉帳(忽略)"",
  AND(E868&lt;&gt;"""", F868&lt;&gt;"""", NOT(REG"&amp;"EXMATCH(C868, ""薪資""))), ""內部轉帳(忽略)"",
  REGEXMATCH(C868, ""薪資""), ""薪資變動(不計入)"",
  REGEXMATCH(C868, ""押金""), ""押金往來"",
  AND(E868&lt;&gt;"""", F868=""""), ""真實支出"",
  AND(E868="""", F868&lt;&gt;""""), ""真實收入"",
  TRUE, ""其他""
)"),"真實收入")</f>
        <v>真實收入</v>
      </c>
      <c r="K868" s="270">
        <f t="shared" si="2"/>
        <v>13500</v>
      </c>
      <c r="L868">
        <f t="shared" si="3"/>
        <v>0</v>
      </c>
    </row>
    <row r="869">
      <c r="A869" s="107">
        <f>IFERROR(__xludf.DUMMYFUNCTION("""COMPUTED_VALUE"""),45567.0)</f>
        <v>45567</v>
      </c>
      <c r="B869" t="str">
        <f>IFERROR(__xludf.DUMMYFUNCTION("""COMPUTED_VALUE"""),"北醫醫師府F林雍勳")</f>
        <v>北醫醫師府F林雍勳</v>
      </c>
      <c r="C869" t="str">
        <f>IFERROR(__xludf.DUMMYFUNCTION("""COMPUTED_VALUE"""),"收入 - 租金")</f>
        <v>收入 - 租金</v>
      </c>
      <c r="D869" s="270">
        <f>IFERROR(__xludf.DUMMYFUNCTION("""COMPUTED_VALUE"""),14800.0)</f>
        <v>14800</v>
      </c>
      <c r="F869" t="str">
        <f>IFERROR(__xludf.DUMMYFUNCTION("""COMPUTED_VALUE"""),"台銀籌備帳戶")</f>
        <v>台銀籌備帳戶</v>
      </c>
      <c r="G869" t="str">
        <f>IFERROR(__xludf.DUMMYFUNCTION("""COMPUTED_VALUE"""),"北醫醫師府")</f>
        <v>北醫醫師府</v>
      </c>
      <c r="H869" s="106" t="str">
        <f t="shared" si="1"/>
        <v>2024-10</v>
      </c>
      <c r="I869" s="271" t="str">
        <f>IFERROR(__xludf.DUMMYFUNCTION("""COMPUTED_VALUE"""),"貓狗企鵝")</f>
        <v>貓狗企鵝</v>
      </c>
      <c r="J869" t="str">
        <f>IFERROR(__xludf.DUMMYFUNCTION("IFS(
  AND(REGEXMATCH(E869, ""台銀籌備帳戶|玉山帳戶""), REGEXMATCH(C869, ""薪資"")), ""分潤支出"",
  AND(REGEXMATCH(E869, ""Ben帳戶|Elsa帳戶|Ben代墊|Ariel代墊|中信銀行共用""), REGEXMATCH(F869, ""Ben帳戶|Elsa帳戶|Ben代墊|Ariel代墊|中信銀行共用"")), ""內部轉帳(忽略)"",
  AND(E869&lt;&gt;"""", F869&lt;&gt;"""", NOT(REG"&amp;"EXMATCH(C869, ""薪資""))), ""內部轉帳(忽略)"",
  REGEXMATCH(C869, ""薪資""), ""薪資變動(不計入)"",
  REGEXMATCH(C869, ""押金""), ""押金往來"",
  AND(E869&lt;&gt;"""", F869=""""), ""真實支出"",
  AND(E869="""", F869&lt;&gt;""""), ""真實收入"",
  TRUE, ""其他""
)"),"真實收入")</f>
        <v>真實收入</v>
      </c>
      <c r="K869" s="270">
        <f t="shared" si="2"/>
        <v>14800</v>
      </c>
      <c r="L869">
        <f t="shared" si="3"/>
        <v>0</v>
      </c>
    </row>
    <row r="870">
      <c r="A870" s="107">
        <f>IFERROR(__xludf.DUMMYFUNCTION("""COMPUTED_VALUE"""),45567.0)</f>
        <v>45567</v>
      </c>
      <c r="B870" t="str">
        <f>IFERROR(__xludf.DUMMYFUNCTION("""COMPUTED_VALUE"""),"大湖山莊B施惠卿")</f>
        <v>大湖山莊B施惠卿</v>
      </c>
      <c r="C870" t="str">
        <f>IFERROR(__xludf.DUMMYFUNCTION("""COMPUTED_VALUE"""),"收入 - 租金")</f>
        <v>收入 - 租金</v>
      </c>
      <c r="D870" s="270">
        <f>IFERROR(__xludf.DUMMYFUNCTION("""COMPUTED_VALUE"""),12800.0)</f>
        <v>12800</v>
      </c>
      <c r="F870" t="str">
        <f>IFERROR(__xludf.DUMMYFUNCTION("""COMPUTED_VALUE"""),"台銀籌備帳戶")</f>
        <v>台銀籌備帳戶</v>
      </c>
      <c r="G870" t="str">
        <f>IFERROR(__xludf.DUMMYFUNCTION("""COMPUTED_VALUE"""),"大湖山莊")</f>
        <v>大湖山莊</v>
      </c>
      <c r="H870" s="106" t="str">
        <f t="shared" si="1"/>
        <v>2024-10</v>
      </c>
      <c r="I870" s="271" t="str">
        <f>IFERROR(__xludf.DUMMYFUNCTION("""COMPUTED_VALUE"""),"貓狗企鵝")</f>
        <v>貓狗企鵝</v>
      </c>
      <c r="J870" t="str">
        <f>IFERROR(__xludf.DUMMYFUNCTION("IFS(
  AND(REGEXMATCH(E870, ""台銀籌備帳戶|玉山帳戶""), REGEXMATCH(C870, ""薪資"")), ""分潤支出"",
  AND(REGEXMATCH(E870, ""Ben帳戶|Elsa帳戶|Ben代墊|Ariel代墊|中信銀行共用""), REGEXMATCH(F870, ""Ben帳戶|Elsa帳戶|Ben代墊|Ariel代墊|中信銀行共用"")), ""內部轉帳(忽略)"",
  AND(E870&lt;&gt;"""", F870&lt;&gt;"""", NOT(REG"&amp;"EXMATCH(C870, ""薪資""))), ""內部轉帳(忽略)"",
  REGEXMATCH(C870, ""薪資""), ""薪資變動(不計入)"",
  REGEXMATCH(C870, ""押金""), ""押金往來"",
  AND(E870&lt;&gt;"""", F870=""""), ""真實支出"",
  AND(E870="""", F870&lt;&gt;""""), ""真實收入"",
  TRUE, ""其他""
)"),"真實收入")</f>
        <v>真實收入</v>
      </c>
      <c r="K870" s="270">
        <f t="shared" si="2"/>
        <v>12800</v>
      </c>
      <c r="L870">
        <f t="shared" si="3"/>
        <v>0</v>
      </c>
    </row>
    <row r="871">
      <c r="A871" s="107">
        <f>IFERROR(__xludf.DUMMYFUNCTION("""COMPUTED_VALUE"""),45567.0)</f>
        <v>45567</v>
      </c>
      <c r="B871" t="str">
        <f>IFERROR(__xludf.DUMMYFUNCTION("""COMPUTED_VALUE"""),"永春四號C林聿妡")</f>
        <v>永春四號C林聿妡</v>
      </c>
      <c r="C871" t="str">
        <f>IFERROR(__xludf.DUMMYFUNCTION("""COMPUTED_VALUE"""),"收入 - 租金")</f>
        <v>收入 - 租金</v>
      </c>
      <c r="D871" s="270">
        <f>IFERROR(__xludf.DUMMYFUNCTION("""COMPUTED_VALUE"""),13300.0)</f>
        <v>13300</v>
      </c>
      <c r="F871" t="str">
        <f>IFERROR(__xludf.DUMMYFUNCTION("""COMPUTED_VALUE"""),"台銀籌備帳戶")</f>
        <v>台銀籌備帳戶</v>
      </c>
      <c r="G871" t="str">
        <f>IFERROR(__xludf.DUMMYFUNCTION("""COMPUTED_VALUE"""),"永春四號")</f>
        <v>永春四號</v>
      </c>
      <c r="H871" s="106" t="str">
        <f t="shared" si="1"/>
        <v>2024-10</v>
      </c>
      <c r="I871" s="271" t="str">
        <f>IFERROR(__xludf.DUMMYFUNCTION("""COMPUTED_VALUE"""),"貓狗企鵝")</f>
        <v>貓狗企鵝</v>
      </c>
      <c r="J871" t="str">
        <f>IFERROR(__xludf.DUMMYFUNCTION("IFS(
  AND(REGEXMATCH(E871, ""台銀籌備帳戶|玉山帳戶""), REGEXMATCH(C871, ""薪資"")), ""分潤支出"",
  AND(REGEXMATCH(E871, ""Ben帳戶|Elsa帳戶|Ben代墊|Ariel代墊|中信銀行共用""), REGEXMATCH(F871, ""Ben帳戶|Elsa帳戶|Ben代墊|Ariel代墊|中信銀行共用"")), ""內部轉帳(忽略)"",
  AND(E871&lt;&gt;"""", F871&lt;&gt;"""", NOT(REG"&amp;"EXMATCH(C871, ""薪資""))), ""內部轉帳(忽略)"",
  REGEXMATCH(C871, ""薪資""), ""薪資變動(不計入)"",
  REGEXMATCH(C871, ""押金""), ""押金往來"",
  AND(E871&lt;&gt;"""", F871=""""), ""真實支出"",
  AND(E871="""", F871&lt;&gt;""""), ""真實收入"",
  TRUE, ""其他""
)"),"真實收入")</f>
        <v>真實收入</v>
      </c>
      <c r="K871" s="270">
        <f t="shared" si="2"/>
        <v>13300</v>
      </c>
      <c r="L871">
        <f t="shared" si="3"/>
        <v>0</v>
      </c>
    </row>
    <row r="872">
      <c r="A872" s="107">
        <f>IFERROR(__xludf.DUMMYFUNCTION("""COMPUTED_VALUE"""),45567.0)</f>
        <v>45567</v>
      </c>
      <c r="B872" t="str">
        <f>IFERROR(__xludf.DUMMYFUNCTION("""COMPUTED_VALUE"""),"金龍C窗簾")</f>
        <v>金龍C窗簾</v>
      </c>
      <c r="C872" t="str">
        <f>IFERROR(__xludf.DUMMYFUNCTION("""COMPUTED_VALUE"""),"成本 - 租後修繕")</f>
        <v>成本 - 租後修繕</v>
      </c>
      <c r="D872" s="270">
        <f>IFERROR(__xludf.DUMMYFUNCTION("""COMPUTED_VALUE"""),-994.0)</f>
        <v>-994</v>
      </c>
      <c r="E872" t="str">
        <f>IFERROR(__xludf.DUMMYFUNCTION("""COMPUTED_VALUE"""),"Ben帳戶")</f>
        <v>Ben帳戶</v>
      </c>
      <c r="G872" t="str">
        <f>IFERROR(__xludf.DUMMYFUNCTION("""COMPUTED_VALUE"""),"金龍帽子先生")</f>
        <v>金龍帽子先生</v>
      </c>
      <c r="H872" s="106" t="str">
        <f t="shared" si="1"/>
        <v>2024-10</v>
      </c>
      <c r="I872" s="271" t="str">
        <f>IFERROR(__xludf.DUMMYFUNCTION("""COMPUTED_VALUE"""),"貓狗企鵝")</f>
        <v>貓狗企鵝</v>
      </c>
      <c r="J872" t="str">
        <f>IFERROR(__xludf.DUMMYFUNCTION("IFS(
  AND(REGEXMATCH(E872, ""台銀籌備帳戶|玉山帳戶""), REGEXMATCH(C872, ""薪資"")), ""分潤支出"",
  AND(REGEXMATCH(E872, ""Ben帳戶|Elsa帳戶|Ben代墊|Ariel代墊|中信銀行共用""), REGEXMATCH(F872, ""Ben帳戶|Elsa帳戶|Ben代墊|Ariel代墊|中信銀行共用"")), ""內部轉帳(忽略)"",
  AND(E872&lt;&gt;"""", F872&lt;&gt;"""", NOT(REG"&amp;"EXMATCH(C872, ""薪資""))), ""內部轉帳(忽略)"",
  REGEXMATCH(C872, ""薪資""), ""薪資變動(不計入)"",
  REGEXMATCH(C872, ""押金""), ""押金往來"",
  AND(E872&lt;&gt;"""", F872=""""), ""真實支出"",
  AND(E872="""", F872&lt;&gt;""""), ""真實收入"",
  TRUE, ""其他""
)"),"真實支出")</f>
        <v>真實支出</v>
      </c>
      <c r="K872" s="270">
        <f t="shared" si="2"/>
        <v>-994</v>
      </c>
      <c r="L872">
        <f t="shared" si="3"/>
        <v>0</v>
      </c>
    </row>
    <row r="873">
      <c r="A873" s="107">
        <f>IFERROR(__xludf.DUMMYFUNCTION("""COMPUTED_VALUE"""),45567.0)</f>
        <v>45567</v>
      </c>
      <c r="B873" t="str">
        <f>IFERROR(__xludf.DUMMYFUNCTION("""COMPUTED_VALUE"""),"景安窗簾桿")</f>
        <v>景安窗簾桿</v>
      </c>
      <c r="C873" t="str">
        <f>IFERROR(__xludf.DUMMYFUNCTION("""COMPUTED_VALUE"""),"成本 - 進場前裝潢費")</f>
        <v>成本 - 進場前裝潢費</v>
      </c>
      <c r="D873" s="270">
        <f>IFERROR(__xludf.DUMMYFUNCTION("""COMPUTED_VALUE"""),-1400.0)</f>
        <v>-1400</v>
      </c>
      <c r="E873" t="str">
        <f>IFERROR(__xludf.DUMMYFUNCTION("""COMPUTED_VALUE"""),"Ben帳戶")</f>
        <v>Ben帳戶</v>
      </c>
      <c r="G873" t="str">
        <f>IFERROR(__xludf.DUMMYFUNCTION("""COMPUTED_VALUE"""),"景安2分鐘")</f>
        <v>景安2分鐘</v>
      </c>
      <c r="H873" s="106" t="str">
        <f t="shared" si="1"/>
        <v>2024-10</v>
      </c>
      <c r="I873" s="271" t="str">
        <f>IFERROR(__xludf.DUMMYFUNCTION("""COMPUTED_VALUE"""),"貓狗企鵝")</f>
        <v>貓狗企鵝</v>
      </c>
      <c r="J873" t="str">
        <f>IFERROR(__xludf.DUMMYFUNCTION("IFS(
  AND(REGEXMATCH(E873, ""台銀籌備帳戶|玉山帳戶""), REGEXMATCH(C873, ""薪資"")), ""分潤支出"",
  AND(REGEXMATCH(E873, ""Ben帳戶|Elsa帳戶|Ben代墊|Ariel代墊|中信銀行共用""), REGEXMATCH(F873, ""Ben帳戶|Elsa帳戶|Ben代墊|Ariel代墊|中信銀行共用"")), ""內部轉帳(忽略)"",
  AND(E873&lt;&gt;"""", F873&lt;&gt;"""", NOT(REG"&amp;"EXMATCH(C873, ""薪資""))), ""內部轉帳(忽略)"",
  REGEXMATCH(C873, ""薪資""), ""薪資變動(不計入)"",
  REGEXMATCH(C873, ""押金""), ""押金往來"",
  AND(E873&lt;&gt;"""", F873=""""), ""真實支出"",
  AND(E873="""", F873&lt;&gt;""""), ""真實收入"",
  TRUE, ""其他""
)"),"真實支出")</f>
        <v>真實支出</v>
      </c>
      <c r="K873" s="270">
        <f t="shared" si="2"/>
        <v>-1400</v>
      </c>
      <c r="L873">
        <f t="shared" si="3"/>
        <v>0</v>
      </c>
    </row>
    <row r="874">
      <c r="A874" s="107">
        <f>IFERROR(__xludf.DUMMYFUNCTION("""COMPUTED_VALUE"""),45567.0)</f>
        <v>45567</v>
      </c>
      <c r="B874" t="str">
        <f>IFERROR(__xludf.DUMMYFUNCTION("""COMPUTED_VALUE"""),"景安Q4管理費")</f>
        <v>景安Q4管理費</v>
      </c>
      <c r="C874" t="str">
        <f>IFERROR(__xludf.DUMMYFUNCTION("""COMPUTED_VALUE"""),"成本 - 固定開銷(網路代收清潔)")</f>
        <v>成本 - 固定開銷(網路代收清潔)</v>
      </c>
      <c r="D874" s="270">
        <f>IFERROR(__xludf.DUMMYFUNCTION("""COMPUTED_VALUE"""),-1700.0)</f>
        <v>-1700</v>
      </c>
      <c r="E874" t="str">
        <f>IFERROR(__xludf.DUMMYFUNCTION("""COMPUTED_VALUE"""),"Ben帳戶")</f>
        <v>Ben帳戶</v>
      </c>
      <c r="G874" t="str">
        <f>IFERROR(__xludf.DUMMYFUNCTION("""COMPUTED_VALUE"""),"景安2分鐘")</f>
        <v>景安2分鐘</v>
      </c>
      <c r="H874" s="106" t="str">
        <f t="shared" si="1"/>
        <v>2024-10</v>
      </c>
      <c r="I874" s="271" t="str">
        <f>IFERROR(__xludf.DUMMYFUNCTION("""COMPUTED_VALUE"""),"貓狗企鵝")</f>
        <v>貓狗企鵝</v>
      </c>
      <c r="J874" t="str">
        <f>IFERROR(__xludf.DUMMYFUNCTION("IFS(
  AND(REGEXMATCH(E874, ""台銀籌備帳戶|玉山帳戶""), REGEXMATCH(C874, ""薪資"")), ""分潤支出"",
  AND(REGEXMATCH(E874, ""Ben帳戶|Elsa帳戶|Ben代墊|Ariel代墊|中信銀行共用""), REGEXMATCH(F874, ""Ben帳戶|Elsa帳戶|Ben代墊|Ariel代墊|中信銀行共用"")), ""內部轉帳(忽略)"",
  AND(E874&lt;&gt;"""", F874&lt;&gt;"""", NOT(REG"&amp;"EXMATCH(C874, ""薪資""))), ""內部轉帳(忽略)"",
  REGEXMATCH(C874, ""薪資""), ""薪資變動(不計入)"",
  REGEXMATCH(C874, ""押金""), ""押金往來"",
  AND(E874&lt;&gt;"""", F874=""""), ""真實支出"",
  AND(E874="""", F874&lt;&gt;""""), ""真實收入"",
  TRUE, ""其他""
)"),"真實支出")</f>
        <v>真實支出</v>
      </c>
      <c r="K874" s="270">
        <f t="shared" si="2"/>
        <v>-1700</v>
      </c>
      <c r="L874">
        <f t="shared" si="3"/>
        <v>0</v>
      </c>
    </row>
    <row r="875">
      <c r="A875" s="107">
        <f>IFERROR(__xludf.DUMMYFUNCTION("""COMPUTED_VALUE"""),45568.0)</f>
        <v>45568</v>
      </c>
      <c r="B875" t="str">
        <f>IFERROR(__xludf.DUMMYFUNCTION("""COMPUTED_VALUE"""),"北醫醫師府	D	劉怡秀")</f>
        <v>北醫醫師府	D	劉怡秀</v>
      </c>
      <c r="C875" t="str">
        <f>IFERROR(__xludf.DUMMYFUNCTION("""COMPUTED_VALUE"""),"收入 - 租金")</f>
        <v>收入 - 租金</v>
      </c>
      <c r="D875" s="270">
        <f>IFERROR(__xludf.DUMMYFUNCTION("""COMPUTED_VALUE"""),12000.0)</f>
        <v>12000</v>
      </c>
      <c r="F875" t="str">
        <f>IFERROR(__xludf.DUMMYFUNCTION("""COMPUTED_VALUE"""),"台銀籌備帳戶")</f>
        <v>台銀籌備帳戶</v>
      </c>
      <c r="G875" t="str">
        <f>IFERROR(__xludf.DUMMYFUNCTION("""COMPUTED_VALUE"""),"北醫醫師府")</f>
        <v>北醫醫師府</v>
      </c>
      <c r="H875" s="106" t="str">
        <f t="shared" si="1"/>
        <v>2024-10</v>
      </c>
      <c r="I875" s="271" t="str">
        <f>IFERROR(__xludf.DUMMYFUNCTION("""COMPUTED_VALUE"""),"貓狗企鵝")</f>
        <v>貓狗企鵝</v>
      </c>
      <c r="J875" t="str">
        <f>IFERROR(__xludf.DUMMYFUNCTION("IFS(
  AND(REGEXMATCH(E875, ""台銀籌備帳戶|玉山帳戶""), REGEXMATCH(C875, ""薪資"")), ""分潤支出"",
  AND(REGEXMATCH(E875, ""Ben帳戶|Elsa帳戶|Ben代墊|Ariel代墊|中信銀行共用""), REGEXMATCH(F875, ""Ben帳戶|Elsa帳戶|Ben代墊|Ariel代墊|中信銀行共用"")), ""內部轉帳(忽略)"",
  AND(E875&lt;&gt;"""", F875&lt;&gt;"""", NOT(REG"&amp;"EXMATCH(C875, ""薪資""))), ""內部轉帳(忽略)"",
  REGEXMATCH(C875, ""薪資""), ""薪資變動(不計入)"",
  REGEXMATCH(C875, ""押金""), ""押金往來"",
  AND(E875&lt;&gt;"""", F875=""""), ""真實支出"",
  AND(E875="""", F875&lt;&gt;""""), ""真實收入"",
  TRUE, ""其他""
)"),"真實收入")</f>
        <v>真實收入</v>
      </c>
      <c r="K875" s="270">
        <f t="shared" si="2"/>
        <v>12000</v>
      </c>
      <c r="L875">
        <f t="shared" si="3"/>
        <v>0</v>
      </c>
    </row>
    <row r="876">
      <c r="A876" s="107">
        <f>IFERROR(__xludf.DUMMYFUNCTION("""COMPUTED_VALUE"""),45568.0)</f>
        <v>45568</v>
      </c>
      <c r="B876" t="str">
        <f>IFERROR(__xludf.DUMMYFUNCTION("""COMPUTED_VALUE"""),"龍江229	D	黃依婷")</f>
        <v>龍江229	D	黃依婷</v>
      </c>
      <c r="C876" t="str">
        <f>IFERROR(__xludf.DUMMYFUNCTION("""COMPUTED_VALUE"""),"收入 - 租金")</f>
        <v>收入 - 租金</v>
      </c>
      <c r="D876" s="270">
        <f>IFERROR(__xludf.DUMMYFUNCTION("""COMPUTED_VALUE"""),13300.0)</f>
        <v>13300</v>
      </c>
      <c r="F876" t="str">
        <f>IFERROR(__xludf.DUMMYFUNCTION("""COMPUTED_VALUE"""),"台銀籌備帳戶")</f>
        <v>台銀籌備帳戶</v>
      </c>
      <c r="G876" t="str">
        <f>IFERROR(__xludf.DUMMYFUNCTION("""COMPUTED_VALUE"""),"龍江229")</f>
        <v>龍江229</v>
      </c>
      <c r="H876" s="106" t="str">
        <f t="shared" si="1"/>
        <v>2024-10</v>
      </c>
      <c r="I876" s="271" t="str">
        <f>IFERROR(__xludf.DUMMYFUNCTION("""COMPUTED_VALUE"""),"貓狗企鵝")</f>
        <v>貓狗企鵝</v>
      </c>
      <c r="J876" t="str">
        <f>IFERROR(__xludf.DUMMYFUNCTION("IFS(
  AND(REGEXMATCH(E876, ""台銀籌備帳戶|玉山帳戶""), REGEXMATCH(C876, ""薪資"")), ""分潤支出"",
  AND(REGEXMATCH(E876, ""Ben帳戶|Elsa帳戶|Ben代墊|Ariel代墊|中信銀行共用""), REGEXMATCH(F876, ""Ben帳戶|Elsa帳戶|Ben代墊|Ariel代墊|中信銀行共用"")), ""內部轉帳(忽略)"",
  AND(E876&lt;&gt;"""", F876&lt;&gt;"""", NOT(REG"&amp;"EXMATCH(C876, ""薪資""))), ""內部轉帳(忽略)"",
  REGEXMATCH(C876, ""薪資""), ""薪資變動(不計入)"",
  REGEXMATCH(C876, ""押金""), ""押金往來"",
  AND(E876&lt;&gt;"""", F876=""""), ""真實支出"",
  AND(E876="""", F876&lt;&gt;""""), ""真實收入"",
  TRUE, ""其他""
)"),"真實收入")</f>
        <v>真實收入</v>
      </c>
      <c r="K876" s="270">
        <f t="shared" si="2"/>
        <v>13300</v>
      </c>
      <c r="L876">
        <f t="shared" si="3"/>
        <v>0</v>
      </c>
    </row>
    <row r="877">
      <c r="A877" s="107">
        <f>IFERROR(__xludf.DUMMYFUNCTION("""COMPUTED_VALUE"""),45568.0)</f>
        <v>45568</v>
      </c>
      <c r="B877" t="str">
        <f>IFERROR(__xludf.DUMMYFUNCTION("""COMPUTED_VALUE"""),"大湖山莊	E	吳彥霆")</f>
        <v>大湖山莊	E	吳彥霆</v>
      </c>
      <c r="C877" t="str">
        <f>IFERROR(__xludf.DUMMYFUNCTION("""COMPUTED_VALUE"""),"收入 - 租金")</f>
        <v>收入 - 租金</v>
      </c>
      <c r="D877" s="270">
        <f>IFERROR(__xludf.DUMMYFUNCTION("""COMPUTED_VALUE"""),12500.0)</f>
        <v>12500</v>
      </c>
      <c r="F877" t="str">
        <f>IFERROR(__xludf.DUMMYFUNCTION("""COMPUTED_VALUE"""),"台銀籌備帳戶")</f>
        <v>台銀籌備帳戶</v>
      </c>
      <c r="G877" t="str">
        <f>IFERROR(__xludf.DUMMYFUNCTION("""COMPUTED_VALUE"""),"大湖山莊")</f>
        <v>大湖山莊</v>
      </c>
      <c r="H877" s="106" t="str">
        <f t="shared" si="1"/>
        <v>2024-10</v>
      </c>
      <c r="I877" s="271" t="str">
        <f>IFERROR(__xludf.DUMMYFUNCTION("""COMPUTED_VALUE"""),"貓狗企鵝")</f>
        <v>貓狗企鵝</v>
      </c>
      <c r="J877" t="str">
        <f>IFERROR(__xludf.DUMMYFUNCTION("IFS(
  AND(REGEXMATCH(E877, ""台銀籌備帳戶|玉山帳戶""), REGEXMATCH(C877, ""薪資"")), ""分潤支出"",
  AND(REGEXMATCH(E877, ""Ben帳戶|Elsa帳戶|Ben代墊|Ariel代墊|中信銀行共用""), REGEXMATCH(F877, ""Ben帳戶|Elsa帳戶|Ben代墊|Ariel代墊|中信銀行共用"")), ""內部轉帳(忽略)"",
  AND(E877&lt;&gt;"""", F877&lt;&gt;"""", NOT(REG"&amp;"EXMATCH(C877, ""薪資""))), ""內部轉帳(忽略)"",
  REGEXMATCH(C877, ""薪資""), ""薪資變動(不計入)"",
  REGEXMATCH(C877, ""押金""), ""押金往來"",
  AND(E877&lt;&gt;"""", F877=""""), ""真實支出"",
  AND(E877="""", F877&lt;&gt;""""), ""真實收入"",
  TRUE, ""其他""
)"),"真實收入")</f>
        <v>真實收入</v>
      </c>
      <c r="K877" s="270">
        <f t="shared" si="2"/>
        <v>12500</v>
      </c>
      <c r="L877">
        <f t="shared" si="3"/>
        <v>0</v>
      </c>
    </row>
    <row r="878">
      <c r="A878" s="107">
        <f>IFERROR(__xludf.DUMMYFUNCTION("""COMPUTED_VALUE"""),45568.0)</f>
        <v>45568</v>
      </c>
      <c r="B878" t="str">
        <f>IFERROR(__xludf.DUMMYFUNCTION("""COMPUTED_VALUE"""),"北醫醫師府	E	洪睿佑")</f>
        <v>北醫醫師府	E	洪睿佑</v>
      </c>
      <c r="C878" t="str">
        <f>IFERROR(__xludf.DUMMYFUNCTION("""COMPUTED_VALUE"""),"收入 - 租金")</f>
        <v>收入 - 租金</v>
      </c>
      <c r="D878" s="270">
        <f>IFERROR(__xludf.DUMMYFUNCTION("""COMPUTED_VALUE"""),14800.0)</f>
        <v>14800</v>
      </c>
      <c r="F878" t="str">
        <f>IFERROR(__xludf.DUMMYFUNCTION("""COMPUTED_VALUE"""),"台銀籌備帳戶")</f>
        <v>台銀籌備帳戶</v>
      </c>
      <c r="G878" t="str">
        <f>IFERROR(__xludf.DUMMYFUNCTION("""COMPUTED_VALUE"""),"北醫醫師府")</f>
        <v>北醫醫師府</v>
      </c>
      <c r="H878" s="106" t="str">
        <f t="shared" si="1"/>
        <v>2024-10</v>
      </c>
      <c r="I878" s="271" t="str">
        <f>IFERROR(__xludf.DUMMYFUNCTION("""COMPUTED_VALUE"""),"貓狗企鵝")</f>
        <v>貓狗企鵝</v>
      </c>
      <c r="J878" t="str">
        <f>IFERROR(__xludf.DUMMYFUNCTION("IFS(
  AND(REGEXMATCH(E878, ""台銀籌備帳戶|玉山帳戶""), REGEXMATCH(C878, ""薪資"")), ""分潤支出"",
  AND(REGEXMATCH(E878, ""Ben帳戶|Elsa帳戶|Ben代墊|Ariel代墊|中信銀行共用""), REGEXMATCH(F878, ""Ben帳戶|Elsa帳戶|Ben代墊|Ariel代墊|中信銀行共用"")), ""內部轉帳(忽略)"",
  AND(E878&lt;&gt;"""", F878&lt;&gt;"""", NOT(REG"&amp;"EXMATCH(C878, ""薪資""))), ""內部轉帳(忽略)"",
  REGEXMATCH(C878, ""薪資""), ""薪資變動(不計入)"",
  REGEXMATCH(C878, ""押金""), ""押金往來"",
  AND(E878&lt;&gt;"""", F878=""""), ""真實支出"",
  AND(E878="""", F878&lt;&gt;""""), ""真實收入"",
  TRUE, ""其他""
)"),"真實收入")</f>
        <v>真實收入</v>
      </c>
      <c r="K878" s="270">
        <f t="shared" si="2"/>
        <v>14800</v>
      </c>
      <c r="L878">
        <f t="shared" si="3"/>
        <v>0</v>
      </c>
    </row>
    <row r="879">
      <c r="A879" s="107">
        <f>IFERROR(__xludf.DUMMYFUNCTION("""COMPUTED_VALUE"""),45568.0)</f>
        <v>45568</v>
      </c>
      <c r="B879" t="str">
        <f>IFERROR(__xludf.DUMMYFUNCTION("""COMPUTED_VALUE"""),"地板金龍")</f>
        <v>地板金龍</v>
      </c>
      <c r="C879" t="str">
        <f>IFERROR(__xludf.DUMMYFUNCTION("""COMPUTED_VALUE"""),"成本 - 進場前裝潢費")</f>
        <v>成本 - 進場前裝潢費</v>
      </c>
      <c r="D879" s="270">
        <f>IFERROR(__xludf.DUMMYFUNCTION("""COMPUTED_VALUE"""),-7628.0)</f>
        <v>-7628</v>
      </c>
      <c r="E879" t="str">
        <f>IFERROR(__xludf.DUMMYFUNCTION("""COMPUTED_VALUE"""),"台銀籌備帳戶")</f>
        <v>台銀籌備帳戶</v>
      </c>
      <c r="G879" t="str">
        <f>IFERROR(__xludf.DUMMYFUNCTION("""COMPUTED_VALUE"""),"金龍帽子先生")</f>
        <v>金龍帽子先生</v>
      </c>
      <c r="H879" s="106" t="str">
        <f t="shared" si="1"/>
        <v>2024-10</v>
      </c>
      <c r="I879" s="271" t="str">
        <f>IFERROR(__xludf.DUMMYFUNCTION("""COMPUTED_VALUE"""),"貓狗企鵝")</f>
        <v>貓狗企鵝</v>
      </c>
      <c r="J879" t="str">
        <f>IFERROR(__xludf.DUMMYFUNCTION("IFS(
  AND(REGEXMATCH(E879, ""台銀籌備帳戶|玉山帳戶""), REGEXMATCH(C879, ""薪資"")), ""分潤支出"",
  AND(REGEXMATCH(E879, ""Ben帳戶|Elsa帳戶|Ben代墊|Ariel代墊|中信銀行共用""), REGEXMATCH(F879, ""Ben帳戶|Elsa帳戶|Ben代墊|Ariel代墊|中信銀行共用"")), ""內部轉帳(忽略)"",
  AND(E879&lt;&gt;"""", F879&lt;&gt;"""", NOT(REG"&amp;"EXMATCH(C879, ""薪資""))), ""內部轉帳(忽略)"",
  REGEXMATCH(C879, ""薪資""), ""薪資變動(不計入)"",
  REGEXMATCH(C879, ""押金""), ""押金往來"",
  AND(E879&lt;&gt;"""", F879=""""), ""真實支出"",
  AND(E879="""", F879&lt;&gt;""""), ""真實收入"",
  TRUE, ""其他""
)"),"真實支出")</f>
        <v>真實支出</v>
      </c>
      <c r="K879" s="270">
        <f t="shared" si="2"/>
        <v>-7628</v>
      </c>
      <c r="L879">
        <f t="shared" si="3"/>
        <v>0</v>
      </c>
    </row>
    <row r="880">
      <c r="A880" s="107">
        <f>IFERROR(__xludf.DUMMYFUNCTION("""COMPUTED_VALUE"""),45568.0)</f>
        <v>45568</v>
      </c>
      <c r="B880" t="str">
        <f>IFERROR(__xludf.DUMMYFUNCTION("""COMPUTED_VALUE"""),"地板景安")</f>
        <v>地板景安</v>
      </c>
      <c r="C880" t="str">
        <f>IFERROR(__xludf.DUMMYFUNCTION("""COMPUTED_VALUE"""),"成本 - 進場前裝潢費")</f>
        <v>成本 - 進場前裝潢費</v>
      </c>
      <c r="D880" s="270">
        <f>IFERROR(__xludf.DUMMYFUNCTION("""COMPUTED_VALUE"""),-36855.0)</f>
        <v>-36855</v>
      </c>
      <c r="E880" t="str">
        <f>IFERROR(__xludf.DUMMYFUNCTION("""COMPUTED_VALUE"""),"台銀籌備帳戶")</f>
        <v>台銀籌備帳戶</v>
      </c>
      <c r="G880" t="str">
        <f>IFERROR(__xludf.DUMMYFUNCTION("""COMPUTED_VALUE"""),"中山北娘家旁")</f>
        <v>中山北娘家旁</v>
      </c>
      <c r="H880" s="106" t="str">
        <f t="shared" si="1"/>
        <v>2024-10</v>
      </c>
      <c r="I880" s="271" t="str">
        <f>IFERROR(__xludf.DUMMYFUNCTION("""COMPUTED_VALUE"""),"貓狗企鵝")</f>
        <v>貓狗企鵝</v>
      </c>
      <c r="J880" t="str">
        <f>IFERROR(__xludf.DUMMYFUNCTION("IFS(
  AND(REGEXMATCH(E880, ""台銀籌備帳戶|玉山帳戶""), REGEXMATCH(C880, ""薪資"")), ""分潤支出"",
  AND(REGEXMATCH(E880, ""Ben帳戶|Elsa帳戶|Ben代墊|Ariel代墊|中信銀行共用""), REGEXMATCH(F880, ""Ben帳戶|Elsa帳戶|Ben代墊|Ariel代墊|中信銀行共用"")), ""內部轉帳(忽略)"",
  AND(E880&lt;&gt;"""", F880&lt;&gt;"""", NOT(REG"&amp;"EXMATCH(C880, ""薪資""))), ""內部轉帳(忽略)"",
  REGEXMATCH(C880, ""薪資""), ""薪資變動(不計入)"",
  REGEXMATCH(C880, ""押金""), ""押金往來"",
  AND(E880&lt;&gt;"""", F880=""""), ""真實支出"",
  AND(E880="""", F880&lt;&gt;""""), ""真實收入"",
  TRUE, ""其他""
)"),"真實支出")</f>
        <v>真實支出</v>
      </c>
      <c r="K880" s="270">
        <f t="shared" si="2"/>
        <v>-36855</v>
      </c>
      <c r="L880">
        <f t="shared" si="3"/>
        <v>0</v>
      </c>
    </row>
    <row r="881">
      <c r="A881" s="107">
        <f>IFERROR(__xludf.DUMMYFUNCTION("""COMPUTED_VALUE"""),45568.0)</f>
        <v>45568</v>
      </c>
      <c r="B881" t="str">
        <f>IFERROR(__xludf.DUMMYFUNCTION("""COMPUTED_VALUE"""),"毛毛中山娘家")</f>
        <v>毛毛中山娘家</v>
      </c>
      <c r="C881" t="str">
        <f>IFERROR(__xludf.DUMMYFUNCTION("""COMPUTED_VALUE"""),"成本 - 進場前裝潢費")</f>
        <v>成本 - 進場前裝潢費</v>
      </c>
      <c r="D881" s="270">
        <f>IFERROR(__xludf.DUMMYFUNCTION("""COMPUTED_VALUE"""),-46740.0)</f>
        <v>-46740</v>
      </c>
      <c r="E881" t="str">
        <f>IFERROR(__xludf.DUMMYFUNCTION("""COMPUTED_VALUE"""),"台銀籌備帳戶")</f>
        <v>台銀籌備帳戶</v>
      </c>
      <c r="G881" t="str">
        <f>IFERROR(__xludf.DUMMYFUNCTION("""COMPUTED_VALUE"""),"中山北娘家旁")</f>
        <v>中山北娘家旁</v>
      </c>
      <c r="H881" s="106" t="str">
        <f t="shared" si="1"/>
        <v>2024-10</v>
      </c>
      <c r="I881" s="271" t="str">
        <f>IFERROR(__xludf.DUMMYFUNCTION("""COMPUTED_VALUE"""),"貓狗企鵝")</f>
        <v>貓狗企鵝</v>
      </c>
      <c r="J881" t="str">
        <f>IFERROR(__xludf.DUMMYFUNCTION("IFS(
  AND(REGEXMATCH(E881, ""台銀籌備帳戶|玉山帳戶""), REGEXMATCH(C881, ""薪資"")), ""分潤支出"",
  AND(REGEXMATCH(E881, ""Ben帳戶|Elsa帳戶|Ben代墊|Ariel代墊|中信銀行共用""), REGEXMATCH(F881, ""Ben帳戶|Elsa帳戶|Ben代墊|Ariel代墊|中信銀行共用"")), ""內部轉帳(忽略)"",
  AND(E881&lt;&gt;"""", F881&lt;&gt;"""", NOT(REG"&amp;"EXMATCH(C881, ""薪資""))), ""內部轉帳(忽略)"",
  REGEXMATCH(C881, ""薪資""), ""薪資變動(不計入)"",
  REGEXMATCH(C881, ""押金""), ""押金往來"",
  AND(E881&lt;&gt;"""", F881=""""), ""真實支出"",
  AND(E881="""", F881&lt;&gt;""""), ""真實收入"",
  TRUE, ""其他""
)"),"真實支出")</f>
        <v>真實支出</v>
      </c>
      <c r="K881" s="270">
        <f t="shared" si="2"/>
        <v>-46740</v>
      </c>
      <c r="L881">
        <f t="shared" si="3"/>
        <v>0</v>
      </c>
    </row>
    <row r="882">
      <c r="A882" s="107">
        <f>IFERROR(__xludf.DUMMYFUNCTION("""COMPUTED_VALUE"""),45568.0)</f>
        <v>45568</v>
      </c>
      <c r="B882" t="str">
        <f>IFERROR(__xludf.DUMMYFUNCTION("""COMPUTED_VALUE"""),"龍江229	C	陳雨彤")</f>
        <v>龍江229	C	陳雨彤</v>
      </c>
      <c r="C882" t="str">
        <f>IFERROR(__xludf.DUMMYFUNCTION("""COMPUTED_VALUE"""),"收入 - 租金")</f>
        <v>收入 - 租金</v>
      </c>
      <c r="D882" s="270">
        <f>IFERROR(__xludf.DUMMYFUNCTION("""COMPUTED_VALUE"""),16800.0)</f>
        <v>16800</v>
      </c>
      <c r="F882" t="str">
        <f>IFERROR(__xludf.DUMMYFUNCTION("""COMPUTED_VALUE"""),"台銀籌備帳戶")</f>
        <v>台銀籌備帳戶</v>
      </c>
      <c r="G882" t="str">
        <f>IFERROR(__xludf.DUMMYFUNCTION("""COMPUTED_VALUE"""),"龍江229")</f>
        <v>龍江229</v>
      </c>
      <c r="H882" s="106" t="str">
        <f t="shared" si="1"/>
        <v>2024-10</v>
      </c>
      <c r="I882" s="271" t="str">
        <f>IFERROR(__xludf.DUMMYFUNCTION("""COMPUTED_VALUE"""),"貓狗企鵝")</f>
        <v>貓狗企鵝</v>
      </c>
      <c r="J882" t="str">
        <f>IFERROR(__xludf.DUMMYFUNCTION("IFS(
  AND(REGEXMATCH(E882, ""台銀籌備帳戶|玉山帳戶""), REGEXMATCH(C882, ""薪資"")), ""分潤支出"",
  AND(REGEXMATCH(E882, ""Ben帳戶|Elsa帳戶|Ben代墊|Ariel代墊|中信銀行共用""), REGEXMATCH(F882, ""Ben帳戶|Elsa帳戶|Ben代墊|Ariel代墊|中信銀行共用"")), ""內部轉帳(忽略)"",
  AND(E882&lt;&gt;"""", F882&lt;&gt;"""", NOT(REG"&amp;"EXMATCH(C882, ""薪資""))), ""內部轉帳(忽略)"",
  REGEXMATCH(C882, ""薪資""), ""薪資變動(不計入)"",
  REGEXMATCH(C882, ""押金""), ""押金往來"",
  AND(E882&lt;&gt;"""", F882=""""), ""真實支出"",
  AND(E882="""", F882&lt;&gt;""""), ""真實收入"",
  TRUE, ""其他""
)"),"真實收入")</f>
        <v>真實收入</v>
      </c>
      <c r="K882" s="270">
        <f t="shared" si="2"/>
        <v>16800</v>
      </c>
      <c r="L882">
        <f t="shared" si="3"/>
        <v>0</v>
      </c>
    </row>
    <row r="883">
      <c r="A883" s="107">
        <f>IFERROR(__xludf.DUMMYFUNCTION("""COMPUTED_VALUE"""),45568.0)</f>
        <v>45568</v>
      </c>
      <c r="B883" t="str">
        <f>IFERROR(__xludf.DUMMYFUNCTION("""COMPUTED_VALUE"""),"南港站挑高宅	C	王子昇")</f>
        <v>南港站挑高宅	C	王子昇</v>
      </c>
      <c r="C883" t="str">
        <f>IFERROR(__xludf.DUMMYFUNCTION("""COMPUTED_VALUE"""),"收入 - 租金")</f>
        <v>收入 - 租金</v>
      </c>
      <c r="D883" s="270">
        <f>IFERROR(__xludf.DUMMYFUNCTION("""COMPUTED_VALUE"""),15800.0)</f>
        <v>15800</v>
      </c>
      <c r="F883" t="str">
        <f>IFERROR(__xludf.DUMMYFUNCTION("""COMPUTED_VALUE"""),"台銀籌備帳戶")</f>
        <v>台銀籌備帳戶</v>
      </c>
      <c r="G883" t="str">
        <f>IFERROR(__xludf.DUMMYFUNCTION("""COMPUTED_VALUE"""),"南港站挑高宅")</f>
        <v>南港站挑高宅</v>
      </c>
      <c r="H883" s="106" t="str">
        <f t="shared" si="1"/>
        <v>2024-10</v>
      </c>
      <c r="I883" s="271" t="str">
        <f>IFERROR(__xludf.DUMMYFUNCTION("""COMPUTED_VALUE"""),"貓狗企鵝")</f>
        <v>貓狗企鵝</v>
      </c>
      <c r="J883" t="str">
        <f>IFERROR(__xludf.DUMMYFUNCTION("IFS(
  AND(REGEXMATCH(E883, ""台銀籌備帳戶|玉山帳戶""), REGEXMATCH(C883, ""薪資"")), ""分潤支出"",
  AND(REGEXMATCH(E883, ""Ben帳戶|Elsa帳戶|Ben代墊|Ariel代墊|中信銀行共用""), REGEXMATCH(F883, ""Ben帳戶|Elsa帳戶|Ben代墊|Ariel代墊|中信銀行共用"")), ""內部轉帳(忽略)"",
  AND(E883&lt;&gt;"""", F883&lt;&gt;"""", NOT(REG"&amp;"EXMATCH(C883, ""薪資""))), ""內部轉帳(忽略)"",
  REGEXMATCH(C883, ""薪資""), ""薪資變動(不計入)"",
  REGEXMATCH(C883, ""押金""), ""押金往來"",
  AND(E883&lt;&gt;"""", F883=""""), ""真實支出"",
  AND(E883="""", F883&lt;&gt;""""), ""真實收入"",
  TRUE, ""其他""
)"),"真實收入")</f>
        <v>真實收入</v>
      </c>
      <c r="K883" s="270">
        <f t="shared" si="2"/>
        <v>15800</v>
      </c>
      <c r="L883">
        <f t="shared" si="3"/>
        <v>0</v>
      </c>
    </row>
    <row r="884">
      <c r="A884" s="107">
        <f>IFERROR(__xludf.DUMMYFUNCTION("""COMPUTED_VALUE"""),45569.0)</f>
        <v>45569</v>
      </c>
      <c r="B884" t="str">
        <f>IFERROR(__xludf.DUMMYFUNCTION("""COMPUTED_VALUE"""),"娘家窗簾")</f>
        <v>娘家窗簾</v>
      </c>
      <c r="C884" t="str">
        <f>IFERROR(__xludf.DUMMYFUNCTION("""COMPUTED_VALUE"""),"成本 - 進場前裝潢費")</f>
        <v>成本 - 進場前裝潢費</v>
      </c>
      <c r="D884" s="270">
        <f>IFERROR(__xludf.DUMMYFUNCTION("""COMPUTED_VALUE"""),-5750.0)</f>
        <v>-5750</v>
      </c>
      <c r="E884" t="str">
        <f>IFERROR(__xludf.DUMMYFUNCTION("""COMPUTED_VALUE"""),"Ben帳戶")</f>
        <v>Ben帳戶</v>
      </c>
      <c r="G884" t="str">
        <f>IFERROR(__xludf.DUMMYFUNCTION("""COMPUTED_VALUE"""),"中山北娘家旁")</f>
        <v>中山北娘家旁</v>
      </c>
      <c r="H884" s="106" t="str">
        <f t="shared" si="1"/>
        <v>2024-10</v>
      </c>
      <c r="I884" s="271" t="str">
        <f>IFERROR(__xludf.DUMMYFUNCTION("""COMPUTED_VALUE"""),"貓狗企鵝")</f>
        <v>貓狗企鵝</v>
      </c>
      <c r="J884" t="str">
        <f>IFERROR(__xludf.DUMMYFUNCTION("IFS(
  AND(REGEXMATCH(E884, ""台銀籌備帳戶|玉山帳戶""), REGEXMATCH(C884, ""薪資"")), ""分潤支出"",
  AND(REGEXMATCH(E884, ""Ben帳戶|Elsa帳戶|Ben代墊|Ariel代墊|中信銀行共用""), REGEXMATCH(F884, ""Ben帳戶|Elsa帳戶|Ben代墊|Ariel代墊|中信銀行共用"")), ""內部轉帳(忽略)"",
  AND(E884&lt;&gt;"""", F884&lt;&gt;"""", NOT(REG"&amp;"EXMATCH(C884, ""薪資""))), ""內部轉帳(忽略)"",
  REGEXMATCH(C884, ""薪資""), ""薪資變動(不計入)"",
  REGEXMATCH(C884, ""押金""), ""押金往來"",
  AND(E884&lt;&gt;"""", F884=""""), ""真實支出"",
  AND(E884="""", F884&lt;&gt;""""), ""真實收入"",
  TRUE, ""其他""
)"),"真實支出")</f>
        <v>真實支出</v>
      </c>
      <c r="K884" s="270">
        <f t="shared" si="2"/>
        <v>-5750</v>
      </c>
      <c r="L884">
        <f t="shared" si="3"/>
        <v>0</v>
      </c>
    </row>
    <row r="885">
      <c r="A885" s="107">
        <f>IFERROR(__xludf.DUMMYFUNCTION("""COMPUTED_VALUE"""),45569.0)</f>
        <v>45569</v>
      </c>
      <c r="B885" t="str">
        <f>IFERROR(__xludf.DUMMYFUNCTION("""COMPUTED_VALUE"""),"買通師傅辦家具咖啡費")</f>
        <v>買通師傅辦家具咖啡費</v>
      </c>
      <c r="C885" t="str">
        <f>IFERROR(__xludf.DUMMYFUNCTION("""COMPUTED_VALUE"""),"成本 - 進場前裝潢費")</f>
        <v>成本 - 進場前裝潢費</v>
      </c>
      <c r="D885" s="270">
        <f>IFERROR(__xludf.DUMMYFUNCTION("""COMPUTED_VALUE"""),-260.0)</f>
        <v>-260</v>
      </c>
      <c r="E885" t="str">
        <f>IFERROR(__xludf.DUMMYFUNCTION("""COMPUTED_VALUE"""),"Ben帳戶")</f>
        <v>Ben帳戶</v>
      </c>
      <c r="G885" t="str">
        <f>IFERROR(__xludf.DUMMYFUNCTION("""COMPUTED_VALUE"""),"中山北娘家旁")</f>
        <v>中山北娘家旁</v>
      </c>
      <c r="H885" s="106" t="str">
        <f t="shared" si="1"/>
        <v>2024-10</v>
      </c>
      <c r="I885" s="271" t="str">
        <f>IFERROR(__xludf.DUMMYFUNCTION("""COMPUTED_VALUE"""),"貓狗企鵝")</f>
        <v>貓狗企鵝</v>
      </c>
      <c r="J885" t="str">
        <f>IFERROR(__xludf.DUMMYFUNCTION("IFS(
  AND(REGEXMATCH(E885, ""台銀籌備帳戶|玉山帳戶""), REGEXMATCH(C885, ""薪資"")), ""分潤支出"",
  AND(REGEXMATCH(E885, ""Ben帳戶|Elsa帳戶|Ben代墊|Ariel代墊|中信銀行共用""), REGEXMATCH(F885, ""Ben帳戶|Elsa帳戶|Ben代墊|Ariel代墊|中信銀行共用"")), ""內部轉帳(忽略)"",
  AND(E885&lt;&gt;"""", F885&lt;&gt;"""", NOT(REG"&amp;"EXMATCH(C885, ""薪資""))), ""內部轉帳(忽略)"",
  REGEXMATCH(C885, ""薪資""), ""薪資變動(不計入)"",
  REGEXMATCH(C885, ""押金""), ""押金往來"",
  AND(E885&lt;&gt;"""", F885=""""), ""真實支出"",
  AND(E885="""", F885&lt;&gt;""""), ""真實收入"",
  TRUE, ""其他""
)"),"真實支出")</f>
        <v>真實支出</v>
      </c>
      <c r="K885" s="270">
        <f t="shared" si="2"/>
        <v>-260</v>
      </c>
      <c r="L885">
        <f t="shared" si="3"/>
        <v>0</v>
      </c>
    </row>
    <row r="886">
      <c r="A886" s="107">
        <f>IFERROR(__xludf.DUMMYFUNCTION("""COMPUTED_VALUE"""),45569.0)</f>
        <v>45569</v>
      </c>
      <c r="B886" t="str">
        <f>IFERROR(__xludf.DUMMYFUNCTION("""COMPUTED_VALUE"""),"娘家網路費凱擘")</f>
        <v>娘家網路費凱擘</v>
      </c>
      <c r="C886" t="str">
        <f>IFERROR(__xludf.DUMMYFUNCTION("""COMPUTED_VALUE"""),"成本 - 進場前裝潢費")</f>
        <v>成本 - 進場前裝潢費</v>
      </c>
      <c r="D886" s="270">
        <f>IFERROR(__xludf.DUMMYFUNCTION("""COMPUTED_VALUE"""),0.0)</f>
        <v>0</v>
      </c>
      <c r="E886" t="str">
        <f>IFERROR(__xludf.DUMMYFUNCTION("""COMPUTED_VALUE"""),"Ben帳戶")</f>
        <v>Ben帳戶</v>
      </c>
      <c r="G886" t="str">
        <f>IFERROR(__xludf.DUMMYFUNCTION("""COMPUTED_VALUE"""),"中山北娘家旁")</f>
        <v>中山北娘家旁</v>
      </c>
      <c r="H886" s="106" t="str">
        <f t="shared" si="1"/>
        <v>2024-10</v>
      </c>
      <c r="I886" s="271" t="str">
        <f>IFERROR(__xludf.DUMMYFUNCTION("""COMPUTED_VALUE"""),"貓狗企鵝")</f>
        <v>貓狗企鵝</v>
      </c>
      <c r="J886" t="str">
        <f>IFERROR(__xludf.DUMMYFUNCTION("IFS(
  AND(REGEXMATCH(E886, ""台銀籌備帳戶|玉山帳戶""), REGEXMATCH(C886, ""薪資"")), ""分潤支出"",
  AND(REGEXMATCH(E886, ""Ben帳戶|Elsa帳戶|Ben代墊|Ariel代墊|中信銀行共用""), REGEXMATCH(F886, ""Ben帳戶|Elsa帳戶|Ben代墊|Ariel代墊|中信銀行共用"")), ""內部轉帳(忽略)"",
  AND(E886&lt;&gt;"""", F886&lt;&gt;"""", NOT(REG"&amp;"EXMATCH(C886, ""薪資""))), ""內部轉帳(忽略)"",
  REGEXMATCH(C886, ""薪資""), ""薪資變動(不計入)"",
  REGEXMATCH(C886, ""押金""), ""押金往來"",
  AND(E886&lt;&gt;"""", F886=""""), ""真實支出"",
  AND(E886="""", F886&lt;&gt;""""), ""真實收入"",
  TRUE, ""其他""
)"),"真實支出")</f>
        <v>真實支出</v>
      </c>
      <c r="K886" s="270">
        <f t="shared" si="2"/>
        <v>0</v>
      </c>
      <c r="L886">
        <f t="shared" si="3"/>
        <v>0</v>
      </c>
    </row>
    <row r="887">
      <c r="A887" s="107">
        <f>IFERROR(__xludf.DUMMYFUNCTION("""COMPUTED_VALUE"""),45569.0)</f>
        <v>45569</v>
      </c>
      <c r="B887" t="str">
        <f>IFERROR(__xludf.DUMMYFUNCTION("""COMPUTED_VALUE"""),"大湖山莊	A	熊翊丞")</f>
        <v>大湖山莊	A	熊翊丞</v>
      </c>
      <c r="C887" t="str">
        <f>IFERROR(__xludf.DUMMYFUNCTION("""COMPUTED_VALUE"""),"收入 - 租金")</f>
        <v>收入 - 租金</v>
      </c>
      <c r="D887" s="270">
        <f>IFERROR(__xludf.DUMMYFUNCTION("""COMPUTED_VALUE"""),13300.0)</f>
        <v>13300</v>
      </c>
      <c r="F887" t="str">
        <f>IFERROR(__xludf.DUMMYFUNCTION("""COMPUTED_VALUE"""),"台銀籌備帳戶")</f>
        <v>台銀籌備帳戶</v>
      </c>
      <c r="G887" t="str">
        <f>IFERROR(__xludf.DUMMYFUNCTION("""COMPUTED_VALUE"""),"大湖山莊")</f>
        <v>大湖山莊</v>
      </c>
      <c r="H887" s="106" t="str">
        <f t="shared" si="1"/>
        <v>2024-10</v>
      </c>
      <c r="I887" s="271" t="str">
        <f>IFERROR(__xludf.DUMMYFUNCTION("""COMPUTED_VALUE"""),"貓狗企鵝")</f>
        <v>貓狗企鵝</v>
      </c>
      <c r="J887" t="str">
        <f>IFERROR(__xludf.DUMMYFUNCTION("IFS(
  AND(REGEXMATCH(E887, ""台銀籌備帳戶|玉山帳戶""), REGEXMATCH(C887, ""薪資"")), ""分潤支出"",
  AND(REGEXMATCH(E887, ""Ben帳戶|Elsa帳戶|Ben代墊|Ariel代墊|中信銀行共用""), REGEXMATCH(F887, ""Ben帳戶|Elsa帳戶|Ben代墊|Ariel代墊|中信銀行共用"")), ""內部轉帳(忽略)"",
  AND(E887&lt;&gt;"""", F887&lt;&gt;"""", NOT(REG"&amp;"EXMATCH(C887, ""薪資""))), ""內部轉帳(忽略)"",
  REGEXMATCH(C887, ""薪資""), ""薪資變動(不計入)"",
  REGEXMATCH(C887, ""押金""), ""押金往來"",
  AND(E887&lt;&gt;"""", F887=""""), ""真實支出"",
  AND(E887="""", F887&lt;&gt;""""), ""真實收入"",
  TRUE, ""其他""
)"),"真實收入")</f>
        <v>真實收入</v>
      </c>
      <c r="K887" s="270">
        <f t="shared" si="2"/>
        <v>13300</v>
      </c>
      <c r="L887">
        <f t="shared" si="3"/>
        <v>0</v>
      </c>
    </row>
    <row r="888">
      <c r="A888" s="107">
        <f>IFERROR(__xludf.DUMMYFUNCTION("""COMPUTED_VALUE"""),45569.0)</f>
        <v>45569</v>
      </c>
      <c r="B888" t="str">
        <f>IFERROR(__xludf.DUMMYFUNCTION("""COMPUTED_VALUE"""),"北醫陳醫師")</f>
        <v>北醫陳醫師</v>
      </c>
      <c r="C888" t="str">
        <f>IFERROR(__xludf.DUMMYFUNCTION("""COMPUTED_VALUE"""),"成本 - 大租金")</f>
        <v>成本 - 大租金</v>
      </c>
      <c r="D888" s="270">
        <f>IFERROR(__xludf.DUMMYFUNCTION("""COMPUTED_VALUE"""),-12815.0)</f>
        <v>-12815</v>
      </c>
      <c r="E888" t="str">
        <f>IFERROR(__xludf.DUMMYFUNCTION("""COMPUTED_VALUE"""),"台銀籌備帳戶")</f>
        <v>台銀籌備帳戶</v>
      </c>
      <c r="G888" t="str">
        <f>IFERROR(__xludf.DUMMYFUNCTION("""COMPUTED_VALUE"""),"北醫醫師府")</f>
        <v>北醫醫師府</v>
      </c>
      <c r="H888" s="106" t="str">
        <f t="shared" si="1"/>
        <v>2024-10</v>
      </c>
      <c r="I888" s="271" t="str">
        <f>IFERROR(__xludf.DUMMYFUNCTION("""COMPUTED_VALUE"""),"貓狗企鵝")</f>
        <v>貓狗企鵝</v>
      </c>
      <c r="J888" t="str">
        <f>IFERROR(__xludf.DUMMYFUNCTION("IFS(
  AND(REGEXMATCH(E888, ""台銀籌備帳戶|玉山帳戶""), REGEXMATCH(C888, ""薪資"")), ""分潤支出"",
  AND(REGEXMATCH(E888, ""Ben帳戶|Elsa帳戶|Ben代墊|Ariel代墊|中信銀行共用""), REGEXMATCH(F888, ""Ben帳戶|Elsa帳戶|Ben代墊|Ariel代墊|中信銀行共用"")), ""內部轉帳(忽略)"",
  AND(E888&lt;&gt;"""", F888&lt;&gt;"""", NOT(REG"&amp;"EXMATCH(C888, ""薪資""))), ""內部轉帳(忽略)"",
  REGEXMATCH(C888, ""薪資""), ""薪資變動(不計入)"",
  REGEXMATCH(C888, ""押金""), ""押金往來"",
  AND(E888&lt;&gt;"""", F888=""""), ""真實支出"",
  AND(E888="""", F888&lt;&gt;""""), ""真實收入"",
  TRUE, ""其他""
)"),"真實支出")</f>
        <v>真實支出</v>
      </c>
      <c r="K888" s="270">
        <f t="shared" si="2"/>
        <v>-12815</v>
      </c>
      <c r="L888">
        <f t="shared" si="3"/>
        <v>0</v>
      </c>
    </row>
    <row r="889">
      <c r="A889" s="107">
        <f>IFERROR(__xludf.DUMMYFUNCTION("""COMPUTED_VALUE"""),45569.0)</f>
        <v>45569</v>
      </c>
      <c r="B889" t="str">
        <f>IFERROR(__xludf.DUMMYFUNCTION("""COMPUTED_VALUE"""),"龍江游sir")</f>
        <v>龍江游sir</v>
      </c>
      <c r="C889" t="str">
        <f>IFERROR(__xludf.DUMMYFUNCTION("""COMPUTED_VALUE"""),"成本 - 大租金")</f>
        <v>成本 - 大租金</v>
      </c>
      <c r="D889" s="270">
        <f>IFERROR(__xludf.DUMMYFUNCTION("""COMPUTED_VALUE"""),-13515.0)</f>
        <v>-13515</v>
      </c>
      <c r="E889" t="str">
        <f>IFERROR(__xludf.DUMMYFUNCTION("""COMPUTED_VALUE"""),"台銀籌備帳戶")</f>
        <v>台銀籌備帳戶</v>
      </c>
      <c r="G889" t="str">
        <f>IFERROR(__xludf.DUMMYFUNCTION("""COMPUTED_VALUE"""),"龍江229")</f>
        <v>龍江229</v>
      </c>
      <c r="H889" s="106" t="str">
        <f t="shared" si="1"/>
        <v>2024-10</v>
      </c>
      <c r="I889" s="271" t="str">
        <f>IFERROR(__xludf.DUMMYFUNCTION("""COMPUTED_VALUE"""),"貓狗企鵝")</f>
        <v>貓狗企鵝</v>
      </c>
      <c r="J889" t="str">
        <f>IFERROR(__xludf.DUMMYFUNCTION("IFS(
  AND(REGEXMATCH(E889, ""台銀籌備帳戶|玉山帳戶""), REGEXMATCH(C889, ""薪資"")), ""分潤支出"",
  AND(REGEXMATCH(E889, ""Ben帳戶|Elsa帳戶|Ben代墊|Ariel代墊|中信銀行共用""), REGEXMATCH(F889, ""Ben帳戶|Elsa帳戶|Ben代墊|Ariel代墊|中信銀行共用"")), ""內部轉帳(忽略)"",
  AND(E889&lt;&gt;"""", F889&lt;&gt;"""", NOT(REG"&amp;"EXMATCH(C889, ""薪資""))), ""內部轉帳(忽略)"",
  REGEXMATCH(C889, ""薪資""), ""薪資變動(不計入)"",
  REGEXMATCH(C889, ""押金""), ""押金往來"",
  AND(E889&lt;&gt;"""", F889=""""), ""真實支出"",
  AND(E889="""", F889&lt;&gt;""""), ""真實收入"",
  TRUE, ""其他""
)"),"真實支出")</f>
        <v>真實支出</v>
      </c>
      <c r="K889" s="270">
        <f t="shared" si="2"/>
        <v>-13515</v>
      </c>
      <c r="L889">
        <f t="shared" si="3"/>
        <v>0</v>
      </c>
    </row>
    <row r="890">
      <c r="A890" s="107">
        <f>IFERROR(__xludf.DUMMYFUNCTION("""COMPUTED_VALUE"""),45569.0)</f>
        <v>45569</v>
      </c>
      <c r="B890" t="str">
        <f>IFERROR(__xludf.DUMMYFUNCTION("""COMPUTED_VALUE"""),"南港站挑高宅	E	張劉明翔")</f>
        <v>南港站挑高宅	E	張劉明翔</v>
      </c>
      <c r="C890" t="str">
        <f>IFERROR(__xludf.DUMMYFUNCTION("""COMPUTED_VALUE"""),"收入 - 租金")</f>
        <v>收入 - 租金</v>
      </c>
      <c r="D890" s="270">
        <f>IFERROR(__xludf.DUMMYFUNCTION("""COMPUTED_VALUE"""),12800.0)</f>
        <v>12800</v>
      </c>
      <c r="F890" t="str">
        <f>IFERROR(__xludf.DUMMYFUNCTION("""COMPUTED_VALUE"""),"台銀籌備帳戶")</f>
        <v>台銀籌備帳戶</v>
      </c>
      <c r="G890" t="str">
        <f>IFERROR(__xludf.DUMMYFUNCTION("""COMPUTED_VALUE"""),"南港站挑高宅")</f>
        <v>南港站挑高宅</v>
      </c>
      <c r="H890" s="106" t="str">
        <f t="shared" si="1"/>
        <v>2024-10</v>
      </c>
      <c r="I890" s="271" t="str">
        <f>IFERROR(__xludf.DUMMYFUNCTION("""COMPUTED_VALUE"""),"貓狗企鵝")</f>
        <v>貓狗企鵝</v>
      </c>
      <c r="J890" t="str">
        <f>IFERROR(__xludf.DUMMYFUNCTION("IFS(
  AND(REGEXMATCH(E890, ""台銀籌備帳戶|玉山帳戶""), REGEXMATCH(C890, ""薪資"")), ""分潤支出"",
  AND(REGEXMATCH(E890, ""Ben帳戶|Elsa帳戶|Ben代墊|Ariel代墊|中信銀行共用""), REGEXMATCH(F890, ""Ben帳戶|Elsa帳戶|Ben代墊|Ariel代墊|中信銀行共用"")), ""內部轉帳(忽略)"",
  AND(E890&lt;&gt;"""", F890&lt;&gt;"""", NOT(REG"&amp;"EXMATCH(C890, ""薪資""))), ""內部轉帳(忽略)"",
  REGEXMATCH(C890, ""薪資""), ""薪資變動(不計入)"",
  REGEXMATCH(C890, ""押金""), ""押金往來"",
  AND(E890&lt;&gt;"""", F890=""""), ""真實支出"",
  AND(E890="""", F890&lt;&gt;""""), ""真實收入"",
  TRUE, ""其他""
)"),"真實收入")</f>
        <v>真實收入</v>
      </c>
      <c r="K890" s="270">
        <f t="shared" si="2"/>
        <v>12800</v>
      </c>
      <c r="L890">
        <f t="shared" si="3"/>
        <v>0</v>
      </c>
    </row>
    <row r="891">
      <c r="A891" s="107">
        <f>IFERROR(__xludf.DUMMYFUNCTION("""COMPUTED_VALUE"""),45570.0)</f>
        <v>45570</v>
      </c>
      <c r="B891" t="str">
        <f>IFERROR(__xludf.DUMMYFUNCTION("""COMPUTED_VALUE"""),"垃可垃圾代收")</f>
        <v>垃可垃圾代收</v>
      </c>
      <c r="C891" t="str">
        <f>IFERROR(__xludf.DUMMYFUNCTION("""COMPUTED_VALUE"""),"成本 - 固定開銷(網路代收清潔)")</f>
        <v>成本 - 固定開銷(網路代收清潔)</v>
      </c>
      <c r="D891" s="270">
        <f>IFERROR(__xludf.DUMMYFUNCTION("""COMPUTED_VALUE"""),-910.0)</f>
        <v>-910</v>
      </c>
      <c r="E891" t="str">
        <f>IFERROR(__xludf.DUMMYFUNCTION("""COMPUTED_VALUE"""),"台銀籌備帳戶")</f>
        <v>台銀籌備帳戶</v>
      </c>
      <c r="G891" t="str">
        <f>IFERROR(__xludf.DUMMYFUNCTION("""COMPUTED_VALUE"""),"南港站挑高宅")</f>
        <v>南港站挑高宅</v>
      </c>
      <c r="H891" s="106" t="str">
        <f t="shared" si="1"/>
        <v>2024-10</v>
      </c>
      <c r="I891" s="271" t="str">
        <f>IFERROR(__xludf.DUMMYFUNCTION("""COMPUTED_VALUE"""),"貓狗企鵝")</f>
        <v>貓狗企鵝</v>
      </c>
      <c r="J891" t="str">
        <f>IFERROR(__xludf.DUMMYFUNCTION("IFS(
  AND(REGEXMATCH(E891, ""台銀籌備帳戶|玉山帳戶""), REGEXMATCH(C891, ""薪資"")), ""分潤支出"",
  AND(REGEXMATCH(E891, ""Ben帳戶|Elsa帳戶|Ben代墊|Ariel代墊|中信銀行共用""), REGEXMATCH(F891, ""Ben帳戶|Elsa帳戶|Ben代墊|Ariel代墊|中信銀行共用"")), ""內部轉帳(忽略)"",
  AND(E891&lt;&gt;"""", F891&lt;&gt;"""", NOT(REG"&amp;"EXMATCH(C891, ""薪資""))), ""內部轉帳(忽略)"",
  REGEXMATCH(C891, ""薪資""), ""薪資變動(不計入)"",
  REGEXMATCH(C891, ""押金""), ""押金往來"",
  AND(E891&lt;&gt;"""", F891=""""), ""真實支出"",
  AND(E891="""", F891&lt;&gt;""""), ""真實收入"",
  TRUE, ""其他""
)"),"真實支出")</f>
        <v>真實支出</v>
      </c>
      <c r="K891" s="270">
        <f t="shared" si="2"/>
        <v>-910</v>
      </c>
      <c r="L891">
        <f t="shared" si="3"/>
        <v>0</v>
      </c>
    </row>
    <row r="892">
      <c r="A892" s="107">
        <f>IFERROR(__xludf.DUMMYFUNCTION("""COMPUTED_VALUE"""),45571.0)</f>
        <v>45571</v>
      </c>
      <c r="B892" t="str">
        <f>IFERROR(__xludf.DUMMYFUNCTION("""COMPUTED_VALUE"""),"妖莎宅-景安 黃黃")</f>
        <v>妖莎宅-景安 黃黃</v>
      </c>
      <c r="C892" t="str">
        <f>IFERROR(__xludf.DUMMYFUNCTION("""COMPUTED_VALUE"""),"費用 - 交通費")</f>
        <v>費用 - 交通費</v>
      </c>
      <c r="D892" s="270">
        <f>IFERROR(__xludf.DUMMYFUNCTION("""COMPUTED_VALUE"""),-270.0)</f>
        <v>-270</v>
      </c>
      <c r="E892" t="str">
        <f>IFERROR(__xludf.DUMMYFUNCTION("""COMPUTED_VALUE"""),"Elsa帳戶")</f>
        <v>Elsa帳戶</v>
      </c>
      <c r="G892" t="str">
        <f>IFERROR(__xludf.DUMMYFUNCTION("""COMPUTED_VALUE"""),"景安2分鐘")</f>
        <v>景安2分鐘</v>
      </c>
      <c r="H892" s="106" t="str">
        <f t="shared" si="1"/>
        <v>2024-10</v>
      </c>
      <c r="I892" s="271" t="str">
        <f>IFERROR(__xludf.DUMMYFUNCTION("""COMPUTED_VALUE"""),"貓狗企鵝")</f>
        <v>貓狗企鵝</v>
      </c>
      <c r="J892" t="str">
        <f>IFERROR(__xludf.DUMMYFUNCTION("IFS(
  AND(REGEXMATCH(E892, ""台銀籌備帳戶|玉山帳戶""), REGEXMATCH(C892, ""薪資"")), ""分潤支出"",
  AND(REGEXMATCH(E892, ""Ben帳戶|Elsa帳戶|Ben代墊|Ariel代墊|中信銀行共用""), REGEXMATCH(F892, ""Ben帳戶|Elsa帳戶|Ben代墊|Ariel代墊|中信銀行共用"")), ""內部轉帳(忽略)"",
  AND(E892&lt;&gt;"""", F892&lt;&gt;"""", NOT(REG"&amp;"EXMATCH(C892, ""薪資""))), ""內部轉帳(忽略)"",
  REGEXMATCH(C892, ""薪資""), ""薪資變動(不計入)"",
  REGEXMATCH(C892, ""押金""), ""押金往來"",
  AND(E892&lt;&gt;"""", F892=""""), ""真實支出"",
  AND(E892="""", F892&lt;&gt;""""), ""真實收入"",
  TRUE, ""其他""
)"),"真實支出")</f>
        <v>真實支出</v>
      </c>
      <c r="K892" s="270">
        <f t="shared" si="2"/>
        <v>-270</v>
      </c>
      <c r="L892">
        <f t="shared" si="3"/>
        <v>0</v>
      </c>
    </row>
    <row r="893">
      <c r="A893" s="107">
        <f>IFERROR(__xludf.DUMMYFUNCTION("""COMPUTED_VALUE"""),45571.0)</f>
        <v>45571</v>
      </c>
      <c r="B893" t="str">
        <f>IFERROR(__xludf.DUMMYFUNCTION("""COMPUTED_VALUE"""),"出勤時間(天母區)")</f>
        <v>出勤時間(天母區)</v>
      </c>
      <c r="C893" t="str">
        <f>IFERROR(__xludf.DUMMYFUNCTION("""COMPUTED_VALUE"""),"成本 - 出勤費")</f>
        <v>成本 - 出勤費</v>
      </c>
      <c r="D893" s="270">
        <f>IFERROR(__xludf.DUMMYFUNCTION("""COMPUTED_VALUE"""),-600.0)</f>
        <v>-600</v>
      </c>
      <c r="E893" t="str">
        <f>IFERROR(__xludf.DUMMYFUNCTION("""COMPUTED_VALUE"""),"Ben帳戶")</f>
        <v>Ben帳戶</v>
      </c>
      <c r="G893" t="str">
        <f>IFERROR(__xludf.DUMMYFUNCTION("""COMPUTED_VALUE"""),"中山北娘家旁")</f>
        <v>中山北娘家旁</v>
      </c>
      <c r="H893" s="106" t="str">
        <f t="shared" si="1"/>
        <v>2024-10</v>
      </c>
      <c r="I893" s="271" t="str">
        <f>IFERROR(__xludf.DUMMYFUNCTION("""COMPUTED_VALUE"""),"貓狗企鵝")</f>
        <v>貓狗企鵝</v>
      </c>
      <c r="J893" t="str">
        <f>IFERROR(__xludf.DUMMYFUNCTION("IFS(
  AND(REGEXMATCH(E893, ""台銀籌備帳戶|玉山帳戶""), REGEXMATCH(C893, ""薪資"")), ""分潤支出"",
  AND(REGEXMATCH(E893, ""Ben帳戶|Elsa帳戶|Ben代墊|Ariel代墊|中信銀行共用""), REGEXMATCH(F893, ""Ben帳戶|Elsa帳戶|Ben代墊|Ariel代墊|中信銀行共用"")), ""內部轉帳(忽略)"",
  AND(E893&lt;&gt;"""", F893&lt;&gt;"""", NOT(REG"&amp;"EXMATCH(C893, ""薪資""))), ""內部轉帳(忽略)"",
  REGEXMATCH(C893, ""薪資""), ""薪資變動(不計入)"",
  REGEXMATCH(C893, ""押金""), ""押金往來"",
  AND(E893&lt;&gt;"""", F893=""""), ""真實支出"",
  AND(E893="""", F893&lt;&gt;""""), ""真實收入"",
  TRUE, ""其他""
)"),"真實支出")</f>
        <v>真實支出</v>
      </c>
      <c r="K893" s="270">
        <f t="shared" si="2"/>
        <v>-600</v>
      </c>
      <c r="L893">
        <f t="shared" si="3"/>
        <v>0</v>
      </c>
    </row>
    <row r="894">
      <c r="A894" s="107">
        <f>IFERROR(__xludf.DUMMYFUNCTION("""COMPUTED_VALUE"""),45572.0)</f>
        <v>45572</v>
      </c>
      <c r="B894" t="str">
        <f>IFERROR(__xludf.DUMMYFUNCTION("""COMPUTED_VALUE"""),"Feli押金")</f>
        <v>Feli押金</v>
      </c>
      <c r="C894" t="str">
        <f>IFERROR(__xludf.DUMMYFUNCTION("""COMPUTED_VALUE"""),"收入 - 押金")</f>
        <v>收入 - 押金</v>
      </c>
      <c r="D894" s="270">
        <f>IFERROR(__xludf.DUMMYFUNCTION("""COMPUTED_VALUE"""),-72000.0)</f>
        <v>-72000</v>
      </c>
      <c r="E894" t="str">
        <f>IFERROR(__xludf.DUMMYFUNCTION("""COMPUTED_VALUE"""),"Ben帳戶")</f>
        <v>Ben帳戶</v>
      </c>
      <c r="G894" t="str">
        <f>IFERROR(__xludf.DUMMYFUNCTION("""COMPUTED_VALUE"""),"中山北Feli家")</f>
        <v>中山北Feli家</v>
      </c>
      <c r="H894" s="106" t="str">
        <f t="shared" si="1"/>
        <v>2024-10</v>
      </c>
      <c r="I894" s="271" t="str">
        <f>IFERROR(__xludf.DUMMYFUNCTION("""COMPUTED_VALUE"""),"貓狗企鵝")</f>
        <v>貓狗企鵝</v>
      </c>
      <c r="J894" t="str">
        <f>IFERROR(__xludf.DUMMYFUNCTION("IFS(
  AND(REGEXMATCH(E894, ""台銀籌備帳戶|玉山帳戶""), REGEXMATCH(C894, ""薪資"")), ""分潤支出"",
  AND(REGEXMATCH(E894, ""Ben帳戶|Elsa帳戶|Ben代墊|Ariel代墊|中信銀行共用""), REGEXMATCH(F894, ""Ben帳戶|Elsa帳戶|Ben代墊|Ariel代墊|中信銀行共用"")), ""內部轉帳(忽略)"",
  AND(E894&lt;&gt;"""", F894&lt;&gt;"""", NOT(REG"&amp;"EXMATCH(C894, ""薪資""))), ""內部轉帳(忽略)"",
  REGEXMATCH(C894, ""薪資""), ""薪資變動(不計入)"",
  REGEXMATCH(C894, ""押金""), ""押金往來"",
  AND(E894&lt;&gt;"""", F894=""""), ""真實支出"",
  AND(E894="""", F894&lt;&gt;""""), ""真實收入"",
  TRUE, ""其他""
)"),"押金往來")</f>
        <v>押金往來</v>
      </c>
      <c r="K894">
        <f t="shared" si="2"/>
        <v>0</v>
      </c>
      <c r="L894">
        <f t="shared" si="3"/>
        <v>0</v>
      </c>
    </row>
    <row r="895">
      <c r="A895" s="107">
        <f>IFERROR(__xludf.DUMMYFUNCTION("""COMPUTED_VALUE"""),45572.0)</f>
        <v>45572</v>
      </c>
      <c r="B895" t="str">
        <f>IFERROR(__xludf.DUMMYFUNCTION("""COMPUTED_VALUE"""),"Feli公證費")</f>
        <v>Feli公證費</v>
      </c>
      <c r="C895" t="str">
        <f>IFERROR(__xludf.DUMMYFUNCTION("""COMPUTED_VALUE"""),"成本 - 公證費")</f>
        <v>成本 - 公證費</v>
      </c>
      <c r="D895" s="270">
        <f>IFERROR(__xludf.DUMMYFUNCTION("""COMPUTED_VALUE"""),-4750.0)</f>
        <v>-4750</v>
      </c>
      <c r="E895" t="str">
        <f>IFERROR(__xludf.DUMMYFUNCTION("""COMPUTED_VALUE"""),"Ben帳戶")</f>
        <v>Ben帳戶</v>
      </c>
      <c r="G895" t="str">
        <f>IFERROR(__xludf.DUMMYFUNCTION("""COMPUTED_VALUE"""),"中山北Feli家")</f>
        <v>中山北Feli家</v>
      </c>
      <c r="H895" s="106" t="str">
        <f t="shared" si="1"/>
        <v>2024-10</v>
      </c>
      <c r="I895" s="271" t="str">
        <f>IFERROR(__xludf.DUMMYFUNCTION("""COMPUTED_VALUE"""),"貓狗企鵝")</f>
        <v>貓狗企鵝</v>
      </c>
      <c r="J895" t="str">
        <f>IFERROR(__xludf.DUMMYFUNCTION("IFS(
  AND(REGEXMATCH(E895, ""台銀籌備帳戶|玉山帳戶""), REGEXMATCH(C895, ""薪資"")), ""分潤支出"",
  AND(REGEXMATCH(E895, ""Ben帳戶|Elsa帳戶|Ben代墊|Ariel代墊|中信銀行共用""), REGEXMATCH(F895, ""Ben帳戶|Elsa帳戶|Ben代墊|Ariel代墊|中信銀行共用"")), ""內部轉帳(忽略)"",
  AND(E895&lt;&gt;"""", F895&lt;&gt;"""", NOT(REG"&amp;"EXMATCH(C895, ""薪資""))), ""內部轉帳(忽略)"",
  REGEXMATCH(C895, ""薪資""), ""薪資變動(不計入)"",
  REGEXMATCH(C895, ""押金""), ""押金往來"",
  AND(E895&lt;&gt;"""", F895=""""), ""真實支出"",
  AND(E895="""", F895&lt;&gt;""""), ""真實收入"",
  TRUE, ""其他""
)"),"真實支出")</f>
        <v>真實支出</v>
      </c>
      <c r="K895" s="270">
        <f t="shared" si="2"/>
        <v>-4750</v>
      </c>
      <c r="L895">
        <f t="shared" si="3"/>
        <v>0</v>
      </c>
    </row>
    <row r="896">
      <c r="A896" s="107">
        <f>IFERROR(__xludf.DUMMYFUNCTION("""COMPUTED_VALUE"""),45572.0)</f>
        <v>45572</v>
      </c>
      <c r="B896" t="str">
        <f>IFERROR(__xludf.DUMMYFUNCTION("""COMPUTED_VALUE"""),"名片")</f>
        <v>名片</v>
      </c>
      <c r="C896" t="str">
        <f>IFERROR(__xludf.DUMMYFUNCTION("""COMPUTED_VALUE"""),"費用 - 辦公用品")</f>
        <v>費用 - 辦公用品</v>
      </c>
      <c r="D896" s="270">
        <f>IFERROR(__xludf.DUMMYFUNCTION("""COMPUTED_VALUE"""),-255.0)</f>
        <v>-255</v>
      </c>
      <c r="E896" t="str">
        <f>IFERROR(__xludf.DUMMYFUNCTION("""COMPUTED_VALUE"""),"Ben帳戶")</f>
        <v>Ben帳戶</v>
      </c>
      <c r="H896" s="106" t="str">
        <f t="shared" si="1"/>
        <v>2024-10</v>
      </c>
      <c r="I896" s="271" t="str">
        <f>IFERROR(__xludf.DUMMYFUNCTION("""COMPUTED_VALUE"""),"貓狗企鵝")</f>
        <v>貓狗企鵝</v>
      </c>
      <c r="J896" t="str">
        <f>IFERROR(__xludf.DUMMYFUNCTION("IFS(
  AND(REGEXMATCH(E896, ""台銀籌備帳戶|玉山帳戶""), REGEXMATCH(C896, ""薪資"")), ""分潤支出"",
  AND(REGEXMATCH(E896, ""Ben帳戶|Elsa帳戶|Ben代墊|Ariel代墊|中信銀行共用""), REGEXMATCH(F896, ""Ben帳戶|Elsa帳戶|Ben代墊|Ariel代墊|中信銀行共用"")), ""內部轉帳(忽略)"",
  AND(E896&lt;&gt;"""", F896&lt;&gt;"""", NOT(REG"&amp;"EXMATCH(C896, ""薪資""))), ""內部轉帳(忽略)"",
  REGEXMATCH(C896, ""薪資""), ""薪資變動(不計入)"",
  REGEXMATCH(C896, ""押金""), ""押金往來"",
  AND(E896&lt;&gt;"""", F896=""""), ""真實支出"",
  AND(E896="""", F896&lt;&gt;""""), ""真實收入"",
  TRUE, ""其他""
)"),"真實支出")</f>
        <v>真實支出</v>
      </c>
      <c r="K896" s="270">
        <f t="shared" si="2"/>
        <v>-255</v>
      </c>
      <c r="L896">
        <f t="shared" si="3"/>
        <v>0</v>
      </c>
    </row>
    <row r="897">
      <c r="A897" s="107">
        <f>IFERROR(__xludf.DUMMYFUNCTION("""COMPUTED_VALUE"""),45572.0)</f>
        <v>45572</v>
      </c>
      <c r="B897" t="str">
        <f>IFERROR(__xludf.DUMMYFUNCTION("""COMPUTED_VALUE"""),"螢光水電 - 櫻花SH1333天強排熱水器")</f>
        <v>螢光水電 - 櫻花SH1333天強排熱水器</v>
      </c>
      <c r="C897" t="str">
        <f>IFERROR(__xludf.DUMMYFUNCTION("""COMPUTED_VALUE"""),"成本 - 租後修繕")</f>
        <v>成本 - 租後修繕</v>
      </c>
      <c r="D897" s="270">
        <f>IFERROR(__xludf.DUMMYFUNCTION("""COMPUTED_VALUE"""),-16485.0)</f>
        <v>-16485</v>
      </c>
      <c r="E897" t="str">
        <f>IFERROR(__xludf.DUMMYFUNCTION("""COMPUTED_VALUE"""),"Elsa帳戶")</f>
        <v>Elsa帳戶</v>
      </c>
      <c r="G897" t="str">
        <f>IFERROR(__xludf.DUMMYFUNCTION("""COMPUTED_VALUE"""),"永春四號")</f>
        <v>永春四號</v>
      </c>
      <c r="H897" s="106" t="str">
        <f t="shared" si="1"/>
        <v>2024-10</v>
      </c>
      <c r="I897" s="271" t="str">
        <f>IFERROR(__xludf.DUMMYFUNCTION("""COMPUTED_VALUE"""),"貓狗企鵝")</f>
        <v>貓狗企鵝</v>
      </c>
      <c r="J897" t="str">
        <f>IFERROR(__xludf.DUMMYFUNCTION("IFS(
  AND(REGEXMATCH(E897, ""台銀籌備帳戶|玉山帳戶""), REGEXMATCH(C897, ""薪資"")), ""分潤支出"",
  AND(REGEXMATCH(E897, ""Ben帳戶|Elsa帳戶|Ben代墊|Ariel代墊|中信銀行共用""), REGEXMATCH(F897, ""Ben帳戶|Elsa帳戶|Ben代墊|Ariel代墊|中信銀行共用"")), ""內部轉帳(忽略)"",
  AND(E897&lt;&gt;"""", F897&lt;&gt;"""", NOT(REG"&amp;"EXMATCH(C897, ""薪資""))), ""內部轉帳(忽略)"",
  REGEXMATCH(C897, ""薪資""), ""薪資變動(不計入)"",
  REGEXMATCH(C897, ""押金""), ""押金往來"",
  AND(E897&lt;&gt;"""", F897=""""), ""真實支出"",
  AND(E897="""", F897&lt;&gt;""""), ""真實收入"",
  TRUE, ""其他""
)"),"真實支出")</f>
        <v>真實支出</v>
      </c>
      <c r="K897" s="270">
        <f t="shared" si="2"/>
        <v>-16485</v>
      </c>
      <c r="L897">
        <f t="shared" si="3"/>
        <v>0</v>
      </c>
    </row>
    <row r="898">
      <c r="A898" s="107">
        <f>IFERROR(__xludf.DUMMYFUNCTION("""COMPUTED_VALUE"""),45572.0)</f>
        <v>45572</v>
      </c>
      <c r="B898" t="str">
        <f>IFERROR(__xludf.DUMMYFUNCTION("""COMPUTED_VALUE"""),"螢光水電 - 換櫻花GH1005熱水器")</f>
        <v>螢光水電 - 換櫻花GH1005熱水器</v>
      </c>
      <c r="C898" t="str">
        <f>IFERROR(__xludf.DUMMYFUNCTION("""COMPUTED_VALUE"""),"成本 - 租後修繕")</f>
        <v>成本 - 租後修繕</v>
      </c>
      <c r="D898" s="270">
        <f>IFERROR(__xludf.DUMMYFUNCTION("""COMPUTED_VALUE"""),-7140.0)</f>
        <v>-7140</v>
      </c>
      <c r="E898" t="str">
        <f>IFERROR(__xludf.DUMMYFUNCTION("""COMPUTED_VALUE"""),"Elsa帳戶")</f>
        <v>Elsa帳戶</v>
      </c>
      <c r="G898" t="str">
        <f>IFERROR(__xludf.DUMMYFUNCTION("""COMPUTED_VALUE"""),"市府爺爺家")</f>
        <v>市府爺爺家</v>
      </c>
      <c r="H898" s="106" t="str">
        <f t="shared" si="1"/>
        <v>2024-10</v>
      </c>
      <c r="I898" s="271" t="str">
        <f>IFERROR(__xludf.DUMMYFUNCTION("""COMPUTED_VALUE"""),"貓狗企鵝")</f>
        <v>貓狗企鵝</v>
      </c>
      <c r="J898" t="str">
        <f>IFERROR(__xludf.DUMMYFUNCTION("IFS(
  AND(REGEXMATCH(E898, ""台銀籌備帳戶|玉山帳戶""), REGEXMATCH(C898, ""薪資"")), ""分潤支出"",
  AND(REGEXMATCH(E898, ""Ben帳戶|Elsa帳戶|Ben代墊|Ariel代墊|中信銀行共用""), REGEXMATCH(F898, ""Ben帳戶|Elsa帳戶|Ben代墊|Ariel代墊|中信銀行共用"")), ""內部轉帳(忽略)"",
  AND(E898&lt;&gt;"""", F898&lt;&gt;"""", NOT(REG"&amp;"EXMATCH(C898, ""薪資""))), ""內部轉帳(忽略)"",
  REGEXMATCH(C898, ""薪資""), ""薪資變動(不計入)"",
  REGEXMATCH(C898, ""押金""), ""押金往來"",
  AND(E898&lt;&gt;"""", F898=""""), ""真實支出"",
  AND(E898="""", F898&lt;&gt;""""), ""真實收入"",
  TRUE, ""其他""
)"),"真實支出")</f>
        <v>真實支出</v>
      </c>
      <c r="K898" s="270">
        <f t="shared" si="2"/>
        <v>-7140</v>
      </c>
      <c r="L898">
        <f t="shared" si="3"/>
        <v>0</v>
      </c>
    </row>
    <row r="899">
      <c r="A899" s="107">
        <f>IFERROR(__xludf.DUMMYFUNCTION("""COMPUTED_VALUE"""),45572.0)</f>
        <v>45572</v>
      </c>
      <c r="B899" t="str">
        <f>IFERROR(__xludf.DUMMYFUNCTION("""COMPUTED_VALUE"""),"螢光水電 - 追加1/4HP加壓馬達.電源線.排水管")</f>
        <v>螢光水電 - 追加1/4HP加壓馬達.電源線.排水管</v>
      </c>
      <c r="C899" t="str">
        <f>IFERROR(__xludf.DUMMYFUNCTION("""COMPUTED_VALUE"""),"成本 - 租後修繕")</f>
        <v>成本 - 租後修繕</v>
      </c>
      <c r="D899" s="270">
        <f>IFERROR(__xludf.DUMMYFUNCTION("""COMPUTED_VALUE"""),-11340.0)</f>
        <v>-11340</v>
      </c>
      <c r="E899" t="str">
        <f>IFERROR(__xludf.DUMMYFUNCTION("""COMPUTED_VALUE"""),"Elsa帳戶")</f>
        <v>Elsa帳戶</v>
      </c>
      <c r="G899" t="str">
        <f>IFERROR(__xludf.DUMMYFUNCTION("""COMPUTED_VALUE"""),"南港站挑高宅")</f>
        <v>南港站挑高宅</v>
      </c>
      <c r="H899" s="106" t="str">
        <f t="shared" si="1"/>
        <v>2024-10</v>
      </c>
      <c r="I899" s="271" t="str">
        <f>IFERROR(__xludf.DUMMYFUNCTION("""COMPUTED_VALUE"""),"貓狗企鵝")</f>
        <v>貓狗企鵝</v>
      </c>
      <c r="J899" t="str">
        <f>IFERROR(__xludf.DUMMYFUNCTION("IFS(
  AND(REGEXMATCH(E899, ""台銀籌備帳戶|玉山帳戶""), REGEXMATCH(C899, ""薪資"")), ""分潤支出"",
  AND(REGEXMATCH(E899, ""Ben帳戶|Elsa帳戶|Ben代墊|Ariel代墊|中信銀行共用""), REGEXMATCH(F899, ""Ben帳戶|Elsa帳戶|Ben代墊|Ariel代墊|中信銀行共用"")), ""內部轉帳(忽略)"",
  AND(E899&lt;&gt;"""", F899&lt;&gt;"""", NOT(REG"&amp;"EXMATCH(C899, ""薪資""))), ""內部轉帳(忽略)"",
  REGEXMATCH(C899, ""薪資""), ""薪資變動(不計入)"",
  REGEXMATCH(C899, ""押金""), ""押金往來"",
  AND(E899&lt;&gt;"""", F899=""""), ""真實支出"",
  AND(E899="""", F899&lt;&gt;""""), ""真實收入"",
  TRUE, ""其他""
)"),"真實支出")</f>
        <v>真實支出</v>
      </c>
      <c r="K899" s="270">
        <f t="shared" si="2"/>
        <v>-11340</v>
      </c>
      <c r="L899">
        <f t="shared" si="3"/>
        <v>0</v>
      </c>
    </row>
    <row r="900">
      <c r="A900" s="107">
        <f>IFERROR(__xludf.DUMMYFUNCTION("""COMPUTED_VALUE"""),45572.0)</f>
        <v>45572</v>
      </c>
      <c r="B900" t="str">
        <f>IFERROR(__xludf.DUMMYFUNCTION("""COMPUTED_VALUE"""),"螢光水電 - 隔間線.龍頭.熱水器")</f>
        <v>螢光水電 - 隔間線.龍頭.熱水器</v>
      </c>
      <c r="C900" t="str">
        <f>IFERROR(__xludf.DUMMYFUNCTION("""COMPUTED_VALUE"""),"成本 - 進場前裝潢費")</f>
        <v>成本 - 進場前裝潢費</v>
      </c>
      <c r="D900" s="270">
        <f>IFERROR(__xludf.DUMMYFUNCTION("""COMPUTED_VALUE"""),-98280.0)</f>
        <v>-98280</v>
      </c>
      <c r="E900" t="str">
        <f>IFERROR(__xludf.DUMMYFUNCTION("""COMPUTED_VALUE"""),"Elsa帳戶")</f>
        <v>Elsa帳戶</v>
      </c>
      <c r="G900" t="str">
        <f>IFERROR(__xludf.DUMMYFUNCTION("""COMPUTED_VALUE"""),"景安2分鐘")</f>
        <v>景安2分鐘</v>
      </c>
      <c r="H900" s="106" t="str">
        <f t="shared" si="1"/>
        <v>2024-10</v>
      </c>
      <c r="I900" s="271" t="str">
        <f>IFERROR(__xludf.DUMMYFUNCTION("""COMPUTED_VALUE"""),"貓狗企鵝")</f>
        <v>貓狗企鵝</v>
      </c>
      <c r="J900" t="str">
        <f>IFERROR(__xludf.DUMMYFUNCTION("IFS(
  AND(REGEXMATCH(E900, ""台銀籌備帳戶|玉山帳戶""), REGEXMATCH(C900, ""薪資"")), ""分潤支出"",
  AND(REGEXMATCH(E900, ""Ben帳戶|Elsa帳戶|Ben代墊|Ariel代墊|中信銀行共用""), REGEXMATCH(F900, ""Ben帳戶|Elsa帳戶|Ben代墊|Ariel代墊|中信銀行共用"")), ""內部轉帳(忽略)"",
  AND(E900&lt;&gt;"""", F900&lt;&gt;"""", NOT(REG"&amp;"EXMATCH(C900, ""薪資""))), ""內部轉帳(忽略)"",
  REGEXMATCH(C900, ""薪資""), ""薪資變動(不計入)"",
  REGEXMATCH(C900, ""押金""), ""押金往來"",
  AND(E900&lt;&gt;"""", F900=""""), ""真實支出"",
  AND(E900="""", F900&lt;&gt;""""), ""真實收入"",
  TRUE, ""其他""
)"),"真實支出")</f>
        <v>真實支出</v>
      </c>
      <c r="K900" s="270">
        <f t="shared" si="2"/>
        <v>-98280</v>
      </c>
      <c r="L900">
        <f t="shared" si="3"/>
        <v>0</v>
      </c>
    </row>
    <row r="901">
      <c r="A901" s="107">
        <f>IFERROR(__xludf.DUMMYFUNCTION("""COMPUTED_VALUE"""),45572.0)</f>
        <v>45572</v>
      </c>
      <c r="B901" t="str">
        <f>IFERROR(__xludf.DUMMYFUNCTION("""COMPUTED_VALUE"""),"螢光水電 - 馬桶40CM臉盆安裝")</f>
        <v>螢光水電 - 馬桶40CM臉盆安裝</v>
      </c>
      <c r="C901" t="str">
        <f>IFERROR(__xludf.DUMMYFUNCTION("""COMPUTED_VALUE"""),"成本 - 租後修繕")</f>
        <v>成本 - 租後修繕</v>
      </c>
      <c r="D901" s="270">
        <f>IFERROR(__xludf.DUMMYFUNCTION("""COMPUTED_VALUE"""),-15960.0)</f>
        <v>-15960</v>
      </c>
      <c r="E901" t="str">
        <f>IFERROR(__xludf.DUMMYFUNCTION("""COMPUTED_VALUE"""),"Elsa帳戶")</f>
        <v>Elsa帳戶</v>
      </c>
      <c r="G901" t="str">
        <f>IFERROR(__xludf.DUMMYFUNCTION("""COMPUTED_VALUE"""),"永春四號")</f>
        <v>永春四號</v>
      </c>
      <c r="H901" s="106" t="str">
        <f t="shared" si="1"/>
        <v>2024-10</v>
      </c>
      <c r="I901" s="271" t="str">
        <f>IFERROR(__xludf.DUMMYFUNCTION("""COMPUTED_VALUE"""),"貓狗企鵝")</f>
        <v>貓狗企鵝</v>
      </c>
      <c r="J901" t="str">
        <f>IFERROR(__xludf.DUMMYFUNCTION("IFS(
  AND(REGEXMATCH(E901, ""台銀籌備帳戶|玉山帳戶""), REGEXMATCH(C901, ""薪資"")), ""分潤支出"",
  AND(REGEXMATCH(E901, ""Ben帳戶|Elsa帳戶|Ben代墊|Ariel代墊|中信銀行共用""), REGEXMATCH(F901, ""Ben帳戶|Elsa帳戶|Ben代墊|Ariel代墊|中信銀行共用"")), ""內部轉帳(忽略)"",
  AND(E901&lt;&gt;"""", F901&lt;&gt;"""", NOT(REG"&amp;"EXMATCH(C901, ""薪資""))), ""內部轉帳(忽略)"",
  REGEXMATCH(C901, ""薪資""), ""薪資變動(不計入)"",
  REGEXMATCH(C901, ""押金""), ""押金往來"",
  AND(E901&lt;&gt;"""", F901=""""), ""真實支出"",
  AND(E901="""", F901&lt;&gt;""""), ""真實收入"",
  TRUE, ""其他""
)"),"真實支出")</f>
        <v>真實支出</v>
      </c>
      <c r="K901" s="270">
        <f t="shared" si="2"/>
        <v>-15960</v>
      </c>
      <c r="L901">
        <f t="shared" si="3"/>
        <v>0</v>
      </c>
    </row>
    <row r="902">
      <c r="A902" s="107">
        <f>IFERROR(__xludf.DUMMYFUNCTION("""COMPUTED_VALUE"""),45572.0)</f>
        <v>45572</v>
      </c>
      <c r="B902" t="str">
        <f>IFERROR(__xludf.DUMMYFUNCTION("""COMPUTED_VALUE"""),"螢光水電 - 浴室排風機")</f>
        <v>螢光水電 - 浴室排風機</v>
      </c>
      <c r="C902" t="str">
        <f>IFERROR(__xludf.DUMMYFUNCTION("""COMPUTED_VALUE"""),"成本 - 租後修繕")</f>
        <v>成本 - 租後修繕</v>
      </c>
      <c r="D902" s="270">
        <f>IFERROR(__xludf.DUMMYFUNCTION("""COMPUTED_VALUE"""),-1260.0)</f>
        <v>-1260</v>
      </c>
      <c r="E902" t="str">
        <f>IFERROR(__xludf.DUMMYFUNCTION("""COMPUTED_VALUE"""),"Elsa帳戶")</f>
        <v>Elsa帳戶</v>
      </c>
      <c r="G902" t="str">
        <f>IFERROR(__xludf.DUMMYFUNCTION("""COMPUTED_VALUE"""),"南港站挑高宅")</f>
        <v>南港站挑高宅</v>
      </c>
      <c r="H902" s="106" t="str">
        <f t="shared" si="1"/>
        <v>2024-10</v>
      </c>
      <c r="I902" s="271" t="str">
        <f>IFERROR(__xludf.DUMMYFUNCTION("""COMPUTED_VALUE"""),"貓狗企鵝")</f>
        <v>貓狗企鵝</v>
      </c>
      <c r="J902" t="str">
        <f>IFERROR(__xludf.DUMMYFUNCTION("IFS(
  AND(REGEXMATCH(E902, ""台銀籌備帳戶|玉山帳戶""), REGEXMATCH(C902, ""薪資"")), ""分潤支出"",
  AND(REGEXMATCH(E902, ""Ben帳戶|Elsa帳戶|Ben代墊|Ariel代墊|中信銀行共用""), REGEXMATCH(F902, ""Ben帳戶|Elsa帳戶|Ben代墊|Ariel代墊|中信銀行共用"")), ""內部轉帳(忽略)"",
  AND(E902&lt;&gt;"""", F902&lt;&gt;"""", NOT(REG"&amp;"EXMATCH(C902, ""薪資""))), ""內部轉帳(忽略)"",
  REGEXMATCH(C902, ""薪資""), ""薪資變動(不計入)"",
  REGEXMATCH(C902, ""押金""), ""押金往來"",
  AND(E902&lt;&gt;"""", F902=""""), ""真實支出"",
  AND(E902="""", F902&lt;&gt;""""), ""真實收入"",
  TRUE, ""其他""
)"),"真實支出")</f>
        <v>真實支出</v>
      </c>
      <c r="K902" s="270">
        <f t="shared" si="2"/>
        <v>-1260</v>
      </c>
      <c r="L902">
        <f t="shared" si="3"/>
        <v>0</v>
      </c>
    </row>
    <row r="903">
      <c r="A903" s="107">
        <f>IFERROR(__xludf.DUMMYFUNCTION("""COMPUTED_VALUE"""),45572.0)</f>
        <v>45572</v>
      </c>
      <c r="B903" t="str">
        <f>IFERROR(__xludf.DUMMYFUNCTION("""COMPUTED_VALUE"""),"螢光水電 - 代購燈具")</f>
        <v>螢光水電 - 代購燈具</v>
      </c>
      <c r="C903" t="str">
        <f>IFERROR(__xludf.DUMMYFUNCTION("""COMPUTED_VALUE"""),"成本 - 進場前裝潢費")</f>
        <v>成本 - 進場前裝潢費</v>
      </c>
      <c r="D903" s="270">
        <f>IFERROR(__xludf.DUMMYFUNCTION("""COMPUTED_VALUE"""),-4200.0)</f>
        <v>-4200</v>
      </c>
      <c r="E903" t="str">
        <f>IFERROR(__xludf.DUMMYFUNCTION("""COMPUTED_VALUE"""),"Elsa帳戶")</f>
        <v>Elsa帳戶</v>
      </c>
      <c r="G903" t="str">
        <f>IFERROR(__xludf.DUMMYFUNCTION("""COMPUTED_VALUE"""),"景安2分鐘")</f>
        <v>景安2分鐘</v>
      </c>
      <c r="H903" s="106" t="str">
        <f t="shared" si="1"/>
        <v>2024-10</v>
      </c>
      <c r="I903" s="271" t="str">
        <f>IFERROR(__xludf.DUMMYFUNCTION("""COMPUTED_VALUE"""),"貓狗企鵝")</f>
        <v>貓狗企鵝</v>
      </c>
      <c r="J903" t="str">
        <f>IFERROR(__xludf.DUMMYFUNCTION("IFS(
  AND(REGEXMATCH(E903, ""台銀籌備帳戶|玉山帳戶""), REGEXMATCH(C903, ""薪資"")), ""分潤支出"",
  AND(REGEXMATCH(E903, ""Ben帳戶|Elsa帳戶|Ben代墊|Ariel代墊|中信銀行共用""), REGEXMATCH(F903, ""Ben帳戶|Elsa帳戶|Ben代墊|Ariel代墊|中信銀行共用"")), ""內部轉帳(忽略)"",
  AND(E903&lt;&gt;"""", F903&lt;&gt;"""", NOT(REG"&amp;"EXMATCH(C903, ""薪資""))), ""內部轉帳(忽略)"",
  REGEXMATCH(C903, ""薪資""), ""薪資變動(不計入)"",
  REGEXMATCH(C903, ""押金""), ""押金往來"",
  AND(E903&lt;&gt;"""", F903=""""), ""真實支出"",
  AND(E903="""", F903&lt;&gt;""""), ""真實收入"",
  TRUE, ""其他""
)"),"真實支出")</f>
        <v>真實支出</v>
      </c>
      <c r="K903" s="270">
        <f t="shared" si="2"/>
        <v>-4200</v>
      </c>
      <c r="L903">
        <f t="shared" si="3"/>
        <v>0</v>
      </c>
    </row>
    <row r="904">
      <c r="A904" s="107">
        <f>IFERROR(__xludf.DUMMYFUNCTION("""COMPUTED_VALUE"""),45572.0)</f>
        <v>45572</v>
      </c>
      <c r="B904" t="str">
        <f>IFERROR(__xludf.DUMMYFUNCTION("""COMPUTED_VALUE"""),"591 PO文(套房)")</f>
        <v>591 PO文(套房)</v>
      </c>
      <c r="C904" t="str">
        <f>IFERROR(__xludf.DUMMYFUNCTION("""COMPUTED_VALUE"""),"成本 - 進場前裝潢費")</f>
        <v>成本 - 進場前裝潢費</v>
      </c>
      <c r="D904" s="270">
        <f>IFERROR(__xludf.DUMMYFUNCTION("""COMPUTED_VALUE"""),-1289.0)</f>
        <v>-1289</v>
      </c>
      <c r="E904" t="str">
        <f>IFERROR(__xludf.DUMMYFUNCTION("""COMPUTED_VALUE"""),"Elsa帳戶")</f>
        <v>Elsa帳戶</v>
      </c>
      <c r="G904" t="str">
        <f>IFERROR(__xludf.DUMMYFUNCTION("""COMPUTED_VALUE"""),"景安2分鐘")</f>
        <v>景安2分鐘</v>
      </c>
      <c r="H904" s="106" t="str">
        <f t="shared" si="1"/>
        <v>2024-10</v>
      </c>
      <c r="I904" s="271" t="str">
        <f>IFERROR(__xludf.DUMMYFUNCTION("""COMPUTED_VALUE"""),"貓狗企鵝")</f>
        <v>貓狗企鵝</v>
      </c>
      <c r="J904" t="str">
        <f>IFERROR(__xludf.DUMMYFUNCTION("IFS(
  AND(REGEXMATCH(E904, ""台銀籌備帳戶|玉山帳戶""), REGEXMATCH(C904, ""薪資"")), ""分潤支出"",
  AND(REGEXMATCH(E904, ""Ben帳戶|Elsa帳戶|Ben代墊|Ariel代墊|中信銀行共用""), REGEXMATCH(F904, ""Ben帳戶|Elsa帳戶|Ben代墊|Ariel代墊|中信銀行共用"")), ""內部轉帳(忽略)"",
  AND(E904&lt;&gt;"""", F904&lt;&gt;"""", NOT(REG"&amp;"EXMATCH(C904, ""薪資""))), ""內部轉帳(忽略)"",
  REGEXMATCH(C904, ""薪資""), ""薪資變動(不計入)"",
  REGEXMATCH(C904, ""押金""), ""押金往來"",
  AND(E904&lt;&gt;"""", F904=""""), ""真實支出"",
  AND(E904="""", F904&lt;&gt;""""), ""真實收入"",
  TRUE, ""其他""
)"),"真實支出")</f>
        <v>真實支出</v>
      </c>
      <c r="K904" s="270">
        <f t="shared" si="2"/>
        <v>-1289</v>
      </c>
      <c r="L904">
        <f t="shared" si="3"/>
        <v>0</v>
      </c>
    </row>
    <row r="905">
      <c r="A905" s="107">
        <f>IFERROR(__xludf.DUMMYFUNCTION("""COMPUTED_VALUE"""),45572.0)</f>
        <v>45572</v>
      </c>
      <c r="B905" t="str">
        <f>IFERROR(__xludf.DUMMYFUNCTION("""COMPUTED_VALUE"""),"清潔景安")</f>
        <v>清潔景安</v>
      </c>
      <c r="C905" t="str">
        <f>IFERROR(__xludf.DUMMYFUNCTION("""COMPUTED_VALUE"""),"成本 - 進場前裝潢費")</f>
        <v>成本 - 進場前裝潢費</v>
      </c>
      <c r="D905" s="270">
        <f>IFERROR(__xludf.DUMMYFUNCTION("""COMPUTED_VALUE"""),-11315.0)</f>
        <v>-11315</v>
      </c>
      <c r="E905" t="str">
        <f>IFERROR(__xludf.DUMMYFUNCTION("""COMPUTED_VALUE"""),"台銀籌備帳戶")</f>
        <v>台銀籌備帳戶</v>
      </c>
      <c r="G905" t="str">
        <f>IFERROR(__xludf.DUMMYFUNCTION("""COMPUTED_VALUE"""),"景安2分鐘")</f>
        <v>景安2分鐘</v>
      </c>
      <c r="H905" s="106" t="str">
        <f t="shared" si="1"/>
        <v>2024-10</v>
      </c>
      <c r="I905" s="271" t="str">
        <f>IFERROR(__xludf.DUMMYFUNCTION("""COMPUTED_VALUE"""),"貓狗企鵝")</f>
        <v>貓狗企鵝</v>
      </c>
      <c r="J905" t="str">
        <f>IFERROR(__xludf.DUMMYFUNCTION("IFS(
  AND(REGEXMATCH(E905, ""台銀籌備帳戶|玉山帳戶""), REGEXMATCH(C905, ""薪資"")), ""分潤支出"",
  AND(REGEXMATCH(E905, ""Ben帳戶|Elsa帳戶|Ben代墊|Ariel代墊|中信銀行共用""), REGEXMATCH(F905, ""Ben帳戶|Elsa帳戶|Ben代墊|Ariel代墊|中信銀行共用"")), ""內部轉帳(忽略)"",
  AND(E905&lt;&gt;"""", F905&lt;&gt;"""", NOT(REG"&amp;"EXMATCH(C905, ""薪資""))), ""內部轉帳(忽略)"",
  REGEXMATCH(C905, ""薪資""), ""薪資變動(不計入)"",
  REGEXMATCH(C905, ""押金""), ""押金往來"",
  AND(E905&lt;&gt;"""", F905=""""), ""真實支出"",
  AND(E905="""", F905&lt;&gt;""""), ""真實收入"",
  TRUE, ""其他""
)"),"真實支出")</f>
        <v>真實支出</v>
      </c>
      <c r="K905" s="270">
        <f t="shared" si="2"/>
        <v>-11315</v>
      </c>
      <c r="L905">
        <f t="shared" si="3"/>
        <v>0</v>
      </c>
    </row>
    <row r="906">
      <c r="A906" s="107">
        <f>IFERROR(__xludf.DUMMYFUNCTION("""COMPUTED_VALUE"""),45572.0)</f>
        <v>45572</v>
      </c>
      <c r="B906" t="str">
        <f>IFERROR(__xludf.DUMMYFUNCTION("""COMPUTED_VALUE"""),"水電南港馬桶")</f>
        <v>水電南港馬桶</v>
      </c>
      <c r="C906" t="str">
        <f>IFERROR(__xludf.DUMMYFUNCTION("""COMPUTED_VALUE"""),"成本 - 進場前裝潢費")</f>
        <v>成本 - 進場前裝潢費</v>
      </c>
      <c r="D906" s="270">
        <f>IFERROR(__xludf.DUMMYFUNCTION("""COMPUTED_VALUE"""),-2430.0)</f>
        <v>-2430</v>
      </c>
      <c r="E906" t="str">
        <f>IFERROR(__xludf.DUMMYFUNCTION("""COMPUTED_VALUE"""),"台銀籌備帳戶")</f>
        <v>台銀籌備帳戶</v>
      </c>
      <c r="G906" t="str">
        <f>IFERROR(__xludf.DUMMYFUNCTION("""COMPUTED_VALUE"""),"南港站挑高宅")</f>
        <v>南港站挑高宅</v>
      </c>
      <c r="H906" s="106" t="str">
        <f t="shared" si="1"/>
        <v>2024-10</v>
      </c>
      <c r="I906" s="271" t="str">
        <f>IFERROR(__xludf.DUMMYFUNCTION("""COMPUTED_VALUE"""),"貓狗企鵝")</f>
        <v>貓狗企鵝</v>
      </c>
      <c r="J906" t="str">
        <f>IFERROR(__xludf.DUMMYFUNCTION("IFS(
  AND(REGEXMATCH(E906, ""台銀籌備帳戶|玉山帳戶""), REGEXMATCH(C906, ""薪資"")), ""分潤支出"",
  AND(REGEXMATCH(E906, ""Ben帳戶|Elsa帳戶|Ben代墊|Ariel代墊|中信銀行共用""), REGEXMATCH(F906, ""Ben帳戶|Elsa帳戶|Ben代墊|Ariel代墊|中信銀行共用"")), ""內部轉帳(忽略)"",
  AND(E906&lt;&gt;"""", F906&lt;&gt;"""", NOT(REG"&amp;"EXMATCH(C906, ""薪資""))), ""內部轉帳(忽略)"",
  REGEXMATCH(C906, ""薪資""), ""薪資變動(不計入)"",
  REGEXMATCH(C906, ""押金""), ""押金往來"",
  AND(E906&lt;&gt;"""", F906=""""), ""真實支出"",
  AND(E906="""", F906&lt;&gt;""""), ""真實收入"",
  TRUE, ""其他""
)"),"真實支出")</f>
        <v>真實支出</v>
      </c>
      <c r="K906" s="270">
        <f t="shared" si="2"/>
        <v>-2430</v>
      </c>
      <c r="L906">
        <f t="shared" si="3"/>
        <v>0</v>
      </c>
    </row>
    <row r="907">
      <c r="A907" s="107">
        <f>IFERROR(__xludf.DUMMYFUNCTION("""COMPUTED_VALUE"""),45572.0)</f>
        <v>45572</v>
      </c>
      <c r="B907" t="str">
        <f>IFERROR(__xludf.DUMMYFUNCTION("""COMPUTED_VALUE"""),"氣密窗娘家")</f>
        <v>氣密窗娘家</v>
      </c>
      <c r="C907" t="str">
        <f>IFERROR(__xludf.DUMMYFUNCTION("""COMPUTED_VALUE"""),"成本 - 進場前裝潢費")</f>
        <v>成本 - 進場前裝潢費</v>
      </c>
      <c r="D907" s="270">
        <f>IFERROR(__xludf.DUMMYFUNCTION("""COMPUTED_VALUE"""),-10015.0)</f>
        <v>-10015</v>
      </c>
      <c r="E907" t="str">
        <f>IFERROR(__xludf.DUMMYFUNCTION("""COMPUTED_VALUE"""),"台銀籌備帳戶")</f>
        <v>台銀籌備帳戶</v>
      </c>
      <c r="G907" t="str">
        <f>IFERROR(__xludf.DUMMYFUNCTION("""COMPUTED_VALUE"""),"中山北娘家旁")</f>
        <v>中山北娘家旁</v>
      </c>
      <c r="H907" s="106" t="str">
        <f t="shared" si="1"/>
        <v>2024-10</v>
      </c>
      <c r="I907" s="271" t="str">
        <f>IFERROR(__xludf.DUMMYFUNCTION("""COMPUTED_VALUE"""),"貓狗企鵝")</f>
        <v>貓狗企鵝</v>
      </c>
      <c r="J907" t="str">
        <f>IFERROR(__xludf.DUMMYFUNCTION("IFS(
  AND(REGEXMATCH(E907, ""台銀籌備帳戶|玉山帳戶""), REGEXMATCH(C907, ""薪資"")), ""分潤支出"",
  AND(REGEXMATCH(E907, ""Ben帳戶|Elsa帳戶|Ben代墊|Ariel代墊|中信銀行共用""), REGEXMATCH(F907, ""Ben帳戶|Elsa帳戶|Ben代墊|Ariel代墊|中信銀行共用"")), ""內部轉帳(忽略)"",
  AND(E907&lt;&gt;"""", F907&lt;&gt;"""", NOT(REG"&amp;"EXMATCH(C907, ""薪資""))), ""內部轉帳(忽略)"",
  REGEXMATCH(C907, ""薪資""), ""薪資變動(不計入)"",
  REGEXMATCH(C907, ""押金""), ""押金往來"",
  AND(E907&lt;&gt;"""", F907=""""), ""真實支出"",
  AND(E907="""", F907&lt;&gt;""""), ""真實收入"",
  TRUE, ""其他""
)"),"真實支出")</f>
        <v>真實支出</v>
      </c>
      <c r="K907" s="270">
        <f t="shared" si="2"/>
        <v>-10015</v>
      </c>
      <c r="L907">
        <f t="shared" si="3"/>
        <v>0</v>
      </c>
    </row>
    <row r="908">
      <c r="A908" s="107">
        <f>IFERROR(__xludf.DUMMYFUNCTION("""COMPUTED_VALUE"""),45573.0)</f>
        <v>45573</v>
      </c>
      <c r="B908" t="str">
        <f>IFERROR(__xludf.DUMMYFUNCTION("""COMPUTED_VALUE"""),"壓條 細粒康")</f>
        <v>壓條 細粒康</v>
      </c>
      <c r="C908" t="str">
        <f>IFERROR(__xludf.DUMMYFUNCTION("""COMPUTED_VALUE"""),"成本 - 進場前裝潢費")</f>
        <v>成本 - 進場前裝潢費</v>
      </c>
      <c r="D908" s="270">
        <f>IFERROR(__xludf.DUMMYFUNCTION("""COMPUTED_VALUE"""),-425.0)</f>
        <v>-425</v>
      </c>
      <c r="E908" t="str">
        <f>IFERROR(__xludf.DUMMYFUNCTION("""COMPUTED_VALUE"""),"Ben帳戶")</f>
        <v>Ben帳戶</v>
      </c>
      <c r="G908" t="str">
        <f>IFERROR(__xludf.DUMMYFUNCTION("""COMPUTED_VALUE"""),"中山北Feli家")</f>
        <v>中山北Feli家</v>
      </c>
      <c r="H908" s="106" t="str">
        <f t="shared" si="1"/>
        <v>2024-10</v>
      </c>
      <c r="I908" s="271" t="str">
        <f>IFERROR(__xludf.DUMMYFUNCTION("""COMPUTED_VALUE"""),"貓狗企鵝")</f>
        <v>貓狗企鵝</v>
      </c>
      <c r="J908" t="str">
        <f>IFERROR(__xludf.DUMMYFUNCTION("IFS(
  AND(REGEXMATCH(E908, ""台銀籌備帳戶|玉山帳戶""), REGEXMATCH(C908, ""薪資"")), ""分潤支出"",
  AND(REGEXMATCH(E908, ""Ben帳戶|Elsa帳戶|Ben代墊|Ariel代墊|中信銀行共用""), REGEXMATCH(F908, ""Ben帳戶|Elsa帳戶|Ben代墊|Ariel代墊|中信銀行共用"")), ""內部轉帳(忽略)"",
  AND(E908&lt;&gt;"""", F908&lt;&gt;"""", NOT(REG"&amp;"EXMATCH(C908, ""薪資""))), ""內部轉帳(忽略)"",
  REGEXMATCH(C908, ""薪資""), ""薪資變動(不計入)"",
  REGEXMATCH(C908, ""押金""), ""押金往來"",
  AND(E908&lt;&gt;"""", F908=""""), ""真實支出"",
  AND(E908="""", F908&lt;&gt;""""), ""真實收入"",
  TRUE, ""其他""
)"),"真實支出")</f>
        <v>真實支出</v>
      </c>
      <c r="K908" s="270">
        <f t="shared" si="2"/>
        <v>-425</v>
      </c>
      <c r="L908">
        <f t="shared" si="3"/>
        <v>0</v>
      </c>
    </row>
    <row r="909">
      <c r="A909" s="107">
        <f>IFERROR(__xludf.DUMMYFUNCTION("""COMPUTED_VALUE"""),45574.0)</f>
        <v>45574</v>
      </c>
      <c r="B909" t="str">
        <f>IFERROR(__xludf.DUMMYFUNCTION("""COMPUTED_VALUE"""),"金龍電費")</f>
        <v>金龍電費</v>
      </c>
      <c r="C909" t="str">
        <f>IFERROR(__xludf.DUMMYFUNCTION("""COMPUTED_VALUE"""),"成本 - 固定開銷(網路代收清潔)")</f>
        <v>成本 - 固定開銷(網路代收清潔)</v>
      </c>
      <c r="D909" s="270">
        <f>IFERROR(__xludf.DUMMYFUNCTION("""COMPUTED_VALUE"""),-666.0)</f>
        <v>-666</v>
      </c>
      <c r="E909" t="str">
        <f>IFERROR(__xludf.DUMMYFUNCTION("""COMPUTED_VALUE"""),"Ben帳戶")</f>
        <v>Ben帳戶</v>
      </c>
      <c r="G909" t="str">
        <f>IFERROR(__xludf.DUMMYFUNCTION("""COMPUTED_VALUE"""),"金龍帽子先生")</f>
        <v>金龍帽子先生</v>
      </c>
      <c r="H909" s="106" t="str">
        <f t="shared" si="1"/>
        <v>2024-10</v>
      </c>
      <c r="I909" s="271" t="str">
        <f>IFERROR(__xludf.DUMMYFUNCTION("""COMPUTED_VALUE"""),"貓狗企鵝")</f>
        <v>貓狗企鵝</v>
      </c>
      <c r="J909" t="str">
        <f>IFERROR(__xludf.DUMMYFUNCTION("IFS(
  AND(REGEXMATCH(E909, ""台銀籌備帳戶|玉山帳戶""), REGEXMATCH(C909, ""薪資"")), ""分潤支出"",
  AND(REGEXMATCH(E909, ""Ben帳戶|Elsa帳戶|Ben代墊|Ariel代墊|中信銀行共用""), REGEXMATCH(F909, ""Ben帳戶|Elsa帳戶|Ben代墊|Ariel代墊|中信銀行共用"")), ""內部轉帳(忽略)"",
  AND(E909&lt;&gt;"""", F909&lt;&gt;"""", NOT(REG"&amp;"EXMATCH(C909, ""薪資""))), ""內部轉帳(忽略)"",
  REGEXMATCH(C909, ""薪資""), ""薪資變動(不計入)"",
  REGEXMATCH(C909, ""押金""), ""押金往來"",
  AND(E909&lt;&gt;"""", F909=""""), ""真實支出"",
  AND(E909="""", F909&lt;&gt;""""), ""真實收入"",
  TRUE, ""其他""
)"),"真實支出")</f>
        <v>真實支出</v>
      </c>
      <c r="K909" s="270">
        <f t="shared" si="2"/>
        <v>-666</v>
      </c>
      <c r="L909">
        <f t="shared" si="3"/>
        <v>0</v>
      </c>
    </row>
    <row r="910">
      <c r="A910" s="107">
        <f>IFERROR(__xludf.DUMMYFUNCTION("""COMPUTED_VALUE"""),45574.0)</f>
        <v>45574</v>
      </c>
      <c r="B910" t="str">
        <f>IFERROR(__xludf.DUMMYFUNCTION("""COMPUTED_VALUE"""),"濾水器蓮蓬頭")</f>
        <v>濾水器蓮蓬頭</v>
      </c>
      <c r="C910" t="str">
        <f>IFERROR(__xludf.DUMMYFUNCTION("""COMPUTED_VALUE"""),"成本 - 進場前裝潢費")</f>
        <v>成本 - 進場前裝潢費</v>
      </c>
      <c r="D910" s="270">
        <f>IFERROR(__xludf.DUMMYFUNCTION("""COMPUTED_VALUE"""),-2508.0)</f>
        <v>-2508</v>
      </c>
      <c r="E910" t="str">
        <f>IFERROR(__xludf.DUMMYFUNCTION("""COMPUTED_VALUE"""),"Ben帳戶")</f>
        <v>Ben帳戶</v>
      </c>
      <c r="G910" t="str">
        <f>IFERROR(__xludf.DUMMYFUNCTION("""COMPUTED_VALUE"""),"景安2分鐘")</f>
        <v>景安2分鐘</v>
      </c>
      <c r="H910" s="106" t="str">
        <f t="shared" si="1"/>
        <v>2024-10</v>
      </c>
      <c r="I910" s="271" t="str">
        <f>IFERROR(__xludf.DUMMYFUNCTION("""COMPUTED_VALUE"""),"貓狗企鵝")</f>
        <v>貓狗企鵝</v>
      </c>
      <c r="J910" t="str">
        <f>IFERROR(__xludf.DUMMYFUNCTION("IFS(
  AND(REGEXMATCH(E910, ""台銀籌備帳戶|玉山帳戶""), REGEXMATCH(C910, ""薪資"")), ""分潤支出"",
  AND(REGEXMATCH(E910, ""Ben帳戶|Elsa帳戶|Ben代墊|Ariel代墊|中信銀行共用""), REGEXMATCH(F910, ""Ben帳戶|Elsa帳戶|Ben代墊|Ariel代墊|中信銀行共用"")), ""內部轉帳(忽略)"",
  AND(E910&lt;&gt;"""", F910&lt;&gt;"""", NOT(REG"&amp;"EXMATCH(C910, ""薪資""))), ""內部轉帳(忽略)"",
  REGEXMATCH(C910, ""薪資""), ""薪資變動(不計入)"",
  REGEXMATCH(C910, ""押金""), ""押金往來"",
  AND(E910&lt;&gt;"""", F910=""""), ""真實支出"",
  AND(E910="""", F910&lt;&gt;""""), ""真實收入"",
  TRUE, ""其他""
)"),"真實支出")</f>
        <v>真實支出</v>
      </c>
      <c r="K910" s="270">
        <f t="shared" si="2"/>
        <v>-2508</v>
      </c>
      <c r="L910">
        <f t="shared" si="3"/>
        <v>0</v>
      </c>
    </row>
    <row r="911">
      <c r="A911" s="107">
        <f>IFERROR(__xludf.DUMMYFUNCTION("""COMPUTED_VALUE"""),45574.0)</f>
        <v>45574</v>
      </c>
      <c r="B911" t="str">
        <f>IFERROR(__xludf.DUMMYFUNCTION("""COMPUTED_VALUE"""),"景安2分鐘B張語婕")</f>
        <v>景安2分鐘B張語婕</v>
      </c>
      <c r="C911" t="str">
        <f>IFERROR(__xludf.DUMMYFUNCTION("""COMPUTED_VALUE"""),"收入 - 租金")</f>
        <v>收入 - 租金</v>
      </c>
      <c r="D911" s="270">
        <f>IFERROR(__xludf.DUMMYFUNCTION("""COMPUTED_VALUE"""),9703.0)</f>
        <v>9703</v>
      </c>
      <c r="F911" t="str">
        <f>IFERROR(__xludf.DUMMYFUNCTION("""COMPUTED_VALUE"""),"台銀籌備帳戶")</f>
        <v>台銀籌備帳戶</v>
      </c>
      <c r="G911" t="str">
        <f>IFERROR(__xludf.DUMMYFUNCTION("""COMPUTED_VALUE"""),"景安2分鐘")</f>
        <v>景安2分鐘</v>
      </c>
      <c r="H911" s="106" t="str">
        <f t="shared" si="1"/>
        <v>2024-10</v>
      </c>
      <c r="I911" s="271" t="str">
        <f>IFERROR(__xludf.DUMMYFUNCTION("""COMPUTED_VALUE"""),"貓狗企鵝")</f>
        <v>貓狗企鵝</v>
      </c>
      <c r="J911" t="str">
        <f>IFERROR(__xludf.DUMMYFUNCTION("IFS(
  AND(REGEXMATCH(E911, ""台銀籌備帳戶|玉山帳戶""), REGEXMATCH(C911, ""薪資"")), ""分潤支出"",
  AND(REGEXMATCH(E911, ""Ben帳戶|Elsa帳戶|Ben代墊|Ariel代墊|中信銀行共用""), REGEXMATCH(F911, ""Ben帳戶|Elsa帳戶|Ben代墊|Ariel代墊|中信銀行共用"")), ""內部轉帳(忽略)"",
  AND(E911&lt;&gt;"""", F911&lt;&gt;"""", NOT(REG"&amp;"EXMATCH(C911, ""薪資""))), ""內部轉帳(忽略)"",
  REGEXMATCH(C911, ""薪資""), ""薪資變動(不計入)"",
  REGEXMATCH(C911, ""押金""), ""押金往來"",
  AND(E911&lt;&gt;"""", F911=""""), ""真實支出"",
  AND(E911="""", F911&lt;&gt;""""), ""真實收入"",
  TRUE, ""其他""
)"),"真實收入")</f>
        <v>真實收入</v>
      </c>
      <c r="K911" s="270">
        <f t="shared" si="2"/>
        <v>9703</v>
      </c>
      <c r="L911">
        <f t="shared" si="3"/>
        <v>0</v>
      </c>
    </row>
    <row r="912">
      <c r="A912" s="107">
        <f>IFERROR(__xludf.DUMMYFUNCTION("""COMPUTED_VALUE"""),45574.0)</f>
        <v>45574</v>
      </c>
      <c r="B912" t="str">
        <f>IFERROR(__xludf.DUMMYFUNCTION("""COMPUTED_VALUE"""),"出勤時間(中山北路區)")</f>
        <v>出勤時間(中山北路區)</v>
      </c>
      <c r="C912" t="str">
        <f>IFERROR(__xludf.DUMMYFUNCTION("""COMPUTED_VALUE"""),"成本 - 出勤費")</f>
        <v>成本 - 出勤費</v>
      </c>
      <c r="D912" s="270">
        <f>IFERROR(__xludf.DUMMYFUNCTION("""COMPUTED_VALUE"""),-600.0)</f>
        <v>-600</v>
      </c>
      <c r="E912" t="str">
        <f>IFERROR(__xludf.DUMMYFUNCTION("""COMPUTED_VALUE"""),"Ben帳戶")</f>
        <v>Ben帳戶</v>
      </c>
      <c r="G912" t="str">
        <f>IFERROR(__xludf.DUMMYFUNCTION("""COMPUTED_VALUE"""),"中山北娘家旁")</f>
        <v>中山北娘家旁</v>
      </c>
      <c r="H912" s="106" t="str">
        <f t="shared" si="1"/>
        <v>2024-10</v>
      </c>
      <c r="I912" s="271" t="str">
        <f>IFERROR(__xludf.DUMMYFUNCTION("""COMPUTED_VALUE"""),"貓狗企鵝")</f>
        <v>貓狗企鵝</v>
      </c>
      <c r="J912" t="str">
        <f>IFERROR(__xludf.DUMMYFUNCTION("IFS(
  AND(REGEXMATCH(E912, ""台銀籌備帳戶|玉山帳戶""), REGEXMATCH(C912, ""薪資"")), ""分潤支出"",
  AND(REGEXMATCH(E912, ""Ben帳戶|Elsa帳戶|Ben代墊|Ariel代墊|中信銀行共用""), REGEXMATCH(F912, ""Ben帳戶|Elsa帳戶|Ben代墊|Ariel代墊|中信銀行共用"")), ""內部轉帳(忽略)"",
  AND(E912&lt;&gt;"""", F912&lt;&gt;"""", NOT(REG"&amp;"EXMATCH(C912, ""薪資""))), ""內部轉帳(忽略)"",
  REGEXMATCH(C912, ""薪資""), ""薪資變動(不計入)"",
  REGEXMATCH(C912, ""押金""), ""押金往來"",
  AND(E912&lt;&gt;"""", F912=""""), ""真實支出"",
  AND(E912="""", F912&lt;&gt;""""), ""真實收入"",
  TRUE, ""其他""
)"),"真實支出")</f>
        <v>真實支出</v>
      </c>
      <c r="K912" s="270">
        <f t="shared" si="2"/>
        <v>-600</v>
      </c>
      <c r="L912">
        <f t="shared" si="3"/>
        <v>0</v>
      </c>
    </row>
    <row r="913">
      <c r="A913" s="107">
        <f>IFERROR(__xludf.DUMMYFUNCTION("""COMPUTED_VALUE"""),45574.0)</f>
        <v>45574</v>
      </c>
      <c r="B913" t="str">
        <f>IFERROR(__xludf.DUMMYFUNCTION("""COMPUTED_VALUE"""),"出勤時間(中山北路區)")</f>
        <v>出勤時間(中山北路區)</v>
      </c>
      <c r="C913" t="str">
        <f>IFERROR(__xludf.DUMMYFUNCTION("""COMPUTED_VALUE"""),"成本 - 進場前裝潢費")</f>
        <v>成本 - 進場前裝潢費</v>
      </c>
      <c r="D913" s="270">
        <f>IFERROR(__xludf.DUMMYFUNCTION("""COMPUTED_VALUE"""),-2000.0)</f>
        <v>-2000</v>
      </c>
      <c r="E913" t="str">
        <f>IFERROR(__xludf.DUMMYFUNCTION("""COMPUTED_VALUE"""),"Ben帳戶")</f>
        <v>Ben帳戶</v>
      </c>
      <c r="G913" t="str">
        <f>IFERROR(__xludf.DUMMYFUNCTION("""COMPUTED_VALUE"""),"中山北娘家旁")</f>
        <v>中山北娘家旁</v>
      </c>
      <c r="H913" s="106" t="str">
        <f t="shared" si="1"/>
        <v>2024-10</v>
      </c>
      <c r="I913" s="271" t="str">
        <f>IFERROR(__xludf.DUMMYFUNCTION("""COMPUTED_VALUE"""),"貓狗企鵝")</f>
        <v>貓狗企鵝</v>
      </c>
      <c r="J913" t="str">
        <f>IFERROR(__xludf.DUMMYFUNCTION("IFS(
  AND(REGEXMATCH(E913, ""台銀籌備帳戶|玉山帳戶""), REGEXMATCH(C913, ""薪資"")), ""分潤支出"",
  AND(REGEXMATCH(E913, ""Ben帳戶|Elsa帳戶|Ben代墊|Ariel代墊|中信銀行共用""), REGEXMATCH(F913, ""Ben帳戶|Elsa帳戶|Ben代墊|Ariel代墊|中信銀行共用"")), ""內部轉帳(忽略)"",
  AND(E913&lt;&gt;"""", F913&lt;&gt;"""", NOT(REG"&amp;"EXMATCH(C913, ""薪資""))), ""內部轉帳(忽略)"",
  REGEXMATCH(C913, ""薪資""), ""薪資變動(不計入)"",
  REGEXMATCH(C913, ""押金""), ""押金往來"",
  AND(E913&lt;&gt;"""", F913=""""), ""真實支出"",
  AND(E913="""", F913&lt;&gt;""""), ""真實收入"",
  TRUE, ""其他""
)"),"真實支出")</f>
        <v>真實支出</v>
      </c>
      <c r="K913" s="270">
        <f t="shared" si="2"/>
        <v>-2000</v>
      </c>
      <c r="L913">
        <f t="shared" si="3"/>
        <v>0</v>
      </c>
    </row>
    <row r="914">
      <c r="A914" s="107">
        <f>IFERROR(__xludf.DUMMYFUNCTION("""COMPUTED_VALUE"""),45576.0)</f>
        <v>45576</v>
      </c>
      <c r="B914" t="str">
        <f>IFERROR(__xludf.DUMMYFUNCTION("""COMPUTED_VALUE"""),"市府爺爺家A董書鵬")</f>
        <v>市府爺爺家A董書鵬</v>
      </c>
      <c r="C914" t="str">
        <f>IFERROR(__xludf.DUMMYFUNCTION("""COMPUTED_VALUE"""),"收入 - 租金")</f>
        <v>收入 - 租金</v>
      </c>
      <c r="D914" s="270">
        <f>IFERROR(__xludf.DUMMYFUNCTION("""COMPUTED_VALUE"""),0.0)</f>
        <v>0</v>
      </c>
      <c r="F914" t="str">
        <f>IFERROR(__xludf.DUMMYFUNCTION("""COMPUTED_VALUE"""),"台銀籌備帳戶")</f>
        <v>台銀籌備帳戶</v>
      </c>
      <c r="G914" t="str">
        <f>IFERROR(__xludf.DUMMYFUNCTION("""COMPUTED_VALUE"""),"市府爺爺家")</f>
        <v>市府爺爺家</v>
      </c>
      <c r="H914" s="106" t="str">
        <f t="shared" si="1"/>
        <v>2024-10</v>
      </c>
      <c r="I914" s="271" t="str">
        <f>IFERROR(__xludf.DUMMYFUNCTION("""COMPUTED_VALUE"""),"貓狗企鵝")</f>
        <v>貓狗企鵝</v>
      </c>
      <c r="J914" t="str">
        <f>IFERROR(__xludf.DUMMYFUNCTION("IFS(
  AND(REGEXMATCH(E914, ""台銀籌備帳戶|玉山帳戶""), REGEXMATCH(C914, ""薪資"")), ""分潤支出"",
  AND(REGEXMATCH(E914, ""Ben帳戶|Elsa帳戶|Ben代墊|Ariel代墊|中信銀行共用""), REGEXMATCH(F914, ""Ben帳戶|Elsa帳戶|Ben代墊|Ariel代墊|中信銀行共用"")), ""內部轉帳(忽略)"",
  AND(E914&lt;&gt;"""", F914&lt;&gt;"""", NOT(REG"&amp;"EXMATCH(C914, ""薪資""))), ""內部轉帳(忽略)"",
  REGEXMATCH(C914, ""薪資""), ""薪資變動(不計入)"",
  REGEXMATCH(C914, ""押金""), ""押金往來"",
  AND(E914&lt;&gt;"""", F914=""""), ""真實支出"",
  AND(E914="""", F914&lt;&gt;""""), ""真實收入"",
  TRUE, ""其他""
)"),"真實收入")</f>
        <v>真實收入</v>
      </c>
      <c r="K914" s="270">
        <f t="shared" si="2"/>
        <v>0</v>
      </c>
      <c r="L914">
        <f t="shared" si="3"/>
        <v>0</v>
      </c>
    </row>
    <row r="915">
      <c r="A915" s="107">
        <f>IFERROR(__xludf.DUMMYFUNCTION("""COMPUTED_VALUE"""),45577.0)</f>
        <v>45577</v>
      </c>
      <c r="B915" t="str">
        <f>IFERROR(__xludf.DUMMYFUNCTION("""COMPUTED_VALUE"""),"591 PO文(雅房)")</f>
        <v>591 PO文(雅房)</v>
      </c>
      <c r="C915" t="str">
        <f>IFERROR(__xludf.DUMMYFUNCTION("""COMPUTED_VALUE"""),"成本 - 進場前裝潢費")</f>
        <v>成本 - 進場前裝潢費</v>
      </c>
      <c r="D915" s="270">
        <f>IFERROR(__xludf.DUMMYFUNCTION("""COMPUTED_VALUE"""),-1280.0)</f>
        <v>-1280</v>
      </c>
      <c r="E915" t="str">
        <f>IFERROR(__xludf.DUMMYFUNCTION("""COMPUTED_VALUE"""),"Elsa帳戶")</f>
        <v>Elsa帳戶</v>
      </c>
      <c r="G915" t="str">
        <f>IFERROR(__xludf.DUMMYFUNCTION("""COMPUTED_VALUE"""),"景安2分鐘")</f>
        <v>景安2分鐘</v>
      </c>
      <c r="H915" s="106" t="str">
        <f t="shared" si="1"/>
        <v>2024-10</v>
      </c>
      <c r="I915" s="271" t="str">
        <f>IFERROR(__xludf.DUMMYFUNCTION("""COMPUTED_VALUE"""),"貓狗企鵝")</f>
        <v>貓狗企鵝</v>
      </c>
      <c r="J915" t="str">
        <f>IFERROR(__xludf.DUMMYFUNCTION("IFS(
  AND(REGEXMATCH(E915, ""台銀籌備帳戶|玉山帳戶""), REGEXMATCH(C915, ""薪資"")), ""分潤支出"",
  AND(REGEXMATCH(E915, ""Ben帳戶|Elsa帳戶|Ben代墊|Ariel代墊|中信銀行共用""), REGEXMATCH(F915, ""Ben帳戶|Elsa帳戶|Ben代墊|Ariel代墊|中信銀行共用"")), ""內部轉帳(忽略)"",
  AND(E915&lt;&gt;"""", F915&lt;&gt;"""", NOT(REG"&amp;"EXMATCH(C915, ""薪資""))), ""內部轉帳(忽略)"",
  REGEXMATCH(C915, ""薪資""), ""薪資變動(不計入)"",
  REGEXMATCH(C915, ""押金""), ""押金往來"",
  AND(E915&lt;&gt;"""", F915=""""), ""真實支出"",
  AND(E915="""", F915&lt;&gt;""""), ""真實收入"",
  TRUE, ""其他""
)"),"真實支出")</f>
        <v>真實支出</v>
      </c>
      <c r="K915" s="270">
        <f t="shared" si="2"/>
        <v>-1280</v>
      </c>
      <c r="L915">
        <f t="shared" si="3"/>
        <v>0</v>
      </c>
    </row>
    <row r="916">
      <c r="A916" s="107">
        <f>IFERROR(__xludf.DUMMYFUNCTION("""COMPUTED_VALUE"""),45578.0)</f>
        <v>45578</v>
      </c>
      <c r="B916" t="str">
        <f>IFERROR(__xludf.DUMMYFUNCTION("""COMPUTED_VALUE"""),"毛毛Feli家")</f>
        <v>毛毛Feli家</v>
      </c>
      <c r="C916" t="str">
        <f>IFERROR(__xludf.DUMMYFUNCTION("""COMPUTED_VALUE"""),"成本 - 進場前裝潢費")</f>
        <v>成本 - 進場前裝潢費</v>
      </c>
      <c r="D916" s="270">
        <f>IFERROR(__xludf.DUMMYFUNCTION("""COMPUTED_VALUE"""),-46015.0)</f>
        <v>-46015</v>
      </c>
      <c r="E916" t="str">
        <f>IFERROR(__xludf.DUMMYFUNCTION("""COMPUTED_VALUE"""),"台銀籌備帳戶")</f>
        <v>台銀籌備帳戶</v>
      </c>
      <c r="G916" t="str">
        <f>IFERROR(__xludf.DUMMYFUNCTION("""COMPUTED_VALUE"""),"中山北Feli家")</f>
        <v>中山北Feli家</v>
      </c>
      <c r="H916" s="106" t="str">
        <f t="shared" si="1"/>
        <v>2024-10</v>
      </c>
      <c r="I916" s="271" t="str">
        <f>IFERROR(__xludf.DUMMYFUNCTION("""COMPUTED_VALUE"""),"貓狗企鵝")</f>
        <v>貓狗企鵝</v>
      </c>
      <c r="J916" t="str">
        <f>IFERROR(__xludf.DUMMYFUNCTION("IFS(
  AND(REGEXMATCH(E916, ""台銀籌備帳戶|玉山帳戶""), REGEXMATCH(C916, ""薪資"")), ""分潤支出"",
  AND(REGEXMATCH(E916, ""Ben帳戶|Elsa帳戶|Ben代墊|Ariel代墊|中信銀行共用""), REGEXMATCH(F916, ""Ben帳戶|Elsa帳戶|Ben代墊|Ariel代墊|中信銀行共用"")), ""內部轉帳(忽略)"",
  AND(E916&lt;&gt;"""", F916&lt;&gt;"""", NOT(REG"&amp;"EXMATCH(C916, ""薪資""))), ""內部轉帳(忽略)"",
  REGEXMATCH(C916, ""薪資""), ""薪資變動(不計入)"",
  REGEXMATCH(C916, ""押金""), ""押金往來"",
  AND(E916&lt;&gt;"""", F916=""""), ""真實支出"",
  AND(E916="""", F916&lt;&gt;""""), ""真實收入"",
  TRUE, ""其他""
)"),"真實支出")</f>
        <v>真實支出</v>
      </c>
      <c r="K916" s="270">
        <f t="shared" si="2"/>
        <v>-46015</v>
      </c>
      <c r="L916">
        <f t="shared" si="3"/>
        <v>0</v>
      </c>
    </row>
    <row r="917">
      <c r="A917" s="107">
        <f>IFERROR(__xludf.DUMMYFUNCTION("""COMPUTED_VALUE"""),45578.0)</f>
        <v>45578</v>
      </c>
      <c r="B917" t="str">
        <f>IFERROR(__xludf.DUMMYFUNCTION("""COMPUTED_VALUE"""),"宜佳中山娘家")</f>
        <v>宜佳中山娘家</v>
      </c>
      <c r="C917" t="str">
        <f>IFERROR(__xludf.DUMMYFUNCTION("""COMPUTED_VALUE"""),"成本 - 進場前裝潢費")</f>
        <v>成本 - 進場前裝潢費</v>
      </c>
      <c r="D917" s="270">
        <f>IFERROR(__xludf.DUMMYFUNCTION("""COMPUTED_VALUE"""),-101288.0)</f>
        <v>-101288</v>
      </c>
      <c r="E917" t="str">
        <f>IFERROR(__xludf.DUMMYFUNCTION("""COMPUTED_VALUE"""),"台銀籌備帳戶")</f>
        <v>台銀籌備帳戶</v>
      </c>
      <c r="G917" t="str">
        <f>IFERROR(__xludf.DUMMYFUNCTION("""COMPUTED_VALUE"""),"中山北娘家旁")</f>
        <v>中山北娘家旁</v>
      </c>
      <c r="H917" s="106" t="str">
        <f t="shared" si="1"/>
        <v>2024-10</v>
      </c>
      <c r="I917" s="271" t="str">
        <f>IFERROR(__xludf.DUMMYFUNCTION("""COMPUTED_VALUE"""),"貓狗企鵝")</f>
        <v>貓狗企鵝</v>
      </c>
      <c r="J917" t="str">
        <f>IFERROR(__xludf.DUMMYFUNCTION("IFS(
  AND(REGEXMATCH(E917, ""台銀籌備帳戶|玉山帳戶""), REGEXMATCH(C917, ""薪資"")), ""分潤支出"",
  AND(REGEXMATCH(E917, ""Ben帳戶|Elsa帳戶|Ben代墊|Ariel代墊|中信銀行共用""), REGEXMATCH(F917, ""Ben帳戶|Elsa帳戶|Ben代墊|Ariel代墊|中信銀行共用"")), ""內部轉帳(忽略)"",
  AND(E917&lt;&gt;"""", F917&lt;&gt;"""", NOT(REG"&amp;"EXMATCH(C917, ""薪資""))), ""內部轉帳(忽略)"",
  REGEXMATCH(C917, ""薪資""), ""薪資變動(不計入)"",
  REGEXMATCH(C917, ""押金""), ""押金往來"",
  AND(E917&lt;&gt;"""", F917=""""), ""真實支出"",
  AND(E917="""", F917&lt;&gt;""""), ""真實收入"",
  TRUE, ""其他""
)"),"真實支出")</f>
        <v>真實支出</v>
      </c>
      <c r="K917" s="270">
        <f t="shared" si="2"/>
        <v>-101288</v>
      </c>
      <c r="L917">
        <f t="shared" si="3"/>
        <v>0</v>
      </c>
    </row>
    <row r="918">
      <c r="A918" s="107">
        <f>IFERROR(__xludf.DUMMYFUNCTION("""COMPUTED_VALUE"""),45578.0)</f>
        <v>45578</v>
      </c>
      <c r="B918" t="str">
        <f>IFERROR(__xludf.DUMMYFUNCTION("""COMPUTED_VALUE"""),"市府爺爺家A董書鵬")</f>
        <v>市府爺爺家A董書鵬</v>
      </c>
      <c r="C918" t="str">
        <f>IFERROR(__xludf.DUMMYFUNCTION("""COMPUTED_VALUE"""),"收入 - 租金")</f>
        <v>收入 - 租金</v>
      </c>
      <c r="D918" s="270">
        <f>IFERROR(__xludf.DUMMYFUNCTION("""COMPUTED_VALUE"""),8516.0)</f>
        <v>8516</v>
      </c>
      <c r="F918" t="str">
        <f>IFERROR(__xludf.DUMMYFUNCTION("""COMPUTED_VALUE"""),"台銀籌備帳戶")</f>
        <v>台銀籌備帳戶</v>
      </c>
      <c r="G918" t="str">
        <f>IFERROR(__xludf.DUMMYFUNCTION("""COMPUTED_VALUE"""),"市府爺爺家")</f>
        <v>市府爺爺家</v>
      </c>
      <c r="H918" s="106" t="str">
        <f t="shared" si="1"/>
        <v>2024-10</v>
      </c>
      <c r="I918" s="271" t="str">
        <f>IFERROR(__xludf.DUMMYFUNCTION("""COMPUTED_VALUE"""),"貓狗企鵝")</f>
        <v>貓狗企鵝</v>
      </c>
      <c r="J918" t="str">
        <f>IFERROR(__xludf.DUMMYFUNCTION("IFS(
  AND(REGEXMATCH(E918, ""台銀籌備帳戶|玉山帳戶""), REGEXMATCH(C918, ""薪資"")), ""分潤支出"",
  AND(REGEXMATCH(E918, ""Ben帳戶|Elsa帳戶|Ben代墊|Ariel代墊|中信銀行共用""), REGEXMATCH(F918, ""Ben帳戶|Elsa帳戶|Ben代墊|Ariel代墊|中信銀行共用"")), ""內部轉帳(忽略)"",
  AND(E918&lt;&gt;"""", F918&lt;&gt;"""", NOT(REG"&amp;"EXMATCH(C918, ""薪資""))), ""內部轉帳(忽略)"",
  REGEXMATCH(C918, ""薪資""), ""薪資變動(不計入)"",
  REGEXMATCH(C918, ""押金""), ""押金往來"",
  AND(E918&lt;&gt;"""", F918=""""), ""真實支出"",
  AND(E918="""", F918&lt;&gt;""""), ""真實收入"",
  TRUE, ""其他""
)"),"真實收入")</f>
        <v>真實收入</v>
      </c>
      <c r="K918" s="270">
        <f t="shared" si="2"/>
        <v>8516</v>
      </c>
      <c r="L918">
        <f t="shared" si="3"/>
        <v>0</v>
      </c>
    </row>
    <row r="919">
      <c r="A919" s="107">
        <f>IFERROR(__xludf.DUMMYFUNCTION("""COMPUTED_VALUE"""),45578.0)</f>
        <v>45578</v>
      </c>
      <c r="B919" t="str">
        <f>IFERROR(__xludf.DUMMYFUNCTION("""COMPUTED_VALUE"""),"市府爺爺家A董書鵬")</f>
        <v>市府爺爺家A董書鵬</v>
      </c>
      <c r="C919" t="str">
        <f>IFERROR(__xludf.DUMMYFUNCTION("""COMPUTED_VALUE"""),"收入 - 押金")</f>
        <v>收入 - 押金</v>
      </c>
      <c r="D919" s="270">
        <f>IFERROR(__xludf.DUMMYFUNCTION("""COMPUTED_VALUE"""),44000.0)</f>
        <v>44000</v>
      </c>
      <c r="F919" t="str">
        <f>IFERROR(__xludf.DUMMYFUNCTION("""COMPUTED_VALUE"""),"台銀籌備帳戶")</f>
        <v>台銀籌備帳戶</v>
      </c>
      <c r="G919" t="str">
        <f>IFERROR(__xludf.DUMMYFUNCTION("""COMPUTED_VALUE"""),"市府爺爺家")</f>
        <v>市府爺爺家</v>
      </c>
      <c r="H919" s="106" t="str">
        <f t="shared" si="1"/>
        <v>2024-10</v>
      </c>
      <c r="I919" s="271" t="str">
        <f>IFERROR(__xludf.DUMMYFUNCTION("""COMPUTED_VALUE"""),"貓狗企鵝")</f>
        <v>貓狗企鵝</v>
      </c>
      <c r="J919" t="str">
        <f>IFERROR(__xludf.DUMMYFUNCTION("IFS(
  AND(REGEXMATCH(E919, ""台銀籌備帳戶|玉山帳戶""), REGEXMATCH(C919, ""薪資"")), ""分潤支出"",
  AND(REGEXMATCH(E919, ""Ben帳戶|Elsa帳戶|Ben代墊|Ariel代墊|中信銀行共用""), REGEXMATCH(F919, ""Ben帳戶|Elsa帳戶|Ben代墊|Ariel代墊|中信銀行共用"")), ""內部轉帳(忽略)"",
  AND(E919&lt;&gt;"""", F919&lt;&gt;"""", NOT(REG"&amp;"EXMATCH(C919, ""薪資""))), ""內部轉帳(忽略)"",
  REGEXMATCH(C919, ""薪資""), ""薪資變動(不計入)"",
  REGEXMATCH(C919, ""押金""), ""押金往來"",
  AND(E919&lt;&gt;"""", F919=""""), ""真實支出"",
  AND(E919="""", F919&lt;&gt;""""), ""真實收入"",
  TRUE, ""其他""
)"),"押金往來")</f>
        <v>押金往來</v>
      </c>
      <c r="K919">
        <f t="shared" si="2"/>
        <v>0</v>
      </c>
      <c r="L919">
        <f t="shared" si="3"/>
        <v>0</v>
      </c>
    </row>
    <row r="920">
      <c r="A920" s="107">
        <f>IFERROR(__xludf.DUMMYFUNCTION("""COMPUTED_VALUE"""),45579.0)</f>
        <v>45579</v>
      </c>
      <c r="B920" t="str">
        <f>IFERROR(__xludf.DUMMYFUNCTION("""COMPUTED_VALUE"""),"景安2分鐘B張語婕")</f>
        <v>景安2分鐘B張語婕</v>
      </c>
      <c r="C920" t="str">
        <f>IFERROR(__xludf.DUMMYFUNCTION("""COMPUTED_VALUE"""),"收入 - 押金")</f>
        <v>收入 - 押金</v>
      </c>
      <c r="D920" s="270">
        <f>IFERROR(__xludf.DUMMYFUNCTION("""COMPUTED_VALUE"""),37600.0)</f>
        <v>37600</v>
      </c>
      <c r="F920" t="str">
        <f>IFERROR(__xludf.DUMMYFUNCTION("""COMPUTED_VALUE"""),"台銀籌備帳戶")</f>
        <v>台銀籌備帳戶</v>
      </c>
      <c r="G920" t="str">
        <f>IFERROR(__xludf.DUMMYFUNCTION("""COMPUTED_VALUE"""),"景安2分鐘")</f>
        <v>景安2分鐘</v>
      </c>
      <c r="H920" s="106" t="str">
        <f t="shared" si="1"/>
        <v>2024-10</v>
      </c>
      <c r="I920" s="271" t="str">
        <f>IFERROR(__xludf.DUMMYFUNCTION("""COMPUTED_VALUE"""),"貓狗企鵝")</f>
        <v>貓狗企鵝</v>
      </c>
      <c r="J920" t="str">
        <f>IFERROR(__xludf.DUMMYFUNCTION("IFS(
  AND(REGEXMATCH(E920, ""台銀籌備帳戶|玉山帳戶""), REGEXMATCH(C920, ""薪資"")), ""分潤支出"",
  AND(REGEXMATCH(E920, ""Ben帳戶|Elsa帳戶|Ben代墊|Ariel代墊|中信銀行共用""), REGEXMATCH(F920, ""Ben帳戶|Elsa帳戶|Ben代墊|Ariel代墊|中信銀行共用"")), ""內部轉帳(忽略)"",
  AND(E920&lt;&gt;"""", F920&lt;&gt;"""", NOT(REG"&amp;"EXMATCH(C920, ""薪資""))), ""內部轉帳(忽略)"",
  REGEXMATCH(C920, ""薪資""), ""薪資變動(不計入)"",
  REGEXMATCH(C920, ""押金""), ""押金往來"",
  AND(E920&lt;&gt;"""", F920=""""), ""真實支出"",
  AND(E920="""", F920&lt;&gt;""""), ""真實收入"",
  TRUE, ""其他""
)"),"押金往來")</f>
        <v>押金往來</v>
      </c>
      <c r="K920">
        <f t="shared" si="2"/>
        <v>0</v>
      </c>
      <c r="L920">
        <f t="shared" si="3"/>
        <v>0</v>
      </c>
    </row>
    <row r="921">
      <c r="A921" s="107">
        <f>IFERROR(__xludf.DUMMYFUNCTION("""COMPUTED_VALUE"""),45580.0)</f>
        <v>45580</v>
      </c>
      <c r="B921" t="str">
        <f>IFERROR(__xludf.DUMMYFUNCTION("""COMPUTED_VALUE"""),"JOYA 燈")</f>
        <v>JOYA 燈</v>
      </c>
      <c r="C921" t="str">
        <f>IFERROR(__xludf.DUMMYFUNCTION("""COMPUTED_VALUE"""),"成本 - 進場前裝潢費")</f>
        <v>成本 - 進場前裝潢費</v>
      </c>
      <c r="D921" s="270">
        <f>IFERROR(__xludf.DUMMYFUNCTION("""COMPUTED_VALUE"""),-14578.0)</f>
        <v>-14578</v>
      </c>
      <c r="E921" t="str">
        <f>IFERROR(__xludf.DUMMYFUNCTION("""COMPUTED_VALUE"""),"Elsa帳戶")</f>
        <v>Elsa帳戶</v>
      </c>
      <c r="G921" t="str">
        <f>IFERROR(__xludf.DUMMYFUNCTION("""COMPUTED_VALUE"""),"中山北Feli家")</f>
        <v>中山北Feli家</v>
      </c>
      <c r="H921" s="106" t="str">
        <f t="shared" si="1"/>
        <v>2024-10</v>
      </c>
      <c r="I921" s="271" t="str">
        <f>IFERROR(__xludf.DUMMYFUNCTION("""COMPUTED_VALUE"""),"貓狗企鵝")</f>
        <v>貓狗企鵝</v>
      </c>
      <c r="J921" t="str">
        <f>IFERROR(__xludf.DUMMYFUNCTION("IFS(
  AND(REGEXMATCH(E921, ""台銀籌備帳戶|玉山帳戶""), REGEXMATCH(C921, ""薪資"")), ""分潤支出"",
  AND(REGEXMATCH(E921, ""Ben帳戶|Elsa帳戶|Ben代墊|Ariel代墊|中信銀行共用""), REGEXMATCH(F921, ""Ben帳戶|Elsa帳戶|Ben代墊|Ariel代墊|中信銀行共用"")), ""內部轉帳(忽略)"",
  AND(E921&lt;&gt;"""", F921&lt;&gt;"""", NOT(REG"&amp;"EXMATCH(C921, ""薪資""))), ""內部轉帳(忽略)"",
  REGEXMATCH(C921, ""薪資""), ""薪資變動(不計入)"",
  REGEXMATCH(C921, ""押金""), ""押金往來"",
  AND(E921&lt;&gt;"""", F921=""""), ""真實支出"",
  AND(E921="""", F921&lt;&gt;""""), ""真實收入"",
  TRUE, ""其他""
)"),"真實支出")</f>
        <v>真實支出</v>
      </c>
      <c r="K921" s="270">
        <f t="shared" si="2"/>
        <v>-14578</v>
      </c>
      <c r="L921">
        <f t="shared" si="3"/>
        <v>0</v>
      </c>
    </row>
    <row r="922">
      <c r="A922" s="107">
        <f>IFERROR(__xludf.DUMMYFUNCTION("""COMPUTED_VALUE"""),45580.0)</f>
        <v>45580</v>
      </c>
      <c r="B922" t="str">
        <f>IFERROR(__xludf.DUMMYFUNCTION("""COMPUTED_VALUE"""),"La move鑰匙")</f>
        <v>La move鑰匙</v>
      </c>
      <c r="C922" t="str">
        <f>IFERROR(__xludf.DUMMYFUNCTION("""COMPUTED_VALUE"""),"成本 - 租後修繕")</f>
        <v>成本 - 租後修繕</v>
      </c>
      <c r="D922" s="270">
        <f>IFERROR(__xludf.DUMMYFUNCTION("""COMPUTED_VALUE"""),-174.0)</f>
        <v>-174</v>
      </c>
      <c r="E922" t="str">
        <f>IFERROR(__xludf.DUMMYFUNCTION("""COMPUTED_VALUE"""),"Ben帳戶")</f>
        <v>Ben帳戶</v>
      </c>
      <c r="G922" t="str">
        <f>IFERROR(__xludf.DUMMYFUNCTION("""COMPUTED_VALUE"""),"南港站挑高宅")</f>
        <v>南港站挑高宅</v>
      </c>
      <c r="H922" s="106" t="str">
        <f t="shared" si="1"/>
        <v>2024-10</v>
      </c>
      <c r="I922" s="271" t="str">
        <f>IFERROR(__xludf.DUMMYFUNCTION("""COMPUTED_VALUE"""),"貓狗企鵝")</f>
        <v>貓狗企鵝</v>
      </c>
      <c r="J922" t="str">
        <f>IFERROR(__xludf.DUMMYFUNCTION("IFS(
  AND(REGEXMATCH(E922, ""台銀籌備帳戶|玉山帳戶""), REGEXMATCH(C922, ""薪資"")), ""分潤支出"",
  AND(REGEXMATCH(E922, ""Ben帳戶|Elsa帳戶|Ben代墊|Ariel代墊|中信銀行共用""), REGEXMATCH(F922, ""Ben帳戶|Elsa帳戶|Ben代墊|Ariel代墊|中信銀行共用"")), ""內部轉帳(忽略)"",
  AND(E922&lt;&gt;"""", F922&lt;&gt;"""", NOT(REG"&amp;"EXMATCH(C922, ""薪資""))), ""內部轉帳(忽略)"",
  REGEXMATCH(C922, ""薪資""), ""薪資變動(不計入)"",
  REGEXMATCH(C922, ""押金""), ""押金往來"",
  AND(E922&lt;&gt;"""", F922=""""), ""真實支出"",
  AND(E922="""", F922&lt;&gt;""""), ""真實收入"",
  TRUE, ""其他""
)"),"真實支出")</f>
        <v>真實支出</v>
      </c>
      <c r="K922" s="270">
        <f t="shared" si="2"/>
        <v>-174</v>
      </c>
      <c r="L922">
        <f t="shared" si="3"/>
        <v>0</v>
      </c>
    </row>
    <row r="923">
      <c r="A923" s="107">
        <f>IFERROR(__xludf.DUMMYFUNCTION("""COMPUTED_VALUE"""),45580.0)</f>
        <v>45580</v>
      </c>
      <c r="B923" t="str">
        <f>IFERROR(__xludf.DUMMYFUNCTION("""COMPUTED_VALUE"""),"曬衣架")</f>
        <v>曬衣架</v>
      </c>
      <c r="C923" t="str">
        <f>IFERROR(__xludf.DUMMYFUNCTION("""COMPUTED_VALUE"""),"成本 - 進場前裝潢費")</f>
        <v>成本 - 進場前裝潢費</v>
      </c>
      <c r="D923" s="270">
        <f>IFERROR(__xludf.DUMMYFUNCTION("""COMPUTED_VALUE"""),-799.0)</f>
        <v>-799</v>
      </c>
      <c r="E923" t="str">
        <f>IFERROR(__xludf.DUMMYFUNCTION("""COMPUTED_VALUE"""),"Ben帳戶")</f>
        <v>Ben帳戶</v>
      </c>
      <c r="G923" t="str">
        <f>IFERROR(__xludf.DUMMYFUNCTION("""COMPUTED_VALUE"""),"中山北娘家旁")</f>
        <v>中山北娘家旁</v>
      </c>
      <c r="H923" s="106" t="str">
        <f t="shared" si="1"/>
        <v>2024-10</v>
      </c>
      <c r="I923" s="271" t="str">
        <f>IFERROR(__xludf.DUMMYFUNCTION("""COMPUTED_VALUE"""),"貓狗企鵝")</f>
        <v>貓狗企鵝</v>
      </c>
      <c r="J923" t="str">
        <f>IFERROR(__xludf.DUMMYFUNCTION("IFS(
  AND(REGEXMATCH(E923, ""台銀籌備帳戶|玉山帳戶""), REGEXMATCH(C923, ""薪資"")), ""分潤支出"",
  AND(REGEXMATCH(E923, ""Ben帳戶|Elsa帳戶|Ben代墊|Ariel代墊|中信銀行共用""), REGEXMATCH(F923, ""Ben帳戶|Elsa帳戶|Ben代墊|Ariel代墊|中信銀行共用"")), ""內部轉帳(忽略)"",
  AND(E923&lt;&gt;"""", F923&lt;&gt;"""", NOT(REG"&amp;"EXMATCH(C923, ""薪資""))), ""內部轉帳(忽略)"",
  REGEXMATCH(C923, ""薪資""), ""薪資變動(不計入)"",
  REGEXMATCH(C923, ""押金""), ""押金往來"",
  AND(E923&lt;&gt;"""", F923=""""), ""真實支出"",
  AND(E923="""", F923&lt;&gt;""""), ""真實收入"",
  TRUE, ""其他""
)"),"真實支出")</f>
        <v>真實支出</v>
      </c>
      <c r="K923" s="270">
        <f t="shared" si="2"/>
        <v>-799</v>
      </c>
      <c r="L923">
        <f t="shared" si="3"/>
        <v>0</v>
      </c>
    </row>
    <row r="924">
      <c r="A924" s="107">
        <f>IFERROR(__xludf.DUMMYFUNCTION("""COMPUTED_VALUE"""),45580.0)</f>
        <v>45580</v>
      </c>
      <c r="B924" t="str">
        <f>IFERROR(__xludf.DUMMYFUNCTION("""COMPUTED_VALUE"""),"中山北娘家IKEA")</f>
        <v>中山北娘家IKEA</v>
      </c>
      <c r="C924" t="str">
        <f>IFERROR(__xludf.DUMMYFUNCTION("""COMPUTED_VALUE"""),"成本 - 進場前裝潢費")</f>
        <v>成本 - 進場前裝潢費</v>
      </c>
      <c r="D924" s="270">
        <f>IFERROR(__xludf.DUMMYFUNCTION("""COMPUTED_VALUE"""),-24459.0)</f>
        <v>-24459</v>
      </c>
      <c r="E924" t="str">
        <f>IFERROR(__xludf.DUMMYFUNCTION("""COMPUTED_VALUE"""),"Elsa帳戶")</f>
        <v>Elsa帳戶</v>
      </c>
      <c r="G924" t="str">
        <f>IFERROR(__xludf.DUMMYFUNCTION("""COMPUTED_VALUE"""),"中山北娘家旁")</f>
        <v>中山北娘家旁</v>
      </c>
      <c r="H924" s="106" t="str">
        <f t="shared" si="1"/>
        <v>2024-10</v>
      </c>
      <c r="I924" s="271" t="str">
        <f>IFERROR(__xludf.DUMMYFUNCTION("""COMPUTED_VALUE"""),"貓狗企鵝")</f>
        <v>貓狗企鵝</v>
      </c>
      <c r="J924" t="str">
        <f>IFERROR(__xludf.DUMMYFUNCTION("IFS(
  AND(REGEXMATCH(E924, ""台銀籌備帳戶|玉山帳戶""), REGEXMATCH(C924, ""薪資"")), ""分潤支出"",
  AND(REGEXMATCH(E924, ""Ben帳戶|Elsa帳戶|Ben代墊|Ariel代墊|中信銀行共用""), REGEXMATCH(F924, ""Ben帳戶|Elsa帳戶|Ben代墊|Ariel代墊|中信銀行共用"")), ""內部轉帳(忽略)"",
  AND(E924&lt;&gt;"""", F924&lt;&gt;"""", NOT(REG"&amp;"EXMATCH(C924, ""薪資""))), ""內部轉帳(忽略)"",
  REGEXMATCH(C924, ""薪資""), ""薪資變動(不計入)"",
  REGEXMATCH(C924, ""押金""), ""押金往來"",
  AND(E924&lt;&gt;"""", F924=""""), ""真實支出"",
  AND(E924="""", F924&lt;&gt;""""), ""真實收入"",
  TRUE, ""其他""
)"),"真實支出")</f>
        <v>真實支出</v>
      </c>
      <c r="K924" s="270">
        <f t="shared" si="2"/>
        <v>-24459</v>
      </c>
      <c r="L924">
        <f t="shared" si="3"/>
        <v>0</v>
      </c>
    </row>
    <row r="925">
      <c r="A925" s="107">
        <f>IFERROR(__xludf.DUMMYFUNCTION("""COMPUTED_VALUE"""),45580.0)</f>
        <v>45580</v>
      </c>
      <c r="B925" t="str">
        <f>IFERROR(__xludf.DUMMYFUNCTION("""COMPUTED_VALUE"""),"MOMO 洗脫烘/冰箱")</f>
        <v>MOMO 洗脫烘/冰箱</v>
      </c>
      <c r="C925" t="str">
        <f>IFERROR(__xludf.DUMMYFUNCTION("""COMPUTED_VALUE"""),"成本 - 進場前裝潢費")</f>
        <v>成本 - 進場前裝潢費</v>
      </c>
      <c r="D925" s="270">
        <f>IFERROR(__xludf.DUMMYFUNCTION("""COMPUTED_VALUE"""),-26099.0)</f>
        <v>-26099</v>
      </c>
      <c r="E925" t="str">
        <f>IFERROR(__xludf.DUMMYFUNCTION("""COMPUTED_VALUE"""),"Elsa帳戶")</f>
        <v>Elsa帳戶</v>
      </c>
      <c r="G925" t="str">
        <f>IFERROR(__xludf.DUMMYFUNCTION("""COMPUTED_VALUE"""),"中山北娘家旁")</f>
        <v>中山北娘家旁</v>
      </c>
      <c r="H925" s="106" t="str">
        <f t="shared" si="1"/>
        <v>2024-10</v>
      </c>
      <c r="I925" s="271" t="str">
        <f>IFERROR(__xludf.DUMMYFUNCTION("""COMPUTED_VALUE"""),"貓狗企鵝")</f>
        <v>貓狗企鵝</v>
      </c>
      <c r="J925" t="str">
        <f>IFERROR(__xludf.DUMMYFUNCTION("IFS(
  AND(REGEXMATCH(E925, ""台銀籌備帳戶|玉山帳戶""), REGEXMATCH(C925, ""薪資"")), ""分潤支出"",
  AND(REGEXMATCH(E925, ""Ben帳戶|Elsa帳戶|Ben代墊|Ariel代墊|中信銀行共用""), REGEXMATCH(F925, ""Ben帳戶|Elsa帳戶|Ben代墊|Ariel代墊|中信銀行共用"")), ""內部轉帳(忽略)"",
  AND(E925&lt;&gt;"""", F925&lt;&gt;"""", NOT(REG"&amp;"EXMATCH(C925, ""薪資""))), ""內部轉帳(忽略)"",
  REGEXMATCH(C925, ""薪資""), ""薪資變動(不計入)"",
  REGEXMATCH(C925, ""押金""), ""押金往來"",
  AND(E925&lt;&gt;"""", F925=""""), ""真實支出"",
  AND(E925="""", F925&lt;&gt;""""), ""真實收入"",
  TRUE, ""其他""
)"),"真實支出")</f>
        <v>真實支出</v>
      </c>
      <c r="K925" s="270">
        <f t="shared" si="2"/>
        <v>-26099</v>
      </c>
      <c r="L925">
        <f t="shared" si="3"/>
        <v>0</v>
      </c>
    </row>
    <row r="926">
      <c r="A926" s="107">
        <f>IFERROR(__xludf.DUMMYFUNCTION("""COMPUTED_VALUE"""),45580.0)</f>
        <v>45580</v>
      </c>
      <c r="B926" t="str">
        <f>IFERROR(__xludf.DUMMYFUNCTION("""COMPUTED_VALUE"""),"MOMO 壁燈*3")</f>
        <v>MOMO 壁燈*3</v>
      </c>
      <c r="C926" t="str">
        <f>IFERROR(__xludf.DUMMYFUNCTION("""COMPUTED_VALUE"""),"成本 - 進場前裝潢費")</f>
        <v>成本 - 進場前裝潢費</v>
      </c>
      <c r="D926" s="270">
        <f>IFERROR(__xludf.DUMMYFUNCTION("""COMPUTED_VALUE"""),-2037.0)</f>
        <v>-2037</v>
      </c>
      <c r="E926" t="str">
        <f>IFERROR(__xludf.DUMMYFUNCTION("""COMPUTED_VALUE"""),"Elsa帳戶")</f>
        <v>Elsa帳戶</v>
      </c>
      <c r="G926" t="str">
        <f>IFERROR(__xludf.DUMMYFUNCTION("""COMPUTED_VALUE"""),"中山北娘家旁")</f>
        <v>中山北娘家旁</v>
      </c>
      <c r="H926" s="106" t="str">
        <f t="shared" si="1"/>
        <v>2024-10</v>
      </c>
      <c r="I926" s="271" t="str">
        <f>IFERROR(__xludf.DUMMYFUNCTION("""COMPUTED_VALUE"""),"貓狗企鵝")</f>
        <v>貓狗企鵝</v>
      </c>
      <c r="J926" t="str">
        <f>IFERROR(__xludf.DUMMYFUNCTION("IFS(
  AND(REGEXMATCH(E926, ""台銀籌備帳戶|玉山帳戶""), REGEXMATCH(C926, ""薪資"")), ""分潤支出"",
  AND(REGEXMATCH(E926, ""Ben帳戶|Elsa帳戶|Ben代墊|Ariel代墊|中信銀行共用""), REGEXMATCH(F926, ""Ben帳戶|Elsa帳戶|Ben代墊|Ariel代墊|中信銀行共用"")), ""內部轉帳(忽略)"",
  AND(E926&lt;&gt;"""", F926&lt;&gt;"""", NOT(REG"&amp;"EXMATCH(C926, ""薪資""))), ""內部轉帳(忽略)"",
  REGEXMATCH(C926, ""薪資""), ""薪資變動(不計入)"",
  REGEXMATCH(C926, ""押金""), ""押金往來"",
  AND(E926&lt;&gt;"""", F926=""""), ""真實支出"",
  AND(E926="""", F926&lt;&gt;""""), ""真實收入"",
  TRUE, ""其他""
)"),"真實支出")</f>
        <v>真實支出</v>
      </c>
      <c r="K926" s="270">
        <f t="shared" si="2"/>
        <v>-2037</v>
      </c>
      <c r="L926">
        <f t="shared" si="3"/>
        <v>0</v>
      </c>
    </row>
    <row r="927">
      <c r="A927" s="107">
        <f>IFERROR(__xludf.DUMMYFUNCTION("""COMPUTED_VALUE"""),45580.0)</f>
        <v>45580</v>
      </c>
      <c r="B927" t="str">
        <f>IFERROR(__xludf.DUMMYFUNCTION("""COMPUTED_VALUE"""),"窗簾桿")</f>
        <v>窗簾桿</v>
      </c>
      <c r="C927" t="str">
        <f>IFERROR(__xludf.DUMMYFUNCTION("""COMPUTED_VALUE"""),"成本 - 進場前裝潢費")</f>
        <v>成本 - 進場前裝潢費</v>
      </c>
      <c r="D927" s="270">
        <f>IFERROR(__xludf.DUMMYFUNCTION("""COMPUTED_VALUE"""),-1395.0)</f>
        <v>-1395</v>
      </c>
      <c r="E927" t="str">
        <f>IFERROR(__xludf.DUMMYFUNCTION("""COMPUTED_VALUE"""),"Ben帳戶")</f>
        <v>Ben帳戶</v>
      </c>
      <c r="G927" t="str">
        <f>IFERROR(__xludf.DUMMYFUNCTION("""COMPUTED_VALUE"""),"中山北娘家旁")</f>
        <v>中山北娘家旁</v>
      </c>
      <c r="H927" s="106" t="str">
        <f t="shared" si="1"/>
        <v>2024-10</v>
      </c>
      <c r="I927" s="271" t="str">
        <f>IFERROR(__xludf.DUMMYFUNCTION("""COMPUTED_VALUE"""),"貓狗企鵝")</f>
        <v>貓狗企鵝</v>
      </c>
      <c r="J927" t="str">
        <f>IFERROR(__xludf.DUMMYFUNCTION("IFS(
  AND(REGEXMATCH(E927, ""台銀籌備帳戶|玉山帳戶""), REGEXMATCH(C927, ""薪資"")), ""分潤支出"",
  AND(REGEXMATCH(E927, ""Ben帳戶|Elsa帳戶|Ben代墊|Ariel代墊|中信銀行共用""), REGEXMATCH(F927, ""Ben帳戶|Elsa帳戶|Ben代墊|Ariel代墊|中信銀行共用"")), ""內部轉帳(忽略)"",
  AND(E927&lt;&gt;"""", F927&lt;&gt;"""", NOT(REG"&amp;"EXMATCH(C927, ""薪資""))), ""內部轉帳(忽略)"",
  REGEXMATCH(C927, ""薪資""), ""薪資變動(不計入)"",
  REGEXMATCH(C927, ""押金""), ""押金往來"",
  AND(E927&lt;&gt;"""", F927=""""), ""真實支出"",
  AND(E927="""", F927&lt;&gt;""""), ""真實收入"",
  TRUE, ""其他""
)"),"真實支出")</f>
        <v>真實支出</v>
      </c>
      <c r="K927" s="270">
        <f t="shared" si="2"/>
        <v>-1395</v>
      </c>
      <c r="L927">
        <f t="shared" si="3"/>
        <v>0</v>
      </c>
    </row>
    <row r="928">
      <c r="A928" s="107">
        <f>IFERROR(__xludf.DUMMYFUNCTION("""COMPUTED_VALUE"""),45580.0)</f>
        <v>45580</v>
      </c>
      <c r="B928" t="str">
        <f>IFERROR(__xludf.DUMMYFUNCTION("""COMPUTED_VALUE"""),"南港挑高租金")</f>
        <v>南港挑高租金</v>
      </c>
      <c r="C928" t="str">
        <f>IFERROR(__xludf.DUMMYFUNCTION("""COMPUTED_VALUE"""),"成本 - 大租金")</f>
        <v>成本 - 大租金</v>
      </c>
      <c r="D928" s="270">
        <f>IFERROR(__xludf.DUMMYFUNCTION("""COMPUTED_VALUE"""),-18250.0)</f>
        <v>-18250</v>
      </c>
      <c r="E928" t="str">
        <f>IFERROR(__xludf.DUMMYFUNCTION("""COMPUTED_VALUE"""),"台銀籌備帳戶")</f>
        <v>台銀籌備帳戶</v>
      </c>
      <c r="G928" t="str">
        <f>IFERROR(__xludf.DUMMYFUNCTION("""COMPUTED_VALUE"""),"南港站挑高宅")</f>
        <v>南港站挑高宅</v>
      </c>
      <c r="H928" s="106" t="str">
        <f t="shared" si="1"/>
        <v>2024-10</v>
      </c>
      <c r="I928" s="271" t="str">
        <f>IFERROR(__xludf.DUMMYFUNCTION("""COMPUTED_VALUE"""),"貓狗企鵝")</f>
        <v>貓狗企鵝</v>
      </c>
      <c r="J928" t="str">
        <f>IFERROR(__xludf.DUMMYFUNCTION("IFS(
  AND(REGEXMATCH(E928, ""台銀籌備帳戶|玉山帳戶""), REGEXMATCH(C928, ""薪資"")), ""分潤支出"",
  AND(REGEXMATCH(E928, ""Ben帳戶|Elsa帳戶|Ben代墊|Ariel代墊|中信銀行共用""), REGEXMATCH(F928, ""Ben帳戶|Elsa帳戶|Ben代墊|Ariel代墊|中信銀行共用"")), ""內部轉帳(忽略)"",
  AND(E928&lt;&gt;"""", F928&lt;&gt;"""", NOT(REG"&amp;"EXMATCH(C928, ""薪資""))), ""內部轉帳(忽略)"",
  REGEXMATCH(C928, ""薪資""), ""薪資變動(不計入)"",
  REGEXMATCH(C928, ""押金""), ""押金往來"",
  AND(E928&lt;&gt;"""", F928=""""), ""真實支出"",
  AND(E928="""", F928&lt;&gt;""""), ""真實收入"",
  TRUE, ""其他""
)"),"真實支出")</f>
        <v>真實支出</v>
      </c>
      <c r="K928" s="270">
        <f t="shared" si="2"/>
        <v>-18250</v>
      </c>
      <c r="L928">
        <f t="shared" si="3"/>
        <v>0</v>
      </c>
    </row>
    <row r="929">
      <c r="A929" s="107">
        <f>IFERROR(__xludf.DUMMYFUNCTION("""COMPUTED_VALUE"""),45580.0)</f>
        <v>45580</v>
      </c>
      <c r="B929" t="str">
        <f>IFERROR(__xludf.DUMMYFUNCTION("""COMPUTED_VALUE"""),"北醫陳醫師")</f>
        <v>北醫陳醫師</v>
      </c>
      <c r="C929" t="str">
        <f>IFERROR(__xludf.DUMMYFUNCTION("""COMPUTED_VALUE"""),"成本 - 大租金")</f>
        <v>成本 - 大租金</v>
      </c>
      <c r="D929" s="270">
        <f>IFERROR(__xludf.DUMMYFUNCTION("""COMPUTED_VALUE"""),-12815.0)</f>
        <v>-12815</v>
      </c>
      <c r="E929" t="str">
        <f>IFERROR(__xludf.DUMMYFUNCTION("""COMPUTED_VALUE"""),"台銀籌備帳戶")</f>
        <v>台銀籌備帳戶</v>
      </c>
      <c r="G929" t="str">
        <f>IFERROR(__xludf.DUMMYFUNCTION("""COMPUTED_VALUE"""),"北醫醫師府")</f>
        <v>北醫醫師府</v>
      </c>
      <c r="H929" s="106" t="str">
        <f t="shared" si="1"/>
        <v>2024-10</v>
      </c>
      <c r="I929" s="271" t="str">
        <f>IFERROR(__xludf.DUMMYFUNCTION("""COMPUTED_VALUE"""),"貓狗企鵝")</f>
        <v>貓狗企鵝</v>
      </c>
      <c r="J929" t="str">
        <f>IFERROR(__xludf.DUMMYFUNCTION("IFS(
  AND(REGEXMATCH(E929, ""台銀籌備帳戶|玉山帳戶""), REGEXMATCH(C929, ""薪資"")), ""分潤支出"",
  AND(REGEXMATCH(E929, ""Ben帳戶|Elsa帳戶|Ben代墊|Ariel代墊|中信銀行共用""), REGEXMATCH(F929, ""Ben帳戶|Elsa帳戶|Ben代墊|Ariel代墊|中信銀行共用"")), ""內部轉帳(忽略)"",
  AND(E929&lt;&gt;"""", F929&lt;&gt;"""", NOT(REG"&amp;"EXMATCH(C929, ""薪資""))), ""內部轉帳(忽略)"",
  REGEXMATCH(C929, ""薪資""), ""薪資變動(不計入)"",
  REGEXMATCH(C929, ""押金""), ""押金往來"",
  AND(E929&lt;&gt;"""", F929=""""), ""真實支出"",
  AND(E929="""", F929&lt;&gt;""""), ""真實收入"",
  TRUE, ""其他""
)"),"真實支出")</f>
        <v>真實支出</v>
      </c>
      <c r="K929" s="270">
        <f t="shared" si="2"/>
        <v>-12815</v>
      </c>
      <c r="L929">
        <f t="shared" si="3"/>
        <v>0</v>
      </c>
    </row>
    <row r="930">
      <c r="A930" s="107">
        <f>IFERROR(__xludf.DUMMYFUNCTION("""COMPUTED_VALUE"""),45580.0)</f>
        <v>45580</v>
      </c>
      <c r="B930" t="str">
        <f>IFERROR(__xludf.DUMMYFUNCTION("""COMPUTED_VALUE"""),"哈拉陳校長")</f>
        <v>哈拉陳校長</v>
      </c>
      <c r="C930" t="str">
        <f>IFERROR(__xludf.DUMMYFUNCTION("""COMPUTED_VALUE"""),"成本 - 大租金")</f>
        <v>成本 - 大租金</v>
      </c>
      <c r="D930" s="270">
        <f>IFERROR(__xludf.DUMMYFUNCTION("""COMPUTED_VALUE"""),-13015.0)</f>
        <v>-13015</v>
      </c>
      <c r="E930" t="str">
        <f>IFERROR(__xludf.DUMMYFUNCTION("""COMPUTED_VALUE"""),"台銀籌備帳戶")</f>
        <v>台銀籌備帳戶</v>
      </c>
      <c r="G930" t="str">
        <f>IFERROR(__xludf.DUMMYFUNCTION("""COMPUTED_VALUE"""),"哈拉對面")</f>
        <v>哈拉對面</v>
      </c>
      <c r="H930" s="106" t="str">
        <f t="shared" si="1"/>
        <v>2024-10</v>
      </c>
      <c r="I930" s="271" t="str">
        <f>IFERROR(__xludf.DUMMYFUNCTION("""COMPUTED_VALUE"""),"貓狗企鵝")</f>
        <v>貓狗企鵝</v>
      </c>
      <c r="J930" t="str">
        <f>IFERROR(__xludf.DUMMYFUNCTION("IFS(
  AND(REGEXMATCH(E930, ""台銀籌備帳戶|玉山帳戶""), REGEXMATCH(C930, ""薪資"")), ""分潤支出"",
  AND(REGEXMATCH(E930, ""Ben帳戶|Elsa帳戶|Ben代墊|Ariel代墊|中信銀行共用""), REGEXMATCH(F930, ""Ben帳戶|Elsa帳戶|Ben代墊|Ariel代墊|中信銀行共用"")), ""內部轉帳(忽略)"",
  AND(E930&lt;&gt;"""", F930&lt;&gt;"""", NOT(REG"&amp;"EXMATCH(C930, ""薪資""))), ""內部轉帳(忽略)"",
  REGEXMATCH(C930, ""薪資""), ""薪資變動(不計入)"",
  REGEXMATCH(C930, ""押金""), ""押金往來"",
  AND(E930&lt;&gt;"""", F930=""""), ""真實支出"",
  AND(E930="""", F930&lt;&gt;""""), ""真實收入"",
  TRUE, ""其他""
)"),"真實支出")</f>
        <v>真實支出</v>
      </c>
      <c r="K930" s="270">
        <f t="shared" si="2"/>
        <v>-13015</v>
      </c>
      <c r="L930">
        <f t="shared" si="3"/>
        <v>0</v>
      </c>
    </row>
    <row r="931">
      <c r="A931" s="107">
        <f>IFERROR(__xludf.DUMMYFUNCTION("""COMPUTED_VALUE"""),45580.0)</f>
        <v>45580</v>
      </c>
      <c r="B931" t="str">
        <f>IFERROR(__xludf.DUMMYFUNCTION("""COMPUTED_VALUE"""),"龍江游sir")</f>
        <v>龍江游sir</v>
      </c>
      <c r="C931" t="str">
        <f>IFERROR(__xludf.DUMMYFUNCTION("""COMPUTED_VALUE"""),"成本 - 大租金")</f>
        <v>成本 - 大租金</v>
      </c>
      <c r="D931" s="270">
        <f>IFERROR(__xludf.DUMMYFUNCTION("""COMPUTED_VALUE"""),-13515.0)</f>
        <v>-13515</v>
      </c>
      <c r="E931" t="str">
        <f>IFERROR(__xludf.DUMMYFUNCTION("""COMPUTED_VALUE"""),"台銀籌備帳戶")</f>
        <v>台銀籌備帳戶</v>
      </c>
      <c r="G931" t="str">
        <f>IFERROR(__xludf.DUMMYFUNCTION("""COMPUTED_VALUE"""),"龍江229")</f>
        <v>龍江229</v>
      </c>
      <c r="H931" s="106" t="str">
        <f t="shared" si="1"/>
        <v>2024-10</v>
      </c>
      <c r="I931" s="271" t="str">
        <f>IFERROR(__xludf.DUMMYFUNCTION("""COMPUTED_VALUE"""),"貓狗企鵝")</f>
        <v>貓狗企鵝</v>
      </c>
      <c r="J931" t="str">
        <f>IFERROR(__xludf.DUMMYFUNCTION("IFS(
  AND(REGEXMATCH(E931, ""台銀籌備帳戶|玉山帳戶""), REGEXMATCH(C931, ""薪資"")), ""分潤支出"",
  AND(REGEXMATCH(E931, ""Ben帳戶|Elsa帳戶|Ben代墊|Ariel代墊|中信銀行共用""), REGEXMATCH(F931, ""Ben帳戶|Elsa帳戶|Ben代墊|Ariel代墊|中信銀行共用"")), ""內部轉帳(忽略)"",
  AND(E931&lt;&gt;"""", F931&lt;&gt;"""", NOT(REG"&amp;"EXMATCH(C931, ""薪資""))), ""內部轉帳(忽略)"",
  REGEXMATCH(C931, ""薪資""), ""薪資變動(不計入)"",
  REGEXMATCH(C931, ""押金""), ""押金往來"",
  AND(E931&lt;&gt;"""", F931=""""), ""真實支出"",
  AND(E931="""", F931&lt;&gt;""""), ""真實收入"",
  TRUE, ""其他""
)"),"真實支出")</f>
        <v>真實支出</v>
      </c>
      <c r="K931" s="270">
        <f t="shared" si="2"/>
        <v>-13515</v>
      </c>
      <c r="L931">
        <f t="shared" si="3"/>
        <v>0</v>
      </c>
    </row>
    <row r="932">
      <c r="A932" s="107">
        <f>IFERROR(__xludf.DUMMYFUNCTION("""COMPUTED_VALUE"""),45580.0)</f>
        <v>45580</v>
      </c>
      <c r="B932" t="str">
        <f>IFERROR(__xludf.DUMMYFUNCTION("""COMPUTED_VALUE"""),"大湖陳彩霞")</f>
        <v>大湖陳彩霞</v>
      </c>
      <c r="C932" t="str">
        <f>IFERROR(__xludf.DUMMYFUNCTION("""COMPUTED_VALUE"""),"成本 - 大租金")</f>
        <v>成本 - 大租金</v>
      </c>
      <c r="D932" s="270">
        <f>IFERROR(__xludf.DUMMYFUNCTION("""COMPUTED_VALUE"""),-19415.0)</f>
        <v>-19415</v>
      </c>
      <c r="E932" t="str">
        <f>IFERROR(__xludf.DUMMYFUNCTION("""COMPUTED_VALUE"""),"台銀籌備帳戶")</f>
        <v>台銀籌備帳戶</v>
      </c>
      <c r="G932" t="str">
        <f>IFERROR(__xludf.DUMMYFUNCTION("""COMPUTED_VALUE"""),"大湖山莊")</f>
        <v>大湖山莊</v>
      </c>
      <c r="H932" s="106" t="str">
        <f t="shared" si="1"/>
        <v>2024-10</v>
      </c>
      <c r="I932" s="271" t="str">
        <f>IFERROR(__xludf.DUMMYFUNCTION("""COMPUTED_VALUE"""),"貓狗企鵝")</f>
        <v>貓狗企鵝</v>
      </c>
      <c r="J932" t="str">
        <f>IFERROR(__xludf.DUMMYFUNCTION("IFS(
  AND(REGEXMATCH(E932, ""台銀籌備帳戶|玉山帳戶""), REGEXMATCH(C932, ""薪資"")), ""分潤支出"",
  AND(REGEXMATCH(E932, ""Ben帳戶|Elsa帳戶|Ben代墊|Ariel代墊|中信銀行共用""), REGEXMATCH(F932, ""Ben帳戶|Elsa帳戶|Ben代墊|Ariel代墊|中信銀行共用"")), ""內部轉帳(忽略)"",
  AND(E932&lt;&gt;"""", F932&lt;&gt;"""", NOT(REG"&amp;"EXMATCH(C932, ""薪資""))), ""內部轉帳(忽略)"",
  REGEXMATCH(C932, ""薪資""), ""薪資變動(不計入)"",
  REGEXMATCH(C932, ""押金""), ""押金往來"",
  AND(E932&lt;&gt;"""", F932=""""), ""真實支出"",
  AND(E932="""", F932&lt;&gt;""""), ""真實收入"",
  TRUE, ""其他""
)"),"真實支出")</f>
        <v>真實支出</v>
      </c>
      <c r="K932" s="270">
        <f t="shared" si="2"/>
        <v>-19415</v>
      </c>
      <c r="L932">
        <f t="shared" si="3"/>
        <v>0</v>
      </c>
    </row>
    <row r="933">
      <c r="A933" s="107">
        <f>IFERROR(__xludf.DUMMYFUNCTION("""COMPUTED_VALUE"""),45580.0)</f>
        <v>45580</v>
      </c>
      <c r="B933" t="str">
        <f>IFERROR(__xludf.DUMMYFUNCTION("""COMPUTED_VALUE"""),"倒垃圾。大型垃圾袋200元 出勤時間(景安區)")</f>
        <v>倒垃圾。大型垃圾袋200元 出勤時間(景安區)</v>
      </c>
      <c r="C933" t="str">
        <f>IFERROR(__xludf.DUMMYFUNCTION("""COMPUTED_VALUE"""),"成本 - 出勤費")</f>
        <v>成本 - 出勤費</v>
      </c>
      <c r="D933" s="270">
        <f>IFERROR(__xludf.DUMMYFUNCTION("""COMPUTED_VALUE"""),-800.0)</f>
        <v>-800</v>
      </c>
      <c r="E933" t="str">
        <f>IFERROR(__xludf.DUMMYFUNCTION("""COMPUTED_VALUE"""),"Ben帳戶")</f>
        <v>Ben帳戶</v>
      </c>
      <c r="G933" t="str">
        <f>IFERROR(__xludf.DUMMYFUNCTION("""COMPUTED_VALUE"""),"景安2分鐘")</f>
        <v>景安2分鐘</v>
      </c>
      <c r="H933" s="106" t="str">
        <f t="shared" si="1"/>
        <v>2024-10</v>
      </c>
      <c r="I933" s="271" t="str">
        <f>IFERROR(__xludf.DUMMYFUNCTION("""COMPUTED_VALUE"""),"貓狗企鵝")</f>
        <v>貓狗企鵝</v>
      </c>
      <c r="J933" t="str">
        <f>IFERROR(__xludf.DUMMYFUNCTION("IFS(
  AND(REGEXMATCH(E933, ""台銀籌備帳戶|玉山帳戶""), REGEXMATCH(C933, ""薪資"")), ""分潤支出"",
  AND(REGEXMATCH(E933, ""Ben帳戶|Elsa帳戶|Ben代墊|Ariel代墊|中信銀行共用""), REGEXMATCH(F933, ""Ben帳戶|Elsa帳戶|Ben代墊|Ariel代墊|中信銀行共用"")), ""內部轉帳(忽略)"",
  AND(E933&lt;&gt;"""", F933&lt;&gt;"""", NOT(REG"&amp;"EXMATCH(C933, ""薪資""))), ""內部轉帳(忽略)"",
  REGEXMATCH(C933, ""薪資""), ""薪資變動(不計入)"",
  REGEXMATCH(C933, ""押金""), ""押金往來"",
  AND(E933&lt;&gt;"""", F933=""""), ""真實支出"",
  AND(E933="""", F933&lt;&gt;""""), ""真實收入"",
  TRUE, ""其他""
)"),"真實支出")</f>
        <v>真實支出</v>
      </c>
      <c r="K933" s="270">
        <f t="shared" si="2"/>
        <v>-800</v>
      </c>
      <c r="L933">
        <f t="shared" si="3"/>
        <v>0</v>
      </c>
    </row>
    <row r="934">
      <c r="A934" s="107">
        <f>IFERROR(__xludf.DUMMYFUNCTION("""COMPUTED_VALUE"""),45581.0)</f>
        <v>45581</v>
      </c>
      <c r="B934" t="str">
        <f>IFERROR(__xludf.DUMMYFUNCTION("""COMPUTED_VALUE"""),"住警器*4")</f>
        <v>住警器*4</v>
      </c>
      <c r="C934" t="str">
        <f>IFERROR(__xludf.DUMMYFUNCTION("""COMPUTED_VALUE"""),"成本 - 進場前裝潢費")</f>
        <v>成本 - 進場前裝潢費</v>
      </c>
      <c r="D934" s="270">
        <f>IFERROR(__xludf.DUMMYFUNCTION("""COMPUTED_VALUE"""),-1440.0)</f>
        <v>-1440</v>
      </c>
      <c r="E934" t="str">
        <f>IFERROR(__xludf.DUMMYFUNCTION("""COMPUTED_VALUE"""),"Ben帳戶")</f>
        <v>Ben帳戶</v>
      </c>
      <c r="G934" t="str">
        <f>IFERROR(__xludf.DUMMYFUNCTION("""COMPUTED_VALUE"""),"中山北Feli家")</f>
        <v>中山北Feli家</v>
      </c>
      <c r="H934" s="106" t="str">
        <f t="shared" si="1"/>
        <v>2024-10</v>
      </c>
      <c r="I934" s="271" t="str">
        <f>IFERROR(__xludf.DUMMYFUNCTION("""COMPUTED_VALUE"""),"貓狗企鵝")</f>
        <v>貓狗企鵝</v>
      </c>
      <c r="J934" t="str">
        <f>IFERROR(__xludf.DUMMYFUNCTION("IFS(
  AND(REGEXMATCH(E934, ""台銀籌備帳戶|玉山帳戶""), REGEXMATCH(C934, ""薪資"")), ""分潤支出"",
  AND(REGEXMATCH(E934, ""Ben帳戶|Elsa帳戶|Ben代墊|Ariel代墊|中信銀行共用""), REGEXMATCH(F934, ""Ben帳戶|Elsa帳戶|Ben代墊|Ariel代墊|中信銀行共用"")), ""內部轉帳(忽略)"",
  AND(E934&lt;&gt;"""", F934&lt;&gt;"""", NOT(REG"&amp;"EXMATCH(C934, ""薪資""))), ""內部轉帳(忽略)"",
  REGEXMATCH(C934, ""薪資""), ""薪資變動(不計入)"",
  REGEXMATCH(C934, ""押金""), ""押金往來"",
  AND(E934&lt;&gt;"""", F934=""""), ""真實支出"",
  AND(E934="""", F934&lt;&gt;""""), ""真實收入"",
  TRUE, ""其他""
)"),"真實支出")</f>
        <v>真實支出</v>
      </c>
      <c r="K934" s="270">
        <f t="shared" si="2"/>
        <v>-1440</v>
      </c>
      <c r="L934">
        <f t="shared" si="3"/>
        <v>0</v>
      </c>
    </row>
    <row r="935">
      <c r="A935" s="107">
        <f>IFERROR(__xludf.DUMMYFUNCTION("""COMPUTED_VALUE"""),45581.0)</f>
        <v>45581</v>
      </c>
      <c r="B935" t="str">
        <f>IFERROR(__xludf.DUMMYFUNCTION("""COMPUTED_VALUE"""),"住警器*2")</f>
        <v>住警器*2</v>
      </c>
      <c r="C935" t="str">
        <f>IFERROR(__xludf.DUMMYFUNCTION("""COMPUTED_VALUE"""),"成本 - 進場前裝潢費")</f>
        <v>成本 - 進場前裝潢費</v>
      </c>
      <c r="D935" s="270">
        <f>IFERROR(__xludf.DUMMYFUNCTION("""COMPUTED_VALUE"""),-720.0)</f>
        <v>-720</v>
      </c>
      <c r="E935" t="str">
        <f>IFERROR(__xludf.DUMMYFUNCTION("""COMPUTED_VALUE"""),"Ben帳戶")</f>
        <v>Ben帳戶</v>
      </c>
      <c r="G935" t="str">
        <f>IFERROR(__xludf.DUMMYFUNCTION("""COMPUTED_VALUE"""),"中山北娘家旁")</f>
        <v>中山北娘家旁</v>
      </c>
      <c r="H935" s="106" t="str">
        <f t="shared" si="1"/>
        <v>2024-10</v>
      </c>
      <c r="I935" s="271" t="str">
        <f>IFERROR(__xludf.DUMMYFUNCTION("""COMPUTED_VALUE"""),"貓狗企鵝")</f>
        <v>貓狗企鵝</v>
      </c>
      <c r="J935" t="str">
        <f>IFERROR(__xludf.DUMMYFUNCTION("IFS(
  AND(REGEXMATCH(E935, ""台銀籌備帳戶|玉山帳戶""), REGEXMATCH(C935, ""薪資"")), ""分潤支出"",
  AND(REGEXMATCH(E935, ""Ben帳戶|Elsa帳戶|Ben代墊|Ariel代墊|中信銀行共用""), REGEXMATCH(F935, ""Ben帳戶|Elsa帳戶|Ben代墊|Ariel代墊|中信銀行共用"")), ""內部轉帳(忽略)"",
  AND(E935&lt;&gt;"""", F935&lt;&gt;"""", NOT(REG"&amp;"EXMATCH(C935, ""薪資""))), ""內部轉帳(忽略)"",
  REGEXMATCH(C935, ""薪資""), ""薪資變動(不計入)"",
  REGEXMATCH(C935, ""押金""), ""押金往來"",
  AND(E935&lt;&gt;"""", F935=""""), ""真實支出"",
  AND(E935="""", F935&lt;&gt;""""), ""真實收入"",
  TRUE, ""其他""
)"),"真實支出")</f>
        <v>真實支出</v>
      </c>
      <c r="K935" s="270">
        <f t="shared" si="2"/>
        <v>-720</v>
      </c>
      <c r="L935">
        <f t="shared" si="3"/>
        <v>0</v>
      </c>
    </row>
    <row r="936">
      <c r="A936" s="107">
        <f>IFERROR(__xludf.DUMMYFUNCTION("""COMPUTED_VALUE"""),45581.0)</f>
        <v>45581</v>
      </c>
      <c r="B936" t="str">
        <f>IFERROR(__xludf.DUMMYFUNCTION("""COMPUTED_VALUE"""),"政府補助")</f>
        <v>政府補助</v>
      </c>
      <c r="C936" t="str">
        <f>IFERROR(__xludf.DUMMYFUNCTION("""COMPUTED_VALUE"""),"收入 - 政府補助/退稅")</f>
        <v>收入 - 政府補助/退稅</v>
      </c>
      <c r="D936" s="270">
        <f>IFERROR(__xludf.DUMMYFUNCTION("""COMPUTED_VALUE"""),38250.0)</f>
        <v>38250</v>
      </c>
      <c r="F936" t="str">
        <f>IFERROR(__xludf.DUMMYFUNCTION("""COMPUTED_VALUE"""),"台銀籌備帳戶")</f>
        <v>台銀籌備帳戶</v>
      </c>
      <c r="G936" t="str">
        <f>IFERROR(__xludf.DUMMYFUNCTION("""COMPUTED_VALUE"""),"南港站挑高宅")</f>
        <v>南港站挑高宅</v>
      </c>
      <c r="H936" s="106" t="str">
        <f t="shared" si="1"/>
        <v>2024-10</v>
      </c>
      <c r="I936" s="271" t="str">
        <f>IFERROR(__xludf.DUMMYFUNCTION("""COMPUTED_VALUE"""),"貓狗企鵝")</f>
        <v>貓狗企鵝</v>
      </c>
      <c r="J936" t="str">
        <f>IFERROR(__xludf.DUMMYFUNCTION("IFS(
  AND(REGEXMATCH(E936, ""台銀籌備帳戶|玉山帳戶""), REGEXMATCH(C936, ""薪資"")), ""分潤支出"",
  AND(REGEXMATCH(E936, ""Ben帳戶|Elsa帳戶|Ben代墊|Ariel代墊|中信銀行共用""), REGEXMATCH(F936, ""Ben帳戶|Elsa帳戶|Ben代墊|Ariel代墊|中信銀行共用"")), ""內部轉帳(忽略)"",
  AND(E936&lt;&gt;"""", F936&lt;&gt;"""", NOT(REG"&amp;"EXMATCH(C936, ""薪資""))), ""內部轉帳(忽略)"",
  REGEXMATCH(C936, ""薪資""), ""薪資變動(不計入)"",
  REGEXMATCH(C936, ""押金""), ""押金往來"",
  AND(E936&lt;&gt;"""", F936=""""), ""真實支出"",
  AND(E936="""", F936&lt;&gt;""""), ""真實收入"",
  TRUE, ""其他""
)"),"真實收入")</f>
        <v>真實收入</v>
      </c>
      <c r="K936" s="270">
        <f t="shared" si="2"/>
        <v>38250</v>
      </c>
      <c r="L936">
        <f t="shared" si="3"/>
        <v>0</v>
      </c>
    </row>
    <row r="937">
      <c r="A937" s="107">
        <f>IFERROR(__xludf.DUMMYFUNCTION("""COMPUTED_VALUE"""),45582.0)</f>
        <v>45582</v>
      </c>
      <c r="B937" t="str">
        <f>IFERROR(__xludf.DUMMYFUNCTION("""COMPUTED_VALUE"""),"濾水器*2")</f>
        <v>濾水器*2</v>
      </c>
      <c r="C937" t="str">
        <f>IFERROR(__xludf.DUMMYFUNCTION("""COMPUTED_VALUE"""),"成本 - 進場前裝潢費")</f>
        <v>成本 - 進場前裝潢費</v>
      </c>
      <c r="D937" s="270">
        <f>IFERROR(__xludf.DUMMYFUNCTION("""COMPUTED_VALUE"""),-3580.0)</f>
        <v>-3580</v>
      </c>
      <c r="E937" t="str">
        <f>IFERROR(__xludf.DUMMYFUNCTION("""COMPUTED_VALUE"""),"Ben帳戶")</f>
        <v>Ben帳戶</v>
      </c>
      <c r="G937" t="str">
        <f>IFERROR(__xludf.DUMMYFUNCTION("""COMPUTED_VALUE"""),"中山北Feli家")</f>
        <v>中山北Feli家</v>
      </c>
      <c r="H937" s="106" t="str">
        <f t="shared" si="1"/>
        <v>2024-10</v>
      </c>
      <c r="I937" s="271" t="str">
        <f>IFERROR(__xludf.DUMMYFUNCTION("""COMPUTED_VALUE"""),"貓狗企鵝")</f>
        <v>貓狗企鵝</v>
      </c>
      <c r="J937" t="str">
        <f>IFERROR(__xludf.DUMMYFUNCTION("IFS(
  AND(REGEXMATCH(E937, ""台銀籌備帳戶|玉山帳戶""), REGEXMATCH(C937, ""薪資"")), ""分潤支出"",
  AND(REGEXMATCH(E937, ""Ben帳戶|Elsa帳戶|Ben代墊|Ariel代墊|中信銀行共用""), REGEXMATCH(F937, ""Ben帳戶|Elsa帳戶|Ben代墊|Ariel代墊|中信銀行共用"")), ""內部轉帳(忽略)"",
  AND(E937&lt;&gt;"""", F937&lt;&gt;"""", NOT(REG"&amp;"EXMATCH(C937, ""薪資""))), ""內部轉帳(忽略)"",
  REGEXMATCH(C937, ""薪資""), ""薪資變動(不計入)"",
  REGEXMATCH(C937, ""押金""), ""押金往來"",
  AND(E937&lt;&gt;"""", F937=""""), ""真實支出"",
  AND(E937="""", F937&lt;&gt;""""), ""真實收入"",
  TRUE, ""其他""
)"),"真實支出")</f>
        <v>真實支出</v>
      </c>
      <c r="K937" s="270">
        <f t="shared" si="2"/>
        <v>-3580</v>
      </c>
      <c r="L937">
        <f t="shared" si="3"/>
        <v>0</v>
      </c>
    </row>
    <row r="938">
      <c r="A938" s="107">
        <f>IFERROR(__xludf.DUMMYFUNCTION("""COMPUTED_VALUE"""),45582.0)</f>
        <v>45582</v>
      </c>
      <c r="B938" t="str">
        <f>IFERROR(__xludf.DUMMYFUNCTION("""COMPUTED_VALUE"""),"濾水器*1")</f>
        <v>濾水器*1</v>
      </c>
      <c r="C938" t="str">
        <f>IFERROR(__xludf.DUMMYFUNCTION("""COMPUTED_VALUE"""),"成本 - 進場前裝潢費")</f>
        <v>成本 - 進場前裝潢費</v>
      </c>
      <c r="D938" s="270">
        <f>IFERROR(__xludf.DUMMYFUNCTION("""COMPUTED_VALUE"""),-1790.0)</f>
        <v>-1790</v>
      </c>
      <c r="E938" t="str">
        <f>IFERROR(__xludf.DUMMYFUNCTION("""COMPUTED_VALUE"""),"Ben帳戶")</f>
        <v>Ben帳戶</v>
      </c>
      <c r="G938" t="str">
        <f>IFERROR(__xludf.DUMMYFUNCTION("""COMPUTED_VALUE"""),"中山北娘家旁")</f>
        <v>中山北娘家旁</v>
      </c>
      <c r="H938" s="106" t="str">
        <f t="shared" si="1"/>
        <v>2024-10</v>
      </c>
      <c r="I938" s="271" t="str">
        <f>IFERROR(__xludf.DUMMYFUNCTION("""COMPUTED_VALUE"""),"貓狗企鵝")</f>
        <v>貓狗企鵝</v>
      </c>
      <c r="J938" t="str">
        <f>IFERROR(__xludf.DUMMYFUNCTION("IFS(
  AND(REGEXMATCH(E938, ""台銀籌備帳戶|玉山帳戶""), REGEXMATCH(C938, ""薪資"")), ""分潤支出"",
  AND(REGEXMATCH(E938, ""Ben帳戶|Elsa帳戶|Ben代墊|Ariel代墊|中信銀行共用""), REGEXMATCH(F938, ""Ben帳戶|Elsa帳戶|Ben代墊|Ariel代墊|中信銀行共用"")), ""內部轉帳(忽略)"",
  AND(E938&lt;&gt;"""", F938&lt;&gt;"""", NOT(REG"&amp;"EXMATCH(C938, ""薪資""))), ""內部轉帳(忽略)"",
  REGEXMATCH(C938, ""薪資""), ""薪資變動(不計入)"",
  REGEXMATCH(C938, ""押金""), ""押金往來"",
  AND(E938&lt;&gt;"""", F938=""""), ""真實支出"",
  AND(E938="""", F938&lt;&gt;""""), ""真實收入"",
  TRUE, ""其他""
)"),"真實支出")</f>
        <v>真實支出</v>
      </c>
      <c r="K938" s="270">
        <f t="shared" si="2"/>
        <v>-1790</v>
      </c>
      <c r="L938">
        <f t="shared" si="3"/>
        <v>0</v>
      </c>
    </row>
    <row r="939">
      <c r="A939" s="107">
        <f>IFERROR(__xludf.DUMMYFUNCTION("""COMPUTED_VALUE"""),45583.0)</f>
        <v>45583</v>
      </c>
      <c r="B939" t="str">
        <f>IFERROR(__xludf.DUMMYFUNCTION("""COMPUTED_VALUE"""),"龍江北都網路")</f>
        <v>龍江北都網路</v>
      </c>
      <c r="C939" t="str">
        <f>IFERROR(__xludf.DUMMYFUNCTION("""COMPUTED_VALUE"""),"成本 - 固定開銷(網路代收清潔)")</f>
        <v>成本 - 固定開銷(網路代收清潔)</v>
      </c>
      <c r="D939" s="270">
        <f>IFERROR(__xludf.DUMMYFUNCTION("""COMPUTED_VALUE"""),-2096.0)</f>
        <v>-2096</v>
      </c>
      <c r="E939" t="str">
        <f>IFERROR(__xludf.DUMMYFUNCTION("""COMPUTED_VALUE"""),"Elsa帳戶")</f>
        <v>Elsa帳戶</v>
      </c>
      <c r="G939" t="str">
        <f>IFERROR(__xludf.DUMMYFUNCTION("""COMPUTED_VALUE"""),"龍江229")</f>
        <v>龍江229</v>
      </c>
      <c r="H939" s="106" t="str">
        <f t="shared" si="1"/>
        <v>2024-10</v>
      </c>
      <c r="I939" s="271" t="str">
        <f>IFERROR(__xludf.DUMMYFUNCTION("""COMPUTED_VALUE"""),"貓狗企鵝")</f>
        <v>貓狗企鵝</v>
      </c>
      <c r="J939" t="str">
        <f>IFERROR(__xludf.DUMMYFUNCTION("IFS(
  AND(REGEXMATCH(E939, ""台銀籌備帳戶|玉山帳戶""), REGEXMATCH(C939, ""薪資"")), ""分潤支出"",
  AND(REGEXMATCH(E939, ""Ben帳戶|Elsa帳戶|Ben代墊|Ariel代墊|中信銀行共用""), REGEXMATCH(F939, ""Ben帳戶|Elsa帳戶|Ben代墊|Ariel代墊|中信銀行共用"")), ""內部轉帳(忽略)"",
  AND(E939&lt;&gt;"""", F939&lt;&gt;"""", NOT(REG"&amp;"EXMATCH(C939, ""薪資""))), ""內部轉帳(忽略)"",
  REGEXMATCH(C939, ""薪資""), ""薪資變動(不計入)"",
  REGEXMATCH(C939, ""押金""), ""押金往來"",
  AND(E939&lt;&gt;"""", F939=""""), ""真實支出"",
  AND(E939="""", F939&lt;&gt;""""), ""真實收入"",
  TRUE, ""其他""
)"),"真實支出")</f>
        <v>真實支出</v>
      </c>
      <c r="K939" s="270">
        <f t="shared" si="2"/>
        <v>-2096</v>
      </c>
      <c r="L939">
        <f t="shared" si="3"/>
        <v>0</v>
      </c>
    </row>
    <row r="940">
      <c r="A940" s="107">
        <f>IFERROR(__xludf.DUMMYFUNCTION("""COMPUTED_VALUE"""),45583.0)</f>
        <v>45583</v>
      </c>
      <c r="B940" t="str">
        <f>IFERROR(__xludf.DUMMYFUNCTION("""COMPUTED_VALUE"""),"景安水費")</f>
        <v>景安水費</v>
      </c>
      <c r="C940" t="str">
        <f>IFERROR(__xludf.DUMMYFUNCTION("""COMPUTED_VALUE"""),"成本 - 進場前裝潢費")</f>
        <v>成本 - 進場前裝潢費</v>
      </c>
      <c r="D940" s="270">
        <f>IFERROR(__xludf.DUMMYFUNCTION("""COMPUTED_VALUE"""),-284.0)</f>
        <v>-284</v>
      </c>
      <c r="E940" t="str">
        <f>IFERROR(__xludf.DUMMYFUNCTION("""COMPUTED_VALUE"""),"Elsa帳戶")</f>
        <v>Elsa帳戶</v>
      </c>
      <c r="G940" t="str">
        <f>IFERROR(__xludf.DUMMYFUNCTION("""COMPUTED_VALUE"""),"景安2分鐘")</f>
        <v>景安2分鐘</v>
      </c>
      <c r="H940" s="106" t="str">
        <f t="shared" si="1"/>
        <v>2024-10</v>
      </c>
      <c r="I940" s="271" t="str">
        <f>IFERROR(__xludf.DUMMYFUNCTION("""COMPUTED_VALUE"""),"貓狗企鵝")</f>
        <v>貓狗企鵝</v>
      </c>
      <c r="J940" t="str">
        <f>IFERROR(__xludf.DUMMYFUNCTION("IFS(
  AND(REGEXMATCH(E940, ""台銀籌備帳戶|玉山帳戶""), REGEXMATCH(C940, ""薪資"")), ""分潤支出"",
  AND(REGEXMATCH(E940, ""Ben帳戶|Elsa帳戶|Ben代墊|Ariel代墊|中信銀行共用""), REGEXMATCH(F940, ""Ben帳戶|Elsa帳戶|Ben代墊|Ariel代墊|中信銀行共用"")), ""內部轉帳(忽略)"",
  AND(E940&lt;&gt;"""", F940&lt;&gt;"""", NOT(REG"&amp;"EXMATCH(C940, ""薪資""))), ""內部轉帳(忽略)"",
  REGEXMATCH(C940, ""薪資""), ""薪資變動(不計入)"",
  REGEXMATCH(C940, ""押金""), ""押金往來"",
  AND(E940&lt;&gt;"""", F940=""""), ""真實支出"",
  AND(E940="""", F940&lt;&gt;""""), ""真實收入"",
  TRUE, ""其他""
)"),"真實支出")</f>
        <v>真實支出</v>
      </c>
      <c r="K940" s="270">
        <f t="shared" si="2"/>
        <v>-284</v>
      </c>
      <c r="L940">
        <f t="shared" si="3"/>
        <v>0</v>
      </c>
    </row>
    <row r="941">
      <c r="A941" s="107">
        <f>IFERROR(__xludf.DUMMYFUNCTION("""COMPUTED_VALUE"""),45583.0)</f>
        <v>45583</v>
      </c>
      <c r="B941" t="str">
        <f>IFERROR(__xludf.DUMMYFUNCTION("""COMPUTED_VALUE"""),"景安換陽台門鎖")</f>
        <v>景安換陽台門鎖</v>
      </c>
      <c r="C941" t="str">
        <f>IFERROR(__xludf.DUMMYFUNCTION("""COMPUTED_VALUE"""),"成本 - 進場前裝潢費")</f>
        <v>成本 - 進場前裝潢費</v>
      </c>
      <c r="D941" s="270">
        <f>IFERROR(__xludf.DUMMYFUNCTION("""COMPUTED_VALUE"""),-600.0)</f>
        <v>-600</v>
      </c>
      <c r="E941" t="str">
        <f>IFERROR(__xludf.DUMMYFUNCTION("""COMPUTED_VALUE"""),"Elsa帳戶")</f>
        <v>Elsa帳戶</v>
      </c>
      <c r="G941" t="str">
        <f>IFERROR(__xludf.DUMMYFUNCTION("""COMPUTED_VALUE"""),"景安2分鐘")</f>
        <v>景安2分鐘</v>
      </c>
      <c r="H941" s="106" t="str">
        <f t="shared" si="1"/>
        <v>2024-10</v>
      </c>
      <c r="I941" s="271" t="str">
        <f>IFERROR(__xludf.DUMMYFUNCTION("""COMPUTED_VALUE"""),"貓狗企鵝")</f>
        <v>貓狗企鵝</v>
      </c>
      <c r="J941" t="str">
        <f>IFERROR(__xludf.DUMMYFUNCTION("IFS(
  AND(REGEXMATCH(E941, ""台銀籌備帳戶|玉山帳戶""), REGEXMATCH(C941, ""薪資"")), ""分潤支出"",
  AND(REGEXMATCH(E941, ""Ben帳戶|Elsa帳戶|Ben代墊|Ariel代墊|中信銀行共用""), REGEXMATCH(F941, ""Ben帳戶|Elsa帳戶|Ben代墊|Ariel代墊|中信銀行共用"")), ""內部轉帳(忽略)"",
  AND(E941&lt;&gt;"""", F941&lt;&gt;"""", NOT(REG"&amp;"EXMATCH(C941, ""薪資""))), ""內部轉帳(忽略)"",
  REGEXMATCH(C941, ""薪資""), ""薪資變動(不計入)"",
  REGEXMATCH(C941, ""押金""), ""押金往來"",
  AND(E941&lt;&gt;"""", F941=""""), ""真實支出"",
  AND(E941="""", F941&lt;&gt;""""), ""真實收入"",
  TRUE, ""其他""
)"),"真實支出")</f>
        <v>真實支出</v>
      </c>
      <c r="K941" s="270">
        <f t="shared" si="2"/>
        <v>-600</v>
      </c>
      <c r="L941">
        <f t="shared" si="3"/>
        <v>0</v>
      </c>
    </row>
    <row r="942">
      <c r="A942" s="107">
        <f>IFERROR(__xludf.DUMMYFUNCTION("""COMPUTED_VALUE"""),45583.0)</f>
        <v>45583</v>
      </c>
      <c r="B942" t="str">
        <f>IFERROR(__xludf.DUMMYFUNCTION("""COMPUTED_VALUE"""),"枕頭")</f>
        <v>枕頭</v>
      </c>
      <c r="C942" t="str">
        <f>IFERROR(__xludf.DUMMYFUNCTION("""COMPUTED_VALUE"""),"成本 - 進場前裝潢費")</f>
        <v>成本 - 進場前裝潢費</v>
      </c>
      <c r="D942" s="270">
        <f>IFERROR(__xludf.DUMMYFUNCTION("""COMPUTED_VALUE"""),-500.0)</f>
        <v>-500</v>
      </c>
      <c r="E942" t="str">
        <f>IFERROR(__xludf.DUMMYFUNCTION("""COMPUTED_VALUE"""),"Elsa帳戶")</f>
        <v>Elsa帳戶</v>
      </c>
      <c r="G942" t="str">
        <f>IFERROR(__xludf.DUMMYFUNCTION("""COMPUTED_VALUE"""),"景安2分鐘")</f>
        <v>景安2分鐘</v>
      </c>
      <c r="H942" s="106" t="str">
        <f t="shared" si="1"/>
        <v>2024-10</v>
      </c>
      <c r="I942" s="271" t="str">
        <f>IFERROR(__xludf.DUMMYFUNCTION("""COMPUTED_VALUE"""),"貓狗企鵝")</f>
        <v>貓狗企鵝</v>
      </c>
      <c r="J942" t="str">
        <f>IFERROR(__xludf.DUMMYFUNCTION("IFS(
  AND(REGEXMATCH(E942, ""台銀籌備帳戶|玉山帳戶""), REGEXMATCH(C942, ""薪資"")), ""分潤支出"",
  AND(REGEXMATCH(E942, ""Ben帳戶|Elsa帳戶|Ben代墊|Ariel代墊|中信銀行共用""), REGEXMATCH(F942, ""Ben帳戶|Elsa帳戶|Ben代墊|Ariel代墊|中信銀行共用"")), ""內部轉帳(忽略)"",
  AND(E942&lt;&gt;"""", F942&lt;&gt;"""", NOT(REG"&amp;"EXMATCH(C942, ""薪資""))), ""內部轉帳(忽略)"",
  REGEXMATCH(C942, ""薪資""), ""薪資變動(不計入)"",
  REGEXMATCH(C942, ""押金""), ""押金往來"",
  AND(E942&lt;&gt;"""", F942=""""), ""真實支出"",
  AND(E942="""", F942&lt;&gt;""""), ""真實收入"",
  TRUE, ""其他""
)"),"真實支出")</f>
        <v>真實支出</v>
      </c>
      <c r="K942" s="270">
        <f t="shared" si="2"/>
        <v>-500</v>
      </c>
      <c r="L942">
        <f t="shared" si="3"/>
        <v>0</v>
      </c>
    </row>
    <row r="943">
      <c r="A943" s="107">
        <f>IFERROR(__xludf.DUMMYFUNCTION("""COMPUTED_VALUE"""),45584.0)</f>
        <v>45584</v>
      </c>
      <c r="B943" t="str">
        <f>IFERROR(__xludf.DUMMYFUNCTION("""COMPUTED_VALUE"""),"南港E房懶骨頭")</f>
        <v>南港E房懶骨頭</v>
      </c>
      <c r="C943" t="str">
        <f>IFERROR(__xludf.DUMMYFUNCTION("""COMPUTED_VALUE"""),"成本 - 進場前裝潢費")</f>
        <v>成本 - 進場前裝潢費</v>
      </c>
      <c r="D943" s="270">
        <f>IFERROR(__xludf.DUMMYFUNCTION("""COMPUTED_VALUE"""),-2358.0)</f>
        <v>-2358</v>
      </c>
      <c r="E943" t="str">
        <f>IFERROR(__xludf.DUMMYFUNCTION("""COMPUTED_VALUE"""),"Elsa帳戶")</f>
        <v>Elsa帳戶</v>
      </c>
      <c r="G943" t="str">
        <f>IFERROR(__xludf.DUMMYFUNCTION("""COMPUTED_VALUE"""),"南港站挑高宅")</f>
        <v>南港站挑高宅</v>
      </c>
      <c r="H943" s="106" t="str">
        <f t="shared" si="1"/>
        <v>2024-10</v>
      </c>
      <c r="I943" s="271" t="str">
        <f>IFERROR(__xludf.DUMMYFUNCTION("""COMPUTED_VALUE"""),"貓狗企鵝")</f>
        <v>貓狗企鵝</v>
      </c>
      <c r="J943" t="str">
        <f>IFERROR(__xludf.DUMMYFUNCTION("IFS(
  AND(REGEXMATCH(E943, ""台銀籌備帳戶|玉山帳戶""), REGEXMATCH(C943, ""薪資"")), ""分潤支出"",
  AND(REGEXMATCH(E943, ""Ben帳戶|Elsa帳戶|Ben代墊|Ariel代墊|中信銀行共用""), REGEXMATCH(F943, ""Ben帳戶|Elsa帳戶|Ben代墊|Ariel代墊|中信銀行共用"")), ""內部轉帳(忽略)"",
  AND(E943&lt;&gt;"""", F943&lt;&gt;"""", NOT(REG"&amp;"EXMATCH(C943, ""薪資""))), ""內部轉帳(忽略)"",
  REGEXMATCH(C943, ""薪資""), ""薪資變動(不計入)"",
  REGEXMATCH(C943, ""押金""), ""押金往來"",
  AND(E943&lt;&gt;"""", F943=""""), ""真實支出"",
  AND(E943="""", F943&lt;&gt;""""), ""真實收入"",
  TRUE, ""其他""
)"),"真實支出")</f>
        <v>真實支出</v>
      </c>
      <c r="K943" s="270">
        <f t="shared" si="2"/>
        <v>-2358</v>
      </c>
      <c r="L943">
        <f t="shared" si="3"/>
        <v>0</v>
      </c>
    </row>
    <row r="944">
      <c r="A944" s="107">
        <f>IFERROR(__xludf.DUMMYFUNCTION("""COMPUTED_VALUE"""),45584.0)</f>
        <v>45584</v>
      </c>
      <c r="B944" t="str">
        <f>IFERROR(__xludf.DUMMYFUNCTION("""COMPUTED_VALUE"""),"淘寶 書桌/椅子/造型椅")</f>
        <v>淘寶 書桌/椅子/造型椅</v>
      </c>
      <c r="C944" t="str">
        <f>IFERROR(__xludf.DUMMYFUNCTION("""COMPUTED_VALUE"""),"成本 - 進場前裝潢費")</f>
        <v>成本 - 進場前裝潢費</v>
      </c>
      <c r="D944" s="270">
        <f>IFERROR(__xludf.DUMMYFUNCTION("""COMPUTED_VALUE"""),-10289.0)</f>
        <v>-10289</v>
      </c>
      <c r="E944" t="str">
        <f>IFERROR(__xludf.DUMMYFUNCTION("""COMPUTED_VALUE"""),"Elsa帳戶")</f>
        <v>Elsa帳戶</v>
      </c>
      <c r="G944" t="str">
        <f>IFERROR(__xludf.DUMMYFUNCTION("""COMPUTED_VALUE"""),"中山北Feli家")</f>
        <v>中山北Feli家</v>
      </c>
      <c r="H944" s="106" t="str">
        <f t="shared" si="1"/>
        <v>2024-10</v>
      </c>
      <c r="I944" s="271" t="str">
        <f>IFERROR(__xludf.DUMMYFUNCTION("""COMPUTED_VALUE"""),"貓狗企鵝")</f>
        <v>貓狗企鵝</v>
      </c>
      <c r="J944" t="str">
        <f>IFERROR(__xludf.DUMMYFUNCTION("IFS(
  AND(REGEXMATCH(E944, ""台銀籌備帳戶|玉山帳戶""), REGEXMATCH(C944, ""薪資"")), ""分潤支出"",
  AND(REGEXMATCH(E944, ""Ben帳戶|Elsa帳戶|Ben代墊|Ariel代墊|中信銀行共用""), REGEXMATCH(F944, ""Ben帳戶|Elsa帳戶|Ben代墊|Ariel代墊|中信銀行共用"")), ""內部轉帳(忽略)"",
  AND(E944&lt;&gt;"""", F944&lt;&gt;"""", NOT(REG"&amp;"EXMATCH(C944, ""薪資""))), ""內部轉帳(忽略)"",
  REGEXMATCH(C944, ""薪資""), ""薪資變動(不計入)"",
  REGEXMATCH(C944, ""押金""), ""押金往來"",
  AND(E944&lt;&gt;"""", F944=""""), ""真實支出"",
  AND(E944="""", F944&lt;&gt;""""), ""真實收入"",
  TRUE, ""其他""
)"),"真實支出")</f>
        <v>真實支出</v>
      </c>
      <c r="K944" s="270">
        <f t="shared" si="2"/>
        <v>-10289</v>
      </c>
      <c r="L944">
        <f t="shared" si="3"/>
        <v>0</v>
      </c>
    </row>
    <row r="945">
      <c r="A945" s="107">
        <f>IFERROR(__xludf.DUMMYFUNCTION("""COMPUTED_VALUE"""),45584.0)</f>
        <v>45584</v>
      </c>
      <c r="B945" t="str">
        <f>IFERROR(__xludf.DUMMYFUNCTION("""COMPUTED_VALUE"""),"景安2分鐘A蕭宇榛定金")</f>
        <v>景安2分鐘A蕭宇榛定金</v>
      </c>
      <c r="C945" t="str">
        <f>IFERROR(__xludf.DUMMYFUNCTION("""COMPUTED_VALUE"""),"收入 - 租金")</f>
        <v>收入 - 租金</v>
      </c>
      <c r="D945" s="270">
        <f>IFERROR(__xludf.DUMMYFUNCTION("""COMPUTED_VALUE"""),14500.0)</f>
        <v>14500</v>
      </c>
      <c r="F945" t="str">
        <f>IFERROR(__xludf.DUMMYFUNCTION("""COMPUTED_VALUE"""),"台銀籌備帳戶")</f>
        <v>台銀籌備帳戶</v>
      </c>
      <c r="G945" t="str">
        <f>IFERROR(__xludf.DUMMYFUNCTION("""COMPUTED_VALUE"""),"景安2分鐘")</f>
        <v>景安2分鐘</v>
      </c>
      <c r="H945" s="106" t="str">
        <f t="shared" si="1"/>
        <v>2024-10</v>
      </c>
      <c r="I945" s="271" t="str">
        <f>IFERROR(__xludf.DUMMYFUNCTION("""COMPUTED_VALUE"""),"貓狗企鵝")</f>
        <v>貓狗企鵝</v>
      </c>
      <c r="J945" t="str">
        <f>IFERROR(__xludf.DUMMYFUNCTION("IFS(
  AND(REGEXMATCH(E945, ""台銀籌備帳戶|玉山帳戶""), REGEXMATCH(C945, ""薪資"")), ""分潤支出"",
  AND(REGEXMATCH(E945, ""Ben帳戶|Elsa帳戶|Ben代墊|Ariel代墊|中信銀行共用""), REGEXMATCH(F945, ""Ben帳戶|Elsa帳戶|Ben代墊|Ariel代墊|中信銀行共用"")), ""內部轉帳(忽略)"",
  AND(E945&lt;&gt;"""", F945&lt;&gt;"""", NOT(REG"&amp;"EXMATCH(C945, ""薪資""))), ""內部轉帳(忽略)"",
  REGEXMATCH(C945, ""薪資""), ""薪資變動(不計入)"",
  REGEXMATCH(C945, ""押金""), ""押金往來"",
  AND(E945&lt;&gt;"""", F945=""""), ""真實支出"",
  AND(E945="""", F945&lt;&gt;""""), ""真實收入"",
  TRUE, ""其他""
)"),"真實收入")</f>
        <v>真實收入</v>
      </c>
      <c r="K945" s="270">
        <f t="shared" si="2"/>
        <v>14500</v>
      </c>
      <c r="L945">
        <f t="shared" si="3"/>
        <v>0</v>
      </c>
    </row>
    <row r="946">
      <c r="A946" s="107">
        <f>IFERROR(__xludf.DUMMYFUNCTION("""COMPUTED_VALUE"""),45585.0)</f>
        <v>45585</v>
      </c>
      <c r="B946" t="str">
        <f>IFERROR(__xludf.DUMMYFUNCTION("""COMPUTED_VALUE"""),"淘寶 裝飾擺設")</f>
        <v>淘寶 裝飾擺設</v>
      </c>
      <c r="C946" t="str">
        <f>IFERROR(__xludf.DUMMYFUNCTION("""COMPUTED_VALUE"""),"成本 - 進場前裝潢費")</f>
        <v>成本 - 進場前裝潢費</v>
      </c>
      <c r="D946" s="270">
        <f>IFERROR(__xludf.DUMMYFUNCTION("""COMPUTED_VALUE"""),-1735.0)</f>
        <v>-1735</v>
      </c>
      <c r="E946" t="str">
        <f>IFERROR(__xludf.DUMMYFUNCTION("""COMPUTED_VALUE"""),"Elsa帳戶")</f>
        <v>Elsa帳戶</v>
      </c>
      <c r="G946" t="str">
        <f>IFERROR(__xludf.DUMMYFUNCTION("""COMPUTED_VALUE"""),"中山北Feli家")</f>
        <v>中山北Feli家</v>
      </c>
      <c r="H946" s="106" t="str">
        <f t="shared" si="1"/>
        <v>2024-10</v>
      </c>
      <c r="I946" s="271" t="str">
        <f>IFERROR(__xludf.DUMMYFUNCTION("""COMPUTED_VALUE"""),"貓狗企鵝")</f>
        <v>貓狗企鵝</v>
      </c>
      <c r="J946" t="str">
        <f>IFERROR(__xludf.DUMMYFUNCTION("IFS(
  AND(REGEXMATCH(E946, ""台銀籌備帳戶|玉山帳戶""), REGEXMATCH(C946, ""薪資"")), ""分潤支出"",
  AND(REGEXMATCH(E946, ""Ben帳戶|Elsa帳戶|Ben代墊|Ariel代墊|中信銀行共用""), REGEXMATCH(F946, ""Ben帳戶|Elsa帳戶|Ben代墊|Ariel代墊|中信銀行共用"")), ""內部轉帳(忽略)"",
  AND(E946&lt;&gt;"""", F946&lt;&gt;"""", NOT(REG"&amp;"EXMATCH(C946, ""薪資""))), ""內部轉帳(忽略)"",
  REGEXMATCH(C946, ""薪資""), ""薪資變動(不計入)"",
  REGEXMATCH(C946, ""押金""), ""押金往來"",
  AND(E946&lt;&gt;"""", F946=""""), ""真實支出"",
  AND(E946="""", F946&lt;&gt;""""), ""真實收入"",
  TRUE, ""其他""
)"),"真實支出")</f>
        <v>真實支出</v>
      </c>
      <c r="K946" s="270">
        <f t="shared" si="2"/>
        <v>-1735</v>
      </c>
      <c r="L946">
        <f t="shared" si="3"/>
        <v>0</v>
      </c>
    </row>
    <row r="947">
      <c r="A947" s="107">
        <f>IFERROR(__xludf.DUMMYFUNCTION("""COMPUTED_VALUE"""),45587.0)</f>
        <v>45587</v>
      </c>
      <c r="B947" t="str">
        <f>IFERROR(__xludf.DUMMYFUNCTION("""COMPUTED_VALUE"""),"爺爺家電費")</f>
        <v>爺爺家電費</v>
      </c>
      <c r="C947" t="str">
        <f>IFERROR(__xludf.DUMMYFUNCTION("""COMPUTED_VALUE"""),"成本 - 固定開銷(網路代收清潔)")</f>
        <v>成本 - 固定開銷(網路代收清潔)</v>
      </c>
      <c r="D947" s="270">
        <f>IFERROR(__xludf.DUMMYFUNCTION("""COMPUTED_VALUE"""),-1550.0)</f>
        <v>-1550</v>
      </c>
      <c r="E947" t="str">
        <f>IFERROR(__xludf.DUMMYFUNCTION("""COMPUTED_VALUE"""),"Ben帳戶")</f>
        <v>Ben帳戶</v>
      </c>
      <c r="G947" t="str">
        <f>IFERROR(__xludf.DUMMYFUNCTION("""COMPUTED_VALUE"""),"市府爺爺家")</f>
        <v>市府爺爺家</v>
      </c>
      <c r="H947" s="106" t="str">
        <f t="shared" si="1"/>
        <v>2024-10</v>
      </c>
      <c r="I947" s="271" t="str">
        <f>IFERROR(__xludf.DUMMYFUNCTION("""COMPUTED_VALUE"""),"貓狗企鵝")</f>
        <v>貓狗企鵝</v>
      </c>
      <c r="J947" t="str">
        <f>IFERROR(__xludf.DUMMYFUNCTION("IFS(
  AND(REGEXMATCH(E947, ""台銀籌備帳戶|玉山帳戶""), REGEXMATCH(C947, ""薪資"")), ""分潤支出"",
  AND(REGEXMATCH(E947, ""Ben帳戶|Elsa帳戶|Ben代墊|Ariel代墊|中信銀行共用""), REGEXMATCH(F947, ""Ben帳戶|Elsa帳戶|Ben代墊|Ariel代墊|中信銀行共用"")), ""內部轉帳(忽略)"",
  AND(E947&lt;&gt;"""", F947&lt;&gt;"""", NOT(REG"&amp;"EXMATCH(C947, ""薪資""))), ""內部轉帳(忽略)"",
  REGEXMATCH(C947, ""薪資""), ""薪資變動(不計入)"",
  REGEXMATCH(C947, ""押金""), ""押金往來"",
  AND(E947&lt;&gt;"""", F947=""""), ""真實支出"",
  AND(E947="""", F947&lt;&gt;""""), ""真實收入"",
  TRUE, ""其他""
)"),"真實支出")</f>
        <v>真實支出</v>
      </c>
      <c r="K947" s="270">
        <f t="shared" si="2"/>
        <v>-1550</v>
      </c>
      <c r="L947">
        <f t="shared" si="3"/>
        <v>0</v>
      </c>
    </row>
    <row r="948">
      <c r="A948" s="107">
        <f>IFERROR(__xludf.DUMMYFUNCTION("""COMPUTED_VALUE"""),45587.0)</f>
        <v>45587</v>
      </c>
      <c r="B948" t="str">
        <f>IFERROR(__xludf.DUMMYFUNCTION("""COMPUTED_VALUE"""),"寶琳清潔")</f>
        <v>寶琳清潔</v>
      </c>
      <c r="C948" t="str">
        <f>IFERROR(__xludf.DUMMYFUNCTION("""COMPUTED_VALUE"""),"成本 - 固定開銷(網路代收清潔)")</f>
        <v>成本 - 固定開銷(網路代收清潔)</v>
      </c>
      <c r="D948" s="270">
        <f>IFERROR(__xludf.DUMMYFUNCTION("""COMPUTED_VALUE"""),-875.0)</f>
        <v>-875</v>
      </c>
      <c r="E948" t="str">
        <f>IFERROR(__xludf.DUMMYFUNCTION("""COMPUTED_VALUE"""),"Elsa帳戶")</f>
        <v>Elsa帳戶</v>
      </c>
      <c r="G948" t="str">
        <f>IFERROR(__xludf.DUMMYFUNCTION("""COMPUTED_VALUE"""),"大湖山莊")</f>
        <v>大湖山莊</v>
      </c>
      <c r="H948" s="106" t="str">
        <f t="shared" si="1"/>
        <v>2024-10</v>
      </c>
      <c r="I948" s="271" t="str">
        <f>IFERROR(__xludf.DUMMYFUNCTION("""COMPUTED_VALUE"""),"貓狗企鵝")</f>
        <v>貓狗企鵝</v>
      </c>
      <c r="J948" t="str">
        <f>IFERROR(__xludf.DUMMYFUNCTION("IFS(
  AND(REGEXMATCH(E948, ""台銀籌備帳戶|玉山帳戶""), REGEXMATCH(C948, ""薪資"")), ""分潤支出"",
  AND(REGEXMATCH(E948, ""Ben帳戶|Elsa帳戶|Ben代墊|Ariel代墊|中信銀行共用""), REGEXMATCH(F948, ""Ben帳戶|Elsa帳戶|Ben代墊|Ariel代墊|中信銀行共用"")), ""內部轉帳(忽略)"",
  AND(E948&lt;&gt;"""", F948&lt;&gt;"""", NOT(REG"&amp;"EXMATCH(C948, ""薪資""))), ""內部轉帳(忽略)"",
  REGEXMATCH(C948, ""薪資""), ""薪資變動(不計入)"",
  REGEXMATCH(C948, ""押金""), ""押金往來"",
  AND(E948&lt;&gt;"""", F948=""""), ""真實支出"",
  AND(E948="""", F948&lt;&gt;""""), ""真實收入"",
  TRUE, ""其他""
)"),"真實支出")</f>
        <v>真實支出</v>
      </c>
      <c r="K948" s="270">
        <f t="shared" si="2"/>
        <v>-875</v>
      </c>
      <c r="L948">
        <f t="shared" si="3"/>
        <v>0</v>
      </c>
    </row>
    <row r="949">
      <c r="A949" s="107">
        <f>IFERROR(__xludf.DUMMYFUNCTION("""COMPUTED_VALUE"""),45587.0)</f>
        <v>45587</v>
      </c>
      <c r="B949" t="str">
        <f>IFERROR(__xludf.DUMMYFUNCTION("""COMPUTED_VALUE"""),"北都5, 6樓網路費")</f>
        <v>北都5, 6樓網路費</v>
      </c>
      <c r="C949" t="str">
        <f>IFERROR(__xludf.DUMMYFUNCTION("""COMPUTED_VALUE"""),"成本 - 固定開銷(網路代收清潔)")</f>
        <v>成本 - 固定開銷(網路代收清潔)</v>
      </c>
      <c r="D949" s="270">
        <f>IFERROR(__xludf.DUMMYFUNCTION("""COMPUTED_VALUE"""),-8200.0)</f>
        <v>-8200</v>
      </c>
      <c r="E949" t="str">
        <f>IFERROR(__xludf.DUMMYFUNCTION("""COMPUTED_VALUE"""),"Elsa帳戶")</f>
        <v>Elsa帳戶</v>
      </c>
      <c r="G949" t="str">
        <f>IFERROR(__xludf.DUMMYFUNCTION("""COMPUTED_VALUE"""),"中山北Feli家")</f>
        <v>中山北Feli家</v>
      </c>
      <c r="H949" s="106" t="str">
        <f t="shared" si="1"/>
        <v>2024-10</v>
      </c>
      <c r="I949" s="271" t="str">
        <f>IFERROR(__xludf.DUMMYFUNCTION("""COMPUTED_VALUE"""),"貓狗企鵝")</f>
        <v>貓狗企鵝</v>
      </c>
      <c r="J949" t="str">
        <f>IFERROR(__xludf.DUMMYFUNCTION("IFS(
  AND(REGEXMATCH(E949, ""台銀籌備帳戶|玉山帳戶""), REGEXMATCH(C949, ""薪資"")), ""分潤支出"",
  AND(REGEXMATCH(E949, ""Ben帳戶|Elsa帳戶|Ben代墊|Ariel代墊|中信銀行共用""), REGEXMATCH(F949, ""Ben帳戶|Elsa帳戶|Ben代墊|Ariel代墊|中信銀行共用"")), ""內部轉帳(忽略)"",
  AND(E949&lt;&gt;"""", F949&lt;&gt;"""", NOT(REG"&amp;"EXMATCH(C949, ""薪資""))), ""內部轉帳(忽略)"",
  REGEXMATCH(C949, ""薪資""), ""薪資變動(不計入)"",
  REGEXMATCH(C949, ""押金""), ""押金往來"",
  AND(E949&lt;&gt;"""", F949=""""), ""真實支出"",
  AND(E949="""", F949&lt;&gt;""""), ""真實收入"",
  TRUE, ""其他""
)"),"真實支出")</f>
        <v>真實支出</v>
      </c>
      <c r="K949" s="270">
        <f t="shared" si="2"/>
        <v>-8200</v>
      </c>
      <c r="L949">
        <f t="shared" si="3"/>
        <v>0</v>
      </c>
    </row>
    <row r="950">
      <c r="A950" s="107">
        <f>IFERROR(__xludf.DUMMYFUNCTION("""COMPUTED_VALUE"""),45587.0)</f>
        <v>45587</v>
      </c>
      <c r="B950" t="str">
        <f>IFERROR(__xludf.DUMMYFUNCTION("""COMPUTED_VALUE"""),"景安2分鐘A蕭宇榛")</f>
        <v>景安2分鐘A蕭宇榛</v>
      </c>
      <c r="C950" t="str">
        <f>IFERROR(__xludf.DUMMYFUNCTION("""COMPUTED_VALUE"""),"收入 - 押金")</f>
        <v>收入 - 押金</v>
      </c>
      <c r="D950" s="270">
        <f>IFERROR(__xludf.DUMMYFUNCTION("""COMPUTED_VALUE"""),29000.0)</f>
        <v>29000</v>
      </c>
      <c r="F950" t="str">
        <f>IFERROR(__xludf.DUMMYFUNCTION("""COMPUTED_VALUE"""),"台銀籌備帳戶")</f>
        <v>台銀籌備帳戶</v>
      </c>
      <c r="G950" t="str">
        <f>IFERROR(__xludf.DUMMYFUNCTION("""COMPUTED_VALUE"""),"景安2分鐘")</f>
        <v>景安2分鐘</v>
      </c>
      <c r="H950" s="106" t="str">
        <f t="shared" si="1"/>
        <v>2024-10</v>
      </c>
      <c r="I950" s="271" t="str">
        <f>IFERROR(__xludf.DUMMYFUNCTION("""COMPUTED_VALUE"""),"貓狗企鵝")</f>
        <v>貓狗企鵝</v>
      </c>
      <c r="J950" t="str">
        <f>IFERROR(__xludf.DUMMYFUNCTION("IFS(
  AND(REGEXMATCH(E950, ""台銀籌備帳戶|玉山帳戶""), REGEXMATCH(C950, ""薪資"")), ""分潤支出"",
  AND(REGEXMATCH(E950, ""Ben帳戶|Elsa帳戶|Ben代墊|Ariel代墊|中信銀行共用""), REGEXMATCH(F950, ""Ben帳戶|Elsa帳戶|Ben代墊|Ariel代墊|中信銀行共用"")), ""內部轉帳(忽略)"",
  AND(E950&lt;&gt;"""", F950&lt;&gt;"""", NOT(REG"&amp;"EXMATCH(C950, ""薪資""))), ""內部轉帳(忽略)"",
  REGEXMATCH(C950, ""薪資""), ""薪資變動(不計入)"",
  REGEXMATCH(C950, ""押金""), ""押金往來"",
  AND(E950&lt;&gt;"""", F950=""""), ""真實支出"",
  AND(E950="""", F950&lt;&gt;""""), ""真實收入"",
  TRUE, ""其他""
)"),"押金往來")</f>
        <v>押金往來</v>
      </c>
      <c r="K950">
        <f t="shared" si="2"/>
        <v>0</v>
      </c>
      <c r="L950">
        <f t="shared" si="3"/>
        <v>0</v>
      </c>
    </row>
    <row r="951">
      <c r="A951" s="107">
        <f>IFERROR(__xludf.DUMMYFUNCTION("""COMPUTED_VALUE"""),45587.0)</f>
        <v>45587</v>
      </c>
      <c r="B951" t="str">
        <f>IFERROR(__xludf.DUMMYFUNCTION("""COMPUTED_VALUE"""),"代墊款丁")</f>
        <v>代墊款丁</v>
      </c>
      <c r="C951" t="str">
        <f>IFERROR(__xludf.DUMMYFUNCTION("""COMPUTED_VALUE"""),"成本 - 進場前裝潢費")</f>
        <v>成本 - 進場前裝潢費</v>
      </c>
      <c r="D951" s="270">
        <f>IFERROR(__xludf.DUMMYFUNCTION("""COMPUTED_VALUE"""),-120015.0)</f>
        <v>-120015</v>
      </c>
      <c r="E951" t="str">
        <f>IFERROR(__xludf.DUMMYFUNCTION("""COMPUTED_VALUE"""),"台銀籌備帳戶")</f>
        <v>台銀籌備帳戶</v>
      </c>
      <c r="G951" t="str">
        <f>IFERROR(__xludf.DUMMYFUNCTION("""COMPUTED_VALUE"""),"中山北娘家旁")</f>
        <v>中山北娘家旁</v>
      </c>
      <c r="H951" s="106" t="str">
        <f t="shared" si="1"/>
        <v>2024-10</v>
      </c>
      <c r="I951" s="271" t="str">
        <f>IFERROR(__xludf.DUMMYFUNCTION("""COMPUTED_VALUE"""),"貓狗企鵝")</f>
        <v>貓狗企鵝</v>
      </c>
      <c r="J951" t="str">
        <f>IFERROR(__xludf.DUMMYFUNCTION("IFS(
  AND(REGEXMATCH(E951, ""台銀籌備帳戶|玉山帳戶""), REGEXMATCH(C951, ""薪資"")), ""分潤支出"",
  AND(REGEXMATCH(E951, ""Ben帳戶|Elsa帳戶|Ben代墊|Ariel代墊|中信銀行共用""), REGEXMATCH(F951, ""Ben帳戶|Elsa帳戶|Ben代墊|Ariel代墊|中信銀行共用"")), ""內部轉帳(忽略)"",
  AND(E951&lt;&gt;"""", F951&lt;&gt;"""", NOT(REG"&amp;"EXMATCH(C951, ""薪資""))), ""內部轉帳(忽略)"",
  REGEXMATCH(C951, ""薪資""), ""薪資變動(不計入)"",
  REGEXMATCH(C951, ""押金""), ""押金往來"",
  AND(E951&lt;&gt;"""", F951=""""), ""真實支出"",
  AND(E951="""", F951&lt;&gt;""""), ""真實收入"",
  TRUE, ""其他""
)"),"真實支出")</f>
        <v>真實支出</v>
      </c>
      <c r="K951" s="270">
        <f t="shared" si="2"/>
        <v>-120015</v>
      </c>
      <c r="L951">
        <f t="shared" si="3"/>
        <v>0</v>
      </c>
    </row>
    <row r="952">
      <c r="A952" s="107">
        <f>IFERROR(__xludf.DUMMYFUNCTION("""COMPUTED_VALUE"""),45588.0)</f>
        <v>45588</v>
      </c>
      <c r="B952" t="str">
        <f>IFERROR(__xludf.DUMMYFUNCTION("""COMPUTED_VALUE"""),"蝦皮掃把 拖把")</f>
        <v>蝦皮掃把 拖把</v>
      </c>
      <c r="C952" t="str">
        <f>IFERROR(__xludf.DUMMYFUNCTION("""COMPUTED_VALUE"""),"成本 - 進場前裝潢費")</f>
        <v>成本 - 進場前裝潢費</v>
      </c>
      <c r="D952" s="270">
        <f>IFERROR(__xludf.DUMMYFUNCTION("""COMPUTED_VALUE"""),-338.0)</f>
        <v>-338</v>
      </c>
      <c r="E952" t="str">
        <f>IFERROR(__xludf.DUMMYFUNCTION("""COMPUTED_VALUE"""),"Elsa帳戶")</f>
        <v>Elsa帳戶</v>
      </c>
      <c r="G952" t="str">
        <f>IFERROR(__xludf.DUMMYFUNCTION("""COMPUTED_VALUE"""),"中山北娘家旁")</f>
        <v>中山北娘家旁</v>
      </c>
      <c r="H952" s="106" t="str">
        <f t="shared" si="1"/>
        <v>2024-10</v>
      </c>
      <c r="I952" s="271" t="str">
        <f>IFERROR(__xludf.DUMMYFUNCTION("""COMPUTED_VALUE"""),"貓狗企鵝")</f>
        <v>貓狗企鵝</v>
      </c>
      <c r="J952" t="str">
        <f>IFERROR(__xludf.DUMMYFUNCTION("IFS(
  AND(REGEXMATCH(E952, ""台銀籌備帳戶|玉山帳戶""), REGEXMATCH(C952, ""薪資"")), ""分潤支出"",
  AND(REGEXMATCH(E952, ""Ben帳戶|Elsa帳戶|Ben代墊|Ariel代墊|中信銀行共用""), REGEXMATCH(F952, ""Ben帳戶|Elsa帳戶|Ben代墊|Ariel代墊|中信銀行共用"")), ""內部轉帳(忽略)"",
  AND(E952&lt;&gt;"""", F952&lt;&gt;"""", NOT(REG"&amp;"EXMATCH(C952, ""薪資""))), ""內部轉帳(忽略)"",
  REGEXMATCH(C952, ""薪資""), ""薪資變動(不計入)"",
  REGEXMATCH(C952, ""押金""), ""押金往來"",
  AND(E952&lt;&gt;"""", F952=""""), ""真實支出"",
  AND(E952="""", F952&lt;&gt;""""), ""真實收入"",
  TRUE, ""其他""
)"),"真實支出")</f>
        <v>真實支出</v>
      </c>
      <c r="K952" s="270">
        <f t="shared" si="2"/>
        <v>-338</v>
      </c>
      <c r="L952">
        <f t="shared" si="3"/>
        <v>0</v>
      </c>
    </row>
    <row r="953">
      <c r="A953" s="107">
        <f>IFERROR(__xludf.DUMMYFUNCTION("""COMPUTED_VALUE"""),45588.0)</f>
        <v>45588</v>
      </c>
      <c r="B953" t="str">
        <f>IFERROR(__xludf.DUMMYFUNCTION("""COMPUTED_VALUE"""),"蝦皮掃把 拖把")</f>
        <v>蝦皮掃把 拖把</v>
      </c>
      <c r="C953" t="str">
        <f>IFERROR(__xludf.DUMMYFUNCTION("""COMPUTED_VALUE"""),"成本 - 進場前裝潢費")</f>
        <v>成本 - 進場前裝潢費</v>
      </c>
      <c r="D953" s="270">
        <f>IFERROR(__xludf.DUMMYFUNCTION("""COMPUTED_VALUE"""),-676.0)</f>
        <v>-676</v>
      </c>
      <c r="E953" t="str">
        <f>IFERROR(__xludf.DUMMYFUNCTION("""COMPUTED_VALUE"""),"Elsa帳戶")</f>
        <v>Elsa帳戶</v>
      </c>
      <c r="G953" t="str">
        <f>IFERROR(__xludf.DUMMYFUNCTION("""COMPUTED_VALUE"""),"中山北Feli家")</f>
        <v>中山北Feli家</v>
      </c>
      <c r="H953" s="106" t="str">
        <f t="shared" si="1"/>
        <v>2024-10</v>
      </c>
      <c r="I953" s="271" t="str">
        <f>IFERROR(__xludf.DUMMYFUNCTION("""COMPUTED_VALUE"""),"貓狗企鵝")</f>
        <v>貓狗企鵝</v>
      </c>
      <c r="J953" t="str">
        <f>IFERROR(__xludf.DUMMYFUNCTION("IFS(
  AND(REGEXMATCH(E953, ""台銀籌備帳戶|玉山帳戶""), REGEXMATCH(C953, ""薪資"")), ""分潤支出"",
  AND(REGEXMATCH(E953, ""Ben帳戶|Elsa帳戶|Ben代墊|Ariel代墊|中信銀行共用""), REGEXMATCH(F953, ""Ben帳戶|Elsa帳戶|Ben代墊|Ariel代墊|中信銀行共用"")), ""內部轉帳(忽略)"",
  AND(E953&lt;&gt;"""", F953&lt;&gt;"""", NOT(REG"&amp;"EXMATCH(C953, ""薪資""))), ""內部轉帳(忽略)"",
  REGEXMATCH(C953, ""薪資""), ""薪資變動(不計入)"",
  REGEXMATCH(C953, ""押金""), ""押金往來"",
  AND(E953&lt;&gt;"""", F953=""""), ""真實支出"",
  AND(E953="""", F953&lt;&gt;""""), ""真實收入"",
  TRUE, ""其他""
)"),"真實支出")</f>
        <v>真實支出</v>
      </c>
      <c r="K953" s="270">
        <f t="shared" si="2"/>
        <v>-676</v>
      </c>
      <c r="L953">
        <f t="shared" si="3"/>
        <v>0</v>
      </c>
    </row>
    <row r="954">
      <c r="A954" s="107">
        <f>IFERROR(__xludf.DUMMYFUNCTION("""COMPUTED_VALUE"""),45588.0)</f>
        <v>45588</v>
      </c>
      <c r="B954" t="str">
        <f>IFERROR(__xludf.DUMMYFUNCTION("""COMPUTED_VALUE"""),"保潔墊")</f>
        <v>保潔墊</v>
      </c>
      <c r="C954" t="str">
        <f>IFERROR(__xludf.DUMMYFUNCTION("""COMPUTED_VALUE"""),"成本 - 進場前裝潢費")</f>
        <v>成本 - 進場前裝潢費</v>
      </c>
      <c r="D954" s="270">
        <f>IFERROR(__xludf.DUMMYFUNCTION("""COMPUTED_VALUE"""),-1090.0)</f>
        <v>-1090</v>
      </c>
      <c r="E954" t="str">
        <f>IFERROR(__xludf.DUMMYFUNCTION("""COMPUTED_VALUE"""),"Elsa帳戶")</f>
        <v>Elsa帳戶</v>
      </c>
      <c r="G954" t="str">
        <f>IFERROR(__xludf.DUMMYFUNCTION("""COMPUTED_VALUE"""),"中山北Feli家")</f>
        <v>中山北Feli家</v>
      </c>
      <c r="H954" s="106" t="str">
        <f t="shared" si="1"/>
        <v>2024-10</v>
      </c>
      <c r="I954" s="271" t="str">
        <f>IFERROR(__xludf.DUMMYFUNCTION("""COMPUTED_VALUE"""),"貓狗企鵝")</f>
        <v>貓狗企鵝</v>
      </c>
      <c r="J954" t="str">
        <f>IFERROR(__xludf.DUMMYFUNCTION("IFS(
  AND(REGEXMATCH(E954, ""台銀籌備帳戶|玉山帳戶""), REGEXMATCH(C954, ""薪資"")), ""分潤支出"",
  AND(REGEXMATCH(E954, ""Ben帳戶|Elsa帳戶|Ben代墊|Ariel代墊|中信銀行共用""), REGEXMATCH(F954, ""Ben帳戶|Elsa帳戶|Ben代墊|Ariel代墊|中信銀行共用"")), ""內部轉帳(忽略)"",
  AND(E954&lt;&gt;"""", F954&lt;&gt;"""", NOT(REG"&amp;"EXMATCH(C954, ""薪資""))), ""內部轉帳(忽略)"",
  REGEXMATCH(C954, ""薪資""), ""薪資變動(不計入)"",
  REGEXMATCH(C954, ""押金""), ""押金往來"",
  AND(E954&lt;&gt;"""", F954=""""), ""真實支出"",
  AND(E954="""", F954&lt;&gt;""""), ""真實收入"",
  TRUE, ""其他""
)"),"真實支出")</f>
        <v>真實支出</v>
      </c>
      <c r="K954" s="270">
        <f t="shared" si="2"/>
        <v>-1090</v>
      </c>
      <c r="L954">
        <f t="shared" si="3"/>
        <v>0</v>
      </c>
    </row>
    <row r="955">
      <c r="A955" s="107">
        <f>IFERROR(__xludf.DUMMYFUNCTION("""COMPUTED_VALUE"""),45588.0)</f>
        <v>45588</v>
      </c>
      <c r="B955" t="str">
        <f>IFERROR(__xludf.DUMMYFUNCTION("""COMPUTED_VALUE"""),"MOMO吸塵器")</f>
        <v>MOMO吸塵器</v>
      </c>
      <c r="C955" t="str">
        <f>IFERROR(__xludf.DUMMYFUNCTION("""COMPUTED_VALUE"""),"成本 - 進場前裝潢費")</f>
        <v>成本 - 進場前裝潢費</v>
      </c>
      <c r="D955" s="270">
        <f>IFERROR(__xludf.DUMMYFUNCTION("""COMPUTED_VALUE"""),-1388.0)</f>
        <v>-1388</v>
      </c>
      <c r="E955" t="str">
        <f>IFERROR(__xludf.DUMMYFUNCTION("""COMPUTED_VALUE"""),"Elsa帳戶")</f>
        <v>Elsa帳戶</v>
      </c>
      <c r="G955" t="str">
        <f>IFERROR(__xludf.DUMMYFUNCTION("""COMPUTED_VALUE"""),"中山北娘家旁")</f>
        <v>中山北娘家旁</v>
      </c>
      <c r="H955" s="106" t="str">
        <f t="shared" si="1"/>
        <v>2024-10</v>
      </c>
      <c r="I955" s="271" t="str">
        <f>IFERROR(__xludf.DUMMYFUNCTION("""COMPUTED_VALUE"""),"貓狗企鵝")</f>
        <v>貓狗企鵝</v>
      </c>
      <c r="J955" t="str">
        <f>IFERROR(__xludf.DUMMYFUNCTION("IFS(
  AND(REGEXMATCH(E955, ""台銀籌備帳戶|玉山帳戶""), REGEXMATCH(C955, ""薪資"")), ""分潤支出"",
  AND(REGEXMATCH(E955, ""Ben帳戶|Elsa帳戶|Ben代墊|Ariel代墊|中信銀行共用""), REGEXMATCH(F955, ""Ben帳戶|Elsa帳戶|Ben代墊|Ariel代墊|中信銀行共用"")), ""內部轉帳(忽略)"",
  AND(E955&lt;&gt;"""", F955&lt;&gt;"""", NOT(REG"&amp;"EXMATCH(C955, ""薪資""))), ""內部轉帳(忽略)"",
  REGEXMATCH(C955, ""薪資""), ""薪資變動(不計入)"",
  REGEXMATCH(C955, ""押金""), ""押金往來"",
  AND(E955&lt;&gt;"""", F955=""""), ""真實支出"",
  AND(E955="""", F955&lt;&gt;""""), ""真實收入"",
  TRUE, ""其他""
)"),"真實支出")</f>
        <v>真實支出</v>
      </c>
      <c r="K955" s="270">
        <f t="shared" si="2"/>
        <v>-1388</v>
      </c>
      <c r="L955">
        <f t="shared" si="3"/>
        <v>0</v>
      </c>
    </row>
    <row r="956">
      <c r="A956" s="107">
        <f>IFERROR(__xludf.DUMMYFUNCTION("""COMPUTED_VALUE"""),45588.0)</f>
        <v>45588</v>
      </c>
      <c r="B956" t="str">
        <f>IFERROR(__xludf.DUMMYFUNCTION("""COMPUTED_VALUE"""),"MOMO吸塵器")</f>
        <v>MOMO吸塵器</v>
      </c>
      <c r="C956" t="str">
        <f>IFERROR(__xludf.DUMMYFUNCTION("""COMPUTED_VALUE"""),"成本 - 進場前裝潢費")</f>
        <v>成本 - 進場前裝潢費</v>
      </c>
      <c r="D956" s="270">
        <f>IFERROR(__xludf.DUMMYFUNCTION("""COMPUTED_VALUE"""),-2776.0)</f>
        <v>-2776</v>
      </c>
      <c r="E956" t="str">
        <f>IFERROR(__xludf.DUMMYFUNCTION("""COMPUTED_VALUE"""),"Elsa帳戶")</f>
        <v>Elsa帳戶</v>
      </c>
      <c r="G956" t="str">
        <f>IFERROR(__xludf.DUMMYFUNCTION("""COMPUTED_VALUE"""),"中山北Feli家")</f>
        <v>中山北Feli家</v>
      </c>
      <c r="H956" s="106" t="str">
        <f t="shared" si="1"/>
        <v>2024-10</v>
      </c>
      <c r="I956" s="271" t="str">
        <f>IFERROR(__xludf.DUMMYFUNCTION("""COMPUTED_VALUE"""),"貓狗企鵝")</f>
        <v>貓狗企鵝</v>
      </c>
      <c r="J956" t="str">
        <f>IFERROR(__xludf.DUMMYFUNCTION("IFS(
  AND(REGEXMATCH(E956, ""台銀籌備帳戶|玉山帳戶""), REGEXMATCH(C956, ""薪資"")), ""分潤支出"",
  AND(REGEXMATCH(E956, ""Ben帳戶|Elsa帳戶|Ben代墊|Ariel代墊|中信銀行共用""), REGEXMATCH(F956, ""Ben帳戶|Elsa帳戶|Ben代墊|Ariel代墊|中信銀行共用"")), ""內部轉帳(忽略)"",
  AND(E956&lt;&gt;"""", F956&lt;&gt;"""", NOT(REG"&amp;"EXMATCH(C956, ""薪資""))), ""內部轉帳(忽略)"",
  REGEXMATCH(C956, ""薪資""), ""薪資變動(不計入)"",
  REGEXMATCH(C956, ""押金""), ""押金往來"",
  AND(E956&lt;&gt;"""", F956=""""), ""真實支出"",
  AND(E956="""", F956&lt;&gt;""""), ""真實收入"",
  TRUE, ""其他""
)"),"真實支出")</f>
        <v>真實支出</v>
      </c>
      <c r="K956" s="270">
        <f t="shared" si="2"/>
        <v>-2776</v>
      </c>
      <c r="L956">
        <f t="shared" si="3"/>
        <v>0</v>
      </c>
    </row>
    <row r="957">
      <c r="A957" s="107">
        <f>IFERROR(__xludf.DUMMYFUNCTION("""COMPUTED_VALUE"""),45588.0)</f>
        <v>45588</v>
      </c>
      <c r="B957" t="str">
        <f>IFERROR(__xludf.DUMMYFUNCTION("""COMPUTED_VALUE"""),"淘寶 軟裝")</f>
        <v>淘寶 軟裝</v>
      </c>
      <c r="C957" t="str">
        <f>IFERROR(__xludf.DUMMYFUNCTION("""COMPUTED_VALUE"""),"成本 - 進場前裝潢費")</f>
        <v>成本 - 進場前裝潢費</v>
      </c>
      <c r="D957" s="270">
        <f>IFERROR(__xludf.DUMMYFUNCTION("""COMPUTED_VALUE"""),-4890.0)</f>
        <v>-4890</v>
      </c>
      <c r="E957" t="str">
        <f>IFERROR(__xludf.DUMMYFUNCTION("""COMPUTED_VALUE"""),"Elsa帳戶")</f>
        <v>Elsa帳戶</v>
      </c>
      <c r="G957" t="str">
        <f>IFERROR(__xludf.DUMMYFUNCTION("""COMPUTED_VALUE"""),"中山北Feli家")</f>
        <v>中山北Feli家</v>
      </c>
      <c r="H957" s="106" t="str">
        <f t="shared" si="1"/>
        <v>2024-10</v>
      </c>
      <c r="I957" s="271" t="str">
        <f>IFERROR(__xludf.DUMMYFUNCTION("""COMPUTED_VALUE"""),"貓狗企鵝")</f>
        <v>貓狗企鵝</v>
      </c>
      <c r="J957" t="str">
        <f>IFERROR(__xludf.DUMMYFUNCTION("IFS(
  AND(REGEXMATCH(E957, ""台銀籌備帳戶|玉山帳戶""), REGEXMATCH(C957, ""薪資"")), ""分潤支出"",
  AND(REGEXMATCH(E957, ""Ben帳戶|Elsa帳戶|Ben代墊|Ariel代墊|中信銀行共用""), REGEXMATCH(F957, ""Ben帳戶|Elsa帳戶|Ben代墊|Ariel代墊|中信銀行共用"")), ""內部轉帳(忽略)"",
  AND(E957&lt;&gt;"""", F957&lt;&gt;"""", NOT(REG"&amp;"EXMATCH(C957, ""薪資""))), ""內部轉帳(忽略)"",
  REGEXMATCH(C957, ""薪資""), ""薪資變動(不計入)"",
  REGEXMATCH(C957, ""押金""), ""押金往來"",
  AND(E957&lt;&gt;"""", F957=""""), ""真實支出"",
  AND(E957="""", F957&lt;&gt;""""), ""真實收入"",
  TRUE, ""其他""
)"),"真實支出")</f>
        <v>真實支出</v>
      </c>
      <c r="K957" s="270">
        <f t="shared" si="2"/>
        <v>-4890</v>
      </c>
      <c r="L957">
        <f t="shared" si="3"/>
        <v>0</v>
      </c>
    </row>
    <row r="958">
      <c r="A958" s="107">
        <f>IFERROR(__xludf.DUMMYFUNCTION("""COMPUTED_VALUE"""),45588.0)</f>
        <v>45588</v>
      </c>
      <c r="B958" t="str">
        <f>IFERROR(__xludf.DUMMYFUNCTION("""COMPUTED_VALUE"""),"寶琳清潔")</f>
        <v>寶琳清潔</v>
      </c>
      <c r="C958" t="str">
        <f>IFERROR(__xludf.DUMMYFUNCTION("""COMPUTED_VALUE"""),"成本 - 進場前裝潢費")</f>
        <v>成本 - 進場前裝潢費</v>
      </c>
      <c r="D958" s="270">
        <f>IFERROR(__xludf.DUMMYFUNCTION("""COMPUTED_VALUE"""),-875.0)</f>
        <v>-875</v>
      </c>
      <c r="E958" t="str">
        <f>IFERROR(__xludf.DUMMYFUNCTION("""COMPUTED_VALUE"""),"Elsa帳戶")</f>
        <v>Elsa帳戶</v>
      </c>
      <c r="G958" t="str">
        <f>IFERROR(__xludf.DUMMYFUNCTION("""COMPUTED_VALUE"""),"中山北娘家旁")</f>
        <v>中山北娘家旁</v>
      </c>
      <c r="H958" s="106" t="str">
        <f t="shared" si="1"/>
        <v>2024-10</v>
      </c>
      <c r="I958" s="271" t="str">
        <f>IFERROR(__xludf.DUMMYFUNCTION("""COMPUTED_VALUE"""),"貓狗企鵝")</f>
        <v>貓狗企鵝</v>
      </c>
      <c r="J958" t="str">
        <f>IFERROR(__xludf.DUMMYFUNCTION("IFS(
  AND(REGEXMATCH(E958, ""台銀籌備帳戶|玉山帳戶""), REGEXMATCH(C958, ""薪資"")), ""分潤支出"",
  AND(REGEXMATCH(E958, ""Ben帳戶|Elsa帳戶|Ben代墊|Ariel代墊|中信銀行共用""), REGEXMATCH(F958, ""Ben帳戶|Elsa帳戶|Ben代墊|Ariel代墊|中信銀行共用"")), ""內部轉帳(忽略)"",
  AND(E958&lt;&gt;"""", F958&lt;&gt;"""", NOT(REG"&amp;"EXMATCH(C958, ""薪資""))), ""內部轉帳(忽略)"",
  REGEXMATCH(C958, ""薪資""), ""薪資變動(不計入)"",
  REGEXMATCH(C958, ""押金""), ""押金往來"",
  AND(E958&lt;&gt;"""", F958=""""), ""真實支出"",
  AND(E958="""", F958&lt;&gt;""""), ""真實收入"",
  TRUE, ""其他""
)"),"真實支出")</f>
        <v>真實支出</v>
      </c>
      <c r="K958" s="270">
        <f t="shared" si="2"/>
        <v>-875</v>
      </c>
      <c r="L958">
        <f t="shared" si="3"/>
        <v>0</v>
      </c>
    </row>
    <row r="959">
      <c r="A959" s="107">
        <f>IFERROR(__xludf.DUMMYFUNCTION("""COMPUTED_VALUE"""),45588.0)</f>
        <v>45588</v>
      </c>
      <c r="B959" t="str">
        <f>IFERROR(__xludf.DUMMYFUNCTION("""COMPUTED_VALUE"""),"MoMo Y型桿子")</f>
        <v>MoMo Y型桿子</v>
      </c>
      <c r="C959" t="str">
        <f>IFERROR(__xludf.DUMMYFUNCTION("""COMPUTED_VALUE"""),"成本 - 進場前裝潢費")</f>
        <v>成本 - 進場前裝潢費</v>
      </c>
      <c r="D959" s="270">
        <f>IFERROR(__xludf.DUMMYFUNCTION("""COMPUTED_VALUE"""),-127.0)</f>
        <v>-127</v>
      </c>
      <c r="E959" t="str">
        <f>IFERROR(__xludf.DUMMYFUNCTION("""COMPUTED_VALUE"""),"Elsa帳戶")</f>
        <v>Elsa帳戶</v>
      </c>
      <c r="G959" t="str">
        <f>IFERROR(__xludf.DUMMYFUNCTION("""COMPUTED_VALUE"""),"景安2分鐘")</f>
        <v>景安2分鐘</v>
      </c>
      <c r="H959" s="106" t="str">
        <f t="shared" si="1"/>
        <v>2024-10</v>
      </c>
      <c r="I959" s="271" t="str">
        <f>IFERROR(__xludf.DUMMYFUNCTION("""COMPUTED_VALUE"""),"貓狗企鵝")</f>
        <v>貓狗企鵝</v>
      </c>
      <c r="J959" t="str">
        <f>IFERROR(__xludf.DUMMYFUNCTION("IFS(
  AND(REGEXMATCH(E959, ""台銀籌備帳戶|玉山帳戶""), REGEXMATCH(C959, ""薪資"")), ""分潤支出"",
  AND(REGEXMATCH(E959, ""Ben帳戶|Elsa帳戶|Ben代墊|Ariel代墊|中信銀行共用""), REGEXMATCH(F959, ""Ben帳戶|Elsa帳戶|Ben代墊|Ariel代墊|中信銀行共用"")), ""內部轉帳(忽略)"",
  AND(E959&lt;&gt;"""", F959&lt;&gt;"""", NOT(REG"&amp;"EXMATCH(C959, ""薪資""))), ""內部轉帳(忽略)"",
  REGEXMATCH(C959, ""薪資""), ""薪資變動(不計入)"",
  REGEXMATCH(C959, ""押金""), ""押金往來"",
  AND(E959&lt;&gt;"""", F959=""""), ""真實支出"",
  AND(E959="""", F959&lt;&gt;""""), ""真實收入"",
  TRUE, ""其他""
)"),"真實支出")</f>
        <v>真實支出</v>
      </c>
      <c r="K959" s="270">
        <f t="shared" si="2"/>
        <v>-127</v>
      </c>
      <c r="L959">
        <f t="shared" si="3"/>
        <v>0</v>
      </c>
    </row>
    <row r="960">
      <c r="A960" s="107">
        <f>IFERROR(__xludf.DUMMYFUNCTION("""COMPUTED_VALUE"""),45588.0)</f>
        <v>45588</v>
      </c>
      <c r="B960" t="str">
        <f>IFERROR(__xludf.DUMMYFUNCTION("""COMPUTED_VALUE"""),"MoMo 洗衣機*2+冰箱")</f>
        <v>MoMo 洗衣機*2+冰箱</v>
      </c>
      <c r="C960" t="str">
        <f>IFERROR(__xludf.DUMMYFUNCTION("""COMPUTED_VALUE"""),"成本 - 進場前裝潢費")</f>
        <v>成本 - 進場前裝潢費</v>
      </c>
      <c r="D960" s="270">
        <f>IFERROR(__xludf.DUMMYFUNCTION("""COMPUTED_VALUE"""),-28691.0)</f>
        <v>-28691</v>
      </c>
      <c r="E960" t="str">
        <f>IFERROR(__xludf.DUMMYFUNCTION("""COMPUTED_VALUE"""),"Elsa帳戶")</f>
        <v>Elsa帳戶</v>
      </c>
      <c r="G960" t="str">
        <f>IFERROR(__xludf.DUMMYFUNCTION("""COMPUTED_VALUE"""),"中山北Feli家")</f>
        <v>中山北Feli家</v>
      </c>
      <c r="H960" s="106" t="str">
        <f t="shared" si="1"/>
        <v>2024-10</v>
      </c>
      <c r="I960" s="271" t="str">
        <f>IFERROR(__xludf.DUMMYFUNCTION("""COMPUTED_VALUE"""),"貓狗企鵝")</f>
        <v>貓狗企鵝</v>
      </c>
      <c r="J960" t="str">
        <f>IFERROR(__xludf.DUMMYFUNCTION("IFS(
  AND(REGEXMATCH(E960, ""台銀籌備帳戶|玉山帳戶""), REGEXMATCH(C960, ""薪資"")), ""分潤支出"",
  AND(REGEXMATCH(E960, ""Ben帳戶|Elsa帳戶|Ben代墊|Ariel代墊|中信銀行共用""), REGEXMATCH(F960, ""Ben帳戶|Elsa帳戶|Ben代墊|Ariel代墊|中信銀行共用"")), ""內部轉帳(忽略)"",
  AND(E960&lt;&gt;"""", F960&lt;&gt;"""", NOT(REG"&amp;"EXMATCH(C960, ""薪資""))), ""內部轉帳(忽略)"",
  REGEXMATCH(C960, ""薪資""), ""薪資變動(不計入)"",
  REGEXMATCH(C960, ""押金""), ""押金往來"",
  AND(E960&lt;&gt;"""", F960=""""), ""真實支出"",
  AND(E960="""", F960&lt;&gt;""""), ""真實收入"",
  TRUE, ""其他""
)"),"真實支出")</f>
        <v>真實支出</v>
      </c>
      <c r="K960" s="270">
        <f t="shared" si="2"/>
        <v>-28691</v>
      </c>
      <c r="L960">
        <f t="shared" si="3"/>
        <v>0</v>
      </c>
    </row>
    <row r="961">
      <c r="A961" s="107">
        <f>IFERROR(__xludf.DUMMYFUNCTION("""COMPUTED_VALUE"""),45589.0)</f>
        <v>45589</v>
      </c>
      <c r="B961" t="str">
        <f>IFERROR(__xludf.DUMMYFUNCTION("""COMPUTED_VALUE"""),"IKEA 傢俱")</f>
        <v>IKEA 傢俱</v>
      </c>
      <c r="C961" t="str">
        <f>IFERROR(__xludf.DUMMYFUNCTION("""COMPUTED_VALUE"""),"成本 - 進場前裝潢費")</f>
        <v>成本 - 進場前裝潢費</v>
      </c>
      <c r="D961" s="270">
        <f>IFERROR(__xludf.DUMMYFUNCTION("""COMPUTED_VALUE"""),-49131.0)</f>
        <v>-49131</v>
      </c>
      <c r="E961" t="str">
        <f>IFERROR(__xludf.DUMMYFUNCTION("""COMPUTED_VALUE"""),"Elsa帳戶")</f>
        <v>Elsa帳戶</v>
      </c>
      <c r="G961" t="str">
        <f>IFERROR(__xludf.DUMMYFUNCTION("""COMPUTED_VALUE"""),"中山北Feli家")</f>
        <v>中山北Feli家</v>
      </c>
      <c r="H961" s="106" t="str">
        <f t="shared" si="1"/>
        <v>2024-10</v>
      </c>
      <c r="I961" s="271" t="str">
        <f>IFERROR(__xludf.DUMMYFUNCTION("""COMPUTED_VALUE"""),"貓狗企鵝")</f>
        <v>貓狗企鵝</v>
      </c>
      <c r="J961" t="str">
        <f>IFERROR(__xludf.DUMMYFUNCTION("IFS(
  AND(REGEXMATCH(E961, ""台銀籌備帳戶|玉山帳戶""), REGEXMATCH(C961, ""薪資"")), ""分潤支出"",
  AND(REGEXMATCH(E961, ""Ben帳戶|Elsa帳戶|Ben代墊|Ariel代墊|中信銀行共用""), REGEXMATCH(F961, ""Ben帳戶|Elsa帳戶|Ben代墊|Ariel代墊|中信銀行共用"")), ""內部轉帳(忽略)"",
  AND(E961&lt;&gt;"""", F961&lt;&gt;"""", NOT(REG"&amp;"EXMATCH(C961, ""薪資""))), ""內部轉帳(忽略)"",
  REGEXMATCH(C961, ""薪資""), ""薪資變動(不計入)"",
  REGEXMATCH(C961, ""押金""), ""押金往來"",
  AND(E961&lt;&gt;"""", F961=""""), ""真實支出"",
  AND(E961="""", F961&lt;&gt;""""), ""真實收入"",
  TRUE, ""其他""
)"),"真實支出")</f>
        <v>真實支出</v>
      </c>
      <c r="K961" s="270">
        <f t="shared" si="2"/>
        <v>-49131</v>
      </c>
      <c r="L961">
        <f t="shared" si="3"/>
        <v>0</v>
      </c>
    </row>
    <row r="962">
      <c r="A962" s="107">
        <f>IFERROR(__xludf.DUMMYFUNCTION("""COMPUTED_VALUE"""),45589.0)</f>
        <v>45589</v>
      </c>
      <c r="B962" t="str">
        <f>IFERROR(__xludf.DUMMYFUNCTION("""COMPUTED_VALUE"""),"Lala運費")</f>
        <v>Lala運費</v>
      </c>
      <c r="C962" t="str">
        <f>IFERROR(__xludf.DUMMYFUNCTION("""COMPUTED_VALUE"""),"成本 - 進場前裝潢費")</f>
        <v>成本 - 進場前裝潢費</v>
      </c>
      <c r="D962" s="270">
        <f>IFERROR(__xludf.DUMMYFUNCTION("""COMPUTED_VALUE"""),-350.0)</f>
        <v>-350</v>
      </c>
      <c r="E962" t="str">
        <f>IFERROR(__xludf.DUMMYFUNCTION("""COMPUTED_VALUE"""),"Ben帳戶")</f>
        <v>Ben帳戶</v>
      </c>
      <c r="G962" t="str">
        <f>IFERROR(__xludf.DUMMYFUNCTION("""COMPUTED_VALUE"""),"景安2分鐘")</f>
        <v>景安2分鐘</v>
      </c>
      <c r="H962" s="106" t="str">
        <f t="shared" si="1"/>
        <v>2024-10</v>
      </c>
      <c r="I962" s="271" t="str">
        <f>IFERROR(__xludf.DUMMYFUNCTION("""COMPUTED_VALUE"""),"貓狗企鵝")</f>
        <v>貓狗企鵝</v>
      </c>
      <c r="J962" t="str">
        <f>IFERROR(__xludf.DUMMYFUNCTION("IFS(
  AND(REGEXMATCH(E962, ""台銀籌備帳戶|玉山帳戶""), REGEXMATCH(C962, ""薪資"")), ""分潤支出"",
  AND(REGEXMATCH(E962, ""Ben帳戶|Elsa帳戶|Ben代墊|Ariel代墊|中信銀行共用""), REGEXMATCH(F962, ""Ben帳戶|Elsa帳戶|Ben代墊|Ariel代墊|中信銀行共用"")), ""內部轉帳(忽略)"",
  AND(E962&lt;&gt;"""", F962&lt;&gt;"""", NOT(REG"&amp;"EXMATCH(C962, ""薪資""))), ""內部轉帳(忽略)"",
  REGEXMATCH(C962, ""薪資""), ""薪資變動(不計入)"",
  REGEXMATCH(C962, ""押金""), ""押金往來"",
  AND(E962&lt;&gt;"""", F962=""""), ""真實支出"",
  AND(E962="""", F962&lt;&gt;""""), ""真實收入"",
  TRUE, ""其他""
)"),"真實支出")</f>
        <v>真實支出</v>
      </c>
      <c r="K962" s="270">
        <f t="shared" si="2"/>
        <v>-350</v>
      </c>
      <c r="L962">
        <f t="shared" si="3"/>
        <v>0</v>
      </c>
    </row>
    <row r="963">
      <c r="A963" s="107">
        <f>IFERROR(__xludf.DUMMYFUNCTION("""COMPUTED_VALUE"""),45589.0)</f>
        <v>45589</v>
      </c>
      <c r="B963" t="str">
        <f>IFERROR(__xludf.DUMMYFUNCTION("""COMPUTED_VALUE"""),"打鑰匙")</f>
        <v>打鑰匙</v>
      </c>
      <c r="C963" t="str">
        <f>IFERROR(__xludf.DUMMYFUNCTION("""COMPUTED_VALUE"""),"成本 - 進場前裝潢費")</f>
        <v>成本 - 進場前裝潢費</v>
      </c>
      <c r="D963" s="270">
        <f>IFERROR(__xludf.DUMMYFUNCTION("""COMPUTED_VALUE"""),-660.0)</f>
        <v>-660</v>
      </c>
      <c r="E963" t="str">
        <f>IFERROR(__xludf.DUMMYFUNCTION("""COMPUTED_VALUE"""),"Ben帳戶")</f>
        <v>Ben帳戶</v>
      </c>
      <c r="G963" t="str">
        <f>IFERROR(__xludf.DUMMYFUNCTION("""COMPUTED_VALUE"""),"中山北娘家旁")</f>
        <v>中山北娘家旁</v>
      </c>
      <c r="H963" s="106" t="str">
        <f t="shared" si="1"/>
        <v>2024-10</v>
      </c>
      <c r="I963" s="271" t="str">
        <f>IFERROR(__xludf.DUMMYFUNCTION("""COMPUTED_VALUE"""),"貓狗企鵝")</f>
        <v>貓狗企鵝</v>
      </c>
      <c r="J963" t="str">
        <f>IFERROR(__xludf.DUMMYFUNCTION("IFS(
  AND(REGEXMATCH(E963, ""台銀籌備帳戶|玉山帳戶""), REGEXMATCH(C963, ""薪資"")), ""分潤支出"",
  AND(REGEXMATCH(E963, ""Ben帳戶|Elsa帳戶|Ben代墊|Ariel代墊|中信銀行共用""), REGEXMATCH(F963, ""Ben帳戶|Elsa帳戶|Ben代墊|Ariel代墊|中信銀行共用"")), ""內部轉帳(忽略)"",
  AND(E963&lt;&gt;"""", F963&lt;&gt;"""", NOT(REG"&amp;"EXMATCH(C963, ""薪資""))), ""內部轉帳(忽略)"",
  REGEXMATCH(C963, ""薪資""), ""薪資變動(不計入)"",
  REGEXMATCH(C963, ""押金""), ""押金往來"",
  AND(E963&lt;&gt;"""", F963=""""), ""真實支出"",
  AND(E963="""", F963&lt;&gt;""""), ""真實收入"",
  TRUE, ""其他""
)"),"真實支出")</f>
        <v>真實支出</v>
      </c>
      <c r="K963" s="270">
        <f t="shared" si="2"/>
        <v>-660</v>
      </c>
      <c r="L963">
        <f t="shared" si="3"/>
        <v>0</v>
      </c>
    </row>
    <row r="964">
      <c r="A964" s="107">
        <f>IFERROR(__xludf.DUMMYFUNCTION("""COMPUTED_VALUE"""),45589.0)</f>
        <v>45589</v>
      </c>
      <c r="B964" t="str">
        <f>IFERROR(__xludf.DUMMYFUNCTION("""COMPUTED_VALUE"""),"寶琳清潔")</f>
        <v>寶琳清潔</v>
      </c>
      <c r="C964" t="str">
        <f>IFERROR(__xludf.DUMMYFUNCTION("""COMPUTED_VALUE"""),"成本 - 固定開銷(網路代收清潔)")</f>
        <v>成本 - 固定開銷(網路代收清潔)</v>
      </c>
      <c r="D964" s="270">
        <f>IFERROR(__xludf.DUMMYFUNCTION("""COMPUTED_VALUE"""),-700.0)</f>
        <v>-700</v>
      </c>
      <c r="E964" t="str">
        <f>IFERROR(__xludf.DUMMYFUNCTION("""COMPUTED_VALUE"""),"Elsa帳戶")</f>
        <v>Elsa帳戶</v>
      </c>
      <c r="G964" t="str">
        <f>IFERROR(__xludf.DUMMYFUNCTION("""COMPUTED_VALUE"""),"金龍帽子先生")</f>
        <v>金龍帽子先生</v>
      </c>
      <c r="H964" s="106" t="str">
        <f t="shared" si="1"/>
        <v>2024-10</v>
      </c>
      <c r="I964" s="271" t="str">
        <f>IFERROR(__xludf.DUMMYFUNCTION("""COMPUTED_VALUE"""),"貓狗企鵝")</f>
        <v>貓狗企鵝</v>
      </c>
      <c r="J964" t="str">
        <f>IFERROR(__xludf.DUMMYFUNCTION("IFS(
  AND(REGEXMATCH(E964, ""台銀籌備帳戶|玉山帳戶""), REGEXMATCH(C964, ""薪資"")), ""分潤支出"",
  AND(REGEXMATCH(E964, ""Ben帳戶|Elsa帳戶|Ben代墊|Ariel代墊|中信銀行共用""), REGEXMATCH(F964, ""Ben帳戶|Elsa帳戶|Ben代墊|Ariel代墊|中信銀行共用"")), ""內部轉帳(忽略)"",
  AND(E964&lt;&gt;"""", F964&lt;&gt;"""", NOT(REG"&amp;"EXMATCH(C964, ""薪資""))), ""內部轉帳(忽略)"",
  REGEXMATCH(C964, ""薪資""), ""薪資變動(不計入)"",
  REGEXMATCH(C964, ""押金""), ""押金往來"",
  AND(E964&lt;&gt;"""", F964=""""), ""真實支出"",
  AND(E964="""", F964&lt;&gt;""""), ""真實收入"",
  TRUE, ""其他""
)"),"真實支出")</f>
        <v>真實支出</v>
      </c>
      <c r="K964" s="270">
        <f t="shared" si="2"/>
        <v>-700</v>
      </c>
      <c r="L964">
        <f t="shared" si="3"/>
        <v>0</v>
      </c>
    </row>
    <row r="965">
      <c r="A965" s="107">
        <f>IFERROR(__xludf.DUMMYFUNCTION("""COMPUTED_VALUE"""),45589.0)</f>
        <v>45589</v>
      </c>
      <c r="B965" t="str">
        <f>IFERROR(__xludf.DUMMYFUNCTION("""COMPUTED_VALUE"""),"勝利 垃圾袋/衛生紙/剪刀")</f>
        <v>勝利 垃圾袋/衛生紙/剪刀</v>
      </c>
      <c r="C965" t="str">
        <f>IFERROR(__xludf.DUMMYFUNCTION("""COMPUTED_VALUE"""),"成本 - 進場前裝潢費")</f>
        <v>成本 - 進場前裝潢費</v>
      </c>
      <c r="D965" s="270">
        <f>IFERROR(__xludf.DUMMYFUNCTION("""COMPUTED_VALUE"""),-1068.0)</f>
        <v>-1068</v>
      </c>
      <c r="E965" t="str">
        <f>IFERROR(__xludf.DUMMYFUNCTION("""COMPUTED_VALUE"""),"Elsa帳戶")</f>
        <v>Elsa帳戶</v>
      </c>
      <c r="G965" t="str">
        <f>IFERROR(__xludf.DUMMYFUNCTION("""COMPUTED_VALUE"""),"中山北娘家旁")</f>
        <v>中山北娘家旁</v>
      </c>
      <c r="H965" s="106" t="str">
        <f t="shared" si="1"/>
        <v>2024-10</v>
      </c>
      <c r="I965" s="271" t="str">
        <f>IFERROR(__xludf.DUMMYFUNCTION("""COMPUTED_VALUE"""),"貓狗企鵝")</f>
        <v>貓狗企鵝</v>
      </c>
      <c r="J965" t="str">
        <f>IFERROR(__xludf.DUMMYFUNCTION("IFS(
  AND(REGEXMATCH(E965, ""台銀籌備帳戶|玉山帳戶""), REGEXMATCH(C965, ""薪資"")), ""分潤支出"",
  AND(REGEXMATCH(E965, ""Ben帳戶|Elsa帳戶|Ben代墊|Ariel代墊|中信銀行共用""), REGEXMATCH(F965, ""Ben帳戶|Elsa帳戶|Ben代墊|Ariel代墊|中信銀行共用"")), ""內部轉帳(忽略)"",
  AND(E965&lt;&gt;"""", F965&lt;&gt;"""", NOT(REG"&amp;"EXMATCH(C965, ""薪資""))), ""內部轉帳(忽略)"",
  REGEXMATCH(C965, ""薪資""), ""薪資變動(不計入)"",
  REGEXMATCH(C965, ""押金""), ""押金往來"",
  AND(E965&lt;&gt;"""", F965=""""), ""真實支出"",
  AND(E965="""", F965&lt;&gt;""""), ""真實收入"",
  TRUE, ""其他""
)"),"真實支出")</f>
        <v>真實支出</v>
      </c>
      <c r="K965" s="270">
        <f t="shared" si="2"/>
        <v>-1068</v>
      </c>
      <c r="L965">
        <f t="shared" si="3"/>
        <v>0</v>
      </c>
    </row>
    <row r="966">
      <c r="A966" s="107">
        <f>IFERROR(__xludf.DUMMYFUNCTION("""COMPUTED_VALUE"""),45589.0)</f>
        <v>45589</v>
      </c>
      <c r="B966" t="str">
        <f>IFERROR(__xludf.DUMMYFUNCTION("""COMPUTED_VALUE"""),"台北市專用垃圾袋")</f>
        <v>台北市專用垃圾袋</v>
      </c>
      <c r="C966" t="str">
        <f>IFERROR(__xludf.DUMMYFUNCTION("""COMPUTED_VALUE"""),"成本 - 進場前裝潢費")</f>
        <v>成本 - 進場前裝潢費</v>
      </c>
      <c r="D966" s="270">
        <f>IFERROR(__xludf.DUMMYFUNCTION("""COMPUTED_VALUE"""),-237.0)</f>
        <v>-237</v>
      </c>
      <c r="E966" t="str">
        <f>IFERROR(__xludf.DUMMYFUNCTION("""COMPUTED_VALUE"""),"Elsa帳戶")</f>
        <v>Elsa帳戶</v>
      </c>
      <c r="G966" t="str">
        <f>IFERROR(__xludf.DUMMYFUNCTION("""COMPUTED_VALUE"""),"中山北娘家旁")</f>
        <v>中山北娘家旁</v>
      </c>
      <c r="H966" s="106" t="str">
        <f t="shared" si="1"/>
        <v>2024-10</v>
      </c>
      <c r="I966" s="271" t="str">
        <f>IFERROR(__xludf.DUMMYFUNCTION("""COMPUTED_VALUE"""),"貓狗企鵝")</f>
        <v>貓狗企鵝</v>
      </c>
      <c r="J966" t="str">
        <f>IFERROR(__xludf.DUMMYFUNCTION("IFS(
  AND(REGEXMATCH(E966, ""台銀籌備帳戶|玉山帳戶""), REGEXMATCH(C966, ""薪資"")), ""分潤支出"",
  AND(REGEXMATCH(E966, ""Ben帳戶|Elsa帳戶|Ben代墊|Ariel代墊|中信銀行共用""), REGEXMATCH(F966, ""Ben帳戶|Elsa帳戶|Ben代墊|Ariel代墊|中信銀行共用"")), ""內部轉帳(忽略)"",
  AND(E966&lt;&gt;"""", F966&lt;&gt;"""", NOT(REG"&amp;"EXMATCH(C966, ""薪資""))), ""內部轉帳(忽略)"",
  REGEXMATCH(C966, ""薪資""), ""薪資變動(不計入)"",
  REGEXMATCH(C966, ""押金""), ""押金往來"",
  AND(E966&lt;&gt;"""", F966=""""), ""真實支出"",
  AND(E966="""", F966&lt;&gt;""""), ""真實收入"",
  TRUE, ""其他""
)"),"真實支出")</f>
        <v>真實支出</v>
      </c>
      <c r="K966" s="270">
        <f t="shared" si="2"/>
        <v>-237</v>
      </c>
      <c r="L966">
        <f t="shared" si="3"/>
        <v>0</v>
      </c>
    </row>
    <row r="967">
      <c r="A967" s="107">
        <f>IFERROR(__xludf.DUMMYFUNCTION("""COMPUTED_VALUE"""),45589.0)</f>
        <v>45589</v>
      </c>
      <c r="B967" t="str">
        <f>IFERROR(__xludf.DUMMYFUNCTION("""COMPUTED_VALUE"""),"床Feli")</f>
        <v>床Feli</v>
      </c>
      <c r="C967" t="str">
        <f>IFERROR(__xludf.DUMMYFUNCTION("""COMPUTED_VALUE"""),"成本 - 進場前裝潢費")</f>
        <v>成本 - 進場前裝潢費</v>
      </c>
      <c r="D967" s="270">
        <f>IFERROR(__xludf.DUMMYFUNCTION("""COMPUTED_VALUE"""),-44565.0)</f>
        <v>-44565</v>
      </c>
      <c r="E967" t="str">
        <f>IFERROR(__xludf.DUMMYFUNCTION("""COMPUTED_VALUE"""),"台銀籌備帳戶")</f>
        <v>台銀籌備帳戶</v>
      </c>
      <c r="G967" t="str">
        <f>IFERROR(__xludf.DUMMYFUNCTION("""COMPUTED_VALUE"""),"中山北Feli家")</f>
        <v>中山北Feli家</v>
      </c>
      <c r="H967" s="106" t="str">
        <f t="shared" si="1"/>
        <v>2024-10</v>
      </c>
      <c r="I967" s="271" t="str">
        <f>IFERROR(__xludf.DUMMYFUNCTION("""COMPUTED_VALUE"""),"貓狗企鵝")</f>
        <v>貓狗企鵝</v>
      </c>
      <c r="J967" t="str">
        <f>IFERROR(__xludf.DUMMYFUNCTION("IFS(
  AND(REGEXMATCH(E967, ""台銀籌備帳戶|玉山帳戶""), REGEXMATCH(C967, ""薪資"")), ""分潤支出"",
  AND(REGEXMATCH(E967, ""Ben帳戶|Elsa帳戶|Ben代墊|Ariel代墊|中信銀行共用""), REGEXMATCH(F967, ""Ben帳戶|Elsa帳戶|Ben代墊|Ariel代墊|中信銀行共用"")), ""內部轉帳(忽略)"",
  AND(E967&lt;&gt;"""", F967&lt;&gt;"""", NOT(REG"&amp;"EXMATCH(C967, ""薪資""))), ""內部轉帳(忽略)"",
  REGEXMATCH(C967, ""薪資""), ""薪資變動(不計入)"",
  REGEXMATCH(C967, ""押金""), ""押金往來"",
  AND(E967&lt;&gt;"""", F967=""""), ""真實支出"",
  AND(E967="""", F967&lt;&gt;""""), ""真實收入"",
  TRUE, ""其他""
)"),"真實支出")</f>
        <v>真實支出</v>
      </c>
      <c r="K967" s="270">
        <f t="shared" si="2"/>
        <v>-44565</v>
      </c>
      <c r="L967">
        <f t="shared" si="3"/>
        <v>0</v>
      </c>
    </row>
    <row r="968">
      <c r="A968" s="107">
        <f>IFERROR(__xludf.DUMMYFUNCTION("""COMPUTED_VALUE"""),45589.0)</f>
        <v>45589</v>
      </c>
      <c r="B968" t="str">
        <f>IFERROR(__xludf.DUMMYFUNCTION("""COMPUTED_VALUE"""),"娘家櫥櫃")</f>
        <v>娘家櫥櫃</v>
      </c>
      <c r="C968" t="str">
        <f>IFERROR(__xludf.DUMMYFUNCTION("""COMPUTED_VALUE"""),"成本 - 進場前裝潢費")</f>
        <v>成本 - 進場前裝潢費</v>
      </c>
      <c r="D968" s="270">
        <f>IFERROR(__xludf.DUMMYFUNCTION("""COMPUTED_VALUE"""),-10935.0)</f>
        <v>-10935</v>
      </c>
      <c r="E968" t="str">
        <f>IFERROR(__xludf.DUMMYFUNCTION("""COMPUTED_VALUE"""),"台銀籌備帳戶")</f>
        <v>台銀籌備帳戶</v>
      </c>
      <c r="G968" t="str">
        <f>IFERROR(__xludf.DUMMYFUNCTION("""COMPUTED_VALUE"""),"中山北娘家旁")</f>
        <v>中山北娘家旁</v>
      </c>
      <c r="H968" s="106" t="str">
        <f t="shared" si="1"/>
        <v>2024-10</v>
      </c>
      <c r="I968" s="271" t="str">
        <f>IFERROR(__xludf.DUMMYFUNCTION("""COMPUTED_VALUE"""),"貓狗企鵝")</f>
        <v>貓狗企鵝</v>
      </c>
      <c r="J968" t="str">
        <f>IFERROR(__xludf.DUMMYFUNCTION("IFS(
  AND(REGEXMATCH(E968, ""台銀籌備帳戶|玉山帳戶""), REGEXMATCH(C968, ""薪資"")), ""分潤支出"",
  AND(REGEXMATCH(E968, ""Ben帳戶|Elsa帳戶|Ben代墊|Ariel代墊|中信銀行共用""), REGEXMATCH(F968, ""Ben帳戶|Elsa帳戶|Ben代墊|Ariel代墊|中信銀行共用"")), ""內部轉帳(忽略)"",
  AND(E968&lt;&gt;"""", F968&lt;&gt;"""", NOT(REG"&amp;"EXMATCH(C968, ""薪資""))), ""內部轉帳(忽略)"",
  REGEXMATCH(C968, ""薪資""), ""薪資變動(不計入)"",
  REGEXMATCH(C968, ""押金""), ""押金往來"",
  AND(E968&lt;&gt;"""", F968=""""), ""真實支出"",
  AND(E968="""", F968&lt;&gt;""""), ""真實收入"",
  TRUE, ""其他""
)"),"真實支出")</f>
        <v>真實支出</v>
      </c>
      <c r="K968" s="270">
        <f t="shared" si="2"/>
        <v>-10935</v>
      </c>
      <c r="L968">
        <f t="shared" si="3"/>
        <v>0</v>
      </c>
    </row>
    <row r="969">
      <c r="A969" s="107">
        <f>IFERROR(__xludf.DUMMYFUNCTION("""COMPUTED_VALUE"""),45589.0)</f>
        <v>45589</v>
      </c>
      <c r="B969" t="str">
        <f>IFERROR(__xludf.DUMMYFUNCTION("""COMPUTED_VALUE"""),"小玉Feli")</f>
        <v>小玉Feli</v>
      </c>
      <c r="C969" t="str">
        <f>IFERROR(__xludf.DUMMYFUNCTION("""COMPUTED_VALUE"""),"成本 - 進場前裝潢費")</f>
        <v>成本 - 進場前裝潢費</v>
      </c>
      <c r="D969" s="270">
        <f>IFERROR(__xludf.DUMMYFUNCTION("""COMPUTED_VALUE"""),-1590.0)</f>
        <v>-1590</v>
      </c>
      <c r="E969" t="str">
        <f>IFERROR(__xludf.DUMMYFUNCTION("""COMPUTED_VALUE"""),"台銀籌備帳戶")</f>
        <v>台銀籌備帳戶</v>
      </c>
      <c r="G969" t="str">
        <f>IFERROR(__xludf.DUMMYFUNCTION("""COMPUTED_VALUE"""),"中山北Feli家")</f>
        <v>中山北Feli家</v>
      </c>
      <c r="H969" s="106" t="str">
        <f t="shared" si="1"/>
        <v>2024-10</v>
      </c>
      <c r="I969" s="271" t="str">
        <f>IFERROR(__xludf.DUMMYFUNCTION("""COMPUTED_VALUE"""),"貓狗企鵝")</f>
        <v>貓狗企鵝</v>
      </c>
      <c r="J969" t="str">
        <f>IFERROR(__xludf.DUMMYFUNCTION("IFS(
  AND(REGEXMATCH(E969, ""台銀籌備帳戶|玉山帳戶""), REGEXMATCH(C969, ""薪資"")), ""分潤支出"",
  AND(REGEXMATCH(E969, ""Ben帳戶|Elsa帳戶|Ben代墊|Ariel代墊|中信銀行共用""), REGEXMATCH(F969, ""Ben帳戶|Elsa帳戶|Ben代墊|Ariel代墊|中信銀行共用"")), ""內部轉帳(忽略)"",
  AND(E969&lt;&gt;"""", F969&lt;&gt;"""", NOT(REG"&amp;"EXMATCH(C969, ""薪資""))), ""內部轉帳(忽略)"",
  REGEXMATCH(C969, ""薪資""), ""薪資變動(不計入)"",
  REGEXMATCH(C969, ""押金""), ""押金往來"",
  AND(E969&lt;&gt;"""", F969=""""), ""真實支出"",
  AND(E969="""", F969&lt;&gt;""""), ""真實收入"",
  TRUE, ""其他""
)"),"真實支出")</f>
        <v>真實支出</v>
      </c>
      <c r="K969" s="270">
        <f t="shared" si="2"/>
        <v>-1590</v>
      </c>
      <c r="L969">
        <f t="shared" si="3"/>
        <v>0</v>
      </c>
    </row>
    <row r="970">
      <c r="A970" s="107">
        <f>IFERROR(__xludf.DUMMYFUNCTION("""COMPUTED_VALUE"""),45590.0)</f>
        <v>45590</v>
      </c>
      <c r="B970" t="str">
        <f>IFERROR(__xludf.DUMMYFUNCTION("""COMPUTED_VALUE"""),"瓦斯費金龍")</f>
        <v>瓦斯費金龍</v>
      </c>
      <c r="C970" t="str">
        <f>IFERROR(__xludf.DUMMYFUNCTION("""COMPUTED_VALUE"""),"成本 - 進場前裝潢費")</f>
        <v>成本 - 進場前裝潢費</v>
      </c>
      <c r="D970" s="270">
        <f>IFERROR(__xludf.DUMMYFUNCTION("""COMPUTED_VALUE"""),-476.0)</f>
        <v>-476</v>
      </c>
      <c r="E970" t="str">
        <f>IFERROR(__xludf.DUMMYFUNCTION("""COMPUTED_VALUE"""),"Ben帳戶")</f>
        <v>Ben帳戶</v>
      </c>
      <c r="G970" t="str">
        <f>IFERROR(__xludf.DUMMYFUNCTION("""COMPUTED_VALUE"""),"金龍帽子先生")</f>
        <v>金龍帽子先生</v>
      </c>
      <c r="H970" s="106" t="str">
        <f t="shared" si="1"/>
        <v>2024-10</v>
      </c>
      <c r="I970" s="271" t="str">
        <f>IFERROR(__xludf.DUMMYFUNCTION("""COMPUTED_VALUE"""),"貓狗企鵝")</f>
        <v>貓狗企鵝</v>
      </c>
      <c r="J970" t="str">
        <f>IFERROR(__xludf.DUMMYFUNCTION("IFS(
  AND(REGEXMATCH(E970, ""台銀籌備帳戶|玉山帳戶""), REGEXMATCH(C970, ""薪資"")), ""分潤支出"",
  AND(REGEXMATCH(E970, ""Ben帳戶|Elsa帳戶|Ben代墊|Ariel代墊|中信銀行共用""), REGEXMATCH(F970, ""Ben帳戶|Elsa帳戶|Ben代墊|Ariel代墊|中信銀行共用"")), ""內部轉帳(忽略)"",
  AND(E970&lt;&gt;"""", F970&lt;&gt;"""", NOT(REG"&amp;"EXMATCH(C970, ""薪資""))), ""內部轉帳(忽略)"",
  REGEXMATCH(C970, ""薪資""), ""薪資變動(不計入)"",
  REGEXMATCH(C970, ""押金""), ""押金往來"",
  AND(E970&lt;&gt;"""", F970=""""), ""真實支出"",
  AND(E970="""", F970&lt;&gt;""""), ""真實收入"",
  TRUE, ""其他""
)"),"真實支出")</f>
        <v>真實支出</v>
      </c>
      <c r="K970" s="270">
        <f t="shared" si="2"/>
        <v>-476</v>
      </c>
      <c r="L970">
        <f t="shared" si="3"/>
        <v>0</v>
      </c>
    </row>
    <row r="971">
      <c r="A971" s="107">
        <f>IFERROR(__xludf.DUMMYFUNCTION("""COMPUTED_VALUE"""),45590.0)</f>
        <v>45590</v>
      </c>
      <c r="B971" t="str">
        <f>IFERROR(__xludf.DUMMYFUNCTION("""COMPUTED_VALUE"""),"凱擘 網路 大湖")</f>
        <v>凱擘 網路 大湖</v>
      </c>
      <c r="C971" t="str">
        <f>IFERROR(__xludf.DUMMYFUNCTION("""COMPUTED_VALUE"""),"成本 - 固定開銷(網路代收清潔)")</f>
        <v>成本 - 固定開銷(網路代收清潔)</v>
      </c>
      <c r="D971" s="270">
        <f>IFERROR(__xludf.DUMMYFUNCTION("""COMPUTED_VALUE"""),-2997.0)</f>
        <v>-2997</v>
      </c>
      <c r="E971" t="str">
        <f>IFERROR(__xludf.DUMMYFUNCTION("""COMPUTED_VALUE"""),"Ben帳戶")</f>
        <v>Ben帳戶</v>
      </c>
      <c r="G971" t="str">
        <f>IFERROR(__xludf.DUMMYFUNCTION("""COMPUTED_VALUE"""),"大湖山莊")</f>
        <v>大湖山莊</v>
      </c>
      <c r="H971" s="106" t="str">
        <f t="shared" si="1"/>
        <v>2024-10</v>
      </c>
      <c r="I971" s="271" t="str">
        <f>IFERROR(__xludf.DUMMYFUNCTION("""COMPUTED_VALUE"""),"貓狗企鵝")</f>
        <v>貓狗企鵝</v>
      </c>
      <c r="J971" t="str">
        <f>IFERROR(__xludf.DUMMYFUNCTION("IFS(
  AND(REGEXMATCH(E971, ""台銀籌備帳戶|玉山帳戶""), REGEXMATCH(C971, ""薪資"")), ""分潤支出"",
  AND(REGEXMATCH(E971, ""Ben帳戶|Elsa帳戶|Ben代墊|Ariel代墊|中信銀行共用""), REGEXMATCH(F971, ""Ben帳戶|Elsa帳戶|Ben代墊|Ariel代墊|中信銀行共用"")), ""內部轉帳(忽略)"",
  AND(E971&lt;&gt;"""", F971&lt;&gt;"""", NOT(REG"&amp;"EXMATCH(C971, ""薪資""))), ""內部轉帳(忽略)"",
  REGEXMATCH(C971, ""薪資""), ""薪資變動(不計入)"",
  REGEXMATCH(C971, ""押金""), ""押金往來"",
  AND(E971&lt;&gt;"""", F971=""""), ""真實支出"",
  AND(E971="""", F971&lt;&gt;""""), ""真實收入"",
  TRUE, ""其他""
)"),"真實支出")</f>
        <v>真實支出</v>
      </c>
      <c r="K971" s="270">
        <f t="shared" si="2"/>
        <v>-2997</v>
      </c>
      <c r="L971">
        <f t="shared" si="3"/>
        <v>0</v>
      </c>
    </row>
    <row r="972">
      <c r="A972" s="107">
        <f>IFERROR(__xludf.DUMMYFUNCTION("""COMPUTED_VALUE"""),45590.0)</f>
        <v>45590</v>
      </c>
      <c r="B972" t="str">
        <f>IFERROR(__xludf.DUMMYFUNCTION("""COMPUTED_VALUE"""),"五金 螺絲 鑽頭")</f>
        <v>五金 螺絲 鑽頭</v>
      </c>
      <c r="C972" t="str">
        <f>IFERROR(__xludf.DUMMYFUNCTION("""COMPUTED_VALUE"""),"費用 - 辦公用品")</f>
        <v>費用 - 辦公用品</v>
      </c>
      <c r="D972" s="270">
        <f>IFERROR(__xludf.DUMMYFUNCTION("""COMPUTED_VALUE"""),-989.0)</f>
        <v>-989</v>
      </c>
      <c r="E972" t="str">
        <f>IFERROR(__xludf.DUMMYFUNCTION("""COMPUTED_VALUE"""),"Ben帳戶")</f>
        <v>Ben帳戶</v>
      </c>
      <c r="H972" s="106" t="str">
        <f t="shared" si="1"/>
        <v>2024-10</v>
      </c>
      <c r="I972" s="271" t="str">
        <f>IFERROR(__xludf.DUMMYFUNCTION("""COMPUTED_VALUE"""),"貓狗企鵝")</f>
        <v>貓狗企鵝</v>
      </c>
      <c r="J972" t="str">
        <f>IFERROR(__xludf.DUMMYFUNCTION("IFS(
  AND(REGEXMATCH(E972, ""台銀籌備帳戶|玉山帳戶""), REGEXMATCH(C972, ""薪資"")), ""分潤支出"",
  AND(REGEXMATCH(E972, ""Ben帳戶|Elsa帳戶|Ben代墊|Ariel代墊|中信銀行共用""), REGEXMATCH(F972, ""Ben帳戶|Elsa帳戶|Ben代墊|Ariel代墊|中信銀行共用"")), ""內部轉帳(忽略)"",
  AND(E972&lt;&gt;"""", F972&lt;&gt;"""", NOT(REG"&amp;"EXMATCH(C972, ""薪資""))), ""內部轉帳(忽略)"",
  REGEXMATCH(C972, ""薪資""), ""薪資變動(不計入)"",
  REGEXMATCH(C972, ""押金""), ""押金往來"",
  AND(E972&lt;&gt;"""", F972=""""), ""真實支出"",
  AND(E972="""", F972&lt;&gt;""""), ""真實收入"",
  TRUE, ""其他""
)"),"真實支出")</f>
        <v>真實支出</v>
      </c>
      <c r="K972" s="270">
        <f t="shared" si="2"/>
        <v>-989</v>
      </c>
      <c r="L972">
        <f t="shared" si="3"/>
        <v>0</v>
      </c>
    </row>
    <row r="973">
      <c r="A973" s="107">
        <f>IFERROR(__xludf.DUMMYFUNCTION("""COMPUTED_VALUE"""),45590.0)</f>
        <v>45590</v>
      </c>
      <c r="B973" t="str">
        <f>IFERROR(__xludf.DUMMYFUNCTION("""COMPUTED_VALUE"""),"娘家冷氣")</f>
        <v>娘家冷氣</v>
      </c>
      <c r="C973" t="str">
        <f>IFERROR(__xludf.DUMMYFUNCTION("""COMPUTED_VALUE"""),"成本 - 進場前裝潢費")</f>
        <v>成本 - 進場前裝潢費</v>
      </c>
      <c r="D973" s="270">
        <f>IFERROR(__xludf.DUMMYFUNCTION("""COMPUTED_VALUE"""),-88900.0)</f>
        <v>-88900</v>
      </c>
      <c r="E973" t="str">
        <f>IFERROR(__xludf.DUMMYFUNCTION("""COMPUTED_VALUE"""),"Ben帳戶")</f>
        <v>Ben帳戶</v>
      </c>
      <c r="G973" t="str">
        <f>IFERROR(__xludf.DUMMYFUNCTION("""COMPUTED_VALUE"""),"中山北娘家旁")</f>
        <v>中山北娘家旁</v>
      </c>
      <c r="H973" s="106" t="str">
        <f t="shared" si="1"/>
        <v>2024-10</v>
      </c>
      <c r="I973" s="271" t="str">
        <f>IFERROR(__xludf.DUMMYFUNCTION("""COMPUTED_VALUE"""),"貓狗企鵝")</f>
        <v>貓狗企鵝</v>
      </c>
      <c r="J973" t="str">
        <f>IFERROR(__xludf.DUMMYFUNCTION("IFS(
  AND(REGEXMATCH(E973, ""台銀籌備帳戶|玉山帳戶""), REGEXMATCH(C973, ""薪資"")), ""分潤支出"",
  AND(REGEXMATCH(E973, ""Ben帳戶|Elsa帳戶|Ben代墊|Ariel代墊|中信銀行共用""), REGEXMATCH(F973, ""Ben帳戶|Elsa帳戶|Ben代墊|Ariel代墊|中信銀行共用"")), ""內部轉帳(忽略)"",
  AND(E973&lt;&gt;"""", F973&lt;&gt;"""", NOT(REG"&amp;"EXMATCH(C973, ""薪資""))), ""內部轉帳(忽略)"",
  REGEXMATCH(C973, ""薪資""), ""薪資變動(不計入)"",
  REGEXMATCH(C973, ""押金""), ""押金往來"",
  AND(E973&lt;&gt;"""", F973=""""), ""真實支出"",
  AND(E973="""", F973&lt;&gt;""""), ""真實收入"",
  TRUE, ""其他""
)"),"真實支出")</f>
        <v>真實支出</v>
      </c>
      <c r="K973" s="270">
        <f t="shared" si="2"/>
        <v>-88900</v>
      </c>
      <c r="L973">
        <f t="shared" si="3"/>
        <v>0</v>
      </c>
    </row>
    <row r="974">
      <c r="A974" s="107">
        <f>IFERROR(__xludf.DUMMYFUNCTION("""COMPUTED_VALUE"""),45590.0)</f>
        <v>45590</v>
      </c>
      <c r="B974" t="str">
        <f>IFERROR(__xludf.DUMMYFUNCTION("""COMPUTED_VALUE"""),"娘家水電")</f>
        <v>娘家水電</v>
      </c>
      <c r="C974" t="str">
        <f>IFERROR(__xludf.DUMMYFUNCTION("""COMPUTED_VALUE"""),"成本 - 進場前裝潢費")</f>
        <v>成本 - 進場前裝潢費</v>
      </c>
      <c r="D974" s="270">
        <f>IFERROR(__xludf.DUMMYFUNCTION("""COMPUTED_VALUE"""),-36729.0)</f>
        <v>-36729</v>
      </c>
      <c r="E974" t="str">
        <f>IFERROR(__xludf.DUMMYFUNCTION("""COMPUTED_VALUE"""),"Elsa帳戶")</f>
        <v>Elsa帳戶</v>
      </c>
      <c r="G974" t="str">
        <f>IFERROR(__xludf.DUMMYFUNCTION("""COMPUTED_VALUE"""),"中山北娘家旁")</f>
        <v>中山北娘家旁</v>
      </c>
      <c r="H974" s="106" t="str">
        <f t="shared" si="1"/>
        <v>2024-10</v>
      </c>
      <c r="I974" s="271" t="str">
        <f>IFERROR(__xludf.DUMMYFUNCTION("""COMPUTED_VALUE"""),"貓狗企鵝")</f>
        <v>貓狗企鵝</v>
      </c>
      <c r="J974" t="str">
        <f>IFERROR(__xludf.DUMMYFUNCTION("IFS(
  AND(REGEXMATCH(E974, ""台銀籌備帳戶|玉山帳戶""), REGEXMATCH(C974, ""薪資"")), ""分潤支出"",
  AND(REGEXMATCH(E974, ""Ben帳戶|Elsa帳戶|Ben代墊|Ariel代墊|中信銀行共用""), REGEXMATCH(F974, ""Ben帳戶|Elsa帳戶|Ben代墊|Ariel代墊|中信銀行共用"")), ""內部轉帳(忽略)"",
  AND(E974&lt;&gt;"""", F974&lt;&gt;"""", NOT(REG"&amp;"EXMATCH(C974, ""薪資""))), ""內部轉帳(忽略)"",
  REGEXMATCH(C974, ""薪資""), ""薪資變動(不計入)"",
  REGEXMATCH(C974, ""押金""), ""押金往來"",
  AND(E974&lt;&gt;"""", F974=""""), ""真實支出"",
  AND(E974="""", F974&lt;&gt;""""), ""真實收入"",
  TRUE, ""其他""
)"),"真實支出")</f>
        <v>真實支出</v>
      </c>
      <c r="K974" s="270">
        <f t="shared" si="2"/>
        <v>-36729</v>
      </c>
      <c r="L974">
        <f t="shared" si="3"/>
        <v>0</v>
      </c>
    </row>
    <row r="975">
      <c r="A975" s="107">
        <f>IFERROR(__xludf.DUMMYFUNCTION("""COMPUTED_VALUE"""),45590.0)</f>
        <v>45590</v>
      </c>
      <c r="B975" t="str">
        <f>IFERROR(__xludf.DUMMYFUNCTION("""COMPUTED_VALUE"""),"小玉搬家")</f>
        <v>小玉搬家</v>
      </c>
      <c r="C975" t="str">
        <f>IFERROR(__xludf.DUMMYFUNCTION("""COMPUTED_VALUE"""),"成本 - 進場前裝潢費")</f>
        <v>成本 - 進場前裝潢費</v>
      </c>
      <c r="D975" s="270">
        <f>IFERROR(__xludf.DUMMYFUNCTION("""COMPUTED_VALUE"""),-1260.0)</f>
        <v>-1260</v>
      </c>
      <c r="E975" t="str">
        <f>IFERROR(__xludf.DUMMYFUNCTION("""COMPUTED_VALUE"""),"Elsa帳戶")</f>
        <v>Elsa帳戶</v>
      </c>
      <c r="G975" t="str">
        <f>IFERROR(__xludf.DUMMYFUNCTION("""COMPUTED_VALUE"""),"中山北娘家旁")</f>
        <v>中山北娘家旁</v>
      </c>
      <c r="H975" s="106" t="str">
        <f t="shared" si="1"/>
        <v>2024-10</v>
      </c>
      <c r="I975" s="271" t="str">
        <f>IFERROR(__xludf.DUMMYFUNCTION("""COMPUTED_VALUE"""),"貓狗企鵝")</f>
        <v>貓狗企鵝</v>
      </c>
      <c r="J975" t="str">
        <f>IFERROR(__xludf.DUMMYFUNCTION("IFS(
  AND(REGEXMATCH(E975, ""台銀籌備帳戶|玉山帳戶""), REGEXMATCH(C975, ""薪資"")), ""分潤支出"",
  AND(REGEXMATCH(E975, ""Ben帳戶|Elsa帳戶|Ben代墊|Ariel代墊|中信銀行共用""), REGEXMATCH(F975, ""Ben帳戶|Elsa帳戶|Ben代墊|Ariel代墊|中信銀行共用"")), ""內部轉帳(忽略)"",
  AND(E975&lt;&gt;"""", F975&lt;&gt;"""", NOT(REG"&amp;"EXMATCH(C975, ""薪資""))), ""內部轉帳(忽略)"",
  REGEXMATCH(C975, ""薪資""), ""薪資變動(不計入)"",
  REGEXMATCH(C975, ""押金""), ""押金往來"",
  AND(E975&lt;&gt;"""", F975=""""), ""真實支出"",
  AND(E975="""", F975&lt;&gt;""""), ""真實收入"",
  TRUE, ""其他""
)"),"真實支出")</f>
        <v>真實支出</v>
      </c>
      <c r="K975" s="270">
        <f t="shared" si="2"/>
        <v>-1260</v>
      </c>
      <c r="L975">
        <f t="shared" si="3"/>
        <v>0</v>
      </c>
    </row>
    <row r="976">
      <c r="A976" s="107">
        <f>IFERROR(__xludf.DUMMYFUNCTION("""COMPUTED_VALUE"""),45590.0)</f>
        <v>45590</v>
      </c>
      <c r="B976" t="str">
        <f>IFERROR(__xludf.DUMMYFUNCTION("""COMPUTED_VALUE"""),"金龍591")</f>
        <v>金龍591</v>
      </c>
      <c r="C976" t="str">
        <f>IFERROR(__xludf.DUMMYFUNCTION("""COMPUTED_VALUE"""),"成本 - 仲介費")</f>
        <v>成本 - 仲介費</v>
      </c>
      <c r="D976" s="270">
        <f>IFERROR(__xludf.DUMMYFUNCTION("""COMPUTED_VALUE"""),-1289.0)</f>
        <v>-1289</v>
      </c>
      <c r="E976" t="str">
        <f>IFERROR(__xludf.DUMMYFUNCTION("""COMPUTED_VALUE"""),"Ben帳戶")</f>
        <v>Ben帳戶</v>
      </c>
      <c r="G976" t="str">
        <f>IFERROR(__xludf.DUMMYFUNCTION("""COMPUTED_VALUE"""),"金龍帽子先生")</f>
        <v>金龍帽子先生</v>
      </c>
      <c r="H976" s="106" t="str">
        <f t="shared" si="1"/>
        <v>2024-10</v>
      </c>
      <c r="I976" s="271" t="str">
        <f>IFERROR(__xludf.DUMMYFUNCTION("""COMPUTED_VALUE"""),"貓狗企鵝")</f>
        <v>貓狗企鵝</v>
      </c>
      <c r="J976" t="str">
        <f>IFERROR(__xludf.DUMMYFUNCTION("IFS(
  AND(REGEXMATCH(E976, ""台銀籌備帳戶|玉山帳戶""), REGEXMATCH(C976, ""薪資"")), ""分潤支出"",
  AND(REGEXMATCH(E976, ""Ben帳戶|Elsa帳戶|Ben代墊|Ariel代墊|中信銀行共用""), REGEXMATCH(F976, ""Ben帳戶|Elsa帳戶|Ben代墊|Ariel代墊|中信銀行共用"")), ""內部轉帳(忽略)"",
  AND(E976&lt;&gt;"""", F976&lt;&gt;"""", NOT(REG"&amp;"EXMATCH(C976, ""薪資""))), ""內部轉帳(忽略)"",
  REGEXMATCH(C976, ""薪資""), ""薪資變動(不計入)"",
  REGEXMATCH(C976, ""押金""), ""押金往來"",
  AND(E976&lt;&gt;"""", F976=""""), ""真實支出"",
  AND(E976="""", F976&lt;&gt;""""), ""真實收入"",
  TRUE, ""其他""
)"),"真實支出")</f>
        <v>真實支出</v>
      </c>
      <c r="K976" s="270">
        <f t="shared" si="2"/>
        <v>-1289</v>
      </c>
      <c r="L976">
        <f t="shared" si="3"/>
        <v>0</v>
      </c>
    </row>
    <row r="977">
      <c r="A977" s="107">
        <f>IFERROR(__xludf.DUMMYFUNCTION("""COMPUTED_VALUE"""),45590.0)</f>
        <v>45590</v>
      </c>
      <c r="B977" t="str">
        <f>IFERROR(__xludf.DUMMYFUNCTION("""COMPUTED_VALUE"""),"勝利五金")</f>
        <v>勝利五金</v>
      </c>
      <c r="C977" t="str">
        <f>IFERROR(__xludf.DUMMYFUNCTION("""COMPUTED_VALUE"""),"成本 - 進場前裝潢費")</f>
        <v>成本 - 進場前裝潢費</v>
      </c>
      <c r="D977" s="270">
        <f>IFERROR(__xludf.DUMMYFUNCTION("""COMPUTED_VALUE"""),-1733.0)</f>
        <v>-1733</v>
      </c>
      <c r="E977" t="str">
        <f>IFERROR(__xludf.DUMMYFUNCTION("""COMPUTED_VALUE"""),"Ben帳戶")</f>
        <v>Ben帳戶</v>
      </c>
      <c r="G977" t="str">
        <f>IFERROR(__xludf.DUMMYFUNCTION("""COMPUTED_VALUE"""),"中山北娘家旁")</f>
        <v>中山北娘家旁</v>
      </c>
      <c r="H977" s="106" t="str">
        <f t="shared" si="1"/>
        <v>2024-10</v>
      </c>
      <c r="I977" s="271" t="str">
        <f>IFERROR(__xludf.DUMMYFUNCTION("""COMPUTED_VALUE"""),"貓狗企鵝")</f>
        <v>貓狗企鵝</v>
      </c>
      <c r="J977" t="str">
        <f>IFERROR(__xludf.DUMMYFUNCTION("IFS(
  AND(REGEXMATCH(E977, ""台銀籌備帳戶|玉山帳戶""), REGEXMATCH(C977, ""薪資"")), ""分潤支出"",
  AND(REGEXMATCH(E977, ""Ben帳戶|Elsa帳戶|Ben代墊|Ariel代墊|中信銀行共用""), REGEXMATCH(F977, ""Ben帳戶|Elsa帳戶|Ben代墊|Ariel代墊|中信銀行共用"")), ""內部轉帳(忽略)"",
  AND(E977&lt;&gt;"""", F977&lt;&gt;"""", NOT(REG"&amp;"EXMATCH(C977, ""薪資""))), ""內部轉帳(忽略)"",
  REGEXMATCH(C977, ""薪資""), ""薪資變動(不計入)"",
  REGEXMATCH(C977, ""押金""), ""押金往來"",
  AND(E977&lt;&gt;"""", F977=""""), ""真實支出"",
  AND(E977="""", F977&lt;&gt;""""), ""真實收入"",
  TRUE, ""其他""
)"),"真實支出")</f>
        <v>真實支出</v>
      </c>
      <c r="K977" s="270">
        <f t="shared" si="2"/>
        <v>-1733</v>
      </c>
      <c r="L977">
        <f t="shared" si="3"/>
        <v>0</v>
      </c>
    </row>
    <row r="978">
      <c r="A978" s="107">
        <f>IFERROR(__xludf.DUMMYFUNCTION("""COMPUTED_VALUE"""),45590.0)</f>
        <v>45590</v>
      </c>
      <c r="B978" t="str">
        <f>IFERROR(__xludf.DUMMYFUNCTION("""COMPUTED_VALUE"""),"大湖山莊F吳智方")</f>
        <v>大湖山莊F吳智方</v>
      </c>
      <c r="C978" t="str">
        <f>IFERROR(__xludf.DUMMYFUNCTION("""COMPUTED_VALUE"""),"收入 - 租金")</f>
        <v>收入 - 租金</v>
      </c>
      <c r="D978" s="270">
        <f>IFERROR(__xludf.DUMMYFUNCTION("""COMPUTED_VALUE"""),9000.0)</f>
        <v>9000</v>
      </c>
      <c r="F978" t="str">
        <f>IFERROR(__xludf.DUMMYFUNCTION("""COMPUTED_VALUE"""),"台銀籌備帳戶")</f>
        <v>台銀籌備帳戶</v>
      </c>
      <c r="G978" t="str">
        <f>IFERROR(__xludf.DUMMYFUNCTION("""COMPUTED_VALUE"""),"大湖山莊")</f>
        <v>大湖山莊</v>
      </c>
      <c r="H978" s="106" t="str">
        <f t="shared" si="1"/>
        <v>2024-10</v>
      </c>
      <c r="I978" s="271" t="str">
        <f>IFERROR(__xludf.DUMMYFUNCTION("""COMPUTED_VALUE"""),"貓狗企鵝")</f>
        <v>貓狗企鵝</v>
      </c>
      <c r="J978" t="str">
        <f>IFERROR(__xludf.DUMMYFUNCTION("IFS(
  AND(REGEXMATCH(E978, ""台銀籌備帳戶|玉山帳戶""), REGEXMATCH(C978, ""薪資"")), ""分潤支出"",
  AND(REGEXMATCH(E978, ""Ben帳戶|Elsa帳戶|Ben代墊|Ariel代墊|中信銀行共用""), REGEXMATCH(F978, ""Ben帳戶|Elsa帳戶|Ben代墊|Ariel代墊|中信銀行共用"")), ""內部轉帳(忽略)"",
  AND(E978&lt;&gt;"""", F978&lt;&gt;"""", NOT(REG"&amp;"EXMATCH(C978, ""薪資""))), ""內部轉帳(忽略)"",
  REGEXMATCH(C978, ""薪資""), ""薪資變動(不計入)"",
  REGEXMATCH(C978, ""押金""), ""押金往來"",
  AND(E978&lt;&gt;"""", F978=""""), ""真實支出"",
  AND(E978="""", F978&lt;&gt;""""), ""真實收入"",
  TRUE, ""其他""
)"),"真實收入")</f>
        <v>真實收入</v>
      </c>
      <c r="K978" s="270">
        <f t="shared" si="2"/>
        <v>9000</v>
      </c>
      <c r="L978">
        <f t="shared" si="3"/>
        <v>0</v>
      </c>
    </row>
    <row r="979">
      <c r="A979" s="107">
        <f>IFERROR(__xludf.DUMMYFUNCTION("""COMPUTED_VALUE"""),45590.0)</f>
        <v>45590</v>
      </c>
      <c r="B979" t="str">
        <f>IFERROR(__xludf.DUMMYFUNCTION("""COMPUTED_VALUE"""),"大湖山莊F吳智方")</f>
        <v>大湖山莊F吳智方</v>
      </c>
      <c r="C979" t="str">
        <f>IFERROR(__xludf.DUMMYFUNCTION("""COMPUTED_VALUE"""),"收入 - 租金")</f>
        <v>收入 - 租金</v>
      </c>
      <c r="D979" s="270">
        <f>IFERROR(__xludf.DUMMYFUNCTION("""COMPUTED_VALUE"""),9000.0)</f>
        <v>9000</v>
      </c>
      <c r="F979" t="str">
        <f>IFERROR(__xludf.DUMMYFUNCTION("""COMPUTED_VALUE"""),"台銀籌備帳戶")</f>
        <v>台銀籌備帳戶</v>
      </c>
      <c r="G979" t="str">
        <f>IFERROR(__xludf.DUMMYFUNCTION("""COMPUTED_VALUE"""),"大湖山莊")</f>
        <v>大湖山莊</v>
      </c>
      <c r="H979" s="106" t="str">
        <f t="shared" si="1"/>
        <v>2024-10</v>
      </c>
      <c r="I979" s="271" t="str">
        <f>IFERROR(__xludf.DUMMYFUNCTION("""COMPUTED_VALUE"""),"貓狗企鵝")</f>
        <v>貓狗企鵝</v>
      </c>
      <c r="J979" t="str">
        <f>IFERROR(__xludf.DUMMYFUNCTION("IFS(
  AND(REGEXMATCH(E979, ""台銀籌備帳戶|玉山帳戶""), REGEXMATCH(C979, ""薪資"")), ""分潤支出"",
  AND(REGEXMATCH(E979, ""Ben帳戶|Elsa帳戶|Ben代墊|Ariel代墊|中信銀行共用""), REGEXMATCH(F979, ""Ben帳戶|Elsa帳戶|Ben代墊|Ariel代墊|中信銀行共用"")), ""內部轉帳(忽略)"",
  AND(E979&lt;&gt;"""", F979&lt;&gt;"""", NOT(REG"&amp;"EXMATCH(C979, ""薪資""))), ""內部轉帳(忽略)"",
  REGEXMATCH(C979, ""薪資""), ""薪資變動(不計入)"",
  REGEXMATCH(C979, ""押金""), ""押金往來"",
  AND(E979&lt;&gt;"""", F979=""""), ""真實支出"",
  AND(E979="""", F979&lt;&gt;""""), ""真實收入"",
  TRUE, ""其他""
)"),"真實收入")</f>
        <v>真實收入</v>
      </c>
      <c r="K979" s="270">
        <f t="shared" si="2"/>
        <v>9000</v>
      </c>
      <c r="L979">
        <f t="shared" si="3"/>
        <v>0</v>
      </c>
    </row>
    <row r="980">
      <c r="A980" s="107">
        <f>IFERROR(__xludf.DUMMYFUNCTION("""COMPUTED_VALUE"""),45590.0)</f>
        <v>45590</v>
      </c>
      <c r="B980" t="str">
        <f>IFERROR(__xludf.DUMMYFUNCTION("""COMPUTED_VALUE"""),"景安2分鐘C楊玉如")</f>
        <v>景安2分鐘C楊玉如</v>
      </c>
      <c r="C980" t="str">
        <f>IFERROR(__xludf.DUMMYFUNCTION("""COMPUTED_VALUE"""),"收入 - 租金")</f>
        <v>收入 - 租金</v>
      </c>
      <c r="D980" s="270">
        <f>IFERROR(__xludf.DUMMYFUNCTION("""COMPUTED_VALUE"""),12300.0)</f>
        <v>12300</v>
      </c>
      <c r="F980" t="str">
        <f>IFERROR(__xludf.DUMMYFUNCTION("""COMPUTED_VALUE"""),"台銀籌備帳戶")</f>
        <v>台銀籌備帳戶</v>
      </c>
      <c r="G980" t="str">
        <f>IFERROR(__xludf.DUMMYFUNCTION("""COMPUTED_VALUE"""),"景安2分鐘")</f>
        <v>景安2分鐘</v>
      </c>
      <c r="H980" s="106" t="str">
        <f t="shared" si="1"/>
        <v>2024-10</v>
      </c>
      <c r="I980" s="271" t="str">
        <f>IFERROR(__xludf.DUMMYFUNCTION("""COMPUTED_VALUE"""),"貓狗企鵝")</f>
        <v>貓狗企鵝</v>
      </c>
      <c r="J980" t="str">
        <f>IFERROR(__xludf.DUMMYFUNCTION("IFS(
  AND(REGEXMATCH(E980, ""台銀籌備帳戶|玉山帳戶""), REGEXMATCH(C980, ""薪資"")), ""分潤支出"",
  AND(REGEXMATCH(E980, ""Ben帳戶|Elsa帳戶|Ben代墊|Ariel代墊|中信銀行共用""), REGEXMATCH(F980, ""Ben帳戶|Elsa帳戶|Ben代墊|Ariel代墊|中信銀行共用"")), ""內部轉帳(忽略)"",
  AND(E980&lt;&gt;"""", F980&lt;&gt;"""", NOT(REG"&amp;"EXMATCH(C980, ""薪資""))), ""內部轉帳(忽略)"",
  REGEXMATCH(C980, ""薪資""), ""薪資變動(不計入)"",
  REGEXMATCH(C980, ""押金""), ""押金往來"",
  AND(E980&lt;&gt;"""", F980=""""), ""真實支出"",
  AND(E980="""", F980&lt;&gt;""""), ""真實收入"",
  TRUE, ""其他""
)"),"真實收入")</f>
        <v>真實收入</v>
      </c>
      <c r="K980" s="270">
        <f t="shared" si="2"/>
        <v>12300</v>
      </c>
      <c r="L980">
        <f t="shared" si="3"/>
        <v>0</v>
      </c>
    </row>
    <row r="981">
      <c r="A981" s="107">
        <f>IFERROR(__xludf.DUMMYFUNCTION("""COMPUTED_VALUE"""),45590.0)</f>
        <v>45590</v>
      </c>
      <c r="B981" t="str">
        <f>IFERROR(__xludf.DUMMYFUNCTION("""COMPUTED_VALUE"""),"出勤時間(中山北路區)")</f>
        <v>出勤時間(中山北路區)</v>
      </c>
      <c r="C981" t="str">
        <f>IFERROR(__xludf.DUMMYFUNCTION("""COMPUTED_VALUE"""),"成本 - 出勤費")</f>
        <v>成本 - 出勤費</v>
      </c>
      <c r="D981" s="270">
        <f>IFERROR(__xludf.DUMMYFUNCTION("""COMPUTED_VALUE"""),-1200.0)</f>
        <v>-1200</v>
      </c>
      <c r="E981" t="str">
        <f>IFERROR(__xludf.DUMMYFUNCTION("""COMPUTED_VALUE"""),"Ben帳戶")</f>
        <v>Ben帳戶</v>
      </c>
      <c r="G981" t="str">
        <f>IFERROR(__xludf.DUMMYFUNCTION("""COMPUTED_VALUE"""),"中山北娘家旁")</f>
        <v>中山北娘家旁</v>
      </c>
      <c r="H981" s="106" t="str">
        <f t="shared" si="1"/>
        <v>2024-10</v>
      </c>
      <c r="I981" s="271" t="str">
        <f>IFERROR(__xludf.DUMMYFUNCTION("""COMPUTED_VALUE"""),"貓狗企鵝")</f>
        <v>貓狗企鵝</v>
      </c>
      <c r="J981" t="str">
        <f>IFERROR(__xludf.DUMMYFUNCTION("IFS(
  AND(REGEXMATCH(E981, ""台銀籌備帳戶|玉山帳戶""), REGEXMATCH(C981, ""薪資"")), ""分潤支出"",
  AND(REGEXMATCH(E981, ""Ben帳戶|Elsa帳戶|Ben代墊|Ariel代墊|中信銀行共用""), REGEXMATCH(F981, ""Ben帳戶|Elsa帳戶|Ben代墊|Ariel代墊|中信銀行共用"")), ""內部轉帳(忽略)"",
  AND(E981&lt;&gt;"""", F981&lt;&gt;"""", NOT(REG"&amp;"EXMATCH(C981, ""薪資""))), ""內部轉帳(忽略)"",
  REGEXMATCH(C981, ""薪資""), ""薪資變動(不計入)"",
  REGEXMATCH(C981, ""押金""), ""押金往來"",
  AND(E981&lt;&gt;"""", F981=""""), ""真實支出"",
  AND(E981="""", F981&lt;&gt;""""), ""真實收入"",
  TRUE, ""其他""
)"),"真實支出")</f>
        <v>真實支出</v>
      </c>
      <c r="K981" s="270">
        <f t="shared" si="2"/>
        <v>-1200</v>
      </c>
      <c r="L981">
        <f t="shared" si="3"/>
        <v>0</v>
      </c>
    </row>
    <row r="982">
      <c r="A982" s="107">
        <f>IFERROR(__xludf.DUMMYFUNCTION("""COMPUTED_VALUE"""),45591.0)</f>
        <v>45591</v>
      </c>
      <c r="B982" t="str">
        <f>IFERROR(__xludf.DUMMYFUNCTION("""COMPUTED_VALUE"""),"淘寶集運")</f>
        <v>淘寶集運</v>
      </c>
      <c r="C982" t="str">
        <f>IFERROR(__xludf.DUMMYFUNCTION("""COMPUTED_VALUE"""),"成本 - 進場前裝潢費")</f>
        <v>成本 - 進場前裝潢費</v>
      </c>
      <c r="D982" s="270">
        <f>IFERROR(__xludf.DUMMYFUNCTION("""COMPUTED_VALUE"""),-10000.0)</f>
        <v>-10000</v>
      </c>
      <c r="E982" t="str">
        <f>IFERROR(__xludf.DUMMYFUNCTION("""COMPUTED_VALUE"""),"Elsa帳戶")</f>
        <v>Elsa帳戶</v>
      </c>
      <c r="G982" t="str">
        <f>IFERROR(__xludf.DUMMYFUNCTION("""COMPUTED_VALUE"""),"中山北Feli家")</f>
        <v>中山北Feli家</v>
      </c>
      <c r="H982" s="106" t="str">
        <f t="shared" si="1"/>
        <v>2024-10</v>
      </c>
      <c r="I982" s="271" t="str">
        <f>IFERROR(__xludf.DUMMYFUNCTION("""COMPUTED_VALUE"""),"貓狗企鵝")</f>
        <v>貓狗企鵝</v>
      </c>
      <c r="J982" t="str">
        <f>IFERROR(__xludf.DUMMYFUNCTION("IFS(
  AND(REGEXMATCH(E982, ""台銀籌備帳戶|玉山帳戶""), REGEXMATCH(C982, ""薪資"")), ""分潤支出"",
  AND(REGEXMATCH(E982, ""Ben帳戶|Elsa帳戶|Ben代墊|Ariel代墊|中信銀行共用""), REGEXMATCH(F982, ""Ben帳戶|Elsa帳戶|Ben代墊|Ariel代墊|中信銀行共用"")), ""內部轉帳(忽略)"",
  AND(E982&lt;&gt;"""", F982&lt;&gt;"""", NOT(REG"&amp;"EXMATCH(C982, ""薪資""))), ""內部轉帳(忽略)"",
  REGEXMATCH(C982, ""薪資""), ""薪資變動(不計入)"",
  REGEXMATCH(C982, ""押金""), ""押金往來"",
  AND(E982&lt;&gt;"""", F982=""""), ""真實支出"",
  AND(E982="""", F982&lt;&gt;""""), ""真實收入"",
  TRUE, ""其他""
)"),"真實支出")</f>
        <v>真實支出</v>
      </c>
      <c r="K982" s="270">
        <f t="shared" si="2"/>
        <v>-10000</v>
      </c>
      <c r="L982">
        <f t="shared" si="3"/>
        <v>0</v>
      </c>
    </row>
    <row r="983">
      <c r="A983" s="107">
        <f>IFERROR(__xludf.DUMMYFUNCTION("""COMPUTED_VALUE"""),45592.0)</f>
        <v>45592</v>
      </c>
      <c r="B983" t="str">
        <f>IFERROR(__xludf.DUMMYFUNCTION("""COMPUTED_VALUE"""),"寶琳清潔")</f>
        <v>寶琳清潔</v>
      </c>
      <c r="C983" t="str">
        <f>IFERROR(__xludf.DUMMYFUNCTION("""COMPUTED_VALUE"""),"成本 - 固定開銷(網路代收清潔)")</f>
        <v>成本 - 固定開銷(網路代收清潔)</v>
      </c>
      <c r="D983" s="270">
        <f>IFERROR(__xludf.DUMMYFUNCTION("""COMPUTED_VALUE"""),-700.0)</f>
        <v>-700</v>
      </c>
      <c r="E983" t="str">
        <f>IFERROR(__xludf.DUMMYFUNCTION("""COMPUTED_VALUE"""),"Elsa帳戶")</f>
        <v>Elsa帳戶</v>
      </c>
      <c r="G983" t="str">
        <f>IFERROR(__xludf.DUMMYFUNCTION("""COMPUTED_VALUE"""),"景安2分鐘")</f>
        <v>景安2分鐘</v>
      </c>
      <c r="H983" s="106" t="str">
        <f t="shared" si="1"/>
        <v>2024-10</v>
      </c>
      <c r="I983" s="271" t="str">
        <f>IFERROR(__xludf.DUMMYFUNCTION("""COMPUTED_VALUE"""),"貓狗企鵝")</f>
        <v>貓狗企鵝</v>
      </c>
      <c r="J983" t="str">
        <f>IFERROR(__xludf.DUMMYFUNCTION("IFS(
  AND(REGEXMATCH(E983, ""台銀籌備帳戶|玉山帳戶""), REGEXMATCH(C983, ""薪資"")), ""分潤支出"",
  AND(REGEXMATCH(E983, ""Ben帳戶|Elsa帳戶|Ben代墊|Ariel代墊|中信銀行共用""), REGEXMATCH(F983, ""Ben帳戶|Elsa帳戶|Ben代墊|Ariel代墊|中信銀行共用"")), ""內部轉帳(忽略)"",
  AND(E983&lt;&gt;"""", F983&lt;&gt;"""", NOT(REG"&amp;"EXMATCH(C983, ""薪資""))), ""內部轉帳(忽略)"",
  REGEXMATCH(C983, ""薪資""), ""薪資變動(不計入)"",
  REGEXMATCH(C983, ""押金""), ""押金往來"",
  AND(E983&lt;&gt;"""", F983=""""), ""真實支出"",
  AND(E983="""", F983&lt;&gt;""""), ""真實收入"",
  TRUE, ""其他""
)"),"真實支出")</f>
        <v>真實支出</v>
      </c>
      <c r="K983" s="270">
        <f t="shared" si="2"/>
        <v>-700</v>
      </c>
      <c r="L983">
        <f t="shared" si="3"/>
        <v>0</v>
      </c>
    </row>
    <row r="984">
      <c r="A984" s="107">
        <f>IFERROR(__xludf.DUMMYFUNCTION("""COMPUTED_VALUE"""),45592.0)</f>
        <v>45592</v>
      </c>
      <c r="B984" t="str">
        <f>IFERROR(__xludf.DUMMYFUNCTION("""COMPUTED_VALUE"""),"金龍除濕機")</f>
        <v>金龍除濕機</v>
      </c>
      <c r="C984" t="str">
        <f>IFERROR(__xludf.DUMMYFUNCTION("""COMPUTED_VALUE"""),"成本 - 租後修繕")</f>
        <v>成本 - 租後修繕</v>
      </c>
      <c r="D984" s="270">
        <f>IFERROR(__xludf.DUMMYFUNCTION("""COMPUTED_VALUE"""),-4930.0)</f>
        <v>-4930</v>
      </c>
      <c r="E984" t="str">
        <f>IFERROR(__xludf.DUMMYFUNCTION("""COMPUTED_VALUE"""),"Ben帳戶")</f>
        <v>Ben帳戶</v>
      </c>
      <c r="G984" t="str">
        <f>IFERROR(__xludf.DUMMYFUNCTION("""COMPUTED_VALUE"""),"金龍帽子先生")</f>
        <v>金龍帽子先生</v>
      </c>
      <c r="H984" s="106" t="str">
        <f t="shared" si="1"/>
        <v>2024-10</v>
      </c>
      <c r="I984" s="271" t="str">
        <f>IFERROR(__xludf.DUMMYFUNCTION("""COMPUTED_VALUE"""),"貓狗企鵝")</f>
        <v>貓狗企鵝</v>
      </c>
      <c r="J984" t="str">
        <f>IFERROR(__xludf.DUMMYFUNCTION("IFS(
  AND(REGEXMATCH(E984, ""台銀籌備帳戶|玉山帳戶""), REGEXMATCH(C984, ""薪資"")), ""分潤支出"",
  AND(REGEXMATCH(E984, ""Ben帳戶|Elsa帳戶|Ben代墊|Ariel代墊|中信銀行共用""), REGEXMATCH(F984, ""Ben帳戶|Elsa帳戶|Ben代墊|Ariel代墊|中信銀行共用"")), ""內部轉帳(忽略)"",
  AND(E984&lt;&gt;"""", F984&lt;&gt;"""", NOT(REG"&amp;"EXMATCH(C984, ""薪資""))), ""內部轉帳(忽略)"",
  REGEXMATCH(C984, ""薪資""), ""薪資變動(不計入)"",
  REGEXMATCH(C984, ""押金""), ""押金往來"",
  AND(E984&lt;&gt;"""", F984=""""), ""真實支出"",
  AND(E984="""", F984&lt;&gt;""""), ""真實收入"",
  TRUE, ""其他""
)"),"真實支出")</f>
        <v>真實支出</v>
      </c>
      <c r="K984" s="270">
        <f t="shared" si="2"/>
        <v>-4930</v>
      </c>
      <c r="L984">
        <f t="shared" si="3"/>
        <v>0</v>
      </c>
    </row>
    <row r="985">
      <c r="A985" s="107">
        <f>IFERROR(__xludf.DUMMYFUNCTION("""COMPUTED_VALUE"""),45593.0)</f>
        <v>45593</v>
      </c>
      <c r="B985" t="str">
        <f>IFERROR(__xludf.DUMMYFUNCTION("""COMPUTED_VALUE"""),"窗簾")</f>
        <v>窗簾</v>
      </c>
      <c r="C985" t="str">
        <f>IFERROR(__xludf.DUMMYFUNCTION("""COMPUTED_VALUE"""),"成本 - 進場前裝潢費")</f>
        <v>成本 - 進場前裝潢費</v>
      </c>
      <c r="D985" s="270">
        <f>IFERROR(__xludf.DUMMYFUNCTION("""COMPUTED_VALUE"""),-8000.0)</f>
        <v>-8000</v>
      </c>
      <c r="E985" t="str">
        <f>IFERROR(__xludf.DUMMYFUNCTION("""COMPUTED_VALUE"""),"Ben帳戶")</f>
        <v>Ben帳戶</v>
      </c>
      <c r="G985" t="str">
        <f>IFERROR(__xludf.DUMMYFUNCTION("""COMPUTED_VALUE"""),"中山北Feli家")</f>
        <v>中山北Feli家</v>
      </c>
      <c r="H985" s="106" t="str">
        <f t="shared" si="1"/>
        <v>2024-10</v>
      </c>
      <c r="I985" s="271" t="str">
        <f>IFERROR(__xludf.DUMMYFUNCTION("""COMPUTED_VALUE"""),"貓狗企鵝")</f>
        <v>貓狗企鵝</v>
      </c>
      <c r="J985" t="str">
        <f>IFERROR(__xludf.DUMMYFUNCTION("IFS(
  AND(REGEXMATCH(E985, ""台銀籌備帳戶|玉山帳戶""), REGEXMATCH(C985, ""薪資"")), ""分潤支出"",
  AND(REGEXMATCH(E985, ""Ben帳戶|Elsa帳戶|Ben代墊|Ariel代墊|中信銀行共用""), REGEXMATCH(F985, ""Ben帳戶|Elsa帳戶|Ben代墊|Ariel代墊|中信銀行共用"")), ""內部轉帳(忽略)"",
  AND(E985&lt;&gt;"""", F985&lt;&gt;"""", NOT(REG"&amp;"EXMATCH(C985, ""薪資""))), ""內部轉帳(忽略)"",
  REGEXMATCH(C985, ""薪資""), ""薪資變動(不計入)"",
  REGEXMATCH(C985, ""押金""), ""押金往來"",
  AND(E985&lt;&gt;"""", F985=""""), ""真實支出"",
  AND(E985="""", F985&lt;&gt;""""), ""真實收入"",
  TRUE, ""其他""
)"),"真實支出")</f>
        <v>真實支出</v>
      </c>
      <c r="K985" s="270">
        <f t="shared" si="2"/>
        <v>-8000</v>
      </c>
      <c r="L985">
        <f t="shared" si="3"/>
        <v>0</v>
      </c>
    </row>
    <row r="986">
      <c r="A986" s="107">
        <f>IFERROR(__xludf.DUMMYFUNCTION("""COMPUTED_VALUE"""),45593.0)</f>
        <v>45593</v>
      </c>
      <c r="B986" t="str">
        <f>IFERROR(__xludf.DUMMYFUNCTION("""COMPUTED_VALUE"""),"南港站挑高宅B林鍇蓓")</f>
        <v>南港站挑高宅B林鍇蓓</v>
      </c>
      <c r="C986" t="str">
        <f>IFERROR(__xludf.DUMMYFUNCTION("""COMPUTED_VALUE"""),"收入 - 租金")</f>
        <v>收入 - 租金</v>
      </c>
      <c r="D986" s="270">
        <f>IFERROR(__xludf.DUMMYFUNCTION("""COMPUTED_VALUE"""),12300.0)</f>
        <v>12300</v>
      </c>
      <c r="F986" t="str">
        <f>IFERROR(__xludf.DUMMYFUNCTION("""COMPUTED_VALUE"""),"台銀籌備帳戶")</f>
        <v>台銀籌備帳戶</v>
      </c>
      <c r="G986" t="str">
        <f>IFERROR(__xludf.DUMMYFUNCTION("""COMPUTED_VALUE"""),"南港站挑高宅")</f>
        <v>南港站挑高宅</v>
      </c>
      <c r="H986" s="106" t="str">
        <f t="shared" si="1"/>
        <v>2024-10</v>
      </c>
      <c r="I986" s="271" t="str">
        <f>IFERROR(__xludf.DUMMYFUNCTION("""COMPUTED_VALUE"""),"貓狗企鵝")</f>
        <v>貓狗企鵝</v>
      </c>
      <c r="J986" t="str">
        <f>IFERROR(__xludf.DUMMYFUNCTION("IFS(
  AND(REGEXMATCH(E986, ""台銀籌備帳戶|玉山帳戶""), REGEXMATCH(C986, ""薪資"")), ""分潤支出"",
  AND(REGEXMATCH(E986, ""Ben帳戶|Elsa帳戶|Ben代墊|Ariel代墊|中信銀行共用""), REGEXMATCH(F986, ""Ben帳戶|Elsa帳戶|Ben代墊|Ariel代墊|中信銀行共用"")), ""內部轉帳(忽略)"",
  AND(E986&lt;&gt;"""", F986&lt;&gt;"""", NOT(REG"&amp;"EXMATCH(C986, ""薪資""))), ""內部轉帳(忽略)"",
  REGEXMATCH(C986, ""薪資""), ""薪資變動(不計入)"",
  REGEXMATCH(C986, ""押金""), ""押金往來"",
  AND(E986&lt;&gt;"""", F986=""""), ""真實支出"",
  AND(E986="""", F986&lt;&gt;""""), ""真實收入"",
  TRUE, ""其他""
)"),"真實收入")</f>
        <v>真實收入</v>
      </c>
      <c r="K986" s="270">
        <f t="shared" si="2"/>
        <v>12300</v>
      </c>
      <c r="L986">
        <f t="shared" si="3"/>
        <v>0</v>
      </c>
    </row>
    <row r="987">
      <c r="A987" s="107">
        <f>IFERROR(__xludf.DUMMYFUNCTION("""COMPUTED_VALUE"""),45594.0)</f>
        <v>45594</v>
      </c>
      <c r="B987" t="str">
        <f>IFERROR(__xludf.DUMMYFUNCTION("""COMPUTED_VALUE"""),"宜佳Feli")</f>
        <v>宜佳Feli</v>
      </c>
      <c r="C987" t="str">
        <f>IFERROR(__xludf.DUMMYFUNCTION("""COMPUTED_VALUE"""),"成本 - 進場前裝潢費")</f>
        <v>成本 - 進場前裝潢費</v>
      </c>
      <c r="D987" s="270">
        <f>IFERROR(__xludf.DUMMYFUNCTION("""COMPUTED_VALUE"""),-41165.0)</f>
        <v>-41165</v>
      </c>
      <c r="E987" t="str">
        <f>IFERROR(__xludf.DUMMYFUNCTION("""COMPUTED_VALUE"""),"台銀籌備帳戶")</f>
        <v>台銀籌備帳戶</v>
      </c>
      <c r="G987" t="str">
        <f>IFERROR(__xludf.DUMMYFUNCTION("""COMPUTED_VALUE"""),"中山北Feli家")</f>
        <v>中山北Feli家</v>
      </c>
      <c r="H987" s="106" t="str">
        <f t="shared" si="1"/>
        <v>2024-10</v>
      </c>
      <c r="I987" s="271" t="str">
        <f>IFERROR(__xludf.DUMMYFUNCTION("""COMPUTED_VALUE"""),"貓狗企鵝")</f>
        <v>貓狗企鵝</v>
      </c>
      <c r="J987" t="str">
        <f>IFERROR(__xludf.DUMMYFUNCTION("IFS(
  AND(REGEXMATCH(E987, ""台銀籌備帳戶|玉山帳戶""), REGEXMATCH(C987, ""薪資"")), ""分潤支出"",
  AND(REGEXMATCH(E987, ""Ben帳戶|Elsa帳戶|Ben代墊|Ariel代墊|中信銀行共用""), REGEXMATCH(F987, ""Ben帳戶|Elsa帳戶|Ben代墊|Ariel代墊|中信銀行共用"")), ""內部轉帳(忽略)"",
  AND(E987&lt;&gt;"""", F987&lt;&gt;"""", NOT(REG"&amp;"EXMATCH(C987, ""薪資""))), ""內部轉帳(忽略)"",
  REGEXMATCH(C987, ""薪資""), ""薪資變動(不計入)"",
  REGEXMATCH(C987, ""押金""), ""押金往來"",
  AND(E987&lt;&gt;"""", F987=""""), ""真實支出"",
  AND(E987="""", F987&lt;&gt;""""), ""真實收入"",
  TRUE, ""其他""
)"),"真實支出")</f>
        <v>真實支出</v>
      </c>
      <c r="K987" s="270">
        <f t="shared" si="2"/>
        <v>-41165</v>
      </c>
      <c r="L987">
        <f t="shared" si="3"/>
        <v>0</v>
      </c>
    </row>
    <row r="988">
      <c r="A988" s="107">
        <f>IFERROR(__xludf.DUMMYFUNCTION("""COMPUTED_VALUE"""),45594.0)</f>
        <v>45594</v>
      </c>
      <c r="B988" t="str">
        <f>IFERROR(__xludf.DUMMYFUNCTION("""COMPUTED_VALUE"""),"景安2分鐘C楊玉如")</f>
        <v>景安2分鐘C楊玉如</v>
      </c>
      <c r="C988" t="str">
        <f>IFERROR(__xludf.DUMMYFUNCTION("""COMPUTED_VALUE"""),"收入 - 押金")</f>
        <v>收入 - 押金</v>
      </c>
      <c r="D988" s="270">
        <f>IFERROR(__xludf.DUMMYFUNCTION("""COMPUTED_VALUE"""),24600.0)</f>
        <v>24600</v>
      </c>
      <c r="F988" t="str">
        <f>IFERROR(__xludf.DUMMYFUNCTION("""COMPUTED_VALUE"""),"台銀籌備帳戶")</f>
        <v>台銀籌備帳戶</v>
      </c>
      <c r="G988" t="str">
        <f>IFERROR(__xludf.DUMMYFUNCTION("""COMPUTED_VALUE"""),"景安2分鐘")</f>
        <v>景安2分鐘</v>
      </c>
      <c r="H988" s="106" t="str">
        <f t="shared" si="1"/>
        <v>2024-10</v>
      </c>
      <c r="I988" s="271" t="str">
        <f>IFERROR(__xludf.DUMMYFUNCTION("""COMPUTED_VALUE"""),"貓狗企鵝")</f>
        <v>貓狗企鵝</v>
      </c>
      <c r="J988" t="str">
        <f>IFERROR(__xludf.DUMMYFUNCTION("IFS(
  AND(REGEXMATCH(E988, ""台銀籌備帳戶|玉山帳戶""), REGEXMATCH(C988, ""薪資"")), ""分潤支出"",
  AND(REGEXMATCH(E988, ""Ben帳戶|Elsa帳戶|Ben代墊|Ariel代墊|中信銀行共用""), REGEXMATCH(F988, ""Ben帳戶|Elsa帳戶|Ben代墊|Ariel代墊|中信銀行共用"")), ""內部轉帳(忽略)"",
  AND(E988&lt;&gt;"""", F988&lt;&gt;"""", NOT(REG"&amp;"EXMATCH(C988, ""薪資""))), ""內部轉帳(忽略)"",
  REGEXMATCH(C988, ""薪資""), ""薪資變動(不計入)"",
  REGEXMATCH(C988, ""押金""), ""押金往來"",
  AND(E988&lt;&gt;"""", F988=""""), ""真實支出"",
  AND(E988="""", F988&lt;&gt;""""), ""真實收入"",
  TRUE, ""其他""
)"),"押金往來")</f>
        <v>押金往來</v>
      </c>
      <c r="K988">
        <f t="shared" si="2"/>
        <v>0</v>
      </c>
      <c r="L988">
        <f t="shared" si="3"/>
        <v>0</v>
      </c>
    </row>
    <row r="989">
      <c r="A989" s="107">
        <f>IFERROR(__xludf.DUMMYFUNCTION("""COMPUTED_VALUE"""),45594.0)</f>
        <v>45594</v>
      </c>
      <c r="B989" t="str">
        <f>IFERROR(__xludf.DUMMYFUNCTION("""COMPUTED_VALUE"""),"出勤時間(中山北路區)")</f>
        <v>出勤時間(中山北路區)</v>
      </c>
      <c r="C989" t="str">
        <f>IFERROR(__xludf.DUMMYFUNCTION("""COMPUTED_VALUE"""),"成本 - 出勤費")</f>
        <v>成本 - 出勤費</v>
      </c>
      <c r="D989" s="270">
        <f>IFERROR(__xludf.DUMMYFUNCTION("""COMPUTED_VALUE"""),-600.0)</f>
        <v>-600</v>
      </c>
      <c r="E989" t="str">
        <f>IFERROR(__xludf.DUMMYFUNCTION("""COMPUTED_VALUE"""),"Ben帳戶")</f>
        <v>Ben帳戶</v>
      </c>
      <c r="G989" t="str">
        <f>IFERROR(__xludf.DUMMYFUNCTION("""COMPUTED_VALUE"""),"中山北娘家旁")</f>
        <v>中山北娘家旁</v>
      </c>
      <c r="H989" s="106" t="str">
        <f t="shared" si="1"/>
        <v>2024-10</v>
      </c>
      <c r="I989" s="271" t="str">
        <f>IFERROR(__xludf.DUMMYFUNCTION("""COMPUTED_VALUE"""),"貓狗企鵝")</f>
        <v>貓狗企鵝</v>
      </c>
      <c r="J989" t="str">
        <f>IFERROR(__xludf.DUMMYFUNCTION("IFS(
  AND(REGEXMATCH(E989, ""台銀籌備帳戶|玉山帳戶""), REGEXMATCH(C989, ""薪資"")), ""分潤支出"",
  AND(REGEXMATCH(E989, ""Ben帳戶|Elsa帳戶|Ben代墊|Ariel代墊|中信銀行共用""), REGEXMATCH(F989, ""Ben帳戶|Elsa帳戶|Ben代墊|Ariel代墊|中信銀行共用"")), ""內部轉帳(忽略)"",
  AND(E989&lt;&gt;"""", F989&lt;&gt;"""", NOT(REG"&amp;"EXMATCH(C989, ""薪資""))), ""內部轉帳(忽略)"",
  REGEXMATCH(C989, ""薪資""), ""薪資變動(不計入)"",
  REGEXMATCH(C989, ""押金""), ""押金往來"",
  AND(E989&lt;&gt;"""", F989=""""), ""真實支出"",
  AND(E989="""", F989&lt;&gt;""""), ""真實收入"",
  TRUE, ""其他""
)"),"真實支出")</f>
        <v>真實支出</v>
      </c>
      <c r="K989" s="270">
        <f t="shared" si="2"/>
        <v>-600</v>
      </c>
      <c r="L989">
        <f t="shared" si="3"/>
        <v>0</v>
      </c>
    </row>
    <row r="990">
      <c r="A990" s="107">
        <f>IFERROR(__xludf.DUMMYFUNCTION("""COMPUTED_VALUE"""),45594.0)</f>
        <v>45594</v>
      </c>
      <c r="B990" t="str">
        <f>IFERROR(__xludf.DUMMYFUNCTION("""COMPUTED_VALUE"""),"門把滅火器等費用(中山北路區)")</f>
        <v>門把滅火器等費用(中山北路區)</v>
      </c>
      <c r="C990" t="str">
        <f>IFERROR(__xludf.DUMMYFUNCTION("""COMPUTED_VALUE"""),"成本 - 進場前裝潢費")</f>
        <v>成本 - 進場前裝潢費</v>
      </c>
      <c r="D990" s="270">
        <f>IFERROR(__xludf.DUMMYFUNCTION("""COMPUTED_VALUE"""),-700.0)</f>
        <v>-700</v>
      </c>
      <c r="E990" t="str">
        <f>IFERROR(__xludf.DUMMYFUNCTION("""COMPUTED_VALUE"""),"Ben帳戶")</f>
        <v>Ben帳戶</v>
      </c>
      <c r="G990" t="str">
        <f>IFERROR(__xludf.DUMMYFUNCTION("""COMPUTED_VALUE"""),"中山北娘家旁")</f>
        <v>中山北娘家旁</v>
      </c>
      <c r="H990" s="106" t="str">
        <f t="shared" si="1"/>
        <v>2024-10</v>
      </c>
      <c r="I990" s="271" t="str">
        <f>IFERROR(__xludf.DUMMYFUNCTION("""COMPUTED_VALUE"""),"貓狗企鵝")</f>
        <v>貓狗企鵝</v>
      </c>
      <c r="J990" t="str">
        <f>IFERROR(__xludf.DUMMYFUNCTION("IFS(
  AND(REGEXMATCH(E990, ""台銀籌備帳戶|玉山帳戶""), REGEXMATCH(C990, ""薪資"")), ""分潤支出"",
  AND(REGEXMATCH(E990, ""Ben帳戶|Elsa帳戶|Ben代墊|Ariel代墊|中信銀行共用""), REGEXMATCH(F990, ""Ben帳戶|Elsa帳戶|Ben代墊|Ariel代墊|中信銀行共用"")), ""內部轉帳(忽略)"",
  AND(E990&lt;&gt;"""", F990&lt;&gt;"""", NOT(REG"&amp;"EXMATCH(C990, ""薪資""))), ""內部轉帳(忽略)"",
  REGEXMATCH(C990, ""薪資""), ""薪資變動(不計入)"",
  REGEXMATCH(C990, ""押金""), ""押金往來"",
  AND(E990&lt;&gt;"""", F990=""""), ""真實支出"",
  AND(E990="""", F990&lt;&gt;""""), ""真實收入"",
  TRUE, ""其他""
)"),"真實支出")</f>
        <v>真實支出</v>
      </c>
      <c r="K990" s="270">
        <f t="shared" si="2"/>
        <v>-700</v>
      </c>
      <c r="L990">
        <f t="shared" si="3"/>
        <v>0</v>
      </c>
    </row>
    <row r="991">
      <c r="A991" s="107">
        <f>IFERROR(__xludf.DUMMYFUNCTION("""COMPUTED_VALUE"""),45596.0)</f>
        <v>45596</v>
      </c>
      <c r="B991" t="str">
        <f>IFERROR(__xludf.DUMMYFUNCTION("""COMPUTED_VALUE"""),"弟弟車資")</f>
        <v>弟弟車資</v>
      </c>
      <c r="C991" t="str">
        <f>IFERROR(__xludf.DUMMYFUNCTION("""COMPUTED_VALUE"""),"成本 - 進場前裝潢費")</f>
        <v>成本 - 進場前裝潢費</v>
      </c>
      <c r="D991" s="270">
        <f>IFERROR(__xludf.DUMMYFUNCTION("""COMPUTED_VALUE"""),-525.0)</f>
        <v>-525</v>
      </c>
      <c r="E991" t="str">
        <f>IFERROR(__xludf.DUMMYFUNCTION("""COMPUTED_VALUE"""),"Ben帳戶")</f>
        <v>Ben帳戶</v>
      </c>
      <c r="G991" t="str">
        <f>IFERROR(__xludf.DUMMYFUNCTION("""COMPUTED_VALUE"""),"中山北Feli家")</f>
        <v>中山北Feli家</v>
      </c>
      <c r="H991" s="106" t="str">
        <f t="shared" si="1"/>
        <v>2024-10</v>
      </c>
      <c r="I991" s="271" t="str">
        <f>IFERROR(__xludf.DUMMYFUNCTION("""COMPUTED_VALUE"""),"貓狗企鵝")</f>
        <v>貓狗企鵝</v>
      </c>
      <c r="J991" t="str">
        <f>IFERROR(__xludf.DUMMYFUNCTION("IFS(
  AND(REGEXMATCH(E991, ""台銀籌備帳戶|玉山帳戶""), REGEXMATCH(C991, ""薪資"")), ""分潤支出"",
  AND(REGEXMATCH(E991, ""Ben帳戶|Elsa帳戶|Ben代墊|Ariel代墊|中信銀行共用""), REGEXMATCH(F991, ""Ben帳戶|Elsa帳戶|Ben代墊|Ariel代墊|中信銀行共用"")), ""內部轉帳(忽略)"",
  AND(E991&lt;&gt;"""", F991&lt;&gt;"""", NOT(REG"&amp;"EXMATCH(C991, ""薪資""))), ""內部轉帳(忽略)"",
  REGEXMATCH(C991, ""薪資""), ""薪資變動(不計入)"",
  REGEXMATCH(C991, ""押金""), ""押金往來"",
  AND(E991&lt;&gt;"""", F991=""""), ""真實支出"",
  AND(E991="""", F991&lt;&gt;""""), ""真實收入"",
  TRUE, ""其他""
)"),"真實支出")</f>
        <v>真實支出</v>
      </c>
      <c r="K991" s="270">
        <f t="shared" si="2"/>
        <v>-525</v>
      </c>
      <c r="L991">
        <f t="shared" si="3"/>
        <v>0</v>
      </c>
    </row>
    <row r="992">
      <c r="A992" s="107">
        <f>IFERROR(__xludf.DUMMYFUNCTION("""COMPUTED_VALUE"""),45596.0)</f>
        <v>45596</v>
      </c>
      <c r="B992" t="str">
        <f>IFERROR(__xludf.DUMMYFUNCTION("""COMPUTED_VALUE"""),"浴室層架")</f>
        <v>浴室層架</v>
      </c>
      <c r="C992" t="str">
        <f>IFERROR(__xludf.DUMMYFUNCTION("""COMPUTED_VALUE"""),"成本 - 進場前裝潢費")</f>
        <v>成本 - 進場前裝潢費</v>
      </c>
      <c r="D992" s="270">
        <f>IFERROR(__xludf.DUMMYFUNCTION("""COMPUTED_VALUE"""),-2304.0)</f>
        <v>-2304</v>
      </c>
      <c r="E992" t="str">
        <f>IFERROR(__xludf.DUMMYFUNCTION("""COMPUTED_VALUE"""),"Elsa帳戶")</f>
        <v>Elsa帳戶</v>
      </c>
      <c r="G992" t="str">
        <f>IFERROR(__xludf.DUMMYFUNCTION("""COMPUTED_VALUE"""),"中山北Feli家")</f>
        <v>中山北Feli家</v>
      </c>
      <c r="H992" s="106" t="str">
        <f t="shared" si="1"/>
        <v>2024-10</v>
      </c>
      <c r="I992" s="271" t="str">
        <f>IFERROR(__xludf.DUMMYFUNCTION("""COMPUTED_VALUE"""),"貓狗企鵝")</f>
        <v>貓狗企鵝</v>
      </c>
      <c r="J992" t="str">
        <f>IFERROR(__xludf.DUMMYFUNCTION("IFS(
  AND(REGEXMATCH(E992, ""台銀籌備帳戶|玉山帳戶""), REGEXMATCH(C992, ""薪資"")), ""分潤支出"",
  AND(REGEXMATCH(E992, ""Ben帳戶|Elsa帳戶|Ben代墊|Ariel代墊|中信銀行共用""), REGEXMATCH(F992, ""Ben帳戶|Elsa帳戶|Ben代墊|Ariel代墊|中信銀行共用"")), ""內部轉帳(忽略)"",
  AND(E992&lt;&gt;"""", F992&lt;&gt;"""", NOT(REG"&amp;"EXMATCH(C992, ""薪資""))), ""內部轉帳(忽略)"",
  REGEXMATCH(C992, ""薪資""), ""薪資變動(不計入)"",
  REGEXMATCH(C992, ""押金""), ""押金往來"",
  AND(E992&lt;&gt;"""", F992=""""), ""真實支出"",
  AND(E992="""", F992&lt;&gt;""""), ""真實收入"",
  TRUE, ""其他""
)"),"真實支出")</f>
        <v>真實支出</v>
      </c>
      <c r="K992" s="270">
        <f t="shared" si="2"/>
        <v>-2304</v>
      </c>
      <c r="L992">
        <f t="shared" si="3"/>
        <v>0</v>
      </c>
    </row>
    <row r="993">
      <c r="A993" s="107">
        <f>IFERROR(__xludf.DUMMYFUNCTION("""COMPUTED_VALUE"""),45596.0)</f>
        <v>45596</v>
      </c>
      <c r="B993" t="str">
        <f>IFERROR(__xludf.DUMMYFUNCTION("""COMPUTED_VALUE"""),"雨衣+水")</f>
        <v>雨衣+水</v>
      </c>
      <c r="C993" t="str">
        <f>IFERROR(__xludf.DUMMYFUNCTION("""COMPUTED_VALUE"""),"成本 - 進場前裝潢費")</f>
        <v>成本 - 進場前裝潢費</v>
      </c>
      <c r="D993" s="270">
        <f>IFERROR(__xludf.DUMMYFUNCTION("""COMPUTED_VALUE"""),-155.0)</f>
        <v>-155</v>
      </c>
      <c r="E993" t="str">
        <f>IFERROR(__xludf.DUMMYFUNCTION("""COMPUTED_VALUE"""),"Elsa帳戶")</f>
        <v>Elsa帳戶</v>
      </c>
      <c r="G993" t="str">
        <f>IFERROR(__xludf.DUMMYFUNCTION("""COMPUTED_VALUE"""),"永春四號")</f>
        <v>永春四號</v>
      </c>
      <c r="H993" s="106" t="str">
        <f t="shared" si="1"/>
        <v>2024-10</v>
      </c>
      <c r="I993" s="271" t="str">
        <f>IFERROR(__xludf.DUMMYFUNCTION("""COMPUTED_VALUE"""),"貓狗企鵝")</f>
        <v>貓狗企鵝</v>
      </c>
      <c r="J993" t="str">
        <f>IFERROR(__xludf.DUMMYFUNCTION("IFS(
  AND(REGEXMATCH(E993, ""台銀籌備帳戶|玉山帳戶""), REGEXMATCH(C993, ""薪資"")), ""分潤支出"",
  AND(REGEXMATCH(E993, ""Ben帳戶|Elsa帳戶|Ben代墊|Ariel代墊|中信銀行共用""), REGEXMATCH(F993, ""Ben帳戶|Elsa帳戶|Ben代墊|Ariel代墊|中信銀行共用"")), ""內部轉帳(忽略)"",
  AND(E993&lt;&gt;"""", F993&lt;&gt;"""", NOT(REG"&amp;"EXMATCH(C993, ""薪資""))), ""內部轉帳(忽略)"",
  REGEXMATCH(C993, ""薪資""), ""薪資變動(不計入)"",
  REGEXMATCH(C993, ""押金""), ""押金往來"",
  AND(E993&lt;&gt;"""", F993=""""), ""真實支出"",
  AND(E993="""", F993&lt;&gt;""""), ""真實收入"",
  TRUE, ""其他""
)"),"真實支出")</f>
        <v>真實支出</v>
      </c>
      <c r="K993" s="270">
        <f t="shared" si="2"/>
        <v>-155</v>
      </c>
      <c r="L993">
        <f t="shared" si="3"/>
        <v>0</v>
      </c>
    </row>
    <row r="994">
      <c r="A994" s="107">
        <f>IFERROR(__xludf.DUMMYFUNCTION("""COMPUTED_VALUE"""),45596.0)</f>
        <v>45596</v>
      </c>
      <c r="B994" t="str">
        <f>IFERROR(__xludf.DUMMYFUNCTION("""COMPUTED_VALUE"""),"哈拉對面C徐鉦庭")</f>
        <v>哈拉對面C徐鉦庭</v>
      </c>
      <c r="C994" t="str">
        <f>IFERROR(__xludf.DUMMYFUNCTION("""COMPUTED_VALUE"""),"收入 - 租金")</f>
        <v>收入 - 租金</v>
      </c>
      <c r="D994" s="270">
        <f>IFERROR(__xludf.DUMMYFUNCTION("""COMPUTED_VALUE"""),11800.0)</f>
        <v>11800</v>
      </c>
      <c r="F994" t="str">
        <f>IFERROR(__xludf.DUMMYFUNCTION("""COMPUTED_VALUE"""),"台銀籌備帳戶")</f>
        <v>台銀籌備帳戶</v>
      </c>
      <c r="G994" t="str">
        <f>IFERROR(__xludf.DUMMYFUNCTION("""COMPUTED_VALUE"""),"哈拉對面")</f>
        <v>哈拉對面</v>
      </c>
      <c r="H994" s="106" t="str">
        <f t="shared" si="1"/>
        <v>2024-10</v>
      </c>
      <c r="I994" s="271" t="str">
        <f>IFERROR(__xludf.DUMMYFUNCTION("""COMPUTED_VALUE"""),"貓狗企鵝")</f>
        <v>貓狗企鵝</v>
      </c>
      <c r="J994" t="str">
        <f>IFERROR(__xludf.DUMMYFUNCTION("IFS(
  AND(REGEXMATCH(E994, ""台銀籌備帳戶|玉山帳戶""), REGEXMATCH(C994, ""薪資"")), ""分潤支出"",
  AND(REGEXMATCH(E994, ""Ben帳戶|Elsa帳戶|Ben代墊|Ariel代墊|中信銀行共用""), REGEXMATCH(F994, ""Ben帳戶|Elsa帳戶|Ben代墊|Ariel代墊|中信銀行共用"")), ""內部轉帳(忽略)"",
  AND(E994&lt;&gt;"""", F994&lt;&gt;"""", NOT(REG"&amp;"EXMATCH(C994, ""薪資""))), ""內部轉帳(忽略)"",
  REGEXMATCH(C994, ""薪資""), ""薪資變動(不計入)"",
  REGEXMATCH(C994, ""押金""), ""押金往來"",
  AND(E994&lt;&gt;"""", F994=""""), ""真實支出"",
  AND(E994="""", F994&lt;&gt;""""), ""真實收入"",
  TRUE, ""其他""
)"),"真實收入")</f>
        <v>真實收入</v>
      </c>
      <c r="K994" s="270">
        <f t="shared" si="2"/>
        <v>11800</v>
      </c>
      <c r="L994">
        <f t="shared" si="3"/>
        <v>0</v>
      </c>
    </row>
    <row r="995">
      <c r="A995" s="107">
        <f>IFERROR(__xludf.DUMMYFUNCTION("""COMPUTED_VALUE"""),45596.0)</f>
        <v>45596</v>
      </c>
      <c r="B995" t="str">
        <f>IFERROR(__xludf.DUMMYFUNCTION("""COMPUTED_VALUE"""),"市府爺爺家A董書鵬")</f>
        <v>市府爺爺家A董書鵬</v>
      </c>
      <c r="C995" t="str">
        <f>IFERROR(__xludf.DUMMYFUNCTION("""COMPUTED_VALUE"""),"收入 - 租金")</f>
        <v>收入 - 租金</v>
      </c>
      <c r="D995" s="270">
        <f>IFERROR(__xludf.DUMMYFUNCTION("""COMPUTED_VALUE"""),22000.0)</f>
        <v>22000</v>
      </c>
      <c r="F995" t="str">
        <f>IFERROR(__xludf.DUMMYFUNCTION("""COMPUTED_VALUE"""),"台銀籌備帳戶")</f>
        <v>台銀籌備帳戶</v>
      </c>
      <c r="G995" t="str">
        <f>IFERROR(__xludf.DUMMYFUNCTION("""COMPUTED_VALUE"""),"市府爺爺家")</f>
        <v>市府爺爺家</v>
      </c>
      <c r="H995" s="106" t="str">
        <f t="shared" si="1"/>
        <v>2024-10</v>
      </c>
      <c r="I995" s="271" t="str">
        <f>IFERROR(__xludf.DUMMYFUNCTION("""COMPUTED_VALUE"""),"貓狗企鵝")</f>
        <v>貓狗企鵝</v>
      </c>
      <c r="J995" t="str">
        <f>IFERROR(__xludf.DUMMYFUNCTION("IFS(
  AND(REGEXMATCH(E995, ""台銀籌備帳戶|玉山帳戶""), REGEXMATCH(C995, ""薪資"")), ""分潤支出"",
  AND(REGEXMATCH(E995, ""Ben帳戶|Elsa帳戶|Ben代墊|Ariel代墊|中信銀行共用""), REGEXMATCH(F995, ""Ben帳戶|Elsa帳戶|Ben代墊|Ariel代墊|中信銀行共用"")), ""內部轉帳(忽略)"",
  AND(E995&lt;&gt;"""", F995&lt;&gt;"""", NOT(REG"&amp;"EXMATCH(C995, ""薪資""))), ""內部轉帳(忽略)"",
  REGEXMATCH(C995, ""薪資""), ""薪資變動(不計入)"",
  REGEXMATCH(C995, ""押金""), ""押金往來"",
  AND(E995&lt;&gt;"""", F995=""""), ""真實支出"",
  AND(E995="""", F995&lt;&gt;""""), ""真實收入"",
  TRUE, ""其他""
)"),"真實收入")</f>
        <v>真實收入</v>
      </c>
      <c r="K995" s="270">
        <f t="shared" si="2"/>
        <v>22000</v>
      </c>
      <c r="L995">
        <f t="shared" si="3"/>
        <v>0</v>
      </c>
    </row>
    <row r="996">
      <c r="A996" s="107">
        <f>IFERROR(__xludf.DUMMYFUNCTION("""COMPUTED_VALUE"""),45596.0)</f>
        <v>45596</v>
      </c>
      <c r="B996" t="str">
        <f>IFERROR(__xludf.DUMMYFUNCTION("""COMPUTED_VALUE"""),"出勤時間(士林天母區)")</f>
        <v>出勤時間(士林天母區)</v>
      </c>
      <c r="C996" t="str">
        <f>IFERROR(__xludf.DUMMYFUNCTION("""COMPUTED_VALUE"""),"成本 - 出勤費")</f>
        <v>成本 - 出勤費</v>
      </c>
      <c r="D996" s="270">
        <f>IFERROR(__xludf.DUMMYFUNCTION("""COMPUTED_VALUE"""),-800.0)</f>
        <v>-800</v>
      </c>
      <c r="E996" t="str">
        <f>IFERROR(__xludf.DUMMYFUNCTION("""COMPUTED_VALUE"""),"Ben帳戶")</f>
        <v>Ben帳戶</v>
      </c>
      <c r="G996" t="str">
        <f>IFERROR(__xludf.DUMMYFUNCTION("""COMPUTED_VALUE"""),"中山北Feli家")</f>
        <v>中山北Feli家</v>
      </c>
      <c r="H996" s="106" t="str">
        <f t="shared" si="1"/>
        <v>2024-10</v>
      </c>
      <c r="I996" s="271" t="str">
        <f>IFERROR(__xludf.DUMMYFUNCTION("""COMPUTED_VALUE"""),"貓狗企鵝")</f>
        <v>貓狗企鵝</v>
      </c>
      <c r="J996" t="str">
        <f>IFERROR(__xludf.DUMMYFUNCTION("IFS(
  AND(REGEXMATCH(E996, ""台銀籌備帳戶|玉山帳戶""), REGEXMATCH(C996, ""薪資"")), ""分潤支出"",
  AND(REGEXMATCH(E996, ""Ben帳戶|Elsa帳戶|Ben代墊|Ariel代墊|中信銀行共用""), REGEXMATCH(F996, ""Ben帳戶|Elsa帳戶|Ben代墊|Ariel代墊|中信銀行共用"")), ""內部轉帳(忽略)"",
  AND(E996&lt;&gt;"""", F996&lt;&gt;"""", NOT(REG"&amp;"EXMATCH(C996, ""薪資""))), ""內部轉帳(忽略)"",
  REGEXMATCH(C996, ""薪資""), ""薪資變動(不計入)"",
  REGEXMATCH(C996, ""押金""), ""押金往來"",
  AND(E996&lt;&gt;"""", F996=""""), ""真實支出"",
  AND(E996="""", F996&lt;&gt;""""), ""真實收入"",
  TRUE, ""其他""
)"),"真實支出")</f>
        <v>真實支出</v>
      </c>
      <c r="K996" s="270">
        <f t="shared" si="2"/>
        <v>-800</v>
      </c>
      <c r="L996">
        <f t="shared" si="3"/>
        <v>0</v>
      </c>
    </row>
    <row r="997">
      <c r="A997" s="107">
        <f>IFERROR(__xludf.DUMMYFUNCTION("""COMPUTED_VALUE"""),45597.0)</f>
        <v>45597</v>
      </c>
      <c r="B997" t="str">
        <f>IFERROR(__xludf.DUMMYFUNCTION("""COMPUTED_VALUE"""),"信箱浴簾桿五金")</f>
        <v>信箱浴簾桿五金</v>
      </c>
      <c r="C997" t="str">
        <f>IFERROR(__xludf.DUMMYFUNCTION("""COMPUTED_VALUE"""),"成本 - 進場前裝潢費")</f>
        <v>成本 - 進場前裝潢費</v>
      </c>
      <c r="D997" s="270">
        <f>IFERROR(__xludf.DUMMYFUNCTION("""COMPUTED_VALUE"""),-2450.0)</f>
        <v>-2450</v>
      </c>
      <c r="E997" t="str">
        <f>IFERROR(__xludf.DUMMYFUNCTION("""COMPUTED_VALUE"""),"Ben帳戶")</f>
        <v>Ben帳戶</v>
      </c>
      <c r="G997" t="str">
        <f>IFERROR(__xludf.DUMMYFUNCTION("""COMPUTED_VALUE"""),"中山北Feli家")</f>
        <v>中山北Feli家</v>
      </c>
      <c r="H997" s="106" t="str">
        <f t="shared" si="1"/>
        <v>2024-11</v>
      </c>
      <c r="I997" s="271" t="str">
        <f>IFERROR(__xludf.DUMMYFUNCTION("""COMPUTED_VALUE"""),"貓狗企鵝")</f>
        <v>貓狗企鵝</v>
      </c>
      <c r="J997" t="str">
        <f>IFERROR(__xludf.DUMMYFUNCTION("IFS(
  AND(REGEXMATCH(E997, ""台銀籌備帳戶|玉山帳戶""), REGEXMATCH(C997, ""薪資"")), ""分潤支出"",
  AND(REGEXMATCH(E997, ""Ben帳戶|Elsa帳戶|Ben代墊|Ariel代墊|中信銀行共用""), REGEXMATCH(F997, ""Ben帳戶|Elsa帳戶|Ben代墊|Ariel代墊|中信銀行共用"")), ""內部轉帳(忽略)"",
  AND(E997&lt;&gt;"""", F997&lt;&gt;"""", NOT(REG"&amp;"EXMATCH(C997, ""薪資""))), ""內部轉帳(忽略)"",
  REGEXMATCH(C997, ""薪資""), ""薪資變動(不計入)"",
  REGEXMATCH(C997, ""押金""), ""押金往來"",
  AND(E997&lt;&gt;"""", F997=""""), ""真實支出"",
  AND(E997="""", F997&lt;&gt;""""), ""真實收入"",
  TRUE, ""其他""
)"),"真實支出")</f>
        <v>真實支出</v>
      </c>
      <c r="K997" s="270">
        <f t="shared" si="2"/>
        <v>-2450</v>
      </c>
      <c r="L997">
        <f t="shared" si="3"/>
        <v>0</v>
      </c>
    </row>
    <row r="998">
      <c r="A998" s="107">
        <f>IFERROR(__xludf.DUMMYFUNCTION("""COMPUTED_VALUE"""),45597.0)</f>
        <v>45597</v>
      </c>
      <c r="B998" t="str">
        <f>IFERROR(__xludf.DUMMYFUNCTION("""COMPUTED_VALUE"""),"景安 電費")</f>
        <v>景安 電費</v>
      </c>
      <c r="C998" t="str">
        <f>IFERROR(__xludf.DUMMYFUNCTION("""COMPUTED_VALUE"""),"成本 - 固定開銷(網路代收清潔)")</f>
        <v>成本 - 固定開銷(網路代收清潔)</v>
      </c>
      <c r="D998" s="270">
        <f>IFERROR(__xludf.DUMMYFUNCTION("""COMPUTED_VALUE"""),-547.0)</f>
        <v>-547</v>
      </c>
      <c r="E998" t="str">
        <f>IFERROR(__xludf.DUMMYFUNCTION("""COMPUTED_VALUE"""),"Ben帳戶")</f>
        <v>Ben帳戶</v>
      </c>
      <c r="G998" t="str">
        <f>IFERROR(__xludf.DUMMYFUNCTION("""COMPUTED_VALUE"""),"景安2分鐘")</f>
        <v>景安2分鐘</v>
      </c>
      <c r="H998" s="106" t="str">
        <f t="shared" si="1"/>
        <v>2024-11</v>
      </c>
      <c r="I998" s="271" t="str">
        <f>IFERROR(__xludf.DUMMYFUNCTION("""COMPUTED_VALUE"""),"貓狗企鵝")</f>
        <v>貓狗企鵝</v>
      </c>
      <c r="J998" t="str">
        <f>IFERROR(__xludf.DUMMYFUNCTION("IFS(
  AND(REGEXMATCH(E998, ""台銀籌備帳戶|玉山帳戶""), REGEXMATCH(C998, ""薪資"")), ""分潤支出"",
  AND(REGEXMATCH(E998, ""Ben帳戶|Elsa帳戶|Ben代墊|Ariel代墊|中信銀行共用""), REGEXMATCH(F998, ""Ben帳戶|Elsa帳戶|Ben代墊|Ariel代墊|中信銀行共用"")), ""內部轉帳(忽略)"",
  AND(E998&lt;&gt;"""", F998&lt;&gt;"""", NOT(REG"&amp;"EXMATCH(C998, ""薪資""))), ""內部轉帳(忽略)"",
  REGEXMATCH(C998, ""薪資""), ""薪資變動(不計入)"",
  REGEXMATCH(C998, ""押金""), ""押金往來"",
  AND(E998&lt;&gt;"""", F998=""""), ""真實支出"",
  AND(E998="""", F998&lt;&gt;""""), ""真實收入"",
  TRUE, ""其他""
)"),"真實支出")</f>
        <v>真實支出</v>
      </c>
      <c r="K998" s="270">
        <f t="shared" si="2"/>
        <v>-547</v>
      </c>
      <c r="L998">
        <f t="shared" si="3"/>
        <v>0</v>
      </c>
    </row>
    <row r="999">
      <c r="A999" s="107">
        <f>IFERROR(__xludf.DUMMYFUNCTION("""COMPUTED_VALUE"""),45597.0)</f>
        <v>45597</v>
      </c>
      <c r="B999" t="str">
        <f>IFERROR(__xludf.DUMMYFUNCTION("""COMPUTED_VALUE"""),"景安當場下定，感謝金")</f>
        <v>景安當場下定，感謝金</v>
      </c>
      <c r="C999" t="str">
        <f>IFERROR(__xludf.DUMMYFUNCTION("""COMPUTED_VALUE"""),"收入 - 租金")</f>
        <v>收入 - 租金</v>
      </c>
      <c r="D999" s="270">
        <f>IFERROR(__xludf.DUMMYFUNCTION("""COMPUTED_VALUE"""),-4000.0)</f>
        <v>-4000</v>
      </c>
      <c r="E999" t="str">
        <f>IFERROR(__xludf.DUMMYFUNCTION("""COMPUTED_VALUE"""),"Ben帳戶")</f>
        <v>Ben帳戶</v>
      </c>
      <c r="G999" t="str">
        <f>IFERROR(__xludf.DUMMYFUNCTION("""COMPUTED_VALUE"""),"景安2分鐘")</f>
        <v>景安2分鐘</v>
      </c>
      <c r="H999" s="106" t="str">
        <f t="shared" si="1"/>
        <v>2024-11</v>
      </c>
      <c r="I999" s="271" t="str">
        <f>IFERROR(__xludf.DUMMYFUNCTION("""COMPUTED_VALUE"""),"貓狗企鵝")</f>
        <v>貓狗企鵝</v>
      </c>
      <c r="J999" t="str">
        <f>IFERROR(__xludf.DUMMYFUNCTION("IFS(
  AND(REGEXMATCH(E999, ""台銀籌備帳戶|玉山帳戶""), REGEXMATCH(C999, ""薪資"")), ""分潤支出"",
  AND(REGEXMATCH(E999, ""Ben帳戶|Elsa帳戶|Ben代墊|Ariel代墊|中信銀行共用""), REGEXMATCH(F999, ""Ben帳戶|Elsa帳戶|Ben代墊|Ariel代墊|中信銀行共用"")), ""內部轉帳(忽略)"",
  AND(E999&lt;&gt;"""", F999&lt;&gt;"""", NOT(REG"&amp;"EXMATCH(C999, ""薪資""))), ""內部轉帳(忽略)"",
  REGEXMATCH(C999, ""薪資""), ""薪資變動(不計入)"",
  REGEXMATCH(C999, ""押金""), ""押金往來"",
  AND(E999&lt;&gt;"""", F999=""""), ""真實支出"",
  AND(E999="""", F999&lt;&gt;""""), ""真實收入"",
  TRUE, ""其他""
)"),"真實支出")</f>
        <v>真實支出</v>
      </c>
      <c r="K999" s="270">
        <f t="shared" si="2"/>
        <v>-4000</v>
      </c>
      <c r="L999">
        <f t="shared" si="3"/>
        <v>0</v>
      </c>
    </row>
    <row r="1000">
      <c r="A1000" s="107">
        <f>IFERROR(__xludf.DUMMYFUNCTION("""COMPUTED_VALUE"""),45597.0)</f>
        <v>45597</v>
      </c>
      <c r="B1000" t="str">
        <f>IFERROR(__xludf.DUMMYFUNCTION("""COMPUTED_VALUE"""),"停車費")</f>
        <v>停車費</v>
      </c>
      <c r="C1000" t="str">
        <f>IFERROR(__xludf.DUMMYFUNCTION("""COMPUTED_VALUE"""),"費用 - 交通費")</f>
        <v>費用 - 交通費</v>
      </c>
      <c r="D1000" s="270">
        <f>IFERROR(__xludf.DUMMYFUNCTION("""COMPUTED_VALUE"""),-90.0)</f>
        <v>-90</v>
      </c>
      <c r="E1000" t="str">
        <f>IFERROR(__xludf.DUMMYFUNCTION("""COMPUTED_VALUE"""),"Elsa帳戶")</f>
        <v>Elsa帳戶</v>
      </c>
      <c r="G1000" t="str">
        <f>IFERROR(__xludf.DUMMYFUNCTION("""COMPUTED_VALUE"""),"景安2分鐘")</f>
        <v>景安2分鐘</v>
      </c>
      <c r="H1000" s="106" t="str">
        <f t="shared" si="1"/>
        <v>2024-11</v>
      </c>
      <c r="I1000" s="271" t="str">
        <f>IFERROR(__xludf.DUMMYFUNCTION("""COMPUTED_VALUE"""),"貓狗企鵝")</f>
        <v>貓狗企鵝</v>
      </c>
      <c r="J1000" t="str">
        <f>IFERROR(__xludf.DUMMYFUNCTION("IFS(
  AND(REGEXMATCH(E1000, ""台銀籌備帳戶|玉山帳戶""), REGEXMATCH(C1000, ""薪資"")), ""分潤支出"",
  AND(REGEXMATCH(E1000, ""Ben帳戶|Elsa帳戶|Ben代墊|Ariel代墊|中信銀行共用""), REGEXMATCH(F1000, ""Ben帳戶|Elsa帳戶|Ben代墊|Ariel代墊|中信銀行共用"")), ""內部轉帳(忽略)"",
  AND(E1000&lt;&gt;"""", F1000&lt;&gt;"""", N"&amp;"OT(REGEXMATCH(C1000, ""薪資""))), ""內部轉帳(忽略)"",
  REGEXMATCH(C1000, ""薪資""), ""薪資變動(不計入)"",
  REGEXMATCH(C1000, ""押金""), ""押金往來"",
  AND(E1000&lt;&gt;"""", F1000=""""), ""真實支出"",
  AND(E1000="""", F1000&lt;&gt;""""), ""真實收入"",
  TRUE, ""其他""
)"),"真實支出")</f>
        <v>真實支出</v>
      </c>
      <c r="K1000" s="270">
        <f t="shared" si="2"/>
        <v>-90</v>
      </c>
      <c r="L1000">
        <f t="shared" si="3"/>
        <v>0</v>
      </c>
    </row>
    <row r="1001">
      <c r="A1001" s="107">
        <f>IFERROR(__xludf.DUMMYFUNCTION("""COMPUTED_VALUE"""),45597.0)</f>
        <v>45597</v>
      </c>
      <c r="B1001" t="str">
        <f>IFERROR(__xludf.DUMMYFUNCTION("""COMPUTED_VALUE"""),"永春四號D翁政熙")</f>
        <v>永春四號D翁政熙</v>
      </c>
      <c r="C1001" t="str">
        <f>IFERROR(__xludf.DUMMYFUNCTION("""COMPUTED_VALUE"""),"收入 - 租金")</f>
        <v>收入 - 租金</v>
      </c>
      <c r="D1001" s="270">
        <f>IFERROR(__xludf.DUMMYFUNCTION("""COMPUTED_VALUE"""),14800.0)</f>
        <v>14800</v>
      </c>
      <c r="F1001" t="str">
        <f>IFERROR(__xludf.DUMMYFUNCTION("""COMPUTED_VALUE"""),"台銀籌備帳戶")</f>
        <v>台銀籌備帳戶</v>
      </c>
      <c r="G1001" t="str">
        <f>IFERROR(__xludf.DUMMYFUNCTION("""COMPUTED_VALUE"""),"永春四號")</f>
        <v>永春四號</v>
      </c>
      <c r="H1001" s="106" t="str">
        <f t="shared" si="1"/>
        <v>2024-11</v>
      </c>
      <c r="I1001" s="271" t="str">
        <f>IFERROR(__xludf.DUMMYFUNCTION("""COMPUTED_VALUE"""),"貓狗企鵝")</f>
        <v>貓狗企鵝</v>
      </c>
      <c r="J1001" t="str">
        <f>IFERROR(__xludf.DUMMYFUNCTION("IFS(
  AND(REGEXMATCH(E1001, ""台銀籌備帳戶|玉山帳戶""), REGEXMATCH(C1001, ""薪資"")), ""分潤支出"",
  AND(REGEXMATCH(E1001, ""Ben帳戶|Elsa帳戶|Ben代墊|Ariel代墊|中信銀行共用""), REGEXMATCH(F1001, ""Ben帳戶|Elsa帳戶|Ben代墊|Ariel代墊|中信銀行共用"")), ""內部轉帳(忽略)"",
  AND(E1001&lt;&gt;"""", F1001&lt;&gt;"""", N"&amp;"OT(REGEXMATCH(C1001, ""薪資""))), ""內部轉帳(忽略)"",
  REGEXMATCH(C1001, ""薪資""), ""薪資變動(不計入)"",
  REGEXMATCH(C1001, ""押金""), ""押金往來"",
  AND(E1001&lt;&gt;"""", F1001=""""), ""真實支出"",
  AND(E1001="""", F1001&lt;&gt;""""), ""真實收入"",
  TRUE, ""其他""
)"),"真實收入")</f>
        <v>真實收入</v>
      </c>
      <c r="K1001" s="270">
        <f t="shared" si="2"/>
        <v>14800</v>
      </c>
      <c r="L1001">
        <f t="shared" si="3"/>
        <v>0</v>
      </c>
    </row>
    <row r="1002">
      <c r="A1002" s="107">
        <f>IFERROR(__xludf.DUMMYFUNCTION("""COMPUTED_VALUE"""),45597.0)</f>
        <v>45597</v>
      </c>
      <c r="B1002" t="str">
        <f>IFERROR(__xludf.DUMMYFUNCTION("""COMPUTED_VALUE"""),"南港挑高租金")</f>
        <v>南港挑高租金</v>
      </c>
      <c r="C1002" t="str">
        <f>IFERROR(__xludf.DUMMYFUNCTION("""COMPUTED_VALUE"""),"成本 - 大租金")</f>
        <v>成本 - 大租金</v>
      </c>
      <c r="D1002" s="270">
        <f>IFERROR(__xludf.DUMMYFUNCTION("""COMPUTED_VALUE"""),-18250.0)</f>
        <v>-18250</v>
      </c>
      <c r="E1002" t="str">
        <f>IFERROR(__xludf.DUMMYFUNCTION("""COMPUTED_VALUE"""),"台銀籌備帳戶")</f>
        <v>台銀籌備帳戶</v>
      </c>
      <c r="G1002" t="str">
        <f>IFERROR(__xludf.DUMMYFUNCTION("""COMPUTED_VALUE"""),"南港站挑高宅")</f>
        <v>南港站挑高宅</v>
      </c>
      <c r="H1002" s="106" t="str">
        <f t="shared" si="1"/>
        <v>2024-11</v>
      </c>
      <c r="I1002" s="271" t="str">
        <f>IFERROR(__xludf.DUMMYFUNCTION("""COMPUTED_VALUE"""),"貓狗企鵝")</f>
        <v>貓狗企鵝</v>
      </c>
      <c r="J1002" t="str">
        <f>IFERROR(__xludf.DUMMYFUNCTION("IFS(
  AND(REGEXMATCH(E1002, ""台銀籌備帳戶|玉山帳戶""), REGEXMATCH(C1002, ""薪資"")), ""分潤支出"",
  AND(REGEXMATCH(E1002, ""Ben帳戶|Elsa帳戶|Ben代墊|Ariel代墊|中信銀行共用""), REGEXMATCH(F1002, ""Ben帳戶|Elsa帳戶|Ben代墊|Ariel代墊|中信銀行共用"")), ""內部轉帳(忽略)"",
  AND(E1002&lt;&gt;"""", F1002&lt;&gt;"""", N"&amp;"OT(REGEXMATCH(C1002, ""薪資""))), ""內部轉帳(忽略)"",
  REGEXMATCH(C1002, ""薪資""), ""薪資變動(不計入)"",
  REGEXMATCH(C1002, ""押金""), ""押金往來"",
  AND(E1002&lt;&gt;"""", F1002=""""), ""真實支出"",
  AND(E1002="""", F1002&lt;&gt;""""), ""真實收入"",
  TRUE, ""其他""
)"),"真實支出")</f>
        <v>真實支出</v>
      </c>
      <c r="K1002" s="270">
        <f t="shared" si="2"/>
        <v>-18250</v>
      </c>
      <c r="L1002">
        <f t="shared" si="3"/>
        <v>0</v>
      </c>
    </row>
    <row r="1003">
      <c r="A1003" s="107">
        <f>IFERROR(__xludf.DUMMYFUNCTION("""COMPUTED_VALUE"""),45597.0)</f>
        <v>45597</v>
      </c>
      <c r="B1003" t="str">
        <f>IFERROR(__xludf.DUMMYFUNCTION("""COMPUTED_VALUE"""),"龍江229A莊美娟")</f>
        <v>龍江229A莊美娟</v>
      </c>
      <c r="C1003" t="str">
        <f>IFERROR(__xludf.DUMMYFUNCTION("""COMPUTED_VALUE"""),"收入 - 租金")</f>
        <v>收入 - 租金</v>
      </c>
      <c r="D1003" s="270">
        <f>IFERROR(__xludf.DUMMYFUNCTION("""COMPUTED_VALUE"""),12800.0)</f>
        <v>12800</v>
      </c>
      <c r="F1003" t="str">
        <f>IFERROR(__xludf.DUMMYFUNCTION("""COMPUTED_VALUE"""),"台銀籌備帳戶")</f>
        <v>台銀籌備帳戶</v>
      </c>
      <c r="G1003" t="str">
        <f>IFERROR(__xludf.DUMMYFUNCTION("""COMPUTED_VALUE"""),"龍江229")</f>
        <v>龍江229</v>
      </c>
      <c r="H1003" s="106" t="str">
        <f t="shared" si="1"/>
        <v>2024-11</v>
      </c>
      <c r="I1003" s="271" t="str">
        <f>IFERROR(__xludf.DUMMYFUNCTION("""COMPUTED_VALUE"""),"貓狗企鵝")</f>
        <v>貓狗企鵝</v>
      </c>
      <c r="J1003" t="str">
        <f>IFERROR(__xludf.DUMMYFUNCTION("IFS(
  AND(REGEXMATCH(E1003, ""台銀籌備帳戶|玉山帳戶""), REGEXMATCH(C1003, ""薪資"")), ""分潤支出"",
  AND(REGEXMATCH(E1003, ""Ben帳戶|Elsa帳戶|Ben代墊|Ariel代墊|中信銀行共用""), REGEXMATCH(F1003, ""Ben帳戶|Elsa帳戶|Ben代墊|Ariel代墊|中信銀行共用"")), ""內部轉帳(忽略)"",
  AND(E1003&lt;&gt;"""", F1003&lt;&gt;"""", N"&amp;"OT(REGEXMATCH(C1003, ""薪資""))), ""內部轉帳(忽略)"",
  REGEXMATCH(C1003, ""薪資""), ""薪資變動(不計入)"",
  REGEXMATCH(C1003, ""押金""), ""押金往來"",
  AND(E1003&lt;&gt;"""", F1003=""""), ""真實支出"",
  AND(E1003="""", F1003&lt;&gt;""""), ""真實收入"",
  TRUE, ""其他""
)"),"真實收入")</f>
        <v>真實收入</v>
      </c>
      <c r="K1003" s="270">
        <f t="shared" si="2"/>
        <v>12800</v>
      </c>
      <c r="L1003">
        <f t="shared" si="3"/>
        <v>0</v>
      </c>
    </row>
    <row r="1004">
      <c r="A1004" s="107">
        <f>IFERROR(__xludf.DUMMYFUNCTION("""COMPUTED_VALUE"""),45597.0)</f>
        <v>45597</v>
      </c>
      <c r="B1004" t="str">
        <f>IFERROR(__xludf.DUMMYFUNCTION("""COMPUTED_VALUE"""),"永春郭大哥")</f>
        <v>永春郭大哥</v>
      </c>
      <c r="C1004" t="str">
        <f>IFERROR(__xludf.DUMMYFUNCTION("""COMPUTED_VALUE"""),"成本 - 大租金")</f>
        <v>成本 - 大租金</v>
      </c>
      <c r="D1004" s="270">
        <f>IFERROR(__xludf.DUMMYFUNCTION("""COMPUTED_VALUE"""),-17015.0)</f>
        <v>-17015</v>
      </c>
      <c r="E1004" t="str">
        <f>IFERROR(__xludf.DUMMYFUNCTION("""COMPUTED_VALUE"""),"台銀籌備帳戶")</f>
        <v>台銀籌備帳戶</v>
      </c>
      <c r="G1004" t="str">
        <f>IFERROR(__xludf.DUMMYFUNCTION("""COMPUTED_VALUE"""),"永春四號")</f>
        <v>永春四號</v>
      </c>
      <c r="H1004" s="106" t="str">
        <f t="shared" si="1"/>
        <v>2024-11</v>
      </c>
      <c r="I1004" s="271" t="str">
        <f>IFERROR(__xludf.DUMMYFUNCTION("""COMPUTED_VALUE"""),"貓狗企鵝")</f>
        <v>貓狗企鵝</v>
      </c>
      <c r="J1004" t="str">
        <f>IFERROR(__xludf.DUMMYFUNCTION("IFS(
  AND(REGEXMATCH(E1004, ""台銀籌備帳戶|玉山帳戶""), REGEXMATCH(C1004, ""薪資"")), ""分潤支出"",
  AND(REGEXMATCH(E1004, ""Ben帳戶|Elsa帳戶|Ben代墊|Ariel代墊|中信銀行共用""), REGEXMATCH(F1004, ""Ben帳戶|Elsa帳戶|Ben代墊|Ariel代墊|中信銀行共用"")), ""內部轉帳(忽略)"",
  AND(E1004&lt;&gt;"""", F1004&lt;&gt;"""", N"&amp;"OT(REGEXMATCH(C1004, ""薪資""))), ""內部轉帳(忽略)"",
  REGEXMATCH(C1004, ""薪資""), ""薪資變動(不計入)"",
  REGEXMATCH(C1004, ""押金""), ""押金往來"",
  AND(E1004&lt;&gt;"""", F1004=""""), ""真實支出"",
  AND(E1004="""", F1004&lt;&gt;""""), ""真實收入"",
  TRUE, ""其他""
)"),"真實支出")</f>
        <v>真實支出</v>
      </c>
      <c r="K1004" s="270">
        <f t="shared" si="2"/>
        <v>-17015</v>
      </c>
      <c r="L1004">
        <f t="shared" si="3"/>
        <v>0</v>
      </c>
    </row>
    <row r="1005">
      <c r="A1005" s="107">
        <f>IFERROR(__xludf.DUMMYFUNCTION("""COMPUTED_VALUE"""),45597.0)</f>
        <v>45597</v>
      </c>
      <c r="B1005" t="str">
        <f>IFERROR(__xludf.DUMMYFUNCTION("""COMPUTED_VALUE"""),"永春郭大哥")</f>
        <v>永春郭大哥</v>
      </c>
      <c r="C1005" t="str">
        <f>IFERROR(__xludf.DUMMYFUNCTION("""COMPUTED_VALUE"""),"成本 - 大租金")</f>
        <v>成本 - 大租金</v>
      </c>
      <c r="D1005" s="270">
        <f>IFERROR(__xludf.DUMMYFUNCTION("""COMPUTED_VALUE"""),-17015.0)</f>
        <v>-17015</v>
      </c>
      <c r="E1005" t="str">
        <f>IFERROR(__xludf.DUMMYFUNCTION("""COMPUTED_VALUE"""),"台銀籌備帳戶")</f>
        <v>台銀籌備帳戶</v>
      </c>
      <c r="G1005" t="str">
        <f>IFERROR(__xludf.DUMMYFUNCTION("""COMPUTED_VALUE"""),"永春四號")</f>
        <v>永春四號</v>
      </c>
      <c r="H1005" s="106" t="str">
        <f t="shared" si="1"/>
        <v>2024-11</v>
      </c>
      <c r="I1005" s="271" t="str">
        <f>IFERROR(__xludf.DUMMYFUNCTION("""COMPUTED_VALUE"""),"貓狗企鵝")</f>
        <v>貓狗企鵝</v>
      </c>
      <c r="J1005" t="str">
        <f>IFERROR(__xludf.DUMMYFUNCTION("IFS(
  AND(REGEXMATCH(E1005, ""台銀籌備帳戶|玉山帳戶""), REGEXMATCH(C1005, ""薪資"")), ""分潤支出"",
  AND(REGEXMATCH(E1005, ""Ben帳戶|Elsa帳戶|Ben代墊|Ariel代墊|中信銀行共用""), REGEXMATCH(F1005, ""Ben帳戶|Elsa帳戶|Ben代墊|Ariel代墊|中信銀行共用"")), ""內部轉帳(忽略)"",
  AND(E1005&lt;&gt;"""", F1005&lt;&gt;"""", N"&amp;"OT(REGEXMATCH(C1005, ""薪資""))), ""內部轉帳(忽略)"",
  REGEXMATCH(C1005, ""薪資""), ""薪資變動(不計入)"",
  REGEXMATCH(C1005, ""押金""), ""押金往來"",
  AND(E1005&lt;&gt;"""", F1005=""""), ""真實支出"",
  AND(E1005="""", F1005&lt;&gt;""""), ""真實收入"",
  TRUE, ""其他""
)"),"真實支出")</f>
        <v>真實支出</v>
      </c>
      <c r="K1005" s="270">
        <f t="shared" si="2"/>
        <v>-17015</v>
      </c>
      <c r="L1005">
        <f t="shared" si="3"/>
        <v>0</v>
      </c>
    </row>
    <row r="1006">
      <c r="A1006" s="107">
        <f>IFERROR(__xludf.DUMMYFUNCTION("""COMPUTED_VALUE"""),45597.0)</f>
        <v>45597</v>
      </c>
      <c r="B1006" t="str">
        <f>IFERROR(__xludf.DUMMYFUNCTION("""COMPUTED_VALUE"""),"市府爺爺租金")</f>
        <v>市府爺爺租金</v>
      </c>
      <c r="C1006" t="str">
        <f>IFERROR(__xludf.DUMMYFUNCTION("""COMPUTED_VALUE"""),"成本 - 大租金")</f>
        <v>成本 - 大租金</v>
      </c>
      <c r="D1006" s="270">
        <f>IFERROR(__xludf.DUMMYFUNCTION("""COMPUTED_VALUE"""),-12015.0)</f>
        <v>-12015</v>
      </c>
      <c r="E1006" t="str">
        <f>IFERROR(__xludf.DUMMYFUNCTION("""COMPUTED_VALUE"""),"台銀籌備帳戶")</f>
        <v>台銀籌備帳戶</v>
      </c>
      <c r="G1006" t="str">
        <f>IFERROR(__xludf.DUMMYFUNCTION("""COMPUTED_VALUE"""),"市府爺爺家")</f>
        <v>市府爺爺家</v>
      </c>
      <c r="H1006" s="106" t="str">
        <f t="shared" si="1"/>
        <v>2024-11</v>
      </c>
      <c r="I1006" s="271" t="str">
        <f>IFERROR(__xludf.DUMMYFUNCTION("""COMPUTED_VALUE"""),"貓狗企鵝")</f>
        <v>貓狗企鵝</v>
      </c>
      <c r="J1006" t="str">
        <f>IFERROR(__xludf.DUMMYFUNCTION("IFS(
  AND(REGEXMATCH(E1006, ""台銀籌備帳戶|玉山帳戶""), REGEXMATCH(C1006, ""薪資"")), ""分潤支出"",
  AND(REGEXMATCH(E1006, ""Ben帳戶|Elsa帳戶|Ben代墊|Ariel代墊|中信銀行共用""), REGEXMATCH(F1006, ""Ben帳戶|Elsa帳戶|Ben代墊|Ariel代墊|中信銀行共用"")), ""內部轉帳(忽略)"",
  AND(E1006&lt;&gt;"""", F1006&lt;&gt;"""", N"&amp;"OT(REGEXMATCH(C1006, ""薪資""))), ""內部轉帳(忽略)"",
  REGEXMATCH(C1006, ""薪資""), ""薪資變動(不計入)"",
  REGEXMATCH(C1006, ""押金""), ""押金往來"",
  AND(E1006&lt;&gt;"""", F1006=""""), ""真實支出"",
  AND(E1006="""", F1006&lt;&gt;""""), ""真實收入"",
  TRUE, ""其他""
)"),"真實支出")</f>
        <v>真實支出</v>
      </c>
      <c r="K1006" s="270">
        <f t="shared" si="2"/>
        <v>-12015</v>
      </c>
      <c r="L1006">
        <f t="shared" si="3"/>
        <v>0</v>
      </c>
    </row>
    <row r="1007">
      <c r="A1007" s="107">
        <f>IFERROR(__xludf.DUMMYFUNCTION("""COMPUTED_VALUE"""),45597.0)</f>
        <v>45597</v>
      </c>
      <c r="B1007" t="str">
        <f>IFERROR(__xludf.DUMMYFUNCTION("""COMPUTED_VALUE"""),"北醫陳醫師")</f>
        <v>北醫陳醫師</v>
      </c>
      <c r="C1007" t="str">
        <f>IFERROR(__xludf.DUMMYFUNCTION("""COMPUTED_VALUE"""),"成本 - 大租金")</f>
        <v>成本 - 大租金</v>
      </c>
      <c r="D1007" s="270">
        <f>IFERROR(__xludf.DUMMYFUNCTION("""COMPUTED_VALUE"""),-12815.0)</f>
        <v>-12815</v>
      </c>
      <c r="E1007" t="str">
        <f>IFERROR(__xludf.DUMMYFUNCTION("""COMPUTED_VALUE"""),"台銀籌備帳戶")</f>
        <v>台銀籌備帳戶</v>
      </c>
      <c r="G1007" t="str">
        <f>IFERROR(__xludf.DUMMYFUNCTION("""COMPUTED_VALUE"""),"北醫醫師府")</f>
        <v>北醫醫師府</v>
      </c>
      <c r="H1007" s="106" t="str">
        <f t="shared" si="1"/>
        <v>2024-11</v>
      </c>
      <c r="I1007" s="271" t="str">
        <f>IFERROR(__xludf.DUMMYFUNCTION("""COMPUTED_VALUE"""),"貓狗企鵝")</f>
        <v>貓狗企鵝</v>
      </c>
      <c r="J1007" t="str">
        <f>IFERROR(__xludf.DUMMYFUNCTION("IFS(
  AND(REGEXMATCH(E1007, ""台銀籌備帳戶|玉山帳戶""), REGEXMATCH(C1007, ""薪資"")), ""分潤支出"",
  AND(REGEXMATCH(E1007, ""Ben帳戶|Elsa帳戶|Ben代墊|Ariel代墊|中信銀行共用""), REGEXMATCH(F1007, ""Ben帳戶|Elsa帳戶|Ben代墊|Ariel代墊|中信銀行共用"")), ""內部轉帳(忽略)"",
  AND(E1007&lt;&gt;"""", F1007&lt;&gt;"""", N"&amp;"OT(REGEXMATCH(C1007, ""薪資""))), ""內部轉帳(忽略)"",
  REGEXMATCH(C1007, ""薪資""), ""薪資變動(不計入)"",
  REGEXMATCH(C1007, ""押金""), ""押金往來"",
  AND(E1007&lt;&gt;"""", F1007=""""), ""真實支出"",
  AND(E1007="""", F1007&lt;&gt;""""), ""真實收入"",
  TRUE, ""其他""
)"),"真實支出")</f>
        <v>真實支出</v>
      </c>
      <c r="K1007" s="270">
        <f t="shared" si="2"/>
        <v>-12815</v>
      </c>
      <c r="L1007">
        <f t="shared" si="3"/>
        <v>0</v>
      </c>
    </row>
    <row r="1008">
      <c r="A1008" s="107">
        <f>IFERROR(__xludf.DUMMYFUNCTION("""COMPUTED_VALUE"""),45597.0)</f>
        <v>45597</v>
      </c>
      <c r="B1008" t="str">
        <f>IFERROR(__xludf.DUMMYFUNCTION("""COMPUTED_VALUE"""),"哈拉陳校長")</f>
        <v>哈拉陳校長</v>
      </c>
      <c r="C1008" t="str">
        <f>IFERROR(__xludf.DUMMYFUNCTION("""COMPUTED_VALUE"""),"成本 - 大租金")</f>
        <v>成本 - 大租金</v>
      </c>
      <c r="D1008" s="270">
        <f>IFERROR(__xludf.DUMMYFUNCTION("""COMPUTED_VALUE"""),-13015.0)</f>
        <v>-13015</v>
      </c>
      <c r="E1008" t="str">
        <f>IFERROR(__xludf.DUMMYFUNCTION("""COMPUTED_VALUE"""),"台銀籌備帳戶")</f>
        <v>台銀籌備帳戶</v>
      </c>
      <c r="G1008" t="str">
        <f>IFERROR(__xludf.DUMMYFUNCTION("""COMPUTED_VALUE"""),"哈拉對面")</f>
        <v>哈拉對面</v>
      </c>
      <c r="H1008" s="106" t="str">
        <f t="shared" si="1"/>
        <v>2024-11</v>
      </c>
      <c r="I1008" s="271" t="str">
        <f>IFERROR(__xludf.DUMMYFUNCTION("""COMPUTED_VALUE"""),"貓狗企鵝")</f>
        <v>貓狗企鵝</v>
      </c>
      <c r="J1008" t="str">
        <f>IFERROR(__xludf.DUMMYFUNCTION("IFS(
  AND(REGEXMATCH(E1008, ""台銀籌備帳戶|玉山帳戶""), REGEXMATCH(C1008, ""薪資"")), ""分潤支出"",
  AND(REGEXMATCH(E1008, ""Ben帳戶|Elsa帳戶|Ben代墊|Ariel代墊|中信銀行共用""), REGEXMATCH(F1008, ""Ben帳戶|Elsa帳戶|Ben代墊|Ariel代墊|中信銀行共用"")), ""內部轉帳(忽略)"",
  AND(E1008&lt;&gt;"""", F1008&lt;&gt;"""", N"&amp;"OT(REGEXMATCH(C1008, ""薪資""))), ""內部轉帳(忽略)"",
  REGEXMATCH(C1008, ""薪資""), ""薪資變動(不計入)"",
  REGEXMATCH(C1008, ""押金""), ""押金往來"",
  AND(E1008&lt;&gt;"""", F1008=""""), ""真實支出"",
  AND(E1008="""", F1008&lt;&gt;""""), ""真實收入"",
  TRUE, ""其他""
)"),"真實支出")</f>
        <v>真實支出</v>
      </c>
      <c r="K1008" s="270">
        <f t="shared" si="2"/>
        <v>-13015</v>
      </c>
      <c r="L1008">
        <f t="shared" si="3"/>
        <v>0</v>
      </c>
    </row>
    <row r="1009">
      <c r="A1009" s="107">
        <f>IFERROR(__xludf.DUMMYFUNCTION("""COMPUTED_VALUE"""),45597.0)</f>
        <v>45597</v>
      </c>
      <c r="B1009" t="str">
        <f>IFERROR(__xludf.DUMMYFUNCTION("""COMPUTED_VALUE"""),"龍江游sir")</f>
        <v>龍江游sir</v>
      </c>
      <c r="C1009" t="str">
        <f>IFERROR(__xludf.DUMMYFUNCTION("""COMPUTED_VALUE"""),"成本 - 大租金")</f>
        <v>成本 - 大租金</v>
      </c>
      <c r="D1009" s="270">
        <f>IFERROR(__xludf.DUMMYFUNCTION("""COMPUTED_VALUE"""),-13515.0)</f>
        <v>-13515</v>
      </c>
      <c r="E1009" t="str">
        <f>IFERROR(__xludf.DUMMYFUNCTION("""COMPUTED_VALUE"""),"台銀籌備帳戶")</f>
        <v>台銀籌備帳戶</v>
      </c>
      <c r="G1009" t="str">
        <f>IFERROR(__xludf.DUMMYFUNCTION("""COMPUTED_VALUE"""),"龍江229")</f>
        <v>龍江229</v>
      </c>
      <c r="H1009" s="106" t="str">
        <f t="shared" si="1"/>
        <v>2024-11</v>
      </c>
      <c r="I1009" s="271" t="str">
        <f>IFERROR(__xludf.DUMMYFUNCTION("""COMPUTED_VALUE"""),"貓狗企鵝")</f>
        <v>貓狗企鵝</v>
      </c>
      <c r="J1009" t="str">
        <f>IFERROR(__xludf.DUMMYFUNCTION("IFS(
  AND(REGEXMATCH(E1009, ""台銀籌備帳戶|玉山帳戶""), REGEXMATCH(C1009, ""薪資"")), ""分潤支出"",
  AND(REGEXMATCH(E1009, ""Ben帳戶|Elsa帳戶|Ben代墊|Ariel代墊|中信銀行共用""), REGEXMATCH(F1009, ""Ben帳戶|Elsa帳戶|Ben代墊|Ariel代墊|中信銀行共用"")), ""內部轉帳(忽略)"",
  AND(E1009&lt;&gt;"""", F1009&lt;&gt;"""", N"&amp;"OT(REGEXMATCH(C1009, ""薪資""))), ""內部轉帳(忽略)"",
  REGEXMATCH(C1009, ""薪資""), ""薪資變動(不計入)"",
  REGEXMATCH(C1009, ""押金""), ""押金往來"",
  AND(E1009&lt;&gt;"""", F1009=""""), ""真實支出"",
  AND(E1009="""", F1009&lt;&gt;""""), ""真實收入"",
  TRUE, ""其他""
)"),"真實支出")</f>
        <v>真實支出</v>
      </c>
      <c r="K1009" s="270">
        <f t="shared" si="2"/>
        <v>-13515</v>
      </c>
      <c r="L1009">
        <f t="shared" si="3"/>
        <v>0</v>
      </c>
    </row>
    <row r="1010">
      <c r="A1010" s="107">
        <f>IFERROR(__xludf.DUMMYFUNCTION("""COMPUTED_VALUE"""),45597.0)</f>
        <v>45597</v>
      </c>
      <c r="B1010" t="str">
        <f>IFERROR(__xludf.DUMMYFUNCTION("""COMPUTED_VALUE"""),"大湖陳彩霞")</f>
        <v>大湖陳彩霞</v>
      </c>
      <c r="C1010" t="str">
        <f>IFERROR(__xludf.DUMMYFUNCTION("""COMPUTED_VALUE"""),"成本 - 大租金")</f>
        <v>成本 - 大租金</v>
      </c>
      <c r="D1010" s="270">
        <f>IFERROR(__xludf.DUMMYFUNCTION("""COMPUTED_VALUE"""),-19415.0)</f>
        <v>-19415</v>
      </c>
      <c r="E1010" t="str">
        <f>IFERROR(__xludf.DUMMYFUNCTION("""COMPUTED_VALUE"""),"台銀籌備帳戶")</f>
        <v>台銀籌備帳戶</v>
      </c>
      <c r="G1010" t="str">
        <f>IFERROR(__xludf.DUMMYFUNCTION("""COMPUTED_VALUE"""),"大湖山莊")</f>
        <v>大湖山莊</v>
      </c>
      <c r="H1010" s="106" t="str">
        <f t="shared" si="1"/>
        <v>2024-11</v>
      </c>
      <c r="I1010" s="271" t="str">
        <f>IFERROR(__xludf.DUMMYFUNCTION("""COMPUTED_VALUE"""),"貓狗企鵝")</f>
        <v>貓狗企鵝</v>
      </c>
      <c r="J1010" t="str">
        <f>IFERROR(__xludf.DUMMYFUNCTION("IFS(
  AND(REGEXMATCH(E1010, ""台銀籌備帳戶|玉山帳戶""), REGEXMATCH(C1010, ""薪資"")), ""分潤支出"",
  AND(REGEXMATCH(E1010, ""Ben帳戶|Elsa帳戶|Ben代墊|Ariel代墊|中信銀行共用""), REGEXMATCH(F1010, ""Ben帳戶|Elsa帳戶|Ben代墊|Ariel代墊|中信銀行共用"")), ""內部轉帳(忽略)"",
  AND(E1010&lt;&gt;"""", F1010&lt;&gt;"""", N"&amp;"OT(REGEXMATCH(C1010, ""薪資""))), ""內部轉帳(忽略)"",
  REGEXMATCH(C1010, ""薪資""), ""薪資變動(不計入)"",
  REGEXMATCH(C1010, ""押金""), ""押金往來"",
  AND(E1010&lt;&gt;"""", F1010=""""), ""真實支出"",
  AND(E1010="""", F1010&lt;&gt;""""), ""真實收入"",
  TRUE, ""其他""
)"),"真實支出")</f>
        <v>真實支出</v>
      </c>
      <c r="K1010" s="270">
        <f t="shared" si="2"/>
        <v>-19415</v>
      </c>
      <c r="L1010">
        <f t="shared" si="3"/>
        <v>0</v>
      </c>
    </row>
    <row r="1011">
      <c r="A1011" s="107">
        <f>IFERROR(__xludf.DUMMYFUNCTION("""COMPUTED_VALUE"""),45597.0)</f>
        <v>45597</v>
      </c>
      <c r="B1011" t="str">
        <f>IFERROR(__xludf.DUMMYFUNCTION("""COMPUTED_VALUE"""),"金龍109屋主")</f>
        <v>金龍109屋主</v>
      </c>
      <c r="C1011" t="str">
        <f>IFERROR(__xludf.DUMMYFUNCTION("""COMPUTED_VALUE"""),"成本 - 大租金")</f>
        <v>成本 - 大租金</v>
      </c>
      <c r="D1011" s="270">
        <f>IFERROR(__xludf.DUMMYFUNCTION("""COMPUTED_VALUE"""),-17765.0)</f>
        <v>-17765</v>
      </c>
      <c r="E1011" t="str">
        <f>IFERROR(__xludf.DUMMYFUNCTION("""COMPUTED_VALUE"""),"台銀籌備帳戶")</f>
        <v>台銀籌備帳戶</v>
      </c>
      <c r="G1011" t="str">
        <f>IFERROR(__xludf.DUMMYFUNCTION("""COMPUTED_VALUE"""),"金龍帽子先生")</f>
        <v>金龍帽子先生</v>
      </c>
      <c r="H1011" s="106" t="str">
        <f t="shared" si="1"/>
        <v>2024-11</v>
      </c>
      <c r="I1011" s="271" t="str">
        <f>IFERROR(__xludf.DUMMYFUNCTION("""COMPUTED_VALUE"""),"貓狗企鵝")</f>
        <v>貓狗企鵝</v>
      </c>
      <c r="J1011" t="str">
        <f>IFERROR(__xludf.DUMMYFUNCTION("IFS(
  AND(REGEXMATCH(E1011, ""台銀籌備帳戶|玉山帳戶""), REGEXMATCH(C1011, ""薪資"")), ""分潤支出"",
  AND(REGEXMATCH(E1011, ""Ben帳戶|Elsa帳戶|Ben代墊|Ariel代墊|中信銀行共用""), REGEXMATCH(F1011, ""Ben帳戶|Elsa帳戶|Ben代墊|Ariel代墊|中信銀行共用"")), ""內部轉帳(忽略)"",
  AND(E1011&lt;&gt;"""", F1011&lt;&gt;"""", N"&amp;"OT(REGEXMATCH(C1011, ""薪資""))), ""內部轉帳(忽略)"",
  REGEXMATCH(C1011, ""薪資""), ""薪資變動(不計入)"",
  REGEXMATCH(C1011, ""押金""), ""押金往來"",
  AND(E1011&lt;&gt;"""", F1011=""""), ""真實支出"",
  AND(E1011="""", F1011&lt;&gt;""""), ""真實收入"",
  TRUE, ""其他""
)"),"真實支出")</f>
        <v>真實支出</v>
      </c>
      <c r="K1011" s="270">
        <f t="shared" si="2"/>
        <v>-17765</v>
      </c>
      <c r="L1011">
        <f t="shared" si="3"/>
        <v>0</v>
      </c>
    </row>
    <row r="1012">
      <c r="A1012" s="107">
        <f>IFERROR(__xludf.DUMMYFUNCTION("""COMPUTED_VALUE"""),45597.0)</f>
        <v>45597</v>
      </c>
      <c r="B1012" t="str">
        <f>IFERROR(__xludf.DUMMYFUNCTION("""COMPUTED_VALUE"""),"北醫醫師府C余典蓉")</f>
        <v>北醫醫師府C余典蓉</v>
      </c>
      <c r="C1012" t="str">
        <f>IFERROR(__xludf.DUMMYFUNCTION("""COMPUTED_VALUE"""),"收入 - 租金")</f>
        <v>收入 - 租金</v>
      </c>
      <c r="D1012" s="270">
        <f>IFERROR(__xludf.DUMMYFUNCTION("""COMPUTED_VALUE"""),13000.0)</f>
        <v>13000</v>
      </c>
      <c r="F1012" t="str">
        <f>IFERROR(__xludf.DUMMYFUNCTION("""COMPUTED_VALUE"""),"台銀籌備帳戶")</f>
        <v>台銀籌備帳戶</v>
      </c>
      <c r="G1012" t="str">
        <f>IFERROR(__xludf.DUMMYFUNCTION("""COMPUTED_VALUE"""),"北醫醫師府")</f>
        <v>北醫醫師府</v>
      </c>
      <c r="H1012" s="106" t="str">
        <f t="shared" si="1"/>
        <v>2024-11</v>
      </c>
      <c r="I1012" s="271" t="str">
        <f>IFERROR(__xludf.DUMMYFUNCTION("""COMPUTED_VALUE"""),"貓狗企鵝")</f>
        <v>貓狗企鵝</v>
      </c>
      <c r="J1012" t="str">
        <f>IFERROR(__xludf.DUMMYFUNCTION("IFS(
  AND(REGEXMATCH(E1012, ""台銀籌備帳戶|玉山帳戶""), REGEXMATCH(C1012, ""薪資"")), ""分潤支出"",
  AND(REGEXMATCH(E1012, ""Ben帳戶|Elsa帳戶|Ben代墊|Ariel代墊|中信銀行共用""), REGEXMATCH(F1012, ""Ben帳戶|Elsa帳戶|Ben代墊|Ariel代墊|中信銀行共用"")), ""內部轉帳(忽略)"",
  AND(E1012&lt;&gt;"""", F1012&lt;&gt;"""", N"&amp;"OT(REGEXMATCH(C1012, ""薪資""))), ""內部轉帳(忽略)"",
  REGEXMATCH(C1012, ""薪資""), ""薪資變動(不計入)"",
  REGEXMATCH(C1012, ""押金""), ""押金往來"",
  AND(E1012&lt;&gt;"""", F1012=""""), ""真實支出"",
  AND(E1012="""", F1012&lt;&gt;""""), ""真實收入"",
  TRUE, ""其他""
)"),"真實收入")</f>
        <v>真實收入</v>
      </c>
      <c r="K1012" s="270">
        <f t="shared" si="2"/>
        <v>13000</v>
      </c>
      <c r="L1012">
        <f t="shared" si="3"/>
        <v>0</v>
      </c>
    </row>
    <row r="1013">
      <c r="A1013" s="107">
        <f>IFERROR(__xludf.DUMMYFUNCTION("""COMPUTED_VALUE"""),45597.0)</f>
        <v>45597</v>
      </c>
      <c r="B1013" t="str">
        <f>IFERROR(__xludf.DUMMYFUNCTION("""COMPUTED_VALUE"""),"金龍帽子先生A范裕哲")</f>
        <v>金龍帽子先生A范裕哲</v>
      </c>
      <c r="C1013" t="str">
        <f>IFERROR(__xludf.DUMMYFUNCTION("""COMPUTED_VALUE"""),"收入 - 租金")</f>
        <v>收入 - 租金</v>
      </c>
      <c r="D1013" s="270">
        <f>IFERROR(__xludf.DUMMYFUNCTION("""COMPUTED_VALUE"""),18800.0)</f>
        <v>18800</v>
      </c>
      <c r="F1013" t="str">
        <f>IFERROR(__xludf.DUMMYFUNCTION("""COMPUTED_VALUE"""),"台銀籌備帳戶")</f>
        <v>台銀籌備帳戶</v>
      </c>
      <c r="G1013" t="str">
        <f>IFERROR(__xludf.DUMMYFUNCTION("""COMPUTED_VALUE"""),"金龍帽子先生")</f>
        <v>金龍帽子先生</v>
      </c>
      <c r="H1013" s="106" t="str">
        <f t="shared" si="1"/>
        <v>2024-11</v>
      </c>
      <c r="I1013" s="271" t="str">
        <f>IFERROR(__xludf.DUMMYFUNCTION("""COMPUTED_VALUE"""),"貓狗企鵝")</f>
        <v>貓狗企鵝</v>
      </c>
      <c r="J1013" t="str">
        <f>IFERROR(__xludf.DUMMYFUNCTION("IFS(
  AND(REGEXMATCH(E1013, ""台銀籌備帳戶|玉山帳戶""), REGEXMATCH(C1013, ""薪資"")), ""分潤支出"",
  AND(REGEXMATCH(E1013, ""Ben帳戶|Elsa帳戶|Ben代墊|Ariel代墊|中信銀行共用""), REGEXMATCH(F1013, ""Ben帳戶|Elsa帳戶|Ben代墊|Ariel代墊|中信銀行共用"")), ""內部轉帳(忽略)"",
  AND(E1013&lt;&gt;"""", F1013&lt;&gt;"""", N"&amp;"OT(REGEXMATCH(C1013, ""薪資""))), ""內部轉帳(忽略)"",
  REGEXMATCH(C1013, ""薪資""), ""薪資變動(不計入)"",
  REGEXMATCH(C1013, ""押金""), ""押金往來"",
  AND(E1013&lt;&gt;"""", F1013=""""), ""真實支出"",
  AND(E1013="""", F1013&lt;&gt;""""), ""真實收入"",
  TRUE, ""其他""
)"),"真實收入")</f>
        <v>真實收入</v>
      </c>
      <c r="K1013" s="270">
        <f t="shared" si="2"/>
        <v>18800</v>
      </c>
      <c r="L1013">
        <f t="shared" si="3"/>
        <v>0</v>
      </c>
    </row>
    <row r="1014">
      <c r="A1014" s="107">
        <f>IFERROR(__xludf.DUMMYFUNCTION("""COMPUTED_VALUE"""),45597.0)</f>
        <v>45597</v>
      </c>
      <c r="B1014" t="str">
        <f>IFERROR(__xludf.DUMMYFUNCTION("""COMPUTED_VALUE"""),"大湖山莊G林文心")</f>
        <v>大湖山莊G林文心</v>
      </c>
      <c r="C1014" t="str">
        <f>IFERROR(__xludf.DUMMYFUNCTION("""COMPUTED_VALUE"""),"收入 - 租金")</f>
        <v>收入 - 租金</v>
      </c>
      <c r="D1014" s="270">
        <f>IFERROR(__xludf.DUMMYFUNCTION("""COMPUTED_VALUE"""),15000.0)</f>
        <v>15000</v>
      </c>
      <c r="F1014" t="str">
        <f>IFERROR(__xludf.DUMMYFUNCTION("""COMPUTED_VALUE"""),"台銀籌備帳戶")</f>
        <v>台銀籌備帳戶</v>
      </c>
      <c r="G1014" t="str">
        <f>IFERROR(__xludf.DUMMYFUNCTION("""COMPUTED_VALUE"""),"大湖山莊")</f>
        <v>大湖山莊</v>
      </c>
      <c r="H1014" s="106" t="str">
        <f t="shared" si="1"/>
        <v>2024-11</v>
      </c>
      <c r="I1014" s="271" t="str">
        <f>IFERROR(__xludf.DUMMYFUNCTION("""COMPUTED_VALUE"""),"貓狗企鵝")</f>
        <v>貓狗企鵝</v>
      </c>
      <c r="J1014" t="str">
        <f>IFERROR(__xludf.DUMMYFUNCTION("IFS(
  AND(REGEXMATCH(E1014, ""台銀籌備帳戶|玉山帳戶""), REGEXMATCH(C1014, ""薪資"")), ""分潤支出"",
  AND(REGEXMATCH(E1014, ""Ben帳戶|Elsa帳戶|Ben代墊|Ariel代墊|中信銀行共用""), REGEXMATCH(F1014, ""Ben帳戶|Elsa帳戶|Ben代墊|Ariel代墊|中信銀行共用"")), ""內部轉帳(忽略)"",
  AND(E1014&lt;&gt;"""", F1014&lt;&gt;"""", N"&amp;"OT(REGEXMATCH(C1014, ""薪資""))), ""內部轉帳(忽略)"",
  REGEXMATCH(C1014, ""薪資""), ""薪資變動(不計入)"",
  REGEXMATCH(C1014, ""押金""), ""押金往來"",
  AND(E1014&lt;&gt;"""", F1014=""""), ""真實支出"",
  AND(E1014="""", F1014&lt;&gt;""""), ""真實收入"",
  TRUE, ""其他""
)"),"真實收入")</f>
        <v>真實收入</v>
      </c>
      <c r="K1014" s="270">
        <f t="shared" si="2"/>
        <v>15000</v>
      </c>
      <c r="L1014">
        <f t="shared" si="3"/>
        <v>0</v>
      </c>
    </row>
    <row r="1015">
      <c r="A1015" s="107">
        <f>IFERROR(__xludf.DUMMYFUNCTION("""COMPUTED_VALUE"""),45597.0)</f>
        <v>45597</v>
      </c>
      <c r="B1015" t="str">
        <f>IFERROR(__xludf.DUMMYFUNCTION("""COMPUTED_VALUE"""),"景安2分鐘B張語婕")</f>
        <v>景安2分鐘B張語婕</v>
      </c>
      <c r="C1015" t="str">
        <f>IFERROR(__xludf.DUMMYFUNCTION("""COMPUTED_VALUE"""),"收入 - 租金")</f>
        <v>收入 - 租金</v>
      </c>
      <c r="D1015" s="270">
        <f>IFERROR(__xludf.DUMMYFUNCTION("""COMPUTED_VALUE"""),18800.0)</f>
        <v>18800</v>
      </c>
      <c r="F1015" t="str">
        <f>IFERROR(__xludf.DUMMYFUNCTION("""COMPUTED_VALUE"""),"台銀籌備帳戶")</f>
        <v>台銀籌備帳戶</v>
      </c>
      <c r="G1015" t="str">
        <f>IFERROR(__xludf.DUMMYFUNCTION("""COMPUTED_VALUE"""),"景安2分鐘")</f>
        <v>景安2分鐘</v>
      </c>
      <c r="H1015" s="106" t="str">
        <f t="shared" si="1"/>
        <v>2024-11</v>
      </c>
      <c r="I1015" s="271" t="str">
        <f>IFERROR(__xludf.DUMMYFUNCTION("""COMPUTED_VALUE"""),"貓狗企鵝")</f>
        <v>貓狗企鵝</v>
      </c>
      <c r="J1015" t="str">
        <f>IFERROR(__xludf.DUMMYFUNCTION("IFS(
  AND(REGEXMATCH(E1015, ""台銀籌備帳戶|玉山帳戶""), REGEXMATCH(C1015, ""薪資"")), ""分潤支出"",
  AND(REGEXMATCH(E1015, ""Ben帳戶|Elsa帳戶|Ben代墊|Ariel代墊|中信銀行共用""), REGEXMATCH(F1015, ""Ben帳戶|Elsa帳戶|Ben代墊|Ariel代墊|中信銀行共用"")), ""內部轉帳(忽略)"",
  AND(E1015&lt;&gt;"""", F1015&lt;&gt;"""", N"&amp;"OT(REGEXMATCH(C1015, ""薪資""))), ""內部轉帳(忽略)"",
  REGEXMATCH(C1015, ""薪資""), ""薪資變動(不計入)"",
  REGEXMATCH(C1015, ""押金""), ""押金往來"",
  AND(E1015&lt;&gt;"""", F1015=""""), ""真實支出"",
  AND(E1015="""", F1015&lt;&gt;""""), ""真實收入"",
  TRUE, ""其他""
)"),"真實收入")</f>
        <v>真實收入</v>
      </c>
      <c r="K1015" s="270">
        <f t="shared" si="2"/>
        <v>18800</v>
      </c>
      <c r="L1015">
        <f t="shared" si="3"/>
        <v>0</v>
      </c>
    </row>
    <row r="1016">
      <c r="A1016" s="107">
        <f>IFERROR(__xludf.DUMMYFUNCTION("""COMPUTED_VALUE"""),45597.0)</f>
        <v>45597</v>
      </c>
      <c r="B1016" t="str">
        <f>IFERROR(__xludf.DUMMYFUNCTION("""COMPUTED_VALUE"""),"大湖山莊D陳昭瑄")</f>
        <v>大湖山莊D陳昭瑄</v>
      </c>
      <c r="C1016" t="str">
        <f>IFERROR(__xludf.DUMMYFUNCTION("""COMPUTED_VALUE"""),"收入 - 租金")</f>
        <v>收入 - 租金</v>
      </c>
      <c r="D1016" s="270">
        <f>IFERROR(__xludf.DUMMYFUNCTION("""COMPUTED_VALUE"""),14300.0)</f>
        <v>14300</v>
      </c>
      <c r="F1016" t="str">
        <f>IFERROR(__xludf.DUMMYFUNCTION("""COMPUTED_VALUE"""),"台銀籌備帳戶")</f>
        <v>台銀籌備帳戶</v>
      </c>
      <c r="G1016" t="str">
        <f>IFERROR(__xludf.DUMMYFUNCTION("""COMPUTED_VALUE"""),"大湖山莊")</f>
        <v>大湖山莊</v>
      </c>
      <c r="H1016" s="106" t="str">
        <f t="shared" si="1"/>
        <v>2024-11</v>
      </c>
      <c r="I1016" s="271" t="str">
        <f>IFERROR(__xludf.DUMMYFUNCTION("""COMPUTED_VALUE"""),"貓狗企鵝")</f>
        <v>貓狗企鵝</v>
      </c>
      <c r="J1016" t="str">
        <f>IFERROR(__xludf.DUMMYFUNCTION("IFS(
  AND(REGEXMATCH(E1016, ""台銀籌備帳戶|玉山帳戶""), REGEXMATCH(C1016, ""薪資"")), ""分潤支出"",
  AND(REGEXMATCH(E1016, ""Ben帳戶|Elsa帳戶|Ben代墊|Ariel代墊|中信銀行共用""), REGEXMATCH(F1016, ""Ben帳戶|Elsa帳戶|Ben代墊|Ariel代墊|中信銀行共用"")), ""內部轉帳(忽略)"",
  AND(E1016&lt;&gt;"""", F1016&lt;&gt;"""", N"&amp;"OT(REGEXMATCH(C1016, ""薪資""))), ""內部轉帳(忽略)"",
  REGEXMATCH(C1016, ""薪資""), ""薪資變動(不計入)"",
  REGEXMATCH(C1016, ""押金""), ""押金往來"",
  AND(E1016&lt;&gt;"""", F1016=""""), ""真實支出"",
  AND(E1016="""", F1016&lt;&gt;""""), ""真實收入"",
  TRUE, ""其他""
)"),"真實收入")</f>
        <v>真實收入</v>
      </c>
      <c r="K1016" s="270">
        <f t="shared" si="2"/>
        <v>14300</v>
      </c>
      <c r="L1016">
        <f t="shared" si="3"/>
        <v>0</v>
      </c>
    </row>
    <row r="1017">
      <c r="A1017" s="107">
        <f>IFERROR(__xludf.DUMMYFUNCTION("""COMPUTED_VALUE"""),45597.0)</f>
        <v>45597</v>
      </c>
      <c r="B1017" t="str">
        <f>IFERROR(__xludf.DUMMYFUNCTION("""COMPUTED_VALUE"""),"景安D定金")</f>
        <v>景安D定金</v>
      </c>
      <c r="C1017" t="str">
        <f>IFERROR(__xludf.DUMMYFUNCTION("""COMPUTED_VALUE"""),"收入 - 租金")</f>
        <v>收入 - 租金</v>
      </c>
      <c r="D1017" s="270">
        <f>IFERROR(__xludf.DUMMYFUNCTION("""COMPUTED_VALUE"""),5633.0)</f>
        <v>5633</v>
      </c>
      <c r="F1017" t="str">
        <f>IFERROR(__xludf.DUMMYFUNCTION("""COMPUTED_VALUE"""),"台銀籌備帳戶")</f>
        <v>台銀籌備帳戶</v>
      </c>
      <c r="G1017" t="str">
        <f>IFERROR(__xludf.DUMMYFUNCTION("""COMPUTED_VALUE"""),"景安2分鐘")</f>
        <v>景安2分鐘</v>
      </c>
      <c r="H1017" s="106" t="str">
        <f t="shared" si="1"/>
        <v>2024-11</v>
      </c>
      <c r="I1017" s="271" t="str">
        <f>IFERROR(__xludf.DUMMYFUNCTION("""COMPUTED_VALUE"""),"貓狗企鵝")</f>
        <v>貓狗企鵝</v>
      </c>
      <c r="J1017" t="str">
        <f>IFERROR(__xludf.DUMMYFUNCTION("IFS(
  AND(REGEXMATCH(E1017, ""台銀籌備帳戶|玉山帳戶""), REGEXMATCH(C1017, ""薪資"")), ""分潤支出"",
  AND(REGEXMATCH(E1017, ""Ben帳戶|Elsa帳戶|Ben代墊|Ariel代墊|中信銀行共用""), REGEXMATCH(F1017, ""Ben帳戶|Elsa帳戶|Ben代墊|Ariel代墊|中信銀行共用"")), ""內部轉帳(忽略)"",
  AND(E1017&lt;&gt;"""", F1017&lt;&gt;"""", N"&amp;"OT(REGEXMATCH(C1017, ""薪資""))), ""內部轉帳(忽略)"",
  REGEXMATCH(C1017, ""薪資""), ""薪資變動(不計入)"",
  REGEXMATCH(C1017, ""押金""), ""押金往來"",
  AND(E1017&lt;&gt;"""", F1017=""""), ""真實支出"",
  AND(E1017="""", F1017&lt;&gt;""""), ""真實收入"",
  TRUE, ""其他""
)"),"真實收入")</f>
        <v>真實收入</v>
      </c>
      <c r="K1017" s="270">
        <f t="shared" si="2"/>
        <v>5633</v>
      </c>
      <c r="L1017">
        <f t="shared" si="3"/>
        <v>0</v>
      </c>
    </row>
    <row r="1018">
      <c r="A1018" s="107">
        <f>IFERROR(__xludf.DUMMYFUNCTION("""COMPUTED_VALUE"""),45597.0)</f>
        <v>45597</v>
      </c>
      <c r="B1018" t="str">
        <f>IFERROR(__xludf.DUMMYFUNCTION("""COMPUTED_VALUE"""),"景安E定金")</f>
        <v>景安E定金</v>
      </c>
      <c r="C1018" t="str">
        <f>IFERROR(__xludf.DUMMYFUNCTION("""COMPUTED_VALUE"""),"收入 - 租金")</f>
        <v>收入 - 租金</v>
      </c>
      <c r="D1018" s="270">
        <f>IFERROR(__xludf.DUMMYFUNCTION("""COMPUTED_VALUE"""),10133.0)</f>
        <v>10133</v>
      </c>
      <c r="F1018" t="str">
        <f>IFERROR(__xludf.DUMMYFUNCTION("""COMPUTED_VALUE"""),"台銀籌備帳戶")</f>
        <v>台銀籌備帳戶</v>
      </c>
      <c r="G1018" t="str">
        <f>IFERROR(__xludf.DUMMYFUNCTION("""COMPUTED_VALUE"""),"景安2分鐘")</f>
        <v>景安2分鐘</v>
      </c>
      <c r="H1018" s="106" t="str">
        <f t="shared" si="1"/>
        <v>2024-11</v>
      </c>
      <c r="I1018" s="271" t="str">
        <f>IFERROR(__xludf.DUMMYFUNCTION("""COMPUTED_VALUE"""),"貓狗企鵝")</f>
        <v>貓狗企鵝</v>
      </c>
      <c r="J1018" t="str">
        <f>IFERROR(__xludf.DUMMYFUNCTION("IFS(
  AND(REGEXMATCH(E1018, ""台銀籌備帳戶|玉山帳戶""), REGEXMATCH(C1018, ""薪資"")), ""分潤支出"",
  AND(REGEXMATCH(E1018, ""Ben帳戶|Elsa帳戶|Ben代墊|Ariel代墊|中信銀行共用""), REGEXMATCH(F1018, ""Ben帳戶|Elsa帳戶|Ben代墊|Ariel代墊|中信銀行共用"")), ""內部轉帳(忽略)"",
  AND(E1018&lt;&gt;"""", F1018&lt;&gt;"""", N"&amp;"OT(REGEXMATCH(C1018, ""薪資""))), ""內部轉帳(忽略)"",
  REGEXMATCH(C1018, ""薪資""), ""薪資變動(不計入)"",
  REGEXMATCH(C1018, ""押金""), ""押金往來"",
  AND(E1018&lt;&gt;"""", F1018=""""), ""真實支出"",
  AND(E1018="""", F1018&lt;&gt;""""), ""真實收入"",
  TRUE, ""其他""
)"),"真實收入")</f>
        <v>真實收入</v>
      </c>
      <c r="K1018" s="270">
        <f t="shared" si="2"/>
        <v>10133</v>
      </c>
      <c r="L1018">
        <f t="shared" si="3"/>
        <v>0</v>
      </c>
    </row>
    <row r="1019">
      <c r="A1019" s="107">
        <f>IFERROR(__xludf.DUMMYFUNCTION("""COMPUTED_VALUE"""),45597.0)</f>
        <v>45597</v>
      </c>
      <c r="B1019" t="str">
        <f>IFERROR(__xludf.DUMMYFUNCTION("""COMPUTED_VALUE"""),"哈拉對面B黃彥瑞")</f>
        <v>哈拉對面B黃彥瑞</v>
      </c>
      <c r="C1019" t="str">
        <f>IFERROR(__xludf.DUMMYFUNCTION("""COMPUTED_VALUE"""),"收入 - 租金")</f>
        <v>收入 - 租金</v>
      </c>
      <c r="D1019" s="270">
        <f>IFERROR(__xludf.DUMMYFUNCTION("""COMPUTED_VALUE"""),15800.0)</f>
        <v>15800</v>
      </c>
      <c r="F1019" t="str">
        <f>IFERROR(__xludf.DUMMYFUNCTION("""COMPUTED_VALUE"""),"台銀籌備帳戶")</f>
        <v>台銀籌備帳戶</v>
      </c>
      <c r="G1019" t="str">
        <f>IFERROR(__xludf.DUMMYFUNCTION("""COMPUTED_VALUE"""),"哈拉對面")</f>
        <v>哈拉對面</v>
      </c>
      <c r="H1019" s="106" t="str">
        <f t="shared" si="1"/>
        <v>2024-11</v>
      </c>
      <c r="I1019" s="271" t="str">
        <f>IFERROR(__xludf.DUMMYFUNCTION("""COMPUTED_VALUE"""),"貓狗企鵝")</f>
        <v>貓狗企鵝</v>
      </c>
      <c r="J1019" t="str">
        <f>IFERROR(__xludf.DUMMYFUNCTION("IFS(
  AND(REGEXMATCH(E1019, ""台銀籌備帳戶|玉山帳戶""), REGEXMATCH(C1019, ""薪資"")), ""分潤支出"",
  AND(REGEXMATCH(E1019, ""Ben帳戶|Elsa帳戶|Ben代墊|Ariel代墊|中信銀行共用""), REGEXMATCH(F1019, ""Ben帳戶|Elsa帳戶|Ben代墊|Ariel代墊|中信銀行共用"")), ""內部轉帳(忽略)"",
  AND(E1019&lt;&gt;"""", F1019&lt;&gt;"""", N"&amp;"OT(REGEXMATCH(C1019, ""薪資""))), ""內部轉帳(忽略)"",
  REGEXMATCH(C1019, ""薪資""), ""薪資變動(不計入)"",
  REGEXMATCH(C1019, ""押金""), ""押金往來"",
  AND(E1019&lt;&gt;"""", F1019=""""), ""真實支出"",
  AND(E1019="""", F1019&lt;&gt;""""), ""真實收入"",
  TRUE, ""其他""
)"),"真實收入")</f>
        <v>真實收入</v>
      </c>
      <c r="K1019" s="270">
        <f t="shared" si="2"/>
        <v>15800</v>
      </c>
      <c r="L1019">
        <f t="shared" si="3"/>
        <v>0</v>
      </c>
    </row>
    <row r="1020">
      <c r="A1020" s="107">
        <f>IFERROR(__xludf.DUMMYFUNCTION("""COMPUTED_VALUE"""),45597.0)</f>
        <v>45597</v>
      </c>
      <c r="B1020" t="str">
        <f>IFERROR(__xludf.DUMMYFUNCTION("""COMPUTED_VALUE"""),"龍江229D黃依婷")</f>
        <v>龍江229D黃依婷</v>
      </c>
      <c r="C1020" t="str">
        <f>IFERROR(__xludf.DUMMYFUNCTION("""COMPUTED_VALUE"""),"收入 - 租金")</f>
        <v>收入 - 租金</v>
      </c>
      <c r="D1020" s="270">
        <f>IFERROR(__xludf.DUMMYFUNCTION("""COMPUTED_VALUE"""),13300.0)</f>
        <v>13300</v>
      </c>
      <c r="F1020" t="str">
        <f>IFERROR(__xludf.DUMMYFUNCTION("""COMPUTED_VALUE"""),"台銀籌備帳戶")</f>
        <v>台銀籌備帳戶</v>
      </c>
      <c r="G1020" t="str">
        <f>IFERROR(__xludf.DUMMYFUNCTION("""COMPUTED_VALUE"""),"龍江229")</f>
        <v>龍江229</v>
      </c>
      <c r="H1020" s="106" t="str">
        <f t="shared" si="1"/>
        <v>2024-11</v>
      </c>
      <c r="I1020" s="271" t="str">
        <f>IFERROR(__xludf.DUMMYFUNCTION("""COMPUTED_VALUE"""),"貓狗企鵝")</f>
        <v>貓狗企鵝</v>
      </c>
      <c r="J1020" t="str">
        <f>IFERROR(__xludf.DUMMYFUNCTION("IFS(
  AND(REGEXMATCH(E1020, ""台銀籌備帳戶|玉山帳戶""), REGEXMATCH(C1020, ""薪資"")), ""分潤支出"",
  AND(REGEXMATCH(E1020, ""Ben帳戶|Elsa帳戶|Ben代墊|Ariel代墊|中信銀行共用""), REGEXMATCH(F1020, ""Ben帳戶|Elsa帳戶|Ben代墊|Ariel代墊|中信銀行共用"")), ""內部轉帳(忽略)"",
  AND(E1020&lt;&gt;"""", F1020&lt;&gt;"""", N"&amp;"OT(REGEXMATCH(C1020, ""薪資""))), ""內部轉帳(忽略)"",
  REGEXMATCH(C1020, ""薪資""), ""薪資變動(不計入)"",
  REGEXMATCH(C1020, ""押金""), ""押金往來"",
  AND(E1020&lt;&gt;"""", F1020=""""), ""真實支出"",
  AND(E1020="""", F1020&lt;&gt;""""), ""真實收入"",
  TRUE, ""其他""
)"),"真實收入")</f>
        <v>真實收入</v>
      </c>
      <c r="K1020" s="270">
        <f t="shared" si="2"/>
        <v>13300</v>
      </c>
      <c r="L1020">
        <f t="shared" si="3"/>
        <v>0</v>
      </c>
    </row>
    <row r="1021">
      <c r="A1021" s="107">
        <f>IFERROR(__xludf.DUMMYFUNCTION("""COMPUTED_VALUE"""),45597.0)</f>
        <v>45597</v>
      </c>
      <c r="B1021" t="str">
        <f>IFERROR(__xludf.DUMMYFUNCTION("""COMPUTED_VALUE"""),"北醫醫師府D劉怡秀")</f>
        <v>北醫醫師府D劉怡秀</v>
      </c>
      <c r="C1021" t="str">
        <f>IFERROR(__xludf.DUMMYFUNCTION("""COMPUTED_VALUE"""),"收入 - 租金")</f>
        <v>收入 - 租金</v>
      </c>
      <c r="D1021" s="270">
        <f>IFERROR(__xludf.DUMMYFUNCTION("""COMPUTED_VALUE"""),12000.0)</f>
        <v>12000</v>
      </c>
      <c r="F1021" t="str">
        <f>IFERROR(__xludf.DUMMYFUNCTION("""COMPUTED_VALUE"""),"台銀籌備帳戶")</f>
        <v>台銀籌備帳戶</v>
      </c>
      <c r="G1021" t="str">
        <f>IFERROR(__xludf.DUMMYFUNCTION("""COMPUTED_VALUE"""),"北醫醫師府")</f>
        <v>北醫醫師府</v>
      </c>
      <c r="H1021" s="106" t="str">
        <f t="shared" si="1"/>
        <v>2024-11</v>
      </c>
      <c r="I1021" s="271" t="str">
        <f>IFERROR(__xludf.DUMMYFUNCTION("""COMPUTED_VALUE"""),"貓狗企鵝")</f>
        <v>貓狗企鵝</v>
      </c>
      <c r="J1021" t="str">
        <f>IFERROR(__xludf.DUMMYFUNCTION("IFS(
  AND(REGEXMATCH(E1021, ""台銀籌備帳戶|玉山帳戶""), REGEXMATCH(C1021, ""薪資"")), ""分潤支出"",
  AND(REGEXMATCH(E1021, ""Ben帳戶|Elsa帳戶|Ben代墊|Ariel代墊|中信銀行共用""), REGEXMATCH(F1021, ""Ben帳戶|Elsa帳戶|Ben代墊|Ariel代墊|中信銀行共用"")), ""內部轉帳(忽略)"",
  AND(E1021&lt;&gt;"""", F1021&lt;&gt;"""", N"&amp;"OT(REGEXMATCH(C1021, ""薪資""))), ""內部轉帳(忽略)"",
  REGEXMATCH(C1021, ""薪資""), ""薪資變動(不計入)"",
  REGEXMATCH(C1021, ""押金""), ""押金往來"",
  AND(E1021&lt;&gt;"""", F1021=""""), ""真實支出"",
  AND(E1021="""", F1021&lt;&gt;""""), ""真實收入"",
  TRUE, ""其他""
)"),"真實收入")</f>
        <v>真實收入</v>
      </c>
      <c r="K1021" s="270">
        <f t="shared" si="2"/>
        <v>12000</v>
      </c>
      <c r="L1021">
        <f t="shared" si="3"/>
        <v>0</v>
      </c>
    </row>
    <row r="1022">
      <c r="A1022" s="107">
        <f>IFERROR(__xludf.DUMMYFUNCTION("""COMPUTED_VALUE"""),45598.0)</f>
        <v>45598</v>
      </c>
      <c r="B1022" t="str">
        <f>IFERROR(__xludf.DUMMYFUNCTION("""COMPUTED_VALUE"""),"停車費")</f>
        <v>停車費</v>
      </c>
      <c r="C1022" t="str">
        <f>IFERROR(__xludf.DUMMYFUNCTION("""COMPUTED_VALUE"""),"費用 - 交通費")</f>
        <v>費用 - 交通費</v>
      </c>
      <c r="D1022" s="270">
        <f>IFERROR(__xludf.DUMMYFUNCTION("""COMPUTED_VALUE"""),-45.0)</f>
        <v>-45</v>
      </c>
      <c r="E1022" t="str">
        <f>IFERROR(__xludf.DUMMYFUNCTION("""COMPUTED_VALUE"""),"Elsa帳戶")</f>
        <v>Elsa帳戶</v>
      </c>
      <c r="G1022" t="str">
        <f>IFERROR(__xludf.DUMMYFUNCTION("""COMPUTED_VALUE"""),"北醫醫師府")</f>
        <v>北醫醫師府</v>
      </c>
      <c r="H1022" s="106" t="str">
        <f t="shared" si="1"/>
        <v>2024-11</v>
      </c>
      <c r="I1022" s="271" t="str">
        <f>IFERROR(__xludf.DUMMYFUNCTION("""COMPUTED_VALUE"""),"貓狗企鵝")</f>
        <v>貓狗企鵝</v>
      </c>
      <c r="J1022" t="str">
        <f>IFERROR(__xludf.DUMMYFUNCTION("IFS(
  AND(REGEXMATCH(E1022, ""台銀籌備帳戶|玉山帳戶""), REGEXMATCH(C1022, ""薪資"")), ""分潤支出"",
  AND(REGEXMATCH(E1022, ""Ben帳戶|Elsa帳戶|Ben代墊|Ariel代墊|中信銀行共用""), REGEXMATCH(F1022, ""Ben帳戶|Elsa帳戶|Ben代墊|Ariel代墊|中信銀行共用"")), ""內部轉帳(忽略)"",
  AND(E1022&lt;&gt;"""", F1022&lt;&gt;"""", N"&amp;"OT(REGEXMATCH(C1022, ""薪資""))), ""內部轉帳(忽略)"",
  REGEXMATCH(C1022, ""薪資""), ""薪資變動(不計入)"",
  REGEXMATCH(C1022, ""押金""), ""押金往來"",
  AND(E1022&lt;&gt;"""", F1022=""""), ""真實支出"",
  AND(E1022="""", F1022&lt;&gt;""""), ""真實收入"",
  TRUE, ""其他""
)"),"真實支出")</f>
        <v>真實支出</v>
      </c>
      <c r="K1022" s="270">
        <f t="shared" si="2"/>
        <v>-45</v>
      </c>
      <c r="L1022">
        <f t="shared" si="3"/>
        <v>0</v>
      </c>
    </row>
    <row r="1023">
      <c r="A1023" s="107">
        <f>IFERROR(__xludf.DUMMYFUNCTION("""COMPUTED_VALUE"""),45598.0)</f>
        <v>45598</v>
      </c>
      <c r="B1023" t="str">
        <f>IFERROR(__xludf.DUMMYFUNCTION("""COMPUTED_VALUE"""),"北醫醫師府B王品涵")</f>
        <v>北醫醫師府B王品涵</v>
      </c>
      <c r="C1023" t="str">
        <f>IFERROR(__xludf.DUMMYFUNCTION("""COMPUTED_VALUE"""),"收入 - 租金")</f>
        <v>收入 - 租金</v>
      </c>
      <c r="D1023" s="270">
        <f>IFERROR(__xludf.DUMMYFUNCTION("""COMPUTED_VALUE"""),19550.0)</f>
        <v>19550</v>
      </c>
      <c r="F1023" t="str">
        <f>IFERROR(__xludf.DUMMYFUNCTION("""COMPUTED_VALUE"""),"台銀籌備帳戶")</f>
        <v>台銀籌備帳戶</v>
      </c>
      <c r="G1023" t="str">
        <f>IFERROR(__xludf.DUMMYFUNCTION("""COMPUTED_VALUE"""),"北醫醫師府")</f>
        <v>北醫醫師府</v>
      </c>
      <c r="H1023" s="106" t="str">
        <f t="shared" si="1"/>
        <v>2024-11</v>
      </c>
      <c r="I1023" s="271" t="str">
        <f>IFERROR(__xludf.DUMMYFUNCTION("""COMPUTED_VALUE"""),"貓狗企鵝")</f>
        <v>貓狗企鵝</v>
      </c>
      <c r="J1023" t="str">
        <f>IFERROR(__xludf.DUMMYFUNCTION("IFS(
  AND(REGEXMATCH(E1023, ""台銀籌備帳戶|玉山帳戶""), REGEXMATCH(C1023, ""薪資"")), ""分潤支出"",
  AND(REGEXMATCH(E1023, ""Ben帳戶|Elsa帳戶|Ben代墊|Ariel代墊|中信銀行共用""), REGEXMATCH(F1023, ""Ben帳戶|Elsa帳戶|Ben代墊|Ariel代墊|中信銀行共用"")), ""內部轉帳(忽略)"",
  AND(E1023&lt;&gt;"""", F1023&lt;&gt;"""", N"&amp;"OT(REGEXMATCH(C1023, ""薪資""))), ""內部轉帳(忽略)"",
  REGEXMATCH(C1023, ""薪資""), ""薪資變動(不計入)"",
  REGEXMATCH(C1023, ""押金""), ""押金往來"",
  AND(E1023&lt;&gt;"""", F1023=""""), ""真實支出"",
  AND(E1023="""", F1023&lt;&gt;""""), ""真實收入"",
  TRUE, ""其他""
)"),"真實收入")</f>
        <v>真實收入</v>
      </c>
      <c r="K1023" s="270">
        <f t="shared" si="2"/>
        <v>19550</v>
      </c>
      <c r="L1023">
        <f t="shared" si="3"/>
        <v>0</v>
      </c>
    </row>
    <row r="1024">
      <c r="A1024" s="107">
        <f>IFERROR(__xludf.DUMMYFUNCTION("""COMPUTED_VALUE"""),45598.0)</f>
        <v>45598</v>
      </c>
      <c r="B1024" t="str">
        <f>IFERROR(__xludf.DUMMYFUNCTION("""COMPUTED_VALUE"""),"龍江229E許霈琪")</f>
        <v>龍江229E許霈琪</v>
      </c>
      <c r="C1024" t="str">
        <f>IFERROR(__xludf.DUMMYFUNCTION("""COMPUTED_VALUE"""),"收入 - 租金")</f>
        <v>收入 - 租金</v>
      </c>
      <c r="D1024" s="270">
        <f>IFERROR(__xludf.DUMMYFUNCTION("""COMPUTED_VALUE"""),13500.0)</f>
        <v>13500</v>
      </c>
      <c r="F1024" t="str">
        <f>IFERROR(__xludf.DUMMYFUNCTION("""COMPUTED_VALUE"""),"台銀籌備帳戶")</f>
        <v>台銀籌備帳戶</v>
      </c>
      <c r="G1024" t="str">
        <f>IFERROR(__xludf.DUMMYFUNCTION("""COMPUTED_VALUE"""),"龍江229")</f>
        <v>龍江229</v>
      </c>
      <c r="H1024" s="106" t="str">
        <f t="shared" si="1"/>
        <v>2024-11</v>
      </c>
      <c r="I1024" s="271" t="str">
        <f>IFERROR(__xludf.DUMMYFUNCTION("""COMPUTED_VALUE"""),"貓狗企鵝")</f>
        <v>貓狗企鵝</v>
      </c>
      <c r="J1024" t="str">
        <f>IFERROR(__xludf.DUMMYFUNCTION("IFS(
  AND(REGEXMATCH(E1024, ""台銀籌備帳戶|玉山帳戶""), REGEXMATCH(C1024, ""薪資"")), ""分潤支出"",
  AND(REGEXMATCH(E1024, ""Ben帳戶|Elsa帳戶|Ben代墊|Ariel代墊|中信銀行共用""), REGEXMATCH(F1024, ""Ben帳戶|Elsa帳戶|Ben代墊|Ariel代墊|中信銀行共用"")), ""內部轉帳(忽略)"",
  AND(E1024&lt;&gt;"""", F1024&lt;&gt;"""", N"&amp;"OT(REGEXMATCH(C1024, ""薪資""))), ""內部轉帳(忽略)"",
  REGEXMATCH(C1024, ""薪資""), ""薪資變動(不計入)"",
  REGEXMATCH(C1024, ""押金""), ""押金往來"",
  AND(E1024&lt;&gt;"""", F1024=""""), ""真實支出"",
  AND(E1024="""", F1024&lt;&gt;""""), ""真實收入"",
  TRUE, ""其他""
)"),"真實收入")</f>
        <v>真實收入</v>
      </c>
      <c r="K1024" s="270">
        <f t="shared" si="2"/>
        <v>13500</v>
      </c>
      <c r="L1024">
        <f t="shared" si="3"/>
        <v>0</v>
      </c>
    </row>
    <row r="1025">
      <c r="A1025" s="107">
        <f>IFERROR(__xludf.DUMMYFUNCTION("""COMPUTED_VALUE"""),45598.0)</f>
        <v>45598</v>
      </c>
      <c r="B1025" t="str">
        <f>IFERROR(__xludf.DUMMYFUNCTION("""COMPUTED_VALUE"""),"大湖山莊	C	姚伯謙")</f>
        <v>大湖山莊	C	姚伯謙</v>
      </c>
      <c r="C1025" t="str">
        <f>IFERROR(__xludf.DUMMYFUNCTION("""COMPUTED_VALUE"""),"收入 - 租金")</f>
        <v>收入 - 租金</v>
      </c>
      <c r="D1025" s="270">
        <f>IFERROR(__xludf.DUMMYFUNCTION("""COMPUTED_VALUE"""),18800.0)</f>
        <v>18800</v>
      </c>
      <c r="F1025" t="str">
        <f>IFERROR(__xludf.DUMMYFUNCTION("""COMPUTED_VALUE"""),"台銀籌備帳戶")</f>
        <v>台銀籌備帳戶</v>
      </c>
      <c r="G1025" t="str">
        <f>IFERROR(__xludf.DUMMYFUNCTION("""COMPUTED_VALUE"""),"大湖山莊")</f>
        <v>大湖山莊</v>
      </c>
      <c r="H1025" s="106" t="str">
        <f t="shared" si="1"/>
        <v>2024-11</v>
      </c>
      <c r="I1025" s="271" t="str">
        <f>IFERROR(__xludf.DUMMYFUNCTION("""COMPUTED_VALUE"""),"貓狗企鵝")</f>
        <v>貓狗企鵝</v>
      </c>
      <c r="J1025" t="str">
        <f>IFERROR(__xludf.DUMMYFUNCTION("IFS(
  AND(REGEXMATCH(E1025, ""台銀籌備帳戶|玉山帳戶""), REGEXMATCH(C1025, ""薪資"")), ""分潤支出"",
  AND(REGEXMATCH(E1025, ""Ben帳戶|Elsa帳戶|Ben代墊|Ariel代墊|中信銀行共用""), REGEXMATCH(F1025, ""Ben帳戶|Elsa帳戶|Ben代墊|Ariel代墊|中信銀行共用"")), ""內部轉帳(忽略)"",
  AND(E1025&lt;&gt;"""", F1025&lt;&gt;"""", N"&amp;"OT(REGEXMATCH(C1025, ""薪資""))), ""內部轉帳(忽略)"",
  REGEXMATCH(C1025, ""薪資""), ""薪資變動(不計入)"",
  REGEXMATCH(C1025, ""押金""), ""押金往來"",
  AND(E1025&lt;&gt;"""", F1025=""""), ""真實支出"",
  AND(E1025="""", F1025&lt;&gt;""""), ""真實收入"",
  TRUE, ""其他""
)"),"真實收入")</f>
        <v>真實收入</v>
      </c>
      <c r="K1025" s="270">
        <f t="shared" si="2"/>
        <v>18800</v>
      </c>
      <c r="L1025">
        <f t="shared" si="3"/>
        <v>0</v>
      </c>
    </row>
    <row r="1026">
      <c r="A1026" s="107">
        <f>IFERROR(__xludf.DUMMYFUNCTION("""COMPUTED_VALUE"""),45598.0)</f>
        <v>45598</v>
      </c>
      <c r="B1026" t="str">
        <f>IFERROR(__xludf.DUMMYFUNCTION("""COMPUTED_VALUE"""),"龍江229B陳佩娟")</f>
        <v>龍江229B陳佩娟</v>
      </c>
      <c r="C1026" t="str">
        <f>IFERROR(__xludf.DUMMYFUNCTION("""COMPUTED_VALUE"""),"收入 - 租金")</f>
        <v>收入 - 租金</v>
      </c>
      <c r="D1026" s="270">
        <f>IFERROR(__xludf.DUMMYFUNCTION("""COMPUTED_VALUE"""),13000.0)</f>
        <v>13000</v>
      </c>
      <c r="F1026" t="str">
        <f>IFERROR(__xludf.DUMMYFUNCTION("""COMPUTED_VALUE"""),"台銀籌備帳戶")</f>
        <v>台銀籌備帳戶</v>
      </c>
      <c r="G1026" t="str">
        <f>IFERROR(__xludf.DUMMYFUNCTION("""COMPUTED_VALUE"""),"龍江229")</f>
        <v>龍江229</v>
      </c>
      <c r="H1026" s="106" t="str">
        <f t="shared" si="1"/>
        <v>2024-11</v>
      </c>
      <c r="I1026" s="271" t="str">
        <f>IFERROR(__xludf.DUMMYFUNCTION("""COMPUTED_VALUE"""),"貓狗企鵝")</f>
        <v>貓狗企鵝</v>
      </c>
      <c r="J1026" t="str">
        <f>IFERROR(__xludf.DUMMYFUNCTION("IFS(
  AND(REGEXMATCH(E1026, ""台銀籌備帳戶|玉山帳戶""), REGEXMATCH(C1026, ""薪資"")), ""分潤支出"",
  AND(REGEXMATCH(E1026, ""Ben帳戶|Elsa帳戶|Ben代墊|Ariel代墊|中信銀行共用""), REGEXMATCH(F1026, ""Ben帳戶|Elsa帳戶|Ben代墊|Ariel代墊|中信銀行共用"")), ""內部轉帳(忽略)"",
  AND(E1026&lt;&gt;"""", F1026&lt;&gt;"""", N"&amp;"OT(REGEXMATCH(C1026, ""薪資""))), ""內部轉帳(忽略)"",
  REGEXMATCH(C1026, ""薪資""), ""薪資變動(不計入)"",
  REGEXMATCH(C1026, ""押金""), ""押金往來"",
  AND(E1026&lt;&gt;"""", F1026=""""), ""真實支出"",
  AND(E1026="""", F1026&lt;&gt;""""), ""真實收入"",
  TRUE, ""其他""
)"),"真實收入")</f>
        <v>真實收入</v>
      </c>
      <c r="K1026" s="270">
        <f t="shared" si="2"/>
        <v>13000</v>
      </c>
      <c r="L1026">
        <f t="shared" si="3"/>
        <v>0</v>
      </c>
    </row>
    <row r="1027">
      <c r="A1027" s="107">
        <f>IFERROR(__xludf.DUMMYFUNCTION("""COMPUTED_VALUE"""),45598.0)</f>
        <v>45598</v>
      </c>
      <c r="B1027" t="str">
        <f>IFERROR(__xludf.DUMMYFUNCTION("""COMPUTED_VALUE"""),"大湖山莊A熊翊丞")</f>
        <v>大湖山莊A熊翊丞</v>
      </c>
      <c r="C1027" t="str">
        <f>IFERROR(__xludf.DUMMYFUNCTION("""COMPUTED_VALUE"""),"收入 - 租金")</f>
        <v>收入 - 租金</v>
      </c>
      <c r="D1027" s="270">
        <f>IFERROR(__xludf.DUMMYFUNCTION("""COMPUTED_VALUE"""),13300.0)</f>
        <v>13300</v>
      </c>
      <c r="F1027" t="str">
        <f>IFERROR(__xludf.DUMMYFUNCTION("""COMPUTED_VALUE"""),"台銀籌備帳戶")</f>
        <v>台銀籌備帳戶</v>
      </c>
      <c r="G1027" t="str">
        <f>IFERROR(__xludf.DUMMYFUNCTION("""COMPUTED_VALUE"""),"大湖山莊")</f>
        <v>大湖山莊</v>
      </c>
      <c r="H1027" s="106" t="str">
        <f t="shared" si="1"/>
        <v>2024-11</v>
      </c>
      <c r="I1027" s="271" t="str">
        <f>IFERROR(__xludf.DUMMYFUNCTION("""COMPUTED_VALUE"""),"貓狗企鵝")</f>
        <v>貓狗企鵝</v>
      </c>
      <c r="J1027" t="str">
        <f>IFERROR(__xludf.DUMMYFUNCTION("IFS(
  AND(REGEXMATCH(E1027, ""台銀籌備帳戶|玉山帳戶""), REGEXMATCH(C1027, ""薪資"")), ""分潤支出"",
  AND(REGEXMATCH(E1027, ""Ben帳戶|Elsa帳戶|Ben代墊|Ariel代墊|中信銀行共用""), REGEXMATCH(F1027, ""Ben帳戶|Elsa帳戶|Ben代墊|Ariel代墊|中信銀行共用"")), ""內部轉帳(忽略)"",
  AND(E1027&lt;&gt;"""", F1027&lt;&gt;"""", N"&amp;"OT(REGEXMATCH(C1027, ""薪資""))), ""內部轉帳(忽略)"",
  REGEXMATCH(C1027, ""薪資""), ""薪資變動(不計入)"",
  REGEXMATCH(C1027, ""押金""), ""押金往來"",
  AND(E1027&lt;&gt;"""", F1027=""""), ""真實支出"",
  AND(E1027="""", F1027&lt;&gt;""""), ""真實收入"",
  TRUE, ""其他""
)"),"真實收入")</f>
        <v>真實收入</v>
      </c>
      <c r="K1027" s="270">
        <f t="shared" si="2"/>
        <v>13300</v>
      </c>
      <c r="L1027">
        <f t="shared" si="3"/>
        <v>0</v>
      </c>
    </row>
    <row r="1028">
      <c r="A1028" s="107">
        <f>IFERROR(__xludf.DUMMYFUNCTION("""COMPUTED_VALUE"""),45598.0)</f>
        <v>45598</v>
      </c>
      <c r="B1028" t="str">
        <f>IFERROR(__xludf.DUMMYFUNCTION("""COMPUTED_VALUE"""),"南港站挑高宅C王子昇")</f>
        <v>南港站挑高宅C王子昇</v>
      </c>
      <c r="C1028" t="str">
        <f>IFERROR(__xludf.DUMMYFUNCTION("""COMPUTED_VALUE"""),"收入 - 租金")</f>
        <v>收入 - 租金</v>
      </c>
      <c r="D1028" s="270">
        <f>IFERROR(__xludf.DUMMYFUNCTION("""COMPUTED_VALUE"""),15800.0)</f>
        <v>15800</v>
      </c>
      <c r="F1028" t="str">
        <f>IFERROR(__xludf.DUMMYFUNCTION("""COMPUTED_VALUE"""),"台銀籌備帳戶")</f>
        <v>台銀籌備帳戶</v>
      </c>
      <c r="G1028" t="str">
        <f>IFERROR(__xludf.DUMMYFUNCTION("""COMPUTED_VALUE"""),"南港站挑高宅")</f>
        <v>南港站挑高宅</v>
      </c>
      <c r="H1028" s="106" t="str">
        <f t="shared" si="1"/>
        <v>2024-11</v>
      </c>
      <c r="I1028" s="271" t="str">
        <f>IFERROR(__xludf.DUMMYFUNCTION("""COMPUTED_VALUE"""),"貓狗企鵝")</f>
        <v>貓狗企鵝</v>
      </c>
      <c r="J1028" t="str">
        <f>IFERROR(__xludf.DUMMYFUNCTION("IFS(
  AND(REGEXMATCH(E1028, ""台銀籌備帳戶|玉山帳戶""), REGEXMATCH(C1028, ""薪資"")), ""分潤支出"",
  AND(REGEXMATCH(E1028, ""Ben帳戶|Elsa帳戶|Ben代墊|Ariel代墊|中信銀行共用""), REGEXMATCH(F1028, ""Ben帳戶|Elsa帳戶|Ben代墊|Ariel代墊|中信銀行共用"")), ""內部轉帳(忽略)"",
  AND(E1028&lt;&gt;"""", F1028&lt;&gt;"""", N"&amp;"OT(REGEXMATCH(C1028, ""薪資""))), ""內部轉帳(忽略)"",
  REGEXMATCH(C1028, ""薪資""), ""薪資變動(不計入)"",
  REGEXMATCH(C1028, ""押金""), ""押金往來"",
  AND(E1028&lt;&gt;"""", F1028=""""), ""真實支出"",
  AND(E1028="""", F1028&lt;&gt;""""), ""真實收入"",
  TRUE, ""其他""
)"),"真實收入")</f>
        <v>真實收入</v>
      </c>
      <c r="K1028" s="270">
        <f t="shared" si="2"/>
        <v>15800</v>
      </c>
      <c r="L1028">
        <f t="shared" si="3"/>
        <v>0</v>
      </c>
    </row>
    <row r="1029">
      <c r="A1029" s="107">
        <f>IFERROR(__xludf.DUMMYFUNCTION("""COMPUTED_VALUE"""),45598.0)</f>
        <v>45598</v>
      </c>
      <c r="B1029" t="str">
        <f>IFERROR(__xludf.DUMMYFUNCTION("""COMPUTED_VALUE"""),"大湖山莊B施惠卿")</f>
        <v>大湖山莊B施惠卿</v>
      </c>
      <c r="C1029" t="str">
        <f>IFERROR(__xludf.DUMMYFUNCTION("""COMPUTED_VALUE"""),"收入 - 租金")</f>
        <v>收入 - 租金</v>
      </c>
      <c r="D1029" s="270">
        <f>IFERROR(__xludf.DUMMYFUNCTION("""COMPUTED_VALUE"""),12800.0)</f>
        <v>12800</v>
      </c>
      <c r="F1029" t="str">
        <f>IFERROR(__xludf.DUMMYFUNCTION("""COMPUTED_VALUE"""),"台銀籌備帳戶")</f>
        <v>台銀籌備帳戶</v>
      </c>
      <c r="G1029" t="str">
        <f>IFERROR(__xludf.DUMMYFUNCTION("""COMPUTED_VALUE"""),"大湖山莊")</f>
        <v>大湖山莊</v>
      </c>
      <c r="H1029" s="106" t="str">
        <f t="shared" si="1"/>
        <v>2024-11</v>
      </c>
      <c r="I1029" s="271" t="str">
        <f>IFERROR(__xludf.DUMMYFUNCTION("""COMPUTED_VALUE"""),"貓狗企鵝")</f>
        <v>貓狗企鵝</v>
      </c>
      <c r="J1029" t="str">
        <f>IFERROR(__xludf.DUMMYFUNCTION("IFS(
  AND(REGEXMATCH(E1029, ""台銀籌備帳戶|玉山帳戶""), REGEXMATCH(C1029, ""薪資"")), ""分潤支出"",
  AND(REGEXMATCH(E1029, ""Ben帳戶|Elsa帳戶|Ben代墊|Ariel代墊|中信銀行共用""), REGEXMATCH(F1029, ""Ben帳戶|Elsa帳戶|Ben代墊|Ariel代墊|中信銀行共用"")), ""內部轉帳(忽略)"",
  AND(E1029&lt;&gt;"""", F1029&lt;&gt;"""", N"&amp;"OT(REGEXMATCH(C1029, ""薪資""))), ""內部轉帳(忽略)"",
  REGEXMATCH(C1029, ""薪資""), ""薪資變動(不計入)"",
  REGEXMATCH(C1029, ""押金""), ""押金往來"",
  AND(E1029&lt;&gt;"""", F1029=""""), ""真實支出"",
  AND(E1029="""", F1029&lt;&gt;""""), ""真實收入"",
  TRUE, ""其他""
)"),"真實收入")</f>
        <v>真實收入</v>
      </c>
      <c r="K1029" s="270">
        <f t="shared" si="2"/>
        <v>12800</v>
      </c>
      <c r="L1029">
        <f t="shared" si="3"/>
        <v>0</v>
      </c>
    </row>
    <row r="1030">
      <c r="A1030" s="107">
        <f>IFERROR(__xludf.DUMMYFUNCTION("""COMPUTED_VALUE"""),45598.0)</f>
        <v>45598</v>
      </c>
      <c r="B1030" t="str">
        <f>IFERROR(__xludf.DUMMYFUNCTION("""COMPUTED_VALUE"""),"哈拉對面D柳翰洋")</f>
        <v>哈拉對面D柳翰洋</v>
      </c>
      <c r="C1030" t="str">
        <f>IFERROR(__xludf.DUMMYFUNCTION("""COMPUTED_VALUE"""),"收入 - 租金")</f>
        <v>收入 - 租金</v>
      </c>
      <c r="D1030" s="270">
        <f>IFERROR(__xludf.DUMMYFUNCTION("""COMPUTED_VALUE"""),12300.0)</f>
        <v>12300</v>
      </c>
      <c r="F1030" t="str">
        <f>IFERROR(__xludf.DUMMYFUNCTION("""COMPUTED_VALUE"""),"台銀籌備帳戶")</f>
        <v>台銀籌備帳戶</v>
      </c>
      <c r="G1030" t="str">
        <f>IFERROR(__xludf.DUMMYFUNCTION("""COMPUTED_VALUE"""),"哈拉對面")</f>
        <v>哈拉對面</v>
      </c>
      <c r="H1030" s="106" t="str">
        <f t="shared" si="1"/>
        <v>2024-11</v>
      </c>
      <c r="I1030" s="271" t="str">
        <f>IFERROR(__xludf.DUMMYFUNCTION("""COMPUTED_VALUE"""),"貓狗企鵝")</f>
        <v>貓狗企鵝</v>
      </c>
      <c r="J1030" t="str">
        <f>IFERROR(__xludf.DUMMYFUNCTION("IFS(
  AND(REGEXMATCH(E1030, ""台銀籌備帳戶|玉山帳戶""), REGEXMATCH(C1030, ""薪資"")), ""分潤支出"",
  AND(REGEXMATCH(E1030, ""Ben帳戶|Elsa帳戶|Ben代墊|Ariel代墊|中信銀行共用""), REGEXMATCH(F1030, ""Ben帳戶|Elsa帳戶|Ben代墊|Ariel代墊|中信銀行共用"")), ""內部轉帳(忽略)"",
  AND(E1030&lt;&gt;"""", F1030&lt;&gt;"""", N"&amp;"OT(REGEXMATCH(C1030, ""薪資""))), ""內部轉帳(忽略)"",
  REGEXMATCH(C1030, ""薪資""), ""薪資變動(不計入)"",
  REGEXMATCH(C1030, ""押金""), ""押金往來"",
  AND(E1030&lt;&gt;"""", F1030=""""), ""真實支出"",
  AND(E1030="""", F1030&lt;&gt;""""), ""真實收入"",
  TRUE, ""其他""
)"),"真實收入")</f>
        <v>真實收入</v>
      </c>
      <c r="K1030" s="270">
        <f t="shared" si="2"/>
        <v>12300</v>
      </c>
      <c r="L1030">
        <f t="shared" si="3"/>
        <v>0</v>
      </c>
    </row>
    <row r="1031">
      <c r="A1031" s="107">
        <f>IFERROR(__xludf.DUMMYFUNCTION("""COMPUTED_VALUE"""),45598.0)</f>
        <v>45598</v>
      </c>
      <c r="B1031" t="str">
        <f>IFERROR(__xludf.DUMMYFUNCTION("""COMPUTED_VALUE"""),"永春四號B袁家鳳")</f>
        <v>永春四號B袁家鳳</v>
      </c>
      <c r="C1031" t="str">
        <f>IFERROR(__xludf.DUMMYFUNCTION("""COMPUTED_VALUE"""),"收入 - 租金")</f>
        <v>收入 - 租金</v>
      </c>
      <c r="D1031" s="270">
        <f>IFERROR(__xludf.DUMMYFUNCTION("""COMPUTED_VALUE"""),13500.0)</f>
        <v>13500</v>
      </c>
      <c r="F1031" t="str">
        <f>IFERROR(__xludf.DUMMYFUNCTION("""COMPUTED_VALUE"""),"台銀籌備帳戶")</f>
        <v>台銀籌備帳戶</v>
      </c>
      <c r="G1031" t="str">
        <f>IFERROR(__xludf.DUMMYFUNCTION("""COMPUTED_VALUE"""),"永春四號")</f>
        <v>永春四號</v>
      </c>
      <c r="H1031" s="106" t="str">
        <f t="shared" si="1"/>
        <v>2024-11</v>
      </c>
      <c r="I1031" s="271" t="str">
        <f>IFERROR(__xludf.DUMMYFUNCTION("""COMPUTED_VALUE"""),"貓狗企鵝")</f>
        <v>貓狗企鵝</v>
      </c>
      <c r="J1031" t="str">
        <f>IFERROR(__xludf.DUMMYFUNCTION("IFS(
  AND(REGEXMATCH(E1031, ""台銀籌備帳戶|玉山帳戶""), REGEXMATCH(C1031, ""薪資"")), ""分潤支出"",
  AND(REGEXMATCH(E1031, ""Ben帳戶|Elsa帳戶|Ben代墊|Ariel代墊|中信銀行共用""), REGEXMATCH(F1031, ""Ben帳戶|Elsa帳戶|Ben代墊|Ariel代墊|中信銀行共用"")), ""內部轉帳(忽略)"",
  AND(E1031&lt;&gt;"""", F1031&lt;&gt;"""", N"&amp;"OT(REGEXMATCH(C1031, ""薪資""))), ""內部轉帳(忽略)"",
  REGEXMATCH(C1031, ""薪資""), ""薪資變動(不計入)"",
  REGEXMATCH(C1031, ""押金""), ""押金往來"",
  AND(E1031&lt;&gt;"""", F1031=""""), ""真實支出"",
  AND(E1031="""", F1031&lt;&gt;""""), ""真實收入"",
  TRUE, ""其他""
)"),"真實收入")</f>
        <v>真實收入</v>
      </c>
      <c r="K1031" s="270">
        <f t="shared" si="2"/>
        <v>13500</v>
      </c>
      <c r="L1031">
        <f t="shared" si="3"/>
        <v>0</v>
      </c>
    </row>
    <row r="1032">
      <c r="A1032" s="107">
        <f>IFERROR(__xludf.DUMMYFUNCTION("""COMPUTED_VALUE"""),45598.0)</f>
        <v>45598</v>
      </c>
      <c r="B1032" t="str">
        <f>IFERROR(__xludf.DUMMYFUNCTION("""COMPUTED_VALUE"""),"哈拉對面A李柏緯")</f>
        <v>哈拉對面A李柏緯</v>
      </c>
      <c r="C1032" t="str">
        <f>IFERROR(__xludf.DUMMYFUNCTION("""COMPUTED_VALUE"""),"收入 - 租金")</f>
        <v>收入 - 租金</v>
      </c>
      <c r="D1032" s="270">
        <f>IFERROR(__xludf.DUMMYFUNCTION("""COMPUTED_VALUE"""),11300.0)</f>
        <v>11300</v>
      </c>
      <c r="F1032" t="str">
        <f>IFERROR(__xludf.DUMMYFUNCTION("""COMPUTED_VALUE"""),"台銀籌備帳戶")</f>
        <v>台銀籌備帳戶</v>
      </c>
      <c r="G1032" t="str">
        <f>IFERROR(__xludf.DUMMYFUNCTION("""COMPUTED_VALUE"""),"哈拉對面")</f>
        <v>哈拉對面</v>
      </c>
      <c r="H1032" s="106" t="str">
        <f t="shared" si="1"/>
        <v>2024-11</v>
      </c>
      <c r="I1032" s="271" t="str">
        <f>IFERROR(__xludf.DUMMYFUNCTION("""COMPUTED_VALUE"""),"貓狗企鵝")</f>
        <v>貓狗企鵝</v>
      </c>
      <c r="J1032" t="str">
        <f>IFERROR(__xludf.DUMMYFUNCTION("IFS(
  AND(REGEXMATCH(E1032, ""台銀籌備帳戶|玉山帳戶""), REGEXMATCH(C1032, ""薪資"")), ""分潤支出"",
  AND(REGEXMATCH(E1032, ""Ben帳戶|Elsa帳戶|Ben代墊|Ariel代墊|中信銀行共用""), REGEXMATCH(F1032, ""Ben帳戶|Elsa帳戶|Ben代墊|Ariel代墊|中信銀行共用"")), ""內部轉帳(忽略)"",
  AND(E1032&lt;&gt;"""", F1032&lt;&gt;"""", N"&amp;"OT(REGEXMATCH(C1032, ""薪資""))), ""內部轉帳(忽略)"",
  REGEXMATCH(C1032, ""薪資""), ""薪資變動(不計入)"",
  REGEXMATCH(C1032, ""押金""), ""押金往來"",
  AND(E1032&lt;&gt;"""", F1032=""""), ""真實支出"",
  AND(E1032="""", F1032&lt;&gt;""""), ""真實收入"",
  TRUE, ""其他""
)"),"真實收入")</f>
        <v>真實收入</v>
      </c>
      <c r="K1032" s="270">
        <f t="shared" si="2"/>
        <v>11300</v>
      </c>
      <c r="L1032">
        <f t="shared" si="3"/>
        <v>0</v>
      </c>
    </row>
    <row r="1033">
      <c r="A1033" s="107">
        <f>IFERROR(__xludf.DUMMYFUNCTION("""COMPUTED_VALUE"""),45598.0)</f>
        <v>45598</v>
      </c>
      <c r="B1033" t="str">
        <f>IFERROR(__xludf.DUMMYFUNCTION("""COMPUTED_VALUE"""),"金龍帽子先生	B	羅宇潔")</f>
        <v>金龍帽子先生	B	羅宇潔</v>
      </c>
      <c r="C1033" t="str">
        <f>IFERROR(__xludf.DUMMYFUNCTION("""COMPUTED_VALUE"""),"收入 - 租金")</f>
        <v>收入 - 租金</v>
      </c>
      <c r="D1033" s="270">
        <f>IFERROR(__xludf.DUMMYFUNCTION("""COMPUTED_VALUE"""),13300.0)</f>
        <v>13300</v>
      </c>
      <c r="F1033" t="str">
        <f>IFERROR(__xludf.DUMMYFUNCTION("""COMPUTED_VALUE"""),"台銀籌備帳戶")</f>
        <v>台銀籌備帳戶</v>
      </c>
      <c r="G1033" t="str">
        <f>IFERROR(__xludf.DUMMYFUNCTION("""COMPUTED_VALUE"""),"金龍帽子先生")</f>
        <v>金龍帽子先生</v>
      </c>
      <c r="H1033" s="106" t="str">
        <f t="shared" si="1"/>
        <v>2024-11</v>
      </c>
      <c r="I1033" s="271" t="str">
        <f>IFERROR(__xludf.DUMMYFUNCTION("""COMPUTED_VALUE"""),"貓狗企鵝")</f>
        <v>貓狗企鵝</v>
      </c>
      <c r="J1033" t="str">
        <f>IFERROR(__xludf.DUMMYFUNCTION("IFS(
  AND(REGEXMATCH(E1033, ""台銀籌備帳戶|玉山帳戶""), REGEXMATCH(C1033, ""薪資"")), ""分潤支出"",
  AND(REGEXMATCH(E1033, ""Ben帳戶|Elsa帳戶|Ben代墊|Ariel代墊|中信銀行共用""), REGEXMATCH(F1033, ""Ben帳戶|Elsa帳戶|Ben代墊|Ariel代墊|中信銀行共用"")), ""內部轉帳(忽略)"",
  AND(E1033&lt;&gt;"""", F1033&lt;&gt;"""", N"&amp;"OT(REGEXMATCH(C1033, ""薪資""))), ""內部轉帳(忽略)"",
  REGEXMATCH(C1033, ""薪資""), ""薪資變動(不計入)"",
  REGEXMATCH(C1033, ""押金""), ""押金往來"",
  AND(E1033&lt;&gt;"""", F1033=""""), ""真實支出"",
  AND(E1033="""", F1033&lt;&gt;""""), ""真實收入"",
  TRUE, ""其他""
)"),"真實收入")</f>
        <v>真實收入</v>
      </c>
      <c r="K1033" s="270">
        <f t="shared" si="2"/>
        <v>13300</v>
      </c>
      <c r="L1033">
        <f t="shared" si="3"/>
        <v>0</v>
      </c>
    </row>
    <row r="1034">
      <c r="A1034" s="107">
        <f>IFERROR(__xludf.DUMMYFUNCTION("""COMPUTED_VALUE"""),45598.0)</f>
        <v>45598</v>
      </c>
      <c r="B1034" t="str">
        <f>IFERROR(__xludf.DUMMYFUNCTION("""COMPUTED_VALUE"""),"永春四號C林聿妡")</f>
        <v>永春四號C林聿妡</v>
      </c>
      <c r="C1034" t="str">
        <f>IFERROR(__xludf.DUMMYFUNCTION("""COMPUTED_VALUE"""),"收入 - 租金")</f>
        <v>收入 - 租金</v>
      </c>
      <c r="D1034" s="270">
        <f>IFERROR(__xludf.DUMMYFUNCTION("""COMPUTED_VALUE"""),13300.0)</f>
        <v>13300</v>
      </c>
      <c r="F1034" t="str">
        <f>IFERROR(__xludf.DUMMYFUNCTION("""COMPUTED_VALUE"""),"台銀籌備帳戶")</f>
        <v>台銀籌備帳戶</v>
      </c>
      <c r="G1034" t="str">
        <f>IFERROR(__xludf.DUMMYFUNCTION("""COMPUTED_VALUE"""),"永春四號")</f>
        <v>永春四號</v>
      </c>
      <c r="H1034" s="106" t="str">
        <f t="shared" si="1"/>
        <v>2024-11</v>
      </c>
      <c r="I1034" s="271" t="str">
        <f>IFERROR(__xludf.DUMMYFUNCTION("""COMPUTED_VALUE"""),"貓狗企鵝")</f>
        <v>貓狗企鵝</v>
      </c>
      <c r="J1034" t="str">
        <f>IFERROR(__xludf.DUMMYFUNCTION("IFS(
  AND(REGEXMATCH(E1034, ""台銀籌備帳戶|玉山帳戶""), REGEXMATCH(C1034, ""薪資"")), ""分潤支出"",
  AND(REGEXMATCH(E1034, ""Ben帳戶|Elsa帳戶|Ben代墊|Ariel代墊|中信銀行共用""), REGEXMATCH(F1034, ""Ben帳戶|Elsa帳戶|Ben代墊|Ariel代墊|中信銀行共用"")), ""內部轉帳(忽略)"",
  AND(E1034&lt;&gt;"""", F1034&lt;&gt;"""", N"&amp;"OT(REGEXMATCH(C1034, ""薪資""))), ""內部轉帳(忽略)"",
  REGEXMATCH(C1034, ""薪資""), ""薪資變動(不計入)"",
  REGEXMATCH(C1034, ""押金""), ""押金往來"",
  AND(E1034&lt;&gt;"""", F1034=""""), ""真實支出"",
  AND(E1034="""", F1034&lt;&gt;""""), ""真實收入"",
  TRUE, ""其他""
)"),"真實收入")</f>
        <v>真實收入</v>
      </c>
      <c r="K1034" s="270">
        <f t="shared" si="2"/>
        <v>13300</v>
      </c>
      <c r="L1034">
        <f t="shared" si="3"/>
        <v>0</v>
      </c>
    </row>
    <row r="1035">
      <c r="A1035" s="107">
        <f>IFERROR(__xludf.DUMMYFUNCTION("""COMPUTED_VALUE"""),45598.0)</f>
        <v>45598</v>
      </c>
      <c r="B1035" t="str">
        <f>IFERROR(__xludf.DUMMYFUNCTION("""COMPUTED_VALUE"""),"北醫醫師府E洪睿佑")</f>
        <v>北醫醫師府E洪睿佑</v>
      </c>
      <c r="C1035" t="str">
        <f>IFERROR(__xludf.DUMMYFUNCTION("""COMPUTED_VALUE"""),"收入 - 租金")</f>
        <v>收入 - 租金</v>
      </c>
      <c r="D1035" s="270">
        <f>IFERROR(__xludf.DUMMYFUNCTION("""COMPUTED_VALUE"""),14800.0)</f>
        <v>14800</v>
      </c>
      <c r="F1035" t="str">
        <f>IFERROR(__xludf.DUMMYFUNCTION("""COMPUTED_VALUE"""),"台銀籌備帳戶")</f>
        <v>台銀籌備帳戶</v>
      </c>
      <c r="G1035" t="str">
        <f>IFERROR(__xludf.DUMMYFUNCTION("""COMPUTED_VALUE"""),"北醫醫師府")</f>
        <v>北醫醫師府</v>
      </c>
      <c r="H1035" s="106" t="str">
        <f t="shared" si="1"/>
        <v>2024-11</v>
      </c>
      <c r="I1035" s="271" t="str">
        <f>IFERROR(__xludf.DUMMYFUNCTION("""COMPUTED_VALUE"""),"貓狗企鵝")</f>
        <v>貓狗企鵝</v>
      </c>
      <c r="J1035" t="str">
        <f>IFERROR(__xludf.DUMMYFUNCTION("IFS(
  AND(REGEXMATCH(E1035, ""台銀籌備帳戶|玉山帳戶""), REGEXMATCH(C1035, ""薪資"")), ""分潤支出"",
  AND(REGEXMATCH(E1035, ""Ben帳戶|Elsa帳戶|Ben代墊|Ariel代墊|中信銀行共用""), REGEXMATCH(F1035, ""Ben帳戶|Elsa帳戶|Ben代墊|Ariel代墊|中信銀行共用"")), ""內部轉帳(忽略)"",
  AND(E1035&lt;&gt;"""", F1035&lt;&gt;"""", N"&amp;"OT(REGEXMATCH(C1035, ""薪資""))), ""內部轉帳(忽略)"",
  REGEXMATCH(C1035, ""薪資""), ""薪資變動(不計入)"",
  REGEXMATCH(C1035, ""押金""), ""押金往來"",
  AND(E1035&lt;&gt;"""", F1035=""""), ""真實支出"",
  AND(E1035="""", F1035&lt;&gt;""""), ""真實收入"",
  TRUE, ""其他""
)"),"真實收入")</f>
        <v>真實收入</v>
      </c>
      <c r="K1035" s="270">
        <f t="shared" si="2"/>
        <v>14800</v>
      </c>
      <c r="L1035">
        <f t="shared" si="3"/>
        <v>0</v>
      </c>
    </row>
    <row r="1036">
      <c r="A1036" s="107">
        <f>IFERROR(__xludf.DUMMYFUNCTION("""COMPUTED_VALUE"""),45598.0)</f>
        <v>45598</v>
      </c>
      <c r="B1036" t="str">
        <f>IFERROR(__xludf.DUMMYFUNCTION("""COMPUTED_VALUE"""),"大湖山莊E吳彥霆")</f>
        <v>大湖山莊E吳彥霆</v>
      </c>
      <c r="C1036" t="str">
        <f>IFERROR(__xludf.DUMMYFUNCTION("""COMPUTED_VALUE"""),"收入 - 租金")</f>
        <v>收入 - 租金</v>
      </c>
      <c r="D1036" s="270">
        <f>IFERROR(__xludf.DUMMYFUNCTION("""COMPUTED_VALUE"""),12500.0)</f>
        <v>12500</v>
      </c>
      <c r="F1036" t="str">
        <f>IFERROR(__xludf.DUMMYFUNCTION("""COMPUTED_VALUE"""),"台銀籌備帳戶")</f>
        <v>台銀籌備帳戶</v>
      </c>
      <c r="G1036" t="str">
        <f>IFERROR(__xludf.DUMMYFUNCTION("""COMPUTED_VALUE"""),"大湖山莊")</f>
        <v>大湖山莊</v>
      </c>
      <c r="H1036" s="106" t="str">
        <f t="shared" si="1"/>
        <v>2024-11</v>
      </c>
      <c r="I1036" s="271" t="str">
        <f>IFERROR(__xludf.DUMMYFUNCTION("""COMPUTED_VALUE"""),"貓狗企鵝")</f>
        <v>貓狗企鵝</v>
      </c>
      <c r="J1036" t="str">
        <f>IFERROR(__xludf.DUMMYFUNCTION("IFS(
  AND(REGEXMATCH(E1036, ""台銀籌備帳戶|玉山帳戶""), REGEXMATCH(C1036, ""薪資"")), ""分潤支出"",
  AND(REGEXMATCH(E1036, ""Ben帳戶|Elsa帳戶|Ben代墊|Ariel代墊|中信銀行共用""), REGEXMATCH(F1036, ""Ben帳戶|Elsa帳戶|Ben代墊|Ariel代墊|中信銀行共用"")), ""內部轉帳(忽略)"",
  AND(E1036&lt;&gt;"""", F1036&lt;&gt;"""", N"&amp;"OT(REGEXMATCH(C1036, ""薪資""))), ""內部轉帳(忽略)"",
  REGEXMATCH(C1036, ""薪資""), ""薪資變動(不計入)"",
  REGEXMATCH(C1036, ""押金""), ""押金往來"",
  AND(E1036&lt;&gt;"""", F1036=""""), ""真實支出"",
  AND(E1036="""", F1036&lt;&gt;""""), ""真實收入"",
  TRUE, ""其他""
)"),"真實收入")</f>
        <v>真實收入</v>
      </c>
      <c r="K1036" s="270">
        <f t="shared" si="2"/>
        <v>12500</v>
      </c>
      <c r="L1036">
        <f t="shared" si="3"/>
        <v>0</v>
      </c>
    </row>
    <row r="1037">
      <c r="A1037" s="107">
        <f>IFERROR(__xludf.DUMMYFUNCTION("""COMPUTED_VALUE"""),45598.0)</f>
        <v>45598</v>
      </c>
      <c r="B1037" t="str">
        <f>IFERROR(__xludf.DUMMYFUNCTION("""COMPUTED_VALUE"""),"金龍帽子先生	C	李侑芯")</f>
        <v>金龍帽子先生	C	李侑芯</v>
      </c>
      <c r="C1037" t="str">
        <f>IFERROR(__xludf.DUMMYFUNCTION("""COMPUTED_VALUE"""),"收入 - 租金")</f>
        <v>收入 - 租金</v>
      </c>
      <c r="D1037" s="270">
        <f>IFERROR(__xludf.DUMMYFUNCTION("""COMPUTED_VALUE"""),14800.0)</f>
        <v>14800</v>
      </c>
      <c r="F1037" t="str">
        <f>IFERROR(__xludf.DUMMYFUNCTION("""COMPUTED_VALUE"""),"台銀籌備帳戶")</f>
        <v>台銀籌備帳戶</v>
      </c>
      <c r="G1037" t="str">
        <f>IFERROR(__xludf.DUMMYFUNCTION("""COMPUTED_VALUE"""),"金龍帽子先生")</f>
        <v>金龍帽子先生</v>
      </c>
      <c r="H1037" s="106" t="str">
        <f t="shared" si="1"/>
        <v>2024-11</v>
      </c>
      <c r="I1037" s="271" t="str">
        <f>IFERROR(__xludf.DUMMYFUNCTION("""COMPUTED_VALUE"""),"貓狗企鵝")</f>
        <v>貓狗企鵝</v>
      </c>
      <c r="J1037" t="str">
        <f>IFERROR(__xludf.DUMMYFUNCTION("IFS(
  AND(REGEXMATCH(E1037, ""台銀籌備帳戶|玉山帳戶""), REGEXMATCH(C1037, ""薪資"")), ""分潤支出"",
  AND(REGEXMATCH(E1037, ""Ben帳戶|Elsa帳戶|Ben代墊|Ariel代墊|中信銀行共用""), REGEXMATCH(F1037, ""Ben帳戶|Elsa帳戶|Ben代墊|Ariel代墊|中信銀行共用"")), ""內部轉帳(忽略)"",
  AND(E1037&lt;&gt;"""", F1037&lt;&gt;"""", N"&amp;"OT(REGEXMATCH(C1037, ""薪資""))), ""內部轉帳(忽略)"",
  REGEXMATCH(C1037, ""薪資""), ""薪資變動(不計入)"",
  REGEXMATCH(C1037, ""押金""), ""押金往來"",
  AND(E1037&lt;&gt;"""", F1037=""""), ""真實支出"",
  AND(E1037="""", F1037&lt;&gt;""""), ""真實收入"",
  TRUE, ""其他""
)"),"真實收入")</f>
        <v>真實收入</v>
      </c>
      <c r="K1037" s="270">
        <f t="shared" si="2"/>
        <v>14800</v>
      </c>
      <c r="L1037">
        <f t="shared" si="3"/>
        <v>0</v>
      </c>
    </row>
    <row r="1038">
      <c r="A1038" s="107">
        <f>IFERROR(__xludf.DUMMYFUNCTION("""COMPUTED_VALUE"""),45598.0)</f>
        <v>45598</v>
      </c>
      <c r="B1038" t="str">
        <f>IFERROR(__xludf.DUMMYFUNCTION("""COMPUTED_VALUE"""),"南港站挑高宅D吳城慕")</f>
        <v>南港站挑高宅D吳城慕</v>
      </c>
      <c r="C1038" t="str">
        <f>IFERROR(__xludf.DUMMYFUNCTION("""COMPUTED_VALUE"""),"收入 - 租金")</f>
        <v>收入 - 租金</v>
      </c>
      <c r="D1038" s="270">
        <f>IFERROR(__xludf.DUMMYFUNCTION("""COMPUTED_VALUE"""),14300.0)</f>
        <v>14300</v>
      </c>
      <c r="F1038" t="str">
        <f>IFERROR(__xludf.DUMMYFUNCTION("""COMPUTED_VALUE"""),"台銀籌備帳戶")</f>
        <v>台銀籌備帳戶</v>
      </c>
      <c r="G1038" t="str">
        <f>IFERROR(__xludf.DUMMYFUNCTION("""COMPUTED_VALUE"""),"南港站挑高宅")</f>
        <v>南港站挑高宅</v>
      </c>
      <c r="H1038" s="106" t="str">
        <f t="shared" si="1"/>
        <v>2024-11</v>
      </c>
      <c r="I1038" s="271" t="str">
        <f>IFERROR(__xludf.DUMMYFUNCTION("""COMPUTED_VALUE"""),"貓狗企鵝")</f>
        <v>貓狗企鵝</v>
      </c>
      <c r="J1038" t="str">
        <f>IFERROR(__xludf.DUMMYFUNCTION("IFS(
  AND(REGEXMATCH(E1038, ""台銀籌備帳戶|玉山帳戶""), REGEXMATCH(C1038, ""薪資"")), ""分潤支出"",
  AND(REGEXMATCH(E1038, ""Ben帳戶|Elsa帳戶|Ben代墊|Ariel代墊|中信銀行共用""), REGEXMATCH(F1038, ""Ben帳戶|Elsa帳戶|Ben代墊|Ariel代墊|中信銀行共用"")), ""內部轉帳(忽略)"",
  AND(E1038&lt;&gt;"""", F1038&lt;&gt;"""", N"&amp;"OT(REGEXMATCH(C1038, ""薪資""))), ""內部轉帳(忽略)"",
  REGEXMATCH(C1038, ""薪資""), ""薪資變動(不計入)"",
  REGEXMATCH(C1038, ""押金""), ""押金往來"",
  AND(E1038&lt;&gt;"""", F1038=""""), ""真實支出"",
  AND(E1038="""", F1038&lt;&gt;""""), ""真實收入"",
  TRUE, ""其他""
)"),"真實收入")</f>
        <v>真實收入</v>
      </c>
      <c r="K1038" s="270">
        <f t="shared" si="2"/>
        <v>14300</v>
      </c>
      <c r="L1038">
        <f t="shared" si="3"/>
        <v>0</v>
      </c>
    </row>
    <row r="1039">
      <c r="A1039" s="107">
        <f>IFERROR(__xludf.DUMMYFUNCTION("""COMPUTED_VALUE"""),45598.0)</f>
        <v>45598</v>
      </c>
      <c r="B1039" t="str">
        <f>IFERROR(__xludf.DUMMYFUNCTION("""COMPUTED_VALUE"""),"南港站挑高宅A莊以棋")</f>
        <v>南港站挑高宅A莊以棋</v>
      </c>
      <c r="C1039" t="str">
        <f>IFERROR(__xludf.DUMMYFUNCTION("""COMPUTED_VALUE"""),"收入 - 租金")</f>
        <v>收入 - 租金</v>
      </c>
      <c r="D1039" s="270">
        <f>IFERROR(__xludf.DUMMYFUNCTION("""COMPUTED_VALUE"""),13000.0)</f>
        <v>13000</v>
      </c>
      <c r="F1039" t="str">
        <f>IFERROR(__xludf.DUMMYFUNCTION("""COMPUTED_VALUE"""),"台銀籌備帳戶")</f>
        <v>台銀籌備帳戶</v>
      </c>
      <c r="G1039" t="str">
        <f>IFERROR(__xludf.DUMMYFUNCTION("""COMPUTED_VALUE"""),"南港站挑高宅")</f>
        <v>南港站挑高宅</v>
      </c>
      <c r="H1039" s="106" t="str">
        <f t="shared" si="1"/>
        <v>2024-11</v>
      </c>
      <c r="I1039" s="271" t="str">
        <f>IFERROR(__xludf.DUMMYFUNCTION("""COMPUTED_VALUE"""),"貓狗企鵝")</f>
        <v>貓狗企鵝</v>
      </c>
      <c r="J1039" t="str">
        <f>IFERROR(__xludf.DUMMYFUNCTION("IFS(
  AND(REGEXMATCH(E1039, ""台銀籌備帳戶|玉山帳戶""), REGEXMATCH(C1039, ""薪資"")), ""分潤支出"",
  AND(REGEXMATCH(E1039, ""Ben帳戶|Elsa帳戶|Ben代墊|Ariel代墊|中信銀行共用""), REGEXMATCH(F1039, ""Ben帳戶|Elsa帳戶|Ben代墊|Ariel代墊|中信銀行共用"")), ""內部轉帳(忽略)"",
  AND(E1039&lt;&gt;"""", F1039&lt;&gt;"""", N"&amp;"OT(REGEXMATCH(C1039, ""薪資""))), ""內部轉帳(忽略)"",
  REGEXMATCH(C1039, ""薪資""), ""薪資變動(不計入)"",
  REGEXMATCH(C1039, ""押金""), ""押金往來"",
  AND(E1039&lt;&gt;"""", F1039=""""), ""真實支出"",
  AND(E1039="""", F1039&lt;&gt;""""), ""真實收入"",
  TRUE, ""其他""
)"),"真實收入")</f>
        <v>真實收入</v>
      </c>
      <c r="K1039" s="270">
        <f t="shared" si="2"/>
        <v>13000</v>
      </c>
      <c r="L1039">
        <f t="shared" si="3"/>
        <v>0</v>
      </c>
    </row>
    <row r="1040">
      <c r="A1040" s="107">
        <f>IFERROR(__xludf.DUMMYFUNCTION("""COMPUTED_VALUE"""),45598.0)</f>
        <v>45598</v>
      </c>
      <c r="B1040" t="str">
        <f>IFERROR(__xludf.DUMMYFUNCTION("""COMPUTED_VALUE"""),"南港站挑高宅	E	張劉明翔")</f>
        <v>南港站挑高宅	E	張劉明翔</v>
      </c>
      <c r="C1040" t="str">
        <f>IFERROR(__xludf.DUMMYFUNCTION("""COMPUTED_VALUE"""),"收入 - 租金")</f>
        <v>收入 - 租金</v>
      </c>
      <c r="D1040" s="270">
        <f>IFERROR(__xludf.DUMMYFUNCTION("""COMPUTED_VALUE"""),12800.0)</f>
        <v>12800</v>
      </c>
      <c r="F1040" t="str">
        <f>IFERROR(__xludf.DUMMYFUNCTION("""COMPUTED_VALUE"""),"台銀籌備帳戶")</f>
        <v>台銀籌備帳戶</v>
      </c>
      <c r="G1040" t="str">
        <f>IFERROR(__xludf.DUMMYFUNCTION("""COMPUTED_VALUE"""),"南港站挑高宅")</f>
        <v>南港站挑高宅</v>
      </c>
      <c r="H1040" s="106" t="str">
        <f t="shared" si="1"/>
        <v>2024-11</v>
      </c>
      <c r="I1040" s="271" t="str">
        <f>IFERROR(__xludf.DUMMYFUNCTION("""COMPUTED_VALUE"""),"貓狗企鵝")</f>
        <v>貓狗企鵝</v>
      </c>
      <c r="J1040" t="str">
        <f>IFERROR(__xludf.DUMMYFUNCTION("IFS(
  AND(REGEXMATCH(E1040, ""台銀籌備帳戶|玉山帳戶""), REGEXMATCH(C1040, ""薪資"")), ""分潤支出"",
  AND(REGEXMATCH(E1040, ""Ben帳戶|Elsa帳戶|Ben代墊|Ariel代墊|中信銀行共用""), REGEXMATCH(F1040, ""Ben帳戶|Elsa帳戶|Ben代墊|Ariel代墊|中信銀行共用"")), ""內部轉帳(忽略)"",
  AND(E1040&lt;&gt;"""", F1040&lt;&gt;"""", N"&amp;"OT(REGEXMATCH(C1040, ""薪資""))), ""內部轉帳(忽略)"",
  REGEXMATCH(C1040, ""薪資""), ""薪資變動(不計入)"",
  REGEXMATCH(C1040, ""押金""), ""押金往來"",
  AND(E1040&lt;&gt;"""", F1040=""""), ""真實支出"",
  AND(E1040="""", F1040&lt;&gt;""""), ""真實收入"",
  TRUE, ""其他""
)"),"真實收入")</f>
        <v>真實收入</v>
      </c>
      <c r="K1040" s="270">
        <f t="shared" si="2"/>
        <v>12800</v>
      </c>
      <c r="L1040">
        <f t="shared" si="3"/>
        <v>0</v>
      </c>
    </row>
    <row r="1041">
      <c r="A1041" s="107">
        <f>IFERROR(__xludf.DUMMYFUNCTION("""COMPUTED_VALUE"""),45598.0)</f>
        <v>45598</v>
      </c>
      <c r="B1041" t="str">
        <f>IFERROR(__xludf.DUMMYFUNCTION("""COMPUTED_VALUE"""),"出勤時間(士林天母區)")</f>
        <v>出勤時間(士林天母區)</v>
      </c>
      <c r="C1041" t="str">
        <f>IFERROR(__xludf.DUMMYFUNCTION("""COMPUTED_VALUE"""),"成本 - 出勤費")</f>
        <v>成本 - 出勤費</v>
      </c>
      <c r="D1041" s="270">
        <f>IFERROR(__xludf.DUMMYFUNCTION("""COMPUTED_VALUE"""),-800.0)</f>
        <v>-800</v>
      </c>
      <c r="E1041" t="str">
        <f>IFERROR(__xludf.DUMMYFUNCTION("""COMPUTED_VALUE"""),"Ben帳戶")</f>
        <v>Ben帳戶</v>
      </c>
      <c r="G1041" t="str">
        <f>IFERROR(__xludf.DUMMYFUNCTION("""COMPUTED_VALUE"""),"中山北Feli家")</f>
        <v>中山北Feli家</v>
      </c>
      <c r="H1041" s="106" t="str">
        <f t="shared" si="1"/>
        <v>2024-11</v>
      </c>
      <c r="I1041" s="271" t="str">
        <f>IFERROR(__xludf.DUMMYFUNCTION("""COMPUTED_VALUE"""),"貓狗企鵝")</f>
        <v>貓狗企鵝</v>
      </c>
      <c r="J1041" t="str">
        <f>IFERROR(__xludf.DUMMYFUNCTION("IFS(
  AND(REGEXMATCH(E1041, ""台銀籌備帳戶|玉山帳戶""), REGEXMATCH(C1041, ""薪資"")), ""分潤支出"",
  AND(REGEXMATCH(E1041, ""Ben帳戶|Elsa帳戶|Ben代墊|Ariel代墊|中信銀行共用""), REGEXMATCH(F1041, ""Ben帳戶|Elsa帳戶|Ben代墊|Ariel代墊|中信銀行共用"")), ""內部轉帳(忽略)"",
  AND(E1041&lt;&gt;"""", F1041&lt;&gt;"""", N"&amp;"OT(REGEXMATCH(C1041, ""薪資""))), ""內部轉帳(忽略)"",
  REGEXMATCH(C1041, ""薪資""), ""薪資變動(不計入)"",
  REGEXMATCH(C1041, ""押金""), ""押金往來"",
  AND(E1041&lt;&gt;"""", F1041=""""), ""真實支出"",
  AND(E1041="""", F1041&lt;&gt;""""), ""真實收入"",
  TRUE, ""其他""
)"),"真實支出")</f>
        <v>真實支出</v>
      </c>
      <c r="K1041" s="270">
        <f t="shared" si="2"/>
        <v>-800</v>
      </c>
      <c r="L1041">
        <f t="shared" si="3"/>
        <v>0</v>
      </c>
    </row>
    <row r="1042">
      <c r="A1042" s="107">
        <f>IFERROR(__xludf.DUMMYFUNCTION("""COMPUTED_VALUE"""),45599.0)</f>
        <v>45599</v>
      </c>
      <c r="B1042" t="str">
        <f>IFERROR(__xludf.DUMMYFUNCTION("""COMPUTED_VALUE"""),"D房退押金")</f>
        <v>D房退押金</v>
      </c>
      <c r="C1042" t="str">
        <f>IFERROR(__xludf.DUMMYFUNCTION("""COMPUTED_VALUE"""),"收入 - 押金")</f>
        <v>收入 - 押金</v>
      </c>
      <c r="D1042" s="270">
        <f>IFERROR(__xludf.DUMMYFUNCTION("""COMPUTED_VALUE"""),-28600.0)</f>
        <v>-28600</v>
      </c>
      <c r="E1042" t="str">
        <f>IFERROR(__xludf.DUMMYFUNCTION("""COMPUTED_VALUE"""),"Ben帳戶")</f>
        <v>Ben帳戶</v>
      </c>
      <c r="G1042" t="str">
        <f>IFERROR(__xludf.DUMMYFUNCTION("""COMPUTED_VALUE"""),"金龍帽子先生")</f>
        <v>金龍帽子先生</v>
      </c>
      <c r="H1042" s="106" t="str">
        <f t="shared" si="1"/>
        <v>2024-11</v>
      </c>
      <c r="I1042" s="271" t="str">
        <f>IFERROR(__xludf.DUMMYFUNCTION("""COMPUTED_VALUE"""),"貓狗企鵝")</f>
        <v>貓狗企鵝</v>
      </c>
      <c r="J1042" t="str">
        <f>IFERROR(__xludf.DUMMYFUNCTION("IFS(
  AND(REGEXMATCH(E1042, ""台銀籌備帳戶|玉山帳戶""), REGEXMATCH(C1042, ""薪資"")), ""分潤支出"",
  AND(REGEXMATCH(E1042, ""Ben帳戶|Elsa帳戶|Ben代墊|Ariel代墊|中信銀行共用""), REGEXMATCH(F1042, ""Ben帳戶|Elsa帳戶|Ben代墊|Ariel代墊|中信銀行共用"")), ""內部轉帳(忽略)"",
  AND(E1042&lt;&gt;"""", F1042&lt;&gt;"""", N"&amp;"OT(REGEXMATCH(C1042, ""薪資""))), ""內部轉帳(忽略)"",
  REGEXMATCH(C1042, ""薪資""), ""薪資變動(不計入)"",
  REGEXMATCH(C1042, ""押金""), ""押金往來"",
  AND(E1042&lt;&gt;"""", F1042=""""), ""真實支出"",
  AND(E1042="""", F1042&lt;&gt;""""), ""真實收入"",
  TRUE, ""其他""
)"),"押金往來")</f>
        <v>押金往來</v>
      </c>
      <c r="K1042">
        <f t="shared" si="2"/>
        <v>0</v>
      </c>
      <c r="L1042">
        <f t="shared" si="3"/>
        <v>0</v>
      </c>
    </row>
    <row r="1043">
      <c r="A1043" s="107">
        <f>IFERROR(__xludf.DUMMYFUNCTION("""COMPUTED_VALUE"""),45599.0)</f>
        <v>45599</v>
      </c>
      <c r="B1043" t="str">
        <f>IFERROR(__xludf.DUMMYFUNCTION("""COMPUTED_VALUE"""),"D房 違約金")</f>
        <v>D房 違約金</v>
      </c>
      <c r="C1043" t="str">
        <f>IFERROR(__xludf.DUMMYFUNCTION("""COMPUTED_VALUE"""),"收入 - 租金")</f>
        <v>收入 - 租金</v>
      </c>
      <c r="D1043" s="270">
        <f>IFERROR(__xludf.DUMMYFUNCTION("""COMPUTED_VALUE"""),19600.0)</f>
        <v>19600</v>
      </c>
      <c r="F1043" t="str">
        <f>IFERROR(__xludf.DUMMYFUNCTION("""COMPUTED_VALUE"""),"Ben帳戶")</f>
        <v>Ben帳戶</v>
      </c>
      <c r="G1043" t="str">
        <f>IFERROR(__xludf.DUMMYFUNCTION("""COMPUTED_VALUE"""),"金龍帽子先生")</f>
        <v>金龍帽子先生</v>
      </c>
      <c r="H1043" s="106" t="str">
        <f t="shared" si="1"/>
        <v>2024-11</v>
      </c>
      <c r="I1043" s="271" t="str">
        <f>IFERROR(__xludf.DUMMYFUNCTION("""COMPUTED_VALUE"""),"貓狗企鵝")</f>
        <v>貓狗企鵝</v>
      </c>
      <c r="J1043" t="str">
        <f>IFERROR(__xludf.DUMMYFUNCTION("IFS(
  AND(REGEXMATCH(E1043, ""台銀籌備帳戶|玉山帳戶""), REGEXMATCH(C1043, ""薪資"")), ""分潤支出"",
  AND(REGEXMATCH(E1043, ""Ben帳戶|Elsa帳戶|Ben代墊|Ariel代墊|中信銀行共用""), REGEXMATCH(F1043, ""Ben帳戶|Elsa帳戶|Ben代墊|Ariel代墊|中信銀行共用"")), ""內部轉帳(忽略)"",
  AND(E1043&lt;&gt;"""", F1043&lt;&gt;"""", N"&amp;"OT(REGEXMATCH(C1043, ""薪資""))), ""內部轉帳(忽略)"",
  REGEXMATCH(C1043, ""薪資""), ""薪資變動(不計入)"",
  REGEXMATCH(C1043, ""押金""), ""押金往來"",
  AND(E1043&lt;&gt;"""", F1043=""""), ""真實支出"",
  AND(E1043="""", F1043&lt;&gt;""""), ""真實收入"",
  TRUE, ""其他""
)"),"真實收入")</f>
        <v>真實收入</v>
      </c>
      <c r="K1043" s="270">
        <f t="shared" si="2"/>
        <v>19600</v>
      </c>
      <c r="L1043">
        <f t="shared" si="3"/>
        <v>0</v>
      </c>
    </row>
    <row r="1044">
      <c r="A1044" s="107">
        <f>IFERROR(__xludf.DUMMYFUNCTION("""COMPUTED_VALUE"""),45599.0)</f>
        <v>45599</v>
      </c>
      <c r="B1044" t="str">
        <f>IFERROR(__xludf.DUMMYFUNCTION("""COMPUTED_VALUE"""),"潔客幫娘家清潔3小時")</f>
        <v>潔客幫娘家清潔3小時</v>
      </c>
      <c r="C1044" t="str">
        <f>IFERROR(__xludf.DUMMYFUNCTION("""COMPUTED_VALUE"""),"成本 - 進場前裝潢費")</f>
        <v>成本 - 進場前裝潢費</v>
      </c>
      <c r="D1044" s="270">
        <f>IFERROR(__xludf.DUMMYFUNCTION("""COMPUTED_VALUE"""),-1350.0)</f>
        <v>-1350</v>
      </c>
      <c r="E1044" t="str">
        <f>IFERROR(__xludf.DUMMYFUNCTION("""COMPUTED_VALUE"""),"Elsa帳戶")</f>
        <v>Elsa帳戶</v>
      </c>
      <c r="G1044" t="str">
        <f>IFERROR(__xludf.DUMMYFUNCTION("""COMPUTED_VALUE"""),"中山北娘家旁")</f>
        <v>中山北娘家旁</v>
      </c>
      <c r="H1044" s="106" t="str">
        <f t="shared" si="1"/>
        <v>2024-11</v>
      </c>
      <c r="I1044" s="271" t="str">
        <f>IFERROR(__xludf.DUMMYFUNCTION("""COMPUTED_VALUE"""),"貓狗企鵝")</f>
        <v>貓狗企鵝</v>
      </c>
      <c r="J1044" t="str">
        <f>IFERROR(__xludf.DUMMYFUNCTION("IFS(
  AND(REGEXMATCH(E1044, ""台銀籌備帳戶|玉山帳戶""), REGEXMATCH(C1044, ""薪資"")), ""分潤支出"",
  AND(REGEXMATCH(E1044, ""Ben帳戶|Elsa帳戶|Ben代墊|Ariel代墊|中信銀行共用""), REGEXMATCH(F1044, ""Ben帳戶|Elsa帳戶|Ben代墊|Ariel代墊|中信銀行共用"")), ""內部轉帳(忽略)"",
  AND(E1044&lt;&gt;"""", F1044&lt;&gt;"""", N"&amp;"OT(REGEXMATCH(C1044, ""薪資""))), ""內部轉帳(忽略)"",
  REGEXMATCH(C1044, ""薪資""), ""薪資變動(不計入)"",
  REGEXMATCH(C1044, ""押金""), ""押金往來"",
  AND(E1044&lt;&gt;"""", F1044=""""), ""真實支出"",
  AND(E1044="""", F1044&lt;&gt;""""), ""真實收入"",
  TRUE, ""其他""
)"),"真實支出")</f>
        <v>真實支出</v>
      </c>
      <c r="K1044" s="270">
        <f t="shared" si="2"/>
        <v>-1350</v>
      </c>
      <c r="L1044">
        <f t="shared" si="3"/>
        <v>0</v>
      </c>
    </row>
    <row r="1045">
      <c r="A1045" s="107">
        <f>IFERROR(__xludf.DUMMYFUNCTION("""COMPUTED_VALUE"""),45599.0)</f>
        <v>45599</v>
      </c>
      <c r="B1045" t="str">
        <f>IFERROR(__xludf.DUMMYFUNCTION("""COMPUTED_VALUE"""),"帽子先生 水費")</f>
        <v>帽子先生 水費</v>
      </c>
      <c r="C1045" t="str">
        <f>IFERROR(__xludf.DUMMYFUNCTION("""COMPUTED_VALUE"""),"成本 - 進場前裝潢費")</f>
        <v>成本 - 進場前裝潢費</v>
      </c>
      <c r="D1045" s="270">
        <f>IFERROR(__xludf.DUMMYFUNCTION("""COMPUTED_VALUE"""),-241.0)</f>
        <v>-241</v>
      </c>
      <c r="E1045" t="str">
        <f>IFERROR(__xludf.DUMMYFUNCTION("""COMPUTED_VALUE"""),"Elsa帳戶")</f>
        <v>Elsa帳戶</v>
      </c>
      <c r="G1045" t="str">
        <f>IFERROR(__xludf.DUMMYFUNCTION("""COMPUTED_VALUE"""),"金龍帽子先生")</f>
        <v>金龍帽子先生</v>
      </c>
      <c r="H1045" s="106" t="str">
        <f t="shared" si="1"/>
        <v>2024-11</v>
      </c>
      <c r="I1045" s="271" t="str">
        <f>IFERROR(__xludf.DUMMYFUNCTION("""COMPUTED_VALUE"""),"貓狗企鵝")</f>
        <v>貓狗企鵝</v>
      </c>
      <c r="J1045" t="str">
        <f>IFERROR(__xludf.DUMMYFUNCTION("IFS(
  AND(REGEXMATCH(E1045, ""台銀籌備帳戶|玉山帳戶""), REGEXMATCH(C1045, ""薪資"")), ""分潤支出"",
  AND(REGEXMATCH(E1045, ""Ben帳戶|Elsa帳戶|Ben代墊|Ariel代墊|中信銀行共用""), REGEXMATCH(F1045, ""Ben帳戶|Elsa帳戶|Ben代墊|Ariel代墊|中信銀行共用"")), ""內部轉帳(忽略)"",
  AND(E1045&lt;&gt;"""", F1045&lt;&gt;"""", N"&amp;"OT(REGEXMATCH(C1045, ""薪資""))), ""內部轉帳(忽略)"",
  REGEXMATCH(C1045, ""薪資""), ""薪資變動(不計入)"",
  REGEXMATCH(C1045, ""押金""), ""押金往來"",
  AND(E1045&lt;&gt;"""", F1045=""""), ""真實支出"",
  AND(E1045="""", F1045&lt;&gt;""""), ""真實收入"",
  TRUE, ""其他""
)"),"真實支出")</f>
        <v>真實支出</v>
      </c>
      <c r="K1045" s="270">
        <f t="shared" si="2"/>
        <v>-241</v>
      </c>
      <c r="L1045">
        <f t="shared" si="3"/>
        <v>0</v>
      </c>
    </row>
    <row r="1046">
      <c r="A1046" s="107">
        <f>IFERROR(__xludf.DUMMYFUNCTION("""COMPUTED_VALUE"""),45599.0)</f>
        <v>45599</v>
      </c>
      <c r="B1046" t="str">
        <f>IFERROR(__xludf.DUMMYFUNCTION("""COMPUTED_VALUE"""),"停車費")</f>
        <v>停車費</v>
      </c>
      <c r="C1046" t="str">
        <f>IFERROR(__xludf.DUMMYFUNCTION("""COMPUTED_VALUE"""),"成本 - 進場前裝潢費")</f>
        <v>成本 - 進場前裝潢費</v>
      </c>
      <c r="D1046" s="270">
        <f>IFERROR(__xludf.DUMMYFUNCTION("""COMPUTED_VALUE"""),-250.0)</f>
        <v>-250</v>
      </c>
      <c r="E1046" t="str">
        <f>IFERROR(__xludf.DUMMYFUNCTION("""COMPUTED_VALUE"""),"Elsa帳戶")</f>
        <v>Elsa帳戶</v>
      </c>
      <c r="G1046" t="str">
        <f>IFERROR(__xludf.DUMMYFUNCTION("""COMPUTED_VALUE"""),"中山北娘家旁")</f>
        <v>中山北娘家旁</v>
      </c>
      <c r="H1046" s="106" t="str">
        <f t="shared" si="1"/>
        <v>2024-11</v>
      </c>
      <c r="I1046" s="271" t="str">
        <f>IFERROR(__xludf.DUMMYFUNCTION("""COMPUTED_VALUE"""),"貓狗企鵝")</f>
        <v>貓狗企鵝</v>
      </c>
      <c r="J1046" t="str">
        <f>IFERROR(__xludf.DUMMYFUNCTION("IFS(
  AND(REGEXMATCH(E1046, ""台銀籌備帳戶|玉山帳戶""), REGEXMATCH(C1046, ""薪資"")), ""分潤支出"",
  AND(REGEXMATCH(E1046, ""Ben帳戶|Elsa帳戶|Ben代墊|Ariel代墊|中信銀行共用""), REGEXMATCH(F1046, ""Ben帳戶|Elsa帳戶|Ben代墊|Ariel代墊|中信銀行共用"")), ""內部轉帳(忽略)"",
  AND(E1046&lt;&gt;"""", F1046&lt;&gt;"""", N"&amp;"OT(REGEXMATCH(C1046, ""薪資""))), ""內部轉帳(忽略)"",
  REGEXMATCH(C1046, ""薪資""), ""薪資變動(不計入)"",
  REGEXMATCH(C1046, ""押金""), ""押金往來"",
  AND(E1046&lt;&gt;"""", F1046=""""), ""真實支出"",
  AND(E1046="""", F1046&lt;&gt;""""), ""真實收入"",
  TRUE, ""其他""
)"),"真實支出")</f>
        <v>真實支出</v>
      </c>
      <c r="K1046" s="270">
        <f t="shared" si="2"/>
        <v>-250</v>
      </c>
      <c r="L1046">
        <f t="shared" si="3"/>
        <v>0</v>
      </c>
    </row>
    <row r="1047">
      <c r="A1047" s="107">
        <f>IFERROR(__xludf.DUMMYFUNCTION("""COMPUTED_VALUE"""),45599.0)</f>
        <v>45599</v>
      </c>
      <c r="B1047" t="str">
        <f>IFERROR(__xludf.DUMMYFUNCTION("""COMPUTED_VALUE"""),"三重浴室防水工程")</f>
        <v>三重浴室防水工程</v>
      </c>
      <c r="C1047" t="str">
        <f>IFERROR(__xludf.DUMMYFUNCTION("""COMPUTED_VALUE"""),"費用 - 稅金")</f>
        <v>費用 - 稅金</v>
      </c>
      <c r="D1047" s="270">
        <f>IFERROR(__xludf.DUMMYFUNCTION("""COMPUTED_VALUE"""),-2700.0)</f>
        <v>-2700</v>
      </c>
      <c r="E1047" t="str">
        <f>IFERROR(__xludf.DUMMYFUNCTION("""COMPUTED_VALUE"""),"Elsa帳戶")</f>
        <v>Elsa帳戶</v>
      </c>
      <c r="H1047" s="106" t="str">
        <f t="shared" si="1"/>
        <v>2024-11</v>
      </c>
      <c r="I1047" s="271" t="str">
        <f>IFERROR(__xludf.DUMMYFUNCTION("""COMPUTED_VALUE"""),"貓狗企鵝")</f>
        <v>貓狗企鵝</v>
      </c>
      <c r="J1047" t="str">
        <f>IFERROR(__xludf.DUMMYFUNCTION("IFS(
  AND(REGEXMATCH(E1047, ""台銀籌備帳戶|玉山帳戶""), REGEXMATCH(C1047, ""薪資"")), ""分潤支出"",
  AND(REGEXMATCH(E1047, ""Ben帳戶|Elsa帳戶|Ben代墊|Ariel代墊|中信銀行共用""), REGEXMATCH(F1047, ""Ben帳戶|Elsa帳戶|Ben代墊|Ariel代墊|中信銀行共用"")), ""內部轉帳(忽略)"",
  AND(E1047&lt;&gt;"""", F1047&lt;&gt;"""", N"&amp;"OT(REGEXMATCH(C1047, ""薪資""))), ""內部轉帳(忽略)"",
  REGEXMATCH(C1047, ""薪資""), ""薪資變動(不計入)"",
  REGEXMATCH(C1047, ""押金""), ""押金往來"",
  AND(E1047&lt;&gt;"""", F1047=""""), ""真實支出"",
  AND(E1047="""", F1047&lt;&gt;""""), ""真實收入"",
  TRUE, ""其他""
)"),"真實支出")</f>
        <v>真實支出</v>
      </c>
      <c r="K1047" s="270">
        <f t="shared" si="2"/>
        <v>-2700</v>
      </c>
      <c r="L1047">
        <f t="shared" si="3"/>
        <v>0</v>
      </c>
    </row>
    <row r="1048">
      <c r="A1048" s="107">
        <f>IFERROR(__xludf.DUMMYFUNCTION("""COMPUTED_VALUE"""),45599.0)</f>
        <v>45599</v>
      </c>
      <c r="B1048" t="str">
        <f>IFERROR(__xludf.DUMMYFUNCTION("""COMPUTED_VALUE"""),"娘家C首租")</f>
        <v>娘家C首租</v>
      </c>
      <c r="C1048" t="str">
        <f>IFERROR(__xludf.DUMMYFUNCTION("""COMPUTED_VALUE"""),"收入 - 租金")</f>
        <v>收入 - 租金</v>
      </c>
      <c r="D1048" s="270">
        <f>IFERROR(__xludf.DUMMYFUNCTION("""COMPUTED_VALUE"""),11160.0)</f>
        <v>11160</v>
      </c>
      <c r="F1048" t="str">
        <f>IFERROR(__xludf.DUMMYFUNCTION("""COMPUTED_VALUE"""),"台銀籌備帳戶")</f>
        <v>台銀籌備帳戶</v>
      </c>
      <c r="G1048" t="str">
        <f>IFERROR(__xludf.DUMMYFUNCTION("""COMPUTED_VALUE"""),"中山北娘家旁")</f>
        <v>中山北娘家旁</v>
      </c>
      <c r="H1048" s="106" t="str">
        <f t="shared" si="1"/>
        <v>2024-11</v>
      </c>
      <c r="I1048" s="271" t="str">
        <f>IFERROR(__xludf.DUMMYFUNCTION("""COMPUTED_VALUE"""),"貓狗企鵝")</f>
        <v>貓狗企鵝</v>
      </c>
      <c r="J1048" t="str">
        <f>IFERROR(__xludf.DUMMYFUNCTION("IFS(
  AND(REGEXMATCH(E1048, ""台銀籌備帳戶|玉山帳戶""), REGEXMATCH(C1048, ""薪資"")), ""分潤支出"",
  AND(REGEXMATCH(E1048, ""Ben帳戶|Elsa帳戶|Ben代墊|Ariel代墊|中信銀行共用""), REGEXMATCH(F1048, ""Ben帳戶|Elsa帳戶|Ben代墊|Ariel代墊|中信銀行共用"")), ""內部轉帳(忽略)"",
  AND(E1048&lt;&gt;"""", F1048&lt;&gt;"""", N"&amp;"OT(REGEXMATCH(C1048, ""薪資""))), ""內部轉帳(忽略)"",
  REGEXMATCH(C1048, ""薪資""), ""薪資變動(不計入)"",
  REGEXMATCH(C1048, ""押金""), ""押金往來"",
  AND(E1048&lt;&gt;"""", F1048=""""), ""真實支出"",
  AND(E1048="""", F1048&lt;&gt;""""), ""真實收入"",
  TRUE, ""其他""
)"),"真實收入")</f>
        <v>真實收入</v>
      </c>
      <c r="K1048" s="270">
        <f t="shared" si="2"/>
        <v>11160</v>
      </c>
      <c r="L1048">
        <f t="shared" si="3"/>
        <v>0</v>
      </c>
    </row>
    <row r="1049">
      <c r="A1049" s="107">
        <f>IFERROR(__xludf.DUMMYFUNCTION("""COMPUTED_VALUE"""),45599.0)</f>
        <v>45599</v>
      </c>
      <c r="B1049" t="str">
        <f>IFERROR(__xludf.DUMMYFUNCTION("""COMPUTED_VALUE"""),"門把滅火器等費用(天母區)")</f>
        <v>門把滅火器等費用(天母區)</v>
      </c>
      <c r="C1049" t="str">
        <f>IFERROR(__xludf.DUMMYFUNCTION("""COMPUTED_VALUE"""),"成本 - 進場前裝潢費")</f>
        <v>成本 - 進場前裝潢費</v>
      </c>
      <c r="D1049" s="270">
        <f>IFERROR(__xludf.DUMMYFUNCTION("""COMPUTED_VALUE"""),-2557.0)</f>
        <v>-2557</v>
      </c>
      <c r="E1049" t="str">
        <f>IFERROR(__xludf.DUMMYFUNCTION("""COMPUTED_VALUE"""),"Ben帳戶")</f>
        <v>Ben帳戶</v>
      </c>
      <c r="G1049" t="str">
        <f>IFERROR(__xludf.DUMMYFUNCTION("""COMPUTED_VALUE"""),"中山北Feli家")</f>
        <v>中山北Feli家</v>
      </c>
      <c r="H1049" s="106" t="str">
        <f t="shared" si="1"/>
        <v>2024-11</v>
      </c>
      <c r="I1049" s="271" t="str">
        <f>IFERROR(__xludf.DUMMYFUNCTION("""COMPUTED_VALUE"""),"貓狗企鵝")</f>
        <v>貓狗企鵝</v>
      </c>
      <c r="J1049" t="str">
        <f>IFERROR(__xludf.DUMMYFUNCTION("IFS(
  AND(REGEXMATCH(E1049, ""台銀籌備帳戶|玉山帳戶""), REGEXMATCH(C1049, ""薪資"")), ""分潤支出"",
  AND(REGEXMATCH(E1049, ""Ben帳戶|Elsa帳戶|Ben代墊|Ariel代墊|中信銀行共用""), REGEXMATCH(F1049, ""Ben帳戶|Elsa帳戶|Ben代墊|Ariel代墊|中信銀行共用"")), ""內部轉帳(忽略)"",
  AND(E1049&lt;&gt;"""", F1049&lt;&gt;"""", N"&amp;"OT(REGEXMATCH(C1049, ""薪資""))), ""內部轉帳(忽略)"",
  REGEXMATCH(C1049, ""薪資""), ""薪資變動(不計入)"",
  REGEXMATCH(C1049, ""押金""), ""押金往來"",
  AND(E1049&lt;&gt;"""", F1049=""""), ""真實支出"",
  AND(E1049="""", F1049&lt;&gt;""""), ""真實收入"",
  TRUE, ""其他""
)"),"真實支出")</f>
        <v>真實支出</v>
      </c>
      <c r="K1049" s="270">
        <f t="shared" si="2"/>
        <v>-2557</v>
      </c>
      <c r="L1049">
        <f t="shared" si="3"/>
        <v>0</v>
      </c>
    </row>
    <row r="1050">
      <c r="A1050" s="107">
        <f>IFERROR(__xludf.DUMMYFUNCTION("""COMPUTED_VALUE"""),45600.0)</f>
        <v>45600</v>
      </c>
      <c r="B1050" t="str">
        <f>IFERROR(__xludf.DUMMYFUNCTION("""COMPUTED_VALUE"""),"滅火器")</f>
        <v>滅火器</v>
      </c>
      <c r="C1050" t="str">
        <f>IFERROR(__xludf.DUMMYFUNCTION("""COMPUTED_VALUE"""),"成本 - 進場前裝潢費")</f>
        <v>成本 - 進場前裝潢費</v>
      </c>
      <c r="D1050" s="270">
        <f>IFERROR(__xludf.DUMMYFUNCTION("""COMPUTED_VALUE"""),-640.0)</f>
        <v>-640</v>
      </c>
      <c r="E1050" t="str">
        <f>IFERROR(__xludf.DUMMYFUNCTION("""COMPUTED_VALUE"""),"Elsa帳戶")</f>
        <v>Elsa帳戶</v>
      </c>
      <c r="G1050" t="str">
        <f>IFERROR(__xludf.DUMMYFUNCTION("""COMPUTED_VALUE"""),"中山北娘家旁")</f>
        <v>中山北娘家旁</v>
      </c>
      <c r="H1050" s="106" t="str">
        <f t="shared" si="1"/>
        <v>2024-11</v>
      </c>
      <c r="I1050" s="271" t="str">
        <f>IFERROR(__xludf.DUMMYFUNCTION("""COMPUTED_VALUE"""),"貓狗企鵝")</f>
        <v>貓狗企鵝</v>
      </c>
      <c r="J1050" t="str">
        <f>IFERROR(__xludf.DUMMYFUNCTION("IFS(
  AND(REGEXMATCH(E1050, ""台銀籌備帳戶|玉山帳戶""), REGEXMATCH(C1050, ""薪資"")), ""分潤支出"",
  AND(REGEXMATCH(E1050, ""Ben帳戶|Elsa帳戶|Ben代墊|Ariel代墊|中信銀行共用""), REGEXMATCH(F1050, ""Ben帳戶|Elsa帳戶|Ben代墊|Ariel代墊|中信銀行共用"")), ""內部轉帳(忽略)"",
  AND(E1050&lt;&gt;"""", F1050&lt;&gt;"""", N"&amp;"OT(REGEXMATCH(C1050, ""薪資""))), ""內部轉帳(忽略)"",
  REGEXMATCH(C1050, ""薪資""), ""薪資變動(不計入)"",
  REGEXMATCH(C1050, ""押金""), ""押金往來"",
  AND(E1050&lt;&gt;"""", F1050=""""), ""真實支出"",
  AND(E1050="""", F1050&lt;&gt;""""), ""真實收入"",
  TRUE, ""其他""
)"),"真實支出")</f>
        <v>真實支出</v>
      </c>
      <c r="K1050" s="270">
        <f t="shared" si="2"/>
        <v>-640</v>
      </c>
      <c r="L1050">
        <f t="shared" si="3"/>
        <v>0</v>
      </c>
    </row>
    <row r="1051">
      <c r="A1051" s="107">
        <f>IFERROR(__xludf.DUMMYFUNCTION("""COMPUTED_VALUE"""),45600.0)</f>
        <v>45600</v>
      </c>
      <c r="B1051" t="str">
        <f>IFERROR(__xludf.DUMMYFUNCTION("""COMPUTED_VALUE"""),"滅火器")</f>
        <v>滅火器</v>
      </c>
      <c r="C1051" t="str">
        <f>IFERROR(__xludf.DUMMYFUNCTION("""COMPUTED_VALUE"""),"成本 - 進場前裝潢費")</f>
        <v>成本 - 進場前裝潢費</v>
      </c>
      <c r="D1051" s="270">
        <f>IFERROR(__xludf.DUMMYFUNCTION("""COMPUTED_VALUE"""),-1280.0)</f>
        <v>-1280</v>
      </c>
      <c r="E1051" t="str">
        <f>IFERROR(__xludf.DUMMYFUNCTION("""COMPUTED_VALUE"""),"Elsa帳戶")</f>
        <v>Elsa帳戶</v>
      </c>
      <c r="G1051" t="str">
        <f>IFERROR(__xludf.DUMMYFUNCTION("""COMPUTED_VALUE"""),"中山北Feli家")</f>
        <v>中山北Feli家</v>
      </c>
      <c r="H1051" s="106" t="str">
        <f t="shared" si="1"/>
        <v>2024-11</v>
      </c>
      <c r="I1051" s="271" t="str">
        <f>IFERROR(__xludf.DUMMYFUNCTION("""COMPUTED_VALUE"""),"貓狗企鵝")</f>
        <v>貓狗企鵝</v>
      </c>
      <c r="J1051" t="str">
        <f>IFERROR(__xludf.DUMMYFUNCTION("IFS(
  AND(REGEXMATCH(E1051, ""台銀籌備帳戶|玉山帳戶""), REGEXMATCH(C1051, ""薪資"")), ""分潤支出"",
  AND(REGEXMATCH(E1051, ""Ben帳戶|Elsa帳戶|Ben代墊|Ariel代墊|中信銀行共用""), REGEXMATCH(F1051, ""Ben帳戶|Elsa帳戶|Ben代墊|Ariel代墊|中信銀行共用"")), ""內部轉帳(忽略)"",
  AND(E1051&lt;&gt;"""", F1051&lt;&gt;"""", N"&amp;"OT(REGEXMATCH(C1051, ""薪資""))), ""內部轉帳(忽略)"",
  REGEXMATCH(C1051, ""薪資""), ""薪資變動(不計入)"",
  REGEXMATCH(C1051, ""押金""), ""押金往來"",
  AND(E1051&lt;&gt;"""", F1051=""""), ""真實支出"",
  AND(E1051="""", F1051&lt;&gt;""""), ""真實收入"",
  TRUE, ""其他""
)"),"真實支出")</f>
        <v>真實支出</v>
      </c>
      <c r="K1051" s="270">
        <f t="shared" si="2"/>
        <v>-1280</v>
      </c>
      <c r="L1051">
        <f t="shared" si="3"/>
        <v>0</v>
      </c>
    </row>
    <row r="1052">
      <c r="A1052" s="107">
        <f>IFERROR(__xludf.DUMMYFUNCTION("""COMPUTED_VALUE"""),45600.0)</f>
        <v>45600</v>
      </c>
      <c r="B1052" t="str">
        <f>IFERROR(__xludf.DUMMYFUNCTION("""COMPUTED_VALUE"""),"馬梯")</f>
        <v>馬梯</v>
      </c>
      <c r="C1052" t="str">
        <f>IFERROR(__xludf.DUMMYFUNCTION("""COMPUTED_VALUE"""),"成本 - 進場前裝潢費")</f>
        <v>成本 - 進場前裝潢費</v>
      </c>
      <c r="D1052" s="270">
        <f>IFERROR(__xludf.DUMMYFUNCTION("""COMPUTED_VALUE"""),-549.0)</f>
        <v>-549</v>
      </c>
      <c r="E1052" t="str">
        <f>IFERROR(__xludf.DUMMYFUNCTION("""COMPUTED_VALUE"""),"Ben帳戶")</f>
        <v>Ben帳戶</v>
      </c>
      <c r="G1052" t="str">
        <f>IFERROR(__xludf.DUMMYFUNCTION("""COMPUTED_VALUE"""),"中山北娘家旁")</f>
        <v>中山北娘家旁</v>
      </c>
      <c r="H1052" s="106" t="str">
        <f t="shared" si="1"/>
        <v>2024-11</v>
      </c>
      <c r="I1052" s="271" t="str">
        <f>IFERROR(__xludf.DUMMYFUNCTION("""COMPUTED_VALUE"""),"貓狗企鵝")</f>
        <v>貓狗企鵝</v>
      </c>
      <c r="J1052" t="str">
        <f>IFERROR(__xludf.DUMMYFUNCTION("IFS(
  AND(REGEXMATCH(E1052, ""台銀籌備帳戶|玉山帳戶""), REGEXMATCH(C1052, ""薪資"")), ""分潤支出"",
  AND(REGEXMATCH(E1052, ""Ben帳戶|Elsa帳戶|Ben代墊|Ariel代墊|中信銀行共用""), REGEXMATCH(F1052, ""Ben帳戶|Elsa帳戶|Ben代墊|Ariel代墊|中信銀行共用"")), ""內部轉帳(忽略)"",
  AND(E1052&lt;&gt;"""", F1052&lt;&gt;"""", N"&amp;"OT(REGEXMATCH(C1052, ""薪資""))), ""內部轉帳(忽略)"",
  REGEXMATCH(C1052, ""薪資""), ""薪資變動(不計入)"",
  REGEXMATCH(C1052, ""押金""), ""押金往來"",
  AND(E1052&lt;&gt;"""", F1052=""""), ""真實支出"",
  AND(E1052="""", F1052&lt;&gt;""""), ""真實收入"",
  TRUE, ""其他""
)"),"真實支出")</f>
        <v>真實支出</v>
      </c>
      <c r="K1052" s="270">
        <f t="shared" si="2"/>
        <v>-549</v>
      </c>
      <c r="L1052">
        <f t="shared" si="3"/>
        <v>0</v>
      </c>
    </row>
    <row r="1053">
      <c r="A1053" s="107">
        <f>IFERROR(__xludf.DUMMYFUNCTION("""COMPUTED_VALUE"""),45600.0)</f>
        <v>45600</v>
      </c>
      <c r="B1053" t="str">
        <f>IFERROR(__xludf.DUMMYFUNCTION("""COMPUTED_VALUE"""),"馬梯")</f>
        <v>馬梯</v>
      </c>
      <c r="C1053" t="str">
        <f>IFERROR(__xludf.DUMMYFUNCTION("""COMPUTED_VALUE"""),"成本 - 進場前裝潢費")</f>
        <v>成本 - 進場前裝潢費</v>
      </c>
      <c r="D1053" s="270">
        <f>IFERROR(__xludf.DUMMYFUNCTION("""COMPUTED_VALUE"""),-549.0)</f>
        <v>-549</v>
      </c>
      <c r="E1053" t="str">
        <f>IFERROR(__xludf.DUMMYFUNCTION("""COMPUTED_VALUE"""),"Ben帳戶")</f>
        <v>Ben帳戶</v>
      </c>
      <c r="G1053" t="str">
        <f>IFERROR(__xludf.DUMMYFUNCTION("""COMPUTED_VALUE"""),"中山北Feli家")</f>
        <v>中山北Feli家</v>
      </c>
      <c r="H1053" s="106" t="str">
        <f t="shared" si="1"/>
        <v>2024-11</v>
      </c>
      <c r="I1053" s="271" t="str">
        <f>IFERROR(__xludf.DUMMYFUNCTION("""COMPUTED_VALUE"""),"貓狗企鵝")</f>
        <v>貓狗企鵝</v>
      </c>
      <c r="J1053" t="str">
        <f>IFERROR(__xludf.DUMMYFUNCTION("IFS(
  AND(REGEXMATCH(E1053, ""台銀籌備帳戶|玉山帳戶""), REGEXMATCH(C1053, ""薪資"")), ""分潤支出"",
  AND(REGEXMATCH(E1053, ""Ben帳戶|Elsa帳戶|Ben代墊|Ariel代墊|中信銀行共用""), REGEXMATCH(F1053, ""Ben帳戶|Elsa帳戶|Ben代墊|Ariel代墊|中信銀行共用"")), ""內部轉帳(忽略)"",
  AND(E1053&lt;&gt;"""", F1053&lt;&gt;"""", N"&amp;"OT(REGEXMATCH(C1053, ""薪資""))), ""內部轉帳(忽略)"",
  REGEXMATCH(C1053, ""薪資""), ""薪資變動(不計入)"",
  REGEXMATCH(C1053, ""押金""), ""押金往來"",
  AND(E1053&lt;&gt;"""", F1053=""""), ""真實支出"",
  AND(E1053="""", F1053&lt;&gt;""""), ""真實收入"",
  TRUE, ""其他""
)"),"真實支出")</f>
        <v>真實支出</v>
      </c>
      <c r="K1053" s="270">
        <f t="shared" si="2"/>
        <v>-549</v>
      </c>
      <c r="L1053">
        <f t="shared" si="3"/>
        <v>0</v>
      </c>
    </row>
    <row r="1054">
      <c r="A1054" s="107">
        <f>IFERROR(__xludf.DUMMYFUNCTION("""COMPUTED_VALUE"""),45600.0)</f>
        <v>45600</v>
      </c>
      <c r="B1054" t="str">
        <f>IFERROR(__xludf.DUMMYFUNCTION("""COMPUTED_VALUE"""),"北醫醫師府F林雍勳")</f>
        <v>北醫醫師府F林雍勳</v>
      </c>
      <c r="C1054" t="str">
        <f>IFERROR(__xludf.DUMMYFUNCTION("""COMPUTED_VALUE"""),"收入 - 租金")</f>
        <v>收入 - 租金</v>
      </c>
      <c r="D1054" s="270">
        <f>IFERROR(__xludf.DUMMYFUNCTION("""COMPUTED_VALUE"""),14800.0)</f>
        <v>14800</v>
      </c>
      <c r="F1054" t="str">
        <f>IFERROR(__xludf.DUMMYFUNCTION("""COMPUTED_VALUE"""),"台銀籌備帳戶")</f>
        <v>台銀籌備帳戶</v>
      </c>
      <c r="G1054" t="str">
        <f>IFERROR(__xludf.DUMMYFUNCTION("""COMPUTED_VALUE"""),"北醫醫師府")</f>
        <v>北醫醫師府</v>
      </c>
      <c r="H1054" s="106" t="str">
        <f t="shared" si="1"/>
        <v>2024-11</v>
      </c>
      <c r="I1054" s="271" t="str">
        <f>IFERROR(__xludf.DUMMYFUNCTION("""COMPUTED_VALUE"""),"貓狗企鵝")</f>
        <v>貓狗企鵝</v>
      </c>
      <c r="J1054" t="str">
        <f>IFERROR(__xludf.DUMMYFUNCTION("IFS(
  AND(REGEXMATCH(E1054, ""台銀籌備帳戶|玉山帳戶""), REGEXMATCH(C1054, ""薪資"")), ""分潤支出"",
  AND(REGEXMATCH(E1054, ""Ben帳戶|Elsa帳戶|Ben代墊|Ariel代墊|中信銀行共用""), REGEXMATCH(F1054, ""Ben帳戶|Elsa帳戶|Ben代墊|Ariel代墊|中信銀行共用"")), ""內部轉帳(忽略)"",
  AND(E1054&lt;&gt;"""", F1054&lt;&gt;"""", N"&amp;"OT(REGEXMATCH(C1054, ""薪資""))), ""內部轉帳(忽略)"",
  REGEXMATCH(C1054, ""薪資""), ""薪資變動(不計入)"",
  REGEXMATCH(C1054, ""押金""), ""押金往來"",
  AND(E1054&lt;&gt;"""", F1054=""""), ""真實支出"",
  AND(E1054="""", F1054&lt;&gt;""""), ""真實收入"",
  TRUE, ""其他""
)"),"真實收入")</f>
        <v>真實收入</v>
      </c>
      <c r="K1054" s="270">
        <f t="shared" si="2"/>
        <v>14800</v>
      </c>
      <c r="L1054">
        <f t="shared" si="3"/>
        <v>0</v>
      </c>
    </row>
    <row r="1055">
      <c r="A1055" s="107">
        <f>IFERROR(__xludf.DUMMYFUNCTION("""COMPUTED_VALUE"""),45600.0)</f>
        <v>45600</v>
      </c>
      <c r="B1055" t="str">
        <f>IFERROR(__xludf.DUMMYFUNCTION("""COMPUTED_VALUE"""),"景安D 首租二押")</f>
        <v>景安D 首租二押</v>
      </c>
      <c r="C1055" t="str">
        <f>IFERROR(__xludf.DUMMYFUNCTION("""COMPUTED_VALUE"""),"收入 - 押金")</f>
        <v>收入 - 押金</v>
      </c>
      <c r="D1055" s="270">
        <f>IFERROR(__xludf.DUMMYFUNCTION("""COMPUTED_VALUE"""),17200.0)</f>
        <v>17200</v>
      </c>
      <c r="F1055" t="str">
        <f>IFERROR(__xludf.DUMMYFUNCTION("""COMPUTED_VALUE"""),"台銀籌備帳戶")</f>
        <v>台銀籌備帳戶</v>
      </c>
      <c r="G1055" t="str">
        <f>IFERROR(__xludf.DUMMYFUNCTION("""COMPUTED_VALUE"""),"景安2分鐘")</f>
        <v>景安2分鐘</v>
      </c>
      <c r="H1055" s="106" t="str">
        <f t="shared" si="1"/>
        <v>2024-11</v>
      </c>
      <c r="I1055" s="271" t="str">
        <f>IFERROR(__xludf.DUMMYFUNCTION("""COMPUTED_VALUE"""),"貓狗企鵝")</f>
        <v>貓狗企鵝</v>
      </c>
      <c r="J1055" t="str">
        <f>IFERROR(__xludf.DUMMYFUNCTION("IFS(
  AND(REGEXMATCH(E1055, ""台銀籌備帳戶|玉山帳戶""), REGEXMATCH(C1055, ""薪資"")), ""分潤支出"",
  AND(REGEXMATCH(E1055, ""Ben帳戶|Elsa帳戶|Ben代墊|Ariel代墊|中信銀行共用""), REGEXMATCH(F1055, ""Ben帳戶|Elsa帳戶|Ben代墊|Ariel代墊|中信銀行共用"")), ""內部轉帳(忽略)"",
  AND(E1055&lt;&gt;"""", F1055&lt;&gt;"""", N"&amp;"OT(REGEXMATCH(C1055, ""薪資""))), ""內部轉帳(忽略)"",
  REGEXMATCH(C1055, ""薪資""), ""薪資變動(不計入)"",
  REGEXMATCH(C1055, ""押金""), ""押金往來"",
  AND(E1055&lt;&gt;"""", F1055=""""), ""真實支出"",
  AND(E1055="""", F1055&lt;&gt;""""), ""真實收入"",
  TRUE, ""其他""
)"),"押金往來")</f>
        <v>押金往來</v>
      </c>
      <c r="K1055">
        <f t="shared" si="2"/>
        <v>0</v>
      </c>
      <c r="L1055">
        <f t="shared" si="3"/>
        <v>0</v>
      </c>
    </row>
    <row r="1056">
      <c r="A1056" s="107">
        <f>IFERROR(__xludf.DUMMYFUNCTION("""COMPUTED_VALUE"""),45600.0)</f>
        <v>45600</v>
      </c>
      <c r="B1056" t="str">
        <f>IFERROR(__xludf.DUMMYFUNCTION("""COMPUTED_VALUE"""),"景安E 首租二押")</f>
        <v>景安E 首租二押</v>
      </c>
      <c r="C1056" t="str">
        <f>IFERROR(__xludf.DUMMYFUNCTION("""COMPUTED_VALUE"""),"收入 - 押金")</f>
        <v>收入 - 押金</v>
      </c>
      <c r="D1056" s="270">
        <f>IFERROR(__xludf.DUMMYFUNCTION("""COMPUTED_VALUE"""),17000.0)</f>
        <v>17000</v>
      </c>
      <c r="F1056" t="str">
        <f>IFERROR(__xludf.DUMMYFUNCTION("""COMPUTED_VALUE"""),"台銀籌備帳戶")</f>
        <v>台銀籌備帳戶</v>
      </c>
      <c r="G1056" t="str">
        <f>IFERROR(__xludf.DUMMYFUNCTION("""COMPUTED_VALUE"""),"景安2分鐘")</f>
        <v>景安2分鐘</v>
      </c>
      <c r="H1056" s="106" t="str">
        <f t="shared" si="1"/>
        <v>2024-11</v>
      </c>
      <c r="I1056" s="271" t="str">
        <f>IFERROR(__xludf.DUMMYFUNCTION("""COMPUTED_VALUE"""),"貓狗企鵝")</f>
        <v>貓狗企鵝</v>
      </c>
      <c r="J1056" t="str">
        <f>IFERROR(__xludf.DUMMYFUNCTION("IFS(
  AND(REGEXMATCH(E1056, ""台銀籌備帳戶|玉山帳戶""), REGEXMATCH(C1056, ""薪資"")), ""分潤支出"",
  AND(REGEXMATCH(E1056, ""Ben帳戶|Elsa帳戶|Ben代墊|Ariel代墊|中信銀行共用""), REGEXMATCH(F1056, ""Ben帳戶|Elsa帳戶|Ben代墊|Ariel代墊|中信銀行共用"")), ""內部轉帳(忽略)"",
  AND(E1056&lt;&gt;"""", F1056&lt;&gt;"""", N"&amp;"OT(REGEXMATCH(C1056, ""薪資""))), ""內部轉帳(忽略)"",
  REGEXMATCH(C1056, ""薪資""), ""薪資變動(不計入)"",
  REGEXMATCH(C1056, ""押金""), ""押金往來"",
  AND(E1056&lt;&gt;"""", F1056=""""), ""真實支出"",
  AND(E1056="""", F1056&lt;&gt;""""), ""真實收入"",
  TRUE, ""其他""
)"),"押金往來")</f>
        <v>押金往來</v>
      </c>
      <c r="K1056">
        <f t="shared" si="2"/>
        <v>0</v>
      </c>
      <c r="L1056">
        <f t="shared" si="3"/>
        <v>0</v>
      </c>
    </row>
    <row r="1057">
      <c r="A1057" s="107">
        <f>IFERROR(__xludf.DUMMYFUNCTION("""COMPUTED_VALUE"""),45600.0)</f>
        <v>45600</v>
      </c>
      <c r="B1057" t="str">
        <f>IFERROR(__xludf.DUMMYFUNCTION("""COMPUTED_VALUE"""),"龍江229	C	陳雨彤")</f>
        <v>龍江229	C	陳雨彤</v>
      </c>
      <c r="C1057" t="str">
        <f>IFERROR(__xludf.DUMMYFUNCTION("""COMPUTED_VALUE"""),"收入 - 租金")</f>
        <v>收入 - 租金</v>
      </c>
      <c r="D1057" s="270">
        <f>IFERROR(__xludf.DUMMYFUNCTION("""COMPUTED_VALUE"""),16800.0)</f>
        <v>16800</v>
      </c>
      <c r="F1057" t="str">
        <f>IFERROR(__xludf.DUMMYFUNCTION("""COMPUTED_VALUE"""),"台銀籌備帳戶")</f>
        <v>台銀籌備帳戶</v>
      </c>
      <c r="G1057" t="str">
        <f>IFERROR(__xludf.DUMMYFUNCTION("""COMPUTED_VALUE"""),"龍江229")</f>
        <v>龍江229</v>
      </c>
      <c r="H1057" s="106" t="str">
        <f t="shared" si="1"/>
        <v>2024-11</v>
      </c>
      <c r="I1057" s="271" t="str">
        <f>IFERROR(__xludf.DUMMYFUNCTION("""COMPUTED_VALUE"""),"貓狗企鵝")</f>
        <v>貓狗企鵝</v>
      </c>
      <c r="J1057" t="str">
        <f>IFERROR(__xludf.DUMMYFUNCTION("IFS(
  AND(REGEXMATCH(E1057, ""台銀籌備帳戶|玉山帳戶""), REGEXMATCH(C1057, ""薪資"")), ""分潤支出"",
  AND(REGEXMATCH(E1057, ""Ben帳戶|Elsa帳戶|Ben代墊|Ariel代墊|中信銀行共用""), REGEXMATCH(F1057, ""Ben帳戶|Elsa帳戶|Ben代墊|Ariel代墊|中信銀行共用"")), ""內部轉帳(忽略)"",
  AND(E1057&lt;&gt;"""", F1057&lt;&gt;"""", N"&amp;"OT(REGEXMATCH(C1057, ""薪資""))), ""內部轉帳(忽略)"",
  REGEXMATCH(C1057, ""薪資""), ""薪資變動(不計入)"",
  REGEXMATCH(C1057, ""押金""), ""押金往來"",
  AND(E1057&lt;&gt;"""", F1057=""""), ""真實支出"",
  AND(E1057="""", F1057&lt;&gt;""""), ""真實收入"",
  TRUE, ""其他""
)"),"真實收入")</f>
        <v>真實收入</v>
      </c>
      <c r="K1057" s="270">
        <f t="shared" si="2"/>
        <v>16800</v>
      </c>
      <c r="L1057">
        <f t="shared" si="3"/>
        <v>0</v>
      </c>
    </row>
    <row r="1058">
      <c r="A1058" s="107">
        <f>IFERROR(__xludf.DUMMYFUNCTION("""COMPUTED_VALUE"""),45601.0)</f>
        <v>45601</v>
      </c>
      <c r="B1058" t="str">
        <f>IFERROR(__xludf.DUMMYFUNCTION("""COMPUTED_VALUE"""),"Lala 儲值")</f>
        <v>Lala 儲值</v>
      </c>
      <c r="C1058" t="str">
        <f>IFERROR(__xludf.DUMMYFUNCTION("""COMPUTED_VALUE"""),"費用 - 交通費")</f>
        <v>費用 - 交通費</v>
      </c>
      <c r="D1058" s="270">
        <f>IFERROR(__xludf.DUMMYFUNCTION("""COMPUTED_VALUE"""),-500.0)</f>
        <v>-500</v>
      </c>
      <c r="E1058" t="str">
        <f>IFERROR(__xludf.DUMMYFUNCTION("""COMPUTED_VALUE"""),"Ben帳戶")</f>
        <v>Ben帳戶</v>
      </c>
      <c r="H1058" s="106" t="str">
        <f t="shared" si="1"/>
        <v>2024-11</v>
      </c>
      <c r="I1058" s="271" t="str">
        <f>IFERROR(__xludf.DUMMYFUNCTION("""COMPUTED_VALUE"""),"貓狗企鵝")</f>
        <v>貓狗企鵝</v>
      </c>
      <c r="J1058" t="str">
        <f>IFERROR(__xludf.DUMMYFUNCTION("IFS(
  AND(REGEXMATCH(E1058, ""台銀籌備帳戶|玉山帳戶""), REGEXMATCH(C1058, ""薪資"")), ""分潤支出"",
  AND(REGEXMATCH(E1058, ""Ben帳戶|Elsa帳戶|Ben代墊|Ariel代墊|中信銀行共用""), REGEXMATCH(F1058, ""Ben帳戶|Elsa帳戶|Ben代墊|Ariel代墊|中信銀行共用"")), ""內部轉帳(忽略)"",
  AND(E1058&lt;&gt;"""", F1058&lt;&gt;"""", N"&amp;"OT(REGEXMATCH(C1058, ""薪資""))), ""內部轉帳(忽略)"",
  REGEXMATCH(C1058, ""薪資""), ""薪資變動(不計入)"",
  REGEXMATCH(C1058, ""押金""), ""押金往來"",
  AND(E1058&lt;&gt;"""", F1058=""""), ""真實支出"",
  AND(E1058="""", F1058&lt;&gt;""""), ""真實收入"",
  TRUE, ""其他""
)"),"真實支出")</f>
        <v>真實支出</v>
      </c>
      <c r="K1058" s="270">
        <f t="shared" si="2"/>
        <v>-500</v>
      </c>
      <c r="L1058">
        <f t="shared" si="3"/>
        <v>0</v>
      </c>
    </row>
    <row r="1059">
      <c r="A1059" s="107">
        <f>IFERROR(__xludf.DUMMYFUNCTION("""COMPUTED_VALUE"""),45601.0)</f>
        <v>45601</v>
      </c>
      <c r="B1059" t="str">
        <f>IFERROR(__xludf.DUMMYFUNCTION("""COMPUTED_VALUE"""),"妥妥租契約專用章")</f>
        <v>妥妥租契約專用章</v>
      </c>
      <c r="C1059" t="str">
        <f>IFERROR(__xludf.DUMMYFUNCTION("""COMPUTED_VALUE"""),"費用 - 辦公用品")</f>
        <v>費用 - 辦公用品</v>
      </c>
      <c r="D1059" s="270">
        <f>IFERROR(__xludf.DUMMYFUNCTION("""COMPUTED_VALUE"""),-600.0)</f>
        <v>-600</v>
      </c>
      <c r="E1059" t="str">
        <f>IFERROR(__xludf.DUMMYFUNCTION("""COMPUTED_VALUE"""),"Elsa帳戶")</f>
        <v>Elsa帳戶</v>
      </c>
      <c r="H1059" s="106" t="str">
        <f t="shared" si="1"/>
        <v>2024-11</v>
      </c>
      <c r="I1059" s="271" t="str">
        <f>IFERROR(__xludf.DUMMYFUNCTION("""COMPUTED_VALUE"""),"貓狗企鵝")</f>
        <v>貓狗企鵝</v>
      </c>
      <c r="J1059" t="str">
        <f>IFERROR(__xludf.DUMMYFUNCTION("IFS(
  AND(REGEXMATCH(E1059, ""台銀籌備帳戶|玉山帳戶""), REGEXMATCH(C1059, ""薪資"")), ""分潤支出"",
  AND(REGEXMATCH(E1059, ""Ben帳戶|Elsa帳戶|Ben代墊|Ariel代墊|中信銀行共用""), REGEXMATCH(F1059, ""Ben帳戶|Elsa帳戶|Ben代墊|Ariel代墊|中信銀行共用"")), ""內部轉帳(忽略)"",
  AND(E1059&lt;&gt;"""", F1059&lt;&gt;"""", N"&amp;"OT(REGEXMATCH(C1059, ""薪資""))), ""內部轉帳(忽略)"",
  REGEXMATCH(C1059, ""薪資""), ""薪資變動(不計入)"",
  REGEXMATCH(C1059, ""押金""), ""押金往來"",
  AND(E1059&lt;&gt;"""", F1059=""""), ""真實支出"",
  AND(E1059="""", F1059&lt;&gt;""""), ""真實收入"",
  TRUE, ""其他""
)"),"真實支出")</f>
        <v>真實支出</v>
      </c>
      <c r="K1059" s="270">
        <f t="shared" si="2"/>
        <v>-600</v>
      </c>
      <c r="L1059">
        <f t="shared" si="3"/>
        <v>0</v>
      </c>
    </row>
    <row r="1060">
      <c r="A1060" s="107">
        <f>IFERROR(__xludf.DUMMYFUNCTION("""COMPUTED_VALUE"""),45601.0)</f>
        <v>45601</v>
      </c>
      <c r="B1060" t="str">
        <f>IFERROR(__xludf.DUMMYFUNCTION("""COMPUTED_VALUE"""),"金龍B房押金")</f>
        <v>金龍B房押金</v>
      </c>
      <c r="C1060" t="str">
        <f>IFERROR(__xludf.DUMMYFUNCTION("""COMPUTED_VALUE"""),"收入 - 押金")</f>
        <v>收入 - 押金</v>
      </c>
      <c r="D1060" s="270">
        <f>IFERROR(__xludf.DUMMYFUNCTION("""COMPUTED_VALUE"""),-23600.0)</f>
        <v>-23600</v>
      </c>
      <c r="E1060" t="str">
        <f>IFERROR(__xludf.DUMMYFUNCTION("""COMPUTED_VALUE"""),"Elsa帳戶")</f>
        <v>Elsa帳戶</v>
      </c>
      <c r="G1060" t="str">
        <f>IFERROR(__xludf.DUMMYFUNCTION("""COMPUTED_VALUE"""),"金龍帽子先生")</f>
        <v>金龍帽子先生</v>
      </c>
      <c r="H1060" s="106" t="str">
        <f t="shared" si="1"/>
        <v>2024-11</v>
      </c>
      <c r="I1060" s="271" t="str">
        <f>IFERROR(__xludf.DUMMYFUNCTION("""COMPUTED_VALUE"""),"貓狗企鵝")</f>
        <v>貓狗企鵝</v>
      </c>
      <c r="J1060" t="str">
        <f>IFERROR(__xludf.DUMMYFUNCTION("IFS(
  AND(REGEXMATCH(E1060, ""台銀籌備帳戶|玉山帳戶""), REGEXMATCH(C1060, ""薪資"")), ""分潤支出"",
  AND(REGEXMATCH(E1060, ""Ben帳戶|Elsa帳戶|Ben代墊|Ariel代墊|中信銀行共用""), REGEXMATCH(F1060, ""Ben帳戶|Elsa帳戶|Ben代墊|Ariel代墊|中信銀行共用"")), ""內部轉帳(忽略)"",
  AND(E1060&lt;&gt;"""", F1060&lt;&gt;"""", N"&amp;"OT(REGEXMATCH(C1060, ""薪資""))), ""內部轉帳(忽略)"",
  REGEXMATCH(C1060, ""薪資""), ""薪資變動(不計入)"",
  REGEXMATCH(C1060, ""押金""), ""押金往來"",
  AND(E1060&lt;&gt;"""", F1060=""""), ""真實支出"",
  AND(E1060="""", F1060&lt;&gt;""""), ""真實收入"",
  TRUE, ""其他""
)"),"押金往來")</f>
        <v>押金往來</v>
      </c>
      <c r="K1060">
        <f t="shared" si="2"/>
        <v>0</v>
      </c>
      <c r="L1060">
        <f t="shared" si="3"/>
        <v>0</v>
      </c>
    </row>
    <row r="1061">
      <c r="A1061" s="107">
        <f>IFERROR(__xludf.DUMMYFUNCTION("""COMPUTED_VALUE"""),45601.0)</f>
        <v>45601</v>
      </c>
      <c r="B1061" t="str">
        <f>IFERROR(__xludf.DUMMYFUNCTION("""COMPUTED_VALUE"""),"金龍B房違約金")</f>
        <v>金龍B房違約金</v>
      </c>
      <c r="C1061" t="str">
        <f>IFERROR(__xludf.DUMMYFUNCTION("""COMPUTED_VALUE"""),"收入 - 租金")</f>
        <v>收入 - 租金</v>
      </c>
      <c r="D1061" s="270">
        <f>IFERROR(__xludf.DUMMYFUNCTION("""COMPUTED_VALUE"""),6650.0)</f>
        <v>6650</v>
      </c>
      <c r="F1061" t="str">
        <f>IFERROR(__xludf.DUMMYFUNCTION("""COMPUTED_VALUE"""),"Elsa帳戶")</f>
        <v>Elsa帳戶</v>
      </c>
      <c r="G1061" t="str">
        <f>IFERROR(__xludf.DUMMYFUNCTION("""COMPUTED_VALUE"""),"金龍帽子先生")</f>
        <v>金龍帽子先生</v>
      </c>
      <c r="H1061" s="106" t="str">
        <f t="shared" si="1"/>
        <v>2024-11</v>
      </c>
      <c r="I1061" s="271" t="str">
        <f>IFERROR(__xludf.DUMMYFUNCTION("""COMPUTED_VALUE"""),"貓狗企鵝")</f>
        <v>貓狗企鵝</v>
      </c>
      <c r="J1061" t="str">
        <f>IFERROR(__xludf.DUMMYFUNCTION("IFS(
  AND(REGEXMATCH(E1061, ""台銀籌備帳戶|玉山帳戶""), REGEXMATCH(C1061, ""薪資"")), ""分潤支出"",
  AND(REGEXMATCH(E1061, ""Ben帳戶|Elsa帳戶|Ben代墊|Ariel代墊|中信銀行共用""), REGEXMATCH(F1061, ""Ben帳戶|Elsa帳戶|Ben代墊|Ariel代墊|中信銀行共用"")), ""內部轉帳(忽略)"",
  AND(E1061&lt;&gt;"""", F1061&lt;&gt;"""", N"&amp;"OT(REGEXMATCH(C1061, ""薪資""))), ""內部轉帳(忽略)"",
  REGEXMATCH(C1061, ""薪資""), ""薪資變動(不計入)"",
  REGEXMATCH(C1061, ""押金""), ""押金往來"",
  AND(E1061&lt;&gt;"""", F1061=""""), ""真實支出"",
  AND(E1061="""", F1061&lt;&gt;""""), ""真實收入"",
  TRUE, ""其他""
)"),"真實收入")</f>
        <v>真實收入</v>
      </c>
      <c r="K1061" s="270">
        <f t="shared" si="2"/>
        <v>6650</v>
      </c>
      <c r="L1061">
        <f t="shared" si="3"/>
        <v>0</v>
      </c>
    </row>
    <row r="1062">
      <c r="A1062" s="107">
        <f>IFERROR(__xludf.DUMMYFUNCTION("""COMPUTED_VALUE"""),45601.0)</f>
        <v>45601</v>
      </c>
      <c r="B1062" t="str">
        <f>IFERROR(__xludf.DUMMYFUNCTION("""COMPUTED_VALUE"""),"北區國稅94053182")</f>
        <v>北區國稅94053182</v>
      </c>
      <c r="C1062" t="str">
        <f>IFERROR(__xludf.DUMMYFUNCTION("""COMPUTED_VALUE"""),"收入 - 政府補助/退稅")</f>
        <v>收入 - 政府補助/退稅</v>
      </c>
      <c r="D1062" s="270">
        <f>IFERROR(__xludf.DUMMYFUNCTION("""COMPUTED_VALUE"""),1200.0)</f>
        <v>1200</v>
      </c>
      <c r="F1062" t="str">
        <f>IFERROR(__xludf.DUMMYFUNCTION("""COMPUTED_VALUE"""),"台銀籌備帳戶")</f>
        <v>台銀籌備帳戶</v>
      </c>
      <c r="G1062" t="str">
        <f>IFERROR(__xludf.DUMMYFUNCTION("""COMPUTED_VALUE"""),"中山北Feli家")</f>
        <v>中山北Feli家</v>
      </c>
      <c r="H1062" s="106" t="str">
        <f t="shared" si="1"/>
        <v>2024-11</v>
      </c>
      <c r="I1062" s="271" t="str">
        <f>IFERROR(__xludf.DUMMYFUNCTION("""COMPUTED_VALUE"""),"貓狗企鵝")</f>
        <v>貓狗企鵝</v>
      </c>
      <c r="J1062" t="str">
        <f>IFERROR(__xludf.DUMMYFUNCTION("IFS(
  AND(REGEXMATCH(E1062, ""台銀籌備帳戶|玉山帳戶""), REGEXMATCH(C1062, ""薪資"")), ""分潤支出"",
  AND(REGEXMATCH(E1062, ""Ben帳戶|Elsa帳戶|Ben代墊|Ariel代墊|中信銀行共用""), REGEXMATCH(F1062, ""Ben帳戶|Elsa帳戶|Ben代墊|Ariel代墊|中信銀行共用"")), ""內部轉帳(忽略)"",
  AND(E1062&lt;&gt;"""", F1062&lt;&gt;"""", N"&amp;"OT(REGEXMATCH(C1062, ""薪資""))), ""內部轉帳(忽略)"",
  REGEXMATCH(C1062, ""薪資""), ""薪資變動(不計入)"",
  REGEXMATCH(C1062, ""押金""), ""押金往來"",
  AND(E1062&lt;&gt;"""", F1062=""""), ""真實支出"",
  AND(E1062="""", F1062&lt;&gt;""""), ""真實收入"",
  TRUE, ""其他""
)"),"真實收入")</f>
        <v>真實收入</v>
      </c>
      <c r="K1062" s="270">
        <f t="shared" si="2"/>
        <v>1200</v>
      </c>
      <c r="L1062">
        <f t="shared" si="3"/>
        <v>0</v>
      </c>
    </row>
    <row r="1063">
      <c r="A1063" s="107">
        <f>IFERROR(__xludf.DUMMYFUNCTION("""COMPUTED_VALUE"""),45602.0)</f>
        <v>45602</v>
      </c>
      <c r="B1063" t="str">
        <f>IFERROR(__xludf.DUMMYFUNCTION("""COMPUTED_VALUE"""),"金龍A冷氣遙控器")</f>
        <v>金龍A冷氣遙控器</v>
      </c>
      <c r="C1063" t="str">
        <f>IFERROR(__xludf.DUMMYFUNCTION("""COMPUTED_VALUE"""),"成本 - 租後修繕")</f>
        <v>成本 - 租後修繕</v>
      </c>
      <c r="D1063" s="270">
        <f>IFERROR(__xludf.DUMMYFUNCTION("""COMPUTED_VALUE"""),-249.0)</f>
        <v>-249</v>
      </c>
      <c r="E1063" t="str">
        <f>IFERROR(__xludf.DUMMYFUNCTION("""COMPUTED_VALUE"""),"Ben帳戶")</f>
        <v>Ben帳戶</v>
      </c>
      <c r="G1063" t="str">
        <f>IFERROR(__xludf.DUMMYFUNCTION("""COMPUTED_VALUE"""),"金龍帽子先生")</f>
        <v>金龍帽子先生</v>
      </c>
      <c r="H1063" s="106" t="str">
        <f t="shared" si="1"/>
        <v>2024-11</v>
      </c>
      <c r="I1063" s="271" t="str">
        <f>IFERROR(__xludf.DUMMYFUNCTION("""COMPUTED_VALUE"""),"貓狗企鵝")</f>
        <v>貓狗企鵝</v>
      </c>
      <c r="J1063" t="str">
        <f>IFERROR(__xludf.DUMMYFUNCTION("IFS(
  AND(REGEXMATCH(E1063, ""台銀籌備帳戶|玉山帳戶""), REGEXMATCH(C1063, ""薪資"")), ""分潤支出"",
  AND(REGEXMATCH(E1063, ""Ben帳戶|Elsa帳戶|Ben代墊|Ariel代墊|中信銀行共用""), REGEXMATCH(F1063, ""Ben帳戶|Elsa帳戶|Ben代墊|Ariel代墊|中信銀行共用"")), ""內部轉帳(忽略)"",
  AND(E1063&lt;&gt;"""", F1063&lt;&gt;"""", N"&amp;"OT(REGEXMATCH(C1063, ""薪資""))), ""內部轉帳(忽略)"",
  REGEXMATCH(C1063, ""薪資""), ""薪資變動(不計入)"",
  REGEXMATCH(C1063, ""押金""), ""押金往來"",
  AND(E1063&lt;&gt;"""", F1063=""""), ""真實支出"",
  AND(E1063="""", F1063&lt;&gt;""""), ""真實收入"",
  TRUE, ""其他""
)"),"真實支出")</f>
        <v>真實支出</v>
      </c>
      <c r="K1063" s="270">
        <f t="shared" si="2"/>
        <v>-249</v>
      </c>
      <c r="L1063">
        <f t="shared" si="3"/>
        <v>0</v>
      </c>
    </row>
    <row r="1064">
      <c r="A1064" s="107">
        <f>IFERROR(__xludf.DUMMYFUNCTION("""COMPUTED_VALUE"""),45602.0)</f>
        <v>45602</v>
      </c>
      <c r="B1064" t="str">
        <f>IFERROR(__xludf.DUMMYFUNCTION("""COMPUTED_VALUE"""),"娘家地板忠哥")</f>
        <v>娘家地板忠哥</v>
      </c>
      <c r="C1064" t="str">
        <f>IFERROR(__xludf.DUMMYFUNCTION("""COMPUTED_VALUE"""),"成本 - 進場前裝潢費")</f>
        <v>成本 - 進場前裝潢費</v>
      </c>
      <c r="D1064" s="270">
        <f>IFERROR(__xludf.DUMMYFUNCTION("""COMPUTED_VALUE"""),-32418.0)</f>
        <v>-32418</v>
      </c>
      <c r="E1064" t="str">
        <f>IFERROR(__xludf.DUMMYFUNCTION("""COMPUTED_VALUE"""),"台銀籌備帳戶")</f>
        <v>台銀籌備帳戶</v>
      </c>
      <c r="G1064" t="str">
        <f>IFERROR(__xludf.DUMMYFUNCTION("""COMPUTED_VALUE"""),"中山北娘家旁")</f>
        <v>中山北娘家旁</v>
      </c>
      <c r="H1064" s="106" t="str">
        <f t="shared" si="1"/>
        <v>2024-11</v>
      </c>
      <c r="I1064" s="271" t="str">
        <f>IFERROR(__xludf.DUMMYFUNCTION("""COMPUTED_VALUE"""),"貓狗企鵝")</f>
        <v>貓狗企鵝</v>
      </c>
      <c r="J1064" t="str">
        <f>IFERROR(__xludf.DUMMYFUNCTION("IFS(
  AND(REGEXMATCH(E1064, ""台銀籌備帳戶|玉山帳戶""), REGEXMATCH(C1064, ""薪資"")), ""分潤支出"",
  AND(REGEXMATCH(E1064, ""Ben帳戶|Elsa帳戶|Ben代墊|Ariel代墊|中信銀行共用""), REGEXMATCH(F1064, ""Ben帳戶|Elsa帳戶|Ben代墊|Ariel代墊|中信銀行共用"")), ""內部轉帳(忽略)"",
  AND(E1064&lt;&gt;"""", F1064&lt;&gt;"""", N"&amp;"OT(REGEXMATCH(C1064, ""薪資""))), ""內部轉帳(忽略)"",
  REGEXMATCH(C1064, ""薪資""), ""薪資變動(不計入)"",
  REGEXMATCH(C1064, ""押金""), ""押金往來"",
  AND(E1064&lt;&gt;"""", F1064=""""), ""真實支出"",
  AND(E1064="""", F1064&lt;&gt;""""), ""真實收入"",
  TRUE, ""其他""
)"),"真實支出")</f>
        <v>真實支出</v>
      </c>
      <c r="K1064" s="270">
        <f t="shared" si="2"/>
        <v>-32418</v>
      </c>
      <c r="L1064">
        <f t="shared" si="3"/>
        <v>0</v>
      </c>
    </row>
    <row r="1065">
      <c r="A1065" s="107">
        <f>IFERROR(__xludf.DUMMYFUNCTION("""COMPUTED_VALUE"""),45602.0)</f>
        <v>45602</v>
      </c>
      <c r="B1065" t="str">
        <f>IFERROR(__xludf.DUMMYFUNCTION("""COMPUTED_VALUE"""),"垃圾代收垃可")</f>
        <v>垃圾代收垃可</v>
      </c>
      <c r="C1065" t="str">
        <f>IFERROR(__xludf.DUMMYFUNCTION("""COMPUTED_VALUE"""),"成本 - 固定開銷(網路代收清潔)")</f>
        <v>成本 - 固定開銷(網路代收清潔)</v>
      </c>
      <c r="D1065" s="270">
        <f>IFERROR(__xludf.DUMMYFUNCTION("""COMPUTED_VALUE"""),-1728.0)</f>
        <v>-1728</v>
      </c>
      <c r="E1065" t="str">
        <f>IFERROR(__xludf.DUMMYFUNCTION("""COMPUTED_VALUE"""),"台銀籌備帳戶")</f>
        <v>台銀籌備帳戶</v>
      </c>
      <c r="H1065" s="106" t="str">
        <f t="shared" si="1"/>
        <v>2024-11</v>
      </c>
      <c r="I1065" s="271" t="str">
        <f>IFERROR(__xludf.DUMMYFUNCTION("""COMPUTED_VALUE"""),"貓狗企鵝")</f>
        <v>貓狗企鵝</v>
      </c>
      <c r="J1065" t="str">
        <f>IFERROR(__xludf.DUMMYFUNCTION("IFS(
  AND(REGEXMATCH(E1065, ""台銀籌備帳戶|玉山帳戶""), REGEXMATCH(C1065, ""薪資"")), ""分潤支出"",
  AND(REGEXMATCH(E1065, ""Ben帳戶|Elsa帳戶|Ben代墊|Ariel代墊|中信銀行共用""), REGEXMATCH(F1065, ""Ben帳戶|Elsa帳戶|Ben代墊|Ariel代墊|中信銀行共用"")), ""內部轉帳(忽略)"",
  AND(E1065&lt;&gt;"""", F1065&lt;&gt;"""", N"&amp;"OT(REGEXMATCH(C1065, ""薪資""))), ""內部轉帳(忽略)"",
  REGEXMATCH(C1065, ""薪資""), ""薪資變動(不計入)"",
  REGEXMATCH(C1065, ""押金""), ""押金往來"",
  AND(E1065&lt;&gt;"""", F1065=""""), ""真實支出"",
  AND(E1065="""", F1065&lt;&gt;""""), ""真實收入"",
  TRUE, ""其他""
)"),"真實支出")</f>
        <v>真實支出</v>
      </c>
      <c r="K1065" s="270">
        <f t="shared" si="2"/>
        <v>-1728</v>
      </c>
      <c r="L1065">
        <f t="shared" si="3"/>
        <v>0</v>
      </c>
    </row>
    <row r="1066">
      <c r="A1066" s="107">
        <f>IFERROR(__xludf.DUMMYFUNCTION("""COMPUTED_VALUE"""),45602.0)</f>
        <v>45602</v>
      </c>
      <c r="B1066" t="str">
        <f>IFERROR(__xludf.DUMMYFUNCTION("""COMPUTED_VALUE"""),"中山北娘家旁C魏湘芸")</f>
        <v>中山北娘家旁C魏湘芸</v>
      </c>
      <c r="C1066" t="str">
        <f>IFERROR(__xludf.DUMMYFUNCTION("""COMPUTED_VALUE"""),"收入 - 押金")</f>
        <v>收入 - 押金</v>
      </c>
      <c r="D1066" s="270">
        <f>IFERROR(__xludf.DUMMYFUNCTION("""COMPUTED_VALUE"""),29600.0)</f>
        <v>29600</v>
      </c>
      <c r="F1066" t="str">
        <f>IFERROR(__xludf.DUMMYFUNCTION("""COMPUTED_VALUE"""),"台銀籌備帳戶")</f>
        <v>台銀籌備帳戶</v>
      </c>
      <c r="G1066" t="str">
        <f>IFERROR(__xludf.DUMMYFUNCTION("""COMPUTED_VALUE"""),"中山北娘家旁")</f>
        <v>中山北娘家旁</v>
      </c>
      <c r="H1066" s="106" t="str">
        <f t="shared" si="1"/>
        <v>2024-11</v>
      </c>
      <c r="I1066" s="271" t="str">
        <f>IFERROR(__xludf.DUMMYFUNCTION("""COMPUTED_VALUE"""),"貓狗企鵝")</f>
        <v>貓狗企鵝</v>
      </c>
      <c r="J1066" t="str">
        <f>IFERROR(__xludf.DUMMYFUNCTION("IFS(
  AND(REGEXMATCH(E1066, ""台銀籌備帳戶|玉山帳戶""), REGEXMATCH(C1066, ""薪資"")), ""分潤支出"",
  AND(REGEXMATCH(E1066, ""Ben帳戶|Elsa帳戶|Ben代墊|Ariel代墊|中信銀行共用""), REGEXMATCH(F1066, ""Ben帳戶|Elsa帳戶|Ben代墊|Ariel代墊|中信銀行共用"")), ""內部轉帳(忽略)"",
  AND(E1066&lt;&gt;"""", F1066&lt;&gt;"""", N"&amp;"OT(REGEXMATCH(C1066, ""薪資""))), ""內部轉帳(忽略)"",
  REGEXMATCH(C1066, ""薪資""), ""薪資變動(不計入)"",
  REGEXMATCH(C1066, ""押金""), ""押金往來"",
  AND(E1066&lt;&gt;"""", F1066=""""), ""真實支出"",
  AND(E1066="""", F1066&lt;&gt;""""), ""真實收入"",
  TRUE, ""其他""
)"),"押金往來")</f>
        <v>押金往來</v>
      </c>
      <c r="K1066">
        <f t="shared" si="2"/>
        <v>0</v>
      </c>
      <c r="L1066">
        <f t="shared" si="3"/>
        <v>0</v>
      </c>
    </row>
    <row r="1067">
      <c r="A1067" s="107">
        <f>IFERROR(__xludf.DUMMYFUNCTION("""COMPUTED_VALUE"""),45602.0)</f>
        <v>45602</v>
      </c>
      <c r="B1067" t="str">
        <f>IFERROR(__xludf.DUMMYFUNCTION("""COMPUTED_VALUE"""),"出勤時間(士林天母區)")</f>
        <v>出勤時間(士林天母區)</v>
      </c>
      <c r="C1067" t="str">
        <f>IFERROR(__xludf.DUMMYFUNCTION("""COMPUTED_VALUE"""),"成本 - 出勤費")</f>
        <v>成本 - 出勤費</v>
      </c>
      <c r="D1067" s="270">
        <f>IFERROR(__xludf.DUMMYFUNCTION("""COMPUTED_VALUE"""),-1000.0)</f>
        <v>-1000</v>
      </c>
      <c r="E1067" t="str">
        <f>IFERROR(__xludf.DUMMYFUNCTION("""COMPUTED_VALUE"""),"Ben帳戶")</f>
        <v>Ben帳戶</v>
      </c>
      <c r="G1067" t="str">
        <f>IFERROR(__xludf.DUMMYFUNCTION("""COMPUTED_VALUE"""),"中山北Feli家")</f>
        <v>中山北Feli家</v>
      </c>
      <c r="H1067" s="106" t="str">
        <f t="shared" si="1"/>
        <v>2024-11</v>
      </c>
      <c r="I1067" s="271" t="str">
        <f>IFERROR(__xludf.DUMMYFUNCTION("""COMPUTED_VALUE"""),"貓狗企鵝")</f>
        <v>貓狗企鵝</v>
      </c>
      <c r="J1067" t="str">
        <f>IFERROR(__xludf.DUMMYFUNCTION("IFS(
  AND(REGEXMATCH(E1067, ""台銀籌備帳戶|玉山帳戶""), REGEXMATCH(C1067, ""薪資"")), ""分潤支出"",
  AND(REGEXMATCH(E1067, ""Ben帳戶|Elsa帳戶|Ben代墊|Ariel代墊|中信銀行共用""), REGEXMATCH(F1067, ""Ben帳戶|Elsa帳戶|Ben代墊|Ariel代墊|中信銀行共用"")), ""內部轉帳(忽略)"",
  AND(E1067&lt;&gt;"""", F1067&lt;&gt;"""", N"&amp;"OT(REGEXMATCH(C1067, ""薪資""))), ""內部轉帳(忽略)"",
  REGEXMATCH(C1067, ""薪資""), ""薪資變動(不計入)"",
  REGEXMATCH(C1067, ""押金""), ""押金往來"",
  AND(E1067&lt;&gt;"""", F1067=""""), ""真實支出"",
  AND(E1067="""", F1067&lt;&gt;""""), ""真實收入"",
  TRUE, ""其他""
)"),"真實支出")</f>
        <v>真實支出</v>
      </c>
      <c r="K1067" s="270">
        <f t="shared" si="2"/>
        <v>-1000</v>
      </c>
      <c r="L1067">
        <f t="shared" si="3"/>
        <v>0</v>
      </c>
    </row>
    <row r="1068">
      <c r="A1068" s="107">
        <f>IFERROR(__xludf.DUMMYFUNCTION("""COMPUTED_VALUE"""),45602.0)</f>
        <v>45602</v>
      </c>
      <c r="B1068" t="str">
        <f>IFERROR(__xludf.DUMMYFUNCTION("""COMPUTED_VALUE"""),"鑰匙費用(士林天母區)")</f>
        <v>鑰匙費用(士林天母區)</v>
      </c>
      <c r="C1068" t="str">
        <f>IFERROR(__xludf.DUMMYFUNCTION("""COMPUTED_VALUE"""),"成本 - 進場前裝潢費")</f>
        <v>成本 - 進場前裝潢費</v>
      </c>
      <c r="D1068" s="270">
        <f>IFERROR(__xludf.DUMMYFUNCTION("""COMPUTED_VALUE"""),-2800.0)</f>
        <v>-2800</v>
      </c>
      <c r="E1068" t="str">
        <f>IFERROR(__xludf.DUMMYFUNCTION("""COMPUTED_VALUE"""),"Ben帳戶")</f>
        <v>Ben帳戶</v>
      </c>
      <c r="G1068" t="str">
        <f>IFERROR(__xludf.DUMMYFUNCTION("""COMPUTED_VALUE"""),"中山北Feli家")</f>
        <v>中山北Feli家</v>
      </c>
      <c r="H1068" s="106" t="str">
        <f t="shared" si="1"/>
        <v>2024-11</v>
      </c>
      <c r="I1068" s="271" t="str">
        <f>IFERROR(__xludf.DUMMYFUNCTION("""COMPUTED_VALUE"""),"貓狗企鵝")</f>
        <v>貓狗企鵝</v>
      </c>
      <c r="J1068" t="str">
        <f>IFERROR(__xludf.DUMMYFUNCTION("IFS(
  AND(REGEXMATCH(E1068, ""台銀籌備帳戶|玉山帳戶""), REGEXMATCH(C1068, ""薪資"")), ""分潤支出"",
  AND(REGEXMATCH(E1068, ""Ben帳戶|Elsa帳戶|Ben代墊|Ariel代墊|中信銀行共用""), REGEXMATCH(F1068, ""Ben帳戶|Elsa帳戶|Ben代墊|Ariel代墊|中信銀行共用"")), ""內部轉帳(忽略)"",
  AND(E1068&lt;&gt;"""", F1068&lt;&gt;"""", N"&amp;"OT(REGEXMATCH(C1068, ""薪資""))), ""內部轉帳(忽略)"",
  REGEXMATCH(C1068, ""薪資""), ""薪資變動(不計入)"",
  REGEXMATCH(C1068, ""押金""), ""押金往來"",
  AND(E1068&lt;&gt;"""", F1068=""""), ""真實支出"",
  AND(E1068="""", F1068&lt;&gt;""""), ""真實收入"",
  TRUE, ""其他""
)"),"真實支出")</f>
        <v>真實支出</v>
      </c>
      <c r="K1068" s="270">
        <f t="shared" si="2"/>
        <v>-2800</v>
      </c>
      <c r="L1068">
        <f t="shared" si="3"/>
        <v>0</v>
      </c>
    </row>
    <row r="1069">
      <c r="A1069" s="107">
        <f>IFERROR(__xludf.DUMMYFUNCTION("""COMPUTED_VALUE"""),45603.0)</f>
        <v>45603</v>
      </c>
      <c r="B1069" t="str">
        <f>IFERROR(__xludf.DUMMYFUNCTION("""COMPUTED_VALUE"""),"修圖軟體 photoshop訂閱")</f>
        <v>修圖軟體 photoshop訂閱</v>
      </c>
      <c r="C1069" t="str">
        <f>IFERROR(__xludf.DUMMYFUNCTION("""COMPUTED_VALUE"""),"費用 - 辦公用品")</f>
        <v>費用 - 辦公用品</v>
      </c>
      <c r="D1069" s="270">
        <f>IFERROR(__xludf.DUMMYFUNCTION("""COMPUTED_VALUE"""),-3906.0)</f>
        <v>-3906</v>
      </c>
      <c r="E1069" t="str">
        <f>IFERROR(__xludf.DUMMYFUNCTION("""COMPUTED_VALUE"""),"Ben帳戶")</f>
        <v>Ben帳戶</v>
      </c>
      <c r="H1069" s="106" t="str">
        <f t="shared" si="1"/>
        <v>2024-11</v>
      </c>
      <c r="I1069" s="271" t="str">
        <f>IFERROR(__xludf.DUMMYFUNCTION("""COMPUTED_VALUE"""),"貓狗企鵝")</f>
        <v>貓狗企鵝</v>
      </c>
      <c r="J1069" t="str">
        <f>IFERROR(__xludf.DUMMYFUNCTION("IFS(
  AND(REGEXMATCH(E1069, ""台銀籌備帳戶|玉山帳戶""), REGEXMATCH(C1069, ""薪資"")), ""分潤支出"",
  AND(REGEXMATCH(E1069, ""Ben帳戶|Elsa帳戶|Ben代墊|Ariel代墊|中信銀行共用""), REGEXMATCH(F1069, ""Ben帳戶|Elsa帳戶|Ben代墊|Ariel代墊|中信銀行共用"")), ""內部轉帳(忽略)"",
  AND(E1069&lt;&gt;"""", F1069&lt;&gt;"""", N"&amp;"OT(REGEXMATCH(C1069, ""薪資""))), ""內部轉帳(忽略)"",
  REGEXMATCH(C1069, ""薪資""), ""薪資變動(不計入)"",
  REGEXMATCH(C1069, ""押金""), ""押金往來"",
  AND(E1069&lt;&gt;"""", F1069=""""), ""真實支出"",
  AND(E1069="""", F1069&lt;&gt;""""), ""真實收入"",
  TRUE, ""其他""
)"),"真實支出")</f>
        <v>真實支出</v>
      </c>
      <c r="K1069" s="270">
        <f t="shared" si="2"/>
        <v>-3906</v>
      </c>
      <c r="L1069">
        <f t="shared" si="3"/>
        <v>0</v>
      </c>
    </row>
    <row r="1070">
      <c r="A1070" s="107">
        <f>IFERROR(__xludf.DUMMYFUNCTION("""COMPUTED_VALUE"""),45603.0)</f>
        <v>45603</v>
      </c>
      <c r="B1070" t="str">
        <f>IFERROR(__xludf.DUMMYFUNCTION("""COMPUTED_VALUE"""),"弟弟計程車費")</f>
        <v>弟弟計程車費</v>
      </c>
      <c r="C1070" t="str">
        <f>IFERROR(__xludf.DUMMYFUNCTION("""COMPUTED_VALUE"""),"費用 - 交通費")</f>
        <v>費用 - 交通費</v>
      </c>
      <c r="D1070" s="270">
        <f>IFERROR(__xludf.DUMMYFUNCTION("""COMPUTED_VALUE"""),-535.0)</f>
        <v>-535</v>
      </c>
      <c r="E1070" t="str">
        <f>IFERROR(__xludf.DUMMYFUNCTION("""COMPUTED_VALUE"""),"Ben帳戶")</f>
        <v>Ben帳戶</v>
      </c>
      <c r="G1070" t="str">
        <f>IFERROR(__xludf.DUMMYFUNCTION("""COMPUTED_VALUE"""),"中山北Feli家")</f>
        <v>中山北Feli家</v>
      </c>
      <c r="H1070" s="106" t="str">
        <f t="shared" si="1"/>
        <v>2024-11</v>
      </c>
      <c r="I1070" s="271" t="str">
        <f>IFERROR(__xludf.DUMMYFUNCTION("""COMPUTED_VALUE"""),"貓狗企鵝")</f>
        <v>貓狗企鵝</v>
      </c>
      <c r="J1070" t="str">
        <f>IFERROR(__xludf.DUMMYFUNCTION("IFS(
  AND(REGEXMATCH(E1070, ""台銀籌備帳戶|玉山帳戶""), REGEXMATCH(C1070, ""薪資"")), ""分潤支出"",
  AND(REGEXMATCH(E1070, ""Ben帳戶|Elsa帳戶|Ben代墊|Ariel代墊|中信銀行共用""), REGEXMATCH(F1070, ""Ben帳戶|Elsa帳戶|Ben代墊|Ariel代墊|中信銀行共用"")), ""內部轉帳(忽略)"",
  AND(E1070&lt;&gt;"""", F1070&lt;&gt;"""", N"&amp;"OT(REGEXMATCH(C1070, ""薪資""))), ""內部轉帳(忽略)"",
  REGEXMATCH(C1070, ""薪資""), ""薪資變動(不計入)"",
  REGEXMATCH(C1070, ""押金""), ""押金往來"",
  AND(E1070&lt;&gt;"""", F1070=""""), ""真實支出"",
  AND(E1070="""", F1070&lt;&gt;""""), ""真實收入"",
  TRUE, ""其他""
)"),"真實支出")</f>
        <v>真實支出</v>
      </c>
      <c r="K1070" s="270">
        <f t="shared" si="2"/>
        <v>-535</v>
      </c>
      <c r="L1070">
        <f t="shared" si="3"/>
        <v>0</v>
      </c>
    </row>
    <row r="1071">
      <c r="A1071" s="107">
        <f>IFERROR(__xludf.DUMMYFUNCTION("""COMPUTED_VALUE"""),45603.0)</f>
        <v>45603</v>
      </c>
      <c r="B1071" t="str">
        <f>IFERROR(__xludf.DUMMYFUNCTION("""COMPUTED_VALUE"""),"娘家床交換")</f>
        <v>娘家床交換</v>
      </c>
      <c r="C1071" t="str">
        <f>IFERROR(__xludf.DUMMYFUNCTION("""COMPUTED_VALUE"""),"成本 - 進場前裝潢費")</f>
        <v>成本 - 進場前裝潢費</v>
      </c>
      <c r="D1071" s="270">
        <f>IFERROR(__xludf.DUMMYFUNCTION("""COMPUTED_VALUE"""),-1000.0)</f>
        <v>-1000</v>
      </c>
      <c r="E1071" t="str">
        <f>IFERROR(__xludf.DUMMYFUNCTION("""COMPUTED_VALUE"""),"Ben帳戶")</f>
        <v>Ben帳戶</v>
      </c>
      <c r="G1071" t="str">
        <f>IFERROR(__xludf.DUMMYFUNCTION("""COMPUTED_VALUE"""),"中山北娘家旁")</f>
        <v>中山北娘家旁</v>
      </c>
      <c r="H1071" s="106" t="str">
        <f t="shared" si="1"/>
        <v>2024-11</v>
      </c>
      <c r="I1071" s="271" t="str">
        <f>IFERROR(__xludf.DUMMYFUNCTION("""COMPUTED_VALUE"""),"貓狗企鵝")</f>
        <v>貓狗企鵝</v>
      </c>
      <c r="J1071" t="str">
        <f>IFERROR(__xludf.DUMMYFUNCTION("IFS(
  AND(REGEXMATCH(E1071, ""台銀籌備帳戶|玉山帳戶""), REGEXMATCH(C1071, ""薪資"")), ""分潤支出"",
  AND(REGEXMATCH(E1071, ""Ben帳戶|Elsa帳戶|Ben代墊|Ariel代墊|中信銀行共用""), REGEXMATCH(F1071, ""Ben帳戶|Elsa帳戶|Ben代墊|Ariel代墊|中信銀行共用"")), ""內部轉帳(忽略)"",
  AND(E1071&lt;&gt;"""", F1071&lt;&gt;"""", N"&amp;"OT(REGEXMATCH(C1071, ""薪資""))), ""內部轉帳(忽略)"",
  REGEXMATCH(C1071, ""薪資""), ""薪資變動(不計入)"",
  REGEXMATCH(C1071, ""押金""), ""押金往來"",
  AND(E1071&lt;&gt;"""", F1071=""""), ""真實支出"",
  AND(E1071="""", F1071&lt;&gt;""""), ""真實收入"",
  TRUE, ""其他""
)"),"真實支出")</f>
        <v>真實支出</v>
      </c>
      <c r="K1071" s="270">
        <f t="shared" si="2"/>
        <v>-1000</v>
      </c>
      <c r="L1071">
        <f t="shared" si="3"/>
        <v>0</v>
      </c>
    </row>
    <row r="1072">
      <c r="A1072" s="107">
        <f>IFERROR(__xludf.DUMMYFUNCTION("""COMPUTED_VALUE"""),45603.0)</f>
        <v>45603</v>
      </c>
      <c r="B1072" t="str">
        <f>IFERROR(__xludf.DUMMYFUNCTION("""COMPUTED_VALUE"""),"清潔")</f>
        <v>清潔</v>
      </c>
      <c r="C1072" t="str">
        <f>IFERROR(__xludf.DUMMYFUNCTION("""COMPUTED_VALUE"""),"成本 - 進場前裝潢費")</f>
        <v>成本 - 進場前裝潢費</v>
      </c>
      <c r="D1072" s="270">
        <f>IFERROR(__xludf.DUMMYFUNCTION("""COMPUTED_VALUE"""),-675.0)</f>
        <v>-675</v>
      </c>
      <c r="E1072" t="str">
        <f>IFERROR(__xludf.DUMMYFUNCTION("""COMPUTED_VALUE"""),"Ben帳戶")</f>
        <v>Ben帳戶</v>
      </c>
      <c r="G1072" t="str">
        <f>IFERROR(__xludf.DUMMYFUNCTION("""COMPUTED_VALUE"""),"中山北娘家旁")</f>
        <v>中山北娘家旁</v>
      </c>
      <c r="H1072" s="106" t="str">
        <f t="shared" si="1"/>
        <v>2024-11</v>
      </c>
      <c r="I1072" s="271" t="str">
        <f>IFERROR(__xludf.DUMMYFUNCTION("""COMPUTED_VALUE"""),"貓狗企鵝")</f>
        <v>貓狗企鵝</v>
      </c>
      <c r="J1072" t="str">
        <f>IFERROR(__xludf.DUMMYFUNCTION("IFS(
  AND(REGEXMATCH(E1072, ""台銀籌備帳戶|玉山帳戶""), REGEXMATCH(C1072, ""薪資"")), ""分潤支出"",
  AND(REGEXMATCH(E1072, ""Ben帳戶|Elsa帳戶|Ben代墊|Ariel代墊|中信銀行共用""), REGEXMATCH(F1072, ""Ben帳戶|Elsa帳戶|Ben代墊|Ariel代墊|中信銀行共用"")), ""內部轉帳(忽略)"",
  AND(E1072&lt;&gt;"""", F1072&lt;&gt;"""", N"&amp;"OT(REGEXMATCH(C1072, ""薪資""))), ""內部轉帳(忽略)"",
  REGEXMATCH(C1072, ""薪資""), ""薪資變動(不計入)"",
  REGEXMATCH(C1072, ""押金""), ""押金往來"",
  AND(E1072&lt;&gt;"""", F1072=""""), ""真實支出"",
  AND(E1072="""", F1072&lt;&gt;""""), ""真實收入"",
  TRUE, ""其他""
)"),"真實支出")</f>
        <v>真實支出</v>
      </c>
      <c r="K1072" s="270">
        <f t="shared" si="2"/>
        <v>-675</v>
      </c>
      <c r="L1072">
        <f t="shared" si="3"/>
        <v>0</v>
      </c>
    </row>
    <row r="1073">
      <c r="A1073" s="107">
        <f>IFERROR(__xludf.DUMMYFUNCTION("""COMPUTED_VALUE"""),45603.0)</f>
        <v>45603</v>
      </c>
      <c r="B1073" t="str">
        <f>IFERROR(__xludf.DUMMYFUNCTION("""COMPUTED_VALUE"""),"B房外國人首租")</f>
        <v>B房外國人首租</v>
      </c>
      <c r="C1073" t="str">
        <f>IFERROR(__xludf.DUMMYFUNCTION("""COMPUTED_VALUE"""),"收入 - 租金")</f>
        <v>收入 - 租金</v>
      </c>
      <c r="D1073" s="270">
        <f>IFERROR(__xludf.DUMMYFUNCTION("""COMPUTED_VALUE"""),400.0)</f>
        <v>400</v>
      </c>
      <c r="F1073" t="str">
        <f>IFERROR(__xludf.DUMMYFUNCTION("""COMPUTED_VALUE"""),"Ben帳戶")</f>
        <v>Ben帳戶</v>
      </c>
      <c r="G1073" t="str">
        <f>IFERROR(__xludf.DUMMYFUNCTION("""COMPUTED_VALUE"""),"中山北娘家旁")</f>
        <v>中山北娘家旁</v>
      </c>
      <c r="H1073" s="106" t="str">
        <f t="shared" si="1"/>
        <v>2024-11</v>
      </c>
      <c r="I1073" s="271" t="str">
        <f>IFERROR(__xludf.DUMMYFUNCTION("""COMPUTED_VALUE"""),"貓狗企鵝")</f>
        <v>貓狗企鵝</v>
      </c>
      <c r="J1073" t="str">
        <f>IFERROR(__xludf.DUMMYFUNCTION("IFS(
  AND(REGEXMATCH(E1073, ""台銀籌備帳戶|玉山帳戶""), REGEXMATCH(C1073, ""薪資"")), ""分潤支出"",
  AND(REGEXMATCH(E1073, ""Ben帳戶|Elsa帳戶|Ben代墊|Ariel代墊|中信銀行共用""), REGEXMATCH(F1073, ""Ben帳戶|Elsa帳戶|Ben代墊|Ariel代墊|中信銀行共用"")), ""內部轉帳(忽略)"",
  AND(E1073&lt;&gt;"""", F1073&lt;&gt;"""", N"&amp;"OT(REGEXMATCH(C1073, ""薪資""))), ""內部轉帳(忽略)"",
  REGEXMATCH(C1073, ""薪資""), ""薪資變動(不計入)"",
  REGEXMATCH(C1073, ""押金""), ""押金往來"",
  AND(E1073&lt;&gt;"""", F1073=""""), ""真實支出"",
  AND(E1073="""", F1073&lt;&gt;""""), ""真實收入"",
  TRUE, ""其他""
)"),"真實收入")</f>
        <v>真實收入</v>
      </c>
      <c r="K1073" s="270">
        <f t="shared" si="2"/>
        <v>400</v>
      </c>
      <c r="L1073">
        <f t="shared" si="3"/>
        <v>0</v>
      </c>
    </row>
    <row r="1074">
      <c r="A1074" s="107">
        <f>IFERROR(__xludf.DUMMYFUNCTION("""COMPUTED_VALUE"""),45603.0)</f>
        <v>45603</v>
      </c>
      <c r="B1074" t="str">
        <f>IFERROR(__xludf.DUMMYFUNCTION("""COMPUTED_VALUE"""),"娘家A訂金")</f>
        <v>娘家A訂金</v>
      </c>
      <c r="C1074" t="str">
        <f>IFERROR(__xludf.DUMMYFUNCTION("""COMPUTED_VALUE"""),"收入 - 租金")</f>
        <v>收入 - 租金</v>
      </c>
      <c r="D1074" s="270">
        <f>IFERROR(__xludf.DUMMYFUNCTION("""COMPUTED_VALUE"""),5833.0)</f>
        <v>5833</v>
      </c>
      <c r="F1074" t="str">
        <f>IFERROR(__xludf.DUMMYFUNCTION("""COMPUTED_VALUE"""),"台銀籌備帳戶")</f>
        <v>台銀籌備帳戶</v>
      </c>
      <c r="G1074" t="str">
        <f>IFERROR(__xludf.DUMMYFUNCTION("""COMPUTED_VALUE"""),"中山北娘家旁")</f>
        <v>中山北娘家旁</v>
      </c>
      <c r="H1074" s="106" t="str">
        <f t="shared" si="1"/>
        <v>2024-11</v>
      </c>
      <c r="I1074" s="271" t="str">
        <f>IFERROR(__xludf.DUMMYFUNCTION("""COMPUTED_VALUE"""),"貓狗企鵝")</f>
        <v>貓狗企鵝</v>
      </c>
      <c r="J1074" t="str">
        <f>IFERROR(__xludf.DUMMYFUNCTION("IFS(
  AND(REGEXMATCH(E1074, ""台銀籌備帳戶|玉山帳戶""), REGEXMATCH(C1074, ""薪資"")), ""分潤支出"",
  AND(REGEXMATCH(E1074, ""Ben帳戶|Elsa帳戶|Ben代墊|Ariel代墊|中信銀行共用""), REGEXMATCH(F1074, ""Ben帳戶|Elsa帳戶|Ben代墊|Ariel代墊|中信銀行共用"")), ""內部轉帳(忽略)"",
  AND(E1074&lt;&gt;"""", F1074&lt;&gt;"""", N"&amp;"OT(REGEXMATCH(C1074, ""薪資""))), ""內部轉帳(忽略)"",
  REGEXMATCH(C1074, ""薪資""), ""薪資變動(不計入)"",
  REGEXMATCH(C1074, ""押金""), ""押金往來"",
  AND(E1074&lt;&gt;"""", F1074=""""), ""真實支出"",
  AND(E1074="""", F1074&lt;&gt;""""), ""真實收入"",
  TRUE, ""其他""
)"),"真實收入")</f>
        <v>真實收入</v>
      </c>
      <c r="K1074" s="270">
        <f t="shared" si="2"/>
        <v>5833</v>
      </c>
      <c r="L1074">
        <f t="shared" si="3"/>
        <v>0</v>
      </c>
    </row>
    <row r="1075">
      <c r="A1075" s="107">
        <f>IFERROR(__xludf.DUMMYFUNCTION("""COMPUTED_VALUE"""),45604.0)</f>
        <v>45604</v>
      </c>
      <c r="B1075" t="str">
        <f>IFERROR(__xludf.DUMMYFUNCTION("""COMPUTED_VALUE"""),"出勤時間(士林天母區)")</f>
        <v>出勤時間(士林天母區)</v>
      </c>
      <c r="C1075" t="str">
        <f>IFERROR(__xludf.DUMMYFUNCTION("""COMPUTED_VALUE"""),"成本 - 出勤費")</f>
        <v>成本 - 出勤費</v>
      </c>
      <c r="D1075" s="270">
        <f>IFERROR(__xludf.DUMMYFUNCTION("""COMPUTED_VALUE"""),-1000.0)</f>
        <v>-1000</v>
      </c>
      <c r="E1075" t="str">
        <f>IFERROR(__xludf.DUMMYFUNCTION("""COMPUTED_VALUE"""),"Ben帳戶")</f>
        <v>Ben帳戶</v>
      </c>
      <c r="G1075" t="str">
        <f>IFERROR(__xludf.DUMMYFUNCTION("""COMPUTED_VALUE"""),"中山北Feli家")</f>
        <v>中山北Feli家</v>
      </c>
      <c r="H1075" s="106" t="str">
        <f t="shared" si="1"/>
        <v>2024-11</v>
      </c>
      <c r="I1075" s="271" t="str">
        <f>IFERROR(__xludf.DUMMYFUNCTION("""COMPUTED_VALUE"""),"貓狗企鵝")</f>
        <v>貓狗企鵝</v>
      </c>
      <c r="J1075" t="str">
        <f>IFERROR(__xludf.DUMMYFUNCTION("IFS(
  AND(REGEXMATCH(E1075, ""台銀籌備帳戶|玉山帳戶""), REGEXMATCH(C1075, ""薪資"")), ""分潤支出"",
  AND(REGEXMATCH(E1075, ""Ben帳戶|Elsa帳戶|Ben代墊|Ariel代墊|中信銀行共用""), REGEXMATCH(F1075, ""Ben帳戶|Elsa帳戶|Ben代墊|Ariel代墊|中信銀行共用"")), ""內部轉帳(忽略)"",
  AND(E1075&lt;&gt;"""", F1075&lt;&gt;"""", N"&amp;"OT(REGEXMATCH(C1075, ""薪資""))), ""內部轉帳(忽略)"",
  REGEXMATCH(C1075, ""薪資""), ""薪資變動(不計入)"",
  REGEXMATCH(C1075, ""押金""), ""押金往來"",
  AND(E1075&lt;&gt;"""", F1075=""""), ""真實支出"",
  AND(E1075="""", F1075&lt;&gt;""""), ""真實收入"",
  TRUE, ""其他""
)"),"真實支出")</f>
        <v>真實支出</v>
      </c>
      <c r="K1075" s="270">
        <f t="shared" si="2"/>
        <v>-1000</v>
      </c>
      <c r="L1075">
        <f t="shared" si="3"/>
        <v>0</v>
      </c>
    </row>
    <row r="1076">
      <c r="A1076" s="107">
        <f>IFERROR(__xludf.DUMMYFUNCTION("""COMPUTED_VALUE"""),45606.0)</f>
        <v>45606</v>
      </c>
      <c r="B1076" t="str">
        <f>IFERROR(__xludf.DUMMYFUNCTION("""COMPUTED_VALUE"""),"金龍591 po文")</f>
        <v>金龍591 po文</v>
      </c>
      <c r="C1076" t="str">
        <f>IFERROR(__xludf.DUMMYFUNCTION("""COMPUTED_VALUE"""),"成本 - 進場前裝潢費")</f>
        <v>成本 - 進場前裝潢費</v>
      </c>
      <c r="D1076" s="270">
        <f>IFERROR(__xludf.DUMMYFUNCTION("""COMPUTED_VALUE"""),-1289.0)</f>
        <v>-1289</v>
      </c>
      <c r="E1076" t="str">
        <f>IFERROR(__xludf.DUMMYFUNCTION("""COMPUTED_VALUE"""),"Elsa帳戶")</f>
        <v>Elsa帳戶</v>
      </c>
      <c r="G1076" t="str">
        <f>IFERROR(__xludf.DUMMYFUNCTION("""COMPUTED_VALUE"""),"金龍帽子先生")</f>
        <v>金龍帽子先生</v>
      </c>
      <c r="H1076" s="106" t="str">
        <f t="shared" si="1"/>
        <v>2024-11</v>
      </c>
      <c r="I1076" s="271" t="str">
        <f>IFERROR(__xludf.DUMMYFUNCTION("""COMPUTED_VALUE"""),"貓狗企鵝")</f>
        <v>貓狗企鵝</v>
      </c>
      <c r="J1076" t="str">
        <f>IFERROR(__xludf.DUMMYFUNCTION("IFS(
  AND(REGEXMATCH(E1076, ""台銀籌備帳戶|玉山帳戶""), REGEXMATCH(C1076, ""薪資"")), ""分潤支出"",
  AND(REGEXMATCH(E1076, ""Ben帳戶|Elsa帳戶|Ben代墊|Ariel代墊|中信銀行共用""), REGEXMATCH(F1076, ""Ben帳戶|Elsa帳戶|Ben代墊|Ariel代墊|中信銀行共用"")), ""內部轉帳(忽略)"",
  AND(E1076&lt;&gt;"""", F1076&lt;&gt;"""", N"&amp;"OT(REGEXMATCH(C1076, ""薪資""))), ""內部轉帳(忽略)"",
  REGEXMATCH(C1076, ""薪資""), ""薪資變動(不計入)"",
  REGEXMATCH(C1076, ""押金""), ""押金往來"",
  AND(E1076&lt;&gt;"""", F1076=""""), ""真實支出"",
  AND(E1076="""", F1076&lt;&gt;""""), ""真實收入"",
  TRUE, ""其他""
)"),"真實支出")</f>
        <v>真實支出</v>
      </c>
      <c r="K1076" s="270">
        <f t="shared" si="2"/>
        <v>-1289</v>
      </c>
      <c r="L1076">
        <f t="shared" si="3"/>
        <v>0</v>
      </c>
    </row>
    <row r="1077">
      <c r="A1077" s="107">
        <f>IFERROR(__xludf.DUMMYFUNCTION("""COMPUTED_VALUE"""),45606.0)</f>
        <v>45606</v>
      </c>
      <c r="B1077" t="str">
        <f>IFERROR(__xludf.DUMMYFUNCTION("""COMPUTED_VALUE"""),"金龍帽子先生B謝歆俞")</f>
        <v>金龍帽子先生B謝歆俞</v>
      </c>
      <c r="C1077" t="str">
        <f>IFERROR(__xludf.DUMMYFUNCTION("""COMPUTED_VALUE"""),"收入 - 租金")</f>
        <v>收入 - 租金</v>
      </c>
      <c r="D1077" s="270">
        <f>IFERROR(__xludf.DUMMYFUNCTION("""COMPUTED_VALUE"""),13123.0)</f>
        <v>13123</v>
      </c>
      <c r="F1077" t="str">
        <f>IFERROR(__xludf.DUMMYFUNCTION("""COMPUTED_VALUE"""),"台銀籌備帳戶")</f>
        <v>台銀籌備帳戶</v>
      </c>
      <c r="G1077" t="str">
        <f>IFERROR(__xludf.DUMMYFUNCTION("""COMPUTED_VALUE"""),"金龍帽子先生")</f>
        <v>金龍帽子先生</v>
      </c>
      <c r="H1077" s="106" t="str">
        <f t="shared" si="1"/>
        <v>2024-11</v>
      </c>
      <c r="I1077" s="271" t="str">
        <f>IFERROR(__xludf.DUMMYFUNCTION("""COMPUTED_VALUE"""),"貓狗企鵝")</f>
        <v>貓狗企鵝</v>
      </c>
      <c r="J1077" t="str">
        <f>IFERROR(__xludf.DUMMYFUNCTION("IFS(
  AND(REGEXMATCH(E1077, ""台銀籌備帳戶|玉山帳戶""), REGEXMATCH(C1077, ""薪資"")), ""分潤支出"",
  AND(REGEXMATCH(E1077, ""Ben帳戶|Elsa帳戶|Ben代墊|Ariel代墊|中信銀行共用""), REGEXMATCH(F1077, ""Ben帳戶|Elsa帳戶|Ben代墊|Ariel代墊|中信銀行共用"")), ""內部轉帳(忽略)"",
  AND(E1077&lt;&gt;"""", F1077&lt;&gt;"""", N"&amp;"OT(REGEXMATCH(C1077, ""薪資""))), ""內部轉帳(忽略)"",
  REGEXMATCH(C1077, ""薪資""), ""薪資變動(不計入)"",
  REGEXMATCH(C1077, ""押金""), ""押金往來"",
  AND(E1077&lt;&gt;"""", F1077=""""), ""真實支出"",
  AND(E1077="""", F1077&lt;&gt;""""), ""真實收入"",
  TRUE, ""其他""
)"),"真實收入")</f>
        <v>真實收入</v>
      </c>
      <c r="K1077" s="270">
        <f t="shared" si="2"/>
        <v>13123</v>
      </c>
      <c r="L1077">
        <f t="shared" si="3"/>
        <v>0</v>
      </c>
    </row>
    <row r="1078">
      <c r="A1078" s="107">
        <f>IFERROR(__xludf.DUMMYFUNCTION("""COMPUTED_VALUE"""),45607.0)</f>
        <v>45607</v>
      </c>
      <c r="B1078" t="str">
        <f>IFERROR(__xludf.DUMMYFUNCTION("""COMPUTED_VALUE"""),"中山北Feli家 小黃")</f>
        <v>中山北Feli家 小黃</v>
      </c>
      <c r="C1078" t="str">
        <f>IFERROR(__xludf.DUMMYFUNCTION("""COMPUTED_VALUE"""),"費用 - 交通費")</f>
        <v>費用 - 交通費</v>
      </c>
      <c r="D1078" s="270">
        <f>IFERROR(__xludf.DUMMYFUNCTION("""COMPUTED_VALUE"""),-260.0)</f>
        <v>-260</v>
      </c>
      <c r="E1078" t="str">
        <f>IFERROR(__xludf.DUMMYFUNCTION("""COMPUTED_VALUE"""),"Elsa帳戶")</f>
        <v>Elsa帳戶</v>
      </c>
      <c r="G1078" t="str">
        <f>IFERROR(__xludf.DUMMYFUNCTION("""COMPUTED_VALUE"""),"中山北Feli家")</f>
        <v>中山北Feli家</v>
      </c>
      <c r="H1078" s="106" t="str">
        <f t="shared" si="1"/>
        <v>2024-11</v>
      </c>
      <c r="I1078" s="271" t="str">
        <f>IFERROR(__xludf.DUMMYFUNCTION("""COMPUTED_VALUE"""),"貓狗企鵝")</f>
        <v>貓狗企鵝</v>
      </c>
      <c r="J1078" t="str">
        <f>IFERROR(__xludf.DUMMYFUNCTION("IFS(
  AND(REGEXMATCH(E1078, ""台銀籌備帳戶|玉山帳戶""), REGEXMATCH(C1078, ""薪資"")), ""分潤支出"",
  AND(REGEXMATCH(E1078, ""Ben帳戶|Elsa帳戶|Ben代墊|Ariel代墊|中信銀行共用""), REGEXMATCH(F1078, ""Ben帳戶|Elsa帳戶|Ben代墊|Ariel代墊|中信銀行共用"")), ""內部轉帳(忽略)"",
  AND(E1078&lt;&gt;"""", F1078&lt;&gt;"""", N"&amp;"OT(REGEXMATCH(C1078, ""薪資""))), ""內部轉帳(忽略)"",
  REGEXMATCH(C1078, ""薪資""), ""薪資變動(不計入)"",
  REGEXMATCH(C1078, ""押金""), ""押金往來"",
  AND(E1078&lt;&gt;"""", F1078=""""), ""真實支出"",
  AND(E1078="""", F1078&lt;&gt;""""), ""真實收入"",
  TRUE, ""其他""
)"),"真實支出")</f>
        <v>真實支出</v>
      </c>
      <c r="K1078" s="270">
        <f t="shared" si="2"/>
        <v>-260</v>
      </c>
      <c r="L1078">
        <f t="shared" si="3"/>
        <v>0</v>
      </c>
    </row>
    <row r="1079">
      <c r="A1079" s="107">
        <f>IFERROR(__xludf.DUMMYFUNCTION("""COMPUTED_VALUE"""),45607.0)</f>
        <v>45607</v>
      </c>
      <c r="B1079" t="str">
        <f>IFERROR(__xludf.DUMMYFUNCTION("""COMPUTED_VALUE"""),"FB PO文帳號開通*2")</f>
        <v>FB PO文帳號開通*2</v>
      </c>
      <c r="C1079" t="str">
        <f>IFERROR(__xludf.DUMMYFUNCTION("""COMPUTED_VALUE"""),"成本 - 仲介費")</f>
        <v>成本 - 仲介費</v>
      </c>
      <c r="D1079" s="270">
        <f>IFERROR(__xludf.DUMMYFUNCTION("""COMPUTED_VALUE"""),-2000.0)</f>
        <v>-2000</v>
      </c>
      <c r="E1079" t="str">
        <f>IFERROR(__xludf.DUMMYFUNCTION("""COMPUTED_VALUE"""),"Elsa帳戶")</f>
        <v>Elsa帳戶</v>
      </c>
      <c r="H1079" s="106" t="str">
        <f t="shared" si="1"/>
        <v>2024-11</v>
      </c>
      <c r="I1079" s="271" t="str">
        <f>IFERROR(__xludf.DUMMYFUNCTION("""COMPUTED_VALUE"""),"貓狗企鵝")</f>
        <v>貓狗企鵝</v>
      </c>
      <c r="J1079" t="str">
        <f>IFERROR(__xludf.DUMMYFUNCTION("IFS(
  AND(REGEXMATCH(E1079, ""台銀籌備帳戶|玉山帳戶""), REGEXMATCH(C1079, ""薪資"")), ""分潤支出"",
  AND(REGEXMATCH(E1079, ""Ben帳戶|Elsa帳戶|Ben代墊|Ariel代墊|中信銀行共用""), REGEXMATCH(F1079, ""Ben帳戶|Elsa帳戶|Ben代墊|Ariel代墊|中信銀行共用"")), ""內部轉帳(忽略)"",
  AND(E1079&lt;&gt;"""", F1079&lt;&gt;"""", N"&amp;"OT(REGEXMATCH(C1079, ""薪資""))), ""內部轉帳(忽略)"",
  REGEXMATCH(C1079, ""薪資""), ""薪資變動(不計入)"",
  REGEXMATCH(C1079, ""押金""), ""押金往來"",
  AND(E1079&lt;&gt;"""", F1079=""""), ""真實支出"",
  AND(E1079="""", F1079&lt;&gt;""""), ""真實收入"",
  TRUE, ""其他""
)"),"真實支出")</f>
        <v>真實支出</v>
      </c>
      <c r="K1079" s="270">
        <f t="shared" si="2"/>
        <v>-2000</v>
      </c>
      <c r="L1079">
        <f t="shared" si="3"/>
        <v>0</v>
      </c>
    </row>
    <row r="1080">
      <c r="A1080" s="107">
        <f>IFERROR(__xludf.DUMMYFUNCTION("""COMPUTED_VALUE"""),45607.0)</f>
        <v>45607</v>
      </c>
      <c r="B1080" t="str">
        <f>IFERROR(__xludf.DUMMYFUNCTION("""COMPUTED_VALUE"""),"中山北Feli家 水費")</f>
        <v>中山北Feli家 水費</v>
      </c>
      <c r="C1080" t="str">
        <f>IFERROR(__xludf.DUMMYFUNCTION("""COMPUTED_VALUE"""),"成本 - 進場前裝潢費")</f>
        <v>成本 - 進場前裝潢費</v>
      </c>
      <c r="D1080" s="270">
        <f>IFERROR(__xludf.DUMMYFUNCTION("""COMPUTED_VALUE"""),-263.0)</f>
        <v>-263</v>
      </c>
      <c r="E1080" t="str">
        <f>IFERROR(__xludf.DUMMYFUNCTION("""COMPUTED_VALUE"""),"Elsa帳戶")</f>
        <v>Elsa帳戶</v>
      </c>
      <c r="G1080" t="str">
        <f>IFERROR(__xludf.DUMMYFUNCTION("""COMPUTED_VALUE"""),"中山北Feli家")</f>
        <v>中山北Feli家</v>
      </c>
      <c r="H1080" s="106" t="str">
        <f t="shared" si="1"/>
        <v>2024-11</v>
      </c>
      <c r="I1080" s="271" t="str">
        <f>IFERROR(__xludf.DUMMYFUNCTION("""COMPUTED_VALUE"""),"貓狗企鵝")</f>
        <v>貓狗企鵝</v>
      </c>
      <c r="J1080" t="str">
        <f>IFERROR(__xludf.DUMMYFUNCTION("IFS(
  AND(REGEXMATCH(E1080, ""台銀籌備帳戶|玉山帳戶""), REGEXMATCH(C1080, ""薪資"")), ""分潤支出"",
  AND(REGEXMATCH(E1080, ""Ben帳戶|Elsa帳戶|Ben代墊|Ariel代墊|中信銀行共用""), REGEXMATCH(F1080, ""Ben帳戶|Elsa帳戶|Ben代墊|Ariel代墊|中信銀行共用"")), ""內部轉帳(忽略)"",
  AND(E1080&lt;&gt;"""", F1080&lt;&gt;"""", N"&amp;"OT(REGEXMATCH(C1080, ""薪資""))), ""內部轉帳(忽略)"",
  REGEXMATCH(C1080, ""薪資""), ""薪資變動(不計入)"",
  REGEXMATCH(C1080, ""押金""), ""押金往來"",
  AND(E1080&lt;&gt;"""", F1080=""""), ""真實支出"",
  AND(E1080="""", F1080&lt;&gt;""""), ""真實收入"",
  TRUE, ""其他""
)"),"真實支出")</f>
        <v>真實支出</v>
      </c>
      <c r="K1080" s="270">
        <f t="shared" si="2"/>
        <v>-263</v>
      </c>
      <c r="L1080">
        <f t="shared" si="3"/>
        <v>0</v>
      </c>
    </row>
    <row r="1081">
      <c r="A1081" s="107">
        <f>IFERROR(__xludf.DUMMYFUNCTION("""COMPUTED_VALUE"""),45607.0)</f>
        <v>45607</v>
      </c>
      <c r="B1081" t="str">
        <f>IFERROR(__xludf.DUMMYFUNCTION("""COMPUTED_VALUE"""),"中山北Feli家 電費")</f>
        <v>中山北Feli家 電費</v>
      </c>
      <c r="C1081" t="str">
        <f>IFERROR(__xludf.DUMMYFUNCTION("""COMPUTED_VALUE"""),"成本 - 進場前裝潢費")</f>
        <v>成本 - 進場前裝潢費</v>
      </c>
      <c r="D1081" s="270">
        <f>IFERROR(__xludf.DUMMYFUNCTION("""COMPUTED_VALUE"""),-126.0)</f>
        <v>-126</v>
      </c>
      <c r="E1081" t="str">
        <f>IFERROR(__xludf.DUMMYFUNCTION("""COMPUTED_VALUE"""),"Elsa帳戶")</f>
        <v>Elsa帳戶</v>
      </c>
      <c r="G1081" t="str">
        <f>IFERROR(__xludf.DUMMYFUNCTION("""COMPUTED_VALUE"""),"中山北Feli家")</f>
        <v>中山北Feli家</v>
      </c>
      <c r="H1081" s="106" t="str">
        <f t="shared" si="1"/>
        <v>2024-11</v>
      </c>
      <c r="I1081" s="271" t="str">
        <f>IFERROR(__xludf.DUMMYFUNCTION("""COMPUTED_VALUE"""),"貓狗企鵝")</f>
        <v>貓狗企鵝</v>
      </c>
      <c r="J1081" t="str">
        <f>IFERROR(__xludf.DUMMYFUNCTION("IFS(
  AND(REGEXMATCH(E1081, ""台銀籌備帳戶|玉山帳戶""), REGEXMATCH(C1081, ""薪資"")), ""分潤支出"",
  AND(REGEXMATCH(E1081, ""Ben帳戶|Elsa帳戶|Ben代墊|Ariel代墊|中信銀行共用""), REGEXMATCH(F1081, ""Ben帳戶|Elsa帳戶|Ben代墊|Ariel代墊|中信銀行共用"")), ""內部轉帳(忽略)"",
  AND(E1081&lt;&gt;"""", F1081&lt;&gt;"""", N"&amp;"OT(REGEXMATCH(C1081, ""薪資""))), ""內部轉帳(忽略)"",
  REGEXMATCH(C1081, ""薪資""), ""薪資變動(不計入)"",
  REGEXMATCH(C1081, ""押金""), ""押金往來"",
  AND(E1081&lt;&gt;"""", F1081=""""), ""真實支出"",
  AND(E1081="""", F1081&lt;&gt;""""), ""真實收入"",
  TRUE, ""其他""
)"),"真實支出")</f>
        <v>真實支出</v>
      </c>
      <c r="K1081" s="270">
        <f t="shared" si="2"/>
        <v>-126</v>
      </c>
      <c r="L1081">
        <f t="shared" si="3"/>
        <v>0</v>
      </c>
    </row>
    <row r="1082">
      <c r="A1082" s="107">
        <f>IFERROR(__xludf.DUMMYFUNCTION("""COMPUTED_VALUE"""),45607.0)</f>
        <v>45607</v>
      </c>
      <c r="B1082" t="str">
        <f>IFERROR(__xludf.DUMMYFUNCTION("""COMPUTED_VALUE"""),"中山北Feli家 小黃")</f>
        <v>中山北Feli家 小黃</v>
      </c>
      <c r="C1082" t="str">
        <f>IFERROR(__xludf.DUMMYFUNCTION("""COMPUTED_VALUE"""),"費用 - 交通費")</f>
        <v>費用 - 交通費</v>
      </c>
      <c r="D1082" s="270">
        <f>IFERROR(__xludf.DUMMYFUNCTION("""COMPUTED_VALUE"""),-390.0)</f>
        <v>-390</v>
      </c>
      <c r="E1082" t="str">
        <f>IFERROR(__xludf.DUMMYFUNCTION("""COMPUTED_VALUE"""),"Elsa帳戶")</f>
        <v>Elsa帳戶</v>
      </c>
      <c r="G1082" t="str">
        <f>IFERROR(__xludf.DUMMYFUNCTION("""COMPUTED_VALUE"""),"中山北Feli家")</f>
        <v>中山北Feli家</v>
      </c>
      <c r="H1082" s="106" t="str">
        <f t="shared" si="1"/>
        <v>2024-11</v>
      </c>
      <c r="I1082" s="271" t="str">
        <f>IFERROR(__xludf.DUMMYFUNCTION("""COMPUTED_VALUE"""),"貓狗企鵝")</f>
        <v>貓狗企鵝</v>
      </c>
      <c r="J1082" t="str">
        <f>IFERROR(__xludf.DUMMYFUNCTION("IFS(
  AND(REGEXMATCH(E1082, ""台銀籌備帳戶|玉山帳戶""), REGEXMATCH(C1082, ""薪資"")), ""分潤支出"",
  AND(REGEXMATCH(E1082, ""Ben帳戶|Elsa帳戶|Ben代墊|Ariel代墊|中信銀行共用""), REGEXMATCH(F1082, ""Ben帳戶|Elsa帳戶|Ben代墊|Ariel代墊|中信銀行共用"")), ""內部轉帳(忽略)"",
  AND(E1082&lt;&gt;"""", F1082&lt;&gt;"""", N"&amp;"OT(REGEXMATCH(C1082, ""薪資""))), ""內部轉帳(忽略)"",
  REGEXMATCH(C1082, ""薪資""), ""薪資變動(不計入)"",
  REGEXMATCH(C1082, ""押金""), ""押金往來"",
  AND(E1082&lt;&gt;"""", F1082=""""), ""真實支出"",
  AND(E1082="""", F1082&lt;&gt;""""), ""真實收入"",
  TRUE, ""其他""
)"),"真實支出")</f>
        <v>真實支出</v>
      </c>
      <c r="K1082" s="270">
        <f t="shared" si="2"/>
        <v>-390</v>
      </c>
      <c r="L1082">
        <f t="shared" si="3"/>
        <v>0</v>
      </c>
    </row>
    <row r="1083">
      <c r="A1083" s="107">
        <f>IFERROR(__xludf.DUMMYFUNCTION("""COMPUTED_VALUE"""),45607.0)</f>
        <v>45607</v>
      </c>
      <c r="B1083" t="str">
        <f>IFERROR(__xludf.DUMMYFUNCTION("""COMPUTED_VALUE"""),"訂金轉錯了")</f>
        <v>訂金轉錯了</v>
      </c>
      <c r="D1083" s="270">
        <f>IFERROR(__xludf.DUMMYFUNCTION("""COMPUTED_VALUE"""),10000.0)</f>
        <v>10000</v>
      </c>
      <c r="F1083" t="str">
        <f>IFERROR(__xludf.DUMMYFUNCTION("""COMPUTED_VALUE"""),"台銀籌備帳戶")</f>
        <v>台銀籌備帳戶</v>
      </c>
      <c r="H1083" s="106" t="str">
        <f t="shared" si="1"/>
        <v>2024-11</v>
      </c>
      <c r="I1083" s="271" t="str">
        <f>IFERROR(__xludf.DUMMYFUNCTION("""COMPUTED_VALUE"""),"貓狗企鵝")</f>
        <v>貓狗企鵝</v>
      </c>
      <c r="J1083" t="str">
        <f>IFERROR(__xludf.DUMMYFUNCTION("IFS(
  AND(REGEXMATCH(E1083, ""台銀籌備帳戶|玉山帳戶""), REGEXMATCH(C1083, ""薪資"")), ""分潤支出"",
  AND(REGEXMATCH(E1083, ""Ben帳戶|Elsa帳戶|Ben代墊|Ariel代墊|中信銀行共用""), REGEXMATCH(F1083, ""Ben帳戶|Elsa帳戶|Ben代墊|Ariel代墊|中信銀行共用"")), ""內部轉帳(忽略)"",
  AND(E1083&lt;&gt;"""", F1083&lt;&gt;"""", N"&amp;"OT(REGEXMATCH(C1083, ""薪資""))), ""內部轉帳(忽略)"",
  REGEXMATCH(C1083, ""薪資""), ""薪資變動(不計入)"",
  REGEXMATCH(C1083, ""押金""), ""押金往來"",
  AND(E1083&lt;&gt;"""", F1083=""""), ""真實支出"",
  AND(E1083="""", F1083&lt;&gt;""""), ""真實收入"",
  TRUE, ""其他""
)"),"真實收入")</f>
        <v>真實收入</v>
      </c>
      <c r="K1083" s="270">
        <f t="shared" si="2"/>
        <v>10000</v>
      </c>
      <c r="L1083">
        <f t="shared" si="3"/>
        <v>0</v>
      </c>
    </row>
    <row r="1084">
      <c r="A1084" s="107">
        <f>IFERROR(__xludf.DUMMYFUNCTION("""COMPUTED_VALUE"""),45607.0)</f>
        <v>45607</v>
      </c>
      <c r="B1084" t="str">
        <f>IFERROR(__xludf.DUMMYFUNCTION("""COMPUTED_VALUE"""),"訂金轉錯帳戶")</f>
        <v>訂金轉錯帳戶</v>
      </c>
      <c r="D1084" s="270">
        <f>IFERROR(__xludf.DUMMYFUNCTION("""COMPUTED_VALUE"""),-10015.0)</f>
        <v>-10015</v>
      </c>
      <c r="E1084" t="str">
        <f>IFERROR(__xludf.DUMMYFUNCTION("""COMPUTED_VALUE"""),"台銀籌備帳戶")</f>
        <v>台銀籌備帳戶</v>
      </c>
      <c r="H1084" s="106" t="str">
        <f t="shared" si="1"/>
        <v>2024-11</v>
      </c>
      <c r="I1084" s="271" t="str">
        <f>IFERROR(__xludf.DUMMYFUNCTION("""COMPUTED_VALUE"""),"貓狗企鵝")</f>
        <v>貓狗企鵝</v>
      </c>
      <c r="J1084" t="str">
        <f>IFERROR(__xludf.DUMMYFUNCTION("IFS(
  AND(REGEXMATCH(E1084, ""台銀籌備帳戶|玉山帳戶""), REGEXMATCH(C1084, ""薪資"")), ""分潤支出"",
  AND(REGEXMATCH(E1084, ""Ben帳戶|Elsa帳戶|Ben代墊|Ariel代墊|中信銀行共用""), REGEXMATCH(F1084, ""Ben帳戶|Elsa帳戶|Ben代墊|Ariel代墊|中信銀行共用"")), ""內部轉帳(忽略)"",
  AND(E1084&lt;&gt;"""", F1084&lt;&gt;"""", N"&amp;"OT(REGEXMATCH(C1084, ""薪資""))), ""內部轉帳(忽略)"",
  REGEXMATCH(C1084, ""薪資""), ""薪資變動(不計入)"",
  REGEXMATCH(C1084, ""押金""), ""押金往來"",
  AND(E1084&lt;&gt;"""", F1084=""""), ""真實支出"",
  AND(E1084="""", F1084&lt;&gt;""""), ""真實收入"",
  TRUE, ""其他""
)"),"真實支出")</f>
        <v>真實支出</v>
      </c>
      <c r="K1084" s="270">
        <f t="shared" si="2"/>
        <v>-10015</v>
      </c>
      <c r="L1084">
        <f t="shared" si="3"/>
        <v>0</v>
      </c>
    </row>
    <row r="1085">
      <c r="A1085" s="107">
        <f>IFERROR(__xludf.DUMMYFUNCTION("""COMPUTED_VALUE"""),45608.0)</f>
        <v>45608</v>
      </c>
      <c r="B1085" t="str">
        <f>IFERROR(__xludf.DUMMYFUNCTION("""COMPUTED_VALUE"""),"金龍 四號電池")</f>
        <v>金龍 四號電池</v>
      </c>
      <c r="C1085" t="str">
        <f>IFERROR(__xludf.DUMMYFUNCTION("""COMPUTED_VALUE"""),"成本 - 租後修繕")</f>
        <v>成本 - 租後修繕</v>
      </c>
      <c r="D1085" s="270">
        <f>IFERROR(__xludf.DUMMYFUNCTION("""COMPUTED_VALUE"""),-169.0)</f>
        <v>-169</v>
      </c>
      <c r="E1085" t="str">
        <f>IFERROR(__xludf.DUMMYFUNCTION("""COMPUTED_VALUE"""),"Elsa帳戶")</f>
        <v>Elsa帳戶</v>
      </c>
      <c r="G1085" t="str">
        <f>IFERROR(__xludf.DUMMYFUNCTION("""COMPUTED_VALUE"""),"金龍帽子先生")</f>
        <v>金龍帽子先生</v>
      </c>
      <c r="H1085" s="106" t="str">
        <f t="shared" si="1"/>
        <v>2024-11</v>
      </c>
      <c r="I1085" s="271" t="str">
        <f>IFERROR(__xludf.DUMMYFUNCTION("""COMPUTED_VALUE"""),"貓狗企鵝")</f>
        <v>貓狗企鵝</v>
      </c>
      <c r="J1085" t="str">
        <f>IFERROR(__xludf.DUMMYFUNCTION("IFS(
  AND(REGEXMATCH(E1085, ""台銀籌備帳戶|玉山帳戶""), REGEXMATCH(C1085, ""薪資"")), ""分潤支出"",
  AND(REGEXMATCH(E1085, ""Ben帳戶|Elsa帳戶|Ben代墊|Ariel代墊|中信銀行共用""), REGEXMATCH(F1085, ""Ben帳戶|Elsa帳戶|Ben代墊|Ariel代墊|中信銀行共用"")), ""內部轉帳(忽略)"",
  AND(E1085&lt;&gt;"""", F1085&lt;&gt;"""", N"&amp;"OT(REGEXMATCH(C1085, ""薪資""))), ""內部轉帳(忽略)"",
  REGEXMATCH(C1085, ""薪資""), ""薪資變動(不計入)"",
  REGEXMATCH(C1085, ""押金""), ""押金往來"",
  AND(E1085&lt;&gt;"""", F1085=""""), ""真實支出"",
  AND(E1085="""", F1085&lt;&gt;""""), ""真實收入"",
  TRUE, ""其他""
)"),"真實支出")</f>
        <v>真實支出</v>
      </c>
      <c r="K1085" s="270">
        <f t="shared" si="2"/>
        <v>-169</v>
      </c>
      <c r="L1085">
        <f t="shared" si="3"/>
        <v>0</v>
      </c>
    </row>
    <row r="1086">
      <c r="A1086" s="107">
        <f>IFERROR(__xludf.DUMMYFUNCTION("""COMPUTED_VALUE"""),45608.0)</f>
        <v>45608</v>
      </c>
      <c r="B1086" t="str">
        <f>IFERROR(__xludf.DUMMYFUNCTION("""COMPUTED_VALUE"""),"北區國稅94053182")</f>
        <v>北區國稅94053182</v>
      </c>
      <c r="C1086" t="str">
        <f>IFERROR(__xludf.DUMMYFUNCTION("""COMPUTED_VALUE"""),"收入 - 政府補助/退稅")</f>
        <v>收入 - 政府補助/退稅</v>
      </c>
      <c r="D1086" s="270">
        <f>IFERROR(__xludf.DUMMYFUNCTION("""COMPUTED_VALUE"""),1200.0)</f>
        <v>1200</v>
      </c>
      <c r="F1086" t="str">
        <f>IFERROR(__xludf.DUMMYFUNCTION("""COMPUTED_VALUE"""),"台銀籌備帳戶")</f>
        <v>台銀籌備帳戶</v>
      </c>
      <c r="G1086" t="str">
        <f>IFERROR(__xludf.DUMMYFUNCTION("""COMPUTED_VALUE"""),"景安2分鐘")</f>
        <v>景安2分鐘</v>
      </c>
      <c r="H1086" s="106" t="str">
        <f t="shared" si="1"/>
        <v>2024-11</v>
      </c>
      <c r="I1086" s="271" t="str">
        <f>IFERROR(__xludf.DUMMYFUNCTION("""COMPUTED_VALUE"""),"貓狗企鵝")</f>
        <v>貓狗企鵝</v>
      </c>
      <c r="J1086" t="str">
        <f>IFERROR(__xludf.DUMMYFUNCTION("IFS(
  AND(REGEXMATCH(E1086, ""台銀籌備帳戶|玉山帳戶""), REGEXMATCH(C1086, ""薪資"")), ""分潤支出"",
  AND(REGEXMATCH(E1086, ""Ben帳戶|Elsa帳戶|Ben代墊|Ariel代墊|中信銀行共用""), REGEXMATCH(F1086, ""Ben帳戶|Elsa帳戶|Ben代墊|Ariel代墊|中信銀行共用"")), ""內部轉帳(忽略)"",
  AND(E1086&lt;&gt;"""", F1086&lt;&gt;"""", N"&amp;"OT(REGEXMATCH(C1086, ""薪資""))), ""內部轉帳(忽略)"",
  REGEXMATCH(C1086, ""薪資""), ""薪資變動(不計入)"",
  REGEXMATCH(C1086, ""押金""), ""押金往來"",
  AND(E1086&lt;&gt;"""", F1086=""""), ""真實支出"",
  AND(E1086="""", F1086&lt;&gt;""""), ""真實收入"",
  TRUE, ""其他""
)"),"真實收入")</f>
        <v>真實收入</v>
      </c>
      <c r="K1086" s="270">
        <f t="shared" si="2"/>
        <v>1200</v>
      </c>
      <c r="L1086">
        <f t="shared" si="3"/>
        <v>0</v>
      </c>
    </row>
    <row r="1087">
      <c r="A1087" s="107">
        <f>IFERROR(__xludf.DUMMYFUNCTION("""COMPUTED_VALUE"""),45608.0)</f>
        <v>45608</v>
      </c>
      <c r="B1087" t="str">
        <f>IFERROR(__xludf.DUMMYFUNCTION("""COMPUTED_VALUE"""),"北區國稅94053182")</f>
        <v>北區國稅94053182</v>
      </c>
      <c r="C1087" t="str">
        <f>IFERROR(__xludf.DUMMYFUNCTION("""COMPUTED_VALUE"""),"收入 - 政府補助/退稅")</f>
        <v>收入 - 政府補助/退稅</v>
      </c>
      <c r="D1087" s="270">
        <f>IFERROR(__xludf.DUMMYFUNCTION("""COMPUTED_VALUE"""),1600.0)</f>
        <v>1600</v>
      </c>
      <c r="F1087" t="str">
        <f>IFERROR(__xludf.DUMMYFUNCTION("""COMPUTED_VALUE"""),"台銀籌備帳戶")</f>
        <v>台銀籌備帳戶</v>
      </c>
      <c r="G1087" t="str">
        <f>IFERROR(__xludf.DUMMYFUNCTION("""COMPUTED_VALUE"""),"景安2分鐘")</f>
        <v>景安2分鐘</v>
      </c>
      <c r="H1087" s="106" t="str">
        <f t="shared" si="1"/>
        <v>2024-11</v>
      </c>
      <c r="I1087" s="271" t="str">
        <f>IFERROR(__xludf.DUMMYFUNCTION("""COMPUTED_VALUE"""),"貓狗企鵝")</f>
        <v>貓狗企鵝</v>
      </c>
      <c r="J1087" t="str">
        <f>IFERROR(__xludf.DUMMYFUNCTION("IFS(
  AND(REGEXMATCH(E1087, ""台銀籌備帳戶|玉山帳戶""), REGEXMATCH(C1087, ""薪資"")), ""分潤支出"",
  AND(REGEXMATCH(E1087, ""Ben帳戶|Elsa帳戶|Ben代墊|Ariel代墊|中信銀行共用""), REGEXMATCH(F1087, ""Ben帳戶|Elsa帳戶|Ben代墊|Ariel代墊|中信銀行共用"")), ""內部轉帳(忽略)"",
  AND(E1087&lt;&gt;"""", F1087&lt;&gt;"""", N"&amp;"OT(REGEXMATCH(C1087, ""薪資""))), ""內部轉帳(忽略)"",
  REGEXMATCH(C1087, ""薪資""), ""薪資變動(不計入)"",
  REGEXMATCH(C1087, ""押金""), ""押金往來"",
  AND(E1087&lt;&gt;"""", F1087=""""), ""真實支出"",
  AND(E1087="""", F1087&lt;&gt;""""), ""真實收入"",
  TRUE, ""其他""
)"),"真實收入")</f>
        <v>真實收入</v>
      </c>
      <c r="K1087" s="270">
        <f t="shared" si="2"/>
        <v>1600</v>
      </c>
      <c r="L1087">
        <f t="shared" si="3"/>
        <v>0</v>
      </c>
    </row>
    <row r="1088">
      <c r="A1088" s="107">
        <f>IFERROR(__xludf.DUMMYFUNCTION("""COMPUTED_VALUE"""),45608.0)</f>
        <v>45608</v>
      </c>
      <c r="B1088" t="str">
        <f>IFERROR(__xludf.DUMMYFUNCTION("""COMPUTED_VALUE"""),"北區國稅94053182")</f>
        <v>北區國稅94053182</v>
      </c>
      <c r="C1088" t="str">
        <f>IFERROR(__xludf.DUMMYFUNCTION("""COMPUTED_VALUE"""),"收入 - 政府補助/退稅")</f>
        <v>收入 - 政府補助/退稅</v>
      </c>
      <c r="D1088" s="270">
        <f>IFERROR(__xludf.DUMMYFUNCTION("""COMPUTED_VALUE"""),1600.0)</f>
        <v>1600</v>
      </c>
      <c r="F1088" t="str">
        <f>IFERROR(__xludf.DUMMYFUNCTION("""COMPUTED_VALUE"""),"台銀籌備帳戶")</f>
        <v>台銀籌備帳戶</v>
      </c>
      <c r="G1088" t="str">
        <f>IFERROR(__xludf.DUMMYFUNCTION("""COMPUTED_VALUE"""),"景安2分鐘")</f>
        <v>景安2分鐘</v>
      </c>
      <c r="H1088" s="106" t="str">
        <f t="shared" si="1"/>
        <v>2024-11</v>
      </c>
      <c r="I1088" s="271" t="str">
        <f>IFERROR(__xludf.DUMMYFUNCTION("""COMPUTED_VALUE"""),"貓狗企鵝")</f>
        <v>貓狗企鵝</v>
      </c>
      <c r="J1088" t="str">
        <f>IFERROR(__xludf.DUMMYFUNCTION("IFS(
  AND(REGEXMATCH(E1088, ""台銀籌備帳戶|玉山帳戶""), REGEXMATCH(C1088, ""薪資"")), ""分潤支出"",
  AND(REGEXMATCH(E1088, ""Ben帳戶|Elsa帳戶|Ben代墊|Ariel代墊|中信銀行共用""), REGEXMATCH(F1088, ""Ben帳戶|Elsa帳戶|Ben代墊|Ariel代墊|中信銀行共用"")), ""內部轉帳(忽略)"",
  AND(E1088&lt;&gt;"""", F1088&lt;&gt;"""", N"&amp;"OT(REGEXMATCH(C1088, ""薪資""))), ""內部轉帳(忽略)"",
  REGEXMATCH(C1088, ""薪資""), ""薪資變動(不計入)"",
  REGEXMATCH(C1088, ""押金""), ""押金往來"",
  AND(E1088&lt;&gt;"""", F1088=""""), ""真實支出"",
  AND(E1088="""", F1088&lt;&gt;""""), ""真實收入"",
  TRUE, ""其他""
)"),"真實收入")</f>
        <v>真實收入</v>
      </c>
      <c r="K1088" s="270">
        <f t="shared" si="2"/>
        <v>1600</v>
      </c>
      <c r="L1088">
        <f t="shared" si="3"/>
        <v>0</v>
      </c>
    </row>
    <row r="1089">
      <c r="A1089" s="107">
        <f>IFERROR(__xludf.DUMMYFUNCTION("""COMPUTED_VALUE"""),45608.0)</f>
        <v>45608</v>
      </c>
      <c r="B1089" t="str">
        <f>IFERROR(__xludf.DUMMYFUNCTION("""COMPUTED_VALUE"""),"北區國稅94053182")</f>
        <v>北區國稅94053182</v>
      </c>
      <c r="C1089" t="str">
        <f>IFERROR(__xludf.DUMMYFUNCTION("""COMPUTED_VALUE"""),"收入 - 政府補助/退稅")</f>
        <v>收入 - 政府補助/退稅</v>
      </c>
      <c r="D1089" s="270">
        <f>IFERROR(__xludf.DUMMYFUNCTION("""COMPUTED_VALUE"""),2000.0)</f>
        <v>2000</v>
      </c>
      <c r="F1089" t="str">
        <f>IFERROR(__xludf.DUMMYFUNCTION("""COMPUTED_VALUE"""),"台銀籌備帳戶")</f>
        <v>台銀籌備帳戶</v>
      </c>
      <c r="G1089" t="str">
        <f>IFERROR(__xludf.DUMMYFUNCTION("""COMPUTED_VALUE"""),"景安2分鐘")</f>
        <v>景安2分鐘</v>
      </c>
      <c r="H1089" s="106" t="str">
        <f t="shared" si="1"/>
        <v>2024-11</v>
      </c>
      <c r="I1089" s="271" t="str">
        <f>IFERROR(__xludf.DUMMYFUNCTION("""COMPUTED_VALUE"""),"貓狗企鵝")</f>
        <v>貓狗企鵝</v>
      </c>
      <c r="J1089" t="str">
        <f>IFERROR(__xludf.DUMMYFUNCTION("IFS(
  AND(REGEXMATCH(E1089, ""台銀籌備帳戶|玉山帳戶""), REGEXMATCH(C1089, ""薪資"")), ""分潤支出"",
  AND(REGEXMATCH(E1089, ""Ben帳戶|Elsa帳戶|Ben代墊|Ariel代墊|中信銀行共用""), REGEXMATCH(F1089, ""Ben帳戶|Elsa帳戶|Ben代墊|Ariel代墊|中信銀行共用"")), ""內部轉帳(忽略)"",
  AND(E1089&lt;&gt;"""", F1089&lt;&gt;"""", N"&amp;"OT(REGEXMATCH(C1089, ""薪資""))), ""內部轉帳(忽略)"",
  REGEXMATCH(C1089, ""薪資""), ""薪資變動(不計入)"",
  REGEXMATCH(C1089, ""押金""), ""押金往來"",
  AND(E1089&lt;&gt;"""", F1089=""""), ""真實支出"",
  AND(E1089="""", F1089&lt;&gt;""""), ""真實收入"",
  TRUE, ""其他""
)"),"真實收入")</f>
        <v>真實收入</v>
      </c>
      <c r="K1089" s="270">
        <f t="shared" si="2"/>
        <v>2000</v>
      </c>
      <c r="L1089">
        <f t="shared" si="3"/>
        <v>0</v>
      </c>
    </row>
    <row r="1090">
      <c r="A1090" s="107">
        <f>IFERROR(__xludf.DUMMYFUNCTION("""COMPUTED_VALUE"""),45608.0)</f>
        <v>45608</v>
      </c>
      <c r="B1090" t="str">
        <f>IFERROR(__xludf.DUMMYFUNCTION("""COMPUTED_VALUE"""),"北區國稅94053182")</f>
        <v>北區國稅94053182</v>
      </c>
      <c r="C1090" t="str">
        <f>IFERROR(__xludf.DUMMYFUNCTION("""COMPUTED_VALUE"""),"收入 - 政府補助/退稅")</f>
        <v>收入 - 政府補助/退稅</v>
      </c>
      <c r="D1090" s="270">
        <f>IFERROR(__xludf.DUMMYFUNCTION("""COMPUTED_VALUE"""),1600.0)</f>
        <v>1600</v>
      </c>
      <c r="F1090" t="str">
        <f>IFERROR(__xludf.DUMMYFUNCTION("""COMPUTED_VALUE"""),"台銀籌備帳戶")</f>
        <v>台銀籌備帳戶</v>
      </c>
      <c r="G1090" t="str">
        <f>IFERROR(__xludf.DUMMYFUNCTION("""COMPUTED_VALUE"""),"景安2分鐘")</f>
        <v>景安2分鐘</v>
      </c>
      <c r="H1090" s="106" t="str">
        <f t="shared" si="1"/>
        <v>2024-11</v>
      </c>
      <c r="I1090" s="271" t="str">
        <f>IFERROR(__xludf.DUMMYFUNCTION("""COMPUTED_VALUE"""),"貓狗企鵝")</f>
        <v>貓狗企鵝</v>
      </c>
      <c r="J1090" t="str">
        <f>IFERROR(__xludf.DUMMYFUNCTION("IFS(
  AND(REGEXMATCH(E1090, ""台銀籌備帳戶|玉山帳戶""), REGEXMATCH(C1090, ""薪資"")), ""分潤支出"",
  AND(REGEXMATCH(E1090, ""Ben帳戶|Elsa帳戶|Ben代墊|Ariel代墊|中信銀行共用""), REGEXMATCH(F1090, ""Ben帳戶|Elsa帳戶|Ben代墊|Ariel代墊|中信銀行共用"")), ""內部轉帳(忽略)"",
  AND(E1090&lt;&gt;"""", F1090&lt;&gt;"""", N"&amp;"OT(REGEXMATCH(C1090, ""薪資""))), ""內部轉帳(忽略)"",
  REGEXMATCH(C1090, ""薪資""), ""薪資變動(不計入)"",
  REGEXMATCH(C1090, ""押金""), ""押金往來"",
  AND(E1090&lt;&gt;"""", F1090=""""), ""真實支出"",
  AND(E1090="""", F1090&lt;&gt;""""), ""真實收入"",
  TRUE, ""其他""
)"),"真實收入")</f>
        <v>真實收入</v>
      </c>
      <c r="K1090" s="270">
        <f t="shared" si="2"/>
        <v>1600</v>
      </c>
      <c r="L1090">
        <f t="shared" si="3"/>
        <v>0</v>
      </c>
    </row>
    <row r="1091">
      <c r="A1091" s="107">
        <f>IFERROR(__xludf.DUMMYFUNCTION("""COMPUTED_VALUE"""),45608.0)</f>
        <v>45608</v>
      </c>
      <c r="B1091" t="str">
        <f>IFERROR(__xludf.DUMMYFUNCTION("""COMPUTED_VALUE"""),"北區國稅94053182")</f>
        <v>北區國稅94053182</v>
      </c>
      <c r="C1091" t="str">
        <f>IFERROR(__xludf.DUMMYFUNCTION("""COMPUTED_VALUE"""),"收入 - 政府補助/退稅")</f>
        <v>收入 - 政府補助/退稅</v>
      </c>
      <c r="D1091" s="270">
        <f>IFERROR(__xludf.DUMMYFUNCTION("""COMPUTED_VALUE"""),2000.0)</f>
        <v>2000</v>
      </c>
      <c r="F1091" t="str">
        <f>IFERROR(__xludf.DUMMYFUNCTION("""COMPUTED_VALUE"""),"台銀籌備帳戶")</f>
        <v>台銀籌備帳戶</v>
      </c>
      <c r="G1091" t="str">
        <f>IFERROR(__xludf.DUMMYFUNCTION("""COMPUTED_VALUE"""),"景安2分鐘")</f>
        <v>景安2分鐘</v>
      </c>
      <c r="H1091" s="106" t="str">
        <f t="shared" si="1"/>
        <v>2024-11</v>
      </c>
      <c r="I1091" s="271" t="str">
        <f>IFERROR(__xludf.DUMMYFUNCTION("""COMPUTED_VALUE"""),"貓狗企鵝")</f>
        <v>貓狗企鵝</v>
      </c>
      <c r="J1091" t="str">
        <f>IFERROR(__xludf.DUMMYFUNCTION("IFS(
  AND(REGEXMATCH(E1091, ""台銀籌備帳戶|玉山帳戶""), REGEXMATCH(C1091, ""薪資"")), ""分潤支出"",
  AND(REGEXMATCH(E1091, ""Ben帳戶|Elsa帳戶|Ben代墊|Ariel代墊|中信銀行共用""), REGEXMATCH(F1091, ""Ben帳戶|Elsa帳戶|Ben代墊|Ariel代墊|中信銀行共用"")), ""內部轉帳(忽略)"",
  AND(E1091&lt;&gt;"""", F1091&lt;&gt;"""", N"&amp;"OT(REGEXMATCH(C1091, ""薪資""))), ""內部轉帳(忽略)"",
  REGEXMATCH(C1091, ""薪資""), ""薪資變動(不計入)"",
  REGEXMATCH(C1091, ""押金""), ""押金往來"",
  AND(E1091&lt;&gt;"""", F1091=""""), ""真實支出"",
  AND(E1091="""", F1091&lt;&gt;""""), ""真實收入"",
  TRUE, ""其他""
)"),"真實收入")</f>
        <v>真實收入</v>
      </c>
      <c r="K1091" s="270">
        <f t="shared" si="2"/>
        <v>2000</v>
      </c>
      <c r="L1091">
        <f t="shared" si="3"/>
        <v>0</v>
      </c>
    </row>
    <row r="1092">
      <c r="A1092" s="107">
        <f>IFERROR(__xludf.DUMMYFUNCTION("""COMPUTED_VALUE"""),45608.0)</f>
        <v>45608</v>
      </c>
      <c r="B1092" t="str">
        <f>IFERROR(__xludf.DUMMYFUNCTION("""COMPUTED_VALUE"""),"螢光龍娘金龍")</f>
        <v>螢光龍娘金龍</v>
      </c>
      <c r="C1092" t="str">
        <f>IFERROR(__xludf.DUMMYFUNCTION("""COMPUTED_VALUE"""),"成本 - 進場前裝潢費")</f>
        <v>成本 - 進場前裝潢費</v>
      </c>
      <c r="D1092" s="270">
        <f>IFERROR(__xludf.DUMMYFUNCTION("""COMPUTED_VALUE"""),-15975.0)</f>
        <v>-15975</v>
      </c>
      <c r="E1092" t="str">
        <f>IFERROR(__xludf.DUMMYFUNCTION("""COMPUTED_VALUE"""),"台銀籌備帳戶")</f>
        <v>台銀籌備帳戶</v>
      </c>
      <c r="G1092" t="str">
        <f>IFERROR(__xludf.DUMMYFUNCTION("""COMPUTED_VALUE"""),"金龍帽子先生")</f>
        <v>金龍帽子先生</v>
      </c>
      <c r="H1092" s="106" t="str">
        <f t="shared" si="1"/>
        <v>2024-11</v>
      </c>
      <c r="I1092" s="271" t="str">
        <f>IFERROR(__xludf.DUMMYFUNCTION("""COMPUTED_VALUE"""),"貓狗企鵝")</f>
        <v>貓狗企鵝</v>
      </c>
      <c r="J1092" t="str">
        <f>IFERROR(__xludf.DUMMYFUNCTION("IFS(
  AND(REGEXMATCH(E1092, ""台銀籌備帳戶|玉山帳戶""), REGEXMATCH(C1092, ""薪資"")), ""分潤支出"",
  AND(REGEXMATCH(E1092, ""Ben帳戶|Elsa帳戶|Ben代墊|Ariel代墊|中信銀行共用""), REGEXMATCH(F1092, ""Ben帳戶|Elsa帳戶|Ben代墊|Ariel代墊|中信銀行共用"")), ""內部轉帳(忽略)"",
  AND(E1092&lt;&gt;"""", F1092&lt;&gt;"""", N"&amp;"OT(REGEXMATCH(C1092, ""薪資""))), ""內部轉帳(忽略)"",
  REGEXMATCH(C1092, ""薪資""), ""薪資變動(不計入)"",
  REGEXMATCH(C1092, ""押金""), ""押金往來"",
  AND(E1092&lt;&gt;"""", F1092=""""), ""真實支出"",
  AND(E1092="""", F1092&lt;&gt;""""), ""真實收入"",
  TRUE, ""其他""
)"),"真實支出")</f>
        <v>真實支出</v>
      </c>
      <c r="K1092" s="270">
        <f t="shared" si="2"/>
        <v>-15975</v>
      </c>
      <c r="L1092">
        <f t="shared" si="3"/>
        <v>0</v>
      </c>
    </row>
    <row r="1093">
      <c r="A1093" s="107">
        <f>IFERROR(__xludf.DUMMYFUNCTION("""COMPUTED_VALUE"""),45608.0)</f>
        <v>45608</v>
      </c>
      <c r="B1093" t="str">
        <f>IFERROR(__xludf.DUMMYFUNCTION("""COMPUTED_VALUE"""),"娘家D訂金(Jack 沒租)")</f>
        <v>娘家D訂金(Jack 沒租)</v>
      </c>
      <c r="C1093" t="str">
        <f>IFERROR(__xludf.DUMMYFUNCTION("""COMPUTED_VALUE"""),"收入 - 租金")</f>
        <v>收入 - 租金</v>
      </c>
      <c r="D1093" s="270">
        <f>IFERROR(__xludf.DUMMYFUNCTION("""COMPUTED_VALUE"""),10000.0)</f>
        <v>10000</v>
      </c>
      <c r="F1093" t="str">
        <f>IFERROR(__xludf.DUMMYFUNCTION("""COMPUTED_VALUE"""),"台銀籌備帳戶")</f>
        <v>台銀籌備帳戶</v>
      </c>
      <c r="G1093" t="str">
        <f>IFERROR(__xludf.DUMMYFUNCTION("""COMPUTED_VALUE"""),"中山北娘家旁")</f>
        <v>中山北娘家旁</v>
      </c>
      <c r="H1093" s="106" t="str">
        <f t="shared" si="1"/>
        <v>2024-11</v>
      </c>
      <c r="I1093" s="271" t="str">
        <f>IFERROR(__xludf.DUMMYFUNCTION("""COMPUTED_VALUE"""),"貓狗企鵝")</f>
        <v>貓狗企鵝</v>
      </c>
      <c r="J1093" t="str">
        <f>IFERROR(__xludf.DUMMYFUNCTION("IFS(
  AND(REGEXMATCH(E1093, ""台銀籌備帳戶|玉山帳戶""), REGEXMATCH(C1093, ""薪資"")), ""分潤支出"",
  AND(REGEXMATCH(E1093, ""Ben帳戶|Elsa帳戶|Ben代墊|Ariel代墊|中信銀行共用""), REGEXMATCH(F1093, ""Ben帳戶|Elsa帳戶|Ben代墊|Ariel代墊|中信銀行共用"")), ""內部轉帳(忽略)"",
  AND(E1093&lt;&gt;"""", F1093&lt;&gt;"""", N"&amp;"OT(REGEXMATCH(C1093, ""薪資""))), ""內部轉帳(忽略)"",
  REGEXMATCH(C1093, ""薪資""), ""薪資變動(不計入)"",
  REGEXMATCH(C1093, ""押金""), ""押金往來"",
  AND(E1093&lt;&gt;"""", F1093=""""), ""真實支出"",
  AND(E1093="""", F1093&lt;&gt;""""), ""真實收入"",
  TRUE, ""其他""
)"),"真實收入")</f>
        <v>真實收入</v>
      </c>
      <c r="K1093" s="270">
        <f t="shared" si="2"/>
        <v>10000</v>
      </c>
      <c r="L1093">
        <f t="shared" si="3"/>
        <v>0</v>
      </c>
    </row>
    <row r="1094">
      <c r="A1094" s="107">
        <f>IFERROR(__xludf.DUMMYFUNCTION("""COMPUTED_VALUE"""),45608.0)</f>
        <v>45608</v>
      </c>
      <c r="B1094" t="str">
        <f>IFERROR(__xludf.DUMMYFUNCTION("""COMPUTED_VALUE"""),"金龍帽子先生B謝歆俞")</f>
        <v>金龍帽子先生B謝歆俞</v>
      </c>
      <c r="C1094" t="str">
        <f>IFERROR(__xludf.DUMMYFUNCTION("""COMPUTED_VALUE"""),"收入 - 押金")</f>
        <v>收入 - 押金</v>
      </c>
      <c r="D1094" s="270">
        <f>IFERROR(__xludf.DUMMYFUNCTION("""COMPUTED_VALUE"""),25400.0)</f>
        <v>25400</v>
      </c>
      <c r="F1094" t="str">
        <f>IFERROR(__xludf.DUMMYFUNCTION("""COMPUTED_VALUE"""),"台銀籌備帳戶")</f>
        <v>台銀籌備帳戶</v>
      </c>
      <c r="G1094" t="str">
        <f>IFERROR(__xludf.DUMMYFUNCTION("""COMPUTED_VALUE"""),"金龍帽子先生")</f>
        <v>金龍帽子先生</v>
      </c>
      <c r="H1094" s="106" t="str">
        <f t="shared" si="1"/>
        <v>2024-11</v>
      </c>
      <c r="I1094" s="271" t="str">
        <f>IFERROR(__xludf.DUMMYFUNCTION("""COMPUTED_VALUE"""),"貓狗企鵝")</f>
        <v>貓狗企鵝</v>
      </c>
      <c r="J1094" t="str">
        <f>IFERROR(__xludf.DUMMYFUNCTION("IFS(
  AND(REGEXMATCH(E1094, ""台銀籌備帳戶|玉山帳戶""), REGEXMATCH(C1094, ""薪資"")), ""分潤支出"",
  AND(REGEXMATCH(E1094, ""Ben帳戶|Elsa帳戶|Ben代墊|Ariel代墊|中信銀行共用""), REGEXMATCH(F1094, ""Ben帳戶|Elsa帳戶|Ben代墊|Ariel代墊|中信銀行共用"")), ""內部轉帳(忽略)"",
  AND(E1094&lt;&gt;"""", F1094&lt;&gt;"""", N"&amp;"OT(REGEXMATCH(C1094, ""薪資""))), ""內部轉帳(忽略)"",
  REGEXMATCH(C1094, ""薪資""), ""薪資變動(不計入)"",
  REGEXMATCH(C1094, ""押金""), ""押金往來"",
  AND(E1094&lt;&gt;"""", F1094=""""), ""真實支出"",
  AND(E1094="""", F1094&lt;&gt;""""), ""真實收入"",
  TRUE, ""其他""
)"),"押金往來")</f>
        <v>押金往來</v>
      </c>
      <c r="K1094">
        <f t="shared" si="2"/>
        <v>0</v>
      </c>
      <c r="L1094">
        <f t="shared" si="3"/>
        <v>0</v>
      </c>
    </row>
    <row r="1095">
      <c r="A1095" s="107">
        <f>IFERROR(__xludf.DUMMYFUNCTION("""COMPUTED_VALUE"""),45609.0)</f>
        <v>45609</v>
      </c>
      <c r="B1095" t="str">
        <f>IFERROR(__xludf.DUMMYFUNCTION("""COMPUTED_VALUE"""),"娘家 B 首租2押")</f>
        <v>娘家 B 首租2押</v>
      </c>
      <c r="C1095" t="str">
        <f>IFERROR(__xludf.DUMMYFUNCTION("""COMPUTED_VALUE"""),"收入 - 押金")</f>
        <v>收入 - 押金</v>
      </c>
      <c r="D1095" s="270">
        <f>IFERROR(__xludf.DUMMYFUNCTION("""COMPUTED_VALUE"""),29600.0)</f>
        <v>29600</v>
      </c>
      <c r="F1095" t="str">
        <f>IFERROR(__xludf.DUMMYFUNCTION("""COMPUTED_VALUE"""),"Ben帳戶")</f>
        <v>Ben帳戶</v>
      </c>
      <c r="G1095" t="str">
        <f>IFERROR(__xludf.DUMMYFUNCTION("""COMPUTED_VALUE"""),"中山北娘家旁")</f>
        <v>中山北娘家旁</v>
      </c>
      <c r="H1095" s="106" t="str">
        <f t="shared" si="1"/>
        <v>2024-11</v>
      </c>
      <c r="I1095" s="271" t="str">
        <f>IFERROR(__xludf.DUMMYFUNCTION("""COMPUTED_VALUE"""),"貓狗企鵝")</f>
        <v>貓狗企鵝</v>
      </c>
      <c r="J1095" t="str">
        <f>IFERROR(__xludf.DUMMYFUNCTION("IFS(
  AND(REGEXMATCH(E1095, ""台銀籌備帳戶|玉山帳戶""), REGEXMATCH(C1095, ""薪資"")), ""分潤支出"",
  AND(REGEXMATCH(E1095, ""Ben帳戶|Elsa帳戶|Ben代墊|Ariel代墊|中信銀行共用""), REGEXMATCH(F1095, ""Ben帳戶|Elsa帳戶|Ben代墊|Ariel代墊|中信銀行共用"")), ""內部轉帳(忽略)"",
  AND(E1095&lt;&gt;"""", F1095&lt;&gt;"""", N"&amp;"OT(REGEXMATCH(C1095, ""薪資""))), ""內部轉帳(忽略)"",
  REGEXMATCH(C1095, ""薪資""), ""薪資變動(不計入)"",
  REGEXMATCH(C1095, ""押金""), ""押金往來"",
  AND(E1095&lt;&gt;"""", F1095=""""), ""真實支出"",
  AND(E1095="""", F1095&lt;&gt;""""), ""真實收入"",
  TRUE, ""其他""
)"),"押金往來")</f>
        <v>押金往來</v>
      </c>
      <c r="K1095">
        <f t="shared" si="2"/>
        <v>0</v>
      </c>
      <c r="L1095">
        <f t="shared" si="3"/>
        <v>0</v>
      </c>
    </row>
    <row r="1096">
      <c r="A1096" s="107">
        <f>IFERROR(__xludf.DUMMYFUNCTION("""COMPUTED_VALUE"""),45609.0)</f>
        <v>45609</v>
      </c>
      <c r="B1096" t="str">
        <f>IFERROR(__xludf.DUMMYFUNCTION("""COMPUTED_VALUE"""),"中山北娘家A 租押金")</f>
        <v>中山北娘家A 租押金</v>
      </c>
      <c r="C1096" t="str">
        <f>IFERROR(__xludf.DUMMYFUNCTION("""COMPUTED_VALUE"""),"收入 - 押金")</f>
        <v>收入 - 押金</v>
      </c>
      <c r="D1096" s="270">
        <f>IFERROR(__xludf.DUMMYFUNCTION("""COMPUTED_VALUE"""),25000.0)</f>
        <v>25000</v>
      </c>
      <c r="F1096" t="str">
        <f>IFERROR(__xludf.DUMMYFUNCTION("""COMPUTED_VALUE"""),"台銀籌備帳戶")</f>
        <v>台銀籌備帳戶</v>
      </c>
      <c r="G1096" t="str">
        <f>IFERROR(__xludf.DUMMYFUNCTION("""COMPUTED_VALUE"""),"中山北娘家旁")</f>
        <v>中山北娘家旁</v>
      </c>
      <c r="H1096" s="106" t="str">
        <f t="shared" si="1"/>
        <v>2024-11</v>
      </c>
      <c r="I1096" s="271" t="str">
        <f>IFERROR(__xludf.DUMMYFUNCTION("""COMPUTED_VALUE"""),"貓狗企鵝")</f>
        <v>貓狗企鵝</v>
      </c>
      <c r="J1096" t="str">
        <f>IFERROR(__xludf.DUMMYFUNCTION("IFS(
  AND(REGEXMATCH(E1096, ""台銀籌備帳戶|玉山帳戶""), REGEXMATCH(C1096, ""薪資"")), ""分潤支出"",
  AND(REGEXMATCH(E1096, ""Ben帳戶|Elsa帳戶|Ben代墊|Ariel代墊|中信銀行共用""), REGEXMATCH(F1096, ""Ben帳戶|Elsa帳戶|Ben代墊|Ariel代墊|中信銀行共用"")), ""內部轉帳(忽略)"",
  AND(E1096&lt;&gt;"""", F1096&lt;&gt;"""", N"&amp;"OT(REGEXMATCH(C1096, ""薪資""))), ""內部轉帳(忽略)"",
  REGEXMATCH(C1096, ""薪資""), ""薪資變動(不計入)"",
  REGEXMATCH(C1096, ""押金""), ""押金往來"",
  AND(E1096&lt;&gt;"""", F1096=""""), ""真實支出"",
  AND(E1096="""", F1096&lt;&gt;""""), ""真實收入"",
  TRUE, ""其他""
)"),"押金往來")</f>
        <v>押金往來</v>
      </c>
      <c r="K1096">
        <f t="shared" si="2"/>
        <v>0</v>
      </c>
      <c r="L1096">
        <f t="shared" si="3"/>
        <v>0</v>
      </c>
    </row>
    <row r="1097">
      <c r="A1097" s="107">
        <f>IFERROR(__xludf.DUMMYFUNCTION("""COMPUTED_VALUE"""),45609.0)</f>
        <v>45609</v>
      </c>
      <c r="B1097" t="str">
        <f>IFERROR(__xludf.DUMMYFUNCTION("""COMPUTED_VALUE"""),"北醫鐵皮")</f>
        <v>北醫鐵皮</v>
      </c>
      <c r="C1097" t="str">
        <f>IFERROR(__xludf.DUMMYFUNCTION("""COMPUTED_VALUE"""),"成本 - 租後修繕")</f>
        <v>成本 - 租後修繕</v>
      </c>
      <c r="D1097" s="270">
        <f>IFERROR(__xludf.DUMMYFUNCTION("""COMPUTED_VALUE"""),-50015.0)</f>
        <v>-50015</v>
      </c>
      <c r="E1097" t="str">
        <f>IFERROR(__xludf.DUMMYFUNCTION("""COMPUTED_VALUE"""),"台銀籌備帳戶")</f>
        <v>台銀籌備帳戶</v>
      </c>
      <c r="G1097" t="str">
        <f>IFERROR(__xludf.DUMMYFUNCTION("""COMPUTED_VALUE"""),"北醫醫師府")</f>
        <v>北醫醫師府</v>
      </c>
      <c r="H1097" s="106" t="str">
        <f t="shared" si="1"/>
        <v>2024-11</v>
      </c>
      <c r="I1097" s="271" t="str">
        <f>IFERROR(__xludf.DUMMYFUNCTION("""COMPUTED_VALUE"""),"貓狗企鵝")</f>
        <v>貓狗企鵝</v>
      </c>
      <c r="J1097" t="str">
        <f>IFERROR(__xludf.DUMMYFUNCTION("IFS(
  AND(REGEXMATCH(E1097, ""台銀籌備帳戶|玉山帳戶""), REGEXMATCH(C1097, ""薪資"")), ""分潤支出"",
  AND(REGEXMATCH(E1097, ""Ben帳戶|Elsa帳戶|Ben代墊|Ariel代墊|中信銀行共用""), REGEXMATCH(F1097, ""Ben帳戶|Elsa帳戶|Ben代墊|Ariel代墊|中信銀行共用"")), ""內部轉帳(忽略)"",
  AND(E1097&lt;&gt;"""", F1097&lt;&gt;"""", N"&amp;"OT(REGEXMATCH(C1097, ""薪資""))), ""內部轉帳(忽略)"",
  REGEXMATCH(C1097, ""薪資""), ""薪資變動(不計入)"",
  REGEXMATCH(C1097, ""押金""), ""押金往來"",
  AND(E1097&lt;&gt;"""", F1097=""""), ""真實支出"",
  AND(E1097="""", F1097&lt;&gt;""""), ""真實收入"",
  TRUE, ""其他""
)"),"真實支出")</f>
        <v>真實支出</v>
      </c>
      <c r="K1097" s="270">
        <f t="shared" si="2"/>
        <v>-50015</v>
      </c>
      <c r="L1097">
        <f t="shared" si="3"/>
        <v>0</v>
      </c>
    </row>
    <row r="1098">
      <c r="A1098" s="107">
        <f>IFERROR(__xludf.DUMMYFUNCTION("""COMPUTED_VALUE"""),45610.0)</f>
        <v>45610</v>
      </c>
      <c r="B1098" t="str">
        <f>IFERROR(__xludf.DUMMYFUNCTION("""COMPUTED_VALUE"""),"熱水器 瓦斯爐")</f>
        <v>熱水器 瓦斯爐</v>
      </c>
      <c r="C1098" t="str">
        <f>IFERROR(__xludf.DUMMYFUNCTION("""COMPUTED_VALUE"""),"成本 - 進場前裝潢費")</f>
        <v>成本 - 進場前裝潢費</v>
      </c>
      <c r="D1098" s="270">
        <f>IFERROR(__xludf.DUMMYFUNCTION("""COMPUTED_VALUE"""),-8698.0)</f>
        <v>-8698</v>
      </c>
      <c r="E1098" t="str">
        <f>IFERROR(__xludf.DUMMYFUNCTION("""COMPUTED_VALUE"""),"Ben帳戶")</f>
        <v>Ben帳戶</v>
      </c>
      <c r="G1098" t="str">
        <f>IFERROR(__xludf.DUMMYFUNCTION("""COMPUTED_VALUE"""),"中山北娘家旁")</f>
        <v>中山北娘家旁</v>
      </c>
      <c r="H1098" s="106" t="str">
        <f t="shared" si="1"/>
        <v>2024-11</v>
      </c>
      <c r="I1098" s="271" t="str">
        <f>IFERROR(__xludf.DUMMYFUNCTION("""COMPUTED_VALUE"""),"貓狗企鵝")</f>
        <v>貓狗企鵝</v>
      </c>
      <c r="J1098" t="str">
        <f>IFERROR(__xludf.DUMMYFUNCTION("IFS(
  AND(REGEXMATCH(E1098, ""台銀籌備帳戶|玉山帳戶""), REGEXMATCH(C1098, ""薪資"")), ""分潤支出"",
  AND(REGEXMATCH(E1098, ""Ben帳戶|Elsa帳戶|Ben代墊|Ariel代墊|中信銀行共用""), REGEXMATCH(F1098, ""Ben帳戶|Elsa帳戶|Ben代墊|Ariel代墊|中信銀行共用"")), ""內部轉帳(忽略)"",
  AND(E1098&lt;&gt;"""", F1098&lt;&gt;"""", N"&amp;"OT(REGEXMATCH(C1098, ""薪資""))), ""內部轉帳(忽略)"",
  REGEXMATCH(C1098, ""薪資""), ""薪資變動(不計入)"",
  REGEXMATCH(C1098, ""押金""), ""押金往來"",
  AND(E1098&lt;&gt;"""", F1098=""""), ""真實支出"",
  AND(E1098="""", F1098&lt;&gt;""""), ""真實收入"",
  TRUE, ""其他""
)"),"真實支出")</f>
        <v>真實支出</v>
      </c>
      <c r="K1098" s="270">
        <f t="shared" si="2"/>
        <v>-8698</v>
      </c>
      <c r="L1098">
        <f t="shared" si="3"/>
        <v>0</v>
      </c>
    </row>
    <row r="1099">
      <c r="A1099" s="107">
        <f>IFERROR(__xludf.DUMMYFUNCTION("""COMPUTED_VALUE"""),45610.0)</f>
        <v>45610</v>
      </c>
      <c r="B1099" t="str">
        <f>IFERROR(__xludf.DUMMYFUNCTION("""COMPUTED_VALUE"""),"水龍頭 蓮蓬頭")</f>
        <v>水龍頭 蓮蓬頭</v>
      </c>
      <c r="C1099" t="str">
        <f>IFERROR(__xludf.DUMMYFUNCTION("""COMPUTED_VALUE"""),"成本 - 進場前裝潢費")</f>
        <v>成本 - 進場前裝潢費</v>
      </c>
      <c r="D1099" s="270">
        <f>IFERROR(__xludf.DUMMYFUNCTION("""COMPUTED_VALUE"""),-994.0)</f>
        <v>-994</v>
      </c>
      <c r="E1099" t="str">
        <f>IFERROR(__xludf.DUMMYFUNCTION("""COMPUTED_VALUE"""),"Ben帳戶")</f>
        <v>Ben帳戶</v>
      </c>
      <c r="G1099" t="str">
        <f>IFERROR(__xludf.DUMMYFUNCTION("""COMPUTED_VALUE"""),"中山北娘家旁")</f>
        <v>中山北娘家旁</v>
      </c>
      <c r="H1099" s="106" t="str">
        <f t="shared" si="1"/>
        <v>2024-11</v>
      </c>
      <c r="I1099" s="271" t="str">
        <f>IFERROR(__xludf.DUMMYFUNCTION("""COMPUTED_VALUE"""),"貓狗企鵝")</f>
        <v>貓狗企鵝</v>
      </c>
      <c r="J1099" t="str">
        <f>IFERROR(__xludf.DUMMYFUNCTION("IFS(
  AND(REGEXMATCH(E1099, ""台銀籌備帳戶|玉山帳戶""), REGEXMATCH(C1099, ""薪資"")), ""分潤支出"",
  AND(REGEXMATCH(E1099, ""Ben帳戶|Elsa帳戶|Ben代墊|Ariel代墊|中信銀行共用""), REGEXMATCH(F1099, ""Ben帳戶|Elsa帳戶|Ben代墊|Ariel代墊|中信銀行共用"")), ""內部轉帳(忽略)"",
  AND(E1099&lt;&gt;"""", F1099&lt;&gt;"""", N"&amp;"OT(REGEXMATCH(C1099, ""薪資""))), ""內部轉帳(忽略)"",
  REGEXMATCH(C1099, ""薪資""), ""薪資變動(不計入)"",
  REGEXMATCH(C1099, ""押金""), ""押金往來"",
  AND(E1099&lt;&gt;"""", F1099=""""), ""真實支出"",
  AND(E1099="""", F1099&lt;&gt;""""), ""真實收入"",
  TRUE, ""其他""
)"),"真實支出")</f>
        <v>真實支出</v>
      </c>
      <c r="K1099" s="270">
        <f t="shared" si="2"/>
        <v>-994</v>
      </c>
      <c r="L1099">
        <f t="shared" si="3"/>
        <v>0</v>
      </c>
    </row>
    <row r="1100">
      <c r="A1100" s="107">
        <f>IFERROR(__xludf.DUMMYFUNCTION("""COMPUTED_VALUE"""),45610.0)</f>
        <v>45610</v>
      </c>
      <c r="B1100" t="str">
        <f>IFERROR(__xludf.DUMMYFUNCTION("""COMPUTED_VALUE"""),"五金")</f>
        <v>五金</v>
      </c>
      <c r="C1100" t="str">
        <f>IFERROR(__xludf.DUMMYFUNCTION("""COMPUTED_VALUE"""),"費用 - 辦公用品")</f>
        <v>費用 - 辦公用品</v>
      </c>
      <c r="D1100" s="270">
        <f>IFERROR(__xludf.DUMMYFUNCTION("""COMPUTED_VALUE"""),-2245.0)</f>
        <v>-2245</v>
      </c>
      <c r="E1100" t="str">
        <f>IFERROR(__xludf.DUMMYFUNCTION("""COMPUTED_VALUE"""),"Ben帳戶")</f>
        <v>Ben帳戶</v>
      </c>
      <c r="H1100" s="106" t="str">
        <f t="shared" si="1"/>
        <v>2024-11</v>
      </c>
      <c r="I1100" s="271" t="str">
        <f>IFERROR(__xludf.DUMMYFUNCTION("""COMPUTED_VALUE"""),"貓狗企鵝")</f>
        <v>貓狗企鵝</v>
      </c>
      <c r="J1100" t="str">
        <f>IFERROR(__xludf.DUMMYFUNCTION("IFS(
  AND(REGEXMATCH(E1100, ""台銀籌備帳戶|玉山帳戶""), REGEXMATCH(C1100, ""薪資"")), ""分潤支出"",
  AND(REGEXMATCH(E1100, ""Ben帳戶|Elsa帳戶|Ben代墊|Ariel代墊|中信銀行共用""), REGEXMATCH(F1100, ""Ben帳戶|Elsa帳戶|Ben代墊|Ariel代墊|中信銀行共用"")), ""內部轉帳(忽略)"",
  AND(E1100&lt;&gt;"""", F1100&lt;&gt;"""", N"&amp;"OT(REGEXMATCH(C1100, ""薪資""))), ""內部轉帳(忽略)"",
  REGEXMATCH(C1100, ""薪資""), ""薪資變動(不計入)"",
  REGEXMATCH(C1100, ""押金""), ""押金往來"",
  AND(E1100&lt;&gt;"""", F1100=""""), ""真實支出"",
  AND(E1100="""", F1100&lt;&gt;""""), ""真實收入"",
  TRUE, ""其他""
)"),"真實支出")</f>
        <v>真實支出</v>
      </c>
      <c r="K1100" s="270">
        <f t="shared" si="2"/>
        <v>-2245</v>
      </c>
      <c r="L1100">
        <f t="shared" si="3"/>
        <v>0</v>
      </c>
    </row>
    <row r="1101">
      <c r="A1101" s="107">
        <f>IFERROR(__xludf.DUMMYFUNCTION("""COMPUTED_VALUE"""),45610.0)</f>
        <v>45610</v>
      </c>
      <c r="B1101" t="str">
        <f>IFERROR(__xludf.DUMMYFUNCTION("""COMPUTED_VALUE"""),"Feli裝潢 丁")</f>
        <v>Feli裝潢 丁</v>
      </c>
      <c r="C1101" t="str">
        <f>IFERROR(__xludf.DUMMYFUNCTION("""COMPUTED_VALUE"""),"成本 - 進場前裝潢費")</f>
        <v>成本 - 進場前裝潢費</v>
      </c>
      <c r="D1101" s="270">
        <f>IFERROR(__xludf.DUMMYFUNCTION("""COMPUTED_VALUE"""),-50015.0)</f>
        <v>-50015</v>
      </c>
      <c r="E1101" t="str">
        <f>IFERROR(__xludf.DUMMYFUNCTION("""COMPUTED_VALUE"""),"台銀籌備帳戶")</f>
        <v>台銀籌備帳戶</v>
      </c>
      <c r="G1101" t="str">
        <f>IFERROR(__xludf.DUMMYFUNCTION("""COMPUTED_VALUE"""),"中山北Feli家")</f>
        <v>中山北Feli家</v>
      </c>
      <c r="H1101" s="106" t="str">
        <f t="shared" si="1"/>
        <v>2024-11</v>
      </c>
      <c r="I1101" s="271" t="str">
        <f>IFERROR(__xludf.DUMMYFUNCTION("""COMPUTED_VALUE"""),"貓狗企鵝")</f>
        <v>貓狗企鵝</v>
      </c>
      <c r="J1101" t="str">
        <f>IFERROR(__xludf.DUMMYFUNCTION("IFS(
  AND(REGEXMATCH(E1101, ""台銀籌備帳戶|玉山帳戶""), REGEXMATCH(C1101, ""薪資"")), ""分潤支出"",
  AND(REGEXMATCH(E1101, ""Ben帳戶|Elsa帳戶|Ben代墊|Ariel代墊|中信銀行共用""), REGEXMATCH(F1101, ""Ben帳戶|Elsa帳戶|Ben代墊|Ariel代墊|中信銀行共用"")), ""內部轉帳(忽略)"",
  AND(E1101&lt;&gt;"""", F1101&lt;&gt;"""", N"&amp;"OT(REGEXMATCH(C1101, ""薪資""))), ""內部轉帳(忽略)"",
  REGEXMATCH(C1101, ""薪資""), ""薪資變動(不計入)"",
  REGEXMATCH(C1101, ""押金""), ""押金往來"",
  AND(E1101&lt;&gt;"""", F1101=""""), ""真實支出"",
  AND(E1101="""", F1101&lt;&gt;""""), ""真實收入"",
  TRUE, ""其他""
)"),"真實支出")</f>
        <v>真實支出</v>
      </c>
      <c r="K1101" s="270">
        <f t="shared" si="2"/>
        <v>-50015</v>
      </c>
      <c r="L1101">
        <f t="shared" si="3"/>
        <v>0</v>
      </c>
    </row>
    <row r="1102">
      <c r="A1102" s="107">
        <f>IFERROR(__xludf.DUMMYFUNCTION("""COMPUTED_VALUE"""),45610.0)</f>
        <v>45610</v>
      </c>
      <c r="B1102" t="str">
        <f>IFERROR(__xludf.DUMMYFUNCTION("""COMPUTED_VALUE"""),"開關插座等費用(士林天母區)")</f>
        <v>開關插座等費用(士林天母區)</v>
      </c>
      <c r="C1102" t="str">
        <f>IFERROR(__xludf.DUMMYFUNCTION("""COMPUTED_VALUE"""),"成本 - 進場前裝潢費")</f>
        <v>成本 - 進場前裝潢費</v>
      </c>
      <c r="D1102" s="270">
        <f>IFERROR(__xludf.DUMMYFUNCTION("""COMPUTED_VALUE"""),-1335.0)</f>
        <v>-1335</v>
      </c>
      <c r="E1102" t="str">
        <f>IFERROR(__xludf.DUMMYFUNCTION("""COMPUTED_VALUE"""),"Ben帳戶")</f>
        <v>Ben帳戶</v>
      </c>
      <c r="G1102" t="str">
        <f>IFERROR(__xludf.DUMMYFUNCTION("""COMPUTED_VALUE"""),"中山北Feli家")</f>
        <v>中山北Feli家</v>
      </c>
      <c r="H1102" s="106" t="str">
        <f t="shared" si="1"/>
        <v>2024-11</v>
      </c>
      <c r="I1102" s="271" t="str">
        <f>IFERROR(__xludf.DUMMYFUNCTION("""COMPUTED_VALUE"""),"貓狗企鵝")</f>
        <v>貓狗企鵝</v>
      </c>
      <c r="J1102" t="str">
        <f>IFERROR(__xludf.DUMMYFUNCTION("IFS(
  AND(REGEXMATCH(E1102, ""台銀籌備帳戶|玉山帳戶""), REGEXMATCH(C1102, ""薪資"")), ""分潤支出"",
  AND(REGEXMATCH(E1102, ""Ben帳戶|Elsa帳戶|Ben代墊|Ariel代墊|中信銀行共用""), REGEXMATCH(F1102, ""Ben帳戶|Elsa帳戶|Ben代墊|Ariel代墊|中信銀行共用"")), ""內部轉帳(忽略)"",
  AND(E1102&lt;&gt;"""", F1102&lt;&gt;"""", N"&amp;"OT(REGEXMATCH(C1102, ""薪資""))), ""內部轉帳(忽略)"",
  REGEXMATCH(C1102, ""薪資""), ""薪資變動(不計入)"",
  REGEXMATCH(C1102, ""押金""), ""押金往來"",
  AND(E1102&lt;&gt;"""", F1102=""""), ""真實支出"",
  AND(E1102="""", F1102&lt;&gt;""""), ""真實收入"",
  TRUE, ""其他""
)"),"真實支出")</f>
        <v>真實支出</v>
      </c>
      <c r="K1102" s="270">
        <f t="shared" si="2"/>
        <v>-1335</v>
      </c>
      <c r="L1102">
        <f t="shared" si="3"/>
        <v>0</v>
      </c>
    </row>
    <row r="1103">
      <c r="A1103" s="107">
        <f>IFERROR(__xludf.DUMMYFUNCTION("""COMPUTED_VALUE"""),45610.0)</f>
        <v>45610</v>
      </c>
      <c r="B1103" t="str">
        <f>IFERROR(__xludf.DUMMYFUNCTION("""COMPUTED_VALUE"""),"出勤時間(士林天母區)")</f>
        <v>出勤時間(士林天母區)</v>
      </c>
      <c r="C1103" t="str">
        <f>IFERROR(__xludf.DUMMYFUNCTION("""COMPUTED_VALUE"""),"成本 - 出勤費")</f>
        <v>成本 - 出勤費</v>
      </c>
      <c r="D1103" s="270">
        <f>IFERROR(__xludf.DUMMYFUNCTION("""COMPUTED_VALUE"""),-1200.0)</f>
        <v>-1200</v>
      </c>
      <c r="E1103" t="str">
        <f>IFERROR(__xludf.DUMMYFUNCTION("""COMPUTED_VALUE"""),"Ben帳戶")</f>
        <v>Ben帳戶</v>
      </c>
      <c r="G1103" t="str">
        <f>IFERROR(__xludf.DUMMYFUNCTION("""COMPUTED_VALUE"""),"中山北Feli家")</f>
        <v>中山北Feli家</v>
      </c>
      <c r="H1103" s="106" t="str">
        <f t="shared" si="1"/>
        <v>2024-11</v>
      </c>
      <c r="I1103" s="271" t="str">
        <f>IFERROR(__xludf.DUMMYFUNCTION("""COMPUTED_VALUE"""),"貓狗企鵝")</f>
        <v>貓狗企鵝</v>
      </c>
      <c r="J1103" t="str">
        <f>IFERROR(__xludf.DUMMYFUNCTION("IFS(
  AND(REGEXMATCH(E1103, ""台銀籌備帳戶|玉山帳戶""), REGEXMATCH(C1103, ""薪資"")), ""分潤支出"",
  AND(REGEXMATCH(E1103, ""Ben帳戶|Elsa帳戶|Ben代墊|Ariel代墊|中信銀行共用""), REGEXMATCH(F1103, ""Ben帳戶|Elsa帳戶|Ben代墊|Ariel代墊|中信銀行共用"")), ""內部轉帳(忽略)"",
  AND(E1103&lt;&gt;"""", F1103&lt;&gt;"""", N"&amp;"OT(REGEXMATCH(C1103, ""薪資""))), ""內部轉帳(忽略)"",
  REGEXMATCH(C1103, ""薪資""), ""薪資變動(不計入)"",
  REGEXMATCH(C1103, ""押金""), ""押金往來"",
  AND(E1103&lt;&gt;"""", F1103=""""), ""真實支出"",
  AND(E1103="""", F1103&lt;&gt;""""), ""真實收入"",
  TRUE, ""其他""
)"),"真實支出")</f>
        <v>真實支出</v>
      </c>
      <c r="K1103" s="270">
        <f t="shared" si="2"/>
        <v>-1200</v>
      </c>
      <c r="L1103">
        <f t="shared" si="3"/>
        <v>0</v>
      </c>
    </row>
    <row r="1104">
      <c r="A1104" s="107">
        <f>IFERROR(__xludf.DUMMYFUNCTION("""COMPUTED_VALUE"""),45611.0)</f>
        <v>45611</v>
      </c>
      <c r="B1104" t="str">
        <f>IFERROR(__xludf.DUMMYFUNCTION("""COMPUTED_VALUE"""),"清潔")</f>
        <v>清潔</v>
      </c>
      <c r="C1104" t="str">
        <f>IFERROR(__xludf.DUMMYFUNCTION("""COMPUTED_VALUE"""),"成本 - 進場前裝潢費")</f>
        <v>成本 - 進場前裝潢費</v>
      </c>
      <c r="D1104" s="270">
        <f>IFERROR(__xludf.DUMMYFUNCTION("""COMPUTED_VALUE"""),-3600.0)</f>
        <v>-3600</v>
      </c>
      <c r="E1104" t="str">
        <f>IFERROR(__xludf.DUMMYFUNCTION("""COMPUTED_VALUE"""),"Ben帳戶")</f>
        <v>Ben帳戶</v>
      </c>
      <c r="G1104" t="str">
        <f>IFERROR(__xludf.DUMMYFUNCTION("""COMPUTED_VALUE"""),"中山北Feli家")</f>
        <v>中山北Feli家</v>
      </c>
      <c r="H1104" s="106" t="str">
        <f t="shared" si="1"/>
        <v>2024-11</v>
      </c>
      <c r="I1104" s="271" t="str">
        <f>IFERROR(__xludf.DUMMYFUNCTION("""COMPUTED_VALUE"""),"貓狗企鵝")</f>
        <v>貓狗企鵝</v>
      </c>
      <c r="J1104" t="str">
        <f>IFERROR(__xludf.DUMMYFUNCTION("IFS(
  AND(REGEXMATCH(E1104, ""台銀籌備帳戶|玉山帳戶""), REGEXMATCH(C1104, ""薪資"")), ""分潤支出"",
  AND(REGEXMATCH(E1104, ""Ben帳戶|Elsa帳戶|Ben代墊|Ariel代墊|中信銀行共用""), REGEXMATCH(F1104, ""Ben帳戶|Elsa帳戶|Ben代墊|Ariel代墊|中信銀行共用"")), ""內部轉帳(忽略)"",
  AND(E1104&lt;&gt;"""", F1104&lt;&gt;"""", N"&amp;"OT(REGEXMATCH(C1104, ""薪資""))), ""內部轉帳(忽略)"",
  REGEXMATCH(C1104, ""薪資""), ""薪資變動(不計入)"",
  REGEXMATCH(C1104, ""押金""), ""押金往來"",
  AND(E1104&lt;&gt;"""", F1104=""""), ""真實支出"",
  AND(E1104="""", F1104&lt;&gt;""""), ""真實收入"",
  TRUE, ""其他""
)"),"真實支出")</f>
        <v>真實支出</v>
      </c>
      <c r="K1104" s="270">
        <f t="shared" si="2"/>
        <v>-3600</v>
      </c>
      <c r="L1104">
        <f t="shared" si="3"/>
        <v>0</v>
      </c>
    </row>
    <row r="1105">
      <c r="A1105" s="107">
        <f>IFERROR(__xludf.DUMMYFUNCTION("""COMPUTED_VALUE"""),45611.0)</f>
        <v>45611</v>
      </c>
      <c r="B1105" t="str">
        <f>IFERROR(__xludf.DUMMYFUNCTION("""COMPUTED_VALUE"""),"南港挑高租金")</f>
        <v>南港挑高租金</v>
      </c>
      <c r="C1105" t="str">
        <f>IFERROR(__xludf.DUMMYFUNCTION("""COMPUTED_VALUE"""),"成本 - 大租金")</f>
        <v>成本 - 大租金</v>
      </c>
      <c r="D1105" s="270">
        <f>IFERROR(__xludf.DUMMYFUNCTION("""COMPUTED_VALUE"""),-18250.0)</f>
        <v>-18250</v>
      </c>
      <c r="E1105" t="str">
        <f>IFERROR(__xludf.DUMMYFUNCTION("""COMPUTED_VALUE"""),"台銀籌備帳戶")</f>
        <v>台銀籌備帳戶</v>
      </c>
      <c r="G1105" t="str">
        <f>IFERROR(__xludf.DUMMYFUNCTION("""COMPUTED_VALUE"""),"南港站挑高宅")</f>
        <v>南港站挑高宅</v>
      </c>
      <c r="H1105" s="106" t="str">
        <f t="shared" si="1"/>
        <v>2024-11</v>
      </c>
      <c r="I1105" s="271" t="str">
        <f>IFERROR(__xludf.DUMMYFUNCTION("""COMPUTED_VALUE"""),"貓狗企鵝")</f>
        <v>貓狗企鵝</v>
      </c>
      <c r="J1105" t="str">
        <f>IFERROR(__xludf.DUMMYFUNCTION("IFS(
  AND(REGEXMATCH(E1105, ""台銀籌備帳戶|玉山帳戶""), REGEXMATCH(C1105, ""薪資"")), ""分潤支出"",
  AND(REGEXMATCH(E1105, ""Ben帳戶|Elsa帳戶|Ben代墊|Ariel代墊|中信銀行共用""), REGEXMATCH(F1105, ""Ben帳戶|Elsa帳戶|Ben代墊|Ariel代墊|中信銀行共用"")), ""內部轉帳(忽略)"",
  AND(E1105&lt;&gt;"""", F1105&lt;&gt;"""", N"&amp;"OT(REGEXMATCH(C1105, ""薪資""))), ""內部轉帳(忽略)"",
  REGEXMATCH(C1105, ""薪資""), ""薪資變動(不計入)"",
  REGEXMATCH(C1105, ""押金""), ""押金往來"",
  AND(E1105&lt;&gt;"""", F1105=""""), ""真實支出"",
  AND(E1105="""", F1105&lt;&gt;""""), ""真實收入"",
  TRUE, ""其他""
)"),"真實支出")</f>
        <v>真實支出</v>
      </c>
      <c r="K1105" s="270">
        <f t="shared" si="2"/>
        <v>-18250</v>
      </c>
      <c r="L1105">
        <f t="shared" si="3"/>
        <v>0</v>
      </c>
    </row>
    <row r="1106">
      <c r="A1106" s="107">
        <f>IFERROR(__xludf.DUMMYFUNCTION("""COMPUTED_VALUE"""),45611.0)</f>
        <v>45611</v>
      </c>
      <c r="B1106" t="str">
        <f>IFERROR(__xludf.DUMMYFUNCTION("""COMPUTED_VALUE"""),"北醫陳醫師")</f>
        <v>北醫陳醫師</v>
      </c>
      <c r="C1106" t="str">
        <f>IFERROR(__xludf.DUMMYFUNCTION("""COMPUTED_VALUE"""),"成本 - 大租金")</f>
        <v>成本 - 大租金</v>
      </c>
      <c r="D1106" s="270">
        <f>IFERROR(__xludf.DUMMYFUNCTION("""COMPUTED_VALUE"""),-12815.0)</f>
        <v>-12815</v>
      </c>
      <c r="E1106" t="str">
        <f>IFERROR(__xludf.DUMMYFUNCTION("""COMPUTED_VALUE"""),"台銀籌備帳戶")</f>
        <v>台銀籌備帳戶</v>
      </c>
      <c r="G1106" t="str">
        <f>IFERROR(__xludf.DUMMYFUNCTION("""COMPUTED_VALUE"""),"北醫醫師府")</f>
        <v>北醫醫師府</v>
      </c>
      <c r="H1106" s="106" t="str">
        <f t="shared" si="1"/>
        <v>2024-11</v>
      </c>
      <c r="I1106" s="271" t="str">
        <f>IFERROR(__xludf.DUMMYFUNCTION("""COMPUTED_VALUE"""),"貓狗企鵝")</f>
        <v>貓狗企鵝</v>
      </c>
      <c r="J1106" t="str">
        <f>IFERROR(__xludf.DUMMYFUNCTION("IFS(
  AND(REGEXMATCH(E1106, ""台銀籌備帳戶|玉山帳戶""), REGEXMATCH(C1106, ""薪資"")), ""分潤支出"",
  AND(REGEXMATCH(E1106, ""Ben帳戶|Elsa帳戶|Ben代墊|Ariel代墊|中信銀行共用""), REGEXMATCH(F1106, ""Ben帳戶|Elsa帳戶|Ben代墊|Ariel代墊|中信銀行共用"")), ""內部轉帳(忽略)"",
  AND(E1106&lt;&gt;"""", F1106&lt;&gt;"""", N"&amp;"OT(REGEXMATCH(C1106, ""薪資""))), ""內部轉帳(忽略)"",
  REGEXMATCH(C1106, ""薪資""), ""薪資變動(不計入)"",
  REGEXMATCH(C1106, ""押金""), ""押金往來"",
  AND(E1106&lt;&gt;"""", F1106=""""), ""真實支出"",
  AND(E1106="""", F1106&lt;&gt;""""), ""真實收入"",
  TRUE, ""其他""
)"),"真實支出")</f>
        <v>真實支出</v>
      </c>
      <c r="K1106" s="270">
        <f t="shared" si="2"/>
        <v>-12815</v>
      </c>
      <c r="L1106">
        <f t="shared" si="3"/>
        <v>0</v>
      </c>
    </row>
    <row r="1107">
      <c r="A1107" s="107">
        <f>IFERROR(__xludf.DUMMYFUNCTION("""COMPUTED_VALUE"""),45611.0)</f>
        <v>45611</v>
      </c>
      <c r="B1107" t="str">
        <f>IFERROR(__xludf.DUMMYFUNCTION("""COMPUTED_VALUE"""),"哈拉陳校長")</f>
        <v>哈拉陳校長</v>
      </c>
      <c r="C1107" t="str">
        <f>IFERROR(__xludf.DUMMYFUNCTION("""COMPUTED_VALUE"""),"成本 - 大租金")</f>
        <v>成本 - 大租金</v>
      </c>
      <c r="D1107" s="270">
        <f>IFERROR(__xludf.DUMMYFUNCTION("""COMPUTED_VALUE"""),-13015.0)</f>
        <v>-13015</v>
      </c>
      <c r="E1107" t="str">
        <f>IFERROR(__xludf.DUMMYFUNCTION("""COMPUTED_VALUE"""),"台銀籌備帳戶")</f>
        <v>台銀籌備帳戶</v>
      </c>
      <c r="G1107" t="str">
        <f>IFERROR(__xludf.DUMMYFUNCTION("""COMPUTED_VALUE"""),"哈拉對面")</f>
        <v>哈拉對面</v>
      </c>
      <c r="H1107" s="106" t="str">
        <f t="shared" si="1"/>
        <v>2024-11</v>
      </c>
      <c r="I1107" s="271" t="str">
        <f>IFERROR(__xludf.DUMMYFUNCTION("""COMPUTED_VALUE"""),"貓狗企鵝")</f>
        <v>貓狗企鵝</v>
      </c>
      <c r="J1107" t="str">
        <f>IFERROR(__xludf.DUMMYFUNCTION("IFS(
  AND(REGEXMATCH(E1107, ""台銀籌備帳戶|玉山帳戶""), REGEXMATCH(C1107, ""薪資"")), ""分潤支出"",
  AND(REGEXMATCH(E1107, ""Ben帳戶|Elsa帳戶|Ben代墊|Ariel代墊|中信銀行共用""), REGEXMATCH(F1107, ""Ben帳戶|Elsa帳戶|Ben代墊|Ariel代墊|中信銀行共用"")), ""內部轉帳(忽略)"",
  AND(E1107&lt;&gt;"""", F1107&lt;&gt;"""", N"&amp;"OT(REGEXMATCH(C1107, ""薪資""))), ""內部轉帳(忽略)"",
  REGEXMATCH(C1107, ""薪資""), ""薪資變動(不計入)"",
  REGEXMATCH(C1107, ""押金""), ""押金往來"",
  AND(E1107&lt;&gt;"""", F1107=""""), ""真實支出"",
  AND(E1107="""", F1107&lt;&gt;""""), ""真實收入"",
  TRUE, ""其他""
)"),"真實支出")</f>
        <v>真實支出</v>
      </c>
      <c r="K1107" s="270">
        <f t="shared" si="2"/>
        <v>-13015</v>
      </c>
      <c r="L1107">
        <f t="shared" si="3"/>
        <v>0</v>
      </c>
    </row>
    <row r="1108">
      <c r="A1108" s="107">
        <f>IFERROR(__xludf.DUMMYFUNCTION("""COMPUTED_VALUE"""),45611.0)</f>
        <v>45611</v>
      </c>
      <c r="B1108" t="str">
        <f>IFERROR(__xludf.DUMMYFUNCTION("""COMPUTED_VALUE"""),"龍江游sir")</f>
        <v>龍江游sir</v>
      </c>
      <c r="C1108" t="str">
        <f>IFERROR(__xludf.DUMMYFUNCTION("""COMPUTED_VALUE"""),"成本 - 大租金")</f>
        <v>成本 - 大租金</v>
      </c>
      <c r="D1108" s="270">
        <f>IFERROR(__xludf.DUMMYFUNCTION("""COMPUTED_VALUE"""),-13515.0)</f>
        <v>-13515</v>
      </c>
      <c r="E1108" t="str">
        <f>IFERROR(__xludf.DUMMYFUNCTION("""COMPUTED_VALUE"""),"台銀籌備帳戶")</f>
        <v>台銀籌備帳戶</v>
      </c>
      <c r="G1108" t="str">
        <f>IFERROR(__xludf.DUMMYFUNCTION("""COMPUTED_VALUE"""),"龍江229")</f>
        <v>龍江229</v>
      </c>
      <c r="H1108" s="106" t="str">
        <f t="shared" si="1"/>
        <v>2024-11</v>
      </c>
      <c r="I1108" s="271" t="str">
        <f>IFERROR(__xludf.DUMMYFUNCTION("""COMPUTED_VALUE"""),"貓狗企鵝")</f>
        <v>貓狗企鵝</v>
      </c>
      <c r="J1108" t="str">
        <f>IFERROR(__xludf.DUMMYFUNCTION("IFS(
  AND(REGEXMATCH(E1108, ""台銀籌備帳戶|玉山帳戶""), REGEXMATCH(C1108, ""薪資"")), ""分潤支出"",
  AND(REGEXMATCH(E1108, ""Ben帳戶|Elsa帳戶|Ben代墊|Ariel代墊|中信銀行共用""), REGEXMATCH(F1108, ""Ben帳戶|Elsa帳戶|Ben代墊|Ariel代墊|中信銀行共用"")), ""內部轉帳(忽略)"",
  AND(E1108&lt;&gt;"""", F1108&lt;&gt;"""", N"&amp;"OT(REGEXMATCH(C1108, ""薪資""))), ""內部轉帳(忽略)"",
  REGEXMATCH(C1108, ""薪資""), ""薪資變動(不計入)"",
  REGEXMATCH(C1108, ""押金""), ""押金往來"",
  AND(E1108&lt;&gt;"""", F1108=""""), ""真實支出"",
  AND(E1108="""", F1108&lt;&gt;""""), ""真實收入"",
  TRUE, ""其他""
)"),"真實支出")</f>
        <v>真實支出</v>
      </c>
      <c r="K1108" s="270">
        <f t="shared" si="2"/>
        <v>-13515</v>
      </c>
      <c r="L1108">
        <f t="shared" si="3"/>
        <v>0</v>
      </c>
    </row>
    <row r="1109">
      <c r="A1109" s="107">
        <f>IFERROR(__xludf.DUMMYFUNCTION("""COMPUTED_VALUE"""),45611.0)</f>
        <v>45611</v>
      </c>
      <c r="B1109" t="str">
        <f>IFERROR(__xludf.DUMMYFUNCTION("""COMPUTED_VALUE"""),"大湖陳彩霞")</f>
        <v>大湖陳彩霞</v>
      </c>
      <c r="C1109" t="str">
        <f>IFERROR(__xludf.DUMMYFUNCTION("""COMPUTED_VALUE"""),"成本 - 大租金")</f>
        <v>成本 - 大租金</v>
      </c>
      <c r="D1109" s="270">
        <f>IFERROR(__xludf.DUMMYFUNCTION("""COMPUTED_VALUE"""),-19415.0)</f>
        <v>-19415</v>
      </c>
      <c r="E1109" t="str">
        <f>IFERROR(__xludf.DUMMYFUNCTION("""COMPUTED_VALUE"""),"台銀籌備帳戶")</f>
        <v>台銀籌備帳戶</v>
      </c>
      <c r="G1109" t="str">
        <f>IFERROR(__xludf.DUMMYFUNCTION("""COMPUTED_VALUE"""),"大湖山莊")</f>
        <v>大湖山莊</v>
      </c>
      <c r="H1109" s="106" t="str">
        <f t="shared" si="1"/>
        <v>2024-11</v>
      </c>
      <c r="I1109" s="271" t="str">
        <f>IFERROR(__xludf.DUMMYFUNCTION("""COMPUTED_VALUE"""),"貓狗企鵝")</f>
        <v>貓狗企鵝</v>
      </c>
      <c r="J1109" t="str">
        <f>IFERROR(__xludf.DUMMYFUNCTION("IFS(
  AND(REGEXMATCH(E1109, ""台銀籌備帳戶|玉山帳戶""), REGEXMATCH(C1109, ""薪資"")), ""分潤支出"",
  AND(REGEXMATCH(E1109, ""Ben帳戶|Elsa帳戶|Ben代墊|Ariel代墊|中信銀行共用""), REGEXMATCH(F1109, ""Ben帳戶|Elsa帳戶|Ben代墊|Ariel代墊|中信銀行共用"")), ""內部轉帳(忽略)"",
  AND(E1109&lt;&gt;"""", F1109&lt;&gt;"""", N"&amp;"OT(REGEXMATCH(C1109, ""薪資""))), ""內部轉帳(忽略)"",
  REGEXMATCH(C1109, ""薪資""), ""薪資變動(不計入)"",
  REGEXMATCH(C1109, ""押金""), ""押金往來"",
  AND(E1109&lt;&gt;"""", F1109=""""), ""真實支出"",
  AND(E1109="""", F1109&lt;&gt;""""), ""真實收入"",
  TRUE, ""其他""
)"),"真實支出")</f>
        <v>真實支出</v>
      </c>
      <c r="K1109" s="270">
        <f t="shared" si="2"/>
        <v>-19415</v>
      </c>
      <c r="L1109">
        <f t="shared" si="3"/>
        <v>0</v>
      </c>
    </row>
    <row r="1110">
      <c r="A1110" s="107">
        <f>IFERROR(__xludf.DUMMYFUNCTION("""COMPUTED_VALUE"""),45611.0)</f>
        <v>45611</v>
      </c>
      <c r="B1110" t="str">
        <f>IFERROR(__xludf.DUMMYFUNCTION("""COMPUTED_VALUE"""),"金龍109屋主")</f>
        <v>金龍109屋主</v>
      </c>
      <c r="C1110" t="str">
        <f>IFERROR(__xludf.DUMMYFUNCTION("""COMPUTED_VALUE"""),"成本 - 大租金")</f>
        <v>成本 - 大租金</v>
      </c>
      <c r="D1110" s="270">
        <f>IFERROR(__xludf.DUMMYFUNCTION("""COMPUTED_VALUE"""),-17765.0)</f>
        <v>-17765</v>
      </c>
      <c r="E1110" t="str">
        <f>IFERROR(__xludf.DUMMYFUNCTION("""COMPUTED_VALUE"""),"台銀籌備帳戶")</f>
        <v>台銀籌備帳戶</v>
      </c>
      <c r="G1110" t="str">
        <f>IFERROR(__xludf.DUMMYFUNCTION("""COMPUTED_VALUE"""),"金龍帽子先生")</f>
        <v>金龍帽子先生</v>
      </c>
      <c r="H1110" s="106" t="str">
        <f t="shared" si="1"/>
        <v>2024-11</v>
      </c>
      <c r="I1110" s="271" t="str">
        <f>IFERROR(__xludf.DUMMYFUNCTION("""COMPUTED_VALUE"""),"貓狗企鵝")</f>
        <v>貓狗企鵝</v>
      </c>
      <c r="J1110" t="str">
        <f>IFERROR(__xludf.DUMMYFUNCTION("IFS(
  AND(REGEXMATCH(E1110, ""台銀籌備帳戶|玉山帳戶""), REGEXMATCH(C1110, ""薪資"")), ""分潤支出"",
  AND(REGEXMATCH(E1110, ""Ben帳戶|Elsa帳戶|Ben代墊|Ariel代墊|中信銀行共用""), REGEXMATCH(F1110, ""Ben帳戶|Elsa帳戶|Ben代墊|Ariel代墊|中信銀行共用"")), ""內部轉帳(忽略)"",
  AND(E1110&lt;&gt;"""", F1110&lt;&gt;"""", N"&amp;"OT(REGEXMATCH(C1110, ""薪資""))), ""內部轉帳(忽略)"",
  REGEXMATCH(C1110, ""薪資""), ""薪資變動(不計入)"",
  REGEXMATCH(C1110, ""押金""), ""押金往來"",
  AND(E1110&lt;&gt;"""", F1110=""""), ""真實支出"",
  AND(E1110="""", F1110&lt;&gt;""""), ""真實收入"",
  TRUE, ""其他""
)"),"真實支出")</f>
        <v>真實支出</v>
      </c>
      <c r="K1110" s="270">
        <f t="shared" si="2"/>
        <v>-17765</v>
      </c>
      <c r="L1110">
        <f t="shared" si="3"/>
        <v>0</v>
      </c>
    </row>
    <row r="1111">
      <c r="A1111" s="107">
        <f>IFERROR(__xludf.DUMMYFUNCTION("""COMPUTED_VALUE"""),45611.0)</f>
        <v>45611</v>
      </c>
      <c r="B1111" t="str">
        <f>IFERROR(__xludf.DUMMYFUNCTION("""COMPUTED_VALUE"""),"小玉搬運Feli")</f>
        <v>小玉搬運Feli</v>
      </c>
      <c r="C1111" t="str">
        <f>IFERROR(__xludf.DUMMYFUNCTION("""COMPUTED_VALUE"""),"成本 - 進場前裝潢費")</f>
        <v>成本 - 進場前裝潢費</v>
      </c>
      <c r="D1111" s="270">
        <f>IFERROR(__xludf.DUMMYFUNCTION("""COMPUTED_VALUE"""),-1380.0)</f>
        <v>-1380</v>
      </c>
      <c r="E1111" t="str">
        <f>IFERROR(__xludf.DUMMYFUNCTION("""COMPUTED_VALUE"""),"台銀籌備帳戶")</f>
        <v>台銀籌備帳戶</v>
      </c>
      <c r="G1111" t="str">
        <f>IFERROR(__xludf.DUMMYFUNCTION("""COMPUTED_VALUE"""),"中山北Feli家")</f>
        <v>中山北Feli家</v>
      </c>
      <c r="H1111" s="106" t="str">
        <f t="shared" si="1"/>
        <v>2024-11</v>
      </c>
      <c r="I1111" s="271" t="str">
        <f>IFERROR(__xludf.DUMMYFUNCTION("""COMPUTED_VALUE"""),"貓狗企鵝")</f>
        <v>貓狗企鵝</v>
      </c>
      <c r="J1111" t="str">
        <f>IFERROR(__xludf.DUMMYFUNCTION("IFS(
  AND(REGEXMATCH(E1111, ""台銀籌備帳戶|玉山帳戶""), REGEXMATCH(C1111, ""薪資"")), ""分潤支出"",
  AND(REGEXMATCH(E1111, ""Ben帳戶|Elsa帳戶|Ben代墊|Ariel代墊|中信銀行共用""), REGEXMATCH(F1111, ""Ben帳戶|Elsa帳戶|Ben代墊|Ariel代墊|中信銀行共用"")), ""內部轉帳(忽略)"",
  AND(E1111&lt;&gt;"""", F1111&lt;&gt;"""", N"&amp;"OT(REGEXMATCH(C1111, ""薪資""))), ""內部轉帳(忽略)"",
  REGEXMATCH(C1111, ""薪資""), ""薪資變動(不計入)"",
  REGEXMATCH(C1111, ""押金""), ""押金往來"",
  AND(E1111&lt;&gt;"""", F1111=""""), ""真實支出"",
  AND(E1111="""", F1111&lt;&gt;""""), ""真實收入"",
  TRUE, ""其他""
)"),"真實支出")</f>
        <v>真實支出</v>
      </c>
      <c r="K1111" s="270">
        <f t="shared" si="2"/>
        <v>-1380</v>
      </c>
      <c r="L1111">
        <f t="shared" si="3"/>
        <v>0</v>
      </c>
    </row>
    <row r="1112">
      <c r="A1112" s="107">
        <f>IFERROR(__xludf.DUMMYFUNCTION("""COMPUTED_VALUE"""),45611.0)</f>
        <v>45611</v>
      </c>
      <c r="B1112" t="str">
        <f>IFERROR(__xludf.DUMMYFUNCTION("""COMPUTED_VALUE"""),"出勤時間(士林天母區)")</f>
        <v>出勤時間(士林天母區)</v>
      </c>
      <c r="C1112" t="str">
        <f>IFERROR(__xludf.DUMMYFUNCTION("""COMPUTED_VALUE"""),"成本 - 出勤費")</f>
        <v>成本 - 出勤費</v>
      </c>
      <c r="D1112" s="270">
        <f>IFERROR(__xludf.DUMMYFUNCTION("""COMPUTED_VALUE"""),-2000.0)</f>
        <v>-2000</v>
      </c>
      <c r="E1112" t="str">
        <f>IFERROR(__xludf.DUMMYFUNCTION("""COMPUTED_VALUE"""),"Ben帳戶")</f>
        <v>Ben帳戶</v>
      </c>
      <c r="G1112" t="str">
        <f>IFERROR(__xludf.DUMMYFUNCTION("""COMPUTED_VALUE"""),"中山北Feli家")</f>
        <v>中山北Feli家</v>
      </c>
      <c r="H1112" s="106" t="str">
        <f t="shared" si="1"/>
        <v>2024-11</v>
      </c>
      <c r="I1112" s="271" t="str">
        <f>IFERROR(__xludf.DUMMYFUNCTION("""COMPUTED_VALUE"""),"貓狗企鵝")</f>
        <v>貓狗企鵝</v>
      </c>
      <c r="J1112" t="str">
        <f>IFERROR(__xludf.DUMMYFUNCTION("IFS(
  AND(REGEXMATCH(E1112, ""台銀籌備帳戶|玉山帳戶""), REGEXMATCH(C1112, ""薪資"")), ""分潤支出"",
  AND(REGEXMATCH(E1112, ""Ben帳戶|Elsa帳戶|Ben代墊|Ariel代墊|中信銀行共用""), REGEXMATCH(F1112, ""Ben帳戶|Elsa帳戶|Ben代墊|Ariel代墊|中信銀行共用"")), ""內部轉帳(忽略)"",
  AND(E1112&lt;&gt;"""", F1112&lt;&gt;"""", N"&amp;"OT(REGEXMATCH(C1112, ""薪資""))), ""內部轉帳(忽略)"",
  REGEXMATCH(C1112, ""薪資""), ""薪資變動(不計入)"",
  REGEXMATCH(C1112, ""押金""), ""押金往來"",
  AND(E1112&lt;&gt;"""", F1112=""""), ""真實支出"",
  AND(E1112="""", F1112&lt;&gt;""""), ""真實收入"",
  TRUE, ""其他""
)"),"真實支出")</f>
        <v>真實支出</v>
      </c>
      <c r="K1112" s="270">
        <f t="shared" si="2"/>
        <v>-2000</v>
      </c>
      <c r="L1112">
        <f t="shared" si="3"/>
        <v>0</v>
      </c>
    </row>
    <row r="1113">
      <c r="A1113" s="107">
        <f>IFERROR(__xludf.DUMMYFUNCTION("""COMPUTED_VALUE"""),45612.0)</f>
        <v>45612</v>
      </c>
      <c r="B1113" t="str">
        <f>IFERROR(__xludf.DUMMYFUNCTION("""COMPUTED_VALUE"""),"Lamove 運費儲值")</f>
        <v>Lamove 運費儲值</v>
      </c>
      <c r="C1113" t="str">
        <f>IFERROR(__xludf.DUMMYFUNCTION("""COMPUTED_VALUE"""),"成本 - 進場前裝潢費")</f>
        <v>成本 - 進場前裝潢費</v>
      </c>
      <c r="D1113" s="270">
        <f>IFERROR(__xludf.DUMMYFUNCTION("""COMPUTED_VALUE"""),-2500.0)</f>
        <v>-2500</v>
      </c>
      <c r="E1113" t="str">
        <f>IFERROR(__xludf.DUMMYFUNCTION("""COMPUTED_VALUE"""),"Ben帳戶")</f>
        <v>Ben帳戶</v>
      </c>
      <c r="G1113" t="str">
        <f>IFERROR(__xludf.DUMMYFUNCTION("""COMPUTED_VALUE"""),"中山北Feli家")</f>
        <v>中山北Feli家</v>
      </c>
      <c r="H1113" s="106" t="str">
        <f t="shared" si="1"/>
        <v>2024-11</v>
      </c>
      <c r="I1113" s="271" t="str">
        <f>IFERROR(__xludf.DUMMYFUNCTION("""COMPUTED_VALUE"""),"貓狗企鵝")</f>
        <v>貓狗企鵝</v>
      </c>
      <c r="J1113" t="str">
        <f>IFERROR(__xludf.DUMMYFUNCTION("IFS(
  AND(REGEXMATCH(E1113, ""台銀籌備帳戶|玉山帳戶""), REGEXMATCH(C1113, ""薪資"")), ""分潤支出"",
  AND(REGEXMATCH(E1113, ""Ben帳戶|Elsa帳戶|Ben代墊|Ariel代墊|中信銀行共用""), REGEXMATCH(F1113, ""Ben帳戶|Elsa帳戶|Ben代墊|Ariel代墊|中信銀行共用"")), ""內部轉帳(忽略)"",
  AND(E1113&lt;&gt;"""", F1113&lt;&gt;"""", N"&amp;"OT(REGEXMATCH(C1113, ""薪資""))), ""內部轉帳(忽略)"",
  REGEXMATCH(C1113, ""薪資""), ""薪資變動(不計入)"",
  REGEXMATCH(C1113, ""押金""), ""押金往來"",
  AND(E1113&lt;&gt;"""", F1113=""""), ""真實支出"",
  AND(E1113="""", F1113&lt;&gt;""""), ""真實收入"",
  TRUE, ""其他""
)"),"真實支出")</f>
        <v>真實支出</v>
      </c>
      <c r="K1113" s="270">
        <f t="shared" si="2"/>
        <v>-2500</v>
      </c>
      <c r="L1113">
        <f t="shared" si="3"/>
        <v>0</v>
      </c>
    </row>
    <row r="1114">
      <c r="A1114" s="107">
        <f>IFERROR(__xludf.DUMMYFUNCTION("""COMPUTED_VALUE"""),45612.0)</f>
        <v>45612</v>
      </c>
      <c r="B1114" t="str">
        <f>IFERROR(__xludf.DUMMYFUNCTION("""COMPUTED_VALUE"""),"窗簾桿")</f>
        <v>窗簾桿</v>
      </c>
      <c r="C1114" t="str">
        <f>IFERROR(__xludf.DUMMYFUNCTION("""COMPUTED_VALUE"""),"成本 - 進場前裝潢費")</f>
        <v>成本 - 進場前裝潢費</v>
      </c>
      <c r="D1114" s="270">
        <f>IFERROR(__xludf.DUMMYFUNCTION("""COMPUTED_VALUE"""),-1750.0)</f>
        <v>-1750</v>
      </c>
      <c r="E1114" t="str">
        <f>IFERROR(__xludf.DUMMYFUNCTION("""COMPUTED_VALUE"""),"Ben帳戶")</f>
        <v>Ben帳戶</v>
      </c>
      <c r="G1114" t="str">
        <f>IFERROR(__xludf.DUMMYFUNCTION("""COMPUTED_VALUE"""),"中山北Feli家")</f>
        <v>中山北Feli家</v>
      </c>
      <c r="H1114" s="106" t="str">
        <f t="shared" si="1"/>
        <v>2024-11</v>
      </c>
      <c r="I1114" s="271" t="str">
        <f>IFERROR(__xludf.DUMMYFUNCTION("""COMPUTED_VALUE"""),"貓狗企鵝")</f>
        <v>貓狗企鵝</v>
      </c>
      <c r="J1114" t="str">
        <f>IFERROR(__xludf.DUMMYFUNCTION("IFS(
  AND(REGEXMATCH(E1114, ""台銀籌備帳戶|玉山帳戶""), REGEXMATCH(C1114, ""薪資"")), ""分潤支出"",
  AND(REGEXMATCH(E1114, ""Ben帳戶|Elsa帳戶|Ben代墊|Ariel代墊|中信銀行共用""), REGEXMATCH(F1114, ""Ben帳戶|Elsa帳戶|Ben代墊|Ariel代墊|中信銀行共用"")), ""內部轉帳(忽略)"",
  AND(E1114&lt;&gt;"""", F1114&lt;&gt;"""", N"&amp;"OT(REGEXMATCH(C1114, ""薪資""))), ""內部轉帳(忽略)"",
  REGEXMATCH(C1114, ""薪資""), ""薪資變動(不計入)"",
  REGEXMATCH(C1114, ""押金""), ""押金往來"",
  AND(E1114&lt;&gt;"""", F1114=""""), ""真實支出"",
  AND(E1114="""", F1114&lt;&gt;""""), ""真實收入"",
  TRUE, ""其他""
)"),"真實支出")</f>
        <v>真實支出</v>
      </c>
      <c r="K1114" s="270">
        <f t="shared" si="2"/>
        <v>-1750</v>
      </c>
      <c r="L1114">
        <f t="shared" si="3"/>
        <v>0</v>
      </c>
    </row>
    <row r="1115">
      <c r="A1115" s="107">
        <f>IFERROR(__xludf.DUMMYFUNCTION("""COMPUTED_VALUE"""),45612.0)</f>
        <v>45612</v>
      </c>
      <c r="B1115" t="str">
        <f>IFERROR(__xludf.DUMMYFUNCTION("""COMPUTED_VALUE"""),"中山北Feli家停車")</f>
        <v>中山北Feli家停車</v>
      </c>
      <c r="C1115" t="str">
        <f>IFERROR(__xludf.DUMMYFUNCTION("""COMPUTED_VALUE"""),"成本 - 進場前裝潢費")</f>
        <v>成本 - 進場前裝潢費</v>
      </c>
      <c r="D1115" s="270">
        <f>IFERROR(__xludf.DUMMYFUNCTION("""COMPUTED_VALUE"""),-180.0)</f>
        <v>-180</v>
      </c>
      <c r="E1115" t="str">
        <f>IFERROR(__xludf.DUMMYFUNCTION("""COMPUTED_VALUE"""),"Elsa帳戶")</f>
        <v>Elsa帳戶</v>
      </c>
      <c r="G1115" t="str">
        <f>IFERROR(__xludf.DUMMYFUNCTION("""COMPUTED_VALUE"""),"中山北Feli家")</f>
        <v>中山北Feli家</v>
      </c>
      <c r="H1115" s="106" t="str">
        <f t="shared" si="1"/>
        <v>2024-11</v>
      </c>
      <c r="I1115" s="271" t="str">
        <f>IFERROR(__xludf.DUMMYFUNCTION("""COMPUTED_VALUE"""),"貓狗企鵝")</f>
        <v>貓狗企鵝</v>
      </c>
      <c r="J1115" t="str">
        <f>IFERROR(__xludf.DUMMYFUNCTION("IFS(
  AND(REGEXMATCH(E1115, ""台銀籌備帳戶|玉山帳戶""), REGEXMATCH(C1115, ""薪資"")), ""分潤支出"",
  AND(REGEXMATCH(E1115, ""Ben帳戶|Elsa帳戶|Ben代墊|Ariel代墊|中信銀行共用""), REGEXMATCH(F1115, ""Ben帳戶|Elsa帳戶|Ben代墊|Ariel代墊|中信銀行共用"")), ""內部轉帳(忽略)"",
  AND(E1115&lt;&gt;"""", F1115&lt;&gt;"""", N"&amp;"OT(REGEXMATCH(C1115, ""薪資""))), ""內部轉帳(忽略)"",
  REGEXMATCH(C1115, ""薪資""), ""薪資變動(不計入)"",
  REGEXMATCH(C1115, ""押金""), ""押金往來"",
  AND(E1115&lt;&gt;"""", F1115=""""), ""真實支出"",
  AND(E1115="""", F1115&lt;&gt;""""), ""真實收入"",
  TRUE, ""其他""
)"),"真實支出")</f>
        <v>真實支出</v>
      </c>
      <c r="K1115" s="270">
        <f t="shared" si="2"/>
        <v>-180</v>
      </c>
      <c r="L1115">
        <f t="shared" si="3"/>
        <v>0</v>
      </c>
    </row>
    <row r="1116">
      <c r="A1116" s="107">
        <f>IFERROR(__xludf.DUMMYFUNCTION("""COMPUTED_VALUE"""),45612.0)</f>
        <v>45612</v>
      </c>
      <c r="B1116" t="str">
        <f>IFERROR(__xludf.DUMMYFUNCTION("""COMPUTED_VALUE"""),"冷氣Feli")</f>
        <v>冷氣Feli</v>
      </c>
      <c r="C1116" t="str">
        <f>IFERROR(__xludf.DUMMYFUNCTION("""COMPUTED_VALUE"""),"成本 - 進場前裝潢費")</f>
        <v>成本 - 進場前裝潢費</v>
      </c>
      <c r="D1116" s="270">
        <f>IFERROR(__xludf.DUMMYFUNCTION("""COMPUTED_VALUE"""),-120915.0)</f>
        <v>-120915</v>
      </c>
      <c r="E1116" t="str">
        <f>IFERROR(__xludf.DUMMYFUNCTION("""COMPUTED_VALUE"""),"台銀籌備帳戶")</f>
        <v>台銀籌備帳戶</v>
      </c>
      <c r="G1116" t="str">
        <f>IFERROR(__xludf.DUMMYFUNCTION("""COMPUTED_VALUE"""),"中山北Feli家")</f>
        <v>中山北Feli家</v>
      </c>
      <c r="H1116" s="106" t="str">
        <f t="shared" si="1"/>
        <v>2024-11</v>
      </c>
      <c r="I1116" s="271" t="str">
        <f>IFERROR(__xludf.DUMMYFUNCTION("""COMPUTED_VALUE"""),"貓狗企鵝")</f>
        <v>貓狗企鵝</v>
      </c>
      <c r="J1116" t="str">
        <f>IFERROR(__xludf.DUMMYFUNCTION("IFS(
  AND(REGEXMATCH(E1116, ""台銀籌備帳戶|玉山帳戶""), REGEXMATCH(C1116, ""薪資"")), ""分潤支出"",
  AND(REGEXMATCH(E1116, ""Ben帳戶|Elsa帳戶|Ben代墊|Ariel代墊|中信銀行共用""), REGEXMATCH(F1116, ""Ben帳戶|Elsa帳戶|Ben代墊|Ariel代墊|中信銀行共用"")), ""內部轉帳(忽略)"",
  AND(E1116&lt;&gt;"""", F1116&lt;&gt;"""", N"&amp;"OT(REGEXMATCH(C1116, ""薪資""))), ""內部轉帳(忽略)"",
  REGEXMATCH(C1116, ""薪資""), ""薪資變動(不計入)"",
  REGEXMATCH(C1116, ""押金""), ""押金往來"",
  AND(E1116&lt;&gt;"""", F1116=""""), ""真實支出"",
  AND(E1116="""", F1116&lt;&gt;""""), ""真實收入"",
  TRUE, ""其他""
)"),"真實支出")</f>
        <v>真實支出</v>
      </c>
      <c r="K1116" s="270">
        <f t="shared" si="2"/>
        <v>-120915</v>
      </c>
      <c r="L1116">
        <f t="shared" si="3"/>
        <v>0</v>
      </c>
    </row>
    <row r="1117">
      <c r="A1117" s="107">
        <f>IFERROR(__xludf.DUMMYFUNCTION("""COMPUTED_VALUE"""),45613.0)</f>
        <v>45613</v>
      </c>
      <c r="B1117" t="str">
        <f>IFERROR(__xludf.DUMMYFUNCTION("""COMPUTED_VALUE"""),"金龍Elaine A 訂金")</f>
        <v>金龍Elaine A 訂金</v>
      </c>
      <c r="C1117" t="str">
        <f>IFERROR(__xludf.DUMMYFUNCTION("""COMPUTED_VALUE"""),"收入 - 租金")</f>
        <v>收入 - 租金</v>
      </c>
      <c r="D1117" s="270">
        <f>IFERROR(__xludf.DUMMYFUNCTION("""COMPUTED_VALUE"""),17200.0)</f>
        <v>17200</v>
      </c>
      <c r="F1117" t="str">
        <f>IFERROR(__xludf.DUMMYFUNCTION("""COMPUTED_VALUE"""),"台銀籌備帳戶")</f>
        <v>台銀籌備帳戶</v>
      </c>
      <c r="G1117" t="str">
        <f>IFERROR(__xludf.DUMMYFUNCTION("""COMPUTED_VALUE"""),"金龍帽子先生")</f>
        <v>金龍帽子先生</v>
      </c>
      <c r="H1117" s="106" t="str">
        <f t="shared" si="1"/>
        <v>2024-11</v>
      </c>
      <c r="I1117" s="271" t="str">
        <f>IFERROR(__xludf.DUMMYFUNCTION("""COMPUTED_VALUE"""),"貓狗企鵝")</f>
        <v>貓狗企鵝</v>
      </c>
      <c r="J1117" t="str">
        <f>IFERROR(__xludf.DUMMYFUNCTION("IFS(
  AND(REGEXMATCH(E1117, ""台銀籌備帳戶|玉山帳戶""), REGEXMATCH(C1117, ""薪資"")), ""分潤支出"",
  AND(REGEXMATCH(E1117, ""Ben帳戶|Elsa帳戶|Ben代墊|Ariel代墊|中信銀行共用""), REGEXMATCH(F1117, ""Ben帳戶|Elsa帳戶|Ben代墊|Ariel代墊|中信銀行共用"")), ""內部轉帳(忽略)"",
  AND(E1117&lt;&gt;"""", F1117&lt;&gt;"""", N"&amp;"OT(REGEXMATCH(C1117, ""薪資""))), ""內部轉帳(忽略)"",
  REGEXMATCH(C1117, ""薪資""), ""薪資變動(不計入)"",
  REGEXMATCH(C1117, ""押金""), ""押金往來"",
  AND(E1117&lt;&gt;"""", F1117=""""), ""真實支出"",
  AND(E1117="""", F1117&lt;&gt;""""), ""真實收入"",
  TRUE, ""其他""
)"),"真實收入")</f>
        <v>真實收入</v>
      </c>
      <c r="K1117" s="270">
        <f t="shared" si="2"/>
        <v>17200</v>
      </c>
      <c r="L1117">
        <f t="shared" si="3"/>
        <v>0</v>
      </c>
    </row>
    <row r="1118">
      <c r="A1118" s="107">
        <f>IFERROR(__xludf.DUMMYFUNCTION("""COMPUTED_VALUE"""),45615.0)</f>
        <v>45615</v>
      </c>
      <c r="B1118" t="str">
        <f>IFERROR(__xludf.DUMMYFUNCTION("""COMPUTED_VALUE"""),"金龍帽子先生D蔡婷欣")</f>
        <v>金龍帽子先生D蔡婷欣</v>
      </c>
      <c r="C1118" t="str">
        <f>IFERROR(__xludf.DUMMYFUNCTION("""COMPUTED_VALUE"""),"收入 - 租金")</f>
        <v>收入 - 租金</v>
      </c>
      <c r="D1118" s="270">
        <f>IFERROR(__xludf.DUMMYFUNCTION("""COMPUTED_VALUE"""),4833.0)</f>
        <v>4833</v>
      </c>
      <c r="F1118" t="str">
        <f>IFERROR(__xludf.DUMMYFUNCTION("""COMPUTED_VALUE"""),"台銀籌備帳戶")</f>
        <v>台銀籌備帳戶</v>
      </c>
      <c r="G1118" t="str">
        <f>IFERROR(__xludf.DUMMYFUNCTION("""COMPUTED_VALUE"""),"金龍帽子先生")</f>
        <v>金龍帽子先生</v>
      </c>
      <c r="H1118" s="106" t="str">
        <f t="shared" si="1"/>
        <v>2024-11</v>
      </c>
      <c r="I1118" s="271" t="str">
        <f>IFERROR(__xludf.DUMMYFUNCTION("""COMPUTED_VALUE"""),"貓狗企鵝")</f>
        <v>貓狗企鵝</v>
      </c>
      <c r="J1118" t="str">
        <f>IFERROR(__xludf.DUMMYFUNCTION("IFS(
  AND(REGEXMATCH(E1118, ""台銀籌備帳戶|玉山帳戶""), REGEXMATCH(C1118, ""薪資"")), ""分潤支出"",
  AND(REGEXMATCH(E1118, ""Ben帳戶|Elsa帳戶|Ben代墊|Ariel代墊|中信銀行共用""), REGEXMATCH(F1118, ""Ben帳戶|Elsa帳戶|Ben代墊|Ariel代墊|中信銀行共用"")), ""內部轉帳(忽略)"",
  AND(E1118&lt;&gt;"""", F1118&lt;&gt;"""", N"&amp;"OT(REGEXMATCH(C1118, ""薪資""))), ""內部轉帳(忽略)"",
  REGEXMATCH(C1118, ""薪資""), ""薪資變動(不計入)"",
  REGEXMATCH(C1118, ""押金""), ""押金往來"",
  AND(E1118&lt;&gt;"""", F1118=""""), ""真實支出"",
  AND(E1118="""", F1118&lt;&gt;""""), ""真實收入"",
  TRUE, ""其他""
)"),"真實收入")</f>
        <v>真實收入</v>
      </c>
      <c r="K1118" s="270">
        <f t="shared" si="2"/>
        <v>4833</v>
      </c>
      <c r="L1118">
        <f t="shared" si="3"/>
        <v>0</v>
      </c>
    </row>
    <row r="1119">
      <c r="A1119" s="107">
        <f>IFERROR(__xludf.DUMMYFUNCTION("""COMPUTED_VALUE"""),45616.0)</f>
        <v>45616</v>
      </c>
      <c r="B1119" t="str">
        <f>IFERROR(__xludf.DUMMYFUNCTION("""COMPUTED_VALUE"""),"金龍 11, 12月垃圾代收")</f>
        <v>金龍 11, 12月垃圾代收</v>
      </c>
      <c r="C1119" t="str">
        <f>IFERROR(__xludf.DUMMYFUNCTION("""COMPUTED_VALUE"""),"成本 - 固定開銷(網路代收清潔)")</f>
        <v>成本 - 固定開銷(網路代收清潔)</v>
      </c>
      <c r="D1119" s="270">
        <f>IFERROR(__xludf.DUMMYFUNCTION("""COMPUTED_VALUE"""),-800.0)</f>
        <v>-800</v>
      </c>
      <c r="E1119" t="str">
        <f>IFERROR(__xludf.DUMMYFUNCTION("""COMPUTED_VALUE"""),"Elsa帳戶")</f>
        <v>Elsa帳戶</v>
      </c>
      <c r="G1119" t="str">
        <f>IFERROR(__xludf.DUMMYFUNCTION("""COMPUTED_VALUE"""),"金龍帽子先生")</f>
        <v>金龍帽子先生</v>
      </c>
      <c r="H1119" s="106" t="str">
        <f t="shared" si="1"/>
        <v>2024-11</v>
      </c>
      <c r="I1119" s="271" t="str">
        <f>IFERROR(__xludf.DUMMYFUNCTION("""COMPUTED_VALUE"""),"貓狗企鵝")</f>
        <v>貓狗企鵝</v>
      </c>
      <c r="J1119" t="str">
        <f>IFERROR(__xludf.DUMMYFUNCTION("IFS(
  AND(REGEXMATCH(E1119, ""台銀籌備帳戶|玉山帳戶""), REGEXMATCH(C1119, ""薪資"")), ""分潤支出"",
  AND(REGEXMATCH(E1119, ""Ben帳戶|Elsa帳戶|Ben代墊|Ariel代墊|中信銀行共用""), REGEXMATCH(F1119, ""Ben帳戶|Elsa帳戶|Ben代墊|Ariel代墊|中信銀行共用"")), ""內部轉帳(忽略)"",
  AND(E1119&lt;&gt;"""", F1119&lt;&gt;"""", N"&amp;"OT(REGEXMATCH(C1119, ""薪資""))), ""內部轉帳(忽略)"",
  REGEXMATCH(C1119, ""薪資""), ""薪資變動(不計入)"",
  REGEXMATCH(C1119, ""押金""), ""押金往來"",
  AND(E1119&lt;&gt;"""", F1119=""""), ""真實支出"",
  AND(E1119="""", F1119&lt;&gt;""""), ""真實收入"",
  TRUE, ""其他""
)"),"真實支出")</f>
        <v>真實支出</v>
      </c>
      <c r="K1119" s="270">
        <f t="shared" si="2"/>
        <v>-800</v>
      </c>
      <c r="L1119">
        <f t="shared" si="3"/>
        <v>0</v>
      </c>
    </row>
    <row r="1120">
      <c r="A1120" s="107">
        <f>IFERROR(__xludf.DUMMYFUNCTION("""COMPUTED_VALUE"""),45616.0)</f>
        <v>45616</v>
      </c>
      <c r="B1120" t="str">
        <f>IFERROR(__xludf.DUMMYFUNCTION("""COMPUTED_VALUE"""),"金龍帽子先生D蔡婷欣")</f>
        <v>金龍帽子先生D蔡婷欣</v>
      </c>
      <c r="C1120" t="str">
        <f>IFERROR(__xludf.DUMMYFUNCTION("""COMPUTED_VALUE"""),"收入 - 押金")</f>
        <v>收入 - 押金</v>
      </c>
      <c r="D1120" s="270">
        <f>IFERROR(__xludf.DUMMYFUNCTION("""COMPUTED_VALUE"""),29000.0)</f>
        <v>29000</v>
      </c>
      <c r="F1120" t="str">
        <f>IFERROR(__xludf.DUMMYFUNCTION("""COMPUTED_VALUE"""),"台銀籌備帳戶")</f>
        <v>台銀籌備帳戶</v>
      </c>
      <c r="G1120" t="str">
        <f>IFERROR(__xludf.DUMMYFUNCTION("""COMPUTED_VALUE"""),"金龍帽子先生")</f>
        <v>金龍帽子先生</v>
      </c>
      <c r="H1120" s="106" t="str">
        <f t="shared" si="1"/>
        <v>2024-11</v>
      </c>
      <c r="I1120" s="271" t="str">
        <f>IFERROR(__xludf.DUMMYFUNCTION("""COMPUTED_VALUE"""),"貓狗企鵝")</f>
        <v>貓狗企鵝</v>
      </c>
      <c r="J1120" t="str">
        <f>IFERROR(__xludf.DUMMYFUNCTION("IFS(
  AND(REGEXMATCH(E1120, ""台銀籌備帳戶|玉山帳戶""), REGEXMATCH(C1120, ""薪資"")), ""分潤支出"",
  AND(REGEXMATCH(E1120, ""Ben帳戶|Elsa帳戶|Ben代墊|Ariel代墊|中信銀行共用""), REGEXMATCH(F1120, ""Ben帳戶|Elsa帳戶|Ben代墊|Ariel代墊|中信銀行共用"")), ""內部轉帳(忽略)"",
  AND(E1120&lt;&gt;"""", F1120&lt;&gt;"""", N"&amp;"OT(REGEXMATCH(C1120, ""薪資""))), ""內部轉帳(忽略)"",
  REGEXMATCH(C1120, ""薪資""), ""薪資變動(不計入)"",
  REGEXMATCH(C1120, ""押金""), ""押金往來"",
  AND(E1120&lt;&gt;"""", F1120=""""), ""真實支出"",
  AND(E1120="""", F1120&lt;&gt;""""), ""真實收入"",
  TRUE, ""其他""
)"),"押金往來")</f>
        <v>押金往來</v>
      </c>
      <c r="K1120">
        <f t="shared" si="2"/>
        <v>0</v>
      </c>
      <c r="L1120">
        <f t="shared" si="3"/>
        <v>0</v>
      </c>
    </row>
    <row r="1121">
      <c r="A1121" s="107">
        <f>IFERROR(__xludf.DUMMYFUNCTION("""COMPUTED_VALUE"""),45616.0)</f>
        <v>45616</v>
      </c>
      <c r="B1121" t="str">
        <f>IFERROR(__xludf.DUMMYFUNCTION("""COMPUTED_VALUE"""),"金龍套房A押租金06804011")</f>
        <v>金龍套房A押租金06804011</v>
      </c>
      <c r="C1121" t="str">
        <f>IFERROR(__xludf.DUMMYFUNCTION("""COMPUTED_VALUE"""),"收入 - 押金")</f>
        <v>收入 - 押金</v>
      </c>
      <c r="D1121" s="270">
        <f>IFERROR(__xludf.DUMMYFUNCTION("""COMPUTED_VALUE"""),34400.0)</f>
        <v>34400</v>
      </c>
      <c r="F1121" t="str">
        <f>IFERROR(__xludf.DUMMYFUNCTION("""COMPUTED_VALUE"""),"台銀籌備帳戶")</f>
        <v>台銀籌備帳戶</v>
      </c>
      <c r="G1121" t="str">
        <f>IFERROR(__xludf.DUMMYFUNCTION("""COMPUTED_VALUE"""),"金龍帽子先生")</f>
        <v>金龍帽子先生</v>
      </c>
      <c r="H1121" s="106" t="str">
        <f t="shared" si="1"/>
        <v>2024-11</v>
      </c>
      <c r="I1121" s="271" t="str">
        <f>IFERROR(__xludf.DUMMYFUNCTION("""COMPUTED_VALUE"""),"貓狗企鵝")</f>
        <v>貓狗企鵝</v>
      </c>
      <c r="J1121" t="str">
        <f>IFERROR(__xludf.DUMMYFUNCTION("IFS(
  AND(REGEXMATCH(E1121, ""台銀籌備帳戶|玉山帳戶""), REGEXMATCH(C1121, ""薪資"")), ""分潤支出"",
  AND(REGEXMATCH(E1121, ""Ben帳戶|Elsa帳戶|Ben代墊|Ariel代墊|中信銀行共用""), REGEXMATCH(F1121, ""Ben帳戶|Elsa帳戶|Ben代墊|Ariel代墊|中信銀行共用"")), ""內部轉帳(忽略)"",
  AND(E1121&lt;&gt;"""", F1121&lt;&gt;"""", N"&amp;"OT(REGEXMATCH(C1121, ""薪資""))), ""內部轉帳(忽略)"",
  REGEXMATCH(C1121, ""薪資""), ""薪資變動(不計入)"",
  REGEXMATCH(C1121, ""押金""), ""押金往來"",
  AND(E1121&lt;&gt;"""", F1121=""""), ""真實支出"",
  AND(E1121="""", F1121&lt;&gt;""""), ""真實收入"",
  TRUE, ""其他""
)"),"押金往來")</f>
        <v>押金往來</v>
      </c>
      <c r="K1121">
        <f t="shared" si="2"/>
        <v>0</v>
      </c>
      <c r="L1121">
        <f t="shared" si="3"/>
        <v>0</v>
      </c>
    </row>
    <row r="1122">
      <c r="A1122" s="107">
        <f>IFERROR(__xludf.DUMMYFUNCTION("""COMPUTED_VALUE"""),45617.0)</f>
        <v>45617</v>
      </c>
      <c r="B1122" t="str">
        <f>IFERROR(__xludf.DUMMYFUNCTION("""COMPUTED_VALUE"""),"對講機")</f>
        <v>對講機</v>
      </c>
      <c r="C1122" t="str">
        <f>IFERROR(__xludf.DUMMYFUNCTION("""COMPUTED_VALUE"""),"成本 - 租後修繕")</f>
        <v>成本 - 租後修繕</v>
      </c>
      <c r="D1122" s="270">
        <f>IFERROR(__xludf.DUMMYFUNCTION("""COMPUTED_VALUE"""),-2700.0)</f>
        <v>-2700</v>
      </c>
      <c r="E1122" t="str">
        <f>IFERROR(__xludf.DUMMYFUNCTION("""COMPUTED_VALUE"""),"Ben帳戶")</f>
        <v>Ben帳戶</v>
      </c>
      <c r="G1122" t="str">
        <f>IFERROR(__xludf.DUMMYFUNCTION("""COMPUTED_VALUE"""),"北醫醫師府")</f>
        <v>北醫醫師府</v>
      </c>
      <c r="H1122" s="106" t="str">
        <f t="shared" si="1"/>
        <v>2024-11</v>
      </c>
      <c r="I1122" s="271" t="str">
        <f>IFERROR(__xludf.DUMMYFUNCTION("""COMPUTED_VALUE"""),"貓狗企鵝")</f>
        <v>貓狗企鵝</v>
      </c>
      <c r="J1122" t="str">
        <f>IFERROR(__xludf.DUMMYFUNCTION("IFS(
  AND(REGEXMATCH(E1122, ""台銀籌備帳戶|玉山帳戶""), REGEXMATCH(C1122, ""薪資"")), ""分潤支出"",
  AND(REGEXMATCH(E1122, ""Ben帳戶|Elsa帳戶|Ben代墊|Ariel代墊|中信銀行共用""), REGEXMATCH(F1122, ""Ben帳戶|Elsa帳戶|Ben代墊|Ariel代墊|中信銀行共用"")), ""內部轉帳(忽略)"",
  AND(E1122&lt;&gt;"""", F1122&lt;&gt;"""", N"&amp;"OT(REGEXMATCH(C1122, ""薪資""))), ""內部轉帳(忽略)"",
  REGEXMATCH(C1122, ""薪資""), ""薪資變動(不計入)"",
  REGEXMATCH(C1122, ""押金""), ""押金往來"",
  AND(E1122&lt;&gt;"""", F1122=""""), ""真實支出"",
  AND(E1122="""", F1122&lt;&gt;""""), ""真實收入"",
  TRUE, ""其他""
)"),"真實支出")</f>
        <v>真實支出</v>
      </c>
      <c r="K1122" s="270">
        <f t="shared" si="2"/>
        <v>-2700</v>
      </c>
      <c r="L1122">
        <f t="shared" si="3"/>
        <v>0</v>
      </c>
    </row>
    <row r="1123">
      <c r="A1123" s="107">
        <f>IFERROR(__xludf.DUMMYFUNCTION("""COMPUTED_VALUE"""),45617.0)</f>
        <v>45617</v>
      </c>
      <c r="B1123" t="str">
        <f>IFERROR(__xludf.DUMMYFUNCTION("""COMPUTED_VALUE"""),"中山北娘家旁D許庭偉")</f>
        <v>中山北娘家旁D許庭偉</v>
      </c>
      <c r="C1123" t="str">
        <f>IFERROR(__xludf.DUMMYFUNCTION("""COMPUTED_VALUE"""),"收入 - 押金")</f>
        <v>收入 - 押金</v>
      </c>
      <c r="D1123" s="270">
        <f>IFERROR(__xludf.DUMMYFUNCTION("""COMPUTED_VALUE"""),29000.0)</f>
        <v>29000</v>
      </c>
      <c r="F1123" t="str">
        <f>IFERROR(__xludf.DUMMYFUNCTION("""COMPUTED_VALUE"""),"台銀籌備帳戶")</f>
        <v>台銀籌備帳戶</v>
      </c>
      <c r="G1123" t="str">
        <f>IFERROR(__xludf.DUMMYFUNCTION("""COMPUTED_VALUE"""),"中山北娘家旁")</f>
        <v>中山北娘家旁</v>
      </c>
      <c r="H1123" s="106" t="str">
        <f t="shared" si="1"/>
        <v>2024-11</v>
      </c>
      <c r="I1123" s="271" t="str">
        <f>IFERROR(__xludf.DUMMYFUNCTION("""COMPUTED_VALUE"""),"貓狗企鵝")</f>
        <v>貓狗企鵝</v>
      </c>
      <c r="J1123" t="str">
        <f>IFERROR(__xludf.DUMMYFUNCTION("IFS(
  AND(REGEXMATCH(E1123, ""台銀籌備帳戶|玉山帳戶""), REGEXMATCH(C1123, ""薪資"")), ""分潤支出"",
  AND(REGEXMATCH(E1123, ""Ben帳戶|Elsa帳戶|Ben代墊|Ariel代墊|中信銀行共用""), REGEXMATCH(F1123, ""Ben帳戶|Elsa帳戶|Ben代墊|Ariel代墊|中信銀行共用"")), ""內部轉帳(忽略)"",
  AND(E1123&lt;&gt;"""", F1123&lt;&gt;"""", N"&amp;"OT(REGEXMATCH(C1123, ""薪資""))), ""內部轉帳(忽略)"",
  REGEXMATCH(C1123, ""薪資""), ""薪資變動(不計入)"",
  REGEXMATCH(C1123, ""押金""), ""押金往來"",
  AND(E1123&lt;&gt;"""", F1123=""""), ""真實支出"",
  AND(E1123="""", F1123&lt;&gt;""""), ""真實收入"",
  TRUE, ""其他""
)"),"押金往來")</f>
        <v>押金往來</v>
      </c>
      <c r="K1123">
        <f t="shared" si="2"/>
        <v>0</v>
      </c>
      <c r="L1123">
        <f t="shared" si="3"/>
        <v>0</v>
      </c>
    </row>
    <row r="1124">
      <c r="A1124" s="107">
        <f>IFERROR(__xludf.DUMMYFUNCTION("""COMPUTED_VALUE"""),45619.0)</f>
        <v>45619</v>
      </c>
      <c r="B1124" t="str">
        <f>IFERROR(__xludf.DUMMYFUNCTION("""COMPUTED_VALUE"""),"Feli小黃")</f>
        <v>Feli小黃</v>
      </c>
      <c r="C1124" t="str">
        <f>IFERROR(__xludf.DUMMYFUNCTION("""COMPUTED_VALUE"""),"成本 - 進場前裝潢費")</f>
        <v>成本 - 進場前裝潢費</v>
      </c>
      <c r="D1124" s="270">
        <f>IFERROR(__xludf.DUMMYFUNCTION("""COMPUTED_VALUE"""),-110.0)</f>
        <v>-110</v>
      </c>
      <c r="E1124" t="str">
        <f>IFERROR(__xludf.DUMMYFUNCTION("""COMPUTED_VALUE"""),"Elsa帳戶")</f>
        <v>Elsa帳戶</v>
      </c>
      <c r="G1124" t="str">
        <f>IFERROR(__xludf.DUMMYFUNCTION("""COMPUTED_VALUE"""),"中山北Feli家")</f>
        <v>中山北Feli家</v>
      </c>
      <c r="H1124" s="106" t="str">
        <f t="shared" si="1"/>
        <v>2024-11</v>
      </c>
      <c r="I1124" s="271" t="str">
        <f>IFERROR(__xludf.DUMMYFUNCTION("""COMPUTED_VALUE"""),"貓狗企鵝")</f>
        <v>貓狗企鵝</v>
      </c>
      <c r="J1124" t="str">
        <f>IFERROR(__xludf.DUMMYFUNCTION("IFS(
  AND(REGEXMATCH(E1124, ""台銀籌備帳戶|玉山帳戶""), REGEXMATCH(C1124, ""薪資"")), ""分潤支出"",
  AND(REGEXMATCH(E1124, ""Ben帳戶|Elsa帳戶|Ben代墊|Ariel代墊|中信銀行共用""), REGEXMATCH(F1124, ""Ben帳戶|Elsa帳戶|Ben代墊|Ariel代墊|中信銀行共用"")), ""內部轉帳(忽略)"",
  AND(E1124&lt;&gt;"""", F1124&lt;&gt;"""", N"&amp;"OT(REGEXMATCH(C1124, ""薪資""))), ""內部轉帳(忽略)"",
  REGEXMATCH(C1124, ""薪資""), ""薪資變動(不計入)"",
  REGEXMATCH(C1124, ""押金""), ""押金往來"",
  AND(E1124&lt;&gt;"""", F1124=""""), ""真實支出"",
  AND(E1124="""", F1124&lt;&gt;""""), ""真實收入"",
  TRUE, ""其他""
)"),"真實支出")</f>
        <v>真實支出</v>
      </c>
      <c r="K1124" s="270">
        <f t="shared" si="2"/>
        <v>-110</v>
      </c>
      <c r="L1124">
        <f t="shared" si="3"/>
        <v>0</v>
      </c>
    </row>
    <row r="1125">
      <c r="A1125" s="107">
        <f>IFERROR(__xludf.DUMMYFUNCTION("""COMPUTED_VALUE"""),45619.0)</f>
        <v>45619</v>
      </c>
      <c r="B1125" t="str">
        <f>IFERROR(__xludf.DUMMYFUNCTION("""COMPUTED_VALUE"""),"Feli小黃")</f>
        <v>Feli小黃</v>
      </c>
      <c r="C1125" t="str">
        <f>IFERROR(__xludf.DUMMYFUNCTION("""COMPUTED_VALUE"""),"成本 - 進場前裝潢費")</f>
        <v>成本 - 進場前裝潢費</v>
      </c>
      <c r="D1125" s="270">
        <f>IFERROR(__xludf.DUMMYFUNCTION("""COMPUTED_VALUE"""),-295.0)</f>
        <v>-295</v>
      </c>
      <c r="E1125" t="str">
        <f>IFERROR(__xludf.DUMMYFUNCTION("""COMPUTED_VALUE"""),"Elsa帳戶")</f>
        <v>Elsa帳戶</v>
      </c>
      <c r="G1125" t="str">
        <f>IFERROR(__xludf.DUMMYFUNCTION("""COMPUTED_VALUE"""),"中山北Feli家")</f>
        <v>中山北Feli家</v>
      </c>
      <c r="H1125" s="106" t="str">
        <f t="shared" si="1"/>
        <v>2024-11</v>
      </c>
      <c r="I1125" s="271" t="str">
        <f>IFERROR(__xludf.DUMMYFUNCTION("""COMPUTED_VALUE"""),"貓狗企鵝")</f>
        <v>貓狗企鵝</v>
      </c>
      <c r="J1125" t="str">
        <f>IFERROR(__xludf.DUMMYFUNCTION("IFS(
  AND(REGEXMATCH(E1125, ""台銀籌備帳戶|玉山帳戶""), REGEXMATCH(C1125, ""薪資"")), ""分潤支出"",
  AND(REGEXMATCH(E1125, ""Ben帳戶|Elsa帳戶|Ben代墊|Ariel代墊|中信銀行共用""), REGEXMATCH(F1125, ""Ben帳戶|Elsa帳戶|Ben代墊|Ariel代墊|中信銀行共用"")), ""內部轉帳(忽略)"",
  AND(E1125&lt;&gt;"""", F1125&lt;&gt;"""", N"&amp;"OT(REGEXMATCH(C1125, ""薪資""))), ""內部轉帳(忽略)"",
  REGEXMATCH(C1125, ""薪資""), ""薪資變動(不計入)"",
  REGEXMATCH(C1125, ""押金""), ""押金往來"",
  AND(E1125&lt;&gt;"""", F1125=""""), ""真實支出"",
  AND(E1125="""", F1125&lt;&gt;""""), ""真實收入"",
  TRUE, ""其他""
)"),"真實支出")</f>
        <v>真實支出</v>
      </c>
      <c r="K1125" s="270">
        <f t="shared" si="2"/>
        <v>-295</v>
      </c>
      <c r="L1125">
        <f t="shared" si="3"/>
        <v>0</v>
      </c>
    </row>
    <row r="1126">
      <c r="A1126" s="107">
        <f>IFERROR(__xludf.DUMMYFUNCTION("""COMPUTED_VALUE"""),45620.0)</f>
        <v>45620</v>
      </c>
      <c r="B1126" t="str">
        <f>IFERROR(__xludf.DUMMYFUNCTION("""COMPUTED_VALUE"""),"金龍A退押金")</f>
        <v>金龍A退押金</v>
      </c>
      <c r="C1126" t="str">
        <f>IFERROR(__xludf.DUMMYFUNCTION("""COMPUTED_VALUE"""),"收入 - 押金")</f>
        <v>收入 - 押金</v>
      </c>
      <c r="D1126" s="270">
        <f>IFERROR(__xludf.DUMMYFUNCTION("""COMPUTED_VALUE"""),-34600.0)</f>
        <v>-34600</v>
      </c>
      <c r="E1126" t="str">
        <f>IFERROR(__xludf.DUMMYFUNCTION("""COMPUTED_VALUE"""),"Ben帳戶")</f>
        <v>Ben帳戶</v>
      </c>
      <c r="G1126" t="str">
        <f>IFERROR(__xludf.DUMMYFUNCTION("""COMPUTED_VALUE"""),"金龍帽子先生")</f>
        <v>金龍帽子先生</v>
      </c>
      <c r="H1126" s="106" t="str">
        <f t="shared" si="1"/>
        <v>2024-11</v>
      </c>
      <c r="I1126" s="271" t="str">
        <f>IFERROR(__xludf.DUMMYFUNCTION("""COMPUTED_VALUE"""),"貓狗企鵝")</f>
        <v>貓狗企鵝</v>
      </c>
      <c r="J1126" t="str">
        <f>IFERROR(__xludf.DUMMYFUNCTION("IFS(
  AND(REGEXMATCH(E1126, ""台銀籌備帳戶|玉山帳戶""), REGEXMATCH(C1126, ""薪資"")), ""分潤支出"",
  AND(REGEXMATCH(E1126, ""Ben帳戶|Elsa帳戶|Ben代墊|Ariel代墊|中信銀行共用""), REGEXMATCH(F1126, ""Ben帳戶|Elsa帳戶|Ben代墊|Ariel代墊|中信銀行共用"")), ""內部轉帳(忽略)"",
  AND(E1126&lt;&gt;"""", F1126&lt;&gt;"""", N"&amp;"OT(REGEXMATCH(C1126, ""薪資""))), ""內部轉帳(忽略)"",
  REGEXMATCH(C1126, ""薪資""), ""薪資變動(不計入)"",
  REGEXMATCH(C1126, ""押金""), ""押金往來"",
  AND(E1126&lt;&gt;"""", F1126=""""), ""真實支出"",
  AND(E1126="""", F1126&lt;&gt;""""), ""真實收入"",
  TRUE, ""其他""
)"),"押金往來")</f>
        <v>押金往來</v>
      </c>
      <c r="K1126">
        <f t="shared" si="2"/>
        <v>0</v>
      </c>
      <c r="L1126">
        <f t="shared" si="3"/>
        <v>0</v>
      </c>
    </row>
    <row r="1127">
      <c r="A1127" s="107">
        <f>IFERROR(__xludf.DUMMYFUNCTION("""COMPUTED_VALUE"""),45620.0)</f>
        <v>45620</v>
      </c>
      <c r="B1127" t="str">
        <f>IFERROR(__xludf.DUMMYFUNCTION("""COMPUTED_VALUE"""),"金龍A違約金")</f>
        <v>金龍A違約金</v>
      </c>
      <c r="C1127" t="str">
        <f>IFERROR(__xludf.DUMMYFUNCTION("""COMPUTED_VALUE"""),"收入 - 租金")</f>
        <v>收入 - 租金</v>
      </c>
      <c r="D1127" s="270">
        <f>IFERROR(__xludf.DUMMYFUNCTION("""COMPUTED_VALUE"""),18800.0)</f>
        <v>18800</v>
      </c>
      <c r="F1127" t="str">
        <f>IFERROR(__xludf.DUMMYFUNCTION("""COMPUTED_VALUE"""),"Ben帳戶")</f>
        <v>Ben帳戶</v>
      </c>
      <c r="G1127" t="str">
        <f>IFERROR(__xludf.DUMMYFUNCTION("""COMPUTED_VALUE"""),"金龍帽子先生")</f>
        <v>金龍帽子先生</v>
      </c>
      <c r="H1127" s="106" t="str">
        <f t="shared" si="1"/>
        <v>2024-11</v>
      </c>
      <c r="I1127" s="271" t="str">
        <f>IFERROR(__xludf.DUMMYFUNCTION("""COMPUTED_VALUE"""),"貓狗企鵝")</f>
        <v>貓狗企鵝</v>
      </c>
      <c r="J1127" t="str">
        <f>IFERROR(__xludf.DUMMYFUNCTION("IFS(
  AND(REGEXMATCH(E1127, ""台銀籌備帳戶|玉山帳戶""), REGEXMATCH(C1127, ""薪資"")), ""分潤支出"",
  AND(REGEXMATCH(E1127, ""Ben帳戶|Elsa帳戶|Ben代墊|Ariel代墊|中信銀行共用""), REGEXMATCH(F1127, ""Ben帳戶|Elsa帳戶|Ben代墊|Ariel代墊|中信銀行共用"")), ""內部轉帳(忽略)"",
  AND(E1127&lt;&gt;"""", F1127&lt;&gt;"""", N"&amp;"OT(REGEXMATCH(C1127, ""薪資""))), ""內部轉帳(忽略)"",
  REGEXMATCH(C1127, ""薪資""), ""薪資變動(不計入)"",
  REGEXMATCH(C1127, ""押金""), ""押金往來"",
  AND(E1127&lt;&gt;"""", F1127=""""), ""真實支出"",
  AND(E1127="""", F1127&lt;&gt;""""), ""真實收入"",
  TRUE, ""其他""
)"),"真實收入")</f>
        <v>真實收入</v>
      </c>
      <c r="K1127" s="270">
        <f t="shared" si="2"/>
        <v>18800</v>
      </c>
      <c r="L1127">
        <f t="shared" si="3"/>
        <v>0</v>
      </c>
    </row>
    <row r="1128">
      <c r="A1128" s="107">
        <f>IFERROR(__xludf.DUMMYFUNCTION("""COMPUTED_VALUE"""),45620.0)</f>
        <v>45620</v>
      </c>
      <c r="B1128" t="str">
        <f>IFERROR(__xludf.DUMMYFUNCTION("""COMPUTED_VALUE"""),"Feli小黃")</f>
        <v>Feli小黃</v>
      </c>
      <c r="C1128" t="str">
        <f>IFERROR(__xludf.DUMMYFUNCTION("""COMPUTED_VALUE"""),"成本 - 進場前裝潢費")</f>
        <v>成本 - 進場前裝潢費</v>
      </c>
      <c r="D1128" s="270">
        <f>IFERROR(__xludf.DUMMYFUNCTION("""COMPUTED_VALUE"""),-375.0)</f>
        <v>-375</v>
      </c>
      <c r="E1128" t="str">
        <f>IFERROR(__xludf.DUMMYFUNCTION("""COMPUTED_VALUE"""),"Elsa帳戶")</f>
        <v>Elsa帳戶</v>
      </c>
      <c r="G1128" t="str">
        <f>IFERROR(__xludf.DUMMYFUNCTION("""COMPUTED_VALUE"""),"中山北Feli家")</f>
        <v>中山北Feli家</v>
      </c>
      <c r="H1128" s="106" t="str">
        <f t="shared" si="1"/>
        <v>2024-11</v>
      </c>
      <c r="I1128" s="271" t="str">
        <f>IFERROR(__xludf.DUMMYFUNCTION("""COMPUTED_VALUE"""),"貓狗企鵝")</f>
        <v>貓狗企鵝</v>
      </c>
      <c r="J1128" t="str">
        <f>IFERROR(__xludf.DUMMYFUNCTION("IFS(
  AND(REGEXMATCH(E1128, ""台銀籌備帳戶|玉山帳戶""), REGEXMATCH(C1128, ""薪資"")), ""分潤支出"",
  AND(REGEXMATCH(E1128, ""Ben帳戶|Elsa帳戶|Ben代墊|Ariel代墊|中信銀行共用""), REGEXMATCH(F1128, ""Ben帳戶|Elsa帳戶|Ben代墊|Ariel代墊|中信銀行共用"")), ""內部轉帳(忽略)"",
  AND(E1128&lt;&gt;"""", F1128&lt;&gt;"""", N"&amp;"OT(REGEXMATCH(C1128, ""薪資""))), ""內部轉帳(忽略)"",
  REGEXMATCH(C1128, ""薪資""), ""薪資變動(不計入)"",
  REGEXMATCH(C1128, ""押金""), ""押金往來"",
  AND(E1128&lt;&gt;"""", F1128=""""), ""真實支出"",
  AND(E1128="""", F1128&lt;&gt;""""), ""真實收入"",
  TRUE, ""其他""
)"),"真實支出")</f>
        <v>真實支出</v>
      </c>
      <c r="K1128" s="270">
        <f t="shared" si="2"/>
        <v>-375</v>
      </c>
      <c r="L1128">
        <f t="shared" si="3"/>
        <v>0</v>
      </c>
    </row>
    <row r="1129">
      <c r="A1129" s="107">
        <f>IFERROR(__xludf.DUMMYFUNCTION("""COMPUTED_VALUE"""),45621.0)</f>
        <v>45621</v>
      </c>
      <c r="B1129" t="str">
        <f>IFERROR(__xludf.DUMMYFUNCTION("""COMPUTED_VALUE"""),"北醫防水6樓外宿")</f>
        <v>北醫防水6樓外宿</v>
      </c>
      <c r="C1129" t="str">
        <f>IFERROR(__xludf.DUMMYFUNCTION("""COMPUTED_VALUE"""),"成本 - 租後修繕")</f>
        <v>成本 - 租後修繕</v>
      </c>
      <c r="D1129" s="270">
        <f>IFERROR(__xludf.DUMMYFUNCTION("""COMPUTED_VALUE"""),-16000.0)</f>
        <v>-16000</v>
      </c>
      <c r="E1129" t="str">
        <f>IFERROR(__xludf.DUMMYFUNCTION("""COMPUTED_VALUE"""),"Ben帳戶")</f>
        <v>Ben帳戶</v>
      </c>
      <c r="G1129" t="str">
        <f>IFERROR(__xludf.DUMMYFUNCTION("""COMPUTED_VALUE"""),"北醫醫師府")</f>
        <v>北醫醫師府</v>
      </c>
      <c r="H1129" s="106" t="str">
        <f t="shared" si="1"/>
        <v>2024-11</v>
      </c>
      <c r="I1129" s="271" t="str">
        <f>IFERROR(__xludf.DUMMYFUNCTION("""COMPUTED_VALUE"""),"貓狗企鵝")</f>
        <v>貓狗企鵝</v>
      </c>
      <c r="J1129" t="str">
        <f>IFERROR(__xludf.DUMMYFUNCTION("IFS(
  AND(REGEXMATCH(E1129, ""台銀籌備帳戶|玉山帳戶""), REGEXMATCH(C1129, ""薪資"")), ""分潤支出"",
  AND(REGEXMATCH(E1129, ""Ben帳戶|Elsa帳戶|Ben代墊|Ariel代墊|中信銀行共用""), REGEXMATCH(F1129, ""Ben帳戶|Elsa帳戶|Ben代墊|Ariel代墊|中信銀行共用"")), ""內部轉帳(忽略)"",
  AND(E1129&lt;&gt;"""", F1129&lt;&gt;"""", N"&amp;"OT(REGEXMATCH(C1129, ""薪資""))), ""內部轉帳(忽略)"",
  REGEXMATCH(C1129, ""薪資""), ""薪資變動(不計入)"",
  REGEXMATCH(C1129, ""押金""), ""押金往來"",
  AND(E1129&lt;&gt;"""", F1129=""""), ""真實支出"",
  AND(E1129="""", F1129&lt;&gt;""""), ""真實收入"",
  TRUE, ""其他""
)"),"真實支出")</f>
        <v>真實支出</v>
      </c>
      <c r="K1129" s="270">
        <f t="shared" si="2"/>
        <v>-16000</v>
      </c>
      <c r="L1129">
        <f t="shared" si="3"/>
        <v>0</v>
      </c>
    </row>
    <row r="1130">
      <c r="A1130" s="107">
        <f>IFERROR(__xludf.DUMMYFUNCTION("""COMPUTED_VALUE"""),45621.0)</f>
        <v>45621</v>
      </c>
      <c r="B1130" t="str">
        <f>IFERROR(__xludf.DUMMYFUNCTION("""COMPUTED_VALUE"""),"北醫A尾月租金")</f>
        <v>北醫A尾月租金</v>
      </c>
      <c r="C1130" t="str">
        <f>IFERROR(__xludf.DUMMYFUNCTION("""COMPUTED_VALUE"""),"收入 - 租金")</f>
        <v>收入 - 租金</v>
      </c>
      <c r="D1130" s="270">
        <f>IFERROR(__xludf.DUMMYFUNCTION("""COMPUTED_VALUE"""),931.0)</f>
        <v>931</v>
      </c>
      <c r="F1130" t="str">
        <f>IFERROR(__xludf.DUMMYFUNCTION("""COMPUTED_VALUE"""),"Ben帳戶")</f>
        <v>Ben帳戶</v>
      </c>
      <c r="G1130" t="str">
        <f>IFERROR(__xludf.DUMMYFUNCTION("""COMPUTED_VALUE"""),"北醫醫師府")</f>
        <v>北醫醫師府</v>
      </c>
      <c r="H1130" s="106" t="str">
        <f t="shared" si="1"/>
        <v>2024-11</v>
      </c>
      <c r="I1130" s="271" t="str">
        <f>IFERROR(__xludf.DUMMYFUNCTION("""COMPUTED_VALUE"""),"貓狗企鵝")</f>
        <v>貓狗企鵝</v>
      </c>
      <c r="J1130" t="str">
        <f>IFERROR(__xludf.DUMMYFUNCTION("IFS(
  AND(REGEXMATCH(E1130, ""台銀籌備帳戶|玉山帳戶""), REGEXMATCH(C1130, ""薪資"")), ""分潤支出"",
  AND(REGEXMATCH(E1130, ""Ben帳戶|Elsa帳戶|Ben代墊|Ariel代墊|中信銀行共用""), REGEXMATCH(F1130, ""Ben帳戶|Elsa帳戶|Ben代墊|Ariel代墊|中信銀行共用"")), ""內部轉帳(忽略)"",
  AND(E1130&lt;&gt;"""", F1130&lt;&gt;"""", N"&amp;"OT(REGEXMATCH(C1130, ""薪資""))), ""內部轉帳(忽略)"",
  REGEXMATCH(C1130, ""薪資""), ""薪資變動(不計入)"",
  REGEXMATCH(C1130, ""押金""), ""押金往來"",
  AND(E1130&lt;&gt;"""", F1130=""""), ""真實支出"",
  AND(E1130="""", F1130&lt;&gt;""""), ""真實收入"",
  TRUE, ""其他""
)"),"真實收入")</f>
        <v>真實收入</v>
      </c>
      <c r="K1130" s="270">
        <f t="shared" si="2"/>
        <v>931</v>
      </c>
      <c r="L1130">
        <f t="shared" si="3"/>
        <v>0</v>
      </c>
    </row>
    <row r="1131">
      <c r="A1131" s="107">
        <f>IFERROR(__xludf.DUMMYFUNCTION("""COMPUTED_VALUE"""),45621.0)</f>
        <v>45621</v>
      </c>
      <c r="B1131" t="str">
        <f>IFERROR(__xludf.DUMMYFUNCTION("""COMPUTED_VALUE"""),"北醫A退押")</f>
        <v>北醫A退押</v>
      </c>
      <c r="C1131" t="str">
        <f>IFERROR(__xludf.DUMMYFUNCTION("""COMPUTED_VALUE"""),"收入 - 押金")</f>
        <v>收入 - 押金</v>
      </c>
      <c r="D1131" s="270">
        <f>IFERROR(__xludf.DUMMYFUNCTION("""COMPUTED_VALUE"""),-27000.0)</f>
        <v>-27000</v>
      </c>
      <c r="E1131" t="str">
        <f>IFERROR(__xludf.DUMMYFUNCTION("""COMPUTED_VALUE"""),"Ben帳戶")</f>
        <v>Ben帳戶</v>
      </c>
      <c r="G1131" t="str">
        <f>IFERROR(__xludf.DUMMYFUNCTION("""COMPUTED_VALUE"""),"北醫醫師府")</f>
        <v>北醫醫師府</v>
      </c>
      <c r="H1131" s="106" t="str">
        <f t="shared" si="1"/>
        <v>2024-11</v>
      </c>
      <c r="I1131" s="271" t="str">
        <f>IFERROR(__xludf.DUMMYFUNCTION("""COMPUTED_VALUE"""),"貓狗企鵝")</f>
        <v>貓狗企鵝</v>
      </c>
      <c r="J1131" t="str">
        <f>IFERROR(__xludf.DUMMYFUNCTION("IFS(
  AND(REGEXMATCH(E1131, ""台銀籌備帳戶|玉山帳戶""), REGEXMATCH(C1131, ""薪資"")), ""分潤支出"",
  AND(REGEXMATCH(E1131, ""Ben帳戶|Elsa帳戶|Ben代墊|Ariel代墊|中信銀行共用""), REGEXMATCH(F1131, ""Ben帳戶|Elsa帳戶|Ben代墊|Ariel代墊|中信銀行共用"")), ""內部轉帳(忽略)"",
  AND(E1131&lt;&gt;"""", F1131&lt;&gt;"""", N"&amp;"OT(REGEXMATCH(C1131, ""薪資""))), ""內部轉帳(忽略)"",
  REGEXMATCH(C1131, ""薪資""), ""薪資變動(不計入)"",
  REGEXMATCH(C1131, ""押金""), ""押金往來"",
  AND(E1131&lt;&gt;"""", F1131=""""), ""真實支出"",
  AND(E1131="""", F1131&lt;&gt;""""), ""真實收入"",
  TRUE, ""其他""
)"),"押金往來")</f>
        <v>押金往來</v>
      </c>
      <c r="K1131">
        <f t="shared" si="2"/>
        <v>0</v>
      </c>
      <c r="L1131">
        <f t="shared" si="3"/>
        <v>0</v>
      </c>
    </row>
    <row r="1132">
      <c r="A1132" s="107">
        <f>IFERROR(__xludf.DUMMYFUNCTION("""COMPUTED_VALUE"""),45621.0)</f>
        <v>45621</v>
      </c>
      <c r="B1132">
        <f>IFERROR(__xludf.DUMMYFUNCTION("""COMPUTED_VALUE"""),591.0)</f>
        <v>591</v>
      </c>
      <c r="C1132" t="str">
        <f>IFERROR(__xludf.DUMMYFUNCTION("""COMPUTED_VALUE"""),"成本 - 仲介費")</f>
        <v>成本 - 仲介費</v>
      </c>
      <c r="D1132" s="270">
        <f>IFERROR(__xludf.DUMMYFUNCTION("""COMPUTED_VALUE"""),-1289.0)</f>
        <v>-1289</v>
      </c>
      <c r="E1132" t="str">
        <f>IFERROR(__xludf.DUMMYFUNCTION("""COMPUTED_VALUE"""),"Elsa帳戶")</f>
        <v>Elsa帳戶</v>
      </c>
      <c r="G1132" t="str">
        <f>IFERROR(__xludf.DUMMYFUNCTION("""COMPUTED_VALUE"""),"中山北Feli家")</f>
        <v>中山北Feli家</v>
      </c>
      <c r="H1132" s="106" t="str">
        <f t="shared" si="1"/>
        <v>2024-11</v>
      </c>
      <c r="I1132" s="271" t="str">
        <f>IFERROR(__xludf.DUMMYFUNCTION("""COMPUTED_VALUE"""),"貓狗企鵝")</f>
        <v>貓狗企鵝</v>
      </c>
      <c r="J1132" t="str">
        <f>IFERROR(__xludf.DUMMYFUNCTION("IFS(
  AND(REGEXMATCH(E1132, ""台銀籌備帳戶|玉山帳戶""), REGEXMATCH(C1132, ""薪資"")), ""分潤支出"",
  AND(REGEXMATCH(E1132, ""Ben帳戶|Elsa帳戶|Ben代墊|Ariel代墊|中信銀行共用""), REGEXMATCH(F1132, ""Ben帳戶|Elsa帳戶|Ben代墊|Ariel代墊|中信銀行共用"")), ""內部轉帳(忽略)"",
  AND(E1132&lt;&gt;"""", F1132&lt;&gt;"""", N"&amp;"OT(REGEXMATCH(C1132, ""薪資""))), ""內部轉帳(忽略)"",
  REGEXMATCH(C1132, ""薪資""), ""薪資變動(不計入)"",
  REGEXMATCH(C1132, ""押金""), ""押金往來"",
  AND(E1132&lt;&gt;"""", F1132=""""), ""真實支出"",
  AND(E1132="""", F1132&lt;&gt;""""), ""真實收入"",
  TRUE, ""其他""
)"),"真實支出")</f>
        <v>真實支出</v>
      </c>
      <c r="K1132" s="270">
        <f t="shared" si="2"/>
        <v>-1289</v>
      </c>
      <c r="L1132">
        <f t="shared" si="3"/>
        <v>0</v>
      </c>
    </row>
    <row r="1133">
      <c r="A1133" s="107">
        <f>IFERROR(__xludf.DUMMYFUNCTION("""COMPUTED_VALUE"""),45621.0)</f>
        <v>45621</v>
      </c>
      <c r="B1133" t="str">
        <f>IFERROR(__xludf.DUMMYFUNCTION("""COMPUTED_VALUE"""),"龍江E退水電瓦斯")</f>
        <v>龍江E退水電瓦斯</v>
      </c>
      <c r="C1133" t="str">
        <f>IFERROR(__xludf.DUMMYFUNCTION("""COMPUTED_VALUE"""),"收入 - 押金")</f>
        <v>收入 - 押金</v>
      </c>
      <c r="D1133" s="270">
        <f>IFERROR(__xludf.DUMMYFUNCTION("""COMPUTED_VALUE"""),-601.0)</f>
        <v>-601</v>
      </c>
      <c r="E1133" t="str">
        <f>IFERROR(__xludf.DUMMYFUNCTION("""COMPUTED_VALUE"""),"Ben帳戶")</f>
        <v>Ben帳戶</v>
      </c>
      <c r="G1133" t="str">
        <f>IFERROR(__xludf.DUMMYFUNCTION("""COMPUTED_VALUE"""),"龍江229")</f>
        <v>龍江229</v>
      </c>
      <c r="H1133" s="106" t="str">
        <f t="shared" si="1"/>
        <v>2024-11</v>
      </c>
      <c r="I1133" s="271" t="str">
        <f>IFERROR(__xludf.DUMMYFUNCTION("""COMPUTED_VALUE"""),"貓狗企鵝")</f>
        <v>貓狗企鵝</v>
      </c>
      <c r="J1133" t="str">
        <f>IFERROR(__xludf.DUMMYFUNCTION("IFS(
  AND(REGEXMATCH(E1133, ""台銀籌備帳戶|玉山帳戶""), REGEXMATCH(C1133, ""薪資"")), ""分潤支出"",
  AND(REGEXMATCH(E1133, ""Ben帳戶|Elsa帳戶|Ben代墊|Ariel代墊|中信銀行共用""), REGEXMATCH(F1133, ""Ben帳戶|Elsa帳戶|Ben代墊|Ariel代墊|中信銀行共用"")), ""內部轉帳(忽略)"",
  AND(E1133&lt;&gt;"""", F1133&lt;&gt;"""", N"&amp;"OT(REGEXMATCH(C1133, ""薪資""))), ""內部轉帳(忽略)"",
  REGEXMATCH(C1133, ""薪資""), ""薪資變動(不計入)"",
  REGEXMATCH(C1133, ""押金""), ""押金往來"",
  AND(E1133&lt;&gt;"""", F1133=""""), ""真實支出"",
  AND(E1133="""", F1133&lt;&gt;""""), ""真實收入"",
  TRUE, ""其他""
)"),"押金往來")</f>
        <v>押金往來</v>
      </c>
      <c r="K1133">
        <f t="shared" si="2"/>
        <v>0</v>
      </c>
      <c r="L1133">
        <f t="shared" si="3"/>
        <v>0</v>
      </c>
    </row>
    <row r="1134">
      <c r="A1134" s="107">
        <f>IFERROR(__xludf.DUMMYFUNCTION("""COMPUTED_VALUE"""),45621.0)</f>
        <v>45621</v>
      </c>
      <c r="B1134" t="str">
        <f>IFERROR(__xludf.DUMMYFUNCTION("""COMPUTED_VALUE"""),"大湖山莊F吳智方")</f>
        <v>大湖山莊F吳智方</v>
      </c>
      <c r="C1134" t="str">
        <f>IFERROR(__xludf.DUMMYFUNCTION("""COMPUTED_VALUE"""),"收入 - 租金")</f>
        <v>收入 - 租金</v>
      </c>
      <c r="D1134" s="270">
        <f>IFERROR(__xludf.DUMMYFUNCTION("""COMPUTED_VALUE"""),9000.0)</f>
        <v>9000</v>
      </c>
      <c r="F1134" t="str">
        <f>IFERROR(__xludf.DUMMYFUNCTION("""COMPUTED_VALUE"""),"台銀籌備帳戶")</f>
        <v>台銀籌備帳戶</v>
      </c>
      <c r="G1134" t="str">
        <f>IFERROR(__xludf.DUMMYFUNCTION("""COMPUTED_VALUE"""),"大湖山莊")</f>
        <v>大湖山莊</v>
      </c>
      <c r="H1134" s="106" t="str">
        <f t="shared" si="1"/>
        <v>2024-11</v>
      </c>
      <c r="I1134" s="271" t="str">
        <f>IFERROR(__xludf.DUMMYFUNCTION("""COMPUTED_VALUE"""),"貓狗企鵝")</f>
        <v>貓狗企鵝</v>
      </c>
      <c r="J1134" t="str">
        <f>IFERROR(__xludf.DUMMYFUNCTION("IFS(
  AND(REGEXMATCH(E1134, ""台銀籌備帳戶|玉山帳戶""), REGEXMATCH(C1134, ""薪資"")), ""分潤支出"",
  AND(REGEXMATCH(E1134, ""Ben帳戶|Elsa帳戶|Ben代墊|Ariel代墊|中信銀行共用""), REGEXMATCH(F1134, ""Ben帳戶|Elsa帳戶|Ben代墊|Ariel代墊|中信銀行共用"")), ""內部轉帳(忽略)"",
  AND(E1134&lt;&gt;"""", F1134&lt;&gt;"""", N"&amp;"OT(REGEXMATCH(C1134, ""薪資""))), ""內部轉帳(忽略)"",
  REGEXMATCH(C1134, ""薪資""), ""薪資變動(不計入)"",
  REGEXMATCH(C1134, ""押金""), ""押金往來"",
  AND(E1134&lt;&gt;"""", F1134=""""), ""真實支出"",
  AND(E1134="""", F1134&lt;&gt;""""), ""真實收入"",
  TRUE, ""其他""
)"),"真實收入")</f>
        <v>真實收入</v>
      </c>
      <c r="K1134" s="270">
        <f t="shared" si="2"/>
        <v>9000</v>
      </c>
      <c r="L1134">
        <f t="shared" si="3"/>
        <v>0</v>
      </c>
    </row>
    <row r="1135">
      <c r="A1135" s="107">
        <f>IFERROR(__xludf.DUMMYFUNCTION("""COMPUTED_VALUE"""),45621.0)</f>
        <v>45621</v>
      </c>
      <c r="B1135" t="str">
        <f>IFERROR(__xludf.DUMMYFUNCTION("""COMPUTED_VALUE"""),"大湖山莊F吳智方")</f>
        <v>大湖山莊F吳智方</v>
      </c>
      <c r="C1135" t="str">
        <f>IFERROR(__xludf.DUMMYFUNCTION("""COMPUTED_VALUE"""),"收入 - 租金")</f>
        <v>收入 - 租金</v>
      </c>
      <c r="D1135" s="270">
        <f>IFERROR(__xludf.DUMMYFUNCTION("""COMPUTED_VALUE"""),9000.0)</f>
        <v>9000</v>
      </c>
      <c r="F1135" t="str">
        <f>IFERROR(__xludf.DUMMYFUNCTION("""COMPUTED_VALUE"""),"台銀籌備帳戶")</f>
        <v>台銀籌備帳戶</v>
      </c>
      <c r="G1135" t="str">
        <f>IFERROR(__xludf.DUMMYFUNCTION("""COMPUTED_VALUE"""),"大湖山莊")</f>
        <v>大湖山莊</v>
      </c>
      <c r="H1135" s="106" t="str">
        <f t="shared" si="1"/>
        <v>2024-11</v>
      </c>
      <c r="I1135" s="271" t="str">
        <f>IFERROR(__xludf.DUMMYFUNCTION("""COMPUTED_VALUE"""),"貓狗企鵝")</f>
        <v>貓狗企鵝</v>
      </c>
      <c r="J1135" t="str">
        <f>IFERROR(__xludf.DUMMYFUNCTION("IFS(
  AND(REGEXMATCH(E1135, ""台銀籌備帳戶|玉山帳戶""), REGEXMATCH(C1135, ""薪資"")), ""分潤支出"",
  AND(REGEXMATCH(E1135, ""Ben帳戶|Elsa帳戶|Ben代墊|Ariel代墊|中信銀行共用""), REGEXMATCH(F1135, ""Ben帳戶|Elsa帳戶|Ben代墊|Ariel代墊|中信銀行共用"")), ""內部轉帳(忽略)"",
  AND(E1135&lt;&gt;"""", F1135&lt;&gt;"""", N"&amp;"OT(REGEXMATCH(C1135, ""薪資""))), ""內部轉帳(忽略)"",
  REGEXMATCH(C1135, ""薪資""), ""薪資變動(不計入)"",
  REGEXMATCH(C1135, ""押金""), ""押金往來"",
  AND(E1135&lt;&gt;"""", F1135=""""), ""真實支出"",
  AND(E1135="""", F1135&lt;&gt;""""), ""真實收入"",
  TRUE, ""其他""
)"),"真實收入")</f>
        <v>真實收入</v>
      </c>
      <c r="K1135" s="270">
        <f t="shared" si="2"/>
        <v>9000</v>
      </c>
      <c r="L1135">
        <f t="shared" si="3"/>
        <v>0</v>
      </c>
    </row>
    <row r="1136">
      <c r="A1136" s="107">
        <f>IFERROR(__xludf.DUMMYFUNCTION("""COMPUTED_VALUE"""),45622.0)</f>
        <v>45622</v>
      </c>
      <c r="B1136" t="str">
        <f>IFERROR(__xludf.DUMMYFUNCTION("""COMPUTED_VALUE"""),"五金螺絲")</f>
        <v>五金螺絲</v>
      </c>
      <c r="C1136" t="str">
        <f>IFERROR(__xludf.DUMMYFUNCTION("""COMPUTED_VALUE"""),"費用 - 辦公用品")</f>
        <v>費用 - 辦公用品</v>
      </c>
      <c r="D1136" s="270">
        <f>IFERROR(__xludf.DUMMYFUNCTION("""COMPUTED_VALUE"""),-510.0)</f>
        <v>-510</v>
      </c>
      <c r="E1136" t="str">
        <f>IFERROR(__xludf.DUMMYFUNCTION("""COMPUTED_VALUE"""),"Ben帳戶")</f>
        <v>Ben帳戶</v>
      </c>
      <c r="H1136" s="106" t="str">
        <f t="shared" si="1"/>
        <v>2024-11</v>
      </c>
      <c r="I1136" s="271" t="str">
        <f>IFERROR(__xludf.DUMMYFUNCTION("""COMPUTED_VALUE"""),"貓狗企鵝")</f>
        <v>貓狗企鵝</v>
      </c>
      <c r="J1136" t="str">
        <f>IFERROR(__xludf.DUMMYFUNCTION("IFS(
  AND(REGEXMATCH(E1136, ""台銀籌備帳戶|玉山帳戶""), REGEXMATCH(C1136, ""薪資"")), ""分潤支出"",
  AND(REGEXMATCH(E1136, ""Ben帳戶|Elsa帳戶|Ben代墊|Ariel代墊|中信銀行共用""), REGEXMATCH(F1136, ""Ben帳戶|Elsa帳戶|Ben代墊|Ariel代墊|中信銀行共用"")), ""內部轉帳(忽略)"",
  AND(E1136&lt;&gt;"""", F1136&lt;&gt;"""", N"&amp;"OT(REGEXMATCH(C1136, ""薪資""))), ""內部轉帳(忽略)"",
  REGEXMATCH(C1136, ""薪資""), ""薪資變動(不計入)"",
  REGEXMATCH(C1136, ""押金""), ""押金往來"",
  AND(E1136&lt;&gt;"""", F1136=""""), ""真實支出"",
  AND(E1136="""", F1136&lt;&gt;""""), ""真實收入"",
  TRUE, ""其他""
)"),"真實支出")</f>
        <v>真實支出</v>
      </c>
      <c r="K1136" s="270">
        <f t="shared" si="2"/>
        <v>-510</v>
      </c>
      <c r="L1136">
        <f t="shared" si="3"/>
        <v>0</v>
      </c>
    </row>
    <row r="1137">
      <c r="A1137" s="107">
        <f>IFERROR(__xludf.DUMMYFUNCTION("""COMPUTED_VALUE"""),45622.0)</f>
        <v>45622</v>
      </c>
      <c r="B1137" t="str">
        <f>IFERROR(__xludf.DUMMYFUNCTION("""COMPUTED_VALUE"""),"北市國稅94053182")</f>
        <v>北市國稅94053182</v>
      </c>
      <c r="C1137" t="str">
        <f>IFERROR(__xludf.DUMMYFUNCTION("""COMPUTED_VALUE"""),"收入 - 政府補助/退稅")</f>
        <v>收入 - 政府補助/退稅</v>
      </c>
      <c r="D1137" s="270">
        <f>IFERROR(__xludf.DUMMYFUNCTION("""COMPUTED_VALUE"""),1200.0)</f>
        <v>1200</v>
      </c>
      <c r="F1137" t="str">
        <f>IFERROR(__xludf.DUMMYFUNCTION("""COMPUTED_VALUE"""),"台銀籌備帳戶")</f>
        <v>台銀籌備帳戶</v>
      </c>
      <c r="G1137" t="str">
        <f>IFERROR(__xludf.DUMMYFUNCTION("""COMPUTED_VALUE"""),"中山北娘家旁")</f>
        <v>中山北娘家旁</v>
      </c>
      <c r="H1137" s="106" t="str">
        <f t="shared" si="1"/>
        <v>2024-11</v>
      </c>
      <c r="I1137" s="271" t="str">
        <f>IFERROR(__xludf.DUMMYFUNCTION("""COMPUTED_VALUE"""),"貓狗企鵝")</f>
        <v>貓狗企鵝</v>
      </c>
      <c r="J1137" t="str">
        <f>IFERROR(__xludf.DUMMYFUNCTION("IFS(
  AND(REGEXMATCH(E1137, ""台銀籌備帳戶|玉山帳戶""), REGEXMATCH(C1137, ""薪資"")), ""分潤支出"",
  AND(REGEXMATCH(E1137, ""Ben帳戶|Elsa帳戶|Ben代墊|Ariel代墊|中信銀行共用""), REGEXMATCH(F1137, ""Ben帳戶|Elsa帳戶|Ben代墊|Ariel代墊|中信銀行共用"")), ""內部轉帳(忽略)"",
  AND(E1137&lt;&gt;"""", F1137&lt;&gt;"""", N"&amp;"OT(REGEXMATCH(C1137, ""薪資""))), ""內部轉帳(忽略)"",
  REGEXMATCH(C1137, ""薪資""), ""薪資變動(不計入)"",
  REGEXMATCH(C1137, ""押金""), ""押金往來"",
  AND(E1137&lt;&gt;"""", F1137=""""), ""真實支出"",
  AND(E1137="""", F1137&lt;&gt;""""), ""真實收入"",
  TRUE, ""其他""
)"),"真實收入")</f>
        <v>真實收入</v>
      </c>
      <c r="K1137" s="270">
        <f t="shared" si="2"/>
        <v>1200</v>
      </c>
      <c r="L1137">
        <f t="shared" si="3"/>
        <v>0</v>
      </c>
    </row>
    <row r="1138">
      <c r="A1138" s="107">
        <f>IFERROR(__xludf.DUMMYFUNCTION("""COMPUTED_VALUE"""),45623.0)</f>
        <v>45623</v>
      </c>
      <c r="B1138" t="str">
        <f>IFERROR(__xludf.DUMMYFUNCTION("""COMPUTED_VALUE"""),"蝦皮網路版*4")</f>
        <v>蝦皮網路版*4</v>
      </c>
      <c r="C1138" t="str">
        <f>IFERROR(__xludf.DUMMYFUNCTION("""COMPUTED_VALUE"""),"成本 - 進場前裝潢費")</f>
        <v>成本 - 進場前裝潢費</v>
      </c>
      <c r="D1138" s="270">
        <f>IFERROR(__xludf.DUMMYFUNCTION("""COMPUTED_VALUE"""),-544.0)</f>
        <v>-544</v>
      </c>
      <c r="E1138" t="str">
        <f>IFERROR(__xludf.DUMMYFUNCTION("""COMPUTED_VALUE"""),"Elsa帳戶")</f>
        <v>Elsa帳戶</v>
      </c>
      <c r="G1138" t="str">
        <f>IFERROR(__xludf.DUMMYFUNCTION("""COMPUTED_VALUE"""),"中山北Feli家")</f>
        <v>中山北Feli家</v>
      </c>
      <c r="H1138" s="106" t="str">
        <f t="shared" si="1"/>
        <v>2024-11</v>
      </c>
      <c r="I1138" s="271" t="str">
        <f>IFERROR(__xludf.DUMMYFUNCTION("""COMPUTED_VALUE"""),"貓狗企鵝")</f>
        <v>貓狗企鵝</v>
      </c>
      <c r="J1138" t="str">
        <f>IFERROR(__xludf.DUMMYFUNCTION("IFS(
  AND(REGEXMATCH(E1138, ""台銀籌備帳戶|玉山帳戶""), REGEXMATCH(C1138, ""薪資"")), ""分潤支出"",
  AND(REGEXMATCH(E1138, ""Ben帳戶|Elsa帳戶|Ben代墊|Ariel代墊|中信銀行共用""), REGEXMATCH(F1138, ""Ben帳戶|Elsa帳戶|Ben代墊|Ariel代墊|中信銀行共用"")), ""內部轉帳(忽略)"",
  AND(E1138&lt;&gt;"""", F1138&lt;&gt;"""", N"&amp;"OT(REGEXMATCH(C1138, ""薪資""))), ""內部轉帳(忽略)"",
  REGEXMATCH(C1138, ""薪資""), ""薪資變動(不計入)"",
  REGEXMATCH(C1138, ""押金""), ""押金往來"",
  AND(E1138&lt;&gt;"""", F1138=""""), ""真實支出"",
  AND(E1138="""", F1138&lt;&gt;""""), ""真實收入"",
  TRUE, ""其他""
)"),"真實支出")</f>
        <v>真實支出</v>
      </c>
      <c r="K1138" s="270">
        <f t="shared" si="2"/>
        <v>-544</v>
      </c>
      <c r="L1138">
        <f t="shared" si="3"/>
        <v>0</v>
      </c>
    </row>
    <row r="1139">
      <c r="A1139" s="107">
        <f>IFERROR(__xludf.DUMMYFUNCTION("""COMPUTED_VALUE"""),45623.0)</f>
        <v>45623</v>
      </c>
      <c r="B1139" t="str">
        <f>IFERROR(__xludf.DUMMYFUNCTION("""COMPUTED_VALUE"""),"Feli黃黃")</f>
        <v>Feli黃黃</v>
      </c>
      <c r="C1139" t="str">
        <f>IFERROR(__xludf.DUMMYFUNCTION("""COMPUTED_VALUE"""),"成本 - 出勤費")</f>
        <v>成本 - 出勤費</v>
      </c>
      <c r="D1139" s="270">
        <f>IFERROR(__xludf.DUMMYFUNCTION("""COMPUTED_VALUE"""),-250.0)</f>
        <v>-250</v>
      </c>
      <c r="E1139" t="str">
        <f>IFERROR(__xludf.DUMMYFUNCTION("""COMPUTED_VALUE"""),"Elsa帳戶")</f>
        <v>Elsa帳戶</v>
      </c>
      <c r="G1139" t="str">
        <f>IFERROR(__xludf.DUMMYFUNCTION("""COMPUTED_VALUE"""),"中山北Feli家")</f>
        <v>中山北Feli家</v>
      </c>
      <c r="H1139" s="106" t="str">
        <f t="shared" si="1"/>
        <v>2024-11</v>
      </c>
      <c r="I1139" s="271" t="str">
        <f>IFERROR(__xludf.DUMMYFUNCTION("""COMPUTED_VALUE"""),"貓狗企鵝")</f>
        <v>貓狗企鵝</v>
      </c>
      <c r="J1139" t="str">
        <f>IFERROR(__xludf.DUMMYFUNCTION("IFS(
  AND(REGEXMATCH(E1139, ""台銀籌備帳戶|玉山帳戶""), REGEXMATCH(C1139, ""薪資"")), ""分潤支出"",
  AND(REGEXMATCH(E1139, ""Ben帳戶|Elsa帳戶|Ben代墊|Ariel代墊|中信銀行共用""), REGEXMATCH(F1139, ""Ben帳戶|Elsa帳戶|Ben代墊|Ariel代墊|中信銀行共用"")), ""內部轉帳(忽略)"",
  AND(E1139&lt;&gt;"""", F1139&lt;&gt;"""", N"&amp;"OT(REGEXMATCH(C1139, ""薪資""))), ""內部轉帳(忽略)"",
  REGEXMATCH(C1139, ""薪資""), ""薪資變動(不計入)"",
  REGEXMATCH(C1139, ""押金""), ""押金往來"",
  AND(E1139&lt;&gt;"""", F1139=""""), ""真實支出"",
  AND(E1139="""", F1139&lt;&gt;""""), ""真實收入"",
  TRUE, ""其他""
)"),"真實支出")</f>
        <v>真實支出</v>
      </c>
      <c r="K1139" s="270">
        <f t="shared" si="2"/>
        <v>-250</v>
      </c>
      <c r="L1139">
        <f t="shared" si="3"/>
        <v>0</v>
      </c>
    </row>
    <row r="1140">
      <c r="A1140" s="107">
        <f>IFERROR(__xludf.DUMMYFUNCTION("""COMPUTED_VALUE"""),45623.0)</f>
        <v>45623</v>
      </c>
      <c r="B1140" t="str">
        <f>IFERROR(__xludf.DUMMYFUNCTION("""COMPUTED_VALUE"""),"中山北娘家旁D許庭偉")</f>
        <v>中山北娘家旁D許庭偉</v>
      </c>
      <c r="C1140" t="str">
        <f>IFERROR(__xludf.DUMMYFUNCTION("""COMPUTED_VALUE"""),"收入 - 租金")</f>
        <v>收入 - 租金</v>
      </c>
      <c r="D1140" s="270">
        <f>IFERROR(__xludf.DUMMYFUNCTION("""COMPUTED_VALUE"""),3000.0)</f>
        <v>3000</v>
      </c>
      <c r="F1140" t="str">
        <f>IFERROR(__xludf.DUMMYFUNCTION("""COMPUTED_VALUE"""),"台銀籌備帳戶")</f>
        <v>台銀籌備帳戶</v>
      </c>
      <c r="G1140" t="str">
        <f>IFERROR(__xludf.DUMMYFUNCTION("""COMPUTED_VALUE"""),"中山北娘家旁")</f>
        <v>中山北娘家旁</v>
      </c>
      <c r="H1140" s="106" t="str">
        <f t="shared" si="1"/>
        <v>2024-11</v>
      </c>
      <c r="I1140" s="271" t="str">
        <f>IFERROR(__xludf.DUMMYFUNCTION("""COMPUTED_VALUE"""),"貓狗企鵝")</f>
        <v>貓狗企鵝</v>
      </c>
      <c r="J1140" t="str">
        <f>IFERROR(__xludf.DUMMYFUNCTION("IFS(
  AND(REGEXMATCH(E1140, ""台銀籌備帳戶|玉山帳戶""), REGEXMATCH(C1140, ""薪資"")), ""分潤支出"",
  AND(REGEXMATCH(E1140, ""Ben帳戶|Elsa帳戶|Ben代墊|Ariel代墊|中信銀行共用""), REGEXMATCH(F1140, ""Ben帳戶|Elsa帳戶|Ben代墊|Ariel代墊|中信銀行共用"")), ""內部轉帳(忽略)"",
  AND(E1140&lt;&gt;"""", F1140&lt;&gt;"""", N"&amp;"OT(REGEXMATCH(C1140, ""薪資""))), ""內部轉帳(忽略)"",
  REGEXMATCH(C1140, ""薪資""), ""薪資變動(不計入)"",
  REGEXMATCH(C1140, ""押金""), ""押金往來"",
  AND(E1140&lt;&gt;"""", F1140=""""), ""真實支出"",
  AND(E1140="""", F1140&lt;&gt;""""), ""真實收入"",
  TRUE, ""其他""
)"),"真實收入")</f>
        <v>真實收入</v>
      </c>
      <c r="K1140" s="270">
        <f t="shared" si="2"/>
        <v>3000</v>
      </c>
      <c r="L1140">
        <f t="shared" si="3"/>
        <v>0</v>
      </c>
    </row>
    <row r="1141">
      <c r="A1141" s="107">
        <f>IFERROR(__xludf.DUMMYFUNCTION("""COMPUTED_VALUE"""),45623.0)</f>
        <v>45623</v>
      </c>
      <c r="B1141" t="str">
        <f>IFERROR(__xludf.DUMMYFUNCTION("""COMPUTED_VALUE"""),"中山北娘家旁D許庭偉")</f>
        <v>中山北娘家旁D許庭偉</v>
      </c>
      <c r="C1141" t="str">
        <f>IFERROR(__xludf.DUMMYFUNCTION("""COMPUTED_VALUE"""),"收入 - 租金")</f>
        <v>收入 - 租金</v>
      </c>
      <c r="D1141" s="270">
        <f>IFERROR(__xludf.DUMMYFUNCTION("""COMPUTED_VALUE"""),3000.0)</f>
        <v>3000</v>
      </c>
      <c r="F1141" t="str">
        <f>IFERROR(__xludf.DUMMYFUNCTION("""COMPUTED_VALUE"""),"台銀籌備帳戶")</f>
        <v>台銀籌備帳戶</v>
      </c>
      <c r="G1141" t="str">
        <f>IFERROR(__xludf.DUMMYFUNCTION("""COMPUTED_VALUE"""),"中山北娘家旁")</f>
        <v>中山北娘家旁</v>
      </c>
      <c r="H1141" s="106" t="str">
        <f t="shared" si="1"/>
        <v>2024-11</v>
      </c>
      <c r="I1141" s="271" t="str">
        <f>IFERROR(__xludf.DUMMYFUNCTION("""COMPUTED_VALUE"""),"貓狗企鵝")</f>
        <v>貓狗企鵝</v>
      </c>
      <c r="J1141" t="str">
        <f>IFERROR(__xludf.DUMMYFUNCTION("IFS(
  AND(REGEXMATCH(E1141, ""台銀籌備帳戶|玉山帳戶""), REGEXMATCH(C1141, ""薪資"")), ""分潤支出"",
  AND(REGEXMATCH(E1141, ""Ben帳戶|Elsa帳戶|Ben代墊|Ariel代墊|中信銀行共用""), REGEXMATCH(F1141, ""Ben帳戶|Elsa帳戶|Ben代墊|Ariel代墊|中信銀行共用"")), ""內部轉帳(忽略)"",
  AND(E1141&lt;&gt;"""", F1141&lt;&gt;"""", N"&amp;"OT(REGEXMATCH(C1141, ""薪資""))), ""內部轉帳(忽略)"",
  REGEXMATCH(C1141, ""薪資""), ""薪資變動(不計入)"",
  REGEXMATCH(C1141, ""押金""), ""押金往來"",
  AND(E1141&lt;&gt;"""", F1141=""""), ""真實支出"",
  AND(E1141="""", F1141&lt;&gt;""""), ""真實收入"",
  TRUE, ""其他""
)"),"真實收入")</f>
        <v>真實收入</v>
      </c>
      <c r="K1141" s="270">
        <f t="shared" si="2"/>
        <v>3000</v>
      </c>
      <c r="L1141">
        <f t="shared" si="3"/>
        <v>0</v>
      </c>
    </row>
    <row r="1142">
      <c r="A1142" s="107">
        <f>IFERROR(__xludf.DUMMYFUNCTION("""COMPUTED_VALUE"""),45623.0)</f>
        <v>45623</v>
      </c>
      <c r="B1142" t="str">
        <f>IFERROR(__xludf.DUMMYFUNCTION("""COMPUTED_VALUE"""),"中山北娘家旁D許庭偉")</f>
        <v>中山北娘家旁D許庭偉</v>
      </c>
      <c r="C1142" t="str">
        <f>IFERROR(__xludf.DUMMYFUNCTION("""COMPUTED_VALUE"""),"收入 - 租金")</f>
        <v>收入 - 租金</v>
      </c>
      <c r="D1142" s="270">
        <f>IFERROR(__xludf.DUMMYFUNCTION("""COMPUTED_VALUE"""),5000.0)</f>
        <v>5000</v>
      </c>
      <c r="F1142" t="str">
        <f>IFERROR(__xludf.DUMMYFUNCTION("""COMPUTED_VALUE"""),"台銀籌備帳戶")</f>
        <v>台銀籌備帳戶</v>
      </c>
      <c r="G1142" t="str">
        <f>IFERROR(__xludf.DUMMYFUNCTION("""COMPUTED_VALUE"""),"中山北娘家旁")</f>
        <v>中山北娘家旁</v>
      </c>
      <c r="H1142" s="106" t="str">
        <f t="shared" si="1"/>
        <v>2024-11</v>
      </c>
      <c r="I1142" s="271" t="str">
        <f>IFERROR(__xludf.DUMMYFUNCTION("""COMPUTED_VALUE"""),"貓狗企鵝")</f>
        <v>貓狗企鵝</v>
      </c>
      <c r="J1142" t="str">
        <f>IFERROR(__xludf.DUMMYFUNCTION("IFS(
  AND(REGEXMATCH(E1142, ""台銀籌備帳戶|玉山帳戶""), REGEXMATCH(C1142, ""薪資"")), ""分潤支出"",
  AND(REGEXMATCH(E1142, ""Ben帳戶|Elsa帳戶|Ben代墊|Ariel代墊|中信銀行共用""), REGEXMATCH(F1142, ""Ben帳戶|Elsa帳戶|Ben代墊|Ariel代墊|中信銀行共用"")), ""內部轉帳(忽略)"",
  AND(E1142&lt;&gt;"""", F1142&lt;&gt;"""", N"&amp;"OT(REGEXMATCH(C1142, ""薪資""))), ""內部轉帳(忽略)"",
  REGEXMATCH(C1142, ""薪資""), ""薪資變動(不計入)"",
  REGEXMATCH(C1142, ""押金""), ""押金往來"",
  AND(E1142&lt;&gt;"""", F1142=""""), ""真實支出"",
  AND(E1142="""", F1142&lt;&gt;""""), ""真實收入"",
  TRUE, ""其他""
)"),"真實收入")</f>
        <v>真實收入</v>
      </c>
      <c r="K1142" s="270">
        <f t="shared" si="2"/>
        <v>5000</v>
      </c>
      <c r="L1142">
        <f t="shared" si="3"/>
        <v>0</v>
      </c>
    </row>
    <row r="1143">
      <c r="A1143" s="107">
        <f>IFERROR(__xludf.DUMMYFUNCTION("""COMPUTED_VALUE"""),45623.0)</f>
        <v>45623</v>
      </c>
      <c r="B1143" t="str">
        <f>IFERROR(__xludf.DUMMYFUNCTION("""COMPUTED_VALUE"""),"中山北娘家旁D許庭偉")</f>
        <v>中山北娘家旁D許庭偉</v>
      </c>
      <c r="C1143" t="str">
        <f>IFERROR(__xludf.DUMMYFUNCTION("""COMPUTED_VALUE"""),"收入 - 租金")</f>
        <v>收入 - 租金</v>
      </c>
      <c r="D1143" s="270">
        <f>IFERROR(__xludf.DUMMYFUNCTION("""COMPUTED_VALUE"""),3500.0)</f>
        <v>3500</v>
      </c>
      <c r="F1143" t="str">
        <f>IFERROR(__xludf.DUMMYFUNCTION("""COMPUTED_VALUE"""),"台銀籌備帳戶")</f>
        <v>台銀籌備帳戶</v>
      </c>
      <c r="G1143" t="str">
        <f>IFERROR(__xludf.DUMMYFUNCTION("""COMPUTED_VALUE"""),"中山北娘家旁")</f>
        <v>中山北娘家旁</v>
      </c>
      <c r="H1143" s="106" t="str">
        <f t="shared" si="1"/>
        <v>2024-11</v>
      </c>
      <c r="I1143" s="271" t="str">
        <f>IFERROR(__xludf.DUMMYFUNCTION("""COMPUTED_VALUE"""),"貓狗企鵝")</f>
        <v>貓狗企鵝</v>
      </c>
      <c r="J1143" t="str">
        <f>IFERROR(__xludf.DUMMYFUNCTION("IFS(
  AND(REGEXMATCH(E1143, ""台銀籌備帳戶|玉山帳戶""), REGEXMATCH(C1143, ""薪資"")), ""分潤支出"",
  AND(REGEXMATCH(E1143, ""Ben帳戶|Elsa帳戶|Ben代墊|Ariel代墊|中信銀行共用""), REGEXMATCH(F1143, ""Ben帳戶|Elsa帳戶|Ben代墊|Ariel代墊|中信銀行共用"")), ""內部轉帳(忽略)"",
  AND(E1143&lt;&gt;"""", F1143&lt;&gt;"""", N"&amp;"OT(REGEXMATCH(C1143, ""薪資""))), ""內部轉帳(忽略)"",
  REGEXMATCH(C1143, ""薪資""), ""薪資變動(不計入)"",
  REGEXMATCH(C1143, ""押金""), ""押金往來"",
  AND(E1143&lt;&gt;"""", F1143=""""), ""真實支出"",
  AND(E1143="""", F1143&lt;&gt;""""), ""真實收入"",
  TRUE, ""其他""
)"),"真實收入")</f>
        <v>真實收入</v>
      </c>
      <c r="K1143" s="270">
        <f t="shared" si="2"/>
        <v>3500</v>
      </c>
      <c r="L1143">
        <f t="shared" si="3"/>
        <v>0</v>
      </c>
    </row>
    <row r="1144">
      <c r="A1144" s="107">
        <f>IFERROR(__xludf.DUMMYFUNCTION("""COMPUTED_VALUE"""),45623.0)</f>
        <v>45623</v>
      </c>
      <c r="B1144" t="str">
        <f>IFERROR(__xludf.DUMMYFUNCTION("""COMPUTED_VALUE"""),"中山北Feli家E, F王翊樺")</f>
        <v>中山北Feli家E, F王翊樺</v>
      </c>
      <c r="C1144" t="str">
        <f>IFERROR(__xludf.DUMMYFUNCTION("""COMPUTED_VALUE"""),"收入 - 租金")</f>
        <v>收入 - 租金</v>
      </c>
      <c r="D1144" s="270">
        <f>IFERROR(__xludf.DUMMYFUNCTION("""COMPUTED_VALUE"""),20000.0)</f>
        <v>20000</v>
      </c>
      <c r="F1144" t="str">
        <f>IFERROR(__xludf.DUMMYFUNCTION("""COMPUTED_VALUE"""),"台銀籌備帳戶")</f>
        <v>台銀籌備帳戶</v>
      </c>
      <c r="G1144" t="str">
        <f>IFERROR(__xludf.DUMMYFUNCTION("""COMPUTED_VALUE"""),"中山北Feli家")</f>
        <v>中山北Feli家</v>
      </c>
      <c r="H1144" s="106" t="str">
        <f t="shared" si="1"/>
        <v>2024-11</v>
      </c>
      <c r="I1144" s="271" t="str">
        <f>IFERROR(__xludf.DUMMYFUNCTION("""COMPUTED_VALUE"""),"貓狗企鵝")</f>
        <v>貓狗企鵝</v>
      </c>
      <c r="J1144" t="str">
        <f>IFERROR(__xludf.DUMMYFUNCTION("IFS(
  AND(REGEXMATCH(E1144, ""台銀籌備帳戶|玉山帳戶""), REGEXMATCH(C1144, ""薪資"")), ""分潤支出"",
  AND(REGEXMATCH(E1144, ""Ben帳戶|Elsa帳戶|Ben代墊|Ariel代墊|中信銀行共用""), REGEXMATCH(F1144, ""Ben帳戶|Elsa帳戶|Ben代墊|Ariel代墊|中信銀行共用"")), ""內部轉帳(忽略)"",
  AND(E1144&lt;&gt;"""", F1144&lt;&gt;"""", N"&amp;"OT(REGEXMATCH(C1144, ""薪資""))), ""內部轉帳(忽略)"",
  REGEXMATCH(C1144, ""薪資""), ""薪資變動(不計入)"",
  REGEXMATCH(C1144, ""押金""), ""押金往來"",
  AND(E1144&lt;&gt;"""", F1144=""""), ""真實支出"",
  AND(E1144="""", F1144&lt;&gt;""""), ""真實收入"",
  TRUE, ""其他""
)"),"真實收入")</f>
        <v>真實收入</v>
      </c>
      <c r="K1144" s="270">
        <f t="shared" si="2"/>
        <v>20000</v>
      </c>
      <c r="L1144">
        <f t="shared" si="3"/>
        <v>0</v>
      </c>
    </row>
    <row r="1145">
      <c r="A1145" s="107">
        <f>IFERROR(__xludf.DUMMYFUNCTION("""COMPUTED_VALUE"""),45624.0)</f>
        <v>45624</v>
      </c>
      <c r="B1145" t="str">
        <f>IFERROR(__xludf.DUMMYFUNCTION("""COMPUTED_VALUE"""),"除濕機兩台")</f>
        <v>除濕機兩台</v>
      </c>
      <c r="C1145" t="str">
        <f>IFERROR(__xludf.DUMMYFUNCTION("""COMPUTED_VALUE"""),"成本 - 租後修繕")</f>
        <v>成本 - 租後修繕</v>
      </c>
      <c r="D1145" s="270">
        <f>IFERROR(__xludf.DUMMYFUNCTION("""COMPUTED_VALUE"""),-10422.0)</f>
        <v>-10422</v>
      </c>
      <c r="E1145" t="str">
        <f>IFERROR(__xludf.DUMMYFUNCTION("""COMPUTED_VALUE"""),"Elsa帳戶")</f>
        <v>Elsa帳戶</v>
      </c>
      <c r="G1145" t="str">
        <f>IFERROR(__xludf.DUMMYFUNCTION("""COMPUTED_VALUE"""),"景安2分鐘")</f>
        <v>景安2分鐘</v>
      </c>
      <c r="H1145" s="106" t="str">
        <f t="shared" si="1"/>
        <v>2024-11</v>
      </c>
      <c r="I1145" s="271" t="str">
        <f>IFERROR(__xludf.DUMMYFUNCTION("""COMPUTED_VALUE"""),"貓狗企鵝")</f>
        <v>貓狗企鵝</v>
      </c>
      <c r="J1145" t="str">
        <f>IFERROR(__xludf.DUMMYFUNCTION("IFS(
  AND(REGEXMATCH(E1145, ""台銀籌備帳戶|玉山帳戶""), REGEXMATCH(C1145, ""薪資"")), ""分潤支出"",
  AND(REGEXMATCH(E1145, ""Ben帳戶|Elsa帳戶|Ben代墊|Ariel代墊|中信銀行共用""), REGEXMATCH(F1145, ""Ben帳戶|Elsa帳戶|Ben代墊|Ariel代墊|中信銀行共用"")), ""內部轉帳(忽略)"",
  AND(E1145&lt;&gt;"""", F1145&lt;&gt;"""", N"&amp;"OT(REGEXMATCH(C1145, ""薪資""))), ""內部轉帳(忽略)"",
  REGEXMATCH(C1145, ""薪資""), ""薪資變動(不計入)"",
  REGEXMATCH(C1145, ""押金""), ""押金往來"",
  AND(E1145&lt;&gt;"""", F1145=""""), ""真實支出"",
  AND(E1145="""", F1145&lt;&gt;""""), ""真實收入"",
  TRUE, ""其他""
)"),"真實支出")</f>
        <v>真實支出</v>
      </c>
      <c r="K1145" s="270">
        <f t="shared" si="2"/>
        <v>-10422</v>
      </c>
      <c r="L1145">
        <f t="shared" si="3"/>
        <v>0</v>
      </c>
    </row>
    <row r="1146">
      <c r="A1146" s="107">
        <f>IFERROR(__xludf.DUMMYFUNCTION("""COMPUTED_VALUE"""),45624.0)</f>
        <v>45624</v>
      </c>
      <c r="B1146" t="str">
        <f>IFERROR(__xludf.DUMMYFUNCTION("""COMPUTED_VALUE"""),"金龍清潔1.5小時")</f>
        <v>金龍清潔1.5小時</v>
      </c>
      <c r="C1146" t="str">
        <f>IFERROR(__xludf.DUMMYFUNCTION("""COMPUTED_VALUE"""),"成本 - 租後修繕")</f>
        <v>成本 - 租後修繕</v>
      </c>
      <c r="D1146" s="270">
        <f>IFERROR(__xludf.DUMMYFUNCTION("""COMPUTED_VALUE"""),-525.0)</f>
        <v>-525</v>
      </c>
      <c r="E1146" t="str">
        <f>IFERROR(__xludf.DUMMYFUNCTION("""COMPUTED_VALUE"""),"Elsa帳戶")</f>
        <v>Elsa帳戶</v>
      </c>
      <c r="G1146" t="str">
        <f>IFERROR(__xludf.DUMMYFUNCTION("""COMPUTED_VALUE"""),"金龍帽子先生")</f>
        <v>金龍帽子先生</v>
      </c>
      <c r="H1146" s="106" t="str">
        <f t="shared" si="1"/>
        <v>2024-11</v>
      </c>
      <c r="I1146" s="271" t="str">
        <f>IFERROR(__xludf.DUMMYFUNCTION("""COMPUTED_VALUE"""),"貓狗企鵝")</f>
        <v>貓狗企鵝</v>
      </c>
      <c r="J1146" t="str">
        <f>IFERROR(__xludf.DUMMYFUNCTION("IFS(
  AND(REGEXMATCH(E1146, ""台銀籌備帳戶|玉山帳戶""), REGEXMATCH(C1146, ""薪資"")), ""分潤支出"",
  AND(REGEXMATCH(E1146, ""Ben帳戶|Elsa帳戶|Ben代墊|Ariel代墊|中信銀行共用""), REGEXMATCH(F1146, ""Ben帳戶|Elsa帳戶|Ben代墊|Ariel代墊|中信銀行共用"")), ""內部轉帳(忽略)"",
  AND(E1146&lt;&gt;"""", F1146&lt;&gt;"""", N"&amp;"OT(REGEXMATCH(C1146, ""薪資""))), ""內部轉帳(忽略)"",
  REGEXMATCH(C1146, ""薪資""), ""薪資變動(不計入)"",
  REGEXMATCH(C1146, ""押金""), ""押金往來"",
  AND(E1146&lt;&gt;"""", F1146=""""), ""真實支出"",
  AND(E1146="""", F1146&lt;&gt;""""), ""真實收入"",
  TRUE, ""其他""
)"),"真實支出")</f>
        <v>真實支出</v>
      </c>
      <c r="K1146" s="270">
        <f t="shared" si="2"/>
        <v>-525</v>
      </c>
      <c r="L1146">
        <f t="shared" si="3"/>
        <v>0</v>
      </c>
    </row>
    <row r="1147">
      <c r="A1147" s="107">
        <f>IFERROR(__xludf.DUMMYFUNCTION("""COMPUTED_VALUE"""),45625.0)</f>
        <v>45625</v>
      </c>
      <c r="B1147" t="str">
        <f>IFERROR(__xludf.DUMMYFUNCTION("""COMPUTED_VALUE"""),"金龍公區馬桶維修")</f>
        <v>金龍公區馬桶維修</v>
      </c>
      <c r="C1147" t="str">
        <f>IFERROR(__xludf.DUMMYFUNCTION("""COMPUTED_VALUE"""),"成本 - 租後修繕")</f>
        <v>成本 - 租後修繕</v>
      </c>
      <c r="D1147" s="270">
        <f>IFERROR(__xludf.DUMMYFUNCTION("""COMPUTED_VALUE"""),-1500.0)</f>
        <v>-1500</v>
      </c>
      <c r="E1147" t="str">
        <f>IFERROR(__xludf.DUMMYFUNCTION("""COMPUTED_VALUE"""),"Ben帳戶")</f>
        <v>Ben帳戶</v>
      </c>
      <c r="G1147" t="str">
        <f>IFERROR(__xludf.DUMMYFUNCTION("""COMPUTED_VALUE"""),"中山北Feli家")</f>
        <v>中山北Feli家</v>
      </c>
      <c r="H1147" s="106" t="str">
        <f t="shared" si="1"/>
        <v>2024-11</v>
      </c>
      <c r="I1147" s="271" t="str">
        <f>IFERROR(__xludf.DUMMYFUNCTION("""COMPUTED_VALUE"""),"貓狗企鵝")</f>
        <v>貓狗企鵝</v>
      </c>
      <c r="J1147" t="str">
        <f>IFERROR(__xludf.DUMMYFUNCTION("IFS(
  AND(REGEXMATCH(E1147, ""台銀籌備帳戶|玉山帳戶""), REGEXMATCH(C1147, ""薪資"")), ""分潤支出"",
  AND(REGEXMATCH(E1147, ""Ben帳戶|Elsa帳戶|Ben代墊|Ariel代墊|中信銀行共用""), REGEXMATCH(F1147, ""Ben帳戶|Elsa帳戶|Ben代墊|Ariel代墊|中信銀行共用"")), ""內部轉帳(忽略)"",
  AND(E1147&lt;&gt;"""", F1147&lt;&gt;"""", N"&amp;"OT(REGEXMATCH(C1147, ""薪資""))), ""內部轉帳(忽略)"",
  REGEXMATCH(C1147, ""薪資""), ""薪資變動(不計入)"",
  REGEXMATCH(C1147, ""押金""), ""押金往來"",
  AND(E1147&lt;&gt;"""", F1147=""""), ""真實支出"",
  AND(E1147="""", F1147&lt;&gt;""""), ""真實收入"",
  TRUE, ""其他""
)"),"真實支出")</f>
        <v>真實支出</v>
      </c>
      <c r="K1147" s="270">
        <f t="shared" si="2"/>
        <v>-1500</v>
      </c>
      <c r="L1147">
        <f t="shared" si="3"/>
        <v>0</v>
      </c>
    </row>
    <row r="1148">
      <c r="A1148" s="107">
        <f>IFERROR(__xludf.DUMMYFUNCTION("""COMPUTED_VALUE"""),45625.0)</f>
        <v>45625</v>
      </c>
      <c r="B1148" t="str">
        <f>IFERROR(__xludf.DUMMYFUNCTION("""COMPUTED_VALUE"""),"Feli 黃黃")</f>
        <v>Feli 黃黃</v>
      </c>
      <c r="C1148" t="str">
        <f>IFERROR(__xludf.DUMMYFUNCTION("""COMPUTED_VALUE"""),"費用 - 交通費")</f>
        <v>費用 - 交通費</v>
      </c>
      <c r="D1148" s="270">
        <f>IFERROR(__xludf.DUMMYFUNCTION("""COMPUTED_VALUE"""),-240.0)</f>
        <v>-240</v>
      </c>
      <c r="E1148" t="str">
        <f>IFERROR(__xludf.DUMMYFUNCTION("""COMPUTED_VALUE"""),"Elsa帳戶")</f>
        <v>Elsa帳戶</v>
      </c>
      <c r="G1148" t="str">
        <f>IFERROR(__xludf.DUMMYFUNCTION("""COMPUTED_VALUE"""),"中山北Feli家")</f>
        <v>中山北Feli家</v>
      </c>
      <c r="H1148" s="106" t="str">
        <f t="shared" si="1"/>
        <v>2024-11</v>
      </c>
      <c r="I1148" s="271" t="str">
        <f>IFERROR(__xludf.DUMMYFUNCTION("""COMPUTED_VALUE"""),"貓狗企鵝")</f>
        <v>貓狗企鵝</v>
      </c>
      <c r="J1148" t="str">
        <f>IFERROR(__xludf.DUMMYFUNCTION("IFS(
  AND(REGEXMATCH(E1148, ""台銀籌備帳戶|玉山帳戶""), REGEXMATCH(C1148, ""薪資"")), ""分潤支出"",
  AND(REGEXMATCH(E1148, ""Ben帳戶|Elsa帳戶|Ben代墊|Ariel代墊|中信銀行共用""), REGEXMATCH(F1148, ""Ben帳戶|Elsa帳戶|Ben代墊|Ariel代墊|中信銀行共用"")), ""內部轉帳(忽略)"",
  AND(E1148&lt;&gt;"""", F1148&lt;&gt;"""", N"&amp;"OT(REGEXMATCH(C1148, ""薪資""))), ""內部轉帳(忽略)"",
  REGEXMATCH(C1148, ""薪資""), ""薪資變動(不計入)"",
  REGEXMATCH(C1148, ""押金""), ""押金往來"",
  AND(E1148&lt;&gt;"""", F1148=""""), ""真實支出"",
  AND(E1148="""", F1148&lt;&gt;""""), ""真實收入"",
  TRUE, ""其他""
)"),"真實支出")</f>
        <v>真實支出</v>
      </c>
      <c r="K1148" s="270">
        <f t="shared" si="2"/>
        <v>-240</v>
      </c>
      <c r="L1148">
        <f t="shared" si="3"/>
        <v>0</v>
      </c>
    </row>
    <row r="1149">
      <c r="A1149" s="107">
        <f>IFERROR(__xludf.DUMMYFUNCTION("""COMPUTED_VALUE"""),45625.0)</f>
        <v>45625</v>
      </c>
      <c r="B1149" t="str">
        <f>IFERROR(__xludf.DUMMYFUNCTION("""COMPUTED_VALUE"""),"哈拉對面D柳翰洋")</f>
        <v>哈拉對面D柳翰洋</v>
      </c>
      <c r="C1149" t="str">
        <f>IFERROR(__xludf.DUMMYFUNCTION("""COMPUTED_VALUE"""),"收入 - 租金")</f>
        <v>收入 - 租金</v>
      </c>
      <c r="D1149" s="270">
        <f>IFERROR(__xludf.DUMMYFUNCTION("""COMPUTED_VALUE"""),12300.0)</f>
        <v>12300</v>
      </c>
      <c r="F1149" t="str">
        <f>IFERROR(__xludf.DUMMYFUNCTION("""COMPUTED_VALUE"""),"台銀籌備帳戶")</f>
        <v>台銀籌備帳戶</v>
      </c>
      <c r="G1149" t="str">
        <f>IFERROR(__xludf.DUMMYFUNCTION("""COMPUTED_VALUE"""),"哈拉對面")</f>
        <v>哈拉對面</v>
      </c>
      <c r="H1149" s="106" t="str">
        <f t="shared" si="1"/>
        <v>2024-11</v>
      </c>
      <c r="I1149" s="271" t="str">
        <f>IFERROR(__xludf.DUMMYFUNCTION("""COMPUTED_VALUE"""),"貓狗企鵝")</f>
        <v>貓狗企鵝</v>
      </c>
      <c r="J1149" t="str">
        <f>IFERROR(__xludf.DUMMYFUNCTION("IFS(
  AND(REGEXMATCH(E1149, ""台銀籌備帳戶|玉山帳戶""), REGEXMATCH(C1149, ""薪資"")), ""分潤支出"",
  AND(REGEXMATCH(E1149, ""Ben帳戶|Elsa帳戶|Ben代墊|Ariel代墊|中信銀行共用""), REGEXMATCH(F1149, ""Ben帳戶|Elsa帳戶|Ben代墊|Ariel代墊|中信銀行共用"")), ""內部轉帳(忽略)"",
  AND(E1149&lt;&gt;"""", F1149&lt;&gt;"""", N"&amp;"OT(REGEXMATCH(C1149, ""薪資""))), ""內部轉帳(忽略)"",
  REGEXMATCH(C1149, ""薪資""), ""薪資變動(不計入)"",
  REGEXMATCH(C1149, ""押金""), ""押金往來"",
  AND(E1149&lt;&gt;"""", F1149=""""), ""真實支出"",
  AND(E1149="""", F1149&lt;&gt;""""), ""真實收入"",
  TRUE, ""其他""
)"),"真實收入")</f>
        <v>真實收入</v>
      </c>
      <c r="K1149" s="270">
        <f t="shared" si="2"/>
        <v>12300</v>
      </c>
      <c r="L1149">
        <f t="shared" si="3"/>
        <v>0</v>
      </c>
    </row>
    <row r="1150">
      <c r="A1150" s="107">
        <f>IFERROR(__xludf.DUMMYFUNCTION("""COMPUTED_VALUE"""),45625.0)</f>
        <v>45625</v>
      </c>
      <c r="B1150" t="str">
        <f>IFERROR(__xludf.DUMMYFUNCTION("""COMPUTED_VALUE"""),"現金付款 猜是景安E")</f>
        <v>現金付款 猜是景安E</v>
      </c>
      <c r="C1150" t="str">
        <f>IFERROR(__xludf.DUMMYFUNCTION("""COMPUTED_VALUE"""),"收入 - 租金")</f>
        <v>收入 - 租金</v>
      </c>
      <c r="D1150" s="270">
        <f>IFERROR(__xludf.DUMMYFUNCTION("""COMPUTED_VALUE"""),9500.0)</f>
        <v>9500</v>
      </c>
      <c r="F1150" t="str">
        <f>IFERROR(__xludf.DUMMYFUNCTION("""COMPUTED_VALUE"""),"台銀籌備帳戶")</f>
        <v>台銀籌備帳戶</v>
      </c>
      <c r="G1150" t="str">
        <f>IFERROR(__xludf.DUMMYFUNCTION("""COMPUTED_VALUE"""),"景安2分鐘")</f>
        <v>景安2分鐘</v>
      </c>
      <c r="H1150" s="106" t="str">
        <f t="shared" si="1"/>
        <v>2024-11</v>
      </c>
      <c r="I1150" s="271" t="str">
        <f>IFERROR(__xludf.DUMMYFUNCTION("""COMPUTED_VALUE"""),"貓狗企鵝")</f>
        <v>貓狗企鵝</v>
      </c>
      <c r="J1150" t="str">
        <f>IFERROR(__xludf.DUMMYFUNCTION("IFS(
  AND(REGEXMATCH(E1150, ""台銀籌備帳戶|玉山帳戶""), REGEXMATCH(C1150, ""薪資"")), ""分潤支出"",
  AND(REGEXMATCH(E1150, ""Ben帳戶|Elsa帳戶|Ben代墊|Ariel代墊|中信銀行共用""), REGEXMATCH(F1150, ""Ben帳戶|Elsa帳戶|Ben代墊|Ariel代墊|中信銀行共用"")), ""內部轉帳(忽略)"",
  AND(E1150&lt;&gt;"""", F1150&lt;&gt;"""", N"&amp;"OT(REGEXMATCH(C1150, ""薪資""))), ""內部轉帳(忽略)"",
  REGEXMATCH(C1150, ""薪資""), ""薪資變動(不計入)"",
  REGEXMATCH(C1150, ""押金""), ""押金往來"",
  AND(E1150&lt;&gt;"""", F1150=""""), ""真實支出"",
  AND(E1150="""", F1150&lt;&gt;""""), ""真實收入"",
  TRUE, ""其他""
)"),"真實收入")</f>
        <v>真實收入</v>
      </c>
      <c r="K1150" s="270">
        <f t="shared" si="2"/>
        <v>9500</v>
      </c>
      <c r="L1150">
        <f t="shared" si="3"/>
        <v>0</v>
      </c>
    </row>
    <row r="1151">
      <c r="A1151" s="107">
        <f>IFERROR(__xludf.DUMMYFUNCTION("""COMPUTED_VALUE"""),45625.0)</f>
        <v>45625</v>
      </c>
      <c r="B1151" t="str">
        <f>IFERROR(__xludf.DUMMYFUNCTION("""COMPUTED_VALUE"""),"大湖山莊C姚伯謙")</f>
        <v>大湖山莊C姚伯謙</v>
      </c>
      <c r="C1151" t="str">
        <f>IFERROR(__xludf.DUMMYFUNCTION("""COMPUTED_VALUE"""),"收入 - 租金")</f>
        <v>收入 - 租金</v>
      </c>
      <c r="D1151" s="270">
        <f>IFERROR(__xludf.DUMMYFUNCTION("""COMPUTED_VALUE"""),18800.0)</f>
        <v>18800</v>
      </c>
      <c r="F1151" t="str">
        <f>IFERROR(__xludf.DUMMYFUNCTION("""COMPUTED_VALUE"""),"台銀籌備帳戶")</f>
        <v>台銀籌備帳戶</v>
      </c>
      <c r="G1151" t="str">
        <f>IFERROR(__xludf.DUMMYFUNCTION("""COMPUTED_VALUE"""),"大湖山莊")</f>
        <v>大湖山莊</v>
      </c>
      <c r="H1151" s="106" t="str">
        <f t="shared" si="1"/>
        <v>2024-11</v>
      </c>
      <c r="I1151" s="271" t="str">
        <f>IFERROR(__xludf.DUMMYFUNCTION("""COMPUTED_VALUE"""),"貓狗企鵝")</f>
        <v>貓狗企鵝</v>
      </c>
      <c r="J1151" t="str">
        <f>IFERROR(__xludf.DUMMYFUNCTION("IFS(
  AND(REGEXMATCH(E1151, ""台銀籌備帳戶|玉山帳戶""), REGEXMATCH(C1151, ""薪資"")), ""分潤支出"",
  AND(REGEXMATCH(E1151, ""Ben帳戶|Elsa帳戶|Ben代墊|Ariel代墊|中信銀行共用""), REGEXMATCH(F1151, ""Ben帳戶|Elsa帳戶|Ben代墊|Ariel代墊|中信銀行共用"")), ""內部轉帳(忽略)"",
  AND(E1151&lt;&gt;"""", F1151&lt;&gt;"""", N"&amp;"OT(REGEXMATCH(C1151, ""薪資""))), ""內部轉帳(忽略)"",
  REGEXMATCH(C1151, ""薪資""), ""薪資變動(不計入)"",
  REGEXMATCH(C1151, ""押金""), ""押金往來"",
  AND(E1151&lt;&gt;"""", F1151=""""), ""真實支出"",
  AND(E1151="""", F1151&lt;&gt;""""), ""真實收入"",
  TRUE, ""其他""
)"),"真實收入")</f>
        <v>真實收入</v>
      </c>
      <c r="K1151" s="270">
        <f t="shared" si="2"/>
        <v>18800</v>
      </c>
      <c r="L1151">
        <f t="shared" si="3"/>
        <v>0</v>
      </c>
    </row>
    <row r="1152">
      <c r="A1152" s="107">
        <f>IFERROR(__xludf.DUMMYFUNCTION("""COMPUTED_VALUE"""),45625.0)</f>
        <v>45625</v>
      </c>
      <c r="B1152" t="str">
        <f>IFERROR(__xludf.DUMMYFUNCTION("""COMPUTED_VALUE"""),"中山北Feli家E, F王翊樺 ２押一租")</f>
        <v>中山北Feli家E, F王翊樺 ２押一租</v>
      </c>
      <c r="C1152" t="str">
        <f>IFERROR(__xludf.DUMMYFUNCTION("""COMPUTED_VALUE"""),"收入 - 押金")</f>
        <v>收入 - 押金</v>
      </c>
      <c r="D1152" s="270">
        <f>IFERROR(__xludf.DUMMYFUNCTION("""COMPUTED_VALUE"""),62000.0)</f>
        <v>62000</v>
      </c>
      <c r="F1152" t="str">
        <f>IFERROR(__xludf.DUMMYFUNCTION("""COMPUTED_VALUE"""),"台銀籌備帳戶")</f>
        <v>台銀籌備帳戶</v>
      </c>
      <c r="G1152" t="str">
        <f>IFERROR(__xludf.DUMMYFUNCTION("""COMPUTED_VALUE"""),"中山北Feli家")</f>
        <v>中山北Feli家</v>
      </c>
      <c r="H1152" s="106" t="str">
        <f t="shared" si="1"/>
        <v>2024-11</v>
      </c>
      <c r="I1152" s="271" t="str">
        <f>IFERROR(__xludf.DUMMYFUNCTION("""COMPUTED_VALUE"""),"貓狗企鵝")</f>
        <v>貓狗企鵝</v>
      </c>
      <c r="J1152" t="str">
        <f>IFERROR(__xludf.DUMMYFUNCTION("IFS(
  AND(REGEXMATCH(E1152, ""台銀籌備帳戶|玉山帳戶""), REGEXMATCH(C1152, ""薪資"")), ""分潤支出"",
  AND(REGEXMATCH(E1152, ""Ben帳戶|Elsa帳戶|Ben代墊|Ariel代墊|中信銀行共用""), REGEXMATCH(F1152, ""Ben帳戶|Elsa帳戶|Ben代墊|Ariel代墊|中信銀行共用"")), ""內部轉帳(忽略)"",
  AND(E1152&lt;&gt;"""", F1152&lt;&gt;"""", N"&amp;"OT(REGEXMATCH(C1152, ""薪資""))), ""內部轉帳(忽略)"",
  REGEXMATCH(C1152, ""薪資""), ""薪資變動(不計入)"",
  REGEXMATCH(C1152, ""押金""), ""押金往來"",
  AND(E1152&lt;&gt;"""", F1152=""""), ""真實支出"",
  AND(E1152="""", F1152&lt;&gt;""""), ""真實收入"",
  TRUE, ""其他""
)"),"押金往來")</f>
        <v>押金往來</v>
      </c>
      <c r="K1152">
        <f t="shared" si="2"/>
        <v>0</v>
      </c>
      <c r="L1152">
        <f t="shared" si="3"/>
        <v>0</v>
      </c>
    </row>
    <row r="1153">
      <c r="A1153" s="107">
        <f>IFERROR(__xludf.DUMMYFUNCTION("""COMPUTED_VALUE"""),45625.0)</f>
        <v>45625</v>
      </c>
      <c r="B1153" t="str">
        <f>IFERROR(__xludf.DUMMYFUNCTION("""COMPUTED_VALUE"""),"中山北Feli家E, F王翊樺２押一租")</f>
        <v>中山北Feli家E, F王翊樺２押一租</v>
      </c>
      <c r="C1153" t="str">
        <f>IFERROR(__xludf.DUMMYFUNCTION("""COMPUTED_VALUE"""),"收入 - 租金")</f>
        <v>收入 - 租金</v>
      </c>
      <c r="D1153" s="270">
        <f>IFERROR(__xludf.DUMMYFUNCTION("""COMPUTED_VALUE"""),11000.0)</f>
        <v>11000</v>
      </c>
      <c r="F1153" t="str">
        <f>IFERROR(__xludf.DUMMYFUNCTION("""COMPUTED_VALUE"""),"台銀籌備帳戶")</f>
        <v>台銀籌備帳戶</v>
      </c>
      <c r="G1153" t="str">
        <f>IFERROR(__xludf.DUMMYFUNCTION("""COMPUTED_VALUE"""),"中山北Feli家")</f>
        <v>中山北Feli家</v>
      </c>
      <c r="H1153" s="106" t="str">
        <f t="shared" si="1"/>
        <v>2024-11</v>
      </c>
      <c r="I1153" s="271" t="str">
        <f>IFERROR(__xludf.DUMMYFUNCTION("""COMPUTED_VALUE"""),"貓狗企鵝")</f>
        <v>貓狗企鵝</v>
      </c>
      <c r="J1153" t="str">
        <f>IFERROR(__xludf.DUMMYFUNCTION("IFS(
  AND(REGEXMATCH(E1153, ""台銀籌備帳戶|玉山帳戶""), REGEXMATCH(C1153, ""薪資"")), ""分潤支出"",
  AND(REGEXMATCH(E1153, ""Ben帳戶|Elsa帳戶|Ben代墊|Ariel代墊|中信銀行共用""), REGEXMATCH(F1153, ""Ben帳戶|Elsa帳戶|Ben代墊|Ariel代墊|中信銀行共用"")), ""內部轉帳(忽略)"",
  AND(E1153&lt;&gt;"""", F1153&lt;&gt;"""", N"&amp;"OT(REGEXMATCH(C1153, ""薪資""))), ""內部轉帳(忽略)"",
  REGEXMATCH(C1153, ""薪資""), ""薪資變動(不計入)"",
  REGEXMATCH(C1153, ""押金""), ""押金往來"",
  AND(E1153&lt;&gt;"""", F1153=""""), ""真實支出"",
  AND(E1153="""", F1153&lt;&gt;""""), ""真實收入"",
  TRUE, ""其他""
)"),"真實收入")</f>
        <v>真實收入</v>
      </c>
      <c r="K1153" s="270">
        <f t="shared" si="2"/>
        <v>11000</v>
      </c>
      <c r="L1153">
        <f t="shared" si="3"/>
        <v>0</v>
      </c>
    </row>
    <row r="1154">
      <c r="A1154" s="107">
        <f>IFERROR(__xludf.DUMMYFUNCTION("""COMPUTED_VALUE"""),45625.0)</f>
        <v>45625</v>
      </c>
      <c r="B1154" t="str">
        <f>IFERROR(__xludf.DUMMYFUNCTION("""COMPUTED_VALUE"""),"南港站挑高宅B林鍇蓓")</f>
        <v>南港站挑高宅B林鍇蓓</v>
      </c>
      <c r="C1154" t="str">
        <f>IFERROR(__xludf.DUMMYFUNCTION("""COMPUTED_VALUE"""),"收入 - 租金")</f>
        <v>收入 - 租金</v>
      </c>
      <c r="D1154" s="270">
        <f>IFERROR(__xludf.DUMMYFUNCTION("""COMPUTED_VALUE"""),12300.0)</f>
        <v>12300</v>
      </c>
      <c r="F1154" t="str">
        <f>IFERROR(__xludf.DUMMYFUNCTION("""COMPUTED_VALUE"""),"台銀籌備帳戶")</f>
        <v>台銀籌備帳戶</v>
      </c>
      <c r="G1154" t="str">
        <f>IFERROR(__xludf.DUMMYFUNCTION("""COMPUTED_VALUE"""),"南港站挑高宅")</f>
        <v>南港站挑高宅</v>
      </c>
      <c r="H1154" s="106" t="str">
        <f t="shared" si="1"/>
        <v>2024-11</v>
      </c>
      <c r="I1154" s="271" t="str">
        <f>IFERROR(__xludf.DUMMYFUNCTION("""COMPUTED_VALUE"""),"貓狗企鵝")</f>
        <v>貓狗企鵝</v>
      </c>
      <c r="J1154" t="str">
        <f>IFERROR(__xludf.DUMMYFUNCTION("IFS(
  AND(REGEXMATCH(E1154, ""台銀籌備帳戶|玉山帳戶""), REGEXMATCH(C1154, ""薪資"")), ""分潤支出"",
  AND(REGEXMATCH(E1154, ""Ben帳戶|Elsa帳戶|Ben代墊|Ariel代墊|中信銀行共用""), REGEXMATCH(F1154, ""Ben帳戶|Elsa帳戶|Ben代墊|Ariel代墊|中信銀行共用"")), ""內部轉帳(忽略)"",
  AND(E1154&lt;&gt;"""", F1154&lt;&gt;"""", N"&amp;"OT(REGEXMATCH(C1154, ""薪資""))), ""內部轉帳(忽略)"",
  REGEXMATCH(C1154, ""薪資""), ""薪資變動(不計入)"",
  REGEXMATCH(C1154, ""押金""), ""押金往來"",
  AND(E1154&lt;&gt;"""", F1154=""""), ""真實支出"",
  AND(E1154="""", F1154&lt;&gt;""""), ""真實收入"",
  TRUE, ""其他""
)"),"真實收入")</f>
        <v>真實收入</v>
      </c>
      <c r="K1154" s="270">
        <f t="shared" si="2"/>
        <v>12300</v>
      </c>
      <c r="L1154">
        <f t="shared" si="3"/>
        <v>0</v>
      </c>
    </row>
    <row r="1155">
      <c r="A1155" s="107">
        <f>IFERROR(__xludf.DUMMYFUNCTION("""COMPUTED_VALUE"""),45626.0)</f>
        <v>45626</v>
      </c>
      <c r="B1155" t="str">
        <f>IFERROR(__xludf.DUMMYFUNCTION("""COMPUTED_VALUE"""),"Feli家搬運垃圾)")</f>
        <v>Feli家搬運垃圾)</v>
      </c>
      <c r="C1155" t="str">
        <f>IFERROR(__xludf.DUMMYFUNCTION("""COMPUTED_VALUE"""),"成本 - 進場前裝潢費")</f>
        <v>成本 - 進場前裝潢費</v>
      </c>
      <c r="D1155" s="270">
        <f>IFERROR(__xludf.DUMMYFUNCTION("""COMPUTED_VALUE"""),-1500.0)</f>
        <v>-1500</v>
      </c>
      <c r="E1155" t="str">
        <f>IFERROR(__xludf.DUMMYFUNCTION("""COMPUTED_VALUE"""),"Ben帳戶")</f>
        <v>Ben帳戶</v>
      </c>
      <c r="G1155" t="str">
        <f>IFERROR(__xludf.DUMMYFUNCTION("""COMPUTED_VALUE"""),"中山北Feli家")</f>
        <v>中山北Feli家</v>
      </c>
      <c r="H1155" s="106" t="str">
        <f t="shared" si="1"/>
        <v>2024-11</v>
      </c>
      <c r="I1155" s="271" t="str">
        <f>IFERROR(__xludf.DUMMYFUNCTION("""COMPUTED_VALUE"""),"貓狗企鵝")</f>
        <v>貓狗企鵝</v>
      </c>
      <c r="J1155" t="str">
        <f>IFERROR(__xludf.DUMMYFUNCTION("IFS(
  AND(REGEXMATCH(E1155, ""台銀籌備帳戶|玉山帳戶""), REGEXMATCH(C1155, ""薪資"")), ""分潤支出"",
  AND(REGEXMATCH(E1155, ""Ben帳戶|Elsa帳戶|Ben代墊|Ariel代墊|中信銀行共用""), REGEXMATCH(F1155, ""Ben帳戶|Elsa帳戶|Ben代墊|Ariel代墊|中信銀行共用"")), ""內部轉帳(忽略)"",
  AND(E1155&lt;&gt;"""", F1155&lt;&gt;"""", N"&amp;"OT(REGEXMATCH(C1155, ""薪資""))), ""內部轉帳(忽略)"",
  REGEXMATCH(C1155, ""薪資""), ""薪資變動(不計入)"",
  REGEXMATCH(C1155, ""押金""), ""押金往來"",
  AND(E1155&lt;&gt;"""", F1155=""""), ""真實支出"",
  AND(E1155="""", F1155&lt;&gt;""""), ""真實收入"",
  TRUE, ""其他""
)"),"真實支出")</f>
        <v>真實支出</v>
      </c>
      <c r="K1155" s="270">
        <f t="shared" si="2"/>
        <v>-1500</v>
      </c>
      <c r="L1155">
        <f t="shared" si="3"/>
        <v>0</v>
      </c>
    </row>
    <row r="1156">
      <c r="A1156" s="107">
        <f>IFERROR(__xludf.DUMMYFUNCTION("""COMPUTED_VALUE"""),45626.0)</f>
        <v>45626</v>
      </c>
      <c r="B1156" t="str">
        <f>IFERROR(__xludf.DUMMYFUNCTION("""COMPUTED_VALUE"""),"北醫橡膠地板")</f>
        <v>北醫橡膠地板</v>
      </c>
      <c r="C1156" t="str">
        <f>IFERROR(__xludf.DUMMYFUNCTION("""COMPUTED_VALUE"""),"成本 - 租後修繕")</f>
        <v>成本 - 租後修繕</v>
      </c>
      <c r="D1156" s="270">
        <f>IFERROR(__xludf.DUMMYFUNCTION("""COMPUTED_VALUE"""),-6724.0)</f>
        <v>-6724</v>
      </c>
      <c r="E1156" t="str">
        <f>IFERROR(__xludf.DUMMYFUNCTION("""COMPUTED_VALUE"""),"Ben帳戶")</f>
        <v>Ben帳戶</v>
      </c>
      <c r="G1156" t="str">
        <f>IFERROR(__xludf.DUMMYFUNCTION("""COMPUTED_VALUE"""),"北醫醫師府")</f>
        <v>北醫醫師府</v>
      </c>
      <c r="H1156" s="106" t="str">
        <f t="shared" si="1"/>
        <v>2024-11</v>
      </c>
      <c r="I1156" s="271" t="str">
        <f>IFERROR(__xludf.DUMMYFUNCTION("""COMPUTED_VALUE"""),"貓狗企鵝")</f>
        <v>貓狗企鵝</v>
      </c>
      <c r="J1156" t="str">
        <f>IFERROR(__xludf.DUMMYFUNCTION("IFS(
  AND(REGEXMATCH(E1156, ""台銀籌備帳戶|玉山帳戶""), REGEXMATCH(C1156, ""薪資"")), ""分潤支出"",
  AND(REGEXMATCH(E1156, ""Ben帳戶|Elsa帳戶|Ben代墊|Ariel代墊|中信銀行共用""), REGEXMATCH(F1156, ""Ben帳戶|Elsa帳戶|Ben代墊|Ariel代墊|中信銀行共用"")), ""內部轉帳(忽略)"",
  AND(E1156&lt;&gt;"""", F1156&lt;&gt;"""", N"&amp;"OT(REGEXMATCH(C1156, ""薪資""))), ""內部轉帳(忽略)"",
  REGEXMATCH(C1156, ""薪資""), ""薪資變動(不計入)"",
  REGEXMATCH(C1156, ""押金""), ""押金往來"",
  AND(E1156&lt;&gt;"""", F1156=""""), ""真實支出"",
  AND(E1156="""", F1156&lt;&gt;""""), ""真實收入"",
  TRUE, ""其他""
)"),"真實支出")</f>
        <v>真實支出</v>
      </c>
      <c r="K1156" s="270">
        <f t="shared" si="2"/>
        <v>-6724</v>
      </c>
      <c r="L1156">
        <f t="shared" si="3"/>
        <v>0</v>
      </c>
    </row>
    <row r="1157">
      <c r="A1157" s="107">
        <f>IFERROR(__xludf.DUMMYFUNCTION("""COMPUTED_VALUE"""),45626.0)</f>
        <v>45626</v>
      </c>
      <c r="B1157" t="str">
        <f>IFERROR(__xludf.DUMMYFUNCTION("""COMPUTED_VALUE"""),"大湖山莊B施惠卿")</f>
        <v>大湖山莊B施惠卿</v>
      </c>
      <c r="C1157" t="str">
        <f>IFERROR(__xludf.DUMMYFUNCTION("""COMPUTED_VALUE"""),"收入 - 租金")</f>
        <v>收入 - 租金</v>
      </c>
      <c r="D1157" s="270">
        <f>IFERROR(__xludf.DUMMYFUNCTION("""COMPUTED_VALUE"""),12800.0)</f>
        <v>12800</v>
      </c>
      <c r="F1157" t="str">
        <f>IFERROR(__xludf.DUMMYFUNCTION("""COMPUTED_VALUE"""),"台銀籌備帳戶")</f>
        <v>台銀籌備帳戶</v>
      </c>
      <c r="G1157" t="str">
        <f>IFERROR(__xludf.DUMMYFUNCTION("""COMPUTED_VALUE"""),"大湖山莊")</f>
        <v>大湖山莊</v>
      </c>
      <c r="H1157" s="106" t="str">
        <f t="shared" si="1"/>
        <v>2024-11</v>
      </c>
      <c r="I1157" s="271" t="str">
        <f>IFERROR(__xludf.DUMMYFUNCTION("""COMPUTED_VALUE"""),"貓狗企鵝")</f>
        <v>貓狗企鵝</v>
      </c>
      <c r="J1157" t="str">
        <f>IFERROR(__xludf.DUMMYFUNCTION("IFS(
  AND(REGEXMATCH(E1157, ""台銀籌備帳戶|玉山帳戶""), REGEXMATCH(C1157, ""薪資"")), ""分潤支出"",
  AND(REGEXMATCH(E1157, ""Ben帳戶|Elsa帳戶|Ben代墊|Ariel代墊|中信銀行共用""), REGEXMATCH(F1157, ""Ben帳戶|Elsa帳戶|Ben代墊|Ariel代墊|中信銀行共用"")), ""內部轉帳(忽略)"",
  AND(E1157&lt;&gt;"""", F1157&lt;&gt;"""", N"&amp;"OT(REGEXMATCH(C1157, ""薪資""))), ""內部轉帳(忽略)"",
  REGEXMATCH(C1157, ""薪資""), ""薪資變動(不計入)"",
  REGEXMATCH(C1157, ""押金""), ""押金往來"",
  AND(E1157&lt;&gt;"""", F1157=""""), ""真實支出"",
  AND(E1157="""", F1157&lt;&gt;""""), ""真實收入"",
  TRUE, ""其他""
)"),"真實收入")</f>
        <v>真實收入</v>
      </c>
      <c r="K1157" s="270">
        <f t="shared" si="2"/>
        <v>12800</v>
      </c>
      <c r="L1157">
        <f t="shared" si="3"/>
        <v>0</v>
      </c>
    </row>
    <row r="1158">
      <c r="A1158" s="107">
        <f>IFERROR(__xludf.DUMMYFUNCTION("""COMPUTED_VALUE"""),45626.0)</f>
        <v>45626</v>
      </c>
      <c r="B1158" t="str">
        <f>IFERROR(__xludf.DUMMYFUNCTION("""COMPUTED_VALUE"""),"景安2分鐘D鍾佩晶")</f>
        <v>景安2分鐘D鍾佩晶</v>
      </c>
      <c r="C1158" t="str">
        <f>IFERROR(__xludf.DUMMYFUNCTION("""COMPUTED_VALUE"""),"收入 - 租金")</f>
        <v>收入 - 租金</v>
      </c>
      <c r="D1158" s="270">
        <f>IFERROR(__xludf.DUMMYFUNCTION("""COMPUTED_VALUE"""),8600.0)</f>
        <v>8600</v>
      </c>
      <c r="F1158" t="str">
        <f>IFERROR(__xludf.DUMMYFUNCTION("""COMPUTED_VALUE"""),"台銀籌備帳戶")</f>
        <v>台銀籌備帳戶</v>
      </c>
      <c r="G1158" t="str">
        <f>IFERROR(__xludf.DUMMYFUNCTION("""COMPUTED_VALUE"""),"景安2分鐘")</f>
        <v>景安2分鐘</v>
      </c>
      <c r="H1158" s="106" t="str">
        <f t="shared" si="1"/>
        <v>2024-11</v>
      </c>
      <c r="I1158" s="271" t="str">
        <f>IFERROR(__xludf.DUMMYFUNCTION("""COMPUTED_VALUE"""),"貓狗企鵝")</f>
        <v>貓狗企鵝</v>
      </c>
      <c r="J1158" t="str">
        <f>IFERROR(__xludf.DUMMYFUNCTION("IFS(
  AND(REGEXMATCH(E1158, ""台銀籌備帳戶|玉山帳戶""), REGEXMATCH(C1158, ""薪資"")), ""分潤支出"",
  AND(REGEXMATCH(E1158, ""Ben帳戶|Elsa帳戶|Ben代墊|Ariel代墊|中信銀行共用""), REGEXMATCH(F1158, ""Ben帳戶|Elsa帳戶|Ben代墊|Ariel代墊|中信銀行共用"")), ""內部轉帳(忽略)"",
  AND(E1158&lt;&gt;"""", F1158&lt;&gt;"""", N"&amp;"OT(REGEXMATCH(C1158, ""薪資""))), ""內部轉帳(忽略)"",
  REGEXMATCH(C1158, ""薪資""), ""薪資變動(不計入)"",
  REGEXMATCH(C1158, ""押金""), ""押金往來"",
  AND(E1158&lt;&gt;"""", F1158=""""), ""真實支出"",
  AND(E1158="""", F1158&lt;&gt;""""), ""真實收入"",
  TRUE, ""其他""
)"),"真實收入")</f>
        <v>真實收入</v>
      </c>
      <c r="K1158" s="270">
        <f t="shared" si="2"/>
        <v>8600</v>
      </c>
      <c r="L1158">
        <f t="shared" si="3"/>
        <v>0</v>
      </c>
    </row>
    <row r="1159">
      <c r="A1159" s="107">
        <f>IFERROR(__xludf.DUMMYFUNCTION("""COMPUTED_VALUE"""),45627.0)</f>
        <v>45627</v>
      </c>
      <c r="B1159" t="str">
        <f>IFERROR(__xludf.DUMMYFUNCTION("""COMPUTED_VALUE"""),"北醫打掃怪4.5*400")</f>
        <v>北醫打掃怪4.5*400</v>
      </c>
      <c r="C1159" t="str">
        <f>IFERROR(__xludf.DUMMYFUNCTION("""COMPUTED_VALUE"""),"成本 - 租後修繕")</f>
        <v>成本 - 租後修繕</v>
      </c>
      <c r="D1159" s="270">
        <f>IFERROR(__xludf.DUMMYFUNCTION("""COMPUTED_VALUE"""),-1800.0)</f>
        <v>-1800</v>
      </c>
      <c r="E1159" t="str">
        <f>IFERROR(__xludf.DUMMYFUNCTION("""COMPUTED_VALUE"""),"Elsa帳戶")</f>
        <v>Elsa帳戶</v>
      </c>
      <c r="G1159" t="str">
        <f>IFERROR(__xludf.DUMMYFUNCTION("""COMPUTED_VALUE"""),"北醫醫師府")</f>
        <v>北醫醫師府</v>
      </c>
      <c r="H1159" s="106" t="str">
        <f t="shared" si="1"/>
        <v>2024-12</v>
      </c>
      <c r="I1159" s="271" t="str">
        <f>IFERROR(__xludf.DUMMYFUNCTION("""COMPUTED_VALUE"""),"貓狗企鵝")</f>
        <v>貓狗企鵝</v>
      </c>
      <c r="J1159" t="str">
        <f>IFERROR(__xludf.DUMMYFUNCTION("IFS(
  AND(REGEXMATCH(E1159, ""台銀籌備帳戶|玉山帳戶""), REGEXMATCH(C1159, ""薪資"")), ""分潤支出"",
  AND(REGEXMATCH(E1159, ""Ben帳戶|Elsa帳戶|Ben代墊|Ariel代墊|中信銀行共用""), REGEXMATCH(F1159, ""Ben帳戶|Elsa帳戶|Ben代墊|Ariel代墊|中信銀行共用"")), ""內部轉帳(忽略)"",
  AND(E1159&lt;&gt;"""", F1159&lt;&gt;"""", N"&amp;"OT(REGEXMATCH(C1159, ""薪資""))), ""內部轉帳(忽略)"",
  REGEXMATCH(C1159, ""薪資""), ""薪資變動(不計入)"",
  REGEXMATCH(C1159, ""押金""), ""押金往來"",
  AND(E1159&lt;&gt;"""", F1159=""""), ""真實支出"",
  AND(E1159="""", F1159&lt;&gt;""""), ""真實收入"",
  TRUE, ""其他""
)"),"真實支出")</f>
        <v>真實支出</v>
      </c>
      <c r="K1159" s="270">
        <f t="shared" si="2"/>
        <v>-1800</v>
      </c>
      <c r="L1159">
        <f t="shared" si="3"/>
        <v>0</v>
      </c>
    </row>
    <row r="1160">
      <c r="A1160" s="107">
        <f>IFERROR(__xludf.DUMMYFUNCTION("""COMPUTED_VALUE"""),45627.0)</f>
        <v>45627</v>
      </c>
      <c r="B1160" t="str">
        <f>IFERROR(__xludf.DUMMYFUNCTION("""COMPUTED_VALUE"""),"金龍套房 蓮蓬頭")</f>
        <v>金龍套房 蓮蓬頭</v>
      </c>
      <c r="C1160" t="str">
        <f>IFERROR(__xludf.DUMMYFUNCTION("""COMPUTED_VALUE"""),"成本 - 租後修繕")</f>
        <v>成本 - 租後修繕</v>
      </c>
      <c r="D1160" s="270">
        <f>IFERROR(__xludf.DUMMYFUNCTION("""COMPUTED_VALUE"""),-179.0)</f>
        <v>-179</v>
      </c>
      <c r="E1160" t="str">
        <f>IFERROR(__xludf.DUMMYFUNCTION("""COMPUTED_VALUE"""),"Elsa帳戶")</f>
        <v>Elsa帳戶</v>
      </c>
      <c r="G1160" t="str">
        <f>IFERROR(__xludf.DUMMYFUNCTION("""COMPUTED_VALUE"""),"金龍帽子先生")</f>
        <v>金龍帽子先生</v>
      </c>
      <c r="H1160" s="106" t="str">
        <f t="shared" si="1"/>
        <v>2024-12</v>
      </c>
      <c r="I1160" s="271" t="str">
        <f>IFERROR(__xludf.DUMMYFUNCTION("""COMPUTED_VALUE"""),"貓狗企鵝")</f>
        <v>貓狗企鵝</v>
      </c>
      <c r="J1160" t="str">
        <f>IFERROR(__xludf.DUMMYFUNCTION("IFS(
  AND(REGEXMATCH(E1160, ""台銀籌備帳戶|玉山帳戶""), REGEXMATCH(C1160, ""薪資"")), ""分潤支出"",
  AND(REGEXMATCH(E1160, ""Ben帳戶|Elsa帳戶|Ben代墊|Ariel代墊|中信銀行共用""), REGEXMATCH(F1160, ""Ben帳戶|Elsa帳戶|Ben代墊|Ariel代墊|中信銀行共用"")), ""內部轉帳(忽略)"",
  AND(E1160&lt;&gt;"""", F1160&lt;&gt;"""", N"&amp;"OT(REGEXMATCH(C1160, ""薪資""))), ""內部轉帳(忽略)"",
  REGEXMATCH(C1160, ""薪資""), ""薪資變動(不計入)"",
  REGEXMATCH(C1160, ""押金""), ""押金往來"",
  AND(E1160&lt;&gt;"""", F1160=""""), ""真實支出"",
  AND(E1160="""", F1160&lt;&gt;""""), ""真實收入"",
  TRUE, ""其他""
)"),"真實支出")</f>
        <v>真實支出</v>
      </c>
      <c r="K1160" s="270">
        <f t="shared" si="2"/>
        <v>-179</v>
      </c>
      <c r="L1160">
        <f t="shared" si="3"/>
        <v>0</v>
      </c>
    </row>
    <row r="1161">
      <c r="A1161" s="107">
        <f>IFERROR(__xludf.DUMMYFUNCTION("""COMPUTED_VALUE"""),45627.0)</f>
        <v>45627</v>
      </c>
      <c r="B1161" t="str">
        <f>IFERROR(__xludf.DUMMYFUNCTION("""COMPUTED_VALUE"""),"南港挑高租金")</f>
        <v>南港挑高租金</v>
      </c>
      <c r="C1161" t="str">
        <f>IFERROR(__xludf.DUMMYFUNCTION("""COMPUTED_VALUE"""),"成本 - 大租金")</f>
        <v>成本 - 大租金</v>
      </c>
      <c r="D1161" s="270">
        <f>IFERROR(__xludf.DUMMYFUNCTION("""COMPUTED_VALUE"""),-18250.0)</f>
        <v>-18250</v>
      </c>
      <c r="E1161" t="str">
        <f>IFERROR(__xludf.DUMMYFUNCTION("""COMPUTED_VALUE"""),"台銀籌備帳戶")</f>
        <v>台銀籌備帳戶</v>
      </c>
      <c r="G1161" t="str">
        <f>IFERROR(__xludf.DUMMYFUNCTION("""COMPUTED_VALUE"""),"南港站挑高宅")</f>
        <v>南港站挑高宅</v>
      </c>
      <c r="H1161" s="106" t="str">
        <f t="shared" si="1"/>
        <v>2024-12</v>
      </c>
      <c r="I1161" s="271" t="str">
        <f>IFERROR(__xludf.DUMMYFUNCTION("""COMPUTED_VALUE"""),"貓狗企鵝")</f>
        <v>貓狗企鵝</v>
      </c>
      <c r="J1161" t="str">
        <f>IFERROR(__xludf.DUMMYFUNCTION("IFS(
  AND(REGEXMATCH(E1161, ""台銀籌備帳戶|玉山帳戶""), REGEXMATCH(C1161, ""薪資"")), ""分潤支出"",
  AND(REGEXMATCH(E1161, ""Ben帳戶|Elsa帳戶|Ben代墊|Ariel代墊|中信銀行共用""), REGEXMATCH(F1161, ""Ben帳戶|Elsa帳戶|Ben代墊|Ariel代墊|中信銀行共用"")), ""內部轉帳(忽略)"",
  AND(E1161&lt;&gt;"""", F1161&lt;&gt;"""", N"&amp;"OT(REGEXMATCH(C1161, ""薪資""))), ""內部轉帳(忽略)"",
  REGEXMATCH(C1161, ""薪資""), ""薪資變動(不計入)"",
  REGEXMATCH(C1161, ""押金""), ""押金往來"",
  AND(E1161&lt;&gt;"""", F1161=""""), ""真實支出"",
  AND(E1161="""", F1161&lt;&gt;""""), ""真實收入"",
  TRUE, ""其他""
)"),"真實支出")</f>
        <v>真實支出</v>
      </c>
      <c r="K1161" s="270">
        <f t="shared" si="2"/>
        <v>-18250</v>
      </c>
      <c r="L1161">
        <f t="shared" si="3"/>
        <v>0</v>
      </c>
    </row>
    <row r="1162">
      <c r="A1162" s="107">
        <f>IFERROR(__xludf.DUMMYFUNCTION("""COMPUTED_VALUE"""),45627.0)</f>
        <v>45627</v>
      </c>
      <c r="B1162" t="str">
        <f>IFERROR(__xludf.DUMMYFUNCTION("""COMPUTED_VALUE"""),"龍江229A莊美娟")</f>
        <v>龍江229A莊美娟</v>
      </c>
      <c r="C1162" t="str">
        <f>IFERROR(__xludf.DUMMYFUNCTION("""COMPUTED_VALUE"""),"收入 - 租金")</f>
        <v>收入 - 租金</v>
      </c>
      <c r="D1162" s="270">
        <f>IFERROR(__xludf.DUMMYFUNCTION("""COMPUTED_VALUE"""),12800.0)</f>
        <v>12800</v>
      </c>
      <c r="F1162" t="str">
        <f>IFERROR(__xludf.DUMMYFUNCTION("""COMPUTED_VALUE"""),"台銀籌備帳戶")</f>
        <v>台銀籌備帳戶</v>
      </c>
      <c r="G1162" t="str">
        <f>IFERROR(__xludf.DUMMYFUNCTION("""COMPUTED_VALUE"""),"龍江229")</f>
        <v>龍江229</v>
      </c>
      <c r="H1162" s="106" t="str">
        <f t="shared" si="1"/>
        <v>2024-12</v>
      </c>
      <c r="I1162" s="271" t="str">
        <f>IFERROR(__xludf.DUMMYFUNCTION("""COMPUTED_VALUE"""),"貓狗企鵝")</f>
        <v>貓狗企鵝</v>
      </c>
      <c r="J1162" t="str">
        <f>IFERROR(__xludf.DUMMYFUNCTION("IFS(
  AND(REGEXMATCH(E1162, ""台銀籌備帳戶|玉山帳戶""), REGEXMATCH(C1162, ""薪資"")), ""分潤支出"",
  AND(REGEXMATCH(E1162, ""Ben帳戶|Elsa帳戶|Ben代墊|Ariel代墊|中信銀行共用""), REGEXMATCH(F1162, ""Ben帳戶|Elsa帳戶|Ben代墊|Ariel代墊|中信銀行共用"")), ""內部轉帳(忽略)"",
  AND(E1162&lt;&gt;"""", F1162&lt;&gt;"""", N"&amp;"OT(REGEXMATCH(C1162, ""薪資""))), ""內部轉帳(忽略)"",
  REGEXMATCH(C1162, ""薪資""), ""薪資變動(不計入)"",
  REGEXMATCH(C1162, ""押金""), ""押金往來"",
  AND(E1162&lt;&gt;"""", F1162=""""), ""真實支出"",
  AND(E1162="""", F1162&lt;&gt;""""), ""真實收入"",
  TRUE, ""其他""
)"),"真實收入")</f>
        <v>真實收入</v>
      </c>
      <c r="K1162" s="270">
        <f t="shared" si="2"/>
        <v>12800</v>
      </c>
      <c r="L1162">
        <f t="shared" si="3"/>
        <v>0</v>
      </c>
    </row>
    <row r="1163">
      <c r="A1163" s="107">
        <f>IFERROR(__xludf.DUMMYFUNCTION("""COMPUTED_VALUE"""),45627.0)</f>
        <v>45627</v>
      </c>
      <c r="B1163" t="str">
        <f>IFERROR(__xludf.DUMMYFUNCTION("""COMPUTED_VALUE"""),"永春郭大哥")</f>
        <v>永春郭大哥</v>
      </c>
      <c r="C1163" t="str">
        <f>IFERROR(__xludf.DUMMYFUNCTION("""COMPUTED_VALUE"""),"成本 - 大租金")</f>
        <v>成本 - 大租金</v>
      </c>
      <c r="D1163" s="270">
        <f>IFERROR(__xludf.DUMMYFUNCTION("""COMPUTED_VALUE"""),-17015.0)</f>
        <v>-17015</v>
      </c>
      <c r="E1163" t="str">
        <f>IFERROR(__xludf.DUMMYFUNCTION("""COMPUTED_VALUE"""),"台銀籌備帳戶")</f>
        <v>台銀籌備帳戶</v>
      </c>
      <c r="G1163" t="str">
        <f>IFERROR(__xludf.DUMMYFUNCTION("""COMPUTED_VALUE"""),"永春四號")</f>
        <v>永春四號</v>
      </c>
      <c r="H1163" s="106" t="str">
        <f t="shared" si="1"/>
        <v>2024-12</v>
      </c>
      <c r="I1163" s="271" t="str">
        <f>IFERROR(__xludf.DUMMYFUNCTION("""COMPUTED_VALUE"""),"貓狗企鵝")</f>
        <v>貓狗企鵝</v>
      </c>
      <c r="J1163" t="str">
        <f>IFERROR(__xludf.DUMMYFUNCTION("IFS(
  AND(REGEXMATCH(E1163, ""台銀籌備帳戶|玉山帳戶""), REGEXMATCH(C1163, ""薪資"")), ""分潤支出"",
  AND(REGEXMATCH(E1163, ""Ben帳戶|Elsa帳戶|Ben代墊|Ariel代墊|中信銀行共用""), REGEXMATCH(F1163, ""Ben帳戶|Elsa帳戶|Ben代墊|Ariel代墊|中信銀行共用"")), ""內部轉帳(忽略)"",
  AND(E1163&lt;&gt;"""", F1163&lt;&gt;"""", N"&amp;"OT(REGEXMATCH(C1163, ""薪資""))), ""內部轉帳(忽略)"",
  REGEXMATCH(C1163, ""薪資""), ""薪資變動(不計入)"",
  REGEXMATCH(C1163, ""押金""), ""押金往來"",
  AND(E1163&lt;&gt;"""", F1163=""""), ""真實支出"",
  AND(E1163="""", F1163&lt;&gt;""""), ""真實收入"",
  TRUE, ""其他""
)"),"真實支出")</f>
        <v>真實支出</v>
      </c>
      <c r="K1163" s="270">
        <f t="shared" si="2"/>
        <v>-17015</v>
      </c>
      <c r="L1163">
        <f t="shared" si="3"/>
        <v>0</v>
      </c>
    </row>
    <row r="1164">
      <c r="A1164" s="107">
        <f>IFERROR(__xludf.DUMMYFUNCTION("""COMPUTED_VALUE"""),45627.0)</f>
        <v>45627</v>
      </c>
      <c r="B1164" t="str">
        <f>IFERROR(__xludf.DUMMYFUNCTION("""COMPUTED_VALUE"""),"永春郭大哥")</f>
        <v>永春郭大哥</v>
      </c>
      <c r="C1164" t="str">
        <f>IFERROR(__xludf.DUMMYFUNCTION("""COMPUTED_VALUE"""),"成本 - 大租金")</f>
        <v>成本 - 大租金</v>
      </c>
      <c r="D1164" s="270">
        <f>IFERROR(__xludf.DUMMYFUNCTION("""COMPUTED_VALUE"""),-17015.0)</f>
        <v>-17015</v>
      </c>
      <c r="E1164" t="str">
        <f>IFERROR(__xludf.DUMMYFUNCTION("""COMPUTED_VALUE"""),"台銀籌備帳戶")</f>
        <v>台銀籌備帳戶</v>
      </c>
      <c r="G1164" t="str">
        <f>IFERROR(__xludf.DUMMYFUNCTION("""COMPUTED_VALUE"""),"永春四號")</f>
        <v>永春四號</v>
      </c>
      <c r="H1164" s="106" t="str">
        <f t="shared" si="1"/>
        <v>2024-12</v>
      </c>
      <c r="I1164" s="271" t="str">
        <f>IFERROR(__xludf.DUMMYFUNCTION("""COMPUTED_VALUE"""),"貓狗企鵝")</f>
        <v>貓狗企鵝</v>
      </c>
      <c r="J1164" t="str">
        <f>IFERROR(__xludf.DUMMYFUNCTION("IFS(
  AND(REGEXMATCH(E1164, ""台銀籌備帳戶|玉山帳戶""), REGEXMATCH(C1164, ""薪資"")), ""分潤支出"",
  AND(REGEXMATCH(E1164, ""Ben帳戶|Elsa帳戶|Ben代墊|Ariel代墊|中信銀行共用""), REGEXMATCH(F1164, ""Ben帳戶|Elsa帳戶|Ben代墊|Ariel代墊|中信銀行共用"")), ""內部轉帳(忽略)"",
  AND(E1164&lt;&gt;"""", F1164&lt;&gt;"""", N"&amp;"OT(REGEXMATCH(C1164, ""薪資""))), ""內部轉帳(忽略)"",
  REGEXMATCH(C1164, ""薪資""), ""薪資變動(不計入)"",
  REGEXMATCH(C1164, ""押金""), ""押金往來"",
  AND(E1164&lt;&gt;"""", F1164=""""), ""真實支出"",
  AND(E1164="""", F1164&lt;&gt;""""), ""真實收入"",
  TRUE, ""其他""
)"),"真實支出")</f>
        <v>真實支出</v>
      </c>
      <c r="K1164" s="270">
        <f t="shared" si="2"/>
        <v>-17015</v>
      </c>
      <c r="L1164">
        <f t="shared" si="3"/>
        <v>0</v>
      </c>
    </row>
    <row r="1165">
      <c r="A1165" s="107">
        <f>IFERROR(__xludf.DUMMYFUNCTION("""COMPUTED_VALUE"""),45627.0)</f>
        <v>45627</v>
      </c>
      <c r="B1165" t="str">
        <f>IFERROR(__xludf.DUMMYFUNCTION("""COMPUTED_VALUE"""),"市府爺爺租金")</f>
        <v>市府爺爺租金</v>
      </c>
      <c r="C1165" t="str">
        <f>IFERROR(__xludf.DUMMYFUNCTION("""COMPUTED_VALUE"""),"成本 - 大租金")</f>
        <v>成本 - 大租金</v>
      </c>
      <c r="D1165" s="270">
        <f>IFERROR(__xludf.DUMMYFUNCTION("""COMPUTED_VALUE"""),-12015.0)</f>
        <v>-12015</v>
      </c>
      <c r="E1165" t="str">
        <f>IFERROR(__xludf.DUMMYFUNCTION("""COMPUTED_VALUE"""),"台銀籌備帳戶")</f>
        <v>台銀籌備帳戶</v>
      </c>
      <c r="G1165" t="str">
        <f>IFERROR(__xludf.DUMMYFUNCTION("""COMPUTED_VALUE"""),"市府爺爺家")</f>
        <v>市府爺爺家</v>
      </c>
      <c r="H1165" s="106" t="str">
        <f t="shared" si="1"/>
        <v>2024-12</v>
      </c>
      <c r="I1165" s="271" t="str">
        <f>IFERROR(__xludf.DUMMYFUNCTION("""COMPUTED_VALUE"""),"貓狗企鵝")</f>
        <v>貓狗企鵝</v>
      </c>
      <c r="J1165" t="str">
        <f>IFERROR(__xludf.DUMMYFUNCTION("IFS(
  AND(REGEXMATCH(E1165, ""台銀籌備帳戶|玉山帳戶""), REGEXMATCH(C1165, ""薪資"")), ""分潤支出"",
  AND(REGEXMATCH(E1165, ""Ben帳戶|Elsa帳戶|Ben代墊|Ariel代墊|中信銀行共用""), REGEXMATCH(F1165, ""Ben帳戶|Elsa帳戶|Ben代墊|Ariel代墊|中信銀行共用"")), ""內部轉帳(忽略)"",
  AND(E1165&lt;&gt;"""", F1165&lt;&gt;"""", N"&amp;"OT(REGEXMATCH(C1165, ""薪資""))), ""內部轉帳(忽略)"",
  REGEXMATCH(C1165, ""薪資""), ""薪資變動(不計入)"",
  REGEXMATCH(C1165, ""押金""), ""押金往來"",
  AND(E1165&lt;&gt;"""", F1165=""""), ""真實支出"",
  AND(E1165="""", F1165&lt;&gt;""""), ""真實收入"",
  TRUE, ""其他""
)"),"真實支出")</f>
        <v>真實支出</v>
      </c>
      <c r="K1165" s="270">
        <f t="shared" si="2"/>
        <v>-12015</v>
      </c>
      <c r="L1165">
        <f t="shared" si="3"/>
        <v>0</v>
      </c>
    </row>
    <row r="1166">
      <c r="A1166" s="107">
        <f>IFERROR(__xludf.DUMMYFUNCTION("""COMPUTED_VALUE"""),45627.0)</f>
        <v>45627</v>
      </c>
      <c r="B1166" t="str">
        <f>IFERROR(__xludf.DUMMYFUNCTION("""COMPUTED_VALUE"""),"北醫陳醫師")</f>
        <v>北醫陳醫師</v>
      </c>
      <c r="C1166" t="str">
        <f>IFERROR(__xludf.DUMMYFUNCTION("""COMPUTED_VALUE"""),"成本 - 大租金")</f>
        <v>成本 - 大租金</v>
      </c>
      <c r="D1166" s="270">
        <f>IFERROR(__xludf.DUMMYFUNCTION("""COMPUTED_VALUE"""),-12815.0)</f>
        <v>-12815</v>
      </c>
      <c r="E1166" t="str">
        <f>IFERROR(__xludf.DUMMYFUNCTION("""COMPUTED_VALUE"""),"台銀籌備帳戶")</f>
        <v>台銀籌備帳戶</v>
      </c>
      <c r="G1166" t="str">
        <f>IFERROR(__xludf.DUMMYFUNCTION("""COMPUTED_VALUE"""),"北醫醫師府")</f>
        <v>北醫醫師府</v>
      </c>
      <c r="H1166" s="106" t="str">
        <f t="shared" si="1"/>
        <v>2024-12</v>
      </c>
      <c r="I1166" s="271" t="str">
        <f>IFERROR(__xludf.DUMMYFUNCTION("""COMPUTED_VALUE"""),"貓狗企鵝")</f>
        <v>貓狗企鵝</v>
      </c>
      <c r="J1166" t="str">
        <f>IFERROR(__xludf.DUMMYFUNCTION("IFS(
  AND(REGEXMATCH(E1166, ""台銀籌備帳戶|玉山帳戶""), REGEXMATCH(C1166, ""薪資"")), ""分潤支出"",
  AND(REGEXMATCH(E1166, ""Ben帳戶|Elsa帳戶|Ben代墊|Ariel代墊|中信銀行共用""), REGEXMATCH(F1166, ""Ben帳戶|Elsa帳戶|Ben代墊|Ariel代墊|中信銀行共用"")), ""內部轉帳(忽略)"",
  AND(E1166&lt;&gt;"""", F1166&lt;&gt;"""", N"&amp;"OT(REGEXMATCH(C1166, ""薪資""))), ""內部轉帳(忽略)"",
  REGEXMATCH(C1166, ""薪資""), ""薪資變動(不計入)"",
  REGEXMATCH(C1166, ""押金""), ""押金往來"",
  AND(E1166&lt;&gt;"""", F1166=""""), ""真實支出"",
  AND(E1166="""", F1166&lt;&gt;""""), ""真實收入"",
  TRUE, ""其他""
)"),"真實支出")</f>
        <v>真實支出</v>
      </c>
      <c r="K1166" s="270">
        <f t="shared" si="2"/>
        <v>-12815</v>
      </c>
      <c r="L1166">
        <f t="shared" si="3"/>
        <v>0</v>
      </c>
    </row>
    <row r="1167">
      <c r="A1167" s="107">
        <f>IFERROR(__xludf.DUMMYFUNCTION("""COMPUTED_VALUE"""),45627.0)</f>
        <v>45627</v>
      </c>
      <c r="B1167" t="str">
        <f>IFERROR(__xludf.DUMMYFUNCTION("""COMPUTED_VALUE"""),"哈拉陳校長")</f>
        <v>哈拉陳校長</v>
      </c>
      <c r="C1167" t="str">
        <f>IFERROR(__xludf.DUMMYFUNCTION("""COMPUTED_VALUE"""),"成本 - 大租金")</f>
        <v>成本 - 大租金</v>
      </c>
      <c r="D1167" s="270">
        <f>IFERROR(__xludf.DUMMYFUNCTION("""COMPUTED_VALUE"""),-13015.0)</f>
        <v>-13015</v>
      </c>
      <c r="E1167" t="str">
        <f>IFERROR(__xludf.DUMMYFUNCTION("""COMPUTED_VALUE"""),"台銀籌備帳戶")</f>
        <v>台銀籌備帳戶</v>
      </c>
      <c r="G1167" t="str">
        <f>IFERROR(__xludf.DUMMYFUNCTION("""COMPUTED_VALUE"""),"哈拉對面")</f>
        <v>哈拉對面</v>
      </c>
      <c r="H1167" s="106" t="str">
        <f t="shared" si="1"/>
        <v>2024-12</v>
      </c>
      <c r="I1167" s="271" t="str">
        <f>IFERROR(__xludf.DUMMYFUNCTION("""COMPUTED_VALUE"""),"貓狗企鵝")</f>
        <v>貓狗企鵝</v>
      </c>
      <c r="J1167" t="str">
        <f>IFERROR(__xludf.DUMMYFUNCTION("IFS(
  AND(REGEXMATCH(E1167, ""台銀籌備帳戶|玉山帳戶""), REGEXMATCH(C1167, ""薪資"")), ""分潤支出"",
  AND(REGEXMATCH(E1167, ""Ben帳戶|Elsa帳戶|Ben代墊|Ariel代墊|中信銀行共用""), REGEXMATCH(F1167, ""Ben帳戶|Elsa帳戶|Ben代墊|Ariel代墊|中信銀行共用"")), ""內部轉帳(忽略)"",
  AND(E1167&lt;&gt;"""", F1167&lt;&gt;"""", N"&amp;"OT(REGEXMATCH(C1167, ""薪資""))), ""內部轉帳(忽略)"",
  REGEXMATCH(C1167, ""薪資""), ""薪資變動(不計入)"",
  REGEXMATCH(C1167, ""押金""), ""押金往來"",
  AND(E1167&lt;&gt;"""", F1167=""""), ""真實支出"",
  AND(E1167="""", F1167&lt;&gt;""""), ""真實收入"",
  TRUE, ""其他""
)"),"真實支出")</f>
        <v>真實支出</v>
      </c>
      <c r="K1167" s="270">
        <f t="shared" si="2"/>
        <v>-13015</v>
      </c>
      <c r="L1167">
        <f t="shared" si="3"/>
        <v>0</v>
      </c>
    </row>
    <row r="1168">
      <c r="A1168" s="107">
        <f>IFERROR(__xludf.DUMMYFUNCTION("""COMPUTED_VALUE"""),45627.0)</f>
        <v>45627</v>
      </c>
      <c r="B1168" t="str">
        <f>IFERROR(__xludf.DUMMYFUNCTION("""COMPUTED_VALUE"""),"龍江游sir")</f>
        <v>龍江游sir</v>
      </c>
      <c r="C1168" t="str">
        <f>IFERROR(__xludf.DUMMYFUNCTION("""COMPUTED_VALUE"""),"成本 - 大租金")</f>
        <v>成本 - 大租金</v>
      </c>
      <c r="D1168" s="270">
        <f>IFERROR(__xludf.DUMMYFUNCTION("""COMPUTED_VALUE"""),-13515.0)</f>
        <v>-13515</v>
      </c>
      <c r="E1168" t="str">
        <f>IFERROR(__xludf.DUMMYFUNCTION("""COMPUTED_VALUE"""),"台銀籌備帳戶")</f>
        <v>台銀籌備帳戶</v>
      </c>
      <c r="G1168" t="str">
        <f>IFERROR(__xludf.DUMMYFUNCTION("""COMPUTED_VALUE"""),"龍江229")</f>
        <v>龍江229</v>
      </c>
      <c r="H1168" s="106" t="str">
        <f t="shared" si="1"/>
        <v>2024-12</v>
      </c>
      <c r="I1168" s="271" t="str">
        <f>IFERROR(__xludf.DUMMYFUNCTION("""COMPUTED_VALUE"""),"貓狗企鵝")</f>
        <v>貓狗企鵝</v>
      </c>
      <c r="J1168" t="str">
        <f>IFERROR(__xludf.DUMMYFUNCTION("IFS(
  AND(REGEXMATCH(E1168, ""台銀籌備帳戶|玉山帳戶""), REGEXMATCH(C1168, ""薪資"")), ""分潤支出"",
  AND(REGEXMATCH(E1168, ""Ben帳戶|Elsa帳戶|Ben代墊|Ariel代墊|中信銀行共用""), REGEXMATCH(F1168, ""Ben帳戶|Elsa帳戶|Ben代墊|Ariel代墊|中信銀行共用"")), ""內部轉帳(忽略)"",
  AND(E1168&lt;&gt;"""", F1168&lt;&gt;"""", N"&amp;"OT(REGEXMATCH(C1168, ""薪資""))), ""內部轉帳(忽略)"",
  REGEXMATCH(C1168, ""薪資""), ""薪資變動(不計入)"",
  REGEXMATCH(C1168, ""押金""), ""押金往來"",
  AND(E1168&lt;&gt;"""", F1168=""""), ""真實支出"",
  AND(E1168="""", F1168&lt;&gt;""""), ""真實收入"",
  TRUE, ""其他""
)"),"真實支出")</f>
        <v>真實支出</v>
      </c>
      <c r="K1168" s="270">
        <f t="shared" si="2"/>
        <v>-13515</v>
      </c>
      <c r="L1168">
        <f t="shared" si="3"/>
        <v>0</v>
      </c>
    </row>
    <row r="1169">
      <c r="A1169" s="107">
        <f>IFERROR(__xludf.DUMMYFUNCTION("""COMPUTED_VALUE"""),45627.0)</f>
        <v>45627</v>
      </c>
      <c r="B1169" t="str">
        <f>IFERROR(__xludf.DUMMYFUNCTION("""COMPUTED_VALUE"""),"大湖陳彩霞")</f>
        <v>大湖陳彩霞</v>
      </c>
      <c r="C1169" t="str">
        <f>IFERROR(__xludf.DUMMYFUNCTION("""COMPUTED_VALUE"""),"成本 - 大租金")</f>
        <v>成本 - 大租金</v>
      </c>
      <c r="D1169" s="270">
        <f>IFERROR(__xludf.DUMMYFUNCTION("""COMPUTED_VALUE"""),-19415.0)</f>
        <v>-19415</v>
      </c>
      <c r="E1169" t="str">
        <f>IFERROR(__xludf.DUMMYFUNCTION("""COMPUTED_VALUE"""),"台銀籌備帳戶")</f>
        <v>台銀籌備帳戶</v>
      </c>
      <c r="G1169" t="str">
        <f>IFERROR(__xludf.DUMMYFUNCTION("""COMPUTED_VALUE"""),"大湖山莊")</f>
        <v>大湖山莊</v>
      </c>
      <c r="H1169" s="106" t="str">
        <f t="shared" si="1"/>
        <v>2024-12</v>
      </c>
      <c r="I1169" s="271" t="str">
        <f>IFERROR(__xludf.DUMMYFUNCTION("""COMPUTED_VALUE"""),"貓狗企鵝")</f>
        <v>貓狗企鵝</v>
      </c>
      <c r="J1169" t="str">
        <f>IFERROR(__xludf.DUMMYFUNCTION("IFS(
  AND(REGEXMATCH(E1169, ""台銀籌備帳戶|玉山帳戶""), REGEXMATCH(C1169, ""薪資"")), ""分潤支出"",
  AND(REGEXMATCH(E1169, ""Ben帳戶|Elsa帳戶|Ben代墊|Ariel代墊|中信銀行共用""), REGEXMATCH(F1169, ""Ben帳戶|Elsa帳戶|Ben代墊|Ariel代墊|中信銀行共用"")), ""內部轉帳(忽略)"",
  AND(E1169&lt;&gt;"""", F1169&lt;&gt;"""", N"&amp;"OT(REGEXMATCH(C1169, ""薪資""))), ""內部轉帳(忽略)"",
  REGEXMATCH(C1169, ""薪資""), ""薪資變動(不計入)"",
  REGEXMATCH(C1169, ""押金""), ""押金往來"",
  AND(E1169&lt;&gt;"""", F1169=""""), ""真實支出"",
  AND(E1169="""", F1169&lt;&gt;""""), ""真實收入"",
  TRUE, ""其他""
)"),"真實支出")</f>
        <v>真實支出</v>
      </c>
      <c r="K1169" s="270">
        <f t="shared" si="2"/>
        <v>-19415</v>
      </c>
      <c r="L1169">
        <f t="shared" si="3"/>
        <v>0</v>
      </c>
    </row>
    <row r="1170">
      <c r="A1170" s="107">
        <f>IFERROR(__xludf.DUMMYFUNCTION("""COMPUTED_VALUE"""),45627.0)</f>
        <v>45627</v>
      </c>
      <c r="B1170" t="str">
        <f>IFERROR(__xludf.DUMMYFUNCTION("""COMPUTED_VALUE"""),"金龍109屋主")</f>
        <v>金龍109屋主</v>
      </c>
      <c r="C1170" t="str">
        <f>IFERROR(__xludf.DUMMYFUNCTION("""COMPUTED_VALUE"""),"成本 - 大租金")</f>
        <v>成本 - 大租金</v>
      </c>
      <c r="D1170" s="270">
        <f>IFERROR(__xludf.DUMMYFUNCTION("""COMPUTED_VALUE"""),-17765.0)</f>
        <v>-17765</v>
      </c>
      <c r="E1170" t="str">
        <f>IFERROR(__xludf.DUMMYFUNCTION("""COMPUTED_VALUE"""),"台銀籌備帳戶")</f>
        <v>台銀籌備帳戶</v>
      </c>
      <c r="G1170" t="str">
        <f>IFERROR(__xludf.DUMMYFUNCTION("""COMPUTED_VALUE"""),"金龍帽子先生")</f>
        <v>金龍帽子先生</v>
      </c>
      <c r="H1170" s="106" t="str">
        <f t="shared" si="1"/>
        <v>2024-12</v>
      </c>
      <c r="I1170" s="271" t="str">
        <f>IFERROR(__xludf.DUMMYFUNCTION("""COMPUTED_VALUE"""),"貓狗企鵝")</f>
        <v>貓狗企鵝</v>
      </c>
      <c r="J1170" t="str">
        <f>IFERROR(__xludf.DUMMYFUNCTION("IFS(
  AND(REGEXMATCH(E1170, ""台銀籌備帳戶|玉山帳戶""), REGEXMATCH(C1170, ""薪資"")), ""分潤支出"",
  AND(REGEXMATCH(E1170, ""Ben帳戶|Elsa帳戶|Ben代墊|Ariel代墊|中信銀行共用""), REGEXMATCH(F1170, ""Ben帳戶|Elsa帳戶|Ben代墊|Ariel代墊|中信銀行共用"")), ""內部轉帳(忽略)"",
  AND(E1170&lt;&gt;"""", F1170&lt;&gt;"""", N"&amp;"OT(REGEXMATCH(C1170, ""薪資""))), ""內部轉帳(忽略)"",
  REGEXMATCH(C1170, ""薪資""), ""薪資變動(不計入)"",
  REGEXMATCH(C1170, ""押金""), ""押金往來"",
  AND(E1170&lt;&gt;"""", F1170=""""), ""真實支出"",
  AND(E1170="""", F1170&lt;&gt;""""), ""真實收入"",
  TRUE, ""其他""
)"),"真實支出")</f>
        <v>真實支出</v>
      </c>
      <c r="K1170" s="270">
        <f t="shared" si="2"/>
        <v>-17765</v>
      </c>
      <c r="L1170">
        <f t="shared" si="3"/>
        <v>0</v>
      </c>
    </row>
    <row r="1171">
      <c r="A1171" s="107">
        <f>IFERROR(__xludf.DUMMYFUNCTION("""COMPUTED_VALUE"""),45627.0)</f>
        <v>45627</v>
      </c>
      <c r="B1171" t="str">
        <f>IFERROR(__xludf.DUMMYFUNCTION("""COMPUTED_VALUE"""),"龍江229B陳佩娟")</f>
        <v>龍江229B陳佩娟</v>
      </c>
      <c r="C1171" t="str">
        <f>IFERROR(__xludf.DUMMYFUNCTION("""COMPUTED_VALUE"""),"收入 - 租金")</f>
        <v>收入 - 租金</v>
      </c>
      <c r="D1171" s="270">
        <f>IFERROR(__xludf.DUMMYFUNCTION("""COMPUTED_VALUE"""),13000.0)</f>
        <v>13000</v>
      </c>
      <c r="F1171" t="str">
        <f>IFERROR(__xludf.DUMMYFUNCTION("""COMPUTED_VALUE"""),"台銀籌備帳戶")</f>
        <v>台銀籌備帳戶</v>
      </c>
      <c r="G1171" t="str">
        <f>IFERROR(__xludf.DUMMYFUNCTION("""COMPUTED_VALUE"""),"龍江229")</f>
        <v>龍江229</v>
      </c>
      <c r="H1171" s="106" t="str">
        <f t="shared" si="1"/>
        <v>2024-12</v>
      </c>
      <c r="I1171" s="271" t="str">
        <f>IFERROR(__xludf.DUMMYFUNCTION("""COMPUTED_VALUE"""),"貓狗企鵝")</f>
        <v>貓狗企鵝</v>
      </c>
      <c r="J1171" t="str">
        <f>IFERROR(__xludf.DUMMYFUNCTION("IFS(
  AND(REGEXMATCH(E1171, ""台銀籌備帳戶|玉山帳戶""), REGEXMATCH(C1171, ""薪資"")), ""分潤支出"",
  AND(REGEXMATCH(E1171, ""Ben帳戶|Elsa帳戶|Ben代墊|Ariel代墊|中信銀行共用""), REGEXMATCH(F1171, ""Ben帳戶|Elsa帳戶|Ben代墊|Ariel代墊|中信銀行共用"")), ""內部轉帳(忽略)"",
  AND(E1171&lt;&gt;"""", F1171&lt;&gt;"""", N"&amp;"OT(REGEXMATCH(C1171, ""薪資""))), ""內部轉帳(忽略)"",
  REGEXMATCH(C1171, ""薪資""), ""薪資變動(不計入)"",
  REGEXMATCH(C1171, ""押金""), ""押金往來"",
  AND(E1171&lt;&gt;"""", F1171=""""), ""真實支出"",
  AND(E1171="""", F1171&lt;&gt;""""), ""真實收入"",
  TRUE, ""其他""
)"),"真實收入")</f>
        <v>真實收入</v>
      </c>
      <c r="K1171" s="270">
        <f t="shared" si="2"/>
        <v>13000</v>
      </c>
      <c r="L1171">
        <f t="shared" si="3"/>
        <v>0</v>
      </c>
    </row>
    <row r="1172">
      <c r="A1172" s="107">
        <f>IFERROR(__xludf.DUMMYFUNCTION("""COMPUTED_VALUE"""),45627.0)</f>
        <v>45627</v>
      </c>
      <c r="B1172" t="str">
        <f>IFERROR(__xludf.DUMMYFUNCTION("""COMPUTED_VALUE"""),"哈拉對面B黃彥瑞")</f>
        <v>哈拉對面B黃彥瑞</v>
      </c>
      <c r="C1172" t="str">
        <f>IFERROR(__xludf.DUMMYFUNCTION("""COMPUTED_VALUE"""),"收入 - 租金")</f>
        <v>收入 - 租金</v>
      </c>
      <c r="D1172" s="270">
        <f>IFERROR(__xludf.DUMMYFUNCTION("""COMPUTED_VALUE"""),15800.0)</f>
        <v>15800</v>
      </c>
      <c r="F1172" t="str">
        <f>IFERROR(__xludf.DUMMYFUNCTION("""COMPUTED_VALUE"""),"台銀籌備帳戶")</f>
        <v>台銀籌備帳戶</v>
      </c>
      <c r="G1172" t="str">
        <f>IFERROR(__xludf.DUMMYFUNCTION("""COMPUTED_VALUE"""),"哈拉對面")</f>
        <v>哈拉對面</v>
      </c>
      <c r="H1172" s="106" t="str">
        <f t="shared" si="1"/>
        <v>2024-12</v>
      </c>
      <c r="I1172" s="271" t="str">
        <f>IFERROR(__xludf.DUMMYFUNCTION("""COMPUTED_VALUE"""),"貓狗企鵝")</f>
        <v>貓狗企鵝</v>
      </c>
      <c r="J1172" t="str">
        <f>IFERROR(__xludf.DUMMYFUNCTION("IFS(
  AND(REGEXMATCH(E1172, ""台銀籌備帳戶|玉山帳戶""), REGEXMATCH(C1172, ""薪資"")), ""分潤支出"",
  AND(REGEXMATCH(E1172, ""Ben帳戶|Elsa帳戶|Ben代墊|Ariel代墊|中信銀行共用""), REGEXMATCH(F1172, ""Ben帳戶|Elsa帳戶|Ben代墊|Ariel代墊|中信銀行共用"")), ""內部轉帳(忽略)"",
  AND(E1172&lt;&gt;"""", F1172&lt;&gt;"""", N"&amp;"OT(REGEXMATCH(C1172, ""薪資""))), ""內部轉帳(忽略)"",
  REGEXMATCH(C1172, ""薪資""), ""薪資變動(不計入)"",
  REGEXMATCH(C1172, ""押金""), ""押金往來"",
  AND(E1172&lt;&gt;"""", F1172=""""), ""真實支出"",
  AND(E1172="""", F1172&lt;&gt;""""), ""真實收入"",
  TRUE, ""其他""
)"),"真實收入")</f>
        <v>真實收入</v>
      </c>
      <c r="K1172" s="270">
        <f t="shared" si="2"/>
        <v>15800</v>
      </c>
      <c r="L1172">
        <f t="shared" si="3"/>
        <v>0</v>
      </c>
    </row>
    <row r="1173">
      <c r="A1173" s="107">
        <f>IFERROR(__xludf.DUMMYFUNCTION("""COMPUTED_VALUE"""),45627.0)</f>
        <v>45627</v>
      </c>
      <c r="B1173" t="str">
        <f>IFERROR(__xludf.DUMMYFUNCTION("""COMPUTED_VALUE"""),"永春四號B袁家鳳")</f>
        <v>永春四號B袁家鳳</v>
      </c>
      <c r="C1173" t="str">
        <f>IFERROR(__xludf.DUMMYFUNCTION("""COMPUTED_VALUE"""),"收入 - 租金")</f>
        <v>收入 - 租金</v>
      </c>
      <c r="D1173" s="270">
        <f>IFERROR(__xludf.DUMMYFUNCTION("""COMPUTED_VALUE"""),13500.0)</f>
        <v>13500</v>
      </c>
      <c r="F1173" t="str">
        <f>IFERROR(__xludf.DUMMYFUNCTION("""COMPUTED_VALUE"""),"台銀籌備帳戶")</f>
        <v>台銀籌備帳戶</v>
      </c>
      <c r="G1173" t="str">
        <f>IFERROR(__xludf.DUMMYFUNCTION("""COMPUTED_VALUE"""),"永春四號")</f>
        <v>永春四號</v>
      </c>
      <c r="H1173" s="106" t="str">
        <f t="shared" si="1"/>
        <v>2024-12</v>
      </c>
      <c r="I1173" s="271" t="str">
        <f>IFERROR(__xludf.DUMMYFUNCTION("""COMPUTED_VALUE"""),"貓狗企鵝")</f>
        <v>貓狗企鵝</v>
      </c>
      <c r="J1173" t="str">
        <f>IFERROR(__xludf.DUMMYFUNCTION("IFS(
  AND(REGEXMATCH(E1173, ""台銀籌備帳戶|玉山帳戶""), REGEXMATCH(C1173, ""薪資"")), ""分潤支出"",
  AND(REGEXMATCH(E1173, ""Ben帳戶|Elsa帳戶|Ben代墊|Ariel代墊|中信銀行共用""), REGEXMATCH(F1173, ""Ben帳戶|Elsa帳戶|Ben代墊|Ariel代墊|中信銀行共用"")), ""內部轉帳(忽略)"",
  AND(E1173&lt;&gt;"""", F1173&lt;&gt;"""", N"&amp;"OT(REGEXMATCH(C1173, ""薪資""))), ""內部轉帳(忽略)"",
  REGEXMATCH(C1173, ""薪資""), ""薪資變動(不計入)"",
  REGEXMATCH(C1173, ""押金""), ""押金往來"",
  AND(E1173&lt;&gt;"""", F1173=""""), ""真實支出"",
  AND(E1173="""", F1173&lt;&gt;""""), ""真實收入"",
  TRUE, ""其他""
)"),"真實收入")</f>
        <v>真實收入</v>
      </c>
      <c r="K1173" s="270">
        <f t="shared" si="2"/>
        <v>13500</v>
      </c>
      <c r="L1173">
        <f t="shared" si="3"/>
        <v>0</v>
      </c>
    </row>
    <row r="1174">
      <c r="A1174" s="107">
        <f>IFERROR(__xludf.DUMMYFUNCTION("""COMPUTED_VALUE"""),45627.0)</f>
        <v>45627</v>
      </c>
      <c r="B1174" t="str">
        <f>IFERROR(__xludf.DUMMYFUNCTION("""COMPUTED_VALUE"""),"中山北娘家旁C魏湘芸")</f>
        <v>中山北娘家旁C魏湘芸</v>
      </c>
      <c r="C1174" t="str">
        <f>IFERROR(__xludf.DUMMYFUNCTION("""COMPUTED_VALUE"""),"收入 - 租金")</f>
        <v>收入 - 租金</v>
      </c>
      <c r="D1174" s="270">
        <f>IFERROR(__xludf.DUMMYFUNCTION("""COMPUTED_VALUE"""),14800.0)</f>
        <v>14800</v>
      </c>
      <c r="F1174" t="str">
        <f>IFERROR(__xludf.DUMMYFUNCTION("""COMPUTED_VALUE"""),"台銀籌備帳戶")</f>
        <v>台銀籌備帳戶</v>
      </c>
      <c r="G1174" t="str">
        <f>IFERROR(__xludf.DUMMYFUNCTION("""COMPUTED_VALUE"""),"中山北娘家旁")</f>
        <v>中山北娘家旁</v>
      </c>
      <c r="H1174" s="106" t="str">
        <f t="shared" si="1"/>
        <v>2024-12</v>
      </c>
      <c r="I1174" s="271" t="str">
        <f>IFERROR(__xludf.DUMMYFUNCTION("""COMPUTED_VALUE"""),"貓狗企鵝")</f>
        <v>貓狗企鵝</v>
      </c>
      <c r="J1174" t="str">
        <f>IFERROR(__xludf.DUMMYFUNCTION("IFS(
  AND(REGEXMATCH(E1174, ""台銀籌備帳戶|玉山帳戶""), REGEXMATCH(C1174, ""薪資"")), ""分潤支出"",
  AND(REGEXMATCH(E1174, ""Ben帳戶|Elsa帳戶|Ben代墊|Ariel代墊|中信銀行共用""), REGEXMATCH(F1174, ""Ben帳戶|Elsa帳戶|Ben代墊|Ariel代墊|中信銀行共用"")), ""內部轉帳(忽略)"",
  AND(E1174&lt;&gt;"""", F1174&lt;&gt;"""", N"&amp;"OT(REGEXMATCH(C1174, ""薪資""))), ""內部轉帳(忽略)"",
  REGEXMATCH(C1174, ""薪資""), ""薪資變動(不計入)"",
  REGEXMATCH(C1174, ""押金""), ""押金往來"",
  AND(E1174&lt;&gt;"""", F1174=""""), ""真實支出"",
  AND(E1174="""", F1174&lt;&gt;""""), ""真實收入"",
  TRUE, ""其他""
)"),"真實收入")</f>
        <v>真實收入</v>
      </c>
      <c r="K1174" s="270">
        <f t="shared" si="2"/>
        <v>14800</v>
      </c>
      <c r="L1174">
        <f t="shared" si="3"/>
        <v>0</v>
      </c>
    </row>
    <row r="1175">
      <c r="A1175" s="107">
        <f>IFERROR(__xludf.DUMMYFUNCTION("""COMPUTED_VALUE"""),45627.0)</f>
        <v>45627</v>
      </c>
      <c r="B1175" t="str">
        <f>IFERROR(__xludf.DUMMYFUNCTION("""COMPUTED_VALUE"""),"景安2分鐘B張語婕")</f>
        <v>景安2分鐘B張語婕</v>
      </c>
      <c r="C1175" t="str">
        <f>IFERROR(__xludf.DUMMYFUNCTION("""COMPUTED_VALUE"""),"收入 - 租金")</f>
        <v>收入 - 租金</v>
      </c>
      <c r="D1175" s="270">
        <f>IFERROR(__xludf.DUMMYFUNCTION("""COMPUTED_VALUE"""),18800.0)</f>
        <v>18800</v>
      </c>
      <c r="F1175" t="str">
        <f>IFERROR(__xludf.DUMMYFUNCTION("""COMPUTED_VALUE"""),"台銀籌備帳戶")</f>
        <v>台銀籌備帳戶</v>
      </c>
      <c r="G1175" t="str">
        <f>IFERROR(__xludf.DUMMYFUNCTION("""COMPUTED_VALUE"""),"景安2分鐘")</f>
        <v>景安2分鐘</v>
      </c>
      <c r="H1175" s="106" t="str">
        <f t="shared" si="1"/>
        <v>2024-12</v>
      </c>
      <c r="I1175" s="271" t="str">
        <f>IFERROR(__xludf.DUMMYFUNCTION("""COMPUTED_VALUE"""),"貓狗企鵝")</f>
        <v>貓狗企鵝</v>
      </c>
      <c r="J1175" t="str">
        <f>IFERROR(__xludf.DUMMYFUNCTION("IFS(
  AND(REGEXMATCH(E1175, ""台銀籌備帳戶|玉山帳戶""), REGEXMATCH(C1175, ""薪資"")), ""分潤支出"",
  AND(REGEXMATCH(E1175, ""Ben帳戶|Elsa帳戶|Ben代墊|Ariel代墊|中信銀行共用""), REGEXMATCH(F1175, ""Ben帳戶|Elsa帳戶|Ben代墊|Ariel代墊|中信銀行共用"")), ""內部轉帳(忽略)"",
  AND(E1175&lt;&gt;"""", F1175&lt;&gt;"""", N"&amp;"OT(REGEXMATCH(C1175, ""薪資""))), ""內部轉帳(忽略)"",
  REGEXMATCH(C1175, ""薪資""), ""薪資變動(不計入)"",
  REGEXMATCH(C1175, ""押金""), ""押金往來"",
  AND(E1175&lt;&gt;"""", F1175=""""), ""真實支出"",
  AND(E1175="""", F1175&lt;&gt;""""), ""真實收入"",
  TRUE, ""其他""
)"),"真實收入")</f>
        <v>真實收入</v>
      </c>
      <c r="K1175" s="270">
        <f t="shared" si="2"/>
        <v>18800</v>
      </c>
      <c r="L1175">
        <f t="shared" si="3"/>
        <v>0</v>
      </c>
    </row>
    <row r="1176">
      <c r="A1176" s="107">
        <f>IFERROR(__xludf.DUMMYFUNCTION("""COMPUTED_VALUE"""),45627.0)</f>
        <v>45627</v>
      </c>
      <c r="B1176" t="str">
        <f>IFERROR(__xludf.DUMMYFUNCTION("""COMPUTED_VALUE"""),"北醫醫師府D劉怡秀")</f>
        <v>北醫醫師府D劉怡秀</v>
      </c>
      <c r="C1176" t="str">
        <f>IFERROR(__xludf.DUMMYFUNCTION("""COMPUTED_VALUE"""),"收入 - 租金")</f>
        <v>收入 - 租金</v>
      </c>
      <c r="D1176" s="270">
        <f>IFERROR(__xludf.DUMMYFUNCTION("""COMPUTED_VALUE"""),12000.0)</f>
        <v>12000</v>
      </c>
      <c r="F1176" t="str">
        <f>IFERROR(__xludf.DUMMYFUNCTION("""COMPUTED_VALUE"""),"台銀籌備帳戶")</f>
        <v>台銀籌備帳戶</v>
      </c>
      <c r="G1176" t="str">
        <f>IFERROR(__xludf.DUMMYFUNCTION("""COMPUTED_VALUE"""),"北醫醫師府")</f>
        <v>北醫醫師府</v>
      </c>
      <c r="H1176" s="106" t="str">
        <f t="shared" si="1"/>
        <v>2024-12</v>
      </c>
      <c r="I1176" s="271" t="str">
        <f>IFERROR(__xludf.DUMMYFUNCTION("""COMPUTED_VALUE"""),"貓狗企鵝")</f>
        <v>貓狗企鵝</v>
      </c>
      <c r="J1176" t="str">
        <f>IFERROR(__xludf.DUMMYFUNCTION("IFS(
  AND(REGEXMATCH(E1176, ""台銀籌備帳戶|玉山帳戶""), REGEXMATCH(C1176, ""薪資"")), ""分潤支出"",
  AND(REGEXMATCH(E1176, ""Ben帳戶|Elsa帳戶|Ben代墊|Ariel代墊|中信銀行共用""), REGEXMATCH(F1176, ""Ben帳戶|Elsa帳戶|Ben代墊|Ariel代墊|中信銀行共用"")), ""內部轉帳(忽略)"",
  AND(E1176&lt;&gt;"""", F1176&lt;&gt;"""", N"&amp;"OT(REGEXMATCH(C1176, ""薪資""))), ""內部轉帳(忽略)"",
  REGEXMATCH(C1176, ""薪資""), ""薪資變動(不計入)"",
  REGEXMATCH(C1176, ""押金""), ""押金往來"",
  AND(E1176&lt;&gt;"""", F1176=""""), ""真實支出"",
  AND(E1176="""", F1176&lt;&gt;""""), ""真實收入"",
  TRUE, ""其他""
)"),"真實收入")</f>
        <v>真實收入</v>
      </c>
      <c r="K1176" s="270">
        <f t="shared" si="2"/>
        <v>12000</v>
      </c>
      <c r="L1176">
        <f t="shared" si="3"/>
        <v>0</v>
      </c>
    </row>
    <row r="1177">
      <c r="A1177" s="107">
        <f>IFERROR(__xludf.DUMMYFUNCTION("""COMPUTED_VALUE"""),45627.0)</f>
        <v>45627</v>
      </c>
      <c r="B1177" t="str">
        <f>IFERROR(__xludf.DUMMYFUNCTION("""COMPUTED_VALUE"""),"北醫醫師府C余典蓉")</f>
        <v>北醫醫師府C余典蓉</v>
      </c>
      <c r="C1177" t="str">
        <f>IFERROR(__xludf.DUMMYFUNCTION("""COMPUTED_VALUE"""),"收入 - 租金")</f>
        <v>收入 - 租金</v>
      </c>
      <c r="D1177" s="270">
        <f>IFERROR(__xludf.DUMMYFUNCTION("""COMPUTED_VALUE"""),13000.0)</f>
        <v>13000</v>
      </c>
      <c r="F1177" t="str">
        <f>IFERROR(__xludf.DUMMYFUNCTION("""COMPUTED_VALUE"""),"台銀籌備帳戶")</f>
        <v>台銀籌備帳戶</v>
      </c>
      <c r="G1177" t="str">
        <f>IFERROR(__xludf.DUMMYFUNCTION("""COMPUTED_VALUE"""),"北醫醫師府")</f>
        <v>北醫醫師府</v>
      </c>
      <c r="H1177" s="106" t="str">
        <f t="shared" si="1"/>
        <v>2024-12</v>
      </c>
      <c r="I1177" s="271" t="str">
        <f>IFERROR(__xludf.DUMMYFUNCTION("""COMPUTED_VALUE"""),"貓狗企鵝")</f>
        <v>貓狗企鵝</v>
      </c>
      <c r="J1177" t="str">
        <f>IFERROR(__xludf.DUMMYFUNCTION("IFS(
  AND(REGEXMATCH(E1177, ""台銀籌備帳戶|玉山帳戶""), REGEXMATCH(C1177, ""薪資"")), ""分潤支出"",
  AND(REGEXMATCH(E1177, ""Ben帳戶|Elsa帳戶|Ben代墊|Ariel代墊|中信銀行共用""), REGEXMATCH(F1177, ""Ben帳戶|Elsa帳戶|Ben代墊|Ariel代墊|中信銀行共用"")), ""內部轉帳(忽略)"",
  AND(E1177&lt;&gt;"""", F1177&lt;&gt;"""", N"&amp;"OT(REGEXMATCH(C1177, ""薪資""))), ""內部轉帳(忽略)"",
  REGEXMATCH(C1177, ""薪資""), ""薪資變動(不計入)"",
  REGEXMATCH(C1177, ""押金""), ""押金往來"",
  AND(E1177&lt;&gt;"""", F1177=""""), ""真實支出"",
  AND(E1177="""", F1177&lt;&gt;""""), ""真實收入"",
  TRUE, ""其他""
)"),"真實收入")</f>
        <v>真實收入</v>
      </c>
      <c r="K1177" s="270">
        <f t="shared" si="2"/>
        <v>13000</v>
      </c>
      <c r="L1177">
        <f t="shared" si="3"/>
        <v>0</v>
      </c>
    </row>
    <row r="1178">
      <c r="A1178" s="107">
        <f>IFERROR(__xludf.DUMMYFUNCTION("""COMPUTED_VALUE"""),45627.0)</f>
        <v>45627</v>
      </c>
      <c r="B1178" t="str">
        <f>IFERROR(__xludf.DUMMYFUNCTION("""COMPUTED_VALUE"""),"大湖山莊D陳昭瑄")</f>
        <v>大湖山莊D陳昭瑄</v>
      </c>
      <c r="C1178" t="str">
        <f>IFERROR(__xludf.DUMMYFUNCTION("""COMPUTED_VALUE"""),"收入 - 租金")</f>
        <v>收入 - 租金</v>
      </c>
      <c r="D1178" s="270">
        <f>IFERROR(__xludf.DUMMYFUNCTION("""COMPUTED_VALUE"""),14300.0)</f>
        <v>14300</v>
      </c>
      <c r="F1178" t="str">
        <f>IFERROR(__xludf.DUMMYFUNCTION("""COMPUTED_VALUE"""),"台銀籌備帳戶")</f>
        <v>台銀籌備帳戶</v>
      </c>
      <c r="G1178" t="str">
        <f>IFERROR(__xludf.DUMMYFUNCTION("""COMPUTED_VALUE"""),"大湖山莊")</f>
        <v>大湖山莊</v>
      </c>
      <c r="H1178" s="106" t="str">
        <f t="shared" si="1"/>
        <v>2024-12</v>
      </c>
      <c r="I1178" s="271" t="str">
        <f>IFERROR(__xludf.DUMMYFUNCTION("""COMPUTED_VALUE"""),"貓狗企鵝")</f>
        <v>貓狗企鵝</v>
      </c>
      <c r="J1178" t="str">
        <f>IFERROR(__xludf.DUMMYFUNCTION("IFS(
  AND(REGEXMATCH(E1178, ""台銀籌備帳戶|玉山帳戶""), REGEXMATCH(C1178, ""薪資"")), ""分潤支出"",
  AND(REGEXMATCH(E1178, ""Ben帳戶|Elsa帳戶|Ben代墊|Ariel代墊|中信銀行共用""), REGEXMATCH(F1178, ""Ben帳戶|Elsa帳戶|Ben代墊|Ariel代墊|中信銀行共用"")), ""內部轉帳(忽略)"",
  AND(E1178&lt;&gt;"""", F1178&lt;&gt;"""", N"&amp;"OT(REGEXMATCH(C1178, ""薪資""))), ""內部轉帳(忽略)"",
  REGEXMATCH(C1178, ""薪資""), ""薪資變動(不計入)"",
  REGEXMATCH(C1178, ""押金""), ""押金往來"",
  AND(E1178&lt;&gt;"""", F1178=""""), ""真實支出"",
  AND(E1178="""", F1178&lt;&gt;""""), ""真實收入"",
  TRUE, ""其他""
)"),"真實收入")</f>
        <v>真實收入</v>
      </c>
      <c r="K1178" s="270">
        <f t="shared" si="2"/>
        <v>14300</v>
      </c>
      <c r="L1178">
        <f t="shared" si="3"/>
        <v>0</v>
      </c>
    </row>
    <row r="1179">
      <c r="A1179" s="107">
        <f>IFERROR(__xludf.DUMMYFUNCTION("""COMPUTED_VALUE"""),45627.0)</f>
        <v>45627</v>
      </c>
      <c r="B1179" t="str">
        <f>IFERROR(__xludf.DUMMYFUNCTION("""COMPUTED_VALUE"""),"永春四號D翁政熙")</f>
        <v>永春四號D翁政熙</v>
      </c>
      <c r="C1179" t="str">
        <f>IFERROR(__xludf.DUMMYFUNCTION("""COMPUTED_VALUE"""),"收入 - 租金")</f>
        <v>收入 - 租金</v>
      </c>
      <c r="D1179" s="270">
        <f>IFERROR(__xludf.DUMMYFUNCTION("""COMPUTED_VALUE"""),14800.0)</f>
        <v>14800</v>
      </c>
      <c r="F1179" t="str">
        <f>IFERROR(__xludf.DUMMYFUNCTION("""COMPUTED_VALUE"""),"台銀籌備帳戶")</f>
        <v>台銀籌備帳戶</v>
      </c>
      <c r="G1179" t="str">
        <f>IFERROR(__xludf.DUMMYFUNCTION("""COMPUTED_VALUE"""),"永春四號")</f>
        <v>永春四號</v>
      </c>
      <c r="H1179" s="106" t="str">
        <f t="shared" si="1"/>
        <v>2024-12</v>
      </c>
      <c r="I1179" s="271" t="str">
        <f>IFERROR(__xludf.DUMMYFUNCTION("""COMPUTED_VALUE"""),"貓狗企鵝")</f>
        <v>貓狗企鵝</v>
      </c>
      <c r="J1179" t="str">
        <f>IFERROR(__xludf.DUMMYFUNCTION("IFS(
  AND(REGEXMATCH(E1179, ""台銀籌備帳戶|玉山帳戶""), REGEXMATCH(C1179, ""薪資"")), ""分潤支出"",
  AND(REGEXMATCH(E1179, ""Ben帳戶|Elsa帳戶|Ben代墊|Ariel代墊|中信銀行共用""), REGEXMATCH(F1179, ""Ben帳戶|Elsa帳戶|Ben代墊|Ariel代墊|中信銀行共用"")), ""內部轉帳(忽略)"",
  AND(E1179&lt;&gt;"""", F1179&lt;&gt;"""", N"&amp;"OT(REGEXMATCH(C1179, ""薪資""))), ""內部轉帳(忽略)"",
  REGEXMATCH(C1179, ""薪資""), ""薪資變動(不計入)"",
  REGEXMATCH(C1179, ""押金""), ""押金往來"",
  AND(E1179&lt;&gt;"""", F1179=""""), ""真實支出"",
  AND(E1179="""", F1179&lt;&gt;""""), ""真實收入"",
  TRUE, ""其他""
)"),"真實收入")</f>
        <v>真實收入</v>
      </c>
      <c r="K1179" s="270">
        <f t="shared" si="2"/>
        <v>14800</v>
      </c>
      <c r="L1179">
        <f t="shared" si="3"/>
        <v>0</v>
      </c>
    </row>
    <row r="1180">
      <c r="A1180" s="107">
        <f>IFERROR(__xludf.DUMMYFUNCTION("""COMPUTED_VALUE"""),45627.0)</f>
        <v>45627</v>
      </c>
      <c r="B1180" t="str">
        <f>IFERROR(__xludf.DUMMYFUNCTION("""COMPUTED_VALUE"""),"市府爺爺家A董書鵬")</f>
        <v>市府爺爺家A董書鵬</v>
      </c>
      <c r="C1180" t="str">
        <f>IFERROR(__xludf.DUMMYFUNCTION("""COMPUTED_VALUE"""),"收入 - 租金")</f>
        <v>收入 - 租金</v>
      </c>
      <c r="D1180" s="270">
        <f>IFERROR(__xludf.DUMMYFUNCTION("""COMPUTED_VALUE"""),22000.0)</f>
        <v>22000</v>
      </c>
      <c r="F1180" t="str">
        <f>IFERROR(__xludf.DUMMYFUNCTION("""COMPUTED_VALUE"""),"台銀籌備帳戶")</f>
        <v>台銀籌備帳戶</v>
      </c>
      <c r="G1180" t="str">
        <f>IFERROR(__xludf.DUMMYFUNCTION("""COMPUTED_VALUE"""),"市府爺爺家")</f>
        <v>市府爺爺家</v>
      </c>
      <c r="H1180" s="106" t="str">
        <f t="shared" si="1"/>
        <v>2024-12</v>
      </c>
      <c r="I1180" s="271" t="str">
        <f>IFERROR(__xludf.DUMMYFUNCTION("""COMPUTED_VALUE"""),"貓狗企鵝")</f>
        <v>貓狗企鵝</v>
      </c>
      <c r="J1180" t="str">
        <f>IFERROR(__xludf.DUMMYFUNCTION("IFS(
  AND(REGEXMATCH(E1180, ""台銀籌備帳戶|玉山帳戶""), REGEXMATCH(C1180, ""薪資"")), ""分潤支出"",
  AND(REGEXMATCH(E1180, ""Ben帳戶|Elsa帳戶|Ben代墊|Ariel代墊|中信銀行共用""), REGEXMATCH(F1180, ""Ben帳戶|Elsa帳戶|Ben代墊|Ariel代墊|中信銀行共用"")), ""內部轉帳(忽略)"",
  AND(E1180&lt;&gt;"""", F1180&lt;&gt;"""", N"&amp;"OT(REGEXMATCH(C1180, ""薪資""))), ""內部轉帳(忽略)"",
  REGEXMATCH(C1180, ""薪資""), ""薪資變動(不計入)"",
  REGEXMATCH(C1180, ""押金""), ""押金往來"",
  AND(E1180&lt;&gt;"""", F1180=""""), ""真實支出"",
  AND(E1180="""", F1180&lt;&gt;""""), ""真實收入"",
  TRUE, ""其他""
)"),"真實收入")</f>
        <v>真實收入</v>
      </c>
      <c r="K1180" s="270">
        <f t="shared" si="2"/>
        <v>22000</v>
      </c>
      <c r="L1180">
        <f t="shared" si="3"/>
        <v>0</v>
      </c>
    </row>
    <row r="1181">
      <c r="A1181" s="107">
        <f>IFERROR(__xludf.DUMMYFUNCTION("""COMPUTED_VALUE"""),45627.0)</f>
        <v>45627</v>
      </c>
      <c r="B1181" t="str">
        <f>IFERROR(__xludf.DUMMYFUNCTION("""COMPUTED_VALUE"""),"地板Feli")</f>
        <v>地板Feli</v>
      </c>
      <c r="C1181" t="str">
        <f>IFERROR(__xludf.DUMMYFUNCTION("""COMPUTED_VALUE"""),"成本 - 進場前裝潢費")</f>
        <v>成本 - 進場前裝潢費</v>
      </c>
      <c r="D1181" s="270">
        <f>IFERROR(__xludf.DUMMYFUNCTION("""COMPUTED_VALUE"""),-31599.0)</f>
        <v>-31599</v>
      </c>
      <c r="E1181" t="str">
        <f>IFERROR(__xludf.DUMMYFUNCTION("""COMPUTED_VALUE"""),"台銀籌備帳戶")</f>
        <v>台銀籌備帳戶</v>
      </c>
      <c r="G1181" t="str">
        <f>IFERROR(__xludf.DUMMYFUNCTION("""COMPUTED_VALUE"""),"中山北Feli家")</f>
        <v>中山北Feli家</v>
      </c>
      <c r="H1181" s="106" t="str">
        <f t="shared" si="1"/>
        <v>2024-12</v>
      </c>
      <c r="I1181" s="271" t="str">
        <f>IFERROR(__xludf.DUMMYFUNCTION("""COMPUTED_VALUE"""),"貓狗企鵝")</f>
        <v>貓狗企鵝</v>
      </c>
      <c r="J1181" t="str">
        <f>IFERROR(__xludf.DUMMYFUNCTION("IFS(
  AND(REGEXMATCH(E1181, ""台銀籌備帳戶|玉山帳戶""), REGEXMATCH(C1181, ""薪資"")), ""分潤支出"",
  AND(REGEXMATCH(E1181, ""Ben帳戶|Elsa帳戶|Ben代墊|Ariel代墊|中信銀行共用""), REGEXMATCH(F1181, ""Ben帳戶|Elsa帳戶|Ben代墊|Ariel代墊|中信銀行共用"")), ""內部轉帳(忽略)"",
  AND(E1181&lt;&gt;"""", F1181&lt;&gt;"""", N"&amp;"OT(REGEXMATCH(C1181, ""薪資""))), ""內部轉帳(忽略)"",
  REGEXMATCH(C1181, ""薪資""), ""薪資變動(不計入)"",
  REGEXMATCH(C1181, ""押金""), ""押金往來"",
  AND(E1181&lt;&gt;"""", F1181=""""), ""真實支出"",
  AND(E1181="""", F1181&lt;&gt;""""), ""真實收入"",
  TRUE, ""其他""
)"),"真實支出")</f>
        <v>真實支出</v>
      </c>
      <c r="K1181" s="270">
        <f t="shared" si="2"/>
        <v>-31599</v>
      </c>
      <c r="L1181">
        <f t="shared" si="3"/>
        <v>0</v>
      </c>
    </row>
    <row r="1182">
      <c r="A1182" s="107">
        <f>IFERROR(__xludf.DUMMYFUNCTION("""COMPUTED_VALUE"""),45627.0)</f>
        <v>45627</v>
      </c>
      <c r="B1182" t="str">
        <f>IFERROR(__xludf.DUMMYFUNCTION("""COMPUTED_VALUE"""),"吳興丁防水代墊")</f>
        <v>吳興丁防水代墊</v>
      </c>
      <c r="C1182" t="str">
        <f>IFERROR(__xludf.DUMMYFUNCTION("""COMPUTED_VALUE"""),"成本 - 租後修繕")</f>
        <v>成本 - 租後修繕</v>
      </c>
      <c r="D1182" s="270">
        <f>IFERROR(__xludf.DUMMYFUNCTION("""COMPUTED_VALUE"""),-85015.0)</f>
        <v>-85015</v>
      </c>
      <c r="E1182" t="str">
        <f>IFERROR(__xludf.DUMMYFUNCTION("""COMPUTED_VALUE"""),"台銀籌備帳戶")</f>
        <v>台銀籌備帳戶</v>
      </c>
      <c r="G1182" t="str">
        <f>IFERROR(__xludf.DUMMYFUNCTION("""COMPUTED_VALUE"""),"北醫醫師府")</f>
        <v>北醫醫師府</v>
      </c>
      <c r="H1182" s="106" t="str">
        <f t="shared" si="1"/>
        <v>2024-12</v>
      </c>
      <c r="I1182" s="271" t="str">
        <f>IFERROR(__xludf.DUMMYFUNCTION("""COMPUTED_VALUE"""),"貓狗企鵝")</f>
        <v>貓狗企鵝</v>
      </c>
      <c r="J1182" t="str">
        <f>IFERROR(__xludf.DUMMYFUNCTION("IFS(
  AND(REGEXMATCH(E1182, ""台銀籌備帳戶|玉山帳戶""), REGEXMATCH(C1182, ""薪資"")), ""分潤支出"",
  AND(REGEXMATCH(E1182, ""Ben帳戶|Elsa帳戶|Ben代墊|Ariel代墊|中信銀行共用""), REGEXMATCH(F1182, ""Ben帳戶|Elsa帳戶|Ben代墊|Ariel代墊|中信銀行共用"")), ""內部轉帳(忽略)"",
  AND(E1182&lt;&gt;"""", F1182&lt;&gt;"""", N"&amp;"OT(REGEXMATCH(C1182, ""薪資""))), ""內部轉帳(忽略)"",
  REGEXMATCH(C1182, ""薪資""), ""薪資變動(不計入)"",
  REGEXMATCH(C1182, ""押金""), ""押金往來"",
  AND(E1182&lt;&gt;"""", F1182=""""), ""真實支出"",
  AND(E1182="""", F1182&lt;&gt;""""), ""真實收入"",
  TRUE, ""其他""
)"),"真實支出")</f>
        <v>真實支出</v>
      </c>
      <c r="K1182" s="270">
        <f t="shared" si="2"/>
        <v>-85015</v>
      </c>
      <c r="L1182">
        <f t="shared" si="3"/>
        <v>0</v>
      </c>
    </row>
    <row r="1183">
      <c r="A1183" s="107">
        <f>IFERROR(__xludf.DUMMYFUNCTION("""COMPUTED_VALUE"""),45627.0)</f>
        <v>45627</v>
      </c>
      <c r="B1183" t="str">
        <f>IFERROR(__xludf.DUMMYFUNCTION("""COMPUTED_VALUE"""),"Feli家 鐵皮屋修繕")</f>
        <v>Feli家 鐵皮屋修繕</v>
      </c>
      <c r="C1183" t="str">
        <f>IFERROR(__xludf.DUMMYFUNCTION("""COMPUTED_VALUE"""),"成本 - 租後修繕")</f>
        <v>成本 - 租後修繕</v>
      </c>
      <c r="D1183" s="270">
        <f>IFERROR(__xludf.DUMMYFUNCTION("""COMPUTED_VALUE"""),20000.0)</f>
        <v>20000</v>
      </c>
      <c r="F1183" t="str">
        <f>IFERROR(__xludf.DUMMYFUNCTION("""COMPUTED_VALUE"""),"台銀籌備帳戶")</f>
        <v>台銀籌備帳戶</v>
      </c>
      <c r="G1183" t="str">
        <f>IFERROR(__xludf.DUMMYFUNCTION("""COMPUTED_VALUE"""),"中山北Feli家")</f>
        <v>中山北Feli家</v>
      </c>
      <c r="H1183" s="106" t="str">
        <f t="shared" si="1"/>
        <v>2024-12</v>
      </c>
      <c r="I1183" s="271" t="str">
        <f>IFERROR(__xludf.DUMMYFUNCTION("""COMPUTED_VALUE"""),"貓狗企鵝")</f>
        <v>貓狗企鵝</v>
      </c>
      <c r="J1183" t="str">
        <f>IFERROR(__xludf.DUMMYFUNCTION("IFS(
  AND(REGEXMATCH(E1183, ""台銀籌備帳戶|玉山帳戶""), REGEXMATCH(C1183, ""薪資"")), ""分潤支出"",
  AND(REGEXMATCH(E1183, ""Ben帳戶|Elsa帳戶|Ben代墊|Ariel代墊|中信銀行共用""), REGEXMATCH(F1183, ""Ben帳戶|Elsa帳戶|Ben代墊|Ariel代墊|中信銀行共用"")), ""內部轉帳(忽略)"",
  AND(E1183&lt;&gt;"""", F1183&lt;&gt;"""", N"&amp;"OT(REGEXMATCH(C1183, ""薪資""))), ""內部轉帳(忽略)"",
  REGEXMATCH(C1183, ""薪資""), ""薪資變動(不計入)"",
  REGEXMATCH(C1183, ""押金""), ""押金往來"",
  AND(E1183&lt;&gt;"""", F1183=""""), ""真實支出"",
  AND(E1183="""", F1183&lt;&gt;""""), ""真實收入"",
  TRUE, ""其他""
)"),"真實收入")</f>
        <v>真實收入</v>
      </c>
      <c r="K1183" s="270">
        <f t="shared" si="2"/>
        <v>20000</v>
      </c>
      <c r="L1183">
        <f t="shared" si="3"/>
        <v>0</v>
      </c>
    </row>
    <row r="1184">
      <c r="A1184" s="107">
        <f>IFERROR(__xludf.DUMMYFUNCTION("""COMPUTED_VALUE"""),45627.0)</f>
        <v>45627</v>
      </c>
      <c r="B1184" t="str">
        <f>IFERROR(__xludf.DUMMYFUNCTION("""COMPUTED_VALUE"""),"哈拉對面C徐鉦庭")</f>
        <v>哈拉對面C徐鉦庭</v>
      </c>
      <c r="C1184" t="str">
        <f>IFERROR(__xludf.DUMMYFUNCTION("""COMPUTED_VALUE"""),"收入 - 租金")</f>
        <v>收入 - 租金</v>
      </c>
      <c r="D1184" s="270">
        <f>IFERROR(__xludf.DUMMYFUNCTION("""COMPUTED_VALUE"""),11800.0)</f>
        <v>11800</v>
      </c>
      <c r="F1184" t="str">
        <f>IFERROR(__xludf.DUMMYFUNCTION("""COMPUTED_VALUE"""),"台銀籌備帳戶")</f>
        <v>台銀籌備帳戶</v>
      </c>
      <c r="G1184" t="str">
        <f>IFERROR(__xludf.DUMMYFUNCTION("""COMPUTED_VALUE"""),"哈拉對面")</f>
        <v>哈拉對面</v>
      </c>
      <c r="H1184" s="106" t="str">
        <f t="shared" si="1"/>
        <v>2024-12</v>
      </c>
      <c r="I1184" s="271" t="str">
        <f>IFERROR(__xludf.DUMMYFUNCTION("""COMPUTED_VALUE"""),"貓狗企鵝")</f>
        <v>貓狗企鵝</v>
      </c>
      <c r="J1184" t="str">
        <f>IFERROR(__xludf.DUMMYFUNCTION("IFS(
  AND(REGEXMATCH(E1184, ""台銀籌備帳戶|玉山帳戶""), REGEXMATCH(C1184, ""薪資"")), ""分潤支出"",
  AND(REGEXMATCH(E1184, ""Ben帳戶|Elsa帳戶|Ben代墊|Ariel代墊|中信銀行共用""), REGEXMATCH(F1184, ""Ben帳戶|Elsa帳戶|Ben代墊|Ariel代墊|中信銀行共用"")), ""內部轉帳(忽略)"",
  AND(E1184&lt;&gt;"""", F1184&lt;&gt;"""", N"&amp;"OT(REGEXMATCH(C1184, ""薪資""))), ""內部轉帳(忽略)"",
  REGEXMATCH(C1184, ""薪資""), ""薪資變動(不計入)"",
  REGEXMATCH(C1184, ""押金""), ""押金往來"",
  AND(E1184&lt;&gt;"""", F1184=""""), ""真實支出"",
  AND(E1184="""", F1184&lt;&gt;""""), ""真實收入"",
  TRUE, ""其他""
)"),"真實收入")</f>
        <v>真實收入</v>
      </c>
      <c r="K1184" s="270">
        <f t="shared" si="2"/>
        <v>11800</v>
      </c>
      <c r="L1184">
        <f t="shared" si="3"/>
        <v>0</v>
      </c>
    </row>
    <row r="1185">
      <c r="A1185" s="107">
        <f>IFERROR(__xludf.DUMMYFUNCTION("""COMPUTED_VALUE"""),45627.0)</f>
        <v>45627</v>
      </c>
      <c r="B1185" t="str">
        <f>IFERROR(__xludf.DUMMYFUNCTION("""COMPUTED_VALUE"""),"金龍帽子先生D蔡婷欣")</f>
        <v>金龍帽子先生D蔡婷欣</v>
      </c>
      <c r="C1185" t="str">
        <f>IFERROR(__xludf.DUMMYFUNCTION("""COMPUTED_VALUE"""),"收入 - 租金")</f>
        <v>收入 - 租金</v>
      </c>
      <c r="D1185" s="270">
        <f>IFERROR(__xludf.DUMMYFUNCTION("""COMPUTED_VALUE"""),14500.0)</f>
        <v>14500</v>
      </c>
      <c r="F1185" t="str">
        <f>IFERROR(__xludf.DUMMYFUNCTION("""COMPUTED_VALUE"""),"台銀籌備帳戶")</f>
        <v>台銀籌備帳戶</v>
      </c>
      <c r="G1185" t="str">
        <f>IFERROR(__xludf.DUMMYFUNCTION("""COMPUTED_VALUE"""),"金龍帽子先生")</f>
        <v>金龍帽子先生</v>
      </c>
      <c r="H1185" s="106" t="str">
        <f t="shared" si="1"/>
        <v>2024-12</v>
      </c>
      <c r="I1185" s="271" t="str">
        <f>IFERROR(__xludf.DUMMYFUNCTION("""COMPUTED_VALUE"""),"貓狗企鵝")</f>
        <v>貓狗企鵝</v>
      </c>
      <c r="J1185" t="str">
        <f>IFERROR(__xludf.DUMMYFUNCTION("IFS(
  AND(REGEXMATCH(E1185, ""台銀籌備帳戶|玉山帳戶""), REGEXMATCH(C1185, ""薪資"")), ""分潤支出"",
  AND(REGEXMATCH(E1185, ""Ben帳戶|Elsa帳戶|Ben代墊|Ariel代墊|中信銀行共用""), REGEXMATCH(F1185, ""Ben帳戶|Elsa帳戶|Ben代墊|Ariel代墊|中信銀行共用"")), ""內部轉帳(忽略)"",
  AND(E1185&lt;&gt;"""", F1185&lt;&gt;"""", N"&amp;"OT(REGEXMATCH(C1185, ""薪資""))), ""內部轉帳(忽略)"",
  REGEXMATCH(C1185, ""薪資""), ""薪資變動(不計入)"",
  REGEXMATCH(C1185, ""押金""), ""押金往來"",
  AND(E1185&lt;&gt;"""", F1185=""""), ""真實支出"",
  AND(E1185="""", F1185&lt;&gt;""""), ""真實收入"",
  TRUE, ""其他""
)"),"真實收入")</f>
        <v>真實收入</v>
      </c>
      <c r="K1185" s="270">
        <f t="shared" si="2"/>
        <v>14500</v>
      </c>
      <c r="L1185">
        <f t="shared" si="3"/>
        <v>0</v>
      </c>
    </row>
    <row r="1186">
      <c r="A1186" s="107">
        <f>IFERROR(__xludf.DUMMYFUNCTION("""COMPUTED_VALUE"""),45627.0)</f>
        <v>45627</v>
      </c>
      <c r="B1186" t="str">
        <f>IFERROR(__xludf.DUMMYFUNCTION("""COMPUTED_VALUE"""),"龍江229E許霈琪")</f>
        <v>龍江229E許霈琪</v>
      </c>
      <c r="C1186" t="str">
        <f>IFERROR(__xludf.DUMMYFUNCTION("""COMPUTED_VALUE"""),"收入 - 租金")</f>
        <v>收入 - 租金</v>
      </c>
      <c r="D1186" s="270">
        <f>IFERROR(__xludf.DUMMYFUNCTION("""COMPUTED_VALUE"""),13500.0)</f>
        <v>13500</v>
      </c>
      <c r="F1186" t="str">
        <f>IFERROR(__xludf.DUMMYFUNCTION("""COMPUTED_VALUE"""),"台銀籌備帳戶")</f>
        <v>台銀籌備帳戶</v>
      </c>
      <c r="G1186" t="str">
        <f>IFERROR(__xludf.DUMMYFUNCTION("""COMPUTED_VALUE"""),"龍江229")</f>
        <v>龍江229</v>
      </c>
      <c r="H1186" s="106" t="str">
        <f t="shared" si="1"/>
        <v>2024-12</v>
      </c>
      <c r="I1186" s="271" t="str">
        <f>IFERROR(__xludf.DUMMYFUNCTION("""COMPUTED_VALUE"""),"貓狗企鵝")</f>
        <v>貓狗企鵝</v>
      </c>
      <c r="J1186" t="str">
        <f>IFERROR(__xludf.DUMMYFUNCTION("IFS(
  AND(REGEXMATCH(E1186, ""台銀籌備帳戶|玉山帳戶""), REGEXMATCH(C1186, ""薪資"")), ""分潤支出"",
  AND(REGEXMATCH(E1186, ""Ben帳戶|Elsa帳戶|Ben代墊|Ariel代墊|中信銀行共用""), REGEXMATCH(F1186, ""Ben帳戶|Elsa帳戶|Ben代墊|Ariel代墊|中信銀行共用"")), ""內部轉帳(忽略)"",
  AND(E1186&lt;&gt;"""", F1186&lt;&gt;"""", N"&amp;"OT(REGEXMATCH(C1186, ""薪資""))), ""內部轉帳(忽略)"",
  REGEXMATCH(C1186, ""薪資""), ""薪資變動(不計入)"",
  REGEXMATCH(C1186, ""押金""), ""押金往來"",
  AND(E1186&lt;&gt;"""", F1186=""""), ""真實支出"",
  AND(E1186="""", F1186&lt;&gt;""""), ""真實收入"",
  TRUE, ""其他""
)"),"真實收入")</f>
        <v>真實收入</v>
      </c>
      <c r="K1186" s="270">
        <f t="shared" si="2"/>
        <v>13500</v>
      </c>
      <c r="L1186">
        <f t="shared" si="3"/>
        <v>0</v>
      </c>
    </row>
    <row r="1187">
      <c r="A1187" s="107">
        <f>IFERROR(__xludf.DUMMYFUNCTION("""COMPUTED_VALUE"""),45627.0)</f>
        <v>45627</v>
      </c>
      <c r="B1187" t="str">
        <f>IFERROR(__xludf.DUMMYFUNCTION("""COMPUTED_VALUE"""),"龍江229C陳雨彤")</f>
        <v>龍江229C陳雨彤</v>
      </c>
      <c r="C1187" t="str">
        <f>IFERROR(__xludf.DUMMYFUNCTION("""COMPUTED_VALUE"""),"收入 - 租金")</f>
        <v>收入 - 租金</v>
      </c>
      <c r="D1187" s="270">
        <f>IFERROR(__xludf.DUMMYFUNCTION("""COMPUTED_VALUE"""),16800.0)</f>
        <v>16800</v>
      </c>
      <c r="F1187" t="str">
        <f>IFERROR(__xludf.DUMMYFUNCTION("""COMPUTED_VALUE"""),"台銀籌備帳戶")</f>
        <v>台銀籌備帳戶</v>
      </c>
      <c r="G1187" t="str">
        <f>IFERROR(__xludf.DUMMYFUNCTION("""COMPUTED_VALUE"""),"龍江229")</f>
        <v>龍江229</v>
      </c>
      <c r="H1187" s="106" t="str">
        <f t="shared" si="1"/>
        <v>2024-12</v>
      </c>
      <c r="I1187" s="271" t="str">
        <f>IFERROR(__xludf.DUMMYFUNCTION("""COMPUTED_VALUE"""),"貓狗企鵝")</f>
        <v>貓狗企鵝</v>
      </c>
      <c r="J1187" t="str">
        <f>IFERROR(__xludf.DUMMYFUNCTION("IFS(
  AND(REGEXMATCH(E1187, ""台銀籌備帳戶|玉山帳戶""), REGEXMATCH(C1187, ""薪資"")), ""分潤支出"",
  AND(REGEXMATCH(E1187, ""Ben帳戶|Elsa帳戶|Ben代墊|Ariel代墊|中信銀行共用""), REGEXMATCH(F1187, ""Ben帳戶|Elsa帳戶|Ben代墊|Ariel代墊|中信銀行共用"")), ""內部轉帳(忽略)"",
  AND(E1187&lt;&gt;"""", F1187&lt;&gt;"""", N"&amp;"OT(REGEXMATCH(C1187, ""薪資""))), ""內部轉帳(忽略)"",
  REGEXMATCH(C1187, ""薪資""), ""薪資變動(不計入)"",
  REGEXMATCH(C1187, ""押金""), ""押金往來"",
  AND(E1187&lt;&gt;"""", F1187=""""), ""真實支出"",
  AND(E1187="""", F1187&lt;&gt;""""), ""真實收入"",
  TRUE, ""其他""
)"),"真實收入")</f>
        <v>真實收入</v>
      </c>
      <c r="K1187" s="270">
        <f t="shared" si="2"/>
        <v>16800</v>
      </c>
      <c r="L1187">
        <f t="shared" si="3"/>
        <v>0</v>
      </c>
    </row>
    <row r="1188">
      <c r="A1188" s="107">
        <f>IFERROR(__xludf.DUMMYFUNCTION("""COMPUTED_VALUE"""),45627.0)</f>
        <v>45627</v>
      </c>
      <c r="B1188" t="str">
        <f>IFERROR(__xludf.DUMMYFUNCTION("""COMPUTED_VALUE"""),"北醫醫師府B王品涵")</f>
        <v>北醫醫師府B王品涵</v>
      </c>
      <c r="C1188" t="str">
        <f>IFERROR(__xludf.DUMMYFUNCTION("""COMPUTED_VALUE"""),"收入 - 租金")</f>
        <v>收入 - 租金</v>
      </c>
      <c r="D1188" s="270">
        <f>IFERROR(__xludf.DUMMYFUNCTION("""COMPUTED_VALUE"""),19800.0)</f>
        <v>19800</v>
      </c>
      <c r="F1188" t="str">
        <f>IFERROR(__xludf.DUMMYFUNCTION("""COMPUTED_VALUE"""),"台銀籌備帳戶")</f>
        <v>台銀籌備帳戶</v>
      </c>
      <c r="G1188" t="str">
        <f>IFERROR(__xludf.DUMMYFUNCTION("""COMPUTED_VALUE"""),"北醫醫師府")</f>
        <v>北醫醫師府</v>
      </c>
      <c r="H1188" s="106" t="str">
        <f t="shared" si="1"/>
        <v>2024-12</v>
      </c>
      <c r="I1188" s="271" t="str">
        <f>IFERROR(__xludf.DUMMYFUNCTION("""COMPUTED_VALUE"""),"貓狗企鵝")</f>
        <v>貓狗企鵝</v>
      </c>
      <c r="J1188" t="str">
        <f>IFERROR(__xludf.DUMMYFUNCTION("IFS(
  AND(REGEXMATCH(E1188, ""台銀籌備帳戶|玉山帳戶""), REGEXMATCH(C1188, ""薪資"")), ""分潤支出"",
  AND(REGEXMATCH(E1188, ""Ben帳戶|Elsa帳戶|Ben代墊|Ariel代墊|中信銀行共用""), REGEXMATCH(F1188, ""Ben帳戶|Elsa帳戶|Ben代墊|Ariel代墊|中信銀行共用"")), ""內部轉帳(忽略)"",
  AND(E1188&lt;&gt;"""", F1188&lt;&gt;"""", N"&amp;"OT(REGEXMATCH(C1188, ""薪資""))), ""內部轉帳(忽略)"",
  REGEXMATCH(C1188, ""薪資""), ""薪資變動(不計入)"",
  REGEXMATCH(C1188, ""押金""), ""押金往來"",
  AND(E1188&lt;&gt;"""", F1188=""""), ""真實支出"",
  AND(E1188="""", F1188&lt;&gt;""""), ""真實收入"",
  TRUE, ""其他""
)"),"真實收入")</f>
        <v>真實收入</v>
      </c>
      <c r="K1188" s="270">
        <f t="shared" si="2"/>
        <v>19800</v>
      </c>
      <c r="L1188">
        <f t="shared" si="3"/>
        <v>0</v>
      </c>
    </row>
    <row r="1189">
      <c r="A1189" s="107">
        <f>IFERROR(__xludf.DUMMYFUNCTION("""COMPUTED_VALUE"""),45627.0)</f>
        <v>45627</v>
      </c>
      <c r="B1189" t="str">
        <f>IFERROR(__xludf.DUMMYFUNCTION("""COMPUTED_VALUE"""),"永春四號C林聿妡")</f>
        <v>永春四號C林聿妡</v>
      </c>
      <c r="C1189" t="str">
        <f>IFERROR(__xludf.DUMMYFUNCTION("""COMPUTED_VALUE"""),"收入 - 租金")</f>
        <v>收入 - 租金</v>
      </c>
      <c r="D1189" s="270">
        <f>IFERROR(__xludf.DUMMYFUNCTION("""COMPUTED_VALUE"""),13300.0)</f>
        <v>13300</v>
      </c>
      <c r="F1189" t="str">
        <f>IFERROR(__xludf.DUMMYFUNCTION("""COMPUTED_VALUE"""),"台銀籌備帳戶")</f>
        <v>台銀籌備帳戶</v>
      </c>
      <c r="G1189" t="str">
        <f>IFERROR(__xludf.DUMMYFUNCTION("""COMPUTED_VALUE"""),"永春四號")</f>
        <v>永春四號</v>
      </c>
      <c r="H1189" s="106" t="str">
        <f t="shared" si="1"/>
        <v>2024-12</v>
      </c>
      <c r="I1189" s="271" t="str">
        <f>IFERROR(__xludf.DUMMYFUNCTION("""COMPUTED_VALUE"""),"貓狗企鵝")</f>
        <v>貓狗企鵝</v>
      </c>
      <c r="J1189" t="str">
        <f>IFERROR(__xludf.DUMMYFUNCTION("IFS(
  AND(REGEXMATCH(E1189, ""台銀籌備帳戶|玉山帳戶""), REGEXMATCH(C1189, ""薪資"")), ""分潤支出"",
  AND(REGEXMATCH(E1189, ""Ben帳戶|Elsa帳戶|Ben代墊|Ariel代墊|中信銀行共用""), REGEXMATCH(F1189, ""Ben帳戶|Elsa帳戶|Ben代墊|Ariel代墊|中信銀行共用"")), ""內部轉帳(忽略)"",
  AND(E1189&lt;&gt;"""", F1189&lt;&gt;"""", N"&amp;"OT(REGEXMATCH(C1189, ""薪資""))), ""內部轉帳(忽略)"",
  REGEXMATCH(C1189, ""薪資""), ""薪資變動(不計入)"",
  REGEXMATCH(C1189, ""押金""), ""押金往來"",
  AND(E1189&lt;&gt;"""", F1189=""""), ""真實支出"",
  AND(E1189="""", F1189&lt;&gt;""""), ""真實收入"",
  TRUE, ""其他""
)"),"真實收入")</f>
        <v>真實收入</v>
      </c>
      <c r="K1189" s="270">
        <f t="shared" si="2"/>
        <v>13300</v>
      </c>
      <c r="L1189">
        <f t="shared" si="3"/>
        <v>0</v>
      </c>
    </row>
    <row r="1190">
      <c r="A1190" s="107">
        <f>IFERROR(__xludf.DUMMYFUNCTION("""COMPUTED_VALUE"""),45627.0)</f>
        <v>45627</v>
      </c>
      <c r="B1190" t="str">
        <f>IFERROR(__xludf.DUMMYFUNCTION("""COMPUTED_VALUE"""),"大湖山莊E吳彥霆")</f>
        <v>大湖山莊E吳彥霆</v>
      </c>
      <c r="C1190" t="str">
        <f>IFERROR(__xludf.DUMMYFUNCTION("""COMPUTED_VALUE"""),"收入 - 租金")</f>
        <v>收入 - 租金</v>
      </c>
      <c r="D1190" s="270">
        <f>IFERROR(__xludf.DUMMYFUNCTION("""COMPUTED_VALUE"""),12500.0)</f>
        <v>12500</v>
      </c>
      <c r="F1190" t="str">
        <f>IFERROR(__xludf.DUMMYFUNCTION("""COMPUTED_VALUE"""),"台銀籌備帳戶")</f>
        <v>台銀籌備帳戶</v>
      </c>
      <c r="G1190" t="str">
        <f>IFERROR(__xludf.DUMMYFUNCTION("""COMPUTED_VALUE"""),"大湖山莊")</f>
        <v>大湖山莊</v>
      </c>
      <c r="H1190" s="106" t="str">
        <f t="shared" si="1"/>
        <v>2024-12</v>
      </c>
      <c r="I1190" s="271" t="str">
        <f>IFERROR(__xludf.DUMMYFUNCTION("""COMPUTED_VALUE"""),"貓狗企鵝")</f>
        <v>貓狗企鵝</v>
      </c>
      <c r="J1190" t="str">
        <f>IFERROR(__xludf.DUMMYFUNCTION("IFS(
  AND(REGEXMATCH(E1190, ""台銀籌備帳戶|玉山帳戶""), REGEXMATCH(C1190, ""薪資"")), ""分潤支出"",
  AND(REGEXMATCH(E1190, ""Ben帳戶|Elsa帳戶|Ben代墊|Ariel代墊|中信銀行共用""), REGEXMATCH(F1190, ""Ben帳戶|Elsa帳戶|Ben代墊|Ariel代墊|中信銀行共用"")), ""內部轉帳(忽略)"",
  AND(E1190&lt;&gt;"""", F1190&lt;&gt;"""", N"&amp;"OT(REGEXMATCH(C1190, ""薪資""))), ""內部轉帳(忽略)"",
  REGEXMATCH(C1190, ""薪資""), ""薪資變動(不計入)"",
  REGEXMATCH(C1190, ""押金""), ""押金往來"",
  AND(E1190&lt;&gt;"""", F1190=""""), ""真實支出"",
  AND(E1190="""", F1190&lt;&gt;""""), ""真實收入"",
  TRUE, ""其他""
)"),"真實收入")</f>
        <v>真實收入</v>
      </c>
      <c r="K1190" s="270">
        <f t="shared" si="2"/>
        <v>12500</v>
      </c>
      <c r="L1190">
        <f t="shared" si="3"/>
        <v>0</v>
      </c>
    </row>
    <row r="1191">
      <c r="A1191" s="107">
        <f>IFERROR(__xludf.DUMMYFUNCTION("""COMPUTED_VALUE"""),45627.0)</f>
        <v>45627</v>
      </c>
      <c r="B1191" t="str">
        <f>IFERROR(__xludf.DUMMYFUNCTION("""COMPUTED_VALUE"""),"景安2分鐘C楊玉如")</f>
        <v>景安2分鐘C楊玉如</v>
      </c>
      <c r="C1191" t="str">
        <f>IFERROR(__xludf.DUMMYFUNCTION("""COMPUTED_VALUE"""),"收入 - 租金")</f>
        <v>收入 - 租金</v>
      </c>
      <c r="D1191" s="270">
        <f>IFERROR(__xludf.DUMMYFUNCTION("""COMPUTED_VALUE"""),12300.0)</f>
        <v>12300</v>
      </c>
      <c r="F1191" t="str">
        <f>IFERROR(__xludf.DUMMYFUNCTION("""COMPUTED_VALUE"""),"台銀籌備帳戶")</f>
        <v>台銀籌備帳戶</v>
      </c>
      <c r="G1191" t="str">
        <f>IFERROR(__xludf.DUMMYFUNCTION("""COMPUTED_VALUE"""),"景安2分鐘")</f>
        <v>景安2分鐘</v>
      </c>
      <c r="H1191" s="106" t="str">
        <f t="shared" si="1"/>
        <v>2024-12</v>
      </c>
      <c r="I1191" s="271" t="str">
        <f>IFERROR(__xludf.DUMMYFUNCTION("""COMPUTED_VALUE"""),"貓狗企鵝")</f>
        <v>貓狗企鵝</v>
      </c>
      <c r="J1191" t="str">
        <f>IFERROR(__xludf.DUMMYFUNCTION("IFS(
  AND(REGEXMATCH(E1191, ""台銀籌備帳戶|玉山帳戶""), REGEXMATCH(C1191, ""薪資"")), ""分潤支出"",
  AND(REGEXMATCH(E1191, ""Ben帳戶|Elsa帳戶|Ben代墊|Ariel代墊|中信銀行共用""), REGEXMATCH(F1191, ""Ben帳戶|Elsa帳戶|Ben代墊|Ariel代墊|中信銀行共用"")), ""內部轉帳(忽略)"",
  AND(E1191&lt;&gt;"""", F1191&lt;&gt;"""", N"&amp;"OT(REGEXMATCH(C1191, ""薪資""))), ""內部轉帳(忽略)"",
  REGEXMATCH(C1191, ""薪資""), ""薪資變動(不計入)"",
  REGEXMATCH(C1191, ""押金""), ""押金往來"",
  AND(E1191&lt;&gt;"""", F1191=""""), ""真實支出"",
  AND(E1191="""", F1191&lt;&gt;""""), ""真實收入"",
  TRUE, ""其他""
)"),"真實收入")</f>
        <v>真實收入</v>
      </c>
      <c r="K1191" s="270">
        <f t="shared" si="2"/>
        <v>12300</v>
      </c>
      <c r="L1191">
        <f t="shared" si="3"/>
        <v>0</v>
      </c>
    </row>
    <row r="1192">
      <c r="A1192" s="107">
        <f>IFERROR(__xludf.DUMMYFUNCTION("""COMPUTED_VALUE"""),45627.0)</f>
        <v>45627</v>
      </c>
      <c r="B1192" t="str">
        <f>IFERROR(__xludf.DUMMYFUNCTION("""COMPUTED_VALUE"""),"景安2分鐘A蕭宇榛")</f>
        <v>景安2分鐘A蕭宇榛</v>
      </c>
      <c r="C1192" t="str">
        <f>IFERROR(__xludf.DUMMYFUNCTION("""COMPUTED_VALUE"""),"收入 - 租金")</f>
        <v>收入 - 租金</v>
      </c>
      <c r="D1192" s="270">
        <f>IFERROR(__xludf.DUMMYFUNCTION("""COMPUTED_VALUE"""),14500.0)</f>
        <v>14500</v>
      </c>
      <c r="F1192" t="str">
        <f>IFERROR(__xludf.DUMMYFUNCTION("""COMPUTED_VALUE"""),"台銀籌備帳戶")</f>
        <v>台銀籌備帳戶</v>
      </c>
      <c r="G1192" t="str">
        <f>IFERROR(__xludf.DUMMYFUNCTION("""COMPUTED_VALUE"""),"景安2分鐘")</f>
        <v>景安2分鐘</v>
      </c>
      <c r="H1192" s="106" t="str">
        <f t="shared" si="1"/>
        <v>2024-12</v>
      </c>
      <c r="I1192" s="271" t="str">
        <f>IFERROR(__xludf.DUMMYFUNCTION("""COMPUTED_VALUE"""),"貓狗企鵝")</f>
        <v>貓狗企鵝</v>
      </c>
      <c r="J1192" t="str">
        <f>IFERROR(__xludf.DUMMYFUNCTION("IFS(
  AND(REGEXMATCH(E1192, ""台銀籌備帳戶|玉山帳戶""), REGEXMATCH(C1192, ""薪資"")), ""分潤支出"",
  AND(REGEXMATCH(E1192, ""Ben帳戶|Elsa帳戶|Ben代墊|Ariel代墊|中信銀行共用""), REGEXMATCH(F1192, ""Ben帳戶|Elsa帳戶|Ben代墊|Ariel代墊|中信銀行共用"")), ""內部轉帳(忽略)"",
  AND(E1192&lt;&gt;"""", F1192&lt;&gt;"""", N"&amp;"OT(REGEXMATCH(C1192, ""薪資""))), ""內部轉帳(忽略)"",
  REGEXMATCH(C1192, ""薪資""), ""薪資變動(不計入)"",
  REGEXMATCH(C1192, ""押金""), ""押金往來"",
  AND(E1192&lt;&gt;"""", F1192=""""), ""真實支出"",
  AND(E1192="""", F1192&lt;&gt;""""), ""真實收入"",
  TRUE, ""其他""
)"),"真實收入")</f>
        <v>真實收入</v>
      </c>
      <c r="K1192" s="270">
        <f t="shared" si="2"/>
        <v>14500</v>
      </c>
      <c r="L1192">
        <f t="shared" si="3"/>
        <v>0</v>
      </c>
    </row>
    <row r="1193">
      <c r="A1193" s="107">
        <f>IFERROR(__xludf.DUMMYFUNCTION("""COMPUTED_VALUE"""),45627.0)</f>
        <v>45627</v>
      </c>
      <c r="B1193" t="str">
        <f>IFERROR(__xludf.DUMMYFUNCTION("""COMPUTED_VALUE"""),"中山北娘家旁D許庭偉")</f>
        <v>中山北娘家旁D許庭偉</v>
      </c>
      <c r="C1193" t="str">
        <f>IFERROR(__xludf.DUMMYFUNCTION("""COMPUTED_VALUE"""),"收入 - 租金")</f>
        <v>收入 - 租金</v>
      </c>
      <c r="D1193" s="270">
        <f>IFERROR(__xludf.DUMMYFUNCTION("""COMPUTED_VALUE"""),10000.0)</f>
        <v>10000</v>
      </c>
      <c r="F1193" t="str">
        <f>IFERROR(__xludf.DUMMYFUNCTION("""COMPUTED_VALUE"""),"台銀籌備帳戶")</f>
        <v>台銀籌備帳戶</v>
      </c>
      <c r="G1193" t="str">
        <f>IFERROR(__xludf.DUMMYFUNCTION("""COMPUTED_VALUE"""),"中山北娘家旁")</f>
        <v>中山北娘家旁</v>
      </c>
      <c r="H1193" s="106" t="str">
        <f t="shared" si="1"/>
        <v>2024-12</v>
      </c>
      <c r="I1193" s="271" t="str">
        <f>IFERROR(__xludf.DUMMYFUNCTION("""COMPUTED_VALUE"""),"貓狗企鵝")</f>
        <v>貓狗企鵝</v>
      </c>
      <c r="J1193" t="str">
        <f>IFERROR(__xludf.DUMMYFUNCTION("IFS(
  AND(REGEXMATCH(E1193, ""台銀籌備帳戶|玉山帳戶""), REGEXMATCH(C1193, ""薪資"")), ""分潤支出"",
  AND(REGEXMATCH(E1193, ""Ben帳戶|Elsa帳戶|Ben代墊|Ariel代墊|中信銀行共用""), REGEXMATCH(F1193, ""Ben帳戶|Elsa帳戶|Ben代墊|Ariel代墊|中信銀行共用"")), ""內部轉帳(忽略)"",
  AND(E1193&lt;&gt;"""", F1193&lt;&gt;"""", N"&amp;"OT(REGEXMATCH(C1193, ""薪資""))), ""內部轉帳(忽略)"",
  REGEXMATCH(C1193, ""薪資""), ""薪資變動(不計入)"",
  REGEXMATCH(C1193, ""押金""), ""押金往來"",
  AND(E1193&lt;&gt;"""", F1193=""""), ""真實支出"",
  AND(E1193="""", F1193&lt;&gt;""""), ""真實收入"",
  TRUE, ""其他""
)"),"真實收入")</f>
        <v>真實收入</v>
      </c>
      <c r="K1193" s="270">
        <f t="shared" si="2"/>
        <v>10000</v>
      </c>
      <c r="L1193">
        <f t="shared" si="3"/>
        <v>0</v>
      </c>
    </row>
    <row r="1194">
      <c r="A1194" s="107">
        <f>IFERROR(__xludf.DUMMYFUNCTION("""COMPUTED_VALUE"""),45627.0)</f>
        <v>45627</v>
      </c>
      <c r="B1194" t="str">
        <f>IFERROR(__xludf.DUMMYFUNCTION("""COMPUTED_VALUE"""),"中山北娘家旁D許庭偉")</f>
        <v>中山北娘家旁D許庭偉</v>
      </c>
      <c r="C1194" t="str">
        <f>IFERROR(__xludf.DUMMYFUNCTION("""COMPUTED_VALUE"""),"收入 - 租金")</f>
        <v>收入 - 租金</v>
      </c>
      <c r="D1194" s="270">
        <f>IFERROR(__xludf.DUMMYFUNCTION("""COMPUTED_VALUE"""),4500.0)</f>
        <v>4500</v>
      </c>
      <c r="F1194" t="str">
        <f>IFERROR(__xludf.DUMMYFUNCTION("""COMPUTED_VALUE"""),"台銀籌備帳戶")</f>
        <v>台銀籌備帳戶</v>
      </c>
      <c r="G1194" t="str">
        <f>IFERROR(__xludf.DUMMYFUNCTION("""COMPUTED_VALUE"""),"中山北娘家旁")</f>
        <v>中山北娘家旁</v>
      </c>
      <c r="H1194" s="106" t="str">
        <f t="shared" si="1"/>
        <v>2024-12</v>
      </c>
      <c r="I1194" s="271" t="str">
        <f>IFERROR(__xludf.DUMMYFUNCTION("""COMPUTED_VALUE"""),"貓狗企鵝")</f>
        <v>貓狗企鵝</v>
      </c>
      <c r="J1194" t="str">
        <f>IFERROR(__xludf.DUMMYFUNCTION("IFS(
  AND(REGEXMATCH(E1194, ""台銀籌備帳戶|玉山帳戶""), REGEXMATCH(C1194, ""薪資"")), ""分潤支出"",
  AND(REGEXMATCH(E1194, ""Ben帳戶|Elsa帳戶|Ben代墊|Ariel代墊|中信銀行共用""), REGEXMATCH(F1194, ""Ben帳戶|Elsa帳戶|Ben代墊|Ariel代墊|中信銀行共用"")), ""內部轉帳(忽略)"",
  AND(E1194&lt;&gt;"""", F1194&lt;&gt;"""", N"&amp;"OT(REGEXMATCH(C1194, ""薪資""))), ""內部轉帳(忽略)"",
  REGEXMATCH(C1194, ""薪資""), ""薪資變動(不計入)"",
  REGEXMATCH(C1194, ""押金""), ""押金往來"",
  AND(E1194&lt;&gt;"""", F1194=""""), ""真實支出"",
  AND(E1194="""", F1194&lt;&gt;""""), ""真實收入"",
  TRUE, ""其他""
)"),"真實收入")</f>
        <v>真實收入</v>
      </c>
      <c r="K1194" s="270">
        <f t="shared" si="2"/>
        <v>4500</v>
      </c>
      <c r="L1194">
        <f t="shared" si="3"/>
        <v>0</v>
      </c>
    </row>
    <row r="1195">
      <c r="A1195" s="107">
        <f>IFERROR(__xludf.DUMMYFUNCTION("""COMPUTED_VALUE"""),45627.0)</f>
        <v>45627</v>
      </c>
      <c r="B1195" t="str">
        <f>IFERROR(__xludf.DUMMYFUNCTION("""COMPUTED_VALUE"""),"龍江229D黃依婷")</f>
        <v>龍江229D黃依婷</v>
      </c>
      <c r="C1195" t="str">
        <f>IFERROR(__xludf.DUMMYFUNCTION("""COMPUTED_VALUE"""),"收入 - 租金")</f>
        <v>收入 - 租金</v>
      </c>
      <c r="D1195" s="270">
        <f>IFERROR(__xludf.DUMMYFUNCTION("""COMPUTED_VALUE"""),13300.0)</f>
        <v>13300</v>
      </c>
      <c r="F1195" t="str">
        <f>IFERROR(__xludf.DUMMYFUNCTION("""COMPUTED_VALUE"""),"台銀籌備帳戶")</f>
        <v>台銀籌備帳戶</v>
      </c>
      <c r="G1195" t="str">
        <f>IFERROR(__xludf.DUMMYFUNCTION("""COMPUTED_VALUE"""),"龍江229")</f>
        <v>龍江229</v>
      </c>
      <c r="H1195" s="106" t="str">
        <f t="shared" si="1"/>
        <v>2024-12</v>
      </c>
      <c r="I1195" s="271" t="str">
        <f>IFERROR(__xludf.DUMMYFUNCTION("""COMPUTED_VALUE"""),"貓狗企鵝")</f>
        <v>貓狗企鵝</v>
      </c>
      <c r="J1195" t="str">
        <f>IFERROR(__xludf.DUMMYFUNCTION("IFS(
  AND(REGEXMATCH(E1195, ""台銀籌備帳戶|玉山帳戶""), REGEXMATCH(C1195, ""薪資"")), ""分潤支出"",
  AND(REGEXMATCH(E1195, ""Ben帳戶|Elsa帳戶|Ben代墊|Ariel代墊|中信銀行共用""), REGEXMATCH(F1195, ""Ben帳戶|Elsa帳戶|Ben代墊|Ariel代墊|中信銀行共用"")), ""內部轉帳(忽略)"",
  AND(E1195&lt;&gt;"""", F1195&lt;&gt;"""", N"&amp;"OT(REGEXMATCH(C1195, ""薪資""))), ""內部轉帳(忽略)"",
  REGEXMATCH(C1195, ""薪資""), ""薪資變動(不計入)"",
  REGEXMATCH(C1195, ""押金""), ""押金往來"",
  AND(E1195&lt;&gt;"""", F1195=""""), ""真實支出"",
  AND(E1195="""", F1195&lt;&gt;""""), ""真實收入"",
  TRUE, ""其他""
)"),"真實收入")</f>
        <v>真實收入</v>
      </c>
      <c r="K1195" s="270">
        <f t="shared" si="2"/>
        <v>13300</v>
      </c>
      <c r="L1195">
        <f t="shared" si="3"/>
        <v>0</v>
      </c>
    </row>
    <row r="1196">
      <c r="A1196" s="107">
        <f>IFERROR(__xludf.DUMMYFUNCTION("""COMPUTED_VALUE"""),45627.0)</f>
        <v>45627</v>
      </c>
      <c r="B1196" t="str">
        <f>IFERROR(__xludf.DUMMYFUNCTION("""COMPUTED_VALUE"""),"南港站挑高宅A莊以棋")</f>
        <v>南港站挑高宅A莊以棋</v>
      </c>
      <c r="C1196" t="str">
        <f>IFERROR(__xludf.DUMMYFUNCTION("""COMPUTED_VALUE"""),"收入 - 租金")</f>
        <v>收入 - 租金</v>
      </c>
      <c r="D1196" s="270">
        <f>IFERROR(__xludf.DUMMYFUNCTION("""COMPUTED_VALUE"""),13000.0)</f>
        <v>13000</v>
      </c>
      <c r="F1196" t="str">
        <f>IFERROR(__xludf.DUMMYFUNCTION("""COMPUTED_VALUE"""),"台銀籌備帳戶")</f>
        <v>台銀籌備帳戶</v>
      </c>
      <c r="G1196" t="str">
        <f>IFERROR(__xludf.DUMMYFUNCTION("""COMPUTED_VALUE"""),"南港站挑高宅")</f>
        <v>南港站挑高宅</v>
      </c>
      <c r="H1196" s="106" t="str">
        <f t="shared" si="1"/>
        <v>2024-12</v>
      </c>
      <c r="I1196" s="271" t="str">
        <f>IFERROR(__xludf.DUMMYFUNCTION("""COMPUTED_VALUE"""),"貓狗企鵝")</f>
        <v>貓狗企鵝</v>
      </c>
      <c r="J1196" t="str">
        <f>IFERROR(__xludf.DUMMYFUNCTION("IFS(
  AND(REGEXMATCH(E1196, ""台銀籌備帳戶|玉山帳戶""), REGEXMATCH(C1196, ""薪資"")), ""分潤支出"",
  AND(REGEXMATCH(E1196, ""Ben帳戶|Elsa帳戶|Ben代墊|Ariel代墊|中信銀行共用""), REGEXMATCH(F1196, ""Ben帳戶|Elsa帳戶|Ben代墊|Ariel代墊|中信銀行共用"")), ""內部轉帳(忽略)"",
  AND(E1196&lt;&gt;"""", F1196&lt;&gt;"""", N"&amp;"OT(REGEXMATCH(C1196, ""薪資""))), ""內部轉帳(忽略)"",
  REGEXMATCH(C1196, ""薪資""), ""薪資變動(不計入)"",
  REGEXMATCH(C1196, ""押金""), ""押金往來"",
  AND(E1196&lt;&gt;"""", F1196=""""), ""真實支出"",
  AND(E1196="""", F1196&lt;&gt;""""), ""真實收入"",
  TRUE, ""其他""
)"),"真實收入")</f>
        <v>真實收入</v>
      </c>
      <c r="K1196" s="270">
        <f t="shared" si="2"/>
        <v>13000</v>
      </c>
      <c r="L1196">
        <f t="shared" si="3"/>
        <v>0</v>
      </c>
    </row>
    <row r="1197">
      <c r="A1197" s="107">
        <f>IFERROR(__xludf.DUMMYFUNCTION("""COMPUTED_VALUE"""),45627.0)</f>
        <v>45627</v>
      </c>
      <c r="B1197" t="str">
        <f>IFERROR(__xludf.DUMMYFUNCTION("""COMPUTED_VALUE"""),"大湖山莊G林文心")</f>
        <v>大湖山莊G林文心</v>
      </c>
      <c r="C1197" t="str">
        <f>IFERROR(__xludf.DUMMYFUNCTION("""COMPUTED_VALUE"""),"收入 - 租金")</f>
        <v>收入 - 租金</v>
      </c>
      <c r="D1197" s="270">
        <f>IFERROR(__xludf.DUMMYFUNCTION("""COMPUTED_VALUE"""),15000.0)</f>
        <v>15000</v>
      </c>
      <c r="F1197" t="str">
        <f>IFERROR(__xludf.DUMMYFUNCTION("""COMPUTED_VALUE"""),"台銀籌備帳戶")</f>
        <v>台銀籌備帳戶</v>
      </c>
      <c r="G1197" t="str">
        <f>IFERROR(__xludf.DUMMYFUNCTION("""COMPUTED_VALUE"""),"大湖山莊")</f>
        <v>大湖山莊</v>
      </c>
      <c r="H1197" s="106" t="str">
        <f t="shared" si="1"/>
        <v>2024-12</v>
      </c>
      <c r="I1197" s="271" t="str">
        <f>IFERROR(__xludf.DUMMYFUNCTION("""COMPUTED_VALUE"""),"貓狗企鵝")</f>
        <v>貓狗企鵝</v>
      </c>
      <c r="J1197" t="str">
        <f>IFERROR(__xludf.DUMMYFUNCTION("IFS(
  AND(REGEXMATCH(E1197, ""台銀籌備帳戶|玉山帳戶""), REGEXMATCH(C1197, ""薪資"")), ""分潤支出"",
  AND(REGEXMATCH(E1197, ""Ben帳戶|Elsa帳戶|Ben代墊|Ariel代墊|中信銀行共用""), REGEXMATCH(F1197, ""Ben帳戶|Elsa帳戶|Ben代墊|Ariel代墊|中信銀行共用"")), ""內部轉帳(忽略)"",
  AND(E1197&lt;&gt;"""", F1197&lt;&gt;"""", N"&amp;"OT(REGEXMATCH(C1197, ""薪資""))), ""內部轉帳(忽略)"",
  REGEXMATCH(C1197, ""薪資""), ""薪資變動(不計入)"",
  REGEXMATCH(C1197, ""押金""), ""押金往來"",
  AND(E1197&lt;&gt;"""", F1197=""""), ""真實支出"",
  AND(E1197="""", F1197&lt;&gt;""""), ""真實收入"",
  TRUE, ""其他""
)"),"真實收入")</f>
        <v>真實收入</v>
      </c>
      <c r="K1197" s="270">
        <f t="shared" si="2"/>
        <v>15000</v>
      </c>
      <c r="L1197">
        <f t="shared" si="3"/>
        <v>0</v>
      </c>
    </row>
    <row r="1198">
      <c r="A1198" s="107">
        <f>IFERROR(__xludf.DUMMYFUNCTION("""COMPUTED_VALUE"""),45627.0)</f>
        <v>45627</v>
      </c>
      <c r="B1198" t="str">
        <f>IFERROR(__xludf.DUMMYFUNCTION("""COMPUTED_VALUE"""),"丁 Feli家鐵皮")</f>
        <v>丁 Feli家鐵皮</v>
      </c>
      <c r="C1198" t="str">
        <f>IFERROR(__xludf.DUMMYFUNCTION("""COMPUTED_VALUE"""),"成本 - 進場前裝潢費")</f>
        <v>成本 - 進場前裝潢費</v>
      </c>
      <c r="D1198" s="270">
        <f>IFERROR(__xludf.DUMMYFUNCTION("""COMPUTED_VALUE"""),-25000.0)</f>
        <v>-25000</v>
      </c>
      <c r="E1198" t="str">
        <f>IFERROR(__xludf.DUMMYFUNCTION("""COMPUTED_VALUE"""),"Ben帳戶")</f>
        <v>Ben帳戶</v>
      </c>
      <c r="G1198" t="str">
        <f>IFERROR(__xludf.DUMMYFUNCTION("""COMPUTED_VALUE"""),"中山北Feli家")</f>
        <v>中山北Feli家</v>
      </c>
      <c r="H1198" s="106" t="str">
        <f t="shared" si="1"/>
        <v>2024-12</v>
      </c>
      <c r="I1198" s="271" t="str">
        <f>IFERROR(__xludf.DUMMYFUNCTION("""COMPUTED_VALUE"""),"貓狗企鵝")</f>
        <v>貓狗企鵝</v>
      </c>
      <c r="J1198" t="str">
        <f>IFERROR(__xludf.DUMMYFUNCTION("IFS(
  AND(REGEXMATCH(E1198, ""台銀籌備帳戶|玉山帳戶""), REGEXMATCH(C1198, ""薪資"")), ""分潤支出"",
  AND(REGEXMATCH(E1198, ""Ben帳戶|Elsa帳戶|Ben代墊|Ariel代墊|中信銀行共用""), REGEXMATCH(F1198, ""Ben帳戶|Elsa帳戶|Ben代墊|Ariel代墊|中信銀行共用"")), ""內部轉帳(忽略)"",
  AND(E1198&lt;&gt;"""", F1198&lt;&gt;"""", N"&amp;"OT(REGEXMATCH(C1198, ""薪資""))), ""內部轉帳(忽略)"",
  REGEXMATCH(C1198, ""薪資""), ""薪資變動(不計入)"",
  REGEXMATCH(C1198, ""押金""), ""押金往來"",
  AND(E1198&lt;&gt;"""", F1198=""""), ""真實支出"",
  AND(E1198="""", F1198&lt;&gt;""""), ""真實收入"",
  TRUE, ""其他""
)"),"真實支出")</f>
        <v>真實支出</v>
      </c>
      <c r="K1198" s="270">
        <f t="shared" si="2"/>
        <v>-25000</v>
      </c>
      <c r="L1198">
        <f t="shared" si="3"/>
        <v>0</v>
      </c>
    </row>
    <row r="1199">
      <c r="A1199" s="107">
        <f>IFERROR(__xludf.DUMMYFUNCTION("""COMPUTED_VALUE"""),45627.0)</f>
        <v>45627</v>
      </c>
      <c r="B1199" t="str">
        <f>IFERROR(__xludf.DUMMYFUNCTION("""COMPUTED_VALUE"""),"丁 吳興防水")</f>
        <v>丁 吳興防水</v>
      </c>
      <c r="C1199" t="str">
        <f>IFERROR(__xludf.DUMMYFUNCTION("""COMPUTED_VALUE"""),"成本 - 租後修繕")</f>
        <v>成本 - 租後修繕</v>
      </c>
      <c r="D1199" s="270">
        <f>IFERROR(__xludf.DUMMYFUNCTION("""COMPUTED_VALUE"""),-60000.0)</f>
        <v>-60000</v>
      </c>
      <c r="E1199" t="str">
        <f>IFERROR(__xludf.DUMMYFUNCTION("""COMPUTED_VALUE"""),"Ben帳戶")</f>
        <v>Ben帳戶</v>
      </c>
      <c r="G1199" t="str">
        <f>IFERROR(__xludf.DUMMYFUNCTION("""COMPUTED_VALUE"""),"北醫醫師府")</f>
        <v>北醫醫師府</v>
      </c>
      <c r="H1199" s="106" t="str">
        <f t="shared" si="1"/>
        <v>2024-12</v>
      </c>
      <c r="I1199" s="271" t="str">
        <f>IFERROR(__xludf.DUMMYFUNCTION("""COMPUTED_VALUE"""),"貓狗企鵝")</f>
        <v>貓狗企鵝</v>
      </c>
      <c r="J1199" t="str">
        <f>IFERROR(__xludf.DUMMYFUNCTION("IFS(
  AND(REGEXMATCH(E1199, ""台銀籌備帳戶|玉山帳戶""), REGEXMATCH(C1199, ""薪資"")), ""分潤支出"",
  AND(REGEXMATCH(E1199, ""Ben帳戶|Elsa帳戶|Ben代墊|Ariel代墊|中信銀行共用""), REGEXMATCH(F1199, ""Ben帳戶|Elsa帳戶|Ben代墊|Ariel代墊|中信銀行共用"")), ""內部轉帳(忽略)"",
  AND(E1199&lt;&gt;"""", F1199&lt;&gt;"""", N"&amp;"OT(REGEXMATCH(C1199, ""薪資""))), ""內部轉帳(忽略)"",
  REGEXMATCH(C1199, ""薪資""), ""薪資變動(不計入)"",
  REGEXMATCH(C1199, ""押金""), ""押金往來"",
  AND(E1199&lt;&gt;"""", F1199=""""), ""真實支出"",
  AND(E1199="""", F1199&lt;&gt;""""), ""真實收入"",
  TRUE, ""其他""
)"),"真實支出")</f>
        <v>真實支出</v>
      </c>
      <c r="K1199" s="270">
        <f t="shared" si="2"/>
        <v>-60000</v>
      </c>
      <c r="L1199">
        <f t="shared" si="3"/>
        <v>0</v>
      </c>
    </row>
    <row r="1200">
      <c r="A1200" s="107">
        <f>IFERROR(__xludf.DUMMYFUNCTION("""COMPUTED_VALUE"""),45628.0)</f>
        <v>45628</v>
      </c>
      <c r="B1200" t="str">
        <f>IFERROR(__xludf.DUMMYFUNCTION("""COMPUTED_VALUE"""),"水費 景安")</f>
        <v>水費 景安</v>
      </c>
      <c r="C1200" t="str">
        <f>IFERROR(__xludf.DUMMYFUNCTION("""COMPUTED_VALUE"""),"成本 - 固定開銷(網路代收清潔)")</f>
        <v>成本 - 固定開銷(網路代收清潔)</v>
      </c>
      <c r="D1200" s="270">
        <f>IFERROR(__xludf.DUMMYFUNCTION("""COMPUTED_VALUE"""),-93.0)</f>
        <v>-93</v>
      </c>
      <c r="E1200" t="str">
        <f>IFERROR(__xludf.DUMMYFUNCTION("""COMPUTED_VALUE"""),"Ben帳戶")</f>
        <v>Ben帳戶</v>
      </c>
      <c r="G1200" t="str">
        <f>IFERROR(__xludf.DUMMYFUNCTION("""COMPUTED_VALUE"""),"景安2分鐘")</f>
        <v>景安2分鐘</v>
      </c>
      <c r="H1200" s="106" t="str">
        <f t="shared" si="1"/>
        <v>2024-12</v>
      </c>
      <c r="I1200" s="271" t="str">
        <f>IFERROR(__xludf.DUMMYFUNCTION("""COMPUTED_VALUE"""),"貓狗企鵝")</f>
        <v>貓狗企鵝</v>
      </c>
      <c r="J1200" t="str">
        <f>IFERROR(__xludf.DUMMYFUNCTION("IFS(
  AND(REGEXMATCH(E1200, ""台銀籌備帳戶|玉山帳戶""), REGEXMATCH(C1200, ""薪資"")), ""分潤支出"",
  AND(REGEXMATCH(E1200, ""Ben帳戶|Elsa帳戶|Ben代墊|Ariel代墊|中信銀行共用""), REGEXMATCH(F1200, ""Ben帳戶|Elsa帳戶|Ben代墊|Ariel代墊|中信銀行共用"")), ""內部轉帳(忽略)"",
  AND(E1200&lt;&gt;"""", F1200&lt;&gt;"""", N"&amp;"OT(REGEXMATCH(C1200, ""薪資""))), ""內部轉帳(忽略)"",
  REGEXMATCH(C1200, ""薪資""), ""薪資變動(不計入)"",
  REGEXMATCH(C1200, ""押金""), ""押金往來"",
  AND(E1200&lt;&gt;"""", F1200=""""), ""真實支出"",
  AND(E1200="""", F1200&lt;&gt;""""), ""真實收入"",
  TRUE, ""其他""
)"),"真實支出")</f>
        <v>真實支出</v>
      </c>
      <c r="K1200" s="270">
        <f t="shared" si="2"/>
        <v>-93</v>
      </c>
      <c r="L1200">
        <f t="shared" si="3"/>
        <v>0</v>
      </c>
    </row>
    <row r="1201">
      <c r="A1201" s="107">
        <f>IFERROR(__xludf.DUMMYFUNCTION("""COMPUTED_VALUE"""),45628.0)</f>
        <v>45628</v>
      </c>
      <c r="B1201" t="str">
        <f>IFERROR(__xludf.DUMMYFUNCTION("""COMPUTED_VALUE"""),"哈拉通馬桶")</f>
        <v>哈拉通馬桶</v>
      </c>
      <c r="C1201" t="str">
        <f>IFERROR(__xludf.DUMMYFUNCTION("""COMPUTED_VALUE"""),"成本 - 租後修繕")</f>
        <v>成本 - 租後修繕</v>
      </c>
      <c r="D1201" s="270">
        <f>IFERROR(__xludf.DUMMYFUNCTION("""COMPUTED_VALUE"""),-1500.0)</f>
        <v>-1500</v>
      </c>
      <c r="E1201" t="str">
        <f>IFERROR(__xludf.DUMMYFUNCTION("""COMPUTED_VALUE"""),"Ben帳戶")</f>
        <v>Ben帳戶</v>
      </c>
      <c r="G1201" t="str">
        <f>IFERROR(__xludf.DUMMYFUNCTION("""COMPUTED_VALUE"""),"哈拉對面")</f>
        <v>哈拉對面</v>
      </c>
      <c r="H1201" s="106" t="str">
        <f t="shared" si="1"/>
        <v>2024-12</v>
      </c>
      <c r="I1201" s="271" t="str">
        <f>IFERROR(__xludf.DUMMYFUNCTION("""COMPUTED_VALUE"""),"貓狗企鵝")</f>
        <v>貓狗企鵝</v>
      </c>
      <c r="J1201" t="str">
        <f>IFERROR(__xludf.DUMMYFUNCTION("IFS(
  AND(REGEXMATCH(E1201, ""台銀籌備帳戶|玉山帳戶""), REGEXMATCH(C1201, ""薪資"")), ""分潤支出"",
  AND(REGEXMATCH(E1201, ""Ben帳戶|Elsa帳戶|Ben代墊|Ariel代墊|中信銀行共用""), REGEXMATCH(F1201, ""Ben帳戶|Elsa帳戶|Ben代墊|Ariel代墊|中信銀行共用"")), ""內部轉帳(忽略)"",
  AND(E1201&lt;&gt;"""", F1201&lt;&gt;"""", N"&amp;"OT(REGEXMATCH(C1201, ""薪資""))), ""內部轉帳(忽略)"",
  REGEXMATCH(C1201, ""薪資""), ""薪資變動(不計入)"",
  REGEXMATCH(C1201, ""押金""), ""押金往來"",
  AND(E1201&lt;&gt;"""", F1201=""""), ""真實支出"",
  AND(E1201="""", F1201&lt;&gt;""""), ""真實收入"",
  TRUE, ""其他""
)"),"真實支出")</f>
        <v>真實支出</v>
      </c>
      <c r="K1201" s="270">
        <f t="shared" si="2"/>
        <v>-1500</v>
      </c>
      <c r="L1201">
        <f t="shared" si="3"/>
        <v>0</v>
      </c>
    </row>
    <row r="1202">
      <c r="A1202" s="107">
        <f>IFERROR(__xludf.DUMMYFUNCTION("""COMPUTED_VALUE"""),45628.0)</f>
        <v>45628</v>
      </c>
      <c r="B1202" t="str">
        <f>IFERROR(__xludf.DUMMYFUNCTION("""COMPUTED_VALUE"""),"Feli 停車")</f>
        <v>Feli 停車</v>
      </c>
      <c r="C1202" t="str">
        <f>IFERROR(__xludf.DUMMYFUNCTION("""COMPUTED_VALUE"""),"費用 - 交通費")</f>
        <v>費用 - 交通費</v>
      </c>
      <c r="D1202" s="270">
        <f>IFERROR(__xludf.DUMMYFUNCTION("""COMPUTED_VALUE"""),-150.0)</f>
        <v>-150</v>
      </c>
      <c r="E1202" t="str">
        <f>IFERROR(__xludf.DUMMYFUNCTION("""COMPUTED_VALUE"""),"Elsa帳戶")</f>
        <v>Elsa帳戶</v>
      </c>
      <c r="G1202" t="str">
        <f>IFERROR(__xludf.DUMMYFUNCTION("""COMPUTED_VALUE"""),"中山北Feli家")</f>
        <v>中山北Feli家</v>
      </c>
      <c r="H1202" s="106" t="str">
        <f t="shared" si="1"/>
        <v>2024-12</v>
      </c>
      <c r="I1202" s="271" t="str">
        <f>IFERROR(__xludf.DUMMYFUNCTION("""COMPUTED_VALUE"""),"貓狗企鵝")</f>
        <v>貓狗企鵝</v>
      </c>
      <c r="J1202" t="str">
        <f>IFERROR(__xludf.DUMMYFUNCTION("IFS(
  AND(REGEXMATCH(E1202, ""台銀籌備帳戶|玉山帳戶""), REGEXMATCH(C1202, ""薪資"")), ""分潤支出"",
  AND(REGEXMATCH(E1202, ""Ben帳戶|Elsa帳戶|Ben代墊|Ariel代墊|中信銀行共用""), REGEXMATCH(F1202, ""Ben帳戶|Elsa帳戶|Ben代墊|Ariel代墊|中信銀行共用"")), ""內部轉帳(忽略)"",
  AND(E1202&lt;&gt;"""", F1202&lt;&gt;"""", N"&amp;"OT(REGEXMATCH(C1202, ""薪資""))), ""內部轉帳(忽略)"",
  REGEXMATCH(C1202, ""薪資""), ""薪資變動(不計入)"",
  REGEXMATCH(C1202, ""押金""), ""押金往來"",
  AND(E1202&lt;&gt;"""", F1202=""""), ""真實支出"",
  AND(E1202="""", F1202&lt;&gt;""""), ""真實收入"",
  TRUE, ""其他""
)"),"真實支出")</f>
        <v>真實支出</v>
      </c>
      <c r="K1202" s="270">
        <f t="shared" si="2"/>
        <v>-150</v>
      </c>
      <c r="L1202">
        <f t="shared" si="3"/>
        <v>0</v>
      </c>
    </row>
    <row r="1203">
      <c r="A1203" s="107">
        <f>IFERROR(__xludf.DUMMYFUNCTION("""COMPUTED_VALUE"""),45628.0)</f>
        <v>45628</v>
      </c>
      <c r="B1203" t="str">
        <f>IFERROR(__xludf.DUMMYFUNCTION("""COMPUTED_VALUE"""),"金龍帽子先生C李侑芯")</f>
        <v>金龍帽子先生C李侑芯</v>
      </c>
      <c r="C1203" t="str">
        <f>IFERROR(__xludf.DUMMYFUNCTION("""COMPUTED_VALUE"""),"收入 - 租金")</f>
        <v>收入 - 租金</v>
      </c>
      <c r="D1203" s="270">
        <f>IFERROR(__xludf.DUMMYFUNCTION("""COMPUTED_VALUE"""),14800.0)</f>
        <v>14800</v>
      </c>
      <c r="F1203" t="str">
        <f>IFERROR(__xludf.DUMMYFUNCTION("""COMPUTED_VALUE"""),"台銀籌備帳戶")</f>
        <v>台銀籌備帳戶</v>
      </c>
      <c r="G1203" t="str">
        <f>IFERROR(__xludf.DUMMYFUNCTION("""COMPUTED_VALUE"""),"金龍帽子先生")</f>
        <v>金龍帽子先生</v>
      </c>
      <c r="H1203" s="106" t="str">
        <f t="shared" si="1"/>
        <v>2024-12</v>
      </c>
      <c r="I1203" s="271" t="str">
        <f>IFERROR(__xludf.DUMMYFUNCTION("""COMPUTED_VALUE"""),"貓狗企鵝")</f>
        <v>貓狗企鵝</v>
      </c>
      <c r="J1203" t="str">
        <f>IFERROR(__xludf.DUMMYFUNCTION("IFS(
  AND(REGEXMATCH(E1203, ""台銀籌備帳戶|玉山帳戶""), REGEXMATCH(C1203, ""薪資"")), ""分潤支出"",
  AND(REGEXMATCH(E1203, ""Ben帳戶|Elsa帳戶|Ben代墊|Ariel代墊|中信銀行共用""), REGEXMATCH(F1203, ""Ben帳戶|Elsa帳戶|Ben代墊|Ariel代墊|中信銀行共用"")), ""內部轉帳(忽略)"",
  AND(E1203&lt;&gt;"""", F1203&lt;&gt;"""", N"&amp;"OT(REGEXMATCH(C1203, ""薪資""))), ""內部轉帳(忽略)"",
  REGEXMATCH(C1203, ""薪資""), ""薪資變動(不計入)"",
  REGEXMATCH(C1203, ""押金""), ""押金往來"",
  AND(E1203&lt;&gt;"""", F1203=""""), ""真實支出"",
  AND(E1203="""", F1203&lt;&gt;""""), ""真實收入"",
  TRUE, ""其他""
)"),"真實收入")</f>
        <v>真實收入</v>
      </c>
      <c r="K1203" s="270">
        <f t="shared" si="2"/>
        <v>14800</v>
      </c>
      <c r="L1203">
        <f t="shared" si="3"/>
        <v>0</v>
      </c>
    </row>
    <row r="1204">
      <c r="A1204" s="107">
        <f>IFERROR(__xludf.DUMMYFUNCTION("""COMPUTED_VALUE"""),45628.0)</f>
        <v>45628</v>
      </c>
      <c r="B1204" t="str">
        <f>IFERROR(__xludf.DUMMYFUNCTION("""COMPUTED_VALUE"""),"南港站挑高宅D吳城慕")</f>
        <v>南港站挑高宅D吳城慕</v>
      </c>
      <c r="C1204" t="str">
        <f>IFERROR(__xludf.DUMMYFUNCTION("""COMPUTED_VALUE"""),"收入 - 租金")</f>
        <v>收入 - 租金</v>
      </c>
      <c r="D1204" s="270">
        <f>IFERROR(__xludf.DUMMYFUNCTION("""COMPUTED_VALUE"""),14300.0)</f>
        <v>14300</v>
      </c>
      <c r="F1204" t="str">
        <f>IFERROR(__xludf.DUMMYFUNCTION("""COMPUTED_VALUE"""),"台銀籌備帳戶")</f>
        <v>台銀籌備帳戶</v>
      </c>
      <c r="G1204" t="str">
        <f>IFERROR(__xludf.DUMMYFUNCTION("""COMPUTED_VALUE"""),"南港站挑高宅")</f>
        <v>南港站挑高宅</v>
      </c>
      <c r="H1204" s="106" t="str">
        <f t="shared" si="1"/>
        <v>2024-12</v>
      </c>
      <c r="I1204" s="271" t="str">
        <f>IFERROR(__xludf.DUMMYFUNCTION("""COMPUTED_VALUE"""),"貓狗企鵝")</f>
        <v>貓狗企鵝</v>
      </c>
      <c r="J1204" t="str">
        <f>IFERROR(__xludf.DUMMYFUNCTION("IFS(
  AND(REGEXMATCH(E1204, ""台銀籌備帳戶|玉山帳戶""), REGEXMATCH(C1204, ""薪資"")), ""分潤支出"",
  AND(REGEXMATCH(E1204, ""Ben帳戶|Elsa帳戶|Ben代墊|Ariel代墊|中信銀行共用""), REGEXMATCH(F1204, ""Ben帳戶|Elsa帳戶|Ben代墊|Ariel代墊|中信銀行共用"")), ""內部轉帳(忽略)"",
  AND(E1204&lt;&gt;"""", F1204&lt;&gt;"""", N"&amp;"OT(REGEXMATCH(C1204, ""薪資""))), ""內部轉帳(忽略)"",
  REGEXMATCH(C1204, ""薪資""), ""薪資變動(不計入)"",
  REGEXMATCH(C1204, ""押金""), ""押金往來"",
  AND(E1204&lt;&gt;"""", F1204=""""), ""真實支出"",
  AND(E1204="""", F1204&lt;&gt;""""), ""真實收入"",
  TRUE, ""其他""
)"),"真實收入")</f>
        <v>真實收入</v>
      </c>
      <c r="K1204" s="270">
        <f t="shared" si="2"/>
        <v>14300</v>
      </c>
      <c r="L1204">
        <f t="shared" si="3"/>
        <v>0</v>
      </c>
    </row>
    <row r="1205">
      <c r="A1205" s="107">
        <f>IFERROR(__xludf.DUMMYFUNCTION("""COMPUTED_VALUE"""),45628.0)</f>
        <v>45628</v>
      </c>
      <c r="B1205" t="str">
        <f>IFERROR(__xludf.DUMMYFUNCTION("""COMPUTED_VALUE"""),"中山北娘家A")</f>
        <v>中山北娘家A</v>
      </c>
      <c r="C1205" t="str">
        <f>IFERROR(__xludf.DUMMYFUNCTION("""COMPUTED_VALUE"""),"收入 - 租金")</f>
        <v>收入 - 租金</v>
      </c>
      <c r="D1205" s="270">
        <f>IFERROR(__xludf.DUMMYFUNCTION("""COMPUTED_VALUE"""),12500.0)</f>
        <v>12500</v>
      </c>
      <c r="F1205" t="str">
        <f>IFERROR(__xludf.DUMMYFUNCTION("""COMPUTED_VALUE"""),"台銀籌備帳戶")</f>
        <v>台銀籌備帳戶</v>
      </c>
      <c r="G1205" t="str">
        <f>IFERROR(__xludf.DUMMYFUNCTION("""COMPUTED_VALUE"""),"中山北娘家旁")</f>
        <v>中山北娘家旁</v>
      </c>
      <c r="H1205" s="106" t="str">
        <f t="shared" si="1"/>
        <v>2024-12</v>
      </c>
      <c r="I1205" s="271" t="str">
        <f>IFERROR(__xludf.DUMMYFUNCTION("""COMPUTED_VALUE"""),"貓狗企鵝")</f>
        <v>貓狗企鵝</v>
      </c>
      <c r="J1205" t="str">
        <f>IFERROR(__xludf.DUMMYFUNCTION("IFS(
  AND(REGEXMATCH(E1205, ""台銀籌備帳戶|玉山帳戶""), REGEXMATCH(C1205, ""薪資"")), ""分潤支出"",
  AND(REGEXMATCH(E1205, ""Ben帳戶|Elsa帳戶|Ben代墊|Ariel代墊|中信銀行共用""), REGEXMATCH(F1205, ""Ben帳戶|Elsa帳戶|Ben代墊|Ariel代墊|中信銀行共用"")), ""內部轉帳(忽略)"",
  AND(E1205&lt;&gt;"""", F1205&lt;&gt;"""", N"&amp;"OT(REGEXMATCH(C1205, ""薪資""))), ""內部轉帳(忽略)"",
  REGEXMATCH(C1205, ""薪資""), ""薪資變動(不計入)"",
  REGEXMATCH(C1205, ""押金""), ""押金往來"",
  AND(E1205&lt;&gt;"""", F1205=""""), ""真實支出"",
  AND(E1205="""", F1205&lt;&gt;""""), ""真實收入"",
  TRUE, ""其他""
)"),"真實收入")</f>
        <v>真實收入</v>
      </c>
      <c r="K1205" s="270">
        <f t="shared" si="2"/>
        <v>12500</v>
      </c>
      <c r="L1205">
        <f t="shared" si="3"/>
        <v>0</v>
      </c>
    </row>
    <row r="1206">
      <c r="A1206" s="107">
        <f>IFERROR(__xludf.DUMMYFUNCTION("""COMPUTED_VALUE"""),45628.0)</f>
        <v>45628</v>
      </c>
      <c r="B1206" t="str">
        <f>IFERROR(__xludf.DUMMYFUNCTION("""COMPUTED_VALUE"""),"大湖山莊A熊翊丞")</f>
        <v>大湖山莊A熊翊丞</v>
      </c>
      <c r="C1206" t="str">
        <f>IFERROR(__xludf.DUMMYFUNCTION("""COMPUTED_VALUE"""),"收入 - 租金")</f>
        <v>收入 - 租金</v>
      </c>
      <c r="D1206" s="270">
        <f>IFERROR(__xludf.DUMMYFUNCTION("""COMPUTED_VALUE"""),13300.0)</f>
        <v>13300</v>
      </c>
      <c r="F1206" t="str">
        <f>IFERROR(__xludf.DUMMYFUNCTION("""COMPUTED_VALUE"""),"台銀籌備帳戶")</f>
        <v>台銀籌備帳戶</v>
      </c>
      <c r="G1206" t="str">
        <f>IFERROR(__xludf.DUMMYFUNCTION("""COMPUTED_VALUE"""),"大湖山莊")</f>
        <v>大湖山莊</v>
      </c>
      <c r="H1206" s="106" t="str">
        <f t="shared" si="1"/>
        <v>2024-12</v>
      </c>
      <c r="I1206" s="271" t="str">
        <f>IFERROR(__xludf.DUMMYFUNCTION("""COMPUTED_VALUE"""),"貓狗企鵝")</f>
        <v>貓狗企鵝</v>
      </c>
      <c r="J1206" t="str">
        <f>IFERROR(__xludf.DUMMYFUNCTION("IFS(
  AND(REGEXMATCH(E1206, ""台銀籌備帳戶|玉山帳戶""), REGEXMATCH(C1206, ""薪資"")), ""分潤支出"",
  AND(REGEXMATCH(E1206, ""Ben帳戶|Elsa帳戶|Ben代墊|Ariel代墊|中信銀行共用""), REGEXMATCH(F1206, ""Ben帳戶|Elsa帳戶|Ben代墊|Ariel代墊|中信銀行共用"")), ""內部轉帳(忽略)"",
  AND(E1206&lt;&gt;"""", F1206&lt;&gt;"""", N"&amp;"OT(REGEXMATCH(C1206, ""薪資""))), ""內部轉帳(忽略)"",
  REGEXMATCH(C1206, ""薪資""), ""薪資變動(不計入)"",
  REGEXMATCH(C1206, ""押金""), ""押金往來"",
  AND(E1206&lt;&gt;"""", F1206=""""), ""真實支出"",
  AND(E1206="""", F1206&lt;&gt;""""), ""真實收入"",
  TRUE, ""其他""
)"),"真實收入")</f>
        <v>真實收入</v>
      </c>
      <c r="K1206" s="270">
        <f t="shared" si="2"/>
        <v>13300</v>
      </c>
      <c r="L1206">
        <f t="shared" si="3"/>
        <v>0</v>
      </c>
    </row>
    <row r="1207">
      <c r="A1207" s="107">
        <f>IFERROR(__xludf.DUMMYFUNCTION("""COMPUTED_VALUE"""),45628.0)</f>
        <v>45628</v>
      </c>
      <c r="B1207" t="str">
        <f>IFERROR(__xludf.DUMMYFUNCTION("""COMPUTED_VALUE"""),"北醫醫師府E洪睿佑")</f>
        <v>北醫醫師府E洪睿佑</v>
      </c>
      <c r="C1207" t="str">
        <f>IFERROR(__xludf.DUMMYFUNCTION("""COMPUTED_VALUE"""),"收入 - 租金")</f>
        <v>收入 - 租金</v>
      </c>
      <c r="D1207" s="270">
        <f>IFERROR(__xludf.DUMMYFUNCTION("""COMPUTED_VALUE"""),14800.0)</f>
        <v>14800</v>
      </c>
      <c r="F1207" t="str">
        <f>IFERROR(__xludf.DUMMYFUNCTION("""COMPUTED_VALUE"""),"台銀籌備帳戶")</f>
        <v>台銀籌備帳戶</v>
      </c>
      <c r="G1207" t="str">
        <f>IFERROR(__xludf.DUMMYFUNCTION("""COMPUTED_VALUE"""),"北醫醫師府")</f>
        <v>北醫醫師府</v>
      </c>
      <c r="H1207" s="106" t="str">
        <f t="shared" si="1"/>
        <v>2024-12</v>
      </c>
      <c r="I1207" s="271" t="str">
        <f>IFERROR(__xludf.DUMMYFUNCTION("""COMPUTED_VALUE"""),"貓狗企鵝")</f>
        <v>貓狗企鵝</v>
      </c>
      <c r="J1207" t="str">
        <f>IFERROR(__xludf.DUMMYFUNCTION("IFS(
  AND(REGEXMATCH(E1207, ""台銀籌備帳戶|玉山帳戶""), REGEXMATCH(C1207, ""薪資"")), ""分潤支出"",
  AND(REGEXMATCH(E1207, ""Ben帳戶|Elsa帳戶|Ben代墊|Ariel代墊|中信銀行共用""), REGEXMATCH(F1207, ""Ben帳戶|Elsa帳戶|Ben代墊|Ariel代墊|中信銀行共用"")), ""內部轉帳(忽略)"",
  AND(E1207&lt;&gt;"""", F1207&lt;&gt;"""", N"&amp;"OT(REGEXMATCH(C1207, ""薪資""))), ""內部轉帳(忽略)"",
  REGEXMATCH(C1207, ""薪資""), ""薪資變動(不計入)"",
  REGEXMATCH(C1207, ""押金""), ""押金往來"",
  AND(E1207&lt;&gt;"""", F1207=""""), ""真實支出"",
  AND(E1207="""", F1207&lt;&gt;""""), ""真實收入"",
  TRUE, ""其他""
)"),"真實收入")</f>
        <v>真實收入</v>
      </c>
      <c r="K1207" s="270">
        <f t="shared" si="2"/>
        <v>14800</v>
      </c>
      <c r="L1207">
        <f t="shared" si="3"/>
        <v>0</v>
      </c>
    </row>
    <row r="1208">
      <c r="A1208" s="107">
        <f>IFERROR(__xludf.DUMMYFUNCTION("""COMPUTED_VALUE"""),45628.0)</f>
        <v>45628</v>
      </c>
      <c r="B1208" t="str">
        <f>IFERROR(__xludf.DUMMYFUNCTION("""COMPUTED_VALUE"""),"吳興鐵皮修繕費陳鳳香匯")</f>
        <v>吳興鐵皮修繕費陳鳳香匯</v>
      </c>
      <c r="C1208" t="str">
        <f>IFERROR(__xludf.DUMMYFUNCTION("""COMPUTED_VALUE"""),"成本 - 租後修繕")</f>
        <v>成本 - 租後修繕</v>
      </c>
      <c r="D1208" s="270">
        <f>IFERROR(__xludf.DUMMYFUNCTION("""COMPUTED_VALUE"""),248850.0)</f>
        <v>248850</v>
      </c>
      <c r="F1208" t="str">
        <f>IFERROR(__xludf.DUMMYFUNCTION("""COMPUTED_VALUE"""),"台銀籌備帳戶")</f>
        <v>台銀籌備帳戶</v>
      </c>
      <c r="G1208" t="str">
        <f>IFERROR(__xludf.DUMMYFUNCTION("""COMPUTED_VALUE"""),"北醫醫師府")</f>
        <v>北醫醫師府</v>
      </c>
      <c r="H1208" s="106" t="str">
        <f t="shared" si="1"/>
        <v>2024-12</v>
      </c>
      <c r="I1208" s="271" t="str">
        <f>IFERROR(__xludf.DUMMYFUNCTION("""COMPUTED_VALUE"""),"貓狗企鵝")</f>
        <v>貓狗企鵝</v>
      </c>
      <c r="J1208" t="str">
        <f>IFERROR(__xludf.DUMMYFUNCTION("IFS(
  AND(REGEXMATCH(E1208, ""台銀籌備帳戶|玉山帳戶""), REGEXMATCH(C1208, ""薪資"")), ""分潤支出"",
  AND(REGEXMATCH(E1208, ""Ben帳戶|Elsa帳戶|Ben代墊|Ariel代墊|中信銀行共用""), REGEXMATCH(F1208, ""Ben帳戶|Elsa帳戶|Ben代墊|Ariel代墊|中信銀行共用"")), ""內部轉帳(忽略)"",
  AND(E1208&lt;&gt;"""", F1208&lt;&gt;"""", N"&amp;"OT(REGEXMATCH(C1208, ""薪資""))), ""內部轉帳(忽略)"",
  REGEXMATCH(C1208, ""薪資""), ""薪資變動(不計入)"",
  REGEXMATCH(C1208, ""押金""), ""押金往來"",
  AND(E1208&lt;&gt;"""", F1208=""""), ""真實支出"",
  AND(E1208="""", F1208&lt;&gt;""""), ""真實收入"",
  TRUE, ""其他""
)"),"真實收入")</f>
        <v>真實收入</v>
      </c>
      <c r="K1208" s="270">
        <f t="shared" si="2"/>
        <v>248850</v>
      </c>
      <c r="L1208">
        <f t="shared" si="3"/>
        <v>0</v>
      </c>
    </row>
    <row r="1209">
      <c r="A1209" s="107">
        <f>IFERROR(__xludf.DUMMYFUNCTION("""COMPUTED_VALUE"""),45628.0)</f>
        <v>45628</v>
      </c>
      <c r="B1209" t="str">
        <f>IFERROR(__xludf.DUMMYFUNCTION("""COMPUTED_VALUE"""),"Feli家 A房訂金")</f>
        <v>Feli家 A房訂金</v>
      </c>
      <c r="C1209" t="str">
        <f>IFERROR(__xludf.DUMMYFUNCTION("""COMPUTED_VALUE"""),"收入 - 租金")</f>
        <v>收入 - 租金</v>
      </c>
      <c r="D1209" s="270">
        <f>IFERROR(__xludf.DUMMYFUNCTION("""COMPUTED_VALUE"""),10000.0)</f>
        <v>10000</v>
      </c>
      <c r="F1209" t="str">
        <f>IFERROR(__xludf.DUMMYFUNCTION("""COMPUTED_VALUE"""),"台銀籌備帳戶")</f>
        <v>台銀籌備帳戶</v>
      </c>
      <c r="G1209" t="str">
        <f>IFERROR(__xludf.DUMMYFUNCTION("""COMPUTED_VALUE"""),"中山北Feli家")</f>
        <v>中山北Feli家</v>
      </c>
      <c r="H1209" s="106" t="str">
        <f t="shared" si="1"/>
        <v>2024-12</v>
      </c>
      <c r="I1209" s="271" t="str">
        <f>IFERROR(__xludf.DUMMYFUNCTION("""COMPUTED_VALUE"""),"貓狗企鵝")</f>
        <v>貓狗企鵝</v>
      </c>
      <c r="J1209" t="str">
        <f>IFERROR(__xludf.DUMMYFUNCTION("IFS(
  AND(REGEXMATCH(E1209, ""台銀籌備帳戶|玉山帳戶""), REGEXMATCH(C1209, ""薪資"")), ""分潤支出"",
  AND(REGEXMATCH(E1209, ""Ben帳戶|Elsa帳戶|Ben代墊|Ariel代墊|中信銀行共用""), REGEXMATCH(F1209, ""Ben帳戶|Elsa帳戶|Ben代墊|Ariel代墊|中信銀行共用"")), ""內部轉帳(忽略)"",
  AND(E1209&lt;&gt;"""", F1209&lt;&gt;"""", N"&amp;"OT(REGEXMATCH(C1209, ""薪資""))), ""內部轉帳(忽略)"",
  REGEXMATCH(C1209, ""薪資""), ""薪資變動(不計入)"",
  REGEXMATCH(C1209, ""押金""), ""押金往來"",
  AND(E1209&lt;&gt;"""", F1209=""""), ""真實支出"",
  AND(E1209="""", F1209&lt;&gt;""""), ""真實收入"",
  TRUE, ""其他""
)"),"真實收入")</f>
        <v>真實收入</v>
      </c>
      <c r="K1209" s="270">
        <f t="shared" si="2"/>
        <v>10000</v>
      </c>
      <c r="L1209">
        <f t="shared" si="3"/>
        <v>0</v>
      </c>
    </row>
    <row r="1210">
      <c r="A1210" s="107">
        <f>IFERROR(__xludf.DUMMYFUNCTION("""COMPUTED_VALUE"""),45628.0)</f>
        <v>45628</v>
      </c>
      <c r="B1210" t="str">
        <f>IFERROR(__xludf.DUMMYFUNCTION("""COMPUTED_VALUE"""),"Feli家 C房訂金")</f>
        <v>Feli家 C房訂金</v>
      </c>
      <c r="C1210" t="str">
        <f>IFERROR(__xludf.DUMMYFUNCTION("""COMPUTED_VALUE"""),"收入 - 租金")</f>
        <v>收入 - 租金</v>
      </c>
      <c r="D1210" s="270">
        <f>IFERROR(__xludf.DUMMYFUNCTION("""COMPUTED_VALUE"""),10000.0)</f>
        <v>10000</v>
      </c>
      <c r="F1210" t="str">
        <f>IFERROR(__xludf.DUMMYFUNCTION("""COMPUTED_VALUE"""),"台銀籌備帳戶")</f>
        <v>台銀籌備帳戶</v>
      </c>
      <c r="G1210" t="str">
        <f>IFERROR(__xludf.DUMMYFUNCTION("""COMPUTED_VALUE"""),"中山北Feli家")</f>
        <v>中山北Feli家</v>
      </c>
      <c r="H1210" s="106" t="str">
        <f t="shared" si="1"/>
        <v>2024-12</v>
      </c>
      <c r="I1210" s="271" t="str">
        <f>IFERROR(__xludf.DUMMYFUNCTION("""COMPUTED_VALUE"""),"貓狗企鵝")</f>
        <v>貓狗企鵝</v>
      </c>
      <c r="J1210" t="str">
        <f>IFERROR(__xludf.DUMMYFUNCTION("IFS(
  AND(REGEXMATCH(E1210, ""台銀籌備帳戶|玉山帳戶""), REGEXMATCH(C1210, ""薪資"")), ""分潤支出"",
  AND(REGEXMATCH(E1210, ""Ben帳戶|Elsa帳戶|Ben代墊|Ariel代墊|中信銀行共用""), REGEXMATCH(F1210, ""Ben帳戶|Elsa帳戶|Ben代墊|Ariel代墊|中信銀行共用"")), ""內部轉帳(忽略)"",
  AND(E1210&lt;&gt;"""", F1210&lt;&gt;"""", N"&amp;"OT(REGEXMATCH(C1210, ""薪資""))), ""內部轉帳(忽略)"",
  REGEXMATCH(C1210, ""薪資""), ""薪資變動(不計入)"",
  REGEXMATCH(C1210, ""押金""), ""押金往來"",
  AND(E1210&lt;&gt;"""", F1210=""""), ""真實支出"",
  AND(E1210="""", F1210&lt;&gt;""""), ""真實收入"",
  TRUE, ""其他""
)"),"真實收入")</f>
        <v>真實收入</v>
      </c>
      <c r="K1210" s="270">
        <f t="shared" si="2"/>
        <v>10000</v>
      </c>
      <c r="L1210">
        <f t="shared" si="3"/>
        <v>0</v>
      </c>
    </row>
    <row r="1211">
      <c r="A1211" s="107">
        <f>IFERROR(__xludf.DUMMYFUNCTION("""COMPUTED_VALUE"""),45628.0)</f>
        <v>45628</v>
      </c>
      <c r="B1211" t="str">
        <f>IFERROR(__xludf.DUMMYFUNCTION("""COMPUTED_VALUE"""),"南港站挑高宅E張劉明翔")</f>
        <v>南港站挑高宅E張劉明翔</v>
      </c>
      <c r="C1211" t="str">
        <f>IFERROR(__xludf.DUMMYFUNCTION("""COMPUTED_VALUE"""),"收入 - 租金")</f>
        <v>收入 - 租金</v>
      </c>
      <c r="D1211" s="270">
        <f>IFERROR(__xludf.DUMMYFUNCTION("""COMPUTED_VALUE"""),12800.0)</f>
        <v>12800</v>
      </c>
      <c r="F1211" t="str">
        <f>IFERROR(__xludf.DUMMYFUNCTION("""COMPUTED_VALUE"""),"台銀籌備帳戶")</f>
        <v>台銀籌備帳戶</v>
      </c>
      <c r="G1211" t="str">
        <f>IFERROR(__xludf.DUMMYFUNCTION("""COMPUTED_VALUE"""),"南港站挑高宅")</f>
        <v>南港站挑高宅</v>
      </c>
      <c r="H1211" s="106" t="str">
        <f t="shared" si="1"/>
        <v>2024-12</v>
      </c>
      <c r="I1211" s="271" t="str">
        <f>IFERROR(__xludf.DUMMYFUNCTION("""COMPUTED_VALUE"""),"貓狗企鵝")</f>
        <v>貓狗企鵝</v>
      </c>
      <c r="J1211" t="str">
        <f>IFERROR(__xludf.DUMMYFUNCTION("IFS(
  AND(REGEXMATCH(E1211, ""台銀籌備帳戶|玉山帳戶""), REGEXMATCH(C1211, ""薪資"")), ""分潤支出"",
  AND(REGEXMATCH(E1211, ""Ben帳戶|Elsa帳戶|Ben代墊|Ariel代墊|中信銀行共用""), REGEXMATCH(F1211, ""Ben帳戶|Elsa帳戶|Ben代墊|Ariel代墊|中信銀行共用"")), ""內部轉帳(忽略)"",
  AND(E1211&lt;&gt;"""", F1211&lt;&gt;"""", N"&amp;"OT(REGEXMATCH(C1211, ""薪資""))), ""內部轉帳(忽略)"",
  REGEXMATCH(C1211, ""薪資""), ""薪資變動(不計入)"",
  REGEXMATCH(C1211, ""押金""), ""押金往來"",
  AND(E1211&lt;&gt;"""", F1211=""""), ""真實支出"",
  AND(E1211="""", F1211&lt;&gt;""""), ""真實收入"",
  TRUE, ""其他""
)"),"真實收入")</f>
        <v>真實收入</v>
      </c>
      <c r="K1211" s="270">
        <f t="shared" si="2"/>
        <v>12800</v>
      </c>
      <c r="L1211">
        <f t="shared" si="3"/>
        <v>0</v>
      </c>
    </row>
    <row r="1212">
      <c r="A1212" s="107">
        <f>IFERROR(__xludf.DUMMYFUNCTION("""COMPUTED_VALUE"""),45628.0)</f>
        <v>45628</v>
      </c>
      <c r="B1212" t="str">
        <f>IFERROR(__xludf.DUMMYFUNCTION("""COMPUTED_VALUE"""),"哈拉對面A李柏緯")</f>
        <v>哈拉對面A李柏緯</v>
      </c>
      <c r="C1212" t="str">
        <f>IFERROR(__xludf.DUMMYFUNCTION("""COMPUTED_VALUE"""),"收入 - 租金")</f>
        <v>收入 - 租金</v>
      </c>
      <c r="D1212" s="270">
        <f>IFERROR(__xludf.DUMMYFUNCTION("""COMPUTED_VALUE"""),11300.0)</f>
        <v>11300</v>
      </c>
      <c r="F1212" t="str">
        <f>IFERROR(__xludf.DUMMYFUNCTION("""COMPUTED_VALUE"""),"台銀籌備帳戶")</f>
        <v>台銀籌備帳戶</v>
      </c>
      <c r="G1212" t="str">
        <f>IFERROR(__xludf.DUMMYFUNCTION("""COMPUTED_VALUE"""),"哈拉對面")</f>
        <v>哈拉對面</v>
      </c>
      <c r="H1212" s="106" t="str">
        <f t="shared" si="1"/>
        <v>2024-12</v>
      </c>
      <c r="I1212" s="271" t="str">
        <f>IFERROR(__xludf.DUMMYFUNCTION("""COMPUTED_VALUE"""),"貓狗企鵝")</f>
        <v>貓狗企鵝</v>
      </c>
      <c r="J1212" t="str">
        <f>IFERROR(__xludf.DUMMYFUNCTION("IFS(
  AND(REGEXMATCH(E1212, ""台銀籌備帳戶|玉山帳戶""), REGEXMATCH(C1212, ""薪資"")), ""分潤支出"",
  AND(REGEXMATCH(E1212, ""Ben帳戶|Elsa帳戶|Ben代墊|Ariel代墊|中信銀行共用""), REGEXMATCH(F1212, ""Ben帳戶|Elsa帳戶|Ben代墊|Ariel代墊|中信銀行共用"")), ""內部轉帳(忽略)"",
  AND(E1212&lt;&gt;"""", F1212&lt;&gt;"""", N"&amp;"OT(REGEXMATCH(C1212, ""薪資""))), ""內部轉帳(忽略)"",
  REGEXMATCH(C1212, ""薪資""), ""薪資變動(不計入)"",
  REGEXMATCH(C1212, ""押金""), ""押金往來"",
  AND(E1212&lt;&gt;"""", F1212=""""), ""真實支出"",
  AND(E1212="""", F1212&lt;&gt;""""), ""真實收入"",
  TRUE, ""其他""
)"),"真實收入")</f>
        <v>真實收入</v>
      </c>
      <c r="K1212" s="270">
        <f t="shared" si="2"/>
        <v>11300</v>
      </c>
      <c r="L1212">
        <f t="shared" si="3"/>
        <v>0</v>
      </c>
    </row>
    <row r="1213">
      <c r="A1213" s="107">
        <f>IFERROR(__xludf.DUMMYFUNCTION("""COMPUTED_VALUE"""),45628.0)</f>
        <v>45628</v>
      </c>
      <c r="B1213" t="str">
        <f>IFERROR(__xludf.DUMMYFUNCTION("""COMPUTED_VALUE"""),"吳興鐵皮")</f>
        <v>吳興鐵皮</v>
      </c>
      <c r="C1213" t="str">
        <f>IFERROR(__xludf.DUMMYFUNCTION("""COMPUTED_VALUE"""),"成本 - 租後修繕")</f>
        <v>成本 - 租後修繕</v>
      </c>
      <c r="D1213" s="270">
        <f>IFERROR(__xludf.DUMMYFUNCTION("""COMPUTED_VALUE"""),-100015.0)</f>
        <v>-100015</v>
      </c>
      <c r="E1213" t="str">
        <f>IFERROR(__xludf.DUMMYFUNCTION("""COMPUTED_VALUE"""),"台銀籌備帳戶")</f>
        <v>台銀籌備帳戶</v>
      </c>
      <c r="G1213" t="str">
        <f>IFERROR(__xludf.DUMMYFUNCTION("""COMPUTED_VALUE"""),"北醫醫師府")</f>
        <v>北醫醫師府</v>
      </c>
      <c r="H1213" s="106" t="str">
        <f t="shared" si="1"/>
        <v>2024-12</v>
      </c>
      <c r="I1213" s="271" t="str">
        <f>IFERROR(__xludf.DUMMYFUNCTION("""COMPUTED_VALUE"""),"貓狗企鵝")</f>
        <v>貓狗企鵝</v>
      </c>
      <c r="J1213" t="str">
        <f>IFERROR(__xludf.DUMMYFUNCTION("IFS(
  AND(REGEXMATCH(E1213, ""台銀籌備帳戶|玉山帳戶""), REGEXMATCH(C1213, ""薪資"")), ""分潤支出"",
  AND(REGEXMATCH(E1213, ""Ben帳戶|Elsa帳戶|Ben代墊|Ariel代墊|中信銀行共用""), REGEXMATCH(F1213, ""Ben帳戶|Elsa帳戶|Ben代墊|Ariel代墊|中信銀行共用"")), ""內部轉帳(忽略)"",
  AND(E1213&lt;&gt;"""", F1213&lt;&gt;"""", N"&amp;"OT(REGEXMATCH(C1213, ""薪資""))), ""內部轉帳(忽略)"",
  REGEXMATCH(C1213, ""薪資""), ""薪資變動(不計入)"",
  REGEXMATCH(C1213, ""押金""), ""押金往來"",
  AND(E1213&lt;&gt;"""", F1213=""""), ""真實支出"",
  AND(E1213="""", F1213&lt;&gt;""""), ""真實收入"",
  TRUE, ""其他""
)"),"真實支出")</f>
        <v>真實支出</v>
      </c>
      <c r="K1213" s="270">
        <f t="shared" si="2"/>
        <v>-100015</v>
      </c>
      <c r="L1213">
        <f t="shared" si="3"/>
        <v>0</v>
      </c>
    </row>
    <row r="1214">
      <c r="A1214" s="107">
        <f>IFERROR(__xludf.DUMMYFUNCTION("""COMPUTED_VALUE"""),45628.0)</f>
        <v>45628</v>
      </c>
      <c r="B1214" t="str">
        <f>IFERROR(__xludf.DUMMYFUNCTION("""COMPUTED_VALUE"""),"吳興鐵皮")</f>
        <v>吳興鐵皮</v>
      </c>
      <c r="C1214" t="str">
        <f>IFERROR(__xludf.DUMMYFUNCTION("""COMPUTED_VALUE"""),"成本 - 租後修繕")</f>
        <v>成本 - 租後修繕</v>
      </c>
      <c r="D1214" s="270">
        <f>IFERROR(__xludf.DUMMYFUNCTION("""COMPUTED_VALUE"""),-53190.0)</f>
        <v>-53190</v>
      </c>
      <c r="E1214" t="str">
        <f>IFERROR(__xludf.DUMMYFUNCTION("""COMPUTED_VALUE"""),"台銀籌備帳戶")</f>
        <v>台銀籌備帳戶</v>
      </c>
      <c r="G1214" t="str">
        <f>IFERROR(__xludf.DUMMYFUNCTION("""COMPUTED_VALUE"""),"北醫醫師府")</f>
        <v>北醫醫師府</v>
      </c>
      <c r="H1214" s="106" t="str">
        <f t="shared" si="1"/>
        <v>2024-12</v>
      </c>
      <c r="I1214" s="271" t="str">
        <f>IFERROR(__xludf.DUMMYFUNCTION("""COMPUTED_VALUE"""),"貓狗企鵝")</f>
        <v>貓狗企鵝</v>
      </c>
      <c r="J1214" t="str">
        <f>IFERROR(__xludf.DUMMYFUNCTION("IFS(
  AND(REGEXMATCH(E1214, ""台銀籌備帳戶|玉山帳戶""), REGEXMATCH(C1214, ""薪資"")), ""分潤支出"",
  AND(REGEXMATCH(E1214, ""Ben帳戶|Elsa帳戶|Ben代墊|Ariel代墊|中信銀行共用""), REGEXMATCH(F1214, ""Ben帳戶|Elsa帳戶|Ben代墊|Ariel代墊|中信銀行共用"")), ""內部轉帳(忽略)"",
  AND(E1214&lt;&gt;"""", F1214&lt;&gt;"""", N"&amp;"OT(REGEXMATCH(C1214, ""薪資""))), ""內部轉帳(忽略)"",
  REGEXMATCH(C1214, ""薪資""), ""薪資變動(不計入)"",
  REGEXMATCH(C1214, ""押金""), ""押金往來"",
  AND(E1214&lt;&gt;"""", F1214=""""), ""真實支出"",
  AND(E1214="""", F1214&lt;&gt;""""), ""真實收入"",
  TRUE, ""其他""
)"),"真實支出")</f>
        <v>真實支出</v>
      </c>
      <c r="K1214" s="270">
        <f t="shared" si="2"/>
        <v>-53190</v>
      </c>
      <c r="L1214">
        <f t="shared" si="3"/>
        <v>0</v>
      </c>
    </row>
    <row r="1215">
      <c r="A1215" s="107">
        <f>IFERROR(__xludf.DUMMYFUNCTION("""COMPUTED_VALUE"""),45629.0)</f>
        <v>45629</v>
      </c>
      <c r="B1215" t="str">
        <f>IFERROR(__xludf.DUMMYFUNCTION("""COMPUTED_VALUE"""),"北醫醫師府	F	林雍勳")</f>
        <v>北醫醫師府	F	林雍勳</v>
      </c>
      <c r="C1215" t="str">
        <f>IFERROR(__xludf.DUMMYFUNCTION("""COMPUTED_VALUE"""),"收入 - 租金")</f>
        <v>收入 - 租金</v>
      </c>
      <c r="D1215" s="270">
        <f>IFERROR(__xludf.DUMMYFUNCTION("""COMPUTED_VALUE"""),14800.0)</f>
        <v>14800</v>
      </c>
      <c r="F1215" t="str">
        <f>IFERROR(__xludf.DUMMYFUNCTION("""COMPUTED_VALUE"""),"台銀籌備帳戶")</f>
        <v>台銀籌備帳戶</v>
      </c>
      <c r="G1215" t="str">
        <f>IFERROR(__xludf.DUMMYFUNCTION("""COMPUTED_VALUE"""),"北醫醫師府")</f>
        <v>北醫醫師府</v>
      </c>
      <c r="H1215" s="106" t="str">
        <f t="shared" si="1"/>
        <v>2024-12</v>
      </c>
      <c r="I1215" s="271" t="str">
        <f>IFERROR(__xludf.DUMMYFUNCTION("""COMPUTED_VALUE"""),"貓狗企鵝")</f>
        <v>貓狗企鵝</v>
      </c>
      <c r="J1215" t="str">
        <f>IFERROR(__xludf.DUMMYFUNCTION("IFS(
  AND(REGEXMATCH(E1215, ""台銀籌備帳戶|玉山帳戶""), REGEXMATCH(C1215, ""薪資"")), ""分潤支出"",
  AND(REGEXMATCH(E1215, ""Ben帳戶|Elsa帳戶|Ben代墊|Ariel代墊|中信銀行共用""), REGEXMATCH(F1215, ""Ben帳戶|Elsa帳戶|Ben代墊|Ariel代墊|中信銀行共用"")), ""內部轉帳(忽略)"",
  AND(E1215&lt;&gt;"""", F1215&lt;&gt;"""", N"&amp;"OT(REGEXMATCH(C1215, ""薪資""))), ""內部轉帳(忽略)"",
  REGEXMATCH(C1215, ""薪資""), ""薪資變動(不計入)"",
  REGEXMATCH(C1215, ""押金""), ""押金往來"",
  AND(E1215&lt;&gt;"""", F1215=""""), ""真實支出"",
  AND(E1215="""", F1215&lt;&gt;""""), ""真實收入"",
  TRUE, ""其他""
)"),"真實收入")</f>
        <v>真實收入</v>
      </c>
      <c r="K1215" s="270">
        <f t="shared" si="2"/>
        <v>14800</v>
      </c>
      <c r="L1215">
        <f t="shared" si="3"/>
        <v>0</v>
      </c>
    </row>
    <row r="1216">
      <c r="A1216" s="107">
        <f>IFERROR(__xludf.DUMMYFUNCTION("""COMPUTED_VALUE"""),45629.0)</f>
        <v>45629</v>
      </c>
      <c r="B1216" t="str">
        <f>IFERROR(__xludf.DUMMYFUNCTION("""COMPUTED_VALUE"""),"南港站挑高宅	C	王子昇")</f>
        <v>南港站挑高宅	C	王子昇</v>
      </c>
      <c r="C1216" t="str">
        <f>IFERROR(__xludf.DUMMYFUNCTION("""COMPUTED_VALUE"""),"收入 - 租金")</f>
        <v>收入 - 租金</v>
      </c>
      <c r="D1216" s="270">
        <f>IFERROR(__xludf.DUMMYFUNCTION("""COMPUTED_VALUE"""),15800.0)</f>
        <v>15800</v>
      </c>
      <c r="F1216" t="str">
        <f>IFERROR(__xludf.DUMMYFUNCTION("""COMPUTED_VALUE"""),"台銀籌備帳戶")</f>
        <v>台銀籌備帳戶</v>
      </c>
      <c r="G1216" t="str">
        <f>IFERROR(__xludf.DUMMYFUNCTION("""COMPUTED_VALUE"""),"南港站挑高宅")</f>
        <v>南港站挑高宅</v>
      </c>
      <c r="H1216" s="106" t="str">
        <f t="shared" si="1"/>
        <v>2024-12</v>
      </c>
      <c r="I1216" s="271" t="str">
        <f>IFERROR(__xludf.DUMMYFUNCTION("""COMPUTED_VALUE"""),"貓狗企鵝")</f>
        <v>貓狗企鵝</v>
      </c>
      <c r="J1216" t="str">
        <f>IFERROR(__xludf.DUMMYFUNCTION("IFS(
  AND(REGEXMATCH(E1216, ""台銀籌備帳戶|玉山帳戶""), REGEXMATCH(C1216, ""薪資"")), ""分潤支出"",
  AND(REGEXMATCH(E1216, ""Ben帳戶|Elsa帳戶|Ben代墊|Ariel代墊|中信銀行共用""), REGEXMATCH(F1216, ""Ben帳戶|Elsa帳戶|Ben代墊|Ariel代墊|中信銀行共用"")), ""內部轉帳(忽略)"",
  AND(E1216&lt;&gt;"""", F1216&lt;&gt;"""", N"&amp;"OT(REGEXMATCH(C1216, ""薪資""))), ""內部轉帳(忽略)"",
  REGEXMATCH(C1216, ""薪資""), ""薪資變動(不計入)"",
  REGEXMATCH(C1216, ""押金""), ""押金往來"",
  AND(E1216&lt;&gt;"""", F1216=""""), ""真實支出"",
  AND(E1216="""", F1216&lt;&gt;""""), ""真實收入"",
  TRUE, ""其他""
)"),"真實收入")</f>
        <v>真實收入</v>
      </c>
      <c r="K1216" s="270">
        <f t="shared" si="2"/>
        <v>15800</v>
      </c>
      <c r="L1216">
        <f t="shared" si="3"/>
        <v>0</v>
      </c>
    </row>
    <row r="1217">
      <c r="A1217" s="107">
        <f>IFERROR(__xludf.DUMMYFUNCTION("""COMPUTED_VALUE"""),45629.0)</f>
        <v>45629</v>
      </c>
      <c r="B1217" t="str">
        <f>IFERROR(__xludf.DUMMYFUNCTION("""COMPUTED_VALUE"""),"北市國稅94053182")</f>
        <v>北市國稅94053182</v>
      </c>
      <c r="C1217" t="str">
        <f>IFERROR(__xludf.DUMMYFUNCTION("""COMPUTED_VALUE"""),"收入 - 政府補助/退稅")</f>
        <v>收入 - 政府補助/退稅</v>
      </c>
      <c r="D1217" s="270">
        <f>IFERROR(__xludf.DUMMYFUNCTION("""COMPUTED_VALUE"""),500.0)</f>
        <v>500</v>
      </c>
      <c r="F1217" t="str">
        <f>IFERROR(__xludf.DUMMYFUNCTION("""COMPUTED_VALUE"""),"台銀籌備帳戶")</f>
        <v>台銀籌備帳戶</v>
      </c>
      <c r="G1217" t="str">
        <f>IFERROR(__xludf.DUMMYFUNCTION("""COMPUTED_VALUE"""),"金龍帽子先生")</f>
        <v>金龍帽子先生</v>
      </c>
      <c r="H1217" s="106" t="str">
        <f t="shared" si="1"/>
        <v>2024-12</v>
      </c>
      <c r="I1217" s="271" t="str">
        <f>IFERROR(__xludf.DUMMYFUNCTION("""COMPUTED_VALUE"""),"貓狗企鵝")</f>
        <v>貓狗企鵝</v>
      </c>
      <c r="J1217" t="str">
        <f>IFERROR(__xludf.DUMMYFUNCTION("IFS(
  AND(REGEXMATCH(E1217, ""台銀籌備帳戶|玉山帳戶""), REGEXMATCH(C1217, ""薪資"")), ""分潤支出"",
  AND(REGEXMATCH(E1217, ""Ben帳戶|Elsa帳戶|Ben代墊|Ariel代墊|中信銀行共用""), REGEXMATCH(F1217, ""Ben帳戶|Elsa帳戶|Ben代墊|Ariel代墊|中信銀行共用"")), ""內部轉帳(忽略)"",
  AND(E1217&lt;&gt;"""", F1217&lt;&gt;"""", N"&amp;"OT(REGEXMATCH(C1217, ""薪資""))), ""內部轉帳(忽略)"",
  REGEXMATCH(C1217, ""薪資""), ""薪資變動(不計入)"",
  REGEXMATCH(C1217, ""押金""), ""押金往來"",
  AND(E1217&lt;&gt;"""", F1217=""""), ""真實支出"",
  AND(E1217="""", F1217&lt;&gt;""""), ""真實收入"",
  TRUE, ""其他""
)"),"真實收入")</f>
        <v>真實收入</v>
      </c>
      <c r="K1217" s="270">
        <f t="shared" si="2"/>
        <v>500</v>
      </c>
      <c r="L1217">
        <f t="shared" si="3"/>
        <v>0</v>
      </c>
    </row>
    <row r="1218">
      <c r="A1218" s="107">
        <f>IFERROR(__xludf.DUMMYFUNCTION("""COMPUTED_VALUE"""),45629.0)</f>
        <v>45629</v>
      </c>
      <c r="B1218" t="str">
        <f>IFERROR(__xludf.DUMMYFUNCTION("""COMPUTED_VALUE"""),"北市國稅94053182")</f>
        <v>北市國稅94053182</v>
      </c>
      <c r="C1218" t="str">
        <f>IFERROR(__xludf.DUMMYFUNCTION("""COMPUTED_VALUE"""),"收入 - 政府補助/退稅")</f>
        <v>收入 - 政府補助/退稅</v>
      </c>
      <c r="D1218" s="270">
        <f>IFERROR(__xludf.DUMMYFUNCTION("""COMPUTED_VALUE"""),1200.0)</f>
        <v>1200</v>
      </c>
      <c r="F1218" t="str">
        <f>IFERROR(__xludf.DUMMYFUNCTION("""COMPUTED_VALUE"""),"台銀籌備帳戶")</f>
        <v>台銀籌備帳戶</v>
      </c>
      <c r="G1218" t="str">
        <f>IFERROR(__xludf.DUMMYFUNCTION("""COMPUTED_VALUE"""),"中山北Feli家")</f>
        <v>中山北Feli家</v>
      </c>
      <c r="H1218" s="106" t="str">
        <f t="shared" si="1"/>
        <v>2024-12</v>
      </c>
      <c r="I1218" s="271" t="str">
        <f>IFERROR(__xludf.DUMMYFUNCTION("""COMPUTED_VALUE"""),"貓狗企鵝")</f>
        <v>貓狗企鵝</v>
      </c>
      <c r="J1218" t="str">
        <f>IFERROR(__xludf.DUMMYFUNCTION("IFS(
  AND(REGEXMATCH(E1218, ""台銀籌備帳戶|玉山帳戶""), REGEXMATCH(C1218, ""薪資"")), ""分潤支出"",
  AND(REGEXMATCH(E1218, ""Ben帳戶|Elsa帳戶|Ben代墊|Ariel代墊|中信銀行共用""), REGEXMATCH(F1218, ""Ben帳戶|Elsa帳戶|Ben代墊|Ariel代墊|中信銀行共用"")), ""內部轉帳(忽略)"",
  AND(E1218&lt;&gt;"""", F1218&lt;&gt;"""", N"&amp;"OT(REGEXMATCH(C1218, ""薪資""))), ""內部轉帳(忽略)"",
  REGEXMATCH(C1218, ""薪資""), ""薪資變動(不計入)"",
  REGEXMATCH(C1218, ""押金""), ""押金往來"",
  AND(E1218&lt;&gt;"""", F1218=""""), ""真實支出"",
  AND(E1218="""", F1218&lt;&gt;""""), ""真實收入"",
  TRUE, ""其他""
)"),"真實收入")</f>
        <v>真實收入</v>
      </c>
      <c r="K1218" s="270">
        <f t="shared" si="2"/>
        <v>1200</v>
      </c>
      <c r="L1218">
        <f t="shared" si="3"/>
        <v>0</v>
      </c>
    </row>
    <row r="1219">
      <c r="A1219" s="107">
        <f>IFERROR(__xludf.DUMMYFUNCTION("""COMPUTED_VALUE"""),45629.0)</f>
        <v>45629</v>
      </c>
      <c r="B1219" t="str">
        <f>IFERROR(__xludf.DUMMYFUNCTION("""COMPUTED_VALUE"""),"景安紗窗訂金")</f>
        <v>景安紗窗訂金</v>
      </c>
      <c r="C1219" t="str">
        <f>IFERROR(__xludf.DUMMYFUNCTION("""COMPUTED_VALUE"""),"成本 - 租後修繕")</f>
        <v>成本 - 租後修繕</v>
      </c>
      <c r="D1219" s="270">
        <f>IFERROR(__xludf.DUMMYFUNCTION("""COMPUTED_VALUE"""),-2315.0)</f>
        <v>-2315</v>
      </c>
      <c r="E1219" t="str">
        <f>IFERROR(__xludf.DUMMYFUNCTION("""COMPUTED_VALUE"""),"台銀籌備帳戶")</f>
        <v>台銀籌備帳戶</v>
      </c>
      <c r="G1219" t="str">
        <f>IFERROR(__xludf.DUMMYFUNCTION("""COMPUTED_VALUE"""),"景安2分鐘")</f>
        <v>景安2分鐘</v>
      </c>
      <c r="H1219" s="106" t="str">
        <f t="shared" si="1"/>
        <v>2024-12</v>
      </c>
      <c r="I1219" s="271" t="str">
        <f>IFERROR(__xludf.DUMMYFUNCTION("""COMPUTED_VALUE"""),"貓狗企鵝")</f>
        <v>貓狗企鵝</v>
      </c>
      <c r="J1219" t="str">
        <f>IFERROR(__xludf.DUMMYFUNCTION("IFS(
  AND(REGEXMATCH(E1219, ""台銀籌備帳戶|玉山帳戶""), REGEXMATCH(C1219, ""薪資"")), ""分潤支出"",
  AND(REGEXMATCH(E1219, ""Ben帳戶|Elsa帳戶|Ben代墊|Ariel代墊|中信銀行共用""), REGEXMATCH(F1219, ""Ben帳戶|Elsa帳戶|Ben代墊|Ariel代墊|中信銀行共用"")), ""內部轉帳(忽略)"",
  AND(E1219&lt;&gt;"""", F1219&lt;&gt;"""", N"&amp;"OT(REGEXMATCH(C1219, ""薪資""))), ""內部轉帳(忽略)"",
  REGEXMATCH(C1219, ""薪資""), ""薪資變動(不計入)"",
  REGEXMATCH(C1219, ""押金""), ""押金往來"",
  AND(E1219&lt;&gt;"""", F1219=""""), ""真實支出"",
  AND(E1219="""", F1219&lt;&gt;""""), ""真實收入"",
  TRUE, ""其他""
)"),"真實支出")</f>
        <v>真實支出</v>
      </c>
      <c r="K1219" s="270">
        <f t="shared" si="2"/>
        <v>-2315</v>
      </c>
      <c r="L1219">
        <f t="shared" si="3"/>
        <v>0</v>
      </c>
    </row>
    <row r="1220">
      <c r="A1220" s="107">
        <f>IFERROR(__xludf.DUMMYFUNCTION("""COMPUTED_VALUE"""),45629.0)</f>
        <v>45629</v>
      </c>
      <c r="B1220" t="str">
        <f>IFERROR(__xludf.DUMMYFUNCTION("""COMPUTED_VALUE"""),"金龍馬桶檢修費")</f>
        <v>金龍馬桶檢修費</v>
      </c>
      <c r="C1220" t="str">
        <f>IFERROR(__xludf.DUMMYFUNCTION("""COMPUTED_VALUE"""),"成本 - 租後修繕")</f>
        <v>成本 - 租後修繕</v>
      </c>
      <c r="D1220" s="270">
        <f>IFERROR(__xludf.DUMMYFUNCTION("""COMPUTED_VALUE"""),-500.0)</f>
        <v>-500</v>
      </c>
      <c r="E1220" t="str">
        <f>IFERROR(__xludf.DUMMYFUNCTION("""COMPUTED_VALUE"""),"Ben帳戶")</f>
        <v>Ben帳戶</v>
      </c>
      <c r="G1220" t="str">
        <f>IFERROR(__xludf.DUMMYFUNCTION("""COMPUTED_VALUE"""),"金龍帽子先生")</f>
        <v>金龍帽子先生</v>
      </c>
      <c r="H1220" s="106" t="str">
        <f t="shared" si="1"/>
        <v>2024-12</v>
      </c>
      <c r="I1220" s="271" t="str">
        <f>IFERROR(__xludf.DUMMYFUNCTION("""COMPUTED_VALUE"""),"貓狗企鵝")</f>
        <v>貓狗企鵝</v>
      </c>
      <c r="J1220" t="str">
        <f>IFERROR(__xludf.DUMMYFUNCTION("IFS(
  AND(REGEXMATCH(E1220, ""台銀籌備帳戶|玉山帳戶""), REGEXMATCH(C1220, ""薪資"")), ""分潤支出"",
  AND(REGEXMATCH(E1220, ""Ben帳戶|Elsa帳戶|Ben代墊|Ariel代墊|中信銀行共用""), REGEXMATCH(F1220, ""Ben帳戶|Elsa帳戶|Ben代墊|Ariel代墊|中信銀行共用"")), ""內部轉帳(忽略)"",
  AND(E1220&lt;&gt;"""", F1220&lt;&gt;"""", N"&amp;"OT(REGEXMATCH(C1220, ""薪資""))), ""內部轉帳(忽略)"",
  REGEXMATCH(C1220, ""薪資""), ""薪資變動(不計入)"",
  REGEXMATCH(C1220, ""押金""), ""押金往來"",
  AND(E1220&lt;&gt;"""", F1220=""""), ""真實支出"",
  AND(E1220="""", F1220&lt;&gt;""""), ""真實收入"",
  TRUE, ""其他""
)"),"真實支出")</f>
        <v>真實支出</v>
      </c>
      <c r="K1220" s="270">
        <f t="shared" si="2"/>
        <v>-500</v>
      </c>
      <c r="L1220">
        <f t="shared" si="3"/>
        <v>0</v>
      </c>
    </row>
    <row r="1221">
      <c r="A1221" s="107">
        <f>IFERROR(__xludf.DUMMYFUNCTION("""COMPUTED_VALUE"""),45629.0)</f>
        <v>45629</v>
      </c>
      <c r="B1221" t="str">
        <f>IFERROR(__xludf.DUMMYFUNCTION("""COMPUTED_VALUE"""),"大湖打掃")</f>
        <v>大湖打掃</v>
      </c>
      <c r="C1221" t="str">
        <f>IFERROR(__xludf.DUMMYFUNCTION("""COMPUTED_VALUE"""),"成本 - 固定開銷(網路代收清潔)")</f>
        <v>成本 - 固定開銷(網路代收清潔)</v>
      </c>
      <c r="D1221" s="270">
        <f>IFERROR(__xludf.DUMMYFUNCTION("""COMPUTED_VALUE"""),-700.0)</f>
        <v>-700</v>
      </c>
      <c r="E1221" t="str">
        <f>IFERROR(__xludf.DUMMYFUNCTION("""COMPUTED_VALUE"""),"Elsa帳戶")</f>
        <v>Elsa帳戶</v>
      </c>
      <c r="G1221" t="str">
        <f>IFERROR(__xludf.DUMMYFUNCTION("""COMPUTED_VALUE"""),"大湖山莊")</f>
        <v>大湖山莊</v>
      </c>
      <c r="H1221" s="106" t="str">
        <f t="shared" si="1"/>
        <v>2024-12</v>
      </c>
      <c r="I1221" s="271" t="str">
        <f>IFERROR(__xludf.DUMMYFUNCTION("""COMPUTED_VALUE"""),"貓狗企鵝")</f>
        <v>貓狗企鵝</v>
      </c>
      <c r="J1221" t="str">
        <f>IFERROR(__xludf.DUMMYFUNCTION("IFS(
  AND(REGEXMATCH(E1221, ""台銀籌備帳戶|玉山帳戶""), REGEXMATCH(C1221, ""薪資"")), ""分潤支出"",
  AND(REGEXMATCH(E1221, ""Ben帳戶|Elsa帳戶|Ben代墊|Ariel代墊|中信銀行共用""), REGEXMATCH(F1221, ""Ben帳戶|Elsa帳戶|Ben代墊|Ariel代墊|中信銀行共用"")), ""內部轉帳(忽略)"",
  AND(E1221&lt;&gt;"""", F1221&lt;&gt;"""", N"&amp;"OT(REGEXMATCH(C1221, ""薪資""))), ""內部轉帳(忽略)"",
  REGEXMATCH(C1221, ""薪資""), ""薪資變動(不計入)"",
  REGEXMATCH(C1221, ""押金""), ""押金往來"",
  AND(E1221&lt;&gt;"""", F1221=""""), ""真實支出"",
  AND(E1221="""", F1221&lt;&gt;""""), ""真實收入"",
  TRUE, ""其他""
)"),"真實支出")</f>
        <v>真實支出</v>
      </c>
      <c r="K1221" s="270">
        <f t="shared" si="2"/>
        <v>-700</v>
      </c>
      <c r="L1221">
        <f t="shared" si="3"/>
        <v>0</v>
      </c>
    </row>
    <row r="1222">
      <c r="A1222" s="107">
        <f>IFERROR(__xludf.DUMMYFUNCTION("""COMPUTED_VALUE"""),45630.0)</f>
        <v>45630</v>
      </c>
      <c r="B1222" t="str">
        <f>IFERROR(__xludf.DUMMYFUNCTION("""COMPUTED_VALUE"""),"哈拉垃圾代收（9-12月")</f>
        <v>哈拉垃圾代收（9-12月</v>
      </c>
      <c r="C1222" t="str">
        <f>IFERROR(__xludf.DUMMYFUNCTION("""COMPUTED_VALUE"""),"成本 - 固定開銷(網路代收清潔)")</f>
        <v>成本 - 固定開銷(網路代收清潔)</v>
      </c>
      <c r="D1222" s="270">
        <f>IFERROR(__xludf.DUMMYFUNCTION("""COMPUTED_VALUE"""),-1200.0)</f>
        <v>-1200</v>
      </c>
      <c r="E1222" t="str">
        <f>IFERROR(__xludf.DUMMYFUNCTION("""COMPUTED_VALUE"""),"Ben帳戶")</f>
        <v>Ben帳戶</v>
      </c>
      <c r="G1222" t="str">
        <f>IFERROR(__xludf.DUMMYFUNCTION("""COMPUTED_VALUE"""),"哈拉對面")</f>
        <v>哈拉對面</v>
      </c>
      <c r="H1222" s="106" t="str">
        <f t="shared" si="1"/>
        <v>2024-12</v>
      </c>
      <c r="I1222" s="271" t="str">
        <f>IFERROR(__xludf.DUMMYFUNCTION("""COMPUTED_VALUE"""),"貓狗企鵝")</f>
        <v>貓狗企鵝</v>
      </c>
      <c r="J1222" t="str">
        <f>IFERROR(__xludf.DUMMYFUNCTION("IFS(
  AND(REGEXMATCH(E1222, ""台銀籌備帳戶|玉山帳戶""), REGEXMATCH(C1222, ""薪資"")), ""分潤支出"",
  AND(REGEXMATCH(E1222, ""Ben帳戶|Elsa帳戶|Ben代墊|Ariel代墊|中信銀行共用""), REGEXMATCH(F1222, ""Ben帳戶|Elsa帳戶|Ben代墊|Ariel代墊|中信銀行共用"")), ""內部轉帳(忽略)"",
  AND(E1222&lt;&gt;"""", F1222&lt;&gt;"""", N"&amp;"OT(REGEXMATCH(C1222, ""薪資""))), ""內部轉帳(忽略)"",
  REGEXMATCH(C1222, ""薪資""), ""薪資變動(不計入)"",
  REGEXMATCH(C1222, ""押金""), ""押金往來"",
  AND(E1222&lt;&gt;"""", F1222=""""), ""真實支出"",
  AND(E1222="""", F1222&lt;&gt;""""), ""真實收入"",
  TRUE, ""其他""
)"),"真實支出")</f>
        <v>真實支出</v>
      </c>
      <c r="K1222" s="270">
        <f t="shared" si="2"/>
        <v>-1200</v>
      </c>
      <c r="L1222">
        <f t="shared" si="3"/>
        <v>0</v>
      </c>
    </row>
    <row r="1223">
      <c r="A1223" s="107">
        <f>IFERROR(__xludf.DUMMYFUNCTION("""COMPUTED_VALUE"""),45630.0)</f>
        <v>45630</v>
      </c>
      <c r="B1223" t="str">
        <f>IFERROR(__xludf.DUMMYFUNCTION("""COMPUTED_VALUE"""),"大湖A房 防水")</f>
        <v>大湖A房 防水</v>
      </c>
      <c r="C1223" t="str">
        <f>IFERROR(__xludf.DUMMYFUNCTION("""COMPUTED_VALUE"""),"成本 - 租後修繕")</f>
        <v>成本 - 租後修繕</v>
      </c>
      <c r="D1223" s="270">
        <f>IFERROR(__xludf.DUMMYFUNCTION("""COMPUTED_VALUE"""),-6300.0)</f>
        <v>-6300</v>
      </c>
      <c r="E1223" t="str">
        <f>IFERROR(__xludf.DUMMYFUNCTION("""COMPUTED_VALUE"""),"Ben帳戶")</f>
        <v>Ben帳戶</v>
      </c>
      <c r="G1223" t="str">
        <f>IFERROR(__xludf.DUMMYFUNCTION("""COMPUTED_VALUE"""),"大湖山莊")</f>
        <v>大湖山莊</v>
      </c>
      <c r="H1223" s="106" t="str">
        <f t="shared" si="1"/>
        <v>2024-12</v>
      </c>
      <c r="I1223" s="271" t="str">
        <f>IFERROR(__xludf.DUMMYFUNCTION("""COMPUTED_VALUE"""),"貓狗企鵝")</f>
        <v>貓狗企鵝</v>
      </c>
      <c r="J1223" t="str">
        <f>IFERROR(__xludf.DUMMYFUNCTION("IFS(
  AND(REGEXMATCH(E1223, ""台銀籌備帳戶|玉山帳戶""), REGEXMATCH(C1223, ""薪資"")), ""分潤支出"",
  AND(REGEXMATCH(E1223, ""Ben帳戶|Elsa帳戶|Ben代墊|Ariel代墊|中信銀行共用""), REGEXMATCH(F1223, ""Ben帳戶|Elsa帳戶|Ben代墊|Ariel代墊|中信銀行共用"")), ""內部轉帳(忽略)"",
  AND(E1223&lt;&gt;"""", F1223&lt;&gt;"""", N"&amp;"OT(REGEXMATCH(C1223, ""薪資""))), ""內部轉帳(忽略)"",
  REGEXMATCH(C1223, ""薪資""), ""薪資變動(不計入)"",
  REGEXMATCH(C1223, ""押金""), ""押金往來"",
  AND(E1223&lt;&gt;"""", F1223=""""), ""真實支出"",
  AND(E1223="""", F1223&lt;&gt;""""), ""真實收入"",
  TRUE, ""其他""
)"),"真實支出")</f>
        <v>真實支出</v>
      </c>
      <c r="K1223" s="270">
        <f t="shared" si="2"/>
        <v>-6300</v>
      </c>
      <c r="L1223">
        <f t="shared" si="3"/>
        <v>0</v>
      </c>
    </row>
    <row r="1224">
      <c r="A1224" s="107">
        <f>IFERROR(__xludf.DUMMYFUNCTION("""COMPUTED_VALUE"""),45630.0)</f>
        <v>45630</v>
      </c>
      <c r="B1224" t="str">
        <f>IFERROR(__xludf.DUMMYFUNCTION("""COMPUTED_VALUE"""),"老闆我要買很利的剪刀跟美工刀")</f>
        <v>老闆我要買很利的剪刀跟美工刀</v>
      </c>
      <c r="C1224" t="str">
        <f>IFERROR(__xludf.DUMMYFUNCTION("""COMPUTED_VALUE"""),"費用 - 辦公用品")</f>
        <v>費用 - 辦公用品</v>
      </c>
      <c r="D1224" s="270">
        <f>IFERROR(__xludf.DUMMYFUNCTION("""COMPUTED_VALUE"""),-320.0)</f>
        <v>-320</v>
      </c>
      <c r="E1224" t="str">
        <f>IFERROR(__xludf.DUMMYFUNCTION("""COMPUTED_VALUE"""),"Ben帳戶")</f>
        <v>Ben帳戶</v>
      </c>
      <c r="H1224" s="106" t="str">
        <f t="shared" si="1"/>
        <v>2024-12</v>
      </c>
      <c r="I1224" s="271" t="str">
        <f>IFERROR(__xludf.DUMMYFUNCTION("""COMPUTED_VALUE"""),"貓狗企鵝")</f>
        <v>貓狗企鵝</v>
      </c>
      <c r="J1224" t="str">
        <f>IFERROR(__xludf.DUMMYFUNCTION("IFS(
  AND(REGEXMATCH(E1224, ""台銀籌備帳戶|玉山帳戶""), REGEXMATCH(C1224, ""薪資"")), ""分潤支出"",
  AND(REGEXMATCH(E1224, ""Ben帳戶|Elsa帳戶|Ben代墊|Ariel代墊|中信銀行共用""), REGEXMATCH(F1224, ""Ben帳戶|Elsa帳戶|Ben代墊|Ariel代墊|中信銀行共用"")), ""內部轉帳(忽略)"",
  AND(E1224&lt;&gt;"""", F1224&lt;&gt;"""", N"&amp;"OT(REGEXMATCH(C1224, ""薪資""))), ""內部轉帳(忽略)"",
  REGEXMATCH(C1224, ""薪資""), ""薪資變動(不計入)"",
  REGEXMATCH(C1224, ""押金""), ""押金往來"",
  AND(E1224&lt;&gt;"""", F1224=""""), ""真實支出"",
  AND(E1224="""", F1224&lt;&gt;""""), ""真實收入"",
  TRUE, ""其他""
)"),"真實支出")</f>
        <v>真實支出</v>
      </c>
      <c r="K1224" s="270">
        <f t="shared" si="2"/>
        <v>-320</v>
      </c>
      <c r="L1224">
        <f t="shared" si="3"/>
        <v>0</v>
      </c>
    </row>
    <row r="1225">
      <c r="A1225" s="107">
        <f>IFERROR(__xludf.DUMMYFUNCTION("""COMPUTED_VALUE"""),45630.0)</f>
        <v>45630</v>
      </c>
      <c r="B1225" t="str">
        <f>IFERROR(__xludf.DUMMYFUNCTION("""COMPUTED_VALUE"""),"北醫醫師府 停車")</f>
        <v>北醫醫師府 停車</v>
      </c>
      <c r="C1225" t="str">
        <f>IFERROR(__xludf.DUMMYFUNCTION("""COMPUTED_VALUE"""),"費用 - 交通費")</f>
        <v>費用 - 交通費</v>
      </c>
      <c r="D1225" s="270">
        <f>IFERROR(__xludf.DUMMYFUNCTION("""COMPUTED_VALUE"""),-75.0)</f>
        <v>-75</v>
      </c>
      <c r="E1225" t="str">
        <f>IFERROR(__xludf.DUMMYFUNCTION("""COMPUTED_VALUE"""),"Elsa帳戶")</f>
        <v>Elsa帳戶</v>
      </c>
      <c r="G1225" t="str">
        <f>IFERROR(__xludf.DUMMYFUNCTION("""COMPUTED_VALUE"""),"北醫醫師府")</f>
        <v>北醫醫師府</v>
      </c>
      <c r="H1225" s="106" t="str">
        <f t="shared" si="1"/>
        <v>2024-12</v>
      </c>
      <c r="I1225" s="271" t="str">
        <f>IFERROR(__xludf.DUMMYFUNCTION("""COMPUTED_VALUE"""),"貓狗企鵝")</f>
        <v>貓狗企鵝</v>
      </c>
      <c r="J1225" t="str">
        <f>IFERROR(__xludf.DUMMYFUNCTION("IFS(
  AND(REGEXMATCH(E1225, ""台銀籌備帳戶|玉山帳戶""), REGEXMATCH(C1225, ""薪資"")), ""分潤支出"",
  AND(REGEXMATCH(E1225, ""Ben帳戶|Elsa帳戶|Ben代墊|Ariel代墊|中信銀行共用""), REGEXMATCH(F1225, ""Ben帳戶|Elsa帳戶|Ben代墊|Ariel代墊|中信銀行共用"")), ""內部轉帳(忽略)"",
  AND(E1225&lt;&gt;"""", F1225&lt;&gt;"""", N"&amp;"OT(REGEXMATCH(C1225, ""薪資""))), ""內部轉帳(忽略)"",
  REGEXMATCH(C1225, ""薪資""), ""薪資變動(不計入)"",
  REGEXMATCH(C1225, ""押金""), ""押金往來"",
  AND(E1225&lt;&gt;"""", F1225=""""), ""真實支出"",
  AND(E1225="""", F1225&lt;&gt;""""), ""真實收入"",
  TRUE, ""其他""
)"),"真實支出")</f>
        <v>真實支出</v>
      </c>
      <c r="K1225" s="270">
        <f t="shared" si="2"/>
        <v>-75</v>
      </c>
      <c r="L1225">
        <f t="shared" si="3"/>
        <v>0</v>
      </c>
    </row>
    <row r="1226">
      <c r="A1226" s="107">
        <f>IFERROR(__xludf.DUMMYFUNCTION("""COMPUTED_VALUE"""),45630.0)</f>
        <v>45630</v>
      </c>
      <c r="B1226" t="str">
        <f>IFERROR(__xludf.DUMMYFUNCTION("""COMPUTED_VALUE"""),"裝潢代墊款")</f>
        <v>裝潢代墊款</v>
      </c>
      <c r="C1226" t="str">
        <f>IFERROR(__xludf.DUMMYFUNCTION("""COMPUTED_VALUE"""),"費用 - Salary 薪資")</f>
        <v>費用 - Salary 薪資</v>
      </c>
      <c r="D1226" s="270">
        <f>IFERROR(__xludf.DUMMYFUNCTION("""COMPUTED_VALUE"""),-100000.0)</f>
        <v>-100000</v>
      </c>
      <c r="E1226" t="str">
        <f>IFERROR(__xludf.DUMMYFUNCTION("""COMPUTED_VALUE"""),"Ben帳戶")</f>
        <v>Ben帳戶</v>
      </c>
      <c r="F1226" t="str">
        <f>IFERROR(__xludf.DUMMYFUNCTION("""COMPUTED_VALUE"""),"Elsa帳戶")</f>
        <v>Elsa帳戶</v>
      </c>
      <c r="H1226" s="106" t="str">
        <f t="shared" si="1"/>
        <v>2024-12</v>
      </c>
      <c r="I1226" s="271" t="str">
        <f>IFERROR(__xludf.DUMMYFUNCTION("""COMPUTED_VALUE"""),"貓狗企鵝")</f>
        <v>貓狗企鵝</v>
      </c>
      <c r="J1226" t="str">
        <f>IFERROR(__xludf.DUMMYFUNCTION("IFS(
  AND(REGEXMATCH(E1226, ""台銀籌備帳戶|玉山帳戶""), REGEXMATCH(C1226, ""薪資"")), ""分潤支出"",
  AND(REGEXMATCH(E1226, ""Ben帳戶|Elsa帳戶|Ben代墊|Ariel代墊|中信銀行共用""), REGEXMATCH(F1226, ""Ben帳戶|Elsa帳戶|Ben代墊|Ariel代墊|中信銀行共用"")), ""內部轉帳(忽略)"",
  AND(E1226&lt;&gt;"""", F1226&lt;&gt;"""", N"&amp;"OT(REGEXMATCH(C1226, ""薪資""))), ""內部轉帳(忽略)"",
  REGEXMATCH(C1226, ""薪資""), ""薪資變動(不計入)"",
  REGEXMATCH(C1226, ""押金""), ""押金往來"",
  AND(E1226&lt;&gt;"""", F1226=""""), ""真實支出"",
  AND(E1226="""", F1226&lt;&gt;""""), ""真實收入"",
  TRUE, ""其他""
)"),"內部轉帳(忽略)")</f>
        <v>內部轉帳(忽略)</v>
      </c>
      <c r="K1226">
        <f t="shared" si="2"/>
        <v>0</v>
      </c>
      <c r="L1226">
        <f t="shared" si="3"/>
        <v>0</v>
      </c>
    </row>
    <row r="1227">
      <c r="A1227" s="107">
        <f>IFERROR(__xludf.DUMMYFUNCTION("""COMPUTED_VALUE"""),45630.0)</f>
        <v>45630</v>
      </c>
      <c r="B1227" t="str">
        <f>IFERROR(__xludf.DUMMYFUNCTION("""COMPUTED_VALUE"""),"裝潢代墊款")</f>
        <v>裝潢代墊款</v>
      </c>
      <c r="C1227" t="str">
        <f>IFERROR(__xludf.DUMMYFUNCTION("""COMPUTED_VALUE"""),"費用 - Salary 薪資")</f>
        <v>費用 - Salary 薪資</v>
      </c>
      <c r="D1227" s="270">
        <f>IFERROR(__xludf.DUMMYFUNCTION("""COMPUTED_VALUE"""),-200015.0)</f>
        <v>-200015</v>
      </c>
      <c r="E1227" t="str">
        <f>IFERROR(__xludf.DUMMYFUNCTION("""COMPUTED_VALUE"""),"台銀籌備帳戶")</f>
        <v>台銀籌備帳戶</v>
      </c>
      <c r="F1227" t="str">
        <f>IFERROR(__xludf.DUMMYFUNCTION("""COMPUTED_VALUE"""),"Ben帳戶")</f>
        <v>Ben帳戶</v>
      </c>
      <c r="H1227" s="106" t="str">
        <f t="shared" si="1"/>
        <v>2024-12</v>
      </c>
      <c r="I1227" s="271" t="str">
        <f>IFERROR(__xludf.DUMMYFUNCTION("""COMPUTED_VALUE"""),"貓狗企鵝")</f>
        <v>貓狗企鵝</v>
      </c>
      <c r="J1227" t="str">
        <f>IFERROR(__xludf.DUMMYFUNCTION("IFS(
  AND(REGEXMATCH(E1227, ""台銀籌備帳戶|玉山帳戶""), REGEXMATCH(C1227, ""薪資"")), ""分潤支出"",
  AND(REGEXMATCH(E1227, ""Ben帳戶|Elsa帳戶|Ben代墊|Ariel代墊|中信銀行共用""), REGEXMATCH(F1227, ""Ben帳戶|Elsa帳戶|Ben代墊|Ariel代墊|中信銀行共用"")), ""內部轉帳(忽略)"",
  AND(E1227&lt;&gt;"""", F1227&lt;&gt;"""", N"&amp;"OT(REGEXMATCH(C1227, ""薪資""))), ""內部轉帳(忽略)"",
  REGEXMATCH(C1227, ""薪資""), ""薪資變動(不計入)"",
  REGEXMATCH(C1227, ""押金""), ""押金往來"",
  AND(E1227&lt;&gt;"""", F1227=""""), ""真實支出"",
  AND(E1227="""", F1227&lt;&gt;""""), ""真實收入"",
  TRUE, ""其他""
)"),"分潤支出")</f>
        <v>分潤支出</v>
      </c>
      <c r="K1227">
        <f t="shared" si="2"/>
        <v>0</v>
      </c>
      <c r="L1227">
        <f t="shared" si="3"/>
        <v>200015</v>
      </c>
    </row>
    <row r="1228">
      <c r="A1228" s="107">
        <f>IFERROR(__xludf.DUMMYFUNCTION("""COMPUTED_VALUE"""),45631.0)</f>
        <v>45631</v>
      </c>
      <c r="B1228" t="str">
        <f>IFERROR(__xludf.DUMMYFUNCTION("""COMPUTED_VALUE"""),"北醫醫師傅6樓陽台地板")</f>
        <v>北醫醫師傅6樓陽台地板</v>
      </c>
      <c r="C1228" t="str">
        <f>IFERROR(__xludf.DUMMYFUNCTION("""COMPUTED_VALUE"""),"成本 - 租後修繕")</f>
        <v>成本 - 租後修繕</v>
      </c>
      <c r="D1228" s="270">
        <f>IFERROR(__xludf.DUMMYFUNCTION("""COMPUTED_VALUE"""),-3400.0)</f>
        <v>-3400</v>
      </c>
      <c r="E1228" t="str">
        <f>IFERROR(__xludf.DUMMYFUNCTION("""COMPUTED_VALUE"""),"Elsa帳戶")</f>
        <v>Elsa帳戶</v>
      </c>
      <c r="G1228" t="str">
        <f>IFERROR(__xludf.DUMMYFUNCTION("""COMPUTED_VALUE"""),"北醫醫師府")</f>
        <v>北醫醫師府</v>
      </c>
      <c r="H1228" s="106" t="str">
        <f t="shared" si="1"/>
        <v>2024-12</v>
      </c>
      <c r="I1228" s="271" t="str">
        <f>IFERROR(__xludf.DUMMYFUNCTION("""COMPUTED_VALUE"""),"貓狗企鵝")</f>
        <v>貓狗企鵝</v>
      </c>
      <c r="J1228" t="str">
        <f>IFERROR(__xludf.DUMMYFUNCTION("IFS(
  AND(REGEXMATCH(E1228, ""台銀籌備帳戶|玉山帳戶""), REGEXMATCH(C1228, ""薪資"")), ""分潤支出"",
  AND(REGEXMATCH(E1228, ""Ben帳戶|Elsa帳戶|Ben代墊|Ariel代墊|中信銀行共用""), REGEXMATCH(F1228, ""Ben帳戶|Elsa帳戶|Ben代墊|Ariel代墊|中信銀行共用"")), ""內部轉帳(忽略)"",
  AND(E1228&lt;&gt;"""", F1228&lt;&gt;"""", N"&amp;"OT(REGEXMATCH(C1228, ""薪資""))), ""內部轉帳(忽略)"",
  REGEXMATCH(C1228, ""薪資""), ""薪資變動(不計入)"",
  REGEXMATCH(C1228, ""押金""), ""押金往來"",
  AND(E1228&lt;&gt;"""", F1228=""""), ""真實支出"",
  AND(E1228="""", F1228&lt;&gt;""""), ""真實收入"",
  TRUE, ""其他""
)"),"真實支出")</f>
        <v>真實支出</v>
      </c>
      <c r="K1228" s="270">
        <f t="shared" si="2"/>
        <v>-3400</v>
      </c>
      <c r="L1228">
        <f t="shared" si="3"/>
        <v>0</v>
      </c>
    </row>
    <row r="1229">
      <c r="A1229" s="107">
        <f>IFERROR(__xludf.DUMMYFUNCTION("""COMPUTED_VALUE"""),45631.0)</f>
        <v>45631</v>
      </c>
      <c r="B1229" t="str">
        <f>IFERROR(__xludf.DUMMYFUNCTION("""COMPUTED_VALUE"""),"金龍烘衣機")</f>
        <v>金龍烘衣機</v>
      </c>
      <c r="C1229" t="str">
        <f>IFERROR(__xludf.DUMMYFUNCTION("""COMPUTED_VALUE"""),"成本 - 租後修繕")</f>
        <v>成本 - 租後修繕</v>
      </c>
      <c r="D1229" s="270">
        <f>IFERROR(__xludf.DUMMYFUNCTION("""COMPUTED_VALUE"""),-7703.0)</f>
        <v>-7703</v>
      </c>
      <c r="E1229" t="str">
        <f>IFERROR(__xludf.DUMMYFUNCTION("""COMPUTED_VALUE"""),"Elsa帳戶")</f>
        <v>Elsa帳戶</v>
      </c>
      <c r="G1229" t="str">
        <f>IFERROR(__xludf.DUMMYFUNCTION("""COMPUTED_VALUE"""),"金龍帽子先生")</f>
        <v>金龍帽子先生</v>
      </c>
      <c r="H1229" s="106" t="str">
        <f t="shared" si="1"/>
        <v>2024-12</v>
      </c>
      <c r="I1229" s="271" t="str">
        <f>IFERROR(__xludf.DUMMYFUNCTION("""COMPUTED_VALUE"""),"貓狗企鵝")</f>
        <v>貓狗企鵝</v>
      </c>
      <c r="J1229" t="str">
        <f>IFERROR(__xludf.DUMMYFUNCTION("IFS(
  AND(REGEXMATCH(E1229, ""台銀籌備帳戶|玉山帳戶""), REGEXMATCH(C1229, ""薪資"")), ""分潤支出"",
  AND(REGEXMATCH(E1229, ""Ben帳戶|Elsa帳戶|Ben代墊|Ariel代墊|中信銀行共用""), REGEXMATCH(F1229, ""Ben帳戶|Elsa帳戶|Ben代墊|Ariel代墊|中信銀行共用"")), ""內部轉帳(忽略)"",
  AND(E1229&lt;&gt;"""", F1229&lt;&gt;"""", N"&amp;"OT(REGEXMATCH(C1229, ""薪資""))), ""內部轉帳(忽略)"",
  REGEXMATCH(C1229, ""薪資""), ""薪資變動(不計入)"",
  REGEXMATCH(C1229, ""押金""), ""押金往來"",
  AND(E1229&lt;&gt;"""", F1229=""""), ""真實支出"",
  AND(E1229="""", F1229&lt;&gt;""""), ""真實收入"",
  TRUE, ""其他""
)"),"真實支出")</f>
        <v>真實支出</v>
      </c>
      <c r="K1229" s="270">
        <f t="shared" si="2"/>
        <v>-7703</v>
      </c>
      <c r="L1229">
        <f t="shared" si="3"/>
        <v>0</v>
      </c>
    </row>
    <row r="1230">
      <c r="A1230" s="107">
        <f>IFERROR(__xludf.DUMMYFUNCTION("""COMPUTED_VALUE"""),45631.0)</f>
        <v>45631</v>
      </c>
      <c r="B1230" t="str">
        <f>IFERROR(__xludf.DUMMYFUNCTION("""COMPUTED_VALUE"""),"金龍 水費")</f>
        <v>金龍 水費</v>
      </c>
      <c r="C1230" t="str">
        <f>IFERROR(__xludf.DUMMYFUNCTION("""COMPUTED_VALUE"""),"成本 - 固定開銷(網路代收清潔)")</f>
        <v>成本 - 固定開銷(網路代收清潔)</v>
      </c>
      <c r="D1230" s="270">
        <f>IFERROR(__xludf.DUMMYFUNCTION("""COMPUTED_VALUE"""),-188.0)</f>
        <v>-188</v>
      </c>
      <c r="E1230" t="str">
        <f>IFERROR(__xludf.DUMMYFUNCTION("""COMPUTED_VALUE"""),"Ben帳戶")</f>
        <v>Ben帳戶</v>
      </c>
      <c r="G1230" t="str">
        <f>IFERROR(__xludf.DUMMYFUNCTION("""COMPUTED_VALUE"""),"金龍帽子先生")</f>
        <v>金龍帽子先生</v>
      </c>
      <c r="H1230" s="106" t="str">
        <f t="shared" si="1"/>
        <v>2024-12</v>
      </c>
      <c r="I1230" s="271" t="str">
        <f>IFERROR(__xludf.DUMMYFUNCTION("""COMPUTED_VALUE"""),"貓狗企鵝")</f>
        <v>貓狗企鵝</v>
      </c>
      <c r="J1230" t="str">
        <f>IFERROR(__xludf.DUMMYFUNCTION("IFS(
  AND(REGEXMATCH(E1230, ""台銀籌備帳戶|玉山帳戶""), REGEXMATCH(C1230, ""薪資"")), ""分潤支出"",
  AND(REGEXMATCH(E1230, ""Ben帳戶|Elsa帳戶|Ben代墊|Ariel代墊|中信銀行共用""), REGEXMATCH(F1230, ""Ben帳戶|Elsa帳戶|Ben代墊|Ariel代墊|中信銀行共用"")), ""內部轉帳(忽略)"",
  AND(E1230&lt;&gt;"""", F1230&lt;&gt;"""", N"&amp;"OT(REGEXMATCH(C1230, ""薪資""))), ""內部轉帳(忽略)"",
  REGEXMATCH(C1230, ""薪資""), ""薪資變動(不計入)"",
  REGEXMATCH(C1230, ""押金""), ""押金往來"",
  AND(E1230&lt;&gt;"""", F1230=""""), ""真實支出"",
  AND(E1230="""", F1230&lt;&gt;""""), ""真實收入"",
  TRUE, ""其他""
)"),"真實支出")</f>
        <v>真實支出</v>
      </c>
      <c r="K1230" s="270">
        <f t="shared" si="2"/>
        <v>-188</v>
      </c>
      <c r="L1230">
        <f t="shared" si="3"/>
        <v>0</v>
      </c>
    </row>
    <row r="1231">
      <c r="A1231" s="107">
        <f>IFERROR(__xludf.DUMMYFUNCTION("""COMPUTED_VALUE"""),45631.0)</f>
        <v>45631</v>
      </c>
      <c r="B1231" t="str">
        <f>IFERROR(__xludf.DUMMYFUNCTION("""COMPUTED_VALUE"""),"金龍馬桶")</f>
        <v>金龍馬桶</v>
      </c>
      <c r="C1231" t="str">
        <f>IFERROR(__xludf.DUMMYFUNCTION("""COMPUTED_VALUE"""),"成本 - 租後修繕")</f>
        <v>成本 - 租後修繕</v>
      </c>
      <c r="D1231" s="270">
        <f>IFERROR(__xludf.DUMMYFUNCTION("""COMPUTED_VALUE"""),-8500.0)</f>
        <v>-8500</v>
      </c>
      <c r="E1231" t="str">
        <f>IFERROR(__xludf.DUMMYFUNCTION("""COMPUTED_VALUE"""),"Elsa帳戶")</f>
        <v>Elsa帳戶</v>
      </c>
      <c r="G1231" t="str">
        <f>IFERROR(__xludf.DUMMYFUNCTION("""COMPUTED_VALUE"""),"金龍帽子先生")</f>
        <v>金龍帽子先生</v>
      </c>
      <c r="H1231" s="106" t="str">
        <f t="shared" si="1"/>
        <v>2024-12</v>
      </c>
      <c r="I1231" s="271" t="str">
        <f>IFERROR(__xludf.DUMMYFUNCTION("""COMPUTED_VALUE"""),"貓狗企鵝")</f>
        <v>貓狗企鵝</v>
      </c>
      <c r="J1231" t="str">
        <f>IFERROR(__xludf.DUMMYFUNCTION("IFS(
  AND(REGEXMATCH(E1231, ""台銀籌備帳戶|玉山帳戶""), REGEXMATCH(C1231, ""薪資"")), ""分潤支出"",
  AND(REGEXMATCH(E1231, ""Ben帳戶|Elsa帳戶|Ben代墊|Ariel代墊|中信銀行共用""), REGEXMATCH(F1231, ""Ben帳戶|Elsa帳戶|Ben代墊|Ariel代墊|中信銀行共用"")), ""內部轉帳(忽略)"",
  AND(E1231&lt;&gt;"""", F1231&lt;&gt;"""", N"&amp;"OT(REGEXMATCH(C1231, ""薪資""))), ""內部轉帳(忽略)"",
  REGEXMATCH(C1231, ""薪資""), ""薪資變動(不計入)"",
  REGEXMATCH(C1231, ""押金""), ""押金往來"",
  AND(E1231&lt;&gt;"""", F1231=""""), ""真實支出"",
  AND(E1231="""", F1231&lt;&gt;""""), ""真實收入"",
  TRUE, ""其他""
)"),"真實支出")</f>
        <v>真實支出</v>
      </c>
      <c r="K1231" s="270">
        <f t="shared" si="2"/>
        <v>-8500</v>
      </c>
      <c r="L1231">
        <f t="shared" si="3"/>
        <v>0</v>
      </c>
    </row>
    <row r="1232">
      <c r="A1232" s="107">
        <f>IFERROR(__xludf.DUMMYFUNCTION("""COMPUTED_VALUE"""),45631.0)</f>
        <v>45631</v>
      </c>
      <c r="B1232" t="str">
        <f>IFERROR(__xludf.DUMMYFUNCTION("""COMPUTED_VALUE"""),"Feli C Jas 訂金")</f>
        <v>Feli C Jas 訂金</v>
      </c>
      <c r="C1232" t="str">
        <f>IFERROR(__xludf.DUMMYFUNCTION("""COMPUTED_VALUE"""),"收入 - 租金")</f>
        <v>收入 - 租金</v>
      </c>
      <c r="D1232" s="270">
        <f>IFERROR(__xludf.DUMMYFUNCTION("""COMPUTED_VALUE"""),7000.0)</f>
        <v>7000</v>
      </c>
      <c r="F1232" t="str">
        <f>IFERROR(__xludf.DUMMYFUNCTION("""COMPUTED_VALUE"""),"台銀籌備帳戶")</f>
        <v>台銀籌備帳戶</v>
      </c>
      <c r="G1232" t="str">
        <f>IFERROR(__xludf.DUMMYFUNCTION("""COMPUTED_VALUE"""),"中山北Feli家")</f>
        <v>中山北Feli家</v>
      </c>
      <c r="H1232" s="106" t="str">
        <f t="shared" si="1"/>
        <v>2024-12</v>
      </c>
      <c r="I1232" s="271" t="str">
        <f>IFERROR(__xludf.DUMMYFUNCTION("""COMPUTED_VALUE"""),"貓狗企鵝")</f>
        <v>貓狗企鵝</v>
      </c>
      <c r="J1232" t="str">
        <f>IFERROR(__xludf.DUMMYFUNCTION("IFS(
  AND(REGEXMATCH(E1232, ""台銀籌備帳戶|玉山帳戶""), REGEXMATCH(C1232, ""薪資"")), ""分潤支出"",
  AND(REGEXMATCH(E1232, ""Ben帳戶|Elsa帳戶|Ben代墊|Ariel代墊|中信銀行共用""), REGEXMATCH(F1232, ""Ben帳戶|Elsa帳戶|Ben代墊|Ariel代墊|中信銀行共用"")), ""內部轉帳(忽略)"",
  AND(E1232&lt;&gt;"""", F1232&lt;&gt;"""", N"&amp;"OT(REGEXMATCH(C1232, ""薪資""))), ""內部轉帳(忽略)"",
  REGEXMATCH(C1232, ""薪資""), ""薪資變動(不計入)"",
  REGEXMATCH(C1232, ""押金""), ""押金往來"",
  AND(E1232&lt;&gt;"""", F1232=""""), ""真實支出"",
  AND(E1232="""", F1232&lt;&gt;""""), ""真實收入"",
  TRUE, ""其他""
)"),"真實收入")</f>
        <v>真實收入</v>
      </c>
      <c r="K1232" s="270">
        <f t="shared" si="2"/>
        <v>7000</v>
      </c>
      <c r="L1232">
        <f t="shared" si="3"/>
        <v>0</v>
      </c>
    </row>
    <row r="1233">
      <c r="A1233" s="107">
        <f>IFERROR(__xludf.DUMMYFUNCTION("""COMPUTED_VALUE"""),45631.0)</f>
        <v>45631</v>
      </c>
      <c r="B1233" t="str">
        <f>IFERROR(__xludf.DUMMYFUNCTION("""COMPUTED_VALUE"""),"Feli A Eric")</f>
        <v>Feli A Eric</v>
      </c>
      <c r="C1233" t="str">
        <f>IFERROR(__xludf.DUMMYFUNCTION("""COMPUTED_VALUE"""),"收入 - 租金")</f>
        <v>收入 - 租金</v>
      </c>
      <c r="D1233" s="270">
        <f>IFERROR(__xludf.DUMMYFUNCTION("""COMPUTED_VALUE"""),-732.0)</f>
        <v>-732</v>
      </c>
      <c r="E1233" t="str">
        <f>IFERROR(__xludf.DUMMYFUNCTION("""COMPUTED_VALUE"""),"台銀籌備帳戶")</f>
        <v>台銀籌備帳戶</v>
      </c>
      <c r="G1233" t="str">
        <f>IFERROR(__xludf.DUMMYFUNCTION("""COMPUTED_VALUE"""),"中山北Feli家")</f>
        <v>中山北Feli家</v>
      </c>
      <c r="H1233" s="106" t="str">
        <f t="shared" si="1"/>
        <v>2024-12</v>
      </c>
      <c r="I1233" s="271" t="str">
        <f>IFERROR(__xludf.DUMMYFUNCTION("""COMPUTED_VALUE"""),"貓狗企鵝")</f>
        <v>貓狗企鵝</v>
      </c>
      <c r="J1233" t="str">
        <f>IFERROR(__xludf.DUMMYFUNCTION("IFS(
  AND(REGEXMATCH(E1233, ""台銀籌備帳戶|玉山帳戶""), REGEXMATCH(C1233, ""薪資"")), ""分潤支出"",
  AND(REGEXMATCH(E1233, ""Ben帳戶|Elsa帳戶|Ben代墊|Ariel代墊|中信銀行共用""), REGEXMATCH(F1233, ""Ben帳戶|Elsa帳戶|Ben代墊|Ariel代墊|中信銀行共用"")), ""內部轉帳(忽略)"",
  AND(E1233&lt;&gt;"""", F1233&lt;&gt;"""", N"&amp;"OT(REGEXMATCH(C1233, ""薪資""))), ""內部轉帳(忽略)"",
  REGEXMATCH(C1233, ""薪資""), ""薪資變動(不計入)"",
  REGEXMATCH(C1233, ""押金""), ""押金往來"",
  AND(E1233&lt;&gt;"""", F1233=""""), ""真實支出"",
  AND(E1233="""", F1233&lt;&gt;""""), ""真實收入"",
  TRUE, ""其他""
)"),"真實支出")</f>
        <v>真實支出</v>
      </c>
      <c r="K1233" s="270">
        <f t="shared" si="2"/>
        <v>-732</v>
      </c>
      <c r="L1233">
        <f t="shared" si="3"/>
        <v>0</v>
      </c>
    </row>
    <row r="1234">
      <c r="A1234" s="107">
        <f>IFERROR(__xludf.DUMMYFUNCTION("""COMPUTED_VALUE"""),45631.0)</f>
        <v>45631</v>
      </c>
      <c r="B1234" t="str">
        <f>IFERROR(__xludf.DUMMYFUNCTION("""COMPUTED_VALUE"""),"Feli C Jas 押金")</f>
        <v>Feli C Jas 押金</v>
      </c>
      <c r="C1234" t="str">
        <f>IFERROR(__xludf.DUMMYFUNCTION("""COMPUTED_VALUE"""),"收入 - 押金")</f>
        <v>收入 - 押金</v>
      </c>
      <c r="D1234" s="270">
        <f>IFERROR(__xludf.DUMMYFUNCTION("""COMPUTED_VALUE"""),23000.0)</f>
        <v>23000</v>
      </c>
      <c r="F1234" t="str">
        <f>IFERROR(__xludf.DUMMYFUNCTION("""COMPUTED_VALUE"""),"台銀籌備帳戶")</f>
        <v>台銀籌備帳戶</v>
      </c>
      <c r="G1234" t="str">
        <f>IFERROR(__xludf.DUMMYFUNCTION("""COMPUTED_VALUE"""),"中山北Feli家")</f>
        <v>中山北Feli家</v>
      </c>
      <c r="H1234" s="106" t="str">
        <f t="shared" si="1"/>
        <v>2024-12</v>
      </c>
      <c r="I1234" s="271" t="str">
        <f>IFERROR(__xludf.DUMMYFUNCTION("""COMPUTED_VALUE"""),"貓狗企鵝")</f>
        <v>貓狗企鵝</v>
      </c>
      <c r="J1234" t="str">
        <f>IFERROR(__xludf.DUMMYFUNCTION("IFS(
  AND(REGEXMATCH(E1234, ""台銀籌備帳戶|玉山帳戶""), REGEXMATCH(C1234, ""薪資"")), ""分潤支出"",
  AND(REGEXMATCH(E1234, ""Ben帳戶|Elsa帳戶|Ben代墊|Ariel代墊|中信銀行共用""), REGEXMATCH(F1234, ""Ben帳戶|Elsa帳戶|Ben代墊|Ariel代墊|中信銀行共用"")), ""內部轉帳(忽略)"",
  AND(E1234&lt;&gt;"""", F1234&lt;&gt;"""", N"&amp;"OT(REGEXMATCH(C1234, ""薪資""))), ""內部轉帳(忽略)"",
  REGEXMATCH(C1234, ""薪資""), ""薪資變動(不計入)"",
  REGEXMATCH(C1234, ""押金""), ""押金往來"",
  AND(E1234&lt;&gt;"""", F1234=""""), ""真實支出"",
  AND(E1234="""", F1234&lt;&gt;""""), ""真實收入"",
  TRUE, ""其他""
)"),"押金往來")</f>
        <v>押金往來</v>
      </c>
      <c r="K1234">
        <f t="shared" si="2"/>
        <v>0</v>
      </c>
      <c r="L1234">
        <f t="shared" si="3"/>
        <v>0</v>
      </c>
    </row>
    <row r="1235">
      <c r="A1235" s="107">
        <f>IFERROR(__xludf.DUMMYFUNCTION("""COMPUTED_VALUE"""),45631.0)</f>
        <v>45631</v>
      </c>
      <c r="B1235" t="str">
        <f>IFERROR(__xludf.DUMMYFUNCTION("""COMPUTED_VALUE"""),"Feli A Eric 押金")</f>
        <v>Feli A Eric 押金</v>
      </c>
      <c r="C1235" t="str">
        <f>IFERROR(__xludf.DUMMYFUNCTION("""COMPUTED_VALUE"""),"收入 - 押金")</f>
        <v>收入 - 押金</v>
      </c>
      <c r="D1235" s="270">
        <f>IFERROR(__xludf.DUMMYFUNCTION("""COMPUTED_VALUE"""),26400.0)</f>
        <v>26400</v>
      </c>
      <c r="F1235" t="str">
        <f>IFERROR(__xludf.DUMMYFUNCTION("""COMPUTED_VALUE"""),"台銀籌備帳戶")</f>
        <v>台銀籌備帳戶</v>
      </c>
      <c r="G1235" t="str">
        <f>IFERROR(__xludf.DUMMYFUNCTION("""COMPUTED_VALUE"""),"中山北Feli家")</f>
        <v>中山北Feli家</v>
      </c>
      <c r="H1235" s="106" t="str">
        <f t="shared" si="1"/>
        <v>2024-12</v>
      </c>
      <c r="I1235" s="271" t="str">
        <f>IFERROR(__xludf.DUMMYFUNCTION("""COMPUTED_VALUE"""),"貓狗企鵝")</f>
        <v>貓狗企鵝</v>
      </c>
      <c r="J1235" t="str">
        <f>IFERROR(__xludf.DUMMYFUNCTION("IFS(
  AND(REGEXMATCH(E1235, ""台銀籌備帳戶|玉山帳戶""), REGEXMATCH(C1235, ""薪資"")), ""分潤支出"",
  AND(REGEXMATCH(E1235, ""Ben帳戶|Elsa帳戶|Ben代墊|Ariel代墊|中信銀行共用""), REGEXMATCH(F1235, ""Ben帳戶|Elsa帳戶|Ben代墊|Ariel代墊|中信銀行共用"")), ""內部轉帳(忽略)"",
  AND(E1235&lt;&gt;"""", F1235&lt;&gt;"""", N"&amp;"OT(REGEXMATCH(C1235, ""薪資""))), ""內部轉帳(忽略)"",
  REGEXMATCH(C1235, ""薪資""), ""薪資變動(不計入)"",
  REGEXMATCH(C1235, ""押金""), ""押金往來"",
  AND(E1235&lt;&gt;"""", F1235=""""), ""真實支出"",
  AND(E1235="""", F1235&lt;&gt;""""), ""真實收入"",
  TRUE, ""其他""
)"),"押金往來")</f>
        <v>押金往來</v>
      </c>
      <c r="K1235">
        <f t="shared" si="2"/>
        <v>0</v>
      </c>
      <c r="L1235">
        <f t="shared" si="3"/>
        <v>0</v>
      </c>
    </row>
    <row r="1236">
      <c r="A1236" s="107">
        <f>IFERROR(__xludf.DUMMYFUNCTION("""COMPUTED_VALUE"""),45632.0)</f>
        <v>45632</v>
      </c>
      <c r="B1236" t="str">
        <f>IFERROR(__xludf.DUMMYFUNCTION("""COMPUTED_VALUE"""),"娘家B租金")</f>
        <v>娘家B租金</v>
      </c>
      <c r="C1236" t="str">
        <f>IFERROR(__xludf.DUMMYFUNCTION("""COMPUTED_VALUE"""),"收入 - 租金")</f>
        <v>收入 - 租金</v>
      </c>
      <c r="D1236" s="270">
        <f>IFERROR(__xludf.DUMMYFUNCTION("""COMPUTED_VALUE"""),18840.0)</f>
        <v>18840</v>
      </c>
      <c r="F1236" t="str">
        <f>IFERROR(__xludf.DUMMYFUNCTION("""COMPUTED_VALUE"""),"Ben帳戶")</f>
        <v>Ben帳戶</v>
      </c>
      <c r="G1236" t="str">
        <f>IFERROR(__xludf.DUMMYFUNCTION("""COMPUTED_VALUE"""),"中山北娘家旁")</f>
        <v>中山北娘家旁</v>
      </c>
      <c r="H1236" s="106" t="str">
        <f t="shared" si="1"/>
        <v>2024-12</v>
      </c>
      <c r="I1236" s="271" t="str">
        <f>IFERROR(__xludf.DUMMYFUNCTION("""COMPUTED_VALUE"""),"貓狗企鵝")</f>
        <v>貓狗企鵝</v>
      </c>
      <c r="J1236" t="str">
        <f>IFERROR(__xludf.DUMMYFUNCTION("IFS(
  AND(REGEXMATCH(E1236, ""台銀籌備帳戶|玉山帳戶""), REGEXMATCH(C1236, ""薪資"")), ""分潤支出"",
  AND(REGEXMATCH(E1236, ""Ben帳戶|Elsa帳戶|Ben代墊|Ariel代墊|中信銀行共用""), REGEXMATCH(F1236, ""Ben帳戶|Elsa帳戶|Ben代墊|Ariel代墊|中信銀行共用"")), ""內部轉帳(忽略)"",
  AND(E1236&lt;&gt;"""", F1236&lt;&gt;"""", N"&amp;"OT(REGEXMATCH(C1236, ""薪資""))), ""內部轉帳(忽略)"",
  REGEXMATCH(C1236, ""薪資""), ""薪資變動(不計入)"",
  REGEXMATCH(C1236, ""押金""), ""押金往來"",
  AND(E1236&lt;&gt;"""", F1236=""""), ""真實支出"",
  AND(E1236="""", F1236&lt;&gt;""""), ""真實收入"",
  TRUE, ""其他""
)"),"真實收入")</f>
        <v>真實收入</v>
      </c>
      <c r="K1236" s="270">
        <f t="shared" si="2"/>
        <v>18840</v>
      </c>
      <c r="L1236">
        <f t="shared" si="3"/>
        <v>0</v>
      </c>
    </row>
    <row r="1237">
      <c r="A1237" s="107">
        <f>IFERROR(__xludf.DUMMYFUNCTION("""COMPUTED_VALUE"""),45632.0)</f>
        <v>45632</v>
      </c>
      <c r="B1237" t="str">
        <f>IFERROR(__xludf.DUMMYFUNCTION("""COMPUTED_VALUE"""),"裝潢代墊款")</f>
        <v>裝潢代墊款</v>
      </c>
      <c r="C1237" t="str">
        <f>IFERROR(__xludf.DUMMYFUNCTION("""COMPUTED_VALUE"""),"費用 - Salary 薪資")</f>
        <v>費用 - Salary 薪資</v>
      </c>
      <c r="D1237" s="270">
        <f>IFERROR(__xludf.DUMMYFUNCTION("""COMPUTED_VALUE"""),-60000.0)</f>
        <v>-60000</v>
      </c>
      <c r="E1237" t="str">
        <f>IFERROR(__xludf.DUMMYFUNCTION("""COMPUTED_VALUE"""),"Ben帳戶")</f>
        <v>Ben帳戶</v>
      </c>
      <c r="F1237" t="str">
        <f>IFERROR(__xludf.DUMMYFUNCTION("""COMPUTED_VALUE"""),"Elsa帳戶")</f>
        <v>Elsa帳戶</v>
      </c>
      <c r="H1237" s="106" t="str">
        <f t="shared" si="1"/>
        <v>2024-12</v>
      </c>
      <c r="I1237" s="271" t="str">
        <f>IFERROR(__xludf.DUMMYFUNCTION("""COMPUTED_VALUE"""),"貓狗企鵝")</f>
        <v>貓狗企鵝</v>
      </c>
      <c r="J1237" t="str">
        <f>IFERROR(__xludf.DUMMYFUNCTION("IFS(
  AND(REGEXMATCH(E1237, ""台銀籌備帳戶|玉山帳戶""), REGEXMATCH(C1237, ""薪資"")), ""分潤支出"",
  AND(REGEXMATCH(E1237, ""Ben帳戶|Elsa帳戶|Ben代墊|Ariel代墊|中信銀行共用""), REGEXMATCH(F1237, ""Ben帳戶|Elsa帳戶|Ben代墊|Ariel代墊|中信銀行共用"")), ""內部轉帳(忽略)"",
  AND(E1237&lt;&gt;"""", F1237&lt;&gt;"""", N"&amp;"OT(REGEXMATCH(C1237, ""薪資""))), ""內部轉帳(忽略)"",
  REGEXMATCH(C1237, ""薪資""), ""薪資變動(不計入)"",
  REGEXMATCH(C1237, ""押金""), ""押金往來"",
  AND(E1237&lt;&gt;"""", F1237=""""), ""真實支出"",
  AND(E1237="""", F1237&lt;&gt;""""), ""真實收入"",
  TRUE, ""其他""
)"),"內部轉帳(忽略)")</f>
        <v>內部轉帳(忽略)</v>
      </c>
      <c r="K1237">
        <f t="shared" si="2"/>
        <v>0</v>
      </c>
      <c r="L1237">
        <f t="shared" si="3"/>
        <v>0</v>
      </c>
    </row>
    <row r="1238">
      <c r="A1238" s="107">
        <f>IFERROR(__xludf.DUMMYFUNCTION("""COMPUTED_VALUE"""),45632.0)</f>
        <v>45632</v>
      </c>
      <c r="B1238" t="str">
        <f>IFERROR(__xludf.DUMMYFUNCTION("""COMPUTED_VALUE"""),"丁丁油漆景安")</f>
        <v>丁丁油漆景安</v>
      </c>
      <c r="C1238" t="str">
        <f>IFERROR(__xludf.DUMMYFUNCTION("""COMPUTED_VALUE"""),"成本 - 租後修繕")</f>
        <v>成本 - 租後修繕</v>
      </c>
      <c r="D1238" s="270">
        <f>IFERROR(__xludf.DUMMYFUNCTION("""COMPUTED_VALUE"""),-2515.0)</f>
        <v>-2515</v>
      </c>
      <c r="E1238" t="str">
        <f>IFERROR(__xludf.DUMMYFUNCTION("""COMPUTED_VALUE"""),"台銀籌備帳戶")</f>
        <v>台銀籌備帳戶</v>
      </c>
      <c r="G1238" t="str">
        <f>IFERROR(__xludf.DUMMYFUNCTION("""COMPUTED_VALUE"""),"景安2分鐘")</f>
        <v>景安2分鐘</v>
      </c>
      <c r="H1238" s="106" t="str">
        <f t="shared" si="1"/>
        <v>2024-12</v>
      </c>
      <c r="I1238" s="271" t="str">
        <f>IFERROR(__xludf.DUMMYFUNCTION("""COMPUTED_VALUE"""),"貓狗企鵝")</f>
        <v>貓狗企鵝</v>
      </c>
      <c r="J1238" t="str">
        <f>IFERROR(__xludf.DUMMYFUNCTION("IFS(
  AND(REGEXMATCH(E1238, ""台銀籌備帳戶|玉山帳戶""), REGEXMATCH(C1238, ""薪資"")), ""分潤支出"",
  AND(REGEXMATCH(E1238, ""Ben帳戶|Elsa帳戶|Ben代墊|Ariel代墊|中信銀行共用""), REGEXMATCH(F1238, ""Ben帳戶|Elsa帳戶|Ben代墊|Ariel代墊|中信銀行共用"")), ""內部轉帳(忽略)"",
  AND(E1238&lt;&gt;"""", F1238&lt;&gt;"""", N"&amp;"OT(REGEXMATCH(C1238, ""薪資""))), ""內部轉帳(忽略)"",
  REGEXMATCH(C1238, ""薪資""), ""薪資變動(不計入)"",
  REGEXMATCH(C1238, ""押金""), ""押金往來"",
  AND(E1238&lt;&gt;"""", F1238=""""), ""真實支出"",
  AND(E1238="""", F1238&lt;&gt;""""), ""真實收入"",
  TRUE, ""其他""
)"),"真實支出")</f>
        <v>真實支出</v>
      </c>
      <c r="K1238" s="270">
        <f t="shared" si="2"/>
        <v>-2515</v>
      </c>
      <c r="L1238">
        <f t="shared" si="3"/>
        <v>0</v>
      </c>
    </row>
    <row r="1239">
      <c r="A1239" s="107">
        <f>IFERROR(__xludf.DUMMYFUNCTION("""COMPUTED_VALUE"""),45632.0)</f>
        <v>45632</v>
      </c>
      <c r="B1239" t="str">
        <f>IFERROR(__xludf.DUMMYFUNCTION("""COMPUTED_VALUE"""),"Ben代墊款")</f>
        <v>Ben代墊款</v>
      </c>
      <c r="C1239" t="str">
        <f>IFERROR(__xludf.DUMMYFUNCTION("""COMPUTED_VALUE"""),"費用 - Salary 薪資")</f>
        <v>費用 - Salary 薪資</v>
      </c>
      <c r="D1239" s="270">
        <f>IFERROR(__xludf.DUMMYFUNCTION("""COMPUTED_VALUE"""),-120015.0)</f>
        <v>-120015</v>
      </c>
      <c r="E1239" t="str">
        <f>IFERROR(__xludf.DUMMYFUNCTION("""COMPUTED_VALUE"""),"台銀籌備帳戶")</f>
        <v>台銀籌備帳戶</v>
      </c>
      <c r="F1239" t="str">
        <f>IFERROR(__xludf.DUMMYFUNCTION("""COMPUTED_VALUE"""),"Ben帳戶")</f>
        <v>Ben帳戶</v>
      </c>
      <c r="H1239" s="106" t="str">
        <f t="shared" si="1"/>
        <v>2024-12</v>
      </c>
      <c r="I1239" s="271" t="str">
        <f>IFERROR(__xludf.DUMMYFUNCTION("""COMPUTED_VALUE"""),"貓狗企鵝")</f>
        <v>貓狗企鵝</v>
      </c>
      <c r="J1239" t="str">
        <f>IFERROR(__xludf.DUMMYFUNCTION("IFS(
  AND(REGEXMATCH(E1239, ""台銀籌備帳戶|玉山帳戶""), REGEXMATCH(C1239, ""薪資"")), ""分潤支出"",
  AND(REGEXMATCH(E1239, ""Ben帳戶|Elsa帳戶|Ben代墊|Ariel代墊|中信銀行共用""), REGEXMATCH(F1239, ""Ben帳戶|Elsa帳戶|Ben代墊|Ariel代墊|中信銀行共用"")), ""內部轉帳(忽略)"",
  AND(E1239&lt;&gt;"""", F1239&lt;&gt;"""", N"&amp;"OT(REGEXMATCH(C1239, ""薪資""))), ""內部轉帳(忽略)"",
  REGEXMATCH(C1239, ""薪資""), ""薪資變動(不計入)"",
  REGEXMATCH(C1239, ""押金""), ""押金往來"",
  AND(E1239&lt;&gt;"""", F1239=""""), ""真實支出"",
  AND(E1239="""", F1239&lt;&gt;""""), ""真實收入"",
  TRUE, ""其他""
)"),"分潤支出")</f>
        <v>分潤支出</v>
      </c>
      <c r="K1239">
        <f t="shared" si="2"/>
        <v>0</v>
      </c>
      <c r="L1239">
        <f t="shared" si="3"/>
        <v>120015</v>
      </c>
    </row>
    <row r="1240">
      <c r="A1240" s="107">
        <f>IFERROR(__xludf.DUMMYFUNCTION("""COMPUTED_VALUE"""),45633.0)</f>
        <v>45633</v>
      </c>
      <c r="B1240" t="str">
        <f>IFERROR(__xludf.DUMMYFUNCTION("""COMPUTED_VALUE"""),"娘家電費")</f>
        <v>娘家電費</v>
      </c>
      <c r="C1240" t="str">
        <f>IFERROR(__xludf.DUMMYFUNCTION("""COMPUTED_VALUE"""),"成本 - 租後修繕")</f>
        <v>成本 - 租後修繕</v>
      </c>
      <c r="D1240" s="270">
        <f>IFERROR(__xludf.DUMMYFUNCTION("""COMPUTED_VALUE"""),-475.0)</f>
        <v>-475</v>
      </c>
      <c r="E1240" t="str">
        <f>IFERROR(__xludf.DUMMYFUNCTION("""COMPUTED_VALUE"""),"Elsa帳戶")</f>
        <v>Elsa帳戶</v>
      </c>
      <c r="G1240" t="str">
        <f>IFERROR(__xludf.DUMMYFUNCTION("""COMPUTED_VALUE"""),"中山北娘家旁")</f>
        <v>中山北娘家旁</v>
      </c>
      <c r="H1240" s="106" t="str">
        <f t="shared" si="1"/>
        <v>2024-12</v>
      </c>
      <c r="I1240" s="271" t="str">
        <f>IFERROR(__xludf.DUMMYFUNCTION("""COMPUTED_VALUE"""),"貓狗企鵝")</f>
        <v>貓狗企鵝</v>
      </c>
      <c r="J1240" t="str">
        <f>IFERROR(__xludf.DUMMYFUNCTION("IFS(
  AND(REGEXMATCH(E1240, ""台銀籌備帳戶|玉山帳戶""), REGEXMATCH(C1240, ""薪資"")), ""分潤支出"",
  AND(REGEXMATCH(E1240, ""Ben帳戶|Elsa帳戶|Ben代墊|Ariel代墊|中信銀行共用""), REGEXMATCH(F1240, ""Ben帳戶|Elsa帳戶|Ben代墊|Ariel代墊|中信銀行共用"")), ""內部轉帳(忽略)"",
  AND(E1240&lt;&gt;"""", F1240&lt;&gt;"""", N"&amp;"OT(REGEXMATCH(C1240, ""薪資""))), ""內部轉帳(忽略)"",
  REGEXMATCH(C1240, ""薪資""), ""薪資變動(不計入)"",
  REGEXMATCH(C1240, ""押金""), ""押金往來"",
  AND(E1240&lt;&gt;"""", F1240=""""), ""真實支出"",
  AND(E1240="""", F1240&lt;&gt;""""), ""真實收入"",
  TRUE, ""其他""
)"),"真實支出")</f>
        <v>真實支出</v>
      </c>
      <c r="K1240" s="270">
        <f t="shared" si="2"/>
        <v>-475</v>
      </c>
      <c r="L1240">
        <f t="shared" si="3"/>
        <v>0</v>
      </c>
    </row>
    <row r="1241">
      <c r="A1241" s="107">
        <f>IFERROR(__xludf.DUMMYFUNCTION("""COMPUTED_VALUE"""),45633.0)</f>
        <v>45633</v>
      </c>
      <c r="B1241" t="str">
        <f>IFERROR(__xludf.DUMMYFUNCTION("""COMPUTED_VALUE"""),"丁丁大湖補漆")</f>
        <v>丁丁大湖補漆</v>
      </c>
      <c r="C1241" t="str">
        <f>IFERROR(__xludf.DUMMYFUNCTION("""COMPUTED_VALUE"""),"成本 - 租後修繕")</f>
        <v>成本 - 租後修繕</v>
      </c>
      <c r="D1241" s="270">
        <f>IFERROR(__xludf.DUMMYFUNCTION("""COMPUTED_VALUE"""),-2015.0)</f>
        <v>-2015</v>
      </c>
      <c r="E1241" t="str">
        <f>IFERROR(__xludf.DUMMYFUNCTION("""COMPUTED_VALUE"""),"台銀籌備帳戶")</f>
        <v>台銀籌備帳戶</v>
      </c>
      <c r="G1241" t="str">
        <f>IFERROR(__xludf.DUMMYFUNCTION("""COMPUTED_VALUE"""),"大湖山莊")</f>
        <v>大湖山莊</v>
      </c>
      <c r="H1241" s="106" t="str">
        <f t="shared" si="1"/>
        <v>2024-12</v>
      </c>
      <c r="I1241" s="271" t="str">
        <f>IFERROR(__xludf.DUMMYFUNCTION("""COMPUTED_VALUE"""),"貓狗企鵝")</f>
        <v>貓狗企鵝</v>
      </c>
      <c r="J1241" t="str">
        <f>IFERROR(__xludf.DUMMYFUNCTION("IFS(
  AND(REGEXMATCH(E1241, ""台銀籌備帳戶|玉山帳戶""), REGEXMATCH(C1241, ""薪資"")), ""分潤支出"",
  AND(REGEXMATCH(E1241, ""Ben帳戶|Elsa帳戶|Ben代墊|Ariel代墊|中信銀行共用""), REGEXMATCH(F1241, ""Ben帳戶|Elsa帳戶|Ben代墊|Ariel代墊|中信銀行共用"")), ""內部轉帳(忽略)"",
  AND(E1241&lt;&gt;"""", F1241&lt;&gt;"""", N"&amp;"OT(REGEXMATCH(C1241, ""薪資""))), ""內部轉帳(忽略)"",
  REGEXMATCH(C1241, ""薪資""), ""薪資變動(不計入)"",
  REGEXMATCH(C1241, ""押金""), ""押金往來"",
  AND(E1241&lt;&gt;"""", F1241=""""), ""真實支出"",
  AND(E1241="""", F1241&lt;&gt;""""), ""真實收入"",
  TRUE, ""其他""
)"),"真實支出")</f>
        <v>真實支出</v>
      </c>
      <c r="K1241" s="270">
        <f t="shared" si="2"/>
        <v>-2015</v>
      </c>
      <c r="L1241">
        <f t="shared" si="3"/>
        <v>0</v>
      </c>
    </row>
    <row r="1242">
      <c r="A1242" s="107">
        <f>IFERROR(__xludf.DUMMYFUNCTION("""COMPUTED_VALUE"""),45634.0)</f>
        <v>45634</v>
      </c>
      <c r="B1242" t="str">
        <f>IFERROR(__xludf.DUMMYFUNCTION("""COMPUTED_VALUE"""),"Feli 5F住警器")</f>
        <v>Feli 5F住警器</v>
      </c>
      <c r="C1242" t="str">
        <f>IFERROR(__xludf.DUMMYFUNCTION("""COMPUTED_VALUE"""),"成本 - 進場前裝潢費")</f>
        <v>成本 - 進場前裝潢費</v>
      </c>
      <c r="D1242" s="270">
        <f>IFERROR(__xludf.DUMMYFUNCTION("""COMPUTED_VALUE"""),-868.0)</f>
        <v>-868</v>
      </c>
      <c r="E1242" t="str">
        <f>IFERROR(__xludf.DUMMYFUNCTION("""COMPUTED_VALUE"""),"Elsa帳戶")</f>
        <v>Elsa帳戶</v>
      </c>
      <c r="G1242" t="str">
        <f>IFERROR(__xludf.DUMMYFUNCTION("""COMPUTED_VALUE"""),"中山北娘家旁")</f>
        <v>中山北娘家旁</v>
      </c>
      <c r="H1242" s="106" t="str">
        <f t="shared" si="1"/>
        <v>2024-12</v>
      </c>
      <c r="I1242" s="271" t="str">
        <f>IFERROR(__xludf.DUMMYFUNCTION("""COMPUTED_VALUE"""),"貓狗企鵝")</f>
        <v>貓狗企鵝</v>
      </c>
      <c r="J1242" t="str">
        <f>IFERROR(__xludf.DUMMYFUNCTION("IFS(
  AND(REGEXMATCH(E1242, ""台銀籌備帳戶|玉山帳戶""), REGEXMATCH(C1242, ""薪資"")), ""分潤支出"",
  AND(REGEXMATCH(E1242, ""Ben帳戶|Elsa帳戶|Ben代墊|Ariel代墊|中信銀行共用""), REGEXMATCH(F1242, ""Ben帳戶|Elsa帳戶|Ben代墊|Ariel代墊|中信銀行共用"")), ""內部轉帳(忽略)"",
  AND(E1242&lt;&gt;"""", F1242&lt;&gt;"""", N"&amp;"OT(REGEXMATCH(C1242, ""薪資""))), ""內部轉帳(忽略)"",
  REGEXMATCH(C1242, ""薪資""), ""薪資變動(不計入)"",
  REGEXMATCH(C1242, ""押金""), ""押金往來"",
  AND(E1242&lt;&gt;"""", F1242=""""), ""真實支出"",
  AND(E1242="""", F1242&lt;&gt;""""), ""真實收入"",
  TRUE, ""其他""
)"),"真實支出")</f>
        <v>真實支出</v>
      </c>
      <c r="K1242" s="270">
        <f t="shared" si="2"/>
        <v>-868</v>
      </c>
      <c r="L1242">
        <f t="shared" si="3"/>
        <v>0</v>
      </c>
    </row>
    <row r="1243">
      <c r="A1243" s="107">
        <f>IFERROR(__xludf.DUMMYFUNCTION("""COMPUTED_VALUE"""),45634.0)</f>
        <v>45634</v>
      </c>
      <c r="B1243" t="str">
        <f>IFERROR(__xludf.DUMMYFUNCTION("""COMPUTED_VALUE"""),"特力屋 曬衣桿*3根")</f>
        <v>特力屋 曬衣桿*3根</v>
      </c>
      <c r="C1243" t="str">
        <f>IFERROR(__xludf.DUMMYFUNCTION("""COMPUTED_VALUE"""),"成本 - 進場前裝潢費")</f>
        <v>成本 - 進場前裝潢費</v>
      </c>
      <c r="D1243" s="270">
        <f>IFERROR(__xludf.DUMMYFUNCTION("""COMPUTED_VALUE"""),-1645.0)</f>
        <v>-1645</v>
      </c>
      <c r="E1243" t="str">
        <f>IFERROR(__xludf.DUMMYFUNCTION("""COMPUTED_VALUE"""),"Elsa帳戶")</f>
        <v>Elsa帳戶</v>
      </c>
      <c r="G1243" t="str">
        <f>IFERROR(__xludf.DUMMYFUNCTION("""COMPUTED_VALUE"""),"中山北娘家旁")</f>
        <v>中山北娘家旁</v>
      </c>
      <c r="H1243" s="106" t="str">
        <f t="shared" si="1"/>
        <v>2024-12</v>
      </c>
      <c r="I1243" s="271" t="str">
        <f>IFERROR(__xludf.DUMMYFUNCTION("""COMPUTED_VALUE"""),"貓狗企鵝")</f>
        <v>貓狗企鵝</v>
      </c>
      <c r="J1243" t="str">
        <f>IFERROR(__xludf.DUMMYFUNCTION("IFS(
  AND(REGEXMATCH(E1243, ""台銀籌備帳戶|玉山帳戶""), REGEXMATCH(C1243, ""薪資"")), ""分潤支出"",
  AND(REGEXMATCH(E1243, ""Ben帳戶|Elsa帳戶|Ben代墊|Ariel代墊|中信銀行共用""), REGEXMATCH(F1243, ""Ben帳戶|Elsa帳戶|Ben代墊|Ariel代墊|中信銀行共用"")), ""內部轉帳(忽略)"",
  AND(E1243&lt;&gt;"""", F1243&lt;&gt;"""", N"&amp;"OT(REGEXMATCH(C1243, ""薪資""))), ""內部轉帳(忽略)"",
  REGEXMATCH(C1243, ""薪資""), ""薪資變動(不計入)"",
  REGEXMATCH(C1243, ""押金""), ""押金往來"",
  AND(E1243&lt;&gt;"""", F1243=""""), ""真實支出"",
  AND(E1243="""", F1243&lt;&gt;""""), ""真實收入"",
  TRUE, ""其他""
)"),"真實支出")</f>
        <v>真實支出</v>
      </c>
      <c r="K1243" s="270">
        <f t="shared" si="2"/>
        <v>-1645</v>
      </c>
      <c r="L1243">
        <f t="shared" si="3"/>
        <v>0</v>
      </c>
    </row>
    <row r="1244">
      <c r="A1244" s="107">
        <f>IFERROR(__xludf.DUMMYFUNCTION("""COMPUTED_VALUE"""),45634.0)</f>
        <v>45634</v>
      </c>
      <c r="B1244" t="str">
        <f>IFERROR(__xludf.DUMMYFUNCTION("""COMPUTED_VALUE"""),"Feli停車")</f>
        <v>Feli停車</v>
      </c>
      <c r="C1244" t="str">
        <f>IFERROR(__xludf.DUMMYFUNCTION("""COMPUTED_VALUE"""),"成本 - 進場前裝潢費")</f>
        <v>成本 - 進場前裝潢費</v>
      </c>
      <c r="D1244" s="270">
        <f>IFERROR(__xludf.DUMMYFUNCTION("""COMPUTED_VALUE"""),-660.0)</f>
        <v>-660</v>
      </c>
      <c r="E1244" t="str">
        <f>IFERROR(__xludf.DUMMYFUNCTION("""COMPUTED_VALUE"""),"Elsa帳戶")</f>
        <v>Elsa帳戶</v>
      </c>
      <c r="G1244" t="str">
        <f>IFERROR(__xludf.DUMMYFUNCTION("""COMPUTED_VALUE"""),"中山北Feli家")</f>
        <v>中山北Feli家</v>
      </c>
      <c r="H1244" s="106" t="str">
        <f t="shared" si="1"/>
        <v>2024-12</v>
      </c>
      <c r="I1244" s="271" t="str">
        <f>IFERROR(__xludf.DUMMYFUNCTION("""COMPUTED_VALUE"""),"貓狗企鵝")</f>
        <v>貓狗企鵝</v>
      </c>
      <c r="J1244" t="str">
        <f>IFERROR(__xludf.DUMMYFUNCTION("IFS(
  AND(REGEXMATCH(E1244, ""台銀籌備帳戶|玉山帳戶""), REGEXMATCH(C1244, ""薪資"")), ""分潤支出"",
  AND(REGEXMATCH(E1244, ""Ben帳戶|Elsa帳戶|Ben代墊|Ariel代墊|中信銀行共用""), REGEXMATCH(F1244, ""Ben帳戶|Elsa帳戶|Ben代墊|Ariel代墊|中信銀行共用"")), ""內部轉帳(忽略)"",
  AND(E1244&lt;&gt;"""", F1244&lt;&gt;"""", N"&amp;"OT(REGEXMATCH(C1244, ""薪資""))), ""內部轉帳(忽略)"",
  REGEXMATCH(C1244, ""薪資""), ""薪資變動(不計入)"",
  REGEXMATCH(C1244, ""押金""), ""押金往來"",
  AND(E1244&lt;&gt;"""", F1244=""""), ""真實支出"",
  AND(E1244="""", F1244&lt;&gt;""""), ""真實收入"",
  TRUE, ""其他""
)"),"真實支出")</f>
        <v>真實支出</v>
      </c>
      <c r="K1244" s="270">
        <f t="shared" si="2"/>
        <v>-660</v>
      </c>
      <c r="L1244">
        <f t="shared" si="3"/>
        <v>0</v>
      </c>
    </row>
    <row r="1245">
      <c r="A1245" s="107">
        <f>IFERROR(__xludf.DUMMYFUNCTION("""COMPUTED_VALUE"""),45634.0)</f>
        <v>45634</v>
      </c>
      <c r="B1245" t="str">
        <f>IFERROR(__xludf.DUMMYFUNCTION("""COMPUTED_VALUE"""),"北醫591")</f>
        <v>北醫591</v>
      </c>
      <c r="C1245" t="str">
        <f>IFERROR(__xludf.DUMMYFUNCTION("""COMPUTED_VALUE"""),"成本 - 仲介費")</f>
        <v>成本 - 仲介費</v>
      </c>
      <c r="D1245" s="270">
        <f>IFERROR(__xludf.DUMMYFUNCTION("""COMPUTED_VALUE"""),-1289.0)</f>
        <v>-1289</v>
      </c>
      <c r="E1245" t="str">
        <f>IFERROR(__xludf.DUMMYFUNCTION("""COMPUTED_VALUE"""),"Elsa帳戶")</f>
        <v>Elsa帳戶</v>
      </c>
      <c r="G1245" t="str">
        <f>IFERROR(__xludf.DUMMYFUNCTION("""COMPUTED_VALUE"""),"北醫醫師府")</f>
        <v>北醫醫師府</v>
      </c>
      <c r="H1245" s="106" t="str">
        <f t="shared" si="1"/>
        <v>2024-12</v>
      </c>
      <c r="I1245" s="271" t="str">
        <f>IFERROR(__xludf.DUMMYFUNCTION("""COMPUTED_VALUE"""),"貓狗企鵝")</f>
        <v>貓狗企鵝</v>
      </c>
      <c r="J1245" t="str">
        <f>IFERROR(__xludf.DUMMYFUNCTION("IFS(
  AND(REGEXMATCH(E1245, ""台銀籌備帳戶|玉山帳戶""), REGEXMATCH(C1245, ""薪資"")), ""分潤支出"",
  AND(REGEXMATCH(E1245, ""Ben帳戶|Elsa帳戶|Ben代墊|Ariel代墊|中信銀行共用""), REGEXMATCH(F1245, ""Ben帳戶|Elsa帳戶|Ben代墊|Ariel代墊|中信銀行共用"")), ""內部轉帳(忽略)"",
  AND(E1245&lt;&gt;"""", F1245&lt;&gt;"""", N"&amp;"OT(REGEXMATCH(C1245, ""薪資""))), ""內部轉帳(忽略)"",
  REGEXMATCH(C1245, ""薪資""), ""薪資變動(不計入)"",
  REGEXMATCH(C1245, ""押金""), ""押金往來"",
  AND(E1245&lt;&gt;"""", F1245=""""), ""真實支出"",
  AND(E1245="""", F1245&lt;&gt;""""), ""真實收入"",
  TRUE, ""其他""
)"),"真實支出")</f>
        <v>真實支出</v>
      </c>
      <c r="K1245" s="270">
        <f t="shared" si="2"/>
        <v>-1289</v>
      </c>
      <c r="L1245">
        <f t="shared" si="3"/>
        <v>0</v>
      </c>
    </row>
    <row r="1246">
      <c r="A1246" s="107">
        <f>IFERROR(__xludf.DUMMYFUNCTION("""COMPUTED_VALUE"""),45634.0)</f>
        <v>45634</v>
      </c>
      <c r="B1246" t="str">
        <f>IFERROR(__xludf.DUMMYFUNCTION("""COMPUTED_VALUE"""),"中山北Feli家D陳姵方")</f>
        <v>中山北Feli家D陳姵方</v>
      </c>
      <c r="C1246" t="str">
        <f>IFERROR(__xludf.DUMMYFUNCTION("""COMPUTED_VALUE"""),"收入 - 租金")</f>
        <v>收入 - 租金</v>
      </c>
      <c r="D1246" s="270">
        <f>IFERROR(__xludf.DUMMYFUNCTION("""COMPUTED_VALUE"""),10000.0)</f>
        <v>10000</v>
      </c>
      <c r="F1246" t="str">
        <f>IFERROR(__xludf.DUMMYFUNCTION("""COMPUTED_VALUE"""),"台銀籌備帳戶")</f>
        <v>台銀籌備帳戶</v>
      </c>
      <c r="G1246" t="str">
        <f>IFERROR(__xludf.DUMMYFUNCTION("""COMPUTED_VALUE"""),"中山北Feli家")</f>
        <v>中山北Feli家</v>
      </c>
      <c r="H1246" s="106" t="str">
        <f t="shared" si="1"/>
        <v>2024-12</v>
      </c>
      <c r="I1246" s="271" t="str">
        <f>IFERROR(__xludf.DUMMYFUNCTION("""COMPUTED_VALUE"""),"貓狗企鵝")</f>
        <v>貓狗企鵝</v>
      </c>
      <c r="J1246" t="str">
        <f>IFERROR(__xludf.DUMMYFUNCTION("IFS(
  AND(REGEXMATCH(E1246, ""台銀籌備帳戶|玉山帳戶""), REGEXMATCH(C1246, ""薪資"")), ""分潤支出"",
  AND(REGEXMATCH(E1246, ""Ben帳戶|Elsa帳戶|Ben代墊|Ariel代墊|中信銀行共用""), REGEXMATCH(F1246, ""Ben帳戶|Elsa帳戶|Ben代墊|Ariel代墊|中信銀行共用"")), ""內部轉帳(忽略)"",
  AND(E1246&lt;&gt;"""", F1246&lt;&gt;"""", N"&amp;"OT(REGEXMATCH(C1246, ""薪資""))), ""內部轉帳(忽略)"",
  REGEXMATCH(C1246, ""薪資""), ""薪資變動(不計入)"",
  REGEXMATCH(C1246, ""押金""), ""押金往來"",
  AND(E1246&lt;&gt;"""", F1246=""""), ""真實支出"",
  AND(E1246="""", F1246&lt;&gt;""""), ""真實收入"",
  TRUE, ""其他""
)"),"真實收入")</f>
        <v>真實收入</v>
      </c>
      <c r="K1246" s="270">
        <f t="shared" si="2"/>
        <v>10000</v>
      </c>
      <c r="L1246">
        <f t="shared" si="3"/>
        <v>0</v>
      </c>
    </row>
    <row r="1247">
      <c r="A1247" s="107">
        <f>IFERROR(__xludf.DUMMYFUNCTION("""COMPUTED_VALUE"""),45635.0)</f>
        <v>45635</v>
      </c>
      <c r="B1247" t="str">
        <f>IFERROR(__xludf.DUMMYFUNCTION("""COMPUTED_VALUE"""),"垃圾代收垃可")</f>
        <v>垃圾代收垃可</v>
      </c>
      <c r="C1247" t="str">
        <f>IFERROR(__xludf.DUMMYFUNCTION("""COMPUTED_VALUE"""),"成本 - 固定開銷(網路代收清潔)")</f>
        <v>成本 - 固定開銷(網路代收清潔)</v>
      </c>
      <c r="D1247" s="270">
        <f>IFERROR(__xludf.DUMMYFUNCTION("""COMPUTED_VALUE"""),-3200.0)</f>
        <v>-3200</v>
      </c>
      <c r="E1247" t="str">
        <f>IFERROR(__xludf.DUMMYFUNCTION("""COMPUTED_VALUE"""),"Ben帳戶")</f>
        <v>Ben帳戶</v>
      </c>
      <c r="H1247" s="106" t="str">
        <f t="shared" si="1"/>
        <v>2024-12</v>
      </c>
      <c r="I1247" s="271" t="str">
        <f>IFERROR(__xludf.DUMMYFUNCTION("""COMPUTED_VALUE"""),"貓狗企鵝")</f>
        <v>貓狗企鵝</v>
      </c>
      <c r="J1247" t="str">
        <f>IFERROR(__xludf.DUMMYFUNCTION("IFS(
  AND(REGEXMATCH(E1247, ""台銀籌備帳戶|玉山帳戶""), REGEXMATCH(C1247, ""薪資"")), ""分潤支出"",
  AND(REGEXMATCH(E1247, ""Ben帳戶|Elsa帳戶|Ben代墊|Ariel代墊|中信銀行共用""), REGEXMATCH(F1247, ""Ben帳戶|Elsa帳戶|Ben代墊|Ariel代墊|中信銀行共用"")), ""內部轉帳(忽略)"",
  AND(E1247&lt;&gt;"""", F1247&lt;&gt;"""", N"&amp;"OT(REGEXMATCH(C1247, ""薪資""))), ""內部轉帳(忽略)"",
  REGEXMATCH(C1247, ""薪資""), ""薪資變動(不計入)"",
  REGEXMATCH(C1247, ""押金""), ""押金往來"",
  AND(E1247&lt;&gt;"""", F1247=""""), ""真實支出"",
  AND(E1247="""", F1247&lt;&gt;""""), ""真實收入"",
  TRUE, ""其他""
)"),"真實支出")</f>
        <v>真實支出</v>
      </c>
      <c r="K1247" s="270">
        <f t="shared" si="2"/>
        <v>-3200</v>
      </c>
      <c r="L1247">
        <f t="shared" si="3"/>
        <v>0</v>
      </c>
    </row>
    <row r="1248">
      <c r="A1248" s="107">
        <f>IFERROR(__xludf.DUMMYFUNCTION("""COMPUTED_VALUE"""),45635.0)</f>
        <v>45635</v>
      </c>
      <c r="B1248" t="str">
        <f>IFERROR(__xludf.DUMMYFUNCTION("""COMPUTED_VALUE"""),"北醫 典蓉鋪設地板")</f>
        <v>北醫 典蓉鋪設地板</v>
      </c>
      <c r="C1248" t="str">
        <f>IFERROR(__xludf.DUMMYFUNCTION("""COMPUTED_VALUE"""),"成本 - 租後修繕")</f>
        <v>成本 - 租後修繕</v>
      </c>
      <c r="D1248" s="270">
        <f>IFERROR(__xludf.DUMMYFUNCTION("""COMPUTED_VALUE"""),-300.0)</f>
        <v>-300</v>
      </c>
      <c r="E1248" t="str">
        <f>IFERROR(__xludf.DUMMYFUNCTION("""COMPUTED_VALUE"""),"Ben帳戶")</f>
        <v>Ben帳戶</v>
      </c>
      <c r="G1248" t="str">
        <f>IFERROR(__xludf.DUMMYFUNCTION("""COMPUTED_VALUE"""),"北醫醫師府")</f>
        <v>北醫醫師府</v>
      </c>
      <c r="H1248" s="106" t="str">
        <f t="shared" si="1"/>
        <v>2024-12</v>
      </c>
      <c r="I1248" s="271" t="str">
        <f>IFERROR(__xludf.DUMMYFUNCTION("""COMPUTED_VALUE"""),"貓狗企鵝")</f>
        <v>貓狗企鵝</v>
      </c>
      <c r="J1248" t="str">
        <f>IFERROR(__xludf.DUMMYFUNCTION("IFS(
  AND(REGEXMATCH(E1248, ""台銀籌備帳戶|玉山帳戶""), REGEXMATCH(C1248, ""薪資"")), ""分潤支出"",
  AND(REGEXMATCH(E1248, ""Ben帳戶|Elsa帳戶|Ben代墊|Ariel代墊|中信銀行共用""), REGEXMATCH(F1248, ""Ben帳戶|Elsa帳戶|Ben代墊|Ariel代墊|中信銀行共用"")), ""內部轉帳(忽略)"",
  AND(E1248&lt;&gt;"""", F1248&lt;&gt;"""", N"&amp;"OT(REGEXMATCH(C1248, ""薪資""))), ""內部轉帳(忽略)"",
  REGEXMATCH(C1248, ""薪資""), ""薪資變動(不計入)"",
  REGEXMATCH(C1248, ""押金""), ""押金往來"",
  AND(E1248&lt;&gt;"""", F1248=""""), ""真實支出"",
  AND(E1248="""", F1248&lt;&gt;""""), ""真實收入"",
  TRUE, ""其他""
)"),"真實支出")</f>
        <v>真實支出</v>
      </c>
      <c r="K1248" s="270">
        <f t="shared" si="2"/>
        <v>-300</v>
      </c>
      <c r="L1248">
        <f t="shared" si="3"/>
        <v>0</v>
      </c>
    </row>
    <row r="1249">
      <c r="A1249" s="107">
        <f>IFERROR(__xludf.DUMMYFUNCTION("""COMPUTED_VALUE"""),45636.0)</f>
        <v>45636</v>
      </c>
      <c r="B1249" t="str">
        <f>IFERROR(__xludf.DUMMYFUNCTION("""COMPUTED_VALUE"""),"打鑰匙")</f>
        <v>打鑰匙</v>
      </c>
      <c r="C1249" t="str">
        <f>IFERROR(__xludf.DUMMYFUNCTION("""COMPUTED_VALUE"""),"成本 - 進場前裝潢費")</f>
        <v>成本 - 進場前裝潢費</v>
      </c>
      <c r="D1249" s="270">
        <f>IFERROR(__xludf.DUMMYFUNCTION("""COMPUTED_VALUE"""),-630.0)</f>
        <v>-630</v>
      </c>
      <c r="E1249" t="str">
        <f>IFERROR(__xludf.DUMMYFUNCTION("""COMPUTED_VALUE"""),"Ben帳戶")</f>
        <v>Ben帳戶</v>
      </c>
      <c r="G1249" t="str">
        <f>IFERROR(__xludf.DUMMYFUNCTION("""COMPUTED_VALUE"""),"中山北Feli家")</f>
        <v>中山北Feli家</v>
      </c>
      <c r="H1249" s="106" t="str">
        <f t="shared" si="1"/>
        <v>2024-12</v>
      </c>
      <c r="I1249" s="271" t="str">
        <f>IFERROR(__xludf.DUMMYFUNCTION("""COMPUTED_VALUE"""),"貓狗企鵝")</f>
        <v>貓狗企鵝</v>
      </c>
      <c r="J1249" t="str">
        <f>IFERROR(__xludf.DUMMYFUNCTION("IFS(
  AND(REGEXMATCH(E1249, ""台銀籌備帳戶|玉山帳戶""), REGEXMATCH(C1249, ""薪資"")), ""分潤支出"",
  AND(REGEXMATCH(E1249, ""Ben帳戶|Elsa帳戶|Ben代墊|Ariel代墊|中信銀行共用""), REGEXMATCH(F1249, ""Ben帳戶|Elsa帳戶|Ben代墊|Ariel代墊|中信銀行共用"")), ""內部轉帳(忽略)"",
  AND(E1249&lt;&gt;"""", F1249&lt;&gt;"""", N"&amp;"OT(REGEXMATCH(C1249, ""薪資""))), ""內部轉帳(忽略)"",
  REGEXMATCH(C1249, ""薪資""), ""薪資變動(不計入)"",
  REGEXMATCH(C1249, ""押金""), ""押金往來"",
  AND(E1249&lt;&gt;"""", F1249=""""), ""真實支出"",
  AND(E1249="""", F1249&lt;&gt;""""), ""真實收入"",
  TRUE, ""其他""
)"),"真實支出")</f>
        <v>真實支出</v>
      </c>
      <c r="K1249" s="270">
        <f t="shared" si="2"/>
        <v>-630</v>
      </c>
      <c r="L1249">
        <f t="shared" si="3"/>
        <v>0</v>
      </c>
    </row>
    <row r="1250">
      <c r="A1250" s="107">
        <f>IFERROR(__xludf.DUMMYFUNCTION("""COMPUTED_VALUE"""),45636.0)</f>
        <v>45636</v>
      </c>
      <c r="B1250" t="str">
        <f>IFERROR(__xludf.DUMMYFUNCTION("""COMPUTED_VALUE"""),"中山北Feli家C郭亞潔")</f>
        <v>中山北Feli家C郭亞潔</v>
      </c>
      <c r="C1250" t="str">
        <f>IFERROR(__xludf.DUMMYFUNCTION("""COMPUTED_VALUE"""),"收入 - 租金")</f>
        <v>收入 - 租金</v>
      </c>
      <c r="D1250" s="270">
        <f>IFERROR(__xludf.DUMMYFUNCTION("""COMPUTED_VALUE"""),48.0)</f>
        <v>48</v>
      </c>
      <c r="F1250" t="str">
        <f>IFERROR(__xludf.DUMMYFUNCTION("""COMPUTED_VALUE"""),"台銀籌備帳戶")</f>
        <v>台銀籌備帳戶</v>
      </c>
      <c r="G1250" t="str">
        <f>IFERROR(__xludf.DUMMYFUNCTION("""COMPUTED_VALUE"""),"中山北Feli家")</f>
        <v>中山北Feli家</v>
      </c>
      <c r="H1250" s="106" t="str">
        <f t="shared" si="1"/>
        <v>2024-12</v>
      </c>
      <c r="I1250" s="271" t="str">
        <f>IFERROR(__xludf.DUMMYFUNCTION("""COMPUTED_VALUE"""),"貓狗企鵝")</f>
        <v>貓狗企鵝</v>
      </c>
      <c r="J1250" t="str">
        <f>IFERROR(__xludf.DUMMYFUNCTION("IFS(
  AND(REGEXMATCH(E1250, ""台銀籌備帳戶|玉山帳戶""), REGEXMATCH(C1250, ""薪資"")), ""分潤支出"",
  AND(REGEXMATCH(E1250, ""Ben帳戶|Elsa帳戶|Ben代墊|Ariel代墊|中信銀行共用""), REGEXMATCH(F1250, ""Ben帳戶|Elsa帳戶|Ben代墊|Ariel代墊|中信銀行共用"")), ""內部轉帳(忽略)"",
  AND(E1250&lt;&gt;"""", F1250&lt;&gt;"""", N"&amp;"OT(REGEXMATCH(C1250, ""薪資""))), ""內部轉帳(忽略)"",
  REGEXMATCH(C1250, ""薪資""), ""薪資變動(不計入)"",
  REGEXMATCH(C1250, ""押金""), ""押金往來"",
  AND(E1250&lt;&gt;"""", F1250=""""), ""真實支出"",
  AND(E1250="""", F1250&lt;&gt;""""), ""真實收入"",
  TRUE, ""其他""
)"),"真實收入")</f>
        <v>真實收入</v>
      </c>
      <c r="K1250" s="270">
        <f t="shared" si="2"/>
        <v>48</v>
      </c>
      <c r="L1250">
        <f t="shared" si="3"/>
        <v>0</v>
      </c>
    </row>
    <row r="1251">
      <c r="A1251" s="107">
        <f>IFERROR(__xludf.DUMMYFUNCTION("""COMPUTED_VALUE"""),45637.0)</f>
        <v>45637</v>
      </c>
      <c r="B1251" t="str">
        <f>IFERROR(__xludf.DUMMYFUNCTION("""COMPUTED_VALUE"""),"金龍 電費")</f>
        <v>金龍 電費</v>
      </c>
      <c r="C1251" t="str">
        <f>IFERROR(__xludf.DUMMYFUNCTION("""COMPUTED_VALUE"""),"成本 - 固定開銷(網路代收清潔)")</f>
        <v>成本 - 固定開銷(網路代收清潔)</v>
      </c>
      <c r="D1251" s="270">
        <f>IFERROR(__xludf.DUMMYFUNCTION("""COMPUTED_VALUE"""),-680.0)</f>
        <v>-680</v>
      </c>
      <c r="E1251" t="str">
        <f>IFERROR(__xludf.DUMMYFUNCTION("""COMPUTED_VALUE"""),"Ben帳戶")</f>
        <v>Ben帳戶</v>
      </c>
      <c r="G1251" t="str">
        <f>IFERROR(__xludf.DUMMYFUNCTION("""COMPUTED_VALUE"""),"金龍帽子先生")</f>
        <v>金龍帽子先生</v>
      </c>
      <c r="H1251" s="106" t="str">
        <f t="shared" si="1"/>
        <v>2024-12</v>
      </c>
      <c r="I1251" s="271" t="str">
        <f>IFERROR(__xludf.DUMMYFUNCTION("""COMPUTED_VALUE"""),"貓狗企鵝")</f>
        <v>貓狗企鵝</v>
      </c>
      <c r="J1251" t="str">
        <f>IFERROR(__xludf.DUMMYFUNCTION("IFS(
  AND(REGEXMATCH(E1251, ""台銀籌備帳戶|玉山帳戶""), REGEXMATCH(C1251, ""薪資"")), ""分潤支出"",
  AND(REGEXMATCH(E1251, ""Ben帳戶|Elsa帳戶|Ben代墊|Ariel代墊|中信銀行共用""), REGEXMATCH(F1251, ""Ben帳戶|Elsa帳戶|Ben代墊|Ariel代墊|中信銀行共用"")), ""內部轉帳(忽略)"",
  AND(E1251&lt;&gt;"""", F1251&lt;&gt;"""", N"&amp;"OT(REGEXMATCH(C1251, ""薪資""))), ""內部轉帳(忽略)"",
  REGEXMATCH(C1251, ""薪資""), ""薪資變動(不計入)"",
  REGEXMATCH(C1251, ""押金""), ""押金往來"",
  AND(E1251&lt;&gt;"""", F1251=""""), ""真實支出"",
  AND(E1251="""", F1251&lt;&gt;""""), ""真實收入"",
  TRUE, ""其他""
)"),"真實支出")</f>
        <v>真實支出</v>
      </c>
      <c r="K1251" s="270">
        <f t="shared" si="2"/>
        <v>-680</v>
      </c>
      <c r="L1251">
        <f t="shared" si="3"/>
        <v>0</v>
      </c>
    </row>
    <row r="1252">
      <c r="A1252" s="107">
        <f>IFERROR(__xludf.DUMMYFUNCTION("""COMPUTED_VALUE"""),45638.0)</f>
        <v>45638</v>
      </c>
      <c r="B1252" t="str">
        <f>IFERROR(__xludf.DUMMYFUNCTION("""COMPUTED_VALUE"""),"Feli頂加暖風扇")</f>
        <v>Feli頂加暖風扇</v>
      </c>
      <c r="C1252" t="str">
        <f>IFERROR(__xludf.DUMMYFUNCTION("""COMPUTED_VALUE"""),"成本 - 租後修繕")</f>
        <v>成本 - 租後修繕</v>
      </c>
      <c r="D1252" s="270">
        <f>IFERROR(__xludf.DUMMYFUNCTION("""COMPUTED_VALUE"""),-1130.0)</f>
        <v>-1130</v>
      </c>
      <c r="E1252" t="str">
        <f>IFERROR(__xludf.DUMMYFUNCTION("""COMPUTED_VALUE"""),"Elsa帳戶")</f>
        <v>Elsa帳戶</v>
      </c>
      <c r="G1252" t="str">
        <f>IFERROR(__xludf.DUMMYFUNCTION("""COMPUTED_VALUE"""),"中山北Feli家")</f>
        <v>中山北Feli家</v>
      </c>
      <c r="H1252" s="106" t="str">
        <f t="shared" si="1"/>
        <v>2024-12</v>
      </c>
      <c r="I1252" s="271" t="str">
        <f>IFERROR(__xludf.DUMMYFUNCTION("""COMPUTED_VALUE"""),"貓狗企鵝")</f>
        <v>貓狗企鵝</v>
      </c>
      <c r="J1252" t="str">
        <f>IFERROR(__xludf.DUMMYFUNCTION("IFS(
  AND(REGEXMATCH(E1252, ""台銀籌備帳戶|玉山帳戶""), REGEXMATCH(C1252, ""薪資"")), ""分潤支出"",
  AND(REGEXMATCH(E1252, ""Ben帳戶|Elsa帳戶|Ben代墊|Ariel代墊|中信銀行共用""), REGEXMATCH(F1252, ""Ben帳戶|Elsa帳戶|Ben代墊|Ariel代墊|中信銀行共用"")), ""內部轉帳(忽略)"",
  AND(E1252&lt;&gt;"""", F1252&lt;&gt;"""", N"&amp;"OT(REGEXMATCH(C1252, ""薪資""))), ""內部轉帳(忽略)"",
  REGEXMATCH(C1252, ""薪資""), ""薪資變動(不計入)"",
  REGEXMATCH(C1252, ""押金""), ""押金往來"",
  AND(E1252&lt;&gt;"""", F1252=""""), ""真實支出"",
  AND(E1252="""", F1252&lt;&gt;""""), ""真實收入"",
  TRUE, ""其他""
)"),"真實支出")</f>
        <v>真實支出</v>
      </c>
      <c r="K1252" s="270">
        <f t="shared" si="2"/>
        <v>-1130</v>
      </c>
      <c r="L1252">
        <f t="shared" si="3"/>
        <v>0</v>
      </c>
    </row>
    <row r="1253">
      <c r="A1253" s="107">
        <f>IFERROR(__xludf.DUMMYFUNCTION("""COMPUTED_VALUE"""),45639.0)</f>
        <v>45639</v>
      </c>
      <c r="B1253" t="str">
        <f>IFERROR(__xludf.DUMMYFUNCTION("""COMPUTED_VALUE"""),"中山北Feli家D陳姵方")</f>
        <v>中山北Feli家D陳姵方</v>
      </c>
      <c r="C1253" t="str">
        <f>IFERROR(__xludf.DUMMYFUNCTION("""COMPUTED_VALUE"""),"收入 - 租金")</f>
        <v>收入 - 租金</v>
      </c>
      <c r="D1253" s="270">
        <f>IFERROR(__xludf.DUMMYFUNCTION("""COMPUTED_VALUE"""),22400.0)</f>
        <v>22400</v>
      </c>
      <c r="F1253" t="str">
        <f>IFERROR(__xludf.DUMMYFUNCTION("""COMPUTED_VALUE"""),"台銀籌備帳戶")</f>
        <v>台銀籌備帳戶</v>
      </c>
      <c r="G1253" t="str">
        <f>IFERROR(__xludf.DUMMYFUNCTION("""COMPUTED_VALUE"""),"中山北Feli家")</f>
        <v>中山北Feli家</v>
      </c>
      <c r="H1253" s="106" t="str">
        <f t="shared" si="1"/>
        <v>2024-12</v>
      </c>
      <c r="I1253" s="271" t="str">
        <f>IFERROR(__xludf.DUMMYFUNCTION("""COMPUTED_VALUE"""),"貓狗企鵝")</f>
        <v>貓狗企鵝</v>
      </c>
      <c r="J1253" t="str">
        <f>IFERROR(__xludf.DUMMYFUNCTION("IFS(
  AND(REGEXMATCH(E1253, ""台銀籌備帳戶|玉山帳戶""), REGEXMATCH(C1253, ""薪資"")), ""分潤支出"",
  AND(REGEXMATCH(E1253, ""Ben帳戶|Elsa帳戶|Ben代墊|Ariel代墊|中信銀行共用""), REGEXMATCH(F1253, ""Ben帳戶|Elsa帳戶|Ben代墊|Ariel代墊|中信銀行共用"")), ""內部轉帳(忽略)"",
  AND(E1253&lt;&gt;"""", F1253&lt;&gt;"""", N"&amp;"OT(REGEXMATCH(C1253, ""薪資""))), ""內部轉帳(忽略)"",
  REGEXMATCH(C1253, ""薪資""), ""薪資變動(不計入)"",
  REGEXMATCH(C1253, ""押金""), ""押金往來"",
  AND(E1253&lt;&gt;"""", F1253=""""), ""真實支出"",
  AND(E1253="""", F1253&lt;&gt;""""), ""真實收入"",
  TRUE, ""其他""
)"),"真實收入")</f>
        <v>真實收入</v>
      </c>
      <c r="K1253" s="270">
        <f t="shared" si="2"/>
        <v>22400</v>
      </c>
      <c r="L1253">
        <f t="shared" si="3"/>
        <v>0</v>
      </c>
    </row>
    <row r="1254">
      <c r="A1254" s="107">
        <f>IFERROR(__xludf.DUMMYFUNCTION("""COMPUTED_VALUE"""),45639.0)</f>
        <v>45639</v>
      </c>
      <c r="B1254" t="str">
        <f>IFERROR(__xludf.DUMMYFUNCTION("""COMPUTED_VALUE"""),"景安紗窗紗門")</f>
        <v>景安紗窗紗門</v>
      </c>
      <c r="C1254" t="str">
        <f>IFERROR(__xludf.DUMMYFUNCTION("""COMPUTED_VALUE"""),"成本 - 租後修繕")</f>
        <v>成本 - 租後修繕</v>
      </c>
      <c r="D1254" s="270">
        <f>IFERROR(__xludf.DUMMYFUNCTION("""COMPUTED_VALUE"""),-6430.0)</f>
        <v>-6430</v>
      </c>
      <c r="E1254" t="str">
        <f>IFERROR(__xludf.DUMMYFUNCTION("""COMPUTED_VALUE"""),"台銀籌備帳戶")</f>
        <v>台銀籌備帳戶</v>
      </c>
      <c r="G1254" t="str">
        <f>IFERROR(__xludf.DUMMYFUNCTION("""COMPUTED_VALUE"""),"景安2分鐘")</f>
        <v>景安2分鐘</v>
      </c>
      <c r="H1254" s="106" t="str">
        <f t="shared" si="1"/>
        <v>2024-12</v>
      </c>
      <c r="I1254" s="271" t="str">
        <f>IFERROR(__xludf.DUMMYFUNCTION("""COMPUTED_VALUE"""),"貓狗企鵝")</f>
        <v>貓狗企鵝</v>
      </c>
      <c r="J1254" t="str">
        <f>IFERROR(__xludf.DUMMYFUNCTION("IFS(
  AND(REGEXMATCH(E1254, ""台銀籌備帳戶|玉山帳戶""), REGEXMATCH(C1254, ""薪資"")), ""分潤支出"",
  AND(REGEXMATCH(E1254, ""Ben帳戶|Elsa帳戶|Ben代墊|Ariel代墊|中信銀行共用""), REGEXMATCH(F1254, ""Ben帳戶|Elsa帳戶|Ben代墊|Ariel代墊|中信銀行共用"")), ""內部轉帳(忽略)"",
  AND(E1254&lt;&gt;"""", F1254&lt;&gt;"""", N"&amp;"OT(REGEXMATCH(C1254, ""薪資""))), ""內部轉帳(忽略)"",
  REGEXMATCH(C1254, ""薪資""), ""薪資變動(不計入)"",
  REGEXMATCH(C1254, ""押金""), ""押金往來"",
  AND(E1254&lt;&gt;"""", F1254=""""), ""真實支出"",
  AND(E1254="""", F1254&lt;&gt;""""), ""真實收入"",
  TRUE, ""其他""
)"),"真實支出")</f>
        <v>真實支出</v>
      </c>
      <c r="K1254" s="270">
        <f t="shared" si="2"/>
        <v>-6430</v>
      </c>
      <c r="L1254">
        <f t="shared" si="3"/>
        <v>0</v>
      </c>
    </row>
    <row r="1255">
      <c r="A1255" s="107">
        <f>IFERROR(__xludf.DUMMYFUNCTION("""COMPUTED_VALUE"""),45640.0)</f>
        <v>45640</v>
      </c>
      <c r="B1255" t="str">
        <f>IFERROR(__xludf.DUMMYFUNCTION("""COMPUTED_VALUE"""),"金龍紗窗")</f>
        <v>金龍紗窗</v>
      </c>
      <c r="C1255" t="str">
        <f>IFERROR(__xludf.DUMMYFUNCTION("""COMPUTED_VALUE"""),"成本 - 租後修繕")</f>
        <v>成本 - 租後修繕</v>
      </c>
      <c r="D1255" s="270">
        <f>IFERROR(__xludf.DUMMYFUNCTION("""COMPUTED_VALUE"""),-2625.0)</f>
        <v>-2625</v>
      </c>
      <c r="E1255" t="str">
        <f>IFERROR(__xludf.DUMMYFUNCTION("""COMPUTED_VALUE"""),"Ben帳戶")</f>
        <v>Ben帳戶</v>
      </c>
      <c r="G1255" t="str">
        <f>IFERROR(__xludf.DUMMYFUNCTION("""COMPUTED_VALUE"""),"金龍帽子先生")</f>
        <v>金龍帽子先生</v>
      </c>
      <c r="H1255" s="106" t="str">
        <f t="shared" si="1"/>
        <v>2024-12</v>
      </c>
      <c r="I1255" s="271" t="str">
        <f>IFERROR(__xludf.DUMMYFUNCTION("""COMPUTED_VALUE"""),"貓狗企鵝")</f>
        <v>貓狗企鵝</v>
      </c>
      <c r="J1255" t="str">
        <f>IFERROR(__xludf.DUMMYFUNCTION("IFS(
  AND(REGEXMATCH(E1255, ""台銀籌備帳戶|玉山帳戶""), REGEXMATCH(C1255, ""薪資"")), ""分潤支出"",
  AND(REGEXMATCH(E1255, ""Ben帳戶|Elsa帳戶|Ben代墊|Ariel代墊|中信銀行共用""), REGEXMATCH(F1255, ""Ben帳戶|Elsa帳戶|Ben代墊|Ariel代墊|中信銀行共用"")), ""內部轉帳(忽略)"",
  AND(E1255&lt;&gt;"""", F1255&lt;&gt;"""", N"&amp;"OT(REGEXMATCH(C1255, ""薪資""))), ""內部轉帳(忽略)"",
  REGEXMATCH(C1255, ""薪資""), ""薪資變動(不計入)"",
  REGEXMATCH(C1255, ""押金""), ""押金往來"",
  AND(E1255&lt;&gt;"""", F1255=""""), ""真實支出"",
  AND(E1255="""", F1255&lt;&gt;""""), ""真實收入"",
  TRUE, ""其他""
)"),"真實支出")</f>
        <v>真實支出</v>
      </c>
      <c r="K1255" s="270">
        <f t="shared" si="2"/>
        <v>-2625</v>
      </c>
      <c r="L1255">
        <f t="shared" si="3"/>
        <v>0</v>
      </c>
    </row>
    <row r="1256">
      <c r="A1256" s="107">
        <f>IFERROR(__xludf.DUMMYFUNCTION("""COMPUTED_VALUE"""),45640.0)</f>
        <v>45640</v>
      </c>
      <c r="B1256" t="str">
        <f>IFERROR(__xludf.DUMMYFUNCTION("""COMPUTED_VALUE"""),"水電-Feli老家全費用")</f>
        <v>水電-Feli老家全費用</v>
      </c>
      <c r="C1256" t="str">
        <f>IFERROR(__xludf.DUMMYFUNCTION("""COMPUTED_VALUE"""),"成本 - 進場前裝潢費")</f>
        <v>成本 - 進場前裝潢費</v>
      </c>
      <c r="D1256" s="270">
        <f>IFERROR(__xludf.DUMMYFUNCTION("""COMPUTED_VALUE"""),-38850.0)</f>
        <v>-38850</v>
      </c>
      <c r="E1256" t="str">
        <f>IFERROR(__xludf.DUMMYFUNCTION("""COMPUTED_VALUE"""),"Elsa帳戶")</f>
        <v>Elsa帳戶</v>
      </c>
      <c r="G1256" t="str">
        <f>IFERROR(__xludf.DUMMYFUNCTION("""COMPUTED_VALUE"""),"中山北Feli家")</f>
        <v>中山北Feli家</v>
      </c>
      <c r="H1256" s="106" t="str">
        <f t="shared" si="1"/>
        <v>2024-12</v>
      </c>
      <c r="I1256" s="271" t="str">
        <f>IFERROR(__xludf.DUMMYFUNCTION("""COMPUTED_VALUE"""),"貓狗企鵝")</f>
        <v>貓狗企鵝</v>
      </c>
      <c r="J1256" t="str">
        <f>IFERROR(__xludf.DUMMYFUNCTION("IFS(
  AND(REGEXMATCH(E1256, ""台銀籌備帳戶|玉山帳戶""), REGEXMATCH(C1256, ""薪資"")), ""分潤支出"",
  AND(REGEXMATCH(E1256, ""Ben帳戶|Elsa帳戶|Ben代墊|Ariel代墊|中信銀行共用""), REGEXMATCH(F1256, ""Ben帳戶|Elsa帳戶|Ben代墊|Ariel代墊|中信銀行共用"")), ""內部轉帳(忽略)"",
  AND(E1256&lt;&gt;"""", F1256&lt;&gt;"""", N"&amp;"OT(REGEXMATCH(C1256, ""薪資""))), ""內部轉帳(忽略)"",
  REGEXMATCH(C1256, ""薪資""), ""薪資變動(不計入)"",
  REGEXMATCH(C1256, ""押金""), ""押金往來"",
  AND(E1256&lt;&gt;"""", F1256=""""), ""真實支出"",
  AND(E1256="""", F1256&lt;&gt;""""), ""真實收入"",
  TRUE, ""其他""
)"),"真實支出")</f>
        <v>真實支出</v>
      </c>
      <c r="K1256" s="270">
        <f t="shared" si="2"/>
        <v>-38850</v>
      </c>
      <c r="L1256">
        <f t="shared" si="3"/>
        <v>0</v>
      </c>
    </row>
    <row r="1257">
      <c r="A1257" s="107">
        <f>IFERROR(__xludf.DUMMYFUNCTION("""COMPUTED_VALUE"""),45640.0)</f>
        <v>45640</v>
      </c>
      <c r="B1257" t="str">
        <f>IFERROR(__xludf.DUMMYFUNCTION("""COMPUTED_VALUE"""),"水電-洗衣機水管")</f>
        <v>水電-洗衣機水管</v>
      </c>
      <c r="C1257" t="str">
        <f>IFERROR(__xludf.DUMMYFUNCTION("""COMPUTED_VALUE"""),"成本 - 租後修繕")</f>
        <v>成本 - 租後修繕</v>
      </c>
      <c r="D1257" s="270">
        <f>IFERROR(__xludf.DUMMYFUNCTION("""COMPUTED_VALUE"""),-1575.0)</f>
        <v>-1575</v>
      </c>
      <c r="E1257" t="str">
        <f>IFERROR(__xludf.DUMMYFUNCTION("""COMPUTED_VALUE"""),"Elsa帳戶")</f>
        <v>Elsa帳戶</v>
      </c>
      <c r="G1257" t="str">
        <f>IFERROR(__xludf.DUMMYFUNCTION("""COMPUTED_VALUE"""),"大湖山莊")</f>
        <v>大湖山莊</v>
      </c>
      <c r="H1257" s="106" t="str">
        <f t="shared" si="1"/>
        <v>2024-12</v>
      </c>
      <c r="I1257" s="271" t="str">
        <f>IFERROR(__xludf.DUMMYFUNCTION("""COMPUTED_VALUE"""),"貓狗企鵝")</f>
        <v>貓狗企鵝</v>
      </c>
      <c r="J1257" t="str">
        <f>IFERROR(__xludf.DUMMYFUNCTION("IFS(
  AND(REGEXMATCH(E1257, ""台銀籌備帳戶|玉山帳戶""), REGEXMATCH(C1257, ""薪資"")), ""分潤支出"",
  AND(REGEXMATCH(E1257, ""Ben帳戶|Elsa帳戶|Ben代墊|Ariel代墊|中信銀行共用""), REGEXMATCH(F1257, ""Ben帳戶|Elsa帳戶|Ben代墊|Ariel代墊|中信銀行共用"")), ""內部轉帳(忽略)"",
  AND(E1257&lt;&gt;"""", F1257&lt;&gt;"""", N"&amp;"OT(REGEXMATCH(C1257, ""薪資""))), ""內部轉帳(忽略)"",
  REGEXMATCH(C1257, ""薪資""), ""薪資變動(不計入)"",
  REGEXMATCH(C1257, ""押金""), ""押金往來"",
  AND(E1257&lt;&gt;"""", F1257=""""), ""真實支出"",
  AND(E1257="""", F1257&lt;&gt;""""), ""真實收入"",
  TRUE, ""其他""
)"),"真實支出")</f>
        <v>真實支出</v>
      </c>
      <c r="K1257" s="270">
        <f t="shared" si="2"/>
        <v>-1575</v>
      </c>
      <c r="L1257">
        <f t="shared" si="3"/>
        <v>0</v>
      </c>
    </row>
    <row r="1258">
      <c r="A1258" s="107">
        <f>IFERROR(__xludf.DUMMYFUNCTION("""COMPUTED_VALUE"""),45640.0)</f>
        <v>45640</v>
      </c>
      <c r="B1258" t="str">
        <f>IFERROR(__xludf.DUMMYFUNCTION("""COMPUTED_VALUE"""),"水電-永春停水檢查")</f>
        <v>水電-永春停水檢查</v>
      </c>
      <c r="C1258" t="str">
        <f>IFERROR(__xludf.DUMMYFUNCTION("""COMPUTED_VALUE"""),"成本 - 租後修繕")</f>
        <v>成本 - 租後修繕</v>
      </c>
      <c r="D1258" s="270">
        <f>IFERROR(__xludf.DUMMYFUNCTION("""COMPUTED_VALUE"""),-1050.0)</f>
        <v>-1050</v>
      </c>
      <c r="E1258" t="str">
        <f>IFERROR(__xludf.DUMMYFUNCTION("""COMPUTED_VALUE"""),"Elsa帳戶")</f>
        <v>Elsa帳戶</v>
      </c>
      <c r="G1258" t="str">
        <f>IFERROR(__xludf.DUMMYFUNCTION("""COMPUTED_VALUE"""),"永春四號")</f>
        <v>永春四號</v>
      </c>
      <c r="H1258" s="106" t="str">
        <f t="shared" si="1"/>
        <v>2024-12</v>
      </c>
      <c r="I1258" s="271" t="str">
        <f>IFERROR(__xludf.DUMMYFUNCTION("""COMPUTED_VALUE"""),"貓狗企鵝")</f>
        <v>貓狗企鵝</v>
      </c>
      <c r="J1258" t="str">
        <f>IFERROR(__xludf.DUMMYFUNCTION("IFS(
  AND(REGEXMATCH(E1258, ""台銀籌備帳戶|玉山帳戶""), REGEXMATCH(C1258, ""薪資"")), ""分潤支出"",
  AND(REGEXMATCH(E1258, ""Ben帳戶|Elsa帳戶|Ben代墊|Ariel代墊|中信銀行共用""), REGEXMATCH(F1258, ""Ben帳戶|Elsa帳戶|Ben代墊|Ariel代墊|中信銀行共用"")), ""內部轉帳(忽略)"",
  AND(E1258&lt;&gt;"""", F1258&lt;&gt;"""", N"&amp;"OT(REGEXMATCH(C1258, ""薪資""))), ""內部轉帳(忽略)"",
  REGEXMATCH(C1258, ""薪資""), ""薪資變動(不計入)"",
  REGEXMATCH(C1258, ""押金""), ""押金往來"",
  AND(E1258&lt;&gt;"""", F1258=""""), ""真實支出"",
  AND(E1258="""", F1258&lt;&gt;""""), ""真實收入"",
  TRUE, ""其他""
)"),"真實支出")</f>
        <v>真實支出</v>
      </c>
      <c r="K1258" s="270">
        <f t="shared" si="2"/>
        <v>-1050</v>
      </c>
      <c r="L1258">
        <f t="shared" si="3"/>
        <v>0</v>
      </c>
    </row>
    <row r="1259">
      <c r="A1259" s="107">
        <f>IFERROR(__xludf.DUMMYFUNCTION("""COMPUTED_VALUE"""),45640.0)</f>
        <v>45640</v>
      </c>
      <c r="B1259" t="str">
        <f>IFERROR(__xludf.DUMMYFUNCTION("""COMPUTED_VALUE"""),"水電-馬通按壓器更新")</f>
        <v>水電-馬通按壓器更新</v>
      </c>
      <c r="C1259" t="str">
        <f>IFERROR(__xludf.DUMMYFUNCTION("""COMPUTED_VALUE"""),"成本 - 租後修繕")</f>
        <v>成本 - 租後修繕</v>
      </c>
      <c r="D1259" s="270">
        <f>IFERROR(__xludf.DUMMYFUNCTION("""COMPUTED_VALUE"""),-840.0)</f>
        <v>-840</v>
      </c>
      <c r="E1259" t="str">
        <f>IFERROR(__xludf.DUMMYFUNCTION("""COMPUTED_VALUE"""),"Elsa帳戶")</f>
        <v>Elsa帳戶</v>
      </c>
      <c r="G1259" t="str">
        <f>IFERROR(__xludf.DUMMYFUNCTION("""COMPUTED_VALUE"""),"中山北娘家旁")</f>
        <v>中山北娘家旁</v>
      </c>
      <c r="H1259" s="106" t="str">
        <f t="shared" si="1"/>
        <v>2024-12</v>
      </c>
      <c r="I1259" s="271" t="str">
        <f>IFERROR(__xludf.DUMMYFUNCTION("""COMPUTED_VALUE"""),"貓狗企鵝")</f>
        <v>貓狗企鵝</v>
      </c>
      <c r="J1259" t="str">
        <f>IFERROR(__xludf.DUMMYFUNCTION("IFS(
  AND(REGEXMATCH(E1259, ""台銀籌備帳戶|玉山帳戶""), REGEXMATCH(C1259, ""薪資"")), ""分潤支出"",
  AND(REGEXMATCH(E1259, ""Ben帳戶|Elsa帳戶|Ben代墊|Ariel代墊|中信銀行共用""), REGEXMATCH(F1259, ""Ben帳戶|Elsa帳戶|Ben代墊|Ariel代墊|中信銀行共用"")), ""內部轉帳(忽略)"",
  AND(E1259&lt;&gt;"""", F1259&lt;&gt;"""", N"&amp;"OT(REGEXMATCH(C1259, ""薪資""))), ""內部轉帳(忽略)"",
  REGEXMATCH(C1259, ""薪資""), ""薪資變動(不計入)"",
  REGEXMATCH(C1259, ""押金""), ""押金往來"",
  AND(E1259&lt;&gt;"""", F1259=""""), ""真實支出"",
  AND(E1259="""", F1259&lt;&gt;""""), ""真實收入"",
  TRUE, ""其他""
)"),"真實支出")</f>
        <v>真實支出</v>
      </c>
      <c r="K1259" s="270">
        <f t="shared" si="2"/>
        <v>-840</v>
      </c>
      <c r="L1259">
        <f t="shared" si="3"/>
        <v>0</v>
      </c>
    </row>
    <row r="1260">
      <c r="A1260" s="107">
        <f>IFERROR(__xludf.DUMMYFUNCTION("""COMPUTED_VALUE"""),45640.0)</f>
        <v>45640</v>
      </c>
      <c r="B1260" t="str">
        <f>IFERROR(__xludf.DUMMYFUNCTION("""COMPUTED_VALUE"""),"水電-頂加陽台燈更新")</f>
        <v>水電-頂加陽台燈更新</v>
      </c>
      <c r="C1260" t="str">
        <f>IFERROR(__xludf.DUMMYFUNCTION("""COMPUTED_VALUE"""),"成本 - 租後修繕")</f>
        <v>成本 - 租後修繕</v>
      </c>
      <c r="D1260" s="270">
        <f>IFERROR(__xludf.DUMMYFUNCTION("""COMPUTED_VALUE"""),-840.0)</f>
        <v>-840</v>
      </c>
      <c r="E1260" t="str">
        <f>IFERROR(__xludf.DUMMYFUNCTION("""COMPUTED_VALUE"""),"Elsa帳戶")</f>
        <v>Elsa帳戶</v>
      </c>
      <c r="G1260" t="str">
        <f>IFERROR(__xludf.DUMMYFUNCTION("""COMPUTED_VALUE"""),"中山北Feli家")</f>
        <v>中山北Feli家</v>
      </c>
      <c r="H1260" s="106" t="str">
        <f t="shared" si="1"/>
        <v>2024-12</v>
      </c>
      <c r="I1260" s="271" t="str">
        <f>IFERROR(__xludf.DUMMYFUNCTION("""COMPUTED_VALUE"""),"貓狗企鵝")</f>
        <v>貓狗企鵝</v>
      </c>
      <c r="J1260" t="str">
        <f>IFERROR(__xludf.DUMMYFUNCTION("IFS(
  AND(REGEXMATCH(E1260, ""台銀籌備帳戶|玉山帳戶""), REGEXMATCH(C1260, ""薪資"")), ""分潤支出"",
  AND(REGEXMATCH(E1260, ""Ben帳戶|Elsa帳戶|Ben代墊|Ariel代墊|中信銀行共用""), REGEXMATCH(F1260, ""Ben帳戶|Elsa帳戶|Ben代墊|Ariel代墊|中信銀行共用"")), ""內部轉帳(忽略)"",
  AND(E1260&lt;&gt;"""", F1260&lt;&gt;"""", N"&amp;"OT(REGEXMATCH(C1260, ""薪資""))), ""內部轉帳(忽略)"",
  REGEXMATCH(C1260, ""薪資""), ""薪資變動(不計入)"",
  REGEXMATCH(C1260, ""押金""), ""押金往來"",
  AND(E1260&lt;&gt;"""", F1260=""""), ""真實支出"",
  AND(E1260="""", F1260&lt;&gt;""""), ""真實收入"",
  TRUE, ""其他""
)"),"真實支出")</f>
        <v>真實支出</v>
      </c>
      <c r="K1260" s="270">
        <f t="shared" si="2"/>
        <v>-840</v>
      </c>
      <c r="L1260">
        <f t="shared" si="3"/>
        <v>0</v>
      </c>
    </row>
    <row r="1261">
      <c r="A1261" s="107">
        <f>IFERROR(__xludf.DUMMYFUNCTION("""COMPUTED_VALUE"""),45640.0)</f>
        <v>45640</v>
      </c>
      <c r="B1261" t="str">
        <f>IFERROR(__xludf.DUMMYFUNCTION("""COMPUTED_VALUE"""),"吃飯")</f>
        <v>吃飯</v>
      </c>
      <c r="C1261" t="str">
        <f>IFERROR(__xludf.DUMMYFUNCTION("""COMPUTED_VALUE"""),"費用 - 餐飲")</f>
        <v>費用 - 餐飲</v>
      </c>
      <c r="D1261" s="270">
        <f>IFERROR(__xludf.DUMMYFUNCTION("""COMPUTED_VALUE"""),-2860.0)</f>
        <v>-2860</v>
      </c>
      <c r="E1261" t="str">
        <f>IFERROR(__xludf.DUMMYFUNCTION("""COMPUTED_VALUE"""),"Ben帳戶")</f>
        <v>Ben帳戶</v>
      </c>
      <c r="G1261" t="str">
        <f>IFERROR(__xludf.DUMMYFUNCTION("""COMPUTED_VALUE"""),"無法分類")</f>
        <v>無法分類</v>
      </c>
      <c r="H1261" s="106" t="str">
        <f t="shared" si="1"/>
        <v>2024-12</v>
      </c>
      <c r="I1261" s="271" t="str">
        <f>IFERROR(__xludf.DUMMYFUNCTION("""COMPUTED_VALUE"""),"貓狗企鵝")</f>
        <v>貓狗企鵝</v>
      </c>
      <c r="J1261" t="str">
        <f>IFERROR(__xludf.DUMMYFUNCTION("IFS(
  AND(REGEXMATCH(E1261, ""台銀籌備帳戶|玉山帳戶""), REGEXMATCH(C1261, ""薪資"")), ""分潤支出"",
  AND(REGEXMATCH(E1261, ""Ben帳戶|Elsa帳戶|Ben代墊|Ariel代墊|中信銀行共用""), REGEXMATCH(F1261, ""Ben帳戶|Elsa帳戶|Ben代墊|Ariel代墊|中信銀行共用"")), ""內部轉帳(忽略)"",
  AND(E1261&lt;&gt;"""", F1261&lt;&gt;"""", N"&amp;"OT(REGEXMATCH(C1261, ""薪資""))), ""內部轉帳(忽略)"",
  REGEXMATCH(C1261, ""薪資""), ""薪資變動(不計入)"",
  REGEXMATCH(C1261, ""押金""), ""押金往來"",
  AND(E1261&lt;&gt;"""", F1261=""""), ""真實支出"",
  AND(E1261="""", F1261&lt;&gt;""""), ""真實收入"",
  TRUE, ""其他""
)"),"真實支出")</f>
        <v>真實支出</v>
      </c>
      <c r="K1261" s="270">
        <f t="shared" si="2"/>
        <v>-2860</v>
      </c>
      <c r="L1261">
        <f t="shared" si="3"/>
        <v>0</v>
      </c>
    </row>
    <row r="1262">
      <c r="A1262" s="107">
        <f>IFERROR(__xludf.DUMMYFUNCTION("""COMPUTED_VALUE"""),45641.0)</f>
        <v>45641</v>
      </c>
      <c r="B1262" t="str">
        <f>IFERROR(__xludf.DUMMYFUNCTION("""COMPUTED_VALUE"""),"南港挑高租金")</f>
        <v>南港挑高租金</v>
      </c>
      <c r="C1262" t="str">
        <f>IFERROR(__xludf.DUMMYFUNCTION("""COMPUTED_VALUE"""),"成本 - 大租金")</f>
        <v>成本 - 大租金</v>
      </c>
      <c r="D1262" s="270">
        <f>IFERROR(__xludf.DUMMYFUNCTION("""COMPUTED_VALUE"""),-18250.0)</f>
        <v>-18250</v>
      </c>
      <c r="E1262" t="str">
        <f>IFERROR(__xludf.DUMMYFUNCTION("""COMPUTED_VALUE"""),"台銀籌備帳戶")</f>
        <v>台銀籌備帳戶</v>
      </c>
      <c r="G1262" t="str">
        <f>IFERROR(__xludf.DUMMYFUNCTION("""COMPUTED_VALUE"""),"南港站挑高宅")</f>
        <v>南港站挑高宅</v>
      </c>
      <c r="H1262" s="106" t="str">
        <f t="shared" si="1"/>
        <v>2024-12</v>
      </c>
      <c r="I1262" s="271" t="str">
        <f>IFERROR(__xludf.DUMMYFUNCTION("""COMPUTED_VALUE"""),"貓狗企鵝")</f>
        <v>貓狗企鵝</v>
      </c>
      <c r="J1262" t="str">
        <f>IFERROR(__xludf.DUMMYFUNCTION("IFS(
  AND(REGEXMATCH(E1262, ""台銀籌備帳戶|玉山帳戶""), REGEXMATCH(C1262, ""薪資"")), ""分潤支出"",
  AND(REGEXMATCH(E1262, ""Ben帳戶|Elsa帳戶|Ben代墊|Ariel代墊|中信銀行共用""), REGEXMATCH(F1262, ""Ben帳戶|Elsa帳戶|Ben代墊|Ariel代墊|中信銀行共用"")), ""內部轉帳(忽略)"",
  AND(E1262&lt;&gt;"""", F1262&lt;&gt;"""", N"&amp;"OT(REGEXMATCH(C1262, ""薪資""))), ""內部轉帳(忽略)"",
  REGEXMATCH(C1262, ""薪資""), ""薪資變動(不計入)"",
  REGEXMATCH(C1262, ""押金""), ""押金往來"",
  AND(E1262&lt;&gt;"""", F1262=""""), ""真實支出"",
  AND(E1262="""", F1262&lt;&gt;""""), ""真實收入"",
  TRUE, ""其他""
)"),"真實支出")</f>
        <v>真實支出</v>
      </c>
      <c r="K1262" s="270">
        <f t="shared" si="2"/>
        <v>-18250</v>
      </c>
      <c r="L1262">
        <f t="shared" si="3"/>
        <v>0</v>
      </c>
    </row>
    <row r="1263">
      <c r="A1263" s="107">
        <f>IFERROR(__xludf.DUMMYFUNCTION("""COMPUTED_VALUE"""),45641.0)</f>
        <v>45641</v>
      </c>
      <c r="B1263" t="str">
        <f>IFERROR(__xludf.DUMMYFUNCTION("""COMPUTED_VALUE"""),"北醫陳醫師")</f>
        <v>北醫陳醫師</v>
      </c>
      <c r="C1263" t="str">
        <f>IFERROR(__xludf.DUMMYFUNCTION("""COMPUTED_VALUE"""),"成本 - 大租金")</f>
        <v>成本 - 大租金</v>
      </c>
      <c r="D1263" s="270">
        <f>IFERROR(__xludf.DUMMYFUNCTION("""COMPUTED_VALUE"""),-12815.0)</f>
        <v>-12815</v>
      </c>
      <c r="E1263" t="str">
        <f>IFERROR(__xludf.DUMMYFUNCTION("""COMPUTED_VALUE"""),"台銀籌備帳戶")</f>
        <v>台銀籌備帳戶</v>
      </c>
      <c r="G1263" t="str">
        <f>IFERROR(__xludf.DUMMYFUNCTION("""COMPUTED_VALUE"""),"北醫醫師府")</f>
        <v>北醫醫師府</v>
      </c>
      <c r="H1263" s="106" t="str">
        <f t="shared" si="1"/>
        <v>2024-12</v>
      </c>
      <c r="I1263" s="271" t="str">
        <f>IFERROR(__xludf.DUMMYFUNCTION("""COMPUTED_VALUE"""),"貓狗企鵝")</f>
        <v>貓狗企鵝</v>
      </c>
      <c r="J1263" t="str">
        <f>IFERROR(__xludf.DUMMYFUNCTION("IFS(
  AND(REGEXMATCH(E1263, ""台銀籌備帳戶|玉山帳戶""), REGEXMATCH(C1263, ""薪資"")), ""分潤支出"",
  AND(REGEXMATCH(E1263, ""Ben帳戶|Elsa帳戶|Ben代墊|Ariel代墊|中信銀行共用""), REGEXMATCH(F1263, ""Ben帳戶|Elsa帳戶|Ben代墊|Ariel代墊|中信銀行共用"")), ""內部轉帳(忽略)"",
  AND(E1263&lt;&gt;"""", F1263&lt;&gt;"""", N"&amp;"OT(REGEXMATCH(C1263, ""薪資""))), ""內部轉帳(忽略)"",
  REGEXMATCH(C1263, ""薪資""), ""薪資變動(不計入)"",
  REGEXMATCH(C1263, ""押金""), ""押金往來"",
  AND(E1263&lt;&gt;"""", F1263=""""), ""真實支出"",
  AND(E1263="""", F1263&lt;&gt;""""), ""真實收入"",
  TRUE, ""其他""
)"),"真實支出")</f>
        <v>真實支出</v>
      </c>
      <c r="K1263" s="270">
        <f t="shared" si="2"/>
        <v>-12815</v>
      </c>
      <c r="L1263">
        <f t="shared" si="3"/>
        <v>0</v>
      </c>
    </row>
    <row r="1264">
      <c r="A1264" s="107">
        <f>IFERROR(__xludf.DUMMYFUNCTION("""COMPUTED_VALUE"""),45641.0)</f>
        <v>45641</v>
      </c>
      <c r="B1264" t="str">
        <f>IFERROR(__xludf.DUMMYFUNCTION("""COMPUTED_VALUE"""),"哈拉陳校長")</f>
        <v>哈拉陳校長</v>
      </c>
      <c r="C1264" t="str">
        <f>IFERROR(__xludf.DUMMYFUNCTION("""COMPUTED_VALUE"""),"成本 - 大租金")</f>
        <v>成本 - 大租金</v>
      </c>
      <c r="D1264" s="270">
        <f>IFERROR(__xludf.DUMMYFUNCTION("""COMPUTED_VALUE"""),-13015.0)</f>
        <v>-13015</v>
      </c>
      <c r="E1264" t="str">
        <f>IFERROR(__xludf.DUMMYFUNCTION("""COMPUTED_VALUE"""),"台銀籌備帳戶")</f>
        <v>台銀籌備帳戶</v>
      </c>
      <c r="G1264" t="str">
        <f>IFERROR(__xludf.DUMMYFUNCTION("""COMPUTED_VALUE"""),"哈拉對面")</f>
        <v>哈拉對面</v>
      </c>
      <c r="H1264" s="106" t="str">
        <f t="shared" si="1"/>
        <v>2024-12</v>
      </c>
      <c r="I1264" s="271" t="str">
        <f>IFERROR(__xludf.DUMMYFUNCTION("""COMPUTED_VALUE"""),"貓狗企鵝")</f>
        <v>貓狗企鵝</v>
      </c>
      <c r="J1264" t="str">
        <f>IFERROR(__xludf.DUMMYFUNCTION("IFS(
  AND(REGEXMATCH(E1264, ""台銀籌備帳戶|玉山帳戶""), REGEXMATCH(C1264, ""薪資"")), ""分潤支出"",
  AND(REGEXMATCH(E1264, ""Ben帳戶|Elsa帳戶|Ben代墊|Ariel代墊|中信銀行共用""), REGEXMATCH(F1264, ""Ben帳戶|Elsa帳戶|Ben代墊|Ariel代墊|中信銀行共用"")), ""內部轉帳(忽略)"",
  AND(E1264&lt;&gt;"""", F1264&lt;&gt;"""", N"&amp;"OT(REGEXMATCH(C1264, ""薪資""))), ""內部轉帳(忽略)"",
  REGEXMATCH(C1264, ""薪資""), ""薪資變動(不計入)"",
  REGEXMATCH(C1264, ""押金""), ""押金往來"",
  AND(E1264&lt;&gt;"""", F1264=""""), ""真實支出"",
  AND(E1264="""", F1264&lt;&gt;""""), ""真實收入"",
  TRUE, ""其他""
)"),"真實支出")</f>
        <v>真實支出</v>
      </c>
      <c r="K1264" s="270">
        <f t="shared" si="2"/>
        <v>-13015</v>
      </c>
      <c r="L1264">
        <f t="shared" si="3"/>
        <v>0</v>
      </c>
    </row>
    <row r="1265">
      <c r="A1265" s="107">
        <f>IFERROR(__xludf.DUMMYFUNCTION("""COMPUTED_VALUE"""),45641.0)</f>
        <v>45641</v>
      </c>
      <c r="B1265" t="str">
        <f>IFERROR(__xludf.DUMMYFUNCTION("""COMPUTED_VALUE"""),"龍江游sir")</f>
        <v>龍江游sir</v>
      </c>
      <c r="C1265" t="str">
        <f>IFERROR(__xludf.DUMMYFUNCTION("""COMPUTED_VALUE"""),"成本 - 大租金")</f>
        <v>成本 - 大租金</v>
      </c>
      <c r="D1265" s="270">
        <f>IFERROR(__xludf.DUMMYFUNCTION("""COMPUTED_VALUE"""),-13515.0)</f>
        <v>-13515</v>
      </c>
      <c r="E1265" t="str">
        <f>IFERROR(__xludf.DUMMYFUNCTION("""COMPUTED_VALUE"""),"台銀籌備帳戶")</f>
        <v>台銀籌備帳戶</v>
      </c>
      <c r="G1265" t="str">
        <f>IFERROR(__xludf.DUMMYFUNCTION("""COMPUTED_VALUE"""),"龍江229")</f>
        <v>龍江229</v>
      </c>
      <c r="H1265" s="106" t="str">
        <f t="shared" si="1"/>
        <v>2024-12</v>
      </c>
      <c r="I1265" s="271" t="str">
        <f>IFERROR(__xludf.DUMMYFUNCTION("""COMPUTED_VALUE"""),"貓狗企鵝")</f>
        <v>貓狗企鵝</v>
      </c>
      <c r="J1265" t="str">
        <f>IFERROR(__xludf.DUMMYFUNCTION("IFS(
  AND(REGEXMATCH(E1265, ""台銀籌備帳戶|玉山帳戶""), REGEXMATCH(C1265, ""薪資"")), ""分潤支出"",
  AND(REGEXMATCH(E1265, ""Ben帳戶|Elsa帳戶|Ben代墊|Ariel代墊|中信銀行共用""), REGEXMATCH(F1265, ""Ben帳戶|Elsa帳戶|Ben代墊|Ariel代墊|中信銀行共用"")), ""內部轉帳(忽略)"",
  AND(E1265&lt;&gt;"""", F1265&lt;&gt;"""", N"&amp;"OT(REGEXMATCH(C1265, ""薪資""))), ""內部轉帳(忽略)"",
  REGEXMATCH(C1265, ""薪資""), ""薪資變動(不計入)"",
  REGEXMATCH(C1265, ""押金""), ""押金往來"",
  AND(E1265&lt;&gt;"""", F1265=""""), ""真實支出"",
  AND(E1265="""", F1265&lt;&gt;""""), ""真實收入"",
  TRUE, ""其他""
)"),"真實支出")</f>
        <v>真實支出</v>
      </c>
      <c r="K1265" s="270">
        <f t="shared" si="2"/>
        <v>-13515</v>
      </c>
      <c r="L1265">
        <f t="shared" si="3"/>
        <v>0</v>
      </c>
    </row>
    <row r="1266">
      <c r="A1266" s="107">
        <f>IFERROR(__xludf.DUMMYFUNCTION("""COMPUTED_VALUE"""),45641.0)</f>
        <v>45641</v>
      </c>
      <c r="B1266" t="str">
        <f>IFERROR(__xludf.DUMMYFUNCTION("""COMPUTED_VALUE"""),"大湖陳彩霞")</f>
        <v>大湖陳彩霞</v>
      </c>
      <c r="C1266" t="str">
        <f>IFERROR(__xludf.DUMMYFUNCTION("""COMPUTED_VALUE"""),"成本 - 大租金")</f>
        <v>成本 - 大租金</v>
      </c>
      <c r="D1266" s="270">
        <f>IFERROR(__xludf.DUMMYFUNCTION("""COMPUTED_VALUE"""),-19415.0)</f>
        <v>-19415</v>
      </c>
      <c r="E1266" t="str">
        <f>IFERROR(__xludf.DUMMYFUNCTION("""COMPUTED_VALUE"""),"台銀籌備帳戶")</f>
        <v>台銀籌備帳戶</v>
      </c>
      <c r="G1266" t="str">
        <f>IFERROR(__xludf.DUMMYFUNCTION("""COMPUTED_VALUE"""),"大湖山莊")</f>
        <v>大湖山莊</v>
      </c>
      <c r="H1266" s="106" t="str">
        <f t="shared" si="1"/>
        <v>2024-12</v>
      </c>
      <c r="I1266" s="271" t="str">
        <f>IFERROR(__xludf.DUMMYFUNCTION("""COMPUTED_VALUE"""),"貓狗企鵝")</f>
        <v>貓狗企鵝</v>
      </c>
      <c r="J1266" t="str">
        <f>IFERROR(__xludf.DUMMYFUNCTION("IFS(
  AND(REGEXMATCH(E1266, ""台銀籌備帳戶|玉山帳戶""), REGEXMATCH(C1266, ""薪資"")), ""分潤支出"",
  AND(REGEXMATCH(E1266, ""Ben帳戶|Elsa帳戶|Ben代墊|Ariel代墊|中信銀行共用""), REGEXMATCH(F1266, ""Ben帳戶|Elsa帳戶|Ben代墊|Ariel代墊|中信銀行共用"")), ""內部轉帳(忽略)"",
  AND(E1266&lt;&gt;"""", F1266&lt;&gt;"""", N"&amp;"OT(REGEXMATCH(C1266, ""薪資""))), ""內部轉帳(忽略)"",
  REGEXMATCH(C1266, ""薪資""), ""薪資變動(不計入)"",
  REGEXMATCH(C1266, ""押金""), ""押金往來"",
  AND(E1266&lt;&gt;"""", F1266=""""), ""真實支出"",
  AND(E1266="""", F1266&lt;&gt;""""), ""真實收入"",
  TRUE, ""其他""
)"),"真實支出")</f>
        <v>真實支出</v>
      </c>
      <c r="K1266" s="270">
        <f t="shared" si="2"/>
        <v>-19415</v>
      </c>
      <c r="L1266">
        <f t="shared" si="3"/>
        <v>0</v>
      </c>
    </row>
    <row r="1267">
      <c r="A1267" s="107">
        <f>IFERROR(__xludf.DUMMYFUNCTION("""COMPUTED_VALUE"""),45641.0)</f>
        <v>45641</v>
      </c>
      <c r="B1267" t="str">
        <f>IFERROR(__xludf.DUMMYFUNCTION("""COMPUTED_VALUE"""),"金龍109屋主")</f>
        <v>金龍109屋主</v>
      </c>
      <c r="C1267" t="str">
        <f>IFERROR(__xludf.DUMMYFUNCTION("""COMPUTED_VALUE"""),"成本 - 大租金")</f>
        <v>成本 - 大租金</v>
      </c>
      <c r="D1267" s="270">
        <f>IFERROR(__xludf.DUMMYFUNCTION("""COMPUTED_VALUE"""),-17765.0)</f>
        <v>-17765</v>
      </c>
      <c r="E1267" t="str">
        <f>IFERROR(__xludf.DUMMYFUNCTION("""COMPUTED_VALUE"""),"台銀籌備帳戶")</f>
        <v>台銀籌備帳戶</v>
      </c>
      <c r="G1267" t="str">
        <f>IFERROR(__xludf.DUMMYFUNCTION("""COMPUTED_VALUE"""),"金龍帽子先生")</f>
        <v>金龍帽子先生</v>
      </c>
      <c r="H1267" s="106" t="str">
        <f t="shared" si="1"/>
        <v>2024-12</v>
      </c>
      <c r="I1267" s="271" t="str">
        <f>IFERROR(__xludf.DUMMYFUNCTION("""COMPUTED_VALUE"""),"貓狗企鵝")</f>
        <v>貓狗企鵝</v>
      </c>
      <c r="J1267" t="str">
        <f>IFERROR(__xludf.DUMMYFUNCTION("IFS(
  AND(REGEXMATCH(E1267, ""台銀籌備帳戶|玉山帳戶""), REGEXMATCH(C1267, ""薪資"")), ""分潤支出"",
  AND(REGEXMATCH(E1267, ""Ben帳戶|Elsa帳戶|Ben代墊|Ariel代墊|中信銀行共用""), REGEXMATCH(F1267, ""Ben帳戶|Elsa帳戶|Ben代墊|Ariel代墊|中信銀行共用"")), ""內部轉帳(忽略)"",
  AND(E1267&lt;&gt;"""", F1267&lt;&gt;"""", N"&amp;"OT(REGEXMATCH(C1267, ""薪資""))), ""內部轉帳(忽略)"",
  REGEXMATCH(C1267, ""薪資""), ""薪資變動(不計入)"",
  REGEXMATCH(C1267, ""押金""), ""押金往來"",
  AND(E1267&lt;&gt;"""", F1267=""""), ""真實支出"",
  AND(E1267="""", F1267&lt;&gt;""""), ""真實收入"",
  TRUE, ""其他""
)"),"真實支出")</f>
        <v>真實支出</v>
      </c>
      <c r="K1267" s="270">
        <f t="shared" si="2"/>
        <v>-17765</v>
      </c>
      <c r="L1267">
        <f t="shared" si="3"/>
        <v>0</v>
      </c>
    </row>
    <row r="1268">
      <c r="A1268" s="107">
        <f>IFERROR(__xludf.DUMMYFUNCTION("""COMPUTED_VALUE"""),45642.0)</f>
        <v>45642</v>
      </c>
      <c r="B1268" t="str">
        <f>IFERROR(__xludf.DUMMYFUNCTION("""COMPUTED_VALUE"""),"水費")</f>
        <v>水費</v>
      </c>
      <c r="C1268" t="str">
        <f>IFERROR(__xludf.DUMMYFUNCTION("""COMPUTED_VALUE"""),"成本 - 進場前裝潢費")</f>
        <v>成本 - 進場前裝潢費</v>
      </c>
      <c r="D1268" s="270">
        <f>IFERROR(__xludf.DUMMYFUNCTION("""COMPUTED_VALUE"""),-305.0)</f>
        <v>-305</v>
      </c>
      <c r="E1268" t="str">
        <f>IFERROR(__xludf.DUMMYFUNCTION("""COMPUTED_VALUE"""),"Elsa帳戶")</f>
        <v>Elsa帳戶</v>
      </c>
      <c r="G1268" t="str">
        <f>IFERROR(__xludf.DUMMYFUNCTION("""COMPUTED_VALUE"""),"中山北Feli家")</f>
        <v>中山北Feli家</v>
      </c>
      <c r="H1268" s="106" t="str">
        <f t="shared" si="1"/>
        <v>2024-12</v>
      </c>
      <c r="I1268" s="271" t="str">
        <f>IFERROR(__xludf.DUMMYFUNCTION("""COMPUTED_VALUE"""),"貓狗企鵝")</f>
        <v>貓狗企鵝</v>
      </c>
      <c r="J1268" t="str">
        <f>IFERROR(__xludf.DUMMYFUNCTION("IFS(
  AND(REGEXMATCH(E1268, ""台銀籌備帳戶|玉山帳戶""), REGEXMATCH(C1268, ""薪資"")), ""分潤支出"",
  AND(REGEXMATCH(E1268, ""Ben帳戶|Elsa帳戶|Ben代墊|Ariel代墊|中信銀行共用""), REGEXMATCH(F1268, ""Ben帳戶|Elsa帳戶|Ben代墊|Ariel代墊|中信銀行共用"")), ""內部轉帳(忽略)"",
  AND(E1268&lt;&gt;"""", F1268&lt;&gt;"""", N"&amp;"OT(REGEXMATCH(C1268, ""薪資""))), ""內部轉帳(忽略)"",
  REGEXMATCH(C1268, ""薪資""), ""薪資變動(不計入)"",
  REGEXMATCH(C1268, ""押金""), ""押金往來"",
  AND(E1268&lt;&gt;"""", F1268=""""), ""真實支出"",
  AND(E1268="""", F1268&lt;&gt;""""), ""真實收入"",
  TRUE, ""其他""
)"),"真實支出")</f>
        <v>真實支出</v>
      </c>
      <c r="K1268" s="270">
        <f t="shared" si="2"/>
        <v>-305</v>
      </c>
      <c r="L1268">
        <f t="shared" si="3"/>
        <v>0</v>
      </c>
    </row>
    <row r="1269">
      <c r="A1269" s="107">
        <f>IFERROR(__xludf.DUMMYFUNCTION("""COMPUTED_VALUE"""),45642.0)</f>
        <v>45642</v>
      </c>
      <c r="B1269" t="str">
        <f>IFERROR(__xludf.DUMMYFUNCTION("""COMPUTED_VALUE"""),"瓦斯費")</f>
        <v>瓦斯費</v>
      </c>
      <c r="C1269" t="str">
        <f>IFERROR(__xludf.DUMMYFUNCTION("""COMPUTED_VALUE"""),"成本 - 進場前裝潢費")</f>
        <v>成本 - 進場前裝潢費</v>
      </c>
      <c r="D1269" s="270">
        <f>IFERROR(__xludf.DUMMYFUNCTION("""COMPUTED_VALUE"""),-514.0)</f>
        <v>-514</v>
      </c>
      <c r="E1269" t="str">
        <f>IFERROR(__xludf.DUMMYFUNCTION("""COMPUTED_VALUE"""),"Elsa帳戶")</f>
        <v>Elsa帳戶</v>
      </c>
      <c r="G1269" t="str">
        <f>IFERROR(__xludf.DUMMYFUNCTION("""COMPUTED_VALUE"""),"中山北Feli家")</f>
        <v>中山北Feli家</v>
      </c>
      <c r="H1269" s="106" t="str">
        <f t="shared" si="1"/>
        <v>2024-12</v>
      </c>
      <c r="I1269" s="271" t="str">
        <f>IFERROR(__xludf.DUMMYFUNCTION("""COMPUTED_VALUE"""),"貓狗企鵝")</f>
        <v>貓狗企鵝</v>
      </c>
      <c r="J1269" t="str">
        <f>IFERROR(__xludf.DUMMYFUNCTION("IFS(
  AND(REGEXMATCH(E1269, ""台銀籌備帳戶|玉山帳戶""), REGEXMATCH(C1269, ""薪資"")), ""分潤支出"",
  AND(REGEXMATCH(E1269, ""Ben帳戶|Elsa帳戶|Ben代墊|Ariel代墊|中信銀行共用""), REGEXMATCH(F1269, ""Ben帳戶|Elsa帳戶|Ben代墊|Ariel代墊|中信銀行共用"")), ""內部轉帳(忽略)"",
  AND(E1269&lt;&gt;"""", F1269&lt;&gt;"""", N"&amp;"OT(REGEXMATCH(C1269, ""薪資""))), ""內部轉帳(忽略)"",
  REGEXMATCH(C1269, ""薪資""), ""薪資變動(不計入)"",
  REGEXMATCH(C1269, ""押金""), ""押金往來"",
  AND(E1269&lt;&gt;"""", F1269=""""), ""真實支出"",
  AND(E1269="""", F1269&lt;&gt;""""), ""真實收入"",
  TRUE, ""其他""
)"),"真實支出")</f>
        <v>真實支出</v>
      </c>
      <c r="K1269" s="270">
        <f t="shared" si="2"/>
        <v>-514</v>
      </c>
      <c r="L1269">
        <f t="shared" si="3"/>
        <v>0</v>
      </c>
    </row>
    <row r="1270">
      <c r="A1270" s="107">
        <f>IFERROR(__xludf.DUMMYFUNCTION("""COMPUTED_VALUE"""),45642.0)</f>
        <v>45642</v>
      </c>
      <c r="B1270" t="str">
        <f>IFERROR(__xludf.DUMMYFUNCTION("""COMPUTED_VALUE"""),"電費")</f>
        <v>電費</v>
      </c>
      <c r="C1270" t="str">
        <f>IFERROR(__xludf.DUMMYFUNCTION("""COMPUTED_VALUE"""),"成本 - 進場前裝潢費")</f>
        <v>成本 - 進場前裝潢費</v>
      </c>
      <c r="D1270" s="270">
        <f>IFERROR(__xludf.DUMMYFUNCTION("""COMPUTED_VALUE"""),-77.0)</f>
        <v>-77</v>
      </c>
      <c r="E1270" t="str">
        <f>IFERROR(__xludf.DUMMYFUNCTION("""COMPUTED_VALUE"""),"Elsa帳戶")</f>
        <v>Elsa帳戶</v>
      </c>
      <c r="G1270" t="str">
        <f>IFERROR(__xludf.DUMMYFUNCTION("""COMPUTED_VALUE"""),"中山北Feli家")</f>
        <v>中山北Feli家</v>
      </c>
      <c r="H1270" s="106" t="str">
        <f t="shared" si="1"/>
        <v>2024-12</v>
      </c>
      <c r="I1270" s="271" t="str">
        <f>IFERROR(__xludf.DUMMYFUNCTION("""COMPUTED_VALUE"""),"貓狗企鵝")</f>
        <v>貓狗企鵝</v>
      </c>
      <c r="J1270" t="str">
        <f>IFERROR(__xludf.DUMMYFUNCTION("IFS(
  AND(REGEXMATCH(E1270, ""台銀籌備帳戶|玉山帳戶""), REGEXMATCH(C1270, ""薪資"")), ""分潤支出"",
  AND(REGEXMATCH(E1270, ""Ben帳戶|Elsa帳戶|Ben代墊|Ariel代墊|中信銀行共用""), REGEXMATCH(F1270, ""Ben帳戶|Elsa帳戶|Ben代墊|Ariel代墊|中信銀行共用"")), ""內部轉帳(忽略)"",
  AND(E1270&lt;&gt;"""", F1270&lt;&gt;"""", N"&amp;"OT(REGEXMATCH(C1270, ""薪資""))), ""內部轉帳(忽略)"",
  REGEXMATCH(C1270, ""薪資""), ""薪資變動(不計入)"",
  REGEXMATCH(C1270, ""押金""), ""押金往來"",
  AND(E1270&lt;&gt;"""", F1270=""""), ""真實支出"",
  AND(E1270="""", F1270&lt;&gt;""""), ""真實收入"",
  TRUE, ""其他""
)"),"真實支出")</f>
        <v>真實支出</v>
      </c>
      <c r="K1270" s="270">
        <f t="shared" si="2"/>
        <v>-77</v>
      </c>
      <c r="L1270">
        <f t="shared" si="3"/>
        <v>0</v>
      </c>
    </row>
    <row r="1271">
      <c r="A1271" s="107">
        <f>IFERROR(__xludf.DUMMYFUNCTION("""COMPUTED_VALUE"""),45642.0)</f>
        <v>45642</v>
      </c>
      <c r="B1271" t="str">
        <f>IFERROR(__xludf.DUMMYFUNCTION("""COMPUTED_VALUE"""),"停車費")</f>
        <v>停車費</v>
      </c>
      <c r="C1271" t="str">
        <f>IFERROR(__xludf.DUMMYFUNCTION("""COMPUTED_VALUE"""),"費用 - 交通費")</f>
        <v>費用 - 交通費</v>
      </c>
      <c r="D1271" s="270">
        <f>IFERROR(__xludf.DUMMYFUNCTION("""COMPUTED_VALUE"""),-180.0)</f>
        <v>-180</v>
      </c>
      <c r="E1271" t="str">
        <f>IFERROR(__xludf.DUMMYFUNCTION("""COMPUTED_VALUE"""),"Elsa帳戶")</f>
        <v>Elsa帳戶</v>
      </c>
      <c r="G1271" t="str">
        <f>IFERROR(__xludf.DUMMYFUNCTION("""COMPUTED_VALUE"""),"中山北Feli家")</f>
        <v>中山北Feli家</v>
      </c>
      <c r="H1271" s="106" t="str">
        <f t="shared" si="1"/>
        <v>2024-12</v>
      </c>
      <c r="I1271" s="271" t="str">
        <f>IFERROR(__xludf.DUMMYFUNCTION("""COMPUTED_VALUE"""),"貓狗企鵝")</f>
        <v>貓狗企鵝</v>
      </c>
      <c r="J1271" t="str">
        <f>IFERROR(__xludf.DUMMYFUNCTION("IFS(
  AND(REGEXMATCH(E1271, ""台銀籌備帳戶|玉山帳戶""), REGEXMATCH(C1271, ""薪資"")), ""分潤支出"",
  AND(REGEXMATCH(E1271, ""Ben帳戶|Elsa帳戶|Ben代墊|Ariel代墊|中信銀行共用""), REGEXMATCH(F1271, ""Ben帳戶|Elsa帳戶|Ben代墊|Ariel代墊|中信銀行共用"")), ""內部轉帳(忽略)"",
  AND(E1271&lt;&gt;"""", F1271&lt;&gt;"""", N"&amp;"OT(REGEXMATCH(C1271, ""薪資""))), ""內部轉帳(忽略)"",
  REGEXMATCH(C1271, ""薪資""), ""薪資變動(不計入)"",
  REGEXMATCH(C1271, ""押金""), ""押金往來"",
  AND(E1271&lt;&gt;"""", F1271=""""), ""真實支出"",
  AND(E1271="""", F1271&lt;&gt;""""), ""真實收入"",
  TRUE, ""其他""
)"),"真實支出")</f>
        <v>真實支出</v>
      </c>
      <c r="K1271" s="270">
        <f t="shared" si="2"/>
        <v>-180</v>
      </c>
      <c r="L1271">
        <f t="shared" si="3"/>
        <v>0</v>
      </c>
    </row>
    <row r="1272">
      <c r="A1272" s="107">
        <f>IFERROR(__xludf.DUMMYFUNCTION("""COMPUTED_VALUE"""),45643.0)</f>
        <v>45643</v>
      </c>
      <c r="B1272" t="str">
        <f>IFERROR(__xludf.DUMMYFUNCTION("""COMPUTED_VALUE"""),"人格測試費")</f>
        <v>人格測試費</v>
      </c>
      <c r="C1272" t="str">
        <f>IFERROR(__xludf.DUMMYFUNCTION("""COMPUTED_VALUE"""),"費用 - 辦公用品")</f>
        <v>費用 - 辦公用品</v>
      </c>
      <c r="D1272" s="270">
        <f>IFERROR(__xludf.DUMMYFUNCTION("""COMPUTED_VALUE"""),-1200.0)</f>
        <v>-1200</v>
      </c>
      <c r="E1272" t="str">
        <f>IFERROR(__xludf.DUMMYFUNCTION("""COMPUTED_VALUE"""),"Ben帳戶")</f>
        <v>Ben帳戶</v>
      </c>
      <c r="H1272" s="106" t="str">
        <f t="shared" si="1"/>
        <v>2024-12</v>
      </c>
      <c r="I1272" s="271" t="str">
        <f>IFERROR(__xludf.DUMMYFUNCTION("""COMPUTED_VALUE"""),"貓狗企鵝")</f>
        <v>貓狗企鵝</v>
      </c>
      <c r="J1272" t="str">
        <f>IFERROR(__xludf.DUMMYFUNCTION("IFS(
  AND(REGEXMATCH(E1272, ""台銀籌備帳戶|玉山帳戶""), REGEXMATCH(C1272, ""薪資"")), ""分潤支出"",
  AND(REGEXMATCH(E1272, ""Ben帳戶|Elsa帳戶|Ben代墊|Ariel代墊|中信銀行共用""), REGEXMATCH(F1272, ""Ben帳戶|Elsa帳戶|Ben代墊|Ariel代墊|中信銀行共用"")), ""內部轉帳(忽略)"",
  AND(E1272&lt;&gt;"""", F1272&lt;&gt;"""", N"&amp;"OT(REGEXMATCH(C1272, ""薪資""))), ""內部轉帳(忽略)"",
  REGEXMATCH(C1272, ""薪資""), ""薪資變動(不計入)"",
  REGEXMATCH(C1272, ""押金""), ""押金往來"",
  AND(E1272&lt;&gt;"""", F1272=""""), ""真實支出"",
  AND(E1272="""", F1272&lt;&gt;""""), ""真實收入"",
  TRUE, ""其他""
)"),"真實支出")</f>
        <v>真實支出</v>
      </c>
      <c r="K1272" s="270">
        <f t="shared" si="2"/>
        <v>-1200</v>
      </c>
      <c r="L1272">
        <f t="shared" si="3"/>
        <v>0</v>
      </c>
    </row>
    <row r="1273">
      <c r="A1273" s="107">
        <f>IFERROR(__xludf.DUMMYFUNCTION("""COMPUTED_VALUE"""),45643.0)</f>
        <v>45643</v>
      </c>
      <c r="B1273" t="str">
        <f>IFERROR(__xludf.DUMMYFUNCTION("""COMPUTED_VALUE"""),"北市國稅94053182")</f>
        <v>北市國稅94053182</v>
      </c>
      <c r="C1273" t="str">
        <f>IFERROR(__xludf.DUMMYFUNCTION("""COMPUTED_VALUE"""),"收入 - 政府補助/退稅")</f>
        <v>收入 - 政府補助/退稅</v>
      </c>
      <c r="D1273" s="270">
        <f>IFERROR(__xludf.DUMMYFUNCTION("""COMPUTED_VALUE"""),1600.0)</f>
        <v>1600</v>
      </c>
      <c r="F1273" t="str">
        <f>IFERROR(__xludf.DUMMYFUNCTION("""COMPUTED_VALUE"""),"台銀籌備帳戶")</f>
        <v>台銀籌備帳戶</v>
      </c>
      <c r="G1273" t="str">
        <f>IFERROR(__xludf.DUMMYFUNCTION("""COMPUTED_VALUE"""),"中山北娘家旁")</f>
        <v>中山北娘家旁</v>
      </c>
      <c r="H1273" s="106" t="str">
        <f t="shared" si="1"/>
        <v>2024-12</v>
      </c>
      <c r="I1273" s="271" t="str">
        <f>IFERROR(__xludf.DUMMYFUNCTION("""COMPUTED_VALUE"""),"貓狗企鵝")</f>
        <v>貓狗企鵝</v>
      </c>
      <c r="J1273" t="str">
        <f>IFERROR(__xludf.DUMMYFUNCTION("IFS(
  AND(REGEXMATCH(E1273, ""台銀籌備帳戶|玉山帳戶""), REGEXMATCH(C1273, ""薪資"")), ""分潤支出"",
  AND(REGEXMATCH(E1273, ""Ben帳戶|Elsa帳戶|Ben代墊|Ariel代墊|中信銀行共用""), REGEXMATCH(F1273, ""Ben帳戶|Elsa帳戶|Ben代墊|Ariel代墊|中信銀行共用"")), ""內部轉帳(忽略)"",
  AND(E1273&lt;&gt;"""", F1273&lt;&gt;"""", N"&amp;"OT(REGEXMATCH(C1273, ""薪資""))), ""內部轉帳(忽略)"",
  REGEXMATCH(C1273, ""薪資""), ""薪資變動(不計入)"",
  REGEXMATCH(C1273, ""押金""), ""押金往來"",
  AND(E1273&lt;&gt;"""", F1273=""""), ""真實支出"",
  AND(E1273="""", F1273&lt;&gt;""""), ""真實收入"",
  TRUE, ""其他""
)"),"真實收入")</f>
        <v>真實收入</v>
      </c>
      <c r="K1273" s="270">
        <f t="shared" si="2"/>
        <v>1600</v>
      </c>
      <c r="L1273">
        <f t="shared" si="3"/>
        <v>0</v>
      </c>
    </row>
    <row r="1274">
      <c r="A1274" s="107">
        <f>IFERROR(__xludf.DUMMYFUNCTION("""COMPUTED_VALUE"""),45643.0)</f>
        <v>45643</v>
      </c>
      <c r="B1274" t="str">
        <f>IFERROR(__xludf.DUMMYFUNCTION("""COMPUTED_VALUE"""),"北市國稅94053182")</f>
        <v>北市國稅94053182</v>
      </c>
      <c r="C1274" t="str">
        <f>IFERROR(__xludf.DUMMYFUNCTION("""COMPUTED_VALUE"""),"收入 - 政府補助/退稅")</f>
        <v>收入 - 政府補助/退稅</v>
      </c>
      <c r="D1274" s="270">
        <f>IFERROR(__xludf.DUMMYFUNCTION("""COMPUTED_VALUE"""),1600.0)</f>
        <v>1600</v>
      </c>
      <c r="F1274" t="str">
        <f>IFERROR(__xludf.DUMMYFUNCTION("""COMPUTED_VALUE"""),"台銀籌備帳戶")</f>
        <v>台銀籌備帳戶</v>
      </c>
      <c r="G1274" t="str">
        <f>IFERROR(__xludf.DUMMYFUNCTION("""COMPUTED_VALUE"""),"中山北娘家旁")</f>
        <v>中山北娘家旁</v>
      </c>
      <c r="H1274" s="106" t="str">
        <f t="shared" si="1"/>
        <v>2024-12</v>
      </c>
      <c r="I1274" s="271" t="str">
        <f>IFERROR(__xludf.DUMMYFUNCTION("""COMPUTED_VALUE"""),"貓狗企鵝")</f>
        <v>貓狗企鵝</v>
      </c>
      <c r="J1274" t="str">
        <f>IFERROR(__xludf.DUMMYFUNCTION("IFS(
  AND(REGEXMATCH(E1274, ""台銀籌備帳戶|玉山帳戶""), REGEXMATCH(C1274, ""薪資"")), ""分潤支出"",
  AND(REGEXMATCH(E1274, ""Ben帳戶|Elsa帳戶|Ben代墊|Ariel代墊|中信銀行共用""), REGEXMATCH(F1274, ""Ben帳戶|Elsa帳戶|Ben代墊|Ariel代墊|中信銀行共用"")), ""內部轉帳(忽略)"",
  AND(E1274&lt;&gt;"""", F1274&lt;&gt;"""", N"&amp;"OT(REGEXMATCH(C1274, ""薪資""))), ""內部轉帳(忽略)"",
  REGEXMATCH(C1274, ""薪資""), ""薪資變動(不計入)"",
  REGEXMATCH(C1274, ""押金""), ""押金往來"",
  AND(E1274&lt;&gt;"""", F1274=""""), ""真實支出"",
  AND(E1274="""", F1274&lt;&gt;""""), ""真實收入"",
  TRUE, ""其他""
)"),"真實收入")</f>
        <v>真實收入</v>
      </c>
      <c r="K1274" s="270">
        <f t="shared" si="2"/>
        <v>1600</v>
      </c>
      <c r="L1274">
        <f t="shared" si="3"/>
        <v>0</v>
      </c>
    </row>
    <row r="1275">
      <c r="A1275" s="107">
        <f>IFERROR(__xludf.DUMMYFUNCTION("""COMPUTED_VALUE"""),45643.0)</f>
        <v>45643</v>
      </c>
      <c r="B1275" t="str">
        <f>IFERROR(__xludf.DUMMYFUNCTION("""COMPUTED_VALUE"""),"北市國稅94053182")</f>
        <v>北市國稅94053182</v>
      </c>
      <c r="C1275" t="str">
        <f>IFERROR(__xludf.DUMMYFUNCTION("""COMPUTED_VALUE"""),"收入 - 政府補助/退稅")</f>
        <v>收入 - 政府補助/退稅</v>
      </c>
      <c r="D1275" s="270">
        <f>IFERROR(__xludf.DUMMYFUNCTION("""COMPUTED_VALUE"""),1600.0)</f>
        <v>1600</v>
      </c>
      <c r="F1275" t="str">
        <f>IFERROR(__xludf.DUMMYFUNCTION("""COMPUTED_VALUE"""),"台銀籌備帳戶")</f>
        <v>台銀籌備帳戶</v>
      </c>
      <c r="G1275" t="str">
        <f>IFERROR(__xludf.DUMMYFUNCTION("""COMPUTED_VALUE"""),"中山北娘家旁")</f>
        <v>中山北娘家旁</v>
      </c>
      <c r="H1275" s="106" t="str">
        <f t="shared" si="1"/>
        <v>2024-12</v>
      </c>
      <c r="I1275" s="271" t="str">
        <f>IFERROR(__xludf.DUMMYFUNCTION("""COMPUTED_VALUE"""),"貓狗企鵝")</f>
        <v>貓狗企鵝</v>
      </c>
      <c r="J1275" t="str">
        <f>IFERROR(__xludf.DUMMYFUNCTION("IFS(
  AND(REGEXMATCH(E1275, ""台銀籌備帳戶|玉山帳戶""), REGEXMATCH(C1275, ""薪資"")), ""分潤支出"",
  AND(REGEXMATCH(E1275, ""Ben帳戶|Elsa帳戶|Ben代墊|Ariel代墊|中信銀行共用""), REGEXMATCH(F1275, ""Ben帳戶|Elsa帳戶|Ben代墊|Ariel代墊|中信銀行共用"")), ""內部轉帳(忽略)"",
  AND(E1275&lt;&gt;"""", F1275&lt;&gt;"""", N"&amp;"OT(REGEXMATCH(C1275, ""薪資""))), ""內部轉帳(忽略)"",
  REGEXMATCH(C1275, ""薪資""), ""薪資變動(不計入)"",
  REGEXMATCH(C1275, ""押金""), ""押金往來"",
  AND(E1275&lt;&gt;"""", F1275=""""), ""真實支出"",
  AND(E1275="""", F1275&lt;&gt;""""), ""真實收入"",
  TRUE, ""其他""
)"),"真實收入")</f>
        <v>真實收入</v>
      </c>
      <c r="K1275" s="270">
        <f t="shared" si="2"/>
        <v>1600</v>
      </c>
      <c r="L1275">
        <f t="shared" si="3"/>
        <v>0</v>
      </c>
    </row>
    <row r="1276">
      <c r="A1276" s="107">
        <f>IFERROR(__xludf.DUMMYFUNCTION("""COMPUTED_VALUE"""),45643.0)</f>
        <v>45643</v>
      </c>
      <c r="B1276" t="str">
        <f>IFERROR(__xludf.DUMMYFUNCTION("""COMPUTED_VALUE"""),"北市國稅94053182")</f>
        <v>北市國稅94053182</v>
      </c>
      <c r="C1276" t="str">
        <f>IFERROR(__xludf.DUMMYFUNCTION("""COMPUTED_VALUE"""),"收入 - 政府補助/退稅")</f>
        <v>收入 - 政府補助/退稅</v>
      </c>
      <c r="D1276" s="270">
        <f>IFERROR(__xludf.DUMMYFUNCTION("""COMPUTED_VALUE"""),1600.0)</f>
        <v>1600</v>
      </c>
      <c r="F1276" t="str">
        <f>IFERROR(__xludf.DUMMYFUNCTION("""COMPUTED_VALUE"""),"台銀籌備帳戶")</f>
        <v>台銀籌備帳戶</v>
      </c>
      <c r="G1276" t="str">
        <f>IFERROR(__xludf.DUMMYFUNCTION("""COMPUTED_VALUE"""),"中山北娘家旁")</f>
        <v>中山北娘家旁</v>
      </c>
      <c r="H1276" s="106" t="str">
        <f t="shared" si="1"/>
        <v>2024-12</v>
      </c>
      <c r="I1276" s="271" t="str">
        <f>IFERROR(__xludf.DUMMYFUNCTION("""COMPUTED_VALUE"""),"貓狗企鵝")</f>
        <v>貓狗企鵝</v>
      </c>
      <c r="J1276" t="str">
        <f>IFERROR(__xludf.DUMMYFUNCTION("IFS(
  AND(REGEXMATCH(E1276, ""台銀籌備帳戶|玉山帳戶""), REGEXMATCH(C1276, ""薪資"")), ""分潤支出"",
  AND(REGEXMATCH(E1276, ""Ben帳戶|Elsa帳戶|Ben代墊|Ariel代墊|中信銀行共用""), REGEXMATCH(F1276, ""Ben帳戶|Elsa帳戶|Ben代墊|Ariel代墊|中信銀行共用"")), ""內部轉帳(忽略)"",
  AND(E1276&lt;&gt;"""", F1276&lt;&gt;"""", N"&amp;"OT(REGEXMATCH(C1276, ""薪資""))), ""內部轉帳(忽略)"",
  REGEXMATCH(C1276, ""薪資""), ""薪資變動(不計入)"",
  REGEXMATCH(C1276, ""押金""), ""押金往來"",
  AND(E1276&lt;&gt;"""", F1276=""""), ""真實支出"",
  AND(E1276="""", F1276&lt;&gt;""""), ""真實收入"",
  TRUE, ""其他""
)"),"真實收入")</f>
        <v>真實收入</v>
      </c>
      <c r="K1276" s="270">
        <f t="shared" si="2"/>
        <v>1600</v>
      </c>
      <c r="L1276">
        <f t="shared" si="3"/>
        <v>0</v>
      </c>
    </row>
    <row r="1277">
      <c r="A1277" s="107">
        <f>IFERROR(__xludf.DUMMYFUNCTION("""COMPUTED_VALUE"""),45643.0)</f>
        <v>45643</v>
      </c>
      <c r="B1277" t="str">
        <f>IFERROR(__xludf.DUMMYFUNCTION("""COMPUTED_VALUE"""),"北市國稅94053182")</f>
        <v>北市國稅94053182</v>
      </c>
      <c r="C1277" t="str">
        <f>IFERROR(__xludf.DUMMYFUNCTION("""COMPUTED_VALUE"""),"收入 - 政府補助/退稅")</f>
        <v>收入 - 政府補助/退稅</v>
      </c>
      <c r="D1277" s="270">
        <f>IFERROR(__xludf.DUMMYFUNCTION("""COMPUTED_VALUE"""),1600.0)</f>
        <v>1600</v>
      </c>
      <c r="F1277" t="str">
        <f>IFERROR(__xludf.DUMMYFUNCTION("""COMPUTED_VALUE"""),"台銀籌備帳戶")</f>
        <v>台銀籌備帳戶</v>
      </c>
      <c r="G1277" t="str">
        <f>IFERROR(__xludf.DUMMYFUNCTION("""COMPUTED_VALUE"""),"中山北Feli家")</f>
        <v>中山北Feli家</v>
      </c>
      <c r="H1277" s="106" t="str">
        <f t="shared" si="1"/>
        <v>2024-12</v>
      </c>
      <c r="I1277" s="271" t="str">
        <f>IFERROR(__xludf.DUMMYFUNCTION("""COMPUTED_VALUE"""),"貓狗企鵝")</f>
        <v>貓狗企鵝</v>
      </c>
      <c r="J1277" t="str">
        <f>IFERROR(__xludf.DUMMYFUNCTION("IFS(
  AND(REGEXMATCH(E1277, ""台銀籌備帳戶|玉山帳戶""), REGEXMATCH(C1277, ""薪資"")), ""分潤支出"",
  AND(REGEXMATCH(E1277, ""Ben帳戶|Elsa帳戶|Ben代墊|Ariel代墊|中信銀行共用""), REGEXMATCH(F1277, ""Ben帳戶|Elsa帳戶|Ben代墊|Ariel代墊|中信銀行共用"")), ""內部轉帳(忽略)"",
  AND(E1277&lt;&gt;"""", F1277&lt;&gt;"""", N"&amp;"OT(REGEXMATCH(C1277, ""薪資""))), ""內部轉帳(忽略)"",
  REGEXMATCH(C1277, ""薪資""), ""薪資變動(不計入)"",
  REGEXMATCH(C1277, ""押金""), ""押金往來"",
  AND(E1277&lt;&gt;"""", F1277=""""), ""真實支出"",
  AND(E1277="""", F1277&lt;&gt;""""), ""真實收入"",
  TRUE, ""其他""
)"),"真實收入")</f>
        <v>真實收入</v>
      </c>
      <c r="K1277" s="270">
        <f t="shared" si="2"/>
        <v>1600</v>
      </c>
      <c r="L1277">
        <f t="shared" si="3"/>
        <v>0</v>
      </c>
    </row>
    <row r="1278">
      <c r="A1278" s="107">
        <f>IFERROR(__xludf.DUMMYFUNCTION("""COMPUTED_VALUE"""),45643.0)</f>
        <v>45643</v>
      </c>
      <c r="B1278" t="str">
        <f>IFERROR(__xludf.DUMMYFUNCTION("""COMPUTED_VALUE"""),"北市國稅94053182")</f>
        <v>北市國稅94053182</v>
      </c>
      <c r="C1278" t="str">
        <f>IFERROR(__xludf.DUMMYFUNCTION("""COMPUTED_VALUE"""),"收入 - 政府補助/退稅")</f>
        <v>收入 - 政府補助/退稅</v>
      </c>
      <c r="D1278" s="270">
        <f>IFERROR(__xludf.DUMMYFUNCTION("""COMPUTED_VALUE"""),1600.0)</f>
        <v>1600</v>
      </c>
      <c r="F1278" t="str">
        <f>IFERROR(__xludf.DUMMYFUNCTION("""COMPUTED_VALUE"""),"台銀籌備帳戶")</f>
        <v>台銀籌備帳戶</v>
      </c>
      <c r="G1278" t="str">
        <f>IFERROR(__xludf.DUMMYFUNCTION("""COMPUTED_VALUE"""),"中山北Feli家")</f>
        <v>中山北Feli家</v>
      </c>
      <c r="H1278" s="106" t="str">
        <f t="shared" si="1"/>
        <v>2024-12</v>
      </c>
      <c r="I1278" s="271" t="str">
        <f>IFERROR(__xludf.DUMMYFUNCTION("""COMPUTED_VALUE"""),"貓狗企鵝")</f>
        <v>貓狗企鵝</v>
      </c>
      <c r="J1278" t="str">
        <f>IFERROR(__xludf.DUMMYFUNCTION("IFS(
  AND(REGEXMATCH(E1278, ""台銀籌備帳戶|玉山帳戶""), REGEXMATCH(C1278, ""薪資"")), ""分潤支出"",
  AND(REGEXMATCH(E1278, ""Ben帳戶|Elsa帳戶|Ben代墊|Ariel代墊|中信銀行共用""), REGEXMATCH(F1278, ""Ben帳戶|Elsa帳戶|Ben代墊|Ariel代墊|中信銀行共用"")), ""內部轉帳(忽略)"",
  AND(E1278&lt;&gt;"""", F1278&lt;&gt;"""", N"&amp;"OT(REGEXMATCH(C1278, ""薪資""))), ""內部轉帳(忽略)"",
  REGEXMATCH(C1278, ""薪資""), ""薪資變動(不計入)"",
  REGEXMATCH(C1278, ""押金""), ""押金往來"",
  AND(E1278&lt;&gt;"""", F1278=""""), ""真實支出"",
  AND(E1278="""", F1278&lt;&gt;""""), ""真實收入"",
  TRUE, ""其他""
)"),"真實收入")</f>
        <v>真實收入</v>
      </c>
      <c r="K1278" s="270">
        <f t="shared" si="2"/>
        <v>1600</v>
      </c>
      <c r="L1278">
        <f t="shared" si="3"/>
        <v>0</v>
      </c>
    </row>
    <row r="1279">
      <c r="A1279" s="107">
        <f>IFERROR(__xludf.DUMMYFUNCTION("""COMPUTED_VALUE"""),45643.0)</f>
        <v>45643</v>
      </c>
      <c r="B1279" t="str">
        <f>IFERROR(__xludf.DUMMYFUNCTION("""COMPUTED_VALUE"""),"北市國稅94053182")</f>
        <v>北市國稅94053182</v>
      </c>
      <c r="C1279" t="str">
        <f>IFERROR(__xludf.DUMMYFUNCTION("""COMPUTED_VALUE"""),"收入 - 政府補助/退稅")</f>
        <v>收入 - 政府補助/退稅</v>
      </c>
      <c r="D1279" s="270">
        <f>IFERROR(__xludf.DUMMYFUNCTION("""COMPUTED_VALUE"""),2000.0)</f>
        <v>2000</v>
      </c>
      <c r="F1279" t="str">
        <f>IFERROR(__xludf.DUMMYFUNCTION("""COMPUTED_VALUE"""),"台銀籌備帳戶")</f>
        <v>台銀籌備帳戶</v>
      </c>
      <c r="G1279" t="str">
        <f>IFERROR(__xludf.DUMMYFUNCTION("""COMPUTED_VALUE"""),"中山北Feli家")</f>
        <v>中山北Feli家</v>
      </c>
      <c r="H1279" s="106" t="str">
        <f t="shared" si="1"/>
        <v>2024-12</v>
      </c>
      <c r="I1279" s="271" t="str">
        <f>IFERROR(__xludf.DUMMYFUNCTION("""COMPUTED_VALUE"""),"貓狗企鵝")</f>
        <v>貓狗企鵝</v>
      </c>
      <c r="J1279" t="str">
        <f>IFERROR(__xludf.DUMMYFUNCTION("IFS(
  AND(REGEXMATCH(E1279, ""台銀籌備帳戶|玉山帳戶""), REGEXMATCH(C1279, ""薪資"")), ""分潤支出"",
  AND(REGEXMATCH(E1279, ""Ben帳戶|Elsa帳戶|Ben代墊|Ariel代墊|中信銀行共用""), REGEXMATCH(F1279, ""Ben帳戶|Elsa帳戶|Ben代墊|Ariel代墊|中信銀行共用"")), ""內部轉帳(忽略)"",
  AND(E1279&lt;&gt;"""", F1279&lt;&gt;"""", N"&amp;"OT(REGEXMATCH(C1279, ""薪資""))), ""內部轉帳(忽略)"",
  REGEXMATCH(C1279, ""薪資""), ""薪資變動(不計入)"",
  REGEXMATCH(C1279, ""押金""), ""押金往來"",
  AND(E1279&lt;&gt;"""", F1279=""""), ""真實支出"",
  AND(E1279="""", F1279&lt;&gt;""""), ""真實收入"",
  TRUE, ""其他""
)"),"真實收入")</f>
        <v>真實收入</v>
      </c>
      <c r="K1279" s="270">
        <f t="shared" si="2"/>
        <v>2000</v>
      </c>
      <c r="L1279">
        <f t="shared" si="3"/>
        <v>0</v>
      </c>
    </row>
    <row r="1280">
      <c r="A1280" s="107">
        <f>IFERROR(__xludf.DUMMYFUNCTION("""COMPUTED_VALUE"""),45643.0)</f>
        <v>45643</v>
      </c>
      <c r="B1280" t="str">
        <f>IFERROR(__xludf.DUMMYFUNCTION("""COMPUTED_VALUE"""),"北市國稅94053182")</f>
        <v>北市國稅94053182</v>
      </c>
      <c r="C1280" t="str">
        <f>IFERROR(__xludf.DUMMYFUNCTION("""COMPUTED_VALUE"""),"收入 - 政府補助/退稅")</f>
        <v>收入 - 政府補助/退稅</v>
      </c>
      <c r="D1280" s="270">
        <f>IFERROR(__xludf.DUMMYFUNCTION("""COMPUTED_VALUE"""),1600.0)</f>
        <v>1600</v>
      </c>
      <c r="F1280" t="str">
        <f>IFERROR(__xludf.DUMMYFUNCTION("""COMPUTED_VALUE"""),"台銀籌備帳戶")</f>
        <v>台銀籌備帳戶</v>
      </c>
      <c r="G1280" t="str">
        <f>IFERROR(__xludf.DUMMYFUNCTION("""COMPUTED_VALUE"""),"中山北Feli家")</f>
        <v>中山北Feli家</v>
      </c>
      <c r="H1280" s="106" t="str">
        <f t="shared" si="1"/>
        <v>2024-12</v>
      </c>
      <c r="I1280" s="271" t="str">
        <f>IFERROR(__xludf.DUMMYFUNCTION("""COMPUTED_VALUE"""),"貓狗企鵝")</f>
        <v>貓狗企鵝</v>
      </c>
      <c r="J1280" t="str">
        <f>IFERROR(__xludf.DUMMYFUNCTION("IFS(
  AND(REGEXMATCH(E1280, ""台銀籌備帳戶|玉山帳戶""), REGEXMATCH(C1280, ""薪資"")), ""分潤支出"",
  AND(REGEXMATCH(E1280, ""Ben帳戶|Elsa帳戶|Ben代墊|Ariel代墊|中信銀行共用""), REGEXMATCH(F1280, ""Ben帳戶|Elsa帳戶|Ben代墊|Ariel代墊|中信銀行共用"")), ""內部轉帳(忽略)"",
  AND(E1280&lt;&gt;"""", F1280&lt;&gt;"""", N"&amp;"OT(REGEXMATCH(C1280, ""薪資""))), ""內部轉帳(忽略)"",
  REGEXMATCH(C1280, ""薪資""), ""薪資變動(不計入)"",
  REGEXMATCH(C1280, ""押金""), ""押金往來"",
  AND(E1280&lt;&gt;"""", F1280=""""), ""真實支出"",
  AND(E1280="""", F1280&lt;&gt;""""), ""真實收入"",
  TRUE, ""其他""
)"),"真實收入")</f>
        <v>真實收入</v>
      </c>
      <c r="K1280" s="270">
        <f t="shared" si="2"/>
        <v>1600</v>
      </c>
      <c r="L1280">
        <f t="shared" si="3"/>
        <v>0</v>
      </c>
    </row>
    <row r="1281">
      <c r="A1281" s="107">
        <f>IFERROR(__xludf.DUMMYFUNCTION("""COMPUTED_VALUE"""),45645.0)</f>
        <v>45645</v>
      </c>
      <c r="B1281" t="str">
        <f>IFERROR(__xludf.DUMMYFUNCTION("""COMPUTED_VALUE"""),"娘家紗窗")</f>
        <v>娘家紗窗</v>
      </c>
      <c r="C1281" t="str">
        <f>IFERROR(__xludf.DUMMYFUNCTION("""COMPUTED_VALUE"""),"成本 - 租後修繕")</f>
        <v>成本 - 租後修繕</v>
      </c>
      <c r="D1281" s="270">
        <f>IFERROR(__xludf.DUMMYFUNCTION("""COMPUTED_VALUE"""),-7425.0)</f>
        <v>-7425</v>
      </c>
      <c r="E1281" t="str">
        <f>IFERROR(__xludf.DUMMYFUNCTION("""COMPUTED_VALUE"""),"台銀籌備帳戶")</f>
        <v>台銀籌備帳戶</v>
      </c>
      <c r="G1281" t="str">
        <f>IFERROR(__xludf.DUMMYFUNCTION("""COMPUTED_VALUE"""),"中山北娘家旁")</f>
        <v>中山北娘家旁</v>
      </c>
      <c r="H1281" s="106" t="str">
        <f t="shared" si="1"/>
        <v>2024-12</v>
      </c>
      <c r="I1281" s="271" t="str">
        <f>IFERROR(__xludf.DUMMYFUNCTION("""COMPUTED_VALUE"""),"貓狗企鵝")</f>
        <v>貓狗企鵝</v>
      </c>
      <c r="J1281" t="str">
        <f>IFERROR(__xludf.DUMMYFUNCTION("IFS(
  AND(REGEXMATCH(E1281, ""台銀籌備帳戶|玉山帳戶""), REGEXMATCH(C1281, ""薪資"")), ""分潤支出"",
  AND(REGEXMATCH(E1281, ""Ben帳戶|Elsa帳戶|Ben代墊|Ariel代墊|中信銀行共用""), REGEXMATCH(F1281, ""Ben帳戶|Elsa帳戶|Ben代墊|Ariel代墊|中信銀行共用"")), ""內部轉帳(忽略)"",
  AND(E1281&lt;&gt;"""", F1281&lt;&gt;"""", N"&amp;"OT(REGEXMATCH(C1281, ""薪資""))), ""內部轉帳(忽略)"",
  REGEXMATCH(C1281, ""薪資""), ""薪資變動(不計入)"",
  REGEXMATCH(C1281, ""押金""), ""押金往來"",
  AND(E1281&lt;&gt;"""", F1281=""""), ""真實支出"",
  AND(E1281="""", F1281&lt;&gt;""""), ""真實收入"",
  TRUE, ""其他""
)"),"真實支出")</f>
        <v>真實支出</v>
      </c>
      <c r="K1281" s="270">
        <f t="shared" si="2"/>
        <v>-7425</v>
      </c>
      <c r="L1281">
        <f t="shared" si="3"/>
        <v>0</v>
      </c>
    </row>
    <row r="1282">
      <c r="A1282" s="107">
        <f>IFERROR(__xludf.DUMMYFUNCTION("""COMPUTED_VALUE"""),45646.0)</f>
        <v>45646</v>
      </c>
      <c r="B1282" t="str">
        <f>IFERROR(__xludf.DUMMYFUNCTION("""COMPUTED_VALUE"""),"哈拉熱水器維修")</f>
        <v>哈拉熱水器維修</v>
      </c>
      <c r="C1282" t="str">
        <f>IFERROR(__xludf.DUMMYFUNCTION("""COMPUTED_VALUE"""),"成本 - 租後修繕")</f>
        <v>成本 - 租後修繕</v>
      </c>
      <c r="D1282" s="270">
        <f>IFERROR(__xludf.DUMMYFUNCTION("""COMPUTED_VALUE"""),-400.0)</f>
        <v>-400</v>
      </c>
      <c r="E1282" t="str">
        <f>IFERROR(__xludf.DUMMYFUNCTION("""COMPUTED_VALUE"""),"Ben帳戶")</f>
        <v>Ben帳戶</v>
      </c>
      <c r="G1282" t="str">
        <f>IFERROR(__xludf.DUMMYFUNCTION("""COMPUTED_VALUE"""),"哈拉對面")</f>
        <v>哈拉對面</v>
      </c>
      <c r="H1282" s="106" t="str">
        <f t="shared" si="1"/>
        <v>2024-12</v>
      </c>
      <c r="I1282" s="271" t="str">
        <f>IFERROR(__xludf.DUMMYFUNCTION("""COMPUTED_VALUE"""),"貓狗企鵝")</f>
        <v>貓狗企鵝</v>
      </c>
      <c r="J1282" t="str">
        <f>IFERROR(__xludf.DUMMYFUNCTION("IFS(
  AND(REGEXMATCH(E1282, ""台銀籌備帳戶|玉山帳戶""), REGEXMATCH(C1282, ""薪資"")), ""分潤支出"",
  AND(REGEXMATCH(E1282, ""Ben帳戶|Elsa帳戶|Ben代墊|Ariel代墊|中信銀行共用""), REGEXMATCH(F1282, ""Ben帳戶|Elsa帳戶|Ben代墊|Ariel代墊|中信銀行共用"")), ""內部轉帳(忽略)"",
  AND(E1282&lt;&gt;"""", F1282&lt;&gt;"""", N"&amp;"OT(REGEXMATCH(C1282, ""薪資""))), ""內部轉帳(忽略)"",
  REGEXMATCH(C1282, ""薪資""), ""薪資變動(不計入)"",
  REGEXMATCH(C1282, ""押金""), ""押金往來"",
  AND(E1282&lt;&gt;"""", F1282=""""), ""真實支出"",
  AND(E1282="""", F1282&lt;&gt;""""), ""真實收入"",
  TRUE, ""其他""
)"),"真實支出")</f>
        <v>真實支出</v>
      </c>
      <c r="K1282" s="270">
        <f t="shared" si="2"/>
        <v>-400</v>
      </c>
      <c r="L1282">
        <f t="shared" si="3"/>
        <v>0</v>
      </c>
    </row>
    <row r="1283">
      <c r="A1283" s="107">
        <f>IFERROR(__xludf.DUMMYFUNCTION("""COMPUTED_VALUE"""),45647.0)</f>
        <v>45647</v>
      </c>
      <c r="B1283" t="str">
        <f>IFERROR(__xludf.DUMMYFUNCTION("""COMPUTED_VALUE"""),"北市國稅94053182")</f>
        <v>北市國稅94053182</v>
      </c>
      <c r="C1283" t="str">
        <f>IFERROR(__xludf.DUMMYFUNCTION("""COMPUTED_VALUE"""),"收入 - 政府補助/退稅")</f>
        <v>收入 - 政府補助/退稅</v>
      </c>
      <c r="D1283" s="270">
        <f>IFERROR(__xludf.DUMMYFUNCTION("""COMPUTED_VALUE"""),1900.0)</f>
        <v>1900</v>
      </c>
      <c r="F1283" t="str">
        <f>IFERROR(__xludf.DUMMYFUNCTION("""COMPUTED_VALUE"""),"台銀籌備帳戶")</f>
        <v>台銀籌備帳戶</v>
      </c>
      <c r="G1283" t="str">
        <f>IFERROR(__xludf.DUMMYFUNCTION("""COMPUTED_VALUE"""),"無法分類")</f>
        <v>無法分類</v>
      </c>
      <c r="H1283" s="106" t="str">
        <f t="shared" si="1"/>
        <v>2024-12</v>
      </c>
      <c r="I1283" s="271" t="str">
        <f>IFERROR(__xludf.DUMMYFUNCTION("""COMPUTED_VALUE"""),"貓狗企鵝")</f>
        <v>貓狗企鵝</v>
      </c>
      <c r="J1283" t="str">
        <f>IFERROR(__xludf.DUMMYFUNCTION("IFS(
  AND(REGEXMATCH(E1283, ""台銀籌備帳戶|玉山帳戶""), REGEXMATCH(C1283, ""薪資"")), ""分潤支出"",
  AND(REGEXMATCH(E1283, ""Ben帳戶|Elsa帳戶|Ben代墊|Ariel代墊|中信銀行共用""), REGEXMATCH(F1283, ""Ben帳戶|Elsa帳戶|Ben代墊|Ariel代墊|中信銀行共用"")), ""內部轉帳(忽略)"",
  AND(E1283&lt;&gt;"""", F1283&lt;&gt;"""", N"&amp;"OT(REGEXMATCH(C1283, ""薪資""))), ""內部轉帳(忽略)"",
  REGEXMATCH(C1283, ""薪資""), ""薪資變動(不計入)"",
  REGEXMATCH(C1283, ""押金""), ""押金往來"",
  AND(E1283&lt;&gt;"""", F1283=""""), ""真實支出"",
  AND(E1283="""", F1283&lt;&gt;""""), ""真實收入"",
  TRUE, ""其他""
)"),"真實收入")</f>
        <v>真實收入</v>
      </c>
      <c r="K1283" s="270">
        <f t="shared" si="2"/>
        <v>1900</v>
      </c>
      <c r="L1283">
        <f t="shared" si="3"/>
        <v>0</v>
      </c>
    </row>
    <row r="1284">
      <c r="A1284" s="107">
        <f>IFERROR(__xludf.DUMMYFUNCTION("""COMPUTED_VALUE"""),45649.0)</f>
        <v>45649</v>
      </c>
      <c r="B1284" t="str">
        <f>IFERROR(__xludf.DUMMYFUNCTION("""COMPUTED_VALUE"""),"JOYA 分潤金")</f>
        <v>JOYA 分潤金</v>
      </c>
      <c r="C1284" t="str">
        <f>IFERROR(__xludf.DUMMYFUNCTION("""COMPUTED_VALUE"""),"收入 - 政府補助/退稅")</f>
        <v>收入 - 政府補助/退稅</v>
      </c>
      <c r="D1284" s="270">
        <f>IFERROR(__xludf.DUMMYFUNCTION("""COMPUTED_VALUE"""),1458.0)</f>
        <v>1458</v>
      </c>
      <c r="F1284" t="str">
        <f>IFERROR(__xludf.DUMMYFUNCTION("""COMPUTED_VALUE"""),"台銀籌備帳戶")</f>
        <v>台銀籌備帳戶</v>
      </c>
      <c r="G1284" t="str">
        <f>IFERROR(__xludf.DUMMYFUNCTION("""COMPUTED_VALUE"""),"無法分類")</f>
        <v>無法分類</v>
      </c>
      <c r="H1284" s="106" t="str">
        <f t="shared" si="1"/>
        <v>2024-12</v>
      </c>
      <c r="I1284" s="271" t="str">
        <f>IFERROR(__xludf.DUMMYFUNCTION("""COMPUTED_VALUE"""),"貓狗企鵝")</f>
        <v>貓狗企鵝</v>
      </c>
      <c r="J1284" t="str">
        <f>IFERROR(__xludf.DUMMYFUNCTION("IFS(
  AND(REGEXMATCH(E1284, ""台銀籌備帳戶|玉山帳戶""), REGEXMATCH(C1284, ""薪資"")), ""分潤支出"",
  AND(REGEXMATCH(E1284, ""Ben帳戶|Elsa帳戶|Ben代墊|Ariel代墊|中信銀行共用""), REGEXMATCH(F1284, ""Ben帳戶|Elsa帳戶|Ben代墊|Ariel代墊|中信銀行共用"")), ""內部轉帳(忽略)"",
  AND(E1284&lt;&gt;"""", F1284&lt;&gt;"""", N"&amp;"OT(REGEXMATCH(C1284, ""薪資""))), ""內部轉帳(忽略)"",
  REGEXMATCH(C1284, ""薪資""), ""薪資變動(不計入)"",
  REGEXMATCH(C1284, ""押金""), ""押金往來"",
  AND(E1284&lt;&gt;"""", F1284=""""), ""真實支出"",
  AND(E1284="""", F1284&lt;&gt;""""), ""真實收入"",
  TRUE, ""其他""
)"),"真實收入")</f>
        <v>真實收入</v>
      </c>
      <c r="K1284" s="270">
        <f t="shared" si="2"/>
        <v>1458</v>
      </c>
      <c r="L1284">
        <f t="shared" si="3"/>
        <v>0</v>
      </c>
    </row>
    <row r="1285">
      <c r="A1285" s="107">
        <f>IFERROR(__xludf.DUMMYFUNCTION("""COMPUTED_VALUE"""),45649.0)</f>
        <v>45649</v>
      </c>
      <c r="B1285" t="str">
        <f>IFERROR(__xludf.DUMMYFUNCTION("""COMPUTED_VALUE"""),"大功會計師")</f>
        <v>大功會計師</v>
      </c>
      <c r="C1285" t="str">
        <f>IFERROR(__xludf.DUMMYFUNCTION("""COMPUTED_VALUE"""),"費用 - 法律會計費用")</f>
        <v>費用 - 法律會計費用</v>
      </c>
      <c r="D1285" s="270">
        <f>IFERROR(__xludf.DUMMYFUNCTION("""COMPUTED_VALUE"""),-16015.0)</f>
        <v>-16015</v>
      </c>
      <c r="E1285" t="str">
        <f>IFERROR(__xludf.DUMMYFUNCTION("""COMPUTED_VALUE"""),"台銀籌備帳戶")</f>
        <v>台銀籌備帳戶</v>
      </c>
      <c r="G1285" t="str">
        <f>IFERROR(__xludf.DUMMYFUNCTION("""COMPUTED_VALUE"""),"無法分類")</f>
        <v>無法分類</v>
      </c>
      <c r="H1285" s="106" t="str">
        <f t="shared" si="1"/>
        <v>2024-12</v>
      </c>
      <c r="I1285" s="271" t="str">
        <f>IFERROR(__xludf.DUMMYFUNCTION("""COMPUTED_VALUE"""),"貓狗企鵝")</f>
        <v>貓狗企鵝</v>
      </c>
      <c r="J1285" t="str">
        <f>IFERROR(__xludf.DUMMYFUNCTION("IFS(
  AND(REGEXMATCH(E1285, ""台銀籌備帳戶|玉山帳戶""), REGEXMATCH(C1285, ""薪資"")), ""分潤支出"",
  AND(REGEXMATCH(E1285, ""Ben帳戶|Elsa帳戶|Ben代墊|Ariel代墊|中信銀行共用""), REGEXMATCH(F1285, ""Ben帳戶|Elsa帳戶|Ben代墊|Ariel代墊|中信銀行共用"")), ""內部轉帳(忽略)"",
  AND(E1285&lt;&gt;"""", F1285&lt;&gt;"""", N"&amp;"OT(REGEXMATCH(C1285, ""薪資""))), ""內部轉帳(忽略)"",
  REGEXMATCH(C1285, ""薪資""), ""薪資變動(不計入)"",
  REGEXMATCH(C1285, ""押金""), ""押金往來"",
  AND(E1285&lt;&gt;"""", F1285=""""), ""真實支出"",
  AND(E1285="""", F1285&lt;&gt;""""), ""真實收入"",
  TRUE, ""其他""
)"),"真實支出")</f>
        <v>真實支出</v>
      </c>
      <c r="K1285" s="270">
        <f t="shared" si="2"/>
        <v>-16015</v>
      </c>
      <c r="L1285">
        <f t="shared" si="3"/>
        <v>0</v>
      </c>
    </row>
    <row r="1286">
      <c r="A1286" s="107">
        <f>IFERROR(__xludf.DUMMYFUNCTION("""COMPUTED_VALUE"""),45649.0)</f>
        <v>45649</v>
      </c>
      <c r="B1286" t="str">
        <f>IFERROR(__xludf.DUMMYFUNCTION("""COMPUTED_VALUE"""),"Feli家 B 訂金")</f>
        <v>Feli家 B 訂金</v>
      </c>
      <c r="C1286" t="str">
        <f>IFERROR(__xludf.DUMMYFUNCTION("""COMPUTED_VALUE"""),"收入 - 租金")</f>
        <v>收入 - 租金</v>
      </c>
      <c r="D1286" s="270">
        <f>IFERROR(__xludf.DUMMYFUNCTION("""COMPUTED_VALUE"""),-742.0)</f>
        <v>-742</v>
      </c>
      <c r="E1286" t="str">
        <f>IFERROR(__xludf.DUMMYFUNCTION("""COMPUTED_VALUE"""),"台銀籌備帳戶")</f>
        <v>台銀籌備帳戶</v>
      </c>
      <c r="G1286" t="str">
        <f>IFERROR(__xludf.DUMMYFUNCTION("""COMPUTED_VALUE"""),"中山北Feli家")</f>
        <v>中山北Feli家</v>
      </c>
      <c r="H1286" s="106" t="str">
        <f t="shared" si="1"/>
        <v>2024-12</v>
      </c>
      <c r="I1286" s="271" t="str">
        <f>IFERROR(__xludf.DUMMYFUNCTION("""COMPUTED_VALUE"""),"貓狗企鵝")</f>
        <v>貓狗企鵝</v>
      </c>
      <c r="J1286" t="str">
        <f>IFERROR(__xludf.DUMMYFUNCTION("IFS(
  AND(REGEXMATCH(E1286, ""台銀籌備帳戶|玉山帳戶""), REGEXMATCH(C1286, ""薪資"")), ""分潤支出"",
  AND(REGEXMATCH(E1286, ""Ben帳戶|Elsa帳戶|Ben代墊|Ariel代墊|中信銀行共用""), REGEXMATCH(F1286, ""Ben帳戶|Elsa帳戶|Ben代墊|Ariel代墊|中信銀行共用"")), ""內部轉帳(忽略)"",
  AND(E1286&lt;&gt;"""", F1286&lt;&gt;"""", N"&amp;"OT(REGEXMATCH(C1286, ""薪資""))), ""內部轉帳(忽略)"",
  REGEXMATCH(C1286, ""薪資""), ""薪資變動(不計入)"",
  REGEXMATCH(C1286, ""押金""), ""押金往來"",
  AND(E1286&lt;&gt;"""", F1286=""""), ""真實支出"",
  AND(E1286="""", F1286&lt;&gt;""""), ""真實收入"",
  TRUE, ""其他""
)"),"真實支出")</f>
        <v>真實支出</v>
      </c>
      <c r="K1286" s="270">
        <f t="shared" si="2"/>
        <v>-742</v>
      </c>
      <c r="L1286">
        <f t="shared" si="3"/>
        <v>0</v>
      </c>
    </row>
    <row r="1287">
      <c r="A1287" s="107">
        <f>IFERROR(__xludf.DUMMYFUNCTION("""COMPUTED_VALUE"""),45650.0)</f>
        <v>45650</v>
      </c>
      <c r="B1287" t="str">
        <f>IFERROR(__xludf.DUMMYFUNCTION("""COMPUTED_VALUE"""),"A/B房 隔板")</f>
        <v>A/B房 隔板</v>
      </c>
      <c r="C1287" t="str">
        <f>IFERROR(__xludf.DUMMYFUNCTION("""COMPUTED_VALUE"""),"成本 - 進場前裝潢費")</f>
        <v>成本 - 進場前裝潢費</v>
      </c>
      <c r="D1287" s="270">
        <f>IFERROR(__xludf.DUMMYFUNCTION("""COMPUTED_VALUE"""),-3564.0)</f>
        <v>-3564</v>
      </c>
      <c r="E1287" t="str">
        <f>IFERROR(__xludf.DUMMYFUNCTION("""COMPUTED_VALUE"""),"Elsa帳戶")</f>
        <v>Elsa帳戶</v>
      </c>
      <c r="G1287" t="str">
        <f>IFERROR(__xludf.DUMMYFUNCTION("""COMPUTED_VALUE"""),"中山北Feli家")</f>
        <v>中山北Feli家</v>
      </c>
      <c r="H1287" s="106" t="str">
        <f t="shared" si="1"/>
        <v>2024-12</v>
      </c>
      <c r="I1287" s="271" t="str">
        <f>IFERROR(__xludf.DUMMYFUNCTION("""COMPUTED_VALUE"""),"貓狗企鵝")</f>
        <v>貓狗企鵝</v>
      </c>
      <c r="J1287" t="str">
        <f>IFERROR(__xludf.DUMMYFUNCTION("IFS(
  AND(REGEXMATCH(E1287, ""台銀籌備帳戶|玉山帳戶""), REGEXMATCH(C1287, ""薪資"")), ""分潤支出"",
  AND(REGEXMATCH(E1287, ""Ben帳戶|Elsa帳戶|Ben代墊|Ariel代墊|中信銀行共用""), REGEXMATCH(F1287, ""Ben帳戶|Elsa帳戶|Ben代墊|Ariel代墊|中信銀行共用"")), ""內部轉帳(忽略)"",
  AND(E1287&lt;&gt;"""", F1287&lt;&gt;"""", N"&amp;"OT(REGEXMATCH(C1287, ""薪資""))), ""內部轉帳(忽略)"",
  REGEXMATCH(C1287, ""薪資""), ""薪資變動(不計入)"",
  REGEXMATCH(C1287, ""押金""), ""押金往來"",
  AND(E1287&lt;&gt;"""", F1287=""""), ""真實支出"",
  AND(E1287="""", F1287&lt;&gt;""""), ""真實收入"",
  TRUE, ""其他""
)"),"真實支出")</f>
        <v>真實支出</v>
      </c>
      <c r="K1287" s="270">
        <f t="shared" si="2"/>
        <v>-3564</v>
      </c>
      <c r="L1287">
        <f t="shared" si="3"/>
        <v>0</v>
      </c>
    </row>
    <row r="1288">
      <c r="A1288" s="107">
        <f>IFERROR(__xludf.DUMMYFUNCTION("""COMPUTED_VALUE"""),45650.0)</f>
        <v>45650</v>
      </c>
      <c r="B1288" t="str">
        <f>IFERROR(__xludf.DUMMYFUNCTION("""COMPUTED_VALUE"""),"B房陽台矮梯")</f>
        <v>B房陽台矮梯</v>
      </c>
      <c r="C1288" t="str">
        <f>IFERROR(__xludf.DUMMYFUNCTION("""COMPUTED_VALUE"""),"成本 - 進場前裝潢費")</f>
        <v>成本 - 進場前裝潢費</v>
      </c>
      <c r="D1288" s="270">
        <f>IFERROR(__xludf.DUMMYFUNCTION("""COMPUTED_VALUE"""),-1246.0)</f>
        <v>-1246</v>
      </c>
      <c r="E1288" t="str">
        <f>IFERROR(__xludf.DUMMYFUNCTION("""COMPUTED_VALUE"""),"Elsa帳戶")</f>
        <v>Elsa帳戶</v>
      </c>
      <c r="G1288" t="str">
        <f>IFERROR(__xludf.DUMMYFUNCTION("""COMPUTED_VALUE"""),"中山北Feli家")</f>
        <v>中山北Feli家</v>
      </c>
      <c r="H1288" s="106" t="str">
        <f t="shared" si="1"/>
        <v>2024-12</v>
      </c>
      <c r="I1288" s="271" t="str">
        <f>IFERROR(__xludf.DUMMYFUNCTION("""COMPUTED_VALUE"""),"貓狗企鵝")</f>
        <v>貓狗企鵝</v>
      </c>
      <c r="J1288" t="str">
        <f>IFERROR(__xludf.DUMMYFUNCTION("IFS(
  AND(REGEXMATCH(E1288, ""台銀籌備帳戶|玉山帳戶""), REGEXMATCH(C1288, ""薪資"")), ""分潤支出"",
  AND(REGEXMATCH(E1288, ""Ben帳戶|Elsa帳戶|Ben代墊|Ariel代墊|中信銀行共用""), REGEXMATCH(F1288, ""Ben帳戶|Elsa帳戶|Ben代墊|Ariel代墊|中信銀行共用"")), ""內部轉帳(忽略)"",
  AND(E1288&lt;&gt;"""", F1288&lt;&gt;"""", N"&amp;"OT(REGEXMATCH(C1288, ""薪資""))), ""內部轉帳(忽略)"",
  REGEXMATCH(C1288, ""薪資""), ""薪資變動(不計入)"",
  REGEXMATCH(C1288, ""押金""), ""押金往來"",
  AND(E1288&lt;&gt;"""", F1288=""""), ""真實支出"",
  AND(E1288="""", F1288&lt;&gt;""""), ""真實收入"",
  TRUE, ""其他""
)"),"真實支出")</f>
        <v>真實支出</v>
      </c>
      <c r="K1288" s="270">
        <f t="shared" si="2"/>
        <v>-1246</v>
      </c>
      <c r="L1288">
        <f t="shared" si="3"/>
        <v>0</v>
      </c>
    </row>
    <row r="1289">
      <c r="A1289" s="107">
        <f>IFERROR(__xludf.DUMMYFUNCTION("""COMPUTED_VALUE"""),45650.0)</f>
        <v>45650</v>
      </c>
      <c r="B1289" t="str">
        <f>IFERROR(__xludf.DUMMYFUNCTION("""COMPUTED_VALUE"""),"曬衣桿*3")</f>
        <v>曬衣桿*3</v>
      </c>
      <c r="C1289" t="str">
        <f>IFERROR(__xludf.DUMMYFUNCTION("""COMPUTED_VALUE"""),"成本 - 進場前裝潢費")</f>
        <v>成本 - 進場前裝潢費</v>
      </c>
      <c r="D1289" s="270">
        <f>IFERROR(__xludf.DUMMYFUNCTION("""COMPUTED_VALUE"""),-154.0)</f>
        <v>-154</v>
      </c>
      <c r="E1289" t="str">
        <f>IFERROR(__xludf.DUMMYFUNCTION("""COMPUTED_VALUE"""),"Elsa帳戶")</f>
        <v>Elsa帳戶</v>
      </c>
      <c r="G1289" t="str">
        <f>IFERROR(__xludf.DUMMYFUNCTION("""COMPUTED_VALUE"""),"中山北Feli家")</f>
        <v>中山北Feli家</v>
      </c>
      <c r="H1289" s="106" t="str">
        <f t="shared" si="1"/>
        <v>2024-12</v>
      </c>
      <c r="I1289" s="271" t="str">
        <f>IFERROR(__xludf.DUMMYFUNCTION("""COMPUTED_VALUE"""),"貓狗企鵝")</f>
        <v>貓狗企鵝</v>
      </c>
      <c r="J1289" t="str">
        <f>IFERROR(__xludf.DUMMYFUNCTION("IFS(
  AND(REGEXMATCH(E1289, ""台銀籌備帳戶|玉山帳戶""), REGEXMATCH(C1289, ""薪資"")), ""分潤支出"",
  AND(REGEXMATCH(E1289, ""Ben帳戶|Elsa帳戶|Ben代墊|Ariel代墊|中信銀行共用""), REGEXMATCH(F1289, ""Ben帳戶|Elsa帳戶|Ben代墊|Ariel代墊|中信銀行共用"")), ""內部轉帳(忽略)"",
  AND(E1289&lt;&gt;"""", F1289&lt;&gt;"""", N"&amp;"OT(REGEXMATCH(C1289, ""薪資""))), ""內部轉帳(忽略)"",
  REGEXMATCH(C1289, ""薪資""), ""薪資變動(不計入)"",
  REGEXMATCH(C1289, ""押金""), ""押金往來"",
  AND(E1289&lt;&gt;"""", F1289=""""), ""真實支出"",
  AND(E1289="""", F1289&lt;&gt;""""), ""真實收入"",
  TRUE, ""其他""
)"),"真實支出")</f>
        <v>真實支出</v>
      </c>
      <c r="K1289" s="270">
        <f t="shared" si="2"/>
        <v>-154</v>
      </c>
      <c r="L1289">
        <f t="shared" si="3"/>
        <v>0</v>
      </c>
    </row>
    <row r="1290">
      <c r="A1290" s="107">
        <f>IFERROR(__xludf.DUMMYFUNCTION("""COMPUTED_VALUE"""),45650.0)</f>
        <v>45650</v>
      </c>
      <c r="B1290" t="str">
        <f>IFERROR(__xludf.DUMMYFUNCTION("""COMPUTED_VALUE"""),"北市國稅94053182")</f>
        <v>北市國稅94053182</v>
      </c>
      <c r="C1290" t="str">
        <f>IFERROR(__xludf.DUMMYFUNCTION("""COMPUTED_VALUE"""),"收入 - 政府補助/退稅")</f>
        <v>收入 - 政府補助/退稅</v>
      </c>
      <c r="D1290" s="270">
        <f>IFERROR(__xludf.DUMMYFUNCTION("""COMPUTED_VALUE"""),500.0)</f>
        <v>500</v>
      </c>
      <c r="F1290" t="str">
        <f>IFERROR(__xludf.DUMMYFUNCTION("""COMPUTED_VALUE"""),"台銀籌備帳戶")</f>
        <v>台銀籌備帳戶</v>
      </c>
      <c r="G1290" t="str">
        <f>IFERROR(__xludf.DUMMYFUNCTION("""COMPUTED_VALUE"""),"景安2分鐘")</f>
        <v>景安2分鐘</v>
      </c>
      <c r="H1290" s="106" t="str">
        <f t="shared" si="1"/>
        <v>2024-12</v>
      </c>
      <c r="I1290" s="271" t="str">
        <f>IFERROR(__xludf.DUMMYFUNCTION("""COMPUTED_VALUE"""),"貓狗企鵝")</f>
        <v>貓狗企鵝</v>
      </c>
      <c r="J1290" t="str">
        <f>IFERROR(__xludf.DUMMYFUNCTION("IFS(
  AND(REGEXMATCH(E1290, ""台銀籌備帳戶|玉山帳戶""), REGEXMATCH(C1290, ""薪資"")), ""分潤支出"",
  AND(REGEXMATCH(E1290, ""Ben帳戶|Elsa帳戶|Ben代墊|Ariel代墊|中信銀行共用""), REGEXMATCH(F1290, ""Ben帳戶|Elsa帳戶|Ben代墊|Ariel代墊|中信銀行共用"")), ""內部轉帳(忽略)"",
  AND(E1290&lt;&gt;"""", F1290&lt;&gt;"""", N"&amp;"OT(REGEXMATCH(C1290, ""薪資""))), ""內部轉帳(忽略)"",
  REGEXMATCH(C1290, ""薪資""), ""薪資變動(不計入)"",
  REGEXMATCH(C1290, ""押金""), ""押金往來"",
  AND(E1290&lt;&gt;"""", F1290=""""), ""真實支出"",
  AND(E1290="""", F1290&lt;&gt;""""), ""真實收入"",
  TRUE, ""其他""
)"),"真實收入")</f>
        <v>真實收入</v>
      </c>
      <c r="K1290" s="270">
        <f t="shared" si="2"/>
        <v>500</v>
      </c>
      <c r="L1290">
        <f t="shared" si="3"/>
        <v>0</v>
      </c>
    </row>
    <row r="1291">
      <c r="A1291" s="107">
        <f>IFERROR(__xludf.DUMMYFUNCTION("""COMPUTED_VALUE"""),45650.0)</f>
        <v>45650</v>
      </c>
      <c r="B1291" t="str">
        <f>IFERROR(__xludf.DUMMYFUNCTION("""COMPUTED_VALUE"""),"北市國稅94053182")</f>
        <v>北市國稅94053182</v>
      </c>
      <c r="C1291" t="str">
        <f>IFERROR(__xludf.DUMMYFUNCTION("""COMPUTED_VALUE"""),"收入 - 政府補助/退稅")</f>
        <v>收入 - 政府補助/退稅</v>
      </c>
      <c r="D1291" s="270">
        <f>IFERROR(__xludf.DUMMYFUNCTION("""COMPUTED_VALUE"""),500.0)</f>
        <v>500</v>
      </c>
      <c r="F1291" t="str">
        <f>IFERROR(__xludf.DUMMYFUNCTION("""COMPUTED_VALUE"""),"台銀籌備帳戶")</f>
        <v>台銀籌備帳戶</v>
      </c>
      <c r="G1291" t="str">
        <f>IFERROR(__xludf.DUMMYFUNCTION("""COMPUTED_VALUE"""),"景安2分鐘")</f>
        <v>景安2分鐘</v>
      </c>
      <c r="H1291" s="106" t="str">
        <f t="shared" si="1"/>
        <v>2024-12</v>
      </c>
      <c r="I1291" s="271" t="str">
        <f>IFERROR(__xludf.DUMMYFUNCTION("""COMPUTED_VALUE"""),"貓狗企鵝")</f>
        <v>貓狗企鵝</v>
      </c>
      <c r="J1291" t="str">
        <f>IFERROR(__xludf.DUMMYFUNCTION("IFS(
  AND(REGEXMATCH(E1291, ""台銀籌備帳戶|玉山帳戶""), REGEXMATCH(C1291, ""薪資"")), ""分潤支出"",
  AND(REGEXMATCH(E1291, ""Ben帳戶|Elsa帳戶|Ben代墊|Ariel代墊|中信銀行共用""), REGEXMATCH(F1291, ""Ben帳戶|Elsa帳戶|Ben代墊|Ariel代墊|中信銀行共用"")), ""內部轉帳(忽略)"",
  AND(E1291&lt;&gt;"""", F1291&lt;&gt;"""", N"&amp;"OT(REGEXMATCH(C1291, ""薪資""))), ""內部轉帳(忽略)"",
  REGEXMATCH(C1291, ""薪資""), ""薪資變動(不計入)"",
  REGEXMATCH(C1291, ""押金""), ""押金往來"",
  AND(E1291&lt;&gt;"""", F1291=""""), ""真實支出"",
  AND(E1291="""", F1291&lt;&gt;""""), ""真實收入"",
  TRUE, ""其他""
)"),"真實收入")</f>
        <v>真實收入</v>
      </c>
      <c r="K1291" s="270">
        <f t="shared" si="2"/>
        <v>500</v>
      </c>
      <c r="L1291">
        <f t="shared" si="3"/>
        <v>0</v>
      </c>
    </row>
    <row r="1292">
      <c r="A1292" s="107">
        <f>IFERROR(__xludf.DUMMYFUNCTION("""COMPUTED_VALUE"""),45651.0)</f>
        <v>45651</v>
      </c>
      <c r="B1292" t="str">
        <f>IFERROR(__xludf.DUMMYFUNCTION("""COMPUTED_VALUE"""),"FELI家鑰匙")</f>
        <v>FELI家鑰匙</v>
      </c>
      <c r="C1292" t="str">
        <f>IFERROR(__xludf.DUMMYFUNCTION("""COMPUTED_VALUE"""),"成本 - 進場前裝潢費")</f>
        <v>成本 - 進場前裝潢費</v>
      </c>
      <c r="D1292" s="270">
        <f>IFERROR(__xludf.DUMMYFUNCTION("""COMPUTED_VALUE"""),-180.0)</f>
        <v>-180</v>
      </c>
      <c r="E1292" t="str">
        <f>IFERROR(__xludf.DUMMYFUNCTION("""COMPUTED_VALUE"""),"Ben帳戶")</f>
        <v>Ben帳戶</v>
      </c>
      <c r="G1292" t="str">
        <f>IFERROR(__xludf.DUMMYFUNCTION("""COMPUTED_VALUE"""),"中山北Feli家")</f>
        <v>中山北Feli家</v>
      </c>
      <c r="H1292" s="106" t="str">
        <f t="shared" si="1"/>
        <v>2024-12</v>
      </c>
      <c r="I1292" s="271" t="str">
        <f>IFERROR(__xludf.DUMMYFUNCTION("""COMPUTED_VALUE"""),"貓狗企鵝")</f>
        <v>貓狗企鵝</v>
      </c>
      <c r="J1292" t="str">
        <f>IFERROR(__xludf.DUMMYFUNCTION("IFS(
  AND(REGEXMATCH(E1292, ""台銀籌備帳戶|玉山帳戶""), REGEXMATCH(C1292, ""薪資"")), ""分潤支出"",
  AND(REGEXMATCH(E1292, ""Ben帳戶|Elsa帳戶|Ben代墊|Ariel代墊|中信銀行共用""), REGEXMATCH(F1292, ""Ben帳戶|Elsa帳戶|Ben代墊|Ariel代墊|中信銀行共用"")), ""內部轉帳(忽略)"",
  AND(E1292&lt;&gt;"""", F1292&lt;&gt;"""", N"&amp;"OT(REGEXMATCH(C1292, ""薪資""))), ""內部轉帳(忽略)"",
  REGEXMATCH(C1292, ""薪資""), ""薪資變動(不計入)"",
  REGEXMATCH(C1292, ""押金""), ""押金往來"",
  AND(E1292&lt;&gt;"""", F1292=""""), ""真實支出"",
  AND(E1292="""", F1292&lt;&gt;""""), ""真實收入"",
  TRUE, ""其他""
)"),"真實支出")</f>
        <v>真實支出</v>
      </c>
      <c r="K1292" s="270">
        <f t="shared" si="2"/>
        <v>-180</v>
      </c>
      <c r="L1292">
        <f t="shared" si="3"/>
        <v>0</v>
      </c>
    </row>
    <row r="1293">
      <c r="A1293" s="107">
        <f>IFERROR(__xludf.DUMMYFUNCTION("""COMPUTED_VALUE"""),45651.0)</f>
        <v>45651</v>
      </c>
      <c r="B1293" t="str">
        <f>IFERROR(__xludf.DUMMYFUNCTION("""COMPUTED_VALUE"""),"退金龍A Ryan水電瓦斯費")</f>
        <v>退金龍A Ryan水電瓦斯費</v>
      </c>
      <c r="C1293" t="str">
        <f>IFERROR(__xludf.DUMMYFUNCTION("""COMPUTED_VALUE"""),"收入 - 押金")</f>
        <v>收入 - 押金</v>
      </c>
      <c r="D1293" s="270">
        <f>IFERROR(__xludf.DUMMYFUNCTION("""COMPUTED_VALUE"""),-2663.0)</f>
        <v>-2663</v>
      </c>
      <c r="E1293" t="str">
        <f>IFERROR(__xludf.DUMMYFUNCTION("""COMPUTED_VALUE"""),"Ben帳戶")</f>
        <v>Ben帳戶</v>
      </c>
      <c r="G1293" t="str">
        <f>IFERROR(__xludf.DUMMYFUNCTION("""COMPUTED_VALUE"""),"金龍帽子先生")</f>
        <v>金龍帽子先生</v>
      </c>
      <c r="H1293" s="106" t="str">
        <f t="shared" si="1"/>
        <v>2024-12</v>
      </c>
      <c r="I1293" s="271" t="str">
        <f>IFERROR(__xludf.DUMMYFUNCTION("""COMPUTED_VALUE"""),"貓狗企鵝")</f>
        <v>貓狗企鵝</v>
      </c>
      <c r="J1293" t="str">
        <f>IFERROR(__xludf.DUMMYFUNCTION("IFS(
  AND(REGEXMATCH(E1293, ""台銀籌備帳戶|玉山帳戶""), REGEXMATCH(C1293, ""薪資"")), ""分潤支出"",
  AND(REGEXMATCH(E1293, ""Ben帳戶|Elsa帳戶|Ben代墊|Ariel代墊|中信銀行共用""), REGEXMATCH(F1293, ""Ben帳戶|Elsa帳戶|Ben代墊|Ariel代墊|中信銀行共用"")), ""內部轉帳(忽略)"",
  AND(E1293&lt;&gt;"""", F1293&lt;&gt;"""", N"&amp;"OT(REGEXMATCH(C1293, ""薪資""))), ""內部轉帳(忽略)"",
  REGEXMATCH(C1293, ""薪資""), ""薪資變動(不計入)"",
  REGEXMATCH(C1293, ""押金""), ""押金往來"",
  AND(E1293&lt;&gt;"""", F1293=""""), ""真實支出"",
  AND(E1293="""", F1293&lt;&gt;""""), ""真實收入"",
  TRUE, ""其他""
)"),"押金往來")</f>
        <v>押金往來</v>
      </c>
      <c r="K1293">
        <f t="shared" si="2"/>
        <v>0</v>
      </c>
      <c r="L1293">
        <f t="shared" si="3"/>
        <v>0</v>
      </c>
    </row>
    <row r="1294">
      <c r="A1294" s="107">
        <f>IFERROR(__xludf.DUMMYFUNCTION("""COMPUTED_VALUE"""),45651.0)</f>
        <v>45651</v>
      </c>
      <c r="B1294" t="str">
        <f>IFERROR(__xludf.DUMMYFUNCTION("""COMPUTED_VALUE"""),"金龍水電瓦斯")</f>
        <v>金龍水電瓦斯</v>
      </c>
      <c r="C1294" t="str">
        <f>IFERROR(__xludf.DUMMYFUNCTION("""COMPUTED_VALUE"""),"成本 - 固定開銷(網路代收清潔)")</f>
        <v>成本 - 固定開銷(網路代收清潔)</v>
      </c>
      <c r="D1294" s="270">
        <f>IFERROR(__xludf.DUMMYFUNCTION("""COMPUTED_VALUE"""),-1071.0)</f>
        <v>-1071</v>
      </c>
      <c r="E1294" t="str">
        <f>IFERROR(__xludf.DUMMYFUNCTION("""COMPUTED_VALUE"""),"Ben帳戶")</f>
        <v>Ben帳戶</v>
      </c>
      <c r="G1294" t="str">
        <f>IFERROR(__xludf.DUMMYFUNCTION("""COMPUTED_VALUE"""),"金龍帽子先生")</f>
        <v>金龍帽子先生</v>
      </c>
      <c r="H1294" s="106" t="str">
        <f t="shared" si="1"/>
        <v>2024-12</v>
      </c>
      <c r="I1294" s="271" t="str">
        <f>IFERROR(__xludf.DUMMYFUNCTION("""COMPUTED_VALUE"""),"貓狗企鵝")</f>
        <v>貓狗企鵝</v>
      </c>
      <c r="J1294" t="str">
        <f>IFERROR(__xludf.DUMMYFUNCTION("IFS(
  AND(REGEXMATCH(E1294, ""台銀籌備帳戶|玉山帳戶""), REGEXMATCH(C1294, ""薪資"")), ""分潤支出"",
  AND(REGEXMATCH(E1294, ""Ben帳戶|Elsa帳戶|Ben代墊|Ariel代墊|中信銀行共用""), REGEXMATCH(F1294, ""Ben帳戶|Elsa帳戶|Ben代墊|Ariel代墊|中信銀行共用"")), ""內部轉帳(忽略)"",
  AND(E1294&lt;&gt;"""", F1294&lt;&gt;"""", N"&amp;"OT(REGEXMATCH(C1294, ""薪資""))), ""內部轉帳(忽略)"",
  REGEXMATCH(C1294, ""薪資""), ""薪資變動(不計入)"",
  REGEXMATCH(C1294, ""押金""), ""押金往來"",
  AND(E1294&lt;&gt;"""", F1294=""""), ""真實支出"",
  AND(E1294="""", F1294&lt;&gt;""""), ""真實收入"",
  TRUE, ""其他""
)"),"真實支出")</f>
        <v>真實支出</v>
      </c>
      <c r="K1294" s="270">
        <f t="shared" si="2"/>
        <v>-1071</v>
      </c>
      <c r="L1294">
        <f t="shared" si="3"/>
        <v>0</v>
      </c>
    </row>
    <row r="1295">
      <c r="A1295" s="107">
        <f>IFERROR(__xludf.DUMMYFUNCTION("""COMPUTED_VALUE"""),45651.0)</f>
        <v>45651</v>
      </c>
      <c r="B1295" t="str">
        <f>IFERROR(__xludf.DUMMYFUNCTION("""COMPUTED_VALUE"""),"退金龍D 小婷水電瓦斯費")</f>
        <v>退金龍D 小婷水電瓦斯費</v>
      </c>
      <c r="C1295" t="str">
        <f>IFERROR(__xludf.DUMMYFUNCTION("""COMPUTED_VALUE"""),"收入 - 押金")</f>
        <v>收入 - 押金</v>
      </c>
      <c r="D1295" s="270">
        <f>IFERROR(__xludf.DUMMYFUNCTION("""COMPUTED_VALUE"""),-2733.0)</f>
        <v>-2733</v>
      </c>
      <c r="E1295" t="str">
        <f>IFERROR(__xludf.DUMMYFUNCTION("""COMPUTED_VALUE"""),"Ben帳戶")</f>
        <v>Ben帳戶</v>
      </c>
      <c r="G1295" t="str">
        <f>IFERROR(__xludf.DUMMYFUNCTION("""COMPUTED_VALUE"""),"金龍帽子先生")</f>
        <v>金龍帽子先生</v>
      </c>
      <c r="H1295" s="106" t="str">
        <f t="shared" si="1"/>
        <v>2024-12</v>
      </c>
      <c r="I1295" s="271" t="str">
        <f>IFERROR(__xludf.DUMMYFUNCTION("""COMPUTED_VALUE"""),"貓狗企鵝")</f>
        <v>貓狗企鵝</v>
      </c>
      <c r="J1295" t="str">
        <f>IFERROR(__xludf.DUMMYFUNCTION("IFS(
  AND(REGEXMATCH(E1295, ""台銀籌備帳戶|玉山帳戶""), REGEXMATCH(C1295, ""薪資"")), ""分潤支出"",
  AND(REGEXMATCH(E1295, ""Ben帳戶|Elsa帳戶|Ben代墊|Ariel代墊|中信銀行共用""), REGEXMATCH(F1295, ""Ben帳戶|Elsa帳戶|Ben代墊|Ariel代墊|中信銀行共用"")), ""內部轉帳(忽略)"",
  AND(E1295&lt;&gt;"""", F1295&lt;&gt;"""", N"&amp;"OT(REGEXMATCH(C1295, ""薪資""))), ""內部轉帳(忽略)"",
  REGEXMATCH(C1295, ""薪資""), ""薪資變動(不計入)"",
  REGEXMATCH(C1295, ""押金""), ""押金往來"",
  AND(E1295&lt;&gt;"""", F1295=""""), ""真實支出"",
  AND(E1295="""", F1295&lt;&gt;""""), ""真實收入"",
  TRUE, ""其他""
)"),"押金往來")</f>
        <v>押金往來</v>
      </c>
      <c r="K1295">
        <f t="shared" si="2"/>
        <v>0</v>
      </c>
      <c r="L1295">
        <f t="shared" si="3"/>
        <v>0</v>
      </c>
    </row>
    <row r="1296">
      <c r="A1296" s="107">
        <f>IFERROR(__xludf.DUMMYFUNCTION("""COMPUTED_VALUE"""),45651.0)</f>
        <v>45651</v>
      </c>
      <c r="B1296" t="str">
        <f>IFERROR(__xludf.DUMMYFUNCTION("""COMPUTED_VALUE"""),"大湖山莊F吳智方")</f>
        <v>大湖山莊F吳智方</v>
      </c>
      <c r="C1296" t="str">
        <f>IFERROR(__xludf.DUMMYFUNCTION("""COMPUTED_VALUE"""),"收入 - 租金")</f>
        <v>收入 - 租金</v>
      </c>
      <c r="D1296" s="270">
        <f>IFERROR(__xludf.DUMMYFUNCTION("""COMPUTED_VALUE"""),9000.0)</f>
        <v>9000</v>
      </c>
      <c r="F1296" t="str">
        <f>IFERROR(__xludf.DUMMYFUNCTION("""COMPUTED_VALUE"""),"台銀籌備帳戶")</f>
        <v>台銀籌備帳戶</v>
      </c>
      <c r="G1296" t="str">
        <f>IFERROR(__xludf.DUMMYFUNCTION("""COMPUTED_VALUE"""),"大湖山莊")</f>
        <v>大湖山莊</v>
      </c>
      <c r="H1296" s="106" t="str">
        <f t="shared" si="1"/>
        <v>2024-12</v>
      </c>
      <c r="I1296" s="271" t="str">
        <f>IFERROR(__xludf.DUMMYFUNCTION("""COMPUTED_VALUE"""),"貓狗企鵝")</f>
        <v>貓狗企鵝</v>
      </c>
      <c r="J1296" t="str">
        <f>IFERROR(__xludf.DUMMYFUNCTION("IFS(
  AND(REGEXMATCH(E1296, ""台銀籌備帳戶|玉山帳戶""), REGEXMATCH(C1296, ""薪資"")), ""分潤支出"",
  AND(REGEXMATCH(E1296, ""Ben帳戶|Elsa帳戶|Ben代墊|Ariel代墊|中信銀行共用""), REGEXMATCH(F1296, ""Ben帳戶|Elsa帳戶|Ben代墊|Ariel代墊|中信銀行共用"")), ""內部轉帳(忽略)"",
  AND(E1296&lt;&gt;"""", F1296&lt;&gt;"""", N"&amp;"OT(REGEXMATCH(C1296, ""薪資""))), ""內部轉帳(忽略)"",
  REGEXMATCH(C1296, ""薪資""), ""薪資變動(不計入)"",
  REGEXMATCH(C1296, ""押金""), ""押金往來"",
  AND(E1296&lt;&gt;"""", F1296=""""), ""真實支出"",
  AND(E1296="""", F1296&lt;&gt;""""), ""真實收入"",
  TRUE, ""其他""
)"),"真實收入")</f>
        <v>真實收入</v>
      </c>
      <c r="K1296" s="270">
        <f t="shared" si="2"/>
        <v>9000</v>
      </c>
      <c r="L1296">
        <f t="shared" si="3"/>
        <v>0</v>
      </c>
    </row>
    <row r="1297">
      <c r="A1297" s="107">
        <f>IFERROR(__xludf.DUMMYFUNCTION("""COMPUTED_VALUE"""),45651.0)</f>
        <v>45651</v>
      </c>
      <c r="B1297" t="str">
        <f>IFERROR(__xludf.DUMMYFUNCTION("""COMPUTED_VALUE"""),"大湖山莊F吳智方")</f>
        <v>大湖山莊F吳智方</v>
      </c>
      <c r="C1297" t="str">
        <f>IFERROR(__xludf.DUMMYFUNCTION("""COMPUTED_VALUE"""),"收入 - 租金")</f>
        <v>收入 - 租金</v>
      </c>
      <c r="D1297" s="270">
        <f>IFERROR(__xludf.DUMMYFUNCTION("""COMPUTED_VALUE"""),9000.0)</f>
        <v>9000</v>
      </c>
      <c r="F1297" t="str">
        <f>IFERROR(__xludf.DUMMYFUNCTION("""COMPUTED_VALUE"""),"台銀籌備帳戶")</f>
        <v>台銀籌備帳戶</v>
      </c>
      <c r="G1297" t="str">
        <f>IFERROR(__xludf.DUMMYFUNCTION("""COMPUTED_VALUE"""),"大湖山莊")</f>
        <v>大湖山莊</v>
      </c>
      <c r="H1297" s="106" t="str">
        <f t="shared" si="1"/>
        <v>2024-12</v>
      </c>
      <c r="I1297" s="271" t="str">
        <f>IFERROR(__xludf.DUMMYFUNCTION("""COMPUTED_VALUE"""),"貓狗企鵝")</f>
        <v>貓狗企鵝</v>
      </c>
      <c r="J1297" t="str">
        <f>IFERROR(__xludf.DUMMYFUNCTION("IFS(
  AND(REGEXMATCH(E1297, ""台銀籌備帳戶|玉山帳戶""), REGEXMATCH(C1297, ""薪資"")), ""分潤支出"",
  AND(REGEXMATCH(E1297, ""Ben帳戶|Elsa帳戶|Ben代墊|Ariel代墊|中信銀行共用""), REGEXMATCH(F1297, ""Ben帳戶|Elsa帳戶|Ben代墊|Ariel代墊|中信銀行共用"")), ""內部轉帳(忽略)"",
  AND(E1297&lt;&gt;"""", F1297&lt;&gt;"""", N"&amp;"OT(REGEXMATCH(C1297, ""薪資""))), ""內部轉帳(忽略)"",
  REGEXMATCH(C1297, ""薪資""), ""薪資變動(不計入)"",
  REGEXMATCH(C1297, ""押金""), ""押金往來"",
  AND(E1297&lt;&gt;"""", F1297=""""), ""真實支出"",
  AND(E1297="""", F1297&lt;&gt;""""), ""真實收入"",
  TRUE, ""其他""
)"),"真實收入")</f>
        <v>真實收入</v>
      </c>
      <c r="K1297" s="270">
        <f t="shared" si="2"/>
        <v>9000</v>
      </c>
      <c r="L1297">
        <f t="shared" si="3"/>
        <v>0</v>
      </c>
    </row>
    <row r="1298">
      <c r="A1298" s="107">
        <f>IFERROR(__xludf.DUMMYFUNCTION("""COMPUTED_VALUE"""),45651.0)</f>
        <v>45651</v>
      </c>
      <c r="B1298" t="str">
        <f>IFERROR(__xludf.DUMMYFUNCTION("""COMPUTED_VALUE"""),"樂宅景安設計監工")</f>
        <v>樂宅景安設計監工</v>
      </c>
      <c r="C1298" t="str">
        <f>IFERROR(__xludf.DUMMYFUNCTION("""COMPUTED_VALUE"""),"成本 - 進場前裝潢費")</f>
        <v>成本 - 進場前裝潢費</v>
      </c>
      <c r="D1298" s="270">
        <f>IFERROR(__xludf.DUMMYFUNCTION("""COMPUTED_VALUE"""),-5015.0)</f>
        <v>-5015</v>
      </c>
      <c r="E1298" t="str">
        <f>IFERROR(__xludf.DUMMYFUNCTION("""COMPUTED_VALUE"""),"台銀籌備帳戶")</f>
        <v>台銀籌備帳戶</v>
      </c>
      <c r="G1298" t="str">
        <f>IFERROR(__xludf.DUMMYFUNCTION("""COMPUTED_VALUE"""),"景安2分鐘")</f>
        <v>景安2分鐘</v>
      </c>
      <c r="H1298" s="106" t="str">
        <f t="shared" si="1"/>
        <v>2024-12</v>
      </c>
      <c r="I1298" s="271" t="str">
        <f>IFERROR(__xludf.DUMMYFUNCTION("""COMPUTED_VALUE"""),"貓狗企鵝")</f>
        <v>貓狗企鵝</v>
      </c>
      <c r="J1298" t="str">
        <f>IFERROR(__xludf.DUMMYFUNCTION("IFS(
  AND(REGEXMATCH(E1298, ""台銀籌備帳戶|玉山帳戶""), REGEXMATCH(C1298, ""薪資"")), ""分潤支出"",
  AND(REGEXMATCH(E1298, ""Ben帳戶|Elsa帳戶|Ben代墊|Ariel代墊|中信銀行共用""), REGEXMATCH(F1298, ""Ben帳戶|Elsa帳戶|Ben代墊|Ariel代墊|中信銀行共用"")), ""內部轉帳(忽略)"",
  AND(E1298&lt;&gt;"""", F1298&lt;&gt;"""", N"&amp;"OT(REGEXMATCH(C1298, ""薪資""))), ""內部轉帳(忽略)"",
  REGEXMATCH(C1298, ""薪資""), ""薪資變動(不計入)"",
  REGEXMATCH(C1298, ""押金""), ""押金往來"",
  AND(E1298&lt;&gt;"""", F1298=""""), ""真實支出"",
  AND(E1298="""", F1298&lt;&gt;""""), ""真實收入"",
  TRUE, ""其他""
)"),"真實支出")</f>
        <v>真實支出</v>
      </c>
      <c r="K1298" s="270">
        <f t="shared" si="2"/>
        <v>-5015</v>
      </c>
      <c r="L1298">
        <f t="shared" si="3"/>
        <v>0</v>
      </c>
    </row>
    <row r="1299">
      <c r="A1299" s="107">
        <f>IFERROR(__xludf.DUMMYFUNCTION("""COMPUTED_VALUE"""),45652.0)</f>
        <v>45652</v>
      </c>
      <c r="B1299" t="str">
        <f>IFERROR(__xludf.DUMMYFUNCTION("""COMPUTED_VALUE"""),"退金龍B Mini水電瓦斯費")</f>
        <v>退金龍B Mini水電瓦斯費</v>
      </c>
      <c r="C1299" t="str">
        <f>IFERROR(__xludf.DUMMYFUNCTION("""COMPUTED_VALUE"""),"收入 - 押金")</f>
        <v>收入 - 押金</v>
      </c>
      <c r="D1299" s="270">
        <f>IFERROR(__xludf.DUMMYFUNCTION("""COMPUTED_VALUE"""),-2685.0)</f>
        <v>-2685</v>
      </c>
      <c r="E1299" t="str">
        <f>IFERROR(__xludf.DUMMYFUNCTION("""COMPUTED_VALUE"""),"Ben帳戶")</f>
        <v>Ben帳戶</v>
      </c>
      <c r="G1299" t="str">
        <f>IFERROR(__xludf.DUMMYFUNCTION("""COMPUTED_VALUE"""),"金龍帽子先生")</f>
        <v>金龍帽子先生</v>
      </c>
      <c r="H1299" s="106" t="str">
        <f t="shared" si="1"/>
        <v>2024-12</v>
      </c>
      <c r="I1299" s="271" t="str">
        <f>IFERROR(__xludf.DUMMYFUNCTION("""COMPUTED_VALUE"""),"貓狗企鵝")</f>
        <v>貓狗企鵝</v>
      </c>
      <c r="J1299" t="str">
        <f>IFERROR(__xludf.DUMMYFUNCTION("IFS(
  AND(REGEXMATCH(E1299, ""台銀籌備帳戶|玉山帳戶""), REGEXMATCH(C1299, ""薪資"")), ""分潤支出"",
  AND(REGEXMATCH(E1299, ""Ben帳戶|Elsa帳戶|Ben代墊|Ariel代墊|中信銀行共用""), REGEXMATCH(F1299, ""Ben帳戶|Elsa帳戶|Ben代墊|Ariel代墊|中信銀行共用"")), ""內部轉帳(忽略)"",
  AND(E1299&lt;&gt;"""", F1299&lt;&gt;"""", N"&amp;"OT(REGEXMATCH(C1299, ""薪資""))), ""內部轉帳(忽略)"",
  REGEXMATCH(C1299, ""薪資""), ""薪資變動(不計入)"",
  REGEXMATCH(C1299, ""押金""), ""押金往來"",
  AND(E1299&lt;&gt;"""", F1299=""""), ""真實支出"",
  AND(E1299="""", F1299&lt;&gt;""""), ""真實收入"",
  TRUE, ""其他""
)"),"押金往來")</f>
        <v>押金往來</v>
      </c>
      <c r="K1299">
        <f t="shared" si="2"/>
        <v>0</v>
      </c>
      <c r="L1299">
        <f t="shared" si="3"/>
        <v>0</v>
      </c>
    </row>
    <row r="1300">
      <c r="A1300" s="107">
        <f>IFERROR(__xludf.DUMMYFUNCTION("""COMPUTED_VALUE"""),45652.0)</f>
        <v>45652</v>
      </c>
      <c r="B1300" t="str">
        <f>IFERROR(__xludf.DUMMYFUNCTION("""COMPUTED_VALUE"""),"Feli家 B 押金")</f>
        <v>Feli家 B 押金</v>
      </c>
      <c r="C1300" t="str">
        <f>IFERROR(__xludf.DUMMYFUNCTION("""COMPUTED_VALUE"""),"收入 - 押金")</f>
        <v>收入 - 押金</v>
      </c>
      <c r="D1300" s="270">
        <f>IFERROR(__xludf.DUMMYFUNCTION("""COMPUTED_VALUE"""),35000.0)</f>
        <v>35000</v>
      </c>
      <c r="F1300" t="str">
        <f>IFERROR(__xludf.DUMMYFUNCTION("""COMPUTED_VALUE"""),"台銀籌備帳戶")</f>
        <v>台銀籌備帳戶</v>
      </c>
      <c r="G1300" t="str">
        <f>IFERROR(__xludf.DUMMYFUNCTION("""COMPUTED_VALUE"""),"中山北Feli家")</f>
        <v>中山北Feli家</v>
      </c>
      <c r="H1300" s="106" t="str">
        <f t="shared" si="1"/>
        <v>2024-12</v>
      </c>
      <c r="I1300" s="271" t="str">
        <f>IFERROR(__xludf.DUMMYFUNCTION("""COMPUTED_VALUE"""),"貓狗企鵝")</f>
        <v>貓狗企鵝</v>
      </c>
      <c r="J1300" t="str">
        <f>IFERROR(__xludf.DUMMYFUNCTION("IFS(
  AND(REGEXMATCH(E1300, ""台銀籌備帳戶|玉山帳戶""), REGEXMATCH(C1300, ""薪資"")), ""分潤支出"",
  AND(REGEXMATCH(E1300, ""Ben帳戶|Elsa帳戶|Ben代墊|Ariel代墊|中信銀行共用""), REGEXMATCH(F1300, ""Ben帳戶|Elsa帳戶|Ben代墊|Ariel代墊|中信銀行共用"")), ""內部轉帳(忽略)"",
  AND(E1300&lt;&gt;"""", F1300&lt;&gt;"""", N"&amp;"OT(REGEXMATCH(C1300, ""薪資""))), ""內部轉帳(忽略)"",
  REGEXMATCH(C1300, ""薪資""), ""薪資變動(不計入)"",
  REGEXMATCH(C1300, ""押金""), ""押金往來"",
  AND(E1300&lt;&gt;"""", F1300=""""), ""真實支出"",
  AND(E1300="""", F1300&lt;&gt;""""), ""真實收入"",
  TRUE, ""其他""
)"),"押金往來")</f>
        <v>押金往來</v>
      </c>
      <c r="K1300">
        <f t="shared" si="2"/>
        <v>0</v>
      </c>
      <c r="L1300">
        <f t="shared" si="3"/>
        <v>0</v>
      </c>
    </row>
    <row r="1301">
      <c r="A1301" s="107">
        <f>IFERROR(__xludf.DUMMYFUNCTION("""COMPUTED_VALUE"""),45653.0)</f>
        <v>45653</v>
      </c>
      <c r="B1301" t="str">
        <f>IFERROR(__xludf.DUMMYFUNCTION("""COMPUTED_VALUE"""),"景安 曬衣架")</f>
        <v>景安 曬衣架</v>
      </c>
      <c r="C1301" t="str">
        <f>IFERROR(__xludf.DUMMYFUNCTION("""COMPUTED_VALUE"""),"成本 - 進場前裝潢費")</f>
        <v>成本 - 進場前裝潢費</v>
      </c>
      <c r="D1301" s="270">
        <f>IFERROR(__xludf.DUMMYFUNCTION("""COMPUTED_VALUE"""),-690.0)</f>
        <v>-690</v>
      </c>
      <c r="E1301" t="str">
        <f>IFERROR(__xludf.DUMMYFUNCTION("""COMPUTED_VALUE"""),"Ben帳戶")</f>
        <v>Ben帳戶</v>
      </c>
      <c r="G1301" t="str">
        <f>IFERROR(__xludf.DUMMYFUNCTION("""COMPUTED_VALUE"""),"景安2分鐘")</f>
        <v>景安2分鐘</v>
      </c>
      <c r="H1301" s="106" t="str">
        <f t="shared" si="1"/>
        <v>2024-12</v>
      </c>
      <c r="I1301" s="271" t="str">
        <f>IFERROR(__xludf.DUMMYFUNCTION("""COMPUTED_VALUE"""),"貓狗企鵝")</f>
        <v>貓狗企鵝</v>
      </c>
      <c r="J1301" t="str">
        <f>IFERROR(__xludf.DUMMYFUNCTION("IFS(
  AND(REGEXMATCH(E1301, ""台銀籌備帳戶|玉山帳戶""), REGEXMATCH(C1301, ""薪資"")), ""分潤支出"",
  AND(REGEXMATCH(E1301, ""Ben帳戶|Elsa帳戶|Ben代墊|Ariel代墊|中信銀行共用""), REGEXMATCH(F1301, ""Ben帳戶|Elsa帳戶|Ben代墊|Ariel代墊|中信銀行共用"")), ""內部轉帳(忽略)"",
  AND(E1301&lt;&gt;"""", F1301&lt;&gt;"""", N"&amp;"OT(REGEXMATCH(C1301, ""薪資""))), ""內部轉帳(忽略)"",
  REGEXMATCH(C1301, ""薪資""), ""薪資變動(不計入)"",
  REGEXMATCH(C1301, ""押金""), ""押金往來"",
  AND(E1301&lt;&gt;"""", F1301=""""), ""真實支出"",
  AND(E1301="""", F1301&lt;&gt;""""), ""真實收入"",
  TRUE, ""其他""
)"),"真實支出")</f>
        <v>真實支出</v>
      </c>
      <c r="K1301" s="270">
        <f t="shared" si="2"/>
        <v>-690</v>
      </c>
      <c r="L1301">
        <f t="shared" si="3"/>
        <v>0</v>
      </c>
    </row>
    <row r="1302">
      <c r="A1302" s="107">
        <f>IFERROR(__xludf.DUMMYFUNCTION("""COMPUTED_VALUE"""),45653.0)</f>
        <v>45653</v>
      </c>
      <c r="B1302" t="str">
        <f>IFERROR(__xludf.DUMMYFUNCTION("""COMPUTED_VALUE"""),"品涵 帶看感謝金")</f>
        <v>品涵 帶看感謝金</v>
      </c>
      <c r="C1302" t="str">
        <f>IFERROR(__xludf.DUMMYFUNCTION("""COMPUTED_VALUE"""),"成本 - 仲介費")</f>
        <v>成本 - 仲介費</v>
      </c>
      <c r="D1302" s="270">
        <f>IFERROR(__xludf.DUMMYFUNCTION("""COMPUTED_VALUE"""),-500.0)</f>
        <v>-500</v>
      </c>
      <c r="E1302" t="str">
        <f>IFERROR(__xludf.DUMMYFUNCTION("""COMPUTED_VALUE"""),"Ben帳戶")</f>
        <v>Ben帳戶</v>
      </c>
      <c r="G1302" t="str">
        <f>IFERROR(__xludf.DUMMYFUNCTION("""COMPUTED_VALUE"""),"北醫醫師府")</f>
        <v>北醫醫師府</v>
      </c>
      <c r="H1302" s="106" t="str">
        <f t="shared" si="1"/>
        <v>2024-12</v>
      </c>
      <c r="I1302" s="271" t="str">
        <f>IFERROR(__xludf.DUMMYFUNCTION("""COMPUTED_VALUE"""),"貓狗企鵝")</f>
        <v>貓狗企鵝</v>
      </c>
      <c r="J1302" t="str">
        <f>IFERROR(__xludf.DUMMYFUNCTION("IFS(
  AND(REGEXMATCH(E1302, ""台銀籌備帳戶|玉山帳戶""), REGEXMATCH(C1302, ""薪資"")), ""分潤支出"",
  AND(REGEXMATCH(E1302, ""Ben帳戶|Elsa帳戶|Ben代墊|Ariel代墊|中信銀行共用""), REGEXMATCH(F1302, ""Ben帳戶|Elsa帳戶|Ben代墊|Ariel代墊|中信銀行共用"")), ""內部轉帳(忽略)"",
  AND(E1302&lt;&gt;"""", F1302&lt;&gt;"""", N"&amp;"OT(REGEXMATCH(C1302, ""薪資""))), ""內部轉帳(忽略)"",
  REGEXMATCH(C1302, ""薪資""), ""薪資變動(不計入)"",
  REGEXMATCH(C1302, ""押金""), ""押金往來"",
  AND(E1302&lt;&gt;"""", F1302=""""), ""真實支出"",
  AND(E1302="""", F1302&lt;&gt;""""), ""真實收入"",
  TRUE, ""其他""
)"),"真實支出")</f>
        <v>真實支出</v>
      </c>
      <c r="K1302" s="270">
        <f t="shared" si="2"/>
        <v>-500</v>
      </c>
      <c r="L1302">
        <f t="shared" si="3"/>
        <v>0</v>
      </c>
    </row>
    <row r="1303">
      <c r="A1303" s="107">
        <f>IFERROR(__xludf.DUMMYFUNCTION("""COMPUTED_VALUE"""),45655.0)</f>
        <v>45655</v>
      </c>
      <c r="B1303" t="str">
        <f>IFERROR(__xludf.DUMMYFUNCTION("""COMPUTED_VALUE"""),"南港站挑高宅B林鍇蓓")</f>
        <v>南港站挑高宅B林鍇蓓</v>
      </c>
      <c r="C1303" t="str">
        <f>IFERROR(__xludf.DUMMYFUNCTION("""COMPUTED_VALUE"""),"收入 - 租金")</f>
        <v>收入 - 租金</v>
      </c>
      <c r="D1303" s="270">
        <f>IFERROR(__xludf.DUMMYFUNCTION("""COMPUTED_VALUE"""),12300.0)</f>
        <v>12300</v>
      </c>
      <c r="F1303" t="str">
        <f>IFERROR(__xludf.DUMMYFUNCTION("""COMPUTED_VALUE"""),"台銀籌備帳戶")</f>
        <v>台銀籌備帳戶</v>
      </c>
      <c r="G1303" t="str">
        <f>IFERROR(__xludf.DUMMYFUNCTION("""COMPUTED_VALUE"""),"南港站挑高宅")</f>
        <v>南港站挑高宅</v>
      </c>
      <c r="H1303" s="106" t="str">
        <f t="shared" si="1"/>
        <v>2024-12</v>
      </c>
      <c r="I1303" s="271" t="str">
        <f>IFERROR(__xludf.DUMMYFUNCTION("""COMPUTED_VALUE"""),"貓狗企鵝")</f>
        <v>貓狗企鵝</v>
      </c>
      <c r="J1303" t="str">
        <f>IFERROR(__xludf.DUMMYFUNCTION("IFS(
  AND(REGEXMATCH(E1303, ""台銀籌備帳戶|玉山帳戶""), REGEXMATCH(C1303, ""薪資"")), ""分潤支出"",
  AND(REGEXMATCH(E1303, ""Ben帳戶|Elsa帳戶|Ben代墊|Ariel代墊|中信銀行共用""), REGEXMATCH(F1303, ""Ben帳戶|Elsa帳戶|Ben代墊|Ariel代墊|中信銀行共用"")), ""內部轉帳(忽略)"",
  AND(E1303&lt;&gt;"""", F1303&lt;&gt;"""", N"&amp;"OT(REGEXMATCH(C1303, ""薪資""))), ""內部轉帳(忽略)"",
  REGEXMATCH(C1303, ""薪資""), ""薪資變動(不計入)"",
  REGEXMATCH(C1303, ""押金""), ""押金往來"",
  AND(E1303&lt;&gt;"""", F1303=""""), ""真實支出"",
  AND(E1303="""", F1303&lt;&gt;""""), ""真實收入"",
  TRUE, ""其他""
)"),"真實收入")</f>
        <v>真實收入</v>
      </c>
      <c r="K1303" s="270">
        <f t="shared" si="2"/>
        <v>12300</v>
      </c>
      <c r="L1303">
        <f t="shared" si="3"/>
        <v>0</v>
      </c>
    </row>
    <row r="1304">
      <c r="A1304" s="107">
        <f>IFERROR(__xludf.DUMMYFUNCTION("""COMPUTED_VALUE"""),45656.0)</f>
        <v>45656</v>
      </c>
      <c r="B1304" t="str">
        <f>IFERROR(__xludf.DUMMYFUNCTION("""COMPUTED_VALUE"""),"景安ECHERYL")</f>
        <v>景安ECHERYL</v>
      </c>
      <c r="C1304" t="str">
        <f>IFERROR(__xludf.DUMMYFUNCTION("""COMPUTED_VALUE"""),"收入 - 租金")</f>
        <v>收入 - 租金</v>
      </c>
      <c r="D1304" s="270">
        <f>IFERROR(__xludf.DUMMYFUNCTION("""COMPUTED_VALUE"""),9500.0)</f>
        <v>9500</v>
      </c>
      <c r="F1304" t="str">
        <f>IFERROR(__xludf.DUMMYFUNCTION("""COMPUTED_VALUE"""),"台銀籌備帳戶")</f>
        <v>台銀籌備帳戶</v>
      </c>
      <c r="G1304" t="str">
        <f>IFERROR(__xludf.DUMMYFUNCTION("""COMPUTED_VALUE"""),"景安2分鐘")</f>
        <v>景安2分鐘</v>
      </c>
      <c r="H1304" s="106" t="str">
        <f t="shared" si="1"/>
        <v>2024-12</v>
      </c>
      <c r="I1304" s="271" t="str">
        <f>IFERROR(__xludf.DUMMYFUNCTION("""COMPUTED_VALUE"""),"貓狗企鵝")</f>
        <v>貓狗企鵝</v>
      </c>
      <c r="J1304" t="str">
        <f>IFERROR(__xludf.DUMMYFUNCTION("IFS(
  AND(REGEXMATCH(E1304, ""台銀籌備帳戶|玉山帳戶""), REGEXMATCH(C1304, ""薪資"")), ""分潤支出"",
  AND(REGEXMATCH(E1304, ""Ben帳戶|Elsa帳戶|Ben代墊|Ariel代墊|中信銀行共用""), REGEXMATCH(F1304, ""Ben帳戶|Elsa帳戶|Ben代墊|Ariel代墊|中信銀行共用"")), ""內部轉帳(忽略)"",
  AND(E1304&lt;&gt;"""", F1304&lt;&gt;"""", N"&amp;"OT(REGEXMATCH(C1304, ""薪資""))), ""內部轉帳(忽略)"",
  REGEXMATCH(C1304, ""薪資""), ""薪資變動(不計入)"",
  REGEXMATCH(C1304, ""押金""), ""押金往來"",
  AND(E1304&lt;&gt;"""", F1304=""""), ""真實支出"",
  AND(E1304="""", F1304&lt;&gt;""""), ""真實收入"",
  TRUE, ""其他""
)"),"真實收入")</f>
        <v>真實收入</v>
      </c>
      <c r="K1304" s="270">
        <f t="shared" si="2"/>
        <v>9500</v>
      </c>
      <c r="L1304">
        <f t="shared" si="3"/>
        <v>0</v>
      </c>
    </row>
    <row r="1305">
      <c r="A1305" s="107">
        <f>IFERROR(__xludf.DUMMYFUNCTION("""COMPUTED_VALUE"""),45656.0)</f>
        <v>45656</v>
      </c>
      <c r="B1305" t="str">
        <f>IFERROR(__xludf.DUMMYFUNCTION("""COMPUTED_VALUE"""),"南港站挑高宅C王子昇")</f>
        <v>南港站挑高宅C王子昇</v>
      </c>
      <c r="C1305" t="str">
        <f>IFERROR(__xludf.DUMMYFUNCTION("""COMPUTED_VALUE"""),"收入 - 租金")</f>
        <v>收入 - 租金</v>
      </c>
      <c r="D1305" s="270">
        <f>IFERROR(__xludf.DUMMYFUNCTION("""COMPUTED_VALUE"""),15800.0)</f>
        <v>15800</v>
      </c>
      <c r="F1305" t="str">
        <f>IFERROR(__xludf.DUMMYFUNCTION("""COMPUTED_VALUE"""),"台銀籌備帳戶")</f>
        <v>台銀籌備帳戶</v>
      </c>
      <c r="G1305" t="str">
        <f>IFERROR(__xludf.DUMMYFUNCTION("""COMPUTED_VALUE"""),"南港站挑高宅")</f>
        <v>南港站挑高宅</v>
      </c>
      <c r="H1305" s="106" t="str">
        <f t="shared" si="1"/>
        <v>2024-12</v>
      </c>
      <c r="I1305" s="271" t="str">
        <f>IFERROR(__xludf.DUMMYFUNCTION("""COMPUTED_VALUE"""),"貓狗企鵝")</f>
        <v>貓狗企鵝</v>
      </c>
      <c r="J1305" t="str">
        <f>IFERROR(__xludf.DUMMYFUNCTION("IFS(
  AND(REGEXMATCH(E1305, ""台銀籌備帳戶|玉山帳戶""), REGEXMATCH(C1305, ""薪資"")), ""分潤支出"",
  AND(REGEXMATCH(E1305, ""Ben帳戶|Elsa帳戶|Ben代墊|Ariel代墊|中信銀行共用""), REGEXMATCH(F1305, ""Ben帳戶|Elsa帳戶|Ben代墊|Ariel代墊|中信銀行共用"")), ""內部轉帳(忽略)"",
  AND(E1305&lt;&gt;"""", F1305&lt;&gt;"""", N"&amp;"OT(REGEXMATCH(C1305, ""薪資""))), ""內部轉帳(忽略)"",
  REGEXMATCH(C1305, ""薪資""), ""薪資變動(不計入)"",
  REGEXMATCH(C1305, ""押金""), ""押金往來"",
  AND(E1305&lt;&gt;"""", F1305=""""), ""真實支出"",
  AND(E1305="""", F1305&lt;&gt;""""), ""真實收入"",
  TRUE, ""其他""
)"),"真實收入")</f>
        <v>真實收入</v>
      </c>
      <c r="K1305" s="270">
        <f t="shared" si="2"/>
        <v>15800</v>
      </c>
      <c r="L1305">
        <f t="shared" si="3"/>
        <v>0</v>
      </c>
    </row>
    <row r="1306">
      <c r="A1306" s="107">
        <f>IFERROR(__xludf.DUMMYFUNCTION("""COMPUTED_VALUE"""),45657.0)</f>
        <v>45657</v>
      </c>
      <c r="B1306" t="str">
        <f>IFERROR(__xludf.DUMMYFUNCTION("""COMPUTED_VALUE"""),"金龍帽子先生A何佩勳")</f>
        <v>金龍帽子先生A何佩勳</v>
      </c>
      <c r="C1306" t="str">
        <f>IFERROR(__xludf.DUMMYFUNCTION("""COMPUTED_VALUE"""),"收入 - 租金")</f>
        <v>收入 - 租金</v>
      </c>
      <c r="D1306" s="270">
        <f>IFERROR(__xludf.DUMMYFUNCTION("""COMPUTED_VALUE"""),17200.0)</f>
        <v>17200</v>
      </c>
      <c r="F1306" t="str">
        <f>IFERROR(__xludf.DUMMYFUNCTION("""COMPUTED_VALUE"""),"台銀籌備帳戶")</f>
        <v>台銀籌備帳戶</v>
      </c>
      <c r="G1306" t="str">
        <f>IFERROR(__xludf.DUMMYFUNCTION("""COMPUTED_VALUE"""),"金龍帽子先生")</f>
        <v>金龍帽子先生</v>
      </c>
      <c r="H1306" s="106" t="str">
        <f t="shared" si="1"/>
        <v>2024-12</v>
      </c>
      <c r="I1306" s="271" t="str">
        <f>IFERROR(__xludf.DUMMYFUNCTION("""COMPUTED_VALUE"""),"貓狗企鵝")</f>
        <v>貓狗企鵝</v>
      </c>
      <c r="J1306" t="str">
        <f>IFERROR(__xludf.DUMMYFUNCTION("IFS(
  AND(REGEXMATCH(E1306, ""台銀籌備帳戶|玉山帳戶""), REGEXMATCH(C1306, ""薪資"")), ""分潤支出"",
  AND(REGEXMATCH(E1306, ""Ben帳戶|Elsa帳戶|Ben代墊|Ariel代墊|中信銀行共用""), REGEXMATCH(F1306, ""Ben帳戶|Elsa帳戶|Ben代墊|Ariel代墊|中信銀行共用"")), ""內部轉帳(忽略)"",
  AND(E1306&lt;&gt;"""", F1306&lt;&gt;"""", N"&amp;"OT(REGEXMATCH(C1306, ""薪資""))), ""內部轉帳(忽略)"",
  REGEXMATCH(C1306, ""薪資""), ""薪資變動(不計入)"",
  REGEXMATCH(C1306, ""押金""), ""押金往來"",
  AND(E1306&lt;&gt;"""", F1306=""""), ""真實支出"",
  AND(E1306="""", F1306&lt;&gt;""""), ""真實收入"",
  TRUE, ""其他""
)"),"真實收入")</f>
        <v>真實收入</v>
      </c>
      <c r="K1306" s="270">
        <f t="shared" si="2"/>
        <v>17200</v>
      </c>
      <c r="L1306">
        <f t="shared" si="3"/>
        <v>0</v>
      </c>
    </row>
    <row r="1307">
      <c r="A1307" s="107">
        <f>IFERROR(__xludf.DUMMYFUNCTION("""COMPUTED_VALUE"""),45657.0)</f>
        <v>45657</v>
      </c>
      <c r="B1307" t="str">
        <f>IFERROR(__xludf.DUMMYFUNCTION("""COMPUTED_VALUE"""),"哈拉對面D柳翰洋")</f>
        <v>哈拉對面D柳翰洋</v>
      </c>
      <c r="C1307" t="str">
        <f>IFERROR(__xludf.DUMMYFUNCTION("""COMPUTED_VALUE"""),"收入 - 租金")</f>
        <v>收入 - 租金</v>
      </c>
      <c r="D1307" s="270">
        <f>IFERROR(__xludf.DUMMYFUNCTION("""COMPUTED_VALUE"""),12300.0)</f>
        <v>12300</v>
      </c>
      <c r="F1307" t="str">
        <f>IFERROR(__xludf.DUMMYFUNCTION("""COMPUTED_VALUE"""),"台銀籌備帳戶")</f>
        <v>台銀籌備帳戶</v>
      </c>
      <c r="G1307" t="str">
        <f>IFERROR(__xludf.DUMMYFUNCTION("""COMPUTED_VALUE"""),"哈拉對面")</f>
        <v>哈拉對面</v>
      </c>
      <c r="H1307" s="106" t="str">
        <f t="shared" si="1"/>
        <v>2024-12</v>
      </c>
      <c r="I1307" s="271" t="str">
        <f>IFERROR(__xludf.DUMMYFUNCTION("""COMPUTED_VALUE"""),"貓狗企鵝")</f>
        <v>貓狗企鵝</v>
      </c>
      <c r="J1307" t="str">
        <f>IFERROR(__xludf.DUMMYFUNCTION("IFS(
  AND(REGEXMATCH(E1307, ""台銀籌備帳戶|玉山帳戶""), REGEXMATCH(C1307, ""薪資"")), ""分潤支出"",
  AND(REGEXMATCH(E1307, ""Ben帳戶|Elsa帳戶|Ben代墊|Ariel代墊|中信銀行共用""), REGEXMATCH(F1307, ""Ben帳戶|Elsa帳戶|Ben代墊|Ariel代墊|中信銀行共用"")), ""內部轉帳(忽略)"",
  AND(E1307&lt;&gt;"""", F1307&lt;&gt;"""", N"&amp;"OT(REGEXMATCH(C1307, ""薪資""))), ""內部轉帳(忽略)"",
  REGEXMATCH(C1307, ""薪資""), ""薪資變動(不計入)"",
  REGEXMATCH(C1307, ""押金""), ""押金往來"",
  AND(E1307&lt;&gt;"""", F1307=""""), ""真實支出"",
  AND(E1307="""", F1307&lt;&gt;""""), ""真實收入"",
  TRUE, ""其他""
)"),"真實收入")</f>
        <v>真實收入</v>
      </c>
      <c r="K1307" s="270">
        <f t="shared" si="2"/>
        <v>12300</v>
      </c>
      <c r="L1307">
        <f t="shared" si="3"/>
        <v>0</v>
      </c>
    </row>
    <row r="1308">
      <c r="A1308" s="107">
        <f>IFERROR(__xludf.DUMMYFUNCTION("""COMPUTED_VALUE"""),45657.0)</f>
        <v>45657</v>
      </c>
      <c r="B1308" t="str">
        <f>IFERROR(__xludf.DUMMYFUNCTION("""COMPUTED_VALUE"""),"景安2分鐘C楊玉如")</f>
        <v>景安2分鐘C楊玉如</v>
      </c>
      <c r="C1308" t="str">
        <f>IFERROR(__xludf.DUMMYFUNCTION("""COMPUTED_VALUE"""),"收入 - 租金")</f>
        <v>收入 - 租金</v>
      </c>
      <c r="D1308" s="270">
        <f>IFERROR(__xludf.DUMMYFUNCTION("""COMPUTED_VALUE"""),12300.0)</f>
        <v>12300</v>
      </c>
      <c r="F1308" t="str">
        <f>IFERROR(__xludf.DUMMYFUNCTION("""COMPUTED_VALUE"""),"台銀籌備帳戶")</f>
        <v>台銀籌備帳戶</v>
      </c>
      <c r="G1308" t="str">
        <f>IFERROR(__xludf.DUMMYFUNCTION("""COMPUTED_VALUE"""),"景安2分鐘")</f>
        <v>景安2分鐘</v>
      </c>
      <c r="H1308" s="106" t="str">
        <f t="shared" si="1"/>
        <v>2024-12</v>
      </c>
      <c r="I1308" s="271" t="str">
        <f>IFERROR(__xludf.DUMMYFUNCTION("""COMPUTED_VALUE"""),"貓狗企鵝")</f>
        <v>貓狗企鵝</v>
      </c>
      <c r="J1308" t="str">
        <f>IFERROR(__xludf.DUMMYFUNCTION("IFS(
  AND(REGEXMATCH(E1308, ""台銀籌備帳戶|玉山帳戶""), REGEXMATCH(C1308, ""薪資"")), ""分潤支出"",
  AND(REGEXMATCH(E1308, ""Ben帳戶|Elsa帳戶|Ben代墊|Ariel代墊|中信銀行共用""), REGEXMATCH(F1308, ""Ben帳戶|Elsa帳戶|Ben代墊|Ariel代墊|中信銀行共用"")), ""內部轉帳(忽略)"",
  AND(E1308&lt;&gt;"""", F1308&lt;&gt;"""", N"&amp;"OT(REGEXMATCH(C1308, ""薪資""))), ""內部轉帳(忽略)"",
  REGEXMATCH(C1308, ""薪資""), ""薪資變動(不計入)"",
  REGEXMATCH(C1308, ""押金""), ""押金往來"",
  AND(E1308&lt;&gt;"""", F1308=""""), ""真實支出"",
  AND(E1308="""", F1308&lt;&gt;""""), ""真實收入"",
  TRUE, ""其他""
)"),"真實收入")</f>
        <v>真實收入</v>
      </c>
      <c r="K1308" s="270">
        <f t="shared" si="2"/>
        <v>12300</v>
      </c>
      <c r="L1308">
        <f t="shared" si="3"/>
        <v>0</v>
      </c>
    </row>
    <row r="1309">
      <c r="A1309" s="107">
        <f>IFERROR(__xludf.DUMMYFUNCTION("""COMPUTED_VALUE"""),45657.0)</f>
        <v>45657</v>
      </c>
      <c r="B1309" t="str">
        <f>IFERROR(__xludf.DUMMYFUNCTION("""COMPUTED_VALUE"""),"哈拉對面C徐鉦庭")</f>
        <v>哈拉對面C徐鉦庭</v>
      </c>
      <c r="C1309" t="str">
        <f>IFERROR(__xludf.DUMMYFUNCTION("""COMPUTED_VALUE"""),"收入 - 租金")</f>
        <v>收入 - 租金</v>
      </c>
      <c r="D1309" s="270">
        <f>IFERROR(__xludf.DUMMYFUNCTION("""COMPUTED_VALUE"""),11800.0)</f>
        <v>11800</v>
      </c>
      <c r="F1309" t="str">
        <f>IFERROR(__xludf.DUMMYFUNCTION("""COMPUTED_VALUE"""),"台銀籌備帳戶")</f>
        <v>台銀籌備帳戶</v>
      </c>
      <c r="G1309" t="str">
        <f>IFERROR(__xludf.DUMMYFUNCTION("""COMPUTED_VALUE"""),"哈拉對面")</f>
        <v>哈拉對面</v>
      </c>
      <c r="H1309" s="106" t="str">
        <f t="shared" si="1"/>
        <v>2024-12</v>
      </c>
      <c r="I1309" s="271" t="str">
        <f>IFERROR(__xludf.DUMMYFUNCTION("""COMPUTED_VALUE"""),"貓狗企鵝")</f>
        <v>貓狗企鵝</v>
      </c>
      <c r="J1309" t="str">
        <f>IFERROR(__xludf.DUMMYFUNCTION("IFS(
  AND(REGEXMATCH(E1309, ""台銀籌備帳戶|玉山帳戶""), REGEXMATCH(C1309, ""薪資"")), ""分潤支出"",
  AND(REGEXMATCH(E1309, ""Ben帳戶|Elsa帳戶|Ben代墊|Ariel代墊|中信銀行共用""), REGEXMATCH(F1309, ""Ben帳戶|Elsa帳戶|Ben代墊|Ariel代墊|中信銀行共用"")), ""內部轉帳(忽略)"",
  AND(E1309&lt;&gt;"""", F1309&lt;&gt;"""", N"&amp;"OT(REGEXMATCH(C1309, ""薪資""))), ""內部轉帳(忽略)"",
  REGEXMATCH(C1309, ""薪資""), ""薪資變動(不計入)"",
  REGEXMATCH(C1309, ""押金""), ""押金往來"",
  AND(E1309&lt;&gt;"""", F1309=""""), ""真實支出"",
  AND(E1309="""", F1309&lt;&gt;""""), ""真實收入"",
  TRUE, ""其他""
)"),"真實收入")</f>
        <v>真實收入</v>
      </c>
      <c r="K1309" s="270">
        <f t="shared" si="2"/>
        <v>11800</v>
      </c>
      <c r="L1309">
        <f t="shared" si="3"/>
        <v>0</v>
      </c>
    </row>
    <row r="1310">
      <c r="A1310" s="107">
        <f>IFERROR(__xludf.DUMMYFUNCTION("""COMPUTED_VALUE"""),45657.0)</f>
        <v>45657</v>
      </c>
      <c r="B1310" t="str">
        <f>IFERROR(__xludf.DUMMYFUNCTION("""COMPUTED_VALUE"""),"景安2分鐘D鍾佩晶")</f>
        <v>景安2分鐘D鍾佩晶</v>
      </c>
      <c r="C1310" t="str">
        <f>IFERROR(__xludf.DUMMYFUNCTION("""COMPUTED_VALUE"""),"收入 - 租金")</f>
        <v>收入 - 租金</v>
      </c>
      <c r="D1310" s="270">
        <f>IFERROR(__xludf.DUMMYFUNCTION("""COMPUTED_VALUE"""),8600.0)</f>
        <v>8600</v>
      </c>
      <c r="F1310" t="str">
        <f>IFERROR(__xludf.DUMMYFUNCTION("""COMPUTED_VALUE"""),"台銀籌備帳戶")</f>
        <v>台銀籌備帳戶</v>
      </c>
      <c r="G1310" t="str">
        <f>IFERROR(__xludf.DUMMYFUNCTION("""COMPUTED_VALUE"""),"景安2分鐘")</f>
        <v>景安2分鐘</v>
      </c>
      <c r="H1310" s="106" t="str">
        <f t="shared" si="1"/>
        <v>2024-12</v>
      </c>
      <c r="I1310" s="271" t="str">
        <f>IFERROR(__xludf.DUMMYFUNCTION("""COMPUTED_VALUE"""),"貓狗企鵝")</f>
        <v>貓狗企鵝</v>
      </c>
      <c r="J1310" t="str">
        <f>IFERROR(__xludf.DUMMYFUNCTION("IFS(
  AND(REGEXMATCH(E1310, ""台銀籌備帳戶|玉山帳戶""), REGEXMATCH(C1310, ""薪資"")), ""分潤支出"",
  AND(REGEXMATCH(E1310, ""Ben帳戶|Elsa帳戶|Ben代墊|Ariel代墊|中信銀行共用""), REGEXMATCH(F1310, ""Ben帳戶|Elsa帳戶|Ben代墊|Ariel代墊|中信銀行共用"")), ""內部轉帳(忽略)"",
  AND(E1310&lt;&gt;"""", F1310&lt;&gt;"""", N"&amp;"OT(REGEXMATCH(C1310, ""薪資""))), ""內部轉帳(忽略)"",
  REGEXMATCH(C1310, ""薪資""), ""薪資變動(不計入)"",
  REGEXMATCH(C1310, ""押金""), ""押金往來"",
  AND(E1310&lt;&gt;"""", F1310=""""), ""真實支出"",
  AND(E1310="""", F1310&lt;&gt;""""), ""真實收入"",
  TRUE, ""其他""
)"),"真實收入")</f>
        <v>真實收入</v>
      </c>
      <c r="K1310" s="270">
        <f t="shared" si="2"/>
        <v>8600</v>
      </c>
      <c r="L1310">
        <f t="shared" si="3"/>
        <v>0</v>
      </c>
    </row>
    <row r="1311">
      <c r="A1311" s="107">
        <f>IFERROR(__xludf.DUMMYFUNCTION("""COMPUTED_VALUE"""),45658.0)</f>
        <v>45658</v>
      </c>
      <c r="B1311" t="str">
        <f>IFERROR(__xludf.DUMMYFUNCTION("""COMPUTED_VALUE"""),"金龍帽子先生B謝歆俞")</f>
        <v>金龍帽子先生B謝歆俞</v>
      </c>
      <c r="C1311" t="str">
        <f>IFERROR(__xludf.DUMMYFUNCTION("""COMPUTED_VALUE"""),"收入 - 租金")</f>
        <v>收入 - 租金</v>
      </c>
      <c r="D1311" s="270">
        <f>IFERROR(__xludf.DUMMYFUNCTION("""COMPUTED_VALUE"""),12700.0)</f>
        <v>12700</v>
      </c>
      <c r="F1311" t="str">
        <f>IFERROR(__xludf.DUMMYFUNCTION("""COMPUTED_VALUE"""),"台銀籌備帳戶")</f>
        <v>台銀籌備帳戶</v>
      </c>
      <c r="G1311" t="str">
        <f>IFERROR(__xludf.DUMMYFUNCTION("""COMPUTED_VALUE"""),"金龍帽子先生")</f>
        <v>金龍帽子先生</v>
      </c>
      <c r="H1311" s="106" t="str">
        <f t="shared" si="1"/>
        <v>2025-01</v>
      </c>
      <c r="I1311" s="271" t="str">
        <f>IFERROR(__xludf.DUMMYFUNCTION("""COMPUTED_VALUE"""),"貓狗企鵝")</f>
        <v>貓狗企鵝</v>
      </c>
      <c r="J1311" t="str">
        <f>IFERROR(__xludf.DUMMYFUNCTION("IFS(
  AND(REGEXMATCH(E1311, ""台銀籌備帳戶|玉山帳戶""), REGEXMATCH(C1311, ""薪資"")), ""分潤支出"",
  AND(REGEXMATCH(E1311, ""Ben帳戶|Elsa帳戶|Ben代墊|Ariel代墊|中信銀行共用""), REGEXMATCH(F1311, ""Ben帳戶|Elsa帳戶|Ben代墊|Ariel代墊|中信銀行共用"")), ""內部轉帳(忽略)"",
  AND(E1311&lt;&gt;"""", F1311&lt;&gt;"""", N"&amp;"OT(REGEXMATCH(C1311, ""薪資""))), ""內部轉帳(忽略)"",
  REGEXMATCH(C1311, ""薪資""), ""薪資變動(不計入)"",
  REGEXMATCH(C1311, ""押金""), ""押金往來"",
  AND(E1311&lt;&gt;"""", F1311=""""), ""真實支出"",
  AND(E1311="""", F1311&lt;&gt;""""), ""真實收入"",
  TRUE, ""其他""
)"),"真實收入")</f>
        <v>真實收入</v>
      </c>
      <c r="K1311" s="270">
        <f t="shared" si="2"/>
        <v>12700</v>
      </c>
      <c r="L1311">
        <f t="shared" si="3"/>
        <v>0</v>
      </c>
    </row>
    <row r="1312">
      <c r="A1312" s="107">
        <f>IFERROR(__xludf.DUMMYFUNCTION("""COMPUTED_VALUE"""),45658.0)</f>
        <v>45658</v>
      </c>
      <c r="B1312" t="str">
        <f>IFERROR(__xludf.DUMMYFUNCTION("""COMPUTED_VALUE"""),"南港挑高租金")</f>
        <v>南港挑高租金</v>
      </c>
      <c r="C1312" t="str">
        <f>IFERROR(__xludf.DUMMYFUNCTION("""COMPUTED_VALUE"""),"成本 - 大租金")</f>
        <v>成本 - 大租金</v>
      </c>
      <c r="D1312" s="270">
        <f>IFERROR(__xludf.DUMMYFUNCTION("""COMPUTED_VALUE"""),-18250.0)</f>
        <v>-18250</v>
      </c>
      <c r="E1312" t="str">
        <f>IFERROR(__xludf.DUMMYFUNCTION("""COMPUTED_VALUE"""),"台銀籌備帳戶")</f>
        <v>台銀籌備帳戶</v>
      </c>
      <c r="G1312" t="str">
        <f>IFERROR(__xludf.DUMMYFUNCTION("""COMPUTED_VALUE"""),"南港站挑高宅")</f>
        <v>南港站挑高宅</v>
      </c>
      <c r="H1312" s="106" t="str">
        <f t="shared" si="1"/>
        <v>2025-01</v>
      </c>
      <c r="I1312" s="271" t="str">
        <f>IFERROR(__xludf.DUMMYFUNCTION("""COMPUTED_VALUE"""),"貓狗企鵝")</f>
        <v>貓狗企鵝</v>
      </c>
      <c r="J1312" t="str">
        <f>IFERROR(__xludf.DUMMYFUNCTION("IFS(
  AND(REGEXMATCH(E1312, ""台銀籌備帳戶|玉山帳戶""), REGEXMATCH(C1312, ""薪資"")), ""分潤支出"",
  AND(REGEXMATCH(E1312, ""Ben帳戶|Elsa帳戶|Ben代墊|Ariel代墊|中信銀行共用""), REGEXMATCH(F1312, ""Ben帳戶|Elsa帳戶|Ben代墊|Ariel代墊|中信銀行共用"")), ""內部轉帳(忽略)"",
  AND(E1312&lt;&gt;"""", F1312&lt;&gt;"""", N"&amp;"OT(REGEXMATCH(C1312, ""薪資""))), ""內部轉帳(忽略)"",
  REGEXMATCH(C1312, ""薪資""), ""薪資變動(不計入)"",
  REGEXMATCH(C1312, ""押金""), ""押金往來"",
  AND(E1312&lt;&gt;"""", F1312=""""), ""真實支出"",
  AND(E1312="""", F1312&lt;&gt;""""), ""真實收入"",
  TRUE, ""其他""
)"),"真實支出")</f>
        <v>真實支出</v>
      </c>
      <c r="K1312" s="270">
        <f t="shared" si="2"/>
        <v>-18250</v>
      </c>
      <c r="L1312">
        <f t="shared" si="3"/>
        <v>0</v>
      </c>
    </row>
    <row r="1313">
      <c r="A1313" s="107">
        <f>IFERROR(__xludf.DUMMYFUNCTION("""COMPUTED_VALUE"""),45658.0)</f>
        <v>45658</v>
      </c>
      <c r="B1313" t="str">
        <f>IFERROR(__xludf.DUMMYFUNCTION("""COMPUTED_VALUE"""),"龍江229A莊美娟")</f>
        <v>龍江229A莊美娟</v>
      </c>
      <c r="C1313" t="str">
        <f>IFERROR(__xludf.DUMMYFUNCTION("""COMPUTED_VALUE"""),"收入 - 租金")</f>
        <v>收入 - 租金</v>
      </c>
      <c r="D1313" s="270">
        <f>IFERROR(__xludf.DUMMYFUNCTION("""COMPUTED_VALUE"""),12800.0)</f>
        <v>12800</v>
      </c>
      <c r="F1313" t="str">
        <f>IFERROR(__xludf.DUMMYFUNCTION("""COMPUTED_VALUE"""),"台銀籌備帳戶")</f>
        <v>台銀籌備帳戶</v>
      </c>
      <c r="G1313" t="str">
        <f>IFERROR(__xludf.DUMMYFUNCTION("""COMPUTED_VALUE"""),"龍江229")</f>
        <v>龍江229</v>
      </c>
      <c r="H1313" s="106" t="str">
        <f t="shared" si="1"/>
        <v>2025-01</v>
      </c>
      <c r="I1313" s="271" t="str">
        <f>IFERROR(__xludf.DUMMYFUNCTION("""COMPUTED_VALUE"""),"貓狗企鵝")</f>
        <v>貓狗企鵝</v>
      </c>
      <c r="J1313" t="str">
        <f>IFERROR(__xludf.DUMMYFUNCTION("IFS(
  AND(REGEXMATCH(E1313, ""台銀籌備帳戶|玉山帳戶""), REGEXMATCH(C1313, ""薪資"")), ""分潤支出"",
  AND(REGEXMATCH(E1313, ""Ben帳戶|Elsa帳戶|Ben代墊|Ariel代墊|中信銀行共用""), REGEXMATCH(F1313, ""Ben帳戶|Elsa帳戶|Ben代墊|Ariel代墊|中信銀行共用"")), ""內部轉帳(忽略)"",
  AND(E1313&lt;&gt;"""", F1313&lt;&gt;"""", N"&amp;"OT(REGEXMATCH(C1313, ""薪資""))), ""內部轉帳(忽略)"",
  REGEXMATCH(C1313, ""薪資""), ""薪資變動(不計入)"",
  REGEXMATCH(C1313, ""押金""), ""押金往來"",
  AND(E1313&lt;&gt;"""", F1313=""""), ""真實支出"",
  AND(E1313="""", F1313&lt;&gt;""""), ""真實收入"",
  TRUE, ""其他""
)"),"真實收入")</f>
        <v>真實收入</v>
      </c>
      <c r="K1313" s="270">
        <f t="shared" si="2"/>
        <v>12800</v>
      </c>
      <c r="L1313">
        <f t="shared" si="3"/>
        <v>0</v>
      </c>
    </row>
    <row r="1314">
      <c r="A1314" s="107">
        <f>IFERROR(__xludf.DUMMYFUNCTION("""COMPUTED_VALUE"""),45658.0)</f>
        <v>45658</v>
      </c>
      <c r="B1314" t="str">
        <f>IFERROR(__xludf.DUMMYFUNCTION("""COMPUTED_VALUE"""),"永春四號D翁政熙")</f>
        <v>永春四號D翁政熙</v>
      </c>
      <c r="C1314" t="str">
        <f>IFERROR(__xludf.DUMMYFUNCTION("""COMPUTED_VALUE"""),"收入 - 租金")</f>
        <v>收入 - 租金</v>
      </c>
      <c r="D1314" s="270">
        <f>IFERROR(__xludf.DUMMYFUNCTION("""COMPUTED_VALUE"""),14800.0)</f>
        <v>14800</v>
      </c>
      <c r="F1314" t="str">
        <f>IFERROR(__xludf.DUMMYFUNCTION("""COMPUTED_VALUE"""),"台銀籌備帳戶")</f>
        <v>台銀籌備帳戶</v>
      </c>
      <c r="G1314" t="str">
        <f>IFERROR(__xludf.DUMMYFUNCTION("""COMPUTED_VALUE"""),"永春四號")</f>
        <v>永春四號</v>
      </c>
      <c r="H1314" s="106" t="str">
        <f t="shared" si="1"/>
        <v>2025-01</v>
      </c>
      <c r="I1314" s="271" t="str">
        <f>IFERROR(__xludf.DUMMYFUNCTION("""COMPUTED_VALUE"""),"貓狗企鵝")</f>
        <v>貓狗企鵝</v>
      </c>
      <c r="J1314" t="str">
        <f>IFERROR(__xludf.DUMMYFUNCTION("IFS(
  AND(REGEXMATCH(E1314, ""台銀籌備帳戶|玉山帳戶""), REGEXMATCH(C1314, ""薪資"")), ""分潤支出"",
  AND(REGEXMATCH(E1314, ""Ben帳戶|Elsa帳戶|Ben代墊|Ariel代墊|中信銀行共用""), REGEXMATCH(F1314, ""Ben帳戶|Elsa帳戶|Ben代墊|Ariel代墊|中信銀行共用"")), ""內部轉帳(忽略)"",
  AND(E1314&lt;&gt;"""", F1314&lt;&gt;"""", N"&amp;"OT(REGEXMATCH(C1314, ""薪資""))), ""內部轉帳(忽略)"",
  REGEXMATCH(C1314, ""薪資""), ""薪資變動(不計入)"",
  REGEXMATCH(C1314, ""押金""), ""押金往來"",
  AND(E1314&lt;&gt;"""", F1314=""""), ""真實支出"",
  AND(E1314="""", F1314&lt;&gt;""""), ""真實收入"",
  TRUE, ""其他""
)"),"真實收入")</f>
        <v>真實收入</v>
      </c>
      <c r="K1314" s="270">
        <f t="shared" si="2"/>
        <v>14800</v>
      </c>
      <c r="L1314">
        <f t="shared" si="3"/>
        <v>0</v>
      </c>
    </row>
    <row r="1315">
      <c r="A1315" s="107">
        <f>IFERROR(__xludf.DUMMYFUNCTION("""COMPUTED_VALUE"""),45658.0)</f>
        <v>45658</v>
      </c>
      <c r="B1315" t="str">
        <f>IFERROR(__xludf.DUMMYFUNCTION("""COMPUTED_VALUE"""),"永春郭大哥")</f>
        <v>永春郭大哥</v>
      </c>
      <c r="C1315" t="str">
        <f>IFERROR(__xludf.DUMMYFUNCTION("""COMPUTED_VALUE"""),"成本 - 大租金")</f>
        <v>成本 - 大租金</v>
      </c>
      <c r="D1315" s="270">
        <f>IFERROR(__xludf.DUMMYFUNCTION("""COMPUTED_VALUE"""),-17015.0)</f>
        <v>-17015</v>
      </c>
      <c r="E1315" t="str">
        <f>IFERROR(__xludf.DUMMYFUNCTION("""COMPUTED_VALUE"""),"台銀籌備帳戶")</f>
        <v>台銀籌備帳戶</v>
      </c>
      <c r="G1315" t="str">
        <f>IFERROR(__xludf.DUMMYFUNCTION("""COMPUTED_VALUE"""),"永春四號")</f>
        <v>永春四號</v>
      </c>
      <c r="H1315" s="106" t="str">
        <f t="shared" si="1"/>
        <v>2025-01</v>
      </c>
      <c r="I1315" s="271" t="str">
        <f>IFERROR(__xludf.DUMMYFUNCTION("""COMPUTED_VALUE"""),"貓狗企鵝")</f>
        <v>貓狗企鵝</v>
      </c>
      <c r="J1315" t="str">
        <f>IFERROR(__xludf.DUMMYFUNCTION("IFS(
  AND(REGEXMATCH(E1315, ""台銀籌備帳戶|玉山帳戶""), REGEXMATCH(C1315, ""薪資"")), ""分潤支出"",
  AND(REGEXMATCH(E1315, ""Ben帳戶|Elsa帳戶|Ben代墊|Ariel代墊|中信銀行共用""), REGEXMATCH(F1315, ""Ben帳戶|Elsa帳戶|Ben代墊|Ariel代墊|中信銀行共用"")), ""內部轉帳(忽略)"",
  AND(E1315&lt;&gt;"""", F1315&lt;&gt;"""", N"&amp;"OT(REGEXMATCH(C1315, ""薪資""))), ""內部轉帳(忽略)"",
  REGEXMATCH(C1315, ""薪資""), ""薪資變動(不計入)"",
  REGEXMATCH(C1315, ""押金""), ""押金往來"",
  AND(E1315&lt;&gt;"""", F1315=""""), ""真實支出"",
  AND(E1315="""", F1315&lt;&gt;""""), ""真實收入"",
  TRUE, ""其他""
)"),"真實支出")</f>
        <v>真實支出</v>
      </c>
      <c r="K1315" s="270">
        <f t="shared" si="2"/>
        <v>-17015</v>
      </c>
      <c r="L1315">
        <f t="shared" si="3"/>
        <v>0</v>
      </c>
    </row>
    <row r="1316">
      <c r="A1316" s="107">
        <f>IFERROR(__xludf.DUMMYFUNCTION("""COMPUTED_VALUE"""),45658.0)</f>
        <v>45658</v>
      </c>
      <c r="B1316" t="str">
        <f>IFERROR(__xludf.DUMMYFUNCTION("""COMPUTED_VALUE"""),"永春郭大哥")</f>
        <v>永春郭大哥</v>
      </c>
      <c r="C1316" t="str">
        <f>IFERROR(__xludf.DUMMYFUNCTION("""COMPUTED_VALUE"""),"成本 - 大租金")</f>
        <v>成本 - 大租金</v>
      </c>
      <c r="D1316" s="270">
        <f>IFERROR(__xludf.DUMMYFUNCTION("""COMPUTED_VALUE"""),-17015.0)</f>
        <v>-17015</v>
      </c>
      <c r="E1316" t="str">
        <f>IFERROR(__xludf.DUMMYFUNCTION("""COMPUTED_VALUE"""),"台銀籌備帳戶")</f>
        <v>台銀籌備帳戶</v>
      </c>
      <c r="G1316" t="str">
        <f>IFERROR(__xludf.DUMMYFUNCTION("""COMPUTED_VALUE"""),"永春四號")</f>
        <v>永春四號</v>
      </c>
      <c r="H1316" s="106" t="str">
        <f t="shared" si="1"/>
        <v>2025-01</v>
      </c>
      <c r="I1316" s="271" t="str">
        <f>IFERROR(__xludf.DUMMYFUNCTION("""COMPUTED_VALUE"""),"貓狗企鵝")</f>
        <v>貓狗企鵝</v>
      </c>
      <c r="J1316" t="str">
        <f>IFERROR(__xludf.DUMMYFUNCTION("IFS(
  AND(REGEXMATCH(E1316, ""台銀籌備帳戶|玉山帳戶""), REGEXMATCH(C1316, ""薪資"")), ""分潤支出"",
  AND(REGEXMATCH(E1316, ""Ben帳戶|Elsa帳戶|Ben代墊|Ariel代墊|中信銀行共用""), REGEXMATCH(F1316, ""Ben帳戶|Elsa帳戶|Ben代墊|Ariel代墊|中信銀行共用"")), ""內部轉帳(忽略)"",
  AND(E1316&lt;&gt;"""", F1316&lt;&gt;"""", N"&amp;"OT(REGEXMATCH(C1316, ""薪資""))), ""內部轉帳(忽略)"",
  REGEXMATCH(C1316, ""薪資""), ""薪資變動(不計入)"",
  REGEXMATCH(C1316, ""押金""), ""押金往來"",
  AND(E1316&lt;&gt;"""", F1316=""""), ""真實支出"",
  AND(E1316="""", F1316&lt;&gt;""""), ""真實收入"",
  TRUE, ""其他""
)"),"真實支出")</f>
        <v>真實支出</v>
      </c>
      <c r="K1316" s="270">
        <f t="shared" si="2"/>
        <v>-17015</v>
      </c>
      <c r="L1316">
        <f t="shared" si="3"/>
        <v>0</v>
      </c>
    </row>
    <row r="1317">
      <c r="A1317" s="107">
        <f>IFERROR(__xludf.DUMMYFUNCTION("""COMPUTED_VALUE"""),45658.0)</f>
        <v>45658</v>
      </c>
      <c r="B1317" t="str">
        <f>IFERROR(__xludf.DUMMYFUNCTION("""COMPUTED_VALUE"""),"龍江游sir")</f>
        <v>龍江游sir</v>
      </c>
      <c r="C1317" t="str">
        <f>IFERROR(__xludf.DUMMYFUNCTION("""COMPUTED_VALUE"""),"成本 - 大租金")</f>
        <v>成本 - 大租金</v>
      </c>
      <c r="D1317" s="270">
        <f>IFERROR(__xludf.DUMMYFUNCTION("""COMPUTED_VALUE"""),-13515.0)</f>
        <v>-13515</v>
      </c>
      <c r="E1317" t="str">
        <f>IFERROR(__xludf.DUMMYFUNCTION("""COMPUTED_VALUE"""),"台銀籌備帳戶")</f>
        <v>台銀籌備帳戶</v>
      </c>
      <c r="G1317" t="str">
        <f>IFERROR(__xludf.DUMMYFUNCTION("""COMPUTED_VALUE"""),"龍江229")</f>
        <v>龍江229</v>
      </c>
      <c r="H1317" s="106" t="str">
        <f t="shared" si="1"/>
        <v>2025-01</v>
      </c>
      <c r="I1317" s="271" t="str">
        <f>IFERROR(__xludf.DUMMYFUNCTION("""COMPUTED_VALUE"""),"貓狗企鵝")</f>
        <v>貓狗企鵝</v>
      </c>
      <c r="J1317" t="str">
        <f>IFERROR(__xludf.DUMMYFUNCTION("IFS(
  AND(REGEXMATCH(E1317, ""台銀籌備帳戶|玉山帳戶""), REGEXMATCH(C1317, ""薪資"")), ""分潤支出"",
  AND(REGEXMATCH(E1317, ""Ben帳戶|Elsa帳戶|Ben代墊|Ariel代墊|中信銀行共用""), REGEXMATCH(F1317, ""Ben帳戶|Elsa帳戶|Ben代墊|Ariel代墊|中信銀行共用"")), ""內部轉帳(忽略)"",
  AND(E1317&lt;&gt;"""", F1317&lt;&gt;"""", N"&amp;"OT(REGEXMATCH(C1317, ""薪資""))), ""內部轉帳(忽略)"",
  REGEXMATCH(C1317, ""薪資""), ""薪資變動(不計入)"",
  REGEXMATCH(C1317, ""押金""), ""押金往來"",
  AND(E1317&lt;&gt;"""", F1317=""""), ""真實支出"",
  AND(E1317="""", F1317&lt;&gt;""""), ""真實收入"",
  TRUE, ""其他""
)"),"真實支出")</f>
        <v>真實支出</v>
      </c>
      <c r="K1317" s="270">
        <f t="shared" si="2"/>
        <v>-13515</v>
      </c>
      <c r="L1317">
        <f t="shared" si="3"/>
        <v>0</v>
      </c>
    </row>
    <row r="1318">
      <c r="A1318" s="107">
        <f>IFERROR(__xludf.DUMMYFUNCTION("""COMPUTED_VALUE"""),45658.0)</f>
        <v>45658</v>
      </c>
      <c r="B1318" t="str">
        <f>IFERROR(__xludf.DUMMYFUNCTION("""COMPUTED_VALUE"""),"市府爺爺租金")</f>
        <v>市府爺爺租金</v>
      </c>
      <c r="C1318" t="str">
        <f>IFERROR(__xludf.DUMMYFUNCTION("""COMPUTED_VALUE"""),"成本 - 大租金")</f>
        <v>成本 - 大租金</v>
      </c>
      <c r="D1318" s="270">
        <f>IFERROR(__xludf.DUMMYFUNCTION("""COMPUTED_VALUE"""),-12015.0)</f>
        <v>-12015</v>
      </c>
      <c r="E1318" t="str">
        <f>IFERROR(__xludf.DUMMYFUNCTION("""COMPUTED_VALUE"""),"台銀籌備帳戶")</f>
        <v>台銀籌備帳戶</v>
      </c>
      <c r="G1318" t="str">
        <f>IFERROR(__xludf.DUMMYFUNCTION("""COMPUTED_VALUE"""),"市府爺爺家")</f>
        <v>市府爺爺家</v>
      </c>
      <c r="H1318" s="106" t="str">
        <f t="shared" si="1"/>
        <v>2025-01</v>
      </c>
      <c r="I1318" s="271" t="str">
        <f>IFERROR(__xludf.DUMMYFUNCTION("""COMPUTED_VALUE"""),"貓狗企鵝")</f>
        <v>貓狗企鵝</v>
      </c>
      <c r="J1318" t="str">
        <f>IFERROR(__xludf.DUMMYFUNCTION("IFS(
  AND(REGEXMATCH(E1318, ""台銀籌備帳戶|玉山帳戶""), REGEXMATCH(C1318, ""薪資"")), ""分潤支出"",
  AND(REGEXMATCH(E1318, ""Ben帳戶|Elsa帳戶|Ben代墊|Ariel代墊|中信銀行共用""), REGEXMATCH(F1318, ""Ben帳戶|Elsa帳戶|Ben代墊|Ariel代墊|中信銀行共用"")), ""內部轉帳(忽略)"",
  AND(E1318&lt;&gt;"""", F1318&lt;&gt;"""", N"&amp;"OT(REGEXMATCH(C1318, ""薪資""))), ""內部轉帳(忽略)"",
  REGEXMATCH(C1318, ""薪資""), ""薪資變動(不計入)"",
  REGEXMATCH(C1318, ""押金""), ""押金往來"",
  AND(E1318&lt;&gt;"""", F1318=""""), ""真實支出"",
  AND(E1318="""", F1318&lt;&gt;""""), ""真實收入"",
  TRUE, ""其他""
)"),"真實支出")</f>
        <v>真實支出</v>
      </c>
      <c r="K1318" s="270">
        <f t="shared" si="2"/>
        <v>-12015</v>
      </c>
      <c r="L1318">
        <f t="shared" si="3"/>
        <v>0</v>
      </c>
    </row>
    <row r="1319">
      <c r="A1319" s="107">
        <f>IFERROR(__xludf.DUMMYFUNCTION("""COMPUTED_VALUE"""),45658.0)</f>
        <v>45658</v>
      </c>
      <c r="B1319" t="str">
        <f>IFERROR(__xludf.DUMMYFUNCTION("""COMPUTED_VALUE"""),"Feli大租金")</f>
        <v>Feli大租金</v>
      </c>
      <c r="C1319" t="str">
        <f>IFERROR(__xludf.DUMMYFUNCTION("""COMPUTED_VALUE"""),"成本 - 大租金")</f>
        <v>成本 - 大租金</v>
      </c>
      <c r="D1319" s="270">
        <f>IFERROR(__xludf.DUMMYFUNCTION("""COMPUTED_VALUE"""),-18015.0)</f>
        <v>-18015</v>
      </c>
      <c r="E1319" t="str">
        <f>IFERROR(__xludf.DUMMYFUNCTION("""COMPUTED_VALUE"""),"台銀籌備帳戶")</f>
        <v>台銀籌備帳戶</v>
      </c>
      <c r="G1319" t="str">
        <f>IFERROR(__xludf.DUMMYFUNCTION("""COMPUTED_VALUE"""),"中山北Feli家")</f>
        <v>中山北Feli家</v>
      </c>
      <c r="H1319" s="106" t="str">
        <f t="shared" si="1"/>
        <v>2025-01</v>
      </c>
      <c r="I1319" s="271" t="str">
        <f>IFERROR(__xludf.DUMMYFUNCTION("""COMPUTED_VALUE"""),"貓狗企鵝")</f>
        <v>貓狗企鵝</v>
      </c>
      <c r="J1319" t="str">
        <f>IFERROR(__xludf.DUMMYFUNCTION("IFS(
  AND(REGEXMATCH(E1319, ""台銀籌備帳戶|玉山帳戶""), REGEXMATCH(C1319, ""薪資"")), ""分潤支出"",
  AND(REGEXMATCH(E1319, ""Ben帳戶|Elsa帳戶|Ben代墊|Ariel代墊|中信銀行共用""), REGEXMATCH(F1319, ""Ben帳戶|Elsa帳戶|Ben代墊|Ariel代墊|中信銀行共用"")), ""內部轉帳(忽略)"",
  AND(E1319&lt;&gt;"""", F1319&lt;&gt;"""", N"&amp;"OT(REGEXMATCH(C1319, ""薪資""))), ""內部轉帳(忽略)"",
  REGEXMATCH(C1319, ""薪資""), ""薪資變動(不計入)"",
  REGEXMATCH(C1319, ""押金""), ""押金往來"",
  AND(E1319&lt;&gt;"""", F1319=""""), ""真實支出"",
  AND(E1319="""", F1319&lt;&gt;""""), ""真實收入"",
  TRUE, ""其他""
)"),"真實支出")</f>
        <v>真實支出</v>
      </c>
      <c r="K1319" s="270">
        <f t="shared" si="2"/>
        <v>-18015</v>
      </c>
      <c r="L1319">
        <f t="shared" si="3"/>
        <v>0</v>
      </c>
    </row>
    <row r="1320">
      <c r="A1320" s="107">
        <f>IFERROR(__xludf.DUMMYFUNCTION("""COMPUTED_VALUE"""),45658.0)</f>
        <v>45658</v>
      </c>
      <c r="B1320" t="str">
        <f>IFERROR(__xludf.DUMMYFUNCTION("""COMPUTED_VALUE"""),"景安逸荃房租")</f>
        <v>景安逸荃房租</v>
      </c>
      <c r="C1320" t="str">
        <f>IFERROR(__xludf.DUMMYFUNCTION("""COMPUTED_VALUE"""),"成本 - 大租金")</f>
        <v>成本 - 大租金</v>
      </c>
      <c r="D1320" s="270">
        <f>IFERROR(__xludf.DUMMYFUNCTION("""COMPUTED_VALUE"""),-12515.0)</f>
        <v>-12515</v>
      </c>
      <c r="E1320" t="str">
        <f>IFERROR(__xludf.DUMMYFUNCTION("""COMPUTED_VALUE"""),"台銀籌備帳戶")</f>
        <v>台銀籌備帳戶</v>
      </c>
      <c r="G1320" t="str">
        <f>IFERROR(__xludf.DUMMYFUNCTION("""COMPUTED_VALUE"""),"景安2分鐘")</f>
        <v>景安2分鐘</v>
      </c>
      <c r="H1320" s="106" t="str">
        <f t="shared" si="1"/>
        <v>2025-01</v>
      </c>
      <c r="I1320" s="271" t="str">
        <f>IFERROR(__xludf.DUMMYFUNCTION("""COMPUTED_VALUE"""),"貓狗企鵝")</f>
        <v>貓狗企鵝</v>
      </c>
      <c r="J1320" t="str">
        <f>IFERROR(__xludf.DUMMYFUNCTION("IFS(
  AND(REGEXMATCH(E1320, ""台銀籌備帳戶|玉山帳戶""), REGEXMATCH(C1320, ""薪資"")), ""分潤支出"",
  AND(REGEXMATCH(E1320, ""Ben帳戶|Elsa帳戶|Ben代墊|Ariel代墊|中信銀行共用""), REGEXMATCH(F1320, ""Ben帳戶|Elsa帳戶|Ben代墊|Ariel代墊|中信銀行共用"")), ""內部轉帳(忽略)"",
  AND(E1320&lt;&gt;"""", F1320&lt;&gt;"""", N"&amp;"OT(REGEXMATCH(C1320, ""薪資""))), ""內部轉帳(忽略)"",
  REGEXMATCH(C1320, ""薪資""), ""薪資變動(不計入)"",
  REGEXMATCH(C1320, ""押金""), ""押金往來"",
  AND(E1320&lt;&gt;"""", F1320=""""), ""真實支出"",
  AND(E1320="""", F1320&lt;&gt;""""), ""真實收入"",
  TRUE, ""其他""
)"),"真實支出")</f>
        <v>真實支出</v>
      </c>
      <c r="K1320" s="270">
        <f t="shared" si="2"/>
        <v>-12515</v>
      </c>
      <c r="L1320">
        <f t="shared" si="3"/>
        <v>0</v>
      </c>
    </row>
    <row r="1321">
      <c r="A1321" s="107">
        <f>IFERROR(__xludf.DUMMYFUNCTION("""COMPUTED_VALUE"""),45658.0)</f>
        <v>45658</v>
      </c>
      <c r="B1321" t="str">
        <f>IFERROR(__xludf.DUMMYFUNCTION("""COMPUTED_VALUE"""),"金龍109屋主")</f>
        <v>金龍109屋主</v>
      </c>
      <c r="C1321" t="str">
        <f>IFERROR(__xludf.DUMMYFUNCTION("""COMPUTED_VALUE"""),"成本 - 大租金")</f>
        <v>成本 - 大租金</v>
      </c>
      <c r="D1321" s="270">
        <f>IFERROR(__xludf.DUMMYFUNCTION("""COMPUTED_VALUE"""),-17765.0)</f>
        <v>-17765</v>
      </c>
      <c r="E1321" t="str">
        <f>IFERROR(__xludf.DUMMYFUNCTION("""COMPUTED_VALUE"""),"台銀籌備帳戶")</f>
        <v>台銀籌備帳戶</v>
      </c>
      <c r="G1321" t="str">
        <f>IFERROR(__xludf.DUMMYFUNCTION("""COMPUTED_VALUE"""),"金龍帽子先生")</f>
        <v>金龍帽子先生</v>
      </c>
      <c r="H1321" s="106" t="str">
        <f t="shared" si="1"/>
        <v>2025-01</v>
      </c>
      <c r="I1321" s="271" t="str">
        <f>IFERROR(__xludf.DUMMYFUNCTION("""COMPUTED_VALUE"""),"貓狗企鵝")</f>
        <v>貓狗企鵝</v>
      </c>
      <c r="J1321" t="str">
        <f>IFERROR(__xludf.DUMMYFUNCTION("IFS(
  AND(REGEXMATCH(E1321, ""台銀籌備帳戶|玉山帳戶""), REGEXMATCH(C1321, ""薪資"")), ""分潤支出"",
  AND(REGEXMATCH(E1321, ""Ben帳戶|Elsa帳戶|Ben代墊|Ariel代墊|中信銀行共用""), REGEXMATCH(F1321, ""Ben帳戶|Elsa帳戶|Ben代墊|Ariel代墊|中信銀行共用"")), ""內部轉帳(忽略)"",
  AND(E1321&lt;&gt;"""", F1321&lt;&gt;"""", N"&amp;"OT(REGEXMATCH(C1321, ""薪資""))), ""內部轉帳(忽略)"",
  REGEXMATCH(C1321, ""薪資""), ""薪資變動(不計入)"",
  REGEXMATCH(C1321, ""押金""), ""押金往來"",
  AND(E1321&lt;&gt;"""", F1321=""""), ""真實支出"",
  AND(E1321="""", F1321&lt;&gt;""""), ""真實收入"",
  TRUE, ""其他""
)"),"真實支出")</f>
        <v>真實支出</v>
      </c>
      <c r="K1321" s="270">
        <f t="shared" si="2"/>
        <v>-17765</v>
      </c>
      <c r="L1321">
        <f t="shared" si="3"/>
        <v>0</v>
      </c>
    </row>
    <row r="1322">
      <c r="A1322" s="107">
        <f>IFERROR(__xludf.DUMMYFUNCTION("""COMPUTED_VALUE"""),45658.0)</f>
        <v>45658</v>
      </c>
      <c r="B1322" t="str">
        <f>IFERROR(__xludf.DUMMYFUNCTION("""COMPUTED_VALUE"""),"大湖陳彩霞")</f>
        <v>大湖陳彩霞</v>
      </c>
      <c r="C1322" t="str">
        <f>IFERROR(__xludf.DUMMYFUNCTION("""COMPUTED_VALUE"""),"成本 - 大租金")</f>
        <v>成本 - 大租金</v>
      </c>
      <c r="D1322" s="270">
        <f>IFERROR(__xludf.DUMMYFUNCTION("""COMPUTED_VALUE"""),-19415.0)</f>
        <v>-19415</v>
      </c>
      <c r="E1322" t="str">
        <f>IFERROR(__xludf.DUMMYFUNCTION("""COMPUTED_VALUE"""),"台銀籌備帳戶")</f>
        <v>台銀籌備帳戶</v>
      </c>
      <c r="G1322" t="str">
        <f>IFERROR(__xludf.DUMMYFUNCTION("""COMPUTED_VALUE"""),"大湖山莊")</f>
        <v>大湖山莊</v>
      </c>
      <c r="H1322" s="106" t="str">
        <f t="shared" si="1"/>
        <v>2025-01</v>
      </c>
      <c r="I1322" s="271" t="str">
        <f>IFERROR(__xludf.DUMMYFUNCTION("""COMPUTED_VALUE"""),"貓狗企鵝")</f>
        <v>貓狗企鵝</v>
      </c>
      <c r="J1322" t="str">
        <f>IFERROR(__xludf.DUMMYFUNCTION("IFS(
  AND(REGEXMATCH(E1322, ""台銀籌備帳戶|玉山帳戶""), REGEXMATCH(C1322, ""薪資"")), ""分潤支出"",
  AND(REGEXMATCH(E1322, ""Ben帳戶|Elsa帳戶|Ben代墊|Ariel代墊|中信銀行共用""), REGEXMATCH(F1322, ""Ben帳戶|Elsa帳戶|Ben代墊|Ariel代墊|中信銀行共用"")), ""內部轉帳(忽略)"",
  AND(E1322&lt;&gt;"""", F1322&lt;&gt;"""", N"&amp;"OT(REGEXMATCH(C1322, ""薪資""))), ""內部轉帳(忽略)"",
  REGEXMATCH(C1322, ""薪資""), ""薪資變動(不計入)"",
  REGEXMATCH(C1322, ""押金""), ""押金往來"",
  AND(E1322&lt;&gt;"""", F1322=""""), ""真實支出"",
  AND(E1322="""", F1322&lt;&gt;""""), ""真實收入"",
  TRUE, ""其他""
)"),"真實支出")</f>
        <v>真實支出</v>
      </c>
      <c r="K1322" s="270">
        <f t="shared" si="2"/>
        <v>-19415</v>
      </c>
      <c r="L1322">
        <f t="shared" si="3"/>
        <v>0</v>
      </c>
    </row>
    <row r="1323">
      <c r="A1323" s="107">
        <f>IFERROR(__xludf.DUMMYFUNCTION("""COMPUTED_VALUE"""),45658.0)</f>
        <v>45658</v>
      </c>
      <c r="B1323" t="str">
        <f>IFERROR(__xludf.DUMMYFUNCTION("""COMPUTED_VALUE"""),"哈拉陳校長")</f>
        <v>哈拉陳校長</v>
      </c>
      <c r="C1323" t="str">
        <f>IFERROR(__xludf.DUMMYFUNCTION("""COMPUTED_VALUE"""),"成本 - 大租金")</f>
        <v>成本 - 大租金</v>
      </c>
      <c r="D1323" s="270">
        <f>IFERROR(__xludf.DUMMYFUNCTION("""COMPUTED_VALUE"""),-13015.0)</f>
        <v>-13015</v>
      </c>
      <c r="E1323" t="str">
        <f>IFERROR(__xludf.DUMMYFUNCTION("""COMPUTED_VALUE"""),"台銀籌備帳戶")</f>
        <v>台銀籌備帳戶</v>
      </c>
      <c r="G1323" t="str">
        <f>IFERROR(__xludf.DUMMYFUNCTION("""COMPUTED_VALUE"""),"哈拉對面")</f>
        <v>哈拉對面</v>
      </c>
      <c r="H1323" s="106" t="str">
        <f t="shared" si="1"/>
        <v>2025-01</v>
      </c>
      <c r="I1323" s="271" t="str">
        <f>IFERROR(__xludf.DUMMYFUNCTION("""COMPUTED_VALUE"""),"貓狗企鵝")</f>
        <v>貓狗企鵝</v>
      </c>
      <c r="J1323" t="str">
        <f>IFERROR(__xludf.DUMMYFUNCTION("IFS(
  AND(REGEXMATCH(E1323, ""台銀籌備帳戶|玉山帳戶""), REGEXMATCH(C1323, ""薪資"")), ""分潤支出"",
  AND(REGEXMATCH(E1323, ""Ben帳戶|Elsa帳戶|Ben代墊|Ariel代墊|中信銀行共用""), REGEXMATCH(F1323, ""Ben帳戶|Elsa帳戶|Ben代墊|Ariel代墊|中信銀行共用"")), ""內部轉帳(忽略)"",
  AND(E1323&lt;&gt;"""", F1323&lt;&gt;"""", N"&amp;"OT(REGEXMATCH(C1323, ""薪資""))), ""內部轉帳(忽略)"",
  REGEXMATCH(C1323, ""薪資""), ""薪資變動(不計入)"",
  REGEXMATCH(C1323, ""押金""), ""押金往來"",
  AND(E1323&lt;&gt;"""", F1323=""""), ""真實支出"",
  AND(E1323="""", F1323&lt;&gt;""""), ""真實收入"",
  TRUE, ""其他""
)"),"真實支出")</f>
        <v>真實支出</v>
      </c>
      <c r="K1323" s="270">
        <f t="shared" si="2"/>
        <v>-13015</v>
      </c>
      <c r="L1323">
        <f t="shared" si="3"/>
        <v>0</v>
      </c>
    </row>
    <row r="1324">
      <c r="A1324" s="107">
        <f>IFERROR(__xludf.DUMMYFUNCTION("""COMPUTED_VALUE"""),45658.0)</f>
        <v>45658</v>
      </c>
      <c r="B1324" t="str">
        <f>IFERROR(__xludf.DUMMYFUNCTION("""COMPUTED_VALUE"""),"北醫陳醫師")</f>
        <v>北醫陳醫師</v>
      </c>
      <c r="C1324" t="str">
        <f>IFERROR(__xludf.DUMMYFUNCTION("""COMPUTED_VALUE"""),"成本 - 大租金")</f>
        <v>成本 - 大租金</v>
      </c>
      <c r="D1324" s="270">
        <f>IFERROR(__xludf.DUMMYFUNCTION("""COMPUTED_VALUE"""),-12815.0)</f>
        <v>-12815</v>
      </c>
      <c r="E1324" t="str">
        <f>IFERROR(__xludf.DUMMYFUNCTION("""COMPUTED_VALUE"""),"台銀籌備帳戶")</f>
        <v>台銀籌備帳戶</v>
      </c>
      <c r="G1324" t="str">
        <f>IFERROR(__xludf.DUMMYFUNCTION("""COMPUTED_VALUE"""),"北醫醫師府")</f>
        <v>北醫醫師府</v>
      </c>
      <c r="H1324" s="106" t="str">
        <f t="shared" si="1"/>
        <v>2025-01</v>
      </c>
      <c r="I1324" s="271" t="str">
        <f>IFERROR(__xludf.DUMMYFUNCTION("""COMPUTED_VALUE"""),"貓狗企鵝")</f>
        <v>貓狗企鵝</v>
      </c>
      <c r="J1324" t="str">
        <f>IFERROR(__xludf.DUMMYFUNCTION("IFS(
  AND(REGEXMATCH(E1324, ""台銀籌備帳戶|玉山帳戶""), REGEXMATCH(C1324, ""薪資"")), ""分潤支出"",
  AND(REGEXMATCH(E1324, ""Ben帳戶|Elsa帳戶|Ben代墊|Ariel代墊|中信銀行共用""), REGEXMATCH(F1324, ""Ben帳戶|Elsa帳戶|Ben代墊|Ariel代墊|中信銀行共用"")), ""內部轉帳(忽略)"",
  AND(E1324&lt;&gt;"""", F1324&lt;&gt;"""", N"&amp;"OT(REGEXMATCH(C1324, ""薪資""))), ""內部轉帳(忽略)"",
  REGEXMATCH(C1324, ""薪資""), ""薪資變動(不計入)"",
  REGEXMATCH(C1324, ""押金""), ""押金往來"",
  AND(E1324&lt;&gt;"""", F1324=""""), ""真實支出"",
  AND(E1324="""", F1324&lt;&gt;""""), ""真實收入"",
  TRUE, ""其他""
)"),"真實支出")</f>
        <v>真實支出</v>
      </c>
      <c r="K1324" s="270">
        <f t="shared" si="2"/>
        <v>-12815</v>
      </c>
      <c r="L1324">
        <f t="shared" si="3"/>
        <v>0</v>
      </c>
    </row>
    <row r="1325">
      <c r="A1325" s="107">
        <f>IFERROR(__xludf.DUMMYFUNCTION("""COMPUTED_VALUE"""),45658.0)</f>
        <v>45658</v>
      </c>
      <c r="B1325" t="str">
        <f>IFERROR(__xludf.DUMMYFUNCTION("""COMPUTED_VALUE"""),"中山北娘家房租")</f>
        <v>中山北娘家房租</v>
      </c>
      <c r="C1325" t="str">
        <f>IFERROR(__xludf.DUMMYFUNCTION("""COMPUTED_VALUE"""),"成本 - 大租金")</f>
        <v>成本 - 大租金</v>
      </c>
      <c r="D1325" s="270">
        <f>IFERROR(__xludf.DUMMYFUNCTION("""COMPUTED_VALUE"""),-11515.0)</f>
        <v>-11515</v>
      </c>
      <c r="E1325" t="str">
        <f>IFERROR(__xludf.DUMMYFUNCTION("""COMPUTED_VALUE"""),"台銀籌備帳戶")</f>
        <v>台銀籌備帳戶</v>
      </c>
      <c r="G1325" t="str">
        <f>IFERROR(__xludf.DUMMYFUNCTION("""COMPUTED_VALUE"""),"中山北娘家旁")</f>
        <v>中山北娘家旁</v>
      </c>
      <c r="H1325" s="106" t="str">
        <f t="shared" si="1"/>
        <v>2025-01</v>
      </c>
      <c r="I1325" s="271" t="str">
        <f>IFERROR(__xludf.DUMMYFUNCTION("""COMPUTED_VALUE"""),"貓狗企鵝")</f>
        <v>貓狗企鵝</v>
      </c>
      <c r="J1325" t="str">
        <f>IFERROR(__xludf.DUMMYFUNCTION("IFS(
  AND(REGEXMATCH(E1325, ""台銀籌備帳戶|玉山帳戶""), REGEXMATCH(C1325, ""薪資"")), ""分潤支出"",
  AND(REGEXMATCH(E1325, ""Ben帳戶|Elsa帳戶|Ben代墊|Ariel代墊|中信銀行共用""), REGEXMATCH(F1325, ""Ben帳戶|Elsa帳戶|Ben代墊|Ariel代墊|中信銀行共用"")), ""內部轉帳(忽略)"",
  AND(E1325&lt;&gt;"""", F1325&lt;&gt;"""", N"&amp;"OT(REGEXMATCH(C1325, ""薪資""))), ""內部轉帳(忽略)"",
  REGEXMATCH(C1325, ""薪資""), ""薪資變動(不計入)"",
  REGEXMATCH(C1325, ""押金""), ""押金往來"",
  AND(E1325&lt;&gt;"""", F1325=""""), ""真實支出"",
  AND(E1325="""", F1325&lt;&gt;""""), ""真實收入"",
  TRUE, ""其他""
)"),"真實支出")</f>
        <v>真實支出</v>
      </c>
      <c r="K1325" s="270">
        <f t="shared" si="2"/>
        <v>-11515</v>
      </c>
      <c r="L1325">
        <f t="shared" si="3"/>
        <v>0</v>
      </c>
    </row>
    <row r="1326">
      <c r="A1326" s="107">
        <f>IFERROR(__xludf.DUMMYFUNCTION("""COMPUTED_VALUE"""),45658.0)</f>
        <v>45658</v>
      </c>
      <c r="B1326" t="str">
        <f>IFERROR(__xludf.DUMMYFUNCTION("""COMPUTED_VALUE"""),"大湖山莊B施惠卿")</f>
        <v>大湖山莊B施惠卿</v>
      </c>
      <c r="C1326" t="str">
        <f>IFERROR(__xludf.DUMMYFUNCTION("""COMPUTED_VALUE"""),"收入 - 租金")</f>
        <v>收入 - 租金</v>
      </c>
      <c r="D1326" s="270">
        <f>IFERROR(__xludf.DUMMYFUNCTION("""COMPUTED_VALUE"""),12800.0)</f>
        <v>12800</v>
      </c>
      <c r="F1326" t="str">
        <f>IFERROR(__xludf.DUMMYFUNCTION("""COMPUTED_VALUE"""),"台銀籌備帳戶")</f>
        <v>台銀籌備帳戶</v>
      </c>
      <c r="G1326" t="str">
        <f>IFERROR(__xludf.DUMMYFUNCTION("""COMPUTED_VALUE"""),"大湖山莊")</f>
        <v>大湖山莊</v>
      </c>
      <c r="H1326" s="106" t="str">
        <f t="shared" si="1"/>
        <v>2025-01</v>
      </c>
      <c r="I1326" s="271" t="str">
        <f>IFERROR(__xludf.DUMMYFUNCTION("""COMPUTED_VALUE"""),"貓狗企鵝")</f>
        <v>貓狗企鵝</v>
      </c>
      <c r="J1326" t="str">
        <f>IFERROR(__xludf.DUMMYFUNCTION("IFS(
  AND(REGEXMATCH(E1326, ""台銀籌備帳戶|玉山帳戶""), REGEXMATCH(C1326, ""薪資"")), ""分潤支出"",
  AND(REGEXMATCH(E1326, ""Ben帳戶|Elsa帳戶|Ben代墊|Ariel代墊|中信銀行共用""), REGEXMATCH(F1326, ""Ben帳戶|Elsa帳戶|Ben代墊|Ariel代墊|中信銀行共用"")), ""內部轉帳(忽略)"",
  AND(E1326&lt;&gt;"""", F1326&lt;&gt;"""", N"&amp;"OT(REGEXMATCH(C1326, ""薪資""))), ""內部轉帳(忽略)"",
  REGEXMATCH(C1326, ""薪資""), ""薪資變動(不計入)"",
  REGEXMATCH(C1326, ""押金""), ""押金往來"",
  AND(E1326&lt;&gt;"""", F1326=""""), ""真實支出"",
  AND(E1326="""", F1326&lt;&gt;""""), ""真實收入"",
  TRUE, ""其他""
)"),"真實收入")</f>
        <v>真實收入</v>
      </c>
      <c r="K1326" s="270">
        <f t="shared" si="2"/>
        <v>12800</v>
      </c>
      <c r="L1326">
        <f t="shared" si="3"/>
        <v>0</v>
      </c>
    </row>
    <row r="1327">
      <c r="A1327" s="107">
        <f>IFERROR(__xludf.DUMMYFUNCTION("""COMPUTED_VALUE"""),45658.0)</f>
        <v>45658</v>
      </c>
      <c r="B1327" t="str">
        <f>IFERROR(__xludf.DUMMYFUNCTION("""COMPUTED_VALUE"""),"大湖山莊C姚伯謙")</f>
        <v>大湖山莊C姚伯謙</v>
      </c>
      <c r="C1327" t="str">
        <f>IFERROR(__xludf.DUMMYFUNCTION("""COMPUTED_VALUE"""),"收入 - 租金")</f>
        <v>收入 - 租金</v>
      </c>
      <c r="D1327" s="270">
        <f>IFERROR(__xludf.DUMMYFUNCTION("""COMPUTED_VALUE"""),18800.0)</f>
        <v>18800</v>
      </c>
      <c r="F1327" t="str">
        <f>IFERROR(__xludf.DUMMYFUNCTION("""COMPUTED_VALUE"""),"台銀籌備帳戶")</f>
        <v>台銀籌備帳戶</v>
      </c>
      <c r="G1327" t="str">
        <f>IFERROR(__xludf.DUMMYFUNCTION("""COMPUTED_VALUE"""),"大湖山莊")</f>
        <v>大湖山莊</v>
      </c>
      <c r="H1327" s="106" t="str">
        <f t="shared" si="1"/>
        <v>2025-01</v>
      </c>
      <c r="I1327" s="271" t="str">
        <f>IFERROR(__xludf.DUMMYFUNCTION("""COMPUTED_VALUE"""),"貓狗企鵝")</f>
        <v>貓狗企鵝</v>
      </c>
      <c r="J1327" t="str">
        <f>IFERROR(__xludf.DUMMYFUNCTION("IFS(
  AND(REGEXMATCH(E1327, ""台銀籌備帳戶|玉山帳戶""), REGEXMATCH(C1327, ""薪資"")), ""分潤支出"",
  AND(REGEXMATCH(E1327, ""Ben帳戶|Elsa帳戶|Ben代墊|Ariel代墊|中信銀行共用""), REGEXMATCH(F1327, ""Ben帳戶|Elsa帳戶|Ben代墊|Ariel代墊|中信銀行共用"")), ""內部轉帳(忽略)"",
  AND(E1327&lt;&gt;"""", F1327&lt;&gt;"""", N"&amp;"OT(REGEXMATCH(C1327, ""薪資""))), ""內部轉帳(忽略)"",
  REGEXMATCH(C1327, ""薪資""), ""薪資變動(不計入)"",
  REGEXMATCH(C1327, ""押金""), ""押金往來"",
  AND(E1327&lt;&gt;"""", F1327=""""), ""真實支出"",
  AND(E1327="""", F1327&lt;&gt;""""), ""真實收入"",
  TRUE, ""其他""
)"),"真實收入")</f>
        <v>真實收入</v>
      </c>
      <c r="K1327" s="270">
        <f t="shared" si="2"/>
        <v>18800</v>
      </c>
      <c r="L1327">
        <f t="shared" si="3"/>
        <v>0</v>
      </c>
    </row>
    <row r="1328">
      <c r="A1328" s="107">
        <f>IFERROR(__xludf.DUMMYFUNCTION("""COMPUTED_VALUE"""),45658.0)</f>
        <v>45658</v>
      </c>
      <c r="B1328" t="str">
        <f>IFERROR(__xludf.DUMMYFUNCTION("""COMPUTED_VALUE"""),"中山北Feli家E, F王翊樺")</f>
        <v>中山北Feli家E, F王翊樺</v>
      </c>
      <c r="C1328" t="str">
        <f>IFERROR(__xludf.DUMMYFUNCTION("""COMPUTED_VALUE"""),"收入 - 租金")</f>
        <v>收入 - 租金</v>
      </c>
      <c r="D1328" s="270">
        <f>IFERROR(__xludf.DUMMYFUNCTION("""COMPUTED_VALUE"""),31000.0)</f>
        <v>31000</v>
      </c>
      <c r="F1328" t="str">
        <f>IFERROR(__xludf.DUMMYFUNCTION("""COMPUTED_VALUE"""),"台銀籌備帳戶")</f>
        <v>台銀籌備帳戶</v>
      </c>
      <c r="G1328" t="str">
        <f>IFERROR(__xludf.DUMMYFUNCTION("""COMPUTED_VALUE"""),"中山北Feli家")</f>
        <v>中山北Feli家</v>
      </c>
      <c r="H1328" s="106" t="str">
        <f t="shared" si="1"/>
        <v>2025-01</v>
      </c>
      <c r="I1328" s="271" t="str">
        <f>IFERROR(__xludf.DUMMYFUNCTION("""COMPUTED_VALUE"""),"貓狗企鵝")</f>
        <v>貓狗企鵝</v>
      </c>
      <c r="J1328" t="str">
        <f>IFERROR(__xludf.DUMMYFUNCTION("IFS(
  AND(REGEXMATCH(E1328, ""台銀籌備帳戶|玉山帳戶""), REGEXMATCH(C1328, ""薪資"")), ""分潤支出"",
  AND(REGEXMATCH(E1328, ""Ben帳戶|Elsa帳戶|Ben代墊|Ariel代墊|中信銀行共用""), REGEXMATCH(F1328, ""Ben帳戶|Elsa帳戶|Ben代墊|Ariel代墊|中信銀行共用"")), ""內部轉帳(忽略)"",
  AND(E1328&lt;&gt;"""", F1328&lt;&gt;"""", N"&amp;"OT(REGEXMATCH(C1328, ""薪資""))), ""內部轉帳(忽略)"",
  REGEXMATCH(C1328, ""薪資""), ""薪資變動(不計入)"",
  REGEXMATCH(C1328, ""押金""), ""押金往來"",
  AND(E1328&lt;&gt;"""", F1328=""""), ""真實支出"",
  AND(E1328="""", F1328&lt;&gt;""""), ""真實收入"",
  TRUE, ""其他""
)"),"真實收入")</f>
        <v>真實收入</v>
      </c>
      <c r="K1328" s="270">
        <f t="shared" si="2"/>
        <v>31000</v>
      </c>
      <c r="L1328">
        <f t="shared" si="3"/>
        <v>0</v>
      </c>
    </row>
    <row r="1329">
      <c r="A1329" s="107">
        <f>IFERROR(__xludf.DUMMYFUNCTION("""COMPUTED_VALUE"""),45658.0)</f>
        <v>45658</v>
      </c>
      <c r="B1329" t="str">
        <f>IFERROR(__xludf.DUMMYFUNCTION("""COMPUTED_VALUE"""),"龍江229B陳佩娟")</f>
        <v>龍江229B陳佩娟</v>
      </c>
      <c r="C1329" t="str">
        <f>IFERROR(__xludf.DUMMYFUNCTION("""COMPUTED_VALUE"""),"收入 - 租金")</f>
        <v>收入 - 租金</v>
      </c>
      <c r="D1329" s="270">
        <f>IFERROR(__xludf.DUMMYFUNCTION("""COMPUTED_VALUE"""),13000.0)</f>
        <v>13000</v>
      </c>
      <c r="F1329" t="str">
        <f>IFERROR(__xludf.DUMMYFUNCTION("""COMPUTED_VALUE"""),"台銀籌備帳戶")</f>
        <v>台銀籌備帳戶</v>
      </c>
      <c r="G1329" t="str">
        <f>IFERROR(__xludf.DUMMYFUNCTION("""COMPUTED_VALUE"""),"龍江229")</f>
        <v>龍江229</v>
      </c>
      <c r="H1329" s="106" t="str">
        <f t="shared" si="1"/>
        <v>2025-01</v>
      </c>
      <c r="I1329" s="271" t="str">
        <f>IFERROR(__xludf.DUMMYFUNCTION("""COMPUTED_VALUE"""),"貓狗企鵝")</f>
        <v>貓狗企鵝</v>
      </c>
      <c r="J1329" t="str">
        <f>IFERROR(__xludf.DUMMYFUNCTION("IFS(
  AND(REGEXMATCH(E1329, ""台銀籌備帳戶|玉山帳戶""), REGEXMATCH(C1329, ""薪資"")), ""分潤支出"",
  AND(REGEXMATCH(E1329, ""Ben帳戶|Elsa帳戶|Ben代墊|Ariel代墊|中信銀行共用""), REGEXMATCH(F1329, ""Ben帳戶|Elsa帳戶|Ben代墊|Ariel代墊|中信銀行共用"")), ""內部轉帳(忽略)"",
  AND(E1329&lt;&gt;"""", F1329&lt;&gt;"""", N"&amp;"OT(REGEXMATCH(C1329, ""薪資""))), ""內部轉帳(忽略)"",
  REGEXMATCH(C1329, ""薪資""), ""薪資變動(不計入)"",
  REGEXMATCH(C1329, ""押金""), ""押金往來"",
  AND(E1329&lt;&gt;"""", F1329=""""), ""真實支出"",
  AND(E1329="""", F1329&lt;&gt;""""), ""真實收入"",
  TRUE, ""其他""
)"),"真實收入")</f>
        <v>真實收入</v>
      </c>
      <c r="K1329" s="270">
        <f t="shared" si="2"/>
        <v>13000</v>
      </c>
      <c r="L1329">
        <f t="shared" si="3"/>
        <v>0</v>
      </c>
    </row>
    <row r="1330">
      <c r="A1330" s="107">
        <f>IFERROR(__xludf.DUMMYFUNCTION("""COMPUTED_VALUE"""),45658.0)</f>
        <v>45658</v>
      </c>
      <c r="B1330" t="str">
        <f>IFERROR(__xludf.DUMMYFUNCTION("""COMPUTED_VALUE"""),"北醫醫師府B王品涵")</f>
        <v>北醫醫師府B王品涵</v>
      </c>
      <c r="C1330" t="str">
        <f>IFERROR(__xludf.DUMMYFUNCTION("""COMPUTED_VALUE"""),"收入 - 租金")</f>
        <v>收入 - 租金</v>
      </c>
      <c r="D1330" s="270">
        <f>IFERROR(__xludf.DUMMYFUNCTION("""COMPUTED_VALUE"""),19800.0)</f>
        <v>19800</v>
      </c>
      <c r="F1330" t="str">
        <f>IFERROR(__xludf.DUMMYFUNCTION("""COMPUTED_VALUE"""),"台銀籌備帳戶")</f>
        <v>台銀籌備帳戶</v>
      </c>
      <c r="G1330" t="str">
        <f>IFERROR(__xludf.DUMMYFUNCTION("""COMPUTED_VALUE"""),"北醫醫師府")</f>
        <v>北醫醫師府</v>
      </c>
      <c r="H1330" s="106" t="str">
        <f t="shared" si="1"/>
        <v>2025-01</v>
      </c>
      <c r="I1330" s="271" t="str">
        <f>IFERROR(__xludf.DUMMYFUNCTION("""COMPUTED_VALUE"""),"貓狗企鵝")</f>
        <v>貓狗企鵝</v>
      </c>
      <c r="J1330" t="str">
        <f>IFERROR(__xludf.DUMMYFUNCTION("IFS(
  AND(REGEXMATCH(E1330, ""台銀籌備帳戶|玉山帳戶""), REGEXMATCH(C1330, ""薪資"")), ""分潤支出"",
  AND(REGEXMATCH(E1330, ""Ben帳戶|Elsa帳戶|Ben代墊|Ariel代墊|中信銀行共用""), REGEXMATCH(F1330, ""Ben帳戶|Elsa帳戶|Ben代墊|Ariel代墊|中信銀行共用"")), ""內部轉帳(忽略)"",
  AND(E1330&lt;&gt;"""", F1330&lt;&gt;"""", N"&amp;"OT(REGEXMATCH(C1330, ""薪資""))), ""內部轉帳(忽略)"",
  REGEXMATCH(C1330, ""薪資""), ""薪資變動(不計入)"",
  REGEXMATCH(C1330, ""押金""), ""押金往來"",
  AND(E1330&lt;&gt;"""", F1330=""""), ""真實支出"",
  AND(E1330="""", F1330&lt;&gt;""""), ""真實收入"",
  TRUE, ""其他""
)"),"真實收入")</f>
        <v>真實收入</v>
      </c>
      <c r="K1330" s="270">
        <f t="shared" si="2"/>
        <v>19800</v>
      </c>
      <c r="L1330">
        <f t="shared" si="3"/>
        <v>0</v>
      </c>
    </row>
    <row r="1331">
      <c r="A1331" s="107">
        <f>IFERROR(__xludf.DUMMYFUNCTION("""COMPUTED_VALUE"""),45658.0)</f>
        <v>45658</v>
      </c>
      <c r="B1331" t="str">
        <f>IFERROR(__xludf.DUMMYFUNCTION("""COMPUTED_VALUE"""),"北醫醫師府	D	劉怡秀 Josie")</f>
        <v>北醫醫師府	D	劉怡秀 Josie</v>
      </c>
      <c r="C1331" t="str">
        <f>IFERROR(__xludf.DUMMYFUNCTION("""COMPUTED_VALUE"""),"收入 - 租金")</f>
        <v>收入 - 租金</v>
      </c>
      <c r="D1331" s="270">
        <f>IFERROR(__xludf.DUMMYFUNCTION("""COMPUTED_VALUE"""),12000.0)</f>
        <v>12000</v>
      </c>
      <c r="F1331" t="str">
        <f>IFERROR(__xludf.DUMMYFUNCTION("""COMPUTED_VALUE"""),"台銀籌備帳戶")</f>
        <v>台銀籌備帳戶</v>
      </c>
      <c r="G1331" t="str">
        <f>IFERROR(__xludf.DUMMYFUNCTION("""COMPUTED_VALUE"""),"北醫醫師府")</f>
        <v>北醫醫師府</v>
      </c>
      <c r="H1331" s="106" t="str">
        <f t="shared" si="1"/>
        <v>2025-01</v>
      </c>
      <c r="I1331" s="271" t="str">
        <f>IFERROR(__xludf.DUMMYFUNCTION("""COMPUTED_VALUE"""),"貓狗企鵝")</f>
        <v>貓狗企鵝</v>
      </c>
      <c r="J1331" t="str">
        <f>IFERROR(__xludf.DUMMYFUNCTION("IFS(
  AND(REGEXMATCH(E1331, ""台銀籌備帳戶|玉山帳戶""), REGEXMATCH(C1331, ""薪資"")), ""分潤支出"",
  AND(REGEXMATCH(E1331, ""Ben帳戶|Elsa帳戶|Ben代墊|Ariel代墊|中信銀行共用""), REGEXMATCH(F1331, ""Ben帳戶|Elsa帳戶|Ben代墊|Ariel代墊|中信銀行共用"")), ""內部轉帳(忽略)"",
  AND(E1331&lt;&gt;"""", F1331&lt;&gt;"""", N"&amp;"OT(REGEXMATCH(C1331, ""薪資""))), ""內部轉帳(忽略)"",
  REGEXMATCH(C1331, ""薪資""), ""薪資變動(不計入)"",
  REGEXMATCH(C1331, ""押金""), ""押金往來"",
  AND(E1331&lt;&gt;"""", F1331=""""), ""真實支出"",
  AND(E1331="""", F1331&lt;&gt;""""), ""真實收入"",
  TRUE, ""其他""
)"),"真實收入")</f>
        <v>真實收入</v>
      </c>
      <c r="K1331" s="270">
        <f t="shared" si="2"/>
        <v>12000</v>
      </c>
      <c r="L1331">
        <f t="shared" si="3"/>
        <v>0</v>
      </c>
    </row>
    <row r="1332">
      <c r="A1332" s="107">
        <f>IFERROR(__xludf.DUMMYFUNCTION("""COMPUTED_VALUE"""),45658.0)</f>
        <v>45658</v>
      </c>
      <c r="B1332" t="str">
        <f>IFERROR(__xludf.DUMMYFUNCTION("""COMPUTED_VALUE"""),"哈拉對面B黃彥瑞")</f>
        <v>哈拉對面B黃彥瑞</v>
      </c>
      <c r="C1332" t="str">
        <f>IFERROR(__xludf.DUMMYFUNCTION("""COMPUTED_VALUE"""),"收入 - 租金")</f>
        <v>收入 - 租金</v>
      </c>
      <c r="D1332" s="270">
        <f>IFERROR(__xludf.DUMMYFUNCTION("""COMPUTED_VALUE"""),15800.0)</f>
        <v>15800</v>
      </c>
      <c r="F1332" t="str">
        <f>IFERROR(__xludf.DUMMYFUNCTION("""COMPUTED_VALUE"""),"台銀籌備帳戶")</f>
        <v>台銀籌備帳戶</v>
      </c>
      <c r="G1332" t="str">
        <f>IFERROR(__xludf.DUMMYFUNCTION("""COMPUTED_VALUE"""),"哈拉對面")</f>
        <v>哈拉對面</v>
      </c>
      <c r="H1332" s="106" t="str">
        <f t="shared" si="1"/>
        <v>2025-01</v>
      </c>
      <c r="I1332" s="271" t="str">
        <f>IFERROR(__xludf.DUMMYFUNCTION("""COMPUTED_VALUE"""),"貓狗企鵝")</f>
        <v>貓狗企鵝</v>
      </c>
      <c r="J1332" t="str">
        <f>IFERROR(__xludf.DUMMYFUNCTION("IFS(
  AND(REGEXMATCH(E1332, ""台銀籌備帳戶|玉山帳戶""), REGEXMATCH(C1332, ""薪資"")), ""分潤支出"",
  AND(REGEXMATCH(E1332, ""Ben帳戶|Elsa帳戶|Ben代墊|Ariel代墊|中信銀行共用""), REGEXMATCH(F1332, ""Ben帳戶|Elsa帳戶|Ben代墊|Ariel代墊|中信銀行共用"")), ""內部轉帳(忽略)"",
  AND(E1332&lt;&gt;"""", F1332&lt;&gt;"""", N"&amp;"OT(REGEXMATCH(C1332, ""薪資""))), ""內部轉帳(忽略)"",
  REGEXMATCH(C1332, ""薪資""), ""薪資變動(不計入)"",
  REGEXMATCH(C1332, ""押金""), ""押金往來"",
  AND(E1332&lt;&gt;"""", F1332=""""), ""真實支出"",
  AND(E1332="""", F1332&lt;&gt;""""), ""真實收入"",
  TRUE, ""其他""
)"),"真實收入")</f>
        <v>真實收入</v>
      </c>
      <c r="K1332" s="270">
        <f t="shared" si="2"/>
        <v>15800</v>
      </c>
      <c r="L1332">
        <f t="shared" si="3"/>
        <v>0</v>
      </c>
    </row>
    <row r="1333">
      <c r="A1333" s="107">
        <f>IFERROR(__xludf.DUMMYFUNCTION("""COMPUTED_VALUE"""),45658.0)</f>
        <v>45658</v>
      </c>
      <c r="B1333" t="str">
        <f>IFERROR(__xludf.DUMMYFUNCTION("""COMPUTED_VALUE"""),"北醫醫師府C余典蓉")</f>
        <v>北醫醫師府C余典蓉</v>
      </c>
      <c r="C1333" t="str">
        <f>IFERROR(__xludf.DUMMYFUNCTION("""COMPUTED_VALUE"""),"收入 - 租金")</f>
        <v>收入 - 租金</v>
      </c>
      <c r="D1333" s="270">
        <f>IFERROR(__xludf.DUMMYFUNCTION("""COMPUTED_VALUE"""),13000.0)</f>
        <v>13000</v>
      </c>
      <c r="F1333" t="str">
        <f>IFERROR(__xludf.DUMMYFUNCTION("""COMPUTED_VALUE"""),"台銀籌備帳戶")</f>
        <v>台銀籌備帳戶</v>
      </c>
      <c r="G1333" t="str">
        <f>IFERROR(__xludf.DUMMYFUNCTION("""COMPUTED_VALUE"""),"北醫醫師府")</f>
        <v>北醫醫師府</v>
      </c>
      <c r="H1333" s="106" t="str">
        <f t="shared" si="1"/>
        <v>2025-01</v>
      </c>
      <c r="I1333" s="271" t="str">
        <f>IFERROR(__xludf.DUMMYFUNCTION("""COMPUTED_VALUE"""),"貓狗企鵝")</f>
        <v>貓狗企鵝</v>
      </c>
      <c r="J1333" t="str">
        <f>IFERROR(__xludf.DUMMYFUNCTION("IFS(
  AND(REGEXMATCH(E1333, ""台銀籌備帳戶|玉山帳戶""), REGEXMATCH(C1333, ""薪資"")), ""分潤支出"",
  AND(REGEXMATCH(E1333, ""Ben帳戶|Elsa帳戶|Ben代墊|Ariel代墊|中信銀行共用""), REGEXMATCH(F1333, ""Ben帳戶|Elsa帳戶|Ben代墊|Ariel代墊|中信銀行共用"")), ""內部轉帳(忽略)"",
  AND(E1333&lt;&gt;"""", F1333&lt;&gt;"""", N"&amp;"OT(REGEXMATCH(C1333, ""薪資""))), ""內部轉帳(忽略)"",
  REGEXMATCH(C1333, ""薪資""), ""薪資變動(不計入)"",
  REGEXMATCH(C1333, ""押金""), ""押金往來"",
  AND(E1333&lt;&gt;"""", F1333=""""), ""真實支出"",
  AND(E1333="""", F1333&lt;&gt;""""), ""真實收入"",
  TRUE, ""其他""
)"),"真實收入")</f>
        <v>真實收入</v>
      </c>
      <c r="K1333" s="270">
        <f t="shared" si="2"/>
        <v>13000</v>
      </c>
      <c r="L1333">
        <f t="shared" si="3"/>
        <v>0</v>
      </c>
    </row>
    <row r="1334">
      <c r="A1334" s="107">
        <f>IFERROR(__xludf.DUMMYFUNCTION("""COMPUTED_VALUE"""),45658.0)</f>
        <v>45658</v>
      </c>
      <c r="B1334" t="str">
        <f>IFERROR(__xludf.DUMMYFUNCTION("""COMPUTED_VALUE"""),"永春四號B袁家鳳")</f>
        <v>永春四號B袁家鳳</v>
      </c>
      <c r="C1334" t="str">
        <f>IFERROR(__xludf.DUMMYFUNCTION("""COMPUTED_VALUE"""),"收入 - 租金")</f>
        <v>收入 - 租金</v>
      </c>
      <c r="D1334" s="270">
        <f>IFERROR(__xludf.DUMMYFUNCTION("""COMPUTED_VALUE"""),13500.0)</f>
        <v>13500</v>
      </c>
      <c r="F1334" t="str">
        <f>IFERROR(__xludf.DUMMYFUNCTION("""COMPUTED_VALUE"""),"台銀籌備帳戶")</f>
        <v>台銀籌備帳戶</v>
      </c>
      <c r="G1334" t="str">
        <f>IFERROR(__xludf.DUMMYFUNCTION("""COMPUTED_VALUE"""),"永春四號")</f>
        <v>永春四號</v>
      </c>
      <c r="H1334" s="106" t="str">
        <f t="shared" si="1"/>
        <v>2025-01</v>
      </c>
      <c r="I1334" s="271" t="str">
        <f>IFERROR(__xludf.DUMMYFUNCTION("""COMPUTED_VALUE"""),"貓狗企鵝")</f>
        <v>貓狗企鵝</v>
      </c>
      <c r="J1334" t="str">
        <f>IFERROR(__xludf.DUMMYFUNCTION("IFS(
  AND(REGEXMATCH(E1334, ""台銀籌備帳戶|玉山帳戶""), REGEXMATCH(C1334, ""薪資"")), ""分潤支出"",
  AND(REGEXMATCH(E1334, ""Ben帳戶|Elsa帳戶|Ben代墊|Ariel代墊|中信銀行共用""), REGEXMATCH(F1334, ""Ben帳戶|Elsa帳戶|Ben代墊|Ariel代墊|中信銀行共用"")), ""內部轉帳(忽略)"",
  AND(E1334&lt;&gt;"""", F1334&lt;&gt;"""", N"&amp;"OT(REGEXMATCH(C1334, ""薪資""))), ""內部轉帳(忽略)"",
  REGEXMATCH(C1334, ""薪資""), ""薪資變動(不計入)"",
  REGEXMATCH(C1334, ""押金""), ""押金往來"",
  AND(E1334&lt;&gt;"""", F1334=""""), ""真實支出"",
  AND(E1334="""", F1334&lt;&gt;""""), ""真實收入"",
  TRUE, ""其他""
)"),"真實收入")</f>
        <v>真實收入</v>
      </c>
      <c r="K1334" s="270">
        <f t="shared" si="2"/>
        <v>13500</v>
      </c>
      <c r="L1334">
        <f t="shared" si="3"/>
        <v>0</v>
      </c>
    </row>
    <row r="1335">
      <c r="A1335" s="107">
        <f>IFERROR(__xludf.DUMMYFUNCTION("""COMPUTED_VALUE"""),45658.0)</f>
        <v>45658</v>
      </c>
      <c r="B1335" t="str">
        <f>IFERROR(__xludf.DUMMYFUNCTION("""COMPUTED_VALUE"""),"永春四號C林聿妡")</f>
        <v>永春四號C林聿妡</v>
      </c>
      <c r="C1335" t="str">
        <f>IFERROR(__xludf.DUMMYFUNCTION("""COMPUTED_VALUE"""),"收入 - 租金")</f>
        <v>收入 - 租金</v>
      </c>
      <c r="D1335" s="270">
        <f>IFERROR(__xludf.DUMMYFUNCTION("""COMPUTED_VALUE"""),13300.0)</f>
        <v>13300</v>
      </c>
      <c r="F1335" t="str">
        <f>IFERROR(__xludf.DUMMYFUNCTION("""COMPUTED_VALUE"""),"台銀籌備帳戶")</f>
        <v>台銀籌備帳戶</v>
      </c>
      <c r="G1335" t="str">
        <f>IFERROR(__xludf.DUMMYFUNCTION("""COMPUTED_VALUE"""),"永春四號")</f>
        <v>永春四號</v>
      </c>
      <c r="H1335" s="106" t="str">
        <f t="shared" si="1"/>
        <v>2025-01</v>
      </c>
      <c r="I1335" s="271" t="str">
        <f>IFERROR(__xludf.DUMMYFUNCTION("""COMPUTED_VALUE"""),"貓狗企鵝")</f>
        <v>貓狗企鵝</v>
      </c>
      <c r="J1335" t="str">
        <f>IFERROR(__xludf.DUMMYFUNCTION("IFS(
  AND(REGEXMATCH(E1335, ""台銀籌備帳戶|玉山帳戶""), REGEXMATCH(C1335, ""薪資"")), ""分潤支出"",
  AND(REGEXMATCH(E1335, ""Ben帳戶|Elsa帳戶|Ben代墊|Ariel代墊|中信銀行共用""), REGEXMATCH(F1335, ""Ben帳戶|Elsa帳戶|Ben代墊|Ariel代墊|中信銀行共用"")), ""內部轉帳(忽略)"",
  AND(E1335&lt;&gt;"""", F1335&lt;&gt;"""", N"&amp;"OT(REGEXMATCH(C1335, ""薪資""))), ""內部轉帳(忽略)"",
  REGEXMATCH(C1335, ""薪資""), ""薪資變動(不計入)"",
  REGEXMATCH(C1335, ""押金""), ""押金往來"",
  AND(E1335&lt;&gt;"""", F1335=""""), ""真實支出"",
  AND(E1335="""", F1335&lt;&gt;""""), ""真實收入"",
  TRUE, ""其他""
)"),"真實收入")</f>
        <v>真實收入</v>
      </c>
      <c r="K1335" s="270">
        <f t="shared" si="2"/>
        <v>13300</v>
      </c>
      <c r="L1335">
        <f t="shared" si="3"/>
        <v>0</v>
      </c>
    </row>
    <row r="1336">
      <c r="A1336" s="107">
        <f>IFERROR(__xludf.DUMMYFUNCTION("""COMPUTED_VALUE"""),45658.0)</f>
        <v>45658</v>
      </c>
      <c r="B1336" t="str">
        <f>IFERROR(__xludf.DUMMYFUNCTION("""COMPUTED_VALUE"""),"南港站挑高宅A莊以棋")</f>
        <v>南港站挑高宅A莊以棋</v>
      </c>
      <c r="C1336" t="str">
        <f>IFERROR(__xludf.DUMMYFUNCTION("""COMPUTED_VALUE"""),"收入 - 租金")</f>
        <v>收入 - 租金</v>
      </c>
      <c r="D1336" s="270">
        <f>IFERROR(__xludf.DUMMYFUNCTION("""COMPUTED_VALUE"""),13000.0)</f>
        <v>13000</v>
      </c>
      <c r="F1336" t="str">
        <f>IFERROR(__xludf.DUMMYFUNCTION("""COMPUTED_VALUE"""),"台銀籌備帳戶")</f>
        <v>台銀籌備帳戶</v>
      </c>
      <c r="G1336" t="str">
        <f>IFERROR(__xludf.DUMMYFUNCTION("""COMPUTED_VALUE"""),"南港站挑高宅")</f>
        <v>南港站挑高宅</v>
      </c>
      <c r="H1336" s="106" t="str">
        <f t="shared" si="1"/>
        <v>2025-01</v>
      </c>
      <c r="I1336" s="271" t="str">
        <f>IFERROR(__xludf.DUMMYFUNCTION("""COMPUTED_VALUE"""),"貓狗企鵝")</f>
        <v>貓狗企鵝</v>
      </c>
      <c r="J1336" t="str">
        <f>IFERROR(__xludf.DUMMYFUNCTION("IFS(
  AND(REGEXMATCH(E1336, ""台銀籌備帳戶|玉山帳戶""), REGEXMATCH(C1336, ""薪資"")), ""分潤支出"",
  AND(REGEXMATCH(E1336, ""Ben帳戶|Elsa帳戶|Ben代墊|Ariel代墊|中信銀行共用""), REGEXMATCH(F1336, ""Ben帳戶|Elsa帳戶|Ben代墊|Ariel代墊|中信銀行共用"")), ""內部轉帳(忽略)"",
  AND(E1336&lt;&gt;"""", F1336&lt;&gt;"""", N"&amp;"OT(REGEXMATCH(C1336, ""薪資""))), ""內部轉帳(忽略)"",
  REGEXMATCH(C1336, ""薪資""), ""薪資變動(不計入)"",
  REGEXMATCH(C1336, ""押金""), ""押金往來"",
  AND(E1336&lt;&gt;"""", F1336=""""), ""真實支出"",
  AND(E1336="""", F1336&lt;&gt;""""), ""真實收入"",
  TRUE, ""其他""
)"),"真實收入")</f>
        <v>真實收入</v>
      </c>
      <c r="K1336" s="270">
        <f t="shared" si="2"/>
        <v>13000</v>
      </c>
      <c r="L1336">
        <f t="shared" si="3"/>
        <v>0</v>
      </c>
    </row>
    <row r="1337">
      <c r="A1337" s="107">
        <f>IFERROR(__xludf.DUMMYFUNCTION("""COMPUTED_VALUE"""),45658.0)</f>
        <v>45658</v>
      </c>
      <c r="B1337" t="str">
        <f>IFERROR(__xludf.DUMMYFUNCTION("""COMPUTED_VALUE"""),"龍江229	C	陳雨彤")</f>
        <v>龍江229	C	陳雨彤</v>
      </c>
      <c r="C1337" t="str">
        <f>IFERROR(__xludf.DUMMYFUNCTION("""COMPUTED_VALUE"""),"收入 - 租金")</f>
        <v>收入 - 租金</v>
      </c>
      <c r="D1337" s="270">
        <f>IFERROR(__xludf.DUMMYFUNCTION("""COMPUTED_VALUE"""),16800.0)</f>
        <v>16800</v>
      </c>
      <c r="F1337" t="str">
        <f>IFERROR(__xludf.DUMMYFUNCTION("""COMPUTED_VALUE"""),"台銀籌備帳戶")</f>
        <v>台銀籌備帳戶</v>
      </c>
      <c r="G1337" t="str">
        <f>IFERROR(__xludf.DUMMYFUNCTION("""COMPUTED_VALUE"""),"龍江229")</f>
        <v>龍江229</v>
      </c>
      <c r="H1337" s="106" t="str">
        <f t="shared" si="1"/>
        <v>2025-01</v>
      </c>
      <c r="I1337" s="271" t="str">
        <f>IFERROR(__xludf.DUMMYFUNCTION("""COMPUTED_VALUE"""),"貓狗企鵝")</f>
        <v>貓狗企鵝</v>
      </c>
      <c r="J1337" t="str">
        <f>IFERROR(__xludf.DUMMYFUNCTION("IFS(
  AND(REGEXMATCH(E1337, ""台銀籌備帳戶|玉山帳戶""), REGEXMATCH(C1337, ""薪資"")), ""分潤支出"",
  AND(REGEXMATCH(E1337, ""Ben帳戶|Elsa帳戶|Ben代墊|Ariel代墊|中信銀行共用""), REGEXMATCH(F1337, ""Ben帳戶|Elsa帳戶|Ben代墊|Ariel代墊|中信銀行共用"")), ""內部轉帳(忽略)"",
  AND(E1337&lt;&gt;"""", F1337&lt;&gt;"""", N"&amp;"OT(REGEXMATCH(C1337, ""薪資""))), ""內部轉帳(忽略)"",
  REGEXMATCH(C1337, ""薪資""), ""薪資變動(不計入)"",
  REGEXMATCH(C1337, ""押金""), ""押金往來"",
  AND(E1337&lt;&gt;"""", F1337=""""), ""真實支出"",
  AND(E1337="""", F1337&lt;&gt;""""), ""真實收入"",
  TRUE, ""其他""
)"),"真實收入")</f>
        <v>真實收入</v>
      </c>
      <c r="K1337" s="270">
        <f t="shared" si="2"/>
        <v>16800</v>
      </c>
      <c r="L1337">
        <f t="shared" si="3"/>
        <v>0</v>
      </c>
    </row>
    <row r="1338">
      <c r="A1338" s="107">
        <f>IFERROR(__xludf.DUMMYFUNCTION("""COMPUTED_VALUE"""),45658.0)</f>
        <v>45658</v>
      </c>
      <c r="B1338" t="str">
        <f>IFERROR(__xludf.DUMMYFUNCTION("""COMPUTED_VALUE"""),"大湖山莊E吳彥霆")</f>
        <v>大湖山莊E吳彥霆</v>
      </c>
      <c r="C1338" t="str">
        <f>IFERROR(__xludf.DUMMYFUNCTION("""COMPUTED_VALUE"""),"收入 - 租金")</f>
        <v>收入 - 租金</v>
      </c>
      <c r="D1338" s="270">
        <f>IFERROR(__xludf.DUMMYFUNCTION("""COMPUTED_VALUE"""),12500.0)</f>
        <v>12500</v>
      </c>
      <c r="F1338" t="str">
        <f>IFERROR(__xludf.DUMMYFUNCTION("""COMPUTED_VALUE"""),"台銀籌備帳戶")</f>
        <v>台銀籌備帳戶</v>
      </c>
      <c r="G1338" t="str">
        <f>IFERROR(__xludf.DUMMYFUNCTION("""COMPUTED_VALUE"""),"大湖山莊")</f>
        <v>大湖山莊</v>
      </c>
      <c r="H1338" s="106" t="str">
        <f t="shared" si="1"/>
        <v>2025-01</v>
      </c>
      <c r="I1338" s="271" t="str">
        <f>IFERROR(__xludf.DUMMYFUNCTION("""COMPUTED_VALUE"""),"貓狗企鵝")</f>
        <v>貓狗企鵝</v>
      </c>
      <c r="J1338" t="str">
        <f>IFERROR(__xludf.DUMMYFUNCTION("IFS(
  AND(REGEXMATCH(E1338, ""台銀籌備帳戶|玉山帳戶""), REGEXMATCH(C1338, ""薪資"")), ""分潤支出"",
  AND(REGEXMATCH(E1338, ""Ben帳戶|Elsa帳戶|Ben代墊|Ariel代墊|中信銀行共用""), REGEXMATCH(F1338, ""Ben帳戶|Elsa帳戶|Ben代墊|Ariel代墊|中信銀行共用"")), ""內部轉帳(忽略)"",
  AND(E1338&lt;&gt;"""", F1338&lt;&gt;"""", N"&amp;"OT(REGEXMATCH(C1338, ""薪資""))), ""內部轉帳(忽略)"",
  REGEXMATCH(C1338, ""薪資""), ""薪資變動(不計入)"",
  REGEXMATCH(C1338, ""押金""), ""押金往來"",
  AND(E1338&lt;&gt;"""", F1338=""""), ""真實支出"",
  AND(E1338="""", F1338&lt;&gt;""""), ""真實收入"",
  TRUE, ""其他""
)"),"真實收入")</f>
        <v>真實收入</v>
      </c>
      <c r="K1338" s="270">
        <f t="shared" si="2"/>
        <v>12500</v>
      </c>
      <c r="L1338">
        <f t="shared" si="3"/>
        <v>0</v>
      </c>
    </row>
    <row r="1339">
      <c r="A1339" s="107">
        <f>IFERROR(__xludf.DUMMYFUNCTION("""COMPUTED_VALUE"""),45658.0)</f>
        <v>45658</v>
      </c>
      <c r="B1339" t="str">
        <f>IFERROR(__xludf.DUMMYFUNCTION("""COMPUTED_VALUE"""),"龍江229E許霈琪")</f>
        <v>龍江229E許霈琪</v>
      </c>
      <c r="C1339" t="str">
        <f>IFERROR(__xludf.DUMMYFUNCTION("""COMPUTED_VALUE"""),"收入 - 租金")</f>
        <v>收入 - 租金</v>
      </c>
      <c r="D1339" s="270">
        <f>IFERROR(__xludf.DUMMYFUNCTION("""COMPUTED_VALUE"""),13500.0)</f>
        <v>13500</v>
      </c>
      <c r="F1339" t="str">
        <f>IFERROR(__xludf.DUMMYFUNCTION("""COMPUTED_VALUE"""),"台銀籌備帳戶")</f>
        <v>台銀籌備帳戶</v>
      </c>
      <c r="G1339" t="str">
        <f>IFERROR(__xludf.DUMMYFUNCTION("""COMPUTED_VALUE"""),"龍江229")</f>
        <v>龍江229</v>
      </c>
      <c r="H1339" s="106" t="str">
        <f t="shared" si="1"/>
        <v>2025-01</v>
      </c>
      <c r="I1339" s="271" t="str">
        <f>IFERROR(__xludf.DUMMYFUNCTION("""COMPUTED_VALUE"""),"貓狗企鵝")</f>
        <v>貓狗企鵝</v>
      </c>
      <c r="J1339" t="str">
        <f>IFERROR(__xludf.DUMMYFUNCTION("IFS(
  AND(REGEXMATCH(E1339, ""台銀籌備帳戶|玉山帳戶""), REGEXMATCH(C1339, ""薪資"")), ""分潤支出"",
  AND(REGEXMATCH(E1339, ""Ben帳戶|Elsa帳戶|Ben代墊|Ariel代墊|中信銀行共用""), REGEXMATCH(F1339, ""Ben帳戶|Elsa帳戶|Ben代墊|Ariel代墊|中信銀行共用"")), ""內部轉帳(忽略)"",
  AND(E1339&lt;&gt;"""", F1339&lt;&gt;"""", N"&amp;"OT(REGEXMATCH(C1339, ""薪資""))), ""內部轉帳(忽略)"",
  REGEXMATCH(C1339, ""薪資""), ""薪資變動(不計入)"",
  REGEXMATCH(C1339, ""押金""), ""押金往來"",
  AND(E1339&lt;&gt;"""", F1339=""""), ""真實支出"",
  AND(E1339="""", F1339&lt;&gt;""""), ""真實收入"",
  TRUE, ""其他""
)"),"真實收入")</f>
        <v>真實收入</v>
      </c>
      <c r="K1339" s="270">
        <f t="shared" si="2"/>
        <v>13500</v>
      </c>
      <c r="L1339">
        <f t="shared" si="3"/>
        <v>0</v>
      </c>
    </row>
    <row r="1340">
      <c r="A1340" s="107">
        <f>IFERROR(__xludf.DUMMYFUNCTION("""COMPUTED_VALUE"""),45658.0)</f>
        <v>45658</v>
      </c>
      <c r="B1340" t="str">
        <f>IFERROR(__xludf.DUMMYFUNCTION("""COMPUTED_VALUE"""),"金龍帽子先生D蔡婷欣")</f>
        <v>金龍帽子先生D蔡婷欣</v>
      </c>
      <c r="C1340" t="str">
        <f>IFERROR(__xludf.DUMMYFUNCTION("""COMPUTED_VALUE"""),"收入 - 租金")</f>
        <v>收入 - 租金</v>
      </c>
      <c r="D1340" s="270">
        <f>IFERROR(__xludf.DUMMYFUNCTION("""COMPUTED_VALUE"""),14500.0)</f>
        <v>14500</v>
      </c>
      <c r="F1340" t="str">
        <f>IFERROR(__xludf.DUMMYFUNCTION("""COMPUTED_VALUE"""),"台銀籌備帳戶")</f>
        <v>台銀籌備帳戶</v>
      </c>
      <c r="G1340" t="str">
        <f>IFERROR(__xludf.DUMMYFUNCTION("""COMPUTED_VALUE"""),"金龍帽子先生")</f>
        <v>金龍帽子先生</v>
      </c>
      <c r="H1340" s="106" t="str">
        <f t="shared" si="1"/>
        <v>2025-01</v>
      </c>
      <c r="I1340" s="271" t="str">
        <f>IFERROR(__xludf.DUMMYFUNCTION("""COMPUTED_VALUE"""),"貓狗企鵝")</f>
        <v>貓狗企鵝</v>
      </c>
      <c r="J1340" t="str">
        <f>IFERROR(__xludf.DUMMYFUNCTION("IFS(
  AND(REGEXMATCH(E1340, ""台銀籌備帳戶|玉山帳戶""), REGEXMATCH(C1340, ""薪資"")), ""分潤支出"",
  AND(REGEXMATCH(E1340, ""Ben帳戶|Elsa帳戶|Ben代墊|Ariel代墊|中信銀行共用""), REGEXMATCH(F1340, ""Ben帳戶|Elsa帳戶|Ben代墊|Ariel代墊|中信銀行共用"")), ""內部轉帳(忽略)"",
  AND(E1340&lt;&gt;"""", F1340&lt;&gt;"""", N"&amp;"OT(REGEXMATCH(C1340, ""薪資""))), ""內部轉帳(忽略)"",
  REGEXMATCH(C1340, ""薪資""), ""薪資變動(不計入)"",
  REGEXMATCH(C1340, ""押金""), ""押金往來"",
  AND(E1340&lt;&gt;"""", F1340=""""), ""真實支出"",
  AND(E1340="""", F1340&lt;&gt;""""), ""真實收入"",
  TRUE, ""其他""
)"),"真實收入")</f>
        <v>真實收入</v>
      </c>
      <c r="K1340" s="270">
        <f t="shared" si="2"/>
        <v>14500</v>
      </c>
      <c r="L1340">
        <f t="shared" si="3"/>
        <v>0</v>
      </c>
    </row>
    <row r="1341">
      <c r="A1341" s="107">
        <f>IFERROR(__xludf.DUMMYFUNCTION("""COMPUTED_VALUE"""),45658.0)</f>
        <v>45658</v>
      </c>
      <c r="B1341" t="str">
        <f>IFERROR(__xludf.DUMMYFUNCTION("""COMPUTED_VALUE"""),"中山北Feli家	B	杜思瑀")</f>
        <v>中山北Feli家	B	杜思瑀</v>
      </c>
      <c r="C1341" t="str">
        <f>IFERROR(__xludf.DUMMYFUNCTION("""COMPUTED_VALUE"""),"收入 - 租金")</f>
        <v>收入 - 租金</v>
      </c>
      <c r="D1341" s="270">
        <f>IFERROR(__xludf.DUMMYFUNCTION("""COMPUTED_VALUE"""),17500.0)</f>
        <v>17500</v>
      </c>
      <c r="F1341" t="str">
        <f>IFERROR(__xludf.DUMMYFUNCTION("""COMPUTED_VALUE"""),"台銀籌備帳戶")</f>
        <v>台銀籌備帳戶</v>
      </c>
      <c r="G1341" t="str">
        <f>IFERROR(__xludf.DUMMYFUNCTION("""COMPUTED_VALUE"""),"中山北Feli家")</f>
        <v>中山北Feli家</v>
      </c>
      <c r="H1341" s="106" t="str">
        <f t="shared" si="1"/>
        <v>2025-01</v>
      </c>
      <c r="I1341" s="271" t="str">
        <f>IFERROR(__xludf.DUMMYFUNCTION("""COMPUTED_VALUE"""),"貓狗企鵝")</f>
        <v>貓狗企鵝</v>
      </c>
      <c r="J1341" t="str">
        <f>IFERROR(__xludf.DUMMYFUNCTION("IFS(
  AND(REGEXMATCH(E1341, ""台銀籌備帳戶|玉山帳戶""), REGEXMATCH(C1341, ""薪資"")), ""分潤支出"",
  AND(REGEXMATCH(E1341, ""Ben帳戶|Elsa帳戶|Ben代墊|Ariel代墊|中信銀行共用""), REGEXMATCH(F1341, ""Ben帳戶|Elsa帳戶|Ben代墊|Ariel代墊|中信銀行共用"")), ""內部轉帳(忽略)"",
  AND(E1341&lt;&gt;"""", F1341&lt;&gt;"""", N"&amp;"OT(REGEXMATCH(C1341, ""薪資""))), ""內部轉帳(忽略)"",
  REGEXMATCH(C1341, ""薪資""), ""薪資變動(不計入)"",
  REGEXMATCH(C1341, ""押金""), ""押金往來"",
  AND(E1341&lt;&gt;"""", F1341=""""), ""真實支出"",
  AND(E1341="""", F1341&lt;&gt;""""), ""真實收入"",
  TRUE, ""其他""
)"),"真實收入")</f>
        <v>真實收入</v>
      </c>
      <c r="K1341" s="270">
        <f t="shared" si="2"/>
        <v>17500</v>
      </c>
      <c r="L1341">
        <f t="shared" si="3"/>
        <v>0</v>
      </c>
    </row>
    <row r="1342">
      <c r="A1342" s="107">
        <f>IFERROR(__xludf.DUMMYFUNCTION("""COMPUTED_VALUE"""),45658.0)</f>
        <v>45658</v>
      </c>
      <c r="B1342" t="str">
        <f>IFERROR(__xludf.DUMMYFUNCTION("""COMPUTED_VALUE"""),"龍江229D黃依婷")</f>
        <v>龍江229D黃依婷</v>
      </c>
      <c r="C1342" t="str">
        <f>IFERROR(__xludf.DUMMYFUNCTION("""COMPUTED_VALUE"""),"收入 - 租金")</f>
        <v>收入 - 租金</v>
      </c>
      <c r="D1342" s="270">
        <f>IFERROR(__xludf.DUMMYFUNCTION("""COMPUTED_VALUE"""),13300.0)</f>
        <v>13300</v>
      </c>
      <c r="F1342" t="str">
        <f>IFERROR(__xludf.DUMMYFUNCTION("""COMPUTED_VALUE"""),"台銀籌備帳戶")</f>
        <v>台銀籌備帳戶</v>
      </c>
      <c r="G1342" t="str">
        <f>IFERROR(__xludf.DUMMYFUNCTION("""COMPUTED_VALUE"""),"龍江229")</f>
        <v>龍江229</v>
      </c>
      <c r="H1342" s="106" t="str">
        <f t="shared" si="1"/>
        <v>2025-01</v>
      </c>
      <c r="I1342" s="271" t="str">
        <f>IFERROR(__xludf.DUMMYFUNCTION("""COMPUTED_VALUE"""),"貓狗企鵝")</f>
        <v>貓狗企鵝</v>
      </c>
      <c r="J1342" t="str">
        <f>IFERROR(__xludf.DUMMYFUNCTION("IFS(
  AND(REGEXMATCH(E1342, ""台銀籌備帳戶|玉山帳戶""), REGEXMATCH(C1342, ""薪資"")), ""分潤支出"",
  AND(REGEXMATCH(E1342, ""Ben帳戶|Elsa帳戶|Ben代墊|Ariel代墊|中信銀行共用""), REGEXMATCH(F1342, ""Ben帳戶|Elsa帳戶|Ben代墊|Ariel代墊|中信銀行共用"")), ""內部轉帳(忽略)"",
  AND(E1342&lt;&gt;"""", F1342&lt;&gt;"""", N"&amp;"OT(REGEXMATCH(C1342, ""薪資""))), ""內部轉帳(忽略)"",
  REGEXMATCH(C1342, ""薪資""), ""薪資變動(不計入)"",
  REGEXMATCH(C1342, ""押金""), ""押金往來"",
  AND(E1342&lt;&gt;"""", F1342=""""), ""真實支出"",
  AND(E1342="""", F1342&lt;&gt;""""), ""真實收入"",
  TRUE, ""其他""
)"),"真實收入")</f>
        <v>真實收入</v>
      </c>
      <c r="K1342" s="270">
        <f t="shared" si="2"/>
        <v>13300</v>
      </c>
      <c r="L1342">
        <f t="shared" si="3"/>
        <v>0</v>
      </c>
    </row>
    <row r="1343">
      <c r="A1343" s="107">
        <f>IFERROR(__xludf.DUMMYFUNCTION("""COMPUTED_VALUE"""),45659.0)</f>
        <v>45659</v>
      </c>
      <c r="B1343" t="str">
        <f>IFERROR(__xludf.DUMMYFUNCTION("""COMPUTED_VALUE"""),"大湖山莊D陳昭瑄")</f>
        <v>大湖山莊D陳昭瑄</v>
      </c>
      <c r="C1343" t="str">
        <f>IFERROR(__xludf.DUMMYFUNCTION("""COMPUTED_VALUE"""),"收入 - 租金")</f>
        <v>收入 - 租金</v>
      </c>
      <c r="D1343" s="270">
        <f>IFERROR(__xludf.DUMMYFUNCTION("""COMPUTED_VALUE"""),14300.0)</f>
        <v>14300</v>
      </c>
      <c r="F1343" t="str">
        <f>IFERROR(__xludf.DUMMYFUNCTION("""COMPUTED_VALUE"""),"台銀籌備帳戶")</f>
        <v>台銀籌備帳戶</v>
      </c>
      <c r="G1343" t="str">
        <f>IFERROR(__xludf.DUMMYFUNCTION("""COMPUTED_VALUE"""),"大湖山莊")</f>
        <v>大湖山莊</v>
      </c>
      <c r="H1343" s="106" t="str">
        <f t="shared" si="1"/>
        <v>2025-01</v>
      </c>
      <c r="I1343" s="271" t="str">
        <f>IFERROR(__xludf.DUMMYFUNCTION("""COMPUTED_VALUE"""),"貓狗企鵝")</f>
        <v>貓狗企鵝</v>
      </c>
      <c r="J1343" t="str">
        <f>IFERROR(__xludf.DUMMYFUNCTION("IFS(
  AND(REGEXMATCH(E1343, ""台銀籌備帳戶|玉山帳戶""), REGEXMATCH(C1343, ""薪資"")), ""分潤支出"",
  AND(REGEXMATCH(E1343, ""Ben帳戶|Elsa帳戶|Ben代墊|Ariel代墊|中信銀行共用""), REGEXMATCH(F1343, ""Ben帳戶|Elsa帳戶|Ben代墊|Ariel代墊|中信銀行共用"")), ""內部轉帳(忽略)"",
  AND(E1343&lt;&gt;"""", F1343&lt;&gt;"""", N"&amp;"OT(REGEXMATCH(C1343, ""薪資""))), ""內部轉帳(忽略)"",
  REGEXMATCH(C1343, ""薪資""), ""薪資變動(不計入)"",
  REGEXMATCH(C1343, ""押金""), ""押金往來"",
  AND(E1343&lt;&gt;"""", F1343=""""), ""真實支出"",
  AND(E1343="""", F1343&lt;&gt;""""), ""真實收入"",
  TRUE, ""其他""
)"),"真實收入")</f>
        <v>真實收入</v>
      </c>
      <c r="K1343" s="270">
        <f t="shared" si="2"/>
        <v>14300</v>
      </c>
      <c r="L1343">
        <f t="shared" si="3"/>
        <v>0</v>
      </c>
    </row>
    <row r="1344">
      <c r="A1344" s="107">
        <f>IFERROR(__xludf.DUMMYFUNCTION("""COMPUTED_VALUE"""),45659.0)</f>
        <v>45659</v>
      </c>
      <c r="B1344" t="str">
        <f>IFERROR(__xludf.DUMMYFUNCTION("""COMPUTED_VALUE"""),"景安2分鐘B張語婕")</f>
        <v>景安2分鐘B張語婕</v>
      </c>
      <c r="C1344" t="str">
        <f>IFERROR(__xludf.DUMMYFUNCTION("""COMPUTED_VALUE"""),"收入 - 租金")</f>
        <v>收入 - 租金</v>
      </c>
      <c r="D1344" s="270">
        <f>IFERROR(__xludf.DUMMYFUNCTION("""COMPUTED_VALUE"""),18800.0)</f>
        <v>18800</v>
      </c>
      <c r="F1344" t="str">
        <f>IFERROR(__xludf.DUMMYFUNCTION("""COMPUTED_VALUE"""),"台銀籌備帳戶")</f>
        <v>台銀籌備帳戶</v>
      </c>
      <c r="G1344" t="str">
        <f>IFERROR(__xludf.DUMMYFUNCTION("""COMPUTED_VALUE"""),"景安2分鐘")</f>
        <v>景安2分鐘</v>
      </c>
      <c r="H1344" s="106" t="str">
        <f t="shared" si="1"/>
        <v>2025-01</v>
      </c>
      <c r="I1344" s="271" t="str">
        <f>IFERROR(__xludf.DUMMYFUNCTION("""COMPUTED_VALUE"""),"貓狗企鵝")</f>
        <v>貓狗企鵝</v>
      </c>
      <c r="J1344" t="str">
        <f>IFERROR(__xludf.DUMMYFUNCTION("IFS(
  AND(REGEXMATCH(E1344, ""台銀籌備帳戶|玉山帳戶""), REGEXMATCH(C1344, ""薪資"")), ""分潤支出"",
  AND(REGEXMATCH(E1344, ""Ben帳戶|Elsa帳戶|Ben代墊|Ariel代墊|中信銀行共用""), REGEXMATCH(F1344, ""Ben帳戶|Elsa帳戶|Ben代墊|Ariel代墊|中信銀行共用"")), ""內部轉帳(忽略)"",
  AND(E1344&lt;&gt;"""", F1344&lt;&gt;"""", N"&amp;"OT(REGEXMATCH(C1344, ""薪資""))), ""內部轉帳(忽略)"",
  REGEXMATCH(C1344, ""薪資""), ""薪資變動(不計入)"",
  REGEXMATCH(C1344, ""押金""), ""押金往來"",
  AND(E1344&lt;&gt;"""", F1344=""""), ""真實支出"",
  AND(E1344="""", F1344&lt;&gt;""""), ""真實收入"",
  TRUE, ""其他""
)"),"真實收入")</f>
        <v>真實收入</v>
      </c>
      <c r="K1344" s="270">
        <f t="shared" si="2"/>
        <v>18800</v>
      </c>
      <c r="L1344">
        <f t="shared" si="3"/>
        <v>0</v>
      </c>
    </row>
    <row r="1345">
      <c r="A1345" s="107">
        <f>IFERROR(__xludf.DUMMYFUNCTION("""COMPUTED_VALUE"""),45659.0)</f>
        <v>45659</v>
      </c>
      <c r="B1345" t="str">
        <f>IFERROR(__xludf.DUMMYFUNCTION("""COMPUTED_VALUE"""),"哈拉對面A李柏緯")</f>
        <v>哈拉對面A李柏緯</v>
      </c>
      <c r="C1345" t="str">
        <f>IFERROR(__xludf.DUMMYFUNCTION("""COMPUTED_VALUE"""),"收入 - 租金")</f>
        <v>收入 - 租金</v>
      </c>
      <c r="D1345" s="270">
        <f>IFERROR(__xludf.DUMMYFUNCTION("""COMPUTED_VALUE"""),11300.0)</f>
        <v>11300</v>
      </c>
      <c r="F1345" t="str">
        <f>IFERROR(__xludf.DUMMYFUNCTION("""COMPUTED_VALUE"""),"台銀籌備帳戶")</f>
        <v>台銀籌備帳戶</v>
      </c>
      <c r="G1345" t="str">
        <f>IFERROR(__xludf.DUMMYFUNCTION("""COMPUTED_VALUE"""),"哈拉對面")</f>
        <v>哈拉對面</v>
      </c>
      <c r="H1345" s="106" t="str">
        <f t="shared" si="1"/>
        <v>2025-01</v>
      </c>
      <c r="I1345" s="271" t="str">
        <f>IFERROR(__xludf.DUMMYFUNCTION("""COMPUTED_VALUE"""),"貓狗企鵝")</f>
        <v>貓狗企鵝</v>
      </c>
      <c r="J1345" t="str">
        <f>IFERROR(__xludf.DUMMYFUNCTION("IFS(
  AND(REGEXMATCH(E1345, ""台銀籌備帳戶|玉山帳戶""), REGEXMATCH(C1345, ""薪資"")), ""分潤支出"",
  AND(REGEXMATCH(E1345, ""Ben帳戶|Elsa帳戶|Ben代墊|Ariel代墊|中信銀行共用""), REGEXMATCH(F1345, ""Ben帳戶|Elsa帳戶|Ben代墊|Ariel代墊|中信銀行共用"")), ""內部轉帳(忽略)"",
  AND(E1345&lt;&gt;"""", F1345&lt;&gt;"""", N"&amp;"OT(REGEXMATCH(C1345, ""薪資""))), ""內部轉帳(忽略)"",
  REGEXMATCH(C1345, ""薪資""), ""薪資變動(不計入)"",
  REGEXMATCH(C1345, ""押金""), ""押金往來"",
  AND(E1345&lt;&gt;"""", F1345=""""), ""真實支出"",
  AND(E1345="""", F1345&lt;&gt;""""), ""真實收入"",
  TRUE, ""其他""
)"),"真實收入")</f>
        <v>真實收入</v>
      </c>
      <c r="K1345" s="270">
        <f t="shared" si="2"/>
        <v>11300</v>
      </c>
      <c r="L1345">
        <f t="shared" si="3"/>
        <v>0</v>
      </c>
    </row>
    <row r="1346">
      <c r="A1346" s="107">
        <f>IFERROR(__xludf.DUMMYFUNCTION("""COMPUTED_VALUE"""),45659.0)</f>
        <v>45659</v>
      </c>
      <c r="B1346" t="str">
        <f>IFERROR(__xludf.DUMMYFUNCTION("""COMPUTED_VALUE"""),"大湖山莊A熊翊丞")</f>
        <v>大湖山莊A熊翊丞</v>
      </c>
      <c r="C1346" t="str">
        <f>IFERROR(__xludf.DUMMYFUNCTION("""COMPUTED_VALUE"""),"收入 - 租金")</f>
        <v>收入 - 租金</v>
      </c>
      <c r="D1346" s="270">
        <f>IFERROR(__xludf.DUMMYFUNCTION("""COMPUTED_VALUE"""),13300.0)</f>
        <v>13300</v>
      </c>
      <c r="F1346" t="str">
        <f>IFERROR(__xludf.DUMMYFUNCTION("""COMPUTED_VALUE"""),"台銀籌備帳戶")</f>
        <v>台銀籌備帳戶</v>
      </c>
      <c r="G1346" t="str">
        <f>IFERROR(__xludf.DUMMYFUNCTION("""COMPUTED_VALUE"""),"大湖山莊")</f>
        <v>大湖山莊</v>
      </c>
      <c r="H1346" s="106" t="str">
        <f t="shared" si="1"/>
        <v>2025-01</v>
      </c>
      <c r="I1346" s="271" t="str">
        <f>IFERROR(__xludf.DUMMYFUNCTION("""COMPUTED_VALUE"""),"貓狗企鵝")</f>
        <v>貓狗企鵝</v>
      </c>
      <c r="J1346" t="str">
        <f>IFERROR(__xludf.DUMMYFUNCTION("IFS(
  AND(REGEXMATCH(E1346, ""台銀籌備帳戶|玉山帳戶""), REGEXMATCH(C1346, ""薪資"")), ""分潤支出"",
  AND(REGEXMATCH(E1346, ""Ben帳戶|Elsa帳戶|Ben代墊|Ariel代墊|中信銀行共用""), REGEXMATCH(F1346, ""Ben帳戶|Elsa帳戶|Ben代墊|Ariel代墊|中信銀行共用"")), ""內部轉帳(忽略)"",
  AND(E1346&lt;&gt;"""", F1346&lt;&gt;"""", N"&amp;"OT(REGEXMATCH(C1346, ""薪資""))), ""內部轉帳(忽略)"",
  REGEXMATCH(C1346, ""薪資""), ""薪資變動(不計入)"",
  REGEXMATCH(C1346, ""押金""), ""押金往來"",
  AND(E1346&lt;&gt;"""", F1346=""""), ""真實支出"",
  AND(E1346="""", F1346&lt;&gt;""""), ""真實收入"",
  TRUE, ""其他""
)"),"真實收入")</f>
        <v>真實收入</v>
      </c>
      <c r="K1346" s="270">
        <f t="shared" si="2"/>
        <v>13300</v>
      </c>
      <c r="L1346">
        <f t="shared" si="3"/>
        <v>0</v>
      </c>
    </row>
    <row r="1347">
      <c r="A1347" s="107">
        <f>IFERROR(__xludf.DUMMYFUNCTION("""COMPUTED_VALUE"""),45659.0)</f>
        <v>45659</v>
      </c>
      <c r="B1347" t="str">
        <f>IFERROR(__xludf.DUMMYFUNCTION("""COMPUTED_VALUE"""),"市府爺爺家A董書鵬")</f>
        <v>市府爺爺家A董書鵬</v>
      </c>
      <c r="C1347" t="str">
        <f>IFERROR(__xludf.DUMMYFUNCTION("""COMPUTED_VALUE"""),"收入 - 租金")</f>
        <v>收入 - 租金</v>
      </c>
      <c r="D1347" s="270">
        <f>IFERROR(__xludf.DUMMYFUNCTION("""COMPUTED_VALUE"""),22000.0)</f>
        <v>22000</v>
      </c>
      <c r="F1347" t="str">
        <f>IFERROR(__xludf.DUMMYFUNCTION("""COMPUTED_VALUE"""),"台銀籌備帳戶")</f>
        <v>台銀籌備帳戶</v>
      </c>
      <c r="G1347" t="str">
        <f>IFERROR(__xludf.DUMMYFUNCTION("""COMPUTED_VALUE"""),"市府爺爺家")</f>
        <v>市府爺爺家</v>
      </c>
      <c r="H1347" s="106" t="str">
        <f t="shared" si="1"/>
        <v>2025-01</v>
      </c>
      <c r="I1347" s="271" t="str">
        <f>IFERROR(__xludf.DUMMYFUNCTION("""COMPUTED_VALUE"""),"貓狗企鵝")</f>
        <v>貓狗企鵝</v>
      </c>
      <c r="J1347" t="str">
        <f>IFERROR(__xludf.DUMMYFUNCTION("IFS(
  AND(REGEXMATCH(E1347, ""台銀籌備帳戶|玉山帳戶""), REGEXMATCH(C1347, ""薪資"")), ""分潤支出"",
  AND(REGEXMATCH(E1347, ""Ben帳戶|Elsa帳戶|Ben代墊|Ariel代墊|中信銀行共用""), REGEXMATCH(F1347, ""Ben帳戶|Elsa帳戶|Ben代墊|Ariel代墊|中信銀行共用"")), ""內部轉帳(忽略)"",
  AND(E1347&lt;&gt;"""", F1347&lt;&gt;"""", N"&amp;"OT(REGEXMATCH(C1347, ""薪資""))), ""內部轉帳(忽略)"",
  REGEXMATCH(C1347, ""薪資""), ""薪資變動(不計入)"",
  REGEXMATCH(C1347, ""押金""), ""押金往來"",
  AND(E1347&lt;&gt;"""", F1347=""""), ""真實支出"",
  AND(E1347="""", F1347&lt;&gt;""""), ""真實收入"",
  TRUE, ""其他""
)"),"真實收入")</f>
        <v>真實收入</v>
      </c>
      <c r="K1347" s="270">
        <f t="shared" si="2"/>
        <v>22000</v>
      </c>
      <c r="L1347">
        <f t="shared" si="3"/>
        <v>0</v>
      </c>
    </row>
    <row r="1348">
      <c r="A1348" s="107">
        <f>IFERROR(__xludf.DUMMYFUNCTION("""COMPUTED_VALUE"""),45659.0)</f>
        <v>45659</v>
      </c>
      <c r="B1348" t="str">
        <f>IFERROR(__xludf.DUMMYFUNCTION("""COMPUTED_VALUE"""),"景安2分鐘	A	蕭宇榛")</f>
        <v>景安2分鐘	A	蕭宇榛</v>
      </c>
      <c r="C1348" t="str">
        <f>IFERROR(__xludf.DUMMYFUNCTION("""COMPUTED_VALUE"""),"收入 - 租金")</f>
        <v>收入 - 租金</v>
      </c>
      <c r="D1348" s="270">
        <f>IFERROR(__xludf.DUMMYFUNCTION("""COMPUTED_VALUE"""),14500.0)</f>
        <v>14500</v>
      </c>
      <c r="F1348" t="str">
        <f>IFERROR(__xludf.DUMMYFUNCTION("""COMPUTED_VALUE"""),"台銀籌備帳戶")</f>
        <v>台銀籌備帳戶</v>
      </c>
      <c r="G1348" t="str">
        <f>IFERROR(__xludf.DUMMYFUNCTION("""COMPUTED_VALUE"""),"景安2分鐘")</f>
        <v>景安2分鐘</v>
      </c>
      <c r="H1348" s="106" t="str">
        <f t="shared" si="1"/>
        <v>2025-01</v>
      </c>
      <c r="I1348" s="271" t="str">
        <f>IFERROR(__xludf.DUMMYFUNCTION("""COMPUTED_VALUE"""),"貓狗企鵝")</f>
        <v>貓狗企鵝</v>
      </c>
      <c r="J1348" t="str">
        <f>IFERROR(__xludf.DUMMYFUNCTION("IFS(
  AND(REGEXMATCH(E1348, ""台銀籌備帳戶|玉山帳戶""), REGEXMATCH(C1348, ""薪資"")), ""分潤支出"",
  AND(REGEXMATCH(E1348, ""Ben帳戶|Elsa帳戶|Ben代墊|Ariel代墊|中信銀行共用""), REGEXMATCH(F1348, ""Ben帳戶|Elsa帳戶|Ben代墊|Ariel代墊|中信銀行共用"")), ""內部轉帳(忽略)"",
  AND(E1348&lt;&gt;"""", F1348&lt;&gt;"""", N"&amp;"OT(REGEXMATCH(C1348, ""薪資""))), ""內部轉帳(忽略)"",
  REGEXMATCH(C1348, ""薪資""), ""薪資變動(不計入)"",
  REGEXMATCH(C1348, ""押金""), ""押金往來"",
  AND(E1348&lt;&gt;"""", F1348=""""), ""真實支出"",
  AND(E1348="""", F1348&lt;&gt;""""), ""真實收入"",
  TRUE, ""其他""
)"),"真實收入")</f>
        <v>真實收入</v>
      </c>
      <c r="K1348" s="270">
        <f t="shared" si="2"/>
        <v>14500</v>
      </c>
      <c r="L1348">
        <f t="shared" si="3"/>
        <v>0</v>
      </c>
    </row>
    <row r="1349">
      <c r="A1349" s="107">
        <f>IFERROR(__xludf.DUMMYFUNCTION("""COMPUTED_VALUE"""),45659.0)</f>
        <v>45659</v>
      </c>
      <c r="B1349" t="str">
        <f>IFERROR(__xludf.DUMMYFUNCTION("""COMPUTED_VALUE"""),"南港站挑高宅D吳城慕")</f>
        <v>南港站挑高宅D吳城慕</v>
      </c>
      <c r="C1349" t="str">
        <f>IFERROR(__xludf.DUMMYFUNCTION("""COMPUTED_VALUE"""),"收入 - 租金")</f>
        <v>收入 - 租金</v>
      </c>
      <c r="D1349" s="270">
        <f>IFERROR(__xludf.DUMMYFUNCTION("""COMPUTED_VALUE"""),14300.0)</f>
        <v>14300</v>
      </c>
      <c r="F1349" t="str">
        <f>IFERROR(__xludf.DUMMYFUNCTION("""COMPUTED_VALUE"""),"台銀籌備帳戶")</f>
        <v>台銀籌備帳戶</v>
      </c>
      <c r="G1349" t="str">
        <f>IFERROR(__xludf.DUMMYFUNCTION("""COMPUTED_VALUE"""),"南港站挑高宅")</f>
        <v>南港站挑高宅</v>
      </c>
      <c r="H1349" s="106" t="str">
        <f t="shared" si="1"/>
        <v>2025-01</v>
      </c>
      <c r="I1349" s="271" t="str">
        <f>IFERROR(__xludf.DUMMYFUNCTION("""COMPUTED_VALUE"""),"貓狗企鵝")</f>
        <v>貓狗企鵝</v>
      </c>
      <c r="J1349" t="str">
        <f>IFERROR(__xludf.DUMMYFUNCTION("IFS(
  AND(REGEXMATCH(E1349, ""台銀籌備帳戶|玉山帳戶""), REGEXMATCH(C1349, ""薪資"")), ""分潤支出"",
  AND(REGEXMATCH(E1349, ""Ben帳戶|Elsa帳戶|Ben代墊|Ariel代墊|中信銀行共用""), REGEXMATCH(F1349, ""Ben帳戶|Elsa帳戶|Ben代墊|Ariel代墊|中信銀行共用"")), ""內部轉帳(忽略)"",
  AND(E1349&lt;&gt;"""", F1349&lt;&gt;"""", N"&amp;"OT(REGEXMATCH(C1349, ""薪資""))), ""內部轉帳(忽略)"",
  REGEXMATCH(C1349, ""薪資""), ""薪資變動(不計入)"",
  REGEXMATCH(C1349, ""押金""), ""押金往來"",
  AND(E1349&lt;&gt;"""", F1349=""""), ""真實支出"",
  AND(E1349="""", F1349&lt;&gt;""""), ""真實收入"",
  TRUE, ""其他""
)"),"真實收入")</f>
        <v>真實收入</v>
      </c>
      <c r="K1349" s="270">
        <f t="shared" si="2"/>
        <v>14300</v>
      </c>
      <c r="L1349">
        <f t="shared" si="3"/>
        <v>0</v>
      </c>
    </row>
    <row r="1350">
      <c r="A1350" s="107">
        <f>IFERROR(__xludf.DUMMYFUNCTION("""COMPUTED_VALUE"""),45659.0)</f>
        <v>45659</v>
      </c>
      <c r="B1350" t="str">
        <f>IFERROR(__xludf.DUMMYFUNCTION("""COMPUTED_VALUE"""),"中山北娘家旁	A	李亨加")</f>
        <v>中山北娘家旁	A	李亨加</v>
      </c>
      <c r="C1350" t="str">
        <f>IFERROR(__xludf.DUMMYFUNCTION("""COMPUTED_VALUE"""),"收入 - 租金")</f>
        <v>收入 - 租金</v>
      </c>
      <c r="D1350" s="270">
        <f>IFERROR(__xludf.DUMMYFUNCTION("""COMPUTED_VALUE"""),12500.0)</f>
        <v>12500</v>
      </c>
      <c r="F1350" t="str">
        <f>IFERROR(__xludf.DUMMYFUNCTION("""COMPUTED_VALUE"""),"台銀籌備帳戶")</f>
        <v>台銀籌備帳戶</v>
      </c>
      <c r="G1350" t="str">
        <f>IFERROR(__xludf.DUMMYFUNCTION("""COMPUTED_VALUE"""),"中山北娘家旁")</f>
        <v>中山北娘家旁</v>
      </c>
      <c r="H1350" s="106" t="str">
        <f t="shared" si="1"/>
        <v>2025-01</v>
      </c>
      <c r="I1350" s="271" t="str">
        <f>IFERROR(__xludf.DUMMYFUNCTION("""COMPUTED_VALUE"""),"貓狗企鵝")</f>
        <v>貓狗企鵝</v>
      </c>
      <c r="J1350" t="str">
        <f>IFERROR(__xludf.DUMMYFUNCTION("IFS(
  AND(REGEXMATCH(E1350, ""台銀籌備帳戶|玉山帳戶""), REGEXMATCH(C1350, ""薪資"")), ""分潤支出"",
  AND(REGEXMATCH(E1350, ""Ben帳戶|Elsa帳戶|Ben代墊|Ariel代墊|中信銀行共用""), REGEXMATCH(F1350, ""Ben帳戶|Elsa帳戶|Ben代墊|Ariel代墊|中信銀行共用"")), ""內部轉帳(忽略)"",
  AND(E1350&lt;&gt;"""", F1350&lt;&gt;"""", N"&amp;"OT(REGEXMATCH(C1350, ""薪資""))), ""內部轉帳(忽略)"",
  REGEXMATCH(C1350, ""薪資""), ""薪資變動(不計入)"",
  REGEXMATCH(C1350, ""押金""), ""押金往來"",
  AND(E1350&lt;&gt;"""", F1350=""""), ""真實支出"",
  AND(E1350="""", F1350&lt;&gt;""""), ""真實收入"",
  TRUE, ""其他""
)"),"真實收入")</f>
        <v>真實收入</v>
      </c>
      <c r="K1350" s="270">
        <f t="shared" si="2"/>
        <v>12500</v>
      </c>
      <c r="L1350">
        <f t="shared" si="3"/>
        <v>0</v>
      </c>
    </row>
    <row r="1351">
      <c r="A1351" s="107">
        <f>IFERROR(__xludf.DUMMYFUNCTION("""COMPUTED_VALUE"""),45659.0)</f>
        <v>45659</v>
      </c>
      <c r="B1351" t="str">
        <f>IFERROR(__xludf.DUMMYFUNCTION("""COMPUTED_VALUE"""),"金龍帽子先生C李侑芯")</f>
        <v>金龍帽子先生C李侑芯</v>
      </c>
      <c r="C1351" t="str">
        <f>IFERROR(__xludf.DUMMYFUNCTION("""COMPUTED_VALUE"""),"收入 - 租金")</f>
        <v>收入 - 租金</v>
      </c>
      <c r="D1351" s="270">
        <f>IFERROR(__xludf.DUMMYFUNCTION("""COMPUTED_VALUE"""),14800.0)</f>
        <v>14800</v>
      </c>
      <c r="F1351" t="str">
        <f>IFERROR(__xludf.DUMMYFUNCTION("""COMPUTED_VALUE"""),"台銀籌備帳戶")</f>
        <v>台銀籌備帳戶</v>
      </c>
      <c r="G1351" t="str">
        <f>IFERROR(__xludf.DUMMYFUNCTION("""COMPUTED_VALUE"""),"金龍帽子先生")</f>
        <v>金龍帽子先生</v>
      </c>
      <c r="H1351" s="106" t="str">
        <f t="shared" si="1"/>
        <v>2025-01</v>
      </c>
      <c r="I1351" s="271" t="str">
        <f>IFERROR(__xludf.DUMMYFUNCTION("""COMPUTED_VALUE"""),"貓狗企鵝")</f>
        <v>貓狗企鵝</v>
      </c>
      <c r="J1351" t="str">
        <f>IFERROR(__xludf.DUMMYFUNCTION("IFS(
  AND(REGEXMATCH(E1351, ""台銀籌備帳戶|玉山帳戶""), REGEXMATCH(C1351, ""薪資"")), ""分潤支出"",
  AND(REGEXMATCH(E1351, ""Ben帳戶|Elsa帳戶|Ben代墊|Ariel代墊|中信銀行共用""), REGEXMATCH(F1351, ""Ben帳戶|Elsa帳戶|Ben代墊|Ariel代墊|中信銀行共用"")), ""內部轉帳(忽略)"",
  AND(E1351&lt;&gt;"""", F1351&lt;&gt;"""", N"&amp;"OT(REGEXMATCH(C1351, ""薪資""))), ""內部轉帳(忽略)"",
  REGEXMATCH(C1351, ""薪資""), ""薪資變動(不計入)"",
  REGEXMATCH(C1351, ""押金""), ""押金往來"",
  AND(E1351&lt;&gt;"""", F1351=""""), ""真實支出"",
  AND(E1351="""", F1351&lt;&gt;""""), ""真實收入"",
  TRUE, ""其他""
)"),"真實收入")</f>
        <v>真實收入</v>
      </c>
      <c r="K1351" s="270">
        <f t="shared" si="2"/>
        <v>14800</v>
      </c>
      <c r="L1351">
        <f t="shared" si="3"/>
        <v>0</v>
      </c>
    </row>
    <row r="1352">
      <c r="A1352" s="107">
        <f>IFERROR(__xludf.DUMMYFUNCTION("""COMPUTED_VALUE"""),45659.0)</f>
        <v>45659</v>
      </c>
      <c r="B1352" t="str">
        <f>IFERROR(__xludf.DUMMYFUNCTION("""COMPUTED_VALUE"""),"大湖山莊G林文心")</f>
        <v>大湖山莊G林文心</v>
      </c>
      <c r="C1352" t="str">
        <f>IFERROR(__xludf.DUMMYFUNCTION("""COMPUTED_VALUE"""),"收入 - 租金")</f>
        <v>收入 - 租金</v>
      </c>
      <c r="D1352" s="270">
        <f>IFERROR(__xludf.DUMMYFUNCTION("""COMPUTED_VALUE"""),15000.0)</f>
        <v>15000</v>
      </c>
      <c r="F1352" t="str">
        <f>IFERROR(__xludf.DUMMYFUNCTION("""COMPUTED_VALUE"""),"台銀籌備帳戶")</f>
        <v>台銀籌備帳戶</v>
      </c>
      <c r="G1352" t="str">
        <f>IFERROR(__xludf.DUMMYFUNCTION("""COMPUTED_VALUE"""),"大湖山莊")</f>
        <v>大湖山莊</v>
      </c>
      <c r="H1352" s="106" t="str">
        <f t="shared" si="1"/>
        <v>2025-01</v>
      </c>
      <c r="I1352" s="271" t="str">
        <f>IFERROR(__xludf.DUMMYFUNCTION("""COMPUTED_VALUE"""),"貓狗企鵝")</f>
        <v>貓狗企鵝</v>
      </c>
      <c r="J1352" t="str">
        <f>IFERROR(__xludf.DUMMYFUNCTION("IFS(
  AND(REGEXMATCH(E1352, ""台銀籌備帳戶|玉山帳戶""), REGEXMATCH(C1352, ""薪資"")), ""分潤支出"",
  AND(REGEXMATCH(E1352, ""Ben帳戶|Elsa帳戶|Ben代墊|Ariel代墊|中信銀行共用""), REGEXMATCH(F1352, ""Ben帳戶|Elsa帳戶|Ben代墊|Ariel代墊|中信銀行共用"")), ""內部轉帳(忽略)"",
  AND(E1352&lt;&gt;"""", F1352&lt;&gt;"""", N"&amp;"OT(REGEXMATCH(C1352, ""薪資""))), ""內部轉帳(忽略)"",
  REGEXMATCH(C1352, ""薪資""), ""薪資變動(不計入)"",
  REGEXMATCH(C1352, ""押金""), ""押金往來"",
  AND(E1352&lt;&gt;"""", F1352=""""), ""真實支出"",
  AND(E1352="""", F1352&lt;&gt;""""), ""真實收入"",
  TRUE, ""其他""
)"),"真實收入")</f>
        <v>真實收入</v>
      </c>
      <c r="K1352" s="270">
        <f t="shared" si="2"/>
        <v>15000</v>
      </c>
      <c r="L1352">
        <f t="shared" si="3"/>
        <v>0</v>
      </c>
    </row>
    <row r="1353">
      <c r="A1353" s="107">
        <f>IFERROR(__xludf.DUMMYFUNCTION("""COMPUTED_VALUE"""),45659.0)</f>
        <v>45659</v>
      </c>
      <c r="B1353" t="str">
        <f>IFERROR(__xludf.DUMMYFUNCTION("""COMPUTED_VALUE"""),"中山北Feli家D陳姵方")</f>
        <v>中山北Feli家D陳姵方</v>
      </c>
      <c r="C1353" t="str">
        <f>IFERROR(__xludf.DUMMYFUNCTION("""COMPUTED_VALUE"""),"收入 - 租金")</f>
        <v>收入 - 租金</v>
      </c>
      <c r="D1353" s="270">
        <f>IFERROR(__xludf.DUMMYFUNCTION("""COMPUTED_VALUE"""),10800.0)</f>
        <v>10800</v>
      </c>
      <c r="F1353" t="str">
        <f>IFERROR(__xludf.DUMMYFUNCTION("""COMPUTED_VALUE"""),"台銀籌備帳戶")</f>
        <v>台銀籌備帳戶</v>
      </c>
      <c r="G1353" t="str">
        <f>IFERROR(__xludf.DUMMYFUNCTION("""COMPUTED_VALUE"""),"中山北Feli家")</f>
        <v>中山北Feli家</v>
      </c>
      <c r="H1353" s="106" t="str">
        <f t="shared" si="1"/>
        <v>2025-01</v>
      </c>
      <c r="I1353" s="271" t="str">
        <f>IFERROR(__xludf.DUMMYFUNCTION("""COMPUTED_VALUE"""),"貓狗企鵝")</f>
        <v>貓狗企鵝</v>
      </c>
      <c r="J1353" t="str">
        <f>IFERROR(__xludf.DUMMYFUNCTION("IFS(
  AND(REGEXMATCH(E1353, ""台銀籌備帳戶|玉山帳戶""), REGEXMATCH(C1353, ""薪資"")), ""分潤支出"",
  AND(REGEXMATCH(E1353, ""Ben帳戶|Elsa帳戶|Ben代墊|Ariel代墊|中信銀行共用""), REGEXMATCH(F1353, ""Ben帳戶|Elsa帳戶|Ben代墊|Ariel代墊|中信銀行共用"")), ""內部轉帳(忽略)"",
  AND(E1353&lt;&gt;"""", F1353&lt;&gt;"""", N"&amp;"OT(REGEXMATCH(C1353, ""薪資""))), ""內部轉帳(忽略)"",
  REGEXMATCH(C1353, ""薪資""), ""薪資變動(不計入)"",
  REGEXMATCH(C1353, ""押金""), ""押金往來"",
  AND(E1353&lt;&gt;"""", F1353=""""), ""真實支出"",
  AND(E1353="""", F1353&lt;&gt;""""), ""真實收入"",
  TRUE, ""其他""
)"),"真實收入")</f>
        <v>真實收入</v>
      </c>
      <c r="K1353" s="270">
        <f t="shared" si="2"/>
        <v>10800</v>
      </c>
      <c r="L1353">
        <f t="shared" si="3"/>
        <v>0</v>
      </c>
    </row>
    <row r="1354">
      <c r="A1354" s="107">
        <f>IFERROR(__xludf.DUMMYFUNCTION("""COMPUTED_VALUE"""),45659.0)</f>
        <v>45659</v>
      </c>
      <c r="B1354" t="str">
        <f>IFERROR(__xludf.DUMMYFUNCTION("""COMPUTED_VALUE"""),"南港站挑高宅E張劉明翔")</f>
        <v>南港站挑高宅E張劉明翔</v>
      </c>
      <c r="C1354" t="str">
        <f>IFERROR(__xludf.DUMMYFUNCTION("""COMPUTED_VALUE"""),"收入 - 租金")</f>
        <v>收入 - 租金</v>
      </c>
      <c r="D1354" s="270">
        <f>IFERROR(__xludf.DUMMYFUNCTION("""COMPUTED_VALUE"""),12800.0)</f>
        <v>12800</v>
      </c>
      <c r="F1354" t="str">
        <f>IFERROR(__xludf.DUMMYFUNCTION("""COMPUTED_VALUE"""),"台銀籌備帳戶")</f>
        <v>台銀籌備帳戶</v>
      </c>
      <c r="G1354" t="str">
        <f>IFERROR(__xludf.DUMMYFUNCTION("""COMPUTED_VALUE"""),"南港站挑高宅")</f>
        <v>南港站挑高宅</v>
      </c>
      <c r="H1354" s="106" t="str">
        <f t="shared" si="1"/>
        <v>2025-01</v>
      </c>
      <c r="I1354" s="271" t="str">
        <f>IFERROR(__xludf.DUMMYFUNCTION("""COMPUTED_VALUE"""),"貓狗企鵝")</f>
        <v>貓狗企鵝</v>
      </c>
      <c r="J1354" t="str">
        <f>IFERROR(__xludf.DUMMYFUNCTION("IFS(
  AND(REGEXMATCH(E1354, ""台銀籌備帳戶|玉山帳戶""), REGEXMATCH(C1354, ""薪資"")), ""分潤支出"",
  AND(REGEXMATCH(E1354, ""Ben帳戶|Elsa帳戶|Ben代墊|Ariel代墊|中信銀行共用""), REGEXMATCH(F1354, ""Ben帳戶|Elsa帳戶|Ben代墊|Ariel代墊|中信銀行共用"")), ""內部轉帳(忽略)"",
  AND(E1354&lt;&gt;"""", F1354&lt;&gt;"""", N"&amp;"OT(REGEXMATCH(C1354, ""薪資""))), ""內部轉帳(忽略)"",
  REGEXMATCH(C1354, ""薪資""), ""薪資變動(不計入)"",
  REGEXMATCH(C1354, ""押金""), ""押金往來"",
  AND(E1354&lt;&gt;"""", F1354=""""), ""真實支出"",
  AND(E1354="""", F1354&lt;&gt;""""), ""真實收入"",
  TRUE, ""其他""
)"),"真實收入")</f>
        <v>真實收入</v>
      </c>
      <c r="K1354" s="270">
        <f t="shared" si="2"/>
        <v>12800</v>
      </c>
      <c r="L1354">
        <f t="shared" si="3"/>
        <v>0</v>
      </c>
    </row>
    <row r="1355">
      <c r="A1355" s="107">
        <f>IFERROR(__xludf.DUMMYFUNCTION("""COMPUTED_VALUE"""),45659.0)</f>
        <v>45659</v>
      </c>
      <c r="B1355" t="str">
        <f>IFERROR(__xludf.DUMMYFUNCTION("""COMPUTED_VALUE"""),"北醫醫師府E洪睿佑")</f>
        <v>北醫醫師府E洪睿佑</v>
      </c>
      <c r="C1355" t="str">
        <f>IFERROR(__xludf.DUMMYFUNCTION("""COMPUTED_VALUE"""),"收入 - 租金")</f>
        <v>收入 - 租金</v>
      </c>
      <c r="D1355" s="270">
        <f>IFERROR(__xludf.DUMMYFUNCTION("""COMPUTED_VALUE"""),14800.0)</f>
        <v>14800</v>
      </c>
      <c r="F1355" t="str">
        <f>IFERROR(__xludf.DUMMYFUNCTION("""COMPUTED_VALUE"""),"台銀籌備帳戶")</f>
        <v>台銀籌備帳戶</v>
      </c>
      <c r="G1355" t="str">
        <f>IFERROR(__xludf.DUMMYFUNCTION("""COMPUTED_VALUE"""),"北醫醫師府")</f>
        <v>北醫醫師府</v>
      </c>
      <c r="H1355" s="106" t="str">
        <f t="shared" si="1"/>
        <v>2025-01</v>
      </c>
      <c r="I1355" s="271" t="str">
        <f>IFERROR(__xludf.DUMMYFUNCTION("""COMPUTED_VALUE"""),"貓狗企鵝")</f>
        <v>貓狗企鵝</v>
      </c>
      <c r="J1355" t="str">
        <f>IFERROR(__xludf.DUMMYFUNCTION("IFS(
  AND(REGEXMATCH(E1355, ""台銀籌備帳戶|玉山帳戶""), REGEXMATCH(C1355, ""薪資"")), ""分潤支出"",
  AND(REGEXMATCH(E1355, ""Ben帳戶|Elsa帳戶|Ben代墊|Ariel代墊|中信銀行共用""), REGEXMATCH(F1355, ""Ben帳戶|Elsa帳戶|Ben代墊|Ariel代墊|中信銀行共用"")), ""內部轉帳(忽略)"",
  AND(E1355&lt;&gt;"""", F1355&lt;&gt;"""", N"&amp;"OT(REGEXMATCH(C1355, ""薪資""))), ""內部轉帳(忽略)"",
  REGEXMATCH(C1355, ""薪資""), ""薪資變動(不計入)"",
  REGEXMATCH(C1355, ""押金""), ""押金往來"",
  AND(E1355&lt;&gt;"""", F1355=""""), ""真實支出"",
  AND(E1355="""", F1355&lt;&gt;""""), ""真實收入"",
  TRUE, ""其他""
)"),"真實收入")</f>
        <v>真實收入</v>
      </c>
      <c r="K1355" s="270">
        <f t="shared" si="2"/>
        <v>14800</v>
      </c>
      <c r="L1355">
        <f t="shared" si="3"/>
        <v>0</v>
      </c>
    </row>
    <row r="1356">
      <c r="A1356" s="107">
        <f>IFERROR(__xludf.DUMMYFUNCTION("""COMPUTED_VALUE"""),45659.0)</f>
        <v>45659</v>
      </c>
      <c r="B1356" t="str">
        <f>IFERROR(__xludf.DUMMYFUNCTION("""COMPUTED_VALUE"""),"北醫醫師府F林雍勳")</f>
        <v>北醫醫師府F林雍勳</v>
      </c>
      <c r="C1356" t="str">
        <f>IFERROR(__xludf.DUMMYFUNCTION("""COMPUTED_VALUE"""),"收入 - 租金")</f>
        <v>收入 - 租金</v>
      </c>
      <c r="D1356" s="270">
        <f>IFERROR(__xludf.DUMMYFUNCTION("""COMPUTED_VALUE"""),14800.0)</f>
        <v>14800</v>
      </c>
      <c r="F1356" t="str">
        <f>IFERROR(__xludf.DUMMYFUNCTION("""COMPUTED_VALUE"""),"台銀籌備帳戶")</f>
        <v>台銀籌備帳戶</v>
      </c>
      <c r="G1356" t="str">
        <f>IFERROR(__xludf.DUMMYFUNCTION("""COMPUTED_VALUE"""),"北醫醫師府")</f>
        <v>北醫醫師府</v>
      </c>
      <c r="H1356" s="106" t="str">
        <f t="shared" si="1"/>
        <v>2025-01</v>
      </c>
      <c r="I1356" s="271" t="str">
        <f>IFERROR(__xludf.DUMMYFUNCTION("""COMPUTED_VALUE"""),"貓狗企鵝")</f>
        <v>貓狗企鵝</v>
      </c>
      <c r="J1356" t="str">
        <f>IFERROR(__xludf.DUMMYFUNCTION("IFS(
  AND(REGEXMATCH(E1356, ""台銀籌備帳戶|玉山帳戶""), REGEXMATCH(C1356, ""薪資"")), ""分潤支出"",
  AND(REGEXMATCH(E1356, ""Ben帳戶|Elsa帳戶|Ben代墊|Ariel代墊|中信銀行共用""), REGEXMATCH(F1356, ""Ben帳戶|Elsa帳戶|Ben代墊|Ariel代墊|中信銀行共用"")), ""內部轉帳(忽略)"",
  AND(E1356&lt;&gt;"""", F1356&lt;&gt;"""", N"&amp;"OT(REGEXMATCH(C1356, ""薪資""))), ""內部轉帳(忽略)"",
  REGEXMATCH(C1356, ""薪資""), ""薪資變動(不計入)"",
  REGEXMATCH(C1356, ""押金""), ""押金往來"",
  AND(E1356&lt;&gt;"""", F1356=""""), ""真實支出"",
  AND(E1356="""", F1356&lt;&gt;""""), ""真實收入"",
  TRUE, ""其他""
)"),"真實收入")</f>
        <v>真實收入</v>
      </c>
      <c r="K1356" s="270">
        <f t="shared" si="2"/>
        <v>14800</v>
      </c>
      <c r="L1356">
        <f t="shared" si="3"/>
        <v>0</v>
      </c>
    </row>
    <row r="1357">
      <c r="A1357" s="107">
        <f>IFERROR(__xludf.DUMMYFUNCTION("""COMPUTED_VALUE"""),45659.0)</f>
        <v>45659</v>
      </c>
      <c r="B1357" t="str">
        <f>IFERROR(__xludf.DUMMYFUNCTION("""COMPUTED_VALUE"""),"中山北娘家旁D許庭偉")</f>
        <v>中山北娘家旁D許庭偉</v>
      </c>
      <c r="C1357" t="str">
        <f>IFERROR(__xludf.DUMMYFUNCTION("""COMPUTED_VALUE"""),"收入 - 租金")</f>
        <v>收入 - 租金</v>
      </c>
      <c r="D1357" s="270">
        <f>IFERROR(__xludf.DUMMYFUNCTION("""COMPUTED_VALUE"""),14500.0)</f>
        <v>14500</v>
      </c>
      <c r="F1357" t="str">
        <f>IFERROR(__xludf.DUMMYFUNCTION("""COMPUTED_VALUE"""),"台銀籌備帳戶")</f>
        <v>台銀籌備帳戶</v>
      </c>
      <c r="G1357" t="str">
        <f>IFERROR(__xludf.DUMMYFUNCTION("""COMPUTED_VALUE"""),"中山北娘家旁")</f>
        <v>中山北娘家旁</v>
      </c>
      <c r="H1357" s="106" t="str">
        <f t="shared" si="1"/>
        <v>2025-01</v>
      </c>
      <c r="I1357" s="271" t="str">
        <f>IFERROR(__xludf.DUMMYFUNCTION("""COMPUTED_VALUE"""),"貓狗企鵝")</f>
        <v>貓狗企鵝</v>
      </c>
      <c r="J1357" t="str">
        <f>IFERROR(__xludf.DUMMYFUNCTION("IFS(
  AND(REGEXMATCH(E1357, ""台銀籌備帳戶|玉山帳戶""), REGEXMATCH(C1357, ""薪資"")), ""分潤支出"",
  AND(REGEXMATCH(E1357, ""Ben帳戶|Elsa帳戶|Ben代墊|Ariel代墊|中信銀行共用""), REGEXMATCH(F1357, ""Ben帳戶|Elsa帳戶|Ben代墊|Ariel代墊|中信銀行共用"")), ""內部轉帳(忽略)"",
  AND(E1357&lt;&gt;"""", F1357&lt;&gt;"""", N"&amp;"OT(REGEXMATCH(C1357, ""薪資""))), ""內部轉帳(忽略)"",
  REGEXMATCH(C1357, ""薪資""), ""薪資變動(不計入)"",
  REGEXMATCH(C1357, ""押金""), ""押金往來"",
  AND(E1357&lt;&gt;"""", F1357=""""), ""真實支出"",
  AND(E1357="""", F1357&lt;&gt;""""), ""真實收入"",
  TRUE, ""其他""
)"),"真實收入")</f>
        <v>真實收入</v>
      </c>
      <c r="K1357" s="270">
        <f t="shared" si="2"/>
        <v>14500</v>
      </c>
      <c r="L1357">
        <f t="shared" si="3"/>
        <v>0</v>
      </c>
    </row>
    <row r="1358">
      <c r="A1358" s="107">
        <f>IFERROR(__xludf.DUMMYFUNCTION("""COMPUTED_VALUE"""),45659.0)</f>
        <v>45659</v>
      </c>
      <c r="B1358" t="str">
        <f>IFERROR(__xludf.DUMMYFUNCTION("""COMPUTED_VALUE"""),"中山北Feli家A蔡亦翔")</f>
        <v>中山北Feli家A蔡亦翔</v>
      </c>
      <c r="C1358" t="str">
        <f>IFERROR(__xludf.DUMMYFUNCTION("""COMPUTED_VALUE"""),"收入 - 租金")</f>
        <v>收入 - 租金</v>
      </c>
      <c r="D1358" s="270">
        <f>IFERROR(__xludf.DUMMYFUNCTION("""COMPUTED_VALUE"""),13200.0)</f>
        <v>13200</v>
      </c>
      <c r="F1358" t="str">
        <f>IFERROR(__xludf.DUMMYFUNCTION("""COMPUTED_VALUE"""),"台銀籌備帳戶")</f>
        <v>台銀籌備帳戶</v>
      </c>
      <c r="G1358" t="str">
        <f>IFERROR(__xludf.DUMMYFUNCTION("""COMPUTED_VALUE"""),"中山北Feli家")</f>
        <v>中山北Feli家</v>
      </c>
      <c r="H1358" s="106" t="str">
        <f t="shared" si="1"/>
        <v>2025-01</v>
      </c>
      <c r="I1358" s="271" t="str">
        <f>IFERROR(__xludf.DUMMYFUNCTION("""COMPUTED_VALUE"""),"貓狗企鵝")</f>
        <v>貓狗企鵝</v>
      </c>
      <c r="J1358" t="str">
        <f>IFERROR(__xludf.DUMMYFUNCTION("IFS(
  AND(REGEXMATCH(E1358, ""台銀籌備帳戶|玉山帳戶""), REGEXMATCH(C1358, ""薪資"")), ""分潤支出"",
  AND(REGEXMATCH(E1358, ""Ben帳戶|Elsa帳戶|Ben代墊|Ariel代墊|中信銀行共用""), REGEXMATCH(F1358, ""Ben帳戶|Elsa帳戶|Ben代墊|Ariel代墊|中信銀行共用"")), ""內部轉帳(忽略)"",
  AND(E1358&lt;&gt;"""", F1358&lt;&gt;"""", N"&amp;"OT(REGEXMATCH(C1358, ""薪資""))), ""內部轉帳(忽略)"",
  REGEXMATCH(C1358, ""薪資""), ""薪資變動(不計入)"",
  REGEXMATCH(C1358, ""押金""), ""押金往來"",
  AND(E1358&lt;&gt;"""", F1358=""""), ""真實支出"",
  AND(E1358="""", F1358&lt;&gt;""""), ""真實收入"",
  TRUE, ""其他""
)"),"真實收入")</f>
        <v>真實收入</v>
      </c>
      <c r="K1358" s="270">
        <f t="shared" si="2"/>
        <v>13200</v>
      </c>
      <c r="L1358">
        <f t="shared" si="3"/>
        <v>0</v>
      </c>
    </row>
    <row r="1359">
      <c r="A1359" s="107">
        <f>IFERROR(__xludf.DUMMYFUNCTION("""COMPUTED_VALUE"""),45659.0)</f>
        <v>45659</v>
      </c>
      <c r="B1359" t="str">
        <f>IFERROR(__xludf.DUMMYFUNCTION("""COMPUTED_VALUE"""),"永春四號A辜馨嬅")</f>
        <v>永春四號A辜馨嬅</v>
      </c>
      <c r="C1359" t="str">
        <f>IFERROR(__xludf.DUMMYFUNCTION("""COMPUTED_VALUE"""),"收入 - 租金")</f>
        <v>收入 - 租金</v>
      </c>
      <c r="D1359" s="270">
        <f>IFERROR(__xludf.DUMMYFUNCTION("""COMPUTED_VALUE"""),25800.0)</f>
        <v>25800</v>
      </c>
      <c r="F1359" t="str">
        <f>IFERROR(__xludf.DUMMYFUNCTION("""COMPUTED_VALUE"""),"台銀籌備帳戶")</f>
        <v>台銀籌備帳戶</v>
      </c>
      <c r="G1359" t="str">
        <f>IFERROR(__xludf.DUMMYFUNCTION("""COMPUTED_VALUE"""),"永春四號")</f>
        <v>永春四號</v>
      </c>
      <c r="H1359" s="106" t="str">
        <f t="shared" si="1"/>
        <v>2025-01</v>
      </c>
      <c r="I1359" s="271" t="str">
        <f>IFERROR(__xludf.DUMMYFUNCTION("""COMPUTED_VALUE"""),"貓狗企鵝")</f>
        <v>貓狗企鵝</v>
      </c>
      <c r="J1359" t="str">
        <f>IFERROR(__xludf.DUMMYFUNCTION("IFS(
  AND(REGEXMATCH(E1359, ""台銀籌備帳戶|玉山帳戶""), REGEXMATCH(C1359, ""薪資"")), ""分潤支出"",
  AND(REGEXMATCH(E1359, ""Ben帳戶|Elsa帳戶|Ben代墊|Ariel代墊|中信銀行共用""), REGEXMATCH(F1359, ""Ben帳戶|Elsa帳戶|Ben代墊|Ariel代墊|中信銀行共用"")), ""內部轉帳(忽略)"",
  AND(E1359&lt;&gt;"""", F1359&lt;&gt;"""", N"&amp;"OT(REGEXMATCH(C1359, ""薪資""))), ""內部轉帳(忽略)"",
  REGEXMATCH(C1359, ""薪資""), ""薪資變動(不計入)"",
  REGEXMATCH(C1359, ""押金""), ""押金往來"",
  AND(E1359&lt;&gt;"""", F1359=""""), ""真實支出"",
  AND(E1359="""", F1359&lt;&gt;""""), ""真實收入"",
  TRUE, ""其他""
)"),"真實收入")</f>
        <v>真實收入</v>
      </c>
      <c r="K1359" s="270">
        <f t="shared" si="2"/>
        <v>25800</v>
      </c>
      <c r="L1359">
        <f t="shared" si="3"/>
        <v>0</v>
      </c>
    </row>
    <row r="1360">
      <c r="A1360" s="107">
        <f>IFERROR(__xludf.DUMMYFUNCTION("""COMPUTED_VALUE"""),45659.0)</f>
        <v>45659</v>
      </c>
      <c r="B1360" t="str">
        <f>IFERROR(__xludf.DUMMYFUNCTION("""COMPUTED_VALUE"""),"中山北Feli家C郭亞潔")</f>
        <v>中山北Feli家C郭亞潔</v>
      </c>
      <c r="C1360" t="str">
        <f>IFERROR(__xludf.DUMMYFUNCTION("""COMPUTED_VALUE"""),"收入 - 租金")</f>
        <v>收入 - 租金</v>
      </c>
      <c r="D1360" s="270">
        <f>IFERROR(__xludf.DUMMYFUNCTION("""COMPUTED_VALUE"""),11500.0)</f>
        <v>11500</v>
      </c>
      <c r="F1360" t="str">
        <f>IFERROR(__xludf.DUMMYFUNCTION("""COMPUTED_VALUE"""),"台銀籌備帳戶")</f>
        <v>台銀籌備帳戶</v>
      </c>
      <c r="G1360" t="str">
        <f>IFERROR(__xludf.DUMMYFUNCTION("""COMPUTED_VALUE"""),"中山北Feli家")</f>
        <v>中山北Feli家</v>
      </c>
      <c r="H1360" s="106" t="str">
        <f t="shared" si="1"/>
        <v>2025-01</v>
      </c>
      <c r="I1360" s="271" t="str">
        <f>IFERROR(__xludf.DUMMYFUNCTION("""COMPUTED_VALUE"""),"貓狗企鵝")</f>
        <v>貓狗企鵝</v>
      </c>
      <c r="J1360" t="str">
        <f>IFERROR(__xludf.DUMMYFUNCTION("IFS(
  AND(REGEXMATCH(E1360, ""台銀籌備帳戶|玉山帳戶""), REGEXMATCH(C1360, ""薪資"")), ""分潤支出"",
  AND(REGEXMATCH(E1360, ""Ben帳戶|Elsa帳戶|Ben代墊|Ariel代墊|中信銀行共用""), REGEXMATCH(F1360, ""Ben帳戶|Elsa帳戶|Ben代墊|Ariel代墊|中信銀行共用"")), ""內部轉帳(忽略)"",
  AND(E1360&lt;&gt;"""", F1360&lt;&gt;"""", N"&amp;"OT(REGEXMATCH(C1360, ""薪資""))), ""內部轉帳(忽略)"",
  REGEXMATCH(C1360, ""薪資""), ""薪資變動(不計入)"",
  REGEXMATCH(C1360, ""押金""), ""押金往來"",
  AND(E1360&lt;&gt;"""", F1360=""""), ""真實支出"",
  AND(E1360="""", F1360&lt;&gt;""""), ""真實收入"",
  TRUE, ""其他""
)"),"真實收入")</f>
        <v>真實收入</v>
      </c>
      <c r="K1360" s="270">
        <f t="shared" si="2"/>
        <v>11500</v>
      </c>
      <c r="L1360">
        <f t="shared" si="3"/>
        <v>0</v>
      </c>
    </row>
    <row r="1361">
      <c r="A1361" s="107">
        <f>IFERROR(__xludf.DUMMYFUNCTION("""COMPUTED_VALUE"""),45659.0)</f>
        <v>45659</v>
      </c>
      <c r="B1361" t="str">
        <f>IFERROR(__xludf.DUMMYFUNCTION("""COMPUTED_VALUE"""),"中山北娘家旁C魏湘芸")</f>
        <v>中山北娘家旁C魏湘芸</v>
      </c>
      <c r="C1361" t="str">
        <f>IFERROR(__xludf.DUMMYFUNCTION("""COMPUTED_VALUE"""),"收入 - 租金")</f>
        <v>收入 - 租金</v>
      </c>
      <c r="D1361" s="270">
        <f>IFERROR(__xludf.DUMMYFUNCTION("""COMPUTED_VALUE"""),14800.0)</f>
        <v>14800</v>
      </c>
      <c r="F1361" t="str">
        <f>IFERROR(__xludf.DUMMYFUNCTION("""COMPUTED_VALUE"""),"台銀籌備帳戶")</f>
        <v>台銀籌備帳戶</v>
      </c>
      <c r="G1361" t="str">
        <f>IFERROR(__xludf.DUMMYFUNCTION("""COMPUTED_VALUE"""),"中山北娘家旁")</f>
        <v>中山北娘家旁</v>
      </c>
      <c r="H1361" s="106" t="str">
        <f t="shared" si="1"/>
        <v>2025-01</v>
      </c>
      <c r="I1361" s="271" t="str">
        <f>IFERROR(__xludf.DUMMYFUNCTION("""COMPUTED_VALUE"""),"貓狗企鵝")</f>
        <v>貓狗企鵝</v>
      </c>
      <c r="J1361" t="str">
        <f>IFERROR(__xludf.DUMMYFUNCTION("IFS(
  AND(REGEXMATCH(E1361, ""台銀籌備帳戶|玉山帳戶""), REGEXMATCH(C1361, ""薪資"")), ""分潤支出"",
  AND(REGEXMATCH(E1361, ""Ben帳戶|Elsa帳戶|Ben代墊|Ariel代墊|中信銀行共用""), REGEXMATCH(F1361, ""Ben帳戶|Elsa帳戶|Ben代墊|Ariel代墊|中信銀行共用"")), ""內部轉帳(忽略)"",
  AND(E1361&lt;&gt;"""", F1361&lt;&gt;"""", N"&amp;"OT(REGEXMATCH(C1361, ""薪資""))), ""內部轉帳(忽略)"",
  REGEXMATCH(C1361, ""薪資""), ""薪資變動(不計入)"",
  REGEXMATCH(C1361, ""押金""), ""押金往來"",
  AND(E1361&lt;&gt;"""", F1361=""""), ""真實支出"",
  AND(E1361="""", F1361&lt;&gt;""""), ""真實收入"",
  TRUE, ""其他""
)"),"真實收入")</f>
        <v>真實收入</v>
      </c>
      <c r="K1361" s="270">
        <f t="shared" si="2"/>
        <v>14800</v>
      </c>
      <c r="L1361">
        <f t="shared" si="3"/>
        <v>0</v>
      </c>
    </row>
    <row r="1362">
      <c r="A1362" s="107">
        <f>IFERROR(__xludf.DUMMYFUNCTION("""COMPUTED_VALUE"""),45660.0)</f>
        <v>45660</v>
      </c>
      <c r="B1362" t="str">
        <f>IFERROR(__xludf.DUMMYFUNCTION("""COMPUTED_VALUE"""),"垃可")</f>
        <v>垃可</v>
      </c>
      <c r="C1362" t="str">
        <f>IFERROR(__xludf.DUMMYFUNCTION("""COMPUTED_VALUE"""),"成本 - 固定開銷(網路代收清潔)")</f>
        <v>成本 - 固定開銷(網路代收清潔)</v>
      </c>
      <c r="D1362" s="270">
        <f>IFERROR(__xludf.DUMMYFUNCTION("""COMPUTED_VALUE"""),-4400.0)</f>
        <v>-4400</v>
      </c>
      <c r="E1362" t="str">
        <f>IFERROR(__xludf.DUMMYFUNCTION("""COMPUTED_VALUE"""),"Ben帳戶")</f>
        <v>Ben帳戶</v>
      </c>
      <c r="G1362" t="str">
        <f>IFERROR(__xludf.DUMMYFUNCTION("""COMPUTED_VALUE"""),"無法分類")</f>
        <v>無法分類</v>
      </c>
      <c r="H1362" s="106" t="str">
        <f t="shared" si="1"/>
        <v>2025-01</v>
      </c>
      <c r="I1362" s="271" t="str">
        <f>IFERROR(__xludf.DUMMYFUNCTION("""COMPUTED_VALUE"""),"貓狗企鵝")</f>
        <v>貓狗企鵝</v>
      </c>
      <c r="J1362" t="str">
        <f>IFERROR(__xludf.DUMMYFUNCTION("IFS(
  AND(REGEXMATCH(E1362, ""台銀籌備帳戶|玉山帳戶""), REGEXMATCH(C1362, ""薪資"")), ""分潤支出"",
  AND(REGEXMATCH(E1362, ""Ben帳戶|Elsa帳戶|Ben代墊|Ariel代墊|中信銀行共用""), REGEXMATCH(F1362, ""Ben帳戶|Elsa帳戶|Ben代墊|Ariel代墊|中信銀行共用"")), ""內部轉帳(忽略)"",
  AND(E1362&lt;&gt;"""", F1362&lt;&gt;"""", N"&amp;"OT(REGEXMATCH(C1362, ""薪資""))), ""內部轉帳(忽略)"",
  REGEXMATCH(C1362, ""薪資""), ""薪資變動(不計入)"",
  REGEXMATCH(C1362, ""押金""), ""押金往來"",
  AND(E1362&lt;&gt;"""", F1362=""""), ""真實支出"",
  AND(E1362="""", F1362&lt;&gt;""""), ""真實收入"",
  TRUE, ""其他""
)"),"真實支出")</f>
        <v>真實支出</v>
      </c>
      <c r="K1362" s="270">
        <f t="shared" si="2"/>
        <v>-4400</v>
      </c>
      <c r="L1362">
        <f t="shared" si="3"/>
        <v>0</v>
      </c>
    </row>
    <row r="1363">
      <c r="A1363" s="107">
        <f>IFERROR(__xludf.DUMMYFUNCTION("""COMPUTED_VALUE"""),45662.0)</f>
        <v>45662</v>
      </c>
      <c r="B1363" t="str">
        <f>IFERROR(__xludf.DUMMYFUNCTION("""COMPUTED_VALUE"""),"阿虎設計費")</f>
        <v>阿虎設計費</v>
      </c>
      <c r="C1363" t="str">
        <f>IFERROR(__xludf.DUMMYFUNCTION("""COMPUTED_VALUE"""),"費用 - Salary 薪資")</f>
        <v>費用 - Salary 薪資</v>
      </c>
      <c r="D1363" s="270">
        <f>IFERROR(__xludf.DUMMYFUNCTION("""COMPUTED_VALUE"""),-200015.0)</f>
        <v>-200015</v>
      </c>
      <c r="E1363" t="str">
        <f>IFERROR(__xludf.DUMMYFUNCTION("""COMPUTED_VALUE"""),"台銀籌備帳戶")</f>
        <v>台銀籌備帳戶</v>
      </c>
      <c r="F1363" t="str">
        <f>IFERROR(__xludf.DUMMYFUNCTION("""COMPUTED_VALUE"""),"Elsa帳戶")</f>
        <v>Elsa帳戶</v>
      </c>
      <c r="G1363" t="str">
        <f>IFERROR(__xludf.DUMMYFUNCTION("""COMPUTED_VALUE"""),"無法分類")</f>
        <v>無法分類</v>
      </c>
      <c r="H1363" s="106" t="str">
        <f t="shared" si="1"/>
        <v>2025-01</v>
      </c>
      <c r="I1363" s="271" t="str">
        <f>IFERROR(__xludf.DUMMYFUNCTION("""COMPUTED_VALUE"""),"貓狗企鵝")</f>
        <v>貓狗企鵝</v>
      </c>
      <c r="J1363" t="str">
        <f>IFERROR(__xludf.DUMMYFUNCTION("IFS(
  AND(REGEXMATCH(E1363, ""台銀籌備帳戶|玉山帳戶""), REGEXMATCH(C1363, ""薪資"")), ""分潤支出"",
  AND(REGEXMATCH(E1363, ""Ben帳戶|Elsa帳戶|Ben代墊|Ariel代墊|中信銀行共用""), REGEXMATCH(F1363, ""Ben帳戶|Elsa帳戶|Ben代墊|Ariel代墊|中信銀行共用"")), ""內部轉帳(忽略)"",
  AND(E1363&lt;&gt;"""", F1363&lt;&gt;"""", N"&amp;"OT(REGEXMATCH(C1363, ""薪資""))), ""內部轉帳(忽略)"",
  REGEXMATCH(C1363, ""薪資""), ""薪資變動(不計入)"",
  REGEXMATCH(C1363, ""押金""), ""押金往來"",
  AND(E1363&lt;&gt;"""", F1363=""""), ""真實支出"",
  AND(E1363="""", F1363&lt;&gt;""""), ""真實收入"",
  TRUE, ""其他""
)"),"分潤支出")</f>
        <v>分潤支出</v>
      </c>
      <c r="K1363">
        <f t="shared" si="2"/>
        <v>0</v>
      </c>
      <c r="L1363">
        <f t="shared" si="3"/>
        <v>200015</v>
      </c>
    </row>
    <row r="1364">
      <c r="A1364" s="107">
        <f>IFERROR(__xludf.DUMMYFUNCTION("""COMPUTED_VALUE"""),45662.0)</f>
        <v>45662</v>
      </c>
      <c r="B1364" t="str">
        <f>IFERROR(__xludf.DUMMYFUNCTION("""COMPUTED_VALUE"""),"Ben中信薪資")</f>
        <v>Ben中信薪資</v>
      </c>
      <c r="C1364" t="str">
        <f>IFERROR(__xludf.DUMMYFUNCTION("""COMPUTED_VALUE"""),"費用 - Salary 薪資")</f>
        <v>費用 - Salary 薪資</v>
      </c>
      <c r="D1364" s="270">
        <f>IFERROR(__xludf.DUMMYFUNCTION("""COMPUTED_VALUE"""),-200015.0)</f>
        <v>-200015</v>
      </c>
      <c r="E1364" t="str">
        <f>IFERROR(__xludf.DUMMYFUNCTION("""COMPUTED_VALUE"""),"台銀籌備帳戶")</f>
        <v>台銀籌備帳戶</v>
      </c>
      <c r="F1364" t="str">
        <f>IFERROR(__xludf.DUMMYFUNCTION("""COMPUTED_VALUE"""),"Ben帳戶")</f>
        <v>Ben帳戶</v>
      </c>
      <c r="G1364" t="str">
        <f>IFERROR(__xludf.DUMMYFUNCTION("""COMPUTED_VALUE"""),"無法分類")</f>
        <v>無法分類</v>
      </c>
      <c r="H1364" s="106" t="str">
        <f t="shared" si="1"/>
        <v>2025-01</v>
      </c>
      <c r="I1364" s="271" t="str">
        <f>IFERROR(__xludf.DUMMYFUNCTION("""COMPUTED_VALUE"""),"貓狗企鵝")</f>
        <v>貓狗企鵝</v>
      </c>
      <c r="J1364" t="str">
        <f>IFERROR(__xludf.DUMMYFUNCTION("IFS(
  AND(REGEXMATCH(E1364, ""台銀籌備帳戶|玉山帳戶""), REGEXMATCH(C1364, ""薪資"")), ""分潤支出"",
  AND(REGEXMATCH(E1364, ""Ben帳戶|Elsa帳戶|Ben代墊|Ariel代墊|中信銀行共用""), REGEXMATCH(F1364, ""Ben帳戶|Elsa帳戶|Ben代墊|Ariel代墊|中信銀行共用"")), ""內部轉帳(忽略)"",
  AND(E1364&lt;&gt;"""", F1364&lt;&gt;"""", N"&amp;"OT(REGEXMATCH(C1364, ""薪資""))), ""內部轉帳(忽略)"",
  REGEXMATCH(C1364, ""薪資""), ""薪資變動(不計入)"",
  REGEXMATCH(C1364, ""押金""), ""押金往來"",
  AND(E1364&lt;&gt;"""", F1364=""""), ""真實支出"",
  AND(E1364="""", F1364&lt;&gt;""""), ""真實收入"",
  TRUE, ""其他""
)"),"分潤支出")</f>
        <v>分潤支出</v>
      </c>
      <c r="K1364">
        <f t="shared" si="2"/>
        <v>0</v>
      </c>
      <c r="L1364">
        <f t="shared" si="3"/>
        <v>200015</v>
      </c>
    </row>
    <row r="1365">
      <c r="A1365" s="107">
        <f>IFERROR(__xludf.DUMMYFUNCTION("""COMPUTED_VALUE"""),45663.0)</f>
        <v>45663</v>
      </c>
      <c r="B1365" t="str">
        <f>IFERROR(__xludf.DUMMYFUNCTION("""COMPUTED_VALUE"""),"管理費景安")</f>
        <v>管理費景安</v>
      </c>
      <c r="C1365" t="str">
        <f>IFERROR(__xludf.DUMMYFUNCTION("""COMPUTED_VALUE"""),"成本 - 固定開銷(網路代收清潔)")</f>
        <v>成本 - 固定開銷(網路代收清潔)</v>
      </c>
      <c r="D1365" s="270">
        <f>IFERROR(__xludf.DUMMYFUNCTION("""COMPUTED_VALUE"""),-1700.0)</f>
        <v>-1700</v>
      </c>
      <c r="E1365" t="str">
        <f>IFERROR(__xludf.DUMMYFUNCTION("""COMPUTED_VALUE"""),"Ben帳戶")</f>
        <v>Ben帳戶</v>
      </c>
      <c r="G1365" t="str">
        <f>IFERROR(__xludf.DUMMYFUNCTION("""COMPUTED_VALUE"""),"景安2分鐘")</f>
        <v>景安2分鐘</v>
      </c>
      <c r="H1365" s="106" t="str">
        <f t="shared" si="1"/>
        <v>2025-01</v>
      </c>
      <c r="I1365" s="271" t="str">
        <f>IFERROR(__xludf.DUMMYFUNCTION("""COMPUTED_VALUE"""),"貓狗企鵝")</f>
        <v>貓狗企鵝</v>
      </c>
      <c r="J1365" t="str">
        <f>IFERROR(__xludf.DUMMYFUNCTION("IFS(
  AND(REGEXMATCH(E1365, ""台銀籌備帳戶|玉山帳戶""), REGEXMATCH(C1365, ""薪資"")), ""分潤支出"",
  AND(REGEXMATCH(E1365, ""Ben帳戶|Elsa帳戶|Ben代墊|Ariel代墊|中信銀行共用""), REGEXMATCH(F1365, ""Ben帳戶|Elsa帳戶|Ben代墊|Ariel代墊|中信銀行共用"")), ""內部轉帳(忽略)"",
  AND(E1365&lt;&gt;"""", F1365&lt;&gt;"""", N"&amp;"OT(REGEXMATCH(C1365, ""薪資""))), ""內部轉帳(忽略)"",
  REGEXMATCH(C1365, ""薪資""), ""薪資變動(不計入)"",
  REGEXMATCH(C1365, ""押金""), ""押金往來"",
  AND(E1365&lt;&gt;"""", F1365=""""), ""真實支出"",
  AND(E1365="""", F1365&lt;&gt;""""), ""真實收入"",
  TRUE, ""其他""
)"),"真實支出")</f>
        <v>真實支出</v>
      </c>
      <c r="K1365" s="270">
        <f t="shared" si="2"/>
        <v>-1700</v>
      </c>
      <c r="L1365">
        <f t="shared" si="3"/>
        <v>0</v>
      </c>
    </row>
    <row r="1366">
      <c r="A1366" s="107">
        <f>IFERROR(__xludf.DUMMYFUNCTION("""COMPUTED_VALUE"""),45664.0)</f>
        <v>45664</v>
      </c>
      <c r="B1366" t="str">
        <f>IFERROR(__xludf.DUMMYFUNCTION("""COMPUTED_VALUE"""),"娘家B Robert")</f>
        <v>娘家B Robert</v>
      </c>
      <c r="C1366" t="str">
        <f>IFERROR(__xludf.DUMMYFUNCTION("""COMPUTED_VALUE"""),"收入 - 租金")</f>
        <v>收入 - 租金</v>
      </c>
      <c r="D1366" s="270">
        <f>IFERROR(__xludf.DUMMYFUNCTION("""COMPUTED_VALUE"""),14900.0)</f>
        <v>14900</v>
      </c>
      <c r="F1366" t="str">
        <f>IFERROR(__xludf.DUMMYFUNCTION("""COMPUTED_VALUE"""),"台銀籌備帳戶")</f>
        <v>台銀籌備帳戶</v>
      </c>
      <c r="G1366" t="str">
        <f>IFERROR(__xludf.DUMMYFUNCTION("""COMPUTED_VALUE"""),"中山北娘家旁")</f>
        <v>中山北娘家旁</v>
      </c>
      <c r="H1366" s="106" t="str">
        <f t="shared" si="1"/>
        <v>2025-01</v>
      </c>
      <c r="I1366" s="271" t="str">
        <f>IFERROR(__xludf.DUMMYFUNCTION("""COMPUTED_VALUE"""),"貓狗企鵝")</f>
        <v>貓狗企鵝</v>
      </c>
      <c r="J1366" t="str">
        <f>IFERROR(__xludf.DUMMYFUNCTION("IFS(
  AND(REGEXMATCH(E1366, ""台銀籌備帳戶|玉山帳戶""), REGEXMATCH(C1366, ""薪資"")), ""分潤支出"",
  AND(REGEXMATCH(E1366, ""Ben帳戶|Elsa帳戶|Ben代墊|Ariel代墊|中信銀行共用""), REGEXMATCH(F1366, ""Ben帳戶|Elsa帳戶|Ben代墊|Ariel代墊|中信銀行共用"")), ""內部轉帳(忽略)"",
  AND(E1366&lt;&gt;"""", F1366&lt;&gt;"""", N"&amp;"OT(REGEXMATCH(C1366, ""薪資""))), ""內部轉帳(忽略)"",
  REGEXMATCH(C1366, ""薪資""), ""薪資變動(不計入)"",
  REGEXMATCH(C1366, ""押金""), ""押金往來"",
  AND(E1366&lt;&gt;"""", F1366=""""), ""真實支出"",
  AND(E1366="""", F1366&lt;&gt;""""), ""真實收入"",
  TRUE, ""其他""
)"),"真實收入")</f>
        <v>真實收入</v>
      </c>
      <c r="K1366" s="270">
        <f t="shared" si="2"/>
        <v>14900</v>
      </c>
      <c r="L1366">
        <f t="shared" si="3"/>
        <v>0</v>
      </c>
    </row>
    <row r="1367">
      <c r="A1367" s="107">
        <f>IFERROR(__xludf.DUMMYFUNCTION("""COMPUTED_VALUE"""),45665.0)</f>
        <v>45665</v>
      </c>
      <c r="B1367" t="str">
        <f>IFERROR(__xludf.DUMMYFUNCTION("""COMPUTED_VALUE"""),"景安 網路")</f>
        <v>景安 網路</v>
      </c>
      <c r="C1367" t="str">
        <f>IFERROR(__xludf.DUMMYFUNCTION("""COMPUTED_VALUE"""),"成本 - 固定開銷(網路代收清潔)")</f>
        <v>成本 - 固定開銷(網路代收清潔)</v>
      </c>
      <c r="D1367" s="270">
        <f>IFERROR(__xludf.DUMMYFUNCTION("""COMPUTED_VALUE"""),-1500.0)</f>
        <v>-1500</v>
      </c>
      <c r="E1367" t="str">
        <f>IFERROR(__xludf.DUMMYFUNCTION("""COMPUTED_VALUE"""),"Ben帳戶")</f>
        <v>Ben帳戶</v>
      </c>
      <c r="G1367" t="str">
        <f>IFERROR(__xludf.DUMMYFUNCTION("""COMPUTED_VALUE"""),"景安2分鐘")</f>
        <v>景安2分鐘</v>
      </c>
      <c r="H1367" s="106" t="str">
        <f t="shared" si="1"/>
        <v>2025-01</v>
      </c>
      <c r="I1367" s="271" t="str">
        <f>IFERROR(__xludf.DUMMYFUNCTION("""COMPUTED_VALUE"""),"貓狗企鵝")</f>
        <v>貓狗企鵝</v>
      </c>
      <c r="J1367" t="str">
        <f>IFERROR(__xludf.DUMMYFUNCTION("IFS(
  AND(REGEXMATCH(E1367, ""台銀籌備帳戶|玉山帳戶""), REGEXMATCH(C1367, ""薪資"")), ""分潤支出"",
  AND(REGEXMATCH(E1367, ""Ben帳戶|Elsa帳戶|Ben代墊|Ariel代墊|中信銀行共用""), REGEXMATCH(F1367, ""Ben帳戶|Elsa帳戶|Ben代墊|Ariel代墊|中信銀行共用"")), ""內部轉帳(忽略)"",
  AND(E1367&lt;&gt;"""", F1367&lt;&gt;"""", N"&amp;"OT(REGEXMATCH(C1367, ""薪資""))), ""內部轉帳(忽略)"",
  REGEXMATCH(C1367, ""薪資""), ""薪資變動(不計入)"",
  REGEXMATCH(C1367, ""押金""), ""押金往來"",
  AND(E1367&lt;&gt;"""", F1367=""""), ""真實支出"",
  AND(E1367="""", F1367&lt;&gt;""""), ""真實收入"",
  TRUE, ""其他""
)"),"真實支出")</f>
        <v>真實支出</v>
      </c>
      <c r="K1367" s="270">
        <f t="shared" si="2"/>
        <v>-1500</v>
      </c>
      <c r="L1367">
        <f t="shared" si="3"/>
        <v>0</v>
      </c>
    </row>
    <row r="1368">
      <c r="A1368" s="107">
        <f>IFERROR(__xludf.DUMMYFUNCTION("""COMPUTED_VALUE"""),45667.0)</f>
        <v>45667</v>
      </c>
      <c r="B1368" t="str">
        <f>IFERROR(__xludf.DUMMYFUNCTION("""COMPUTED_VALUE"""),"景安掃把")</f>
        <v>景安掃把</v>
      </c>
      <c r="C1368" t="str">
        <f>IFERROR(__xludf.DUMMYFUNCTION("""COMPUTED_VALUE"""),"成本 - 租後修繕")</f>
        <v>成本 - 租後修繕</v>
      </c>
      <c r="D1368" s="270">
        <f>IFERROR(__xludf.DUMMYFUNCTION("""COMPUTED_VALUE"""),-120.0)</f>
        <v>-120</v>
      </c>
      <c r="E1368" t="str">
        <f>IFERROR(__xludf.DUMMYFUNCTION("""COMPUTED_VALUE"""),"Elsa帳戶")</f>
        <v>Elsa帳戶</v>
      </c>
      <c r="G1368" t="str">
        <f>IFERROR(__xludf.DUMMYFUNCTION("""COMPUTED_VALUE"""),"景安2分鐘")</f>
        <v>景安2分鐘</v>
      </c>
      <c r="H1368" s="106" t="str">
        <f t="shared" si="1"/>
        <v>2025-01</v>
      </c>
      <c r="I1368" s="271" t="str">
        <f>IFERROR(__xludf.DUMMYFUNCTION("""COMPUTED_VALUE"""),"貓狗企鵝")</f>
        <v>貓狗企鵝</v>
      </c>
      <c r="J1368" t="str">
        <f>IFERROR(__xludf.DUMMYFUNCTION("IFS(
  AND(REGEXMATCH(E1368, ""台銀籌備帳戶|玉山帳戶""), REGEXMATCH(C1368, ""薪資"")), ""分潤支出"",
  AND(REGEXMATCH(E1368, ""Ben帳戶|Elsa帳戶|Ben代墊|Ariel代墊|中信銀行共用""), REGEXMATCH(F1368, ""Ben帳戶|Elsa帳戶|Ben代墊|Ariel代墊|中信銀行共用"")), ""內部轉帳(忽略)"",
  AND(E1368&lt;&gt;"""", F1368&lt;&gt;"""", N"&amp;"OT(REGEXMATCH(C1368, ""薪資""))), ""內部轉帳(忽略)"",
  REGEXMATCH(C1368, ""薪資""), ""薪資變動(不計入)"",
  REGEXMATCH(C1368, ""押金""), ""押金往來"",
  AND(E1368&lt;&gt;"""", F1368=""""), ""真實支出"",
  AND(E1368="""", F1368&lt;&gt;""""), ""真實收入"",
  TRUE, ""其他""
)"),"真實支出")</f>
        <v>真實支出</v>
      </c>
      <c r="K1368" s="270">
        <f t="shared" si="2"/>
        <v>-120</v>
      </c>
      <c r="L1368">
        <f t="shared" si="3"/>
        <v>0</v>
      </c>
    </row>
    <row r="1369">
      <c r="A1369" s="107">
        <f>IFERROR(__xludf.DUMMYFUNCTION("""COMPUTED_VALUE"""),45668.0)</f>
        <v>45668</v>
      </c>
      <c r="B1369" t="str">
        <f>IFERROR(__xludf.DUMMYFUNCTION("""COMPUTED_VALUE"""),"螢光水電北醫")</f>
        <v>螢光水電北醫</v>
      </c>
      <c r="C1369" t="str">
        <f>IFERROR(__xludf.DUMMYFUNCTION("""COMPUTED_VALUE"""),"成本 - 租後修繕")</f>
        <v>成本 - 租後修繕</v>
      </c>
      <c r="D1369" s="270">
        <f>IFERROR(__xludf.DUMMYFUNCTION("""COMPUTED_VALUE"""),-2310.0)</f>
        <v>-2310</v>
      </c>
      <c r="E1369" t="str">
        <f>IFERROR(__xludf.DUMMYFUNCTION("""COMPUTED_VALUE"""),"台銀籌備帳戶")</f>
        <v>台銀籌備帳戶</v>
      </c>
      <c r="G1369" t="str">
        <f>IFERROR(__xludf.DUMMYFUNCTION("""COMPUTED_VALUE"""),"北醫醫師府")</f>
        <v>北醫醫師府</v>
      </c>
      <c r="H1369" s="106" t="str">
        <f t="shared" si="1"/>
        <v>2025-01</v>
      </c>
      <c r="I1369" s="271" t="str">
        <f>IFERROR(__xludf.DUMMYFUNCTION("""COMPUTED_VALUE"""),"貓狗企鵝")</f>
        <v>貓狗企鵝</v>
      </c>
      <c r="J1369" t="str">
        <f>IFERROR(__xludf.DUMMYFUNCTION("IFS(
  AND(REGEXMATCH(E1369, ""台銀籌備帳戶|玉山帳戶""), REGEXMATCH(C1369, ""薪資"")), ""分潤支出"",
  AND(REGEXMATCH(E1369, ""Ben帳戶|Elsa帳戶|Ben代墊|Ariel代墊|中信銀行共用""), REGEXMATCH(F1369, ""Ben帳戶|Elsa帳戶|Ben代墊|Ariel代墊|中信銀行共用"")), ""內部轉帳(忽略)"",
  AND(E1369&lt;&gt;"""", F1369&lt;&gt;"""", N"&amp;"OT(REGEXMATCH(C1369, ""薪資""))), ""內部轉帳(忽略)"",
  REGEXMATCH(C1369, ""薪資""), ""薪資變動(不計入)"",
  REGEXMATCH(C1369, ""押金""), ""押金往來"",
  AND(E1369&lt;&gt;"""", F1369=""""), ""真實支出"",
  AND(E1369="""", F1369&lt;&gt;""""), ""真實收入"",
  TRUE, ""其他""
)"),"真實支出")</f>
        <v>真實支出</v>
      </c>
      <c r="K1369" s="270">
        <f t="shared" si="2"/>
        <v>-2310</v>
      </c>
      <c r="L1369">
        <f t="shared" si="3"/>
        <v>0</v>
      </c>
    </row>
    <row r="1370">
      <c r="A1370" s="107">
        <f>IFERROR(__xludf.DUMMYFUNCTION("""COMPUTED_VALUE"""),45668.0)</f>
        <v>45668</v>
      </c>
      <c r="B1370" t="str">
        <f>IFERROR(__xludf.DUMMYFUNCTION("""COMPUTED_VALUE"""),"銀行轉帳匯費")</f>
        <v>銀行轉帳匯費</v>
      </c>
      <c r="C1370" t="str">
        <f>IFERROR(__xludf.DUMMYFUNCTION("""COMPUTED_VALUE"""),"費用 - 匯費")</f>
        <v>費用 - 匯費</v>
      </c>
      <c r="D1370" s="270">
        <f>IFERROR(__xludf.DUMMYFUNCTION("""COMPUTED_VALUE"""),-15.0)</f>
        <v>-15</v>
      </c>
      <c r="E1370" t="str">
        <f>IFERROR(__xludf.DUMMYFUNCTION("""COMPUTED_VALUE"""),"台銀籌備帳戶")</f>
        <v>台銀籌備帳戶</v>
      </c>
      <c r="G1370" t="str">
        <f>IFERROR(__xludf.DUMMYFUNCTION("""COMPUTED_VALUE"""),"北醫醫師府")</f>
        <v>北醫醫師府</v>
      </c>
      <c r="H1370" s="106" t="str">
        <f t="shared" si="1"/>
        <v>2025-01</v>
      </c>
      <c r="I1370" s="271" t="str">
        <f>IFERROR(__xludf.DUMMYFUNCTION("""COMPUTED_VALUE"""),"貓狗企鵝")</f>
        <v>貓狗企鵝</v>
      </c>
      <c r="J1370" t="str">
        <f>IFERROR(__xludf.DUMMYFUNCTION("IFS(
  AND(REGEXMATCH(E1370, ""台銀籌備帳戶|玉山帳戶""), REGEXMATCH(C1370, ""薪資"")), ""分潤支出"",
  AND(REGEXMATCH(E1370, ""Ben帳戶|Elsa帳戶|Ben代墊|Ariel代墊|中信銀行共用""), REGEXMATCH(F1370, ""Ben帳戶|Elsa帳戶|Ben代墊|Ariel代墊|中信銀行共用"")), ""內部轉帳(忽略)"",
  AND(E1370&lt;&gt;"""", F1370&lt;&gt;"""", N"&amp;"OT(REGEXMATCH(C1370, ""薪資""))), ""內部轉帳(忽略)"",
  REGEXMATCH(C1370, ""薪資""), ""薪資變動(不計入)"",
  REGEXMATCH(C1370, ""押金""), ""押金往來"",
  AND(E1370&lt;&gt;"""", F1370=""""), ""真實支出"",
  AND(E1370="""", F1370&lt;&gt;""""), ""真實收入"",
  TRUE, ""其他""
)"),"真實支出")</f>
        <v>真實支出</v>
      </c>
      <c r="K1370" s="270">
        <f t="shared" si="2"/>
        <v>-15</v>
      </c>
      <c r="L1370">
        <f t="shared" si="3"/>
        <v>0</v>
      </c>
    </row>
    <row r="1371">
      <c r="A1371" s="107">
        <f>IFERROR(__xludf.DUMMYFUNCTION("""COMPUTED_VALUE"""),45668.0)</f>
        <v>45668</v>
      </c>
      <c r="B1371" t="str">
        <f>IFERROR(__xludf.DUMMYFUNCTION("""COMPUTED_VALUE"""),"代墊款丁")</f>
        <v>代墊款丁</v>
      </c>
      <c r="C1371" t="str">
        <f>IFERROR(__xludf.DUMMYFUNCTION("""COMPUTED_VALUE"""),"成本 - 進場前裝潢費")</f>
        <v>成本 - 進場前裝潢費</v>
      </c>
      <c r="D1371" s="270">
        <f>IFERROR(__xludf.DUMMYFUNCTION("""COMPUTED_VALUE"""),-82000.0)</f>
        <v>-82000</v>
      </c>
      <c r="E1371" t="str">
        <f>IFERROR(__xludf.DUMMYFUNCTION("""COMPUTED_VALUE"""),"台銀籌備帳戶")</f>
        <v>台銀籌備帳戶</v>
      </c>
      <c r="G1371" t="str">
        <f>IFERROR(__xludf.DUMMYFUNCTION("""COMPUTED_VALUE"""),"無法分類")</f>
        <v>無法分類</v>
      </c>
      <c r="H1371" s="106" t="str">
        <f t="shared" si="1"/>
        <v>2025-01</v>
      </c>
      <c r="I1371" s="271" t="str">
        <f>IFERROR(__xludf.DUMMYFUNCTION("""COMPUTED_VALUE"""),"貓狗企鵝")</f>
        <v>貓狗企鵝</v>
      </c>
      <c r="J1371" t="str">
        <f>IFERROR(__xludf.DUMMYFUNCTION("IFS(
  AND(REGEXMATCH(E1371, ""台銀籌備帳戶|玉山帳戶""), REGEXMATCH(C1371, ""薪資"")), ""分潤支出"",
  AND(REGEXMATCH(E1371, ""Ben帳戶|Elsa帳戶|Ben代墊|Ariel代墊|中信銀行共用""), REGEXMATCH(F1371, ""Ben帳戶|Elsa帳戶|Ben代墊|Ariel代墊|中信銀行共用"")), ""內部轉帳(忽略)"",
  AND(E1371&lt;&gt;"""", F1371&lt;&gt;"""", N"&amp;"OT(REGEXMATCH(C1371, ""薪資""))), ""內部轉帳(忽略)"",
  REGEXMATCH(C1371, ""薪資""), ""薪資變動(不計入)"",
  REGEXMATCH(C1371, ""押金""), ""押金往來"",
  AND(E1371&lt;&gt;"""", F1371=""""), ""真實支出"",
  AND(E1371="""", F1371&lt;&gt;""""), ""真實收入"",
  TRUE, ""其他""
)"),"真實支出")</f>
        <v>真實支出</v>
      </c>
      <c r="K1371" s="270">
        <f t="shared" si="2"/>
        <v>-82000</v>
      </c>
      <c r="L1371">
        <f t="shared" si="3"/>
        <v>0</v>
      </c>
    </row>
    <row r="1372">
      <c r="A1372" s="107">
        <f>IFERROR(__xludf.DUMMYFUNCTION("""COMPUTED_VALUE"""),45668.0)</f>
        <v>45668</v>
      </c>
      <c r="B1372" t="str">
        <f>IFERROR(__xludf.DUMMYFUNCTION("""COMPUTED_VALUE"""),"銀行轉帳匯費")</f>
        <v>銀行轉帳匯費</v>
      </c>
      <c r="C1372" t="str">
        <f>IFERROR(__xludf.DUMMYFUNCTION("""COMPUTED_VALUE"""),"費用 - 匯費")</f>
        <v>費用 - 匯費</v>
      </c>
      <c r="D1372" s="270">
        <f>IFERROR(__xludf.DUMMYFUNCTION("""COMPUTED_VALUE"""),-15.0)</f>
        <v>-15</v>
      </c>
      <c r="E1372" t="str">
        <f>IFERROR(__xludf.DUMMYFUNCTION("""COMPUTED_VALUE"""),"台銀籌備帳戶")</f>
        <v>台銀籌備帳戶</v>
      </c>
      <c r="G1372" t="str">
        <f>IFERROR(__xludf.DUMMYFUNCTION("""COMPUTED_VALUE"""),"無法分類")</f>
        <v>無法分類</v>
      </c>
      <c r="H1372" s="106" t="str">
        <f t="shared" si="1"/>
        <v>2025-01</v>
      </c>
      <c r="I1372" s="271" t="str">
        <f>IFERROR(__xludf.DUMMYFUNCTION("""COMPUTED_VALUE"""),"貓狗企鵝")</f>
        <v>貓狗企鵝</v>
      </c>
      <c r="J1372" t="str">
        <f>IFERROR(__xludf.DUMMYFUNCTION("IFS(
  AND(REGEXMATCH(E1372, ""台銀籌備帳戶|玉山帳戶""), REGEXMATCH(C1372, ""薪資"")), ""分潤支出"",
  AND(REGEXMATCH(E1372, ""Ben帳戶|Elsa帳戶|Ben代墊|Ariel代墊|中信銀行共用""), REGEXMATCH(F1372, ""Ben帳戶|Elsa帳戶|Ben代墊|Ariel代墊|中信銀行共用"")), ""內部轉帳(忽略)"",
  AND(E1372&lt;&gt;"""", F1372&lt;&gt;"""", N"&amp;"OT(REGEXMATCH(C1372, ""薪資""))), ""內部轉帳(忽略)"",
  REGEXMATCH(C1372, ""薪資""), ""薪資變動(不計入)"",
  REGEXMATCH(C1372, ""押金""), ""押金往來"",
  AND(E1372&lt;&gt;"""", F1372=""""), ""真實支出"",
  AND(E1372="""", F1372&lt;&gt;""""), ""真實收入"",
  TRUE, ""其他""
)"),"真實支出")</f>
        <v>真實支出</v>
      </c>
      <c r="K1372" s="270">
        <f t="shared" si="2"/>
        <v>-15</v>
      </c>
      <c r="L1372">
        <f t="shared" si="3"/>
        <v>0</v>
      </c>
    </row>
    <row r="1373">
      <c r="A1373" s="107">
        <f>IFERROR(__xludf.DUMMYFUNCTION("""COMPUTED_VALUE"""),45668.0)</f>
        <v>45668</v>
      </c>
      <c r="B1373" t="str">
        <f>IFERROR(__xludf.DUMMYFUNCTION("""COMPUTED_VALUE"""),"代墊款丁")</f>
        <v>代墊款丁</v>
      </c>
      <c r="C1373" t="str">
        <f>IFERROR(__xludf.DUMMYFUNCTION("""COMPUTED_VALUE"""),"成本 - 租後修繕")</f>
        <v>成本 - 租後修繕</v>
      </c>
      <c r="D1373" s="270">
        <f>IFERROR(__xludf.DUMMYFUNCTION("""COMPUTED_VALUE"""),-6000.0)</f>
        <v>-6000</v>
      </c>
      <c r="E1373" t="str">
        <f>IFERROR(__xludf.DUMMYFUNCTION("""COMPUTED_VALUE"""),"台銀籌備帳戶")</f>
        <v>台銀籌備帳戶</v>
      </c>
      <c r="G1373" t="str">
        <f>IFERROR(__xludf.DUMMYFUNCTION("""COMPUTED_VALUE"""),"龍江229")</f>
        <v>龍江229</v>
      </c>
      <c r="H1373" s="106" t="str">
        <f t="shared" si="1"/>
        <v>2025-01</v>
      </c>
      <c r="I1373" s="271" t="str">
        <f>IFERROR(__xludf.DUMMYFUNCTION("""COMPUTED_VALUE"""),"貓狗企鵝")</f>
        <v>貓狗企鵝</v>
      </c>
      <c r="J1373" t="str">
        <f>IFERROR(__xludf.DUMMYFUNCTION("IFS(
  AND(REGEXMATCH(E1373, ""台銀籌備帳戶|玉山帳戶""), REGEXMATCH(C1373, ""薪資"")), ""分潤支出"",
  AND(REGEXMATCH(E1373, ""Ben帳戶|Elsa帳戶|Ben代墊|Ariel代墊|中信銀行共用""), REGEXMATCH(F1373, ""Ben帳戶|Elsa帳戶|Ben代墊|Ariel代墊|中信銀行共用"")), ""內部轉帳(忽略)"",
  AND(E1373&lt;&gt;"""", F1373&lt;&gt;"""", N"&amp;"OT(REGEXMATCH(C1373, ""薪資""))), ""內部轉帳(忽略)"",
  REGEXMATCH(C1373, ""薪資""), ""薪資變動(不計入)"",
  REGEXMATCH(C1373, ""押金""), ""押金往來"",
  AND(E1373&lt;&gt;"""", F1373=""""), ""真實支出"",
  AND(E1373="""", F1373&lt;&gt;""""), ""真實收入"",
  TRUE, ""其他""
)"),"真實支出")</f>
        <v>真實支出</v>
      </c>
      <c r="K1373" s="270">
        <f t="shared" si="2"/>
        <v>-6000</v>
      </c>
      <c r="L1373">
        <f t="shared" si="3"/>
        <v>0</v>
      </c>
    </row>
    <row r="1374">
      <c r="A1374" s="107">
        <f>IFERROR(__xludf.DUMMYFUNCTION("""COMPUTED_VALUE"""),45670.0)</f>
        <v>45670</v>
      </c>
      <c r="B1374" t="str">
        <f>IFERROR(__xludf.DUMMYFUNCTION("""COMPUTED_VALUE"""),"[龍江229] [游為傑] 大租金")</f>
        <v>[龍江229] [游為傑] 大租金</v>
      </c>
      <c r="C1374" t="str">
        <f>IFERROR(__xludf.DUMMYFUNCTION("""COMPUTED_VALUE"""),"成本 - 大租金")</f>
        <v>成本 - 大租金</v>
      </c>
      <c r="D1374" s="270">
        <f>IFERROR(__xludf.DUMMYFUNCTION("""COMPUTED_VALUE"""),-13500.0)</f>
        <v>-13500</v>
      </c>
      <c r="E1374" t="str">
        <f>IFERROR(__xludf.DUMMYFUNCTION("""COMPUTED_VALUE"""),"台銀籌備帳戶")</f>
        <v>台銀籌備帳戶</v>
      </c>
      <c r="G1374" t="str">
        <f>IFERROR(__xludf.DUMMYFUNCTION("""COMPUTED_VALUE"""),"龍江229")</f>
        <v>龍江229</v>
      </c>
      <c r="H1374" s="106" t="str">
        <f t="shared" si="1"/>
        <v>2025-01</v>
      </c>
      <c r="I1374" s="271" t="str">
        <f>IFERROR(__xludf.DUMMYFUNCTION("""COMPUTED_VALUE"""),"貓狗企鵝")</f>
        <v>貓狗企鵝</v>
      </c>
      <c r="J1374" t="str">
        <f>IFERROR(__xludf.DUMMYFUNCTION("IFS(
  AND(REGEXMATCH(E1374, ""台銀籌備帳戶|玉山帳戶""), REGEXMATCH(C1374, ""薪資"")), ""分潤支出"",
  AND(REGEXMATCH(E1374, ""Ben帳戶|Elsa帳戶|Ben代墊|Ariel代墊|中信銀行共用""), REGEXMATCH(F1374, ""Ben帳戶|Elsa帳戶|Ben代墊|Ariel代墊|中信銀行共用"")), ""內部轉帳(忽略)"",
  AND(E1374&lt;&gt;"""", F1374&lt;&gt;"""", N"&amp;"OT(REGEXMATCH(C1374, ""薪資""))), ""內部轉帳(忽略)"",
  REGEXMATCH(C1374, ""薪資""), ""薪資變動(不計入)"",
  REGEXMATCH(C1374, ""押金""), ""押金往來"",
  AND(E1374&lt;&gt;"""", F1374=""""), ""真實支出"",
  AND(E1374="""", F1374&lt;&gt;""""), ""真實收入"",
  TRUE, ""其他""
)"),"真實支出")</f>
        <v>真實支出</v>
      </c>
      <c r="K1374" s="270">
        <f t="shared" si="2"/>
        <v>-13500</v>
      </c>
      <c r="L1374">
        <f t="shared" si="3"/>
        <v>0</v>
      </c>
    </row>
    <row r="1375">
      <c r="A1375" s="107">
        <f>IFERROR(__xludf.DUMMYFUNCTION("""COMPUTED_VALUE"""),45670.0)</f>
        <v>45670</v>
      </c>
      <c r="B1375" t="str">
        <f>IFERROR(__xludf.DUMMYFUNCTION("""COMPUTED_VALUE"""),"銀行轉帳匯費")</f>
        <v>銀行轉帳匯費</v>
      </c>
      <c r="C1375" t="str">
        <f>IFERROR(__xludf.DUMMYFUNCTION("""COMPUTED_VALUE"""),"費用 - 匯費")</f>
        <v>費用 - 匯費</v>
      </c>
      <c r="D1375" s="270">
        <f>IFERROR(__xludf.DUMMYFUNCTION("""COMPUTED_VALUE"""),-15.0)</f>
        <v>-15</v>
      </c>
      <c r="E1375" t="str">
        <f>IFERROR(__xludf.DUMMYFUNCTION("""COMPUTED_VALUE"""),"台銀籌備帳戶")</f>
        <v>台銀籌備帳戶</v>
      </c>
      <c r="G1375" t="str">
        <f>IFERROR(__xludf.DUMMYFUNCTION("""COMPUTED_VALUE"""),"龍江229")</f>
        <v>龍江229</v>
      </c>
      <c r="H1375" s="106" t="str">
        <f t="shared" si="1"/>
        <v>2025-01</v>
      </c>
      <c r="I1375" s="271" t="str">
        <f>IFERROR(__xludf.DUMMYFUNCTION("""COMPUTED_VALUE"""),"貓狗企鵝")</f>
        <v>貓狗企鵝</v>
      </c>
      <c r="J1375" t="str">
        <f>IFERROR(__xludf.DUMMYFUNCTION("IFS(
  AND(REGEXMATCH(E1375, ""台銀籌備帳戶|玉山帳戶""), REGEXMATCH(C1375, ""薪資"")), ""分潤支出"",
  AND(REGEXMATCH(E1375, ""Ben帳戶|Elsa帳戶|Ben代墊|Ariel代墊|中信銀行共用""), REGEXMATCH(F1375, ""Ben帳戶|Elsa帳戶|Ben代墊|Ariel代墊|中信銀行共用"")), ""內部轉帳(忽略)"",
  AND(E1375&lt;&gt;"""", F1375&lt;&gt;"""", N"&amp;"OT(REGEXMATCH(C1375, ""薪資""))), ""內部轉帳(忽略)"",
  REGEXMATCH(C1375, ""薪資""), ""薪資變動(不計入)"",
  REGEXMATCH(C1375, ""押金""), ""押金往來"",
  AND(E1375&lt;&gt;"""", F1375=""""), ""真實支出"",
  AND(E1375="""", F1375&lt;&gt;""""), ""真實收入"",
  TRUE, ""其他""
)"),"真實支出")</f>
        <v>真實支出</v>
      </c>
      <c r="K1375" s="270">
        <f t="shared" si="2"/>
        <v>-15</v>
      </c>
      <c r="L1375">
        <f t="shared" si="3"/>
        <v>0</v>
      </c>
    </row>
    <row r="1376">
      <c r="A1376" s="107">
        <f>IFERROR(__xludf.DUMMYFUNCTION("""COMPUTED_VALUE"""),45672.0)</f>
        <v>45672</v>
      </c>
      <c r="B1376" t="str">
        <f>IFERROR(__xludf.DUMMYFUNCTION("""COMPUTED_VALUE"""),"[南港站挑高宅] [林淑華] 大租金")</f>
        <v>[南港站挑高宅] [林淑華] 大租金</v>
      </c>
      <c r="C1376" t="str">
        <f>IFERROR(__xludf.DUMMYFUNCTION("""COMPUTED_VALUE"""),"成本 - 大租金")</f>
        <v>成本 - 大租金</v>
      </c>
      <c r="D1376" s="270">
        <f>IFERROR(__xludf.DUMMYFUNCTION("""COMPUTED_VALUE"""),-18250.0)</f>
        <v>-18250</v>
      </c>
      <c r="E1376" t="str">
        <f>IFERROR(__xludf.DUMMYFUNCTION("""COMPUTED_VALUE"""),"台銀籌備帳戶")</f>
        <v>台銀籌備帳戶</v>
      </c>
      <c r="G1376" t="str">
        <f>IFERROR(__xludf.DUMMYFUNCTION("""COMPUTED_VALUE"""),"南港站挑高宅")</f>
        <v>南港站挑高宅</v>
      </c>
      <c r="H1376" s="106" t="str">
        <f t="shared" si="1"/>
        <v>2025-01</v>
      </c>
      <c r="I1376" s="271" t="str">
        <f>IFERROR(__xludf.DUMMYFUNCTION("""COMPUTED_VALUE"""),"貓狗企鵝")</f>
        <v>貓狗企鵝</v>
      </c>
      <c r="J1376" t="str">
        <f>IFERROR(__xludf.DUMMYFUNCTION("IFS(
  AND(REGEXMATCH(E1376, ""台銀籌備帳戶|玉山帳戶""), REGEXMATCH(C1376, ""薪資"")), ""分潤支出"",
  AND(REGEXMATCH(E1376, ""Ben帳戶|Elsa帳戶|Ben代墊|Ariel代墊|中信銀行共用""), REGEXMATCH(F1376, ""Ben帳戶|Elsa帳戶|Ben代墊|Ariel代墊|中信銀行共用"")), ""內部轉帳(忽略)"",
  AND(E1376&lt;&gt;"""", F1376&lt;&gt;"""", N"&amp;"OT(REGEXMATCH(C1376, ""薪資""))), ""內部轉帳(忽略)"",
  REGEXMATCH(C1376, ""薪資""), ""薪資變動(不計入)"",
  REGEXMATCH(C1376, ""押金""), ""押金往來"",
  AND(E1376&lt;&gt;"""", F1376=""""), ""真實支出"",
  AND(E1376="""", F1376&lt;&gt;""""), ""真實收入"",
  TRUE, ""其他""
)"),"真實支出")</f>
        <v>真實支出</v>
      </c>
      <c r="K1376" s="270">
        <f t="shared" si="2"/>
        <v>-18250</v>
      </c>
      <c r="L1376">
        <f t="shared" si="3"/>
        <v>0</v>
      </c>
    </row>
    <row r="1377">
      <c r="A1377" s="107">
        <f>IFERROR(__xludf.DUMMYFUNCTION("""COMPUTED_VALUE"""),45672.0)</f>
        <v>45672</v>
      </c>
      <c r="B1377" t="str">
        <f>IFERROR(__xludf.DUMMYFUNCTION("""COMPUTED_VALUE"""),"[中山北Feli家] [陳玉蘭] 大租金")</f>
        <v>[中山北Feli家] [陳玉蘭] 大租金</v>
      </c>
      <c r="C1377" t="str">
        <f>IFERROR(__xludf.DUMMYFUNCTION("""COMPUTED_VALUE"""),"成本 - 大租金")</f>
        <v>成本 - 大租金</v>
      </c>
      <c r="D1377" s="270">
        <f>IFERROR(__xludf.DUMMYFUNCTION("""COMPUTED_VALUE"""),-18000.0)</f>
        <v>-18000</v>
      </c>
      <c r="E1377" t="str">
        <f>IFERROR(__xludf.DUMMYFUNCTION("""COMPUTED_VALUE"""),"台銀籌備帳戶")</f>
        <v>台銀籌備帳戶</v>
      </c>
      <c r="G1377" t="str">
        <f>IFERROR(__xludf.DUMMYFUNCTION("""COMPUTED_VALUE"""),"中山北Feli家")</f>
        <v>中山北Feli家</v>
      </c>
      <c r="H1377" s="106" t="str">
        <f t="shared" si="1"/>
        <v>2025-01</v>
      </c>
      <c r="I1377" s="271" t="str">
        <f>IFERROR(__xludf.DUMMYFUNCTION("""COMPUTED_VALUE"""),"貓狗企鵝")</f>
        <v>貓狗企鵝</v>
      </c>
      <c r="J1377" t="str">
        <f>IFERROR(__xludf.DUMMYFUNCTION("IFS(
  AND(REGEXMATCH(E1377, ""台銀籌備帳戶|玉山帳戶""), REGEXMATCH(C1377, ""薪資"")), ""分潤支出"",
  AND(REGEXMATCH(E1377, ""Ben帳戶|Elsa帳戶|Ben代墊|Ariel代墊|中信銀行共用""), REGEXMATCH(F1377, ""Ben帳戶|Elsa帳戶|Ben代墊|Ariel代墊|中信銀行共用"")), ""內部轉帳(忽略)"",
  AND(E1377&lt;&gt;"""", F1377&lt;&gt;"""", N"&amp;"OT(REGEXMATCH(C1377, ""薪資""))), ""內部轉帳(忽略)"",
  REGEXMATCH(C1377, ""薪資""), ""薪資變動(不計入)"",
  REGEXMATCH(C1377, ""押金""), ""押金往來"",
  AND(E1377&lt;&gt;"""", F1377=""""), ""真實支出"",
  AND(E1377="""", F1377&lt;&gt;""""), ""真實收入"",
  TRUE, ""其他""
)"),"真實支出")</f>
        <v>真實支出</v>
      </c>
      <c r="K1377" s="270">
        <f t="shared" si="2"/>
        <v>-18000</v>
      </c>
      <c r="L1377">
        <f t="shared" si="3"/>
        <v>0</v>
      </c>
    </row>
    <row r="1378">
      <c r="A1378" s="107">
        <f>IFERROR(__xludf.DUMMYFUNCTION("""COMPUTED_VALUE"""),45672.0)</f>
        <v>45672</v>
      </c>
      <c r="B1378" t="str">
        <f>IFERROR(__xludf.DUMMYFUNCTION("""COMPUTED_VALUE"""),"銀行轉帳匯費")</f>
        <v>銀行轉帳匯費</v>
      </c>
      <c r="C1378" t="str">
        <f>IFERROR(__xludf.DUMMYFUNCTION("""COMPUTED_VALUE"""),"費用 - 匯費")</f>
        <v>費用 - 匯費</v>
      </c>
      <c r="D1378" s="270">
        <f>IFERROR(__xludf.DUMMYFUNCTION("""COMPUTED_VALUE"""),-15.0)</f>
        <v>-15</v>
      </c>
      <c r="E1378" t="str">
        <f>IFERROR(__xludf.DUMMYFUNCTION("""COMPUTED_VALUE"""),"台銀籌備帳戶")</f>
        <v>台銀籌備帳戶</v>
      </c>
      <c r="G1378" t="str">
        <f>IFERROR(__xludf.DUMMYFUNCTION("""COMPUTED_VALUE"""),"中山北Feli家")</f>
        <v>中山北Feli家</v>
      </c>
      <c r="H1378" s="106" t="str">
        <f t="shared" si="1"/>
        <v>2025-01</v>
      </c>
      <c r="I1378" s="271" t="str">
        <f>IFERROR(__xludf.DUMMYFUNCTION("""COMPUTED_VALUE"""),"貓狗企鵝")</f>
        <v>貓狗企鵝</v>
      </c>
      <c r="J1378" t="str">
        <f>IFERROR(__xludf.DUMMYFUNCTION("IFS(
  AND(REGEXMATCH(E1378, ""台銀籌備帳戶|玉山帳戶""), REGEXMATCH(C1378, ""薪資"")), ""分潤支出"",
  AND(REGEXMATCH(E1378, ""Ben帳戶|Elsa帳戶|Ben代墊|Ariel代墊|中信銀行共用""), REGEXMATCH(F1378, ""Ben帳戶|Elsa帳戶|Ben代墊|Ariel代墊|中信銀行共用"")), ""內部轉帳(忽略)"",
  AND(E1378&lt;&gt;"""", F1378&lt;&gt;"""", N"&amp;"OT(REGEXMATCH(C1378, ""薪資""))), ""內部轉帳(忽略)"",
  REGEXMATCH(C1378, ""薪資""), ""薪資變動(不計入)"",
  REGEXMATCH(C1378, ""押金""), ""押金往來"",
  AND(E1378&lt;&gt;"""", F1378=""""), ""真實支出"",
  AND(E1378="""", F1378&lt;&gt;""""), ""真實收入"",
  TRUE, ""其他""
)"),"真實支出")</f>
        <v>真實支出</v>
      </c>
      <c r="K1378" s="270">
        <f t="shared" si="2"/>
        <v>-15</v>
      </c>
      <c r="L1378">
        <f t="shared" si="3"/>
        <v>0</v>
      </c>
    </row>
    <row r="1379">
      <c r="A1379" s="107">
        <f>IFERROR(__xludf.DUMMYFUNCTION("""COMPUTED_VALUE"""),45672.0)</f>
        <v>45672</v>
      </c>
      <c r="B1379" t="str">
        <f>IFERROR(__xludf.DUMMYFUNCTION("""COMPUTED_VALUE"""),"[景安2分鐘] [王逸荃] 大租金")</f>
        <v>[景安2分鐘] [王逸荃] 大租金</v>
      </c>
      <c r="C1379" t="str">
        <f>IFERROR(__xludf.DUMMYFUNCTION("""COMPUTED_VALUE"""),"成本 - 大租金")</f>
        <v>成本 - 大租金</v>
      </c>
      <c r="D1379" s="270">
        <f>IFERROR(__xludf.DUMMYFUNCTION("""COMPUTED_VALUE"""),-12500.0)</f>
        <v>-12500</v>
      </c>
      <c r="E1379" t="str">
        <f>IFERROR(__xludf.DUMMYFUNCTION("""COMPUTED_VALUE"""),"台銀籌備帳戶")</f>
        <v>台銀籌備帳戶</v>
      </c>
      <c r="G1379" t="str">
        <f>IFERROR(__xludf.DUMMYFUNCTION("""COMPUTED_VALUE"""),"景安2分鐘")</f>
        <v>景安2分鐘</v>
      </c>
      <c r="H1379" s="106" t="str">
        <f t="shared" si="1"/>
        <v>2025-01</v>
      </c>
      <c r="I1379" s="271" t="str">
        <f>IFERROR(__xludf.DUMMYFUNCTION("""COMPUTED_VALUE"""),"貓狗企鵝")</f>
        <v>貓狗企鵝</v>
      </c>
      <c r="J1379" t="str">
        <f>IFERROR(__xludf.DUMMYFUNCTION("IFS(
  AND(REGEXMATCH(E1379, ""台銀籌備帳戶|玉山帳戶""), REGEXMATCH(C1379, ""薪資"")), ""分潤支出"",
  AND(REGEXMATCH(E1379, ""Ben帳戶|Elsa帳戶|Ben代墊|Ariel代墊|中信銀行共用""), REGEXMATCH(F1379, ""Ben帳戶|Elsa帳戶|Ben代墊|Ariel代墊|中信銀行共用"")), ""內部轉帳(忽略)"",
  AND(E1379&lt;&gt;"""", F1379&lt;&gt;"""", N"&amp;"OT(REGEXMATCH(C1379, ""薪資""))), ""內部轉帳(忽略)"",
  REGEXMATCH(C1379, ""薪資""), ""薪資變動(不計入)"",
  REGEXMATCH(C1379, ""押金""), ""押金往來"",
  AND(E1379&lt;&gt;"""", F1379=""""), ""真實支出"",
  AND(E1379="""", F1379&lt;&gt;""""), ""真實收入"",
  TRUE, ""其他""
)"),"真實支出")</f>
        <v>真實支出</v>
      </c>
      <c r="K1379" s="270">
        <f t="shared" si="2"/>
        <v>-12500</v>
      </c>
      <c r="L1379">
        <f t="shared" si="3"/>
        <v>0</v>
      </c>
    </row>
    <row r="1380">
      <c r="A1380" s="107">
        <f>IFERROR(__xludf.DUMMYFUNCTION("""COMPUTED_VALUE"""),45672.0)</f>
        <v>45672</v>
      </c>
      <c r="B1380" t="str">
        <f>IFERROR(__xludf.DUMMYFUNCTION("""COMPUTED_VALUE"""),"銀行轉帳匯費")</f>
        <v>銀行轉帳匯費</v>
      </c>
      <c r="C1380" t="str">
        <f>IFERROR(__xludf.DUMMYFUNCTION("""COMPUTED_VALUE"""),"費用 - 匯費")</f>
        <v>費用 - 匯費</v>
      </c>
      <c r="D1380" s="270">
        <f>IFERROR(__xludf.DUMMYFUNCTION("""COMPUTED_VALUE"""),-15.0)</f>
        <v>-15</v>
      </c>
      <c r="E1380" t="str">
        <f>IFERROR(__xludf.DUMMYFUNCTION("""COMPUTED_VALUE"""),"台銀籌備帳戶")</f>
        <v>台銀籌備帳戶</v>
      </c>
      <c r="G1380" t="str">
        <f>IFERROR(__xludf.DUMMYFUNCTION("""COMPUTED_VALUE"""),"景安2分鐘")</f>
        <v>景安2分鐘</v>
      </c>
      <c r="H1380" s="106" t="str">
        <f t="shared" si="1"/>
        <v>2025-01</v>
      </c>
      <c r="I1380" s="271" t="str">
        <f>IFERROR(__xludf.DUMMYFUNCTION("""COMPUTED_VALUE"""),"貓狗企鵝")</f>
        <v>貓狗企鵝</v>
      </c>
      <c r="J1380" t="str">
        <f>IFERROR(__xludf.DUMMYFUNCTION("IFS(
  AND(REGEXMATCH(E1380, ""台銀籌備帳戶|玉山帳戶""), REGEXMATCH(C1380, ""薪資"")), ""分潤支出"",
  AND(REGEXMATCH(E1380, ""Ben帳戶|Elsa帳戶|Ben代墊|Ariel代墊|中信銀行共用""), REGEXMATCH(F1380, ""Ben帳戶|Elsa帳戶|Ben代墊|Ariel代墊|中信銀行共用"")), ""內部轉帳(忽略)"",
  AND(E1380&lt;&gt;"""", F1380&lt;&gt;"""", N"&amp;"OT(REGEXMATCH(C1380, ""薪資""))), ""內部轉帳(忽略)"",
  REGEXMATCH(C1380, ""薪資""), ""薪資變動(不計入)"",
  REGEXMATCH(C1380, ""押金""), ""押金往來"",
  AND(E1380&lt;&gt;"""", F1380=""""), ""真實支出"",
  AND(E1380="""", F1380&lt;&gt;""""), ""真實收入"",
  TRUE, ""其他""
)"),"真實支出")</f>
        <v>真實支出</v>
      </c>
      <c r="K1380" s="270">
        <f t="shared" si="2"/>
        <v>-15</v>
      </c>
      <c r="L1380">
        <f t="shared" si="3"/>
        <v>0</v>
      </c>
    </row>
    <row r="1381">
      <c r="A1381" s="107">
        <f>IFERROR(__xludf.DUMMYFUNCTION("""COMPUTED_VALUE"""),45672.0)</f>
        <v>45672</v>
      </c>
      <c r="B1381" t="str">
        <f>IFERROR(__xludf.DUMMYFUNCTION("""COMPUTED_VALUE"""),"[金龍帽子先生] [郭娟伶] 大租金")</f>
        <v>[金龍帽子先生] [郭娟伶] 大租金</v>
      </c>
      <c r="C1381" t="str">
        <f>IFERROR(__xludf.DUMMYFUNCTION("""COMPUTED_VALUE"""),"成本 - 大租金")</f>
        <v>成本 - 大租金</v>
      </c>
      <c r="D1381" s="270">
        <f>IFERROR(__xludf.DUMMYFUNCTION("""COMPUTED_VALUE"""),-17750.0)</f>
        <v>-17750</v>
      </c>
      <c r="E1381" t="str">
        <f>IFERROR(__xludf.DUMMYFUNCTION("""COMPUTED_VALUE"""),"台銀籌備帳戶")</f>
        <v>台銀籌備帳戶</v>
      </c>
      <c r="G1381" t="str">
        <f>IFERROR(__xludf.DUMMYFUNCTION("""COMPUTED_VALUE"""),"金龍帽子先生")</f>
        <v>金龍帽子先生</v>
      </c>
      <c r="H1381" s="106" t="str">
        <f t="shared" si="1"/>
        <v>2025-01</v>
      </c>
      <c r="I1381" s="271" t="str">
        <f>IFERROR(__xludf.DUMMYFUNCTION("""COMPUTED_VALUE"""),"貓狗企鵝")</f>
        <v>貓狗企鵝</v>
      </c>
      <c r="J1381" t="str">
        <f>IFERROR(__xludf.DUMMYFUNCTION("IFS(
  AND(REGEXMATCH(E1381, ""台銀籌備帳戶|玉山帳戶""), REGEXMATCH(C1381, ""薪資"")), ""分潤支出"",
  AND(REGEXMATCH(E1381, ""Ben帳戶|Elsa帳戶|Ben代墊|Ariel代墊|中信銀行共用""), REGEXMATCH(F1381, ""Ben帳戶|Elsa帳戶|Ben代墊|Ariel代墊|中信銀行共用"")), ""內部轉帳(忽略)"",
  AND(E1381&lt;&gt;"""", F1381&lt;&gt;"""", N"&amp;"OT(REGEXMATCH(C1381, ""薪資""))), ""內部轉帳(忽略)"",
  REGEXMATCH(C1381, ""薪資""), ""薪資變動(不計入)"",
  REGEXMATCH(C1381, ""押金""), ""押金往來"",
  AND(E1381&lt;&gt;"""", F1381=""""), ""真實支出"",
  AND(E1381="""", F1381&lt;&gt;""""), ""真實收入"",
  TRUE, ""其他""
)"),"真實支出")</f>
        <v>真實支出</v>
      </c>
      <c r="K1381" s="270">
        <f t="shared" si="2"/>
        <v>-17750</v>
      </c>
      <c r="L1381">
        <f t="shared" si="3"/>
        <v>0</v>
      </c>
    </row>
    <row r="1382">
      <c r="A1382" s="107">
        <f>IFERROR(__xludf.DUMMYFUNCTION("""COMPUTED_VALUE"""),45672.0)</f>
        <v>45672</v>
      </c>
      <c r="B1382" t="str">
        <f>IFERROR(__xludf.DUMMYFUNCTION("""COMPUTED_VALUE"""),"銀行轉帳匯費")</f>
        <v>銀行轉帳匯費</v>
      </c>
      <c r="C1382" t="str">
        <f>IFERROR(__xludf.DUMMYFUNCTION("""COMPUTED_VALUE"""),"費用 - 匯費")</f>
        <v>費用 - 匯費</v>
      </c>
      <c r="D1382" s="270">
        <f>IFERROR(__xludf.DUMMYFUNCTION("""COMPUTED_VALUE"""),-15.0)</f>
        <v>-15</v>
      </c>
      <c r="E1382" t="str">
        <f>IFERROR(__xludf.DUMMYFUNCTION("""COMPUTED_VALUE"""),"台銀籌備帳戶")</f>
        <v>台銀籌備帳戶</v>
      </c>
      <c r="G1382" t="str">
        <f>IFERROR(__xludf.DUMMYFUNCTION("""COMPUTED_VALUE"""),"金龍帽子先生")</f>
        <v>金龍帽子先生</v>
      </c>
      <c r="H1382" s="106" t="str">
        <f t="shared" si="1"/>
        <v>2025-01</v>
      </c>
      <c r="I1382" s="271" t="str">
        <f>IFERROR(__xludf.DUMMYFUNCTION("""COMPUTED_VALUE"""),"貓狗企鵝")</f>
        <v>貓狗企鵝</v>
      </c>
      <c r="J1382" t="str">
        <f>IFERROR(__xludf.DUMMYFUNCTION("IFS(
  AND(REGEXMATCH(E1382, ""台銀籌備帳戶|玉山帳戶""), REGEXMATCH(C1382, ""薪資"")), ""分潤支出"",
  AND(REGEXMATCH(E1382, ""Ben帳戶|Elsa帳戶|Ben代墊|Ariel代墊|中信銀行共用""), REGEXMATCH(F1382, ""Ben帳戶|Elsa帳戶|Ben代墊|Ariel代墊|中信銀行共用"")), ""內部轉帳(忽略)"",
  AND(E1382&lt;&gt;"""", F1382&lt;&gt;"""", N"&amp;"OT(REGEXMATCH(C1382, ""薪資""))), ""內部轉帳(忽略)"",
  REGEXMATCH(C1382, ""薪資""), ""薪資變動(不計入)"",
  REGEXMATCH(C1382, ""押金""), ""押金往來"",
  AND(E1382&lt;&gt;"""", F1382=""""), ""真實支出"",
  AND(E1382="""", F1382&lt;&gt;""""), ""真實收入"",
  TRUE, ""其他""
)"),"真實支出")</f>
        <v>真實支出</v>
      </c>
      <c r="K1382" s="270">
        <f t="shared" si="2"/>
        <v>-15</v>
      </c>
      <c r="L1382">
        <f t="shared" si="3"/>
        <v>0</v>
      </c>
    </row>
    <row r="1383">
      <c r="A1383" s="107">
        <f>IFERROR(__xludf.DUMMYFUNCTION("""COMPUTED_VALUE"""),45672.0)</f>
        <v>45672</v>
      </c>
      <c r="B1383" t="str">
        <f>IFERROR(__xludf.DUMMYFUNCTION("""COMPUTED_VALUE"""),"[大湖山莊] [陳彩霞] 大租金")</f>
        <v>[大湖山莊] [陳彩霞] 大租金</v>
      </c>
      <c r="C1383" t="str">
        <f>IFERROR(__xludf.DUMMYFUNCTION("""COMPUTED_VALUE"""),"成本 - 大租金")</f>
        <v>成本 - 大租金</v>
      </c>
      <c r="D1383" s="270">
        <f>IFERROR(__xludf.DUMMYFUNCTION("""COMPUTED_VALUE"""),-19400.0)</f>
        <v>-19400</v>
      </c>
      <c r="E1383" t="str">
        <f>IFERROR(__xludf.DUMMYFUNCTION("""COMPUTED_VALUE"""),"台銀籌備帳戶")</f>
        <v>台銀籌備帳戶</v>
      </c>
      <c r="G1383" t="str">
        <f>IFERROR(__xludf.DUMMYFUNCTION("""COMPUTED_VALUE"""),"大湖山莊")</f>
        <v>大湖山莊</v>
      </c>
      <c r="H1383" s="106" t="str">
        <f t="shared" si="1"/>
        <v>2025-01</v>
      </c>
      <c r="I1383" s="271" t="str">
        <f>IFERROR(__xludf.DUMMYFUNCTION("""COMPUTED_VALUE"""),"貓狗企鵝")</f>
        <v>貓狗企鵝</v>
      </c>
      <c r="J1383" t="str">
        <f>IFERROR(__xludf.DUMMYFUNCTION("IFS(
  AND(REGEXMATCH(E1383, ""台銀籌備帳戶|玉山帳戶""), REGEXMATCH(C1383, ""薪資"")), ""分潤支出"",
  AND(REGEXMATCH(E1383, ""Ben帳戶|Elsa帳戶|Ben代墊|Ariel代墊|中信銀行共用""), REGEXMATCH(F1383, ""Ben帳戶|Elsa帳戶|Ben代墊|Ariel代墊|中信銀行共用"")), ""內部轉帳(忽略)"",
  AND(E1383&lt;&gt;"""", F1383&lt;&gt;"""", N"&amp;"OT(REGEXMATCH(C1383, ""薪資""))), ""內部轉帳(忽略)"",
  REGEXMATCH(C1383, ""薪資""), ""薪資變動(不計入)"",
  REGEXMATCH(C1383, ""押金""), ""押金往來"",
  AND(E1383&lt;&gt;"""", F1383=""""), ""真實支出"",
  AND(E1383="""", F1383&lt;&gt;""""), ""真實收入"",
  TRUE, ""其他""
)"),"真實支出")</f>
        <v>真實支出</v>
      </c>
      <c r="K1383" s="270">
        <f t="shared" si="2"/>
        <v>-19400</v>
      </c>
      <c r="L1383">
        <f t="shared" si="3"/>
        <v>0</v>
      </c>
    </row>
    <row r="1384">
      <c r="A1384" s="107">
        <f>IFERROR(__xludf.DUMMYFUNCTION("""COMPUTED_VALUE"""),45672.0)</f>
        <v>45672</v>
      </c>
      <c r="B1384" t="str">
        <f>IFERROR(__xludf.DUMMYFUNCTION("""COMPUTED_VALUE"""),"銀行轉帳匯費")</f>
        <v>銀行轉帳匯費</v>
      </c>
      <c r="C1384" t="str">
        <f>IFERROR(__xludf.DUMMYFUNCTION("""COMPUTED_VALUE"""),"費用 - 匯費")</f>
        <v>費用 - 匯費</v>
      </c>
      <c r="D1384" s="270">
        <f>IFERROR(__xludf.DUMMYFUNCTION("""COMPUTED_VALUE"""),-15.0)</f>
        <v>-15</v>
      </c>
      <c r="E1384" t="str">
        <f>IFERROR(__xludf.DUMMYFUNCTION("""COMPUTED_VALUE"""),"台銀籌備帳戶")</f>
        <v>台銀籌備帳戶</v>
      </c>
      <c r="G1384" t="str">
        <f>IFERROR(__xludf.DUMMYFUNCTION("""COMPUTED_VALUE"""),"大湖山莊")</f>
        <v>大湖山莊</v>
      </c>
      <c r="H1384" s="106" t="str">
        <f t="shared" si="1"/>
        <v>2025-01</v>
      </c>
      <c r="I1384" s="271" t="str">
        <f>IFERROR(__xludf.DUMMYFUNCTION("""COMPUTED_VALUE"""),"貓狗企鵝")</f>
        <v>貓狗企鵝</v>
      </c>
      <c r="J1384" t="str">
        <f>IFERROR(__xludf.DUMMYFUNCTION("IFS(
  AND(REGEXMATCH(E1384, ""台銀籌備帳戶|玉山帳戶""), REGEXMATCH(C1384, ""薪資"")), ""分潤支出"",
  AND(REGEXMATCH(E1384, ""Ben帳戶|Elsa帳戶|Ben代墊|Ariel代墊|中信銀行共用""), REGEXMATCH(F1384, ""Ben帳戶|Elsa帳戶|Ben代墊|Ariel代墊|中信銀行共用"")), ""內部轉帳(忽略)"",
  AND(E1384&lt;&gt;"""", F1384&lt;&gt;"""", N"&amp;"OT(REGEXMATCH(C1384, ""薪資""))), ""內部轉帳(忽略)"",
  REGEXMATCH(C1384, ""薪資""), ""薪資變動(不計入)"",
  REGEXMATCH(C1384, ""押金""), ""押金往來"",
  AND(E1384&lt;&gt;"""", F1384=""""), ""真實支出"",
  AND(E1384="""", F1384&lt;&gt;""""), ""真實收入"",
  TRUE, ""其他""
)"),"真實支出")</f>
        <v>真實支出</v>
      </c>
      <c r="K1384" s="270">
        <f t="shared" si="2"/>
        <v>-15</v>
      </c>
      <c r="L1384">
        <f t="shared" si="3"/>
        <v>0</v>
      </c>
    </row>
    <row r="1385">
      <c r="A1385" s="107">
        <f>IFERROR(__xludf.DUMMYFUNCTION("""COMPUTED_VALUE"""),45672.0)</f>
        <v>45672</v>
      </c>
      <c r="B1385" t="str">
        <f>IFERROR(__xludf.DUMMYFUNCTION("""COMPUTED_VALUE"""),"[哈拉對面] [陳哲聰] 大租金")</f>
        <v>[哈拉對面] [陳哲聰] 大租金</v>
      </c>
      <c r="C1385" t="str">
        <f>IFERROR(__xludf.DUMMYFUNCTION("""COMPUTED_VALUE"""),"成本 - 大租金")</f>
        <v>成本 - 大租金</v>
      </c>
      <c r="D1385" s="270">
        <f>IFERROR(__xludf.DUMMYFUNCTION("""COMPUTED_VALUE"""),-13000.0)</f>
        <v>-13000</v>
      </c>
      <c r="E1385" t="str">
        <f>IFERROR(__xludf.DUMMYFUNCTION("""COMPUTED_VALUE"""),"台銀籌備帳戶")</f>
        <v>台銀籌備帳戶</v>
      </c>
      <c r="G1385" t="str">
        <f>IFERROR(__xludf.DUMMYFUNCTION("""COMPUTED_VALUE"""),"哈拉對面")</f>
        <v>哈拉對面</v>
      </c>
      <c r="H1385" s="106" t="str">
        <f t="shared" si="1"/>
        <v>2025-01</v>
      </c>
      <c r="I1385" s="271" t="str">
        <f>IFERROR(__xludf.DUMMYFUNCTION("""COMPUTED_VALUE"""),"貓狗企鵝")</f>
        <v>貓狗企鵝</v>
      </c>
      <c r="J1385" t="str">
        <f>IFERROR(__xludf.DUMMYFUNCTION("IFS(
  AND(REGEXMATCH(E1385, ""台銀籌備帳戶|玉山帳戶""), REGEXMATCH(C1385, ""薪資"")), ""分潤支出"",
  AND(REGEXMATCH(E1385, ""Ben帳戶|Elsa帳戶|Ben代墊|Ariel代墊|中信銀行共用""), REGEXMATCH(F1385, ""Ben帳戶|Elsa帳戶|Ben代墊|Ariel代墊|中信銀行共用"")), ""內部轉帳(忽略)"",
  AND(E1385&lt;&gt;"""", F1385&lt;&gt;"""", N"&amp;"OT(REGEXMATCH(C1385, ""薪資""))), ""內部轉帳(忽略)"",
  REGEXMATCH(C1385, ""薪資""), ""薪資變動(不計入)"",
  REGEXMATCH(C1385, ""押金""), ""押金往來"",
  AND(E1385&lt;&gt;"""", F1385=""""), ""真實支出"",
  AND(E1385="""", F1385&lt;&gt;""""), ""真實收入"",
  TRUE, ""其他""
)"),"真實支出")</f>
        <v>真實支出</v>
      </c>
      <c r="K1385" s="270">
        <f t="shared" si="2"/>
        <v>-13000</v>
      </c>
      <c r="L1385">
        <f t="shared" si="3"/>
        <v>0</v>
      </c>
    </row>
    <row r="1386">
      <c r="A1386" s="107">
        <f>IFERROR(__xludf.DUMMYFUNCTION("""COMPUTED_VALUE"""),45672.0)</f>
        <v>45672</v>
      </c>
      <c r="B1386" t="str">
        <f>IFERROR(__xludf.DUMMYFUNCTION("""COMPUTED_VALUE"""),"銀行轉帳匯費")</f>
        <v>銀行轉帳匯費</v>
      </c>
      <c r="C1386" t="str">
        <f>IFERROR(__xludf.DUMMYFUNCTION("""COMPUTED_VALUE"""),"費用 - 匯費")</f>
        <v>費用 - 匯費</v>
      </c>
      <c r="D1386" s="270">
        <f>IFERROR(__xludf.DUMMYFUNCTION("""COMPUTED_VALUE"""),-15.0)</f>
        <v>-15</v>
      </c>
      <c r="E1386" t="str">
        <f>IFERROR(__xludf.DUMMYFUNCTION("""COMPUTED_VALUE"""),"台銀籌備帳戶")</f>
        <v>台銀籌備帳戶</v>
      </c>
      <c r="G1386" t="str">
        <f>IFERROR(__xludf.DUMMYFUNCTION("""COMPUTED_VALUE"""),"哈拉對面")</f>
        <v>哈拉對面</v>
      </c>
      <c r="H1386" s="106" t="str">
        <f t="shared" si="1"/>
        <v>2025-01</v>
      </c>
      <c r="I1386" s="271" t="str">
        <f>IFERROR(__xludf.DUMMYFUNCTION("""COMPUTED_VALUE"""),"貓狗企鵝")</f>
        <v>貓狗企鵝</v>
      </c>
      <c r="J1386" t="str">
        <f>IFERROR(__xludf.DUMMYFUNCTION("IFS(
  AND(REGEXMATCH(E1386, ""台銀籌備帳戶|玉山帳戶""), REGEXMATCH(C1386, ""薪資"")), ""分潤支出"",
  AND(REGEXMATCH(E1386, ""Ben帳戶|Elsa帳戶|Ben代墊|Ariel代墊|中信銀行共用""), REGEXMATCH(F1386, ""Ben帳戶|Elsa帳戶|Ben代墊|Ariel代墊|中信銀行共用"")), ""內部轉帳(忽略)"",
  AND(E1386&lt;&gt;"""", F1386&lt;&gt;"""", N"&amp;"OT(REGEXMATCH(C1386, ""薪資""))), ""內部轉帳(忽略)"",
  REGEXMATCH(C1386, ""薪資""), ""薪資變動(不計入)"",
  REGEXMATCH(C1386, ""押金""), ""押金往來"",
  AND(E1386&lt;&gt;"""", F1386=""""), ""真實支出"",
  AND(E1386="""", F1386&lt;&gt;""""), ""真實收入"",
  TRUE, ""其他""
)"),"真實支出")</f>
        <v>真實支出</v>
      </c>
      <c r="K1386" s="270">
        <f t="shared" si="2"/>
        <v>-15</v>
      </c>
      <c r="L1386">
        <f t="shared" si="3"/>
        <v>0</v>
      </c>
    </row>
    <row r="1387">
      <c r="A1387" s="107">
        <f>IFERROR(__xludf.DUMMYFUNCTION("""COMPUTED_VALUE"""),45672.0)</f>
        <v>45672</v>
      </c>
      <c r="B1387" t="str">
        <f>IFERROR(__xludf.DUMMYFUNCTION("""COMPUTED_VALUE"""),"[北醫醫師府] [陳俊良] 大租金")</f>
        <v>[北醫醫師府] [陳俊良] 大租金</v>
      </c>
      <c r="C1387" t="str">
        <f>IFERROR(__xludf.DUMMYFUNCTION("""COMPUTED_VALUE"""),"成本 - 大租金")</f>
        <v>成本 - 大租金</v>
      </c>
      <c r="D1387" s="270">
        <f>IFERROR(__xludf.DUMMYFUNCTION("""COMPUTED_VALUE"""),-12800.0)</f>
        <v>-12800</v>
      </c>
      <c r="E1387" t="str">
        <f>IFERROR(__xludf.DUMMYFUNCTION("""COMPUTED_VALUE"""),"台銀籌備帳戶")</f>
        <v>台銀籌備帳戶</v>
      </c>
      <c r="G1387" t="str">
        <f>IFERROR(__xludf.DUMMYFUNCTION("""COMPUTED_VALUE"""),"北醫醫師府")</f>
        <v>北醫醫師府</v>
      </c>
      <c r="H1387" s="106" t="str">
        <f t="shared" si="1"/>
        <v>2025-01</v>
      </c>
      <c r="I1387" s="271" t="str">
        <f>IFERROR(__xludf.DUMMYFUNCTION("""COMPUTED_VALUE"""),"貓狗企鵝")</f>
        <v>貓狗企鵝</v>
      </c>
      <c r="J1387" t="str">
        <f>IFERROR(__xludf.DUMMYFUNCTION("IFS(
  AND(REGEXMATCH(E1387, ""台銀籌備帳戶|玉山帳戶""), REGEXMATCH(C1387, ""薪資"")), ""分潤支出"",
  AND(REGEXMATCH(E1387, ""Ben帳戶|Elsa帳戶|Ben代墊|Ariel代墊|中信銀行共用""), REGEXMATCH(F1387, ""Ben帳戶|Elsa帳戶|Ben代墊|Ariel代墊|中信銀行共用"")), ""內部轉帳(忽略)"",
  AND(E1387&lt;&gt;"""", F1387&lt;&gt;"""", N"&amp;"OT(REGEXMATCH(C1387, ""薪資""))), ""內部轉帳(忽略)"",
  REGEXMATCH(C1387, ""薪資""), ""薪資變動(不計入)"",
  REGEXMATCH(C1387, ""押金""), ""押金往來"",
  AND(E1387&lt;&gt;"""", F1387=""""), ""真實支出"",
  AND(E1387="""", F1387&lt;&gt;""""), ""真實收入"",
  TRUE, ""其他""
)"),"真實支出")</f>
        <v>真實支出</v>
      </c>
      <c r="K1387" s="270">
        <f t="shared" si="2"/>
        <v>-12800</v>
      </c>
      <c r="L1387">
        <f t="shared" si="3"/>
        <v>0</v>
      </c>
    </row>
    <row r="1388">
      <c r="A1388" s="107">
        <f>IFERROR(__xludf.DUMMYFUNCTION("""COMPUTED_VALUE"""),45672.0)</f>
        <v>45672</v>
      </c>
      <c r="B1388" t="str">
        <f>IFERROR(__xludf.DUMMYFUNCTION("""COMPUTED_VALUE"""),"銀行轉帳匯費")</f>
        <v>銀行轉帳匯費</v>
      </c>
      <c r="C1388" t="str">
        <f>IFERROR(__xludf.DUMMYFUNCTION("""COMPUTED_VALUE"""),"費用 - 匯費")</f>
        <v>費用 - 匯費</v>
      </c>
      <c r="D1388" s="270">
        <f>IFERROR(__xludf.DUMMYFUNCTION("""COMPUTED_VALUE"""),-15.0)</f>
        <v>-15</v>
      </c>
      <c r="E1388" t="str">
        <f>IFERROR(__xludf.DUMMYFUNCTION("""COMPUTED_VALUE"""),"台銀籌備帳戶")</f>
        <v>台銀籌備帳戶</v>
      </c>
      <c r="G1388" t="str">
        <f>IFERROR(__xludf.DUMMYFUNCTION("""COMPUTED_VALUE"""),"北醫醫師府")</f>
        <v>北醫醫師府</v>
      </c>
      <c r="H1388" s="106" t="str">
        <f t="shared" si="1"/>
        <v>2025-01</v>
      </c>
      <c r="I1388" s="271" t="str">
        <f>IFERROR(__xludf.DUMMYFUNCTION("""COMPUTED_VALUE"""),"貓狗企鵝")</f>
        <v>貓狗企鵝</v>
      </c>
      <c r="J1388" t="str">
        <f>IFERROR(__xludf.DUMMYFUNCTION("IFS(
  AND(REGEXMATCH(E1388, ""台銀籌備帳戶|玉山帳戶""), REGEXMATCH(C1388, ""薪資"")), ""分潤支出"",
  AND(REGEXMATCH(E1388, ""Ben帳戶|Elsa帳戶|Ben代墊|Ariel代墊|中信銀行共用""), REGEXMATCH(F1388, ""Ben帳戶|Elsa帳戶|Ben代墊|Ariel代墊|中信銀行共用"")), ""內部轉帳(忽略)"",
  AND(E1388&lt;&gt;"""", F1388&lt;&gt;"""", N"&amp;"OT(REGEXMATCH(C1388, ""薪資""))), ""內部轉帳(忽略)"",
  REGEXMATCH(C1388, ""薪資""), ""薪資變動(不計入)"",
  REGEXMATCH(C1388, ""押金""), ""押金往來"",
  AND(E1388&lt;&gt;"""", F1388=""""), ""真實支出"",
  AND(E1388="""", F1388&lt;&gt;""""), ""真實收入"",
  TRUE, ""其他""
)"),"真實支出")</f>
        <v>真實支出</v>
      </c>
      <c r="K1388" s="270">
        <f t="shared" si="2"/>
        <v>-15</v>
      </c>
      <c r="L1388">
        <f t="shared" si="3"/>
        <v>0</v>
      </c>
    </row>
    <row r="1389">
      <c r="A1389" s="107">
        <f>IFERROR(__xludf.DUMMYFUNCTION("""COMPUTED_VALUE"""),45672.0)</f>
        <v>45672</v>
      </c>
      <c r="B1389" t="str">
        <f>IFERROR(__xludf.DUMMYFUNCTION("""COMPUTED_VALUE"""),"[中山北娘家旁] [方彥捷] 大租金")</f>
        <v>[中山北娘家旁] [方彥捷] 大租金</v>
      </c>
      <c r="C1389" t="str">
        <f>IFERROR(__xludf.DUMMYFUNCTION("""COMPUTED_VALUE"""),"成本 - 大租金")</f>
        <v>成本 - 大租金</v>
      </c>
      <c r="D1389" s="270">
        <f>IFERROR(__xludf.DUMMYFUNCTION("""COMPUTED_VALUE"""),-11500.0)</f>
        <v>-11500</v>
      </c>
      <c r="E1389" t="str">
        <f>IFERROR(__xludf.DUMMYFUNCTION("""COMPUTED_VALUE"""),"台銀籌備帳戶")</f>
        <v>台銀籌備帳戶</v>
      </c>
      <c r="G1389" t="str">
        <f>IFERROR(__xludf.DUMMYFUNCTION("""COMPUTED_VALUE"""),"中山北娘家旁")</f>
        <v>中山北娘家旁</v>
      </c>
      <c r="H1389" s="106" t="str">
        <f t="shared" si="1"/>
        <v>2025-01</v>
      </c>
      <c r="I1389" s="271" t="str">
        <f>IFERROR(__xludf.DUMMYFUNCTION("""COMPUTED_VALUE"""),"貓狗企鵝")</f>
        <v>貓狗企鵝</v>
      </c>
      <c r="J1389" t="str">
        <f>IFERROR(__xludf.DUMMYFUNCTION("IFS(
  AND(REGEXMATCH(E1389, ""台銀籌備帳戶|玉山帳戶""), REGEXMATCH(C1389, ""薪資"")), ""分潤支出"",
  AND(REGEXMATCH(E1389, ""Ben帳戶|Elsa帳戶|Ben代墊|Ariel代墊|中信銀行共用""), REGEXMATCH(F1389, ""Ben帳戶|Elsa帳戶|Ben代墊|Ariel代墊|中信銀行共用"")), ""內部轉帳(忽略)"",
  AND(E1389&lt;&gt;"""", F1389&lt;&gt;"""", N"&amp;"OT(REGEXMATCH(C1389, ""薪資""))), ""內部轉帳(忽略)"",
  REGEXMATCH(C1389, ""薪資""), ""薪資變動(不計入)"",
  REGEXMATCH(C1389, ""押金""), ""押金往來"",
  AND(E1389&lt;&gt;"""", F1389=""""), ""真實支出"",
  AND(E1389="""", F1389&lt;&gt;""""), ""真實收入"",
  TRUE, ""其他""
)"),"真實支出")</f>
        <v>真實支出</v>
      </c>
      <c r="K1389" s="270">
        <f t="shared" si="2"/>
        <v>-11500</v>
      </c>
      <c r="L1389">
        <f t="shared" si="3"/>
        <v>0</v>
      </c>
    </row>
    <row r="1390">
      <c r="A1390" s="107">
        <f>IFERROR(__xludf.DUMMYFUNCTION("""COMPUTED_VALUE"""),45672.0)</f>
        <v>45672</v>
      </c>
      <c r="B1390" t="str">
        <f>IFERROR(__xludf.DUMMYFUNCTION("""COMPUTED_VALUE"""),"銀行轉帳匯費")</f>
        <v>銀行轉帳匯費</v>
      </c>
      <c r="C1390" t="str">
        <f>IFERROR(__xludf.DUMMYFUNCTION("""COMPUTED_VALUE"""),"費用 - 匯費")</f>
        <v>費用 - 匯費</v>
      </c>
      <c r="D1390" s="270">
        <f>IFERROR(__xludf.DUMMYFUNCTION("""COMPUTED_VALUE"""),-15.0)</f>
        <v>-15</v>
      </c>
      <c r="E1390" t="str">
        <f>IFERROR(__xludf.DUMMYFUNCTION("""COMPUTED_VALUE"""),"台銀籌備帳戶")</f>
        <v>台銀籌備帳戶</v>
      </c>
      <c r="G1390" t="str">
        <f>IFERROR(__xludf.DUMMYFUNCTION("""COMPUTED_VALUE"""),"中山北娘家旁")</f>
        <v>中山北娘家旁</v>
      </c>
      <c r="H1390" s="106" t="str">
        <f t="shared" si="1"/>
        <v>2025-01</v>
      </c>
      <c r="I1390" s="271" t="str">
        <f>IFERROR(__xludf.DUMMYFUNCTION("""COMPUTED_VALUE"""),"貓狗企鵝")</f>
        <v>貓狗企鵝</v>
      </c>
      <c r="J1390" t="str">
        <f>IFERROR(__xludf.DUMMYFUNCTION("IFS(
  AND(REGEXMATCH(E1390, ""台銀籌備帳戶|玉山帳戶""), REGEXMATCH(C1390, ""薪資"")), ""分潤支出"",
  AND(REGEXMATCH(E1390, ""Ben帳戶|Elsa帳戶|Ben代墊|Ariel代墊|中信銀行共用""), REGEXMATCH(F1390, ""Ben帳戶|Elsa帳戶|Ben代墊|Ariel代墊|中信銀行共用"")), ""內部轉帳(忽略)"",
  AND(E1390&lt;&gt;"""", F1390&lt;&gt;"""", N"&amp;"OT(REGEXMATCH(C1390, ""薪資""))), ""內部轉帳(忽略)"",
  REGEXMATCH(C1390, ""薪資""), ""薪資變動(不計入)"",
  REGEXMATCH(C1390, ""押金""), ""押金往來"",
  AND(E1390&lt;&gt;"""", F1390=""""), ""真實支出"",
  AND(E1390="""", F1390&lt;&gt;""""), ""真實收入"",
  TRUE, ""其他""
)"),"真實支出")</f>
        <v>真實支出</v>
      </c>
      <c r="K1390" s="270">
        <f t="shared" si="2"/>
        <v>-15</v>
      </c>
      <c r="L1390">
        <f t="shared" si="3"/>
        <v>0</v>
      </c>
    </row>
    <row r="1391">
      <c r="A1391" s="107">
        <f>IFERROR(__xludf.DUMMYFUNCTION("""COMPUTED_VALUE"""),45672.0)</f>
        <v>45672</v>
      </c>
      <c r="B1391" t="str">
        <f>IFERROR(__xludf.DUMMYFUNCTION("""COMPUTED_VALUE"""),"金龍1-2月垃圾代收")</f>
        <v>金龍1-2月垃圾代收</v>
      </c>
      <c r="C1391" t="str">
        <f>IFERROR(__xludf.DUMMYFUNCTION("""COMPUTED_VALUE"""),"成本 - 固定開銷(網路代收清潔)")</f>
        <v>成本 - 固定開銷(網路代收清潔)</v>
      </c>
      <c r="D1391" s="270">
        <f>IFERROR(__xludf.DUMMYFUNCTION("""COMPUTED_VALUE"""),-800.0)</f>
        <v>-800</v>
      </c>
      <c r="E1391" t="str">
        <f>IFERROR(__xludf.DUMMYFUNCTION("""COMPUTED_VALUE"""),"Elsa帳戶")</f>
        <v>Elsa帳戶</v>
      </c>
      <c r="G1391" t="str">
        <f>IFERROR(__xludf.DUMMYFUNCTION("""COMPUTED_VALUE"""),"金龍帽子先生")</f>
        <v>金龍帽子先生</v>
      </c>
      <c r="H1391" s="106" t="str">
        <f t="shared" si="1"/>
        <v>2025-01</v>
      </c>
      <c r="I1391" s="271" t="str">
        <f>IFERROR(__xludf.DUMMYFUNCTION("""COMPUTED_VALUE"""),"貓狗企鵝")</f>
        <v>貓狗企鵝</v>
      </c>
      <c r="J1391" t="str">
        <f>IFERROR(__xludf.DUMMYFUNCTION("IFS(
  AND(REGEXMATCH(E1391, ""台銀籌備帳戶|玉山帳戶""), REGEXMATCH(C1391, ""薪資"")), ""分潤支出"",
  AND(REGEXMATCH(E1391, ""Ben帳戶|Elsa帳戶|Ben代墊|Ariel代墊|中信銀行共用""), REGEXMATCH(F1391, ""Ben帳戶|Elsa帳戶|Ben代墊|Ariel代墊|中信銀行共用"")), ""內部轉帳(忽略)"",
  AND(E1391&lt;&gt;"""", F1391&lt;&gt;"""", N"&amp;"OT(REGEXMATCH(C1391, ""薪資""))), ""內部轉帳(忽略)"",
  REGEXMATCH(C1391, ""薪資""), ""薪資變動(不計入)"",
  REGEXMATCH(C1391, ""押金""), ""押金往來"",
  AND(E1391&lt;&gt;"""", F1391=""""), ""真實支出"",
  AND(E1391="""", F1391&lt;&gt;""""), ""真實收入"",
  TRUE, ""其他""
)"),"真實支出")</f>
        <v>真實支出</v>
      </c>
      <c r="K1391" s="270">
        <f t="shared" si="2"/>
        <v>-800</v>
      </c>
      <c r="L1391">
        <f t="shared" si="3"/>
        <v>0</v>
      </c>
    </row>
    <row r="1392">
      <c r="A1392" s="107">
        <f>IFERROR(__xludf.DUMMYFUNCTION("""COMPUTED_VALUE"""),45678.0)</f>
        <v>45678</v>
      </c>
      <c r="B1392" t="str">
        <f>IFERROR(__xludf.DUMMYFUNCTION("""COMPUTED_VALUE"""),"大湖垃圾代收 1-6月+過年 500元/月")</f>
        <v>大湖垃圾代收 1-6月+過年 500元/月</v>
      </c>
      <c r="C1392" t="str">
        <f>IFERROR(__xludf.DUMMYFUNCTION("""COMPUTED_VALUE"""),"成本 - 固定開銷(網路代收清潔)")</f>
        <v>成本 - 固定開銷(網路代收清潔)</v>
      </c>
      <c r="D1392" s="270">
        <f>IFERROR(__xludf.DUMMYFUNCTION("""COMPUTED_VALUE"""),-3500.0)</f>
        <v>-3500</v>
      </c>
      <c r="E1392" t="str">
        <f>IFERROR(__xludf.DUMMYFUNCTION("""COMPUTED_VALUE"""),"Ben帳戶")</f>
        <v>Ben帳戶</v>
      </c>
      <c r="G1392" t="str">
        <f>IFERROR(__xludf.DUMMYFUNCTION("""COMPUTED_VALUE"""),"大湖山莊")</f>
        <v>大湖山莊</v>
      </c>
      <c r="H1392" s="106" t="str">
        <f t="shared" si="1"/>
        <v>2025-01</v>
      </c>
      <c r="I1392" s="271" t="str">
        <f>IFERROR(__xludf.DUMMYFUNCTION("""COMPUTED_VALUE"""),"貓狗企鵝")</f>
        <v>貓狗企鵝</v>
      </c>
      <c r="J1392" t="str">
        <f>IFERROR(__xludf.DUMMYFUNCTION("IFS(
  AND(REGEXMATCH(E1392, ""台銀籌備帳戶|玉山帳戶""), REGEXMATCH(C1392, ""薪資"")), ""分潤支出"",
  AND(REGEXMATCH(E1392, ""Ben帳戶|Elsa帳戶|Ben代墊|Ariel代墊|中信銀行共用""), REGEXMATCH(F1392, ""Ben帳戶|Elsa帳戶|Ben代墊|Ariel代墊|中信銀行共用"")), ""內部轉帳(忽略)"",
  AND(E1392&lt;&gt;"""", F1392&lt;&gt;"""", N"&amp;"OT(REGEXMATCH(C1392, ""薪資""))), ""內部轉帳(忽略)"",
  REGEXMATCH(C1392, ""薪資""), ""薪資變動(不計入)"",
  REGEXMATCH(C1392, ""押金""), ""押金往來"",
  AND(E1392&lt;&gt;"""", F1392=""""), ""真實支出"",
  AND(E1392="""", F1392&lt;&gt;""""), ""真實收入"",
  TRUE, ""其他""
)"),"真實支出")</f>
        <v>真實支出</v>
      </c>
      <c r="K1392" s="270">
        <f t="shared" si="2"/>
        <v>-3500</v>
      </c>
      <c r="L1392">
        <f t="shared" si="3"/>
        <v>0</v>
      </c>
    </row>
    <row r="1393">
      <c r="A1393" s="107">
        <f>IFERROR(__xludf.DUMMYFUNCTION("""COMPUTED_VALUE"""),45681.0)</f>
        <v>45681</v>
      </c>
      <c r="B1393" t="str">
        <f>IFERROR(__xludf.DUMMYFUNCTION("""COMPUTED_VALUE"""),"Elsa代墊款")</f>
        <v>Elsa代墊款</v>
      </c>
      <c r="C1393" t="str">
        <f>IFERROR(__xludf.DUMMYFUNCTION("""COMPUTED_VALUE"""),"費用 - Salary 薪資")</f>
        <v>費用 - Salary 薪資</v>
      </c>
      <c r="D1393" s="270">
        <f>IFERROR(__xludf.DUMMYFUNCTION("""COMPUTED_VALUE"""),-50000.0)</f>
        <v>-50000</v>
      </c>
      <c r="E1393" t="str">
        <f>IFERROR(__xludf.DUMMYFUNCTION("""COMPUTED_VALUE"""),"Ben帳戶")</f>
        <v>Ben帳戶</v>
      </c>
      <c r="F1393" t="str">
        <f>IFERROR(__xludf.DUMMYFUNCTION("""COMPUTED_VALUE"""),"Elsa帳戶")</f>
        <v>Elsa帳戶</v>
      </c>
      <c r="H1393" s="106" t="str">
        <f t="shared" si="1"/>
        <v>2025-01</v>
      </c>
      <c r="I1393" s="271" t="str">
        <f>IFERROR(__xludf.DUMMYFUNCTION("""COMPUTED_VALUE"""),"貓狗企鵝")</f>
        <v>貓狗企鵝</v>
      </c>
      <c r="J1393" t="str">
        <f>IFERROR(__xludf.DUMMYFUNCTION("IFS(
  AND(REGEXMATCH(E1393, ""台銀籌備帳戶|玉山帳戶""), REGEXMATCH(C1393, ""薪資"")), ""分潤支出"",
  AND(REGEXMATCH(E1393, ""Ben帳戶|Elsa帳戶|Ben代墊|Ariel代墊|中信銀行共用""), REGEXMATCH(F1393, ""Ben帳戶|Elsa帳戶|Ben代墊|Ariel代墊|中信銀行共用"")), ""內部轉帳(忽略)"",
  AND(E1393&lt;&gt;"""", F1393&lt;&gt;"""", N"&amp;"OT(REGEXMATCH(C1393, ""薪資""))), ""內部轉帳(忽略)"",
  REGEXMATCH(C1393, ""薪資""), ""薪資變動(不計入)"",
  REGEXMATCH(C1393, ""押金""), ""押金往來"",
  AND(E1393&lt;&gt;"""", F1393=""""), ""真實支出"",
  AND(E1393="""", F1393&lt;&gt;""""), ""真實收入"",
  TRUE, ""其他""
)"),"內部轉帳(忽略)")</f>
        <v>內部轉帳(忽略)</v>
      </c>
      <c r="K1393">
        <f t="shared" si="2"/>
        <v>0</v>
      </c>
      <c r="L1393">
        <f t="shared" si="3"/>
        <v>0</v>
      </c>
    </row>
    <row r="1394">
      <c r="A1394" s="107">
        <f>IFERROR(__xludf.DUMMYFUNCTION("""COMPUTED_VALUE"""),45683.0)</f>
        <v>45683</v>
      </c>
      <c r="B1394" t="str">
        <f>IFERROR(__xludf.DUMMYFUNCTION("""COMPUTED_VALUE"""),"南港 C套房 退押金")</f>
        <v>南港 C套房 退押金</v>
      </c>
      <c r="C1394" t="str">
        <f>IFERROR(__xludf.DUMMYFUNCTION("""COMPUTED_VALUE"""),"收入 - 押金")</f>
        <v>收入 - 押金</v>
      </c>
      <c r="D1394" s="270">
        <f>IFERROR(__xludf.DUMMYFUNCTION("""COMPUTED_VALUE"""),-12800.0)</f>
        <v>-12800</v>
      </c>
      <c r="E1394" t="str">
        <f>IFERROR(__xludf.DUMMYFUNCTION("""COMPUTED_VALUE"""),"Ben帳戶")</f>
        <v>Ben帳戶</v>
      </c>
      <c r="G1394" t="str">
        <f>IFERROR(__xludf.DUMMYFUNCTION("""COMPUTED_VALUE"""),"南港站挑高宅")</f>
        <v>南港站挑高宅</v>
      </c>
      <c r="H1394" s="106" t="str">
        <f t="shared" si="1"/>
        <v>2025-01</v>
      </c>
      <c r="I1394" s="271" t="str">
        <f>IFERROR(__xludf.DUMMYFUNCTION("""COMPUTED_VALUE"""),"貓狗企鵝")</f>
        <v>貓狗企鵝</v>
      </c>
      <c r="J1394" t="str">
        <f>IFERROR(__xludf.DUMMYFUNCTION("IFS(
  AND(REGEXMATCH(E1394, ""台銀籌備帳戶|玉山帳戶""), REGEXMATCH(C1394, ""薪資"")), ""分潤支出"",
  AND(REGEXMATCH(E1394, ""Ben帳戶|Elsa帳戶|Ben代墊|Ariel代墊|中信銀行共用""), REGEXMATCH(F1394, ""Ben帳戶|Elsa帳戶|Ben代墊|Ariel代墊|中信銀行共用"")), ""內部轉帳(忽略)"",
  AND(E1394&lt;&gt;"""", F1394&lt;&gt;"""", N"&amp;"OT(REGEXMATCH(C1394, ""薪資""))), ""內部轉帳(忽略)"",
  REGEXMATCH(C1394, ""薪資""), ""薪資變動(不計入)"",
  REGEXMATCH(C1394, ""押金""), ""押金往來"",
  AND(E1394&lt;&gt;"""", F1394=""""), ""真實支出"",
  AND(E1394="""", F1394&lt;&gt;""""), ""真實收入"",
  TRUE, ""其他""
)"),"押金往來")</f>
        <v>押金往來</v>
      </c>
      <c r="K1394">
        <f t="shared" si="2"/>
        <v>0</v>
      </c>
      <c r="L1394">
        <f t="shared" si="3"/>
        <v>0</v>
      </c>
    </row>
    <row r="1395">
      <c r="A1395" s="107">
        <f>IFERROR(__xludf.DUMMYFUNCTION("""COMPUTED_VALUE"""),45533.0)</f>
        <v>45533</v>
      </c>
      <c r="B1395" t="str">
        <f>IFERROR(__xludf.DUMMYFUNCTION("""COMPUTED_VALUE"""),"金龍路 首月大租金")</f>
        <v>金龍路 首月大租金</v>
      </c>
      <c r="C1395" t="str">
        <f>IFERROR(__xludf.DUMMYFUNCTION("""COMPUTED_VALUE"""),"成本 - 大租金")</f>
        <v>成本 - 大租金</v>
      </c>
      <c r="D1395" s="270">
        <f>IFERROR(__xludf.DUMMYFUNCTION("""COMPUTED_VALUE"""),-35500.0)</f>
        <v>-35500</v>
      </c>
      <c r="E1395" t="str">
        <f>IFERROR(__xludf.DUMMYFUNCTION("""COMPUTED_VALUE"""),"Ben帳戶")</f>
        <v>Ben帳戶</v>
      </c>
      <c r="G1395" t="str">
        <f>IFERROR(__xludf.DUMMYFUNCTION("""COMPUTED_VALUE"""),"金龍帽子先生")</f>
        <v>金龍帽子先生</v>
      </c>
      <c r="H1395" s="106" t="str">
        <f t="shared" si="1"/>
        <v>2024-08</v>
      </c>
      <c r="I1395" s="271" t="str">
        <f>IFERROR(__xludf.DUMMYFUNCTION("""COMPUTED_VALUE"""),"貓狗企鵝")</f>
        <v>貓狗企鵝</v>
      </c>
      <c r="J1395" t="str">
        <f>IFERROR(__xludf.DUMMYFUNCTION("IFS(
  AND(REGEXMATCH(E1395, ""台銀籌備帳戶|玉山帳戶""), REGEXMATCH(C1395, ""薪資"")), ""分潤支出"",
  AND(REGEXMATCH(E1395, ""Ben帳戶|Elsa帳戶|Ben代墊|Ariel代墊|中信銀行共用""), REGEXMATCH(F1395, ""Ben帳戶|Elsa帳戶|Ben代墊|Ariel代墊|中信銀行共用"")), ""內部轉帳(忽略)"",
  AND(E1395&lt;&gt;"""", F1395&lt;&gt;"""", N"&amp;"OT(REGEXMATCH(C1395, ""薪資""))), ""內部轉帳(忽略)"",
  REGEXMATCH(C1395, ""薪資""), ""薪資變動(不計入)"",
  REGEXMATCH(C1395, ""押金""), ""押金往來"",
  AND(E1395&lt;&gt;"""", F1395=""""), ""真實支出"",
  AND(E1395="""", F1395&lt;&gt;""""), ""真實收入"",
  TRUE, ""其他""
)"),"真實支出")</f>
        <v>真實支出</v>
      </c>
      <c r="K1395" s="270">
        <f t="shared" si="2"/>
        <v>-35500</v>
      </c>
      <c r="L1395">
        <f t="shared" si="3"/>
        <v>0</v>
      </c>
    </row>
    <row r="1396">
      <c r="A1396" s="107">
        <f>IFERROR(__xludf.DUMMYFUNCTION("""COMPUTED_VALUE"""),45559.0)</f>
        <v>45559</v>
      </c>
      <c r="B1396" t="str">
        <f>IFERROR(__xludf.DUMMYFUNCTION("""COMPUTED_VALUE"""),"娘家首租押金")</f>
        <v>娘家首租押金</v>
      </c>
      <c r="C1396" t="str">
        <f>IFERROR(__xludf.DUMMYFUNCTION("""COMPUTED_VALUE"""),"成本 - 對屋主押金")</f>
        <v>成本 - 對屋主押金</v>
      </c>
      <c r="D1396" s="270">
        <f>IFERROR(__xludf.DUMMYFUNCTION("""COMPUTED_VALUE"""),-46000.0)</f>
        <v>-46000</v>
      </c>
      <c r="E1396" t="str">
        <f>IFERROR(__xludf.DUMMYFUNCTION("""COMPUTED_VALUE"""),"Ben帳戶")</f>
        <v>Ben帳戶</v>
      </c>
      <c r="G1396" t="str">
        <f>IFERROR(__xludf.DUMMYFUNCTION("""COMPUTED_VALUE"""),"中山北娘家旁")</f>
        <v>中山北娘家旁</v>
      </c>
      <c r="H1396" s="106" t="str">
        <f t="shared" si="1"/>
        <v>2024-09</v>
      </c>
      <c r="I1396" s="271" t="str">
        <f>IFERROR(__xludf.DUMMYFUNCTION("""COMPUTED_VALUE"""),"貓狗企鵝")</f>
        <v>貓狗企鵝</v>
      </c>
      <c r="J1396" t="str">
        <f>IFERROR(__xludf.DUMMYFUNCTION("IFS(
  AND(REGEXMATCH(E1396, ""台銀籌備帳戶|玉山帳戶""), REGEXMATCH(C1396, ""薪資"")), ""分潤支出"",
  AND(REGEXMATCH(E1396, ""Ben帳戶|Elsa帳戶|Ben代墊|Ariel代墊|中信銀行共用""), REGEXMATCH(F1396, ""Ben帳戶|Elsa帳戶|Ben代墊|Ariel代墊|中信銀行共用"")), ""內部轉帳(忽略)"",
  AND(E1396&lt;&gt;"""", F1396&lt;&gt;"""", N"&amp;"OT(REGEXMATCH(C1396, ""薪資""))), ""內部轉帳(忽略)"",
  REGEXMATCH(C1396, ""薪資""), ""薪資變動(不計入)"",
  REGEXMATCH(C1396, ""押金""), ""押金往來"",
  AND(E1396&lt;&gt;"""", F1396=""""), ""真實支出"",
  AND(E1396="""", F1396&lt;&gt;""""), ""真實收入"",
  TRUE, ""其他""
)"),"押金往來")</f>
        <v>押金往來</v>
      </c>
      <c r="K1396">
        <f t="shared" si="2"/>
        <v>0</v>
      </c>
      <c r="L1396">
        <f t="shared" si="3"/>
        <v>0</v>
      </c>
    </row>
    <row r="1397">
      <c r="A1397" s="107">
        <f>IFERROR(__xludf.DUMMYFUNCTION("""COMPUTED_VALUE"""),45572.0)</f>
        <v>45572</v>
      </c>
      <c r="B1397" t="str">
        <f>IFERROR(__xludf.DUMMYFUNCTION("""COMPUTED_VALUE"""),"Feli家 首租第二期款")</f>
        <v>Feli家 首租第二期款</v>
      </c>
      <c r="C1397" t="str">
        <f>IFERROR(__xludf.DUMMYFUNCTION("""COMPUTED_VALUE"""),"成本 - 大租金")</f>
        <v>成本 - 大租金</v>
      </c>
      <c r="D1397" s="270">
        <f>IFERROR(__xludf.DUMMYFUNCTION("""COMPUTED_VALUE"""),-18000.0)</f>
        <v>-18000</v>
      </c>
      <c r="E1397" t="str">
        <f>IFERROR(__xludf.DUMMYFUNCTION("""COMPUTED_VALUE"""),"Ben帳戶")</f>
        <v>Ben帳戶</v>
      </c>
      <c r="G1397" t="str">
        <f>IFERROR(__xludf.DUMMYFUNCTION("""COMPUTED_VALUE"""),"中山北Feli家")</f>
        <v>中山北Feli家</v>
      </c>
      <c r="H1397" s="106" t="str">
        <f t="shared" si="1"/>
        <v>2024-10</v>
      </c>
      <c r="I1397" s="271" t="str">
        <f>IFERROR(__xludf.DUMMYFUNCTION("""COMPUTED_VALUE"""),"貓狗企鵝")</f>
        <v>貓狗企鵝</v>
      </c>
      <c r="J1397" t="str">
        <f>IFERROR(__xludf.DUMMYFUNCTION("IFS(
  AND(REGEXMATCH(E1397, ""台銀籌備帳戶|玉山帳戶""), REGEXMATCH(C1397, ""薪資"")), ""分潤支出"",
  AND(REGEXMATCH(E1397, ""Ben帳戶|Elsa帳戶|Ben代墊|Ariel代墊|中信銀行共用""), REGEXMATCH(F1397, ""Ben帳戶|Elsa帳戶|Ben代墊|Ariel代墊|中信銀行共用"")), ""內部轉帳(忽略)"",
  AND(E1397&lt;&gt;"""", F1397&lt;&gt;"""", N"&amp;"OT(REGEXMATCH(C1397, ""薪資""))), ""內部轉帳(忽略)"",
  REGEXMATCH(C1397, ""薪資""), ""薪資變動(不計入)"",
  REGEXMATCH(C1397, ""押金""), ""押金往來"",
  AND(E1397&lt;&gt;"""", F1397=""""), ""真實支出"",
  AND(E1397="""", F1397&lt;&gt;""""), ""真實收入"",
  TRUE, ""其他""
)"),"真實支出")</f>
        <v>真實支出</v>
      </c>
      <c r="K1397" s="270">
        <f t="shared" si="2"/>
        <v>-18000</v>
      </c>
      <c r="L1397">
        <f t="shared" si="3"/>
        <v>0</v>
      </c>
    </row>
    <row r="1398">
      <c r="A1398" s="107">
        <f>IFERROR(__xludf.DUMMYFUNCTION("""COMPUTED_VALUE"""),45684.0)</f>
        <v>45684</v>
      </c>
      <c r="B1398" t="str">
        <f>IFERROR(__xludf.DUMMYFUNCTION("""COMPUTED_VALUE"""),"大湖清潔")</f>
        <v>大湖清潔</v>
      </c>
      <c r="C1398" t="str">
        <f>IFERROR(__xludf.DUMMYFUNCTION("""COMPUTED_VALUE"""),"成本 - 固定開銷(網路代收清潔)")</f>
        <v>成本 - 固定開銷(網路代收清潔)</v>
      </c>
      <c r="D1398" s="270">
        <f>IFERROR(__xludf.DUMMYFUNCTION("""COMPUTED_VALUE"""),-700.0)</f>
        <v>-700</v>
      </c>
      <c r="E1398" t="str">
        <f>IFERROR(__xludf.DUMMYFUNCTION("""COMPUTED_VALUE"""),"Elsa帳戶")</f>
        <v>Elsa帳戶</v>
      </c>
      <c r="G1398" t="str">
        <f>IFERROR(__xludf.DUMMYFUNCTION("""COMPUTED_VALUE"""),"大湖山莊")</f>
        <v>大湖山莊</v>
      </c>
      <c r="H1398" s="106" t="str">
        <f t="shared" si="1"/>
        <v>2025-01</v>
      </c>
      <c r="I1398" s="271" t="str">
        <f>IFERROR(__xludf.DUMMYFUNCTION("""COMPUTED_VALUE"""),"貓狗企鵝")</f>
        <v>貓狗企鵝</v>
      </c>
      <c r="J1398" t="str">
        <f>IFERROR(__xludf.DUMMYFUNCTION("IFS(
  AND(REGEXMATCH(E1398, ""台銀籌備帳戶|玉山帳戶""), REGEXMATCH(C1398, ""薪資"")), ""分潤支出"",
  AND(REGEXMATCH(E1398, ""Ben帳戶|Elsa帳戶|Ben代墊|Ariel代墊|中信銀行共用""), REGEXMATCH(F1398, ""Ben帳戶|Elsa帳戶|Ben代墊|Ariel代墊|中信銀行共用"")), ""內部轉帳(忽略)"",
  AND(E1398&lt;&gt;"""", F1398&lt;&gt;"""", N"&amp;"OT(REGEXMATCH(C1398, ""薪資""))), ""內部轉帳(忽略)"",
  REGEXMATCH(C1398, ""薪資""), ""薪資變動(不計入)"",
  REGEXMATCH(C1398, ""押金""), ""押金往來"",
  AND(E1398&lt;&gt;"""", F1398=""""), ""真實支出"",
  AND(E1398="""", F1398&lt;&gt;""""), ""真實收入"",
  TRUE, ""其他""
)"),"真實支出")</f>
        <v>真實支出</v>
      </c>
      <c r="K1398" s="270">
        <f t="shared" si="2"/>
        <v>-700</v>
      </c>
      <c r="L1398">
        <f t="shared" si="3"/>
        <v>0</v>
      </c>
    </row>
    <row r="1399">
      <c r="A1399" s="107">
        <f>IFERROR(__xludf.DUMMYFUNCTION("""COMPUTED_VALUE"""),45687.0)</f>
        <v>45687</v>
      </c>
      <c r="B1399" t="str">
        <f>IFERROR(__xludf.DUMMYFUNCTION("""COMPUTED_VALUE"""),"3/1 - 4/30 網路費")</f>
        <v>3/1 - 4/30 網路費</v>
      </c>
      <c r="C1399" t="str">
        <f>IFERROR(__xludf.DUMMYFUNCTION("""COMPUTED_VALUE"""),"成本 - 固定開銷(網路代收清潔)")</f>
        <v>成本 - 固定開銷(網路代收清潔)</v>
      </c>
      <c r="D1399" s="270">
        <f>IFERROR(__xludf.DUMMYFUNCTION("""COMPUTED_VALUE"""),-1197.0)</f>
        <v>-1197</v>
      </c>
      <c r="E1399" t="str">
        <f>IFERROR(__xludf.DUMMYFUNCTION("""COMPUTED_VALUE"""),"Elsa帳戶")</f>
        <v>Elsa帳戶</v>
      </c>
      <c r="G1399" t="str">
        <f>IFERROR(__xludf.DUMMYFUNCTION("""COMPUTED_VALUE"""),"中山北娘家旁")</f>
        <v>中山北娘家旁</v>
      </c>
      <c r="H1399" s="106" t="str">
        <f t="shared" si="1"/>
        <v>2025-01</v>
      </c>
      <c r="I1399" s="271" t="str">
        <f>IFERROR(__xludf.DUMMYFUNCTION("""COMPUTED_VALUE"""),"貓狗企鵝")</f>
        <v>貓狗企鵝</v>
      </c>
      <c r="J1399" t="str">
        <f>IFERROR(__xludf.DUMMYFUNCTION("IFS(
  AND(REGEXMATCH(E1399, ""台銀籌備帳戶|玉山帳戶""), REGEXMATCH(C1399, ""薪資"")), ""分潤支出"",
  AND(REGEXMATCH(E1399, ""Ben帳戶|Elsa帳戶|Ben代墊|Ariel代墊|中信銀行共用""), REGEXMATCH(F1399, ""Ben帳戶|Elsa帳戶|Ben代墊|Ariel代墊|中信銀行共用"")), ""內部轉帳(忽略)"",
  AND(E1399&lt;&gt;"""", F1399&lt;&gt;"""", N"&amp;"OT(REGEXMATCH(C1399, ""薪資""))), ""內部轉帳(忽略)"",
  REGEXMATCH(C1399, ""薪資""), ""薪資變動(不計入)"",
  REGEXMATCH(C1399, ""押金""), ""押金往來"",
  AND(E1399&lt;&gt;"""", F1399=""""), ""真實支出"",
  AND(E1399="""", F1399&lt;&gt;""""), ""真實收入"",
  TRUE, ""其他""
)"),"真實支出")</f>
        <v>真實支出</v>
      </c>
      <c r="K1399" s="270">
        <f t="shared" si="2"/>
        <v>-1197</v>
      </c>
      <c r="L1399">
        <f t="shared" si="3"/>
        <v>0</v>
      </c>
    </row>
    <row r="1400">
      <c r="A1400" s="107">
        <f>IFERROR(__xludf.DUMMYFUNCTION("""COMPUTED_VALUE"""),45688.0)</f>
        <v>45688</v>
      </c>
      <c r="B1400" t="str">
        <f>IFERROR(__xludf.DUMMYFUNCTION("""COMPUTED_VALUE"""),"591刊登")</f>
        <v>591刊登</v>
      </c>
      <c r="C1400" t="str">
        <f>IFERROR(__xludf.DUMMYFUNCTION("""COMPUTED_VALUE"""),"成本 - 仲介費")</f>
        <v>成本 - 仲介費</v>
      </c>
      <c r="D1400" s="270">
        <f>IFERROR(__xludf.DUMMYFUNCTION("""COMPUTED_VALUE"""),-1289.0)</f>
        <v>-1289</v>
      </c>
      <c r="E1400" t="str">
        <f>IFERROR(__xludf.DUMMYFUNCTION("""COMPUTED_VALUE"""),"Elsa帳戶")</f>
        <v>Elsa帳戶</v>
      </c>
      <c r="G1400" t="str">
        <f>IFERROR(__xludf.DUMMYFUNCTION("""COMPUTED_VALUE"""),"南港站挑高宅")</f>
        <v>南港站挑高宅</v>
      </c>
      <c r="H1400" s="106" t="str">
        <f t="shared" si="1"/>
        <v>2025-01</v>
      </c>
      <c r="I1400" s="271" t="str">
        <f>IFERROR(__xludf.DUMMYFUNCTION("""COMPUTED_VALUE"""),"貓狗企鵝")</f>
        <v>貓狗企鵝</v>
      </c>
      <c r="J1400" t="str">
        <f>IFERROR(__xludf.DUMMYFUNCTION("IFS(
  AND(REGEXMATCH(E1400, ""台銀籌備帳戶|玉山帳戶""), REGEXMATCH(C1400, ""薪資"")), ""分潤支出"",
  AND(REGEXMATCH(E1400, ""Ben帳戶|Elsa帳戶|Ben代墊|Ariel代墊|中信銀行共用""), REGEXMATCH(F1400, ""Ben帳戶|Elsa帳戶|Ben代墊|Ariel代墊|中信銀行共用"")), ""內部轉帳(忽略)"",
  AND(E1400&lt;&gt;"""", F1400&lt;&gt;"""", N"&amp;"OT(REGEXMATCH(C1400, ""薪資""))), ""內部轉帳(忽略)"",
  REGEXMATCH(C1400, ""薪資""), ""薪資變動(不計入)"",
  REGEXMATCH(C1400, ""押金""), ""押金往來"",
  AND(E1400&lt;&gt;"""", F1400=""""), ""真實支出"",
  AND(E1400="""", F1400&lt;&gt;""""), ""真實收入"",
  TRUE, ""其他""
)"),"真實支出")</f>
        <v>真實支出</v>
      </c>
      <c r="K1400" s="270">
        <f t="shared" si="2"/>
        <v>-1289</v>
      </c>
      <c r="L1400">
        <f t="shared" si="3"/>
        <v>0</v>
      </c>
    </row>
    <row r="1401">
      <c r="A1401" s="107">
        <f>IFERROR(__xludf.DUMMYFUNCTION("""COMPUTED_VALUE"""),45688.0)</f>
        <v>45688</v>
      </c>
      <c r="B1401" t="str">
        <f>IFERROR(__xludf.DUMMYFUNCTION("""COMPUTED_VALUE"""),"591刊登")</f>
        <v>591刊登</v>
      </c>
      <c r="C1401" t="str">
        <f>IFERROR(__xludf.DUMMYFUNCTION("""COMPUTED_VALUE"""),"成本 - 仲介費")</f>
        <v>成本 - 仲介費</v>
      </c>
      <c r="D1401" s="270">
        <f>IFERROR(__xludf.DUMMYFUNCTION("""COMPUTED_VALUE"""),-1289.0)</f>
        <v>-1289</v>
      </c>
      <c r="E1401" t="str">
        <f>IFERROR(__xludf.DUMMYFUNCTION("""COMPUTED_VALUE"""),"Elsa帳戶")</f>
        <v>Elsa帳戶</v>
      </c>
      <c r="G1401" t="str">
        <f>IFERROR(__xludf.DUMMYFUNCTION("""COMPUTED_VALUE"""),"金龍帽子先生")</f>
        <v>金龍帽子先生</v>
      </c>
      <c r="H1401" s="106" t="str">
        <f t="shared" si="1"/>
        <v>2025-01</v>
      </c>
      <c r="I1401" s="271" t="str">
        <f>IFERROR(__xludf.DUMMYFUNCTION("""COMPUTED_VALUE"""),"貓狗企鵝")</f>
        <v>貓狗企鵝</v>
      </c>
      <c r="J1401" t="str">
        <f>IFERROR(__xludf.DUMMYFUNCTION("IFS(
  AND(REGEXMATCH(E1401, ""台銀籌備帳戶|玉山帳戶""), REGEXMATCH(C1401, ""薪資"")), ""分潤支出"",
  AND(REGEXMATCH(E1401, ""Ben帳戶|Elsa帳戶|Ben代墊|Ariel代墊|中信銀行共用""), REGEXMATCH(F1401, ""Ben帳戶|Elsa帳戶|Ben代墊|Ariel代墊|中信銀行共用"")), ""內部轉帳(忽略)"",
  AND(E1401&lt;&gt;"""", F1401&lt;&gt;"""", N"&amp;"OT(REGEXMATCH(C1401, ""薪資""))), ""內部轉帳(忽略)"",
  REGEXMATCH(C1401, ""薪資""), ""薪資變動(不計入)"",
  REGEXMATCH(C1401, ""押金""), ""押金往來"",
  AND(E1401&lt;&gt;"""", F1401=""""), ""真實支出"",
  AND(E1401="""", F1401&lt;&gt;""""), ""真實收入"",
  TRUE, ""其他""
)"),"真實支出")</f>
        <v>真實支出</v>
      </c>
      <c r="K1401" s="270">
        <f t="shared" si="2"/>
        <v>-1289</v>
      </c>
      <c r="L1401">
        <f t="shared" si="3"/>
        <v>0</v>
      </c>
    </row>
    <row r="1402">
      <c r="A1402" s="107">
        <f>IFERROR(__xludf.DUMMYFUNCTION("""COMPUTED_VALUE"""),45689.0)</f>
        <v>45689</v>
      </c>
      <c r="B1402" t="str">
        <f>IFERROR(__xludf.DUMMYFUNCTION("""COMPUTED_VALUE"""),"保潔墊雙人/單人 各三")</f>
        <v>保潔墊雙人/單人 各三</v>
      </c>
      <c r="C1402" t="str">
        <f>IFERROR(__xludf.DUMMYFUNCTION("""COMPUTED_VALUE"""),"成本 - 進場前裝潢費")</f>
        <v>成本 - 進場前裝潢費</v>
      </c>
      <c r="D1402" s="270">
        <f>IFERROR(__xludf.DUMMYFUNCTION("""COMPUTED_VALUE"""),-1110.0)</f>
        <v>-1110</v>
      </c>
      <c r="E1402" t="str">
        <f>IFERROR(__xludf.DUMMYFUNCTION("""COMPUTED_VALUE"""),"Elsa帳戶")</f>
        <v>Elsa帳戶</v>
      </c>
      <c r="G1402" t="str">
        <f>IFERROR(__xludf.DUMMYFUNCTION("""COMPUTED_VALUE"""),"中山北Feli家")</f>
        <v>中山北Feli家</v>
      </c>
      <c r="H1402" s="106" t="str">
        <f t="shared" si="1"/>
        <v>2025-02</v>
      </c>
      <c r="I1402" s="271" t="str">
        <f>IFERROR(__xludf.DUMMYFUNCTION("""COMPUTED_VALUE"""),"貓狗企鵝")</f>
        <v>貓狗企鵝</v>
      </c>
      <c r="J1402" t="str">
        <f>IFERROR(__xludf.DUMMYFUNCTION("IFS(
  AND(REGEXMATCH(E1402, ""台銀籌備帳戶|玉山帳戶""), REGEXMATCH(C1402, ""薪資"")), ""分潤支出"",
  AND(REGEXMATCH(E1402, ""Ben帳戶|Elsa帳戶|Ben代墊|Ariel代墊|中信銀行共用""), REGEXMATCH(F1402, ""Ben帳戶|Elsa帳戶|Ben代墊|Ariel代墊|中信銀行共用"")), ""內部轉帳(忽略)"",
  AND(E1402&lt;&gt;"""", F1402&lt;&gt;"""", N"&amp;"OT(REGEXMATCH(C1402, ""薪資""))), ""內部轉帳(忽略)"",
  REGEXMATCH(C1402, ""薪資""), ""薪資變動(不計入)"",
  REGEXMATCH(C1402, ""押金""), ""押金往來"",
  AND(E1402&lt;&gt;"""", F1402=""""), ""真實支出"",
  AND(E1402="""", F1402&lt;&gt;""""), ""真實收入"",
  TRUE, ""其他""
)"),"真實支出")</f>
        <v>真實支出</v>
      </c>
      <c r="K1402" s="270">
        <f t="shared" si="2"/>
        <v>-1110</v>
      </c>
      <c r="L1402">
        <f t="shared" si="3"/>
        <v>0</v>
      </c>
    </row>
    <row r="1403">
      <c r="A1403" s="107">
        <f>IFERROR(__xludf.DUMMYFUNCTION("""COMPUTED_VALUE"""),45690.0)</f>
        <v>45690</v>
      </c>
      <c r="B1403" t="str">
        <f>IFERROR(__xludf.DUMMYFUNCTION("""COMPUTED_VALUE"""),"北醫共用曬衣架")</f>
        <v>北醫共用曬衣架</v>
      </c>
      <c r="C1403" t="str">
        <f>IFERROR(__xludf.DUMMYFUNCTION("""COMPUTED_VALUE"""),"成本 - 租後修繕")</f>
        <v>成本 - 租後修繕</v>
      </c>
      <c r="D1403" s="270">
        <f>IFERROR(__xludf.DUMMYFUNCTION("""COMPUTED_VALUE"""),-899.0)</f>
        <v>-899</v>
      </c>
      <c r="E1403" t="str">
        <f>IFERROR(__xludf.DUMMYFUNCTION("""COMPUTED_VALUE"""),"Elsa帳戶")</f>
        <v>Elsa帳戶</v>
      </c>
      <c r="G1403" t="str">
        <f>IFERROR(__xludf.DUMMYFUNCTION("""COMPUTED_VALUE"""),"北醫醫師府")</f>
        <v>北醫醫師府</v>
      </c>
      <c r="H1403" s="106" t="str">
        <f t="shared" si="1"/>
        <v>2025-02</v>
      </c>
      <c r="I1403" s="271" t="str">
        <f>IFERROR(__xludf.DUMMYFUNCTION("""COMPUTED_VALUE"""),"貓狗企鵝")</f>
        <v>貓狗企鵝</v>
      </c>
      <c r="J1403" t="str">
        <f>IFERROR(__xludf.DUMMYFUNCTION("IFS(
  AND(REGEXMATCH(E1403, ""台銀籌備帳戶|玉山帳戶""), REGEXMATCH(C1403, ""薪資"")), ""分潤支出"",
  AND(REGEXMATCH(E1403, ""Ben帳戶|Elsa帳戶|Ben代墊|Ariel代墊|中信銀行共用""), REGEXMATCH(F1403, ""Ben帳戶|Elsa帳戶|Ben代墊|Ariel代墊|中信銀行共用"")), ""內部轉帳(忽略)"",
  AND(E1403&lt;&gt;"""", F1403&lt;&gt;"""", N"&amp;"OT(REGEXMATCH(C1403, ""薪資""))), ""內部轉帳(忽略)"",
  REGEXMATCH(C1403, ""薪資""), ""薪資變動(不計入)"",
  REGEXMATCH(C1403, ""押金""), ""押金往來"",
  AND(E1403&lt;&gt;"""", F1403=""""), ""真實支出"",
  AND(E1403="""", F1403&lt;&gt;""""), ""真實收入"",
  TRUE, ""其他""
)"),"真實支出")</f>
        <v>真實支出</v>
      </c>
      <c r="K1403" s="270">
        <f t="shared" si="2"/>
        <v>-899</v>
      </c>
      <c r="L1403">
        <f t="shared" si="3"/>
        <v>0</v>
      </c>
    </row>
    <row r="1404">
      <c r="A1404" s="107">
        <f>IFERROR(__xludf.DUMMYFUNCTION("""COMPUTED_VALUE"""),45679.0)</f>
        <v>45679</v>
      </c>
      <c r="B1404" t="str">
        <f>IFERROR(__xludf.DUMMYFUNCTION("""COMPUTED_VALUE"""),"費用 - 匯費 對方行:008 後五碼:02206")</f>
        <v>費用 - 匯費 對方行:008 後五碼:02206</v>
      </c>
      <c r="C1404" t="str">
        <f>IFERROR(__xludf.DUMMYFUNCTION("""COMPUTED_VALUE"""),"費用 - 匯費")</f>
        <v>費用 - 匯費</v>
      </c>
      <c r="D1404" s="270">
        <f>IFERROR(__xludf.DUMMYFUNCTION("""COMPUTED_VALUE"""),-15.0)</f>
        <v>-15</v>
      </c>
      <c r="E1404" t="str">
        <f>IFERROR(__xludf.DUMMYFUNCTION("""COMPUTED_VALUE"""),"台銀籌備帳戶")</f>
        <v>台銀籌備帳戶</v>
      </c>
      <c r="H1404" s="106" t="str">
        <f t="shared" si="1"/>
        <v>2025-01</v>
      </c>
      <c r="I1404" s="271" t="str">
        <f>IFERROR(__xludf.DUMMYFUNCTION("""COMPUTED_VALUE"""),"貓狗企鵝")</f>
        <v>貓狗企鵝</v>
      </c>
      <c r="J1404" t="str">
        <f>IFERROR(__xludf.DUMMYFUNCTION("IFS(
  AND(REGEXMATCH(E1404, ""台銀籌備帳戶|玉山帳戶""), REGEXMATCH(C1404, ""薪資"")), ""分潤支出"",
  AND(REGEXMATCH(E1404, ""Ben帳戶|Elsa帳戶|Ben代墊|Ariel代墊|中信銀行共用""), REGEXMATCH(F1404, ""Ben帳戶|Elsa帳戶|Ben代墊|Ariel代墊|中信銀行共用"")), ""內部轉帳(忽略)"",
  AND(E1404&lt;&gt;"""", F1404&lt;&gt;"""", N"&amp;"OT(REGEXMATCH(C1404, ""薪資""))), ""內部轉帳(忽略)"",
  REGEXMATCH(C1404, ""薪資""), ""薪資變動(不計入)"",
  REGEXMATCH(C1404, ""押金""), ""押金往來"",
  AND(E1404&lt;&gt;"""", F1404=""""), ""真實支出"",
  AND(E1404="""", F1404&lt;&gt;""""), ""真實收入"",
  TRUE, ""其他""
)"),"真實支出")</f>
        <v>真實支出</v>
      </c>
      <c r="K1404" s="270">
        <f t="shared" si="2"/>
        <v>-15</v>
      </c>
      <c r="L1404">
        <f t="shared" si="3"/>
        <v>0</v>
      </c>
    </row>
    <row r="1405">
      <c r="A1405" s="107">
        <f>IFERROR(__xludf.DUMMYFUNCTION("""COMPUTED_VALUE"""),45679.0)</f>
        <v>45679</v>
      </c>
      <c r="B1405" t="str">
        <f>IFERROR(__xludf.DUMMYFUNCTION("""COMPUTED_VALUE"""),"公會會費")</f>
        <v>公會會費</v>
      </c>
      <c r="C1405" t="str">
        <f>IFERROR(__xludf.DUMMYFUNCTION("""COMPUTED_VALUE"""),"收入 - 政府補助/退稅")</f>
        <v>收入 - 政府補助/退稅</v>
      </c>
      <c r="D1405" s="270">
        <f>IFERROR(__xludf.DUMMYFUNCTION("""COMPUTED_VALUE"""),-15000.0)</f>
        <v>-15000</v>
      </c>
      <c r="E1405" t="str">
        <f>IFERROR(__xludf.DUMMYFUNCTION("""COMPUTED_VALUE"""),"台銀籌備帳戶")</f>
        <v>台銀籌備帳戶</v>
      </c>
      <c r="H1405" s="106" t="str">
        <f t="shared" si="1"/>
        <v>2025-01</v>
      </c>
      <c r="I1405" s="271" t="str">
        <f>IFERROR(__xludf.DUMMYFUNCTION("""COMPUTED_VALUE"""),"貓狗企鵝")</f>
        <v>貓狗企鵝</v>
      </c>
      <c r="J1405" t="str">
        <f>IFERROR(__xludf.DUMMYFUNCTION("IFS(
  AND(REGEXMATCH(E1405, ""台銀籌備帳戶|玉山帳戶""), REGEXMATCH(C1405, ""薪資"")), ""分潤支出"",
  AND(REGEXMATCH(E1405, ""Ben帳戶|Elsa帳戶|Ben代墊|Ariel代墊|中信銀行共用""), REGEXMATCH(F1405, ""Ben帳戶|Elsa帳戶|Ben代墊|Ariel代墊|中信銀行共用"")), ""內部轉帳(忽略)"",
  AND(E1405&lt;&gt;"""", F1405&lt;&gt;"""", N"&amp;"OT(REGEXMATCH(C1405, ""薪資""))), ""內部轉帳(忽略)"",
  REGEXMATCH(C1405, ""薪資""), ""薪資變動(不計入)"",
  REGEXMATCH(C1405, ""押金""), ""押金往來"",
  AND(E1405&lt;&gt;"""", F1405=""""), ""真實支出"",
  AND(E1405="""", F1405&lt;&gt;""""), ""真實收入"",
  TRUE, ""其他""
)"),"真實支出")</f>
        <v>真實支出</v>
      </c>
      <c r="K1405" s="270">
        <f t="shared" si="2"/>
        <v>-15000</v>
      </c>
      <c r="L1405">
        <f t="shared" si="3"/>
        <v>0</v>
      </c>
    </row>
    <row r="1406">
      <c r="A1406" s="107">
        <f>IFERROR(__xludf.DUMMYFUNCTION("""COMPUTED_VALUE"""),45681.0)</f>
        <v>45681</v>
      </c>
      <c r="B1406" t="str">
        <f>IFERROR(__xludf.DUMMYFUNCTION("""COMPUTED_VALUE"""),"費用 - 匯費 對方行:822 後五碼:43051")</f>
        <v>費用 - 匯費 對方行:822 後五碼:43051</v>
      </c>
      <c r="C1406" t="str">
        <f>IFERROR(__xludf.DUMMYFUNCTION("""COMPUTED_VALUE"""),"費用 - 匯費")</f>
        <v>費用 - 匯費</v>
      </c>
      <c r="D1406" s="270">
        <f>IFERROR(__xludf.DUMMYFUNCTION("""COMPUTED_VALUE"""),-15.0)</f>
        <v>-15</v>
      </c>
      <c r="E1406" t="str">
        <f>IFERROR(__xludf.DUMMYFUNCTION("""COMPUTED_VALUE"""),"台銀籌備帳戶")</f>
        <v>台銀籌備帳戶</v>
      </c>
      <c r="H1406" s="106" t="str">
        <f t="shared" si="1"/>
        <v>2025-01</v>
      </c>
      <c r="I1406" s="271" t="str">
        <f>IFERROR(__xludf.DUMMYFUNCTION("""COMPUTED_VALUE"""),"貓狗企鵝")</f>
        <v>貓狗企鵝</v>
      </c>
      <c r="J1406" t="str">
        <f>IFERROR(__xludf.DUMMYFUNCTION("IFS(
  AND(REGEXMATCH(E1406, ""台銀籌備帳戶|玉山帳戶""), REGEXMATCH(C1406, ""薪資"")), ""分潤支出"",
  AND(REGEXMATCH(E1406, ""Ben帳戶|Elsa帳戶|Ben代墊|Ariel代墊|中信銀行共用""), REGEXMATCH(F1406, ""Ben帳戶|Elsa帳戶|Ben代墊|Ariel代墊|中信銀行共用"")), ""內部轉帳(忽略)"",
  AND(E1406&lt;&gt;"""", F1406&lt;&gt;"""", N"&amp;"OT(REGEXMATCH(C1406, ""薪資""))), ""內部轉帳(忽略)"",
  REGEXMATCH(C1406, ""薪資""), ""薪資變動(不計入)"",
  REGEXMATCH(C1406, ""押金""), ""押金往來"",
  AND(E1406&lt;&gt;"""", F1406=""""), ""真實支出"",
  AND(E1406="""", F1406&lt;&gt;""""), ""真實收入"",
  TRUE, ""其他""
)"),"真實支出")</f>
        <v>真實支出</v>
      </c>
      <c r="K1406" s="270">
        <f t="shared" si="2"/>
        <v>-15</v>
      </c>
      <c r="L1406">
        <f t="shared" si="3"/>
        <v>0</v>
      </c>
    </row>
    <row r="1407">
      <c r="A1407" s="107">
        <f>IFERROR(__xludf.DUMMYFUNCTION("""COMPUTED_VALUE"""),45681.0)</f>
        <v>45681</v>
      </c>
      <c r="B1407" t="str">
        <f>IFERROR(__xludf.DUMMYFUNCTION("""COMPUTED_VALUE"""),"Ben中信薪資 ' 【未分類支出】")</f>
        <v>Ben中信薪資 ' 【未分類支出】</v>
      </c>
      <c r="C1407" t="str">
        <f>IFERROR(__xludf.DUMMYFUNCTION("""COMPUTED_VALUE"""),"費用 - Salary 薪資")</f>
        <v>費用 - Salary 薪資</v>
      </c>
      <c r="D1407" s="270">
        <f>IFERROR(__xludf.DUMMYFUNCTION("""COMPUTED_VALUE"""),-100000.0)</f>
        <v>-100000</v>
      </c>
      <c r="E1407" t="str">
        <f>IFERROR(__xludf.DUMMYFUNCTION("""COMPUTED_VALUE"""),"台銀籌備帳戶")</f>
        <v>台銀籌備帳戶</v>
      </c>
      <c r="F1407" t="str">
        <f>IFERROR(__xludf.DUMMYFUNCTION("""COMPUTED_VALUE"""),"Ben帳戶")</f>
        <v>Ben帳戶</v>
      </c>
      <c r="H1407" s="106" t="str">
        <f t="shared" si="1"/>
        <v>2025-01</v>
      </c>
      <c r="I1407" s="271" t="str">
        <f>IFERROR(__xludf.DUMMYFUNCTION("""COMPUTED_VALUE"""),"貓狗企鵝")</f>
        <v>貓狗企鵝</v>
      </c>
      <c r="J1407" t="str">
        <f>IFERROR(__xludf.DUMMYFUNCTION("IFS(
  AND(REGEXMATCH(E1407, ""台銀籌備帳戶|玉山帳戶""), REGEXMATCH(C1407, ""薪資"")), ""分潤支出"",
  AND(REGEXMATCH(E1407, ""Ben帳戶|Elsa帳戶|Ben代墊|Ariel代墊|中信銀行共用""), REGEXMATCH(F1407, ""Ben帳戶|Elsa帳戶|Ben代墊|Ariel代墊|中信銀行共用"")), ""內部轉帳(忽略)"",
  AND(E1407&lt;&gt;"""", F1407&lt;&gt;"""", N"&amp;"OT(REGEXMATCH(C1407, ""薪資""))), ""內部轉帳(忽略)"",
  REGEXMATCH(C1407, ""薪資""), ""薪資變動(不計入)"",
  REGEXMATCH(C1407, ""押金""), ""押金往來"",
  AND(E1407&lt;&gt;"""", F1407=""""), ""真實支出"",
  AND(E1407="""", F1407&lt;&gt;""""), ""真實收入"",
  TRUE, ""其他""
)"),"分潤支出")</f>
        <v>分潤支出</v>
      </c>
      <c r="K1407">
        <f t="shared" si="2"/>
        <v>0</v>
      </c>
      <c r="L1407">
        <f t="shared" si="3"/>
        <v>100000</v>
      </c>
    </row>
    <row r="1408">
      <c r="A1408" s="107">
        <f>IFERROR(__xludf.DUMMYFUNCTION("""COMPUTED_VALUE"""),45682.0)</f>
        <v>45682</v>
      </c>
      <c r="B1408" t="str">
        <f>IFERROR(__xludf.DUMMYFUNCTION("""COMPUTED_VALUE"""),"費用 - 匯費 對方行:812 後五碼:86639")</f>
        <v>費用 - 匯費 對方行:812 後五碼:86639</v>
      </c>
      <c r="C1408" t="str">
        <f>IFERROR(__xludf.DUMMYFUNCTION("""COMPUTED_VALUE"""),"費用 - 匯費")</f>
        <v>費用 - 匯費</v>
      </c>
      <c r="D1408" s="270">
        <f>IFERROR(__xludf.DUMMYFUNCTION("""COMPUTED_VALUE"""),-15.0)</f>
        <v>-15</v>
      </c>
      <c r="E1408" t="str">
        <f>IFERROR(__xludf.DUMMYFUNCTION("""COMPUTED_VALUE"""),"台銀籌備帳戶")</f>
        <v>台銀籌備帳戶</v>
      </c>
      <c r="H1408" s="106" t="str">
        <f t="shared" si="1"/>
        <v>2025-01</v>
      </c>
      <c r="I1408" s="271" t="str">
        <f>IFERROR(__xludf.DUMMYFUNCTION("""COMPUTED_VALUE"""),"貓狗企鵝")</f>
        <v>貓狗企鵝</v>
      </c>
      <c r="J1408" t="str">
        <f>IFERROR(__xludf.DUMMYFUNCTION("IFS(
  AND(REGEXMATCH(E1408, ""台銀籌備帳戶|玉山帳戶""), REGEXMATCH(C1408, ""薪資"")), ""分潤支出"",
  AND(REGEXMATCH(E1408, ""Ben帳戶|Elsa帳戶|Ben代墊|Ariel代墊|中信銀行共用""), REGEXMATCH(F1408, ""Ben帳戶|Elsa帳戶|Ben代墊|Ariel代墊|中信銀行共用"")), ""內部轉帳(忽略)"",
  AND(E1408&lt;&gt;"""", F1408&lt;&gt;"""", N"&amp;"OT(REGEXMATCH(C1408, ""薪資""))), ""內部轉帳(忽略)"",
  REGEXMATCH(C1408, ""薪資""), ""薪資變動(不計入)"",
  REGEXMATCH(C1408, ""押金""), ""押金往來"",
  AND(E1408&lt;&gt;"""", F1408=""""), ""真實支出"",
  AND(E1408="""", F1408&lt;&gt;""""), ""真實收入"",
  TRUE, ""其他""
)"),"真實支出")</f>
        <v>真實支出</v>
      </c>
      <c r="K1408" s="270">
        <f t="shared" si="2"/>
        <v>-15</v>
      </c>
      <c r="L1408">
        <f t="shared" si="3"/>
        <v>0</v>
      </c>
    </row>
    <row r="1409">
      <c r="A1409" s="107">
        <f>IFERROR(__xludf.DUMMYFUNCTION("""COMPUTED_VALUE"""),45682.0)</f>
        <v>45682</v>
      </c>
      <c r="B1409" t="str">
        <f>IFERROR(__xludf.DUMMYFUNCTION("""COMPUTED_VALUE"""),"螢光水電金龍拉線 ' 【未分類支出】")</f>
        <v>螢光水電金龍拉線 ' 【未分類支出】</v>
      </c>
      <c r="C1409" t="str">
        <f>IFERROR(__xludf.DUMMYFUNCTION("""COMPUTED_VALUE"""),"成本 - 租後修繕")</f>
        <v>成本 - 租後修繕</v>
      </c>
      <c r="D1409" s="270">
        <f>IFERROR(__xludf.DUMMYFUNCTION("""COMPUTED_VALUE"""),-5000.0)</f>
        <v>-5000</v>
      </c>
      <c r="E1409" t="str">
        <f>IFERROR(__xludf.DUMMYFUNCTION("""COMPUTED_VALUE"""),"台銀籌備帳戶")</f>
        <v>台銀籌備帳戶</v>
      </c>
      <c r="G1409" t="str">
        <f>IFERROR(__xludf.DUMMYFUNCTION("""COMPUTED_VALUE"""),"金龍帽子先生")</f>
        <v>金龍帽子先生</v>
      </c>
      <c r="H1409" s="106" t="str">
        <f t="shared" si="1"/>
        <v>2025-01</v>
      </c>
      <c r="I1409" s="271" t="str">
        <f>IFERROR(__xludf.DUMMYFUNCTION("""COMPUTED_VALUE"""),"貓狗企鵝")</f>
        <v>貓狗企鵝</v>
      </c>
      <c r="J1409" t="str">
        <f>IFERROR(__xludf.DUMMYFUNCTION("IFS(
  AND(REGEXMATCH(E1409, ""台銀籌備帳戶|玉山帳戶""), REGEXMATCH(C1409, ""薪資"")), ""分潤支出"",
  AND(REGEXMATCH(E1409, ""Ben帳戶|Elsa帳戶|Ben代墊|Ariel代墊|中信銀行共用""), REGEXMATCH(F1409, ""Ben帳戶|Elsa帳戶|Ben代墊|Ariel代墊|中信銀行共用"")), ""內部轉帳(忽略)"",
  AND(E1409&lt;&gt;"""", F1409&lt;&gt;"""", N"&amp;"OT(REGEXMATCH(C1409, ""薪資""))), ""內部轉帳(忽略)"",
  REGEXMATCH(C1409, ""薪資""), ""薪資變動(不計入)"",
  REGEXMATCH(C1409, ""押金""), ""押金往來"",
  AND(E1409&lt;&gt;"""", F1409=""""), ""真實支出"",
  AND(E1409="""", F1409&lt;&gt;""""), ""真實收入"",
  TRUE, ""其他""
)"),"真實支出")</f>
        <v>真實支出</v>
      </c>
      <c r="K1409" s="270">
        <f t="shared" si="2"/>
        <v>-5000</v>
      </c>
      <c r="L1409">
        <f t="shared" si="3"/>
        <v>0</v>
      </c>
    </row>
    <row r="1410">
      <c r="A1410" s="107">
        <f>IFERROR(__xludf.DUMMYFUNCTION("""COMPUTED_VALUE"""),45683.0)</f>
        <v>45683</v>
      </c>
      <c r="B1410" t="str">
        <f>IFERROR(__xludf.DUMMYFUNCTION("""COMPUTED_VALUE"""),"費用 - 匯費 對方行:118 後五碼:71859")</f>
        <v>費用 - 匯費 對方行:118 後五碼:71859</v>
      </c>
      <c r="C1410" t="str">
        <f>IFERROR(__xludf.DUMMYFUNCTION("""COMPUTED_VALUE"""),"費用 - 匯費")</f>
        <v>費用 - 匯費</v>
      </c>
      <c r="D1410" s="270">
        <f>IFERROR(__xludf.DUMMYFUNCTION("""COMPUTED_VALUE"""),-15.0)</f>
        <v>-15</v>
      </c>
      <c r="E1410" t="str">
        <f>IFERROR(__xludf.DUMMYFUNCTION("""COMPUTED_VALUE"""),"台銀籌備帳戶")</f>
        <v>台銀籌備帳戶</v>
      </c>
      <c r="G1410" t="str">
        <f>IFERROR(__xludf.DUMMYFUNCTION("""COMPUTED_VALUE"""),"金龍帽子先生")</f>
        <v>金龍帽子先生</v>
      </c>
      <c r="H1410" s="106" t="str">
        <f t="shared" si="1"/>
        <v>2025-01</v>
      </c>
      <c r="I1410" s="271" t="str">
        <f>IFERROR(__xludf.DUMMYFUNCTION("""COMPUTED_VALUE"""),"貓狗企鵝")</f>
        <v>貓狗企鵝</v>
      </c>
      <c r="J1410" t="str">
        <f>IFERROR(__xludf.DUMMYFUNCTION("IFS(
  AND(REGEXMATCH(E1410, ""台銀籌備帳戶|玉山帳戶""), REGEXMATCH(C1410, ""薪資"")), ""分潤支出"",
  AND(REGEXMATCH(E1410, ""Ben帳戶|Elsa帳戶|Ben代墊|Ariel代墊|中信銀行共用""), REGEXMATCH(F1410, ""Ben帳戶|Elsa帳戶|Ben代墊|Ariel代墊|中信銀行共用"")), ""內部轉帳(忽略)"",
  AND(E1410&lt;&gt;"""", F1410&lt;&gt;"""", N"&amp;"OT(REGEXMATCH(C1410, ""薪資""))), ""內部轉帳(忽略)"",
  REGEXMATCH(C1410, ""薪資""), ""薪資變動(不計入)"",
  REGEXMATCH(C1410, ""押金""), ""押金往來"",
  AND(E1410&lt;&gt;"""", F1410=""""), ""真實支出"",
  AND(E1410="""", F1410&lt;&gt;""""), ""真實收入"",
  TRUE, ""其他""
)"),"真實支出")</f>
        <v>真實支出</v>
      </c>
      <c r="K1410" s="270">
        <f t="shared" si="2"/>
        <v>-15</v>
      </c>
      <c r="L1410">
        <f t="shared" si="3"/>
        <v>0</v>
      </c>
    </row>
    <row r="1411">
      <c r="A1411" s="107">
        <f>IFERROR(__xludf.DUMMYFUNCTION("""COMPUTED_VALUE"""),45683.0)</f>
        <v>45683</v>
      </c>
      <c r="B1411" t="str">
        <f>IFERROR(__xludf.DUMMYFUNCTION("""COMPUTED_VALUE"""),"小玉搬運Feli ' 【未分類支出】")</f>
        <v>小玉搬運Feli ' 【未分類支出】</v>
      </c>
      <c r="C1411" t="str">
        <f>IFERROR(__xludf.DUMMYFUNCTION("""COMPUTED_VALUE"""),"成本 - 固定開銷(網路代收清潔)")</f>
        <v>成本 - 固定開銷(網路代收清潔)</v>
      </c>
      <c r="D1411" s="270">
        <f>IFERROR(__xludf.DUMMYFUNCTION("""COMPUTED_VALUE"""),-1890.0)</f>
        <v>-1890</v>
      </c>
      <c r="E1411" t="str">
        <f>IFERROR(__xludf.DUMMYFUNCTION("""COMPUTED_VALUE"""),"台銀籌備帳戶")</f>
        <v>台銀籌備帳戶</v>
      </c>
      <c r="G1411" t="str">
        <f>IFERROR(__xludf.DUMMYFUNCTION("""COMPUTED_VALUE"""),"中山北Feli家")</f>
        <v>中山北Feli家</v>
      </c>
      <c r="H1411" s="106" t="str">
        <f t="shared" si="1"/>
        <v>2025-01</v>
      </c>
      <c r="I1411" s="271" t="str">
        <f>IFERROR(__xludf.DUMMYFUNCTION("""COMPUTED_VALUE"""),"貓狗企鵝")</f>
        <v>貓狗企鵝</v>
      </c>
      <c r="J1411" t="str">
        <f>IFERROR(__xludf.DUMMYFUNCTION("IFS(
  AND(REGEXMATCH(E1411, ""台銀籌備帳戶|玉山帳戶""), REGEXMATCH(C1411, ""薪資"")), ""分潤支出"",
  AND(REGEXMATCH(E1411, ""Ben帳戶|Elsa帳戶|Ben代墊|Ariel代墊|中信銀行共用""), REGEXMATCH(F1411, ""Ben帳戶|Elsa帳戶|Ben代墊|Ariel代墊|中信銀行共用"")), ""內部轉帳(忽略)"",
  AND(E1411&lt;&gt;"""", F1411&lt;&gt;"""", N"&amp;"OT(REGEXMATCH(C1411, ""薪資""))), ""內部轉帳(忽略)"",
  REGEXMATCH(C1411, ""薪資""), ""薪資變動(不計入)"",
  REGEXMATCH(C1411, ""押金""), ""押金往來"",
  AND(E1411&lt;&gt;"""", F1411=""""), ""真實支出"",
  AND(E1411="""", F1411&lt;&gt;""""), ""真實收入"",
  TRUE, ""其他""
)"),"真實支出")</f>
        <v>真實支出</v>
      </c>
      <c r="K1411" s="270">
        <f t="shared" si="2"/>
        <v>-1890</v>
      </c>
      <c r="L1411">
        <f t="shared" si="3"/>
        <v>0</v>
      </c>
    </row>
    <row r="1412">
      <c r="A1412" s="107">
        <f>IFERROR(__xludf.DUMMYFUNCTION("""COMPUTED_VALUE"""),45689.0)</f>
        <v>45689</v>
      </c>
      <c r="B1412" t="str">
        <f>IFERROR(__xludf.DUMMYFUNCTION("""COMPUTED_VALUE"""),"[南港站挑高宅] [林淑華] 大租金")</f>
        <v>[南港站挑高宅] [林淑華] 大租金</v>
      </c>
      <c r="C1412" t="str">
        <f>IFERROR(__xludf.DUMMYFUNCTION("""COMPUTED_VALUE"""),"成本 - 大租金")</f>
        <v>成本 - 大租金</v>
      </c>
      <c r="D1412" s="270">
        <f>IFERROR(__xludf.DUMMYFUNCTION("""COMPUTED_VALUE"""),-18250.0)</f>
        <v>-18250</v>
      </c>
      <c r="E1412" t="str">
        <f>IFERROR(__xludf.DUMMYFUNCTION("""COMPUTED_VALUE"""),"台銀籌備帳戶")</f>
        <v>台銀籌備帳戶</v>
      </c>
      <c r="G1412" t="str">
        <f>IFERROR(__xludf.DUMMYFUNCTION("""COMPUTED_VALUE"""),"南港站挑高宅")</f>
        <v>南港站挑高宅</v>
      </c>
      <c r="H1412" s="106" t="str">
        <f t="shared" si="1"/>
        <v>2025-02</v>
      </c>
      <c r="I1412" s="271" t="str">
        <f>IFERROR(__xludf.DUMMYFUNCTION("""COMPUTED_VALUE"""),"貓狗企鵝")</f>
        <v>貓狗企鵝</v>
      </c>
      <c r="J1412" t="str">
        <f>IFERROR(__xludf.DUMMYFUNCTION("IFS(
  AND(REGEXMATCH(E1412, ""台銀籌備帳戶|玉山帳戶""), REGEXMATCH(C1412, ""薪資"")), ""分潤支出"",
  AND(REGEXMATCH(E1412, ""Ben帳戶|Elsa帳戶|Ben代墊|Ariel代墊|中信銀行共用""), REGEXMATCH(F1412, ""Ben帳戶|Elsa帳戶|Ben代墊|Ariel代墊|中信銀行共用"")), ""內部轉帳(忽略)"",
  AND(E1412&lt;&gt;"""", F1412&lt;&gt;"""", N"&amp;"OT(REGEXMATCH(C1412, ""薪資""))), ""內部轉帳(忽略)"",
  REGEXMATCH(C1412, ""薪資""), ""薪資變動(不計入)"",
  REGEXMATCH(C1412, ""押金""), ""押金往來"",
  AND(E1412&lt;&gt;"""", F1412=""""), ""真實支出"",
  AND(E1412="""", F1412&lt;&gt;""""), ""真實收入"",
  TRUE, ""其他""
)"),"真實支出")</f>
        <v>真實支出</v>
      </c>
      <c r="K1412" s="270">
        <f t="shared" si="2"/>
        <v>-18250</v>
      </c>
      <c r="L1412">
        <f t="shared" si="3"/>
        <v>0</v>
      </c>
    </row>
    <row r="1413">
      <c r="A1413" s="107">
        <f>IFERROR(__xludf.DUMMYFUNCTION("""COMPUTED_VALUE"""),45689.0)</f>
        <v>45689</v>
      </c>
      <c r="B1413" t="str">
        <f>IFERROR(__xludf.DUMMYFUNCTION("""COMPUTED_VALUE"""),"費用 - 匯費 對方行:012 後五碼:84509")</f>
        <v>費用 - 匯費 對方行:012 後五碼:84509</v>
      </c>
      <c r="C1413" t="str">
        <f>IFERROR(__xludf.DUMMYFUNCTION("""COMPUTED_VALUE"""),"費用 - 匯費")</f>
        <v>費用 - 匯費</v>
      </c>
      <c r="D1413" s="270">
        <f>IFERROR(__xludf.DUMMYFUNCTION("""COMPUTED_VALUE"""),-15.0)</f>
        <v>-15</v>
      </c>
      <c r="E1413" t="str">
        <f>IFERROR(__xludf.DUMMYFUNCTION("""COMPUTED_VALUE"""),"台銀籌備帳戶")</f>
        <v>台銀籌備帳戶</v>
      </c>
      <c r="G1413" t="str">
        <f>IFERROR(__xludf.DUMMYFUNCTION("""COMPUTED_VALUE"""),"南港站挑高宅")</f>
        <v>南港站挑高宅</v>
      </c>
      <c r="H1413" s="106" t="str">
        <f t="shared" si="1"/>
        <v>2025-02</v>
      </c>
      <c r="I1413" s="271" t="str">
        <f>IFERROR(__xludf.DUMMYFUNCTION("""COMPUTED_VALUE"""),"貓狗企鵝")</f>
        <v>貓狗企鵝</v>
      </c>
      <c r="J1413" t="str">
        <f>IFERROR(__xludf.DUMMYFUNCTION("IFS(
  AND(REGEXMATCH(E1413, ""台銀籌備帳戶|玉山帳戶""), REGEXMATCH(C1413, ""薪資"")), ""分潤支出"",
  AND(REGEXMATCH(E1413, ""Ben帳戶|Elsa帳戶|Ben代墊|Ariel代墊|中信銀行共用""), REGEXMATCH(F1413, ""Ben帳戶|Elsa帳戶|Ben代墊|Ariel代墊|中信銀行共用"")), ""內部轉帳(忽略)"",
  AND(E1413&lt;&gt;"""", F1413&lt;&gt;"""", N"&amp;"OT(REGEXMATCH(C1413, ""薪資""))), ""內部轉帳(忽略)"",
  REGEXMATCH(C1413, ""薪資""), ""薪資變動(不計入)"",
  REGEXMATCH(C1413, ""押金""), ""押金往來"",
  AND(E1413&lt;&gt;"""", F1413=""""), ""真實支出"",
  AND(E1413="""", F1413&lt;&gt;""""), ""真實收入"",
  TRUE, ""其他""
)"),"真實支出")</f>
        <v>真實支出</v>
      </c>
      <c r="K1413" s="270">
        <f t="shared" si="2"/>
        <v>-15</v>
      </c>
      <c r="L1413">
        <f t="shared" si="3"/>
        <v>0</v>
      </c>
    </row>
    <row r="1414">
      <c r="A1414" s="107">
        <f>IFERROR(__xludf.DUMMYFUNCTION("""COMPUTED_VALUE"""),45689.0)</f>
        <v>45689</v>
      </c>
      <c r="B1414" t="str">
        <f>IFERROR(__xludf.DUMMYFUNCTION("""COMPUTED_VALUE"""),"[永春四號] [郭宗仁] 大租金")</f>
        <v>[永春四號] [郭宗仁] 大租金</v>
      </c>
      <c r="C1414" t="str">
        <f>IFERROR(__xludf.DUMMYFUNCTION("""COMPUTED_VALUE"""),"成本 - 大租金")</f>
        <v>成本 - 大租金</v>
      </c>
      <c r="D1414" s="270">
        <f>IFERROR(__xludf.DUMMYFUNCTION("""COMPUTED_VALUE"""),-17000.0)</f>
        <v>-17000</v>
      </c>
      <c r="E1414" t="str">
        <f>IFERROR(__xludf.DUMMYFUNCTION("""COMPUTED_VALUE"""),"台銀籌備帳戶")</f>
        <v>台銀籌備帳戶</v>
      </c>
      <c r="G1414" t="str">
        <f>IFERROR(__xludf.DUMMYFUNCTION("""COMPUTED_VALUE"""),"永春四號")</f>
        <v>永春四號</v>
      </c>
      <c r="H1414" s="106" t="str">
        <f t="shared" si="1"/>
        <v>2025-02</v>
      </c>
      <c r="I1414" s="271" t="str">
        <f>IFERROR(__xludf.DUMMYFUNCTION("""COMPUTED_VALUE"""),"貓狗企鵝")</f>
        <v>貓狗企鵝</v>
      </c>
      <c r="J1414" t="str">
        <f>IFERROR(__xludf.DUMMYFUNCTION("IFS(
  AND(REGEXMATCH(E1414, ""台銀籌備帳戶|玉山帳戶""), REGEXMATCH(C1414, ""薪資"")), ""分潤支出"",
  AND(REGEXMATCH(E1414, ""Ben帳戶|Elsa帳戶|Ben代墊|Ariel代墊|中信銀行共用""), REGEXMATCH(F1414, ""Ben帳戶|Elsa帳戶|Ben代墊|Ariel代墊|中信銀行共用"")), ""內部轉帳(忽略)"",
  AND(E1414&lt;&gt;"""", F1414&lt;&gt;"""", N"&amp;"OT(REGEXMATCH(C1414, ""薪資""))), ""內部轉帳(忽略)"",
  REGEXMATCH(C1414, ""薪資""), ""薪資變動(不計入)"",
  REGEXMATCH(C1414, ""押金""), ""押金往來"",
  AND(E1414&lt;&gt;"""", F1414=""""), ""真實支出"",
  AND(E1414="""", F1414&lt;&gt;""""), ""真實收入"",
  TRUE, ""其他""
)"),"真實支出")</f>
        <v>真實支出</v>
      </c>
      <c r="K1414" s="270">
        <f t="shared" si="2"/>
        <v>-17000</v>
      </c>
      <c r="L1414">
        <f t="shared" si="3"/>
        <v>0</v>
      </c>
    </row>
    <row r="1415">
      <c r="A1415" s="107">
        <f>IFERROR(__xludf.DUMMYFUNCTION("""COMPUTED_VALUE"""),45689.0)</f>
        <v>45689</v>
      </c>
      <c r="B1415" t="str">
        <f>IFERROR(__xludf.DUMMYFUNCTION("""COMPUTED_VALUE"""),"費用 - 匯費 對方行:012 後五碼:46295")</f>
        <v>費用 - 匯費 對方行:012 後五碼:46295</v>
      </c>
      <c r="C1415" t="str">
        <f>IFERROR(__xludf.DUMMYFUNCTION("""COMPUTED_VALUE"""),"費用 - 匯費")</f>
        <v>費用 - 匯費</v>
      </c>
      <c r="D1415" s="270">
        <f>IFERROR(__xludf.DUMMYFUNCTION("""COMPUTED_VALUE"""),-15.0)</f>
        <v>-15</v>
      </c>
      <c r="E1415" t="str">
        <f>IFERROR(__xludf.DUMMYFUNCTION("""COMPUTED_VALUE"""),"台銀籌備帳戶")</f>
        <v>台銀籌備帳戶</v>
      </c>
      <c r="G1415" t="str">
        <f>IFERROR(__xludf.DUMMYFUNCTION("""COMPUTED_VALUE"""),"永春四號")</f>
        <v>永春四號</v>
      </c>
      <c r="H1415" s="106" t="str">
        <f t="shared" si="1"/>
        <v>2025-02</v>
      </c>
      <c r="I1415" s="271" t="str">
        <f>IFERROR(__xludf.DUMMYFUNCTION("""COMPUTED_VALUE"""),"貓狗企鵝")</f>
        <v>貓狗企鵝</v>
      </c>
      <c r="J1415" t="str">
        <f>IFERROR(__xludf.DUMMYFUNCTION("IFS(
  AND(REGEXMATCH(E1415, ""台銀籌備帳戶|玉山帳戶""), REGEXMATCH(C1415, ""薪資"")), ""分潤支出"",
  AND(REGEXMATCH(E1415, ""Ben帳戶|Elsa帳戶|Ben代墊|Ariel代墊|中信銀行共用""), REGEXMATCH(F1415, ""Ben帳戶|Elsa帳戶|Ben代墊|Ariel代墊|中信銀行共用"")), ""內部轉帳(忽略)"",
  AND(E1415&lt;&gt;"""", F1415&lt;&gt;"""", N"&amp;"OT(REGEXMATCH(C1415, ""薪資""))), ""內部轉帳(忽略)"",
  REGEXMATCH(C1415, ""薪資""), ""薪資變動(不計入)"",
  REGEXMATCH(C1415, ""押金""), ""押金往來"",
  AND(E1415&lt;&gt;"""", F1415=""""), ""真實支出"",
  AND(E1415="""", F1415&lt;&gt;""""), ""真實收入"",
  TRUE, ""其他""
)"),"真實支出")</f>
        <v>真實支出</v>
      </c>
      <c r="K1415" s="270">
        <f t="shared" si="2"/>
        <v>-15</v>
      </c>
      <c r="L1415">
        <f t="shared" si="3"/>
        <v>0</v>
      </c>
    </row>
    <row r="1416">
      <c r="A1416" s="107">
        <f>IFERROR(__xludf.DUMMYFUNCTION("""COMPUTED_VALUE"""),45689.0)</f>
        <v>45689</v>
      </c>
      <c r="B1416" t="str">
        <f>IFERROR(__xludf.DUMMYFUNCTION("""COMPUTED_VALUE"""),"[永春四號] [郭宗仁] 大租金")</f>
        <v>[永春四號] [郭宗仁] 大租金</v>
      </c>
      <c r="C1416" t="str">
        <f>IFERROR(__xludf.DUMMYFUNCTION("""COMPUTED_VALUE"""),"成本 - 大租金")</f>
        <v>成本 - 大租金</v>
      </c>
      <c r="D1416" s="270">
        <f>IFERROR(__xludf.DUMMYFUNCTION("""COMPUTED_VALUE"""),-17000.0)</f>
        <v>-17000</v>
      </c>
      <c r="E1416" t="str">
        <f>IFERROR(__xludf.DUMMYFUNCTION("""COMPUTED_VALUE"""),"台銀籌備帳戶")</f>
        <v>台銀籌備帳戶</v>
      </c>
      <c r="G1416" t="str">
        <f>IFERROR(__xludf.DUMMYFUNCTION("""COMPUTED_VALUE"""),"永春四號")</f>
        <v>永春四號</v>
      </c>
      <c r="H1416" s="106" t="str">
        <f t="shared" si="1"/>
        <v>2025-02</v>
      </c>
      <c r="I1416" s="271" t="str">
        <f>IFERROR(__xludf.DUMMYFUNCTION("""COMPUTED_VALUE"""),"貓狗企鵝")</f>
        <v>貓狗企鵝</v>
      </c>
      <c r="J1416" t="str">
        <f>IFERROR(__xludf.DUMMYFUNCTION("IFS(
  AND(REGEXMATCH(E1416, ""台銀籌備帳戶|玉山帳戶""), REGEXMATCH(C1416, ""薪資"")), ""分潤支出"",
  AND(REGEXMATCH(E1416, ""Ben帳戶|Elsa帳戶|Ben代墊|Ariel代墊|中信銀行共用""), REGEXMATCH(F1416, ""Ben帳戶|Elsa帳戶|Ben代墊|Ariel代墊|中信銀行共用"")), ""內部轉帳(忽略)"",
  AND(E1416&lt;&gt;"""", F1416&lt;&gt;"""", N"&amp;"OT(REGEXMATCH(C1416, ""薪資""))), ""內部轉帳(忽略)"",
  REGEXMATCH(C1416, ""薪資""), ""薪資變動(不計入)"",
  REGEXMATCH(C1416, ""押金""), ""押金往來"",
  AND(E1416&lt;&gt;"""", F1416=""""), ""真實支出"",
  AND(E1416="""", F1416&lt;&gt;""""), ""真實收入"",
  TRUE, ""其他""
)"),"真實支出")</f>
        <v>真實支出</v>
      </c>
      <c r="K1416" s="270">
        <f t="shared" si="2"/>
        <v>-17000</v>
      </c>
      <c r="L1416">
        <f t="shared" si="3"/>
        <v>0</v>
      </c>
    </row>
    <row r="1417">
      <c r="A1417" s="107">
        <f>IFERROR(__xludf.DUMMYFUNCTION("""COMPUTED_VALUE"""),45689.0)</f>
        <v>45689</v>
      </c>
      <c r="B1417" t="str">
        <f>IFERROR(__xludf.DUMMYFUNCTION("""COMPUTED_VALUE"""),"費用 - 匯費 對方行:700 後五碼:19509")</f>
        <v>費用 - 匯費 對方行:700 後五碼:19509</v>
      </c>
      <c r="C1417" t="str">
        <f>IFERROR(__xludf.DUMMYFUNCTION("""COMPUTED_VALUE"""),"費用 - 匯費")</f>
        <v>費用 - 匯費</v>
      </c>
      <c r="D1417" s="270">
        <f>IFERROR(__xludf.DUMMYFUNCTION("""COMPUTED_VALUE"""),-15.0)</f>
        <v>-15</v>
      </c>
      <c r="E1417" t="str">
        <f>IFERROR(__xludf.DUMMYFUNCTION("""COMPUTED_VALUE"""),"台銀籌備帳戶")</f>
        <v>台銀籌備帳戶</v>
      </c>
      <c r="G1417" t="str">
        <f>IFERROR(__xludf.DUMMYFUNCTION("""COMPUTED_VALUE"""),"永春四號")</f>
        <v>永春四號</v>
      </c>
      <c r="H1417" s="106" t="str">
        <f t="shared" si="1"/>
        <v>2025-02</v>
      </c>
      <c r="I1417" s="271" t="str">
        <f>IFERROR(__xludf.DUMMYFUNCTION("""COMPUTED_VALUE"""),"貓狗企鵝")</f>
        <v>貓狗企鵝</v>
      </c>
      <c r="J1417" t="str">
        <f>IFERROR(__xludf.DUMMYFUNCTION("IFS(
  AND(REGEXMATCH(E1417, ""台銀籌備帳戶|玉山帳戶""), REGEXMATCH(C1417, ""薪資"")), ""分潤支出"",
  AND(REGEXMATCH(E1417, ""Ben帳戶|Elsa帳戶|Ben代墊|Ariel代墊|中信銀行共用""), REGEXMATCH(F1417, ""Ben帳戶|Elsa帳戶|Ben代墊|Ariel代墊|中信銀行共用"")), ""內部轉帳(忽略)"",
  AND(E1417&lt;&gt;"""", F1417&lt;&gt;"""", N"&amp;"OT(REGEXMATCH(C1417, ""薪資""))), ""內部轉帳(忽略)"",
  REGEXMATCH(C1417, ""薪資""), ""薪資變動(不計入)"",
  REGEXMATCH(C1417, ""押金""), ""押金往來"",
  AND(E1417&lt;&gt;"""", F1417=""""), ""真實支出"",
  AND(E1417="""", F1417&lt;&gt;""""), ""真實收入"",
  TRUE, ""其他""
)"),"真實支出")</f>
        <v>真實支出</v>
      </c>
      <c r="K1417" s="270">
        <f t="shared" si="2"/>
        <v>-15</v>
      </c>
      <c r="L1417">
        <f t="shared" si="3"/>
        <v>0</v>
      </c>
    </row>
    <row r="1418">
      <c r="A1418" s="107">
        <f>IFERROR(__xludf.DUMMYFUNCTION("""COMPUTED_VALUE"""),45689.0)</f>
        <v>45689</v>
      </c>
      <c r="B1418" t="str">
        <f>IFERROR(__xludf.DUMMYFUNCTION("""COMPUTED_VALUE"""),"[龍江229] [游為傑] 大租金")</f>
        <v>[龍江229] [游為傑] 大租金</v>
      </c>
      <c r="C1418" t="str">
        <f>IFERROR(__xludf.DUMMYFUNCTION("""COMPUTED_VALUE"""),"成本 - 大租金")</f>
        <v>成本 - 大租金</v>
      </c>
      <c r="D1418" s="270">
        <f>IFERROR(__xludf.DUMMYFUNCTION("""COMPUTED_VALUE"""),-13500.0)</f>
        <v>-13500</v>
      </c>
      <c r="E1418" t="str">
        <f>IFERROR(__xludf.DUMMYFUNCTION("""COMPUTED_VALUE"""),"台銀籌備帳戶")</f>
        <v>台銀籌備帳戶</v>
      </c>
      <c r="G1418" t="str">
        <f>IFERROR(__xludf.DUMMYFUNCTION("""COMPUTED_VALUE"""),"龍江229")</f>
        <v>龍江229</v>
      </c>
      <c r="H1418" s="106" t="str">
        <f t="shared" si="1"/>
        <v>2025-02</v>
      </c>
      <c r="I1418" s="271" t="str">
        <f>IFERROR(__xludf.DUMMYFUNCTION("""COMPUTED_VALUE"""),"貓狗企鵝")</f>
        <v>貓狗企鵝</v>
      </c>
      <c r="J1418" t="str">
        <f>IFERROR(__xludf.DUMMYFUNCTION("IFS(
  AND(REGEXMATCH(E1418, ""台銀籌備帳戶|玉山帳戶""), REGEXMATCH(C1418, ""薪資"")), ""分潤支出"",
  AND(REGEXMATCH(E1418, ""Ben帳戶|Elsa帳戶|Ben代墊|Ariel代墊|中信銀行共用""), REGEXMATCH(F1418, ""Ben帳戶|Elsa帳戶|Ben代墊|Ariel代墊|中信銀行共用"")), ""內部轉帳(忽略)"",
  AND(E1418&lt;&gt;"""", F1418&lt;&gt;"""", N"&amp;"OT(REGEXMATCH(C1418, ""薪資""))), ""內部轉帳(忽略)"",
  REGEXMATCH(C1418, ""薪資""), ""薪資變動(不計入)"",
  REGEXMATCH(C1418, ""押金""), ""押金往來"",
  AND(E1418&lt;&gt;"""", F1418=""""), ""真實支出"",
  AND(E1418="""", F1418&lt;&gt;""""), ""真實收入"",
  TRUE, ""其他""
)"),"真實支出")</f>
        <v>真實支出</v>
      </c>
      <c r="K1418" s="270">
        <f t="shared" si="2"/>
        <v>-13500</v>
      </c>
      <c r="L1418">
        <f t="shared" si="3"/>
        <v>0</v>
      </c>
    </row>
    <row r="1419">
      <c r="A1419" s="107">
        <f>IFERROR(__xludf.DUMMYFUNCTION("""COMPUTED_VALUE"""),45689.0)</f>
        <v>45689</v>
      </c>
      <c r="B1419" t="str">
        <f>IFERROR(__xludf.DUMMYFUNCTION("""COMPUTED_VALUE"""),"費用 - 匯費 對方行:012 後五碼:74779")</f>
        <v>費用 - 匯費 對方行:012 後五碼:74779</v>
      </c>
      <c r="C1419" t="str">
        <f>IFERROR(__xludf.DUMMYFUNCTION("""COMPUTED_VALUE"""),"費用 - 匯費")</f>
        <v>費用 - 匯費</v>
      </c>
      <c r="D1419" s="270">
        <f>IFERROR(__xludf.DUMMYFUNCTION("""COMPUTED_VALUE"""),-15.0)</f>
        <v>-15</v>
      </c>
      <c r="E1419" t="str">
        <f>IFERROR(__xludf.DUMMYFUNCTION("""COMPUTED_VALUE"""),"台銀籌備帳戶")</f>
        <v>台銀籌備帳戶</v>
      </c>
      <c r="G1419" t="str">
        <f>IFERROR(__xludf.DUMMYFUNCTION("""COMPUTED_VALUE"""),"龍江229")</f>
        <v>龍江229</v>
      </c>
      <c r="H1419" s="106" t="str">
        <f t="shared" si="1"/>
        <v>2025-02</v>
      </c>
      <c r="I1419" s="271" t="str">
        <f>IFERROR(__xludf.DUMMYFUNCTION("""COMPUTED_VALUE"""),"貓狗企鵝")</f>
        <v>貓狗企鵝</v>
      </c>
      <c r="J1419" t="str">
        <f>IFERROR(__xludf.DUMMYFUNCTION("IFS(
  AND(REGEXMATCH(E1419, ""台銀籌備帳戶|玉山帳戶""), REGEXMATCH(C1419, ""薪資"")), ""分潤支出"",
  AND(REGEXMATCH(E1419, ""Ben帳戶|Elsa帳戶|Ben代墊|Ariel代墊|中信銀行共用""), REGEXMATCH(F1419, ""Ben帳戶|Elsa帳戶|Ben代墊|Ariel代墊|中信銀行共用"")), ""內部轉帳(忽略)"",
  AND(E1419&lt;&gt;"""", F1419&lt;&gt;"""", N"&amp;"OT(REGEXMATCH(C1419, ""薪資""))), ""內部轉帳(忽略)"",
  REGEXMATCH(C1419, ""薪資""), ""薪資變動(不計入)"",
  REGEXMATCH(C1419, ""押金""), ""押金往來"",
  AND(E1419&lt;&gt;"""", F1419=""""), ""真實支出"",
  AND(E1419="""", F1419&lt;&gt;""""), ""真實收入"",
  TRUE, ""其他""
)"),"真實支出")</f>
        <v>真實支出</v>
      </c>
      <c r="K1419" s="270">
        <f t="shared" si="2"/>
        <v>-15</v>
      </c>
      <c r="L1419">
        <f t="shared" si="3"/>
        <v>0</v>
      </c>
    </row>
    <row r="1420">
      <c r="A1420" s="107">
        <f>IFERROR(__xludf.DUMMYFUNCTION("""COMPUTED_VALUE"""),45689.0)</f>
        <v>45689</v>
      </c>
      <c r="B1420" t="str">
        <f>IFERROR(__xludf.DUMMYFUNCTION("""COMPUTED_VALUE"""),"[市府爺爺家] [常永年] 大租金")</f>
        <v>[市府爺爺家] [常永年] 大租金</v>
      </c>
      <c r="C1420" t="str">
        <f>IFERROR(__xludf.DUMMYFUNCTION("""COMPUTED_VALUE"""),"成本 - 大租金")</f>
        <v>成本 - 大租金</v>
      </c>
      <c r="D1420" s="270">
        <f>IFERROR(__xludf.DUMMYFUNCTION("""COMPUTED_VALUE"""),-12000.0)</f>
        <v>-12000</v>
      </c>
      <c r="E1420" t="str">
        <f>IFERROR(__xludf.DUMMYFUNCTION("""COMPUTED_VALUE"""),"台銀籌備帳戶")</f>
        <v>台銀籌備帳戶</v>
      </c>
      <c r="G1420" t="str">
        <f>IFERROR(__xludf.DUMMYFUNCTION("""COMPUTED_VALUE"""),"市府爺爺家")</f>
        <v>市府爺爺家</v>
      </c>
      <c r="H1420" s="106" t="str">
        <f t="shared" si="1"/>
        <v>2025-02</v>
      </c>
      <c r="I1420" s="271" t="str">
        <f>IFERROR(__xludf.DUMMYFUNCTION("""COMPUTED_VALUE"""),"貓狗企鵝")</f>
        <v>貓狗企鵝</v>
      </c>
      <c r="J1420" t="str">
        <f>IFERROR(__xludf.DUMMYFUNCTION("IFS(
  AND(REGEXMATCH(E1420, ""台銀籌備帳戶|玉山帳戶""), REGEXMATCH(C1420, ""薪資"")), ""分潤支出"",
  AND(REGEXMATCH(E1420, ""Ben帳戶|Elsa帳戶|Ben代墊|Ariel代墊|中信銀行共用""), REGEXMATCH(F1420, ""Ben帳戶|Elsa帳戶|Ben代墊|Ariel代墊|中信銀行共用"")), ""內部轉帳(忽略)"",
  AND(E1420&lt;&gt;"""", F1420&lt;&gt;"""", N"&amp;"OT(REGEXMATCH(C1420, ""薪資""))), ""內部轉帳(忽略)"",
  REGEXMATCH(C1420, ""薪資""), ""薪資變動(不計入)"",
  REGEXMATCH(C1420, ""押金""), ""押金往來"",
  AND(E1420&lt;&gt;"""", F1420=""""), ""真實支出"",
  AND(E1420="""", F1420&lt;&gt;""""), ""真實收入"",
  TRUE, ""其他""
)"),"真實支出")</f>
        <v>真實支出</v>
      </c>
      <c r="K1420" s="270">
        <f t="shared" si="2"/>
        <v>-12000</v>
      </c>
      <c r="L1420">
        <f t="shared" si="3"/>
        <v>0</v>
      </c>
    </row>
    <row r="1421">
      <c r="A1421" s="107">
        <f>IFERROR(__xludf.DUMMYFUNCTION("""COMPUTED_VALUE"""),45689.0)</f>
        <v>45689</v>
      </c>
      <c r="B1421" t="str">
        <f>IFERROR(__xludf.DUMMYFUNCTION("""COMPUTED_VALUE"""),"費用 - 匯費 對方行:052 後五碼:22609")</f>
        <v>費用 - 匯費 對方行:052 後五碼:22609</v>
      </c>
      <c r="C1421" t="str">
        <f>IFERROR(__xludf.DUMMYFUNCTION("""COMPUTED_VALUE"""),"費用 - 匯費")</f>
        <v>費用 - 匯費</v>
      </c>
      <c r="D1421" s="270">
        <f>IFERROR(__xludf.DUMMYFUNCTION("""COMPUTED_VALUE"""),-15.0)</f>
        <v>-15</v>
      </c>
      <c r="E1421" t="str">
        <f>IFERROR(__xludf.DUMMYFUNCTION("""COMPUTED_VALUE"""),"台銀籌備帳戶")</f>
        <v>台銀籌備帳戶</v>
      </c>
      <c r="G1421" t="str">
        <f>IFERROR(__xludf.DUMMYFUNCTION("""COMPUTED_VALUE"""),"市府爺爺家")</f>
        <v>市府爺爺家</v>
      </c>
      <c r="H1421" s="106" t="str">
        <f t="shared" si="1"/>
        <v>2025-02</v>
      </c>
      <c r="I1421" s="271" t="str">
        <f>IFERROR(__xludf.DUMMYFUNCTION("""COMPUTED_VALUE"""),"貓狗企鵝")</f>
        <v>貓狗企鵝</v>
      </c>
      <c r="J1421" t="str">
        <f>IFERROR(__xludf.DUMMYFUNCTION("IFS(
  AND(REGEXMATCH(E1421, ""台銀籌備帳戶|玉山帳戶""), REGEXMATCH(C1421, ""薪資"")), ""分潤支出"",
  AND(REGEXMATCH(E1421, ""Ben帳戶|Elsa帳戶|Ben代墊|Ariel代墊|中信銀行共用""), REGEXMATCH(F1421, ""Ben帳戶|Elsa帳戶|Ben代墊|Ariel代墊|中信銀行共用"")), ""內部轉帳(忽略)"",
  AND(E1421&lt;&gt;"""", F1421&lt;&gt;"""", N"&amp;"OT(REGEXMATCH(C1421, ""薪資""))), ""內部轉帳(忽略)"",
  REGEXMATCH(C1421, ""薪資""), ""薪資變動(不計入)"",
  REGEXMATCH(C1421, ""押金""), ""押金往來"",
  AND(E1421&lt;&gt;"""", F1421=""""), ""真實支出"",
  AND(E1421="""", F1421&lt;&gt;""""), ""真實收入"",
  TRUE, ""其他""
)"),"真實支出")</f>
        <v>真實支出</v>
      </c>
      <c r="K1421" s="270">
        <f t="shared" si="2"/>
        <v>-15</v>
      </c>
      <c r="L1421">
        <f t="shared" si="3"/>
        <v>0</v>
      </c>
    </row>
    <row r="1422">
      <c r="A1422" s="107">
        <f>IFERROR(__xludf.DUMMYFUNCTION("""COMPUTED_VALUE"""),45689.0)</f>
        <v>45689</v>
      </c>
      <c r="B1422" t="str">
        <f>IFERROR(__xludf.DUMMYFUNCTION("""COMPUTED_VALUE"""),"[中山北Feli家] [陳玉蘭] 大租金")</f>
        <v>[中山北Feli家] [陳玉蘭] 大租金</v>
      </c>
      <c r="C1422" t="str">
        <f>IFERROR(__xludf.DUMMYFUNCTION("""COMPUTED_VALUE"""),"成本 - 大租金")</f>
        <v>成本 - 大租金</v>
      </c>
      <c r="D1422" s="270">
        <f>IFERROR(__xludf.DUMMYFUNCTION("""COMPUTED_VALUE"""),-18000.0)</f>
        <v>-18000</v>
      </c>
      <c r="E1422" t="str">
        <f>IFERROR(__xludf.DUMMYFUNCTION("""COMPUTED_VALUE"""),"台銀籌備帳戶")</f>
        <v>台銀籌備帳戶</v>
      </c>
      <c r="G1422" t="str">
        <f>IFERROR(__xludf.DUMMYFUNCTION("""COMPUTED_VALUE"""),"中山北Feli家")</f>
        <v>中山北Feli家</v>
      </c>
      <c r="H1422" s="106" t="str">
        <f t="shared" si="1"/>
        <v>2025-02</v>
      </c>
      <c r="I1422" s="271" t="str">
        <f>IFERROR(__xludf.DUMMYFUNCTION("""COMPUTED_VALUE"""),"貓狗企鵝")</f>
        <v>貓狗企鵝</v>
      </c>
      <c r="J1422" t="str">
        <f>IFERROR(__xludf.DUMMYFUNCTION("IFS(
  AND(REGEXMATCH(E1422, ""台銀籌備帳戶|玉山帳戶""), REGEXMATCH(C1422, ""薪資"")), ""分潤支出"",
  AND(REGEXMATCH(E1422, ""Ben帳戶|Elsa帳戶|Ben代墊|Ariel代墊|中信銀行共用""), REGEXMATCH(F1422, ""Ben帳戶|Elsa帳戶|Ben代墊|Ariel代墊|中信銀行共用"")), ""內部轉帳(忽略)"",
  AND(E1422&lt;&gt;"""", F1422&lt;&gt;"""", N"&amp;"OT(REGEXMATCH(C1422, ""薪資""))), ""內部轉帳(忽略)"",
  REGEXMATCH(C1422, ""薪資""), ""薪資變動(不計入)"",
  REGEXMATCH(C1422, ""押金""), ""押金往來"",
  AND(E1422&lt;&gt;"""", F1422=""""), ""真實支出"",
  AND(E1422="""", F1422&lt;&gt;""""), ""真實收入"",
  TRUE, ""其他""
)"),"真實支出")</f>
        <v>真實支出</v>
      </c>
      <c r="K1422" s="270">
        <f t="shared" si="2"/>
        <v>-18000</v>
      </c>
      <c r="L1422">
        <f t="shared" si="3"/>
        <v>0</v>
      </c>
    </row>
    <row r="1423">
      <c r="A1423" s="107">
        <f>IFERROR(__xludf.DUMMYFUNCTION("""COMPUTED_VALUE"""),45689.0)</f>
        <v>45689</v>
      </c>
      <c r="B1423" t="str">
        <f>IFERROR(__xludf.DUMMYFUNCTION("""COMPUTED_VALUE"""),"費用 - 匯費 對方行:013 後五碼:20652")</f>
        <v>費用 - 匯費 對方行:013 後五碼:20652</v>
      </c>
      <c r="C1423" t="str">
        <f>IFERROR(__xludf.DUMMYFUNCTION("""COMPUTED_VALUE"""),"費用 - 匯費")</f>
        <v>費用 - 匯費</v>
      </c>
      <c r="D1423" s="270">
        <f>IFERROR(__xludf.DUMMYFUNCTION("""COMPUTED_VALUE"""),-15.0)</f>
        <v>-15</v>
      </c>
      <c r="E1423" t="str">
        <f>IFERROR(__xludf.DUMMYFUNCTION("""COMPUTED_VALUE"""),"台銀籌備帳戶")</f>
        <v>台銀籌備帳戶</v>
      </c>
      <c r="G1423" t="str">
        <f>IFERROR(__xludf.DUMMYFUNCTION("""COMPUTED_VALUE"""),"中山北Feli家")</f>
        <v>中山北Feli家</v>
      </c>
      <c r="H1423" s="106" t="str">
        <f t="shared" si="1"/>
        <v>2025-02</v>
      </c>
      <c r="I1423" s="271" t="str">
        <f>IFERROR(__xludf.DUMMYFUNCTION("""COMPUTED_VALUE"""),"貓狗企鵝")</f>
        <v>貓狗企鵝</v>
      </c>
      <c r="J1423" t="str">
        <f>IFERROR(__xludf.DUMMYFUNCTION("IFS(
  AND(REGEXMATCH(E1423, ""台銀籌備帳戶|玉山帳戶""), REGEXMATCH(C1423, ""薪資"")), ""分潤支出"",
  AND(REGEXMATCH(E1423, ""Ben帳戶|Elsa帳戶|Ben代墊|Ariel代墊|中信銀行共用""), REGEXMATCH(F1423, ""Ben帳戶|Elsa帳戶|Ben代墊|Ariel代墊|中信銀行共用"")), ""內部轉帳(忽略)"",
  AND(E1423&lt;&gt;"""", F1423&lt;&gt;"""", N"&amp;"OT(REGEXMATCH(C1423, ""薪資""))), ""內部轉帳(忽略)"",
  REGEXMATCH(C1423, ""薪資""), ""薪資變動(不計入)"",
  REGEXMATCH(C1423, ""押金""), ""押金往來"",
  AND(E1423&lt;&gt;"""", F1423=""""), ""真實支出"",
  AND(E1423="""", F1423&lt;&gt;""""), ""真實收入"",
  TRUE, ""其他""
)"),"真實支出")</f>
        <v>真實支出</v>
      </c>
      <c r="K1423" s="270">
        <f t="shared" si="2"/>
        <v>-15</v>
      </c>
      <c r="L1423">
        <f t="shared" si="3"/>
        <v>0</v>
      </c>
    </row>
    <row r="1424">
      <c r="A1424" s="107">
        <f>IFERROR(__xludf.DUMMYFUNCTION("""COMPUTED_VALUE"""),45689.0)</f>
        <v>45689</v>
      </c>
      <c r="B1424" t="str">
        <f>IFERROR(__xludf.DUMMYFUNCTION("""COMPUTED_VALUE"""),"[景安2分鐘] [王逸荃] 大租金")</f>
        <v>[景安2分鐘] [王逸荃] 大租金</v>
      </c>
      <c r="C1424" t="str">
        <f>IFERROR(__xludf.DUMMYFUNCTION("""COMPUTED_VALUE"""),"成本 - 大租金")</f>
        <v>成本 - 大租金</v>
      </c>
      <c r="D1424" s="270">
        <f>IFERROR(__xludf.DUMMYFUNCTION("""COMPUTED_VALUE"""),-12500.0)</f>
        <v>-12500</v>
      </c>
      <c r="E1424" t="str">
        <f>IFERROR(__xludf.DUMMYFUNCTION("""COMPUTED_VALUE"""),"台銀籌備帳戶")</f>
        <v>台銀籌備帳戶</v>
      </c>
      <c r="G1424" t="str">
        <f>IFERROR(__xludf.DUMMYFUNCTION("""COMPUTED_VALUE"""),"景安2分鐘")</f>
        <v>景安2分鐘</v>
      </c>
      <c r="H1424" s="106" t="str">
        <f t="shared" si="1"/>
        <v>2025-02</v>
      </c>
      <c r="I1424" s="271" t="str">
        <f>IFERROR(__xludf.DUMMYFUNCTION("""COMPUTED_VALUE"""),"貓狗企鵝")</f>
        <v>貓狗企鵝</v>
      </c>
      <c r="J1424" t="str">
        <f>IFERROR(__xludf.DUMMYFUNCTION("IFS(
  AND(REGEXMATCH(E1424, ""台銀籌備帳戶|玉山帳戶""), REGEXMATCH(C1424, ""薪資"")), ""分潤支出"",
  AND(REGEXMATCH(E1424, ""Ben帳戶|Elsa帳戶|Ben代墊|Ariel代墊|中信銀行共用""), REGEXMATCH(F1424, ""Ben帳戶|Elsa帳戶|Ben代墊|Ariel代墊|中信銀行共用"")), ""內部轉帳(忽略)"",
  AND(E1424&lt;&gt;"""", F1424&lt;&gt;"""", N"&amp;"OT(REGEXMATCH(C1424, ""薪資""))), ""內部轉帳(忽略)"",
  REGEXMATCH(C1424, ""薪資""), ""薪資變動(不計入)"",
  REGEXMATCH(C1424, ""押金""), ""押金往來"",
  AND(E1424&lt;&gt;"""", F1424=""""), ""真實支出"",
  AND(E1424="""", F1424&lt;&gt;""""), ""真實收入"",
  TRUE, ""其他""
)"),"真實支出")</f>
        <v>真實支出</v>
      </c>
      <c r="K1424" s="270">
        <f t="shared" si="2"/>
        <v>-12500</v>
      </c>
      <c r="L1424">
        <f t="shared" si="3"/>
        <v>0</v>
      </c>
    </row>
    <row r="1425">
      <c r="A1425" s="107">
        <f>IFERROR(__xludf.DUMMYFUNCTION("""COMPUTED_VALUE"""),45689.0)</f>
        <v>45689</v>
      </c>
      <c r="B1425" t="str">
        <f>IFERROR(__xludf.DUMMYFUNCTION("""COMPUTED_VALUE"""),"費用 - 匯費 對方行:822 後五碼:06708")</f>
        <v>費用 - 匯費 對方行:822 後五碼:06708</v>
      </c>
      <c r="C1425" t="str">
        <f>IFERROR(__xludf.DUMMYFUNCTION("""COMPUTED_VALUE"""),"費用 - 匯費")</f>
        <v>費用 - 匯費</v>
      </c>
      <c r="D1425" s="270">
        <f>IFERROR(__xludf.DUMMYFUNCTION("""COMPUTED_VALUE"""),-15.0)</f>
        <v>-15</v>
      </c>
      <c r="E1425" t="str">
        <f>IFERROR(__xludf.DUMMYFUNCTION("""COMPUTED_VALUE"""),"台銀籌備帳戶")</f>
        <v>台銀籌備帳戶</v>
      </c>
      <c r="G1425" t="str">
        <f>IFERROR(__xludf.DUMMYFUNCTION("""COMPUTED_VALUE"""),"景安2分鐘")</f>
        <v>景安2分鐘</v>
      </c>
      <c r="H1425" s="106" t="str">
        <f t="shared" si="1"/>
        <v>2025-02</v>
      </c>
      <c r="I1425" s="271" t="str">
        <f>IFERROR(__xludf.DUMMYFUNCTION("""COMPUTED_VALUE"""),"貓狗企鵝")</f>
        <v>貓狗企鵝</v>
      </c>
      <c r="J1425" t="str">
        <f>IFERROR(__xludf.DUMMYFUNCTION("IFS(
  AND(REGEXMATCH(E1425, ""台銀籌備帳戶|玉山帳戶""), REGEXMATCH(C1425, ""薪資"")), ""分潤支出"",
  AND(REGEXMATCH(E1425, ""Ben帳戶|Elsa帳戶|Ben代墊|Ariel代墊|中信銀行共用""), REGEXMATCH(F1425, ""Ben帳戶|Elsa帳戶|Ben代墊|Ariel代墊|中信銀行共用"")), ""內部轉帳(忽略)"",
  AND(E1425&lt;&gt;"""", F1425&lt;&gt;"""", N"&amp;"OT(REGEXMATCH(C1425, ""薪資""))), ""內部轉帳(忽略)"",
  REGEXMATCH(C1425, ""薪資""), ""薪資變動(不計入)"",
  REGEXMATCH(C1425, ""押金""), ""押金往來"",
  AND(E1425&lt;&gt;"""", F1425=""""), ""真實支出"",
  AND(E1425="""", F1425&lt;&gt;""""), ""真實收入"",
  TRUE, ""其他""
)"),"真實支出")</f>
        <v>真實支出</v>
      </c>
      <c r="K1425" s="270">
        <f t="shared" si="2"/>
        <v>-15</v>
      </c>
      <c r="L1425">
        <f t="shared" si="3"/>
        <v>0</v>
      </c>
    </row>
    <row r="1426">
      <c r="A1426" s="107">
        <f>IFERROR(__xludf.DUMMYFUNCTION("""COMPUTED_VALUE"""),45689.0)</f>
        <v>45689</v>
      </c>
      <c r="B1426" t="str">
        <f>IFERROR(__xludf.DUMMYFUNCTION("""COMPUTED_VALUE"""),"[金龍帽子先生] [郭娟伶] 大租金")</f>
        <v>[金龍帽子先生] [郭娟伶] 大租金</v>
      </c>
      <c r="C1426" t="str">
        <f>IFERROR(__xludf.DUMMYFUNCTION("""COMPUTED_VALUE"""),"成本 - 大租金")</f>
        <v>成本 - 大租金</v>
      </c>
      <c r="D1426" s="270">
        <f>IFERROR(__xludf.DUMMYFUNCTION("""COMPUTED_VALUE"""),-17750.0)</f>
        <v>-17750</v>
      </c>
      <c r="E1426" t="str">
        <f>IFERROR(__xludf.DUMMYFUNCTION("""COMPUTED_VALUE"""),"台銀籌備帳戶")</f>
        <v>台銀籌備帳戶</v>
      </c>
      <c r="G1426" t="str">
        <f>IFERROR(__xludf.DUMMYFUNCTION("""COMPUTED_VALUE"""),"金龍帽子先生")</f>
        <v>金龍帽子先生</v>
      </c>
      <c r="H1426" s="106" t="str">
        <f t="shared" si="1"/>
        <v>2025-02</v>
      </c>
      <c r="I1426" s="271" t="str">
        <f>IFERROR(__xludf.DUMMYFUNCTION("""COMPUTED_VALUE"""),"貓狗企鵝")</f>
        <v>貓狗企鵝</v>
      </c>
      <c r="J1426" t="str">
        <f>IFERROR(__xludf.DUMMYFUNCTION("IFS(
  AND(REGEXMATCH(E1426, ""台銀籌備帳戶|玉山帳戶""), REGEXMATCH(C1426, ""薪資"")), ""分潤支出"",
  AND(REGEXMATCH(E1426, ""Ben帳戶|Elsa帳戶|Ben代墊|Ariel代墊|中信銀行共用""), REGEXMATCH(F1426, ""Ben帳戶|Elsa帳戶|Ben代墊|Ariel代墊|中信銀行共用"")), ""內部轉帳(忽略)"",
  AND(E1426&lt;&gt;"""", F1426&lt;&gt;"""", N"&amp;"OT(REGEXMATCH(C1426, ""薪資""))), ""內部轉帳(忽略)"",
  REGEXMATCH(C1426, ""薪資""), ""薪資變動(不計入)"",
  REGEXMATCH(C1426, ""押金""), ""押金往來"",
  AND(E1426&lt;&gt;"""", F1426=""""), ""真實支出"",
  AND(E1426="""", F1426&lt;&gt;""""), ""真實收入"",
  TRUE, ""其他""
)"),"真實支出")</f>
        <v>真實支出</v>
      </c>
      <c r="K1426" s="270">
        <f t="shared" si="2"/>
        <v>-17750</v>
      </c>
      <c r="L1426">
        <f t="shared" si="3"/>
        <v>0</v>
      </c>
    </row>
    <row r="1427">
      <c r="A1427" s="107">
        <f>IFERROR(__xludf.DUMMYFUNCTION("""COMPUTED_VALUE"""),45689.0)</f>
        <v>45689</v>
      </c>
      <c r="B1427" t="str">
        <f>IFERROR(__xludf.DUMMYFUNCTION("""COMPUTED_VALUE"""),"費用 - 匯費 對方行:053 後五碼:05202")</f>
        <v>費用 - 匯費 對方行:053 後五碼:05202</v>
      </c>
      <c r="C1427" t="str">
        <f>IFERROR(__xludf.DUMMYFUNCTION("""COMPUTED_VALUE"""),"費用 - 匯費")</f>
        <v>費用 - 匯費</v>
      </c>
      <c r="D1427" s="270">
        <f>IFERROR(__xludf.DUMMYFUNCTION("""COMPUTED_VALUE"""),-15.0)</f>
        <v>-15</v>
      </c>
      <c r="E1427" t="str">
        <f>IFERROR(__xludf.DUMMYFUNCTION("""COMPUTED_VALUE"""),"台銀籌備帳戶")</f>
        <v>台銀籌備帳戶</v>
      </c>
      <c r="G1427" t="str">
        <f>IFERROR(__xludf.DUMMYFUNCTION("""COMPUTED_VALUE"""),"金龍帽子先生")</f>
        <v>金龍帽子先生</v>
      </c>
      <c r="H1427" s="106" t="str">
        <f t="shared" si="1"/>
        <v>2025-02</v>
      </c>
      <c r="I1427" s="271" t="str">
        <f>IFERROR(__xludf.DUMMYFUNCTION("""COMPUTED_VALUE"""),"貓狗企鵝")</f>
        <v>貓狗企鵝</v>
      </c>
      <c r="J1427" t="str">
        <f>IFERROR(__xludf.DUMMYFUNCTION("IFS(
  AND(REGEXMATCH(E1427, ""台銀籌備帳戶|玉山帳戶""), REGEXMATCH(C1427, ""薪資"")), ""分潤支出"",
  AND(REGEXMATCH(E1427, ""Ben帳戶|Elsa帳戶|Ben代墊|Ariel代墊|中信銀行共用""), REGEXMATCH(F1427, ""Ben帳戶|Elsa帳戶|Ben代墊|Ariel代墊|中信銀行共用"")), ""內部轉帳(忽略)"",
  AND(E1427&lt;&gt;"""", F1427&lt;&gt;"""", N"&amp;"OT(REGEXMATCH(C1427, ""薪資""))), ""內部轉帳(忽略)"",
  REGEXMATCH(C1427, ""薪資""), ""薪資變動(不計入)"",
  REGEXMATCH(C1427, ""押金""), ""押金往來"",
  AND(E1427&lt;&gt;"""", F1427=""""), ""真實支出"",
  AND(E1427="""", F1427&lt;&gt;""""), ""真實收入"",
  TRUE, ""其他""
)"),"真實支出")</f>
        <v>真實支出</v>
      </c>
      <c r="K1427" s="270">
        <f t="shared" si="2"/>
        <v>-15</v>
      </c>
      <c r="L1427">
        <f t="shared" si="3"/>
        <v>0</v>
      </c>
    </row>
    <row r="1428">
      <c r="A1428" s="107">
        <f>IFERROR(__xludf.DUMMYFUNCTION("""COMPUTED_VALUE"""),45689.0)</f>
        <v>45689</v>
      </c>
      <c r="B1428" t="str">
        <f>IFERROR(__xludf.DUMMYFUNCTION("""COMPUTED_VALUE"""),"[大湖山莊] [陳彩霞] 大租金")</f>
        <v>[大湖山莊] [陳彩霞] 大租金</v>
      </c>
      <c r="C1428" t="str">
        <f>IFERROR(__xludf.DUMMYFUNCTION("""COMPUTED_VALUE"""),"成本 - 大租金")</f>
        <v>成本 - 大租金</v>
      </c>
      <c r="D1428" s="270">
        <f>IFERROR(__xludf.DUMMYFUNCTION("""COMPUTED_VALUE"""),-19400.0)</f>
        <v>-19400</v>
      </c>
      <c r="E1428" t="str">
        <f>IFERROR(__xludf.DUMMYFUNCTION("""COMPUTED_VALUE"""),"台銀籌備帳戶")</f>
        <v>台銀籌備帳戶</v>
      </c>
      <c r="G1428" t="str">
        <f>IFERROR(__xludf.DUMMYFUNCTION("""COMPUTED_VALUE"""),"大湖山莊")</f>
        <v>大湖山莊</v>
      </c>
      <c r="H1428" s="106" t="str">
        <f t="shared" si="1"/>
        <v>2025-02</v>
      </c>
      <c r="I1428" s="271" t="str">
        <f>IFERROR(__xludf.DUMMYFUNCTION("""COMPUTED_VALUE"""),"貓狗企鵝")</f>
        <v>貓狗企鵝</v>
      </c>
      <c r="J1428" t="str">
        <f>IFERROR(__xludf.DUMMYFUNCTION("IFS(
  AND(REGEXMATCH(E1428, ""台銀籌備帳戶|玉山帳戶""), REGEXMATCH(C1428, ""薪資"")), ""分潤支出"",
  AND(REGEXMATCH(E1428, ""Ben帳戶|Elsa帳戶|Ben代墊|Ariel代墊|中信銀行共用""), REGEXMATCH(F1428, ""Ben帳戶|Elsa帳戶|Ben代墊|Ariel代墊|中信銀行共用"")), ""內部轉帳(忽略)"",
  AND(E1428&lt;&gt;"""", F1428&lt;&gt;"""", N"&amp;"OT(REGEXMATCH(C1428, ""薪資""))), ""內部轉帳(忽略)"",
  REGEXMATCH(C1428, ""薪資""), ""薪資變動(不計入)"",
  REGEXMATCH(C1428, ""押金""), ""押金往來"",
  AND(E1428&lt;&gt;"""", F1428=""""), ""真實支出"",
  AND(E1428="""", F1428&lt;&gt;""""), ""真實收入"",
  TRUE, ""其他""
)"),"真實支出")</f>
        <v>真實支出</v>
      </c>
      <c r="K1428" s="270">
        <f t="shared" si="2"/>
        <v>-19400</v>
      </c>
      <c r="L1428">
        <f t="shared" si="3"/>
        <v>0</v>
      </c>
    </row>
    <row r="1429">
      <c r="A1429" s="107">
        <f>IFERROR(__xludf.DUMMYFUNCTION("""COMPUTED_VALUE"""),45689.0)</f>
        <v>45689</v>
      </c>
      <c r="B1429" t="str">
        <f>IFERROR(__xludf.DUMMYFUNCTION("""COMPUTED_VALUE"""),"費用 - 匯費 對方行:807 後五碼:06659")</f>
        <v>費用 - 匯費 對方行:807 後五碼:06659</v>
      </c>
      <c r="C1429" t="str">
        <f>IFERROR(__xludf.DUMMYFUNCTION("""COMPUTED_VALUE"""),"費用 - 匯費")</f>
        <v>費用 - 匯費</v>
      </c>
      <c r="D1429" s="270">
        <f>IFERROR(__xludf.DUMMYFUNCTION("""COMPUTED_VALUE"""),-15.0)</f>
        <v>-15</v>
      </c>
      <c r="E1429" t="str">
        <f>IFERROR(__xludf.DUMMYFUNCTION("""COMPUTED_VALUE"""),"台銀籌備帳戶")</f>
        <v>台銀籌備帳戶</v>
      </c>
      <c r="G1429" t="str">
        <f>IFERROR(__xludf.DUMMYFUNCTION("""COMPUTED_VALUE"""),"大湖山莊")</f>
        <v>大湖山莊</v>
      </c>
      <c r="H1429" s="106" t="str">
        <f t="shared" si="1"/>
        <v>2025-02</v>
      </c>
      <c r="I1429" s="271" t="str">
        <f>IFERROR(__xludf.DUMMYFUNCTION("""COMPUTED_VALUE"""),"貓狗企鵝")</f>
        <v>貓狗企鵝</v>
      </c>
      <c r="J1429" t="str">
        <f>IFERROR(__xludf.DUMMYFUNCTION("IFS(
  AND(REGEXMATCH(E1429, ""台銀籌備帳戶|玉山帳戶""), REGEXMATCH(C1429, ""薪資"")), ""分潤支出"",
  AND(REGEXMATCH(E1429, ""Ben帳戶|Elsa帳戶|Ben代墊|Ariel代墊|中信銀行共用""), REGEXMATCH(F1429, ""Ben帳戶|Elsa帳戶|Ben代墊|Ariel代墊|中信銀行共用"")), ""內部轉帳(忽略)"",
  AND(E1429&lt;&gt;"""", F1429&lt;&gt;"""", N"&amp;"OT(REGEXMATCH(C1429, ""薪資""))), ""內部轉帳(忽略)"",
  REGEXMATCH(C1429, ""薪資""), ""薪資變動(不計入)"",
  REGEXMATCH(C1429, ""押金""), ""押金往來"",
  AND(E1429&lt;&gt;"""", F1429=""""), ""真實支出"",
  AND(E1429="""", F1429&lt;&gt;""""), ""真實收入"",
  TRUE, ""其他""
)"),"真實支出")</f>
        <v>真實支出</v>
      </c>
      <c r="K1429" s="270">
        <f t="shared" si="2"/>
        <v>-15</v>
      </c>
      <c r="L1429">
        <f t="shared" si="3"/>
        <v>0</v>
      </c>
    </row>
    <row r="1430">
      <c r="A1430" s="107">
        <f>IFERROR(__xludf.DUMMYFUNCTION("""COMPUTED_VALUE"""),45689.0)</f>
        <v>45689</v>
      </c>
      <c r="B1430" t="str">
        <f>IFERROR(__xludf.DUMMYFUNCTION("""COMPUTED_VALUE"""),"[哈拉對面] [陳哲聰] 大租金")</f>
        <v>[哈拉對面] [陳哲聰] 大租金</v>
      </c>
      <c r="C1430" t="str">
        <f>IFERROR(__xludf.DUMMYFUNCTION("""COMPUTED_VALUE"""),"成本 - 大租金")</f>
        <v>成本 - 大租金</v>
      </c>
      <c r="D1430" s="270">
        <f>IFERROR(__xludf.DUMMYFUNCTION("""COMPUTED_VALUE"""),-13000.0)</f>
        <v>-13000</v>
      </c>
      <c r="E1430" t="str">
        <f>IFERROR(__xludf.DUMMYFUNCTION("""COMPUTED_VALUE"""),"台銀籌備帳戶")</f>
        <v>台銀籌備帳戶</v>
      </c>
      <c r="G1430" t="str">
        <f>IFERROR(__xludf.DUMMYFUNCTION("""COMPUTED_VALUE"""),"哈拉對面")</f>
        <v>哈拉對面</v>
      </c>
      <c r="H1430" s="106" t="str">
        <f t="shared" si="1"/>
        <v>2025-02</v>
      </c>
      <c r="I1430" s="271" t="str">
        <f>IFERROR(__xludf.DUMMYFUNCTION("""COMPUTED_VALUE"""),"貓狗企鵝")</f>
        <v>貓狗企鵝</v>
      </c>
      <c r="J1430" t="str">
        <f>IFERROR(__xludf.DUMMYFUNCTION("IFS(
  AND(REGEXMATCH(E1430, ""台銀籌備帳戶|玉山帳戶""), REGEXMATCH(C1430, ""薪資"")), ""分潤支出"",
  AND(REGEXMATCH(E1430, ""Ben帳戶|Elsa帳戶|Ben代墊|Ariel代墊|中信銀行共用""), REGEXMATCH(F1430, ""Ben帳戶|Elsa帳戶|Ben代墊|Ariel代墊|中信銀行共用"")), ""內部轉帳(忽略)"",
  AND(E1430&lt;&gt;"""", F1430&lt;&gt;"""", N"&amp;"OT(REGEXMATCH(C1430, ""薪資""))), ""內部轉帳(忽略)"",
  REGEXMATCH(C1430, ""薪資""), ""薪資變動(不計入)"",
  REGEXMATCH(C1430, ""押金""), ""押金往來"",
  AND(E1430&lt;&gt;"""", F1430=""""), ""真實支出"",
  AND(E1430="""", F1430&lt;&gt;""""), ""真實收入"",
  TRUE, ""其他""
)"),"真實支出")</f>
        <v>真實支出</v>
      </c>
      <c r="K1430" s="270">
        <f t="shared" si="2"/>
        <v>-13000</v>
      </c>
      <c r="L1430">
        <f t="shared" si="3"/>
        <v>0</v>
      </c>
    </row>
    <row r="1431">
      <c r="A1431" s="107">
        <f>IFERROR(__xludf.DUMMYFUNCTION("""COMPUTED_VALUE"""),45689.0)</f>
        <v>45689</v>
      </c>
      <c r="B1431" t="str">
        <f>IFERROR(__xludf.DUMMYFUNCTION("""COMPUTED_VALUE"""),"費用 - 匯費 對方行:700 後五碼:92128")</f>
        <v>費用 - 匯費 對方行:700 後五碼:92128</v>
      </c>
      <c r="C1431" t="str">
        <f>IFERROR(__xludf.DUMMYFUNCTION("""COMPUTED_VALUE"""),"費用 - 匯費")</f>
        <v>費用 - 匯費</v>
      </c>
      <c r="D1431" s="270">
        <f>IFERROR(__xludf.DUMMYFUNCTION("""COMPUTED_VALUE"""),-15.0)</f>
        <v>-15</v>
      </c>
      <c r="E1431" t="str">
        <f>IFERROR(__xludf.DUMMYFUNCTION("""COMPUTED_VALUE"""),"台銀籌備帳戶")</f>
        <v>台銀籌備帳戶</v>
      </c>
      <c r="G1431" t="str">
        <f>IFERROR(__xludf.DUMMYFUNCTION("""COMPUTED_VALUE"""),"哈拉對面")</f>
        <v>哈拉對面</v>
      </c>
      <c r="H1431" s="106" t="str">
        <f t="shared" si="1"/>
        <v>2025-02</v>
      </c>
      <c r="I1431" s="271" t="str">
        <f>IFERROR(__xludf.DUMMYFUNCTION("""COMPUTED_VALUE"""),"貓狗企鵝")</f>
        <v>貓狗企鵝</v>
      </c>
      <c r="J1431" t="str">
        <f>IFERROR(__xludf.DUMMYFUNCTION("IFS(
  AND(REGEXMATCH(E1431, ""台銀籌備帳戶|玉山帳戶""), REGEXMATCH(C1431, ""薪資"")), ""分潤支出"",
  AND(REGEXMATCH(E1431, ""Ben帳戶|Elsa帳戶|Ben代墊|Ariel代墊|中信銀行共用""), REGEXMATCH(F1431, ""Ben帳戶|Elsa帳戶|Ben代墊|Ariel代墊|中信銀行共用"")), ""內部轉帳(忽略)"",
  AND(E1431&lt;&gt;"""", F1431&lt;&gt;"""", N"&amp;"OT(REGEXMATCH(C1431, ""薪資""))), ""內部轉帳(忽略)"",
  REGEXMATCH(C1431, ""薪資""), ""薪資變動(不計入)"",
  REGEXMATCH(C1431, ""押金""), ""押金往來"",
  AND(E1431&lt;&gt;"""", F1431=""""), ""真實支出"",
  AND(E1431="""", F1431&lt;&gt;""""), ""真實收入"",
  TRUE, ""其他""
)"),"真實支出")</f>
        <v>真實支出</v>
      </c>
      <c r="K1431" s="270">
        <f t="shared" si="2"/>
        <v>-15</v>
      </c>
      <c r="L1431">
        <f t="shared" si="3"/>
        <v>0</v>
      </c>
    </row>
    <row r="1432">
      <c r="A1432" s="107">
        <f>IFERROR(__xludf.DUMMYFUNCTION("""COMPUTED_VALUE"""),45689.0)</f>
        <v>45689</v>
      </c>
      <c r="B1432" t="str">
        <f>IFERROR(__xludf.DUMMYFUNCTION("""COMPUTED_VALUE"""),"[北醫醫師府] [陳俊良] 大租金")</f>
        <v>[北醫醫師府] [陳俊良] 大租金</v>
      </c>
      <c r="C1432" t="str">
        <f>IFERROR(__xludf.DUMMYFUNCTION("""COMPUTED_VALUE"""),"成本 - 大租金")</f>
        <v>成本 - 大租金</v>
      </c>
      <c r="D1432" s="270">
        <f>IFERROR(__xludf.DUMMYFUNCTION("""COMPUTED_VALUE"""),-12800.0)</f>
        <v>-12800</v>
      </c>
      <c r="E1432" t="str">
        <f>IFERROR(__xludf.DUMMYFUNCTION("""COMPUTED_VALUE"""),"台銀籌備帳戶")</f>
        <v>台銀籌備帳戶</v>
      </c>
      <c r="G1432" t="str">
        <f>IFERROR(__xludf.DUMMYFUNCTION("""COMPUTED_VALUE"""),"北醫醫師府")</f>
        <v>北醫醫師府</v>
      </c>
      <c r="H1432" s="106" t="str">
        <f t="shared" si="1"/>
        <v>2025-02</v>
      </c>
      <c r="I1432" s="271" t="str">
        <f>IFERROR(__xludf.DUMMYFUNCTION("""COMPUTED_VALUE"""),"貓狗企鵝")</f>
        <v>貓狗企鵝</v>
      </c>
      <c r="J1432" t="str">
        <f>IFERROR(__xludf.DUMMYFUNCTION("IFS(
  AND(REGEXMATCH(E1432, ""台銀籌備帳戶|玉山帳戶""), REGEXMATCH(C1432, ""薪資"")), ""分潤支出"",
  AND(REGEXMATCH(E1432, ""Ben帳戶|Elsa帳戶|Ben代墊|Ariel代墊|中信銀行共用""), REGEXMATCH(F1432, ""Ben帳戶|Elsa帳戶|Ben代墊|Ariel代墊|中信銀行共用"")), ""內部轉帳(忽略)"",
  AND(E1432&lt;&gt;"""", F1432&lt;&gt;"""", N"&amp;"OT(REGEXMATCH(C1432, ""薪資""))), ""內部轉帳(忽略)"",
  REGEXMATCH(C1432, ""薪資""), ""薪資變動(不計入)"",
  REGEXMATCH(C1432, ""押金""), ""押金往來"",
  AND(E1432&lt;&gt;"""", F1432=""""), ""真實支出"",
  AND(E1432="""", F1432&lt;&gt;""""), ""真實收入"",
  TRUE, ""其他""
)"),"真實支出")</f>
        <v>真實支出</v>
      </c>
      <c r="K1432" s="270">
        <f t="shared" si="2"/>
        <v>-12800</v>
      </c>
      <c r="L1432">
        <f t="shared" si="3"/>
        <v>0</v>
      </c>
    </row>
    <row r="1433">
      <c r="A1433" s="107">
        <f>IFERROR(__xludf.DUMMYFUNCTION("""COMPUTED_VALUE"""),45689.0)</f>
        <v>45689</v>
      </c>
      <c r="B1433" t="str">
        <f>IFERROR(__xludf.DUMMYFUNCTION("""COMPUTED_VALUE"""),"費用 - 匯費 對方行:013 後五碼:43662")</f>
        <v>費用 - 匯費 對方行:013 後五碼:43662</v>
      </c>
      <c r="C1433" t="str">
        <f>IFERROR(__xludf.DUMMYFUNCTION("""COMPUTED_VALUE"""),"費用 - 匯費")</f>
        <v>費用 - 匯費</v>
      </c>
      <c r="D1433" s="270">
        <f>IFERROR(__xludf.DUMMYFUNCTION("""COMPUTED_VALUE"""),-15.0)</f>
        <v>-15</v>
      </c>
      <c r="E1433" t="str">
        <f>IFERROR(__xludf.DUMMYFUNCTION("""COMPUTED_VALUE"""),"台銀籌備帳戶")</f>
        <v>台銀籌備帳戶</v>
      </c>
      <c r="G1433" t="str">
        <f>IFERROR(__xludf.DUMMYFUNCTION("""COMPUTED_VALUE"""),"北醫醫師府")</f>
        <v>北醫醫師府</v>
      </c>
      <c r="H1433" s="106" t="str">
        <f t="shared" si="1"/>
        <v>2025-02</v>
      </c>
      <c r="I1433" s="271" t="str">
        <f>IFERROR(__xludf.DUMMYFUNCTION("""COMPUTED_VALUE"""),"貓狗企鵝")</f>
        <v>貓狗企鵝</v>
      </c>
      <c r="J1433" t="str">
        <f>IFERROR(__xludf.DUMMYFUNCTION("IFS(
  AND(REGEXMATCH(E1433, ""台銀籌備帳戶|玉山帳戶""), REGEXMATCH(C1433, ""薪資"")), ""分潤支出"",
  AND(REGEXMATCH(E1433, ""Ben帳戶|Elsa帳戶|Ben代墊|Ariel代墊|中信銀行共用""), REGEXMATCH(F1433, ""Ben帳戶|Elsa帳戶|Ben代墊|Ariel代墊|中信銀行共用"")), ""內部轉帳(忽略)"",
  AND(E1433&lt;&gt;"""", F1433&lt;&gt;"""", N"&amp;"OT(REGEXMATCH(C1433, ""薪資""))), ""內部轉帳(忽略)"",
  REGEXMATCH(C1433, ""薪資""), ""薪資變動(不計入)"",
  REGEXMATCH(C1433, ""押金""), ""押金往來"",
  AND(E1433&lt;&gt;"""", F1433=""""), ""真實支出"",
  AND(E1433="""", F1433&lt;&gt;""""), ""真實收入"",
  TRUE, ""其他""
)"),"真實支出")</f>
        <v>真實支出</v>
      </c>
      <c r="K1433" s="270">
        <f t="shared" si="2"/>
        <v>-15</v>
      </c>
      <c r="L1433">
        <f t="shared" si="3"/>
        <v>0</v>
      </c>
    </row>
    <row r="1434">
      <c r="A1434" s="107">
        <f>IFERROR(__xludf.DUMMYFUNCTION("""COMPUTED_VALUE"""),45689.0)</f>
        <v>45689</v>
      </c>
      <c r="B1434" t="str">
        <f>IFERROR(__xludf.DUMMYFUNCTION("""COMPUTED_VALUE"""),"[中山北娘家旁] [方彥捷] 大租金")</f>
        <v>[中山北娘家旁] [方彥捷] 大租金</v>
      </c>
      <c r="C1434" t="str">
        <f>IFERROR(__xludf.DUMMYFUNCTION("""COMPUTED_VALUE"""),"成本 - 大租金")</f>
        <v>成本 - 大租金</v>
      </c>
      <c r="D1434" s="270">
        <f>IFERROR(__xludf.DUMMYFUNCTION("""COMPUTED_VALUE"""),-11500.0)</f>
        <v>-11500</v>
      </c>
      <c r="E1434" t="str">
        <f>IFERROR(__xludf.DUMMYFUNCTION("""COMPUTED_VALUE"""),"台銀籌備帳戶")</f>
        <v>台銀籌備帳戶</v>
      </c>
      <c r="G1434" t="str">
        <f>IFERROR(__xludf.DUMMYFUNCTION("""COMPUTED_VALUE"""),"中山北娘家旁")</f>
        <v>中山北娘家旁</v>
      </c>
      <c r="H1434" s="106" t="str">
        <f t="shared" si="1"/>
        <v>2025-02</v>
      </c>
      <c r="I1434" s="271" t="str">
        <f>IFERROR(__xludf.DUMMYFUNCTION("""COMPUTED_VALUE"""),"貓狗企鵝")</f>
        <v>貓狗企鵝</v>
      </c>
      <c r="J1434" t="str">
        <f>IFERROR(__xludf.DUMMYFUNCTION("IFS(
  AND(REGEXMATCH(E1434, ""台銀籌備帳戶|玉山帳戶""), REGEXMATCH(C1434, ""薪資"")), ""分潤支出"",
  AND(REGEXMATCH(E1434, ""Ben帳戶|Elsa帳戶|Ben代墊|Ariel代墊|中信銀行共用""), REGEXMATCH(F1434, ""Ben帳戶|Elsa帳戶|Ben代墊|Ariel代墊|中信銀行共用"")), ""內部轉帳(忽略)"",
  AND(E1434&lt;&gt;"""", F1434&lt;&gt;"""", N"&amp;"OT(REGEXMATCH(C1434, ""薪資""))), ""內部轉帳(忽略)"",
  REGEXMATCH(C1434, ""薪資""), ""薪資變動(不計入)"",
  REGEXMATCH(C1434, ""押金""), ""押金往來"",
  AND(E1434&lt;&gt;"""", F1434=""""), ""真實支出"",
  AND(E1434="""", F1434&lt;&gt;""""), ""真實收入"",
  TRUE, ""其他""
)"),"真實支出")</f>
        <v>真實支出</v>
      </c>
      <c r="K1434" s="270">
        <f t="shared" si="2"/>
        <v>-11500</v>
      </c>
      <c r="L1434">
        <f t="shared" si="3"/>
        <v>0</v>
      </c>
    </row>
    <row r="1435">
      <c r="A1435" s="107">
        <f>IFERROR(__xludf.DUMMYFUNCTION("""COMPUTED_VALUE"""),45681.0)</f>
        <v>45681</v>
      </c>
      <c r="B1435" t="str">
        <f>IFERROR(__xludf.DUMMYFUNCTION("""COMPUTED_VALUE"""),"[龍江229] A [莊美娟] 月租金")</f>
        <v>[龍江229] A [莊美娟] 月租金</v>
      </c>
      <c r="C1435" t="str">
        <f>IFERROR(__xludf.DUMMYFUNCTION("""COMPUTED_VALUE"""),"收入 - 租金")</f>
        <v>收入 - 租金</v>
      </c>
      <c r="D1435" s="270">
        <f>IFERROR(__xludf.DUMMYFUNCTION("""COMPUTED_VALUE"""),12800.0)</f>
        <v>12800</v>
      </c>
      <c r="F1435" t="str">
        <f>IFERROR(__xludf.DUMMYFUNCTION("""COMPUTED_VALUE"""),"台銀籌備帳戶")</f>
        <v>台銀籌備帳戶</v>
      </c>
      <c r="G1435" t="str">
        <f>IFERROR(__xludf.DUMMYFUNCTION("""COMPUTED_VALUE"""),"龍江229")</f>
        <v>龍江229</v>
      </c>
      <c r="H1435" s="106" t="str">
        <f t="shared" si="1"/>
        <v>2025-01</v>
      </c>
      <c r="I1435" s="271" t="str">
        <f>IFERROR(__xludf.DUMMYFUNCTION("""COMPUTED_VALUE"""),"貓狗企鵝")</f>
        <v>貓狗企鵝</v>
      </c>
      <c r="J1435" t="str">
        <f>IFERROR(__xludf.DUMMYFUNCTION("IFS(
  AND(REGEXMATCH(E1435, ""台銀籌備帳戶|玉山帳戶""), REGEXMATCH(C1435, ""薪資"")), ""分潤支出"",
  AND(REGEXMATCH(E1435, ""Ben帳戶|Elsa帳戶|Ben代墊|Ariel代墊|中信銀行共用""), REGEXMATCH(F1435, ""Ben帳戶|Elsa帳戶|Ben代墊|Ariel代墊|中信銀行共用"")), ""內部轉帳(忽略)"",
  AND(E1435&lt;&gt;"""", F1435&lt;&gt;"""", N"&amp;"OT(REGEXMATCH(C1435, ""薪資""))), ""內部轉帳(忽略)"",
  REGEXMATCH(C1435, ""薪資""), ""薪資變動(不計入)"",
  REGEXMATCH(C1435, ""押金""), ""押金往來"",
  AND(E1435&lt;&gt;"""", F1435=""""), ""真實支出"",
  AND(E1435="""", F1435&lt;&gt;""""), ""真實收入"",
  TRUE, ""其他""
)"),"真實收入")</f>
        <v>真實收入</v>
      </c>
      <c r="K1435" s="270">
        <f t="shared" si="2"/>
        <v>12800</v>
      </c>
      <c r="L1435">
        <f t="shared" si="3"/>
        <v>0</v>
      </c>
    </row>
    <row r="1436">
      <c r="A1436" s="107">
        <f>IFERROR(__xludf.DUMMYFUNCTION("""COMPUTED_VALUE"""),45681.0)</f>
        <v>45681</v>
      </c>
      <c r="B1436" t="str">
        <f>IFERROR(__xludf.DUMMYFUNCTION("""COMPUTED_VALUE"""),"[大湖山莊] F [吳智方, 蘇婉彤] 月租金")</f>
        <v>[大湖山莊] F [吳智方, 蘇婉彤] 月租金</v>
      </c>
      <c r="C1436" t="str">
        <f>IFERROR(__xludf.DUMMYFUNCTION("""COMPUTED_VALUE"""),"收入 - 租金")</f>
        <v>收入 - 租金</v>
      </c>
      <c r="D1436" s="270">
        <f>IFERROR(__xludf.DUMMYFUNCTION("""COMPUTED_VALUE"""),18000.0)</f>
        <v>18000</v>
      </c>
      <c r="F1436" t="str">
        <f>IFERROR(__xludf.DUMMYFUNCTION("""COMPUTED_VALUE"""),"台銀籌備帳戶")</f>
        <v>台銀籌備帳戶</v>
      </c>
      <c r="G1436" t="str">
        <f>IFERROR(__xludf.DUMMYFUNCTION("""COMPUTED_VALUE"""),"大湖山莊")</f>
        <v>大湖山莊</v>
      </c>
      <c r="H1436" s="106" t="str">
        <f t="shared" si="1"/>
        <v>2025-01</v>
      </c>
      <c r="I1436" s="271" t="str">
        <f>IFERROR(__xludf.DUMMYFUNCTION("""COMPUTED_VALUE"""),"貓狗企鵝")</f>
        <v>貓狗企鵝</v>
      </c>
      <c r="J1436" t="str">
        <f>IFERROR(__xludf.DUMMYFUNCTION("IFS(
  AND(REGEXMATCH(E1436, ""台銀籌備帳戶|玉山帳戶""), REGEXMATCH(C1436, ""薪資"")), ""分潤支出"",
  AND(REGEXMATCH(E1436, ""Ben帳戶|Elsa帳戶|Ben代墊|Ariel代墊|中信銀行共用""), REGEXMATCH(F1436, ""Ben帳戶|Elsa帳戶|Ben代墊|Ariel代墊|中信銀行共用"")), ""內部轉帳(忽略)"",
  AND(E1436&lt;&gt;"""", F1436&lt;&gt;"""", N"&amp;"OT(REGEXMATCH(C1436, ""薪資""))), ""內部轉帳(忽略)"",
  REGEXMATCH(C1436, ""薪資""), ""薪資變動(不計入)"",
  REGEXMATCH(C1436, ""押金""), ""押金往來"",
  AND(E1436&lt;&gt;"""", F1436=""""), ""真實支出"",
  AND(E1436="""", F1436&lt;&gt;""""), ""真實收入"",
  TRUE, ""其他""
)"),"真實收入")</f>
        <v>真實收入</v>
      </c>
      <c r="K1436" s="270">
        <f t="shared" si="2"/>
        <v>18000</v>
      </c>
      <c r="L1436">
        <f t="shared" si="3"/>
        <v>0</v>
      </c>
    </row>
    <row r="1437">
      <c r="A1437" s="107">
        <f>IFERROR(__xludf.DUMMYFUNCTION("""COMPUTED_VALUE"""),45682.0)</f>
        <v>45682</v>
      </c>
      <c r="B1437" t="str">
        <f>IFERROR(__xludf.DUMMYFUNCTION("""COMPUTED_VALUE"""),"[哈拉對面] D [柳翰洋] 月租金")</f>
        <v>[哈拉對面] D [柳翰洋] 月租金</v>
      </c>
      <c r="C1437" t="str">
        <f>IFERROR(__xludf.DUMMYFUNCTION("""COMPUTED_VALUE"""),"收入 - 租金")</f>
        <v>收入 - 租金</v>
      </c>
      <c r="D1437" s="270">
        <f>IFERROR(__xludf.DUMMYFUNCTION("""COMPUTED_VALUE"""),12300.0)</f>
        <v>12300</v>
      </c>
      <c r="F1437" t="str">
        <f>IFERROR(__xludf.DUMMYFUNCTION("""COMPUTED_VALUE"""),"台銀籌備帳戶")</f>
        <v>台銀籌備帳戶</v>
      </c>
      <c r="G1437" t="str">
        <f>IFERROR(__xludf.DUMMYFUNCTION("""COMPUTED_VALUE"""),"哈拉對面")</f>
        <v>哈拉對面</v>
      </c>
      <c r="H1437" s="106" t="str">
        <f t="shared" si="1"/>
        <v>2025-01</v>
      </c>
      <c r="I1437" s="271" t="str">
        <f>IFERROR(__xludf.DUMMYFUNCTION("""COMPUTED_VALUE"""),"貓狗企鵝")</f>
        <v>貓狗企鵝</v>
      </c>
      <c r="J1437" t="str">
        <f>IFERROR(__xludf.DUMMYFUNCTION("IFS(
  AND(REGEXMATCH(E1437, ""台銀籌備帳戶|玉山帳戶""), REGEXMATCH(C1437, ""薪資"")), ""分潤支出"",
  AND(REGEXMATCH(E1437, ""Ben帳戶|Elsa帳戶|Ben代墊|Ariel代墊|中信銀行共用""), REGEXMATCH(F1437, ""Ben帳戶|Elsa帳戶|Ben代墊|Ariel代墊|中信銀行共用"")), ""內部轉帳(忽略)"",
  AND(E1437&lt;&gt;"""", F1437&lt;&gt;"""", N"&amp;"OT(REGEXMATCH(C1437, ""薪資""))), ""內部轉帳(忽略)"",
  REGEXMATCH(C1437, ""薪資""), ""薪資變動(不計入)"",
  REGEXMATCH(C1437, ""押金""), ""押金往來"",
  AND(E1437&lt;&gt;"""", F1437=""""), ""真實支出"",
  AND(E1437="""", F1437&lt;&gt;""""), ""真實收入"",
  TRUE, ""其他""
)"),"真實收入")</f>
        <v>真實收入</v>
      </c>
      <c r="K1437" s="270">
        <f t="shared" si="2"/>
        <v>12300</v>
      </c>
      <c r="L1437">
        <f t="shared" si="3"/>
        <v>0</v>
      </c>
    </row>
    <row r="1438">
      <c r="A1438" s="107">
        <f>IFERROR(__xludf.DUMMYFUNCTION("""COMPUTED_VALUE"""),45684.0)</f>
        <v>45684</v>
      </c>
      <c r="B1438" t="str">
        <f>IFERROR(__xludf.DUMMYFUNCTION("""COMPUTED_VALUE"""),"[南港站挑高宅] B [林鍇蓓] 月租金")</f>
        <v>[南港站挑高宅] B [林鍇蓓] 月租金</v>
      </c>
      <c r="C1438" t="str">
        <f>IFERROR(__xludf.DUMMYFUNCTION("""COMPUTED_VALUE"""),"收入 - 租金")</f>
        <v>收入 - 租金</v>
      </c>
      <c r="D1438" s="270">
        <f>IFERROR(__xludf.DUMMYFUNCTION("""COMPUTED_VALUE"""),12300.0)</f>
        <v>12300</v>
      </c>
      <c r="F1438" t="str">
        <f>IFERROR(__xludf.DUMMYFUNCTION("""COMPUTED_VALUE"""),"台銀籌備帳戶")</f>
        <v>台銀籌備帳戶</v>
      </c>
      <c r="G1438" t="str">
        <f>IFERROR(__xludf.DUMMYFUNCTION("""COMPUTED_VALUE"""),"南港站挑高宅")</f>
        <v>南港站挑高宅</v>
      </c>
      <c r="H1438" s="106" t="str">
        <f t="shared" si="1"/>
        <v>2025-01</v>
      </c>
      <c r="I1438" s="271" t="str">
        <f>IFERROR(__xludf.DUMMYFUNCTION("""COMPUTED_VALUE"""),"貓狗企鵝")</f>
        <v>貓狗企鵝</v>
      </c>
      <c r="J1438" t="str">
        <f>IFERROR(__xludf.DUMMYFUNCTION("IFS(
  AND(REGEXMATCH(E1438, ""台銀籌備帳戶|玉山帳戶""), REGEXMATCH(C1438, ""薪資"")), ""分潤支出"",
  AND(REGEXMATCH(E1438, ""Ben帳戶|Elsa帳戶|Ben代墊|Ariel代墊|中信銀行共用""), REGEXMATCH(F1438, ""Ben帳戶|Elsa帳戶|Ben代墊|Ariel代墊|中信銀行共用"")), ""內部轉帳(忽略)"",
  AND(E1438&lt;&gt;"""", F1438&lt;&gt;"""", N"&amp;"OT(REGEXMATCH(C1438, ""薪資""))), ""內部轉帳(忽略)"",
  REGEXMATCH(C1438, ""薪資""), ""薪資變動(不計入)"",
  REGEXMATCH(C1438, ""押金""), ""押金往來"",
  AND(E1438&lt;&gt;"""", F1438=""""), ""真實支出"",
  AND(E1438="""", F1438&lt;&gt;""""), ""真實收入"",
  TRUE, ""其他""
)"),"真實收入")</f>
        <v>真實收入</v>
      </c>
      <c r="K1438" s="270">
        <f t="shared" si="2"/>
        <v>12300</v>
      </c>
      <c r="L1438">
        <f t="shared" si="3"/>
        <v>0</v>
      </c>
    </row>
    <row r="1439">
      <c r="A1439" s="107">
        <f>IFERROR(__xludf.DUMMYFUNCTION("""COMPUTED_VALUE"""),45685.0)</f>
        <v>45685</v>
      </c>
      <c r="B1439" t="str">
        <f>IFERROR(__xludf.DUMMYFUNCTION("""COMPUTED_VALUE"""),"[景安2分鐘] B [張語婕, 張依憑] 月租金")</f>
        <v>[景安2分鐘] B [張語婕, 張依憑] 月租金</v>
      </c>
      <c r="C1439" t="str">
        <f>IFERROR(__xludf.DUMMYFUNCTION("""COMPUTED_VALUE"""),"收入 - 租金")</f>
        <v>收入 - 租金</v>
      </c>
      <c r="D1439" s="270">
        <f>IFERROR(__xludf.DUMMYFUNCTION("""COMPUTED_VALUE"""),18800.0)</f>
        <v>18800</v>
      </c>
      <c r="F1439" t="str">
        <f>IFERROR(__xludf.DUMMYFUNCTION("""COMPUTED_VALUE"""),"台銀籌備帳戶")</f>
        <v>台銀籌備帳戶</v>
      </c>
      <c r="G1439" t="str">
        <f>IFERROR(__xludf.DUMMYFUNCTION("""COMPUTED_VALUE"""),"景安2分鐘")</f>
        <v>景安2分鐘</v>
      </c>
      <c r="H1439" s="106" t="str">
        <f t="shared" si="1"/>
        <v>2025-01</v>
      </c>
      <c r="I1439" s="271" t="str">
        <f>IFERROR(__xludf.DUMMYFUNCTION("""COMPUTED_VALUE"""),"貓狗企鵝")</f>
        <v>貓狗企鵝</v>
      </c>
      <c r="J1439" t="str">
        <f>IFERROR(__xludf.DUMMYFUNCTION("IFS(
  AND(REGEXMATCH(E1439, ""台銀籌備帳戶|玉山帳戶""), REGEXMATCH(C1439, ""薪資"")), ""分潤支出"",
  AND(REGEXMATCH(E1439, ""Ben帳戶|Elsa帳戶|Ben代墊|Ariel代墊|中信銀行共用""), REGEXMATCH(F1439, ""Ben帳戶|Elsa帳戶|Ben代墊|Ariel代墊|中信銀行共用"")), ""內部轉帳(忽略)"",
  AND(E1439&lt;&gt;"""", F1439&lt;&gt;"""", N"&amp;"OT(REGEXMATCH(C1439, ""薪資""))), ""內部轉帳(忽略)"",
  REGEXMATCH(C1439, ""薪資""), ""薪資變動(不計入)"",
  REGEXMATCH(C1439, ""押金""), ""押金往來"",
  AND(E1439&lt;&gt;"""", F1439=""""), ""真實支出"",
  AND(E1439="""", F1439&lt;&gt;""""), ""真實收入"",
  TRUE, ""其他""
)"),"真實收入")</f>
        <v>真實收入</v>
      </c>
      <c r="K1439" s="270">
        <f t="shared" si="2"/>
        <v>18800</v>
      </c>
      <c r="L1439">
        <f t="shared" si="3"/>
        <v>0</v>
      </c>
    </row>
    <row r="1440">
      <c r="A1440" s="107">
        <f>IFERROR(__xludf.DUMMYFUNCTION("""COMPUTED_VALUE"""),45686.0)</f>
        <v>45686</v>
      </c>
      <c r="B1440" t="str">
        <f>IFERROR(__xludf.DUMMYFUNCTION("""COMPUTED_VALUE"""),"[大湖山莊] B [施惠卿] 月租金")</f>
        <v>[大湖山莊] B [施惠卿] 月租金</v>
      </c>
      <c r="C1440" t="str">
        <f>IFERROR(__xludf.DUMMYFUNCTION("""COMPUTED_VALUE"""),"收入 - 租金")</f>
        <v>收入 - 租金</v>
      </c>
      <c r="D1440" s="270">
        <f>IFERROR(__xludf.DUMMYFUNCTION("""COMPUTED_VALUE"""),12800.0)</f>
        <v>12800</v>
      </c>
      <c r="F1440" t="str">
        <f>IFERROR(__xludf.DUMMYFUNCTION("""COMPUTED_VALUE"""),"台銀籌備帳戶")</f>
        <v>台銀籌備帳戶</v>
      </c>
      <c r="G1440" t="str">
        <f>IFERROR(__xludf.DUMMYFUNCTION("""COMPUTED_VALUE"""),"大湖山莊")</f>
        <v>大湖山莊</v>
      </c>
      <c r="H1440" s="106" t="str">
        <f t="shared" si="1"/>
        <v>2025-01</v>
      </c>
      <c r="I1440" s="271" t="str">
        <f>IFERROR(__xludf.DUMMYFUNCTION("""COMPUTED_VALUE"""),"貓狗企鵝")</f>
        <v>貓狗企鵝</v>
      </c>
      <c r="J1440" t="str">
        <f>IFERROR(__xludf.DUMMYFUNCTION("IFS(
  AND(REGEXMATCH(E1440, ""台銀籌備帳戶|玉山帳戶""), REGEXMATCH(C1440, ""薪資"")), ""分潤支出"",
  AND(REGEXMATCH(E1440, ""Ben帳戶|Elsa帳戶|Ben代墊|Ariel代墊|中信銀行共用""), REGEXMATCH(F1440, ""Ben帳戶|Elsa帳戶|Ben代墊|Ariel代墊|中信銀行共用"")), ""內部轉帳(忽略)"",
  AND(E1440&lt;&gt;"""", F1440&lt;&gt;"""", N"&amp;"OT(REGEXMATCH(C1440, ""薪資""))), ""內部轉帳(忽略)"",
  REGEXMATCH(C1440, ""薪資""), ""薪資變動(不計入)"",
  REGEXMATCH(C1440, ""押金""), ""押金往來"",
  AND(E1440&lt;&gt;"""", F1440=""""), ""真實支出"",
  AND(E1440="""", F1440&lt;&gt;""""), ""真實收入"",
  TRUE, ""其他""
)"),"真實收入")</f>
        <v>真實收入</v>
      </c>
      <c r="K1440" s="270">
        <f t="shared" si="2"/>
        <v>12800</v>
      </c>
      <c r="L1440">
        <f t="shared" si="3"/>
        <v>0</v>
      </c>
    </row>
    <row r="1441">
      <c r="A1441" s="107">
        <f>IFERROR(__xludf.DUMMYFUNCTION("""COMPUTED_VALUE"""),45687.0)</f>
        <v>45687</v>
      </c>
      <c r="B1441" t="str">
        <f>IFERROR(__xludf.DUMMYFUNCTION("""COMPUTED_VALUE"""),"[哈拉對面] C [徐鉦庭] 月租金")</f>
        <v>[哈拉對面] C [徐鉦庭] 月租金</v>
      </c>
      <c r="C1441" t="str">
        <f>IFERROR(__xludf.DUMMYFUNCTION("""COMPUTED_VALUE"""),"收入 - 租金")</f>
        <v>收入 - 租金</v>
      </c>
      <c r="D1441" s="270">
        <f>IFERROR(__xludf.DUMMYFUNCTION("""COMPUTED_VALUE"""),11800.0)</f>
        <v>11800</v>
      </c>
      <c r="F1441" t="str">
        <f>IFERROR(__xludf.DUMMYFUNCTION("""COMPUTED_VALUE"""),"台銀籌備帳戶")</f>
        <v>台銀籌備帳戶</v>
      </c>
      <c r="G1441" t="str">
        <f>IFERROR(__xludf.DUMMYFUNCTION("""COMPUTED_VALUE"""),"哈拉對面")</f>
        <v>哈拉對面</v>
      </c>
      <c r="H1441" s="106" t="str">
        <f t="shared" si="1"/>
        <v>2025-01</v>
      </c>
      <c r="I1441" s="271" t="str">
        <f>IFERROR(__xludf.DUMMYFUNCTION("""COMPUTED_VALUE"""),"貓狗企鵝")</f>
        <v>貓狗企鵝</v>
      </c>
      <c r="J1441" t="str">
        <f>IFERROR(__xludf.DUMMYFUNCTION("IFS(
  AND(REGEXMATCH(E1441, ""台銀籌備帳戶|玉山帳戶""), REGEXMATCH(C1441, ""薪資"")), ""分潤支出"",
  AND(REGEXMATCH(E1441, ""Ben帳戶|Elsa帳戶|Ben代墊|Ariel代墊|中信銀行共用""), REGEXMATCH(F1441, ""Ben帳戶|Elsa帳戶|Ben代墊|Ariel代墊|中信銀行共用"")), ""內部轉帳(忽略)"",
  AND(E1441&lt;&gt;"""", F1441&lt;&gt;"""", N"&amp;"OT(REGEXMATCH(C1441, ""薪資""))), ""內部轉帳(忽略)"",
  REGEXMATCH(C1441, ""薪資""), ""薪資變動(不計入)"",
  REGEXMATCH(C1441, ""押金""), ""押金往來"",
  AND(E1441&lt;&gt;"""", F1441=""""), ""真實支出"",
  AND(E1441="""", F1441&lt;&gt;""""), ""真實收入"",
  TRUE, ""其他""
)"),"真實收入")</f>
        <v>真實收入</v>
      </c>
      <c r="K1441" s="270">
        <f t="shared" si="2"/>
        <v>11800</v>
      </c>
      <c r="L1441">
        <f t="shared" si="3"/>
        <v>0</v>
      </c>
    </row>
    <row r="1442">
      <c r="A1442" s="107">
        <f>IFERROR(__xludf.DUMMYFUNCTION("""COMPUTED_VALUE"""),45688.0)</f>
        <v>45688</v>
      </c>
      <c r="B1442" t="str">
        <f>IFERROR(__xludf.DUMMYFUNCTION("""COMPUTED_VALUE"""),"[金龍帽子先生] A [何佩勳] 月租金")</f>
        <v>[金龍帽子先生] A [何佩勳] 月租金</v>
      </c>
      <c r="C1442" t="str">
        <f>IFERROR(__xludf.DUMMYFUNCTION("""COMPUTED_VALUE"""),"收入 - 租金")</f>
        <v>收入 - 租金</v>
      </c>
      <c r="D1442" s="270">
        <f>IFERROR(__xludf.DUMMYFUNCTION("""COMPUTED_VALUE"""),17200.0)</f>
        <v>17200</v>
      </c>
      <c r="F1442" t="str">
        <f>IFERROR(__xludf.DUMMYFUNCTION("""COMPUTED_VALUE"""),"台銀籌備帳戶")</f>
        <v>台銀籌備帳戶</v>
      </c>
      <c r="G1442" t="str">
        <f>IFERROR(__xludf.DUMMYFUNCTION("""COMPUTED_VALUE"""),"金龍帽子先生")</f>
        <v>金龍帽子先生</v>
      </c>
      <c r="H1442" s="106" t="str">
        <f t="shared" si="1"/>
        <v>2025-01</v>
      </c>
      <c r="I1442" s="271" t="str">
        <f>IFERROR(__xludf.DUMMYFUNCTION("""COMPUTED_VALUE"""),"貓狗企鵝")</f>
        <v>貓狗企鵝</v>
      </c>
      <c r="J1442" t="str">
        <f>IFERROR(__xludf.DUMMYFUNCTION("IFS(
  AND(REGEXMATCH(E1442, ""台銀籌備帳戶|玉山帳戶""), REGEXMATCH(C1442, ""薪資"")), ""分潤支出"",
  AND(REGEXMATCH(E1442, ""Ben帳戶|Elsa帳戶|Ben代墊|Ariel代墊|中信銀行共用""), REGEXMATCH(F1442, ""Ben帳戶|Elsa帳戶|Ben代墊|Ariel代墊|中信銀行共用"")), ""內部轉帳(忽略)"",
  AND(E1442&lt;&gt;"""", F1442&lt;&gt;"""", N"&amp;"OT(REGEXMATCH(C1442, ""薪資""))), ""內部轉帳(忽略)"",
  REGEXMATCH(C1442, ""薪資""), ""薪資變動(不計入)"",
  REGEXMATCH(C1442, ""押金""), ""押金往來"",
  AND(E1442&lt;&gt;"""", F1442=""""), ""真實支出"",
  AND(E1442="""", F1442&lt;&gt;""""), ""真實收入"",
  TRUE, ""其他""
)"),"真實收入")</f>
        <v>真實收入</v>
      </c>
      <c r="K1442" s="270">
        <f t="shared" si="2"/>
        <v>17200</v>
      </c>
      <c r="L1442">
        <f t="shared" si="3"/>
        <v>0</v>
      </c>
    </row>
    <row r="1443">
      <c r="A1443" s="107">
        <f>IFERROR(__xludf.DUMMYFUNCTION("""COMPUTED_VALUE"""),45688.0)</f>
        <v>45688</v>
      </c>
      <c r="B1443" t="str">
        <f>IFERROR(__xludf.DUMMYFUNCTION("""COMPUTED_VALUE"""),"[景安2分鐘] D [鍾佩晶] 月租金")</f>
        <v>[景安2分鐘] D [鍾佩晶] 月租金</v>
      </c>
      <c r="C1443" t="str">
        <f>IFERROR(__xludf.DUMMYFUNCTION("""COMPUTED_VALUE"""),"收入 - 租金")</f>
        <v>收入 - 租金</v>
      </c>
      <c r="D1443" s="270">
        <f>IFERROR(__xludf.DUMMYFUNCTION("""COMPUTED_VALUE"""),8600.0)</f>
        <v>8600</v>
      </c>
      <c r="F1443" t="str">
        <f>IFERROR(__xludf.DUMMYFUNCTION("""COMPUTED_VALUE"""),"台銀籌備帳戶")</f>
        <v>台銀籌備帳戶</v>
      </c>
      <c r="G1443" t="str">
        <f>IFERROR(__xludf.DUMMYFUNCTION("""COMPUTED_VALUE"""),"景安2分鐘")</f>
        <v>景安2分鐘</v>
      </c>
      <c r="H1443" s="106" t="str">
        <f t="shared" si="1"/>
        <v>2025-01</v>
      </c>
      <c r="I1443" s="271" t="str">
        <f>IFERROR(__xludf.DUMMYFUNCTION("""COMPUTED_VALUE"""),"貓狗企鵝")</f>
        <v>貓狗企鵝</v>
      </c>
      <c r="J1443" t="str">
        <f>IFERROR(__xludf.DUMMYFUNCTION("IFS(
  AND(REGEXMATCH(E1443, ""台銀籌備帳戶|玉山帳戶""), REGEXMATCH(C1443, ""薪資"")), ""分潤支出"",
  AND(REGEXMATCH(E1443, ""Ben帳戶|Elsa帳戶|Ben代墊|Ariel代墊|中信銀行共用""), REGEXMATCH(F1443, ""Ben帳戶|Elsa帳戶|Ben代墊|Ariel代墊|中信銀行共用"")), ""內部轉帳(忽略)"",
  AND(E1443&lt;&gt;"""", F1443&lt;&gt;"""", N"&amp;"OT(REGEXMATCH(C1443, ""薪資""))), ""內部轉帳(忽略)"",
  REGEXMATCH(C1443, ""薪資""), ""薪資變動(不計入)"",
  REGEXMATCH(C1443, ""押金""), ""押金往來"",
  AND(E1443&lt;&gt;"""", F1443=""""), ""真實支出"",
  AND(E1443="""", F1443&lt;&gt;""""), ""真實收入"",
  TRUE, ""其他""
)"),"真實收入")</f>
        <v>真實收入</v>
      </c>
      <c r="K1443" s="270">
        <f t="shared" si="2"/>
        <v>8600</v>
      </c>
      <c r="L1443">
        <f t="shared" si="3"/>
        <v>0</v>
      </c>
    </row>
    <row r="1444">
      <c r="A1444" s="107">
        <f>IFERROR(__xludf.DUMMYFUNCTION("""COMPUTED_VALUE"""),45688.0)</f>
        <v>45688</v>
      </c>
      <c r="B1444" t="str">
        <f>IFERROR(__xludf.DUMMYFUNCTION("""COMPUTED_VALUE"""),"[景安2分鐘] C [楊玉如] 月租金")</f>
        <v>[景安2分鐘] C [楊玉如] 月租金</v>
      </c>
      <c r="C1444" t="str">
        <f>IFERROR(__xludf.DUMMYFUNCTION("""COMPUTED_VALUE"""),"收入 - 租金")</f>
        <v>收入 - 租金</v>
      </c>
      <c r="D1444" s="270">
        <f>IFERROR(__xludf.DUMMYFUNCTION("""COMPUTED_VALUE"""),12300.0)</f>
        <v>12300</v>
      </c>
      <c r="F1444" t="str">
        <f>IFERROR(__xludf.DUMMYFUNCTION("""COMPUTED_VALUE"""),"台銀籌備帳戶")</f>
        <v>台銀籌備帳戶</v>
      </c>
      <c r="G1444" t="str">
        <f>IFERROR(__xludf.DUMMYFUNCTION("""COMPUTED_VALUE"""),"景安2分鐘")</f>
        <v>景安2分鐘</v>
      </c>
      <c r="H1444" s="106" t="str">
        <f t="shared" si="1"/>
        <v>2025-01</v>
      </c>
      <c r="I1444" s="271" t="str">
        <f>IFERROR(__xludf.DUMMYFUNCTION("""COMPUTED_VALUE"""),"貓狗企鵝")</f>
        <v>貓狗企鵝</v>
      </c>
      <c r="J1444" t="str">
        <f>IFERROR(__xludf.DUMMYFUNCTION("IFS(
  AND(REGEXMATCH(E1444, ""台銀籌備帳戶|玉山帳戶""), REGEXMATCH(C1444, ""薪資"")), ""分潤支出"",
  AND(REGEXMATCH(E1444, ""Ben帳戶|Elsa帳戶|Ben代墊|Ariel代墊|中信銀行共用""), REGEXMATCH(F1444, ""Ben帳戶|Elsa帳戶|Ben代墊|Ariel代墊|中信銀行共用"")), ""內部轉帳(忽略)"",
  AND(E1444&lt;&gt;"""", F1444&lt;&gt;"""", N"&amp;"OT(REGEXMATCH(C1444, ""薪資""))), ""內部轉帳(忽略)"",
  REGEXMATCH(C1444, ""薪資""), ""薪資變動(不計入)"",
  REGEXMATCH(C1444, ""押金""), ""押金往來"",
  AND(E1444&lt;&gt;"""", F1444=""""), ""真實支出"",
  AND(E1444="""", F1444&lt;&gt;""""), ""真實收入"",
  TRUE, ""其他""
)"),"真實收入")</f>
        <v>真實收入</v>
      </c>
      <c r="K1444" s="270">
        <f t="shared" si="2"/>
        <v>12300</v>
      </c>
      <c r="L1444">
        <f t="shared" si="3"/>
        <v>0</v>
      </c>
    </row>
    <row r="1445">
      <c r="A1445" s="107">
        <f>IFERROR(__xludf.DUMMYFUNCTION("""COMPUTED_VALUE"""),45689.0)</f>
        <v>45689</v>
      </c>
      <c r="B1445" t="str">
        <f>IFERROR(__xludf.DUMMYFUNCTION("""COMPUTED_VALUE"""),"[永春四號] D [翁政熙] 月租金")</f>
        <v>[永春四號] D [翁政熙] 月租金</v>
      </c>
      <c r="C1445" t="str">
        <f>IFERROR(__xludf.DUMMYFUNCTION("""COMPUTED_VALUE"""),"收入 - 租金")</f>
        <v>收入 - 租金</v>
      </c>
      <c r="D1445" s="270">
        <f>IFERROR(__xludf.DUMMYFUNCTION("""COMPUTED_VALUE"""),14800.0)</f>
        <v>14800</v>
      </c>
      <c r="F1445" t="str">
        <f>IFERROR(__xludf.DUMMYFUNCTION("""COMPUTED_VALUE"""),"台銀籌備帳戶")</f>
        <v>台銀籌備帳戶</v>
      </c>
      <c r="G1445" t="str">
        <f>IFERROR(__xludf.DUMMYFUNCTION("""COMPUTED_VALUE"""),"永春四號")</f>
        <v>永春四號</v>
      </c>
      <c r="H1445" s="106" t="str">
        <f t="shared" si="1"/>
        <v>2025-02</v>
      </c>
      <c r="I1445" s="271" t="str">
        <f>IFERROR(__xludf.DUMMYFUNCTION("""COMPUTED_VALUE"""),"貓狗企鵝")</f>
        <v>貓狗企鵝</v>
      </c>
      <c r="J1445" t="str">
        <f>IFERROR(__xludf.DUMMYFUNCTION("IFS(
  AND(REGEXMATCH(E1445, ""台銀籌備帳戶|玉山帳戶""), REGEXMATCH(C1445, ""薪資"")), ""分潤支出"",
  AND(REGEXMATCH(E1445, ""Ben帳戶|Elsa帳戶|Ben代墊|Ariel代墊|中信銀行共用""), REGEXMATCH(F1445, ""Ben帳戶|Elsa帳戶|Ben代墊|Ariel代墊|中信銀行共用"")), ""內部轉帳(忽略)"",
  AND(E1445&lt;&gt;"""", F1445&lt;&gt;"""", N"&amp;"OT(REGEXMATCH(C1445, ""薪資""))), ""內部轉帳(忽略)"",
  REGEXMATCH(C1445, ""薪資""), ""薪資變動(不計入)"",
  REGEXMATCH(C1445, ""押金""), ""押金往來"",
  AND(E1445&lt;&gt;"""", F1445=""""), ""真實支出"",
  AND(E1445="""", F1445&lt;&gt;""""), ""真實收入"",
  TRUE, ""其他""
)"),"真實收入")</f>
        <v>真實收入</v>
      </c>
      <c r="K1445" s="270">
        <f t="shared" si="2"/>
        <v>14800</v>
      </c>
      <c r="L1445">
        <f t="shared" si="3"/>
        <v>0</v>
      </c>
    </row>
    <row r="1446">
      <c r="A1446" s="107">
        <f>IFERROR(__xludf.DUMMYFUNCTION("""COMPUTED_VALUE"""),45689.0)</f>
        <v>45689</v>
      </c>
      <c r="B1446" t="str">
        <f>IFERROR(__xludf.DUMMYFUNCTION("""COMPUTED_VALUE"""),"[中山北Feli家] B [杜思瑀, 陳廷瀀] 月租金")</f>
        <v>[中山北Feli家] B [杜思瑀, 陳廷瀀] 月租金</v>
      </c>
      <c r="C1446" t="str">
        <f>IFERROR(__xludf.DUMMYFUNCTION("""COMPUTED_VALUE"""),"收入 - 租金")</f>
        <v>收入 - 租金</v>
      </c>
      <c r="D1446" s="270">
        <f>IFERROR(__xludf.DUMMYFUNCTION("""COMPUTED_VALUE"""),17500.0)</f>
        <v>17500</v>
      </c>
      <c r="F1446" t="str">
        <f>IFERROR(__xludf.DUMMYFUNCTION("""COMPUTED_VALUE"""),"台銀籌備帳戶")</f>
        <v>台銀籌備帳戶</v>
      </c>
      <c r="G1446" t="str">
        <f>IFERROR(__xludf.DUMMYFUNCTION("""COMPUTED_VALUE"""),"中山北Feli家")</f>
        <v>中山北Feli家</v>
      </c>
      <c r="H1446" s="106" t="str">
        <f t="shared" si="1"/>
        <v>2025-02</v>
      </c>
      <c r="I1446" s="271" t="str">
        <f>IFERROR(__xludf.DUMMYFUNCTION("""COMPUTED_VALUE"""),"貓狗企鵝")</f>
        <v>貓狗企鵝</v>
      </c>
      <c r="J1446" t="str">
        <f>IFERROR(__xludf.DUMMYFUNCTION("IFS(
  AND(REGEXMATCH(E1446, ""台銀籌備帳戶|玉山帳戶""), REGEXMATCH(C1446, ""薪資"")), ""分潤支出"",
  AND(REGEXMATCH(E1446, ""Ben帳戶|Elsa帳戶|Ben代墊|Ariel代墊|中信銀行共用""), REGEXMATCH(F1446, ""Ben帳戶|Elsa帳戶|Ben代墊|Ariel代墊|中信銀行共用"")), ""內部轉帳(忽略)"",
  AND(E1446&lt;&gt;"""", F1446&lt;&gt;"""", N"&amp;"OT(REGEXMATCH(C1446, ""薪資""))), ""內部轉帳(忽略)"",
  REGEXMATCH(C1446, ""薪資""), ""薪資變動(不計入)"",
  REGEXMATCH(C1446, ""押金""), ""押金往來"",
  AND(E1446&lt;&gt;"""", F1446=""""), ""真實支出"",
  AND(E1446="""", F1446&lt;&gt;""""), ""真實收入"",
  TRUE, ""其他""
)"),"真實收入")</f>
        <v>真實收入</v>
      </c>
      <c r="K1446" s="270">
        <f t="shared" si="2"/>
        <v>17500</v>
      </c>
      <c r="L1446">
        <f t="shared" si="3"/>
        <v>0</v>
      </c>
    </row>
    <row r="1447">
      <c r="A1447" s="107">
        <f>IFERROR(__xludf.DUMMYFUNCTION("""COMPUTED_VALUE"""),45689.0)</f>
        <v>45689</v>
      </c>
      <c r="B1447" t="str">
        <f>IFERROR(__xludf.DUMMYFUNCTION("""COMPUTED_VALUE"""),"[大湖山莊] C [姚伯謙] 月租金")</f>
        <v>[大湖山莊] C [姚伯謙] 月租金</v>
      </c>
      <c r="C1447" t="str">
        <f>IFERROR(__xludf.DUMMYFUNCTION("""COMPUTED_VALUE"""),"收入 - 租金")</f>
        <v>收入 - 租金</v>
      </c>
      <c r="D1447" s="270">
        <f>IFERROR(__xludf.DUMMYFUNCTION("""COMPUTED_VALUE"""),18800.0)</f>
        <v>18800</v>
      </c>
      <c r="F1447" t="str">
        <f>IFERROR(__xludf.DUMMYFUNCTION("""COMPUTED_VALUE"""),"台銀籌備帳戶")</f>
        <v>台銀籌備帳戶</v>
      </c>
      <c r="G1447" t="str">
        <f>IFERROR(__xludf.DUMMYFUNCTION("""COMPUTED_VALUE"""),"大湖山莊")</f>
        <v>大湖山莊</v>
      </c>
      <c r="H1447" s="106" t="str">
        <f t="shared" si="1"/>
        <v>2025-02</v>
      </c>
      <c r="I1447" s="271" t="str">
        <f>IFERROR(__xludf.DUMMYFUNCTION("""COMPUTED_VALUE"""),"貓狗企鵝")</f>
        <v>貓狗企鵝</v>
      </c>
      <c r="J1447" t="str">
        <f>IFERROR(__xludf.DUMMYFUNCTION("IFS(
  AND(REGEXMATCH(E1447, ""台銀籌備帳戶|玉山帳戶""), REGEXMATCH(C1447, ""薪資"")), ""分潤支出"",
  AND(REGEXMATCH(E1447, ""Ben帳戶|Elsa帳戶|Ben代墊|Ariel代墊|中信銀行共用""), REGEXMATCH(F1447, ""Ben帳戶|Elsa帳戶|Ben代墊|Ariel代墊|中信銀行共用"")), ""內部轉帳(忽略)"",
  AND(E1447&lt;&gt;"""", F1447&lt;&gt;"""", N"&amp;"OT(REGEXMATCH(C1447, ""薪資""))), ""內部轉帳(忽略)"",
  REGEXMATCH(C1447, ""薪資""), ""薪資變動(不計入)"",
  REGEXMATCH(C1447, ""押金""), ""押金往來"",
  AND(E1447&lt;&gt;"""", F1447=""""), ""真實支出"",
  AND(E1447="""", F1447&lt;&gt;""""), ""真實收入"",
  TRUE, ""其他""
)"),"真實收入")</f>
        <v>真實收入</v>
      </c>
      <c r="K1447" s="270">
        <f t="shared" si="2"/>
        <v>18800</v>
      </c>
      <c r="L1447">
        <f t="shared" si="3"/>
        <v>0</v>
      </c>
    </row>
    <row r="1448">
      <c r="A1448" s="107">
        <f>IFERROR(__xludf.DUMMYFUNCTION("""COMPUTED_VALUE"""),45689.0)</f>
        <v>45689</v>
      </c>
      <c r="B1448" t="str">
        <f>IFERROR(__xludf.DUMMYFUNCTION("""COMPUTED_VALUE"""),"[龍江229] B [陳佩娟] 月租金")</f>
        <v>[龍江229] B [陳佩娟] 月租金</v>
      </c>
      <c r="C1448" t="str">
        <f>IFERROR(__xludf.DUMMYFUNCTION("""COMPUTED_VALUE"""),"收入 - 租金")</f>
        <v>收入 - 租金</v>
      </c>
      <c r="D1448" s="270">
        <f>IFERROR(__xludf.DUMMYFUNCTION("""COMPUTED_VALUE"""),13000.0)</f>
        <v>13000</v>
      </c>
      <c r="F1448" t="str">
        <f>IFERROR(__xludf.DUMMYFUNCTION("""COMPUTED_VALUE"""),"台銀籌備帳戶")</f>
        <v>台銀籌備帳戶</v>
      </c>
      <c r="G1448" t="str">
        <f>IFERROR(__xludf.DUMMYFUNCTION("""COMPUTED_VALUE"""),"龍江229")</f>
        <v>龍江229</v>
      </c>
      <c r="H1448" s="106" t="str">
        <f t="shared" si="1"/>
        <v>2025-02</v>
      </c>
      <c r="I1448" s="271" t="str">
        <f>IFERROR(__xludf.DUMMYFUNCTION("""COMPUTED_VALUE"""),"貓狗企鵝")</f>
        <v>貓狗企鵝</v>
      </c>
      <c r="J1448" t="str">
        <f>IFERROR(__xludf.DUMMYFUNCTION("IFS(
  AND(REGEXMATCH(E1448, ""台銀籌備帳戶|玉山帳戶""), REGEXMATCH(C1448, ""薪資"")), ""分潤支出"",
  AND(REGEXMATCH(E1448, ""Ben帳戶|Elsa帳戶|Ben代墊|Ariel代墊|中信銀行共用""), REGEXMATCH(F1448, ""Ben帳戶|Elsa帳戶|Ben代墊|Ariel代墊|中信銀行共用"")), ""內部轉帳(忽略)"",
  AND(E1448&lt;&gt;"""", F1448&lt;&gt;"""", N"&amp;"OT(REGEXMATCH(C1448, ""薪資""))), ""內部轉帳(忽略)"",
  REGEXMATCH(C1448, ""薪資""), ""薪資變動(不計入)"",
  REGEXMATCH(C1448, ""押金""), ""押金往來"",
  AND(E1448&lt;&gt;"""", F1448=""""), ""真實支出"",
  AND(E1448="""", F1448&lt;&gt;""""), ""真實收入"",
  TRUE, ""其他""
)"),"真實收入")</f>
        <v>真實收入</v>
      </c>
      <c r="K1448" s="270">
        <f t="shared" si="2"/>
        <v>13000</v>
      </c>
      <c r="L1448">
        <f t="shared" si="3"/>
        <v>0</v>
      </c>
    </row>
    <row r="1449">
      <c r="A1449" s="107">
        <f>IFERROR(__xludf.DUMMYFUNCTION("""COMPUTED_VALUE"""),45689.0)</f>
        <v>45689</v>
      </c>
      <c r="B1449" t="str">
        <f>IFERROR(__xludf.DUMMYFUNCTION("""COMPUTED_VALUE"""),"[中山北Feli家] D [邱佳慧] 定金")</f>
        <v>[中山北Feli家] D [邱佳慧] 定金</v>
      </c>
      <c r="C1449" t="str">
        <f>IFERROR(__xludf.DUMMYFUNCTION("""COMPUTED_VALUE"""),"收入 - 租金")</f>
        <v>收入 - 租金</v>
      </c>
      <c r="D1449" s="270">
        <f>IFERROR(__xludf.DUMMYFUNCTION("""COMPUTED_VALUE"""),10000.0)</f>
        <v>10000</v>
      </c>
      <c r="F1449" t="str">
        <f>IFERROR(__xludf.DUMMYFUNCTION("""COMPUTED_VALUE"""),"台銀籌備帳戶")</f>
        <v>台銀籌備帳戶</v>
      </c>
      <c r="G1449" t="str">
        <f>IFERROR(__xludf.DUMMYFUNCTION("""COMPUTED_VALUE"""),"中山北Feli家")</f>
        <v>中山北Feli家</v>
      </c>
      <c r="H1449" s="106" t="str">
        <f t="shared" si="1"/>
        <v>2025-02</v>
      </c>
      <c r="I1449" s="271" t="str">
        <f>IFERROR(__xludf.DUMMYFUNCTION("""COMPUTED_VALUE"""),"貓狗企鵝")</f>
        <v>貓狗企鵝</v>
      </c>
      <c r="J1449" t="str">
        <f>IFERROR(__xludf.DUMMYFUNCTION("IFS(
  AND(REGEXMATCH(E1449, ""台銀籌備帳戶|玉山帳戶""), REGEXMATCH(C1449, ""薪資"")), ""分潤支出"",
  AND(REGEXMATCH(E1449, ""Ben帳戶|Elsa帳戶|Ben代墊|Ariel代墊|中信銀行共用""), REGEXMATCH(F1449, ""Ben帳戶|Elsa帳戶|Ben代墊|Ariel代墊|中信銀行共用"")), ""內部轉帳(忽略)"",
  AND(E1449&lt;&gt;"""", F1449&lt;&gt;"""", N"&amp;"OT(REGEXMATCH(C1449, ""薪資""))), ""內部轉帳(忽略)"",
  REGEXMATCH(C1449, ""薪資""), ""薪資變動(不計入)"",
  REGEXMATCH(C1449, ""押金""), ""押金往來"",
  AND(E1449&lt;&gt;"""", F1449=""""), ""真實支出"",
  AND(E1449="""", F1449&lt;&gt;""""), ""真實收入"",
  TRUE, ""其他""
)"),"真實收入")</f>
        <v>真實收入</v>
      </c>
      <c r="K1449" s="270">
        <f t="shared" si="2"/>
        <v>10000</v>
      </c>
      <c r="L1449">
        <f t="shared" si="3"/>
        <v>0</v>
      </c>
    </row>
    <row r="1450">
      <c r="A1450" s="107">
        <f>IFERROR(__xludf.DUMMYFUNCTION("""COMPUTED_VALUE"""),45689.0)</f>
        <v>45689</v>
      </c>
      <c r="B1450" t="str">
        <f>IFERROR(__xludf.DUMMYFUNCTION("""COMPUTED_VALUE"""),"[北醫醫師府] DＪｏｓｉｅ")</f>
        <v>[北醫醫師府] DＪｏｓｉｅ</v>
      </c>
      <c r="C1450" t="str">
        <f>IFERROR(__xludf.DUMMYFUNCTION("""COMPUTED_VALUE"""),"收入 - 租金")</f>
        <v>收入 - 租金</v>
      </c>
      <c r="D1450" s="270">
        <f>IFERROR(__xludf.DUMMYFUNCTION("""COMPUTED_VALUE"""),12000.0)</f>
        <v>12000</v>
      </c>
      <c r="F1450" t="str">
        <f>IFERROR(__xludf.DUMMYFUNCTION("""COMPUTED_VALUE"""),"台銀籌備帳戶")</f>
        <v>台銀籌備帳戶</v>
      </c>
      <c r="G1450" t="str">
        <f>IFERROR(__xludf.DUMMYFUNCTION("""COMPUTED_VALUE"""),"北醫醫師府")</f>
        <v>北醫醫師府</v>
      </c>
      <c r="H1450" s="106" t="str">
        <f t="shared" si="1"/>
        <v>2025-02</v>
      </c>
      <c r="I1450" s="271" t="str">
        <f>IFERROR(__xludf.DUMMYFUNCTION("""COMPUTED_VALUE"""),"貓狗企鵝")</f>
        <v>貓狗企鵝</v>
      </c>
      <c r="J1450" t="str">
        <f>IFERROR(__xludf.DUMMYFUNCTION("IFS(
  AND(REGEXMATCH(E1450, ""台銀籌備帳戶|玉山帳戶""), REGEXMATCH(C1450, ""薪資"")), ""分潤支出"",
  AND(REGEXMATCH(E1450, ""Ben帳戶|Elsa帳戶|Ben代墊|Ariel代墊|中信銀行共用""), REGEXMATCH(F1450, ""Ben帳戶|Elsa帳戶|Ben代墊|Ariel代墊|中信銀行共用"")), ""內部轉帳(忽略)"",
  AND(E1450&lt;&gt;"""", F1450&lt;&gt;"""", N"&amp;"OT(REGEXMATCH(C1450, ""薪資""))), ""內部轉帳(忽略)"",
  REGEXMATCH(C1450, ""薪資""), ""薪資變動(不計入)"",
  REGEXMATCH(C1450, ""押金""), ""押金往來"",
  AND(E1450&lt;&gt;"""", F1450=""""), ""真實支出"",
  AND(E1450="""", F1450&lt;&gt;""""), ""真實收入"",
  TRUE, ""其他""
)"),"真實收入")</f>
        <v>真實收入</v>
      </c>
      <c r="K1450" s="270">
        <f t="shared" si="2"/>
        <v>12000</v>
      </c>
      <c r="L1450">
        <f t="shared" si="3"/>
        <v>0</v>
      </c>
    </row>
    <row r="1451">
      <c r="A1451" s="107">
        <f>IFERROR(__xludf.DUMMYFUNCTION("""COMPUTED_VALUE"""),45689.0)</f>
        <v>45689</v>
      </c>
      <c r="B1451" t="str">
        <f>IFERROR(__xludf.DUMMYFUNCTION("""COMPUTED_VALUE"""),"[南港站挑高宅] A [莊以棋] 月租金")</f>
        <v>[南港站挑高宅] A [莊以棋] 月租金</v>
      </c>
      <c r="C1451" t="str">
        <f>IFERROR(__xludf.DUMMYFUNCTION("""COMPUTED_VALUE"""),"收入 - 租金")</f>
        <v>收入 - 租金</v>
      </c>
      <c r="D1451" s="270">
        <f>IFERROR(__xludf.DUMMYFUNCTION("""COMPUTED_VALUE"""),13000.0)</f>
        <v>13000</v>
      </c>
      <c r="F1451" t="str">
        <f>IFERROR(__xludf.DUMMYFUNCTION("""COMPUTED_VALUE"""),"台銀籌備帳戶")</f>
        <v>台銀籌備帳戶</v>
      </c>
      <c r="G1451" t="str">
        <f>IFERROR(__xludf.DUMMYFUNCTION("""COMPUTED_VALUE"""),"南港站挑高宅")</f>
        <v>南港站挑高宅</v>
      </c>
      <c r="H1451" s="106" t="str">
        <f t="shared" si="1"/>
        <v>2025-02</v>
      </c>
      <c r="I1451" s="271" t="str">
        <f>IFERROR(__xludf.DUMMYFUNCTION("""COMPUTED_VALUE"""),"貓狗企鵝")</f>
        <v>貓狗企鵝</v>
      </c>
      <c r="J1451" t="str">
        <f>IFERROR(__xludf.DUMMYFUNCTION("IFS(
  AND(REGEXMATCH(E1451, ""台銀籌備帳戶|玉山帳戶""), REGEXMATCH(C1451, ""薪資"")), ""分潤支出"",
  AND(REGEXMATCH(E1451, ""Ben帳戶|Elsa帳戶|Ben代墊|Ariel代墊|中信銀行共用""), REGEXMATCH(F1451, ""Ben帳戶|Elsa帳戶|Ben代墊|Ariel代墊|中信銀行共用"")), ""內部轉帳(忽略)"",
  AND(E1451&lt;&gt;"""", F1451&lt;&gt;"""", N"&amp;"OT(REGEXMATCH(C1451, ""薪資""))), ""內部轉帳(忽略)"",
  REGEXMATCH(C1451, ""薪資""), ""薪資變動(不計入)"",
  REGEXMATCH(C1451, ""押金""), ""押金往來"",
  AND(E1451&lt;&gt;"""", F1451=""""), ""真實支出"",
  AND(E1451="""", F1451&lt;&gt;""""), ""真實收入"",
  TRUE, ""其他""
)"),"真實收入")</f>
        <v>真實收入</v>
      </c>
      <c r="K1451" s="270">
        <f t="shared" si="2"/>
        <v>13000</v>
      </c>
      <c r="L1451">
        <f t="shared" si="3"/>
        <v>0</v>
      </c>
    </row>
    <row r="1452">
      <c r="A1452" s="107">
        <f>IFERROR(__xludf.DUMMYFUNCTION("""COMPUTED_VALUE"""),45689.0)</f>
        <v>45689</v>
      </c>
      <c r="B1452" t="str">
        <f>IFERROR(__xludf.DUMMYFUNCTION("""COMPUTED_VALUE"""),"[大湖山莊] G [林文心] 月租金")</f>
        <v>[大湖山莊] G [林文心] 月租金</v>
      </c>
      <c r="C1452" t="str">
        <f>IFERROR(__xludf.DUMMYFUNCTION("""COMPUTED_VALUE"""),"收入 - 租金")</f>
        <v>收入 - 租金</v>
      </c>
      <c r="D1452" s="270">
        <f>IFERROR(__xludf.DUMMYFUNCTION("""COMPUTED_VALUE"""),15000.0)</f>
        <v>15000</v>
      </c>
      <c r="F1452" t="str">
        <f>IFERROR(__xludf.DUMMYFUNCTION("""COMPUTED_VALUE"""),"台銀籌備帳戶")</f>
        <v>台銀籌備帳戶</v>
      </c>
      <c r="G1452" t="str">
        <f>IFERROR(__xludf.DUMMYFUNCTION("""COMPUTED_VALUE"""),"大湖山莊")</f>
        <v>大湖山莊</v>
      </c>
      <c r="H1452" s="106" t="str">
        <f t="shared" si="1"/>
        <v>2025-02</v>
      </c>
      <c r="I1452" s="271" t="str">
        <f>IFERROR(__xludf.DUMMYFUNCTION("""COMPUTED_VALUE"""),"貓狗企鵝")</f>
        <v>貓狗企鵝</v>
      </c>
      <c r="J1452" t="str">
        <f>IFERROR(__xludf.DUMMYFUNCTION("IFS(
  AND(REGEXMATCH(E1452, ""台銀籌備帳戶|玉山帳戶""), REGEXMATCH(C1452, ""薪資"")), ""分潤支出"",
  AND(REGEXMATCH(E1452, ""Ben帳戶|Elsa帳戶|Ben代墊|Ariel代墊|中信銀行共用""), REGEXMATCH(F1452, ""Ben帳戶|Elsa帳戶|Ben代墊|Ariel代墊|中信銀行共用"")), ""內部轉帳(忽略)"",
  AND(E1452&lt;&gt;"""", F1452&lt;&gt;"""", N"&amp;"OT(REGEXMATCH(C1452, ""薪資""))), ""內部轉帳(忽略)"",
  REGEXMATCH(C1452, ""薪資""), ""薪資變動(不計入)"",
  REGEXMATCH(C1452, ""押金""), ""押金往來"",
  AND(E1452&lt;&gt;"""", F1452=""""), ""真實支出"",
  AND(E1452="""", F1452&lt;&gt;""""), ""真實收入"",
  TRUE, ""其他""
)"),"真實收入")</f>
        <v>真實收入</v>
      </c>
      <c r="K1452" s="270">
        <f t="shared" si="2"/>
        <v>15000</v>
      </c>
      <c r="L1452">
        <f t="shared" si="3"/>
        <v>0</v>
      </c>
    </row>
    <row r="1453">
      <c r="A1453" s="107">
        <f>IFERROR(__xludf.DUMMYFUNCTION("""COMPUTED_VALUE"""),45689.0)</f>
        <v>45689</v>
      </c>
      <c r="B1453" t="str">
        <f>IFERROR(__xludf.DUMMYFUNCTION("""COMPUTED_VALUE"""),"[哈拉對面] B [黃彥瑞] 月租金")</f>
        <v>[哈拉對面] B [黃彥瑞] 月租金</v>
      </c>
      <c r="C1453" t="str">
        <f>IFERROR(__xludf.DUMMYFUNCTION("""COMPUTED_VALUE"""),"收入 - 租金")</f>
        <v>收入 - 租金</v>
      </c>
      <c r="D1453" s="270">
        <f>IFERROR(__xludf.DUMMYFUNCTION("""COMPUTED_VALUE"""),15800.0)</f>
        <v>15800</v>
      </c>
      <c r="F1453" t="str">
        <f>IFERROR(__xludf.DUMMYFUNCTION("""COMPUTED_VALUE"""),"台銀籌備帳戶")</f>
        <v>台銀籌備帳戶</v>
      </c>
      <c r="G1453" t="str">
        <f>IFERROR(__xludf.DUMMYFUNCTION("""COMPUTED_VALUE"""),"哈拉對面")</f>
        <v>哈拉對面</v>
      </c>
      <c r="H1453" s="106" t="str">
        <f t="shared" si="1"/>
        <v>2025-02</v>
      </c>
      <c r="I1453" s="271" t="str">
        <f>IFERROR(__xludf.DUMMYFUNCTION("""COMPUTED_VALUE"""),"貓狗企鵝")</f>
        <v>貓狗企鵝</v>
      </c>
      <c r="J1453" t="str">
        <f>IFERROR(__xludf.DUMMYFUNCTION("IFS(
  AND(REGEXMATCH(E1453, ""台銀籌備帳戶|玉山帳戶""), REGEXMATCH(C1453, ""薪資"")), ""分潤支出"",
  AND(REGEXMATCH(E1453, ""Ben帳戶|Elsa帳戶|Ben代墊|Ariel代墊|中信銀行共用""), REGEXMATCH(F1453, ""Ben帳戶|Elsa帳戶|Ben代墊|Ariel代墊|中信銀行共用"")), ""內部轉帳(忽略)"",
  AND(E1453&lt;&gt;"""", F1453&lt;&gt;"""", N"&amp;"OT(REGEXMATCH(C1453, ""薪資""))), ""內部轉帳(忽略)"",
  REGEXMATCH(C1453, ""薪資""), ""薪資變動(不計入)"",
  REGEXMATCH(C1453, ""押金""), ""押金往來"",
  AND(E1453&lt;&gt;"""", F1453=""""), ""真實支出"",
  AND(E1453="""", F1453&lt;&gt;""""), ""真實收入"",
  TRUE, ""其他""
)"),"真實收入")</f>
        <v>真實收入</v>
      </c>
      <c r="K1453" s="270">
        <f t="shared" si="2"/>
        <v>15800</v>
      </c>
      <c r="L1453">
        <f t="shared" si="3"/>
        <v>0</v>
      </c>
    </row>
    <row r="1454">
      <c r="A1454" s="107">
        <f>IFERROR(__xludf.DUMMYFUNCTION("""COMPUTED_VALUE"""),45689.0)</f>
        <v>45689</v>
      </c>
      <c r="B1454" t="str">
        <f>IFERROR(__xludf.DUMMYFUNCTION("""COMPUTED_VALUE"""),"[中山北Feli家] E [王翊樺, 周定瑀] 月租金")</f>
        <v>[中山北Feli家] E [王翊樺, 周定瑀] 月租金</v>
      </c>
      <c r="C1454" t="str">
        <f>IFERROR(__xludf.DUMMYFUNCTION("""COMPUTED_VALUE"""),"收入 - 租金")</f>
        <v>收入 - 租金</v>
      </c>
      <c r="D1454" s="270">
        <f>IFERROR(__xludf.DUMMYFUNCTION("""COMPUTED_VALUE"""),31000.0)</f>
        <v>31000</v>
      </c>
      <c r="F1454" t="str">
        <f>IFERROR(__xludf.DUMMYFUNCTION("""COMPUTED_VALUE"""),"台銀籌備帳戶")</f>
        <v>台銀籌備帳戶</v>
      </c>
      <c r="G1454" t="str">
        <f>IFERROR(__xludf.DUMMYFUNCTION("""COMPUTED_VALUE"""),"中山北Feli家")</f>
        <v>中山北Feli家</v>
      </c>
      <c r="H1454" s="106" t="str">
        <f t="shared" si="1"/>
        <v>2025-02</v>
      </c>
      <c r="I1454" s="271" t="str">
        <f>IFERROR(__xludf.DUMMYFUNCTION("""COMPUTED_VALUE"""),"貓狗企鵝")</f>
        <v>貓狗企鵝</v>
      </c>
      <c r="J1454" t="str">
        <f>IFERROR(__xludf.DUMMYFUNCTION("IFS(
  AND(REGEXMATCH(E1454, ""台銀籌備帳戶|玉山帳戶""), REGEXMATCH(C1454, ""薪資"")), ""分潤支出"",
  AND(REGEXMATCH(E1454, ""Ben帳戶|Elsa帳戶|Ben代墊|Ariel代墊|中信銀行共用""), REGEXMATCH(F1454, ""Ben帳戶|Elsa帳戶|Ben代墊|Ariel代墊|中信銀行共用"")), ""內部轉帳(忽略)"",
  AND(E1454&lt;&gt;"""", F1454&lt;&gt;"""", N"&amp;"OT(REGEXMATCH(C1454, ""薪資""))), ""內部轉帳(忽略)"",
  REGEXMATCH(C1454, ""薪資""), ""薪資變動(不計入)"",
  REGEXMATCH(C1454, ""押金""), ""押金往來"",
  AND(E1454&lt;&gt;"""", F1454=""""), ""真實支出"",
  AND(E1454="""", F1454&lt;&gt;""""), ""真實收入"",
  TRUE, ""其他""
)"),"真實收入")</f>
        <v>真實收入</v>
      </c>
      <c r="K1454" s="270">
        <f t="shared" si="2"/>
        <v>31000</v>
      </c>
      <c r="L1454">
        <f t="shared" si="3"/>
        <v>0</v>
      </c>
    </row>
    <row r="1455">
      <c r="A1455" s="107">
        <f>IFERROR(__xludf.DUMMYFUNCTION("""COMPUTED_VALUE"""),45689.0)</f>
        <v>45689</v>
      </c>
      <c r="B1455" t="str">
        <f>IFERROR(__xludf.DUMMYFUNCTION("""COMPUTED_VALUE"""),"[中山北Feli家] C [郭亞潔] 月租金")</f>
        <v>[中山北Feli家] C [郭亞潔] 月租金</v>
      </c>
      <c r="C1455" t="str">
        <f>IFERROR(__xludf.DUMMYFUNCTION("""COMPUTED_VALUE"""),"收入 - 租金")</f>
        <v>收入 - 租金</v>
      </c>
      <c r="D1455" s="270">
        <f>IFERROR(__xludf.DUMMYFUNCTION("""COMPUTED_VALUE"""),11500.0)</f>
        <v>11500</v>
      </c>
      <c r="F1455" t="str">
        <f>IFERROR(__xludf.DUMMYFUNCTION("""COMPUTED_VALUE"""),"台銀籌備帳戶")</f>
        <v>台銀籌備帳戶</v>
      </c>
      <c r="G1455" t="str">
        <f>IFERROR(__xludf.DUMMYFUNCTION("""COMPUTED_VALUE"""),"中山北Feli家")</f>
        <v>中山北Feli家</v>
      </c>
      <c r="H1455" s="106" t="str">
        <f t="shared" si="1"/>
        <v>2025-02</v>
      </c>
      <c r="I1455" s="271" t="str">
        <f>IFERROR(__xludf.DUMMYFUNCTION("""COMPUTED_VALUE"""),"貓狗企鵝")</f>
        <v>貓狗企鵝</v>
      </c>
      <c r="J1455" t="str">
        <f>IFERROR(__xludf.DUMMYFUNCTION("IFS(
  AND(REGEXMATCH(E1455, ""台銀籌備帳戶|玉山帳戶""), REGEXMATCH(C1455, ""薪資"")), ""分潤支出"",
  AND(REGEXMATCH(E1455, ""Ben帳戶|Elsa帳戶|Ben代墊|Ariel代墊|中信銀行共用""), REGEXMATCH(F1455, ""Ben帳戶|Elsa帳戶|Ben代墊|Ariel代墊|中信銀行共用"")), ""內部轉帳(忽略)"",
  AND(E1455&lt;&gt;"""", F1455&lt;&gt;"""", N"&amp;"OT(REGEXMATCH(C1455, ""薪資""))), ""內部轉帳(忽略)"",
  REGEXMATCH(C1455, ""薪資""), ""薪資變動(不計入)"",
  REGEXMATCH(C1455, ""押金""), ""押金往來"",
  AND(E1455&lt;&gt;"""", F1455=""""), ""真實支出"",
  AND(E1455="""", F1455&lt;&gt;""""), ""真實收入"",
  TRUE, ""其他""
)"),"真實收入")</f>
        <v>真實收入</v>
      </c>
      <c r="K1455" s="270">
        <f t="shared" si="2"/>
        <v>11500</v>
      </c>
      <c r="L1455">
        <f t="shared" si="3"/>
        <v>0</v>
      </c>
    </row>
    <row r="1456">
      <c r="A1456" s="107">
        <f>IFERROR(__xludf.DUMMYFUNCTION("""COMPUTED_VALUE"""),45689.0)</f>
        <v>45689</v>
      </c>
      <c r="B1456" t="str">
        <f>IFERROR(__xludf.DUMMYFUNCTION("""COMPUTED_VALUE"""),"[龍江229] D [黃依婷] 月租金")</f>
        <v>[龍江229] D [黃依婷] 月租金</v>
      </c>
      <c r="C1456" t="str">
        <f>IFERROR(__xludf.DUMMYFUNCTION("""COMPUTED_VALUE"""),"收入 - 租金")</f>
        <v>收入 - 租金</v>
      </c>
      <c r="D1456" s="270">
        <f>IFERROR(__xludf.DUMMYFUNCTION("""COMPUTED_VALUE"""),13300.0)</f>
        <v>13300</v>
      </c>
      <c r="F1456" t="str">
        <f>IFERROR(__xludf.DUMMYFUNCTION("""COMPUTED_VALUE"""),"台銀籌備帳戶")</f>
        <v>台銀籌備帳戶</v>
      </c>
      <c r="G1456" t="str">
        <f>IFERROR(__xludf.DUMMYFUNCTION("""COMPUTED_VALUE"""),"龍江229")</f>
        <v>龍江229</v>
      </c>
      <c r="H1456" s="106" t="str">
        <f t="shared" si="1"/>
        <v>2025-02</v>
      </c>
      <c r="I1456" s="271" t="str">
        <f>IFERROR(__xludf.DUMMYFUNCTION("""COMPUTED_VALUE"""),"貓狗企鵝")</f>
        <v>貓狗企鵝</v>
      </c>
      <c r="J1456" t="str">
        <f>IFERROR(__xludf.DUMMYFUNCTION("IFS(
  AND(REGEXMATCH(E1456, ""台銀籌備帳戶|玉山帳戶""), REGEXMATCH(C1456, ""薪資"")), ""分潤支出"",
  AND(REGEXMATCH(E1456, ""Ben帳戶|Elsa帳戶|Ben代墊|Ariel代墊|中信銀行共用""), REGEXMATCH(F1456, ""Ben帳戶|Elsa帳戶|Ben代墊|Ariel代墊|中信銀行共用"")), ""內部轉帳(忽略)"",
  AND(E1456&lt;&gt;"""", F1456&lt;&gt;"""", N"&amp;"OT(REGEXMATCH(C1456, ""薪資""))), ""內部轉帳(忽略)"",
  REGEXMATCH(C1456, ""薪資""), ""薪資變動(不計入)"",
  REGEXMATCH(C1456, ""押金""), ""押金往來"",
  AND(E1456&lt;&gt;"""", F1456=""""), ""真實支出"",
  AND(E1456="""", F1456&lt;&gt;""""), ""真實收入"",
  TRUE, ""其他""
)"),"真實收入")</f>
        <v>真實收入</v>
      </c>
      <c r="K1456" s="270">
        <f t="shared" si="2"/>
        <v>13300</v>
      </c>
      <c r="L1456">
        <f t="shared" si="3"/>
        <v>0</v>
      </c>
    </row>
    <row r="1457">
      <c r="A1457" s="107">
        <f>IFERROR(__xludf.DUMMYFUNCTION("""COMPUTED_VALUE"""),45689.0)</f>
        <v>45689</v>
      </c>
      <c r="B1457" t="str">
        <f>IFERROR(__xludf.DUMMYFUNCTION("""COMPUTED_VALUE"""),"[北醫醫師府] B [王品涵, 賴泓賓] 月租金")</f>
        <v>[北醫醫師府] B [王品涵, 賴泓賓] 月租金</v>
      </c>
      <c r="C1457" t="str">
        <f>IFERROR(__xludf.DUMMYFUNCTION("""COMPUTED_VALUE"""),"收入 - 租金")</f>
        <v>收入 - 租金</v>
      </c>
      <c r="D1457" s="270">
        <f>IFERROR(__xludf.DUMMYFUNCTION("""COMPUTED_VALUE"""),19800.0)</f>
        <v>19800</v>
      </c>
      <c r="F1457" t="str">
        <f>IFERROR(__xludf.DUMMYFUNCTION("""COMPUTED_VALUE"""),"台銀籌備帳戶")</f>
        <v>台銀籌備帳戶</v>
      </c>
      <c r="G1457" t="str">
        <f>IFERROR(__xludf.DUMMYFUNCTION("""COMPUTED_VALUE"""),"北醫醫師府")</f>
        <v>北醫醫師府</v>
      </c>
      <c r="H1457" s="106" t="str">
        <f t="shared" si="1"/>
        <v>2025-02</v>
      </c>
      <c r="I1457" s="271" t="str">
        <f>IFERROR(__xludf.DUMMYFUNCTION("""COMPUTED_VALUE"""),"貓狗企鵝")</f>
        <v>貓狗企鵝</v>
      </c>
      <c r="J1457" t="str">
        <f>IFERROR(__xludf.DUMMYFUNCTION("IFS(
  AND(REGEXMATCH(E1457, ""台銀籌備帳戶|玉山帳戶""), REGEXMATCH(C1457, ""薪資"")), ""分潤支出"",
  AND(REGEXMATCH(E1457, ""Ben帳戶|Elsa帳戶|Ben代墊|Ariel代墊|中信銀行共用""), REGEXMATCH(F1457, ""Ben帳戶|Elsa帳戶|Ben代墊|Ariel代墊|中信銀行共用"")), ""內部轉帳(忽略)"",
  AND(E1457&lt;&gt;"""", F1457&lt;&gt;"""", N"&amp;"OT(REGEXMATCH(C1457, ""薪資""))), ""內部轉帳(忽略)"",
  REGEXMATCH(C1457, ""薪資""), ""薪資變動(不計入)"",
  REGEXMATCH(C1457, ""押金""), ""押金往來"",
  AND(E1457&lt;&gt;"""", F1457=""""), ""真實支出"",
  AND(E1457="""", F1457&lt;&gt;""""), ""真實收入"",
  TRUE, ""其他""
)"),"真實收入")</f>
        <v>真實收入</v>
      </c>
      <c r="K1457" s="270">
        <f t="shared" si="2"/>
        <v>19800</v>
      </c>
      <c r="L1457">
        <f t="shared" si="3"/>
        <v>0</v>
      </c>
    </row>
    <row r="1458">
      <c r="A1458" s="107">
        <f>IFERROR(__xludf.DUMMYFUNCTION("""COMPUTED_VALUE"""),45689.0)</f>
        <v>45689</v>
      </c>
      <c r="B1458" t="str">
        <f>IFERROR(__xludf.DUMMYFUNCTION("""COMPUTED_VALUE"""),"[永春四號] C [林聿妡] 月租金")</f>
        <v>[永春四號] C [林聿妡] 月租金</v>
      </c>
      <c r="C1458" t="str">
        <f>IFERROR(__xludf.DUMMYFUNCTION("""COMPUTED_VALUE"""),"收入 - 租金")</f>
        <v>收入 - 租金</v>
      </c>
      <c r="D1458" s="270">
        <f>IFERROR(__xludf.DUMMYFUNCTION("""COMPUTED_VALUE"""),13300.0)</f>
        <v>13300</v>
      </c>
      <c r="F1458" t="str">
        <f>IFERROR(__xludf.DUMMYFUNCTION("""COMPUTED_VALUE"""),"台銀籌備帳戶")</f>
        <v>台銀籌備帳戶</v>
      </c>
      <c r="G1458" t="str">
        <f>IFERROR(__xludf.DUMMYFUNCTION("""COMPUTED_VALUE"""),"永春四號")</f>
        <v>永春四號</v>
      </c>
      <c r="H1458" s="106" t="str">
        <f t="shared" si="1"/>
        <v>2025-02</v>
      </c>
      <c r="I1458" s="271" t="str">
        <f>IFERROR(__xludf.DUMMYFUNCTION("""COMPUTED_VALUE"""),"貓狗企鵝")</f>
        <v>貓狗企鵝</v>
      </c>
      <c r="J1458" t="str">
        <f>IFERROR(__xludf.DUMMYFUNCTION("IFS(
  AND(REGEXMATCH(E1458, ""台銀籌備帳戶|玉山帳戶""), REGEXMATCH(C1458, ""薪資"")), ""分潤支出"",
  AND(REGEXMATCH(E1458, ""Ben帳戶|Elsa帳戶|Ben代墊|Ariel代墊|中信銀行共用""), REGEXMATCH(F1458, ""Ben帳戶|Elsa帳戶|Ben代墊|Ariel代墊|中信銀行共用"")), ""內部轉帳(忽略)"",
  AND(E1458&lt;&gt;"""", F1458&lt;&gt;"""", N"&amp;"OT(REGEXMATCH(C1458, ""薪資""))), ""內部轉帳(忽略)"",
  REGEXMATCH(C1458, ""薪資""), ""薪資變動(不計入)"",
  REGEXMATCH(C1458, ""押金""), ""押金往來"",
  AND(E1458&lt;&gt;"""", F1458=""""), ""真實支出"",
  AND(E1458="""", F1458&lt;&gt;""""), ""真實收入"",
  TRUE, ""其他""
)"),"真實收入")</f>
        <v>真實收入</v>
      </c>
      <c r="K1458" s="270">
        <f t="shared" si="2"/>
        <v>13300</v>
      </c>
      <c r="L1458">
        <f t="shared" si="3"/>
        <v>0</v>
      </c>
    </row>
    <row r="1459">
      <c r="A1459" s="107">
        <f>IFERROR(__xludf.DUMMYFUNCTION("""COMPUTED_VALUE"""),45689.0)</f>
        <v>45689</v>
      </c>
      <c r="B1459" t="str">
        <f>IFERROR(__xludf.DUMMYFUNCTION("""COMPUTED_VALUE"""),"[大湖山莊] D [陳昭瑄] 月租金")</f>
        <v>[大湖山莊] D [陳昭瑄] 月租金</v>
      </c>
      <c r="C1459" t="str">
        <f>IFERROR(__xludf.DUMMYFUNCTION("""COMPUTED_VALUE"""),"收入 - 租金")</f>
        <v>收入 - 租金</v>
      </c>
      <c r="D1459" s="270">
        <f>IFERROR(__xludf.DUMMYFUNCTION("""COMPUTED_VALUE"""),14300.0)</f>
        <v>14300</v>
      </c>
      <c r="F1459" t="str">
        <f>IFERROR(__xludf.DUMMYFUNCTION("""COMPUTED_VALUE"""),"台銀籌備帳戶")</f>
        <v>台銀籌備帳戶</v>
      </c>
      <c r="G1459" t="str">
        <f>IFERROR(__xludf.DUMMYFUNCTION("""COMPUTED_VALUE"""),"大湖山莊")</f>
        <v>大湖山莊</v>
      </c>
      <c r="H1459" s="106" t="str">
        <f t="shared" si="1"/>
        <v>2025-02</v>
      </c>
      <c r="I1459" s="271" t="str">
        <f>IFERROR(__xludf.DUMMYFUNCTION("""COMPUTED_VALUE"""),"貓狗企鵝")</f>
        <v>貓狗企鵝</v>
      </c>
      <c r="J1459" t="str">
        <f>IFERROR(__xludf.DUMMYFUNCTION("IFS(
  AND(REGEXMATCH(E1459, ""台銀籌備帳戶|玉山帳戶""), REGEXMATCH(C1459, ""薪資"")), ""分潤支出"",
  AND(REGEXMATCH(E1459, ""Ben帳戶|Elsa帳戶|Ben代墊|Ariel代墊|中信銀行共用""), REGEXMATCH(F1459, ""Ben帳戶|Elsa帳戶|Ben代墊|Ariel代墊|中信銀行共用"")), ""內部轉帳(忽略)"",
  AND(E1459&lt;&gt;"""", F1459&lt;&gt;"""", N"&amp;"OT(REGEXMATCH(C1459, ""薪資""))), ""內部轉帳(忽略)"",
  REGEXMATCH(C1459, ""薪資""), ""薪資變動(不計入)"",
  REGEXMATCH(C1459, ""押金""), ""押金往來"",
  AND(E1459&lt;&gt;"""", F1459=""""), ""真實支出"",
  AND(E1459="""", F1459&lt;&gt;""""), ""真實收入"",
  TRUE, ""其他""
)"),"真實收入")</f>
        <v>真實收入</v>
      </c>
      <c r="K1459" s="270">
        <f t="shared" si="2"/>
        <v>14300</v>
      </c>
      <c r="L1459">
        <f t="shared" si="3"/>
        <v>0</v>
      </c>
    </row>
    <row r="1460">
      <c r="A1460" s="107">
        <f>IFERROR(__xludf.DUMMYFUNCTION("""COMPUTED_VALUE"""),45689.0)</f>
        <v>45689</v>
      </c>
      <c r="B1460" t="str">
        <f>IFERROR(__xludf.DUMMYFUNCTION("""COMPUTED_VALUE"""),"[龍江229] E [許霈琪] 月租金")</f>
        <v>[龍江229] E [許霈琪] 月租金</v>
      </c>
      <c r="C1460" t="str">
        <f>IFERROR(__xludf.DUMMYFUNCTION("""COMPUTED_VALUE"""),"收入 - 租金")</f>
        <v>收入 - 租金</v>
      </c>
      <c r="D1460" s="270">
        <f>IFERROR(__xludf.DUMMYFUNCTION("""COMPUTED_VALUE"""),13500.0)</f>
        <v>13500</v>
      </c>
      <c r="F1460" t="str">
        <f>IFERROR(__xludf.DUMMYFUNCTION("""COMPUTED_VALUE"""),"台銀籌備帳戶")</f>
        <v>台銀籌備帳戶</v>
      </c>
      <c r="G1460" t="str">
        <f>IFERROR(__xludf.DUMMYFUNCTION("""COMPUTED_VALUE"""),"龍江229")</f>
        <v>龍江229</v>
      </c>
      <c r="H1460" s="106" t="str">
        <f t="shared" si="1"/>
        <v>2025-02</v>
      </c>
      <c r="I1460" s="271" t="str">
        <f>IFERROR(__xludf.DUMMYFUNCTION("""COMPUTED_VALUE"""),"貓狗企鵝")</f>
        <v>貓狗企鵝</v>
      </c>
      <c r="J1460" t="str">
        <f>IFERROR(__xludf.DUMMYFUNCTION("IFS(
  AND(REGEXMATCH(E1460, ""台銀籌備帳戶|玉山帳戶""), REGEXMATCH(C1460, ""薪資"")), ""分潤支出"",
  AND(REGEXMATCH(E1460, ""Ben帳戶|Elsa帳戶|Ben代墊|Ariel代墊|中信銀行共用""), REGEXMATCH(F1460, ""Ben帳戶|Elsa帳戶|Ben代墊|Ariel代墊|中信銀行共用"")), ""內部轉帳(忽略)"",
  AND(E1460&lt;&gt;"""", F1460&lt;&gt;"""", N"&amp;"OT(REGEXMATCH(C1460, ""薪資""))), ""內部轉帳(忽略)"",
  REGEXMATCH(C1460, ""薪資""), ""薪資變動(不計入)"",
  REGEXMATCH(C1460, ""押金""), ""押金往來"",
  AND(E1460&lt;&gt;"""", F1460=""""), ""真實支出"",
  AND(E1460="""", F1460&lt;&gt;""""), ""真實收入"",
  TRUE, ""其他""
)"),"真實收入")</f>
        <v>真實收入</v>
      </c>
      <c r="K1460" s="270">
        <f t="shared" si="2"/>
        <v>13500</v>
      </c>
      <c r="L1460">
        <f t="shared" si="3"/>
        <v>0</v>
      </c>
    </row>
    <row r="1461">
      <c r="A1461" s="107">
        <f>IFERROR(__xludf.DUMMYFUNCTION("""COMPUTED_VALUE"""),45689.0)</f>
        <v>45689</v>
      </c>
      <c r="B1461" t="str">
        <f>IFERROR(__xludf.DUMMYFUNCTION("""COMPUTED_VALUE"""),"[永春四號] B [袁家鳳] 月租金")</f>
        <v>[永春四號] B [袁家鳳] 月租金</v>
      </c>
      <c r="C1461" t="str">
        <f>IFERROR(__xludf.DUMMYFUNCTION("""COMPUTED_VALUE"""),"收入 - 租金")</f>
        <v>收入 - 租金</v>
      </c>
      <c r="D1461" s="270">
        <f>IFERROR(__xludf.DUMMYFUNCTION("""COMPUTED_VALUE"""),13500.0)</f>
        <v>13500</v>
      </c>
      <c r="F1461" t="str">
        <f>IFERROR(__xludf.DUMMYFUNCTION("""COMPUTED_VALUE"""),"台銀籌備帳戶")</f>
        <v>台銀籌備帳戶</v>
      </c>
      <c r="G1461" t="str">
        <f>IFERROR(__xludf.DUMMYFUNCTION("""COMPUTED_VALUE"""),"永春四號")</f>
        <v>永春四號</v>
      </c>
      <c r="H1461" s="106" t="str">
        <f t="shared" si="1"/>
        <v>2025-02</v>
      </c>
      <c r="I1461" s="271" t="str">
        <f>IFERROR(__xludf.DUMMYFUNCTION("""COMPUTED_VALUE"""),"貓狗企鵝")</f>
        <v>貓狗企鵝</v>
      </c>
      <c r="J1461" t="str">
        <f>IFERROR(__xludf.DUMMYFUNCTION("IFS(
  AND(REGEXMATCH(E1461, ""台銀籌備帳戶|玉山帳戶""), REGEXMATCH(C1461, ""薪資"")), ""分潤支出"",
  AND(REGEXMATCH(E1461, ""Ben帳戶|Elsa帳戶|Ben代墊|Ariel代墊|中信銀行共用""), REGEXMATCH(F1461, ""Ben帳戶|Elsa帳戶|Ben代墊|Ariel代墊|中信銀行共用"")), ""內部轉帳(忽略)"",
  AND(E1461&lt;&gt;"""", F1461&lt;&gt;"""", N"&amp;"OT(REGEXMATCH(C1461, ""薪資""))), ""內部轉帳(忽略)"",
  REGEXMATCH(C1461, ""薪資""), ""薪資變動(不計入)"",
  REGEXMATCH(C1461, ""押金""), ""押金往來"",
  AND(E1461&lt;&gt;"""", F1461=""""), ""真實支出"",
  AND(E1461="""", F1461&lt;&gt;""""), ""真實收入"",
  TRUE, ""其他""
)"),"真實收入")</f>
        <v>真實收入</v>
      </c>
      <c r="K1461" s="270">
        <f t="shared" si="2"/>
        <v>13500</v>
      </c>
      <c r="L1461">
        <f t="shared" si="3"/>
        <v>0</v>
      </c>
    </row>
    <row r="1462">
      <c r="A1462" s="107">
        <f>IFERROR(__xludf.DUMMYFUNCTION("""COMPUTED_VALUE"""),45690.0)</f>
        <v>45690</v>
      </c>
      <c r="B1462" t="str">
        <f>IFERROR(__xludf.DUMMYFUNCTION("""COMPUTED_VALUE"""),"[景安2分鐘] A [蕭宇榛] 月租金")</f>
        <v>[景安2分鐘] A [蕭宇榛] 月租金</v>
      </c>
      <c r="C1462" t="str">
        <f>IFERROR(__xludf.DUMMYFUNCTION("""COMPUTED_VALUE"""),"收入 - 租金")</f>
        <v>收入 - 租金</v>
      </c>
      <c r="D1462" s="270">
        <f>IFERROR(__xludf.DUMMYFUNCTION("""COMPUTED_VALUE"""),14500.0)</f>
        <v>14500</v>
      </c>
      <c r="F1462" t="str">
        <f>IFERROR(__xludf.DUMMYFUNCTION("""COMPUTED_VALUE"""),"台銀籌備帳戶")</f>
        <v>台銀籌備帳戶</v>
      </c>
      <c r="G1462" t="str">
        <f>IFERROR(__xludf.DUMMYFUNCTION("""COMPUTED_VALUE"""),"景安2分鐘")</f>
        <v>景安2分鐘</v>
      </c>
      <c r="H1462" s="106" t="str">
        <f t="shared" si="1"/>
        <v>2025-02</v>
      </c>
      <c r="I1462" s="271" t="str">
        <f>IFERROR(__xludf.DUMMYFUNCTION("""COMPUTED_VALUE"""),"貓狗企鵝")</f>
        <v>貓狗企鵝</v>
      </c>
      <c r="J1462" t="str">
        <f>IFERROR(__xludf.DUMMYFUNCTION("IFS(
  AND(REGEXMATCH(E1462, ""台銀籌備帳戶|玉山帳戶""), REGEXMATCH(C1462, ""薪資"")), ""分潤支出"",
  AND(REGEXMATCH(E1462, ""Ben帳戶|Elsa帳戶|Ben代墊|Ariel代墊|中信銀行共用""), REGEXMATCH(F1462, ""Ben帳戶|Elsa帳戶|Ben代墊|Ariel代墊|中信銀行共用"")), ""內部轉帳(忽略)"",
  AND(E1462&lt;&gt;"""", F1462&lt;&gt;"""", N"&amp;"OT(REGEXMATCH(C1462, ""薪資""))), ""內部轉帳(忽略)"",
  REGEXMATCH(C1462, ""薪資""), ""薪資變動(不計入)"",
  REGEXMATCH(C1462, ""押金""), ""押金往來"",
  AND(E1462&lt;&gt;"""", F1462=""""), ""真實支出"",
  AND(E1462="""", F1462&lt;&gt;""""), ""真實收入"",
  TRUE, ""其他""
)"),"真實收入")</f>
        <v>真實收入</v>
      </c>
      <c r="K1462" s="270">
        <f t="shared" si="2"/>
        <v>14500</v>
      </c>
      <c r="L1462">
        <f t="shared" si="3"/>
        <v>0</v>
      </c>
    </row>
    <row r="1463">
      <c r="A1463" s="107">
        <f>IFERROR(__xludf.DUMMYFUNCTION("""COMPUTED_VALUE"""),45690.0)</f>
        <v>45690</v>
      </c>
      <c r="B1463" t="str">
        <f>IFERROR(__xludf.DUMMYFUNCTION("""COMPUTED_VALUE"""),"[大湖山莊] E [吳彥霆] 月租金")</f>
        <v>[大湖山莊] E [吳彥霆] 月租金</v>
      </c>
      <c r="C1463" t="str">
        <f>IFERROR(__xludf.DUMMYFUNCTION("""COMPUTED_VALUE"""),"收入 - 租金")</f>
        <v>收入 - 租金</v>
      </c>
      <c r="D1463" s="270">
        <f>IFERROR(__xludf.DUMMYFUNCTION("""COMPUTED_VALUE"""),12500.0)</f>
        <v>12500</v>
      </c>
      <c r="F1463" t="str">
        <f>IFERROR(__xludf.DUMMYFUNCTION("""COMPUTED_VALUE"""),"台銀籌備帳戶")</f>
        <v>台銀籌備帳戶</v>
      </c>
      <c r="G1463" t="str">
        <f>IFERROR(__xludf.DUMMYFUNCTION("""COMPUTED_VALUE"""),"大湖山莊")</f>
        <v>大湖山莊</v>
      </c>
      <c r="H1463" s="106" t="str">
        <f t="shared" si="1"/>
        <v>2025-02</v>
      </c>
      <c r="I1463" s="271" t="str">
        <f>IFERROR(__xludf.DUMMYFUNCTION("""COMPUTED_VALUE"""),"貓狗企鵝")</f>
        <v>貓狗企鵝</v>
      </c>
      <c r="J1463" t="str">
        <f>IFERROR(__xludf.DUMMYFUNCTION("IFS(
  AND(REGEXMATCH(E1463, ""台銀籌備帳戶|玉山帳戶""), REGEXMATCH(C1463, ""薪資"")), ""分潤支出"",
  AND(REGEXMATCH(E1463, ""Ben帳戶|Elsa帳戶|Ben代墊|Ariel代墊|中信銀行共用""), REGEXMATCH(F1463, ""Ben帳戶|Elsa帳戶|Ben代墊|Ariel代墊|中信銀行共用"")), ""內部轉帳(忽略)"",
  AND(E1463&lt;&gt;"""", F1463&lt;&gt;"""", N"&amp;"OT(REGEXMATCH(C1463, ""薪資""))), ""內部轉帳(忽略)"",
  REGEXMATCH(C1463, ""薪資""), ""薪資變動(不計入)"",
  REGEXMATCH(C1463, ""押金""), ""押金往來"",
  AND(E1463&lt;&gt;"""", F1463=""""), ""真實支出"",
  AND(E1463="""", F1463&lt;&gt;""""), ""真實收入"",
  TRUE, ""其他""
)"),"真實收入")</f>
        <v>真實收入</v>
      </c>
      <c r="K1463" s="270">
        <f t="shared" si="2"/>
        <v>12500</v>
      </c>
      <c r="L1463">
        <f t="shared" si="3"/>
        <v>0</v>
      </c>
    </row>
    <row r="1464">
      <c r="A1464" s="107">
        <f>IFERROR(__xludf.DUMMYFUNCTION("""COMPUTED_VALUE"""),45690.0)</f>
        <v>45690</v>
      </c>
      <c r="B1464" t="str">
        <f>IFERROR(__xludf.DUMMYFUNCTION("""COMPUTED_VALUE"""),"[北醫醫師府] F [林雍勳] 月租金")</f>
        <v>[北醫醫師府] F [林雍勳] 月租金</v>
      </c>
      <c r="C1464" t="str">
        <f>IFERROR(__xludf.DUMMYFUNCTION("""COMPUTED_VALUE"""),"收入 - 租金")</f>
        <v>收入 - 租金</v>
      </c>
      <c r="D1464" s="270">
        <f>IFERROR(__xludf.DUMMYFUNCTION("""COMPUTED_VALUE"""),14800.0)</f>
        <v>14800</v>
      </c>
      <c r="F1464" t="str">
        <f>IFERROR(__xludf.DUMMYFUNCTION("""COMPUTED_VALUE"""),"台銀籌備帳戶")</f>
        <v>台銀籌備帳戶</v>
      </c>
      <c r="G1464" t="str">
        <f>IFERROR(__xludf.DUMMYFUNCTION("""COMPUTED_VALUE"""),"北醫醫師府")</f>
        <v>北醫醫師府</v>
      </c>
      <c r="H1464" s="106" t="str">
        <f t="shared" si="1"/>
        <v>2025-02</v>
      </c>
      <c r="I1464" s="271" t="str">
        <f>IFERROR(__xludf.DUMMYFUNCTION("""COMPUTED_VALUE"""),"貓狗企鵝")</f>
        <v>貓狗企鵝</v>
      </c>
      <c r="J1464" t="str">
        <f>IFERROR(__xludf.DUMMYFUNCTION("IFS(
  AND(REGEXMATCH(E1464, ""台銀籌備帳戶|玉山帳戶""), REGEXMATCH(C1464, ""薪資"")), ""分潤支出"",
  AND(REGEXMATCH(E1464, ""Ben帳戶|Elsa帳戶|Ben代墊|Ariel代墊|中信銀行共用""), REGEXMATCH(F1464, ""Ben帳戶|Elsa帳戶|Ben代墊|Ariel代墊|中信銀行共用"")), ""內部轉帳(忽略)"",
  AND(E1464&lt;&gt;"""", F1464&lt;&gt;"""", N"&amp;"OT(REGEXMATCH(C1464, ""薪資""))), ""內部轉帳(忽略)"",
  REGEXMATCH(C1464, ""薪資""), ""薪資變動(不計入)"",
  REGEXMATCH(C1464, ""押金""), ""押金往來"",
  AND(E1464&lt;&gt;"""", F1464=""""), ""真實支出"",
  AND(E1464="""", F1464&lt;&gt;""""), ""真實收入"",
  TRUE, ""其他""
)"),"真實收入")</f>
        <v>真實收入</v>
      </c>
      <c r="K1464" s="270">
        <f t="shared" si="2"/>
        <v>14800</v>
      </c>
      <c r="L1464">
        <f t="shared" si="3"/>
        <v>0</v>
      </c>
    </row>
    <row r="1465">
      <c r="A1465" s="107">
        <f>IFERROR(__xludf.DUMMYFUNCTION("""COMPUTED_VALUE"""),45690.0)</f>
        <v>45690</v>
      </c>
      <c r="B1465" t="str">
        <f>IFERROR(__xludf.DUMMYFUNCTION("""COMPUTED_VALUE"""),"[中山北娘家旁] A [李亨加] 月租金")</f>
        <v>[中山北娘家旁] A [李亨加] 月租金</v>
      </c>
      <c r="C1465" t="str">
        <f>IFERROR(__xludf.DUMMYFUNCTION("""COMPUTED_VALUE"""),"收入 - 租金")</f>
        <v>收入 - 租金</v>
      </c>
      <c r="D1465" s="270">
        <f>IFERROR(__xludf.DUMMYFUNCTION("""COMPUTED_VALUE"""),12500.0)</f>
        <v>12500</v>
      </c>
      <c r="F1465" t="str">
        <f>IFERROR(__xludf.DUMMYFUNCTION("""COMPUTED_VALUE"""),"台銀籌備帳戶")</f>
        <v>台銀籌備帳戶</v>
      </c>
      <c r="G1465" t="str">
        <f>IFERROR(__xludf.DUMMYFUNCTION("""COMPUTED_VALUE"""),"中山北娘家旁")</f>
        <v>中山北娘家旁</v>
      </c>
      <c r="H1465" s="106" t="str">
        <f t="shared" si="1"/>
        <v>2025-02</v>
      </c>
      <c r="I1465" s="271" t="str">
        <f>IFERROR(__xludf.DUMMYFUNCTION("""COMPUTED_VALUE"""),"貓狗企鵝")</f>
        <v>貓狗企鵝</v>
      </c>
      <c r="J1465" t="str">
        <f>IFERROR(__xludf.DUMMYFUNCTION("IFS(
  AND(REGEXMATCH(E1465, ""台銀籌備帳戶|玉山帳戶""), REGEXMATCH(C1465, ""薪資"")), ""分潤支出"",
  AND(REGEXMATCH(E1465, ""Ben帳戶|Elsa帳戶|Ben代墊|Ariel代墊|中信銀行共用""), REGEXMATCH(F1465, ""Ben帳戶|Elsa帳戶|Ben代墊|Ariel代墊|中信銀行共用"")), ""內部轉帳(忽略)"",
  AND(E1465&lt;&gt;"""", F1465&lt;&gt;"""", N"&amp;"OT(REGEXMATCH(C1465, ""薪資""))), ""內部轉帳(忽略)"",
  REGEXMATCH(C1465, ""薪資""), ""薪資變動(不計入)"",
  REGEXMATCH(C1465, ""押金""), ""押金往來"",
  AND(E1465&lt;&gt;"""", F1465=""""), ""真實支出"",
  AND(E1465="""", F1465&lt;&gt;""""), ""真實收入"",
  TRUE, ""其他""
)"),"真實收入")</f>
        <v>真實收入</v>
      </c>
      <c r="K1465" s="270">
        <f t="shared" si="2"/>
        <v>12500</v>
      </c>
      <c r="L1465">
        <f t="shared" si="3"/>
        <v>0</v>
      </c>
    </row>
    <row r="1466">
      <c r="A1466" s="107">
        <f>IFERROR(__xludf.DUMMYFUNCTION("""COMPUTED_VALUE"""),45690.0)</f>
        <v>45690</v>
      </c>
      <c r="B1466" t="str">
        <f>IFERROR(__xludf.DUMMYFUNCTION("""COMPUTED_VALUE"""),"[北醫醫師府] E [洪睿佑] 月租金")</f>
        <v>[北醫醫師府] E [洪睿佑] 月租金</v>
      </c>
      <c r="C1466" t="str">
        <f>IFERROR(__xludf.DUMMYFUNCTION("""COMPUTED_VALUE"""),"收入 - 租金")</f>
        <v>收入 - 租金</v>
      </c>
      <c r="D1466" s="270">
        <f>IFERROR(__xludf.DUMMYFUNCTION("""COMPUTED_VALUE"""),14800.0)</f>
        <v>14800</v>
      </c>
      <c r="F1466" t="str">
        <f>IFERROR(__xludf.DUMMYFUNCTION("""COMPUTED_VALUE"""),"台銀籌備帳戶")</f>
        <v>台銀籌備帳戶</v>
      </c>
      <c r="G1466" t="str">
        <f>IFERROR(__xludf.DUMMYFUNCTION("""COMPUTED_VALUE"""),"北醫醫師府")</f>
        <v>北醫醫師府</v>
      </c>
      <c r="H1466" s="106" t="str">
        <f t="shared" si="1"/>
        <v>2025-02</v>
      </c>
      <c r="I1466" s="271" t="str">
        <f>IFERROR(__xludf.DUMMYFUNCTION("""COMPUTED_VALUE"""),"貓狗企鵝")</f>
        <v>貓狗企鵝</v>
      </c>
      <c r="J1466" t="str">
        <f>IFERROR(__xludf.DUMMYFUNCTION("IFS(
  AND(REGEXMATCH(E1466, ""台銀籌備帳戶|玉山帳戶""), REGEXMATCH(C1466, ""薪資"")), ""分潤支出"",
  AND(REGEXMATCH(E1466, ""Ben帳戶|Elsa帳戶|Ben代墊|Ariel代墊|中信銀行共用""), REGEXMATCH(F1466, ""Ben帳戶|Elsa帳戶|Ben代墊|Ariel代墊|中信銀行共用"")), ""內部轉帳(忽略)"",
  AND(E1466&lt;&gt;"""", F1466&lt;&gt;"""", N"&amp;"OT(REGEXMATCH(C1466, ""薪資""))), ""內部轉帳(忽略)"",
  REGEXMATCH(C1466, ""薪資""), ""薪資變動(不計入)"",
  REGEXMATCH(C1466, ""押金""), ""押金往來"",
  AND(E1466&lt;&gt;"""", F1466=""""), ""真實支出"",
  AND(E1466="""", F1466&lt;&gt;""""), ""真實收入"",
  TRUE, ""其他""
)"),"真實收入")</f>
        <v>真實收入</v>
      </c>
      <c r="K1466" s="270">
        <f t="shared" si="2"/>
        <v>14800</v>
      </c>
      <c r="L1466">
        <f t="shared" si="3"/>
        <v>0</v>
      </c>
    </row>
    <row r="1467">
      <c r="A1467" s="107">
        <f>IFERROR(__xludf.DUMMYFUNCTION("""COMPUTED_VALUE"""),45674.0)</f>
        <v>45674</v>
      </c>
      <c r="B1467" t="str">
        <f>IFERROR(__xludf.DUMMYFUNCTION("""COMPUTED_VALUE"""),"[北醫醫師府] A [吳緯程]  押金")</f>
        <v>[北醫醫師府] A [吳緯程]  押金</v>
      </c>
      <c r="C1467" t="str">
        <f>IFERROR(__xludf.DUMMYFUNCTION("""COMPUTED_VALUE"""),"收入 - 押金")</f>
        <v>收入 - 押金</v>
      </c>
      <c r="D1467" s="270">
        <f>IFERROR(__xludf.DUMMYFUNCTION("""COMPUTED_VALUE"""),26000.0)</f>
        <v>26000</v>
      </c>
      <c r="F1467" t="str">
        <f>IFERROR(__xludf.DUMMYFUNCTION("""COMPUTED_VALUE"""),"台銀籌備帳戶")</f>
        <v>台銀籌備帳戶</v>
      </c>
      <c r="G1467" t="str">
        <f>IFERROR(__xludf.DUMMYFUNCTION("""COMPUTED_VALUE"""),"北醫醫師府")</f>
        <v>北醫醫師府</v>
      </c>
      <c r="H1467" s="106" t="str">
        <f t="shared" si="1"/>
        <v>2025-01</v>
      </c>
      <c r="I1467" s="271" t="str">
        <f>IFERROR(__xludf.DUMMYFUNCTION("""COMPUTED_VALUE"""),"貓狗企鵝")</f>
        <v>貓狗企鵝</v>
      </c>
      <c r="J1467" t="str">
        <f>IFERROR(__xludf.DUMMYFUNCTION("IFS(
  AND(REGEXMATCH(E1467, ""台銀籌備帳戶|玉山帳戶""), REGEXMATCH(C1467, ""薪資"")), ""分潤支出"",
  AND(REGEXMATCH(E1467, ""Ben帳戶|Elsa帳戶|Ben代墊|Ariel代墊|中信銀行共用""), REGEXMATCH(F1467, ""Ben帳戶|Elsa帳戶|Ben代墊|Ariel代墊|中信銀行共用"")), ""內部轉帳(忽略)"",
  AND(E1467&lt;&gt;"""", F1467&lt;&gt;"""", N"&amp;"OT(REGEXMATCH(C1467, ""薪資""))), ""內部轉帳(忽略)"",
  REGEXMATCH(C1467, ""薪資""), ""薪資變動(不計入)"",
  REGEXMATCH(C1467, ""押金""), ""押金往來"",
  AND(E1467&lt;&gt;"""", F1467=""""), ""真實支出"",
  AND(E1467="""", F1467&lt;&gt;""""), ""真實收入"",
  TRUE, ""其他""
)"),"押金往來")</f>
        <v>押金往來</v>
      </c>
      <c r="K1467">
        <f t="shared" si="2"/>
        <v>0</v>
      </c>
      <c r="L1467">
        <f t="shared" si="3"/>
        <v>0</v>
      </c>
    </row>
    <row r="1468">
      <c r="A1468" s="107">
        <f>IFERROR(__xludf.DUMMYFUNCTION("""COMPUTED_VALUE"""),45674.0)</f>
        <v>45674</v>
      </c>
      <c r="B1468" t="str">
        <f>IFERROR(__xludf.DUMMYFUNCTION("""COMPUTED_VALUE"""),"金龍帽子先生D蔡婷欣")</f>
        <v>金龍帽子先生D蔡婷欣</v>
      </c>
      <c r="C1468" t="str">
        <f>IFERROR(__xludf.DUMMYFUNCTION("""COMPUTED_VALUE"""),"收入 - 租金")</f>
        <v>收入 - 租金</v>
      </c>
      <c r="D1468" s="270">
        <f>IFERROR(__xludf.DUMMYFUNCTION("""COMPUTED_VALUE"""),14500.0)</f>
        <v>14500</v>
      </c>
      <c r="F1468" t="str">
        <f>IFERROR(__xludf.DUMMYFUNCTION("""COMPUTED_VALUE"""),"台銀籌備帳戶")</f>
        <v>台銀籌備帳戶</v>
      </c>
      <c r="G1468" t="str">
        <f>IFERROR(__xludf.DUMMYFUNCTION("""COMPUTED_VALUE"""),"金龍帽子先生")</f>
        <v>金龍帽子先生</v>
      </c>
      <c r="H1468" s="106" t="str">
        <f t="shared" si="1"/>
        <v>2025-01</v>
      </c>
      <c r="I1468" s="271" t="str">
        <f>IFERROR(__xludf.DUMMYFUNCTION("""COMPUTED_VALUE"""),"貓狗企鵝")</f>
        <v>貓狗企鵝</v>
      </c>
      <c r="J1468" t="str">
        <f>IFERROR(__xludf.DUMMYFUNCTION("IFS(
  AND(REGEXMATCH(E1468, ""台銀籌備帳戶|玉山帳戶""), REGEXMATCH(C1468, ""薪資"")), ""分潤支出"",
  AND(REGEXMATCH(E1468, ""Ben帳戶|Elsa帳戶|Ben代墊|Ariel代墊|中信銀行共用""), REGEXMATCH(F1468, ""Ben帳戶|Elsa帳戶|Ben代墊|Ariel代墊|中信銀行共用"")), ""內部轉帳(忽略)"",
  AND(E1468&lt;&gt;"""", F1468&lt;&gt;"""", N"&amp;"OT(REGEXMATCH(C1468, ""薪資""))), ""內部轉帳(忽略)"",
  REGEXMATCH(C1468, ""薪資""), ""薪資變動(不計入)"",
  REGEXMATCH(C1468, ""押金""), ""押金往來"",
  AND(E1468&lt;&gt;"""", F1468=""""), ""真實支出"",
  AND(E1468="""", F1468&lt;&gt;""""), ""真實收入"",
  TRUE, ""其他""
)"),"真實收入")</f>
        <v>真實收入</v>
      </c>
      <c r="K1468" s="270">
        <f t="shared" si="2"/>
        <v>14500</v>
      </c>
      <c r="L1468">
        <f t="shared" si="3"/>
        <v>0</v>
      </c>
    </row>
    <row r="1469">
      <c r="A1469" s="107">
        <f>IFERROR(__xludf.DUMMYFUNCTION("""COMPUTED_VALUE"""),45677.0)</f>
        <v>45677</v>
      </c>
      <c r="B1469" t="str">
        <f>IFERROR(__xludf.DUMMYFUNCTION("""COMPUTED_VALUE"""),"[北醫醫師府] A [吳緯程]  首租")</f>
        <v>[北醫醫師府] A [吳緯程]  首租</v>
      </c>
      <c r="C1469" t="str">
        <f>IFERROR(__xludf.DUMMYFUNCTION("""COMPUTED_VALUE"""),"收入 - 租金")</f>
        <v>收入 - 租金</v>
      </c>
      <c r="D1469" s="270">
        <f>IFERROR(__xludf.DUMMYFUNCTION("""COMPUTED_VALUE"""),13000.0)</f>
        <v>13000</v>
      </c>
      <c r="F1469" t="str">
        <f>IFERROR(__xludf.DUMMYFUNCTION("""COMPUTED_VALUE"""),"台銀籌備帳戶")</f>
        <v>台銀籌備帳戶</v>
      </c>
      <c r="G1469" t="str">
        <f>IFERROR(__xludf.DUMMYFUNCTION("""COMPUTED_VALUE"""),"北醫醫師府")</f>
        <v>北醫醫師府</v>
      </c>
      <c r="H1469" s="106" t="str">
        <f t="shared" si="1"/>
        <v>2025-01</v>
      </c>
      <c r="I1469" s="271" t="str">
        <f>IFERROR(__xludf.DUMMYFUNCTION("""COMPUTED_VALUE"""),"貓狗企鵝")</f>
        <v>貓狗企鵝</v>
      </c>
      <c r="J1469" t="str">
        <f>IFERROR(__xludf.DUMMYFUNCTION("IFS(
  AND(REGEXMATCH(E1469, ""台銀籌備帳戶|玉山帳戶""), REGEXMATCH(C1469, ""薪資"")), ""分潤支出"",
  AND(REGEXMATCH(E1469, ""Ben帳戶|Elsa帳戶|Ben代墊|Ariel代墊|中信銀行共用""), REGEXMATCH(F1469, ""Ben帳戶|Elsa帳戶|Ben代墊|Ariel代墊|中信銀行共用"")), ""內部轉帳(忽略)"",
  AND(E1469&lt;&gt;"""", F1469&lt;&gt;"""", N"&amp;"OT(REGEXMATCH(C1469, ""薪資""))), ""內部轉帳(忽略)"",
  REGEXMATCH(C1469, ""薪資""), ""薪資變動(不計入)"",
  REGEXMATCH(C1469, ""押金""), ""押金往來"",
  AND(E1469&lt;&gt;"""", F1469=""""), ""真實支出"",
  AND(E1469="""", F1469&lt;&gt;""""), ""真實收入"",
  TRUE, ""其他""
)"),"真實收入")</f>
        <v>真實收入</v>
      </c>
      <c r="K1469" s="270">
        <f t="shared" si="2"/>
        <v>13000</v>
      </c>
      <c r="L1469">
        <f t="shared" si="3"/>
        <v>0</v>
      </c>
    </row>
    <row r="1470">
      <c r="A1470" s="107">
        <f>IFERROR(__xludf.DUMMYFUNCTION("""COMPUTED_VALUE"""),45691.0)</f>
        <v>45691</v>
      </c>
      <c r="B1470" t="str">
        <f>IFERROR(__xludf.DUMMYFUNCTION("""COMPUTED_VALUE"""),"退還Mina多轉的租金")</f>
        <v>退還Mina多轉的租金</v>
      </c>
      <c r="C1470" t="str">
        <f>IFERROR(__xludf.DUMMYFUNCTION("""COMPUTED_VALUE"""),"收入 - 其他")</f>
        <v>收入 - 其他</v>
      </c>
      <c r="D1470" s="270">
        <f>IFERROR(__xludf.DUMMYFUNCTION("""COMPUTED_VALUE"""),-200.0)</f>
        <v>-200</v>
      </c>
      <c r="E1470" t="str">
        <f>IFERROR(__xludf.DUMMYFUNCTION("""COMPUTED_VALUE"""),"Ben帳戶")</f>
        <v>Ben帳戶</v>
      </c>
      <c r="G1470" t="str">
        <f>IFERROR(__xludf.DUMMYFUNCTION("""COMPUTED_VALUE"""),"龍江229")</f>
        <v>龍江229</v>
      </c>
      <c r="H1470" s="106" t="str">
        <f t="shared" si="1"/>
        <v>2025-02</v>
      </c>
      <c r="I1470" s="271" t="str">
        <f>IFERROR(__xludf.DUMMYFUNCTION("""COMPUTED_VALUE"""),"貓狗企鵝")</f>
        <v>貓狗企鵝</v>
      </c>
      <c r="J1470" t="str">
        <f>IFERROR(__xludf.DUMMYFUNCTION("IFS(
  AND(REGEXMATCH(E1470, ""台銀籌備帳戶|玉山帳戶""), REGEXMATCH(C1470, ""薪資"")), ""分潤支出"",
  AND(REGEXMATCH(E1470, ""Ben帳戶|Elsa帳戶|Ben代墊|Ariel代墊|中信銀行共用""), REGEXMATCH(F1470, ""Ben帳戶|Elsa帳戶|Ben代墊|Ariel代墊|中信銀行共用"")), ""內部轉帳(忽略)"",
  AND(E1470&lt;&gt;"""", F1470&lt;&gt;"""", N"&amp;"OT(REGEXMATCH(C1470, ""薪資""))), ""內部轉帳(忽略)"",
  REGEXMATCH(C1470, ""薪資""), ""薪資變動(不計入)"",
  REGEXMATCH(C1470, ""押金""), ""押金往來"",
  AND(E1470&lt;&gt;"""", F1470=""""), ""真實支出"",
  AND(E1470="""", F1470&lt;&gt;""""), ""真實收入"",
  TRUE, ""其他""
)"),"真實支出")</f>
        <v>真實支出</v>
      </c>
      <c r="K1470" s="270">
        <f t="shared" si="2"/>
        <v>-200</v>
      </c>
      <c r="L1470">
        <f t="shared" si="3"/>
        <v>0</v>
      </c>
    </row>
    <row r="1471">
      <c r="A1471" s="107">
        <f>IFERROR(__xludf.DUMMYFUNCTION("""COMPUTED_VALUE"""),45691.0)</f>
        <v>45691</v>
      </c>
      <c r="B1471" t="str">
        <f>IFERROR(__xludf.DUMMYFUNCTION("""COMPUTED_VALUE"""),"沖帳(Mina多轉200元)")</f>
        <v>沖帳(Mina多轉200元)</v>
      </c>
      <c r="C1471" t="str">
        <f>IFERROR(__xludf.DUMMYFUNCTION("""COMPUTED_VALUE"""),"收入 - 其他")</f>
        <v>收入 - 其他</v>
      </c>
      <c r="D1471" s="270">
        <f>IFERROR(__xludf.DUMMYFUNCTION("""COMPUTED_VALUE"""),200.0)</f>
        <v>200</v>
      </c>
      <c r="F1471" t="str">
        <f>IFERROR(__xludf.DUMMYFUNCTION("""COMPUTED_VALUE"""),"台銀籌備帳戶")</f>
        <v>台銀籌備帳戶</v>
      </c>
      <c r="H1471" s="106" t="str">
        <f t="shared" si="1"/>
        <v>2025-02</v>
      </c>
      <c r="I1471" s="271" t="str">
        <f>IFERROR(__xludf.DUMMYFUNCTION("""COMPUTED_VALUE"""),"貓狗企鵝")</f>
        <v>貓狗企鵝</v>
      </c>
      <c r="J1471" t="str">
        <f>IFERROR(__xludf.DUMMYFUNCTION("IFS(
  AND(REGEXMATCH(E1471, ""台銀籌備帳戶|玉山帳戶""), REGEXMATCH(C1471, ""薪資"")), ""分潤支出"",
  AND(REGEXMATCH(E1471, ""Ben帳戶|Elsa帳戶|Ben代墊|Ariel代墊|中信銀行共用""), REGEXMATCH(F1471, ""Ben帳戶|Elsa帳戶|Ben代墊|Ariel代墊|中信銀行共用"")), ""內部轉帳(忽略)"",
  AND(E1471&lt;&gt;"""", F1471&lt;&gt;"""", N"&amp;"OT(REGEXMATCH(C1471, ""薪資""))), ""內部轉帳(忽略)"",
  REGEXMATCH(C1471, ""薪資""), ""薪資變動(不計入)"",
  REGEXMATCH(C1471, ""押金""), ""押金往來"",
  AND(E1471&lt;&gt;"""", F1471=""""), ""真實支出"",
  AND(E1471="""", F1471&lt;&gt;""""), ""真實收入"",
  TRUE, ""其他""
)"),"真實收入")</f>
        <v>真實收入</v>
      </c>
      <c r="K1471" s="270">
        <f t="shared" si="2"/>
        <v>200</v>
      </c>
      <c r="L1471">
        <f t="shared" si="3"/>
        <v>0</v>
      </c>
    </row>
    <row r="1472">
      <c r="A1472" s="107">
        <f>IFERROR(__xludf.DUMMYFUNCTION("""COMPUTED_VALUE"""),45691.0)</f>
        <v>45691</v>
      </c>
      <c r="B1472" t="str">
        <f>IFERROR(__xludf.DUMMYFUNCTION("""COMPUTED_VALUE"""),"哈拉網路費 20250126-20260131")</f>
        <v>哈拉網路費 20250126-20260131</v>
      </c>
      <c r="C1472" t="str">
        <f>IFERROR(__xludf.DUMMYFUNCTION("""COMPUTED_VALUE"""),"成本 - 固定開銷(網路代收清潔)")</f>
        <v>成本 - 固定開銷(網路代收清潔)</v>
      </c>
      <c r="D1472" s="270">
        <f>IFERROR(__xludf.DUMMYFUNCTION("""COMPUTED_VALUE"""),-2600.0)</f>
        <v>-2600</v>
      </c>
      <c r="E1472" t="str">
        <f>IFERROR(__xludf.DUMMYFUNCTION("""COMPUTED_VALUE"""),"Elsa帳戶")</f>
        <v>Elsa帳戶</v>
      </c>
      <c r="G1472" t="str">
        <f>IFERROR(__xludf.DUMMYFUNCTION("""COMPUTED_VALUE"""),"哈拉對面")</f>
        <v>哈拉對面</v>
      </c>
      <c r="H1472" s="106" t="str">
        <f t="shared" si="1"/>
        <v>2025-02</v>
      </c>
      <c r="I1472" s="271" t="str">
        <f>IFERROR(__xludf.DUMMYFUNCTION("""COMPUTED_VALUE"""),"貓狗企鵝")</f>
        <v>貓狗企鵝</v>
      </c>
      <c r="J1472" t="str">
        <f>IFERROR(__xludf.DUMMYFUNCTION("IFS(
  AND(REGEXMATCH(E1472, ""台銀籌備帳戶|玉山帳戶""), REGEXMATCH(C1472, ""薪資"")), ""分潤支出"",
  AND(REGEXMATCH(E1472, ""Ben帳戶|Elsa帳戶|Ben代墊|Ariel代墊|中信銀行共用""), REGEXMATCH(F1472, ""Ben帳戶|Elsa帳戶|Ben代墊|Ariel代墊|中信銀行共用"")), ""內部轉帳(忽略)"",
  AND(E1472&lt;&gt;"""", F1472&lt;&gt;"""", N"&amp;"OT(REGEXMATCH(C1472, ""薪資""))), ""內部轉帳(忽略)"",
  REGEXMATCH(C1472, ""薪資""), ""薪資變動(不計入)"",
  REGEXMATCH(C1472, ""押金""), ""押金往來"",
  AND(E1472&lt;&gt;"""", F1472=""""), ""真實支出"",
  AND(E1472="""", F1472&lt;&gt;""""), ""真實收入"",
  TRUE, ""其他""
)"),"真實支出")</f>
        <v>真實支出</v>
      </c>
      <c r="K1472" s="270">
        <f t="shared" si="2"/>
        <v>-2600</v>
      </c>
      <c r="L1472">
        <f t="shared" si="3"/>
        <v>0</v>
      </c>
    </row>
    <row r="1473">
      <c r="A1473" s="107">
        <f>IFERROR(__xludf.DUMMYFUNCTION("""COMPUTED_VALUE"""),45690.0)</f>
        <v>45690</v>
      </c>
      <c r="B1473" t="str">
        <f>IFERROR(__xludf.DUMMYFUNCTION("""COMPUTED_VALUE"""),"[南港站挑高宅] D [吳城慕] 月租金")</f>
        <v>[南港站挑高宅] D [吳城慕] 月租金</v>
      </c>
      <c r="C1473" t="str">
        <f>IFERROR(__xludf.DUMMYFUNCTION("""COMPUTED_VALUE"""),"收入 - 租金")</f>
        <v>收入 - 租金</v>
      </c>
      <c r="D1473" s="270">
        <f>IFERROR(__xludf.DUMMYFUNCTION("""COMPUTED_VALUE"""),14300.0)</f>
        <v>14300</v>
      </c>
      <c r="F1473" t="str">
        <f>IFERROR(__xludf.DUMMYFUNCTION("""COMPUTED_VALUE"""),"台銀籌備帳戶")</f>
        <v>台銀籌備帳戶</v>
      </c>
      <c r="G1473" t="str">
        <f>IFERROR(__xludf.DUMMYFUNCTION("""COMPUTED_VALUE"""),"南港站挑高宅")</f>
        <v>南港站挑高宅</v>
      </c>
      <c r="H1473" s="106" t="str">
        <f t="shared" si="1"/>
        <v>2025-02</v>
      </c>
      <c r="I1473" s="271" t="str">
        <f>IFERROR(__xludf.DUMMYFUNCTION("""COMPUTED_VALUE"""),"貓狗企鵝")</f>
        <v>貓狗企鵝</v>
      </c>
      <c r="J1473" t="str">
        <f>IFERROR(__xludf.DUMMYFUNCTION("IFS(
  AND(REGEXMATCH(E1473, ""台銀籌備帳戶|玉山帳戶""), REGEXMATCH(C1473, ""薪資"")), ""分潤支出"",
  AND(REGEXMATCH(E1473, ""Ben帳戶|Elsa帳戶|Ben代墊|Ariel代墊|中信銀行共用""), REGEXMATCH(F1473, ""Ben帳戶|Elsa帳戶|Ben代墊|Ariel代墊|中信銀行共用"")), ""內部轉帳(忽略)"",
  AND(E1473&lt;&gt;"""", F1473&lt;&gt;"""", N"&amp;"OT(REGEXMATCH(C1473, ""薪資""))), ""內部轉帳(忽略)"",
  REGEXMATCH(C1473, ""薪資""), ""薪資變動(不計入)"",
  REGEXMATCH(C1473, ""押金""), ""押金往來"",
  AND(E1473&lt;&gt;"""", F1473=""""), ""真實支出"",
  AND(E1473="""", F1473&lt;&gt;""""), ""真實收入"",
  TRUE, ""其他""
)"),"真實收入")</f>
        <v>真實收入</v>
      </c>
      <c r="K1473" s="270">
        <f t="shared" si="2"/>
        <v>14300</v>
      </c>
      <c r="L1473">
        <f t="shared" si="3"/>
        <v>0</v>
      </c>
    </row>
    <row r="1474">
      <c r="A1474" s="107">
        <f>IFERROR(__xludf.DUMMYFUNCTION("""COMPUTED_VALUE"""),45690.0)</f>
        <v>45690</v>
      </c>
      <c r="B1474" t="str">
        <f>IFERROR(__xludf.DUMMYFUNCTION("""COMPUTED_VALUE"""),"[市府爺爺家] A [董書鵬, 張瑋珊] 月租金")</f>
        <v>[市府爺爺家] A [董書鵬, 張瑋珊] 月租金</v>
      </c>
      <c r="C1474" t="str">
        <f>IFERROR(__xludf.DUMMYFUNCTION("""COMPUTED_VALUE"""),"收入 - 租金")</f>
        <v>收入 - 租金</v>
      </c>
      <c r="D1474" s="270">
        <f>IFERROR(__xludf.DUMMYFUNCTION("""COMPUTED_VALUE"""),22000.0)</f>
        <v>22000</v>
      </c>
      <c r="F1474" t="str">
        <f>IFERROR(__xludf.DUMMYFUNCTION("""COMPUTED_VALUE"""),"台銀籌備帳戶")</f>
        <v>台銀籌備帳戶</v>
      </c>
      <c r="G1474" t="str">
        <f>IFERROR(__xludf.DUMMYFUNCTION("""COMPUTED_VALUE"""),"市府爺爺家")</f>
        <v>市府爺爺家</v>
      </c>
      <c r="H1474" s="106" t="str">
        <f t="shared" si="1"/>
        <v>2025-02</v>
      </c>
      <c r="I1474" s="271" t="str">
        <f>IFERROR(__xludf.DUMMYFUNCTION("""COMPUTED_VALUE"""),"貓狗企鵝")</f>
        <v>貓狗企鵝</v>
      </c>
      <c r="J1474" t="str">
        <f>IFERROR(__xludf.DUMMYFUNCTION("IFS(
  AND(REGEXMATCH(E1474, ""台銀籌備帳戶|玉山帳戶""), REGEXMATCH(C1474, ""薪資"")), ""分潤支出"",
  AND(REGEXMATCH(E1474, ""Ben帳戶|Elsa帳戶|Ben代墊|Ariel代墊|中信銀行共用""), REGEXMATCH(F1474, ""Ben帳戶|Elsa帳戶|Ben代墊|Ariel代墊|中信銀行共用"")), ""內部轉帳(忽略)"",
  AND(E1474&lt;&gt;"""", F1474&lt;&gt;"""", N"&amp;"OT(REGEXMATCH(C1474, ""薪資""))), ""內部轉帳(忽略)"",
  REGEXMATCH(C1474, ""薪資""), ""薪資變動(不計入)"",
  REGEXMATCH(C1474, ""押金""), ""押金往來"",
  AND(E1474&lt;&gt;"""", F1474=""""), ""真實支出"",
  AND(E1474="""", F1474&lt;&gt;""""), ""真實收入"",
  TRUE, ""其他""
)"),"真實收入")</f>
        <v>真實收入</v>
      </c>
      <c r="K1474" s="270">
        <f t="shared" si="2"/>
        <v>22000</v>
      </c>
      <c r="L1474">
        <f t="shared" si="3"/>
        <v>0</v>
      </c>
    </row>
    <row r="1475">
      <c r="A1475" s="107">
        <f>IFERROR(__xludf.DUMMYFUNCTION("""COMPUTED_VALUE"""),45690.0)</f>
        <v>45690</v>
      </c>
      <c r="B1475" t="str">
        <f>IFERROR(__xludf.DUMMYFUNCTION("""COMPUTED_VALUE"""),"[金龍帽子先生] B [謝歆俞] 月租金")</f>
        <v>[金龍帽子先生] B [謝歆俞] 月租金</v>
      </c>
      <c r="C1475" t="str">
        <f>IFERROR(__xludf.DUMMYFUNCTION("""COMPUTED_VALUE"""),"收入 - 租金")</f>
        <v>收入 - 租金</v>
      </c>
      <c r="D1475" s="270">
        <f>IFERROR(__xludf.DUMMYFUNCTION("""COMPUTED_VALUE"""),12700.0)</f>
        <v>12700</v>
      </c>
      <c r="F1475" t="str">
        <f>IFERROR(__xludf.DUMMYFUNCTION("""COMPUTED_VALUE"""),"台銀籌備帳戶")</f>
        <v>台銀籌備帳戶</v>
      </c>
      <c r="G1475" t="str">
        <f>IFERROR(__xludf.DUMMYFUNCTION("""COMPUTED_VALUE"""),"金龍帽子先生")</f>
        <v>金龍帽子先生</v>
      </c>
      <c r="H1475" s="106" t="str">
        <f t="shared" si="1"/>
        <v>2025-02</v>
      </c>
      <c r="I1475" s="271" t="str">
        <f>IFERROR(__xludf.DUMMYFUNCTION("""COMPUTED_VALUE"""),"貓狗企鵝")</f>
        <v>貓狗企鵝</v>
      </c>
      <c r="J1475" t="str">
        <f>IFERROR(__xludf.DUMMYFUNCTION("IFS(
  AND(REGEXMATCH(E1475, ""台銀籌備帳戶|玉山帳戶""), REGEXMATCH(C1475, ""薪資"")), ""分潤支出"",
  AND(REGEXMATCH(E1475, ""Ben帳戶|Elsa帳戶|Ben代墊|Ariel代墊|中信銀行共用""), REGEXMATCH(F1475, ""Ben帳戶|Elsa帳戶|Ben代墊|Ariel代墊|中信銀行共用"")), ""內部轉帳(忽略)"",
  AND(E1475&lt;&gt;"""", F1475&lt;&gt;"""", N"&amp;"OT(REGEXMATCH(C1475, ""薪資""))), ""內部轉帳(忽略)"",
  REGEXMATCH(C1475, ""薪資""), ""薪資變動(不計入)"",
  REGEXMATCH(C1475, ""押金""), ""押金往來"",
  AND(E1475&lt;&gt;"""", F1475=""""), ""真實支出"",
  AND(E1475="""", F1475&lt;&gt;""""), ""真實收入"",
  TRUE, ""其他""
)"),"真實收入")</f>
        <v>真實收入</v>
      </c>
      <c r="K1475" s="270">
        <f t="shared" si="2"/>
        <v>12700</v>
      </c>
      <c r="L1475">
        <f t="shared" si="3"/>
        <v>0</v>
      </c>
    </row>
    <row r="1476">
      <c r="A1476" s="107">
        <f>IFERROR(__xludf.DUMMYFUNCTION("""COMPUTED_VALUE"""),45690.0)</f>
        <v>45690</v>
      </c>
      <c r="B1476" t="str">
        <f>IFERROR(__xludf.DUMMYFUNCTION("""COMPUTED_VALUE"""),"[中山北娘家旁] D [許庭偉] 月租金")</f>
        <v>[中山北娘家旁] D [許庭偉] 月租金</v>
      </c>
      <c r="C1476" t="str">
        <f>IFERROR(__xludf.DUMMYFUNCTION("""COMPUTED_VALUE"""),"收入 - 租金")</f>
        <v>收入 - 租金</v>
      </c>
      <c r="D1476" s="270">
        <f>IFERROR(__xludf.DUMMYFUNCTION("""COMPUTED_VALUE"""),14500.0)</f>
        <v>14500</v>
      </c>
      <c r="F1476" t="str">
        <f>IFERROR(__xludf.DUMMYFUNCTION("""COMPUTED_VALUE"""),"台銀籌備帳戶")</f>
        <v>台銀籌備帳戶</v>
      </c>
      <c r="G1476" t="str">
        <f>IFERROR(__xludf.DUMMYFUNCTION("""COMPUTED_VALUE"""),"中山北娘家旁")</f>
        <v>中山北娘家旁</v>
      </c>
      <c r="H1476" s="106" t="str">
        <f t="shared" si="1"/>
        <v>2025-02</v>
      </c>
      <c r="I1476" s="271" t="str">
        <f>IFERROR(__xludf.DUMMYFUNCTION("""COMPUTED_VALUE"""),"貓狗企鵝")</f>
        <v>貓狗企鵝</v>
      </c>
      <c r="J1476" t="str">
        <f>IFERROR(__xludf.DUMMYFUNCTION("IFS(
  AND(REGEXMATCH(E1476, ""台銀籌備帳戶|玉山帳戶""), REGEXMATCH(C1476, ""薪資"")), ""分潤支出"",
  AND(REGEXMATCH(E1476, ""Ben帳戶|Elsa帳戶|Ben代墊|Ariel代墊|中信銀行共用""), REGEXMATCH(F1476, ""Ben帳戶|Elsa帳戶|Ben代墊|Ariel代墊|中信銀行共用"")), ""內部轉帳(忽略)"",
  AND(E1476&lt;&gt;"""", F1476&lt;&gt;"""", N"&amp;"OT(REGEXMATCH(C1476, ""薪資""))), ""內部轉帳(忽略)"",
  REGEXMATCH(C1476, ""薪資""), ""薪資變動(不計入)"",
  REGEXMATCH(C1476, ""押金""), ""押金往來"",
  AND(E1476&lt;&gt;"""", F1476=""""), ""真實支出"",
  AND(E1476="""", F1476&lt;&gt;""""), ""真實收入"",
  TRUE, ""其他""
)"),"真實收入")</f>
        <v>真實收入</v>
      </c>
      <c r="K1476" s="270">
        <f t="shared" si="2"/>
        <v>14500</v>
      </c>
      <c r="L1476">
        <f t="shared" si="3"/>
        <v>0</v>
      </c>
    </row>
    <row r="1477">
      <c r="A1477" s="107">
        <f>IFERROR(__xludf.DUMMYFUNCTION("""COMPUTED_VALUE"""),45690.0)</f>
        <v>45690</v>
      </c>
      <c r="B1477" t="str">
        <f>IFERROR(__xludf.DUMMYFUNCTION("""COMPUTED_VALUE"""),"[大湖山莊] A [熊翊丞] 月租金")</f>
        <v>[大湖山莊] A [熊翊丞] 月租金</v>
      </c>
      <c r="C1477" t="str">
        <f>IFERROR(__xludf.DUMMYFUNCTION("""COMPUTED_VALUE"""),"收入 - 租金")</f>
        <v>收入 - 租金</v>
      </c>
      <c r="D1477" s="270">
        <f>IFERROR(__xludf.DUMMYFUNCTION("""COMPUTED_VALUE"""),13300.0)</f>
        <v>13300</v>
      </c>
      <c r="F1477" t="str">
        <f>IFERROR(__xludf.DUMMYFUNCTION("""COMPUTED_VALUE"""),"台銀籌備帳戶")</f>
        <v>台銀籌備帳戶</v>
      </c>
      <c r="G1477" t="str">
        <f>IFERROR(__xludf.DUMMYFUNCTION("""COMPUTED_VALUE"""),"大湖山莊")</f>
        <v>大湖山莊</v>
      </c>
      <c r="H1477" s="106" t="str">
        <f t="shared" si="1"/>
        <v>2025-02</v>
      </c>
      <c r="I1477" s="271" t="str">
        <f>IFERROR(__xludf.DUMMYFUNCTION("""COMPUTED_VALUE"""),"貓狗企鵝")</f>
        <v>貓狗企鵝</v>
      </c>
      <c r="J1477" t="str">
        <f>IFERROR(__xludf.DUMMYFUNCTION("IFS(
  AND(REGEXMATCH(E1477, ""台銀籌備帳戶|玉山帳戶""), REGEXMATCH(C1477, ""薪資"")), ""分潤支出"",
  AND(REGEXMATCH(E1477, ""Ben帳戶|Elsa帳戶|Ben代墊|Ariel代墊|中信銀行共用""), REGEXMATCH(F1477, ""Ben帳戶|Elsa帳戶|Ben代墊|Ariel代墊|中信銀行共用"")), ""內部轉帳(忽略)"",
  AND(E1477&lt;&gt;"""", F1477&lt;&gt;"""", N"&amp;"OT(REGEXMATCH(C1477, ""薪資""))), ""內部轉帳(忽略)"",
  REGEXMATCH(C1477, ""薪資""), ""薪資變動(不計入)"",
  REGEXMATCH(C1477, ""押金""), ""押金往來"",
  AND(E1477&lt;&gt;"""", F1477=""""), ""真實支出"",
  AND(E1477="""", F1477&lt;&gt;""""), ""真實收入"",
  TRUE, ""其他""
)"),"真實收入")</f>
        <v>真實收入</v>
      </c>
      <c r="K1477" s="270">
        <f t="shared" si="2"/>
        <v>13300</v>
      </c>
      <c r="L1477">
        <f t="shared" si="3"/>
        <v>0</v>
      </c>
    </row>
    <row r="1478">
      <c r="A1478" s="107">
        <f>IFERROR(__xludf.DUMMYFUNCTION("""COMPUTED_VALUE"""),45690.0)</f>
        <v>45690</v>
      </c>
      <c r="B1478" t="str">
        <f>IFERROR(__xludf.DUMMYFUNCTION("""COMPUTED_VALUE"""),"[北醫醫師府] C [余典蓉] 月租金")</f>
        <v>[北醫醫師府] C [余典蓉] 月租金</v>
      </c>
      <c r="C1478" t="str">
        <f>IFERROR(__xludf.DUMMYFUNCTION("""COMPUTED_VALUE"""),"收入 - 租金")</f>
        <v>收入 - 租金</v>
      </c>
      <c r="D1478" s="270">
        <f>IFERROR(__xludf.DUMMYFUNCTION("""COMPUTED_VALUE"""),13000.0)</f>
        <v>13000</v>
      </c>
      <c r="F1478" t="str">
        <f>IFERROR(__xludf.DUMMYFUNCTION("""COMPUTED_VALUE"""),"台銀籌備帳戶")</f>
        <v>台銀籌備帳戶</v>
      </c>
      <c r="G1478" t="str">
        <f>IFERROR(__xludf.DUMMYFUNCTION("""COMPUTED_VALUE"""),"北醫醫師府")</f>
        <v>北醫醫師府</v>
      </c>
      <c r="H1478" s="106" t="str">
        <f t="shared" si="1"/>
        <v>2025-02</v>
      </c>
      <c r="I1478" s="271" t="str">
        <f>IFERROR(__xludf.DUMMYFUNCTION("""COMPUTED_VALUE"""),"貓狗企鵝")</f>
        <v>貓狗企鵝</v>
      </c>
      <c r="J1478" t="str">
        <f>IFERROR(__xludf.DUMMYFUNCTION("IFS(
  AND(REGEXMATCH(E1478, ""台銀籌備帳戶|玉山帳戶""), REGEXMATCH(C1478, ""薪資"")), ""分潤支出"",
  AND(REGEXMATCH(E1478, ""Ben帳戶|Elsa帳戶|Ben代墊|Ariel代墊|中信銀行共用""), REGEXMATCH(F1478, ""Ben帳戶|Elsa帳戶|Ben代墊|Ariel代墊|中信銀行共用"")), ""內部轉帳(忽略)"",
  AND(E1478&lt;&gt;"""", F1478&lt;&gt;"""", N"&amp;"OT(REGEXMATCH(C1478, ""薪資""))), ""內部轉帳(忽略)"",
  REGEXMATCH(C1478, ""薪資""), ""薪資變動(不計入)"",
  REGEXMATCH(C1478, ""押金""), ""押金往來"",
  AND(E1478&lt;&gt;"""", F1478=""""), ""真實支出"",
  AND(E1478="""", F1478&lt;&gt;""""), ""真實收入"",
  TRUE, ""其他""
)"),"真實收入")</f>
        <v>真實收入</v>
      </c>
      <c r="K1478" s="270">
        <f t="shared" si="2"/>
        <v>13000</v>
      </c>
      <c r="L1478">
        <f t="shared" si="3"/>
        <v>0</v>
      </c>
    </row>
    <row r="1479">
      <c r="A1479" s="107">
        <f>IFERROR(__xludf.DUMMYFUNCTION("""COMPUTED_VALUE"""),45690.0)</f>
        <v>45690</v>
      </c>
      <c r="B1479" t="str">
        <f>IFERROR(__xludf.DUMMYFUNCTION("""COMPUTED_VALUE"""),"龍江C 雨彤")</f>
        <v>龍江C 雨彤</v>
      </c>
      <c r="C1479" t="str">
        <f>IFERROR(__xludf.DUMMYFUNCTION("""COMPUTED_VALUE"""),"收入 - 租金")</f>
        <v>收入 - 租金</v>
      </c>
      <c r="D1479" s="270">
        <f>IFERROR(__xludf.DUMMYFUNCTION("""COMPUTED_VALUE"""),16800.0)</f>
        <v>16800</v>
      </c>
      <c r="F1479" t="str">
        <f>IFERROR(__xludf.DUMMYFUNCTION("""COMPUTED_VALUE"""),"台銀籌備帳戶")</f>
        <v>台銀籌備帳戶</v>
      </c>
      <c r="G1479" t="str">
        <f>IFERROR(__xludf.DUMMYFUNCTION("""COMPUTED_VALUE"""),"龍江229")</f>
        <v>龍江229</v>
      </c>
      <c r="H1479" s="106" t="str">
        <f t="shared" si="1"/>
        <v>2025-02</v>
      </c>
      <c r="I1479" s="271" t="str">
        <f>IFERROR(__xludf.DUMMYFUNCTION("""COMPUTED_VALUE"""),"貓狗企鵝")</f>
        <v>貓狗企鵝</v>
      </c>
      <c r="J1479" t="str">
        <f>IFERROR(__xludf.DUMMYFUNCTION("IFS(
  AND(REGEXMATCH(E1479, ""台銀籌備帳戶|玉山帳戶""), REGEXMATCH(C1479, ""薪資"")), ""分潤支出"",
  AND(REGEXMATCH(E1479, ""Ben帳戶|Elsa帳戶|Ben代墊|Ariel代墊|中信銀行共用""), REGEXMATCH(F1479, ""Ben帳戶|Elsa帳戶|Ben代墊|Ariel代墊|中信銀行共用"")), ""內部轉帳(忽略)"",
  AND(E1479&lt;&gt;"""", F1479&lt;&gt;"""", N"&amp;"OT(REGEXMATCH(C1479, ""薪資""))), ""內部轉帳(忽略)"",
  REGEXMATCH(C1479, ""薪資""), ""薪資變動(不計入)"",
  REGEXMATCH(C1479, ""押金""), ""押金往來"",
  AND(E1479&lt;&gt;"""", F1479=""""), ""真實支出"",
  AND(E1479="""", F1479&lt;&gt;""""), ""真實收入"",
  TRUE, ""其他""
)"),"真實收入")</f>
        <v>真實收入</v>
      </c>
      <c r="K1479" s="270">
        <f t="shared" si="2"/>
        <v>16800</v>
      </c>
      <c r="L1479">
        <f t="shared" si="3"/>
        <v>0</v>
      </c>
    </row>
    <row r="1480">
      <c r="A1480" s="107">
        <f>IFERROR(__xludf.DUMMYFUNCTION("""COMPUTED_VALUE"""),45691.0)</f>
        <v>45691</v>
      </c>
      <c r="B1480" t="str">
        <f>IFERROR(__xludf.DUMMYFUNCTION("""COMPUTED_VALUE"""),"景安ECHERYL")</f>
        <v>景安ECHERYL</v>
      </c>
      <c r="C1480" t="str">
        <f>IFERROR(__xludf.DUMMYFUNCTION("""COMPUTED_VALUE"""),"收入 - 租金")</f>
        <v>收入 - 租金</v>
      </c>
      <c r="D1480" s="270">
        <f>IFERROR(__xludf.DUMMYFUNCTION("""COMPUTED_VALUE"""),9500.0)</f>
        <v>9500</v>
      </c>
      <c r="F1480" t="str">
        <f>IFERROR(__xludf.DUMMYFUNCTION("""COMPUTED_VALUE"""),"台銀籌備帳戶")</f>
        <v>台銀籌備帳戶</v>
      </c>
      <c r="G1480" t="str">
        <f>IFERROR(__xludf.DUMMYFUNCTION("""COMPUTED_VALUE"""),"景安2分鐘")</f>
        <v>景安2分鐘</v>
      </c>
      <c r="H1480" s="106" t="str">
        <f t="shared" si="1"/>
        <v>2025-02</v>
      </c>
      <c r="I1480" s="271" t="str">
        <f>IFERROR(__xludf.DUMMYFUNCTION("""COMPUTED_VALUE"""),"貓狗企鵝")</f>
        <v>貓狗企鵝</v>
      </c>
      <c r="J1480" t="str">
        <f>IFERROR(__xludf.DUMMYFUNCTION("IFS(
  AND(REGEXMATCH(E1480, ""台銀籌備帳戶|玉山帳戶""), REGEXMATCH(C1480, ""薪資"")), ""分潤支出"",
  AND(REGEXMATCH(E1480, ""Ben帳戶|Elsa帳戶|Ben代墊|Ariel代墊|中信銀行共用""), REGEXMATCH(F1480, ""Ben帳戶|Elsa帳戶|Ben代墊|Ariel代墊|中信銀行共用"")), ""內部轉帳(忽略)"",
  AND(E1480&lt;&gt;"""", F1480&lt;&gt;"""", N"&amp;"OT(REGEXMATCH(C1480, ""薪資""))), ""內部轉帳(忽略)"",
  REGEXMATCH(C1480, ""薪資""), ""薪資變動(不計入)"",
  REGEXMATCH(C1480, ""押金""), ""押金往來"",
  AND(E1480&lt;&gt;"""", F1480=""""), ""真實支出"",
  AND(E1480="""", F1480&lt;&gt;""""), ""真實收入"",
  TRUE, ""其他""
)"),"真實收入")</f>
        <v>真實收入</v>
      </c>
      <c r="K1480" s="270">
        <f t="shared" si="2"/>
        <v>9500</v>
      </c>
      <c r="L1480">
        <f t="shared" si="3"/>
        <v>0</v>
      </c>
    </row>
    <row r="1481">
      <c r="A1481" s="107">
        <f>IFERROR(__xludf.DUMMYFUNCTION("""COMPUTED_VALUE"""),45690.0)</f>
        <v>45690</v>
      </c>
      <c r="B1481" t="str">
        <f>IFERROR(__xludf.DUMMYFUNCTION("""COMPUTED_VALUE"""),"[哈拉對面] A [李柏緯] 月租金")</f>
        <v>[哈拉對面] A [李柏緯] 月租金</v>
      </c>
      <c r="C1481" t="str">
        <f>IFERROR(__xludf.DUMMYFUNCTION("""COMPUTED_VALUE"""),"收入 - 租金")</f>
        <v>收入 - 租金</v>
      </c>
      <c r="D1481" s="270">
        <f>IFERROR(__xludf.DUMMYFUNCTION("""COMPUTED_VALUE"""),11300.0)</f>
        <v>11300</v>
      </c>
      <c r="F1481" t="str">
        <f>IFERROR(__xludf.DUMMYFUNCTION("""COMPUTED_VALUE"""),"台銀籌備帳戶")</f>
        <v>台銀籌備帳戶</v>
      </c>
      <c r="G1481" t="str">
        <f>IFERROR(__xludf.DUMMYFUNCTION("""COMPUTED_VALUE"""),"哈拉對面")</f>
        <v>哈拉對面</v>
      </c>
      <c r="H1481" s="106" t="str">
        <f t="shared" si="1"/>
        <v>2025-02</v>
      </c>
      <c r="I1481" s="271" t="str">
        <f>IFERROR(__xludf.DUMMYFUNCTION("""COMPUTED_VALUE"""),"貓狗企鵝")</f>
        <v>貓狗企鵝</v>
      </c>
      <c r="J1481" t="str">
        <f>IFERROR(__xludf.DUMMYFUNCTION("IFS(
  AND(REGEXMATCH(E1481, ""台銀籌備帳戶|玉山帳戶""), REGEXMATCH(C1481, ""薪資"")), ""分潤支出"",
  AND(REGEXMATCH(E1481, ""Ben帳戶|Elsa帳戶|Ben代墊|Ariel代墊|中信銀行共用""), REGEXMATCH(F1481, ""Ben帳戶|Elsa帳戶|Ben代墊|Ariel代墊|中信銀行共用"")), ""內部轉帳(忽略)"",
  AND(E1481&lt;&gt;"""", F1481&lt;&gt;"""", N"&amp;"OT(REGEXMATCH(C1481, ""薪資""))), ""內部轉帳(忽略)"",
  REGEXMATCH(C1481, ""薪資""), ""薪資變動(不計入)"",
  REGEXMATCH(C1481, ""押金""), ""押金往來"",
  AND(E1481&lt;&gt;"""", F1481=""""), ""真實支出"",
  AND(E1481="""", F1481&lt;&gt;""""), ""真實收入"",
  TRUE, ""其他""
)"),"真實收入")</f>
        <v>真實收入</v>
      </c>
      <c r="K1481" s="270">
        <f t="shared" si="2"/>
        <v>11300</v>
      </c>
      <c r="L1481">
        <f t="shared" si="3"/>
        <v>0</v>
      </c>
    </row>
    <row r="1482">
      <c r="A1482" s="107">
        <f>IFERROR(__xludf.DUMMYFUNCTION("""COMPUTED_VALUE"""),45691.0)</f>
        <v>45691</v>
      </c>
      <c r="B1482" t="str">
        <f>IFERROR(__xludf.DUMMYFUNCTION("""COMPUTED_VALUE"""),"[南港站挑高宅] E [張劉明翔] 月租金")</f>
        <v>[南港站挑高宅] E [張劉明翔] 月租金</v>
      </c>
      <c r="C1482" t="str">
        <f>IFERROR(__xludf.DUMMYFUNCTION("""COMPUTED_VALUE"""),"收入 - 租金")</f>
        <v>收入 - 租金</v>
      </c>
      <c r="D1482" s="270">
        <f>IFERROR(__xludf.DUMMYFUNCTION("""COMPUTED_VALUE"""),12800.0)</f>
        <v>12800</v>
      </c>
      <c r="F1482" t="str">
        <f>IFERROR(__xludf.DUMMYFUNCTION("""COMPUTED_VALUE"""),"台銀籌備帳戶")</f>
        <v>台銀籌備帳戶</v>
      </c>
      <c r="G1482" t="str">
        <f>IFERROR(__xludf.DUMMYFUNCTION("""COMPUTED_VALUE"""),"南港站挑高宅")</f>
        <v>南港站挑高宅</v>
      </c>
      <c r="H1482" s="106" t="str">
        <f t="shared" si="1"/>
        <v>2025-02</v>
      </c>
      <c r="I1482" s="271" t="str">
        <f>IFERROR(__xludf.DUMMYFUNCTION("""COMPUTED_VALUE"""),"貓狗企鵝")</f>
        <v>貓狗企鵝</v>
      </c>
      <c r="J1482" t="str">
        <f>IFERROR(__xludf.DUMMYFUNCTION("IFS(
  AND(REGEXMATCH(E1482, ""台銀籌備帳戶|玉山帳戶""), REGEXMATCH(C1482, ""薪資"")), ""分潤支出"",
  AND(REGEXMATCH(E1482, ""Ben帳戶|Elsa帳戶|Ben代墊|Ariel代墊|中信銀行共用""), REGEXMATCH(F1482, ""Ben帳戶|Elsa帳戶|Ben代墊|Ariel代墊|中信銀行共用"")), ""內部轉帳(忽略)"",
  AND(E1482&lt;&gt;"""", F1482&lt;&gt;"""", N"&amp;"OT(REGEXMATCH(C1482, ""薪資""))), ""內部轉帳(忽略)"",
  REGEXMATCH(C1482, ""薪資""), ""薪資變動(不計入)"",
  REGEXMATCH(C1482, ""押金""), ""押金往來"",
  AND(E1482&lt;&gt;"""", F1482=""""), ""真實支出"",
  AND(E1482="""", F1482&lt;&gt;""""), ""真實收入"",
  TRUE, ""其他""
)"),"真實收入")</f>
        <v>真實收入</v>
      </c>
      <c r="K1482" s="270">
        <f t="shared" si="2"/>
        <v>12800</v>
      </c>
      <c r="L1482">
        <f t="shared" si="3"/>
        <v>0</v>
      </c>
    </row>
    <row r="1483">
      <c r="A1483" s="107">
        <f>IFERROR(__xludf.DUMMYFUNCTION("""COMPUTED_VALUE"""),45691.0)</f>
        <v>45691</v>
      </c>
      <c r="B1483" t="str">
        <f>IFERROR(__xludf.DUMMYFUNCTION("""COMPUTED_VALUE"""),"[中山北Feli家] A [蔡亦翔] 月租金")</f>
        <v>[中山北Feli家] A [蔡亦翔] 月租金</v>
      </c>
      <c r="C1483" t="str">
        <f>IFERROR(__xludf.DUMMYFUNCTION("""COMPUTED_VALUE"""),"收入 - 租金")</f>
        <v>收入 - 租金</v>
      </c>
      <c r="D1483" s="270">
        <f>IFERROR(__xludf.DUMMYFUNCTION("""COMPUTED_VALUE"""),13200.0)</f>
        <v>13200</v>
      </c>
      <c r="F1483" t="str">
        <f>IFERROR(__xludf.DUMMYFUNCTION("""COMPUTED_VALUE"""),"台銀籌備帳戶")</f>
        <v>台銀籌備帳戶</v>
      </c>
      <c r="G1483" t="str">
        <f>IFERROR(__xludf.DUMMYFUNCTION("""COMPUTED_VALUE"""),"中山北Feli家")</f>
        <v>中山北Feli家</v>
      </c>
      <c r="H1483" s="106" t="str">
        <f t="shared" si="1"/>
        <v>2025-02</v>
      </c>
      <c r="I1483" s="271" t="str">
        <f>IFERROR(__xludf.DUMMYFUNCTION("""COMPUTED_VALUE"""),"貓狗企鵝")</f>
        <v>貓狗企鵝</v>
      </c>
      <c r="J1483" t="str">
        <f>IFERROR(__xludf.DUMMYFUNCTION("IFS(
  AND(REGEXMATCH(E1483, ""台銀籌備帳戶|玉山帳戶""), REGEXMATCH(C1483, ""薪資"")), ""分潤支出"",
  AND(REGEXMATCH(E1483, ""Ben帳戶|Elsa帳戶|Ben代墊|Ariel代墊|中信銀行共用""), REGEXMATCH(F1483, ""Ben帳戶|Elsa帳戶|Ben代墊|Ariel代墊|中信銀行共用"")), ""內部轉帳(忽略)"",
  AND(E1483&lt;&gt;"""", F1483&lt;&gt;"""", N"&amp;"OT(REGEXMATCH(C1483, ""薪資""))), ""內部轉帳(忽略)"",
  REGEXMATCH(C1483, ""薪資""), ""薪資變動(不計入)"",
  REGEXMATCH(C1483, ""押金""), ""押金往來"",
  AND(E1483&lt;&gt;"""", F1483=""""), ""真實支出"",
  AND(E1483="""", F1483&lt;&gt;""""), ""真實收入"",
  TRUE, ""其他""
)"),"真實收入")</f>
        <v>真實收入</v>
      </c>
      <c r="K1483" s="270">
        <f t="shared" si="2"/>
        <v>13200</v>
      </c>
      <c r="L1483">
        <f t="shared" si="3"/>
        <v>0</v>
      </c>
    </row>
    <row r="1484">
      <c r="A1484" s="107">
        <f>IFERROR(__xludf.DUMMYFUNCTION("""COMPUTED_VALUE"""),45691.0)</f>
        <v>45691</v>
      </c>
      <c r="B1484" t="str">
        <f>IFERROR(__xludf.DUMMYFUNCTION("""COMPUTED_VALUE"""),"[中山北娘家旁] C [魏湘芸] 月租金")</f>
        <v>[中山北娘家旁] C [魏湘芸] 月租金</v>
      </c>
      <c r="C1484" t="str">
        <f>IFERROR(__xludf.DUMMYFUNCTION("""COMPUTED_VALUE"""),"收入 - 租金")</f>
        <v>收入 - 租金</v>
      </c>
      <c r="D1484" s="270">
        <f>IFERROR(__xludf.DUMMYFUNCTION("""COMPUTED_VALUE"""),14800.0)</f>
        <v>14800</v>
      </c>
      <c r="F1484" t="str">
        <f>IFERROR(__xludf.DUMMYFUNCTION("""COMPUTED_VALUE"""),"台銀籌備帳戶")</f>
        <v>台銀籌備帳戶</v>
      </c>
      <c r="G1484" t="str">
        <f>IFERROR(__xludf.DUMMYFUNCTION("""COMPUTED_VALUE"""),"中山北娘家旁")</f>
        <v>中山北娘家旁</v>
      </c>
      <c r="H1484" s="106" t="str">
        <f t="shared" si="1"/>
        <v>2025-02</v>
      </c>
      <c r="I1484" s="271" t="str">
        <f>IFERROR(__xludf.DUMMYFUNCTION("""COMPUTED_VALUE"""),"貓狗企鵝")</f>
        <v>貓狗企鵝</v>
      </c>
      <c r="J1484" t="str">
        <f>IFERROR(__xludf.DUMMYFUNCTION("IFS(
  AND(REGEXMATCH(E1484, ""台銀籌備帳戶|玉山帳戶""), REGEXMATCH(C1484, ""薪資"")), ""分潤支出"",
  AND(REGEXMATCH(E1484, ""Ben帳戶|Elsa帳戶|Ben代墊|Ariel代墊|中信銀行共用""), REGEXMATCH(F1484, ""Ben帳戶|Elsa帳戶|Ben代墊|Ariel代墊|中信銀行共用"")), ""內部轉帳(忽略)"",
  AND(E1484&lt;&gt;"""", F1484&lt;&gt;"""", N"&amp;"OT(REGEXMATCH(C1484, ""薪資""))), ""內部轉帳(忽略)"",
  REGEXMATCH(C1484, ""薪資""), ""薪資變動(不計入)"",
  REGEXMATCH(C1484, ""押金""), ""押金往來"",
  AND(E1484&lt;&gt;"""", F1484=""""), ""真實支出"",
  AND(E1484="""", F1484&lt;&gt;""""), ""真實收入"",
  TRUE, ""其他""
)"),"真實收入")</f>
        <v>真實收入</v>
      </c>
      <c r="K1484" s="270">
        <f t="shared" si="2"/>
        <v>14800</v>
      </c>
      <c r="L1484">
        <f t="shared" si="3"/>
        <v>0</v>
      </c>
    </row>
    <row r="1485">
      <c r="A1485" s="107">
        <f>IFERROR(__xludf.DUMMYFUNCTION("""COMPUTED_VALUE"""),45693.0)</f>
        <v>45693</v>
      </c>
      <c r="B1485" t="str">
        <f>IFERROR(__xludf.DUMMYFUNCTION("""COMPUTED_VALUE"""),"金龍C房 Eden押金")</f>
        <v>金龍C房 Eden押金</v>
      </c>
      <c r="C1485" t="str">
        <f>IFERROR(__xludf.DUMMYFUNCTION("""COMPUTED_VALUE"""),"收入 - 押金")</f>
        <v>收入 - 押金</v>
      </c>
      <c r="D1485" s="270">
        <f>IFERROR(__xludf.DUMMYFUNCTION("""COMPUTED_VALUE"""),-11800.0)</f>
        <v>-11800</v>
      </c>
      <c r="E1485" t="str">
        <f>IFERROR(__xludf.DUMMYFUNCTION("""COMPUTED_VALUE"""),"Elsa帳戶")</f>
        <v>Elsa帳戶</v>
      </c>
      <c r="G1485" t="str">
        <f>IFERROR(__xludf.DUMMYFUNCTION("""COMPUTED_VALUE"""),"金龍帽子先生")</f>
        <v>金龍帽子先生</v>
      </c>
      <c r="H1485" s="106" t="str">
        <f t="shared" si="1"/>
        <v>2025-02</v>
      </c>
      <c r="I1485" s="271" t="str">
        <f>IFERROR(__xludf.DUMMYFUNCTION("""COMPUTED_VALUE"""),"貓狗企鵝")</f>
        <v>貓狗企鵝</v>
      </c>
      <c r="J1485" t="str">
        <f>IFERROR(__xludf.DUMMYFUNCTION("IFS(
  AND(REGEXMATCH(E1485, ""台銀籌備帳戶|玉山帳戶""), REGEXMATCH(C1485, ""薪資"")), ""分潤支出"",
  AND(REGEXMATCH(E1485, ""Ben帳戶|Elsa帳戶|Ben代墊|Ariel代墊|中信銀行共用""), REGEXMATCH(F1485, ""Ben帳戶|Elsa帳戶|Ben代墊|Ariel代墊|中信銀行共用"")), ""內部轉帳(忽略)"",
  AND(E1485&lt;&gt;"""", F1485&lt;&gt;"""", N"&amp;"OT(REGEXMATCH(C1485, ""薪資""))), ""內部轉帳(忽略)"",
  REGEXMATCH(C1485, ""薪資""), ""薪資變動(不計入)"",
  REGEXMATCH(C1485, ""押金""), ""押金往來"",
  AND(E1485&lt;&gt;"""", F1485=""""), ""真實支出"",
  AND(E1485="""", F1485&lt;&gt;""""), ""真實收入"",
  TRUE, ""其他""
)"),"押金往來")</f>
        <v>押金往來</v>
      </c>
      <c r="K1485">
        <f t="shared" si="2"/>
        <v>0</v>
      </c>
      <c r="L1485">
        <f t="shared" si="3"/>
        <v>0</v>
      </c>
    </row>
    <row r="1486">
      <c r="A1486" s="107">
        <f>IFERROR(__xludf.DUMMYFUNCTION("""COMPUTED_VALUE"""),45693.0)</f>
        <v>45693</v>
      </c>
      <c r="B1486" t="str">
        <f>IFERROR(__xludf.DUMMYFUNCTION("""COMPUTED_VALUE"""),"金龍 購買Eden傢俱")</f>
        <v>金龍 購買Eden傢俱</v>
      </c>
      <c r="C1486" t="str">
        <f>IFERROR(__xludf.DUMMYFUNCTION("""COMPUTED_VALUE"""),"成本 - 租後修繕")</f>
        <v>成本 - 租後修繕</v>
      </c>
      <c r="D1486" s="270">
        <f>IFERROR(__xludf.DUMMYFUNCTION("""COMPUTED_VALUE"""),-1000.0)</f>
        <v>-1000</v>
      </c>
      <c r="E1486" t="str">
        <f>IFERROR(__xludf.DUMMYFUNCTION("""COMPUTED_VALUE"""),"Elsa帳戶")</f>
        <v>Elsa帳戶</v>
      </c>
      <c r="G1486" t="str">
        <f>IFERROR(__xludf.DUMMYFUNCTION("""COMPUTED_VALUE"""),"金龍帽子先生")</f>
        <v>金龍帽子先生</v>
      </c>
      <c r="H1486" s="106" t="str">
        <f t="shared" si="1"/>
        <v>2025-02</v>
      </c>
      <c r="I1486" s="271" t="str">
        <f>IFERROR(__xludf.DUMMYFUNCTION("""COMPUTED_VALUE"""),"貓狗企鵝")</f>
        <v>貓狗企鵝</v>
      </c>
      <c r="J1486" t="str">
        <f>IFERROR(__xludf.DUMMYFUNCTION("IFS(
  AND(REGEXMATCH(E1486, ""台銀籌備帳戶|玉山帳戶""), REGEXMATCH(C1486, ""薪資"")), ""分潤支出"",
  AND(REGEXMATCH(E1486, ""Ben帳戶|Elsa帳戶|Ben代墊|Ariel代墊|中信銀行共用""), REGEXMATCH(F1486, ""Ben帳戶|Elsa帳戶|Ben代墊|Ariel代墊|中信銀行共用"")), ""內部轉帳(忽略)"",
  AND(E1486&lt;&gt;"""", F1486&lt;&gt;"""", N"&amp;"OT(REGEXMATCH(C1486, ""薪資""))), ""內部轉帳(忽略)"",
  REGEXMATCH(C1486, ""薪資""), ""薪資變動(不計入)"",
  REGEXMATCH(C1486, ""押金""), ""押金往來"",
  AND(E1486&lt;&gt;"""", F1486=""""), ""真實支出"",
  AND(E1486="""", F1486&lt;&gt;""""), ""真實收入"",
  TRUE, ""其他""
)"),"真實支出")</f>
        <v>真實支出</v>
      </c>
      <c r="K1486" s="270">
        <f t="shared" si="2"/>
        <v>-1000</v>
      </c>
      <c r="L1486">
        <f t="shared" si="3"/>
        <v>0</v>
      </c>
    </row>
    <row r="1487">
      <c r="A1487" s="107">
        <f>IFERROR(__xludf.DUMMYFUNCTION("""COMPUTED_VALUE"""),45695.0)</f>
        <v>45695</v>
      </c>
      <c r="B1487" t="str">
        <f>IFERROR(__xludf.DUMMYFUNCTION("""COMPUTED_VALUE"""),"垃可")</f>
        <v>垃可</v>
      </c>
      <c r="C1487" t="str">
        <f>IFERROR(__xludf.DUMMYFUNCTION("""COMPUTED_VALUE"""),"成本 - 固定開銷(網路代收清潔)")</f>
        <v>成本 - 固定開銷(網路代收清潔)</v>
      </c>
      <c r="D1487" s="270">
        <f>IFERROR(__xludf.DUMMYFUNCTION("""COMPUTED_VALUE"""),-3952.0)</f>
        <v>-3952</v>
      </c>
      <c r="E1487" t="str">
        <f>IFERROR(__xludf.DUMMYFUNCTION("""COMPUTED_VALUE"""),"Ben帳戶")</f>
        <v>Ben帳戶</v>
      </c>
      <c r="H1487" s="106" t="str">
        <f t="shared" si="1"/>
        <v>2025-02</v>
      </c>
      <c r="I1487" s="271" t="str">
        <f>IFERROR(__xludf.DUMMYFUNCTION("""COMPUTED_VALUE"""),"貓狗企鵝")</f>
        <v>貓狗企鵝</v>
      </c>
      <c r="J1487" t="str">
        <f>IFERROR(__xludf.DUMMYFUNCTION("IFS(
  AND(REGEXMATCH(E1487, ""台銀籌備帳戶|玉山帳戶""), REGEXMATCH(C1487, ""薪資"")), ""分潤支出"",
  AND(REGEXMATCH(E1487, ""Ben帳戶|Elsa帳戶|Ben代墊|Ariel代墊|中信銀行共用""), REGEXMATCH(F1487, ""Ben帳戶|Elsa帳戶|Ben代墊|Ariel代墊|中信銀行共用"")), ""內部轉帳(忽略)"",
  AND(E1487&lt;&gt;"""", F1487&lt;&gt;"""", N"&amp;"OT(REGEXMATCH(C1487, ""薪資""))), ""內部轉帳(忽略)"",
  REGEXMATCH(C1487, ""薪資""), ""薪資變動(不計入)"",
  REGEXMATCH(C1487, ""押金""), ""押金往來"",
  AND(E1487&lt;&gt;"""", F1487=""""), ""真實支出"",
  AND(E1487="""", F1487&lt;&gt;""""), ""真實收入"",
  TRUE, ""其他""
)"),"真實支出")</f>
        <v>真實支出</v>
      </c>
      <c r="K1487" s="270">
        <f t="shared" si="2"/>
        <v>-3952</v>
      </c>
      <c r="L1487">
        <f t="shared" si="3"/>
        <v>0</v>
      </c>
    </row>
    <row r="1488">
      <c r="A1488" s="107">
        <f>IFERROR(__xludf.DUMMYFUNCTION("""COMPUTED_VALUE"""),45696.0)</f>
        <v>45696</v>
      </c>
      <c r="B1488" t="str">
        <f>IFERROR(__xludf.DUMMYFUNCTION("""COMPUTED_VALUE"""),"Feli D房退押金")</f>
        <v>Feli D房退押金</v>
      </c>
      <c r="C1488" t="str">
        <f>IFERROR(__xludf.DUMMYFUNCTION("""COMPUTED_VALUE"""),"收入 - 押金")</f>
        <v>收入 - 押金</v>
      </c>
      <c r="D1488" s="270">
        <f>IFERROR(__xludf.DUMMYFUNCTION("""COMPUTED_VALUE"""),-10500.0)</f>
        <v>-10500</v>
      </c>
      <c r="E1488" t="str">
        <f>IFERROR(__xludf.DUMMYFUNCTION("""COMPUTED_VALUE"""),"Elsa帳戶")</f>
        <v>Elsa帳戶</v>
      </c>
      <c r="G1488" t="str">
        <f>IFERROR(__xludf.DUMMYFUNCTION("""COMPUTED_VALUE"""),"中山北Feli家")</f>
        <v>中山北Feli家</v>
      </c>
      <c r="H1488" s="106" t="str">
        <f t="shared" si="1"/>
        <v>2025-02</v>
      </c>
      <c r="I1488" s="271" t="str">
        <f>IFERROR(__xludf.DUMMYFUNCTION("""COMPUTED_VALUE"""),"貓狗企鵝")</f>
        <v>貓狗企鵝</v>
      </c>
      <c r="J1488" t="str">
        <f>IFERROR(__xludf.DUMMYFUNCTION("IFS(
  AND(REGEXMATCH(E1488, ""台銀籌備帳戶|玉山帳戶""), REGEXMATCH(C1488, ""薪資"")), ""分潤支出"",
  AND(REGEXMATCH(E1488, ""Ben帳戶|Elsa帳戶|Ben代墊|Ariel代墊|中信銀行共用""), REGEXMATCH(F1488, ""Ben帳戶|Elsa帳戶|Ben代墊|Ariel代墊|中信銀行共用"")), ""內部轉帳(忽略)"",
  AND(E1488&lt;&gt;"""", F1488&lt;&gt;"""", N"&amp;"OT(REGEXMATCH(C1488, ""薪資""))), ""內部轉帳(忽略)"",
  REGEXMATCH(C1488, ""薪資""), ""薪資變動(不計入)"",
  REGEXMATCH(C1488, ""押金""), ""押金往來"",
  AND(E1488&lt;&gt;"""", F1488=""""), ""真實支出"",
  AND(E1488="""", F1488&lt;&gt;""""), ""真實收入"",
  TRUE, ""其他""
)"),"押金往來")</f>
        <v>押金往來</v>
      </c>
      <c r="K1488">
        <f t="shared" si="2"/>
        <v>0</v>
      </c>
      <c r="L1488">
        <f t="shared" si="3"/>
        <v>0</v>
      </c>
    </row>
    <row r="1489">
      <c r="A1489" s="107">
        <f>IFERROR(__xludf.DUMMYFUNCTION("""COMPUTED_VALUE"""),45697.0)</f>
        <v>45697</v>
      </c>
      <c r="B1489" t="str">
        <f>IFERROR(__xludf.DUMMYFUNCTION("""COMPUTED_VALUE"""),"買下龍江A花花的桌子")</f>
        <v>買下龍江A花花的桌子</v>
      </c>
      <c r="C1489" t="str">
        <f>IFERROR(__xludf.DUMMYFUNCTION("""COMPUTED_VALUE"""),"成本 - 進場前裝潢費")</f>
        <v>成本 - 進場前裝潢費</v>
      </c>
      <c r="D1489" s="270">
        <f>IFERROR(__xludf.DUMMYFUNCTION("""COMPUTED_VALUE"""),-500.0)</f>
        <v>-500</v>
      </c>
      <c r="E1489" t="str">
        <f>IFERROR(__xludf.DUMMYFUNCTION("""COMPUTED_VALUE"""),"Ben帳戶")</f>
        <v>Ben帳戶</v>
      </c>
      <c r="G1489" t="str">
        <f>IFERROR(__xludf.DUMMYFUNCTION("""COMPUTED_VALUE"""),"龍江229")</f>
        <v>龍江229</v>
      </c>
      <c r="H1489" s="106" t="str">
        <f t="shared" si="1"/>
        <v>2025-02</v>
      </c>
      <c r="I1489" s="271" t="str">
        <f>IFERROR(__xludf.DUMMYFUNCTION("""COMPUTED_VALUE"""),"貓狗企鵝")</f>
        <v>貓狗企鵝</v>
      </c>
      <c r="J1489" t="str">
        <f>IFERROR(__xludf.DUMMYFUNCTION("IFS(
  AND(REGEXMATCH(E1489, ""台銀籌備帳戶|玉山帳戶""), REGEXMATCH(C1489, ""薪資"")), ""分潤支出"",
  AND(REGEXMATCH(E1489, ""Ben帳戶|Elsa帳戶|Ben代墊|Ariel代墊|中信銀行共用""), REGEXMATCH(F1489, ""Ben帳戶|Elsa帳戶|Ben代墊|Ariel代墊|中信銀行共用"")), ""內部轉帳(忽略)"",
  AND(E1489&lt;&gt;"""", F1489&lt;&gt;"""", N"&amp;"OT(REGEXMATCH(C1489, ""薪資""))), ""內部轉帳(忽略)"",
  REGEXMATCH(C1489, ""薪資""), ""薪資變動(不計入)"",
  REGEXMATCH(C1489, ""押金""), ""押金往來"",
  AND(E1489&lt;&gt;"""", F1489=""""), ""真實支出"",
  AND(E1489="""", F1489&lt;&gt;""""), ""真實收入"",
  TRUE, ""其他""
)"),"真實支出")</f>
        <v>真實支出</v>
      </c>
      <c r="K1489" s="270">
        <f t="shared" si="2"/>
        <v>-500</v>
      </c>
      <c r="L1489">
        <f t="shared" si="3"/>
        <v>0</v>
      </c>
    </row>
    <row r="1490">
      <c r="A1490" s="107">
        <f>IFERROR(__xludf.DUMMYFUNCTION("""COMPUTED_VALUE"""),45700.0)</f>
        <v>45700</v>
      </c>
      <c r="B1490" t="str">
        <f>IFERROR(__xludf.DUMMYFUNCTION("""COMPUTED_VALUE"""),"凱擘網路費 2/1-4/1")</f>
        <v>凱擘網路費 2/1-4/1</v>
      </c>
      <c r="C1490" t="str">
        <f>IFERROR(__xludf.DUMMYFUNCTION("""COMPUTED_VALUE"""),"成本 - 固定開銷(網路代收清潔)")</f>
        <v>成本 - 固定開銷(網路代收清潔)</v>
      </c>
      <c r="D1490" s="270">
        <f>IFERROR(__xludf.DUMMYFUNCTION("""COMPUTED_VALUE"""),-2997.0)</f>
        <v>-2997</v>
      </c>
      <c r="E1490" t="str">
        <f>IFERROR(__xludf.DUMMYFUNCTION("""COMPUTED_VALUE"""),"Elsa帳戶")</f>
        <v>Elsa帳戶</v>
      </c>
      <c r="G1490" t="str">
        <f>IFERROR(__xludf.DUMMYFUNCTION("""COMPUTED_VALUE"""),"大湖山莊")</f>
        <v>大湖山莊</v>
      </c>
      <c r="H1490" s="106" t="str">
        <f t="shared" si="1"/>
        <v>2025-02</v>
      </c>
      <c r="I1490" s="271" t="str">
        <f>IFERROR(__xludf.DUMMYFUNCTION("""COMPUTED_VALUE"""),"貓狗企鵝")</f>
        <v>貓狗企鵝</v>
      </c>
      <c r="J1490" t="str">
        <f>IFERROR(__xludf.DUMMYFUNCTION("IFS(
  AND(REGEXMATCH(E1490, ""台銀籌備帳戶|玉山帳戶""), REGEXMATCH(C1490, ""薪資"")), ""分潤支出"",
  AND(REGEXMATCH(E1490, ""Ben帳戶|Elsa帳戶|Ben代墊|Ariel代墊|中信銀行共用""), REGEXMATCH(F1490, ""Ben帳戶|Elsa帳戶|Ben代墊|Ariel代墊|中信銀行共用"")), ""內部轉帳(忽略)"",
  AND(E1490&lt;&gt;"""", F1490&lt;&gt;"""", N"&amp;"OT(REGEXMATCH(C1490, ""薪資""))), ""內部轉帳(忽略)"",
  REGEXMATCH(C1490, ""薪資""), ""薪資變動(不計入)"",
  REGEXMATCH(C1490, ""押金""), ""押金往來"",
  AND(E1490&lt;&gt;"""", F1490=""""), ""真實支出"",
  AND(E1490="""", F1490&lt;&gt;""""), ""真實收入"",
  TRUE, ""其他""
)"),"真實支出")</f>
        <v>真實支出</v>
      </c>
      <c r="K1490" s="270">
        <f t="shared" si="2"/>
        <v>-2997</v>
      </c>
      <c r="L1490">
        <f t="shared" si="3"/>
        <v>0</v>
      </c>
    </row>
    <row r="1491">
      <c r="A1491" s="107">
        <f>IFERROR(__xludf.DUMMYFUNCTION("""COMPUTED_VALUE"""),45702.0)</f>
        <v>45702</v>
      </c>
      <c r="B1491" t="str">
        <f>IFERROR(__xludf.DUMMYFUNCTION("""COMPUTED_VALUE"""),"點點簽 電子合約 續約")</f>
        <v>點點簽 電子合約 續約</v>
      </c>
      <c r="C1491" t="str">
        <f>IFERROR(__xludf.DUMMYFUNCTION("""COMPUTED_VALUE"""),"費用 - 辦公用品")</f>
        <v>費用 - 辦公用品</v>
      </c>
      <c r="D1491" s="270">
        <f>IFERROR(__xludf.DUMMYFUNCTION("""COMPUTED_VALUE"""),-3143.0)</f>
        <v>-3143</v>
      </c>
      <c r="E1491" t="str">
        <f>IFERROR(__xludf.DUMMYFUNCTION("""COMPUTED_VALUE"""),"Ben帳戶")</f>
        <v>Ben帳戶</v>
      </c>
      <c r="H1491" s="106" t="str">
        <f t="shared" si="1"/>
        <v>2025-02</v>
      </c>
      <c r="I1491" s="271" t="str">
        <f>IFERROR(__xludf.DUMMYFUNCTION("""COMPUTED_VALUE"""),"貓狗企鵝")</f>
        <v>貓狗企鵝</v>
      </c>
      <c r="J1491" t="str">
        <f>IFERROR(__xludf.DUMMYFUNCTION("IFS(
  AND(REGEXMATCH(E1491, ""台銀籌備帳戶|玉山帳戶""), REGEXMATCH(C1491, ""薪資"")), ""分潤支出"",
  AND(REGEXMATCH(E1491, ""Ben帳戶|Elsa帳戶|Ben代墊|Ariel代墊|中信銀行共用""), REGEXMATCH(F1491, ""Ben帳戶|Elsa帳戶|Ben代墊|Ariel代墊|中信銀行共用"")), ""內部轉帳(忽略)"",
  AND(E1491&lt;&gt;"""", F1491&lt;&gt;"""", N"&amp;"OT(REGEXMATCH(C1491, ""薪資""))), ""內部轉帳(忽略)"",
  REGEXMATCH(C1491, ""薪資""), ""薪資變動(不計入)"",
  REGEXMATCH(C1491, ""押金""), ""押金往來"",
  AND(E1491&lt;&gt;"""", F1491=""""), ""真實支出"",
  AND(E1491="""", F1491&lt;&gt;""""), ""真實收入"",
  TRUE, ""其他""
)"),"真實支出")</f>
        <v>真實支出</v>
      </c>
      <c r="K1491" s="270">
        <f t="shared" si="2"/>
        <v>-3143</v>
      </c>
      <c r="L1491">
        <f t="shared" si="3"/>
        <v>0</v>
      </c>
    </row>
    <row r="1492">
      <c r="A1492" s="107">
        <f>IFERROR(__xludf.DUMMYFUNCTION("""COMPUTED_VALUE"""),45703.0)</f>
        <v>45703</v>
      </c>
      <c r="B1492" t="str">
        <f>IFERROR(__xludf.DUMMYFUNCTION("""COMPUTED_VALUE"""),"退大湖A 2個月押金")</f>
        <v>退大湖A 2個月押金</v>
      </c>
      <c r="C1492" t="str">
        <f>IFERROR(__xludf.DUMMYFUNCTION("""COMPUTED_VALUE"""),"收入 - 押金")</f>
        <v>收入 - 押金</v>
      </c>
      <c r="D1492" s="270">
        <f>IFERROR(__xludf.DUMMYFUNCTION("""COMPUTED_VALUE"""),-3400.0)</f>
        <v>-3400</v>
      </c>
      <c r="E1492" t="str">
        <f>IFERROR(__xludf.DUMMYFUNCTION("""COMPUTED_VALUE"""),"Elsa帳戶")</f>
        <v>Elsa帳戶</v>
      </c>
      <c r="G1492" t="str">
        <f>IFERROR(__xludf.DUMMYFUNCTION("""COMPUTED_VALUE"""),"大湖山莊")</f>
        <v>大湖山莊</v>
      </c>
      <c r="H1492" s="106" t="str">
        <f t="shared" si="1"/>
        <v>2025-02</v>
      </c>
      <c r="I1492" s="271" t="str">
        <f>IFERROR(__xludf.DUMMYFUNCTION("""COMPUTED_VALUE"""),"貓狗企鵝")</f>
        <v>貓狗企鵝</v>
      </c>
      <c r="J1492" t="str">
        <f>IFERROR(__xludf.DUMMYFUNCTION("IFS(
  AND(REGEXMATCH(E1492, ""台銀籌備帳戶|玉山帳戶""), REGEXMATCH(C1492, ""薪資"")), ""分潤支出"",
  AND(REGEXMATCH(E1492, ""Ben帳戶|Elsa帳戶|Ben代墊|Ariel代墊|中信銀行共用""), REGEXMATCH(F1492, ""Ben帳戶|Elsa帳戶|Ben代墊|Ariel代墊|中信銀行共用"")), ""內部轉帳(忽略)"",
  AND(E1492&lt;&gt;"""", F1492&lt;&gt;"""", N"&amp;"OT(REGEXMATCH(C1492, ""薪資""))), ""內部轉帳(忽略)"",
  REGEXMATCH(C1492, ""薪資""), ""薪資變動(不計入)"",
  REGEXMATCH(C1492, ""押金""), ""押金往來"",
  AND(E1492&lt;&gt;"""", F1492=""""), ""真實支出"",
  AND(E1492="""", F1492&lt;&gt;""""), ""真實收入"",
  TRUE, ""其他""
)"),"押金往來")</f>
        <v>押金往來</v>
      </c>
      <c r="K1492">
        <f t="shared" si="2"/>
        <v>0</v>
      </c>
      <c r="L1492">
        <f t="shared" si="3"/>
        <v>0</v>
      </c>
    </row>
    <row r="1493">
      <c r="A1493" s="107">
        <f>IFERROR(__xludf.DUMMYFUNCTION("""COMPUTED_VALUE"""),45704.0)</f>
        <v>45704</v>
      </c>
      <c r="B1493" t="str">
        <f>IFERROR(__xludf.DUMMYFUNCTION("""COMPUTED_VALUE"""),"哈拉-&gt;景安 小黃費用")</f>
        <v>哈拉-&gt;景安 小黃費用</v>
      </c>
      <c r="C1493" t="str">
        <f>IFERROR(__xludf.DUMMYFUNCTION("""COMPUTED_VALUE"""),"費用 - 交通費")</f>
        <v>費用 - 交通費</v>
      </c>
      <c r="D1493" s="270">
        <f>IFERROR(__xludf.DUMMYFUNCTION("""COMPUTED_VALUE"""),-430.0)</f>
        <v>-430</v>
      </c>
      <c r="E1493" t="str">
        <f>IFERROR(__xludf.DUMMYFUNCTION("""COMPUTED_VALUE"""),"Elsa帳戶")</f>
        <v>Elsa帳戶</v>
      </c>
      <c r="G1493" t="str">
        <f>IFERROR(__xludf.DUMMYFUNCTION("""COMPUTED_VALUE"""),"景安2分鐘")</f>
        <v>景安2分鐘</v>
      </c>
      <c r="H1493" s="106" t="str">
        <f t="shared" si="1"/>
        <v>2025-02</v>
      </c>
      <c r="I1493" s="271" t="str">
        <f>IFERROR(__xludf.DUMMYFUNCTION("""COMPUTED_VALUE"""),"貓狗企鵝")</f>
        <v>貓狗企鵝</v>
      </c>
      <c r="J1493" t="str">
        <f>IFERROR(__xludf.DUMMYFUNCTION("IFS(
  AND(REGEXMATCH(E1493, ""台銀籌備帳戶|玉山帳戶""), REGEXMATCH(C1493, ""薪資"")), ""分潤支出"",
  AND(REGEXMATCH(E1493, ""Ben帳戶|Elsa帳戶|Ben代墊|Ariel代墊|中信銀行共用""), REGEXMATCH(F1493, ""Ben帳戶|Elsa帳戶|Ben代墊|Ariel代墊|中信銀行共用"")), ""內部轉帳(忽略)"",
  AND(E1493&lt;&gt;"""", F1493&lt;&gt;"""", N"&amp;"OT(REGEXMATCH(C1493, ""薪資""))), ""內部轉帳(忽略)"",
  REGEXMATCH(C1493, ""薪資""), ""薪資變動(不計入)"",
  REGEXMATCH(C1493, ""押金""), ""押金往來"",
  AND(E1493&lt;&gt;"""", F1493=""""), ""真實支出"",
  AND(E1493="""", F1493&lt;&gt;""""), ""真實收入"",
  TRUE, ""其他""
)"),"真實支出")</f>
        <v>真實支出</v>
      </c>
      <c r="K1493" s="270">
        <f t="shared" si="2"/>
        <v>-430</v>
      </c>
      <c r="L1493">
        <f t="shared" si="3"/>
        <v>0</v>
      </c>
    </row>
    <row r="1494">
      <c r="A1494" s="107">
        <f>IFERROR(__xludf.DUMMYFUNCTION("""COMPUTED_VALUE"""),45707.0)</f>
        <v>45707</v>
      </c>
      <c r="B1494" t="str">
        <f>IFERROR(__xludf.DUMMYFUNCTION("""COMPUTED_VALUE"""),"景安 591刊登")</f>
        <v>景安 591刊登</v>
      </c>
      <c r="C1494" t="str">
        <f>IFERROR(__xludf.DUMMYFUNCTION("""COMPUTED_VALUE"""),"成本 - 仲介費")</f>
        <v>成本 - 仲介費</v>
      </c>
      <c r="D1494" s="270">
        <f>IFERROR(__xludf.DUMMYFUNCTION("""COMPUTED_VALUE"""),-1289.0)</f>
        <v>-1289</v>
      </c>
      <c r="E1494" t="str">
        <f>IFERROR(__xludf.DUMMYFUNCTION("""COMPUTED_VALUE"""),"Elsa帳戶")</f>
        <v>Elsa帳戶</v>
      </c>
      <c r="G1494" t="str">
        <f>IFERROR(__xludf.DUMMYFUNCTION("""COMPUTED_VALUE"""),"景安2分鐘")</f>
        <v>景安2分鐘</v>
      </c>
      <c r="H1494" s="106" t="str">
        <f t="shared" si="1"/>
        <v>2025-02</v>
      </c>
      <c r="I1494" s="271" t="str">
        <f>IFERROR(__xludf.DUMMYFUNCTION("""COMPUTED_VALUE"""),"貓狗企鵝")</f>
        <v>貓狗企鵝</v>
      </c>
      <c r="J1494" t="str">
        <f>IFERROR(__xludf.DUMMYFUNCTION("IFS(
  AND(REGEXMATCH(E1494, ""台銀籌備帳戶|玉山帳戶""), REGEXMATCH(C1494, ""薪資"")), ""分潤支出"",
  AND(REGEXMATCH(E1494, ""Ben帳戶|Elsa帳戶|Ben代墊|Ariel代墊|中信銀行共用""), REGEXMATCH(F1494, ""Ben帳戶|Elsa帳戶|Ben代墊|Ariel代墊|中信銀行共用"")), ""內部轉帳(忽略)"",
  AND(E1494&lt;&gt;"""", F1494&lt;&gt;"""", N"&amp;"OT(REGEXMATCH(C1494, ""薪資""))), ""內部轉帳(忽略)"",
  REGEXMATCH(C1494, ""薪資""), ""薪資變動(不計入)"",
  REGEXMATCH(C1494, ""押金""), ""押金往來"",
  AND(E1494&lt;&gt;"""", F1494=""""), ""真實支出"",
  AND(E1494="""", F1494&lt;&gt;""""), ""真實收入"",
  TRUE, ""其他""
)"),"真實支出")</f>
        <v>真實支出</v>
      </c>
      <c r="K1494" s="270">
        <f t="shared" si="2"/>
        <v>-1289</v>
      </c>
      <c r="L1494">
        <f t="shared" si="3"/>
        <v>0</v>
      </c>
    </row>
    <row r="1495">
      <c r="A1495" s="107">
        <f>IFERROR(__xludf.DUMMYFUNCTION("""COMPUTED_VALUE"""),45707.0)</f>
        <v>45707</v>
      </c>
      <c r="B1495" t="str">
        <f>IFERROR(__xludf.DUMMYFUNCTION("""COMPUTED_VALUE"""),"哈拉 清潔")</f>
        <v>哈拉 清潔</v>
      </c>
      <c r="C1495" t="str">
        <f>IFERROR(__xludf.DUMMYFUNCTION("""COMPUTED_VALUE"""),"成本 - 固定開銷(網路代收清潔)")</f>
        <v>成本 - 固定開銷(網路代收清潔)</v>
      </c>
      <c r="D1495" s="270">
        <f>IFERROR(__xludf.DUMMYFUNCTION("""COMPUTED_VALUE"""),-700.0)</f>
        <v>-700</v>
      </c>
      <c r="E1495" t="str">
        <f>IFERROR(__xludf.DUMMYFUNCTION("""COMPUTED_VALUE"""),"Elsa帳戶")</f>
        <v>Elsa帳戶</v>
      </c>
      <c r="G1495" t="str">
        <f>IFERROR(__xludf.DUMMYFUNCTION("""COMPUTED_VALUE"""),"哈拉對面")</f>
        <v>哈拉對面</v>
      </c>
      <c r="H1495" s="106" t="str">
        <f t="shared" si="1"/>
        <v>2025-02</v>
      </c>
      <c r="I1495" s="271" t="str">
        <f>IFERROR(__xludf.DUMMYFUNCTION("""COMPUTED_VALUE"""),"貓狗企鵝")</f>
        <v>貓狗企鵝</v>
      </c>
      <c r="J1495" t="str">
        <f>IFERROR(__xludf.DUMMYFUNCTION("IFS(
  AND(REGEXMATCH(E1495, ""台銀籌備帳戶|玉山帳戶""), REGEXMATCH(C1495, ""薪資"")), ""分潤支出"",
  AND(REGEXMATCH(E1495, ""Ben帳戶|Elsa帳戶|Ben代墊|Ariel代墊|中信銀行共用""), REGEXMATCH(F1495, ""Ben帳戶|Elsa帳戶|Ben代墊|Ariel代墊|中信銀行共用"")), ""內部轉帳(忽略)"",
  AND(E1495&lt;&gt;"""", F1495&lt;&gt;"""", N"&amp;"OT(REGEXMATCH(C1495, ""薪資""))), ""內部轉帳(忽略)"",
  REGEXMATCH(C1495, ""薪資""), ""薪資變動(不計入)"",
  REGEXMATCH(C1495, ""押金""), ""押金往來"",
  AND(E1495&lt;&gt;"""", F1495=""""), ""真實支出"",
  AND(E1495="""", F1495&lt;&gt;""""), ""真實收入"",
  TRUE, ""其他""
)"),"真實支出")</f>
        <v>真實支出</v>
      </c>
      <c r="K1495" s="270">
        <f t="shared" si="2"/>
        <v>-700</v>
      </c>
      <c r="L1495">
        <f t="shared" si="3"/>
        <v>0</v>
      </c>
    </row>
    <row r="1496">
      <c r="A1496" s="107">
        <f>IFERROR(__xludf.DUMMYFUNCTION("""COMPUTED_VALUE"""),45706.0)</f>
        <v>45706</v>
      </c>
      <c r="B1496" t="str">
        <f>IFERROR(__xludf.DUMMYFUNCTION("""COMPUTED_VALUE"""),"Feli 老家梯間清潔費")</f>
        <v>Feli 老家梯間清潔費</v>
      </c>
      <c r="C1496" t="str">
        <f>IFERROR(__xludf.DUMMYFUNCTION("""COMPUTED_VALUE"""),"成本 - 固定開銷(網路代收清潔)")</f>
        <v>成本 - 固定開銷(網路代收清潔)</v>
      </c>
      <c r="D1496" s="270">
        <f>IFERROR(__xludf.DUMMYFUNCTION("""COMPUTED_VALUE"""),-1600.0)</f>
        <v>-1600</v>
      </c>
      <c r="E1496" t="str">
        <f>IFERROR(__xludf.DUMMYFUNCTION("""COMPUTED_VALUE"""),"Elsa帳戶")</f>
        <v>Elsa帳戶</v>
      </c>
      <c r="G1496" t="str">
        <f>IFERROR(__xludf.DUMMYFUNCTION("""COMPUTED_VALUE"""),"中山北Feli家")</f>
        <v>中山北Feli家</v>
      </c>
      <c r="H1496" s="106" t="str">
        <f t="shared" si="1"/>
        <v>2025-02</v>
      </c>
      <c r="I1496" s="271" t="str">
        <f>IFERROR(__xludf.DUMMYFUNCTION("""COMPUTED_VALUE"""),"貓狗企鵝")</f>
        <v>貓狗企鵝</v>
      </c>
      <c r="J1496" t="str">
        <f>IFERROR(__xludf.DUMMYFUNCTION("IFS(
  AND(REGEXMATCH(E1496, ""台銀籌備帳戶|玉山帳戶""), REGEXMATCH(C1496, ""薪資"")), ""分潤支出"",
  AND(REGEXMATCH(E1496, ""Ben帳戶|Elsa帳戶|Ben代墊|Ariel代墊|中信銀行共用""), REGEXMATCH(F1496, ""Ben帳戶|Elsa帳戶|Ben代墊|Ariel代墊|中信銀行共用"")), ""內部轉帳(忽略)"",
  AND(E1496&lt;&gt;"""", F1496&lt;&gt;"""", N"&amp;"OT(REGEXMATCH(C1496, ""薪資""))), ""內部轉帳(忽略)"",
  REGEXMATCH(C1496, ""薪資""), ""薪資變動(不計入)"",
  REGEXMATCH(C1496, ""押金""), ""押金往來"",
  AND(E1496&lt;&gt;"""", F1496=""""), ""真實支出"",
  AND(E1496="""", F1496&lt;&gt;""""), ""真實收入"",
  TRUE, ""其他""
)"),"真實支出")</f>
        <v>真實支出</v>
      </c>
      <c r="K1496" s="270">
        <f t="shared" si="2"/>
        <v>-1600</v>
      </c>
      <c r="L1496">
        <f t="shared" si="3"/>
        <v>0</v>
      </c>
    </row>
    <row r="1497">
      <c r="A1497" s="107">
        <f>IFERROR(__xludf.DUMMYFUNCTION("""COMPUTED_VALUE"""),45707.0)</f>
        <v>45707</v>
      </c>
      <c r="B1497" t="str">
        <f>IFERROR(__xludf.DUMMYFUNCTION("""COMPUTED_VALUE"""),"Feli 瓦斯檢查費")</f>
        <v>Feli 瓦斯檢查費</v>
      </c>
      <c r="C1497" t="str">
        <f>IFERROR(__xludf.DUMMYFUNCTION("""COMPUTED_VALUE"""),"成本 - 租後修繕")</f>
        <v>成本 - 租後修繕</v>
      </c>
      <c r="D1497" s="270">
        <f>IFERROR(__xludf.DUMMYFUNCTION("""COMPUTED_VALUE"""),-400.0)</f>
        <v>-400</v>
      </c>
      <c r="E1497" t="str">
        <f>IFERROR(__xludf.DUMMYFUNCTION("""COMPUTED_VALUE"""),"Elsa帳戶")</f>
        <v>Elsa帳戶</v>
      </c>
      <c r="G1497" t="str">
        <f>IFERROR(__xludf.DUMMYFUNCTION("""COMPUTED_VALUE"""),"中山北Feli家")</f>
        <v>中山北Feli家</v>
      </c>
      <c r="H1497" s="106" t="str">
        <f t="shared" si="1"/>
        <v>2025-02</v>
      </c>
      <c r="I1497" s="271" t="str">
        <f>IFERROR(__xludf.DUMMYFUNCTION("""COMPUTED_VALUE"""),"貓狗企鵝")</f>
        <v>貓狗企鵝</v>
      </c>
      <c r="J1497" t="str">
        <f>IFERROR(__xludf.DUMMYFUNCTION("IFS(
  AND(REGEXMATCH(E1497, ""台銀籌備帳戶|玉山帳戶""), REGEXMATCH(C1497, ""薪資"")), ""分潤支出"",
  AND(REGEXMATCH(E1497, ""Ben帳戶|Elsa帳戶|Ben代墊|Ariel代墊|中信銀行共用""), REGEXMATCH(F1497, ""Ben帳戶|Elsa帳戶|Ben代墊|Ariel代墊|中信銀行共用"")), ""內部轉帳(忽略)"",
  AND(E1497&lt;&gt;"""", F1497&lt;&gt;"""", N"&amp;"OT(REGEXMATCH(C1497, ""薪資""))), ""內部轉帳(忽略)"",
  REGEXMATCH(C1497, ""薪資""), ""薪資變動(不計入)"",
  REGEXMATCH(C1497, ""押金""), ""押金往來"",
  AND(E1497&lt;&gt;"""", F1497=""""), ""真實支出"",
  AND(E1497="""", F1497&lt;&gt;""""), ""真實收入"",
  TRUE, ""其他""
)"),"真實支出")</f>
        <v>真實支出</v>
      </c>
      <c r="K1497" s="270">
        <f t="shared" si="2"/>
        <v>-400</v>
      </c>
      <c r="L1497">
        <f t="shared" si="3"/>
        <v>0</v>
      </c>
    </row>
    <row r="1498">
      <c r="A1498" s="107">
        <f>IFERROR(__xludf.DUMMYFUNCTION("""COMPUTED_VALUE"""),45709.0)</f>
        <v>45709</v>
      </c>
      <c r="B1498" t="str">
        <f>IFERROR(__xludf.DUMMYFUNCTION("""COMPUTED_VALUE"""),"龍江 除蟲費")</f>
        <v>龍江 除蟲費</v>
      </c>
      <c r="C1498" t="str">
        <f>IFERROR(__xludf.DUMMYFUNCTION("""COMPUTED_VALUE"""),"成本 - 租後修繕")</f>
        <v>成本 - 租後修繕</v>
      </c>
      <c r="D1498" s="270">
        <f>IFERROR(__xludf.DUMMYFUNCTION("""COMPUTED_VALUE"""),-2100.0)</f>
        <v>-2100</v>
      </c>
      <c r="E1498" t="str">
        <f>IFERROR(__xludf.DUMMYFUNCTION("""COMPUTED_VALUE"""),"Ben帳戶")</f>
        <v>Ben帳戶</v>
      </c>
      <c r="G1498" t="str">
        <f>IFERROR(__xludf.DUMMYFUNCTION("""COMPUTED_VALUE"""),"龍江229")</f>
        <v>龍江229</v>
      </c>
      <c r="H1498" s="106" t="str">
        <f t="shared" si="1"/>
        <v>2025-02</v>
      </c>
      <c r="I1498" s="271" t="str">
        <f>IFERROR(__xludf.DUMMYFUNCTION("""COMPUTED_VALUE"""),"貓狗企鵝")</f>
        <v>貓狗企鵝</v>
      </c>
      <c r="J1498" t="str">
        <f>IFERROR(__xludf.DUMMYFUNCTION("IFS(
  AND(REGEXMATCH(E1498, ""台銀籌備帳戶|玉山帳戶""), REGEXMATCH(C1498, ""薪資"")), ""分潤支出"",
  AND(REGEXMATCH(E1498, ""Ben帳戶|Elsa帳戶|Ben代墊|Ariel代墊|中信銀行共用""), REGEXMATCH(F1498, ""Ben帳戶|Elsa帳戶|Ben代墊|Ariel代墊|中信銀行共用"")), ""內部轉帳(忽略)"",
  AND(E1498&lt;&gt;"""", F1498&lt;&gt;"""", N"&amp;"OT(REGEXMATCH(C1498, ""薪資""))), ""內部轉帳(忽略)"",
  REGEXMATCH(C1498, ""薪資""), ""薪資變動(不計入)"",
  REGEXMATCH(C1498, ""押金""), ""押金往來"",
  AND(E1498&lt;&gt;"""", F1498=""""), ""真實支出"",
  AND(E1498="""", F1498&lt;&gt;""""), ""真實收入"",
  TRUE, ""其他""
)"),"真實支出")</f>
        <v>真實支出</v>
      </c>
      <c r="K1498" s="270">
        <f t="shared" si="2"/>
        <v>-2100</v>
      </c>
      <c r="L1498">
        <f t="shared" si="3"/>
        <v>0</v>
      </c>
    </row>
    <row r="1499">
      <c r="A1499" s="107">
        <f>IFERROR(__xludf.DUMMYFUNCTION("""COMPUTED_VALUE"""),45713.0)</f>
        <v>45713</v>
      </c>
      <c r="B1499" t="str">
        <f>IFERROR(__xludf.DUMMYFUNCTION("""COMPUTED_VALUE"""),"娘家 電費")</f>
        <v>娘家 電費</v>
      </c>
      <c r="C1499" t="str">
        <f>IFERROR(__xludf.DUMMYFUNCTION("""COMPUTED_VALUE"""),"成本 - 固定開銷(網路代收清潔)")</f>
        <v>成本 - 固定開銷(網路代收清潔)</v>
      </c>
      <c r="D1499" s="270">
        <f>IFERROR(__xludf.DUMMYFUNCTION("""COMPUTED_VALUE"""),-250.0)</f>
        <v>-250</v>
      </c>
      <c r="E1499" t="str">
        <f>IFERROR(__xludf.DUMMYFUNCTION("""COMPUTED_VALUE"""),"Ben帳戶")</f>
        <v>Ben帳戶</v>
      </c>
      <c r="G1499" t="str">
        <f>IFERROR(__xludf.DUMMYFUNCTION("""COMPUTED_VALUE"""),"中山北娘家旁")</f>
        <v>中山北娘家旁</v>
      </c>
      <c r="H1499" s="106" t="str">
        <f t="shared" si="1"/>
        <v>2025-02</v>
      </c>
      <c r="I1499" s="271" t="str">
        <f>IFERROR(__xludf.DUMMYFUNCTION("""COMPUTED_VALUE"""),"貓狗企鵝")</f>
        <v>貓狗企鵝</v>
      </c>
      <c r="J1499" t="str">
        <f>IFERROR(__xludf.DUMMYFUNCTION("IFS(
  AND(REGEXMATCH(E1499, ""台銀籌備帳戶|玉山帳戶""), REGEXMATCH(C1499, ""薪資"")), ""分潤支出"",
  AND(REGEXMATCH(E1499, ""Ben帳戶|Elsa帳戶|Ben代墊|Ariel代墊|中信銀行共用""), REGEXMATCH(F1499, ""Ben帳戶|Elsa帳戶|Ben代墊|Ariel代墊|中信銀行共用"")), ""內部轉帳(忽略)"",
  AND(E1499&lt;&gt;"""", F1499&lt;&gt;"""", N"&amp;"OT(REGEXMATCH(C1499, ""薪資""))), ""內部轉帳(忽略)"",
  REGEXMATCH(C1499, ""薪資""), ""薪資變動(不計入)"",
  REGEXMATCH(C1499, ""押金""), ""押金往來"",
  AND(E1499&lt;&gt;"""", F1499=""""), ""真實支出"",
  AND(E1499="""", F1499&lt;&gt;""""), ""真實收入"",
  TRUE, ""其他""
)"),"真實支出")</f>
        <v>真實支出</v>
      </c>
      <c r="K1499" s="270">
        <f t="shared" si="2"/>
        <v>-250</v>
      </c>
      <c r="L1499">
        <f t="shared" si="3"/>
        <v>0</v>
      </c>
    </row>
    <row r="1500">
      <c r="A1500" s="107">
        <f>IFERROR(__xludf.DUMMYFUNCTION("""COMPUTED_VALUE"""),45713.0)</f>
        <v>45713</v>
      </c>
      <c r="B1500" t="str">
        <f>IFERROR(__xludf.DUMMYFUNCTION("""COMPUTED_VALUE"""),"退水電給KK")</f>
        <v>退水電給KK</v>
      </c>
      <c r="C1500" t="str">
        <f>IFERROR(__xludf.DUMMYFUNCTION("""COMPUTED_VALUE"""),"收入 - 押金")</f>
        <v>收入 - 押金</v>
      </c>
      <c r="D1500" s="270">
        <f>IFERROR(__xludf.DUMMYFUNCTION("""COMPUTED_VALUE"""),-2927.0)</f>
        <v>-2927</v>
      </c>
      <c r="E1500" t="str">
        <f>IFERROR(__xludf.DUMMYFUNCTION("""COMPUTED_VALUE"""),"Elsa帳戶")</f>
        <v>Elsa帳戶</v>
      </c>
      <c r="G1500" t="str">
        <f>IFERROR(__xludf.DUMMYFUNCTION("""COMPUTED_VALUE"""),"市府爺爺家")</f>
        <v>市府爺爺家</v>
      </c>
      <c r="H1500" s="106" t="str">
        <f t="shared" si="1"/>
        <v>2025-02</v>
      </c>
      <c r="I1500" s="271" t="str">
        <f>IFERROR(__xludf.DUMMYFUNCTION("""COMPUTED_VALUE"""),"貓狗企鵝")</f>
        <v>貓狗企鵝</v>
      </c>
      <c r="J1500" t="str">
        <f>IFERROR(__xludf.DUMMYFUNCTION("IFS(
  AND(REGEXMATCH(E1500, ""台銀籌備帳戶|玉山帳戶""), REGEXMATCH(C1500, ""薪資"")), ""分潤支出"",
  AND(REGEXMATCH(E1500, ""Ben帳戶|Elsa帳戶|Ben代墊|Ariel代墊|中信銀行共用""), REGEXMATCH(F1500, ""Ben帳戶|Elsa帳戶|Ben代墊|Ariel代墊|中信銀行共用"")), ""內部轉帳(忽略)"",
  AND(E1500&lt;&gt;"""", F1500&lt;&gt;"""", N"&amp;"OT(REGEXMATCH(C1500, ""薪資""))), ""內部轉帳(忽略)"",
  REGEXMATCH(C1500, ""薪資""), ""薪資變動(不計入)"",
  REGEXMATCH(C1500, ""押金""), ""押金往來"",
  AND(E1500&lt;&gt;"""", F1500=""""), ""真實支出"",
  AND(E1500="""", F1500&lt;&gt;""""), ""真實收入"",
  TRUE, ""其他""
)"),"押金往來")</f>
        <v>押金往來</v>
      </c>
      <c r="K1500">
        <f t="shared" si="2"/>
        <v>0</v>
      </c>
      <c r="L1500">
        <f t="shared" si="3"/>
        <v>0</v>
      </c>
    </row>
    <row r="1501">
      <c r="A1501" s="107">
        <f>IFERROR(__xludf.DUMMYFUNCTION("""COMPUTED_VALUE"""),45713.0)</f>
        <v>45713</v>
      </c>
      <c r="B1501" t="str">
        <f>IFERROR(__xludf.DUMMYFUNCTION("""COMPUTED_VALUE"""),"櫻花牌瓦斯爐")</f>
        <v>櫻花牌瓦斯爐</v>
      </c>
      <c r="C1501" t="str">
        <f>IFERROR(__xludf.DUMMYFUNCTION("""COMPUTED_VALUE"""),"成本 - 租後修繕")</f>
        <v>成本 - 租後修繕</v>
      </c>
      <c r="D1501" s="270">
        <f>IFERROR(__xludf.DUMMYFUNCTION("""COMPUTED_VALUE"""),-6650.0)</f>
        <v>-6650</v>
      </c>
      <c r="E1501" t="str">
        <f>IFERROR(__xludf.DUMMYFUNCTION("""COMPUTED_VALUE"""),"Elsa帳戶")</f>
        <v>Elsa帳戶</v>
      </c>
      <c r="G1501" t="str">
        <f>IFERROR(__xludf.DUMMYFUNCTION("""COMPUTED_VALUE"""),"中山北Feli家")</f>
        <v>中山北Feli家</v>
      </c>
      <c r="H1501" s="106" t="str">
        <f t="shared" si="1"/>
        <v>2025-02</v>
      </c>
      <c r="I1501" s="271" t="str">
        <f>IFERROR(__xludf.DUMMYFUNCTION("""COMPUTED_VALUE"""),"貓狗企鵝")</f>
        <v>貓狗企鵝</v>
      </c>
      <c r="J1501" t="str">
        <f>IFERROR(__xludf.DUMMYFUNCTION("IFS(
  AND(REGEXMATCH(E1501, ""台銀籌備帳戶|玉山帳戶""), REGEXMATCH(C1501, ""薪資"")), ""分潤支出"",
  AND(REGEXMATCH(E1501, ""Ben帳戶|Elsa帳戶|Ben代墊|Ariel代墊|中信銀行共用""), REGEXMATCH(F1501, ""Ben帳戶|Elsa帳戶|Ben代墊|Ariel代墊|中信銀行共用"")), ""內部轉帳(忽略)"",
  AND(E1501&lt;&gt;"""", F1501&lt;&gt;"""", N"&amp;"OT(REGEXMATCH(C1501, ""薪資""))), ""內部轉帳(忽略)"",
  REGEXMATCH(C1501, ""薪資""), ""薪資變動(不計入)"",
  REGEXMATCH(C1501, ""押金""), ""押金往來"",
  AND(E1501&lt;&gt;"""", F1501=""""), ""真實支出"",
  AND(E1501="""", F1501&lt;&gt;""""), ""真實收入"",
  TRUE, ""其他""
)"),"真實支出")</f>
        <v>真實支出</v>
      </c>
      <c r="K1501" s="270">
        <f t="shared" si="2"/>
        <v>-6650</v>
      </c>
      <c r="L1501">
        <f t="shared" si="3"/>
        <v>0</v>
      </c>
    </row>
    <row r="1502">
      <c r="A1502" s="107">
        <f>IFERROR(__xludf.DUMMYFUNCTION("""COMPUTED_VALUE"""),45716.0)</f>
        <v>45716</v>
      </c>
      <c r="B1502" t="str">
        <f>IFERROR(__xludf.DUMMYFUNCTION("""COMPUTED_VALUE"""),"Robert 退押金")</f>
        <v>Robert 退押金</v>
      </c>
      <c r="C1502" t="str">
        <f>IFERROR(__xludf.DUMMYFUNCTION("""COMPUTED_VALUE"""),"收入 - 押金")</f>
        <v>收入 - 押金</v>
      </c>
      <c r="D1502" s="270">
        <f>IFERROR(__xludf.DUMMYFUNCTION("""COMPUTED_VALUE"""),-14325.0)</f>
        <v>-14325</v>
      </c>
      <c r="E1502" t="str">
        <f>IFERROR(__xludf.DUMMYFUNCTION("""COMPUTED_VALUE"""),"Elsa帳戶")</f>
        <v>Elsa帳戶</v>
      </c>
      <c r="G1502" t="str">
        <f>IFERROR(__xludf.DUMMYFUNCTION("""COMPUTED_VALUE"""),"中山北娘家旁")</f>
        <v>中山北娘家旁</v>
      </c>
      <c r="H1502" s="106" t="str">
        <f t="shared" si="1"/>
        <v>2025-02</v>
      </c>
      <c r="I1502" s="271" t="str">
        <f>IFERROR(__xludf.DUMMYFUNCTION("""COMPUTED_VALUE"""),"貓狗企鵝")</f>
        <v>貓狗企鵝</v>
      </c>
      <c r="J1502" t="str">
        <f>IFERROR(__xludf.DUMMYFUNCTION("IFS(
  AND(REGEXMATCH(E1502, ""台銀籌備帳戶|玉山帳戶""), REGEXMATCH(C1502, ""薪資"")), ""分潤支出"",
  AND(REGEXMATCH(E1502, ""Ben帳戶|Elsa帳戶|Ben代墊|Ariel代墊|中信銀行共用""), REGEXMATCH(F1502, ""Ben帳戶|Elsa帳戶|Ben代墊|Ariel代墊|中信銀行共用"")), ""內部轉帳(忽略)"",
  AND(E1502&lt;&gt;"""", F1502&lt;&gt;"""", N"&amp;"OT(REGEXMATCH(C1502, ""薪資""))), ""內部轉帳(忽略)"",
  REGEXMATCH(C1502, ""薪資""), ""薪資變動(不計入)"",
  REGEXMATCH(C1502, ""押金""), ""押金往來"",
  AND(E1502&lt;&gt;"""", F1502=""""), ""真實支出"",
  AND(E1502="""", F1502&lt;&gt;""""), ""真實收入"",
  TRUE, ""其他""
)"),"押金往來")</f>
        <v>押金往來</v>
      </c>
      <c r="K1502">
        <f t="shared" si="2"/>
        <v>0</v>
      </c>
      <c r="L1502">
        <f t="shared" si="3"/>
        <v>0</v>
      </c>
    </row>
    <row r="1503">
      <c r="A1503" s="107">
        <f>IFERROR(__xludf.DUMMYFUNCTION("""COMPUTED_VALUE"""),45716.0)</f>
        <v>45716</v>
      </c>
      <c r="B1503" t="str">
        <f>IFERROR(__xludf.DUMMYFUNCTION("""COMPUTED_VALUE"""),"Feli 瓦斯爐 材料費")</f>
        <v>Feli 瓦斯爐 材料費</v>
      </c>
      <c r="C1503" t="str">
        <f>IFERROR(__xludf.DUMMYFUNCTION("""COMPUTED_VALUE"""),"成本 - 租後修繕")</f>
        <v>成本 - 租後修繕</v>
      </c>
      <c r="D1503" s="270">
        <f>IFERROR(__xludf.DUMMYFUNCTION("""COMPUTED_VALUE"""),-240.0)</f>
        <v>-240</v>
      </c>
      <c r="E1503" t="str">
        <f>IFERROR(__xludf.DUMMYFUNCTION("""COMPUTED_VALUE"""),"Ben帳戶")</f>
        <v>Ben帳戶</v>
      </c>
      <c r="G1503" t="str">
        <f>IFERROR(__xludf.DUMMYFUNCTION("""COMPUTED_VALUE"""),"中山北Feli家")</f>
        <v>中山北Feli家</v>
      </c>
      <c r="H1503" s="106" t="str">
        <f t="shared" si="1"/>
        <v>2025-02</v>
      </c>
      <c r="I1503" s="271" t="str">
        <f>IFERROR(__xludf.DUMMYFUNCTION("""COMPUTED_VALUE"""),"貓狗企鵝")</f>
        <v>貓狗企鵝</v>
      </c>
      <c r="J1503" t="str">
        <f>IFERROR(__xludf.DUMMYFUNCTION("IFS(
  AND(REGEXMATCH(E1503, ""台銀籌備帳戶|玉山帳戶""), REGEXMATCH(C1503, ""薪資"")), ""分潤支出"",
  AND(REGEXMATCH(E1503, ""Ben帳戶|Elsa帳戶|Ben代墊|Ariel代墊|中信銀行共用""), REGEXMATCH(F1503, ""Ben帳戶|Elsa帳戶|Ben代墊|Ariel代墊|中信銀行共用"")), ""內部轉帳(忽略)"",
  AND(E1503&lt;&gt;"""", F1503&lt;&gt;"""", N"&amp;"OT(REGEXMATCH(C1503, ""薪資""))), ""內部轉帳(忽略)"",
  REGEXMATCH(C1503, ""薪資""), ""薪資變動(不計入)"",
  REGEXMATCH(C1503, ""押金""), ""押金往來"",
  AND(E1503&lt;&gt;"""", F1503=""""), ""真實支出"",
  AND(E1503="""", F1503&lt;&gt;""""), ""真實收入"",
  TRUE, ""其他""
)"),"真實支出")</f>
        <v>真實支出</v>
      </c>
      <c r="K1503" s="270">
        <f t="shared" si="2"/>
        <v>-240</v>
      </c>
      <c r="L1503">
        <f t="shared" si="3"/>
        <v>0</v>
      </c>
    </row>
    <row r="1504">
      <c r="A1504" s="107">
        <f>IFERROR(__xludf.DUMMYFUNCTION("""COMPUTED_VALUE"""),45716.0)</f>
        <v>45716</v>
      </c>
      <c r="B1504" t="str">
        <f>IFERROR(__xludf.DUMMYFUNCTION("""COMPUTED_VALUE"""),"龍江帶看感謝金")</f>
        <v>龍江帶看感謝金</v>
      </c>
      <c r="C1504" t="str">
        <f>IFERROR(__xludf.DUMMYFUNCTION("""COMPUTED_VALUE"""),"成本 - 仲介費")</f>
        <v>成本 - 仲介費</v>
      </c>
      <c r="D1504" s="270">
        <f>IFERROR(__xludf.DUMMYFUNCTION("""COMPUTED_VALUE"""),-500.0)</f>
        <v>-500</v>
      </c>
      <c r="E1504" t="str">
        <f>IFERROR(__xludf.DUMMYFUNCTION("""COMPUTED_VALUE"""),"Ben帳戶")</f>
        <v>Ben帳戶</v>
      </c>
      <c r="G1504" t="str">
        <f>IFERROR(__xludf.DUMMYFUNCTION("""COMPUTED_VALUE"""),"龍江229")</f>
        <v>龍江229</v>
      </c>
      <c r="H1504" s="106" t="str">
        <f t="shared" si="1"/>
        <v>2025-02</v>
      </c>
      <c r="I1504" s="271" t="str">
        <f>IFERROR(__xludf.DUMMYFUNCTION("""COMPUTED_VALUE"""),"貓狗企鵝")</f>
        <v>貓狗企鵝</v>
      </c>
      <c r="J1504" t="str">
        <f>IFERROR(__xludf.DUMMYFUNCTION("IFS(
  AND(REGEXMATCH(E1504, ""台銀籌備帳戶|玉山帳戶""), REGEXMATCH(C1504, ""薪資"")), ""分潤支出"",
  AND(REGEXMATCH(E1504, ""Ben帳戶|Elsa帳戶|Ben代墊|Ariel代墊|中信銀行共用""), REGEXMATCH(F1504, ""Ben帳戶|Elsa帳戶|Ben代墊|Ariel代墊|中信銀行共用"")), ""內部轉帳(忽略)"",
  AND(E1504&lt;&gt;"""", F1504&lt;&gt;"""", N"&amp;"OT(REGEXMATCH(C1504, ""薪資""))), ""內部轉帳(忽略)"",
  REGEXMATCH(C1504, ""薪資""), ""薪資變動(不計入)"",
  REGEXMATCH(C1504, ""押金""), ""押金往來"",
  AND(E1504&lt;&gt;"""", F1504=""""), ""真實支出"",
  AND(E1504="""", F1504&lt;&gt;""""), ""真實收入"",
  TRUE, ""其他""
)"),"真實支出")</f>
        <v>真實支出</v>
      </c>
      <c r="K1504" s="270">
        <f t="shared" si="2"/>
        <v>-500</v>
      </c>
      <c r="L1504">
        <f t="shared" si="3"/>
        <v>0</v>
      </c>
    </row>
    <row r="1505">
      <c r="A1505" s="107">
        <f>IFERROR(__xludf.DUMMYFUNCTION("""COMPUTED_VALUE"""),45716.0)</f>
        <v>45716</v>
      </c>
      <c r="B1505" t="str">
        <f>IFERROR(__xludf.DUMMYFUNCTION("""COMPUTED_VALUE"""),"龍江花花退押")</f>
        <v>龍江花花退押</v>
      </c>
      <c r="C1505" t="str">
        <f>IFERROR(__xludf.DUMMYFUNCTION("""COMPUTED_VALUE"""),"收入 - 押金")</f>
        <v>收入 - 押金</v>
      </c>
      <c r="D1505" s="270">
        <f>IFERROR(__xludf.DUMMYFUNCTION("""COMPUTED_VALUE"""),-25700.0)</f>
        <v>-25700</v>
      </c>
      <c r="E1505" t="str">
        <f>IFERROR(__xludf.DUMMYFUNCTION("""COMPUTED_VALUE"""),"Ben帳戶")</f>
        <v>Ben帳戶</v>
      </c>
      <c r="G1505" t="str">
        <f>IFERROR(__xludf.DUMMYFUNCTION("""COMPUTED_VALUE"""),"龍江229")</f>
        <v>龍江229</v>
      </c>
      <c r="H1505" s="106" t="str">
        <f t="shared" si="1"/>
        <v>2025-02</v>
      </c>
      <c r="I1505" s="271" t="str">
        <f>IFERROR(__xludf.DUMMYFUNCTION("""COMPUTED_VALUE"""),"貓狗企鵝")</f>
        <v>貓狗企鵝</v>
      </c>
      <c r="J1505" t="str">
        <f>IFERROR(__xludf.DUMMYFUNCTION("IFS(
  AND(REGEXMATCH(E1505, ""台銀籌備帳戶|玉山帳戶""), REGEXMATCH(C1505, ""薪資"")), ""分潤支出"",
  AND(REGEXMATCH(E1505, ""Ben帳戶|Elsa帳戶|Ben代墊|Ariel代墊|中信銀行共用""), REGEXMATCH(F1505, ""Ben帳戶|Elsa帳戶|Ben代墊|Ariel代墊|中信銀行共用"")), ""內部轉帳(忽略)"",
  AND(E1505&lt;&gt;"""", F1505&lt;&gt;"""", N"&amp;"OT(REGEXMATCH(C1505, ""薪資""))), ""內部轉帳(忽略)"",
  REGEXMATCH(C1505, ""薪資""), ""薪資變動(不計入)"",
  REGEXMATCH(C1505, ""押金""), ""押金往來"",
  AND(E1505&lt;&gt;"""", F1505=""""), ""真實支出"",
  AND(E1505="""", F1505&lt;&gt;""""), ""真實收入"",
  TRUE, ""其他""
)"),"押金往來")</f>
        <v>押金往來</v>
      </c>
      <c r="K1505">
        <f t="shared" si="2"/>
        <v>0</v>
      </c>
      <c r="L1505">
        <f t="shared" si="3"/>
        <v>0</v>
      </c>
    </row>
    <row r="1506">
      <c r="A1506" s="107">
        <f>IFERROR(__xludf.DUMMYFUNCTION("""COMPUTED_VALUE"""),45716.0)</f>
        <v>45716</v>
      </c>
      <c r="B1506" t="str">
        <f>IFERROR(__xludf.DUMMYFUNCTION("""COMPUTED_VALUE"""),"E房退押金")</f>
        <v>E房退押金</v>
      </c>
      <c r="C1506" t="str">
        <f>IFERROR(__xludf.DUMMYFUNCTION("""COMPUTED_VALUE"""),"收入 - 押金")</f>
        <v>收入 - 押金</v>
      </c>
      <c r="D1506" s="270">
        <f>IFERROR(__xludf.DUMMYFUNCTION("""COMPUTED_VALUE"""),-16000.0)</f>
        <v>-16000</v>
      </c>
      <c r="E1506" t="str">
        <f>IFERROR(__xludf.DUMMYFUNCTION("""COMPUTED_VALUE"""),"Elsa帳戶")</f>
        <v>Elsa帳戶</v>
      </c>
      <c r="G1506" t="str">
        <f>IFERROR(__xludf.DUMMYFUNCTION("""COMPUTED_VALUE"""),"景安2分鐘")</f>
        <v>景安2分鐘</v>
      </c>
      <c r="H1506" s="106" t="str">
        <f t="shared" si="1"/>
        <v>2025-02</v>
      </c>
      <c r="I1506" s="271" t="str">
        <f>IFERROR(__xludf.DUMMYFUNCTION("""COMPUTED_VALUE"""),"貓狗企鵝")</f>
        <v>貓狗企鵝</v>
      </c>
      <c r="J1506" t="str">
        <f>IFERROR(__xludf.DUMMYFUNCTION("IFS(
  AND(REGEXMATCH(E1506, ""台銀籌備帳戶|玉山帳戶""), REGEXMATCH(C1506, ""薪資"")), ""分潤支出"",
  AND(REGEXMATCH(E1506, ""Ben帳戶|Elsa帳戶|Ben代墊|Ariel代墊|中信銀行共用""), REGEXMATCH(F1506, ""Ben帳戶|Elsa帳戶|Ben代墊|Ariel代墊|中信銀行共用"")), ""內部轉帳(忽略)"",
  AND(E1506&lt;&gt;"""", F1506&lt;&gt;"""", N"&amp;"OT(REGEXMATCH(C1506, ""薪資""))), ""內部轉帳(忽略)"",
  REGEXMATCH(C1506, ""薪資""), ""薪資變動(不計入)"",
  REGEXMATCH(C1506, ""押金""), ""押金往來"",
  AND(E1506&lt;&gt;"""", F1506=""""), ""真實支出"",
  AND(E1506="""", F1506&lt;&gt;""""), ""真實收入"",
  TRUE, ""其他""
)"),"押金往來")</f>
        <v>押金往來</v>
      </c>
      <c r="K1506">
        <f t="shared" si="2"/>
        <v>0</v>
      </c>
      <c r="L1506">
        <f t="shared" si="3"/>
        <v>0</v>
      </c>
    </row>
    <row r="1507">
      <c r="A1507" s="107">
        <f>IFERROR(__xludf.DUMMYFUNCTION("""COMPUTED_VALUE"""),45716.0)</f>
        <v>45716</v>
      </c>
      <c r="B1507" t="str">
        <f>IFERROR(__xludf.DUMMYFUNCTION("""COMPUTED_VALUE"""),"C房多付租金")</f>
        <v>C房多付租金</v>
      </c>
      <c r="C1507" t="str">
        <f>IFERROR(__xludf.DUMMYFUNCTION("""COMPUTED_VALUE"""),"收入 - 租金")</f>
        <v>收入 - 租金</v>
      </c>
      <c r="D1507" s="270">
        <f>IFERROR(__xludf.DUMMYFUNCTION("""COMPUTED_VALUE"""),-400.0)</f>
        <v>-400</v>
      </c>
      <c r="E1507" t="str">
        <f>IFERROR(__xludf.DUMMYFUNCTION("""COMPUTED_VALUE"""),"Elsa帳戶")</f>
        <v>Elsa帳戶</v>
      </c>
      <c r="G1507" t="str">
        <f>IFERROR(__xludf.DUMMYFUNCTION("""COMPUTED_VALUE"""),"景安2分鐘")</f>
        <v>景安2分鐘</v>
      </c>
      <c r="H1507" s="106" t="str">
        <f t="shared" si="1"/>
        <v>2025-02</v>
      </c>
      <c r="I1507" s="271" t="str">
        <f>IFERROR(__xludf.DUMMYFUNCTION("""COMPUTED_VALUE"""),"貓狗企鵝")</f>
        <v>貓狗企鵝</v>
      </c>
      <c r="J1507" t="str">
        <f>IFERROR(__xludf.DUMMYFUNCTION("IFS(
  AND(REGEXMATCH(E1507, ""台銀籌備帳戶|玉山帳戶""), REGEXMATCH(C1507, ""薪資"")), ""分潤支出"",
  AND(REGEXMATCH(E1507, ""Ben帳戶|Elsa帳戶|Ben代墊|Ariel代墊|中信銀行共用""), REGEXMATCH(F1507, ""Ben帳戶|Elsa帳戶|Ben代墊|Ariel代墊|中信銀行共用"")), ""內部轉帳(忽略)"",
  AND(E1507&lt;&gt;"""", F1507&lt;&gt;"""", N"&amp;"OT(REGEXMATCH(C1507, ""薪資""))), ""內部轉帳(忽略)"",
  REGEXMATCH(C1507, ""薪資""), ""薪資變動(不計入)"",
  REGEXMATCH(C1507, ""押金""), ""押金往來"",
  AND(E1507&lt;&gt;"""", F1507=""""), ""真實支出"",
  AND(E1507="""", F1507&lt;&gt;""""), ""真實收入"",
  TRUE, ""其他""
)"),"真實支出")</f>
        <v>真實支出</v>
      </c>
      <c r="K1507" s="270">
        <f t="shared" si="2"/>
        <v>-400</v>
      </c>
      <c r="L1507">
        <f t="shared" si="3"/>
        <v>0</v>
      </c>
    </row>
    <row r="1508">
      <c r="A1508" s="107">
        <f>IFERROR(__xludf.DUMMYFUNCTION("""COMPUTED_VALUE"""),45716.0)</f>
        <v>45716</v>
      </c>
      <c r="B1508" t="str">
        <f>IFERROR(__xludf.DUMMYFUNCTION("""COMPUTED_VALUE"""),"C房多付租金")</f>
        <v>C房多付租金</v>
      </c>
      <c r="C1508" t="str">
        <f>IFERROR(__xludf.DUMMYFUNCTION("""COMPUTED_VALUE"""),"收入 - 租金")</f>
        <v>收入 - 租金</v>
      </c>
      <c r="D1508" s="270">
        <f>IFERROR(__xludf.DUMMYFUNCTION("""COMPUTED_VALUE"""),-100.0)</f>
        <v>-100</v>
      </c>
      <c r="E1508" t="str">
        <f>IFERROR(__xludf.DUMMYFUNCTION("""COMPUTED_VALUE"""),"Ben帳戶")</f>
        <v>Ben帳戶</v>
      </c>
      <c r="G1508" t="str">
        <f>IFERROR(__xludf.DUMMYFUNCTION("""COMPUTED_VALUE"""),"景安2分鐘")</f>
        <v>景安2分鐘</v>
      </c>
      <c r="H1508" s="106" t="str">
        <f t="shared" si="1"/>
        <v>2025-02</v>
      </c>
      <c r="I1508" s="271" t="str">
        <f>IFERROR(__xludf.DUMMYFUNCTION("""COMPUTED_VALUE"""),"貓狗企鵝")</f>
        <v>貓狗企鵝</v>
      </c>
      <c r="J1508" t="str">
        <f>IFERROR(__xludf.DUMMYFUNCTION("IFS(
  AND(REGEXMATCH(E1508, ""台銀籌備帳戶|玉山帳戶""), REGEXMATCH(C1508, ""薪資"")), ""分潤支出"",
  AND(REGEXMATCH(E1508, ""Ben帳戶|Elsa帳戶|Ben代墊|Ariel代墊|中信銀行共用""), REGEXMATCH(F1508, ""Ben帳戶|Elsa帳戶|Ben代墊|Ariel代墊|中信銀行共用"")), ""內部轉帳(忽略)"",
  AND(E1508&lt;&gt;"""", F1508&lt;&gt;"""", N"&amp;"OT(REGEXMATCH(C1508, ""薪資""))), ""內部轉帳(忽略)"",
  REGEXMATCH(C1508, ""薪資""), ""薪資變動(不計入)"",
  REGEXMATCH(C1508, ""押金""), ""押金往來"",
  AND(E1508&lt;&gt;"""", F1508=""""), ""真實支出"",
  AND(E1508="""", F1508&lt;&gt;""""), ""真實收入"",
  TRUE, ""其他""
)"),"真實支出")</f>
        <v>真實支出</v>
      </c>
      <c r="K1508" s="270">
        <f t="shared" si="2"/>
        <v>-100</v>
      </c>
      <c r="L1508">
        <f t="shared" si="3"/>
        <v>0</v>
      </c>
    </row>
    <row r="1509">
      <c r="A1509" s="107">
        <f>IFERROR(__xludf.DUMMYFUNCTION("""COMPUTED_VALUE"""),45716.0)</f>
        <v>45716</v>
      </c>
      <c r="B1509" t="str">
        <f>IFERROR(__xludf.DUMMYFUNCTION("""COMPUTED_VALUE"""),"南港帶看感謝金")</f>
        <v>南港帶看感謝金</v>
      </c>
      <c r="C1509" t="str">
        <f>IFERROR(__xludf.DUMMYFUNCTION("""COMPUTED_VALUE"""),"成本 - 仲介費")</f>
        <v>成本 - 仲介費</v>
      </c>
      <c r="D1509" s="270">
        <f>IFERROR(__xludf.DUMMYFUNCTION("""COMPUTED_VALUE"""),-1000.0)</f>
        <v>-1000</v>
      </c>
      <c r="E1509" t="str">
        <f>IFERROR(__xludf.DUMMYFUNCTION("""COMPUTED_VALUE"""),"Ben帳戶")</f>
        <v>Ben帳戶</v>
      </c>
      <c r="G1509" t="str">
        <f>IFERROR(__xludf.DUMMYFUNCTION("""COMPUTED_VALUE"""),"南港站挑高宅")</f>
        <v>南港站挑高宅</v>
      </c>
      <c r="H1509" s="106" t="str">
        <f t="shared" si="1"/>
        <v>2025-02</v>
      </c>
      <c r="I1509" s="271" t="str">
        <f>IFERROR(__xludf.DUMMYFUNCTION("""COMPUTED_VALUE"""),"貓狗企鵝")</f>
        <v>貓狗企鵝</v>
      </c>
      <c r="J1509" t="str">
        <f>IFERROR(__xludf.DUMMYFUNCTION("IFS(
  AND(REGEXMATCH(E1509, ""台銀籌備帳戶|玉山帳戶""), REGEXMATCH(C1509, ""薪資"")), ""分潤支出"",
  AND(REGEXMATCH(E1509, ""Ben帳戶|Elsa帳戶|Ben代墊|Ariel代墊|中信銀行共用""), REGEXMATCH(F1509, ""Ben帳戶|Elsa帳戶|Ben代墊|Ariel代墊|中信銀行共用"")), ""內部轉帳(忽略)"",
  AND(E1509&lt;&gt;"""", F1509&lt;&gt;"""", N"&amp;"OT(REGEXMATCH(C1509, ""薪資""))), ""內部轉帳(忽略)"",
  REGEXMATCH(C1509, ""薪資""), ""薪資變動(不計入)"",
  REGEXMATCH(C1509, ""押金""), ""押金往來"",
  AND(E1509&lt;&gt;"""", F1509=""""), ""真實支出"",
  AND(E1509="""", F1509&lt;&gt;""""), ""真實收入"",
  TRUE, ""其他""
)"),"真實支出")</f>
        <v>真實支出</v>
      </c>
      <c r="K1509" s="270">
        <f t="shared" si="2"/>
        <v>-1000</v>
      </c>
      <c r="L1509">
        <f t="shared" si="3"/>
        <v>0</v>
      </c>
    </row>
    <row r="1510">
      <c r="A1510" s="107">
        <f>IFERROR(__xludf.DUMMYFUNCTION("""COMPUTED_VALUE"""),45718.0)</f>
        <v>45718</v>
      </c>
      <c r="B1510" t="str">
        <f>IFERROR(__xludf.DUMMYFUNCTION("""COMPUTED_VALUE"""),"龍江B退押金")</f>
        <v>龍江B退押金</v>
      </c>
      <c r="C1510" t="str">
        <f>IFERROR(__xludf.DUMMYFUNCTION("""COMPUTED_VALUE"""),"收入 - 押金")</f>
        <v>收入 - 押金</v>
      </c>
      <c r="D1510" s="270">
        <f>IFERROR(__xludf.DUMMYFUNCTION("""COMPUTED_VALUE"""),-25261.0)</f>
        <v>-25261</v>
      </c>
      <c r="E1510" t="str">
        <f>IFERROR(__xludf.DUMMYFUNCTION("""COMPUTED_VALUE"""),"Ben帳戶")</f>
        <v>Ben帳戶</v>
      </c>
      <c r="G1510" t="str">
        <f>IFERROR(__xludf.DUMMYFUNCTION("""COMPUTED_VALUE"""),"龍江229")</f>
        <v>龍江229</v>
      </c>
      <c r="H1510" s="106" t="str">
        <f t="shared" si="1"/>
        <v>2025-03</v>
      </c>
      <c r="I1510" s="271" t="str">
        <f>IFERROR(__xludf.DUMMYFUNCTION("""COMPUTED_VALUE"""),"貓狗企鵝")</f>
        <v>貓狗企鵝</v>
      </c>
      <c r="J1510" t="str">
        <f>IFERROR(__xludf.DUMMYFUNCTION("IFS(
  AND(REGEXMATCH(E1510, ""台銀籌備帳戶|玉山帳戶""), REGEXMATCH(C1510, ""薪資"")), ""分潤支出"",
  AND(REGEXMATCH(E1510, ""Ben帳戶|Elsa帳戶|Ben代墊|Ariel代墊|中信銀行共用""), REGEXMATCH(F1510, ""Ben帳戶|Elsa帳戶|Ben代墊|Ariel代墊|中信銀行共用"")), ""內部轉帳(忽略)"",
  AND(E1510&lt;&gt;"""", F1510&lt;&gt;"""", N"&amp;"OT(REGEXMATCH(C1510, ""薪資""))), ""內部轉帳(忽略)"",
  REGEXMATCH(C1510, ""薪資""), ""薪資變動(不計入)"",
  REGEXMATCH(C1510, ""押金""), ""押金往來"",
  AND(E1510&lt;&gt;"""", F1510=""""), ""真實支出"",
  AND(E1510="""", F1510&lt;&gt;""""), ""真實收入"",
  TRUE, ""其他""
)"),"押金往來")</f>
        <v>押金往來</v>
      </c>
      <c r="K1510">
        <f t="shared" si="2"/>
        <v>0</v>
      </c>
      <c r="L1510">
        <f t="shared" si="3"/>
        <v>0</v>
      </c>
    </row>
    <row r="1511">
      <c r="A1511" s="107">
        <f>IFERROR(__xludf.DUMMYFUNCTION("""COMPUTED_VALUE"""),45701.0)</f>
        <v>45701</v>
      </c>
      <c r="B1511" t="str">
        <f>IFERROR(__xludf.DUMMYFUNCTION("""COMPUTED_VALUE"""),"費用 - 匯費 對方行:700 後五碼:19509 (行號: 5)")</f>
        <v>費用 - 匯費 對方行:700 後五碼:19509 (行號: 5)</v>
      </c>
      <c r="C1511" t="str">
        <f>IFERROR(__xludf.DUMMYFUNCTION("""COMPUTED_VALUE"""),"費用 - 匯費")</f>
        <v>費用 - 匯費</v>
      </c>
      <c r="D1511" s="270">
        <f>IFERROR(__xludf.DUMMYFUNCTION("""COMPUTED_VALUE"""),-15.0)</f>
        <v>-15</v>
      </c>
      <c r="E1511" t="str">
        <f>IFERROR(__xludf.DUMMYFUNCTION("""COMPUTED_VALUE"""),"台銀籌備帳戶")</f>
        <v>台銀籌備帳戶</v>
      </c>
      <c r="H1511" s="106" t="str">
        <f t="shared" si="1"/>
        <v>2025-02</v>
      </c>
      <c r="I1511" s="271" t="str">
        <f>IFERROR(__xludf.DUMMYFUNCTION("""COMPUTED_VALUE"""),"貓狗企鵝")</f>
        <v>貓狗企鵝</v>
      </c>
      <c r="J1511" t="str">
        <f>IFERROR(__xludf.DUMMYFUNCTION("IFS(
  AND(REGEXMATCH(E1511, ""台銀籌備帳戶|玉山帳戶""), REGEXMATCH(C1511, ""薪資"")), ""分潤支出"",
  AND(REGEXMATCH(E1511, ""Ben帳戶|Elsa帳戶|Ben代墊|Ariel代墊|中信銀行共用""), REGEXMATCH(F1511, ""Ben帳戶|Elsa帳戶|Ben代墊|Ariel代墊|中信銀行共用"")), ""內部轉帳(忽略)"",
  AND(E1511&lt;&gt;"""", F1511&lt;&gt;"""", N"&amp;"OT(REGEXMATCH(C1511, ""薪資""))), ""內部轉帳(忽略)"",
  REGEXMATCH(C1511, ""薪資""), ""薪資變動(不計入)"",
  REGEXMATCH(C1511, ""押金""), ""押金往來"",
  AND(E1511&lt;&gt;"""", F1511=""""), ""真實支出"",
  AND(E1511="""", F1511&lt;&gt;""""), ""真實收入"",
  TRUE, ""其他""
)"),"真實支出")</f>
        <v>真實支出</v>
      </c>
      <c r="K1511" s="270">
        <f t="shared" si="2"/>
        <v>-15</v>
      </c>
      <c r="L1511">
        <f t="shared" si="3"/>
        <v>0</v>
      </c>
    </row>
    <row r="1512">
      <c r="A1512" s="107">
        <f>IFERROR(__xludf.DUMMYFUNCTION("""COMPUTED_VALUE"""),45701.0)</f>
        <v>45701</v>
      </c>
      <c r="B1512" t="str">
        <f>IFERROR(__xludf.DUMMYFUNCTION("""COMPUTED_VALUE"""),"[龍江229] [游為傑] 大租金")</f>
        <v>[龍江229] [游為傑] 大租金</v>
      </c>
      <c r="C1512" t="str">
        <f>IFERROR(__xludf.DUMMYFUNCTION("""COMPUTED_VALUE"""),"成本 - 大租金")</f>
        <v>成本 - 大租金</v>
      </c>
      <c r="D1512" s="270">
        <f>IFERROR(__xludf.DUMMYFUNCTION("""COMPUTED_VALUE"""),-13500.0)</f>
        <v>-13500</v>
      </c>
      <c r="E1512" t="str">
        <f>IFERROR(__xludf.DUMMYFUNCTION("""COMPUTED_VALUE"""),"台銀籌備帳戶")</f>
        <v>台銀籌備帳戶</v>
      </c>
      <c r="G1512" t="str">
        <f>IFERROR(__xludf.DUMMYFUNCTION("""COMPUTED_VALUE"""),"龍江229")</f>
        <v>龍江229</v>
      </c>
      <c r="H1512" s="106" t="str">
        <f t="shared" si="1"/>
        <v>2025-02</v>
      </c>
      <c r="I1512" s="271" t="str">
        <f>IFERROR(__xludf.DUMMYFUNCTION("""COMPUTED_VALUE"""),"貓狗企鵝")</f>
        <v>貓狗企鵝</v>
      </c>
      <c r="J1512" t="str">
        <f>IFERROR(__xludf.DUMMYFUNCTION("IFS(
  AND(REGEXMATCH(E1512, ""台銀籌備帳戶|玉山帳戶""), REGEXMATCH(C1512, ""薪資"")), ""分潤支出"",
  AND(REGEXMATCH(E1512, ""Ben帳戶|Elsa帳戶|Ben代墊|Ariel代墊|中信銀行共用""), REGEXMATCH(F1512, ""Ben帳戶|Elsa帳戶|Ben代墊|Ariel代墊|中信銀行共用"")), ""內部轉帳(忽略)"",
  AND(E1512&lt;&gt;"""", F1512&lt;&gt;"""", N"&amp;"OT(REGEXMATCH(C1512, ""薪資""))), ""內部轉帳(忽略)"",
  REGEXMATCH(C1512, ""薪資""), ""薪資變動(不計入)"",
  REGEXMATCH(C1512, ""押金""), ""押金往來"",
  AND(E1512&lt;&gt;"""", F1512=""""), ""真實支出"",
  AND(E1512="""", F1512&lt;&gt;""""), ""真實收入"",
  TRUE, ""其他""
)"),"真實支出")</f>
        <v>真實支出</v>
      </c>
      <c r="K1512" s="270">
        <f t="shared" si="2"/>
        <v>-13500</v>
      </c>
      <c r="L1512">
        <f t="shared" si="3"/>
        <v>0</v>
      </c>
    </row>
    <row r="1513">
      <c r="A1513" s="107">
        <f>IFERROR(__xludf.DUMMYFUNCTION("""COMPUTED_VALUE"""),45703.0)</f>
        <v>45703</v>
      </c>
      <c r="B1513" t="str">
        <f>IFERROR(__xludf.DUMMYFUNCTION("""COMPUTED_VALUE"""),"[南港站挑高宅] [林淑華] 大租金")</f>
        <v>[南港站挑高宅] [林淑華] 大租金</v>
      </c>
      <c r="C1513" t="str">
        <f>IFERROR(__xludf.DUMMYFUNCTION("""COMPUTED_VALUE"""),"成本 - 大租金")</f>
        <v>成本 - 大租金</v>
      </c>
      <c r="D1513" s="270">
        <f>IFERROR(__xludf.DUMMYFUNCTION("""COMPUTED_VALUE"""),-18250.0)</f>
        <v>-18250</v>
      </c>
      <c r="E1513" t="str">
        <f>IFERROR(__xludf.DUMMYFUNCTION("""COMPUTED_VALUE"""),"台銀籌備帳戶")</f>
        <v>台銀籌備帳戶</v>
      </c>
      <c r="G1513" t="str">
        <f>IFERROR(__xludf.DUMMYFUNCTION("""COMPUTED_VALUE"""),"南港站挑高宅")</f>
        <v>南港站挑高宅</v>
      </c>
      <c r="H1513" s="106" t="str">
        <f t="shared" si="1"/>
        <v>2025-02</v>
      </c>
      <c r="I1513" s="271" t="str">
        <f>IFERROR(__xludf.DUMMYFUNCTION("""COMPUTED_VALUE"""),"貓狗企鵝")</f>
        <v>貓狗企鵝</v>
      </c>
      <c r="J1513" t="str">
        <f>IFERROR(__xludf.DUMMYFUNCTION("IFS(
  AND(REGEXMATCH(E1513, ""台銀籌備帳戶|玉山帳戶""), REGEXMATCH(C1513, ""薪資"")), ""分潤支出"",
  AND(REGEXMATCH(E1513, ""Ben帳戶|Elsa帳戶|Ben代墊|Ariel代墊|中信銀行共用""), REGEXMATCH(F1513, ""Ben帳戶|Elsa帳戶|Ben代墊|Ariel代墊|中信銀行共用"")), ""內部轉帳(忽略)"",
  AND(E1513&lt;&gt;"""", F1513&lt;&gt;"""", N"&amp;"OT(REGEXMATCH(C1513, ""薪資""))), ""內部轉帳(忽略)"",
  REGEXMATCH(C1513, ""薪資""), ""薪資變動(不計入)"",
  REGEXMATCH(C1513, ""押金""), ""押金往來"",
  AND(E1513&lt;&gt;"""", F1513=""""), ""真實支出"",
  AND(E1513="""", F1513&lt;&gt;""""), ""真實收入"",
  TRUE, ""其他""
)"),"真實支出")</f>
        <v>真實支出</v>
      </c>
      <c r="K1513" s="270">
        <f t="shared" si="2"/>
        <v>-18250</v>
      </c>
      <c r="L1513">
        <f t="shared" si="3"/>
        <v>0</v>
      </c>
    </row>
    <row r="1514">
      <c r="A1514" s="107">
        <f>IFERROR(__xludf.DUMMYFUNCTION("""COMPUTED_VALUE"""),45703.0)</f>
        <v>45703</v>
      </c>
      <c r="B1514" t="str">
        <f>IFERROR(__xludf.DUMMYFUNCTION("""COMPUTED_VALUE"""),"費用 - 匯費 對方行:052 後五碼:22609 (行號: 7)")</f>
        <v>費用 - 匯費 對方行:052 後五碼:22609 (行號: 7)</v>
      </c>
      <c r="C1514" t="str">
        <f>IFERROR(__xludf.DUMMYFUNCTION("""COMPUTED_VALUE"""),"費用 - 匯費")</f>
        <v>費用 - 匯費</v>
      </c>
      <c r="D1514" s="270">
        <f>IFERROR(__xludf.DUMMYFUNCTION("""COMPUTED_VALUE"""),-15.0)</f>
        <v>-15</v>
      </c>
      <c r="E1514" t="str">
        <f>IFERROR(__xludf.DUMMYFUNCTION("""COMPUTED_VALUE"""),"台銀籌備帳戶")</f>
        <v>台銀籌備帳戶</v>
      </c>
      <c r="H1514" s="106" t="str">
        <f t="shared" si="1"/>
        <v>2025-02</v>
      </c>
      <c r="I1514" s="271" t="str">
        <f>IFERROR(__xludf.DUMMYFUNCTION("""COMPUTED_VALUE"""),"貓狗企鵝")</f>
        <v>貓狗企鵝</v>
      </c>
      <c r="J1514" t="str">
        <f>IFERROR(__xludf.DUMMYFUNCTION("IFS(
  AND(REGEXMATCH(E1514, ""台銀籌備帳戶|玉山帳戶""), REGEXMATCH(C1514, ""薪資"")), ""分潤支出"",
  AND(REGEXMATCH(E1514, ""Ben帳戶|Elsa帳戶|Ben代墊|Ariel代墊|中信銀行共用""), REGEXMATCH(F1514, ""Ben帳戶|Elsa帳戶|Ben代墊|Ariel代墊|中信銀行共用"")), ""內部轉帳(忽略)"",
  AND(E1514&lt;&gt;"""", F1514&lt;&gt;"""", N"&amp;"OT(REGEXMATCH(C1514, ""薪資""))), ""內部轉帳(忽略)"",
  REGEXMATCH(C1514, ""薪資""), ""薪資變動(不計入)"",
  REGEXMATCH(C1514, ""押金""), ""押金往來"",
  AND(E1514&lt;&gt;"""", F1514=""""), ""真實支出"",
  AND(E1514="""", F1514&lt;&gt;""""), ""真實收入"",
  TRUE, ""其他""
)"),"真實支出")</f>
        <v>真實支出</v>
      </c>
      <c r="K1514" s="270">
        <f t="shared" si="2"/>
        <v>-15</v>
      </c>
      <c r="L1514">
        <f t="shared" si="3"/>
        <v>0</v>
      </c>
    </row>
    <row r="1515">
      <c r="A1515" s="107">
        <f>IFERROR(__xludf.DUMMYFUNCTION("""COMPUTED_VALUE"""),45703.0)</f>
        <v>45703</v>
      </c>
      <c r="B1515" t="str">
        <f>IFERROR(__xludf.DUMMYFUNCTION("""COMPUTED_VALUE"""),"[中山北Feli家] [陳玉蘭] 大租金")</f>
        <v>[中山北Feli家] [陳玉蘭] 大租金</v>
      </c>
      <c r="C1515" t="str">
        <f>IFERROR(__xludf.DUMMYFUNCTION("""COMPUTED_VALUE"""),"成本 - 大租金")</f>
        <v>成本 - 大租金</v>
      </c>
      <c r="D1515" s="270">
        <f>IFERROR(__xludf.DUMMYFUNCTION("""COMPUTED_VALUE"""),-18000.0)</f>
        <v>-18000</v>
      </c>
      <c r="E1515" t="str">
        <f>IFERROR(__xludf.DUMMYFUNCTION("""COMPUTED_VALUE"""),"台銀籌備帳戶")</f>
        <v>台銀籌備帳戶</v>
      </c>
      <c r="G1515" t="str">
        <f>IFERROR(__xludf.DUMMYFUNCTION("""COMPUTED_VALUE"""),"中山北Feli家")</f>
        <v>中山北Feli家</v>
      </c>
      <c r="H1515" s="106" t="str">
        <f t="shared" si="1"/>
        <v>2025-02</v>
      </c>
      <c r="I1515" s="271" t="str">
        <f>IFERROR(__xludf.DUMMYFUNCTION("""COMPUTED_VALUE"""),"貓狗企鵝")</f>
        <v>貓狗企鵝</v>
      </c>
      <c r="J1515" t="str">
        <f>IFERROR(__xludf.DUMMYFUNCTION("IFS(
  AND(REGEXMATCH(E1515, ""台銀籌備帳戶|玉山帳戶""), REGEXMATCH(C1515, ""薪資"")), ""分潤支出"",
  AND(REGEXMATCH(E1515, ""Ben帳戶|Elsa帳戶|Ben代墊|Ariel代墊|中信銀行共用""), REGEXMATCH(F1515, ""Ben帳戶|Elsa帳戶|Ben代墊|Ariel代墊|中信銀行共用"")), ""內部轉帳(忽略)"",
  AND(E1515&lt;&gt;"""", F1515&lt;&gt;"""", N"&amp;"OT(REGEXMATCH(C1515, ""薪資""))), ""內部轉帳(忽略)"",
  REGEXMATCH(C1515, ""薪資""), ""薪資變動(不計入)"",
  REGEXMATCH(C1515, ""押金""), ""押金往來"",
  AND(E1515&lt;&gt;"""", F1515=""""), ""真實支出"",
  AND(E1515="""", F1515&lt;&gt;""""), ""真實收入"",
  TRUE, ""其他""
)"),"真實支出")</f>
        <v>真實支出</v>
      </c>
      <c r="K1515" s="270">
        <f t="shared" si="2"/>
        <v>-18000</v>
      </c>
      <c r="L1515">
        <f t="shared" si="3"/>
        <v>0</v>
      </c>
    </row>
    <row r="1516">
      <c r="A1516" s="107">
        <f>IFERROR(__xludf.DUMMYFUNCTION("""COMPUTED_VALUE"""),45703.0)</f>
        <v>45703</v>
      </c>
      <c r="B1516" t="str">
        <f>IFERROR(__xludf.DUMMYFUNCTION("""COMPUTED_VALUE"""),"費用 - 匯費 對方行:013 後五碼:20652 (行號: 8)")</f>
        <v>費用 - 匯費 對方行:013 後五碼:20652 (行號: 8)</v>
      </c>
      <c r="C1516" t="str">
        <f>IFERROR(__xludf.DUMMYFUNCTION("""COMPUTED_VALUE"""),"費用 - 匯費")</f>
        <v>費用 - 匯費</v>
      </c>
      <c r="D1516" s="270">
        <f>IFERROR(__xludf.DUMMYFUNCTION("""COMPUTED_VALUE"""),-15.0)</f>
        <v>-15</v>
      </c>
      <c r="E1516" t="str">
        <f>IFERROR(__xludf.DUMMYFUNCTION("""COMPUTED_VALUE"""),"台銀籌備帳戶")</f>
        <v>台銀籌備帳戶</v>
      </c>
      <c r="H1516" s="106" t="str">
        <f t="shared" si="1"/>
        <v>2025-02</v>
      </c>
      <c r="I1516" s="271" t="str">
        <f>IFERROR(__xludf.DUMMYFUNCTION("""COMPUTED_VALUE"""),"貓狗企鵝")</f>
        <v>貓狗企鵝</v>
      </c>
      <c r="J1516" t="str">
        <f>IFERROR(__xludf.DUMMYFUNCTION("IFS(
  AND(REGEXMATCH(E1516, ""台銀籌備帳戶|玉山帳戶""), REGEXMATCH(C1516, ""薪資"")), ""分潤支出"",
  AND(REGEXMATCH(E1516, ""Ben帳戶|Elsa帳戶|Ben代墊|Ariel代墊|中信銀行共用""), REGEXMATCH(F1516, ""Ben帳戶|Elsa帳戶|Ben代墊|Ariel代墊|中信銀行共用"")), ""內部轉帳(忽略)"",
  AND(E1516&lt;&gt;"""", F1516&lt;&gt;"""", N"&amp;"OT(REGEXMATCH(C1516, ""薪資""))), ""內部轉帳(忽略)"",
  REGEXMATCH(C1516, ""薪資""), ""薪資變動(不計入)"",
  REGEXMATCH(C1516, ""押金""), ""押金往來"",
  AND(E1516&lt;&gt;"""", F1516=""""), ""真實支出"",
  AND(E1516="""", F1516&lt;&gt;""""), ""真實收入"",
  TRUE, ""其他""
)"),"真實支出")</f>
        <v>真實支出</v>
      </c>
      <c r="K1516" s="270">
        <f t="shared" si="2"/>
        <v>-15</v>
      </c>
      <c r="L1516">
        <f t="shared" si="3"/>
        <v>0</v>
      </c>
    </row>
    <row r="1517">
      <c r="A1517" s="107">
        <f>IFERROR(__xludf.DUMMYFUNCTION("""COMPUTED_VALUE"""),45703.0)</f>
        <v>45703</v>
      </c>
      <c r="B1517" t="str">
        <f>IFERROR(__xludf.DUMMYFUNCTION("""COMPUTED_VALUE"""),"[景安2分鐘] [王逸荃] 大租金")</f>
        <v>[景安2分鐘] [王逸荃] 大租金</v>
      </c>
      <c r="C1517" t="str">
        <f>IFERROR(__xludf.DUMMYFUNCTION("""COMPUTED_VALUE"""),"成本 - 大租金")</f>
        <v>成本 - 大租金</v>
      </c>
      <c r="D1517" s="270">
        <f>IFERROR(__xludf.DUMMYFUNCTION("""COMPUTED_VALUE"""),-12500.0)</f>
        <v>-12500</v>
      </c>
      <c r="E1517" t="str">
        <f>IFERROR(__xludf.DUMMYFUNCTION("""COMPUTED_VALUE"""),"台銀籌備帳戶")</f>
        <v>台銀籌備帳戶</v>
      </c>
      <c r="G1517" t="str">
        <f>IFERROR(__xludf.DUMMYFUNCTION("""COMPUTED_VALUE"""),"景安2分鐘")</f>
        <v>景安2分鐘</v>
      </c>
      <c r="H1517" s="106" t="str">
        <f t="shared" si="1"/>
        <v>2025-02</v>
      </c>
      <c r="I1517" s="271" t="str">
        <f>IFERROR(__xludf.DUMMYFUNCTION("""COMPUTED_VALUE"""),"貓狗企鵝")</f>
        <v>貓狗企鵝</v>
      </c>
      <c r="J1517" t="str">
        <f>IFERROR(__xludf.DUMMYFUNCTION("IFS(
  AND(REGEXMATCH(E1517, ""台銀籌備帳戶|玉山帳戶""), REGEXMATCH(C1517, ""薪資"")), ""分潤支出"",
  AND(REGEXMATCH(E1517, ""Ben帳戶|Elsa帳戶|Ben代墊|Ariel代墊|中信銀行共用""), REGEXMATCH(F1517, ""Ben帳戶|Elsa帳戶|Ben代墊|Ariel代墊|中信銀行共用"")), ""內部轉帳(忽略)"",
  AND(E1517&lt;&gt;"""", F1517&lt;&gt;"""", N"&amp;"OT(REGEXMATCH(C1517, ""薪資""))), ""內部轉帳(忽略)"",
  REGEXMATCH(C1517, ""薪資""), ""薪資變動(不計入)"",
  REGEXMATCH(C1517, ""押金""), ""押金往來"",
  AND(E1517&lt;&gt;"""", F1517=""""), ""真實支出"",
  AND(E1517="""", F1517&lt;&gt;""""), ""真實收入"",
  TRUE, ""其他""
)"),"真實支出")</f>
        <v>真實支出</v>
      </c>
      <c r="K1517" s="270">
        <f t="shared" si="2"/>
        <v>-12500</v>
      </c>
      <c r="L1517">
        <f t="shared" si="3"/>
        <v>0</v>
      </c>
    </row>
    <row r="1518">
      <c r="A1518" s="107">
        <f>IFERROR(__xludf.DUMMYFUNCTION("""COMPUTED_VALUE"""),45703.0)</f>
        <v>45703</v>
      </c>
      <c r="B1518" t="str">
        <f>IFERROR(__xludf.DUMMYFUNCTION("""COMPUTED_VALUE"""),"費用 - 匯費 對方行:822 後五碼:06708 (行號: 9)")</f>
        <v>費用 - 匯費 對方行:822 後五碼:06708 (行號: 9)</v>
      </c>
      <c r="C1518" t="str">
        <f>IFERROR(__xludf.DUMMYFUNCTION("""COMPUTED_VALUE"""),"費用 - 匯費")</f>
        <v>費用 - 匯費</v>
      </c>
      <c r="D1518" s="270">
        <f>IFERROR(__xludf.DUMMYFUNCTION("""COMPUTED_VALUE"""),-15.0)</f>
        <v>-15</v>
      </c>
      <c r="E1518" t="str">
        <f>IFERROR(__xludf.DUMMYFUNCTION("""COMPUTED_VALUE"""),"台銀籌備帳戶")</f>
        <v>台銀籌備帳戶</v>
      </c>
      <c r="H1518" s="106" t="str">
        <f t="shared" si="1"/>
        <v>2025-02</v>
      </c>
      <c r="I1518" s="271" t="str">
        <f>IFERROR(__xludf.DUMMYFUNCTION("""COMPUTED_VALUE"""),"貓狗企鵝")</f>
        <v>貓狗企鵝</v>
      </c>
      <c r="J1518" t="str">
        <f>IFERROR(__xludf.DUMMYFUNCTION("IFS(
  AND(REGEXMATCH(E1518, ""台銀籌備帳戶|玉山帳戶""), REGEXMATCH(C1518, ""薪資"")), ""分潤支出"",
  AND(REGEXMATCH(E1518, ""Ben帳戶|Elsa帳戶|Ben代墊|Ariel代墊|中信銀行共用""), REGEXMATCH(F1518, ""Ben帳戶|Elsa帳戶|Ben代墊|Ariel代墊|中信銀行共用"")), ""內部轉帳(忽略)"",
  AND(E1518&lt;&gt;"""", F1518&lt;&gt;"""", N"&amp;"OT(REGEXMATCH(C1518, ""薪資""))), ""內部轉帳(忽略)"",
  REGEXMATCH(C1518, ""薪資""), ""薪資變動(不計入)"",
  REGEXMATCH(C1518, ""押金""), ""押金往來"",
  AND(E1518&lt;&gt;"""", F1518=""""), ""真實支出"",
  AND(E1518="""", F1518&lt;&gt;""""), ""真實收入"",
  TRUE, ""其他""
)"),"真實支出")</f>
        <v>真實支出</v>
      </c>
      <c r="K1518" s="270">
        <f t="shared" si="2"/>
        <v>-15</v>
      </c>
      <c r="L1518">
        <f t="shared" si="3"/>
        <v>0</v>
      </c>
    </row>
    <row r="1519">
      <c r="A1519" s="107">
        <f>IFERROR(__xludf.DUMMYFUNCTION("""COMPUTED_VALUE"""),45703.0)</f>
        <v>45703</v>
      </c>
      <c r="B1519" t="str">
        <f>IFERROR(__xludf.DUMMYFUNCTION("""COMPUTED_VALUE"""),"[金龍帽子先生] [郭娟伶] 大租金")</f>
        <v>[金龍帽子先生] [郭娟伶] 大租金</v>
      </c>
      <c r="C1519" t="str">
        <f>IFERROR(__xludf.DUMMYFUNCTION("""COMPUTED_VALUE"""),"成本 - 大租金")</f>
        <v>成本 - 大租金</v>
      </c>
      <c r="D1519" s="270">
        <f>IFERROR(__xludf.DUMMYFUNCTION("""COMPUTED_VALUE"""),-17750.0)</f>
        <v>-17750</v>
      </c>
      <c r="E1519" t="str">
        <f>IFERROR(__xludf.DUMMYFUNCTION("""COMPUTED_VALUE"""),"台銀籌備帳戶")</f>
        <v>台銀籌備帳戶</v>
      </c>
      <c r="G1519" t="str">
        <f>IFERROR(__xludf.DUMMYFUNCTION("""COMPUTED_VALUE"""),"金龍帽子先生")</f>
        <v>金龍帽子先生</v>
      </c>
      <c r="H1519" s="106" t="str">
        <f t="shared" si="1"/>
        <v>2025-02</v>
      </c>
      <c r="I1519" s="271" t="str">
        <f>IFERROR(__xludf.DUMMYFUNCTION("""COMPUTED_VALUE"""),"貓狗企鵝")</f>
        <v>貓狗企鵝</v>
      </c>
      <c r="J1519" t="str">
        <f>IFERROR(__xludf.DUMMYFUNCTION("IFS(
  AND(REGEXMATCH(E1519, ""台銀籌備帳戶|玉山帳戶""), REGEXMATCH(C1519, ""薪資"")), ""分潤支出"",
  AND(REGEXMATCH(E1519, ""Ben帳戶|Elsa帳戶|Ben代墊|Ariel代墊|中信銀行共用""), REGEXMATCH(F1519, ""Ben帳戶|Elsa帳戶|Ben代墊|Ariel代墊|中信銀行共用"")), ""內部轉帳(忽略)"",
  AND(E1519&lt;&gt;"""", F1519&lt;&gt;"""", N"&amp;"OT(REGEXMATCH(C1519, ""薪資""))), ""內部轉帳(忽略)"",
  REGEXMATCH(C1519, ""薪資""), ""薪資變動(不計入)"",
  REGEXMATCH(C1519, ""押金""), ""押金往來"",
  AND(E1519&lt;&gt;"""", F1519=""""), ""真實支出"",
  AND(E1519="""", F1519&lt;&gt;""""), ""真實收入"",
  TRUE, ""其他""
)"),"真實支出")</f>
        <v>真實支出</v>
      </c>
      <c r="K1519" s="270">
        <f t="shared" si="2"/>
        <v>-17750</v>
      </c>
      <c r="L1519">
        <f t="shared" si="3"/>
        <v>0</v>
      </c>
    </row>
    <row r="1520">
      <c r="A1520" s="107">
        <f>IFERROR(__xludf.DUMMYFUNCTION("""COMPUTED_VALUE"""),45703.0)</f>
        <v>45703</v>
      </c>
      <c r="B1520" t="str">
        <f>IFERROR(__xludf.DUMMYFUNCTION("""COMPUTED_VALUE"""),"費用 - 匯費 對方行:053 後五碼:05202 (行號: 10)")</f>
        <v>費用 - 匯費 對方行:053 後五碼:05202 (行號: 10)</v>
      </c>
      <c r="C1520" t="str">
        <f>IFERROR(__xludf.DUMMYFUNCTION("""COMPUTED_VALUE"""),"費用 - 匯費")</f>
        <v>費用 - 匯費</v>
      </c>
      <c r="D1520" s="270">
        <f>IFERROR(__xludf.DUMMYFUNCTION("""COMPUTED_VALUE"""),-15.0)</f>
        <v>-15</v>
      </c>
      <c r="E1520" t="str">
        <f>IFERROR(__xludf.DUMMYFUNCTION("""COMPUTED_VALUE"""),"台銀籌備帳戶")</f>
        <v>台銀籌備帳戶</v>
      </c>
      <c r="H1520" s="106" t="str">
        <f t="shared" si="1"/>
        <v>2025-02</v>
      </c>
      <c r="I1520" s="271" t="str">
        <f>IFERROR(__xludf.DUMMYFUNCTION("""COMPUTED_VALUE"""),"貓狗企鵝")</f>
        <v>貓狗企鵝</v>
      </c>
      <c r="J1520" t="str">
        <f>IFERROR(__xludf.DUMMYFUNCTION("IFS(
  AND(REGEXMATCH(E1520, ""台銀籌備帳戶|玉山帳戶""), REGEXMATCH(C1520, ""薪資"")), ""分潤支出"",
  AND(REGEXMATCH(E1520, ""Ben帳戶|Elsa帳戶|Ben代墊|Ariel代墊|中信銀行共用""), REGEXMATCH(F1520, ""Ben帳戶|Elsa帳戶|Ben代墊|Ariel代墊|中信銀行共用"")), ""內部轉帳(忽略)"",
  AND(E1520&lt;&gt;"""", F1520&lt;&gt;"""", N"&amp;"OT(REGEXMATCH(C1520, ""薪資""))), ""內部轉帳(忽略)"",
  REGEXMATCH(C1520, ""薪資""), ""薪資變動(不計入)"",
  REGEXMATCH(C1520, ""押金""), ""押金往來"",
  AND(E1520&lt;&gt;"""", F1520=""""), ""真實支出"",
  AND(E1520="""", F1520&lt;&gt;""""), ""真實收入"",
  TRUE, ""其他""
)"),"真實支出")</f>
        <v>真實支出</v>
      </c>
      <c r="K1520" s="270">
        <f t="shared" si="2"/>
        <v>-15</v>
      </c>
      <c r="L1520">
        <f t="shared" si="3"/>
        <v>0</v>
      </c>
    </row>
    <row r="1521">
      <c r="A1521" s="107">
        <f>IFERROR(__xludf.DUMMYFUNCTION("""COMPUTED_VALUE"""),45703.0)</f>
        <v>45703</v>
      </c>
      <c r="B1521" t="str">
        <f>IFERROR(__xludf.DUMMYFUNCTION("""COMPUTED_VALUE"""),"[大湖山莊] [陳彩霞] 大租金")</f>
        <v>[大湖山莊] [陳彩霞] 大租金</v>
      </c>
      <c r="C1521" t="str">
        <f>IFERROR(__xludf.DUMMYFUNCTION("""COMPUTED_VALUE"""),"成本 - 大租金")</f>
        <v>成本 - 大租金</v>
      </c>
      <c r="D1521" s="270">
        <f>IFERROR(__xludf.DUMMYFUNCTION("""COMPUTED_VALUE"""),-19400.0)</f>
        <v>-19400</v>
      </c>
      <c r="E1521" t="str">
        <f>IFERROR(__xludf.DUMMYFUNCTION("""COMPUTED_VALUE"""),"台銀籌備帳戶")</f>
        <v>台銀籌備帳戶</v>
      </c>
      <c r="G1521" t="str">
        <f>IFERROR(__xludf.DUMMYFUNCTION("""COMPUTED_VALUE"""),"大湖山莊")</f>
        <v>大湖山莊</v>
      </c>
      <c r="H1521" s="106" t="str">
        <f t="shared" si="1"/>
        <v>2025-02</v>
      </c>
      <c r="I1521" s="271" t="str">
        <f>IFERROR(__xludf.DUMMYFUNCTION("""COMPUTED_VALUE"""),"貓狗企鵝")</f>
        <v>貓狗企鵝</v>
      </c>
      <c r="J1521" t="str">
        <f>IFERROR(__xludf.DUMMYFUNCTION("IFS(
  AND(REGEXMATCH(E1521, ""台銀籌備帳戶|玉山帳戶""), REGEXMATCH(C1521, ""薪資"")), ""分潤支出"",
  AND(REGEXMATCH(E1521, ""Ben帳戶|Elsa帳戶|Ben代墊|Ariel代墊|中信銀行共用""), REGEXMATCH(F1521, ""Ben帳戶|Elsa帳戶|Ben代墊|Ariel代墊|中信銀行共用"")), ""內部轉帳(忽略)"",
  AND(E1521&lt;&gt;"""", F1521&lt;&gt;"""", N"&amp;"OT(REGEXMATCH(C1521, ""薪資""))), ""內部轉帳(忽略)"",
  REGEXMATCH(C1521, ""薪資""), ""薪資變動(不計入)"",
  REGEXMATCH(C1521, ""押金""), ""押金往來"",
  AND(E1521&lt;&gt;"""", F1521=""""), ""真實支出"",
  AND(E1521="""", F1521&lt;&gt;""""), ""真實收入"",
  TRUE, ""其他""
)"),"真實支出")</f>
        <v>真實支出</v>
      </c>
      <c r="K1521" s="270">
        <f t="shared" si="2"/>
        <v>-19400</v>
      </c>
      <c r="L1521">
        <f t="shared" si="3"/>
        <v>0</v>
      </c>
    </row>
    <row r="1522">
      <c r="A1522" s="107">
        <f>IFERROR(__xludf.DUMMYFUNCTION("""COMPUTED_VALUE"""),45703.0)</f>
        <v>45703</v>
      </c>
      <c r="B1522" t="str">
        <f>IFERROR(__xludf.DUMMYFUNCTION("""COMPUTED_VALUE"""),"費用 - 匯費 對方行:807 後五碼:06659 (行號: 11)")</f>
        <v>費用 - 匯費 對方行:807 後五碼:06659 (行號: 11)</v>
      </c>
      <c r="C1522" t="str">
        <f>IFERROR(__xludf.DUMMYFUNCTION("""COMPUTED_VALUE"""),"費用 - 匯費")</f>
        <v>費用 - 匯費</v>
      </c>
      <c r="D1522" s="270">
        <f>IFERROR(__xludf.DUMMYFUNCTION("""COMPUTED_VALUE"""),-15.0)</f>
        <v>-15</v>
      </c>
      <c r="E1522" t="str">
        <f>IFERROR(__xludf.DUMMYFUNCTION("""COMPUTED_VALUE"""),"台銀籌備帳戶")</f>
        <v>台銀籌備帳戶</v>
      </c>
      <c r="H1522" s="106" t="str">
        <f t="shared" si="1"/>
        <v>2025-02</v>
      </c>
      <c r="I1522" s="271" t="str">
        <f>IFERROR(__xludf.DUMMYFUNCTION("""COMPUTED_VALUE"""),"貓狗企鵝")</f>
        <v>貓狗企鵝</v>
      </c>
      <c r="J1522" t="str">
        <f>IFERROR(__xludf.DUMMYFUNCTION("IFS(
  AND(REGEXMATCH(E1522, ""台銀籌備帳戶|玉山帳戶""), REGEXMATCH(C1522, ""薪資"")), ""分潤支出"",
  AND(REGEXMATCH(E1522, ""Ben帳戶|Elsa帳戶|Ben代墊|Ariel代墊|中信銀行共用""), REGEXMATCH(F1522, ""Ben帳戶|Elsa帳戶|Ben代墊|Ariel代墊|中信銀行共用"")), ""內部轉帳(忽略)"",
  AND(E1522&lt;&gt;"""", F1522&lt;&gt;"""", N"&amp;"OT(REGEXMATCH(C1522, ""薪資""))), ""內部轉帳(忽略)"",
  REGEXMATCH(C1522, ""薪資""), ""薪資變動(不計入)"",
  REGEXMATCH(C1522, ""押金""), ""押金往來"",
  AND(E1522&lt;&gt;"""", F1522=""""), ""真實支出"",
  AND(E1522="""", F1522&lt;&gt;""""), ""真實收入"",
  TRUE, ""其他""
)"),"真實支出")</f>
        <v>真實支出</v>
      </c>
      <c r="K1522" s="270">
        <f t="shared" si="2"/>
        <v>-15</v>
      </c>
      <c r="L1522">
        <f t="shared" si="3"/>
        <v>0</v>
      </c>
    </row>
    <row r="1523">
      <c r="A1523" s="107">
        <f>IFERROR(__xludf.DUMMYFUNCTION("""COMPUTED_VALUE"""),45703.0)</f>
        <v>45703</v>
      </c>
      <c r="B1523" t="str">
        <f>IFERROR(__xludf.DUMMYFUNCTION("""COMPUTED_VALUE"""),"[哈拉對面] [陳哲聰] 大租金")</f>
        <v>[哈拉對面] [陳哲聰] 大租金</v>
      </c>
      <c r="C1523" t="str">
        <f>IFERROR(__xludf.DUMMYFUNCTION("""COMPUTED_VALUE"""),"成本 - 大租金")</f>
        <v>成本 - 大租金</v>
      </c>
      <c r="D1523" s="270">
        <f>IFERROR(__xludf.DUMMYFUNCTION("""COMPUTED_VALUE"""),-13000.0)</f>
        <v>-13000</v>
      </c>
      <c r="E1523" t="str">
        <f>IFERROR(__xludf.DUMMYFUNCTION("""COMPUTED_VALUE"""),"台銀籌備帳戶")</f>
        <v>台銀籌備帳戶</v>
      </c>
      <c r="G1523" t="str">
        <f>IFERROR(__xludf.DUMMYFUNCTION("""COMPUTED_VALUE"""),"哈拉對面")</f>
        <v>哈拉對面</v>
      </c>
      <c r="H1523" s="106" t="str">
        <f t="shared" si="1"/>
        <v>2025-02</v>
      </c>
      <c r="I1523" s="271" t="str">
        <f>IFERROR(__xludf.DUMMYFUNCTION("""COMPUTED_VALUE"""),"貓狗企鵝")</f>
        <v>貓狗企鵝</v>
      </c>
      <c r="J1523" t="str">
        <f>IFERROR(__xludf.DUMMYFUNCTION("IFS(
  AND(REGEXMATCH(E1523, ""台銀籌備帳戶|玉山帳戶""), REGEXMATCH(C1523, ""薪資"")), ""分潤支出"",
  AND(REGEXMATCH(E1523, ""Ben帳戶|Elsa帳戶|Ben代墊|Ariel代墊|中信銀行共用""), REGEXMATCH(F1523, ""Ben帳戶|Elsa帳戶|Ben代墊|Ariel代墊|中信銀行共用"")), ""內部轉帳(忽略)"",
  AND(E1523&lt;&gt;"""", F1523&lt;&gt;"""", N"&amp;"OT(REGEXMATCH(C1523, ""薪資""))), ""內部轉帳(忽略)"",
  REGEXMATCH(C1523, ""薪資""), ""薪資變動(不計入)"",
  REGEXMATCH(C1523, ""押金""), ""押金往來"",
  AND(E1523&lt;&gt;"""", F1523=""""), ""真實支出"",
  AND(E1523="""", F1523&lt;&gt;""""), ""真實收入"",
  TRUE, ""其他""
)"),"真實支出")</f>
        <v>真實支出</v>
      </c>
      <c r="K1523" s="270">
        <f t="shared" si="2"/>
        <v>-13000</v>
      </c>
      <c r="L1523">
        <f t="shared" si="3"/>
        <v>0</v>
      </c>
    </row>
    <row r="1524">
      <c r="A1524" s="107">
        <f>IFERROR(__xludf.DUMMYFUNCTION("""COMPUTED_VALUE"""),45703.0)</f>
        <v>45703</v>
      </c>
      <c r="B1524" t="str">
        <f>IFERROR(__xludf.DUMMYFUNCTION("""COMPUTED_VALUE"""),"費用 - 匯費 對方行:700 後五碼:92128 (行號: 12)")</f>
        <v>費用 - 匯費 對方行:700 後五碼:92128 (行號: 12)</v>
      </c>
      <c r="C1524" t="str">
        <f>IFERROR(__xludf.DUMMYFUNCTION("""COMPUTED_VALUE"""),"費用 - 匯費")</f>
        <v>費用 - 匯費</v>
      </c>
      <c r="D1524" s="270">
        <f>IFERROR(__xludf.DUMMYFUNCTION("""COMPUTED_VALUE"""),-15.0)</f>
        <v>-15</v>
      </c>
      <c r="E1524" t="str">
        <f>IFERROR(__xludf.DUMMYFUNCTION("""COMPUTED_VALUE"""),"台銀籌備帳戶")</f>
        <v>台銀籌備帳戶</v>
      </c>
      <c r="H1524" s="106" t="str">
        <f t="shared" si="1"/>
        <v>2025-02</v>
      </c>
      <c r="I1524" s="271" t="str">
        <f>IFERROR(__xludf.DUMMYFUNCTION("""COMPUTED_VALUE"""),"貓狗企鵝")</f>
        <v>貓狗企鵝</v>
      </c>
      <c r="J1524" t="str">
        <f>IFERROR(__xludf.DUMMYFUNCTION("IFS(
  AND(REGEXMATCH(E1524, ""台銀籌備帳戶|玉山帳戶""), REGEXMATCH(C1524, ""薪資"")), ""分潤支出"",
  AND(REGEXMATCH(E1524, ""Ben帳戶|Elsa帳戶|Ben代墊|Ariel代墊|中信銀行共用""), REGEXMATCH(F1524, ""Ben帳戶|Elsa帳戶|Ben代墊|Ariel代墊|中信銀行共用"")), ""內部轉帳(忽略)"",
  AND(E1524&lt;&gt;"""", F1524&lt;&gt;"""", N"&amp;"OT(REGEXMATCH(C1524, ""薪資""))), ""內部轉帳(忽略)"",
  REGEXMATCH(C1524, ""薪資""), ""薪資變動(不計入)"",
  REGEXMATCH(C1524, ""押金""), ""押金往來"",
  AND(E1524&lt;&gt;"""", F1524=""""), ""真實支出"",
  AND(E1524="""", F1524&lt;&gt;""""), ""真實收入"",
  TRUE, ""其他""
)"),"真實支出")</f>
        <v>真實支出</v>
      </c>
      <c r="K1524" s="270">
        <f t="shared" si="2"/>
        <v>-15</v>
      </c>
      <c r="L1524">
        <f t="shared" si="3"/>
        <v>0</v>
      </c>
    </row>
    <row r="1525">
      <c r="A1525" s="107">
        <f>IFERROR(__xludf.DUMMYFUNCTION("""COMPUTED_VALUE"""),45703.0)</f>
        <v>45703</v>
      </c>
      <c r="B1525" t="str">
        <f>IFERROR(__xludf.DUMMYFUNCTION("""COMPUTED_VALUE"""),"[北醫醫師府] [陳俊良] 大租金")</f>
        <v>[北醫醫師府] [陳俊良] 大租金</v>
      </c>
      <c r="C1525" t="str">
        <f>IFERROR(__xludf.DUMMYFUNCTION("""COMPUTED_VALUE"""),"成本 - 大租金")</f>
        <v>成本 - 大租金</v>
      </c>
      <c r="D1525" s="270">
        <f>IFERROR(__xludf.DUMMYFUNCTION("""COMPUTED_VALUE"""),-12800.0)</f>
        <v>-12800</v>
      </c>
      <c r="E1525" t="str">
        <f>IFERROR(__xludf.DUMMYFUNCTION("""COMPUTED_VALUE"""),"台銀籌備帳戶")</f>
        <v>台銀籌備帳戶</v>
      </c>
      <c r="G1525" t="str">
        <f>IFERROR(__xludf.DUMMYFUNCTION("""COMPUTED_VALUE"""),"北醫醫師府")</f>
        <v>北醫醫師府</v>
      </c>
      <c r="H1525" s="106" t="str">
        <f t="shared" si="1"/>
        <v>2025-02</v>
      </c>
      <c r="I1525" s="271" t="str">
        <f>IFERROR(__xludf.DUMMYFUNCTION("""COMPUTED_VALUE"""),"貓狗企鵝")</f>
        <v>貓狗企鵝</v>
      </c>
      <c r="J1525" t="str">
        <f>IFERROR(__xludf.DUMMYFUNCTION("IFS(
  AND(REGEXMATCH(E1525, ""台銀籌備帳戶|玉山帳戶""), REGEXMATCH(C1525, ""薪資"")), ""分潤支出"",
  AND(REGEXMATCH(E1525, ""Ben帳戶|Elsa帳戶|Ben代墊|Ariel代墊|中信銀行共用""), REGEXMATCH(F1525, ""Ben帳戶|Elsa帳戶|Ben代墊|Ariel代墊|中信銀行共用"")), ""內部轉帳(忽略)"",
  AND(E1525&lt;&gt;"""", F1525&lt;&gt;"""", N"&amp;"OT(REGEXMATCH(C1525, ""薪資""))), ""內部轉帳(忽略)"",
  REGEXMATCH(C1525, ""薪資""), ""薪資變動(不計入)"",
  REGEXMATCH(C1525, ""押金""), ""押金往來"",
  AND(E1525&lt;&gt;"""", F1525=""""), ""真實支出"",
  AND(E1525="""", F1525&lt;&gt;""""), ""真實收入"",
  TRUE, ""其他""
)"),"真實支出")</f>
        <v>真實支出</v>
      </c>
      <c r="K1525" s="270">
        <f t="shared" si="2"/>
        <v>-12800</v>
      </c>
      <c r="L1525">
        <f t="shared" si="3"/>
        <v>0</v>
      </c>
    </row>
    <row r="1526">
      <c r="A1526" s="107">
        <f>IFERROR(__xludf.DUMMYFUNCTION("""COMPUTED_VALUE"""),45703.0)</f>
        <v>45703</v>
      </c>
      <c r="B1526" t="str">
        <f>IFERROR(__xludf.DUMMYFUNCTION("""COMPUTED_VALUE"""),"費用 - 匯費 對方行:013 後五碼:43662 (行號: 13)")</f>
        <v>費用 - 匯費 對方行:013 後五碼:43662 (行號: 13)</v>
      </c>
      <c r="C1526" t="str">
        <f>IFERROR(__xludf.DUMMYFUNCTION("""COMPUTED_VALUE"""),"費用 - 匯費")</f>
        <v>費用 - 匯費</v>
      </c>
      <c r="D1526" s="270">
        <f>IFERROR(__xludf.DUMMYFUNCTION("""COMPUTED_VALUE"""),-15.0)</f>
        <v>-15</v>
      </c>
      <c r="E1526" t="str">
        <f>IFERROR(__xludf.DUMMYFUNCTION("""COMPUTED_VALUE"""),"台銀籌備帳戶")</f>
        <v>台銀籌備帳戶</v>
      </c>
      <c r="H1526" s="106" t="str">
        <f t="shared" si="1"/>
        <v>2025-02</v>
      </c>
      <c r="I1526" s="271" t="str">
        <f>IFERROR(__xludf.DUMMYFUNCTION("""COMPUTED_VALUE"""),"貓狗企鵝")</f>
        <v>貓狗企鵝</v>
      </c>
      <c r="J1526" t="str">
        <f>IFERROR(__xludf.DUMMYFUNCTION("IFS(
  AND(REGEXMATCH(E1526, ""台銀籌備帳戶|玉山帳戶""), REGEXMATCH(C1526, ""薪資"")), ""分潤支出"",
  AND(REGEXMATCH(E1526, ""Ben帳戶|Elsa帳戶|Ben代墊|Ariel代墊|中信銀行共用""), REGEXMATCH(F1526, ""Ben帳戶|Elsa帳戶|Ben代墊|Ariel代墊|中信銀行共用"")), ""內部轉帳(忽略)"",
  AND(E1526&lt;&gt;"""", F1526&lt;&gt;"""", N"&amp;"OT(REGEXMATCH(C1526, ""薪資""))), ""內部轉帳(忽略)"",
  REGEXMATCH(C1526, ""薪資""), ""薪資變動(不計入)"",
  REGEXMATCH(C1526, ""押金""), ""押金往來"",
  AND(E1526&lt;&gt;"""", F1526=""""), ""真實支出"",
  AND(E1526="""", F1526&lt;&gt;""""), ""真實收入"",
  TRUE, ""其他""
)"),"真實支出")</f>
        <v>真實支出</v>
      </c>
      <c r="K1526" s="270">
        <f t="shared" si="2"/>
        <v>-15</v>
      </c>
      <c r="L1526">
        <f t="shared" si="3"/>
        <v>0</v>
      </c>
    </row>
    <row r="1527">
      <c r="A1527" s="107">
        <f>IFERROR(__xludf.DUMMYFUNCTION("""COMPUTED_VALUE"""),45703.0)</f>
        <v>45703</v>
      </c>
      <c r="B1527" t="str">
        <f>IFERROR(__xludf.DUMMYFUNCTION("""COMPUTED_VALUE"""),"[中山北娘家旁] [方彥捷] 大租金")</f>
        <v>[中山北娘家旁] [方彥捷] 大租金</v>
      </c>
      <c r="C1527" t="str">
        <f>IFERROR(__xludf.DUMMYFUNCTION("""COMPUTED_VALUE"""),"成本 - 大租金")</f>
        <v>成本 - 大租金</v>
      </c>
      <c r="D1527" s="270">
        <f>IFERROR(__xludf.DUMMYFUNCTION("""COMPUTED_VALUE"""),-11500.0)</f>
        <v>-11500</v>
      </c>
      <c r="E1527" t="str">
        <f>IFERROR(__xludf.DUMMYFUNCTION("""COMPUTED_VALUE"""),"台銀籌備帳戶")</f>
        <v>台銀籌備帳戶</v>
      </c>
      <c r="G1527" t="str">
        <f>IFERROR(__xludf.DUMMYFUNCTION("""COMPUTED_VALUE"""),"中山北娘家旁")</f>
        <v>中山北娘家旁</v>
      </c>
      <c r="H1527" s="106" t="str">
        <f t="shared" si="1"/>
        <v>2025-02</v>
      </c>
      <c r="I1527" s="271" t="str">
        <f>IFERROR(__xludf.DUMMYFUNCTION("""COMPUTED_VALUE"""),"貓狗企鵝")</f>
        <v>貓狗企鵝</v>
      </c>
      <c r="J1527" t="str">
        <f>IFERROR(__xludf.DUMMYFUNCTION("IFS(
  AND(REGEXMATCH(E1527, ""台銀籌備帳戶|玉山帳戶""), REGEXMATCH(C1527, ""薪資"")), ""分潤支出"",
  AND(REGEXMATCH(E1527, ""Ben帳戶|Elsa帳戶|Ben代墊|Ariel代墊|中信銀行共用""), REGEXMATCH(F1527, ""Ben帳戶|Elsa帳戶|Ben代墊|Ariel代墊|中信銀行共用"")), ""內部轉帳(忽略)"",
  AND(E1527&lt;&gt;"""", F1527&lt;&gt;"""", N"&amp;"OT(REGEXMATCH(C1527, ""薪資""))), ""內部轉帳(忽略)"",
  REGEXMATCH(C1527, ""薪資""), ""薪資變動(不計入)"",
  REGEXMATCH(C1527, ""押金""), ""押金往來"",
  AND(E1527&lt;&gt;"""", F1527=""""), ""真實支出"",
  AND(E1527="""", F1527&lt;&gt;""""), ""真實收入"",
  TRUE, ""其他""
)"),"真實支出")</f>
        <v>真實支出</v>
      </c>
      <c r="K1527" s="270">
        <f t="shared" si="2"/>
        <v>-11500</v>
      </c>
      <c r="L1527">
        <f t="shared" si="3"/>
        <v>0</v>
      </c>
    </row>
    <row r="1528">
      <c r="A1528" s="107">
        <f>IFERROR(__xludf.DUMMYFUNCTION("""COMPUTED_VALUE"""),45706.0)</f>
        <v>45706</v>
      </c>
      <c r="B1528" t="str">
        <f>IFERROR(__xludf.DUMMYFUNCTION("""COMPUTED_VALUE"""),"費用 - 匯費 對方行:012 後五碼:92486 (行號: 15)")</f>
        <v>費用 - 匯費 對方行:012 後五碼:92486 (行號: 15)</v>
      </c>
      <c r="C1528" t="str">
        <f>IFERROR(__xludf.DUMMYFUNCTION("""COMPUTED_VALUE"""),"費用 - 匯費")</f>
        <v>費用 - 匯費</v>
      </c>
      <c r="D1528" s="270">
        <f>IFERROR(__xludf.DUMMYFUNCTION("""COMPUTED_VALUE"""),-15.0)</f>
        <v>-15</v>
      </c>
      <c r="E1528" t="str">
        <f>IFERROR(__xludf.DUMMYFUNCTION("""COMPUTED_VALUE"""),"台銀籌備帳戶")</f>
        <v>台銀籌備帳戶</v>
      </c>
      <c r="H1528" s="106" t="str">
        <f t="shared" si="1"/>
        <v>2025-02</v>
      </c>
      <c r="I1528" s="271" t="str">
        <f>IFERROR(__xludf.DUMMYFUNCTION("""COMPUTED_VALUE"""),"貓狗企鵝")</f>
        <v>貓狗企鵝</v>
      </c>
      <c r="J1528" t="str">
        <f>IFERROR(__xludf.DUMMYFUNCTION("IFS(
  AND(REGEXMATCH(E1528, ""台銀籌備帳戶|玉山帳戶""), REGEXMATCH(C1528, ""薪資"")), ""分潤支出"",
  AND(REGEXMATCH(E1528, ""Ben帳戶|Elsa帳戶|Ben代墊|Ariel代墊|中信銀行共用""), REGEXMATCH(F1528, ""Ben帳戶|Elsa帳戶|Ben代墊|Ariel代墊|中信銀行共用"")), ""內部轉帳(忽略)"",
  AND(E1528&lt;&gt;"""", F1528&lt;&gt;"""", N"&amp;"OT(REGEXMATCH(C1528, ""薪資""))), ""內部轉帳(忽略)"",
  REGEXMATCH(C1528, ""薪資""), ""薪資變動(不計入)"",
  REGEXMATCH(C1528, ""押金""), ""押金往來"",
  AND(E1528&lt;&gt;"""", F1528=""""), ""真實支出"",
  AND(E1528="""", F1528&lt;&gt;""""), ""真實收入"",
  TRUE, ""其他""
)"),"真實支出")</f>
        <v>真實支出</v>
      </c>
      <c r="K1528" s="270">
        <f t="shared" si="2"/>
        <v>-15</v>
      </c>
      <c r="L1528">
        <f t="shared" si="3"/>
        <v>0</v>
      </c>
    </row>
    <row r="1529">
      <c r="A1529" s="107">
        <f>IFERROR(__xludf.DUMMYFUNCTION("""COMPUTED_VALUE"""),45706.0)</f>
        <v>45706</v>
      </c>
      <c r="B1529" t="str">
        <f>IFERROR(__xludf.DUMMYFUNCTION("""COMPUTED_VALUE"""),"阿虎設計費 ' 【未分類支出】")</f>
        <v>阿虎設計費 ' 【未分類支出】</v>
      </c>
      <c r="C1529" t="str">
        <f>IFERROR(__xludf.DUMMYFUNCTION("""COMPUTED_VALUE"""),"費用 - Salary 薪資")</f>
        <v>費用 - Salary 薪資</v>
      </c>
      <c r="D1529" s="270">
        <f>IFERROR(__xludf.DUMMYFUNCTION("""COMPUTED_VALUE"""),-130000.0)</f>
        <v>-130000</v>
      </c>
      <c r="E1529" t="str">
        <f>IFERROR(__xludf.DUMMYFUNCTION("""COMPUTED_VALUE"""),"台銀籌備帳戶")</f>
        <v>台銀籌備帳戶</v>
      </c>
      <c r="F1529" t="str">
        <f>IFERROR(__xludf.DUMMYFUNCTION("""COMPUTED_VALUE"""),"Elsa帳戶")</f>
        <v>Elsa帳戶</v>
      </c>
      <c r="H1529" s="106" t="str">
        <f t="shared" si="1"/>
        <v>2025-02</v>
      </c>
      <c r="I1529" s="271" t="str">
        <f>IFERROR(__xludf.DUMMYFUNCTION("""COMPUTED_VALUE"""),"貓狗企鵝")</f>
        <v>貓狗企鵝</v>
      </c>
      <c r="J1529" t="str">
        <f>IFERROR(__xludf.DUMMYFUNCTION("IFS(
  AND(REGEXMATCH(E1529, ""台銀籌備帳戶|玉山帳戶""), REGEXMATCH(C1529, ""薪資"")), ""分潤支出"",
  AND(REGEXMATCH(E1529, ""Ben帳戶|Elsa帳戶|Ben代墊|Ariel代墊|中信銀行共用""), REGEXMATCH(F1529, ""Ben帳戶|Elsa帳戶|Ben代墊|Ariel代墊|中信銀行共用"")), ""內部轉帳(忽略)"",
  AND(E1529&lt;&gt;"""", F1529&lt;&gt;"""", N"&amp;"OT(REGEXMATCH(C1529, ""薪資""))), ""內部轉帳(忽略)"",
  REGEXMATCH(C1529, ""薪資""), ""薪資變動(不計入)"",
  REGEXMATCH(C1529, ""押金""), ""押金往來"",
  AND(E1529&lt;&gt;"""", F1529=""""), ""真實支出"",
  AND(E1529="""", F1529&lt;&gt;""""), ""真實收入"",
  TRUE, ""其他""
)"),"分潤支出")</f>
        <v>分潤支出</v>
      </c>
      <c r="K1529">
        <f t="shared" si="2"/>
        <v>0</v>
      </c>
      <c r="L1529">
        <f t="shared" si="3"/>
        <v>130000</v>
      </c>
    </row>
    <row r="1530">
      <c r="A1530" s="107">
        <f>IFERROR(__xludf.DUMMYFUNCTION("""COMPUTED_VALUE"""),45706.0)</f>
        <v>45706</v>
      </c>
      <c r="B1530" t="str">
        <f>IFERROR(__xludf.DUMMYFUNCTION("""COMPUTED_VALUE"""),"費用 - 匯費 對方行:822 後五碼:43051 (行號: 16)")</f>
        <v>費用 - 匯費 對方行:822 後五碼:43051 (行號: 16)</v>
      </c>
      <c r="C1530" t="str">
        <f>IFERROR(__xludf.DUMMYFUNCTION("""COMPUTED_VALUE"""),"費用 - 匯費")</f>
        <v>費用 - 匯費</v>
      </c>
      <c r="D1530" s="270">
        <f>IFERROR(__xludf.DUMMYFUNCTION("""COMPUTED_VALUE"""),-15.0)</f>
        <v>-15</v>
      </c>
      <c r="E1530" t="str">
        <f>IFERROR(__xludf.DUMMYFUNCTION("""COMPUTED_VALUE"""),"台銀籌備帳戶")</f>
        <v>台銀籌備帳戶</v>
      </c>
      <c r="H1530" s="106" t="str">
        <f t="shared" si="1"/>
        <v>2025-02</v>
      </c>
      <c r="I1530" s="271" t="str">
        <f>IFERROR(__xludf.DUMMYFUNCTION("""COMPUTED_VALUE"""),"貓狗企鵝")</f>
        <v>貓狗企鵝</v>
      </c>
      <c r="J1530" t="str">
        <f>IFERROR(__xludf.DUMMYFUNCTION("IFS(
  AND(REGEXMATCH(E1530, ""台銀籌備帳戶|玉山帳戶""), REGEXMATCH(C1530, ""薪資"")), ""分潤支出"",
  AND(REGEXMATCH(E1530, ""Ben帳戶|Elsa帳戶|Ben代墊|Ariel代墊|中信銀行共用""), REGEXMATCH(F1530, ""Ben帳戶|Elsa帳戶|Ben代墊|Ariel代墊|中信銀行共用"")), ""內部轉帳(忽略)"",
  AND(E1530&lt;&gt;"""", F1530&lt;&gt;"""", N"&amp;"OT(REGEXMATCH(C1530, ""薪資""))), ""內部轉帳(忽略)"",
  REGEXMATCH(C1530, ""薪資""), ""薪資變動(不計入)"",
  REGEXMATCH(C1530, ""押金""), ""押金往來"",
  AND(E1530&lt;&gt;"""", F1530=""""), ""真實支出"",
  AND(E1530="""", F1530&lt;&gt;""""), ""真實收入"",
  TRUE, ""其他""
)"),"真實支出")</f>
        <v>真實支出</v>
      </c>
      <c r="K1530" s="270">
        <f t="shared" si="2"/>
        <v>-15</v>
      </c>
      <c r="L1530">
        <f t="shared" si="3"/>
        <v>0</v>
      </c>
    </row>
    <row r="1531">
      <c r="A1531" s="107">
        <f>IFERROR(__xludf.DUMMYFUNCTION("""COMPUTED_VALUE"""),45706.0)</f>
        <v>45706</v>
      </c>
      <c r="B1531" t="str">
        <f>IFERROR(__xludf.DUMMYFUNCTION("""COMPUTED_VALUE"""),"Ben中信薪資 ' 【未分類支出】")</f>
        <v>Ben中信薪資 ' 【未分類支出】</v>
      </c>
      <c r="C1531" t="str">
        <f>IFERROR(__xludf.DUMMYFUNCTION("""COMPUTED_VALUE"""),"費用 - Salary 薪資")</f>
        <v>費用 - Salary 薪資</v>
      </c>
      <c r="D1531" s="270">
        <f>IFERROR(__xludf.DUMMYFUNCTION("""COMPUTED_VALUE"""),-130000.0)</f>
        <v>-130000</v>
      </c>
      <c r="E1531" t="str">
        <f>IFERROR(__xludf.DUMMYFUNCTION("""COMPUTED_VALUE"""),"台銀籌備帳戶")</f>
        <v>台銀籌備帳戶</v>
      </c>
      <c r="F1531" t="str">
        <f>IFERROR(__xludf.DUMMYFUNCTION("""COMPUTED_VALUE"""),"Ben帳戶")</f>
        <v>Ben帳戶</v>
      </c>
      <c r="H1531" s="106" t="str">
        <f t="shared" si="1"/>
        <v>2025-02</v>
      </c>
      <c r="I1531" s="271" t="str">
        <f>IFERROR(__xludf.DUMMYFUNCTION("""COMPUTED_VALUE"""),"貓狗企鵝")</f>
        <v>貓狗企鵝</v>
      </c>
      <c r="J1531" t="str">
        <f>IFERROR(__xludf.DUMMYFUNCTION("IFS(
  AND(REGEXMATCH(E1531, ""台銀籌備帳戶|玉山帳戶""), REGEXMATCH(C1531, ""薪資"")), ""分潤支出"",
  AND(REGEXMATCH(E1531, ""Ben帳戶|Elsa帳戶|Ben代墊|Ariel代墊|中信銀行共用""), REGEXMATCH(F1531, ""Ben帳戶|Elsa帳戶|Ben代墊|Ariel代墊|中信銀行共用"")), ""內部轉帳(忽略)"",
  AND(E1531&lt;&gt;"""", F1531&lt;&gt;"""", N"&amp;"OT(REGEXMATCH(C1531, ""薪資""))), ""內部轉帳(忽略)"",
  REGEXMATCH(C1531, ""薪資""), ""薪資變動(不計入)"",
  REGEXMATCH(C1531, ""押金""), ""押金往來"",
  AND(E1531&lt;&gt;"""", F1531=""""), ""真實支出"",
  AND(E1531="""", F1531&lt;&gt;""""), ""真實收入"",
  TRUE, ""其他""
)"),"分潤支出")</f>
        <v>分潤支出</v>
      </c>
      <c r="K1531">
        <f t="shared" si="2"/>
        <v>0</v>
      </c>
      <c r="L1531">
        <f t="shared" si="3"/>
        <v>130000</v>
      </c>
    </row>
    <row r="1532">
      <c r="A1532" s="107">
        <f>IFERROR(__xludf.DUMMYFUNCTION("""COMPUTED_VALUE"""),45709.0)</f>
        <v>45709</v>
      </c>
      <c r="B1532" t="str">
        <f>IFERROR(__xludf.DUMMYFUNCTION("""COMPUTED_VALUE"""),"費用 - 匯費 對方行:806 後五碼:94880 (行號: 19)")</f>
        <v>費用 - 匯費 對方行:806 後五碼:94880 (行號: 19)</v>
      </c>
      <c r="C1532" t="str">
        <f>IFERROR(__xludf.DUMMYFUNCTION("""COMPUTED_VALUE"""),"費用 - 匯費")</f>
        <v>費用 - 匯費</v>
      </c>
      <c r="D1532" s="270">
        <f>IFERROR(__xludf.DUMMYFUNCTION("""COMPUTED_VALUE"""),-15.0)</f>
        <v>-15</v>
      </c>
      <c r="E1532" t="str">
        <f>IFERROR(__xludf.DUMMYFUNCTION("""COMPUTED_VALUE"""),"台銀籌備帳戶")</f>
        <v>台銀籌備帳戶</v>
      </c>
      <c r="H1532" s="106" t="str">
        <f t="shared" si="1"/>
        <v>2025-02</v>
      </c>
      <c r="I1532" s="271" t="str">
        <f>IFERROR(__xludf.DUMMYFUNCTION("""COMPUTED_VALUE"""),"貓狗企鵝")</f>
        <v>貓狗企鵝</v>
      </c>
      <c r="J1532" t="str">
        <f>IFERROR(__xludf.DUMMYFUNCTION("IFS(
  AND(REGEXMATCH(E1532, ""台銀籌備帳戶|玉山帳戶""), REGEXMATCH(C1532, ""薪資"")), ""分潤支出"",
  AND(REGEXMATCH(E1532, ""Ben帳戶|Elsa帳戶|Ben代墊|Ariel代墊|中信銀行共用""), REGEXMATCH(F1532, ""Ben帳戶|Elsa帳戶|Ben代墊|Ariel代墊|中信銀行共用"")), ""內部轉帳(忽略)"",
  AND(E1532&lt;&gt;"""", F1532&lt;&gt;"""", N"&amp;"OT(REGEXMATCH(C1532, ""薪資""))), ""內部轉帳(忽略)"",
  REGEXMATCH(C1532, ""薪資""), ""薪資變動(不計入)"",
  REGEXMATCH(C1532, ""押金""), ""押金往來"",
  AND(E1532&lt;&gt;"""", F1532=""""), ""真實支出"",
  AND(E1532="""", F1532&lt;&gt;""""), ""真實收入"",
  TRUE, ""其他""
)"),"真實支出")</f>
        <v>真實支出</v>
      </c>
      <c r="K1532" s="270">
        <f t="shared" si="2"/>
        <v>-15</v>
      </c>
      <c r="L1532">
        <f t="shared" si="3"/>
        <v>0</v>
      </c>
    </row>
    <row r="1533">
      <c r="A1533" s="107">
        <f>IFERROR(__xludf.DUMMYFUNCTION("""COMPUTED_VALUE"""),45709.0)</f>
        <v>45709</v>
      </c>
      <c r="B1533" t="str">
        <f>IFERROR(__xludf.DUMMYFUNCTION("""COMPUTED_VALUE"""),"哈拉B退押 ' 【未分類支出】")</f>
        <v>哈拉B退押 ' 【未分類支出】</v>
      </c>
      <c r="C1533" t="str">
        <f>IFERROR(__xludf.DUMMYFUNCTION("""COMPUTED_VALUE"""),"收入 - 押金")</f>
        <v>收入 - 押金</v>
      </c>
      <c r="D1533" s="270">
        <f>IFERROR(__xludf.DUMMYFUNCTION("""COMPUTED_VALUE"""),-12900.0)</f>
        <v>-12900</v>
      </c>
      <c r="E1533" t="str">
        <f>IFERROR(__xludf.DUMMYFUNCTION("""COMPUTED_VALUE"""),"台銀籌備帳戶")</f>
        <v>台銀籌備帳戶</v>
      </c>
      <c r="G1533" t="str">
        <f>IFERROR(__xludf.DUMMYFUNCTION("""COMPUTED_VALUE"""),"哈拉對面")</f>
        <v>哈拉對面</v>
      </c>
      <c r="H1533" s="106" t="str">
        <f t="shared" si="1"/>
        <v>2025-02</v>
      </c>
      <c r="I1533" s="271" t="str">
        <f>IFERROR(__xludf.DUMMYFUNCTION("""COMPUTED_VALUE"""),"貓狗企鵝")</f>
        <v>貓狗企鵝</v>
      </c>
      <c r="J1533" t="str">
        <f>IFERROR(__xludf.DUMMYFUNCTION("IFS(
  AND(REGEXMATCH(E1533, ""台銀籌備帳戶|玉山帳戶""), REGEXMATCH(C1533, ""薪資"")), ""分潤支出"",
  AND(REGEXMATCH(E1533, ""Ben帳戶|Elsa帳戶|Ben代墊|Ariel代墊|中信銀行共用""), REGEXMATCH(F1533, ""Ben帳戶|Elsa帳戶|Ben代墊|Ariel代墊|中信銀行共用"")), ""內部轉帳(忽略)"",
  AND(E1533&lt;&gt;"""", F1533&lt;&gt;"""", N"&amp;"OT(REGEXMATCH(C1533, ""薪資""))), ""內部轉帳(忽略)"",
  REGEXMATCH(C1533, ""薪資""), ""薪資變動(不計入)"",
  REGEXMATCH(C1533, ""押金""), ""押金往來"",
  AND(E1533&lt;&gt;"""", F1533=""""), ""真實支出"",
  AND(E1533="""", F1533&lt;&gt;""""), ""真實收入"",
  TRUE, ""其他""
)"),"押金往來")</f>
        <v>押金往來</v>
      </c>
      <c r="K1533">
        <f t="shared" si="2"/>
        <v>0</v>
      </c>
      <c r="L1533">
        <f t="shared" si="3"/>
        <v>0</v>
      </c>
    </row>
    <row r="1534">
      <c r="A1534" s="107">
        <f>IFERROR(__xludf.DUMMYFUNCTION("""COMPUTED_VALUE"""),45709.0)</f>
        <v>45709</v>
      </c>
      <c r="B1534" t="str">
        <f>IFERROR(__xludf.DUMMYFUNCTION("""COMPUTED_VALUE"""),"費用 - 匯費 對方行:812 後五碼:86639 (行號: 20)")</f>
        <v>費用 - 匯費 對方行:812 後五碼:86639 (行號: 20)</v>
      </c>
      <c r="C1534" t="str">
        <f>IFERROR(__xludf.DUMMYFUNCTION("""COMPUTED_VALUE"""),"費用 - 匯費")</f>
        <v>費用 - 匯費</v>
      </c>
      <c r="D1534" s="270">
        <f>IFERROR(__xludf.DUMMYFUNCTION("""COMPUTED_VALUE"""),-15.0)</f>
        <v>-15</v>
      </c>
      <c r="E1534" t="str">
        <f>IFERROR(__xludf.DUMMYFUNCTION("""COMPUTED_VALUE"""),"台銀籌備帳戶")</f>
        <v>台銀籌備帳戶</v>
      </c>
      <c r="H1534" s="106" t="str">
        <f t="shared" si="1"/>
        <v>2025-02</v>
      </c>
      <c r="I1534" s="271" t="str">
        <f>IFERROR(__xludf.DUMMYFUNCTION("""COMPUTED_VALUE"""),"貓狗企鵝")</f>
        <v>貓狗企鵝</v>
      </c>
      <c r="J1534" t="str">
        <f>IFERROR(__xludf.DUMMYFUNCTION("IFS(
  AND(REGEXMATCH(E1534, ""台銀籌備帳戶|玉山帳戶""), REGEXMATCH(C1534, ""薪資"")), ""分潤支出"",
  AND(REGEXMATCH(E1534, ""Ben帳戶|Elsa帳戶|Ben代墊|Ariel代墊|中信銀行共用""), REGEXMATCH(F1534, ""Ben帳戶|Elsa帳戶|Ben代墊|Ariel代墊|中信銀行共用"")), ""內部轉帳(忽略)"",
  AND(E1534&lt;&gt;"""", F1534&lt;&gt;"""", N"&amp;"OT(REGEXMATCH(C1534, ""薪資""))), ""內部轉帳(忽略)"",
  REGEXMATCH(C1534, ""薪資""), ""薪資變動(不計入)"",
  REGEXMATCH(C1534, ""押金""), ""押金往來"",
  AND(E1534&lt;&gt;"""", F1534=""""), ""真實支出"",
  AND(E1534="""", F1534&lt;&gt;""""), ""真實收入"",
  TRUE, ""其他""
)"),"真實支出")</f>
        <v>真實支出</v>
      </c>
      <c r="K1534" s="270">
        <f t="shared" si="2"/>
        <v>-15</v>
      </c>
      <c r="L1534">
        <f t="shared" si="3"/>
        <v>0</v>
      </c>
    </row>
    <row r="1535">
      <c r="A1535" s="107">
        <f>IFERROR(__xludf.DUMMYFUNCTION("""COMPUTED_VALUE"""),45709.0)</f>
        <v>45709</v>
      </c>
      <c r="B1535" t="str">
        <f>IFERROR(__xludf.DUMMYFUNCTION("""COMPUTED_VALUE"""),"螢光娘家修電 ' 【未分類支出】")</f>
        <v>螢光娘家修電 ' 【未分類支出】</v>
      </c>
      <c r="C1535" t="str">
        <f>IFERROR(__xludf.DUMMYFUNCTION("""COMPUTED_VALUE"""),"成本 - 租後修繕")</f>
        <v>成本 - 租後修繕</v>
      </c>
      <c r="D1535" s="270">
        <f>IFERROR(__xludf.DUMMYFUNCTION("""COMPUTED_VALUE"""),-6300.0)</f>
        <v>-6300</v>
      </c>
      <c r="E1535" t="str">
        <f>IFERROR(__xludf.DUMMYFUNCTION("""COMPUTED_VALUE"""),"台銀籌備帳戶")</f>
        <v>台銀籌備帳戶</v>
      </c>
      <c r="G1535" t="str">
        <f>IFERROR(__xludf.DUMMYFUNCTION("""COMPUTED_VALUE"""),"中山北娘家旁")</f>
        <v>中山北娘家旁</v>
      </c>
      <c r="H1535" s="106" t="str">
        <f t="shared" si="1"/>
        <v>2025-02</v>
      </c>
      <c r="I1535" s="271" t="str">
        <f>IFERROR(__xludf.DUMMYFUNCTION("""COMPUTED_VALUE"""),"貓狗企鵝")</f>
        <v>貓狗企鵝</v>
      </c>
      <c r="J1535" t="str">
        <f>IFERROR(__xludf.DUMMYFUNCTION("IFS(
  AND(REGEXMATCH(E1535, ""台銀籌備帳戶|玉山帳戶""), REGEXMATCH(C1535, ""薪資"")), ""分潤支出"",
  AND(REGEXMATCH(E1535, ""Ben帳戶|Elsa帳戶|Ben代墊|Ariel代墊|中信銀行共用""), REGEXMATCH(F1535, ""Ben帳戶|Elsa帳戶|Ben代墊|Ariel代墊|中信銀行共用"")), ""內部轉帳(忽略)"",
  AND(E1535&lt;&gt;"""", F1535&lt;&gt;"""", N"&amp;"OT(REGEXMATCH(C1535, ""薪資""))), ""內部轉帳(忽略)"",
  REGEXMATCH(C1535, ""薪資""), ""薪資變動(不計入)"",
  REGEXMATCH(C1535, ""押金""), ""押金往來"",
  AND(E1535&lt;&gt;"""", F1535=""""), ""真實支出"",
  AND(E1535="""", F1535&lt;&gt;""""), ""真實收入"",
  TRUE, ""其他""
)"),"真實支出")</f>
        <v>真實支出</v>
      </c>
      <c r="K1535" s="270">
        <f t="shared" si="2"/>
        <v>-6300</v>
      </c>
      <c r="L1535">
        <f t="shared" si="3"/>
        <v>0</v>
      </c>
    </row>
    <row r="1536">
      <c r="A1536" s="107">
        <f>IFERROR(__xludf.DUMMYFUNCTION("""COMPUTED_VALUE"""),45709.0)</f>
        <v>45709</v>
      </c>
      <c r="B1536" t="str">
        <f>IFERROR(__xludf.DUMMYFUNCTION("""COMPUTED_VALUE"""),"費用 - 匯費 對方行:822 後五碼:68913 (行號: 21)")</f>
        <v>費用 - 匯費 對方行:822 後五碼:68913 (行號: 21)</v>
      </c>
      <c r="C1536" t="str">
        <f>IFERROR(__xludf.DUMMYFUNCTION("""COMPUTED_VALUE"""),"費用 - 匯費")</f>
        <v>費用 - 匯費</v>
      </c>
      <c r="D1536" s="270">
        <f>IFERROR(__xludf.DUMMYFUNCTION("""COMPUTED_VALUE"""),-15.0)</f>
        <v>-15</v>
      </c>
      <c r="E1536" t="str">
        <f>IFERROR(__xludf.DUMMYFUNCTION("""COMPUTED_VALUE"""),"台銀籌備帳戶")</f>
        <v>台銀籌備帳戶</v>
      </c>
      <c r="H1536" s="106" t="str">
        <f t="shared" si="1"/>
        <v>2025-02</v>
      </c>
      <c r="I1536" s="271" t="str">
        <f>IFERROR(__xludf.DUMMYFUNCTION("""COMPUTED_VALUE"""),"貓狗企鵝")</f>
        <v>貓狗企鵝</v>
      </c>
      <c r="J1536" t="str">
        <f>IFERROR(__xludf.DUMMYFUNCTION("IFS(
  AND(REGEXMATCH(E1536, ""台銀籌備帳戶|玉山帳戶""), REGEXMATCH(C1536, ""薪資"")), ""分潤支出"",
  AND(REGEXMATCH(E1536, ""Ben帳戶|Elsa帳戶|Ben代墊|Ariel代墊|中信銀行共用""), REGEXMATCH(F1536, ""Ben帳戶|Elsa帳戶|Ben代墊|Ariel代墊|中信銀行共用"")), ""內部轉帳(忽略)"",
  AND(E1536&lt;&gt;"""", F1536&lt;&gt;"""", N"&amp;"OT(REGEXMATCH(C1536, ""薪資""))), ""內部轉帳(忽略)"",
  REGEXMATCH(C1536, ""薪資""), ""薪資變動(不計入)"",
  REGEXMATCH(C1536, ""押金""), ""押金往來"",
  AND(E1536&lt;&gt;"""", F1536=""""), ""真實支出"",
  AND(E1536="""", F1536&lt;&gt;""""), ""真實收入"",
  TRUE, ""其他""
)"),"真實支出")</f>
        <v>真實支出</v>
      </c>
      <c r="K1536" s="270">
        <f t="shared" si="2"/>
        <v>-15</v>
      </c>
      <c r="L1536">
        <f t="shared" si="3"/>
        <v>0</v>
      </c>
    </row>
    <row r="1537">
      <c r="A1537" s="107">
        <f>IFERROR(__xludf.DUMMYFUNCTION("""COMPUTED_VALUE"""),45709.0)</f>
        <v>45709</v>
      </c>
      <c r="B1537" t="str">
        <f>IFERROR(__xludf.DUMMYFUNCTION("""COMPUTED_VALUE"""),"新生北一段毛毛 【未分類支出】")</f>
        <v>新生北一段毛毛 【未分類支出】</v>
      </c>
      <c r="C1537" t="str">
        <f>IFERROR(__xludf.DUMMYFUNCTION("""COMPUTED_VALUE"""),"成本 - 進場前裝潢費")</f>
        <v>成本 - 進場前裝潢費</v>
      </c>
      <c r="D1537" s="270">
        <f>IFERROR(__xludf.DUMMYFUNCTION("""COMPUTED_VALUE"""),-32550.0)</f>
        <v>-32550</v>
      </c>
      <c r="E1537" t="str">
        <f>IFERROR(__xludf.DUMMYFUNCTION("""COMPUTED_VALUE"""),"台銀籌備帳戶")</f>
        <v>台銀籌備帳戶</v>
      </c>
      <c r="G1537" t="str">
        <f>IFERROR(__xludf.DUMMYFUNCTION("""COMPUTED_VALUE"""),"無法分類")</f>
        <v>無法分類</v>
      </c>
      <c r="H1537" s="106" t="str">
        <f t="shared" si="1"/>
        <v>2025-02</v>
      </c>
      <c r="I1537" s="271" t="str">
        <f>IFERROR(__xludf.DUMMYFUNCTION("""COMPUTED_VALUE"""),"貓狗企鵝")</f>
        <v>貓狗企鵝</v>
      </c>
      <c r="J1537" t="str">
        <f>IFERROR(__xludf.DUMMYFUNCTION("IFS(
  AND(REGEXMATCH(E1537, ""台銀籌備帳戶|玉山帳戶""), REGEXMATCH(C1537, ""薪資"")), ""分潤支出"",
  AND(REGEXMATCH(E1537, ""Ben帳戶|Elsa帳戶|Ben代墊|Ariel代墊|中信銀行共用""), REGEXMATCH(F1537, ""Ben帳戶|Elsa帳戶|Ben代墊|Ariel代墊|中信銀行共用"")), ""內部轉帳(忽略)"",
  AND(E1537&lt;&gt;"""", F1537&lt;&gt;"""", N"&amp;"OT(REGEXMATCH(C1537, ""薪資""))), ""內部轉帳(忽略)"",
  REGEXMATCH(C1537, ""薪資""), ""薪資變動(不計入)"",
  REGEXMATCH(C1537, ""押金""), ""押金往來"",
  AND(E1537&lt;&gt;"""", F1537=""""), ""真實支出"",
  AND(E1537="""", F1537&lt;&gt;""""), ""真實收入"",
  TRUE, ""其他""
)"),"真實支出")</f>
        <v>真實支出</v>
      </c>
      <c r="K1537" s="270">
        <f t="shared" si="2"/>
        <v>-32550</v>
      </c>
      <c r="L1537">
        <f t="shared" si="3"/>
        <v>0</v>
      </c>
    </row>
    <row r="1538">
      <c r="A1538" s="107">
        <f>IFERROR(__xludf.DUMMYFUNCTION("""COMPUTED_VALUE"""),45709.0)</f>
        <v>45709</v>
      </c>
      <c r="B1538" t="str">
        <f>IFERROR(__xludf.DUMMYFUNCTION("""COMPUTED_VALUE"""),"費用 - 匯費 對方行:700 後五碼:70201 (行號: 22)")</f>
        <v>費用 - 匯費 對方行:700 後五碼:70201 (行號: 22)</v>
      </c>
      <c r="C1538" t="str">
        <f>IFERROR(__xludf.DUMMYFUNCTION("""COMPUTED_VALUE"""),"費用 - 匯費")</f>
        <v>費用 - 匯費</v>
      </c>
      <c r="D1538" s="270">
        <f>IFERROR(__xludf.DUMMYFUNCTION("""COMPUTED_VALUE"""),-15.0)</f>
        <v>-15</v>
      </c>
      <c r="E1538" t="str">
        <f>IFERROR(__xludf.DUMMYFUNCTION("""COMPUTED_VALUE"""),"台銀籌備帳戶")</f>
        <v>台銀籌備帳戶</v>
      </c>
      <c r="H1538" s="106" t="str">
        <f t="shared" si="1"/>
        <v>2025-02</v>
      </c>
      <c r="I1538" s="271" t="str">
        <f>IFERROR(__xludf.DUMMYFUNCTION("""COMPUTED_VALUE"""),"貓狗企鵝")</f>
        <v>貓狗企鵝</v>
      </c>
      <c r="J1538" t="str">
        <f>IFERROR(__xludf.DUMMYFUNCTION("IFS(
  AND(REGEXMATCH(E1538, ""台銀籌備帳戶|玉山帳戶""), REGEXMATCH(C1538, ""薪資"")), ""分潤支出"",
  AND(REGEXMATCH(E1538, ""Ben帳戶|Elsa帳戶|Ben代墊|Ariel代墊|中信銀行共用""), REGEXMATCH(F1538, ""Ben帳戶|Elsa帳戶|Ben代墊|Ariel代墊|中信銀行共用"")), ""內部轉帳(忽略)"",
  AND(E1538&lt;&gt;"""", F1538&lt;&gt;"""", N"&amp;"OT(REGEXMATCH(C1538, ""薪資""))), ""內部轉帳(忽略)"",
  REGEXMATCH(C1538, ""薪資""), ""薪資變動(不計入)"",
  REGEXMATCH(C1538, ""押金""), ""押金往來"",
  AND(E1538&lt;&gt;"""", F1538=""""), ""真實支出"",
  AND(E1538="""", F1538&lt;&gt;""""), ""真實收入"",
  TRUE, ""其他""
)"),"真實支出")</f>
        <v>真實支出</v>
      </c>
      <c r="K1538" s="270">
        <f t="shared" si="2"/>
        <v>-15</v>
      </c>
      <c r="L1538">
        <f t="shared" si="3"/>
        <v>0</v>
      </c>
    </row>
    <row r="1539">
      <c r="A1539" s="107">
        <f>IFERROR(__xludf.DUMMYFUNCTION("""COMPUTED_VALUE"""),45709.0)</f>
        <v>45709</v>
      </c>
      <c r="B1539" t="str">
        <f>IFERROR(__xludf.DUMMYFUNCTION("""COMPUTED_VALUE"""),"新生北一段宜佳 【未分類支出】")</f>
        <v>新生北一段宜佳 【未分類支出】</v>
      </c>
      <c r="C1539" t="str">
        <f>IFERROR(__xludf.DUMMYFUNCTION("""COMPUTED_VALUE"""),"成本 - 進場前裝潢費")</f>
        <v>成本 - 進場前裝潢費</v>
      </c>
      <c r="D1539" s="270">
        <f>IFERROR(__xludf.DUMMYFUNCTION("""COMPUTED_VALUE"""),-27153.0)</f>
        <v>-27153</v>
      </c>
      <c r="E1539" t="str">
        <f>IFERROR(__xludf.DUMMYFUNCTION("""COMPUTED_VALUE"""),"台銀籌備帳戶")</f>
        <v>台銀籌備帳戶</v>
      </c>
      <c r="G1539" t="str">
        <f>IFERROR(__xludf.DUMMYFUNCTION("""COMPUTED_VALUE"""),"無法分類")</f>
        <v>無法分類</v>
      </c>
      <c r="H1539" s="106" t="str">
        <f t="shared" si="1"/>
        <v>2025-02</v>
      </c>
      <c r="I1539" s="271" t="str">
        <f>IFERROR(__xludf.DUMMYFUNCTION("""COMPUTED_VALUE"""),"貓狗企鵝")</f>
        <v>貓狗企鵝</v>
      </c>
      <c r="J1539" t="str">
        <f>IFERROR(__xludf.DUMMYFUNCTION("IFS(
  AND(REGEXMATCH(E1539, ""台銀籌備帳戶|玉山帳戶""), REGEXMATCH(C1539, ""薪資"")), ""分潤支出"",
  AND(REGEXMATCH(E1539, ""Ben帳戶|Elsa帳戶|Ben代墊|Ariel代墊|中信銀行共用""), REGEXMATCH(F1539, ""Ben帳戶|Elsa帳戶|Ben代墊|Ariel代墊|中信銀行共用"")), ""內部轉帳(忽略)"",
  AND(E1539&lt;&gt;"""", F1539&lt;&gt;"""", N"&amp;"OT(REGEXMATCH(C1539, ""薪資""))), ""內部轉帳(忽略)"",
  REGEXMATCH(C1539, ""薪資""), ""薪資變動(不計入)"",
  REGEXMATCH(C1539, ""押金""), ""押金往來"",
  AND(E1539&lt;&gt;"""", F1539=""""), ""真實支出"",
  AND(E1539="""", F1539&lt;&gt;""""), ""真實收入"",
  TRUE, ""其他""
)"),"真實支出")</f>
        <v>真實支出</v>
      </c>
      <c r="K1539" s="270">
        <f t="shared" si="2"/>
        <v>-27153</v>
      </c>
      <c r="L1539">
        <f t="shared" si="3"/>
        <v>0</v>
      </c>
    </row>
    <row r="1540">
      <c r="A1540" s="107">
        <f>IFERROR(__xludf.DUMMYFUNCTION("""COMPUTED_VALUE"""),45714.0)</f>
        <v>45714</v>
      </c>
      <c r="B1540" t="str">
        <f>IFERROR(__xludf.DUMMYFUNCTION("""COMPUTED_VALUE"""),"費用 - 匯費 對方行:823 後五碼:70846 (行號: 30)")</f>
        <v>費用 - 匯費 對方行:823 後五碼:70846 (行號: 30)</v>
      </c>
      <c r="C1540" t="str">
        <f>IFERROR(__xludf.DUMMYFUNCTION("""COMPUTED_VALUE"""),"費用 - 匯費")</f>
        <v>費用 - 匯費</v>
      </c>
      <c r="D1540" s="270">
        <f>IFERROR(__xludf.DUMMYFUNCTION("""COMPUTED_VALUE"""),-15.0)</f>
        <v>-15</v>
      </c>
      <c r="E1540" t="str">
        <f>IFERROR(__xludf.DUMMYFUNCTION("""COMPUTED_VALUE"""),"台銀籌備帳戶")</f>
        <v>台銀籌備帳戶</v>
      </c>
      <c r="H1540" s="106" t="str">
        <f t="shared" si="1"/>
        <v>2025-02</v>
      </c>
      <c r="I1540" s="271" t="str">
        <f>IFERROR(__xludf.DUMMYFUNCTION("""COMPUTED_VALUE"""),"貓狗企鵝")</f>
        <v>貓狗企鵝</v>
      </c>
      <c r="J1540" t="str">
        <f>IFERROR(__xludf.DUMMYFUNCTION("IFS(
  AND(REGEXMATCH(E1540, ""台銀籌備帳戶|玉山帳戶""), REGEXMATCH(C1540, ""薪資"")), ""分潤支出"",
  AND(REGEXMATCH(E1540, ""Ben帳戶|Elsa帳戶|Ben代墊|Ariel代墊|中信銀行共用""), REGEXMATCH(F1540, ""Ben帳戶|Elsa帳戶|Ben代墊|Ariel代墊|中信銀行共用"")), ""內部轉帳(忽略)"",
  AND(E1540&lt;&gt;"""", F1540&lt;&gt;"""", N"&amp;"OT(REGEXMATCH(C1540, ""薪資""))), ""內部轉帳(忽略)"",
  REGEXMATCH(C1540, ""薪資""), ""薪資變動(不計入)"",
  REGEXMATCH(C1540, ""押金""), ""押金往來"",
  AND(E1540&lt;&gt;"""", F1540=""""), ""真實支出"",
  AND(E1540="""", F1540&lt;&gt;""""), ""真實收入"",
  TRUE, ""其他""
)"),"真實支出")</f>
        <v>真實支出</v>
      </c>
      <c r="K1540" s="270">
        <f t="shared" si="2"/>
        <v>-15</v>
      </c>
      <c r="L1540">
        <f t="shared" si="3"/>
        <v>0</v>
      </c>
    </row>
    <row r="1541">
      <c r="A1541" s="107">
        <f>IFERROR(__xludf.DUMMYFUNCTION("""COMPUTED_VALUE"""),45714.0)</f>
        <v>45714</v>
      </c>
      <c r="B1541" t="str">
        <f>IFERROR(__xludf.DUMMYFUNCTION("""COMPUTED_VALUE"""),"大湖G Dawn退押 ' 【未分類支出】")</f>
        <v>大湖G Dawn退押 ' 【未分類支出】</v>
      </c>
      <c r="C1541" t="str">
        <f>IFERROR(__xludf.DUMMYFUNCTION("""COMPUTED_VALUE"""),"收入 - 押金")</f>
        <v>收入 - 押金</v>
      </c>
      <c r="D1541" s="270">
        <f>IFERROR(__xludf.DUMMYFUNCTION("""COMPUTED_VALUE"""),-26132.0)</f>
        <v>-26132</v>
      </c>
      <c r="E1541" t="str">
        <f>IFERROR(__xludf.DUMMYFUNCTION("""COMPUTED_VALUE"""),"台銀籌備帳戶")</f>
        <v>台銀籌備帳戶</v>
      </c>
      <c r="G1541" t="str">
        <f>IFERROR(__xludf.DUMMYFUNCTION("""COMPUTED_VALUE"""),"大湖山莊")</f>
        <v>大湖山莊</v>
      </c>
      <c r="H1541" s="106" t="str">
        <f t="shared" si="1"/>
        <v>2025-02</v>
      </c>
      <c r="I1541" s="271" t="str">
        <f>IFERROR(__xludf.DUMMYFUNCTION("""COMPUTED_VALUE"""),"貓狗企鵝")</f>
        <v>貓狗企鵝</v>
      </c>
      <c r="J1541" t="str">
        <f>IFERROR(__xludf.DUMMYFUNCTION("IFS(
  AND(REGEXMATCH(E1541, ""台銀籌備帳戶|玉山帳戶""), REGEXMATCH(C1541, ""薪資"")), ""分潤支出"",
  AND(REGEXMATCH(E1541, ""Ben帳戶|Elsa帳戶|Ben代墊|Ariel代墊|中信銀行共用""), REGEXMATCH(F1541, ""Ben帳戶|Elsa帳戶|Ben代墊|Ariel代墊|中信銀行共用"")), ""內部轉帳(忽略)"",
  AND(E1541&lt;&gt;"""", F1541&lt;&gt;"""", N"&amp;"OT(REGEXMATCH(C1541, ""薪資""))), ""內部轉帳(忽略)"",
  REGEXMATCH(C1541, ""薪資""), ""薪資變動(不計入)"",
  REGEXMATCH(C1541, ""押金""), ""押金往來"",
  AND(E1541&lt;&gt;"""", F1541=""""), ""真實支出"",
  AND(E1541="""", F1541&lt;&gt;""""), ""真實收入"",
  TRUE, ""其他""
)"),"押金往來")</f>
        <v>押金往來</v>
      </c>
      <c r="K1541">
        <f t="shared" si="2"/>
        <v>0</v>
      </c>
      <c r="L1541">
        <f t="shared" si="3"/>
        <v>0</v>
      </c>
    </row>
    <row r="1542">
      <c r="A1542" s="107">
        <f>IFERROR(__xludf.DUMMYFUNCTION("""COMPUTED_VALUE"""),45716.0)</f>
        <v>45716</v>
      </c>
      <c r="B1542" t="str">
        <f>IFERROR(__xludf.DUMMYFUNCTION("""COMPUTED_VALUE"""),"費用 - 匯費 對方行:822 後五碼:68913 (行號: 40)")</f>
        <v>費用 - 匯費 對方行:822 後五碼:68913 (行號: 40)</v>
      </c>
      <c r="C1542" t="str">
        <f>IFERROR(__xludf.DUMMYFUNCTION("""COMPUTED_VALUE"""),"費用 - 匯費")</f>
        <v>費用 - 匯費</v>
      </c>
      <c r="D1542" s="270">
        <f>IFERROR(__xludf.DUMMYFUNCTION("""COMPUTED_VALUE"""),-15.0)</f>
        <v>-15</v>
      </c>
      <c r="E1542" t="str">
        <f>IFERROR(__xludf.DUMMYFUNCTION("""COMPUTED_VALUE"""),"台銀籌備帳戶")</f>
        <v>台銀籌備帳戶</v>
      </c>
      <c r="H1542" s="106" t="str">
        <f t="shared" si="1"/>
        <v>2025-02</v>
      </c>
      <c r="I1542" s="271" t="str">
        <f>IFERROR(__xludf.DUMMYFUNCTION("""COMPUTED_VALUE"""),"貓狗企鵝")</f>
        <v>貓狗企鵝</v>
      </c>
      <c r="J1542" t="str">
        <f>IFERROR(__xludf.DUMMYFUNCTION("IFS(
  AND(REGEXMATCH(E1542, ""台銀籌備帳戶|玉山帳戶""), REGEXMATCH(C1542, ""薪資"")), ""分潤支出"",
  AND(REGEXMATCH(E1542, ""Ben帳戶|Elsa帳戶|Ben代墊|Ariel代墊|中信銀行共用""), REGEXMATCH(F1542, ""Ben帳戶|Elsa帳戶|Ben代墊|Ariel代墊|中信銀行共用"")), ""內部轉帳(忽略)"",
  AND(E1542&lt;&gt;"""", F1542&lt;&gt;"""", N"&amp;"OT(REGEXMATCH(C1542, ""薪資""))), ""內部轉帳(忽略)"",
  REGEXMATCH(C1542, ""薪資""), ""薪資變動(不計入)"",
  REGEXMATCH(C1542, ""押金""), ""押金往來"",
  AND(E1542&lt;&gt;"""", F1542=""""), ""真實支出"",
  AND(E1542="""", F1542&lt;&gt;""""), ""真實收入"",
  TRUE, ""其他""
)"),"真實支出")</f>
        <v>真實支出</v>
      </c>
      <c r="K1542" s="270">
        <f t="shared" si="2"/>
        <v>-15</v>
      </c>
      <c r="L1542">
        <f t="shared" si="3"/>
        <v>0</v>
      </c>
    </row>
    <row r="1543">
      <c r="A1543" s="107">
        <f>IFERROR(__xludf.DUMMYFUNCTION("""COMPUTED_VALUE"""),45716.0)</f>
        <v>45716</v>
      </c>
      <c r="B1543" t="str">
        <f>IFERROR(__xludf.DUMMYFUNCTION("""COMPUTED_VALUE"""),"新生北毛泥作 ' 【未分類支出】")</f>
        <v>新生北毛泥作 ' 【未分類支出】</v>
      </c>
      <c r="C1543" t="str">
        <f>IFERROR(__xludf.DUMMYFUNCTION("""COMPUTED_VALUE"""),"成本 - 進場前裝潢費")</f>
        <v>成本 - 進場前裝潢費</v>
      </c>
      <c r="D1543" s="270">
        <f>IFERROR(__xludf.DUMMYFUNCTION("""COMPUTED_VALUE"""),-11550.0)</f>
        <v>-11550</v>
      </c>
      <c r="E1543" t="str">
        <f>IFERROR(__xludf.DUMMYFUNCTION("""COMPUTED_VALUE"""),"台銀籌備帳戶")</f>
        <v>台銀籌備帳戶</v>
      </c>
      <c r="G1543" t="str">
        <f>IFERROR(__xludf.DUMMYFUNCTION("""COMPUTED_VALUE"""),"無法分類")</f>
        <v>無法分類</v>
      </c>
      <c r="H1543" s="106" t="str">
        <f t="shared" si="1"/>
        <v>2025-02</v>
      </c>
      <c r="I1543" s="271" t="str">
        <f>IFERROR(__xludf.DUMMYFUNCTION("""COMPUTED_VALUE"""),"貓狗企鵝")</f>
        <v>貓狗企鵝</v>
      </c>
      <c r="J1543" t="str">
        <f>IFERROR(__xludf.DUMMYFUNCTION("IFS(
  AND(REGEXMATCH(E1543, ""台銀籌備帳戶|玉山帳戶""), REGEXMATCH(C1543, ""薪資"")), ""分潤支出"",
  AND(REGEXMATCH(E1543, ""Ben帳戶|Elsa帳戶|Ben代墊|Ariel代墊|中信銀行共用""), REGEXMATCH(F1543, ""Ben帳戶|Elsa帳戶|Ben代墊|Ariel代墊|中信銀行共用"")), ""內部轉帳(忽略)"",
  AND(E1543&lt;&gt;"""", F1543&lt;&gt;"""", N"&amp;"OT(REGEXMATCH(C1543, ""薪資""))), ""內部轉帳(忽略)"",
  REGEXMATCH(C1543, ""薪資""), ""薪資變動(不計入)"",
  REGEXMATCH(C1543, ""押金""), ""押金往來"",
  AND(E1543&lt;&gt;"""", F1543=""""), ""真實支出"",
  AND(E1543="""", F1543&lt;&gt;""""), ""真實收入"",
  TRUE, ""其他""
)"),"真實支出")</f>
        <v>真實支出</v>
      </c>
      <c r="K1543" s="270">
        <f t="shared" si="2"/>
        <v>-11550</v>
      </c>
      <c r="L1543">
        <f t="shared" si="3"/>
        <v>0</v>
      </c>
    </row>
    <row r="1544">
      <c r="A1544" s="107">
        <f>IFERROR(__xludf.DUMMYFUNCTION("""COMPUTED_VALUE"""),45717.0)</f>
        <v>45717</v>
      </c>
      <c r="B1544" t="str">
        <f>IFERROR(__xludf.DUMMYFUNCTION("""COMPUTED_VALUE"""),"[南港站挑高宅] [林淑華] 大租金")</f>
        <v>[南港站挑高宅] [林淑華] 大租金</v>
      </c>
      <c r="C1544" t="str">
        <f>IFERROR(__xludf.DUMMYFUNCTION("""COMPUTED_VALUE"""),"成本 - 大租金")</f>
        <v>成本 - 大租金</v>
      </c>
      <c r="D1544" s="270">
        <f>IFERROR(__xludf.DUMMYFUNCTION("""COMPUTED_VALUE"""),-18250.0)</f>
        <v>-18250</v>
      </c>
      <c r="E1544" t="str">
        <f>IFERROR(__xludf.DUMMYFUNCTION("""COMPUTED_VALUE"""),"台銀籌備帳戶")</f>
        <v>台銀籌備帳戶</v>
      </c>
      <c r="G1544" t="str">
        <f>IFERROR(__xludf.DUMMYFUNCTION("""COMPUTED_VALUE"""),"南港站挑高宅")</f>
        <v>南港站挑高宅</v>
      </c>
      <c r="H1544" s="106" t="str">
        <f t="shared" si="1"/>
        <v>2025-03</v>
      </c>
      <c r="I1544" s="271" t="str">
        <f>IFERROR(__xludf.DUMMYFUNCTION("""COMPUTED_VALUE"""),"貓狗企鵝")</f>
        <v>貓狗企鵝</v>
      </c>
      <c r="J1544" t="str">
        <f>IFERROR(__xludf.DUMMYFUNCTION("IFS(
  AND(REGEXMATCH(E1544, ""台銀籌備帳戶|玉山帳戶""), REGEXMATCH(C1544, ""薪資"")), ""分潤支出"",
  AND(REGEXMATCH(E1544, ""Ben帳戶|Elsa帳戶|Ben代墊|Ariel代墊|中信銀行共用""), REGEXMATCH(F1544, ""Ben帳戶|Elsa帳戶|Ben代墊|Ariel代墊|中信銀行共用"")), ""內部轉帳(忽略)"",
  AND(E1544&lt;&gt;"""", F1544&lt;&gt;"""", N"&amp;"OT(REGEXMATCH(C1544, ""薪資""))), ""內部轉帳(忽略)"",
  REGEXMATCH(C1544, ""薪資""), ""薪資變動(不計入)"",
  REGEXMATCH(C1544, ""押金""), ""押金往來"",
  AND(E1544&lt;&gt;"""", F1544=""""), ""真實支出"",
  AND(E1544="""", F1544&lt;&gt;""""), ""真實收入"",
  TRUE, ""其他""
)"),"真實支出")</f>
        <v>真實支出</v>
      </c>
      <c r="K1544" s="270">
        <f t="shared" si="2"/>
        <v>-18250</v>
      </c>
      <c r="L1544">
        <f t="shared" si="3"/>
        <v>0</v>
      </c>
    </row>
    <row r="1545">
      <c r="A1545" s="107">
        <f>IFERROR(__xludf.DUMMYFUNCTION("""COMPUTED_VALUE"""),45717.0)</f>
        <v>45717</v>
      </c>
      <c r="B1545" t="str">
        <f>IFERROR(__xludf.DUMMYFUNCTION("""COMPUTED_VALUE"""),"費用 - 匯費 對方行:012 後五碼:84509 (行號: 45)")</f>
        <v>費用 - 匯費 對方行:012 後五碼:84509 (行號: 45)</v>
      </c>
      <c r="C1545" t="str">
        <f>IFERROR(__xludf.DUMMYFUNCTION("""COMPUTED_VALUE"""),"費用 - 匯費")</f>
        <v>費用 - 匯費</v>
      </c>
      <c r="D1545" s="270">
        <f>IFERROR(__xludf.DUMMYFUNCTION("""COMPUTED_VALUE"""),-15.0)</f>
        <v>-15</v>
      </c>
      <c r="E1545" t="str">
        <f>IFERROR(__xludf.DUMMYFUNCTION("""COMPUTED_VALUE"""),"台銀籌備帳戶")</f>
        <v>台銀籌備帳戶</v>
      </c>
      <c r="H1545" s="106" t="str">
        <f t="shared" si="1"/>
        <v>2025-03</v>
      </c>
      <c r="I1545" s="271" t="str">
        <f>IFERROR(__xludf.DUMMYFUNCTION("""COMPUTED_VALUE"""),"貓狗企鵝")</f>
        <v>貓狗企鵝</v>
      </c>
      <c r="J1545" t="str">
        <f>IFERROR(__xludf.DUMMYFUNCTION("IFS(
  AND(REGEXMATCH(E1545, ""台銀籌備帳戶|玉山帳戶""), REGEXMATCH(C1545, ""薪資"")), ""分潤支出"",
  AND(REGEXMATCH(E1545, ""Ben帳戶|Elsa帳戶|Ben代墊|Ariel代墊|中信銀行共用""), REGEXMATCH(F1545, ""Ben帳戶|Elsa帳戶|Ben代墊|Ariel代墊|中信銀行共用"")), ""內部轉帳(忽略)"",
  AND(E1545&lt;&gt;"""", F1545&lt;&gt;"""", N"&amp;"OT(REGEXMATCH(C1545, ""薪資""))), ""內部轉帳(忽略)"",
  REGEXMATCH(C1545, ""薪資""), ""薪資變動(不計入)"",
  REGEXMATCH(C1545, ""押金""), ""押金往來"",
  AND(E1545&lt;&gt;"""", F1545=""""), ""真實支出"",
  AND(E1545="""", F1545&lt;&gt;""""), ""真實收入"",
  TRUE, ""其他""
)"),"真實支出")</f>
        <v>真實支出</v>
      </c>
      <c r="K1545" s="270">
        <f t="shared" si="2"/>
        <v>-15</v>
      </c>
      <c r="L1545">
        <f t="shared" si="3"/>
        <v>0</v>
      </c>
    </row>
    <row r="1546">
      <c r="A1546" s="107">
        <f>IFERROR(__xludf.DUMMYFUNCTION("""COMPUTED_VALUE"""),45717.0)</f>
        <v>45717</v>
      </c>
      <c r="B1546" t="str">
        <f>IFERROR(__xludf.DUMMYFUNCTION("""COMPUTED_VALUE"""),"[永春四號] [郭宗仁] 大租金")</f>
        <v>[永春四號] [郭宗仁] 大租金</v>
      </c>
      <c r="C1546" t="str">
        <f>IFERROR(__xludf.DUMMYFUNCTION("""COMPUTED_VALUE"""),"成本 - 大租金")</f>
        <v>成本 - 大租金</v>
      </c>
      <c r="D1546" s="270">
        <f>IFERROR(__xludf.DUMMYFUNCTION("""COMPUTED_VALUE"""),-17000.0)</f>
        <v>-17000</v>
      </c>
      <c r="E1546" t="str">
        <f>IFERROR(__xludf.DUMMYFUNCTION("""COMPUTED_VALUE"""),"台銀籌備帳戶")</f>
        <v>台銀籌備帳戶</v>
      </c>
      <c r="G1546" t="str">
        <f>IFERROR(__xludf.DUMMYFUNCTION("""COMPUTED_VALUE"""),"永春四號")</f>
        <v>永春四號</v>
      </c>
      <c r="H1546" s="106" t="str">
        <f t="shared" si="1"/>
        <v>2025-03</v>
      </c>
      <c r="I1546" s="271" t="str">
        <f>IFERROR(__xludf.DUMMYFUNCTION("""COMPUTED_VALUE"""),"貓狗企鵝")</f>
        <v>貓狗企鵝</v>
      </c>
      <c r="J1546" t="str">
        <f>IFERROR(__xludf.DUMMYFUNCTION("IFS(
  AND(REGEXMATCH(E1546, ""台銀籌備帳戶|玉山帳戶""), REGEXMATCH(C1546, ""薪資"")), ""分潤支出"",
  AND(REGEXMATCH(E1546, ""Ben帳戶|Elsa帳戶|Ben代墊|Ariel代墊|中信銀行共用""), REGEXMATCH(F1546, ""Ben帳戶|Elsa帳戶|Ben代墊|Ariel代墊|中信銀行共用"")), ""內部轉帳(忽略)"",
  AND(E1546&lt;&gt;"""", F1546&lt;&gt;"""", N"&amp;"OT(REGEXMATCH(C1546, ""薪資""))), ""內部轉帳(忽略)"",
  REGEXMATCH(C1546, ""薪資""), ""薪資變動(不計入)"",
  REGEXMATCH(C1546, ""押金""), ""押金往來"",
  AND(E1546&lt;&gt;"""", F1546=""""), ""真實支出"",
  AND(E1546="""", F1546&lt;&gt;""""), ""真實收入"",
  TRUE, ""其他""
)"),"真實支出")</f>
        <v>真實支出</v>
      </c>
      <c r="K1546" s="270">
        <f t="shared" si="2"/>
        <v>-17000</v>
      </c>
      <c r="L1546">
        <f t="shared" si="3"/>
        <v>0</v>
      </c>
    </row>
    <row r="1547">
      <c r="A1547" s="107">
        <f>IFERROR(__xludf.DUMMYFUNCTION("""COMPUTED_VALUE"""),45717.0)</f>
        <v>45717</v>
      </c>
      <c r="B1547" t="str">
        <f>IFERROR(__xludf.DUMMYFUNCTION("""COMPUTED_VALUE"""),"費用 - 匯費 對方行:012 後五碼:46295 (行號: 46)")</f>
        <v>費用 - 匯費 對方行:012 後五碼:46295 (行號: 46)</v>
      </c>
      <c r="C1547" t="str">
        <f>IFERROR(__xludf.DUMMYFUNCTION("""COMPUTED_VALUE"""),"費用 - 匯費")</f>
        <v>費用 - 匯費</v>
      </c>
      <c r="D1547" s="270">
        <f>IFERROR(__xludf.DUMMYFUNCTION("""COMPUTED_VALUE"""),-15.0)</f>
        <v>-15</v>
      </c>
      <c r="E1547" t="str">
        <f>IFERROR(__xludf.DUMMYFUNCTION("""COMPUTED_VALUE"""),"台銀籌備帳戶")</f>
        <v>台銀籌備帳戶</v>
      </c>
      <c r="H1547" s="106" t="str">
        <f t="shared" si="1"/>
        <v>2025-03</v>
      </c>
      <c r="I1547" s="271" t="str">
        <f>IFERROR(__xludf.DUMMYFUNCTION("""COMPUTED_VALUE"""),"貓狗企鵝")</f>
        <v>貓狗企鵝</v>
      </c>
      <c r="J1547" t="str">
        <f>IFERROR(__xludf.DUMMYFUNCTION("IFS(
  AND(REGEXMATCH(E1547, ""台銀籌備帳戶|玉山帳戶""), REGEXMATCH(C1547, ""薪資"")), ""分潤支出"",
  AND(REGEXMATCH(E1547, ""Ben帳戶|Elsa帳戶|Ben代墊|Ariel代墊|中信銀行共用""), REGEXMATCH(F1547, ""Ben帳戶|Elsa帳戶|Ben代墊|Ariel代墊|中信銀行共用"")), ""內部轉帳(忽略)"",
  AND(E1547&lt;&gt;"""", F1547&lt;&gt;"""", N"&amp;"OT(REGEXMATCH(C1547, ""薪資""))), ""內部轉帳(忽略)"",
  REGEXMATCH(C1547, ""薪資""), ""薪資變動(不計入)"",
  REGEXMATCH(C1547, ""押金""), ""押金往來"",
  AND(E1547&lt;&gt;"""", F1547=""""), ""真實支出"",
  AND(E1547="""", F1547&lt;&gt;""""), ""真實收入"",
  TRUE, ""其他""
)"),"真實支出")</f>
        <v>真實支出</v>
      </c>
      <c r="K1547" s="270">
        <f t="shared" si="2"/>
        <v>-15</v>
      </c>
      <c r="L1547">
        <f t="shared" si="3"/>
        <v>0</v>
      </c>
    </row>
    <row r="1548">
      <c r="A1548" s="107">
        <f>IFERROR(__xludf.DUMMYFUNCTION("""COMPUTED_VALUE"""),45717.0)</f>
        <v>45717</v>
      </c>
      <c r="B1548" t="str">
        <f>IFERROR(__xludf.DUMMYFUNCTION("""COMPUTED_VALUE"""),"[永春四號] [郭宗仁] 大租金")</f>
        <v>[永春四號] [郭宗仁] 大租金</v>
      </c>
      <c r="C1548" t="str">
        <f>IFERROR(__xludf.DUMMYFUNCTION("""COMPUTED_VALUE"""),"成本 - 大租金")</f>
        <v>成本 - 大租金</v>
      </c>
      <c r="D1548" s="270">
        <f>IFERROR(__xludf.DUMMYFUNCTION("""COMPUTED_VALUE"""),-17000.0)</f>
        <v>-17000</v>
      </c>
      <c r="E1548" t="str">
        <f>IFERROR(__xludf.DUMMYFUNCTION("""COMPUTED_VALUE"""),"台銀籌備帳戶")</f>
        <v>台銀籌備帳戶</v>
      </c>
      <c r="G1548" t="str">
        <f>IFERROR(__xludf.DUMMYFUNCTION("""COMPUTED_VALUE"""),"永春四號")</f>
        <v>永春四號</v>
      </c>
      <c r="H1548" s="106" t="str">
        <f t="shared" si="1"/>
        <v>2025-03</v>
      </c>
      <c r="I1548" s="271" t="str">
        <f>IFERROR(__xludf.DUMMYFUNCTION("""COMPUTED_VALUE"""),"貓狗企鵝")</f>
        <v>貓狗企鵝</v>
      </c>
      <c r="J1548" t="str">
        <f>IFERROR(__xludf.DUMMYFUNCTION("IFS(
  AND(REGEXMATCH(E1548, ""台銀籌備帳戶|玉山帳戶""), REGEXMATCH(C1548, ""薪資"")), ""分潤支出"",
  AND(REGEXMATCH(E1548, ""Ben帳戶|Elsa帳戶|Ben代墊|Ariel代墊|中信銀行共用""), REGEXMATCH(F1548, ""Ben帳戶|Elsa帳戶|Ben代墊|Ariel代墊|中信銀行共用"")), ""內部轉帳(忽略)"",
  AND(E1548&lt;&gt;"""", F1548&lt;&gt;"""", N"&amp;"OT(REGEXMATCH(C1548, ""薪資""))), ""內部轉帳(忽略)"",
  REGEXMATCH(C1548, ""薪資""), ""薪資變動(不計入)"",
  REGEXMATCH(C1548, ""押金""), ""押金往來"",
  AND(E1548&lt;&gt;"""", F1548=""""), ""真實支出"",
  AND(E1548="""", F1548&lt;&gt;""""), ""真實收入"",
  TRUE, ""其他""
)"),"真實支出")</f>
        <v>真實支出</v>
      </c>
      <c r="K1548" s="270">
        <f t="shared" si="2"/>
        <v>-17000</v>
      </c>
      <c r="L1548">
        <f t="shared" si="3"/>
        <v>0</v>
      </c>
    </row>
    <row r="1549">
      <c r="A1549" s="107">
        <f>IFERROR(__xludf.DUMMYFUNCTION("""COMPUTED_VALUE"""),45717.0)</f>
        <v>45717</v>
      </c>
      <c r="B1549" t="str">
        <f>IFERROR(__xludf.DUMMYFUNCTION("""COMPUTED_VALUE"""),"費用 - 匯費 對方行:700 後五碼:19509 (行號: 47)")</f>
        <v>費用 - 匯費 對方行:700 後五碼:19509 (行號: 47)</v>
      </c>
      <c r="C1549" t="str">
        <f>IFERROR(__xludf.DUMMYFUNCTION("""COMPUTED_VALUE"""),"費用 - 匯費")</f>
        <v>費用 - 匯費</v>
      </c>
      <c r="D1549" s="270">
        <f>IFERROR(__xludf.DUMMYFUNCTION("""COMPUTED_VALUE"""),-15.0)</f>
        <v>-15</v>
      </c>
      <c r="E1549" t="str">
        <f>IFERROR(__xludf.DUMMYFUNCTION("""COMPUTED_VALUE"""),"台銀籌備帳戶")</f>
        <v>台銀籌備帳戶</v>
      </c>
      <c r="H1549" s="106" t="str">
        <f t="shared" si="1"/>
        <v>2025-03</v>
      </c>
      <c r="I1549" s="271" t="str">
        <f>IFERROR(__xludf.DUMMYFUNCTION("""COMPUTED_VALUE"""),"貓狗企鵝")</f>
        <v>貓狗企鵝</v>
      </c>
      <c r="J1549" t="str">
        <f>IFERROR(__xludf.DUMMYFUNCTION("IFS(
  AND(REGEXMATCH(E1549, ""台銀籌備帳戶|玉山帳戶""), REGEXMATCH(C1549, ""薪資"")), ""分潤支出"",
  AND(REGEXMATCH(E1549, ""Ben帳戶|Elsa帳戶|Ben代墊|Ariel代墊|中信銀行共用""), REGEXMATCH(F1549, ""Ben帳戶|Elsa帳戶|Ben代墊|Ariel代墊|中信銀行共用"")), ""內部轉帳(忽略)"",
  AND(E1549&lt;&gt;"""", F1549&lt;&gt;"""", N"&amp;"OT(REGEXMATCH(C1549, ""薪資""))), ""內部轉帳(忽略)"",
  REGEXMATCH(C1549, ""薪資""), ""薪資變動(不計入)"",
  REGEXMATCH(C1549, ""押金""), ""押金往來"",
  AND(E1549&lt;&gt;"""", F1549=""""), ""真實支出"",
  AND(E1549="""", F1549&lt;&gt;""""), ""真實收入"",
  TRUE, ""其他""
)"),"真實支出")</f>
        <v>真實支出</v>
      </c>
      <c r="K1549" s="270">
        <f t="shared" si="2"/>
        <v>-15</v>
      </c>
      <c r="L1549">
        <f t="shared" si="3"/>
        <v>0</v>
      </c>
    </row>
    <row r="1550">
      <c r="A1550" s="107">
        <f>IFERROR(__xludf.DUMMYFUNCTION("""COMPUTED_VALUE"""),45717.0)</f>
        <v>45717</v>
      </c>
      <c r="B1550" t="str">
        <f>IFERROR(__xludf.DUMMYFUNCTION("""COMPUTED_VALUE"""),"[龍江229] [游為傑] 大租金")</f>
        <v>[龍江229] [游為傑] 大租金</v>
      </c>
      <c r="C1550" t="str">
        <f>IFERROR(__xludf.DUMMYFUNCTION("""COMPUTED_VALUE"""),"成本 - 大租金")</f>
        <v>成本 - 大租金</v>
      </c>
      <c r="D1550" s="270">
        <f>IFERROR(__xludf.DUMMYFUNCTION("""COMPUTED_VALUE"""),-13500.0)</f>
        <v>-13500</v>
      </c>
      <c r="E1550" t="str">
        <f>IFERROR(__xludf.DUMMYFUNCTION("""COMPUTED_VALUE"""),"台銀籌備帳戶")</f>
        <v>台銀籌備帳戶</v>
      </c>
      <c r="G1550" t="str">
        <f>IFERROR(__xludf.DUMMYFUNCTION("""COMPUTED_VALUE"""),"龍江229")</f>
        <v>龍江229</v>
      </c>
      <c r="H1550" s="106" t="str">
        <f t="shared" si="1"/>
        <v>2025-03</v>
      </c>
      <c r="I1550" s="271" t="str">
        <f>IFERROR(__xludf.DUMMYFUNCTION("""COMPUTED_VALUE"""),"貓狗企鵝")</f>
        <v>貓狗企鵝</v>
      </c>
      <c r="J1550" t="str">
        <f>IFERROR(__xludf.DUMMYFUNCTION("IFS(
  AND(REGEXMATCH(E1550, ""台銀籌備帳戶|玉山帳戶""), REGEXMATCH(C1550, ""薪資"")), ""分潤支出"",
  AND(REGEXMATCH(E1550, ""Ben帳戶|Elsa帳戶|Ben代墊|Ariel代墊|中信銀行共用""), REGEXMATCH(F1550, ""Ben帳戶|Elsa帳戶|Ben代墊|Ariel代墊|中信銀行共用"")), ""內部轉帳(忽略)"",
  AND(E1550&lt;&gt;"""", F1550&lt;&gt;"""", N"&amp;"OT(REGEXMATCH(C1550, ""薪資""))), ""內部轉帳(忽略)"",
  REGEXMATCH(C1550, ""薪資""), ""薪資變動(不計入)"",
  REGEXMATCH(C1550, ""押金""), ""押金往來"",
  AND(E1550&lt;&gt;"""", F1550=""""), ""真實支出"",
  AND(E1550="""", F1550&lt;&gt;""""), ""真實收入"",
  TRUE, ""其他""
)"),"真實支出")</f>
        <v>真實支出</v>
      </c>
      <c r="K1550" s="270">
        <f t="shared" si="2"/>
        <v>-13500</v>
      </c>
      <c r="L1550">
        <f t="shared" si="3"/>
        <v>0</v>
      </c>
    </row>
    <row r="1551">
      <c r="A1551" s="107">
        <f>IFERROR(__xludf.DUMMYFUNCTION("""COMPUTED_VALUE"""),45717.0)</f>
        <v>45717</v>
      </c>
      <c r="B1551" t="str">
        <f>IFERROR(__xludf.DUMMYFUNCTION("""COMPUTED_VALUE"""),"費用 - 匯費 對方行:012 後五碼:74779 (行號: 48)")</f>
        <v>費用 - 匯費 對方行:012 後五碼:74779 (行號: 48)</v>
      </c>
      <c r="C1551" t="str">
        <f>IFERROR(__xludf.DUMMYFUNCTION("""COMPUTED_VALUE"""),"費用 - 匯費")</f>
        <v>費用 - 匯費</v>
      </c>
      <c r="D1551" s="270">
        <f>IFERROR(__xludf.DUMMYFUNCTION("""COMPUTED_VALUE"""),-15.0)</f>
        <v>-15</v>
      </c>
      <c r="E1551" t="str">
        <f>IFERROR(__xludf.DUMMYFUNCTION("""COMPUTED_VALUE"""),"台銀籌備帳戶")</f>
        <v>台銀籌備帳戶</v>
      </c>
      <c r="H1551" s="106" t="str">
        <f t="shared" si="1"/>
        <v>2025-03</v>
      </c>
      <c r="I1551" s="271" t="str">
        <f>IFERROR(__xludf.DUMMYFUNCTION("""COMPUTED_VALUE"""),"貓狗企鵝")</f>
        <v>貓狗企鵝</v>
      </c>
      <c r="J1551" t="str">
        <f>IFERROR(__xludf.DUMMYFUNCTION("IFS(
  AND(REGEXMATCH(E1551, ""台銀籌備帳戶|玉山帳戶""), REGEXMATCH(C1551, ""薪資"")), ""分潤支出"",
  AND(REGEXMATCH(E1551, ""Ben帳戶|Elsa帳戶|Ben代墊|Ariel代墊|中信銀行共用""), REGEXMATCH(F1551, ""Ben帳戶|Elsa帳戶|Ben代墊|Ariel代墊|中信銀行共用"")), ""內部轉帳(忽略)"",
  AND(E1551&lt;&gt;"""", F1551&lt;&gt;"""", N"&amp;"OT(REGEXMATCH(C1551, ""薪資""))), ""內部轉帳(忽略)"",
  REGEXMATCH(C1551, ""薪資""), ""薪資變動(不計入)"",
  REGEXMATCH(C1551, ""押金""), ""押金往來"",
  AND(E1551&lt;&gt;"""", F1551=""""), ""真實支出"",
  AND(E1551="""", F1551&lt;&gt;""""), ""真實收入"",
  TRUE, ""其他""
)"),"真實支出")</f>
        <v>真實支出</v>
      </c>
      <c r="K1551" s="270">
        <f t="shared" si="2"/>
        <v>-15</v>
      </c>
      <c r="L1551">
        <f t="shared" si="3"/>
        <v>0</v>
      </c>
    </row>
    <row r="1552">
      <c r="A1552" s="107">
        <f>IFERROR(__xludf.DUMMYFUNCTION("""COMPUTED_VALUE"""),45717.0)</f>
        <v>45717</v>
      </c>
      <c r="B1552" t="str">
        <f>IFERROR(__xludf.DUMMYFUNCTION("""COMPUTED_VALUE"""),"[市府爺爺家] [常永年] 大租金")</f>
        <v>[市府爺爺家] [常永年] 大租金</v>
      </c>
      <c r="C1552" t="str">
        <f>IFERROR(__xludf.DUMMYFUNCTION("""COMPUTED_VALUE"""),"成本 - 大租金")</f>
        <v>成本 - 大租金</v>
      </c>
      <c r="D1552" s="270">
        <f>IFERROR(__xludf.DUMMYFUNCTION("""COMPUTED_VALUE"""),-12000.0)</f>
        <v>-12000</v>
      </c>
      <c r="E1552" t="str">
        <f>IFERROR(__xludf.DUMMYFUNCTION("""COMPUTED_VALUE"""),"台銀籌備帳戶")</f>
        <v>台銀籌備帳戶</v>
      </c>
      <c r="G1552" t="str">
        <f>IFERROR(__xludf.DUMMYFUNCTION("""COMPUTED_VALUE"""),"市府爺爺家")</f>
        <v>市府爺爺家</v>
      </c>
      <c r="H1552" s="106" t="str">
        <f t="shared" si="1"/>
        <v>2025-03</v>
      </c>
      <c r="I1552" s="271" t="str">
        <f>IFERROR(__xludf.DUMMYFUNCTION("""COMPUTED_VALUE"""),"貓狗企鵝")</f>
        <v>貓狗企鵝</v>
      </c>
      <c r="J1552" t="str">
        <f>IFERROR(__xludf.DUMMYFUNCTION("IFS(
  AND(REGEXMATCH(E1552, ""台銀籌備帳戶|玉山帳戶""), REGEXMATCH(C1552, ""薪資"")), ""分潤支出"",
  AND(REGEXMATCH(E1552, ""Ben帳戶|Elsa帳戶|Ben代墊|Ariel代墊|中信銀行共用""), REGEXMATCH(F1552, ""Ben帳戶|Elsa帳戶|Ben代墊|Ariel代墊|中信銀行共用"")), ""內部轉帳(忽略)"",
  AND(E1552&lt;&gt;"""", F1552&lt;&gt;"""", N"&amp;"OT(REGEXMATCH(C1552, ""薪資""))), ""內部轉帳(忽略)"",
  REGEXMATCH(C1552, ""薪資""), ""薪資變動(不計入)"",
  REGEXMATCH(C1552, ""押金""), ""押金往來"",
  AND(E1552&lt;&gt;"""", F1552=""""), ""真實支出"",
  AND(E1552="""", F1552&lt;&gt;""""), ""真實收入"",
  TRUE, ""其他""
)"),"真實支出")</f>
        <v>真實支出</v>
      </c>
      <c r="K1552" s="270">
        <f t="shared" si="2"/>
        <v>-12000</v>
      </c>
      <c r="L1552">
        <f t="shared" si="3"/>
        <v>0</v>
      </c>
    </row>
    <row r="1553">
      <c r="A1553" s="107">
        <f>IFERROR(__xludf.DUMMYFUNCTION("""COMPUTED_VALUE"""),45717.0)</f>
        <v>45717</v>
      </c>
      <c r="B1553" t="str">
        <f>IFERROR(__xludf.DUMMYFUNCTION("""COMPUTED_VALUE"""),"費用 - 匯費 對方行:052 後五碼:22609 (行號: 49)")</f>
        <v>費用 - 匯費 對方行:052 後五碼:22609 (行號: 49)</v>
      </c>
      <c r="C1553" t="str">
        <f>IFERROR(__xludf.DUMMYFUNCTION("""COMPUTED_VALUE"""),"費用 - 匯費")</f>
        <v>費用 - 匯費</v>
      </c>
      <c r="D1553" s="270">
        <f>IFERROR(__xludf.DUMMYFUNCTION("""COMPUTED_VALUE"""),-15.0)</f>
        <v>-15</v>
      </c>
      <c r="E1553" t="str">
        <f>IFERROR(__xludf.DUMMYFUNCTION("""COMPUTED_VALUE"""),"台銀籌備帳戶")</f>
        <v>台銀籌備帳戶</v>
      </c>
      <c r="H1553" s="106" t="str">
        <f t="shared" si="1"/>
        <v>2025-03</v>
      </c>
      <c r="I1553" s="271" t="str">
        <f>IFERROR(__xludf.DUMMYFUNCTION("""COMPUTED_VALUE"""),"貓狗企鵝")</f>
        <v>貓狗企鵝</v>
      </c>
      <c r="J1553" t="str">
        <f>IFERROR(__xludf.DUMMYFUNCTION("IFS(
  AND(REGEXMATCH(E1553, ""台銀籌備帳戶|玉山帳戶""), REGEXMATCH(C1553, ""薪資"")), ""分潤支出"",
  AND(REGEXMATCH(E1553, ""Ben帳戶|Elsa帳戶|Ben代墊|Ariel代墊|中信銀行共用""), REGEXMATCH(F1553, ""Ben帳戶|Elsa帳戶|Ben代墊|Ariel代墊|中信銀行共用"")), ""內部轉帳(忽略)"",
  AND(E1553&lt;&gt;"""", F1553&lt;&gt;"""", N"&amp;"OT(REGEXMATCH(C1553, ""薪資""))), ""內部轉帳(忽略)"",
  REGEXMATCH(C1553, ""薪資""), ""薪資變動(不計入)"",
  REGEXMATCH(C1553, ""押金""), ""押金往來"",
  AND(E1553&lt;&gt;"""", F1553=""""), ""真實支出"",
  AND(E1553="""", F1553&lt;&gt;""""), ""真實收入"",
  TRUE, ""其他""
)"),"真實支出")</f>
        <v>真實支出</v>
      </c>
      <c r="K1553" s="270">
        <f t="shared" si="2"/>
        <v>-15</v>
      </c>
      <c r="L1553">
        <f t="shared" si="3"/>
        <v>0</v>
      </c>
    </row>
    <row r="1554">
      <c r="A1554" s="107">
        <f>IFERROR(__xludf.DUMMYFUNCTION("""COMPUTED_VALUE"""),45717.0)</f>
        <v>45717</v>
      </c>
      <c r="B1554" t="str">
        <f>IFERROR(__xludf.DUMMYFUNCTION("""COMPUTED_VALUE"""),"[中山北Feli家] [陳玉蘭] 大租金")</f>
        <v>[中山北Feli家] [陳玉蘭] 大租金</v>
      </c>
      <c r="C1554" t="str">
        <f>IFERROR(__xludf.DUMMYFUNCTION("""COMPUTED_VALUE"""),"成本 - 大租金")</f>
        <v>成本 - 大租金</v>
      </c>
      <c r="D1554" s="270">
        <f>IFERROR(__xludf.DUMMYFUNCTION("""COMPUTED_VALUE"""),-18000.0)</f>
        <v>-18000</v>
      </c>
      <c r="E1554" t="str">
        <f>IFERROR(__xludf.DUMMYFUNCTION("""COMPUTED_VALUE"""),"台銀籌備帳戶")</f>
        <v>台銀籌備帳戶</v>
      </c>
      <c r="G1554" t="str">
        <f>IFERROR(__xludf.DUMMYFUNCTION("""COMPUTED_VALUE"""),"中山北Feli家")</f>
        <v>中山北Feli家</v>
      </c>
      <c r="H1554" s="106" t="str">
        <f t="shared" si="1"/>
        <v>2025-03</v>
      </c>
      <c r="I1554" s="271" t="str">
        <f>IFERROR(__xludf.DUMMYFUNCTION("""COMPUTED_VALUE"""),"貓狗企鵝")</f>
        <v>貓狗企鵝</v>
      </c>
      <c r="J1554" t="str">
        <f>IFERROR(__xludf.DUMMYFUNCTION("IFS(
  AND(REGEXMATCH(E1554, ""台銀籌備帳戶|玉山帳戶""), REGEXMATCH(C1554, ""薪資"")), ""分潤支出"",
  AND(REGEXMATCH(E1554, ""Ben帳戶|Elsa帳戶|Ben代墊|Ariel代墊|中信銀行共用""), REGEXMATCH(F1554, ""Ben帳戶|Elsa帳戶|Ben代墊|Ariel代墊|中信銀行共用"")), ""內部轉帳(忽略)"",
  AND(E1554&lt;&gt;"""", F1554&lt;&gt;"""", N"&amp;"OT(REGEXMATCH(C1554, ""薪資""))), ""內部轉帳(忽略)"",
  REGEXMATCH(C1554, ""薪資""), ""薪資變動(不計入)"",
  REGEXMATCH(C1554, ""押金""), ""押金往來"",
  AND(E1554&lt;&gt;"""", F1554=""""), ""真實支出"",
  AND(E1554="""", F1554&lt;&gt;""""), ""真實收入"",
  TRUE, ""其他""
)"),"真實支出")</f>
        <v>真實支出</v>
      </c>
      <c r="K1554" s="270">
        <f t="shared" si="2"/>
        <v>-18000</v>
      </c>
      <c r="L1554">
        <f t="shared" si="3"/>
        <v>0</v>
      </c>
    </row>
    <row r="1555">
      <c r="A1555" s="107">
        <f>IFERROR(__xludf.DUMMYFUNCTION("""COMPUTED_VALUE"""),45717.0)</f>
        <v>45717</v>
      </c>
      <c r="B1555" t="str">
        <f>IFERROR(__xludf.DUMMYFUNCTION("""COMPUTED_VALUE"""),"費用 - 匯費 對方行:013 後五碼:20652 (行號: 50)")</f>
        <v>費用 - 匯費 對方行:013 後五碼:20652 (行號: 50)</v>
      </c>
      <c r="C1555" t="str">
        <f>IFERROR(__xludf.DUMMYFUNCTION("""COMPUTED_VALUE"""),"費用 - 匯費")</f>
        <v>費用 - 匯費</v>
      </c>
      <c r="D1555" s="270">
        <f>IFERROR(__xludf.DUMMYFUNCTION("""COMPUTED_VALUE"""),-15.0)</f>
        <v>-15</v>
      </c>
      <c r="E1555" t="str">
        <f>IFERROR(__xludf.DUMMYFUNCTION("""COMPUTED_VALUE"""),"台銀籌備帳戶")</f>
        <v>台銀籌備帳戶</v>
      </c>
      <c r="H1555" s="106" t="str">
        <f t="shared" si="1"/>
        <v>2025-03</v>
      </c>
      <c r="I1555" s="271" t="str">
        <f>IFERROR(__xludf.DUMMYFUNCTION("""COMPUTED_VALUE"""),"貓狗企鵝")</f>
        <v>貓狗企鵝</v>
      </c>
      <c r="J1555" t="str">
        <f>IFERROR(__xludf.DUMMYFUNCTION("IFS(
  AND(REGEXMATCH(E1555, ""台銀籌備帳戶|玉山帳戶""), REGEXMATCH(C1555, ""薪資"")), ""分潤支出"",
  AND(REGEXMATCH(E1555, ""Ben帳戶|Elsa帳戶|Ben代墊|Ariel代墊|中信銀行共用""), REGEXMATCH(F1555, ""Ben帳戶|Elsa帳戶|Ben代墊|Ariel代墊|中信銀行共用"")), ""內部轉帳(忽略)"",
  AND(E1555&lt;&gt;"""", F1555&lt;&gt;"""", N"&amp;"OT(REGEXMATCH(C1555, ""薪資""))), ""內部轉帳(忽略)"",
  REGEXMATCH(C1555, ""薪資""), ""薪資變動(不計入)"",
  REGEXMATCH(C1555, ""押金""), ""押金往來"",
  AND(E1555&lt;&gt;"""", F1555=""""), ""真實支出"",
  AND(E1555="""", F1555&lt;&gt;""""), ""真實收入"",
  TRUE, ""其他""
)"),"真實支出")</f>
        <v>真實支出</v>
      </c>
      <c r="K1555" s="270">
        <f t="shared" si="2"/>
        <v>-15</v>
      </c>
      <c r="L1555">
        <f t="shared" si="3"/>
        <v>0</v>
      </c>
    </row>
    <row r="1556">
      <c r="A1556" s="107">
        <f>IFERROR(__xludf.DUMMYFUNCTION("""COMPUTED_VALUE"""),45717.0)</f>
        <v>45717</v>
      </c>
      <c r="B1556" t="str">
        <f>IFERROR(__xludf.DUMMYFUNCTION("""COMPUTED_VALUE"""),"[景安2分鐘] [王逸荃] 大租金")</f>
        <v>[景安2分鐘] [王逸荃] 大租金</v>
      </c>
      <c r="C1556" t="str">
        <f>IFERROR(__xludf.DUMMYFUNCTION("""COMPUTED_VALUE"""),"成本 - 大租金")</f>
        <v>成本 - 大租金</v>
      </c>
      <c r="D1556" s="270">
        <f>IFERROR(__xludf.DUMMYFUNCTION("""COMPUTED_VALUE"""),-12500.0)</f>
        <v>-12500</v>
      </c>
      <c r="E1556" t="str">
        <f>IFERROR(__xludf.DUMMYFUNCTION("""COMPUTED_VALUE"""),"台銀籌備帳戶")</f>
        <v>台銀籌備帳戶</v>
      </c>
      <c r="G1556" t="str">
        <f>IFERROR(__xludf.DUMMYFUNCTION("""COMPUTED_VALUE"""),"景安2分鐘")</f>
        <v>景安2分鐘</v>
      </c>
      <c r="H1556" s="106" t="str">
        <f t="shared" si="1"/>
        <v>2025-03</v>
      </c>
      <c r="I1556" s="271" t="str">
        <f>IFERROR(__xludf.DUMMYFUNCTION("""COMPUTED_VALUE"""),"貓狗企鵝")</f>
        <v>貓狗企鵝</v>
      </c>
      <c r="J1556" t="str">
        <f>IFERROR(__xludf.DUMMYFUNCTION("IFS(
  AND(REGEXMATCH(E1556, ""台銀籌備帳戶|玉山帳戶""), REGEXMATCH(C1556, ""薪資"")), ""分潤支出"",
  AND(REGEXMATCH(E1556, ""Ben帳戶|Elsa帳戶|Ben代墊|Ariel代墊|中信銀行共用""), REGEXMATCH(F1556, ""Ben帳戶|Elsa帳戶|Ben代墊|Ariel代墊|中信銀行共用"")), ""內部轉帳(忽略)"",
  AND(E1556&lt;&gt;"""", F1556&lt;&gt;"""", N"&amp;"OT(REGEXMATCH(C1556, ""薪資""))), ""內部轉帳(忽略)"",
  REGEXMATCH(C1556, ""薪資""), ""薪資變動(不計入)"",
  REGEXMATCH(C1556, ""押金""), ""押金往來"",
  AND(E1556&lt;&gt;"""", F1556=""""), ""真實支出"",
  AND(E1556="""", F1556&lt;&gt;""""), ""真實收入"",
  TRUE, ""其他""
)"),"真實支出")</f>
        <v>真實支出</v>
      </c>
      <c r="K1556" s="270">
        <f t="shared" si="2"/>
        <v>-12500</v>
      </c>
      <c r="L1556">
        <f t="shared" si="3"/>
        <v>0</v>
      </c>
    </row>
    <row r="1557">
      <c r="A1557" s="107">
        <f>IFERROR(__xludf.DUMMYFUNCTION("""COMPUTED_VALUE"""),45717.0)</f>
        <v>45717</v>
      </c>
      <c r="B1557" t="str">
        <f>IFERROR(__xludf.DUMMYFUNCTION("""COMPUTED_VALUE"""),"費用 - 匯費 對方行:822 後五碼:06708 (行號: 51)")</f>
        <v>費用 - 匯費 對方行:822 後五碼:06708 (行號: 51)</v>
      </c>
      <c r="C1557" t="str">
        <f>IFERROR(__xludf.DUMMYFUNCTION("""COMPUTED_VALUE"""),"費用 - 匯費")</f>
        <v>費用 - 匯費</v>
      </c>
      <c r="D1557" s="270">
        <f>IFERROR(__xludf.DUMMYFUNCTION("""COMPUTED_VALUE"""),-15.0)</f>
        <v>-15</v>
      </c>
      <c r="E1557" t="str">
        <f>IFERROR(__xludf.DUMMYFUNCTION("""COMPUTED_VALUE"""),"台銀籌備帳戶")</f>
        <v>台銀籌備帳戶</v>
      </c>
      <c r="H1557" s="106" t="str">
        <f t="shared" si="1"/>
        <v>2025-03</v>
      </c>
      <c r="I1557" s="271" t="str">
        <f>IFERROR(__xludf.DUMMYFUNCTION("""COMPUTED_VALUE"""),"貓狗企鵝")</f>
        <v>貓狗企鵝</v>
      </c>
      <c r="J1557" t="str">
        <f>IFERROR(__xludf.DUMMYFUNCTION("IFS(
  AND(REGEXMATCH(E1557, ""台銀籌備帳戶|玉山帳戶""), REGEXMATCH(C1557, ""薪資"")), ""分潤支出"",
  AND(REGEXMATCH(E1557, ""Ben帳戶|Elsa帳戶|Ben代墊|Ariel代墊|中信銀行共用""), REGEXMATCH(F1557, ""Ben帳戶|Elsa帳戶|Ben代墊|Ariel代墊|中信銀行共用"")), ""內部轉帳(忽略)"",
  AND(E1557&lt;&gt;"""", F1557&lt;&gt;"""", N"&amp;"OT(REGEXMATCH(C1557, ""薪資""))), ""內部轉帳(忽略)"",
  REGEXMATCH(C1557, ""薪資""), ""薪資變動(不計入)"",
  REGEXMATCH(C1557, ""押金""), ""押金往來"",
  AND(E1557&lt;&gt;"""", F1557=""""), ""真實支出"",
  AND(E1557="""", F1557&lt;&gt;""""), ""真實收入"",
  TRUE, ""其他""
)"),"真實支出")</f>
        <v>真實支出</v>
      </c>
      <c r="K1557" s="270">
        <f t="shared" si="2"/>
        <v>-15</v>
      </c>
      <c r="L1557">
        <f t="shared" si="3"/>
        <v>0</v>
      </c>
    </row>
    <row r="1558">
      <c r="A1558" s="107">
        <f>IFERROR(__xludf.DUMMYFUNCTION("""COMPUTED_VALUE"""),45717.0)</f>
        <v>45717</v>
      </c>
      <c r="B1558" t="str">
        <f>IFERROR(__xludf.DUMMYFUNCTION("""COMPUTED_VALUE"""),"[金龍帽子先生] [郭娟伶] 大租金")</f>
        <v>[金龍帽子先生] [郭娟伶] 大租金</v>
      </c>
      <c r="C1558" t="str">
        <f>IFERROR(__xludf.DUMMYFUNCTION("""COMPUTED_VALUE"""),"成本 - 大租金")</f>
        <v>成本 - 大租金</v>
      </c>
      <c r="D1558" s="270">
        <f>IFERROR(__xludf.DUMMYFUNCTION("""COMPUTED_VALUE"""),-17750.0)</f>
        <v>-17750</v>
      </c>
      <c r="E1558" t="str">
        <f>IFERROR(__xludf.DUMMYFUNCTION("""COMPUTED_VALUE"""),"台銀籌備帳戶")</f>
        <v>台銀籌備帳戶</v>
      </c>
      <c r="G1558" t="str">
        <f>IFERROR(__xludf.DUMMYFUNCTION("""COMPUTED_VALUE"""),"金龍帽子先生")</f>
        <v>金龍帽子先生</v>
      </c>
      <c r="H1558" s="106" t="str">
        <f t="shared" si="1"/>
        <v>2025-03</v>
      </c>
      <c r="I1558" s="271" t="str">
        <f>IFERROR(__xludf.DUMMYFUNCTION("""COMPUTED_VALUE"""),"貓狗企鵝")</f>
        <v>貓狗企鵝</v>
      </c>
      <c r="J1558" t="str">
        <f>IFERROR(__xludf.DUMMYFUNCTION("IFS(
  AND(REGEXMATCH(E1558, ""台銀籌備帳戶|玉山帳戶""), REGEXMATCH(C1558, ""薪資"")), ""分潤支出"",
  AND(REGEXMATCH(E1558, ""Ben帳戶|Elsa帳戶|Ben代墊|Ariel代墊|中信銀行共用""), REGEXMATCH(F1558, ""Ben帳戶|Elsa帳戶|Ben代墊|Ariel代墊|中信銀行共用"")), ""內部轉帳(忽略)"",
  AND(E1558&lt;&gt;"""", F1558&lt;&gt;"""", N"&amp;"OT(REGEXMATCH(C1558, ""薪資""))), ""內部轉帳(忽略)"",
  REGEXMATCH(C1558, ""薪資""), ""薪資變動(不計入)"",
  REGEXMATCH(C1558, ""押金""), ""押金往來"",
  AND(E1558&lt;&gt;"""", F1558=""""), ""真實支出"",
  AND(E1558="""", F1558&lt;&gt;""""), ""真實收入"",
  TRUE, ""其他""
)"),"真實支出")</f>
        <v>真實支出</v>
      </c>
      <c r="K1558" s="270">
        <f t="shared" si="2"/>
        <v>-17750</v>
      </c>
      <c r="L1558">
        <f t="shared" si="3"/>
        <v>0</v>
      </c>
    </row>
    <row r="1559">
      <c r="A1559" s="107">
        <f>IFERROR(__xludf.DUMMYFUNCTION("""COMPUTED_VALUE"""),45717.0)</f>
        <v>45717</v>
      </c>
      <c r="B1559" t="str">
        <f>IFERROR(__xludf.DUMMYFUNCTION("""COMPUTED_VALUE"""),"費用 - 匯費 對方行:053 後五碼:05202 (行號: 52)")</f>
        <v>費用 - 匯費 對方行:053 後五碼:05202 (行號: 52)</v>
      </c>
      <c r="C1559" t="str">
        <f>IFERROR(__xludf.DUMMYFUNCTION("""COMPUTED_VALUE"""),"費用 - 匯費")</f>
        <v>費用 - 匯費</v>
      </c>
      <c r="D1559" s="270">
        <f>IFERROR(__xludf.DUMMYFUNCTION("""COMPUTED_VALUE"""),-15.0)</f>
        <v>-15</v>
      </c>
      <c r="E1559" t="str">
        <f>IFERROR(__xludf.DUMMYFUNCTION("""COMPUTED_VALUE"""),"台銀籌備帳戶")</f>
        <v>台銀籌備帳戶</v>
      </c>
      <c r="H1559" s="106" t="str">
        <f t="shared" si="1"/>
        <v>2025-03</v>
      </c>
      <c r="I1559" s="271" t="str">
        <f>IFERROR(__xludf.DUMMYFUNCTION("""COMPUTED_VALUE"""),"貓狗企鵝")</f>
        <v>貓狗企鵝</v>
      </c>
      <c r="J1559" t="str">
        <f>IFERROR(__xludf.DUMMYFUNCTION("IFS(
  AND(REGEXMATCH(E1559, ""台銀籌備帳戶|玉山帳戶""), REGEXMATCH(C1559, ""薪資"")), ""分潤支出"",
  AND(REGEXMATCH(E1559, ""Ben帳戶|Elsa帳戶|Ben代墊|Ariel代墊|中信銀行共用""), REGEXMATCH(F1559, ""Ben帳戶|Elsa帳戶|Ben代墊|Ariel代墊|中信銀行共用"")), ""內部轉帳(忽略)"",
  AND(E1559&lt;&gt;"""", F1559&lt;&gt;"""", N"&amp;"OT(REGEXMATCH(C1559, ""薪資""))), ""內部轉帳(忽略)"",
  REGEXMATCH(C1559, ""薪資""), ""薪資變動(不計入)"",
  REGEXMATCH(C1559, ""押金""), ""押金往來"",
  AND(E1559&lt;&gt;"""", F1559=""""), ""真實支出"",
  AND(E1559="""", F1559&lt;&gt;""""), ""真實收入"",
  TRUE, ""其他""
)"),"真實支出")</f>
        <v>真實支出</v>
      </c>
      <c r="K1559" s="270">
        <f t="shared" si="2"/>
        <v>-15</v>
      </c>
      <c r="L1559">
        <f t="shared" si="3"/>
        <v>0</v>
      </c>
    </row>
    <row r="1560">
      <c r="A1560" s="107">
        <f>IFERROR(__xludf.DUMMYFUNCTION("""COMPUTED_VALUE"""),45717.0)</f>
        <v>45717</v>
      </c>
      <c r="B1560" t="str">
        <f>IFERROR(__xludf.DUMMYFUNCTION("""COMPUTED_VALUE"""),"[大湖山莊] [陳彩霞] 大租金")</f>
        <v>[大湖山莊] [陳彩霞] 大租金</v>
      </c>
      <c r="C1560" t="str">
        <f>IFERROR(__xludf.DUMMYFUNCTION("""COMPUTED_VALUE"""),"成本 - 大租金")</f>
        <v>成本 - 大租金</v>
      </c>
      <c r="D1560" s="270">
        <f>IFERROR(__xludf.DUMMYFUNCTION("""COMPUTED_VALUE"""),-19400.0)</f>
        <v>-19400</v>
      </c>
      <c r="E1560" t="str">
        <f>IFERROR(__xludf.DUMMYFUNCTION("""COMPUTED_VALUE"""),"台銀籌備帳戶")</f>
        <v>台銀籌備帳戶</v>
      </c>
      <c r="G1560" t="str">
        <f>IFERROR(__xludf.DUMMYFUNCTION("""COMPUTED_VALUE"""),"大湖山莊")</f>
        <v>大湖山莊</v>
      </c>
      <c r="H1560" s="106" t="str">
        <f t="shared" si="1"/>
        <v>2025-03</v>
      </c>
      <c r="I1560" s="271" t="str">
        <f>IFERROR(__xludf.DUMMYFUNCTION("""COMPUTED_VALUE"""),"貓狗企鵝")</f>
        <v>貓狗企鵝</v>
      </c>
      <c r="J1560" t="str">
        <f>IFERROR(__xludf.DUMMYFUNCTION("IFS(
  AND(REGEXMATCH(E1560, ""台銀籌備帳戶|玉山帳戶""), REGEXMATCH(C1560, ""薪資"")), ""分潤支出"",
  AND(REGEXMATCH(E1560, ""Ben帳戶|Elsa帳戶|Ben代墊|Ariel代墊|中信銀行共用""), REGEXMATCH(F1560, ""Ben帳戶|Elsa帳戶|Ben代墊|Ariel代墊|中信銀行共用"")), ""內部轉帳(忽略)"",
  AND(E1560&lt;&gt;"""", F1560&lt;&gt;"""", N"&amp;"OT(REGEXMATCH(C1560, ""薪資""))), ""內部轉帳(忽略)"",
  REGEXMATCH(C1560, ""薪資""), ""薪資變動(不計入)"",
  REGEXMATCH(C1560, ""押金""), ""押金往來"",
  AND(E1560&lt;&gt;"""", F1560=""""), ""真實支出"",
  AND(E1560="""", F1560&lt;&gt;""""), ""真實收入"",
  TRUE, ""其他""
)"),"真實支出")</f>
        <v>真實支出</v>
      </c>
      <c r="K1560" s="270">
        <f t="shared" si="2"/>
        <v>-19400</v>
      </c>
      <c r="L1560">
        <f t="shared" si="3"/>
        <v>0</v>
      </c>
    </row>
    <row r="1561">
      <c r="A1561" s="107">
        <f>IFERROR(__xludf.DUMMYFUNCTION("""COMPUTED_VALUE"""),45717.0)</f>
        <v>45717</v>
      </c>
      <c r="B1561" t="str">
        <f>IFERROR(__xludf.DUMMYFUNCTION("""COMPUTED_VALUE"""),"費用 - 匯費 對方行:807 後五碼:06659 (行號: 53)")</f>
        <v>費用 - 匯費 對方行:807 後五碼:06659 (行號: 53)</v>
      </c>
      <c r="C1561" t="str">
        <f>IFERROR(__xludf.DUMMYFUNCTION("""COMPUTED_VALUE"""),"費用 - 匯費")</f>
        <v>費用 - 匯費</v>
      </c>
      <c r="D1561" s="270">
        <f>IFERROR(__xludf.DUMMYFUNCTION("""COMPUTED_VALUE"""),-15.0)</f>
        <v>-15</v>
      </c>
      <c r="E1561" t="str">
        <f>IFERROR(__xludf.DUMMYFUNCTION("""COMPUTED_VALUE"""),"台銀籌備帳戶")</f>
        <v>台銀籌備帳戶</v>
      </c>
      <c r="H1561" s="106" t="str">
        <f t="shared" si="1"/>
        <v>2025-03</v>
      </c>
      <c r="I1561" s="271" t="str">
        <f>IFERROR(__xludf.DUMMYFUNCTION("""COMPUTED_VALUE"""),"貓狗企鵝")</f>
        <v>貓狗企鵝</v>
      </c>
      <c r="J1561" t="str">
        <f>IFERROR(__xludf.DUMMYFUNCTION("IFS(
  AND(REGEXMATCH(E1561, ""台銀籌備帳戶|玉山帳戶""), REGEXMATCH(C1561, ""薪資"")), ""分潤支出"",
  AND(REGEXMATCH(E1561, ""Ben帳戶|Elsa帳戶|Ben代墊|Ariel代墊|中信銀行共用""), REGEXMATCH(F1561, ""Ben帳戶|Elsa帳戶|Ben代墊|Ariel代墊|中信銀行共用"")), ""內部轉帳(忽略)"",
  AND(E1561&lt;&gt;"""", F1561&lt;&gt;"""", N"&amp;"OT(REGEXMATCH(C1561, ""薪資""))), ""內部轉帳(忽略)"",
  REGEXMATCH(C1561, ""薪資""), ""薪資變動(不計入)"",
  REGEXMATCH(C1561, ""押金""), ""押金往來"",
  AND(E1561&lt;&gt;"""", F1561=""""), ""真實支出"",
  AND(E1561="""", F1561&lt;&gt;""""), ""真實收入"",
  TRUE, ""其他""
)"),"真實支出")</f>
        <v>真實支出</v>
      </c>
      <c r="K1561" s="270">
        <f t="shared" si="2"/>
        <v>-15</v>
      </c>
      <c r="L1561">
        <f t="shared" si="3"/>
        <v>0</v>
      </c>
    </row>
    <row r="1562">
      <c r="A1562" s="107">
        <f>IFERROR(__xludf.DUMMYFUNCTION("""COMPUTED_VALUE"""),45717.0)</f>
        <v>45717</v>
      </c>
      <c r="B1562" t="str">
        <f>IFERROR(__xludf.DUMMYFUNCTION("""COMPUTED_VALUE"""),"[哈拉對面] [陳哲聰] 大租金")</f>
        <v>[哈拉對面] [陳哲聰] 大租金</v>
      </c>
      <c r="C1562" t="str">
        <f>IFERROR(__xludf.DUMMYFUNCTION("""COMPUTED_VALUE"""),"成本 - 大租金")</f>
        <v>成本 - 大租金</v>
      </c>
      <c r="D1562" s="270">
        <f>IFERROR(__xludf.DUMMYFUNCTION("""COMPUTED_VALUE"""),-13000.0)</f>
        <v>-13000</v>
      </c>
      <c r="E1562" t="str">
        <f>IFERROR(__xludf.DUMMYFUNCTION("""COMPUTED_VALUE"""),"台銀籌備帳戶")</f>
        <v>台銀籌備帳戶</v>
      </c>
      <c r="G1562" t="str">
        <f>IFERROR(__xludf.DUMMYFUNCTION("""COMPUTED_VALUE"""),"哈拉對面")</f>
        <v>哈拉對面</v>
      </c>
      <c r="H1562" s="106" t="str">
        <f t="shared" si="1"/>
        <v>2025-03</v>
      </c>
      <c r="I1562" s="271" t="str">
        <f>IFERROR(__xludf.DUMMYFUNCTION("""COMPUTED_VALUE"""),"貓狗企鵝")</f>
        <v>貓狗企鵝</v>
      </c>
      <c r="J1562" t="str">
        <f>IFERROR(__xludf.DUMMYFUNCTION("IFS(
  AND(REGEXMATCH(E1562, ""台銀籌備帳戶|玉山帳戶""), REGEXMATCH(C1562, ""薪資"")), ""分潤支出"",
  AND(REGEXMATCH(E1562, ""Ben帳戶|Elsa帳戶|Ben代墊|Ariel代墊|中信銀行共用""), REGEXMATCH(F1562, ""Ben帳戶|Elsa帳戶|Ben代墊|Ariel代墊|中信銀行共用"")), ""內部轉帳(忽略)"",
  AND(E1562&lt;&gt;"""", F1562&lt;&gt;"""", N"&amp;"OT(REGEXMATCH(C1562, ""薪資""))), ""內部轉帳(忽略)"",
  REGEXMATCH(C1562, ""薪資""), ""薪資變動(不計入)"",
  REGEXMATCH(C1562, ""押金""), ""押金往來"",
  AND(E1562&lt;&gt;"""", F1562=""""), ""真實支出"",
  AND(E1562="""", F1562&lt;&gt;""""), ""真實收入"",
  TRUE, ""其他""
)"),"真實支出")</f>
        <v>真實支出</v>
      </c>
      <c r="K1562" s="270">
        <f t="shared" si="2"/>
        <v>-13000</v>
      </c>
      <c r="L1562">
        <f t="shared" si="3"/>
        <v>0</v>
      </c>
    </row>
    <row r="1563">
      <c r="A1563" s="107">
        <f>IFERROR(__xludf.DUMMYFUNCTION("""COMPUTED_VALUE"""),45717.0)</f>
        <v>45717</v>
      </c>
      <c r="B1563" t="str">
        <f>IFERROR(__xludf.DUMMYFUNCTION("""COMPUTED_VALUE"""),"費用 - 匯費 對方行:700 後五碼:92128 (行號: 54)")</f>
        <v>費用 - 匯費 對方行:700 後五碼:92128 (行號: 54)</v>
      </c>
      <c r="C1563" t="str">
        <f>IFERROR(__xludf.DUMMYFUNCTION("""COMPUTED_VALUE"""),"費用 - 匯費")</f>
        <v>費用 - 匯費</v>
      </c>
      <c r="D1563" s="270">
        <f>IFERROR(__xludf.DUMMYFUNCTION("""COMPUTED_VALUE"""),-15.0)</f>
        <v>-15</v>
      </c>
      <c r="E1563" t="str">
        <f>IFERROR(__xludf.DUMMYFUNCTION("""COMPUTED_VALUE"""),"台銀籌備帳戶")</f>
        <v>台銀籌備帳戶</v>
      </c>
      <c r="H1563" s="106" t="str">
        <f t="shared" si="1"/>
        <v>2025-03</v>
      </c>
      <c r="I1563" s="271" t="str">
        <f>IFERROR(__xludf.DUMMYFUNCTION("""COMPUTED_VALUE"""),"貓狗企鵝")</f>
        <v>貓狗企鵝</v>
      </c>
      <c r="J1563" t="str">
        <f>IFERROR(__xludf.DUMMYFUNCTION("IFS(
  AND(REGEXMATCH(E1563, ""台銀籌備帳戶|玉山帳戶""), REGEXMATCH(C1563, ""薪資"")), ""分潤支出"",
  AND(REGEXMATCH(E1563, ""Ben帳戶|Elsa帳戶|Ben代墊|Ariel代墊|中信銀行共用""), REGEXMATCH(F1563, ""Ben帳戶|Elsa帳戶|Ben代墊|Ariel代墊|中信銀行共用"")), ""內部轉帳(忽略)"",
  AND(E1563&lt;&gt;"""", F1563&lt;&gt;"""", N"&amp;"OT(REGEXMATCH(C1563, ""薪資""))), ""內部轉帳(忽略)"",
  REGEXMATCH(C1563, ""薪資""), ""薪資變動(不計入)"",
  REGEXMATCH(C1563, ""押金""), ""押金往來"",
  AND(E1563&lt;&gt;"""", F1563=""""), ""真實支出"",
  AND(E1563="""", F1563&lt;&gt;""""), ""真實收入"",
  TRUE, ""其他""
)"),"真實支出")</f>
        <v>真實支出</v>
      </c>
      <c r="K1563" s="270">
        <f t="shared" si="2"/>
        <v>-15</v>
      </c>
      <c r="L1563">
        <f t="shared" si="3"/>
        <v>0</v>
      </c>
    </row>
    <row r="1564">
      <c r="A1564" s="107">
        <f>IFERROR(__xludf.DUMMYFUNCTION("""COMPUTED_VALUE"""),45717.0)</f>
        <v>45717</v>
      </c>
      <c r="B1564" t="str">
        <f>IFERROR(__xludf.DUMMYFUNCTION("""COMPUTED_VALUE"""),"[北醫醫師府] [陳俊良] 大租金")</f>
        <v>[北醫醫師府] [陳俊良] 大租金</v>
      </c>
      <c r="C1564" t="str">
        <f>IFERROR(__xludf.DUMMYFUNCTION("""COMPUTED_VALUE"""),"成本 - 大租金")</f>
        <v>成本 - 大租金</v>
      </c>
      <c r="D1564" s="270">
        <f>IFERROR(__xludf.DUMMYFUNCTION("""COMPUTED_VALUE"""),-12800.0)</f>
        <v>-12800</v>
      </c>
      <c r="E1564" t="str">
        <f>IFERROR(__xludf.DUMMYFUNCTION("""COMPUTED_VALUE"""),"台銀籌備帳戶")</f>
        <v>台銀籌備帳戶</v>
      </c>
      <c r="G1564" t="str">
        <f>IFERROR(__xludf.DUMMYFUNCTION("""COMPUTED_VALUE"""),"北醫醫師府")</f>
        <v>北醫醫師府</v>
      </c>
      <c r="H1564" s="106" t="str">
        <f t="shared" si="1"/>
        <v>2025-03</v>
      </c>
      <c r="I1564" s="271" t="str">
        <f>IFERROR(__xludf.DUMMYFUNCTION("""COMPUTED_VALUE"""),"貓狗企鵝")</f>
        <v>貓狗企鵝</v>
      </c>
      <c r="J1564" t="str">
        <f>IFERROR(__xludf.DUMMYFUNCTION("IFS(
  AND(REGEXMATCH(E1564, ""台銀籌備帳戶|玉山帳戶""), REGEXMATCH(C1564, ""薪資"")), ""分潤支出"",
  AND(REGEXMATCH(E1564, ""Ben帳戶|Elsa帳戶|Ben代墊|Ariel代墊|中信銀行共用""), REGEXMATCH(F1564, ""Ben帳戶|Elsa帳戶|Ben代墊|Ariel代墊|中信銀行共用"")), ""內部轉帳(忽略)"",
  AND(E1564&lt;&gt;"""", F1564&lt;&gt;"""", N"&amp;"OT(REGEXMATCH(C1564, ""薪資""))), ""內部轉帳(忽略)"",
  REGEXMATCH(C1564, ""薪資""), ""薪資變動(不計入)"",
  REGEXMATCH(C1564, ""押金""), ""押金往來"",
  AND(E1564&lt;&gt;"""", F1564=""""), ""真實支出"",
  AND(E1564="""", F1564&lt;&gt;""""), ""真實收入"",
  TRUE, ""其他""
)"),"真實支出")</f>
        <v>真實支出</v>
      </c>
      <c r="K1564" s="270">
        <f t="shared" si="2"/>
        <v>-12800</v>
      </c>
      <c r="L1564">
        <f t="shared" si="3"/>
        <v>0</v>
      </c>
    </row>
    <row r="1565">
      <c r="A1565" s="107">
        <f>IFERROR(__xludf.DUMMYFUNCTION("""COMPUTED_VALUE"""),45717.0)</f>
        <v>45717</v>
      </c>
      <c r="B1565" t="str">
        <f>IFERROR(__xludf.DUMMYFUNCTION("""COMPUTED_VALUE"""),"費用 - 匯費 對方行:013 後五碼:43662 (行號: 55)")</f>
        <v>費用 - 匯費 對方行:013 後五碼:43662 (行號: 55)</v>
      </c>
      <c r="C1565" t="str">
        <f>IFERROR(__xludf.DUMMYFUNCTION("""COMPUTED_VALUE"""),"費用 - 匯費")</f>
        <v>費用 - 匯費</v>
      </c>
      <c r="D1565" s="270">
        <f>IFERROR(__xludf.DUMMYFUNCTION("""COMPUTED_VALUE"""),-15.0)</f>
        <v>-15</v>
      </c>
      <c r="E1565" t="str">
        <f>IFERROR(__xludf.DUMMYFUNCTION("""COMPUTED_VALUE"""),"台銀籌備帳戶")</f>
        <v>台銀籌備帳戶</v>
      </c>
      <c r="H1565" s="106" t="str">
        <f t="shared" si="1"/>
        <v>2025-03</v>
      </c>
      <c r="I1565" s="271" t="str">
        <f>IFERROR(__xludf.DUMMYFUNCTION("""COMPUTED_VALUE"""),"貓狗企鵝")</f>
        <v>貓狗企鵝</v>
      </c>
      <c r="J1565" t="str">
        <f>IFERROR(__xludf.DUMMYFUNCTION("IFS(
  AND(REGEXMATCH(E1565, ""台銀籌備帳戶|玉山帳戶""), REGEXMATCH(C1565, ""薪資"")), ""分潤支出"",
  AND(REGEXMATCH(E1565, ""Ben帳戶|Elsa帳戶|Ben代墊|Ariel代墊|中信銀行共用""), REGEXMATCH(F1565, ""Ben帳戶|Elsa帳戶|Ben代墊|Ariel代墊|中信銀行共用"")), ""內部轉帳(忽略)"",
  AND(E1565&lt;&gt;"""", F1565&lt;&gt;"""", N"&amp;"OT(REGEXMATCH(C1565, ""薪資""))), ""內部轉帳(忽略)"",
  REGEXMATCH(C1565, ""薪資""), ""薪資變動(不計入)"",
  REGEXMATCH(C1565, ""押金""), ""押金往來"",
  AND(E1565&lt;&gt;"""", F1565=""""), ""真實支出"",
  AND(E1565="""", F1565&lt;&gt;""""), ""真實收入"",
  TRUE, ""其他""
)"),"真實支出")</f>
        <v>真實支出</v>
      </c>
      <c r="K1565" s="270">
        <f t="shared" si="2"/>
        <v>-15</v>
      </c>
      <c r="L1565">
        <f t="shared" si="3"/>
        <v>0</v>
      </c>
    </row>
    <row r="1566">
      <c r="A1566" s="107">
        <f>IFERROR(__xludf.DUMMYFUNCTION("""COMPUTED_VALUE"""),45717.0)</f>
        <v>45717</v>
      </c>
      <c r="B1566" t="str">
        <f>IFERROR(__xludf.DUMMYFUNCTION("""COMPUTED_VALUE"""),"[中山北娘家旁] [方彥捷] 大租金")</f>
        <v>[中山北娘家旁] [方彥捷] 大租金</v>
      </c>
      <c r="C1566" t="str">
        <f>IFERROR(__xludf.DUMMYFUNCTION("""COMPUTED_VALUE"""),"成本 - 大租金")</f>
        <v>成本 - 大租金</v>
      </c>
      <c r="D1566" s="270">
        <f>IFERROR(__xludf.DUMMYFUNCTION("""COMPUTED_VALUE"""),-11500.0)</f>
        <v>-11500</v>
      </c>
      <c r="E1566" t="str">
        <f>IFERROR(__xludf.DUMMYFUNCTION("""COMPUTED_VALUE"""),"台銀籌備帳戶")</f>
        <v>台銀籌備帳戶</v>
      </c>
      <c r="G1566" t="str">
        <f>IFERROR(__xludf.DUMMYFUNCTION("""COMPUTED_VALUE"""),"中山北娘家旁")</f>
        <v>中山北娘家旁</v>
      </c>
      <c r="H1566" s="106" t="str">
        <f t="shared" si="1"/>
        <v>2025-03</v>
      </c>
      <c r="I1566" s="271" t="str">
        <f>IFERROR(__xludf.DUMMYFUNCTION("""COMPUTED_VALUE"""),"貓狗企鵝")</f>
        <v>貓狗企鵝</v>
      </c>
      <c r="J1566" t="str">
        <f>IFERROR(__xludf.DUMMYFUNCTION("IFS(
  AND(REGEXMATCH(E1566, ""台銀籌備帳戶|玉山帳戶""), REGEXMATCH(C1566, ""薪資"")), ""分潤支出"",
  AND(REGEXMATCH(E1566, ""Ben帳戶|Elsa帳戶|Ben代墊|Ariel代墊|中信銀行共用""), REGEXMATCH(F1566, ""Ben帳戶|Elsa帳戶|Ben代墊|Ariel代墊|中信銀行共用"")), ""內部轉帳(忽略)"",
  AND(E1566&lt;&gt;"""", F1566&lt;&gt;"""", N"&amp;"OT(REGEXMATCH(C1566, ""薪資""))), ""內部轉帳(忽略)"",
  REGEXMATCH(C1566, ""薪資""), ""薪資變動(不計入)"",
  REGEXMATCH(C1566, ""押金""), ""押金往來"",
  AND(E1566&lt;&gt;"""", F1566=""""), ""真實支出"",
  AND(E1566="""", F1566&lt;&gt;""""), ""真實收入"",
  TRUE, ""其他""
)"),"真實支出")</f>
        <v>真實支出</v>
      </c>
      <c r="K1566" s="270">
        <f t="shared" si="2"/>
        <v>-11500</v>
      </c>
      <c r="L1566">
        <f t="shared" si="3"/>
        <v>0</v>
      </c>
    </row>
    <row r="1567">
      <c r="A1567" s="107">
        <f>IFERROR(__xludf.DUMMYFUNCTION("""COMPUTED_VALUE"""),45693.0)</f>
        <v>45693</v>
      </c>
      <c r="B1567" t="str">
        <f>IFERROR(__xludf.DUMMYFUNCTION("""COMPUTED_VALUE"""),"[中山北Feli家] D [邱佳慧] 押金 (行號: 2, 58)")</f>
        <v>[中山北Feli家] D [邱佳慧] 押金 (行號: 2, 58)</v>
      </c>
      <c r="C1567" t="str">
        <f>IFERROR(__xludf.DUMMYFUNCTION("""COMPUTED_VALUE"""),"收入 - 押金")</f>
        <v>收入 - 押金</v>
      </c>
      <c r="D1567" s="270">
        <f>IFERROR(__xludf.DUMMYFUNCTION("""COMPUTED_VALUE"""),21600.0)</f>
        <v>21600</v>
      </c>
      <c r="F1567" t="str">
        <f>IFERROR(__xludf.DUMMYFUNCTION("""COMPUTED_VALUE"""),"台銀籌備帳戶")</f>
        <v>台銀籌備帳戶</v>
      </c>
      <c r="G1567" t="str">
        <f>IFERROR(__xludf.DUMMYFUNCTION("""COMPUTED_VALUE"""),"中山北Feli家")</f>
        <v>中山北Feli家</v>
      </c>
      <c r="H1567" s="106" t="str">
        <f t="shared" si="1"/>
        <v>2025-02</v>
      </c>
      <c r="I1567" s="271" t="str">
        <f>IFERROR(__xludf.DUMMYFUNCTION("""COMPUTED_VALUE"""),"貓狗企鵝")</f>
        <v>貓狗企鵝</v>
      </c>
      <c r="J1567" t="str">
        <f>IFERROR(__xludf.DUMMYFUNCTION("IFS(
  AND(REGEXMATCH(E1567, ""台銀籌備帳戶|玉山帳戶""), REGEXMATCH(C1567, ""薪資"")), ""分潤支出"",
  AND(REGEXMATCH(E1567, ""Ben帳戶|Elsa帳戶|Ben代墊|Ariel代墊|中信銀行共用""), REGEXMATCH(F1567, ""Ben帳戶|Elsa帳戶|Ben代墊|Ariel代墊|中信銀行共用"")), ""內部轉帳(忽略)"",
  AND(E1567&lt;&gt;"""", F1567&lt;&gt;"""", N"&amp;"OT(REGEXMATCH(C1567, ""薪資""))), ""內部轉帳(忽略)"",
  REGEXMATCH(C1567, ""薪資""), ""薪資變動(不計入)"",
  REGEXMATCH(C1567, ""押金""), ""押金往來"",
  AND(E1567&lt;&gt;"""", F1567=""""), ""真實支出"",
  AND(E1567="""", F1567&lt;&gt;""""), ""真實收入"",
  TRUE, ""其他""
)"),"押金往來")</f>
        <v>押金往來</v>
      </c>
      <c r="K1567">
        <f t="shared" si="2"/>
        <v>0</v>
      </c>
      <c r="L1567">
        <f t="shared" si="3"/>
        <v>0</v>
      </c>
    </row>
    <row r="1568">
      <c r="A1568" s="107">
        <f>IFERROR(__xludf.DUMMYFUNCTION("""COMPUTED_VALUE"""),45693.0)</f>
        <v>45693</v>
      </c>
      <c r="B1568" t="str">
        <f>IFERROR(__xludf.DUMMYFUNCTION("""COMPUTED_VALUE"""),"[中山北Feli家] D [邱佳慧] 租金 (行號: 2, 58)")</f>
        <v>[中山北Feli家] D [邱佳慧] 租金 (行號: 2, 58)</v>
      </c>
      <c r="C1568" t="str">
        <f>IFERROR(__xludf.DUMMYFUNCTION("""COMPUTED_VALUE"""),"收入 - 租金")</f>
        <v>收入 - 租金</v>
      </c>
      <c r="D1568" s="270">
        <f>IFERROR(__xludf.DUMMYFUNCTION("""COMPUTED_VALUE"""),7743.0)</f>
        <v>7743</v>
      </c>
      <c r="F1568" t="str">
        <f>IFERROR(__xludf.DUMMYFUNCTION("""COMPUTED_VALUE"""),"台銀籌備帳戶")</f>
        <v>台銀籌備帳戶</v>
      </c>
      <c r="G1568" t="str">
        <f>IFERROR(__xludf.DUMMYFUNCTION("""COMPUTED_VALUE"""),"中山北Feli家")</f>
        <v>中山北Feli家</v>
      </c>
      <c r="H1568" s="106" t="str">
        <f t="shared" si="1"/>
        <v>2025-02</v>
      </c>
      <c r="I1568" s="271" t="str">
        <f>IFERROR(__xludf.DUMMYFUNCTION("""COMPUTED_VALUE"""),"貓狗企鵝")</f>
        <v>貓狗企鵝</v>
      </c>
      <c r="J1568" t="str">
        <f>IFERROR(__xludf.DUMMYFUNCTION("IFS(
  AND(REGEXMATCH(E1568, ""台銀籌備帳戶|玉山帳戶""), REGEXMATCH(C1568, ""薪資"")), ""分潤支出"",
  AND(REGEXMATCH(E1568, ""Ben帳戶|Elsa帳戶|Ben代墊|Ariel代墊|中信銀行共用""), REGEXMATCH(F1568, ""Ben帳戶|Elsa帳戶|Ben代墊|Ariel代墊|中信銀行共用"")), ""內部轉帳(忽略)"",
  AND(E1568&lt;&gt;"""", F1568&lt;&gt;"""", N"&amp;"OT(REGEXMATCH(C1568, ""薪資""))), ""內部轉帳(忽略)"",
  REGEXMATCH(C1568, ""薪資""), ""薪資變動(不計入)"",
  REGEXMATCH(C1568, ""押金""), ""押金往來"",
  AND(E1568&lt;&gt;"""", F1568=""""), ""真實支出"",
  AND(E1568="""", F1568&lt;&gt;""""), ""真實收入"",
  TRUE, ""其他""
)"),"真實收入")</f>
        <v>真實收入</v>
      </c>
      <c r="K1568" s="270">
        <f t="shared" si="2"/>
        <v>7743</v>
      </c>
      <c r="L1568">
        <f t="shared" si="3"/>
        <v>0</v>
      </c>
    </row>
    <row r="1569">
      <c r="A1569" s="107">
        <f>IFERROR(__xludf.DUMMYFUNCTION("""COMPUTED_VALUE"""),45697.0)</f>
        <v>45697</v>
      </c>
      <c r="B1569" t="str">
        <f>IFERROR(__xludf.DUMMYFUNCTION("""COMPUTED_VALUE"""),"[大湖山莊] A [熊翊丞] 合約 CR00049 (行號: 3, 4, 74)")</f>
        <v>[大湖山莊] A [熊翊丞] 合約 CR00049 (行號: 3, 4, 74)</v>
      </c>
      <c r="C1569" t="str">
        <f>IFERROR(__xludf.DUMMYFUNCTION("""COMPUTED_VALUE"""),"收入 - 其他")</f>
        <v>收入 - 其他</v>
      </c>
      <c r="D1569" s="270">
        <f>IFERROR(__xludf.DUMMYFUNCTION("""COMPUTED_VALUE"""),3401.0)</f>
        <v>3401</v>
      </c>
      <c r="F1569" t="str">
        <f>IFERROR(__xludf.DUMMYFUNCTION("""COMPUTED_VALUE"""),"台銀籌備帳戶")</f>
        <v>台銀籌備帳戶</v>
      </c>
      <c r="G1569" t="str">
        <f>IFERROR(__xludf.DUMMYFUNCTION("""COMPUTED_VALUE"""),"無法分類")</f>
        <v>無法分類</v>
      </c>
      <c r="H1569" s="106" t="str">
        <f t="shared" si="1"/>
        <v>2025-02</v>
      </c>
      <c r="I1569" s="271" t="str">
        <f>IFERROR(__xludf.DUMMYFUNCTION("""COMPUTED_VALUE"""),"貓狗企鵝")</f>
        <v>貓狗企鵝</v>
      </c>
      <c r="J1569" t="str">
        <f>IFERROR(__xludf.DUMMYFUNCTION("IFS(
  AND(REGEXMATCH(E1569, ""台銀籌備帳戶|玉山帳戶""), REGEXMATCH(C1569, ""薪資"")), ""分潤支出"",
  AND(REGEXMATCH(E1569, ""Ben帳戶|Elsa帳戶|Ben代墊|Ariel代墊|中信銀行共用""), REGEXMATCH(F1569, ""Ben帳戶|Elsa帳戶|Ben代墊|Ariel代墊|中信銀行共用"")), ""內部轉帳(忽略)"",
  AND(E1569&lt;&gt;"""", F1569&lt;&gt;"""", N"&amp;"OT(REGEXMATCH(C1569, ""薪資""))), ""內部轉帳(忽略)"",
  REGEXMATCH(C1569, ""薪資""), ""薪資變動(不計入)"",
  REGEXMATCH(C1569, ""押金""), ""押金往來"",
  AND(E1569&lt;&gt;"""", F1569=""""), ""真實支出"",
  AND(E1569="""", F1569&lt;&gt;""""), ""真實收入"",
  TRUE, ""其他""
)"),"真實收入")</f>
        <v>真實收入</v>
      </c>
      <c r="K1569" s="270">
        <f t="shared" si="2"/>
        <v>3401</v>
      </c>
      <c r="L1569">
        <f t="shared" si="3"/>
        <v>0</v>
      </c>
    </row>
    <row r="1570">
      <c r="A1570" s="107">
        <f>IFERROR(__xludf.DUMMYFUNCTION("""COMPUTED_VALUE"""),45705.0)</f>
        <v>45705</v>
      </c>
      <c r="B1570" t="str">
        <f>IFERROR(__xludf.DUMMYFUNCTION("""COMPUTED_VALUE"""),"[大湖山莊] G [黃芷翊] 合約 CR00096 (行號: 14, 17)")</f>
        <v>[大湖山莊] G [黃芷翊] 合約 CR00096 (行號: 14, 17)</v>
      </c>
      <c r="C1570" t="str">
        <f>IFERROR(__xludf.DUMMYFUNCTION("""COMPUTED_VALUE"""),"收入 - 押金")</f>
        <v>收入 - 押金</v>
      </c>
      <c r="D1570" s="270">
        <f>IFERROR(__xludf.DUMMYFUNCTION("""COMPUTED_VALUE"""),33600.0)</f>
        <v>33600</v>
      </c>
      <c r="F1570" t="str">
        <f>IFERROR(__xludf.DUMMYFUNCTION("""COMPUTED_VALUE"""),"台銀籌備帳戶")</f>
        <v>台銀籌備帳戶</v>
      </c>
      <c r="G1570" t="str">
        <f>IFERROR(__xludf.DUMMYFUNCTION("""COMPUTED_VALUE"""),"大湖山莊")</f>
        <v>大湖山莊</v>
      </c>
      <c r="H1570" s="106" t="str">
        <f t="shared" si="1"/>
        <v>2025-02</v>
      </c>
      <c r="I1570" s="271" t="str">
        <f>IFERROR(__xludf.DUMMYFUNCTION("""COMPUTED_VALUE"""),"貓狗企鵝")</f>
        <v>貓狗企鵝</v>
      </c>
      <c r="J1570" t="str">
        <f>IFERROR(__xludf.DUMMYFUNCTION("IFS(
  AND(REGEXMATCH(E1570, ""台銀籌備帳戶|玉山帳戶""), REGEXMATCH(C1570, ""薪資"")), ""分潤支出"",
  AND(REGEXMATCH(E1570, ""Ben帳戶|Elsa帳戶|Ben代墊|Ariel代墊|中信銀行共用""), REGEXMATCH(F1570, ""Ben帳戶|Elsa帳戶|Ben代墊|Ariel代墊|中信銀行共用"")), ""內部轉帳(忽略)"",
  AND(E1570&lt;&gt;"""", F1570&lt;&gt;"""", N"&amp;"OT(REGEXMATCH(C1570, ""薪資""))), ""內部轉帳(忽略)"",
  REGEXMATCH(C1570, ""薪資""), ""薪資變動(不計入)"",
  REGEXMATCH(C1570, ""押金""), ""押金往來"",
  AND(E1570&lt;&gt;"""", F1570=""""), ""真實支出"",
  AND(E1570="""", F1570&lt;&gt;""""), ""真實收入"",
  TRUE, ""其他""
)"),"押金往來")</f>
        <v>押金往來</v>
      </c>
      <c r="K1570">
        <f t="shared" si="2"/>
        <v>0</v>
      </c>
      <c r="L1570">
        <f t="shared" si="3"/>
        <v>0</v>
      </c>
    </row>
    <row r="1571">
      <c r="A1571" s="107">
        <f>IFERROR(__xludf.DUMMYFUNCTION("""COMPUTED_VALUE"""),45708.0)</f>
        <v>45708</v>
      </c>
      <c r="B1571" t="str">
        <f>IFERROR(__xludf.DUMMYFUNCTION("""COMPUTED_VALUE"""),"[龍江229] C [陳雨彤] 合約 CR00102 (行號: 18, 82)")</f>
        <v>[龍江229] C [陳雨彤] 合約 CR00102 (行號: 18, 82)</v>
      </c>
      <c r="C1571" t="str">
        <f>IFERROR(__xludf.DUMMYFUNCTION("""COMPUTED_VALUE"""),"收入 - 押金")</f>
        <v>收入 - 押金</v>
      </c>
      <c r="D1571" s="270">
        <f>IFERROR(__xludf.DUMMYFUNCTION("""COMPUTED_VALUE"""),3000.0)</f>
        <v>3000</v>
      </c>
      <c r="F1571" t="str">
        <f>IFERROR(__xludf.DUMMYFUNCTION("""COMPUTED_VALUE"""),"台銀籌備帳戶")</f>
        <v>台銀籌備帳戶</v>
      </c>
      <c r="G1571" t="str">
        <f>IFERROR(__xludf.DUMMYFUNCTION("""COMPUTED_VALUE"""),"龍江229")</f>
        <v>龍江229</v>
      </c>
      <c r="H1571" s="106" t="str">
        <f t="shared" si="1"/>
        <v>2025-02</v>
      </c>
      <c r="I1571" s="271" t="str">
        <f>IFERROR(__xludf.DUMMYFUNCTION("""COMPUTED_VALUE"""),"貓狗企鵝")</f>
        <v>貓狗企鵝</v>
      </c>
      <c r="J1571" t="str">
        <f>IFERROR(__xludf.DUMMYFUNCTION("IFS(
  AND(REGEXMATCH(E1571, ""台銀籌備帳戶|玉山帳戶""), REGEXMATCH(C1571, ""薪資"")), ""分潤支出"",
  AND(REGEXMATCH(E1571, ""Ben帳戶|Elsa帳戶|Ben代墊|Ariel代墊|中信銀行共用""), REGEXMATCH(F1571, ""Ben帳戶|Elsa帳戶|Ben代墊|Ariel代墊|中信銀行共用"")), ""內部轉帳(忽略)"",
  AND(E1571&lt;&gt;"""", F1571&lt;&gt;"""", N"&amp;"OT(REGEXMATCH(C1571, ""薪資""))), ""內部轉帳(忽略)"",
  REGEXMATCH(C1571, ""薪資""), ""薪資變動(不計入)"",
  REGEXMATCH(C1571, ""押金""), ""押金往來"",
  AND(E1571&lt;&gt;"""", F1571=""""), ""真實支出"",
  AND(E1571="""", F1571&lt;&gt;""""), ""真實收入"",
  TRUE, ""其他""
)"),"押金往來")</f>
        <v>押金往來</v>
      </c>
      <c r="K1571">
        <f t="shared" si="2"/>
        <v>0</v>
      </c>
      <c r="L1571">
        <f t="shared" si="3"/>
        <v>0</v>
      </c>
    </row>
    <row r="1572">
      <c r="A1572" s="107">
        <f>IFERROR(__xludf.DUMMYFUNCTION("""COMPUTED_VALUE"""),45709.0)</f>
        <v>45709</v>
      </c>
      <c r="B1572" t="str">
        <f>IFERROR(__xludf.DUMMYFUNCTION("""COMPUTED_VALUE"""),"[中山北娘家旁] B [李彥靜] 押金 (行號: 23, 31)")</f>
        <v>[中山北娘家旁] B [李彥靜] 押金 (行號: 23, 31)</v>
      </c>
      <c r="C1572" t="str">
        <f>IFERROR(__xludf.DUMMYFUNCTION("""COMPUTED_VALUE"""),"收入 - 押金")</f>
        <v>收入 - 押金</v>
      </c>
      <c r="D1572" s="270">
        <f>IFERROR(__xludf.DUMMYFUNCTION("""COMPUTED_VALUE"""),25000.0)</f>
        <v>25000</v>
      </c>
      <c r="F1572" t="str">
        <f>IFERROR(__xludf.DUMMYFUNCTION("""COMPUTED_VALUE"""),"台銀籌備帳戶")</f>
        <v>台銀籌備帳戶</v>
      </c>
      <c r="G1572" t="str">
        <f>IFERROR(__xludf.DUMMYFUNCTION("""COMPUTED_VALUE"""),"中山北娘家旁")</f>
        <v>中山北娘家旁</v>
      </c>
      <c r="H1572" s="106" t="str">
        <f t="shared" si="1"/>
        <v>2025-02</v>
      </c>
      <c r="I1572" s="271" t="str">
        <f>IFERROR(__xludf.DUMMYFUNCTION("""COMPUTED_VALUE"""),"貓狗企鵝")</f>
        <v>貓狗企鵝</v>
      </c>
      <c r="J1572" t="str">
        <f>IFERROR(__xludf.DUMMYFUNCTION("IFS(
  AND(REGEXMATCH(E1572, ""台銀籌備帳戶|玉山帳戶""), REGEXMATCH(C1572, ""薪資"")), ""分潤支出"",
  AND(REGEXMATCH(E1572, ""Ben帳戶|Elsa帳戶|Ben代墊|Ariel代墊|中信銀行共用""), REGEXMATCH(F1572, ""Ben帳戶|Elsa帳戶|Ben代墊|Ariel代墊|中信銀行共用"")), ""內部轉帳(忽略)"",
  AND(E1572&lt;&gt;"""", F1572&lt;&gt;"""", N"&amp;"OT(REGEXMATCH(C1572, ""薪資""))), ""內部轉帳(忽略)"",
  REGEXMATCH(C1572, ""薪資""), ""薪資變動(不計入)"",
  REGEXMATCH(C1572, ""押金""), ""押金往來"",
  AND(E1572&lt;&gt;"""", F1572=""""), ""真實支出"",
  AND(E1572="""", F1572&lt;&gt;""""), ""真實收入"",
  TRUE, ""其他""
)"),"押金往來")</f>
        <v>押金往來</v>
      </c>
      <c r="K1572">
        <f t="shared" si="2"/>
        <v>0</v>
      </c>
      <c r="L1572">
        <f t="shared" si="3"/>
        <v>0</v>
      </c>
    </row>
    <row r="1573">
      <c r="A1573" s="107">
        <f>IFERROR(__xludf.DUMMYFUNCTION("""COMPUTED_VALUE"""),45709.0)</f>
        <v>45709</v>
      </c>
      <c r="B1573" t="str">
        <f>IFERROR(__xludf.DUMMYFUNCTION("""COMPUTED_VALUE"""),"[中山北娘家旁] B [李彥靜] 首月租金 (行號: 23, 31)")</f>
        <v>[中山北娘家旁] B [李彥靜] 首月租金 (行號: 23, 31)</v>
      </c>
      <c r="C1573" t="str">
        <f>IFERROR(__xludf.DUMMYFUNCTION("""COMPUTED_VALUE"""),"收入 - 租金")</f>
        <v>收入 - 租金</v>
      </c>
      <c r="D1573" s="270">
        <f>IFERROR(__xludf.DUMMYFUNCTION("""COMPUTED_VALUE"""),12500.0)</f>
        <v>12500</v>
      </c>
      <c r="F1573" t="str">
        <f>IFERROR(__xludf.DUMMYFUNCTION("""COMPUTED_VALUE"""),"台銀籌備帳戶")</f>
        <v>台銀籌備帳戶</v>
      </c>
      <c r="G1573" t="str">
        <f>IFERROR(__xludf.DUMMYFUNCTION("""COMPUTED_VALUE"""),"中山北娘家旁")</f>
        <v>中山北娘家旁</v>
      </c>
      <c r="H1573" s="106" t="str">
        <f t="shared" si="1"/>
        <v>2025-02</v>
      </c>
      <c r="I1573" s="271" t="str">
        <f>IFERROR(__xludf.DUMMYFUNCTION("""COMPUTED_VALUE"""),"貓狗企鵝")</f>
        <v>貓狗企鵝</v>
      </c>
      <c r="J1573" t="str">
        <f>IFERROR(__xludf.DUMMYFUNCTION("IFS(
  AND(REGEXMATCH(E1573, ""台銀籌備帳戶|玉山帳戶""), REGEXMATCH(C1573, ""薪資"")), ""分潤支出"",
  AND(REGEXMATCH(E1573, ""Ben帳戶|Elsa帳戶|Ben代墊|Ariel代墊|中信銀行共用""), REGEXMATCH(F1573, ""Ben帳戶|Elsa帳戶|Ben代墊|Ariel代墊|中信銀行共用"")), ""內部轉帳(忽略)"",
  AND(E1573&lt;&gt;"""", F1573&lt;&gt;"""", N"&amp;"OT(REGEXMATCH(C1573, ""薪資""))), ""內部轉帳(忽略)"",
  REGEXMATCH(C1573, ""薪資""), ""薪資變動(不計入)"",
  REGEXMATCH(C1573, ""押金""), ""押金往來"",
  AND(E1573&lt;&gt;"""", F1573=""""), ""真實支出"",
  AND(E1573="""", F1573&lt;&gt;""""), ""真實收入"",
  TRUE, ""其他""
)"),"真實收入")</f>
        <v>真實收入</v>
      </c>
      <c r="K1573" s="270">
        <f t="shared" si="2"/>
        <v>12500</v>
      </c>
      <c r="L1573">
        <f t="shared" si="3"/>
        <v>0</v>
      </c>
    </row>
    <row r="1574">
      <c r="A1574" s="107">
        <f>IFERROR(__xludf.DUMMYFUNCTION("""COMPUTED_VALUE"""),45711.0)</f>
        <v>45711</v>
      </c>
      <c r="B1574" t="str">
        <f>IFERROR(__xludf.DUMMYFUNCTION("""COMPUTED_VALUE"""),"[景安2分鐘] E [楊惠閔] 押金 (行號: 24, 25)")</f>
        <v>[景安2分鐘] E [楊惠閔] 押金 (行號: 24, 25)</v>
      </c>
      <c r="C1574" t="str">
        <f>IFERROR(__xludf.DUMMYFUNCTION("""COMPUTED_VALUE"""),"收入 - 押金")</f>
        <v>收入 - 押金</v>
      </c>
      <c r="D1574" s="270">
        <f>IFERROR(__xludf.DUMMYFUNCTION("""COMPUTED_VALUE"""),21000.0)</f>
        <v>21000</v>
      </c>
      <c r="F1574" t="str">
        <f>IFERROR(__xludf.DUMMYFUNCTION("""COMPUTED_VALUE"""),"台銀籌備帳戶")</f>
        <v>台銀籌備帳戶</v>
      </c>
      <c r="G1574" t="str">
        <f>IFERROR(__xludf.DUMMYFUNCTION("""COMPUTED_VALUE"""),"景安2分鐘")</f>
        <v>景安2分鐘</v>
      </c>
      <c r="H1574" s="106" t="str">
        <f t="shared" si="1"/>
        <v>2025-02</v>
      </c>
      <c r="I1574" s="271" t="str">
        <f>IFERROR(__xludf.DUMMYFUNCTION("""COMPUTED_VALUE"""),"貓狗企鵝")</f>
        <v>貓狗企鵝</v>
      </c>
      <c r="J1574" t="str">
        <f>IFERROR(__xludf.DUMMYFUNCTION("IFS(
  AND(REGEXMATCH(E1574, ""台銀籌備帳戶|玉山帳戶""), REGEXMATCH(C1574, ""薪資"")), ""分潤支出"",
  AND(REGEXMATCH(E1574, ""Ben帳戶|Elsa帳戶|Ben代墊|Ariel代墊|中信銀行共用""), REGEXMATCH(F1574, ""Ben帳戶|Elsa帳戶|Ben代墊|Ariel代墊|中信銀行共用"")), ""內部轉帳(忽略)"",
  AND(E1574&lt;&gt;"""", F1574&lt;&gt;"""", N"&amp;"OT(REGEXMATCH(C1574, ""薪資""))), ""內部轉帳(忽略)"",
  REGEXMATCH(C1574, ""薪資""), ""薪資變動(不計入)"",
  REGEXMATCH(C1574, ""押金""), ""押金往來"",
  AND(E1574&lt;&gt;"""", F1574=""""), ""真實支出"",
  AND(E1574="""", F1574&lt;&gt;""""), ""真實收入"",
  TRUE, ""其他""
)"),"押金往來")</f>
        <v>押金往來</v>
      </c>
      <c r="K1574">
        <f t="shared" si="2"/>
        <v>0</v>
      </c>
      <c r="L1574">
        <f t="shared" si="3"/>
        <v>0</v>
      </c>
    </row>
    <row r="1575">
      <c r="A1575" s="107">
        <f>IFERROR(__xludf.DUMMYFUNCTION("""COMPUTED_VALUE"""),45711.0)</f>
        <v>45711</v>
      </c>
      <c r="B1575" t="str">
        <f>IFERROR(__xludf.DUMMYFUNCTION("""COMPUTED_VALUE"""),"[景安2分鐘] E [楊惠閔] 首月租金 (行號: 24, 25)")</f>
        <v>[景安2分鐘] E [楊惠閔] 首月租金 (行號: 24, 25)</v>
      </c>
      <c r="C1575" t="str">
        <f>IFERROR(__xludf.DUMMYFUNCTION("""COMPUTED_VALUE"""),"收入 - 租金")</f>
        <v>收入 - 租金</v>
      </c>
      <c r="D1575" s="270">
        <f>IFERROR(__xludf.DUMMYFUNCTION("""COMPUTED_VALUE"""),10500.0)</f>
        <v>10500</v>
      </c>
      <c r="F1575" t="str">
        <f>IFERROR(__xludf.DUMMYFUNCTION("""COMPUTED_VALUE"""),"台銀籌備帳戶")</f>
        <v>台銀籌備帳戶</v>
      </c>
      <c r="G1575" t="str">
        <f>IFERROR(__xludf.DUMMYFUNCTION("""COMPUTED_VALUE"""),"景安2分鐘")</f>
        <v>景安2分鐘</v>
      </c>
      <c r="H1575" s="106" t="str">
        <f t="shared" si="1"/>
        <v>2025-02</v>
      </c>
      <c r="I1575" s="271" t="str">
        <f>IFERROR(__xludf.DUMMYFUNCTION("""COMPUTED_VALUE"""),"貓狗企鵝")</f>
        <v>貓狗企鵝</v>
      </c>
      <c r="J1575" t="str">
        <f>IFERROR(__xludf.DUMMYFUNCTION("IFS(
  AND(REGEXMATCH(E1575, ""台銀籌備帳戶|玉山帳戶""), REGEXMATCH(C1575, ""薪資"")), ""分潤支出"",
  AND(REGEXMATCH(E1575, ""Ben帳戶|Elsa帳戶|Ben代墊|Ariel代墊|中信銀行共用""), REGEXMATCH(F1575, ""Ben帳戶|Elsa帳戶|Ben代墊|Ariel代墊|中信銀行共用"")), ""內部轉帳(忽略)"",
  AND(E1575&lt;&gt;"""", F1575&lt;&gt;"""", N"&amp;"OT(REGEXMATCH(C1575, ""薪資""))), ""內部轉帳(忽略)"",
  REGEXMATCH(C1575, ""薪資""), ""薪資變動(不計入)"",
  REGEXMATCH(C1575, ""押金""), ""押金往來"",
  AND(E1575&lt;&gt;"""", F1575=""""), ""真實支出"",
  AND(E1575="""", F1575&lt;&gt;""""), ""真實收入"",
  TRUE, ""其他""
)"),"真實收入")</f>
        <v>真實收入</v>
      </c>
      <c r="K1575" s="270">
        <f t="shared" si="2"/>
        <v>10500</v>
      </c>
      <c r="L1575">
        <f t="shared" si="3"/>
        <v>0</v>
      </c>
    </row>
    <row r="1576">
      <c r="A1576" s="107">
        <f>IFERROR(__xludf.DUMMYFUNCTION("""COMPUTED_VALUE"""),45713.0)</f>
        <v>45713</v>
      </c>
      <c r="B1576" t="str">
        <f>IFERROR(__xludf.DUMMYFUNCTION("""COMPUTED_VALUE"""),"[大湖山莊] F [吳智方, 蘇婉彤] 月租金 (行號: 26, 27)")</f>
        <v>[大湖山莊] F [吳智方, 蘇婉彤] 月租金 (行號: 26, 27)</v>
      </c>
      <c r="C1576" t="str">
        <f>IFERROR(__xludf.DUMMYFUNCTION("""COMPUTED_VALUE"""),"收入 - 租金")</f>
        <v>收入 - 租金</v>
      </c>
      <c r="D1576" s="270">
        <f>IFERROR(__xludf.DUMMYFUNCTION("""COMPUTED_VALUE"""),18000.0)</f>
        <v>18000</v>
      </c>
      <c r="F1576" t="str">
        <f>IFERROR(__xludf.DUMMYFUNCTION("""COMPUTED_VALUE"""),"台銀籌備帳戶")</f>
        <v>台銀籌備帳戶</v>
      </c>
      <c r="G1576" t="str">
        <f>IFERROR(__xludf.DUMMYFUNCTION("""COMPUTED_VALUE"""),"大湖山莊")</f>
        <v>大湖山莊</v>
      </c>
      <c r="H1576" s="106" t="str">
        <f t="shared" si="1"/>
        <v>2025-02</v>
      </c>
      <c r="I1576" s="271" t="str">
        <f>IFERROR(__xludf.DUMMYFUNCTION("""COMPUTED_VALUE"""),"貓狗企鵝")</f>
        <v>貓狗企鵝</v>
      </c>
      <c r="J1576" t="str">
        <f>IFERROR(__xludf.DUMMYFUNCTION("IFS(
  AND(REGEXMATCH(E1576, ""台銀籌備帳戶|玉山帳戶""), REGEXMATCH(C1576, ""薪資"")), ""分潤支出"",
  AND(REGEXMATCH(E1576, ""Ben帳戶|Elsa帳戶|Ben代墊|Ariel代墊|中信銀行共用""), REGEXMATCH(F1576, ""Ben帳戶|Elsa帳戶|Ben代墊|Ariel代墊|中信銀行共用"")), ""內部轉帳(忽略)"",
  AND(E1576&lt;&gt;"""", F1576&lt;&gt;"""", N"&amp;"OT(REGEXMATCH(C1576, ""薪資""))), ""內部轉帳(忽略)"",
  REGEXMATCH(C1576, ""薪資""), ""薪資變動(不計入)"",
  REGEXMATCH(C1576, ""押金""), ""押金往來"",
  AND(E1576&lt;&gt;"""", F1576=""""), ""真實支出"",
  AND(E1576="""", F1576&lt;&gt;""""), ""真實收入"",
  TRUE, ""其他""
)"),"真實收入")</f>
        <v>真實收入</v>
      </c>
      <c r="K1576" s="270">
        <f t="shared" si="2"/>
        <v>18000</v>
      </c>
      <c r="L1576">
        <f t="shared" si="3"/>
        <v>0</v>
      </c>
    </row>
    <row r="1577">
      <c r="A1577" s="107">
        <f>IFERROR(__xludf.DUMMYFUNCTION("""COMPUTED_VALUE"""),45713.0)</f>
        <v>45713</v>
      </c>
      <c r="B1577" t="str">
        <f>IFERROR(__xludf.DUMMYFUNCTION("""COMPUTED_VALUE"""),"[南港站挑高宅] C [吳佳叡] 押金 (行號: 28, 39)")</f>
        <v>[南港站挑高宅] C [吳佳叡] 押金 (行號: 28, 39)</v>
      </c>
      <c r="C1577" t="str">
        <f>IFERROR(__xludf.DUMMYFUNCTION("""COMPUTED_VALUE"""),"收入 - 押金")</f>
        <v>收入 - 押金</v>
      </c>
      <c r="D1577" s="270">
        <f>IFERROR(__xludf.DUMMYFUNCTION("""COMPUTED_VALUE"""),30000.0)</f>
        <v>30000</v>
      </c>
      <c r="F1577" t="str">
        <f>IFERROR(__xludf.DUMMYFUNCTION("""COMPUTED_VALUE"""),"台銀籌備帳戶")</f>
        <v>台銀籌備帳戶</v>
      </c>
      <c r="G1577" t="str">
        <f>IFERROR(__xludf.DUMMYFUNCTION("""COMPUTED_VALUE"""),"南港站挑高宅")</f>
        <v>南港站挑高宅</v>
      </c>
      <c r="H1577" s="106" t="str">
        <f t="shared" si="1"/>
        <v>2025-02</v>
      </c>
      <c r="I1577" s="271" t="str">
        <f>IFERROR(__xludf.DUMMYFUNCTION("""COMPUTED_VALUE"""),"貓狗企鵝")</f>
        <v>貓狗企鵝</v>
      </c>
      <c r="J1577" t="str">
        <f>IFERROR(__xludf.DUMMYFUNCTION("IFS(
  AND(REGEXMATCH(E1577, ""台銀籌備帳戶|玉山帳戶""), REGEXMATCH(C1577, ""薪資"")), ""分潤支出"",
  AND(REGEXMATCH(E1577, ""Ben帳戶|Elsa帳戶|Ben代墊|Ariel代墊|中信銀行共用""), REGEXMATCH(F1577, ""Ben帳戶|Elsa帳戶|Ben代墊|Ariel代墊|中信銀行共用"")), ""內部轉帳(忽略)"",
  AND(E1577&lt;&gt;"""", F1577&lt;&gt;"""", N"&amp;"OT(REGEXMATCH(C1577, ""薪資""))), ""內部轉帳(忽略)"",
  REGEXMATCH(C1577, ""薪資""), ""薪資變動(不計入)"",
  REGEXMATCH(C1577, ""押金""), ""押金往來"",
  AND(E1577&lt;&gt;"""", F1577=""""), ""真實支出"",
  AND(E1577="""", F1577&lt;&gt;""""), ""真實收入"",
  TRUE, ""其他""
)"),"押金往來")</f>
        <v>押金往來</v>
      </c>
      <c r="K1577">
        <f t="shared" si="2"/>
        <v>0</v>
      </c>
      <c r="L1577">
        <f t="shared" si="3"/>
        <v>0</v>
      </c>
    </row>
    <row r="1578">
      <c r="A1578" s="107">
        <f>IFERROR(__xludf.DUMMYFUNCTION("""COMPUTED_VALUE"""),45713.0)</f>
        <v>45713</v>
      </c>
      <c r="B1578" t="str">
        <f>IFERROR(__xludf.DUMMYFUNCTION("""COMPUTED_VALUE"""),"[南港站挑高宅] C [吳佳叡] 首月租金 (行號: 28, 39)")</f>
        <v>[南港站挑高宅] C [吳佳叡] 首月租金 (行號: 28, 39)</v>
      </c>
      <c r="C1578" t="str">
        <f>IFERROR(__xludf.DUMMYFUNCTION("""COMPUTED_VALUE"""),"收入 - 租金")</f>
        <v>收入 - 租金</v>
      </c>
      <c r="D1578" s="270">
        <f>IFERROR(__xludf.DUMMYFUNCTION("""COMPUTED_VALUE"""),8226.0)</f>
        <v>8226</v>
      </c>
      <c r="F1578" t="str">
        <f>IFERROR(__xludf.DUMMYFUNCTION("""COMPUTED_VALUE"""),"台銀籌備帳戶")</f>
        <v>台銀籌備帳戶</v>
      </c>
      <c r="G1578" t="str">
        <f>IFERROR(__xludf.DUMMYFUNCTION("""COMPUTED_VALUE"""),"南港站挑高宅")</f>
        <v>南港站挑高宅</v>
      </c>
      <c r="H1578" s="106" t="str">
        <f t="shared" si="1"/>
        <v>2025-02</v>
      </c>
      <c r="I1578" s="271" t="str">
        <f>IFERROR(__xludf.DUMMYFUNCTION("""COMPUTED_VALUE"""),"貓狗企鵝")</f>
        <v>貓狗企鵝</v>
      </c>
      <c r="J1578" t="str">
        <f>IFERROR(__xludf.DUMMYFUNCTION("IFS(
  AND(REGEXMATCH(E1578, ""台銀籌備帳戶|玉山帳戶""), REGEXMATCH(C1578, ""薪資"")), ""分潤支出"",
  AND(REGEXMATCH(E1578, ""Ben帳戶|Elsa帳戶|Ben代墊|Ariel代墊|中信銀行共用""), REGEXMATCH(F1578, ""Ben帳戶|Elsa帳戶|Ben代墊|Ariel代墊|中信銀行共用"")), ""內部轉帳(忽略)"",
  AND(E1578&lt;&gt;"""", F1578&lt;&gt;"""", N"&amp;"OT(REGEXMATCH(C1578, ""薪資""))), ""內部轉帳(忽略)"",
  REGEXMATCH(C1578, ""薪資""), ""薪資變動(不計入)"",
  REGEXMATCH(C1578, ""押金""), ""押金往來"",
  AND(E1578&lt;&gt;"""", F1578=""""), ""真實支出"",
  AND(E1578="""", F1578&lt;&gt;""""), ""真實收入"",
  TRUE, ""其他""
)"),"真實收入")</f>
        <v>真實收入</v>
      </c>
      <c r="K1578" s="270">
        <f t="shared" si="2"/>
        <v>8226</v>
      </c>
      <c r="L1578">
        <f t="shared" si="3"/>
        <v>0</v>
      </c>
    </row>
    <row r="1579">
      <c r="A1579" s="107">
        <f>IFERROR(__xludf.DUMMYFUNCTION("""COMPUTED_VALUE"""),45713.0)</f>
        <v>45713</v>
      </c>
      <c r="B1579" t="str">
        <f>IFERROR(__xludf.DUMMYFUNCTION("""COMPUTED_VALUE"""),"[龍江229] B [曾冠文] 押金 (行號: 29, 84)")</f>
        <v>[龍江229] B [曾冠文] 押金 (行號: 29, 84)</v>
      </c>
      <c r="C1579" t="str">
        <f>IFERROR(__xludf.DUMMYFUNCTION("""COMPUTED_VALUE"""),"收入 - 押金")</f>
        <v>收入 - 押金</v>
      </c>
      <c r="D1579" s="270">
        <f>IFERROR(__xludf.DUMMYFUNCTION("""COMPUTED_VALUE"""),27000.0)</f>
        <v>27000</v>
      </c>
      <c r="F1579" t="str">
        <f>IFERROR(__xludf.DUMMYFUNCTION("""COMPUTED_VALUE"""),"台銀籌備帳戶")</f>
        <v>台銀籌備帳戶</v>
      </c>
      <c r="G1579" t="str">
        <f>IFERROR(__xludf.DUMMYFUNCTION("""COMPUTED_VALUE"""),"龍江229")</f>
        <v>龍江229</v>
      </c>
      <c r="H1579" s="106" t="str">
        <f t="shared" si="1"/>
        <v>2025-02</v>
      </c>
      <c r="I1579" s="271" t="str">
        <f>IFERROR(__xludf.DUMMYFUNCTION("""COMPUTED_VALUE"""),"貓狗企鵝")</f>
        <v>貓狗企鵝</v>
      </c>
      <c r="J1579" t="str">
        <f>IFERROR(__xludf.DUMMYFUNCTION("IFS(
  AND(REGEXMATCH(E1579, ""台銀籌備帳戶|玉山帳戶""), REGEXMATCH(C1579, ""薪資"")), ""分潤支出"",
  AND(REGEXMATCH(E1579, ""Ben帳戶|Elsa帳戶|Ben代墊|Ariel代墊|中信銀行共用""), REGEXMATCH(F1579, ""Ben帳戶|Elsa帳戶|Ben代墊|Ariel代墊|中信銀行共用"")), ""內部轉帳(忽略)"",
  AND(E1579&lt;&gt;"""", F1579&lt;&gt;"""", N"&amp;"OT(REGEXMATCH(C1579, ""薪資""))), ""內部轉帳(忽略)"",
  REGEXMATCH(C1579, ""薪資""), ""薪資變動(不計入)"",
  REGEXMATCH(C1579, ""押金""), ""押金往來"",
  AND(E1579&lt;&gt;"""", F1579=""""), ""真實支出"",
  AND(E1579="""", F1579&lt;&gt;""""), ""真實收入"",
  TRUE, ""其他""
)"),"押金往來")</f>
        <v>押金往來</v>
      </c>
      <c r="K1579">
        <f t="shared" si="2"/>
        <v>0</v>
      </c>
      <c r="L1579">
        <f t="shared" si="3"/>
        <v>0</v>
      </c>
    </row>
    <row r="1580">
      <c r="A1580" s="107">
        <f>IFERROR(__xludf.DUMMYFUNCTION("""COMPUTED_VALUE"""),45713.0)</f>
        <v>45713</v>
      </c>
      <c r="B1580" t="str">
        <f>IFERROR(__xludf.DUMMYFUNCTION("""COMPUTED_VALUE"""),"[龍江229] B [曾冠文] 首月租金 (行號: 29, 84)")</f>
        <v>[龍江229] B [曾冠文] 首月租金 (行號: 29, 84)</v>
      </c>
      <c r="C1580" t="str">
        <f>IFERROR(__xludf.DUMMYFUNCTION("""COMPUTED_VALUE"""),"收入 - 租金")</f>
        <v>收入 - 租金</v>
      </c>
      <c r="D1580" s="270">
        <f>IFERROR(__xludf.DUMMYFUNCTION("""COMPUTED_VALUE"""),12629.0)</f>
        <v>12629</v>
      </c>
      <c r="F1580" t="str">
        <f>IFERROR(__xludf.DUMMYFUNCTION("""COMPUTED_VALUE"""),"台銀籌備帳戶")</f>
        <v>台銀籌備帳戶</v>
      </c>
      <c r="G1580" t="str">
        <f>IFERROR(__xludf.DUMMYFUNCTION("""COMPUTED_VALUE"""),"龍江229")</f>
        <v>龍江229</v>
      </c>
      <c r="H1580" s="106" t="str">
        <f t="shared" si="1"/>
        <v>2025-02</v>
      </c>
      <c r="I1580" s="271" t="str">
        <f>IFERROR(__xludf.DUMMYFUNCTION("""COMPUTED_VALUE"""),"貓狗企鵝")</f>
        <v>貓狗企鵝</v>
      </c>
      <c r="J1580" t="str">
        <f>IFERROR(__xludf.DUMMYFUNCTION("IFS(
  AND(REGEXMATCH(E1580, ""台銀籌備帳戶|玉山帳戶""), REGEXMATCH(C1580, ""薪資"")), ""分潤支出"",
  AND(REGEXMATCH(E1580, ""Ben帳戶|Elsa帳戶|Ben代墊|Ariel代墊|中信銀行共用""), REGEXMATCH(F1580, ""Ben帳戶|Elsa帳戶|Ben代墊|Ariel代墊|中信銀行共用"")), ""內部轉帳(忽略)"",
  AND(E1580&lt;&gt;"""", F1580&lt;&gt;"""", N"&amp;"OT(REGEXMATCH(C1580, ""薪資""))), ""內部轉帳(忽略)"",
  REGEXMATCH(C1580, ""薪資""), ""薪資變動(不計入)"",
  REGEXMATCH(C1580, ""押金""), ""押金往來"",
  AND(E1580&lt;&gt;"""", F1580=""""), ""真實支出"",
  AND(E1580="""", F1580&lt;&gt;""""), ""真實收入"",
  TRUE, ""其他""
)"),"真實收入")</f>
        <v>真實收入</v>
      </c>
      <c r="K1580" s="270">
        <f t="shared" si="2"/>
        <v>12629</v>
      </c>
      <c r="L1580">
        <f t="shared" si="3"/>
        <v>0</v>
      </c>
    </row>
    <row r="1581">
      <c r="A1581" s="107">
        <f>IFERROR(__xludf.DUMMYFUNCTION("""COMPUTED_VALUE"""),45715.0)</f>
        <v>45715</v>
      </c>
      <c r="B1581" t="str">
        <f>IFERROR(__xludf.DUMMYFUNCTION("""COMPUTED_VALUE"""),"哈拉B 押金")</f>
        <v>哈拉B 押金</v>
      </c>
      <c r="C1581" t="str">
        <f>IFERROR(__xludf.DUMMYFUNCTION("""COMPUTED_VALUE"""),"收入 - 押金")</f>
        <v>收入 - 押金</v>
      </c>
      <c r="D1581" s="270">
        <f>IFERROR(__xludf.DUMMYFUNCTION("""COMPUTED_VALUE"""),31600.0)</f>
        <v>31600</v>
      </c>
      <c r="F1581" t="str">
        <f>IFERROR(__xludf.DUMMYFUNCTION("""COMPUTED_VALUE"""),"台銀籌備帳戶")</f>
        <v>台銀籌備帳戶</v>
      </c>
      <c r="G1581" t="str">
        <f>IFERROR(__xludf.DUMMYFUNCTION("""COMPUTED_VALUE"""),"哈拉對面")</f>
        <v>哈拉對面</v>
      </c>
      <c r="H1581" s="106" t="str">
        <f t="shared" si="1"/>
        <v>2025-02</v>
      </c>
      <c r="I1581" s="271" t="str">
        <f>IFERROR(__xludf.DUMMYFUNCTION("""COMPUTED_VALUE"""),"貓狗企鵝")</f>
        <v>貓狗企鵝</v>
      </c>
      <c r="J1581" t="str">
        <f>IFERROR(__xludf.DUMMYFUNCTION("IFS(
  AND(REGEXMATCH(E1581, ""台銀籌備帳戶|玉山帳戶""), REGEXMATCH(C1581, ""薪資"")), ""分潤支出"",
  AND(REGEXMATCH(E1581, ""Ben帳戶|Elsa帳戶|Ben代墊|Ariel代墊|中信銀行共用""), REGEXMATCH(F1581, ""Ben帳戶|Elsa帳戶|Ben代墊|Ariel代墊|中信銀行共用"")), ""內部轉帳(忽略)"",
  AND(E1581&lt;&gt;"""", F1581&lt;&gt;"""", N"&amp;"OT(REGEXMATCH(C1581, ""薪資""))), ""內部轉帳(忽略)"",
  REGEXMATCH(C1581, ""薪資""), ""薪資變動(不計入)"",
  REGEXMATCH(C1581, ""押金""), ""押金往來"",
  AND(E1581&lt;&gt;"""", F1581=""""), ""真實支出"",
  AND(E1581="""", F1581&lt;&gt;""""), ""真實收入"",
  TRUE, ""其他""
)"),"押金往來")</f>
        <v>押金往來</v>
      </c>
      <c r="K1581">
        <f t="shared" si="2"/>
        <v>0</v>
      </c>
      <c r="L1581">
        <f t="shared" si="3"/>
        <v>0</v>
      </c>
    </row>
    <row r="1582">
      <c r="A1582" s="107">
        <f>IFERROR(__xludf.DUMMYFUNCTION("""COMPUTED_VALUE"""),45716.0)</f>
        <v>45716</v>
      </c>
      <c r="B1582" t="str">
        <f>IFERROR(__xludf.DUMMYFUNCTION("""COMPUTED_VALUE"""),"[景安2分鐘] C [楊玉如] 月租金")</f>
        <v>[景安2分鐘] C [楊玉如] 月租金</v>
      </c>
      <c r="C1582" t="str">
        <f>IFERROR(__xludf.DUMMYFUNCTION("""COMPUTED_VALUE"""),"收入 - 租金")</f>
        <v>收入 - 租金</v>
      </c>
      <c r="D1582" s="270">
        <f>IFERROR(__xludf.DUMMYFUNCTION("""COMPUTED_VALUE"""),12800.0)</f>
        <v>12800</v>
      </c>
      <c r="F1582" t="str">
        <f>IFERROR(__xludf.DUMMYFUNCTION("""COMPUTED_VALUE"""),"台銀籌備帳戶")</f>
        <v>台銀籌備帳戶</v>
      </c>
      <c r="G1582" t="str">
        <f>IFERROR(__xludf.DUMMYFUNCTION("""COMPUTED_VALUE"""),"景安2分鐘")</f>
        <v>景安2分鐘</v>
      </c>
      <c r="H1582" s="106" t="str">
        <f t="shared" si="1"/>
        <v>2025-02</v>
      </c>
      <c r="I1582" s="271" t="str">
        <f>IFERROR(__xludf.DUMMYFUNCTION("""COMPUTED_VALUE"""),"貓狗企鵝")</f>
        <v>貓狗企鵝</v>
      </c>
      <c r="J1582" t="str">
        <f>IFERROR(__xludf.DUMMYFUNCTION("IFS(
  AND(REGEXMATCH(E1582, ""台銀籌備帳戶|玉山帳戶""), REGEXMATCH(C1582, ""薪資"")), ""分潤支出"",
  AND(REGEXMATCH(E1582, ""Ben帳戶|Elsa帳戶|Ben代墊|Ariel代墊|中信銀行共用""), REGEXMATCH(F1582, ""Ben帳戶|Elsa帳戶|Ben代墊|Ariel代墊|中信銀行共用"")), ""內部轉帳(忽略)"",
  AND(E1582&lt;&gt;"""", F1582&lt;&gt;"""", N"&amp;"OT(REGEXMATCH(C1582, ""薪資""))), ""內部轉帳(忽略)"",
  REGEXMATCH(C1582, ""薪資""), ""薪資變動(不計入)"",
  REGEXMATCH(C1582, ""押金""), ""押金往來"",
  AND(E1582&lt;&gt;"""", F1582=""""), ""真實支出"",
  AND(E1582="""", F1582&lt;&gt;""""), ""真實收入"",
  TRUE, ""其他""
)"),"真實收入")</f>
        <v>真實收入</v>
      </c>
      <c r="K1582" s="270">
        <f t="shared" si="2"/>
        <v>12800</v>
      </c>
      <c r="L1582">
        <f t="shared" si="3"/>
        <v>0</v>
      </c>
    </row>
    <row r="1583">
      <c r="A1583" s="107">
        <f>IFERROR(__xludf.DUMMYFUNCTION("""COMPUTED_VALUE"""),45718.0)</f>
        <v>45718</v>
      </c>
      <c r="B1583" t="str">
        <f>IFERROR(__xludf.DUMMYFUNCTION("""COMPUTED_VALUE"""),"[永春四號] C [林聿妡] 月租金")</f>
        <v>[永春四號] C [林聿妡] 月租金</v>
      </c>
      <c r="C1583" t="str">
        <f>IFERROR(__xludf.DUMMYFUNCTION("""COMPUTED_VALUE"""),"收入 - 租金")</f>
        <v>收入 - 租金</v>
      </c>
      <c r="D1583" s="270">
        <f>IFERROR(__xludf.DUMMYFUNCTION("""COMPUTED_VALUE"""),12800.0)</f>
        <v>12800</v>
      </c>
      <c r="F1583" t="str">
        <f>IFERROR(__xludf.DUMMYFUNCTION("""COMPUTED_VALUE"""),"台銀籌備帳戶")</f>
        <v>台銀籌備帳戶</v>
      </c>
      <c r="G1583" t="str">
        <f>IFERROR(__xludf.DUMMYFUNCTION("""COMPUTED_VALUE"""),"永春四號")</f>
        <v>永春四號</v>
      </c>
      <c r="H1583" s="106" t="str">
        <f t="shared" si="1"/>
        <v>2025-03</v>
      </c>
      <c r="I1583" s="271" t="str">
        <f>IFERROR(__xludf.DUMMYFUNCTION("""COMPUTED_VALUE"""),"貓狗企鵝")</f>
        <v>貓狗企鵝</v>
      </c>
      <c r="J1583" t="str">
        <f>IFERROR(__xludf.DUMMYFUNCTION("IFS(
  AND(REGEXMATCH(E1583, ""台銀籌備帳戶|玉山帳戶""), REGEXMATCH(C1583, ""薪資"")), ""分潤支出"",
  AND(REGEXMATCH(E1583, ""Ben帳戶|Elsa帳戶|Ben代墊|Ariel代墊|中信銀行共用""), REGEXMATCH(F1583, ""Ben帳戶|Elsa帳戶|Ben代墊|Ariel代墊|中信銀行共用"")), ""內部轉帳(忽略)"",
  AND(E1583&lt;&gt;"""", F1583&lt;&gt;"""", N"&amp;"OT(REGEXMATCH(C1583, ""薪資""))), ""內部轉帳(忽略)"",
  REGEXMATCH(C1583, ""薪資""), ""薪資變動(不計入)"",
  REGEXMATCH(C1583, ""押金""), ""押金往來"",
  AND(E1583&lt;&gt;"""", F1583=""""), ""真實支出"",
  AND(E1583="""", F1583&lt;&gt;""""), ""真實收入"",
  TRUE, ""其他""
)"),"真實收入")</f>
        <v>真實收入</v>
      </c>
      <c r="K1583" s="270">
        <f t="shared" si="2"/>
        <v>12800</v>
      </c>
      <c r="L1583">
        <f t="shared" si="3"/>
        <v>0</v>
      </c>
    </row>
    <row r="1584">
      <c r="A1584" s="107">
        <f>IFERROR(__xludf.DUMMYFUNCTION("""COMPUTED_VALUE"""),45716.0)</f>
        <v>45716</v>
      </c>
      <c r="B1584" t="str">
        <f>IFERROR(__xludf.DUMMYFUNCTION("""COMPUTED_VALUE"""),"[金龍帽子先生] A [何佩勳] 月租金 (行號: 33)")</f>
        <v>[金龍帽子先生] A [何佩勳] 月租金 (行號: 33)</v>
      </c>
      <c r="C1584" t="str">
        <f>IFERROR(__xludf.DUMMYFUNCTION("""COMPUTED_VALUE"""),"收入 - 租金")</f>
        <v>收入 - 租金</v>
      </c>
      <c r="D1584" s="270">
        <f>IFERROR(__xludf.DUMMYFUNCTION("""COMPUTED_VALUE"""),17200.0)</f>
        <v>17200</v>
      </c>
      <c r="F1584" t="str">
        <f>IFERROR(__xludf.DUMMYFUNCTION("""COMPUTED_VALUE"""),"台銀籌備帳戶")</f>
        <v>台銀籌備帳戶</v>
      </c>
      <c r="G1584" t="str">
        <f>IFERROR(__xludf.DUMMYFUNCTION("""COMPUTED_VALUE"""),"金龍帽子先生")</f>
        <v>金龍帽子先生</v>
      </c>
      <c r="H1584" s="106" t="str">
        <f t="shared" si="1"/>
        <v>2025-02</v>
      </c>
      <c r="I1584" s="271" t="str">
        <f>IFERROR(__xludf.DUMMYFUNCTION("""COMPUTED_VALUE"""),"貓狗企鵝")</f>
        <v>貓狗企鵝</v>
      </c>
      <c r="J1584" t="str">
        <f>IFERROR(__xludf.DUMMYFUNCTION("IFS(
  AND(REGEXMATCH(E1584, ""台銀籌備帳戶|玉山帳戶""), REGEXMATCH(C1584, ""薪資"")), ""分潤支出"",
  AND(REGEXMATCH(E1584, ""Ben帳戶|Elsa帳戶|Ben代墊|Ariel代墊|中信銀行共用""), REGEXMATCH(F1584, ""Ben帳戶|Elsa帳戶|Ben代墊|Ariel代墊|中信銀行共用"")), ""內部轉帳(忽略)"",
  AND(E1584&lt;&gt;"""", F1584&lt;&gt;"""", N"&amp;"OT(REGEXMATCH(C1584, ""薪資""))), ""內部轉帳(忽略)"",
  REGEXMATCH(C1584, ""薪資""), ""薪資變動(不計入)"",
  REGEXMATCH(C1584, ""押金""), ""押金往來"",
  AND(E1584&lt;&gt;"""", F1584=""""), ""真實支出"",
  AND(E1584="""", F1584&lt;&gt;""""), ""真實收入"",
  TRUE, ""其他""
)"),"真實收入")</f>
        <v>真實收入</v>
      </c>
      <c r="K1584" s="270">
        <f t="shared" si="2"/>
        <v>17200</v>
      </c>
      <c r="L1584">
        <f t="shared" si="3"/>
        <v>0</v>
      </c>
    </row>
    <row r="1585">
      <c r="A1585" s="107">
        <f>IFERROR(__xludf.DUMMYFUNCTION("""COMPUTED_VALUE"""),45716.0)</f>
        <v>45716</v>
      </c>
      <c r="B1585" t="str">
        <f>IFERROR(__xludf.DUMMYFUNCTION("""COMPUTED_VALUE"""),"[大湖山莊] D [陳昭瑄] 月租金 (行號: 34)")</f>
        <v>[大湖山莊] D [陳昭瑄] 月租金 (行號: 34)</v>
      </c>
      <c r="C1585" t="str">
        <f>IFERROR(__xludf.DUMMYFUNCTION("""COMPUTED_VALUE"""),"收入 - 租金")</f>
        <v>收入 - 租金</v>
      </c>
      <c r="D1585" s="270">
        <f>IFERROR(__xludf.DUMMYFUNCTION("""COMPUTED_VALUE"""),14300.0)</f>
        <v>14300</v>
      </c>
      <c r="F1585" t="str">
        <f>IFERROR(__xludf.DUMMYFUNCTION("""COMPUTED_VALUE"""),"台銀籌備帳戶")</f>
        <v>台銀籌備帳戶</v>
      </c>
      <c r="G1585" t="str">
        <f>IFERROR(__xludf.DUMMYFUNCTION("""COMPUTED_VALUE"""),"大湖山莊")</f>
        <v>大湖山莊</v>
      </c>
      <c r="H1585" s="106" t="str">
        <f t="shared" si="1"/>
        <v>2025-02</v>
      </c>
      <c r="I1585" s="271" t="str">
        <f>IFERROR(__xludf.DUMMYFUNCTION("""COMPUTED_VALUE"""),"貓狗企鵝")</f>
        <v>貓狗企鵝</v>
      </c>
      <c r="J1585" t="str">
        <f>IFERROR(__xludf.DUMMYFUNCTION("IFS(
  AND(REGEXMATCH(E1585, ""台銀籌備帳戶|玉山帳戶""), REGEXMATCH(C1585, ""薪資"")), ""分潤支出"",
  AND(REGEXMATCH(E1585, ""Ben帳戶|Elsa帳戶|Ben代墊|Ariel代墊|中信銀行共用""), REGEXMATCH(F1585, ""Ben帳戶|Elsa帳戶|Ben代墊|Ariel代墊|中信銀行共用"")), ""內部轉帳(忽略)"",
  AND(E1585&lt;&gt;"""", F1585&lt;&gt;"""", N"&amp;"OT(REGEXMATCH(C1585, ""薪資""))), ""內部轉帳(忽略)"",
  REGEXMATCH(C1585, ""薪資""), ""薪資變動(不計入)"",
  REGEXMATCH(C1585, ""押金""), ""押金往來"",
  AND(E1585&lt;&gt;"""", F1585=""""), ""真實支出"",
  AND(E1585="""", F1585&lt;&gt;""""), ""真實收入"",
  TRUE, ""其他""
)"),"真實收入")</f>
        <v>真實收入</v>
      </c>
      <c r="K1585" s="270">
        <f t="shared" si="2"/>
        <v>14300</v>
      </c>
      <c r="L1585">
        <f t="shared" si="3"/>
        <v>0</v>
      </c>
    </row>
    <row r="1586">
      <c r="A1586" s="107">
        <f>IFERROR(__xludf.DUMMYFUNCTION("""COMPUTED_VALUE"""),45716.0)</f>
        <v>45716</v>
      </c>
      <c r="B1586" t="str">
        <f>IFERROR(__xludf.DUMMYFUNCTION("""COMPUTED_VALUE"""),"[南港站挑高宅] B [林鍇蓓] 月租金 (行號: 35)")</f>
        <v>[南港站挑高宅] B [林鍇蓓] 月租金 (行號: 35)</v>
      </c>
      <c r="C1586" t="str">
        <f>IFERROR(__xludf.DUMMYFUNCTION("""COMPUTED_VALUE"""),"收入 - 租金")</f>
        <v>收入 - 租金</v>
      </c>
      <c r="D1586" s="270">
        <f>IFERROR(__xludf.DUMMYFUNCTION("""COMPUTED_VALUE"""),12300.0)</f>
        <v>12300</v>
      </c>
      <c r="F1586" t="str">
        <f>IFERROR(__xludf.DUMMYFUNCTION("""COMPUTED_VALUE"""),"台銀籌備帳戶")</f>
        <v>台銀籌備帳戶</v>
      </c>
      <c r="G1586" t="str">
        <f>IFERROR(__xludf.DUMMYFUNCTION("""COMPUTED_VALUE"""),"南港站挑高宅")</f>
        <v>南港站挑高宅</v>
      </c>
      <c r="H1586" s="106" t="str">
        <f t="shared" si="1"/>
        <v>2025-02</v>
      </c>
      <c r="I1586" s="271" t="str">
        <f>IFERROR(__xludf.DUMMYFUNCTION("""COMPUTED_VALUE"""),"貓狗企鵝")</f>
        <v>貓狗企鵝</v>
      </c>
      <c r="J1586" t="str">
        <f>IFERROR(__xludf.DUMMYFUNCTION("IFS(
  AND(REGEXMATCH(E1586, ""台銀籌備帳戶|玉山帳戶""), REGEXMATCH(C1586, ""薪資"")), ""分潤支出"",
  AND(REGEXMATCH(E1586, ""Ben帳戶|Elsa帳戶|Ben代墊|Ariel代墊|中信銀行共用""), REGEXMATCH(F1586, ""Ben帳戶|Elsa帳戶|Ben代墊|Ariel代墊|中信銀行共用"")), ""內部轉帳(忽略)"",
  AND(E1586&lt;&gt;"""", F1586&lt;&gt;"""", N"&amp;"OT(REGEXMATCH(C1586, ""薪資""))), ""內部轉帳(忽略)"",
  REGEXMATCH(C1586, ""薪資""), ""薪資變動(不計入)"",
  REGEXMATCH(C1586, ""押金""), ""押金往來"",
  AND(E1586&lt;&gt;"""", F1586=""""), ""真實支出"",
  AND(E1586="""", F1586&lt;&gt;""""), ""真實收入"",
  TRUE, ""其他""
)"),"真實收入")</f>
        <v>真實收入</v>
      </c>
      <c r="K1586" s="270">
        <f t="shared" si="2"/>
        <v>12300</v>
      </c>
      <c r="L1586">
        <f t="shared" si="3"/>
        <v>0</v>
      </c>
    </row>
    <row r="1587">
      <c r="A1587" s="107">
        <f>IFERROR(__xludf.DUMMYFUNCTION("""COMPUTED_VALUE"""),45716.0)</f>
        <v>45716</v>
      </c>
      <c r="B1587" t="str">
        <f>IFERROR(__xludf.DUMMYFUNCTION("""COMPUTED_VALUE"""),"[大湖山莊] B [施惠卿] 月租金 (行號: 36)")</f>
        <v>[大湖山莊] B [施惠卿] 月租金 (行號: 36)</v>
      </c>
      <c r="C1587" t="str">
        <f>IFERROR(__xludf.DUMMYFUNCTION("""COMPUTED_VALUE"""),"收入 - 租金")</f>
        <v>收入 - 租金</v>
      </c>
      <c r="D1587" s="270">
        <f>IFERROR(__xludf.DUMMYFUNCTION("""COMPUTED_VALUE"""),12800.0)</f>
        <v>12800</v>
      </c>
      <c r="F1587" t="str">
        <f>IFERROR(__xludf.DUMMYFUNCTION("""COMPUTED_VALUE"""),"台銀籌備帳戶")</f>
        <v>台銀籌備帳戶</v>
      </c>
      <c r="G1587" t="str">
        <f>IFERROR(__xludf.DUMMYFUNCTION("""COMPUTED_VALUE"""),"大湖山莊")</f>
        <v>大湖山莊</v>
      </c>
      <c r="H1587" s="106" t="str">
        <f t="shared" si="1"/>
        <v>2025-02</v>
      </c>
      <c r="I1587" s="271" t="str">
        <f>IFERROR(__xludf.DUMMYFUNCTION("""COMPUTED_VALUE"""),"貓狗企鵝")</f>
        <v>貓狗企鵝</v>
      </c>
      <c r="J1587" t="str">
        <f>IFERROR(__xludf.DUMMYFUNCTION("IFS(
  AND(REGEXMATCH(E1587, ""台銀籌備帳戶|玉山帳戶""), REGEXMATCH(C1587, ""薪資"")), ""分潤支出"",
  AND(REGEXMATCH(E1587, ""Ben帳戶|Elsa帳戶|Ben代墊|Ariel代墊|中信銀行共用""), REGEXMATCH(F1587, ""Ben帳戶|Elsa帳戶|Ben代墊|Ariel代墊|中信銀行共用"")), ""內部轉帳(忽略)"",
  AND(E1587&lt;&gt;"""", F1587&lt;&gt;"""", N"&amp;"OT(REGEXMATCH(C1587, ""薪資""))), ""內部轉帳(忽略)"",
  REGEXMATCH(C1587, ""薪資""), ""薪資變動(不計入)"",
  REGEXMATCH(C1587, ""押金""), ""押金往來"",
  AND(E1587&lt;&gt;"""", F1587=""""), ""真實支出"",
  AND(E1587="""", F1587&lt;&gt;""""), ""真實收入"",
  TRUE, ""其他""
)"),"真實收入")</f>
        <v>真實收入</v>
      </c>
      <c r="K1587" s="270">
        <f t="shared" si="2"/>
        <v>12800</v>
      </c>
      <c r="L1587">
        <f t="shared" si="3"/>
        <v>0</v>
      </c>
    </row>
    <row r="1588">
      <c r="A1588" s="107">
        <f>IFERROR(__xludf.DUMMYFUNCTION("""COMPUTED_VALUE"""),45716.0)</f>
        <v>45716</v>
      </c>
      <c r="B1588" t="str">
        <f>IFERROR(__xludf.DUMMYFUNCTION("""COMPUTED_VALUE"""),"[哈拉對面] D [柳翰洋] 月租金 (行號: 38)")</f>
        <v>[哈拉對面] D [柳翰洋] 月租金 (行號: 38)</v>
      </c>
      <c r="C1588" t="str">
        <f>IFERROR(__xludf.DUMMYFUNCTION("""COMPUTED_VALUE"""),"收入 - 租金")</f>
        <v>收入 - 租金</v>
      </c>
      <c r="D1588" s="270">
        <f>IFERROR(__xludf.DUMMYFUNCTION("""COMPUTED_VALUE"""),11800.0)</f>
        <v>11800</v>
      </c>
      <c r="F1588" t="str">
        <f>IFERROR(__xludf.DUMMYFUNCTION("""COMPUTED_VALUE"""),"台銀籌備帳戶")</f>
        <v>台銀籌備帳戶</v>
      </c>
      <c r="G1588" t="str">
        <f>IFERROR(__xludf.DUMMYFUNCTION("""COMPUTED_VALUE"""),"哈拉對面")</f>
        <v>哈拉對面</v>
      </c>
      <c r="H1588" s="106" t="str">
        <f t="shared" si="1"/>
        <v>2025-02</v>
      </c>
      <c r="I1588" s="271" t="str">
        <f>IFERROR(__xludf.DUMMYFUNCTION("""COMPUTED_VALUE"""),"貓狗企鵝")</f>
        <v>貓狗企鵝</v>
      </c>
      <c r="J1588" t="str">
        <f>IFERROR(__xludf.DUMMYFUNCTION("IFS(
  AND(REGEXMATCH(E1588, ""台銀籌備帳戶|玉山帳戶""), REGEXMATCH(C1588, ""薪資"")), ""分潤支出"",
  AND(REGEXMATCH(E1588, ""Ben帳戶|Elsa帳戶|Ben代墊|Ariel代墊|中信銀行共用""), REGEXMATCH(F1588, ""Ben帳戶|Elsa帳戶|Ben代墊|Ariel代墊|中信銀行共用"")), ""內部轉帳(忽略)"",
  AND(E1588&lt;&gt;"""", F1588&lt;&gt;"""", N"&amp;"OT(REGEXMATCH(C1588, ""薪資""))), ""內部轉帳(忽略)"",
  REGEXMATCH(C1588, ""薪資""), ""薪資變動(不計入)"",
  REGEXMATCH(C1588, ""押金""), ""押金往來"",
  AND(E1588&lt;&gt;"""", F1588=""""), ""真實支出"",
  AND(E1588="""", F1588&lt;&gt;""""), ""真實收入"",
  TRUE, ""其他""
)"),"真實收入")</f>
        <v>真實收入</v>
      </c>
      <c r="K1588" s="270">
        <f t="shared" si="2"/>
        <v>11800</v>
      </c>
      <c r="L1588">
        <f t="shared" si="3"/>
        <v>0</v>
      </c>
    </row>
    <row r="1589">
      <c r="A1589" s="107">
        <f>IFERROR(__xludf.DUMMYFUNCTION("""COMPUTED_VALUE"""),45716.0)</f>
        <v>45716</v>
      </c>
      <c r="B1589" t="str">
        <f>IFERROR(__xludf.DUMMYFUNCTION("""COMPUTED_VALUE"""),"[景安2分鐘] B [張語婕, 張依憑] 月租金 (行號: 41)")</f>
        <v>[景安2分鐘] B [張語婕, 張依憑] 月租金 (行號: 41)</v>
      </c>
      <c r="C1589" t="str">
        <f>IFERROR(__xludf.DUMMYFUNCTION("""COMPUTED_VALUE"""),"收入 - 租金")</f>
        <v>收入 - 租金</v>
      </c>
      <c r="D1589" s="270">
        <f>IFERROR(__xludf.DUMMYFUNCTION("""COMPUTED_VALUE"""),18800.0)</f>
        <v>18800</v>
      </c>
      <c r="F1589" t="str">
        <f>IFERROR(__xludf.DUMMYFUNCTION("""COMPUTED_VALUE"""),"台銀籌備帳戶")</f>
        <v>台銀籌備帳戶</v>
      </c>
      <c r="G1589" t="str">
        <f>IFERROR(__xludf.DUMMYFUNCTION("""COMPUTED_VALUE"""),"景安2分鐘")</f>
        <v>景安2分鐘</v>
      </c>
      <c r="H1589" s="106" t="str">
        <f t="shared" si="1"/>
        <v>2025-02</v>
      </c>
      <c r="I1589" s="271" t="str">
        <f>IFERROR(__xludf.DUMMYFUNCTION("""COMPUTED_VALUE"""),"貓狗企鵝")</f>
        <v>貓狗企鵝</v>
      </c>
      <c r="J1589" t="str">
        <f>IFERROR(__xludf.DUMMYFUNCTION("IFS(
  AND(REGEXMATCH(E1589, ""台銀籌備帳戶|玉山帳戶""), REGEXMATCH(C1589, ""薪資"")), ""分潤支出"",
  AND(REGEXMATCH(E1589, ""Ben帳戶|Elsa帳戶|Ben代墊|Ariel代墊|中信銀行共用""), REGEXMATCH(F1589, ""Ben帳戶|Elsa帳戶|Ben代墊|Ariel代墊|中信銀行共用"")), ""內部轉帳(忽略)"",
  AND(E1589&lt;&gt;"""", F1589&lt;&gt;"""", N"&amp;"OT(REGEXMATCH(C1589, ""薪資""))), ""內部轉帳(忽略)"",
  REGEXMATCH(C1589, ""薪資""), ""薪資變動(不計入)"",
  REGEXMATCH(C1589, ""押金""), ""押金往來"",
  AND(E1589&lt;&gt;"""", F1589=""""), ""真實支出"",
  AND(E1589="""", F1589&lt;&gt;""""), ""真實收入"",
  TRUE, ""其他""
)"),"真實收入")</f>
        <v>真實收入</v>
      </c>
      <c r="K1589" s="270">
        <f t="shared" si="2"/>
        <v>18800</v>
      </c>
      <c r="L1589">
        <f t="shared" si="3"/>
        <v>0</v>
      </c>
    </row>
    <row r="1590">
      <c r="A1590" s="107">
        <f>IFERROR(__xludf.DUMMYFUNCTION("""COMPUTED_VALUE"""),45716.0)</f>
        <v>45716</v>
      </c>
      <c r="B1590" t="str">
        <f>IFERROR(__xludf.DUMMYFUNCTION("""COMPUTED_VALUE"""),"[永春四號] B [袁家鳳] 月租金 (行號: 42)")</f>
        <v>[永春四號] B [袁家鳳] 月租金 (行號: 42)</v>
      </c>
      <c r="C1590" t="str">
        <f>IFERROR(__xludf.DUMMYFUNCTION("""COMPUTED_VALUE"""),"收入 - 租金")</f>
        <v>收入 - 租金</v>
      </c>
      <c r="D1590" s="270">
        <f>IFERROR(__xludf.DUMMYFUNCTION("""COMPUTED_VALUE"""),13500.0)</f>
        <v>13500</v>
      </c>
      <c r="F1590" t="str">
        <f>IFERROR(__xludf.DUMMYFUNCTION("""COMPUTED_VALUE"""),"台銀籌備帳戶")</f>
        <v>台銀籌備帳戶</v>
      </c>
      <c r="G1590" t="str">
        <f>IFERROR(__xludf.DUMMYFUNCTION("""COMPUTED_VALUE"""),"永春四號")</f>
        <v>永春四號</v>
      </c>
      <c r="H1590" s="106" t="str">
        <f t="shared" si="1"/>
        <v>2025-02</v>
      </c>
      <c r="I1590" s="271" t="str">
        <f>IFERROR(__xludf.DUMMYFUNCTION("""COMPUTED_VALUE"""),"貓狗企鵝")</f>
        <v>貓狗企鵝</v>
      </c>
      <c r="J1590" t="str">
        <f>IFERROR(__xludf.DUMMYFUNCTION("IFS(
  AND(REGEXMATCH(E1590, ""台銀籌備帳戶|玉山帳戶""), REGEXMATCH(C1590, ""薪資"")), ""分潤支出"",
  AND(REGEXMATCH(E1590, ""Ben帳戶|Elsa帳戶|Ben代墊|Ariel代墊|中信銀行共用""), REGEXMATCH(F1590, ""Ben帳戶|Elsa帳戶|Ben代墊|Ariel代墊|中信銀行共用"")), ""內部轉帳(忽略)"",
  AND(E1590&lt;&gt;"""", F1590&lt;&gt;"""", N"&amp;"OT(REGEXMATCH(C1590, ""薪資""))), ""內部轉帳(忽略)"",
  REGEXMATCH(C1590, ""薪資""), ""薪資變動(不計入)"",
  REGEXMATCH(C1590, ""押金""), ""押金往來"",
  AND(E1590&lt;&gt;"""", F1590=""""), ""真實支出"",
  AND(E1590="""", F1590&lt;&gt;""""), ""真實收入"",
  TRUE, ""其他""
)"),"真實收入")</f>
        <v>真實收入</v>
      </c>
      <c r="K1590" s="270">
        <f t="shared" si="2"/>
        <v>13500</v>
      </c>
      <c r="L1590">
        <f t="shared" si="3"/>
        <v>0</v>
      </c>
    </row>
    <row r="1591">
      <c r="A1591" s="107">
        <f>IFERROR(__xludf.DUMMYFUNCTION("""COMPUTED_VALUE"""),45717.0)</f>
        <v>45717</v>
      </c>
      <c r="B1591" t="str">
        <f>IFERROR(__xludf.DUMMYFUNCTION("""COMPUTED_VALUE"""),"[北醫醫師府] C [余典蓉] 月租金 (行號: 43)")</f>
        <v>[北醫醫師府] C [余典蓉] 月租金 (行號: 43)</v>
      </c>
      <c r="C1591" t="str">
        <f>IFERROR(__xludf.DUMMYFUNCTION("""COMPUTED_VALUE"""),"收入 - 租金")</f>
        <v>收入 - 租金</v>
      </c>
      <c r="D1591" s="270">
        <f>IFERROR(__xludf.DUMMYFUNCTION("""COMPUTED_VALUE"""),13000.0)</f>
        <v>13000</v>
      </c>
      <c r="F1591" t="str">
        <f>IFERROR(__xludf.DUMMYFUNCTION("""COMPUTED_VALUE"""),"台銀籌備帳戶")</f>
        <v>台銀籌備帳戶</v>
      </c>
      <c r="G1591" t="str">
        <f>IFERROR(__xludf.DUMMYFUNCTION("""COMPUTED_VALUE"""),"北醫醫師府")</f>
        <v>北醫醫師府</v>
      </c>
      <c r="H1591" s="106" t="str">
        <f t="shared" si="1"/>
        <v>2025-03</v>
      </c>
      <c r="I1591" s="271" t="str">
        <f>IFERROR(__xludf.DUMMYFUNCTION("""COMPUTED_VALUE"""),"貓狗企鵝")</f>
        <v>貓狗企鵝</v>
      </c>
      <c r="J1591" t="str">
        <f>IFERROR(__xludf.DUMMYFUNCTION("IFS(
  AND(REGEXMATCH(E1591, ""台銀籌備帳戶|玉山帳戶""), REGEXMATCH(C1591, ""薪資"")), ""分潤支出"",
  AND(REGEXMATCH(E1591, ""Ben帳戶|Elsa帳戶|Ben代墊|Ariel代墊|中信銀行共用""), REGEXMATCH(F1591, ""Ben帳戶|Elsa帳戶|Ben代墊|Ariel代墊|中信銀行共用"")), ""內部轉帳(忽略)"",
  AND(E1591&lt;&gt;"""", F1591&lt;&gt;"""", N"&amp;"OT(REGEXMATCH(C1591, ""薪資""))), ""內部轉帳(忽略)"",
  REGEXMATCH(C1591, ""薪資""), ""薪資變動(不計入)"",
  REGEXMATCH(C1591, ""押金""), ""押金往來"",
  AND(E1591&lt;&gt;"""", F1591=""""), ""真實支出"",
  AND(E1591="""", F1591&lt;&gt;""""), ""真實收入"",
  TRUE, ""其他""
)"),"真實收入")</f>
        <v>真實收入</v>
      </c>
      <c r="K1591" s="270">
        <f t="shared" si="2"/>
        <v>13000</v>
      </c>
      <c r="L1591">
        <f t="shared" si="3"/>
        <v>0</v>
      </c>
    </row>
    <row r="1592">
      <c r="A1592" s="107">
        <f>IFERROR(__xludf.DUMMYFUNCTION("""COMPUTED_VALUE"""),45717.0)</f>
        <v>45717</v>
      </c>
      <c r="B1592" t="str">
        <f>IFERROR(__xludf.DUMMYFUNCTION("""COMPUTED_VALUE"""),"[北醫醫師府] D [劉怡秀] 月租金 (行號: 56)")</f>
        <v>[北醫醫師府] D [劉怡秀] 月租金 (行號: 56)</v>
      </c>
      <c r="C1592" t="str">
        <f>IFERROR(__xludf.DUMMYFUNCTION("""COMPUTED_VALUE"""),"收入 - 租金")</f>
        <v>收入 - 租金</v>
      </c>
      <c r="D1592" s="270">
        <f>IFERROR(__xludf.DUMMYFUNCTION("""COMPUTED_VALUE"""),12000.0)</f>
        <v>12000</v>
      </c>
      <c r="F1592" t="str">
        <f>IFERROR(__xludf.DUMMYFUNCTION("""COMPUTED_VALUE"""),"台銀籌備帳戶")</f>
        <v>台銀籌備帳戶</v>
      </c>
      <c r="G1592" t="str">
        <f>IFERROR(__xludf.DUMMYFUNCTION("""COMPUTED_VALUE"""),"北醫醫師府")</f>
        <v>北醫醫師府</v>
      </c>
      <c r="H1592" s="106" t="str">
        <f t="shared" si="1"/>
        <v>2025-03</v>
      </c>
      <c r="I1592" s="271" t="str">
        <f>IFERROR(__xludf.DUMMYFUNCTION("""COMPUTED_VALUE"""),"貓狗企鵝")</f>
        <v>貓狗企鵝</v>
      </c>
      <c r="J1592" t="str">
        <f>IFERROR(__xludf.DUMMYFUNCTION("IFS(
  AND(REGEXMATCH(E1592, ""台銀籌備帳戶|玉山帳戶""), REGEXMATCH(C1592, ""薪資"")), ""分潤支出"",
  AND(REGEXMATCH(E1592, ""Ben帳戶|Elsa帳戶|Ben代墊|Ariel代墊|中信銀行共用""), REGEXMATCH(F1592, ""Ben帳戶|Elsa帳戶|Ben代墊|Ariel代墊|中信銀行共用"")), ""內部轉帳(忽略)"",
  AND(E1592&lt;&gt;"""", F1592&lt;&gt;"""", N"&amp;"OT(REGEXMATCH(C1592, ""薪資""))), ""內部轉帳(忽略)"",
  REGEXMATCH(C1592, ""薪資""), ""薪資變動(不計入)"",
  REGEXMATCH(C1592, ""押金""), ""押金往來"",
  AND(E1592&lt;&gt;"""", F1592=""""), ""真實支出"",
  AND(E1592="""", F1592&lt;&gt;""""), ""真實收入"",
  TRUE, ""其他""
)"),"真實收入")</f>
        <v>真實收入</v>
      </c>
      <c r="K1592" s="270">
        <f t="shared" si="2"/>
        <v>12000</v>
      </c>
      <c r="L1592">
        <f t="shared" si="3"/>
        <v>0</v>
      </c>
    </row>
    <row r="1593">
      <c r="A1593" s="107">
        <f>IFERROR(__xludf.DUMMYFUNCTION("""COMPUTED_VALUE"""),45717.0)</f>
        <v>45717</v>
      </c>
      <c r="B1593" t="str">
        <f>IFERROR(__xludf.DUMMYFUNCTION("""COMPUTED_VALUE"""),"[北醫醫師府] A [吳緯程] 月租金 (行號: 57)")</f>
        <v>[北醫醫師府] A [吳緯程] 月租金 (行號: 57)</v>
      </c>
      <c r="C1593" t="str">
        <f>IFERROR(__xludf.DUMMYFUNCTION("""COMPUTED_VALUE"""),"收入 - 租金")</f>
        <v>收入 - 租金</v>
      </c>
      <c r="D1593" s="270">
        <f>IFERROR(__xludf.DUMMYFUNCTION("""COMPUTED_VALUE"""),13000.0)</f>
        <v>13000</v>
      </c>
      <c r="F1593" t="str">
        <f>IFERROR(__xludf.DUMMYFUNCTION("""COMPUTED_VALUE"""),"台銀籌備帳戶")</f>
        <v>台銀籌備帳戶</v>
      </c>
      <c r="G1593" t="str">
        <f>IFERROR(__xludf.DUMMYFUNCTION("""COMPUTED_VALUE"""),"北醫醫師府")</f>
        <v>北醫醫師府</v>
      </c>
      <c r="H1593" s="106" t="str">
        <f t="shared" si="1"/>
        <v>2025-03</v>
      </c>
      <c r="I1593" s="271" t="str">
        <f>IFERROR(__xludf.DUMMYFUNCTION("""COMPUTED_VALUE"""),"貓狗企鵝")</f>
        <v>貓狗企鵝</v>
      </c>
      <c r="J1593" t="str">
        <f>IFERROR(__xludf.DUMMYFUNCTION("IFS(
  AND(REGEXMATCH(E1593, ""台銀籌備帳戶|玉山帳戶""), REGEXMATCH(C1593, ""薪資"")), ""分潤支出"",
  AND(REGEXMATCH(E1593, ""Ben帳戶|Elsa帳戶|Ben代墊|Ariel代墊|中信銀行共用""), REGEXMATCH(F1593, ""Ben帳戶|Elsa帳戶|Ben代墊|Ariel代墊|中信銀行共用"")), ""內部轉帳(忽略)"",
  AND(E1593&lt;&gt;"""", F1593&lt;&gt;"""", N"&amp;"OT(REGEXMATCH(C1593, ""薪資""))), ""內部轉帳(忽略)"",
  REGEXMATCH(C1593, ""薪資""), ""薪資變動(不計入)"",
  REGEXMATCH(C1593, ""押金""), ""押金往來"",
  AND(E1593&lt;&gt;"""", F1593=""""), ""真實支出"",
  AND(E1593="""", F1593&lt;&gt;""""), ""真實收入"",
  TRUE, ""其他""
)"),"真實收入")</f>
        <v>真實收入</v>
      </c>
      <c r="K1593" s="270">
        <f t="shared" si="2"/>
        <v>13000</v>
      </c>
      <c r="L1593">
        <f t="shared" si="3"/>
        <v>0</v>
      </c>
    </row>
    <row r="1594">
      <c r="A1594" s="107">
        <f>IFERROR(__xludf.DUMMYFUNCTION("""COMPUTED_VALUE"""),45717.0)</f>
        <v>45717</v>
      </c>
      <c r="B1594" t="str">
        <f>IFERROR(__xludf.DUMMYFUNCTION("""COMPUTED_VALUE"""),"[中山北娘家旁] A [李亨加] 月租金 (行號: 59, 60)")</f>
        <v>[中山北娘家旁] A [李亨加] 月租金 (行號: 59, 60)</v>
      </c>
      <c r="C1594" t="str">
        <f>IFERROR(__xludf.DUMMYFUNCTION("""COMPUTED_VALUE"""),"收入 - 租金")</f>
        <v>收入 - 租金</v>
      </c>
      <c r="D1594" s="270">
        <f>IFERROR(__xludf.DUMMYFUNCTION("""COMPUTED_VALUE"""),12500.0)</f>
        <v>12500</v>
      </c>
      <c r="F1594" t="str">
        <f>IFERROR(__xludf.DUMMYFUNCTION("""COMPUTED_VALUE"""),"台銀籌備帳戶")</f>
        <v>台銀籌備帳戶</v>
      </c>
      <c r="G1594" t="str">
        <f>IFERROR(__xludf.DUMMYFUNCTION("""COMPUTED_VALUE"""),"中山北娘家旁")</f>
        <v>中山北娘家旁</v>
      </c>
      <c r="H1594" s="106" t="str">
        <f t="shared" si="1"/>
        <v>2025-03</v>
      </c>
      <c r="I1594" s="271" t="str">
        <f>IFERROR(__xludf.DUMMYFUNCTION("""COMPUTED_VALUE"""),"貓狗企鵝")</f>
        <v>貓狗企鵝</v>
      </c>
      <c r="J1594" t="str">
        <f>IFERROR(__xludf.DUMMYFUNCTION("IFS(
  AND(REGEXMATCH(E1594, ""台銀籌備帳戶|玉山帳戶""), REGEXMATCH(C1594, ""薪資"")), ""分潤支出"",
  AND(REGEXMATCH(E1594, ""Ben帳戶|Elsa帳戶|Ben代墊|Ariel代墊|中信銀行共用""), REGEXMATCH(F1594, ""Ben帳戶|Elsa帳戶|Ben代墊|Ariel代墊|中信銀行共用"")), ""內部轉帳(忽略)"",
  AND(E1594&lt;&gt;"""", F1594&lt;&gt;"""", N"&amp;"OT(REGEXMATCH(C1594, ""薪資""))), ""內部轉帳(忽略)"",
  REGEXMATCH(C1594, ""薪資""), ""薪資變動(不計入)"",
  REGEXMATCH(C1594, ""押金""), ""押金往來"",
  AND(E1594&lt;&gt;"""", F1594=""""), ""真實支出"",
  AND(E1594="""", F1594&lt;&gt;""""), ""真實收入"",
  TRUE, ""其他""
)"),"真實收入")</f>
        <v>真實收入</v>
      </c>
      <c r="K1594" s="270">
        <f t="shared" si="2"/>
        <v>12500</v>
      </c>
      <c r="L1594">
        <f t="shared" si="3"/>
        <v>0</v>
      </c>
    </row>
    <row r="1595">
      <c r="A1595" s="107">
        <f>IFERROR(__xludf.DUMMYFUNCTION("""COMPUTED_VALUE"""),45717.0)</f>
        <v>45717</v>
      </c>
      <c r="B1595" t="str">
        <f>IFERROR(__xludf.DUMMYFUNCTION("""COMPUTED_VALUE"""),"[景安2分鐘] D [鍾佩晶] 月租金 (行號: 61)")</f>
        <v>[景安2分鐘] D [鍾佩晶] 月租金 (行號: 61)</v>
      </c>
      <c r="C1595" t="str">
        <f>IFERROR(__xludf.DUMMYFUNCTION("""COMPUTED_VALUE"""),"收入 - 租金")</f>
        <v>收入 - 租金</v>
      </c>
      <c r="D1595" s="270">
        <f>IFERROR(__xludf.DUMMYFUNCTION("""COMPUTED_VALUE"""),8600.0)</f>
        <v>8600</v>
      </c>
      <c r="F1595" t="str">
        <f>IFERROR(__xludf.DUMMYFUNCTION("""COMPUTED_VALUE"""),"台銀籌備帳戶")</f>
        <v>台銀籌備帳戶</v>
      </c>
      <c r="G1595" t="str">
        <f>IFERROR(__xludf.DUMMYFUNCTION("""COMPUTED_VALUE"""),"景安2分鐘")</f>
        <v>景安2分鐘</v>
      </c>
      <c r="H1595" s="106" t="str">
        <f t="shared" si="1"/>
        <v>2025-03</v>
      </c>
      <c r="I1595" s="271" t="str">
        <f>IFERROR(__xludf.DUMMYFUNCTION("""COMPUTED_VALUE"""),"貓狗企鵝")</f>
        <v>貓狗企鵝</v>
      </c>
      <c r="J1595" t="str">
        <f>IFERROR(__xludf.DUMMYFUNCTION("IFS(
  AND(REGEXMATCH(E1595, ""台銀籌備帳戶|玉山帳戶""), REGEXMATCH(C1595, ""薪資"")), ""分潤支出"",
  AND(REGEXMATCH(E1595, ""Ben帳戶|Elsa帳戶|Ben代墊|Ariel代墊|中信銀行共用""), REGEXMATCH(F1595, ""Ben帳戶|Elsa帳戶|Ben代墊|Ariel代墊|中信銀行共用"")), ""內部轉帳(忽略)"",
  AND(E1595&lt;&gt;"""", F1595&lt;&gt;"""", N"&amp;"OT(REGEXMATCH(C1595, ""薪資""))), ""內部轉帳(忽略)"",
  REGEXMATCH(C1595, ""薪資""), ""薪資變動(不計入)"",
  REGEXMATCH(C1595, ""押金""), ""押金往來"",
  AND(E1595&lt;&gt;"""", F1595=""""), ""真實支出"",
  AND(E1595="""", F1595&lt;&gt;""""), ""真實收入"",
  TRUE, ""其他""
)"),"真實收入")</f>
        <v>真實收入</v>
      </c>
      <c r="K1595" s="270">
        <f t="shared" si="2"/>
        <v>8600</v>
      </c>
      <c r="L1595">
        <f t="shared" si="3"/>
        <v>0</v>
      </c>
    </row>
    <row r="1596">
      <c r="A1596" s="107">
        <f>IFERROR(__xludf.DUMMYFUNCTION("""COMPUTED_VALUE"""),45717.0)</f>
        <v>45717</v>
      </c>
      <c r="B1596" t="str">
        <f>IFERROR(__xludf.DUMMYFUNCTION("""COMPUTED_VALUE"""),"[大湖山莊] C [姚伯謙] 月租金 (行號: 62)")</f>
        <v>[大湖山莊] C [姚伯謙] 月租金 (行號: 62)</v>
      </c>
      <c r="C1596" t="str">
        <f>IFERROR(__xludf.DUMMYFUNCTION("""COMPUTED_VALUE"""),"收入 - 租金")</f>
        <v>收入 - 租金</v>
      </c>
      <c r="D1596" s="270">
        <f>IFERROR(__xludf.DUMMYFUNCTION("""COMPUTED_VALUE"""),18800.0)</f>
        <v>18800</v>
      </c>
      <c r="F1596" t="str">
        <f>IFERROR(__xludf.DUMMYFUNCTION("""COMPUTED_VALUE"""),"台銀籌備帳戶")</f>
        <v>台銀籌備帳戶</v>
      </c>
      <c r="G1596" t="str">
        <f>IFERROR(__xludf.DUMMYFUNCTION("""COMPUTED_VALUE"""),"大湖山莊")</f>
        <v>大湖山莊</v>
      </c>
      <c r="H1596" s="106" t="str">
        <f t="shared" si="1"/>
        <v>2025-03</v>
      </c>
      <c r="I1596" s="271" t="str">
        <f>IFERROR(__xludf.DUMMYFUNCTION("""COMPUTED_VALUE"""),"貓狗企鵝")</f>
        <v>貓狗企鵝</v>
      </c>
      <c r="J1596" t="str">
        <f>IFERROR(__xludf.DUMMYFUNCTION("IFS(
  AND(REGEXMATCH(E1596, ""台銀籌備帳戶|玉山帳戶""), REGEXMATCH(C1596, ""薪資"")), ""分潤支出"",
  AND(REGEXMATCH(E1596, ""Ben帳戶|Elsa帳戶|Ben代墊|Ariel代墊|中信銀行共用""), REGEXMATCH(F1596, ""Ben帳戶|Elsa帳戶|Ben代墊|Ariel代墊|中信銀行共用"")), ""內部轉帳(忽略)"",
  AND(E1596&lt;&gt;"""", F1596&lt;&gt;"""", N"&amp;"OT(REGEXMATCH(C1596, ""薪資""))), ""內部轉帳(忽略)"",
  REGEXMATCH(C1596, ""薪資""), ""薪資變動(不計入)"",
  REGEXMATCH(C1596, ""押金""), ""押金往來"",
  AND(E1596&lt;&gt;"""", F1596=""""), ""真實支出"",
  AND(E1596="""", F1596&lt;&gt;""""), ""真實收入"",
  TRUE, ""其他""
)"),"真實收入")</f>
        <v>真實收入</v>
      </c>
      <c r="K1596" s="270">
        <f t="shared" si="2"/>
        <v>18800</v>
      </c>
      <c r="L1596">
        <f t="shared" si="3"/>
        <v>0</v>
      </c>
    </row>
    <row r="1597">
      <c r="A1597" s="107">
        <f>IFERROR(__xludf.DUMMYFUNCTION("""COMPUTED_VALUE"""),45717.0)</f>
        <v>45717</v>
      </c>
      <c r="B1597" t="str">
        <f>IFERROR(__xludf.DUMMYFUNCTION("""COMPUTED_VALUE"""),"[中山北Feli家] C [郭亞潔] 月租金 (行號: 63)")</f>
        <v>[中山北Feli家] C [郭亞潔] 月租金 (行號: 63)</v>
      </c>
      <c r="C1597" t="str">
        <f>IFERROR(__xludf.DUMMYFUNCTION("""COMPUTED_VALUE"""),"收入 - 租金")</f>
        <v>收入 - 租金</v>
      </c>
      <c r="D1597" s="270">
        <f>IFERROR(__xludf.DUMMYFUNCTION("""COMPUTED_VALUE"""),11500.0)</f>
        <v>11500</v>
      </c>
      <c r="F1597" t="str">
        <f>IFERROR(__xludf.DUMMYFUNCTION("""COMPUTED_VALUE"""),"台銀籌備帳戶")</f>
        <v>台銀籌備帳戶</v>
      </c>
      <c r="G1597" t="str">
        <f>IFERROR(__xludf.DUMMYFUNCTION("""COMPUTED_VALUE"""),"中山北Feli家")</f>
        <v>中山北Feli家</v>
      </c>
      <c r="H1597" s="106" t="str">
        <f t="shared" si="1"/>
        <v>2025-03</v>
      </c>
      <c r="I1597" s="271" t="str">
        <f>IFERROR(__xludf.DUMMYFUNCTION("""COMPUTED_VALUE"""),"貓狗企鵝")</f>
        <v>貓狗企鵝</v>
      </c>
      <c r="J1597" t="str">
        <f>IFERROR(__xludf.DUMMYFUNCTION("IFS(
  AND(REGEXMATCH(E1597, ""台銀籌備帳戶|玉山帳戶""), REGEXMATCH(C1597, ""薪資"")), ""分潤支出"",
  AND(REGEXMATCH(E1597, ""Ben帳戶|Elsa帳戶|Ben代墊|Ariel代墊|中信銀行共用""), REGEXMATCH(F1597, ""Ben帳戶|Elsa帳戶|Ben代墊|Ariel代墊|中信銀行共用"")), ""內部轉帳(忽略)"",
  AND(E1597&lt;&gt;"""", F1597&lt;&gt;"""", N"&amp;"OT(REGEXMATCH(C1597, ""薪資""))), ""內部轉帳(忽略)"",
  REGEXMATCH(C1597, ""薪資""), ""薪資變動(不計入)"",
  REGEXMATCH(C1597, ""押金""), ""押金往來"",
  AND(E1597&lt;&gt;"""", F1597=""""), ""真實支出"",
  AND(E1597="""", F1597&lt;&gt;""""), ""真實收入"",
  TRUE, ""其他""
)"),"真實收入")</f>
        <v>真實收入</v>
      </c>
      <c r="K1597" s="270">
        <f t="shared" si="2"/>
        <v>11500</v>
      </c>
      <c r="L1597">
        <f t="shared" si="3"/>
        <v>0</v>
      </c>
    </row>
    <row r="1598">
      <c r="A1598" s="107">
        <f>IFERROR(__xludf.DUMMYFUNCTION("""COMPUTED_VALUE"""),45717.0)</f>
        <v>45717</v>
      </c>
      <c r="B1598" t="str">
        <f>IFERROR(__xludf.DUMMYFUNCTION("""COMPUTED_VALUE"""),"[南港站挑高宅] D [吳城慕] 月租金 (行號: 64)")</f>
        <v>[南港站挑高宅] D [吳城慕] 月租金 (行號: 64)</v>
      </c>
      <c r="C1598" t="str">
        <f>IFERROR(__xludf.DUMMYFUNCTION("""COMPUTED_VALUE"""),"收入 - 租金")</f>
        <v>收入 - 租金</v>
      </c>
      <c r="D1598" s="270">
        <f>IFERROR(__xludf.DUMMYFUNCTION("""COMPUTED_VALUE"""),14300.0)</f>
        <v>14300</v>
      </c>
      <c r="F1598" t="str">
        <f>IFERROR(__xludf.DUMMYFUNCTION("""COMPUTED_VALUE"""),"台銀籌備帳戶")</f>
        <v>台銀籌備帳戶</v>
      </c>
      <c r="G1598" t="str">
        <f>IFERROR(__xludf.DUMMYFUNCTION("""COMPUTED_VALUE"""),"南港站挑高宅")</f>
        <v>南港站挑高宅</v>
      </c>
      <c r="H1598" s="106" t="str">
        <f t="shared" si="1"/>
        <v>2025-03</v>
      </c>
      <c r="I1598" s="271" t="str">
        <f>IFERROR(__xludf.DUMMYFUNCTION("""COMPUTED_VALUE"""),"貓狗企鵝")</f>
        <v>貓狗企鵝</v>
      </c>
      <c r="J1598" t="str">
        <f>IFERROR(__xludf.DUMMYFUNCTION("IFS(
  AND(REGEXMATCH(E1598, ""台銀籌備帳戶|玉山帳戶""), REGEXMATCH(C1598, ""薪資"")), ""分潤支出"",
  AND(REGEXMATCH(E1598, ""Ben帳戶|Elsa帳戶|Ben代墊|Ariel代墊|中信銀行共用""), REGEXMATCH(F1598, ""Ben帳戶|Elsa帳戶|Ben代墊|Ariel代墊|中信銀行共用"")), ""內部轉帳(忽略)"",
  AND(E1598&lt;&gt;"""", F1598&lt;&gt;"""", N"&amp;"OT(REGEXMATCH(C1598, ""薪資""))), ""內部轉帳(忽略)"",
  REGEXMATCH(C1598, ""薪資""), ""薪資變動(不計入)"",
  REGEXMATCH(C1598, ""押金""), ""押金往來"",
  AND(E1598&lt;&gt;"""", F1598=""""), ""真實支出"",
  AND(E1598="""", F1598&lt;&gt;""""), ""真實收入"",
  TRUE, ""其他""
)"),"真實收入")</f>
        <v>真實收入</v>
      </c>
      <c r="K1598" s="270">
        <f t="shared" si="2"/>
        <v>14300</v>
      </c>
      <c r="L1598">
        <f t="shared" si="3"/>
        <v>0</v>
      </c>
    </row>
    <row r="1599">
      <c r="A1599" s="107">
        <f>IFERROR(__xludf.DUMMYFUNCTION("""COMPUTED_VALUE"""),45717.0)</f>
        <v>45717</v>
      </c>
      <c r="B1599" t="str">
        <f>IFERROR(__xludf.DUMMYFUNCTION("""COMPUTED_VALUE"""),"[永春四號] D [翁政熙] 月租金 (行號: 65)")</f>
        <v>[永春四號] D [翁政熙] 月租金 (行號: 65)</v>
      </c>
      <c r="C1599" t="str">
        <f>IFERROR(__xludf.DUMMYFUNCTION("""COMPUTED_VALUE"""),"收入 - 租金")</f>
        <v>收入 - 租金</v>
      </c>
      <c r="D1599" s="270">
        <f>IFERROR(__xludf.DUMMYFUNCTION("""COMPUTED_VALUE"""),14800.0)</f>
        <v>14800</v>
      </c>
      <c r="F1599" t="str">
        <f>IFERROR(__xludf.DUMMYFUNCTION("""COMPUTED_VALUE"""),"台銀籌備帳戶")</f>
        <v>台銀籌備帳戶</v>
      </c>
      <c r="G1599" t="str">
        <f>IFERROR(__xludf.DUMMYFUNCTION("""COMPUTED_VALUE"""),"永春四號")</f>
        <v>永春四號</v>
      </c>
      <c r="H1599" s="106" t="str">
        <f t="shared" si="1"/>
        <v>2025-03</v>
      </c>
      <c r="I1599" s="271" t="str">
        <f>IFERROR(__xludf.DUMMYFUNCTION("""COMPUTED_VALUE"""),"貓狗企鵝")</f>
        <v>貓狗企鵝</v>
      </c>
      <c r="J1599" t="str">
        <f>IFERROR(__xludf.DUMMYFUNCTION("IFS(
  AND(REGEXMATCH(E1599, ""台銀籌備帳戶|玉山帳戶""), REGEXMATCH(C1599, ""薪資"")), ""分潤支出"",
  AND(REGEXMATCH(E1599, ""Ben帳戶|Elsa帳戶|Ben代墊|Ariel代墊|中信銀行共用""), REGEXMATCH(F1599, ""Ben帳戶|Elsa帳戶|Ben代墊|Ariel代墊|中信銀行共用"")), ""內部轉帳(忽略)"",
  AND(E1599&lt;&gt;"""", F1599&lt;&gt;"""", N"&amp;"OT(REGEXMATCH(C1599, ""薪資""))), ""內部轉帳(忽略)"",
  REGEXMATCH(C1599, ""薪資""), ""薪資變動(不計入)"",
  REGEXMATCH(C1599, ""押金""), ""押金往來"",
  AND(E1599&lt;&gt;"""", F1599=""""), ""真實支出"",
  AND(E1599="""", F1599&lt;&gt;""""), ""真實收入"",
  TRUE, ""其他""
)"),"真實收入")</f>
        <v>真實收入</v>
      </c>
      <c r="K1599" s="270">
        <f t="shared" si="2"/>
        <v>14800</v>
      </c>
      <c r="L1599">
        <f t="shared" si="3"/>
        <v>0</v>
      </c>
    </row>
    <row r="1600">
      <c r="A1600" s="107">
        <f>IFERROR(__xludf.DUMMYFUNCTION("""COMPUTED_VALUE"""),45717.0)</f>
        <v>45717</v>
      </c>
      <c r="B1600" t="str">
        <f>IFERROR(__xludf.DUMMYFUNCTION("""COMPUTED_VALUE"""),"[中山北娘家旁] D [許庭偉] 月租金 (行號: 66)")</f>
        <v>[中山北娘家旁] D [許庭偉] 月租金 (行號: 66)</v>
      </c>
      <c r="C1600" t="str">
        <f>IFERROR(__xludf.DUMMYFUNCTION("""COMPUTED_VALUE"""),"收入 - 租金")</f>
        <v>收入 - 租金</v>
      </c>
      <c r="D1600" s="270">
        <f>IFERROR(__xludf.DUMMYFUNCTION("""COMPUTED_VALUE"""),14500.0)</f>
        <v>14500</v>
      </c>
      <c r="F1600" t="str">
        <f>IFERROR(__xludf.DUMMYFUNCTION("""COMPUTED_VALUE"""),"台銀籌備帳戶")</f>
        <v>台銀籌備帳戶</v>
      </c>
      <c r="G1600" t="str">
        <f>IFERROR(__xludf.DUMMYFUNCTION("""COMPUTED_VALUE"""),"中山北娘家旁")</f>
        <v>中山北娘家旁</v>
      </c>
      <c r="H1600" s="106" t="str">
        <f t="shared" si="1"/>
        <v>2025-03</v>
      </c>
      <c r="I1600" s="271" t="str">
        <f>IFERROR(__xludf.DUMMYFUNCTION("""COMPUTED_VALUE"""),"貓狗企鵝")</f>
        <v>貓狗企鵝</v>
      </c>
      <c r="J1600" t="str">
        <f>IFERROR(__xludf.DUMMYFUNCTION("IFS(
  AND(REGEXMATCH(E1600, ""台銀籌備帳戶|玉山帳戶""), REGEXMATCH(C1600, ""薪資"")), ""分潤支出"",
  AND(REGEXMATCH(E1600, ""Ben帳戶|Elsa帳戶|Ben代墊|Ariel代墊|中信銀行共用""), REGEXMATCH(F1600, ""Ben帳戶|Elsa帳戶|Ben代墊|Ariel代墊|中信銀行共用"")), ""內部轉帳(忽略)"",
  AND(E1600&lt;&gt;"""", F1600&lt;&gt;"""", N"&amp;"OT(REGEXMATCH(C1600, ""薪資""))), ""內部轉帳(忽略)"",
  REGEXMATCH(C1600, ""薪資""), ""薪資變動(不計入)"",
  REGEXMATCH(C1600, ""押金""), ""押金往來"",
  AND(E1600&lt;&gt;"""", F1600=""""), ""真實支出"",
  AND(E1600="""", F1600&lt;&gt;""""), ""真實收入"",
  TRUE, ""其他""
)"),"真實收入")</f>
        <v>真實收入</v>
      </c>
      <c r="K1600" s="270">
        <f t="shared" si="2"/>
        <v>14500</v>
      </c>
      <c r="L1600">
        <f t="shared" si="3"/>
        <v>0</v>
      </c>
    </row>
    <row r="1601">
      <c r="A1601" s="107">
        <f>IFERROR(__xludf.DUMMYFUNCTION("""COMPUTED_VALUE"""),45717.0)</f>
        <v>45717</v>
      </c>
      <c r="B1601" t="str">
        <f>IFERROR(__xludf.DUMMYFUNCTION("""COMPUTED_VALUE"""),"[市府爺爺家] A [董書鵬, 張瑋珊] 月租金 (行號: 67)")</f>
        <v>[市府爺爺家] A [董書鵬, 張瑋珊] 月租金 (行號: 67)</v>
      </c>
      <c r="C1601" t="str">
        <f>IFERROR(__xludf.DUMMYFUNCTION("""COMPUTED_VALUE"""),"收入 - 租金")</f>
        <v>收入 - 租金</v>
      </c>
      <c r="D1601" s="270">
        <f>IFERROR(__xludf.DUMMYFUNCTION("""COMPUTED_VALUE"""),22000.0)</f>
        <v>22000</v>
      </c>
      <c r="F1601" t="str">
        <f>IFERROR(__xludf.DUMMYFUNCTION("""COMPUTED_VALUE"""),"台銀籌備帳戶")</f>
        <v>台銀籌備帳戶</v>
      </c>
      <c r="G1601" t="str">
        <f>IFERROR(__xludf.DUMMYFUNCTION("""COMPUTED_VALUE"""),"市府爺爺家")</f>
        <v>市府爺爺家</v>
      </c>
      <c r="H1601" s="106" t="str">
        <f t="shared" si="1"/>
        <v>2025-03</v>
      </c>
      <c r="I1601" s="271" t="str">
        <f>IFERROR(__xludf.DUMMYFUNCTION("""COMPUTED_VALUE"""),"貓狗企鵝")</f>
        <v>貓狗企鵝</v>
      </c>
      <c r="J1601" t="str">
        <f>IFERROR(__xludf.DUMMYFUNCTION("IFS(
  AND(REGEXMATCH(E1601, ""台銀籌備帳戶|玉山帳戶""), REGEXMATCH(C1601, ""薪資"")), ""分潤支出"",
  AND(REGEXMATCH(E1601, ""Ben帳戶|Elsa帳戶|Ben代墊|Ariel代墊|中信銀行共用""), REGEXMATCH(F1601, ""Ben帳戶|Elsa帳戶|Ben代墊|Ariel代墊|中信銀行共用"")), ""內部轉帳(忽略)"",
  AND(E1601&lt;&gt;"""", F1601&lt;&gt;"""", N"&amp;"OT(REGEXMATCH(C1601, ""薪資""))), ""內部轉帳(忽略)"",
  REGEXMATCH(C1601, ""薪資""), ""薪資變動(不計入)"",
  REGEXMATCH(C1601, ""押金""), ""押金往來"",
  AND(E1601&lt;&gt;"""", F1601=""""), ""真實支出"",
  AND(E1601="""", F1601&lt;&gt;""""), ""真實收入"",
  TRUE, ""其他""
)"),"真實收入")</f>
        <v>真實收入</v>
      </c>
      <c r="K1601" s="270">
        <f t="shared" si="2"/>
        <v>22000</v>
      </c>
      <c r="L1601">
        <f t="shared" si="3"/>
        <v>0</v>
      </c>
    </row>
    <row r="1602">
      <c r="A1602" s="107">
        <f>IFERROR(__xludf.DUMMYFUNCTION("""COMPUTED_VALUE"""),45717.0)</f>
        <v>45717</v>
      </c>
      <c r="B1602" t="str">
        <f>IFERROR(__xludf.DUMMYFUNCTION("""COMPUTED_VALUE"""),"[哈拉對面] A [李柏緯] 月租金 (行號: 68)")</f>
        <v>[哈拉對面] A [李柏緯] 月租金 (行號: 68)</v>
      </c>
      <c r="C1602" t="str">
        <f>IFERROR(__xludf.DUMMYFUNCTION("""COMPUTED_VALUE"""),"收入 - 租金")</f>
        <v>收入 - 租金</v>
      </c>
      <c r="D1602" s="270">
        <f>IFERROR(__xludf.DUMMYFUNCTION("""COMPUTED_VALUE"""),11300.0)</f>
        <v>11300</v>
      </c>
      <c r="F1602" t="str">
        <f>IFERROR(__xludf.DUMMYFUNCTION("""COMPUTED_VALUE"""),"台銀籌備帳戶")</f>
        <v>台銀籌備帳戶</v>
      </c>
      <c r="G1602" t="str">
        <f>IFERROR(__xludf.DUMMYFUNCTION("""COMPUTED_VALUE"""),"哈拉對面")</f>
        <v>哈拉對面</v>
      </c>
      <c r="H1602" s="106" t="str">
        <f t="shared" si="1"/>
        <v>2025-03</v>
      </c>
      <c r="I1602" s="271" t="str">
        <f>IFERROR(__xludf.DUMMYFUNCTION("""COMPUTED_VALUE"""),"貓狗企鵝")</f>
        <v>貓狗企鵝</v>
      </c>
      <c r="J1602" t="str">
        <f>IFERROR(__xludf.DUMMYFUNCTION("IFS(
  AND(REGEXMATCH(E1602, ""台銀籌備帳戶|玉山帳戶""), REGEXMATCH(C1602, ""薪資"")), ""分潤支出"",
  AND(REGEXMATCH(E1602, ""Ben帳戶|Elsa帳戶|Ben代墊|Ariel代墊|中信銀行共用""), REGEXMATCH(F1602, ""Ben帳戶|Elsa帳戶|Ben代墊|Ariel代墊|中信銀行共用"")), ""內部轉帳(忽略)"",
  AND(E1602&lt;&gt;"""", F1602&lt;&gt;"""", N"&amp;"OT(REGEXMATCH(C1602, ""薪資""))), ""內部轉帳(忽略)"",
  REGEXMATCH(C1602, ""薪資""), ""薪資變動(不計入)"",
  REGEXMATCH(C1602, ""押金""), ""押金往來"",
  AND(E1602&lt;&gt;"""", F1602=""""), ""真實支出"",
  AND(E1602="""", F1602&lt;&gt;""""), ""真實收入"",
  TRUE, ""其他""
)"),"真實收入")</f>
        <v>真實收入</v>
      </c>
      <c r="K1602" s="270">
        <f t="shared" si="2"/>
        <v>11300</v>
      </c>
      <c r="L1602">
        <f t="shared" si="3"/>
        <v>0</v>
      </c>
    </row>
    <row r="1603">
      <c r="A1603" s="107">
        <f>IFERROR(__xludf.DUMMYFUNCTION("""COMPUTED_VALUE"""),45717.0)</f>
        <v>45717</v>
      </c>
      <c r="B1603" t="str">
        <f>IFERROR(__xludf.DUMMYFUNCTION("""COMPUTED_VALUE"""),"[龍江229] A [許霈琪] 月租金 (行號: 69, 70)")</f>
        <v>[龍江229] A [許霈琪] 月租金 (行號: 69, 70)</v>
      </c>
      <c r="C1603" t="str">
        <f>IFERROR(__xludf.DUMMYFUNCTION("""COMPUTED_VALUE"""),"收入 - 租金")</f>
        <v>收入 - 租金</v>
      </c>
      <c r="D1603" s="270">
        <f>IFERROR(__xludf.DUMMYFUNCTION("""COMPUTED_VALUE"""),12000.0)</f>
        <v>12000</v>
      </c>
      <c r="F1603" t="str">
        <f>IFERROR(__xludf.DUMMYFUNCTION("""COMPUTED_VALUE"""),"台銀籌備帳戶")</f>
        <v>台銀籌備帳戶</v>
      </c>
      <c r="G1603" t="str">
        <f>IFERROR(__xludf.DUMMYFUNCTION("""COMPUTED_VALUE"""),"龍江229")</f>
        <v>龍江229</v>
      </c>
      <c r="H1603" s="106" t="str">
        <f t="shared" si="1"/>
        <v>2025-03</v>
      </c>
      <c r="I1603" s="271" t="str">
        <f>IFERROR(__xludf.DUMMYFUNCTION("""COMPUTED_VALUE"""),"貓狗企鵝")</f>
        <v>貓狗企鵝</v>
      </c>
      <c r="J1603" t="str">
        <f>IFERROR(__xludf.DUMMYFUNCTION("IFS(
  AND(REGEXMATCH(E1603, ""台銀籌備帳戶|玉山帳戶""), REGEXMATCH(C1603, ""薪資"")), ""分潤支出"",
  AND(REGEXMATCH(E1603, ""Ben帳戶|Elsa帳戶|Ben代墊|Ariel代墊|中信銀行共用""), REGEXMATCH(F1603, ""Ben帳戶|Elsa帳戶|Ben代墊|Ariel代墊|中信銀行共用"")), ""內部轉帳(忽略)"",
  AND(E1603&lt;&gt;"""", F1603&lt;&gt;"""", N"&amp;"OT(REGEXMATCH(C1603, ""薪資""))), ""內部轉帳(忽略)"",
  REGEXMATCH(C1603, ""薪資""), ""薪資變動(不計入)"",
  REGEXMATCH(C1603, ""押金""), ""押金往來"",
  AND(E1603&lt;&gt;"""", F1603=""""), ""真實支出"",
  AND(E1603="""", F1603&lt;&gt;""""), ""真實收入"",
  TRUE, ""其他""
)"),"真實收入")</f>
        <v>真實收入</v>
      </c>
      <c r="K1603" s="270">
        <f t="shared" si="2"/>
        <v>12000</v>
      </c>
      <c r="L1603">
        <f t="shared" si="3"/>
        <v>0</v>
      </c>
    </row>
    <row r="1604">
      <c r="A1604" s="107">
        <f>IFERROR(__xludf.DUMMYFUNCTION("""COMPUTED_VALUE"""),45717.0)</f>
        <v>45717</v>
      </c>
      <c r="B1604" t="str">
        <f>IFERROR(__xludf.DUMMYFUNCTION("""COMPUTED_VALUE"""),"[哈拉對面] C [徐鉦庭] 月租金 (行號: 71)")</f>
        <v>[哈拉對面] C [徐鉦庭] 月租金 (行號: 71)</v>
      </c>
      <c r="C1604" t="str">
        <f>IFERROR(__xludf.DUMMYFUNCTION("""COMPUTED_VALUE"""),"收入 - 租金")</f>
        <v>收入 - 租金</v>
      </c>
      <c r="D1604" s="270">
        <f>IFERROR(__xludf.DUMMYFUNCTION("""COMPUTED_VALUE"""),11800.0)</f>
        <v>11800</v>
      </c>
      <c r="F1604" t="str">
        <f>IFERROR(__xludf.DUMMYFUNCTION("""COMPUTED_VALUE"""),"台銀籌備帳戶")</f>
        <v>台銀籌備帳戶</v>
      </c>
      <c r="G1604" t="str">
        <f>IFERROR(__xludf.DUMMYFUNCTION("""COMPUTED_VALUE"""),"哈拉對面")</f>
        <v>哈拉對面</v>
      </c>
      <c r="H1604" s="106" t="str">
        <f t="shared" si="1"/>
        <v>2025-03</v>
      </c>
      <c r="I1604" s="271" t="str">
        <f>IFERROR(__xludf.DUMMYFUNCTION("""COMPUTED_VALUE"""),"貓狗企鵝")</f>
        <v>貓狗企鵝</v>
      </c>
      <c r="J1604" t="str">
        <f>IFERROR(__xludf.DUMMYFUNCTION("IFS(
  AND(REGEXMATCH(E1604, ""台銀籌備帳戶|玉山帳戶""), REGEXMATCH(C1604, ""薪資"")), ""分潤支出"",
  AND(REGEXMATCH(E1604, ""Ben帳戶|Elsa帳戶|Ben代墊|Ariel代墊|中信銀行共用""), REGEXMATCH(F1604, ""Ben帳戶|Elsa帳戶|Ben代墊|Ariel代墊|中信銀行共用"")), ""內部轉帳(忽略)"",
  AND(E1604&lt;&gt;"""", F1604&lt;&gt;"""", N"&amp;"OT(REGEXMATCH(C1604, ""薪資""))), ""內部轉帳(忽略)"",
  REGEXMATCH(C1604, ""薪資""), ""薪資變動(不計入)"",
  REGEXMATCH(C1604, ""押金""), ""押金往來"",
  AND(E1604&lt;&gt;"""", F1604=""""), ""真實支出"",
  AND(E1604="""", F1604&lt;&gt;""""), ""真實收入"",
  TRUE, ""其他""
)"),"真實收入")</f>
        <v>真實收入</v>
      </c>
      <c r="K1604" s="270">
        <f t="shared" si="2"/>
        <v>11800</v>
      </c>
      <c r="L1604">
        <f t="shared" si="3"/>
        <v>0</v>
      </c>
    </row>
    <row r="1605">
      <c r="A1605" s="107">
        <f>IFERROR(__xludf.DUMMYFUNCTION("""COMPUTED_VALUE"""),45717.0)</f>
        <v>45717</v>
      </c>
      <c r="B1605" t="str">
        <f>IFERROR(__xludf.DUMMYFUNCTION("""COMPUTED_VALUE"""),"[北醫醫師府] B [王品涵, 賴泓賓] 月租金 (行號: 72)")</f>
        <v>[北醫醫師府] B [王品涵, 賴泓賓] 月租金 (行號: 72)</v>
      </c>
      <c r="C1605" t="str">
        <f>IFERROR(__xludf.DUMMYFUNCTION("""COMPUTED_VALUE"""),"收入 - 租金")</f>
        <v>收入 - 租金</v>
      </c>
      <c r="D1605" s="270">
        <f>IFERROR(__xludf.DUMMYFUNCTION("""COMPUTED_VALUE"""),19800.0)</f>
        <v>19800</v>
      </c>
      <c r="F1605" t="str">
        <f>IFERROR(__xludf.DUMMYFUNCTION("""COMPUTED_VALUE"""),"台銀籌備帳戶")</f>
        <v>台銀籌備帳戶</v>
      </c>
      <c r="G1605" t="str">
        <f>IFERROR(__xludf.DUMMYFUNCTION("""COMPUTED_VALUE"""),"北醫醫師府")</f>
        <v>北醫醫師府</v>
      </c>
      <c r="H1605" s="106" t="str">
        <f t="shared" si="1"/>
        <v>2025-03</v>
      </c>
      <c r="I1605" s="271" t="str">
        <f>IFERROR(__xludf.DUMMYFUNCTION("""COMPUTED_VALUE"""),"貓狗企鵝")</f>
        <v>貓狗企鵝</v>
      </c>
      <c r="J1605" t="str">
        <f>IFERROR(__xludf.DUMMYFUNCTION("IFS(
  AND(REGEXMATCH(E1605, ""台銀籌備帳戶|玉山帳戶""), REGEXMATCH(C1605, ""薪資"")), ""分潤支出"",
  AND(REGEXMATCH(E1605, ""Ben帳戶|Elsa帳戶|Ben代墊|Ariel代墊|中信銀行共用""), REGEXMATCH(F1605, ""Ben帳戶|Elsa帳戶|Ben代墊|Ariel代墊|中信銀行共用"")), ""內部轉帳(忽略)"",
  AND(E1605&lt;&gt;"""", F1605&lt;&gt;"""", N"&amp;"OT(REGEXMATCH(C1605, ""薪資""))), ""內部轉帳(忽略)"",
  REGEXMATCH(C1605, ""薪資""), ""薪資變動(不計入)"",
  REGEXMATCH(C1605, ""押金""), ""押金往來"",
  AND(E1605&lt;&gt;"""", F1605=""""), ""真實支出"",
  AND(E1605="""", F1605&lt;&gt;""""), ""真實收入"",
  TRUE, ""其他""
)"),"真實收入")</f>
        <v>真實收入</v>
      </c>
      <c r="K1605" s="270">
        <f t="shared" si="2"/>
        <v>19800</v>
      </c>
      <c r="L1605">
        <f t="shared" si="3"/>
        <v>0</v>
      </c>
    </row>
    <row r="1606">
      <c r="A1606" s="107">
        <f>IFERROR(__xludf.DUMMYFUNCTION("""COMPUTED_VALUE"""),45717.0)</f>
        <v>45717</v>
      </c>
      <c r="B1606" t="str">
        <f>IFERROR(__xludf.DUMMYFUNCTION("""COMPUTED_VALUE"""),"[金龍帽子先生] B [謝歆俞] 月租金 (行號: 73)")</f>
        <v>[金龍帽子先生] B [謝歆俞] 月租金 (行號: 73)</v>
      </c>
      <c r="C1606" t="str">
        <f>IFERROR(__xludf.DUMMYFUNCTION("""COMPUTED_VALUE"""),"收入 - 租金")</f>
        <v>收入 - 租金</v>
      </c>
      <c r="D1606" s="270">
        <f>IFERROR(__xludf.DUMMYFUNCTION("""COMPUTED_VALUE"""),12700.0)</f>
        <v>12700</v>
      </c>
      <c r="F1606" t="str">
        <f>IFERROR(__xludf.DUMMYFUNCTION("""COMPUTED_VALUE"""),"台銀籌備帳戶")</f>
        <v>台銀籌備帳戶</v>
      </c>
      <c r="G1606" t="str">
        <f>IFERROR(__xludf.DUMMYFUNCTION("""COMPUTED_VALUE"""),"金龍帽子先生")</f>
        <v>金龍帽子先生</v>
      </c>
      <c r="H1606" s="106" t="str">
        <f t="shared" si="1"/>
        <v>2025-03</v>
      </c>
      <c r="I1606" s="271" t="str">
        <f>IFERROR(__xludf.DUMMYFUNCTION("""COMPUTED_VALUE"""),"貓狗企鵝")</f>
        <v>貓狗企鵝</v>
      </c>
      <c r="J1606" t="str">
        <f>IFERROR(__xludf.DUMMYFUNCTION("IFS(
  AND(REGEXMATCH(E1606, ""台銀籌備帳戶|玉山帳戶""), REGEXMATCH(C1606, ""薪資"")), ""分潤支出"",
  AND(REGEXMATCH(E1606, ""Ben帳戶|Elsa帳戶|Ben代墊|Ariel代墊|中信銀行共用""), REGEXMATCH(F1606, ""Ben帳戶|Elsa帳戶|Ben代墊|Ariel代墊|中信銀行共用"")), ""內部轉帳(忽略)"",
  AND(E1606&lt;&gt;"""", F1606&lt;&gt;"""", N"&amp;"OT(REGEXMATCH(C1606, ""薪資""))), ""內部轉帳(忽略)"",
  REGEXMATCH(C1606, ""薪資""), ""薪資變動(不計入)"",
  REGEXMATCH(C1606, ""押金""), ""押金往來"",
  AND(E1606&lt;&gt;"""", F1606=""""), ""真實支出"",
  AND(E1606="""", F1606&lt;&gt;""""), ""真實收入"",
  TRUE, ""其他""
)"),"真實收入")</f>
        <v>真實收入</v>
      </c>
      <c r="K1606" s="270">
        <f t="shared" si="2"/>
        <v>12700</v>
      </c>
      <c r="L1606">
        <f t="shared" si="3"/>
        <v>0</v>
      </c>
    </row>
    <row r="1607">
      <c r="A1607" s="107">
        <f>IFERROR(__xludf.DUMMYFUNCTION("""COMPUTED_VALUE"""),45717.0)</f>
        <v>45717</v>
      </c>
      <c r="B1607" t="str">
        <f>IFERROR(__xludf.DUMMYFUNCTION("""COMPUTED_VALUE"""),"[大湖山莊] E [吳彥霆] 月租金 (行號: 75)")</f>
        <v>[大湖山莊] E [吳彥霆] 月租金 (行號: 75)</v>
      </c>
      <c r="C1607" t="str">
        <f>IFERROR(__xludf.DUMMYFUNCTION("""COMPUTED_VALUE"""),"收入 - 租金")</f>
        <v>收入 - 租金</v>
      </c>
      <c r="D1607" s="270">
        <f>IFERROR(__xludf.DUMMYFUNCTION("""COMPUTED_VALUE"""),12500.0)</f>
        <v>12500</v>
      </c>
      <c r="F1607" t="str">
        <f>IFERROR(__xludf.DUMMYFUNCTION("""COMPUTED_VALUE"""),"台銀籌備帳戶")</f>
        <v>台銀籌備帳戶</v>
      </c>
      <c r="G1607" t="str">
        <f>IFERROR(__xludf.DUMMYFUNCTION("""COMPUTED_VALUE"""),"大湖山莊")</f>
        <v>大湖山莊</v>
      </c>
      <c r="H1607" s="106" t="str">
        <f t="shared" si="1"/>
        <v>2025-03</v>
      </c>
      <c r="I1607" s="271" t="str">
        <f>IFERROR(__xludf.DUMMYFUNCTION("""COMPUTED_VALUE"""),"貓狗企鵝")</f>
        <v>貓狗企鵝</v>
      </c>
      <c r="J1607" t="str">
        <f>IFERROR(__xludf.DUMMYFUNCTION("IFS(
  AND(REGEXMATCH(E1607, ""台銀籌備帳戶|玉山帳戶""), REGEXMATCH(C1607, ""薪資"")), ""分潤支出"",
  AND(REGEXMATCH(E1607, ""Ben帳戶|Elsa帳戶|Ben代墊|Ariel代墊|中信銀行共用""), REGEXMATCH(F1607, ""Ben帳戶|Elsa帳戶|Ben代墊|Ariel代墊|中信銀行共用"")), ""內部轉帳(忽略)"",
  AND(E1607&lt;&gt;"""", F1607&lt;&gt;"""", N"&amp;"OT(REGEXMATCH(C1607, ""薪資""))), ""內部轉帳(忽略)"",
  REGEXMATCH(C1607, ""薪資""), ""薪資變動(不計入)"",
  REGEXMATCH(C1607, ""押金""), ""押金往來"",
  AND(E1607&lt;&gt;"""", F1607=""""), ""真實支出"",
  AND(E1607="""", F1607&lt;&gt;""""), ""真實收入"",
  TRUE, ""其他""
)"),"真實收入")</f>
        <v>真實收入</v>
      </c>
      <c r="K1607" s="270">
        <f t="shared" si="2"/>
        <v>12500</v>
      </c>
      <c r="L1607">
        <f t="shared" si="3"/>
        <v>0</v>
      </c>
    </row>
    <row r="1608">
      <c r="A1608" s="107">
        <f>IFERROR(__xludf.DUMMYFUNCTION("""COMPUTED_VALUE"""),45717.0)</f>
        <v>45717</v>
      </c>
      <c r="B1608" t="str">
        <f>IFERROR(__xludf.DUMMYFUNCTION("""COMPUTED_VALUE"""),"[中山北Feli家] A [蔡亦翔] 月租金 (行號: 76)")</f>
        <v>[中山北Feli家] A [蔡亦翔] 月租金 (行號: 76)</v>
      </c>
      <c r="C1608" t="str">
        <f>IFERROR(__xludf.DUMMYFUNCTION("""COMPUTED_VALUE"""),"收入 - 租金")</f>
        <v>收入 - 租金</v>
      </c>
      <c r="D1608" s="270">
        <f>IFERROR(__xludf.DUMMYFUNCTION("""COMPUTED_VALUE"""),13200.0)</f>
        <v>13200</v>
      </c>
      <c r="F1608" t="str">
        <f>IFERROR(__xludf.DUMMYFUNCTION("""COMPUTED_VALUE"""),"台銀籌備帳戶")</f>
        <v>台銀籌備帳戶</v>
      </c>
      <c r="G1608" t="str">
        <f>IFERROR(__xludf.DUMMYFUNCTION("""COMPUTED_VALUE"""),"中山北Feli家")</f>
        <v>中山北Feli家</v>
      </c>
      <c r="H1608" s="106" t="str">
        <f t="shared" si="1"/>
        <v>2025-03</v>
      </c>
      <c r="I1608" s="271" t="str">
        <f>IFERROR(__xludf.DUMMYFUNCTION("""COMPUTED_VALUE"""),"貓狗企鵝")</f>
        <v>貓狗企鵝</v>
      </c>
      <c r="J1608" t="str">
        <f>IFERROR(__xludf.DUMMYFUNCTION("IFS(
  AND(REGEXMATCH(E1608, ""台銀籌備帳戶|玉山帳戶""), REGEXMATCH(C1608, ""薪資"")), ""分潤支出"",
  AND(REGEXMATCH(E1608, ""Ben帳戶|Elsa帳戶|Ben代墊|Ariel代墊|中信銀行共用""), REGEXMATCH(F1608, ""Ben帳戶|Elsa帳戶|Ben代墊|Ariel代墊|中信銀行共用"")), ""內部轉帳(忽略)"",
  AND(E1608&lt;&gt;"""", F1608&lt;&gt;"""", N"&amp;"OT(REGEXMATCH(C1608, ""薪資""))), ""內部轉帳(忽略)"",
  REGEXMATCH(C1608, ""薪資""), ""薪資變動(不計入)"",
  REGEXMATCH(C1608, ""押金""), ""押金往來"",
  AND(E1608&lt;&gt;"""", F1608=""""), ""真實支出"",
  AND(E1608="""", F1608&lt;&gt;""""), ""真實收入"",
  TRUE, ""其他""
)"),"真實收入")</f>
        <v>真實收入</v>
      </c>
      <c r="K1608" s="270">
        <f t="shared" si="2"/>
        <v>13200</v>
      </c>
      <c r="L1608">
        <f t="shared" si="3"/>
        <v>0</v>
      </c>
    </row>
    <row r="1609">
      <c r="A1609" s="107">
        <f>IFERROR(__xludf.DUMMYFUNCTION("""COMPUTED_VALUE"""),45717.0)</f>
        <v>45717</v>
      </c>
      <c r="B1609" t="str">
        <f>IFERROR(__xludf.DUMMYFUNCTION("""COMPUTED_VALUE"""),"[金龍帽子先生] D [蔡婷欣] 月租金 (行號: 77)")</f>
        <v>[金龍帽子先生] D [蔡婷欣] 月租金 (行號: 77)</v>
      </c>
      <c r="C1609" t="str">
        <f>IFERROR(__xludf.DUMMYFUNCTION("""COMPUTED_VALUE"""),"收入 - 租金")</f>
        <v>收入 - 租金</v>
      </c>
      <c r="D1609" s="270">
        <f>IFERROR(__xludf.DUMMYFUNCTION("""COMPUTED_VALUE"""),14500.0)</f>
        <v>14500</v>
      </c>
      <c r="F1609" t="str">
        <f>IFERROR(__xludf.DUMMYFUNCTION("""COMPUTED_VALUE"""),"台銀籌備帳戶")</f>
        <v>台銀籌備帳戶</v>
      </c>
      <c r="G1609" t="str">
        <f>IFERROR(__xludf.DUMMYFUNCTION("""COMPUTED_VALUE"""),"金龍帽子先生")</f>
        <v>金龍帽子先生</v>
      </c>
      <c r="H1609" s="106" t="str">
        <f t="shared" si="1"/>
        <v>2025-03</v>
      </c>
      <c r="I1609" s="271" t="str">
        <f>IFERROR(__xludf.DUMMYFUNCTION("""COMPUTED_VALUE"""),"貓狗企鵝")</f>
        <v>貓狗企鵝</v>
      </c>
      <c r="J1609" t="str">
        <f>IFERROR(__xludf.DUMMYFUNCTION("IFS(
  AND(REGEXMATCH(E1609, ""台銀籌備帳戶|玉山帳戶""), REGEXMATCH(C1609, ""薪資"")), ""分潤支出"",
  AND(REGEXMATCH(E1609, ""Ben帳戶|Elsa帳戶|Ben代墊|Ariel代墊|中信銀行共用""), REGEXMATCH(F1609, ""Ben帳戶|Elsa帳戶|Ben代墊|Ariel代墊|中信銀行共用"")), ""內部轉帳(忽略)"",
  AND(E1609&lt;&gt;"""", F1609&lt;&gt;"""", N"&amp;"OT(REGEXMATCH(C1609, ""薪資""))), ""內部轉帳(忽略)"",
  REGEXMATCH(C1609, ""薪資""), ""薪資變動(不計入)"",
  REGEXMATCH(C1609, ""押金""), ""押金往來"",
  AND(E1609&lt;&gt;"""", F1609=""""), ""真實支出"",
  AND(E1609="""", F1609&lt;&gt;""""), ""真實收入"",
  TRUE, ""其他""
)"),"真實收入")</f>
        <v>真實收入</v>
      </c>
      <c r="K1609" s="270">
        <f t="shared" si="2"/>
        <v>14500</v>
      </c>
      <c r="L1609">
        <f t="shared" si="3"/>
        <v>0</v>
      </c>
    </row>
    <row r="1610">
      <c r="A1610" s="107">
        <f>IFERROR(__xludf.DUMMYFUNCTION("""COMPUTED_VALUE"""),45717.0)</f>
        <v>45717</v>
      </c>
      <c r="B1610" t="str">
        <f>IFERROR(__xludf.DUMMYFUNCTION("""COMPUTED_VALUE"""),"[中山北Feli家] E [王翊樺, 周定瑀] 月租金 (行號: 78)")</f>
        <v>[中山北Feli家] E [王翊樺, 周定瑀] 月租金 (行號: 78)</v>
      </c>
      <c r="C1610" t="str">
        <f>IFERROR(__xludf.DUMMYFUNCTION("""COMPUTED_VALUE"""),"收入 - 租金")</f>
        <v>收入 - 租金</v>
      </c>
      <c r="D1610" s="270">
        <f>IFERROR(__xludf.DUMMYFUNCTION("""COMPUTED_VALUE"""),31000.0)</f>
        <v>31000</v>
      </c>
      <c r="F1610" t="str">
        <f>IFERROR(__xludf.DUMMYFUNCTION("""COMPUTED_VALUE"""),"台銀籌備帳戶")</f>
        <v>台銀籌備帳戶</v>
      </c>
      <c r="G1610" t="str">
        <f>IFERROR(__xludf.DUMMYFUNCTION("""COMPUTED_VALUE"""),"中山北Feli家")</f>
        <v>中山北Feli家</v>
      </c>
      <c r="H1610" s="106" t="str">
        <f t="shared" si="1"/>
        <v>2025-03</v>
      </c>
      <c r="I1610" s="271" t="str">
        <f>IFERROR(__xludf.DUMMYFUNCTION("""COMPUTED_VALUE"""),"貓狗企鵝")</f>
        <v>貓狗企鵝</v>
      </c>
      <c r="J1610" t="str">
        <f>IFERROR(__xludf.DUMMYFUNCTION("IFS(
  AND(REGEXMATCH(E1610, ""台銀籌備帳戶|玉山帳戶""), REGEXMATCH(C1610, ""薪資"")), ""分潤支出"",
  AND(REGEXMATCH(E1610, ""Ben帳戶|Elsa帳戶|Ben代墊|Ariel代墊|中信銀行共用""), REGEXMATCH(F1610, ""Ben帳戶|Elsa帳戶|Ben代墊|Ariel代墊|中信銀行共用"")), ""內部轉帳(忽略)"",
  AND(E1610&lt;&gt;"""", F1610&lt;&gt;"""", N"&amp;"OT(REGEXMATCH(C1610, ""薪資""))), ""內部轉帳(忽略)"",
  REGEXMATCH(C1610, ""薪資""), ""薪資變動(不計入)"",
  REGEXMATCH(C1610, ""押金""), ""押金往來"",
  AND(E1610&lt;&gt;"""", F1610=""""), ""真實支出"",
  AND(E1610="""", F1610&lt;&gt;""""), ""真實收入"",
  TRUE, ""其他""
)"),"真實收入")</f>
        <v>真實收入</v>
      </c>
      <c r="K1610" s="270">
        <f t="shared" si="2"/>
        <v>31000</v>
      </c>
      <c r="L1610">
        <f t="shared" si="3"/>
        <v>0</v>
      </c>
    </row>
    <row r="1611">
      <c r="A1611" s="107">
        <f>IFERROR(__xludf.DUMMYFUNCTION("""COMPUTED_VALUE"""),45718.0)</f>
        <v>45718</v>
      </c>
      <c r="B1611" t="str">
        <f>IFERROR(__xludf.DUMMYFUNCTION("""COMPUTED_VALUE"""),"[龍江229] D [黃依婷] 月租金 (行號: 79)")</f>
        <v>[龍江229] D [黃依婷] 月租金 (行號: 79)</v>
      </c>
      <c r="C1611" t="str">
        <f>IFERROR(__xludf.DUMMYFUNCTION("""COMPUTED_VALUE"""),"收入 - 租金")</f>
        <v>收入 - 租金</v>
      </c>
      <c r="D1611" s="270">
        <f>IFERROR(__xludf.DUMMYFUNCTION("""COMPUTED_VALUE"""),13300.0)</f>
        <v>13300</v>
      </c>
      <c r="F1611" t="str">
        <f>IFERROR(__xludf.DUMMYFUNCTION("""COMPUTED_VALUE"""),"台銀籌備帳戶")</f>
        <v>台銀籌備帳戶</v>
      </c>
      <c r="G1611" t="str">
        <f>IFERROR(__xludf.DUMMYFUNCTION("""COMPUTED_VALUE"""),"龍江229")</f>
        <v>龍江229</v>
      </c>
      <c r="H1611" s="106" t="str">
        <f t="shared" si="1"/>
        <v>2025-03</v>
      </c>
      <c r="I1611" s="271" t="str">
        <f>IFERROR(__xludf.DUMMYFUNCTION("""COMPUTED_VALUE"""),"貓狗企鵝")</f>
        <v>貓狗企鵝</v>
      </c>
      <c r="J1611" t="str">
        <f>IFERROR(__xludf.DUMMYFUNCTION("IFS(
  AND(REGEXMATCH(E1611, ""台銀籌備帳戶|玉山帳戶""), REGEXMATCH(C1611, ""薪資"")), ""分潤支出"",
  AND(REGEXMATCH(E1611, ""Ben帳戶|Elsa帳戶|Ben代墊|Ariel代墊|中信銀行共用""), REGEXMATCH(F1611, ""Ben帳戶|Elsa帳戶|Ben代墊|Ariel代墊|中信銀行共用"")), ""內部轉帳(忽略)"",
  AND(E1611&lt;&gt;"""", F1611&lt;&gt;"""", N"&amp;"OT(REGEXMATCH(C1611, ""薪資""))), ""內部轉帳(忽略)"",
  REGEXMATCH(C1611, ""薪資""), ""薪資變動(不計入)"",
  REGEXMATCH(C1611, ""押金""), ""押金往來"",
  AND(E1611&lt;&gt;"""", F1611=""""), ""真實支出"",
  AND(E1611="""", F1611&lt;&gt;""""), ""真實收入"",
  TRUE, ""其他""
)"),"真實收入")</f>
        <v>真實收入</v>
      </c>
      <c r="K1611" s="270">
        <f t="shared" si="2"/>
        <v>13300</v>
      </c>
      <c r="L1611">
        <f t="shared" si="3"/>
        <v>0</v>
      </c>
    </row>
    <row r="1612">
      <c r="A1612" s="107">
        <f>IFERROR(__xludf.DUMMYFUNCTION("""COMPUTED_VALUE"""),45718.0)</f>
        <v>45718</v>
      </c>
      <c r="B1612" t="str">
        <f>IFERROR(__xludf.DUMMYFUNCTION("""COMPUTED_VALUE"""),"[中山北Feli家] B [杜思瑀, 陳廷瀀] 月租金 (行號: 80)")</f>
        <v>[中山北Feli家] B [杜思瑀, 陳廷瀀] 月租金 (行號: 80)</v>
      </c>
      <c r="C1612" t="str">
        <f>IFERROR(__xludf.DUMMYFUNCTION("""COMPUTED_VALUE"""),"收入 - 租金")</f>
        <v>收入 - 租金</v>
      </c>
      <c r="D1612" s="270">
        <f>IFERROR(__xludf.DUMMYFUNCTION("""COMPUTED_VALUE"""),17500.0)</f>
        <v>17500</v>
      </c>
      <c r="F1612" t="str">
        <f>IFERROR(__xludf.DUMMYFUNCTION("""COMPUTED_VALUE"""),"台銀籌備帳戶")</f>
        <v>台銀籌備帳戶</v>
      </c>
      <c r="G1612" t="str">
        <f>IFERROR(__xludf.DUMMYFUNCTION("""COMPUTED_VALUE"""),"中山北Feli家")</f>
        <v>中山北Feli家</v>
      </c>
      <c r="H1612" s="106" t="str">
        <f t="shared" si="1"/>
        <v>2025-03</v>
      </c>
      <c r="I1612" s="271" t="str">
        <f>IFERROR(__xludf.DUMMYFUNCTION("""COMPUTED_VALUE"""),"貓狗企鵝")</f>
        <v>貓狗企鵝</v>
      </c>
      <c r="J1612" t="str">
        <f>IFERROR(__xludf.DUMMYFUNCTION("IFS(
  AND(REGEXMATCH(E1612, ""台銀籌備帳戶|玉山帳戶""), REGEXMATCH(C1612, ""薪資"")), ""分潤支出"",
  AND(REGEXMATCH(E1612, ""Ben帳戶|Elsa帳戶|Ben代墊|Ariel代墊|中信銀行共用""), REGEXMATCH(F1612, ""Ben帳戶|Elsa帳戶|Ben代墊|Ariel代墊|中信銀行共用"")), ""內部轉帳(忽略)"",
  AND(E1612&lt;&gt;"""", F1612&lt;&gt;"""", N"&amp;"OT(REGEXMATCH(C1612, ""薪資""))), ""內部轉帳(忽略)"",
  REGEXMATCH(C1612, ""薪資""), ""薪資變動(不計入)"",
  REGEXMATCH(C1612, ""押金""), ""押金往來"",
  AND(E1612&lt;&gt;"""", F1612=""""), ""真實支出"",
  AND(E1612="""", F1612&lt;&gt;""""), ""真實收入"",
  TRUE, ""其他""
)"),"真實收入")</f>
        <v>真實收入</v>
      </c>
      <c r="K1612" s="270">
        <f t="shared" si="2"/>
        <v>17500</v>
      </c>
      <c r="L1612">
        <f t="shared" si="3"/>
        <v>0</v>
      </c>
    </row>
    <row r="1613">
      <c r="A1613" s="107">
        <f>IFERROR(__xludf.DUMMYFUNCTION("""COMPUTED_VALUE"""),45718.0)</f>
        <v>45718</v>
      </c>
      <c r="B1613" t="str">
        <f>IFERROR(__xludf.DUMMYFUNCTION("""COMPUTED_VALUE"""),"[景安2分鐘] A [蕭宇榛] 月租金 (行號: 83)")</f>
        <v>[景安2分鐘] A [蕭宇榛] 月租金 (行號: 83)</v>
      </c>
      <c r="C1613" t="str">
        <f>IFERROR(__xludf.DUMMYFUNCTION("""COMPUTED_VALUE"""),"收入 - 租金")</f>
        <v>收入 - 租金</v>
      </c>
      <c r="D1613" s="270">
        <f>IFERROR(__xludf.DUMMYFUNCTION("""COMPUTED_VALUE"""),14500.0)</f>
        <v>14500</v>
      </c>
      <c r="F1613" t="str">
        <f>IFERROR(__xludf.DUMMYFUNCTION("""COMPUTED_VALUE"""),"台銀籌備帳戶")</f>
        <v>台銀籌備帳戶</v>
      </c>
      <c r="G1613" t="str">
        <f>IFERROR(__xludf.DUMMYFUNCTION("""COMPUTED_VALUE"""),"景安2分鐘")</f>
        <v>景安2分鐘</v>
      </c>
      <c r="H1613" s="106" t="str">
        <f t="shared" si="1"/>
        <v>2025-03</v>
      </c>
      <c r="I1613" s="271" t="str">
        <f>IFERROR(__xludf.DUMMYFUNCTION("""COMPUTED_VALUE"""),"貓狗企鵝")</f>
        <v>貓狗企鵝</v>
      </c>
      <c r="J1613" t="str">
        <f>IFERROR(__xludf.DUMMYFUNCTION("IFS(
  AND(REGEXMATCH(E1613, ""台銀籌備帳戶|玉山帳戶""), REGEXMATCH(C1613, ""薪資"")), ""分潤支出"",
  AND(REGEXMATCH(E1613, ""Ben帳戶|Elsa帳戶|Ben代墊|Ariel代墊|中信銀行共用""), REGEXMATCH(F1613, ""Ben帳戶|Elsa帳戶|Ben代墊|Ariel代墊|中信銀行共用"")), ""內部轉帳(忽略)"",
  AND(E1613&lt;&gt;"""", F1613&lt;&gt;"""", N"&amp;"OT(REGEXMATCH(C1613, ""薪資""))), ""內部轉帳(忽略)"",
  REGEXMATCH(C1613, ""薪資""), ""薪資變動(不計入)"",
  REGEXMATCH(C1613, ""押金""), ""押金往來"",
  AND(E1613&lt;&gt;"""", F1613=""""), ""真實支出"",
  AND(E1613="""", F1613&lt;&gt;""""), ""真實收入"",
  TRUE, ""其他""
)"),"真實收入")</f>
        <v>真實收入</v>
      </c>
      <c r="K1613" s="270">
        <f t="shared" si="2"/>
        <v>14500</v>
      </c>
      <c r="L1613">
        <f t="shared" si="3"/>
        <v>0</v>
      </c>
    </row>
    <row r="1614">
      <c r="A1614" s="107">
        <f>IFERROR(__xludf.DUMMYFUNCTION("""COMPUTED_VALUE"""),45718.0)</f>
        <v>45718</v>
      </c>
      <c r="B1614" t="str">
        <f>IFERROR(__xludf.DUMMYFUNCTION("""COMPUTED_VALUE"""),"[北醫醫師府] E [洪睿佑] 月租金 (行號: 85)")</f>
        <v>[北醫醫師府] E [洪睿佑] 月租金 (行號: 85)</v>
      </c>
      <c r="C1614" t="str">
        <f>IFERROR(__xludf.DUMMYFUNCTION("""COMPUTED_VALUE"""),"收入 - 租金")</f>
        <v>收入 - 租金</v>
      </c>
      <c r="D1614" s="270">
        <f>IFERROR(__xludf.DUMMYFUNCTION("""COMPUTED_VALUE"""),14800.0)</f>
        <v>14800</v>
      </c>
      <c r="F1614" t="str">
        <f>IFERROR(__xludf.DUMMYFUNCTION("""COMPUTED_VALUE"""),"台銀籌備帳戶")</f>
        <v>台銀籌備帳戶</v>
      </c>
      <c r="G1614" t="str">
        <f>IFERROR(__xludf.DUMMYFUNCTION("""COMPUTED_VALUE"""),"北醫醫師府")</f>
        <v>北醫醫師府</v>
      </c>
      <c r="H1614" s="106" t="str">
        <f t="shared" si="1"/>
        <v>2025-03</v>
      </c>
      <c r="I1614" s="271" t="str">
        <f>IFERROR(__xludf.DUMMYFUNCTION("""COMPUTED_VALUE"""),"貓狗企鵝")</f>
        <v>貓狗企鵝</v>
      </c>
      <c r="J1614" t="str">
        <f>IFERROR(__xludf.DUMMYFUNCTION("IFS(
  AND(REGEXMATCH(E1614, ""台銀籌備帳戶|玉山帳戶""), REGEXMATCH(C1614, ""薪資"")), ""分潤支出"",
  AND(REGEXMATCH(E1614, ""Ben帳戶|Elsa帳戶|Ben代墊|Ariel代墊|中信銀行共用""), REGEXMATCH(F1614, ""Ben帳戶|Elsa帳戶|Ben代墊|Ariel代墊|中信銀行共用"")), ""內部轉帳(忽略)"",
  AND(E1614&lt;&gt;"""", F1614&lt;&gt;"""", N"&amp;"OT(REGEXMATCH(C1614, ""薪資""))), ""內部轉帳(忽略)"",
  REGEXMATCH(C1614, ""薪資""), ""薪資變動(不計入)"",
  REGEXMATCH(C1614, ""押金""), ""押金往來"",
  AND(E1614&lt;&gt;"""", F1614=""""), ""真實支出"",
  AND(E1614="""", F1614&lt;&gt;""""), ""真實收入"",
  TRUE, ""其他""
)"),"真實收入")</f>
        <v>真實收入</v>
      </c>
      <c r="K1614" s="270">
        <f t="shared" si="2"/>
        <v>14800</v>
      </c>
      <c r="L1614">
        <f t="shared" si="3"/>
        <v>0</v>
      </c>
    </row>
    <row r="1615">
      <c r="A1615" s="107">
        <f>IFERROR(__xludf.DUMMYFUNCTION("""COMPUTED_VALUE"""),45718.0)</f>
        <v>45718</v>
      </c>
      <c r="B1615" t="str">
        <f>IFERROR(__xludf.DUMMYFUNCTION("""COMPUTED_VALUE"""),"[永春四號] A [辜馨嬅] 合約 CR00003 (行號: 86) 半年繳")</f>
        <v>[永春四號] A [辜馨嬅] 合約 CR00003 (行號: 86) 半年繳</v>
      </c>
      <c r="C1615" t="str">
        <f>IFERROR(__xludf.DUMMYFUNCTION("""COMPUTED_VALUE"""),"收入 - 租金")</f>
        <v>收入 - 租金</v>
      </c>
      <c r="D1615" s="270">
        <f>IFERROR(__xludf.DUMMYFUNCTION("""COMPUTED_VALUE"""),77400.0)</f>
        <v>77400</v>
      </c>
      <c r="F1615" t="str">
        <f>IFERROR(__xludf.DUMMYFUNCTION("""COMPUTED_VALUE"""),"台銀籌備帳戶")</f>
        <v>台銀籌備帳戶</v>
      </c>
      <c r="G1615" t="str">
        <f>IFERROR(__xludf.DUMMYFUNCTION("""COMPUTED_VALUE"""),"永春四號")</f>
        <v>永春四號</v>
      </c>
      <c r="H1615" s="106" t="str">
        <f t="shared" si="1"/>
        <v>2025-03</v>
      </c>
      <c r="I1615" s="271" t="str">
        <f>IFERROR(__xludf.DUMMYFUNCTION("""COMPUTED_VALUE"""),"貓狗企鵝")</f>
        <v>貓狗企鵝</v>
      </c>
      <c r="J1615" t="str">
        <f>IFERROR(__xludf.DUMMYFUNCTION("IFS(
  AND(REGEXMATCH(E1615, ""台銀籌備帳戶|玉山帳戶""), REGEXMATCH(C1615, ""薪資"")), ""分潤支出"",
  AND(REGEXMATCH(E1615, ""Ben帳戶|Elsa帳戶|Ben代墊|Ariel代墊|中信銀行共用""), REGEXMATCH(F1615, ""Ben帳戶|Elsa帳戶|Ben代墊|Ariel代墊|中信銀行共用"")), ""內部轉帳(忽略)"",
  AND(E1615&lt;&gt;"""", F1615&lt;&gt;"""", N"&amp;"OT(REGEXMATCH(C1615, ""薪資""))), ""內部轉帳(忽略)"",
  REGEXMATCH(C1615, ""薪資""), ""薪資變動(不計入)"",
  REGEXMATCH(C1615, ""押金""), ""押金往來"",
  AND(E1615&lt;&gt;"""", F1615=""""), ""真實支出"",
  AND(E1615="""", F1615&lt;&gt;""""), ""真實收入"",
  TRUE, ""其他""
)"),"真實收入")</f>
        <v>真實收入</v>
      </c>
      <c r="K1615" s="270">
        <f t="shared" si="2"/>
        <v>77400</v>
      </c>
      <c r="L1615">
        <f t="shared" si="3"/>
        <v>0</v>
      </c>
    </row>
    <row r="1616">
      <c r="A1616" s="107">
        <f>IFERROR(__xludf.DUMMYFUNCTION("""COMPUTED_VALUE"""),45718.0)</f>
        <v>45718</v>
      </c>
      <c r="B1616" t="str">
        <f>IFERROR(__xludf.DUMMYFUNCTION("""COMPUTED_VALUE"""),"[南港站挑高宅] E [張劉明翔] 月租金 (行號: 87)")</f>
        <v>[南港站挑高宅] E [張劉明翔] 月租金 (行號: 87)</v>
      </c>
      <c r="C1616" t="str">
        <f>IFERROR(__xludf.DUMMYFUNCTION("""COMPUTED_VALUE"""),"收入 - 租金")</f>
        <v>收入 - 租金</v>
      </c>
      <c r="D1616" s="270">
        <f>IFERROR(__xludf.DUMMYFUNCTION("""COMPUTED_VALUE"""),12800.0)</f>
        <v>12800</v>
      </c>
      <c r="F1616" t="str">
        <f>IFERROR(__xludf.DUMMYFUNCTION("""COMPUTED_VALUE"""),"台銀籌備帳戶")</f>
        <v>台銀籌備帳戶</v>
      </c>
      <c r="G1616" t="str">
        <f>IFERROR(__xludf.DUMMYFUNCTION("""COMPUTED_VALUE"""),"南港站挑高宅")</f>
        <v>南港站挑高宅</v>
      </c>
      <c r="H1616" s="106" t="str">
        <f t="shared" si="1"/>
        <v>2025-03</v>
      </c>
      <c r="I1616" s="271" t="str">
        <f>IFERROR(__xludf.DUMMYFUNCTION("""COMPUTED_VALUE"""),"貓狗企鵝")</f>
        <v>貓狗企鵝</v>
      </c>
      <c r="J1616" t="str">
        <f>IFERROR(__xludf.DUMMYFUNCTION("IFS(
  AND(REGEXMATCH(E1616, ""台銀籌備帳戶|玉山帳戶""), REGEXMATCH(C1616, ""薪資"")), ""分潤支出"",
  AND(REGEXMATCH(E1616, ""Ben帳戶|Elsa帳戶|Ben代墊|Ariel代墊|中信銀行共用""), REGEXMATCH(F1616, ""Ben帳戶|Elsa帳戶|Ben代墊|Ariel代墊|中信銀行共用"")), ""內部轉帳(忽略)"",
  AND(E1616&lt;&gt;"""", F1616&lt;&gt;"""", N"&amp;"OT(REGEXMATCH(C1616, ""薪資""))), ""內部轉帳(忽略)"",
  REGEXMATCH(C1616, ""薪資""), ""薪資變動(不計入)"",
  REGEXMATCH(C1616, ""押金""), ""押金往來"",
  AND(E1616&lt;&gt;"""", F1616=""""), ""真實支出"",
  AND(E1616="""", F1616&lt;&gt;""""), ""真實收入"",
  TRUE, ""其他""
)"),"真實收入")</f>
        <v>真實收入</v>
      </c>
      <c r="K1616" s="270">
        <f t="shared" si="2"/>
        <v>12800</v>
      </c>
      <c r="L1616">
        <f t="shared" si="3"/>
        <v>0</v>
      </c>
    </row>
    <row r="1617">
      <c r="A1617" s="107">
        <f>IFERROR(__xludf.DUMMYFUNCTION("""COMPUTED_VALUE"""),45718.0)</f>
        <v>45718</v>
      </c>
      <c r="B1617" t="str">
        <f>IFERROR(__xludf.DUMMYFUNCTION("""COMPUTED_VALUE"""),"[南港站挑高宅] A [莊以棋] 月租金 (行號: 88)")</f>
        <v>[南港站挑高宅] A [莊以棋] 月租金 (行號: 88)</v>
      </c>
      <c r="C1617" t="str">
        <f>IFERROR(__xludf.DUMMYFUNCTION("""COMPUTED_VALUE"""),"收入 - 租金")</f>
        <v>收入 - 租金</v>
      </c>
      <c r="D1617" s="270">
        <f>IFERROR(__xludf.DUMMYFUNCTION("""COMPUTED_VALUE"""),13000.0)</f>
        <v>13000</v>
      </c>
      <c r="F1617" t="str">
        <f>IFERROR(__xludf.DUMMYFUNCTION("""COMPUTED_VALUE"""),"台銀籌備帳戶")</f>
        <v>台銀籌備帳戶</v>
      </c>
      <c r="G1617" t="str">
        <f>IFERROR(__xludf.DUMMYFUNCTION("""COMPUTED_VALUE"""),"南港站挑高宅")</f>
        <v>南港站挑高宅</v>
      </c>
      <c r="H1617" s="106" t="str">
        <f t="shared" si="1"/>
        <v>2025-03</v>
      </c>
      <c r="I1617" s="271" t="str">
        <f>IFERROR(__xludf.DUMMYFUNCTION("""COMPUTED_VALUE"""),"貓狗企鵝")</f>
        <v>貓狗企鵝</v>
      </c>
      <c r="J1617" t="str">
        <f>IFERROR(__xludf.DUMMYFUNCTION("IFS(
  AND(REGEXMATCH(E1617, ""台銀籌備帳戶|玉山帳戶""), REGEXMATCH(C1617, ""薪資"")), ""分潤支出"",
  AND(REGEXMATCH(E1617, ""Ben帳戶|Elsa帳戶|Ben代墊|Ariel代墊|中信銀行共用""), REGEXMATCH(F1617, ""Ben帳戶|Elsa帳戶|Ben代墊|Ariel代墊|中信銀行共用"")), ""內部轉帳(忽略)"",
  AND(E1617&lt;&gt;"""", F1617&lt;&gt;"""", N"&amp;"OT(REGEXMATCH(C1617, ""薪資""))), ""內部轉帳(忽略)"",
  REGEXMATCH(C1617, ""薪資""), ""薪資變動(不計入)"",
  REGEXMATCH(C1617, ""押金""), ""押金往來"",
  AND(E1617&lt;&gt;"""", F1617=""""), ""真實支出"",
  AND(E1617="""", F1617&lt;&gt;""""), ""真實收入"",
  TRUE, ""其他""
)"),"真實收入")</f>
        <v>真實收入</v>
      </c>
      <c r="K1617" s="270">
        <f t="shared" si="2"/>
        <v>13000</v>
      </c>
      <c r="L1617">
        <f t="shared" si="3"/>
        <v>0</v>
      </c>
    </row>
    <row r="1618">
      <c r="A1618" s="107">
        <f>IFERROR(__xludf.DUMMYFUNCTION("""COMPUTED_VALUE"""),45719.0)</f>
        <v>45719</v>
      </c>
      <c r="B1618" t="str">
        <f>IFERROR(__xludf.DUMMYFUNCTION("""COMPUTED_VALUE"""),"[北醫醫師府] F [林雍勳] 月租金 (行號: 89)")</f>
        <v>[北醫醫師府] F [林雍勳] 月租金 (行號: 89)</v>
      </c>
      <c r="C1618" t="str">
        <f>IFERROR(__xludf.DUMMYFUNCTION("""COMPUTED_VALUE"""),"收入 - 租金")</f>
        <v>收入 - 租金</v>
      </c>
      <c r="D1618" s="270">
        <f>IFERROR(__xludf.DUMMYFUNCTION("""COMPUTED_VALUE"""),14800.0)</f>
        <v>14800</v>
      </c>
      <c r="F1618" t="str">
        <f>IFERROR(__xludf.DUMMYFUNCTION("""COMPUTED_VALUE"""),"台銀籌備帳戶")</f>
        <v>台銀籌備帳戶</v>
      </c>
      <c r="G1618" t="str">
        <f>IFERROR(__xludf.DUMMYFUNCTION("""COMPUTED_VALUE"""),"北醫醫師府")</f>
        <v>北醫醫師府</v>
      </c>
      <c r="H1618" s="106" t="str">
        <f t="shared" si="1"/>
        <v>2025-03</v>
      </c>
      <c r="I1618" s="271" t="str">
        <f>IFERROR(__xludf.DUMMYFUNCTION("""COMPUTED_VALUE"""),"貓狗企鵝")</f>
        <v>貓狗企鵝</v>
      </c>
      <c r="J1618" t="str">
        <f>IFERROR(__xludf.DUMMYFUNCTION("IFS(
  AND(REGEXMATCH(E1618, ""台銀籌備帳戶|玉山帳戶""), REGEXMATCH(C1618, ""薪資"")), ""分潤支出"",
  AND(REGEXMATCH(E1618, ""Ben帳戶|Elsa帳戶|Ben代墊|Ariel代墊|中信銀行共用""), REGEXMATCH(F1618, ""Ben帳戶|Elsa帳戶|Ben代墊|Ariel代墊|中信銀行共用"")), ""內部轉帳(忽略)"",
  AND(E1618&lt;&gt;"""", F1618&lt;&gt;"""", N"&amp;"OT(REGEXMATCH(C1618, ""薪資""))), ""內部轉帳(忽略)"",
  REGEXMATCH(C1618, ""薪資""), ""薪資變動(不計入)"",
  REGEXMATCH(C1618, ""押金""), ""押金往來"",
  AND(E1618&lt;&gt;"""", F1618=""""), ""真實支出"",
  AND(E1618="""", F1618&lt;&gt;""""), ""真實收入"",
  TRUE, ""其他""
)"),"真實收入")</f>
        <v>真實收入</v>
      </c>
      <c r="K1618" s="270">
        <f t="shared" si="2"/>
        <v>14800</v>
      </c>
      <c r="L1618">
        <f t="shared" si="3"/>
        <v>0</v>
      </c>
    </row>
    <row r="1619">
      <c r="A1619" s="107">
        <f>IFERROR(__xludf.DUMMYFUNCTION("""COMPUTED_VALUE"""),45718.0)</f>
        <v>45718</v>
      </c>
      <c r="B1619" t="str">
        <f>IFERROR(__xludf.DUMMYFUNCTION("""COMPUTED_VALUE"""),"[大湖山莊] A [熊翊丞] 合約 CR00049")</f>
        <v>[大湖山莊] A [熊翊丞] 合約 CR00049</v>
      </c>
      <c r="C1619" t="str">
        <f>IFERROR(__xludf.DUMMYFUNCTION("""COMPUTED_VALUE"""),"收入 - 租金")</f>
        <v>收入 - 租金</v>
      </c>
      <c r="D1619" s="270">
        <f>IFERROR(__xludf.DUMMYFUNCTION("""COMPUTED_VALUE"""),13300.0)</f>
        <v>13300</v>
      </c>
      <c r="F1619" t="str">
        <f>IFERROR(__xludf.DUMMYFUNCTION("""COMPUTED_VALUE"""),"台銀籌備帳戶")</f>
        <v>台銀籌備帳戶</v>
      </c>
      <c r="G1619" t="str">
        <f>IFERROR(__xludf.DUMMYFUNCTION("""COMPUTED_VALUE"""),"大湖山莊")</f>
        <v>大湖山莊</v>
      </c>
      <c r="H1619" s="106" t="str">
        <f t="shared" si="1"/>
        <v>2025-03</v>
      </c>
      <c r="I1619" s="271" t="str">
        <f>IFERROR(__xludf.DUMMYFUNCTION("""COMPUTED_VALUE"""),"貓狗企鵝")</f>
        <v>貓狗企鵝</v>
      </c>
      <c r="J1619" t="str">
        <f>IFERROR(__xludf.DUMMYFUNCTION("IFS(
  AND(REGEXMATCH(E1619, ""台銀籌備帳戶|玉山帳戶""), REGEXMATCH(C1619, ""薪資"")), ""分潤支出"",
  AND(REGEXMATCH(E1619, ""Ben帳戶|Elsa帳戶|Ben代墊|Ariel代墊|中信銀行共用""), REGEXMATCH(F1619, ""Ben帳戶|Elsa帳戶|Ben代墊|Ariel代墊|中信銀行共用"")), ""內部轉帳(忽略)"",
  AND(E1619&lt;&gt;"""", F1619&lt;&gt;"""", N"&amp;"OT(REGEXMATCH(C1619, ""薪資""))), ""內部轉帳(忽略)"",
  REGEXMATCH(C1619, ""薪資""), ""薪資變動(不計入)"",
  REGEXMATCH(C1619, ""押金""), ""押金往來"",
  AND(E1619&lt;&gt;"""", F1619=""""), ""真實支出"",
  AND(E1619="""", F1619&lt;&gt;""""), ""真實收入"",
  TRUE, ""其他""
)"),"真實收入")</f>
        <v>真實收入</v>
      </c>
      <c r="K1619" s="270">
        <f t="shared" si="2"/>
        <v>13300</v>
      </c>
      <c r="L1619">
        <f t="shared" si="3"/>
        <v>0</v>
      </c>
    </row>
    <row r="1620">
      <c r="A1620" s="107">
        <f>IFERROR(__xludf.DUMMYFUNCTION("""COMPUTED_VALUE"""),45718.0)</f>
        <v>45718</v>
      </c>
      <c r="B1620" t="str">
        <f>IFERROR(__xludf.DUMMYFUNCTION("""COMPUTED_VALUE"""),"[大湖山莊] G [黃芷翊] 合約 CR00096 (行號: 14, 17)")</f>
        <v>[大湖山莊] G [黃芷翊] 合約 CR00096 (行號: 14, 17)</v>
      </c>
      <c r="C1620" t="str">
        <f>IFERROR(__xludf.DUMMYFUNCTION("""COMPUTED_VALUE"""),"收入 - 租金")</f>
        <v>收入 - 租金</v>
      </c>
      <c r="D1620" s="270">
        <f>IFERROR(__xludf.DUMMYFUNCTION("""COMPUTED_VALUE"""),15716.0)</f>
        <v>15716</v>
      </c>
      <c r="F1620" t="str">
        <f>IFERROR(__xludf.DUMMYFUNCTION("""COMPUTED_VALUE"""),"台銀籌備帳戶")</f>
        <v>台銀籌備帳戶</v>
      </c>
      <c r="G1620" t="str">
        <f>IFERROR(__xludf.DUMMYFUNCTION("""COMPUTED_VALUE"""),"大湖山莊")</f>
        <v>大湖山莊</v>
      </c>
      <c r="H1620" s="106" t="str">
        <f t="shared" si="1"/>
        <v>2025-03</v>
      </c>
      <c r="I1620" s="271" t="str">
        <f>IFERROR(__xludf.DUMMYFUNCTION("""COMPUTED_VALUE"""),"貓狗企鵝")</f>
        <v>貓狗企鵝</v>
      </c>
      <c r="J1620" t="str">
        <f>IFERROR(__xludf.DUMMYFUNCTION("IFS(
  AND(REGEXMATCH(E1620, ""台銀籌備帳戶|玉山帳戶""), REGEXMATCH(C1620, ""薪資"")), ""分潤支出"",
  AND(REGEXMATCH(E1620, ""Ben帳戶|Elsa帳戶|Ben代墊|Ariel代墊|中信銀行共用""), REGEXMATCH(F1620, ""Ben帳戶|Elsa帳戶|Ben代墊|Ariel代墊|中信銀行共用"")), ""內部轉帳(忽略)"",
  AND(E1620&lt;&gt;"""", F1620&lt;&gt;"""", N"&amp;"OT(REGEXMATCH(C1620, ""薪資""))), ""內部轉帳(忽略)"",
  REGEXMATCH(C1620, ""薪資""), ""薪資變動(不計入)"",
  REGEXMATCH(C1620, ""押金""), ""押金往來"",
  AND(E1620&lt;&gt;"""", F1620=""""), ""真實支出"",
  AND(E1620="""", F1620&lt;&gt;""""), ""真實收入"",
  TRUE, ""其他""
)"),"真實收入")</f>
        <v>真實收入</v>
      </c>
      <c r="K1620" s="270">
        <f t="shared" si="2"/>
        <v>15716</v>
      </c>
      <c r="L1620">
        <f t="shared" si="3"/>
        <v>0</v>
      </c>
    </row>
    <row r="1621">
      <c r="A1621" s="107">
        <f>IFERROR(__xludf.DUMMYFUNCTION("""COMPUTED_VALUE"""),45718.0)</f>
        <v>45718</v>
      </c>
      <c r="B1621" t="str">
        <f>IFERROR(__xludf.DUMMYFUNCTION("""COMPUTED_VALUE"""),"[龍江229] C [陳雨彤] 合約 CR00102 (行號: 18, 82)")</f>
        <v>[龍江229] C [陳雨彤] 合約 CR00102 (行號: 18, 82)</v>
      </c>
      <c r="C1621" t="str">
        <f>IFERROR(__xludf.DUMMYFUNCTION("""COMPUTED_VALUE"""),"收入 - 租金")</f>
        <v>收入 - 租金</v>
      </c>
      <c r="D1621" s="270">
        <f>IFERROR(__xludf.DUMMYFUNCTION("""COMPUTED_VALUE"""),18300.0)</f>
        <v>18300</v>
      </c>
      <c r="F1621" t="str">
        <f>IFERROR(__xludf.DUMMYFUNCTION("""COMPUTED_VALUE"""),"台銀籌備帳戶")</f>
        <v>台銀籌備帳戶</v>
      </c>
      <c r="G1621" t="str">
        <f>IFERROR(__xludf.DUMMYFUNCTION("""COMPUTED_VALUE"""),"龍江229")</f>
        <v>龍江229</v>
      </c>
      <c r="H1621" s="106" t="str">
        <f t="shared" si="1"/>
        <v>2025-03</v>
      </c>
      <c r="I1621" s="271" t="str">
        <f>IFERROR(__xludf.DUMMYFUNCTION("""COMPUTED_VALUE"""),"貓狗企鵝")</f>
        <v>貓狗企鵝</v>
      </c>
      <c r="J1621" t="str">
        <f>IFERROR(__xludf.DUMMYFUNCTION("IFS(
  AND(REGEXMATCH(E1621, ""台銀籌備帳戶|玉山帳戶""), REGEXMATCH(C1621, ""薪資"")), ""分潤支出"",
  AND(REGEXMATCH(E1621, ""Ben帳戶|Elsa帳戶|Ben代墊|Ariel代墊|中信銀行共用""), REGEXMATCH(F1621, ""Ben帳戶|Elsa帳戶|Ben代墊|Ariel代墊|中信銀行共用"")), ""內部轉帳(忽略)"",
  AND(E1621&lt;&gt;"""", F1621&lt;&gt;"""", N"&amp;"OT(REGEXMATCH(C1621, ""薪資""))), ""內部轉帳(忽略)"",
  REGEXMATCH(C1621, ""薪資""), ""薪資變動(不計入)"",
  REGEXMATCH(C1621, ""押金""), ""押金往來"",
  AND(E1621&lt;&gt;"""", F1621=""""), ""真實支出"",
  AND(E1621="""", F1621&lt;&gt;""""), ""真實收入"",
  TRUE, ""其他""
)"),"真實收入")</f>
        <v>真實收入</v>
      </c>
      <c r="K1621" s="270">
        <f t="shared" si="2"/>
        <v>18300</v>
      </c>
      <c r="L1621">
        <f t="shared" si="3"/>
        <v>0</v>
      </c>
    </row>
    <row r="1622">
      <c r="A1622" s="107">
        <f>IFERROR(__xludf.DUMMYFUNCTION("""COMPUTED_VALUE"""),45719.0)</f>
        <v>45719</v>
      </c>
      <c r="B1622" t="str">
        <f>IFERROR(__xludf.DUMMYFUNCTION("""COMPUTED_VALUE"""),"Feli D 佩方 退水電瓦斯")</f>
        <v>Feli D 佩方 退水電瓦斯</v>
      </c>
      <c r="C1622" t="str">
        <f>IFERROR(__xludf.DUMMYFUNCTION("""COMPUTED_VALUE"""),"收入 - 押金")</f>
        <v>收入 - 押金</v>
      </c>
      <c r="D1622" s="270">
        <f>IFERROR(__xludf.DUMMYFUNCTION("""COMPUTED_VALUE"""),-2606.0)</f>
        <v>-2606</v>
      </c>
      <c r="E1622" t="str">
        <f>IFERROR(__xludf.DUMMYFUNCTION("""COMPUTED_VALUE"""),"Ben帳戶")</f>
        <v>Ben帳戶</v>
      </c>
      <c r="G1622" t="str">
        <f>IFERROR(__xludf.DUMMYFUNCTION("""COMPUTED_VALUE"""),"中山北Feli家")</f>
        <v>中山北Feli家</v>
      </c>
      <c r="H1622" s="106" t="str">
        <f t="shared" si="1"/>
        <v>2025-03</v>
      </c>
      <c r="I1622" s="271" t="str">
        <f>IFERROR(__xludf.DUMMYFUNCTION("""COMPUTED_VALUE"""),"貓狗企鵝")</f>
        <v>貓狗企鵝</v>
      </c>
      <c r="J1622" t="str">
        <f>IFERROR(__xludf.DUMMYFUNCTION("IFS(
  AND(REGEXMATCH(E1622, ""台銀籌備帳戶|玉山帳戶""), REGEXMATCH(C1622, ""薪資"")), ""分潤支出"",
  AND(REGEXMATCH(E1622, ""Ben帳戶|Elsa帳戶|Ben代墊|Ariel代墊|中信銀行共用""), REGEXMATCH(F1622, ""Ben帳戶|Elsa帳戶|Ben代墊|Ariel代墊|中信銀行共用"")), ""內部轉帳(忽略)"",
  AND(E1622&lt;&gt;"""", F1622&lt;&gt;"""", N"&amp;"OT(REGEXMATCH(C1622, ""薪資""))), ""內部轉帳(忽略)"",
  REGEXMATCH(C1622, ""薪資""), ""薪資變動(不計入)"",
  REGEXMATCH(C1622, ""押金""), ""押金往來"",
  AND(E1622&lt;&gt;"""", F1622=""""), ""真實支出"",
  AND(E1622="""", F1622&lt;&gt;""""), ""真實收入"",
  TRUE, ""其他""
)"),"押金往來")</f>
        <v>押金往來</v>
      </c>
      <c r="K1622">
        <f t="shared" si="2"/>
        <v>0</v>
      </c>
      <c r="L1622">
        <f t="shared" si="3"/>
        <v>0</v>
      </c>
    </row>
    <row r="1623">
      <c r="A1623" s="107">
        <f>IFERROR(__xludf.DUMMYFUNCTION("""COMPUTED_VALUE"""),45721.0)</f>
        <v>45721</v>
      </c>
      <c r="B1623" t="str">
        <f>IFERROR(__xludf.DUMMYFUNCTION("""COMPUTED_VALUE"""),"永春北都網路")</f>
        <v>永春北都網路</v>
      </c>
      <c r="C1623" t="str">
        <f>IFERROR(__xludf.DUMMYFUNCTION("""COMPUTED_VALUE"""),"成本 - 固定開銷(網路代收清潔)")</f>
        <v>成本 - 固定開銷(網路代收清潔)</v>
      </c>
      <c r="D1623" s="270">
        <f>IFERROR(__xludf.DUMMYFUNCTION("""COMPUTED_VALUE"""),-2615.0)</f>
        <v>-2615</v>
      </c>
      <c r="E1623" t="str">
        <f>IFERROR(__xludf.DUMMYFUNCTION("""COMPUTED_VALUE"""),"Ben帳戶")</f>
        <v>Ben帳戶</v>
      </c>
      <c r="G1623" t="str">
        <f>IFERROR(__xludf.DUMMYFUNCTION("""COMPUTED_VALUE"""),"永春四號")</f>
        <v>永春四號</v>
      </c>
      <c r="H1623" s="106" t="str">
        <f t="shared" si="1"/>
        <v>2025-03</v>
      </c>
      <c r="I1623" s="271" t="str">
        <f>IFERROR(__xludf.DUMMYFUNCTION("""COMPUTED_VALUE"""),"貓狗企鵝")</f>
        <v>貓狗企鵝</v>
      </c>
      <c r="J1623" t="str">
        <f>IFERROR(__xludf.DUMMYFUNCTION("IFS(
  AND(REGEXMATCH(E1623, ""台銀籌備帳戶|玉山帳戶""), REGEXMATCH(C1623, ""薪資"")), ""分潤支出"",
  AND(REGEXMATCH(E1623, ""Ben帳戶|Elsa帳戶|Ben代墊|Ariel代墊|中信銀行共用""), REGEXMATCH(F1623, ""Ben帳戶|Elsa帳戶|Ben代墊|Ariel代墊|中信銀行共用"")), ""內部轉帳(忽略)"",
  AND(E1623&lt;&gt;"""", F1623&lt;&gt;"""", N"&amp;"OT(REGEXMATCH(C1623, ""薪資""))), ""內部轉帳(忽略)"",
  REGEXMATCH(C1623, ""薪資""), ""薪資變動(不計入)"",
  REGEXMATCH(C1623, ""押金""), ""押金往來"",
  AND(E1623&lt;&gt;"""", F1623=""""), ""真實支出"",
  AND(E1623="""", F1623&lt;&gt;""""), ""真實收入"",
  TRUE, ""其他""
)"),"真實支出")</f>
        <v>真實支出</v>
      </c>
      <c r="K1623" s="270">
        <f t="shared" si="2"/>
        <v>-2615</v>
      </c>
      <c r="L1623">
        <f t="shared" si="3"/>
        <v>0</v>
      </c>
    </row>
    <row r="1624">
      <c r="A1624" s="107">
        <f>IFERROR(__xludf.DUMMYFUNCTION("""COMPUTED_VALUE"""),45721.0)</f>
        <v>45721</v>
      </c>
      <c r="B1624" t="str">
        <f>IFERROR(__xludf.DUMMYFUNCTION("""COMPUTED_VALUE"""),"典蓉 感謝金")</f>
        <v>典蓉 感謝金</v>
      </c>
      <c r="C1624" t="str">
        <f>IFERROR(__xludf.DUMMYFUNCTION("""COMPUTED_VALUE"""),"費用 - 人力成本")</f>
        <v>費用 - 人力成本</v>
      </c>
      <c r="D1624" s="270">
        <f>IFERROR(__xludf.DUMMYFUNCTION("""COMPUTED_VALUE"""),-1000.0)</f>
        <v>-1000</v>
      </c>
      <c r="E1624" t="str">
        <f>IFERROR(__xludf.DUMMYFUNCTION("""COMPUTED_VALUE"""),"Ben帳戶")</f>
        <v>Ben帳戶</v>
      </c>
      <c r="H1624" s="106" t="str">
        <f t="shared" si="1"/>
        <v>2025-03</v>
      </c>
      <c r="I1624" s="271" t="str">
        <f>IFERROR(__xludf.DUMMYFUNCTION("""COMPUTED_VALUE"""),"貓狗企鵝")</f>
        <v>貓狗企鵝</v>
      </c>
      <c r="J1624" t="str">
        <f>IFERROR(__xludf.DUMMYFUNCTION("IFS(
  AND(REGEXMATCH(E1624, ""台銀籌備帳戶|玉山帳戶""), REGEXMATCH(C1624, ""薪資"")), ""分潤支出"",
  AND(REGEXMATCH(E1624, ""Ben帳戶|Elsa帳戶|Ben代墊|Ariel代墊|中信銀行共用""), REGEXMATCH(F1624, ""Ben帳戶|Elsa帳戶|Ben代墊|Ariel代墊|中信銀行共用"")), ""內部轉帳(忽略)"",
  AND(E1624&lt;&gt;"""", F1624&lt;&gt;"""", N"&amp;"OT(REGEXMATCH(C1624, ""薪資""))), ""內部轉帳(忽略)"",
  REGEXMATCH(C1624, ""薪資""), ""薪資變動(不計入)"",
  REGEXMATCH(C1624, ""押金""), ""押金往來"",
  AND(E1624&lt;&gt;"""", F1624=""""), ""真實支出"",
  AND(E1624="""", F1624&lt;&gt;""""), ""真實收入"",
  TRUE, ""其他""
)"),"真實支出")</f>
        <v>真實支出</v>
      </c>
      <c r="K1624" s="270">
        <f t="shared" si="2"/>
        <v>-1000</v>
      </c>
      <c r="L1624">
        <f t="shared" si="3"/>
        <v>0</v>
      </c>
    </row>
    <row r="1625">
      <c r="A1625" s="107">
        <f>IFERROR(__xludf.DUMMYFUNCTION("""COMPUTED_VALUE"""),45720.0)</f>
        <v>45720</v>
      </c>
      <c r="B1625" t="str">
        <f>IFERROR(__xludf.DUMMYFUNCTION("""COMPUTED_VALUE"""),"哈拉B 租金")</f>
        <v>哈拉B 租金</v>
      </c>
      <c r="C1625" t="str">
        <f>IFERROR(__xludf.DUMMYFUNCTION("""COMPUTED_VALUE"""),"收入 - 租金")</f>
        <v>收入 - 租金</v>
      </c>
      <c r="D1625" s="270">
        <f>IFERROR(__xludf.DUMMYFUNCTION("""COMPUTED_VALUE"""),13252.0)</f>
        <v>13252</v>
      </c>
      <c r="F1625" t="str">
        <f>IFERROR(__xludf.DUMMYFUNCTION("""COMPUTED_VALUE"""),"台銀籌備帳戶")</f>
        <v>台銀籌備帳戶</v>
      </c>
      <c r="G1625" t="str">
        <f>IFERROR(__xludf.DUMMYFUNCTION("""COMPUTED_VALUE"""),"哈拉對面")</f>
        <v>哈拉對面</v>
      </c>
      <c r="H1625" s="106" t="str">
        <f t="shared" si="1"/>
        <v>2025-03</v>
      </c>
      <c r="I1625" s="271" t="str">
        <f>IFERROR(__xludf.DUMMYFUNCTION("""COMPUTED_VALUE"""),"貓狗企鵝")</f>
        <v>貓狗企鵝</v>
      </c>
      <c r="J1625" t="str">
        <f>IFERROR(__xludf.DUMMYFUNCTION("IFS(
  AND(REGEXMATCH(E1625, ""台銀籌備帳戶|玉山帳戶""), REGEXMATCH(C1625, ""薪資"")), ""分潤支出"",
  AND(REGEXMATCH(E1625, ""Ben帳戶|Elsa帳戶|Ben代墊|Ariel代墊|中信銀行共用""), REGEXMATCH(F1625, ""Ben帳戶|Elsa帳戶|Ben代墊|Ariel代墊|中信銀行共用"")), ""內部轉帳(忽略)"",
  AND(E1625&lt;&gt;"""", F1625&lt;&gt;"""", N"&amp;"OT(REGEXMATCH(C1625, ""薪資""))), ""內部轉帳(忽略)"",
  REGEXMATCH(C1625, ""薪資""), ""薪資變動(不計入)"",
  REGEXMATCH(C1625, ""押金""), ""押金往來"",
  AND(E1625&lt;&gt;"""", F1625=""""), ""真實支出"",
  AND(E1625="""", F1625&lt;&gt;""""), ""真實收入"",
  TRUE, ""其他""
)"),"真實收入")</f>
        <v>真實收入</v>
      </c>
      <c r="K1625" s="270">
        <f t="shared" si="2"/>
        <v>13252</v>
      </c>
      <c r="L1625">
        <f t="shared" si="3"/>
        <v>0</v>
      </c>
    </row>
    <row r="1626">
      <c r="A1626" s="107">
        <f>IFERROR(__xludf.DUMMYFUNCTION("""COMPUTED_VALUE"""),45720.0)</f>
        <v>45720</v>
      </c>
      <c r="B1626" t="str">
        <f>IFERROR(__xludf.DUMMYFUNCTION("""COMPUTED_VALUE"""),"[中山北娘家旁] C [魏湘芸] 月租金")</f>
        <v>[中山北娘家旁] C [魏湘芸] 月租金</v>
      </c>
      <c r="C1626" t="str">
        <f>IFERROR(__xludf.DUMMYFUNCTION("""COMPUTED_VALUE"""),"收入 - 租金")</f>
        <v>收入 - 租金</v>
      </c>
      <c r="D1626" s="270">
        <f>IFERROR(__xludf.DUMMYFUNCTION("""COMPUTED_VALUE"""),14800.0)</f>
        <v>14800</v>
      </c>
      <c r="F1626" t="str">
        <f>IFERROR(__xludf.DUMMYFUNCTION("""COMPUTED_VALUE"""),"台銀籌備帳戶")</f>
        <v>台銀籌備帳戶</v>
      </c>
      <c r="G1626" t="str">
        <f>IFERROR(__xludf.DUMMYFUNCTION("""COMPUTED_VALUE"""),"中山北娘家旁")</f>
        <v>中山北娘家旁</v>
      </c>
      <c r="H1626" s="106" t="str">
        <f t="shared" si="1"/>
        <v>2025-03</v>
      </c>
      <c r="I1626" s="271" t="str">
        <f>IFERROR(__xludf.DUMMYFUNCTION("""COMPUTED_VALUE"""),"貓狗企鵝")</f>
        <v>貓狗企鵝</v>
      </c>
      <c r="J1626" t="str">
        <f>IFERROR(__xludf.DUMMYFUNCTION("IFS(
  AND(REGEXMATCH(E1626, ""台銀籌備帳戶|玉山帳戶""), REGEXMATCH(C1626, ""薪資"")), ""分潤支出"",
  AND(REGEXMATCH(E1626, ""Ben帳戶|Elsa帳戶|Ben代墊|Ariel代墊|中信銀行共用""), REGEXMATCH(F1626, ""Ben帳戶|Elsa帳戶|Ben代墊|Ariel代墊|中信銀行共用"")), ""內部轉帳(忽略)"",
  AND(E1626&lt;&gt;"""", F1626&lt;&gt;"""", N"&amp;"OT(REGEXMATCH(C1626, ""薪資""))), ""內部轉帳(忽略)"",
  REGEXMATCH(C1626, ""薪資""), ""薪資變動(不計入)"",
  REGEXMATCH(C1626, ""押金""), ""押金往來"",
  AND(E1626&lt;&gt;"""", F1626=""""), ""真實支出"",
  AND(E1626="""", F1626&lt;&gt;""""), ""真實收入"",
  TRUE, ""其他""
)"),"真實收入")</f>
        <v>真實收入</v>
      </c>
      <c r="K1626" s="270">
        <f t="shared" si="2"/>
        <v>14800</v>
      </c>
      <c r="L1626">
        <f t="shared" si="3"/>
        <v>0</v>
      </c>
    </row>
    <row r="1627">
      <c r="A1627" s="107">
        <f>IFERROR(__xludf.DUMMYFUNCTION("""COMPUTED_VALUE"""),45721.0)</f>
        <v>45721</v>
      </c>
      <c r="B1627" t="str">
        <f>IFERROR(__xludf.DUMMYFUNCTION("""COMPUTED_VALUE"""),"南港修水管")</f>
        <v>南港修水管</v>
      </c>
      <c r="C1627" t="str">
        <f>IFERROR(__xludf.DUMMYFUNCTION("""COMPUTED_VALUE"""),"成本 - 租後修繕")</f>
        <v>成本 - 租後修繕</v>
      </c>
      <c r="D1627" s="270">
        <f>IFERROR(__xludf.DUMMYFUNCTION("""COMPUTED_VALUE"""),-1000.0)</f>
        <v>-1000</v>
      </c>
      <c r="E1627" t="str">
        <f>IFERROR(__xludf.DUMMYFUNCTION("""COMPUTED_VALUE"""),"Ben帳戶")</f>
        <v>Ben帳戶</v>
      </c>
      <c r="G1627" t="str">
        <f>IFERROR(__xludf.DUMMYFUNCTION("""COMPUTED_VALUE"""),"南港站挑高宅")</f>
        <v>南港站挑高宅</v>
      </c>
      <c r="H1627" s="106" t="str">
        <f t="shared" si="1"/>
        <v>2025-03</v>
      </c>
      <c r="I1627" s="271" t="str">
        <f>IFERROR(__xludf.DUMMYFUNCTION("""COMPUTED_VALUE"""),"貓狗企鵝")</f>
        <v>貓狗企鵝</v>
      </c>
      <c r="J1627" t="str">
        <f>IFERROR(__xludf.DUMMYFUNCTION("IFS(
  AND(REGEXMATCH(E1627, ""台銀籌備帳戶|玉山帳戶""), REGEXMATCH(C1627, ""薪資"")), ""分潤支出"",
  AND(REGEXMATCH(E1627, ""Ben帳戶|Elsa帳戶|Ben代墊|Ariel代墊|中信銀行共用""), REGEXMATCH(F1627, ""Ben帳戶|Elsa帳戶|Ben代墊|Ariel代墊|中信銀行共用"")), ""內部轉帳(忽略)"",
  AND(E1627&lt;&gt;"""", F1627&lt;&gt;"""", N"&amp;"OT(REGEXMATCH(C1627, ""薪資""))), ""內部轉帳(忽略)"",
  REGEXMATCH(C1627, ""薪資""), ""薪資變動(不計入)"",
  REGEXMATCH(C1627, ""押金""), ""押金往來"",
  AND(E1627&lt;&gt;"""", F1627=""""), ""真實支出"",
  AND(E1627="""", F1627&lt;&gt;""""), ""真實收入"",
  TRUE, ""其他""
)"),"真實支出")</f>
        <v>真實支出</v>
      </c>
      <c r="K1627" s="270">
        <f t="shared" si="2"/>
        <v>-1000</v>
      </c>
      <c r="L1627">
        <f t="shared" si="3"/>
        <v>0</v>
      </c>
    </row>
    <row r="1628">
      <c r="A1628" s="107">
        <f>IFERROR(__xludf.DUMMYFUNCTION("""COMPUTED_VALUE"""),45723.0)</f>
        <v>45723</v>
      </c>
      <c r="B1628" t="str">
        <f>IFERROR(__xludf.DUMMYFUNCTION("""COMPUTED_VALUE"""),"民生社區押金")</f>
        <v>民生社區押金</v>
      </c>
      <c r="C1628" t="str">
        <f>IFERROR(__xludf.DUMMYFUNCTION("""COMPUTED_VALUE"""),"成本 - 對屋主押金")</f>
        <v>成本 - 對屋主押金</v>
      </c>
      <c r="D1628" s="270">
        <f>IFERROR(__xludf.DUMMYFUNCTION("""COMPUTED_VALUE"""),-50000.0)</f>
        <v>-50000</v>
      </c>
      <c r="E1628" t="str">
        <f>IFERROR(__xludf.DUMMYFUNCTION("""COMPUTED_VALUE"""),"Elsa帳戶")</f>
        <v>Elsa帳戶</v>
      </c>
      <c r="G1628" t="str">
        <f>IFERROR(__xludf.DUMMYFUNCTION("""COMPUTED_VALUE"""),"書香民生")</f>
        <v>書香民生</v>
      </c>
      <c r="H1628" s="106" t="str">
        <f t="shared" si="1"/>
        <v>2025-03</v>
      </c>
      <c r="I1628" s="271" t="str">
        <f>IFERROR(__xludf.DUMMYFUNCTION("""COMPUTED_VALUE"""),"貓狗企鵝")</f>
        <v>貓狗企鵝</v>
      </c>
      <c r="J1628" t="str">
        <f>IFERROR(__xludf.DUMMYFUNCTION("IFS(
  AND(REGEXMATCH(E1628, ""台銀籌備帳戶|玉山帳戶""), REGEXMATCH(C1628, ""薪資"")), ""分潤支出"",
  AND(REGEXMATCH(E1628, ""Ben帳戶|Elsa帳戶|Ben代墊|Ariel代墊|中信銀行共用""), REGEXMATCH(F1628, ""Ben帳戶|Elsa帳戶|Ben代墊|Ariel代墊|中信銀行共用"")), ""內部轉帳(忽略)"",
  AND(E1628&lt;&gt;"""", F1628&lt;&gt;"""", N"&amp;"OT(REGEXMATCH(C1628, ""薪資""))), ""內部轉帳(忽略)"",
  REGEXMATCH(C1628, ""薪資""), ""薪資變動(不計入)"",
  REGEXMATCH(C1628, ""押金""), ""押金往來"",
  AND(E1628&lt;&gt;"""", F1628=""""), ""真實支出"",
  AND(E1628="""", F1628&lt;&gt;""""), ""真實收入"",
  TRUE, ""其他""
)"),"押金往來")</f>
        <v>押金往來</v>
      </c>
      <c r="K1628">
        <f t="shared" si="2"/>
        <v>0</v>
      </c>
      <c r="L1628">
        <f t="shared" si="3"/>
        <v>0</v>
      </c>
    </row>
    <row r="1629">
      <c r="A1629" s="107">
        <f>IFERROR(__xludf.DUMMYFUNCTION("""COMPUTED_VALUE"""),45723.0)</f>
        <v>45723</v>
      </c>
      <c r="B1629" t="str">
        <f>IFERROR(__xludf.DUMMYFUNCTION("""COMPUTED_VALUE"""),"民生社區租金2/3")</f>
        <v>民生社區租金2/3</v>
      </c>
      <c r="C1629" t="str">
        <f>IFERROR(__xludf.DUMMYFUNCTION("""COMPUTED_VALUE"""),"成本 - 大租金")</f>
        <v>成本 - 大租金</v>
      </c>
      <c r="D1629" s="270">
        <f>IFERROR(__xludf.DUMMYFUNCTION("""COMPUTED_VALUE"""),-16666.0)</f>
        <v>-16666</v>
      </c>
      <c r="E1629" t="str">
        <f>IFERROR(__xludf.DUMMYFUNCTION("""COMPUTED_VALUE"""),"Elsa帳戶")</f>
        <v>Elsa帳戶</v>
      </c>
      <c r="G1629" t="str">
        <f>IFERROR(__xludf.DUMMYFUNCTION("""COMPUTED_VALUE"""),"書香民生")</f>
        <v>書香民生</v>
      </c>
      <c r="H1629" s="106" t="str">
        <f t="shared" si="1"/>
        <v>2025-03</v>
      </c>
      <c r="I1629" s="271" t="str">
        <f>IFERROR(__xludf.DUMMYFUNCTION("""COMPUTED_VALUE"""),"貓狗企鵝")</f>
        <v>貓狗企鵝</v>
      </c>
      <c r="J1629" t="str">
        <f>IFERROR(__xludf.DUMMYFUNCTION("IFS(
  AND(REGEXMATCH(E1629, ""台銀籌備帳戶|玉山帳戶""), REGEXMATCH(C1629, ""薪資"")), ""分潤支出"",
  AND(REGEXMATCH(E1629, ""Ben帳戶|Elsa帳戶|Ben代墊|Ariel代墊|中信銀行共用""), REGEXMATCH(F1629, ""Ben帳戶|Elsa帳戶|Ben代墊|Ariel代墊|中信銀行共用"")), ""內部轉帳(忽略)"",
  AND(E1629&lt;&gt;"""", F1629&lt;&gt;"""", N"&amp;"OT(REGEXMATCH(C1629, ""薪資""))), ""內部轉帳(忽略)"",
  REGEXMATCH(C1629, ""薪資""), ""薪資變動(不計入)"",
  REGEXMATCH(C1629, ""押金""), ""押金往來"",
  AND(E1629&lt;&gt;"""", F1629=""""), ""真實支出"",
  AND(E1629="""", F1629&lt;&gt;""""), ""真實收入"",
  TRUE, ""其他""
)"),"真實支出")</f>
        <v>真實支出</v>
      </c>
      <c r="K1629" s="270">
        <f t="shared" si="2"/>
        <v>-16666</v>
      </c>
      <c r="L1629">
        <f t="shared" si="3"/>
        <v>0</v>
      </c>
    </row>
    <row r="1630">
      <c r="A1630" s="107">
        <f>IFERROR(__xludf.DUMMYFUNCTION("""COMPUTED_VALUE"""),45723.0)</f>
        <v>45723</v>
      </c>
      <c r="B1630" t="str">
        <f>IFERROR(__xludf.DUMMYFUNCTION("""COMPUTED_VALUE"""),"民生社區押金")</f>
        <v>民生社區押金</v>
      </c>
      <c r="C1630" t="str">
        <f>IFERROR(__xludf.DUMMYFUNCTION("""COMPUTED_VALUE"""),"成本 - 對屋主押金")</f>
        <v>成本 - 對屋主押金</v>
      </c>
      <c r="D1630" s="270">
        <f>IFERROR(__xludf.DUMMYFUNCTION("""COMPUTED_VALUE"""),-50000.0)</f>
        <v>-50000</v>
      </c>
      <c r="E1630" t="str">
        <f>IFERROR(__xludf.DUMMYFUNCTION("""COMPUTED_VALUE"""),"Ben帳戶")</f>
        <v>Ben帳戶</v>
      </c>
      <c r="G1630" t="str">
        <f>IFERROR(__xludf.DUMMYFUNCTION("""COMPUTED_VALUE"""),"書香民生")</f>
        <v>書香民生</v>
      </c>
      <c r="H1630" s="106" t="str">
        <f t="shared" si="1"/>
        <v>2025-03</v>
      </c>
      <c r="I1630" s="271" t="str">
        <f>IFERROR(__xludf.DUMMYFUNCTION("""COMPUTED_VALUE"""),"貓狗企鵝")</f>
        <v>貓狗企鵝</v>
      </c>
      <c r="J1630" t="str">
        <f>IFERROR(__xludf.DUMMYFUNCTION("IFS(
  AND(REGEXMATCH(E1630, ""台銀籌備帳戶|玉山帳戶""), REGEXMATCH(C1630, ""薪資"")), ""分潤支出"",
  AND(REGEXMATCH(E1630, ""Ben帳戶|Elsa帳戶|Ben代墊|Ariel代墊|中信銀行共用""), REGEXMATCH(F1630, ""Ben帳戶|Elsa帳戶|Ben代墊|Ariel代墊|中信銀行共用"")), ""內部轉帳(忽略)"",
  AND(E1630&lt;&gt;"""", F1630&lt;&gt;"""", N"&amp;"OT(REGEXMATCH(C1630, ""薪資""))), ""內部轉帳(忽略)"",
  REGEXMATCH(C1630, ""薪資""), ""薪資變動(不計入)"",
  REGEXMATCH(C1630, ""押金""), ""押金往來"",
  AND(E1630&lt;&gt;"""", F1630=""""), ""真實支出"",
  AND(E1630="""", F1630&lt;&gt;""""), ""真實收入"",
  TRUE, ""其他""
)"),"押金往來")</f>
        <v>押金往來</v>
      </c>
      <c r="K1630">
        <f t="shared" si="2"/>
        <v>0</v>
      </c>
      <c r="L1630">
        <f t="shared" si="3"/>
        <v>0</v>
      </c>
    </row>
    <row r="1631">
      <c r="A1631" s="107">
        <f>IFERROR(__xludf.DUMMYFUNCTION("""COMPUTED_VALUE"""),45723.0)</f>
        <v>45723</v>
      </c>
      <c r="B1631" t="str">
        <f>IFERROR(__xludf.DUMMYFUNCTION("""COMPUTED_VALUE"""),"延壽街公證費")</f>
        <v>延壽街公證費</v>
      </c>
      <c r="C1631" t="str">
        <f>IFERROR(__xludf.DUMMYFUNCTION("""COMPUTED_VALUE"""),"成本 - 公證費")</f>
        <v>成本 - 公證費</v>
      </c>
      <c r="D1631" s="270">
        <f>IFERROR(__xludf.DUMMYFUNCTION("""COMPUTED_VALUE"""),-9000.0)</f>
        <v>-9000</v>
      </c>
      <c r="E1631" t="str">
        <f>IFERROR(__xludf.DUMMYFUNCTION("""COMPUTED_VALUE"""),"Ben帳戶")</f>
        <v>Ben帳戶</v>
      </c>
      <c r="G1631" t="str">
        <f>IFERROR(__xludf.DUMMYFUNCTION("""COMPUTED_VALUE"""),"書香民生")</f>
        <v>書香民生</v>
      </c>
      <c r="H1631" s="106" t="str">
        <f t="shared" si="1"/>
        <v>2025-03</v>
      </c>
      <c r="I1631" s="271" t="str">
        <f>IFERROR(__xludf.DUMMYFUNCTION("""COMPUTED_VALUE"""),"貓狗企鵝")</f>
        <v>貓狗企鵝</v>
      </c>
      <c r="J1631" t="str">
        <f>IFERROR(__xludf.DUMMYFUNCTION("IFS(
  AND(REGEXMATCH(E1631, ""台銀籌備帳戶|玉山帳戶""), REGEXMATCH(C1631, ""薪資"")), ""分潤支出"",
  AND(REGEXMATCH(E1631, ""Ben帳戶|Elsa帳戶|Ben代墊|Ariel代墊|中信銀行共用""), REGEXMATCH(F1631, ""Ben帳戶|Elsa帳戶|Ben代墊|Ariel代墊|中信銀行共用"")), ""內部轉帳(忽略)"",
  AND(E1631&lt;&gt;"""", F1631&lt;&gt;"""", N"&amp;"OT(REGEXMATCH(C1631, ""薪資""))), ""內部轉帳(忽略)"",
  REGEXMATCH(C1631, ""薪資""), ""薪資變動(不計入)"",
  REGEXMATCH(C1631, ""押金""), ""押金往來"",
  AND(E1631&lt;&gt;"""", F1631=""""), ""真實支出"",
  AND(E1631="""", F1631&lt;&gt;""""), ""真實收入"",
  TRUE, ""其他""
)"),"真實支出")</f>
        <v>真實支出</v>
      </c>
      <c r="K1631" s="270">
        <f t="shared" si="2"/>
        <v>-9000</v>
      </c>
      <c r="L1631">
        <f t="shared" si="3"/>
        <v>0</v>
      </c>
    </row>
    <row r="1632">
      <c r="A1632" s="107">
        <f>IFERROR(__xludf.DUMMYFUNCTION("""COMPUTED_VALUE"""),45725.0)</f>
        <v>45725</v>
      </c>
      <c r="B1632" t="str">
        <f>IFERROR(__xludf.DUMMYFUNCTION("""COMPUTED_VALUE"""),"金龍感謝金")</f>
        <v>金龍感謝金</v>
      </c>
      <c r="C1632" t="str">
        <f>IFERROR(__xludf.DUMMYFUNCTION("""COMPUTED_VALUE"""),"成本 - 仲介費")</f>
        <v>成本 - 仲介費</v>
      </c>
      <c r="D1632" s="270">
        <f>IFERROR(__xludf.DUMMYFUNCTION("""COMPUTED_VALUE"""),-1000.0)</f>
        <v>-1000</v>
      </c>
      <c r="E1632" t="str">
        <f>IFERROR(__xludf.DUMMYFUNCTION("""COMPUTED_VALUE"""),"Ben帳戶")</f>
        <v>Ben帳戶</v>
      </c>
      <c r="G1632" t="str">
        <f>IFERROR(__xludf.DUMMYFUNCTION("""COMPUTED_VALUE"""),"金龍帽子先生")</f>
        <v>金龍帽子先生</v>
      </c>
      <c r="H1632" s="106" t="str">
        <f t="shared" si="1"/>
        <v>2025-03</v>
      </c>
      <c r="I1632" s="271" t="str">
        <f>IFERROR(__xludf.DUMMYFUNCTION("""COMPUTED_VALUE"""),"貓狗企鵝")</f>
        <v>貓狗企鵝</v>
      </c>
      <c r="J1632" t="str">
        <f>IFERROR(__xludf.DUMMYFUNCTION("IFS(
  AND(REGEXMATCH(E1632, ""台銀籌備帳戶|玉山帳戶""), REGEXMATCH(C1632, ""薪資"")), ""分潤支出"",
  AND(REGEXMATCH(E1632, ""Ben帳戶|Elsa帳戶|Ben代墊|Ariel代墊|中信銀行共用""), REGEXMATCH(F1632, ""Ben帳戶|Elsa帳戶|Ben代墊|Ariel代墊|中信銀行共用"")), ""內部轉帳(忽略)"",
  AND(E1632&lt;&gt;"""", F1632&lt;&gt;"""", N"&amp;"OT(REGEXMATCH(C1632, ""薪資""))), ""內部轉帳(忽略)"",
  REGEXMATCH(C1632, ""薪資""), ""薪資變動(不計入)"",
  REGEXMATCH(C1632, ""押金""), ""押金往來"",
  AND(E1632&lt;&gt;"""", F1632=""""), ""真實支出"",
  AND(E1632="""", F1632&lt;&gt;""""), ""真實收入"",
  TRUE, ""其他""
)"),"真實支出")</f>
        <v>真實支出</v>
      </c>
      <c r="K1632" s="270">
        <f t="shared" si="2"/>
        <v>-1000</v>
      </c>
      <c r="L1632">
        <f t="shared" si="3"/>
        <v>0</v>
      </c>
    </row>
    <row r="1633">
      <c r="A1633" s="107">
        <f>IFERROR(__xludf.DUMMYFUNCTION("""COMPUTED_VALUE"""),45725.0)</f>
        <v>45725</v>
      </c>
      <c r="B1633" t="str">
        <f>IFERROR(__xludf.DUMMYFUNCTION("""COMPUTED_VALUE"""),"龍江A, B房隔擋")</f>
        <v>龍江A, B房隔擋</v>
      </c>
      <c r="C1633" t="str">
        <f>IFERROR(__xludf.DUMMYFUNCTION("""COMPUTED_VALUE"""),"成本 - 租後修繕")</f>
        <v>成本 - 租後修繕</v>
      </c>
      <c r="D1633" s="270">
        <f>IFERROR(__xludf.DUMMYFUNCTION("""COMPUTED_VALUE"""),-357.0)</f>
        <v>-357</v>
      </c>
      <c r="E1633" t="str">
        <f>IFERROR(__xludf.DUMMYFUNCTION("""COMPUTED_VALUE"""),"Elsa帳戶")</f>
        <v>Elsa帳戶</v>
      </c>
      <c r="G1633" t="str">
        <f>IFERROR(__xludf.DUMMYFUNCTION("""COMPUTED_VALUE"""),"龍江229")</f>
        <v>龍江229</v>
      </c>
      <c r="H1633" s="106" t="str">
        <f t="shared" si="1"/>
        <v>2025-03</v>
      </c>
      <c r="I1633" s="271" t="str">
        <f>IFERROR(__xludf.DUMMYFUNCTION("""COMPUTED_VALUE"""),"貓狗企鵝")</f>
        <v>貓狗企鵝</v>
      </c>
      <c r="J1633" t="str">
        <f>IFERROR(__xludf.DUMMYFUNCTION("IFS(
  AND(REGEXMATCH(E1633, ""台銀籌備帳戶|玉山帳戶""), REGEXMATCH(C1633, ""薪資"")), ""分潤支出"",
  AND(REGEXMATCH(E1633, ""Ben帳戶|Elsa帳戶|Ben代墊|Ariel代墊|中信銀行共用""), REGEXMATCH(F1633, ""Ben帳戶|Elsa帳戶|Ben代墊|Ariel代墊|中信銀行共用"")), ""內部轉帳(忽略)"",
  AND(E1633&lt;&gt;"""", F1633&lt;&gt;"""", N"&amp;"OT(REGEXMATCH(C1633, ""薪資""))), ""內部轉帳(忽略)"",
  REGEXMATCH(C1633, ""薪資""), ""薪資變動(不計入)"",
  REGEXMATCH(C1633, ""押金""), ""押金往來"",
  AND(E1633&lt;&gt;"""", F1633=""""), ""真實支出"",
  AND(E1633="""", F1633&lt;&gt;""""), ""真實收入"",
  TRUE, ""其他""
)"),"真實支出")</f>
        <v>真實支出</v>
      </c>
      <c r="K1633" s="270">
        <f t="shared" si="2"/>
        <v>-357</v>
      </c>
      <c r="L1633">
        <f t="shared" si="3"/>
        <v>0</v>
      </c>
    </row>
    <row r="1634">
      <c r="A1634" s="107">
        <f>IFERROR(__xludf.DUMMYFUNCTION("""COMPUTED_VALUE"""),45726.0)</f>
        <v>45726</v>
      </c>
      <c r="B1634" t="str">
        <f>IFERROR(__xludf.DUMMYFUNCTION("""COMPUTED_VALUE"""),"新生北IKEA")</f>
        <v>新生北IKEA</v>
      </c>
      <c r="C1634" t="str">
        <f>IFERROR(__xludf.DUMMYFUNCTION("""COMPUTED_VALUE"""),"成本 - 進場前裝潢費")</f>
        <v>成本 - 進場前裝潢費</v>
      </c>
      <c r="D1634" s="270">
        <f>IFERROR(__xludf.DUMMYFUNCTION("""COMPUTED_VALUE"""),-1195.0)</f>
        <v>-1195</v>
      </c>
      <c r="E1634" t="str">
        <f>IFERROR(__xludf.DUMMYFUNCTION("""COMPUTED_VALUE"""),"Elsa帳戶")</f>
        <v>Elsa帳戶</v>
      </c>
      <c r="G1634" t="str">
        <f>IFERROR(__xludf.DUMMYFUNCTION("""COMPUTED_VALUE"""),"無法分類")</f>
        <v>無法分類</v>
      </c>
      <c r="H1634" s="106" t="str">
        <f t="shared" si="1"/>
        <v>2025-03</v>
      </c>
      <c r="I1634" s="271" t="str">
        <f>IFERROR(__xludf.DUMMYFUNCTION("""COMPUTED_VALUE"""),"貓狗企鵝")</f>
        <v>貓狗企鵝</v>
      </c>
      <c r="J1634" t="str">
        <f>IFERROR(__xludf.DUMMYFUNCTION("IFS(
  AND(REGEXMATCH(E1634, ""台銀籌備帳戶|玉山帳戶""), REGEXMATCH(C1634, ""薪資"")), ""分潤支出"",
  AND(REGEXMATCH(E1634, ""Ben帳戶|Elsa帳戶|Ben代墊|Ariel代墊|中信銀行共用""), REGEXMATCH(F1634, ""Ben帳戶|Elsa帳戶|Ben代墊|Ariel代墊|中信銀行共用"")), ""內部轉帳(忽略)"",
  AND(E1634&lt;&gt;"""", F1634&lt;&gt;"""", N"&amp;"OT(REGEXMATCH(C1634, ""薪資""))), ""內部轉帳(忽略)"",
  REGEXMATCH(C1634, ""薪資""), ""薪資變動(不計入)"",
  REGEXMATCH(C1634, ""押金""), ""押金往來"",
  AND(E1634&lt;&gt;"""", F1634=""""), ""真實支出"",
  AND(E1634="""", F1634&lt;&gt;""""), ""真實收入"",
  TRUE, ""其他""
)"),"真實支出")</f>
        <v>真實支出</v>
      </c>
      <c r="K1634" s="270">
        <f t="shared" si="2"/>
        <v>-1195</v>
      </c>
      <c r="L1634">
        <f t="shared" si="3"/>
        <v>0</v>
      </c>
    </row>
    <row r="1635">
      <c r="A1635" s="107">
        <f>IFERROR(__xludf.DUMMYFUNCTION("""COMPUTED_VALUE"""),45726.0)</f>
        <v>45726</v>
      </c>
      <c r="B1635" t="str">
        <f>IFERROR(__xludf.DUMMYFUNCTION("""COMPUTED_VALUE"""),"垃可")</f>
        <v>垃可</v>
      </c>
      <c r="C1635" t="str">
        <f>IFERROR(__xludf.DUMMYFUNCTION("""COMPUTED_VALUE"""),"成本 - 固定開銷(網路代收清潔)")</f>
        <v>成本 - 固定開銷(網路代收清潔)</v>
      </c>
      <c r="D1635" s="270">
        <f>IFERROR(__xludf.DUMMYFUNCTION("""COMPUTED_VALUE"""),-4840.0)</f>
        <v>-4840</v>
      </c>
      <c r="E1635" t="str">
        <f>IFERROR(__xludf.DUMMYFUNCTION("""COMPUTED_VALUE"""),"Ben帳戶")</f>
        <v>Ben帳戶</v>
      </c>
      <c r="G1635" t="str">
        <f>IFERROR(__xludf.DUMMYFUNCTION("""COMPUTED_VALUE"""),"無法分類")</f>
        <v>無法分類</v>
      </c>
      <c r="H1635" s="106" t="str">
        <f t="shared" si="1"/>
        <v>2025-03</v>
      </c>
      <c r="I1635" s="271" t="str">
        <f>IFERROR(__xludf.DUMMYFUNCTION("""COMPUTED_VALUE"""),"貓狗企鵝")</f>
        <v>貓狗企鵝</v>
      </c>
      <c r="J1635" t="str">
        <f>IFERROR(__xludf.DUMMYFUNCTION("IFS(
  AND(REGEXMATCH(E1635, ""台銀籌備帳戶|玉山帳戶""), REGEXMATCH(C1635, ""薪資"")), ""分潤支出"",
  AND(REGEXMATCH(E1635, ""Ben帳戶|Elsa帳戶|Ben代墊|Ariel代墊|中信銀行共用""), REGEXMATCH(F1635, ""Ben帳戶|Elsa帳戶|Ben代墊|Ariel代墊|中信銀行共用"")), ""內部轉帳(忽略)"",
  AND(E1635&lt;&gt;"""", F1635&lt;&gt;"""", N"&amp;"OT(REGEXMATCH(C1635, ""薪資""))), ""內部轉帳(忽略)"",
  REGEXMATCH(C1635, ""薪資""), ""薪資變動(不計入)"",
  REGEXMATCH(C1635, ""押金""), ""押金往來"",
  AND(E1635&lt;&gt;"""", F1635=""""), ""真實支出"",
  AND(E1635="""", F1635&lt;&gt;""""), ""真實收入"",
  TRUE, ""其他""
)"),"真實支出")</f>
        <v>真實支出</v>
      </c>
      <c r="K1635" s="270">
        <f t="shared" si="2"/>
        <v>-4840</v>
      </c>
      <c r="L1635">
        <f t="shared" si="3"/>
        <v>0</v>
      </c>
    </row>
    <row r="1636">
      <c r="A1636" s="107">
        <f>IFERROR(__xludf.DUMMYFUNCTION("""COMPUTED_VALUE"""),45727.0)</f>
        <v>45727</v>
      </c>
      <c r="B1636" t="str">
        <f>IFERROR(__xludf.DUMMYFUNCTION("""COMPUTED_VALUE"""),"591 龍江")</f>
        <v>591 龍江</v>
      </c>
      <c r="C1636" t="str">
        <f>IFERROR(__xludf.DUMMYFUNCTION("""COMPUTED_VALUE"""),"成本 - 仲介費")</f>
        <v>成本 - 仲介費</v>
      </c>
      <c r="D1636" s="270">
        <f>IFERROR(__xludf.DUMMYFUNCTION("""COMPUTED_VALUE"""),-1289.0)</f>
        <v>-1289</v>
      </c>
      <c r="E1636" t="str">
        <f>IFERROR(__xludf.DUMMYFUNCTION("""COMPUTED_VALUE"""),"Ben帳戶")</f>
        <v>Ben帳戶</v>
      </c>
      <c r="G1636" t="str">
        <f>IFERROR(__xludf.DUMMYFUNCTION("""COMPUTED_VALUE"""),"龍江229")</f>
        <v>龍江229</v>
      </c>
      <c r="H1636" s="106" t="str">
        <f t="shared" si="1"/>
        <v>2025-03</v>
      </c>
      <c r="I1636" s="271" t="str">
        <f>IFERROR(__xludf.DUMMYFUNCTION("""COMPUTED_VALUE"""),"貓狗企鵝")</f>
        <v>貓狗企鵝</v>
      </c>
      <c r="J1636" t="str">
        <f>IFERROR(__xludf.DUMMYFUNCTION("IFS(
  AND(REGEXMATCH(E1636, ""台銀籌備帳戶|玉山帳戶""), REGEXMATCH(C1636, ""薪資"")), ""分潤支出"",
  AND(REGEXMATCH(E1636, ""Ben帳戶|Elsa帳戶|Ben代墊|Ariel代墊|中信銀行共用""), REGEXMATCH(F1636, ""Ben帳戶|Elsa帳戶|Ben代墊|Ariel代墊|中信銀行共用"")), ""內部轉帳(忽略)"",
  AND(E1636&lt;&gt;"""", F1636&lt;&gt;"""", N"&amp;"OT(REGEXMATCH(C1636, ""薪資""))), ""內部轉帳(忽略)"",
  REGEXMATCH(C1636, ""薪資""), ""薪資變動(不計入)"",
  REGEXMATCH(C1636, ""押金""), ""押金往來"",
  AND(E1636&lt;&gt;"""", F1636=""""), ""真實支出"",
  AND(E1636="""", F1636&lt;&gt;""""), ""真實收入"",
  TRUE, ""其他""
)"),"真實支出")</f>
        <v>真實支出</v>
      </c>
      <c r="K1636" s="270">
        <f t="shared" si="2"/>
        <v>-1289</v>
      </c>
      <c r="L1636">
        <f t="shared" si="3"/>
        <v>0</v>
      </c>
    </row>
    <row r="1637">
      <c r="A1637" s="107">
        <f>IFERROR(__xludf.DUMMYFUNCTION("""COMPUTED_VALUE"""),45727.0)</f>
        <v>45727</v>
      </c>
      <c r="B1637" t="str">
        <f>IFERROR(__xludf.DUMMYFUNCTION("""COMPUTED_VALUE"""),"娘家B水費")</f>
        <v>娘家B水費</v>
      </c>
      <c r="C1637" t="str">
        <f>IFERROR(__xludf.DUMMYFUNCTION("""COMPUTED_VALUE"""),"成本 - 固定開銷(網路代收清潔)")</f>
        <v>成本 - 固定開銷(網路代收清潔)</v>
      </c>
      <c r="D1637" s="270">
        <f>IFERROR(__xludf.DUMMYFUNCTION("""COMPUTED_VALUE"""),-178.0)</f>
        <v>-178</v>
      </c>
      <c r="E1637" t="str">
        <f>IFERROR(__xludf.DUMMYFUNCTION("""COMPUTED_VALUE"""),"Ben帳戶")</f>
        <v>Ben帳戶</v>
      </c>
      <c r="G1637" t="str">
        <f>IFERROR(__xludf.DUMMYFUNCTION("""COMPUTED_VALUE"""),"中山北娘家旁")</f>
        <v>中山北娘家旁</v>
      </c>
      <c r="H1637" s="106" t="str">
        <f t="shared" si="1"/>
        <v>2025-03</v>
      </c>
      <c r="I1637" s="271" t="str">
        <f>IFERROR(__xludf.DUMMYFUNCTION("""COMPUTED_VALUE"""),"貓狗企鵝")</f>
        <v>貓狗企鵝</v>
      </c>
      <c r="J1637" t="str">
        <f>IFERROR(__xludf.DUMMYFUNCTION("IFS(
  AND(REGEXMATCH(E1637, ""台銀籌備帳戶|玉山帳戶""), REGEXMATCH(C1637, ""薪資"")), ""分潤支出"",
  AND(REGEXMATCH(E1637, ""Ben帳戶|Elsa帳戶|Ben代墊|Ariel代墊|中信銀行共用""), REGEXMATCH(F1637, ""Ben帳戶|Elsa帳戶|Ben代墊|Ariel代墊|中信銀行共用"")), ""內部轉帳(忽略)"",
  AND(E1637&lt;&gt;"""", F1637&lt;&gt;"""", N"&amp;"OT(REGEXMATCH(C1637, ""薪資""))), ""內部轉帳(忽略)"",
  REGEXMATCH(C1637, ""薪資""), ""薪資變動(不計入)"",
  REGEXMATCH(C1637, ""押金""), ""押金往來"",
  AND(E1637&lt;&gt;"""", F1637=""""), ""真實支出"",
  AND(E1637="""", F1637&lt;&gt;""""), ""真實收入"",
  TRUE, ""其他""
)"),"真實支出")</f>
        <v>真實支出</v>
      </c>
      <c r="K1637" s="270">
        <f t="shared" si="2"/>
        <v>-178</v>
      </c>
      <c r="L1637">
        <f t="shared" si="3"/>
        <v>0</v>
      </c>
    </row>
    <row r="1638">
      <c r="A1638" s="107">
        <f>IFERROR(__xludf.DUMMYFUNCTION("""COMPUTED_VALUE"""),45727.0)</f>
        <v>45727</v>
      </c>
      <c r="B1638" t="str">
        <f>IFERROR(__xludf.DUMMYFUNCTION("""COMPUTED_VALUE"""),"Feli慶功")</f>
        <v>Feli慶功</v>
      </c>
      <c r="C1638" t="str">
        <f>IFERROR(__xludf.DUMMYFUNCTION("""COMPUTED_VALUE"""),"成本 - 租後修繕")</f>
        <v>成本 - 租後修繕</v>
      </c>
      <c r="D1638" s="270">
        <f>IFERROR(__xludf.DUMMYFUNCTION("""COMPUTED_VALUE"""),-9800.0)</f>
        <v>-9800</v>
      </c>
      <c r="E1638" t="str">
        <f>IFERROR(__xludf.DUMMYFUNCTION("""COMPUTED_VALUE"""),"Ben帳戶")</f>
        <v>Ben帳戶</v>
      </c>
      <c r="G1638" t="str">
        <f>IFERROR(__xludf.DUMMYFUNCTION("""COMPUTED_VALUE"""),"中山北Feli家")</f>
        <v>中山北Feli家</v>
      </c>
      <c r="H1638" s="106" t="str">
        <f t="shared" si="1"/>
        <v>2025-03</v>
      </c>
      <c r="I1638" s="271" t="str">
        <f>IFERROR(__xludf.DUMMYFUNCTION("""COMPUTED_VALUE"""),"貓狗企鵝")</f>
        <v>貓狗企鵝</v>
      </c>
      <c r="J1638" t="str">
        <f>IFERROR(__xludf.DUMMYFUNCTION("IFS(
  AND(REGEXMATCH(E1638, ""台銀籌備帳戶|玉山帳戶""), REGEXMATCH(C1638, ""薪資"")), ""分潤支出"",
  AND(REGEXMATCH(E1638, ""Ben帳戶|Elsa帳戶|Ben代墊|Ariel代墊|中信銀行共用""), REGEXMATCH(F1638, ""Ben帳戶|Elsa帳戶|Ben代墊|Ariel代墊|中信銀行共用"")), ""內部轉帳(忽略)"",
  AND(E1638&lt;&gt;"""", F1638&lt;&gt;"""", N"&amp;"OT(REGEXMATCH(C1638, ""薪資""))), ""內部轉帳(忽略)"",
  REGEXMATCH(C1638, ""薪資""), ""薪資變動(不計入)"",
  REGEXMATCH(C1638, ""押金""), ""押金往來"",
  AND(E1638&lt;&gt;"""", F1638=""""), ""真實支出"",
  AND(E1638="""", F1638&lt;&gt;""""), ""真實收入"",
  TRUE, ""其他""
)"),"真實支出")</f>
        <v>真實支出</v>
      </c>
      <c r="K1638" s="270">
        <f t="shared" si="2"/>
        <v>-9800</v>
      </c>
      <c r="L1638">
        <f t="shared" si="3"/>
        <v>0</v>
      </c>
    </row>
    <row r="1639">
      <c r="A1639" s="107">
        <f>IFERROR(__xludf.DUMMYFUNCTION("""COMPUTED_VALUE"""),45730.0)</f>
        <v>45730</v>
      </c>
      <c r="B1639" t="str">
        <f>IFERROR(__xludf.DUMMYFUNCTION("""COMPUTED_VALUE"""),"阿虎營業稅")</f>
        <v>阿虎營業稅</v>
      </c>
      <c r="C1639" t="str">
        <f>IFERROR(__xludf.DUMMYFUNCTION("""COMPUTED_VALUE"""),"費用 - 稅金")</f>
        <v>費用 - 稅金</v>
      </c>
      <c r="D1639" s="270">
        <f>IFERROR(__xludf.DUMMYFUNCTION("""COMPUTED_VALUE"""),-15302.0)</f>
        <v>-15302</v>
      </c>
      <c r="E1639" t="str">
        <f>IFERROR(__xludf.DUMMYFUNCTION("""COMPUTED_VALUE"""),"Elsa帳戶")</f>
        <v>Elsa帳戶</v>
      </c>
      <c r="H1639" s="106" t="str">
        <f t="shared" si="1"/>
        <v>2025-03</v>
      </c>
      <c r="I1639" s="271" t="str">
        <f>IFERROR(__xludf.DUMMYFUNCTION("""COMPUTED_VALUE"""),"貓狗企鵝")</f>
        <v>貓狗企鵝</v>
      </c>
      <c r="J1639" t="str">
        <f>IFERROR(__xludf.DUMMYFUNCTION("IFS(
  AND(REGEXMATCH(E1639, ""台銀籌備帳戶|玉山帳戶""), REGEXMATCH(C1639, ""薪資"")), ""分潤支出"",
  AND(REGEXMATCH(E1639, ""Ben帳戶|Elsa帳戶|Ben代墊|Ariel代墊|中信銀行共用""), REGEXMATCH(F1639, ""Ben帳戶|Elsa帳戶|Ben代墊|Ariel代墊|中信銀行共用"")), ""內部轉帳(忽略)"",
  AND(E1639&lt;&gt;"""", F1639&lt;&gt;"""", N"&amp;"OT(REGEXMATCH(C1639, ""薪資""))), ""內部轉帳(忽略)"",
  REGEXMATCH(C1639, ""薪資""), ""薪資變動(不計入)"",
  REGEXMATCH(C1639, ""押金""), ""押金往來"",
  AND(E1639&lt;&gt;"""", F1639=""""), ""真實支出"",
  AND(E1639="""", F1639&lt;&gt;""""), ""真實收入"",
  TRUE, ""其他""
)"),"真實支出")</f>
        <v>真實支出</v>
      </c>
      <c r="K1639" s="270">
        <f t="shared" si="2"/>
        <v>-15302</v>
      </c>
      <c r="L1639">
        <f t="shared" si="3"/>
        <v>0</v>
      </c>
    </row>
    <row r="1640">
      <c r="A1640" s="107">
        <f>IFERROR(__xludf.DUMMYFUNCTION("""COMPUTED_VALUE"""),45731.0)</f>
        <v>45731</v>
      </c>
      <c r="B1640" t="str">
        <f>IFERROR(__xludf.DUMMYFUNCTION("""COMPUTED_VALUE"""),"蝦皮 保潔墊")</f>
        <v>蝦皮 保潔墊</v>
      </c>
      <c r="C1640" t="str">
        <f>IFERROR(__xludf.DUMMYFUNCTION("""COMPUTED_VALUE"""),"成本 - 進場前裝潢費")</f>
        <v>成本 - 進場前裝潢費</v>
      </c>
      <c r="D1640" s="270">
        <f>IFERROR(__xludf.DUMMYFUNCTION("""COMPUTED_VALUE"""),-1640.0)</f>
        <v>-1640</v>
      </c>
      <c r="E1640" t="str">
        <f>IFERROR(__xludf.DUMMYFUNCTION("""COMPUTED_VALUE"""),"Elsa帳戶")</f>
        <v>Elsa帳戶</v>
      </c>
      <c r="G1640" t="str">
        <f>IFERROR(__xludf.DUMMYFUNCTION("""COMPUTED_VALUE"""),"書香民生")</f>
        <v>書香民生</v>
      </c>
      <c r="H1640" s="106" t="str">
        <f t="shared" si="1"/>
        <v>2025-03</v>
      </c>
      <c r="I1640" s="271" t="str">
        <f>IFERROR(__xludf.DUMMYFUNCTION("""COMPUTED_VALUE"""),"貓狗企鵝")</f>
        <v>貓狗企鵝</v>
      </c>
      <c r="J1640" t="str">
        <f>IFERROR(__xludf.DUMMYFUNCTION("IFS(
  AND(REGEXMATCH(E1640, ""台銀籌備帳戶|玉山帳戶""), REGEXMATCH(C1640, ""薪資"")), ""分潤支出"",
  AND(REGEXMATCH(E1640, ""Ben帳戶|Elsa帳戶|Ben代墊|Ariel代墊|中信銀行共用""), REGEXMATCH(F1640, ""Ben帳戶|Elsa帳戶|Ben代墊|Ariel代墊|中信銀行共用"")), ""內部轉帳(忽略)"",
  AND(E1640&lt;&gt;"""", F1640&lt;&gt;"""", N"&amp;"OT(REGEXMATCH(C1640, ""薪資""))), ""內部轉帳(忽略)"",
  REGEXMATCH(C1640, ""薪資""), ""薪資變動(不計入)"",
  REGEXMATCH(C1640, ""押金""), ""押金往來"",
  AND(E1640&lt;&gt;"""", F1640=""""), ""真實支出"",
  AND(E1640="""", F1640&lt;&gt;""""), ""真實收入"",
  TRUE, ""其他""
)"),"真實支出")</f>
        <v>真實支出</v>
      </c>
      <c r="K1640" s="270">
        <f t="shared" si="2"/>
        <v>-1640</v>
      </c>
      <c r="L1640">
        <f t="shared" si="3"/>
        <v>0</v>
      </c>
    </row>
    <row r="1641">
      <c r="A1641" s="107">
        <f>IFERROR(__xludf.DUMMYFUNCTION("""COMPUTED_VALUE"""),45732.0)</f>
        <v>45732</v>
      </c>
      <c r="B1641" t="str">
        <f>IFERROR(__xludf.DUMMYFUNCTION("""COMPUTED_VALUE"""),"景安大大寬頻網路")</f>
        <v>景安大大寬頻網路</v>
      </c>
      <c r="C1641" t="str">
        <f>IFERROR(__xludf.DUMMYFUNCTION("""COMPUTED_VALUE"""),"成本 - 固定開銷(網路代收清潔)")</f>
        <v>成本 - 固定開銷(網路代收清潔)</v>
      </c>
      <c r="D1641" s="270">
        <f>IFERROR(__xludf.DUMMYFUNCTION("""COMPUTED_VALUE"""),-1500.0)</f>
        <v>-1500</v>
      </c>
      <c r="E1641" t="str">
        <f>IFERROR(__xludf.DUMMYFUNCTION("""COMPUTED_VALUE"""),"Ben帳戶")</f>
        <v>Ben帳戶</v>
      </c>
      <c r="G1641" t="str">
        <f>IFERROR(__xludf.DUMMYFUNCTION("""COMPUTED_VALUE"""),"景安2分鐘")</f>
        <v>景安2分鐘</v>
      </c>
      <c r="H1641" s="106" t="str">
        <f t="shared" si="1"/>
        <v>2025-03</v>
      </c>
      <c r="I1641" s="271" t="str">
        <f>IFERROR(__xludf.DUMMYFUNCTION("""COMPUTED_VALUE"""),"貓狗企鵝")</f>
        <v>貓狗企鵝</v>
      </c>
      <c r="J1641" t="str">
        <f>IFERROR(__xludf.DUMMYFUNCTION("IFS(
  AND(REGEXMATCH(E1641, ""台銀籌備帳戶|玉山帳戶""), REGEXMATCH(C1641, ""薪資"")), ""分潤支出"",
  AND(REGEXMATCH(E1641, ""Ben帳戶|Elsa帳戶|Ben代墊|Ariel代墊|中信銀行共用""), REGEXMATCH(F1641, ""Ben帳戶|Elsa帳戶|Ben代墊|Ariel代墊|中信銀行共用"")), ""內部轉帳(忽略)"",
  AND(E1641&lt;&gt;"""", F1641&lt;&gt;"""", N"&amp;"OT(REGEXMATCH(C1641, ""薪資""))), ""內部轉帳(忽略)"",
  REGEXMATCH(C1641, ""薪資""), ""薪資變動(不計入)"",
  REGEXMATCH(C1641, ""押金""), ""押金往來"",
  AND(E1641&lt;&gt;"""", F1641=""""), ""真實支出"",
  AND(E1641="""", F1641&lt;&gt;""""), ""真實收入"",
  TRUE, ""其他""
)"),"真實支出")</f>
        <v>真實支出</v>
      </c>
      <c r="K1641" s="270">
        <f t="shared" si="2"/>
        <v>-1500</v>
      </c>
      <c r="L1641">
        <f t="shared" si="3"/>
        <v>0</v>
      </c>
    </row>
    <row r="1642">
      <c r="A1642" s="107">
        <f>IFERROR(__xludf.DUMMYFUNCTION("""COMPUTED_VALUE"""),45734.0)</f>
        <v>45734</v>
      </c>
      <c r="B1642" t="str">
        <f>IFERROR(__xludf.DUMMYFUNCTION("""COMPUTED_VALUE"""),"龍江感謝金")</f>
        <v>龍江感謝金</v>
      </c>
      <c r="C1642" t="str">
        <f>IFERROR(__xludf.DUMMYFUNCTION("""COMPUTED_VALUE"""),"成本 - 仲介費")</f>
        <v>成本 - 仲介費</v>
      </c>
      <c r="D1642" s="270">
        <f>IFERROR(__xludf.DUMMYFUNCTION("""COMPUTED_VALUE"""),-500.0)</f>
        <v>-500</v>
      </c>
      <c r="E1642" t="str">
        <f>IFERROR(__xludf.DUMMYFUNCTION("""COMPUTED_VALUE"""),"Ben帳戶")</f>
        <v>Ben帳戶</v>
      </c>
      <c r="G1642" t="str">
        <f>IFERROR(__xludf.DUMMYFUNCTION("""COMPUTED_VALUE"""),"龍江229")</f>
        <v>龍江229</v>
      </c>
      <c r="H1642" s="106" t="str">
        <f t="shared" si="1"/>
        <v>2025-03</v>
      </c>
      <c r="I1642" s="271" t="str">
        <f>IFERROR(__xludf.DUMMYFUNCTION("""COMPUTED_VALUE"""),"貓狗企鵝")</f>
        <v>貓狗企鵝</v>
      </c>
      <c r="J1642" t="str">
        <f>IFERROR(__xludf.DUMMYFUNCTION("IFS(
  AND(REGEXMATCH(E1642, ""台銀籌備帳戶|玉山帳戶""), REGEXMATCH(C1642, ""薪資"")), ""分潤支出"",
  AND(REGEXMATCH(E1642, ""Ben帳戶|Elsa帳戶|Ben代墊|Ariel代墊|中信銀行共用""), REGEXMATCH(F1642, ""Ben帳戶|Elsa帳戶|Ben代墊|Ariel代墊|中信銀行共用"")), ""內部轉帳(忽略)"",
  AND(E1642&lt;&gt;"""", F1642&lt;&gt;"""", N"&amp;"OT(REGEXMATCH(C1642, ""薪資""))), ""內部轉帳(忽略)"",
  REGEXMATCH(C1642, ""薪資""), ""薪資變動(不計入)"",
  REGEXMATCH(C1642, ""押金""), ""押金往來"",
  AND(E1642&lt;&gt;"""", F1642=""""), ""真實支出"",
  AND(E1642="""", F1642&lt;&gt;""""), ""真實收入"",
  TRUE, ""其他""
)"),"真實支出")</f>
        <v>真實支出</v>
      </c>
      <c r="K1642" s="270">
        <f t="shared" si="2"/>
        <v>-500</v>
      </c>
      <c r="L1642">
        <f t="shared" si="3"/>
        <v>0</v>
      </c>
    </row>
    <row r="1643">
      <c r="A1643" s="107">
        <f>IFERROR(__xludf.DUMMYFUNCTION("""COMPUTED_VALUE"""),45735.0)</f>
        <v>45735</v>
      </c>
      <c r="B1643" t="str">
        <f>IFERROR(__xludf.DUMMYFUNCTION("""COMPUTED_VALUE"""),"金龍3、4月垃圾代收")</f>
        <v>金龍3、4月垃圾代收</v>
      </c>
      <c r="C1643" t="str">
        <f>IFERROR(__xludf.DUMMYFUNCTION("""COMPUTED_VALUE"""),"成本 - 固定開銷(網路代收清潔)")</f>
        <v>成本 - 固定開銷(網路代收清潔)</v>
      </c>
      <c r="D1643" s="270">
        <f>IFERROR(__xludf.DUMMYFUNCTION("""COMPUTED_VALUE"""),-800.0)</f>
        <v>-800</v>
      </c>
      <c r="E1643" t="str">
        <f>IFERROR(__xludf.DUMMYFUNCTION("""COMPUTED_VALUE"""),"Elsa帳戶")</f>
        <v>Elsa帳戶</v>
      </c>
      <c r="G1643" t="str">
        <f>IFERROR(__xludf.DUMMYFUNCTION("""COMPUTED_VALUE"""),"金龍帽子先生")</f>
        <v>金龍帽子先生</v>
      </c>
      <c r="H1643" s="106" t="str">
        <f t="shared" si="1"/>
        <v>2025-03</v>
      </c>
      <c r="I1643" s="271" t="str">
        <f>IFERROR(__xludf.DUMMYFUNCTION("""COMPUTED_VALUE"""),"貓狗企鵝")</f>
        <v>貓狗企鵝</v>
      </c>
      <c r="J1643" t="str">
        <f>IFERROR(__xludf.DUMMYFUNCTION("IFS(
  AND(REGEXMATCH(E1643, ""台銀籌備帳戶|玉山帳戶""), REGEXMATCH(C1643, ""薪資"")), ""分潤支出"",
  AND(REGEXMATCH(E1643, ""Ben帳戶|Elsa帳戶|Ben代墊|Ariel代墊|中信銀行共用""), REGEXMATCH(F1643, ""Ben帳戶|Elsa帳戶|Ben代墊|Ariel代墊|中信銀行共用"")), ""內部轉帳(忽略)"",
  AND(E1643&lt;&gt;"""", F1643&lt;&gt;"""", N"&amp;"OT(REGEXMATCH(C1643, ""薪資""))), ""內部轉帳(忽略)"",
  REGEXMATCH(C1643, ""薪資""), ""薪資變動(不計入)"",
  REGEXMATCH(C1643, ""押金""), ""押金往來"",
  AND(E1643&lt;&gt;"""", F1643=""""), ""真實支出"",
  AND(E1643="""", F1643&lt;&gt;""""), ""真實收入"",
  TRUE, ""其他""
)"),"真實支出")</f>
        <v>真實支出</v>
      </c>
      <c r="K1643" s="270">
        <f t="shared" si="2"/>
        <v>-800</v>
      </c>
      <c r="L1643">
        <f t="shared" si="3"/>
        <v>0</v>
      </c>
    </row>
    <row r="1644">
      <c r="A1644" s="107">
        <f>IFERROR(__xludf.DUMMYFUNCTION("""COMPUTED_VALUE"""),45737.0)</f>
        <v>45737</v>
      </c>
      <c r="B1644" t="str">
        <f>IFERROR(__xludf.DUMMYFUNCTION("""COMPUTED_VALUE"""),"小玉 新生搬家")</f>
        <v>小玉 新生搬家</v>
      </c>
      <c r="C1644" t="str">
        <f>IFERROR(__xludf.DUMMYFUNCTION("""COMPUTED_VALUE"""),"成本 - 進場前裝潢費")</f>
        <v>成本 - 進場前裝潢費</v>
      </c>
      <c r="D1644" s="270">
        <f>IFERROR(__xludf.DUMMYFUNCTION("""COMPUTED_VALUE"""),-1155.0)</f>
        <v>-1155</v>
      </c>
      <c r="E1644" t="str">
        <f>IFERROR(__xludf.DUMMYFUNCTION("""COMPUTED_VALUE"""),"Ben帳戶")</f>
        <v>Ben帳戶</v>
      </c>
      <c r="G1644" t="str">
        <f>IFERROR(__xludf.DUMMYFUNCTION("""COMPUTED_VALUE"""),"無法分類")</f>
        <v>無法分類</v>
      </c>
      <c r="H1644" s="106" t="str">
        <f t="shared" si="1"/>
        <v>2025-03</v>
      </c>
      <c r="I1644" s="271" t="str">
        <f>IFERROR(__xludf.DUMMYFUNCTION("""COMPUTED_VALUE"""),"貓狗企鵝")</f>
        <v>貓狗企鵝</v>
      </c>
      <c r="J1644" t="str">
        <f>IFERROR(__xludf.DUMMYFUNCTION("IFS(
  AND(REGEXMATCH(E1644, ""台銀籌備帳戶|玉山帳戶""), REGEXMATCH(C1644, ""薪資"")), ""分潤支出"",
  AND(REGEXMATCH(E1644, ""Ben帳戶|Elsa帳戶|Ben代墊|Ariel代墊|中信銀行共用""), REGEXMATCH(F1644, ""Ben帳戶|Elsa帳戶|Ben代墊|Ariel代墊|中信銀行共用"")), ""內部轉帳(忽略)"",
  AND(E1644&lt;&gt;"""", F1644&lt;&gt;"""", N"&amp;"OT(REGEXMATCH(C1644, ""薪資""))), ""內部轉帳(忽略)"",
  REGEXMATCH(C1644, ""薪資""), ""薪資變動(不計入)"",
  REGEXMATCH(C1644, ""押金""), ""押金往來"",
  AND(E1644&lt;&gt;"""", F1644=""""), ""真實支出"",
  AND(E1644="""", F1644&lt;&gt;""""), ""真實收入"",
  TRUE, ""其他""
)"),"真實支出")</f>
        <v>真實支出</v>
      </c>
      <c r="K1644" s="270">
        <f t="shared" si="2"/>
        <v>-1155</v>
      </c>
      <c r="L1644">
        <f t="shared" si="3"/>
        <v>0</v>
      </c>
    </row>
    <row r="1645">
      <c r="A1645" s="107">
        <f>IFERROR(__xludf.DUMMYFUNCTION("""COMPUTED_VALUE"""),45737.0)</f>
        <v>45737</v>
      </c>
      <c r="B1645" t="str">
        <f>IFERROR(__xludf.DUMMYFUNCTION("""COMPUTED_VALUE"""),"新生北一段 管理費1個月")</f>
        <v>新生北一段 管理費1個月</v>
      </c>
      <c r="C1645" t="str">
        <f>IFERROR(__xludf.DUMMYFUNCTION("""COMPUTED_VALUE"""),"成本 - 進場前裝潢費")</f>
        <v>成本 - 進場前裝潢費</v>
      </c>
      <c r="D1645" s="270">
        <f>IFERROR(__xludf.DUMMYFUNCTION("""COMPUTED_VALUE"""),0.0)</f>
        <v>0</v>
      </c>
      <c r="E1645" t="str">
        <f>IFERROR(__xludf.DUMMYFUNCTION("""COMPUTED_VALUE"""),"Ben帳戶")</f>
        <v>Ben帳戶</v>
      </c>
      <c r="G1645" t="str">
        <f>IFERROR(__xludf.DUMMYFUNCTION("""COMPUTED_VALUE"""),"無法分類")</f>
        <v>無法分類</v>
      </c>
      <c r="H1645" s="106" t="str">
        <f t="shared" si="1"/>
        <v>2025-03</v>
      </c>
      <c r="I1645" s="271" t="str">
        <f>IFERROR(__xludf.DUMMYFUNCTION("""COMPUTED_VALUE"""),"貓狗企鵝")</f>
        <v>貓狗企鵝</v>
      </c>
      <c r="J1645" t="str">
        <f>IFERROR(__xludf.DUMMYFUNCTION("IFS(
  AND(REGEXMATCH(E1645, ""台銀籌備帳戶|玉山帳戶""), REGEXMATCH(C1645, ""薪資"")), ""分潤支出"",
  AND(REGEXMATCH(E1645, ""Ben帳戶|Elsa帳戶|Ben代墊|Ariel代墊|中信銀行共用""), REGEXMATCH(F1645, ""Ben帳戶|Elsa帳戶|Ben代墊|Ariel代墊|中信銀行共用"")), ""內部轉帳(忽略)"",
  AND(E1645&lt;&gt;"""", F1645&lt;&gt;"""", N"&amp;"OT(REGEXMATCH(C1645, ""薪資""))), ""內部轉帳(忽略)"",
  REGEXMATCH(C1645, ""薪資""), ""薪資變動(不計入)"",
  REGEXMATCH(C1645, ""押金""), ""押金往來"",
  AND(E1645&lt;&gt;"""", F1645=""""), ""真實支出"",
  AND(E1645="""", F1645&lt;&gt;""""), ""真實收入"",
  TRUE, ""其他""
)"),"真實支出")</f>
        <v>真實支出</v>
      </c>
      <c r="K1645" s="270">
        <f t="shared" si="2"/>
        <v>0</v>
      </c>
      <c r="L1645">
        <f t="shared" si="3"/>
        <v>0</v>
      </c>
    </row>
    <row r="1646">
      <c r="A1646" s="107">
        <f>IFERROR(__xludf.DUMMYFUNCTION("""COMPUTED_VALUE"""),45737.0)</f>
        <v>45737</v>
      </c>
      <c r="B1646" t="str">
        <f>IFERROR(__xludf.DUMMYFUNCTION("""COMPUTED_VALUE"""),"清洗水塔費用")</f>
        <v>清洗水塔費用</v>
      </c>
      <c r="C1646" t="str">
        <f>IFERROR(__xludf.DUMMYFUNCTION("""COMPUTED_VALUE"""),"成本 - 固定開銷(網路代收清潔)")</f>
        <v>成本 - 固定開銷(網路代收清潔)</v>
      </c>
      <c r="D1646" s="270">
        <f>IFERROR(__xludf.DUMMYFUNCTION("""COMPUTED_VALUE"""),-2000.0)</f>
        <v>-2000</v>
      </c>
      <c r="E1646" t="str">
        <f>IFERROR(__xludf.DUMMYFUNCTION("""COMPUTED_VALUE"""),"Ben帳戶")</f>
        <v>Ben帳戶</v>
      </c>
      <c r="G1646" t="str">
        <f>IFERROR(__xludf.DUMMYFUNCTION("""COMPUTED_VALUE"""),"中山北Feli家")</f>
        <v>中山北Feli家</v>
      </c>
      <c r="H1646" s="106" t="str">
        <f t="shared" si="1"/>
        <v>2025-03</v>
      </c>
      <c r="I1646" s="271" t="str">
        <f>IFERROR(__xludf.DUMMYFUNCTION("""COMPUTED_VALUE"""),"貓狗企鵝")</f>
        <v>貓狗企鵝</v>
      </c>
      <c r="J1646" t="str">
        <f>IFERROR(__xludf.DUMMYFUNCTION("IFS(
  AND(REGEXMATCH(E1646, ""台銀籌備帳戶|玉山帳戶""), REGEXMATCH(C1646, ""薪資"")), ""分潤支出"",
  AND(REGEXMATCH(E1646, ""Ben帳戶|Elsa帳戶|Ben代墊|Ariel代墊|中信銀行共用""), REGEXMATCH(F1646, ""Ben帳戶|Elsa帳戶|Ben代墊|Ariel代墊|中信銀行共用"")), ""內部轉帳(忽略)"",
  AND(E1646&lt;&gt;"""", F1646&lt;&gt;"""", N"&amp;"OT(REGEXMATCH(C1646, ""薪資""))), ""內部轉帳(忽略)"",
  REGEXMATCH(C1646, ""薪資""), ""薪資變動(不計入)"",
  REGEXMATCH(C1646, ""押金""), ""押金往來"",
  AND(E1646&lt;&gt;"""", F1646=""""), ""真實支出"",
  AND(E1646="""", F1646&lt;&gt;""""), ""真實收入"",
  TRUE, ""其他""
)"),"真實支出")</f>
        <v>真實支出</v>
      </c>
      <c r="K1646" s="270">
        <f t="shared" si="2"/>
        <v>-2000</v>
      </c>
      <c r="L1646">
        <f t="shared" si="3"/>
        <v>0</v>
      </c>
    </row>
    <row r="1647">
      <c r="A1647" s="107">
        <f>IFERROR(__xludf.DUMMYFUNCTION("""COMPUTED_VALUE"""),45741.0)</f>
        <v>45741</v>
      </c>
      <c r="B1647" t="str">
        <f>IFERROR(__xludf.DUMMYFUNCTION("""COMPUTED_VALUE"""),"樂宅慶功宴")</f>
        <v>樂宅慶功宴</v>
      </c>
      <c r="C1647" t="str">
        <f>IFERROR(__xludf.DUMMYFUNCTION("""COMPUTED_VALUE"""),"費用 - 餐飲")</f>
        <v>費用 - 餐飲</v>
      </c>
      <c r="D1647" s="270">
        <f>IFERROR(__xludf.DUMMYFUNCTION("""COMPUTED_VALUE"""),-5313.0)</f>
        <v>-5313</v>
      </c>
      <c r="E1647" t="str">
        <f>IFERROR(__xludf.DUMMYFUNCTION("""COMPUTED_VALUE"""),"Ben帳戶")</f>
        <v>Ben帳戶</v>
      </c>
      <c r="G1647" t="str">
        <f>IFERROR(__xludf.DUMMYFUNCTION("""COMPUTED_VALUE"""),"無法分類")</f>
        <v>無法分類</v>
      </c>
      <c r="H1647" s="106" t="str">
        <f t="shared" si="1"/>
        <v>2025-03</v>
      </c>
      <c r="I1647" s="271" t="str">
        <f>IFERROR(__xludf.DUMMYFUNCTION("""COMPUTED_VALUE"""),"貓狗企鵝")</f>
        <v>貓狗企鵝</v>
      </c>
      <c r="J1647" t="str">
        <f>IFERROR(__xludf.DUMMYFUNCTION("IFS(
  AND(REGEXMATCH(E1647, ""台銀籌備帳戶|玉山帳戶""), REGEXMATCH(C1647, ""薪資"")), ""分潤支出"",
  AND(REGEXMATCH(E1647, ""Ben帳戶|Elsa帳戶|Ben代墊|Ariel代墊|中信銀行共用""), REGEXMATCH(F1647, ""Ben帳戶|Elsa帳戶|Ben代墊|Ariel代墊|中信銀行共用"")), ""內部轉帳(忽略)"",
  AND(E1647&lt;&gt;"""", F1647&lt;&gt;"""", N"&amp;"OT(REGEXMATCH(C1647, ""薪資""))), ""內部轉帳(忽略)"",
  REGEXMATCH(C1647, ""薪資""), ""薪資變動(不計入)"",
  REGEXMATCH(C1647, ""押金""), ""押金往來"",
  AND(E1647&lt;&gt;"""", F1647=""""), ""真實支出"",
  AND(E1647="""", F1647&lt;&gt;""""), ""真實收入"",
  TRUE, ""其他""
)"),"真實支出")</f>
        <v>真實支出</v>
      </c>
      <c r="K1647" s="270">
        <f t="shared" si="2"/>
        <v>-5313</v>
      </c>
      <c r="L1647">
        <f t="shared" si="3"/>
        <v>0</v>
      </c>
    </row>
    <row r="1648">
      <c r="A1648" s="107">
        <f>IFERROR(__xludf.DUMMYFUNCTION("""COMPUTED_VALUE"""),45742.0)</f>
        <v>45742</v>
      </c>
      <c r="B1648" t="str">
        <f>IFERROR(__xludf.DUMMYFUNCTION("""COMPUTED_VALUE"""),"大湖清潔費")</f>
        <v>大湖清潔費</v>
      </c>
      <c r="C1648" t="str">
        <f>IFERROR(__xludf.DUMMYFUNCTION("""COMPUTED_VALUE"""),"成本 - 進場前裝潢費")</f>
        <v>成本 - 進場前裝潢費</v>
      </c>
      <c r="D1648" s="270">
        <f>IFERROR(__xludf.DUMMYFUNCTION("""COMPUTED_VALUE"""),-1200.0)</f>
        <v>-1200</v>
      </c>
      <c r="E1648" t="str">
        <f>IFERROR(__xludf.DUMMYFUNCTION("""COMPUTED_VALUE"""),"Ben帳戶")</f>
        <v>Ben帳戶</v>
      </c>
      <c r="G1648" t="str">
        <f>IFERROR(__xludf.DUMMYFUNCTION("""COMPUTED_VALUE"""),"大湖山莊")</f>
        <v>大湖山莊</v>
      </c>
      <c r="H1648" s="106" t="str">
        <f t="shared" si="1"/>
        <v>2025-03</v>
      </c>
      <c r="I1648" s="271" t="str">
        <f>IFERROR(__xludf.DUMMYFUNCTION("""COMPUTED_VALUE"""),"貓狗企鵝")</f>
        <v>貓狗企鵝</v>
      </c>
      <c r="J1648" t="str">
        <f>IFERROR(__xludf.DUMMYFUNCTION("IFS(
  AND(REGEXMATCH(E1648, ""台銀籌備帳戶|玉山帳戶""), REGEXMATCH(C1648, ""薪資"")), ""分潤支出"",
  AND(REGEXMATCH(E1648, ""Ben帳戶|Elsa帳戶|Ben代墊|Ariel代墊|中信銀行共用""), REGEXMATCH(F1648, ""Ben帳戶|Elsa帳戶|Ben代墊|Ariel代墊|中信銀行共用"")), ""內部轉帳(忽略)"",
  AND(E1648&lt;&gt;"""", F1648&lt;&gt;"""", N"&amp;"OT(REGEXMATCH(C1648, ""薪資""))), ""內部轉帳(忽略)"",
  REGEXMATCH(C1648, ""薪資""), ""薪資變動(不計入)"",
  REGEXMATCH(C1648, ""押金""), ""押金往來"",
  AND(E1648&lt;&gt;"""", F1648=""""), ""真實支出"",
  AND(E1648="""", F1648&lt;&gt;""""), ""真實收入"",
  TRUE, ""其他""
)"),"真實支出")</f>
        <v>真實支出</v>
      </c>
      <c r="K1648" s="270">
        <f t="shared" si="2"/>
        <v>-1200</v>
      </c>
      <c r="L1648">
        <f t="shared" si="3"/>
        <v>0</v>
      </c>
    </row>
    <row r="1649">
      <c r="A1649" s="107">
        <f>IFERROR(__xludf.DUMMYFUNCTION("""COMPUTED_VALUE"""),45744.0)</f>
        <v>45744</v>
      </c>
      <c r="B1649" t="str">
        <f>IFERROR(__xludf.DUMMYFUNCTION("""COMPUTED_VALUE"""),"龍江C退押")</f>
        <v>龍江C退押</v>
      </c>
      <c r="C1649" t="str">
        <f>IFERROR(__xludf.DUMMYFUNCTION("""COMPUTED_VALUE"""),"收入 - 押金")</f>
        <v>收入 - 押金</v>
      </c>
      <c r="D1649" s="270">
        <f>IFERROR(__xludf.DUMMYFUNCTION("""COMPUTED_VALUE"""),-35600.0)</f>
        <v>-35600</v>
      </c>
      <c r="E1649" t="str">
        <f>IFERROR(__xludf.DUMMYFUNCTION("""COMPUTED_VALUE"""),"Ben帳戶")</f>
        <v>Ben帳戶</v>
      </c>
      <c r="G1649" t="str">
        <f>IFERROR(__xludf.DUMMYFUNCTION("""COMPUTED_VALUE"""),"龍江229")</f>
        <v>龍江229</v>
      </c>
      <c r="H1649" s="106" t="str">
        <f t="shared" si="1"/>
        <v>2025-03</v>
      </c>
      <c r="I1649" s="271" t="str">
        <f>IFERROR(__xludf.DUMMYFUNCTION("""COMPUTED_VALUE"""),"貓狗企鵝")</f>
        <v>貓狗企鵝</v>
      </c>
      <c r="J1649" t="str">
        <f>IFERROR(__xludf.DUMMYFUNCTION("IFS(
  AND(REGEXMATCH(E1649, ""台銀籌備帳戶|玉山帳戶""), REGEXMATCH(C1649, ""薪資"")), ""分潤支出"",
  AND(REGEXMATCH(E1649, ""Ben帳戶|Elsa帳戶|Ben代墊|Ariel代墊|中信銀行共用""), REGEXMATCH(F1649, ""Ben帳戶|Elsa帳戶|Ben代墊|Ariel代墊|中信銀行共用"")), ""內部轉帳(忽略)"",
  AND(E1649&lt;&gt;"""", F1649&lt;&gt;"""", N"&amp;"OT(REGEXMATCH(C1649, ""薪資""))), ""內部轉帳(忽略)"",
  REGEXMATCH(C1649, ""薪資""), ""薪資變動(不計入)"",
  REGEXMATCH(C1649, ""押金""), ""押金往來"",
  AND(E1649&lt;&gt;"""", F1649=""""), ""真實支出"",
  AND(E1649="""", F1649&lt;&gt;""""), ""真實收入"",
  TRUE, ""其他""
)"),"押金往來")</f>
        <v>押金往來</v>
      </c>
      <c r="K1649">
        <f t="shared" si="2"/>
        <v>0</v>
      </c>
      <c r="L1649">
        <f t="shared" si="3"/>
        <v>0</v>
      </c>
    </row>
    <row r="1650">
      <c r="A1650" s="107">
        <f>IFERROR(__xludf.DUMMYFUNCTION("""COMPUTED_VALUE"""),45747.0)</f>
        <v>45747</v>
      </c>
      <c r="B1650" t="str">
        <f>IFERROR(__xludf.DUMMYFUNCTION("""COMPUTED_VALUE"""),"請Feli下午茶 歐德發票")</f>
        <v>請Feli下午茶 歐德發票</v>
      </c>
      <c r="C1650" t="str">
        <f>IFERROR(__xludf.DUMMYFUNCTION("""COMPUTED_VALUE"""),"費用 - 餐飲")</f>
        <v>費用 - 餐飲</v>
      </c>
      <c r="D1650" s="270">
        <f>IFERROR(__xludf.DUMMYFUNCTION("""COMPUTED_VALUE"""),-1140.0)</f>
        <v>-1140</v>
      </c>
      <c r="E1650" t="str">
        <f>IFERROR(__xludf.DUMMYFUNCTION("""COMPUTED_VALUE"""),"Ben帳戶")</f>
        <v>Ben帳戶</v>
      </c>
      <c r="G1650" t="str">
        <f>IFERROR(__xludf.DUMMYFUNCTION("""COMPUTED_VALUE"""),"無法分類")</f>
        <v>無法分類</v>
      </c>
      <c r="H1650" s="106" t="str">
        <f t="shared" si="1"/>
        <v>2025-03</v>
      </c>
      <c r="I1650" s="271" t="str">
        <f>IFERROR(__xludf.DUMMYFUNCTION("""COMPUTED_VALUE"""),"貓狗企鵝")</f>
        <v>貓狗企鵝</v>
      </c>
      <c r="J1650" t="str">
        <f>IFERROR(__xludf.DUMMYFUNCTION("IFS(
  AND(REGEXMATCH(E1650, ""台銀籌備帳戶|玉山帳戶""), REGEXMATCH(C1650, ""薪資"")), ""分潤支出"",
  AND(REGEXMATCH(E1650, ""Ben帳戶|Elsa帳戶|Ben代墊|Ariel代墊|中信銀行共用""), REGEXMATCH(F1650, ""Ben帳戶|Elsa帳戶|Ben代墊|Ariel代墊|中信銀行共用"")), ""內部轉帳(忽略)"",
  AND(E1650&lt;&gt;"""", F1650&lt;&gt;"""", N"&amp;"OT(REGEXMATCH(C1650, ""薪資""))), ""內部轉帳(忽略)"",
  REGEXMATCH(C1650, ""薪資""), ""薪資變動(不計入)"",
  REGEXMATCH(C1650, ""押金""), ""押金往來"",
  AND(E1650&lt;&gt;"""", F1650=""""), ""真實支出"",
  AND(E1650="""", F1650&lt;&gt;""""), ""真實收入"",
  TRUE, ""其他""
)"),"真實支出")</f>
        <v>真實支出</v>
      </c>
      <c r="K1650" s="270">
        <f t="shared" si="2"/>
        <v>-1140</v>
      </c>
      <c r="L1650">
        <f t="shared" si="3"/>
        <v>0</v>
      </c>
    </row>
    <row r="1651">
      <c r="A1651" s="107">
        <f>IFERROR(__xludf.DUMMYFUNCTION("""COMPUTED_VALUE"""),45747.0)</f>
        <v>45747</v>
      </c>
      <c r="B1651" t="str">
        <f>IFERROR(__xludf.DUMMYFUNCTION("""COMPUTED_VALUE"""),"哈拉 打鑰匙")</f>
        <v>哈拉 打鑰匙</v>
      </c>
      <c r="C1651" t="str">
        <f>IFERROR(__xludf.DUMMYFUNCTION("""COMPUTED_VALUE"""),"成本 - 租後修繕")</f>
        <v>成本 - 租後修繕</v>
      </c>
      <c r="D1651" s="270">
        <f>IFERROR(__xludf.DUMMYFUNCTION("""COMPUTED_VALUE"""),-120.0)</f>
        <v>-120</v>
      </c>
      <c r="E1651" t="str">
        <f>IFERROR(__xludf.DUMMYFUNCTION("""COMPUTED_VALUE"""),"Ben帳戶")</f>
        <v>Ben帳戶</v>
      </c>
      <c r="G1651" t="str">
        <f>IFERROR(__xludf.DUMMYFUNCTION("""COMPUTED_VALUE"""),"哈拉對面")</f>
        <v>哈拉對面</v>
      </c>
      <c r="H1651" s="106" t="str">
        <f t="shared" si="1"/>
        <v>2025-03</v>
      </c>
      <c r="I1651" s="271" t="str">
        <f>IFERROR(__xludf.DUMMYFUNCTION("""COMPUTED_VALUE"""),"貓狗企鵝")</f>
        <v>貓狗企鵝</v>
      </c>
      <c r="J1651" t="str">
        <f>IFERROR(__xludf.DUMMYFUNCTION("IFS(
  AND(REGEXMATCH(E1651, ""台銀籌備帳戶|玉山帳戶""), REGEXMATCH(C1651, ""薪資"")), ""分潤支出"",
  AND(REGEXMATCH(E1651, ""Ben帳戶|Elsa帳戶|Ben代墊|Ariel代墊|中信銀行共用""), REGEXMATCH(F1651, ""Ben帳戶|Elsa帳戶|Ben代墊|Ariel代墊|中信銀行共用"")), ""內部轉帳(忽略)"",
  AND(E1651&lt;&gt;"""", F1651&lt;&gt;"""", N"&amp;"OT(REGEXMATCH(C1651, ""薪資""))), ""內部轉帳(忽略)"",
  REGEXMATCH(C1651, ""薪資""), ""薪資變動(不計入)"",
  REGEXMATCH(C1651, ""押金""), ""押金往來"",
  AND(E1651&lt;&gt;"""", F1651=""""), ""真實支出"",
  AND(E1651="""", F1651&lt;&gt;""""), ""真實收入"",
  TRUE, ""其他""
)"),"真實支出")</f>
        <v>真實支出</v>
      </c>
      <c r="K1651" s="270">
        <f t="shared" si="2"/>
        <v>-120</v>
      </c>
      <c r="L1651">
        <f t="shared" si="3"/>
        <v>0</v>
      </c>
    </row>
    <row r="1652">
      <c r="A1652" s="107">
        <f>IFERROR(__xludf.DUMMYFUNCTION("""COMPUTED_VALUE"""),45749.0)</f>
        <v>45749</v>
      </c>
      <c r="B1652" t="str">
        <f>IFERROR(__xludf.DUMMYFUNCTION("""COMPUTED_VALUE"""),"龍江E 100元感謝金")</f>
        <v>龍江E 100元感謝金</v>
      </c>
      <c r="C1652" t="str">
        <f>IFERROR(__xludf.DUMMYFUNCTION("""COMPUTED_VALUE"""),"收入 - 其他")</f>
        <v>收入 - 其他</v>
      </c>
      <c r="D1652" s="270">
        <f>IFERROR(__xludf.DUMMYFUNCTION("""COMPUTED_VALUE"""),-100.0)</f>
        <v>-100</v>
      </c>
      <c r="E1652" t="str">
        <f>IFERROR(__xludf.DUMMYFUNCTION("""COMPUTED_VALUE"""),"Ben帳戶")</f>
        <v>Ben帳戶</v>
      </c>
      <c r="G1652" t="str">
        <f>IFERROR(__xludf.DUMMYFUNCTION("""COMPUTED_VALUE"""),"龍江229")</f>
        <v>龍江229</v>
      </c>
      <c r="H1652" s="106" t="str">
        <f t="shared" si="1"/>
        <v>2025-04</v>
      </c>
      <c r="I1652" s="271" t="str">
        <f>IFERROR(__xludf.DUMMYFUNCTION("""COMPUTED_VALUE"""),"貓狗企鵝")</f>
        <v>貓狗企鵝</v>
      </c>
      <c r="J1652" t="str">
        <f>IFERROR(__xludf.DUMMYFUNCTION("IFS(
  AND(REGEXMATCH(E1652, ""台銀籌備帳戶|玉山帳戶""), REGEXMATCH(C1652, ""薪資"")), ""分潤支出"",
  AND(REGEXMATCH(E1652, ""Ben帳戶|Elsa帳戶|Ben代墊|Ariel代墊|中信銀行共用""), REGEXMATCH(F1652, ""Ben帳戶|Elsa帳戶|Ben代墊|Ariel代墊|中信銀行共用"")), ""內部轉帳(忽略)"",
  AND(E1652&lt;&gt;"""", F1652&lt;&gt;"""", N"&amp;"OT(REGEXMATCH(C1652, ""薪資""))), ""內部轉帳(忽略)"",
  REGEXMATCH(C1652, ""薪資""), ""薪資變動(不計入)"",
  REGEXMATCH(C1652, ""押金""), ""押金往來"",
  AND(E1652&lt;&gt;"""", F1652=""""), ""真實支出"",
  AND(E1652="""", F1652&lt;&gt;""""), ""真實收入"",
  TRUE, ""其他""
)"),"真實支出")</f>
        <v>真實支出</v>
      </c>
      <c r="K1652" s="270">
        <f t="shared" si="2"/>
        <v>-100</v>
      </c>
      <c r="L1652">
        <f t="shared" si="3"/>
        <v>0</v>
      </c>
    </row>
    <row r="1653">
      <c r="A1653" s="107">
        <f>IFERROR(__xludf.DUMMYFUNCTION("""COMPUTED_VALUE"""),45750.0)</f>
        <v>45750</v>
      </c>
      <c r="B1653" t="str">
        <f>IFERROR(__xludf.DUMMYFUNCTION("""COMPUTED_VALUE"""),"五金")</f>
        <v>五金</v>
      </c>
      <c r="C1653" t="str">
        <f>IFERROR(__xludf.DUMMYFUNCTION("""COMPUTED_VALUE"""),"費用 - 辦公用品")</f>
        <v>費用 - 辦公用品</v>
      </c>
      <c r="D1653" s="270">
        <f>IFERROR(__xludf.DUMMYFUNCTION("""COMPUTED_VALUE"""),-255.0)</f>
        <v>-255</v>
      </c>
      <c r="E1653" t="str">
        <f>IFERROR(__xludf.DUMMYFUNCTION("""COMPUTED_VALUE"""),"Ben帳戶")</f>
        <v>Ben帳戶</v>
      </c>
      <c r="H1653" s="106" t="str">
        <f t="shared" si="1"/>
        <v>2025-04</v>
      </c>
      <c r="I1653" s="271" t="str">
        <f>IFERROR(__xludf.DUMMYFUNCTION("""COMPUTED_VALUE"""),"貓狗企鵝")</f>
        <v>貓狗企鵝</v>
      </c>
      <c r="J1653" t="str">
        <f>IFERROR(__xludf.DUMMYFUNCTION("IFS(
  AND(REGEXMATCH(E1653, ""台銀籌備帳戶|玉山帳戶""), REGEXMATCH(C1653, ""薪資"")), ""分潤支出"",
  AND(REGEXMATCH(E1653, ""Ben帳戶|Elsa帳戶|Ben代墊|Ariel代墊|中信銀行共用""), REGEXMATCH(F1653, ""Ben帳戶|Elsa帳戶|Ben代墊|Ariel代墊|中信銀行共用"")), ""內部轉帳(忽略)"",
  AND(E1653&lt;&gt;"""", F1653&lt;&gt;"""", N"&amp;"OT(REGEXMATCH(C1653, ""薪資""))), ""內部轉帳(忽略)"",
  REGEXMATCH(C1653, ""薪資""), ""薪資變動(不計入)"",
  REGEXMATCH(C1653, ""押金""), ""押金往來"",
  AND(E1653&lt;&gt;"""", F1653=""""), ""真實支出"",
  AND(E1653="""", F1653&lt;&gt;""""), ""真實收入"",
  TRUE, ""其他""
)"),"真實支出")</f>
        <v>真實支出</v>
      </c>
      <c r="K1653" s="270">
        <f t="shared" si="2"/>
        <v>-255</v>
      </c>
      <c r="L1653">
        <f t="shared" si="3"/>
        <v>0</v>
      </c>
    </row>
    <row r="1654">
      <c r="A1654" s="107">
        <f>IFERROR(__xludf.DUMMYFUNCTION("""COMPUTED_VALUE"""),45750.0)</f>
        <v>45750</v>
      </c>
      <c r="B1654" t="str">
        <f>IFERROR(__xludf.DUMMYFUNCTION("""COMPUTED_VALUE"""),"龍江D Mina 衣架")</f>
        <v>龍江D Mina 衣架</v>
      </c>
      <c r="C1654" t="str">
        <f>IFERROR(__xludf.DUMMYFUNCTION("""COMPUTED_VALUE"""),"成本 - 租後修繕")</f>
        <v>成本 - 租後修繕</v>
      </c>
      <c r="D1654" s="270">
        <f>IFERROR(__xludf.DUMMYFUNCTION("""COMPUTED_VALUE"""),-680.0)</f>
        <v>-680</v>
      </c>
      <c r="E1654" t="str">
        <f>IFERROR(__xludf.DUMMYFUNCTION("""COMPUTED_VALUE"""),"Ben帳戶")</f>
        <v>Ben帳戶</v>
      </c>
      <c r="G1654" t="str">
        <f>IFERROR(__xludf.DUMMYFUNCTION("""COMPUTED_VALUE"""),"龍江229")</f>
        <v>龍江229</v>
      </c>
      <c r="H1654" s="106" t="str">
        <f t="shared" si="1"/>
        <v>2025-04</v>
      </c>
      <c r="I1654" s="271" t="str">
        <f>IFERROR(__xludf.DUMMYFUNCTION("""COMPUTED_VALUE"""),"貓狗企鵝")</f>
        <v>貓狗企鵝</v>
      </c>
      <c r="J1654" t="str">
        <f>IFERROR(__xludf.DUMMYFUNCTION("IFS(
  AND(REGEXMATCH(E1654, ""台銀籌備帳戶|玉山帳戶""), REGEXMATCH(C1654, ""薪資"")), ""分潤支出"",
  AND(REGEXMATCH(E1654, ""Ben帳戶|Elsa帳戶|Ben代墊|Ariel代墊|中信銀行共用""), REGEXMATCH(F1654, ""Ben帳戶|Elsa帳戶|Ben代墊|Ariel代墊|中信銀行共用"")), ""內部轉帳(忽略)"",
  AND(E1654&lt;&gt;"""", F1654&lt;&gt;"""", N"&amp;"OT(REGEXMATCH(C1654, ""薪資""))), ""內部轉帳(忽略)"",
  REGEXMATCH(C1654, ""薪資""), ""薪資變動(不計入)"",
  REGEXMATCH(C1654, ""押金""), ""押金往來"",
  AND(E1654&lt;&gt;"""", F1654=""""), ""真實支出"",
  AND(E1654="""", F1654&lt;&gt;""""), ""真實收入"",
  TRUE, ""其他""
)"),"真實支出")</f>
        <v>真實支出</v>
      </c>
      <c r="K1654" s="270">
        <f t="shared" si="2"/>
        <v>-680</v>
      </c>
      <c r="L1654">
        <f t="shared" si="3"/>
        <v>0</v>
      </c>
    </row>
    <row r="1655">
      <c r="A1655" s="107">
        <f>IFERROR(__xludf.DUMMYFUNCTION("""COMPUTED_VALUE"""),45721.0)</f>
        <v>45721</v>
      </c>
      <c r="B1655" t="str">
        <f>IFERROR(__xludf.DUMMYFUNCTION("""COMPUTED_VALUE"""),"費用 - 匯費 對方行:012 後五碼:22931 (行號: 4)")</f>
        <v>費用 - 匯費 對方行:012 後五碼:22931 (行號: 4)</v>
      </c>
      <c r="C1655" t="str">
        <f>IFERROR(__xludf.DUMMYFUNCTION("""COMPUTED_VALUE"""),"費用 - 匯費")</f>
        <v>費用 - 匯費</v>
      </c>
      <c r="D1655" s="270">
        <f>IFERROR(__xludf.DUMMYFUNCTION("""COMPUTED_VALUE"""),-15.0)</f>
        <v>-15</v>
      </c>
      <c r="E1655" t="str">
        <f>IFERROR(__xludf.DUMMYFUNCTION("""COMPUTED_VALUE"""),"台銀籌備帳戶")</f>
        <v>台銀籌備帳戶</v>
      </c>
      <c r="H1655" s="106" t="str">
        <f t="shared" si="1"/>
        <v>2025-03</v>
      </c>
      <c r="I1655" s="271" t="str">
        <f>IFERROR(__xludf.DUMMYFUNCTION("""COMPUTED_VALUE"""),"貓狗企鵝")</f>
        <v>貓狗企鵝</v>
      </c>
      <c r="J1655" t="str">
        <f>IFERROR(__xludf.DUMMYFUNCTION("IFS(
  AND(REGEXMATCH(E1655, ""台銀籌備帳戶|玉山帳戶""), REGEXMATCH(C1655, ""薪資"")), ""分潤支出"",
  AND(REGEXMATCH(E1655, ""Ben帳戶|Elsa帳戶|Ben代墊|Ariel代墊|中信銀行共用""), REGEXMATCH(F1655, ""Ben帳戶|Elsa帳戶|Ben代墊|Ariel代墊|中信銀行共用"")), ""內部轉帳(忽略)"",
  AND(E1655&lt;&gt;"""", F1655&lt;&gt;"""", N"&amp;"OT(REGEXMATCH(C1655, ""薪資""))), ""內部轉帳(忽略)"",
  REGEXMATCH(C1655, ""薪資""), ""薪資變動(不計入)"",
  REGEXMATCH(C1655, ""押金""), ""押金往來"",
  AND(E1655&lt;&gt;"""", F1655=""""), ""真實支出"",
  AND(E1655="""", F1655&lt;&gt;""""), ""真實收入"",
  TRUE, ""其他""
)"),"真實支出")</f>
        <v>真實支出</v>
      </c>
      <c r="K1655" s="270">
        <f t="shared" si="2"/>
        <v>-15</v>
      </c>
      <c r="L1655">
        <f t="shared" si="3"/>
        <v>0</v>
      </c>
    </row>
    <row r="1656">
      <c r="A1656" s="107">
        <f>IFERROR(__xludf.DUMMYFUNCTION("""COMPUTED_VALUE"""),45721.0)</f>
        <v>45721</v>
      </c>
      <c r="B1656" t="str">
        <f>IFERROR(__xludf.DUMMYFUNCTION("""COMPUTED_VALUE"""),"新生北1段Assar ' 【未分類支出】")</f>
        <v>新生北1段Assar ' 【未分類支出】</v>
      </c>
      <c r="C1656" t="str">
        <f>IFERROR(__xludf.DUMMYFUNCTION("""COMPUTED_VALUE"""),"成本 - 進場前裝潢費")</f>
        <v>成本 - 進場前裝潢費</v>
      </c>
      <c r="D1656" s="270">
        <f>IFERROR(__xludf.DUMMYFUNCTION("""COMPUTED_VALUE"""),-37000.0)</f>
        <v>-37000</v>
      </c>
      <c r="E1656" t="str">
        <f>IFERROR(__xludf.DUMMYFUNCTION("""COMPUTED_VALUE"""),"台銀籌備帳戶")</f>
        <v>台銀籌備帳戶</v>
      </c>
      <c r="G1656" t="str">
        <f>IFERROR(__xludf.DUMMYFUNCTION("""COMPUTED_VALUE"""),"無法分類")</f>
        <v>無法分類</v>
      </c>
      <c r="H1656" s="106" t="str">
        <f t="shared" si="1"/>
        <v>2025-03</v>
      </c>
      <c r="I1656" s="271" t="str">
        <f>IFERROR(__xludf.DUMMYFUNCTION("""COMPUTED_VALUE"""),"貓狗企鵝")</f>
        <v>貓狗企鵝</v>
      </c>
      <c r="J1656" t="str">
        <f>IFERROR(__xludf.DUMMYFUNCTION("IFS(
  AND(REGEXMATCH(E1656, ""台銀籌備帳戶|玉山帳戶""), REGEXMATCH(C1656, ""薪資"")), ""分潤支出"",
  AND(REGEXMATCH(E1656, ""Ben帳戶|Elsa帳戶|Ben代墊|Ariel代墊|中信銀行共用""), REGEXMATCH(F1656, ""Ben帳戶|Elsa帳戶|Ben代墊|Ariel代墊|中信銀行共用"")), ""內部轉帳(忽略)"",
  AND(E1656&lt;&gt;"""", F1656&lt;&gt;"""", N"&amp;"OT(REGEXMATCH(C1656, ""薪資""))), ""內部轉帳(忽略)"",
  REGEXMATCH(C1656, ""薪資""), ""薪資變動(不計入)"",
  REGEXMATCH(C1656, ""押金""), ""押金往來"",
  AND(E1656&lt;&gt;"""", F1656=""""), ""真實支出"",
  AND(E1656="""", F1656&lt;&gt;""""), ""真實收入"",
  TRUE, ""其他""
)"),"真實支出")</f>
        <v>真實支出</v>
      </c>
      <c r="K1656" s="270">
        <f t="shared" si="2"/>
        <v>-37000</v>
      </c>
      <c r="L1656">
        <f t="shared" si="3"/>
        <v>0</v>
      </c>
    </row>
    <row r="1657">
      <c r="A1657" s="107">
        <f>IFERROR(__xludf.DUMMYFUNCTION("""COMPUTED_VALUE"""),45721.0)</f>
        <v>45721</v>
      </c>
      <c r="B1657" t="str">
        <f>IFERROR(__xludf.DUMMYFUNCTION("""COMPUTED_VALUE"""),"費用 - 匯費 對方行:011 後五碼:17078 (行號: 5)")</f>
        <v>費用 - 匯費 對方行:011 後五碼:17078 (行號: 5)</v>
      </c>
      <c r="C1657" t="str">
        <f>IFERROR(__xludf.DUMMYFUNCTION("""COMPUTED_VALUE"""),"費用 - 匯費")</f>
        <v>費用 - 匯費</v>
      </c>
      <c r="D1657" s="270">
        <f>IFERROR(__xludf.DUMMYFUNCTION("""COMPUTED_VALUE"""),-15.0)</f>
        <v>-15</v>
      </c>
      <c r="E1657" t="str">
        <f>IFERROR(__xludf.DUMMYFUNCTION("""COMPUTED_VALUE"""),"台銀籌備帳戶")</f>
        <v>台銀籌備帳戶</v>
      </c>
      <c r="H1657" s="106" t="str">
        <f t="shared" si="1"/>
        <v>2025-03</v>
      </c>
      <c r="I1657" s="271" t="str">
        <f>IFERROR(__xludf.DUMMYFUNCTION("""COMPUTED_VALUE"""),"貓狗企鵝")</f>
        <v>貓狗企鵝</v>
      </c>
      <c r="J1657" t="str">
        <f>IFERROR(__xludf.DUMMYFUNCTION("IFS(
  AND(REGEXMATCH(E1657, ""台銀籌備帳戶|玉山帳戶""), REGEXMATCH(C1657, ""薪資"")), ""分潤支出"",
  AND(REGEXMATCH(E1657, ""Ben帳戶|Elsa帳戶|Ben代墊|Ariel代墊|中信銀行共用""), REGEXMATCH(F1657, ""Ben帳戶|Elsa帳戶|Ben代墊|Ariel代墊|中信銀行共用"")), ""內部轉帳(忽略)"",
  AND(E1657&lt;&gt;"""", F1657&lt;&gt;"""", N"&amp;"OT(REGEXMATCH(C1657, ""薪資""))), ""內部轉帳(忽略)"",
  REGEXMATCH(C1657, ""薪資""), ""薪資變動(不計入)"",
  REGEXMATCH(C1657, ""押金""), ""押金往來"",
  AND(E1657&lt;&gt;"""", F1657=""""), ""真實支出"",
  AND(E1657="""", F1657&lt;&gt;""""), ""真實收入"",
  TRUE, ""其他""
)"),"真實支出")</f>
        <v>真實支出</v>
      </c>
      <c r="K1657" s="270">
        <f t="shared" si="2"/>
        <v>-15</v>
      </c>
      <c r="L1657">
        <f t="shared" si="3"/>
        <v>0</v>
      </c>
    </row>
    <row r="1658">
      <c r="A1658" s="107">
        <f>IFERROR(__xludf.DUMMYFUNCTION("""COMPUTED_VALUE"""),45721.0)</f>
        <v>45721</v>
      </c>
      <c r="B1658" t="str">
        <f>IFERROR(__xludf.DUMMYFUNCTION("""COMPUTED_VALUE"""),"[書香民生] [吳高寶玉] 大租金")</f>
        <v>[書香民生] [吳高寶玉] 大租金</v>
      </c>
      <c r="C1658" t="str">
        <f>IFERROR(__xludf.DUMMYFUNCTION("""COMPUTED_VALUE"""),"成本 - 大租金")</f>
        <v>成本 - 大租金</v>
      </c>
      <c r="D1658" s="270">
        <f>IFERROR(__xludf.DUMMYFUNCTION("""COMPUTED_VALUE"""),-16666.0)</f>
        <v>-16666</v>
      </c>
      <c r="E1658" t="str">
        <f>IFERROR(__xludf.DUMMYFUNCTION("""COMPUTED_VALUE"""),"台銀籌備帳戶")</f>
        <v>台銀籌備帳戶</v>
      </c>
      <c r="G1658" t="str">
        <f>IFERROR(__xludf.DUMMYFUNCTION("""COMPUTED_VALUE"""),"書香民生")</f>
        <v>書香民生</v>
      </c>
      <c r="H1658" s="106" t="str">
        <f t="shared" si="1"/>
        <v>2025-03</v>
      </c>
      <c r="I1658" s="271" t="str">
        <f>IFERROR(__xludf.DUMMYFUNCTION("""COMPUTED_VALUE"""),"貓狗企鵝")</f>
        <v>貓狗企鵝</v>
      </c>
      <c r="J1658" t="str">
        <f>IFERROR(__xludf.DUMMYFUNCTION("IFS(
  AND(REGEXMATCH(E1658, ""台銀籌備帳戶|玉山帳戶""), REGEXMATCH(C1658, ""薪資"")), ""分潤支出"",
  AND(REGEXMATCH(E1658, ""Ben帳戶|Elsa帳戶|Ben代墊|Ariel代墊|中信銀行共用""), REGEXMATCH(F1658, ""Ben帳戶|Elsa帳戶|Ben代墊|Ariel代墊|中信銀行共用"")), ""內部轉帳(忽略)"",
  AND(E1658&lt;&gt;"""", F1658&lt;&gt;"""", N"&amp;"OT(REGEXMATCH(C1658, ""薪資""))), ""內部轉帳(忽略)"",
  REGEXMATCH(C1658, ""薪資""), ""薪資變動(不計入)"",
  REGEXMATCH(C1658, ""押金""), ""押金往來"",
  AND(E1658&lt;&gt;"""", F1658=""""), ""真實支出"",
  AND(E1658="""", F1658&lt;&gt;""""), ""真實收入"",
  TRUE, ""其他""
)"),"真實支出")</f>
        <v>真實支出</v>
      </c>
      <c r="K1658" s="270">
        <f t="shared" si="2"/>
        <v>-16666</v>
      </c>
      <c r="L1658">
        <f t="shared" si="3"/>
        <v>0</v>
      </c>
    </row>
    <row r="1659">
      <c r="A1659" s="107">
        <f>IFERROR(__xludf.DUMMYFUNCTION("""COMPUTED_VALUE"""),45724.0)</f>
        <v>45724</v>
      </c>
      <c r="B1659" t="str">
        <f>IFERROR(__xludf.DUMMYFUNCTION("""COMPUTED_VALUE"""),"費用 - 匯費 對方行:700 後五碼:07623 (行號: 7)")</f>
        <v>費用 - 匯費 對方行:700 後五碼:07623 (行號: 7)</v>
      </c>
      <c r="C1659" t="str">
        <f>IFERROR(__xludf.DUMMYFUNCTION("""COMPUTED_VALUE"""),"費用 - 匯費")</f>
        <v>費用 - 匯費</v>
      </c>
      <c r="D1659" s="270">
        <f>IFERROR(__xludf.DUMMYFUNCTION("""COMPUTED_VALUE"""),-15.0)</f>
        <v>-15</v>
      </c>
      <c r="E1659" t="str">
        <f>IFERROR(__xludf.DUMMYFUNCTION("""COMPUTED_VALUE"""),"台銀籌備帳戶")</f>
        <v>台銀籌備帳戶</v>
      </c>
      <c r="H1659" s="106" t="str">
        <f t="shared" si="1"/>
        <v>2025-03</v>
      </c>
      <c r="I1659" s="271" t="str">
        <f>IFERROR(__xludf.DUMMYFUNCTION("""COMPUTED_VALUE"""),"貓狗企鵝")</f>
        <v>貓狗企鵝</v>
      </c>
      <c r="J1659" t="str">
        <f>IFERROR(__xludf.DUMMYFUNCTION("IFS(
  AND(REGEXMATCH(E1659, ""台銀籌備帳戶|玉山帳戶""), REGEXMATCH(C1659, ""薪資"")), ""分潤支出"",
  AND(REGEXMATCH(E1659, ""Ben帳戶|Elsa帳戶|Ben代墊|Ariel代墊|中信銀行共用""), REGEXMATCH(F1659, ""Ben帳戶|Elsa帳戶|Ben代墊|Ariel代墊|中信銀行共用"")), ""內部轉帳(忽略)"",
  AND(E1659&lt;&gt;"""", F1659&lt;&gt;"""", N"&amp;"OT(REGEXMATCH(C1659, ""薪資""))), ""內部轉帳(忽略)"",
  REGEXMATCH(C1659, ""薪資""), ""薪資變動(不計入)"",
  REGEXMATCH(C1659, ""押金""), ""押金往來"",
  AND(E1659&lt;&gt;"""", F1659=""""), ""真實支出"",
  AND(E1659="""", F1659&lt;&gt;""""), ""真實收入"",
  TRUE, ""其他""
)"),"真實支出")</f>
        <v>真實支出</v>
      </c>
      <c r="K1659" s="270">
        <f t="shared" si="2"/>
        <v>-15</v>
      </c>
      <c r="L1659">
        <f t="shared" si="3"/>
        <v>0</v>
      </c>
    </row>
    <row r="1660">
      <c r="A1660" s="107">
        <f>IFERROR(__xludf.DUMMYFUNCTION("""COMPUTED_VALUE"""),45724.0)</f>
        <v>45724</v>
      </c>
      <c r="B1660" t="str">
        <f>IFERROR(__xludf.DUMMYFUNCTION("""COMPUTED_VALUE"""),"新生北一段窗戶 ' 【未分類支出】")</f>
        <v>新生北一段窗戶 ' 【未分類支出】</v>
      </c>
      <c r="C1660" t="str">
        <f>IFERROR(__xludf.DUMMYFUNCTION("""COMPUTED_VALUE"""),"成本 - 進場前裝潢費")</f>
        <v>成本 - 進場前裝潢費</v>
      </c>
      <c r="D1660" s="270">
        <f>IFERROR(__xludf.DUMMYFUNCTION("""COMPUTED_VALUE"""),-22050.0)</f>
        <v>-22050</v>
      </c>
      <c r="E1660" t="str">
        <f>IFERROR(__xludf.DUMMYFUNCTION("""COMPUTED_VALUE"""),"台銀籌備帳戶")</f>
        <v>台銀籌備帳戶</v>
      </c>
      <c r="G1660" t="str">
        <f>IFERROR(__xludf.DUMMYFUNCTION("""COMPUTED_VALUE"""),"無法分類")</f>
        <v>無法分類</v>
      </c>
      <c r="H1660" s="106" t="str">
        <f t="shared" si="1"/>
        <v>2025-03</v>
      </c>
      <c r="I1660" s="271" t="str">
        <f>IFERROR(__xludf.DUMMYFUNCTION("""COMPUTED_VALUE"""),"貓狗企鵝")</f>
        <v>貓狗企鵝</v>
      </c>
      <c r="J1660" t="str">
        <f>IFERROR(__xludf.DUMMYFUNCTION("IFS(
  AND(REGEXMATCH(E1660, ""台銀籌備帳戶|玉山帳戶""), REGEXMATCH(C1660, ""薪資"")), ""分潤支出"",
  AND(REGEXMATCH(E1660, ""Ben帳戶|Elsa帳戶|Ben代墊|Ariel代墊|中信銀行共用""), REGEXMATCH(F1660, ""Ben帳戶|Elsa帳戶|Ben代墊|Ariel代墊|中信銀行共用"")), ""內部轉帳(忽略)"",
  AND(E1660&lt;&gt;"""", F1660&lt;&gt;"""", N"&amp;"OT(REGEXMATCH(C1660, ""薪資""))), ""內部轉帳(忽略)"",
  REGEXMATCH(C1660, ""薪資""), ""薪資變動(不計入)"",
  REGEXMATCH(C1660, ""押金""), ""押金往來"",
  AND(E1660&lt;&gt;"""", F1660=""""), ""真實支出"",
  AND(E1660="""", F1660&lt;&gt;""""), ""真實收入"",
  TRUE, ""其他""
)"),"真實支出")</f>
        <v>真實支出</v>
      </c>
      <c r="K1660" s="270">
        <f t="shared" si="2"/>
        <v>-22050</v>
      </c>
      <c r="L1660">
        <f t="shared" si="3"/>
        <v>0</v>
      </c>
    </row>
    <row r="1661">
      <c r="A1661" s="107">
        <f>IFERROR(__xludf.DUMMYFUNCTION("""COMPUTED_VALUE"""),45724.0)</f>
        <v>45724</v>
      </c>
      <c r="B1661" t="str">
        <f>IFERROR(__xludf.DUMMYFUNCTION("""COMPUTED_VALUE"""),"費用 - 匯費 對方行:012 後五碼:92486 (行號: 8)")</f>
        <v>費用 - 匯費 對方行:012 後五碼:92486 (行號: 8)</v>
      </c>
      <c r="C1661" t="str">
        <f>IFERROR(__xludf.DUMMYFUNCTION("""COMPUTED_VALUE"""),"費用 - 匯費")</f>
        <v>費用 - 匯費</v>
      </c>
      <c r="D1661" s="270">
        <f>IFERROR(__xludf.DUMMYFUNCTION("""COMPUTED_VALUE"""),-15.0)</f>
        <v>-15</v>
      </c>
      <c r="E1661" t="str">
        <f>IFERROR(__xludf.DUMMYFUNCTION("""COMPUTED_VALUE"""),"台銀籌備帳戶")</f>
        <v>台銀籌備帳戶</v>
      </c>
      <c r="H1661" s="106" t="str">
        <f t="shared" si="1"/>
        <v>2025-03</v>
      </c>
      <c r="I1661" s="271" t="str">
        <f>IFERROR(__xludf.DUMMYFUNCTION("""COMPUTED_VALUE"""),"貓狗企鵝")</f>
        <v>貓狗企鵝</v>
      </c>
      <c r="J1661" t="str">
        <f>IFERROR(__xludf.DUMMYFUNCTION("IFS(
  AND(REGEXMATCH(E1661, ""台銀籌備帳戶|玉山帳戶""), REGEXMATCH(C1661, ""薪資"")), ""分潤支出"",
  AND(REGEXMATCH(E1661, ""Ben帳戶|Elsa帳戶|Ben代墊|Ariel代墊|中信銀行共用""), REGEXMATCH(F1661, ""Ben帳戶|Elsa帳戶|Ben代墊|Ariel代墊|中信銀行共用"")), ""內部轉帳(忽略)"",
  AND(E1661&lt;&gt;"""", F1661&lt;&gt;"""", N"&amp;"OT(REGEXMATCH(C1661, ""薪資""))), ""內部轉帳(忽略)"",
  REGEXMATCH(C1661, ""薪資""), ""薪資變動(不計入)"",
  REGEXMATCH(C1661, ""押金""), ""押金往來"",
  AND(E1661&lt;&gt;"""", F1661=""""), ""真實支出"",
  AND(E1661="""", F1661&lt;&gt;""""), ""真實收入"",
  TRUE, ""其他""
)"),"真實支出")</f>
        <v>真實支出</v>
      </c>
      <c r="K1661" s="270">
        <f t="shared" si="2"/>
        <v>-15</v>
      </c>
      <c r="L1661">
        <f t="shared" si="3"/>
        <v>0</v>
      </c>
    </row>
    <row r="1662">
      <c r="A1662" s="107">
        <f>IFERROR(__xludf.DUMMYFUNCTION("""COMPUTED_VALUE"""),45724.0)</f>
        <v>45724</v>
      </c>
      <c r="B1662" t="str">
        <f>IFERROR(__xludf.DUMMYFUNCTION("""COMPUTED_VALUE"""),"阿虎設計費 ' 【未分類支出】")</f>
        <v>阿虎設計費 ' 【未分類支出】</v>
      </c>
      <c r="C1662" t="str">
        <f>IFERROR(__xludf.DUMMYFUNCTION("""COMPUTED_VALUE"""),"費用 - Salary 薪資")</f>
        <v>費用 - Salary 薪資</v>
      </c>
      <c r="D1662" s="270">
        <f>IFERROR(__xludf.DUMMYFUNCTION("""COMPUTED_VALUE"""),-180000.0)</f>
        <v>-180000</v>
      </c>
      <c r="E1662" t="str">
        <f>IFERROR(__xludf.DUMMYFUNCTION("""COMPUTED_VALUE"""),"台銀籌備帳戶")</f>
        <v>台銀籌備帳戶</v>
      </c>
      <c r="F1662" t="str">
        <f>IFERROR(__xludf.DUMMYFUNCTION("""COMPUTED_VALUE"""),"Elsa帳戶")</f>
        <v>Elsa帳戶</v>
      </c>
      <c r="H1662" s="106" t="str">
        <f t="shared" si="1"/>
        <v>2025-03</v>
      </c>
      <c r="I1662" s="271" t="str">
        <f>IFERROR(__xludf.DUMMYFUNCTION("""COMPUTED_VALUE"""),"貓狗企鵝")</f>
        <v>貓狗企鵝</v>
      </c>
      <c r="J1662" t="str">
        <f>IFERROR(__xludf.DUMMYFUNCTION("IFS(
  AND(REGEXMATCH(E1662, ""台銀籌備帳戶|玉山帳戶""), REGEXMATCH(C1662, ""薪資"")), ""分潤支出"",
  AND(REGEXMATCH(E1662, ""Ben帳戶|Elsa帳戶|Ben代墊|Ariel代墊|中信銀行共用""), REGEXMATCH(F1662, ""Ben帳戶|Elsa帳戶|Ben代墊|Ariel代墊|中信銀行共用"")), ""內部轉帳(忽略)"",
  AND(E1662&lt;&gt;"""", F1662&lt;&gt;"""", N"&amp;"OT(REGEXMATCH(C1662, ""薪資""))), ""內部轉帳(忽略)"",
  REGEXMATCH(C1662, ""薪資""), ""薪資變動(不計入)"",
  REGEXMATCH(C1662, ""押金""), ""押金往來"",
  AND(E1662&lt;&gt;"""", F1662=""""), ""真實支出"",
  AND(E1662="""", F1662&lt;&gt;""""), ""真實收入"",
  TRUE, ""其他""
)"),"分潤支出")</f>
        <v>分潤支出</v>
      </c>
      <c r="K1662">
        <f t="shared" si="2"/>
        <v>0</v>
      </c>
      <c r="L1662">
        <f t="shared" si="3"/>
        <v>180000</v>
      </c>
    </row>
    <row r="1663">
      <c r="A1663" s="107">
        <f>IFERROR(__xludf.DUMMYFUNCTION("""COMPUTED_VALUE"""),45724.0)</f>
        <v>45724</v>
      </c>
      <c r="B1663" t="str">
        <f>IFERROR(__xludf.DUMMYFUNCTION("""COMPUTED_VALUE"""),"費用 - 匯費 對方行:822 後五碼:43051 (行號: 9)")</f>
        <v>費用 - 匯費 對方行:822 後五碼:43051 (行號: 9)</v>
      </c>
      <c r="C1663" t="str">
        <f>IFERROR(__xludf.DUMMYFUNCTION("""COMPUTED_VALUE"""),"費用 - 匯費")</f>
        <v>費用 - 匯費</v>
      </c>
      <c r="D1663" s="270">
        <f>IFERROR(__xludf.DUMMYFUNCTION("""COMPUTED_VALUE"""),-15.0)</f>
        <v>-15</v>
      </c>
      <c r="E1663" t="str">
        <f>IFERROR(__xludf.DUMMYFUNCTION("""COMPUTED_VALUE"""),"台銀籌備帳戶")</f>
        <v>台銀籌備帳戶</v>
      </c>
      <c r="H1663" s="106" t="str">
        <f t="shared" si="1"/>
        <v>2025-03</v>
      </c>
      <c r="I1663" s="271" t="str">
        <f>IFERROR(__xludf.DUMMYFUNCTION("""COMPUTED_VALUE"""),"貓狗企鵝")</f>
        <v>貓狗企鵝</v>
      </c>
      <c r="J1663" t="str">
        <f>IFERROR(__xludf.DUMMYFUNCTION("IFS(
  AND(REGEXMATCH(E1663, ""台銀籌備帳戶|玉山帳戶""), REGEXMATCH(C1663, ""薪資"")), ""分潤支出"",
  AND(REGEXMATCH(E1663, ""Ben帳戶|Elsa帳戶|Ben代墊|Ariel代墊|中信銀行共用""), REGEXMATCH(F1663, ""Ben帳戶|Elsa帳戶|Ben代墊|Ariel代墊|中信銀行共用"")), ""內部轉帳(忽略)"",
  AND(E1663&lt;&gt;"""", F1663&lt;&gt;"""", N"&amp;"OT(REGEXMATCH(C1663, ""薪資""))), ""內部轉帳(忽略)"",
  REGEXMATCH(C1663, ""薪資""), ""薪資變動(不計入)"",
  REGEXMATCH(C1663, ""押金""), ""押金往來"",
  AND(E1663&lt;&gt;"""", F1663=""""), ""真實支出"",
  AND(E1663="""", F1663&lt;&gt;""""), ""真實收入"",
  TRUE, ""其他""
)"),"真實支出")</f>
        <v>真實支出</v>
      </c>
      <c r="K1663" s="270">
        <f t="shared" si="2"/>
        <v>-15</v>
      </c>
      <c r="L1663">
        <f t="shared" si="3"/>
        <v>0</v>
      </c>
    </row>
    <row r="1664">
      <c r="A1664" s="107">
        <f>IFERROR(__xludf.DUMMYFUNCTION("""COMPUTED_VALUE"""),45724.0)</f>
        <v>45724</v>
      </c>
      <c r="B1664" t="str">
        <f>IFERROR(__xludf.DUMMYFUNCTION("""COMPUTED_VALUE"""),"Ben中信薪資 ' 【未分類支出】")</f>
        <v>Ben中信薪資 ' 【未分類支出】</v>
      </c>
      <c r="C1664" t="str">
        <f>IFERROR(__xludf.DUMMYFUNCTION("""COMPUTED_VALUE"""),"費用 - Salary 薪資")</f>
        <v>費用 - Salary 薪資</v>
      </c>
      <c r="D1664" s="270">
        <f>IFERROR(__xludf.DUMMYFUNCTION("""COMPUTED_VALUE"""),-180000.0)</f>
        <v>-180000</v>
      </c>
      <c r="E1664" t="str">
        <f>IFERROR(__xludf.DUMMYFUNCTION("""COMPUTED_VALUE"""),"台銀籌備帳戶")</f>
        <v>台銀籌備帳戶</v>
      </c>
      <c r="F1664" t="str">
        <f>IFERROR(__xludf.DUMMYFUNCTION("""COMPUTED_VALUE"""),"Ben帳戶")</f>
        <v>Ben帳戶</v>
      </c>
      <c r="H1664" s="106" t="str">
        <f t="shared" si="1"/>
        <v>2025-03</v>
      </c>
      <c r="I1664" s="271" t="str">
        <f>IFERROR(__xludf.DUMMYFUNCTION("""COMPUTED_VALUE"""),"貓狗企鵝")</f>
        <v>貓狗企鵝</v>
      </c>
      <c r="J1664" t="str">
        <f>IFERROR(__xludf.DUMMYFUNCTION("IFS(
  AND(REGEXMATCH(E1664, ""台銀籌備帳戶|玉山帳戶""), REGEXMATCH(C1664, ""薪資"")), ""分潤支出"",
  AND(REGEXMATCH(E1664, ""Ben帳戶|Elsa帳戶|Ben代墊|Ariel代墊|中信銀行共用""), REGEXMATCH(F1664, ""Ben帳戶|Elsa帳戶|Ben代墊|Ariel代墊|中信銀行共用"")), ""內部轉帳(忽略)"",
  AND(E1664&lt;&gt;"""", F1664&lt;&gt;"""", N"&amp;"OT(REGEXMATCH(C1664, ""薪資""))), ""內部轉帳(忽略)"",
  REGEXMATCH(C1664, ""薪資""), ""薪資變動(不計入)"",
  REGEXMATCH(C1664, ""押金""), ""押金往來"",
  AND(E1664&lt;&gt;"""", F1664=""""), ""真實支出"",
  AND(E1664="""", F1664&lt;&gt;""""), ""真實收入"",
  TRUE, ""其他""
)"),"分潤支出")</f>
        <v>分潤支出</v>
      </c>
      <c r="K1664">
        <f t="shared" si="2"/>
        <v>0</v>
      </c>
      <c r="L1664">
        <f t="shared" si="3"/>
        <v>180000</v>
      </c>
    </row>
    <row r="1665">
      <c r="A1665" s="107">
        <f>IFERROR(__xludf.DUMMYFUNCTION("""COMPUTED_VALUE"""),45726.0)</f>
        <v>45726</v>
      </c>
      <c r="B1665" t="str">
        <f>IFERROR(__xludf.DUMMYFUNCTION("""COMPUTED_VALUE"""),"費用 - 匯費 對方行:011 後五碼:17078 (行號: 11)")</f>
        <v>費用 - 匯費 對方行:011 後五碼:17078 (行號: 11)</v>
      </c>
      <c r="C1665" t="str">
        <f>IFERROR(__xludf.DUMMYFUNCTION("""COMPUTED_VALUE"""),"費用 - 匯費")</f>
        <v>費用 - 匯費</v>
      </c>
      <c r="D1665" s="270">
        <f>IFERROR(__xludf.DUMMYFUNCTION("""COMPUTED_VALUE"""),-15.0)</f>
        <v>-15</v>
      </c>
      <c r="E1665" t="str">
        <f>IFERROR(__xludf.DUMMYFUNCTION("""COMPUTED_VALUE"""),"台銀籌備帳戶")</f>
        <v>台銀籌備帳戶</v>
      </c>
      <c r="H1665" s="106" t="str">
        <f t="shared" si="1"/>
        <v>2025-03</v>
      </c>
      <c r="I1665" s="271" t="str">
        <f>IFERROR(__xludf.DUMMYFUNCTION("""COMPUTED_VALUE"""),"貓狗企鵝")</f>
        <v>貓狗企鵝</v>
      </c>
      <c r="J1665" t="str">
        <f>IFERROR(__xludf.DUMMYFUNCTION("IFS(
  AND(REGEXMATCH(E1665, ""台銀籌備帳戶|玉山帳戶""), REGEXMATCH(C1665, ""薪資"")), ""分潤支出"",
  AND(REGEXMATCH(E1665, ""Ben帳戶|Elsa帳戶|Ben代墊|Ariel代墊|中信銀行共用""), REGEXMATCH(F1665, ""Ben帳戶|Elsa帳戶|Ben代墊|Ariel代墊|中信銀行共用"")), ""內部轉帳(忽略)"",
  AND(E1665&lt;&gt;"""", F1665&lt;&gt;"""", N"&amp;"OT(REGEXMATCH(C1665, ""薪資""))), ""內部轉帳(忽略)"",
  REGEXMATCH(C1665, ""薪資""), ""薪資變動(不計入)"",
  REGEXMATCH(C1665, ""押金""), ""押金往來"",
  AND(E1665&lt;&gt;"""", F1665=""""), ""真實支出"",
  AND(E1665="""", F1665&lt;&gt;""""), ""真實收入"",
  TRUE, ""其他""
)"),"真實支出")</f>
        <v>真實支出</v>
      </c>
      <c r="K1665" s="270">
        <f t="shared" si="2"/>
        <v>-15</v>
      </c>
      <c r="L1665">
        <f t="shared" si="3"/>
        <v>0</v>
      </c>
    </row>
    <row r="1666">
      <c r="A1666" s="107">
        <f>IFERROR(__xludf.DUMMYFUNCTION("""COMPUTED_VALUE"""),45726.0)</f>
        <v>45726</v>
      </c>
      <c r="B1666" s="107">
        <f>IFERROR(__xludf.DUMMYFUNCTION("""COMPUTED_VALUE"""),45726.0)</f>
        <v>45726</v>
      </c>
      <c r="C1666" t="str">
        <f>IFERROR(__xludf.DUMMYFUNCTION("""COMPUTED_VALUE"""),"成本 - 大租金")</f>
        <v>成本 - 大租金</v>
      </c>
      <c r="D1666" s="270">
        <f>IFERROR(__xludf.DUMMYFUNCTION("""COMPUTED_VALUE"""),-16668.0)</f>
        <v>-16668</v>
      </c>
      <c r="E1666" t="str">
        <f>IFERROR(__xludf.DUMMYFUNCTION("""COMPUTED_VALUE"""),"台銀籌備帳戶")</f>
        <v>台銀籌備帳戶</v>
      </c>
      <c r="G1666" t="str">
        <f>IFERROR(__xludf.DUMMYFUNCTION("""COMPUTED_VALUE"""),"書香民生")</f>
        <v>書香民生</v>
      </c>
      <c r="H1666" s="106" t="str">
        <f t="shared" si="1"/>
        <v>2025-03</v>
      </c>
      <c r="I1666" s="271" t="str">
        <f>IFERROR(__xludf.DUMMYFUNCTION("""COMPUTED_VALUE"""),"貓狗企鵝")</f>
        <v>貓狗企鵝</v>
      </c>
      <c r="J1666" t="str">
        <f>IFERROR(__xludf.DUMMYFUNCTION("IFS(
  AND(REGEXMATCH(E1666, ""台銀籌備帳戶|玉山帳戶""), REGEXMATCH(C1666, ""薪資"")), ""分潤支出"",
  AND(REGEXMATCH(E1666, ""Ben帳戶|Elsa帳戶|Ben代墊|Ariel代墊|中信銀行共用""), REGEXMATCH(F1666, ""Ben帳戶|Elsa帳戶|Ben代墊|Ariel代墊|中信銀行共用"")), ""內部轉帳(忽略)"",
  AND(E1666&lt;&gt;"""", F1666&lt;&gt;"""", N"&amp;"OT(REGEXMATCH(C1666, ""薪資""))), ""內部轉帳(忽略)"",
  REGEXMATCH(C1666, ""薪資""), ""薪資變動(不計入)"",
  REGEXMATCH(C1666, ""押金""), ""押金往來"",
  AND(E1666&lt;&gt;"""", F1666=""""), ""真實支出"",
  AND(E1666="""", F1666&lt;&gt;""""), ""真實收入"",
  TRUE, ""其他""
)"),"真實支出")</f>
        <v>真實支出</v>
      </c>
      <c r="K1666" s="270">
        <f t="shared" si="2"/>
        <v>-16668</v>
      </c>
      <c r="L1666">
        <f t="shared" si="3"/>
        <v>0</v>
      </c>
    </row>
    <row r="1667">
      <c r="A1667" s="107">
        <f>IFERROR(__xludf.DUMMYFUNCTION("""COMPUTED_VALUE"""),45728.0)</f>
        <v>45728</v>
      </c>
      <c r="B1667" t="str">
        <f>IFERROR(__xludf.DUMMYFUNCTION("""COMPUTED_VALUE"""),"費用 - 匯費 對方行:822 後五碼:57188 (行號: 12)")</f>
        <v>費用 - 匯費 對方行:822 後五碼:57188 (行號: 12)</v>
      </c>
      <c r="C1667" t="str">
        <f>IFERROR(__xludf.DUMMYFUNCTION("""COMPUTED_VALUE"""),"費用 - 匯費")</f>
        <v>費用 - 匯費</v>
      </c>
      <c r="D1667" s="270">
        <f>IFERROR(__xludf.DUMMYFUNCTION("""COMPUTED_VALUE"""),-15.0)</f>
        <v>-15</v>
      </c>
      <c r="E1667" t="str">
        <f>IFERROR(__xludf.DUMMYFUNCTION("""COMPUTED_VALUE"""),"台銀籌備帳戶")</f>
        <v>台銀籌備帳戶</v>
      </c>
      <c r="H1667" s="106" t="str">
        <f t="shared" si="1"/>
        <v>2025-03</v>
      </c>
      <c r="I1667" s="271" t="str">
        <f>IFERROR(__xludf.DUMMYFUNCTION("""COMPUTED_VALUE"""),"貓狗企鵝")</f>
        <v>貓狗企鵝</v>
      </c>
      <c r="J1667" t="str">
        <f>IFERROR(__xludf.DUMMYFUNCTION("IFS(
  AND(REGEXMATCH(E1667, ""台銀籌備帳戶|玉山帳戶""), REGEXMATCH(C1667, ""薪資"")), ""分潤支出"",
  AND(REGEXMATCH(E1667, ""Ben帳戶|Elsa帳戶|Ben代墊|Ariel代墊|中信銀行共用""), REGEXMATCH(F1667, ""Ben帳戶|Elsa帳戶|Ben代墊|Ariel代墊|中信銀行共用"")), ""內部轉帳(忽略)"",
  AND(E1667&lt;&gt;"""", F1667&lt;&gt;"""", N"&amp;"OT(REGEXMATCH(C1667, ""薪資""))), ""內部轉帳(忽略)"",
  REGEXMATCH(C1667, ""薪資""), ""薪資變動(不計入)"",
  REGEXMATCH(C1667, ""押金""), ""押金往來"",
  AND(E1667&lt;&gt;"""", F1667=""""), ""真實支出"",
  AND(E1667="""", F1667&lt;&gt;""""), ""真實收入"",
  TRUE, ""其他""
)"),"真實支出")</f>
        <v>真實支出</v>
      </c>
      <c r="K1667" s="270">
        <f t="shared" si="2"/>
        <v>-15</v>
      </c>
      <c r="L1667">
        <f t="shared" si="3"/>
        <v>0</v>
      </c>
    </row>
    <row r="1668">
      <c r="A1668" s="107">
        <f>IFERROR(__xludf.DUMMYFUNCTION("""COMPUTED_VALUE"""),45728.0)</f>
        <v>45728</v>
      </c>
      <c r="B1668" t="str">
        <f>IFERROR(__xludf.DUMMYFUNCTION("""COMPUTED_VALUE"""),"新生北一段垃可 ' 【未分類支出】")</f>
        <v>新生北一段垃可 ' 【未分類支出】</v>
      </c>
      <c r="C1668" t="str">
        <f>IFERROR(__xludf.DUMMYFUNCTION("""COMPUTED_VALUE"""),"成本 - 進場前裝潢費")</f>
        <v>成本 - 進場前裝潢費</v>
      </c>
      <c r="D1668" s="270">
        <f>IFERROR(__xludf.DUMMYFUNCTION("""COMPUTED_VALUE"""),-4950.0)</f>
        <v>-4950</v>
      </c>
      <c r="E1668" t="str">
        <f>IFERROR(__xludf.DUMMYFUNCTION("""COMPUTED_VALUE"""),"台銀籌備帳戶")</f>
        <v>台銀籌備帳戶</v>
      </c>
      <c r="G1668" t="str">
        <f>IFERROR(__xludf.DUMMYFUNCTION("""COMPUTED_VALUE"""),"無法分類")</f>
        <v>無法分類</v>
      </c>
      <c r="H1668" s="106" t="str">
        <f t="shared" si="1"/>
        <v>2025-03</v>
      </c>
      <c r="I1668" s="271" t="str">
        <f>IFERROR(__xludf.DUMMYFUNCTION("""COMPUTED_VALUE"""),"貓狗企鵝")</f>
        <v>貓狗企鵝</v>
      </c>
      <c r="J1668" t="str">
        <f>IFERROR(__xludf.DUMMYFUNCTION("IFS(
  AND(REGEXMATCH(E1668, ""台銀籌備帳戶|玉山帳戶""), REGEXMATCH(C1668, ""薪資"")), ""分潤支出"",
  AND(REGEXMATCH(E1668, ""Ben帳戶|Elsa帳戶|Ben代墊|Ariel代墊|中信銀行共用""), REGEXMATCH(F1668, ""Ben帳戶|Elsa帳戶|Ben代墊|Ariel代墊|中信銀行共用"")), ""內部轉帳(忽略)"",
  AND(E1668&lt;&gt;"""", F1668&lt;&gt;"""", N"&amp;"OT(REGEXMATCH(C1668, ""薪資""))), ""內部轉帳(忽略)"",
  REGEXMATCH(C1668, ""薪資""), ""薪資變動(不計入)"",
  REGEXMATCH(C1668, ""押金""), ""押金往來"",
  AND(E1668&lt;&gt;"""", F1668=""""), ""真實支出"",
  AND(E1668="""", F1668&lt;&gt;""""), ""真實收入"",
  TRUE, ""其他""
)"),"真實支出")</f>
        <v>真實支出</v>
      </c>
      <c r="K1668" s="270">
        <f t="shared" si="2"/>
        <v>-4950</v>
      </c>
      <c r="L1668">
        <f t="shared" si="3"/>
        <v>0</v>
      </c>
    </row>
    <row r="1669">
      <c r="A1669" s="107">
        <f>IFERROR(__xludf.DUMMYFUNCTION("""COMPUTED_VALUE"""),45729.0)</f>
        <v>45729</v>
      </c>
      <c r="B1669" t="str">
        <f>IFERROR(__xludf.DUMMYFUNCTION("""COMPUTED_VALUE"""),"費用 - 匯費 對方行:700 後五碼:19509 (行號: 14)")</f>
        <v>費用 - 匯費 對方行:700 後五碼:19509 (行號: 14)</v>
      </c>
      <c r="C1669" t="str">
        <f>IFERROR(__xludf.DUMMYFUNCTION("""COMPUTED_VALUE"""),"費用 - 匯費")</f>
        <v>費用 - 匯費</v>
      </c>
      <c r="D1669" s="270">
        <f>IFERROR(__xludf.DUMMYFUNCTION("""COMPUTED_VALUE"""),-15.0)</f>
        <v>-15</v>
      </c>
      <c r="E1669" t="str">
        <f>IFERROR(__xludf.DUMMYFUNCTION("""COMPUTED_VALUE"""),"台銀籌備帳戶")</f>
        <v>台銀籌備帳戶</v>
      </c>
      <c r="H1669" s="106" t="str">
        <f t="shared" si="1"/>
        <v>2025-03</v>
      </c>
      <c r="I1669" s="271" t="str">
        <f>IFERROR(__xludf.DUMMYFUNCTION("""COMPUTED_VALUE"""),"貓狗企鵝")</f>
        <v>貓狗企鵝</v>
      </c>
      <c r="J1669" t="str">
        <f>IFERROR(__xludf.DUMMYFUNCTION("IFS(
  AND(REGEXMATCH(E1669, ""台銀籌備帳戶|玉山帳戶""), REGEXMATCH(C1669, ""薪資"")), ""分潤支出"",
  AND(REGEXMATCH(E1669, ""Ben帳戶|Elsa帳戶|Ben代墊|Ariel代墊|中信銀行共用""), REGEXMATCH(F1669, ""Ben帳戶|Elsa帳戶|Ben代墊|Ariel代墊|中信銀行共用"")), ""內部轉帳(忽略)"",
  AND(E1669&lt;&gt;"""", F1669&lt;&gt;"""", N"&amp;"OT(REGEXMATCH(C1669, ""薪資""))), ""內部轉帳(忽略)"",
  REGEXMATCH(C1669, ""薪資""), ""薪資變動(不計入)"",
  REGEXMATCH(C1669, ""押金""), ""押金往來"",
  AND(E1669&lt;&gt;"""", F1669=""""), ""真實支出"",
  AND(E1669="""", F1669&lt;&gt;""""), ""真實收入"",
  TRUE, ""其他""
)"),"真實支出")</f>
        <v>真實支出</v>
      </c>
      <c r="K1669" s="270">
        <f t="shared" si="2"/>
        <v>-15</v>
      </c>
      <c r="L1669">
        <f t="shared" si="3"/>
        <v>0</v>
      </c>
    </row>
    <row r="1670">
      <c r="A1670" s="107">
        <f>IFERROR(__xludf.DUMMYFUNCTION("""COMPUTED_VALUE"""),45729.0)</f>
        <v>45729</v>
      </c>
      <c r="B1670" t="str">
        <f>IFERROR(__xludf.DUMMYFUNCTION("""COMPUTED_VALUE"""),"[龍江229] [游為傑] 大租金")</f>
        <v>[龍江229] [游為傑] 大租金</v>
      </c>
      <c r="C1670" t="str">
        <f>IFERROR(__xludf.DUMMYFUNCTION("""COMPUTED_VALUE"""),"成本 - 大租金")</f>
        <v>成本 - 大租金</v>
      </c>
      <c r="D1670" s="270">
        <f>IFERROR(__xludf.DUMMYFUNCTION("""COMPUTED_VALUE"""),-13500.0)</f>
        <v>-13500</v>
      </c>
      <c r="E1670" t="str">
        <f>IFERROR(__xludf.DUMMYFUNCTION("""COMPUTED_VALUE"""),"台銀籌備帳戶")</f>
        <v>台銀籌備帳戶</v>
      </c>
      <c r="G1670" t="str">
        <f>IFERROR(__xludf.DUMMYFUNCTION("""COMPUTED_VALUE"""),"龍江229")</f>
        <v>龍江229</v>
      </c>
      <c r="H1670" s="106" t="str">
        <f t="shared" si="1"/>
        <v>2025-03</v>
      </c>
      <c r="I1670" s="271" t="str">
        <f>IFERROR(__xludf.DUMMYFUNCTION("""COMPUTED_VALUE"""),"貓狗企鵝")</f>
        <v>貓狗企鵝</v>
      </c>
      <c r="J1670" t="str">
        <f>IFERROR(__xludf.DUMMYFUNCTION("IFS(
  AND(REGEXMATCH(E1670, ""台銀籌備帳戶|玉山帳戶""), REGEXMATCH(C1670, ""薪資"")), ""分潤支出"",
  AND(REGEXMATCH(E1670, ""Ben帳戶|Elsa帳戶|Ben代墊|Ariel代墊|中信銀行共用""), REGEXMATCH(F1670, ""Ben帳戶|Elsa帳戶|Ben代墊|Ariel代墊|中信銀行共用"")), ""內部轉帳(忽略)"",
  AND(E1670&lt;&gt;"""", F1670&lt;&gt;"""", N"&amp;"OT(REGEXMATCH(C1670, ""薪資""))), ""內部轉帳(忽略)"",
  REGEXMATCH(C1670, ""薪資""), ""薪資變動(不計入)"",
  REGEXMATCH(C1670, ""押金""), ""押金往來"",
  AND(E1670&lt;&gt;"""", F1670=""""), ""真實支出"",
  AND(E1670="""", F1670&lt;&gt;""""), ""真實收入"",
  TRUE, ""其他""
)"),"真實支出")</f>
        <v>真實支出</v>
      </c>
      <c r="K1670" s="270">
        <f t="shared" si="2"/>
        <v>-13500</v>
      </c>
      <c r="L1670">
        <f t="shared" si="3"/>
        <v>0</v>
      </c>
    </row>
    <row r="1671">
      <c r="A1671" s="107">
        <f>IFERROR(__xludf.DUMMYFUNCTION("""COMPUTED_VALUE"""),45730.0)</f>
        <v>45730</v>
      </c>
      <c r="B1671" t="str">
        <f>IFERROR(__xludf.DUMMYFUNCTION("""COMPUTED_VALUE"""),"費用 - 匯費 對方行:012 後五碼:54627 (行號: 15)")</f>
        <v>費用 - 匯費 對方行:012 後五碼:54627 (行號: 15)</v>
      </c>
      <c r="C1671" t="str">
        <f>IFERROR(__xludf.DUMMYFUNCTION("""COMPUTED_VALUE"""),"費用 - 匯費")</f>
        <v>費用 - 匯費</v>
      </c>
      <c r="D1671" s="270">
        <f>IFERROR(__xludf.DUMMYFUNCTION("""COMPUTED_VALUE"""),-15.0)</f>
        <v>-15</v>
      </c>
      <c r="E1671" t="str">
        <f>IFERROR(__xludf.DUMMYFUNCTION("""COMPUTED_VALUE"""),"台銀籌備帳戶")</f>
        <v>台銀籌備帳戶</v>
      </c>
      <c r="H1671" s="106" t="str">
        <f t="shared" si="1"/>
        <v>2025-03</v>
      </c>
      <c r="I1671" s="271" t="str">
        <f>IFERROR(__xludf.DUMMYFUNCTION("""COMPUTED_VALUE"""),"貓狗企鵝")</f>
        <v>貓狗企鵝</v>
      </c>
      <c r="J1671" t="str">
        <f>IFERROR(__xludf.DUMMYFUNCTION("IFS(
  AND(REGEXMATCH(E1671, ""台銀籌備帳戶|玉山帳戶""), REGEXMATCH(C1671, ""薪資"")), ""分潤支出"",
  AND(REGEXMATCH(E1671, ""Ben帳戶|Elsa帳戶|Ben代墊|Ariel代墊|中信銀行共用""), REGEXMATCH(F1671, ""Ben帳戶|Elsa帳戶|Ben代墊|Ariel代墊|中信銀行共用"")), ""內部轉帳(忽略)"",
  AND(E1671&lt;&gt;"""", F1671&lt;&gt;"""", N"&amp;"OT(REGEXMATCH(C1671, ""薪資""))), ""內部轉帳(忽略)"",
  REGEXMATCH(C1671, ""薪資""), ""薪資變動(不計入)"",
  REGEXMATCH(C1671, ""押金""), ""押金往來"",
  AND(E1671&lt;&gt;"""", F1671=""""), ""真實支出"",
  AND(E1671="""", F1671&lt;&gt;""""), ""真實收入"",
  TRUE, ""其他""
)"),"真實支出")</f>
        <v>真實支出</v>
      </c>
      <c r="K1671" s="270">
        <f t="shared" si="2"/>
        <v>-15</v>
      </c>
      <c r="L1671">
        <f t="shared" si="3"/>
        <v>0</v>
      </c>
    </row>
    <row r="1672">
      <c r="A1672" s="107">
        <f>IFERROR(__xludf.DUMMYFUNCTION("""COMPUTED_VALUE"""),45730.0)</f>
        <v>45730</v>
      </c>
      <c r="B1672" t="str">
        <f>IFERROR(__xludf.DUMMYFUNCTION("""COMPUTED_VALUE"""),"新生北丁 ' 【未分類支出】")</f>
        <v>新生北丁 ' 【未分類支出】</v>
      </c>
      <c r="C1672" t="str">
        <f>IFERROR(__xludf.DUMMYFUNCTION("""COMPUTED_VALUE"""),"成本 - 進場前裝潢費")</f>
        <v>成本 - 進場前裝潢費</v>
      </c>
      <c r="D1672" s="270">
        <f>IFERROR(__xludf.DUMMYFUNCTION("""COMPUTED_VALUE"""),-113030.0)</f>
        <v>-113030</v>
      </c>
      <c r="E1672" t="str">
        <f>IFERROR(__xludf.DUMMYFUNCTION("""COMPUTED_VALUE"""),"台銀籌備帳戶")</f>
        <v>台銀籌備帳戶</v>
      </c>
      <c r="G1672" t="str">
        <f>IFERROR(__xludf.DUMMYFUNCTION("""COMPUTED_VALUE"""),"無法分類")</f>
        <v>無法分類</v>
      </c>
      <c r="H1672" s="106" t="str">
        <f t="shared" si="1"/>
        <v>2025-03</v>
      </c>
      <c r="I1672" s="271" t="str">
        <f>IFERROR(__xludf.DUMMYFUNCTION("""COMPUTED_VALUE"""),"貓狗企鵝")</f>
        <v>貓狗企鵝</v>
      </c>
      <c r="J1672" t="str">
        <f>IFERROR(__xludf.DUMMYFUNCTION("IFS(
  AND(REGEXMATCH(E1672, ""台銀籌備帳戶|玉山帳戶""), REGEXMATCH(C1672, ""薪資"")), ""分潤支出"",
  AND(REGEXMATCH(E1672, ""Ben帳戶|Elsa帳戶|Ben代墊|Ariel代墊|中信銀行共用""), REGEXMATCH(F1672, ""Ben帳戶|Elsa帳戶|Ben代墊|Ariel代墊|中信銀行共用"")), ""內部轉帳(忽略)"",
  AND(E1672&lt;&gt;"""", F1672&lt;&gt;"""", N"&amp;"OT(REGEXMATCH(C1672, ""薪資""))), ""內部轉帳(忽略)"",
  REGEXMATCH(C1672, ""薪資""), ""薪資變動(不計入)"",
  REGEXMATCH(C1672, ""押金""), ""押金往來"",
  AND(E1672&lt;&gt;"""", F1672=""""), ""真實支出"",
  AND(E1672="""", F1672&lt;&gt;""""), ""真實收入"",
  TRUE, ""其他""
)"),"真實支出")</f>
        <v>真實支出</v>
      </c>
      <c r="K1672" s="270">
        <f t="shared" si="2"/>
        <v>-113030</v>
      </c>
      <c r="L1672">
        <f t="shared" si="3"/>
        <v>0</v>
      </c>
    </row>
    <row r="1673">
      <c r="A1673" s="107">
        <f>IFERROR(__xludf.DUMMYFUNCTION("""COMPUTED_VALUE"""),45730.0)</f>
        <v>45730</v>
      </c>
      <c r="B1673" t="str">
        <f>IFERROR(__xludf.DUMMYFUNCTION("""COMPUTED_VALUE"""),"費用 - 匯費 對方行:822 後五碼:56515 (行號: 16)")</f>
        <v>費用 - 匯費 對方行:822 後五碼:56515 (行號: 16)</v>
      </c>
      <c r="C1673" t="str">
        <f>IFERROR(__xludf.DUMMYFUNCTION("""COMPUTED_VALUE"""),"費用 - 匯費")</f>
        <v>費用 - 匯費</v>
      </c>
      <c r="D1673" s="270">
        <f>IFERROR(__xludf.DUMMYFUNCTION("""COMPUTED_VALUE"""),-15.0)</f>
        <v>-15</v>
      </c>
      <c r="E1673" t="str">
        <f>IFERROR(__xludf.DUMMYFUNCTION("""COMPUTED_VALUE"""),"台銀籌備帳戶")</f>
        <v>台銀籌備帳戶</v>
      </c>
      <c r="H1673" s="106" t="str">
        <f t="shared" si="1"/>
        <v>2025-03</v>
      </c>
      <c r="I1673" s="271" t="str">
        <f>IFERROR(__xludf.DUMMYFUNCTION("""COMPUTED_VALUE"""),"貓狗企鵝")</f>
        <v>貓狗企鵝</v>
      </c>
      <c r="J1673" t="str">
        <f>IFERROR(__xludf.DUMMYFUNCTION("IFS(
  AND(REGEXMATCH(E1673, ""台銀籌備帳戶|玉山帳戶""), REGEXMATCH(C1673, ""薪資"")), ""分潤支出"",
  AND(REGEXMATCH(E1673, ""Ben帳戶|Elsa帳戶|Ben代墊|Ariel代墊|中信銀行共用""), REGEXMATCH(F1673, ""Ben帳戶|Elsa帳戶|Ben代墊|Ariel代墊|中信銀行共用"")), ""內部轉帳(忽略)"",
  AND(E1673&lt;&gt;"""", F1673&lt;&gt;"""", N"&amp;"OT(REGEXMATCH(C1673, ""薪資""))), ""內部轉帳(忽略)"",
  REGEXMATCH(C1673, ""薪資""), ""薪資變動(不計入)"",
  REGEXMATCH(C1673, ""押金""), ""押金往來"",
  AND(E1673&lt;&gt;"""", F1673=""""), ""真實支出"",
  AND(E1673="""", F1673&lt;&gt;""""), ""真實收入"",
  TRUE, ""其他""
)"),"真實支出")</f>
        <v>真實支出</v>
      </c>
      <c r="K1673" s="270">
        <f t="shared" si="2"/>
        <v>-15</v>
      </c>
      <c r="L1673">
        <f t="shared" si="3"/>
        <v>0</v>
      </c>
    </row>
    <row r="1674">
      <c r="A1674" s="107">
        <f>IFERROR(__xludf.DUMMYFUNCTION("""COMPUTED_VALUE"""),45730.0)</f>
        <v>45730</v>
      </c>
      <c r="B1674" t="str">
        <f>IFERROR(__xludf.DUMMYFUNCTION("""COMPUTED_VALUE"""),"冷氣柑仔店新生北 ' 【未分類支出】")</f>
        <v>冷氣柑仔店新生北 ' 【未分類支出】</v>
      </c>
      <c r="C1674" t="str">
        <f>IFERROR(__xludf.DUMMYFUNCTION("""COMPUTED_VALUE"""),"成本 - 進場前裝潢費")</f>
        <v>成本 - 進場前裝潢費</v>
      </c>
      <c r="D1674" s="270">
        <f>IFERROR(__xludf.DUMMYFUNCTION("""COMPUTED_VALUE"""),-125300.0)</f>
        <v>-125300</v>
      </c>
      <c r="E1674" t="str">
        <f>IFERROR(__xludf.DUMMYFUNCTION("""COMPUTED_VALUE"""),"台銀籌備帳戶")</f>
        <v>台銀籌備帳戶</v>
      </c>
      <c r="G1674" t="str">
        <f>IFERROR(__xludf.DUMMYFUNCTION("""COMPUTED_VALUE"""),"無法分類")</f>
        <v>無法分類</v>
      </c>
      <c r="H1674" s="106" t="str">
        <f t="shared" si="1"/>
        <v>2025-03</v>
      </c>
      <c r="I1674" s="271" t="str">
        <f>IFERROR(__xludf.DUMMYFUNCTION("""COMPUTED_VALUE"""),"貓狗企鵝")</f>
        <v>貓狗企鵝</v>
      </c>
      <c r="J1674" t="str">
        <f>IFERROR(__xludf.DUMMYFUNCTION("IFS(
  AND(REGEXMATCH(E1674, ""台銀籌備帳戶|玉山帳戶""), REGEXMATCH(C1674, ""薪資"")), ""分潤支出"",
  AND(REGEXMATCH(E1674, ""Ben帳戶|Elsa帳戶|Ben代墊|Ariel代墊|中信銀行共用""), REGEXMATCH(F1674, ""Ben帳戶|Elsa帳戶|Ben代墊|Ariel代墊|中信銀行共用"")), ""內部轉帳(忽略)"",
  AND(E1674&lt;&gt;"""", F1674&lt;&gt;"""", N"&amp;"OT(REGEXMATCH(C1674, ""薪資""))), ""內部轉帳(忽略)"",
  REGEXMATCH(C1674, ""薪資""), ""薪資變動(不計入)"",
  REGEXMATCH(C1674, ""押金""), ""押金往來"",
  AND(E1674&lt;&gt;"""", F1674=""""), ""真實支出"",
  AND(E1674="""", F1674&lt;&gt;""""), ""真實收入"",
  TRUE, ""其他""
)"),"真實支出")</f>
        <v>真實支出</v>
      </c>
      <c r="K1674" s="270">
        <f t="shared" si="2"/>
        <v>-125300</v>
      </c>
      <c r="L1674">
        <f t="shared" si="3"/>
        <v>0</v>
      </c>
    </row>
    <row r="1675">
      <c r="A1675" s="107">
        <f>IFERROR(__xludf.DUMMYFUNCTION("""COMPUTED_VALUE"""),45730.0)</f>
        <v>45730</v>
      </c>
      <c r="B1675" t="str">
        <f>IFERROR(__xludf.DUMMYFUNCTION("""COMPUTED_VALUE"""),"費用 - 匯費 對方行:822 後五碼:56515 (行號: 17)")</f>
        <v>費用 - 匯費 對方行:822 後五碼:56515 (行號: 17)</v>
      </c>
      <c r="C1675" t="str">
        <f>IFERROR(__xludf.DUMMYFUNCTION("""COMPUTED_VALUE"""),"費用 - 匯費")</f>
        <v>費用 - 匯費</v>
      </c>
      <c r="D1675" s="270">
        <f>IFERROR(__xludf.DUMMYFUNCTION("""COMPUTED_VALUE"""),-15.0)</f>
        <v>-15</v>
      </c>
      <c r="E1675" t="str">
        <f>IFERROR(__xludf.DUMMYFUNCTION("""COMPUTED_VALUE"""),"台銀籌備帳戶")</f>
        <v>台銀籌備帳戶</v>
      </c>
      <c r="H1675" s="106" t="str">
        <f t="shared" si="1"/>
        <v>2025-03</v>
      </c>
      <c r="I1675" s="271" t="str">
        <f>IFERROR(__xludf.DUMMYFUNCTION("""COMPUTED_VALUE"""),"貓狗企鵝")</f>
        <v>貓狗企鵝</v>
      </c>
      <c r="J1675" t="str">
        <f>IFERROR(__xludf.DUMMYFUNCTION("IFS(
  AND(REGEXMATCH(E1675, ""台銀籌備帳戶|玉山帳戶""), REGEXMATCH(C1675, ""薪資"")), ""分潤支出"",
  AND(REGEXMATCH(E1675, ""Ben帳戶|Elsa帳戶|Ben代墊|Ariel代墊|中信銀行共用""), REGEXMATCH(F1675, ""Ben帳戶|Elsa帳戶|Ben代墊|Ariel代墊|中信銀行共用"")), ""內部轉帳(忽略)"",
  AND(E1675&lt;&gt;"""", F1675&lt;&gt;"""", N"&amp;"OT(REGEXMATCH(C1675, ""薪資""))), ""內部轉帳(忽略)"",
  REGEXMATCH(C1675, ""薪資""), ""薪資變動(不計入)"",
  REGEXMATCH(C1675, ""押金""), ""押金往來"",
  AND(E1675&lt;&gt;"""", F1675=""""), ""真實支出"",
  AND(E1675="""", F1675&lt;&gt;""""), ""真實收入"",
  TRUE, ""其他""
)"),"真實支出")</f>
        <v>真實支出</v>
      </c>
      <c r="K1675" s="270">
        <f t="shared" si="2"/>
        <v>-15</v>
      </c>
      <c r="L1675">
        <f t="shared" si="3"/>
        <v>0</v>
      </c>
    </row>
    <row r="1676">
      <c r="A1676" s="107">
        <f>IFERROR(__xludf.DUMMYFUNCTION("""COMPUTED_VALUE"""),45730.0)</f>
        <v>45730</v>
      </c>
      <c r="B1676" t="str">
        <f>IFERROR(__xludf.DUMMYFUNCTION("""COMPUTED_VALUE"""),"冷氣柑仔店 吳興街 ' 【未分類支出】")</f>
        <v>冷氣柑仔店 吳興街 ' 【未分類支出】</v>
      </c>
      <c r="C1676" t="str">
        <f>IFERROR(__xludf.DUMMYFUNCTION("""COMPUTED_VALUE"""),"成本 - 租後修繕")</f>
        <v>成本 - 租後修繕</v>
      </c>
      <c r="D1676" s="270">
        <f>IFERROR(__xludf.DUMMYFUNCTION("""COMPUTED_VALUE"""),-22200.0)</f>
        <v>-22200</v>
      </c>
      <c r="E1676" t="str">
        <f>IFERROR(__xludf.DUMMYFUNCTION("""COMPUTED_VALUE"""),"台銀籌備帳戶")</f>
        <v>台銀籌備帳戶</v>
      </c>
      <c r="G1676" t="str">
        <f>IFERROR(__xludf.DUMMYFUNCTION("""COMPUTED_VALUE"""),"北醫醫師府")</f>
        <v>北醫醫師府</v>
      </c>
      <c r="H1676" s="106" t="str">
        <f t="shared" si="1"/>
        <v>2025-03</v>
      </c>
      <c r="I1676" s="271" t="str">
        <f>IFERROR(__xludf.DUMMYFUNCTION("""COMPUTED_VALUE"""),"貓狗企鵝")</f>
        <v>貓狗企鵝</v>
      </c>
      <c r="J1676" t="str">
        <f>IFERROR(__xludf.DUMMYFUNCTION("IFS(
  AND(REGEXMATCH(E1676, ""台銀籌備帳戶|玉山帳戶""), REGEXMATCH(C1676, ""薪資"")), ""分潤支出"",
  AND(REGEXMATCH(E1676, ""Ben帳戶|Elsa帳戶|Ben代墊|Ariel代墊|中信銀行共用""), REGEXMATCH(F1676, ""Ben帳戶|Elsa帳戶|Ben代墊|Ariel代墊|中信銀行共用"")), ""內部轉帳(忽略)"",
  AND(E1676&lt;&gt;"""", F1676&lt;&gt;"""", N"&amp;"OT(REGEXMATCH(C1676, ""薪資""))), ""內部轉帳(忽略)"",
  REGEXMATCH(C1676, ""薪資""), ""薪資變動(不計入)"",
  REGEXMATCH(C1676, ""押金""), ""押金往來"",
  AND(E1676&lt;&gt;"""", F1676=""""), ""真實支出"",
  AND(E1676="""", F1676&lt;&gt;""""), ""真實收入"",
  TRUE, ""其他""
)"),"真實支出")</f>
        <v>真實支出</v>
      </c>
      <c r="K1676" s="270">
        <f t="shared" si="2"/>
        <v>-22200</v>
      </c>
      <c r="L1676">
        <f t="shared" si="3"/>
        <v>0</v>
      </c>
    </row>
    <row r="1677">
      <c r="A1677" s="107">
        <f>IFERROR(__xludf.DUMMYFUNCTION("""COMPUTED_VALUE"""),45731.0)</f>
        <v>45731</v>
      </c>
      <c r="B1677" t="str">
        <f>IFERROR(__xludf.DUMMYFUNCTION("""COMPUTED_VALUE"""),"[南港站挑高宅] [林淑華] 大租金")</f>
        <v>[南港站挑高宅] [林淑華] 大租金</v>
      </c>
      <c r="C1677" t="str">
        <f>IFERROR(__xludf.DUMMYFUNCTION("""COMPUTED_VALUE"""),"成本 - 大租金")</f>
        <v>成本 - 大租金</v>
      </c>
      <c r="D1677" s="270">
        <f>IFERROR(__xludf.DUMMYFUNCTION("""COMPUTED_VALUE"""),-18250.0)</f>
        <v>-18250</v>
      </c>
      <c r="E1677" t="str">
        <f>IFERROR(__xludf.DUMMYFUNCTION("""COMPUTED_VALUE"""),"台銀籌備帳戶")</f>
        <v>台銀籌備帳戶</v>
      </c>
      <c r="G1677" t="str">
        <f>IFERROR(__xludf.DUMMYFUNCTION("""COMPUTED_VALUE"""),"南港站挑高宅")</f>
        <v>南港站挑高宅</v>
      </c>
      <c r="H1677" s="106" t="str">
        <f t="shared" si="1"/>
        <v>2025-03</v>
      </c>
      <c r="I1677" s="271" t="str">
        <f>IFERROR(__xludf.DUMMYFUNCTION("""COMPUTED_VALUE"""),"貓狗企鵝")</f>
        <v>貓狗企鵝</v>
      </c>
      <c r="J1677" t="str">
        <f>IFERROR(__xludf.DUMMYFUNCTION("IFS(
  AND(REGEXMATCH(E1677, ""台銀籌備帳戶|玉山帳戶""), REGEXMATCH(C1677, ""薪資"")), ""分潤支出"",
  AND(REGEXMATCH(E1677, ""Ben帳戶|Elsa帳戶|Ben代墊|Ariel代墊|中信銀行共用""), REGEXMATCH(F1677, ""Ben帳戶|Elsa帳戶|Ben代墊|Ariel代墊|中信銀行共用"")), ""內部轉帳(忽略)"",
  AND(E1677&lt;&gt;"""", F1677&lt;&gt;"""", N"&amp;"OT(REGEXMATCH(C1677, ""薪資""))), ""內部轉帳(忽略)"",
  REGEXMATCH(C1677, ""薪資""), ""薪資變動(不計入)"",
  REGEXMATCH(C1677, ""押金""), ""押金往來"",
  AND(E1677&lt;&gt;"""", F1677=""""), ""真實支出"",
  AND(E1677="""", F1677&lt;&gt;""""), ""真實收入"",
  TRUE, ""其他""
)"),"真實支出")</f>
        <v>真實支出</v>
      </c>
      <c r="K1677" s="270">
        <f t="shared" si="2"/>
        <v>-18250</v>
      </c>
      <c r="L1677">
        <f t="shared" si="3"/>
        <v>0</v>
      </c>
    </row>
    <row r="1678">
      <c r="A1678" s="107">
        <f>IFERROR(__xludf.DUMMYFUNCTION("""COMPUTED_VALUE"""),45731.0)</f>
        <v>45731</v>
      </c>
      <c r="B1678" t="str">
        <f>IFERROR(__xludf.DUMMYFUNCTION("""COMPUTED_VALUE"""),"費用 - 匯費 對方行:052 後五碼:22609 (行號: 19)")</f>
        <v>費用 - 匯費 對方行:052 後五碼:22609 (行號: 19)</v>
      </c>
      <c r="C1678" t="str">
        <f>IFERROR(__xludf.DUMMYFUNCTION("""COMPUTED_VALUE"""),"費用 - 匯費")</f>
        <v>費用 - 匯費</v>
      </c>
      <c r="D1678" s="270">
        <f>IFERROR(__xludf.DUMMYFUNCTION("""COMPUTED_VALUE"""),-15.0)</f>
        <v>-15</v>
      </c>
      <c r="E1678" t="str">
        <f>IFERROR(__xludf.DUMMYFUNCTION("""COMPUTED_VALUE"""),"台銀籌備帳戶")</f>
        <v>台銀籌備帳戶</v>
      </c>
      <c r="H1678" s="106" t="str">
        <f t="shared" si="1"/>
        <v>2025-03</v>
      </c>
      <c r="I1678" s="271" t="str">
        <f>IFERROR(__xludf.DUMMYFUNCTION("""COMPUTED_VALUE"""),"貓狗企鵝")</f>
        <v>貓狗企鵝</v>
      </c>
      <c r="J1678" t="str">
        <f>IFERROR(__xludf.DUMMYFUNCTION("IFS(
  AND(REGEXMATCH(E1678, ""台銀籌備帳戶|玉山帳戶""), REGEXMATCH(C1678, ""薪資"")), ""分潤支出"",
  AND(REGEXMATCH(E1678, ""Ben帳戶|Elsa帳戶|Ben代墊|Ariel代墊|中信銀行共用""), REGEXMATCH(F1678, ""Ben帳戶|Elsa帳戶|Ben代墊|Ariel代墊|中信銀行共用"")), ""內部轉帳(忽略)"",
  AND(E1678&lt;&gt;"""", F1678&lt;&gt;"""", N"&amp;"OT(REGEXMATCH(C1678, ""薪資""))), ""內部轉帳(忽略)"",
  REGEXMATCH(C1678, ""薪資""), ""薪資變動(不計入)"",
  REGEXMATCH(C1678, ""押金""), ""押金往來"",
  AND(E1678&lt;&gt;"""", F1678=""""), ""真實支出"",
  AND(E1678="""", F1678&lt;&gt;""""), ""真實收入"",
  TRUE, ""其他""
)"),"真實支出")</f>
        <v>真實支出</v>
      </c>
      <c r="K1678" s="270">
        <f t="shared" si="2"/>
        <v>-15</v>
      </c>
      <c r="L1678">
        <f t="shared" si="3"/>
        <v>0</v>
      </c>
    </row>
    <row r="1679">
      <c r="A1679" s="107">
        <f>IFERROR(__xludf.DUMMYFUNCTION("""COMPUTED_VALUE"""),45731.0)</f>
        <v>45731</v>
      </c>
      <c r="B1679" t="str">
        <f>IFERROR(__xludf.DUMMYFUNCTION("""COMPUTED_VALUE"""),"[中山北Feli家] [陳玉蘭] 大租金")</f>
        <v>[中山北Feli家] [陳玉蘭] 大租金</v>
      </c>
      <c r="C1679" t="str">
        <f>IFERROR(__xludf.DUMMYFUNCTION("""COMPUTED_VALUE"""),"成本 - 大租金")</f>
        <v>成本 - 大租金</v>
      </c>
      <c r="D1679" s="270">
        <f>IFERROR(__xludf.DUMMYFUNCTION("""COMPUTED_VALUE"""),-18000.0)</f>
        <v>-18000</v>
      </c>
      <c r="E1679" t="str">
        <f>IFERROR(__xludf.DUMMYFUNCTION("""COMPUTED_VALUE"""),"台銀籌備帳戶")</f>
        <v>台銀籌備帳戶</v>
      </c>
      <c r="G1679" t="str">
        <f>IFERROR(__xludf.DUMMYFUNCTION("""COMPUTED_VALUE"""),"中山北Feli家")</f>
        <v>中山北Feli家</v>
      </c>
      <c r="H1679" s="106" t="str">
        <f t="shared" si="1"/>
        <v>2025-03</v>
      </c>
      <c r="I1679" s="271" t="str">
        <f>IFERROR(__xludf.DUMMYFUNCTION("""COMPUTED_VALUE"""),"貓狗企鵝")</f>
        <v>貓狗企鵝</v>
      </c>
      <c r="J1679" t="str">
        <f>IFERROR(__xludf.DUMMYFUNCTION("IFS(
  AND(REGEXMATCH(E1679, ""台銀籌備帳戶|玉山帳戶""), REGEXMATCH(C1679, ""薪資"")), ""分潤支出"",
  AND(REGEXMATCH(E1679, ""Ben帳戶|Elsa帳戶|Ben代墊|Ariel代墊|中信銀行共用""), REGEXMATCH(F1679, ""Ben帳戶|Elsa帳戶|Ben代墊|Ariel代墊|中信銀行共用"")), ""內部轉帳(忽略)"",
  AND(E1679&lt;&gt;"""", F1679&lt;&gt;"""", N"&amp;"OT(REGEXMATCH(C1679, ""薪資""))), ""內部轉帳(忽略)"",
  REGEXMATCH(C1679, ""薪資""), ""薪資變動(不計入)"",
  REGEXMATCH(C1679, ""押金""), ""押金往來"",
  AND(E1679&lt;&gt;"""", F1679=""""), ""真實支出"",
  AND(E1679="""", F1679&lt;&gt;""""), ""真實收入"",
  TRUE, ""其他""
)"),"真實支出")</f>
        <v>真實支出</v>
      </c>
      <c r="K1679" s="270">
        <f t="shared" si="2"/>
        <v>-18000</v>
      </c>
      <c r="L1679">
        <f t="shared" si="3"/>
        <v>0</v>
      </c>
    </row>
    <row r="1680">
      <c r="A1680" s="107">
        <f>IFERROR(__xludf.DUMMYFUNCTION("""COMPUTED_VALUE"""),45731.0)</f>
        <v>45731</v>
      </c>
      <c r="B1680" t="str">
        <f>IFERROR(__xludf.DUMMYFUNCTION("""COMPUTED_VALUE"""),"費用 - 匯費 對方行:013 後五碼:20652 (行號: 20)")</f>
        <v>費用 - 匯費 對方行:013 後五碼:20652 (行號: 20)</v>
      </c>
      <c r="C1680" t="str">
        <f>IFERROR(__xludf.DUMMYFUNCTION("""COMPUTED_VALUE"""),"費用 - 匯費")</f>
        <v>費用 - 匯費</v>
      </c>
      <c r="D1680" s="270">
        <f>IFERROR(__xludf.DUMMYFUNCTION("""COMPUTED_VALUE"""),-15.0)</f>
        <v>-15</v>
      </c>
      <c r="E1680" t="str">
        <f>IFERROR(__xludf.DUMMYFUNCTION("""COMPUTED_VALUE"""),"台銀籌備帳戶")</f>
        <v>台銀籌備帳戶</v>
      </c>
      <c r="H1680" s="106" t="str">
        <f t="shared" si="1"/>
        <v>2025-03</v>
      </c>
      <c r="I1680" s="271" t="str">
        <f>IFERROR(__xludf.DUMMYFUNCTION("""COMPUTED_VALUE"""),"貓狗企鵝")</f>
        <v>貓狗企鵝</v>
      </c>
      <c r="J1680" t="str">
        <f>IFERROR(__xludf.DUMMYFUNCTION("IFS(
  AND(REGEXMATCH(E1680, ""台銀籌備帳戶|玉山帳戶""), REGEXMATCH(C1680, ""薪資"")), ""分潤支出"",
  AND(REGEXMATCH(E1680, ""Ben帳戶|Elsa帳戶|Ben代墊|Ariel代墊|中信銀行共用""), REGEXMATCH(F1680, ""Ben帳戶|Elsa帳戶|Ben代墊|Ariel代墊|中信銀行共用"")), ""內部轉帳(忽略)"",
  AND(E1680&lt;&gt;"""", F1680&lt;&gt;"""", N"&amp;"OT(REGEXMATCH(C1680, ""薪資""))), ""內部轉帳(忽略)"",
  REGEXMATCH(C1680, ""薪資""), ""薪資變動(不計入)"",
  REGEXMATCH(C1680, ""押金""), ""押金往來"",
  AND(E1680&lt;&gt;"""", F1680=""""), ""真實支出"",
  AND(E1680="""", F1680&lt;&gt;""""), ""真實收入"",
  TRUE, ""其他""
)"),"真實支出")</f>
        <v>真實支出</v>
      </c>
      <c r="K1680" s="270">
        <f t="shared" si="2"/>
        <v>-15</v>
      </c>
      <c r="L1680">
        <f t="shared" si="3"/>
        <v>0</v>
      </c>
    </row>
    <row r="1681">
      <c r="A1681" s="107">
        <f>IFERROR(__xludf.DUMMYFUNCTION("""COMPUTED_VALUE"""),45731.0)</f>
        <v>45731</v>
      </c>
      <c r="B1681" t="str">
        <f>IFERROR(__xludf.DUMMYFUNCTION("""COMPUTED_VALUE"""),"[景安2分鐘] [王逸荃] 大租金")</f>
        <v>[景安2分鐘] [王逸荃] 大租金</v>
      </c>
      <c r="C1681" t="str">
        <f>IFERROR(__xludf.DUMMYFUNCTION("""COMPUTED_VALUE"""),"成本 - 大租金")</f>
        <v>成本 - 大租金</v>
      </c>
      <c r="D1681" s="270">
        <f>IFERROR(__xludf.DUMMYFUNCTION("""COMPUTED_VALUE"""),-12500.0)</f>
        <v>-12500</v>
      </c>
      <c r="E1681" t="str">
        <f>IFERROR(__xludf.DUMMYFUNCTION("""COMPUTED_VALUE"""),"台銀籌備帳戶")</f>
        <v>台銀籌備帳戶</v>
      </c>
      <c r="G1681" t="str">
        <f>IFERROR(__xludf.DUMMYFUNCTION("""COMPUTED_VALUE"""),"景安2分鐘")</f>
        <v>景安2分鐘</v>
      </c>
      <c r="H1681" s="106" t="str">
        <f t="shared" si="1"/>
        <v>2025-03</v>
      </c>
      <c r="I1681" s="271" t="str">
        <f>IFERROR(__xludf.DUMMYFUNCTION("""COMPUTED_VALUE"""),"貓狗企鵝")</f>
        <v>貓狗企鵝</v>
      </c>
      <c r="J1681" t="str">
        <f>IFERROR(__xludf.DUMMYFUNCTION("IFS(
  AND(REGEXMATCH(E1681, ""台銀籌備帳戶|玉山帳戶""), REGEXMATCH(C1681, ""薪資"")), ""分潤支出"",
  AND(REGEXMATCH(E1681, ""Ben帳戶|Elsa帳戶|Ben代墊|Ariel代墊|中信銀行共用""), REGEXMATCH(F1681, ""Ben帳戶|Elsa帳戶|Ben代墊|Ariel代墊|中信銀行共用"")), ""內部轉帳(忽略)"",
  AND(E1681&lt;&gt;"""", F1681&lt;&gt;"""", N"&amp;"OT(REGEXMATCH(C1681, ""薪資""))), ""內部轉帳(忽略)"",
  REGEXMATCH(C1681, ""薪資""), ""薪資變動(不計入)"",
  REGEXMATCH(C1681, ""押金""), ""押金往來"",
  AND(E1681&lt;&gt;"""", F1681=""""), ""真實支出"",
  AND(E1681="""", F1681&lt;&gt;""""), ""真實收入"",
  TRUE, ""其他""
)"),"真實支出")</f>
        <v>真實支出</v>
      </c>
      <c r="K1681" s="270">
        <f t="shared" si="2"/>
        <v>-12500</v>
      </c>
      <c r="L1681">
        <f t="shared" si="3"/>
        <v>0</v>
      </c>
    </row>
    <row r="1682">
      <c r="A1682" s="107">
        <f>IFERROR(__xludf.DUMMYFUNCTION("""COMPUTED_VALUE"""),45731.0)</f>
        <v>45731</v>
      </c>
      <c r="B1682" t="str">
        <f>IFERROR(__xludf.DUMMYFUNCTION("""COMPUTED_VALUE"""),"費用 - 匯費 對方行:822 後五碼:06708 (行號: 21)")</f>
        <v>費用 - 匯費 對方行:822 後五碼:06708 (行號: 21)</v>
      </c>
      <c r="C1682" t="str">
        <f>IFERROR(__xludf.DUMMYFUNCTION("""COMPUTED_VALUE"""),"費用 - 匯費")</f>
        <v>費用 - 匯費</v>
      </c>
      <c r="D1682" s="270">
        <f>IFERROR(__xludf.DUMMYFUNCTION("""COMPUTED_VALUE"""),-15.0)</f>
        <v>-15</v>
      </c>
      <c r="E1682" t="str">
        <f>IFERROR(__xludf.DUMMYFUNCTION("""COMPUTED_VALUE"""),"台銀籌備帳戶")</f>
        <v>台銀籌備帳戶</v>
      </c>
      <c r="H1682" s="106" t="str">
        <f t="shared" si="1"/>
        <v>2025-03</v>
      </c>
      <c r="I1682" s="271" t="str">
        <f>IFERROR(__xludf.DUMMYFUNCTION("""COMPUTED_VALUE"""),"貓狗企鵝")</f>
        <v>貓狗企鵝</v>
      </c>
      <c r="J1682" t="str">
        <f>IFERROR(__xludf.DUMMYFUNCTION("IFS(
  AND(REGEXMATCH(E1682, ""台銀籌備帳戶|玉山帳戶""), REGEXMATCH(C1682, ""薪資"")), ""分潤支出"",
  AND(REGEXMATCH(E1682, ""Ben帳戶|Elsa帳戶|Ben代墊|Ariel代墊|中信銀行共用""), REGEXMATCH(F1682, ""Ben帳戶|Elsa帳戶|Ben代墊|Ariel代墊|中信銀行共用"")), ""內部轉帳(忽略)"",
  AND(E1682&lt;&gt;"""", F1682&lt;&gt;"""", N"&amp;"OT(REGEXMATCH(C1682, ""薪資""))), ""內部轉帳(忽略)"",
  REGEXMATCH(C1682, ""薪資""), ""薪資變動(不計入)"",
  REGEXMATCH(C1682, ""押金""), ""押金往來"",
  AND(E1682&lt;&gt;"""", F1682=""""), ""真實支出"",
  AND(E1682="""", F1682&lt;&gt;""""), ""真實收入"",
  TRUE, ""其他""
)"),"真實支出")</f>
        <v>真實支出</v>
      </c>
      <c r="K1682" s="270">
        <f t="shared" si="2"/>
        <v>-15</v>
      </c>
      <c r="L1682">
        <f t="shared" si="3"/>
        <v>0</v>
      </c>
    </row>
    <row r="1683">
      <c r="A1683" s="107">
        <f>IFERROR(__xludf.DUMMYFUNCTION("""COMPUTED_VALUE"""),45731.0)</f>
        <v>45731</v>
      </c>
      <c r="B1683" t="str">
        <f>IFERROR(__xludf.DUMMYFUNCTION("""COMPUTED_VALUE"""),"[金龍帽子先生] [郭娟伶] 大租金")</f>
        <v>[金龍帽子先生] [郭娟伶] 大租金</v>
      </c>
      <c r="C1683" t="str">
        <f>IFERROR(__xludf.DUMMYFUNCTION("""COMPUTED_VALUE"""),"成本 - 大租金")</f>
        <v>成本 - 大租金</v>
      </c>
      <c r="D1683" s="270">
        <f>IFERROR(__xludf.DUMMYFUNCTION("""COMPUTED_VALUE"""),-17750.0)</f>
        <v>-17750</v>
      </c>
      <c r="E1683" t="str">
        <f>IFERROR(__xludf.DUMMYFUNCTION("""COMPUTED_VALUE"""),"台銀籌備帳戶")</f>
        <v>台銀籌備帳戶</v>
      </c>
      <c r="G1683" t="str">
        <f>IFERROR(__xludf.DUMMYFUNCTION("""COMPUTED_VALUE"""),"金龍帽子先生")</f>
        <v>金龍帽子先生</v>
      </c>
      <c r="H1683" s="106" t="str">
        <f t="shared" si="1"/>
        <v>2025-03</v>
      </c>
      <c r="I1683" s="271" t="str">
        <f>IFERROR(__xludf.DUMMYFUNCTION("""COMPUTED_VALUE"""),"貓狗企鵝")</f>
        <v>貓狗企鵝</v>
      </c>
      <c r="J1683" t="str">
        <f>IFERROR(__xludf.DUMMYFUNCTION("IFS(
  AND(REGEXMATCH(E1683, ""台銀籌備帳戶|玉山帳戶""), REGEXMATCH(C1683, ""薪資"")), ""分潤支出"",
  AND(REGEXMATCH(E1683, ""Ben帳戶|Elsa帳戶|Ben代墊|Ariel代墊|中信銀行共用""), REGEXMATCH(F1683, ""Ben帳戶|Elsa帳戶|Ben代墊|Ariel代墊|中信銀行共用"")), ""內部轉帳(忽略)"",
  AND(E1683&lt;&gt;"""", F1683&lt;&gt;"""", N"&amp;"OT(REGEXMATCH(C1683, ""薪資""))), ""內部轉帳(忽略)"",
  REGEXMATCH(C1683, ""薪資""), ""薪資變動(不計入)"",
  REGEXMATCH(C1683, ""押金""), ""押金往來"",
  AND(E1683&lt;&gt;"""", F1683=""""), ""真實支出"",
  AND(E1683="""", F1683&lt;&gt;""""), ""真實收入"",
  TRUE, ""其他""
)"),"真實支出")</f>
        <v>真實支出</v>
      </c>
      <c r="K1683" s="270">
        <f t="shared" si="2"/>
        <v>-17750</v>
      </c>
      <c r="L1683">
        <f t="shared" si="3"/>
        <v>0</v>
      </c>
    </row>
    <row r="1684">
      <c r="A1684" s="107">
        <f>IFERROR(__xludf.DUMMYFUNCTION("""COMPUTED_VALUE"""),45731.0)</f>
        <v>45731</v>
      </c>
      <c r="B1684" t="str">
        <f>IFERROR(__xludf.DUMMYFUNCTION("""COMPUTED_VALUE"""),"費用 - 匯費 對方行:053 後五碼:05202 (行號: 22)")</f>
        <v>費用 - 匯費 對方行:053 後五碼:05202 (行號: 22)</v>
      </c>
      <c r="C1684" t="str">
        <f>IFERROR(__xludf.DUMMYFUNCTION("""COMPUTED_VALUE"""),"費用 - 匯費")</f>
        <v>費用 - 匯費</v>
      </c>
      <c r="D1684" s="270">
        <f>IFERROR(__xludf.DUMMYFUNCTION("""COMPUTED_VALUE"""),-15.0)</f>
        <v>-15</v>
      </c>
      <c r="E1684" t="str">
        <f>IFERROR(__xludf.DUMMYFUNCTION("""COMPUTED_VALUE"""),"台銀籌備帳戶")</f>
        <v>台銀籌備帳戶</v>
      </c>
      <c r="H1684" s="106" t="str">
        <f t="shared" si="1"/>
        <v>2025-03</v>
      </c>
      <c r="I1684" s="271" t="str">
        <f>IFERROR(__xludf.DUMMYFUNCTION("""COMPUTED_VALUE"""),"貓狗企鵝")</f>
        <v>貓狗企鵝</v>
      </c>
      <c r="J1684" t="str">
        <f>IFERROR(__xludf.DUMMYFUNCTION("IFS(
  AND(REGEXMATCH(E1684, ""台銀籌備帳戶|玉山帳戶""), REGEXMATCH(C1684, ""薪資"")), ""分潤支出"",
  AND(REGEXMATCH(E1684, ""Ben帳戶|Elsa帳戶|Ben代墊|Ariel代墊|中信銀行共用""), REGEXMATCH(F1684, ""Ben帳戶|Elsa帳戶|Ben代墊|Ariel代墊|中信銀行共用"")), ""內部轉帳(忽略)"",
  AND(E1684&lt;&gt;"""", F1684&lt;&gt;"""", N"&amp;"OT(REGEXMATCH(C1684, ""薪資""))), ""內部轉帳(忽略)"",
  REGEXMATCH(C1684, ""薪資""), ""薪資變動(不計入)"",
  REGEXMATCH(C1684, ""押金""), ""押金往來"",
  AND(E1684&lt;&gt;"""", F1684=""""), ""真實支出"",
  AND(E1684="""", F1684&lt;&gt;""""), ""真實收入"",
  TRUE, ""其他""
)"),"真實支出")</f>
        <v>真實支出</v>
      </c>
      <c r="K1684" s="270">
        <f t="shared" si="2"/>
        <v>-15</v>
      </c>
      <c r="L1684">
        <f t="shared" si="3"/>
        <v>0</v>
      </c>
    </row>
    <row r="1685">
      <c r="A1685" s="107">
        <f>IFERROR(__xludf.DUMMYFUNCTION("""COMPUTED_VALUE"""),45731.0)</f>
        <v>45731</v>
      </c>
      <c r="B1685" t="str">
        <f>IFERROR(__xludf.DUMMYFUNCTION("""COMPUTED_VALUE"""),"[大湖山莊] [陳彩霞] 大租金")</f>
        <v>[大湖山莊] [陳彩霞] 大租金</v>
      </c>
      <c r="C1685" t="str">
        <f>IFERROR(__xludf.DUMMYFUNCTION("""COMPUTED_VALUE"""),"成本 - 大租金")</f>
        <v>成本 - 大租金</v>
      </c>
      <c r="D1685" s="270">
        <f>IFERROR(__xludf.DUMMYFUNCTION("""COMPUTED_VALUE"""),-19400.0)</f>
        <v>-19400</v>
      </c>
      <c r="E1685" t="str">
        <f>IFERROR(__xludf.DUMMYFUNCTION("""COMPUTED_VALUE"""),"台銀籌備帳戶")</f>
        <v>台銀籌備帳戶</v>
      </c>
      <c r="G1685" t="str">
        <f>IFERROR(__xludf.DUMMYFUNCTION("""COMPUTED_VALUE"""),"大湖山莊")</f>
        <v>大湖山莊</v>
      </c>
      <c r="H1685" s="106" t="str">
        <f t="shared" si="1"/>
        <v>2025-03</v>
      </c>
      <c r="I1685" s="271" t="str">
        <f>IFERROR(__xludf.DUMMYFUNCTION("""COMPUTED_VALUE"""),"貓狗企鵝")</f>
        <v>貓狗企鵝</v>
      </c>
      <c r="J1685" t="str">
        <f>IFERROR(__xludf.DUMMYFUNCTION("IFS(
  AND(REGEXMATCH(E1685, ""台銀籌備帳戶|玉山帳戶""), REGEXMATCH(C1685, ""薪資"")), ""分潤支出"",
  AND(REGEXMATCH(E1685, ""Ben帳戶|Elsa帳戶|Ben代墊|Ariel代墊|中信銀行共用""), REGEXMATCH(F1685, ""Ben帳戶|Elsa帳戶|Ben代墊|Ariel代墊|中信銀行共用"")), ""內部轉帳(忽略)"",
  AND(E1685&lt;&gt;"""", F1685&lt;&gt;"""", N"&amp;"OT(REGEXMATCH(C1685, ""薪資""))), ""內部轉帳(忽略)"",
  REGEXMATCH(C1685, ""薪資""), ""薪資變動(不計入)"",
  REGEXMATCH(C1685, ""押金""), ""押金往來"",
  AND(E1685&lt;&gt;"""", F1685=""""), ""真實支出"",
  AND(E1685="""", F1685&lt;&gt;""""), ""真實收入"",
  TRUE, ""其他""
)"),"真實支出")</f>
        <v>真實支出</v>
      </c>
      <c r="K1685" s="270">
        <f t="shared" si="2"/>
        <v>-19400</v>
      </c>
      <c r="L1685">
        <f t="shared" si="3"/>
        <v>0</v>
      </c>
    </row>
    <row r="1686">
      <c r="A1686" s="107">
        <f>IFERROR(__xludf.DUMMYFUNCTION("""COMPUTED_VALUE"""),45731.0)</f>
        <v>45731</v>
      </c>
      <c r="B1686" t="str">
        <f>IFERROR(__xludf.DUMMYFUNCTION("""COMPUTED_VALUE"""),"費用 - 匯費 對方行:807 後五碼:06659 (行號: 23)")</f>
        <v>費用 - 匯費 對方行:807 後五碼:06659 (行號: 23)</v>
      </c>
      <c r="C1686" t="str">
        <f>IFERROR(__xludf.DUMMYFUNCTION("""COMPUTED_VALUE"""),"費用 - 匯費")</f>
        <v>費用 - 匯費</v>
      </c>
      <c r="D1686" s="270">
        <f>IFERROR(__xludf.DUMMYFUNCTION("""COMPUTED_VALUE"""),-15.0)</f>
        <v>-15</v>
      </c>
      <c r="E1686" t="str">
        <f>IFERROR(__xludf.DUMMYFUNCTION("""COMPUTED_VALUE"""),"台銀籌備帳戶")</f>
        <v>台銀籌備帳戶</v>
      </c>
      <c r="H1686" s="106" t="str">
        <f t="shared" si="1"/>
        <v>2025-03</v>
      </c>
      <c r="I1686" s="271" t="str">
        <f>IFERROR(__xludf.DUMMYFUNCTION("""COMPUTED_VALUE"""),"貓狗企鵝")</f>
        <v>貓狗企鵝</v>
      </c>
      <c r="J1686" t="str">
        <f>IFERROR(__xludf.DUMMYFUNCTION("IFS(
  AND(REGEXMATCH(E1686, ""台銀籌備帳戶|玉山帳戶""), REGEXMATCH(C1686, ""薪資"")), ""分潤支出"",
  AND(REGEXMATCH(E1686, ""Ben帳戶|Elsa帳戶|Ben代墊|Ariel代墊|中信銀行共用""), REGEXMATCH(F1686, ""Ben帳戶|Elsa帳戶|Ben代墊|Ariel代墊|中信銀行共用"")), ""內部轉帳(忽略)"",
  AND(E1686&lt;&gt;"""", F1686&lt;&gt;"""", N"&amp;"OT(REGEXMATCH(C1686, ""薪資""))), ""內部轉帳(忽略)"",
  REGEXMATCH(C1686, ""薪資""), ""薪資變動(不計入)"",
  REGEXMATCH(C1686, ""押金""), ""押金往來"",
  AND(E1686&lt;&gt;"""", F1686=""""), ""真實支出"",
  AND(E1686="""", F1686&lt;&gt;""""), ""真實收入"",
  TRUE, ""其他""
)"),"真實支出")</f>
        <v>真實支出</v>
      </c>
      <c r="K1686" s="270">
        <f t="shared" si="2"/>
        <v>-15</v>
      </c>
      <c r="L1686">
        <f t="shared" si="3"/>
        <v>0</v>
      </c>
    </row>
    <row r="1687">
      <c r="A1687" s="107">
        <f>IFERROR(__xludf.DUMMYFUNCTION("""COMPUTED_VALUE"""),45731.0)</f>
        <v>45731</v>
      </c>
      <c r="B1687" t="str">
        <f>IFERROR(__xludf.DUMMYFUNCTION("""COMPUTED_VALUE"""),"[哈拉對面] [陳哲聰] 大租金")</f>
        <v>[哈拉對面] [陳哲聰] 大租金</v>
      </c>
      <c r="C1687" t="str">
        <f>IFERROR(__xludf.DUMMYFUNCTION("""COMPUTED_VALUE"""),"成本 - 大租金")</f>
        <v>成本 - 大租金</v>
      </c>
      <c r="D1687" s="270">
        <f>IFERROR(__xludf.DUMMYFUNCTION("""COMPUTED_VALUE"""),-13000.0)</f>
        <v>-13000</v>
      </c>
      <c r="E1687" t="str">
        <f>IFERROR(__xludf.DUMMYFUNCTION("""COMPUTED_VALUE"""),"台銀籌備帳戶")</f>
        <v>台銀籌備帳戶</v>
      </c>
      <c r="G1687" t="str">
        <f>IFERROR(__xludf.DUMMYFUNCTION("""COMPUTED_VALUE"""),"哈拉對面")</f>
        <v>哈拉對面</v>
      </c>
      <c r="H1687" s="106" t="str">
        <f t="shared" si="1"/>
        <v>2025-03</v>
      </c>
      <c r="I1687" s="271" t="str">
        <f>IFERROR(__xludf.DUMMYFUNCTION("""COMPUTED_VALUE"""),"貓狗企鵝")</f>
        <v>貓狗企鵝</v>
      </c>
      <c r="J1687" t="str">
        <f>IFERROR(__xludf.DUMMYFUNCTION("IFS(
  AND(REGEXMATCH(E1687, ""台銀籌備帳戶|玉山帳戶""), REGEXMATCH(C1687, ""薪資"")), ""分潤支出"",
  AND(REGEXMATCH(E1687, ""Ben帳戶|Elsa帳戶|Ben代墊|Ariel代墊|中信銀行共用""), REGEXMATCH(F1687, ""Ben帳戶|Elsa帳戶|Ben代墊|Ariel代墊|中信銀行共用"")), ""內部轉帳(忽略)"",
  AND(E1687&lt;&gt;"""", F1687&lt;&gt;"""", N"&amp;"OT(REGEXMATCH(C1687, ""薪資""))), ""內部轉帳(忽略)"",
  REGEXMATCH(C1687, ""薪資""), ""薪資變動(不計入)"",
  REGEXMATCH(C1687, ""押金""), ""押金往來"",
  AND(E1687&lt;&gt;"""", F1687=""""), ""真實支出"",
  AND(E1687="""", F1687&lt;&gt;""""), ""真實收入"",
  TRUE, ""其他""
)"),"真實支出")</f>
        <v>真實支出</v>
      </c>
      <c r="K1687" s="270">
        <f t="shared" si="2"/>
        <v>-13000</v>
      </c>
      <c r="L1687">
        <f t="shared" si="3"/>
        <v>0</v>
      </c>
    </row>
    <row r="1688">
      <c r="A1688" s="107">
        <f>IFERROR(__xludf.DUMMYFUNCTION("""COMPUTED_VALUE"""),45731.0)</f>
        <v>45731</v>
      </c>
      <c r="B1688" t="str">
        <f>IFERROR(__xludf.DUMMYFUNCTION("""COMPUTED_VALUE"""),"費用 - 匯費 對方行:700 後五碼:92128 (行號: 24)")</f>
        <v>費用 - 匯費 對方行:700 後五碼:92128 (行號: 24)</v>
      </c>
      <c r="C1688" t="str">
        <f>IFERROR(__xludf.DUMMYFUNCTION("""COMPUTED_VALUE"""),"費用 - 匯費")</f>
        <v>費用 - 匯費</v>
      </c>
      <c r="D1688" s="270">
        <f>IFERROR(__xludf.DUMMYFUNCTION("""COMPUTED_VALUE"""),-15.0)</f>
        <v>-15</v>
      </c>
      <c r="E1688" t="str">
        <f>IFERROR(__xludf.DUMMYFUNCTION("""COMPUTED_VALUE"""),"台銀籌備帳戶")</f>
        <v>台銀籌備帳戶</v>
      </c>
      <c r="H1688" s="106" t="str">
        <f t="shared" si="1"/>
        <v>2025-03</v>
      </c>
      <c r="I1688" s="271" t="str">
        <f>IFERROR(__xludf.DUMMYFUNCTION("""COMPUTED_VALUE"""),"貓狗企鵝")</f>
        <v>貓狗企鵝</v>
      </c>
      <c r="J1688" t="str">
        <f>IFERROR(__xludf.DUMMYFUNCTION("IFS(
  AND(REGEXMATCH(E1688, ""台銀籌備帳戶|玉山帳戶""), REGEXMATCH(C1688, ""薪資"")), ""分潤支出"",
  AND(REGEXMATCH(E1688, ""Ben帳戶|Elsa帳戶|Ben代墊|Ariel代墊|中信銀行共用""), REGEXMATCH(F1688, ""Ben帳戶|Elsa帳戶|Ben代墊|Ariel代墊|中信銀行共用"")), ""內部轉帳(忽略)"",
  AND(E1688&lt;&gt;"""", F1688&lt;&gt;"""", N"&amp;"OT(REGEXMATCH(C1688, ""薪資""))), ""內部轉帳(忽略)"",
  REGEXMATCH(C1688, ""薪資""), ""薪資變動(不計入)"",
  REGEXMATCH(C1688, ""押金""), ""押金往來"",
  AND(E1688&lt;&gt;"""", F1688=""""), ""真實支出"",
  AND(E1688="""", F1688&lt;&gt;""""), ""真實收入"",
  TRUE, ""其他""
)"),"真實支出")</f>
        <v>真實支出</v>
      </c>
      <c r="K1688" s="270">
        <f t="shared" si="2"/>
        <v>-15</v>
      </c>
      <c r="L1688">
        <f t="shared" si="3"/>
        <v>0</v>
      </c>
    </row>
    <row r="1689">
      <c r="A1689" s="107">
        <f>IFERROR(__xludf.DUMMYFUNCTION("""COMPUTED_VALUE"""),45731.0)</f>
        <v>45731</v>
      </c>
      <c r="B1689" t="str">
        <f>IFERROR(__xludf.DUMMYFUNCTION("""COMPUTED_VALUE"""),"[北醫醫師府] [陳俊良] 大租金")</f>
        <v>[北醫醫師府] [陳俊良] 大租金</v>
      </c>
      <c r="C1689" t="str">
        <f>IFERROR(__xludf.DUMMYFUNCTION("""COMPUTED_VALUE"""),"成本 - 大租金")</f>
        <v>成本 - 大租金</v>
      </c>
      <c r="D1689" s="270">
        <f>IFERROR(__xludf.DUMMYFUNCTION("""COMPUTED_VALUE"""),-12800.0)</f>
        <v>-12800</v>
      </c>
      <c r="E1689" t="str">
        <f>IFERROR(__xludf.DUMMYFUNCTION("""COMPUTED_VALUE"""),"台銀籌備帳戶")</f>
        <v>台銀籌備帳戶</v>
      </c>
      <c r="G1689" t="str">
        <f>IFERROR(__xludf.DUMMYFUNCTION("""COMPUTED_VALUE"""),"北醫醫師府")</f>
        <v>北醫醫師府</v>
      </c>
      <c r="H1689" s="106" t="str">
        <f t="shared" si="1"/>
        <v>2025-03</v>
      </c>
      <c r="I1689" s="271" t="str">
        <f>IFERROR(__xludf.DUMMYFUNCTION("""COMPUTED_VALUE"""),"貓狗企鵝")</f>
        <v>貓狗企鵝</v>
      </c>
      <c r="J1689" t="str">
        <f>IFERROR(__xludf.DUMMYFUNCTION("IFS(
  AND(REGEXMATCH(E1689, ""台銀籌備帳戶|玉山帳戶""), REGEXMATCH(C1689, ""薪資"")), ""分潤支出"",
  AND(REGEXMATCH(E1689, ""Ben帳戶|Elsa帳戶|Ben代墊|Ariel代墊|中信銀行共用""), REGEXMATCH(F1689, ""Ben帳戶|Elsa帳戶|Ben代墊|Ariel代墊|中信銀行共用"")), ""內部轉帳(忽略)"",
  AND(E1689&lt;&gt;"""", F1689&lt;&gt;"""", N"&amp;"OT(REGEXMATCH(C1689, ""薪資""))), ""內部轉帳(忽略)"",
  REGEXMATCH(C1689, ""薪資""), ""薪資變動(不計入)"",
  REGEXMATCH(C1689, ""押金""), ""押金往來"",
  AND(E1689&lt;&gt;"""", F1689=""""), ""真實支出"",
  AND(E1689="""", F1689&lt;&gt;""""), ""真實收入"",
  TRUE, ""其他""
)"),"真實支出")</f>
        <v>真實支出</v>
      </c>
      <c r="K1689" s="270">
        <f t="shared" si="2"/>
        <v>-12800</v>
      </c>
      <c r="L1689">
        <f t="shared" si="3"/>
        <v>0</v>
      </c>
    </row>
    <row r="1690">
      <c r="A1690" s="107">
        <f>IFERROR(__xludf.DUMMYFUNCTION("""COMPUTED_VALUE"""),45731.0)</f>
        <v>45731</v>
      </c>
      <c r="B1690" t="str">
        <f>IFERROR(__xludf.DUMMYFUNCTION("""COMPUTED_VALUE"""),"費用 - 匯費 對方行:013 後五碼:43662 (行號: 25)")</f>
        <v>費用 - 匯費 對方行:013 後五碼:43662 (行號: 25)</v>
      </c>
      <c r="C1690" t="str">
        <f>IFERROR(__xludf.DUMMYFUNCTION("""COMPUTED_VALUE"""),"費用 - 匯費")</f>
        <v>費用 - 匯費</v>
      </c>
      <c r="D1690" s="270">
        <f>IFERROR(__xludf.DUMMYFUNCTION("""COMPUTED_VALUE"""),-15.0)</f>
        <v>-15</v>
      </c>
      <c r="E1690" t="str">
        <f>IFERROR(__xludf.DUMMYFUNCTION("""COMPUTED_VALUE"""),"台銀籌備帳戶")</f>
        <v>台銀籌備帳戶</v>
      </c>
      <c r="H1690" s="106" t="str">
        <f t="shared" si="1"/>
        <v>2025-03</v>
      </c>
      <c r="I1690" s="271" t="str">
        <f>IFERROR(__xludf.DUMMYFUNCTION("""COMPUTED_VALUE"""),"貓狗企鵝")</f>
        <v>貓狗企鵝</v>
      </c>
      <c r="J1690" t="str">
        <f>IFERROR(__xludf.DUMMYFUNCTION("IFS(
  AND(REGEXMATCH(E1690, ""台銀籌備帳戶|玉山帳戶""), REGEXMATCH(C1690, ""薪資"")), ""分潤支出"",
  AND(REGEXMATCH(E1690, ""Ben帳戶|Elsa帳戶|Ben代墊|Ariel代墊|中信銀行共用""), REGEXMATCH(F1690, ""Ben帳戶|Elsa帳戶|Ben代墊|Ariel代墊|中信銀行共用"")), ""內部轉帳(忽略)"",
  AND(E1690&lt;&gt;"""", F1690&lt;&gt;"""", N"&amp;"OT(REGEXMATCH(C1690, ""薪資""))), ""內部轉帳(忽略)"",
  REGEXMATCH(C1690, ""薪資""), ""薪資變動(不計入)"",
  REGEXMATCH(C1690, ""押金""), ""押金往來"",
  AND(E1690&lt;&gt;"""", F1690=""""), ""真實支出"",
  AND(E1690="""", F1690&lt;&gt;""""), ""真實收入"",
  TRUE, ""其他""
)"),"真實支出")</f>
        <v>真實支出</v>
      </c>
      <c r="K1690" s="270">
        <f t="shared" si="2"/>
        <v>-15</v>
      </c>
      <c r="L1690">
        <f t="shared" si="3"/>
        <v>0</v>
      </c>
    </row>
    <row r="1691">
      <c r="A1691" s="107">
        <f>IFERROR(__xludf.DUMMYFUNCTION("""COMPUTED_VALUE"""),45731.0)</f>
        <v>45731</v>
      </c>
      <c r="B1691" t="str">
        <f>IFERROR(__xludf.DUMMYFUNCTION("""COMPUTED_VALUE"""),"[中山北娘家旁] [方彥捷] 大租金")</f>
        <v>[中山北娘家旁] [方彥捷] 大租金</v>
      </c>
      <c r="C1691" t="str">
        <f>IFERROR(__xludf.DUMMYFUNCTION("""COMPUTED_VALUE"""),"成本 - 大租金")</f>
        <v>成本 - 大租金</v>
      </c>
      <c r="D1691" s="270">
        <f>IFERROR(__xludf.DUMMYFUNCTION("""COMPUTED_VALUE"""),-11500.0)</f>
        <v>-11500</v>
      </c>
      <c r="E1691" t="str">
        <f>IFERROR(__xludf.DUMMYFUNCTION("""COMPUTED_VALUE"""),"台銀籌備帳戶")</f>
        <v>台銀籌備帳戶</v>
      </c>
      <c r="G1691" t="str">
        <f>IFERROR(__xludf.DUMMYFUNCTION("""COMPUTED_VALUE"""),"中山北娘家旁")</f>
        <v>中山北娘家旁</v>
      </c>
      <c r="H1691" s="106" t="str">
        <f t="shared" si="1"/>
        <v>2025-03</v>
      </c>
      <c r="I1691" s="271" t="str">
        <f>IFERROR(__xludf.DUMMYFUNCTION("""COMPUTED_VALUE"""),"貓狗企鵝")</f>
        <v>貓狗企鵝</v>
      </c>
      <c r="J1691" t="str">
        <f>IFERROR(__xludf.DUMMYFUNCTION("IFS(
  AND(REGEXMATCH(E1691, ""台銀籌備帳戶|玉山帳戶""), REGEXMATCH(C1691, ""薪資"")), ""分潤支出"",
  AND(REGEXMATCH(E1691, ""Ben帳戶|Elsa帳戶|Ben代墊|Ariel代墊|中信銀行共用""), REGEXMATCH(F1691, ""Ben帳戶|Elsa帳戶|Ben代墊|Ariel代墊|中信銀行共用"")), ""內部轉帳(忽略)"",
  AND(E1691&lt;&gt;"""", F1691&lt;&gt;"""", N"&amp;"OT(REGEXMATCH(C1691, ""薪資""))), ""內部轉帳(忽略)"",
  REGEXMATCH(C1691, ""薪資""), ""薪資變動(不計入)"",
  REGEXMATCH(C1691, ""押金""), ""押金往來"",
  AND(E1691&lt;&gt;"""", F1691=""""), ""真實支出"",
  AND(E1691="""", F1691&lt;&gt;""""), ""真實收入"",
  TRUE, ""其他""
)"),"真實支出")</f>
        <v>真實支出</v>
      </c>
      <c r="K1691" s="270">
        <f t="shared" si="2"/>
        <v>-11500</v>
      </c>
      <c r="L1691">
        <f t="shared" si="3"/>
        <v>0</v>
      </c>
    </row>
    <row r="1692">
      <c r="A1692" s="107">
        <f>IFERROR(__xludf.DUMMYFUNCTION("""COMPUTED_VALUE"""),45733.0)</f>
        <v>45733</v>
      </c>
      <c r="B1692" t="str">
        <f>IFERROR(__xludf.DUMMYFUNCTION("""COMPUTED_VALUE"""),"費用 - 匯費 對方行:807 後五碼:40964 (行號: 28)")</f>
        <v>費用 - 匯費 對方行:807 後五碼:40964 (行號: 28)</v>
      </c>
      <c r="C1692" t="str">
        <f>IFERROR(__xludf.DUMMYFUNCTION("""COMPUTED_VALUE"""),"費用 - 匯費")</f>
        <v>費用 - 匯費</v>
      </c>
      <c r="D1692" s="270">
        <f>IFERROR(__xludf.DUMMYFUNCTION("""COMPUTED_VALUE"""),-15.0)</f>
        <v>-15</v>
      </c>
      <c r="E1692" t="str">
        <f>IFERROR(__xludf.DUMMYFUNCTION("""COMPUTED_VALUE"""),"台銀籌備帳戶")</f>
        <v>台銀籌備帳戶</v>
      </c>
      <c r="H1692" s="106" t="str">
        <f t="shared" si="1"/>
        <v>2025-03</v>
      </c>
      <c r="I1692" s="271" t="str">
        <f>IFERROR(__xludf.DUMMYFUNCTION("""COMPUTED_VALUE"""),"貓狗企鵝")</f>
        <v>貓狗企鵝</v>
      </c>
      <c r="J1692" t="str">
        <f>IFERROR(__xludf.DUMMYFUNCTION("IFS(
  AND(REGEXMATCH(E1692, ""台銀籌備帳戶|玉山帳戶""), REGEXMATCH(C1692, ""薪資"")), ""分潤支出"",
  AND(REGEXMATCH(E1692, ""Ben帳戶|Elsa帳戶|Ben代墊|Ariel代墊|中信銀行共用""), REGEXMATCH(F1692, ""Ben帳戶|Elsa帳戶|Ben代墊|Ariel代墊|中信銀行共用"")), ""內部轉帳(忽略)"",
  AND(E1692&lt;&gt;"""", F1692&lt;&gt;"""", N"&amp;"OT(REGEXMATCH(C1692, ""薪資""))), ""內部轉帳(忽略)"",
  REGEXMATCH(C1692, ""薪資""), ""薪資變動(不計入)"",
  REGEXMATCH(C1692, ""押金""), ""押金往來"",
  AND(E1692&lt;&gt;"""", F1692=""""), ""真實支出"",
  AND(E1692="""", F1692&lt;&gt;""""), ""真實收入"",
  TRUE, ""其他""
)"),"真實支出")</f>
        <v>真實支出</v>
      </c>
      <c r="K1692" s="270">
        <f t="shared" si="2"/>
        <v>-15</v>
      </c>
      <c r="L1692">
        <f t="shared" si="3"/>
        <v>0</v>
      </c>
    </row>
    <row r="1693">
      <c r="A1693" s="107">
        <f>IFERROR(__xludf.DUMMYFUNCTION("""COMPUTED_VALUE"""),45733.0)</f>
        <v>45733</v>
      </c>
      <c r="B1693" t="str">
        <f>IFERROR(__xludf.DUMMYFUNCTION("""COMPUTED_VALUE"""),"新生北窗簾 ' 【未分類支出】")</f>
        <v>新生北窗簾 ' 【未分類支出】</v>
      </c>
      <c r="C1693" t="str">
        <f>IFERROR(__xludf.DUMMYFUNCTION("""COMPUTED_VALUE"""),"成本 - 進場前裝潢費")</f>
        <v>成本 - 進場前裝潢費</v>
      </c>
      <c r="D1693" s="270">
        <f>IFERROR(__xludf.DUMMYFUNCTION("""COMPUTED_VALUE"""),-39900.0)</f>
        <v>-39900</v>
      </c>
      <c r="E1693" t="str">
        <f>IFERROR(__xludf.DUMMYFUNCTION("""COMPUTED_VALUE"""),"台銀籌備帳戶")</f>
        <v>台銀籌備帳戶</v>
      </c>
      <c r="G1693" t="str">
        <f>IFERROR(__xludf.DUMMYFUNCTION("""COMPUTED_VALUE"""),"無法分類")</f>
        <v>無法分類</v>
      </c>
      <c r="H1693" s="106" t="str">
        <f t="shared" si="1"/>
        <v>2025-03</v>
      </c>
      <c r="I1693" s="271" t="str">
        <f>IFERROR(__xludf.DUMMYFUNCTION("""COMPUTED_VALUE"""),"貓狗企鵝")</f>
        <v>貓狗企鵝</v>
      </c>
      <c r="J1693" t="str">
        <f>IFERROR(__xludf.DUMMYFUNCTION("IFS(
  AND(REGEXMATCH(E1693, ""台銀籌備帳戶|玉山帳戶""), REGEXMATCH(C1693, ""薪資"")), ""分潤支出"",
  AND(REGEXMATCH(E1693, ""Ben帳戶|Elsa帳戶|Ben代墊|Ariel代墊|中信銀行共用""), REGEXMATCH(F1693, ""Ben帳戶|Elsa帳戶|Ben代墊|Ariel代墊|中信銀行共用"")), ""內部轉帳(忽略)"",
  AND(E1693&lt;&gt;"""", F1693&lt;&gt;"""", N"&amp;"OT(REGEXMATCH(C1693, ""薪資""))), ""內部轉帳(忽略)"",
  REGEXMATCH(C1693, ""薪資""), ""薪資變動(不計入)"",
  REGEXMATCH(C1693, ""押金""), ""押金往來"",
  AND(E1693&lt;&gt;"""", F1693=""""), ""真實支出"",
  AND(E1693="""", F1693&lt;&gt;""""), ""真實收入"",
  TRUE, ""其他""
)"),"真實支出")</f>
        <v>真實支出</v>
      </c>
      <c r="K1693" s="270">
        <f t="shared" si="2"/>
        <v>-39900</v>
      </c>
      <c r="L1693">
        <f t="shared" si="3"/>
        <v>0</v>
      </c>
    </row>
    <row r="1694">
      <c r="A1694" s="107">
        <f>IFERROR(__xludf.DUMMYFUNCTION("""COMPUTED_VALUE"""),45736.0)</f>
        <v>45736</v>
      </c>
      <c r="B1694" t="str">
        <f>IFERROR(__xludf.DUMMYFUNCTION("""COMPUTED_VALUE"""),"費用 - 匯費 對方行:812 後五碼:20873 (行號: 30)")</f>
        <v>費用 - 匯費 對方行:812 後五碼:20873 (行號: 30)</v>
      </c>
      <c r="C1694" t="str">
        <f>IFERROR(__xludf.DUMMYFUNCTION("""COMPUTED_VALUE"""),"費用 - 匯費")</f>
        <v>費用 - 匯費</v>
      </c>
      <c r="D1694" s="270">
        <f>IFERROR(__xludf.DUMMYFUNCTION("""COMPUTED_VALUE"""),-15.0)</f>
        <v>-15</v>
      </c>
      <c r="E1694" t="str">
        <f>IFERROR(__xludf.DUMMYFUNCTION("""COMPUTED_VALUE"""),"台銀籌備帳戶")</f>
        <v>台銀籌備帳戶</v>
      </c>
      <c r="H1694" s="106" t="str">
        <f t="shared" si="1"/>
        <v>2025-03</v>
      </c>
      <c r="I1694" s="271" t="str">
        <f>IFERROR(__xludf.DUMMYFUNCTION("""COMPUTED_VALUE"""),"貓狗企鵝")</f>
        <v>貓狗企鵝</v>
      </c>
      <c r="J1694" t="str">
        <f>IFERROR(__xludf.DUMMYFUNCTION("IFS(
  AND(REGEXMATCH(E1694, ""台銀籌備帳戶|玉山帳戶""), REGEXMATCH(C1694, ""薪資"")), ""分潤支出"",
  AND(REGEXMATCH(E1694, ""Ben帳戶|Elsa帳戶|Ben代墊|Ariel代墊|中信銀行共用""), REGEXMATCH(F1694, ""Ben帳戶|Elsa帳戶|Ben代墊|Ariel代墊|中信銀行共用"")), ""內部轉帳(忽略)"",
  AND(E1694&lt;&gt;"""", F1694&lt;&gt;"""", N"&amp;"OT(REGEXMATCH(C1694, ""薪資""))), ""內部轉帳(忽略)"",
  REGEXMATCH(C1694, ""薪資""), ""薪資變動(不計入)"",
  REGEXMATCH(C1694, ""押金""), ""押金往來"",
  AND(E1694&lt;&gt;"""", F1694=""""), ""真實支出"",
  AND(E1694="""", F1694&lt;&gt;""""), ""真實收入"",
  TRUE, ""其他""
)"),"真實支出")</f>
        <v>真實支出</v>
      </c>
      <c r="K1694" s="270">
        <f t="shared" si="2"/>
        <v>-15</v>
      </c>
      <c r="L1694">
        <f t="shared" si="3"/>
        <v>0</v>
      </c>
    </row>
    <row r="1695">
      <c r="A1695" s="107">
        <f>IFERROR(__xludf.DUMMYFUNCTION("""COMPUTED_VALUE"""),45736.0)</f>
        <v>45736</v>
      </c>
      <c r="B1695" t="str">
        <f>IFERROR(__xludf.DUMMYFUNCTION("""COMPUTED_VALUE"""),"大湖Evy代購 ' 【未分類支出】")</f>
        <v>大湖Evy代購 ' 【未分類支出】</v>
      </c>
      <c r="C1695" t="str">
        <f>IFERROR(__xludf.DUMMYFUNCTION("""COMPUTED_VALUE"""),"成本 - 租後修繕")</f>
        <v>成本 - 租後修繕</v>
      </c>
      <c r="D1695" s="270">
        <f>IFERROR(__xludf.DUMMYFUNCTION("""COMPUTED_VALUE"""),-1908.0)</f>
        <v>-1908</v>
      </c>
      <c r="E1695" t="str">
        <f>IFERROR(__xludf.DUMMYFUNCTION("""COMPUTED_VALUE"""),"台銀籌備帳戶")</f>
        <v>台銀籌備帳戶</v>
      </c>
      <c r="G1695" t="str">
        <f>IFERROR(__xludf.DUMMYFUNCTION("""COMPUTED_VALUE"""),"大湖山莊")</f>
        <v>大湖山莊</v>
      </c>
      <c r="H1695" s="106" t="str">
        <f t="shared" si="1"/>
        <v>2025-03</v>
      </c>
      <c r="I1695" s="271" t="str">
        <f>IFERROR(__xludf.DUMMYFUNCTION("""COMPUTED_VALUE"""),"貓狗企鵝")</f>
        <v>貓狗企鵝</v>
      </c>
      <c r="J1695" t="str">
        <f>IFERROR(__xludf.DUMMYFUNCTION("IFS(
  AND(REGEXMATCH(E1695, ""台銀籌備帳戶|玉山帳戶""), REGEXMATCH(C1695, ""薪資"")), ""分潤支出"",
  AND(REGEXMATCH(E1695, ""Ben帳戶|Elsa帳戶|Ben代墊|Ariel代墊|中信銀行共用""), REGEXMATCH(F1695, ""Ben帳戶|Elsa帳戶|Ben代墊|Ariel代墊|中信銀行共用"")), ""內部轉帳(忽略)"",
  AND(E1695&lt;&gt;"""", F1695&lt;&gt;"""", N"&amp;"OT(REGEXMATCH(C1695, ""薪資""))), ""內部轉帳(忽略)"",
  REGEXMATCH(C1695, ""薪資""), ""薪資變動(不計入)"",
  REGEXMATCH(C1695, ""押金""), ""押金往來"",
  AND(E1695&lt;&gt;"""", F1695=""""), ""真實支出"",
  AND(E1695="""", F1695&lt;&gt;""""), ""真實收入"",
  TRUE, ""其他""
)"),"真實支出")</f>
        <v>真實支出</v>
      </c>
      <c r="K1695" s="270">
        <f t="shared" si="2"/>
        <v>-1908</v>
      </c>
      <c r="L1695">
        <f t="shared" si="3"/>
        <v>0</v>
      </c>
    </row>
    <row r="1696">
      <c r="A1696" s="107">
        <f>IFERROR(__xludf.DUMMYFUNCTION("""COMPUTED_VALUE"""),45741.0)</f>
        <v>45741</v>
      </c>
      <c r="B1696" t="str">
        <f>IFERROR(__xludf.DUMMYFUNCTION("""COMPUTED_VALUE"""),"費用 - 匯費 對方行:806 後五碼:38687 (行號: 33)")</f>
        <v>費用 - 匯費 對方行:806 後五碼:38687 (行號: 33)</v>
      </c>
      <c r="C1696" t="str">
        <f>IFERROR(__xludf.DUMMYFUNCTION("""COMPUTED_VALUE"""),"費用 - 匯費")</f>
        <v>費用 - 匯費</v>
      </c>
      <c r="D1696" s="270">
        <f>IFERROR(__xludf.DUMMYFUNCTION("""COMPUTED_VALUE"""),-15.0)</f>
        <v>-15</v>
      </c>
      <c r="E1696" t="str">
        <f>IFERROR(__xludf.DUMMYFUNCTION("""COMPUTED_VALUE"""),"台銀籌備帳戶")</f>
        <v>台銀籌備帳戶</v>
      </c>
      <c r="H1696" s="106" t="str">
        <f t="shared" si="1"/>
        <v>2025-03</v>
      </c>
      <c r="I1696" s="271" t="str">
        <f>IFERROR(__xludf.DUMMYFUNCTION("""COMPUTED_VALUE"""),"貓狗企鵝")</f>
        <v>貓狗企鵝</v>
      </c>
      <c r="J1696" t="str">
        <f>IFERROR(__xludf.DUMMYFUNCTION("IFS(
  AND(REGEXMATCH(E1696, ""台銀籌備帳戶|玉山帳戶""), REGEXMATCH(C1696, ""薪資"")), ""分潤支出"",
  AND(REGEXMATCH(E1696, ""Ben帳戶|Elsa帳戶|Ben代墊|Ariel代墊|中信銀行共用""), REGEXMATCH(F1696, ""Ben帳戶|Elsa帳戶|Ben代墊|Ariel代墊|中信銀行共用"")), ""內部轉帳(忽略)"",
  AND(E1696&lt;&gt;"""", F1696&lt;&gt;"""", N"&amp;"OT(REGEXMATCH(C1696, ""薪資""))), ""內部轉帳(忽略)"",
  REGEXMATCH(C1696, ""薪資""), ""薪資變動(不計入)"",
  REGEXMATCH(C1696, ""押金""), ""押金往來"",
  AND(E1696&lt;&gt;"""", F1696=""""), ""真實支出"",
  AND(E1696="""", F1696&lt;&gt;""""), ""真實收入"",
  TRUE, ""其他""
)"),"真實支出")</f>
        <v>真實支出</v>
      </c>
      <c r="K1696" s="270">
        <f t="shared" si="2"/>
        <v>-15</v>
      </c>
      <c r="L1696">
        <f t="shared" si="3"/>
        <v>0</v>
      </c>
    </row>
    <row r="1697">
      <c r="A1697" s="107">
        <f>IFERROR(__xludf.DUMMYFUNCTION("""COMPUTED_VALUE"""),45741.0)</f>
        <v>45741</v>
      </c>
      <c r="B1697" t="str">
        <f>IFERROR(__xludf.DUMMYFUNCTION("""COMPUTED_VALUE"""),"哈拉清潔費 ' 【未分類支出】")</f>
        <v>哈拉清潔費 ' 【未分類支出】</v>
      </c>
      <c r="C1697" t="str">
        <f>IFERROR(__xludf.DUMMYFUNCTION("""COMPUTED_VALUE"""),"成本 - 固定開銷(網路代收清潔)")</f>
        <v>成本 - 固定開銷(網路代收清潔)</v>
      </c>
      <c r="D1697" s="270">
        <f>IFERROR(__xludf.DUMMYFUNCTION("""COMPUTED_VALUE"""),-1500.0)</f>
        <v>-1500</v>
      </c>
      <c r="E1697" t="str">
        <f>IFERROR(__xludf.DUMMYFUNCTION("""COMPUTED_VALUE"""),"台銀籌備帳戶")</f>
        <v>台銀籌備帳戶</v>
      </c>
      <c r="G1697" t="str">
        <f>IFERROR(__xludf.DUMMYFUNCTION("""COMPUTED_VALUE"""),"哈拉對面")</f>
        <v>哈拉對面</v>
      </c>
      <c r="H1697" s="106" t="str">
        <f t="shared" si="1"/>
        <v>2025-03</v>
      </c>
      <c r="I1697" s="271" t="str">
        <f>IFERROR(__xludf.DUMMYFUNCTION("""COMPUTED_VALUE"""),"貓狗企鵝")</f>
        <v>貓狗企鵝</v>
      </c>
      <c r="J1697" t="str">
        <f>IFERROR(__xludf.DUMMYFUNCTION("IFS(
  AND(REGEXMATCH(E1697, ""台銀籌備帳戶|玉山帳戶""), REGEXMATCH(C1697, ""薪資"")), ""分潤支出"",
  AND(REGEXMATCH(E1697, ""Ben帳戶|Elsa帳戶|Ben代墊|Ariel代墊|中信銀行共用""), REGEXMATCH(F1697, ""Ben帳戶|Elsa帳戶|Ben代墊|Ariel代墊|中信銀行共用"")), ""內部轉帳(忽略)"",
  AND(E1697&lt;&gt;"""", F1697&lt;&gt;"""", N"&amp;"OT(REGEXMATCH(C1697, ""薪資""))), ""內部轉帳(忽略)"",
  REGEXMATCH(C1697, ""薪資""), ""薪資變動(不計入)"",
  REGEXMATCH(C1697, ""押金""), ""押金往來"",
  AND(E1697&lt;&gt;"""", F1697=""""), ""真實支出"",
  AND(E1697="""", F1697&lt;&gt;""""), ""真實收入"",
  TRUE, ""其他""
)"),"真實支出")</f>
        <v>真實支出</v>
      </c>
      <c r="K1697" s="270">
        <f t="shared" si="2"/>
        <v>-1500</v>
      </c>
      <c r="L1697">
        <f t="shared" si="3"/>
        <v>0</v>
      </c>
    </row>
    <row r="1698">
      <c r="A1698" s="107">
        <f>IFERROR(__xludf.DUMMYFUNCTION("""COMPUTED_VALUE"""),45742.0)</f>
        <v>45742</v>
      </c>
      <c r="B1698" t="str">
        <f>IFERROR(__xludf.DUMMYFUNCTION("""COMPUTED_VALUE"""),"費用 - 匯費 對方行:013 後五碼:36191 (行號: 36)")</f>
        <v>費用 - 匯費 對方行:013 後五碼:36191 (行號: 36)</v>
      </c>
      <c r="C1698" t="str">
        <f>IFERROR(__xludf.DUMMYFUNCTION("""COMPUTED_VALUE"""),"費用 - 匯費")</f>
        <v>費用 - 匯費</v>
      </c>
      <c r="D1698" s="270">
        <f>IFERROR(__xludf.DUMMYFUNCTION("""COMPUTED_VALUE"""),-15.0)</f>
        <v>-15</v>
      </c>
      <c r="E1698" t="str">
        <f>IFERROR(__xludf.DUMMYFUNCTION("""COMPUTED_VALUE"""),"台銀籌備帳戶")</f>
        <v>台銀籌備帳戶</v>
      </c>
      <c r="H1698" s="106" t="str">
        <f t="shared" si="1"/>
        <v>2025-03</v>
      </c>
      <c r="I1698" s="271" t="str">
        <f>IFERROR(__xludf.DUMMYFUNCTION("""COMPUTED_VALUE"""),"貓狗企鵝")</f>
        <v>貓狗企鵝</v>
      </c>
      <c r="J1698" t="str">
        <f>IFERROR(__xludf.DUMMYFUNCTION("IFS(
  AND(REGEXMATCH(E1698, ""台銀籌備帳戶|玉山帳戶""), REGEXMATCH(C1698, ""薪資"")), ""分潤支出"",
  AND(REGEXMATCH(E1698, ""Ben帳戶|Elsa帳戶|Ben代墊|Ariel代墊|中信銀行共用""), REGEXMATCH(F1698, ""Ben帳戶|Elsa帳戶|Ben代墊|Ariel代墊|中信銀行共用"")), ""內部轉帳(忽略)"",
  AND(E1698&lt;&gt;"""", F1698&lt;&gt;"""", N"&amp;"OT(REGEXMATCH(C1698, ""薪資""))), ""內部轉帳(忽略)"",
  REGEXMATCH(C1698, ""薪資""), ""薪資變動(不計入)"",
  REGEXMATCH(C1698, ""押金""), ""押金往來"",
  AND(E1698&lt;&gt;"""", F1698=""""), ""真實支出"",
  AND(E1698="""", F1698&lt;&gt;""""), ""真實收入"",
  TRUE, ""其他""
)"),"真實支出")</f>
        <v>真實支出</v>
      </c>
      <c r="K1698" s="270">
        <f t="shared" si="2"/>
        <v>-15</v>
      </c>
      <c r="L1698">
        <f t="shared" si="3"/>
        <v>0</v>
      </c>
    </row>
    <row r="1699">
      <c r="A1699" s="107">
        <f>IFERROR(__xludf.DUMMYFUNCTION("""COMPUTED_VALUE"""),45742.0)</f>
        <v>45742</v>
      </c>
      <c r="B1699" t="str">
        <f>IFERROR(__xludf.DUMMYFUNCTION("""COMPUTED_VALUE"""),"永春四號氣密窗 ' 【未分類支出】")</f>
        <v>永春四號氣密窗 ' 【未分類支出】</v>
      </c>
      <c r="C1699" t="str">
        <f>IFERROR(__xludf.DUMMYFUNCTION("""COMPUTED_VALUE"""),"成本 - 租後修繕")</f>
        <v>成本 - 租後修繕</v>
      </c>
      <c r="D1699" s="270">
        <f>IFERROR(__xludf.DUMMYFUNCTION("""COMPUTED_VALUE"""),-9450.0)</f>
        <v>-9450</v>
      </c>
      <c r="E1699" t="str">
        <f>IFERROR(__xludf.DUMMYFUNCTION("""COMPUTED_VALUE"""),"台銀籌備帳戶")</f>
        <v>台銀籌備帳戶</v>
      </c>
      <c r="G1699" t="str">
        <f>IFERROR(__xludf.DUMMYFUNCTION("""COMPUTED_VALUE"""),"永春四號")</f>
        <v>永春四號</v>
      </c>
      <c r="H1699" s="106" t="str">
        <f t="shared" si="1"/>
        <v>2025-03</v>
      </c>
      <c r="I1699" s="271" t="str">
        <f>IFERROR(__xludf.DUMMYFUNCTION("""COMPUTED_VALUE"""),"貓狗企鵝")</f>
        <v>貓狗企鵝</v>
      </c>
      <c r="J1699" t="str">
        <f>IFERROR(__xludf.DUMMYFUNCTION("IFS(
  AND(REGEXMATCH(E1699, ""台銀籌備帳戶|玉山帳戶""), REGEXMATCH(C1699, ""薪資"")), ""分潤支出"",
  AND(REGEXMATCH(E1699, ""Ben帳戶|Elsa帳戶|Ben代墊|Ariel代墊|中信銀行共用""), REGEXMATCH(F1699, ""Ben帳戶|Elsa帳戶|Ben代墊|Ariel代墊|中信銀行共用"")), ""內部轉帳(忽略)"",
  AND(E1699&lt;&gt;"""", F1699&lt;&gt;"""", N"&amp;"OT(REGEXMATCH(C1699, ""薪資""))), ""內部轉帳(忽略)"",
  REGEXMATCH(C1699, ""薪資""), ""薪資變動(不計入)"",
  REGEXMATCH(C1699, ""押金""), ""押金往來"",
  AND(E1699&lt;&gt;"""", F1699=""""), ""真實支出"",
  AND(E1699="""", F1699&lt;&gt;""""), ""真實收入"",
  TRUE, ""其他""
)"),"真實支出")</f>
        <v>真實支出</v>
      </c>
      <c r="K1699" s="270">
        <f t="shared" si="2"/>
        <v>-9450</v>
      </c>
      <c r="L1699">
        <f t="shared" si="3"/>
        <v>0</v>
      </c>
    </row>
    <row r="1700">
      <c r="A1700" s="107">
        <f>IFERROR(__xludf.DUMMYFUNCTION("""COMPUTED_VALUE"""),45742.0)</f>
        <v>45742</v>
      </c>
      <c r="B1700" t="str">
        <f>IFERROR(__xludf.DUMMYFUNCTION("""COMPUTED_VALUE"""),"費用 - 匯費 對方行:822 後五碼:30547 (行號: 37)")</f>
        <v>費用 - 匯費 對方行:822 後五碼:30547 (行號: 37)</v>
      </c>
      <c r="C1700" t="str">
        <f>IFERROR(__xludf.DUMMYFUNCTION("""COMPUTED_VALUE"""),"費用 - 匯費")</f>
        <v>費用 - 匯費</v>
      </c>
      <c r="D1700" s="270">
        <f>IFERROR(__xludf.DUMMYFUNCTION("""COMPUTED_VALUE"""),-15.0)</f>
        <v>-15</v>
      </c>
      <c r="E1700" t="str">
        <f>IFERROR(__xludf.DUMMYFUNCTION("""COMPUTED_VALUE"""),"台銀籌備帳戶")</f>
        <v>台銀籌備帳戶</v>
      </c>
      <c r="H1700" s="106" t="str">
        <f t="shared" si="1"/>
        <v>2025-03</v>
      </c>
      <c r="I1700" s="271" t="str">
        <f>IFERROR(__xludf.DUMMYFUNCTION("""COMPUTED_VALUE"""),"貓狗企鵝")</f>
        <v>貓狗企鵝</v>
      </c>
      <c r="J1700" t="str">
        <f>IFERROR(__xludf.DUMMYFUNCTION("IFS(
  AND(REGEXMATCH(E1700, ""台銀籌備帳戶|玉山帳戶""), REGEXMATCH(C1700, ""薪資"")), ""分潤支出"",
  AND(REGEXMATCH(E1700, ""Ben帳戶|Elsa帳戶|Ben代墊|Ariel代墊|中信銀行共用""), REGEXMATCH(F1700, ""Ben帳戶|Elsa帳戶|Ben代墊|Ariel代墊|中信銀行共用"")), ""內部轉帳(忽略)"",
  AND(E1700&lt;&gt;"""", F1700&lt;&gt;"""", N"&amp;"OT(REGEXMATCH(C1700, ""薪資""))), ""內部轉帳(忽略)"",
  REGEXMATCH(C1700, ""薪資""), ""薪資變動(不計入)"",
  REGEXMATCH(C1700, ""押金""), ""押金往來"",
  AND(E1700&lt;&gt;"""", F1700=""""), ""真實支出"",
  AND(E1700="""", F1700&lt;&gt;""""), ""真實收入"",
  TRUE, ""其他""
)"),"真實支出")</f>
        <v>真實支出</v>
      </c>
      <c r="K1700" s="270">
        <f t="shared" si="2"/>
        <v>-15</v>
      </c>
      <c r="L1700">
        <f t="shared" si="3"/>
        <v>0</v>
      </c>
    </row>
    <row r="1701">
      <c r="A1701" s="107">
        <f>IFERROR(__xludf.DUMMYFUNCTION("""COMPUTED_VALUE"""),45742.0)</f>
        <v>45742</v>
      </c>
      <c r="B1701" t="str">
        <f>IFERROR(__xludf.DUMMYFUNCTION("""COMPUTED_VALUE"""),"新生北火雞工費 ' 【未分類支出】")</f>
        <v>新生北火雞工費 ' 【未分類支出】</v>
      </c>
      <c r="C1701" t="str">
        <f>IFERROR(__xludf.DUMMYFUNCTION("""COMPUTED_VALUE"""),"成本 - 進場前裝潢費")</f>
        <v>成本 - 進場前裝潢費</v>
      </c>
      <c r="D1701" s="270">
        <f>IFERROR(__xludf.DUMMYFUNCTION("""COMPUTED_VALUE"""),-3200.0)</f>
        <v>-3200</v>
      </c>
      <c r="E1701" t="str">
        <f>IFERROR(__xludf.DUMMYFUNCTION("""COMPUTED_VALUE"""),"台銀籌備帳戶")</f>
        <v>台銀籌備帳戶</v>
      </c>
      <c r="G1701" t="str">
        <f>IFERROR(__xludf.DUMMYFUNCTION("""COMPUTED_VALUE"""),"無法分類")</f>
        <v>無法分類</v>
      </c>
      <c r="H1701" s="106" t="str">
        <f t="shared" si="1"/>
        <v>2025-03</v>
      </c>
      <c r="I1701" s="271" t="str">
        <f>IFERROR(__xludf.DUMMYFUNCTION("""COMPUTED_VALUE"""),"貓狗企鵝")</f>
        <v>貓狗企鵝</v>
      </c>
      <c r="J1701" t="str">
        <f>IFERROR(__xludf.DUMMYFUNCTION("IFS(
  AND(REGEXMATCH(E1701, ""台銀籌備帳戶|玉山帳戶""), REGEXMATCH(C1701, ""薪資"")), ""分潤支出"",
  AND(REGEXMATCH(E1701, ""Ben帳戶|Elsa帳戶|Ben代墊|Ariel代墊|中信銀行共用""), REGEXMATCH(F1701, ""Ben帳戶|Elsa帳戶|Ben代墊|Ariel代墊|中信銀行共用"")), ""內部轉帳(忽略)"",
  AND(E1701&lt;&gt;"""", F1701&lt;&gt;"""", N"&amp;"OT(REGEXMATCH(C1701, ""薪資""))), ""內部轉帳(忽略)"",
  REGEXMATCH(C1701, ""薪資""), ""薪資變動(不計入)"",
  REGEXMATCH(C1701, ""押金""), ""押金往來"",
  AND(E1701&lt;&gt;"""", F1701=""""), ""真實支出"",
  AND(E1701="""", F1701&lt;&gt;""""), ""真實收入"",
  TRUE, ""其他""
)"),"真實支出")</f>
        <v>真實支出</v>
      </c>
      <c r="K1701" s="270">
        <f t="shared" si="2"/>
        <v>-3200</v>
      </c>
      <c r="L1701">
        <f t="shared" si="3"/>
        <v>0</v>
      </c>
    </row>
    <row r="1702">
      <c r="A1702" s="107">
        <f>IFERROR(__xludf.DUMMYFUNCTION("""COMPUTED_VALUE"""),45742.0)</f>
        <v>45742</v>
      </c>
      <c r="B1702" t="str">
        <f>IFERROR(__xludf.DUMMYFUNCTION("""COMPUTED_VALUE"""),"費用 - 匯費 對方行:812 後五碼:86639 (行號: 38)")</f>
        <v>費用 - 匯費 對方行:812 後五碼:86639 (行號: 38)</v>
      </c>
      <c r="C1702" t="str">
        <f>IFERROR(__xludf.DUMMYFUNCTION("""COMPUTED_VALUE"""),"費用 - 匯費")</f>
        <v>費用 - 匯費</v>
      </c>
      <c r="D1702" s="270">
        <f>IFERROR(__xludf.DUMMYFUNCTION("""COMPUTED_VALUE"""),-15.0)</f>
        <v>-15</v>
      </c>
      <c r="E1702" t="str">
        <f>IFERROR(__xludf.DUMMYFUNCTION("""COMPUTED_VALUE"""),"台銀籌備帳戶")</f>
        <v>台銀籌備帳戶</v>
      </c>
      <c r="H1702" s="106" t="str">
        <f t="shared" si="1"/>
        <v>2025-03</v>
      </c>
      <c r="I1702" s="271" t="str">
        <f>IFERROR(__xludf.DUMMYFUNCTION("""COMPUTED_VALUE"""),"貓狗企鵝")</f>
        <v>貓狗企鵝</v>
      </c>
      <c r="J1702" t="str">
        <f>IFERROR(__xludf.DUMMYFUNCTION("IFS(
  AND(REGEXMATCH(E1702, ""台銀籌備帳戶|玉山帳戶""), REGEXMATCH(C1702, ""薪資"")), ""分潤支出"",
  AND(REGEXMATCH(E1702, ""Ben帳戶|Elsa帳戶|Ben代墊|Ariel代墊|中信銀行共用""), REGEXMATCH(F1702, ""Ben帳戶|Elsa帳戶|Ben代墊|Ariel代墊|中信銀行共用"")), ""內部轉帳(忽略)"",
  AND(E1702&lt;&gt;"""", F1702&lt;&gt;"""", N"&amp;"OT(REGEXMATCH(C1702, ""薪資""))), ""內部轉帳(忽略)"",
  REGEXMATCH(C1702, ""薪資""), ""薪資變動(不計入)"",
  REGEXMATCH(C1702, ""押金""), ""押金往來"",
  AND(E1702&lt;&gt;"""", F1702=""""), ""真實支出"",
  AND(E1702="""", F1702&lt;&gt;""""), ""真實收入"",
  TRUE, ""其他""
)"),"真實支出")</f>
        <v>真實支出</v>
      </c>
      <c r="K1702" s="270">
        <f t="shared" si="2"/>
        <v>-15</v>
      </c>
      <c r="L1702">
        <f t="shared" si="3"/>
        <v>0</v>
      </c>
    </row>
    <row r="1703">
      <c r="A1703" s="107">
        <f>IFERROR(__xludf.DUMMYFUNCTION("""COMPUTED_VALUE"""),45742.0)</f>
        <v>45742</v>
      </c>
      <c r="B1703" t="str">
        <f>IFERROR(__xludf.DUMMYFUNCTION("""COMPUTED_VALUE"""),"螢光水電 三筆需拆帳 ' 【未分類支出】")</f>
        <v>螢光水電 三筆需拆帳 ' 【未分類支出】</v>
      </c>
      <c r="D1703" s="270">
        <f>IFERROR(__xludf.DUMMYFUNCTION("""COMPUTED_VALUE"""),-5775.0)</f>
        <v>-5775</v>
      </c>
      <c r="E1703" t="str">
        <f>IFERROR(__xludf.DUMMYFUNCTION("""COMPUTED_VALUE"""),"台銀籌備帳戶")</f>
        <v>台銀籌備帳戶</v>
      </c>
      <c r="H1703" s="106" t="str">
        <f t="shared" si="1"/>
        <v>2025-03</v>
      </c>
      <c r="I1703" s="271" t="str">
        <f>IFERROR(__xludf.DUMMYFUNCTION("""COMPUTED_VALUE"""),"貓狗企鵝")</f>
        <v>貓狗企鵝</v>
      </c>
      <c r="J1703" t="str">
        <f>IFERROR(__xludf.DUMMYFUNCTION("IFS(
  AND(REGEXMATCH(E1703, ""台銀籌備帳戶|玉山帳戶""), REGEXMATCH(C1703, ""薪資"")), ""分潤支出"",
  AND(REGEXMATCH(E1703, ""Ben帳戶|Elsa帳戶|Ben代墊|Ariel代墊|中信銀行共用""), REGEXMATCH(F1703, ""Ben帳戶|Elsa帳戶|Ben代墊|Ariel代墊|中信銀行共用"")), ""內部轉帳(忽略)"",
  AND(E1703&lt;&gt;"""", F1703&lt;&gt;"""", N"&amp;"OT(REGEXMATCH(C1703, ""薪資""))), ""內部轉帳(忽略)"",
  REGEXMATCH(C1703, ""薪資""), ""薪資變動(不計入)"",
  REGEXMATCH(C1703, ""押金""), ""押金往來"",
  AND(E1703&lt;&gt;"""", F1703=""""), ""真實支出"",
  AND(E1703="""", F1703&lt;&gt;""""), ""真實收入"",
  TRUE, ""其他""
)"),"真實支出")</f>
        <v>真實支出</v>
      </c>
      <c r="K1703" s="270">
        <f t="shared" si="2"/>
        <v>-5775</v>
      </c>
      <c r="L1703">
        <f t="shared" si="3"/>
        <v>0</v>
      </c>
    </row>
    <row r="1704">
      <c r="A1704" s="107">
        <f>IFERROR(__xludf.DUMMYFUNCTION("""COMPUTED_VALUE"""),45742.0)</f>
        <v>45742</v>
      </c>
      <c r="B1704" t="str">
        <f>IFERROR(__xludf.DUMMYFUNCTION("""COMPUTED_VALUE"""),"費用 - 匯費 對方行:007 後五碼:02618 (行號: 39)")</f>
        <v>費用 - 匯費 對方行:007 後五碼:02618 (行號: 39)</v>
      </c>
      <c r="C1704" t="str">
        <f>IFERROR(__xludf.DUMMYFUNCTION("""COMPUTED_VALUE"""),"費用 - 匯費")</f>
        <v>費用 - 匯費</v>
      </c>
      <c r="D1704" s="270">
        <f>IFERROR(__xludf.DUMMYFUNCTION("""COMPUTED_VALUE"""),-15.0)</f>
        <v>-15</v>
      </c>
      <c r="E1704" t="str">
        <f>IFERROR(__xludf.DUMMYFUNCTION("""COMPUTED_VALUE"""),"台銀籌備帳戶")</f>
        <v>台銀籌備帳戶</v>
      </c>
      <c r="H1704" s="106" t="str">
        <f t="shared" si="1"/>
        <v>2025-03</v>
      </c>
      <c r="I1704" s="271" t="str">
        <f>IFERROR(__xludf.DUMMYFUNCTION("""COMPUTED_VALUE"""),"貓狗企鵝")</f>
        <v>貓狗企鵝</v>
      </c>
      <c r="J1704" t="str">
        <f>IFERROR(__xludf.DUMMYFUNCTION("IFS(
  AND(REGEXMATCH(E1704, ""台銀籌備帳戶|玉山帳戶""), REGEXMATCH(C1704, ""薪資"")), ""分潤支出"",
  AND(REGEXMATCH(E1704, ""Ben帳戶|Elsa帳戶|Ben代墊|Ariel代墊|中信銀行共用""), REGEXMATCH(F1704, ""Ben帳戶|Elsa帳戶|Ben代墊|Ariel代墊|中信銀行共用"")), ""內部轉帳(忽略)"",
  AND(E1704&lt;&gt;"""", F1704&lt;&gt;"""", N"&amp;"OT(REGEXMATCH(C1704, ""薪資""))), ""內部轉帳(忽略)"",
  REGEXMATCH(C1704, ""薪資""), ""薪資變動(不計入)"",
  REGEXMATCH(C1704, ""押金""), ""押金往來"",
  AND(E1704&lt;&gt;"""", F1704=""""), ""真實支出"",
  AND(E1704="""", F1704&lt;&gt;""""), ""真實收入"",
  TRUE, ""其他""
)"),"真實支出")</f>
        <v>真實支出</v>
      </c>
      <c r="K1704" s="270">
        <f t="shared" si="2"/>
        <v>-15</v>
      </c>
      <c r="L1704">
        <f t="shared" si="3"/>
        <v>0</v>
      </c>
    </row>
    <row r="1705">
      <c r="A1705" s="107">
        <f>IFERROR(__xludf.DUMMYFUNCTION("""COMPUTED_VALUE"""),45742.0)</f>
        <v>45742</v>
      </c>
      <c r="B1705" t="str">
        <f>IFERROR(__xludf.DUMMYFUNCTION("""COMPUTED_VALUE"""),"新生北地板忠哥 ' 【未分類支出】")</f>
        <v>新生北地板忠哥 ' 【未分類支出】</v>
      </c>
      <c r="C1705" t="str">
        <f>IFERROR(__xludf.DUMMYFUNCTION("""COMPUTED_VALUE"""),"成本 - 進場前裝潢費")</f>
        <v>成本 - 進場前裝潢費</v>
      </c>
      <c r="D1705" s="270">
        <f>IFERROR(__xludf.DUMMYFUNCTION("""COMPUTED_VALUE"""),-35280.0)</f>
        <v>-35280</v>
      </c>
      <c r="E1705" t="str">
        <f>IFERROR(__xludf.DUMMYFUNCTION("""COMPUTED_VALUE"""),"台銀籌備帳戶")</f>
        <v>台銀籌備帳戶</v>
      </c>
      <c r="G1705" t="str">
        <f>IFERROR(__xludf.DUMMYFUNCTION("""COMPUTED_VALUE"""),"無法分類")</f>
        <v>無法分類</v>
      </c>
      <c r="H1705" s="106" t="str">
        <f t="shared" si="1"/>
        <v>2025-03</v>
      </c>
      <c r="I1705" s="271" t="str">
        <f>IFERROR(__xludf.DUMMYFUNCTION("""COMPUTED_VALUE"""),"貓狗企鵝")</f>
        <v>貓狗企鵝</v>
      </c>
      <c r="J1705" t="str">
        <f>IFERROR(__xludf.DUMMYFUNCTION("IFS(
  AND(REGEXMATCH(E1705, ""台銀籌備帳戶|玉山帳戶""), REGEXMATCH(C1705, ""薪資"")), ""分潤支出"",
  AND(REGEXMATCH(E1705, ""Ben帳戶|Elsa帳戶|Ben代墊|Ariel代墊|中信銀行共用""), REGEXMATCH(F1705, ""Ben帳戶|Elsa帳戶|Ben代墊|Ariel代墊|中信銀行共用"")), ""內部轉帳(忽略)"",
  AND(E1705&lt;&gt;"""", F1705&lt;&gt;"""", N"&amp;"OT(REGEXMATCH(C1705, ""薪資""))), ""內部轉帳(忽略)"",
  REGEXMATCH(C1705, ""薪資""), ""薪資變動(不計入)"",
  REGEXMATCH(C1705, ""押金""), ""押金往來"",
  AND(E1705&lt;&gt;"""", F1705=""""), ""真實支出"",
  AND(E1705="""", F1705&lt;&gt;""""), ""真實收入"",
  TRUE, ""其他""
)"),"真實支出")</f>
        <v>真實支出</v>
      </c>
      <c r="K1705" s="270">
        <f t="shared" si="2"/>
        <v>-35280</v>
      </c>
      <c r="L1705">
        <f t="shared" si="3"/>
        <v>0</v>
      </c>
    </row>
    <row r="1706">
      <c r="A1706" s="107">
        <f>IFERROR(__xludf.DUMMYFUNCTION("""COMPUTED_VALUE"""),45742.0)</f>
        <v>45742</v>
      </c>
      <c r="B1706" t="str">
        <f>IFERROR(__xludf.DUMMYFUNCTION("""COMPUTED_VALUE"""),"費用 - 匯費 對方行:812 後五碼:86639 (行號: 40)")</f>
        <v>費用 - 匯費 對方行:812 後五碼:86639 (行號: 40)</v>
      </c>
      <c r="C1706" t="str">
        <f>IFERROR(__xludf.DUMMYFUNCTION("""COMPUTED_VALUE"""),"費用 - 匯費")</f>
        <v>費用 - 匯費</v>
      </c>
      <c r="D1706" s="270">
        <f>IFERROR(__xludf.DUMMYFUNCTION("""COMPUTED_VALUE"""),-15.0)</f>
        <v>-15</v>
      </c>
      <c r="E1706" t="str">
        <f>IFERROR(__xludf.DUMMYFUNCTION("""COMPUTED_VALUE"""),"台銀籌備帳戶")</f>
        <v>台銀籌備帳戶</v>
      </c>
      <c r="H1706" s="106" t="str">
        <f t="shared" si="1"/>
        <v>2025-03</v>
      </c>
      <c r="I1706" s="271" t="str">
        <f>IFERROR(__xludf.DUMMYFUNCTION("""COMPUTED_VALUE"""),"貓狗企鵝")</f>
        <v>貓狗企鵝</v>
      </c>
      <c r="J1706" t="str">
        <f>IFERROR(__xludf.DUMMYFUNCTION("IFS(
  AND(REGEXMATCH(E1706, ""台銀籌備帳戶|玉山帳戶""), REGEXMATCH(C1706, ""薪資"")), ""分潤支出"",
  AND(REGEXMATCH(E1706, ""Ben帳戶|Elsa帳戶|Ben代墊|Ariel代墊|中信銀行共用""), REGEXMATCH(F1706, ""Ben帳戶|Elsa帳戶|Ben代墊|Ariel代墊|中信銀行共用"")), ""內部轉帳(忽略)"",
  AND(E1706&lt;&gt;"""", F1706&lt;&gt;"""", N"&amp;"OT(REGEXMATCH(C1706, ""薪資""))), ""內部轉帳(忽略)"",
  REGEXMATCH(C1706, ""薪資""), ""薪資變動(不計入)"",
  REGEXMATCH(C1706, ""押金""), ""押金往來"",
  AND(E1706&lt;&gt;"""", F1706=""""), ""真實支出"",
  AND(E1706="""", F1706&lt;&gt;""""), ""真實收入"",
  TRUE, ""其他""
)"),"真實支出")</f>
        <v>真實支出</v>
      </c>
      <c r="K1706" s="270">
        <f t="shared" si="2"/>
        <v>-15</v>
      </c>
      <c r="L1706">
        <f t="shared" si="3"/>
        <v>0</v>
      </c>
    </row>
    <row r="1707">
      <c r="A1707" s="107">
        <f>IFERROR(__xludf.DUMMYFUNCTION("""COMPUTED_VALUE"""),45742.0)</f>
        <v>45742</v>
      </c>
      <c r="B1707" t="str">
        <f>IFERROR(__xludf.DUMMYFUNCTION("""COMPUTED_VALUE"""),"新生北螢光水電 ' 【未分類支出】")</f>
        <v>新生北螢光水電 ' 【未分類支出】</v>
      </c>
      <c r="C1707" t="str">
        <f>IFERROR(__xludf.DUMMYFUNCTION("""COMPUTED_VALUE"""),"成本 - 進場前裝潢費")</f>
        <v>成本 - 進場前裝潢費</v>
      </c>
      <c r="D1707" s="270">
        <f>IFERROR(__xludf.DUMMYFUNCTION("""COMPUTED_VALUE"""),-214778.0)</f>
        <v>-214778</v>
      </c>
      <c r="E1707" t="str">
        <f>IFERROR(__xludf.DUMMYFUNCTION("""COMPUTED_VALUE"""),"台銀籌備帳戶")</f>
        <v>台銀籌備帳戶</v>
      </c>
      <c r="G1707" t="str">
        <f>IFERROR(__xludf.DUMMYFUNCTION("""COMPUTED_VALUE"""),"無法分類")</f>
        <v>無法分類</v>
      </c>
      <c r="H1707" s="106" t="str">
        <f t="shared" si="1"/>
        <v>2025-03</v>
      </c>
      <c r="I1707" s="271" t="str">
        <f>IFERROR(__xludf.DUMMYFUNCTION("""COMPUTED_VALUE"""),"貓狗企鵝")</f>
        <v>貓狗企鵝</v>
      </c>
      <c r="J1707" t="str">
        <f>IFERROR(__xludf.DUMMYFUNCTION("IFS(
  AND(REGEXMATCH(E1707, ""台銀籌備帳戶|玉山帳戶""), REGEXMATCH(C1707, ""薪資"")), ""分潤支出"",
  AND(REGEXMATCH(E1707, ""Ben帳戶|Elsa帳戶|Ben代墊|Ariel代墊|中信銀行共用""), REGEXMATCH(F1707, ""Ben帳戶|Elsa帳戶|Ben代墊|Ariel代墊|中信銀行共用"")), ""內部轉帳(忽略)"",
  AND(E1707&lt;&gt;"""", F1707&lt;&gt;"""", N"&amp;"OT(REGEXMATCH(C1707, ""薪資""))), ""內部轉帳(忽略)"",
  REGEXMATCH(C1707, ""薪資""), ""薪資變動(不計入)"",
  REGEXMATCH(C1707, ""押金""), ""押金往來"",
  AND(E1707&lt;&gt;"""", F1707=""""), ""真實支出"",
  AND(E1707="""", F1707&lt;&gt;""""), ""真實收入"",
  TRUE, ""其他""
)"),"真實支出")</f>
        <v>真實支出</v>
      </c>
      <c r="K1707" s="270">
        <f t="shared" si="2"/>
        <v>-214778</v>
      </c>
      <c r="L1707">
        <f t="shared" si="3"/>
        <v>0</v>
      </c>
    </row>
    <row r="1708">
      <c r="A1708" s="107">
        <f>IFERROR(__xludf.DUMMYFUNCTION("""COMPUTED_VALUE"""),45742.0)</f>
        <v>45742</v>
      </c>
      <c r="B1708" t="str">
        <f>IFERROR(__xludf.DUMMYFUNCTION("""COMPUTED_VALUE"""),"費用 - 匯費 對方行:011 後五碼:70443 (行號: 41)")</f>
        <v>費用 - 匯費 對方行:011 後五碼:70443 (行號: 41)</v>
      </c>
      <c r="C1708" t="str">
        <f>IFERROR(__xludf.DUMMYFUNCTION("""COMPUTED_VALUE"""),"費用 - 匯費")</f>
        <v>費用 - 匯費</v>
      </c>
      <c r="D1708" s="270">
        <f>IFERROR(__xludf.DUMMYFUNCTION("""COMPUTED_VALUE"""),-15.0)</f>
        <v>-15</v>
      </c>
      <c r="E1708" t="str">
        <f>IFERROR(__xludf.DUMMYFUNCTION("""COMPUTED_VALUE"""),"台銀籌備帳戶")</f>
        <v>台銀籌備帳戶</v>
      </c>
      <c r="H1708" s="106" t="str">
        <f t="shared" si="1"/>
        <v>2025-03</v>
      </c>
      <c r="I1708" s="271" t="str">
        <f>IFERROR(__xludf.DUMMYFUNCTION("""COMPUTED_VALUE"""),"貓狗企鵝")</f>
        <v>貓狗企鵝</v>
      </c>
      <c r="J1708" t="str">
        <f>IFERROR(__xludf.DUMMYFUNCTION("IFS(
  AND(REGEXMATCH(E1708, ""台銀籌備帳戶|玉山帳戶""), REGEXMATCH(C1708, ""薪資"")), ""分潤支出"",
  AND(REGEXMATCH(E1708, ""Ben帳戶|Elsa帳戶|Ben代墊|Ariel代墊|中信銀行共用""), REGEXMATCH(F1708, ""Ben帳戶|Elsa帳戶|Ben代墊|Ariel代墊|中信銀行共用"")), ""內部轉帳(忽略)"",
  AND(E1708&lt;&gt;"""", F1708&lt;&gt;"""", N"&amp;"OT(REGEXMATCH(C1708, ""薪資""))), ""內部轉帳(忽略)"",
  REGEXMATCH(C1708, ""薪資""), ""薪資變動(不計入)"",
  REGEXMATCH(C1708, ""押金""), ""押金往來"",
  AND(E1708&lt;&gt;"""", F1708=""""), ""真實支出"",
  AND(E1708="""", F1708&lt;&gt;""""), ""真實收入"",
  TRUE, ""其他""
)"),"真實支出")</f>
        <v>真實支出</v>
      </c>
      <c r="K1708" s="270">
        <f t="shared" si="2"/>
        <v>-15</v>
      </c>
      <c r="L1708">
        <f t="shared" si="3"/>
        <v>0</v>
      </c>
    </row>
    <row r="1709">
      <c r="A1709" s="107">
        <f>IFERROR(__xludf.DUMMYFUNCTION("""COMPUTED_VALUE"""),45742.0)</f>
        <v>45742</v>
      </c>
      <c r="B1709" t="str">
        <f>IFERROR(__xludf.DUMMYFUNCTION("""COMPUTED_VALUE"""),"新生北弟弟企鵝 ' 【未分類支出】")</f>
        <v>新生北弟弟企鵝 ' 【未分類支出】</v>
      </c>
      <c r="C1709" t="str">
        <f>IFERROR(__xludf.DUMMYFUNCTION("""COMPUTED_VALUE"""),"成本 - 進場前裝潢費")</f>
        <v>成本 - 進場前裝潢費</v>
      </c>
      <c r="D1709" s="270">
        <f>IFERROR(__xludf.DUMMYFUNCTION("""COMPUTED_VALUE"""),-5830.0)</f>
        <v>-5830</v>
      </c>
      <c r="E1709" t="str">
        <f>IFERROR(__xludf.DUMMYFUNCTION("""COMPUTED_VALUE"""),"台銀籌備帳戶")</f>
        <v>台銀籌備帳戶</v>
      </c>
      <c r="G1709" t="str">
        <f>IFERROR(__xludf.DUMMYFUNCTION("""COMPUTED_VALUE"""),"無法分類")</f>
        <v>無法分類</v>
      </c>
      <c r="H1709" s="106" t="str">
        <f t="shared" si="1"/>
        <v>2025-03</v>
      </c>
      <c r="I1709" s="271" t="str">
        <f>IFERROR(__xludf.DUMMYFUNCTION("""COMPUTED_VALUE"""),"貓狗企鵝")</f>
        <v>貓狗企鵝</v>
      </c>
      <c r="J1709" t="str">
        <f>IFERROR(__xludf.DUMMYFUNCTION("IFS(
  AND(REGEXMATCH(E1709, ""台銀籌備帳戶|玉山帳戶""), REGEXMATCH(C1709, ""薪資"")), ""分潤支出"",
  AND(REGEXMATCH(E1709, ""Ben帳戶|Elsa帳戶|Ben代墊|Ariel代墊|中信銀行共用""), REGEXMATCH(F1709, ""Ben帳戶|Elsa帳戶|Ben代墊|Ariel代墊|中信銀行共用"")), ""內部轉帳(忽略)"",
  AND(E1709&lt;&gt;"""", F1709&lt;&gt;"""", N"&amp;"OT(REGEXMATCH(C1709, ""薪資""))), ""內部轉帳(忽略)"",
  REGEXMATCH(C1709, ""薪資""), ""薪資變動(不計入)"",
  REGEXMATCH(C1709, ""押金""), ""押金往來"",
  AND(E1709&lt;&gt;"""", F1709=""""), ""真實支出"",
  AND(E1709="""", F1709&lt;&gt;""""), ""真實收入"",
  TRUE, ""其他""
)"),"真實支出")</f>
        <v>真實支出</v>
      </c>
      <c r="K1709" s="270">
        <f t="shared" si="2"/>
        <v>-5830</v>
      </c>
      <c r="L1709">
        <f t="shared" si="3"/>
        <v>0</v>
      </c>
    </row>
    <row r="1710">
      <c r="A1710" s="107">
        <f>IFERROR(__xludf.DUMMYFUNCTION("""COMPUTED_VALUE"""),45748.0)</f>
        <v>45748</v>
      </c>
      <c r="B1710" t="str">
        <f>IFERROR(__xludf.DUMMYFUNCTION("""COMPUTED_VALUE"""),"[南港站挑高宅] [林淑華] 大租金")</f>
        <v>[南港站挑高宅] [林淑華] 大租金</v>
      </c>
      <c r="C1710" t="str">
        <f>IFERROR(__xludf.DUMMYFUNCTION("""COMPUTED_VALUE"""),"成本 - 大租金")</f>
        <v>成本 - 大租金</v>
      </c>
      <c r="D1710" s="270">
        <f>IFERROR(__xludf.DUMMYFUNCTION("""COMPUTED_VALUE"""),-18250.0)</f>
        <v>-18250</v>
      </c>
      <c r="E1710" t="str">
        <f>IFERROR(__xludf.DUMMYFUNCTION("""COMPUTED_VALUE"""),"台銀籌備帳戶")</f>
        <v>台銀籌備帳戶</v>
      </c>
      <c r="G1710" t="str">
        <f>IFERROR(__xludf.DUMMYFUNCTION("""COMPUTED_VALUE"""),"南港站挑高宅")</f>
        <v>南港站挑高宅</v>
      </c>
      <c r="H1710" s="106" t="str">
        <f t="shared" si="1"/>
        <v>2025-04</v>
      </c>
      <c r="I1710" s="271" t="str">
        <f>IFERROR(__xludf.DUMMYFUNCTION("""COMPUTED_VALUE"""),"貓狗企鵝")</f>
        <v>貓狗企鵝</v>
      </c>
      <c r="J1710" t="str">
        <f>IFERROR(__xludf.DUMMYFUNCTION("IFS(
  AND(REGEXMATCH(E1710, ""台銀籌備帳戶|玉山帳戶""), REGEXMATCH(C1710, ""薪資"")), ""分潤支出"",
  AND(REGEXMATCH(E1710, ""Ben帳戶|Elsa帳戶|Ben代墊|Ariel代墊|中信銀行共用""), REGEXMATCH(F1710, ""Ben帳戶|Elsa帳戶|Ben代墊|Ariel代墊|中信銀行共用"")), ""內部轉帳(忽略)"",
  AND(E1710&lt;&gt;"""", F1710&lt;&gt;"""", N"&amp;"OT(REGEXMATCH(C1710, ""薪資""))), ""內部轉帳(忽略)"",
  REGEXMATCH(C1710, ""薪資""), ""薪資變動(不計入)"",
  REGEXMATCH(C1710, ""押金""), ""押金往來"",
  AND(E1710&lt;&gt;"""", F1710=""""), ""真實支出"",
  AND(E1710="""", F1710&lt;&gt;""""), ""真實收入"",
  TRUE, ""其他""
)"),"真實支出")</f>
        <v>真實支出</v>
      </c>
      <c r="K1710" s="270">
        <f t="shared" si="2"/>
        <v>-18250</v>
      </c>
      <c r="L1710">
        <f t="shared" si="3"/>
        <v>0</v>
      </c>
    </row>
    <row r="1711">
      <c r="A1711" s="107">
        <f>IFERROR(__xludf.DUMMYFUNCTION("""COMPUTED_VALUE"""),45748.0)</f>
        <v>45748</v>
      </c>
      <c r="B1711" t="str">
        <f>IFERROR(__xludf.DUMMYFUNCTION("""COMPUTED_VALUE"""),"費用 - 匯費 對方行:012 後五碼:84509 (行號: 55)")</f>
        <v>費用 - 匯費 對方行:012 後五碼:84509 (行號: 55)</v>
      </c>
      <c r="C1711" t="str">
        <f>IFERROR(__xludf.DUMMYFUNCTION("""COMPUTED_VALUE"""),"費用 - 匯費")</f>
        <v>費用 - 匯費</v>
      </c>
      <c r="D1711" s="270">
        <f>IFERROR(__xludf.DUMMYFUNCTION("""COMPUTED_VALUE"""),-15.0)</f>
        <v>-15</v>
      </c>
      <c r="E1711" t="str">
        <f>IFERROR(__xludf.DUMMYFUNCTION("""COMPUTED_VALUE"""),"台銀籌備帳戶")</f>
        <v>台銀籌備帳戶</v>
      </c>
      <c r="H1711" s="106" t="str">
        <f t="shared" si="1"/>
        <v>2025-04</v>
      </c>
      <c r="I1711" s="271" t="str">
        <f>IFERROR(__xludf.DUMMYFUNCTION("""COMPUTED_VALUE"""),"貓狗企鵝")</f>
        <v>貓狗企鵝</v>
      </c>
      <c r="J1711" t="str">
        <f>IFERROR(__xludf.DUMMYFUNCTION("IFS(
  AND(REGEXMATCH(E1711, ""台銀籌備帳戶|玉山帳戶""), REGEXMATCH(C1711, ""薪資"")), ""分潤支出"",
  AND(REGEXMATCH(E1711, ""Ben帳戶|Elsa帳戶|Ben代墊|Ariel代墊|中信銀行共用""), REGEXMATCH(F1711, ""Ben帳戶|Elsa帳戶|Ben代墊|Ariel代墊|中信銀行共用"")), ""內部轉帳(忽略)"",
  AND(E1711&lt;&gt;"""", F1711&lt;&gt;"""", N"&amp;"OT(REGEXMATCH(C1711, ""薪資""))), ""內部轉帳(忽略)"",
  REGEXMATCH(C1711, ""薪資""), ""薪資變動(不計入)"",
  REGEXMATCH(C1711, ""押金""), ""押金往來"",
  AND(E1711&lt;&gt;"""", F1711=""""), ""真實支出"",
  AND(E1711="""", F1711&lt;&gt;""""), ""真實收入"",
  TRUE, ""其他""
)"),"真實支出")</f>
        <v>真實支出</v>
      </c>
      <c r="K1711" s="270">
        <f t="shared" si="2"/>
        <v>-15</v>
      </c>
      <c r="L1711">
        <f t="shared" si="3"/>
        <v>0</v>
      </c>
    </row>
    <row r="1712">
      <c r="A1712" s="107">
        <f>IFERROR(__xludf.DUMMYFUNCTION("""COMPUTED_VALUE"""),45748.0)</f>
        <v>45748</v>
      </c>
      <c r="B1712" t="str">
        <f>IFERROR(__xludf.DUMMYFUNCTION("""COMPUTED_VALUE"""),"[永春四號] [郭宗仁] 大租金")</f>
        <v>[永春四號] [郭宗仁] 大租金</v>
      </c>
      <c r="C1712" t="str">
        <f>IFERROR(__xludf.DUMMYFUNCTION("""COMPUTED_VALUE"""),"成本 - 大租金")</f>
        <v>成本 - 大租金</v>
      </c>
      <c r="D1712" s="270">
        <f>IFERROR(__xludf.DUMMYFUNCTION("""COMPUTED_VALUE"""),-17000.0)</f>
        <v>-17000</v>
      </c>
      <c r="E1712" t="str">
        <f>IFERROR(__xludf.DUMMYFUNCTION("""COMPUTED_VALUE"""),"台銀籌備帳戶")</f>
        <v>台銀籌備帳戶</v>
      </c>
      <c r="G1712" t="str">
        <f>IFERROR(__xludf.DUMMYFUNCTION("""COMPUTED_VALUE"""),"永春四號")</f>
        <v>永春四號</v>
      </c>
      <c r="H1712" s="106" t="str">
        <f t="shared" si="1"/>
        <v>2025-04</v>
      </c>
      <c r="I1712" s="271" t="str">
        <f>IFERROR(__xludf.DUMMYFUNCTION("""COMPUTED_VALUE"""),"貓狗企鵝")</f>
        <v>貓狗企鵝</v>
      </c>
      <c r="J1712" t="str">
        <f>IFERROR(__xludf.DUMMYFUNCTION("IFS(
  AND(REGEXMATCH(E1712, ""台銀籌備帳戶|玉山帳戶""), REGEXMATCH(C1712, ""薪資"")), ""分潤支出"",
  AND(REGEXMATCH(E1712, ""Ben帳戶|Elsa帳戶|Ben代墊|Ariel代墊|中信銀行共用""), REGEXMATCH(F1712, ""Ben帳戶|Elsa帳戶|Ben代墊|Ariel代墊|中信銀行共用"")), ""內部轉帳(忽略)"",
  AND(E1712&lt;&gt;"""", F1712&lt;&gt;"""", N"&amp;"OT(REGEXMATCH(C1712, ""薪資""))), ""內部轉帳(忽略)"",
  REGEXMATCH(C1712, ""薪資""), ""薪資變動(不計入)"",
  REGEXMATCH(C1712, ""押金""), ""押金往來"",
  AND(E1712&lt;&gt;"""", F1712=""""), ""真實支出"",
  AND(E1712="""", F1712&lt;&gt;""""), ""真實收入"",
  TRUE, ""其他""
)"),"真實支出")</f>
        <v>真實支出</v>
      </c>
      <c r="K1712" s="270">
        <f t="shared" si="2"/>
        <v>-17000</v>
      </c>
      <c r="L1712">
        <f t="shared" si="3"/>
        <v>0</v>
      </c>
    </row>
    <row r="1713">
      <c r="A1713" s="107">
        <f>IFERROR(__xludf.DUMMYFUNCTION("""COMPUTED_VALUE"""),45748.0)</f>
        <v>45748</v>
      </c>
      <c r="B1713" t="str">
        <f>IFERROR(__xludf.DUMMYFUNCTION("""COMPUTED_VALUE"""),"費用 - 匯費 對方行:012 後五碼:46295 (行號: 56)")</f>
        <v>費用 - 匯費 對方行:012 後五碼:46295 (行號: 56)</v>
      </c>
      <c r="C1713" t="str">
        <f>IFERROR(__xludf.DUMMYFUNCTION("""COMPUTED_VALUE"""),"費用 - 匯費")</f>
        <v>費用 - 匯費</v>
      </c>
      <c r="D1713" s="270">
        <f>IFERROR(__xludf.DUMMYFUNCTION("""COMPUTED_VALUE"""),-15.0)</f>
        <v>-15</v>
      </c>
      <c r="E1713" t="str">
        <f>IFERROR(__xludf.DUMMYFUNCTION("""COMPUTED_VALUE"""),"台銀籌備帳戶")</f>
        <v>台銀籌備帳戶</v>
      </c>
      <c r="H1713" s="106" t="str">
        <f t="shared" si="1"/>
        <v>2025-04</v>
      </c>
      <c r="I1713" s="271" t="str">
        <f>IFERROR(__xludf.DUMMYFUNCTION("""COMPUTED_VALUE"""),"貓狗企鵝")</f>
        <v>貓狗企鵝</v>
      </c>
      <c r="J1713" t="str">
        <f>IFERROR(__xludf.DUMMYFUNCTION("IFS(
  AND(REGEXMATCH(E1713, ""台銀籌備帳戶|玉山帳戶""), REGEXMATCH(C1713, ""薪資"")), ""分潤支出"",
  AND(REGEXMATCH(E1713, ""Ben帳戶|Elsa帳戶|Ben代墊|Ariel代墊|中信銀行共用""), REGEXMATCH(F1713, ""Ben帳戶|Elsa帳戶|Ben代墊|Ariel代墊|中信銀行共用"")), ""內部轉帳(忽略)"",
  AND(E1713&lt;&gt;"""", F1713&lt;&gt;"""", N"&amp;"OT(REGEXMATCH(C1713, ""薪資""))), ""內部轉帳(忽略)"",
  REGEXMATCH(C1713, ""薪資""), ""薪資變動(不計入)"",
  REGEXMATCH(C1713, ""押金""), ""押金往來"",
  AND(E1713&lt;&gt;"""", F1713=""""), ""真實支出"",
  AND(E1713="""", F1713&lt;&gt;""""), ""真實收入"",
  TRUE, ""其他""
)"),"真實支出")</f>
        <v>真實支出</v>
      </c>
      <c r="K1713" s="270">
        <f t="shared" si="2"/>
        <v>-15</v>
      </c>
      <c r="L1713">
        <f t="shared" si="3"/>
        <v>0</v>
      </c>
    </row>
    <row r="1714">
      <c r="A1714" s="107">
        <f>IFERROR(__xludf.DUMMYFUNCTION("""COMPUTED_VALUE"""),45748.0)</f>
        <v>45748</v>
      </c>
      <c r="B1714" t="str">
        <f>IFERROR(__xludf.DUMMYFUNCTION("""COMPUTED_VALUE"""),"[永春四號] [郭宗仁] 大租金")</f>
        <v>[永春四號] [郭宗仁] 大租金</v>
      </c>
      <c r="C1714" t="str">
        <f>IFERROR(__xludf.DUMMYFUNCTION("""COMPUTED_VALUE"""),"成本 - 大租金")</f>
        <v>成本 - 大租金</v>
      </c>
      <c r="D1714" s="270">
        <f>IFERROR(__xludf.DUMMYFUNCTION("""COMPUTED_VALUE"""),-17000.0)</f>
        <v>-17000</v>
      </c>
      <c r="E1714" t="str">
        <f>IFERROR(__xludf.DUMMYFUNCTION("""COMPUTED_VALUE"""),"台銀籌備帳戶")</f>
        <v>台銀籌備帳戶</v>
      </c>
      <c r="G1714" t="str">
        <f>IFERROR(__xludf.DUMMYFUNCTION("""COMPUTED_VALUE"""),"永春四號")</f>
        <v>永春四號</v>
      </c>
      <c r="H1714" s="106" t="str">
        <f t="shared" si="1"/>
        <v>2025-04</v>
      </c>
      <c r="I1714" s="271" t="str">
        <f>IFERROR(__xludf.DUMMYFUNCTION("""COMPUTED_VALUE"""),"貓狗企鵝")</f>
        <v>貓狗企鵝</v>
      </c>
      <c r="J1714" t="str">
        <f>IFERROR(__xludf.DUMMYFUNCTION("IFS(
  AND(REGEXMATCH(E1714, ""台銀籌備帳戶|玉山帳戶""), REGEXMATCH(C1714, ""薪資"")), ""分潤支出"",
  AND(REGEXMATCH(E1714, ""Ben帳戶|Elsa帳戶|Ben代墊|Ariel代墊|中信銀行共用""), REGEXMATCH(F1714, ""Ben帳戶|Elsa帳戶|Ben代墊|Ariel代墊|中信銀行共用"")), ""內部轉帳(忽略)"",
  AND(E1714&lt;&gt;"""", F1714&lt;&gt;"""", N"&amp;"OT(REGEXMATCH(C1714, ""薪資""))), ""內部轉帳(忽略)"",
  REGEXMATCH(C1714, ""薪資""), ""薪資變動(不計入)"",
  REGEXMATCH(C1714, ""押金""), ""押金往來"",
  AND(E1714&lt;&gt;"""", F1714=""""), ""真實支出"",
  AND(E1714="""", F1714&lt;&gt;""""), ""真實收入"",
  TRUE, ""其他""
)"),"真實支出")</f>
        <v>真實支出</v>
      </c>
      <c r="K1714" s="270">
        <f t="shared" si="2"/>
        <v>-17000</v>
      </c>
      <c r="L1714">
        <f t="shared" si="3"/>
        <v>0</v>
      </c>
    </row>
    <row r="1715">
      <c r="A1715" s="107">
        <f>IFERROR(__xludf.DUMMYFUNCTION("""COMPUTED_VALUE"""),45748.0)</f>
        <v>45748</v>
      </c>
      <c r="B1715" t="str">
        <f>IFERROR(__xludf.DUMMYFUNCTION("""COMPUTED_VALUE"""),"費用 - 匯費 對方行:700 後五碼:19509 (行號: 57)")</f>
        <v>費用 - 匯費 對方行:700 後五碼:19509 (行號: 57)</v>
      </c>
      <c r="C1715" t="str">
        <f>IFERROR(__xludf.DUMMYFUNCTION("""COMPUTED_VALUE"""),"費用 - 匯費")</f>
        <v>費用 - 匯費</v>
      </c>
      <c r="D1715" s="270">
        <f>IFERROR(__xludf.DUMMYFUNCTION("""COMPUTED_VALUE"""),-15.0)</f>
        <v>-15</v>
      </c>
      <c r="E1715" t="str">
        <f>IFERROR(__xludf.DUMMYFUNCTION("""COMPUTED_VALUE"""),"台銀籌備帳戶")</f>
        <v>台銀籌備帳戶</v>
      </c>
      <c r="H1715" s="106" t="str">
        <f t="shared" si="1"/>
        <v>2025-04</v>
      </c>
      <c r="I1715" s="271" t="str">
        <f>IFERROR(__xludf.DUMMYFUNCTION("""COMPUTED_VALUE"""),"貓狗企鵝")</f>
        <v>貓狗企鵝</v>
      </c>
      <c r="J1715" t="str">
        <f>IFERROR(__xludf.DUMMYFUNCTION("IFS(
  AND(REGEXMATCH(E1715, ""台銀籌備帳戶|玉山帳戶""), REGEXMATCH(C1715, ""薪資"")), ""分潤支出"",
  AND(REGEXMATCH(E1715, ""Ben帳戶|Elsa帳戶|Ben代墊|Ariel代墊|中信銀行共用""), REGEXMATCH(F1715, ""Ben帳戶|Elsa帳戶|Ben代墊|Ariel代墊|中信銀行共用"")), ""內部轉帳(忽略)"",
  AND(E1715&lt;&gt;"""", F1715&lt;&gt;"""", N"&amp;"OT(REGEXMATCH(C1715, ""薪資""))), ""內部轉帳(忽略)"",
  REGEXMATCH(C1715, ""薪資""), ""薪資變動(不計入)"",
  REGEXMATCH(C1715, ""押金""), ""押金往來"",
  AND(E1715&lt;&gt;"""", F1715=""""), ""真實支出"",
  AND(E1715="""", F1715&lt;&gt;""""), ""真實收入"",
  TRUE, ""其他""
)"),"真實支出")</f>
        <v>真實支出</v>
      </c>
      <c r="K1715" s="270">
        <f t="shared" si="2"/>
        <v>-15</v>
      </c>
      <c r="L1715">
        <f t="shared" si="3"/>
        <v>0</v>
      </c>
    </row>
    <row r="1716">
      <c r="A1716" s="107">
        <f>IFERROR(__xludf.DUMMYFUNCTION("""COMPUTED_VALUE"""),45748.0)</f>
        <v>45748</v>
      </c>
      <c r="B1716" t="str">
        <f>IFERROR(__xludf.DUMMYFUNCTION("""COMPUTED_VALUE"""),"[龍江229] [游為傑] 大租金")</f>
        <v>[龍江229] [游為傑] 大租金</v>
      </c>
      <c r="C1716" t="str">
        <f>IFERROR(__xludf.DUMMYFUNCTION("""COMPUTED_VALUE"""),"成本 - 大租金")</f>
        <v>成本 - 大租金</v>
      </c>
      <c r="D1716" s="270">
        <f>IFERROR(__xludf.DUMMYFUNCTION("""COMPUTED_VALUE"""),-13500.0)</f>
        <v>-13500</v>
      </c>
      <c r="E1716" t="str">
        <f>IFERROR(__xludf.DUMMYFUNCTION("""COMPUTED_VALUE"""),"台銀籌備帳戶")</f>
        <v>台銀籌備帳戶</v>
      </c>
      <c r="G1716" t="str">
        <f>IFERROR(__xludf.DUMMYFUNCTION("""COMPUTED_VALUE"""),"龍江229")</f>
        <v>龍江229</v>
      </c>
      <c r="H1716" s="106" t="str">
        <f t="shared" si="1"/>
        <v>2025-04</v>
      </c>
      <c r="I1716" s="271" t="str">
        <f>IFERROR(__xludf.DUMMYFUNCTION("""COMPUTED_VALUE"""),"貓狗企鵝")</f>
        <v>貓狗企鵝</v>
      </c>
      <c r="J1716" t="str">
        <f>IFERROR(__xludf.DUMMYFUNCTION("IFS(
  AND(REGEXMATCH(E1716, ""台銀籌備帳戶|玉山帳戶""), REGEXMATCH(C1716, ""薪資"")), ""分潤支出"",
  AND(REGEXMATCH(E1716, ""Ben帳戶|Elsa帳戶|Ben代墊|Ariel代墊|中信銀行共用""), REGEXMATCH(F1716, ""Ben帳戶|Elsa帳戶|Ben代墊|Ariel代墊|中信銀行共用"")), ""內部轉帳(忽略)"",
  AND(E1716&lt;&gt;"""", F1716&lt;&gt;"""", N"&amp;"OT(REGEXMATCH(C1716, ""薪資""))), ""內部轉帳(忽略)"",
  REGEXMATCH(C1716, ""薪資""), ""薪資變動(不計入)"",
  REGEXMATCH(C1716, ""押金""), ""押金往來"",
  AND(E1716&lt;&gt;"""", F1716=""""), ""真實支出"",
  AND(E1716="""", F1716&lt;&gt;""""), ""真實收入"",
  TRUE, ""其他""
)"),"真實支出")</f>
        <v>真實支出</v>
      </c>
      <c r="K1716" s="270">
        <f t="shared" si="2"/>
        <v>-13500</v>
      </c>
      <c r="L1716">
        <f t="shared" si="3"/>
        <v>0</v>
      </c>
    </row>
    <row r="1717">
      <c r="A1717" s="107">
        <f>IFERROR(__xludf.DUMMYFUNCTION("""COMPUTED_VALUE"""),45748.0)</f>
        <v>45748</v>
      </c>
      <c r="B1717" t="str">
        <f>IFERROR(__xludf.DUMMYFUNCTION("""COMPUTED_VALUE"""),"費用 - 匯費 對方行:012 後五碼:74779 (行號: 58)")</f>
        <v>費用 - 匯費 對方行:012 後五碼:74779 (行號: 58)</v>
      </c>
      <c r="C1717" t="str">
        <f>IFERROR(__xludf.DUMMYFUNCTION("""COMPUTED_VALUE"""),"費用 - 匯費")</f>
        <v>費用 - 匯費</v>
      </c>
      <c r="D1717" s="270">
        <f>IFERROR(__xludf.DUMMYFUNCTION("""COMPUTED_VALUE"""),-15.0)</f>
        <v>-15</v>
      </c>
      <c r="E1717" t="str">
        <f>IFERROR(__xludf.DUMMYFUNCTION("""COMPUTED_VALUE"""),"台銀籌備帳戶")</f>
        <v>台銀籌備帳戶</v>
      </c>
      <c r="H1717" s="106" t="str">
        <f t="shared" si="1"/>
        <v>2025-04</v>
      </c>
      <c r="I1717" s="271" t="str">
        <f>IFERROR(__xludf.DUMMYFUNCTION("""COMPUTED_VALUE"""),"貓狗企鵝")</f>
        <v>貓狗企鵝</v>
      </c>
      <c r="J1717" t="str">
        <f>IFERROR(__xludf.DUMMYFUNCTION("IFS(
  AND(REGEXMATCH(E1717, ""台銀籌備帳戶|玉山帳戶""), REGEXMATCH(C1717, ""薪資"")), ""分潤支出"",
  AND(REGEXMATCH(E1717, ""Ben帳戶|Elsa帳戶|Ben代墊|Ariel代墊|中信銀行共用""), REGEXMATCH(F1717, ""Ben帳戶|Elsa帳戶|Ben代墊|Ariel代墊|中信銀行共用"")), ""內部轉帳(忽略)"",
  AND(E1717&lt;&gt;"""", F1717&lt;&gt;"""", N"&amp;"OT(REGEXMATCH(C1717, ""薪資""))), ""內部轉帳(忽略)"",
  REGEXMATCH(C1717, ""薪資""), ""薪資變動(不計入)"",
  REGEXMATCH(C1717, ""押金""), ""押金往來"",
  AND(E1717&lt;&gt;"""", F1717=""""), ""真實支出"",
  AND(E1717="""", F1717&lt;&gt;""""), ""真實收入"",
  TRUE, ""其他""
)"),"真實支出")</f>
        <v>真實支出</v>
      </c>
      <c r="K1717" s="270">
        <f t="shared" si="2"/>
        <v>-15</v>
      </c>
      <c r="L1717">
        <f t="shared" si="3"/>
        <v>0</v>
      </c>
    </row>
    <row r="1718">
      <c r="A1718" s="107">
        <f>IFERROR(__xludf.DUMMYFUNCTION("""COMPUTED_VALUE"""),45748.0)</f>
        <v>45748</v>
      </c>
      <c r="B1718" t="str">
        <f>IFERROR(__xludf.DUMMYFUNCTION("""COMPUTED_VALUE"""),"[市府爺爺家] [常永年] 大租金")</f>
        <v>[市府爺爺家] [常永年] 大租金</v>
      </c>
      <c r="C1718" t="str">
        <f>IFERROR(__xludf.DUMMYFUNCTION("""COMPUTED_VALUE"""),"成本 - 大租金")</f>
        <v>成本 - 大租金</v>
      </c>
      <c r="D1718" s="270">
        <f>IFERROR(__xludf.DUMMYFUNCTION("""COMPUTED_VALUE"""),-12000.0)</f>
        <v>-12000</v>
      </c>
      <c r="E1718" t="str">
        <f>IFERROR(__xludf.DUMMYFUNCTION("""COMPUTED_VALUE"""),"台銀籌備帳戶")</f>
        <v>台銀籌備帳戶</v>
      </c>
      <c r="G1718" t="str">
        <f>IFERROR(__xludf.DUMMYFUNCTION("""COMPUTED_VALUE"""),"市府爺爺家")</f>
        <v>市府爺爺家</v>
      </c>
      <c r="H1718" s="106" t="str">
        <f t="shared" si="1"/>
        <v>2025-04</v>
      </c>
      <c r="I1718" s="271" t="str">
        <f>IFERROR(__xludf.DUMMYFUNCTION("""COMPUTED_VALUE"""),"貓狗企鵝")</f>
        <v>貓狗企鵝</v>
      </c>
      <c r="J1718" t="str">
        <f>IFERROR(__xludf.DUMMYFUNCTION("IFS(
  AND(REGEXMATCH(E1718, ""台銀籌備帳戶|玉山帳戶""), REGEXMATCH(C1718, ""薪資"")), ""分潤支出"",
  AND(REGEXMATCH(E1718, ""Ben帳戶|Elsa帳戶|Ben代墊|Ariel代墊|中信銀行共用""), REGEXMATCH(F1718, ""Ben帳戶|Elsa帳戶|Ben代墊|Ariel代墊|中信銀行共用"")), ""內部轉帳(忽略)"",
  AND(E1718&lt;&gt;"""", F1718&lt;&gt;"""", N"&amp;"OT(REGEXMATCH(C1718, ""薪資""))), ""內部轉帳(忽略)"",
  REGEXMATCH(C1718, ""薪資""), ""薪資變動(不計入)"",
  REGEXMATCH(C1718, ""押金""), ""押金往來"",
  AND(E1718&lt;&gt;"""", F1718=""""), ""真實支出"",
  AND(E1718="""", F1718&lt;&gt;""""), ""真實收入"",
  TRUE, ""其他""
)"),"真實支出")</f>
        <v>真實支出</v>
      </c>
      <c r="K1718" s="270">
        <f t="shared" si="2"/>
        <v>-12000</v>
      </c>
      <c r="L1718">
        <f t="shared" si="3"/>
        <v>0</v>
      </c>
    </row>
    <row r="1719">
      <c r="A1719" s="107">
        <f>IFERROR(__xludf.DUMMYFUNCTION("""COMPUTED_VALUE"""),45748.0)</f>
        <v>45748</v>
      </c>
      <c r="B1719" t="str">
        <f>IFERROR(__xludf.DUMMYFUNCTION("""COMPUTED_VALUE"""),"費用 - 匯費 對方行:052 後五碼:22609 (行號: 59)")</f>
        <v>費用 - 匯費 對方行:052 後五碼:22609 (行號: 59)</v>
      </c>
      <c r="C1719" t="str">
        <f>IFERROR(__xludf.DUMMYFUNCTION("""COMPUTED_VALUE"""),"費用 - 匯費")</f>
        <v>費用 - 匯費</v>
      </c>
      <c r="D1719" s="270">
        <f>IFERROR(__xludf.DUMMYFUNCTION("""COMPUTED_VALUE"""),-15.0)</f>
        <v>-15</v>
      </c>
      <c r="E1719" t="str">
        <f>IFERROR(__xludf.DUMMYFUNCTION("""COMPUTED_VALUE"""),"台銀籌備帳戶")</f>
        <v>台銀籌備帳戶</v>
      </c>
      <c r="H1719" s="106" t="str">
        <f t="shared" si="1"/>
        <v>2025-04</v>
      </c>
      <c r="I1719" s="271" t="str">
        <f>IFERROR(__xludf.DUMMYFUNCTION("""COMPUTED_VALUE"""),"貓狗企鵝")</f>
        <v>貓狗企鵝</v>
      </c>
      <c r="J1719" t="str">
        <f>IFERROR(__xludf.DUMMYFUNCTION("IFS(
  AND(REGEXMATCH(E1719, ""台銀籌備帳戶|玉山帳戶""), REGEXMATCH(C1719, ""薪資"")), ""分潤支出"",
  AND(REGEXMATCH(E1719, ""Ben帳戶|Elsa帳戶|Ben代墊|Ariel代墊|中信銀行共用""), REGEXMATCH(F1719, ""Ben帳戶|Elsa帳戶|Ben代墊|Ariel代墊|中信銀行共用"")), ""內部轉帳(忽略)"",
  AND(E1719&lt;&gt;"""", F1719&lt;&gt;"""", N"&amp;"OT(REGEXMATCH(C1719, ""薪資""))), ""內部轉帳(忽略)"",
  REGEXMATCH(C1719, ""薪資""), ""薪資變動(不計入)"",
  REGEXMATCH(C1719, ""押金""), ""押金往來"",
  AND(E1719&lt;&gt;"""", F1719=""""), ""真實支出"",
  AND(E1719="""", F1719&lt;&gt;""""), ""真實收入"",
  TRUE, ""其他""
)"),"真實支出")</f>
        <v>真實支出</v>
      </c>
      <c r="K1719" s="270">
        <f t="shared" si="2"/>
        <v>-15</v>
      </c>
      <c r="L1719">
        <f t="shared" si="3"/>
        <v>0</v>
      </c>
    </row>
    <row r="1720">
      <c r="A1720" s="107">
        <f>IFERROR(__xludf.DUMMYFUNCTION("""COMPUTED_VALUE"""),45748.0)</f>
        <v>45748</v>
      </c>
      <c r="B1720" t="str">
        <f>IFERROR(__xludf.DUMMYFUNCTION("""COMPUTED_VALUE"""),"[中山北Feli家] [陳玉蘭] 大租金")</f>
        <v>[中山北Feli家] [陳玉蘭] 大租金</v>
      </c>
      <c r="C1720" t="str">
        <f>IFERROR(__xludf.DUMMYFUNCTION("""COMPUTED_VALUE"""),"成本 - 大租金")</f>
        <v>成本 - 大租金</v>
      </c>
      <c r="D1720" s="270">
        <f>IFERROR(__xludf.DUMMYFUNCTION("""COMPUTED_VALUE"""),-18000.0)</f>
        <v>-18000</v>
      </c>
      <c r="E1720" t="str">
        <f>IFERROR(__xludf.DUMMYFUNCTION("""COMPUTED_VALUE"""),"台銀籌備帳戶")</f>
        <v>台銀籌備帳戶</v>
      </c>
      <c r="G1720" t="str">
        <f>IFERROR(__xludf.DUMMYFUNCTION("""COMPUTED_VALUE"""),"中山北Feli家")</f>
        <v>中山北Feli家</v>
      </c>
      <c r="H1720" s="106" t="str">
        <f t="shared" si="1"/>
        <v>2025-04</v>
      </c>
      <c r="I1720" s="271" t="str">
        <f>IFERROR(__xludf.DUMMYFUNCTION("""COMPUTED_VALUE"""),"貓狗企鵝")</f>
        <v>貓狗企鵝</v>
      </c>
      <c r="J1720" t="str">
        <f>IFERROR(__xludf.DUMMYFUNCTION("IFS(
  AND(REGEXMATCH(E1720, ""台銀籌備帳戶|玉山帳戶""), REGEXMATCH(C1720, ""薪資"")), ""分潤支出"",
  AND(REGEXMATCH(E1720, ""Ben帳戶|Elsa帳戶|Ben代墊|Ariel代墊|中信銀行共用""), REGEXMATCH(F1720, ""Ben帳戶|Elsa帳戶|Ben代墊|Ariel代墊|中信銀行共用"")), ""內部轉帳(忽略)"",
  AND(E1720&lt;&gt;"""", F1720&lt;&gt;"""", N"&amp;"OT(REGEXMATCH(C1720, ""薪資""))), ""內部轉帳(忽略)"",
  REGEXMATCH(C1720, ""薪資""), ""薪資變動(不計入)"",
  REGEXMATCH(C1720, ""押金""), ""押金往來"",
  AND(E1720&lt;&gt;"""", F1720=""""), ""真實支出"",
  AND(E1720="""", F1720&lt;&gt;""""), ""真實收入"",
  TRUE, ""其他""
)"),"真實支出")</f>
        <v>真實支出</v>
      </c>
      <c r="K1720" s="270">
        <f t="shared" si="2"/>
        <v>-18000</v>
      </c>
      <c r="L1720">
        <f t="shared" si="3"/>
        <v>0</v>
      </c>
    </row>
    <row r="1721">
      <c r="A1721" s="107">
        <f>IFERROR(__xludf.DUMMYFUNCTION("""COMPUTED_VALUE"""),45748.0)</f>
        <v>45748</v>
      </c>
      <c r="B1721" t="str">
        <f>IFERROR(__xludf.DUMMYFUNCTION("""COMPUTED_VALUE"""),"費用 - 匯費 對方行:013 後五碼:20652 (行號: 60)")</f>
        <v>費用 - 匯費 對方行:013 後五碼:20652 (行號: 60)</v>
      </c>
      <c r="C1721" t="str">
        <f>IFERROR(__xludf.DUMMYFUNCTION("""COMPUTED_VALUE"""),"費用 - 匯費")</f>
        <v>費用 - 匯費</v>
      </c>
      <c r="D1721" s="270">
        <f>IFERROR(__xludf.DUMMYFUNCTION("""COMPUTED_VALUE"""),-15.0)</f>
        <v>-15</v>
      </c>
      <c r="E1721" t="str">
        <f>IFERROR(__xludf.DUMMYFUNCTION("""COMPUTED_VALUE"""),"台銀籌備帳戶")</f>
        <v>台銀籌備帳戶</v>
      </c>
      <c r="H1721" s="106" t="str">
        <f t="shared" si="1"/>
        <v>2025-04</v>
      </c>
      <c r="I1721" s="271" t="str">
        <f>IFERROR(__xludf.DUMMYFUNCTION("""COMPUTED_VALUE"""),"貓狗企鵝")</f>
        <v>貓狗企鵝</v>
      </c>
      <c r="J1721" t="str">
        <f>IFERROR(__xludf.DUMMYFUNCTION("IFS(
  AND(REGEXMATCH(E1721, ""台銀籌備帳戶|玉山帳戶""), REGEXMATCH(C1721, ""薪資"")), ""分潤支出"",
  AND(REGEXMATCH(E1721, ""Ben帳戶|Elsa帳戶|Ben代墊|Ariel代墊|中信銀行共用""), REGEXMATCH(F1721, ""Ben帳戶|Elsa帳戶|Ben代墊|Ariel代墊|中信銀行共用"")), ""內部轉帳(忽略)"",
  AND(E1721&lt;&gt;"""", F1721&lt;&gt;"""", N"&amp;"OT(REGEXMATCH(C1721, ""薪資""))), ""內部轉帳(忽略)"",
  REGEXMATCH(C1721, ""薪資""), ""薪資變動(不計入)"",
  REGEXMATCH(C1721, ""押金""), ""押金往來"",
  AND(E1721&lt;&gt;"""", F1721=""""), ""真實支出"",
  AND(E1721="""", F1721&lt;&gt;""""), ""真實收入"",
  TRUE, ""其他""
)"),"真實支出")</f>
        <v>真實支出</v>
      </c>
      <c r="K1721" s="270">
        <f t="shared" si="2"/>
        <v>-15</v>
      </c>
      <c r="L1721">
        <f t="shared" si="3"/>
        <v>0</v>
      </c>
    </row>
    <row r="1722">
      <c r="A1722" s="107">
        <f>IFERROR(__xludf.DUMMYFUNCTION("""COMPUTED_VALUE"""),45748.0)</f>
        <v>45748</v>
      </c>
      <c r="B1722" t="str">
        <f>IFERROR(__xludf.DUMMYFUNCTION("""COMPUTED_VALUE"""),"[景安2分鐘] [王逸荃] 大租金")</f>
        <v>[景安2分鐘] [王逸荃] 大租金</v>
      </c>
      <c r="C1722" t="str">
        <f>IFERROR(__xludf.DUMMYFUNCTION("""COMPUTED_VALUE"""),"成本 - 大租金")</f>
        <v>成本 - 大租金</v>
      </c>
      <c r="D1722" s="270">
        <f>IFERROR(__xludf.DUMMYFUNCTION("""COMPUTED_VALUE"""),-12500.0)</f>
        <v>-12500</v>
      </c>
      <c r="E1722" t="str">
        <f>IFERROR(__xludf.DUMMYFUNCTION("""COMPUTED_VALUE"""),"台銀籌備帳戶")</f>
        <v>台銀籌備帳戶</v>
      </c>
      <c r="G1722" t="str">
        <f>IFERROR(__xludf.DUMMYFUNCTION("""COMPUTED_VALUE"""),"景安2分鐘")</f>
        <v>景安2分鐘</v>
      </c>
      <c r="H1722" s="106" t="str">
        <f t="shared" si="1"/>
        <v>2025-04</v>
      </c>
      <c r="I1722" s="271" t="str">
        <f>IFERROR(__xludf.DUMMYFUNCTION("""COMPUTED_VALUE"""),"貓狗企鵝")</f>
        <v>貓狗企鵝</v>
      </c>
      <c r="J1722" t="str">
        <f>IFERROR(__xludf.DUMMYFUNCTION("IFS(
  AND(REGEXMATCH(E1722, ""台銀籌備帳戶|玉山帳戶""), REGEXMATCH(C1722, ""薪資"")), ""分潤支出"",
  AND(REGEXMATCH(E1722, ""Ben帳戶|Elsa帳戶|Ben代墊|Ariel代墊|中信銀行共用""), REGEXMATCH(F1722, ""Ben帳戶|Elsa帳戶|Ben代墊|Ariel代墊|中信銀行共用"")), ""內部轉帳(忽略)"",
  AND(E1722&lt;&gt;"""", F1722&lt;&gt;"""", N"&amp;"OT(REGEXMATCH(C1722, ""薪資""))), ""內部轉帳(忽略)"",
  REGEXMATCH(C1722, ""薪資""), ""薪資變動(不計入)"",
  REGEXMATCH(C1722, ""押金""), ""押金往來"",
  AND(E1722&lt;&gt;"""", F1722=""""), ""真實支出"",
  AND(E1722="""", F1722&lt;&gt;""""), ""真實收入"",
  TRUE, ""其他""
)"),"真實支出")</f>
        <v>真實支出</v>
      </c>
      <c r="K1722" s="270">
        <f t="shared" si="2"/>
        <v>-12500</v>
      </c>
      <c r="L1722">
        <f t="shared" si="3"/>
        <v>0</v>
      </c>
    </row>
    <row r="1723">
      <c r="A1723" s="107">
        <f>IFERROR(__xludf.DUMMYFUNCTION("""COMPUTED_VALUE"""),45748.0)</f>
        <v>45748</v>
      </c>
      <c r="B1723" t="str">
        <f>IFERROR(__xludf.DUMMYFUNCTION("""COMPUTED_VALUE"""),"費用 - 匯費 對方行:822 後五碼:06708 (行號: 61)")</f>
        <v>費用 - 匯費 對方行:822 後五碼:06708 (行號: 61)</v>
      </c>
      <c r="C1723" t="str">
        <f>IFERROR(__xludf.DUMMYFUNCTION("""COMPUTED_VALUE"""),"費用 - 匯費")</f>
        <v>費用 - 匯費</v>
      </c>
      <c r="D1723" s="270">
        <f>IFERROR(__xludf.DUMMYFUNCTION("""COMPUTED_VALUE"""),-15.0)</f>
        <v>-15</v>
      </c>
      <c r="E1723" t="str">
        <f>IFERROR(__xludf.DUMMYFUNCTION("""COMPUTED_VALUE"""),"台銀籌備帳戶")</f>
        <v>台銀籌備帳戶</v>
      </c>
      <c r="H1723" s="106" t="str">
        <f t="shared" si="1"/>
        <v>2025-04</v>
      </c>
      <c r="I1723" s="271" t="str">
        <f>IFERROR(__xludf.DUMMYFUNCTION("""COMPUTED_VALUE"""),"貓狗企鵝")</f>
        <v>貓狗企鵝</v>
      </c>
      <c r="J1723" t="str">
        <f>IFERROR(__xludf.DUMMYFUNCTION("IFS(
  AND(REGEXMATCH(E1723, ""台銀籌備帳戶|玉山帳戶""), REGEXMATCH(C1723, ""薪資"")), ""分潤支出"",
  AND(REGEXMATCH(E1723, ""Ben帳戶|Elsa帳戶|Ben代墊|Ariel代墊|中信銀行共用""), REGEXMATCH(F1723, ""Ben帳戶|Elsa帳戶|Ben代墊|Ariel代墊|中信銀行共用"")), ""內部轉帳(忽略)"",
  AND(E1723&lt;&gt;"""", F1723&lt;&gt;"""", N"&amp;"OT(REGEXMATCH(C1723, ""薪資""))), ""內部轉帳(忽略)"",
  REGEXMATCH(C1723, ""薪資""), ""薪資變動(不計入)"",
  REGEXMATCH(C1723, ""押金""), ""押金往來"",
  AND(E1723&lt;&gt;"""", F1723=""""), ""真實支出"",
  AND(E1723="""", F1723&lt;&gt;""""), ""真實收入"",
  TRUE, ""其他""
)"),"真實支出")</f>
        <v>真實支出</v>
      </c>
      <c r="K1723" s="270">
        <f t="shared" si="2"/>
        <v>-15</v>
      </c>
      <c r="L1723">
        <f t="shared" si="3"/>
        <v>0</v>
      </c>
    </row>
    <row r="1724">
      <c r="A1724" s="107">
        <f>IFERROR(__xludf.DUMMYFUNCTION("""COMPUTED_VALUE"""),45748.0)</f>
        <v>45748</v>
      </c>
      <c r="B1724" t="str">
        <f>IFERROR(__xludf.DUMMYFUNCTION("""COMPUTED_VALUE"""),"[金龍帽子先生] [郭娟伶] 大租金")</f>
        <v>[金龍帽子先生] [郭娟伶] 大租金</v>
      </c>
      <c r="C1724" t="str">
        <f>IFERROR(__xludf.DUMMYFUNCTION("""COMPUTED_VALUE"""),"成本 - 大租金")</f>
        <v>成本 - 大租金</v>
      </c>
      <c r="D1724" s="270">
        <f>IFERROR(__xludf.DUMMYFUNCTION("""COMPUTED_VALUE"""),-17750.0)</f>
        <v>-17750</v>
      </c>
      <c r="E1724" t="str">
        <f>IFERROR(__xludf.DUMMYFUNCTION("""COMPUTED_VALUE"""),"台銀籌備帳戶")</f>
        <v>台銀籌備帳戶</v>
      </c>
      <c r="G1724" t="str">
        <f>IFERROR(__xludf.DUMMYFUNCTION("""COMPUTED_VALUE"""),"金龍帽子先生")</f>
        <v>金龍帽子先生</v>
      </c>
      <c r="H1724" s="106" t="str">
        <f t="shared" si="1"/>
        <v>2025-04</v>
      </c>
      <c r="I1724" s="271" t="str">
        <f>IFERROR(__xludf.DUMMYFUNCTION("""COMPUTED_VALUE"""),"貓狗企鵝")</f>
        <v>貓狗企鵝</v>
      </c>
      <c r="J1724" t="str">
        <f>IFERROR(__xludf.DUMMYFUNCTION("IFS(
  AND(REGEXMATCH(E1724, ""台銀籌備帳戶|玉山帳戶""), REGEXMATCH(C1724, ""薪資"")), ""分潤支出"",
  AND(REGEXMATCH(E1724, ""Ben帳戶|Elsa帳戶|Ben代墊|Ariel代墊|中信銀行共用""), REGEXMATCH(F1724, ""Ben帳戶|Elsa帳戶|Ben代墊|Ariel代墊|中信銀行共用"")), ""內部轉帳(忽略)"",
  AND(E1724&lt;&gt;"""", F1724&lt;&gt;"""", N"&amp;"OT(REGEXMATCH(C1724, ""薪資""))), ""內部轉帳(忽略)"",
  REGEXMATCH(C1724, ""薪資""), ""薪資變動(不計入)"",
  REGEXMATCH(C1724, ""押金""), ""押金往來"",
  AND(E1724&lt;&gt;"""", F1724=""""), ""真實支出"",
  AND(E1724="""", F1724&lt;&gt;""""), ""真實收入"",
  TRUE, ""其他""
)"),"真實支出")</f>
        <v>真實支出</v>
      </c>
      <c r="K1724" s="270">
        <f t="shared" si="2"/>
        <v>-17750</v>
      </c>
      <c r="L1724">
        <f t="shared" si="3"/>
        <v>0</v>
      </c>
    </row>
    <row r="1725">
      <c r="A1725" s="107">
        <f>IFERROR(__xludf.DUMMYFUNCTION("""COMPUTED_VALUE"""),45748.0)</f>
        <v>45748</v>
      </c>
      <c r="B1725" t="str">
        <f>IFERROR(__xludf.DUMMYFUNCTION("""COMPUTED_VALUE"""),"費用 - 匯費 對方行:053 後五碼:05202 (行號: 62)")</f>
        <v>費用 - 匯費 對方行:053 後五碼:05202 (行號: 62)</v>
      </c>
      <c r="C1725" t="str">
        <f>IFERROR(__xludf.DUMMYFUNCTION("""COMPUTED_VALUE"""),"費用 - 匯費")</f>
        <v>費用 - 匯費</v>
      </c>
      <c r="D1725" s="270">
        <f>IFERROR(__xludf.DUMMYFUNCTION("""COMPUTED_VALUE"""),-15.0)</f>
        <v>-15</v>
      </c>
      <c r="E1725" t="str">
        <f>IFERROR(__xludf.DUMMYFUNCTION("""COMPUTED_VALUE"""),"台銀籌備帳戶")</f>
        <v>台銀籌備帳戶</v>
      </c>
      <c r="H1725" s="106" t="str">
        <f t="shared" si="1"/>
        <v>2025-04</v>
      </c>
      <c r="I1725" s="271" t="str">
        <f>IFERROR(__xludf.DUMMYFUNCTION("""COMPUTED_VALUE"""),"貓狗企鵝")</f>
        <v>貓狗企鵝</v>
      </c>
      <c r="J1725" t="str">
        <f>IFERROR(__xludf.DUMMYFUNCTION("IFS(
  AND(REGEXMATCH(E1725, ""台銀籌備帳戶|玉山帳戶""), REGEXMATCH(C1725, ""薪資"")), ""分潤支出"",
  AND(REGEXMATCH(E1725, ""Ben帳戶|Elsa帳戶|Ben代墊|Ariel代墊|中信銀行共用""), REGEXMATCH(F1725, ""Ben帳戶|Elsa帳戶|Ben代墊|Ariel代墊|中信銀行共用"")), ""內部轉帳(忽略)"",
  AND(E1725&lt;&gt;"""", F1725&lt;&gt;"""", N"&amp;"OT(REGEXMATCH(C1725, ""薪資""))), ""內部轉帳(忽略)"",
  REGEXMATCH(C1725, ""薪資""), ""薪資變動(不計入)"",
  REGEXMATCH(C1725, ""押金""), ""押金往來"",
  AND(E1725&lt;&gt;"""", F1725=""""), ""真實支出"",
  AND(E1725="""", F1725&lt;&gt;""""), ""真實收入"",
  TRUE, ""其他""
)"),"真實支出")</f>
        <v>真實支出</v>
      </c>
      <c r="K1725" s="270">
        <f t="shared" si="2"/>
        <v>-15</v>
      </c>
      <c r="L1725">
        <f t="shared" si="3"/>
        <v>0</v>
      </c>
    </row>
    <row r="1726">
      <c r="A1726" s="107">
        <f>IFERROR(__xludf.DUMMYFUNCTION("""COMPUTED_VALUE"""),45748.0)</f>
        <v>45748</v>
      </c>
      <c r="B1726" t="str">
        <f>IFERROR(__xludf.DUMMYFUNCTION("""COMPUTED_VALUE"""),"[大湖山莊] [陳彩霞] 大租金")</f>
        <v>[大湖山莊] [陳彩霞] 大租金</v>
      </c>
      <c r="C1726" t="str">
        <f>IFERROR(__xludf.DUMMYFUNCTION("""COMPUTED_VALUE"""),"成本 - 大租金")</f>
        <v>成本 - 大租金</v>
      </c>
      <c r="D1726" s="270">
        <f>IFERROR(__xludf.DUMMYFUNCTION("""COMPUTED_VALUE"""),-19400.0)</f>
        <v>-19400</v>
      </c>
      <c r="E1726" t="str">
        <f>IFERROR(__xludf.DUMMYFUNCTION("""COMPUTED_VALUE"""),"台銀籌備帳戶")</f>
        <v>台銀籌備帳戶</v>
      </c>
      <c r="G1726" t="str">
        <f>IFERROR(__xludf.DUMMYFUNCTION("""COMPUTED_VALUE"""),"大湖山莊")</f>
        <v>大湖山莊</v>
      </c>
      <c r="H1726" s="106" t="str">
        <f t="shared" si="1"/>
        <v>2025-04</v>
      </c>
      <c r="I1726" s="271" t="str">
        <f>IFERROR(__xludf.DUMMYFUNCTION("""COMPUTED_VALUE"""),"貓狗企鵝")</f>
        <v>貓狗企鵝</v>
      </c>
      <c r="J1726" t="str">
        <f>IFERROR(__xludf.DUMMYFUNCTION("IFS(
  AND(REGEXMATCH(E1726, ""台銀籌備帳戶|玉山帳戶""), REGEXMATCH(C1726, ""薪資"")), ""分潤支出"",
  AND(REGEXMATCH(E1726, ""Ben帳戶|Elsa帳戶|Ben代墊|Ariel代墊|中信銀行共用""), REGEXMATCH(F1726, ""Ben帳戶|Elsa帳戶|Ben代墊|Ariel代墊|中信銀行共用"")), ""內部轉帳(忽略)"",
  AND(E1726&lt;&gt;"""", F1726&lt;&gt;"""", N"&amp;"OT(REGEXMATCH(C1726, ""薪資""))), ""內部轉帳(忽略)"",
  REGEXMATCH(C1726, ""薪資""), ""薪資變動(不計入)"",
  REGEXMATCH(C1726, ""押金""), ""押金往來"",
  AND(E1726&lt;&gt;"""", F1726=""""), ""真實支出"",
  AND(E1726="""", F1726&lt;&gt;""""), ""真實收入"",
  TRUE, ""其他""
)"),"真實支出")</f>
        <v>真實支出</v>
      </c>
      <c r="K1726" s="270">
        <f t="shared" si="2"/>
        <v>-19400</v>
      </c>
      <c r="L1726">
        <f t="shared" si="3"/>
        <v>0</v>
      </c>
    </row>
    <row r="1727">
      <c r="A1727" s="107">
        <f>IFERROR(__xludf.DUMMYFUNCTION("""COMPUTED_VALUE"""),45748.0)</f>
        <v>45748</v>
      </c>
      <c r="B1727" t="str">
        <f>IFERROR(__xludf.DUMMYFUNCTION("""COMPUTED_VALUE"""),"費用 - 匯費 對方行:807 後五碼:06659 (行號: 63)")</f>
        <v>費用 - 匯費 對方行:807 後五碼:06659 (行號: 63)</v>
      </c>
      <c r="C1727" t="str">
        <f>IFERROR(__xludf.DUMMYFUNCTION("""COMPUTED_VALUE"""),"費用 - 匯費")</f>
        <v>費用 - 匯費</v>
      </c>
      <c r="D1727" s="270">
        <f>IFERROR(__xludf.DUMMYFUNCTION("""COMPUTED_VALUE"""),-15.0)</f>
        <v>-15</v>
      </c>
      <c r="E1727" t="str">
        <f>IFERROR(__xludf.DUMMYFUNCTION("""COMPUTED_VALUE"""),"台銀籌備帳戶")</f>
        <v>台銀籌備帳戶</v>
      </c>
      <c r="H1727" s="106" t="str">
        <f t="shared" si="1"/>
        <v>2025-04</v>
      </c>
      <c r="I1727" s="271" t="str">
        <f>IFERROR(__xludf.DUMMYFUNCTION("""COMPUTED_VALUE"""),"貓狗企鵝")</f>
        <v>貓狗企鵝</v>
      </c>
      <c r="J1727" t="str">
        <f>IFERROR(__xludf.DUMMYFUNCTION("IFS(
  AND(REGEXMATCH(E1727, ""台銀籌備帳戶|玉山帳戶""), REGEXMATCH(C1727, ""薪資"")), ""分潤支出"",
  AND(REGEXMATCH(E1727, ""Ben帳戶|Elsa帳戶|Ben代墊|Ariel代墊|中信銀行共用""), REGEXMATCH(F1727, ""Ben帳戶|Elsa帳戶|Ben代墊|Ariel代墊|中信銀行共用"")), ""內部轉帳(忽略)"",
  AND(E1727&lt;&gt;"""", F1727&lt;&gt;"""", N"&amp;"OT(REGEXMATCH(C1727, ""薪資""))), ""內部轉帳(忽略)"",
  REGEXMATCH(C1727, ""薪資""), ""薪資變動(不計入)"",
  REGEXMATCH(C1727, ""押金""), ""押金往來"",
  AND(E1727&lt;&gt;"""", F1727=""""), ""真實支出"",
  AND(E1727="""", F1727&lt;&gt;""""), ""真實收入"",
  TRUE, ""其他""
)"),"真實支出")</f>
        <v>真實支出</v>
      </c>
      <c r="K1727" s="270">
        <f t="shared" si="2"/>
        <v>-15</v>
      </c>
      <c r="L1727">
        <f t="shared" si="3"/>
        <v>0</v>
      </c>
    </row>
    <row r="1728">
      <c r="A1728" s="107">
        <f>IFERROR(__xludf.DUMMYFUNCTION("""COMPUTED_VALUE"""),45748.0)</f>
        <v>45748</v>
      </c>
      <c r="B1728" t="str">
        <f>IFERROR(__xludf.DUMMYFUNCTION("""COMPUTED_VALUE"""),"[哈拉對面] [陳哲聰] 大租金")</f>
        <v>[哈拉對面] [陳哲聰] 大租金</v>
      </c>
      <c r="C1728" t="str">
        <f>IFERROR(__xludf.DUMMYFUNCTION("""COMPUTED_VALUE"""),"成本 - 大租金")</f>
        <v>成本 - 大租金</v>
      </c>
      <c r="D1728" s="270">
        <f>IFERROR(__xludf.DUMMYFUNCTION("""COMPUTED_VALUE"""),-13000.0)</f>
        <v>-13000</v>
      </c>
      <c r="E1728" t="str">
        <f>IFERROR(__xludf.DUMMYFUNCTION("""COMPUTED_VALUE"""),"台銀籌備帳戶")</f>
        <v>台銀籌備帳戶</v>
      </c>
      <c r="G1728" t="str">
        <f>IFERROR(__xludf.DUMMYFUNCTION("""COMPUTED_VALUE"""),"哈拉對面")</f>
        <v>哈拉對面</v>
      </c>
      <c r="H1728" s="106" t="str">
        <f t="shared" si="1"/>
        <v>2025-04</v>
      </c>
      <c r="I1728" s="271" t="str">
        <f>IFERROR(__xludf.DUMMYFUNCTION("""COMPUTED_VALUE"""),"貓狗企鵝")</f>
        <v>貓狗企鵝</v>
      </c>
      <c r="J1728" t="str">
        <f>IFERROR(__xludf.DUMMYFUNCTION("IFS(
  AND(REGEXMATCH(E1728, ""台銀籌備帳戶|玉山帳戶""), REGEXMATCH(C1728, ""薪資"")), ""分潤支出"",
  AND(REGEXMATCH(E1728, ""Ben帳戶|Elsa帳戶|Ben代墊|Ariel代墊|中信銀行共用""), REGEXMATCH(F1728, ""Ben帳戶|Elsa帳戶|Ben代墊|Ariel代墊|中信銀行共用"")), ""內部轉帳(忽略)"",
  AND(E1728&lt;&gt;"""", F1728&lt;&gt;"""", N"&amp;"OT(REGEXMATCH(C1728, ""薪資""))), ""內部轉帳(忽略)"",
  REGEXMATCH(C1728, ""薪資""), ""薪資變動(不計入)"",
  REGEXMATCH(C1728, ""押金""), ""押金往來"",
  AND(E1728&lt;&gt;"""", F1728=""""), ""真實支出"",
  AND(E1728="""", F1728&lt;&gt;""""), ""真實收入"",
  TRUE, ""其他""
)"),"真實支出")</f>
        <v>真實支出</v>
      </c>
      <c r="K1728" s="270">
        <f t="shared" si="2"/>
        <v>-13000</v>
      </c>
      <c r="L1728">
        <f t="shared" si="3"/>
        <v>0</v>
      </c>
    </row>
    <row r="1729">
      <c r="A1729" s="107">
        <f>IFERROR(__xludf.DUMMYFUNCTION("""COMPUTED_VALUE"""),45748.0)</f>
        <v>45748</v>
      </c>
      <c r="B1729" t="str">
        <f>IFERROR(__xludf.DUMMYFUNCTION("""COMPUTED_VALUE"""),"費用 - 匯費 對方行:700 後五碼:92128 (行號: 64)")</f>
        <v>費用 - 匯費 對方行:700 後五碼:92128 (行號: 64)</v>
      </c>
      <c r="C1729" t="str">
        <f>IFERROR(__xludf.DUMMYFUNCTION("""COMPUTED_VALUE"""),"費用 - 匯費")</f>
        <v>費用 - 匯費</v>
      </c>
      <c r="D1729" s="270">
        <f>IFERROR(__xludf.DUMMYFUNCTION("""COMPUTED_VALUE"""),-15.0)</f>
        <v>-15</v>
      </c>
      <c r="E1729" t="str">
        <f>IFERROR(__xludf.DUMMYFUNCTION("""COMPUTED_VALUE"""),"台銀籌備帳戶")</f>
        <v>台銀籌備帳戶</v>
      </c>
      <c r="H1729" s="106" t="str">
        <f t="shared" si="1"/>
        <v>2025-04</v>
      </c>
      <c r="I1729" s="271" t="str">
        <f>IFERROR(__xludf.DUMMYFUNCTION("""COMPUTED_VALUE"""),"貓狗企鵝")</f>
        <v>貓狗企鵝</v>
      </c>
      <c r="J1729" t="str">
        <f>IFERROR(__xludf.DUMMYFUNCTION("IFS(
  AND(REGEXMATCH(E1729, ""台銀籌備帳戶|玉山帳戶""), REGEXMATCH(C1729, ""薪資"")), ""分潤支出"",
  AND(REGEXMATCH(E1729, ""Ben帳戶|Elsa帳戶|Ben代墊|Ariel代墊|中信銀行共用""), REGEXMATCH(F1729, ""Ben帳戶|Elsa帳戶|Ben代墊|Ariel代墊|中信銀行共用"")), ""內部轉帳(忽略)"",
  AND(E1729&lt;&gt;"""", F1729&lt;&gt;"""", N"&amp;"OT(REGEXMATCH(C1729, ""薪資""))), ""內部轉帳(忽略)"",
  REGEXMATCH(C1729, ""薪資""), ""薪資變動(不計入)"",
  REGEXMATCH(C1729, ""押金""), ""押金往來"",
  AND(E1729&lt;&gt;"""", F1729=""""), ""真實支出"",
  AND(E1729="""", F1729&lt;&gt;""""), ""真實收入"",
  TRUE, ""其他""
)"),"真實支出")</f>
        <v>真實支出</v>
      </c>
      <c r="K1729" s="270">
        <f t="shared" si="2"/>
        <v>-15</v>
      </c>
      <c r="L1729">
        <f t="shared" si="3"/>
        <v>0</v>
      </c>
    </row>
    <row r="1730">
      <c r="A1730" s="107">
        <f>IFERROR(__xludf.DUMMYFUNCTION("""COMPUTED_VALUE"""),45748.0)</f>
        <v>45748</v>
      </c>
      <c r="B1730" t="str">
        <f>IFERROR(__xludf.DUMMYFUNCTION("""COMPUTED_VALUE"""),"[北醫醫師府] [陳俊良] 大租金")</f>
        <v>[北醫醫師府] [陳俊良] 大租金</v>
      </c>
      <c r="C1730" t="str">
        <f>IFERROR(__xludf.DUMMYFUNCTION("""COMPUTED_VALUE"""),"成本 - 大租金")</f>
        <v>成本 - 大租金</v>
      </c>
      <c r="D1730" s="270">
        <f>IFERROR(__xludf.DUMMYFUNCTION("""COMPUTED_VALUE"""),-12800.0)</f>
        <v>-12800</v>
      </c>
      <c r="E1730" t="str">
        <f>IFERROR(__xludf.DUMMYFUNCTION("""COMPUTED_VALUE"""),"台銀籌備帳戶")</f>
        <v>台銀籌備帳戶</v>
      </c>
      <c r="G1730" t="str">
        <f>IFERROR(__xludf.DUMMYFUNCTION("""COMPUTED_VALUE"""),"北醫醫師府")</f>
        <v>北醫醫師府</v>
      </c>
      <c r="H1730" s="106" t="str">
        <f t="shared" si="1"/>
        <v>2025-04</v>
      </c>
      <c r="I1730" s="271" t="str">
        <f>IFERROR(__xludf.DUMMYFUNCTION("""COMPUTED_VALUE"""),"貓狗企鵝")</f>
        <v>貓狗企鵝</v>
      </c>
      <c r="J1730" t="str">
        <f>IFERROR(__xludf.DUMMYFUNCTION("IFS(
  AND(REGEXMATCH(E1730, ""台銀籌備帳戶|玉山帳戶""), REGEXMATCH(C1730, ""薪資"")), ""分潤支出"",
  AND(REGEXMATCH(E1730, ""Ben帳戶|Elsa帳戶|Ben代墊|Ariel代墊|中信銀行共用""), REGEXMATCH(F1730, ""Ben帳戶|Elsa帳戶|Ben代墊|Ariel代墊|中信銀行共用"")), ""內部轉帳(忽略)"",
  AND(E1730&lt;&gt;"""", F1730&lt;&gt;"""", N"&amp;"OT(REGEXMATCH(C1730, ""薪資""))), ""內部轉帳(忽略)"",
  REGEXMATCH(C1730, ""薪資""), ""薪資變動(不計入)"",
  REGEXMATCH(C1730, ""押金""), ""押金往來"",
  AND(E1730&lt;&gt;"""", F1730=""""), ""真實支出"",
  AND(E1730="""", F1730&lt;&gt;""""), ""真實收入"",
  TRUE, ""其他""
)"),"真實支出")</f>
        <v>真實支出</v>
      </c>
      <c r="K1730" s="270">
        <f t="shared" si="2"/>
        <v>-12800</v>
      </c>
      <c r="L1730">
        <f t="shared" si="3"/>
        <v>0</v>
      </c>
    </row>
    <row r="1731">
      <c r="A1731" s="107">
        <f>IFERROR(__xludf.DUMMYFUNCTION("""COMPUTED_VALUE"""),45748.0)</f>
        <v>45748</v>
      </c>
      <c r="B1731" t="str">
        <f>IFERROR(__xludf.DUMMYFUNCTION("""COMPUTED_VALUE"""),"費用 - 匯費 對方行:013 後五碼:43662 (行號: 65)")</f>
        <v>費用 - 匯費 對方行:013 後五碼:43662 (行號: 65)</v>
      </c>
      <c r="C1731" t="str">
        <f>IFERROR(__xludf.DUMMYFUNCTION("""COMPUTED_VALUE"""),"費用 - 匯費")</f>
        <v>費用 - 匯費</v>
      </c>
      <c r="D1731" s="270">
        <f>IFERROR(__xludf.DUMMYFUNCTION("""COMPUTED_VALUE"""),-15.0)</f>
        <v>-15</v>
      </c>
      <c r="E1731" t="str">
        <f>IFERROR(__xludf.DUMMYFUNCTION("""COMPUTED_VALUE"""),"台銀籌備帳戶")</f>
        <v>台銀籌備帳戶</v>
      </c>
      <c r="H1731" s="106" t="str">
        <f t="shared" si="1"/>
        <v>2025-04</v>
      </c>
      <c r="I1731" s="271" t="str">
        <f>IFERROR(__xludf.DUMMYFUNCTION("""COMPUTED_VALUE"""),"貓狗企鵝")</f>
        <v>貓狗企鵝</v>
      </c>
      <c r="J1731" t="str">
        <f>IFERROR(__xludf.DUMMYFUNCTION("IFS(
  AND(REGEXMATCH(E1731, ""台銀籌備帳戶|玉山帳戶""), REGEXMATCH(C1731, ""薪資"")), ""分潤支出"",
  AND(REGEXMATCH(E1731, ""Ben帳戶|Elsa帳戶|Ben代墊|Ariel代墊|中信銀行共用""), REGEXMATCH(F1731, ""Ben帳戶|Elsa帳戶|Ben代墊|Ariel代墊|中信銀行共用"")), ""內部轉帳(忽略)"",
  AND(E1731&lt;&gt;"""", F1731&lt;&gt;"""", N"&amp;"OT(REGEXMATCH(C1731, ""薪資""))), ""內部轉帳(忽略)"",
  REGEXMATCH(C1731, ""薪資""), ""薪資變動(不計入)"",
  REGEXMATCH(C1731, ""押金""), ""押金往來"",
  AND(E1731&lt;&gt;"""", F1731=""""), ""真實支出"",
  AND(E1731="""", F1731&lt;&gt;""""), ""真實收入"",
  TRUE, ""其他""
)"),"真實支出")</f>
        <v>真實支出</v>
      </c>
      <c r="K1731" s="270">
        <f t="shared" si="2"/>
        <v>-15</v>
      </c>
      <c r="L1731">
        <f t="shared" si="3"/>
        <v>0</v>
      </c>
    </row>
    <row r="1732">
      <c r="A1732" s="107">
        <f>IFERROR(__xludf.DUMMYFUNCTION("""COMPUTED_VALUE"""),45748.0)</f>
        <v>45748</v>
      </c>
      <c r="B1732" t="str">
        <f>IFERROR(__xludf.DUMMYFUNCTION("""COMPUTED_VALUE"""),"[中山北娘家旁] [方彥捷] 大租金")</f>
        <v>[中山北娘家旁] [方彥捷] 大租金</v>
      </c>
      <c r="C1732" t="str">
        <f>IFERROR(__xludf.DUMMYFUNCTION("""COMPUTED_VALUE"""),"成本 - 大租金")</f>
        <v>成本 - 大租金</v>
      </c>
      <c r="D1732" s="270">
        <f>IFERROR(__xludf.DUMMYFUNCTION("""COMPUTED_VALUE"""),-11500.0)</f>
        <v>-11500</v>
      </c>
      <c r="E1732" t="str">
        <f>IFERROR(__xludf.DUMMYFUNCTION("""COMPUTED_VALUE"""),"台銀籌備帳戶")</f>
        <v>台銀籌備帳戶</v>
      </c>
      <c r="G1732" t="str">
        <f>IFERROR(__xludf.DUMMYFUNCTION("""COMPUTED_VALUE"""),"中山北娘家旁")</f>
        <v>中山北娘家旁</v>
      </c>
      <c r="H1732" s="106" t="str">
        <f t="shared" si="1"/>
        <v>2025-04</v>
      </c>
      <c r="I1732" s="271" t="str">
        <f>IFERROR(__xludf.DUMMYFUNCTION("""COMPUTED_VALUE"""),"貓狗企鵝")</f>
        <v>貓狗企鵝</v>
      </c>
      <c r="J1732" t="str">
        <f>IFERROR(__xludf.DUMMYFUNCTION("IFS(
  AND(REGEXMATCH(E1732, ""台銀籌備帳戶|玉山帳戶""), REGEXMATCH(C1732, ""薪資"")), ""分潤支出"",
  AND(REGEXMATCH(E1732, ""Ben帳戶|Elsa帳戶|Ben代墊|Ariel代墊|中信銀行共用""), REGEXMATCH(F1732, ""Ben帳戶|Elsa帳戶|Ben代墊|Ariel代墊|中信銀行共用"")), ""內部轉帳(忽略)"",
  AND(E1732&lt;&gt;"""", F1732&lt;&gt;"""", N"&amp;"OT(REGEXMATCH(C1732, ""薪資""))), ""內部轉帳(忽略)"",
  REGEXMATCH(C1732, ""薪資""), ""薪資變動(不計入)"",
  REGEXMATCH(C1732, ""押金""), ""押金往來"",
  AND(E1732&lt;&gt;"""", F1732=""""), ""真實支出"",
  AND(E1732="""", F1732&lt;&gt;""""), ""真實收入"",
  TRUE, ""其他""
)"),"真實支出")</f>
        <v>真實支出</v>
      </c>
      <c r="K1732" s="270">
        <f t="shared" si="2"/>
        <v>-11500</v>
      </c>
      <c r="L1732">
        <f t="shared" si="3"/>
        <v>0</v>
      </c>
    </row>
    <row r="1733">
      <c r="A1733" s="107">
        <f>IFERROR(__xludf.DUMMYFUNCTION("""COMPUTED_VALUE"""),45720.0)</f>
        <v>45720</v>
      </c>
      <c r="B1733" t="str">
        <f>IFERROR(__xludf.DUMMYFUNCTION("""COMPUTED_VALUE"""),"[中山北娘家旁] C [魏湘芸] 合約 CR00077 (行號: 44)")</f>
        <v>[中山北娘家旁] C [魏湘芸] 合約 CR00077 (行號: 44)</v>
      </c>
      <c r="C1733" t="str">
        <f>IFERROR(__xludf.DUMMYFUNCTION("""COMPUTED_VALUE"""),"收入 - 租金")</f>
        <v>收入 - 租金</v>
      </c>
      <c r="D1733" s="270">
        <f>IFERROR(__xludf.DUMMYFUNCTION("""COMPUTED_VALUE"""),14800.0)</f>
        <v>14800</v>
      </c>
      <c r="F1733" t="str">
        <f>IFERROR(__xludf.DUMMYFUNCTION("""COMPUTED_VALUE"""),"台銀籌備帳戶")</f>
        <v>台銀籌備帳戶</v>
      </c>
      <c r="G1733" t="str">
        <f>IFERROR(__xludf.DUMMYFUNCTION("""COMPUTED_VALUE"""),"中山北娘家旁")</f>
        <v>中山北娘家旁</v>
      </c>
      <c r="H1733" s="106" t="str">
        <f t="shared" si="1"/>
        <v>2025-03</v>
      </c>
      <c r="I1733" s="271" t="str">
        <f>IFERROR(__xludf.DUMMYFUNCTION("""COMPUTED_VALUE"""),"貓狗企鵝")</f>
        <v>貓狗企鵝</v>
      </c>
      <c r="J1733" t="str">
        <f>IFERROR(__xludf.DUMMYFUNCTION("IFS(
  AND(REGEXMATCH(E1733, ""台銀籌備帳戶|玉山帳戶""), REGEXMATCH(C1733, ""薪資"")), ""分潤支出"",
  AND(REGEXMATCH(E1733, ""Ben帳戶|Elsa帳戶|Ben代墊|Ariel代墊|中信銀行共用""), REGEXMATCH(F1733, ""Ben帳戶|Elsa帳戶|Ben代墊|Ariel代墊|中信銀行共用"")), ""內部轉帳(忽略)"",
  AND(E1733&lt;&gt;"""", F1733&lt;&gt;"""", N"&amp;"OT(REGEXMATCH(C1733, ""薪資""))), ""內部轉帳(忽略)"",
  REGEXMATCH(C1733, ""薪資""), ""薪資變動(不計入)"",
  REGEXMATCH(C1733, ""押金""), ""押金往來"",
  AND(E1733&lt;&gt;"""", F1733=""""), ""真實支出"",
  AND(E1733="""", F1733&lt;&gt;""""), ""真實收入"",
  TRUE, ""其他""
)"),"真實收入")</f>
        <v>真實收入</v>
      </c>
      <c r="K1733" s="270">
        <f t="shared" si="2"/>
        <v>14800</v>
      </c>
      <c r="L1733">
        <f t="shared" si="3"/>
        <v>0</v>
      </c>
    </row>
    <row r="1734">
      <c r="A1734" s="107">
        <f>IFERROR(__xludf.DUMMYFUNCTION("""COMPUTED_VALUE"""),45724.0)</f>
        <v>45724</v>
      </c>
      <c r="B1734" t="str">
        <f>IFERROR(__xludf.DUMMYFUNCTION("""COMPUTED_VALUE"""),"[金龍帽子先生] C [鐘偉展] 押金 (行號: 6, 10, 49)")</f>
        <v>[金龍帽子先生] C [鐘偉展] 押金 (行號: 6, 10, 49)</v>
      </c>
      <c r="C1734" t="str">
        <f>IFERROR(__xludf.DUMMYFUNCTION("""COMPUTED_VALUE"""),"收入 - 押金")</f>
        <v>收入 - 押金</v>
      </c>
      <c r="D1734" s="270">
        <f>IFERROR(__xludf.DUMMYFUNCTION("""COMPUTED_VALUE"""),28000.0)</f>
        <v>28000</v>
      </c>
      <c r="F1734" t="str">
        <f>IFERROR(__xludf.DUMMYFUNCTION("""COMPUTED_VALUE"""),"台銀籌備帳戶")</f>
        <v>台銀籌備帳戶</v>
      </c>
      <c r="G1734" t="str">
        <f>IFERROR(__xludf.DUMMYFUNCTION("""COMPUTED_VALUE"""),"金龍帽子先生")</f>
        <v>金龍帽子先生</v>
      </c>
      <c r="H1734" s="106" t="str">
        <f t="shared" si="1"/>
        <v>2025-03</v>
      </c>
      <c r="I1734" s="271" t="str">
        <f>IFERROR(__xludf.DUMMYFUNCTION("""COMPUTED_VALUE"""),"貓狗企鵝")</f>
        <v>貓狗企鵝</v>
      </c>
      <c r="J1734" t="str">
        <f>IFERROR(__xludf.DUMMYFUNCTION("IFS(
  AND(REGEXMATCH(E1734, ""台銀籌備帳戶|玉山帳戶""), REGEXMATCH(C1734, ""薪資"")), ""分潤支出"",
  AND(REGEXMATCH(E1734, ""Ben帳戶|Elsa帳戶|Ben代墊|Ariel代墊|中信銀行共用""), REGEXMATCH(F1734, ""Ben帳戶|Elsa帳戶|Ben代墊|Ariel代墊|中信銀行共用"")), ""內部轉帳(忽略)"",
  AND(E1734&lt;&gt;"""", F1734&lt;&gt;"""", N"&amp;"OT(REGEXMATCH(C1734, ""薪資""))), ""內部轉帳(忽略)"",
  REGEXMATCH(C1734, ""薪資""), ""薪資變動(不計入)"",
  REGEXMATCH(C1734, ""押金""), ""押金往來"",
  AND(E1734&lt;&gt;"""", F1734=""""), ""真實支出"",
  AND(E1734="""", F1734&lt;&gt;""""), ""真實收入"",
  TRUE, ""其他""
)"),"押金往來")</f>
        <v>押金往來</v>
      </c>
      <c r="K1734">
        <f t="shared" si="2"/>
        <v>0</v>
      </c>
      <c r="L1734">
        <f t="shared" si="3"/>
        <v>0</v>
      </c>
    </row>
    <row r="1735">
      <c r="A1735" s="107">
        <f>IFERROR(__xludf.DUMMYFUNCTION("""COMPUTED_VALUE"""),45724.0)</f>
        <v>45724</v>
      </c>
      <c r="B1735" t="str">
        <f>IFERROR(__xludf.DUMMYFUNCTION("""COMPUTED_VALUE"""),"[金龍帽子先生] C [鐘偉展] 首月租金 (行號: 6, 10, 49)")</f>
        <v>[金龍帽子先生] C [鐘偉展] 首月租金 (行號: 6, 10, 49)</v>
      </c>
      <c r="C1735" t="str">
        <f>IFERROR(__xludf.DUMMYFUNCTION("""COMPUTED_VALUE"""),"收入 - 租金")</f>
        <v>收入 - 租金</v>
      </c>
      <c r="D1735" s="270">
        <f>IFERROR(__xludf.DUMMYFUNCTION("""COMPUTED_VALUE"""),21677.0)</f>
        <v>21677</v>
      </c>
      <c r="F1735" t="str">
        <f>IFERROR(__xludf.DUMMYFUNCTION("""COMPUTED_VALUE"""),"台銀籌備帳戶")</f>
        <v>台銀籌備帳戶</v>
      </c>
      <c r="G1735" t="str">
        <f>IFERROR(__xludf.DUMMYFUNCTION("""COMPUTED_VALUE"""),"金龍帽子先生")</f>
        <v>金龍帽子先生</v>
      </c>
      <c r="H1735" s="106" t="str">
        <f t="shared" si="1"/>
        <v>2025-03</v>
      </c>
      <c r="I1735" s="271" t="str">
        <f>IFERROR(__xludf.DUMMYFUNCTION("""COMPUTED_VALUE"""),"貓狗企鵝")</f>
        <v>貓狗企鵝</v>
      </c>
      <c r="J1735" t="str">
        <f>IFERROR(__xludf.DUMMYFUNCTION("IFS(
  AND(REGEXMATCH(E1735, ""台銀籌備帳戶|玉山帳戶""), REGEXMATCH(C1735, ""薪資"")), ""分潤支出"",
  AND(REGEXMATCH(E1735, ""Ben帳戶|Elsa帳戶|Ben代墊|Ariel代墊|中信銀行共用""), REGEXMATCH(F1735, ""Ben帳戶|Elsa帳戶|Ben代墊|Ariel代墊|中信銀行共用"")), ""內部轉帳(忽略)"",
  AND(E1735&lt;&gt;"""", F1735&lt;&gt;"""", N"&amp;"OT(REGEXMATCH(C1735, ""薪資""))), ""內部轉帳(忽略)"",
  REGEXMATCH(C1735, ""薪資""), ""薪資變動(不計入)"",
  REGEXMATCH(C1735, ""押金""), ""押金往來"",
  AND(E1735&lt;&gt;"""", F1735=""""), ""真實支出"",
  AND(E1735="""", F1735&lt;&gt;""""), ""真實收入"",
  TRUE, ""其他""
)"),"真實收入")</f>
        <v>真實收入</v>
      </c>
      <c r="K1735" s="270">
        <f t="shared" si="2"/>
        <v>21677</v>
      </c>
      <c r="L1735">
        <f t="shared" si="3"/>
        <v>0</v>
      </c>
    </row>
    <row r="1736">
      <c r="A1736" s="107">
        <f>IFERROR(__xludf.DUMMYFUNCTION("""COMPUTED_VALUE"""),45728.0)</f>
        <v>45728</v>
      </c>
      <c r="B1736" t="str">
        <f>IFERROR(__xludf.DUMMYFUNCTION("""COMPUTED_VALUE"""),"財團法人中 匯 ' 【不明收入 (行號: 13)】")</f>
        <v>財團法人中 匯 ' 【不明收入 (行號: 13)】</v>
      </c>
      <c r="C1736" t="str">
        <f>IFERROR(__xludf.DUMMYFUNCTION("""COMPUTED_VALUE"""),"收入 - 政府補助/退稅")</f>
        <v>收入 - 政府補助/退稅</v>
      </c>
      <c r="D1736" s="270">
        <f>IFERROR(__xludf.DUMMYFUNCTION("""COMPUTED_VALUE"""),40250.0)</f>
        <v>40250</v>
      </c>
      <c r="F1736" t="str">
        <f>IFERROR(__xludf.DUMMYFUNCTION("""COMPUTED_VALUE"""),"台銀籌備帳戶")</f>
        <v>台銀籌備帳戶</v>
      </c>
      <c r="G1736" t="str">
        <f>IFERROR(__xludf.DUMMYFUNCTION("""COMPUTED_VALUE"""),"景安2分鐘")</f>
        <v>景安2分鐘</v>
      </c>
      <c r="H1736" s="106" t="str">
        <f t="shared" si="1"/>
        <v>2025-03</v>
      </c>
      <c r="I1736" s="271" t="str">
        <f>IFERROR(__xludf.DUMMYFUNCTION("""COMPUTED_VALUE"""),"貓狗企鵝")</f>
        <v>貓狗企鵝</v>
      </c>
      <c r="J1736" t="str">
        <f>IFERROR(__xludf.DUMMYFUNCTION("IFS(
  AND(REGEXMATCH(E1736, ""台銀籌備帳戶|玉山帳戶""), REGEXMATCH(C1736, ""薪資"")), ""分潤支出"",
  AND(REGEXMATCH(E1736, ""Ben帳戶|Elsa帳戶|Ben代墊|Ariel代墊|中信銀行共用""), REGEXMATCH(F1736, ""Ben帳戶|Elsa帳戶|Ben代墊|Ariel代墊|中信銀行共用"")), ""內部轉帳(忽略)"",
  AND(E1736&lt;&gt;"""", F1736&lt;&gt;"""", N"&amp;"OT(REGEXMATCH(C1736, ""薪資""))), ""內部轉帳(忽略)"",
  REGEXMATCH(C1736, ""薪資""), ""薪資變動(不計入)"",
  REGEXMATCH(C1736, ""押金""), ""押金往來"",
  AND(E1736&lt;&gt;"""", F1736=""""), ""真實支出"",
  AND(E1736="""", F1736&lt;&gt;""""), ""真實收入"",
  TRUE, ""其他""
)"),"真實收入")</f>
        <v>真實收入</v>
      </c>
      <c r="K1736" s="270">
        <f t="shared" si="2"/>
        <v>40250</v>
      </c>
      <c r="L1736">
        <f t="shared" si="3"/>
        <v>0</v>
      </c>
    </row>
    <row r="1737">
      <c r="A1737" s="107">
        <f>IFERROR(__xludf.DUMMYFUNCTION("""COMPUTED_VALUE"""),45732.0)</f>
        <v>45732</v>
      </c>
      <c r="B1737" t="str">
        <f>IFERROR(__xludf.DUMMYFUNCTION("""COMPUTED_VALUE"""),"[龍江229]侑霖 押金")</f>
        <v>[龍江229]侑霖 押金</v>
      </c>
      <c r="C1737" t="str">
        <f>IFERROR(__xludf.DUMMYFUNCTION("""COMPUTED_VALUE"""),"收入 - 押金")</f>
        <v>收入 - 押金</v>
      </c>
      <c r="D1737" s="270">
        <f>IFERROR(__xludf.DUMMYFUNCTION("""COMPUTED_VALUE"""),25000.0)</f>
        <v>25000</v>
      </c>
      <c r="F1737" t="str">
        <f>IFERROR(__xludf.DUMMYFUNCTION("""COMPUTED_VALUE"""),"台銀籌備帳戶")</f>
        <v>台銀籌備帳戶</v>
      </c>
      <c r="G1737" t="str">
        <f>IFERROR(__xludf.DUMMYFUNCTION("""COMPUTED_VALUE"""),"龍江229")</f>
        <v>龍江229</v>
      </c>
      <c r="H1737" s="106" t="str">
        <f t="shared" si="1"/>
        <v>2025-03</v>
      </c>
      <c r="I1737" s="271" t="str">
        <f>IFERROR(__xludf.DUMMYFUNCTION("""COMPUTED_VALUE"""),"貓狗企鵝")</f>
        <v>貓狗企鵝</v>
      </c>
      <c r="J1737" t="str">
        <f>IFERROR(__xludf.DUMMYFUNCTION("IFS(
  AND(REGEXMATCH(E1737, ""台銀籌備帳戶|玉山帳戶""), REGEXMATCH(C1737, ""薪資"")), ""分潤支出"",
  AND(REGEXMATCH(E1737, ""Ben帳戶|Elsa帳戶|Ben代墊|Ariel代墊|中信銀行共用""), REGEXMATCH(F1737, ""Ben帳戶|Elsa帳戶|Ben代墊|Ariel代墊|中信銀行共用"")), ""內部轉帳(忽略)"",
  AND(E1737&lt;&gt;"""", F1737&lt;&gt;"""", N"&amp;"OT(REGEXMATCH(C1737, ""薪資""))), ""內部轉帳(忽略)"",
  REGEXMATCH(C1737, ""薪資""), ""薪資變動(不計入)"",
  REGEXMATCH(C1737, ""押金""), ""押金往來"",
  AND(E1737&lt;&gt;"""", F1737=""""), ""真實支出"",
  AND(E1737="""", F1737&lt;&gt;""""), ""真實收入"",
  TRUE, ""其他""
)"),"押金往來")</f>
        <v>押金往來</v>
      </c>
      <c r="K1737">
        <f t="shared" si="2"/>
        <v>0</v>
      </c>
      <c r="L1737">
        <f t="shared" si="3"/>
        <v>0</v>
      </c>
    </row>
    <row r="1738">
      <c r="A1738" s="107">
        <f>IFERROR(__xludf.DUMMYFUNCTION("""COMPUTED_VALUE"""),45732.0)</f>
        <v>45732</v>
      </c>
      <c r="B1738" t="str">
        <f>IFERROR(__xludf.DUMMYFUNCTION("""COMPUTED_VALUE"""),"[龍江229]侑霖３月租金")</f>
        <v>[龍江229]侑霖３月租金</v>
      </c>
      <c r="C1738" t="str">
        <f>IFERROR(__xludf.DUMMYFUNCTION("""COMPUTED_VALUE"""),"收入 - 租金")</f>
        <v>收入 - 租金</v>
      </c>
      <c r="D1738" s="270">
        <f>IFERROR(__xludf.DUMMYFUNCTION("""COMPUTED_VALUE"""),6452.0)</f>
        <v>6452</v>
      </c>
      <c r="F1738" t="str">
        <f>IFERROR(__xludf.DUMMYFUNCTION("""COMPUTED_VALUE"""),"台銀籌備帳戶")</f>
        <v>台銀籌備帳戶</v>
      </c>
      <c r="G1738" t="str">
        <f>IFERROR(__xludf.DUMMYFUNCTION("""COMPUTED_VALUE"""),"龍江229")</f>
        <v>龍江229</v>
      </c>
      <c r="H1738" s="106" t="str">
        <f t="shared" si="1"/>
        <v>2025-03</v>
      </c>
      <c r="I1738" s="271" t="str">
        <f>IFERROR(__xludf.DUMMYFUNCTION("""COMPUTED_VALUE"""),"貓狗企鵝")</f>
        <v>貓狗企鵝</v>
      </c>
      <c r="J1738" t="str">
        <f>IFERROR(__xludf.DUMMYFUNCTION("IFS(
  AND(REGEXMATCH(E1738, ""台銀籌備帳戶|玉山帳戶""), REGEXMATCH(C1738, ""薪資"")), ""分潤支出"",
  AND(REGEXMATCH(E1738, ""Ben帳戶|Elsa帳戶|Ben代墊|Ariel代墊|中信銀行共用""), REGEXMATCH(F1738, ""Ben帳戶|Elsa帳戶|Ben代墊|Ariel代墊|中信銀行共用"")), ""內部轉帳(忽略)"",
  AND(E1738&lt;&gt;"""", F1738&lt;&gt;"""", N"&amp;"OT(REGEXMATCH(C1738, ""薪資""))), ""內部轉帳(忽略)"",
  REGEXMATCH(C1738, ""薪資""), ""薪資變動(不計入)"",
  REGEXMATCH(C1738, ""押金""), ""押金往來"",
  AND(E1738&lt;&gt;"""", F1738=""""), ""真實支出"",
  AND(E1738="""", F1738&lt;&gt;""""), ""真實收入"",
  TRUE, ""其他""
)"),"真實收入")</f>
        <v>真實收入</v>
      </c>
      <c r="K1738" s="270">
        <f t="shared" si="2"/>
        <v>6452</v>
      </c>
      <c r="L1738">
        <f t="shared" si="3"/>
        <v>0</v>
      </c>
    </row>
    <row r="1739">
      <c r="A1739" s="107">
        <f>IFERROR(__xludf.DUMMYFUNCTION("""COMPUTED_VALUE"""),45748.0)</f>
        <v>45748</v>
      </c>
      <c r="B1739" t="str">
        <f>IFERROR(__xludf.DUMMYFUNCTION("""COMPUTED_VALUE"""),"哈拉 B")</f>
        <v>哈拉 B</v>
      </c>
      <c r="C1739" t="str">
        <f>IFERROR(__xludf.DUMMYFUNCTION("""COMPUTED_VALUE"""),"收入 - 租金")</f>
        <v>收入 - 租金</v>
      </c>
      <c r="D1739" s="270">
        <f>IFERROR(__xludf.DUMMYFUNCTION("""COMPUTED_VALUE"""),15800.0)</f>
        <v>15800</v>
      </c>
      <c r="F1739" t="str">
        <f>IFERROR(__xludf.DUMMYFUNCTION("""COMPUTED_VALUE"""),"台銀籌備帳戶")</f>
        <v>台銀籌備帳戶</v>
      </c>
      <c r="G1739" t="str">
        <f>IFERROR(__xludf.DUMMYFUNCTION("""COMPUTED_VALUE"""),"哈拉對面")</f>
        <v>哈拉對面</v>
      </c>
      <c r="H1739" s="106" t="str">
        <f t="shared" si="1"/>
        <v>2025-04</v>
      </c>
      <c r="I1739" s="271" t="str">
        <f>IFERROR(__xludf.DUMMYFUNCTION("""COMPUTED_VALUE"""),"貓狗企鵝")</f>
        <v>貓狗企鵝</v>
      </c>
      <c r="J1739" t="str">
        <f>IFERROR(__xludf.DUMMYFUNCTION("IFS(
  AND(REGEXMATCH(E1739, ""台銀籌備帳戶|玉山帳戶""), REGEXMATCH(C1739, ""薪資"")), ""分潤支出"",
  AND(REGEXMATCH(E1739, ""Ben帳戶|Elsa帳戶|Ben代墊|Ariel代墊|中信銀行共用""), REGEXMATCH(F1739, ""Ben帳戶|Elsa帳戶|Ben代墊|Ariel代墊|中信銀行共用"")), ""內部轉帳(忽略)"",
  AND(E1739&lt;&gt;"""", F1739&lt;&gt;"""", N"&amp;"OT(REGEXMATCH(C1739, ""薪資""))), ""內部轉帳(忽略)"",
  REGEXMATCH(C1739, ""薪資""), ""薪資變動(不計入)"",
  REGEXMATCH(C1739, ""押金""), ""押金往來"",
  AND(E1739&lt;&gt;"""", F1739=""""), ""真實支出"",
  AND(E1739="""", F1739&lt;&gt;""""), ""真實收入"",
  TRUE, ""其他""
)"),"真實收入")</f>
        <v>真實收入</v>
      </c>
      <c r="K1739" s="270">
        <f t="shared" si="2"/>
        <v>15800</v>
      </c>
      <c r="L1739">
        <f t="shared" si="3"/>
        <v>0</v>
      </c>
    </row>
    <row r="1740">
      <c r="A1740" s="107">
        <f>IFERROR(__xludf.DUMMYFUNCTION("""COMPUTED_VALUE"""),45748.0)</f>
        <v>45748</v>
      </c>
      <c r="B1740" t="str">
        <f>IFERROR(__xludf.DUMMYFUNCTION("""COMPUTED_VALUE"""),"[龍江229] E 侑霖")</f>
        <v>[龍江229] E 侑霖</v>
      </c>
      <c r="C1740" t="str">
        <f>IFERROR(__xludf.DUMMYFUNCTION("""COMPUTED_VALUE"""),"收入 - 租金")</f>
        <v>收入 - 租金</v>
      </c>
      <c r="D1740" s="270">
        <f>IFERROR(__xludf.DUMMYFUNCTION("""COMPUTED_VALUE"""),12500.0)</f>
        <v>12500</v>
      </c>
      <c r="F1740" t="str">
        <f>IFERROR(__xludf.DUMMYFUNCTION("""COMPUTED_VALUE"""),"台銀籌備帳戶")</f>
        <v>台銀籌備帳戶</v>
      </c>
      <c r="G1740" t="str">
        <f>IFERROR(__xludf.DUMMYFUNCTION("""COMPUTED_VALUE"""),"龍江229")</f>
        <v>龍江229</v>
      </c>
      <c r="H1740" s="106" t="str">
        <f t="shared" si="1"/>
        <v>2025-04</v>
      </c>
      <c r="I1740" s="271" t="str">
        <f>IFERROR(__xludf.DUMMYFUNCTION("""COMPUTED_VALUE"""),"貓狗企鵝")</f>
        <v>貓狗企鵝</v>
      </c>
      <c r="J1740" t="str">
        <f>IFERROR(__xludf.DUMMYFUNCTION("IFS(
  AND(REGEXMATCH(E1740, ""台銀籌備帳戶|玉山帳戶""), REGEXMATCH(C1740, ""薪資"")), ""分潤支出"",
  AND(REGEXMATCH(E1740, ""Ben帳戶|Elsa帳戶|Ben代墊|Ariel代墊|中信銀行共用""), REGEXMATCH(F1740, ""Ben帳戶|Elsa帳戶|Ben代墊|Ariel代墊|中信銀行共用"")), ""內部轉帳(忽略)"",
  AND(E1740&lt;&gt;"""", F1740&lt;&gt;"""", N"&amp;"OT(REGEXMATCH(C1740, ""薪資""))), ""內部轉帳(忽略)"",
  REGEXMATCH(C1740, ""薪資""), ""薪資變動(不計入)"",
  REGEXMATCH(C1740, ""押金""), ""押金往來"",
  AND(E1740&lt;&gt;"""", F1740=""""), ""真實支出"",
  AND(E1740="""", F1740&lt;&gt;""""), ""真實收入"",
  TRUE, ""其他""
)"),"真實收入")</f>
        <v>真實收入</v>
      </c>
      <c r="K1740" s="270">
        <f t="shared" si="2"/>
        <v>12500</v>
      </c>
      <c r="L1740">
        <f t="shared" si="3"/>
        <v>0</v>
      </c>
    </row>
    <row r="1741">
      <c r="A1741" s="107">
        <f>IFERROR(__xludf.DUMMYFUNCTION("""COMPUTED_VALUE"""),45748.0)</f>
        <v>45748</v>
      </c>
      <c r="B1741" t="str">
        <f>IFERROR(__xludf.DUMMYFUNCTION("""COMPUTED_VALUE"""),"[大湖山莊] G ")</f>
        <v>[大湖山莊] G </v>
      </c>
      <c r="C1741" t="str">
        <f>IFERROR(__xludf.DUMMYFUNCTION("""COMPUTED_VALUE"""),"收入 - 租金")</f>
        <v>收入 - 租金</v>
      </c>
      <c r="D1741" s="270">
        <f>IFERROR(__xludf.DUMMYFUNCTION("""COMPUTED_VALUE"""),16800.0)</f>
        <v>16800</v>
      </c>
      <c r="F1741" t="str">
        <f>IFERROR(__xludf.DUMMYFUNCTION("""COMPUTED_VALUE"""),"台銀籌備帳戶")</f>
        <v>台銀籌備帳戶</v>
      </c>
      <c r="G1741" t="str">
        <f>IFERROR(__xludf.DUMMYFUNCTION("""COMPUTED_VALUE"""),"大湖山莊")</f>
        <v>大湖山莊</v>
      </c>
      <c r="H1741" s="106" t="str">
        <f t="shared" si="1"/>
        <v>2025-04</v>
      </c>
      <c r="I1741" s="271" t="str">
        <f>IFERROR(__xludf.DUMMYFUNCTION("""COMPUTED_VALUE"""),"貓狗企鵝")</f>
        <v>貓狗企鵝</v>
      </c>
      <c r="J1741" t="str">
        <f>IFERROR(__xludf.DUMMYFUNCTION("IFS(
  AND(REGEXMATCH(E1741, ""台銀籌備帳戶|玉山帳戶""), REGEXMATCH(C1741, ""薪資"")), ""分潤支出"",
  AND(REGEXMATCH(E1741, ""Ben帳戶|Elsa帳戶|Ben代墊|Ariel代墊|中信銀行共用""), REGEXMATCH(F1741, ""Ben帳戶|Elsa帳戶|Ben代墊|Ariel代墊|中信銀行共用"")), ""內部轉帳(忽略)"",
  AND(E1741&lt;&gt;"""", F1741&lt;&gt;"""", N"&amp;"OT(REGEXMATCH(C1741, ""薪資""))), ""內部轉帳(忽略)"",
  REGEXMATCH(C1741, ""薪資""), ""薪資變動(不計入)"",
  REGEXMATCH(C1741, ""押金""), ""押金往來"",
  AND(E1741&lt;&gt;"""", F1741=""""), ""真實支出"",
  AND(E1741="""", F1741&lt;&gt;""""), ""真實收入"",
  TRUE, ""其他""
)"),"真實收入")</f>
        <v>真實收入</v>
      </c>
      <c r="K1741" s="270">
        <f t="shared" si="2"/>
        <v>16800</v>
      </c>
      <c r="L1741">
        <f t="shared" si="3"/>
        <v>0</v>
      </c>
    </row>
    <row r="1742">
      <c r="A1742" s="107">
        <f>IFERROR(__xludf.DUMMYFUNCTION("""COMPUTED_VALUE"""),45736.0)</f>
        <v>45736</v>
      </c>
      <c r="B1742" t="str">
        <f>IFERROR(__xludf.DUMMYFUNCTION("""COMPUTED_VALUE"""),"[龍江229] C [馬義鈞] 押金 (行號: 29, 34)")</f>
        <v>[龍江229] C [馬義鈞] 押金 (行號: 29, 34)</v>
      </c>
      <c r="C1742" t="str">
        <f>IFERROR(__xludf.DUMMYFUNCTION("""COMPUTED_VALUE"""),"收入 - 押金")</f>
        <v>收入 - 押金</v>
      </c>
      <c r="D1742" s="270">
        <f>IFERROR(__xludf.DUMMYFUNCTION("""COMPUTED_VALUE"""),37600.0)</f>
        <v>37600</v>
      </c>
      <c r="F1742" t="str">
        <f>IFERROR(__xludf.DUMMYFUNCTION("""COMPUTED_VALUE"""),"台銀籌備帳戶")</f>
        <v>台銀籌備帳戶</v>
      </c>
      <c r="G1742" t="str">
        <f>IFERROR(__xludf.DUMMYFUNCTION("""COMPUTED_VALUE"""),"龍江229")</f>
        <v>龍江229</v>
      </c>
      <c r="H1742" s="106" t="str">
        <f t="shared" si="1"/>
        <v>2025-03</v>
      </c>
      <c r="I1742" s="271" t="str">
        <f>IFERROR(__xludf.DUMMYFUNCTION("""COMPUTED_VALUE"""),"貓狗企鵝")</f>
        <v>貓狗企鵝</v>
      </c>
      <c r="J1742" t="str">
        <f>IFERROR(__xludf.DUMMYFUNCTION("IFS(
  AND(REGEXMATCH(E1742, ""台銀籌備帳戶|玉山帳戶""), REGEXMATCH(C1742, ""薪資"")), ""分潤支出"",
  AND(REGEXMATCH(E1742, ""Ben帳戶|Elsa帳戶|Ben代墊|Ariel代墊|中信銀行共用""), REGEXMATCH(F1742, ""Ben帳戶|Elsa帳戶|Ben代墊|Ariel代墊|中信銀行共用"")), ""內部轉帳(忽略)"",
  AND(E1742&lt;&gt;"""", F1742&lt;&gt;"""", N"&amp;"OT(REGEXMATCH(C1742, ""薪資""))), ""內部轉帳(忽略)"",
  REGEXMATCH(C1742, ""薪資""), ""薪資變動(不計入)"",
  REGEXMATCH(C1742, ""押金""), ""押金往來"",
  AND(E1742&lt;&gt;"""", F1742=""""), ""真實支出"",
  AND(E1742="""", F1742&lt;&gt;""""), ""真實收入"",
  TRUE, ""其他""
)"),"押金往來")</f>
        <v>押金往來</v>
      </c>
      <c r="K1742">
        <f t="shared" si="2"/>
        <v>0</v>
      </c>
      <c r="L1742">
        <f t="shared" si="3"/>
        <v>0</v>
      </c>
    </row>
    <row r="1743">
      <c r="A1743" s="107">
        <f>IFERROR(__xludf.DUMMYFUNCTION("""COMPUTED_VALUE"""),45736.0)</f>
        <v>45736</v>
      </c>
      <c r="B1743" t="str">
        <f>IFERROR(__xludf.DUMMYFUNCTION("""COMPUTED_VALUE"""),"[龍江229] C [馬義鈞] 首月租金 (行號: 29, 34)")</f>
        <v>[龍江229] C [馬義鈞] 首月租金 (行號: 29, 34)</v>
      </c>
      <c r="C1743" t="str">
        <f>IFERROR(__xludf.DUMMYFUNCTION("""COMPUTED_VALUE"""),"收入 - 租金")</f>
        <v>收入 - 租金</v>
      </c>
      <c r="D1743" s="270">
        <f>IFERROR(__xludf.DUMMYFUNCTION("""COMPUTED_VALUE"""),18800.0)</f>
        <v>18800</v>
      </c>
      <c r="F1743" t="str">
        <f>IFERROR(__xludf.DUMMYFUNCTION("""COMPUTED_VALUE"""),"台銀籌備帳戶")</f>
        <v>台銀籌備帳戶</v>
      </c>
      <c r="G1743" t="str">
        <f>IFERROR(__xludf.DUMMYFUNCTION("""COMPUTED_VALUE"""),"龍江229")</f>
        <v>龍江229</v>
      </c>
      <c r="H1743" s="106" t="str">
        <f t="shared" si="1"/>
        <v>2025-03</v>
      </c>
      <c r="I1743" s="271" t="str">
        <f>IFERROR(__xludf.DUMMYFUNCTION("""COMPUTED_VALUE"""),"貓狗企鵝")</f>
        <v>貓狗企鵝</v>
      </c>
      <c r="J1743" t="str">
        <f>IFERROR(__xludf.DUMMYFUNCTION("IFS(
  AND(REGEXMATCH(E1743, ""台銀籌備帳戶|玉山帳戶""), REGEXMATCH(C1743, ""薪資"")), ""分潤支出"",
  AND(REGEXMATCH(E1743, ""Ben帳戶|Elsa帳戶|Ben代墊|Ariel代墊|中信銀行共用""), REGEXMATCH(F1743, ""Ben帳戶|Elsa帳戶|Ben代墊|Ariel代墊|中信銀行共用"")), ""內部轉帳(忽略)"",
  AND(E1743&lt;&gt;"""", F1743&lt;&gt;"""", N"&amp;"OT(REGEXMATCH(C1743, ""薪資""))), ""內部轉帳(忽略)"",
  REGEXMATCH(C1743, ""薪資""), ""薪資變動(不計入)"",
  REGEXMATCH(C1743, ""押金""), ""押金往來"",
  AND(E1743&lt;&gt;"""", F1743=""""), ""真實支出"",
  AND(E1743="""", F1743&lt;&gt;""""), ""真實收入"",
  TRUE, ""其他""
)"),"真實收入")</f>
        <v>真實收入</v>
      </c>
      <c r="K1743" s="270">
        <f t="shared" si="2"/>
        <v>18800</v>
      </c>
      <c r="L1743">
        <f t="shared" si="3"/>
        <v>0</v>
      </c>
    </row>
    <row r="1744">
      <c r="A1744" s="107">
        <f>IFERROR(__xludf.DUMMYFUNCTION("""COMPUTED_VALUE"""),45741.0)</f>
        <v>45741</v>
      </c>
      <c r="B1744" t="str">
        <f>IFERROR(__xludf.DUMMYFUNCTION("""COMPUTED_VALUE"""),"[大湖山莊] F [吳智方, 蘇婉彤] 月租金 (行號: 31, 32)")</f>
        <v>[大湖山莊] F [吳智方, 蘇婉彤] 月租金 (行號: 31, 32)</v>
      </c>
      <c r="C1744" t="str">
        <f>IFERROR(__xludf.DUMMYFUNCTION("""COMPUTED_VALUE"""),"收入 - 租金")</f>
        <v>收入 - 租金</v>
      </c>
      <c r="D1744" s="270">
        <f>IFERROR(__xludf.DUMMYFUNCTION("""COMPUTED_VALUE"""),18000.0)</f>
        <v>18000</v>
      </c>
      <c r="F1744" t="str">
        <f>IFERROR(__xludf.DUMMYFUNCTION("""COMPUTED_VALUE"""),"台銀籌備帳戶")</f>
        <v>台銀籌備帳戶</v>
      </c>
      <c r="G1744" t="str">
        <f>IFERROR(__xludf.DUMMYFUNCTION("""COMPUTED_VALUE"""),"大湖山莊")</f>
        <v>大湖山莊</v>
      </c>
      <c r="H1744" s="106" t="str">
        <f t="shared" si="1"/>
        <v>2025-03</v>
      </c>
      <c r="I1744" s="271" t="str">
        <f>IFERROR(__xludf.DUMMYFUNCTION("""COMPUTED_VALUE"""),"貓狗企鵝")</f>
        <v>貓狗企鵝</v>
      </c>
      <c r="J1744" t="str">
        <f>IFERROR(__xludf.DUMMYFUNCTION("IFS(
  AND(REGEXMATCH(E1744, ""台銀籌備帳戶|玉山帳戶""), REGEXMATCH(C1744, ""薪資"")), ""分潤支出"",
  AND(REGEXMATCH(E1744, ""Ben帳戶|Elsa帳戶|Ben代墊|Ariel代墊|中信銀行共用""), REGEXMATCH(F1744, ""Ben帳戶|Elsa帳戶|Ben代墊|Ariel代墊|中信銀行共用"")), ""內部轉帳(忽略)"",
  AND(E1744&lt;&gt;"""", F1744&lt;&gt;"""", N"&amp;"OT(REGEXMATCH(C1744, ""薪資""))), ""內部轉帳(忽略)"",
  REGEXMATCH(C1744, ""薪資""), ""薪資變動(不計入)"",
  REGEXMATCH(C1744, ""押金""), ""押金往來"",
  AND(E1744&lt;&gt;"""", F1744=""""), ""真實支出"",
  AND(E1744="""", F1744&lt;&gt;""""), ""真實收入"",
  TRUE, ""其他""
)"),"真實收入")</f>
        <v>真實收入</v>
      </c>
      <c r="K1744" s="270">
        <f t="shared" si="2"/>
        <v>18000</v>
      </c>
      <c r="L1744">
        <f t="shared" si="3"/>
        <v>0</v>
      </c>
    </row>
    <row r="1745">
      <c r="A1745" s="107">
        <f>IFERROR(__xludf.DUMMYFUNCTION("""COMPUTED_VALUE"""),45741.0)</f>
        <v>45741</v>
      </c>
      <c r="B1745" t="str">
        <f>IFERROR(__xludf.DUMMYFUNCTION("""COMPUTED_VALUE"""),"[北醫醫師府] D [劉怡秀]  押金")</f>
        <v>[北醫醫師府] D [劉怡秀]  押金</v>
      </c>
      <c r="C1745" t="str">
        <f>IFERROR(__xludf.DUMMYFUNCTION("""COMPUTED_VALUE"""),"收入 - 押金")</f>
        <v>收入 - 押金</v>
      </c>
      <c r="D1745" s="270">
        <f>IFERROR(__xludf.DUMMYFUNCTION("""COMPUTED_VALUE"""),3200.0)</f>
        <v>3200</v>
      </c>
      <c r="F1745" t="str">
        <f>IFERROR(__xludf.DUMMYFUNCTION("""COMPUTED_VALUE"""),"台銀籌備帳戶")</f>
        <v>台銀籌備帳戶</v>
      </c>
      <c r="G1745" t="str">
        <f>IFERROR(__xludf.DUMMYFUNCTION("""COMPUTED_VALUE"""),"北醫醫師府")</f>
        <v>北醫醫師府</v>
      </c>
      <c r="H1745" s="106" t="str">
        <f t="shared" si="1"/>
        <v>2025-03</v>
      </c>
      <c r="I1745" s="271" t="str">
        <f>IFERROR(__xludf.DUMMYFUNCTION("""COMPUTED_VALUE"""),"貓狗企鵝")</f>
        <v>貓狗企鵝</v>
      </c>
      <c r="J1745" t="str">
        <f>IFERROR(__xludf.DUMMYFUNCTION("IFS(
  AND(REGEXMATCH(E1745, ""台銀籌備帳戶|玉山帳戶""), REGEXMATCH(C1745, ""薪資"")), ""分潤支出"",
  AND(REGEXMATCH(E1745, ""Ben帳戶|Elsa帳戶|Ben代墊|Ariel代墊|中信銀行共用""), REGEXMATCH(F1745, ""Ben帳戶|Elsa帳戶|Ben代墊|Ariel代墊|中信銀行共用"")), ""內部轉帳(忽略)"",
  AND(E1745&lt;&gt;"""", F1745&lt;&gt;"""", N"&amp;"OT(REGEXMATCH(C1745, ""薪資""))), ""內部轉帳(忽略)"",
  REGEXMATCH(C1745, ""薪資""), ""薪資變動(不計入)"",
  REGEXMATCH(C1745, ""押金""), ""押金往來"",
  AND(E1745&lt;&gt;"""", F1745=""""), ""真實支出"",
  AND(E1745="""", F1745&lt;&gt;""""), ""真實收入"",
  TRUE, ""其他""
)"),"押金往來")</f>
        <v>押金往來</v>
      </c>
      <c r="K1745">
        <f t="shared" si="2"/>
        <v>0</v>
      </c>
      <c r="L1745">
        <f t="shared" si="3"/>
        <v>0</v>
      </c>
    </row>
    <row r="1746">
      <c r="A1746" s="107">
        <f>IFERROR(__xludf.DUMMYFUNCTION("""COMPUTED_VALUE"""),45743.0)</f>
        <v>45743</v>
      </c>
      <c r="B1746" t="str">
        <f>IFERROR(__xludf.DUMMYFUNCTION("""COMPUTED_VALUE"""),"[景安2分鐘] C [楊玉如] 合約 CR00072 (行號: 42, 46)")</f>
        <v>[景安2分鐘] C [楊玉如] 合約 CR00072 (行號: 42, 46)</v>
      </c>
      <c r="C1746" t="str">
        <f>IFERROR(__xludf.DUMMYFUNCTION("""COMPUTED_VALUE"""),"收入 - 租金")</f>
        <v>收入 - 租金</v>
      </c>
      <c r="D1746" s="270">
        <f>IFERROR(__xludf.DUMMYFUNCTION("""COMPUTED_VALUE"""),12300.0)</f>
        <v>12300</v>
      </c>
      <c r="F1746" t="str">
        <f>IFERROR(__xludf.DUMMYFUNCTION("""COMPUTED_VALUE"""),"台銀籌備帳戶")</f>
        <v>台銀籌備帳戶</v>
      </c>
      <c r="G1746" t="str">
        <f>IFERROR(__xludf.DUMMYFUNCTION("""COMPUTED_VALUE"""),"景安2分鐘")</f>
        <v>景安2分鐘</v>
      </c>
      <c r="H1746" s="106" t="str">
        <f t="shared" si="1"/>
        <v>2025-03</v>
      </c>
      <c r="I1746" s="271" t="str">
        <f>IFERROR(__xludf.DUMMYFUNCTION("""COMPUTED_VALUE"""),"貓狗企鵝")</f>
        <v>貓狗企鵝</v>
      </c>
      <c r="J1746" t="str">
        <f>IFERROR(__xludf.DUMMYFUNCTION("IFS(
  AND(REGEXMATCH(E1746, ""台銀籌備帳戶|玉山帳戶""), REGEXMATCH(C1746, ""薪資"")), ""分潤支出"",
  AND(REGEXMATCH(E1746, ""Ben帳戶|Elsa帳戶|Ben代墊|Ariel代墊|中信銀行共用""), REGEXMATCH(F1746, ""Ben帳戶|Elsa帳戶|Ben代墊|Ariel代墊|中信銀行共用"")), ""內部轉帳(忽略)"",
  AND(E1746&lt;&gt;"""", F1746&lt;&gt;"""", N"&amp;"OT(REGEXMATCH(C1746, ""薪資""))), ""內部轉帳(忽略)"",
  REGEXMATCH(C1746, ""薪資""), ""薪資變動(不計入)"",
  REGEXMATCH(C1746, ""押金""), ""押金往來"",
  AND(E1746&lt;&gt;"""", F1746=""""), ""真實支出"",
  AND(E1746="""", F1746&lt;&gt;""""), ""真實收入"",
  TRUE, ""其他""
)"),"真實收入")</f>
        <v>真實收入</v>
      </c>
      <c r="K1746" s="270">
        <f t="shared" si="2"/>
        <v>12300</v>
      </c>
      <c r="L1746">
        <f t="shared" si="3"/>
        <v>0</v>
      </c>
    </row>
    <row r="1747">
      <c r="A1747" s="107">
        <f>IFERROR(__xludf.DUMMYFUNCTION("""COMPUTED_VALUE"""),45745.0)</f>
        <v>45745</v>
      </c>
      <c r="B1747" t="str">
        <f>IFERROR(__xludf.DUMMYFUNCTION("""COMPUTED_VALUE"""),"[南港站挑高宅] B [林鍇蓓] 月租金 (行號: 43)")</f>
        <v>[南港站挑高宅] B [林鍇蓓] 月租金 (行號: 43)</v>
      </c>
      <c r="C1747" t="str">
        <f>IFERROR(__xludf.DUMMYFUNCTION("""COMPUTED_VALUE"""),"收入 - 租金")</f>
        <v>收入 - 租金</v>
      </c>
      <c r="D1747" s="270">
        <f>IFERROR(__xludf.DUMMYFUNCTION("""COMPUTED_VALUE"""),12300.0)</f>
        <v>12300</v>
      </c>
      <c r="F1747" t="str">
        <f>IFERROR(__xludf.DUMMYFUNCTION("""COMPUTED_VALUE"""),"台銀籌備帳戶")</f>
        <v>台銀籌備帳戶</v>
      </c>
      <c r="G1747" t="str">
        <f>IFERROR(__xludf.DUMMYFUNCTION("""COMPUTED_VALUE"""),"南港站挑高宅")</f>
        <v>南港站挑高宅</v>
      </c>
      <c r="H1747" s="106" t="str">
        <f t="shared" si="1"/>
        <v>2025-03</v>
      </c>
      <c r="I1747" s="271" t="str">
        <f>IFERROR(__xludf.DUMMYFUNCTION("""COMPUTED_VALUE"""),"貓狗企鵝")</f>
        <v>貓狗企鵝</v>
      </c>
      <c r="J1747" t="str">
        <f>IFERROR(__xludf.DUMMYFUNCTION("IFS(
  AND(REGEXMATCH(E1747, ""台銀籌備帳戶|玉山帳戶""), REGEXMATCH(C1747, ""薪資"")), ""分潤支出"",
  AND(REGEXMATCH(E1747, ""Ben帳戶|Elsa帳戶|Ben代墊|Ariel代墊|中信銀行共用""), REGEXMATCH(F1747, ""Ben帳戶|Elsa帳戶|Ben代墊|Ariel代墊|中信銀行共用"")), ""內部轉帳(忽略)"",
  AND(E1747&lt;&gt;"""", F1747&lt;&gt;"""", N"&amp;"OT(REGEXMATCH(C1747, ""薪資""))), ""內部轉帳(忽略)"",
  REGEXMATCH(C1747, ""薪資""), ""薪資變動(不計入)"",
  REGEXMATCH(C1747, ""押金""), ""押金往來"",
  AND(E1747&lt;&gt;"""", F1747=""""), ""真實支出"",
  AND(E1747="""", F1747&lt;&gt;""""), ""真實收入"",
  TRUE, ""其他""
)"),"真實收入")</f>
        <v>真實收入</v>
      </c>
      <c r="K1747" s="270">
        <f t="shared" si="2"/>
        <v>12300</v>
      </c>
      <c r="L1747">
        <f t="shared" si="3"/>
        <v>0</v>
      </c>
    </row>
    <row r="1748">
      <c r="A1748" s="107">
        <f>IFERROR(__xludf.DUMMYFUNCTION("""COMPUTED_VALUE"""),45747.0)</f>
        <v>45747</v>
      </c>
      <c r="B1748" t="str">
        <f>IFERROR(__xludf.DUMMYFUNCTION("""COMPUTED_VALUE"""),"[金龍帽子先生] A [何佩勳] 月租金 (行號: 45)")</f>
        <v>[金龍帽子先生] A [何佩勳] 月租金 (行號: 45)</v>
      </c>
      <c r="C1748" t="str">
        <f>IFERROR(__xludf.DUMMYFUNCTION("""COMPUTED_VALUE"""),"收入 - 租金")</f>
        <v>收入 - 租金</v>
      </c>
      <c r="D1748" s="270">
        <f>IFERROR(__xludf.DUMMYFUNCTION("""COMPUTED_VALUE"""),17200.0)</f>
        <v>17200</v>
      </c>
      <c r="F1748" t="str">
        <f>IFERROR(__xludf.DUMMYFUNCTION("""COMPUTED_VALUE"""),"台銀籌備帳戶")</f>
        <v>台銀籌備帳戶</v>
      </c>
      <c r="G1748" t="str">
        <f>IFERROR(__xludf.DUMMYFUNCTION("""COMPUTED_VALUE"""),"金龍帽子先生")</f>
        <v>金龍帽子先生</v>
      </c>
      <c r="H1748" s="106" t="str">
        <f t="shared" si="1"/>
        <v>2025-03</v>
      </c>
      <c r="I1748" s="271" t="str">
        <f>IFERROR(__xludf.DUMMYFUNCTION("""COMPUTED_VALUE"""),"貓狗企鵝")</f>
        <v>貓狗企鵝</v>
      </c>
      <c r="J1748" t="str">
        <f>IFERROR(__xludf.DUMMYFUNCTION("IFS(
  AND(REGEXMATCH(E1748, ""台銀籌備帳戶|玉山帳戶""), REGEXMATCH(C1748, ""薪資"")), ""分潤支出"",
  AND(REGEXMATCH(E1748, ""Ben帳戶|Elsa帳戶|Ben代墊|Ariel代墊|中信銀行共用""), REGEXMATCH(F1748, ""Ben帳戶|Elsa帳戶|Ben代墊|Ariel代墊|中信銀行共用"")), ""內部轉帳(忽略)"",
  AND(E1748&lt;&gt;"""", F1748&lt;&gt;"""", N"&amp;"OT(REGEXMATCH(C1748, ""薪資""))), ""內部轉帳(忽略)"",
  REGEXMATCH(C1748, ""薪資""), ""薪資變動(不計入)"",
  REGEXMATCH(C1748, ""押金""), ""押金往來"",
  AND(E1748&lt;&gt;"""", F1748=""""), ""真實支出"",
  AND(E1748="""", F1748&lt;&gt;""""), ""真實收入"",
  TRUE, ""其他""
)"),"真實收入")</f>
        <v>真實收入</v>
      </c>
      <c r="K1748" s="270">
        <f t="shared" si="2"/>
        <v>17200</v>
      </c>
      <c r="L1748">
        <f t="shared" si="3"/>
        <v>0</v>
      </c>
    </row>
    <row r="1749">
      <c r="A1749" s="107">
        <f>IFERROR(__xludf.DUMMYFUNCTION("""COMPUTED_VALUE"""),45747.0)</f>
        <v>45747</v>
      </c>
      <c r="B1749" t="str">
        <f>IFERROR(__xludf.DUMMYFUNCTION("""COMPUTED_VALUE"""),"[哈拉對面] D [柳翰洋] 月租金 (行號: 47)")</f>
        <v>[哈拉對面] D [柳翰洋] 月租金 (行號: 47)</v>
      </c>
      <c r="C1749" t="str">
        <f>IFERROR(__xludf.DUMMYFUNCTION("""COMPUTED_VALUE"""),"收入 - 租金")</f>
        <v>收入 - 租金</v>
      </c>
      <c r="D1749" s="270">
        <f>IFERROR(__xludf.DUMMYFUNCTION("""COMPUTED_VALUE"""),11800.0)</f>
        <v>11800</v>
      </c>
      <c r="F1749" t="str">
        <f>IFERROR(__xludf.DUMMYFUNCTION("""COMPUTED_VALUE"""),"台銀籌備帳戶")</f>
        <v>台銀籌備帳戶</v>
      </c>
      <c r="G1749" t="str">
        <f>IFERROR(__xludf.DUMMYFUNCTION("""COMPUTED_VALUE"""),"哈拉對面")</f>
        <v>哈拉對面</v>
      </c>
      <c r="H1749" s="106" t="str">
        <f t="shared" si="1"/>
        <v>2025-03</v>
      </c>
      <c r="I1749" s="271" t="str">
        <f>IFERROR(__xludf.DUMMYFUNCTION("""COMPUTED_VALUE"""),"貓狗企鵝")</f>
        <v>貓狗企鵝</v>
      </c>
      <c r="J1749" t="str">
        <f>IFERROR(__xludf.DUMMYFUNCTION("IFS(
  AND(REGEXMATCH(E1749, ""台銀籌備帳戶|玉山帳戶""), REGEXMATCH(C1749, ""薪資"")), ""分潤支出"",
  AND(REGEXMATCH(E1749, ""Ben帳戶|Elsa帳戶|Ben代墊|Ariel代墊|中信銀行共用""), REGEXMATCH(F1749, ""Ben帳戶|Elsa帳戶|Ben代墊|Ariel代墊|中信銀行共用"")), ""內部轉帳(忽略)"",
  AND(E1749&lt;&gt;"""", F1749&lt;&gt;"""", N"&amp;"OT(REGEXMATCH(C1749, ""薪資""))), ""內部轉帳(忽略)"",
  REGEXMATCH(C1749, ""薪資""), ""薪資變動(不計入)"",
  REGEXMATCH(C1749, ""押金""), ""押金往來"",
  AND(E1749&lt;&gt;"""", F1749=""""), ""真實支出"",
  AND(E1749="""", F1749&lt;&gt;""""), ""真實收入"",
  TRUE, ""其他""
)"),"真實收入")</f>
        <v>真實收入</v>
      </c>
      <c r="K1749" s="270">
        <f t="shared" si="2"/>
        <v>11800</v>
      </c>
      <c r="L1749">
        <f t="shared" si="3"/>
        <v>0</v>
      </c>
    </row>
    <row r="1750">
      <c r="A1750" s="107">
        <f>IFERROR(__xludf.DUMMYFUNCTION("""COMPUTED_VALUE"""),45747.0)</f>
        <v>45747</v>
      </c>
      <c r="B1750" t="str">
        <f>IFERROR(__xludf.DUMMYFUNCTION("""COMPUTED_VALUE"""),"[金龍帽子先生] B [謝歆俞] 月租金 (行號: 48)")</f>
        <v>[金龍帽子先生] B [謝歆俞] 月租金 (行號: 48)</v>
      </c>
      <c r="C1750" t="str">
        <f>IFERROR(__xludf.DUMMYFUNCTION("""COMPUTED_VALUE"""),"收入 - 租金")</f>
        <v>收入 - 租金</v>
      </c>
      <c r="D1750" s="270">
        <f>IFERROR(__xludf.DUMMYFUNCTION("""COMPUTED_VALUE"""),12700.0)</f>
        <v>12700</v>
      </c>
      <c r="F1750" t="str">
        <f>IFERROR(__xludf.DUMMYFUNCTION("""COMPUTED_VALUE"""),"台銀籌備帳戶")</f>
        <v>台銀籌備帳戶</v>
      </c>
      <c r="G1750" t="str">
        <f>IFERROR(__xludf.DUMMYFUNCTION("""COMPUTED_VALUE"""),"金龍帽子先生")</f>
        <v>金龍帽子先生</v>
      </c>
      <c r="H1750" s="106" t="str">
        <f t="shared" si="1"/>
        <v>2025-03</v>
      </c>
      <c r="I1750" s="271" t="str">
        <f>IFERROR(__xludf.DUMMYFUNCTION("""COMPUTED_VALUE"""),"貓狗企鵝")</f>
        <v>貓狗企鵝</v>
      </c>
      <c r="J1750" t="str">
        <f>IFERROR(__xludf.DUMMYFUNCTION("IFS(
  AND(REGEXMATCH(E1750, ""台銀籌備帳戶|玉山帳戶""), REGEXMATCH(C1750, ""薪資"")), ""分潤支出"",
  AND(REGEXMATCH(E1750, ""Ben帳戶|Elsa帳戶|Ben代墊|Ariel代墊|中信銀行共用""), REGEXMATCH(F1750, ""Ben帳戶|Elsa帳戶|Ben代墊|Ariel代墊|中信銀行共用"")), ""內部轉帳(忽略)"",
  AND(E1750&lt;&gt;"""", F1750&lt;&gt;"""", N"&amp;"OT(REGEXMATCH(C1750, ""薪資""))), ""內部轉帳(忽略)"",
  REGEXMATCH(C1750, ""薪資""), ""薪資變動(不計入)"",
  REGEXMATCH(C1750, ""押金""), ""押金往來"",
  AND(E1750&lt;&gt;"""", F1750=""""), ""真實支出"",
  AND(E1750="""", F1750&lt;&gt;""""), ""真實收入"",
  TRUE, ""其他""
)"),"真實收入")</f>
        <v>真實收入</v>
      </c>
      <c r="K1750" s="270">
        <f t="shared" si="2"/>
        <v>12700</v>
      </c>
      <c r="L1750">
        <f t="shared" si="3"/>
        <v>0</v>
      </c>
    </row>
    <row r="1751">
      <c r="A1751" s="107">
        <f>IFERROR(__xludf.DUMMYFUNCTION("""COMPUTED_VALUE"""),45747.0)</f>
        <v>45747</v>
      </c>
      <c r="B1751" t="str">
        <f>IFERROR(__xludf.DUMMYFUNCTION("""COMPUTED_VALUE"""),"[大湖山莊] B [施惠卿] 月租金 (行號: 50)")</f>
        <v>[大湖山莊] B [施惠卿] 月租金 (行號: 50)</v>
      </c>
      <c r="C1751" t="str">
        <f>IFERROR(__xludf.DUMMYFUNCTION("""COMPUTED_VALUE"""),"收入 - 租金")</f>
        <v>收入 - 租金</v>
      </c>
      <c r="D1751" s="270">
        <f>IFERROR(__xludf.DUMMYFUNCTION("""COMPUTED_VALUE"""),12800.0)</f>
        <v>12800</v>
      </c>
      <c r="F1751" t="str">
        <f>IFERROR(__xludf.DUMMYFUNCTION("""COMPUTED_VALUE"""),"台銀籌備帳戶")</f>
        <v>台銀籌備帳戶</v>
      </c>
      <c r="G1751" t="str">
        <f>IFERROR(__xludf.DUMMYFUNCTION("""COMPUTED_VALUE"""),"大湖山莊")</f>
        <v>大湖山莊</v>
      </c>
      <c r="H1751" s="106" t="str">
        <f t="shared" si="1"/>
        <v>2025-03</v>
      </c>
      <c r="I1751" s="271" t="str">
        <f>IFERROR(__xludf.DUMMYFUNCTION("""COMPUTED_VALUE"""),"貓狗企鵝")</f>
        <v>貓狗企鵝</v>
      </c>
      <c r="J1751" t="str">
        <f>IFERROR(__xludf.DUMMYFUNCTION("IFS(
  AND(REGEXMATCH(E1751, ""台銀籌備帳戶|玉山帳戶""), REGEXMATCH(C1751, ""薪資"")), ""分潤支出"",
  AND(REGEXMATCH(E1751, ""Ben帳戶|Elsa帳戶|Ben代墊|Ariel代墊|中信銀行共用""), REGEXMATCH(F1751, ""Ben帳戶|Elsa帳戶|Ben代墊|Ariel代墊|中信銀行共用"")), ""內部轉帳(忽略)"",
  AND(E1751&lt;&gt;"""", F1751&lt;&gt;"""", N"&amp;"OT(REGEXMATCH(C1751, ""薪資""))), ""內部轉帳(忽略)"",
  REGEXMATCH(C1751, ""薪資""), ""薪資變動(不計入)"",
  REGEXMATCH(C1751, ""押金""), ""押金往來"",
  AND(E1751&lt;&gt;"""", F1751=""""), ""真實支出"",
  AND(E1751="""", F1751&lt;&gt;""""), ""真實收入"",
  TRUE, ""其他""
)"),"真實收入")</f>
        <v>真實收入</v>
      </c>
      <c r="K1751" s="270">
        <f t="shared" si="2"/>
        <v>12800</v>
      </c>
      <c r="L1751">
        <f t="shared" si="3"/>
        <v>0</v>
      </c>
    </row>
    <row r="1752">
      <c r="A1752" s="107">
        <f>IFERROR(__xludf.DUMMYFUNCTION("""COMPUTED_VALUE"""),45747.0)</f>
        <v>45747</v>
      </c>
      <c r="B1752" t="str">
        <f>IFERROR(__xludf.DUMMYFUNCTION("""COMPUTED_VALUE"""),"[大湖山莊] C [姚伯謙] 月租金 (行號: 51)")</f>
        <v>[大湖山莊] C [姚伯謙] 月租金 (行號: 51)</v>
      </c>
      <c r="C1752" t="str">
        <f>IFERROR(__xludf.DUMMYFUNCTION("""COMPUTED_VALUE"""),"收入 - 租金")</f>
        <v>收入 - 租金</v>
      </c>
      <c r="D1752" s="270">
        <f>IFERROR(__xludf.DUMMYFUNCTION("""COMPUTED_VALUE"""),18800.0)</f>
        <v>18800</v>
      </c>
      <c r="F1752" t="str">
        <f>IFERROR(__xludf.DUMMYFUNCTION("""COMPUTED_VALUE"""),"台銀籌備帳戶")</f>
        <v>台銀籌備帳戶</v>
      </c>
      <c r="G1752" t="str">
        <f>IFERROR(__xludf.DUMMYFUNCTION("""COMPUTED_VALUE"""),"大湖山莊")</f>
        <v>大湖山莊</v>
      </c>
      <c r="H1752" s="106" t="str">
        <f t="shared" si="1"/>
        <v>2025-03</v>
      </c>
      <c r="I1752" s="271" t="str">
        <f>IFERROR(__xludf.DUMMYFUNCTION("""COMPUTED_VALUE"""),"貓狗企鵝")</f>
        <v>貓狗企鵝</v>
      </c>
      <c r="J1752" t="str">
        <f>IFERROR(__xludf.DUMMYFUNCTION("IFS(
  AND(REGEXMATCH(E1752, ""台銀籌備帳戶|玉山帳戶""), REGEXMATCH(C1752, ""薪資"")), ""分潤支出"",
  AND(REGEXMATCH(E1752, ""Ben帳戶|Elsa帳戶|Ben代墊|Ariel代墊|中信銀行共用""), REGEXMATCH(F1752, ""Ben帳戶|Elsa帳戶|Ben代墊|Ariel代墊|中信銀行共用"")), ""內部轉帳(忽略)"",
  AND(E1752&lt;&gt;"""", F1752&lt;&gt;"""", N"&amp;"OT(REGEXMATCH(C1752, ""薪資""))), ""內部轉帳(忽略)"",
  REGEXMATCH(C1752, ""薪資""), ""薪資變動(不計入)"",
  REGEXMATCH(C1752, ""押金""), ""押金往來"",
  AND(E1752&lt;&gt;"""", F1752=""""), ""真實支出"",
  AND(E1752="""", F1752&lt;&gt;""""), ""真實收入"",
  TRUE, ""其他""
)"),"真實收入")</f>
        <v>真實收入</v>
      </c>
      <c r="K1752" s="270">
        <f t="shared" si="2"/>
        <v>18800</v>
      </c>
      <c r="L1752">
        <f t="shared" si="3"/>
        <v>0</v>
      </c>
    </row>
    <row r="1753">
      <c r="A1753" s="107">
        <f>IFERROR(__xludf.DUMMYFUNCTION("""COMPUTED_VALUE"""),45748.0)</f>
        <v>45748</v>
      </c>
      <c r="B1753" t="str">
        <f>IFERROR(__xludf.DUMMYFUNCTION("""COMPUTED_VALUE"""),"[南港站挑高宅] D [吳城慕] 月租金 (行號: 52)")</f>
        <v>[南港站挑高宅] D [吳城慕] 月租金 (行號: 52)</v>
      </c>
      <c r="C1753" t="str">
        <f>IFERROR(__xludf.DUMMYFUNCTION("""COMPUTED_VALUE"""),"收入 - 租金")</f>
        <v>收入 - 租金</v>
      </c>
      <c r="D1753" s="270">
        <f>IFERROR(__xludf.DUMMYFUNCTION("""COMPUTED_VALUE"""),14300.0)</f>
        <v>14300</v>
      </c>
      <c r="F1753" t="str">
        <f>IFERROR(__xludf.DUMMYFUNCTION("""COMPUTED_VALUE"""),"台銀籌備帳戶")</f>
        <v>台銀籌備帳戶</v>
      </c>
      <c r="G1753" t="str">
        <f>IFERROR(__xludf.DUMMYFUNCTION("""COMPUTED_VALUE"""),"南港站挑高宅")</f>
        <v>南港站挑高宅</v>
      </c>
      <c r="H1753" s="106" t="str">
        <f t="shared" si="1"/>
        <v>2025-04</v>
      </c>
      <c r="I1753" s="271" t="str">
        <f>IFERROR(__xludf.DUMMYFUNCTION("""COMPUTED_VALUE"""),"貓狗企鵝")</f>
        <v>貓狗企鵝</v>
      </c>
      <c r="J1753" t="str">
        <f>IFERROR(__xludf.DUMMYFUNCTION("IFS(
  AND(REGEXMATCH(E1753, ""台銀籌備帳戶|玉山帳戶""), REGEXMATCH(C1753, ""薪資"")), ""分潤支出"",
  AND(REGEXMATCH(E1753, ""Ben帳戶|Elsa帳戶|Ben代墊|Ariel代墊|中信銀行共用""), REGEXMATCH(F1753, ""Ben帳戶|Elsa帳戶|Ben代墊|Ariel代墊|中信銀行共用"")), ""內部轉帳(忽略)"",
  AND(E1753&lt;&gt;"""", F1753&lt;&gt;"""", N"&amp;"OT(REGEXMATCH(C1753, ""薪資""))), ""內部轉帳(忽略)"",
  REGEXMATCH(C1753, ""薪資""), ""薪資變動(不計入)"",
  REGEXMATCH(C1753, ""押金""), ""押金往來"",
  AND(E1753&lt;&gt;"""", F1753=""""), ""真實支出"",
  AND(E1753="""", F1753&lt;&gt;""""), ""真實收入"",
  TRUE, ""其他""
)"),"真實收入")</f>
        <v>真實收入</v>
      </c>
      <c r="K1753" s="270">
        <f t="shared" si="2"/>
        <v>14300</v>
      </c>
      <c r="L1753">
        <f t="shared" si="3"/>
        <v>0</v>
      </c>
    </row>
    <row r="1754">
      <c r="A1754" s="107">
        <f>IFERROR(__xludf.DUMMYFUNCTION("""COMPUTED_VALUE"""),45748.0)</f>
        <v>45748</v>
      </c>
      <c r="B1754" t="str">
        <f>IFERROR(__xludf.DUMMYFUNCTION("""COMPUTED_VALUE"""),"[永春四號] D [翁政熙] 月租金 (行號: 66)")</f>
        <v>[永春四號] D [翁政熙] 月租金 (行號: 66)</v>
      </c>
      <c r="C1754" t="str">
        <f>IFERROR(__xludf.DUMMYFUNCTION("""COMPUTED_VALUE"""),"收入 - 租金")</f>
        <v>收入 - 租金</v>
      </c>
      <c r="D1754" s="270">
        <f>IFERROR(__xludf.DUMMYFUNCTION("""COMPUTED_VALUE"""),14800.0)</f>
        <v>14800</v>
      </c>
      <c r="F1754" t="str">
        <f>IFERROR(__xludf.DUMMYFUNCTION("""COMPUTED_VALUE"""),"台銀籌備帳戶")</f>
        <v>台銀籌備帳戶</v>
      </c>
      <c r="G1754" t="str">
        <f>IFERROR(__xludf.DUMMYFUNCTION("""COMPUTED_VALUE"""),"永春四號")</f>
        <v>永春四號</v>
      </c>
      <c r="H1754" s="106" t="str">
        <f t="shared" si="1"/>
        <v>2025-04</v>
      </c>
      <c r="I1754" s="271" t="str">
        <f>IFERROR(__xludf.DUMMYFUNCTION("""COMPUTED_VALUE"""),"貓狗企鵝")</f>
        <v>貓狗企鵝</v>
      </c>
      <c r="J1754" t="str">
        <f>IFERROR(__xludf.DUMMYFUNCTION("IFS(
  AND(REGEXMATCH(E1754, ""台銀籌備帳戶|玉山帳戶""), REGEXMATCH(C1754, ""薪資"")), ""分潤支出"",
  AND(REGEXMATCH(E1754, ""Ben帳戶|Elsa帳戶|Ben代墊|Ariel代墊|中信銀行共用""), REGEXMATCH(F1754, ""Ben帳戶|Elsa帳戶|Ben代墊|Ariel代墊|中信銀行共用"")), ""內部轉帳(忽略)"",
  AND(E1754&lt;&gt;"""", F1754&lt;&gt;"""", N"&amp;"OT(REGEXMATCH(C1754, ""薪資""))), ""內部轉帳(忽略)"",
  REGEXMATCH(C1754, ""薪資""), ""薪資變動(不計入)"",
  REGEXMATCH(C1754, ""押金""), ""押金往來"",
  AND(E1754&lt;&gt;"""", F1754=""""), ""真實支出"",
  AND(E1754="""", F1754&lt;&gt;""""), ""真實收入"",
  TRUE, ""其他""
)"),"真實收入")</f>
        <v>真實收入</v>
      </c>
      <c r="K1754" s="270">
        <f t="shared" si="2"/>
        <v>14800</v>
      </c>
      <c r="L1754">
        <f t="shared" si="3"/>
        <v>0</v>
      </c>
    </row>
    <row r="1755">
      <c r="A1755" s="107">
        <f>IFERROR(__xludf.DUMMYFUNCTION("""COMPUTED_VALUE"""),45748.0)</f>
        <v>45748</v>
      </c>
      <c r="B1755" t="str">
        <f>IFERROR(__xludf.DUMMYFUNCTION("""COMPUTED_VALUE"""),"[北醫醫師府] C [余典蓉] 月租金 (行號: 67)")</f>
        <v>[北醫醫師府] C [余典蓉] 月租金 (行號: 67)</v>
      </c>
      <c r="C1755" t="str">
        <f>IFERROR(__xludf.DUMMYFUNCTION("""COMPUTED_VALUE"""),"收入 - 租金")</f>
        <v>收入 - 租金</v>
      </c>
      <c r="D1755" s="270">
        <f>IFERROR(__xludf.DUMMYFUNCTION("""COMPUTED_VALUE"""),13000.0)</f>
        <v>13000</v>
      </c>
      <c r="F1755" t="str">
        <f>IFERROR(__xludf.DUMMYFUNCTION("""COMPUTED_VALUE"""),"台銀籌備帳戶")</f>
        <v>台銀籌備帳戶</v>
      </c>
      <c r="G1755" t="str">
        <f>IFERROR(__xludf.DUMMYFUNCTION("""COMPUTED_VALUE"""),"北醫醫師府")</f>
        <v>北醫醫師府</v>
      </c>
      <c r="H1755" s="106" t="str">
        <f t="shared" si="1"/>
        <v>2025-04</v>
      </c>
      <c r="I1755" s="271" t="str">
        <f>IFERROR(__xludf.DUMMYFUNCTION("""COMPUTED_VALUE"""),"貓狗企鵝")</f>
        <v>貓狗企鵝</v>
      </c>
      <c r="J1755" t="str">
        <f>IFERROR(__xludf.DUMMYFUNCTION("IFS(
  AND(REGEXMATCH(E1755, ""台銀籌備帳戶|玉山帳戶""), REGEXMATCH(C1755, ""薪資"")), ""分潤支出"",
  AND(REGEXMATCH(E1755, ""Ben帳戶|Elsa帳戶|Ben代墊|Ariel代墊|中信銀行共用""), REGEXMATCH(F1755, ""Ben帳戶|Elsa帳戶|Ben代墊|Ariel代墊|中信銀行共用"")), ""內部轉帳(忽略)"",
  AND(E1755&lt;&gt;"""", F1755&lt;&gt;"""", N"&amp;"OT(REGEXMATCH(C1755, ""薪資""))), ""內部轉帳(忽略)"",
  REGEXMATCH(C1755, ""薪資""), ""薪資變動(不計入)"",
  REGEXMATCH(C1755, ""押金""), ""押金往來"",
  AND(E1755&lt;&gt;"""", F1755=""""), ""真實支出"",
  AND(E1755="""", F1755&lt;&gt;""""), ""真實收入"",
  TRUE, ""其他""
)"),"真實收入")</f>
        <v>真實收入</v>
      </c>
      <c r="K1755" s="270">
        <f t="shared" si="2"/>
        <v>13000</v>
      </c>
      <c r="L1755">
        <f t="shared" si="3"/>
        <v>0</v>
      </c>
    </row>
    <row r="1756">
      <c r="A1756" s="107">
        <f>IFERROR(__xludf.DUMMYFUNCTION("""COMPUTED_VALUE"""),45748.0)</f>
        <v>45748</v>
      </c>
      <c r="B1756" t="str">
        <f>IFERROR(__xludf.DUMMYFUNCTION("""COMPUTED_VALUE"""),"[大湖山莊] D [陳昭瑄] 月租金 (行號: 68)")</f>
        <v>[大湖山莊] D [陳昭瑄] 月租金 (行號: 68)</v>
      </c>
      <c r="C1756" t="str">
        <f>IFERROR(__xludf.DUMMYFUNCTION("""COMPUTED_VALUE"""),"收入 - 租金")</f>
        <v>收入 - 租金</v>
      </c>
      <c r="D1756" s="270">
        <f>IFERROR(__xludf.DUMMYFUNCTION("""COMPUTED_VALUE"""),14300.0)</f>
        <v>14300</v>
      </c>
      <c r="F1756" t="str">
        <f>IFERROR(__xludf.DUMMYFUNCTION("""COMPUTED_VALUE"""),"台銀籌備帳戶")</f>
        <v>台銀籌備帳戶</v>
      </c>
      <c r="G1756" t="str">
        <f>IFERROR(__xludf.DUMMYFUNCTION("""COMPUTED_VALUE"""),"大湖山莊")</f>
        <v>大湖山莊</v>
      </c>
      <c r="H1756" s="106" t="str">
        <f t="shared" si="1"/>
        <v>2025-04</v>
      </c>
      <c r="I1756" s="271" t="str">
        <f>IFERROR(__xludf.DUMMYFUNCTION("""COMPUTED_VALUE"""),"貓狗企鵝")</f>
        <v>貓狗企鵝</v>
      </c>
      <c r="J1756" t="str">
        <f>IFERROR(__xludf.DUMMYFUNCTION("IFS(
  AND(REGEXMATCH(E1756, ""台銀籌備帳戶|玉山帳戶""), REGEXMATCH(C1756, ""薪資"")), ""分潤支出"",
  AND(REGEXMATCH(E1756, ""Ben帳戶|Elsa帳戶|Ben代墊|Ariel代墊|中信銀行共用""), REGEXMATCH(F1756, ""Ben帳戶|Elsa帳戶|Ben代墊|Ariel代墊|中信銀行共用"")), ""內部轉帳(忽略)"",
  AND(E1756&lt;&gt;"""", F1756&lt;&gt;"""", N"&amp;"OT(REGEXMATCH(C1756, ""薪資""))), ""內部轉帳(忽略)"",
  REGEXMATCH(C1756, ""薪資""), ""薪資變動(不計入)"",
  REGEXMATCH(C1756, ""押金""), ""押金往來"",
  AND(E1756&lt;&gt;"""", F1756=""""), ""真實支出"",
  AND(E1756="""", F1756&lt;&gt;""""), ""真實收入"",
  TRUE, ""其他""
)"),"真實收入")</f>
        <v>真實收入</v>
      </c>
      <c r="K1756" s="270">
        <f t="shared" si="2"/>
        <v>14300</v>
      </c>
      <c r="L1756">
        <f t="shared" si="3"/>
        <v>0</v>
      </c>
    </row>
    <row r="1757">
      <c r="A1757" s="107">
        <f>IFERROR(__xludf.DUMMYFUNCTION("""COMPUTED_VALUE"""),45748.0)</f>
        <v>45748</v>
      </c>
      <c r="B1757" t="str">
        <f>IFERROR(__xludf.DUMMYFUNCTION("""COMPUTED_VALUE"""),"[市府爺爺家] A [董書鵬, 張瑋珊] 月租金 (行號: 69)")</f>
        <v>[市府爺爺家] A [董書鵬, 張瑋珊] 月租金 (行號: 69)</v>
      </c>
      <c r="C1757" t="str">
        <f>IFERROR(__xludf.DUMMYFUNCTION("""COMPUTED_VALUE"""),"收入 - 租金")</f>
        <v>收入 - 租金</v>
      </c>
      <c r="D1757" s="270">
        <f>IFERROR(__xludf.DUMMYFUNCTION("""COMPUTED_VALUE"""),22000.0)</f>
        <v>22000</v>
      </c>
      <c r="F1757" t="str">
        <f>IFERROR(__xludf.DUMMYFUNCTION("""COMPUTED_VALUE"""),"台銀籌備帳戶")</f>
        <v>台銀籌備帳戶</v>
      </c>
      <c r="G1757" t="str">
        <f>IFERROR(__xludf.DUMMYFUNCTION("""COMPUTED_VALUE"""),"市府爺爺家")</f>
        <v>市府爺爺家</v>
      </c>
      <c r="H1757" s="106" t="str">
        <f t="shared" si="1"/>
        <v>2025-04</v>
      </c>
      <c r="I1757" s="271" t="str">
        <f>IFERROR(__xludf.DUMMYFUNCTION("""COMPUTED_VALUE"""),"貓狗企鵝")</f>
        <v>貓狗企鵝</v>
      </c>
      <c r="J1757" t="str">
        <f>IFERROR(__xludf.DUMMYFUNCTION("IFS(
  AND(REGEXMATCH(E1757, ""台銀籌備帳戶|玉山帳戶""), REGEXMATCH(C1757, ""薪資"")), ""分潤支出"",
  AND(REGEXMATCH(E1757, ""Ben帳戶|Elsa帳戶|Ben代墊|Ariel代墊|中信銀行共用""), REGEXMATCH(F1757, ""Ben帳戶|Elsa帳戶|Ben代墊|Ariel代墊|中信銀行共用"")), ""內部轉帳(忽略)"",
  AND(E1757&lt;&gt;"""", F1757&lt;&gt;"""", N"&amp;"OT(REGEXMATCH(C1757, ""薪資""))), ""內部轉帳(忽略)"",
  REGEXMATCH(C1757, ""薪資""), ""薪資變動(不計入)"",
  REGEXMATCH(C1757, ""押金""), ""押金往來"",
  AND(E1757&lt;&gt;"""", F1757=""""), ""真實支出"",
  AND(E1757="""", F1757&lt;&gt;""""), ""真實收入"",
  TRUE, ""其他""
)"),"真實收入")</f>
        <v>真實收入</v>
      </c>
      <c r="K1757" s="270">
        <f t="shared" si="2"/>
        <v>22000</v>
      </c>
      <c r="L1757">
        <f t="shared" si="3"/>
        <v>0</v>
      </c>
    </row>
    <row r="1758">
      <c r="A1758" s="107">
        <f>IFERROR(__xludf.DUMMYFUNCTION("""COMPUTED_VALUE"""),45748.0)</f>
        <v>45748</v>
      </c>
      <c r="B1758" t="str">
        <f>IFERROR(__xludf.DUMMYFUNCTION("""COMPUTED_VALUE"""),"[永春四號] B [袁家鳳] 月租金 (行號: 70)")</f>
        <v>[永春四號] B [袁家鳳] 月租金 (行號: 70)</v>
      </c>
      <c r="C1758" t="str">
        <f>IFERROR(__xludf.DUMMYFUNCTION("""COMPUTED_VALUE"""),"收入 - 租金")</f>
        <v>收入 - 租金</v>
      </c>
      <c r="D1758" s="270">
        <f>IFERROR(__xludf.DUMMYFUNCTION("""COMPUTED_VALUE"""),13500.0)</f>
        <v>13500</v>
      </c>
      <c r="F1758" t="str">
        <f>IFERROR(__xludf.DUMMYFUNCTION("""COMPUTED_VALUE"""),"台銀籌備帳戶")</f>
        <v>台銀籌備帳戶</v>
      </c>
      <c r="G1758" t="str">
        <f>IFERROR(__xludf.DUMMYFUNCTION("""COMPUTED_VALUE"""),"永春四號")</f>
        <v>永春四號</v>
      </c>
      <c r="H1758" s="106" t="str">
        <f t="shared" si="1"/>
        <v>2025-04</v>
      </c>
      <c r="I1758" s="271" t="str">
        <f>IFERROR(__xludf.DUMMYFUNCTION("""COMPUTED_VALUE"""),"貓狗企鵝")</f>
        <v>貓狗企鵝</v>
      </c>
      <c r="J1758" t="str">
        <f>IFERROR(__xludf.DUMMYFUNCTION("IFS(
  AND(REGEXMATCH(E1758, ""台銀籌備帳戶|玉山帳戶""), REGEXMATCH(C1758, ""薪資"")), ""分潤支出"",
  AND(REGEXMATCH(E1758, ""Ben帳戶|Elsa帳戶|Ben代墊|Ariel代墊|中信銀行共用""), REGEXMATCH(F1758, ""Ben帳戶|Elsa帳戶|Ben代墊|Ariel代墊|中信銀行共用"")), ""內部轉帳(忽略)"",
  AND(E1758&lt;&gt;"""", F1758&lt;&gt;"""", N"&amp;"OT(REGEXMATCH(C1758, ""薪資""))), ""內部轉帳(忽略)"",
  REGEXMATCH(C1758, ""薪資""), ""薪資變動(不計入)"",
  REGEXMATCH(C1758, ""押金""), ""押金往來"",
  AND(E1758&lt;&gt;"""", F1758=""""), ""真實支出"",
  AND(E1758="""", F1758&lt;&gt;""""), ""真實收入"",
  TRUE, ""其他""
)"),"真實收入")</f>
        <v>真實收入</v>
      </c>
      <c r="K1758" s="270">
        <f t="shared" si="2"/>
        <v>13500</v>
      </c>
      <c r="L1758">
        <f t="shared" si="3"/>
        <v>0</v>
      </c>
    </row>
    <row r="1759">
      <c r="A1759" s="107">
        <f>IFERROR(__xludf.DUMMYFUNCTION("""COMPUTED_VALUE"""),45748.0)</f>
        <v>45748</v>
      </c>
      <c r="B1759" t="str">
        <f>IFERROR(__xludf.DUMMYFUNCTION("""COMPUTED_VALUE"""),"[中山北Feli家] B [杜思瑀, 陳廷瀀] 月租金 (行號: 71)")</f>
        <v>[中山北Feli家] B [杜思瑀, 陳廷瀀] 月租金 (行號: 71)</v>
      </c>
      <c r="C1759" t="str">
        <f>IFERROR(__xludf.DUMMYFUNCTION("""COMPUTED_VALUE"""),"收入 - 租金")</f>
        <v>收入 - 租金</v>
      </c>
      <c r="D1759" s="270">
        <f>IFERROR(__xludf.DUMMYFUNCTION("""COMPUTED_VALUE"""),17500.0)</f>
        <v>17500</v>
      </c>
      <c r="F1759" t="str">
        <f>IFERROR(__xludf.DUMMYFUNCTION("""COMPUTED_VALUE"""),"台銀籌備帳戶")</f>
        <v>台銀籌備帳戶</v>
      </c>
      <c r="G1759" t="str">
        <f>IFERROR(__xludf.DUMMYFUNCTION("""COMPUTED_VALUE"""),"中山北Feli家")</f>
        <v>中山北Feli家</v>
      </c>
      <c r="H1759" s="106" t="str">
        <f t="shared" si="1"/>
        <v>2025-04</v>
      </c>
      <c r="I1759" s="271" t="str">
        <f>IFERROR(__xludf.DUMMYFUNCTION("""COMPUTED_VALUE"""),"貓狗企鵝")</f>
        <v>貓狗企鵝</v>
      </c>
      <c r="J1759" t="str">
        <f>IFERROR(__xludf.DUMMYFUNCTION("IFS(
  AND(REGEXMATCH(E1759, ""台銀籌備帳戶|玉山帳戶""), REGEXMATCH(C1759, ""薪資"")), ""分潤支出"",
  AND(REGEXMATCH(E1759, ""Ben帳戶|Elsa帳戶|Ben代墊|Ariel代墊|中信銀行共用""), REGEXMATCH(F1759, ""Ben帳戶|Elsa帳戶|Ben代墊|Ariel代墊|中信銀行共用"")), ""內部轉帳(忽略)"",
  AND(E1759&lt;&gt;"""", F1759&lt;&gt;"""", N"&amp;"OT(REGEXMATCH(C1759, ""薪資""))), ""內部轉帳(忽略)"",
  REGEXMATCH(C1759, ""薪資""), ""薪資變動(不計入)"",
  REGEXMATCH(C1759, ""押金""), ""押金往來"",
  AND(E1759&lt;&gt;"""", F1759=""""), ""真實支出"",
  AND(E1759="""", F1759&lt;&gt;""""), ""真實收入"",
  TRUE, ""其他""
)"),"真實收入")</f>
        <v>真實收入</v>
      </c>
      <c r="K1759" s="270">
        <f t="shared" si="2"/>
        <v>17500</v>
      </c>
      <c r="L1759">
        <f t="shared" si="3"/>
        <v>0</v>
      </c>
    </row>
    <row r="1760">
      <c r="A1760" s="107">
        <f>IFERROR(__xludf.DUMMYFUNCTION("""COMPUTED_VALUE"""),45748.0)</f>
        <v>45748</v>
      </c>
      <c r="B1760" t="str">
        <f>IFERROR(__xludf.DUMMYFUNCTION("""COMPUTED_VALUE"""),"[中山北娘家旁] B [李彥靜] 月租金 (行號: 72)")</f>
        <v>[中山北娘家旁] B [李彥靜] 月租金 (行號: 72)</v>
      </c>
      <c r="C1760" t="str">
        <f>IFERROR(__xludf.DUMMYFUNCTION("""COMPUTED_VALUE"""),"收入 - 租金")</f>
        <v>收入 - 租金</v>
      </c>
      <c r="D1760" s="270">
        <f>IFERROR(__xludf.DUMMYFUNCTION("""COMPUTED_VALUE"""),12500.0)</f>
        <v>12500</v>
      </c>
      <c r="F1760" t="str">
        <f>IFERROR(__xludf.DUMMYFUNCTION("""COMPUTED_VALUE"""),"台銀籌備帳戶")</f>
        <v>台銀籌備帳戶</v>
      </c>
      <c r="G1760" t="str">
        <f>IFERROR(__xludf.DUMMYFUNCTION("""COMPUTED_VALUE"""),"中山北娘家旁")</f>
        <v>中山北娘家旁</v>
      </c>
      <c r="H1760" s="106" t="str">
        <f t="shared" si="1"/>
        <v>2025-04</v>
      </c>
      <c r="I1760" s="271" t="str">
        <f>IFERROR(__xludf.DUMMYFUNCTION("""COMPUTED_VALUE"""),"貓狗企鵝")</f>
        <v>貓狗企鵝</v>
      </c>
      <c r="J1760" t="str">
        <f>IFERROR(__xludf.DUMMYFUNCTION("IFS(
  AND(REGEXMATCH(E1760, ""台銀籌備帳戶|玉山帳戶""), REGEXMATCH(C1760, ""薪資"")), ""分潤支出"",
  AND(REGEXMATCH(E1760, ""Ben帳戶|Elsa帳戶|Ben代墊|Ariel代墊|中信銀行共用""), REGEXMATCH(F1760, ""Ben帳戶|Elsa帳戶|Ben代墊|Ariel代墊|中信銀行共用"")), ""內部轉帳(忽略)"",
  AND(E1760&lt;&gt;"""", F1760&lt;&gt;"""", N"&amp;"OT(REGEXMATCH(C1760, ""薪資""))), ""內部轉帳(忽略)"",
  REGEXMATCH(C1760, ""薪資""), ""薪資變動(不計入)"",
  REGEXMATCH(C1760, ""押金""), ""押金往來"",
  AND(E1760&lt;&gt;"""", F1760=""""), ""真實支出"",
  AND(E1760="""", F1760&lt;&gt;""""), ""真實收入"",
  TRUE, ""其他""
)"),"真實收入")</f>
        <v>真實收入</v>
      </c>
      <c r="K1760" s="270">
        <f t="shared" si="2"/>
        <v>12500</v>
      </c>
      <c r="L1760">
        <f t="shared" si="3"/>
        <v>0</v>
      </c>
    </row>
    <row r="1761">
      <c r="A1761" s="107">
        <f>IFERROR(__xludf.DUMMYFUNCTION("""COMPUTED_VALUE"""),45748.0)</f>
        <v>45748</v>
      </c>
      <c r="B1761" t="str">
        <f>IFERROR(__xludf.DUMMYFUNCTION("""COMPUTED_VALUE"""),"[哈拉對面] A [李柏緯] 月租金 (行號: 73)")</f>
        <v>[哈拉對面] A [李柏緯] 月租金 (行號: 73)</v>
      </c>
      <c r="C1761" t="str">
        <f>IFERROR(__xludf.DUMMYFUNCTION("""COMPUTED_VALUE"""),"收入 - 租金")</f>
        <v>收入 - 租金</v>
      </c>
      <c r="D1761" s="270">
        <f>IFERROR(__xludf.DUMMYFUNCTION("""COMPUTED_VALUE"""),11300.0)</f>
        <v>11300</v>
      </c>
      <c r="F1761" t="str">
        <f>IFERROR(__xludf.DUMMYFUNCTION("""COMPUTED_VALUE"""),"台銀籌備帳戶")</f>
        <v>台銀籌備帳戶</v>
      </c>
      <c r="G1761" t="str">
        <f>IFERROR(__xludf.DUMMYFUNCTION("""COMPUTED_VALUE"""),"哈拉對面")</f>
        <v>哈拉對面</v>
      </c>
      <c r="H1761" s="106" t="str">
        <f t="shared" si="1"/>
        <v>2025-04</v>
      </c>
      <c r="I1761" s="271" t="str">
        <f>IFERROR(__xludf.DUMMYFUNCTION("""COMPUTED_VALUE"""),"貓狗企鵝")</f>
        <v>貓狗企鵝</v>
      </c>
      <c r="J1761" t="str">
        <f>IFERROR(__xludf.DUMMYFUNCTION("IFS(
  AND(REGEXMATCH(E1761, ""台銀籌備帳戶|玉山帳戶""), REGEXMATCH(C1761, ""薪資"")), ""分潤支出"",
  AND(REGEXMATCH(E1761, ""Ben帳戶|Elsa帳戶|Ben代墊|Ariel代墊|中信銀行共用""), REGEXMATCH(F1761, ""Ben帳戶|Elsa帳戶|Ben代墊|Ariel代墊|中信銀行共用"")), ""內部轉帳(忽略)"",
  AND(E1761&lt;&gt;"""", F1761&lt;&gt;"""", N"&amp;"OT(REGEXMATCH(C1761, ""薪資""))), ""內部轉帳(忽略)"",
  REGEXMATCH(C1761, ""薪資""), ""薪資變動(不計入)"",
  REGEXMATCH(C1761, ""押金""), ""押金往來"",
  AND(E1761&lt;&gt;"""", F1761=""""), ""真實支出"",
  AND(E1761="""", F1761&lt;&gt;""""), ""真實收入"",
  TRUE, ""其他""
)"),"真實收入")</f>
        <v>真實收入</v>
      </c>
      <c r="K1761" s="270">
        <f t="shared" si="2"/>
        <v>11300</v>
      </c>
      <c r="L1761">
        <f t="shared" si="3"/>
        <v>0</v>
      </c>
    </row>
    <row r="1762">
      <c r="A1762" s="107">
        <f>IFERROR(__xludf.DUMMYFUNCTION("""COMPUTED_VALUE"""),45748.0)</f>
        <v>45748</v>
      </c>
      <c r="B1762" t="str">
        <f>IFERROR(__xludf.DUMMYFUNCTION("""COMPUTED_VALUE"""),"[中山北Feli家] A [蔡亦翔] 月租金 (行號: 74)")</f>
        <v>[中山北Feli家] A [蔡亦翔] 月租金 (行號: 74)</v>
      </c>
      <c r="C1762" t="str">
        <f>IFERROR(__xludf.DUMMYFUNCTION("""COMPUTED_VALUE"""),"收入 - 租金")</f>
        <v>收入 - 租金</v>
      </c>
      <c r="D1762" s="270">
        <f>IFERROR(__xludf.DUMMYFUNCTION("""COMPUTED_VALUE"""),13200.0)</f>
        <v>13200</v>
      </c>
      <c r="F1762" t="str">
        <f>IFERROR(__xludf.DUMMYFUNCTION("""COMPUTED_VALUE"""),"台銀籌備帳戶")</f>
        <v>台銀籌備帳戶</v>
      </c>
      <c r="G1762" t="str">
        <f>IFERROR(__xludf.DUMMYFUNCTION("""COMPUTED_VALUE"""),"中山北Feli家")</f>
        <v>中山北Feli家</v>
      </c>
      <c r="H1762" s="106" t="str">
        <f t="shared" si="1"/>
        <v>2025-04</v>
      </c>
      <c r="I1762" s="271" t="str">
        <f>IFERROR(__xludf.DUMMYFUNCTION("""COMPUTED_VALUE"""),"貓狗企鵝")</f>
        <v>貓狗企鵝</v>
      </c>
      <c r="J1762" t="str">
        <f>IFERROR(__xludf.DUMMYFUNCTION("IFS(
  AND(REGEXMATCH(E1762, ""台銀籌備帳戶|玉山帳戶""), REGEXMATCH(C1762, ""薪資"")), ""分潤支出"",
  AND(REGEXMATCH(E1762, ""Ben帳戶|Elsa帳戶|Ben代墊|Ariel代墊|中信銀行共用""), REGEXMATCH(F1762, ""Ben帳戶|Elsa帳戶|Ben代墊|Ariel代墊|中信銀行共用"")), ""內部轉帳(忽略)"",
  AND(E1762&lt;&gt;"""", F1762&lt;&gt;"""", N"&amp;"OT(REGEXMATCH(C1762, ""薪資""))), ""內部轉帳(忽略)"",
  REGEXMATCH(C1762, ""薪資""), ""薪資變動(不計入)"",
  REGEXMATCH(C1762, ""押金""), ""押金往來"",
  AND(E1762&lt;&gt;"""", F1762=""""), ""真實支出"",
  AND(E1762="""", F1762&lt;&gt;""""), ""真實收入"",
  TRUE, ""其他""
)"),"真實收入")</f>
        <v>真實收入</v>
      </c>
      <c r="K1762" s="270">
        <f t="shared" si="2"/>
        <v>13200</v>
      </c>
      <c r="L1762">
        <f t="shared" si="3"/>
        <v>0</v>
      </c>
    </row>
    <row r="1763">
      <c r="A1763" s="107">
        <f>IFERROR(__xludf.DUMMYFUNCTION("""COMPUTED_VALUE"""),45748.0)</f>
        <v>45748</v>
      </c>
      <c r="B1763" t="str">
        <f>IFERROR(__xludf.DUMMYFUNCTION("""COMPUTED_VALUE"""),"[龍江229] B [曾冠文] 月租金 (行號: 75)")</f>
        <v>[龍江229] B [曾冠文] 月租金 (行號: 75)</v>
      </c>
      <c r="C1763" t="str">
        <f>IFERROR(__xludf.DUMMYFUNCTION("""COMPUTED_VALUE"""),"收入 - 租金")</f>
        <v>收入 - 租金</v>
      </c>
      <c r="D1763" s="270">
        <f>IFERROR(__xludf.DUMMYFUNCTION("""COMPUTED_VALUE"""),13500.0)</f>
        <v>13500</v>
      </c>
      <c r="F1763" t="str">
        <f>IFERROR(__xludf.DUMMYFUNCTION("""COMPUTED_VALUE"""),"台銀籌備帳戶")</f>
        <v>台銀籌備帳戶</v>
      </c>
      <c r="G1763" t="str">
        <f>IFERROR(__xludf.DUMMYFUNCTION("""COMPUTED_VALUE"""),"龍江229")</f>
        <v>龍江229</v>
      </c>
      <c r="H1763" s="106" t="str">
        <f t="shared" si="1"/>
        <v>2025-04</v>
      </c>
      <c r="I1763" s="271" t="str">
        <f>IFERROR(__xludf.DUMMYFUNCTION("""COMPUTED_VALUE"""),"貓狗企鵝")</f>
        <v>貓狗企鵝</v>
      </c>
      <c r="J1763" t="str">
        <f>IFERROR(__xludf.DUMMYFUNCTION("IFS(
  AND(REGEXMATCH(E1763, ""台銀籌備帳戶|玉山帳戶""), REGEXMATCH(C1763, ""薪資"")), ""分潤支出"",
  AND(REGEXMATCH(E1763, ""Ben帳戶|Elsa帳戶|Ben代墊|Ariel代墊|中信銀行共用""), REGEXMATCH(F1763, ""Ben帳戶|Elsa帳戶|Ben代墊|Ariel代墊|中信銀行共用"")), ""內部轉帳(忽略)"",
  AND(E1763&lt;&gt;"""", F1763&lt;&gt;"""", N"&amp;"OT(REGEXMATCH(C1763, ""薪資""))), ""內部轉帳(忽略)"",
  REGEXMATCH(C1763, ""薪資""), ""薪資變動(不計入)"",
  REGEXMATCH(C1763, ""押金""), ""押金往來"",
  AND(E1763&lt;&gt;"""", F1763=""""), ""真實支出"",
  AND(E1763="""", F1763&lt;&gt;""""), ""真實收入"",
  TRUE, ""其他""
)"),"真實收入")</f>
        <v>真實收入</v>
      </c>
      <c r="K1763" s="270">
        <f t="shared" si="2"/>
        <v>13500</v>
      </c>
      <c r="L1763">
        <f t="shared" si="3"/>
        <v>0</v>
      </c>
    </row>
    <row r="1764">
      <c r="A1764" s="107">
        <f>IFERROR(__xludf.DUMMYFUNCTION("""COMPUTED_VALUE"""),45748.0)</f>
        <v>45748</v>
      </c>
      <c r="B1764" t="str">
        <f>IFERROR(__xludf.DUMMYFUNCTION("""COMPUTED_VALUE"""),"[北醫醫師府] B [王品涵, 賴泓賓] 月租金 (行號: 76)")</f>
        <v>[北醫醫師府] B [王品涵, 賴泓賓] 月租金 (行號: 76)</v>
      </c>
      <c r="C1764" t="str">
        <f>IFERROR(__xludf.DUMMYFUNCTION("""COMPUTED_VALUE"""),"收入 - 租金")</f>
        <v>收入 - 租金</v>
      </c>
      <c r="D1764" s="270">
        <f>IFERROR(__xludf.DUMMYFUNCTION("""COMPUTED_VALUE"""),19800.0)</f>
        <v>19800</v>
      </c>
      <c r="F1764" t="str">
        <f>IFERROR(__xludf.DUMMYFUNCTION("""COMPUTED_VALUE"""),"台銀籌備帳戶")</f>
        <v>台銀籌備帳戶</v>
      </c>
      <c r="G1764" t="str">
        <f>IFERROR(__xludf.DUMMYFUNCTION("""COMPUTED_VALUE"""),"北醫醫師府")</f>
        <v>北醫醫師府</v>
      </c>
      <c r="H1764" s="106" t="str">
        <f t="shared" si="1"/>
        <v>2025-04</v>
      </c>
      <c r="I1764" s="271" t="str">
        <f>IFERROR(__xludf.DUMMYFUNCTION("""COMPUTED_VALUE"""),"貓狗企鵝")</f>
        <v>貓狗企鵝</v>
      </c>
      <c r="J1764" t="str">
        <f>IFERROR(__xludf.DUMMYFUNCTION("IFS(
  AND(REGEXMATCH(E1764, ""台銀籌備帳戶|玉山帳戶""), REGEXMATCH(C1764, ""薪資"")), ""分潤支出"",
  AND(REGEXMATCH(E1764, ""Ben帳戶|Elsa帳戶|Ben代墊|Ariel代墊|中信銀行共用""), REGEXMATCH(F1764, ""Ben帳戶|Elsa帳戶|Ben代墊|Ariel代墊|中信銀行共用"")), ""內部轉帳(忽略)"",
  AND(E1764&lt;&gt;"""", F1764&lt;&gt;"""", N"&amp;"OT(REGEXMATCH(C1764, ""薪資""))), ""內部轉帳(忽略)"",
  REGEXMATCH(C1764, ""薪資""), ""薪資變動(不計入)"",
  REGEXMATCH(C1764, ""押金""), ""押金往來"",
  AND(E1764&lt;&gt;"""", F1764=""""), ""真實支出"",
  AND(E1764="""", F1764&lt;&gt;""""), ""真實收入"",
  TRUE, ""其他""
)"),"真實收入")</f>
        <v>真實收入</v>
      </c>
      <c r="K1764" s="270">
        <f t="shared" si="2"/>
        <v>19800</v>
      </c>
      <c r="L1764">
        <f t="shared" si="3"/>
        <v>0</v>
      </c>
    </row>
    <row r="1765">
      <c r="A1765" s="107">
        <f>IFERROR(__xludf.DUMMYFUNCTION("""COMPUTED_VALUE"""),45748.0)</f>
        <v>45748</v>
      </c>
      <c r="B1765" t="str">
        <f>IFERROR(__xludf.DUMMYFUNCTION("""COMPUTED_VALUE"""),"[中山北Feli家] D [邱佳慧] 月租金 (行號: 77)")</f>
        <v>[中山北Feli家] D [邱佳慧] 月租金 (行號: 77)</v>
      </c>
      <c r="C1765" t="str">
        <f>IFERROR(__xludf.DUMMYFUNCTION("""COMPUTED_VALUE"""),"收入 - 租金")</f>
        <v>收入 - 租金</v>
      </c>
      <c r="D1765" s="270">
        <f>IFERROR(__xludf.DUMMYFUNCTION("""COMPUTED_VALUE"""),10800.0)</f>
        <v>10800</v>
      </c>
      <c r="F1765" t="str">
        <f>IFERROR(__xludf.DUMMYFUNCTION("""COMPUTED_VALUE"""),"台銀籌備帳戶")</f>
        <v>台銀籌備帳戶</v>
      </c>
      <c r="G1765" t="str">
        <f>IFERROR(__xludf.DUMMYFUNCTION("""COMPUTED_VALUE"""),"中山北Feli家")</f>
        <v>中山北Feli家</v>
      </c>
      <c r="H1765" s="106" t="str">
        <f t="shared" si="1"/>
        <v>2025-04</v>
      </c>
      <c r="I1765" s="271" t="str">
        <f>IFERROR(__xludf.DUMMYFUNCTION("""COMPUTED_VALUE"""),"貓狗企鵝")</f>
        <v>貓狗企鵝</v>
      </c>
      <c r="J1765" t="str">
        <f>IFERROR(__xludf.DUMMYFUNCTION("IFS(
  AND(REGEXMATCH(E1765, ""台銀籌備帳戶|玉山帳戶""), REGEXMATCH(C1765, ""薪資"")), ""分潤支出"",
  AND(REGEXMATCH(E1765, ""Ben帳戶|Elsa帳戶|Ben代墊|Ariel代墊|中信銀行共用""), REGEXMATCH(F1765, ""Ben帳戶|Elsa帳戶|Ben代墊|Ariel代墊|中信銀行共用"")), ""內部轉帳(忽略)"",
  AND(E1765&lt;&gt;"""", F1765&lt;&gt;"""", N"&amp;"OT(REGEXMATCH(C1765, ""薪資""))), ""內部轉帳(忽略)"",
  REGEXMATCH(C1765, ""薪資""), ""薪資變動(不計入)"",
  REGEXMATCH(C1765, ""押金""), ""押金往來"",
  AND(E1765&lt;&gt;"""", F1765=""""), ""真實支出"",
  AND(E1765="""", F1765&lt;&gt;""""), ""真實收入"",
  TRUE, ""其他""
)"),"真實收入")</f>
        <v>真實收入</v>
      </c>
      <c r="K1765" s="270">
        <f t="shared" si="2"/>
        <v>10800</v>
      </c>
      <c r="L1765">
        <f t="shared" si="3"/>
        <v>0</v>
      </c>
    </row>
    <row r="1766">
      <c r="A1766" s="107">
        <f>IFERROR(__xludf.DUMMYFUNCTION("""COMPUTED_VALUE"""),45748.0)</f>
        <v>45748</v>
      </c>
      <c r="B1766" t="str">
        <f>IFERROR(__xludf.DUMMYFUNCTION("""COMPUTED_VALUE"""),"[大湖山莊] E [吳彥霆] 月租金 (行號: 79)")</f>
        <v>[大湖山莊] E [吳彥霆] 月租金 (行號: 79)</v>
      </c>
      <c r="C1766" t="str">
        <f>IFERROR(__xludf.DUMMYFUNCTION("""COMPUTED_VALUE"""),"收入 - 租金")</f>
        <v>收入 - 租金</v>
      </c>
      <c r="D1766" s="270">
        <f>IFERROR(__xludf.DUMMYFUNCTION("""COMPUTED_VALUE"""),12500.0)</f>
        <v>12500</v>
      </c>
      <c r="F1766" t="str">
        <f>IFERROR(__xludf.DUMMYFUNCTION("""COMPUTED_VALUE"""),"台銀籌備帳戶")</f>
        <v>台銀籌備帳戶</v>
      </c>
      <c r="G1766" t="str">
        <f>IFERROR(__xludf.DUMMYFUNCTION("""COMPUTED_VALUE"""),"大湖山莊")</f>
        <v>大湖山莊</v>
      </c>
      <c r="H1766" s="106" t="str">
        <f t="shared" si="1"/>
        <v>2025-04</v>
      </c>
      <c r="I1766" s="271" t="str">
        <f>IFERROR(__xludf.DUMMYFUNCTION("""COMPUTED_VALUE"""),"貓狗企鵝")</f>
        <v>貓狗企鵝</v>
      </c>
      <c r="J1766" t="str">
        <f>IFERROR(__xludf.DUMMYFUNCTION("IFS(
  AND(REGEXMATCH(E1766, ""台銀籌備帳戶|玉山帳戶""), REGEXMATCH(C1766, ""薪資"")), ""分潤支出"",
  AND(REGEXMATCH(E1766, ""Ben帳戶|Elsa帳戶|Ben代墊|Ariel代墊|中信銀行共用""), REGEXMATCH(F1766, ""Ben帳戶|Elsa帳戶|Ben代墊|Ariel代墊|中信銀行共用"")), ""內部轉帳(忽略)"",
  AND(E1766&lt;&gt;"""", F1766&lt;&gt;"""", N"&amp;"OT(REGEXMATCH(C1766, ""薪資""))), ""內部轉帳(忽略)"",
  REGEXMATCH(C1766, ""薪資""), ""薪資變動(不計入)"",
  REGEXMATCH(C1766, ""押金""), ""押金往來"",
  AND(E1766&lt;&gt;"""", F1766=""""), ""真實支出"",
  AND(E1766="""", F1766&lt;&gt;""""), ""真實收入"",
  TRUE, ""其他""
)"),"真實收入")</f>
        <v>真實收入</v>
      </c>
      <c r="K1766" s="270">
        <f t="shared" si="2"/>
        <v>12500</v>
      </c>
      <c r="L1766">
        <f t="shared" si="3"/>
        <v>0</v>
      </c>
    </row>
    <row r="1767">
      <c r="A1767" s="107">
        <f>IFERROR(__xludf.DUMMYFUNCTION("""COMPUTED_VALUE"""),45748.0)</f>
        <v>45748</v>
      </c>
      <c r="B1767" t="str">
        <f>IFERROR(__xludf.DUMMYFUNCTION("""COMPUTED_VALUE"""),"[龍江229] D [黃依婷] 月租金 (行號: 80)")</f>
        <v>[龍江229] D [黃依婷] 月租金 (行號: 80)</v>
      </c>
      <c r="C1767" t="str">
        <f>IFERROR(__xludf.DUMMYFUNCTION("""COMPUTED_VALUE"""),"收入 - 租金")</f>
        <v>收入 - 租金</v>
      </c>
      <c r="D1767" s="270">
        <f>IFERROR(__xludf.DUMMYFUNCTION("""COMPUTED_VALUE"""),13300.0)</f>
        <v>13300</v>
      </c>
      <c r="F1767" t="str">
        <f>IFERROR(__xludf.DUMMYFUNCTION("""COMPUTED_VALUE"""),"台銀籌備帳戶")</f>
        <v>台銀籌備帳戶</v>
      </c>
      <c r="G1767" t="str">
        <f>IFERROR(__xludf.DUMMYFUNCTION("""COMPUTED_VALUE"""),"龍江229")</f>
        <v>龍江229</v>
      </c>
      <c r="H1767" s="106" t="str">
        <f t="shared" si="1"/>
        <v>2025-04</v>
      </c>
      <c r="I1767" s="271" t="str">
        <f>IFERROR(__xludf.DUMMYFUNCTION("""COMPUTED_VALUE"""),"貓狗企鵝")</f>
        <v>貓狗企鵝</v>
      </c>
      <c r="J1767" t="str">
        <f>IFERROR(__xludf.DUMMYFUNCTION("IFS(
  AND(REGEXMATCH(E1767, ""台銀籌備帳戶|玉山帳戶""), REGEXMATCH(C1767, ""薪資"")), ""分潤支出"",
  AND(REGEXMATCH(E1767, ""Ben帳戶|Elsa帳戶|Ben代墊|Ariel代墊|中信銀行共用""), REGEXMATCH(F1767, ""Ben帳戶|Elsa帳戶|Ben代墊|Ariel代墊|中信銀行共用"")), ""內部轉帳(忽略)"",
  AND(E1767&lt;&gt;"""", F1767&lt;&gt;"""", N"&amp;"OT(REGEXMATCH(C1767, ""薪資""))), ""內部轉帳(忽略)"",
  REGEXMATCH(C1767, ""薪資""), ""薪資變動(不計入)"",
  REGEXMATCH(C1767, ""押金""), ""押金往來"",
  AND(E1767&lt;&gt;"""", F1767=""""), ""真實支出"",
  AND(E1767="""", F1767&lt;&gt;""""), ""真實收入"",
  TRUE, ""其他""
)"),"真實收入")</f>
        <v>真實收入</v>
      </c>
      <c r="K1767" s="270">
        <f t="shared" si="2"/>
        <v>13300</v>
      </c>
      <c r="L1767">
        <f t="shared" si="3"/>
        <v>0</v>
      </c>
    </row>
    <row r="1768">
      <c r="A1768" s="107">
        <f>IFERROR(__xludf.DUMMYFUNCTION("""COMPUTED_VALUE"""),45748.0)</f>
        <v>45748</v>
      </c>
      <c r="B1768" t="str">
        <f>IFERROR(__xludf.DUMMYFUNCTION("""COMPUTED_VALUE"""),"[龍江229] A [許霈琪] 月租金 (行號: 81)")</f>
        <v>[龍江229] A [許霈琪] 月租金 (行號: 81)</v>
      </c>
      <c r="C1768" t="str">
        <f>IFERROR(__xludf.DUMMYFUNCTION("""COMPUTED_VALUE"""),"收入 - 租金")</f>
        <v>收入 - 租金</v>
      </c>
      <c r="D1768" s="270">
        <f>IFERROR(__xludf.DUMMYFUNCTION("""COMPUTED_VALUE"""),13000.0)</f>
        <v>13000</v>
      </c>
      <c r="F1768" t="str">
        <f>IFERROR(__xludf.DUMMYFUNCTION("""COMPUTED_VALUE"""),"台銀籌備帳戶")</f>
        <v>台銀籌備帳戶</v>
      </c>
      <c r="G1768" t="str">
        <f>IFERROR(__xludf.DUMMYFUNCTION("""COMPUTED_VALUE"""),"龍江229")</f>
        <v>龍江229</v>
      </c>
      <c r="H1768" s="106" t="str">
        <f t="shared" si="1"/>
        <v>2025-04</v>
      </c>
      <c r="I1768" s="271" t="str">
        <f>IFERROR(__xludf.DUMMYFUNCTION("""COMPUTED_VALUE"""),"貓狗企鵝")</f>
        <v>貓狗企鵝</v>
      </c>
      <c r="J1768" t="str">
        <f>IFERROR(__xludf.DUMMYFUNCTION("IFS(
  AND(REGEXMATCH(E1768, ""台銀籌備帳戶|玉山帳戶""), REGEXMATCH(C1768, ""薪資"")), ""分潤支出"",
  AND(REGEXMATCH(E1768, ""Ben帳戶|Elsa帳戶|Ben代墊|Ariel代墊|中信銀行共用""), REGEXMATCH(F1768, ""Ben帳戶|Elsa帳戶|Ben代墊|Ariel代墊|中信銀行共用"")), ""內部轉帳(忽略)"",
  AND(E1768&lt;&gt;"""", F1768&lt;&gt;"""", N"&amp;"OT(REGEXMATCH(C1768, ""薪資""))), ""內部轉帳(忽略)"",
  REGEXMATCH(C1768, ""薪資""), ""薪資變動(不計入)"",
  REGEXMATCH(C1768, ""押金""), ""押金往來"",
  AND(E1768&lt;&gt;"""", F1768=""""), ""真實支出"",
  AND(E1768="""", F1768&lt;&gt;""""), ""真實收入"",
  TRUE, ""其他""
)"),"真實收入")</f>
        <v>真實收入</v>
      </c>
      <c r="K1768" s="270">
        <f t="shared" si="2"/>
        <v>13000</v>
      </c>
      <c r="L1768">
        <f t="shared" si="3"/>
        <v>0</v>
      </c>
    </row>
    <row r="1769">
      <c r="A1769" s="107">
        <f>IFERROR(__xludf.DUMMYFUNCTION("""COMPUTED_VALUE"""),45749.0)</f>
        <v>45749</v>
      </c>
      <c r="B1769" t="str">
        <f>IFERROR(__xludf.DUMMYFUNCTION("""COMPUTED_VALUE"""),"[南港站挑高宅] C [吳佳叡] 月租金 (行號: 83)")</f>
        <v>[南港站挑高宅] C [吳佳叡] 月租金 (行號: 83)</v>
      </c>
      <c r="C1769" t="str">
        <f>IFERROR(__xludf.DUMMYFUNCTION("""COMPUTED_VALUE"""),"收入 - 租金")</f>
        <v>收入 - 租金</v>
      </c>
      <c r="D1769" s="270">
        <f>IFERROR(__xludf.DUMMYFUNCTION("""COMPUTED_VALUE"""),15000.0)</f>
        <v>15000</v>
      </c>
      <c r="F1769" t="str">
        <f>IFERROR(__xludf.DUMMYFUNCTION("""COMPUTED_VALUE"""),"台銀籌備帳戶")</f>
        <v>台銀籌備帳戶</v>
      </c>
      <c r="G1769" t="str">
        <f>IFERROR(__xludf.DUMMYFUNCTION("""COMPUTED_VALUE"""),"南港站挑高宅")</f>
        <v>南港站挑高宅</v>
      </c>
      <c r="H1769" s="106" t="str">
        <f t="shared" si="1"/>
        <v>2025-04</v>
      </c>
      <c r="I1769" s="271" t="str">
        <f>IFERROR(__xludf.DUMMYFUNCTION("""COMPUTED_VALUE"""),"貓狗企鵝")</f>
        <v>貓狗企鵝</v>
      </c>
      <c r="J1769" t="str">
        <f>IFERROR(__xludf.DUMMYFUNCTION("IFS(
  AND(REGEXMATCH(E1769, ""台銀籌備帳戶|玉山帳戶""), REGEXMATCH(C1769, ""薪資"")), ""分潤支出"",
  AND(REGEXMATCH(E1769, ""Ben帳戶|Elsa帳戶|Ben代墊|Ariel代墊|中信銀行共用""), REGEXMATCH(F1769, ""Ben帳戶|Elsa帳戶|Ben代墊|Ariel代墊|中信銀行共用"")), ""內部轉帳(忽略)"",
  AND(E1769&lt;&gt;"""", F1769&lt;&gt;"""", N"&amp;"OT(REGEXMATCH(C1769, ""薪資""))), ""內部轉帳(忽略)"",
  REGEXMATCH(C1769, ""薪資""), ""薪資變動(不計入)"",
  REGEXMATCH(C1769, ""押金""), ""押金往來"",
  AND(E1769&lt;&gt;"""", F1769=""""), ""真實支出"",
  AND(E1769="""", F1769&lt;&gt;""""), ""真實收入"",
  TRUE, ""其他""
)"),"真實收入")</f>
        <v>真實收入</v>
      </c>
      <c r="K1769" s="270">
        <f t="shared" si="2"/>
        <v>15000</v>
      </c>
      <c r="L1769">
        <f t="shared" si="3"/>
        <v>0</v>
      </c>
    </row>
    <row r="1770">
      <c r="A1770" s="107">
        <f>IFERROR(__xludf.DUMMYFUNCTION("""COMPUTED_VALUE"""),45749.0)</f>
        <v>45749</v>
      </c>
      <c r="B1770" t="str">
        <f>IFERROR(__xludf.DUMMYFUNCTION("""COMPUTED_VALUE"""),"[中山北Feli家] C [郭亞潔] 月租金 (行號: 84)")</f>
        <v>[中山北Feli家] C [郭亞潔] 月租金 (行號: 84)</v>
      </c>
      <c r="C1770" t="str">
        <f>IFERROR(__xludf.DUMMYFUNCTION("""COMPUTED_VALUE"""),"收入 - 租金")</f>
        <v>收入 - 租金</v>
      </c>
      <c r="D1770" s="270">
        <f>IFERROR(__xludf.DUMMYFUNCTION("""COMPUTED_VALUE"""),11500.0)</f>
        <v>11500</v>
      </c>
      <c r="F1770" t="str">
        <f>IFERROR(__xludf.DUMMYFUNCTION("""COMPUTED_VALUE"""),"台銀籌備帳戶")</f>
        <v>台銀籌備帳戶</v>
      </c>
      <c r="G1770" t="str">
        <f>IFERROR(__xludf.DUMMYFUNCTION("""COMPUTED_VALUE"""),"中山北Feli家")</f>
        <v>中山北Feli家</v>
      </c>
      <c r="H1770" s="106" t="str">
        <f t="shared" si="1"/>
        <v>2025-04</v>
      </c>
      <c r="I1770" s="271" t="str">
        <f>IFERROR(__xludf.DUMMYFUNCTION("""COMPUTED_VALUE"""),"貓狗企鵝")</f>
        <v>貓狗企鵝</v>
      </c>
      <c r="J1770" t="str">
        <f>IFERROR(__xludf.DUMMYFUNCTION("IFS(
  AND(REGEXMATCH(E1770, ""台銀籌備帳戶|玉山帳戶""), REGEXMATCH(C1770, ""薪資"")), ""分潤支出"",
  AND(REGEXMATCH(E1770, ""Ben帳戶|Elsa帳戶|Ben代墊|Ariel代墊|中信銀行共用""), REGEXMATCH(F1770, ""Ben帳戶|Elsa帳戶|Ben代墊|Ariel代墊|中信銀行共用"")), ""內部轉帳(忽略)"",
  AND(E1770&lt;&gt;"""", F1770&lt;&gt;"""", N"&amp;"OT(REGEXMATCH(C1770, ""薪資""))), ""內部轉帳(忽略)"",
  REGEXMATCH(C1770, ""薪資""), ""薪資變動(不計入)"",
  REGEXMATCH(C1770, ""押金""), ""押金往來"",
  AND(E1770&lt;&gt;"""", F1770=""""), ""真實支出"",
  AND(E1770="""", F1770&lt;&gt;""""), ""真實收入"",
  TRUE, ""其他""
)"),"真實收入")</f>
        <v>真實收入</v>
      </c>
      <c r="K1770" s="270">
        <f t="shared" si="2"/>
        <v>11500</v>
      </c>
      <c r="L1770">
        <f t="shared" si="3"/>
        <v>0</v>
      </c>
    </row>
    <row r="1771">
      <c r="A1771" s="107">
        <f>IFERROR(__xludf.DUMMYFUNCTION("""COMPUTED_VALUE"""),45749.0)</f>
        <v>45749</v>
      </c>
      <c r="B1771" t="str">
        <f>IFERROR(__xludf.DUMMYFUNCTION("""COMPUTED_VALUE"""),"[北醫醫師府] E [洪睿佑] 月租金 (行號: 85)")</f>
        <v>[北醫醫師府] E [洪睿佑] 月租金 (行號: 85)</v>
      </c>
      <c r="C1771" t="str">
        <f>IFERROR(__xludf.DUMMYFUNCTION("""COMPUTED_VALUE"""),"收入 - 租金")</f>
        <v>收入 - 租金</v>
      </c>
      <c r="D1771" s="270">
        <f>IFERROR(__xludf.DUMMYFUNCTION("""COMPUTED_VALUE"""),14800.0)</f>
        <v>14800</v>
      </c>
      <c r="F1771" t="str">
        <f>IFERROR(__xludf.DUMMYFUNCTION("""COMPUTED_VALUE"""),"台銀籌備帳戶")</f>
        <v>台銀籌備帳戶</v>
      </c>
      <c r="G1771" t="str">
        <f>IFERROR(__xludf.DUMMYFUNCTION("""COMPUTED_VALUE"""),"北醫醫師府")</f>
        <v>北醫醫師府</v>
      </c>
      <c r="H1771" s="106" t="str">
        <f t="shared" si="1"/>
        <v>2025-04</v>
      </c>
      <c r="I1771" s="271" t="str">
        <f>IFERROR(__xludf.DUMMYFUNCTION("""COMPUTED_VALUE"""),"貓狗企鵝")</f>
        <v>貓狗企鵝</v>
      </c>
      <c r="J1771" t="str">
        <f>IFERROR(__xludf.DUMMYFUNCTION("IFS(
  AND(REGEXMATCH(E1771, ""台銀籌備帳戶|玉山帳戶""), REGEXMATCH(C1771, ""薪資"")), ""分潤支出"",
  AND(REGEXMATCH(E1771, ""Ben帳戶|Elsa帳戶|Ben代墊|Ariel代墊|中信銀行共用""), REGEXMATCH(F1771, ""Ben帳戶|Elsa帳戶|Ben代墊|Ariel代墊|中信銀行共用"")), ""內部轉帳(忽略)"",
  AND(E1771&lt;&gt;"""", F1771&lt;&gt;"""", N"&amp;"OT(REGEXMATCH(C1771, ""薪資""))), ""內部轉帳(忽略)"",
  REGEXMATCH(C1771, ""薪資""), ""薪資變動(不計入)"",
  REGEXMATCH(C1771, ""押金""), ""押金往來"",
  AND(E1771&lt;&gt;"""", F1771=""""), ""真實支出"",
  AND(E1771="""", F1771&lt;&gt;""""), ""真實收入"",
  TRUE, ""其他""
)"),"真實收入")</f>
        <v>真實收入</v>
      </c>
      <c r="K1771" s="270">
        <f t="shared" si="2"/>
        <v>14800</v>
      </c>
      <c r="L1771">
        <f t="shared" si="3"/>
        <v>0</v>
      </c>
    </row>
    <row r="1772">
      <c r="A1772" s="107">
        <f>IFERROR(__xludf.DUMMYFUNCTION("""COMPUTED_VALUE"""),45749.0)</f>
        <v>45749</v>
      </c>
      <c r="B1772" t="str">
        <f>IFERROR(__xludf.DUMMYFUNCTION("""COMPUTED_VALUE"""),"[景安2分鐘] B [張語婕, 張依憑] 月租金 (行號: 86)")</f>
        <v>[景安2分鐘] B [張語婕, 張依憑] 月租金 (行號: 86)</v>
      </c>
      <c r="C1772" t="str">
        <f>IFERROR(__xludf.DUMMYFUNCTION("""COMPUTED_VALUE"""),"收入 - 租金")</f>
        <v>收入 - 租金</v>
      </c>
      <c r="D1772" s="270">
        <f>IFERROR(__xludf.DUMMYFUNCTION("""COMPUTED_VALUE"""),18800.0)</f>
        <v>18800</v>
      </c>
      <c r="F1772" t="str">
        <f>IFERROR(__xludf.DUMMYFUNCTION("""COMPUTED_VALUE"""),"台銀籌備帳戶")</f>
        <v>台銀籌備帳戶</v>
      </c>
      <c r="G1772" t="str">
        <f>IFERROR(__xludf.DUMMYFUNCTION("""COMPUTED_VALUE"""),"景安2分鐘")</f>
        <v>景安2分鐘</v>
      </c>
      <c r="H1772" s="106" t="str">
        <f t="shared" si="1"/>
        <v>2025-04</v>
      </c>
      <c r="I1772" s="271" t="str">
        <f>IFERROR(__xludf.DUMMYFUNCTION("""COMPUTED_VALUE"""),"貓狗企鵝")</f>
        <v>貓狗企鵝</v>
      </c>
      <c r="J1772" t="str">
        <f>IFERROR(__xludf.DUMMYFUNCTION("IFS(
  AND(REGEXMATCH(E1772, ""台銀籌備帳戶|玉山帳戶""), REGEXMATCH(C1772, ""薪資"")), ""分潤支出"",
  AND(REGEXMATCH(E1772, ""Ben帳戶|Elsa帳戶|Ben代墊|Ariel代墊|中信銀行共用""), REGEXMATCH(F1772, ""Ben帳戶|Elsa帳戶|Ben代墊|Ariel代墊|中信銀行共用"")), ""內部轉帳(忽略)"",
  AND(E1772&lt;&gt;"""", F1772&lt;&gt;"""", N"&amp;"OT(REGEXMATCH(C1772, ""薪資""))), ""內部轉帳(忽略)"",
  REGEXMATCH(C1772, ""薪資""), ""薪資變動(不計入)"",
  REGEXMATCH(C1772, ""押金""), ""押金往來"",
  AND(E1772&lt;&gt;"""", F1772=""""), ""真實支出"",
  AND(E1772="""", F1772&lt;&gt;""""), ""真實收入"",
  TRUE, ""其他""
)"),"真實收入")</f>
        <v>真實收入</v>
      </c>
      <c r="K1772" s="270">
        <f t="shared" si="2"/>
        <v>18800</v>
      </c>
      <c r="L1772">
        <f t="shared" si="3"/>
        <v>0</v>
      </c>
    </row>
    <row r="1773">
      <c r="A1773" s="107">
        <f>IFERROR(__xludf.DUMMYFUNCTION("""COMPUTED_VALUE"""),45749.0)</f>
        <v>45749</v>
      </c>
      <c r="B1773" t="str">
        <f>IFERROR(__xludf.DUMMYFUNCTION("""COMPUTED_VALUE"""),"[哈拉對面] C [徐鉦庭] 月租金 (行號: 87)")</f>
        <v>[哈拉對面] C [徐鉦庭] 月租金 (行號: 87)</v>
      </c>
      <c r="C1773" t="str">
        <f>IFERROR(__xludf.DUMMYFUNCTION("""COMPUTED_VALUE"""),"收入 - 租金")</f>
        <v>收入 - 租金</v>
      </c>
      <c r="D1773" s="270">
        <f>IFERROR(__xludf.DUMMYFUNCTION("""COMPUTED_VALUE"""),11800.0)</f>
        <v>11800</v>
      </c>
      <c r="F1773" t="str">
        <f>IFERROR(__xludf.DUMMYFUNCTION("""COMPUTED_VALUE"""),"台銀籌備帳戶")</f>
        <v>台銀籌備帳戶</v>
      </c>
      <c r="G1773" t="str">
        <f>IFERROR(__xludf.DUMMYFUNCTION("""COMPUTED_VALUE"""),"哈拉對面")</f>
        <v>哈拉對面</v>
      </c>
      <c r="H1773" s="106" t="str">
        <f t="shared" si="1"/>
        <v>2025-04</v>
      </c>
      <c r="I1773" s="271" t="str">
        <f>IFERROR(__xludf.DUMMYFUNCTION("""COMPUTED_VALUE"""),"貓狗企鵝")</f>
        <v>貓狗企鵝</v>
      </c>
      <c r="J1773" t="str">
        <f>IFERROR(__xludf.DUMMYFUNCTION("IFS(
  AND(REGEXMATCH(E1773, ""台銀籌備帳戶|玉山帳戶""), REGEXMATCH(C1773, ""薪資"")), ""分潤支出"",
  AND(REGEXMATCH(E1773, ""Ben帳戶|Elsa帳戶|Ben代墊|Ariel代墊|中信銀行共用""), REGEXMATCH(F1773, ""Ben帳戶|Elsa帳戶|Ben代墊|Ariel代墊|中信銀行共用"")), ""內部轉帳(忽略)"",
  AND(E1773&lt;&gt;"""", F1773&lt;&gt;"""", N"&amp;"OT(REGEXMATCH(C1773, ""薪資""))), ""內部轉帳(忽略)"",
  REGEXMATCH(C1773, ""薪資""), ""薪資變動(不計入)"",
  REGEXMATCH(C1773, ""押金""), ""押金往來"",
  AND(E1773&lt;&gt;"""", F1773=""""), ""真實支出"",
  AND(E1773="""", F1773&lt;&gt;""""), ""真實收入"",
  TRUE, ""其他""
)"),"真實收入")</f>
        <v>真實收入</v>
      </c>
      <c r="K1773" s="270">
        <f t="shared" si="2"/>
        <v>11800</v>
      </c>
      <c r="L1773">
        <f t="shared" si="3"/>
        <v>0</v>
      </c>
    </row>
    <row r="1774">
      <c r="A1774" s="107">
        <f>IFERROR(__xludf.DUMMYFUNCTION("""COMPUTED_VALUE"""),45749.0)</f>
        <v>45749</v>
      </c>
      <c r="B1774" t="str">
        <f>IFERROR(__xludf.DUMMYFUNCTION("""COMPUTED_VALUE"""),"[大湖山莊] A [熊翊丞] 月租金 (行號: 88)")</f>
        <v>[大湖山莊] A [熊翊丞] 月租金 (行號: 88)</v>
      </c>
      <c r="C1774" t="str">
        <f>IFERROR(__xludf.DUMMYFUNCTION("""COMPUTED_VALUE"""),"收入 - 租金")</f>
        <v>收入 - 租金</v>
      </c>
      <c r="D1774" s="270">
        <f>IFERROR(__xludf.DUMMYFUNCTION("""COMPUTED_VALUE"""),13300.0)</f>
        <v>13300</v>
      </c>
      <c r="F1774" t="str">
        <f>IFERROR(__xludf.DUMMYFUNCTION("""COMPUTED_VALUE"""),"台銀籌備帳戶")</f>
        <v>台銀籌備帳戶</v>
      </c>
      <c r="G1774" t="str">
        <f>IFERROR(__xludf.DUMMYFUNCTION("""COMPUTED_VALUE"""),"大湖山莊")</f>
        <v>大湖山莊</v>
      </c>
      <c r="H1774" s="106" t="str">
        <f t="shared" si="1"/>
        <v>2025-04</v>
      </c>
      <c r="I1774" s="271" t="str">
        <f>IFERROR(__xludf.DUMMYFUNCTION("""COMPUTED_VALUE"""),"貓狗企鵝")</f>
        <v>貓狗企鵝</v>
      </c>
      <c r="J1774" t="str">
        <f>IFERROR(__xludf.DUMMYFUNCTION("IFS(
  AND(REGEXMATCH(E1774, ""台銀籌備帳戶|玉山帳戶""), REGEXMATCH(C1774, ""薪資"")), ""分潤支出"",
  AND(REGEXMATCH(E1774, ""Ben帳戶|Elsa帳戶|Ben代墊|Ariel代墊|中信銀行共用""), REGEXMATCH(F1774, ""Ben帳戶|Elsa帳戶|Ben代墊|Ariel代墊|中信銀行共用"")), ""內部轉帳(忽略)"",
  AND(E1774&lt;&gt;"""", F1774&lt;&gt;"""", N"&amp;"OT(REGEXMATCH(C1774, ""薪資""))), ""內部轉帳(忽略)"",
  REGEXMATCH(C1774, ""薪資""), ""薪資變動(不計入)"",
  REGEXMATCH(C1774, ""押金""), ""押金往來"",
  AND(E1774&lt;&gt;"""", F1774=""""), ""真實支出"",
  AND(E1774="""", F1774&lt;&gt;""""), ""真實收入"",
  TRUE, ""其他""
)"),"真實收入")</f>
        <v>真實收入</v>
      </c>
      <c r="K1774" s="270">
        <f t="shared" si="2"/>
        <v>13300</v>
      </c>
      <c r="L1774">
        <f t="shared" si="3"/>
        <v>0</v>
      </c>
    </row>
    <row r="1775">
      <c r="A1775" s="107">
        <f>IFERROR(__xludf.DUMMYFUNCTION("""COMPUTED_VALUE"""),45749.0)</f>
        <v>45749</v>
      </c>
      <c r="B1775" t="str">
        <f>IFERROR(__xludf.DUMMYFUNCTION("""COMPUTED_VALUE"""),"[景安2分鐘] A [蕭宇榛] 月租金 (行號: 89)")</f>
        <v>[景安2分鐘] A [蕭宇榛] 月租金 (行號: 89)</v>
      </c>
      <c r="C1775" t="str">
        <f>IFERROR(__xludf.DUMMYFUNCTION("""COMPUTED_VALUE"""),"收入 - 租金")</f>
        <v>收入 - 租金</v>
      </c>
      <c r="D1775" s="270">
        <f>IFERROR(__xludf.DUMMYFUNCTION("""COMPUTED_VALUE"""),14500.0)</f>
        <v>14500</v>
      </c>
      <c r="F1775" t="str">
        <f>IFERROR(__xludf.DUMMYFUNCTION("""COMPUTED_VALUE"""),"台銀籌備帳戶")</f>
        <v>台銀籌備帳戶</v>
      </c>
      <c r="G1775" t="str">
        <f>IFERROR(__xludf.DUMMYFUNCTION("""COMPUTED_VALUE"""),"景安2分鐘")</f>
        <v>景安2分鐘</v>
      </c>
      <c r="H1775" s="106" t="str">
        <f t="shared" si="1"/>
        <v>2025-04</v>
      </c>
      <c r="I1775" s="271" t="str">
        <f>IFERROR(__xludf.DUMMYFUNCTION("""COMPUTED_VALUE"""),"貓狗企鵝")</f>
        <v>貓狗企鵝</v>
      </c>
      <c r="J1775" t="str">
        <f>IFERROR(__xludf.DUMMYFUNCTION("IFS(
  AND(REGEXMATCH(E1775, ""台銀籌備帳戶|玉山帳戶""), REGEXMATCH(C1775, ""薪資"")), ""分潤支出"",
  AND(REGEXMATCH(E1775, ""Ben帳戶|Elsa帳戶|Ben代墊|Ariel代墊|中信銀行共用""), REGEXMATCH(F1775, ""Ben帳戶|Elsa帳戶|Ben代墊|Ariel代墊|中信銀行共用"")), ""內部轉帳(忽略)"",
  AND(E1775&lt;&gt;"""", F1775&lt;&gt;"""", N"&amp;"OT(REGEXMATCH(C1775, ""薪資""))), ""內部轉帳(忽略)"",
  REGEXMATCH(C1775, ""薪資""), ""薪資變動(不計入)"",
  REGEXMATCH(C1775, ""押金""), ""押金往來"",
  AND(E1775&lt;&gt;"""", F1775=""""), ""真實支出"",
  AND(E1775="""", F1775&lt;&gt;""""), ""真實收入"",
  TRUE, ""其他""
)"),"真實收入")</f>
        <v>真實收入</v>
      </c>
      <c r="K1775" s="270">
        <f t="shared" si="2"/>
        <v>14500</v>
      </c>
      <c r="L1775">
        <f t="shared" si="3"/>
        <v>0</v>
      </c>
    </row>
    <row r="1776">
      <c r="A1776" s="107">
        <f>IFERROR(__xludf.DUMMYFUNCTION("""COMPUTED_VALUE"""),45749.0)</f>
        <v>45749</v>
      </c>
      <c r="B1776" t="str">
        <f>IFERROR(__xludf.DUMMYFUNCTION("""COMPUTED_VALUE"""),"[金龍帽子先生] D [蔡婷欣] 月租金 (行號: 90)")</f>
        <v>[金龍帽子先生] D [蔡婷欣] 月租金 (行號: 90)</v>
      </c>
      <c r="C1776" t="str">
        <f>IFERROR(__xludf.DUMMYFUNCTION("""COMPUTED_VALUE"""),"收入 - 租金")</f>
        <v>收入 - 租金</v>
      </c>
      <c r="D1776" s="270">
        <f>IFERROR(__xludf.DUMMYFUNCTION("""COMPUTED_VALUE"""),14500.0)</f>
        <v>14500</v>
      </c>
      <c r="F1776" t="str">
        <f>IFERROR(__xludf.DUMMYFUNCTION("""COMPUTED_VALUE"""),"台銀籌備帳戶")</f>
        <v>台銀籌備帳戶</v>
      </c>
      <c r="G1776" t="str">
        <f>IFERROR(__xludf.DUMMYFUNCTION("""COMPUTED_VALUE"""),"金龍帽子先生")</f>
        <v>金龍帽子先生</v>
      </c>
      <c r="H1776" s="106" t="str">
        <f t="shared" si="1"/>
        <v>2025-04</v>
      </c>
      <c r="I1776" s="271" t="str">
        <f>IFERROR(__xludf.DUMMYFUNCTION("""COMPUTED_VALUE"""),"貓狗企鵝")</f>
        <v>貓狗企鵝</v>
      </c>
      <c r="J1776" t="str">
        <f>IFERROR(__xludf.DUMMYFUNCTION("IFS(
  AND(REGEXMATCH(E1776, ""台銀籌備帳戶|玉山帳戶""), REGEXMATCH(C1776, ""薪資"")), ""分潤支出"",
  AND(REGEXMATCH(E1776, ""Ben帳戶|Elsa帳戶|Ben代墊|Ariel代墊|中信銀行共用""), REGEXMATCH(F1776, ""Ben帳戶|Elsa帳戶|Ben代墊|Ariel代墊|中信銀行共用"")), ""內部轉帳(忽略)"",
  AND(E1776&lt;&gt;"""", F1776&lt;&gt;"""", N"&amp;"OT(REGEXMATCH(C1776, ""薪資""))), ""內部轉帳(忽略)"",
  REGEXMATCH(C1776, ""薪資""), ""薪資變動(不計入)"",
  REGEXMATCH(C1776, ""押金""), ""押金往來"",
  AND(E1776&lt;&gt;"""", F1776=""""), ""真實支出"",
  AND(E1776="""", F1776&lt;&gt;""""), ""真實收入"",
  TRUE, ""其他""
)"),"真實收入")</f>
        <v>真實收入</v>
      </c>
      <c r="K1776" s="270">
        <f t="shared" si="2"/>
        <v>14500</v>
      </c>
      <c r="L1776">
        <f t="shared" si="3"/>
        <v>0</v>
      </c>
    </row>
    <row r="1777">
      <c r="A1777" s="107">
        <f>IFERROR(__xludf.DUMMYFUNCTION("""COMPUTED_VALUE"""),45749.0)</f>
        <v>45749</v>
      </c>
      <c r="B1777" t="str">
        <f>IFERROR(__xludf.DUMMYFUNCTION("""COMPUTED_VALUE"""),"[北醫醫師府] A [吳緯程] 月租金 (行號: 91)")</f>
        <v>[北醫醫師府] A [吳緯程] 月租金 (行號: 91)</v>
      </c>
      <c r="C1777" t="str">
        <f>IFERROR(__xludf.DUMMYFUNCTION("""COMPUTED_VALUE"""),"收入 - 租金")</f>
        <v>收入 - 租金</v>
      </c>
      <c r="D1777" s="270">
        <f>IFERROR(__xludf.DUMMYFUNCTION("""COMPUTED_VALUE"""),13000.0)</f>
        <v>13000</v>
      </c>
      <c r="F1777" t="str">
        <f>IFERROR(__xludf.DUMMYFUNCTION("""COMPUTED_VALUE"""),"台銀籌備帳戶")</f>
        <v>台銀籌備帳戶</v>
      </c>
      <c r="G1777" t="str">
        <f>IFERROR(__xludf.DUMMYFUNCTION("""COMPUTED_VALUE"""),"北醫醫師府")</f>
        <v>北醫醫師府</v>
      </c>
      <c r="H1777" s="106" t="str">
        <f t="shared" si="1"/>
        <v>2025-04</v>
      </c>
      <c r="I1777" s="271" t="str">
        <f>IFERROR(__xludf.DUMMYFUNCTION("""COMPUTED_VALUE"""),"貓狗企鵝")</f>
        <v>貓狗企鵝</v>
      </c>
      <c r="J1777" t="str">
        <f>IFERROR(__xludf.DUMMYFUNCTION("IFS(
  AND(REGEXMATCH(E1777, ""台銀籌備帳戶|玉山帳戶""), REGEXMATCH(C1777, ""薪資"")), ""分潤支出"",
  AND(REGEXMATCH(E1777, ""Ben帳戶|Elsa帳戶|Ben代墊|Ariel代墊|中信銀行共用""), REGEXMATCH(F1777, ""Ben帳戶|Elsa帳戶|Ben代墊|Ariel代墊|中信銀行共用"")), ""內部轉帳(忽略)"",
  AND(E1777&lt;&gt;"""", F1777&lt;&gt;"""", N"&amp;"OT(REGEXMATCH(C1777, ""薪資""))), ""內部轉帳(忽略)"",
  REGEXMATCH(C1777, ""薪資""), ""薪資變動(不計入)"",
  REGEXMATCH(C1777, ""押金""), ""押金往來"",
  AND(E1777&lt;&gt;"""", F1777=""""), ""真實支出"",
  AND(E1777="""", F1777&lt;&gt;""""), ""真實收入"",
  TRUE, ""其他""
)"),"真實收入")</f>
        <v>真實收入</v>
      </c>
      <c r="K1777" s="270">
        <f t="shared" si="2"/>
        <v>13000</v>
      </c>
      <c r="L1777">
        <f t="shared" si="3"/>
        <v>0</v>
      </c>
    </row>
    <row r="1778">
      <c r="A1778" s="107">
        <f>IFERROR(__xludf.DUMMYFUNCTION("""COMPUTED_VALUE"""),45749.0)</f>
        <v>45749</v>
      </c>
      <c r="B1778" t="str">
        <f>IFERROR(__xludf.DUMMYFUNCTION("""COMPUTED_VALUE"""),"[景安2分鐘] E [楊惠閔] 月租金 (行號: 92)")</f>
        <v>[景安2分鐘] E [楊惠閔] 月租金 (行號: 92)</v>
      </c>
      <c r="C1778" t="str">
        <f>IFERROR(__xludf.DUMMYFUNCTION("""COMPUTED_VALUE"""),"收入 - 租金")</f>
        <v>收入 - 租金</v>
      </c>
      <c r="D1778" s="270">
        <f>IFERROR(__xludf.DUMMYFUNCTION("""COMPUTED_VALUE"""),10500.0)</f>
        <v>10500</v>
      </c>
      <c r="F1778" t="str">
        <f>IFERROR(__xludf.DUMMYFUNCTION("""COMPUTED_VALUE"""),"台銀籌備帳戶")</f>
        <v>台銀籌備帳戶</v>
      </c>
      <c r="G1778" t="str">
        <f>IFERROR(__xludf.DUMMYFUNCTION("""COMPUTED_VALUE"""),"景安2分鐘")</f>
        <v>景安2分鐘</v>
      </c>
      <c r="H1778" s="106" t="str">
        <f t="shared" si="1"/>
        <v>2025-04</v>
      </c>
      <c r="I1778" s="271" t="str">
        <f>IFERROR(__xludf.DUMMYFUNCTION("""COMPUTED_VALUE"""),"貓狗企鵝")</f>
        <v>貓狗企鵝</v>
      </c>
      <c r="J1778" t="str">
        <f>IFERROR(__xludf.DUMMYFUNCTION("IFS(
  AND(REGEXMATCH(E1778, ""台銀籌備帳戶|玉山帳戶""), REGEXMATCH(C1778, ""薪資"")), ""分潤支出"",
  AND(REGEXMATCH(E1778, ""Ben帳戶|Elsa帳戶|Ben代墊|Ariel代墊|中信銀行共用""), REGEXMATCH(F1778, ""Ben帳戶|Elsa帳戶|Ben代墊|Ariel代墊|中信銀行共用"")), ""內部轉帳(忽略)"",
  AND(E1778&lt;&gt;"""", F1778&lt;&gt;"""", N"&amp;"OT(REGEXMATCH(C1778, ""薪資""))), ""內部轉帳(忽略)"",
  REGEXMATCH(C1778, ""薪資""), ""薪資變動(不計入)"",
  REGEXMATCH(C1778, ""押金""), ""押金往來"",
  AND(E1778&lt;&gt;"""", F1778=""""), ""真實支出"",
  AND(E1778="""", F1778&lt;&gt;""""), ""真實收入"",
  TRUE, ""其他""
)"),"真實收入")</f>
        <v>真實收入</v>
      </c>
      <c r="K1778" s="270">
        <f t="shared" si="2"/>
        <v>10500</v>
      </c>
      <c r="L1778">
        <f t="shared" si="3"/>
        <v>0</v>
      </c>
    </row>
    <row r="1779">
      <c r="A1779" s="107">
        <f>IFERROR(__xludf.DUMMYFUNCTION("""COMPUTED_VALUE"""),45749.0)</f>
        <v>45749</v>
      </c>
      <c r="B1779" t="str">
        <f>IFERROR(__xludf.DUMMYFUNCTION("""COMPUTED_VALUE"""),"[景安2分鐘] D [鍾佩晶] 月租金 (行號: 93)")</f>
        <v>[景安2分鐘] D [鍾佩晶] 月租金 (行號: 93)</v>
      </c>
      <c r="C1779" t="str">
        <f>IFERROR(__xludf.DUMMYFUNCTION("""COMPUTED_VALUE"""),"收入 - 租金")</f>
        <v>收入 - 租金</v>
      </c>
      <c r="D1779" s="270">
        <f>IFERROR(__xludf.DUMMYFUNCTION("""COMPUTED_VALUE"""),8600.0)</f>
        <v>8600</v>
      </c>
      <c r="F1779" t="str">
        <f>IFERROR(__xludf.DUMMYFUNCTION("""COMPUTED_VALUE"""),"台銀籌備帳戶")</f>
        <v>台銀籌備帳戶</v>
      </c>
      <c r="G1779" t="str">
        <f>IFERROR(__xludf.DUMMYFUNCTION("""COMPUTED_VALUE"""),"景安2分鐘")</f>
        <v>景安2分鐘</v>
      </c>
      <c r="H1779" s="106" t="str">
        <f t="shared" si="1"/>
        <v>2025-04</v>
      </c>
      <c r="I1779" s="271" t="str">
        <f>IFERROR(__xludf.DUMMYFUNCTION("""COMPUTED_VALUE"""),"貓狗企鵝")</f>
        <v>貓狗企鵝</v>
      </c>
      <c r="J1779" t="str">
        <f>IFERROR(__xludf.DUMMYFUNCTION("IFS(
  AND(REGEXMATCH(E1779, ""台銀籌備帳戶|玉山帳戶""), REGEXMATCH(C1779, ""薪資"")), ""分潤支出"",
  AND(REGEXMATCH(E1779, ""Ben帳戶|Elsa帳戶|Ben代墊|Ariel代墊|中信銀行共用""), REGEXMATCH(F1779, ""Ben帳戶|Elsa帳戶|Ben代墊|Ariel代墊|中信銀行共用"")), ""內部轉帳(忽略)"",
  AND(E1779&lt;&gt;"""", F1779&lt;&gt;"""", N"&amp;"OT(REGEXMATCH(C1779, ""薪資""))), ""內部轉帳(忽略)"",
  REGEXMATCH(C1779, ""薪資""), ""薪資變動(不計入)"",
  REGEXMATCH(C1779, ""押金""), ""押金往來"",
  AND(E1779&lt;&gt;"""", F1779=""""), ""真實支出"",
  AND(E1779="""", F1779&lt;&gt;""""), ""真實收入"",
  TRUE, ""其他""
)"),"真實收入")</f>
        <v>真實收入</v>
      </c>
      <c r="K1779" s="270">
        <f t="shared" si="2"/>
        <v>8600</v>
      </c>
      <c r="L1779">
        <f t="shared" si="3"/>
        <v>0</v>
      </c>
    </row>
    <row r="1780">
      <c r="A1780" s="107">
        <f>IFERROR(__xludf.DUMMYFUNCTION("""COMPUTED_VALUE"""),45749.0)</f>
        <v>45749</v>
      </c>
      <c r="B1780" t="str">
        <f>IFERROR(__xludf.DUMMYFUNCTION("""COMPUTED_VALUE"""),"[中山北娘家旁] A [李亨加] 月租金 (行號: 94, 95)")</f>
        <v>[中山北娘家旁] A [李亨加] 月租金 (行號: 94, 95)</v>
      </c>
      <c r="C1780" t="str">
        <f>IFERROR(__xludf.DUMMYFUNCTION("""COMPUTED_VALUE"""),"收入 - 租金")</f>
        <v>收入 - 租金</v>
      </c>
      <c r="D1780" s="270">
        <f>IFERROR(__xludf.DUMMYFUNCTION("""COMPUTED_VALUE"""),12500.0)</f>
        <v>12500</v>
      </c>
      <c r="F1780" t="str">
        <f>IFERROR(__xludf.DUMMYFUNCTION("""COMPUTED_VALUE"""),"台銀籌備帳戶")</f>
        <v>台銀籌備帳戶</v>
      </c>
      <c r="G1780" t="str">
        <f>IFERROR(__xludf.DUMMYFUNCTION("""COMPUTED_VALUE"""),"中山北娘家旁")</f>
        <v>中山北娘家旁</v>
      </c>
      <c r="H1780" s="106" t="str">
        <f t="shared" si="1"/>
        <v>2025-04</v>
      </c>
      <c r="I1780" s="271" t="str">
        <f>IFERROR(__xludf.DUMMYFUNCTION("""COMPUTED_VALUE"""),"貓狗企鵝")</f>
        <v>貓狗企鵝</v>
      </c>
      <c r="J1780" t="str">
        <f>IFERROR(__xludf.DUMMYFUNCTION("IFS(
  AND(REGEXMATCH(E1780, ""台銀籌備帳戶|玉山帳戶""), REGEXMATCH(C1780, ""薪資"")), ""分潤支出"",
  AND(REGEXMATCH(E1780, ""Ben帳戶|Elsa帳戶|Ben代墊|Ariel代墊|中信銀行共用""), REGEXMATCH(F1780, ""Ben帳戶|Elsa帳戶|Ben代墊|Ariel代墊|中信銀行共用"")), ""內部轉帳(忽略)"",
  AND(E1780&lt;&gt;"""", F1780&lt;&gt;"""", N"&amp;"OT(REGEXMATCH(C1780, ""薪資""))), ""內部轉帳(忽略)"",
  REGEXMATCH(C1780, ""薪資""), ""薪資變動(不計入)"",
  REGEXMATCH(C1780, ""押金""), ""押金往來"",
  AND(E1780&lt;&gt;"""", F1780=""""), ""真實支出"",
  AND(E1780="""", F1780&lt;&gt;""""), ""真實收入"",
  TRUE, ""其他""
)"),"真實收入")</f>
        <v>真實收入</v>
      </c>
      <c r="K1780" s="270">
        <f t="shared" si="2"/>
        <v>12500</v>
      </c>
      <c r="L1780">
        <f t="shared" si="3"/>
        <v>0</v>
      </c>
    </row>
    <row r="1781">
      <c r="A1781" s="107">
        <f>IFERROR(__xludf.DUMMYFUNCTION("""COMPUTED_VALUE"""),45749.0)</f>
        <v>45749</v>
      </c>
      <c r="B1781" t="str">
        <f>IFERROR(__xludf.DUMMYFUNCTION("""COMPUTED_VALUE"""),"[北醫醫師府] F [林雍勳] 月租金 (行號: 96)")</f>
        <v>[北醫醫師府] F [林雍勳] 月租金 (行號: 96)</v>
      </c>
      <c r="C1781" t="str">
        <f>IFERROR(__xludf.DUMMYFUNCTION("""COMPUTED_VALUE"""),"收入 - 租金")</f>
        <v>收入 - 租金</v>
      </c>
      <c r="D1781" s="270">
        <f>IFERROR(__xludf.DUMMYFUNCTION("""COMPUTED_VALUE"""),14800.0)</f>
        <v>14800</v>
      </c>
      <c r="F1781" t="str">
        <f>IFERROR(__xludf.DUMMYFUNCTION("""COMPUTED_VALUE"""),"台銀籌備帳戶")</f>
        <v>台銀籌備帳戶</v>
      </c>
      <c r="G1781" t="str">
        <f>IFERROR(__xludf.DUMMYFUNCTION("""COMPUTED_VALUE"""),"北醫醫師府")</f>
        <v>北醫醫師府</v>
      </c>
      <c r="H1781" s="106" t="str">
        <f t="shared" si="1"/>
        <v>2025-04</v>
      </c>
      <c r="I1781" s="271" t="str">
        <f>IFERROR(__xludf.DUMMYFUNCTION("""COMPUTED_VALUE"""),"貓狗企鵝")</f>
        <v>貓狗企鵝</v>
      </c>
      <c r="J1781" t="str">
        <f>IFERROR(__xludf.DUMMYFUNCTION("IFS(
  AND(REGEXMATCH(E1781, ""台銀籌備帳戶|玉山帳戶""), REGEXMATCH(C1781, ""薪資"")), ""分潤支出"",
  AND(REGEXMATCH(E1781, ""Ben帳戶|Elsa帳戶|Ben代墊|Ariel代墊|中信銀行共用""), REGEXMATCH(F1781, ""Ben帳戶|Elsa帳戶|Ben代墊|Ariel代墊|中信銀行共用"")), ""內部轉帳(忽略)"",
  AND(E1781&lt;&gt;"""", F1781&lt;&gt;"""", N"&amp;"OT(REGEXMATCH(C1781, ""薪資""))), ""內部轉帳(忽略)"",
  REGEXMATCH(C1781, ""薪資""), ""薪資變動(不計入)"",
  REGEXMATCH(C1781, ""押金""), ""押金往來"",
  AND(E1781&lt;&gt;"""", F1781=""""), ""真實支出"",
  AND(E1781="""", F1781&lt;&gt;""""), ""真實收入"",
  TRUE, ""其他""
)"),"真實收入")</f>
        <v>真實收入</v>
      </c>
      <c r="K1781" s="270">
        <f t="shared" si="2"/>
        <v>14800</v>
      </c>
      <c r="L1781">
        <f t="shared" si="3"/>
        <v>0</v>
      </c>
    </row>
    <row r="1782">
      <c r="A1782" s="107">
        <f>IFERROR(__xludf.DUMMYFUNCTION("""COMPUTED_VALUE"""),45749.0)</f>
        <v>45749</v>
      </c>
      <c r="B1782" t="str">
        <f>IFERROR(__xludf.DUMMYFUNCTION("""COMPUTED_VALUE"""),"[中山北Feli家] E [王翊樺, 周定瑀] 月租金 (行號: 97)")</f>
        <v>[中山北Feli家] E [王翊樺, 周定瑀] 月租金 (行號: 97)</v>
      </c>
      <c r="C1782" t="str">
        <f>IFERROR(__xludf.DUMMYFUNCTION("""COMPUTED_VALUE"""),"收入 - 租金")</f>
        <v>收入 - 租金</v>
      </c>
      <c r="D1782" s="270">
        <f>IFERROR(__xludf.DUMMYFUNCTION("""COMPUTED_VALUE"""),31000.0)</f>
        <v>31000</v>
      </c>
      <c r="F1782" t="str">
        <f>IFERROR(__xludf.DUMMYFUNCTION("""COMPUTED_VALUE"""),"台銀籌備帳戶")</f>
        <v>台銀籌備帳戶</v>
      </c>
      <c r="G1782" t="str">
        <f>IFERROR(__xludf.DUMMYFUNCTION("""COMPUTED_VALUE"""),"中山北Feli家")</f>
        <v>中山北Feli家</v>
      </c>
      <c r="H1782" s="106" t="str">
        <f t="shared" si="1"/>
        <v>2025-04</v>
      </c>
      <c r="I1782" s="271" t="str">
        <f>IFERROR(__xludf.DUMMYFUNCTION("""COMPUTED_VALUE"""),"貓狗企鵝")</f>
        <v>貓狗企鵝</v>
      </c>
      <c r="J1782" t="str">
        <f>IFERROR(__xludf.DUMMYFUNCTION("IFS(
  AND(REGEXMATCH(E1782, ""台銀籌備帳戶|玉山帳戶""), REGEXMATCH(C1782, ""薪資"")), ""分潤支出"",
  AND(REGEXMATCH(E1782, ""Ben帳戶|Elsa帳戶|Ben代墊|Ariel代墊|中信銀行共用""), REGEXMATCH(F1782, ""Ben帳戶|Elsa帳戶|Ben代墊|Ariel代墊|中信銀行共用"")), ""內部轉帳(忽略)"",
  AND(E1782&lt;&gt;"""", F1782&lt;&gt;"""", N"&amp;"OT(REGEXMATCH(C1782, ""薪資""))), ""內部轉帳(忽略)"",
  REGEXMATCH(C1782, ""薪資""), ""薪資變動(不計入)"",
  REGEXMATCH(C1782, ""押金""), ""押金往來"",
  AND(E1782&lt;&gt;"""", F1782=""""), ""真實支出"",
  AND(E1782="""", F1782&lt;&gt;""""), ""真實收入"",
  TRUE, ""其他""
)"),"真實收入")</f>
        <v>真實收入</v>
      </c>
      <c r="K1782" s="270">
        <f t="shared" si="2"/>
        <v>31000</v>
      </c>
      <c r="L1782">
        <f t="shared" si="3"/>
        <v>0</v>
      </c>
    </row>
    <row r="1783">
      <c r="A1783" s="107">
        <f>IFERROR(__xludf.DUMMYFUNCTION("""COMPUTED_VALUE"""),45749.0)</f>
        <v>45749</v>
      </c>
      <c r="B1783" t="str">
        <f>IFERROR(__xludf.DUMMYFUNCTION("""COMPUTED_VALUE"""),"[南港站挑高宅] E [張劉明翔] 月租金 (行號: 98)")</f>
        <v>[南港站挑高宅] E [張劉明翔] 月租金 (行號: 98)</v>
      </c>
      <c r="C1783" t="str">
        <f>IFERROR(__xludf.DUMMYFUNCTION("""COMPUTED_VALUE"""),"收入 - 租金")</f>
        <v>收入 - 租金</v>
      </c>
      <c r="D1783" s="270">
        <f>IFERROR(__xludf.DUMMYFUNCTION("""COMPUTED_VALUE"""),12800.0)</f>
        <v>12800</v>
      </c>
      <c r="F1783" t="str">
        <f>IFERROR(__xludf.DUMMYFUNCTION("""COMPUTED_VALUE"""),"台銀籌備帳戶")</f>
        <v>台銀籌備帳戶</v>
      </c>
      <c r="G1783" t="str">
        <f>IFERROR(__xludf.DUMMYFUNCTION("""COMPUTED_VALUE"""),"南港站挑高宅")</f>
        <v>南港站挑高宅</v>
      </c>
      <c r="H1783" s="106" t="str">
        <f t="shared" si="1"/>
        <v>2025-04</v>
      </c>
      <c r="I1783" s="271" t="str">
        <f>IFERROR(__xludf.DUMMYFUNCTION("""COMPUTED_VALUE"""),"貓狗企鵝")</f>
        <v>貓狗企鵝</v>
      </c>
      <c r="J1783" t="str">
        <f>IFERROR(__xludf.DUMMYFUNCTION("IFS(
  AND(REGEXMATCH(E1783, ""台銀籌備帳戶|玉山帳戶""), REGEXMATCH(C1783, ""薪資"")), ""分潤支出"",
  AND(REGEXMATCH(E1783, ""Ben帳戶|Elsa帳戶|Ben代墊|Ariel代墊|中信銀行共用""), REGEXMATCH(F1783, ""Ben帳戶|Elsa帳戶|Ben代墊|Ariel代墊|中信銀行共用"")), ""內部轉帳(忽略)"",
  AND(E1783&lt;&gt;"""", F1783&lt;&gt;"""", N"&amp;"OT(REGEXMATCH(C1783, ""薪資""))), ""內部轉帳(忽略)"",
  REGEXMATCH(C1783, ""薪資""), ""薪資變動(不計入)"",
  REGEXMATCH(C1783, ""押金""), ""押金往來"",
  AND(E1783&lt;&gt;"""", F1783=""""), ""真實支出"",
  AND(E1783="""", F1783&lt;&gt;""""), ""真實收入"",
  TRUE, ""其他""
)"),"真實收入")</f>
        <v>真實收入</v>
      </c>
      <c r="K1783" s="270">
        <f t="shared" si="2"/>
        <v>12800</v>
      </c>
      <c r="L1783">
        <f t="shared" si="3"/>
        <v>0</v>
      </c>
    </row>
    <row r="1784">
      <c r="A1784" s="107">
        <f>IFERROR(__xludf.DUMMYFUNCTION("""COMPUTED_VALUE"""),45750.0)</f>
        <v>45750</v>
      </c>
      <c r="B1784" t="str">
        <f>IFERROR(__xludf.DUMMYFUNCTION("""COMPUTED_VALUE"""),"[永春四號] C [林聿妡] 月租金")</f>
        <v>[永春四號] C [林聿妡] 月租金</v>
      </c>
      <c r="C1784" t="str">
        <f>IFERROR(__xludf.DUMMYFUNCTION("""COMPUTED_VALUE"""),"收入 - 租金")</f>
        <v>收入 - 租金</v>
      </c>
      <c r="D1784" s="270">
        <f>IFERROR(__xludf.DUMMYFUNCTION("""COMPUTED_VALUE"""),12800.0)</f>
        <v>12800</v>
      </c>
      <c r="F1784" t="str">
        <f>IFERROR(__xludf.DUMMYFUNCTION("""COMPUTED_VALUE"""),"台銀籌備帳戶")</f>
        <v>台銀籌備帳戶</v>
      </c>
      <c r="G1784" t="str">
        <f>IFERROR(__xludf.DUMMYFUNCTION("""COMPUTED_VALUE"""),"永春四號")</f>
        <v>永春四號</v>
      </c>
      <c r="H1784" s="106" t="str">
        <f t="shared" si="1"/>
        <v>2025-04</v>
      </c>
      <c r="I1784" s="271" t="str">
        <f>IFERROR(__xludf.DUMMYFUNCTION("""COMPUTED_VALUE"""),"貓狗企鵝")</f>
        <v>貓狗企鵝</v>
      </c>
      <c r="J1784" t="str">
        <f>IFERROR(__xludf.DUMMYFUNCTION("IFS(
  AND(REGEXMATCH(E1784, ""台銀籌備帳戶|玉山帳戶""), REGEXMATCH(C1784, ""薪資"")), ""分潤支出"",
  AND(REGEXMATCH(E1784, ""Ben帳戶|Elsa帳戶|Ben代墊|Ariel代墊|中信銀行共用""), REGEXMATCH(F1784, ""Ben帳戶|Elsa帳戶|Ben代墊|Ariel代墊|中信銀行共用"")), ""內部轉帳(忽略)"",
  AND(E1784&lt;&gt;"""", F1784&lt;&gt;"""", N"&amp;"OT(REGEXMATCH(C1784, ""薪資""))), ""內部轉帳(忽略)"",
  REGEXMATCH(C1784, ""薪資""), ""薪資變動(不計入)"",
  REGEXMATCH(C1784, ""押金""), ""押金往來"",
  AND(E1784&lt;&gt;"""", F1784=""""), ""真實支出"",
  AND(E1784="""", F1784&lt;&gt;""""), ""真實收入"",
  TRUE, ""其他""
)"),"真實收入")</f>
        <v>真實收入</v>
      </c>
      <c r="K1784" s="270">
        <f t="shared" si="2"/>
        <v>12800</v>
      </c>
      <c r="L1784">
        <f t="shared" si="3"/>
        <v>0</v>
      </c>
    </row>
    <row r="1785">
      <c r="A1785" s="107">
        <f>IFERROR(__xludf.DUMMYFUNCTION("""COMPUTED_VALUE"""),45754.0)</f>
        <v>45754</v>
      </c>
      <c r="B1785" t="str">
        <f>IFERROR(__xludf.DUMMYFUNCTION("""COMPUTED_VALUE"""),"垃可")</f>
        <v>垃可</v>
      </c>
      <c r="C1785" t="str">
        <f>IFERROR(__xludf.DUMMYFUNCTION("""COMPUTED_VALUE"""),"成本 - 固定開銷(網路代收清潔)")</f>
        <v>成本 - 固定開銷(網路代收清潔)</v>
      </c>
      <c r="D1785" s="270">
        <f>IFERROR(__xludf.DUMMYFUNCTION("""COMPUTED_VALUE"""),-4500.0)</f>
        <v>-4500</v>
      </c>
      <c r="E1785" t="str">
        <f>IFERROR(__xludf.DUMMYFUNCTION("""COMPUTED_VALUE"""),"Ben帳戶")</f>
        <v>Ben帳戶</v>
      </c>
      <c r="G1785" t="str">
        <f>IFERROR(__xludf.DUMMYFUNCTION("""COMPUTED_VALUE"""),"無法分類")</f>
        <v>無法分類</v>
      </c>
      <c r="H1785" s="106" t="str">
        <f t="shared" si="1"/>
        <v>2025-04</v>
      </c>
      <c r="I1785" s="271" t="str">
        <f>IFERROR(__xludf.DUMMYFUNCTION("""COMPUTED_VALUE"""),"貓狗企鵝")</f>
        <v>貓狗企鵝</v>
      </c>
      <c r="J1785" t="str">
        <f>IFERROR(__xludf.DUMMYFUNCTION("IFS(
  AND(REGEXMATCH(E1785, ""台銀籌備帳戶|玉山帳戶""), REGEXMATCH(C1785, ""薪資"")), ""分潤支出"",
  AND(REGEXMATCH(E1785, ""Ben帳戶|Elsa帳戶|Ben代墊|Ariel代墊|中信銀行共用""), REGEXMATCH(F1785, ""Ben帳戶|Elsa帳戶|Ben代墊|Ariel代墊|中信銀行共用"")), ""內部轉帳(忽略)"",
  AND(E1785&lt;&gt;"""", F1785&lt;&gt;"""", N"&amp;"OT(REGEXMATCH(C1785, ""薪資""))), ""內部轉帳(忽略)"",
  REGEXMATCH(C1785, ""薪資""), ""薪資變動(不計入)"",
  REGEXMATCH(C1785, ""押金""), ""押金往來"",
  AND(E1785&lt;&gt;"""", F1785=""""), ""真實支出"",
  AND(E1785="""", F1785&lt;&gt;""""), ""真實收入"",
  TRUE, ""其他""
)"),"真實支出")</f>
        <v>真實支出</v>
      </c>
      <c r="K1785" s="270">
        <f t="shared" si="2"/>
        <v>-4500</v>
      </c>
      <c r="L1785">
        <f t="shared" si="3"/>
        <v>0</v>
      </c>
    </row>
    <row r="1786">
      <c r="A1786" s="107">
        <f>IFERROR(__xludf.DUMMYFUNCTION("""COMPUTED_VALUE"""),45754.0)</f>
        <v>45754</v>
      </c>
      <c r="B1786" t="str">
        <f>IFERROR(__xludf.DUMMYFUNCTION("""COMPUTED_VALUE"""),"小玉 新生北一段 搬家回新生北三段")</f>
        <v>小玉 新生北一段 搬家回新生北三段</v>
      </c>
      <c r="C1786" t="str">
        <f>IFERROR(__xludf.DUMMYFUNCTION("""COMPUTED_VALUE"""),"成本 - 進場前裝潢費")</f>
        <v>成本 - 進場前裝潢費</v>
      </c>
      <c r="D1786" s="270">
        <f>IFERROR(__xludf.DUMMYFUNCTION("""COMPUTED_VALUE"""),-945.0)</f>
        <v>-945</v>
      </c>
      <c r="E1786" t="str">
        <f>IFERROR(__xludf.DUMMYFUNCTION("""COMPUTED_VALUE"""),"Ben帳戶")</f>
        <v>Ben帳戶</v>
      </c>
      <c r="G1786" t="str">
        <f>IFERROR(__xludf.DUMMYFUNCTION("""COMPUTED_VALUE"""),"無法分類")</f>
        <v>無法分類</v>
      </c>
      <c r="H1786" s="106" t="str">
        <f t="shared" si="1"/>
        <v>2025-04</v>
      </c>
      <c r="I1786" s="271" t="str">
        <f>IFERROR(__xludf.DUMMYFUNCTION("""COMPUTED_VALUE"""),"貓狗企鵝")</f>
        <v>貓狗企鵝</v>
      </c>
      <c r="J1786" t="str">
        <f>IFERROR(__xludf.DUMMYFUNCTION("IFS(
  AND(REGEXMATCH(E1786, ""台銀籌備帳戶|玉山帳戶""), REGEXMATCH(C1786, ""薪資"")), ""分潤支出"",
  AND(REGEXMATCH(E1786, ""Ben帳戶|Elsa帳戶|Ben代墊|Ariel代墊|中信銀行共用""), REGEXMATCH(F1786, ""Ben帳戶|Elsa帳戶|Ben代墊|Ariel代墊|中信銀行共用"")), ""內部轉帳(忽略)"",
  AND(E1786&lt;&gt;"""", F1786&lt;&gt;"""", N"&amp;"OT(REGEXMATCH(C1786, ""薪資""))), ""內部轉帳(忽略)"",
  REGEXMATCH(C1786, ""薪資""), ""薪資變動(不計入)"",
  REGEXMATCH(C1786, ""押金""), ""押金往來"",
  AND(E1786&lt;&gt;"""", F1786=""""), ""真實支出"",
  AND(E1786="""", F1786&lt;&gt;""""), ""真實收入"",
  TRUE, ""其他""
)"),"真實支出")</f>
        <v>真實支出</v>
      </c>
      <c r="K1786" s="270">
        <f t="shared" si="2"/>
        <v>-945</v>
      </c>
      <c r="L1786">
        <f t="shared" si="3"/>
        <v>0</v>
      </c>
    </row>
    <row r="1787">
      <c r="A1787" s="107">
        <f>IFERROR(__xludf.DUMMYFUNCTION("""COMPUTED_VALUE"""),45755.0)</f>
        <v>45755</v>
      </c>
      <c r="B1787" t="str">
        <f>IFERROR(__xludf.DUMMYFUNCTION("""COMPUTED_VALUE"""),"景安管理費")</f>
        <v>景安管理費</v>
      </c>
      <c r="C1787" t="str">
        <f>IFERROR(__xludf.DUMMYFUNCTION("""COMPUTED_VALUE"""),"成本 - 固定開銷(網路代收清潔)")</f>
        <v>成本 - 固定開銷(網路代收清潔)</v>
      </c>
      <c r="D1787" s="270">
        <f>IFERROR(__xludf.DUMMYFUNCTION("""COMPUTED_VALUE"""),-1700.0)</f>
        <v>-1700</v>
      </c>
      <c r="E1787" t="str">
        <f>IFERROR(__xludf.DUMMYFUNCTION("""COMPUTED_VALUE"""),"Ben帳戶")</f>
        <v>Ben帳戶</v>
      </c>
      <c r="G1787" t="str">
        <f>IFERROR(__xludf.DUMMYFUNCTION("""COMPUTED_VALUE"""),"景安2分鐘")</f>
        <v>景安2分鐘</v>
      </c>
      <c r="H1787" s="106" t="str">
        <f t="shared" si="1"/>
        <v>2025-04</v>
      </c>
      <c r="I1787" s="271" t="str">
        <f>IFERROR(__xludf.DUMMYFUNCTION("""COMPUTED_VALUE"""),"貓狗企鵝")</f>
        <v>貓狗企鵝</v>
      </c>
      <c r="J1787" t="str">
        <f>IFERROR(__xludf.DUMMYFUNCTION("IFS(
  AND(REGEXMATCH(E1787, ""台銀籌備帳戶|玉山帳戶""), REGEXMATCH(C1787, ""薪資"")), ""分潤支出"",
  AND(REGEXMATCH(E1787, ""Ben帳戶|Elsa帳戶|Ben代墊|Ariel代墊|中信銀行共用""), REGEXMATCH(F1787, ""Ben帳戶|Elsa帳戶|Ben代墊|Ariel代墊|中信銀行共用"")), ""內部轉帳(忽略)"",
  AND(E1787&lt;&gt;"""", F1787&lt;&gt;"""", N"&amp;"OT(REGEXMATCH(C1787, ""薪資""))), ""內部轉帳(忽略)"",
  REGEXMATCH(C1787, ""薪資""), ""薪資變動(不計入)"",
  REGEXMATCH(C1787, ""押金""), ""押金往來"",
  AND(E1787&lt;&gt;"""", F1787=""""), ""真實支出"",
  AND(E1787="""", F1787&lt;&gt;""""), ""真實收入"",
  TRUE, ""其他""
)"),"真實支出")</f>
        <v>真實支出</v>
      </c>
      <c r="K1787" s="270">
        <f t="shared" si="2"/>
        <v>-1700</v>
      </c>
      <c r="L1787">
        <f t="shared" si="3"/>
        <v>0</v>
      </c>
    </row>
    <row r="1788">
      <c r="A1788" s="107">
        <f>IFERROR(__xludf.DUMMYFUNCTION("""COMPUTED_VALUE"""),45750.0)</f>
        <v>45750</v>
      </c>
      <c r="B1788" t="str">
        <f>IFERROR(__xludf.DUMMYFUNCTION("""COMPUTED_VALUE"""),"Nicole轉錯 歸 ' 【未分類支出】")</f>
        <v>Nicole轉錯 歸 ' 【未分類支出】</v>
      </c>
      <c r="C1788" t="str">
        <f>IFERROR(__xludf.DUMMYFUNCTION("""COMPUTED_VALUE"""),"收入 - 租金")</f>
        <v>收入 - 租金</v>
      </c>
      <c r="D1788" s="270">
        <f>IFERROR(__xludf.DUMMYFUNCTION("""COMPUTED_VALUE"""),0.0)</f>
        <v>0</v>
      </c>
      <c r="E1788" t="str">
        <f>IFERROR(__xludf.DUMMYFUNCTION("""COMPUTED_VALUE"""),"台銀籌備帳戶")</f>
        <v>台銀籌備帳戶</v>
      </c>
      <c r="G1788" t="str">
        <f>IFERROR(__xludf.DUMMYFUNCTION("""COMPUTED_VALUE"""),"景安2分鐘")</f>
        <v>景安2分鐘</v>
      </c>
      <c r="H1788" s="106" t="str">
        <f t="shared" si="1"/>
        <v>2025-04</v>
      </c>
      <c r="I1788" s="271" t="str">
        <f>IFERROR(__xludf.DUMMYFUNCTION("""COMPUTED_VALUE"""),"貓狗企鵝")</f>
        <v>貓狗企鵝</v>
      </c>
      <c r="J1788" t="str">
        <f>IFERROR(__xludf.DUMMYFUNCTION("IFS(
  AND(REGEXMATCH(E1788, ""台銀籌備帳戶|玉山帳戶""), REGEXMATCH(C1788, ""薪資"")), ""分潤支出"",
  AND(REGEXMATCH(E1788, ""Ben帳戶|Elsa帳戶|Ben代墊|Ariel代墊|中信銀行共用""), REGEXMATCH(F1788, ""Ben帳戶|Elsa帳戶|Ben代墊|Ariel代墊|中信銀行共用"")), ""內部轉帳(忽略)"",
  AND(E1788&lt;&gt;"""", F1788&lt;&gt;"""", N"&amp;"OT(REGEXMATCH(C1788, ""薪資""))), ""內部轉帳(忽略)"",
  REGEXMATCH(C1788, ""薪資""), ""薪資變動(不計入)"",
  REGEXMATCH(C1788, ""押金""), ""押金往來"",
  AND(E1788&lt;&gt;"""", F1788=""""), ""真實支出"",
  AND(E1788="""", F1788&lt;&gt;""""), ""真實收入"",
  TRUE, ""其他""
)"),"真實支出")</f>
        <v>真實支出</v>
      </c>
      <c r="K1788" s="270">
        <f t="shared" si="2"/>
        <v>0</v>
      </c>
      <c r="L1788">
        <f t="shared" si="3"/>
        <v>0</v>
      </c>
    </row>
    <row r="1789">
      <c r="A1789" s="107">
        <f>IFERROR(__xludf.DUMMYFUNCTION("""COMPUTED_VALUE"""),45752.0)</f>
        <v>45752</v>
      </c>
      <c r="B1789" t="str">
        <f>IFERROR(__xludf.DUMMYFUNCTION("""COMPUTED_VALUE"""),"費用 - 匯費 對方行:700 後五碼:70201 (行號: 3)")</f>
        <v>費用 - 匯費 對方行:700 後五碼:70201 (行號: 3)</v>
      </c>
      <c r="C1789" t="str">
        <f>IFERROR(__xludf.DUMMYFUNCTION("""COMPUTED_VALUE"""),"費用 - 匯費")</f>
        <v>費用 - 匯費</v>
      </c>
      <c r="D1789" s="270">
        <f>IFERROR(__xludf.DUMMYFUNCTION("""COMPUTED_VALUE"""),-15.0)</f>
        <v>-15</v>
      </c>
      <c r="E1789" t="str">
        <f>IFERROR(__xludf.DUMMYFUNCTION("""COMPUTED_VALUE"""),"台銀籌備帳戶")</f>
        <v>台銀籌備帳戶</v>
      </c>
      <c r="H1789" s="106" t="str">
        <f t="shared" si="1"/>
        <v>2025-04</v>
      </c>
      <c r="I1789" s="271" t="str">
        <f>IFERROR(__xludf.DUMMYFUNCTION("""COMPUTED_VALUE"""),"貓狗企鵝")</f>
        <v>貓狗企鵝</v>
      </c>
      <c r="J1789" t="str">
        <f>IFERROR(__xludf.DUMMYFUNCTION("IFS(
  AND(REGEXMATCH(E1789, ""台銀籌備帳戶|玉山帳戶""), REGEXMATCH(C1789, ""薪資"")), ""分潤支出"",
  AND(REGEXMATCH(E1789, ""Ben帳戶|Elsa帳戶|Ben代墊|Ariel代墊|中信銀行共用""), REGEXMATCH(F1789, ""Ben帳戶|Elsa帳戶|Ben代墊|Ariel代墊|中信銀行共用"")), ""內部轉帳(忽略)"",
  AND(E1789&lt;&gt;"""", F1789&lt;&gt;"""", N"&amp;"OT(REGEXMATCH(C1789, ""薪資""))), ""內部轉帳(忽略)"",
  REGEXMATCH(C1789, ""薪資""), ""薪資變動(不計入)"",
  REGEXMATCH(C1789, ""押金""), ""押金往來"",
  AND(E1789&lt;&gt;"""", F1789=""""), ""真實支出"",
  AND(E1789="""", F1789&lt;&gt;""""), ""真實收入"",
  TRUE, ""其他""
)"),"真實支出")</f>
        <v>真實支出</v>
      </c>
      <c r="K1789" s="270">
        <f t="shared" si="2"/>
        <v>-15</v>
      </c>
      <c r="L1789">
        <f t="shared" si="3"/>
        <v>0</v>
      </c>
    </row>
    <row r="1790">
      <c r="A1790" s="107">
        <f>IFERROR(__xludf.DUMMYFUNCTION("""COMPUTED_VALUE"""),45752.0)</f>
        <v>45752</v>
      </c>
      <c r="B1790" t="str">
        <f>IFERROR(__xludf.DUMMYFUNCTION("""COMPUTED_VALUE"""),"宜佳三筆要拆帳 ' 【未分類支出】")</f>
        <v>宜佳三筆要拆帳 ' 【未分類支出】</v>
      </c>
      <c r="D1790" s="270">
        <f>IFERROR(__xludf.DUMMYFUNCTION("""COMPUTED_VALUE"""),-19950.0)</f>
        <v>-19950</v>
      </c>
      <c r="E1790" t="str">
        <f>IFERROR(__xludf.DUMMYFUNCTION("""COMPUTED_VALUE"""),"台銀籌備帳戶")</f>
        <v>台銀籌備帳戶</v>
      </c>
      <c r="H1790" s="106" t="str">
        <f t="shared" si="1"/>
        <v>2025-04</v>
      </c>
      <c r="I1790" s="271" t="str">
        <f>IFERROR(__xludf.DUMMYFUNCTION("""COMPUTED_VALUE"""),"貓狗企鵝")</f>
        <v>貓狗企鵝</v>
      </c>
      <c r="J1790" t="str">
        <f>IFERROR(__xludf.DUMMYFUNCTION("IFS(
  AND(REGEXMATCH(E1790, ""台銀籌備帳戶|玉山帳戶""), REGEXMATCH(C1790, ""薪資"")), ""分潤支出"",
  AND(REGEXMATCH(E1790, ""Ben帳戶|Elsa帳戶|Ben代墊|Ariel代墊|中信銀行共用""), REGEXMATCH(F1790, ""Ben帳戶|Elsa帳戶|Ben代墊|Ariel代墊|中信銀行共用"")), ""內部轉帳(忽略)"",
  AND(E1790&lt;&gt;"""", F1790&lt;&gt;"""", N"&amp;"OT(REGEXMATCH(C1790, ""薪資""))), ""內部轉帳(忽略)"",
  REGEXMATCH(C1790, ""薪資""), ""薪資變動(不計入)"",
  REGEXMATCH(C1790, ""押金""), ""押金往來"",
  AND(E1790&lt;&gt;"""", F1790=""""), ""真實支出"",
  AND(E1790="""", F1790&lt;&gt;""""), ""真實收入"",
  TRUE, ""其他""
)"),"真實支出")</f>
        <v>真實支出</v>
      </c>
      <c r="K1790" s="270">
        <f t="shared" si="2"/>
        <v>-19950</v>
      </c>
      <c r="L1790">
        <f t="shared" si="3"/>
        <v>0</v>
      </c>
    </row>
    <row r="1791">
      <c r="A1791" s="107">
        <f>IFERROR(__xludf.DUMMYFUNCTION("""COMPUTED_VALUE"""),45752.0)</f>
        <v>45752</v>
      </c>
      <c r="B1791" t="str">
        <f>IFERROR(__xludf.DUMMYFUNCTION("""COMPUTED_VALUE"""),"[南港站挑高宅] A [莊以棋] 月租金 (行號: 4)")</f>
        <v>[南港站挑高宅] A [莊以棋] 月租金 (行號: 4)</v>
      </c>
      <c r="C1791" t="str">
        <f>IFERROR(__xludf.DUMMYFUNCTION("""COMPUTED_VALUE"""),"收入 - 租金")</f>
        <v>收入 - 租金</v>
      </c>
      <c r="D1791" s="270">
        <f>IFERROR(__xludf.DUMMYFUNCTION("""COMPUTED_VALUE"""),13000.0)</f>
        <v>13000</v>
      </c>
      <c r="F1791" t="str">
        <f>IFERROR(__xludf.DUMMYFUNCTION("""COMPUTED_VALUE"""),"台銀籌備帳戶")</f>
        <v>台銀籌備帳戶</v>
      </c>
      <c r="G1791" t="str">
        <f>IFERROR(__xludf.DUMMYFUNCTION("""COMPUTED_VALUE"""),"南港站挑高宅")</f>
        <v>南港站挑高宅</v>
      </c>
      <c r="H1791" s="106" t="str">
        <f t="shared" si="1"/>
        <v>2025-04</v>
      </c>
      <c r="I1791" s="271" t="str">
        <f>IFERROR(__xludf.DUMMYFUNCTION("""COMPUTED_VALUE"""),"貓狗企鵝")</f>
        <v>貓狗企鵝</v>
      </c>
      <c r="J1791" t="str">
        <f>IFERROR(__xludf.DUMMYFUNCTION("IFS(
  AND(REGEXMATCH(E1791, ""台銀籌備帳戶|玉山帳戶""), REGEXMATCH(C1791, ""薪資"")), ""分潤支出"",
  AND(REGEXMATCH(E1791, ""Ben帳戶|Elsa帳戶|Ben代墊|Ariel代墊|中信銀行共用""), REGEXMATCH(F1791, ""Ben帳戶|Elsa帳戶|Ben代墊|Ariel代墊|中信銀行共用"")), ""內部轉帳(忽略)"",
  AND(E1791&lt;&gt;"""", F1791&lt;&gt;"""", N"&amp;"OT(REGEXMATCH(C1791, ""薪資""))), ""內部轉帳(忽略)"",
  REGEXMATCH(C1791, ""薪資""), ""薪資變動(不計入)"",
  REGEXMATCH(C1791, ""押金""), ""押金往來"",
  AND(E1791&lt;&gt;"""", F1791=""""), ""真實支出"",
  AND(E1791="""", F1791&lt;&gt;""""), ""真實收入"",
  TRUE, ""其他""
)"),"真實收入")</f>
        <v>真實收入</v>
      </c>
      <c r="K1791" s="270">
        <f t="shared" si="2"/>
        <v>13000</v>
      </c>
      <c r="L1791">
        <f t="shared" si="3"/>
        <v>0</v>
      </c>
    </row>
    <row r="1792">
      <c r="A1792" s="107">
        <f>IFERROR(__xludf.DUMMYFUNCTION("""COMPUTED_VALUE"""),45753.0)</f>
        <v>45753</v>
      </c>
      <c r="B1792" t="str">
        <f>IFERROR(__xludf.DUMMYFUNCTION("""COMPUTED_VALUE"""),"[中山北娘家旁] D [許庭偉] 月租金 (行號: 66)")</f>
        <v>[中山北娘家旁] D [許庭偉] 月租金 (行號: 66)</v>
      </c>
      <c r="C1792" t="str">
        <f>IFERROR(__xludf.DUMMYFUNCTION("""COMPUTED_VALUE"""),"收入 - 租金")</f>
        <v>收入 - 租金</v>
      </c>
      <c r="D1792" s="270">
        <f>IFERROR(__xludf.DUMMYFUNCTION("""COMPUTED_VALUE"""),14500.0)</f>
        <v>14500</v>
      </c>
      <c r="F1792" t="str">
        <f>IFERROR(__xludf.DUMMYFUNCTION("""COMPUTED_VALUE"""),"台銀籌備帳戶")</f>
        <v>台銀籌備帳戶</v>
      </c>
      <c r="G1792" t="str">
        <f>IFERROR(__xludf.DUMMYFUNCTION("""COMPUTED_VALUE"""),"中山北娘家旁")</f>
        <v>中山北娘家旁</v>
      </c>
      <c r="H1792" s="106" t="str">
        <f t="shared" si="1"/>
        <v>2025-04</v>
      </c>
      <c r="I1792" s="271" t="str">
        <f>IFERROR(__xludf.DUMMYFUNCTION("""COMPUTED_VALUE"""),"貓狗企鵝")</f>
        <v>貓狗企鵝</v>
      </c>
      <c r="J1792" t="str">
        <f>IFERROR(__xludf.DUMMYFUNCTION("IFS(
  AND(REGEXMATCH(E1792, ""台銀籌備帳戶|玉山帳戶""), REGEXMATCH(C1792, ""薪資"")), ""分潤支出"",
  AND(REGEXMATCH(E1792, ""Ben帳戶|Elsa帳戶|Ben代墊|Ariel代墊|中信銀行共用""), REGEXMATCH(F1792, ""Ben帳戶|Elsa帳戶|Ben代墊|Ariel代墊|中信銀行共用"")), ""內部轉帳(忽略)"",
  AND(E1792&lt;&gt;"""", F1792&lt;&gt;"""", N"&amp;"OT(REGEXMATCH(C1792, ""薪資""))), ""內部轉帳(忽略)"",
  REGEXMATCH(C1792, ""薪資""), ""薪資變動(不計入)"",
  REGEXMATCH(C1792, ""押金""), ""押金往來"",
  AND(E1792&lt;&gt;"""", F1792=""""), ""真實支出"",
  AND(E1792="""", F1792&lt;&gt;""""), ""真實收入"",
  TRUE, ""其他""
)"),"真實收入")</f>
        <v>真實收入</v>
      </c>
      <c r="K1792" s="270">
        <f t="shared" si="2"/>
        <v>14500</v>
      </c>
      <c r="L1792">
        <f t="shared" si="3"/>
        <v>0</v>
      </c>
    </row>
    <row r="1793">
      <c r="A1793" s="107">
        <f>IFERROR(__xludf.DUMMYFUNCTION("""COMPUTED_VALUE"""),45757.0)</f>
        <v>45757</v>
      </c>
      <c r="B1793" t="str">
        <f>IFERROR(__xludf.DUMMYFUNCTION("""COMPUTED_VALUE"""),"南港子昇水電退費")</f>
        <v>南港子昇水電退費</v>
      </c>
      <c r="C1793" t="str">
        <f>IFERROR(__xludf.DUMMYFUNCTION("""COMPUTED_VALUE"""),"收入 - 押金")</f>
        <v>收入 - 押金</v>
      </c>
      <c r="D1793" s="270">
        <f>IFERROR(__xludf.DUMMYFUNCTION("""COMPUTED_VALUE"""),-2630.0)</f>
        <v>-2630</v>
      </c>
      <c r="E1793" t="str">
        <f>IFERROR(__xludf.DUMMYFUNCTION("""COMPUTED_VALUE"""),"Elsa帳戶")</f>
        <v>Elsa帳戶</v>
      </c>
      <c r="G1793" t="str">
        <f>IFERROR(__xludf.DUMMYFUNCTION("""COMPUTED_VALUE"""),"南港站挑高宅")</f>
        <v>南港站挑高宅</v>
      </c>
      <c r="H1793" s="106" t="str">
        <f t="shared" si="1"/>
        <v>2025-04</v>
      </c>
      <c r="I1793" s="271" t="str">
        <f>IFERROR(__xludf.DUMMYFUNCTION("""COMPUTED_VALUE"""),"貓狗企鵝")</f>
        <v>貓狗企鵝</v>
      </c>
      <c r="J1793" t="str">
        <f>IFERROR(__xludf.DUMMYFUNCTION("IFS(
  AND(REGEXMATCH(E1793, ""台銀籌備帳戶|玉山帳戶""), REGEXMATCH(C1793, ""薪資"")), ""分潤支出"",
  AND(REGEXMATCH(E1793, ""Ben帳戶|Elsa帳戶|Ben代墊|Ariel代墊|中信銀行共用""), REGEXMATCH(F1793, ""Ben帳戶|Elsa帳戶|Ben代墊|Ariel代墊|中信銀行共用"")), ""內部轉帳(忽略)"",
  AND(E1793&lt;&gt;"""", F1793&lt;&gt;"""", N"&amp;"OT(REGEXMATCH(C1793, ""薪資""))), ""內部轉帳(忽略)"",
  REGEXMATCH(C1793, ""薪資""), ""薪資變動(不計入)"",
  REGEXMATCH(C1793, ""押金""), ""押金往來"",
  AND(E1793&lt;&gt;"""", F1793=""""), ""真實支出"",
  AND(E1793="""", F1793&lt;&gt;""""), ""真實收入"",
  TRUE, ""其他""
)"),"押金往來")</f>
        <v>押金往來</v>
      </c>
      <c r="K1793">
        <f t="shared" si="2"/>
        <v>0</v>
      </c>
      <c r="L1793">
        <f t="shared" si="3"/>
        <v>0</v>
      </c>
    </row>
    <row r="1794">
      <c r="A1794" s="107">
        <f>IFERROR(__xludf.DUMMYFUNCTION("""COMPUTED_VALUE"""),45760.0)</f>
        <v>45760</v>
      </c>
      <c r="B1794" t="str">
        <f>IFERROR(__xludf.DUMMYFUNCTION("""COMPUTED_VALUE"""),"金龍借用套房洗澡感謝金")</f>
        <v>金龍借用套房洗澡感謝金</v>
      </c>
      <c r="C1794" t="str">
        <f>IFERROR(__xludf.DUMMYFUNCTION("""COMPUTED_VALUE"""),"成本 - 租後修繕")</f>
        <v>成本 - 租後修繕</v>
      </c>
      <c r="D1794" s="270">
        <f>IFERROR(__xludf.DUMMYFUNCTION("""COMPUTED_VALUE"""),-1000.0)</f>
        <v>-1000</v>
      </c>
      <c r="E1794" t="str">
        <f>IFERROR(__xludf.DUMMYFUNCTION("""COMPUTED_VALUE"""),"Ben帳戶")</f>
        <v>Ben帳戶</v>
      </c>
      <c r="G1794" t="str">
        <f>IFERROR(__xludf.DUMMYFUNCTION("""COMPUTED_VALUE"""),"金龍帽子先生")</f>
        <v>金龍帽子先生</v>
      </c>
      <c r="H1794" s="106" t="str">
        <f t="shared" si="1"/>
        <v>2025-04</v>
      </c>
      <c r="I1794" s="271" t="str">
        <f>IFERROR(__xludf.DUMMYFUNCTION("""COMPUTED_VALUE"""),"貓狗企鵝")</f>
        <v>貓狗企鵝</v>
      </c>
      <c r="J1794" t="str">
        <f>IFERROR(__xludf.DUMMYFUNCTION("IFS(
  AND(REGEXMATCH(E1794, ""台銀籌備帳戶|玉山帳戶""), REGEXMATCH(C1794, ""薪資"")), ""分潤支出"",
  AND(REGEXMATCH(E1794, ""Ben帳戶|Elsa帳戶|Ben代墊|Ariel代墊|中信銀行共用""), REGEXMATCH(F1794, ""Ben帳戶|Elsa帳戶|Ben代墊|Ariel代墊|中信銀行共用"")), ""內部轉帳(忽略)"",
  AND(E1794&lt;&gt;"""", F1794&lt;&gt;"""", N"&amp;"OT(REGEXMATCH(C1794, ""薪資""))), ""內部轉帳(忽略)"",
  REGEXMATCH(C1794, ""薪資""), ""薪資變動(不計入)"",
  REGEXMATCH(C1794, ""押金""), ""押金往來"",
  AND(E1794&lt;&gt;"""", F1794=""""), ""真實支出"",
  AND(E1794="""", F1794&lt;&gt;""""), ""真實收入"",
  TRUE, ""其他""
)"),"真實支出")</f>
        <v>真實支出</v>
      </c>
      <c r="K1794" s="270">
        <f t="shared" si="2"/>
        <v>-1000</v>
      </c>
      <c r="L1794">
        <f t="shared" si="3"/>
        <v>0</v>
      </c>
    </row>
    <row r="1795">
      <c r="A1795" s="107">
        <f>IFERROR(__xludf.DUMMYFUNCTION("""COMPUTED_VALUE"""),45763.0)</f>
        <v>45763</v>
      </c>
      <c r="B1795" t="str">
        <f>IFERROR(__xludf.DUMMYFUNCTION("""COMPUTED_VALUE"""),"金龍4月垃圾代收")</f>
        <v>金龍4月垃圾代收</v>
      </c>
      <c r="D1795" s="270">
        <f>IFERROR(__xludf.DUMMYFUNCTION("""COMPUTED_VALUE"""),-400.0)</f>
        <v>-400</v>
      </c>
      <c r="E1795" t="str">
        <f>IFERROR(__xludf.DUMMYFUNCTION("""COMPUTED_VALUE"""),"Elsa帳戶")</f>
        <v>Elsa帳戶</v>
      </c>
      <c r="G1795" t="str">
        <f>IFERROR(__xludf.DUMMYFUNCTION("""COMPUTED_VALUE"""),"金龍帽子先生")</f>
        <v>金龍帽子先生</v>
      </c>
      <c r="H1795" s="106" t="str">
        <f t="shared" si="1"/>
        <v>2025-04</v>
      </c>
      <c r="I1795" s="271" t="str">
        <f>IFERROR(__xludf.DUMMYFUNCTION("""COMPUTED_VALUE"""),"貓狗企鵝")</f>
        <v>貓狗企鵝</v>
      </c>
      <c r="J1795" t="str">
        <f>IFERROR(__xludf.DUMMYFUNCTION("IFS(
  AND(REGEXMATCH(E1795, ""台銀籌備帳戶|玉山帳戶""), REGEXMATCH(C1795, ""薪資"")), ""分潤支出"",
  AND(REGEXMATCH(E1795, ""Ben帳戶|Elsa帳戶|Ben代墊|Ariel代墊|中信銀行共用""), REGEXMATCH(F1795, ""Ben帳戶|Elsa帳戶|Ben代墊|Ariel代墊|中信銀行共用"")), ""內部轉帳(忽略)"",
  AND(E1795&lt;&gt;"""", F1795&lt;&gt;"""", N"&amp;"OT(REGEXMATCH(C1795, ""薪資""))), ""內部轉帳(忽略)"",
  REGEXMATCH(C1795, ""薪資""), ""薪資變動(不計入)"",
  REGEXMATCH(C1795, ""押金""), ""押金往來"",
  AND(E1795&lt;&gt;"""", F1795=""""), ""真實支出"",
  AND(E1795="""", F1795&lt;&gt;""""), ""真實收入"",
  TRUE, ""其他""
)"),"真實支出")</f>
        <v>真實支出</v>
      </c>
      <c r="K1795" s="270">
        <f t="shared" si="2"/>
        <v>-400</v>
      </c>
      <c r="L1795">
        <f t="shared" si="3"/>
        <v>0</v>
      </c>
    </row>
    <row r="1796">
      <c r="A1796" s="107">
        <f>IFERROR(__xludf.DUMMYFUNCTION("""COMPUTED_VALUE"""),45765.0)</f>
        <v>45765</v>
      </c>
      <c r="B1796" t="str">
        <f>IFERROR(__xludf.DUMMYFUNCTION("""COMPUTED_VALUE"""),"中嘉寬頻網路 娘家(季繳 5/1~7/31)")</f>
        <v>中嘉寬頻網路 娘家(季繳 5/1~7/31)</v>
      </c>
      <c r="C1796" t="str">
        <f>IFERROR(__xludf.DUMMYFUNCTION("""COMPUTED_VALUE"""),"成本 - 固定開銷(網路代收清潔)")</f>
        <v>成本 - 固定開銷(網路代收清潔)</v>
      </c>
      <c r="D1796" s="270">
        <f>IFERROR(__xludf.DUMMYFUNCTION("""COMPUTED_VALUE"""),-1197.0)</f>
        <v>-1197</v>
      </c>
      <c r="E1796" t="str">
        <f>IFERROR(__xludf.DUMMYFUNCTION("""COMPUTED_VALUE"""),"Ben帳戶")</f>
        <v>Ben帳戶</v>
      </c>
      <c r="G1796" t="str">
        <f>IFERROR(__xludf.DUMMYFUNCTION("""COMPUTED_VALUE"""),"中山北娘家旁")</f>
        <v>中山北娘家旁</v>
      </c>
      <c r="H1796" s="106" t="str">
        <f t="shared" si="1"/>
        <v>2025-04</v>
      </c>
      <c r="I1796" s="271" t="str">
        <f>IFERROR(__xludf.DUMMYFUNCTION("""COMPUTED_VALUE"""),"貓狗企鵝")</f>
        <v>貓狗企鵝</v>
      </c>
      <c r="J1796" t="str">
        <f>IFERROR(__xludf.DUMMYFUNCTION("IFS(
  AND(REGEXMATCH(E1796, ""台銀籌備帳戶|玉山帳戶""), REGEXMATCH(C1796, ""薪資"")), ""分潤支出"",
  AND(REGEXMATCH(E1796, ""Ben帳戶|Elsa帳戶|Ben代墊|Ariel代墊|中信銀行共用""), REGEXMATCH(F1796, ""Ben帳戶|Elsa帳戶|Ben代墊|Ariel代墊|中信銀行共用"")), ""內部轉帳(忽略)"",
  AND(E1796&lt;&gt;"""", F1796&lt;&gt;"""", N"&amp;"OT(REGEXMATCH(C1796, ""薪資""))), ""內部轉帳(忽略)"",
  REGEXMATCH(C1796, ""薪資""), ""薪資變動(不計入)"",
  REGEXMATCH(C1796, ""押金""), ""押金往來"",
  AND(E1796&lt;&gt;"""", F1796=""""), ""真實支出"",
  AND(E1796="""", F1796&lt;&gt;""""), ""真實收入"",
  TRUE, ""其他""
)"),"真實支出")</f>
        <v>真實支出</v>
      </c>
      <c r="K1796" s="270">
        <f t="shared" si="2"/>
        <v>-1197</v>
      </c>
      <c r="L1796">
        <f t="shared" si="3"/>
        <v>0</v>
      </c>
    </row>
    <row r="1797">
      <c r="A1797" s="107">
        <f>IFERROR(__xludf.DUMMYFUNCTION("""COMPUTED_VALUE"""),45767.0)</f>
        <v>45767</v>
      </c>
      <c r="B1797" t="str">
        <f>IFERROR(__xludf.DUMMYFUNCTION("""COMPUTED_VALUE"""),"景安 E房 水電瓦斯")</f>
        <v>景安 E房 水電瓦斯</v>
      </c>
      <c r="C1797" t="str">
        <f>IFERROR(__xludf.DUMMYFUNCTION("""COMPUTED_VALUE"""),"成本 - 固定開銷(網路代收清潔)")</f>
        <v>成本 - 固定開銷(網路代收清潔)</v>
      </c>
      <c r="D1797" s="270">
        <f>IFERROR(__xludf.DUMMYFUNCTION("""COMPUTED_VALUE"""),-183.0)</f>
        <v>-183</v>
      </c>
      <c r="E1797" t="str">
        <f>IFERROR(__xludf.DUMMYFUNCTION("""COMPUTED_VALUE"""),"Ben帳戶")</f>
        <v>Ben帳戶</v>
      </c>
      <c r="G1797" t="str">
        <f>IFERROR(__xludf.DUMMYFUNCTION("""COMPUTED_VALUE"""),"景安2分鐘")</f>
        <v>景安2分鐘</v>
      </c>
      <c r="H1797" s="106" t="str">
        <f t="shared" si="1"/>
        <v>2025-04</v>
      </c>
      <c r="I1797" s="271" t="str">
        <f>IFERROR(__xludf.DUMMYFUNCTION("""COMPUTED_VALUE"""),"貓狗企鵝")</f>
        <v>貓狗企鵝</v>
      </c>
      <c r="J1797" t="str">
        <f>IFERROR(__xludf.DUMMYFUNCTION("IFS(
  AND(REGEXMATCH(E1797, ""台銀籌備帳戶|玉山帳戶""), REGEXMATCH(C1797, ""薪資"")), ""分潤支出"",
  AND(REGEXMATCH(E1797, ""Ben帳戶|Elsa帳戶|Ben代墊|Ariel代墊|中信銀行共用""), REGEXMATCH(F1797, ""Ben帳戶|Elsa帳戶|Ben代墊|Ariel代墊|中信銀行共用"")), ""內部轉帳(忽略)"",
  AND(E1797&lt;&gt;"""", F1797&lt;&gt;"""", N"&amp;"OT(REGEXMATCH(C1797, ""薪資""))), ""內部轉帳(忽略)"",
  REGEXMATCH(C1797, ""薪資""), ""薪資變動(不計入)"",
  REGEXMATCH(C1797, ""押金""), ""押金往來"",
  AND(E1797&lt;&gt;"""", F1797=""""), ""真實支出"",
  AND(E1797="""", F1797&lt;&gt;""""), ""真實收入"",
  TRUE, ""其他""
)"),"真實支出")</f>
        <v>真實支出</v>
      </c>
      <c r="K1797" s="270">
        <f t="shared" si="2"/>
        <v>-183</v>
      </c>
      <c r="L1797">
        <f t="shared" si="3"/>
        <v>0</v>
      </c>
    </row>
    <row r="1798">
      <c r="A1798" s="107">
        <f>IFERROR(__xludf.DUMMYFUNCTION("""COMPUTED_VALUE"""),45767.0)</f>
        <v>45767</v>
      </c>
      <c r="B1798">
        <f>IFERROR(__xludf.DUMMYFUNCTION("""COMPUTED_VALUE"""),591.0)</f>
        <v>591</v>
      </c>
      <c r="C1798" t="str">
        <f>IFERROR(__xludf.DUMMYFUNCTION("""COMPUTED_VALUE"""),"成本 - 仲介費")</f>
        <v>成本 - 仲介費</v>
      </c>
      <c r="D1798" s="270">
        <f>IFERROR(__xludf.DUMMYFUNCTION("""COMPUTED_VALUE"""),-1289.0)</f>
        <v>-1289</v>
      </c>
      <c r="E1798" t="str">
        <f>IFERROR(__xludf.DUMMYFUNCTION("""COMPUTED_VALUE"""),"Elsa帳戶")</f>
        <v>Elsa帳戶</v>
      </c>
      <c r="G1798" t="str">
        <f>IFERROR(__xludf.DUMMYFUNCTION("""COMPUTED_VALUE"""),"金龍帽子先生")</f>
        <v>金龍帽子先生</v>
      </c>
      <c r="H1798" s="106" t="str">
        <f t="shared" si="1"/>
        <v>2025-04</v>
      </c>
      <c r="I1798" s="271" t="str">
        <f>IFERROR(__xludf.DUMMYFUNCTION("""COMPUTED_VALUE"""),"貓狗企鵝")</f>
        <v>貓狗企鵝</v>
      </c>
      <c r="J1798" t="str">
        <f>IFERROR(__xludf.DUMMYFUNCTION("IFS(
  AND(REGEXMATCH(E1798, ""台銀籌備帳戶|玉山帳戶""), REGEXMATCH(C1798, ""薪資"")), ""分潤支出"",
  AND(REGEXMATCH(E1798, ""Ben帳戶|Elsa帳戶|Ben代墊|Ariel代墊|中信銀行共用""), REGEXMATCH(F1798, ""Ben帳戶|Elsa帳戶|Ben代墊|Ariel代墊|中信銀行共用"")), ""內部轉帳(忽略)"",
  AND(E1798&lt;&gt;"""", F1798&lt;&gt;"""", N"&amp;"OT(REGEXMATCH(C1798, ""薪資""))), ""內部轉帳(忽略)"",
  REGEXMATCH(C1798, ""薪資""), ""薪資變動(不計入)"",
  REGEXMATCH(C1798, ""押金""), ""押金往來"",
  AND(E1798&lt;&gt;"""", F1798=""""), ""真實支出"",
  AND(E1798="""", F1798&lt;&gt;""""), ""真實收入"",
  TRUE, ""其他""
)"),"真實支出")</f>
        <v>真實支出</v>
      </c>
      <c r="K1798" s="270">
        <f t="shared" si="2"/>
        <v>-1289</v>
      </c>
      <c r="L1798">
        <f t="shared" si="3"/>
        <v>0</v>
      </c>
    </row>
    <row r="1799">
      <c r="A1799" s="107">
        <f>IFERROR(__xludf.DUMMYFUNCTION("""COMPUTED_VALUE"""),45767.0)</f>
        <v>45767</v>
      </c>
      <c r="B1799">
        <f>IFERROR(__xludf.DUMMYFUNCTION("""COMPUTED_VALUE"""),591.0)</f>
        <v>591</v>
      </c>
      <c r="C1799" t="str">
        <f>IFERROR(__xludf.DUMMYFUNCTION("""COMPUTED_VALUE"""),"成本 - 仲介費")</f>
        <v>成本 - 仲介費</v>
      </c>
      <c r="D1799" s="270">
        <f>IFERROR(__xludf.DUMMYFUNCTION("""COMPUTED_VALUE"""),-1289.0)</f>
        <v>-1289</v>
      </c>
      <c r="E1799" t="str">
        <f>IFERROR(__xludf.DUMMYFUNCTION("""COMPUTED_VALUE"""),"Elsa帳戶")</f>
        <v>Elsa帳戶</v>
      </c>
      <c r="G1799" t="str">
        <f>IFERROR(__xludf.DUMMYFUNCTION("""COMPUTED_VALUE"""),"中山北娘家旁")</f>
        <v>中山北娘家旁</v>
      </c>
      <c r="H1799" s="106" t="str">
        <f t="shared" si="1"/>
        <v>2025-04</v>
      </c>
      <c r="I1799" s="271" t="str">
        <f>IFERROR(__xludf.DUMMYFUNCTION("""COMPUTED_VALUE"""),"貓狗企鵝")</f>
        <v>貓狗企鵝</v>
      </c>
      <c r="J1799" t="str">
        <f>IFERROR(__xludf.DUMMYFUNCTION("IFS(
  AND(REGEXMATCH(E1799, ""台銀籌備帳戶|玉山帳戶""), REGEXMATCH(C1799, ""薪資"")), ""分潤支出"",
  AND(REGEXMATCH(E1799, ""Ben帳戶|Elsa帳戶|Ben代墊|Ariel代墊|中信銀行共用""), REGEXMATCH(F1799, ""Ben帳戶|Elsa帳戶|Ben代墊|Ariel代墊|中信銀行共用"")), ""內部轉帳(忽略)"",
  AND(E1799&lt;&gt;"""", F1799&lt;&gt;"""", N"&amp;"OT(REGEXMATCH(C1799, ""薪資""))), ""內部轉帳(忽略)"",
  REGEXMATCH(C1799, ""薪資""), ""薪資變動(不計入)"",
  REGEXMATCH(C1799, ""押金""), ""押金往來"",
  AND(E1799&lt;&gt;"""", F1799=""""), ""真實支出"",
  AND(E1799="""", F1799&lt;&gt;""""), ""真實收入"",
  TRUE, ""其他""
)"),"真實支出")</f>
        <v>真實支出</v>
      </c>
      <c r="K1799" s="270">
        <f t="shared" si="2"/>
        <v>-1289</v>
      </c>
      <c r="L1799">
        <f t="shared" si="3"/>
        <v>0</v>
      </c>
    </row>
    <row r="1800">
      <c r="A1800" s="107">
        <f>IFERROR(__xludf.DUMMYFUNCTION("""COMPUTED_VALUE"""),45768.0)</f>
        <v>45768</v>
      </c>
      <c r="B1800" t="str">
        <f>IFERROR(__xludf.DUMMYFUNCTION("""COMPUTED_VALUE"""),"Eden 水電瓦斯 給歆")</f>
        <v>Eden 水電瓦斯 給歆</v>
      </c>
      <c r="C1800" t="str">
        <f>IFERROR(__xludf.DUMMYFUNCTION("""COMPUTED_VALUE"""),"成本 - 固定開銷(網路代收清潔)")</f>
        <v>成本 - 固定開銷(網路代收清潔)</v>
      </c>
      <c r="D1800" s="270">
        <f>IFERROR(__xludf.DUMMYFUNCTION("""COMPUTED_VALUE"""),-1082.0)</f>
        <v>-1082</v>
      </c>
      <c r="E1800" t="str">
        <f>IFERROR(__xludf.DUMMYFUNCTION("""COMPUTED_VALUE"""),"Ben帳戶")</f>
        <v>Ben帳戶</v>
      </c>
      <c r="G1800" t="str">
        <f>IFERROR(__xludf.DUMMYFUNCTION("""COMPUTED_VALUE"""),"金龍帽子先生")</f>
        <v>金龍帽子先生</v>
      </c>
      <c r="H1800" s="106" t="str">
        <f t="shared" si="1"/>
        <v>2025-04</v>
      </c>
      <c r="I1800" s="271" t="str">
        <f>IFERROR(__xludf.DUMMYFUNCTION("""COMPUTED_VALUE"""),"貓狗企鵝")</f>
        <v>貓狗企鵝</v>
      </c>
      <c r="J1800" t="str">
        <f>IFERROR(__xludf.DUMMYFUNCTION("IFS(
  AND(REGEXMATCH(E1800, ""台銀籌備帳戶|玉山帳戶""), REGEXMATCH(C1800, ""薪資"")), ""分潤支出"",
  AND(REGEXMATCH(E1800, ""Ben帳戶|Elsa帳戶|Ben代墊|Ariel代墊|中信銀行共用""), REGEXMATCH(F1800, ""Ben帳戶|Elsa帳戶|Ben代墊|Ariel代墊|中信銀行共用"")), ""內部轉帳(忽略)"",
  AND(E1800&lt;&gt;"""", F1800&lt;&gt;"""", N"&amp;"OT(REGEXMATCH(C1800, ""薪資""))), ""內部轉帳(忽略)"",
  REGEXMATCH(C1800, ""薪資""), ""薪資變動(不計入)"",
  REGEXMATCH(C1800, ""押金""), ""押金往來"",
  AND(E1800&lt;&gt;"""", F1800=""""), ""真實支出"",
  AND(E1800="""", F1800&lt;&gt;""""), ""真實收入"",
  TRUE, ""其他""
)"),"真實支出")</f>
        <v>真實支出</v>
      </c>
      <c r="K1800" s="270">
        <f t="shared" si="2"/>
        <v>-1082</v>
      </c>
      <c r="L1800">
        <f t="shared" si="3"/>
        <v>0</v>
      </c>
    </row>
    <row r="1801">
      <c r="A1801" s="107">
        <f>IFERROR(__xludf.DUMMYFUNCTION("""COMPUTED_VALUE"""),45768.0)</f>
        <v>45768</v>
      </c>
      <c r="B1801" t="str">
        <f>IFERROR(__xludf.DUMMYFUNCTION("""COMPUTED_VALUE"""),"Eden 退押金")</f>
        <v>Eden 退押金</v>
      </c>
      <c r="C1801" t="str">
        <f>IFERROR(__xludf.DUMMYFUNCTION("""COMPUTED_VALUE"""),"收入 - 押金")</f>
        <v>收入 - 押金</v>
      </c>
      <c r="D1801" s="270">
        <f>IFERROR(__xludf.DUMMYFUNCTION("""COMPUTED_VALUE"""),-1918.0)</f>
        <v>-1918</v>
      </c>
      <c r="E1801" t="str">
        <f>IFERROR(__xludf.DUMMYFUNCTION("""COMPUTED_VALUE"""),"Ben帳戶")</f>
        <v>Ben帳戶</v>
      </c>
      <c r="G1801" t="str">
        <f>IFERROR(__xludf.DUMMYFUNCTION("""COMPUTED_VALUE"""),"金龍帽子先生")</f>
        <v>金龍帽子先生</v>
      </c>
      <c r="H1801" s="106" t="str">
        <f t="shared" si="1"/>
        <v>2025-04</v>
      </c>
      <c r="I1801" s="271" t="str">
        <f>IFERROR(__xludf.DUMMYFUNCTION("""COMPUTED_VALUE"""),"貓狗企鵝")</f>
        <v>貓狗企鵝</v>
      </c>
      <c r="J1801" t="str">
        <f>IFERROR(__xludf.DUMMYFUNCTION("IFS(
  AND(REGEXMATCH(E1801, ""台銀籌備帳戶|玉山帳戶""), REGEXMATCH(C1801, ""薪資"")), ""分潤支出"",
  AND(REGEXMATCH(E1801, ""Ben帳戶|Elsa帳戶|Ben代墊|Ariel代墊|中信銀行共用""), REGEXMATCH(F1801, ""Ben帳戶|Elsa帳戶|Ben代墊|Ariel代墊|中信銀行共用"")), ""內部轉帳(忽略)"",
  AND(E1801&lt;&gt;"""", F1801&lt;&gt;"""", N"&amp;"OT(REGEXMATCH(C1801, ""薪資""))), ""內部轉帳(忽略)"",
  REGEXMATCH(C1801, ""薪資""), ""薪資變動(不計入)"",
  REGEXMATCH(C1801, ""押金""), ""押金往來"",
  AND(E1801&lt;&gt;"""", F1801=""""), ""真實支出"",
  AND(E1801="""", F1801&lt;&gt;""""), ""真實收入"",
  TRUE, ""其他""
)"),"押金往來")</f>
        <v>押金往來</v>
      </c>
      <c r="K1801">
        <f t="shared" si="2"/>
        <v>0</v>
      </c>
      <c r="L1801">
        <f t="shared" si="3"/>
        <v>0</v>
      </c>
    </row>
    <row r="1802">
      <c r="A1802" s="107">
        <f>IFERROR(__xludf.DUMMYFUNCTION("""COMPUTED_VALUE"""),45770.0)</f>
        <v>45770</v>
      </c>
      <c r="B1802" t="str">
        <f>IFERROR(__xludf.DUMMYFUNCTION("""COMPUTED_VALUE"""),"信箱, 3F大門鑰匙")</f>
        <v>信箱, 3F大門鑰匙</v>
      </c>
      <c r="C1802" t="str">
        <f>IFERROR(__xludf.DUMMYFUNCTION("""COMPUTED_VALUE"""),"成本 - 租後修繕")</f>
        <v>成本 - 租後修繕</v>
      </c>
      <c r="D1802" s="270">
        <f>IFERROR(__xludf.DUMMYFUNCTION("""COMPUTED_VALUE"""),-220.0)</f>
        <v>-220</v>
      </c>
      <c r="E1802" t="str">
        <f>IFERROR(__xludf.DUMMYFUNCTION("""COMPUTED_VALUE"""),"Elsa帳戶")</f>
        <v>Elsa帳戶</v>
      </c>
      <c r="G1802" t="str">
        <f>IFERROR(__xludf.DUMMYFUNCTION("""COMPUTED_VALUE"""),"龍江229")</f>
        <v>龍江229</v>
      </c>
      <c r="H1802" s="106" t="str">
        <f t="shared" si="1"/>
        <v>2025-04</v>
      </c>
      <c r="I1802" s="271" t="str">
        <f>IFERROR(__xludf.DUMMYFUNCTION("""COMPUTED_VALUE"""),"貓狗企鵝")</f>
        <v>貓狗企鵝</v>
      </c>
      <c r="J1802" t="str">
        <f>IFERROR(__xludf.DUMMYFUNCTION("IFS(
  AND(REGEXMATCH(E1802, ""台銀籌備帳戶|玉山帳戶""), REGEXMATCH(C1802, ""薪資"")), ""分潤支出"",
  AND(REGEXMATCH(E1802, ""Ben帳戶|Elsa帳戶|Ben代墊|Ariel代墊|中信銀行共用""), REGEXMATCH(F1802, ""Ben帳戶|Elsa帳戶|Ben代墊|Ariel代墊|中信銀行共用"")), ""內部轉帳(忽略)"",
  AND(E1802&lt;&gt;"""", F1802&lt;&gt;"""", N"&amp;"OT(REGEXMATCH(C1802, ""薪資""))), ""內部轉帳(忽略)"",
  REGEXMATCH(C1802, ""薪資""), ""薪資變動(不計入)"",
  REGEXMATCH(C1802, ""押金""), ""押金往來"",
  AND(E1802&lt;&gt;"""", F1802=""""), ""真實支出"",
  AND(E1802="""", F1802&lt;&gt;""""), ""真實收入"",
  TRUE, ""其他""
)"),"真實支出")</f>
        <v>真實支出</v>
      </c>
      <c r="K1802" s="270">
        <f t="shared" si="2"/>
        <v>-220</v>
      </c>
      <c r="L1802">
        <f t="shared" si="3"/>
        <v>0</v>
      </c>
    </row>
    <row r="1803">
      <c r="A1803" s="107">
        <f>IFERROR(__xludf.DUMMYFUNCTION("""COMPUTED_VALUE"""),45770.0)</f>
        <v>45770</v>
      </c>
      <c r="B1803" t="str">
        <f>IFERROR(__xludf.DUMMYFUNCTION("""COMPUTED_VALUE"""),"信封文書")</f>
        <v>信封文書</v>
      </c>
      <c r="C1803" t="str">
        <f>IFERROR(__xludf.DUMMYFUNCTION("""COMPUTED_VALUE"""),"費用 - 辦公用品")</f>
        <v>費用 - 辦公用品</v>
      </c>
      <c r="D1803" s="270">
        <f>IFERROR(__xludf.DUMMYFUNCTION("""COMPUTED_VALUE"""),-365.0)</f>
        <v>-365</v>
      </c>
      <c r="E1803" t="str">
        <f>IFERROR(__xludf.DUMMYFUNCTION("""COMPUTED_VALUE"""),"Elsa帳戶")</f>
        <v>Elsa帳戶</v>
      </c>
      <c r="H1803" s="106" t="str">
        <f t="shared" si="1"/>
        <v>2025-04</v>
      </c>
      <c r="I1803" s="271" t="str">
        <f>IFERROR(__xludf.DUMMYFUNCTION("""COMPUTED_VALUE"""),"貓狗企鵝")</f>
        <v>貓狗企鵝</v>
      </c>
      <c r="J1803" t="str">
        <f>IFERROR(__xludf.DUMMYFUNCTION("IFS(
  AND(REGEXMATCH(E1803, ""台銀籌備帳戶|玉山帳戶""), REGEXMATCH(C1803, ""薪資"")), ""分潤支出"",
  AND(REGEXMATCH(E1803, ""Ben帳戶|Elsa帳戶|Ben代墊|Ariel代墊|中信銀行共用""), REGEXMATCH(F1803, ""Ben帳戶|Elsa帳戶|Ben代墊|Ariel代墊|中信銀行共用"")), ""內部轉帳(忽略)"",
  AND(E1803&lt;&gt;"""", F1803&lt;&gt;"""", N"&amp;"OT(REGEXMATCH(C1803, ""薪資""))), ""內部轉帳(忽略)"",
  REGEXMATCH(C1803, ""薪資""), ""薪資變動(不計入)"",
  REGEXMATCH(C1803, ""押金""), ""押金往來"",
  AND(E1803&lt;&gt;"""", F1803=""""), ""真實支出"",
  AND(E1803="""", F1803&lt;&gt;""""), ""真實收入"",
  TRUE, ""其他""
)"),"真實支出")</f>
        <v>真實支出</v>
      </c>
      <c r="K1803" s="270">
        <f t="shared" si="2"/>
        <v>-365</v>
      </c>
      <c r="L1803">
        <f t="shared" si="3"/>
        <v>0</v>
      </c>
    </row>
    <row r="1804">
      <c r="A1804" s="107">
        <f>IFERROR(__xludf.DUMMYFUNCTION("""COMPUTED_VALUE"""),45772.0)</f>
        <v>45772</v>
      </c>
      <c r="B1804" t="str">
        <f>IFERROR(__xludf.DUMMYFUNCTION("""COMPUTED_VALUE"""),"買馬梯")</f>
        <v>買馬梯</v>
      </c>
      <c r="C1804" t="str">
        <f>IFERROR(__xludf.DUMMYFUNCTION("""COMPUTED_VALUE"""),"成本 - 租後修繕")</f>
        <v>成本 - 租後修繕</v>
      </c>
      <c r="D1804" s="270">
        <f>IFERROR(__xludf.DUMMYFUNCTION("""COMPUTED_VALUE"""),-1000.0)</f>
        <v>-1000</v>
      </c>
      <c r="E1804" t="str">
        <f>IFERROR(__xludf.DUMMYFUNCTION("""COMPUTED_VALUE"""),"Elsa帳戶")</f>
        <v>Elsa帳戶</v>
      </c>
      <c r="G1804" t="str">
        <f>IFERROR(__xludf.DUMMYFUNCTION("""COMPUTED_VALUE"""),"金龍帽子先生")</f>
        <v>金龍帽子先生</v>
      </c>
      <c r="H1804" s="106" t="str">
        <f t="shared" si="1"/>
        <v>2025-04</v>
      </c>
      <c r="I1804" s="271" t="str">
        <f>IFERROR(__xludf.DUMMYFUNCTION("""COMPUTED_VALUE"""),"貓狗企鵝")</f>
        <v>貓狗企鵝</v>
      </c>
      <c r="J1804" t="str">
        <f>IFERROR(__xludf.DUMMYFUNCTION("IFS(
  AND(REGEXMATCH(E1804, ""台銀籌備帳戶|玉山帳戶""), REGEXMATCH(C1804, ""薪資"")), ""分潤支出"",
  AND(REGEXMATCH(E1804, ""Ben帳戶|Elsa帳戶|Ben代墊|Ariel代墊|中信銀行共用""), REGEXMATCH(F1804, ""Ben帳戶|Elsa帳戶|Ben代墊|Ariel代墊|中信銀行共用"")), ""內部轉帳(忽略)"",
  AND(E1804&lt;&gt;"""", F1804&lt;&gt;"""", N"&amp;"OT(REGEXMATCH(C1804, ""薪資""))), ""內部轉帳(忽略)"",
  REGEXMATCH(C1804, ""薪資""), ""薪資變動(不計入)"",
  REGEXMATCH(C1804, ""押金""), ""押金往來"",
  AND(E1804&lt;&gt;"""", F1804=""""), ""真實支出"",
  AND(E1804="""", F1804&lt;&gt;""""), ""真實收入"",
  TRUE, ""其他""
)"),"真實支出")</f>
        <v>真實支出</v>
      </c>
      <c r="K1804" s="270">
        <f t="shared" si="2"/>
        <v>-1000</v>
      </c>
      <c r="L1804">
        <f t="shared" si="3"/>
        <v>0</v>
      </c>
    </row>
    <row r="1805">
      <c r="A1805" s="107">
        <f>IFERROR(__xludf.DUMMYFUNCTION("""COMPUTED_VALUE"""),45772.0)</f>
        <v>45772</v>
      </c>
      <c r="B1805" t="str">
        <f>IFERROR(__xludf.DUMMYFUNCTION("""COMPUTED_VALUE"""),"套房桌椅、油漆")</f>
        <v>套房桌椅、油漆</v>
      </c>
      <c r="C1805" t="str">
        <f>IFERROR(__xludf.DUMMYFUNCTION("""COMPUTED_VALUE"""),"成本 - 租後修繕")</f>
        <v>成本 - 租後修繕</v>
      </c>
      <c r="D1805" s="270">
        <f>IFERROR(__xludf.DUMMYFUNCTION("""COMPUTED_VALUE"""),-750.0)</f>
        <v>-750</v>
      </c>
      <c r="E1805" t="str">
        <f>IFERROR(__xludf.DUMMYFUNCTION("""COMPUTED_VALUE"""),"Elsa帳戶")</f>
        <v>Elsa帳戶</v>
      </c>
      <c r="G1805" t="str">
        <f>IFERROR(__xludf.DUMMYFUNCTION("""COMPUTED_VALUE"""),"北醫醫師府")</f>
        <v>北醫醫師府</v>
      </c>
      <c r="H1805" s="106" t="str">
        <f t="shared" si="1"/>
        <v>2025-04</v>
      </c>
      <c r="I1805" s="271" t="str">
        <f>IFERROR(__xludf.DUMMYFUNCTION("""COMPUTED_VALUE"""),"貓狗企鵝")</f>
        <v>貓狗企鵝</v>
      </c>
      <c r="J1805" t="str">
        <f>IFERROR(__xludf.DUMMYFUNCTION("IFS(
  AND(REGEXMATCH(E1805, ""台銀籌備帳戶|玉山帳戶""), REGEXMATCH(C1805, ""薪資"")), ""分潤支出"",
  AND(REGEXMATCH(E1805, ""Ben帳戶|Elsa帳戶|Ben代墊|Ariel代墊|中信銀行共用""), REGEXMATCH(F1805, ""Ben帳戶|Elsa帳戶|Ben代墊|Ariel代墊|中信銀行共用"")), ""內部轉帳(忽略)"",
  AND(E1805&lt;&gt;"""", F1805&lt;&gt;"""", N"&amp;"OT(REGEXMATCH(C1805, ""薪資""))), ""內部轉帳(忽略)"",
  REGEXMATCH(C1805, ""薪資""), ""薪資變動(不計入)"",
  REGEXMATCH(C1805, ""押金""), ""押金往來"",
  AND(E1805&lt;&gt;"""", F1805=""""), ""真實支出"",
  AND(E1805="""", F1805&lt;&gt;""""), ""真實收入"",
  TRUE, ""其他""
)"),"真實支出")</f>
        <v>真實支出</v>
      </c>
      <c r="K1805" s="270">
        <f t="shared" si="2"/>
        <v>-750</v>
      </c>
      <c r="L1805">
        <f t="shared" si="3"/>
        <v>0</v>
      </c>
    </row>
    <row r="1806">
      <c r="A1806" s="107">
        <f>IFERROR(__xludf.DUMMYFUNCTION("""COMPUTED_VALUE"""),45772.0)</f>
        <v>45772</v>
      </c>
      <c r="B1806" t="str">
        <f>IFERROR(__xludf.DUMMYFUNCTION("""COMPUTED_VALUE"""),"娘家 水電 b d")</f>
        <v>娘家 水電 b d</v>
      </c>
      <c r="C1806" t="str">
        <f>IFERROR(__xludf.DUMMYFUNCTION("""COMPUTED_VALUE"""),"成本 - 固定開銷(網路代收清潔)")</f>
        <v>成本 - 固定開銷(網路代收清潔)</v>
      </c>
      <c r="D1806" s="270">
        <f>IFERROR(__xludf.DUMMYFUNCTION("""COMPUTED_VALUE"""),-1030.0)</f>
        <v>-1030</v>
      </c>
      <c r="E1806" t="str">
        <f>IFERROR(__xludf.DUMMYFUNCTION("""COMPUTED_VALUE"""),"Ben帳戶")</f>
        <v>Ben帳戶</v>
      </c>
      <c r="G1806" t="str">
        <f>IFERROR(__xludf.DUMMYFUNCTION("""COMPUTED_VALUE"""),"中山北娘家旁")</f>
        <v>中山北娘家旁</v>
      </c>
      <c r="H1806" s="106" t="str">
        <f t="shared" si="1"/>
        <v>2025-04</v>
      </c>
      <c r="I1806" s="271" t="str">
        <f>IFERROR(__xludf.DUMMYFUNCTION("""COMPUTED_VALUE"""),"貓狗企鵝")</f>
        <v>貓狗企鵝</v>
      </c>
      <c r="J1806" t="str">
        <f>IFERROR(__xludf.DUMMYFUNCTION("IFS(
  AND(REGEXMATCH(E1806, ""台銀籌備帳戶|玉山帳戶""), REGEXMATCH(C1806, ""薪資"")), ""分潤支出"",
  AND(REGEXMATCH(E1806, ""Ben帳戶|Elsa帳戶|Ben代墊|Ariel代墊|中信銀行共用""), REGEXMATCH(F1806, ""Ben帳戶|Elsa帳戶|Ben代墊|Ariel代墊|中信銀行共用"")), ""內部轉帳(忽略)"",
  AND(E1806&lt;&gt;"""", F1806&lt;&gt;"""", N"&amp;"OT(REGEXMATCH(C1806, ""薪資""))), ""內部轉帳(忽略)"",
  REGEXMATCH(C1806, ""薪資""), ""薪資變動(不計入)"",
  REGEXMATCH(C1806, ""押金""), ""押金往來"",
  AND(E1806&lt;&gt;"""", F1806=""""), ""真實支出"",
  AND(E1806="""", F1806&lt;&gt;""""), ""真實收入"",
  TRUE, ""其他""
)"),"真實支出")</f>
        <v>真實支出</v>
      </c>
      <c r="K1806" s="270">
        <f t="shared" si="2"/>
        <v>-1030</v>
      </c>
      <c r="L1806">
        <f t="shared" si="3"/>
        <v>0</v>
      </c>
    </row>
    <row r="1807">
      <c r="A1807" s="107">
        <f>IFERROR(__xludf.DUMMYFUNCTION("""COMPUTED_VALUE"""),45774.0)</f>
        <v>45774</v>
      </c>
      <c r="B1807" t="str">
        <f>IFERROR(__xludf.DUMMYFUNCTION("""COMPUTED_VALUE"""),"大湖支付G房水電瓦斯")</f>
        <v>大湖支付G房水電瓦斯</v>
      </c>
      <c r="C1807" t="str">
        <f>IFERROR(__xludf.DUMMYFUNCTION("""COMPUTED_VALUE"""),"成本 - 固定開銷(網路代收清潔)")</f>
        <v>成本 - 固定開銷(網路代收清潔)</v>
      </c>
      <c r="D1807" s="270">
        <f>IFERROR(__xludf.DUMMYFUNCTION("""COMPUTED_VALUE"""),-934.0)</f>
        <v>-934</v>
      </c>
      <c r="E1807" t="str">
        <f>IFERROR(__xludf.DUMMYFUNCTION("""COMPUTED_VALUE"""),"Ben帳戶")</f>
        <v>Ben帳戶</v>
      </c>
      <c r="G1807" t="str">
        <f>IFERROR(__xludf.DUMMYFUNCTION("""COMPUTED_VALUE"""),"大湖山莊")</f>
        <v>大湖山莊</v>
      </c>
      <c r="H1807" s="106" t="str">
        <f t="shared" si="1"/>
        <v>2025-04</v>
      </c>
      <c r="I1807" s="271" t="str">
        <f>IFERROR(__xludf.DUMMYFUNCTION("""COMPUTED_VALUE"""),"貓狗企鵝")</f>
        <v>貓狗企鵝</v>
      </c>
      <c r="J1807" t="str">
        <f>IFERROR(__xludf.DUMMYFUNCTION("IFS(
  AND(REGEXMATCH(E1807, ""台銀籌備帳戶|玉山帳戶""), REGEXMATCH(C1807, ""薪資"")), ""分潤支出"",
  AND(REGEXMATCH(E1807, ""Ben帳戶|Elsa帳戶|Ben代墊|Ariel代墊|中信銀行共用""), REGEXMATCH(F1807, ""Ben帳戶|Elsa帳戶|Ben代墊|Ariel代墊|中信銀行共用"")), ""內部轉帳(忽略)"",
  AND(E1807&lt;&gt;"""", F1807&lt;&gt;"""", N"&amp;"OT(REGEXMATCH(C1807, ""薪資""))), ""內部轉帳(忽略)"",
  REGEXMATCH(C1807, ""薪資""), ""薪資變動(不計入)"",
  REGEXMATCH(C1807, ""押金""), ""押金往來"",
  AND(E1807&lt;&gt;"""", F1807=""""), ""真實支出"",
  AND(E1807="""", F1807&lt;&gt;""""), ""真實收入"",
  TRUE, ""其他""
)"),"真實支出")</f>
        <v>真實支出</v>
      </c>
      <c r="K1807" s="270">
        <f t="shared" si="2"/>
        <v>-934</v>
      </c>
      <c r="L1807">
        <f t="shared" si="3"/>
        <v>0</v>
      </c>
    </row>
    <row r="1808">
      <c r="A1808" s="107">
        <f>IFERROR(__xludf.DUMMYFUNCTION("""COMPUTED_VALUE"""),45777.0)</f>
        <v>45777</v>
      </c>
      <c r="B1808" t="str">
        <f>IFERROR(__xludf.DUMMYFUNCTION("""COMPUTED_VALUE"""),"金龍D房 婷欣退押")</f>
        <v>金龍D房 婷欣退押</v>
      </c>
      <c r="C1808" t="str">
        <f>IFERROR(__xludf.DUMMYFUNCTION("""COMPUTED_VALUE"""),"收入 - 押金")</f>
        <v>收入 - 押金</v>
      </c>
      <c r="D1808" s="270">
        <f>IFERROR(__xludf.DUMMYFUNCTION("""COMPUTED_VALUE"""),-5420.0)</f>
        <v>-5420</v>
      </c>
      <c r="E1808" t="str">
        <f>IFERROR(__xludf.DUMMYFUNCTION("""COMPUTED_VALUE"""),"Ben帳戶")</f>
        <v>Ben帳戶</v>
      </c>
      <c r="G1808" t="str">
        <f>IFERROR(__xludf.DUMMYFUNCTION("""COMPUTED_VALUE"""),"金龍帽子先生")</f>
        <v>金龍帽子先生</v>
      </c>
      <c r="H1808" s="106" t="str">
        <f t="shared" si="1"/>
        <v>2025-04</v>
      </c>
      <c r="I1808" s="271" t="str">
        <f>IFERROR(__xludf.DUMMYFUNCTION("""COMPUTED_VALUE"""),"貓狗企鵝")</f>
        <v>貓狗企鵝</v>
      </c>
      <c r="J1808" t="str">
        <f>IFERROR(__xludf.DUMMYFUNCTION("IFS(
  AND(REGEXMATCH(E1808, ""台銀籌備帳戶|玉山帳戶""), REGEXMATCH(C1808, ""薪資"")), ""分潤支出"",
  AND(REGEXMATCH(E1808, ""Ben帳戶|Elsa帳戶|Ben代墊|Ariel代墊|中信銀行共用""), REGEXMATCH(F1808, ""Ben帳戶|Elsa帳戶|Ben代墊|Ariel代墊|中信銀行共用"")), ""內部轉帳(忽略)"",
  AND(E1808&lt;&gt;"""", F1808&lt;&gt;"""", N"&amp;"OT(REGEXMATCH(C1808, ""薪資""))), ""內部轉帳(忽略)"",
  REGEXMATCH(C1808, ""薪資""), ""薪資變動(不計入)"",
  REGEXMATCH(C1808, ""押金""), ""押金往來"",
  AND(E1808&lt;&gt;"""", F1808=""""), ""真實支出"",
  AND(E1808="""", F1808&lt;&gt;""""), ""真實收入"",
  TRUE, ""其他""
)"),"押金往來")</f>
        <v>押金往來</v>
      </c>
      <c r="K1808">
        <f t="shared" si="2"/>
        <v>0</v>
      </c>
      <c r="L1808">
        <f t="shared" si="3"/>
        <v>0</v>
      </c>
    </row>
    <row r="1809">
      <c r="A1809" s="107">
        <f>IFERROR(__xludf.DUMMYFUNCTION("""COMPUTED_VALUE"""),45778.0)</f>
        <v>45778</v>
      </c>
      <c r="B1809" t="str">
        <f>IFERROR(__xludf.DUMMYFUNCTION("""COMPUTED_VALUE"""),"爺爺家修漏水退給常媽")</f>
        <v>爺爺家修漏水退給常媽</v>
      </c>
      <c r="C1809" t="str">
        <f>IFERROR(__xludf.DUMMYFUNCTION("""COMPUTED_VALUE"""),"成本 - 租後修繕")</f>
        <v>成本 - 租後修繕</v>
      </c>
      <c r="D1809" s="270">
        <f>IFERROR(__xludf.DUMMYFUNCTION("""COMPUTED_VALUE"""),-4000.0)</f>
        <v>-4000</v>
      </c>
      <c r="E1809" t="str">
        <f>IFERROR(__xludf.DUMMYFUNCTION("""COMPUTED_VALUE"""),"Elsa帳戶")</f>
        <v>Elsa帳戶</v>
      </c>
      <c r="G1809" t="str">
        <f>IFERROR(__xludf.DUMMYFUNCTION("""COMPUTED_VALUE"""),"市府爺爺家")</f>
        <v>市府爺爺家</v>
      </c>
      <c r="H1809" s="106" t="str">
        <f t="shared" si="1"/>
        <v>2025-05</v>
      </c>
      <c r="I1809" s="271" t="str">
        <f>IFERROR(__xludf.DUMMYFUNCTION("""COMPUTED_VALUE"""),"貓狗企鵝")</f>
        <v>貓狗企鵝</v>
      </c>
      <c r="J1809" t="str">
        <f>IFERROR(__xludf.DUMMYFUNCTION("IFS(
  AND(REGEXMATCH(E1809, ""台銀籌備帳戶|玉山帳戶""), REGEXMATCH(C1809, ""薪資"")), ""分潤支出"",
  AND(REGEXMATCH(E1809, ""Ben帳戶|Elsa帳戶|Ben代墊|Ariel代墊|中信銀行共用""), REGEXMATCH(F1809, ""Ben帳戶|Elsa帳戶|Ben代墊|Ariel代墊|中信銀行共用"")), ""內部轉帳(忽略)"",
  AND(E1809&lt;&gt;"""", F1809&lt;&gt;"""", N"&amp;"OT(REGEXMATCH(C1809, ""薪資""))), ""內部轉帳(忽略)"",
  REGEXMATCH(C1809, ""薪資""), ""薪資變動(不計入)"",
  REGEXMATCH(C1809, ""押金""), ""押金往來"",
  AND(E1809&lt;&gt;"""", F1809=""""), ""真實支出"",
  AND(E1809="""", F1809&lt;&gt;""""), ""真實收入"",
  TRUE, ""其他""
)"),"真實支出")</f>
        <v>真實支出</v>
      </c>
      <c r="K1809" s="270">
        <f t="shared" si="2"/>
        <v>-4000</v>
      </c>
      <c r="L1809">
        <f t="shared" si="3"/>
        <v>0</v>
      </c>
    </row>
    <row r="1810">
      <c r="A1810" s="107">
        <f>IFERROR(__xludf.DUMMYFUNCTION("""COMPUTED_VALUE"""),45778.0)</f>
        <v>45778</v>
      </c>
      <c r="B1810" t="str">
        <f>IFERROR(__xludf.DUMMYFUNCTION("""COMPUTED_VALUE"""),"C房冷氣修繕費")</f>
        <v>C房冷氣修繕費</v>
      </c>
      <c r="C1810" t="str">
        <f>IFERROR(__xludf.DUMMYFUNCTION("""COMPUTED_VALUE"""),"成本 - 租後修繕")</f>
        <v>成本 - 租後修繕</v>
      </c>
      <c r="D1810" s="270">
        <f>IFERROR(__xludf.DUMMYFUNCTION("""COMPUTED_VALUE"""),-1200.0)</f>
        <v>-1200</v>
      </c>
      <c r="E1810" t="str">
        <f>IFERROR(__xludf.DUMMYFUNCTION("""COMPUTED_VALUE"""),"Elsa帳戶")</f>
        <v>Elsa帳戶</v>
      </c>
      <c r="G1810" t="str">
        <f>IFERROR(__xludf.DUMMYFUNCTION("""COMPUTED_VALUE"""),"金龍帽子先生")</f>
        <v>金龍帽子先生</v>
      </c>
      <c r="H1810" s="106" t="str">
        <f t="shared" si="1"/>
        <v>2025-05</v>
      </c>
      <c r="I1810" s="271" t="str">
        <f>IFERROR(__xludf.DUMMYFUNCTION("""COMPUTED_VALUE"""),"貓狗企鵝")</f>
        <v>貓狗企鵝</v>
      </c>
      <c r="J1810" t="str">
        <f>IFERROR(__xludf.DUMMYFUNCTION("IFS(
  AND(REGEXMATCH(E1810, ""台銀籌備帳戶|玉山帳戶""), REGEXMATCH(C1810, ""薪資"")), ""分潤支出"",
  AND(REGEXMATCH(E1810, ""Ben帳戶|Elsa帳戶|Ben代墊|Ariel代墊|中信銀行共用""), REGEXMATCH(F1810, ""Ben帳戶|Elsa帳戶|Ben代墊|Ariel代墊|中信銀行共用"")), ""內部轉帳(忽略)"",
  AND(E1810&lt;&gt;"""", F1810&lt;&gt;"""", N"&amp;"OT(REGEXMATCH(C1810, ""薪資""))), ""內部轉帳(忽略)"",
  REGEXMATCH(C1810, ""薪資""), ""薪資變動(不計入)"",
  REGEXMATCH(C1810, ""押金""), ""押金往來"",
  AND(E1810&lt;&gt;"""", F1810=""""), ""真實支出"",
  AND(E1810="""", F1810&lt;&gt;""""), ""真實收入"",
  TRUE, ""其他""
)"),"真實支出")</f>
        <v>真實支出</v>
      </c>
      <c r="K1810" s="270">
        <f t="shared" si="2"/>
        <v>-1200</v>
      </c>
      <c r="L1810">
        <f t="shared" si="3"/>
        <v>0</v>
      </c>
    </row>
    <row r="1811">
      <c r="A1811" s="107">
        <f>IFERROR(__xludf.DUMMYFUNCTION("""COMPUTED_VALUE"""),45780.0)</f>
        <v>45780</v>
      </c>
      <c r="B1811" t="str">
        <f>IFERROR(__xludf.DUMMYFUNCTION("""COMPUTED_VALUE"""),"典蓉 感謝金")</f>
        <v>典蓉 感謝金</v>
      </c>
      <c r="C1811" t="str">
        <f>IFERROR(__xludf.DUMMYFUNCTION("""COMPUTED_VALUE"""),"費用 - 人力成本")</f>
        <v>費用 - 人力成本</v>
      </c>
      <c r="D1811" s="270">
        <f>IFERROR(__xludf.DUMMYFUNCTION("""COMPUTED_VALUE"""),-800.0)</f>
        <v>-800</v>
      </c>
      <c r="E1811" t="str">
        <f>IFERROR(__xludf.DUMMYFUNCTION("""COMPUTED_VALUE"""),"Ben帳戶")</f>
        <v>Ben帳戶</v>
      </c>
      <c r="G1811" t="str">
        <f>IFERROR(__xludf.DUMMYFUNCTION("""COMPUTED_VALUE"""),"無法分類")</f>
        <v>無法分類</v>
      </c>
      <c r="H1811" s="106" t="str">
        <f t="shared" si="1"/>
        <v>2025-05</v>
      </c>
      <c r="I1811" s="271" t="str">
        <f>IFERROR(__xludf.DUMMYFUNCTION("""COMPUTED_VALUE"""),"貓狗企鵝")</f>
        <v>貓狗企鵝</v>
      </c>
      <c r="J1811" t="str">
        <f>IFERROR(__xludf.DUMMYFUNCTION("IFS(
  AND(REGEXMATCH(E1811, ""台銀籌備帳戶|玉山帳戶""), REGEXMATCH(C1811, ""薪資"")), ""分潤支出"",
  AND(REGEXMATCH(E1811, ""Ben帳戶|Elsa帳戶|Ben代墊|Ariel代墊|中信銀行共用""), REGEXMATCH(F1811, ""Ben帳戶|Elsa帳戶|Ben代墊|Ariel代墊|中信銀行共用"")), ""內部轉帳(忽略)"",
  AND(E1811&lt;&gt;"""", F1811&lt;&gt;"""", N"&amp;"OT(REGEXMATCH(C1811, ""薪資""))), ""內部轉帳(忽略)"",
  REGEXMATCH(C1811, ""薪資""), ""薪資變動(不計入)"",
  REGEXMATCH(C1811, ""押金""), ""押金往來"",
  AND(E1811&lt;&gt;"""", F1811=""""), ""真實支出"",
  AND(E1811="""", F1811&lt;&gt;""""), ""真實收入"",
  TRUE, ""其他""
)"),"真實支出")</f>
        <v>真實支出</v>
      </c>
      <c r="K1811" s="270">
        <f t="shared" si="2"/>
        <v>-800</v>
      </c>
      <c r="L1811">
        <f t="shared" si="3"/>
        <v>0</v>
      </c>
    </row>
    <row r="1812">
      <c r="A1812" s="107">
        <f>IFERROR(__xludf.DUMMYFUNCTION("""COMPUTED_VALUE"""),45780.0)</f>
        <v>45780</v>
      </c>
      <c r="B1812" t="str">
        <f>IFERROR(__xludf.DUMMYFUNCTION("""COMPUTED_VALUE"""),"5月份定期清潔")</f>
        <v>5月份定期清潔</v>
      </c>
      <c r="C1812" t="str">
        <f>IFERROR(__xludf.DUMMYFUNCTION("""COMPUTED_VALUE"""),"成本 - 固定開銷(網路代收清潔)")</f>
        <v>成本 - 固定開銷(網路代收清潔)</v>
      </c>
      <c r="D1812" s="270">
        <f>IFERROR(__xludf.DUMMYFUNCTION("""COMPUTED_VALUE"""),-1200.0)</f>
        <v>-1200</v>
      </c>
      <c r="E1812" t="str">
        <f>IFERROR(__xludf.DUMMYFUNCTION("""COMPUTED_VALUE"""),"Elsa帳戶")</f>
        <v>Elsa帳戶</v>
      </c>
      <c r="G1812" t="str">
        <f>IFERROR(__xludf.DUMMYFUNCTION("""COMPUTED_VALUE"""),"大湖山莊")</f>
        <v>大湖山莊</v>
      </c>
      <c r="H1812" s="106" t="str">
        <f t="shared" si="1"/>
        <v>2025-05</v>
      </c>
      <c r="I1812" s="271" t="str">
        <f>IFERROR(__xludf.DUMMYFUNCTION("""COMPUTED_VALUE"""),"貓狗企鵝")</f>
        <v>貓狗企鵝</v>
      </c>
      <c r="J1812" t="str">
        <f>IFERROR(__xludf.DUMMYFUNCTION("IFS(
  AND(REGEXMATCH(E1812, ""台銀籌備帳戶|玉山帳戶""), REGEXMATCH(C1812, ""薪資"")), ""分潤支出"",
  AND(REGEXMATCH(E1812, ""Ben帳戶|Elsa帳戶|Ben代墊|Ariel代墊|中信銀行共用""), REGEXMATCH(F1812, ""Ben帳戶|Elsa帳戶|Ben代墊|Ariel代墊|中信銀行共用"")), ""內部轉帳(忽略)"",
  AND(E1812&lt;&gt;"""", F1812&lt;&gt;"""", N"&amp;"OT(REGEXMATCH(C1812, ""薪資""))), ""內部轉帳(忽略)"",
  REGEXMATCH(C1812, ""薪資""), ""薪資變動(不計入)"",
  REGEXMATCH(C1812, ""押金""), ""押金往來"",
  AND(E1812&lt;&gt;"""", F1812=""""), ""真實支出"",
  AND(E1812="""", F1812&lt;&gt;""""), ""真實收入"",
  TRUE, ""其他""
)"),"真實支出")</f>
        <v>真實支出</v>
      </c>
      <c r="K1812" s="270">
        <f t="shared" si="2"/>
        <v>-1200</v>
      </c>
      <c r="L1812">
        <f t="shared" si="3"/>
        <v>0</v>
      </c>
    </row>
    <row r="1813">
      <c r="A1813" s="107">
        <f>IFERROR(__xludf.DUMMYFUNCTION("""COMPUTED_VALUE"""),45780.0)</f>
        <v>45780</v>
      </c>
      <c r="B1813" t="str">
        <f>IFERROR(__xludf.DUMMYFUNCTION("""COMPUTED_VALUE"""),"凱擘網路費 2025/05/01-2025/07/31")</f>
        <v>凱擘網路費 2025/05/01-2025/07/31</v>
      </c>
      <c r="C1813" t="str">
        <f>IFERROR(__xludf.DUMMYFUNCTION("""COMPUTED_VALUE"""),"成本 - 固定開銷(網路代收清潔)")</f>
        <v>成本 - 固定開銷(網路代收清潔)</v>
      </c>
      <c r="D1813" s="270">
        <f>IFERROR(__xludf.DUMMYFUNCTION("""COMPUTED_VALUE"""),-2997.0)</f>
        <v>-2997</v>
      </c>
      <c r="E1813" t="str">
        <f>IFERROR(__xludf.DUMMYFUNCTION("""COMPUTED_VALUE"""),"Elsa帳戶")</f>
        <v>Elsa帳戶</v>
      </c>
      <c r="G1813" t="str">
        <f>IFERROR(__xludf.DUMMYFUNCTION("""COMPUTED_VALUE"""),"大湖山莊")</f>
        <v>大湖山莊</v>
      </c>
      <c r="H1813" s="106" t="str">
        <f t="shared" si="1"/>
        <v>2025-05</v>
      </c>
      <c r="I1813" s="271" t="str">
        <f>IFERROR(__xludf.DUMMYFUNCTION("""COMPUTED_VALUE"""),"貓狗企鵝")</f>
        <v>貓狗企鵝</v>
      </c>
      <c r="J1813" t="str">
        <f>IFERROR(__xludf.DUMMYFUNCTION("IFS(
  AND(REGEXMATCH(E1813, ""台銀籌備帳戶|玉山帳戶""), REGEXMATCH(C1813, ""薪資"")), ""分潤支出"",
  AND(REGEXMATCH(E1813, ""Ben帳戶|Elsa帳戶|Ben代墊|Ariel代墊|中信銀行共用""), REGEXMATCH(F1813, ""Ben帳戶|Elsa帳戶|Ben代墊|Ariel代墊|中信銀行共用"")), ""內部轉帳(忽略)"",
  AND(E1813&lt;&gt;"""", F1813&lt;&gt;"""", N"&amp;"OT(REGEXMATCH(C1813, ""薪資""))), ""內部轉帳(忽略)"",
  REGEXMATCH(C1813, ""薪資""), ""薪資變動(不計入)"",
  REGEXMATCH(C1813, ""押金""), ""押金往來"",
  AND(E1813&lt;&gt;"""", F1813=""""), ""真實支出"",
  AND(E1813="""", F1813&lt;&gt;""""), ""真實收入"",
  TRUE, ""其他""
)"),"真實支出")</f>
        <v>真實支出</v>
      </c>
      <c r="K1813" s="270">
        <f t="shared" si="2"/>
        <v>-2997</v>
      </c>
      <c r="L1813">
        <f t="shared" si="3"/>
        <v>0</v>
      </c>
    </row>
    <row r="1814">
      <c r="A1814" s="107">
        <f>IFERROR(__xludf.DUMMYFUNCTION("""COMPUTED_VALUE"""),45755.0)</f>
        <v>45755</v>
      </c>
      <c r="B1814" t="str">
        <f>IFERROR(__xludf.DUMMYFUNCTION("""COMPUTED_VALUE"""),"費用 - 匯費 對方行:812 後五碼:75759 (行號: 2)")</f>
        <v>費用 - 匯費 對方行:812 後五碼:75759 (行號: 2)</v>
      </c>
      <c r="C1814" t="str">
        <f>IFERROR(__xludf.DUMMYFUNCTION("""COMPUTED_VALUE"""),"費用 - 匯費")</f>
        <v>費用 - 匯費</v>
      </c>
      <c r="D1814" s="270">
        <f>IFERROR(__xludf.DUMMYFUNCTION("""COMPUTED_VALUE"""),-15.0)</f>
        <v>-15</v>
      </c>
      <c r="E1814" t="str">
        <f>IFERROR(__xludf.DUMMYFUNCTION("""COMPUTED_VALUE"""),"台銀籌備帳戶")</f>
        <v>台銀籌備帳戶</v>
      </c>
      <c r="H1814" s="106" t="str">
        <f t="shared" si="1"/>
        <v>2025-04</v>
      </c>
      <c r="I1814" s="271" t="str">
        <f>IFERROR(__xludf.DUMMYFUNCTION("""COMPUTED_VALUE"""),"貓狗企鵝")</f>
        <v>貓狗企鵝</v>
      </c>
      <c r="J1814" t="str">
        <f>IFERROR(__xludf.DUMMYFUNCTION("IFS(
  AND(REGEXMATCH(E1814, ""台銀籌備帳戶|玉山帳戶""), REGEXMATCH(C1814, ""薪資"")), ""分潤支出"",
  AND(REGEXMATCH(E1814, ""Ben帳戶|Elsa帳戶|Ben代墊|Ariel代墊|中信銀行共用""), REGEXMATCH(F1814, ""Ben帳戶|Elsa帳戶|Ben代墊|Ariel代墊|中信銀行共用"")), ""內部轉帳(忽略)"",
  AND(E1814&lt;&gt;"""", F1814&lt;&gt;"""", N"&amp;"OT(REGEXMATCH(C1814, ""薪資""))), ""內部轉帳(忽略)"",
  REGEXMATCH(C1814, ""薪資""), ""薪資變動(不計入)"",
  REGEXMATCH(C1814, ""押金""), ""押金往來"",
  AND(E1814&lt;&gt;"""", F1814=""""), ""真實支出"",
  AND(E1814="""", F1814&lt;&gt;""""), ""真實收入"",
  TRUE, ""其他""
)"),"真實支出")</f>
        <v>真實支出</v>
      </c>
      <c r="K1814" s="270">
        <f t="shared" si="2"/>
        <v>-15</v>
      </c>
      <c r="L1814">
        <f t="shared" si="3"/>
        <v>0</v>
      </c>
    </row>
    <row r="1815">
      <c r="A1815" s="107">
        <f>IFERROR(__xludf.DUMMYFUNCTION("""COMPUTED_VALUE"""),45755.0)</f>
        <v>45755</v>
      </c>
      <c r="B1815" t="str">
        <f>IFERROR(__xludf.DUMMYFUNCTION("""COMPUTED_VALUE"""),"景安E房水費 ' 【未分類支出】")</f>
        <v>景安E房水費 ' 【未分類支出】</v>
      </c>
      <c r="C1815" t="str">
        <f>IFERROR(__xludf.DUMMYFUNCTION("""COMPUTED_VALUE"""),"成本 - 固定開銷(網路代收清潔)")</f>
        <v>成本 - 固定開銷(網路代收清潔)</v>
      </c>
      <c r="D1815" s="270">
        <f>IFERROR(__xludf.DUMMYFUNCTION("""COMPUTED_VALUE"""),-93.0)</f>
        <v>-93</v>
      </c>
      <c r="E1815" t="str">
        <f>IFERROR(__xludf.DUMMYFUNCTION("""COMPUTED_VALUE"""),"台銀籌備帳戶")</f>
        <v>台銀籌備帳戶</v>
      </c>
      <c r="G1815" t="str">
        <f>IFERROR(__xludf.DUMMYFUNCTION("""COMPUTED_VALUE"""),"景安2分鐘")</f>
        <v>景安2分鐘</v>
      </c>
      <c r="H1815" s="106" t="str">
        <f t="shared" si="1"/>
        <v>2025-04</v>
      </c>
      <c r="I1815" s="271" t="str">
        <f>IFERROR(__xludf.DUMMYFUNCTION("""COMPUTED_VALUE"""),"貓狗企鵝")</f>
        <v>貓狗企鵝</v>
      </c>
      <c r="J1815" t="str">
        <f>IFERROR(__xludf.DUMMYFUNCTION("IFS(
  AND(REGEXMATCH(E1815, ""台銀籌備帳戶|玉山帳戶""), REGEXMATCH(C1815, ""薪資"")), ""分潤支出"",
  AND(REGEXMATCH(E1815, ""Ben帳戶|Elsa帳戶|Ben代墊|Ariel代墊|中信銀行共用""), REGEXMATCH(F1815, ""Ben帳戶|Elsa帳戶|Ben代墊|Ariel代墊|中信銀行共用"")), ""內部轉帳(忽略)"",
  AND(E1815&lt;&gt;"""", F1815&lt;&gt;"""", N"&amp;"OT(REGEXMATCH(C1815, ""薪資""))), ""內部轉帳(忽略)"",
  REGEXMATCH(C1815, ""薪資""), ""薪資變動(不計入)"",
  REGEXMATCH(C1815, ""押金""), ""押金往來"",
  AND(E1815&lt;&gt;"""", F1815=""""), ""真實支出"",
  AND(E1815="""", F1815&lt;&gt;""""), ""真實收入"",
  TRUE, ""其他""
)"),"真實支出")</f>
        <v>真實支出</v>
      </c>
      <c r="K1815" s="270">
        <f t="shared" si="2"/>
        <v>-93</v>
      </c>
      <c r="L1815">
        <f t="shared" si="3"/>
        <v>0</v>
      </c>
    </row>
    <row r="1816">
      <c r="A1816" s="107">
        <f>IFERROR(__xludf.DUMMYFUNCTION("""COMPUTED_VALUE"""),45757.0)</f>
        <v>45757</v>
      </c>
      <c r="B1816" t="str">
        <f>IFERROR(__xludf.DUMMYFUNCTION("""COMPUTED_VALUE"""),"費用 - 匯費 對方行:822 後五碼:14465 (行號: 3)")</f>
        <v>費用 - 匯費 對方行:822 後五碼:14465 (行號: 3)</v>
      </c>
      <c r="C1816" t="str">
        <f>IFERROR(__xludf.DUMMYFUNCTION("""COMPUTED_VALUE"""),"費用 - 匯費")</f>
        <v>費用 - 匯費</v>
      </c>
      <c r="D1816" s="270">
        <f>IFERROR(__xludf.DUMMYFUNCTION("""COMPUTED_VALUE"""),-15.0)</f>
        <v>-15</v>
      </c>
      <c r="E1816" t="str">
        <f>IFERROR(__xludf.DUMMYFUNCTION("""COMPUTED_VALUE"""),"台銀籌備帳戶")</f>
        <v>台銀籌備帳戶</v>
      </c>
      <c r="H1816" s="106" t="str">
        <f t="shared" si="1"/>
        <v>2025-04</v>
      </c>
      <c r="I1816" s="271" t="str">
        <f>IFERROR(__xludf.DUMMYFUNCTION("""COMPUTED_VALUE"""),"貓狗企鵝")</f>
        <v>貓狗企鵝</v>
      </c>
      <c r="J1816" t="str">
        <f>IFERROR(__xludf.DUMMYFUNCTION("IFS(
  AND(REGEXMATCH(E1816, ""台銀籌備帳戶|玉山帳戶""), REGEXMATCH(C1816, ""薪資"")), ""分潤支出"",
  AND(REGEXMATCH(E1816, ""Ben帳戶|Elsa帳戶|Ben代墊|Ariel代墊|中信銀行共用""), REGEXMATCH(F1816, ""Ben帳戶|Elsa帳戶|Ben代墊|Ariel代墊|中信銀行共用"")), ""內部轉帳(忽略)"",
  AND(E1816&lt;&gt;"""", F1816&lt;&gt;"""", N"&amp;"OT(REGEXMATCH(C1816, ""薪資""))), ""內部轉帳(忽略)"",
  REGEXMATCH(C1816, ""薪資""), ""薪資變動(不計入)"",
  REGEXMATCH(C1816, ""押金""), ""押金往來"",
  AND(E1816&lt;&gt;"""", F1816=""""), ""真實支出"",
  AND(E1816="""", F1816&lt;&gt;""""), ""真實收入"",
  TRUE, ""其他""
)"),"真實支出")</f>
        <v>真實支出</v>
      </c>
      <c r="K1816" s="270">
        <f t="shared" si="2"/>
        <v>-15</v>
      </c>
      <c r="L1816">
        <f t="shared" si="3"/>
        <v>0</v>
      </c>
    </row>
    <row r="1817">
      <c r="A1817" s="107">
        <f>IFERROR(__xludf.DUMMYFUNCTION("""COMPUTED_VALUE"""),45757.0)</f>
        <v>45757</v>
      </c>
      <c r="B1817" t="str">
        <f>IFERROR(__xludf.DUMMYFUNCTION("""COMPUTED_VALUE"""),"南港子昇水電費 ' 【未分類支出】")</f>
        <v>南港子昇水電費 ' 【未分類支出】</v>
      </c>
      <c r="C1817" t="str">
        <f>IFERROR(__xludf.DUMMYFUNCTION("""COMPUTED_VALUE"""),"成本 - 固定開銷(網路代收清潔)")</f>
        <v>成本 - 固定開銷(網路代收清潔)</v>
      </c>
      <c r="D1817" s="270">
        <f>IFERROR(__xludf.DUMMYFUNCTION("""COMPUTED_VALUE"""),-355.0)</f>
        <v>-355</v>
      </c>
      <c r="E1817" t="str">
        <f>IFERROR(__xludf.DUMMYFUNCTION("""COMPUTED_VALUE"""),"台銀籌備帳戶")</f>
        <v>台銀籌備帳戶</v>
      </c>
      <c r="G1817" t="str">
        <f>IFERROR(__xludf.DUMMYFUNCTION("""COMPUTED_VALUE"""),"南港站挑高宅")</f>
        <v>南港站挑高宅</v>
      </c>
      <c r="H1817" s="106" t="str">
        <f t="shared" si="1"/>
        <v>2025-04</v>
      </c>
      <c r="I1817" s="271" t="str">
        <f>IFERROR(__xludf.DUMMYFUNCTION("""COMPUTED_VALUE"""),"貓狗企鵝")</f>
        <v>貓狗企鵝</v>
      </c>
      <c r="J1817" t="str">
        <f>IFERROR(__xludf.DUMMYFUNCTION("IFS(
  AND(REGEXMATCH(E1817, ""台銀籌備帳戶|玉山帳戶""), REGEXMATCH(C1817, ""薪資"")), ""分潤支出"",
  AND(REGEXMATCH(E1817, ""Ben帳戶|Elsa帳戶|Ben代墊|Ariel代墊|中信銀行共用""), REGEXMATCH(F1817, ""Ben帳戶|Elsa帳戶|Ben代墊|Ariel代墊|中信銀行共用"")), ""內部轉帳(忽略)"",
  AND(E1817&lt;&gt;"""", F1817&lt;&gt;"""", N"&amp;"OT(REGEXMATCH(C1817, ""薪資""))), ""內部轉帳(忽略)"",
  REGEXMATCH(C1817, ""薪資""), ""薪資變動(不計入)"",
  REGEXMATCH(C1817, ""押金""), ""押金往來"",
  AND(E1817&lt;&gt;"""", F1817=""""), ""真實支出"",
  AND(E1817="""", F1817&lt;&gt;""""), ""真實收入"",
  TRUE, ""其他""
)"),"真實支出")</f>
        <v>真實支出</v>
      </c>
      <c r="K1817" s="270">
        <f t="shared" si="2"/>
        <v>-355</v>
      </c>
      <c r="L1817">
        <f t="shared" si="3"/>
        <v>0</v>
      </c>
    </row>
    <row r="1818">
      <c r="A1818" s="107">
        <f>IFERROR(__xludf.DUMMYFUNCTION("""COMPUTED_VALUE"""),45760.0)</f>
        <v>45760</v>
      </c>
      <c r="B1818" t="str">
        <f>IFERROR(__xludf.DUMMYFUNCTION("""COMPUTED_VALUE"""),"費用 - 匯費 對方行:700 後五碼:19509 (行號: 4)")</f>
        <v>費用 - 匯費 對方行:700 後五碼:19509 (行號: 4)</v>
      </c>
      <c r="C1818" t="str">
        <f>IFERROR(__xludf.DUMMYFUNCTION("""COMPUTED_VALUE"""),"費用 - 匯費")</f>
        <v>費用 - 匯費</v>
      </c>
      <c r="D1818" s="270">
        <f>IFERROR(__xludf.DUMMYFUNCTION("""COMPUTED_VALUE"""),-15.0)</f>
        <v>-15</v>
      </c>
      <c r="E1818" t="str">
        <f>IFERROR(__xludf.DUMMYFUNCTION("""COMPUTED_VALUE"""),"台銀籌備帳戶")</f>
        <v>台銀籌備帳戶</v>
      </c>
      <c r="H1818" s="106" t="str">
        <f t="shared" si="1"/>
        <v>2025-04</v>
      </c>
      <c r="I1818" s="271" t="str">
        <f>IFERROR(__xludf.DUMMYFUNCTION("""COMPUTED_VALUE"""),"貓狗企鵝")</f>
        <v>貓狗企鵝</v>
      </c>
      <c r="J1818" t="str">
        <f>IFERROR(__xludf.DUMMYFUNCTION("IFS(
  AND(REGEXMATCH(E1818, ""台銀籌備帳戶|玉山帳戶""), REGEXMATCH(C1818, ""薪資"")), ""分潤支出"",
  AND(REGEXMATCH(E1818, ""Ben帳戶|Elsa帳戶|Ben代墊|Ariel代墊|中信銀行共用""), REGEXMATCH(F1818, ""Ben帳戶|Elsa帳戶|Ben代墊|Ariel代墊|中信銀行共用"")), ""內部轉帳(忽略)"",
  AND(E1818&lt;&gt;"""", F1818&lt;&gt;"""", N"&amp;"OT(REGEXMATCH(C1818, ""薪資""))), ""內部轉帳(忽略)"",
  REGEXMATCH(C1818, ""薪資""), ""薪資變動(不計入)"",
  REGEXMATCH(C1818, ""押金""), ""押金往來"",
  AND(E1818&lt;&gt;"""", F1818=""""), ""真實支出"",
  AND(E1818="""", F1818&lt;&gt;""""), ""真實收入"",
  TRUE, ""其他""
)"),"真實支出")</f>
        <v>真實支出</v>
      </c>
      <c r="K1818" s="270">
        <f t="shared" si="2"/>
        <v>-15</v>
      </c>
      <c r="L1818">
        <f t="shared" si="3"/>
        <v>0</v>
      </c>
    </row>
    <row r="1819">
      <c r="A1819" s="107">
        <f>IFERROR(__xludf.DUMMYFUNCTION("""COMPUTED_VALUE"""),45760.0)</f>
        <v>45760</v>
      </c>
      <c r="B1819" t="str">
        <f>IFERROR(__xludf.DUMMYFUNCTION("""COMPUTED_VALUE"""),"[龍江229] [游為傑] 大租金")</f>
        <v>[龍江229] [游為傑] 大租金</v>
      </c>
      <c r="C1819" t="str">
        <f>IFERROR(__xludf.DUMMYFUNCTION("""COMPUTED_VALUE"""),"成本 - 大租金")</f>
        <v>成本 - 大租金</v>
      </c>
      <c r="D1819" s="270">
        <f>IFERROR(__xludf.DUMMYFUNCTION("""COMPUTED_VALUE"""),-13500.0)</f>
        <v>-13500</v>
      </c>
      <c r="E1819" t="str">
        <f>IFERROR(__xludf.DUMMYFUNCTION("""COMPUTED_VALUE"""),"台銀籌備帳戶")</f>
        <v>台銀籌備帳戶</v>
      </c>
      <c r="G1819" t="str">
        <f>IFERROR(__xludf.DUMMYFUNCTION("""COMPUTED_VALUE"""),"龍江229")</f>
        <v>龍江229</v>
      </c>
      <c r="H1819" s="106" t="str">
        <f t="shared" si="1"/>
        <v>2025-04</v>
      </c>
      <c r="I1819" s="271" t="str">
        <f>IFERROR(__xludf.DUMMYFUNCTION("""COMPUTED_VALUE"""),"貓狗企鵝")</f>
        <v>貓狗企鵝</v>
      </c>
      <c r="J1819" t="str">
        <f>IFERROR(__xludf.DUMMYFUNCTION("IFS(
  AND(REGEXMATCH(E1819, ""台銀籌備帳戶|玉山帳戶""), REGEXMATCH(C1819, ""薪資"")), ""分潤支出"",
  AND(REGEXMATCH(E1819, ""Ben帳戶|Elsa帳戶|Ben代墊|Ariel代墊|中信銀行共用""), REGEXMATCH(F1819, ""Ben帳戶|Elsa帳戶|Ben代墊|Ariel代墊|中信銀行共用"")), ""內部轉帳(忽略)"",
  AND(E1819&lt;&gt;"""", F1819&lt;&gt;"""", N"&amp;"OT(REGEXMATCH(C1819, ""薪資""))), ""內部轉帳(忽略)"",
  REGEXMATCH(C1819, ""薪資""), ""薪資變動(不計入)"",
  REGEXMATCH(C1819, ""押金""), ""押金往來"",
  AND(E1819&lt;&gt;"""", F1819=""""), ""真實支出"",
  AND(E1819="""", F1819&lt;&gt;""""), ""真實收入"",
  TRUE, ""其他""
)"),"真實支出")</f>
        <v>真實支出</v>
      </c>
      <c r="K1819" s="270">
        <f t="shared" si="2"/>
        <v>-13500</v>
      </c>
      <c r="L1819">
        <f t="shared" si="3"/>
        <v>0</v>
      </c>
    </row>
    <row r="1820">
      <c r="A1820" s="107">
        <f>IFERROR(__xludf.DUMMYFUNCTION("""COMPUTED_VALUE"""),45760.0)</f>
        <v>45760</v>
      </c>
      <c r="B1820" t="str">
        <f>IFERROR(__xludf.DUMMYFUNCTION("""COMPUTED_VALUE"""),"龍江E修窗戶 ' 【未分類支出】")</f>
        <v>龍江E修窗戶 ' 【未分類支出】</v>
      </c>
      <c r="C1820" t="str">
        <f>IFERROR(__xludf.DUMMYFUNCTION("""COMPUTED_VALUE"""),"成本 - 租後修繕")</f>
        <v>成本 - 租後修繕</v>
      </c>
      <c r="D1820" s="270">
        <f>IFERROR(__xludf.DUMMYFUNCTION("""COMPUTED_VALUE"""),-500.0)</f>
        <v>-500</v>
      </c>
      <c r="E1820" t="str">
        <f>IFERROR(__xludf.DUMMYFUNCTION("""COMPUTED_VALUE"""),"台銀籌備帳戶")</f>
        <v>台銀籌備帳戶</v>
      </c>
      <c r="G1820" t="str">
        <f>IFERROR(__xludf.DUMMYFUNCTION("""COMPUTED_VALUE"""),"龍江229")</f>
        <v>龍江229</v>
      </c>
      <c r="H1820" s="106" t="str">
        <f t="shared" si="1"/>
        <v>2025-04</v>
      </c>
      <c r="I1820" s="271" t="str">
        <f>IFERROR(__xludf.DUMMYFUNCTION("""COMPUTED_VALUE"""),"貓狗企鵝")</f>
        <v>貓狗企鵝</v>
      </c>
      <c r="J1820" t="str">
        <f>IFERROR(__xludf.DUMMYFUNCTION("IFS(
  AND(REGEXMATCH(E1820, ""台銀籌備帳戶|玉山帳戶""), REGEXMATCH(C1820, ""薪資"")), ""分潤支出"",
  AND(REGEXMATCH(E1820, ""Ben帳戶|Elsa帳戶|Ben代墊|Ariel代墊|中信銀行共用""), REGEXMATCH(F1820, ""Ben帳戶|Elsa帳戶|Ben代墊|Ariel代墊|中信銀行共用"")), ""內部轉帳(忽略)"",
  AND(E1820&lt;&gt;"""", F1820&lt;&gt;"""", N"&amp;"OT(REGEXMATCH(C1820, ""薪資""))), ""內部轉帳(忽略)"",
  REGEXMATCH(C1820, ""薪資""), ""薪資變動(不計入)"",
  REGEXMATCH(C1820, ""押金""), ""押金往來"",
  AND(E1820&lt;&gt;"""", F1820=""""), ""真實支出"",
  AND(E1820="""", F1820&lt;&gt;""""), ""真實收入"",
  TRUE, ""其他""
)"),"真實支出")</f>
        <v>真實支出</v>
      </c>
      <c r="K1820" s="270">
        <f t="shared" si="2"/>
        <v>-500</v>
      </c>
      <c r="L1820">
        <f t="shared" si="3"/>
        <v>0</v>
      </c>
    </row>
    <row r="1821">
      <c r="A1821" s="107">
        <f>IFERROR(__xludf.DUMMYFUNCTION("""COMPUTED_VALUE"""),45762.0)</f>
        <v>45762</v>
      </c>
      <c r="B1821" t="str">
        <f>IFERROR(__xludf.DUMMYFUNCTION("""COMPUTED_VALUE"""),"[南港站挑高宅] [林淑華] 大租金")</f>
        <v>[南港站挑高宅] [林淑華] 大租金</v>
      </c>
      <c r="C1821" t="str">
        <f>IFERROR(__xludf.DUMMYFUNCTION("""COMPUTED_VALUE"""),"成本 - 大租金")</f>
        <v>成本 - 大租金</v>
      </c>
      <c r="D1821" s="270">
        <f>IFERROR(__xludf.DUMMYFUNCTION("""COMPUTED_VALUE"""),-18250.0)</f>
        <v>-18250</v>
      </c>
      <c r="E1821" t="str">
        <f>IFERROR(__xludf.DUMMYFUNCTION("""COMPUTED_VALUE"""),"台銀籌備帳戶")</f>
        <v>台銀籌備帳戶</v>
      </c>
      <c r="G1821" t="str">
        <f>IFERROR(__xludf.DUMMYFUNCTION("""COMPUTED_VALUE"""),"南港站挑高宅")</f>
        <v>南港站挑高宅</v>
      </c>
      <c r="H1821" s="106" t="str">
        <f t="shared" si="1"/>
        <v>2025-04</v>
      </c>
      <c r="I1821" s="271" t="str">
        <f>IFERROR(__xludf.DUMMYFUNCTION("""COMPUTED_VALUE"""),"貓狗企鵝")</f>
        <v>貓狗企鵝</v>
      </c>
      <c r="J1821" t="str">
        <f>IFERROR(__xludf.DUMMYFUNCTION("IFS(
  AND(REGEXMATCH(E1821, ""台銀籌備帳戶|玉山帳戶""), REGEXMATCH(C1821, ""薪資"")), ""分潤支出"",
  AND(REGEXMATCH(E1821, ""Ben帳戶|Elsa帳戶|Ben代墊|Ariel代墊|中信銀行共用""), REGEXMATCH(F1821, ""Ben帳戶|Elsa帳戶|Ben代墊|Ariel代墊|中信銀行共用"")), ""內部轉帳(忽略)"",
  AND(E1821&lt;&gt;"""", F1821&lt;&gt;"""", N"&amp;"OT(REGEXMATCH(C1821, ""薪資""))), ""內部轉帳(忽略)"",
  REGEXMATCH(C1821, ""薪資""), ""薪資變動(不計入)"",
  REGEXMATCH(C1821, ""押金""), ""押金往來"",
  AND(E1821&lt;&gt;"""", F1821=""""), ""真實支出"",
  AND(E1821="""", F1821&lt;&gt;""""), ""真實收入"",
  TRUE, ""其他""
)"),"真實支出")</f>
        <v>真實支出</v>
      </c>
      <c r="K1821" s="270">
        <f t="shared" si="2"/>
        <v>-18250</v>
      </c>
      <c r="L1821">
        <f t="shared" si="3"/>
        <v>0</v>
      </c>
    </row>
    <row r="1822">
      <c r="A1822" s="107">
        <f>IFERROR(__xludf.DUMMYFUNCTION("""COMPUTED_VALUE"""),45762.0)</f>
        <v>45762</v>
      </c>
      <c r="B1822" t="str">
        <f>IFERROR(__xludf.DUMMYFUNCTION("""COMPUTED_VALUE"""),"費用 - 匯費 對方行:052 後五碼:22609 (行號: 7)")</f>
        <v>費用 - 匯費 對方行:052 後五碼:22609 (行號: 7)</v>
      </c>
      <c r="C1822" t="str">
        <f>IFERROR(__xludf.DUMMYFUNCTION("""COMPUTED_VALUE"""),"費用 - 匯費")</f>
        <v>費用 - 匯費</v>
      </c>
      <c r="D1822" s="270">
        <f>IFERROR(__xludf.DUMMYFUNCTION("""COMPUTED_VALUE"""),-15.0)</f>
        <v>-15</v>
      </c>
      <c r="E1822" t="str">
        <f>IFERROR(__xludf.DUMMYFUNCTION("""COMPUTED_VALUE"""),"台銀籌備帳戶")</f>
        <v>台銀籌備帳戶</v>
      </c>
      <c r="H1822" s="106" t="str">
        <f t="shared" si="1"/>
        <v>2025-04</v>
      </c>
      <c r="I1822" s="271" t="str">
        <f>IFERROR(__xludf.DUMMYFUNCTION("""COMPUTED_VALUE"""),"貓狗企鵝")</f>
        <v>貓狗企鵝</v>
      </c>
      <c r="J1822" t="str">
        <f>IFERROR(__xludf.DUMMYFUNCTION("IFS(
  AND(REGEXMATCH(E1822, ""台銀籌備帳戶|玉山帳戶""), REGEXMATCH(C1822, ""薪資"")), ""分潤支出"",
  AND(REGEXMATCH(E1822, ""Ben帳戶|Elsa帳戶|Ben代墊|Ariel代墊|中信銀行共用""), REGEXMATCH(F1822, ""Ben帳戶|Elsa帳戶|Ben代墊|Ariel代墊|中信銀行共用"")), ""內部轉帳(忽略)"",
  AND(E1822&lt;&gt;"""", F1822&lt;&gt;"""", N"&amp;"OT(REGEXMATCH(C1822, ""薪資""))), ""內部轉帳(忽略)"",
  REGEXMATCH(C1822, ""薪資""), ""薪資變動(不計入)"",
  REGEXMATCH(C1822, ""押金""), ""押金往來"",
  AND(E1822&lt;&gt;"""", F1822=""""), ""真實支出"",
  AND(E1822="""", F1822&lt;&gt;""""), ""真實收入"",
  TRUE, ""其他""
)"),"真實支出")</f>
        <v>真實支出</v>
      </c>
      <c r="K1822" s="270">
        <f t="shared" si="2"/>
        <v>-15</v>
      </c>
      <c r="L1822">
        <f t="shared" si="3"/>
        <v>0</v>
      </c>
    </row>
    <row r="1823">
      <c r="A1823" s="107">
        <f>IFERROR(__xludf.DUMMYFUNCTION("""COMPUTED_VALUE"""),45762.0)</f>
        <v>45762</v>
      </c>
      <c r="B1823" t="str">
        <f>IFERROR(__xludf.DUMMYFUNCTION("""COMPUTED_VALUE"""),"[中山北Feli家] [陳玉蘭] 大租金")</f>
        <v>[中山北Feli家] [陳玉蘭] 大租金</v>
      </c>
      <c r="C1823" t="str">
        <f>IFERROR(__xludf.DUMMYFUNCTION("""COMPUTED_VALUE"""),"成本 - 大租金")</f>
        <v>成本 - 大租金</v>
      </c>
      <c r="D1823" s="270">
        <f>IFERROR(__xludf.DUMMYFUNCTION("""COMPUTED_VALUE"""),-18000.0)</f>
        <v>-18000</v>
      </c>
      <c r="E1823" t="str">
        <f>IFERROR(__xludf.DUMMYFUNCTION("""COMPUTED_VALUE"""),"台銀籌備帳戶")</f>
        <v>台銀籌備帳戶</v>
      </c>
      <c r="G1823" t="str">
        <f>IFERROR(__xludf.DUMMYFUNCTION("""COMPUTED_VALUE"""),"中山北Feli家")</f>
        <v>中山北Feli家</v>
      </c>
      <c r="H1823" s="106" t="str">
        <f t="shared" si="1"/>
        <v>2025-04</v>
      </c>
      <c r="I1823" s="271" t="str">
        <f>IFERROR(__xludf.DUMMYFUNCTION("""COMPUTED_VALUE"""),"貓狗企鵝")</f>
        <v>貓狗企鵝</v>
      </c>
      <c r="J1823" t="str">
        <f>IFERROR(__xludf.DUMMYFUNCTION("IFS(
  AND(REGEXMATCH(E1823, ""台銀籌備帳戶|玉山帳戶""), REGEXMATCH(C1823, ""薪資"")), ""分潤支出"",
  AND(REGEXMATCH(E1823, ""Ben帳戶|Elsa帳戶|Ben代墊|Ariel代墊|中信銀行共用""), REGEXMATCH(F1823, ""Ben帳戶|Elsa帳戶|Ben代墊|Ariel代墊|中信銀行共用"")), ""內部轉帳(忽略)"",
  AND(E1823&lt;&gt;"""", F1823&lt;&gt;"""", N"&amp;"OT(REGEXMATCH(C1823, ""薪資""))), ""內部轉帳(忽略)"",
  REGEXMATCH(C1823, ""薪資""), ""薪資變動(不計入)"",
  REGEXMATCH(C1823, ""押金""), ""押金往來"",
  AND(E1823&lt;&gt;"""", F1823=""""), ""真實支出"",
  AND(E1823="""", F1823&lt;&gt;""""), ""真實收入"",
  TRUE, ""其他""
)"),"真實支出")</f>
        <v>真實支出</v>
      </c>
      <c r="K1823" s="270">
        <f t="shared" si="2"/>
        <v>-18000</v>
      </c>
      <c r="L1823">
        <f t="shared" si="3"/>
        <v>0</v>
      </c>
    </row>
    <row r="1824">
      <c r="A1824" s="107">
        <f>IFERROR(__xludf.DUMMYFUNCTION("""COMPUTED_VALUE"""),45762.0)</f>
        <v>45762</v>
      </c>
      <c r="B1824" t="str">
        <f>IFERROR(__xludf.DUMMYFUNCTION("""COMPUTED_VALUE"""),"費用 - 匯費 對方行:013 後五碼:20652 (行號: 8)")</f>
        <v>費用 - 匯費 對方行:013 後五碼:20652 (行號: 8)</v>
      </c>
      <c r="C1824" t="str">
        <f>IFERROR(__xludf.DUMMYFUNCTION("""COMPUTED_VALUE"""),"費用 - 匯費")</f>
        <v>費用 - 匯費</v>
      </c>
      <c r="D1824" s="270">
        <f>IFERROR(__xludf.DUMMYFUNCTION("""COMPUTED_VALUE"""),-15.0)</f>
        <v>-15</v>
      </c>
      <c r="E1824" t="str">
        <f>IFERROR(__xludf.DUMMYFUNCTION("""COMPUTED_VALUE"""),"台銀籌備帳戶")</f>
        <v>台銀籌備帳戶</v>
      </c>
      <c r="H1824" s="106" t="str">
        <f t="shared" si="1"/>
        <v>2025-04</v>
      </c>
      <c r="I1824" s="271" t="str">
        <f>IFERROR(__xludf.DUMMYFUNCTION("""COMPUTED_VALUE"""),"貓狗企鵝")</f>
        <v>貓狗企鵝</v>
      </c>
      <c r="J1824" t="str">
        <f>IFERROR(__xludf.DUMMYFUNCTION("IFS(
  AND(REGEXMATCH(E1824, ""台銀籌備帳戶|玉山帳戶""), REGEXMATCH(C1824, ""薪資"")), ""分潤支出"",
  AND(REGEXMATCH(E1824, ""Ben帳戶|Elsa帳戶|Ben代墊|Ariel代墊|中信銀行共用""), REGEXMATCH(F1824, ""Ben帳戶|Elsa帳戶|Ben代墊|Ariel代墊|中信銀行共用"")), ""內部轉帳(忽略)"",
  AND(E1824&lt;&gt;"""", F1824&lt;&gt;"""", N"&amp;"OT(REGEXMATCH(C1824, ""薪資""))), ""內部轉帳(忽略)"",
  REGEXMATCH(C1824, ""薪資""), ""薪資變動(不計入)"",
  REGEXMATCH(C1824, ""押金""), ""押金往來"",
  AND(E1824&lt;&gt;"""", F1824=""""), ""真實支出"",
  AND(E1824="""", F1824&lt;&gt;""""), ""真實收入"",
  TRUE, ""其他""
)"),"真實支出")</f>
        <v>真實支出</v>
      </c>
      <c r="K1824" s="270">
        <f t="shared" si="2"/>
        <v>-15</v>
      </c>
      <c r="L1824">
        <f t="shared" si="3"/>
        <v>0</v>
      </c>
    </row>
    <row r="1825">
      <c r="A1825" s="107">
        <f>IFERROR(__xludf.DUMMYFUNCTION("""COMPUTED_VALUE"""),45762.0)</f>
        <v>45762</v>
      </c>
      <c r="B1825" t="str">
        <f>IFERROR(__xludf.DUMMYFUNCTION("""COMPUTED_VALUE"""),"[景安2分鐘] [王逸荃] 大租金")</f>
        <v>[景安2分鐘] [王逸荃] 大租金</v>
      </c>
      <c r="C1825" t="str">
        <f>IFERROR(__xludf.DUMMYFUNCTION("""COMPUTED_VALUE"""),"成本 - 大租金")</f>
        <v>成本 - 大租金</v>
      </c>
      <c r="D1825" s="270">
        <f>IFERROR(__xludf.DUMMYFUNCTION("""COMPUTED_VALUE"""),-12500.0)</f>
        <v>-12500</v>
      </c>
      <c r="E1825" t="str">
        <f>IFERROR(__xludf.DUMMYFUNCTION("""COMPUTED_VALUE"""),"台銀籌備帳戶")</f>
        <v>台銀籌備帳戶</v>
      </c>
      <c r="G1825" t="str">
        <f>IFERROR(__xludf.DUMMYFUNCTION("""COMPUTED_VALUE"""),"景安2分鐘")</f>
        <v>景安2分鐘</v>
      </c>
      <c r="H1825" s="106" t="str">
        <f t="shared" si="1"/>
        <v>2025-04</v>
      </c>
      <c r="I1825" s="271" t="str">
        <f>IFERROR(__xludf.DUMMYFUNCTION("""COMPUTED_VALUE"""),"貓狗企鵝")</f>
        <v>貓狗企鵝</v>
      </c>
      <c r="J1825" t="str">
        <f>IFERROR(__xludf.DUMMYFUNCTION("IFS(
  AND(REGEXMATCH(E1825, ""台銀籌備帳戶|玉山帳戶""), REGEXMATCH(C1825, ""薪資"")), ""分潤支出"",
  AND(REGEXMATCH(E1825, ""Ben帳戶|Elsa帳戶|Ben代墊|Ariel代墊|中信銀行共用""), REGEXMATCH(F1825, ""Ben帳戶|Elsa帳戶|Ben代墊|Ariel代墊|中信銀行共用"")), ""內部轉帳(忽略)"",
  AND(E1825&lt;&gt;"""", F1825&lt;&gt;"""", N"&amp;"OT(REGEXMATCH(C1825, ""薪資""))), ""內部轉帳(忽略)"",
  REGEXMATCH(C1825, ""薪資""), ""薪資變動(不計入)"",
  REGEXMATCH(C1825, ""押金""), ""押金往來"",
  AND(E1825&lt;&gt;"""", F1825=""""), ""真實支出"",
  AND(E1825="""", F1825&lt;&gt;""""), ""真實收入"",
  TRUE, ""其他""
)"),"真實支出")</f>
        <v>真實支出</v>
      </c>
      <c r="K1825" s="270">
        <f t="shared" si="2"/>
        <v>-12500</v>
      </c>
      <c r="L1825">
        <f t="shared" si="3"/>
        <v>0</v>
      </c>
    </row>
    <row r="1826">
      <c r="A1826" s="107">
        <f>IFERROR(__xludf.DUMMYFUNCTION("""COMPUTED_VALUE"""),45762.0)</f>
        <v>45762</v>
      </c>
      <c r="B1826" t="str">
        <f>IFERROR(__xludf.DUMMYFUNCTION("""COMPUTED_VALUE"""),"費用 - 匯費 對方行:822 後五碼:06708 (行號: 9)")</f>
        <v>費用 - 匯費 對方行:822 後五碼:06708 (行號: 9)</v>
      </c>
      <c r="C1826" t="str">
        <f>IFERROR(__xludf.DUMMYFUNCTION("""COMPUTED_VALUE"""),"費用 - 匯費")</f>
        <v>費用 - 匯費</v>
      </c>
      <c r="D1826" s="270">
        <f>IFERROR(__xludf.DUMMYFUNCTION("""COMPUTED_VALUE"""),-15.0)</f>
        <v>-15</v>
      </c>
      <c r="E1826" t="str">
        <f>IFERROR(__xludf.DUMMYFUNCTION("""COMPUTED_VALUE"""),"台銀籌備帳戶")</f>
        <v>台銀籌備帳戶</v>
      </c>
      <c r="H1826" s="106" t="str">
        <f t="shared" si="1"/>
        <v>2025-04</v>
      </c>
      <c r="I1826" s="271" t="str">
        <f>IFERROR(__xludf.DUMMYFUNCTION("""COMPUTED_VALUE"""),"貓狗企鵝")</f>
        <v>貓狗企鵝</v>
      </c>
      <c r="J1826" t="str">
        <f>IFERROR(__xludf.DUMMYFUNCTION("IFS(
  AND(REGEXMATCH(E1826, ""台銀籌備帳戶|玉山帳戶""), REGEXMATCH(C1826, ""薪資"")), ""分潤支出"",
  AND(REGEXMATCH(E1826, ""Ben帳戶|Elsa帳戶|Ben代墊|Ariel代墊|中信銀行共用""), REGEXMATCH(F1826, ""Ben帳戶|Elsa帳戶|Ben代墊|Ariel代墊|中信銀行共用"")), ""內部轉帳(忽略)"",
  AND(E1826&lt;&gt;"""", F1826&lt;&gt;"""", N"&amp;"OT(REGEXMATCH(C1826, ""薪資""))), ""內部轉帳(忽略)"",
  REGEXMATCH(C1826, ""薪資""), ""薪資變動(不計入)"",
  REGEXMATCH(C1826, ""押金""), ""押金往來"",
  AND(E1826&lt;&gt;"""", F1826=""""), ""真實支出"",
  AND(E1826="""", F1826&lt;&gt;""""), ""真實收入"",
  TRUE, ""其他""
)"),"真實支出")</f>
        <v>真實支出</v>
      </c>
      <c r="K1826" s="270">
        <f t="shared" si="2"/>
        <v>-15</v>
      </c>
      <c r="L1826">
        <f t="shared" si="3"/>
        <v>0</v>
      </c>
    </row>
    <row r="1827">
      <c r="A1827" s="107">
        <f>IFERROR(__xludf.DUMMYFUNCTION("""COMPUTED_VALUE"""),45762.0)</f>
        <v>45762</v>
      </c>
      <c r="B1827" t="str">
        <f>IFERROR(__xludf.DUMMYFUNCTION("""COMPUTED_VALUE"""),"[金龍帽子先生] [郭娟伶] 大租金")</f>
        <v>[金龍帽子先生] [郭娟伶] 大租金</v>
      </c>
      <c r="C1827" t="str">
        <f>IFERROR(__xludf.DUMMYFUNCTION("""COMPUTED_VALUE"""),"成本 - 大租金")</f>
        <v>成本 - 大租金</v>
      </c>
      <c r="D1827" s="270">
        <f>IFERROR(__xludf.DUMMYFUNCTION("""COMPUTED_VALUE"""),-17750.0)</f>
        <v>-17750</v>
      </c>
      <c r="E1827" t="str">
        <f>IFERROR(__xludf.DUMMYFUNCTION("""COMPUTED_VALUE"""),"台銀籌備帳戶")</f>
        <v>台銀籌備帳戶</v>
      </c>
      <c r="G1827" t="str">
        <f>IFERROR(__xludf.DUMMYFUNCTION("""COMPUTED_VALUE"""),"金龍帽子先生")</f>
        <v>金龍帽子先生</v>
      </c>
      <c r="H1827" s="106" t="str">
        <f t="shared" si="1"/>
        <v>2025-04</v>
      </c>
      <c r="I1827" s="271" t="str">
        <f>IFERROR(__xludf.DUMMYFUNCTION("""COMPUTED_VALUE"""),"貓狗企鵝")</f>
        <v>貓狗企鵝</v>
      </c>
      <c r="J1827" t="str">
        <f>IFERROR(__xludf.DUMMYFUNCTION("IFS(
  AND(REGEXMATCH(E1827, ""台銀籌備帳戶|玉山帳戶""), REGEXMATCH(C1827, ""薪資"")), ""分潤支出"",
  AND(REGEXMATCH(E1827, ""Ben帳戶|Elsa帳戶|Ben代墊|Ariel代墊|中信銀行共用""), REGEXMATCH(F1827, ""Ben帳戶|Elsa帳戶|Ben代墊|Ariel代墊|中信銀行共用"")), ""內部轉帳(忽略)"",
  AND(E1827&lt;&gt;"""", F1827&lt;&gt;"""", N"&amp;"OT(REGEXMATCH(C1827, ""薪資""))), ""內部轉帳(忽略)"",
  REGEXMATCH(C1827, ""薪資""), ""薪資變動(不計入)"",
  REGEXMATCH(C1827, ""押金""), ""押金往來"",
  AND(E1827&lt;&gt;"""", F1827=""""), ""真實支出"",
  AND(E1827="""", F1827&lt;&gt;""""), ""真實收入"",
  TRUE, ""其他""
)"),"真實支出")</f>
        <v>真實支出</v>
      </c>
      <c r="K1827" s="270">
        <f t="shared" si="2"/>
        <v>-17750</v>
      </c>
      <c r="L1827">
        <f t="shared" si="3"/>
        <v>0</v>
      </c>
    </row>
    <row r="1828">
      <c r="A1828" s="107">
        <f>IFERROR(__xludf.DUMMYFUNCTION("""COMPUTED_VALUE"""),45762.0)</f>
        <v>45762</v>
      </c>
      <c r="B1828" t="str">
        <f>IFERROR(__xludf.DUMMYFUNCTION("""COMPUTED_VALUE"""),"費用 - 匯費 對方行:053 後五碼:05202 (行號: 10)")</f>
        <v>費用 - 匯費 對方行:053 後五碼:05202 (行號: 10)</v>
      </c>
      <c r="C1828" t="str">
        <f>IFERROR(__xludf.DUMMYFUNCTION("""COMPUTED_VALUE"""),"費用 - 匯費")</f>
        <v>費用 - 匯費</v>
      </c>
      <c r="D1828" s="270">
        <f>IFERROR(__xludf.DUMMYFUNCTION("""COMPUTED_VALUE"""),-15.0)</f>
        <v>-15</v>
      </c>
      <c r="E1828" t="str">
        <f>IFERROR(__xludf.DUMMYFUNCTION("""COMPUTED_VALUE"""),"台銀籌備帳戶")</f>
        <v>台銀籌備帳戶</v>
      </c>
      <c r="H1828" s="106" t="str">
        <f t="shared" si="1"/>
        <v>2025-04</v>
      </c>
      <c r="I1828" s="271" t="str">
        <f>IFERROR(__xludf.DUMMYFUNCTION("""COMPUTED_VALUE"""),"貓狗企鵝")</f>
        <v>貓狗企鵝</v>
      </c>
      <c r="J1828" t="str">
        <f>IFERROR(__xludf.DUMMYFUNCTION("IFS(
  AND(REGEXMATCH(E1828, ""台銀籌備帳戶|玉山帳戶""), REGEXMATCH(C1828, ""薪資"")), ""分潤支出"",
  AND(REGEXMATCH(E1828, ""Ben帳戶|Elsa帳戶|Ben代墊|Ariel代墊|中信銀行共用""), REGEXMATCH(F1828, ""Ben帳戶|Elsa帳戶|Ben代墊|Ariel代墊|中信銀行共用"")), ""內部轉帳(忽略)"",
  AND(E1828&lt;&gt;"""", F1828&lt;&gt;"""", N"&amp;"OT(REGEXMATCH(C1828, ""薪資""))), ""內部轉帳(忽略)"",
  REGEXMATCH(C1828, ""薪資""), ""薪資變動(不計入)"",
  REGEXMATCH(C1828, ""押金""), ""押金往來"",
  AND(E1828&lt;&gt;"""", F1828=""""), ""真實支出"",
  AND(E1828="""", F1828&lt;&gt;""""), ""真實收入"",
  TRUE, ""其他""
)"),"真實支出")</f>
        <v>真實支出</v>
      </c>
      <c r="K1828" s="270">
        <f t="shared" si="2"/>
        <v>-15</v>
      </c>
      <c r="L1828">
        <f t="shared" si="3"/>
        <v>0</v>
      </c>
    </row>
    <row r="1829">
      <c r="A1829" s="107">
        <f>IFERROR(__xludf.DUMMYFUNCTION("""COMPUTED_VALUE"""),45762.0)</f>
        <v>45762</v>
      </c>
      <c r="B1829" t="str">
        <f>IFERROR(__xludf.DUMMYFUNCTION("""COMPUTED_VALUE"""),"[大湖山莊] [陳彩霞] 大租金")</f>
        <v>[大湖山莊] [陳彩霞] 大租金</v>
      </c>
      <c r="C1829" t="str">
        <f>IFERROR(__xludf.DUMMYFUNCTION("""COMPUTED_VALUE"""),"成本 - 大租金")</f>
        <v>成本 - 大租金</v>
      </c>
      <c r="D1829" s="270">
        <f>IFERROR(__xludf.DUMMYFUNCTION("""COMPUTED_VALUE"""),-19400.0)</f>
        <v>-19400</v>
      </c>
      <c r="E1829" t="str">
        <f>IFERROR(__xludf.DUMMYFUNCTION("""COMPUTED_VALUE"""),"台銀籌備帳戶")</f>
        <v>台銀籌備帳戶</v>
      </c>
      <c r="G1829" t="str">
        <f>IFERROR(__xludf.DUMMYFUNCTION("""COMPUTED_VALUE"""),"大湖山莊")</f>
        <v>大湖山莊</v>
      </c>
      <c r="H1829" s="106" t="str">
        <f t="shared" si="1"/>
        <v>2025-04</v>
      </c>
      <c r="I1829" s="271" t="str">
        <f>IFERROR(__xludf.DUMMYFUNCTION("""COMPUTED_VALUE"""),"貓狗企鵝")</f>
        <v>貓狗企鵝</v>
      </c>
      <c r="J1829" t="str">
        <f>IFERROR(__xludf.DUMMYFUNCTION("IFS(
  AND(REGEXMATCH(E1829, ""台銀籌備帳戶|玉山帳戶""), REGEXMATCH(C1829, ""薪資"")), ""分潤支出"",
  AND(REGEXMATCH(E1829, ""Ben帳戶|Elsa帳戶|Ben代墊|Ariel代墊|中信銀行共用""), REGEXMATCH(F1829, ""Ben帳戶|Elsa帳戶|Ben代墊|Ariel代墊|中信銀行共用"")), ""內部轉帳(忽略)"",
  AND(E1829&lt;&gt;"""", F1829&lt;&gt;"""", N"&amp;"OT(REGEXMATCH(C1829, ""薪資""))), ""內部轉帳(忽略)"",
  REGEXMATCH(C1829, ""薪資""), ""薪資變動(不計入)"",
  REGEXMATCH(C1829, ""押金""), ""押金往來"",
  AND(E1829&lt;&gt;"""", F1829=""""), ""真實支出"",
  AND(E1829="""", F1829&lt;&gt;""""), ""真實收入"",
  TRUE, ""其他""
)"),"真實支出")</f>
        <v>真實支出</v>
      </c>
      <c r="K1829" s="270">
        <f t="shared" si="2"/>
        <v>-19400</v>
      </c>
      <c r="L1829">
        <f t="shared" si="3"/>
        <v>0</v>
      </c>
    </row>
    <row r="1830">
      <c r="A1830" s="107">
        <f>IFERROR(__xludf.DUMMYFUNCTION("""COMPUTED_VALUE"""),45762.0)</f>
        <v>45762</v>
      </c>
      <c r="B1830" t="str">
        <f>IFERROR(__xludf.DUMMYFUNCTION("""COMPUTED_VALUE"""),"費用 - 匯費 對方行:807 後五碼:06659 (行號: 11)")</f>
        <v>費用 - 匯費 對方行:807 後五碼:06659 (行號: 11)</v>
      </c>
      <c r="C1830" t="str">
        <f>IFERROR(__xludf.DUMMYFUNCTION("""COMPUTED_VALUE"""),"費用 - 匯費")</f>
        <v>費用 - 匯費</v>
      </c>
      <c r="D1830" s="270">
        <f>IFERROR(__xludf.DUMMYFUNCTION("""COMPUTED_VALUE"""),-15.0)</f>
        <v>-15</v>
      </c>
      <c r="E1830" t="str">
        <f>IFERROR(__xludf.DUMMYFUNCTION("""COMPUTED_VALUE"""),"台銀籌備帳戶")</f>
        <v>台銀籌備帳戶</v>
      </c>
      <c r="H1830" s="106" t="str">
        <f t="shared" si="1"/>
        <v>2025-04</v>
      </c>
      <c r="I1830" s="271" t="str">
        <f>IFERROR(__xludf.DUMMYFUNCTION("""COMPUTED_VALUE"""),"貓狗企鵝")</f>
        <v>貓狗企鵝</v>
      </c>
      <c r="J1830" t="str">
        <f>IFERROR(__xludf.DUMMYFUNCTION("IFS(
  AND(REGEXMATCH(E1830, ""台銀籌備帳戶|玉山帳戶""), REGEXMATCH(C1830, ""薪資"")), ""分潤支出"",
  AND(REGEXMATCH(E1830, ""Ben帳戶|Elsa帳戶|Ben代墊|Ariel代墊|中信銀行共用""), REGEXMATCH(F1830, ""Ben帳戶|Elsa帳戶|Ben代墊|Ariel代墊|中信銀行共用"")), ""內部轉帳(忽略)"",
  AND(E1830&lt;&gt;"""", F1830&lt;&gt;"""", N"&amp;"OT(REGEXMATCH(C1830, ""薪資""))), ""內部轉帳(忽略)"",
  REGEXMATCH(C1830, ""薪資""), ""薪資變動(不計入)"",
  REGEXMATCH(C1830, ""押金""), ""押金往來"",
  AND(E1830&lt;&gt;"""", F1830=""""), ""真實支出"",
  AND(E1830="""", F1830&lt;&gt;""""), ""真實收入"",
  TRUE, ""其他""
)"),"真實支出")</f>
        <v>真實支出</v>
      </c>
      <c r="K1830" s="270">
        <f t="shared" si="2"/>
        <v>-15</v>
      </c>
      <c r="L1830">
        <f t="shared" si="3"/>
        <v>0</v>
      </c>
    </row>
    <row r="1831">
      <c r="A1831" s="107">
        <f>IFERROR(__xludf.DUMMYFUNCTION("""COMPUTED_VALUE"""),45762.0)</f>
        <v>45762</v>
      </c>
      <c r="B1831" t="str">
        <f>IFERROR(__xludf.DUMMYFUNCTION("""COMPUTED_VALUE"""),"[哈拉對面] [陳哲聰] 大租金")</f>
        <v>[哈拉對面] [陳哲聰] 大租金</v>
      </c>
      <c r="C1831" t="str">
        <f>IFERROR(__xludf.DUMMYFUNCTION("""COMPUTED_VALUE"""),"成本 - 大租金")</f>
        <v>成本 - 大租金</v>
      </c>
      <c r="D1831" s="270">
        <f>IFERROR(__xludf.DUMMYFUNCTION("""COMPUTED_VALUE"""),-13000.0)</f>
        <v>-13000</v>
      </c>
      <c r="E1831" t="str">
        <f>IFERROR(__xludf.DUMMYFUNCTION("""COMPUTED_VALUE"""),"台銀籌備帳戶")</f>
        <v>台銀籌備帳戶</v>
      </c>
      <c r="G1831" t="str">
        <f>IFERROR(__xludf.DUMMYFUNCTION("""COMPUTED_VALUE"""),"哈拉對面")</f>
        <v>哈拉對面</v>
      </c>
      <c r="H1831" s="106" t="str">
        <f t="shared" si="1"/>
        <v>2025-04</v>
      </c>
      <c r="I1831" s="271" t="str">
        <f>IFERROR(__xludf.DUMMYFUNCTION("""COMPUTED_VALUE"""),"貓狗企鵝")</f>
        <v>貓狗企鵝</v>
      </c>
      <c r="J1831" t="str">
        <f>IFERROR(__xludf.DUMMYFUNCTION("IFS(
  AND(REGEXMATCH(E1831, ""台銀籌備帳戶|玉山帳戶""), REGEXMATCH(C1831, ""薪資"")), ""分潤支出"",
  AND(REGEXMATCH(E1831, ""Ben帳戶|Elsa帳戶|Ben代墊|Ariel代墊|中信銀行共用""), REGEXMATCH(F1831, ""Ben帳戶|Elsa帳戶|Ben代墊|Ariel代墊|中信銀行共用"")), ""內部轉帳(忽略)"",
  AND(E1831&lt;&gt;"""", F1831&lt;&gt;"""", N"&amp;"OT(REGEXMATCH(C1831, ""薪資""))), ""內部轉帳(忽略)"",
  REGEXMATCH(C1831, ""薪資""), ""薪資變動(不計入)"",
  REGEXMATCH(C1831, ""押金""), ""押金往來"",
  AND(E1831&lt;&gt;"""", F1831=""""), ""真實支出"",
  AND(E1831="""", F1831&lt;&gt;""""), ""真實收入"",
  TRUE, ""其他""
)"),"真實支出")</f>
        <v>真實支出</v>
      </c>
      <c r="K1831" s="270">
        <f t="shared" si="2"/>
        <v>-13000</v>
      </c>
      <c r="L1831">
        <f t="shared" si="3"/>
        <v>0</v>
      </c>
    </row>
    <row r="1832">
      <c r="A1832" s="107">
        <f>IFERROR(__xludf.DUMMYFUNCTION("""COMPUTED_VALUE"""),45762.0)</f>
        <v>45762</v>
      </c>
      <c r="B1832" t="str">
        <f>IFERROR(__xludf.DUMMYFUNCTION("""COMPUTED_VALUE"""),"費用 - 匯費 對方行:700 後五碼:92128 (行號: 12)")</f>
        <v>費用 - 匯費 對方行:700 後五碼:92128 (行號: 12)</v>
      </c>
      <c r="C1832" t="str">
        <f>IFERROR(__xludf.DUMMYFUNCTION("""COMPUTED_VALUE"""),"費用 - 匯費")</f>
        <v>費用 - 匯費</v>
      </c>
      <c r="D1832" s="270">
        <f>IFERROR(__xludf.DUMMYFUNCTION("""COMPUTED_VALUE"""),-15.0)</f>
        <v>-15</v>
      </c>
      <c r="E1832" t="str">
        <f>IFERROR(__xludf.DUMMYFUNCTION("""COMPUTED_VALUE"""),"台銀籌備帳戶")</f>
        <v>台銀籌備帳戶</v>
      </c>
      <c r="H1832" s="106" t="str">
        <f t="shared" si="1"/>
        <v>2025-04</v>
      </c>
      <c r="I1832" s="271" t="str">
        <f>IFERROR(__xludf.DUMMYFUNCTION("""COMPUTED_VALUE"""),"貓狗企鵝")</f>
        <v>貓狗企鵝</v>
      </c>
      <c r="J1832" t="str">
        <f>IFERROR(__xludf.DUMMYFUNCTION("IFS(
  AND(REGEXMATCH(E1832, ""台銀籌備帳戶|玉山帳戶""), REGEXMATCH(C1832, ""薪資"")), ""分潤支出"",
  AND(REGEXMATCH(E1832, ""Ben帳戶|Elsa帳戶|Ben代墊|Ariel代墊|中信銀行共用""), REGEXMATCH(F1832, ""Ben帳戶|Elsa帳戶|Ben代墊|Ariel代墊|中信銀行共用"")), ""內部轉帳(忽略)"",
  AND(E1832&lt;&gt;"""", F1832&lt;&gt;"""", N"&amp;"OT(REGEXMATCH(C1832, ""薪資""))), ""內部轉帳(忽略)"",
  REGEXMATCH(C1832, ""薪資""), ""薪資變動(不計入)"",
  REGEXMATCH(C1832, ""押金""), ""押金往來"",
  AND(E1832&lt;&gt;"""", F1832=""""), ""真實支出"",
  AND(E1832="""", F1832&lt;&gt;""""), ""真實收入"",
  TRUE, ""其他""
)"),"真實支出")</f>
        <v>真實支出</v>
      </c>
      <c r="K1832" s="270">
        <f t="shared" si="2"/>
        <v>-15</v>
      </c>
      <c r="L1832">
        <f t="shared" si="3"/>
        <v>0</v>
      </c>
    </row>
    <row r="1833">
      <c r="A1833" s="107">
        <f>IFERROR(__xludf.DUMMYFUNCTION("""COMPUTED_VALUE"""),45762.0)</f>
        <v>45762</v>
      </c>
      <c r="B1833" t="str">
        <f>IFERROR(__xludf.DUMMYFUNCTION("""COMPUTED_VALUE"""),"[北醫醫師府] [陳俊良] 大租金")</f>
        <v>[北醫醫師府] [陳俊良] 大租金</v>
      </c>
      <c r="C1833" t="str">
        <f>IFERROR(__xludf.DUMMYFUNCTION("""COMPUTED_VALUE"""),"成本 - 大租金")</f>
        <v>成本 - 大租金</v>
      </c>
      <c r="D1833" s="270">
        <f>IFERROR(__xludf.DUMMYFUNCTION("""COMPUTED_VALUE"""),-12800.0)</f>
        <v>-12800</v>
      </c>
      <c r="E1833" t="str">
        <f>IFERROR(__xludf.DUMMYFUNCTION("""COMPUTED_VALUE"""),"台銀籌備帳戶")</f>
        <v>台銀籌備帳戶</v>
      </c>
      <c r="G1833" t="str">
        <f>IFERROR(__xludf.DUMMYFUNCTION("""COMPUTED_VALUE"""),"北醫醫師府")</f>
        <v>北醫醫師府</v>
      </c>
      <c r="H1833" s="106" t="str">
        <f t="shared" si="1"/>
        <v>2025-04</v>
      </c>
      <c r="I1833" s="271" t="str">
        <f>IFERROR(__xludf.DUMMYFUNCTION("""COMPUTED_VALUE"""),"貓狗企鵝")</f>
        <v>貓狗企鵝</v>
      </c>
      <c r="J1833" t="str">
        <f>IFERROR(__xludf.DUMMYFUNCTION("IFS(
  AND(REGEXMATCH(E1833, ""台銀籌備帳戶|玉山帳戶""), REGEXMATCH(C1833, ""薪資"")), ""分潤支出"",
  AND(REGEXMATCH(E1833, ""Ben帳戶|Elsa帳戶|Ben代墊|Ariel代墊|中信銀行共用""), REGEXMATCH(F1833, ""Ben帳戶|Elsa帳戶|Ben代墊|Ariel代墊|中信銀行共用"")), ""內部轉帳(忽略)"",
  AND(E1833&lt;&gt;"""", F1833&lt;&gt;"""", N"&amp;"OT(REGEXMATCH(C1833, ""薪資""))), ""內部轉帳(忽略)"",
  REGEXMATCH(C1833, ""薪資""), ""薪資變動(不計入)"",
  REGEXMATCH(C1833, ""押金""), ""押金往來"",
  AND(E1833&lt;&gt;"""", F1833=""""), ""真實支出"",
  AND(E1833="""", F1833&lt;&gt;""""), ""真實收入"",
  TRUE, ""其他""
)"),"真實支出")</f>
        <v>真實支出</v>
      </c>
      <c r="K1833" s="270">
        <f t="shared" si="2"/>
        <v>-12800</v>
      </c>
      <c r="L1833">
        <f t="shared" si="3"/>
        <v>0</v>
      </c>
    </row>
    <row r="1834">
      <c r="A1834" s="107">
        <f>IFERROR(__xludf.DUMMYFUNCTION("""COMPUTED_VALUE"""),45762.0)</f>
        <v>45762</v>
      </c>
      <c r="B1834" t="str">
        <f>IFERROR(__xludf.DUMMYFUNCTION("""COMPUTED_VALUE"""),"費用 - 匯費 對方行:013 後五碼:43662 (行號: 13)")</f>
        <v>費用 - 匯費 對方行:013 後五碼:43662 (行號: 13)</v>
      </c>
      <c r="C1834" t="str">
        <f>IFERROR(__xludf.DUMMYFUNCTION("""COMPUTED_VALUE"""),"費用 - 匯費")</f>
        <v>費用 - 匯費</v>
      </c>
      <c r="D1834" s="270">
        <f>IFERROR(__xludf.DUMMYFUNCTION("""COMPUTED_VALUE"""),-15.0)</f>
        <v>-15</v>
      </c>
      <c r="E1834" t="str">
        <f>IFERROR(__xludf.DUMMYFUNCTION("""COMPUTED_VALUE"""),"台銀籌備帳戶")</f>
        <v>台銀籌備帳戶</v>
      </c>
      <c r="H1834" s="106" t="str">
        <f t="shared" si="1"/>
        <v>2025-04</v>
      </c>
      <c r="I1834" s="271" t="str">
        <f>IFERROR(__xludf.DUMMYFUNCTION("""COMPUTED_VALUE"""),"貓狗企鵝")</f>
        <v>貓狗企鵝</v>
      </c>
      <c r="J1834" t="str">
        <f>IFERROR(__xludf.DUMMYFUNCTION("IFS(
  AND(REGEXMATCH(E1834, ""台銀籌備帳戶|玉山帳戶""), REGEXMATCH(C1834, ""薪資"")), ""分潤支出"",
  AND(REGEXMATCH(E1834, ""Ben帳戶|Elsa帳戶|Ben代墊|Ariel代墊|中信銀行共用""), REGEXMATCH(F1834, ""Ben帳戶|Elsa帳戶|Ben代墊|Ariel代墊|中信銀行共用"")), ""內部轉帳(忽略)"",
  AND(E1834&lt;&gt;"""", F1834&lt;&gt;"""", N"&amp;"OT(REGEXMATCH(C1834, ""薪資""))), ""內部轉帳(忽略)"",
  REGEXMATCH(C1834, ""薪資""), ""薪資變動(不計入)"",
  REGEXMATCH(C1834, ""押金""), ""押金往來"",
  AND(E1834&lt;&gt;"""", F1834=""""), ""真實支出"",
  AND(E1834="""", F1834&lt;&gt;""""), ""真實收入"",
  TRUE, ""其他""
)"),"真實支出")</f>
        <v>真實支出</v>
      </c>
      <c r="K1834" s="270">
        <f t="shared" si="2"/>
        <v>-15</v>
      </c>
      <c r="L1834">
        <f t="shared" si="3"/>
        <v>0</v>
      </c>
    </row>
    <row r="1835">
      <c r="A1835" s="107">
        <f>IFERROR(__xludf.DUMMYFUNCTION("""COMPUTED_VALUE"""),45762.0)</f>
        <v>45762</v>
      </c>
      <c r="B1835" t="str">
        <f>IFERROR(__xludf.DUMMYFUNCTION("""COMPUTED_VALUE"""),"[中山北娘家旁] [方彥捷] 大租金")</f>
        <v>[中山北娘家旁] [方彥捷] 大租金</v>
      </c>
      <c r="C1835" t="str">
        <f>IFERROR(__xludf.DUMMYFUNCTION("""COMPUTED_VALUE"""),"成本 - 大租金")</f>
        <v>成本 - 大租金</v>
      </c>
      <c r="D1835" s="270">
        <f>IFERROR(__xludf.DUMMYFUNCTION("""COMPUTED_VALUE"""),-11500.0)</f>
        <v>-11500</v>
      </c>
      <c r="E1835" t="str">
        <f>IFERROR(__xludf.DUMMYFUNCTION("""COMPUTED_VALUE"""),"台銀籌備帳戶")</f>
        <v>台銀籌備帳戶</v>
      </c>
      <c r="G1835" t="str">
        <f>IFERROR(__xludf.DUMMYFUNCTION("""COMPUTED_VALUE"""),"中山北娘家旁")</f>
        <v>中山北娘家旁</v>
      </c>
      <c r="H1835" s="106" t="str">
        <f t="shared" si="1"/>
        <v>2025-04</v>
      </c>
      <c r="I1835" s="271" t="str">
        <f>IFERROR(__xludf.DUMMYFUNCTION("""COMPUTED_VALUE"""),"貓狗企鵝")</f>
        <v>貓狗企鵝</v>
      </c>
      <c r="J1835" t="str">
        <f>IFERROR(__xludf.DUMMYFUNCTION("IFS(
  AND(REGEXMATCH(E1835, ""台銀籌備帳戶|玉山帳戶""), REGEXMATCH(C1835, ""薪資"")), ""分潤支出"",
  AND(REGEXMATCH(E1835, ""Ben帳戶|Elsa帳戶|Ben代墊|Ariel代墊|中信銀行共用""), REGEXMATCH(F1835, ""Ben帳戶|Elsa帳戶|Ben代墊|Ariel代墊|中信銀行共用"")), ""內部轉帳(忽略)"",
  AND(E1835&lt;&gt;"""", F1835&lt;&gt;"""", N"&amp;"OT(REGEXMATCH(C1835, ""薪資""))), ""內部轉帳(忽略)"",
  REGEXMATCH(C1835, ""薪資""), ""薪資變動(不計入)"",
  REGEXMATCH(C1835, ""押金""), ""押金往來"",
  AND(E1835&lt;&gt;"""", F1835=""""), ""真實支出"",
  AND(E1835="""", F1835&lt;&gt;""""), ""真實收入"",
  TRUE, ""其他""
)"),"真實支出")</f>
        <v>真實支出</v>
      </c>
      <c r="K1835" s="270">
        <f t="shared" si="2"/>
        <v>-11500</v>
      </c>
      <c r="L1835">
        <f t="shared" si="3"/>
        <v>0</v>
      </c>
    </row>
    <row r="1836">
      <c r="A1836" s="107">
        <f>IFERROR(__xludf.DUMMYFUNCTION("""COMPUTED_VALUE"""),45763.0)</f>
        <v>45763</v>
      </c>
      <c r="B1836" t="str">
        <f>IFERROR(__xludf.DUMMYFUNCTION("""COMPUTED_VALUE"""),"費用 - 匯費 對方行:812 後五碼:86639 (行號: 14)")</f>
        <v>費用 - 匯費 對方行:812 後五碼:86639 (行號: 14)</v>
      </c>
      <c r="C1836" t="str">
        <f>IFERROR(__xludf.DUMMYFUNCTION("""COMPUTED_VALUE"""),"費用 - 匯費")</f>
        <v>費用 - 匯費</v>
      </c>
      <c r="D1836" s="270">
        <f>IFERROR(__xludf.DUMMYFUNCTION("""COMPUTED_VALUE"""),-15.0)</f>
        <v>-15</v>
      </c>
      <c r="E1836" t="str">
        <f>IFERROR(__xludf.DUMMYFUNCTION("""COMPUTED_VALUE"""),"台銀籌備帳戶")</f>
        <v>台銀籌備帳戶</v>
      </c>
      <c r="H1836" s="106" t="str">
        <f t="shared" si="1"/>
        <v>2025-04</v>
      </c>
      <c r="I1836" s="271" t="str">
        <f>IFERROR(__xludf.DUMMYFUNCTION("""COMPUTED_VALUE"""),"貓狗企鵝")</f>
        <v>貓狗企鵝</v>
      </c>
      <c r="J1836" t="str">
        <f>IFERROR(__xludf.DUMMYFUNCTION("IFS(
  AND(REGEXMATCH(E1836, ""台銀籌備帳戶|玉山帳戶""), REGEXMATCH(C1836, ""薪資"")), ""分潤支出"",
  AND(REGEXMATCH(E1836, ""Ben帳戶|Elsa帳戶|Ben代墊|Ariel代墊|中信銀行共用""), REGEXMATCH(F1836, ""Ben帳戶|Elsa帳戶|Ben代墊|Ariel代墊|中信銀行共用"")), ""內部轉帳(忽略)"",
  AND(E1836&lt;&gt;"""", F1836&lt;&gt;"""", N"&amp;"OT(REGEXMATCH(C1836, ""薪資""))), ""內部轉帳(忽略)"",
  REGEXMATCH(C1836, ""薪資""), ""薪資變動(不計入)"",
  REGEXMATCH(C1836, ""押金""), ""押金往來"",
  AND(E1836&lt;&gt;"""", F1836=""""), ""真實支出"",
  AND(E1836="""", F1836&lt;&gt;""""), ""真實收入"",
  TRUE, ""其他""
)"),"真實支出")</f>
        <v>真實支出</v>
      </c>
      <c r="K1836" s="270">
        <f t="shared" si="2"/>
        <v>-15</v>
      </c>
      <c r="L1836">
        <f t="shared" si="3"/>
        <v>0</v>
      </c>
    </row>
    <row r="1837">
      <c r="A1837" s="107">
        <f>IFERROR(__xludf.DUMMYFUNCTION("""COMPUTED_VALUE"""),45763.0)</f>
        <v>45763</v>
      </c>
      <c r="B1837" t="str">
        <f>IFERROR(__xludf.DUMMYFUNCTION("""COMPUTED_VALUE"""),"金龍瓦斯爐 龍江水龍頭")</f>
        <v>金龍瓦斯爐 龍江水龍頭</v>
      </c>
      <c r="C1837" t="str">
        <f>IFERROR(__xludf.DUMMYFUNCTION("""COMPUTED_VALUE"""),"成本 - 租後修繕")</f>
        <v>成本 - 租後修繕</v>
      </c>
      <c r="D1837" s="270">
        <f>IFERROR(__xludf.DUMMYFUNCTION("""COMPUTED_VALUE"""),-8295.0)</f>
        <v>-8295</v>
      </c>
      <c r="E1837" t="str">
        <f>IFERROR(__xludf.DUMMYFUNCTION("""COMPUTED_VALUE"""),"台銀籌備帳戶")</f>
        <v>台銀籌備帳戶</v>
      </c>
      <c r="G1837" t="str">
        <f>IFERROR(__xludf.DUMMYFUNCTION("""COMPUTED_VALUE"""),"金龍帽子先生")</f>
        <v>金龍帽子先生</v>
      </c>
      <c r="H1837" s="106" t="str">
        <f t="shared" si="1"/>
        <v>2025-04</v>
      </c>
      <c r="I1837" s="271" t="str">
        <f>IFERROR(__xludf.DUMMYFUNCTION("""COMPUTED_VALUE"""),"貓狗企鵝")</f>
        <v>貓狗企鵝</v>
      </c>
      <c r="J1837" t="str">
        <f>IFERROR(__xludf.DUMMYFUNCTION("IFS(
  AND(REGEXMATCH(E1837, ""台銀籌備帳戶|玉山帳戶""), REGEXMATCH(C1837, ""薪資"")), ""分潤支出"",
  AND(REGEXMATCH(E1837, ""Ben帳戶|Elsa帳戶|Ben代墊|Ariel代墊|中信銀行共用""), REGEXMATCH(F1837, ""Ben帳戶|Elsa帳戶|Ben代墊|Ariel代墊|中信銀行共用"")), ""內部轉帳(忽略)"",
  AND(E1837&lt;&gt;"""", F1837&lt;&gt;"""", N"&amp;"OT(REGEXMATCH(C1837, ""薪資""))), ""內部轉帳(忽略)"",
  REGEXMATCH(C1837, ""薪資""), ""薪資變動(不計入)"",
  REGEXMATCH(C1837, ""押金""), ""押金往來"",
  AND(E1837&lt;&gt;"""", F1837=""""), ""真實支出"",
  AND(E1837="""", F1837&lt;&gt;""""), ""真實收入"",
  TRUE, ""其他""
)"),"真實支出")</f>
        <v>真實支出</v>
      </c>
      <c r="K1837" s="270">
        <f t="shared" si="2"/>
        <v>-8295</v>
      </c>
      <c r="L1837">
        <f t="shared" si="3"/>
        <v>0</v>
      </c>
    </row>
    <row r="1838">
      <c r="A1838" s="107">
        <f>IFERROR(__xludf.DUMMYFUNCTION("""COMPUTED_VALUE"""),45770.0)</f>
        <v>45770</v>
      </c>
      <c r="B1838" t="str">
        <f>IFERROR(__xludf.DUMMYFUNCTION("""COMPUTED_VALUE"""),"費用 - 匯費 對方行:012 後五碼:92486 (行號: 17)")</f>
        <v>費用 - 匯費 對方行:012 後五碼:92486 (行號: 17)</v>
      </c>
      <c r="C1838" t="str">
        <f>IFERROR(__xludf.DUMMYFUNCTION("""COMPUTED_VALUE"""),"費用 - 匯費")</f>
        <v>費用 - 匯費</v>
      </c>
      <c r="D1838" s="270">
        <f>IFERROR(__xludf.DUMMYFUNCTION("""COMPUTED_VALUE"""),-15.0)</f>
        <v>-15</v>
      </c>
      <c r="E1838" t="str">
        <f>IFERROR(__xludf.DUMMYFUNCTION("""COMPUTED_VALUE"""),"台銀籌備帳戶")</f>
        <v>台銀籌備帳戶</v>
      </c>
      <c r="H1838" s="106" t="str">
        <f t="shared" si="1"/>
        <v>2025-04</v>
      </c>
      <c r="I1838" s="271" t="str">
        <f>IFERROR(__xludf.DUMMYFUNCTION("""COMPUTED_VALUE"""),"貓狗企鵝")</f>
        <v>貓狗企鵝</v>
      </c>
      <c r="J1838" t="str">
        <f>IFERROR(__xludf.DUMMYFUNCTION("IFS(
  AND(REGEXMATCH(E1838, ""台銀籌備帳戶|玉山帳戶""), REGEXMATCH(C1838, ""薪資"")), ""分潤支出"",
  AND(REGEXMATCH(E1838, ""Ben帳戶|Elsa帳戶|Ben代墊|Ariel代墊|中信銀行共用""), REGEXMATCH(F1838, ""Ben帳戶|Elsa帳戶|Ben代墊|Ariel代墊|中信銀行共用"")), ""內部轉帳(忽略)"",
  AND(E1838&lt;&gt;"""", F1838&lt;&gt;"""", N"&amp;"OT(REGEXMATCH(C1838, ""薪資""))), ""內部轉帳(忽略)"",
  REGEXMATCH(C1838, ""薪資""), ""薪資變動(不計入)"",
  REGEXMATCH(C1838, ""押金""), ""押金往來"",
  AND(E1838&lt;&gt;"""", F1838=""""), ""真實支出"",
  AND(E1838="""", F1838&lt;&gt;""""), ""真實收入"",
  TRUE, ""其他""
)"),"真實支出")</f>
        <v>真實支出</v>
      </c>
      <c r="K1838" s="270">
        <f t="shared" si="2"/>
        <v>-15</v>
      </c>
      <c r="L1838">
        <f t="shared" si="3"/>
        <v>0</v>
      </c>
    </row>
    <row r="1839">
      <c r="A1839" s="107">
        <f>IFERROR(__xludf.DUMMYFUNCTION("""COMPUTED_VALUE"""),45770.0)</f>
        <v>45770</v>
      </c>
      <c r="B1839" t="str">
        <f>IFERROR(__xludf.DUMMYFUNCTION("""COMPUTED_VALUE"""),"阿虎設計費 ' 【未分類支出】")</f>
        <v>阿虎設計費 ' 【未分類支出】</v>
      </c>
      <c r="C1839" t="str">
        <f>IFERROR(__xludf.DUMMYFUNCTION("""COMPUTED_VALUE"""),"費用 - Salary 薪資")</f>
        <v>費用 - Salary 薪資</v>
      </c>
      <c r="D1839" s="270">
        <f>IFERROR(__xludf.DUMMYFUNCTION("""COMPUTED_VALUE"""),-180000.0)</f>
        <v>-180000</v>
      </c>
      <c r="E1839" t="str">
        <f>IFERROR(__xludf.DUMMYFUNCTION("""COMPUTED_VALUE"""),"台銀籌備帳戶")</f>
        <v>台銀籌備帳戶</v>
      </c>
      <c r="F1839" t="str">
        <f>IFERROR(__xludf.DUMMYFUNCTION("""COMPUTED_VALUE"""),"Elsa帳戶")</f>
        <v>Elsa帳戶</v>
      </c>
      <c r="H1839" s="106" t="str">
        <f t="shared" si="1"/>
        <v>2025-04</v>
      </c>
      <c r="I1839" s="271" t="str">
        <f>IFERROR(__xludf.DUMMYFUNCTION("""COMPUTED_VALUE"""),"貓狗企鵝")</f>
        <v>貓狗企鵝</v>
      </c>
      <c r="J1839" t="str">
        <f>IFERROR(__xludf.DUMMYFUNCTION("IFS(
  AND(REGEXMATCH(E1839, ""台銀籌備帳戶|玉山帳戶""), REGEXMATCH(C1839, ""薪資"")), ""分潤支出"",
  AND(REGEXMATCH(E1839, ""Ben帳戶|Elsa帳戶|Ben代墊|Ariel代墊|中信銀行共用""), REGEXMATCH(F1839, ""Ben帳戶|Elsa帳戶|Ben代墊|Ariel代墊|中信銀行共用"")), ""內部轉帳(忽略)"",
  AND(E1839&lt;&gt;"""", F1839&lt;&gt;"""", N"&amp;"OT(REGEXMATCH(C1839, ""薪資""))), ""內部轉帳(忽略)"",
  REGEXMATCH(C1839, ""薪資""), ""薪資變動(不計入)"",
  REGEXMATCH(C1839, ""押金""), ""押金往來"",
  AND(E1839&lt;&gt;"""", F1839=""""), ""真實支出"",
  AND(E1839="""", F1839&lt;&gt;""""), ""真實收入"",
  TRUE, ""其他""
)"),"分潤支出")</f>
        <v>分潤支出</v>
      </c>
      <c r="K1839">
        <f t="shared" si="2"/>
        <v>0</v>
      </c>
      <c r="L1839">
        <f t="shared" si="3"/>
        <v>180000</v>
      </c>
    </row>
    <row r="1840">
      <c r="A1840" s="107">
        <f>IFERROR(__xludf.DUMMYFUNCTION("""COMPUTED_VALUE"""),45770.0)</f>
        <v>45770</v>
      </c>
      <c r="B1840" t="str">
        <f>IFERROR(__xludf.DUMMYFUNCTION("""COMPUTED_VALUE"""),"費用 - 匯費 對方行:012 後五碼:54627 (行號: 18)")</f>
        <v>費用 - 匯費 對方行:012 後五碼:54627 (行號: 18)</v>
      </c>
      <c r="C1840" t="str">
        <f>IFERROR(__xludf.DUMMYFUNCTION("""COMPUTED_VALUE"""),"費用 - 匯費")</f>
        <v>費用 - 匯費</v>
      </c>
      <c r="D1840" s="270">
        <f>IFERROR(__xludf.DUMMYFUNCTION("""COMPUTED_VALUE"""),-15.0)</f>
        <v>-15</v>
      </c>
      <c r="E1840" t="str">
        <f>IFERROR(__xludf.DUMMYFUNCTION("""COMPUTED_VALUE"""),"台銀籌備帳戶")</f>
        <v>台銀籌備帳戶</v>
      </c>
      <c r="H1840" s="106" t="str">
        <f t="shared" si="1"/>
        <v>2025-04</v>
      </c>
      <c r="I1840" s="271" t="str">
        <f>IFERROR(__xludf.DUMMYFUNCTION("""COMPUTED_VALUE"""),"貓狗企鵝")</f>
        <v>貓狗企鵝</v>
      </c>
      <c r="J1840" t="str">
        <f>IFERROR(__xludf.DUMMYFUNCTION("IFS(
  AND(REGEXMATCH(E1840, ""台銀籌備帳戶|玉山帳戶""), REGEXMATCH(C1840, ""薪資"")), ""分潤支出"",
  AND(REGEXMATCH(E1840, ""Ben帳戶|Elsa帳戶|Ben代墊|Ariel代墊|中信銀行共用""), REGEXMATCH(F1840, ""Ben帳戶|Elsa帳戶|Ben代墊|Ariel代墊|中信銀行共用"")), ""內部轉帳(忽略)"",
  AND(E1840&lt;&gt;"""", F1840&lt;&gt;"""", N"&amp;"OT(REGEXMATCH(C1840, ""薪資""))), ""內部轉帳(忽略)"",
  REGEXMATCH(C1840, ""薪資""), ""薪資變動(不計入)"",
  REGEXMATCH(C1840, ""押金""), ""押金往來"",
  AND(E1840&lt;&gt;"""", F1840=""""), ""真實支出"",
  AND(E1840="""", F1840&lt;&gt;""""), ""真實收入"",
  TRUE, ""其他""
)"),"真實支出")</f>
        <v>真實支出</v>
      </c>
      <c r="K1840" s="270">
        <f t="shared" si="2"/>
        <v>-15</v>
      </c>
      <c r="L1840">
        <f t="shared" si="3"/>
        <v>0</v>
      </c>
    </row>
    <row r="1841">
      <c r="A1841" s="107">
        <f>IFERROR(__xludf.DUMMYFUNCTION("""COMPUTED_VALUE"""),45770.0)</f>
        <v>45770</v>
      </c>
      <c r="B1841" t="str">
        <f>IFERROR(__xludf.DUMMYFUNCTION("""COMPUTED_VALUE"""),"Ben富邦代墊款 ' 【未分類支出】")</f>
        <v>Ben富邦代墊款 ' 【未分類支出】</v>
      </c>
      <c r="C1841" t="str">
        <f>IFERROR(__xludf.DUMMYFUNCTION("""COMPUTED_VALUE"""),"費用 - Salary 薪資")</f>
        <v>費用 - Salary 薪資</v>
      </c>
      <c r="D1841" s="270">
        <f>IFERROR(__xludf.DUMMYFUNCTION("""COMPUTED_VALUE"""),-180000.0)</f>
        <v>-180000</v>
      </c>
      <c r="E1841" t="str">
        <f>IFERROR(__xludf.DUMMYFUNCTION("""COMPUTED_VALUE"""),"台銀籌備帳戶")</f>
        <v>台銀籌備帳戶</v>
      </c>
      <c r="F1841" t="str">
        <f>IFERROR(__xludf.DUMMYFUNCTION("""COMPUTED_VALUE"""),"Ben帳戶")</f>
        <v>Ben帳戶</v>
      </c>
      <c r="H1841" s="106" t="str">
        <f t="shared" si="1"/>
        <v>2025-04</v>
      </c>
      <c r="I1841" s="271" t="str">
        <f>IFERROR(__xludf.DUMMYFUNCTION("""COMPUTED_VALUE"""),"貓狗企鵝")</f>
        <v>貓狗企鵝</v>
      </c>
      <c r="J1841" t="str">
        <f>IFERROR(__xludf.DUMMYFUNCTION("IFS(
  AND(REGEXMATCH(E1841, ""台銀籌備帳戶|玉山帳戶""), REGEXMATCH(C1841, ""薪資"")), ""分潤支出"",
  AND(REGEXMATCH(E1841, ""Ben帳戶|Elsa帳戶|Ben代墊|Ariel代墊|中信銀行共用""), REGEXMATCH(F1841, ""Ben帳戶|Elsa帳戶|Ben代墊|Ariel代墊|中信銀行共用"")), ""內部轉帳(忽略)"",
  AND(E1841&lt;&gt;"""", F1841&lt;&gt;"""", N"&amp;"OT(REGEXMATCH(C1841, ""薪資""))), ""內部轉帳(忽略)"",
  REGEXMATCH(C1841, ""薪資""), ""薪資變動(不計入)"",
  REGEXMATCH(C1841, ""押金""), ""押金往來"",
  AND(E1841&lt;&gt;"""", F1841=""""), ""真實支出"",
  AND(E1841="""", F1841&lt;&gt;""""), ""真實收入"",
  TRUE, ""其他""
)"),"分潤支出")</f>
        <v>分潤支出</v>
      </c>
      <c r="K1841">
        <f t="shared" si="2"/>
        <v>0</v>
      </c>
      <c r="L1841">
        <f t="shared" si="3"/>
        <v>180000</v>
      </c>
    </row>
    <row r="1842">
      <c r="A1842" s="107">
        <f>IFERROR(__xludf.DUMMYFUNCTION("""COMPUTED_VALUE"""),45771.0)</f>
        <v>45771</v>
      </c>
      <c r="B1842" t="str">
        <f>IFERROR(__xludf.DUMMYFUNCTION("""COMPUTED_VALUE"""),"費用 - 匯費 對方行:812 後五碼:16085 (行號: 20)")</f>
        <v>費用 - 匯費 對方行:812 後五碼:16085 (行號: 20)</v>
      </c>
      <c r="C1842" t="str">
        <f>IFERROR(__xludf.DUMMYFUNCTION("""COMPUTED_VALUE"""),"費用 - 匯費")</f>
        <v>費用 - 匯費</v>
      </c>
      <c r="D1842" s="270">
        <f>IFERROR(__xludf.DUMMYFUNCTION("""COMPUTED_VALUE"""),-15.0)</f>
        <v>-15</v>
      </c>
      <c r="E1842" t="str">
        <f>IFERROR(__xludf.DUMMYFUNCTION("""COMPUTED_VALUE"""),"台銀籌備帳戶")</f>
        <v>台銀籌備帳戶</v>
      </c>
      <c r="H1842" s="106" t="str">
        <f t="shared" si="1"/>
        <v>2025-04</v>
      </c>
      <c r="I1842" s="271" t="str">
        <f>IFERROR(__xludf.DUMMYFUNCTION("""COMPUTED_VALUE"""),"貓狗企鵝")</f>
        <v>貓狗企鵝</v>
      </c>
      <c r="J1842" t="str">
        <f>IFERROR(__xludf.DUMMYFUNCTION("IFS(
  AND(REGEXMATCH(E1842, ""台銀籌備帳戶|玉山帳戶""), REGEXMATCH(C1842, ""薪資"")), ""分潤支出"",
  AND(REGEXMATCH(E1842, ""Ben帳戶|Elsa帳戶|Ben代墊|Ariel代墊|中信銀行共用""), REGEXMATCH(F1842, ""Ben帳戶|Elsa帳戶|Ben代墊|Ariel代墊|中信銀行共用"")), ""內部轉帳(忽略)"",
  AND(E1842&lt;&gt;"""", F1842&lt;&gt;"""", N"&amp;"OT(REGEXMATCH(C1842, ""薪資""))), ""內部轉帳(忽略)"",
  REGEXMATCH(C1842, ""薪資""), ""薪資變動(不計入)"",
  REGEXMATCH(C1842, ""押金""), ""押金往來"",
  AND(E1842&lt;&gt;"""", F1842=""""), ""真實支出"",
  AND(E1842="""", F1842&lt;&gt;""""), ""真實收入"",
  TRUE, ""其他""
)"),"真實支出")</f>
        <v>真實支出</v>
      </c>
      <c r="K1842" s="270">
        <f t="shared" si="2"/>
        <v>-15</v>
      </c>
      <c r="L1842">
        <f t="shared" si="3"/>
        <v>0</v>
      </c>
    </row>
    <row r="1843">
      <c r="A1843" s="107">
        <f>IFERROR(__xludf.DUMMYFUNCTION("""COMPUTED_VALUE"""),45771.0)</f>
        <v>45771</v>
      </c>
      <c r="B1843" t="str">
        <f>IFERROR(__xludf.DUMMYFUNCTION("""COMPUTED_VALUE"""),"娘家D退押 ' 【未分類支出】")</f>
        <v>娘家D退押 ' 【未分類支出】</v>
      </c>
      <c r="C1843" t="str">
        <f>IFERROR(__xludf.DUMMYFUNCTION("""COMPUTED_VALUE"""),"收入 - 押金")</f>
        <v>收入 - 押金</v>
      </c>
      <c r="D1843" s="270">
        <f>IFERROR(__xludf.DUMMYFUNCTION("""COMPUTED_VALUE"""),-6823.0)</f>
        <v>-6823</v>
      </c>
      <c r="E1843" t="str">
        <f>IFERROR(__xludf.DUMMYFUNCTION("""COMPUTED_VALUE"""),"台銀籌備帳戶")</f>
        <v>台銀籌備帳戶</v>
      </c>
      <c r="G1843" t="str">
        <f>IFERROR(__xludf.DUMMYFUNCTION("""COMPUTED_VALUE"""),"中山北娘家旁")</f>
        <v>中山北娘家旁</v>
      </c>
      <c r="H1843" s="106" t="str">
        <f t="shared" si="1"/>
        <v>2025-04</v>
      </c>
      <c r="I1843" s="271" t="str">
        <f>IFERROR(__xludf.DUMMYFUNCTION("""COMPUTED_VALUE"""),"貓狗企鵝")</f>
        <v>貓狗企鵝</v>
      </c>
      <c r="J1843" t="str">
        <f>IFERROR(__xludf.DUMMYFUNCTION("IFS(
  AND(REGEXMATCH(E1843, ""台銀籌備帳戶|玉山帳戶""), REGEXMATCH(C1843, ""薪資"")), ""分潤支出"",
  AND(REGEXMATCH(E1843, ""Ben帳戶|Elsa帳戶|Ben代墊|Ariel代墊|中信銀行共用""), REGEXMATCH(F1843, ""Ben帳戶|Elsa帳戶|Ben代墊|Ariel代墊|中信銀行共用"")), ""內部轉帳(忽略)"",
  AND(E1843&lt;&gt;"""", F1843&lt;&gt;"""", N"&amp;"OT(REGEXMATCH(C1843, ""薪資""))), ""內部轉帳(忽略)"",
  REGEXMATCH(C1843, ""薪資""), ""薪資變動(不計入)"",
  REGEXMATCH(C1843, ""押金""), ""押金往來"",
  AND(E1843&lt;&gt;"""", F1843=""""), ""真實支出"",
  AND(E1843="""", F1843&lt;&gt;""""), ""真實收入"",
  TRUE, ""其他""
)"),"押金往來")</f>
        <v>押金往來</v>
      </c>
      <c r="K1843">
        <f t="shared" si="2"/>
        <v>0</v>
      </c>
      <c r="L1843">
        <f t="shared" si="3"/>
        <v>0</v>
      </c>
    </row>
    <row r="1844">
      <c r="A1844" s="107">
        <f>IFERROR(__xludf.DUMMYFUNCTION("""COMPUTED_VALUE"""),45774.0)</f>
        <v>45774</v>
      </c>
      <c r="B1844" t="str">
        <f>IFERROR(__xludf.DUMMYFUNCTION("""COMPUTED_VALUE"""),"費用 - 匯費 對方行:823 後五碼:70846 (行號: 23)")</f>
        <v>費用 - 匯費 對方行:823 後五碼:70846 (行號: 23)</v>
      </c>
      <c r="C1844" t="str">
        <f>IFERROR(__xludf.DUMMYFUNCTION("""COMPUTED_VALUE"""),"費用 - 匯費")</f>
        <v>費用 - 匯費</v>
      </c>
      <c r="D1844" s="270">
        <f>IFERROR(__xludf.DUMMYFUNCTION("""COMPUTED_VALUE"""),-15.0)</f>
        <v>-15</v>
      </c>
      <c r="E1844" t="str">
        <f>IFERROR(__xludf.DUMMYFUNCTION("""COMPUTED_VALUE"""),"台銀籌備帳戶")</f>
        <v>台銀籌備帳戶</v>
      </c>
      <c r="H1844" s="106" t="str">
        <f t="shared" si="1"/>
        <v>2025-04</v>
      </c>
      <c r="I1844" s="271" t="str">
        <f>IFERROR(__xludf.DUMMYFUNCTION("""COMPUTED_VALUE"""),"貓狗企鵝")</f>
        <v>貓狗企鵝</v>
      </c>
      <c r="J1844" t="str">
        <f>IFERROR(__xludf.DUMMYFUNCTION("IFS(
  AND(REGEXMATCH(E1844, ""台銀籌備帳戶|玉山帳戶""), REGEXMATCH(C1844, ""薪資"")), ""分潤支出"",
  AND(REGEXMATCH(E1844, ""Ben帳戶|Elsa帳戶|Ben代墊|Ariel代墊|中信銀行共用""), REGEXMATCH(F1844, ""Ben帳戶|Elsa帳戶|Ben代墊|Ariel代墊|中信銀行共用"")), ""內部轉帳(忽略)"",
  AND(E1844&lt;&gt;"""", F1844&lt;&gt;"""", N"&amp;"OT(REGEXMATCH(C1844, ""薪資""))), ""內部轉帳(忽略)"",
  REGEXMATCH(C1844, ""薪資""), ""薪資變動(不計入)"",
  REGEXMATCH(C1844, ""押金""), ""押金往來"",
  AND(E1844&lt;&gt;"""", F1844=""""), ""真實支出"",
  AND(E1844="""", F1844&lt;&gt;""""), ""真實收入"",
  TRUE, ""其他""
)"),"真實支出")</f>
        <v>真實支出</v>
      </c>
      <c r="K1844" s="270">
        <f t="shared" si="2"/>
        <v>-15</v>
      </c>
      <c r="L1844">
        <f t="shared" si="3"/>
        <v>0</v>
      </c>
    </row>
    <row r="1845">
      <c r="A1845" s="107">
        <f>IFERROR(__xludf.DUMMYFUNCTION("""COMPUTED_VALUE"""),45774.0)</f>
        <v>45774</v>
      </c>
      <c r="B1845" t="str">
        <f>IFERROR(__xludf.DUMMYFUNCTION("""COMPUTED_VALUE""")," ' 【未分類支出】")</f>
        <v> ' 【未分類支出】</v>
      </c>
      <c r="D1845" s="270">
        <f>IFERROR(__xludf.DUMMYFUNCTION("""COMPUTED_VALUE"""),-2666.0)</f>
        <v>-2666</v>
      </c>
      <c r="E1845" t="str">
        <f>IFERROR(__xludf.DUMMYFUNCTION("""COMPUTED_VALUE"""),"台銀籌備帳戶")</f>
        <v>台銀籌備帳戶</v>
      </c>
      <c r="H1845" s="106" t="str">
        <f t="shared" si="1"/>
        <v>2025-04</v>
      </c>
      <c r="I1845" s="271" t="str">
        <f>IFERROR(__xludf.DUMMYFUNCTION("""COMPUTED_VALUE"""),"貓狗企鵝")</f>
        <v>貓狗企鵝</v>
      </c>
      <c r="J1845" t="str">
        <f>IFERROR(__xludf.DUMMYFUNCTION("IFS(
  AND(REGEXMATCH(E1845, ""台銀籌備帳戶|玉山帳戶""), REGEXMATCH(C1845, ""薪資"")), ""分潤支出"",
  AND(REGEXMATCH(E1845, ""Ben帳戶|Elsa帳戶|Ben代墊|Ariel代墊|中信銀行共用""), REGEXMATCH(F1845, ""Ben帳戶|Elsa帳戶|Ben代墊|Ariel代墊|中信銀行共用"")), ""內部轉帳(忽略)"",
  AND(E1845&lt;&gt;"""", F1845&lt;&gt;"""", N"&amp;"OT(REGEXMATCH(C1845, ""薪資""))), ""內部轉帳(忽略)"",
  REGEXMATCH(C1845, ""薪資""), ""薪資變動(不計入)"",
  REGEXMATCH(C1845, ""押金""), ""押金往來"",
  AND(E1845&lt;&gt;"""", F1845=""""), ""真實支出"",
  AND(E1845="""", F1845&lt;&gt;""""), ""真實收入"",
  TRUE, ""其他""
)"),"真實支出")</f>
        <v>真實支出</v>
      </c>
      <c r="K1845" s="270">
        <f t="shared" si="2"/>
        <v>-2666</v>
      </c>
      <c r="L1845">
        <f t="shared" si="3"/>
        <v>0</v>
      </c>
    </row>
    <row r="1846">
      <c r="A1846" s="107">
        <f>IFERROR(__xludf.DUMMYFUNCTION("""COMPUTED_VALUE"""),45778.0)</f>
        <v>45778</v>
      </c>
      <c r="B1846" t="str">
        <f>IFERROR(__xludf.DUMMYFUNCTION("""COMPUTED_VALUE"""),"[南港站挑高宅] [林淑華] 大租金")</f>
        <v>[南港站挑高宅] [林淑華] 大租金</v>
      </c>
      <c r="C1846" t="str">
        <f>IFERROR(__xludf.DUMMYFUNCTION("""COMPUTED_VALUE"""),"成本 - 大租金")</f>
        <v>成本 - 大租金</v>
      </c>
      <c r="D1846" s="270">
        <f>IFERROR(__xludf.DUMMYFUNCTION("""COMPUTED_VALUE"""),-18250.0)</f>
        <v>-18250</v>
      </c>
      <c r="E1846" t="str">
        <f>IFERROR(__xludf.DUMMYFUNCTION("""COMPUTED_VALUE"""),"台銀籌備帳戶")</f>
        <v>台銀籌備帳戶</v>
      </c>
      <c r="G1846" t="str">
        <f>IFERROR(__xludf.DUMMYFUNCTION("""COMPUTED_VALUE"""),"南港站挑高宅")</f>
        <v>南港站挑高宅</v>
      </c>
      <c r="H1846" s="106" t="str">
        <f t="shared" si="1"/>
        <v>2025-05</v>
      </c>
      <c r="I1846" s="271" t="str">
        <f>IFERROR(__xludf.DUMMYFUNCTION("""COMPUTED_VALUE"""),"貓狗企鵝")</f>
        <v>貓狗企鵝</v>
      </c>
      <c r="J1846" t="str">
        <f>IFERROR(__xludf.DUMMYFUNCTION("IFS(
  AND(REGEXMATCH(E1846, ""台銀籌備帳戶|玉山帳戶""), REGEXMATCH(C1846, ""薪資"")), ""分潤支出"",
  AND(REGEXMATCH(E1846, ""Ben帳戶|Elsa帳戶|Ben代墊|Ariel代墊|中信銀行共用""), REGEXMATCH(F1846, ""Ben帳戶|Elsa帳戶|Ben代墊|Ariel代墊|中信銀行共用"")), ""內部轉帳(忽略)"",
  AND(E1846&lt;&gt;"""", F1846&lt;&gt;"""", N"&amp;"OT(REGEXMATCH(C1846, ""薪資""))), ""內部轉帳(忽略)"",
  REGEXMATCH(C1846, ""薪資""), ""薪資變動(不計入)"",
  REGEXMATCH(C1846, ""押金""), ""押金往來"",
  AND(E1846&lt;&gt;"""", F1846=""""), ""真實支出"",
  AND(E1846="""", F1846&lt;&gt;""""), ""真實收入"",
  TRUE, ""其他""
)"),"真實支出")</f>
        <v>真實支出</v>
      </c>
      <c r="K1846" s="270">
        <f t="shared" si="2"/>
        <v>-18250</v>
      </c>
      <c r="L1846">
        <f t="shared" si="3"/>
        <v>0</v>
      </c>
    </row>
    <row r="1847">
      <c r="A1847" s="107">
        <f>IFERROR(__xludf.DUMMYFUNCTION("""COMPUTED_VALUE"""),45778.0)</f>
        <v>45778</v>
      </c>
      <c r="B1847" t="str">
        <f>IFERROR(__xludf.DUMMYFUNCTION("""COMPUTED_VALUE"""),"費用 - 匯費 對方行:012 後五碼:84509 (行號: 41)")</f>
        <v>費用 - 匯費 對方行:012 後五碼:84509 (行號: 41)</v>
      </c>
      <c r="C1847" t="str">
        <f>IFERROR(__xludf.DUMMYFUNCTION("""COMPUTED_VALUE"""),"費用 - 匯費")</f>
        <v>費用 - 匯費</v>
      </c>
      <c r="D1847" s="270">
        <f>IFERROR(__xludf.DUMMYFUNCTION("""COMPUTED_VALUE"""),-15.0)</f>
        <v>-15</v>
      </c>
      <c r="E1847" t="str">
        <f>IFERROR(__xludf.DUMMYFUNCTION("""COMPUTED_VALUE"""),"台銀籌備帳戶")</f>
        <v>台銀籌備帳戶</v>
      </c>
      <c r="H1847" s="106" t="str">
        <f t="shared" si="1"/>
        <v>2025-05</v>
      </c>
      <c r="I1847" s="271" t="str">
        <f>IFERROR(__xludf.DUMMYFUNCTION("""COMPUTED_VALUE"""),"貓狗企鵝")</f>
        <v>貓狗企鵝</v>
      </c>
      <c r="J1847" t="str">
        <f>IFERROR(__xludf.DUMMYFUNCTION("IFS(
  AND(REGEXMATCH(E1847, ""台銀籌備帳戶|玉山帳戶""), REGEXMATCH(C1847, ""薪資"")), ""分潤支出"",
  AND(REGEXMATCH(E1847, ""Ben帳戶|Elsa帳戶|Ben代墊|Ariel代墊|中信銀行共用""), REGEXMATCH(F1847, ""Ben帳戶|Elsa帳戶|Ben代墊|Ariel代墊|中信銀行共用"")), ""內部轉帳(忽略)"",
  AND(E1847&lt;&gt;"""", F1847&lt;&gt;"""", N"&amp;"OT(REGEXMATCH(C1847, ""薪資""))), ""內部轉帳(忽略)"",
  REGEXMATCH(C1847, ""薪資""), ""薪資變動(不計入)"",
  REGEXMATCH(C1847, ""押金""), ""押金往來"",
  AND(E1847&lt;&gt;"""", F1847=""""), ""真實支出"",
  AND(E1847="""", F1847&lt;&gt;""""), ""真實收入"",
  TRUE, ""其他""
)"),"真實支出")</f>
        <v>真實支出</v>
      </c>
      <c r="K1847" s="270">
        <f t="shared" si="2"/>
        <v>-15</v>
      </c>
      <c r="L1847">
        <f t="shared" si="3"/>
        <v>0</v>
      </c>
    </row>
    <row r="1848">
      <c r="A1848" s="107">
        <f>IFERROR(__xludf.DUMMYFUNCTION("""COMPUTED_VALUE"""),45778.0)</f>
        <v>45778</v>
      </c>
      <c r="B1848" t="str">
        <f>IFERROR(__xludf.DUMMYFUNCTION("""COMPUTED_VALUE"""),"[永春四號] [郭宗仁] 大租金")</f>
        <v>[永春四號] [郭宗仁] 大租金</v>
      </c>
      <c r="C1848" t="str">
        <f>IFERROR(__xludf.DUMMYFUNCTION("""COMPUTED_VALUE"""),"成本 - 大租金")</f>
        <v>成本 - 大租金</v>
      </c>
      <c r="D1848" s="270">
        <f>IFERROR(__xludf.DUMMYFUNCTION("""COMPUTED_VALUE"""),-17000.0)</f>
        <v>-17000</v>
      </c>
      <c r="E1848" t="str">
        <f>IFERROR(__xludf.DUMMYFUNCTION("""COMPUTED_VALUE"""),"台銀籌備帳戶")</f>
        <v>台銀籌備帳戶</v>
      </c>
      <c r="G1848" t="str">
        <f>IFERROR(__xludf.DUMMYFUNCTION("""COMPUTED_VALUE"""),"永春四號")</f>
        <v>永春四號</v>
      </c>
      <c r="H1848" s="106" t="str">
        <f t="shared" si="1"/>
        <v>2025-05</v>
      </c>
      <c r="I1848" s="271" t="str">
        <f>IFERROR(__xludf.DUMMYFUNCTION("""COMPUTED_VALUE"""),"貓狗企鵝")</f>
        <v>貓狗企鵝</v>
      </c>
      <c r="J1848" t="str">
        <f>IFERROR(__xludf.DUMMYFUNCTION("IFS(
  AND(REGEXMATCH(E1848, ""台銀籌備帳戶|玉山帳戶""), REGEXMATCH(C1848, ""薪資"")), ""分潤支出"",
  AND(REGEXMATCH(E1848, ""Ben帳戶|Elsa帳戶|Ben代墊|Ariel代墊|中信銀行共用""), REGEXMATCH(F1848, ""Ben帳戶|Elsa帳戶|Ben代墊|Ariel代墊|中信銀行共用"")), ""內部轉帳(忽略)"",
  AND(E1848&lt;&gt;"""", F1848&lt;&gt;"""", N"&amp;"OT(REGEXMATCH(C1848, ""薪資""))), ""內部轉帳(忽略)"",
  REGEXMATCH(C1848, ""薪資""), ""薪資變動(不計入)"",
  REGEXMATCH(C1848, ""押金""), ""押金往來"",
  AND(E1848&lt;&gt;"""", F1848=""""), ""真實支出"",
  AND(E1848="""", F1848&lt;&gt;""""), ""真實收入"",
  TRUE, ""其他""
)"),"真實支出")</f>
        <v>真實支出</v>
      </c>
      <c r="K1848" s="270">
        <f t="shared" si="2"/>
        <v>-17000</v>
      </c>
      <c r="L1848">
        <f t="shared" si="3"/>
        <v>0</v>
      </c>
    </row>
    <row r="1849">
      <c r="A1849" s="107">
        <f>IFERROR(__xludf.DUMMYFUNCTION("""COMPUTED_VALUE"""),45778.0)</f>
        <v>45778</v>
      </c>
      <c r="B1849" t="str">
        <f>IFERROR(__xludf.DUMMYFUNCTION("""COMPUTED_VALUE"""),"費用 - 匯費 對方行:012 後五碼:46295 (行號: 42)")</f>
        <v>費用 - 匯費 對方行:012 後五碼:46295 (行號: 42)</v>
      </c>
      <c r="C1849" t="str">
        <f>IFERROR(__xludf.DUMMYFUNCTION("""COMPUTED_VALUE"""),"費用 - 匯費")</f>
        <v>費用 - 匯費</v>
      </c>
      <c r="D1849" s="270">
        <f>IFERROR(__xludf.DUMMYFUNCTION("""COMPUTED_VALUE"""),-15.0)</f>
        <v>-15</v>
      </c>
      <c r="E1849" t="str">
        <f>IFERROR(__xludf.DUMMYFUNCTION("""COMPUTED_VALUE"""),"台銀籌備帳戶")</f>
        <v>台銀籌備帳戶</v>
      </c>
      <c r="H1849" s="106" t="str">
        <f t="shared" si="1"/>
        <v>2025-05</v>
      </c>
      <c r="I1849" s="271" t="str">
        <f>IFERROR(__xludf.DUMMYFUNCTION("""COMPUTED_VALUE"""),"貓狗企鵝")</f>
        <v>貓狗企鵝</v>
      </c>
      <c r="J1849" t="str">
        <f>IFERROR(__xludf.DUMMYFUNCTION("IFS(
  AND(REGEXMATCH(E1849, ""台銀籌備帳戶|玉山帳戶""), REGEXMATCH(C1849, ""薪資"")), ""分潤支出"",
  AND(REGEXMATCH(E1849, ""Ben帳戶|Elsa帳戶|Ben代墊|Ariel代墊|中信銀行共用""), REGEXMATCH(F1849, ""Ben帳戶|Elsa帳戶|Ben代墊|Ariel代墊|中信銀行共用"")), ""內部轉帳(忽略)"",
  AND(E1849&lt;&gt;"""", F1849&lt;&gt;"""", N"&amp;"OT(REGEXMATCH(C1849, ""薪資""))), ""內部轉帳(忽略)"",
  REGEXMATCH(C1849, ""薪資""), ""薪資變動(不計入)"",
  REGEXMATCH(C1849, ""押金""), ""押金往來"",
  AND(E1849&lt;&gt;"""", F1849=""""), ""真實支出"",
  AND(E1849="""", F1849&lt;&gt;""""), ""真實收入"",
  TRUE, ""其他""
)"),"真實支出")</f>
        <v>真實支出</v>
      </c>
      <c r="K1849" s="270">
        <f t="shared" si="2"/>
        <v>-15</v>
      </c>
      <c r="L1849">
        <f t="shared" si="3"/>
        <v>0</v>
      </c>
    </row>
    <row r="1850">
      <c r="A1850" s="107">
        <f>IFERROR(__xludf.DUMMYFUNCTION("""COMPUTED_VALUE"""),45778.0)</f>
        <v>45778</v>
      </c>
      <c r="B1850" t="str">
        <f>IFERROR(__xludf.DUMMYFUNCTION("""COMPUTED_VALUE"""),"[永春四號] [郭宗仁] 大租金")</f>
        <v>[永春四號] [郭宗仁] 大租金</v>
      </c>
      <c r="C1850" t="str">
        <f>IFERROR(__xludf.DUMMYFUNCTION("""COMPUTED_VALUE"""),"成本 - 大租金")</f>
        <v>成本 - 大租金</v>
      </c>
      <c r="D1850" s="270">
        <f>IFERROR(__xludf.DUMMYFUNCTION("""COMPUTED_VALUE"""),-17000.0)</f>
        <v>-17000</v>
      </c>
      <c r="E1850" t="str">
        <f>IFERROR(__xludf.DUMMYFUNCTION("""COMPUTED_VALUE"""),"台銀籌備帳戶")</f>
        <v>台銀籌備帳戶</v>
      </c>
      <c r="G1850" t="str">
        <f>IFERROR(__xludf.DUMMYFUNCTION("""COMPUTED_VALUE"""),"永春四號")</f>
        <v>永春四號</v>
      </c>
      <c r="H1850" s="106" t="str">
        <f t="shared" si="1"/>
        <v>2025-05</v>
      </c>
      <c r="I1850" s="271" t="str">
        <f>IFERROR(__xludf.DUMMYFUNCTION("""COMPUTED_VALUE"""),"貓狗企鵝")</f>
        <v>貓狗企鵝</v>
      </c>
      <c r="J1850" t="str">
        <f>IFERROR(__xludf.DUMMYFUNCTION("IFS(
  AND(REGEXMATCH(E1850, ""台銀籌備帳戶|玉山帳戶""), REGEXMATCH(C1850, ""薪資"")), ""分潤支出"",
  AND(REGEXMATCH(E1850, ""Ben帳戶|Elsa帳戶|Ben代墊|Ariel代墊|中信銀行共用""), REGEXMATCH(F1850, ""Ben帳戶|Elsa帳戶|Ben代墊|Ariel代墊|中信銀行共用"")), ""內部轉帳(忽略)"",
  AND(E1850&lt;&gt;"""", F1850&lt;&gt;"""", N"&amp;"OT(REGEXMATCH(C1850, ""薪資""))), ""內部轉帳(忽略)"",
  REGEXMATCH(C1850, ""薪資""), ""薪資變動(不計入)"",
  REGEXMATCH(C1850, ""押金""), ""押金往來"",
  AND(E1850&lt;&gt;"""", F1850=""""), ""真實支出"",
  AND(E1850="""", F1850&lt;&gt;""""), ""真實收入"",
  TRUE, ""其他""
)"),"真實支出")</f>
        <v>真實支出</v>
      </c>
      <c r="K1850" s="270">
        <f t="shared" si="2"/>
        <v>-17000</v>
      </c>
      <c r="L1850">
        <f t="shared" si="3"/>
        <v>0</v>
      </c>
    </row>
    <row r="1851">
      <c r="A1851" s="107">
        <f>IFERROR(__xludf.DUMMYFUNCTION("""COMPUTED_VALUE"""),45778.0)</f>
        <v>45778</v>
      </c>
      <c r="B1851" t="str">
        <f>IFERROR(__xludf.DUMMYFUNCTION("""COMPUTED_VALUE"""),"費用 - 匯費 對方行:700 後五碼:19509 (行號: 43)")</f>
        <v>費用 - 匯費 對方行:700 後五碼:19509 (行號: 43)</v>
      </c>
      <c r="C1851" t="str">
        <f>IFERROR(__xludf.DUMMYFUNCTION("""COMPUTED_VALUE"""),"費用 - 匯費")</f>
        <v>費用 - 匯費</v>
      </c>
      <c r="D1851" s="270">
        <f>IFERROR(__xludf.DUMMYFUNCTION("""COMPUTED_VALUE"""),-15.0)</f>
        <v>-15</v>
      </c>
      <c r="E1851" t="str">
        <f>IFERROR(__xludf.DUMMYFUNCTION("""COMPUTED_VALUE"""),"台銀籌備帳戶")</f>
        <v>台銀籌備帳戶</v>
      </c>
      <c r="H1851" s="106" t="str">
        <f t="shared" si="1"/>
        <v>2025-05</v>
      </c>
      <c r="I1851" s="271" t="str">
        <f>IFERROR(__xludf.DUMMYFUNCTION("""COMPUTED_VALUE"""),"貓狗企鵝")</f>
        <v>貓狗企鵝</v>
      </c>
      <c r="J1851" t="str">
        <f>IFERROR(__xludf.DUMMYFUNCTION("IFS(
  AND(REGEXMATCH(E1851, ""台銀籌備帳戶|玉山帳戶""), REGEXMATCH(C1851, ""薪資"")), ""分潤支出"",
  AND(REGEXMATCH(E1851, ""Ben帳戶|Elsa帳戶|Ben代墊|Ariel代墊|中信銀行共用""), REGEXMATCH(F1851, ""Ben帳戶|Elsa帳戶|Ben代墊|Ariel代墊|中信銀行共用"")), ""內部轉帳(忽略)"",
  AND(E1851&lt;&gt;"""", F1851&lt;&gt;"""", N"&amp;"OT(REGEXMATCH(C1851, ""薪資""))), ""內部轉帳(忽略)"",
  REGEXMATCH(C1851, ""薪資""), ""薪資變動(不計入)"",
  REGEXMATCH(C1851, ""押金""), ""押金往來"",
  AND(E1851&lt;&gt;"""", F1851=""""), ""真實支出"",
  AND(E1851="""", F1851&lt;&gt;""""), ""真實收入"",
  TRUE, ""其他""
)"),"真實支出")</f>
        <v>真實支出</v>
      </c>
      <c r="K1851" s="270">
        <f t="shared" si="2"/>
        <v>-15</v>
      </c>
      <c r="L1851">
        <f t="shared" si="3"/>
        <v>0</v>
      </c>
    </row>
    <row r="1852">
      <c r="A1852" s="107">
        <f>IFERROR(__xludf.DUMMYFUNCTION("""COMPUTED_VALUE"""),45778.0)</f>
        <v>45778</v>
      </c>
      <c r="B1852" t="str">
        <f>IFERROR(__xludf.DUMMYFUNCTION("""COMPUTED_VALUE"""),"[龍江229] [游為傑] 大租金")</f>
        <v>[龍江229] [游為傑] 大租金</v>
      </c>
      <c r="C1852" t="str">
        <f>IFERROR(__xludf.DUMMYFUNCTION("""COMPUTED_VALUE"""),"成本 - 大租金")</f>
        <v>成本 - 大租金</v>
      </c>
      <c r="D1852" s="270">
        <f>IFERROR(__xludf.DUMMYFUNCTION("""COMPUTED_VALUE"""),-13500.0)</f>
        <v>-13500</v>
      </c>
      <c r="E1852" t="str">
        <f>IFERROR(__xludf.DUMMYFUNCTION("""COMPUTED_VALUE"""),"台銀籌備帳戶")</f>
        <v>台銀籌備帳戶</v>
      </c>
      <c r="G1852" t="str">
        <f>IFERROR(__xludf.DUMMYFUNCTION("""COMPUTED_VALUE"""),"龍江229")</f>
        <v>龍江229</v>
      </c>
      <c r="H1852" s="106" t="str">
        <f t="shared" si="1"/>
        <v>2025-05</v>
      </c>
      <c r="I1852" s="271" t="str">
        <f>IFERROR(__xludf.DUMMYFUNCTION("""COMPUTED_VALUE"""),"貓狗企鵝")</f>
        <v>貓狗企鵝</v>
      </c>
      <c r="J1852" t="str">
        <f>IFERROR(__xludf.DUMMYFUNCTION("IFS(
  AND(REGEXMATCH(E1852, ""台銀籌備帳戶|玉山帳戶""), REGEXMATCH(C1852, ""薪資"")), ""分潤支出"",
  AND(REGEXMATCH(E1852, ""Ben帳戶|Elsa帳戶|Ben代墊|Ariel代墊|中信銀行共用""), REGEXMATCH(F1852, ""Ben帳戶|Elsa帳戶|Ben代墊|Ariel代墊|中信銀行共用"")), ""內部轉帳(忽略)"",
  AND(E1852&lt;&gt;"""", F1852&lt;&gt;"""", N"&amp;"OT(REGEXMATCH(C1852, ""薪資""))), ""內部轉帳(忽略)"",
  REGEXMATCH(C1852, ""薪資""), ""薪資變動(不計入)"",
  REGEXMATCH(C1852, ""押金""), ""押金往來"",
  AND(E1852&lt;&gt;"""", F1852=""""), ""真實支出"",
  AND(E1852="""", F1852&lt;&gt;""""), ""真實收入"",
  TRUE, ""其他""
)"),"真實支出")</f>
        <v>真實支出</v>
      </c>
      <c r="K1852" s="270">
        <f t="shared" si="2"/>
        <v>-13500</v>
      </c>
      <c r="L1852">
        <f t="shared" si="3"/>
        <v>0</v>
      </c>
    </row>
    <row r="1853">
      <c r="A1853" s="107">
        <f>IFERROR(__xludf.DUMMYFUNCTION("""COMPUTED_VALUE"""),45778.0)</f>
        <v>45778</v>
      </c>
      <c r="B1853" t="str">
        <f>IFERROR(__xludf.DUMMYFUNCTION("""COMPUTED_VALUE"""),"費用 - 匯費 對方行:052 後五碼:22609 (行號: 44)")</f>
        <v>費用 - 匯費 對方行:052 後五碼:22609 (行號: 44)</v>
      </c>
      <c r="C1853" t="str">
        <f>IFERROR(__xludf.DUMMYFUNCTION("""COMPUTED_VALUE"""),"費用 - 匯費")</f>
        <v>費用 - 匯費</v>
      </c>
      <c r="D1853" s="270">
        <f>IFERROR(__xludf.DUMMYFUNCTION("""COMPUTED_VALUE"""),-15.0)</f>
        <v>-15</v>
      </c>
      <c r="E1853" t="str">
        <f>IFERROR(__xludf.DUMMYFUNCTION("""COMPUTED_VALUE"""),"台銀籌備帳戶")</f>
        <v>台銀籌備帳戶</v>
      </c>
      <c r="H1853" s="106" t="str">
        <f t="shared" si="1"/>
        <v>2025-05</v>
      </c>
      <c r="I1853" s="271" t="str">
        <f>IFERROR(__xludf.DUMMYFUNCTION("""COMPUTED_VALUE"""),"貓狗企鵝")</f>
        <v>貓狗企鵝</v>
      </c>
      <c r="J1853" t="str">
        <f>IFERROR(__xludf.DUMMYFUNCTION("IFS(
  AND(REGEXMATCH(E1853, ""台銀籌備帳戶|玉山帳戶""), REGEXMATCH(C1853, ""薪資"")), ""分潤支出"",
  AND(REGEXMATCH(E1853, ""Ben帳戶|Elsa帳戶|Ben代墊|Ariel代墊|中信銀行共用""), REGEXMATCH(F1853, ""Ben帳戶|Elsa帳戶|Ben代墊|Ariel代墊|中信銀行共用"")), ""內部轉帳(忽略)"",
  AND(E1853&lt;&gt;"""", F1853&lt;&gt;"""", N"&amp;"OT(REGEXMATCH(C1853, ""薪資""))), ""內部轉帳(忽略)"",
  REGEXMATCH(C1853, ""薪資""), ""薪資變動(不計入)"",
  REGEXMATCH(C1853, ""押金""), ""押金往來"",
  AND(E1853&lt;&gt;"""", F1853=""""), ""真實支出"",
  AND(E1853="""", F1853&lt;&gt;""""), ""真實收入"",
  TRUE, ""其他""
)"),"真實支出")</f>
        <v>真實支出</v>
      </c>
      <c r="K1853" s="270">
        <f t="shared" si="2"/>
        <v>-15</v>
      </c>
      <c r="L1853">
        <f t="shared" si="3"/>
        <v>0</v>
      </c>
    </row>
    <row r="1854">
      <c r="A1854" s="107">
        <f>IFERROR(__xludf.DUMMYFUNCTION("""COMPUTED_VALUE"""),45778.0)</f>
        <v>45778</v>
      </c>
      <c r="B1854" t="str">
        <f>IFERROR(__xludf.DUMMYFUNCTION("""COMPUTED_VALUE"""),"[中山北Feli家] [陳玉蘭] 大租金")</f>
        <v>[中山北Feli家] [陳玉蘭] 大租金</v>
      </c>
      <c r="C1854" t="str">
        <f>IFERROR(__xludf.DUMMYFUNCTION("""COMPUTED_VALUE"""),"成本 - 大租金")</f>
        <v>成本 - 大租金</v>
      </c>
      <c r="D1854" s="270">
        <f>IFERROR(__xludf.DUMMYFUNCTION("""COMPUTED_VALUE"""),-18000.0)</f>
        <v>-18000</v>
      </c>
      <c r="E1854" t="str">
        <f>IFERROR(__xludf.DUMMYFUNCTION("""COMPUTED_VALUE"""),"台銀籌備帳戶")</f>
        <v>台銀籌備帳戶</v>
      </c>
      <c r="G1854" t="str">
        <f>IFERROR(__xludf.DUMMYFUNCTION("""COMPUTED_VALUE"""),"中山北Feli家")</f>
        <v>中山北Feli家</v>
      </c>
      <c r="H1854" s="106" t="str">
        <f t="shared" si="1"/>
        <v>2025-05</v>
      </c>
      <c r="I1854" s="271" t="str">
        <f>IFERROR(__xludf.DUMMYFUNCTION("""COMPUTED_VALUE"""),"貓狗企鵝")</f>
        <v>貓狗企鵝</v>
      </c>
      <c r="J1854" t="str">
        <f>IFERROR(__xludf.DUMMYFUNCTION("IFS(
  AND(REGEXMATCH(E1854, ""台銀籌備帳戶|玉山帳戶""), REGEXMATCH(C1854, ""薪資"")), ""分潤支出"",
  AND(REGEXMATCH(E1854, ""Ben帳戶|Elsa帳戶|Ben代墊|Ariel代墊|中信銀行共用""), REGEXMATCH(F1854, ""Ben帳戶|Elsa帳戶|Ben代墊|Ariel代墊|中信銀行共用"")), ""內部轉帳(忽略)"",
  AND(E1854&lt;&gt;"""", F1854&lt;&gt;"""", N"&amp;"OT(REGEXMATCH(C1854, ""薪資""))), ""內部轉帳(忽略)"",
  REGEXMATCH(C1854, ""薪資""), ""薪資變動(不計入)"",
  REGEXMATCH(C1854, ""押金""), ""押金往來"",
  AND(E1854&lt;&gt;"""", F1854=""""), ""真實支出"",
  AND(E1854="""", F1854&lt;&gt;""""), ""真實收入"",
  TRUE, ""其他""
)"),"真實支出")</f>
        <v>真實支出</v>
      </c>
      <c r="K1854" s="270">
        <f t="shared" si="2"/>
        <v>-18000</v>
      </c>
      <c r="L1854">
        <f t="shared" si="3"/>
        <v>0</v>
      </c>
    </row>
    <row r="1855">
      <c r="A1855" s="107">
        <f>IFERROR(__xludf.DUMMYFUNCTION("""COMPUTED_VALUE"""),45778.0)</f>
        <v>45778</v>
      </c>
      <c r="B1855" t="str">
        <f>IFERROR(__xludf.DUMMYFUNCTION("""COMPUTED_VALUE"""),"費用 - 匯費 對方行:013 後五碼:20652 (行號: 45)")</f>
        <v>費用 - 匯費 對方行:013 後五碼:20652 (行號: 45)</v>
      </c>
      <c r="C1855" t="str">
        <f>IFERROR(__xludf.DUMMYFUNCTION("""COMPUTED_VALUE"""),"費用 - 匯費")</f>
        <v>費用 - 匯費</v>
      </c>
      <c r="D1855" s="270">
        <f>IFERROR(__xludf.DUMMYFUNCTION("""COMPUTED_VALUE"""),-15.0)</f>
        <v>-15</v>
      </c>
      <c r="E1855" t="str">
        <f>IFERROR(__xludf.DUMMYFUNCTION("""COMPUTED_VALUE"""),"台銀籌備帳戶")</f>
        <v>台銀籌備帳戶</v>
      </c>
      <c r="H1855" s="106" t="str">
        <f t="shared" si="1"/>
        <v>2025-05</v>
      </c>
      <c r="I1855" s="271" t="str">
        <f>IFERROR(__xludf.DUMMYFUNCTION("""COMPUTED_VALUE"""),"貓狗企鵝")</f>
        <v>貓狗企鵝</v>
      </c>
      <c r="J1855" t="str">
        <f>IFERROR(__xludf.DUMMYFUNCTION("IFS(
  AND(REGEXMATCH(E1855, ""台銀籌備帳戶|玉山帳戶""), REGEXMATCH(C1855, ""薪資"")), ""分潤支出"",
  AND(REGEXMATCH(E1855, ""Ben帳戶|Elsa帳戶|Ben代墊|Ariel代墊|中信銀行共用""), REGEXMATCH(F1855, ""Ben帳戶|Elsa帳戶|Ben代墊|Ariel代墊|中信銀行共用"")), ""內部轉帳(忽略)"",
  AND(E1855&lt;&gt;"""", F1855&lt;&gt;"""", N"&amp;"OT(REGEXMATCH(C1855, ""薪資""))), ""內部轉帳(忽略)"",
  REGEXMATCH(C1855, ""薪資""), ""薪資變動(不計入)"",
  REGEXMATCH(C1855, ""押金""), ""押金往來"",
  AND(E1855&lt;&gt;"""", F1855=""""), ""真實支出"",
  AND(E1855="""", F1855&lt;&gt;""""), ""真實收入"",
  TRUE, ""其他""
)"),"真實支出")</f>
        <v>真實支出</v>
      </c>
      <c r="K1855" s="270">
        <f t="shared" si="2"/>
        <v>-15</v>
      </c>
      <c r="L1855">
        <f t="shared" si="3"/>
        <v>0</v>
      </c>
    </row>
    <row r="1856">
      <c r="A1856" s="107">
        <f>IFERROR(__xludf.DUMMYFUNCTION("""COMPUTED_VALUE"""),45778.0)</f>
        <v>45778</v>
      </c>
      <c r="B1856" t="str">
        <f>IFERROR(__xludf.DUMMYFUNCTION("""COMPUTED_VALUE"""),"[景安2分鐘] [王逸荃] 大租金")</f>
        <v>[景安2分鐘] [王逸荃] 大租金</v>
      </c>
      <c r="C1856" t="str">
        <f>IFERROR(__xludf.DUMMYFUNCTION("""COMPUTED_VALUE"""),"成本 - 大租金")</f>
        <v>成本 - 大租金</v>
      </c>
      <c r="D1856" s="270">
        <f>IFERROR(__xludf.DUMMYFUNCTION("""COMPUTED_VALUE"""),-12500.0)</f>
        <v>-12500</v>
      </c>
      <c r="E1856" t="str">
        <f>IFERROR(__xludf.DUMMYFUNCTION("""COMPUTED_VALUE"""),"台銀籌備帳戶")</f>
        <v>台銀籌備帳戶</v>
      </c>
      <c r="G1856" t="str">
        <f>IFERROR(__xludf.DUMMYFUNCTION("""COMPUTED_VALUE"""),"景安2分鐘")</f>
        <v>景安2分鐘</v>
      </c>
      <c r="H1856" s="106" t="str">
        <f t="shared" si="1"/>
        <v>2025-05</v>
      </c>
      <c r="I1856" s="271" t="str">
        <f>IFERROR(__xludf.DUMMYFUNCTION("""COMPUTED_VALUE"""),"貓狗企鵝")</f>
        <v>貓狗企鵝</v>
      </c>
      <c r="J1856" t="str">
        <f>IFERROR(__xludf.DUMMYFUNCTION("IFS(
  AND(REGEXMATCH(E1856, ""台銀籌備帳戶|玉山帳戶""), REGEXMATCH(C1856, ""薪資"")), ""分潤支出"",
  AND(REGEXMATCH(E1856, ""Ben帳戶|Elsa帳戶|Ben代墊|Ariel代墊|中信銀行共用""), REGEXMATCH(F1856, ""Ben帳戶|Elsa帳戶|Ben代墊|Ariel代墊|中信銀行共用"")), ""內部轉帳(忽略)"",
  AND(E1856&lt;&gt;"""", F1856&lt;&gt;"""", N"&amp;"OT(REGEXMATCH(C1856, ""薪資""))), ""內部轉帳(忽略)"",
  REGEXMATCH(C1856, ""薪資""), ""薪資變動(不計入)"",
  REGEXMATCH(C1856, ""押金""), ""押金往來"",
  AND(E1856&lt;&gt;"""", F1856=""""), ""真實支出"",
  AND(E1856="""", F1856&lt;&gt;""""), ""真實收入"",
  TRUE, ""其他""
)"),"真實支出")</f>
        <v>真實支出</v>
      </c>
      <c r="K1856" s="270">
        <f t="shared" si="2"/>
        <v>-12500</v>
      </c>
      <c r="L1856">
        <f t="shared" si="3"/>
        <v>0</v>
      </c>
    </row>
    <row r="1857">
      <c r="A1857" s="107">
        <f>IFERROR(__xludf.DUMMYFUNCTION("""COMPUTED_VALUE"""),45778.0)</f>
        <v>45778</v>
      </c>
      <c r="B1857" t="str">
        <f>IFERROR(__xludf.DUMMYFUNCTION("""COMPUTED_VALUE"""),"費用 - 匯費 對方行:822 後五碼:06708 (行號: 46)")</f>
        <v>費用 - 匯費 對方行:822 後五碼:06708 (行號: 46)</v>
      </c>
      <c r="C1857" t="str">
        <f>IFERROR(__xludf.DUMMYFUNCTION("""COMPUTED_VALUE"""),"費用 - 匯費")</f>
        <v>費用 - 匯費</v>
      </c>
      <c r="D1857" s="270">
        <f>IFERROR(__xludf.DUMMYFUNCTION("""COMPUTED_VALUE"""),-15.0)</f>
        <v>-15</v>
      </c>
      <c r="E1857" t="str">
        <f>IFERROR(__xludf.DUMMYFUNCTION("""COMPUTED_VALUE"""),"台銀籌備帳戶")</f>
        <v>台銀籌備帳戶</v>
      </c>
      <c r="H1857" s="106" t="str">
        <f t="shared" si="1"/>
        <v>2025-05</v>
      </c>
      <c r="I1857" s="271" t="str">
        <f>IFERROR(__xludf.DUMMYFUNCTION("""COMPUTED_VALUE"""),"貓狗企鵝")</f>
        <v>貓狗企鵝</v>
      </c>
      <c r="J1857" t="str">
        <f>IFERROR(__xludf.DUMMYFUNCTION("IFS(
  AND(REGEXMATCH(E1857, ""台銀籌備帳戶|玉山帳戶""), REGEXMATCH(C1857, ""薪資"")), ""分潤支出"",
  AND(REGEXMATCH(E1857, ""Ben帳戶|Elsa帳戶|Ben代墊|Ariel代墊|中信銀行共用""), REGEXMATCH(F1857, ""Ben帳戶|Elsa帳戶|Ben代墊|Ariel代墊|中信銀行共用"")), ""內部轉帳(忽略)"",
  AND(E1857&lt;&gt;"""", F1857&lt;&gt;"""", N"&amp;"OT(REGEXMATCH(C1857, ""薪資""))), ""內部轉帳(忽略)"",
  REGEXMATCH(C1857, ""薪資""), ""薪資變動(不計入)"",
  REGEXMATCH(C1857, ""押金""), ""押金往來"",
  AND(E1857&lt;&gt;"""", F1857=""""), ""真實支出"",
  AND(E1857="""", F1857&lt;&gt;""""), ""真實收入"",
  TRUE, ""其他""
)"),"真實支出")</f>
        <v>真實支出</v>
      </c>
      <c r="K1857" s="270">
        <f t="shared" si="2"/>
        <v>-15</v>
      </c>
      <c r="L1857">
        <f t="shared" si="3"/>
        <v>0</v>
      </c>
    </row>
    <row r="1858">
      <c r="A1858" s="107">
        <f>IFERROR(__xludf.DUMMYFUNCTION("""COMPUTED_VALUE"""),45778.0)</f>
        <v>45778</v>
      </c>
      <c r="B1858" t="str">
        <f>IFERROR(__xludf.DUMMYFUNCTION("""COMPUTED_VALUE"""),"[金龍帽子先生] [郭娟伶] 大租金")</f>
        <v>[金龍帽子先生] [郭娟伶] 大租金</v>
      </c>
      <c r="C1858" t="str">
        <f>IFERROR(__xludf.DUMMYFUNCTION("""COMPUTED_VALUE"""),"成本 - 大租金")</f>
        <v>成本 - 大租金</v>
      </c>
      <c r="D1858" s="270">
        <f>IFERROR(__xludf.DUMMYFUNCTION("""COMPUTED_VALUE"""),-17750.0)</f>
        <v>-17750</v>
      </c>
      <c r="E1858" t="str">
        <f>IFERROR(__xludf.DUMMYFUNCTION("""COMPUTED_VALUE"""),"台銀籌備帳戶")</f>
        <v>台銀籌備帳戶</v>
      </c>
      <c r="G1858" t="str">
        <f>IFERROR(__xludf.DUMMYFUNCTION("""COMPUTED_VALUE"""),"金龍帽子先生")</f>
        <v>金龍帽子先生</v>
      </c>
      <c r="H1858" s="106" t="str">
        <f t="shared" si="1"/>
        <v>2025-05</v>
      </c>
      <c r="I1858" s="271" t="str">
        <f>IFERROR(__xludf.DUMMYFUNCTION("""COMPUTED_VALUE"""),"貓狗企鵝")</f>
        <v>貓狗企鵝</v>
      </c>
      <c r="J1858" t="str">
        <f>IFERROR(__xludf.DUMMYFUNCTION("IFS(
  AND(REGEXMATCH(E1858, ""台銀籌備帳戶|玉山帳戶""), REGEXMATCH(C1858, ""薪資"")), ""分潤支出"",
  AND(REGEXMATCH(E1858, ""Ben帳戶|Elsa帳戶|Ben代墊|Ariel代墊|中信銀行共用""), REGEXMATCH(F1858, ""Ben帳戶|Elsa帳戶|Ben代墊|Ariel代墊|中信銀行共用"")), ""內部轉帳(忽略)"",
  AND(E1858&lt;&gt;"""", F1858&lt;&gt;"""", N"&amp;"OT(REGEXMATCH(C1858, ""薪資""))), ""內部轉帳(忽略)"",
  REGEXMATCH(C1858, ""薪資""), ""薪資變動(不計入)"",
  REGEXMATCH(C1858, ""押金""), ""押金往來"",
  AND(E1858&lt;&gt;"""", F1858=""""), ""真實支出"",
  AND(E1858="""", F1858&lt;&gt;""""), ""真實收入"",
  TRUE, ""其他""
)"),"真實支出")</f>
        <v>真實支出</v>
      </c>
      <c r="K1858" s="270">
        <f t="shared" si="2"/>
        <v>-17750</v>
      </c>
      <c r="L1858">
        <f t="shared" si="3"/>
        <v>0</v>
      </c>
    </row>
    <row r="1859">
      <c r="A1859" s="107">
        <f>IFERROR(__xludf.DUMMYFUNCTION("""COMPUTED_VALUE"""),45778.0)</f>
        <v>45778</v>
      </c>
      <c r="B1859" t="str">
        <f>IFERROR(__xludf.DUMMYFUNCTION("""COMPUTED_VALUE"""),"費用 - 匯費 對方行:053 後五碼:05202 (行號: 47)")</f>
        <v>費用 - 匯費 對方行:053 後五碼:05202 (行號: 47)</v>
      </c>
      <c r="C1859" t="str">
        <f>IFERROR(__xludf.DUMMYFUNCTION("""COMPUTED_VALUE"""),"費用 - 匯費")</f>
        <v>費用 - 匯費</v>
      </c>
      <c r="D1859" s="270">
        <f>IFERROR(__xludf.DUMMYFUNCTION("""COMPUTED_VALUE"""),-15.0)</f>
        <v>-15</v>
      </c>
      <c r="E1859" t="str">
        <f>IFERROR(__xludf.DUMMYFUNCTION("""COMPUTED_VALUE"""),"台銀籌備帳戶")</f>
        <v>台銀籌備帳戶</v>
      </c>
      <c r="H1859" s="106" t="str">
        <f t="shared" si="1"/>
        <v>2025-05</v>
      </c>
      <c r="I1859" s="271" t="str">
        <f>IFERROR(__xludf.DUMMYFUNCTION("""COMPUTED_VALUE"""),"貓狗企鵝")</f>
        <v>貓狗企鵝</v>
      </c>
      <c r="J1859" t="str">
        <f>IFERROR(__xludf.DUMMYFUNCTION("IFS(
  AND(REGEXMATCH(E1859, ""台銀籌備帳戶|玉山帳戶""), REGEXMATCH(C1859, ""薪資"")), ""分潤支出"",
  AND(REGEXMATCH(E1859, ""Ben帳戶|Elsa帳戶|Ben代墊|Ariel代墊|中信銀行共用""), REGEXMATCH(F1859, ""Ben帳戶|Elsa帳戶|Ben代墊|Ariel代墊|中信銀行共用"")), ""內部轉帳(忽略)"",
  AND(E1859&lt;&gt;"""", F1859&lt;&gt;"""", N"&amp;"OT(REGEXMATCH(C1859, ""薪資""))), ""內部轉帳(忽略)"",
  REGEXMATCH(C1859, ""薪資""), ""薪資變動(不計入)"",
  REGEXMATCH(C1859, ""押金""), ""押金往來"",
  AND(E1859&lt;&gt;"""", F1859=""""), ""真實支出"",
  AND(E1859="""", F1859&lt;&gt;""""), ""真實收入"",
  TRUE, ""其他""
)"),"真實支出")</f>
        <v>真實支出</v>
      </c>
      <c r="K1859" s="270">
        <f t="shared" si="2"/>
        <v>-15</v>
      </c>
      <c r="L1859">
        <f t="shared" si="3"/>
        <v>0</v>
      </c>
    </row>
    <row r="1860">
      <c r="A1860" s="107">
        <f>IFERROR(__xludf.DUMMYFUNCTION("""COMPUTED_VALUE"""),45778.0)</f>
        <v>45778</v>
      </c>
      <c r="B1860" t="str">
        <f>IFERROR(__xludf.DUMMYFUNCTION("""COMPUTED_VALUE"""),"[大湖山莊] [陳彩霞] 大租金")</f>
        <v>[大湖山莊] [陳彩霞] 大租金</v>
      </c>
      <c r="C1860" t="str">
        <f>IFERROR(__xludf.DUMMYFUNCTION("""COMPUTED_VALUE"""),"成本 - 大租金")</f>
        <v>成本 - 大租金</v>
      </c>
      <c r="D1860" s="270">
        <f>IFERROR(__xludf.DUMMYFUNCTION("""COMPUTED_VALUE"""),-19400.0)</f>
        <v>-19400</v>
      </c>
      <c r="E1860" t="str">
        <f>IFERROR(__xludf.DUMMYFUNCTION("""COMPUTED_VALUE"""),"台銀籌備帳戶")</f>
        <v>台銀籌備帳戶</v>
      </c>
      <c r="G1860" t="str">
        <f>IFERROR(__xludf.DUMMYFUNCTION("""COMPUTED_VALUE"""),"大湖山莊")</f>
        <v>大湖山莊</v>
      </c>
      <c r="H1860" s="106" t="str">
        <f t="shared" si="1"/>
        <v>2025-05</v>
      </c>
      <c r="I1860" s="271" t="str">
        <f>IFERROR(__xludf.DUMMYFUNCTION("""COMPUTED_VALUE"""),"貓狗企鵝")</f>
        <v>貓狗企鵝</v>
      </c>
      <c r="J1860" t="str">
        <f>IFERROR(__xludf.DUMMYFUNCTION("IFS(
  AND(REGEXMATCH(E1860, ""台銀籌備帳戶|玉山帳戶""), REGEXMATCH(C1860, ""薪資"")), ""分潤支出"",
  AND(REGEXMATCH(E1860, ""Ben帳戶|Elsa帳戶|Ben代墊|Ariel代墊|中信銀行共用""), REGEXMATCH(F1860, ""Ben帳戶|Elsa帳戶|Ben代墊|Ariel代墊|中信銀行共用"")), ""內部轉帳(忽略)"",
  AND(E1860&lt;&gt;"""", F1860&lt;&gt;"""", N"&amp;"OT(REGEXMATCH(C1860, ""薪資""))), ""內部轉帳(忽略)"",
  REGEXMATCH(C1860, ""薪資""), ""薪資變動(不計入)"",
  REGEXMATCH(C1860, ""押金""), ""押金往來"",
  AND(E1860&lt;&gt;"""", F1860=""""), ""真實支出"",
  AND(E1860="""", F1860&lt;&gt;""""), ""真實收入"",
  TRUE, ""其他""
)"),"真實支出")</f>
        <v>真實支出</v>
      </c>
      <c r="K1860" s="270">
        <f t="shared" si="2"/>
        <v>-19400</v>
      </c>
      <c r="L1860">
        <f t="shared" si="3"/>
        <v>0</v>
      </c>
    </row>
    <row r="1861">
      <c r="A1861" s="107">
        <f>IFERROR(__xludf.DUMMYFUNCTION("""COMPUTED_VALUE"""),45778.0)</f>
        <v>45778</v>
      </c>
      <c r="B1861" t="str">
        <f>IFERROR(__xludf.DUMMYFUNCTION("""COMPUTED_VALUE"""),"費用 - 匯費 對方行:807 後五碼:06659 (行號: 48)")</f>
        <v>費用 - 匯費 對方行:807 後五碼:06659 (行號: 48)</v>
      </c>
      <c r="C1861" t="str">
        <f>IFERROR(__xludf.DUMMYFUNCTION("""COMPUTED_VALUE"""),"費用 - 匯費")</f>
        <v>費用 - 匯費</v>
      </c>
      <c r="D1861" s="270">
        <f>IFERROR(__xludf.DUMMYFUNCTION("""COMPUTED_VALUE"""),-15.0)</f>
        <v>-15</v>
      </c>
      <c r="E1861" t="str">
        <f>IFERROR(__xludf.DUMMYFUNCTION("""COMPUTED_VALUE"""),"台銀籌備帳戶")</f>
        <v>台銀籌備帳戶</v>
      </c>
      <c r="H1861" s="106" t="str">
        <f t="shared" si="1"/>
        <v>2025-05</v>
      </c>
      <c r="I1861" s="271" t="str">
        <f>IFERROR(__xludf.DUMMYFUNCTION("""COMPUTED_VALUE"""),"貓狗企鵝")</f>
        <v>貓狗企鵝</v>
      </c>
      <c r="J1861" t="str">
        <f>IFERROR(__xludf.DUMMYFUNCTION("IFS(
  AND(REGEXMATCH(E1861, ""台銀籌備帳戶|玉山帳戶""), REGEXMATCH(C1861, ""薪資"")), ""分潤支出"",
  AND(REGEXMATCH(E1861, ""Ben帳戶|Elsa帳戶|Ben代墊|Ariel代墊|中信銀行共用""), REGEXMATCH(F1861, ""Ben帳戶|Elsa帳戶|Ben代墊|Ariel代墊|中信銀行共用"")), ""內部轉帳(忽略)"",
  AND(E1861&lt;&gt;"""", F1861&lt;&gt;"""", N"&amp;"OT(REGEXMATCH(C1861, ""薪資""))), ""內部轉帳(忽略)"",
  REGEXMATCH(C1861, ""薪資""), ""薪資變動(不計入)"",
  REGEXMATCH(C1861, ""押金""), ""押金往來"",
  AND(E1861&lt;&gt;"""", F1861=""""), ""真實支出"",
  AND(E1861="""", F1861&lt;&gt;""""), ""真實收入"",
  TRUE, ""其他""
)"),"真實支出")</f>
        <v>真實支出</v>
      </c>
      <c r="K1861" s="270">
        <f t="shared" si="2"/>
        <v>-15</v>
      </c>
      <c r="L1861">
        <f t="shared" si="3"/>
        <v>0</v>
      </c>
    </row>
    <row r="1862">
      <c r="A1862" s="107">
        <f>IFERROR(__xludf.DUMMYFUNCTION("""COMPUTED_VALUE"""),45778.0)</f>
        <v>45778</v>
      </c>
      <c r="B1862" t="str">
        <f>IFERROR(__xludf.DUMMYFUNCTION("""COMPUTED_VALUE"""),"[哈拉對面] [陳哲聰] 大租金")</f>
        <v>[哈拉對面] [陳哲聰] 大租金</v>
      </c>
      <c r="C1862" t="str">
        <f>IFERROR(__xludf.DUMMYFUNCTION("""COMPUTED_VALUE"""),"成本 - 大租金")</f>
        <v>成本 - 大租金</v>
      </c>
      <c r="D1862" s="270">
        <f>IFERROR(__xludf.DUMMYFUNCTION("""COMPUTED_VALUE"""),-13000.0)</f>
        <v>-13000</v>
      </c>
      <c r="E1862" t="str">
        <f>IFERROR(__xludf.DUMMYFUNCTION("""COMPUTED_VALUE"""),"台銀籌備帳戶")</f>
        <v>台銀籌備帳戶</v>
      </c>
      <c r="G1862" t="str">
        <f>IFERROR(__xludf.DUMMYFUNCTION("""COMPUTED_VALUE"""),"哈拉對面")</f>
        <v>哈拉對面</v>
      </c>
      <c r="H1862" s="106" t="str">
        <f t="shared" si="1"/>
        <v>2025-05</v>
      </c>
      <c r="I1862" s="271" t="str">
        <f>IFERROR(__xludf.DUMMYFUNCTION("""COMPUTED_VALUE"""),"貓狗企鵝")</f>
        <v>貓狗企鵝</v>
      </c>
      <c r="J1862" t="str">
        <f>IFERROR(__xludf.DUMMYFUNCTION("IFS(
  AND(REGEXMATCH(E1862, ""台銀籌備帳戶|玉山帳戶""), REGEXMATCH(C1862, ""薪資"")), ""分潤支出"",
  AND(REGEXMATCH(E1862, ""Ben帳戶|Elsa帳戶|Ben代墊|Ariel代墊|中信銀行共用""), REGEXMATCH(F1862, ""Ben帳戶|Elsa帳戶|Ben代墊|Ariel代墊|中信銀行共用"")), ""內部轉帳(忽略)"",
  AND(E1862&lt;&gt;"""", F1862&lt;&gt;"""", N"&amp;"OT(REGEXMATCH(C1862, ""薪資""))), ""內部轉帳(忽略)"",
  REGEXMATCH(C1862, ""薪資""), ""薪資變動(不計入)"",
  REGEXMATCH(C1862, ""押金""), ""押金往來"",
  AND(E1862&lt;&gt;"""", F1862=""""), ""真實支出"",
  AND(E1862="""", F1862&lt;&gt;""""), ""真實收入"",
  TRUE, ""其他""
)"),"真實支出")</f>
        <v>真實支出</v>
      </c>
      <c r="K1862" s="270">
        <f t="shared" si="2"/>
        <v>-13000</v>
      </c>
      <c r="L1862">
        <f t="shared" si="3"/>
        <v>0</v>
      </c>
    </row>
    <row r="1863">
      <c r="A1863" s="107">
        <f>IFERROR(__xludf.DUMMYFUNCTION("""COMPUTED_VALUE"""),45778.0)</f>
        <v>45778</v>
      </c>
      <c r="B1863" t="str">
        <f>IFERROR(__xludf.DUMMYFUNCTION("""COMPUTED_VALUE"""),"費用 - 匯費 對方行:700 後五碼:92128 (行號: 49)")</f>
        <v>費用 - 匯費 對方行:700 後五碼:92128 (行號: 49)</v>
      </c>
      <c r="C1863" t="str">
        <f>IFERROR(__xludf.DUMMYFUNCTION("""COMPUTED_VALUE"""),"費用 - 匯費")</f>
        <v>費用 - 匯費</v>
      </c>
      <c r="D1863" s="270">
        <f>IFERROR(__xludf.DUMMYFUNCTION("""COMPUTED_VALUE"""),-15.0)</f>
        <v>-15</v>
      </c>
      <c r="E1863" t="str">
        <f>IFERROR(__xludf.DUMMYFUNCTION("""COMPUTED_VALUE"""),"台銀籌備帳戶")</f>
        <v>台銀籌備帳戶</v>
      </c>
      <c r="H1863" s="106" t="str">
        <f t="shared" si="1"/>
        <v>2025-05</v>
      </c>
      <c r="I1863" s="271" t="str">
        <f>IFERROR(__xludf.DUMMYFUNCTION("""COMPUTED_VALUE"""),"貓狗企鵝")</f>
        <v>貓狗企鵝</v>
      </c>
      <c r="J1863" t="str">
        <f>IFERROR(__xludf.DUMMYFUNCTION("IFS(
  AND(REGEXMATCH(E1863, ""台銀籌備帳戶|玉山帳戶""), REGEXMATCH(C1863, ""薪資"")), ""分潤支出"",
  AND(REGEXMATCH(E1863, ""Ben帳戶|Elsa帳戶|Ben代墊|Ariel代墊|中信銀行共用""), REGEXMATCH(F1863, ""Ben帳戶|Elsa帳戶|Ben代墊|Ariel代墊|中信銀行共用"")), ""內部轉帳(忽略)"",
  AND(E1863&lt;&gt;"""", F1863&lt;&gt;"""", N"&amp;"OT(REGEXMATCH(C1863, ""薪資""))), ""內部轉帳(忽略)"",
  REGEXMATCH(C1863, ""薪資""), ""薪資變動(不計入)"",
  REGEXMATCH(C1863, ""押金""), ""押金往來"",
  AND(E1863&lt;&gt;"""", F1863=""""), ""真實支出"",
  AND(E1863="""", F1863&lt;&gt;""""), ""真實收入"",
  TRUE, ""其他""
)"),"真實支出")</f>
        <v>真實支出</v>
      </c>
      <c r="K1863" s="270">
        <f t="shared" si="2"/>
        <v>-15</v>
      </c>
      <c r="L1863">
        <f t="shared" si="3"/>
        <v>0</v>
      </c>
    </row>
    <row r="1864">
      <c r="A1864" s="107">
        <f>IFERROR(__xludf.DUMMYFUNCTION("""COMPUTED_VALUE"""),45778.0)</f>
        <v>45778</v>
      </c>
      <c r="B1864" t="str">
        <f>IFERROR(__xludf.DUMMYFUNCTION("""COMPUTED_VALUE"""),"[北醫醫師府] [陳俊良] 大租金")</f>
        <v>[北醫醫師府] [陳俊良] 大租金</v>
      </c>
      <c r="C1864" t="str">
        <f>IFERROR(__xludf.DUMMYFUNCTION("""COMPUTED_VALUE"""),"成本 - 大租金")</f>
        <v>成本 - 大租金</v>
      </c>
      <c r="D1864" s="270">
        <f>IFERROR(__xludf.DUMMYFUNCTION("""COMPUTED_VALUE"""),-12800.0)</f>
        <v>-12800</v>
      </c>
      <c r="E1864" t="str">
        <f>IFERROR(__xludf.DUMMYFUNCTION("""COMPUTED_VALUE"""),"台銀籌備帳戶")</f>
        <v>台銀籌備帳戶</v>
      </c>
      <c r="G1864" t="str">
        <f>IFERROR(__xludf.DUMMYFUNCTION("""COMPUTED_VALUE"""),"北醫醫師府")</f>
        <v>北醫醫師府</v>
      </c>
      <c r="H1864" s="106" t="str">
        <f t="shared" si="1"/>
        <v>2025-05</v>
      </c>
      <c r="I1864" s="271" t="str">
        <f>IFERROR(__xludf.DUMMYFUNCTION("""COMPUTED_VALUE"""),"貓狗企鵝")</f>
        <v>貓狗企鵝</v>
      </c>
      <c r="J1864" t="str">
        <f>IFERROR(__xludf.DUMMYFUNCTION("IFS(
  AND(REGEXMATCH(E1864, ""台銀籌備帳戶|玉山帳戶""), REGEXMATCH(C1864, ""薪資"")), ""分潤支出"",
  AND(REGEXMATCH(E1864, ""Ben帳戶|Elsa帳戶|Ben代墊|Ariel代墊|中信銀行共用""), REGEXMATCH(F1864, ""Ben帳戶|Elsa帳戶|Ben代墊|Ariel代墊|中信銀行共用"")), ""內部轉帳(忽略)"",
  AND(E1864&lt;&gt;"""", F1864&lt;&gt;"""", N"&amp;"OT(REGEXMATCH(C1864, ""薪資""))), ""內部轉帳(忽略)"",
  REGEXMATCH(C1864, ""薪資""), ""薪資變動(不計入)"",
  REGEXMATCH(C1864, ""押金""), ""押金往來"",
  AND(E1864&lt;&gt;"""", F1864=""""), ""真實支出"",
  AND(E1864="""", F1864&lt;&gt;""""), ""真實收入"",
  TRUE, ""其他""
)"),"真實支出")</f>
        <v>真實支出</v>
      </c>
      <c r="K1864" s="270">
        <f t="shared" si="2"/>
        <v>-12800</v>
      </c>
      <c r="L1864">
        <f t="shared" si="3"/>
        <v>0</v>
      </c>
    </row>
    <row r="1865">
      <c r="A1865" s="107">
        <f>IFERROR(__xludf.DUMMYFUNCTION("""COMPUTED_VALUE"""),45778.0)</f>
        <v>45778</v>
      </c>
      <c r="B1865" t="str">
        <f>IFERROR(__xludf.DUMMYFUNCTION("""COMPUTED_VALUE"""),"費用 - 匯費 對方行:013 後五碼:43662 (行號: 50)")</f>
        <v>費用 - 匯費 對方行:013 後五碼:43662 (行號: 50)</v>
      </c>
      <c r="C1865" t="str">
        <f>IFERROR(__xludf.DUMMYFUNCTION("""COMPUTED_VALUE"""),"費用 - 匯費")</f>
        <v>費用 - 匯費</v>
      </c>
      <c r="D1865" s="270">
        <f>IFERROR(__xludf.DUMMYFUNCTION("""COMPUTED_VALUE"""),-15.0)</f>
        <v>-15</v>
      </c>
      <c r="E1865" t="str">
        <f>IFERROR(__xludf.DUMMYFUNCTION("""COMPUTED_VALUE"""),"台銀籌備帳戶")</f>
        <v>台銀籌備帳戶</v>
      </c>
      <c r="H1865" s="106" t="str">
        <f t="shared" si="1"/>
        <v>2025-05</v>
      </c>
      <c r="I1865" s="271" t="str">
        <f>IFERROR(__xludf.DUMMYFUNCTION("""COMPUTED_VALUE"""),"貓狗企鵝")</f>
        <v>貓狗企鵝</v>
      </c>
      <c r="J1865" t="str">
        <f>IFERROR(__xludf.DUMMYFUNCTION("IFS(
  AND(REGEXMATCH(E1865, ""台銀籌備帳戶|玉山帳戶""), REGEXMATCH(C1865, ""薪資"")), ""分潤支出"",
  AND(REGEXMATCH(E1865, ""Ben帳戶|Elsa帳戶|Ben代墊|Ariel代墊|中信銀行共用""), REGEXMATCH(F1865, ""Ben帳戶|Elsa帳戶|Ben代墊|Ariel代墊|中信銀行共用"")), ""內部轉帳(忽略)"",
  AND(E1865&lt;&gt;"""", F1865&lt;&gt;"""", N"&amp;"OT(REGEXMATCH(C1865, ""薪資""))), ""內部轉帳(忽略)"",
  REGEXMATCH(C1865, ""薪資""), ""薪資變動(不計入)"",
  REGEXMATCH(C1865, ""押金""), ""押金往來"",
  AND(E1865&lt;&gt;"""", F1865=""""), ""真實支出"",
  AND(E1865="""", F1865&lt;&gt;""""), ""真實收入"",
  TRUE, ""其他""
)"),"真實支出")</f>
        <v>真實支出</v>
      </c>
      <c r="K1865" s="270">
        <f t="shared" si="2"/>
        <v>-15</v>
      </c>
      <c r="L1865">
        <f t="shared" si="3"/>
        <v>0</v>
      </c>
    </row>
    <row r="1866">
      <c r="A1866" s="107">
        <f>IFERROR(__xludf.DUMMYFUNCTION("""COMPUTED_VALUE"""),45778.0)</f>
        <v>45778</v>
      </c>
      <c r="B1866" t="str">
        <f>IFERROR(__xludf.DUMMYFUNCTION("""COMPUTED_VALUE"""),"[中山北娘家旁] [方彥捷] 大租金")</f>
        <v>[中山北娘家旁] [方彥捷] 大租金</v>
      </c>
      <c r="C1866" t="str">
        <f>IFERROR(__xludf.DUMMYFUNCTION("""COMPUTED_VALUE"""),"成本 - 大租金")</f>
        <v>成本 - 大租金</v>
      </c>
      <c r="D1866" s="270">
        <f>IFERROR(__xludf.DUMMYFUNCTION("""COMPUTED_VALUE"""),-11500.0)</f>
        <v>-11500</v>
      </c>
      <c r="E1866" t="str">
        <f>IFERROR(__xludf.DUMMYFUNCTION("""COMPUTED_VALUE"""),"台銀籌備帳戶")</f>
        <v>台銀籌備帳戶</v>
      </c>
      <c r="G1866" t="str">
        <f>IFERROR(__xludf.DUMMYFUNCTION("""COMPUTED_VALUE"""),"中山北娘家旁")</f>
        <v>中山北娘家旁</v>
      </c>
      <c r="H1866" s="106" t="str">
        <f t="shared" si="1"/>
        <v>2025-05</v>
      </c>
      <c r="I1866" s="271" t="str">
        <f>IFERROR(__xludf.DUMMYFUNCTION("""COMPUTED_VALUE"""),"貓狗企鵝")</f>
        <v>貓狗企鵝</v>
      </c>
      <c r="J1866" t="str">
        <f>IFERROR(__xludf.DUMMYFUNCTION("IFS(
  AND(REGEXMATCH(E1866, ""台銀籌備帳戶|玉山帳戶""), REGEXMATCH(C1866, ""薪資"")), ""分潤支出"",
  AND(REGEXMATCH(E1866, ""Ben帳戶|Elsa帳戶|Ben代墊|Ariel代墊|中信銀行共用""), REGEXMATCH(F1866, ""Ben帳戶|Elsa帳戶|Ben代墊|Ariel代墊|中信銀行共用"")), ""內部轉帳(忽略)"",
  AND(E1866&lt;&gt;"""", F1866&lt;&gt;"""", N"&amp;"OT(REGEXMATCH(C1866, ""薪資""))), ""內部轉帳(忽略)"",
  REGEXMATCH(C1866, ""薪資""), ""薪資變動(不計入)"",
  REGEXMATCH(C1866, ""押金""), ""押金往來"",
  AND(E1866&lt;&gt;"""", F1866=""""), ""真實支出"",
  AND(E1866="""", F1866&lt;&gt;""""), ""真實收入"",
  TRUE, ""其他""
)"),"真實支出")</f>
        <v>真實支出</v>
      </c>
      <c r="K1866" s="270">
        <f t="shared" si="2"/>
        <v>-11500</v>
      </c>
      <c r="L1866">
        <f t="shared" si="3"/>
        <v>0</v>
      </c>
    </row>
    <row r="1867">
      <c r="A1867" s="107">
        <f>IFERROR(__xludf.DUMMYFUNCTION("""COMPUTED_VALUE"""),45778.0)</f>
        <v>45778</v>
      </c>
      <c r="B1867" t="str">
        <f>IFERROR(__xludf.DUMMYFUNCTION("""COMPUTED_VALUE"""),"費用 - 匯費 對方行:812 後五碼:20873 (行號: 70)")</f>
        <v>費用 - 匯費 對方行:812 後五碼:20873 (行號: 70)</v>
      </c>
      <c r="C1867" t="str">
        <f>IFERROR(__xludf.DUMMYFUNCTION("""COMPUTED_VALUE"""),"費用 - 匯費")</f>
        <v>費用 - 匯費</v>
      </c>
      <c r="D1867" s="270">
        <f>IFERROR(__xludf.DUMMYFUNCTION("""COMPUTED_VALUE"""),-15.0)</f>
        <v>-15</v>
      </c>
      <c r="E1867" t="str">
        <f>IFERROR(__xludf.DUMMYFUNCTION("""COMPUTED_VALUE"""),"台銀籌備帳戶")</f>
        <v>台銀籌備帳戶</v>
      </c>
      <c r="H1867" s="106" t="str">
        <f t="shared" si="1"/>
        <v>2025-05</v>
      </c>
      <c r="I1867" s="271" t="str">
        <f>IFERROR(__xludf.DUMMYFUNCTION("""COMPUTED_VALUE"""),"貓狗企鵝")</f>
        <v>貓狗企鵝</v>
      </c>
      <c r="J1867" t="str">
        <f>IFERROR(__xludf.DUMMYFUNCTION("IFS(
  AND(REGEXMATCH(E1867, ""台銀籌備帳戶|玉山帳戶""), REGEXMATCH(C1867, ""薪資"")), ""分潤支出"",
  AND(REGEXMATCH(E1867, ""Ben帳戶|Elsa帳戶|Ben代墊|Ariel代墊|中信銀行共用""), REGEXMATCH(F1867, ""Ben帳戶|Elsa帳戶|Ben代墊|Ariel代墊|中信銀行共用"")), ""內部轉帳(忽略)"",
  AND(E1867&lt;&gt;"""", F1867&lt;&gt;"""", N"&amp;"OT(REGEXMATCH(C1867, ""薪資""))), ""內部轉帳(忽略)"",
  REGEXMATCH(C1867, ""薪資""), ""薪資變動(不計入)"",
  REGEXMATCH(C1867, ""押金""), ""押金往來"",
  AND(E1867&lt;&gt;"""", F1867=""""), ""真實支出"",
  AND(E1867="""", F1867&lt;&gt;""""), ""真實收入"",
  TRUE, ""其他""
)"),"真實支出")</f>
        <v>真實支出</v>
      </c>
      <c r="K1867" s="270">
        <f t="shared" si="2"/>
        <v>-15</v>
      </c>
      <c r="L1867">
        <f t="shared" si="3"/>
        <v>0</v>
      </c>
    </row>
    <row r="1868">
      <c r="A1868" s="107">
        <f>IFERROR(__xludf.DUMMYFUNCTION("""COMPUTED_VALUE"""),45778.0)</f>
        <v>45778</v>
      </c>
      <c r="B1868" t="str">
        <f>IFERROR(__xludf.DUMMYFUNCTION("""COMPUTED_VALUE"""),"大湖G Evy退押 ' 【未分類支出】")</f>
        <v>大湖G Evy退押 ' 【未分類支出】</v>
      </c>
      <c r="C1868" t="str">
        <f>IFERROR(__xludf.DUMMYFUNCTION("""COMPUTED_VALUE"""),"收入 - 押金")</f>
        <v>收入 - 押金</v>
      </c>
      <c r="D1868" s="270">
        <f>IFERROR(__xludf.DUMMYFUNCTION("""COMPUTED_VALUE"""),-13800.0)</f>
        <v>-13800</v>
      </c>
      <c r="E1868" t="str">
        <f>IFERROR(__xludf.DUMMYFUNCTION("""COMPUTED_VALUE"""),"台銀籌備帳戶")</f>
        <v>台銀籌備帳戶</v>
      </c>
      <c r="G1868" t="str">
        <f>IFERROR(__xludf.DUMMYFUNCTION("""COMPUTED_VALUE"""),"大湖山莊")</f>
        <v>大湖山莊</v>
      </c>
      <c r="H1868" s="106" t="str">
        <f t="shared" si="1"/>
        <v>2025-05</v>
      </c>
      <c r="I1868" s="271" t="str">
        <f>IFERROR(__xludf.DUMMYFUNCTION("""COMPUTED_VALUE"""),"貓狗企鵝")</f>
        <v>貓狗企鵝</v>
      </c>
      <c r="J1868" t="str">
        <f>IFERROR(__xludf.DUMMYFUNCTION("IFS(
  AND(REGEXMATCH(E1868, ""台銀籌備帳戶|玉山帳戶""), REGEXMATCH(C1868, ""薪資"")), ""分潤支出"",
  AND(REGEXMATCH(E1868, ""Ben帳戶|Elsa帳戶|Ben代墊|Ariel代墊|中信銀行共用""), REGEXMATCH(F1868, ""Ben帳戶|Elsa帳戶|Ben代墊|Ariel代墊|中信銀行共用"")), ""內部轉帳(忽略)"",
  AND(E1868&lt;&gt;"""", F1868&lt;&gt;"""", N"&amp;"OT(REGEXMATCH(C1868, ""薪資""))), ""內部轉帳(忽略)"",
  REGEXMATCH(C1868, ""薪資""), ""薪資變動(不計入)"",
  REGEXMATCH(C1868, ""押金""), ""押金往來"",
  AND(E1868&lt;&gt;"""", F1868=""""), ""真實支出"",
  AND(E1868="""", F1868&lt;&gt;""""), ""真實收入"",
  TRUE, ""其他""
)"),"押金往來")</f>
        <v>押金往來</v>
      </c>
      <c r="K1868">
        <f t="shared" si="2"/>
        <v>0</v>
      </c>
      <c r="L1868">
        <f t="shared" si="3"/>
        <v>0</v>
      </c>
    </row>
    <row r="1869">
      <c r="A1869" s="107">
        <f>IFERROR(__xludf.DUMMYFUNCTION("""COMPUTED_VALUE"""),45779.0)</f>
        <v>45779</v>
      </c>
      <c r="B1869" t="str">
        <f>IFERROR(__xludf.DUMMYFUNCTION("""COMPUTED_VALUE"""),"景安Cheryl退押 ' 【未分類支出】")</f>
        <v>景安Cheryl退押 ' 【未分類支出】</v>
      </c>
      <c r="C1869" t="str">
        <f>IFERROR(__xludf.DUMMYFUNCTION("""COMPUTED_VALUE"""),"收入 - 押金")</f>
        <v>收入 - 押金</v>
      </c>
      <c r="D1869" s="270">
        <f>IFERROR(__xludf.DUMMYFUNCTION("""COMPUTED_VALUE"""),-2709.0)</f>
        <v>-2709</v>
      </c>
      <c r="E1869" t="str">
        <f>IFERROR(__xludf.DUMMYFUNCTION("""COMPUTED_VALUE"""),"台銀籌備帳戶")</f>
        <v>台銀籌備帳戶</v>
      </c>
      <c r="G1869" t="str">
        <f>IFERROR(__xludf.DUMMYFUNCTION("""COMPUTED_VALUE"""),"景安2分鐘")</f>
        <v>景安2分鐘</v>
      </c>
      <c r="H1869" s="106" t="str">
        <f t="shared" si="1"/>
        <v>2025-05</v>
      </c>
      <c r="I1869" s="271" t="str">
        <f>IFERROR(__xludf.DUMMYFUNCTION("""COMPUTED_VALUE"""),"貓狗企鵝")</f>
        <v>貓狗企鵝</v>
      </c>
      <c r="J1869" t="str">
        <f>IFERROR(__xludf.DUMMYFUNCTION("IFS(
  AND(REGEXMATCH(E1869, ""台銀籌備帳戶|玉山帳戶""), REGEXMATCH(C1869, ""薪資"")), ""分潤支出"",
  AND(REGEXMATCH(E1869, ""Ben帳戶|Elsa帳戶|Ben代墊|Ariel代墊|中信銀行共用""), REGEXMATCH(F1869, ""Ben帳戶|Elsa帳戶|Ben代墊|Ariel代墊|中信銀行共用"")), ""內部轉帳(忽略)"",
  AND(E1869&lt;&gt;"""", F1869&lt;&gt;"""", N"&amp;"OT(REGEXMATCH(C1869, ""薪資""))), ""內部轉帳(忽略)"",
  REGEXMATCH(C1869, ""薪資""), ""薪資變動(不計入)"",
  REGEXMATCH(C1869, ""押金""), ""押金往來"",
  AND(E1869&lt;&gt;"""", F1869=""""), ""真實支出"",
  AND(E1869="""", F1869&lt;&gt;""""), ""真實收入"",
  TRUE, ""其他""
)"),"押金往來")</f>
        <v>押金往來</v>
      </c>
      <c r="K1869">
        <f t="shared" si="2"/>
        <v>0</v>
      </c>
      <c r="L1869">
        <f t="shared" si="3"/>
        <v>0</v>
      </c>
    </row>
    <row r="1870">
      <c r="A1870" s="107">
        <f>IFERROR(__xludf.DUMMYFUNCTION("""COMPUTED_VALUE"""),45769.0)</f>
        <v>45769</v>
      </c>
      <c r="B1870" t="str">
        <f>IFERROR(__xludf.DUMMYFUNCTION("""COMPUTED_VALUE"""),"[哈拉對面] C [徐鉦庭] 月租金 (行號: 15)")</f>
        <v>[哈拉對面] C [徐鉦庭] 月租金 (行號: 15)</v>
      </c>
      <c r="C1870" t="str">
        <f>IFERROR(__xludf.DUMMYFUNCTION("""COMPUTED_VALUE"""),"收入 - 租金")</f>
        <v>收入 - 租金</v>
      </c>
      <c r="D1870" s="270">
        <f>IFERROR(__xludf.DUMMYFUNCTION("""COMPUTED_VALUE"""),11800.0)</f>
        <v>11800</v>
      </c>
      <c r="F1870" t="str">
        <f>IFERROR(__xludf.DUMMYFUNCTION("""COMPUTED_VALUE"""),"台銀籌備帳戶")</f>
        <v>台銀籌備帳戶</v>
      </c>
      <c r="G1870" t="str">
        <f>IFERROR(__xludf.DUMMYFUNCTION("""COMPUTED_VALUE"""),"哈拉對面")</f>
        <v>哈拉對面</v>
      </c>
      <c r="H1870" s="106" t="str">
        <f t="shared" si="1"/>
        <v>2025-04</v>
      </c>
      <c r="I1870" s="271" t="str">
        <f>IFERROR(__xludf.DUMMYFUNCTION("""COMPUTED_VALUE"""),"貓狗企鵝")</f>
        <v>貓狗企鵝</v>
      </c>
      <c r="J1870" t="str">
        <f>IFERROR(__xludf.DUMMYFUNCTION("IFS(
  AND(REGEXMATCH(E1870, ""台銀籌備帳戶|玉山帳戶""), REGEXMATCH(C1870, ""薪資"")), ""分潤支出"",
  AND(REGEXMATCH(E1870, ""Ben帳戶|Elsa帳戶|Ben代墊|Ariel代墊|中信銀行共用""), REGEXMATCH(F1870, ""Ben帳戶|Elsa帳戶|Ben代墊|Ariel代墊|中信銀行共用"")), ""內部轉帳(忽略)"",
  AND(E1870&lt;&gt;"""", F1870&lt;&gt;"""", N"&amp;"OT(REGEXMATCH(C1870, ""薪資""))), ""內部轉帳(忽略)"",
  REGEXMATCH(C1870, ""薪資""), ""薪資變動(不計入)"",
  REGEXMATCH(C1870, ""押金""), ""押金往來"",
  AND(E1870&lt;&gt;"""", F1870=""""), ""真實支出"",
  AND(E1870="""", F1870&lt;&gt;""""), ""真實收入"",
  TRUE, ""其他""
)"),"真實收入")</f>
        <v>真實收入</v>
      </c>
      <c r="K1870" s="270">
        <f t="shared" si="2"/>
        <v>11800</v>
      </c>
      <c r="L1870">
        <f t="shared" si="3"/>
        <v>0</v>
      </c>
    </row>
    <row r="1871">
      <c r="A1871" s="107">
        <f>IFERROR(__xludf.DUMMYFUNCTION("""COMPUTED_VALUE"""),45769.0)</f>
        <v>45769</v>
      </c>
      <c r="B1871" t="str">
        <f>IFERROR(__xludf.DUMMYFUNCTION("""COMPUTED_VALUE"""),"102A161XXXX42534 000001101' 【不明收入 (行號: 16)】")</f>
        <v>102A161XXXX42534 000001101' 【不明收入 (行號: 16)】</v>
      </c>
      <c r="D1871" s="270">
        <f>IFERROR(__xludf.DUMMYFUNCTION("""COMPUTED_VALUE"""),26000.0)</f>
        <v>26000</v>
      </c>
      <c r="F1871" t="str">
        <f>IFERROR(__xludf.DUMMYFUNCTION("""COMPUTED_VALUE"""),"台銀籌備帳戶")</f>
        <v>台銀籌備帳戶</v>
      </c>
      <c r="H1871" s="106" t="str">
        <f t="shared" si="1"/>
        <v>2025-04</v>
      </c>
      <c r="I1871" s="271" t="str">
        <f>IFERROR(__xludf.DUMMYFUNCTION("""COMPUTED_VALUE"""),"貓狗企鵝")</f>
        <v>貓狗企鵝</v>
      </c>
      <c r="J1871" t="str">
        <f>IFERROR(__xludf.DUMMYFUNCTION("IFS(
  AND(REGEXMATCH(E1871, ""台銀籌備帳戶|玉山帳戶""), REGEXMATCH(C1871, ""薪資"")), ""分潤支出"",
  AND(REGEXMATCH(E1871, ""Ben帳戶|Elsa帳戶|Ben代墊|Ariel代墊|中信銀行共用""), REGEXMATCH(F1871, ""Ben帳戶|Elsa帳戶|Ben代墊|Ariel代墊|中信銀行共用"")), ""內部轉帳(忽略)"",
  AND(E1871&lt;&gt;"""", F1871&lt;&gt;"""", N"&amp;"OT(REGEXMATCH(C1871, ""薪資""))), ""內部轉帳(忽略)"",
  REGEXMATCH(C1871, ""薪資""), ""薪資變動(不計入)"",
  REGEXMATCH(C1871, ""押金""), ""押金往來"",
  AND(E1871&lt;&gt;"""", F1871=""""), ""真實支出"",
  AND(E1871="""", F1871&lt;&gt;""""), ""真實收入"",
  TRUE, ""其他""
)"),"真實收入")</f>
        <v>真實收入</v>
      </c>
      <c r="K1871" s="270">
        <f t="shared" si="2"/>
        <v>26000</v>
      </c>
      <c r="L1871">
        <f t="shared" si="3"/>
        <v>0</v>
      </c>
    </row>
    <row r="1872">
      <c r="A1872" s="107">
        <f>IFERROR(__xludf.DUMMYFUNCTION("""COMPUTED_VALUE"""),45770.0)</f>
        <v>45770</v>
      </c>
      <c r="B1872" t="str">
        <f>IFERROR(__xludf.DUMMYFUNCTION("""COMPUTED_VALUE"""),"娘家D Jennifer 房租")</f>
        <v>娘家D Jennifer 房租</v>
      </c>
      <c r="C1872" t="str">
        <f>IFERROR(__xludf.DUMMYFUNCTION("""COMPUTED_VALUE"""),"收入 - 租金")</f>
        <v>收入 - 租金</v>
      </c>
      <c r="D1872" s="270">
        <f>IFERROR(__xludf.DUMMYFUNCTION("""COMPUTED_VALUE"""),1450.0)</f>
        <v>1450</v>
      </c>
      <c r="F1872" t="str">
        <f>IFERROR(__xludf.DUMMYFUNCTION("""COMPUTED_VALUE"""),"台銀籌備帳戶")</f>
        <v>台銀籌備帳戶</v>
      </c>
      <c r="G1872" t="str">
        <f>IFERROR(__xludf.DUMMYFUNCTION("""COMPUTED_VALUE"""),"中山北娘家旁")</f>
        <v>中山北娘家旁</v>
      </c>
      <c r="H1872" s="106" t="str">
        <f t="shared" si="1"/>
        <v>2025-04</v>
      </c>
      <c r="I1872" s="271" t="str">
        <f>IFERROR(__xludf.DUMMYFUNCTION("""COMPUTED_VALUE"""),"貓狗企鵝")</f>
        <v>貓狗企鵝</v>
      </c>
      <c r="J1872" t="str">
        <f>IFERROR(__xludf.DUMMYFUNCTION("IFS(
  AND(REGEXMATCH(E1872, ""台銀籌備帳戶|玉山帳戶""), REGEXMATCH(C1872, ""薪資"")), ""分潤支出"",
  AND(REGEXMATCH(E1872, ""Ben帳戶|Elsa帳戶|Ben代墊|Ariel代墊|中信銀行共用""), REGEXMATCH(F1872, ""Ben帳戶|Elsa帳戶|Ben代墊|Ariel代墊|中信銀行共用"")), ""內部轉帳(忽略)"",
  AND(E1872&lt;&gt;"""", F1872&lt;&gt;"""", N"&amp;"OT(REGEXMATCH(C1872, ""薪資""))), ""內部轉帳(忽略)"",
  REGEXMATCH(C1872, ""薪資""), ""薪資變動(不計入)"",
  REGEXMATCH(C1872, ""押金""), ""押金往來"",
  AND(E1872&lt;&gt;"""", F1872=""""), ""真實支出"",
  AND(E1872="""", F1872&lt;&gt;""""), ""真實收入"",
  TRUE, ""其他""
)"),"真實收入")</f>
        <v>真實收入</v>
      </c>
      <c r="K1872" s="270">
        <f t="shared" si="2"/>
        <v>1450</v>
      </c>
      <c r="L1872">
        <f t="shared" si="3"/>
        <v>0</v>
      </c>
    </row>
    <row r="1873">
      <c r="A1873" s="107">
        <f>IFERROR(__xludf.DUMMYFUNCTION("""COMPUTED_VALUE"""),45772.0)</f>
        <v>45772</v>
      </c>
      <c r="B1873" t="str">
        <f>IFERROR(__xludf.DUMMYFUNCTION("""COMPUTED_VALUE"""),"娘家D Jennifer 押金")</f>
        <v>娘家D Jennifer 押金</v>
      </c>
      <c r="C1873" t="str">
        <f>IFERROR(__xludf.DUMMYFUNCTION("""COMPUTED_VALUE"""),"收入 - 押金")</f>
        <v>收入 - 押金</v>
      </c>
      <c r="D1873" s="270">
        <f>IFERROR(__xludf.DUMMYFUNCTION("""COMPUTED_VALUE"""),29000.0)</f>
        <v>29000</v>
      </c>
      <c r="F1873" t="str">
        <f>IFERROR(__xludf.DUMMYFUNCTION("""COMPUTED_VALUE"""),"台銀籌備帳戶")</f>
        <v>台銀籌備帳戶</v>
      </c>
      <c r="G1873" t="str">
        <f>IFERROR(__xludf.DUMMYFUNCTION("""COMPUTED_VALUE"""),"中山北娘家旁")</f>
        <v>中山北娘家旁</v>
      </c>
      <c r="H1873" s="106" t="str">
        <f t="shared" si="1"/>
        <v>2025-04</v>
      </c>
      <c r="I1873" s="271" t="str">
        <f>IFERROR(__xludf.DUMMYFUNCTION("""COMPUTED_VALUE"""),"貓狗企鵝")</f>
        <v>貓狗企鵝</v>
      </c>
      <c r="J1873" t="str">
        <f>IFERROR(__xludf.DUMMYFUNCTION("IFS(
  AND(REGEXMATCH(E1873, ""台銀籌備帳戶|玉山帳戶""), REGEXMATCH(C1873, ""薪資"")), ""分潤支出"",
  AND(REGEXMATCH(E1873, ""Ben帳戶|Elsa帳戶|Ben代墊|Ariel代墊|中信銀行共用""), REGEXMATCH(F1873, ""Ben帳戶|Elsa帳戶|Ben代墊|Ariel代墊|中信銀行共用"")), ""內部轉帳(忽略)"",
  AND(E1873&lt;&gt;"""", F1873&lt;&gt;"""", N"&amp;"OT(REGEXMATCH(C1873, ""薪資""))), ""內部轉帳(忽略)"",
  REGEXMATCH(C1873, ""薪資""), ""薪資變動(不計入)"",
  REGEXMATCH(C1873, ""押金""), ""押金往來"",
  AND(E1873&lt;&gt;"""", F1873=""""), ""真實支出"",
  AND(E1873="""", F1873&lt;&gt;""""), ""真實收入"",
  TRUE, ""其他""
)"),"押金往來")</f>
        <v>押金往來</v>
      </c>
      <c r="K1873">
        <f t="shared" si="2"/>
        <v>0</v>
      </c>
      <c r="L1873">
        <f t="shared" si="3"/>
        <v>0</v>
      </c>
    </row>
    <row r="1874">
      <c r="A1874" s="107">
        <f>IFERROR(__xludf.DUMMYFUNCTION("""COMPUTED_VALUE"""),45775.0)</f>
        <v>45775</v>
      </c>
      <c r="B1874" t="str">
        <f>IFERROR(__xludf.DUMMYFUNCTION("""COMPUTED_VALUE""")," 阿虎代墊設計費 樂宅新生北路一段")</f>
        <v> 阿虎代墊設計費 樂宅新生北路一段</v>
      </c>
      <c r="C1874" t="str">
        <f>IFERROR(__xludf.DUMMYFUNCTION("""COMPUTED_VALUE"""),"收入 - 其他")</f>
        <v>收入 - 其他</v>
      </c>
      <c r="D1874" s="270">
        <f>IFERROR(__xludf.DUMMYFUNCTION("""COMPUTED_VALUE"""),400000.0)</f>
        <v>400000</v>
      </c>
      <c r="F1874" t="str">
        <f>IFERROR(__xludf.DUMMYFUNCTION("""COMPUTED_VALUE"""),"台銀籌備帳戶")</f>
        <v>台銀籌備帳戶</v>
      </c>
      <c r="G1874" t="str">
        <f>IFERROR(__xludf.DUMMYFUNCTION("""COMPUTED_VALUE"""),"無法分類")</f>
        <v>無法分類</v>
      </c>
      <c r="H1874" s="106" t="str">
        <f t="shared" si="1"/>
        <v>2025-04</v>
      </c>
      <c r="I1874" s="271" t="str">
        <f>IFERROR(__xludf.DUMMYFUNCTION("""COMPUTED_VALUE"""),"貓狗企鵝")</f>
        <v>貓狗企鵝</v>
      </c>
      <c r="J1874" t="str">
        <f>IFERROR(__xludf.DUMMYFUNCTION("IFS(
  AND(REGEXMATCH(E1874, ""台銀籌備帳戶|玉山帳戶""), REGEXMATCH(C1874, ""薪資"")), ""分潤支出"",
  AND(REGEXMATCH(E1874, ""Ben帳戶|Elsa帳戶|Ben代墊|Ariel代墊|中信銀行共用""), REGEXMATCH(F1874, ""Ben帳戶|Elsa帳戶|Ben代墊|Ariel代墊|中信銀行共用"")), ""內部轉帳(忽略)"",
  AND(E1874&lt;&gt;"""", F1874&lt;&gt;"""", N"&amp;"OT(REGEXMATCH(C1874, ""薪資""))), ""內部轉帳(忽略)"",
  REGEXMATCH(C1874, ""薪資""), ""薪資變動(不計入)"",
  REGEXMATCH(C1874, ""押金""), ""押金往來"",
  AND(E1874&lt;&gt;"""", F1874=""""), ""真實支出"",
  AND(E1874="""", F1874&lt;&gt;""""), ""真實收入"",
  TRUE, ""其他""
)"),"真實收入")</f>
        <v>真實收入</v>
      </c>
      <c r="K1874" s="270">
        <f t="shared" si="2"/>
        <v>400000</v>
      </c>
      <c r="L1874">
        <f t="shared" si="3"/>
        <v>0</v>
      </c>
    </row>
    <row r="1875">
      <c r="A1875" s="107">
        <f>IFERROR(__xludf.DUMMYFUNCTION("""COMPUTED_VALUE"""),45777.0)</f>
        <v>45777</v>
      </c>
      <c r="B1875" t="str">
        <f>IFERROR(__xludf.DUMMYFUNCTION("""COMPUTED_VALUE"""),"財團法人中 匯 ' 【不明收入 (行號: 30)】")</f>
        <v>財團法人中 匯 ' 【不明收入 (行號: 30)】</v>
      </c>
      <c r="C1875" t="str">
        <f>IFERROR(__xludf.DUMMYFUNCTION("""COMPUTED_VALUE"""),"收入 - 政府補助/退稅")</f>
        <v>收入 - 政府補助/退稅</v>
      </c>
      <c r="D1875" s="270">
        <f>IFERROR(__xludf.DUMMYFUNCTION("""COMPUTED_VALUE"""),40500.0)</f>
        <v>40500</v>
      </c>
      <c r="F1875" t="str">
        <f>IFERROR(__xludf.DUMMYFUNCTION("""COMPUTED_VALUE"""),"台銀籌備帳戶")</f>
        <v>台銀籌備帳戶</v>
      </c>
      <c r="H1875" s="106" t="str">
        <f t="shared" si="1"/>
        <v>2025-04</v>
      </c>
      <c r="I1875" s="271" t="str">
        <f>IFERROR(__xludf.DUMMYFUNCTION("""COMPUTED_VALUE"""),"貓狗企鵝")</f>
        <v>貓狗企鵝</v>
      </c>
      <c r="J1875" t="str">
        <f>IFERROR(__xludf.DUMMYFUNCTION("IFS(
  AND(REGEXMATCH(E1875, ""台銀籌備帳戶|玉山帳戶""), REGEXMATCH(C1875, ""薪資"")), ""分潤支出"",
  AND(REGEXMATCH(E1875, ""Ben帳戶|Elsa帳戶|Ben代墊|Ariel代墊|中信銀行共用""), REGEXMATCH(F1875, ""Ben帳戶|Elsa帳戶|Ben代墊|Ariel代墊|中信銀行共用"")), ""內部轉帳(忽略)"",
  AND(E1875&lt;&gt;"""", F1875&lt;&gt;"""", N"&amp;"OT(REGEXMATCH(C1875, ""薪資""))), ""內部轉帳(忽略)"",
  REGEXMATCH(C1875, ""薪資""), ""薪資變動(不計入)"",
  REGEXMATCH(C1875, ""押金""), ""押金往來"",
  AND(E1875&lt;&gt;"""", F1875=""""), ""真實支出"",
  AND(E1875="""", F1875&lt;&gt;""""), ""真實收入"",
  TRUE, ""其他""
)"),"真實收入")</f>
        <v>真實收入</v>
      </c>
      <c r="K1875" s="270">
        <f t="shared" si="2"/>
        <v>40500</v>
      </c>
      <c r="L1875">
        <f t="shared" si="3"/>
        <v>0</v>
      </c>
    </row>
    <row r="1876">
      <c r="A1876" s="107">
        <f>IFERROR(__xludf.DUMMYFUNCTION("""COMPUTED_VALUE"""),45777.0)</f>
        <v>45777</v>
      </c>
      <c r="B1876" t="str">
        <f>IFERROR(__xludf.DUMMYFUNCTION("""COMPUTED_VALUE"""),"金龍D 林紫婕房租")</f>
        <v>金龍D 林紫婕房租</v>
      </c>
      <c r="C1876" t="str">
        <f>IFERROR(__xludf.DUMMYFUNCTION("""COMPUTED_VALUE"""),"收入 - 租金")</f>
        <v>收入 - 租金</v>
      </c>
      <c r="D1876" s="270">
        <f>IFERROR(__xludf.DUMMYFUNCTION("""COMPUTED_VALUE"""),14032.0)</f>
        <v>14032</v>
      </c>
      <c r="F1876" t="str">
        <f>IFERROR(__xludf.DUMMYFUNCTION("""COMPUTED_VALUE"""),"台銀籌備帳戶")</f>
        <v>台銀籌備帳戶</v>
      </c>
      <c r="G1876" t="str">
        <f>IFERROR(__xludf.DUMMYFUNCTION("""COMPUTED_VALUE"""),"金龍帽子先生")</f>
        <v>金龍帽子先生</v>
      </c>
      <c r="H1876" s="106" t="str">
        <f t="shared" si="1"/>
        <v>2025-04</v>
      </c>
      <c r="I1876" s="271" t="str">
        <f>IFERROR(__xludf.DUMMYFUNCTION("""COMPUTED_VALUE"""),"貓狗企鵝")</f>
        <v>貓狗企鵝</v>
      </c>
      <c r="J1876" t="str">
        <f>IFERROR(__xludf.DUMMYFUNCTION("IFS(
  AND(REGEXMATCH(E1876, ""台銀籌備帳戶|玉山帳戶""), REGEXMATCH(C1876, ""薪資"")), ""分潤支出"",
  AND(REGEXMATCH(E1876, ""Ben帳戶|Elsa帳戶|Ben代墊|Ariel代墊|中信銀行共用""), REGEXMATCH(F1876, ""Ben帳戶|Elsa帳戶|Ben代墊|Ariel代墊|中信銀行共用"")), ""內部轉帳(忽略)"",
  AND(E1876&lt;&gt;"""", F1876&lt;&gt;"""", N"&amp;"OT(REGEXMATCH(C1876, ""薪資""))), ""內部轉帳(忽略)"",
  REGEXMATCH(C1876, ""薪資""), ""薪資變動(不計入)"",
  REGEXMATCH(C1876, ""押金""), ""押金往來"",
  AND(E1876&lt;&gt;"""", F1876=""""), ""真實支出"",
  AND(E1876="""", F1876&lt;&gt;""""), ""真實收入"",
  TRUE, ""其他""
)"),"真實收入")</f>
        <v>真實收入</v>
      </c>
      <c r="K1876" s="270">
        <f t="shared" si="2"/>
        <v>14032</v>
      </c>
      <c r="L1876">
        <f t="shared" si="3"/>
        <v>0</v>
      </c>
    </row>
    <row r="1877">
      <c r="A1877" s="107">
        <f>IFERROR(__xludf.DUMMYFUNCTION("""COMPUTED_VALUE"""),45778.0)</f>
        <v>45778</v>
      </c>
      <c r="B1877" t="str">
        <f>IFERROR(__xludf.DUMMYFUNCTION("""COMPUTED_VALUE"""),"品涵５月房租")</f>
        <v>品涵５月房租</v>
      </c>
      <c r="C1877" t="str">
        <f>IFERROR(__xludf.DUMMYFUNCTION("""COMPUTED_VALUE"""),"收入 - 租金")</f>
        <v>收入 - 租金</v>
      </c>
      <c r="D1877" s="270">
        <f>IFERROR(__xludf.DUMMYFUNCTION("""COMPUTED_VALUE"""),13800.0)</f>
        <v>13800</v>
      </c>
      <c r="F1877" t="str">
        <f>IFERROR(__xludf.DUMMYFUNCTION("""COMPUTED_VALUE"""),"台銀籌備帳戶")</f>
        <v>台銀籌備帳戶</v>
      </c>
      <c r="G1877" t="str">
        <f>IFERROR(__xludf.DUMMYFUNCTION("""COMPUTED_VALUE"""),"北醫醫師府")</f>
        <v>北醫醫師府</v>
      </c>
      <c r="H1877" s="106" t="str">
        <f t="shared" si="1"/>
        <v>2025-05</v>
      </c>
      <c r="I1877" s="271" t="str">
        <f>IFERROR(__xludf.DUMMYFUNCTION("""COMPUTED_VALUE"""),"貓狗企鵝")</f>
        <v>貓狗企鵝</v>
      </c>
      <c r="J1877" t="str">
        <f>IFERROR(__xludf.DUMMYFUNCTION("IFS(
  AND(REGEXMATCH(E1877, ""台銀籌備帳戶|玉山帳戶""), REGEXMATCH(C1877, ""薪資"")), ""分潤支出"",
  AND(REGEXMATCH(E1877, ""Ben帳戶|Elsa帳戶|Ben代墊|Ariel代墊|中信銀行共用""), REGEXMATCH(F1877, ""Ben帳戶|Elsa帳戶|Ben代墊|Ariel代墊|中信銀行共用"")), ""內部轉帳(忽略)"",
  AND(E1877&lt;&gt;"""", F1877&lt;&gt;"""", N"&amp;"OT(REGEXMATCH(C1877, ""薪資""))), ""內部轉帳(忽略)"",
  REGEXMATCH(C1877, ""薪資""), ""薪資變動(不計入)"",
  REGEXMATCH(C1877, ""押金""), ""押金往來"",
  AND(E1877&lt;&gt;"""", F1877=""""), ""真實支出"",
  AND(E1877="""", F1877&lt;&gt;""""), ""真實收入"",
  TRUE, ""其他""
)"),"真實收入")</f>
        <v>真實收入</v>
      </c>
      <c r="K1877" s="270">
        <f t="shared" si="2"/>
        <v>13800</v>
      </c>
      <c r="L1877">
        <f t="shared" si="3"/>
        <v>0</v>
      </c>
    </row>
    <row r="1878">
      <c r="A1878" s="107">
        <f>IFERROR(__xludf.DUMMYFUNCTION("""COMPUTED_VALUE"""),45778.0)</f>
        <v>45778</v>
      </c>
      <c r="B1878" t="str">
        <f>IFERROR(__xludf.DUMMYFUNCTION("""COMPUTED_VALUE"""),"娘家D Jennifer 房租")</f>
        <v>娘家D Jennifer 房租</v>
      </c>
      <c r="C1878" t="str">
        <f>IFERROR(__xludf.DUMMYFUNCTION("""COMPUTED_VALUE"""),"收入 - 租金")</f>
        <v>收入 - 租金</v>
      </c>
      <c r="D1878" s="270">
        <f>IFERROR(__xludf.DUMMYFUNCTION("""COMPUTED_VALUE"""),14500.0)</f>
        <v>14500</v>
      </c>
      <c r="F1878" t="str">
        <f>IFERROR(__xludf.DUMMYFUNCTION("""COMPUTED_VALUE"""),"台銀籌備帳戶")</f>
        <v>台銀籌備帳戶</v>
      </c>
      <c r="G1878" t="str">
        <f>IFERROR(__xludf.DUMMYFUNCTION("""COMPUTED_VALUE"""),"中山北娘家旁")</f>
        <v>中山北娘家旁</v>
      </c>
      <c r="H1878" s="106" t="str">
        <f t="shared" si="1"/>
        <v>2025-05</v>
      </c>
      <c r="I1878" s="271" t="str">
        <f>IFERROR(__xludf.DUMMYFUNCTION("""COMPUTED_VALUE"""),"貓狗企鵝")</f>
        <v>貓狗企鵝</v>
      </c>
      <c r="J1878" t="str">
        <f>IFERROR(__xludf.DUMMYFUNCTION("IFS(
  AND(REGEXMATCH(E1878, ""台銀籌備帳戶|玉山帳戶""), REGEXMATCH(C1878, ""薪資"")), ""分潤支出"",
  AND(REGEXMATCH(E1878, ""Ben帳戶|Elsa帳戶|Ben代墊|Ariel代墊|中信銀行共用""), REGEXMATCH(F1878, ""Ben帳戶|Elsa帳戶|Ben代墊|Ariel代墊|中信銀行共用"")), ""內部轉帳(忽略)"",
  AND(E1878&lt;&gt;"""", F1878&lt;&gt;"""", N"&amp;"OT(REGEXMATCH(C1878, ""薪資""))), ""內部轉帳(忽略)"",
  REGEXMATCH(C1878, ""薪資""), ""薪資變動(不計入)"",
  REGEXMATCH(C1878, ""押金""), ""押金往來"",
  AND(E1878&lt;&gt;"""", F1878=""""), ""真實支出"",
  AND(E1878="""", F1878&lt;&gt;""""), ""真實收入"",
  TRUE, ""其他""
)"),"真實收入")</f>
        <v>真實收入</v>
      </c>
      <c r="K1878" s="270">
        <f t="shared" si="2"/>
        <v>14500</v>
      </c>
      <c r="L1878">
        <f t="shared" si="3"/>
        <v>0</v>
      </c>
    </row>
    <row r="1879">
      <c r="A1879" s="107">
        <f>IFERROR(__xludf.DUMMYFUNCTION("""COMPUTED_VALUE"""),45778.0)</f>
        <v>45778</v>
      </c>
      <c r="B1879" t="str">
        <f>IFERROR(__xludf.DUMMYFUNCTION("""COMPUTED_VALUE"""),"金龍D 林紫婕押金")</f>
        <v>金龍D 林紫婕押金</v>
      </c>
      <c r="C1879" t="str">
        <f>IFERROR(__xludf.DUMMYFUNCTION("""COMPUTED_VALUE"""),"收入 - 押金")</f>
        <v>收入 - 押金</v>
      </c>
      <c r="D1879" s="270">
        <f>IFERROR(__xludf.DUMMYFUNCTION("""COMPUTED_VALUE"""),29000.0)</f>
        <v>29000</v>
      </c>
      <c r="F1879" t="str">
        <f>IFERROR(__xludf.DUMMYFUNCTION("""COMPUTED_VALUE"""),"台銀籌備帳戶")</f>
        <v>台銀籌備帳戶</v>
      </c>
      <c r="G1879" t="str">
        <f>IFERROR(__xludf.DUMMYFUNCTION("""COMPUTED_VALUE"""),"金龍帽子先生")</f>
        <v>金龍帽子先生</v>
      </c>
      <c r="H1879" s="106" t="str">
        <f t="shared" si="1"/>
        <v>2025-05</v>
      </c>
      <c r="I1879" s="271" t="str">
        <f>IFERROR(__xludf.DUMMYFUNCTION("""COMPUTED_VALUE"""),"貓狗企鵝")</f>
        <v>貓狗企鵝</v>
      </c>
      <c r="J1879" t="str">
        <f>IFERROR(__xludf.DUMMYFUNCTION("IFS(
  AND(REGEXMATCH(E1879, ""台銀籌備帳戶|玉山帳戶""), REGEXMATCH(C1879, ""薪資"")), ""分潤支出"",
  AND(REGEXMATCH(E1879, ""Ben帳戶|Elsa帳戶|Ben代墊|Ariel代墊|中信銀行共用""), REGEXMATCH(F1879, ""Ben帳戶|Elsa帳戶|Ben代墊|Ariel代墊|中信銀行共用"")), ""內部轉帳(忽略)"",
  AND(E1879&lt;&gt;"""", F1879&lt;&gt;"""", N"&amp;"OT(REGEXMATCH(C1879, ""薪資""))), ""內部轉帳(忽略)"",
  REGEXMATCH(C1879, ""薪資""), ""薪資變動(不計入)"",
  REGEXMATCH(C1879, ""押金""), ""押金往來"",
  AND(E1879&lt;&gt;"""", F1879=""""), ""真實支出"",
  AND(E1879="""", F1879&lt;&gt;""""), ""真實收入"",
  TRUE, ""其他""
)"),"押金往來")</f>
        <v>押金往來</v>
      </c>
      <c r="K1879">
        <f t="shared" si="2"/>
        <v>0</v>
      </c>
      <c r="L1879">
        <f t="shared" si="3"/>
        <v>0</v>
      </c>
    </row>
    <row r="1880">
      <c r="A1880" s="107">
        <f>IFERROR(__xludf.DUMMYFUNCTION("""COMPUTED_VALUE"""),45778.0)</f>
        <v>45778</v>
      </c>
      <c r="B1880" t="str">
        <f>IFERROR(__xludf.DUMMYFUNCTION("""COMPUTED_VALUE""")," [中山北Feli家] B [杜思瑀, 陳廷瀀] ")</f>
        <v> [中山北Feli家] B [杜思瑀, 陳廷瀀] </v>
      </c>
      <c r="C1880" t="str">
        <f>IFERROR(__xludf.DUMMYFUNCTION("""COMPUTED_VALUE"""),"收入 - 租金")</f>
        <v>收入 - 租金</v>
      </c>
      <c r="D1880" s="270">
        <f>IFERROR(__xludf.DUMMYFUNCTION("""COMPUTED_VALUE"""),8600.0)</f>
        <v>8600</v>
      </c>
      <c r="F1880" t="str">
        <f>IFERROR(__xludf.DUMMYFUNCTION("""COMPUTED_VALUE"""),"台銀籌備帳戶")</f>
        <v>台銀籌備帳戶</v>
      </c>
      <c r="G1880" t="str">
        <f>IFERROR(__xludf.DUMMYFUNCTION("""COMPUTED_VALUE"""),"中山北Feli家")</f>
        <v>中山北Feli家</v>
      </c>
      <c r="H1880" s="106" t="str">
        <f t="shared" si="1"/>
        <v>2025-05</v>
      </c>
      <c r="I1880" s="271" t="str">
        <f>IFERROR(__xludf.DUMMYFUNCTION("""COMPUTED_VALUE"""),"貓狗企鵝")</f>
        <v>貓狗企鵝</v>
      </c>
      <c r="J1880" t="str">
        <f>IFERROR(__xludf.DUMMYFUNCTION("IFS(
  AND(REGEXMATCH(E1880, ""台銀籌備帳戶|玉山帳戶""), REGEXMATCH(C1880, ""薪資"")), ""分潤支出"",
  AND(REGEXMATCH(E1880, ""Ben帳戶|Elsa帳戶|Ben代墊|Ariel代墊|中信銀行共用""), REGEXMATCH(F1880, ""Ben帳戶|Elsa帳戶|Ben代墊|Ariel代墊|中信銀行共用"")), ""內部轉帳(忽略)"",
  AND(E1880&lt;&gt;"""", F1880&lt;&gt;"""", N"&amp;"OT(REGEXMATCH(C1880, ""薪資""))), ""內部轉帳(忽略)"",
  REGEXMATCH(C1880, ""薪資""), ""薪資變動(不計入)"",
  REGEXMATCH(C1880, ""押金""), ""押金往來"",
  AND(E1880&lt;&gt;"""", F1880=""""), ""真實支出"",
  AND(E1880="""", F1880&lt;&gt;""""), ""真實收入"",
  TRUE, ""其他""
)"),"真實收入")</f>
        <v>真實收入</v>
      </c>
      <c r="K1880" s="270">
        <f t="shared" si="2"/>
        <v>8600</v>
      </c>
      <c r="L1880">
        <f t="shared" si="3"/>
        <v>0</v>
      </c>
    </row>
    <row r="1881">
      <c r="A1881" s="107">
        <f>IFERROR(__xludf.DUMMYFUNCTION("""COMPUTED_VALUE"""),45778.0)</f>
        <v>45778</v>
      </c>
      <c r="B1881" t="str">
        <f>IFERROR(__xludf.DUMMYFUNCTION("""COMPUTED_VALUE"""),"Feli家 A Eric")</f>
        <v>Feli家 A Eric</v>
      </c>
      <c r="C1881" t="str">
        <f>IFERROR(__xludf.DUMMYFUNCTION("""COMPUTED_VALUE"""),"收入 - 租金")</f>
        <v>收入 - 租金</v>
      </c>
      <c r="D1881" s="270">
        <f>IFERROR(__xludf.DUMMYFUNCTION("""COMPUTED_VALUE"""),13200.0)</f>
        <v>13200</v>
      </c>
      <c r="F1881" t="str">
        <f>IFERROR(__xludf.DUMMYFUNCTION("""COMPUTED_VALUE"""),"台銀籌備帳戶")</f>
        <v>台銀籌備帳戶</v>
      </c>
      <c r="G1881" t="str">
        <f>IFERROR(__xludf.DUMMYFUNCTION("""COMPUTED_VALUE"""),"中山北Feli家")</f>
        <v>中山北Feli家</v>
      </c>
      <c r="H1881" s="106" t="str">
        <f t="shared" si="1"/>
        <v>2025-05</v>
      </c>
      <c r="I1881" s="271" t="str">
        <f>IFERROR(__xludf.DUMMYFUNCTION("""COMPUTED_VALUE"""),"貓狗企鵝")</f>
        <v>貓狗企鵝</v>
      </c>
      <c r="J1881" t="str">
        <f>IFERROR(__xludf.DUMMYFUNCTION("IFS(
  AND(REGEXMATCH(E1881, ""台銀籌備帳戶|玉山帳戶""), REGEXMATCH(C1881, ""薪資"")), ""分潤支出"",
  AND(REGEXMATCH(E1881, ""Ben帳戶|Elsa帳戶|Ben代墊|Ariel代墊|中信銀行共用""), REGEXMATCH(F1881, ""Ben帳戶|Elsa帳戶|Ben代墊|Ariel代墊|中信銀行共用"")), ""內部轉帳(忽略)"",
  AND(E1881&lt;&gt;"""", F1881&lt;&gt;"""", N"&amp;"OT(REGEXMATCH(C1881, ""薪資""))), ""內部轉帳(忽略)"",
  REGEXMATCH(C1881, ""薪資""), ""薪資變動(不計入)"",
  REGEXMATCH(C1881, ""押金""), ""押金往來"",
  AND(E1881&lt;&gt;"""", F1881=""""), ""真實支出"",
  AND(E1881="""", F1881&lt;&gt;""""), ""真實收入"",
  TRUE, ""其他""
)"),"真實收入")</f>
        <v>真實收入</v>
      </c>
      <c r="K1881" s="270">
        <f t="shared" si="2"/>
        <v>13200</v>
      </c>
      <c r="L1881">
        <f t="shared" si="3"/>
        <v>0</v>
      </c>
    </row>
    <row r="1882">
      <c r="A1882" s="107">
        <f>IFERROR(__xludf.DUMMYFUNCTION("""COMPUTED_VALUE"""),45778.0)</f>
        <v>45778</v>
      </c>
      <c r="B1882" t="str">
        <f>IFERROR(__xludf.DUMMYFUNCTION("""COMPUTED_VALUE"""),"金龍C 偉展")</f>
        <v>金龍C 偉展</v>
      </c>
      <c r="C1882" t="str">
        <f>IFERROR(__xludf.DUMMYFUNCTION("""COMPUTED_VALUE"""),"收入 - 租金")</f>
        <v>收入 - 租金</v>
      </c>
      <c r="D1882" s="270">
        <f>IFERROR(__xludf.DUMMYFUNCTION("""COMPUTED_VALUE"""),14000.0)</f>
        <v>14000</v>
      </c>
      <c r="F1882" t="str">
        <f>IFERROR(__xludf.DUMMYFUNCTION("""COMPUTED_VALUE"""),"台銀籌備帳戶")</f>
        <v>台銀籌備帳戶</v>
      </c>
      <c r="G1882" t="str">
        <f>IFERROR(__xludf.DUMMYFUNCTION("""COMPUTED_VALUE"""),"金龍帽子先生")</f>
        <v>金龍帽子先生</v>
      </c>
      <c r="H1882" s="106" t="str">
        <f t="shared" si="1"/>
        <v>2025-05</v>
      </c>
      <c r="I1882" s="271" t="str">
        <f>IFERROR(__xludf.DUMMYFUNCTION("""COMPUTED_VALUE"""),"貓狗企鵝")</f>
        <v>貓狗企鵝</v>
      </c>
      <c r="J1882" t="str">
        <f>IFERROR(__xludf.DUMMYFUNCTION("IFS(
  AND(REGEXMATCH(E1882, ""台銀籌備帳戶|玉山帳戶""), REGEXMATCH(C1882, ""薪資"")), ""分潤支出"",
  AND(REGEXMATCH(E1882, ""Ben帳戶|Elsa帳戶|Ben代墊|Ariel代墊|中信銀行共用""), REGEXMATCH(F1882, ""Ben帳戶|Elsa帳戶|Ben代墊|Ariel代墊|中信銀行共用"")), ""內部轉帳(忽略)"",
  AND(E1882&lt;&gt;"""", F1882&lt;&gt;"""", N"&amp;"OT(REGEXMATCH(C1882, ""薪資""))), ""內部轉帳(忽略)"",
  REGEXMATCH(C1882, ""薪資""), ""薪資變動(不計入)"",
  REGEXMATCH(C1882, ""押金""), ""押金往來"",
  AND(E1882&lt;&gt;"""", F1882=""""), ""真實支出"",
  AND(E1882="""", F1882&lt;&gt;""""), ""真實收入"",
  TRUE, ""其他""
)"),"真實收入")</f>
        <v>真實收入</v>
      </c>
      <c r="K1882" s="270">
        <f t="shared" si="2"/>
        <v>14000</v>
      </c>
      <c r="L1882">
        <f t="shared" si="3"/>
        <v>0</v>
      </c>
    </row>
    <row r="1883">
      <c r="A1883" s="107">
        <f>IFERROR(__xludf.DUMMYFUNCTION("""COMPUTED_VALUE"""),45778.0)</f>
        <v>45778</v>
      </c>
      <c r="B1883" t="str">
        <f>IFERROR(__xludf.DUMMYFUNCTION("""COMPUTED_VALUE"""),"龍江E 侑霖房租")</f>
        <v>龍江E 侑霖房租</v>
      </c>
      <c r="C1883" t="str">
        <f>IFERROR(__xludf.DUMMYFUNCTION("""COMPUTED_VALUE"""),"收入 - 租金")</f>
        <v>收入 - 租金</v>
      </c>
      <c r="D1883" s="270">
        <f>IFERROR(__xludf.DUMMYFUNCTION("""COMPUTED_VALUE"""),12500.0)</f>
        <v>12500</v>
      </c>
      <c r="F1883" t="str">
        <f>IFERROR(__xludf.DUMMYFUNCTION("""COMPUTED_VALUE"""),"台銀籌備帳戶")</f>
        <v>台銀籌備帳戶</v>
      </c>
      <c r="G1883" t="str">
        <f>IFERROR(__xludf.DUMMYFUNCTION("""COMPUTED_VALUE"""),"龍江229")</f>
        <v>龍江229</v>
      </c>
      <c r="H1883" s="106" t="str">
        <f t="shared" si="1"/>
        <v>2025-05</v>
      </c>
      <c r="I1883" s="271" t="str">
        <f>IFERROR(__xludf.DUMMYFUNCTION("""COMPUTED_VALUE"""),"貓狗企鵝")</f>
        <v>貓狗企鵝</v>
      </c>
      <c r="J1883" t="str">
        <f>IFERROR(__xludf.DUMMYFUNCTION("IFS(
  AND(REGEXMATCH(E1883, ""台銀籌備帳戶|玉山帳戶""), REGEXMATCH(C1883, ""薪資"")), ""分潤支出"",
  AND(REGEXMATCH(E1883, ""Ben帳戶|Elsa帳戶|Ben代墊|Ariel代墊|中信銀行共用""), REGEXMATCH(F1883, ""Ben帳戶|Elsa帳戶|Ben代墊|Ariel代墊|中信銀行共用"")), ""內部轉帳(忽略)"",
  AND(E1883&lt;&gt;"""", F1883&lt;&gt;"""", N"&amp;"OT(REGEXMATCH(C1883, ""薪資""))), ""內部轉帳(忽略)"",
  REGEXMATCH(C1883, ""薪資""), ""薪資變動(不計入)"",
  REGEXMATCH(C1883, ""押金""), ""押金往來"",
  AND(E1883&lt;&gt;"""", F1883=""""), ""真實支出"",
  AND(E1883="""", F1883&lt;&gt;""""), ""真實收入"",
  TRUE, ""其他""
)"),"真實收入")</f>
        <v>真實收入</v>
      </c>
      <c r="K1883" s="270">
        <f t="shared" si="2"/>
        <v>12500</v>
      </c>
      <c r="L1883">
        <f t="shared" si="3"/>
        <v>0</v>
      </c>
    </row>
    <row r="1884">
      <c r="A1884" s="107">
        <f>IFERROR(__xludf.DUMMYFUNCTION("""COMPUTED_VALUE"""),45779.0)</f>
        <v>45779</v>
      </c>
      <c r="B1884" t="str">
        <f>IFERROR(__xludf.DUMMYFUNCTION("""COMPUTED_VALUE"""),"財團法人中 匯 ' 【不明收入 (行號: 84)】")</f>
        <v>財團法人中 匯 ' 【不明收入 (行號: 84)】</v>
      </c>
      <c r="C1884" t="str">
        <f>IFERROR(__xludf.DUMMYFUNCTION("""COMPUTED_VALUE"""),"成本 - 進場前裝潢費")</f>
        <v>成本 - 進場前裝潢費</v>
      </c>
      <c r="D1884" s="270">
        <f>IFERROR(__xludf.DUMMYFUNCTION("""COMPUTED_VALUE"""),29000.0)</f>
        <v>29000</v>
      </c>
      <c r="F1884" t="str">
        <f>IFERROR(__xludf.DUMMYFUNCTION("""COMPUTED_VALUE"""),"台銀籌備帳戶")</f>
        <v>台銀籌備帳戶</v>
      </c>
      <c r="H1884" s="106" t="str">
        <f t="shared" si="1"/>
        <v>2025-05</v>
      </c>
      <c r="I1884" s="271" t="str">
        <f>IFERROR(__xludf.DUMMYFUNCTION("""COMPUTED_VALUE"""),"貓狗企鵝")</f>
        <v>貓狗企鵝</v>
      </c>
      <c r="J1884" t="str">
        <f>IFERROR(__xludf.DUMMYFUNCTION("IFS(
  AND(REGEXMATCH(E1884, ""台銀籌備帳戶|玉山帳戶""), REGEXMATCH(C1884, ""薪資"")), ""分潤支出"",
  AND(REGEXMATCH(E1884, ""Ben帳戶|Elsa帳戶|Ben代墊|Ariel代墊|中信銀行共用""), REGEXMATCH(F1884, ""Ben帳戶|Elsa帳戶|Ben代墊|Ariel代墊|中信銀行共用"")), ""內部轉帳(忽略)"",
  AND(E1884&lt;&gt;"""", F1884&lt;&gt;"""", N"&amp;"OT(REGEXMATCH(C1884, ""薪資""))), ""內部轉帳(忽略)"",
  REGEXMATCH(C1884, ""薪資""), ""薪資變動(不計入)"",
  REGEXMATCH(C1884, ""押金""), ""押金往來"",
  AND(E1884&lt;&gt;"""", F1884=""""), ""真實支出"",
  AND(E1884="""", F1884&lt;&gt;""""), ""真實收入"",
  TRUE, ""其他""
)"),"真實收入")</f>
        <v>真實收入</v>
      </c>
      <c r="K1884" s="270">
        <f t="shared" si="2"/>
        <v>29000</v>
      </c>
      <c r="L1884">
        <f t="shared" si="3"/>
        <v>0</v>
      </c>
    </row>
    <row r="1885">
      <c r="A1885" s="107">
        <f>IFERROR(__xludf.DUMMYFUNCTION("""COMPUTED_VALUE"""),45773.0)</f>
        <v>45773</v>
      </c>
      <c r="B1885" t="str">
        <f>IFERROR(__xludf.DUMMYFUNCTION("""COMPUTED_VALUE"""),"[大湖山莊] F [吳智方, 蘇婉彤] 月租金 (行號: 22, 25)")</f>
        <v>[大湖山莊] F [吳智方, 蘇婉彤] 月租金 (行號: 22, 25)</v>
      </c>
      <c r="C1885" t="str">
        <f>IFERROR(__xludf.DUMMYFUNCTION("""COMPUTED_VALUE"""),"收入 - 租金")</f>
        <v>收入 - 租金</v>
      </c>
      <c r="D1885" s="270">
        <f>IFERROR(__xludf.DUMMYFUNCTION("""COMPUTED_VALUE"""),18000.0)</f>
        <v>18000</v>
      </c>
      <c r="F1885" t="str">
        <f>IFERROR(__xludf.DUMMYFUNCTION("""COMPUTED_VALUE"""),"台銀籌備帳戶")</f>
        <v>台銀籌備帳戶</v>
      </c>
      <c r="G1885" t="str">
        <f>IFERROR(__xludf.DUMMYFUNCTION("""COMPUTED_VALUE"""),"大湖山莊")</f>
        <v>大湖山莊</v>
      </c>
      <c r="H1885" s="106" t="str">
        <f t="shared" si="1"/>
        <v>2025-04</v>
      </c>
      <c r="I1885" s="271" t="str">
        <f>IFERROR(__xludf.DUMMYFUNCTION("""COMPUTED_VALUE"""),"貓狗企鵝")</f>
        <v>貓狗企鵝</v>
      </c>
      <c r="J1885" t="str">
        <f>IFERROR(__xludf.DUMMYFUNCTION("IFS(
  AND(REGEXMATCH(E1885, ""台銀籌備帳戶|玉山帳戶""), REGEXMATCH(C1885, ""薪資"")), ""分潤支出"",
  AND(REGEXMATCH(E1885, ""Ben帳戶|Elsa帳戶|Ben代墊|Ariel代墊|中信銀行共用""), REGEXMATCH(F1885, ""Ben帳戶|Elsa帳戶|Ben代墊|Ariel代墊|中信銀行共用"")), ""內部轉帳(忽略)"",
  AND(E1885&lt;&gt;"""", F1885&lt;&gt;"""", N"&amp;"OT(REGEXMATCH(C1885, ""薪資""))), ""內部轉帳(忽略)"",
  REGEXMATCH(C1885, ""薪資""), ""薪資變動(不計入)"",
  REGEXMATCH(C1885, ""押金""), ""押金往來"",
  AND(E1885&lt;&gt;"""", F1885=""""), ""真實支出"",
  AND(E1885="""", F1885&lt;&gt;""""), ""真實收入"",
  TRUE, ""其他""
)"),"真實收入")</f>
        <v>真實收入</v>
      </c>
      <c r="K1885" s="270">
        <f t="shared" si="2"/>
        <v>18000</v>
      </c>
      <c r="L1885">
        <f t="shared" si="3"/>
        <v>0</v>
      </c>
    </row>
    <row r="1886">
      <c r="A1886" s="107">
        <f>IFERROR(__xludf.DUMMYFUNCTION("""COMPUTED_VALUE"""),45774.0)</f>
        <v>45774</v>
      </c>
      <c r="B1886" t="str">
        <f>IFERROR(__xludf.DUMMYFUNCTION("""COMPUTED_VALUE"""),"[南港站挑高宅] B [林鍇蓓] 月租金 (行號: 24)")</f>
        <v>[南港站挑高宅] B [林鍇蓓] 月租金 (行號: 24)</v>
      </c>
      <c r="C1886" t="str">
        <f>IFERROR(__xludf.DUMMYFUNCTION("""COMPUTED_VALUE"""),"收入 - 租金")</f>
        <v>收入 - 租金</v>
      </c>
      <c r="D1886" s="270">
        <f>IFERROR(__xludf.DUMMYFUNCTION("""COMPUTED_VALUE"""),12300.0)</f>
        <v>12300</v>
      </c>
      <c r="F1886" t="str">
        <f>IFERROR(__xludf.DUMMYFUNCTION("""COMPUTED_VALUE"""),"台銀籌備帳戶")</f>
        <v>台銀籌備帳戶</v>
      </c>
      <c r="G1886" t="str">
        <f>IFERROR(__xludf.DUMMYFUNCTION("""COMPUTED_VALUE"""),"南港站挑高宅")</f>
        <v>南港站挑高宅</v>
      </c>
      <c r="H1886" s="106" t="str">
        <f t="shared" si="1"/>
        <v>2025-04</v>
      </c>
      <c r="I1886" s="271" t="str">
        <f>IFERROR(__xludf.DUMMYFUNCTION("""COMPUTED_VALUE"""),"貓狗企鵝")</f>
        <v>貓狗企鵝</v>
      </c>
      <c r="J1886" t="str">
        <f>IFERROR(__xludf.DUMMYFUNCTION("IFS(
  AND(REGEXMATCH(E1886, ""台銀籌備帳戶|玉山帳戶""), REGEXMATCH(C1886, ""薪資"")), ""分潤支出"",
  AND(REGEXMATCH(E1886, ""Ben帳戶|Elsa帳戶|Ben代墊|Ariel代墊|中信銀行共用""), REGEXMATCH(F1886, ""Ben帳戶|Elsa帳戶|Ben代墊|Ariel代墊|中信銀行共用"")), ""內部轉帳(忽略)"",
  AND(E1886&lt;&gt;"""", F1886&lt;&gt;"""", N"&amp;"OT(REGEXMATCH(C1886, ""薪資""))), ""內部轉帳(忽略)"",
  REGEXMATCH(C1886, ""薪資""), ""薪資變動(不計入)"",
  REGEXMATCH(C1886, ""押金""), ""押金往來"",
  AND(E1886&lt;&gt;"""", F1886=""""), ""真實支出"",
  AND(E1886="""", F1886&lt;&gt;""""), ""真實收入"",
  TRUE, ""其他""
)"),"真實收入")</f>
        <v>真實收入</v>
      </c>
      <c r="K1886" s="270">
        <f t="shared" si="2"/>
        <v>12300</v>
      </c>
      <c r="L1886">
        <f t="shared" si="3"/>
        <v>0</v>
      </c>
    </row>
    <row r="1887">
      <c r="A1887" s="107">
        <f>IFERROR(__xludf.DUMMYFUNCTION("""COMPUTED_VALUE"""),45777.0)</f>
        <v>45777</v>
      </c>
      <c r="B1887" t="str">
        <f>IFERROR(__xludf.DUMMYFUNCTION("""COMPUTED_VALUE"""),"[景安2分鐘] D [鍾佩晶] 月租金 (行號: 27)")</f>
        <v>[景安2分鐘] D [鍾佩晶] 月租金 (行號: 27)</v>
      </c>
      <c r="C1887" t="str">
        <f>IFERROR(__xludf.DUMMYFUNCTION("""COMPUTED_VALUE"""),"收入 - 租金")</f>
        <v>收入 - 租金</v>
      </c>
      <c r="D1887" s="270">
        <f>IFERROR(__xludf.DUMMYFUNCTION("""COMPUTED_VALUE"""),8600.0)</f>
        <v>8600</v>
      </c>
      <c r="F1887" t="str">
        <f>IFERROR(__xludf.DUMMYFUNCTION("""COMPUTED_VALUE"""),"台銀籌備帳戶")</f>
        <v>台銀籌備帳戶</v>
      </c>
      <c r="G1887" t="str">
        <f>IFERROR(__xludf.DUMMYFUNCTION("""COMPUTED_VALUE"""),"景安2分鐘")</f>
        <v>景安2分鐘</v>
      </c>
      <c r="H1887" s="106" t="str">
        <f t="shared" si="1"/>
        <v>2025-04</v>
      </c>
      <c r="I1887" s="271" t="str">
        <f>IFERROR(__xludf.DUMMYFUNCTION("""COMPUTED_VALUE"""),"貓狗企鵝")</f>
        <v>貓狗企鵝</v>
      </c>
      <c r="J1887" t="str">
        <f>IFERROR(__xludf.DUMMYFUNCTION("IFS(
  AND(REGEXMATCH(E1887, ""台銀籌備帳戶|玉山帳戶""), REGEXMATCH(C1887, ""薪資"")), ""分潤支出"",
  AND(REGEXMATCH(E1887, ""Ben帳戶|Elsa帳戶|Ben代墊|Ariel代墊|中信銀行共用""), REGEXMATCH(F1887, ""Ben帳戶|Elsa帳戶|Ben代墊|Ariel代墊|中信銀行共用"")), ""內部轉帳(忽略)"",
  AND(E1887&lt;&gt;"""", F1887&lt;&gt;"""", N"&amp;"OT(REGEXMATCH(C1887, ""薪資""))), ""內部轉帳(忽略)"",
  REGEXMATCH(C1887, ""薪資""), ""薪資變動(不計入)"",
  REGEXMATCH(C1887, ""押金""), ""押金往來"",
  AND(E1887&lt;&gt;"""", F1887=""""), ""真實支出"",
  AND(E1887="""", F1887&lt;&gt;""""), ""真實收入"",
  TRUE, ""其他""
)"),"真實收入")</f>
        <v>真實收入</v>
      </c>
      <c r="K1887" s="270">
        <f t="shared" si="2"/>
        <v>8600</v>
      </c>
      <c r="L1887">
        <f t="shared" si="3"/>
        <v>0</v>
      </c>
    </row>
    <row r="1888">
      <c r="A1888" s="107">
        <f>IFERROR(__xludf.DUMMYFUNCTION("""COMPUTED_VALUE"""),45777.0)</f>
        <v>45777</v>
      </c>
      <c r="B1888" t="str">
        <f>IFERROR(__xludf.DUMMYFUNCTION("""COMPUTED_VALUE"""),"[金龍帽子先生] A [何佩勳] 月租金 (行號: 28)")</f>
        <v>[金龍帽子先生] A [何佩勳] 月租金 (行號: 28)</v>
      </c>
      <c r="C1888" t="str">
        <f>IFERROR(__xludf.DUMMYFUNCTION("""COMPUTED_VALUE"""),"收入 - 租金")</f>
        <v>收入 - 租金</v>
      </c>
      <c r="D1888" s="270">
        <f>IFERROR(__xludf.DUMMYFUNCTION("""COMPUTED_VALUE"""),17200.0)</f>
        <v>17200</v>
      </c>
      <c r="F1888" t="str">
        <f>IFERROR(__xludf.DUMMYFUNCTION("""COMPUTED_VALUE"""),"台銀籌備帳戶")</f>
        <v>台銀籌備帳戶</v>
      </c>
      <c r="G1888" t="str">
        <f>IFERROR(__xludf.DUMMYFUNCTION("""COMPUTED_VALUE"""),"金龍帽子先生")</f>
        <v>金龍帽子先生</v>
      </c>
      <c r="H1888" s="106" t="str">
        <f t="shared" si="1"/>
        <v>2025-04</v>
      </c>
      <c r="I1888" s="271" t="str">
        <f>IFERROR(__xludf.DUMMYFUNCTION("""COMPUTED_VALUE"""),"貓狗企鵝")</f>
        <v>貓狗企鵝</v>
      </c>
      <c r="J1888" t="str">
        <f>IFERROR(__xludf.DUMMYFUNCTION("IFS(
  AND(REGEXMATCH(E1888, ""台銀籌備帳戶|玉山帳戶""), REGEXMATCH(C1888, ""薪資"")), ""分潤支出"",
  AND(REGEXMATCH(E1888, ""Ben帳戶|Elsa帳戶|Ben代墊|Ariel代墊|中信銀行共用""), REGEXMATCH(F1888, ""Ben帳戶|Elsa帳戶|Ben代墊|Ariel代墊|中信銀行共用"")), ""內部轉帳(忽略)"",
  AND(E1888&lt;&gt;"""", F1888&lt;&gt;"""", N"&amp;"OT(REGEXMATCH(C1888, ""薪資""))), ""內部轉帳(忽略)"",
  REGEXMATCH(C1888, ""薪資""), ""薪資變動(不計入)"",
  REGEXMATCH(C1888, ""押金""), ""押金往來"",
  AND(E1888&lt;&gt;"""", F1888=""""), ""真實支出"",
  AND(E1888="""", F1888&lt;&gt;""""), ""真實收入"",
  TRUE, ""其他""
)"),"真實收入")</f>
        <v>真實收入</v>
      </c>
      <c r="K1888" s="270">
        <f t="shared" si="2"/>
        <v>17200</v>
      </c>
      <c r="L1888">
        <f t="shared" si="3"/>
        <v>0</v>
      </c>
    </row>
    <row r="1889">
      <c r="A1889" s="107">
        <f>IFERROR(__xludf.DUMMYFUNCTION("""COMPUTED_VALUE"""),45777.0)</f>
        <v>45777</v>
      </c>
      <c r="B1889" t="str">
        <f>IFERROR(__xludf.DUMMYFUNCTION("""COMPUTED_VALUE"""),"[哈拉對面] D [柳翰洋] 月租金 (行號: 29)")</f>
        <v>[哈拉對面] D [柳翰洋] 月租金 (行號: 29)</v>
      </c>
      <c r="C1889" t="str">
        <f>IFERROR(__xludf.DUMMYFUNCTION("""COMPUTED_VALUE"""),"收入 - 租金")</f>
        <v>收入 - 租金</v>
      </c>
      <c r="D1889" s="270">
        <f>IFERROR(__xludf.DUMMYFUNCTION("""COMPUTED_VALUE"""),11800.0)</f>
        <v>11800</v>
      </c>
      <c r="F1889" t="str">
        <f>IFERROR(__xludf.DUMMYFUNCTION("""COMPUTED_VALUE"""),"台銀籌備帳戶")</f>
        <v>台銀籌備帳戶</v>
      </c>
      <c r="G1889" t="str">
        <f>IFERROR(__xludf.DUMMYFUNCTION("""COMPUTED_VALUE"""),"哈拉對面")</f>
        <v>哈拉對面</v>
      </c>
      <c r="H1889" s="106" t="str">
        <f t="shared" si="1"/>
        <v>2025-04</v>
      </c>
      <c r="I1889" s="271" t="str">
        <f>IFERROR(__xludf.DUMMYFUNCTION("""COMPUTED_VALUE"""),"貓狗企鵝")</f>
        <v>貓狗企鵝</v>
      </c>
      <c r="J1889" t="str">
        <f>IFERROR(__xludf.DUMMYFUNCTION("IFS(
  AND(REGEXMATCH(E1889, ""台銀籌備帳戶|玉山帳戶""), REGEXMATCH(C1889, ""薪資"")), ""分潤支出"",
  AND(REGEXMATCH(E1889, ""Ben帳戶|Elsa帳戶|Ben代墊|Ariel代墊|中信銀行共用""), REGEXMATCH(F1889, ""Ben帳戶|Elsa帳戶|Ben代墊|Ariel代墊|中信銀行共用"")), ""內部轉帳(忽略)"",
  AND(E1889&lt;&gt;"""", F1889&lt;&gt;"""", N"&amp;"OT(REGEXMATCH(C1889, ""薪資""))), ""內部轉帳(忽略)"",
  REGEXMATCH(C1889, ""薪資""), ""薪資變動(不計入)"",
  REGEXMATCH(C1889, ""押金""), ""押金往來"",
  AND(E1889&lt;&gt;"""", F1889=""""), ""真實支出"",
  AND(E1889="""", F1889&lt;&gt;""""), ""真實收入"",
  TRUE, ""其他""
)"),"真實收入")</f>
        <v>真實收入</v>
      </c>
      <c r="K1889" s="270">
        <f t="shared" si="2"/>
        <v>11800</v>
      </c>
      <c r="L1889">
        <f t="shared" si="3"/>
        <v>0</v>
      </c>
    </row>
    <row r="1890">
      <c r="A1890" s="107">
        <f>IFERROR(__xludf.DUMMYFUNCTION("""COMPUTED_VALUE"""),45777.0)</f>
        <v>45777</v>
      </c>
      <c r="B1890" t="str">
        <f>IFERROR(__xludf.DUMMYFUNCTION("""COMPUTED_VALUE"""),"[南港站挑高宅] C [吳佳叡] 月租金 (行號: 32)")</f>
        <v>[南港站挑高宅] C [吳佳叡] 月租金 (行號: 32)</v>
      </c>
      <c r="C1890" t="str">
        <f>IFERROR(__xludf.DUMMYFUNCTION("""COMPUTED_VALUE"""),"收入 - 租金")</f>
        <v>收入 - 租金</v>
      </c>
      <c r="D1890" s="270">
        <f>IFERROR(__xludf.DUMMYFUNCTION("""COMPUTED_VALUE"""),15000.0)</f>
        <v>15000</v>
      </c>
      <c r="F1890" t="str">
        <f>IFERROR(__xludf.DUMMYFUNCTION("""COMPUTED_VALUE"""),"台銀籌備帳戶")</f>
        <v>台銀籌備帳戶</v>
      </c>
      <c r="G1890" t="str">
        <f>IFERROR(__xludf.DUMMYFUNCTION("""COMPUTED_VALUE"""),"南港站挑高宅")</f>
        <v>南港站挑高宅</v>
      </c>
      <c r="H1890" s="106" t="str">
        <f t="shared" si="1"/>
        <v>2025-04</v>
      </c>
      <c r="I1890" s="271" t="str">
        <f>IFERROR(__xludf.DUMMYFUNCTION("""COMPUTED_VALUE"""),"貓狗企鵝")</f>
        <v>貓狗企鵝</v>
      </c>
      <c r="J1890" t="str">
        <f>IFERROR(__xludf.DUMMYFUNCTION("IFS(
  AND(REGEXMATCH(E1890, ""台銀籌備帳戶|玉山帳戶""), REGEXMATCH(C1890, ""薪資"")), ""分潤支出"",
  AND(REGEXMATCH(E1890, ""Ben帳戶|Elsa帳戶|Ben代墊|Ariel代墊|中信銀行共用""), REGEXMATCH(F1890, ""Ben帳戶|Elsa帳戶|Ben代墊|Ariel代墊|中信銀行共用"")), ""內部轉帳(忽略)"",
  AND(E1890&lt;&gt;"""", F1890&lt;&gt;"""", N"&amp;"OT(REGEXMATCH(C1890, ""薪資""))), ""內部轉帳(忽略)"",
  REGEXMATCH(C1890, ""薪資""), ""薪資變動(不計入)"",
  REGEXMATCH(C1890, ""押金""), ""押金往來"",
  AND(E1890&lt;&gt;"""", F1890=""""), ""真實支出"",
  AND(E1890="""", F1890&lt;&gt;""""), ""真實收入"",
  TRUE, ""其他""
)"),"真實收入")</f>
        <v>真實收入</v>
      </c>
      <c r="K1890" s="270">
        <f t="shared" si="2"/>
        <v>15000</v>
      </c>
      <c r="L1890">
        <f t="shared" si="3"/>
        <v>0</v>
      </c>
    </row>
    <row r="1891">
      <c r="A1891" s="107">
        <f>IFERROR(__xludf.DUMMYFUNCTION("""COMPUTED_VALUE"""),45777.0)</f>
        <v>45777</v>
      </c>
      <c r="B1891" t="str">
        <f>IFERROR(__xludf.DUMMYFUNCTION("""COMPUTED_VALUE"""),"[大湖山莊] C [姚伯謙] 月租金 (行號: 33)")</f>
        <v>[大湖山莊] C [姚伯謙] 月租金 (行號: 33)</v>
      </c>
      <c r="C1891" t="str">
        <f>IFERROR(__xludf.DUMMYFUNCTION("""COMPUTED_VALUE"""),"收入 - 租金")</f>
        <v>收入 - 租金</v>
      </c>
      <c r="D1891" s="270">
        <f>IFERROR(__xludf.DUMMYFUNCTION("""COMPUTED_VALUE"""),18800.0)</f>
        <v>18800</v>
      </c>
      <c r="F1891" t="str">
        <f>IFERROR(__xludf.DUMMYFUNCTION("""COMPUTED_VALUE"""),"台銀籌備帳戶")</f>
        <v>台銀籌備帳戶</v>
      </c>
      <c r="G1891" t="str">
        <f>IFERROR(__xludf.DUMMYFUNCTION("""COMPUTED_VALUE"""),"大湖山莊")</f>
        <v>大湖山莊</v>
      </c>
      <c r="H1891" s="106" t="str">
        <f t="shared" si="1"/>
        <v>2025-04</v>
      </c>
      <c r="I1891" s="271" t="str">
        <f>IFERROR(__xludf.DUMMYFUNCTION("""COMPUTED_VALUE"""),"貓狗企鵝")</f>
        <v>貓狗企鵝</v>
      </c>
      <c r="J1891" t="str">
        <f>IFERROR(__xludf.DUMMYFUNCTION("IFS(
  AND(REGEXMATCH(E1891, ""台銀籌備帳戶|玉山帳戶""), REGEXMATCH(C1891, ""薪資"")), ""分潤支出"",
  AND(REGEXMATCH(E1891, ""Ben帳戶|Elsa帳戶|Ben代墊|Ariel代墊|中信銀行共用""), REGEXMATCH(F1891, ""Ben帳戶|Elsa帳戶|Ben代墊|Ariel代墊|中信銀行共用"")), ""內部轉帳(忽略)"",
  AND(E1891&lt;&gt;"""", F1891&lt;&gt;"""", N"&amp;"OT(REGEXMATCH(C1891, ""薪資""))), ""內部轉帳(忽略)"",
  REGEXMATCH(C1891, ""薪資""), ""薪資變動(不計入)"",
  REGEXMATCH(C1891, ""押金""), ""押金往來"",
  AND(E1891&lt;&gt;"""", F1891=""""), ""真實支出"",
  AND(E1891="""", F1891&lt;&gt;""""), ""真實收入"",
  TRUE, ""其他""
)"),"真實收入")</f>
        <v>真實收入</v>
      </c>
      <c r="K1891" s="270">
        <f t="shared" si="2"/>
        <v>18800</v>
      </c>
      <c r="L1891">
        <f t="shared" si="3"/>
        <v>0</v>
      </c>
    </row>
    <row r="1892">
      <c r="A1892" s="107">
        <f>IFERROR(__xludf.DUMMYFUNCTION("""COMPUTED_VALUE"""),45777.0)</f>
        <v>45777</v>
      </c>
      <c r="B1892" t="str">
        <f>IFERROR(__xludf.DUMMYFUNCTION("""COMPUTED_VALUE"""),"[景安2分鐘] C [楊玉如] 月租金 (行號: 34)")</f>
        <v>[景安2分鐘] C [楊玉如] 月租金 (行號: 34)</v>
      </c>
      <c r="C1892" t="str">
        <f>IFERROR(__xludf.DUMMYFUNCTION("""COMPUTED_VALUE"""),"收入 - 租金")</f>
        <v>收入 - 租金</v>
      </c>
      <c r="D1892" s="270">
        <f>IFERROR(__xludf.DUMMYFUNCTION("""COMPUTED_VALUE"""),12300.0)</f>
        <v>12300</v>
      </c>
      <c r="F1892" t="str">
        <f>IFERROR(__xludf.DUMMYFUNCTION("""COMPUTED_VALUE"""),"台銀籌備帳戶")</f>
        <v>台銀籌備帳戶</v>
      </c>
      <c r="G1892" t="str">
        <f>IFERROR(__xludf.DUMMYFUNCTION("""COMPUTED_VALUE"""),"景安2分鐘")</f>
        <v>景安2分鐘</v>
      </c>
      <c r="H1892" s="106" t="str">
        <f t="shared" si="1"/>
        <v>2025-04</v>
      </c>
      <c r="I1892" s="271" t="str">
        <f>IFERROR(__xludf.DUMMYFUNCTION("""COMPUTED_VALUE"""),"貓狗企鵝")</f>
        <v>貓狗企鵝</v>
      </c>
      <c r="J1892" t="str">
        <f>IFERROR(__xludf.DUMMYFUNCTION("IFS(
  AND(REGEXMATCH(E1892, ""台銀籌備帳戶|玉山帳戶""), REGEXMATCH(C1892, ""薪資"")), ""分潤支出"",
  AND(REGEXMATCH(E1892, ""Ben帳戶|Elsa帳戶|Ben代墊|Ariel代墊|中信銀行共用""), REGEXMATCH(F1892, ""Ben帳戶|Elsa帳戶|Ben代墊|Ariel代墊|中信銀行共用"")), ""內部轉帳(忽略)"",
  AND(E1892&lt;&gt;"""", F1892&lt;&gt;"""", N"&amp;"OT(REGEXMATCH(C1892, ""薪資""))), ""內部轉帳(忽略)"",
  REGEXMATCH(C1892, ""薪資""), ""薪資變動(不計入)"",
  REGEXMATCH(C1892, ""押金""), ""押金往來"",
  AND(E1892&lt;&gt;"""", F1892=""""), ""真實支出"",
  AND(E1892="""", F1892&lt;&gt;""""), ""真實收入"",
  TRUE, ""其他""
)"),"真實收入")</f>
        <v>真實收入</v>
      </c>
      <c r="K1892" s="270">
        <f t="shared" si="2"/>
        <v>12300</v>
      </c>
      <c r="L1892">
        <f t="shared" si="3"/>
        <v>0</v>
      </c>
    </row>
    <row r="1893">
      <c r="A1893" s="107">
        <f>IFERROR(__xludf.DUMMYFUNCTION("""COMPUTED_VALUE"""),45778.0)</f>
        <v>45778</v>
      </c>
      <c r="B1893" t="str">
        <f>IFERROR(__xludf.DUMMYFUNCTION("""COMPUTED_VALUE"""),"[景安2分鐘] B [張語婕, 張依憑] 月租金 (行號: 35)")</f>
        <v>[景安2分鐘] B [張語婕, 張依憑] 月租金 (行號: 35)</v>
      </c>
      <c r="C1893" t="str">
        <f>IFERROR(__xludf.DUMMYFUNCTION("""COMPUTED_VALUE"""),"收入 - 租金")</f>
        <v>收入 - 租金</v>
      </c>
      <c r="D1893" s="270">
        <f>IFERROR(__xludf.DUMMYFUNCTION("""COMPUTED_VALUE"""),18800.0)</f>
        <v>18800</v>
      </c>
      <c r="F1893" t="str">
        <f>IFERROR(__xludf.DUMMYFUNCTION("""COMPUTED_VALUE"""),"台銀籌備帳戶")</f>
        <v>台銀籌備帳戶</v>
      </c>
      <c r="G1893" t="str">
        <f>IFERROR(__xludf.DUMMYFUNCTION("""COMPUTED_VALUE"""),"景安2分鐘")</f>
        <v>景安2分鐘</v>
      </c>
      <c r="H1893" s="106" t="str">
        <f t="shared" si="1"/>
        <v>2025-05</v>
      </c>
      <c r="I1893" s="271" t="str">
        <f>IFERROR(__xludf.DUMMYFUNCTION("""COMPUTED_VALUE"""),"貓狗企鵝")</f>
        <v>貓狗企鵝</v>
      </c>
      <c r="J1893" t="str">
        <f>IFERROR(__xludf.DUMMYFUNCTION("IFS(
  AND(REGEXMATCH(E1893, ""台銀籌備帳戶|玉山帳戶""), REGEXMATCH(C1893, ""薪資"")), ""分潤支出"",
  AND(REGEXMATCH(E1893, ""Ben帳戶|Elsa帳戶|Ben代墊|Ariel代墊|中信銀行共用""), REGEXMATCH(F1893, ""Ben帳戶|Elsa帳戶|Ben代墊|Ariel代墊|中信銀行共用"")), ""內部轉帳(忽略)"",
  AND(E1893&lt;&gt;"""", F1893&lt;&gt;"""", N"&amp;"OT(REGEXMATCH(C1893, ""薪資""))), ""內部轉帳(忽略)"",
  REGEXMATCH(C1893, ""薪資""), ""薪資變動(不計入)"",
  REGEXMATCH(C1893, ""押金""), ""押金往來"",
  AND(E1893&lt;&gt;"""", F1893=""""), ""真實支出"",
  AND(E1893="""", F1893&lt;&gt;""""), ""真實收入"",
  TRUE, ""其他""
)"),"真實收入")</f>
        <v>真實收入</v>
      </c>
      <c r="K1893" s="270">
        <f t="shared" si="2"/>
        <v>18800</v>
      </c>
      <c r="L1893">
        <f t="shared" si="3"/>
        <v>0</v>
      </c>
    </row>
    <row r="1894">
      <c r="A1894" s="107">
        <f>IFERROR(__xludf.DUMMYFUNCTION("""COMPUTED_VALUE"""),45778.0)</f>
        <v>45778</v>
      </c>
      <c r="B1894" t="str">
        <f>IFERROR(__xludf.DUMMYFUNCTION("""COMPUTED_VALUE"""),"[南港站挑高宅] A [莊以棋] 月租金 (行號: 36)")</f>
        <v>[南港站挑高宅] A [莊以棋] 月租金 (行號: 36)</v>
      </c>
      <c r="C1894" t="str">
        <f>IFERROR(__xludf.DUMMYFUNCTION("""COMPUTED_VALUE"""),"收入 - 租金")</f>
        <v>收入 - 租金</v>
      </c>
      <c r="D1894" s="270">
        <f>IFERROR(__xludf.DUMMYFUNCTION("""COMPUTED_VALUE"""),13000.0)</f>
        <v>13000</v>
      </c>
      <c r="F1894" t="str">
        <f>IFERROR(__xludf.DUMMYFUNCTION("""COMPUTED_VALUE"""),"台銀籌備帳戶")</f>
        <v>台銀籌備帳戶</v>
      </c>
      <c r="G1894" t="str">
        <f>IFERROR(__xludf.DUMMYFUNCTION("""COMPUTED_VALUE"""),"南港站挑高宅")</f>
        <v>南港站挑高宅</v>
      </c>
      <c r="H1894" s="106" t="str">
        <f t="shared" si="1"/>
        <v>2025-05</v>
      </c>
      <c r="I1894" s="271" t="str">
        <f>IFERROR(__xludf.DUMMYFUNCTION("""COMPUTED_VALUE"""),"貓狗企鵝")</f>
        <v>貓狗企鵝</v>
      </c>
      <c r="J1894" t="str">
        <f>IFERROR(__xludf.DUMMYFUNCTION("IFS(
  AND(REGEXMATCH(E1894, ""台銀籌備帳戶|玉山帳戶""), REGEXMATCH(C1894, ""薪資"")), ""分潤支出"",
  AND(REGEXMATCH(E1894, ""Ben帳戶|Elsa帳戶|Ben代墊|Ariel代墊|中信銀行共用""), REGEXMATCH(F1894, ""Ben帳戶|Elsa帳戶|Ben代墊|Ariel代墊|中信銀行共用"")), ""內部轉帳(忽略)"",
  AND(E1894&lt;&gt;"""", F1894&lt;&gt;"""", N"&amp;"OT(REGEXMATCH(C1894, ""薪資""))), ""內部轉帳(忽略)"",
  REGEXMATCH(C1894, ""薪資""), ""薪資變動(不計入)"",
  REGEXMATCH(C1894, ""押金""), ""押金往來"",
  AND(E1894&lt;&gt;"""", F1894=""""), ""真實支出"",
  AND(E1894="""", F1894&lt;&gt;""""), ""真實收入"",
  TRUE, ""其他""
)"),"真實收入")</f>
        <v>真實收入</v>
      </c>
      <c r="K1894" s="270">
        <f t="shared" si="2"/>
        <v>13000</v>
      </c>
      <c r="L1894">
        <f t="shared" si="3"/>
        <v>0</v>
      </c>
    </row>
    <row r="1895">
      <c r="A1895" s="107">
        <f>IFERROR(__xludf.DUMMYFUNCTION("""COMPUTED_VALUE"""),45778.0)</f>
        <v>45778</v>
      </c>
      <c r="B1895" t="str">
        <f>IFERROR(__xludf.DUMMYFUNCTION("""COMPUTED_VALUE"""),"[大湖山莊] B [施惠卿] 月租金 (行號: 38)")</f>
        <v>[大湖山莊] B [施惠卿] 月租金 (行號: 38)</v>
      </c>
      <c r="C1895" t="str">
        <f>IFERROR(__xludf.DUMMYFUNCTION("""COMPUTED_VALUE"""),"收入 - 租金")</f>
        <v>收入 - 租金</v>
      </c>
      <c r="D1895" s="270">
        <f>IFERROR(__xludf.DUMMYFUNCTION("""COMPUTED_VALUE"""),12800.0)</f>
        <v>12800</v>
      </c>
      <c r="F1895" t="str">
        <f>IFERROR(__xludf.DUMMYFUNCTION("""COMPUTED_VALUE"""),"台銀籌備帳戶")</f>
        <v>台銀籌備帳戶</v>
      </c>
      <c r="G1895" t="str">
        <f>IFERROR(__xludf.DUMMYFUNCTION("""COMPUTED_VALUE"""),"大湖山莊")</f>
        <v>大湖山莊</v>
      </c>
      <c r="H1895" s="106" t="str">
        <f t="shared" si="1"/>
        <v>2025-05</v>
      </c>
      <c r="I1895" s="271" t="str">
        <f>IFERROR(__xludf.DUMMYFUNCTION("""COMPUTED_VALUE"""),"貓狗企鵝")</f>
        <v>貓狗企鵝</v>
      </c>
      <c r="J1895" t="str">
        <f>IFERROR(__xludf.DUMMYFUNCTION("IFS(
  AND(REGEXMATCH(E1895, ""台銀籌備帳戶|玉山帳戶""), REGEXMATCH(C1895, ""薪資"")), ""分潤支出"",
  AND(REGEXMATCH(E1895, ""Ben帳戶|Elsa帳戶|Ben代墊|Ariel代墊|中信銀行共用""), REGEXMATCH(F1895, ""Ben帳戶|Elsa帳戶|Ben代墊|Ariel代墊|中信銀行共用"")), ""內部轉帳(忽略)"",
  AND(E1895&lt;&gt;"""", F1895&lt;&gt;"""", N"&amp;"OT(REGEXMATCH(C1895, ""薪資""))), ""內部轉帳(忽略)"",
  REGEXMATCH(C1895, ""薪資""), ""薪資變動(不計入)"",
  REGEXMATCH(C1895, ""押金""), ""押金往來"",
  AND(E1895&lt;&gt;"""", F1895=""""), ""真實支出"",
  AND(E1895="""", F1895&lt;&gt;""""), ""真實收入"",
  TRUE, ""其他""
)"),"真實收入")</f>
        <v>真實收入</v>
      </c>
      <c r="K1895" s="270">
        <f t="shared" si="2"/>
        <v>12800</v>
      </c>
      <c r="L1895">
        <f t="shared" si="3"/>
        <v>0</v>
      </c>
    </row>
    <row r="1896">
      <c r="A1896" s="107">
        <f>IFERROR(__xludf.DUMMYFUNCTION("""COMPUTED_VALUE"""),45778.0)</f>
        <v>45778</v>
      </c>
      <c r="B1896" t="str">
        <f>IFERROR(__xludf.DUMMYFUNCTION("""COMPUTED_VALUE"""),"[中山北娘家旁] B [李彥靜] 月租金 (行號: 39)")</f>
        <v>[中山北娘家旁] B [李彥靜] 月租金 (行號: 39)</v>
      </c>
      <c r="C1896" t="str">
        <f>IFERROR(__xludf.DUMMYFUNCTION("""COMPUTED_VALUE"""),"收入 - 租金")</f>
        <v>收入 - 租金</v>
      </c>
      <c r="D1896" s="270">
        <f>IFERROR(__xludf.DUMMYFUNCTION("""COMPUTED_VALUE"""),12500.0)</f>
        <v>12500</v>
      </c>
      <c r="F1896" t="str">
        <f>IFERROR(__xludf.DUMMYFUNCTION("""COMPUTED_VALUE"""),"台銀籌備帳戶")</f>
        <v>台銀籌備帳戶</v>
      </c>
      <c r="G1896" t="str">
        <f>IFERROR(__xludf.DUMMYFUNCTION("""COMPUTED_VALUE"""),"中山北娘家旁")</f>
        <v>中山北娘家旁</v>
      </c>
      <c r="H1896" s="106" t="str">
        <f t="shared" si="1"/>
        <v>2025-05</v>
      </c>
      <c r="I1896" s="271" t="str">
        <f>IFERROR(__xludf.DUMMYFUNCTION("""COMPUTED_VALUE"""),"貓狗企鵝")</f>
        <v>貓狗企鵝</v>
      </c>
      <c r="J1896" t="str">
        <f>IFERROR(__xludf.DUMMYFUNCTION("IFS(
  AND(REGEXMATCH(E1896, ""台銀籌備帳戶|玉山帳戶""), REGEXMATCH(C1896, ""薪資"")), ""分潤支出"",
  AND(REGEXMATCH(E1896, ""Ben帳戶|Elsa帳戶|Ben代墊|Ariel代墊|中信銀行共用""), REGEXMATCH(F1896, ""Ben帳戶|Elsa帳戶|Ben代墊|Ariel代墊|中信銀行共用"")), ""內部轉帳(忽略)"",
  AND(E1896&lt;&gt;"""", F1896&lt;&gt;"""", N"&amp;"OT(REGEXMATCH(C1896, ""薪資""))), ""內部轉帳(忽略)"",
  REGEXMATCH(C1896, ""薪資""), ""薪資變動(不計入)"",
  REGEXMATCH(C1896, ""押金""), ""押金往來"",
  AND(E1896&lt;&gt;"""", F1896=""""), ""真實支出"",
  AND(E1896="""", F1896&lt;&gt;""""), ""真實收入"",
  TRUE, ""其他""
)"),"真實收入")</f>
        <v>真實收入</v>
      </c>
      <c r="K1896" s="270">
        <f t="shared" si="2"/>
        <v>12500</v>
      </c>
      <c r="L1896">
        <f t="shared" si="3"/>
        <v>0</v>
      </c>
    </row>
    <row r="1897">
      <c r="A1897" s="107">
        <f>IFERROR(__xludf.DUMMYFUNCTION("""COMPUTED_VALUE"""),45778.0)</f>
        <v>45778</v>
      </c>
      <c r="B1897" t="str">
        <f>IFERROR(__xludf.DUMMYFUNCTION("""COMPUTED_VALUE"""),"[永春四號] D [翁政熙] 月租金 (行號: 40)")</f>
        <v>[永春四號] D [翁政熙] 月租金 (行號: 40)</v>
      </c>
      <c r="C1897" t="str">
        <f>IFERROR(__xludf.DUMMYFUNCTION("""COMPUTED_VALUE"""),"收入 - 租金")</f>
        <v>收入 - 租金</v>
      </c>
      <c r="D1897" s="270">
        <f>IFERROR(__xludf.DUMMYFUNCTION("""COMPUTED_VALUE"""),14800.0)</f>
        <v>14800</v>
      </c>
      <c r="F1897" t="str">
        <f>IFERROR(__xludf.DUMMYFUNCTION("""COMPUTED_VALUE"""),"台銀籌備帳戶")</f>
        <v>台銀籌備帳戶</v>
      </c>
      <c r="G1897" t="str">
        <f>IFERROR(__xludf.DUMMYFUNCTION("""COMPUTED_VALUE"""),"永春四號")</f>
        <v>永春四號</v>
      </c>
      <c r="H1897" s="106" t="str">
        <f t="shared" si="1"/>
        <v>2025-05</v>
      </c>
      <c r="I1897" s="271" t="str">
        <f>IFERROR(__xludf.DUMMYFUNCTION("""COMPUTED_VALUE"""),"貓狗企鵝")</f>
        <v>貓狗企鵝</v>
      </c>
      <c r="J1897" t="str">
        <f>IFERROR(__xludf.DUMMYFUNCTION("IFS(
  AND(REGEXMATCH(E1897, ""台銀籌備帳戶|玉山帳戶""), REGEXMATCH(C1897, ""薪資"")), ""分潤支出"",
  AND(REGEXMATCH(E1897, ""Ben帳戶|Elsa帳戶|Ben代墊|Ariel代墊|中信銀行共用""), REGEXMATCH(F1897, ""Ben帳戶|Elsa帳戶|Ben代墊|Ariel代墊|中信銀行共用"")), ""內部轉帳(忽略)"",
  AND(E1897&lt;&gt;"""", F1897&lt;&gt;"""", N"&amp;"OT(REGEXMATCH(C1897, ""薪資""))), ""內部轉帳(忽略)"",
  REGEXMATCH(C1897, ""薪資""), ""薪資變動(不計入)"",
  REGEXMATCH(C1897, ""押金""), ""押金往來"",
  AND(E1897&lt;&gt;"""", F1897=""""), ""真實支出"",
  AND(E1897="""", F1897&lt;&gt;""""), ""真實收入"",
  TRUE, ""其他""
)"),"真實收入")</f>
        <v>真實收入</v>
      </c>
      <c r="K1897" s="270">
        <f t="shared" si="2"/>
        <v>14800</v>
      </c>
      <c r="L1897">
        <f t="shared" si="3"/>
        <v>0</v>
      </c>
    </row>
    <row r="1898">
      <c r="A1898" s="107">
        <f>IFERROR(__xludf.DUMMYFUNCTION("""COMPUTED_VALUE"""),45778.0)</f>
        <v>45778</v>
      </c>
      <c r="B1898" t="str">
        <f>IFERROR(__xludf.DUMMYFUNCTION("""COMPUTED_VALUE"""),"[中山北Feli家] D [邱佳慧] 月租金 (行號: 51)")</f>
        <v>[中山北Feli家] D [邱佳慧] 月租金 (行號: 51)</v>
      </c>
      <c r="C1898" t="str">
        <f>IFERROR(__xludf.DUMMYFUNCTION("""COMPUTED_VALUE"""),"收入 - 租金")</f>
        <v>收入 - 租金</v>
      </c>
      <c r="D1898" s="270">
        <f>IFERROR(__xludf.DUMMYFUNCTION("""COMPUTED_VALUE"""),10800.0)</f>
        <v>10800</v>
      </c>
      <c r="F1898" t="str">
        <f>IFERROR(__xludf.DUMMYFUNCTION("""COMPUTED_VALUE"""),"台銀籌備帳戶")</f>
        <v>台銀籌備帳戶</v>
      </c>
      <c r="G1898" t="str">
        <f>IFERROR(__xludf.DUMMYFUNCTION("""COMPUTED_VALUE"""),"中山北Feli家")</f>
        <v>中山北Feli家</v>
      </c>
      <c r="H1898" s="106" t="str">
        <f t="shared" si="1"/>
        <v>2025-05</v>
      </c>
      <c r="I1898" s="271" t="str">
        <f>IFERROR(__xludf.DUMMYFUNCTION("""COMPUTED_VALUE"""),"貓狗企鵝")</f>
        <v>貓狗企鵝</v>
      </c>
      <c r="J1898" t="str">
        <f>IFERROR(__xludf.DUMMYFUNCTION("IFS(
  AND(REGEXMATCH(E1898, ""台銀籌備帳戶|玉山帳戶""), REGEXMATCH(C1898, ""薪資"")), ""分潤支出"",
  AND(REGEXMATCH(E1898, ""Ben帳戶|Elsa帳戶|Ben代墊|Ariel代墊|中信銀行共用""), REGEXMATCH(F1898, ""Ben帳戶|Elsa帳戶|Ben代墊|Ariel代墊|中信銀行共用"")), ""內部轉帳(忽略)"",
  AND(E1898&lt;&gt;"""", F1898&lt;&gt;"""", N"&amp;"OT(REGEXMATCH(C1898, ""薪資""))), ""內部轉帳(忽略)"",
  REGEXMATCH(C1898, ""薪資""), ""薪資變動(不計入)"",
  REGEXMATCH(C1898, ""押金""), ""押金往來"",
  AND(E1898&lt;&gt;"""", F1898=""""), ""真實支出"",
  AND(E1898="""", F1898&lt;&gt;""""), ""真實收入"",
  TRUE, ""其他""
)"),"真實收入")</f>
        <v>真實收入</v>
      </c>
      <c r="K1898" s="270">
        <f t="shared" si="2"/>
        <v>10800</v>
      </c>
      <c r="L1898">
        <f t="shared" si="3"/>
        <v>0</v>
      </c>
    </row>
    <row r="1899">
      <c r="A1899" s="107">
        <f>IFERROR(__xludf.DUMMYFUNCTION("""COMPUTED_VALUE"""),45778.0)</f>
        <v>45778</v>
      </c>
      <c r="B1899" t="str">
        <f>IFERROR(__xludf.DUMMYFUNCTION("""COMPUTED_VALUE"""),"[景安2分鐘] E [楊惠閔] 月租金 (行號: 52)")</f>
        <v>[景安2分鐘] E [楊惠閔] 月租金 (行號: 52)</v>
      </c>
      <c r="C1899" t="str">
        <f>IFERROR(__xludf.DUMMYFUNCTION("""COMPUTED_VALUE"""),"收入 - 租金")</f>
        <v>收入 - 租金</v>
      </c>
      <c r="D1899" s="270">
        <f>IFERROR(__xludf.DUMMYFUNCTION("""COMPUTED_VALUE"""),10500.0)</f>
        <v>10500</v>
      </c>
      <c r="F1899" t="str">
        <f>IFERROR(__xludf.DUMMYFUNCTION("""COMPUTED_VALUE"""),"台銀籌備帳戶")</f>
        <v>台銀籌備帳戶</v>
      </c>
      <c r="G1899" t="str">
        <f>IFERROR(__xludf.DUMMYFUNCTION("""COMPUTED_VALUE"""),"景安2分鐘")</f>
        <v>景安2分鐘</v>
      </c>
      <c r="H1899" s="106" t="str">
        <f t="shared" si="1"/>
        <v>2025-05</v>
      </c>
      <c r="I1899" s="271" t="str">
        <f>IFERROR(__xludf.DUMMYFUNCTION("""COMPUTED_VALUE"""),"貓狗企鵝")</f>
        <v>貓狗企鵝</v>
      </c>
      <c r="J1899" t="str">
        <f>IFERROR(__xludf.DUMMYFUNCTION("IFS(
  AND(REGEXMATCH(E1899, ""台銀籌備帳戶|玉山帳戶""), REGEXMATCH(C1899, ""薪資"")), ""分潤支出"",
  AND(REGEXMATCH(E1899, ""Ben帳戶|Elsa帳戶|Ben代墊|Ariel代墊|中信銀行共用""), REGEXMATCH(F1899, ""Ben帳戶|Elsa帳戶|Ben代墊|Ariel代墊|中信銀行共用"")), ""內部轉帳(忽略)"",
  AND(E1899&lt;&gt;"""", F1899&lt;&gt;"""", N"&amp;"OT(REGEXMATCH(C1899, ""薪資""))), ""內部轉帳(忽略)"",
  REGEXMATCH(C1899, ""薪資""), ""薪資變動(不計入)"",
  REGEXMATCH(C1899, ""押金""), ""押金往來"",
  AND(E1899&lt;&gt;"""", F1899=""""), ""真實支出"",
  AND(E1899="""", F1899&lt;&gt;""""), ""真實收入"",
  TRUE, ""其他""
)"),"真實收入")</f>
        <v>真實收入</v>
      </c>
      <c r="K1899" s="270">
        <f t="shared" si="2"/>
        <v>10500</v>
      </c>
      <c r="L1899">
        <f t="shared" si="3"/>
        <v>0</v>
      </c>
    </row>
    <row r="1900">
      <c r="A1900" s="107">
        <f>IFERROR(__xludf.DUMMYFUNCTION("""COMPUTED_VALUE"""),45778.0)</f>
        <v>45778</v>
      </c>
      <c r="B1900" t="str">
        <f>IFERROR(__xludf.DUMMYFUNCTION("""COMPUTED_VALUE"""),"[南港站挑高宅] D [吳城慕] 月租金 (行號: 53)")</f>
        <v>[南港站挑高宅] D [吳城慕] 月租金 (行號: 53)</v>
      </c>
      <c r="C1900" t="str">
        <f>IFERROR(__xludf.DUMMYFUNCTION("""COMPUTED_VALUE"""),"收入 - 租金")</f>
        <v>收入 - 租金</v>
      </c>
      <c r="D1900" s="270">
        <f>IFERROR(__xludf.DUMMYFUNCTION("""COMPUTED_VALUE"""),14300.0)</f>
        <v>14300</v>
      </c>
      <c r="F1900" t="str">
        <f>IFERROR(__xludf.DUMMYFUNCTION("""COMPUTED_VALUE"""),"台銀籌備帳戶")</f>
        <v>台銀籌備帳戶</v>
      </c>
      <c r="G1900" t="str">
        <f>IFERROR(__xludf.DUMMYFUNCTION("""COMPUTED_VALUE"""),"南港站挑高宅")</f>
        <v>南港站挑高宅</v>
      </c>
      <c r="H1900" s="106" t="str">
        <f t="shared" si="1"/>
        <v>2025-05</v>
      </c>
      <c r="I1900" s="271" t="str">
        <f>IFERROR(__xludf.DUMMYFUNCTION("""COMPUTED_VALUE"""),"貓狗企鵝")</f>
        <v>貓狗企鵝</v>
      </c>
      <c r="J1900" t="str">
        <f>IFERROR(__xludf.DUMMYFUNCTION("IFS(
  AND(REGEXMATCH(E1900, ""台銀籌備帳戶|玉山帳戶""), REGEXMATCH(C1900, ""薪資"")), ""分潤支出"",
  AND(REGEXMATCH(E1900, ""Ben帳戶|Elsa帳戶|Ben代墊|Ariel代墊|中信銀行共用""), REGEXMATCH(F1900, ""Ben帳戶|Elsa帳戶|Ben代墊|Ariel代墊|中信銀行共用"")), ""內部轉帳(忽略)"",
  AND(E1900&lt;&gt;"""", F1900&lt;&gt;"""", N"&amp;"OT(REGEXMATCH(C1900, ""薪資""))), ""內部轉帳(忽略)"",
  REGEXMATCH(C1900, ""薪資""), ""薪資變動(不計入)"",
  REGEXMATCH(C1900, ""押金""), ""押金往來"",
  AND(E1900&lt;&gt;"""", F1900=""""), ""真實支出"",
  AND(E1900="""", F1900&lt;&gt;""""), ""真實收入"",
  TRUE, ""其他""
)"),"真實收入")</f>
        <v>真實收入</v>
      </c>
      <c r="K1900" s="270">
        <f t="shared" si="2"/>
        <v>14300</v>
      </c>
      <c r="L1900">
        <f t="shared" si="3"/>
        <v>0</v>
      </c>
    </row>
    <row r="1901">
      <c r="A1901" s="107">
        <f>IFERROR(__xludf.DUMMYFUNCTION("""COMPUTED_VALUE"""),45778.0)</f>
        <v>45778</v>
      </c>
      <c r="B1901" t="str">
        <f>IFERROR(__xludf.DUMMYFUNCTION("""COMPUTED_VALUE"""),"[哈拉對面] B [鄭又菡] 月租金 (行號: 54)")</f>
        <v>[哈拉對面] B [鄭又菡] 月租金 (行號: 54)</v>
      </c>
      <c r="C1901" t="str">
        <f>IFERROR(__xludf.DUMMYFUNCTION("""COMPUTED_VALUE"""),"收入 - 租金")</f>
        <v>收入 - 租金</v>
      </c>
      <c r="D1901" s="270">
        <f>IFERROR(__xludf.DUMMYFUNCTION("""COMPUTED_VALUE"""),15800.0)</f>
        <v>15800</v>
      </c>
      <c r="F1901" t="str">
        <f>IFERROR(__xludf.DUMMYFUNCTION("""COMPUTED_VALUE"""),"台銀籌備帳戶")</f>
        <v>台銀籌備帳戶</v>
      </c>
      <c r="G1901" t="str">
        <f>IFERROR(__xludf.DUMMYFUNCTION("""COMPUTED_VALUE"""),"哈拉對面")</f>
        <v>哈拉對面</v>
      </c>
      <c r="H1901" s="106" t="str">
        <f t="shared" si="1"/>
        <v>2025-05</v>
      </c>
      <c r="I1901" s="271" t="str">
        <f>IFERROR(__xludf.DUMMYFUNCTION("""COMPUTED_VALUE"""),"貓狗企鵝")</f>
        <v>貓狗企鵝</v>
      </c>
      <c r="J1901" t="str">
        <f>IFERROR(__xludf.DUMMYFUNCTION("IFS(
  AND(REGEXMATCH(E1901, ""台銀籌備帳戶|玉山帳戶""), REGEXMATCH(C1901, ""薪資"")), ""分潤支出"",
  AND(REGEXMATCH(E1901, ""Ben帳戶|Elsa帳戶|Ben代墊|Ariel代墊|中信銀行共用""), REGEXMATCH(F1901, ""Ben帳戶|Elsa帳戶|Ben代墊|Ariel代墊|中信銀行共用"")), ""內部轉帳(忽略)"",
  AND(E1901&lt;&gt;"""", F1901&lt;&gt;"""", N"&amp;"OT(REGEXMATCH(C1901, ""薪資""))), ""內部轉帳(忽略)"",
  REGEXMATCH(C1901, ""薪資""), ""薪資變動(不計入)"",
  REGEXMATCH(C1901, ""押金""), ""押金往來"",
  AND(E1901&lt;&gt;"""", F1901=""""), ""真實支出"",
  AND(E1901="""", F1901&lt;&gt;""""), ""真實收入"",
  TRUE, ""其他""
)"),"真實收入")</f>
        <v>真實收入</v>
      </c>
      <c r="K1901" s="270">
        <f t="shared" si="2"/>
        <v>15800</v>
      </c>
      <c r="L1901">
        <f t="shared" si="3"/>
        <v>0</v>
      </c>
    </row>
    <row r="1902">
      <c r="A1902" s="107">
        <f>IFERROR(__xludf.DUMMYFUNCTION("""COMPUTED_VALUE"""),45778.0)</f>
        <v>45778</v>
      </c>
      <c r="B1902" t="str">
        <f>IFERROR(__xludf.DUMMYFUNCTION("""COMPUTED_VALUE"""),"[永春四號] B [袁家鳳] 月租金 (行號: 55)")</f>
        <v>[永春四號] B [袁家鳳] 月租金 (行號: 55)</v>
      </c>
      <c r="C1902" t="str">
        <f>IFERROR(__xludf.DUMMYFUNCTION("""COMPUTED_VALUE"""),"收入 - 租金")</f>
        <v>收入 - 租金</v>
      </c>
      <c r="D1902" s="270">
        <f>IFERROR(__xludf.DUMMYFUNCTION("""COMPUTED_VALUE"""),13500.0)</f>
        <v>13500</v>
      </c>
      <c r="F1902" t="str">
        <f>IFERROR(__xludf.DUMMYFUNCTION("""COMPUTED_VALUE"""),"台銀籌備帳戶")</f>
        <v>台銀籌備帳戶</v>
      </c>
      <c r="G1902" t="str">
        <f>IFERROR(__xludf.DUMMYFUNCTION("""COMPUTED_VALUE"""),"永春四號")</f>
        <v>永春四號</v>
      </c>
      <c r="H1902" s="106" t="str">
        <f t="shared" si="1"/>
        <v>2025-05</v>
      </c>
      <c r="I1902" s="271" t="str">
        <f>IFERROR(__xludf.DUMMYFUNCTION("""COMPUTED_VALUE"""),"貓狗企鵝")</f>
        <v>貓狗企鵝</v>
      </c>
      <c r="J1902" t="str">
        <f>IFERROR(__xludf.DUMMYFUNCTION("IFS(
  AND(REGEXMATCH(E1902, ""台銀籌備帳戶|玉山帳戶""), REGEXMATCH(C1902, ""薪資"")), ""分潤支出"",
  AND(REGEXMATCH(E1902, ""Ben帳戶|Elsa帳戶|Ben代墊|Ariel代墊|中信銀行共用""), REGEXMATCH(F1902, ""Ben帳戶|Elsa帳戶|Ben代墊|Ariel代墊|中信銀行共用"")), ""內部轉帳(忽略)"",
  AND(E1902&lt;&gt;"""", F1902&lt;&gt;"""", N"&amp;"OT(REGEXMATCH(C1902, ""薪資""))), ""內部轉帳(忽略)"",
  REGEXMATCH(C1902, ""薪資""), ""薪資變動(不計入)"",
  REGEXMATCH(C1902, ""押金""), ""押金往來"",
  AND(E1902&lt;&gt;"""", F1902=""""), ""真實支出"",
  AND(E1902="""", F1902&lt;&gt;""""), ""真實收入"",
  TRUE, ""其他""
)"),"真實收入")</f>
        <v>真實收入</v>
      </c>
      <c r="K1902" s="270">
        <f t="shared" si="2"/>
        <v>13500</v>
      </c>
      <c r="L1902">
        <f t="shared" si="3"/>
        <v>0</v>
      </c>
    </row>
    <row r="1903">
      <c r="A1903" s="107">
        <f>IFERROR(__xludf.DUMMYFUNCTION("""COMPUTED_VALUE"""),45778.0)</f>
        <v>45778</v>
      </c>
      <c r="B1903" t="str">
        <f>IFERROR(__xludf.DUMMYFUNCTION("""COMPUTED_VALUE"""),"[中山北娘家旁] A [李亨加] 月租金 (行號: 57, 58)")</f>
        <v>[中山北娘家旁] A [李亨加] 月租金 (行號: 57, 58)</v>
      </c>
      <c r="C1903" t="str">
        <f>IFERROR(__xludf.DUMMYFUNCTION("""COMPUTED_VALUE"""),"收入 - 租金")</f>
        <v>收入 - 租金</v>
      </c>
      <c r="D1903" s="270">
        <f>IFERROR(__xludf.DUMMYFUNCTION("""COMPUTED_VALUE"""),12500.0)</f>
        <v>12500</v>
      </c>
      <c r="F1903" t="str">
        <f>IFERROR(__xludf.DUMMYFUNCTION("""COMPUTED_VALUE"""),"台銀籌備帳戶")</f>
        <v>台銀籌備帳戶</v>
      </c>
      <c r="G1903" t="str">
        <f>IFERROR(__xludf.DUMMYFUNCTION("""COMPUTED_VALUE"""),"中山北娘家旁")</f>
        <v>中山北娘家旁</v>
      </c>
      <c r="H1903" s="106" t="str">
        <f t="shared" si="1"/>
        <v>2025-05</v>
      </c>
      <c r="I1903" s="271" t="str">
        <f>IFERROR(__xludf.DUMMYFUNCTION("""COMPUTED_VALUE"""),"貓狗企鵝")</f>
        <v>貓狗企鵝</v>
      </c>
      <c r="J1903" t="str">
        <f>IFERROR(__xludf.DUMMYFUNCTION("IFS(
  AND(REGEXMATCH(E1903, ""台銀籌備帳戶|玉山帳戶""), REGEXMATCH(C1903, ""薪資"")), ""分潤支出"",
  AND(REGEXMATCH(E1903, ""Ben帳戶|Elsa帳戶|Ben代墊|Ariel代墊|中信銀行共用""), REGEXMATCH(F1903, ""Ben帳戶|Elsa帳戶|Ben代墊|Ariel代墊|中信銀行共用"")), ""內部轉帳(忽略)"",
  AND(E1903&lt;&gt;"""", F1903&lt;&gt;"""", N"&amp;"OT(REGEXMATCH(C1903, ""薪資""))), ""內部轉帳(忽略)"",
  REGEXMATCH(C1903, ""薪資""), ""薪資變動(不計入)"",
  REGEXMATCH(C1903, ""押金""), ""押金往來"",
  AND(E1903&lt;&gt;"""", F1903=""""), ""真實支出"",
  AND(E1903="""", F1903&lt;&gt;""""), ""真實收入"",
  TRUE, ""其他""
)"),"真實收入")</f>
        <v>真實收入</v>
      </c>
      <c r="K1903" s="270">
        <f t="shared" si="2"/>
        <v>12500</v>
      </c>
      <c r="L1903">
        <f t="shared" si="3"/>
        <v>0</v>
      </c>
    </row>
    <row r="1904">
      <c r="A1904" s="107">
        <f>IFERROR(__xludf.DUMMYFUNCTION("""COMPUTED_VALUE"""),45778.0)</f>
        <v>45778</v>
      </c>
      <c r="B1904" t="str">
        <f>IFERROR(__xludf.DUMMYFUNCTION("""COMPUTED_VALUE"""),"[大湖山莊] D [陳昭瑄] 月租金 (行號: 59)")</f>
        <v>[大湖山莊] D [陳昭瑄] 月租金 (行號: 59)</v>
      </c>
      <c r="C1904" t="str">
        <f>IFERROR(__xludf.DUMMYFUNCTION("""COMPUTED_VALUE"""),"收入 - 租金")</f>
        <v>收入 - 租金</v>
      </c>
      <c r="D1904" s="270">
        <f>IFERROR(__xludf.DUMMYFUNCTION("""COMPUTED_VALUE"""),14300.0)</f>
        <v>14300</v>
      </c>
      <c r="F1904" t="str">
        <f>IFERROR(__xludf.DUMMYFUNCTION("""COMPUTED_VALUE"""),"台銀籌備帳戶")</f>
        <v>台銀籌備帳戶</v>
      </c>
      <c r="G1904" t="str">
        <f>IFERROR(__xludf.DUMMYFUNCTION("""COMPUTED_VALUE"""),"大湖山莊")</f>
        <v>大湖山莊</v>
      </c>
      <c r="H1904" s="106" t="str">
        <f t="shared" si="1"/>
        <v>2025-05</v>
      </c>
      <c r="I1904" s="271" t="str">
        <f>IFERROR(__xludf.DUMMYFUNCTION("""COMPUTED_VALUE"""),"貓狗企鵝")</f>
        <v>貓狗企鵝</v>
      </c>
      <c r="J1904" t="str">
        <f>IFERROR(__xludf.DUMMYFUNCTION("IFS(
  AND(REGEXMATCH(E1904, ""台銀籌備帳戶|玉山帳戶""), REGEXMATCH(C1904, ""薪資"")), ""分潤支出"",
  AND(REGEXMATCH(E1904, ""Ben帳戶|Elsa帳戶|Ben代墊|Ariel代墊|中信銀行共用""), REGEXMATCH(F1904, ""Ben帳戶|Elsa帳戶|Ben代墊|Ariel代墊|中信銀行共用"")), ""內部轉帳(忽略)"",
  AND(E1904&lt;&gt;"""", F1904&lt;&gt;"""", N"&amp;"OT(REGEXMATCH(C1904, ""薪資""))), ""內部轉帳(忽略)"",
  REGEXMATCH(C1904, ""薪資""), ""薪資變動(不計入)"",
  REGEXMATCH(C1904, ""押金""), ""押金往來"",
  AND(E1904&lt;&gt;"""", F1904=""""), ""真實支出"",
  AND(E1904="""", F1904&lt;&gt;""""), ""真實收入"",
  TRUE, ""其他""
)"),"真實收入")</f>
        <v>真實收入</v>
      </c>
      <c r="K1904" s="270">
        <f t="shared" si="2"/>
        <v>14300</v>
      </c>
      <c r="L1904">
        <f t="shared" si="3"/>
        <v>0</v>
      </c>
    </row>
    <row r="1905">
      <c r="A1905" s="107">
        <f>IFERROR(__xludf.DUMMYFUNCTION("""COMPUTED_VALUE"""),45778.0)</f>
        <v>45778</v>
      </c>
      <c r="B1905" t="str">
        <f>IFERROR(__xludf.DUMMYFUNCTION("""COMPUTED_VALUE"""),"[龍江229] A [許霈琪] 月租金 (行號: 61)")</f>
        <v>[龍江229] A [許霈琪] 月租金 (行號: 61)</v>
      </c>
      <c r="C1905" t="str">
        <f>IFERROR(__xludf.DUMMYFUNCTION("""COMPUTED_VALUE"""),"收入 - 租金")</f>
        <v>收入 - 租金</v>
      </c>
      <c r="D1905" s="270">
        <f>IFERROR(__xludf.DUMMYFUNCTION("""COMPUTED_VALUE"""),13000.0)</f>
        <v>13000</v>
      </c>
      <c r="F1905" t="str">
        <f>IFERROR(__xludf.DUMMYFUNCTION("""COMPUTED_VALUE"""),"台銀籌備帳戶")</f>
        <v>台銀籌備帳戶</v>
      </c>
      <c r="G1905" t="str">
        <f>IFERROR(__xludf.DUMMYFUNCTION("""COMPUTED_VALUE"""),"龍江229")</f>
        <v>龍江229</v>
      </c>
      <c r="H1905" s="106" t="str">
        <f t="shared" si="1"/>
        <v>2025-05</v>
      </c>
      <c r="I1905" s="271" t="str">
        <f>IFERROR(__xludf.DUMMYFUNCTION("""COMPUTED_VALUE"""),"貓狗企鵝")</f>
        <v>貓狗企鵝</v>
      </c>
      <c r="J1905" t="str">
        <f>IFERROR(__xludf.DUMMYFUNCTION("IFS(
  AND(REGEXMATCH(E1905, ""台銀籌備帳戶|玉山帳戶""), REGEXMATCH(C1905, ""薪資"")), ""分潤支出"",
  AND(REGEXMATCH(E1905, ""Ben帳戶|Elsa帳戶|Ben代墊|Ariel代墊|中信銀行共用""), REGEXMATCH(F1905, ""Ben帳戶|Elsa帳戶|Ben代墊|Ariel代墊|中信銀行共用"")), ""內部轉帳(忽略)"",
  AND(E1905&lt;&gt;"""", F1905&lt;&gt;"""", N"&amp;"OT(REGEXMATCH(C1905, ""薪資""))), ""內部轉帳(忽略)"",
  REGEXMATCH(C1905, ""薪資""), ""薪資變動(不計入)"",
  REGEXMATCH(C1905, ""押金""), ""押金往來"",
  AND(E1905&lt;&gt;"""", F1905=""""), ""真實支出"",
  AND(E1905="""", F1905&lt;&gt;""""), ""真實收入"",
  TRUE, ""其他""
)"),"真實收入")</f>
        <v>真實收入</v>
      </c>
      <c r="K1905" s="270">
        <f t="shared" si="2"/>
        <v>13000</v>
      </c>
      <c r="L1905">
        <f t="shared" si="3"/>
        <v>0</v>
      </c>
    </row>
    <row r="1906">
      <c r="A1906" s="107">
        <f>IFERROR(__xludf.DUMMYFUNCTION("""COMPUTED_VALUE"""),45778.0)</f>
        <v>45778</v>
      </c>
      <c r="B1906" t="str">
        <f>IFERROR(__xludf.DUMMYFUNCTION("""COMPUTED_VALUE"""),"[北醫醫師府] F [林雍勳] 月租金 (行號: 62)")</f>
        <v>[北醫醫師府] F [林雍勳] 月租金 (行號: 62)</v>
      </c>
      <c r="C1906" t="str">
        <f>IFERROR(__xludf.DUMMYFUNCTION("""COMPUTED_VALUE"""),"收入 - 租金")</f>
        <v>收入 - 租金</v>
      </c>
      <c r="D1906" s="270">
        <f>IFERROR(__xludf.DUMMYFUNCTION("""COMPUTED_VALUE"""),14800.0)</f>
        <v>14800</v>
      </c>
      <c r="F1906" t="str">
        <f>IFERROR(__xludf.DUMMYFUNCTION("""COMPUTED_VALUE"""),"台銀籌備帳戶")</f>
        <v>台銀籌備帳戶</v>
      </c>
      <c r="G1906" t="str">
        <f>IFERROR(__xludf.DUMMYFUNCTION("""COMPUTED_VALUE"""),"北醫醫師府")</f>
        <v>北醫醫師府</v>
      </c>
      <c r="H1906" s="106" t="str">
        <f t="shared" si="1"/>
        <v>2025-05</v>
      </c>
      <c r="I1906" s="271" t="str">
        <f>IFERROR(__xludf.DUMMYFUNCTION("""COMPUTED_VALUE"""),"貓狗企鵝")</f>
        <v>貓狗企鵝</v>
      </c>
      <c r="J1906" t="str">
        <f>IFERROR(__xludf.DUMMYFUNCTION("IFS(
  AND(REGEXMATCH(E1906, ""台銀籌備帳戶|玉山帳戶""), REGEXMATCH(C1906, ""薪資"")), ""分潤支出"",
  AND(REGEXMATCH(E1906, ""Ben帳戶|Elsa帳戶|Ben代墊|Ariel代墊|中信銀行共用""), REGEXMATCH(F1906, ""Ben帳戶|Elsa帳戶|Ben代墊|Ariel代墊|中信銀行共用"")), ""內部轉帳(忽略)"",
  AND(E1906&lt;&gt;"""", F1906&lt;&gt;"""", N"&amp;"OT(REGEXMATCH(C1906, ""薪資""))), ""內部轉帳(忽略)"",
  REGEXMATCH(C1906, ""薪資""), ""薪資變動(不計入)"",
  REGEXMATCH(C1906, ""押金""), ""押金往來"",
  AND(E1906&lt;&gt;"""", F1906=""""), ""真實支出"",
  AND(E1906="""", F1906&lt;&gt;""""), ""真實收入"",
  TRUE, ""其他""
)"),"真實收入")</f>
        <v>真實收入</v>
      </c>
      <c r="K1906" s="270">
        <f t="shared" si="2"/>
        <v>14800</v>
      </c>
      <c r="L1906">
        <f t="shared" si="3"/>
        <v>0</v>
      </c>
    </row>
    <row r="1907">
      <c r="A1907" s="107">
        <f>IFERROR(__xludf.DUMMYFUNCTION("""COMPUTED_VALUE"""),45778.0)</f>
        <v>45778</v>
      </c>
      <c r="B1907" t="str">
        <f>IFERROR(__xludf.DUMMYFUNCTION("""COMPUTED_VALUE"""),"[北醫醫師府] A [吳緯程] 月租金 (行號: 64)")</f>
        <v>[北醫醫師府] A [吳緯程] 月租金 (行號: 64)</v>
      </c>
      <c r="C1907" t="str">
        <f>IFERROR(__xludf.DUMMYFUNCTION("""COMPUTED_VALUE"""),"收入 - 租金")</f>
        <v>收入 - 租金</v>
      </c>
      <c r="D1907" s="270">
        <f>IFERROR(__xludf.DUMMYFUNCTION("""COMPUTED_VALUE"""),13000.0)</f>
        <v>13000</v>
      </c>
      <c r="F1907" t="str">
        <f>IFERROR(__xludf.DUMMYFUNCTION("""COMPUTED_VALUE"""),"台銀籌備帳戶")</f>
        <v>台銀籌備帳戶</v>
      </c>
      <c r="G1907" t="str">
        <f>IFERROR(__xludf.DUMMYFUNCTION("""COMPUTED_VALUE"""),"北醫醫師府")</f>
        <v>北醫醫師府</v>
      </c>
      <c r="H1907" s="106" t="str">
        <f t="shared" si="1"/>
        <v>2025-05</v>
      </c>
      <c r="I1907" s="271" t="str">
        <f>IFERROR(__xludf.DUMMYFUNCTION("""COMPUTED_VALUE"""),"貓狗企鵝")</f>
        <v>貓狗企鵝</v>
      </c>
      <c r="J1907" t="str">
        <f>IFERROR(__xludf.DUMMYFUNCTION("IFS(
  AND(REGEXMATCH(E1907, ""台銀籌備帳戶|玉山帳戶""), REGEXMATCH(C1907, ""薪資"")), ""分潤支出"",
  AND(REGEXMATCH(E1907, ""Ben帳戶|Elsa帳戶|Ben代墊|Ariel代墊|中信銀行共用""), REGEXMATCH(F1907, ""Ben帳戶|Elsa帳戶|Ben代墊|Ariel代墊|中信銀行共用"")), ""內部轉帳(忽略)"",
  AND(E1907&lt;&gt;"""", F1907&lt;&gt;"""", N"&amp;"OT(REGEXMATCH(C1907, ""薪資""))), ""內部轉帳(忽略)"",
  REGEXMATCH(C1907, ""薪資""), ""薪資變動(不計入)"",
  REGEXMATCH(C1907, ""押金""), ""押金往來"",
  AND(E1907&lt;&gt;"""", F1907=""""), ""真實支出"",
  AND(E1907="""", F1907&lt;&gt;""""), ""真實收入"",
  TRUE, ""其他""
)"),"真實收入")</f>
        <v>真實收入</v>
      </c>
      <c r="K1907" s="270">
        <f t="shared" si="2"/>
        <v>13000</v>
      </c>
      <c r="L1907">
        <f t="shared" si="3"/>
        <v>0</v>
      </c>
    </row>
    <row r="1908">
      <c r="A1908" s="107">
        <f>IFERROR(__xludf.DUMMYFUNCTION("""COMPUTED_VALUE"""),45778.0)</f>
        <v>45778</v>
      </c>
      <c r="B1908" t="str">
        <f>IFERROR(__xludf.DUMMYFUNCTION("""COMPUTED_VALUE""")," [中山北Feli家] B [杜思瑀, 陳廷瀀] 合約 CR00085 (行號: 66)")</f>
        <v> [中山北Feli家] B [杜思瑀, 陳廷瀀] 合約 CR00085 (行號: 66)</v>
      </c>
      <c r="C1908" t="str">
        <f>IFERROR(__xludf.DUMMYFUNCTION("""COMPUTED_VALUE"""),"收入 - 租金")</f>
        <v>收入 - 租金</v>
      </c>
      <c r="D1908" s="270">
        <f>IFERROR(__xludf.DUMMYFUNCTION("""COMPUTED_VALUE"""),8900.0)</f>
        <v>8900</v>
      </c>
      <c r="F1908" t="str">
        <f>IFERROR(__xludf.DUMMYFUNCTION("""COMPUTED_VALUE"""),"台銀籌備帳戶")</f>
        <v>台銀籌備帳戶</v>
      </c>
      <c r="G1908" t="str">
        <f>IFERROR(__xludf.DUMMYFUNCTION("""COMPUTED_VALUE"""),"中山北Feli家")</f>
        <v>中山北Feli家</v>
      </c>
      <c r="H1908" s="106" t="str">
        <f t="shared" si="1"/>
        <v>2025-05</v>
      </c>
      <c r="I1908" s="271" t="str">
        <f>IFERROR(__xludf.DUMMYFUNCTION("""COMPUTED_VALUE"""),"貓狗企鵝")</f>
        <v>貓狗企鵝</v>
      </c>
      <c r="J1908" t="str">
        <f>IFERROR(__xludf.DUMMYFUNCTION("IFS(
  AND(REGEXMATCH(E1908, ""台銀籌備帳戶|玉山帳戶""), REGEXMATCH(C1908, ""薪資"")), ""分潤支出"",
  AND(REGEXMATCH(E1908, ""Ben帳戶|Elsa帳戶|Ben代墊|Ariel代墊|中信銀行共用""), REGEXMATCH(F1908, ""Ben帳戶|Elsa帳戶|Ben代墊|Ariel代墊|中信銀行共用"")), ""內部轉帳(忽略)"",
  AND(E1908&lt;&gt;"""", F1908&lt;&gt;"""", N"&amp;"OT(REGEXMATCH(C1908, ""薪資""))), ""內部轉帳(忽略)"",
  REGEXMATCH(C1908, ""薪資""), ""薪資變動(不計入)"",
  REGEXMATCH(C1908, ""押金""), ""押金往來"",
  AND(E1908&lt;&gt;"""", F1908=""""), ""真實支出"",
  AND(E1908="""", F1908&lt;&gt;""""), ""真實收入"",
  TRUE, ""其他""
)"),"真實收入")</f>
        <v>真實收入</v>
      </c>
      <c r="K1908" s="270">
        <f t="shared" si="2"/>
        <v>8900</v>
      </c>
      <c r="L1908">
        <f t="shared" si="3"/>
        <v>0</v>
      </c>
    </row>
    <row r="1909">
      <c r="A1909" s="107">
        <f>IFERROR(__xludf.DUMMYFUNCTION("""COMPUTED_VALUE"""),45778.0)</f>
        <v>45778</v>
      </c>
      <c r="B1909" t="str">
        <f>IFERROR(__xludf.DUMMYFUNCTION("""COMPUTED_VALUE"""),"[北醫醫師府] D [劉怡秀] 月租金 (行號: 67)")</f>
        <v>[北醫醫師府] D [劉怡秀] 月租金 (行號: 67)</v>
      </c>
      <c r="C1909" t="str">
        <f>IFERROR(__xludf.DUMMYFUNCTION("""COMPUTED_VALUE"""),"收入 - 租金")</f>
        <v>收入 - 租金</v>
      </c>
      <c r="D1909" s="270">
        <f>IFERROR(__xludf.DUMMYFUNCTION("""COMPUTED_VALUE"""),12000.0)</f>
        <v>12000</v>
      </c>
      <c r="F1909" t="str">
        <f>IFERROR(__xludf.DUMMYFUNCTION("""COMPUTED_VALUE"""),"台銀籌備帳戶")</f>
        <v>台銀籌備帳戶</v>
      </c>
      <c r="G1909" t="str">
        <f>IFERROR(__xludf.DUMMYFUNCTION("""COMPUTED_VALUE"""),"北醫醫師府")</f>
        <v>北醫醫師府</v>
      </c>
      <c r="H1909" s="106" t="str">
        <f t="shared" si="1"/>
        <v>2025-05</v>
      </c>
      <c r="I1909" s="271" t="str">
        <f>IFERROR(__xludf.DUMMYFUNCTION("""COMPUTED_VALUE"""),"貓狗企鵝")</f>
        <v>貓狗企鵝</v>
      </c>
      <c r="J1909" t="str">
        <f>IFERROR(__xludf.DUMMYFUNCTION("IFS(
  AND(REGEXMATCH(E1909, ""台銀籌備帳戶|玉山帳戶""), REGEXMATCH(C1909, ""薪資"")), ""分潤支出"",
  AND(REGEXMATCH(E1909, ""Ben帳戶|Elsa帳戶|Ben代墊|Ariel代墊|中信銀行共用""), REGEXMATCH(F1909, ""Ben帳戶|Elsa帳戶|Ben代墊|Ariel代墊|中信銀行共用"")), ""內部轉帳(忽略)"",
  AND(E1909&lt;&gt;"""", F1909&lt;&gt;"""", N"&amp;"OT(REGEXMATCH(C1909, ""薪資""))), ""內部轉帳(忽略)"",
  REGEXMATCH(C1909, ""薪資""), ""薪資變動(不計入)"",
  REGEXMATCH(C1909, ""押金""), ""押金往來"",
  AND(E1909&lt;&gt;"""", F1909=""""), ""真實支出"",
  AND(E1909="""", F1909&lt;&gt;""""), ""真實收入"",
  TRUE, ""其他""
)"),"真實收入")</f>
        <v>真實收入</v>
      </c>
      <c r="K1909" s="270">
        <f t="shared" si="2"/>
        <v>12000</v>
      </c>
      <c r="L1909">
        <f t="shared" si="3"/>
        <v>0</v>
      </c>
    </row>
    <row r="1910">
      <c r="A1910" s="107">
        <f>IFERROR(__xludf.DUMMYFUNCTION("""COMPUTED_VALUE"""),45778.0)</f>
        <v>45778</v>
      </c>
      <c r="B1910" t="str">
        <f>IFERROR(__xludf.DUMMYFUNCTION("""COMPUTED_VALUE"""),"[景安2分鐘] A [蕭宇榛] 月租金 (行號: 68)")</f>
        <v>[景安2分鐘] A [蕭宇榛] 月租金 (行號: 68)</v>
      </c>
      <c r="C1910" t="str">
        <f>IFERROR(__xludf.DUMMYFUNCTION("""COMPUTED_VALUE"""),"收入 - 租金")</f>
        <v>收入 - 租金</v>
      </c>
      <c r="D1910" s="270">
        <f>IFERROR(__xludf.DUMMYFUNCTION("""COMPUTED_VALUE"""),14500.0)</f>
        <v>14500</v>
      </c>
      <c r="F1910" t="str">
        <f>IFERROR(__xludf.DUMMYFUNCTION("""COMPUTED_VALUE"""),"台銀籌備帳戶")</f>
        <v>台銀籌備帳戶</v>
      </c>
      <c r="G1910" t="str">
        <f>IFERROR(__xludf.DUMMYFUNCTION("""COMPUTED_VALUE"""),"景安2分鐘")</f>
        <v>景安2分鐘</v>
      </c>
      <c r="H1910" s="106" t="str">
        <f t="shared" si="1"/>
        <v>2025-05</v>
      </c>
      <c r="I1910" s="271" t="str">
        <f>IFERROR(__xludf.DUMMYFUNCTION("""COMPUTED_VALUE"""),"貓狗企鵝")</f>
        <v>貓狗企鵝</v>
      </c>
      <c r="J1910" t="str">
        <f>IFERROR(__xludf.DUMMYFUNCTION("IFS(
  AND(REGEXMATCH(E1910, ""台銀籌備帳戶|玉山帳戶""), REGEXMATCH(C1910, ""薪資"")), ""分潤支出"",
  AND(REGEXMATCH(E1910, ""Ben帳戶|Elsa帳戶|Ben代墊|Ariel代墊|中信銀行共用""), REGEXMATCH(F1910, ""Ben帳戶|Elsa帳戶|Ben代墊|Ariel代墊|中信銀行共用"")), ""內部轉帳(忽略)"",
  AND(E1910&lt;&gt;"""", F1910&lt;&gt;"""", N"&amp;"OT(REGEXMATCH(C1910, ""薪資""))), ""內部轉帳(忽略)"",
  REGEXMATCH(C1910, ""薪資""), ""薪資變動(不計入)"",
  REGEXMATCH(C1910, ""押金""), ""押金往來"",
  AND(E1910&lt;&gt;"""", F1910=""""), ""真實支出"",
  AND(E1910="""", F1910&lt;&gt;""""), ""真實收入"",
  TRUE, ""其他""
)"),"真實收入")</f>
        <v>真實收入</v>
      </c>
      <c r="K1910" s="270">
        <f t="shared" si="2"/>
        <v>14500</v>
      </c>
      <c r="L1910">
        <f t="shared" si="3"/>
        <v>0</v>
      </c>
    </row>
    <row r="1911">
      <c r="A1911" s="107">
        <f>IFERROR(__xludf.DUMMYFUNCTION("""COMPUTED_VALUE"""),45778.0)</f>
        <v>45778</v>
      </c>
      <c r="B1911" t="str">
        <f>IFERROR(__xludf.DUMMYFUNCTION("""COMPUTED_VALUE"""),"[龍江229] B [曾冠文] 月租金 (行號: 69)")</f>
        <v>[龍江229] B [曾冠文] 月租金 (行號: 69)</v>
      </c>
      <c r="C1911" t="str">
        <f>IFERROR(__xludf.DUMMYFUNCTION("""COMPUTED_VALUE"""),"收入 - 租金")</f>
        <v>收入 - 租金</v>
      </c>
      <c r="D1911" s="270">
        <f>IFERROR(__xludf.DUMMYFUNCTION("""COMPUTED_VALUE"""),13500.0)</f>
        <v>13500</v>
      </c>
      <c r="F1911" t="str">
        <f>IFERROR(__xludf.DUMMYFUNCTION("""COMPUTED_VALUE"""),"台銀籌備帳戶")</f>
        <v>台銀籌備帳戶</v>
      </c>
      <c r="G1911" t="str">
        <f>IFERROR(__xludf.DUMMYFUNCTION("""COMPUTED_VALUE"""),"龍江229")</f>
        <v>龍江229</v>
      </c>
      <c r="H1911" s="106" t="str">
        <f t="shared" si="1"/>
        <v>2025-05</v>
      </c>
      <c r="I1911" s="271" t="str">
        <f>IFERROR(__xludf.DUMMYFUNCTION("""COMPUTED_VALUE"""),"貓狗企鵝")</f>
        <v>貓狗企鵝</v>
      </c>
      <c r="J1911" t="str">
        <f>IFERROR(__xludf.DUMMYFUNCTION("IFS(
  AND(REGEXMATCH(E1911, ""台銀籌備帳戶|玉山帳戶""), REGEXMATCH(C1911, ""薪資"")), ""分潤支出"",
  AND(REGEXMATCH(E1911, ""Ben帳戶|Elsa帳戶|Ben代墊|Ariel代墊|中信銀行共用""), REGEXMATCH(F1911, ""Ben帳戶|Elsa帳戶|Ben代墊|Ariel代墊|中信銀行共用"")), ""內部轉帳(忽略)"",
  AND(E1911&lt;&gt;"""", F1911&lt;&gt;"""", N"&amp;"OT(REGEXMATCH(C1911, ""薪資""))), ""內部轉帳(忽略)"",
  REGEXMATCH(C1911, ""薪資""), ""薪資變動(不計入)"",
  REGEXMATCH(C1911, ""押金""), ""押金往來"",
  AND(E1911&lt;&gt;"""", F1911=""""), ""真實支出"",
  AND(E1911="""", F1911&lt;&gt;""""), ""真實收入"",
  TRUE, ""其他""
)"),"真實收入")</f>
        <v>真實收入</v>
      </c>
      <c r="K1911" s="270">
        <f t="shared" si="2"/>
        <v>13500</v>
      </c>
      <c r="L1911">
        <f t="shared" si="3"/>
        <v>0</v>
      </c>
    </row>
    <row r="1912">
      <c r="A1912" s="107">
        <f>IFERROR(__xludf.DUMMYFUNCTION("""COMPUTED_VALUE"""),45778.0)</f>
        <v>45778</v>
      </c>
      <c r="B1912" t="str">
        <f>IFERROR(__xludf.DUMMYFUNCTION("""COMPUTED_VALUE"""),"[金龍帽子先生] B [謝歆俞] 月租金 (行號: 72)")</f>
        <v>[金龍帽子先生] B [謝歆俞] 月租金 (行號: 72)</v>
      </c>
      <c r="C1912" t="str">
        <f>IFERROR(__xludf.DUMMYFUNCTION("""COMPUTED_VALUE"""),"收入 - 租金")</f>
        <v>收入 - 租金</v>
      </c>
      <c r="D1912" s="270">
        <f>IFERROR(__xludf.DUMMYFUNCTION("""COMPUTED_VALUE"""),12700.0)</f>
        <v>12700</v>
      </c>
      <c r="F1912" t="str">
        <f>IFERROR(__xludf.DUMMYFUNCTION("""COMPUTED_VALUE"""),"台銀籌備帳戶")</f>
        <v>台銀籌備帳戶</v>
      </c>
      <c r="G1912" t="str">
        <f>IFERROR(__xludf.DUMMYFUNCTION("""COMPUTED_VALUE"""),"金龍帽子先生")</f>
        <v>金龍帽子先生</v>
      </c>
      <c r="H1912" s="106" t="str">
        <f t="shared" si="1"/>
        <v>2025-05</v>
      </c>
      <c r="I1912" s="271" t="str">
        <f>IFERROR(__xludf.DUMMYFUNCTION("""COMPUTED_VALUE"""),"貓狗企鵝")</f>
        <v>貓狗企鵝</v>
      </c>
      <c r="J1912" t="str">
        <f>IFERROR(__xludf.DUMMYFUNCTION("IFS(
  AND(REGEXMATCH(E1912, ""台銀籌備帳戶|玉山帳戶""), REGEXMATCH(C1912, ""薪資"")), ""分潤支出"",
  AND(REGEXMATCH(E1912, ""Ben帳戶|Elsa帳戶|Ben代墊|Ariel代墊|中信銀行共用""), REGEXMATCH(F1912, ""Ben帳戶|Elsa帳戶|Ben代墊|Ariel代墊|中信銀行共用"")), ""內部轉帳(忽略)"",
  AND(E1912&lt;&gt;"""", F1912&lt;&gt;"""", N"&amp;"OT(REGEXMATCH(C1912, ""薪資""))), ""內部轉帳(忽略)"",
  REGEXMATCH(C1912, ""薪資""), ""薪資變動(不計入)"",
  REGEXMATCH(C1912, ""押金""), ""押金往來"",
  AND(E1912&lt;&gt;"""", F1912=""""), ""真實支出"",
  AND(E1912="""", F1912&lt;&gt;""""), ""真實收入"",
  TRUE, ""其他""
)"),"真實收入")</f>
        <v>真實收入</v>
      </c>
      <c r="K1912" s="270">
        <f t="shared" si="2"/>
        <v>12700</v>
      </c>
      <c r="L1912">
        <f t="shared" si="3"/>
        <v>0</v>
      </c>
    </row>
    <row r="1913">
      <c r="A1913" s="107">
        <f>IFERROR(__xludf.DUMMYFUNCTION("""COMPUTED_VALUE"""),45778.0)</f>
        <v>45778</v>
      </c>
      <c r="B1913" t="str">
        <f>IFERROR(__xludf.DUMMYFUNCTION("""COMPUTED_VALUE"""),"[北醫醫師府] C [余典蓉] 月租金 (行號: 74)")</f>
        <v>[北醫醫師府] C [余典蓉] 月租金 (行號: 74)</v>
      </c>
      <c r="C1913" t="str">
        <f>IFERROR(__xludf.DUMMYFUNCTION("""COMPUTED_VALUE"""),"收入 - 租金")</f>
        <v>收入 - 租金</v>
      </c>
      <c r="D1913" s="270">
        <f>IFERROR(__xludf.DUMMYFUNCTION("""COMPUTED_VALUE"""),13000.0)</f>
        <v>13000</v>
      </c>
      <c r="F1913" t="str">
        <f>IFERROR(__xludf.DUMMYFUNCTION("""COMPUTED_VALUE"""),"台銀籌備帳戶")</f>
        <v>台銀籌備帳戶</v>
      </c>
      <c r="G1913" t="str">
        <f>IFERROR(__xludf.DUMMYFUNCTION("""COMPUTED_VALUE"""),"北醫醫師府")</f>
        <v>北醫醫師府</v>
      </c>
      <c r="H1913" s="106" t="str">
        <f t="shared" si="1"/>
        <v>2025-05</v>
      </c>
      <c r="I1913" s="271" t="str">
        <f>IFERROR(__xludf.DUMMYFUNCTION("""COMPUTED_VALUE"""),"貓狗企鵝")</f>
        <v>貓狗企鵝</v>
      </c>
      <c r="J1913" t="str">
        <f>IFERROR(__xludf.DUMMYFUNCTION("IFS(
  AND(REGEXMATCH(E1913, ""台銀籌備帳戶|玉山帳戶""), REGEXMATCH(C1913, ""薪資"")), ""分潤支出"",
  AND(REGEXMATCH(E1913, ""Ben帳戶|Elsa帳戶|Ben代墊|Ariel代墊|中信銀行共用""), REGEXMATCH(F1913, ""Ben帳戶|Elsa帳戶|Ben代墊|Ariel代墊|中信銀行共用"")), ""內部轉帳(忽略)"",
  AND(E1913&lt;&gt;"""", F1913&lt;&gt;"""", N"&amp;"OT(REGEXMATCH(C1913, ""薪資""))), ""內部轉帳(忽略)"",
  REGEXMATCH(C1913, ""薪資""), ""薪資變動(不計入)"",
  REGEXMATCH(C1913, ""押金""), ""押金往來"",
  AND(E1913&lt;&gt;"""", F1913=""""), ""真實支出"",
  AND(E1913="""", F1913&lt;&gt;""""), ""真實收入"",
  TRUE, ""其他""
)"),"真實收入")</f>
        <v>真實收入</v>
      </c>
      <c r="K1913" s="270">
        <f t="shared" si="2"/>
        <v>13000</v>
      </c>
      <c r="L1913">
        <f t="shared" si="3"/>
        <v>0</v>
      </c>
    </row>
    <row r="1914">
      <c r="A1914" s="107">
        <f>IFERROR(__xludf.DUMMYFUNCTION("""COMPUTED_VALUE"""),45778.0)</f>
        <v>45778</v>
      </c>
      <c r="B1914" t="str">
        <f>IFERROR(__xludf.DUMMYFUNCTION("""COMPUTED_VALUE"""),"[龍江229] C [馬義鈞] 月租金 (行號: 75)")</f>
        <v>[龍江229] C [馬義鈞] 月租金 (行號: 75)</v>
      </c>
      <c r="C1914" t="str">
        <f>IFERROR(__xludf.DUMMYFUNCTION("""COMPUTED_VALUE"""),"收入 - 租金")</f>
        <v>收入 - 租金</v>
      </c>
      <c r="D1914" s="270">
        <f>IFERROR(__xludf.DUMMYFUNCTION("""COMPUTED_VALUE"""),18800.0)</f>
        <v>18800</v>
      </c>
      <c r="F1914" t="str">
        <f>IFERROR(__xludf.DUMMYFUNCTION("""COMPUTED_VALUE"""),"台銀籌備帳戶")</f>
        <v>台銀籌備帳戶</v>
      </c>
      <c r="G1914" t="str">
        <f>IFERROR(__xludf.DUMMYFUNCTION("""COMPUTED_VALUE"""),"龍江229")</f>
        <v>龍江229</v>
      </c>
      <c r="H1914" s="106" t="str">
        <f t="shared" si="1"/>
        <v>2025-05</v>
      </c>
      <c r="I1914" s="271" t="str">
        <f>IFERROR(__xludf.DUMMYFUNCTION("""COMPUTED_VALUE"""),"貓狗企鵝")</f>
        <v>貓狗企鵝</v>
      </c>
      <c r="J1914" t="str">
        <f>IFERROR(__xludf.DUMMYFUNCTION("IFS(
  AND(REGEXMATCH(E1914, ""台銀籌備帳戶|玉山帳戶""), REGEXMATCH(C1914, ""薪資"")), ""分潤支出"",
  AND(REGEXMATCH(E1914, ""Ben帳戶|Elsa帳戶|Ben代墊|Ariel代墊|中信銀行共用""), REGEXMATCH(F1914, ""Ben帳戶|Elsa帳戶|Ben代墊|Ariel代墊|中信銀行共用"")), ""內部轉帳(忽略)"",
  AND(E1914&lt;&gt;"""", F1914&lt;&gt;"""", N"&amp;"OT(REGEXMATCH(C1914, ""薪資""))), ""內部轉帳(忽略)"",
  REGEXMATCH(C1914, ""薪資""), ""薪資變動(不計入)"",
  REGEXMATCH(C1914, ""押金""), ""押金往來"",
  AND(E1914&lt;&gt;"""", F1914=""""), ""真實支出"",
  AND(E1914="""", F1914&lt;&gt;""""), ""真實收入"",
  TRUE, ""其他""
)"),"真實收入")</f>
        <v>真實收入</v>
      </c>
      <c r="K1914" s="270">
        <f t="shared" si="2"/>
        <v>18800</v>
      </c>
      <c r="L1914">
        <f t="shared" si="3"/>
        <v>0</v>
      </c>
    </row>
    <row r="1915">
      <c r="A1915" s="107">
        <f>IFERROR(__xludf.DUMMYFUNCTION("""COMPUTED_VALUE"""),45778.0)</f>
        <v>45778</v>
      </c>
      <c r="B1915" t="str">
        <f>IFERROR(__xludf.DUMMYFUNCTION("""COMPUTED_VALUE"""),"[中山北Feli家] C [郭亞潔] 月租金 (行號: 76)")</f>
        <v>[中山北Feli家] C [郭亞潔] 月租金 (行號: 76)</v>
      </c>
      <c r="C1915" t="str">
        <f>IFERROR(__xludf.DUMMYFUNCTION("""COMPUTED_VALUE"""),"收入 - 租金")</f>
        <v>收入 - 租金</v>
      </c>
      <c r="D1915" s="270">
        <f>IFERROR(__xludf.DUMMYFUNCTION("""COMPUTED_VALUE"""),11500.0)</f>
        <v>11500</v>
      </c>
      <c r="F1915" t="str">
        <f>IFERROR(__xludf.DUMMYFUNCTION("""COMPUTED_VALUE"""),"台銀籌備帳戶")</f>
        <v>台銀籌備帳戶</v>
      </c>
      <c r="G1915" t="str">
        <f>IFERROR(__xludf.DUMMYFUNCTION("""COMPUTED_VALUE"""),"中山北Feli家")</f>
        <v>中山北Feli家</v>
      </c>
      <c r="H1915" s="106" t="str">
        <f t="shared" si="1"/>
        <v>2025-05</v>
      </c>
      <c r="I1915" s="271" t="str">
        <f>IFERROR(__xludf.DUMMYFUNCTION("""COMPUTED_VALUE"""),"貓狗企鵝")</f>
        <v>貓狗企鵝</v>
      </c>
      <c r="J1915" t="str">
        <f>IFERROR(__xludf.DUMMYFUNCTION("IFS(
  AND(REGEXMATCH(E1915, ""台銀籌備帳戶|玉山帳戶""), REGEXMATCH(C1915, ""薪資"")), ""分潤支出"",
  AND(REGEXMATCH(E1915, ""Ben帳戶|Elsa帳戶|Ben代墊|Ariel代墊|中信銀行共用""), REGEXMATCH(F1915, ""Ben帳戶|Elsa帳戶|Ben代墊|Ariel代墊|中信銀行共用"")), ""內部轉帳(忽略)"",
  AND(E1915&lt;&gt;"""", F1915&lt;&gt;"""", N"&amp;"OT(REGEXMATCH(C1915, ""薪資""))), ""內部轉帳(忽略)"",
  REGEXMATCH(C1915, ""薪資""), ""薪資變動(不計入)"",
  REGEXMATCH(C1915, ""押金""), ""押金往來"",
  AND(E1915&lt;&gt;"""", F1915=""""), ""真實支出"",
  AND(E1915="""", F1915&lt;&gt;""""), ""真實收入"",
  TRUE, ""其他""
)"),"真實收入")</f>
        <v>真實收入</v>
      </c>
      <c r="K1915" s="270">
        <f t="shared" si="2"/>
        <v>11500</v>
      </c>
      <c r="L1915">
        <f t="shared" si="3"/>
        <v>0</v>
      </c>
    </row>
    <row r="1916">
      <c r="A1916" s="107">
        <f>IFERROR(__xludf.DUMMYFUNCTION("""COMPUTED_VALUE"""),45778.0)</f>
        <v>45778</v>
      </c>
      <c r="B1916" t="str">
        <f>IFERROR(__xludf.DUMMYFUNCTION("""COMPUTED_VALUE"""),"[市府爺爺家] A [董書鵬, 張瑋珊] 合約 CR00057 (行號: 77)")</f>
        <v>[市府爺爺家] A [董書鵬, 張瑋珊] 合約 CR00057 (行號: 77)</v>
      </c>
      <c r="C1916" t="str">
        <f>IFERROR(__xludf.DUMMYFUNCTION("""COMPUTED_VALUE"""),"收入 - 租金")</f>
        <v>收入 - 租金</v>
      </c>
      <c r="D1916" s="270">
        <f>IFERROR(__xludf.DUMMYFUNCTION("""COMPUTED_VALUE"""),11000.0)</f>
        <v>11000</v>
      </c>
      <c r="F1916" t="str">
        <f>IFERROR(__xludf.DUMMYFUNCTION("""COMPUTED_VALUE"""),"台銀籌備帳戶")</f>
        <v>台銀籌備帳戶</v>
      </c>
      <c r="G1916" t="str">
        <f>IFERROR(__xludf.DUMMYFUNCTION("""COMPUTED_VALUE"""),"市府爺爺家")</f>
        <v>市府爺爺家</v>
      </c>
      <c r="H1916" s="106" t="str">
        <f t="shared" si="1"/>
        <v>2025-05</v>
      </c>
      <c r="I1916" s="271" t="str">
        <f>IFERROR(__xludf.DUMMYFUNCTION("""COMPUTED_VALUE"""),"貓狗企鵝")</f>
        <v>貓狗企鵝</v>
      </c>
      <c r="J1916" t="str">
        <f>IFERROR(__xludf.DUMMYFUNCTION("IFS(
  AND(REGEXMATCH(E1916, ""台銀籌備帳戶|玉山帳戶""), REGEXMATCH(C1916, ""薪資"")), ""分潤支出"",
  AND(REGEXMATCH(E1916, ""Ben帳戶|Elsa帳戶|Ben代墊|Ariel代墊|中信銀行共用""), REGEXMATCH(F1916, ""Ben帳戶|Elsa帳戶|Ben代墊|Ariel代墊|中信銀行共用"")), ""內部轉帳(忽略)"",
  AND(E1916&lt;&gt;"""", F1916&lt;&gt;"""", N"&amp;"OT(REGEXMATCH(C1916, ""薪資""))), ""內部轉帳(忽略)"",
  REGEXMATCH(C1916, ""薪資""), ""薪資變動(不計入)"",
  REGEXMATCH(C1916, ""押金""), ""押金往來"",
  AND(E1916&lt;&gt;"""", F1916=""""), ""真實支出"",
  AND(E1916="""", F1916&lt;&gt;""""), ""真實收入"",
  TRUE, ""其他""
)"),"真實收入")</f>
        <v>真實收入</v>
      </c>
      <c r="K1916" s="270">
        <f t="shared" si="2"/>
        <v>11000</v>
      </c>
      <c r="L1916">
        <f t="shared" si="3"/>
        <v>0</v>
      </c>
    </row>
    <row r="1917">
      <c r="A1917" s="107">
        <f>IFERROR(__xludf.DUMMYFUNCTION("""COMPUTED_VALUE"""),45778.0)</f>
        <v>45778</v>
      </c>
      <c r="B1917" t="str">
        <f>IFERROR(__xludf.DUMMYFUNCTION("""COMPUTED_VALUE"""),"[大湖山莊] E [吳彥霆] 月租金 (行號: 78)")</f>
        <v>[大湖山莊] E [吳彥霆] 月租金 (行號: 78)</v>
      </c>
      <c r="C1917" t="str">
        <f>IFERROR(__xludf.DUMMYFUNCTION("""COMPUTED_VALUE"""),"收入 - 租金")</f>
        <v>收入 - 租金</v>
      </c>
      <c r="D1917" s="270">
        <f>IFERROR(__xludf.DUMMYFUNCTION("""COMPUTED_VALUE"""),12500.0)</f>
        <v>12500</v>
      </c>
      <c r="F1917" t="str">
        <f>IFERROR(__xludf.DUMMYFUNCTION("""COMPUTED_VALUE"""),"台銀籌備帳戶")</f>
        <v>台銀籌備帳戶</v>
      </c>
      <c r="G1917" t="str">
        <f>IFERROR(__xludf.DUMMYFUNCTION("""COMPUTED_VALUE"""),"大湖山莊")</f>
        <v>大湖山莊</v>
      </c>
      <c r="H1917" s="106" t="str">
        <f t="shared" si="1"/>
        <v>2025-05</v>
      </c>
      <c r="I1917" s="271" t="str">
        <f>IFERROR(__xludf.DUMMYFUNCTION("""COMPUTED_VALUE"""),"貓狗企鵝")</f>
        <v>貓狗企鵝</v>
      </c>
      <c r="J1917" t="str">
        <f>IFERROR(__xludf.DUMMYFUNCTION("IFS(
  AND(REGEXMATCH(E1917, ""台銀籌備帳戶|玉山帳戶""), REGEXMATCH(C1917, ""薪資"")), ""分潤支出"",
  AND(REGEXMATCH(E1917, ""Ben帳戶|Elsa帳戶|Ben代墊|Ariel代墊|中信銀行共用""), REGEXMATCH(F1917, ""Ben帳戶|Elsa帳戶|Ben代墊|Ariel代墊|中信銀行共用"")), ""內部轉帳(忽略)"",
  AND(E1917&lt;&gt;"""", F1917&lt;&gt;"""", N"&amp;"OT(REGEXMATCH(C1917, ""薪資""))), ""內部轉帳(忽略)"",
  REGEXMATCH(C1917, ""薪資""), ""薪資變動(不計入)"",
  REGEXMATCH(C1917, ""押金""), ""押金往來"",
  AND(E1917&lt;&gt;"""", F1917=""""), ""真實支出"",
  AND(E1917="""", F1917&lt;&gt;""""), ""真實收入"",
  TRUE, ""其他""
)"),"真實收入")</f>
        <v>真實收入</v>
      </c>
      <c r="K1917" s="270">
        <f t="shared" si="2"/>
        <v>12500</v>
      </c>
      <c r="L1917">
        <f t="shared" si="3"/>
        <v>0</v>
      </c>
    </row>
    <row r="1918">
      <c r="A1918" s="107">
        <f>IFERROR(__xludf.DUMMYFUNCTION("""COMPUTED_VALUE"""),45778.0)</f>
        <v>45778</v>
      </c>
      <c r="B1918" t="str">
        <f>IFERROR(__xludf.DUMMYFUNCTION("""COMPUTED_VALUE"""),"[永春四號] C [林聿妡] 月租金 (行號: 79)")</f>
        <v>[永春四號] C [林聿妡] 月租金 (行號: 79)</v>
      </c>
      <c r="C1918" t="str">
        <f>IFERROR(__xludf.DUMMYFUNCTION("""COMPUTED_VALUE"""),"收入 - 租金")</f>
        <v>收入 - 租金</v>
      </c>
      <c r="D1918" s="270">
        <f>IFERROR(__xludf.DUMMYFUNCTION("""COMPUTED_VALUE"""),12800.0)</f>
        <v>12800</v>
      </c>
      <c r="F1918" t="str">
        <f>IFERROR(__xludf.DUMMYFUNCTION("""COMPUTED_VALUE"""),"台銀籌備帳戶")</f>
        <v>台銀籌備帳戶</v>
      </c>
      <c r="G1918" t="str">
        <f>IFERROR(__xludf.DUMMYFUNCTION("""COMPUTED_VALUE"""),"永春四號")</f>
        <v>永春四號</v>
      </c>
      <c r="H1918" s="106" t="str">
        <f t="shared" si="1"/>
        <v>2025-05</v>
      </c>
      <c r="I1918" s="271" t="str">
        <f>IFERROR(__xludf.DUMMYFUNCTION("""COMPUTED_VALUE"""),"貓狗企鵝")</f>
        <v>貓狗企鵝</v>
      </c>
      <c r="J1918" t="str">
        <f>IFERROR(__xludf.DUMMYFUNCTION("IFS(
  AND(REGEXMATCH(E1918, ""台銀籌備帳戶|玉山帳戶""), REGEXMATCH(C1918, ""薪資"")), ""分潤支出"",
  AND(REGEXMATCH(E1918, ""Ben帳戶|Elsa帳戶|Ben代墊|Ariel代墊|中信銀行共用""), REGEXMATCH(F1918, ""Ben帳戶|Elsa帳戶|Ben代墊|Ariel代墊|中信銀行共用"")), ""內部轉帳(忽略)"",
  AND(E1918&lt;&gt;"""", F1918&lt;&gt;"""", N"&amp;"OT(REGEXMATCH(C1918, ""薪資""))), ""內部轉帳(忽略)"",
  REGEXMATCH(C1918, ""薪資""), ""薪資變動(不計入)"",
  REGEXMATCH(C1918, ""押金""), ""押金往來"",
  AND(E1918&lt;&gt;"""", F1918=""""), ""真實支出"",
  AND(E1918="""", F1918&lt;&gt;""""), ""真實收入"",
  TRUE, ""其他""
)"),"真實收入")</f>
        <v>真實收入</v>
      </c>
      <c r="K1918" s="270">
        <f t="shared" si="2"/>
        <v>12800</v>
      </c>
      <c r="L1918">
        <f t="shared" si="3"/>
        <v>0</v>
      </c>
    </row>
    <row r="1919">
      <c r="A1919" s="107">
        <f>IFERROR(__xludf.DUMMYFUNCTION("""COMPUTED_VALUE"""),45778.0)</f>
        <v>45778</v>
      </c>
      <c r="B1919" t="str">
        <f>IFERROR(__xludf.DUMMYFUNCTION("""COMPUTED_VALUE"""),"[中山北娘家旁] C [魏湘芸] 月租金 (行號: 80)")</f>
        <v>[中山北娘家旁] C [魏湘芸] 月租金 (行號: 80)</v>
      </c>
      <c r="C1919" t="str">
        <f>IFERROR(__xludf.DUMMYFUNCTION("""COMPUTED_VALUE"""),"收入 - 租金")</f>
        <v>收入 - 租金</v>
      </c>
      <c r="D1919" s="270">
        <f>IFERROR(__xludf.DUMMYFUNCTION("""COMPUTED_VALUE"""),14800.0)</f>
        <v>14800</v>
      </c>
      <c r="F1919" t="str">
        <f>IFERROR(__xludf.DUMMYFUNCTION("""COMPUTED_VALUE"""),"台銀籌備帳戶")</f>
        <v>台銀籌備帳戶</v>
      </c>
      <c r="G1919" t="str">
        <f>IFERROR(__xludf.DUMMYFUNCTION("""COMPUTED_VALUE"""),"中山北娘家旁")</f>
        <v>中山北娘家旁</v>
      </c>
      <c r="H1919" s="106" t="str">
        <f t="shared" si="1"/>
        <v>2025-05</v>
      </c>
      <c r="I1919" s="271" t="str">
        <f>IFERROR(__xludf.DUMMYFUNCTION("""COMPUTED_VALUE"""),"貓狗企鵝")</f>
        <v>貓狗企鵝</v>
      </c>
      <c r="J1919" t="str">
        <f>IFERROR(__xludf.DUMMYFUNCTION("IFS(
  AND(REGEXMATCH(E1919, ""台銀籌備帳戶|玉山帳戶""), REGEXMATCH(C1919, ""薪資"")), ""分潤支出"",
  AND(REGEXMATCH(E1919, ""Ben帳戶|Elsa帳戶|Ben代墊|Ariel代墊|中信銀行共用""), REGEXMATCH(F1919, ""Ben帳戶|Elsa帳戶|Ben代墊|Ariel代墊|中信銀行共用"")), ""內部轉帳(忽略)"",
  AND(E1919&lt;&gt;"""", F1919&lt;&gt;"""", N"&amp;"OT(REGEXMATCH(C1919, ""薪資""))), ""內部轉帳(忽略)"",
  REGEXMATCH(C1919, ""薪資""), ""薪資變動(不計入)"",
  REGEXMATCH(C1919, ""押金""), ""押金往來"",
  AND(E1919&lt;&gt;"""", F1919=""""), ""真實支出"",
  AND(E1919="""", F1919&lt;&gt;""""), ""真實收入"",
  TRUE, ""其他""
)"),"真實收入")</f>
        <v>真實收入</v>
      </c>
      <c r="K1919" s="270">
        <f t="shared" si="2"/>
        <v>14800</v>
      </c>
      <c r="L1919">
        <f t="shared" si="3"/>
        <v>0</v>
      </c>
    </row>
    <row r="1920">
      <c r="A1920" s="107">
        <f>IFERROR(__xludf.DUMMYFUNCTION("""COMPUTED_VALUE"""),45779.0)</f>
        <v>45779</v>
      </c>
      <c r="B1920" t="str">
        <f>IFERROR(__xludf.DUMMYFUNCTION("""COMPUTED_VALUE"""),"[龍江229] D [黃依婷] 月租金 (行號: 82)")</f>
        <v>[龍江229] D [黃依婷] 月租金 (行號: 82)</v>
      </c>
      <c r="C1920" t="str">
        <f>IFERROR(__xludf.DUMMYFUNCTION("""COMPUTED_VALUE"""),"收入 - 租金")</f>
        <v>收入 - 租金</v>
      </c>
      <c r="D1920" s="270">
        <f>IFERROR(__xludf.DUMMYFUNCTION("""COMPUTED_VALUE"""),13300.0)</f>
        <v>13300</v>
      </c>
      <c r="F1920" t="str">
        <f>IFERROR(__xludf.DUMMYFUNCTION("""COMPUTED_VALUE"""),"台銀籌備帳戶")</f>
        <v>台銀籌備帳戶</v>
      </c>
      <c r="G1920" t="str">
        <f>IFERROR(__xludf.DUMMYFUNCTION("""COMPUTED_VALUE"""),"龍江229")</f>
        <v>龍江229</v>
      </c>
      <c r="H1920" s="106" t="str">
        <f t="shared" si="1"/>
        <v>2025-05</v>
      </c>
      <c r="I1920" s="271" t="str">
        <f>IFERROR(__xludf.DUMMYFUNCTION("""COMPUTED_VALUE"""),"貓狗企鵝")</f>
        <v>貓狗企鵝</v>
      </c>
      <c r="J1920" t="str">
        <f>IFERROR(__xludf.DUMMYFUNCTION("IFS(
  AND(REGEXMATCH(E1920, ""台銀籌備帳戶|玉山帳戶""), REGEXMATCH(C1920, ""薪資"")), ""分潤支出"",
  AND(REGEXMATCH(E1920, ""Ben帳戶|Elsa帳戶|Ben代墊|Ariel代墊|中信銀行共用""), REGEXMATCH(F1920, ""Ben帳戶|Elsa帳戶|Ben代墊|Ariel代墊|中信銀行共用"")), ""內部轉帳(忽略)"",
  AND(E1920&lt;&gt;"""", F1920&lt;&gt;"""", N"&amp;"OT(REGEXMATCH(C1920, ""薪資""))), ""內部轉帳(忽略)"",
  REGEXMATCH(C1920, ""薪資""), ""薪資變動(不計入)"",
  REGEXMATCH(C1920, ""押金""), ""押金往來"",
  AND(E1920&lt;&gt;"""", F1920=""""), ""真實支出"",
  AND(E1920="""", F1920&lt;&gt;""""), ""真實收入"",
  TRUE, ""其他""
)"),"真實收入")</f>
        <v>真實收入</v>
      </c>
      <c r="K1920" s="270">
        <f t="shared" si="2"/>
        <v>13300</v>
      </c>
      <c r="L1920">
        <f t="shared" si="3"/>
        <v>0</v>
      </c>
    </row>
    <row r="1921">
      <c r="A1921" s="107">
        <f>IFERROR(__xludf.DUMMYFUNCTION("""COMPUTED_VALUE"""),45779.0)</f>
        <v>45779</v>
      </c>
      <c r="B1921" t="str">
        <f>IFERROR(__xludf.DUMMYFUNCTION("""COMPUTED_VALUE"""),"[南港站挑高宅] E [張劉明翔] 月租金 (行號: 83)")</f>
        <v>[南港站挑高宅] E [張劉明翔] 月租金 (行號: 83)</v>
      </c>
      <c r="C1921" t="str">
        <f>IFERROR(__xludf.DUMMYFUNCTION("""COMPUTED_VALUE"""),"收入 - 租金")</f>
        <v>收入 - 租金</v>
      </c>
      <c r="D1921" s="270">
        <f>IFERROR(__xludf.DUMMYFUNCTION("""COMPUTED_VALUE"""),12800.0)</f>
        <v>12800</v>
      </c>
      <c r="F1921" t="str">
        <f>IFERROR(__xludf.DUMMYFUNCTION("""COMPUTED_VALUE"""),"台銀籌備帳戶")</f>
        <v>台銀籌備帳戶</v>
      </c>
      <c r="G1921" t="str">
        <f>IFERROR(__xludf.DUMMYFUNCTION("""COMPUTED_VALUE"""),"南港站挑高宅")</f>
        <v>南港站挑高宅</v>
      </c>
      <c r="H1921" s="106" t="str">
        <f t="shared" si="1"/>
        <v>2025-05</v>
      </c>
      <c r="I1921" s="271" t="str">
        <f>IFERROR(__xludf.DUMMYFUNCTION("""COMPUTED_VALUE"""),"貓狗企鵝")</f>
        <v>貓狗企鵝</v>
      </c>
      <c r="J1921" t="str">
        <f>IFERROR(__xludf.DUMMYFUNCTION("IFS(
  AND(REGEXMATCH(E1921, ""台銀籌備帳戶|玉山帳戶""), REGEXMATCH(C1921, ""薪資"")), ""分潤支出"",
  AND(REGEXMATCH(E1921, ""Ben帳戶|Elsa帳戶|Ben代墊|Ariel代墊|中信銀行共用""), REGEXMATCH(F1921, ""Ben帳戶|Elsa帳戶|Ben代墊|Ariel代墊|中信銀行共用"")), ""內部轉帳(忽略)"",
  AND(E1921&lt;&gt;"""", F1921&lt;&gt;"""", N"&amp;"OT(REGEXMATCH(C1921, ""薪資""))), ""內部轉帳(忽略)"",
  REGEXMATCH(C1921, ""薪資""), ""薪資變動(不計入)"",
  REGEXMATCH(C1921, ""押金""), ""押金往來"",
  AND(E1921&lt;&gt;"""", F1921=""""), ""真實支出"",
  AND(E1921="""", F1921&lt;&gt;""""), ""真實收入"",
  TRUE, ""其他""
)"),"真實收入")</f>
        <v>真實收入</v>
      </c>
      <c r="K1921" s="270">
        <f t="shared" si="2"/>
        <v>12800</v>
      </c>
      <c r="L1921">
        <f t="shared" si="3"/>
        <v>0</v>
      </c>
    </row>
    <row r="1922">
      <c r="A1922" s="107">
        <f>IFERROR(__xludf.DUMMYFUNCTION("""COMPUTED_VALUE"""),45779.0)</f>
        <v>45779</v>
      </c>
      <c r="B1922" t="str">
        <f>IFERROR(__xludf.DUMMYFUNCTION("""COMPUTED_VALUE"""),"[中山北Feli家] E [王翊樺, 周定瑀] 月租金 (行號: 85)")</f>
        <v>[中山北Feli家] E [王翊樺, 周定瑀] 月租金 (行號: 85)</v>
      </c>
      <c r="C1922" t="str">
        <f>IFERROR(__xludf.DUMMYFUNCTION("""COMPUTED_VALUE"""),"收入 - 租金")</f>
        <v>收入 - 租金</v>
      </c>
      <c r="D1922" s="270">
        <f>IFERROR(__xludf.DUMMYFUNCTION("""COMPUTED_VALUE"""),31000.0)</f>
        <v>31000</v>
      </c>
      <c r="F1922" t="str">
        <f>IFERROR(__xludf.DUMMYFUNCTION("""COMPUTED_VALUE"""),"台銀籌備帳戶")</f>
        <v>台銀籌備帳戶</v>
      </c>
      <c r="G1922" t="str">
        <f>IFERROR(__xludf.DUMMYFUNCTION("""COMPUTED_VALUE"""),"中山北Feli家")</f>
        <v>中山北Feli家</v>
      </c>
      <c r="H1922" s="106" t="str">
        <f t="shared" si="1"/>
        <v>2025-05</v>
      </c>
      <c r="I1922" s="271" t="str">
        <f>IFERROR(__xludf.DUMMYFUNCTION("""COMPUTED_VALUE"""),"貓狗企鵝")</f>
        <v>貓狗企鵝</v>
      </c>
      <c r="J1922" t="str">
        <f>IFERROR(__xludf.DUMMYFUNCTION("IFS(
  AND(REGEXMATCH(E1922, ""台銀籌備帳戶|玉山帳戶""), REGEXMATCH(C1922, ""薪資"")), ""分潤支出"",
  AND(REGEXMATCH(E1922, ""Ben帳戶|Elsa帳戶|Ben代墊|Ariel代墊|中信銀行共用""), REGEXMATCH(F1922, ""Ben帳戶|Elsa帳戶|Ben代墊|Ariel代墊|中信銀行共用"")), ""內部轉帳(忽略)"",
  AND(E1922&lt;&gt;"""", F1922&lt;&gt;"""", N"&amp;"OT(REGEXMATCH(C1922, ""薪資""))), ""內部轉帳(忽略)"",
  REGEXMATCH(C1922, ""薪資""), ""薪資變動(不計入)"",
  REGEXMATCH(C1922, ""押金""), ""押金往來"",
  AND(E1922&lt;&gt;"""", F1922=""""), ""真實支出"",
  AND(E1922="""", F1922&lt;&gt;""""), ""真實收入"",
  TRUE, ""其他""
)"),"真實收入")</f>
        <v>真實收入</v>
      </c>
      <c r="K1922" s="270">
        <f t="shared" si="2"/>
        <v>31000</v>
      </c>
      <c r="L1922">
        <f t="shared" si="3"/>
        <v>0</v>
      </c>
    </row>
    <row r="1923">
      <c r="A1923" s="107">
        <f>IFERROR(__xludf.DUMMYFUNCTION("""COMPUTED_VALUE"""),45779.0)</f>
        <v>45779</v>
      </c>
      <c r="B1923" t="str">
        <f>IFERROR(__xludf.DUMMYFUNCTION("""COMPUTED_VALUE"""),"[北醫醫師府] E [洪睿佑] 月租金 (行號: 87)")</f>
        <v>[北醫醫師府] E [洪睿佑] 月租金 (行號: 87)</v>
      </c>
      <c r="C1923" t="str">
        <f>IFERROR(__xludf.DUMMYFUNCTION("""COMPUTED_VALUE"""),"收入 - 租金")</f>
        <v>收入 - 租金</v>
      </c>
      <c r="D1923" s="270">
        <f>IFERROR(__xludf.DUMMYFUNCTION("""COMPUTED_VALUE"""),14800.0)</f>
        <v>14800</v>
      </c>
      <c r="F1923" t="str">
        <f>IFERROR(__xludf.DUMMYFUNCTION("""COMPUTED_VALUE"""),"台銀籌備帳戶")</f>
        <v>台銀籌備帳戶</v>
      </c>
      <c r="G1923" t="str">
        <f>IFERROR(__xludf.DUMMYFUNCTION("""COMPUTED_VALUE"""),"北醫醫師府")</f>
        <v>北醫醫師府</v>
      </c>
      <c r="H1923" s="106" t="str">
        <f t="shared" si="1"/>
        <v>2025-05</v>
      </c>
      <c r="I1923" s="271" t="str">
        <f>IFERROR(__xludf.DUMMYFUNCTION("""COMPUTED_VALUE"""),"貓狗企鵝")</f>
        <v>貓狗企鵝</v>
      </c>
      <c r="J1923" t="str">
        <f>IFERROR(__xludf.DUMMYFUNCTION("IFS(
  AND(REGEXMATCH(E1923, ""台銀籌備帳戶|玉山帳戶""), REGEXMATCH(C1923, ""薪資"")), ""分潤支出"",
  AND(REGEXMATCH(E1923, ""Ben帳戶|Elsa帳戶|Ben代墊|Ariel代墊|中信銀行共用""), REGEXMATCH(F1923, ""Ben帳戶|Elsa帳戶|Ben代墊|Ariel代墊|中信銀行共用"")), ""內部轉帳(忽略)"",
  AND(E1923&lt;&gt;"""", F1923&lt;&gt;"""", N"&amp;"OT(REGEXMATCH(C1923, ""薪資""))), ""內部轉帳(忽略)"",
  REGEXMATCH(C1923, ""薪資""), ""薪資變動(不計入)"",
  REGEXMATCH(C1923, ""押金""), ""押金往來"",
  AND(E1923&lt;&gt;"""", F1923=""""), ""真實支出"",
  AND(E1923="""", F1923&lt;&gt;""""), ""真實收入"",
  TRUE, ""其他""
)"),"真實收入")</f>
        <v>真實收入</v>
      </c>
      <c r="K1923" s="270">
        <f t="shared" si="2"/>
        <v>14800</v>
      </c>
      <c r="L1923">
        <f t="shared" si="3"/>
        <v>0</v>
      </c>
    </row>
    <row r="1924">
      <c r="A1924" s="107">
        <f>IFERROR(__xludf.DUMMYFUNCTION("""COMPUTED_VALUE"""),45779.0)</f>
        <v>45779</v>
      </c>
      <c r="B1924" t="str">
        <f>IFERROR(__xludf.DUMMYFUNCTION("""COMPUTED_VALUE"""),"[哈拉對面] A [李柏緯] 月租金 (行號: 88)")</f>
        <v>[哈拉對面] A [李柏緯] 月租金 (行號: 88)</v>
      </c>
      <c r="C1924" t="str">
        <f>IFERROR(__xludf.DUMMYFUNCTION("""COMPUTED_VALUE"""),"收入 - 租金")</f>
        <v>收入 - 租金</v>
      </c>
      <c r="D1924" s="270">
        <f>IFERROR(__xludf.DUMMYFUNCTION("""COMPUTED_VALUE"""),11300.0)</f>
        <v>11300</v>
      </c>
      <c r="F1924" t="str">
        <f>IFERROR(__xludf.DUMMYFUNCTION("""COMPUTED_VALUE"""),"台銀籌備帳戶")</f>
        <v>台銀籌備帳戶</v>
      </c>
      <c r="G1924" t="str">
        <f>IFERROR(__xludf.DUMMYFUNCTION("""COMPUTED_VALUE"""),"哈拉對面")</f>
        <v>哈拉對面</v>
      </c>
      <c r="H1924" s="106" t="str">
        <f t="shared" si="1"/>
        <v>2025-05</v>
      </c>
      <c r="I1924" s="271" t="str">
        <f>IFERROR(__xludf.DUMMYFUNCTION("""COMPUTED_VALUE"""),"貓狗企鵝")</f>
        <v>貓狗企鵝</v>
      </c>
      <c r="J1924" t="str">
        <f>IFERROR(__xludf.DUMMYFUNCTION("IFS(
  AND(REGEXMATCH(E1924, ""台銀籌備帳戶|玉山帳戶""), REGEXMATCH(C1924, ""薪資"")), ""分潤支出"",
  AND(REGEXMATCH(E1924, ""Ben帳戶|Elsa帳戶|Ben代墊|Ariel代墊|中信銀行共用""), REGEXMATCH(F1924, ""Ben帳戶|Elsa帳戶|Ben代墊|Ariel代墊|中信銀行共用"")), ""內部轉帳(忽略)"",
  AND(E1924&lt;&gt;"""", F1924&lt;&gt;"""", N"&amp;"OT(REGEXMATCH(C1924, ""薪資""))), ""內部轉帳(忽略)"",
  REGEXMATCH(C1924, ""薪資""), ""薪資變動(不計入)"",
  REGEXMATCH(C1924, ""押金""), ""押金往來"",
  AND(E1924&lt;&gt;"""", F1924=""""), ""真實支出"",
  AND(E1924="""", F1924&lt;&gt;""""), ""真實收入"",
  TRUE, ""其他""
)"),"真實收入")</f>
        <v>真實收入</v>
      </c>
      <c r="K1924" s="270">
        <f t="shared" si="2"/>
        <v>11300</v>
      </c>
      <c r="L1924">
        <f t="shared" si="3"/>
        <v>0</v>
      </c>
    </row>
    <row r="1925">
      <c r="A1925" s="107">
        <f>IFERROR(__xludf.DUMMYFUNCTION("""COMPUTED_VALUE"""),45783.0)</f>
        <v>45783</v>
      </c>
      <c r="B1925" t="str">
        <f>IFERROR(__xludf.DUMMYFUNCTION("""COMPUTED_VALUE"""),"大湖 A Eason")</f>
        <v>大湖 A Eason</v>
      </c>
      <c r="C1925" t="str">
        <f>IFERROR(__xludf.DUMMYFUNCTION("""COMPUTED_VALUE"""),"收入 - 租金")</f>
        <v>收入 - 租金</v>
      </c>
      <c r="D1925" s="270">
        <f>IFERROR(__xludf.DUMMYFUNCTION("""COMPUTED_VALUE"""),13300.0)</f>
        <v>13300</v>
      </c>
      <c r="F1925" t="str">
        <f>IFERROR(__xludf.DUMMYFUNCTION("""COMPUTED_VALUE"""),"台銀籌備帳戶")</f>
        <v>台銀籌備帳戶</v>
      </c>
      <c r="G1925" t="str">
        <f>IFERROR(__xludf.DUMMYFUNCTION("""COMPUTED_VALUE"""),"大湖山莊")</f>
        <v>大湖山莊</v>
      </c>
      <c r="H1925" s="106" t="str">
        <f t="shared" si="1"/>
        <v>2025-05</v>
      </c>
      <c r="I1925" s="271" t="str">
        <f>IFERROR(__xludf.DUMMYFUNCTION("""COMPUTED_VALUE"""),"貓狗企鵝")</f>
        <v>貓狗企鵝</v>
      </c>
      <c r="J1925" t="str">
        <f>IFERROR(__xludf.DUMMYFUNCTION("IFS(
  AND(REGEXMATCH(E1925, ""台銀籌備帳戶|玉山帳戶""), REGEXMATCH(C1925, ""薪資"")), ""分潤支出"",
  AND(REGEXMATCH(E1925, ""Ben帳戶|Elsa帳戶|Ben代墊|Ariel代墊|中信銀行共用""), REGEXMATCH(F1925, ""Ben帳戶|Elsa帳戶|Ben代墊|Ariel代墊|中信銀行共用"")), ""內部轉帳(忽略)"",
  AND(E1925&lt;&gt;"""", F1925&lt;&gt;"""", N"&amp;"OT(REGEXMATCH(C1925, ""薪資""))), ""內部轉帳(忽略)"",
  REGEXMATCH(C1925, ""薪資""), ""薪資變動(不計入)"",
  REGEXMATCH(C1925, ""押金""), ""押金往來"",
  AND(E1925&lt;&gt;"""", F1925=""""), ""真實支出"",
  AND(E1925="""", F1925&lt;&gt;""""), ""真實收入"",
  TRUE, ""其他""
)"),"真實收入")</f>
        <v>真實收入</v>
      </c>
      <c r="K1925" s="270">
        <f t="shared" si="2"/>
        <v>13300</v>
      </c>
      <c r="L1925">
        <f t="shared" si="3"/>
        <v>0</v>
      </c>
    </row>
    <row r="1926">
      <c r="A1926" s="107">
        <f>IFERROR(__xludf.DUMMYFUNCTION("""COMPUTED_VALUE"""),45785.0)</f>
        <v>45785</v>
      </c>
      <c r="B1926" t="str">
        <f>IFERROR(__xludf.DUMMYFUNCTION("""COMPUTED_VALUE"""),"垃可")</f>
        <v>垃可</v>
      </c>
      <c r="C1926" t="str">
        <f>IFERROR(__xludf.DUMMYFUNCTION("""COMPUTED_VALUE"""),"成本 - 固定開銷(網路代收清潔)")</f>
        <v>成本 - 固定開銷(網路代收清潔)</v>
      </c>
      <c r="D1926" s="270">
        <f>IFERROR(__xludf.DUMMYFUNCTION("""COMPUTED_VALUE"""),-4500.0)</f>
        <v>-4500</v>
      </c>
      <c r="E1926" t="str">
        <f>IFERROR(__xludf.DUMMYFUNCTION("""COMPUTED_VALUE"""),"Ben帳戶")</f>
        <v>Ben帳戶</v>
      </c>
      <c r="H1926" s="106" t="str">
        <f t="shared" si="1"/>
        <v>2025-05</v>
      </c>
      <c r="I1926" s="271" t="str">
        <f>IFERROR(__xludf.DUMMYFUNCTION("""COMPUTED_VALUE"""),"貓狗企鵝")</f>
        <v>貓狗企鵝</v>
      </c>
      <c r="J1926" t="str">
        <f>IFERROR(__xludf.DUMMYFUNCTION("IFS(
  AND(REGEXMATCH(E1926, ""台銀籌備帳戶|玉山帳戶""), REGEXMATCH(C1926, ""薪資"")), ""分潤支出"",
  AND(REGEXMATCH(E1926, ""Ben帳戶|Elsa帳戶|Ben代墊|Ariel代墊|中信銀行共用""), REGEXMATCH(F1926, ""Ben帳戶|Elsa帳戶|Ben代墊|Ariel代墊|中信銀行共用"")), ""內部轉帳(忽略)"",
  AND(E1926&lt;&gt;"""", F1926&lt;&gt;"""", N"&amp;"OT(REGEXMATCH(C1926, ""薪資""))), ""內部轉帳(忽略)"",
  REGEXMATCH(C1926, ""薪資""), ""薪資變動(不計入)"",
  REGEXMATCH(C1926, ""押金""), ""押金往來"",
  AND(E1926&lt;&gt;"""", F1926=""""), ""真實支出"",
  AND(E1926="""", F1926&lt;&gt;""""), ""真實收入"",
  TRUE, ""其他""
)"),"真實支出")</f>
        <v>真實支出</v>
      </c>
      <c r="K1926" s="270">
        <f t="shared" si="2"/>
        <v>-4500</v>
      </c>
      <c r="L1926">
        <f t="shared" si="3"/>
        <v>0</v>
      </c>
    </row>
    <row r="1927">
      <c r="A1927" s="107">
        <f>IFERROR(__xludf.DUMMYFUNCTION("""COMPUTED_VALUE"""),45789.0)</f>
        <v>45789</v>
      </c>
      <c r="B1927" t="str">
        <f>IFERROR(__xludf.DUMMYFUNCTION("""COMPUTED_VALUE"""),"金龍WD40")</f>
        <v>金龍WD40</v>
      </c>
      <c r="C1927" t="str">
        <f>IFERROR(__xludf.DUMMYFUNCTION("""COMPUTED_VALUE"""),"成本 - 租後修繕")</f>
        <v>成本 - 租後修繕</v>
      </c>
      <c r="D1927" s="270">
        <f>IFERROR(__xludf.DUMMYFUNCTION("""COMPUTED_VALUE"""),-180.0)</f>
        <v>-180</v>
      </c>
      <c r="E1927" t="str">
        <f>IFERROR(__xludf.DUMMYFUNCTION("""COMPUTED_VALUE"""),"Ben帳戶")</f>
        <v>Ben帳戶</v>
      </c>
      <c r="G1927" t="str">
        <f>IFERROR(__xludf.DUMMYFUNCTION("""COMPUTED_VALUE"""),"金龍帽子先生")</f>
        <v>金龍帽子先生</v>
      </c>
      <c r="H1927" s="106" t="str">
        <f t="shared" si="1"/>
        <v>2025-05</v>
      </c>
      <c r="I1927" s="271" t="str">
        <f>IFERROR(__xludf.DUMMYFUNCTION("""COMPUTED_VALUE"""),"貓狗企鵝")</f>
        <v>貓狗企鵝</v>
      </c>
      <c r="J1927" t="str">
        <f>IFERROR(__xludf.DUMMYFUNCTION("IFS(
  AND(REGEXMATCH(E1927, ""台銀籌備帳戶|玉山帳戶""), REGEXMATCH(C1927, ""薪資"")), ""分潤支出"",
  AND(REGEXMATCH(E1927, ""Ben帳戶|Elsa帳戶|Ben代墊|Ariel代墊|中信銀行共用""), REGEXMATCH(F1927, ""Ben帳戶|Elsa帳戶|Ben代墊|Ariel代墊|中信銀行共用"")), ""內部轉帳(忽略)"",
  AND(E1927&lt;&gt;"""", F1927&lt;&gt;"""", N"&amp;"OT(REGEXMATCH(C1927, ""薪資""))), ""內部轉帳(忽略)"",
  REGEXMATCH(C1927, ""薪資""), ""薪資變動(不計入)"",
  REGEXMATCH(C1927, ""押金""), ""押金往來"",
  AND(E1927&lt;&gt;"""", F1927=""""), ""真實支出"",
  AND(E1927="""", F1927&lt;&gt;""""), ""真實收入"",
  TRUE, ""其他""
)"),"真實支出")</f>
        <v>真實支出</v>
      </c>
      <c r="K1927" s="270">
        <f t="shared" si="2"/>
        <v>-180</v>
      </c>
      <c r="L1927">
        <f t="shared" si="3"/>
        <v>0</v>
      </c>
    </row>
    <row r="1928">
      <c r="A1928" s="107">
        <f>IFERROR(__xludf.DUMMYFUNCTION("""COMPUTED_VALUE"""),45790.0)</f>
        <v>45790</v>
      </c>
      <c r="B1928" t="str">
        <f>IFERROR(__xludf.DUMMYFUNCTION("""COMPUTED_VALUE"""),"大湖鑰匙移轉")</f>
        <v>大湖鑰匙移轉</v>
      </c>
      <c r="C1928" t="str">
        <f>IFERROR(__xludf.DUMMYFUNCTION("""COMPUTED_VALUE"""),"成本 - 租後修繕")</f>
        <v>成本 - 租後修繕</v>
      </c>
      <c r="D1928" s="270">
        <f>IFERROR(__xludf.DUMMYFUNCTION("""COMPUTED_VALUE"""),-263.0)</f>
        <v>-263</v>
      </c>
      <c r="E1928" t="str">
        <f>IFERROR(__xludf.DUMMYFUNCTION("""COMPUTED_VALUE"""),"Ben帳戶")</f>
        <v>Ben帳戶</v>
      </c>
      <c r="G1928" t="str">
        <f>IFERROR(__xludf.DUMMYFUNCTION("""COMPUTED_VALUE"""),"大湖山莊")</f>
        <v>大湖山莊</v>
      </c>
      <c r="H1928" s="106" t="str">
        <f t="shared" si="1"/>
        <v>2025-05</v>
      </c>
      <c r="I1928" s="271" t="str">
        <f>IFERROR(__xludf.DUMMYFUNCTION("""COMPUTED_VALUE"""),"貓狗企鵝")</f>
        <v>貓狗企鵝</v>
      </c>
      <c r="J1928" t="str">
        <f>IFERROR(__xludf.DUMMYFUNCTION("IFS(
  AND(REGEXMATCH(E1928, ""台銀籌備帳戶|玉山帳戶""), REGEXMATCH(C1928, ""薪資"")), ""分潤支出"",
  AND(REGEXMATCH(E1928, ""Ben帳戶|Elsa帳戶|Ben代墊|Ariel代墊|中信銀行共用""), REGEXMATCH(F1928, ""Ben帳戶|Elsa帳戶|Ben代墊|Ariel代墊|中信銀行共用"")), ""內部轉帳(忽略)"",
  AND(E1928&lt;&gt;"""", F1928&lt;&gt;"""", N"&amp;"OT(REGEXMATCH(C1928, ""薪資""))), ""內部轉帳(忽略)"",
  REGEXMATCH(C1928, ""薪資""), ""薪資變動(不計入)"",
  REGEXMATCH(C1928, ""押金""), ""押金往來"",
  AND(E1928&lt;&gt;"""", F1928=""""), ""真實支出"",
  AND(E1928="""", F1928&lt;&gt;""""), ""真實收入"",
  TRUE, ""其他""
)"),"真實支出")</f>
        <v>真實支出</v>
      </c>
      <c r="K1928" s="270">
        <f t="shared" si="2"/>
        <v>-263</v>
      </c>
      <c r="L1928">
        <f t="shared" si="3"/>
        <v>0</v>
      </c>
    </row>
    <row r="1929">
      <c r="A1929" s="107">
        <f>IFERROR(__xludf.DUMMYFUNCTION("""COMPUTED_VALUE"""),45797.0)</f>
        <v>45797</v>
      </c>
      <c r="B1929" t="str">
        <f>IFERROR(__xludf.DUMMYFUNCTION("""COMPUTED_VALUE"""),"活力咖啡6杯")</f>
        <v>活力咖啡6杯</v>
      </c>
      <c r="C1929" t="str">
        <f>IFERROR(__xludf.DUMMYFUNCTION("""COMPUTED_VALUE"""),"費用 - 餐飲")</f>
        <v>費用 - 餐飲</v>
      </c>
      <c r="D1929" s="270">
        <f>IFERROR(__xludf.DUMMYFUNCTION("""COMPUTED_VALUE"""),-1100.0)</f>
        <v>-1100</v>
      </c>
      <c r="E1929" t="str">
        <f>IFERROR(__xludf.DUMMYFUNCTION("""COMPUTED_VALUE"""),"Elsa帳戶")</f>
        <v>Elsa帳戶</v>
      </c>
      <c r="G1929" t="str">
        <f>IFERROR(__xludf.DUMMYFUNCTION("""COMPUTED_VALUE"""),"書香民生")</f>
        <v>書香民生</v>
      </c>
      <c r="H1929" s="106" t="str">
        <f t="shared" si="1"/>
        <v>2025-05</v>
      </c>
      <c r="I1929" s="271" t="str">
        <f>IFERROR(__xludf.DUMMYFUNCTION("""COMPUTED_VALUE"""),"貓狗企鵝")</f>
        <v>貓狗企鵝</v>
      </c>
      <c r="J1929" t="str">
        <f>IFERROR(__xludf.DUMMYFUNCTION("IFS(
  AND(REGEXMATCH(E1929, ""台銀籌備帳戶|玉山帳戶""), REGEXMATCH(C1929, ""薪資"")), ""分潤支出"",
  AND(REGEXMATCH(E1929, ""Ben帳戶|Elsa帳戶|Ben代墊|Ariel代墊|中信銀行共用""), REGEXMATCH(F1929, ""Ben帳戶|Elsa帳戶|Ben代墊|Ariel代墊|中信銀行共用"")), ""內部轉帳(忽略)"",
  AND(E1929&lt;&gt;"""", F1929&lt;&gt;"""", N"&amp;"OT(REGEXMATCH(C1929, ""薪資""))), ""內部轉帳(忽略)"",
  REGEXMATCH(C1929, ""薪資""), ""薪資變動(不計入)"",
  REGEXMATCH(C1929, ""押金""), ""押金往來"",
  AND(E1929&lt;&gt;"""", F1929=""""), ""真實支出"",
  AND(E1929="""", F1929&lt;&gt;""""), ""真實收入"",
  TRUE, ""其他""
)"),"真實支出")</f>
        <v>真實支出</v>
      </c>
      <c r="K1929" s="270">
        <f t="shared" si="2"/>
        <v>-1100</v>
      </c>
      <c r="L1929">
        <f t="shared" si="3"/>
        <v>0</v>
      </c>
    </row>
    <row r="1930">
      <c r="A1930" s="107">
        <f>IFERROR(__xludf.DUMMYFUNCTION("""COMPUTED_VALUE"""),45800.0)</f>
        <v>45800</v>
      </c>
      <c r="B1930" t="str">
        <f>IFERROR(__xludf.DUMMYFUNCTION("""COMPUTED_VALUE"""),"龍江591")</f>
        <v>龍江591</v>
      </c>
      <c r="C1930" t="str">
        <f>IFERROR(__xludf.DUMMYFUNCTION("""COMPUTED_VALUE"""),"成本 - 仲介費")</f>
        <v>成本 - 仲介費</v>
      </c>
      <c r="D1930" s="270">
        <f>IFERROR(__xludf.DUMMYFUNCTION("""COMPUTED_VALUE"""),-1289.0)</f>
        <v>-1289</v>
      </c>
      <c r="E1930" t="str">
        <f>IFERROR(__xludf.DUMMYFUNCTION("""COMPUTED_VALUE"""),"Ben帳戶")</f>
        <v>Ben帳戶</v>
      </c>
      <c r="G1930" t="str">
        <f>IFERROR(__xludf.DUMMYFUNCTION("""COMPUTED_VALUE"""),"龍江229")</f>
        <v>龍江229</v>
      </c>
      <c r="H1930" s="106" t="str">
        <f t="shared" si="1"/>
        <v>2025-05</v>
      </c>
      <c r="I1930" s="271" t="str">
        <f>IFERROR(__xludf.DUMMYFUNCTION("""COMPUTED_VALUE"""),"貓狗企鵝")</f>
        <v>貓狗企鵝</v>
      </c>
      <c r="J1930" t="str">
        <f>IFERROR(__xludf.DUMMYFUNCTION("IFS(
  AND(REGEXMATCH(E1930, ""台銀籌備帳戶|玉山帳戶""), REGEXMATCH(C1930, ""薪資"")), ""分潤支出"",
  AND(REGEXMATCH(E1930, ""Ben帳戶|Elsa帳戶|Ben代墊|Ariel代墊|中信銀行共用""), REGEXMATCH(F1930, ""Ben帳戶|Elsa帳戶|Ben代墊|Ariel代墊|中信銀行共用"")), ""內部轉帳(忽略)"",
  AND(E1930&lt;&gt;"""", F1930&lt;&gt;"""", N"&amp;"OT(REGEXMATCH(C1930, ""薪資""))), ""內部轉帳(忽略)"",
  REGEXMATCH(C1930, ""薪資""), ""薪資變動(不計入)"",
  REGEXMATCH(C1930, ""押金""), ""押金往來"",
  AND(E1930&lt;&gt;"""", F1930=""""), ""真實支出"",
  AND(E1930="""", F1930&lt;&gt;""""), ""真實收入"",
  TRUE, ""其他""
)"),"真實支出")</f>
        <v>真實支出</v>
      </c>
      <c r="K1930" s="270">
        <f t="shared" si="2"/>
        <v>-1289</v>
      </c>
      <c r="L1930">
        <f t="shared" si="3"/>
        <v>0</v>
      </c>
    </row>
    <row r="1931">
      <c r="A1931" s="107">
        <f>IFERROR(__xludf.DUMMYFUNCTION("""COMPUTED_VALUE"""),45801.0)</f>
        <v>45801</v>
      </c>
      <c r="B1931" t="str">
        <f>IFERROR(__xludf.DUMMYFUNCTION("""COMPUTED_VALUE"""),"Godaddy網域")</f>
        <v>Godaddy網域</v>
      </c>
      <c r="C1931" t="str">
        <f>IFERROR(__xludf.DUMMYFUNCTION("""COMPUTED_VALUE"""),"費用 - 辦公用品")</f>
        <v>費用 - 辦公用品</v>
      </c>
      <c r="D1931" s="270">
        <f>IFERROR(__xludf.DUMMYFUNCTION("""COMPUTED_VALUE"""),-1090.0)</f>
        <v>-1090</v>
      </c>
      <c r="E1931" t="str">
        <f>IFERROR(__xludf.DUMMYFUNCTION("""COMPUTED_VALUE"""),"Ben帳戶")</f>
        <v>Ben帳戶</v>
      </c>
      <c r="H1931" s="106" t="str">
        <f t="shared" si="1"/>
        <v>2025-05</v>
      </c>
      <c r="I1931" s="271" t="str">
        <f>IFERROR(__xludf.DUMMYFUNCTION("""COMPUTED_VALUE"""),"貓狗企鵝")</f>
        <v>貓狗企鵝</v>
      </c>
      <c r="J1931" t="str">
        <f>IFERROR(__xludf.DUMMYFUNCTION("IFS(
  AND(REGEXMATCH(E1931, ""台銀籌備帳戶|玉山帳戶""), REGEXMATCH(C1931, ""薪資"")), ""分潤支出"",
  AND(REGEXMATCH(E1931, ""Ben帳戶|Elsa帳戶|Ben代墊|Ariel代墊|中信銀行共用""), REGEXMATCH(F1931, ""Ben帳戶|Elsa帳戶|Ben代墊|Ariel代墊|中信銀行共用"")), ""內部轉帳(忽略)"",
  AND(E1931&lt;&gt;"""", F1931&lt;&gt;"""", N"&amp;"OT(REGEXMATCH(C1931, ""薪資""))), ""內部轉帳(忽略)"",
  REGEXMATCH(C1931, ""薪資""), ""薪資變動(不計入)"",
  REGEXMATCH(C1931, ""押金""), ""押金往來"",
  AND(E1931&lt;&gt;"""", F1931=""""), ""真實支出"",
  AND(E1931="""", F1931&lt;&gt;""""), ""真實收入"",
  TRUE, ""其他""
)"),"真實支出")</f>
        <v>真實支出</v>
      </c>
      <c r="K1931" s="270">
        <f t="shared" si="2"/>
        <v>-1090</v>
      </c>
      <c r="L1931">
        <f t="shared" si="3"/>
        <v>0</v>
      </c>
    </row>
    <row r="1932">
      <c r="A1932" s="107">
        <f>IFERROR(__xludf.DUMMYFUNCTION("""COMPUTED_VALUE"""),45804.0)</f>
        <v>45804</v>
      </c>
      <c r="B1932" t="str">
        <f>IFERROR(__xludf.DUMMYFUNCTION("""COMPUTED_VALUE"""),"打鑰匙")</f>
        <v>打鑰匙</v>
      </c>
      <c r="C1932" t="str">
        <f>IFERROR(__xludf.DUMMYFUNCTION("""COMPUTED_VALUE"""),"成本 - 進場前裝潢費")</f>
        <v>成本 - 進場前裝潢費</v>
      </c>
      <c r="D1932" s="270">
        <f>IFERROR(__xludf.DUMMYFUNCTION("""COMPUTED_VALUE"""),-1900.0)</f>
        <v>-1900</v>
      </c>
      <c r="E1932" t="str">
        <f>IFERROR(__xludf.DUMMYFUNCTION("""COMPUTED_VALUE"""),"Ben帳戶")</f>
        <v>Ben帳戶</v>
      </c>
      <c r="G1932" t="str">
        <f>IFERROR(__xludf.DUMMYFUNCTION("""COMPUTED_VALUE"""),"書香民生")</f>
        <v>書香民生</v>
      </c>
      <c r="H1932" s="106" t="str">
        <f t="shared" si="1"/>
        <v>2025-05</v>
      </c>
      <c r="I1932" s="271" t="str">
        <f>IFERROR(__xludf.DUMMYFUNCTION("""COMPUTED_VALUE"""),"貓狗企鵝")</f>
        <v>貓狗企鵝</v>
      </c>
      <c r="J1932" t="str">
        <f>IFERROR(__xludf.DUMMYFUNCTION("IFS(
  AND(REGEXMATCH(E1932, ""台銀籌備帳戶|玉山帳戶""), REGEXMATCH(C1932, ""薪資"")), ""分潤支出"",
  AND(REGEXMATCH(E1932, ""Ben帳戶|Elsa帳戶|Ben代墊|Ariel代墊|中信銀行共用""), REGEXMATCH(F1932, ""Ben帳戶|Elsa帳戶|Ben代墊|Ariel代墊|中信銀行共用"")), ""內部轉帳(忽略)"",
  AND(E1932&lt;&gt;"""", F1932&lt;&gt;"""", N"&amp;"OT(REGEXMATCH(C1932, ""薪資""))), ""內部轉帳(忽略)"",
  REGEXMATCH(C1932, ""薪資""), ""薪資變動(不計入)"",
  REGEXMATCH(C1932, ""押金""), ""押金往來"",
  AND(E1932&lt;&gt;"""", F1932=""""), ""真實支出"",
  AND(E1932="""", F1932&lt;&gt;""""), ""真實收入"",
  TRUE, ""其他""
)"),"真實支出")</f>
        <v>真實支出</v>
      </c>
      <c r="K1932" s="270">
        <f t="shared" si="2"/>
        <v>-1900</v>
      </c>
      <c r="L1932">
        <f t="shared" si="3"/>
        <v>0</v>
      </c>
    </row>
    <row r="1933">
      <c r="A1933" s="107">
        <f>IFERROR(__xludf.DUMMYFUNCTION("""COMPUTED_VALUE"""),45804.0)</f>
        <v>45804</v>
      </c>
      <c r="B1933" t="str">
        <f>IFERROR(__xludf.DUMMYFUNCTION("""COMPUTED_VALUE"""),"哈拉591")</f>
        <v>哈拉591</v>
      </c>
      <c r="C1933" t="str">
        <f>IFERROR(__xludf.DUMMYFUNCTION("""COMPUTED_VALUE"""),"成本 - 仲介費")</f>
        <v>成本 - 仲介費</v>
      </c>
      <c r="D1933" s="270">
        <f>IFERROR(__xludf.DUMMYFUNCTION("""COMPUTED_VALUE"""),-1289.0)</f>
        <v>-1289</v>
      </c>
      <c r="E1933" t="str">
        <f>IFERROR(__xludf.DUMMYFUNCTION("""COMPUTED_VALUE"""),"Elsa帳戶")</f>
        <v>Elsa帳戶</v>
      </c>
      <c r="G1933" t="str">
        <f>IFERROR(__xludf.DUMMYFUNCTION("""COMPUTED_VALUE"""),"哈拉對面")</f>
        <v>哈拉對面</v>
      </c>
      <c r="H1933" s="106" t="str">
        <f t="shared" si="1"/>
        <v>2025-05</v>
      </c>
      <c r="I1933" s="271" t="str">
        <f>IFERROR(__xludf.DUMMYFUNCTION("""COMPUTED_VALUE"""),"貓狗企鵝")</f>
        <v>貓狗企鵝</v>
      </c>
      <c r="J1933" t="str">
        <f>IFERROR(__xludf.DUMMYFUNCTION("IFS(
  AND(REGEXMATCH(E1933, ""台銀籌備帳戶|玉山帳戶""), REGEXMATCH(C1933, ""薪資"")), ""分潤支出"",
  AND(REGEXMATCH(E1933, ""Ben帳戶|Elsa帳戶|Ben代墊|Ariel代墊|中信銀行共用""), REGEXMATCH(F1933, ""Ben帳戶|Elsa帳戶|Ben代墊|Ariel代墊|中信銀行共用"")), ""內部轉帳(忽略)"",
  AND(E1933&lt;&gt;"""", F1933&lt;&gt;"""", N"&amp;"OT(REGEXMATCH(C1933, ""薪資""))), ""內部轉帳(忽略)"",
  REGEXMATCH(C1933, ""薪資""), ""薪資變動(不計入)"",
  REGEXMATCH(C1933, ""押金""), ""押金往來"",
  AND(E1933&lt;&gt;"""", F1933=""""), ""真實支出"",
  AND(E1933="""", F1933&lt;&gt;""""), ""真實收入"",
  TRUE, ""其他""
)"),"真實支出")</f>
        <v>真實支出</v>
      </c>
      <c r="K1933" s="270">
        <f t="shared" si="2"/>
        <v>-1289</v>
      </c>
      <c r="L1933">
        <f t="shared" si="3"/>
        <v>0</v>
      </c>
    </row>
    <row r="1934">
      <c r="A1934" s="107">
        <f>IFERROR(__xludf.DUMMYFUNCTION("""COMPUTED_VALUE"""),45806.0)</f>
        <v>45806</v>
      </c>
      <c r="B1934" t="str">
        <f>IFERROR(__xludf.DUMMYFUNCTION("""COMPUTED_VALUE"""),"密碼盒")</f>
        <v>密碼盒</v>
      </c>
      <c r="C1934" t="str">
        <f>IFERROR(__xludf.DUMMYFUNCTION("""COMPUTED_VALUE"""),"成本 - 進場前裝潢費")</f>
        <v>成本 - 進場前裝潢費</v>
      </c>
      <c r="D1934" s="270">
        <f>IFERROR(__xludf.DUMMYFUNCTION("""COMPUTED_VALUE"""),-689.0)</f>
        <v>-689</v>
      </c>
      <c r="E1934" t="str">
        <f>IFERROR(__xludf.DUMMYFUNCTION("""COMPUTED_VALUE"""),"Ben帳戶")</f>
        <v>Ben帳戶</v>
      </c>
      <c r="G1934" t="str">
        <f>IFERROR(__xludf.DUMMYFUNCTION("""COMPUTED_VALUE"""),"書香民生")</f>
        <v>書香民生</v>
      </c>
      <c r="H1934" s="106" t="str">
        <f t="shared" si="1"/>
        <v>2025-05</v>
      </c>
      <c r="I1934" s="271" t="str">
        <f>IFERROR(__xludf.DUMMYFUNCTION("""COMPUTED_VALUE"""),"貓狗企鵝")</f>
        <v>貓狗企鵝</v>
      </c>
      <c r="J1934" t="str">
        <f>IFERROR(__xludf.DUMMYFUNCTION("IFS(
  AND(REGEXMATCH(E1934, ""台銀籌備帳戶|玉山帳戶""), REGEXMATCH(C1934, ""薪資"")), ""分潤支出"",
  AND(REGEXMATCH(E1934, ""Ben帳戶|Elsa帳戶|Ben代墊|Ariel代墊|中信銀行共用""), REGEXMATCH(F1934, ""Ben帳戶|Elsa帳戶|Ben代墊|Ariel代墊|中信銀行共用"")), ""內部轉帳(忽略)"",
  AND(E1934&lt;&gt;"""", F1934&lt;&gt;"""", N"&amp;"OT(REGEXMATCH(C1934, ""薪資""))), ""內部轉帳(忽略)"",
  REGEXMATCH(C1934, ""薪資""), ""薪資變動(不計入)"",
  REGEXMATCH(C1934, ""押金""), ""押金往來"",
  AND(E1934&lt;&gt;"""", F1934=""""), ""真實支出"",
  AND(E1934="""", F1934&lt;&gt;""""), ""真實收入"",
  TRUE, ""其他""
)"),"真實支出")</f>
        <v>真實支出</v>
      </c>
      <c r="K1934" s="270">
        <f t="shared" si="2"/>
        <v>-689</v>
      </c>
      <c r="L1934">
        <f t="shared" si="3"/>
        <v>0</v>
      </c>
    </row>
    <row r="1935">
      <c r="A1935" s="107">
        <f>IFERROR(__xludf.DUMMYFUNCTION("""COMPUTED_VALUE"""),45785.0)</f>
        <v>45785</v>
      </c>
      <c r="B1935" t="str">
        <f>IFERROR(__xludf.DUMMYFUNCTION("""COMPUTED_VALUE"""),"費用 - 匯費 對方行:012 後五碼:22931 (行號: 2)")</f>
        <v>費用 - 匯費 對方行:012 後五碼:22931 (行號: 2)</v>
      </c>
      <c r="C1935" t="str">
        <f>IFERROR(__xludf.DUMMYFUNCTION("""COMPUTED_VALUE"""),"費用 - 匯費")</f>
        <v>費用 - 匯費</v>
      </c>
      <c r="D1935" s="270">
        <f>IFERROR(__xludf.DUMMYFUNCTION("""COMPUTED_VALUE"""),-15.0)</f>
        <v>-15</v>
      </c>
      <c r="E1935" t="str">
        <f>IFERROR(__xludf.DUMMYFUNCTION("""COMPUTED_VALUE"""),"台銀籌備帳戶")</f>
        <v>台銀籌備帳戶</v>
      </c>
      <c r="H1935" s="106" t="str">
        <f t="shared" si="1"/>
        <v>2025-05</v>
      </c>
      <c r="I1935" s="271" t="str">
        <f>IFERROR(__xludf.DUMMYFUNCTION("""COMPUTED_VALUE"""),"貓狗企鵝")</f>
        <v>貓狗企鵝</v>
      </c>
      <c r="J1935" t="str">
        <f>IFERROR(__xludf.DUMMYFUNCTION("IFS(
  AND(REGEXMATCH(E1935, ""台銀籌備帳戶|玉山帳戶""), REGEXMATCH(C1935, ""薪資"")), ""分潤支出"",
  AND(REGEXMATCH(E1935, ""Ben帳戶|Elsa帳戶|Ben代墊|Ariel代墊|中信銀行共用""), REGEXMATCH(F1935, ""Ben帳戶|Elsa帳戶|Ben代墊|Ariel代墊|中信銀行共用"")), ""內部轉帳(忽略)"",
  AND(E1935&lt;&gt;"""", F1935&lt;&gt;"""", N"&amp;"OT(REGEXMATCH(C1935, ""薪資""))), ""內部轉帳(忽略)"",
  REGEXMATCH(C1935, ""薪資""), ""薪資變動(不計入)"",
  REGEXMATCH(C1935, ""押金""), ""押金往來"",
  AND(E1935&lt;&gt;"""", F1935=""""), ""真實支出"",
  AND(E1935="""", F1935&lt;&gt;""""), ""真實收入"",
  TRUE, ""其他""
)"),"真實支出")</f>
        <v>真實支出</v>
      </c>
      <c r="K1935" s="270">
        <f t="shared" si="2"/>
        <v>-15</v>
      </c>
      <c r="L1935">
        <f t="shared" si="3"/>
        <v>0</v>
      </c>
    </row>
    <row r="1936">
      <c r="A1936" s="107">
        <f>IFERROR(__xludf.DUMMYFUNCTION("""COMPUTED_VALUE"""),45785.0)</f>
        <v>45785</v>
      </c>
      <c r="B1936" t="str">
        <f>IFERROR(__xludf.DUMMYFUNCTION("""COMPUTED_VALUE""")," ' 【未分類支出】")</f>
        <v> ' 【未分類支出】</v>
      </c>
      <c r="C1936" t="str">
        <f>IFERROR(__xludf.DUMMYFUNCTION("""COMPUTED_VALUE"""),"成本 - 進場前裝潢費")</f>
        <v>成本 - 進場前裝潢費</v>
      </c>
      <c r="D1936" s="270">
        <f>IFERROR(__xludf.DUMMYFUNCTION("""COMPUTED_VALUE"""),-14450.0)</f>
        <v>-14450</v>
      </c>
      <c r="E1936" t="str">
        <f>IFERROR(__xludf.DUMMYFUNCTION("""COMPUTED_VALUE"""),"台銀籌備帳戶")</f>
        <v>台銀籌備帳戶</v>
      </c>
      <c r="G1936" t="str">
        <f>IFERROR(__xludf.DUMMYFUNCTION("""COMPUTED_VALUE"""),"無法分類")</f>
        <v>無法分類</v>
      </c>
      <c r="H1936" s="106" t="str">
        <f t="shared" si="1"/>
        <v>2025-05</v>
      </c>
      <c r="I1936" s="271" t="str">
        <f>IFERROR(__xludf.DUMMYFUNCTION("""COMPUTED_VALUE"""),"貓狗企鵝")</f>
        <v>貓狗企鵝</v>
      </c>
      <c r="J1936" t="str">
        <f>IFERROR(__xludf.DUMMYFUNCTION("IFS(
  AND(REGEXMATCH(E1936, ""台銀籌備帳戶|玉山帳戶""), REGEXMATCH(C1936, ""薪資"")), ""分潤支出"",
  AND(REGEXMATCH(E1936, ""Ben帳戶|Elsa帳戶|Ben代墊|Ariel代墊|中信銀行共用""), REGEXMATCH(F1936, ""Ben帳戶|Elsa帳戶|Ben代墊|Ariel代墊|中信銀行共用"")), ""內部轉帳(忽略)"",
  AND(E1936&lt;&gt;"""", F1936&lt;&gt;"""", N"&amp;"OT(REGEXMATCH(C1936, ""薪資""))), ""內部轉帳(忽略)"",
  REGEXMATCH(C1936, ""薪資""), ""薪資變動(不計入)"",
  REGEXMATCH(C1936, ""押金""), ""押金往來"",
  AND(E1936&lt;&gt;"""", F1936=""""), ""真實支出"",
  AND(E1936="""", F1936&lt;&gt;""""), ""真實收入"",
  TRUE, ""其他""
)"),"真實支出")</f>
        <v>真實支出</v>
      </c>
      <c r="K1936" s="270">
        <f t="shared" si="2"/>
        <v>-14450</v>
      </c>
      <c r="L1936">
        <f t="shared" si="3"/>
        <v>0</v>
      </c>
    </row>
    <row r="1937">
      <c r="A1937" s="107">
        <f>IFERROR(__xludf.DUMMYFUNCTION("""COMPUTED_VALUE"""),45787.0)</f>
        <v>45787</v>
      </c>
      <c r="B1937" t="str">
        <f>IFERROR(__xludf.DUMMYFUNCTION("""COMPUTED_VALUE"""),"費用 - 匯費 對方行:013 後五碼:36191 (行號: 4)")</f>
        <v>費用 - 匯費 對方行:013 後五碼:36191 (行號: 4)</v>
      </c>
      <c r="C1937" t="str">
        <f>IFERROR(__xludf.DUMMYFUNCTION("""COMPUTED_VALUE"""),"費用 - 匯費")</f>
        <v>費用 - 匯費</v>
      </c>
      <c r="D1937" s="270">
        <f>IFERROR(__xludf.DUMMYFUNCTION("""COMPUTED_VALUE"""),-15.0)</f>
        <v>-15</v>
      </c>
      <c r="E1937" t="str">
        <f>IFERROR(__xludf.DUMMYFUNCTION("""COMPUTED_VALUE"""),"台銀籌備帳戶")</f>
        <v>台銀籌備帳戶</v>
      </c>
      <c r="H1937" s="106" t="str">
        <f t="shared" si="1"/>
        <v>2025-05</v>
      </c>
      <c r="I1937" s="271" t="str">
        <f>IFERROR(__xludf.DUMMYFUNCTION("""COMPUTED_VALUE"""),"貓狗企鵝")</f>
        <v>貓狗企鵝</v>
      </c>
      <c r="J1937" t="str">
        <f>IFERROR(__xludf.DUMMYFUNCTION("IFS(
  AND(REGEXMATCH(E1937, ""台銀籌備帳戶|玉山帳戶""), REGEXMATCH(C1937, ""薪資"")), ""分潤支出"",
  AND(REGEXMATCH(E1937, ""Ben帳戶|Elsa帳戶|Ben代墊|Ariel代墊|中信銀行共用""), REGEXMATCH(F1937, ""Ben帳戶|Elsa帳戶|Ben代墊|Ariel代墊|中信銀行共用"")), ""內部轉帳(忽略)"",
  AND(E1937&lt;&gt;"""", F1937&lt;&gt;"""", N"&amp;"OT(REGEXMATCH(C1937, ""薪資""))), ""內部轉帳(忽略)"",
  REGEXMATCH(C1937, ""薪資""), ""薪資變動(不計入)"",
  REGEXMATCH(C1937, ""押金""), ""押金往來"",
  AND(E1937&lt;&gt;"""", F1937=""""), ""真實支出"",
  AND(E1937="""", F1937&lt;&gt;""""), ""真實收入"",
  TRUE, ""其他""
)"),"真實支出")</f>
        <v>真實支出</v>
      </c>
      <c r="K1937" s="270">
        <f t="shared" si="2"/>
        <v>-15</v>
      </c>
      <c r="L1937">
        <f t="shared" si="3"/>
        <v>0</v>
      </c>
    </row>
    <row r="1938">
      <c r="A1938" s="107">
        <f>IFERROR(__xludf.DUMMYFUNCTION("""COMPUTED_VALUE"""),45787.0)</f>
        <v>45787</v>
      </c>
      <c r="B1938" t="str">
        <f>IFERROR(__xludf.DUMMYFUNCTION("""COMPUTED_VALUE"""),"南港紗門 ' 【未分類支出】")</f>
        <v>南港紗門 ' 【未分類支出】</v>
      </c>
      <c r="C1938" t="str">
        <f>IFERROR(__xludf.DUMMYFUNCTION("""COMPUTED_VALUE"""),"成本 - 租後修繕")</f>
        <v>成本 - 租後修繕</v>
      </c>
      <c r="D1938" s="270">
        <f>IFERROR(__xludf.DUMMYFUNCTION("""COMPUTED_VALUE"""),-1500.0)</f>
        <v>-1500</v>
      </c>
      <c r="E1938" t="str">
        <f>IFERROR(__xludf.DUMMYFUNCTION("""COMPUTED_VALUE"""),"台銀籌備帳戶")</f>
        <v>台銀籌備帳戶</v>
      </c>
      <c r="G1938" t="str">
        <f>IFERROR(__xludf.DUMMYFUNCTION("""COMPUTED_VALUE"""),"南港站挑高宅")</f>
        <v>南港站挑高宅</v>
      </c>
      <c r="H1938" s="106" t="str">
        <f t="shared" si="1"/>
        <v>2025-05</v>
      </c>
      <c r="I1938" s="271" t="str">
        <f>IFERROR(__xludf.DUMMYFUNCTION("""COMPUTED_VALUE"""),"貓狗企鵝")</f>
        <v>貓狗企鵝</v>
      </c>
      <c r="J1938" t="str">
        <f>IFERROR(__xludf.DUMMYFUNCTION("IFS(
  AND(REGEXMATCH(E1938, ""台銀籌備帳戶|玉山帳戶""), REGEXMATCH(C1938, ""薪資"")), ""分潤支出"",
  AND(REGEXMATCH(E1938, ""Ben帳戶|Elsa帳戶|Ben代墊|Ariel代墊|中信銀行共用""), REGEXMATCH(F1938, ""Ben帳戶|Elsa帳戶|Ben代墊|Ariel代墊|中信銀行共用"")), ""內部轉帳(忽略)"",
  AND(E1938&lt;&gt;"""", F1938&lt;&gt;"""", N"&amp;"OT(REGEXMATCH(C1938, ""薪資""))), ""內部轉帳(忽略)"",
  REGEXMATCH(C1938, ""薪資""), ""薪資變動(不計入)"",
  REGEXMATCH(C1938, ""押金""), ""押金往來"",
  AND(E1938&lt;&gt;"""", F1938=""""), ""真實支出"",
  AND(E1938="""", F1938&lt;&gt;""""), ""真實收入"",
  TRUE, ""其他""
)"),"真實支出")</f>
        <v>真實支出</v>
      </c>
      <c r="K1938" s="270">
        <f t="shared" si="2"/>
        <v>-1500</v>
      </c>
      <c r="L1938">
        <f t="shared" si="3"/>
        <v>0</v>
      </c>
    </row>
    <row r="1939">
      <c r="A1939" s="107">
        <f>IFERROR(__xludf.DUMMYFUNCTION("""COMPUTED_VALUE"""),45787.0)</f>
        <v>45787</v>
      </c>
      <c r="B1939" t="str">
        <f>IFERROR(__xludf.DUMMYFUNCTION("""COMPUTED_VALUE"""),"費用 - 匯費 對方行:822 後五碼:30547 (行號: 5)")</f>
        <v>費用 - 匯費 對方行:822 後五碼:30547 (行號: 5)</v>
      </c>
      <c r="C1939" t="str">
        <f>IFERROR(__xludf.DUMMYFUNCTION("""COMPUTED_VALUE"""),"費用 - 匯費")</f>
        <v>費用 - 匯費</v>
      </c>
      <c r="D1939" s="270">
        <f>IFERROR(__xludf.DUMMYFUNCTION("""COMPUTED_VALUE"""),-15.0)</f>
        <v>-15</v>
      </c>
      <c r="E1939" t="str">
        <f>IFERROR(__xludf.DUMMYFUNCTION("""COMPUTED_VALUE"""),"台銀籌備帳戶")</f>
        <v>台銀籌備帳戶</v>
      </c>
      <c r="H1939" s="106" t="str">
        <f t="shared" si="1"/>
        <v>2025-05</v>
      </c>
      <c r="I1939" s="271" t="str">
        <f>IFERROR(__xludf.DUMMYFUNCTION("""COMPUTED_VALUE"""),"貓狗企鵝")</f>
        <v>貓狗企鵝</v>
      </c>
      <c r="J1939" t="str">
        <f>IFERROR(__xludf.DUMMYFUNCTION("IFS(
  AND(REGEXMATCH(E1939, ""台銀籌備帳戶|玉山帳戶""), REGEXMATCH(C1939, ""薪資"")), ""分潤支出"",
  AND(REGEXMATCH(E1939, ""Ben帳戶|Elsa帳戶|Ben代墊|Ariel代墊|中信銀行共用""), REGEXMATCH(F1939, ""Ben帳戶|Elsa帳戶|Ben代墊|Ariel代墊|中信銀行共用"")), ""內部轉帳(忽略)"",
  AND(E1939&lt;&gt;"""", F1939&lt;&gt;"""", N"&amp;"OT(REGEXMATCH(C1939, ""薪資""))), ""內部轉帳(忽略)"",
  REGEXMATCH(C1939, ""薪資""), ""薪資變動(不計入)"",
  REGEXMATCH(C1939, ""押金""), ""押金往來"",
  AND(E1939&lt;&gt;"""", F1939=""""), ""真實支出"",
  AND(E1939="""", F1939&lt;&gt;""""), ""真實收入"",
  TRUE, ""其他""
)"),"真實支出")</f>
        <v>真實支出</v>
      </c>
      <c r="K1939" s="270">
        <f t="shared" si="2"/>
        <v>-15</v>
      </c>
      <c r="L1939">
        <f t="shared" si="3"/>
        <v>0</v>
      </c>
    </row>
    <row r="1940">
      <c r="A1940" s="107">
        <f>IFERROR(__xludf.DUMMYFUNCTION("""COMPUTED_VALUE"""),45787.0)</f>
        <v>45787</v>
      </c>
      <c r="B1940" t="str">
        <f>IFERROR(__xludf.DUMMYFUNCTION("""COMPUTED_VALUE"""),"火雞爺爺家油漆 ' 【未分類支出】")</f>
        <v>火雞爺爺家油漆 ' 【未分類支出】</v>
      </c>
      <c r="C1940" t="str">
        <f>IFERROR(__xludf.DUMMYFUNCTION("""COMPUTED_VALUE"""),"成本 - 租後修繕")</f>
        <v>成本 - 租後修繕</v>
      </c>
      <c r="D1940" s="270">
        <f>IFERROR(__xludf.DUMMYFUNCTION("""COMPUTED_VALUE"""),-3237.0)</f>
        <v>-3237</v>
      </c>
      <c r="E1940" t="str">
        <f>IFERROR(__xludf.DUMMYFUNCTION("""COMPUTED_VALUE"""),"台銀籌備帳戶")</f>
        <v>台銀籌備帳戶</v>
      </c>
      <c r="G1940" t="str">
        <f>IFERROR(__xludf.DUMMYFUNCTION("""COMPUTED_VALUE"""),"市府爺爺家")</f>
        <v>市府爺爺家</v>
      </c>
      <c r="H1940" s="106" t="str">
        <f t="shared" si="1"/>
        <v>2025-05</v>
      </c>
      <c r="I1940" s="271" t="str">
        <f>IFERROR(__xludf.DUMMYFUNCTION("""COMPUTED_VALUE"""),"貓狗企鵝")</f>
        <v>貓狗企鵝</v>
      </c>
      <c r="J1940" t="str">
        <f>IFERROR(__xludf.DUMMYFUNCTION("IFS(
  AND(REGEXMATCH(E1940, ""台銀籌備帳戶|玉山帳戶""), REGEXMATCH(C1940, ""薪資"")), ""分潤支出"",
  AND(REGEXMATCH(E1940, ""Ben帳戶|Elsa帳戶|Ben代墊|Ariel代墊|中信銀行共用""), REGEXMATCH(F1940, ""Ben帳戶|Elsa帳戶|Ben代墊|Ariel代墊|中信銀行共用"")), ""內部轉帳(忽略)"",
  AND(E1940&lt;&gt;"""", F1940&lt;&gt;"""", N"&amp;"OT(REGEXMATCH(C1940, ""薪資""))), ""內部轉帳(忽略)"",
  REGEXMATCH(C1940, ""薪資""), ""薪資變動(不計入)"",
  REGEXMATCH(C1940, ""押金""), ""押金往來"",
  AND(E1940&lt;&gt;"""", F1940=""""), ""真實支出"",
  AND(E1940="""", F1940&lt;&gt;""""), ""真實收入"",
  TRUE, ""其他""
)"),"真實支出")</f>
        <v>真實支出</v>
      </c>
      <c r="K1940" s="270">
        <f t="shared" si="2"/>
        <v>-3237</v>
      </c>
      <c r="L1940">
        <f t="shared" si="3"/>
        <v>0</v>
      </c>
    </row>
    <row r="1941">
      <c r="A1941" s="107">
        <f>IFERROR(__xludf.DUMMYFUNCTION("""COMPUTED_VALUE"""),45790.0)</f>
        <v>45790</v>
      </c>
      <c r="B1941" t="str">
        <f>IFERROR(__xludf.DUMMYFUNCTION("""COMPUTED_VALUE"""),"費用 - 匯費 對方行:013 後五碼:80306 (行號: 11)")</f>
        <v>費用 - 匯費 對方行:013 後五碼:80306 (行號: 11)</v>
      </c>
      <c r="C1941" t="str">
        <f>IFERROR(__xludf.DUMMYFUNCTION("""COMPUTED_VALUE"""),"費用 - 匯費")</f>
        <v>費用 - 匯費</v>
      </c>
      <c r="D1941" s="270">
        <f>IFERROR(__xludf.DUMMYFUNCTION("""COMPUTED_VALUE"""),-15.0)</f>
        <v>-15</v>
      </c>
      <c r="E1941" t="str">
        <f>IFERROR(__xludf.DUMMYFUNCTION("""COMPUTED_VALUE"""),"台銀籌備帳戶")</f>
        <v>台銀籌備帳戶</v>
      </c>
      <c r="H1941" s="106" t="str">
        <f t="shared" si="1"/>
        <v>2025-05</v>
      </c>
      <c r="I1941" s="271" t="str">
        <f>IFERROR(__xludf.DUMMYFUNCTION("""COMPUTED_VALUE"""),"貓狗企鵝")</f>
        <v>貓狗企鵝</v>
      </c>
      <c r="J1941" t="str">
        <f>IFERROR(__xludf.DUMMYFUNCTION("IFS(
  AND(REGEXMATCH(E1941, ""台銀籌備帳戶|玉山帳戶""), REGEXMATCH(C1941, ""薪資"")), ""分潤支出"",
  AND(REGEXMATCH(E1941, ""Ben帳戶|Elsa帳戶|Ben代墊|Ariel代墊|中信銀行共用""), REGEXMATCH(F1941, ""Ben帳戶|Elsa帳戶|Ben代墊|Ariel代墊|中信銀行共用"")), ""內部轉帳(忽略)"",
  AND(E1941&lt;&gt;"""", F1941&lt;&gt;"""", N"&amp;"OT(REGEXMATCH(C1941, ""薪資""))), ""內部轉帳(忽略)"",
  REGEXMATCH(C1941, ""薪資""), ""薪資變動(不計入)"",
  REGEXMATCH(C1941, ""押金""), ""押金往來"",
  AND(E1941&lt;&gt;"""", F1941=""""), ""真實支出"",
  AND(E1941="""", F1941&lt;&gt;""""), ""真實收入"",
  TRUE, ""其他""
)"),"真實支出")</f>
        <v>真實支出</v>
      </c>
      <c r="K1941" s="270">
        <f t="shared" si="2"/>
        <v>-15</v>
      </c>
      <c r="L1941">
        <f t="shared" si="3"/>
        <v>0</v>
      </c>
    </row>
    <row r="1942">
      <c r="A1942" s="107">
        <f>IFERROR(__xludf.DUMMYFUNCTION("""COMPUTED_VALUE"""),45790.0)</f>
        <v>45790</v>
      </c>
      <c r="B1942" t="str">
        <f>IFERROR(__xludf.DUMMYFUNCTION("""COMPUTED_VALUE"""),"大湖B惠卿退押 ' 【未分類支出】")</f>
        <v>大湖B惠卿退押 ' 【未分類支出】</v>
      </c>
      <c r="C1942" t="str">
        <f>IFERROR(__xludf.DUMMYFUNCTION("""COMPUTED_VALUE"""),"收入 - 押金")</f>
        <v>收入 - 押金</v>
      </c>
      <c r="D1942" s="270">
        <f>IFERROR(__xludf.DUMMYFUNCTION("""COMPUTED_VALUE"""),-24600.0)</f>
        <v>-24600</v>
      </c>
      <c r="E1942" t="str">
        <f>IFERROR(__xludf.DUMMYFUNCTION("""COMPUTED_VALUE"""),"台銀籌備帳戶")</f>
        <v>台銀籌備帳戶</v>
      </c>
      <c r="G1942" t="str">
        <f>IFERROR(__xludf.DUMMYFUNCTION("""COMPUTED_VALUE"""),"大湖山莊")</f>
        <v>大湖山莊</v>
      </c>
      <c r="H1942" s="106" t="str">
        <f t="shared" si="1"/>
        <v>2025-05</v>
      </c>
      <c r="I1942" s="271" t="str">
        <f>IFERROR(__xludf.DUMMYFUNCTION("""COMPUTED_VALUE"""),"貓狗企鵝")</f>
        <v>貓狗企鵝</v>
      </c>
      <c r="J1942" t="str">
        <f>IFERROR(__xludf.DUMMYFUNCTION("IFS(
  AND(REGEXMATCH(E1942, ""台銀籌備帳戶|玉山帳戶""), REGEXMATCH(C1942, ""薪資"")), ""分潤支出"",
  AND(REGEXMATCH(E1942, ""Ben帳戶|Elsa帳戶|Ben代墊|Ariel代墊|中信銀行共用""), REGEXMATCH(F1942, ""Ben帳戶|Elsa帳戶|Ben代墊|Ariel代墊|中信銀行共用"")), ""內部轉帳(忽略)"",
  AND(E1942&lt;&gt;"""", F1942&lt;&gt;"""", N"&amp;"OT(REGEXMATCH(C1942, ""薪資""))), ""內部轉帳(忽略)"",
  REGEXMATCH(C1942, ""薪資""), ""薪資變動(不計入)"",
  REGEXMATCH(C1942, ""押金""), ""押金往來"",
  AND(E1942&lt;&gt;"""", F1942=""""), ""真實支出"",
  AND(E1942="""", F1942&lt;&gt;""""), ""真實收入"",
  TRUE, ""其他""
)"),"押金往來")</f>
        <v>押金往來</v>
      </c>
      <c r="K1942">
        <f t="shared" si="2"/>
        <v>0</v>
      </c>
      <c r="L1942">
        <f t="shared" si="3"/>
        <v>0</v>
      </c>
    </row>
    <row r="1943">
      <c r="A1943" s="107">
        <f>IFERROR(__xludf.DUMMYFUNCTION("""COMPUTED_VALUE"""),45790.0)</f>
        <v>45790</v>
      </c>
      <c r="B1943" t="str">
        <f>IFERROR(__xludf.DUMMYFUNCTION("""COMPUTED_VALUE"""),"費用 - 匯費 對方行:700 後五碼:19509 (行號: 12)")</f>
        <v>費用 - 匯費 對方行:700 後五碼:19509 (行號: 12)</v>
      </c>
      <c r="C1943" t="str">
        <f>IFERROR(__xludf.DUMMYFUNCTION("""COMPUTED_VALUE"""),"費用 - 匯費")</f>
        <v>費用 - 匯費</v>
      </c>
      <c r="D1943" s="270">
        <f>IFERROR(__xludf.DUMMYFUNCTION("""COMPUTED_VALUE"""),-15.0)</f>
        <v>-15</v>
      </c>
      <c r="E1943" t="str">
        <f>IFERROR(__xludf.DUMMYFUNCTION("""COMPUTED_VALUE"""),"台銀籌備帳戶")</f>
        <v>台銀籌備帳戶</v>
      </c>
      <c r="H1943" s="106" t="str">
        <f t="shared" si="1"/>
        <v>2025-05</v>
      </c>
      <c r="I1943" s="271" t="str">
        <f>IFERROR(__xludf.DUMMYFUNCTION("""COMPUTED_VALUE"""),"貓狗企鵝")</f>
        <v>貓狗企鵝</v>
      </c>
      <c r="J1943" t="str">
        <f>IFERROR(__xludf.DUMMYFUNCTION("IFS(
  AND(REGEXMATCH(E1943, ""台銀籌備帳戶|玉山帳戶""), REGEXMATCH(C1943, ""薪資"")), ""分潤支出"",
  AND(REGEXMATCH(E1943, ""Ben帳戶|Elsa帳戶|Ben代墊|Ariel代墊|中信銀行共用""), REGEXMATCH(F1943, ""Ben帳戶|Elsa帳戶|Ben代墊|Ariel代墊|中信銀行共用"")), ""內部轉帳(忽略)"",
  AND(E1943&lt;&gt;"""", F1943&lt;&gt;"""", N"&amp;"OT(REGEXMATCH(C1943, ""薪資""))), ""內部轉帳(忽略)"",
  REGEXMATCH(C1943, ""薪資""), ""薪資變動(不計入)"",
  REGEXMATCH(C1943, ""押金""), ""押金往來"",
  AND(E1943&lt;&gt;"""", F1943=""""), ""真實支出"",
  AND(E1943="""", F1943&lt;&gt;""""), ""真實收入"",
  TRUE, ""其他""
)"),"真實支出")</f>
        <v>真實支出</v>
      </c>
      <c r="K1943" s="270">
        <f t="shared" si="2"/>
        <v>-15</v>
      </c>
      <c r="L1943">
        <f t="shared" si="3"/>
        <v>0</v>
      </c>
    </row>
    <row r="1944">
      <c r="A1944" s="107">
        <f>IFERROR(__xludf.DUMMYFUNCTION("""COMPUTED_VALUE"""),45790.0)</f>
        <v>45790</v>
      </c>
      <c r="B1944" t="str">
        <f>IFERROR(__xludf.DUMMYFUNCTION("""COMPUTED_VALUE"""),"[龍江229] [游為傑] 大租金")</f>
        <v>[龍江229] [游為傑] 大租金</v>
      </c>
      <c r="C1944" t="str">
        <f>IFERROR(__xludf.DUMMYFUNCTION("""COMPUTED_VALUE"""),"成本 - 大租金")</f>
        <v>成本 - 大租金</v>
      </c>
      <c r="D1944" s="270">
        <f>IFERROR(__xludf.DUMMYFUNCTION("""COMPUTED_VALUE"""),-13500.0)</f>
        <v>-13500</v>
      </c>
      <c r="E1944" t="str">
        <f>IFERROR(__xludf.DUMMYFUNCTION("""COMPUTED_VALUE"""),"台銀籌備帳戶")</f>
        <v>台銀籌備帳戶</v>
      </c>
      <c r="G1944" t="str">
        <f>IFERROR(__xludf.DUMMYFUNCTION("""COMPUTED_VALUE"""),"龍江229")</f>
        <v>龍江229</v>
      </c>
      <c r="H1944" s="106" t="str">
        <f t="shared" si="1"/>
        <v>2025-05</v>
      </c>
      <c r="I1944" s="271" t="str">
        <f>IFERROR(__xludf.DUMMYFUNCTION("""COMPUTED_VALUE"""),"貓狗企鵝")</f>
        <v>貓狗企鵝</v>
      </c>
      <c r="J1944" t="str">
        <f>IFERROR(__xludf.DUMMYFUNCTION("IFS(
  AND(REGEXMATCH(E1944, ""台銀籌備帳戶|玉山帳戶""), REGEXMATCH(C1944, ""薪資"")), ""分潤支出"",
  AND(REGEXMATCH(E1944, ""Ben帳戶|Elsa帳戶|Ben代墊|Ariel代墊|中信銀行共用""), REGEXMATCH(F1944, ""Ben帳戶|Elsa帳戶|Ben代墊|Ariel代墊|中信銀行共用"")), ""內部轉帳(忽略)"",
  AND(E1944&lt;&gt;"""", F1944&lt;&gt;"""", N"&amp;"OT(REGEXMATCH(C1944, ""薪資""))), ""內部轉帳(忽略)"",
  REGEXMATCH(C1944, ""薪資""), ""薪資變動(不計入)"",
  REGEXMATCH(C1944, ""押金""), ""押金往來"",
  AND(E1944&lt;&gt;"""", F1944=""""), ""真實支出"",
  AND(E1944="""", F1944&lt;&gt;""""), ""真實收入"",
  TRUE, ""其他""
)"),"真實支出")</f>
        <v>真實支出</v>
      </c>
      <c r="K1944" s="270">
        <f t="shared" si="2"/>
        <v>-13500</v>
      </c>
      <c r="L1944">
        <f t="shared" si="3"/>
        <v>0</v>
      </c>
    </row>
    <row r="1945">
      <c r="A1945" s="107">
        <f>IFERROR(__xludf.DUMMYFUNCTION("""COMPUTED_VALUE"""),45790.0)</f>
        <v>45790</v>
      </c>
      <c r="B1945" t="str">
        <f>IFERROR(__xludf.DUMMYFUNCTION("""COMPUTED_VALUE"""),"費用 - 匯費 對方行:822 後五碼:56515 (行號: 13)")</f>
        <v>費用 - 匯費 對方行:822 後五碼:56515 (行號: 13)</v>
      </c>
      <c r="C1945" t="str">
        <f>IFERROR(__xludf.DUMMYFUNCTION("""COMPUTED_VALUE"""),"費用 - 匯費")</f>
        <v>費用 - 匯費</v>
      </c>
      <c r="D1945" s="270">
        <f>IFERROR(__xludf.DUMMYFUNCTION("""COMPUTED_VALUE"""),-15.0)</f>
        <v>-15</v>
      </c>
      <c r="E1945" t="str">
        <f>IFERROR(__xludf.DUMMYFUNCTION("""COMPUTED_VALUE"""),"台銀籌備帳戶")</f>
        <v>台銀籌備帳戶</v>
      </c>
      <c r="H1945" s="106" t="str">
        <f t="shared" si="1"/>
        <v>2025-05</v>
      </c>
      <c r="I1945" s="271" t="str">
        <f>IFERROR(__xludf.DUMMYFUNCTION("""COMPUTED_VALUE"""),"貓狗企鵝")</f>
        <v>貓狗企鵝</v>
      </c>
      <c r="J1945" t="str">
        <f>IFERROR(__xludf.DUMMYFUNCTION("IFS(
  AND(REGEXMATCH(E1945, ""台銀籌備帳戶|玉山帳戶""), REGEXMATCH(C1945, ""薪資"")), ""分潤支出"",
  AND(REGEXMATCH(E1945, ""Ben帳戶|Elsa帳戶|Ben代墊|Ariel代墊|中信銀行共用""), REGEXMATCH(F1945, ""Ben帳戶|Elsa帳戶|Ben代墊|Ariel代墊|中信銀行共用"")), ""內部轉帳(忽略)"",
  AND(E1945&lt;&gt;"""", F1945&lt;&gt;"""", N"&amp;"OT(REGEXMATCH(C1945, ""薪資""))), ""內部轉帳(忽略)"",
  REGEXMATCH(C1945, ""薪資""), ""薪資變動(不計入)"",
  REGEXMATCH(C1945, ""押金""), ""押金往來"",
  AND(E1945&lt;&gt;"""", F1945=""""), ""真實支出"",
  AND(E1945="""", F1945&lt;&gt;""""), ""真實收入"",
  TRUE, ""其他""
)"),"真實支出")</f>
        <v>真實支出</v>
      </c>
      <c r="K1945" s="270">
        <f t="shared" si="2"/>
        <v>-15</v>
      </c>
      <c r="L1945">
        <f t="shared" si="3"/>
        <v>0</v>
      </c>
    </row>
    <row r="1946">
      <c r="A1946" s="107">
        <f>IFERROR(__xludf.DUMMYFUNCTION("""COMPUTED_VALUE"""),45790.0)</f>
        <v>45790</v>
      </c>
      <c r="B1946" t="str">
        <f>IFERROR(__xludf.DUMMYFUNCTION("""COMPUTED_VALUE"""),"冷氣柑仔店北投樂宅")</f>
        <v>冷氣柑仔店北投樂宅</v>
      </c>
      <c r="C1946" t="str">
        <f>IFERROR(__xludf.DUMMYFUNCTION("""COMPUTED_VALUE"""),"成本 - 進場前裝潢費")</f>
        <v>成本 - 進場前裝潢費</v>
      </c>
      <c r="D1946" s="270">
        <f>IFERROR(__xludf.DUMMYFUNCTION("""COMPUTED_VALUE"""),-24600.0)</f>
        <v>-24600</v>
      </c>
      <c r="E1946" t="str">
        <f>IFERROR(__xludf.DUMMYFUNCTION("""COMPUTED_VALUE"""),"台銀籌備帳戶")</f>
        <v>台銀籌備帳戶</v>
      </c>
      <c r="G1946" t="str">
        <f>IFERROR(__xludf.DUMMYFUNCTION("""COMPUTED_VALUE"""),"無法分類")</f>
        <v>無法分類</v>
      </c>
      <c r="H1946" s="106" t="str">
        <f t="shared" si="1"/>
        <v>2025-05</v>
      </c>
      <c r="I1946" s="271" t="str">
        <f>IFERROR(__xludf.DUMMYFUNCTION("""COMPUTED_VALUE"""),"貓狗企鵝")</f>
        <v>貓狗企鵝</v>
      </c>
      <c r="J1946" t="str">
        <f>IFERROR(__xludf.DUMMYFUNCTION("IFS(
  AND(REGEXMATCH(E1946, ""台銀籌備帳戶|玉山帳戶""), REGEXMATCH(C1946, ""薪資"")), ""分潤支出"",
  AND(REGEXMATCH(E1946, ""Ben帳戶|Elsa帳戶|Ben代墊|Ariel代墊|中信銀行共用""), REGEXMATCH(F1946, ""Ben帳戶|Elsa帳戶|Ben代墊|Ariel代墊|中信銀行共用"")), ""內部轉帳(忽略)"",
  AND(E1946&lt;&gt;"""", F1946&lt;&gt;"""", N"&amp;"OT(REGEXMATCH(C1946, ""薪資""))), ""內部轉帳(忽略)"",
  REGEXMATCH(C1946, ""薪資""), ""薪資變動(不計入)"",
  REGEXMATCH(C1946, ""押金""), ""押金往來"",
  AND(E1946&lt;&gt;"""", F1946=""""), ""真實支出"",
  AND(E1946="""", F1946&lt;&gt;""""), ""真實收入"",
  TRUE, ""其他""
)"),"真實支出")</f>
        <v>真實支出</v>
      </c>
      <c r="K1946" s="270">
        <f t="shared" si="2"/>
        <v>-24600</v>
      </c>
      <c r="L1946">
        <f t="shared" si="3"/>
        <v>0</v>
      </c>
    </row>
    <row r="1947">
      <c r="A1947" s="107">
        <f>IFERROR(__xludf.DUMMYFUNCTION("""COMPUTED_VALUE"""),45790.0)</f>
        <v>45790</v>
      </c>
      <c r="B1947" t="str">
        <f>IFERROR(__xludf.DUMMYFUNCTION("""COMPUTED_VALUE"""),"費用 - 匯費 對方行:822 後五碼:56515 (行號: 14)")</f>
        <v>費用 - 匯費 對方行:822 後五碼:56515 (行號: 14)</v>
      </c>
      <c r="C1947" t="str">
        <f>IFERROR(__xludf.DUMMYFUNCTION("""COMPUTED_VALUE"""),"費用 - 匯費")</f>
        <v>費用 - 匯費</v>
      </c>
      <c r="D1947" s="270">
        <f>IFERROR(__xludf.DUMMYFUNCTION("""COMPUTED_VALUE"""),-15.0)</f>
        <v>-15</v>
      </c>
      <c r="E1947" t="str">
        <f>IFERROR(__xludf.DUMMYFUNCTION("""COMPUTED_VALUE"""),"台銀籌備帳戶")</f>
        <v>台銀籌備帳戶</v>
      </c>
      <c r="H1947" s="106" t="str">
        <f t="shared" si="1"/>
        <v>2025-05</v>
      </c>
      <c r="I1947" s="271" t="str">
        <f>IFERROR(__xludf.DUMMYFUNCTION("""COMPUTED_VALUE"""),"貓狗企鵝")</f>
        <v>貓狗企鵝</v>
      </c>
      <c r="J1947" t="str">
        <f>IFERROR(__xludf.DUMMYFUNCTION("IFS(
  AND(REGEXMATCH(E1947, ""台銀籌備帳戶|玉山帳戶""), REGEXMATCH(C1947, ""薪資"")), ""分潤支出"",
  AND(REGEXMATCH(E1947, ""Ben帳戶|Elsa帳戶|Ben代墊|Ariel代墊|中信銀行共用""), REGEXMATCH(F1947, ""Ben帳戶|Elsa帳戶|Ben代墊|Ariel代墊|中信銀行共用"")), ""內部轉帳(忽略)"",
  AND(E1947&lt;&gt;"""", F1947&lt;&gt;"""", N"&amp;"OT(REGEXMATCH(C1947, ""薪資""))), ""內部轉帳(忽略)"",
  REGEXMATCH(C1947, ""薪資""), ""薪資變動(不計入)"",
  REGEXMATCH(C1947, ""押金""), ""押金往來"",
  AND(E1947&lt;&gt;"""", F1947=""""), ""真實支出"",
  AND(E1947="""", F1947&lt;&gt;""""), ""真實收入"",
  TRUE, ""其他""
)"),"真實支出")</f>
        <v>真實支出</v>
      </c>
      <c r="K1947" s="270">
        <f t="shared" si="2"/>
        <v>-15</v>
      </c>
      <c r="L1947">
        <f t="shared" si="3"/>
        <v>0</v>
      </c>
    </row>
    <row r="1948">
      <c r="A1948" s="107">
        <f>IFERROR(__xludf.DUMMYFUNCTION("""COMPUTED_VALUE"""),45790.0)</f>
        <v>45790</v>
      </c>
      <c r="B1948" t="str">
        <f>IFERROR(__xludf.DUMMYFUNCTION("""COMPUTED_VALUE"""),"冷氣柑仔店內湖Ci ' 【未分類支出】")</f>
        <v>冷氣柑仔店內湖Ci ' 【未分類支出】</v>
      </c>
      <c r="C1948" t="str">
        <f>IFERROR(__xludf.DUMMYFUNCTION("""COMPUTED_VALUE"""),"收入 - 其他")</f>
        <v>收入 - 其他</v>
      </c>
      <c r="D1948" s="270">
        <f>IFERROR(__xludf.DUMMYFUNCTION("""COMPUTED_VALUE"""),-119600.0)</f>
        <v>-119600</v>
      </c>
      <c r="E1948" t="str">
        <f>IFERROR(__xludf.DUMMYFUNCTION("""COMPUTED_VALUE"""),"台銀籌備帳戶")</f>
        <v>台銀籌備帳戶</v>
      </c>
      <c r="G1948" t="str">
        <f>IFERROR(__xludf.DUMMYFUNCTION("""COMPUTED_VALUE"""),"無法分類")</f>
        <v>無法分類</v>
      </c>
      <c r="H1948" s="106" t="str">
        <f t="shared" si="1"/>
        <v>2025-05</v>
      </c>
      <c r="I1948" s="271" t="str">
        <f>IFERROR(__xludf.DUMMYFUNCTION("""COMPUTED_VALUE"""),"貓狗企鵝")</f>
        <v>貓狗企鵝</v>
      </c>
      <c r="J1948" t="str">
        <f>IFERROR(__xludf.DUMMYFUNCTION("IFS(
  AND(REGEXMATCH(E1948, ""台銀籌備帳戶|玉山帳戶""), REGEXMATCH(C1948, ""薪資"")), ""分潤支出"",
  AND(REGEXMATCH(E1948, ""Ben帳戶|Elsa帳戶|Ben代墊|Ariel代墊|中信銀行共用""), REGEXMATCH(F1948, ""Ben帳戶|Elsa帳戶|Ben代墊|Ariel代墊|中信銀行共用"")), ""內部轉帳(忽略)"",
  AND(E1948&lt;&gt;"""", F1948&lt;&gt;"""", N"&amp;"OT(REGEXMATCH(C1948, ""薪資""))), ""內部轉帳(忽略)"",
  REGEXMATCH(C1948, ""薪資""), ""薪資變動(不計入)"",
  REGEXMATCH(C1948, ""押金""), ""押金往來"",
  AND(E1948&lt;&gt;"""", F1948=""""), ""真實支出"",
  AND(E1948="""", F1948&lt;&gt;""""), ""真實收入"",
  TRUE, ""其他""
)"),"真實支出")</f>
        <v>真實支出</v>
      </c>
      <c r="K1948" s="270">
        <f t="shared" si="2"/>
        <v>-119600</v>
      </c>
      <c r="L1948">
        <f t="shared" si="3"/>
        <v>0</v>
      </c>
    </row>
    <row r="1949">
      <c r="A1949" s="107">
        <f>IFERROR(__xludf.DUMMYFUNCTION("""COMPUTED_VALUE"""),45792.0)</f>
        <v>45792</v>
      </c>
      <c r="B1949" t="str">
        <f>IFERROR(__xludf.DUMMYFUNCTION("""COMPUTED_VALUE"""),"[南港站挑高宅] [林淑華] 大租金")</f>
        <v>[南港站挑高宅] [林淑華] 大租金</v>
      </c>
      <c r="C1949" t="str">
        <f>IFERROR(__xludf.DUMMYFUNCTION("""COMPUTED_VALUE"""),"成本 - 大租金")</f>
        <v>成本 - 大租金</v>
      </c>
      <c r="D1949" s="270">
        <f>IFERROR(__xludf.DUMMYFUNCTION("""COMPUTED_VALUE"""),-18250.0)</f>
        <v>-18250</v>
      </c>
      <c r="E1949" t="str">
        <f>IFERROR(__xludf.DUMMYFUNCTION("""COMPUTED_VALUE"""),"台銀籌備帳戶")</f>
        <v>台銀籌備帳戶</v>
      </c>
      <c r="G1949" t="str">
        <f>IFERROR(__xludf.DUMMYFUNCTION("""COMPUTED_VALUE"""),"南港站挑高宅")</f>
        <v>南港站挑高宅</v>
      </c>
      <c r="H1949" s="106" t="str">
        <f t="shared" si="1"/>
        <v>2025-05</v>
      </c>
      <c r="I1949" s="271" t="str">
        <f>IFERROR(__xludf.DUMMYFUNCTION("""COMPUTED_VALUE"""),"貓狗企鵝")</f>
        <v>貓狗企鵝</v>
      </c>
      <c r="J1949" t="str">
        <f>IFERROR(__xludf.DUMMYFUNCTION("IFS(
  AND(REGEXMATCH(E1949, ""台銀籌備帳戶|玉山帳戶""), REGEXMATCH(C1949, ""薪資"")), ""分潤支出"",
  AND(REGEXMATCH(E1949, ""Ben帳戶|Elsa帳戶|Ben代墊|Ariel代墊|中信銀行共用""), REGEXMATCH(F1949, ""Ben帳戶|Elsa帳戶|Ben代墊|Ariel代墊|中信銀行共用"")), ""內部轉帳(忽略)"",
  AND(E1949&lt;&gt;"""", F1949&lt;&gt;"""", N"&amp;"OT(REGEXMATCH(C1949, ""薪資""))), ""內部轉帳(忽略)"",
  REGEXMATCH(C1949, ""薪資""), ""薪資變動(不計入)"",
  REGEXMATCH(C1949, ""押金""), ""押金往來"",
  AND(E1949&lt;&gt;"""", F1949=""""), ""真實支出"",
  AND(E1949="""", F1949&lt;&gt;""""), ""真實收入"",
  TRUE, ""其他""
)"),"真實支出")</f>
        <v>真實支出</v>
      </c>
      <c r="K1949" s="270">
        <f t="shared" si="2"/>
        <v>-18250</v>
      </c>
      <c r="L1949">
        <f t="shared" si="3"/>
        <v>0</v>
      </c>
    </row>
    <row r="1950">
      <c r="A1950" s="107">
        <f>IFERROR(__xludf.DUMMYFUNCTION("""COMPUTED_VALUE"""),45792.0)</f>
        <v>45792</v>
      </c>
      <c r="B1950" t="str">
        <f>IFERROR(__xludf.DUMMYFUNCTION("""COMPUTED_VALUE"""),"費用 - 匯費 對方行:052 後五碼:22609 (行號: 17)")</f>
        <v>費用 - 匯費 對方行:052 後五碼:22609 (行號: 17)</v>
      </c>
      <c r="C1950" t="str">
        <f>IFERROR(__xludf.DUMMYFUNCTION("""COMPUTED_VALUE"""),"費用 - 匯費")</f>
        <v>費用 - 匯費</v>
      </c>
      <c r="D1950" s="270">
        <f>IFERROR(__xludf.DUMMYFUNCTION("""COMPUTED_VALUE"""),-15.0)</f>
        <v>-15</v>
      </c>
      <c r="E1950" t="str">
        <f>IFERROR(__xludf.DUMMYFUNCTION("""COMPUTED_VALUE"""),"台銀籌備帳戶")</f>
        <v>台銀籌備帳戶</v>
      </c>
      <c r="H1950" s="106" t="str">
        <f t="shared" si="1"/>
        <v>2025-05</v>
      </c>
      <c r="I1950" s="271" t="str">
        <f>IFERROR(__xludf.DUMMYFUNCTION("""COMPUTED_VALUE"""),"貓狗企鵝")</f>
        <v>貓狗企鵝</v>
      </c>
      <c r="J1950" t="str">
        <f>IFERROR(__xludf.DUMMYFUNCTION("IFS(
  AND(REGEXMATCH(E1950, ""台銀籌備帳戶|玉山帳戶""), REGEXMATCH(C1950, ""薪資"")), ""分潤支出"",
  AND(REGEXMATCH(E1950, ""Ben帳戶|Elsa帳戶|Ben代墊|Ariel代墊|中信銀行共用""), REGEXMATCH(F1950, ""Ben帳戶|Elsa帳戶|Ben代墊|Ariel代墊|中信銀行共用"")), ""內部轉帳(忽略)"",
  AND(E1950&lt;&gt;"""", F1950&lt;&gt;"""", N"&amp;"OT(REGEXMATCH(C1950, ""薪資""))), ""內部轉帳(忽略)"",
  REGEXMATCH(C1950, ""薪資""), ""薪資變動(不計入)"",
  REGEXMATCH(C1950, ""押金""), ""押金往來"",
  AND(E1950&lt;&gt;"""", F1950=""""), ""真實支出"",
  AND(E1950="""", F1950&lt;&gt;""""), ""真實收入"",
  TRUE, ""其他""
)"),"真實支出")</f>
        <v>真實支出</v>
      </c>
      <c r="K1950" s="270">
        <f t="shared" si="2"/>
        <v>-15</v>
      </c>
      <c r="L1950">
        <f t="shared" si="3"/>
        <v>0</v>
      </c>
    </row>
    <row r="1951">
      <c r="A1951" s="107">
        <f>IFERROR(__xludf.DUMMYFUNCTION("""COMPUTED_VALUE"""),45792.0)</f>
        <v>45792</v>
      </c>
      <c r="B1951" t="str">
        <f>IFERROR(__xludf.DUMMYFUNCTION("""COMPUTED_VALUE"""),"[中山北Feli家] [陳玉蘭] 大租金")</f>
        <v>[中山北Feli家] [陳玉蘭] 大租金</v>
      </c>
      <c r="C1951" t="str">
        <f>IFERROR(__xludf.DUMMYFUNCTION("""COMPUTED_VALUE"""),"成本 - 大租金")</f>
        <v>成本 - 大租金</v>
      </c>
      <c r="D1951" s="270">
        <f>IFERROR(__xludf.DUMMYFUNCTION("""COMPUTED_VALUE"""),-18000.0)</f>
        <v>-18000</v>
      </c>
      <c r="E1951" t="str">
        <f>IFERROR(__xludf.DUMMYFUNCTION("""COMPUTED_VALUE"""),"台銀籌備帳戶")</f>
        <v>台銀籌備帳戶</v>
      </c>
      <c r="G1951" t="str">
        <f>IFERROR(__xludf.DUMMYFUNCTION("""COMPUTED_VALUE"""),"中山北Feli家")</f>
        <v>中山北Feli家</v>
      </c>
      <c r="H1951" s="106" t="str">
        <f t="shared" si="1"/>
        <v>2025-05</v>
      </c>
      <c r="I1951" s="271" t="str">
        <f>IFERROR(__xludf.DUMMYFUNCTION("""COMPUTED_VALUE"""),"貓狗企鵝")</f>
        <v>貓狗企鵝</v>
      </c>
      <c r="J1951" t="str">
        <f>IFERROR(__xludf.DUMMYFUNCTION("IFS(
  AND(REGEXMATCH(E1951, ""台銀籌備帳戶|玉山帳戶""), REGEXMATCH(C1951, ""薪資"")), ""分潤支出"",
  AND(REGEXMATCH(E1951, ""Ben帳戶|Elsa帳戶|Ben代墊|Ariel代墊|中信銀行共用""), REGEXMATCH(F1951, ""Ben帳戶|Elsa帳戶|Ben代墊|Ariel代墊|中信銀行共用"")), ""內部轉帳(忽略)"",
  AND(E1951&lt;&gt;"""", F1951&lt;&gt;"""", N"&amp;"OT(REGEXMATCH(C1951, ""薪資""))), ""內部轉帳(忽略)"",
  REGEXMATCH(C1951, ""薪資""), ""薪資變動(不計入)"",
  REGEXMATCH(C1951, ""押金""), ""押金往來"",
  AND(E1951&lt;&gt;"""", F1951=""""), ""真實支出"",
  AND(E1951="""", F1951&lt;&gt;""""), ""真實收入"",
  TRUE, ""其他""
)"),"真實支出")</f>
        <v>真實支出</v>
      </c>
      <c r="K1951" s="270">
        <f t="shared" si="2"/>
        <v>-18000</v>
      </c>
      <c r="L1951">
        <f t="shared" si="3"/>
        <v>0</v>
      </c>
    </row>
    <row r="1952">
      <c r="A1952" s="107">
        <f>IFERROR(__xludf.DUMMYFUNCTION("""COMPUTED_VALUE"""),45792.0)</f>
        <v>45792</v>
      </c>
      <c r="B1952" t="str">
        <f>IFERROR(__xludf.DUMMYFUNCTION("""COMPUTED_VALUE"""),"費用 - 匯費 對方行:013 後五碼:20652 (行號: 18)")</f>
        <v>費用 - 匯費 對方行:013 後五碼:20652 (行號: 18)</v>
      </c>
      <c r="C1952" t="str">
        <f>IFERROR(__xludf.DUMMYFUNCTION("""COMPUTED_VALUE"""),"費用 - 匯費")</f>
        <v>費用 - 匯費</v>
      </c>
      <c r="D1952" s="270">
        <f>IFERROR(__xludf.DUMMYFUNCTION("""COMPUTED_VALUE"""),-15.0)</f>
        <v>-15</v>
      </c>
      <c r="E1952" t="str">
        <f>IFERROR(__xludf.DUMMYFUNCTION("""COMPUTED_VALUE"""),"台銀籌備帳戶")</f>
        <v>台銀籌備帳戶</v>
      </c>
      <c r="H1952" s="106" t="str">
        <f t="shared" si="1"/>
        <v>2025-05</v>
      </c>
      <c r="I1952" s="271" t="str">
        <f>IFERROR(__xludf.DUMMYFUNCTION("""COMPUTED_VALUE"""),"貓狗企鵝")</f>
        <v>貓狗企鵝</v>
      </c>
      <c r="J1952" t="str">
        <f>IFERROR(__xludf.DUMMYFUNCTION("IFS(
  AND(REGEXMATCH(E1952, ""台銀籌備帳戶|玉山帳戶""), REGEXMATCH(C1952, ""薪資"")), ""分潤支出"",
  AND(REGEXMATCH(E1952, ""Ben帳戶|Elsa帳戶|Ben代墊|Ariel代墊|中信銀行共用""), REGEXMATCH(F1952, ""Ben帳戶|Elsa帳戶|Ben代墊|Ariel代墊|中信銀行共用"")), ""內部轉帳(忽略)"",
  AND(E1952&lt;&gt;"""", F1952&lt;&gt;"""", N"&amp;"OT(REGEXMATCH(C1952, ""薪資""))), ""內部轉帳(忽略)"",
  REGEXMATCH(C1952, ""薪資""), ""薪資變動(不計入)"",
  REGEXMATCH(C1952, ""押金""), ""押金往來"",
  AND(E1952&lt;&gt;"""", F1952=""""), ""真實支出"",
  AND(E1952="""", F1952&lt;&gt;""""), ""真實收入"",
  TRUE, ""其他""
)"),"真實支出")</f>
        <v>真實支出</v>
      </c>
      <c r="K1952" s="270">
        <f t="shared" si="2"/>
        <v>-15</v>
      </c>
      <c r="L1952">
        <f t="shared" si="3"/>
        <v>0</v>
      </c>
    </row>
    <row r="1953">
      <c r="A1953" s="107">
        <f>IFERROR(__xludf.DUMMYFUNCTION("""COMPUTED_VALUE"""),45792.0)</f>
        <v>45792</v>
      </c>
      <c r="B1953" t="str">
        <f>IFERROR(__xludf.DUMMYFUNCTION("""COMPUTED_VALUE"""),"[景安2分鐘] [王逸荃] 大租金")</f>
        <v>[景安2分鐘] [王逸荃] 大租金</v>
      </c>
      <c r="C1953" t="str">
        <f>IFERROR(__xludf.DUMMYFUNCTION("""COMPUTED_VALUE"""),"成本 - 大租金")</f>
        <v>成本 - 大租金</v>
      </c>
      <c r="D1953" s="270">
        <f>IFERROR(__xludf.DUMMYFUNCTION("""COMPUTED_VALUE"""),-12500.0)</f>
        <v>-12500</v>
      </c>
      <c r="E1953" t="str">
        <f>IFERROR(__xludf.DUMMYFUNCTION("""COMPUTED_VALUE"""),"台銀籌備帳戶")</f>
        <v>台銀籌備帳戶</v>
      </c>
      <c r="G1953" t="str">
        <f>IFERROR(__xludf.DUMMYFUNCTION("""COMPUTED_VALUE"""),"景安2分鐘")</f>
        <v>景安2分鐘</v>
      </c>
      <c r="H1953" s="106" t="str">
        <f t="shared" si="1"/>
        <v>2025-05</v>
      </c>
      <c r="I1953" s="271" t="str">
        <f>IFERROR(__xludf.DUMMYFUNCTION("""COMPUTED_VALUE"""),"貓狗企鵝")</f>
        <v>貓狗企鵝</v>
      </c>
      <c r="J1953" t="str">
        <f>IFERROR(__xludf.DUMMYFUNCTION("IFS(
  AND(REGEXMATCH(E1953, ""台銀籌備帳戶|玉山帳戶""), REGEXMATCH(C1953, ""薪資"")), ""分潤支出"",
  AND(REGEXMATCH(E1953, ""Ben帳戶|Elsa帳戶|Ben代墊|Ariel代墊|中信銀行共用""), REGEXMATCH(F1953, ""Ben帳戶|Elsa帳戶|Ben代墊|Ariel代墊|中信銀行共用"")), ""內部轉帳(忽略)"",
  AND(E1953&lt;&gt;"""", F1953&lt;&gt;"""", N"&amp;"OT(REGEXMATCH(C1953, ""薪資""))), ""內部轉帳(忽略)"",
  REGEXMATCH(C1953, ""薪資""), ""薪資變動(不計入)"",
  REGEXMATCH(C1953, ""押金""), ""押金往來"",
  AND(E1953&lt;&gt;"""", F1953=""""), ""真實支出"",
  AND(E1953="""", F1953&lt;&gt;""""), ""真實收入"",
  TRUE, ""其他""
)"),"真實支出")</f>
        <v>真實支出</v>
      </c>
      <c r="K1953" s="270">
        <f t="shared" si="2"/>
        <v>-12500</v>
      </c>
      <c r="L1953">
        <f t="shared" si="3"/>
        <v>0</v>
      </c>
    </row>
    <row r="1954">
      <c r="A1954" s="107">
        <f>IFERROR(__xludf.DUMMYFUNCTION("""COMPUTED_VALUE"""),45792.0)</f>
        <v>45792</v>
      </c>
      <c r="B1954" t="str">
        <f>IFERROR(__xludf.DUMMYFUNCTION("""COMPUTED_VALUE"""),"費用 - 匯費 對方行:822 後五碼:06708 (行號: 19)")</f>
        <v>費用 - 匯費 對方行:822 後五碼:06708 (行號: 19)</v>
      </c>
      <c r="C1954" t="str">
        <f>IFERROR(__xludf.DUMMYFUNCTION("""COMPUTED_VALUE"""),"費用 - 匯費")</f>
        <v>費用 - 匯費</v>
      </c>
      <c r="D1954" s="270">
        <f>IFERROR(__xludf.DUMMYFUNCTION("""COMPUTED_VALUE"""),-15.0)</f>
        <v>-15</v>
      </c>
      <c r="E1954" t="str">
        <f>IFERROR(__xludf.DUMMYFUNCTION("""COMPUTED_VALUE"""),"台銀籌備帳戶")</f>
        <v>台銀籌備帳戶</v>
      </c>
      <c r="H1954" s="106" t="str">
        <f t="shared" si="1"/>
        <v>2025-05</v>
      </c>
      <c r="I1954" s="271" t="str">
        <f>IFERROR(__xludf.DUMMYFUNCTION("""COMPUTED_VALUE"""),"貓狗企鵝")</f>
        <v>貓狗企鵝</v>
      </c>
      <c r="J1954" t="str">
        <f>IFERROR(__xludf.DUMMYFUNCTION("IFS(
  AND(REGEXMATCH(E1954, ""台銀籌備帳戶|玉山帳戶""), REGEXMATCH(C1954, ""薪資"")), ""分潤支出"",
  AND(REGEXMATCH(E1954, ""Ben帳戶|Elsa帳戶|Ben代墊|Ariel代墊|中信銀行共用""), REGEXMATCH(F1954, ""Ben帳戶|Elsa帳戶|Ben代墊|Ariel代墊|中信銀行共用"")), ""內部轉帳(忽略)"",
  AND(E1954&lt;&gt;"""", F1954&lt;&gt;"""", N"&amp;"OT(REGEXMATCH(C1954, ""薪資""))), ""內部轉帳(忽略)"",
  REGEXMATCH(C1954, ""薪資""), ""薪資變動(不計入)"",
  REGEXMATCH(C1954, ""押金""), ""押金往來"",
  AND(E1954&lt;&gt;"""", F1954=""""), ""真實支出"",
  AND(E1954="""", F1954&lt;&gt;""""), ""真實收入"",
  TRUE, ""其他""
)"),"真實支出")</f>
        <v>真實支出</v>
      </c>
      <c r="K1954" s="270">
        <f t="shared" si="2"/>
        <v>-15</v>
      </c>
      <c r="L1954">
        <f t="shared" si="3"/>
        <v>0</v>
      </c>
    </row>
    <row r="1955">
      <c r="A1955" s="107">
        <f>IFERROR(__xludf.DUMMYFUNCTION("""COMPUTED_VALUE"""),45792.0)</f>
        <v>45792</v>
      </c>
      <c r="B1955" t="str">
        <f>IFERROR(__xludf.DUMMYFUNCTION("""COMPUTED_VALUE"""),"[金龍帽子先生] [郭娟伶] 大租金")</f>
        <v>[金龍帽子先生] [郭娟伶] 大租金</v>
      </c>
      <c r="C1955" t="str">
        <f>IFERROR(__xludf.DUMMYFUNCTION("""COMPUTED_VALUE"""),"成本 - 大租金")</f>
        <v>成本 - 大租金</v>
      </c>
      <c r="D1955" s="270">
        <f>IFERROR(__xludf.DUMMYFUNCTION("""COMPUTED_VALUE"""),-17750.0)</f>
        <v>-17750</v>
      </c>
      <c r="E1955" t="str">
        <f>IFERROR(__xludf.DUMMYFUNCTION("""COMPUTED_VALUE"""),"台銀籌備帳戶")</f>
        <v>台銀籌備帳戶</v>
      </c>
      <c r="G1955" t="str">
        <f>IFERROR(__xludf.DUMMYFUNCTION("""COMPUTED_VALUE"""),"金龍帽子先生")</f>
        <v>金龍帽子先生</v>
      </c>
      <c r="H1955" s="106" t="str">
        <f t="shared" si="1"/>
        <v>2025-05</v>
      </c>
      <c r="I1955" s="271" t="str">
        <f>IFERROR(__xludf.DUMMYFUNCTION("""COMPUTED_VALUE"""),"貓狗企鵝")</f>
        <v>貓狗企鵝</v>
      </c>
      <c r="J1955" t="str">
        <f>IFERROR(__xludf.DUMMYFUNCTION("IFS(
  AND(REGEXMATCH(E1955, ""台銀籌備帳戶|玉山帳戶""), REGEXMATCH(C1955, ""薪資"")), ""分潤支出"",
  AND(REGEXMATCH(E1955, ""Ben帳戶|Elsa帳戶|Ben代墊|Ariel代墊|中信銀行共用""), REGEXMATCH(F1955, ""Ben帳戶|Elsa帳戶|Ben代墊|Ariel代墊|中信銀行共用"")), ""內部轉帳(忽略)"",
  AND(E1955&lt;&gt;"""", F1955&lt;&gt;"""", N"&amp;"OT(REGEXMATCH(C1955, ""薪資""))), ""內部轉帳(忽略)"",
  REGEXMATCH(C1955, ""薪資""), ""薪資變動(不計入)"",
  REGEXMATCH(C1955, ""押金""), ""押金往來"",
  AND(E1955&lt;&gt;"""", F1955=""""), ""真實支出"",
  AND(E1955="""", F1955&lt;&gt;""""), ""真實收入"",
  TRUE, ""其他""
)"),"真實支出")</f>
        <v>真實支出</v>
      </c>
      <c r="K1955" s="270">
        <f t="shared" si="2"/>
        <v>-17750</v>
      </c>
      <c r="L1955">
        <f t="shared" si="3"/>
        <v>0</v>
      </c>
    </row>
    <row r="1956">
      <c r="A1956" s="107">
        <f>IFERROR(__xludf.DUMMYFUNCTION("""COMPUTED_VALUE"""),45792.0)</f>
        <v>45792</v>
      </c>
      <c r="B1956" t="str">
        <f>IFERROR(__xludf.DUMMYFUNCTION("""COMPUTED_VALUE"""),"費用 - 匯費 對方行:053 後五碼:05202 (行號: 20)")</f>
        <v>費用 - 匯費 對方行:053 後五碼:05202 (行號: 20)</v>
      </c>
      <c r="C1956" t="str">
        <f>IFERROR(__xludf.DUMMYFUNCTION("""COMPUTED_VALUE"""),"費用 - 匯費")</f>
        <v>費用 - 匯費</v>
      </c>
      <c r="D1956" s="270">
        <f>IFERROR(__xludf.DUMMYFUNCTION("""COMPUTED_VALUE"""),-15.0)</f>
        <v>-15</v>
      </c>
      <c r="E1956" t="str">
        <f>IFERROR(__xludf.DUMMYFUNCTION("""COMPUTED_VALUE"""),"台銀籌備帳戶")</f>
        <v>台銀籌備帳戶</v>
      </c>
      <c r="H1956" s="106" t="str">
        <f t="shared" si="1"/>
        <v>2025-05</v>
      </c>
      <c r="I1956" s="271" t="str">
        <f>IFERROR(__xludf.DUMMYFUNCTION("""COMPUTED_VALUE"""),"貓狗企鵝")</f>
        <v>貓狗企鵝</v>
      </c>
      <c r="J1956" t="str">
        <f>IFERROR(__xludf.DUMMYFUNCTION("IFS(
  AND(REGEXMATCH(E1956, ""台銀籌備帳戶|玉山帳戶""), REGEXMATCH(C1956, ""薪資"")), ""分潤支出"",
  AND(REGEXMATCH(E1956, ""Ben帳戶|Elsa帳戶|Ben代墊|Ariel代墊|中信銀行共用""), REGEXMATCH(F1956, ""Ben帳戶|Elsa帳戶|Ben代墊|Ariel代墊|中信銀行共用"")), ""內部轉帳(忽略)"",
  AND(E1956&lt;&gt;"""", F1956&lt;&gt;"""", N"&amp;"OT(REGEXMATCH(C1956, ""薪資""))), ""內部轉帳(忽略)"",
  REGEXMATCH(C1956, ""薪資""), ""薪資變動(不計入)"",
  REGEXMATCH(C1956, ""押金""), ""押金往來"",
  AND(E1956&lt;&gt;"""", F1956=""""), ""真實支出"",
  AND(E1956="""", F1956&lt;&gt;""""), ""真實收入"",
  TRUE, ""其他""
)"),"真實支出")</f>
        <v>真實支出</v>
      </c>
      <c r="K1956" s="270">
        <f t="shared" si="2"/>
        <v>-15</v>
      </c>
      <c r="L1956">
        <f t="shared" si="3"/>
        <v>0</v>
      </c>
    </row>
    <row r="1957">
      <c r="A1957" s="107">
        <f>IFERROR(__xludf.DUMMYFUNCTION("""COMPUTED_VALUE"""),45792.0)</f>
        <v>45792</v>
      </c>
      <c r="B1957" t="str">
        <f>IFERROR(__xludf.DUMMYFUNCTION("""COMPUTED_VALUE"""),"[大湖山莊] [陳彩霞] 大租金")</f>
        <v>[大湖山莊] [陳彩霞] 大租金</v>
      </c>
      <c r="C1957" t="str">
        <f>IFERROR(__xludf.DUMMYFUNCTION("""COMPUTED_VALUE"""),"成本 - 大租金")</f>
        <v>成本 - 大租金</v>
      </c>
      <c r="D1957" s="270">
        <f>IFERROR(__xludf.DUMMYFUNCTION("""COMPUTED_VALUE"""),-19400.0)</f>
        <v>-19400</v>
      </c>
      <c r="E1957" t="str">
        <f>IFERROR(__xludf.DUMMYFUNCTION("""COMPUTED_VALUE"""),"台銀籌備帳戶")</f>
        <v>台銀籌備帳戶</v>
      </c>
      <c r="G1957" t="str">
        <f>IFERROR(__xludf.DUMMYFUNCTION("""COMPUTED_VALUE"""),"大湖山莊")</f>
        <v>大湖山莊</v>
      </c>
      <c r="H1957" s="106" t="str">
        <f t="shared" si="1"/>
        <v>2025-05</v>
      </c>
      <c r="I1957" s="271" t="str">
        <f>IFERROR(__xludf.DUMMYFUNCTION("""COMPUTED_VALUE"""),"貓狗企鵝")</f>
        <v>貓狗企鵝</v>
      </c>
      <c r="J1957" t="str">
        <f>IFERROR(__xludf.DUMMYFUNCTION("IFS(
  AND(REGEXMATCH(E1957, ""台銀籌備帳戶|玉山帳戶""), REGEXMATCH(C1957, ""薪資"")), ""分潤支出"",
  AND(REGEXMATCH(E1957, ""Ben帳戶|Elsa帳戶|Ben代墊|Ariel代墊|中信銀行共用""), REGEXMATCH(F1957, ""Ben帳戶|Elsa帳戶|Ben代墊|Ariel代墊|中信銀行共用"")), ""內部轉帳(忽略)"",
  AND(E1957&lt;&gt;"""", F1957&lt;&gt;"""", N"&amp;"OT(REGEXMATCH(C1957, ""薪資""))), ""內部轉帳(忽略)"",
  REGEXMATCH(C1957, ""薪資""), ""薪資變動(不計入)"",
  REGEXMATCH(C1957, ""押金""), ""押金往來"",
  AND(E1957&lt;&gt;"""", F1957=""""), ""真實支出"",
  AND(E1957="""", F1957&lt;&gt;""""), ""真實收入"",
  TRUE, ""其他""
)"),"真實支出")</f>
        <v>真實支出</v>
      </c>
      <c r="K1957" s="270">
        <f t="shared" si="2"/>
        <v>-19400</v>
      </c>
      <c r="L1957">
        <f t="shared" si="3"/>
        <v>0</v>
      </c>
    </row>
    <row r="1958">
      <c r="A1958" s="107">
        <f>IFERROR(__xludf.DUMMYFUNCTION("""COMPUTED_VALUE"""),45792.0)</f>
        <v>45792</v>
      </c>
      <c r="B1958" t="str">
        <f>IFERROR(__xludf.DUMMYFUNCTION("""COMPUTED_VALUE"""),"費用 - 匯費 對方行:807 後五碼:06659 (行號: 21)")</f>
        <v>費用 - 匯費 對方行:807 後五碼:06659 (行號: 21)</v>
      </c>
      <c r="C1958" t="str">
        <f>IFERROR(__xludf.DUMMYFUNCTION("""COMPUTED_VALUE"""),"費用 - 匯費")</f>
        <v>費用 - 匯費</v>
      </c>
      <c r="D1958" s="270">
        <f>IFERROR(__xludf.DUMMYFUNCTION("""COMPUTED_VALUE"""),-15.0)</f>
        <v>-15</v>
      </c>
      <c r="E1958" t="str">
        <f>IFERROR(__xludf.DUMMYFUNCTION("""COMPUTED_VALUE"""),"台銀籌備帳戶")</f>
        <v>台銀籌備帳戶</v>
      </c>
      <c r="H1958" s="106" t="str">
        <f t="shared" si="1"/>
        <v>2025-05</v>
      </c>
      <c r="I1958" s="271" t="str">
        <f>IFERROR(__xludf.DUMMYFUNCTION("""COMPUTED_VALUE"""),"貓狗企鵝")</f>
        <v>貓狗企鵝</v>
      </c>
      <c r="J1958" t="str">
        <f>IFERROR(__xludf.DUMMYFUNCTION("IFS(
  AND(REGEXMATCH(E1958, ""台銀籌備帳戶|玉山帳戶""), REGEXMATCH(C1958, ""薪資"")), ""分潤支出"",
  AND(REGEXMATCH(E1958, ""Ben帳戶|Elsa帳戶|Ben代墊|Ariel代墊|中信銀行共用""), REGEXMATCH(F1958, ""Ben帳戶|Elsa帳戶|Ben代墊|Ariel代墊|中信銀行共用"")), ""內部轉帳(忽略)"",
  AND(E1958&lt;&gt;"""", F1958&lt;&gt;"""", N"&amp;"OT(REGEXMATCH(C1958, ""薪資""))), ""內部轉帳(忽略)"",
  REGEXMATCH(C1958, ""薪資""), ""薪資變動(不計入)"",
  REGEXMATCH(C1958, ""押金""), ""押金往來"",
  AND(E1958&lt;&gt;"""", F1958=""""), ""真實支出"",
  AND(E1958="""", F1958&lt;&gt;""""), ""真實收入"",
  TRUE, ""其他""
)"),"真實支出")</f>
        <v>真實支出</v>
      </c>
      <c r="K1958" s="270">
        <f t="shared" si="2"/>
        <v>-15</v>
      </c>
      <c r="L1958">
        <f t="shared" si="3"/>
        <v>0</v>
      </c>
    </row>
    <row r="1959">
      <c r="A1959" s="107">
        <f>IFERROR(__xludf.DUMMYFUNCTION("""COMPUTED_VALUE"""),45792.0)</f>
        <v>45792</v>
      </c>
      <c r="B1959" t="str">
        <f>IFERROR(__xludf.DUMMYFUNCTION("""COMPUTED_VALUE"""),"[哈拉對面] [陳哲聰] 大租金")</f>
        <v>[哈拉對面] [陳哲聰] 大租金</v>
      </c>
      <c r="C1959" t="str">
        <f>IFERROR(__xludf.DUMMYFUNCTION("""COMPUTED_VALUE"""),"成本 - 大租金")</f>
        <v>成本 - 大租金</v>
      </c>
      <c r="D1959" s="270">
        <f>IFERROR(__xludf.DUMMYFUNCTION("""COMPUTED_VALUE"""),-13000.0)</f>
        <v>-13000</v>
      </c>
      <c r="E1959" t="str">
        <f>IFERROR(__xludf.DUMMYFUNCTION("""COMPUTED_VALUE"""),"台銀籌備帳戶")</f>
        <v>台銀籌備帳戶</v>
      </c>
      <c r="G1959" t="str">
        <f>IFERROR(__xludf.DUMMYFUNCTION("""COMPUTED_VALUE"""),"哈拉對面")</f>
        <v>哈拉對面</v>
      </c>
      <c r="H1959" s="106" t="str">
        <f t="shared" si="1"/>
        <v>2025-05</v>
      </c>
      <c r="I1959" s="271" t="str">
        <f>IFERROR(__xludf.DUMMYFUNCTION("""COMPUTED_VALUE"""),"貓狗企鵝")</f>
        <v>貓狗企鵝</v>
      </c>
      <c r="J1959" t="str">
        <f>IFERROR(__xludf.DUMMYFUNCTION("IFS(
  AND(REGEXMATCH(E1959, ""台銀籌備帳戶|玉山帳戶""), REGEXMATCH(C1959, ""薪資"")), ""分潤支出"",
  AND(REGEXMATCH(E1959, ""Ben帳戶|Elsa帳戶|Ben代墊|Ariel代墊|中信銀行共用""), REGEXMATCH(F1959, ""Ben帳戶|Elsa帳戶|Ben代墊|Ariel代墊|中信銀行共用"")), ""內部轉帳(忽略)"",
  AND(E1959&lt;&gt;"""", F1959&lt;&gt;"""", N"&amp;"OT(REGEXMATCH(C1959, ""薪資""))), ""內部轉帳(忽略)"",
  REGEXMATCH(C1959, ""薪資""), ""薪資變動(不計入)"",
  REGEXMATCH(C1959, ""押金""), ""押金往來"",
  AND(E1959&lt;&gt;"""", F1959=""""), ""真實支出"",
  AND(E1959="""", F1959&lt;&gt;""""), ""真實收入"",
  TRUE, ""其他""
)"),"真實支出")</f>
        <v>真實支出</v>
      </c>
      <c r="K1959" s="270">
        <f t="shared" si="2"/>
        <v>-13000</v>
      </c>
      <c r="L1959">
        <f t="shared" si="3"/>
        <v>0</v>
      </c>
    </row>
    <row r="1960">
      <c r="A1960" s="107">
        <f>IFERROR(__xludf.DUMMYFUNCTION("""COMPUTED_VALUE"""),45792.0)</f>
        <v>45792</v>
      </c>
      <c r="B1960" t="str">
        <f>IFERROR(__xludf.DUMMYFUNCTION("""COMPUTED_VALUE"""),"費用 - 匯費 對方行:700 後五碼:92128 (行號: 22)")</f>
        <v>費用 - 匯費 對方行:700 後五碼:92128 (行號: 22)</v>
      </c>
      <c r="C1960" t="str">
        <f>IFERROR(__xludf.DUMMYFUNCTION("""COMPUTED_VALUE"""),"費用 - 匯費")</f>
        <v>費用 - 匯費</v>
      </c>
      <c r="D1960" s="270">
        <f>IFERROR(__xludf.DUMMYFUNCTION("""COMPUTED_VALUE"""),-15.0)</f>
        <v>-15</v>
      </c>
      <c r="E1960" t="str">
        <f>IFERROR(__xludf.DUMMYFUNCTION("""COMPUTED_VALUE"""),"台銀籌備帳戶")</f>
        <v>台銀籌備帳戶</v>
      </c>
      <c r="H1960" s="106" t="str">
        <f t="shared" si="1"/>
        <v>2025-05</v>
      </c>
      <c r="I1960" s="271" t="str">
        <f>IFERROR(__xludf.DUMMYFUNCTION("""COMPUTED_VALUE"""),"貓狗企鵝")</f>
        <v>貓狗企鵝</v>
      </c>
      <c r="J1960" t="str">
        <f>IFERROR(__xludf.DUMMYFUNCTION("IFS(
  AND(REGEXMATCH(E1960, ""台銀籌備帳戶|玉山帳戶""), REGEXMATCH(C1960, ""薪資"")), ""分潤支出"",
  AND(REGEXMATCH(E1960, ""Ben帳戶|Elsa帳戶|Ben代墊|Ariel代墊|中信銀行共用""), REGEXMATCH(F1960, ""Ben帳戶|Elsa帳戶|Ben代墊|Ariel代墊|中信銀行共用"")), ""內部轉帳(忽略)"",
  AND(E1960&lt;&gt;"""", F1960&lt;&gt;"""", N"&amp;"OT(REGEXMATCH(C1960, ""薪資""))), ""內部轉帳(忽略)"",
  REGEXMATCH(C1960, ""薪資""), ""薪資變動(不計入)"",
  REGEXMATCH(C1960, ""押金""), ""押金往來"",
  AND(E1960&lt;&gt;"""", F1960=""""), ""真實支出"",
  AND(E1960="""", F1960&lt;&gt;""""), ""真實收入"",
  TRUE, ""其他""
)"),"真實支出")</f>
        <v>真實支出</v>
      </c>
      <c r="K1960" s="270">
        <f t="shared" si="2"/>
        <v>-15</v>
      </c>
      <c r="L1960">
        <f t="shared" si="3"/>
        <v>0</v>
      </c>
    </row>
    <row r="1961">
      <c r="A1961" s="107">
        <f>IFERROR(__xludf.DUMMYFUNCTION("""COMPUTED_VALUE"""),45792.0)</f>
        <v>45792</v>
      </c>
      <c r="B1961" t="str">
        <f>IFERROR(__xludf.DUMMYFUNCTION("""COMPUTED_VALUE"""),"[北醫醫師府] [陳俊良] 大租金")</f>
        <v>[北醫醫師府] [陳俊良] 大租金</v>
      </c>
      <c r="C1961" t="str">
        <f>IFERROR(__xludf.DUMMYFUNCTION("""COMPUTED_VALUE"""),"成本 - 大租金")</f>
        <v>成本 - 大租金</v>
      </c>
      <c r="D1961" s="270">
        <f>IFERROR(__xludf.DUMMYFUNCTION("""COMPUTED_VALUE"""),-12800.0)</f>
        <v>-12800</v>
      </c>
      <c r="E1961" t="str">
        <f>IFERROR(__xludf.DUMMYFUNCTION("""COMPUTED_VALUE"""),"台銀籌備帳戶")</f>
        <v>台銀籌備帳戶</v>
      </c>
      <c r="G1961" t="str">
        <f>IFERROR(__xludf.DUMMYFUNCTION("""COMPUTED_VALUE"""),"北醫醫師府")</f>
        <v>北醫醫師府</v>
      </c>
      <c r="H1961" s="106" t="str">
        <f t="shared" si="1"/>
        <v>2025-05</v>
      </c>
      <c r="I1961" s="271" t="str">
        <f>IFERROR(__xludf.DUMMYFUNCTION("""COMPUTED_VALUE"""),"貓狗企鵝")</f>
        <v>貓狗企鵝</v>
      </c>
      <c r="J1961" t="str">
        <f>IFERROR(__xludf.DUMMYFUNCTION("IFS(
  AND(REGEXMATCH(E1961, ""台銀籌備帳戶|玉山帳戶""), REGEXMATCH(C1961, ""薪資"")), ""分潤支出"",
  AND(REGEXMATCH(E1961, ""Ben帳戶|Elsa帳戶|Ben代墊|Ariel代墊|中信銀行共用""), REGEXMATCH(F1961, ""Ben帳戶|Elsa帳戶|Ben代墊|Ariel代墊|中信銀行共用"")), ""內部轉帳(忽略)"",
  AND(E1961&lt;&gt;"""", F1961&lt;&gt;"""", N"&amp;"OT(REGEXMATCH(C1961, ""薪資""))), ""內部轉帳(忽略)"",
  REGEXMATCH(C1961, ""薪資""), ""薪資變動(不計入)"",
  REGEXMATCH(C1961, ""押金""), ""押金往來"",
  AND(E1961&lt;&gt;"""", F1961=""""), ""真實支出"",
  AND(E1961="""", F1961&lt;&gt;""""), ""真實收入"",
  TRUE, ""其他""
)"),"真實支出")</f>
        <v>真實支出</v>
      </c>
      <c r="K1961" s="270">
        <f t="shared" si="2"/>
        <v>-12800</v>
      </c>
      <c r="L1961">
        <f t="shared" si="3"/>
        <v>0</v>
      </c>
    </row>
    <row r="1962">
      <c r="A1962" s="107">
        <f>IFERROR(__xludf.DUMMYFUNCTION("""COMPUTED_VALUE"""),45792.0)</f>
        <v>45792</v>
      </c>
      <c r="B1962" t="str">
        <f>IFERROR(__xludf.DUMMYFUNCTION("""COMPUTED_VALUE"""),"費用 - 匯費 對方行:013 後五碼:43662 (行號: 23)")</f>
        <v>費用 - 匯費 對方行:013 後五碼:43662 (行號: 23)</v>
      </c>
      <c r="C1962" t="str">
        <f>IFERROR(__xludf.DUMMYFUNCTION("""COMPUTED_VALUE"""),"費用 - 匯費")</f>
        <v>費用 - 匯費</v>
      </c>
      <c r="D1962" s="270">
        <f>IFERROR(__xludf.DUMMYFUNCTION("""COMPUTED_VALUE"""),-15.0)</f>
        <v>-15</v>
      </c>
      <c r="E1962" t="str">
        <f>IFERROR(__xludf.DUMMYFUNCTION("""COMPUTED_VALUE"""),"台銀籌備帳戶")</f>
        <v>台銀籌備帳戶</v>
      </c>
      <c r="H1962" s="106" t="str">
        <f t="shared" si="1"/>
        <v>2025-05</v>
      </c>
      <c r="I1962" s="271" t="str">
        <f>IFERROR(__xludf.DUMMYFUNCTION("""COMPUTED_VALUE"""),"貓狗企鵝")</f>
        <v>貓狗企鵝</v>
      </c>
      <c r="J1962" t="str">
        <f>IFERROR(__xludf.DUMMYFUNCTION("IFS(
  AND(REGEXMATCH(E1962, ""台銀籌備帳戶|玉山帳戶""), REGEXMATCH(C1962, ""薪資"")), ""分潤支出"",
  AND(REGEXMATCH(E1962, ""Ben帳戶|Elsa帳戶|Ben代墊|Ariel代墊|中信銀行共用""), REGEXMATCH(F1962, ""Ben帳戶|Elsa帳戶|Ben代墊|Ariel代墊|中信銀行共用"")), ""內部轉帳(忽略)"",
  AND(E1962&lt;&gt;"""", F1962&lt;&gt;"""", N"&amp;"OT(REGEXMATCH(C1962, ""薪資""))), ""內部轉帳(忽略)"",
  REGEXMATCH(C1962, ""薪資""), ""薪資變動(不計入)"",
  REGEXMATCH(C1962, ""押金""), ""押金往來"",
  AND(E1962&lt;&gt;"""", F1962=""""), ""真實支出"",
  AND(E1962="""", F1962&lt;&gt;""""), ""真實收入"",
  TRUE, ""其他""
)"),"真實支出")</f>
        <v>真實支出</v>
      </c>
      <c r="K1962" s="270">
        <f t="shared" si="2"/>
        <v>-15</v>
      </c>
      <c r="L1962">
        <f t="shared" si="3"/>
        <v>0</v>
      </c>
    </row>
    <row r="1963">
      <c r="A1963" s="107">
        <f>IFERROR(__xludf.DUMMYFUNCTION("""COMPUTED_VALUE"""),45792.0)</f>
        <v>45792</v>
      </c>
      <c r="B1963" t="str">
        <f>IFERROR(__xludf.DUMMYFUNCTION("""COMPUTED_VALUE"""),"[中山北娘家旁] [方彥捷] 大租金")</f>
        <v>[中山北娘家旁] [方彥捷] 大租金</v>
      </c>
      <c r="C1963" t="str">
        <f>IFERROR(__xludf.DUMMYFUNCTION("""COMPUTED_VALUE"""),"成本 - 大租金")</f>
        <v>成本 - 大租金</v>
      </c>
      <c r="D1963" s="270">
        <f>IFERROR(__xludf.DUMMYFUNCTION("""COMPUTED_VALUE"""),-11500.0)</f>
        <v>-11500</v>
      </c>
      <c r="E1963" t="str">
        <f>IFERROR(__xludf.DUMMYFUNCTION("""COMPUTED_VALUE"""),"台銀籌備帳戶")</f>
        <v>台銀籌備帳戶</v>
      </c>
      <c r="G1963" t="str">
        <f>IFERROR(__xludf.DUMMYFUNCTION("""COMPUTED_VALUE"""),"中山北娘家旁")</f>
        <v>中山北娘家旁</v>
      </c>
      <c r="H1963" s="106" t="str">
        <f t="shared" si="1"/>
        <v>2025-05</v>
      </c>
      <c r="I1963" s="271" t="str">
        <f>IFERROR(__xludf.DUMMYFUNCTION("""COMPUTED_VALUE"""),"貓狗企鵝")</f>
        <v>貓狗企鵝</v>
      </c>
      <c r="J1963" t="str">
        <f>IFERROR(__xludf.DUMMYFUNCTION("IFS(
  AND(REGEXMATCH(E1963, ""台銀籌備帳戶|玉山帳戶""), REGEXMATCH(C1963, ""薪資"")), ""分潤支出"",
  AND(REGEXMATCH(E1963, ""Ben帳戶|Elsa帳戶|Ben代墊|Ariel代墊|中信銀行共用""), REGEXMATCH(F1963, ""Ben帳戶|Elsa帳戶|Ben代墊|Ariel代墊|中信銀行共用"")), ""內部轉帳(忽略)"",
  AND(E1963&lt;&gt;"""", F1963&lt;&gt;"""", N"&amp;"OT(REGEXMATCH(C1963, ""薪資""))), ""內部轉帳(忽略)"",
  REGEXMATCH(C1963, ""薪資""), ""薪資變動(不計入)"",
  REGEXMATCH(C1963, ""押金""), ""押金往來"",
  AND(E1963&lt;&gt;"""", F1963=""""), ""真實支出"",
  AND(E1963="""", F1963&lt;&gt;""""), ""真實收入"",
  TRUE, ""其他""
)"),"真實支出")</f>
        <v>真實支出</v>
      </c>
      <c r="K1963" s="270">
        <f t="shared" si="2"/>
        <v>-11500</v>
      </c>
      <c r="L1963">
        <f t="shared" si="3"/>
        <v>0</v>
      </c>
    </row>
    <row r="1964">
      <c r="A1964" s="107">
        <f>IFERROR(__xludf.DUMMYFUNCTION("""COMPUTED_VALUE"""),45796.0)</f>
        <v>45796</v>
      </c>
      <c r="B1964" t="str">
        <f>IFERROR(__xludf.DUMMYFUNCTION("""COMPUTED_VALUE"""),"費用 - 匯費 對方行:012 後五碼:92486 (行號: 26)")</f>
        <v>費用 - 匯費 對方行:012 後五碼:92486 (行號: 26)</v>
      </c>
      <c r="C1964" t="str">
        <f>IFERROR(__xludf.DUMMYFUNCTION("""COMPUTED_VALUE"""),"費用 - 匯費")</f>
        <v>費用 - 匯費</v>
      </c>
      <c r="D1964" s="270">
        <f>IFERROR(__xludf.DUMMYFUNCTION("""COMPUTED_VALUE"""),-15.0)</f>
        <v>-15</v>
      </c>
      <c r="E1964" t="str">
        <f>IFERROR(__xludf.DUMMYFUNCTION("""COMPUTED_VALUE"""),"台銀籌備帳戶")</f>
        <v>台銀籌備帳戶</v>
      </c>
      <c r="H1964" s="106" t="str">
        <f t="shared" si="1"/>
        <v>2025-05</v>
      </c>
      <c r="I1964" s="271" t="str">
        <f>IFERROR(__xludf.DUMMYFUNCTION("""COMPUTED_VALUE"""),"貓狗企鵝")</f>
        <v>貓狗企鵝</v>
      </c>
      <c r="J1964" t="str">
        <f>IFERROR(__xludf.DUMMYFUNCTION("IFS(
  AND(REGEXMATCH(E1964, ""台銀籌備帳戶|玉山帳戶""), REGEXMATCH(C1964, ""薪資"")), ""分潤支出"",
  AND(REGEXMATCH(E1964, ""Ben帳戶|Elsa帳戶|Ben代墊|Ariel代墊|中信銀行共用""), REGEXMATCH(F1964, ""Ben帳戶|Elsa帳戶|Ben代墊|Ariel代墊|中信銀行共用"")), ""內部轉帳(忽略)"",
  AND(E1964&lt;&gt;"""", F1964&lt;&gt;"""", N"&amp;"OT(REGEXMATCH(C1964, ""薪資""))), ""內部轉帳(忽略)"",
  REGEXMATCH(C1964, ""薪資""), ""薪資變動(不計入)"",
  REGEXMATCH(C1964, ""押金""), ""押金往來"",
  AND(E1964&lt;&gt;"""", F1964=""""), ""真實支出"",
  AND(E1964="""", F1964&lt;&gt;""""), ""真實收入"",
  TRUE, ""其他""
)"),"真實支出")</f>
        <v>真實支出</v>
      </c>
      <c r="K1964" s="270">
        <f t="shared" si="2"/>
        <v>-15</v>
      </c>
      <c r="L1964">
        <f t="shared" si="3"/>
        <v>0</v>
      </c>
    </row>
    <row r="1965">
      <c r="A1965" s="107">
        <f>IFERROR(__xludf.DUMMYFUNCTION("""COMPUTED_VALUE"""),45796.0)</f>
        <v>45796</v>
      </c>
      <c r="B1965" t="str">
        <f>IFERROR(__xludf.DUMMYFUNCTION("""COMPUTED_VALUE"""),"阿虎設計費 ' 【未分類支出】")</f>
        <v>阿虎設計費 ' 【未分類支出】</v>
      </c>
      <c r="C1965" t="str">
        <f>IFERROR(__xludf.DUMMYFUNCTION("""COMPUTED_VALUE"""),"費用 - Salary 薪資")</f>
        <v>費用 - Salary 薪資</v>
      </c>
      <c r="D1965" s="270">
        <f>IFERROR(__xludf.DUMMYFUNCTION("""COMPUTED_VALUE"""),-180000.0)</f>
        <v>-180000</v>
      </c>
      <c r="E1965" t="str">
        <f>IFERROR(__xludf.DUMMYFUNCTION("""COMPUTED_VALUE"""),"台銀籌備帳戶")</f>
        <v>台銀籌備帳戶</v>
      </c>
      <c r="F1965" t="str">
        <f>IFERROR(__xludf.DUMMYFUNCTION("""COMPUTED_VALUE"""),"Elsa帳戶")</f>
        <v>Elsa帳戶</v>
      </c>
      <c r="G1965" t="str">
        <f>IFERROR(__xludf.DUMMYFUNCTION("""COMPUTED_VALUE"""),"無法分類")</f>
        <v>無法分類</v>
      </c>
      <c r="H1965" s="106" t="str">
        <f t="shared" si="1"/>
        <v>2025-05</v>
      </c>
      <c r="I1965" s="271" t="str">
        <f>IFERROR(__xludf.DUMMYFUNCTION("""COMPUTED_VALUE"""),"貓狗企鵝")</f>
        <v>貓狗企鵝</v>
      </c>
      <c r="J1965" t="str">
        <f>IFERROR(__xludf.DUMMYFUNCTION("IFS(
  AND(REGEXMATCH(E1965, ""台銀籌備帳戶|玉山帳戶""), REGEXMATCH(C1965, ""薪資"")), ""分潤支出"",
  AND(REGEXMATCH(E1965, ""Ben帳戶|Elsa帳戶|Ben代墊|Ariel代墊|中信銀行共用""), REGEXMATCH(F1965, ""Ben帳戶|Elsa帳戶|Ben代墊|Ariel代墊|中信銀行共用"")), ""內部轉帳(忽略)"",
  AND(E1965&lt;&gt;"""", F1965&lt;&gt;"""", N"&amp;"OT(REGEXMATCH(C1965, ""薪資""))), ""內部轉帳(忽略)"",
  REGEXMATCH(C1965, ""薪資""), ""薪資變動(不計入)"",
  REGEXMATCH(C1965, ""押金""), ""押金往來"",
  AND(E1965&lt;&gt;"""", F1965=""""), ""真實支出"",
  AND(E1965="""", F1965&lt;&gt;""""), ""真實收入"",
  TRUE, ""其他""
)"),"分潤支出")</f>
        <v>分潤支出</v>
      </c>
      <c r="K1965">
        <f t="shared" si="2"/>
        <v>0</v>
      </c>
      <c r="L1965">
        <f t="shared" si="3"/>
        <v>180000</v>
      </c>
    </row>
    <row r="1966">
      <c r="A1966" s="107">
        <f>IFERROR(__xludf.DUMMYFUNCTION("""COMPUTED_VALUE"""),45796.0)</f>
        <v>45796</v>
      </c>
      <c r="B1966" t="str">
        <f>IFERROR(__xludf.DUMMYFUNCTION("""COMPUTED_VALUE"""),"費用 - 匯費 對方行:012 後五碼:54627 (行號: 27)")</f>
        <v>費用 - 匯費 對方行:012 後五碼:54627 (行號: 27)</v>
      </c>
      <c r="C1966" t="str">
        <f>IFERROR(__xludf.DUMMYFUNCTION("""COMPUTED_VALUE"""),"費用 - 匯費")</f>
        <v>費用 - 匯費</v>
      </c>
      <c r="D1966" s="270">
        <f>IFERROR(__xludf.DUMMYFUNCTION("""COMPUTED_VALUE"""),-15.0)</f>
        <v>-15</v>
      </c>
      <c r="E1966" t="str">
        <f>IFERROR(__xludf.DUMMYFUNCTION("""COMPUTED_VALUE"""),"台銀籌備帳戶")</f>
        <v>台銀籌備帳戶</v>
      </c>
      <c r="H1966" s="106" t="str">
        <f t="shared" si="1"/>
        <v>2025-05</v>
      </c>
      <c r="I1966" s="271" t="str">
        <f>IFERROR(__xludf.DUMMYFUNCTION("""COMPUTED_VALUE"""),"貓狗企鵝")</f>
        <v>貓狗企鵝</v>
      </c>
      <c r="J1966" t="str">
        <f>IFERROR(__xludf.DUMMYFUNCTION("IFS(
  AND(REGEXMATCH(E1966, ""台銀籌備帳戶|玉山帳戶""), REGEXMATCH(C1966, ""薪資"")), ""分潤支出"",
  AND(REGEXMATCH(E1966, ""Ben帳戶|Elsa帳戶|Ben代墊|Ariel代墊|中信銀行共用""), REGEXMATCH(F1966, ""Ben帳戶|Elsa帳戶|Ben代墊|Ariel代墊|中信銀行共用"")), ""內部轉帳(忽略)"",
  AND(E1966&lt;&gt;"""", F1966&lt;&gt;"""", N"&amp;"OT(REGEXMATCH(C1966, ""薪資""))), ""內部轉帳(忽略)"",
  REGEXMATCH(C1966, ""薪資""), ""薪資變動(不計入)"",
  REGEXMATCH(C1966, ""押金""), ""押金往來"",
  AND(E1966&lt;&gt;"""", F1966=""""), ""真實支出"",
  AND(E1966="""", F1966&lt;&gt;""""), ""真實收入"",
  TRUE, ""其他""
)"),"真實支出")</f>
        <v>真實支出</v>
      </c>
      <c r="K1966" s="270">
        <f t="shared" si="2"/>
        <v>-15</v>
      </c>
      <c r="L1966">
        <f t="shared" si="3"/>
        <v>0</v>
      </c>
    </row>
    <row r="1967">
      <c r="A1967" s="107">
        <f>IFERROR(__xludf.DUMMYFUNCTION("""COMPUTED_VALUE"""),45796.0)</f>
        <v>45796</v>
      </c>
      <c r="B1967" t="str">
        <f>IFERROR(__xludf.DUMMYFUNCTION("""COMPUTED_VALUE"""),"Ben富邦代墊款 ' 【未分類支出】")</f>
        <v>Ben富邦代墊款 ' 【未分類支出】</v>
      </c>
      <c r="C1967" t="str">
        <f>IFERROR(__xludf.DUMMYFUNCTION("""COMPUTED_VALUE"""),"費用 - Salary 薪資")</f>
        <v>費用 - Salary 薪資</v>
      </c>
      <c r="D1967" s="270">
        <f>IFERROR(__xludf.DUMMYFUNCTION("""COMPUTED_VALUE"""),-180000.0)</f>
        <v>-180000</v>
      </c>
      <c r="E1967" t="str">
        <f>IFERROR(__xludf.DUMMYFUNCTION("""COMPUTED_VALUE"""),"台銀籌備帳戶")</f>
        <v>台銀籌備帳戶</v>
      </c>
      <c r="F1967" t="str">
        <f>IFERROR(__xludf.DUMMYFUNCTION("""COMPUTED_VALUE"""),"Ben帳戶")</f>
        <v>Ben帳戶</v>
      </c>
      <c r="G1967" t="str">
        <f>IFERROR(__xludf.DUMMYFUNCTION("""COMPUTED_VALUE"""),"無法分類")</f>
        <v>無法分類</v>
      </c>
      <c r="H1967" s="106" t="str">
        <f t="shared" si="1"/>
        <v>2025-05</v>
      </c>
      <c r="I1967" s="271" t="str">
        <f>IFERROR(__xludf.DUMMYFUNCTION("""COMPUTED_VALUE"""),"貓狗企鵝")</f>
        <v>貓狗企鵝</v>
      </c>
      <c r="J1967" t="str">
        <f>IFERROR(__xludf.DUMMYFUNCTION("IFS(
  AND(REGEXMATCH(E1967, ""台銀籌備帳戶|玉山帳戶""), REGEXMATCH(C1967, ""薪資"")), ""分潤支出"",
  AND(REGEXMATCH(E1967, ""Ben帳戶|Elsa帳戶|Ben代墊|Ariel代墊|中信銀行共用""), REGEXMATCH(F1967, ""Ben帳戶|Elsa帳戶|Ben代墊|Ariel代墊|中信銀行共用"")), ""內部轉帳(忽略)"",
  AND(E1967&lt;&gt;"""", F1967&lt;&gt;"""", N"&amp;"OT(REGEXMATCH(C1967, ""薪資""))), ""內部轉帳(忽略)"",
  REGEXMATCH(C1967, ""薪資""), ""薪資變動(不計入)"",
  REGEXMATCH(C1967, ""押金""), ""押金往來"",
  AND(E1967&lt;&gt;"""", F1967=""""), ""真實支出"",
  AND(E1967="""", F1967&lt;&gt;""""), ""真實收入"",
  TRUE, ""其他""
)"),"分潤支出")</f>
        <v>分潤支出</v>
      </c>
      <c r="K1967">
        <f t="shared" si="2"/>
        <v>0</v>
      </c>
      <c r="L1967">
        <f t="shared" si="3"/>
        <v>180000</v>
      </c>
    </row>
    <row r="1968">
      <c r="A1968" s="107">
        <f>IFERROR(__xludf.DUMMYFUNCTION("""COMPUTED_VALUE"""),45797.0)</f>
        <v>45797</v>
      </c>
      <c r="B1968" t="str">
        <f>IFERROR(__xludf.DUMMYFUNCTION("""COMPUTED_VALUE"""),"費用 - 匯費 對方行:822 後五碼:61657 (行號: 30)")</f>
        <v>費用 - 匯費 對方行:822 後五碼:61657 (行號: 30)</v>
      </c>
      <c r="C1968" t="str">
        <f>IFERROR(__xludf.DUMMYFUNCTION("""COMPUTED_VALUE"""),"費用 - 匯費")</f>
        <v>費用 - 匯費</v>
      </c>
      <c r="D1968" s="270">
        <f>IFERROR(__xludf.DUMMYFUNCTION("""COMPUTED_VALUE"""),-15.0)</f>
        <v>-15</v>
      </c>
      <c r="E1968" t="str">
        <f>IFERROR(__xludf.DUMMYFUNCTION("""COMPUTED_VALUE"""),"台銀籌備帳戶")</f>
        <v>台銀籌備帳戶</v>
      </c>
      <c r="H1968" s="106" t="str">
        <f t="shared" si="1"/>
        <v>2025-05</v>
      </c>
      <c r="I1968" s="271" t="str">
        <f>IFERROR(__xludf.DUMMYFUNCTION("""COMPUTED_VALUE"""),"貓狗企鵝")</f>
        <v>貓狗企鵝</v>
      </c>
      <c r="J1968" t="str">
        <f>IFERROR(__xludf.DUMMYFUNCTION("IFS(
  AND(REGEXMATCH(E1968, ""台銀籌備帳戶|玉山帳戶""), REGEXMATCH(C1968, ""薪資"")), ""分潤支出"",
  AND(REGEXMATCH(E1968, ""Ben帳戶|Elsa帳戶|Ben代墊|Ariel代墊|中信銀行共用""), REGEXMATCH(F1968, ""Ben帳戶|Elsa帳戶|Ben代墊|Ariel代墊|中信銀行共用"")), ""內部轉帳(忽略)"",
  AND(E1968&lt;&gt;"""", F1968&lt;&gt;"""", N"&amp;"OT(REGEXMATCH(C1968, ""薪資""))), ""內部轉帳(忽略)"",
  REGEXMATCH(C1968, ""薪資""), ""薪資變動(不計入)"",
  REGEXMATCH(C1968, ""押金""), ""押金往來"",
  AND(E1968&lt;&gt;"""", F1968=""""), ""真實支出"",
  AND(E1968="""", F1968&lt;&gt;""""), ""真實收入"",
  TRUE, ""其他""
)"),"真實支出")</f>
        <v>真實支出</v>
      </c>
      <c r="K1968" s="270">
        <f t="shared" si="2"/>
        <v>-15</v>
      </c>
      <c r="L1968">
        <f t="shared" si="3"/>
        <v>0</v>
      </c>
    </row>
    <row r="1969">
      <c r="A1969" s="107">
        <f>IFERROR(__xludf.DUMMYFUNCTION("""COMPUTED_VALUE"""),45797.0)</f>
        <v>45797</v>
      </c>
      <c r="B1969" t="str">
        <f>IFERROR(__xludf.DUMMYFUNCTION("""COMPUTED_VALUE"""),"Feli家抽水馬達 ' 【未分類支出】")</f>
        <v>Feli家抽水馬達 ' 【未分類支出】</v>
      </c>
      <c r="C1969" t="str">
        <f>IFERROR(__xludf.DUMMYFUNCTION("""COMPUTED_VALUE"""),"成本 - 租後修繕")</f>
        <v>成本 - 租後修繕</v>
      </c>
      <c r="D1969" s="270">
        <f>IFERROR(__xludf.DUMMYFUNCTION("""COMPUTED_VALUE"""),-8400.0)</f>
        <v>-8400</v>
      </c>
      <c r="E1969" t="str">
        <f>IFERROR(__xludf.DUMMYFUNCTION("""COMPUTED_VALUE"""),"台銀籌備帳戶")</f>
        <v>台銀籌備帳戶</v>
      </c>
      <c r="G1969" t="str">
        <f>IFERROR(__xludf.DUMMYFUNCTION("""COMPUTED_VALUE"""),"中山北Feli家")</f>
        <v>中山北Feli家</v>
      </c>
      <c r="H1969" s="106" t="str">
        <f t="shared" si="1"/>
        <v>2025-05</v>
      </c>
      <c r="I1969" s="271" t="str">
        <f>IFERROR(__xludf.DUMMYFUNCTION("""COMPUTED_VALUE"""),"貓狗企鵝")</f>
        <v>貓狗企鵝</v>
      </c>
      <c r="J1969" t="str">
        <f>IFERROR(__xludf.DUMMYFUNCTION("IFS(
  AND(REGEXMATCH(E1969, ""台銀籌備帳戶|玉山帳戶""), REGEXMATCH(C1969, ""薪資"")), ""分潤支出"",
  AND(REGEXMATCH(E1969, ""Ben帳戶|Elsa帳戶|Ben代墊|Ariel代墊|中信銀行共用""), REGEXMATCH(F1969, ""Ben帳戶|Elsa帳戶|Ben代墊|Ariel代墊|中信銀行共用"")), ""內部轉帳(忽略)"",
  AND(E1969&lt;&gt;"""", F1969&lt;&gt;"""", N"&amp;"OT(REGEXMATCH(C1969, ""薪資""))), ""內部轉帳(忽略)"",
  REGEXMATCH(C1969, ""薪資""), ""薪資變動(不計入)"",
  REGEXMATCH(C1969, ""押金""), ""押金往來"",
  AND(E1969&lt;&gt;"""", F1969=""""), ""真實支出"",
  AND(E1969="""", F1969&lt;&gt;""""), ""真實收入"",
  TRUE, ""其他""
)"),"真實支出")</f>
        <v>真實支出</v>
      </c>
      <c r="K1969" s="270">
        <f t="shared" si="2"/>
        <v>-8400</v>
      </c>
      <c r="L1969">
        <f t="shared" si="3"/>
        <v>0</v>
      </c>
    </row>
    <row r="1970">
      <c r="A1970" s="107">
        <f>IFERROR(__xludf.DUMMYFUNCTION("""COMPUTED_VALUE"""),45803.0)</f>
        <v>45803</v>
      </c>
      <c r="B1970" t="str">
        <f>IFERROR(__xludf.DUMMYFUNCTION("""COMPUTED_VALUE"""),"費用 - 匯費 對方行:822 後五碼:61657 (行號: 32)")</f>
        <v>費用 - 匯費 對方行:822 後五碼:61657 (行號: 32)</v>
      </c>
      <c r="C1970" t="str">
        <f>IFERROR(__xludf.DUMMYFUNCTION("""COMPUTED_VALUE"""),"費用 - 匯費")</f>
        <v>費用 - 匯費</v>
      </c>
      <c r="D1970" s="270">
        <f>IFERROR(__xludf.DUMMYFUNCTION("""COMPUTED_VALUE"""),-15.0)</f>
        <v>-15</v>
      </c>
      <c r="E1970" t="str">
        <f>IFERROR(__xludf.DUMMYFUNCTION("""COMPUTED_VALUE"""),"台銀籌備帳戶")</f>
        <v>台銀籌備帳戶</v>
      </c>
      <c r="H1970" s="106" t="str">
        <f t="shared" si="1"/>
        <v>2025-05</v>
      </c>
      <c r="I1970" s="271" t="str">
        <f>IFERROR(__xludf.DUMMYFUNCTION("""COMPUTED_VALUE"""),"貓狗企鵝")</f>
        <v>貓狗企鵝</v>
      </c>
      <c r="J1970" t="str">
        <f>IFERROR(__xludf.DUMMYFUNCTION("IFS(
  AND(REGEXMATCH(E1970, ""台銀籌備帳戶|玉山帳戶""), REGEXMATCH(C1970, ""薪資"")), ""分潤支出"",
  AND(REGEXMATCH(E1970, ""Ben帳戶|Elsa帳戶|Ben代墊|Ariel代墊|中信銀行共用""), REGEXMATCH(F1970, ""Ben帳戶|Elsa帳戶|Ben代墊|Ariel代墊|中信銀行共用"")), ""內部轉帳(忽略)"",
  AND(E1970&lt;&gt;"""", F1970&lt;&gt;"""", N"&amp;"OT(REGEXMATCH(C1970, ""薪資""))), ""內部轉帳(忽略)"",
  REGEXMATCH(C1970, ""薪資""), ""薪資變動(不計入)"",
  REGEXMATCH(C1970, ""押金""), ""押金往來"",
  AND(E1970&lt;&gt;"""", F1970=""""), ""真實支出"",
  AND(E1970="""", F1970&lt;&gt;""""), ""真實收入"",
  TRUE, ""其他""
)"),"真實支出")</f>
        <v>真實支出</v>
      </c>
      <c r="K1970" s="270">
        <f t="shared" si="2"/>
        <v>-15</v>
      </c>
      <c r="L1970">
        <f t="shared" si="3"/>
        <v>0</v>
      </c>
    </row>
    <row r="1971">
      <c r="A1971" s="107">
        <f>IFERROR(__xludf.DUMMYFUNCTION("""COMPUTED_VALUE"""),45803.0)</f>
        <v>45803</v>
      </c>
      <c r="B1971" t="str">
        <f>IFERROR(__xludf.DUMMYFUNCTION("""COMPUTED_VALUE"""),"永春修理浮球 ' 【未分類支出】")</f>
        <v>永春修理浮球 ' 【未分類支出】</v>
      </c>
      <c r="C1971" t="str">
        <f>IFERROR(__xludf.DUMMYFUNCTION("""COMPUTED_VALUE"""),"成本 - 租後修繕")</f>
        <v>成本 - 租後修繕</v>
      </c>
      <c r="D1971" s="270">
        <f>IFERROR(__xludf.DUMMYFUNCTION("""COMPUTED_VALUE"""),-1260.0)</f>
        <v>-1260</v>
      </c>
      <c r="E1971" t="str">
        <f>IFERROR(__xludf.DUMMYFUNCTION("""COMPUTED_VALUE"""),"台銀籌備帳戶")</f>
        <v>台銀籌備帳戶</v>
      </c>
      <c r="G1971" t="str">
        <f>IFERROR(__xludf.DUMMYFUNCTION("""COMPUTED_VALUE"""),"永春四號")</f>
        <v>永春四號</v>
      </c>
      <c r="H1971" s="106" t="str">
        <f t="shared" si="1"/>
        <v>2025-05</v>
      </c>
      <c r="I1971" s="271" t="str">
        <f>IFERROR(__xludf.DUMMYFUNCTION("""COMPUTED_VALUE"""),"貓狗企鵝")</f>
        <v>貓狗企鵝</v>
      </c>
      <c r="J1971" t="str">
        <f>IFERROR(__xludf.DUMMYFUNCTION("IFS(
  AND(REGEXMATCH(E1971, ""台銀籌備帳戶|玉山帳戶""), REGEXMATCH(C1971, ""薪資"")), ""分潤支出"",
  AND(REGEXMATCH(E1971, ""Ben帳戶|Elsa帳戶|Ben代墊|Ariel代墊|中信銀行共用""), REGEXMATCH(F1971, ""Ben帳戶|Elsa帳戶|Ben代墊|Ariel代墊|中信銀行共用"")), ""內部轉帳(忽略)"",
  AND(E1971&lt;&gt;"""", F1971&lt;&gt;"""", N"&amp;"OT(REGEXMATCH(C1971, ""薪資""))), ""內部轉帳(忽略)"",
  REGEXMATCH(C1971, ""薪資""), ""薪資變動(不計入)"",
  REGEXMATCH(C1971, ""押金""), ""押金往來"",
  AND(E1971&lt;&gt;"""", F1971=""""), ""真實支出"",
  AND(E1971="""", F1971&lt;&gt;""""), ""真實收入"",
  TRUE, ""其他""
)"),"真實支出")</f>
        <v>真實支出</v>
      </c>
      <c r="K1971" s="270">
        <f t="shared" si="2"/>
        <v>-1260</v>
      </c>
      <c r="L1971">
        <f t="shared" si="3"/>
        <v>0</v>
      </c>
    </row>
    <row r="1972">
      <c r="A1972" s="107">
        <f>IFERROR(__xludf.DUMMYFUNCTION("""COMPUTED_VALUE"""),45803.0)</f>
        <v>45803</v>
      </c>
      <c r="B1972" t="str">
        <f>IFERROR(__xludf.DUMMYFUNCTION("""COMPUTED_VALUE"""),"費用 - 匯費 對方行:012 後五碼:05207 (行號: 33)")</f>
        <v>費用 - 匯費 對方行:012 後五碼:05207 (行號: 33)</v>
      </c>
      <c r="C1972" t="str">
        <f>IFERROR(__xludf.DUMMYFUNCTION("""COMPUTED_VALUE"""),"費用 - 匯費")</f>
        <v>費用 - 匯費</v>
      </c>
      <c r="D1972" s="270">
        <f>IFERROR(__xludf.DUMMYFUNCTION("""COMPUTED_VALUE"""),-15.0)</f>
        <v>-15</v>
      </c>
      <c r="E1972" t="str">
        <f>IFERROR(__xludf.DUMMYFUNCTION("""COMPUTED_VALUE"""),"台銀籌備帳戶")</f>
        <v>台銀籌備帳戶</v>
      </c>
      <c r="H1972" s="106" t="str">
        <f t="shared" si="1"/>
        <v>2025-05</v>
      </c>
      <c r="I1972" s="271" t="str">
        <f>IFERROR(__xludf.DUMMYFUNCTION("""COMPUTED_VALUE"""),"貓狗企鵝")</f>
        <v>貓狗企鵝</v>
      </c>
      <c r="J1972" t="str">
        <f>IFERROR(__xludf.DUMMYFUNCTION("IFS(
  AND(REGEXMATCH(E1972, ""台銀籌備帳戶|玉山帳戶""), REGEXMATCH(C1972, ""薪資"")), ""分潤支出"",
  AND(REGEXMATCH(E1972, ""Ben帳戶|Elsa帳戶|Ben代墊|Ariel代墊|中信銀行共用""), REGEXMATCH(F1972, ""Ben帳戶|Elsa帳戶|Ben代墊|Ariel代墊|中信銀行共用"")), ""內部轉帳(忽略)"",
  AND(E1972&lt;&gt;"""", F1972&lt;&gt;"""", N"&amp;"OT(REGEXMATCH(C1972, ""薪資""))), ""內部轉帳(忽略)"",
  REGEXMATCH(C1972, ""薪資""), ""薪資變動(不計入)"",
  REGEXMATCH(C1972, ""押金""), ""押金往來"",
  AND(E1972&lt;&gt;"""", F1972=""""), ""真實支出"",
  AND(E1972="""", F1972&lt;&gt;""""), ""真實收入"",
  TRUE, ""其他""
)"),"真實支出")</f>
        <v>真實支出</v>
      </c>
      <c r="K1972" s="270">
        <f t="shared" si="2"/>
        <v>-15</v>
      </c>
      <c r="L1972">
        <f t="shared" si="3"/>
        <v>0</v>
      </c>
    </row>
    <row r="1973">
      <c r="A1973" s="107">
        <f>IFERROR(__xludf.DUMMYFUNCTION("""COMPUTED_VALUE"""),45803.0)</f>
        <v>45803</v>
      </c>
      <c r="B1973" t="str">
        <f>IFERROR(__xludf.DUMMYFUNCTION("""COMPUTED_VALUE"""),"龍江B退押Jimmy ' 【未分類支出】")</f>
        <v>龍江B退押Jimmy ' 【未分類支出】</v>
      </c>
      <c r="C1973" t="str">
        <f>IFERROR(__xludf.DUMMYFUNCTION("""COMPUTED_VALUE"""),"收入 - 押金")</f>
        <v>收入 - 押金</v>
      </c>
      <c r="D1973" s="270">
        <f>IFERROR(__xludf.DUMMYFUNCTION("""COMPUTED_VALUE"""),-10600.0)</f>
        <v>-10600</v>
      </c>
      <c r="E1973" t="str">
        <f>IFERROR(__xludf.DUMMYFUNCTION("""COMPUTED_VALUE"""),"台銀籌備帳戶")</f>
        <v>台銀籌備帳戶</v>
      </c>
      <c r="G1973" t="str">
        <f>IFERROR(__xludf.DUMMYFUNCTION("""COMPUTED_VALUE"""),"龍江229")</f>
        <v>龍江229</v>
      </c>
      <c r="H1973" s="106" t="str">
        <f t="shared" si="1"/>
        <v>2025-05</v>
      </c>
      <c r="I1973" s="271" t="str">
        <f>IFERROR(__xludf.DUMMYFUNCTION("""COMPUTED_VALUE"""),"貓狗企鵝")</f>
        <v>貓狗企鵝</v>
      </c>
      <c r="J1973" t="str">
        <f>IFERROR(__xludf.DUMMYFUNCTION("IFS(
  AND(REGEXMATCH(E1973, ""台銀籌備帳戶|玉山帳戶""), REGEXMATCH(C1973, ""薪資"")), ""分潤支出"",
  AND(REGEXMATCH(E1973, ""Ben帳戶|Elsa帳戶|Ben代墊|Ariel代墊|中信銀行共用""), REGEXMATCH(F1973, ""Ben帳戶|Elsa帳戶|Ben代墊|Ariel代墊|中信銀行共用"")), ""內部轉帳(忽略)"",
  AND(E1973&lt;&gt;"""", F1973&lt;&gt;"""", N"&amp;"OT(REGEXMATCH(C1973, ""薪資""))), ""內部轉帳(忽略)"",
  REGEXMATCH(C1973, ""薪資""), ""薪資變動(不計入)"",
  REGEXMATCH(C1973, ""押金""), ""押金往來"",
  AND(E1973&lt;&gt;"""", F1973=""""), ""真實支出"",
  AND(E1973="""", F1973&lt;&gt;""""), ""真實收入"",
  TRUE, ""其他""
)"),"押金往來")</f>
        <v>押金往來</v>
      </c>
      <c r="K1973">
        <f t="shared" si="2"/>
        <v>0</v>
      </c>
      <c r="L1973">
        <f t="shared" si="3"/>
        <v>0</v>
      </c>
    </row>
    <row r="1974">
      <c r="A1974" s="107">
        <f>IFERROR(__xludf.DUMMYFUNCTION("""COMPUTED_VALUE"""),45809.0)</f>
        <v>45809</v>
      </c>
      <c r="B1974" t="str">
        <f>IFERROR(__xludf.DUMMYFUNCTION("""COMPUTED_VALUE"""),"[南港站挑高宅] [林淑華] 大租金")</f>
        <v>[南港站挑高宅] [林淑華] 大租金</v>
      </c>
      <c r="C1974" t="str">
        <f>IFERROR(__xludf.DUMMYFUNCTION("""COMPUTED_VALUE"""),"成本 - 大租金")</f>
        <v>成本 - 大租金</v>
      </c>
      <c r="D1974" s="270">
        <f>IFERROR(__xludf.DUMMYFUNCTION("""COMPUTED_VALUE"""),-18250.0)</f>
        <v>-18250</v>
      </c>
      <c r="E1974" t="str">
        <f>IFERROR(__xludf.DUMMYFUNCTION("""COMPUTED_VALUE"""),"台銀籌備帳戶")</f>
        <v>台銀籌備帳戶</v>
      </c>
      <c r="G1974" t="str">
        <f>IFERROR(__xludf.DUMMYFUNCTION("""COMPUTED_VALUE"""),"南港站挑高宅")</f>
        <v>南港站挑高宅</v>
      </c>
      <c r="H1974" s="106" t="str">
        <f t="shared" si="1"/>
        <v>2025-06</v>
      </c>
      <c r="I1974" s="271" t="str">
        <f>IFERROR(__xludf.DUMMYFUNCTION("""COMPUTED_VALUE"""),"貓狗企鵝")</f>
        <v>貓狗企鵝</v>
      </c>
      <c r="J1974" t="str">
        <f>IFERROR(__xludf.DUMMYFUNCTION("IFS(
  AND(REGEXMATCH(E1974, ""台銀籌備帳戶|玉山帳戶""), REGEXMATCH(C1974, ""薪資"")), ""分潤支出"",
  AND(REGEXMATCH(E1974, ""Ben帳戶|Elsa帳戶|Ben代墊|Ariel代墊|中信銀行共用""), REGEXMATCH(F1974, ""Ben帳戶|Elsa帳戶|Ben代墊|Ariel代墊|中信銀行共用"")), ""內部轉帳(忽略)"",
  AND(E1974&lt;&gt;"""", F1974&lt;&gt;"""", N"&amp;"OT(REGEXMATCH(C1974, ""薪資""))), ""內部轉帳(忽略)"",
  REGEXMATCH(C1974, ""薪資""), ""薪資變動(不計入)"",
  REGEXMATCH(C1974, ""押金""), ""押金往來"",
  AND(E1974&lt;&gt;"""", F1974=""""), ""真實支出"",
  AND(E1974="""", F1974&lt;&gt;""""), ""真實收入"",
  TRUE, ""其他""
)"),"真實支出")</f>
        <v>真實支出</v>
      </c>
      <c r="K1974" s="270">
        <f t="shared" si="2"/>
        <v>-18250</v>
      </c>
      <c r="L1974">
        <f t="shared" si="3"/>
        <v>0</v>
      </c>
    </row>
    <row r="1975">
      <c r="A1975" s="107">
        <f>IFERROR(__xludf.DUMMYFUNCTION("""COMPUTED_VALUE"""),45809.0)</f>
        <v>45809</v>
      </c>
      <c r="B1975" t="str">
        <f>IFERROR(__xludf.DUMMYFUNCTION("""COMPUTED_VALUE"""),"費用 - 匯費 對方行:012 後五碼:84509 (行號: 53)")</f>
        <v>費用 - 匯費 對方行:012 後五碼:84509 (行號: 53)</v>
      </c>
      <c r="C1975" t="str">
        <f>IFERROR(__xludf.DUMMYFUNCTION("""COMPUTED_VALUE"""),"費用 - 匯費")</f>
        <v>費用 - 匯費</v>
      </c>
      <c r="D1975" s="270">
        <f>IFERROR(__xludf.DUMMYFUNCTION("""COMPUTED_VALUE"""),-15.0)</f>
        <v>-15</v>
      </c>
      <c r="E1975" t="str">
        <f>IFERROR(__xludf.DUMMYFUNCTION("""COMPUTED_VALUE"""),"台銀籌備帳戶")</f>
        <v>台銀籌備帳戶</v>
      </c>
      <c r="H1975" s="106" t="str">
        <f t="shared" si="1"/>
        <v>2025-06</v>
      </c>
      <c r="I1975" s="271" t="str">
        <f>IFERROR(__xludf.DUMMYFUNCTION("""COMPUTED_VALUE"""),"貓狗企鵝")</f>
        <v>貓狗企鵝</v>
      </c>
      <c r="J1975" t="str">
        <f>IFERROR(__xludf.DUMMYFUNCTION("IFS(
  AND(REGEXMATCH(E1975, ""台銀籌備帳戶|玉山帳戶""), REGEXMATCH(C1975, ""薪資"")), ""分潤支出"",
  AND(REGEXMATCH(E1975, ""Ben帳戶|Elsa帳戶|Ben代墊|Ariel代墊|中信銀行共用""), REGEXMATCH(F1975, ""Ben帳戶|Elsa帳戶|Ben代墊|Ariel代墊|中信銀行共用"")), ""內部轉帳(忽略)"",
  AND(E1975&lt;&gt;"""", F1975&lt;&gt;"""", N"&amp;"OT(REGEXMATCH(C1975, ""薪資""))), ""內部轉帳(忽略)"",
  REGEXMATCH(C1975, ""薪資""), ""薪資變動(不計入)"",
  REGEXMATCH(C1975, ""押金""), ""押金往來"",
  AND(E1975&lt;&gt;"""", F1975=""""), ""真實支出"",
  AND(E1975="""", F1975&lt;&gt;""""), ""真實收入"",
  TRUE, ""其他""
)"),"真實支出")</f>
        <v>真實支出</v>
      </c>
      <c r="K1975" s="270">
        <f t="shared" si="2"/>
        <v>-15</v>
      </c>
      <c r="L1975">
        <f t="shared" si="3"/>
        <v>0</v>
      </c>
    </row>
    <row r="1976">
      <c r="A1976" s="107">
        <f>IFERROR(__xludf.DUMMYFUNCTION("""COMPUTED_VALUE"""),45809.0)</f>
        <v>45809</v>
      </c>
      <c r="B1976" t="str">
        <f>IFERROR(__xludf.DUMMYFUNCTION("""COMPUTED_VALUE"""),"[永春四號] [郭宗仁] 大租金")</f>
        <v>[永春四號] [郭宗仁] 大租金</v>
      </c>
      <c r="C1976" t="str">
        <f>IFERROR(__xludf.DUMMYFUNCTION("""COMPUTED_VALUE"""),"成本 - 大租金")</f>
        <v>成本 - 大租金</v>
      </c>
      <c r="D1976" s="270">
        <f>IFERROR(__xludf.DUMMYFUNCTION("""COMPUTED_VALUE"""),-17000.0)</f>
        <v>-17000</v>
      </c>
      <c r="E1976" t="str">
        <f>IFERROR(__xludf.DUMMYFUNCTION("""COMPUTED_VALUE"""),"台銀籌備帳戶")</f>
        <v>台銀籌備帳戶</v>
      </c>
      <c r="G1976" t="str">
        <f>IFERROR(__xludf.DUMMYFUNCTION("""COMPUTED_VALUE"""),"永春四號")</f>
        <v>永春四號</v>
      </c>
      <c r="H1976" s="106" t="str">
        <f t="shared" si="1"/>
        <v>2025-06</v>
      </c>
      <c r="I1976" s="271" t="str">
        <f>IFERROR(__xludf.DUMMYFUNCTION("""COMPUTED_VALUE"""),"貓狗企鵝")</f>
        <v>貓狗企鵝</v>
      </c>
      <c r="J1976" t="str">
        <f>IFERROR(__xludf.DUMMYFUNCTION("IFS(
  AND(REGEXMATCH(E1976, ""台銀籌備帳戶|玉山帳戶""), REGEXMATCH(C1976, ""薪資"")), ""分潤支出"",
  AND(REGEXMATCH(E1976, ""Ben帳戶|Elsa帳戶|Ben代墊|Ariel代墊|中信銀行共用""), REGEXMATCH(F1976, ""Ben帳戶|Elsa帳戶|Ben代墊|Ariel代墊|中信銀行共用"")), ""內部轉帳(忽略)"",
  AND(E1976&lt;&gt;"""", F1976&lt;&gt;"""", N"&amp;"OT(REGEXMATCH(C1976, ""薪資""))), ""內部轉帳(忽略)"",
  REGEXMATCH(C1976, ""薪資""), ""薪資變動(不計入)"",
  REGEXMATCH(C1976, ""押金""), ""押金往來"",
  AND(E1976&lt;&gt;"""", F1976=""""), ""真實支出"",
  AND(E1976="""", F1976&lt;&gt;""""), ""真實收入"",
  TRUE, ""其他""
)"),"真實支出")</f>
        <v>真實支出</v>
      </c>
      <c r="K1976" s="270">
        <f t="shared" si="2"/>
        <v>-17000</v>
      </c>
      <c r="L1976">
        <f t="shared" si="3"/>
        <v>0</v>
      </c>
    </row>
    <row r="1977">
      <c r="A1977" s="107">
        <f>IFERROR(__xludf.DUMMYFUNCTION("""COMPUTED_VALUE"""),45809.0)</f>
        <v>45809</v>
      </c>
      <c r="B1977" t="str">
        <f>IFERROR(__xludf.DUMMYFUNCTION("""COMPUTED_VALUE"""),"費用 - 匯費 對方行:012 後五碼:46295 (行號: 54)")</f>
        <v>費用 - 匯費 對方行:012 後五碼:46295 (行號: 54)</v>
      </c>
      <c r="C1977" t="str">
        <f>IFERROR(__xludf.DUMMYFUNCTION("""COMPUTED_VALUE"""),"費用 - 匯費")</f>
        <v>費用 - 匯費</v>
      </c>
      <c r="D1977" s="270">
        <f>IFERROR(__xludf.DUMMYFUNCTION("""COMPUTED_VALUE"""),-15.0)</f>
        <v>-15</v>
      </c>
      <c r="E1977" t="str">
        <f>IFERROR(__xludf.DUMMYFUNCTION("""COMPUTED_VALUE"""),"台銀籌備帳戶")</f>
        <v>台銀籌備帳戶</v>
      </c>
      <c r="H1977" s="106" t="str">
        <f t="shared" si="1"/>
        <v>2025-06</v>
      </c>
      <c r="I1977" s="271" t="str">
        <f>IFERROR(__xludf.DUMMYFUNCTION("""COMPUTED_VALUE"""),"貓狗企鵝")</f>
        <v>貓狗企鵝</v>
      </c>
      <c r="J1977" t="str">
        <f>IFERROR(__xludf.DUMMYFUNCTION("IFS(
  AND(REGEXMATCH(E1977, ""台銀籌備帳戶|玉山帳戶""), REGEXMATCH(C1977, ""薪資"")), ""分潤支出"",
  AND(REGEXMATCH(E1977, ""Ben帳戶|Elsa帳戶|Ben代墊|Ariel代墊|中信銀行共用""), REGEXMATCH(F1977, ""Ben帳戶|Elsa帳戶|Ben代墊|Ariel代墊|中信銀行共用"")), ""內部轉帳(忽略)"",
  AND(E1977&lt;&gt;"""", F1977&lt;&gt;"""", N"&amp;"OT(REGEXMATCH(C1977, ""薪資""))), ""內部轉帳(忽略)"",
  REGEXMATCH(C1977, ""薪資""), ""薪資變動(不計入)"",
  REGEXMATCH(C1977, ""押金""), ""押金往來"",
  AND(E1977&lt;&gt;"""", F1977=""""), ""真實支出"",
  AND(E1977="""", F1977&lt;&gt;""""), ""真實收入"",
  TRUE, ""其他""
)"),"真實支出")</f>
        <v>真實支出</v>
      </c>
      <c r="K1977" s="270">
        <f t="shared" si="2"/>
        <v>-15</v>
      </c>
      <c r="L1977">
        <f t="shared" si="3"/>
        <v>0</v>
      </c>
    </row>
    <row r="1978">
      <c r="A1978" s="107">
        <f>IFERROR(__xludf.DUMMYFUNCTION("""COMPUTED_VALUE"""),45809.0)</f>
        <v>45809</v>
      </c>
      <c r="B1978" t="str">
        <f>IFERROR(__xludf.DUMMYFUNCTION("""COMPUTED_VALUE"""),"[永春四號] [郭宗仁] 大租金")</f>
        <v>[永春四號] [郭宗仁] 大租金</v>
      </c>
      <c r="C1978" t="str">
        <f>IFERROR(__xludf.DUMMYFUNCTION("""COMPUTED_VALUE"""),"成本 - 大租金")</f>
        <v>成本 - 大租金</v>
      </c>
      <c r="D1978" s="270">
        <f>IFERROR(__xludf.DUMMYFUNCTION("""COMPUTED_VALUE"""),-17000.0)</f>
        <v>-17000</v>
      </c>
      <c r="E1978" t="str">
        <f>IFERROR(__xludf.DUMMYFUNCTION("""COMPUTED_VALUE"""),"台銀籌備帳戶")</f>
        <v>台銀籌備帳戶</v>
      </c>
      <c r="G1978" t="str">
        <f>IFERROR(__xludf.DUMMYFUNCTION("""COMPUTED_VALUE"""),"永春四號")</f>
        <v>永春四號</v>
      </c>
      <c r="H1978" s="106" t="str">
        <f t="shared" si="1"/>
        <v>2025-06</v>
      </c>
      <c r="I1978" s="271" t="str">
        <f>IFERROR(__xludf.DUMMYFUNCTION("""COMPUTED_VALUE"""),"貓狗企鵝")</f>
        <v>貓狗企鵝</v>
      </c>
      <c r="J1978" t="str">
        <f>IFERROR(__xludf.DUMMYFUNCTION("IFS(
  AND(REGEXMATCH(E1978, ""台銀籌備帳戶|玉山帳戶""), REGEXMATCH(C1978, ""薪資"")), ""分潤支出"",
  AND(REGEXMATCH(E1978, ""Ben帳戶|Elsa帳戶|Ben代墊|Ariel代墊|中信銀行共用""), REGEXMATCH(F1978, ""Ben帳戶|Elsa帳戶|Ben代墊|Ariel代墊|中信銀行共用"")), ""內部轉帳(忽略)"",
  AND(E1978&lt;&gt;"""", F1978&lt;&gt;"""", N"&amp;"OT(REGEXMATCH(C1978, ""薪資""))), ""內部轉帳(忽略)"",
  REGEXMATCH(C1978, ""薪資""), ""薪資變動(不計入)"",
  REGEXMATCH(C1978, ""押金""), ""押金往來"",
  AND(E1978&lt;&gt;"""", F1978=""""), ""真實支出"",
  AND(E1978="""", F1978&lt;&gt;""""), ""真實收入"",
  TRUE, ""其他""
)"),"真實支出")</f>
        <v>真實支出</v>
      </c>
      <c r="K1978" s="270">
        <f t="shared" si="2"/>
        <v>-17000</v>
      </c>
      <c r="L1978">
        <f t="shared" si="3"/>
        <v>0</v>
      </c>
    </row>
    <row r="1979">
      <c r="A1979" s="107">
        <f>IFERROR(__xludf.DUMMYFUNCTION("""COMPUTED_VALUE"""),45809.0)</f>
        <v>45809</v>
      </c>
      <c r="B1979" t="str">
        <f>IFERROR(__xludf.DUMMYFUNCTION("""COMPUTED_VALUE"""),"費用 - 匯費 對方行:700 後五碼:19509 (行號: 55)")</f>
        <v>費用 - 匯費 對方行:700 後五碼:19509 (行號: 55)</v>
      </c>
      <c r="C1979" t="str">
        <f>IFERROR(__xludf.DUMMYFUNCTION("""COMPUTED_VALUE"""),"費用 - 匯費")</f>
        <v>費用 - 匯費</v>
      </c>
      <c r="D1979" s="270">
        <f>IFERROR(__xludf.DUMMYFUNCTION("""COMPUTED_VALUE"""),-15.0)</f>
        <v>-15</v>
      </c>
      <c r="E1979" t="str">
        <f>IFERROR(__xludf.DUMMYFUNCTION("""COMPUTED_VALUE"""),"台銀籌備帳戶")</f>
        <v>台銀籌備帳戶</v>
      </c>
      <c r="H1979" s="106" t="str">
        <f t="shared" si="1"/>
        <v>2025-06</v>
      </c>
      <c r="I1979" s="271" t="str">
        <f>IFERROR(__xludf.DUMMYFUNCTION("""COMPUTED_VALUE"""),"貓狗企鵝")</f>
        <v>貓狗企鵝</v>
      </c>
      <c r="J1979" t="str">
        <f>IFERROR(__xludf.DUMMYFUNCTION("IFS(
  AND(REGEXMATCH(E1979, ""台銀籌備帳戶|玉山帳戶""), REGEXMATCH(C1979, ""薪資"")), ""分潤支出"",
  AND(REGEXMATCH(E1979, ""Ben帳戶|Elsa帳戶|Ben代墊|Ariel代墊|中信銀行共用""), REGEXMATCH(F1979, ""Ben帳戶|Elsa帳戶|Ben代墊|Ariel代墊|中信銀行共用"")), ""內部轉帳(忽略)"",
  AND(E1979&lt;&gt;"""", F1979&lt;&gt;"""", N"&amp;"OT(REGEXMATCH(C1979, ""薪資""))), ""內部轉帳(忽略)"",
  REGEXMATCH(C1979, ""薪資""), ""薪資變動(不計入)"",
  REGEXMATCH(C1979, ""押金""), ""押金往來"",
  AND(E1979&lt;&gt;"""", F1979=""""), ""真實支出"",
  AND(E1979="""", F1979&lt;&gt;""""), ""真實收入"",
  TRUE, ""其他""
)"),"真實支出")</f>
        <v>真實支出</v>
      </c>
      <c r="K1979" s="270">
        <f t="shared" si="2"/>
        <v>-15</v>
      </c>
      <c r="L1979">
        <f t="shared" si="3"/>
        <v>0</v>
      </c>
    </row>
    <row r="1980">
      <c r="A1980" s="107">
        <f>IFERROR(__xludf.DUMMYFUNCTION("""COMPUTED_VALUE"""),45809.0)</f>
        <v>45809</v>
      </c>
      <c r="B1980" t="str">
        <f>IFERROR(__xludf.DUMMYFUNCTION("""COMPUTED_VALUE"""),"[龍江229] [游為傑] 大租金")</f>
        <v>[龍江229] [游為傑] 大租金</v>
      </c>
      <c r="C1980" t="str">
        <f>IFERROR(__xludf.DUMMYFUNCTION("""COMPUTED_VALUE"""),"成本 - 大租金")</f>
        <v>成本 - 大租金</v>
      </c>
      <c r="D1980" s="270">
        <f>IFERROR(__xludf.DUMMYFUNCTION("""COMPUTED_VALUE"""),-13500.0)</f>
        <v>-13500</v>
      </c>
      <c r="E1980" t="str">
        <f>IFERROR(__xludf.DUMMYFUNCTION("""COMPUTED_VALUE"""),"台銀籌備帳戶")</f>
        <v>台銀籌備帳戶</v>
      </c>
      <c r="G1980" t="str">
        <f>IFERROR(__xludf.DUMMYFUNCTION("""COMPUTED_VALUE"""),"龍江229")</f>
        <v>龍江229</v>
      </c>
      <c r="H1980" s="106" t="str">
        <f t="shared" si="1"/>
        <v>2025-06</v>
      </c>
      <c r="I1980" s="271" t="str">
        <f>IFERROR(__xludf.DUMMYFUNCTION("""COMPUTED_VALUE"""),"貓狗企鵝")</f>
        <v>貓狗企鵝</v>
      </c>
      <c r="J1980" t="str">
        <f>IFERROR(__xludf.DUMMYFUNCTION("IFS(
  AND(REGEXMATCH(E1980, ""台銀籌備帳戶|玉山帳戶""), REGEXMATCH(C1980, ""薪資"")), ""分潤支出"",
  AND(REGEXMATCH(E1980, ""Ben帳戶|Elsa帳戶|Ben代墊|Ariel代墊|中信銀行共用""), REGEXMATCH(F1980, ""Ben帳戶|Elsa帳戶|Ben代墊|Ariel代墊|中信銀行共用"")), ""內部轉帳(忽略)"",
  AND(E1980&lt;&gt;"""", F1980&lt;&gt;"""", N"&amp;"OT(REGEXMATCH(C1980, ""薪資""))), ""內部轉帳(忽略)"",
  REGEXMATCH(C1980, ""薪資""), ""薪資變動(不計入)"",
  REGEXMATCH(C1980, ""押金""), ""押金往來"",
  AND(E1980&lt;&gt;"""", F1980=""""), ""真實支出"",
  AND(E1980="""", F1980&lt;&gt;""""), ""真實收入"",
  TRUE, ""其他""
)"),"真實支出")</f>
        <v>真實支出</v>
      </c>
      <c r="K1980" s="270">
        <f t="shared" si="2"/>
        <v>-13500</v>
      </c>
      <c r="L1980">
        <f t="shared" si="3"/>
        <v>0</v>
      </c>
    </row>
    <row r="1981">
      <c r="A1981" s="107">
        <f>IFERROR(__xludf.DUMMYFUNCTION("""COMPUTED_VALUE"""),45809.0)</f>
        <v>45809</v>
      </c>
      <c r="B1981" t="str">
        <f>IFERROR(__xludf.DUMMYFUNCTION("""COMPUTED_VALUE"""),"費用 - 匯費 對方行:012 後五碼:74779 (行號: 56)")</f>
        <v>費用 - 匯費 對方行:012 後五碼:74779 (行號: 56)</v>
      </c>
      <c r="C1981" t="str">
        <f>IFERROR(__xludf.DUMMYFUNCTION("""COMPUTED_VALUE"""),"費用 - 匯費")</f>
        <v>費用 - 匯費</v>
      </c>
      <c r="D1981" s="270">
        <f>IFERROR(__xludf.DUMMYFUNCTION("""COMPUTED_VALUE"""),-15.0)</f>
        <v>-15</v>
      </c>
      <c r="E1981" t="str">
        <f>IFERROR(__xludf.DUMMYFUNCTION("""COMPUTED_VALUE"""),"台銀籌備帳戶")</f>
        <v>台銀籌備帳戶</v>
      </c>
      <c r="H1981" s="106" t="str">
        <f t="shared" si="1"/>
        <v>2025-06</v>
      </c>
      <c r="I1981" s="271" t="str">
        <f>IFERROR(__xludf.DUMMYFUNCTION("""COMPUTED_VALUE"""),"貓狗企鵝")</f>
        <v>貓狗企鵝</v>
      </c>
      <c r="J1981" t="str">
        <f>IFERROR(__xludf.DUMMYFUNCTION("IFS(
  AND(REGEXMATCH(E1981, ""台銀籌備帳戶|玉山帳戶""), REGEXMATCH(C1981, ""薪資"")), ""分潤支出"",
  AND(REGEXMATCH(E1981, ""Ben帳戶|Elsa帳戶|Ben代墊|Ariel代墊|中信銀行共用""), REGEXMATCH(F1981, ""Ben帳戶|Elsa帳戶|Ben代墊|Ariel代墊|中信銀行共用"")), ""內部轉帳(忽略)"",
  AND(E1981&lt;&gt;"""", F1981&lt;&gt;"""", N"&amp;"OT(REGEXMATCH(C1981, ""薪資""))), ""內部轉帳(忽略)"",
  REGEXMATCH(C1981, ""薪資""), ""薪資變動(不計入)"",
  REGEXMATCH(C1981, ""押金""), ""押金往來"",
  AND(E1981&lt;&gt;"""", F1981=""""), ""真實支出"",
  AND(E1981="""", F1981&lt;&gt;""""), ""真實收入"",
  TRUE, ""其他""
)"),"真實支出")</f>
        <v>真實支出</v>
      </c>
      <c r="K1981" s="270">
        <f t="shared" si="2"/>
        <v>-15</v>
      </c>
      <c r="L1981">
        <f t="shared" si="3"/>
        <v>0</v>
      </c>
    </row>
    <row r="1982">
      <c r="A1982" s="107">
        <f>IFERROR(__xludf.DUMMYFUNCTION("""COMPUTED_VALUE"""),45809.0)</f>
        <v>45809</v>
      </c>
      <c r="B1982" t="str">
        <f>IFERROR(__xludf.DUMMYFUNCTION("""COMPUTED_VALUE"""),"[市府爺爺家] [常永年] 大租金")</f>
        <v>[市府爺爺家] [常永年] 大租金</v>
      </c>
      <c r="C1982" t="str">
        <f>IFERROR(__xludf.DUMMYFUNCTION("""COMPUTED_VALUE"""),"成本 - 大租金")</f>
        <v>成本 - 大租金</v>
      </c>
      <c r="D1982" s="270">
        <f>IFERROR(__xludf.DUMMYFUNCTION("""COMPUTED_VALUE"""),-12000.0)</f>
        <v>-12000</v>
      </c>
      <c r="E1982" t="str">
        <f>IFERROR(__xludf.DUMMYFUNCTION("""COMPUTED_VALUE"""),"台銀籌備帳戶")</f>
        <v>台銀籌備帳戶</v>
      </c>
      <c r="G1982" t="str">
        <f>IFERROR(__xludf.DUMMYFUNCTION("""COMPUTED_VALUE"""),"市府爺爺家")</f>
        <v>市府爺爺家</v>
      </c>
      <c r="H1982" s="106" t="str">
        <f t="shared" si="1"/>
        <v>2025-06</v>
      </c>
      <c r="I1982" s="271" t="str">
        <f>IFERROR(__xludf.DUMMYFUNCTION("""COMPUTED_VALUE"""),"貓狗企鵝")</f>
        <v>貓狗企鵝</v>
      </c>
      <c r="J1982" t="str">
        <f>IFERROR(__xludf.DUMMYFUNCTION("IFS(
  AND(REGEXMATCH(E1982, ""台銀籌備帳戶|玉山帳戶""), REGEXMATCH(C1982, ""薪資"")), ""分潤支出"",
  AND(REGEXMATCH(E1982, ""Ben帳戶|Elsa帳戶|Ben代墊|Ariel代墊|中信銀行共用""), REGEXMATCH(F1982, ""Ben帳戶|Elsa帳戶|Ben代墊|Ariel代墊|中信銀行共用"")), ""內部轉帳(忽略)"",
  AND(E1982&lt;&gt;"""", F1982&lt;&gt;"""", N"&amp;"OT(REGEXMATCH(C1982, ""薪資""))), ""內部轉帳(忽略)"",
  REGEXMATCH(C1982, ""薪資""), ""薪資變動(不計入)"",
  REGEXMATCH(C1982, ""押金""), ""押金往來"",
  AND(E1982&lt;&gt;"""", F1982=""""), ""真實支出"",
  AND(E1982="""", F1982&lt;&gt;""""), ""真實收入"",
  TRUE, ""其他""
)"),"真實支出")</f>
        <v>真實支出</v>
      </c>
      <c r="K1982" s="270">
        <f t="shared" si="2"/>
        <v>-12000</v>
      </c>
      <c r="L1982">
        <f t="shared" si="3"/>
        <v>0</v>
      </c>
    </row>
    <row r="1983">
      <c r="A1983" s="107">
        <f>IFERROR(__xludf.DUMMYFUNCTION("""COMPUTED_VALUE"""),45809.0)</f>
        <v>45809</v>
      </c>
      <c r="B1983" t="str">
        <f>IFERROR(__xludf.DUMMYFUNCTION("""COMPUTED_VALUE"""),"費用 - 匯費 對方行:052 後五碼:22609 (行號: 57)")</f>
        <v>費用 - 匯費 對方行:052 後五碼:22609 (行號: 57)</v>
      </c>
      <c r="C1983" t="str">
        <f>IFERROR(__xludf.DUMMYFUNCTION("""COMPUTED_VALUE"""),"費用 - 匯費")</f>
        <v>費用 - 匯費</v>
      </c>
      <c r="D1983" s="270">
        <f>IFERROR(__xludf.DUMMYFUNCTION("""COMPUTED_VALUE"""),-15.0)</f>
        <v>-15</v>
      </c>
      <c r="E1983" t="str">
        <f>IFERROR(__xludf.DUMMYFUNCTION("""COMPUTED_VALUE"""),"台銀籌備帳戶")</f>
        <v>台銀籌備帳戶</v>
      </c>
      <c r="H1983" s="106" t="str">
        <f t="shared" si="1"/>
        <v>2025-06</v>
      </c>
      <c r="I1983" s="271" t="str">
        <f>IFERROR(__xludf.DUMMYFUNCTION("""COMPUTED_VALUE"""),"貓狗企鵝")</f>
        <v>貓狗企鵝</v>
      </c>
      <c r="J1983" t="str">
        <f>IFERROR(__xludf.DUMMYFUNCTION("IFS(
  AND(REGEXMATCH(E1983, ""台銀籌備帳戶|玉山帳戶""), REGEXMATCH(C1983, ""薪資"")), ""分潤支出"",
  AND(REGEXMATCH(E1983, ""Ben帳戶|Elsa帳戶|Ben代墊|Ariel代墊|中信銀行共用""), REGEXMATCH(F1983, ""Ben帳戶|Elsa帳戶|Ben代墊|Ariel代墊|中信銀行共用"")), ""內部轉帳(忽略)"",
  AND(E1983&lt;&gt;"""", F1983&lt;&gt;"""", N"&amp;"OT(REGEXMATCH(C1983, ""薪資""))), ""內部轉帳(忽略)"",
  REGEXMATCH(C1983, ""薪資""), ""薪資變動(不計入)"",
  REGEXMATCH(C1983, ""押金""), ""押金往來"",
  AND(E1983&lt;&gt;"""", F1983=""""), ""真實支出"",
  AND(E1983="""", F1983&lt;&gt;""""), ""真實收入"",
  TRUE, ""其他""
)"),"真實支出")</f>
        <v>真實支出</v>
      </c>
      <c r="K1983" s="270">
        <f t="shared" si="2"/>
        <v>-15</v>
      </c>
      <c r="L1983">
        <f t="shared" si="3"/>
        <v>0</v>
      </c>
    </row>
    <row r="1984">
      <c r="A1984" s="107">
        <f>IFERROR(__xludf.DUMMYFUNCTION("""COMPUTED_VALUE"""),45809.0)</f>
        <v>45809</v>
      </c>
      <c r="B1984" t="str">
        <f>IFERROR(__xludf.DUMMYFUNCTION("""COMPUTED_VALUE"""),"[中山北Feli家] [陳玉蘭] 大租金")</f>
        <v>[中山北Feli家] [陳玉蘭] 大租金</v>
      </c>
      <c r="C1984" t="str">
        <f>IFERROR(__xludf.DUMMYFUNCTION("""COMPUTED_VALUE"""),"成本 - 大租金")</f>
        <v>成本 - 大租金</v>
      </c>
      <c r="D1984" s="270">
        <f>IFERROR(__xludf.DUMMYFUNCTION("""COMPUTED_VALUE"""),-18000.0)</f>
        <v>-18000</v>
      </c>
      <c r="E1984" t="str">
        <f>IFERROR(__xludf.DUMMYFUNCTION("""COMPUTED_VALUE"""),"台銀籌備帳戶")</f>
        <v>台銀籌備帳戶</v>
      </c>
      <c r="G1984" t="str">
        <f>IFERROR(__xludf.DUMMYFUNCTION("""COMPUTED_VALUE"""),"中山北Feli家")</f>
        <v>中山北Feli家</v>
      </c>
      <c r="H1984" s="106" t="str">
        <f t="shared" si="1"/>
        <v>2025-06</v>
      </c>
      <c r="I1984" s="271" t="str">
        <f>IFERROR(__xludf.DUMMYFUNCTION("""COMPUTED_VALUE"""),"貓狗企鵝")</f>
        <v>貓狗企鵝</v>
      </c>
      <c r="J1984" t="str">
        <f>IFERROR(__xludf.DUMMYFUNCTION("IFS(
  AND(REGEXMATCH(E1984, ""台銀籌備帳戶|玉山帳戶""), REGEXMATCH(C1984, ""薪資"")), ""分潤支出"",
  AND(REGEXMATCH(E1984, ""Ben帳戶|Elsa帳戶|Ben代墊|Ariel代墊|中信銀行共用""), REGEXMATCH(F1984, ""Ben帳戶|Elsa帳戶|Ben代墊|Ariel代墊|中信銀行共用"")), ""內部轉帳(忽略)"",
  AND(E1984&lt;&gt;"""", F1984&lt;&gt;"""", N"&amp;"OT(REGEXMATCH(C1984, ""薪資""))), ""內部轉帳(忽略)"",
  REGEXMATCH(C1984, ""薪資""), ""薪資變動(不計入)"",
  REGEXMATCH(C1984, ""押金""), ""押金往來"",
  AND(E1984&lt;&gt;"""", F1984=""""), ""真實支出"",
  AND(E1984="""", F1984&lt;&gt;""""), ""真實收入"",
  TRUE, ""其他""
)"),"真實支出")</f>
        <v>真實支出</v>
      </c>
      <c r="K1984" s="270">
        <f t="shared" si="2"/>
        <v>-18000</v>
      </c>
      <c r="L1984">
        <f t="shared" si="3"/>
        <v>0</v>
      </c>
    </row>
    <row r="1985">
      <c r="A1985" s="107">
        <f>IFERROR(__xludf.DUMMYFUNCTION("""COMPUTED_VALUE"""),45809.0)</f>
        <v>45809</v>
      </c>
      <c r="B1985" t="str">
        <f>IFERROR(__xludf.DUMMYFUNCTION("""COMPUTED_VALUE"""),"費用 - 匯費 對方行:013 後五碼:20652 (行號: 58)")</f>
        <v>費用 - 匯費 對方行:013 後五碼:20652 (行號: 58)</v>
      </c>
      <c r="C1985" t="str">
        <f>IFERROR(__xludf.DUMMYFUNCTION("""COMPUTED_VALUE"""),"費用 - 匯費")</f>
        <v>費用 - 匯費</v>
      </c>
      <c r="D1985" s="270">
        <f>IFERROR(__xludf.DUMMYFUNCTION("""COMPUTED_VALUE"""),-15.0)</f>
        <v>-15</v>
      </c>
      <c r="E1985" t="str">
        <f>IFERROR(__xludf.DUMMYFUNCTION("""COMPUTED_VALUE"""),"台銀籌備帳戶")</f>
        <v>台銀籌備帳戶</v>
      </c>
      <c r="H1985" s="106" t="str">
        <f t="shared" si="1"/>
        <v>2025-06</v>
      </c>
      <c r="I1985" s="271" t="str">
        <f>IFERROR(__xludf.DUMMYFUNCTION("""COMPUTED_VALUE"""),"貓狗企鵝")</f>
        <v>貓狗企鵝</v>
      </c>
      <c r="J1985" t="str">
        <f>IFERROR(__xludf.DUMMYFUNCTION("IFS(
  AND(REGEXMATCH(E1985, ""台銀籌備帳戶|玉山帳戶""), REGEXMATCH(C1985, ""薪資"")), ""分潤支出"",
  AND(REGEXMATCH(E1985, ""Ben帳戶|Elsa帳戶|Ben代墊|Ariel代墊|中信銀行共用""), REGEXMATCH(F1985, ""Ben帳戶|Elsa帳戶|Ben代墊|Ariel代墊|中信銀行共用"")), ""內部轉帳(忽略)"",
  AND(E1985&lt;&gt;"""", F1985&lt;&gt;"""", N"&amp;"OT(REGEXMATCH(C1985, ""薪資""))), ""內部轉帳(忽略)"",
  REGEXMATCH(C1985, ""薪資""), ""薪資變動(不計入)"",
  REGEXMATCH(C1985, ""押金""), ""押金往來"",
  AND(E1985&lt;&gt;"""", F1985=""""), ""真實支出"",
  AND(E1985="""", F1985&lt;&gt;""""), ""真實收入"",
  TRUE, ""其他""
)"),"真實支出")</f>
        <v>真實支出</v>
      </c>
      <c r="K1985" s="270">
        <f t="shared" si="2"/>
        <v>-15</v>
      </c>
      <c r="L1985">
        <f t="shared" si="3"/>
        <v>0</v>
      </c>
    </row>
    <row r="1986">
      <c r="A1986" s="107">
        <f>IFERROR(__xludf.DUMMYFUNCTION("""COMPUTED_VALUE"""),45809.0)</f>
        <v>45809</v>
      </c>
      <c r="B1986" t="str">
        <f>IFERROR(__xludf.DUMMYFUNCTION("""COMPUTED_VALUE"""),"[景安2分鐘] [王逸荃] 大租金")</f>
        <v>[景安2分鐘] [王逸荃] 大租金</v>
      </c>
      <c r="C1986" t="str">
        <f>IFERROR(__xludf.DUMMYFUNCTION("""COMPUTED_VALUE"""),"成本 - 大租金")</f>
        <v>成本 - 大租金</v>
      </c>
      <c r="D1986" s="270">
        <f>IFERROR(__xludf.DUMMYFUNCTION("""COMPUTED_VALUE"""),-12500.0)</f>
        <v>-12500</v>
      </c>
      <c r="E1986" t="str">
        <f>IFERROR(__xludf.DUMMYFUNCTION("""COMPUTED_VALUE"""),"台銀籌備帳戶")</f>
        <v>台銀籌備帳戶</v>
      </c>
      <c r="G1986" t="str">
        <f>IFERROR(__xludf.DUMMYFUNCTION("""COMPUTED_VALUE"""),"景安2分鐘")</f>
        <v>景安2分鐘</v>
      </c>
      <c r="H1986" s="106" t="str">
        <f t="shared" si="1"/>
        <v>2025-06</v>
      </c>
      <c r="I1986" s="271" t="str">
        <f>IFERROR(__xludf.DUMMYFUNCTION("""COMPUTED_VALUE"""),"貓狗企鵝")</f>
        <v>貓狗企鵝</v>
      </c>
      <c r="J1986" t="str">
        <f>IFERROR(__xludf.DUMMYFUNCTION("IFS(
  AND(REGEXMATCH(E1986, ""台銀籌備帳戶|玉山帳戶""), REGEXMATCH(C1986, ""薪資"")), ""分潤支出"",
  AND(REGEXMATCH(E1986, ""Ben帳戶|Elsa帳戶|Ben代墊|Ariel代墊|中信銀行共用""), REGEXMATCH(F1986, ""Ben帳戶|Elsa帳戶|Ben代墊|Ariel代墊|中信銀行共用"")), ""內部轉帳(忽略)"",
  AND(E1986&lt;&gt;"""", F1986&lt;&gt;"""", N"&amp;"OT(REGEXMATCH(C1986, ""薪資""))), ""內部轉帳(忽略)"",
  REGEXMATCH(C1986, ""薪資""), ""薪資變動(不計入)"",
  REGEXMATCH(C1986, ""押金""), ""押金往來"",
  AND(E1986&lt;&gt;"""", F1986=""""), ""真實支出"",
  AND(E1986="""", F1986&lt;&gt;""""), ""真實收入"",
  TRUE, ""其他""
)"),"真實支出")</f>
        <v>真實支出</v>
      </c>
      <c r="K1986" s="270">
        <f t="shared" si="2"/>
        <v>-12500</v>
      </c>
      <c r="L1986">
        <f t="shared" si="3"/>
        <v>0</v>
      </c>
    </row>
    <row r="1987">
      <c r="A1987" s="107">
        <f>IFERROR(__xludf.DUMMYFUNCTION("""COMPUTED_VALUE"""),45809.0)</f>
        <v>45809</v>
      </c>
      <c r="B1987" t="str">
        <f>IFERROR(__xludf.DUMMYFUNCTION("""COMPUTED_VALUE"""),"費用 - 匯費 對方行:822 後五碼:06708 (行號: 59)")</f>
        <v>費用 - 匯費 對方行:822 後五碼:06708 (行號: 59)</v>
      </c>
      <c r="C1987" t="str">
        <f>IFERROR(__xludf.DUMMYFUNCTION("""COMPUTED_VALUE"""),"費用 - 匯費")</f>
        <v>費用 - 匯費</v>
      </c>
      <c r="D1987" s="270">
        <f>IFERROR(__xludf.DUMMYFUNCTION("""COMPUTED_VALUE"""),-15.0)</f>
        <v>-15</v>
      </c>
      <c r="E1987" t="str">
        <f>IFERROR(__xludf.DUMMYFUNCTION("""COMPUTED_VALUE"""),"台銀籌備帳戶")</f>
        <v>台銀籌備帳戶</v>
      </c>
      <c r="H1987" s="106" t="str">
        <f t="shared" si="1"/>
        <v>2025-06</v>
      </c>
      <c r="I1987" s="271" t="str">
        <f>IFERROR(__xludf.DUMMYFUNCTION("""COMPUTED_VALUE"""),"貓狗企鵝")</f>
        <v>貓狗企鵝</v>
      </c>
      <c r="J1987" t="str">
        <f>IFERROR(__xludf.DUMMYFUNCTION("IFS(
  AND(REGEXMATCH(E1987, ""台銀籌備帳戶|玉山帳戶""), REGEXMATCH(C1987, ""薪資"")), ""分潤支出"",
  AND(REGEXMATCH(E1987, ""Ben帳戶|Elsa帳戶|Ben代墊|Ariel代墊|中信銀行共用""), REGEXMATCH(F1987, ""Ben帳戶|Elsa帳戶|Ben代墊|Ariel代墊|中信銀行共用"")), ""內部轉帳(忽略)"",
  AND(E1987&lt;&gt;"""", F1987&lt;&gt;"""", N"&amp;"OT(REGEXMATCH(C1987, ""薪資""))), ""內部轉帳(忽略)"",
  REGEXMATCH(C1987, ""薪資""), ""薪資變動(不計入)"",
  REGEXMATCH(C1987, ""押金""), ""押金往來"",
  AND(E1987&lt;&gt;"""", F1987=""""), ""真實支出"",
  AND(E1987="""", F1987&lt;&gt;""""), ""真實收入"",
  TRUE, ""其他""
)"),"真實支出")</f>
        <v>真實支出</v>
      </c>
      <c r="K1987" s="270">
        <f t="shared" si="2"/>
        <v>-15</v>
      </c>
      <c r="L1987">
        <f t="shared" si="3"/>
        <v>0</v>
      </c>
    </row>
    <row r="1988">
      <c r="A1988" s="107">
        <f>IFERROR(__xludf.DUMMYFUNCTION("""COMPUTED_VALUE"""),45809.0)</f>
        <v>45809</v>
      </c>
      <c r="B1988" t="str">
        <f>IFERROR(__xludf.DUMMYFUNCTION("""COMPUTED_VALUE"""),"[金龍帽子先生] [郭娟伶] 大租金")</f>
        <v>[金龍帽子先生] [郭娟伶] 大租金</v>
      </c>
      <c r="C1988" t="str">
        <f>IFERROR(__xludf.DUMMYFUNCTION("""COMPUTED_VALUE"""),"成本 - 大租金")</f>
        <v>成本 - 大租金</v>
      </c>
      <c r="D1988" s="270">
        <f>IFERROR(__xludf.DUMMYFUNCTION("""COMPUTED_VALUE"""),-17750.0)</f>
        <v>-17750</v>
      </c>
      <c r="E1988" t="str">
        <f>IFERROR(__xludf.DUMMYFUNCTION("""COMPUTED_VALUE"""),"台銀籌備帳戶")</f>
        <v>台銀籌備帳戶</v>
      </c>
      <c r="G1988" t="str">
        <f>IFERROR(__xludf.DUMMYFUNCTION("""COMPUTED_VALUE"""),"金龍帽子先生")</f>
        <v>金龍帽子先生</v>
      </c>
      <c r="H1988" s="106" t="str">
        <f t="shared" si="1"/>
        <v>2025-06</v>
      </c>
      <c r="I1988" s="271" t="str">
        <f>IFERROR(__xludf.DUMMYFUNCTION("""COMPUTED_VALUE"""),"貓狗企鵝")</f>
        <v>貓狗企鵝</v>
      </c>
      <c r="J1988" t="str">
        <f>IFERROR(__xludf.DUMMYFUNCTION("IFS(
  AND(REGEXMATCH(E1988, ""台銀籌備帳戶|玉山帳戶""), REGEXMATCH(C1988, ""薪資"")), ""分潤支出"",
  AND(REGEXMATCH(E1988, ""Ben帳戶|Elsa帳戶|Ben代墊|Ariel代墊|中信銀行共用""), REGEXMATCH(F1988, ""Ben帳戶|Elsa帳戶|Ben代墊|Ariel代墊|中信銀行共用"")), ""內部轉帳(忽略)"",
  AND(E1988&lt;&gt;"""", F1988&lt;&gt;"""", N"&amp;"OT(REGEXMATCH(C1988, ""薪資""))), ""內部轉帳(忽略)"",
  REGEXMATCH(C1988, ""薪資""), ""薪資變動(不計入)"",
  REGEXMATCH(C1988, ""押金""), ""押金往來"",
  AND(E1988&lt;&gt;"""", F1988=""""), ""真實支出"",
  AND(E1988="""", F1988&lt;&gt;""""), ""真實收入"",
  TRUE, ""其他""
)"),"真實支出")</f>
        <v>真實支出</v>
      </c>
      <c r="K1988" s="270">
        <f t="shared" si="2"/>
        <v>-17750</v>
      </c>
      <c r="L1988">
        <f t="shared" si="3"/>
        <v>0</v>
      </c>
    </row>
    <row r="1989">
      <c r="A1989" s="107">
        <f>IFERROR(__xludf.DUMMYFUNCTION("""COMPUTED_VALUE"""),45809.0)</f>
        <v>45809</v>
      </c>
      <c r="B1989" t="str">
        <f>IFERROR(__xludf.DUMMYFUNCTION("""COMPUTED_VALUE"""),"費用 - 匯費 對方行:053 後五碼:05202 (行號: 60)")</f>
        <v>費用 - 匯費 對方行:053 後五碼:05202 (行號: 60)</v>
      </c>
      <c r="C1989" t="str">
        <f>IFERROR(__xludf.DUMMYFUNCTION("""COMPUTED_VALUE"""),"費用 - 匯費")</f>
        <v>費用 - 匯費</v>
      </c>
      <c r="D1989" s="270">
        <f>IFERROR(__xludf.DUMMYFUNCTION("""COMPUTED_VALUE"""),-15.0)</f>
        <v>-15</v>
      </c>
      <c r="E1989" t="str">
        <f>IFERROR(__xludf.DUMMYFUNCTION("""COMPUTED_VALUE"""),"台銀籌備帳戶")</f>
        <v>台銀籌備帳戶</v>
      </c>
      <c r="H1989" s="106" t="str">
        <f t="shared" si="1"/>
        <v>2025-06</v>
      </c>
      <c r="I1989" s="271" t="str">
        <f>IFERROR(__xludf.DUMMYFUNCTION("""COMPUTED_VALUE"""),"貓狗企鵝")</f>
        <v>貓狗企鵝</v>
      </c>
      <c r="J1989" t="str">
        <f>IFERROR(__xludf.DUMMYFUNCTION("IFS(
  AND(REGEXMATCH(E1989, ""台銀籌備帳戶|玉山帳戶""), REGEXMATCH(C1989, ""薪資"")), ""分潤支出"",
  AND(REGEXMATCH(E1989, ""Ben帳戶|Elsa帳戶|Ben代墊|Ariel代墊|中信銀行共用""), REGEXMATCH(F1989, ""Ben帳戶|Elsa帳戶|Ben代墊|Ariel代墊|中信銀行共用"")), ""內部轉帳(忽略)"",
  AND(E1989&lt;&gt;"""", F1989&lt;&gt;"""", N"&amp;"OT(REGEXMATCH(C1989, ""薪資""))), ""內部轉帳(忽略)"",
  REGEXMATCH(C1989, ""薪資""), ""薪資變動(不計入)"",
  REGEXMATCH(C1989, ""押金""), ""押金往來"",
  AND(E1989&lt;&gt;"""", F1989=""""), ""真實支出"",
  AND(E1989="""", F1989&lt;&gt;""""), ""真實收入"",
  TRUE, ""其他""
)"),"真實支出")</f>
        <v>真實支出</v>
      </c>
      <c r="K1989" s="270">
        <f t="shared" si="2"/>
        <v>-15</v>
      </c>
      <c r="L1989">
        <f t="shared" si="3"/>
        <v>0</v>
      </c>
    </row>
    <row r="1990">
      <c r="A1990" s="107">
        <f>IFERROR(__xludf.DUMMYFUNCTION("""COMPUTED_VALUE"""),45809.0)</f>
        <v>45809</v>
      </c>
      <c r="B1990" t="str">
        <f>IFERROR(__xludf.DUMMYFUNCTION("""COMPUTED_VALUE"""),"[大湖山莊] [陳彩霞] 大租金")</f>
        <v>[大湖山莊] [陳彩霞] 大租金</v>
      </c>
      <c r="C1990" t="str">
        <f>IFERROR(__xludf.DUMMYFUNCTION("""COMPUTED_VALUE"""),"成本 - 大租金")</f>
        <v>成本 - 大租金</v>
      </c>
      <c r="D1990" s="270">
        <f>IFERROR(__xludf.DUMMYFUNCTION("""COMPUTED_VALUE"""),-19400.0)</f>
        <v>-19400</v>
      </c>
      <c r="E1990" t="str">
        <f>IFERROR(__xludf.DUMMYFUNCTION("""COMPUTED_VALUE"""),"台銀籌備帳戶")</f>
        <v>台銀籌備帳戶</v>
      </c>
      <c r="G1990" t="str">
        <f>IFERROR(__xludf.DUMMYFUNCTION("""COMPUTED_VALUE"""),"大湖山莊")</f>
        <v>大湖山莊</v>
      </c>
      <c r="H1990" s="106" t="str">
        <f t="shared" si="1"/>
        <v>2025-06</v>
      </c>
      <c r="I1990" s="271" t="str">
        <f>IFERROR(__xludf.DUMMYFUNCTION("""COMPUTED_VALUE"""),"貓狗企鵝")</f>
        <v>貓狗企鵝</v>
      </c>
      <c r="J1990" t="str">
        <f>IFERROR(__xludf.DUMMYFUNCTION("IFS(
  AND(REGEXMATCH(E1990, ""台銀籌備帳戶|玉山帳戶""), REGEXMATCH(C1990, ""薪資"")), ""分潤支出"",
  AND(REGEXMATCH(E1990, ""Ben帳戶|Elsa帳戶|Ben代墊|Ariel代墊|中信銀行共用""), REGEXMATCH(F1990, ""Ben帳戶|Elsa帳戶|Ben代墊|Ariel代墊|中信銀行共用"")), ""內部轉帳(忽略)"",
  AND(E1990&lt;&gt;"""", F1990&lt;&gt;"""", N"&amp;"OT(REGEXMATCH(C1990, ""薪資""))), ""內部轉帳(忽略)"",
  REGEXMATCH(C1990, ""薪資""), ""薪資變動(不計入)"",
  REGEXMATCH(C1990, ""押金""), ""押金往來"",
  AND(E1990&lt;&gt;"""", F1990=""""), ""真實支出"",
  AND(E1990="""", F1990&lt;&gt;""""), ""真實收入"",
  TRUE, ""其他""
)"),"真實支出")</f>
        <v>真實支出</v>
      </c>
      <c r="K1990" s="270">
        <f t="shared" si="2"/>
        <v>-19400</v>
      </c>
      <c r="L1990">
        <f t="shared" si="3"/>
        <v>0</v>
      </c>
    </row>
    <row r="1991">
      <c r="A1991" s="107">
        <f>IFERROR(__xludf.DUMMYFUNCTION("""COMPUTED_VALUE"""),45809.0)</f>
        <v>45809</v>
      </c>
      <c r="B1991" t="str">
        <f>IFERROR(__xludf.DUMMYFUNCTION("""COMPUTED_VALUE"""),"費用 - 匯費 對方行:807 後五碼:06659 (行號: 61)")</f>
        <v>費用 - 匯費 對方行:807 後五碼:06659 (行號: 61)</v>
      </c>
      <c r="C1991" t="str">
        <f>IFERROR(__xludf.DUMMYFUNCTION("""COMPUTED_VALUE"""),"費用 - 匯費")</f>
        <v>費用 - 匯費</v>
      </c>
      <c r="D1991" s="270">
        <f>IFERROR(__xludf.DUMMYFUNCTION("""COMPUTED_VALUE"""),-15.0)</f>
        <v>-15</v>
      </c>
      <c r="E1991" t="str">
        <f>IFERROR(__xludf.DUMMYFUNCTION("""COMPUTED_VALUE"""),"台銀籌備帳戶")</f>
        <v>台銀籌備帳戶</v>
      </c>
      <c r="H1991" s="106" t="str">
        <f t="shared" si="1"/>
        <v>2025-06</v>
      </c>
      <c r="I1991" s="271" t="str">
        <f>IFERROR(__xludf.DUMMYFUNCTION("""COMPUTED_VALUE"""),"貓狗企鵝")</f>
        <v>貓狗企鵝</v>
      </c>
      <c r="J1991" t="str">
        <f>IFERROR(__xludf.DUMMYFUNCTION("IFS(
  AND(REGEXMATCH(E1991, ""台銀籌備帳戶|玉山帳戶""), REGEXMATCH(C1991, ""薪資"")), ""分潤支出"",
  AND(REGEXMATCH(E1991, ""Ben帳戶|Elsa帳戶|Ben代墊|Ariel代墊|中信銀行共用""), REGEXMATCH(F1991, ""Ben帳戶|Elsa帳戶|Ben代墊|Ariel代墊|中信銀行共用"")), ""內部轉帳(忽略)"",
  AND(E1991&lt;&gt;"""", F1991&lt;&gt;"""", N"&amp;"OT(REGEXMATCH(C1991, ""薪資""))), ""內部轉帳(忽略)"",
  REGEXMATCH(C1991, ""薪資""), ""薪資變動(不計入)"",
  REGEXMATCH(C1991, ""押金""), ""押金往來"",
  AND(E1991&lt;&gt;"""", F1991=""""), ""真實支出"",
  AND(E1991="""", F1991&lt;&gt;""""), ""真實收入"",
  TRUE, ""其他""
)"),"真實支出")</f>
        <v>真實支出</v>
      </c>
      <c r="K1991" s="270">
        <f t="shared" si="2"/>
        <v>-15</v>
      </c>
      <c r="L1991">
        <f t="shared" si="3"/>
        <v>0</v>
      </c>
    </row>
    <row r="1992">
      <c r="A1992" s="107">
        <f>IFERROR(__xludf.DUMMYFUNCTION("""COMPUTED_VALUE"""),45809.0)</f>
        <v>45809</v>
      </c>
      <c r="B1992" t="str">
        <f>IFERROR(__xludf.DUMMYFUNCTION("""COMPUTED_VALUE"""),"[哈拉對面] [陳哲聰] 大租金")</f>
        <v>[哈拉對面] [陳哲聰] 大租金</v>
      </c>
      <c r="C1992" t="str">
        <f>IFERROR(__xludf.DUMMYFUNCTION("""COMPUTED_VALUE"""),"成本 - 大租金")</f>
        <v>成本 - 大租金</v>
      </c>
      <c r="D1992" s="270">
        <f>IFERROR(__xludf.DUMMYFUNCTION("""COMPUTED_VALUE"""),-13000.0)</f>
        <v>-13000</v>
      </c>
      <c r="E1992" t="str">
        <f>IFERROR(__xludf.DUMMYFUNCTION("""COMPUTED_VALUE"""),"台銀籌備帳戶")</f>
        <v>台銀籌備帳戶</v>
      </c>
      <c r="G1992" t="str">
        <f>IFERROR(__xludf.DUMMYFUNCTION("""COMPUTED_VALUE"""),"哈拉對面")</f>
        <v>哈拉對面</v>
      </c>
      <c r="H1992" s="106" t="str">
        <f t="shared" si="1"/>
        <v>2025-06</v>
      </c>
      <c r="I1992" s="271" t="str">
        <f>IFERROR(__xludf.DUMMYFUNCTION("""COMPUTED_VALUE"""),"貓狗企鵝")</f>
        <v>貓狗企鵝</v>
      </c>
      <c r="J1992" t="str">
        <f>IFERROR(__xludf.DUMMYFUNCTION("IFS(
  AND(REGEXMATCH(E1992, ""台銀籌備帳戶|玉山帳戶""), REGEXMATCH(C1992, ""薪資"")), ""分潤支出"",
  AND(REGEXMATCH(E1992, ""Ben帳戶|Elsa帳戶|Ben代墊|Ariel代墊|中信銀行共用""), REGEXMATCH(F1992, ""Ben帳戶|Elsa帳戶|Ben代墊|Ariel代墊|中信銀行共用"")), ""內部轉帳(忽略)"",
  AND(E1992&lt;&gt;"""", F1992&lt;&gt;"""", N"&amp;"OT(REGEXMATCH(C1992, ""薪資""))), ""內部轉帳(忽略)"",
  REGEXMATCH(C1992, ""薪資""), ""薪資變動(不計入)"",
  REGEXMATCH(C1992, ""押金""), ""押金往來"",
  AND(E1992&lt;&gt;"""", F1992=""""), ""真實支出"",
  AND(E1992="""", F1992&lt;&gt;""""), ""真實收入"",
  TRUE, ""其他""
)"),"真實支出")</f>
        <v>真實支出</v>
      </c>
      <c r="K1992" s="270">
        <f t="shared" si="2"/>
        <v>-13000</v>
      </c>
      <c r="L1992">
        <f t="shared" si="3"/>
        <v>0</v>
      </c>
    </row>
    <row r="1993">
      <c r="A1993" s="107">
        <f>IFERROR(__xludf.DUMMYFUNCTION("""COMPUTED_VALUE"""),45809.0)</f>
        <v>45809</v>
      </c>
      <c r="B1993" t="str">
        <f>IFERROR(__xludf.DUMMYFUNCTION("""COMPUTED_VALUE"""),"費用 - 匯費 對方行:700 後五碼:92128 (行號: 62)")</f>
        <v>費用 - 匯費 對方行:700 後五碼:92128 (行號: 62)</v>
      </c>
      <c r="C1993" t="str">
        <f>IFERROR(__xludf.DUMMYFUNCTION("""COMPUTED_VALUE"""),"費用 - 匯費")</f>
        <v>費用 - 匯費</v>
      </c>
      <c r="D1993" s="270">
        <f>IFERROR(__xludf.DUMMYFUNCTION("""COMPUTED_VALUE"""),-15.0)</f>
        <v>-15</v>
      </c>
      <c r="E1993" t="str">
        <f>IFERROR(__xludf.DUMMYFUNCTION("""COMPUTED_VALUE"""),"台銀籌備帳戶")</f>
        <v>台銀籌備帳戶</v>
      </c>
      <c r="H1993" s="106" t="str">
        <f t="shared" si="1"/>
        <v>2025-06</v>
      </c>
      <c r="I1993" s="271" t="str">
        <f>IFERROR(__xludf.DUMMYFUNCTION("""COMPUTED_VALUE"""),"貓狗企鵝")</f>
        <v>貓狗企鵝</v>
      </c>
      <c r="J1993" t="str">
        <f>IFERROR(__xludf.DUMMYFUNCTION("IFS(
  AND(REGEXMATCH(E1993, ""台銀籌備帳戶|玉山帳戶""), REGEXMATCH(C1993, ""薪資"")), ""分潤支出"",
  AND(REGEXMATCH(E1993, ""Ben帳戶|Elsa帳戶|Ben代墊|Ariel代墊|中信銀行共用""), REGEXMATCH(F1993, ""Ben帳戶|Elsa帳戶|Ben代墊|Ariel代墊|中信銀行共用"")), ""內部轉帳(忽略)"",
  AND(E1993&lt;&gt;"""", F1993&lt;&gt;"""", N"&amp;"OT(REGEXMATCH(C1993, ""薪資""))), ""內部轉帳(忽略)"",
  REGEXMATCH(C1993, ""薪資""), ""薪資變動(不計入)"",
  REGEXMATCH(C1993, ""押金""), ""押金往來"",
  AND(E1993&lt;&gt;"""", F1993=""""), ""真實支出"",
  AND(E1993="""", F1993&lt;&gt;""""), ""真實收入"",
  TRUE, ""其他""
)"),"真實支出")</f>
        <v>真實支出</v>
      </c>
      <c r="K1993" s="270">
        <f t="shared" si="2"/>
        <v>-15</v>
      </c>
      <c r="L1993">
        <f t="shared" si="3"/>
        <v>0</v>
      </c>
    </row>
    <row r="1994">
      <c r="A1994" s="107">
        <f>IFERROR(__xludf.DUMMYFUNCTION("""COMPUTED_VALUE"""),45809.0)</f>
        <v>45809</v>
      </c>
      <c r="B1994" t="str">
        <f>IFERROR(__xludf.DUMMYFUNCTION("""COMPUTED_VALUE"""),"[北醫醫師府] [陳俊良] 大租金")</f>
        <v>[北醫醫師府] [陳俊良] 大租金</v>
      </c>
      <c r="C1994" t="str">
        <f>IFERROR(__xludf.DUMMYFUNCTION("""COMPUTED_VALUE"""),"成本 - 大租金")</f>
        <v>成本 - 大租金</v>
      </c>
      <c r="D1994" s="270">
        <f>IFERROR(__xludf.DUMMYFUNCTION("""COMPUTED_VALUE"""),-12800.0)</f>
        <v>-12800</v>
      </c>
      <c r="E1994" t="str">
        <f>IFERROR(__xludf.DUMMYFUNCTION("""COMPUTED_VALUE"""),"台銀籌備帳戶")</f>
        <v>台銀籌備帳戶</v>
      </c>
      <c r="G1994" t="str">
        <f>IFERROR(__xludf.DUMMYFUNCTION("""COMPUTED_VALUE"""),"北醫醫師府")</f>
        <v>北醫醫師府</v>
      </c>
      <c r="H1994" s="106" t="str">
        <f t="shared" si="1"/>
        <v>2025-06</v>
      </c>
      <c r="I1994" s="271" t="str">
        <f>IFERROR(__xludf.DUMMYFUNCTION("""COMPUTED_VALUE"""),"貓狗企鵝")</f>
        <v>貓狗企鵝</v>
      </c>
      <c r="J1994" t="str">
        <f>IFERROR(__xludf.DUMMYFUNCTION("IFS(
  AND(REGEXMATCH(E1994, ""台銀籌備帳戶|玉山帳戶""), REGEXMATCH(C1994, ""薪資"")), ""分潤支出"",
  AND(REGEXMATCH(E1994, ""Ben帳戶|Elsa帳戶|Ben代墊|Ariel代墊|中信銀行共用""), REGEXMATCH(F1994, ""Ben帳戶|Elsa帳戶|Ben代墊|Ariel代墊|中信銀行共用"")), ""內部轉帳(忽略)"",
  AND(E1994&lt;&gt;"""", F1994&lt;&gt;"""", N"&amp;"OT(REGEXMATCH(C1994, ""薪資""))), ""內部轉帳(忽略)"",
  REGEXMATCH(C1994, ""薪資""), ""薪資變動(不計入)"",
  REGEXMATCH(C1994, ""押金""), ""押金往來"",
  AND(E1994&lt;&gt;"""", F1994=""""), ""真實支出"",
  AND(E1994="""", F1994&lt;&gt;""""), ""真實收入"",
  TRUE, ""其他""
)"),"真實支出")</f>
        <v>真實支出</v>
      </c>
      <c r="K1994" s="270">
        <f t="shared" si="2"/>
        <v>-12800</v>
      </c>
      <c r="L1994">
        <f t="shared" si="3"/>
        <v>0</v>
      </c>
    </row>
    <row r="1995">
      <c r="A1995" s="107">
        <f>IFERROR(__xludf.DUMMYFUNCTION("""COMPUTED_VALUE"""),45809.0)</f>
        <v>45809</v>
      </c>
      <c r="B1995" t="str">
        <f>IFERROR(__xludf.DUMMYFUNCTION("""COMPUTED_VALUE"""),"費用 - 匯費 對方行:013 後五碼:43662 (行號: 63)")</f>
        <v>費用 - 匯費 對方行:013 後五碼:43662 (行號: 63)</v>
      </c>
      <c r="C1995" t="str">
        <f>IFERROR(__xludf.DUMMYFUNCTION("""COMPUTED_VALUE"""),"費用 - 匯費")</f>
        <v>費用 - 匯費</v>
      </c>
      <c r="D1995" s="270">
        <f>IFERROR(__xludf.DUMMYFUNCTION("""COMPUTED_VALUE"""),-15.0)</f>
        <v>-15</v>
      </c>
      <c r="E1995" t="str">
        <f>IFERROR(__xludf.DUMMYFUNCTION("""COMPUTED_VALUE"""),"台銀籌備帳戶")</f>
        <v>台銀籌備帳戶</v>
      </c>
      <c r="H1995" s="106" t="str">
        <f t="shared" si="1"/>
        <v>2025-06</v>
      </c>
      <c r="I1995" s="271" t="str">
        <f>IFERROR(__xludf.DUMMYFUNCTION("""COMPUTED_VALUE"""),"貓狗企鵝")</f>
        <v>貓狗企鵝</v>
      </c>
      <c r="J1995" t="str">
        <f>IFERROR(__xludf.DUMMYFUNCTION("IFS(
  AND(REGEXMATCH(E1995, ""台銀籌備帳戶|玉山帳戶""), REGEXMATCH(C1995, ""薪資"")), ""分潤支出"",
  AND(REGEXMATCH(E1995, ""Ben帳戶|Elsa帳戶|Ben代墊|Ariel代墊|中信銀行共用""), REGEXMATCH(F1995, ""Ben帳戶|Elsa帳戶|Ben代墊|Ariel代墊|中信銀行共用"")), ""內部轉帳(忽略)"",
  AND(E1995&lt;&gt;"""", F1995&lt;&gt;"""", N"&amp;"OT(REGEXMATCH(C1995, ""薪資""))), ""內部轉帳(忽略)"",
  REGEXMATCH(C1995, ""薪資""), ""薪資變動(不計入)"",
  REGEXMATCH(C1995, ""押金""), ""押金往來"",
  AND(E1995&lt;&gt;"""", F1995=""""), ""真實支出"",
  AND(E1995="""", F1995&lt;&gt;""""), ""真實收入"",
  TRUE, ""其他""
)"),"真實支出")</f>
        <v>真實支出</v>
      </c>
      <c r="K1995" s="270">
        <f t="shared" si="2"/>
        <v>-15</v>
      </c>
      <c r="L1995">
        <f t="shared" si="3"/>
        <v>0</v>
      </c>
    </row>
    <row r="1996">
      <c r="A1996" s="107">
        <f>IFERROR(__xludf.DUMMYFUNCTION("""COMPUTED_VALUE"""),45809.0)</f>
        <v>45809</v>
      </c>
      <c r="B1996" t="str">
        <f>IFERROR(__xludf.DUMMYFUNCTION("""COMPUTED_VALUE"""),"[中山北娘家旁] [方彥捷] 大租金")</f>
        <v>[中山北娘家旁] [方彥捷] 大租金</v>
      </c>
      <c r="C1996" t="str">
        <f>IFERROR(__xludf.DUMMYFUNCTION("""COMPUTED_VALUE"""),"成本 - 大租金")</f>
        <v>成本 - 大租金</v>
      </c>
      <c r="D1996" s="270">
        <f>IFERROR(__xludf.DUMMYFUNCTION("""COMPUTED_VALUE"""),-11500.0)</f>
        <v>-11500</v>
      </c>
      <c r="E1996" t="str">
        <f>IFERROR(__xludf.DUMMYFUNCTION("""COMPUTED_VALUE"""),"台銀籌備帳戶")</f>
        <v>台銀籌備帳戶</v>
      </c>
      <c r="G1996" t="str">
        <f>IFERROR(__xludf.DUMMYFUNCTION("""COMPUTED_VALUE"""),"中山北娘家旁")</f>
        <v>中山北娘家旁</v>
      </c>
      <c r="H1996" s="106" t="str">
        <f t="shared" si="1"/>
        <v>2025-06</v>
      </c>
      <c r="I1996" s="271" t="str">
        <f>IFERROR(__xludf.DUMMYFUNCTION("""COMPUTED_VALUE"""),"貓狗企鵝")</f>
        <v>貓狗企鵝</v>
      </c>
      <c r="J1996" t="str">
        <f>IFERROR(__xludf.DUMMYFUNCTION("IFS(
  AND(REGEXMATCH(E1996, ""台銀籌備帳戶|玉山帳戶""), REGEXMATCH(C1996, ""薪資"")), ""分潤支出"",
  AND(REGEXMATCH(E1996, ""Ben帳戶|Elsa帳戶|Ben代墊|Ariel代墊|中信銀行共用""), REGEXMATCH(F1996, ""Ben帳戶|Elsa帳戶|Ben代墊|Ariel代墊|中信銀行共用"")), ""內部轉帳(忽略)"",
  AND(E1996&lt;&gt;"""", F1996&lt;&gt;"""", N"&amp;"OT(REGEXMATCH(C1996, ""薪資""))), ""內部轉帳(忽略)"",
  REGEXMATCH(C1996, ""薪資""), ""薪資變動(不計入)"",
  REGEXMATCH(C1996, ""押金""), ""押金往來"",
  AND(E1996&lt;&gt;"""", F1996=""""), ""真實支出"",
  AND(E1996="""", F1996&lt;&gt;""""), ""真實收入"",
  TRUE, ""其他""
)"),"真實支出")</f>
        <v>真實支出</v>
      </c>
      <c r="K1996" s="270">
        <f t="shared" si="2"/>
        <v>-11500</v>
      </c>
      <c r="L1996">
        <f t="shared" si="3"/>
        <v>0</v>
      </c>
    </row>
    <row r="1997">
      <c r="A1997" s="107">
        <f>IFERROR(__xludf.DUMMYFUNCTION("""COMPUTED_VALUE"""),45810.0)</f>
        <v>45810</v>
      </c>
      <c r="B1997" t="str">
        <f>IFERROR(__xludf.DUMMYFUNCTION("""COMPUTED_VALUE"""),"費用 - 匯費 對方行:012 後五碼:22931 (行號: 95)")</f>
        <v>費用 - 匯費 對方行:012 後五碼:22931 (行號: 95)</v>
      </c>
      <c r="C1997" t="str">
        <f>IFERROR(__xludf.DUMMYFUNCTION("""COMPUTED_VALUE"""),"費用 - 匯費")</f>
        <v>費用 - 匯費</v>
      </c>
      <c r="D1997" s="270">
        <f>IFERROR(__xludf.DUMMYFUNCTION("""COMPUTED_VALUE"""),-15.0)</f>
        <v>-15</v>
      </c>
      <c r="E1997" t="str">
        <f>IFERROR(__xludf.DUMMYFUNCTION("""COMPUTED_VALUE"""),"台銀籌備帳戶")</f>
        <v>台銀籌備帳戶</v>
      </c>
      <c r="H1997" s="106" t="str">
        <f t="shared" si="1"/>
        <v>2025-06</v>
      </c>
      <c r="I1997" s="271" t="str">
        <f>IFERROR(__xludf.DUMMYFUNCTION("""COMPUTED_VALUE"""),"貓狗企鵝")</f>
        <v>貓狗企鵝</v>
      </c>
      <c r="J1997" t="str">
        <f>IFERROR(__xludf.DUMMYFUNCTION("IFS(
  AND(REGEXMATCH(E1997, ""台銀籌備帳戶|玉山帳戶""), REGEXMATCH(C1997, ""薪資"")), ""分潤支出"",
  AND(REGEXMATCH(E1997, ""Ben帳戶|Elsa帳戶|Ben代墊|Ariel代墊|中信銀行共用""), REGEXMATCH(F1997, ""Ben帳戶|Elsa帳戶|Ben代墊|Ariel代墊|中信銀行共用"")), ""內部轉帳(忽略)"",
  AND(E1997&lt;&gt;"""", F1997&lt;&gt;"""", N"&amp;"OT(REGEXMATCH(C1997, ""薪資""))), ""內部轉帳(忽略)"",
  REGEXMATCH(C1997, ""薪資""), ""薪資變動(不計入)"",
  REGEXMATCH(C1997, ""押金""), ""押金往來"",
  AND(E1997&lt;&gt;"""", F1997=""""), ""真實支出"",
  AND(E1997="""", F1997&lt;&gt;""""), ""真實收入"",
  TRUE, ""其他""
)"),"真實支出")</f>
        <v>真實支出</v>
      </c>
      <c r="K1997" s="270">
        <f t="shared" si="2"/>
        <v>-15</v>
      </c>
      <c r="L1997">
        <f t="shared" si="3"/>
        <v>0</v>
      </c>
    </row>
    <row r="1998">
      <c r="A1998" s="107">
        <f>IFERROR(__xludf.DUMMYFUNCTION("""COMPUTED_VALUE"""),45810.0)</f>
        <v>45810</v>
      </c>
      <c r="B1998" t="str">
        <f>IFERROR(__xludf.DUMMYFUNCTION("""COMPUTED_VALUE"""),"Assari床 龍江C ' 【未分類支出】")</f>
        <v>Assari床 龍江C ' 【未分類支出】</v>
      </c>
      <c r="C1998" t="str">
        <f>IFERROR(__xludf.DUMMYFUNCTION("""COMPUTED_VALUE"""),"成本 - 租後修繕")</f>
        <v>成本 - 租後修繕</v>
      </c>
      <c r="D1998" s="270">
        <f>IFERROR(__xludf.DUMMYFUNCTION("""COMPUTED_VALUE"""),-3100.0)</f>
        <v>-3100</v>
      </c>
      <c r="E1998" t="str">
        <f>IFERROR(__xludf.DUMMYFUNCTION("""COMPUTED_VALUE"""),"台銀籌備帳戶")</f>
        <v>台銀籌備帳戶</v>
      </c>
      <c r="G1998" t="str">
        <f>IFERROR(__xludf.DUMMYFUNCTION("""COMPUTED_VALUE"""),"龍江229")</f>
        <v>龍江229</v>
      </c>
      <c r="H1998" s="106" t="str">
        <f t="shared" si="1"/>
        <v>2025-06</v>
      </c>
      <c r="I1998" s="271" t="str">
        <f>IFERROR(__xludf.DUMMYFUNCTION("""COMPUTED_VALUE"""),"貓狗企鵝")</f>
        <v>貓狗企鵝</v>
      </c>
      <c r="J1998" t="str">
        <f>IFERROR(__xludf.DUMMYFUNCTION("IFS(
  AND(REGEXMATCH(E1998, ""台銀籌備帳戶|玉山帳戶""), REGEXMATCH(C1998, ""薪資"")), ""分潤支出"",
  AND(REGEXMATCH(E1998, ""Ben帳戶|Elsa帳戶|Ben代墊|Ariel代墊|中信銀行共用""), REGEXMATCH(F1998, ""Ben帳戶|Elsa帳戶|Ben代墊|Ariel代墊|中信銀行共用"")), ""內部轉帳(忽略)"",
  AND(E1998&lt;&gt;"""", F1998&lt;&gt;"""", N"&amp;"OT(REGEXMATCH(C1998, ""薪資""))), ""內部轉帳(忽略)"",
  REGEXMATCH(C1998, ""薪資""), ""薪資變動(不計入)"",
  REGEXMATCH(C1998, ""押金""), ""押金往來"",
  AND(E1998&lt;&gt;"""", F1998=""""), ""真實支出"",
  AND(E1998="""", F1998&lt;&gt;""""), ""真實收入"",
  TRUE, ""其他""
)"),"真實支出")</f>
        <v>真實支出</v>
      </c>
      <c r="K1998" s="270">
        <f t="shared" si="2"/>
        <v>-3100</v>
      </c>
      <c r="L1998">
        <f t="shared" si="3"/>
        <v>0</v>
      </c>
    </row>
    <row r="1999">
      <c r="A1999" s="107">
        <f>IFERROR(__xludf.DUMMYFUNCTION("""COMPUTED_VALUE"""),45785.0)</f>
        <v>45785</v>
      </c>
      <c r="B1999" t="str">
        <f>IFERROR(__xludf.DUMMYFUNCTION("""COMPUTED_VALUE"""),"[哈拉對面] C [徐鉦庭] 月租金 (行號: 3)")</f>
        <v>[哈拉對面] C [徐鉦庭] 月租金 (行號: 3)</v>
      </c>
      <c r="C1999" t="str">
        <f>IFERROR(__xludf.DUMMYFUNCTION("""COMPUTED_VALUE"""),"收入 - 租金")</f>
        <v>收入 - 租金</v>
      </c>
      <c r="D1999" s="270">
        <f>IFERROR(__xludf.DUMMYFUNCTION("""COMPUTED_VALUE"""),11800.0)</f>
        <v>11800</v>
      </c>
      <c r="F1999" t="str">
        <f>IFERROR(__xludf.DUMMYFUNCTION("""COMPUTED_VALUE"""),"台銀籌備帳戶")</f>
        <v>台銀籌備帳戶</v>
      </c>
      <c r="G1999" t="str">
        <f>IFERROR(__xludf.DUMMYFUNCTION("""COMPUTED_VALUE"""),"哈拉對面")</f>
        <v>哈拉對面</v>
      </c>
      <c r="H1999" s="106" t="str">
        <f t="shared" si="1"/>
        <v>2025-05</v>
      </c>
      <c r="I1999" s="271" t="str">
        <f>IFERROR(__xludf.DUMMYFUNCTION("""COMPUTED_VALUE"""),"貓狗企鵝")</f>
        <v>貓狗企鵝</v>
      </c>
      <c r="J1999" t="str">
        <f>IFERROR(__xludf.DUMMYFUNCTION("IFS(
  AND(REGEXMATCH(E1999, ""台銀籌備帳戶|玉山帳戶""), REGEXMATCH(C1999, ""薪資"")), ""分潤支出"",
  AND(REGEXMATCH(E1999, ""Ben帳戶|Elsa帳戶|Ben代墊|Ariel代墊|中信銀行共用""), REGEXMATCH(F1999, ""Ben帳戶|Elsa帳戶|Ben代墊|Ariel代墊|中信銀行共用"")), ""內部轉帳(忽略)"",
  AND(E1999&lt;&gt;"""", F1999&lt;&gt;"""", N"&amp;"OT(REGEXMATCH(C1999, ""薪資""))), ""內部轉帳(忽略)"",
  REGEXMATCH(C1999, ""薪資""), ""薪資變動(不計入)"",
  REGEXMATCH(C1999, ""押金""), ""押金往來"",
  AND(E1999&lt;&gt;"""", F1999=""""), ""真實支出"",
  AND(E1999="""", F1999&lt;&gt;""""), ""真實收入"",
  TRUE, ""其他""
)"),"真實收入")</f>
        <v>真實收入</v>
      </c>
      <c r="K1999" s="270">
        <f t="shared" si="2"/>
        <v>11800</v>
      </c>
      <c r="L1999">
        <f t="shared" si="3"/>
        <v>0</v>
      </c>
    </row>
    <row r="2000">
      <c r="A2000" s="107">
        <f>IFERROR(__xludf.DUMMYFUNCTION("""COMPUTED_VALUE"""),45789.0)</f>
        <v>45789</v>
      </c>
      <c r="B2000" t="str">
        <f>IFERROR(__xludf.DUMMYFUNCTION("""COMPUTED_VALUE"""),"[大湖山莊] B [吳佳樂] 押金 (行號: 6, 24)")</f>
        <v>[大湖山莊] B [吳佳樂] 押金 (行號: 6, 24)</v>
      </c>
      <c r="C2000" t="str">
        <f>IFERROR(__xludf.DUMMYFUNCTION("""COMPUTED_VALUE"""),"收入 - 押金")</f>
        <v>收入 - 押金</v>
      </c>
      <c r="D2000" s="270">
        <f>IFERROR(__xludf.DUMMYFUNCTION("""COMPUTED_VALUE"""),25600.0)</f>
        <v>25600</v>
      </c>
      <c r="F2000" t="str">
        <f>IFERROR(__xludf.DUMMYFUNCTION("""COMPUTED_VALUE"""),"台銀籌備帳戶")</f>
        <v>台銀籌備帳戶</v>
      </c>
      <c r="G2000" t="str">
        <f>IFERROR(__xludf.DUMMYFUNCTION("""COMPUTED_VALUE"""),"大湖山莊")</f>
        <v>大湖山莊</v>
      </c>
      <c r="H2000" s="106" t="str">
        <f t="shared" si="1"/>
        <v>2025-05</v>
      </c>
      <c r="I2000" s="271" t="str">
        <f>IFERROR(__xludf.DUMMYFUNCTION("""COMPUTED_VALUE"""),"貓狗企鵝")</f>
        <v>貓狗企鵝</v>
      </c>
      <c r="J2000" t="str">
        <f>IFERROR(__xludf.DUMMYFUNCTION("IFS(
  AND(REGEXMATCH(E2000, ""台銀籌備帳戶|玉山帳戶""), REGEXMATCH(C2000, ""薪資"")), ""分潤支出"",
  AND(REGEXMATCH(E2000, ""Ben帳戶|Elsa帳戶|Ben代墊|Ariel代墊|中信銀行共用""), REGEXMATCH(F2000, ""Ben帳戶|Elsa帳戶|Ben代墊|Ariel代墊|中信銀行共用"")), ""內部轉帳(忽略)"",
  AND(E2000&lt;&gt;"""", F2000&lt;&gt;"""", N"&amp;"OT(REGEXMATCH(C2000, ""薪資""))), ""內部轉帳(忽略)"",
  REGEXMATCH(C2000, ""薪資""), ""薪資變動(不計入)"",
  REGEXMATCH(C2000, ""押金""), ""押金往來"",
  AND(E2000&lt;&gt;"""", F2000=""""), ""真實支出"",
  AND(E2000="""", F2000&lt;&gt;""""), ""真實收入"",
  TRUE, ""其他""
)"),"押金往來")</f>
        <v>押金往來</v>
      </c>
      <c r="K2000">
        <f t="shared" si="2"/>
        <v>0</v>
      </c>
      <c r="L2000">
        <f t="shared" si="3"/>
        <v>0</v>
      </c>
    </row>
    <row r="2001">
      <c r="A2001" s="107">
        <f>IFERROR(__xludf.DUMMYFUNCTION("""COMPUTED_VALUE"""),45789.0)</f>
        <v>45789</v>
      </c>
      <c r="B2001" t="str">
        <f>IFERROR(__xludf.DUMMYFUNCTION("""COMPUTED_VALUE"""),"[大湖山莊] B [吳佳樂] 首月租金 (行號: 6, 24)")</f>
        <v>[大湖山莊] B [吳佳樂] 首月租金 (行號: 6, 24)</v>
      </c>
      <c r="C2001" t="str">
        <f>IFERROR(__xludf.DUMMYFUNCTION("""COMPUTED_VALUE"""),"收入 - 租金")</f>
        <v>收入 - 租金</v>
      </c>
      <c r="D2001" s="270">
        <f>IFERROR(__xludf.DUMMYFUNCTION("""COMPUTED_VALUE"""),12800.0)</f>
        <v>12800</v>
      </c>
      <c r="F2001" t="str">
        <f>IFERROR(__xludf.DUMMYFUNCTION("""COMPUTED_VALUE"""),"台銀籌備帳戶")</f>
        <v>台銀籌備帳戶</v>
      </c>
      <c r="G2001" t="str">
        <f>IFERROR(__xludf.DUMMYFUNCTION("""COMPUTED_VALUE"""),"大湖山莊")</f>
        <v>大湖山莊</v>
      </c>
      <c r="H2001" s="106" t="str">
        <f t="shared" si="1"/>
        <v>2025-05</v>
      </c>
      <c r="I2001" s="271" t="str">
        <f>IFERROR(__xludf.DUMMYFUNCTION("""COMPUTED_VALUE"""),"貓狗企鵝")</f>
        <v>貓狗企鵝</v>
      </c>
      <c r="J2001" t="str">
        <f>IFERROR(__xludf.DUMMYFUNCTION("IFS(
  AND(REGEXMATCH(E2001, ""台銀籌備帳戶|玉山帳戶""), REGEXMATCH(C2001, ""薪資"")), ""分潤支出"",
  AND(REGEXMATCH(E2001, ""Ben帳戶|Elsa帳戶|Ben代墊|Ariel代墊|中信銀行共用""), REGEXMATCH(F2001, ""Ben帳戶|Elsa帳戶|Ben代墊|Ariel代墊|中信銀行共用"")), ""內部轉帳(忽略)"",
  AND(E2001&lt;&gt;"""", F2001&lt;&gt;"""", N"&amp;"OT(REGEXMATCH(C2001, ""薪資""))), ""內部轉帳(忽略)"",
  REGEXMATCH(C2001, ""薪資""), ""薪資變動(不計入)"",
  REGEXMATCH(C2001, ""押金""), ""押金往來"",
  AND(E2001&lt;&gt;"""", F2001=""""), ""真實支出"",
  AND(E2001="""", F2001&lt;&gt;""""), ""真實收入"",
  TRUE, ""其他""
)"),"真實收入")</f>
        <v>真實收入</v>
      </c>
      <c r="K2001" s="270">
        <f t="shared" si="2"/>
        <v>12800</v>
      </c>
      <c r="L2001">
        <f t="shared" si="3"/>
        <v>0</v>
      </c>
    </row>
    <row r="2002">
      <c r="A2002" s="107">
        <f>IFERROR(__xludf.DUMMYFUNCTION("""COMPUTED_VALUE"""),45790.0)</f>
        <v>45790</v>
      </c>
      <c r="B2002" t="str">
        <f>IFERROR(__xludf.DUMMYFUNCTION("""COMPUTED_VALUE"""),"009A968XXXX47500 004956475' 【G房】")</f>
        <v>009A968XXXX47500 004956475' 【G房】</v>
      </c>
      <c r="C2002" t="str">
        <f>IFERROR(__xludf.DUMMYFUNCTION("""COMPUTED_VALUE"""),"收入 - 租金")</f>
        <v>收入 - 租金</v>
      </c>
      <c r="D2002" s="270">
        <f>IFERROR(__xludf.DUMMYFUNCTION("""COMPUTED_VALUE"""),8400.0)</f>
        <v>8400</v>
      </c>
      <c r="F2002" t="str">
        <f>IFERROR(__xludf.DUMMYFUNCTION("""COMPUTED_VALUE"""),"台銀籌備帳戶")</f>
        <v>台銀籌備帳戶</v>
      </c>
      <c r="G2002" t="str">
        <f>IFERROR(__xludf.DUMMYFUNCTION("""COMPUTED_VALUE"""),"大湖山莊")</f>
        <v>大湖山莊</v>
      </c>
      <c r="H2002" s="106" t="str">
        <f t="shared" si="1"/>
        <v>2025-05</v>
      </c>
      <c r="I2002" s="271" t="str">
        <f>IFERROR(__xludf.DUMMYFUNCTION("""COMPUTED_VALUE"""),"貓狗企鵝")</f>
        <v>貓狗企鵝</v>
      </c>
      <c r="J2002" t="str">
        <f>IFERROR(__xludf.DUMMYFUNCTION("IFS(
  AND(REGEXMATCH(E2002, ""台銀籌備帳戶|玉山帳戶""), REGEXMATCH(C2002, ""薪資"")), ""分潤支出"",
  AND(REGEXMATCH(E2002, ""Ben帳戶|Elsa帳戶|Ben代墊|Ariel代墊|中信銀行共用""), REGEXMATCH(F2002, ""Ben帳戶|Elsa帳戶|Ben代墊|Ariel代墊|中信銀行共用"")), ""內部轉帳(忽略)"",
  AND(E2002&lt;&gt;"""", F2002&lt;&gt;"""", N"&amp;"OT(REGEXMATCH(C2002, ""薪資""))), ""內部轉帳(忽略)"",
  REGEXMATCH(C2002, ""薪資""), ""薪資變動(不計入)"",
  REGEXMATCH(C2002, ""押金""), ""押金往來"",
  AND(E2002&lt;&gt;"""", F2002=""""), ""真實支出"",
  AND(E2002="""", F2002&lt;&gt;""""), ""真實收入"",
  TRUE, ""其他""
)"),"真實收入")</f>
        <v>真實收入</v>
      </c>
      <c r="K2002" s="270">
        <f t="shared" si="2"/>
        <v>8400</v>
      </c>
      <c r="L2002">
        <f t="shared" si="3"/>
        <v>0</v>
      </c>
    </row>
    <row r="2003">
      <c r="A2003" s="107">
        <f>IFERROR(__xludf.DUMMYFUNCTION("""COMPUTED_VALUE"""),45790.0)</f>
        <v>45790</v>
      </c>
      <c r="B2003" t="str">
        <f>IFERROR(__xludf.DUMMYFUNCTION("""COMPUTED_VALUE"""),"北市國稅94053182 ' 【不明收入 (行號: 8)】")</f>
        <v>北市國稅94053182 ' 【不明收入 (行號: 8)】</v>
      </c>
      <c r="C2003" t="str">
        <f>IFERROR(__xludf.DUMMYFUNCTION("""COMPUTED_VALUE"""),"收入 - 政府補助/退稅")</f>
        <v>收入 - 政府補助/退稅</v>
      </c>
      <c r="D2003" s="270">
        <f>IFERROR(__xludf.DUMMYFUNCTION("""COMPUTED_VALUE"""),5200.0)</f>
        <v>5200</v>
      </c>
      <c r="F2003" t="str">
        <f>IFERROR(__xludf.DUMMYFUNCTION("""COMPUTED_VALUE"""),"台銀籌備帳戶")</f>
        <v>台銀籌備帳戶</v>
      </c>
      <c r="G2003" t="str">
        <f>IFERROR(__xludf.DUMMYFUNCTION("""COMPUTED_VALUE"""),"書香民生")</f>
        <v>書香民生</v>
      </c>
      <c r="H2003" s="106" t="str">
        <f t="shared" si="1"/>
        <v>2025-05</v>
      </c>
      <c r="I2003" s="271" t="str">
        <f>IFERROR(__xludf.DUMMYFUNCTION("""COMPUTED_VALUE"""),"貓狗企鵝")</f>
        <v>貓狗企鵝</v>
      </c>
      <c r="J2003" t="str">
        <f>IFERROR(__xludf.DUMMYFUNCTION("IFS(
  AND(REGEXMATCH(E2003, ""台銀籌備帳戶|玉山帳戶""), REGEXMATCH(C2003, ""薪資"")), ""分潤支出"",
  AND(REGEXMATCH(E2003, ""Ben帳戶|Elsa帳戶|Ben代墊|Ariel代墊|中信銀行共用""), REGEXMATCH(F2003, ""Ben帳戶|Elsa帳戶|Ben代墊|Ariel代墊|中信銀行共用"")), ""內部轉帳(忽略)"",
  AND(E2003&lt;&gt;"""", F2003&lt;&gt;"""", N"&amp;"OT(REGEXMATCH(C2003, ""薪資""))), ""內部轉帳(忽略)"",
  REGEXMATCH(C2003, ""薪資""), ""薪資變動(不計入)"",
  REGEXMATCH(C2003, ""押金""), ""押金往來"",
  AND(E2003&lt;&gt;"""", F2003=""""), ""真實支出"",
  AND(E2003="""", F2003&lt;&gt;""""), ""真實收入"",
  TRUE, ""其他""
)"),"真實收入")</f>
        <v>真實收入</v>
      </c>
      <c r="K2003" s="270">
        <f t="shared" si="2"/>
        <v>5200</v>
      </c>
      <c r="L2003">
        <f t="shared" si="3"/>
        <v>0</v>
      </c>
    </row>
    <row r="2004">
      <c r="A2004" s="107">
        <f>IFERROR(__xludf.DUMMYFUNCTION("""COMPUTED_VALUE"""),45790.0)</f>
        <v>45790</v>
      </c>
      <c r="B2004" t="str">
        <f>IFERROR(__xludf.DUMMYFUNCTION("""COMPUTED_VALUE"""),"轉錯錢 沖銷 (內湖Citylink)")</f>
        <v>轉錯錢 沖銷 (內湖Citylink)</v>
      </c>
      <c r="C2004" t="str">
        <f>IFERROR(__xludf.DUMMYFUNCTION("""COMPUTED_VALUE"""),"收入 - 其他")</f>
        <v>收入 - 其他</v>
      </c>
      <c r="D2004" s="270">
        <f>IFERROR(__xludf.DUMMYFUNCTION("""COMPUTED_VALUE"""),119600.0)</f>
        <v>119600</v>
      </c>
      <c r="F2004" t="str">
        <f>IFERROR(__xludf.DUMMYFUNCTION("""COMPUTED_VALUE"""),"台銀籌備帳戶")</f>
        <v>台銀籌備帳戶</v>
      </c>
      <c r="G2004" t="str">
        <f>IFERROR(__xludf.DUMMYFUNCTION("""COMPUTED_VALUE"""),"無法分類")</f>
        <v>無法分類</v>
      </c>
      <c r="H2004" s="106" t="str">
        <f t="shared" si="1"/>
        <v>2025-05</v>
      </c>
      <c r="I2004" s="271" t="str">
        <f>IFERROR(__xludf.DUMMYFUNCTION("""COMPUTED_VALUE"""),"貓狗企鵝")</f>
        <v>貓狗企鵝</v>
      </c>
      <c r="J2004" t="str">
        <f>IFERROR(__xludf.DUMMYFUNCTION("IFS(
  AND(REGEXMATCH(E2004, ""台銀籌備帳戶|玉山帳戶""), REGEXMATCH(C2004, ""薪資"")), ""分潤支出"",
  AND(REGEXMATCH(E2004, ""Ben帳戶|Elsa帳戶|Ben代墊|Ariel代墊|中信銀行共用""), REGEXMATCH(F2004, ""Ben帳戶|Elsa帳戶|Ben代墊|Ariel代墊|中信銀行共用"")), ""內部轉帳(忽略)"",
  AND(E2004&lt;&gt;"""", F2004&lt;&gt;"""", N"&amp;"OT(REGEXMATCH(C2004, ""薪資""))), ""內部轉帳(忽略)"",
  REGEXMATCH(C2004, ""薪資""), ""薪資變動(不計入)"",
  REGEXMATCH(C2004, ""押金""), ""押金往來"",
  AND(E2004&lt;&gt;"""", F2004=""""), ""真實支出"",
  AND(E2004="""", F2004&lt;&gt;""""), ""真實收入"",
  TRUE, ""其他""
)"),"真實收入")</f>
        <v>真實收入</v>
      </c>
      <c r="K2004" s="270">
        <f t="shared" si="2"/>
        <v>119600</v>
      </c>
      <c r="L2004">
        <f t="shared" si="3"/>
        <v>0</v>
      </c>
    </row>
    <row r="2005">
      <c r="A2005" s="107">
        <f>IFERROR(__xludf.DUMMYFUNCTION("""COMPUTED_VALUE"""),45796.0)</f>
        <v>45796</v>
      </c>
      <c r="B2005" t="str">
        <f>IFERROR(__xludf.DUMMYFUNCTION("""COMPUTED_VALUE"""),"009A968XXXX47500 004954018' 【G房】")</f>
        <v>009A968XXXX47500 004954018' 【G房】</v>
      </c>
      <c r="C2005" t="str">
        <f>IFERROR(__xludf.DUMMYFUNCTION("""COMPUTED_VALUE"""),"收入 - 押金")</f>
        <v>收入 - 押金</v>
      </c>
      <c r="D2005" s="270">
        <f>IFERROR(__xludf.DUMMYFUNCTION("""COMPUTED_VALUE"""),31600.0)</f>
        <v>31600</v>
      </c>
      <c r="F2005" t="str">
        <f>IFERROR(__xludf.DUMMYFUNCTION("""COMPUTED_VALUE"""),"台銀籌備帳戶")</f>
        <v>台銀籌備帳戶</v>
      </c>
      <c r="G2005" t="str">
        <f>IFERROR(__xludf.DUMMYFUNCTION("""COMPUTED_VALUE"""),"大湖山莊")</f>
        <v>大湖山莊</v>
      </c>
      <c r="H2005" s="106" t="str">
        <f t="shared" si="1"/>
        <v>2025-05</v>
      </c>
      <c r="I2005" s="271" t="str">
        <f>IFERROR(__xludf.DUMMYFUNCTION("""COMPUTED_VALUE"""),"貓狗企鵝")</f>
        <v>貓狗企鵝</v>
      </c>
      <c r="J2005" t="str">
        <f>IFERROR(__xludf.DUMMYFUNCTION("IFS(
  AND(REGEXMATCH(E2005, ""台銀籌備帳戶|玉山帳戶""), REGEXMATCH(C2005, ""薪資"")), ""分潤支出"",
  AND(REGEXMATCH(E2005, ""Ben帳戶|Elsa帳戶|Ben代墊|Ariel代墊|中信銀行共用""), REGEXMATCH(F2005, ""Ben帳戶|Elsa帳戶|Ben代墊|Ariel代墊|中信銀行共用"")), ""內部轉帳(忽略)"",
  AND(E2005&lt;&gt;"""", F2005&lt;&gt;"""", N"&amp;"OT(REGEXMATCH(C2005, ""薪資""))), ""內部轉帳(忽略)"",
  REGEXMATCH(C2005, ""薪資""), ""薪資變動(不計入)"",
  REGEXMATCH(C2005, ""押金""), ""押金往來"",
  AND(E2005&lt;&gt;"""", F2005=""""), ""真實支出"",
  AND(E2005="""", F2005&lt;&gt;""""), ""真實收入"",
  TRUE, ""其他""
)"),"押金往來")</f>
        <v>押金往來</v>
      </c>
      <c r="K2005">
        <f t="shared" si="2"/>
        <v>0</v>
      </c>
      <c r="L2005">
        <f t="shared" si="3"/>
        <v>0</v>
      </c>
    </row>
    <row r="2006">
      <c r="A2006" s="107">
        <f>IFERROR(__xludf.DUMMYFUNCTION("""COMPUTED_VALUE"""),45797.0)</f>
        <v>45797</v>
      </c>
      <c r="B2006" t="str">
        <f>IFERROR(__xludf.DUMMYFUNCTION("""COMPUTED_VALUE"""),"北市國稅94053182 ' 【不明收入 (行號: 28)】")</f>
        <v>北市國稅94053182 ' 【不明收入 (行號: 28)】</v>
      </c>
      <c r="C2006" t="str">
        <f>IFERROR(__xludf.DUMMYFUNCTION("""COMPUTED_VALUE"""),"收入 - 政府補助/退稅")</f>
        <v>收入 - 政府補助/退稅</v>
      </c>
      <c r="D2006" s="270">
        <f>IFERROR(__xludf.DUMMYFUNCTION("""COMPUTED_VALUE"""),1600.0)</f>
        <v>1600</v>
      </c>
      <c r="F2006" t="str">
        <f>IFERROR(__xludf.DUMMYFUNCTION("""COMPUTED_VALUE"""),"台銀籌備帳戶")</f>
        <v>台銀籌備帳戶</v>
      </c>
      <c r="G2006" t="str">
        <f>IFERROR(__xludf.DUMMYFUNCTION("""COMPUTED_VALUE"""),"北醫醫師府")</f>
        <v>北醫醫師府</v>
      </c>
      <c r="H2006" s="106" t="str">
        <f t="shared" si="1"/>
        <v>2025-05</v>
      </c>
      <c r="I2006" s="271" t="str">
        <f>IFERROR(__xludf.DUMMYFUNCTION("""COMPUTED_VALUE"""),"貓狗企鵝")</f>
        <v>貓狗企鵝</v>
      </c>
      <c r="J2006" t="str">
        <f>IFERROR(__xludf.DUMMYFUNCTION("IFS(
  AND(REGEXMATCH(E2006, ""台銀籌備帳戶|玉山帳戶""), REGEXMATCH(C2006, ""薪資"")), ""分潤支出"",
  AND(REGEXMATCH(E2006, ""Ben帳戶|Elsa帳戶|Ben代墊|Ariel代墊|中信銀行共用""), REGEXMATCH(F2006, ""Ben帳戶|Elsa帳戶|Ben代墊|Ariel代墊|中信銀行共用"")), ""內部轉帳(忽略)"",
  AND(E2006&lt;&gt;"""", F2006&lt;&gt;"""", N"&amp;"OT(REGEXMATCH(C2006, ""薪資""))), ""內部轉帳(忽略)"",
  REGEXMATCH(C2006, ""薪資""), ""薪資變動(不計入)"",
  REGEXMATCH(C2006, ""押金""), ""押金往來"",
  AND(E2006&lt;&gt;"""", F2006=""""), ""真實支出"",
  AND(E2006="""", F2006&lt;&gt;""""), ""真實收入"",
  TRUE, ""其他""
)"),"真實收入")</f>
        <v>真實收入</v>
      </c>
      <c r="K2006" s="270">
        <f t="shared" si="2"/>
        <v>1600</v>
      </c>
      <c r="L2006">
        <f t="shared" si="3"/>
        <v>0</v>
      </c>
    </row>
    <row r="2007">
      <c r="A2007" s="107">
        <f>IFERROR(__xludf.DUMMYFUNCTION("""COMPUTED_VALUE"""),45797.0)</f>
        <v>45797</v>
      </c>
      <c r="B2007" t="str">
        <f>IFERROR(__xludf.DUMMYFUNCTION("""COMPUTED_VALUE"""),"009A968XXXX47500 004957100' 【G房】")</f>
        <v>009A968XXXX47500 004957100' 【G房】</v>
      </c>
      <c r="C2007" t="str">
        <f>IFERROR(__xludf.DUMMYFUNCTION("""COMPUTED_VALUE"""),"收入 - 租金")</f>
        <v>收入 - 租金</v>
      </c>
      <c r="D2007" s="270">
        <f>IFERROR(__xludf.DUMMYFUNCTION("""COMPUTED_VALUE"""),10458.0)</f>
        <v>10458</v>
      </c>
      <c r="F2007" t="str">
        <f>IFERROR(__xludf.DUMMYFUNCTION("""COMPUTED_VALUE"""),"台銀籌備帳戶")</f>
        <v>台銀籌備帳戶</v>
      </c>
      <c r="G2007" t="str">
        <f>IFERROR(__xludf.DUMMYFUNCTION("""COMPUTED_VALUE"""),"大湖山莊")</f>
        <v>大湖山莊</v>
      </c>
      <c r="H2007" s="106" t="str">
        <f t="shared" si="1"/>
        <v>2025-05</v>
      </c>
      <c r="I2007" s="271" t="str">
        <f>IFERROR(__xludf.DUMMYFUNCTION("""COMPUTED_VALUE"""),"貓狗企鵝")</f>
        <v>貓狗企鵝</v>
      </c>
      <c r="J2007" t="str">
        <f>IFERROR(__xludf.DUMMYFUNCTION("IFS(
  AND(REGEXMATCH(E2007, ""台銀籌備帳戶|玉山帳戶""), REGEXMATCH(C2007, ""薪資"")), ""分潤支出"",
  AND(REGEXMATCH(E2007, ""Ben帳戶|Elsa帳戶|Ben代墊|Ariel代墊|中信銀行共用""), REGEXMATCH(F2007, ""Ben帳戶|Elsa帳戶|Ben代墊|Ariel代墊|中信銀行共用"")), ""內部轉帳(忽略)"",
  AND(E2007&lt;&gt;"""", F2007&lt;&gt;"""", N"&amp;"OT(REGEXMATCH(C2007, ""薪資""))), ""內部轉帳(忽略)"",
  REGEXMATCH(C2007, ""薪資""), ""薪資變動(不計入)"",
  REGEXMATCH(C2007, ""押金""), ""押金往來"",
  AND(E2007&lt;&gt;"""", F2007=""""), ""真實支出"",
  AND(E2007="""", F2007&lt;&gt;""""), ""真實收入"",
  TRUE, ""其他""
)"),"真實收入")</f>
        <v>真實收入</v>
      </c>
      <c r="K2007" s="270">
        <f t="shared" si="2"/>
        <v>10458</v>
      </c>
      <c r="L2007">
        <f t="shared" si="3"/>
        <v>0</v>
      </c>
    </row>
    <row r="2008">
      <c r="A2008" s="107">
        <f>IFERROR(__xludf.DUMMYFUNCTION("""COMPUTED_VALUE"""),45804.0)</f>
        <v>45804</v>
      </c>
      <c r="B2008" t="str">
        <f>IFERROR(__xludf.DUMMYFUNCTION("""COMPUTED_VALUE"""),"北市國稅94053182 ' 【不明收入 (行號: 34)】")</f>
        <v>北市國稅94053182 ' 【不明收入 (行號: 34)】</v>
      </c>
      <c r="C2008" t="str">
        <f>IFERROR(__xludf.DUMMYFUNCTION("""COMPUTED_VALUE"""),"收入 - 政府補助/退稅")</f>
        <v>收入 - 政府補助/退稅</v>
      </c>
      <c r="D2008" s="270">
        <f>IFERROR(__xludf.DUMMYFUNCTION("""COMPUTED_VALUE"""),8000.0)</f>
        <v>8000</v>
      </c>
      <c r="F2008" t="str">
        <f>IFERROR(__xludf.DUMMYFUNCTION("""COMPUTED_VALUE"""),"台銀籌備帳戶")</f>
        <v>台銀籌備帳戶</v>
      </c>
      <c r="G2008" t="str">
        <f>IFERROR(__xludf.DUMMYFUNCTION("""COMPUTED_VALUE"""),"無法分類")</f>
        <v>無法分類</v>
      </c>
      <c r="H2008" s="106" t="str">
        <f t="shared" si="1"/>
        <v>2025-05</v>
      </c>
      <c r="I2008" s="271" t="str">
        <f>IFERROR(__xludf.DUMMYFUNCTION("""COMPUTED_VALUE"""),"貓狗企鵝")</f>
        <v>貓狗企鵝</v>
      </c>
      <c r="J2008" t="str">
        <f>IFERROR(__xludf.DUMMYFUNCTION("IFS(
  AND(REGEXMATCH(E2008, ""台銀籌備帳戶|玉山帳戶""), REGEXMATCH(C2008, ""薪資"")), ""分潤支出"",
  AND(REGEXMATCH(E2008, ""Ben帳戶|Elsa帳戶|Ben代墊|Ariel代墊|中信銀行共用""), REGEXMATCH(F2008, ""Ben帳戶|Elsa帳戶|Ben代墊|Ariel代墊|中信銀行共用"")), ""內部轉帳(忽略)"",
  AND(E2008&lt;&gt;"""", F2008&lt;&gt;"""", N"&amp;"OT(REGEXMATCH(C2008, ""薪資""))), ""內部轉帳(忽略)"",
  REGEXMATCH(C2008, ""薪資""), ""薪資變動(不計入)"",
  REGEXMATCH(C2008, ""押金""), ""押金往來"",
  AND(E2008&lt;&gt;"""", F2008=""""), ""真實支出"",
  AND(E2008="""", F2008&lt;&gt;""""), ""真實收入"",
  TRUE, ""其他""
)"),"真實收入")</f>
        <v>真實收入</v>
      </c>
      <c r="K2008" s="270">
        <f t="shared" si="2"/>
        <v>8000</v>
      </c>
      <c r="L2008">
        <f t="shared" si="3"/>
        <v>0</v>
      </c>
    </row>
    <row r="2009">
      <c r="A2009" s="107">
        <f>IFERROR(__xludf.DUMMYFUNCTION("""COMPUTED_VALUE"""),45805.0)</f>
        <v>45805</v>
      </c>
      <c r="B2009" t="str">
        <f>IFERROR(__xludf.DUMMYFUNCTION("""COMPUTED_VALUE"""),"房租 076971000 ' 【C房】")</f>
        <v>房租 076971000 ' 【C房】</v>
      </c>
      <c r="C2009" t="str">
        <f>IFERROR(__xludf.DUMMYFUNCTION("""COMPUTED_VALUE"""),"收入 - 租金")</f>
        <v>收入 - 租金</v>
      </c>
      <c r="D2009" s="270">
        <f>IFERROR(__xludf.DUMMYFUNCTION("""COMPUTED_VALUE"""),15000.0)</f>
        <v>15000</v>
      </c>
      <c r="F2009" t="str">
        <f>IFERROR(__xludf.DUMMYFUNCTION("""COMPUTED_VALUE"""),"台銀籌備帳戶")</f>
        <v>台銀籌備帳戶</v>
      </c>
      <c r="G2009" t="str">
        <f>IFERROR(__xludf.DUMMYFUNCTION("""COMPUTED_VALUE"""),"南港站挑高宅")</f>
        <v>南港站挑高宅</v>
      </c>
      <c r="H2009" s="106" t="str">
        <f t="shared" si="1"/>
        <v>2025-05</v>
      </c>
      <c r="I2009" s="271" t="str">
        <f>IFERROR(__xludf.DUMMYFUNCTION("""COMPUTED_VALUE"""),"貓狗企鵝")</f>
        <v>貓狗企鵝</v>
      </c>
      <c r="J2009" t="str">
        <f>IFERROR(__xludf.DUMMYFUNCTION("IFS(
  AND(REGEXMATCH(E2009, ""台銀籌備帳戶|玉山帳戶""), REGEXMATCH(C2009, ""薪資"")), ""分潤支出"",
  AND(REGEXMATCH(E2009, ""Ben帳戶|Elsa帳戶|Ben代墊|Ariel代墊|中信銀行共用""), REGEXMATCH(F2009, ""Ben帳戶|Elsa帳戶|Ben代墊|Ariel代墊|中信銀行共用"")), ""內部轉帳(忽略)"",
  AND(E2009&lt;&gt;"""", F2009&lt;&gt;"""", N"&amp;"OT(REGEXMATCH(C2009, ""薪資""))), ""內部轉帳(忽略)"",
  REGEXMATCH(C2009, ""薪資""), ""薪資變動(不計入)"",
  REGEXMATCH(C2009, ""押金""), ""押金往來"",
  AND(E2009&lt;&gt;"""", F2009=""""), ""真實支出"",
  AND(E2009="""", F2009&lt;&gt;""""), ""真實收入"",
  TRUE, ""其他""
)"),"真實收入")</f>
        <v>真實收入</v>
      </c>
      <c r="K2009" s="270">
        <f t="shared" si="2"/>
        <v>15000</v>
      </c>
      <c r="L2009">
        <f t="shared" si="3"/>
        <v>0</v>
      </c>
    </row>
    <row r="2010">
      <c r="A2010" s="107">
        <f>IFERROR(__xludf.DUMMYFUNCTION("""COMPUTED_VALUE"""),45806.0)</f>
        <v>45806</v>
      </c>
      <c r="B2010" t="str">
        <f>IFERROR(__xludf.DUMMYFUNCTION("""COMPUTED_VALUE"""),"租房訂金 076971000 ' 【不明收入 (行號: 40)】")</f>
        <v>租房訂金 076971000 ' 【不明收入 (行號: 40)】</v>
      </c>
      <c r="C2010" t="str">
        <f>IFERROR(__xludf.DUMMYFUNCTION("""COMPUTED_VALUE"""),"收入 - 租金")</f>
        <v>收入 - 租金</v>
      </c>
      <c r="D2010" s="270">
        <f>IFERROR(__xludf.DUMMYFUNCTION("""COMPUTED_VALUE"""),10000.0)</f>
        <v>10000</v>
      </c>
      <c r="F2010" t="str">
        <f>IFERROR(__xludf.DUMMYFUNCTION("""COMPUTED_VALUE"""),"台銀籌備帳戶")</f>
        <v>台銀籌備帳戶</v>
      </c>
      <c r="G2010" t="str">
        <f>IFERROR(__xludf.DUMMYFUNCTION("""COMPUTED_VALUE"""),"龍江229")</f>
        <v>龍江229</v>
      </c>
      <c r="H2010" s="106" t="str">
        <f t="shared" si="1"/>
        <v>2025-05</v>
      </c>
      <c r="I2010" s="271" t="str">
        <f>IFERROR(__xludf.DUMMYFUNCTION("""COMPUTED_VALUE"""),"貓狗企鵝")</f>
        <v>貓狗企鵝</v>
      </c>
      <c r="J2010" t="str">
        <f>IFERROR(__xludf.DUMMYFUNCTION("IFS(
  AND(REGEXMATCH(E2010, ""台銀籌備帳戶|玉山帳戶""), REGEXMATCH(C2010, ""薪資"")), ""分潤支出"",
  AND(REGEXMATCH(E2010, ""Ben帳戶|Elsa帳戶|Ben代墊|Ariel代墊|中信銀行共用""), REGEXMATCH(F2010, ""Ben帳戶|Elsa帳戶|Ben代墊|Ariel代墊|中信銀行共用"")), ""內部轉帳(忽略)"",
  AND(E2010&lt;&gt;"""", F2010&lt;&gt;"""", N"&amp;"OT(REGEXMATCH(C2010, ""薪資""))), ""內部轉帳(忽略)"",
  REGEXMATCH(C2010, ""薪資""), ""薪資變動(不計入)"",
  REGEXMATCH(C2010, ""押金""), ""押金往來"",
  AND(E2010&lt;&gt;"""", F2010=""""), ""真實支出"",
  AND(E2010="""", F2010&lt;&gt;""""), ""真實收入"",
  TRUE, ""其他""
)"),"真實收入")</f>
        <v>真實收入</v>
      </c>
      <c r="K2010" s="270">
        <f t="shared" si="2"/>
        <v>10000</v>
      </c>
      <c r="L2010">
        <f t="shared" si="3"/>
        <v>0</v>
      </c>
    </row>
    <row r="2011">
      <c r="A2011" s="107">
        <f>IFERROR(__xludf.DUMMYFUNCTION("""COMPUTED_VALUE"""),45807.0)</f>
        <v>45807</v>
      </c>
      <c r="B2011" t="str">
        <f>IFERROR(__xludf.DUMMYFUNCTION("""COMPUTED_VALUE"""),"和豐曹淑宜 (轉錯了，要再沖銷)")</f>
        <v>和豐曹淑宜 (轉錯了，要再沖銷)</v>
      </c>
      <c r="C2011" t="str">
        <f>IFERROR(__xludf.DUMMYFUNCTION("""COMPUTED_VALUE"""),"收入 - 其他")</f>
        <v>收入 - 其他</v>
      </c>
      <c r="D2011" s="270">
        <f>IFERROR(__xludf.DUMMYFUNCTION("""COMPUTED_VALUE"""),12500.0)</f>
        <v>12500</v>
      </c>
      <c r="F2011" t="str">
        <f>IFERROR(__xludf.DUMMYFUNCTION("""COMPUTED_VALUE"""),"台銀籌備帳戶")</f>
        <v>台銀籌備帳戶</v>
      </c>
      <c r="G2011" t="str">
        <f>IFERROR(__xludf.DUMMYFUNCTION("""COMPUTED_VALUE"""),"無法分類")</f>
        <v>無法分類</v>
      </c>
      <c r="H2011" s="106" t="str">
        <f t="shared" si="1"/>
        <v>2025-05</v>
      </c>
      <c r="I2011" s="271" t="str">
        <f>IFERROR(__xludf.DUMMYFUNCTION("""COMPUTED_VALUE"""),"貓狗企鵝")</f>
        <v>貓狗企鵝</v>
      </c>
      <c r="J2011" t="str">
        <f>IFERROR(__xludf.DUMMYFUNCTION("IFS(
  AND(REGEXMATCH(E2011, ""台銀籌備帳戶|玉山帳戶""), REGEXMATCH(C2011, ""薪資"")), ""分潤支出"",
  AND(REGEXMATCH(E2011, ""Ben帳戶|Elsa帳戶|Ben代墊|Ariel代墊|中信銀行共用""), REGEXMATCH(F2011, ""Ben帳戶|Elsa帳戶|Ben代墊|Ariel代墊|中信銀行共用"")), ""內部轉帳(忽略)"",
  AND(E2011&lt;&gt;"""", F2011&lt;&gt;"""", N"&amp;"OT(REGEXMATCH(C2011, ""薪資""))), ""內部轉帳(忽略)"",
  REGEXMATCH(C2011, ""薪資""), ""薪資變動(不計入)"",
  REGEXMATCH(C2011, ""押金""), ""押金往來"",
  AND(E2011&lt;&gt;"""", F2011=""""), ""真實支出"",
  AND(E2011="""", F2011&lt;&gt;""""), ""真實收入"",
  TRUE, ""其他""
)"),"真實收入")</f>
        <v>真實收入</v>
      </c>
      <c r="K2011" s="270">
        <f t="shared" si="2"/>
        <v>12500</v>
      </c>
      <c r="L2011">
        <f t="shared" si="3"/>
        <v>0</v>
      </c>
    </row>
    <row r="2012">
      <c r="A2012" s="107">
        <f>IFERROR(__xludf.DUMMYFUNCTION("""COMPUTED_VALUE"""),45809.0)</f>
        <v>45809</v>
      </c>
      <c r="B2012" t="str">
        <f>IFERROR(__xludf.DUMMYFUNCTION("""COMPUTED_VALUE"""),"013A699XXXX22685 0001WB ' 【大湖D房】")</f>
        <v>013A699XXXX22685 0001WB ' 【大湖D房】</v>
      </c>
      <c r="C2012" t="str">
        <f>IFERROR(__xludf.DUMMYFUNCTION("""COMPUTED_VALUE"""),"收入 - 租金")</f>
        <v>收入 - 租金</v>
      </c>
      <c r="D2012" s="270">
        <f>IFERROR(__xludf.DUMMYFUNCTION("""COMPUTED_VALUE"""),14300.0)</f>
        <v>14300</v>
      </c>
      <c r="F2012" t="str">
        <f>IFERROR(__xludf.DUMMYFUNCTION("""COMPUTED_VALUE"""),"台銀籌備帳戶")</f>
        <v>台銀籌備帳戶</v>
      </c>
      <c r="G2012" t="str">
        <f>IFERROR(__xludf.DUMMYFUNCTION("""COMPUTED_VALUE"""),"大湖山莊")</f>
        <v>大湖山莊</v>
      </c>
      <c r="H2012" s="106" t="str">
        <f t="shared" si="1"/>
        <v>2025-06</v>
      </c>
      <c r="I2012" s="271" t="str">
        <f>IFERROR(__xludf.DUMMYFUNCTION("""COMPUTED_VALUE"""),"貓狗企鵝")</f>
        <v>貓狗企鵝</v>
      </c>
      <c r="J2012" t="str">
        <f>IFERROR(__xludf.DUMMYFUNCTION("IFS(
  AND(REGEXMATCH(E2012, ""台銀籌備帳戶|玉山帳戶""), REGEXMATCH(C2012, ""薪資"")), ""分潤支出"",
  AND(REGEXMATCH(E2012, ""Ben帳戶|Elsa帳戶|Ben代墊|Ariel代墊|中信銀行共用""), REGEXMATCH(F2012, ""Ben帳戶|Elsa帳戶|Ben代墊|Ariel代墊|中信銀行共用"")), ""內部轉帳(忽略)"",
  AND(E2012&lt;&gt;"""", F2012&lt;&gt;"""", N"&amp;"OT(REGEXMATCH(C2012, ""薪資""))), ""內部轉帳(忽略)"",
  REGEXMATCH(C2012, ""薪資""), ""薪資變動(不計入)"",
  REGEXMATCH(C2012, ""押金""), ""押金往來"",
  AND(E2012&lt;&gt;"""", F2012=""""), ""真實支出"",
  AND(E2012="""", F2012&lt;&gt;""""), ""真實收入"",
  TRUE, ""其他""
)"),"真實收入")</f>
        <v>真實收入</v>
      </c>
      <c r="K2012" s="270">
        <f t="shared" si="2"/>
        <v>14300</v>
      </c>
      <c r="L2012">
        <f t="shared" si="3"/>
        <v>0</v>
      </c>
    </row>
    <row r="2013">
      <c r="A2013" s="107">
        <f>IFERROR(__xludf.DUMMYFUNCTION("""COMPUTED_VALUE"""),45810.0)</f>
        <v>45810</v>
      </c>
      <c r="B2013" t="str">
        <f>IFERROR(__xludf.DUMMYFUNCTION("""COMPUTED_VALUE"""),"008A127XXXX24691 000000000' 【E房】")</f>
        <v>008A127XXXX24691 000000000' 【E房】</v>
      </c>
      <c r="C2013" t="str">
        <f>IFERROR(__xludf.DUMMYFUNCTION("""COMPUTED_VALUE"""),"收入 - 租金")</f>
        <v>收入 - 租金</v>
      </c>
      <c r="D2013" s="270">
        <f>IFERROR(__xludf.DUMMYFUNCTION("""COMPUTED_VALUE"""),12500.0)</f>
        <v>12500</v>
      </c>
      <c r="F2013" t="str">
        <f>IFERROR(__xludf.DUMMYFUNCTION("""COMPUTED_VALUE"""),"台銀籌備帳戶")</f>
        <v>台銀籌備帳戶</v>
      </c>
      <c r="G2013" t="str">
        <f>IFERROR(__xludf.DUMMYFUNCTION("""COMPUTED_VALUE"""),"龍江229")</f>
        <v>龍江229</v>
      </c>
      <c r="H2013" s="106" t="str">
        <f t="shared" si="1"/>
        <v>2025-06</v>
      </c>
      <c r="I2013" s="271" t="str">
        <f>IFERROR(__xludf.DUMMYFUNCTION("""COMPUTED_VALUE"""),"貓狗企鵝")</f>
        <v>貓狗企鵝</v>
      </c>
      <c r="J2013" t="str">
        <f>IFERROR(__xludf.DUMMYFUNCTION("IFS(
  AND(REGEXMATCH(E2013, ""台銀籌備帳戶|玉山帳戶""), REGEXMATCH(C2013, ""薪資"")), ""分潤支出"",
  AND(REGEXMATCH(E2013, ""Ben帳戶|Elsa帳戶|Ben代墊|Ariel代墊|中信銀行共用""), REGEXMATCH(F2013, ""Ben帳戶|Elsa帳戶|Ben代墊|Ariel代墊|中信銀行共用"")), ""內部轉帳(忽略)"",
  AND(E2013&lt;&gt;"""", F2013&lt;&gt;"""", N"&amp;"OT(REGEXMATCH(C2013, ""薪資""))), ""內部轉帳(忽略)"",
  REGEXMATCH(C2013, ""薪資""), ""薪資變動(不計入)"",
  REGEXMATCH(C2013, ""押金""), ""押金往來"",
  AND(E2013&lt;&gt;"""", F2013=""""), ""真實支出"",
  AND(E2013="""", F2013&lt;&gt;""""), ""真實收入"",
  TRUE, ""其他""
)"),"真實收入")</f>
        <v>真實收入</v>
      </c>
      <c r="K2013" s="270">
        <f t="shared" si="2"/>
        <v>12500</v>
      </c>
      <c r="L2013">
        <f t="shared" si="3"/>
        <v>0</v>
      </c>
    </row>
    <row r="2014">
      <c r="A2014" s="107">
        <f>IFERROR(__xludf.DUMMYFUNCTION("""COMPUTED_VALUE"""),45800.0)</f>
        <v>45800</v>
      </c>
      <c r="B2014" t="str">
        <f>IFERROR(__xludf.DUMMYFUNCTION("""COMPUTED_VALUE"""),"[大湖山莊] F [吳智方, 蘇婉彤] 月租金 (行號: 31, 64)")</f>
        <v>[大湖山莊] F [吳智方, 蘇婉彤] 月租金 (行號: 31, 64)</v>
      </c>
      <c r="C2014" t="str">
        <f>IFERROR(__xludf.DUMMYFUNCTION("""COMPUTED_VALUE"""),"收入 - 租金")</f>
        <v>收入 - 租金</v>
      </c>
      <c r="D2014" s="270">
        <f>IFERROR(__xludf.DUMMYFUNCTION("""COMPUTED_VALUE"""),18000.0)</f>
        <v>18000</v>
      </c>
      <c r="F2014" t="str">
        <f>IFERROR(__xludf.DUMMYFUNCTION("""COMPUTED_VALUE"""),"台銀籌備帳戶")</f>
        <v>台銀籌備帳戶</v>
      </c>
      <c r="G2014" t="str">
        <f>IFERROR(__xludf.DUMMYFUNCTION("""COMPUTED_VALUE"""),"大湖山莊")</f>
        <v>大湖山莊</v>
      </c>
      <c r="H2014" s="106" t="str">
        <f t="shared" si="1"/>
        <v>2025-05</v>
      </c>
      <c r="I2014" s="271" t="str">
        <f>IFERROR(__xludf.DUMMYFUNCTION("""COMPUTED_VALUE"""),"貓狗企鵝")</f>
        <v>貓狗企鵝</v>
      </c>
      <c r="J2014" t="str">
        <f>IFERROR(__xludf.DUMMYFUNCTION("IFS(
  AND(REGEXMATCH(E2014, ""台銀籌備帳戶|玉山帳戶""), REGEXMATCH(C2014, ""薪資"")), ""分潤支出"",
  AND(REGEXMATCH(E2014, ""Ben帳戶|Elsa帳戶|Ben代墊|Ariel代墊|中信銀行共用""), REGEXMATCH(F2014, ""Ben帳戶|Elsa帳戶|Ben代墊|Ariel代墊|中信銀行共用"")), ""內部轉帳(忽略)"",
  AND(E2014&lt;&gt;"""", F2014&lt;&gt;"""", N"&amp;"OT(REGEXMATCH(C2014, ""薪資""))), ""內部轉帳(忽略)"",
  REGEXMATCH(C2014, ""薪資""), ""薪資變動(不計入)"",
  REGEXMATCH(C2014, ""押金""), ""押金往來"",
  AND(E2014&lt;&gt;"""", F2014=""""), ""真實支出"",
  AND(E2014="""", F2014&lt;&gt;""""), ""真實收入"",
  TRUE, ""其他""
)"),"真實收入")</f>
        <v>真實收入</v>
      </c>
      <c r="K2014" s="270">
        <f t="shared" si="2"/>
        <v>18000</v>
      </c>
      <c r="L2014">
        <f t="shared" si="3"/>
        <v>0</v>
      </c>
    </row>
    <row r="2015">
      <c r="A2015" s="107">
        <f>IFERROR(__xludf.DUMMYFUNCTION("""COMPUTED_VALUE"""),45806.0)</f>
        <v>45806</v>
      </c>
      <c r="B2015" t="str">
        <f>IFERROR(__xludf.DUMMYFUNCTION("""COMPUTED_VALUE"""),"[大湖山莊] C [姚伯謙] 月租金 (行號: 41)")</f>
        <v>[大湖山莊] C [姚伯謙] 月租金 (行號: 41)</v>
      </c>
      <c r="C2015" t="str">
        <f>IFERROR(__xludf.DUMMYFUNCTION("""COMPUTED_VALUE"""),"收入 - 租金")</f>
        <v>收入 - 租金</v>
      </c>
      <c r="D2015" s="270">
        <f>IFERROR(__xludf.DUMMYFUNCTION("""COMPUTED_VALUE"""),18800.0)</f>
        <v>18800</v>
      </c>
      <c r="F2015" t="str">
        <f>IFERROR(__xludf.DUMMYFUNCTION("""COMPUTED_VALUE"""),"台銀籌備帳戶")</f>
        <v>台銀籌備帳戶</v>
      </c>
      <c r="G2015" t="str">
        <f>IFERROR(__xludf.DUMMYFUNCTION("""COMPUTED_VALUE"""),"大湖山莊")</f>
        <v>大湖山莊</v>
      </c>
      <c r="H2015" s="106" t="str">
        <f t="shared" si="1"/>
        <v>2025-05</v>
      </c>
      <c r="I2015" s="271" t="str">
        <f>IFERROR(__xludf.DUMMYFUNCTION("""COMPUTED_VALUE"""),"貓狗企鵝")</f>
        <v>貓狗企鵝</v>
      </c>
      <c r="J2015" t="str">
        <f>IFERROR(__xludf.DUMMYFUNCTION("IFS(
  AND(REGEXMATCH(E2015, ""台銀籌備帳戶|玉山帳戶""), REGEXMATCH(C2015, ""薪資"")), ""分潤支出"",
  AND(REGEXMATCH(E2015, ""Ben帳戶|Elsa帳戶|Ben代墊|Ariel代墊|中信銀行共用""), REGEXMATCH(F2015, ""Ben帳戶|Elsa帳戶|Ben代墊|Ariel代墊|中信銀行共用"")), ""內部轉帳(忽略)"",
  AND(E2015&lt;&gt;"""", F2015&lt;&gt;"""", N"&amp;"OT(REGEXMATCH(C2015, ""薪資""))), ""內部轉帳(忽略)"",
  REGEXMATCH(C2015, ""薪資""), ""薪資變動(不計入)"",
  REGEXMATCH(C2015, ""押金""), ""押金往來"",
  AND(E2015&lt;&gt;"""", F2015=""""), ""真實支出"",
  AND(E2015="""", F2015&lt;&gt;""""), ""真實收入"",
  TRUE, ""其他""
)"),"真實收入")</f>
        <v>真實收入</v>
      </c>
      <c r="K2015" s="270">
        <f t="shared" si="2"/>
        <v>18800</v>
      </c>
      <c r="L2015">
        <f t="shared" si="3"/>
        <v>0</v>
      </c>
    </row>
    <row r="2016">
      <c r="A2016" s="107">
        <f>IFERROR(__xludf.DUMMYFUNCTION("""COMPUTED_VALUE"""),45806.0)</f>
        <v>45806</v>
      </c>
      <c r="B2016" t="str">
        <f>IFERROR(__xludf.DUMMYFUNCTION("""COMPUTED_VALUE"""),"[哈拉對面] D [柳翰洋] 月租金 (行號: 42)")</f>
        <v>[哈拉對面] D [柳翰洋] 月租金 (行號: 42)</v>
      </c>
      <c r="C2016" t="str">
        <f>IFERROR(__xludf.DUMMYFUNCTION("""COMPUTED_VALUE"""),"收入 - 租金")</f>
        <v>收入 - 租金</v>
      </c>
      <c r="D2016" s="270">
        <f>IFERROR(__xludf.DUMMYFUNCTION("""COMPUTED_VALUE"""),11800.0)</f>
        <v>11800</v>
      </c>
      <c r="F2016" t="str">
        <f>IFERROR(__xludf.DUMMYFUNCTION("""COMPUTED_VALUE"""),"台銀籌備帳戶")</f>
        <v>台銀籌備帳戶</v>
      </c>
      <c r="G2016" t="str">
        <f>IFERROR(__xludf.DUMMYFUNCTION("""COMPUTED_VALUE"""),"哈拉對面")</f>
        <v>哈拉對面</v>
      </c>
      <c r="H2016" s="106" t="str">
        <f t="shared" si="1"/>
        <v>2025-05</v>
      </c>
      <c r="I2016" s="271" t="str">
        <f>IFERROR(__xludf.DUMMYFUNCTION("""COMPUTED_VALUE"""),"貓狗企鵝")</f>
        <v>貓狗企鵝</v>
      </c>
      <c r="J2016" t="str">
        <f>IFERROR(__xludf.DUMMYFUNCTION("IFS(
  AND(REGEXMATCH(E2016, ""台銀籌備帳戶|玉山帳戶""), REGEXMATCH(C2016, ""薪資"")), ""分潤支出"",
  AND(REGEXMATCH(E2016, ""Ben帳戶|Elsa帳戶|Ben代墊|Ariel代墊|中信銀行共用""), REGEXMATCH(F2016, ""Ben帳戶|Elsa帳戶|Ben代墊|Ariel代墊|中信銀行共用"")), ""內部轉帳(忽略)"",
  AND(E2016&lt;&gt;"""", F2016&lt;&gt;"""", N"&amp;"OT(REGEXMATCH(C2016, ""薪資""))), ""內部轉帳(忽略)"",
  REGEXMATCH(C2016, ""薪資""), ""薪資變動(不計入)"",
  REGEXMATCH(C2016, ""押金""), ""押金往來"",
  AND(E2016&lt;&gt;"""", F2016=""""), ""真實支出"",
  AND(E2016="""", F2016&lt;&gt;""""), ""真實收入"",
  TRUE, ""其他""
)"),"真實收入")</f>
        <v>真實收入</v>
      </c>
      <c r="K2016" s="270">
        <f t="shared" si="2"/>
        <v>11800</v>
      </c>
      <c r="L2016">
        <f t="shared" si="3"/>
        <v>0</v>
      </c>
    </row>
    <row r="2017">
      <c r="A2017" s="107">
        <f>IFERROR(__xludf.DUMMYFUNCTION("""COMPUTED_VALUE"""),45807.0)</f>
        <v>45807</v>
      </c>
      <c r="B2017" t="str">
        <f>IFERROR(__xludf.DUMMYFUNCTION("""COMPUTED_VALUE"""),"[景安2分鐘] B [張語婕, 張依憑] 月租金 (行號: 44)")</f>
        <v>[景安2分鐘] B [張語婕, 張依憑] 月租金 (行號: 44)</v>
      </c>
      <c r="C2017" t="str">
        <f>IFERROR(__xludf.DUMMYFUNCTION("""COMPUTED_VALUE"""),"收入 - 租金")</f>
        <v>收入 - 租金</v>
      </c>
      <c r="D2017" s="270">
        <f>IFERROR(__xludf.DUMMYFUNCTION("""COMPUTED_VALUE"""),18800.0)</f>
        <v>18800</v>
      </c>
      <c r="F2017" t="str">
        <f>IFERROR(__xludf.DUMMYFUNCTION("""COMPUTED_VALUE"""),"台銀籌備帳戶")</f>
        <v>台銀籌備帳戶</v>
      </c>
      <c r="G2017" t="str">
        <f>IFERROR(__xludf.DUMMYFUNCTION("""COMPUTED_VALUE"""),"景安2分鐘")</f>
        <v>景安2分鐘</v>
      </c>
      <c r="H2017" s="106" t="str">
        <f t="shared" si="1"/>
        <v>2025-05</v>
      </c>
      <c r="I2017" s="271" t="str">
        <f>IFERROR(__xludf.DUMMYFUNCTION("""COMPUTED_VALUE"""),"貓狗企鵝")</f>
        <v>貓狗企鵝</v>
      </c>
      <c r="J2017" t="str">
        <f>IFERROR(__xludf.DUMMYFUNCTION("IFS(
  AND(REGEXMATCH(E2017, ""台銀籌備帳戶|玉山帳戶""), REGEXMATCH(C2017, ""薪資"")), ""分潤支出"",
  AND(REGEXMATCH(E2017, ""Ben帳戶|Elsa帳戶|Ben代墊|Ariel代墊|中信銀行共用""), REGEXMATCH(F2017, ""Ben帳戶|Elsa帳戶|Ben代墊|Ariel代墊|中信銀行共用"")), ""內部轉帳(忽略)"",
  AND(E2017&lt;&gt;"""", F2017&lt;&gt;"""", N"&amp;"OT(REGEXMATCH(C2017, ""薪資""))), ""內部轉帳(忽略)"",
  REGEXMATCH(C2017, ""薪資""), ""薪資變動(不計入)"",
  REGEXMATCH(C2017, ""押金""), ""押金往來"",
  AND(E2017&lt;&gt;"""", F2017=""""), ""真實支出"",
  AND(E2017="""", F2017&lt;&gt;""""), ""真實收入"",
  TRUE, ""其他""
)"),"真實收入")</f>
        <v>真實收入</v>
      </c>
      <c r="K2017" s="270">
        <f t="shared" si="2"/>
        <v>18800</v>
      </c>
      <c r="L2017">
        <f t="shared" si="3"/>
        <v>0</v>
      </c>
    </row>
    <row r="2018">
      <c r="A2018" s="107">
        <f>IFERROR(__xludf.DUMMYFUNCTION("""COMPUTED_VALUE"""),45808.0)</f>
        <v>45808</v>
      </c>
      <c r="B2018" t="str">
        <f>IFERROR(__xludf.DUMMYFUNCTION("""COMPUTED_VALUE"""),"[金龍帽子先生] A [何佩勳] 月租金 (行號: 45)")</f>
        <v>[金龍帽子先生] A [何佩勳] 月租金 (行號: 45)</v>
      </c>
      <c r="C2018" t="str">
        <f>IFERROR(__xludf.DUMMYFUNCTION("""COMPUTED_VALUE"""),"收入 - 租金")</f>
        <v>收入 - 租金</v>
      </c>
      <c r="D2018" s="270">
        <f>IFERROR(__xludf.DUMMYFUNCTION("""COMPUTED_VALUE"""),17200.0)</f>
        <v>17200</v>
      </c>
      <c r="F2018" t="str">
        <f>IFERROR(__xludf.DUMMYFUNCTION("""COMPUTED_VALUE"""),"台銀籌備帳戶")</f>
        <v>台銀籌備帳戶</v>
      </c>
      <c r="G2018" t="str">
        <f>IFERROR(__xludf.DUMMYFUNCTION("""COMPUTED_VALUE"""),"金龍帽子先生")</f>
        <v>金龍帽子先生</v>
      </c>
      <c r="H2018" s="106" t="str">
        <f t="shared" si="1"/>
        <v>2025-05</v>
      </c>
      <c r="I2018" s="271" t="str">
        <f>IFERROR(__xludf.DUMMYFUNCTION("""COMPUTED_VALUE"""),"貓狗企鵝")</f>
        <v>貓狗企鵝</v>
      </c>
      <c r="J2018" t="str">
        <f>IFERROR(__xludf.DUMMYFUNCTION("IFS(
  AND(REGEXMATCH(E2018, ""台銀籌備帳戶|玉山帳戶""), REGEXMATCH(C2018, ""薪資"")), ""分潤支出"",
  AND(REGEXMATCH(E2018, ""Ben帳戶|Elsa帳戶|Ben代墊|Ariel代墊|中信銀行共用""), REGEXMATCH(F2018, ""Ben帳戶|Elsa帳戶|Ben代墊|Ariel代墊|中信銀行共用"")), ""內部轉帳(忽略)"",
  AND(E2018&lt;&gt;"""", F2018&lt;&gt;"""", N"&amp;"OT(REGEXMATCH(C2018, ""薪資""))), ""內部轉帳(忽略)"",
  REGEXMATCH(C2018, ""薪資""), ""薪資變動(不計入)"",
  REGEXMATCH(C2018, ""押金""), ""押金往來"",
  AND(E2018&lt;&gt;"""", F2018=""""), ""真實支出"",
  AND(E2018="""", F2018&lt;&gt;""""), ""真實收入"",
  TRUE, ""其他""
)"),"真實收入")</f>
        <v>真實收入</v>
      </c>
      <c r="K2018" s="270">
        <f t="shared" si="2"/>
        <v>17200</v>
      </c>
      <c r="L2018">
        <f t="shared" si="3"/>
        <v>0</v>
      </c>
    </row>
    <row r="2019">
      <c r="A2019" s="107">
        <f>IFERROR(__xludf.DUMMYFUNCTION("""COMPUTED_VALUE"""),45808.0)</f>
        <v>45808</v>
      </c>
      <c r="B2019" t="str">
        <f>IFERROR(__xludf.DUMMYFUNCTION("""COMPUTED_VALUE"""),"[景安2分鐘] D [鍾佩晶] 月租金 (行號: 46)")</f>
        <v>[景安2分鐘] D [鍾佩晶] 月租金 (行號: 46)</v>
      </c>
      <c r="C2019" t="str">
        <f>IFERROR(__xludf.DUMMYFUNCTION("""COMPUTED_VALUE"""),"收入 - 租金")</f>
        <v>收入 - 租金</v>
      </c>
      <c r="D2019" s="270">
        <f>IFERROR(__xludf.DUMMYFUNCTION("""COMPUTED_VALUE"""),8600.0)</f>
        <v>8600</v>
      </c>
      <c r="F2019" t="str">
        <f>IFERROR(__xludf.DUMMYFUNCTION("""COMPUTED_VALUE"""),"台銀籌備帳戶")</f>
        <v>台銀籌備帳戶</v>
      </c>
      <c r="G2019" t="str">
        <f>IFERROR(__xludf.DUMMYFUNCTION("""COMPUTED_VALUE"""),"景安2分鐘")</f>
        <v>景安2分鐘</v>
      </c>
      <c r="H2019" s="106" t="str">
        <f t="shared" si="1"/>
        <v>2025-05</v>
      </c>
      <c r="I2019" s="271" t="str">
        <f>IFERROR(__xludf.DUMMYFUNCTION("""COMPUTED_VALUE"""),"貓狗企鵝")</f>
        <v>貓狗企鵝</v>
      </c>
      <c r="J2019" t="str">
        <f>IFERROR(__xludf.DUMMYFUNCTION("IFS(
  AND(REGEXMATCH(E2019, ""台銀籌備帳戶|玉山帳戶""), REGEXMATCH(C2019, ""薪資"")), ""分潤支出"",
  AND(REGEXMATCH(E2019, ""Ben帳戶|Elsa帳戶|Ben代墊|Ariel代墊|中信銀行共用""), REGEXMATCH(F2019, ""Ben帳戶|Elsa帳戶|Ben代墊|Ariel代墊|中信銀行共用"")), ""內部轉帳(忽略)"",
  AND(E2019&lt;&gt;"""", F2019&lt;&gt;"""", N"&amp;"OT(REGEXMATCH(C2019, ""薪資""))), ""內部轉帳(忽略)"",
  REGEXMATCH(C2019, ""薪資""), ""薪資變動(不計入)"",
  REGEXMATCH(C2019, ""押金""), ""押金往來"",
  AND(E2019&lt;&gt;"""", F2019=""""), ""真實支出"",
  AND(E2019="""", F2019&lt;&gt;""""), ""真實收入"",
  TRUE, ""其他""
)"),"真實收入")</f>
        <v>真實收入</v>
      </c>
      <c r="K2019" s="270">
        <f t="shared" si="2"/>
        <v>8600</v>
      </c>
      <c r="L2019">
        <f t="shared" si="3"/>
        <v>0</v>
      </c>
    </row>
    <row r="2020">
      <c r="A2020" s="107">
        <f>IFERROR(__xludf.DUMMYFUNCTION("""COMPUTED_VALUE"""),45808.0)</f>
        <v>45808</v>
      </c>
      <c r="B2020" t="str">
        <f>IFERROR(__xludf.DUMMYFUNCTION("""COMPUTED_VALUE"""),"[南港站挑高宅] B [林鍇蓓] 月租金 (行號: 47)")</f>
        <v>[南港站挑高宅] B [林鍇蓓] 月租金 (行號: 47)</v>
      </c>
      <c r="C2020" t="str">
        <f>IFERROR(__xludf.DUMMYFUNCTION("""COMPUTED_VALUE"""),"收入 - 租金")</f>
        <v>收入 - 租金</v>
      </c>
      <c r="D2020" s="270">
        <f>IFERROR(__xludf.DUMMYFUNCTION("""COMPUTED_VALUE"""),12300.0)</f>
        <v>12300</v>
      </c>
      <c r="F2020" t="str">
        <f>IFERROR(__xludf.DUMMYFUNCTION("""COMPUTED_VALUE"""),"台銀籌備帳戶")</f>
        <v>台銀籌備帳戶</v>
      </c>
      <c r="G2020" t="str">
        <f>IFERROR(__xludf.DUMMYFUNCTION("""COMPUTED_VALUE"""),"南港站挑高宅")</f>
        <v>南港站挑高宅</v>
      </c>
      <c r="H2020" s="106" t="str">
        <f t="shared" si="1"/>
        <v>2025-05</v>
      </c>
      <c r="I2020" s="271" t="str">
        <f>IFERROR(__xludf.DUMMYFUNCTION("""COMPUTED_VALUE"""),"貓狗企鵝")</f>
        <v>貓狗企鵝</v>
      </c>
      <c r="J2020" t="str">
        <f>IFERROR(__xludf.DUMMYFUNCTION("IFS(
  AND(REGEXMATCH(E2020, ""台銀籌備帳戶|玉山帳戶""), REGEXMATCH(C2020, ""薪資"")), ""分潤支出"",
  AND(REGEXMATCH(E2020, ""Ben帳戶|Elsa帳戶|Ben代墊|Ariel代墊|中信銀行共用""), REGEXMATCH(F2020, ""Ben帳戶|Elsa帳戶|Ben代墊|Ariel代墊|中信銀行共用"")), ""內部轉帳(忽略)"",
  AND(E2020&lt;&gt;"""", F2020&lt;&gt;"""", N"&amp;"OT(REGEXMATCH(C2020, ""薪資""))), ""內部轉帳(忽略)"",
  REGEXMATCH(C2020, ""薪資""), ""薪資變動(不計入)"",
  REGEXMATCH(C2020, ""押金""), ""押金往來"",
  AND(E2020&lt;&gt;"""", F2020=""""), ""真實支出"",
  AND(E2020="""", F2020&lt;&gt;""""), ""真實收入"",
  TRUE, ""其他""
)"),"真實收入")</f>
        <v>真實收入</v>
      </c>
      <c r="K2020" s="270">
        <f t="shared" si="2"/>
        <v>12300</v>
      </c>
      <c r="L2020">
        <f t="shared" si="3"/>
        <v>0</v>
      </c>
    </row>
    <row r="2021">
      <c r="A2021" s="107">
        <f>IFERROR(__xludf.DUMMYFUNCTION("""COMPUTED_VALUE"""),45808.0)</f>
        <v>45808</v>
      </c>
      <c r="B2021" t="str">
        <f>IFERROR(__xludf.DUMMYFUNCTION("""COMPUTED_VALUE"""),"[景安2分鐘] E [楊惠閔] 月租金 (行號: 48)")</f>
        <v>[景安2分鐘] E [楊惠閔] 月租金 (行號: 48)</v>
      </c>
      <c r="C2021" t="str">
        <f>IFERROR(__xludf.DUMMYFUNCTION("""COMPUTED_VALUE"""),"收入 - 租金")</f>
        <v>收入 - 租金</v>
      </c>
      <c r="D2021" s="270">
        <f>IFERROR(__xludf.DUMMYFUNCTION("""COMPUTED_VALUE"""),10500.0)</f>
        <v>10500</v>
      </c>
      <c r="F2021" t="str">
        <f>IFERROR(__xludf.DUMMYFUNCTION("""COMPUTED_VALUE"""),"台銀籌備帳戶")</f>
        <v>台銀籌備帳戶</v>
      </c>
      <c r="G2021" t="str">
        <f>IFERROR(__xludf.DUMMYFUNCTION("""COMPUTED_VALUE"""),"景安2分鐘")</f>
        <v>景安2分鐘</v>
      </c>
      <c r="H2021" s="106" t="str">
        <f t="shared" si="1"/>
        <v>2025-05</v>
      </c>
      <c r="I2021" s="271" t="str">
        <f>IFERROR(__xludf.DUMMYFUNCTION("""COMPUTED_VALUE"""),"貓狗企鵝")</f>
        <v>貓狗企鵝</v>
      </c>
      <c r="J2021" t="str">
        <f>IFERROR(__xludf.DUMMYFUNCTION("IFS(
  AND(REGEXMATCH(E2021, ""台銀籌備帳戶|玉山帳戶""), REGEXMATCH(C2021, ""薪資"")), ""分潤支出"",
  AND(REGEXMATCH(E2021, ""Ben帳戶|Elsa帳戶|Ben代墊|Ariel代墊|中信銀行共用""), REGEXMATCH(F2021, ""Ben帳戶|Elsa帳戶|Ben代墊|Ariel代墊|中信銀行共用"")), ""內部轉帳(忽略)"",
  AND(E2021&lt;&gt;"""", F2021&lt;&gt;"""", N"&amp;"OT(REGEXMATCH(C2021, ""薪資""))), ""內部轉帳(忽略)"",
  REGEXMATCH(C2021, ""薪資""), ""薪資變動(不計入)"",
  REGEXMATCH(C2021, ""押金""), ""押金往來"",
  AND(E2021&lt;&gt;"""", F2021=""""), ""真實支出"",
  AND(E2021="""", F2021&lt;&gt;""""), ""真實收入"",
  TRUE, ""其他""
)"),"真實收入")</f>
        <v>真實收入</v>
      </c>
      <c r="K2021" s="270">
        <f t="shared" si="2"/>
        <v>10500</v>
      </c>
      <c r="L2021">
        <f t="shared" si="3"/>
        <v>0</v>
      </c>
    </row>
    <row r="2022">
      <c r="A2022" s="107">
        <f>IFERROR(__xludf.DUMMYFUNCTION("""COMPUTED_VALUE"""),45808.0)</f>
        <v>45808</v>
      </c>
      <c r="B2022" t="str">
        <f>IFERROR(__xludf.DUMMYFUNCTION("""COMPUTED_VALUE"""),"[景安2分鐘] C [楊玉如] 月租金 (行號: 49)")</f>
        <v>[景安2分鐘] C [楊玉如] 月租金 (行號: 49)</v>
      </c>
      <c r="C2022" t="str">
        <f>IFERROR(__xludf.DUMMYFUNCTION("""COMPUTED_VALUE"""),"收入 - 租金")</f>
        <v>收入 - 租金</v>
      </c>
      <c r="D2022" s="270">
        <f>IFERROR(__xludf.DUMMYFUNCTION("""COMPUTED_VALUE"""),12300.0)</f>
        <v>12300</v>
      </c>
      <c r="F2022" t="str">
        <f>IFERROR(__xludf.DUMMYFUNCTION("""COMPUTED_VALUE"""),"台銀籌備帳戶")</f>
        <v>台銀籌備帳戶</v>
      </c>
      <c r="G2022" t="str">
        <f>IFERROR(__xludf.DUMMYFUNCTION("""COMPUTED_VALUE"""),"景安2分鐘")</f>
        <v>景安2分鐘</v>
      </c>
      <c r="H2022" s="106" t="str">
        <f t="shared" si="1"/>
        <v>2025-05</v>
      </c>
      <c r="I2022" s="271" t="str">
        <f>IFERROR(__xludf.DUMMYFUNCTION("""COMPUTED_VALUE"""),"貓狗企鵝")</f>
        <v>貓狗企鵝</v>
      </c>
      <c r="J2022" t="str">
        <f>IFERROR(__xludf.DUMMYFUNCTION("IFS(
  AND(REGEXMATCH(E2022, ""台銀籌備帳戶|玉山帳戶""), REGEXMATCH(C2022, ""薪資"")), ""分潤支出"",
  AND(REGEXMATCH(E2022, ""Ben帳戶|Elsa帳戶|Ben代墊|Ariel代墊|中信銀行共用""), REGEXMATCH(F2022, ""Ben帳戶|Elsa帳戶|Ben代墊|Ariel代墊|中信銀行共用"")), ""內部轉帳(忽略)"",
  AND(E2022&lt;&gt;"""", F2022&lt;&gt;"""", N"&amp;"OT(REGEXMATCH(C2022, ""薪資""))), ""內部轉帳(忽略)"",
  REGEXMATCH(C2022, ""薪資""), ""薪資變動(不計入)"",
  REGEXMATCH(C2022, ""押金""), ""押金往來"",
  AND(E2022&lt;&gt;"""", F2022=""""), ""真實支出"",
  AND(E2022="""", F2022&lt;&gt;""""), ""真實收入"",
  TRUE, ""其他""
)"),"真實收入")</f>
        <v>真實收入</v>
      </c>
      <c r="K2022" s="270">
        <f t="shared" si="2"/>
        <v>12300</v>
      </c>
      <c r="L2022">
        <f t="shared" si="3"/>
        <v>0</v>
      </c>
    </row>
    <row r="2023">
      <c r="A2023" s="107">
        <f>IFERROR(__xludf.DUMMYFUNCTION("""COMPUTED_VALUE"""),45808.0)</f>
        <v>45808</v>
      </c>
      <c r="B2023" t="str">
        <f>IFERROR(__xludf.DUMMYFUNCTION("""COMPUTED_VALUE"""),"[北醫醫師府] A [吳緯程] 月租金 (行號: 50)")</f>
        <v>[北醫醫師府] A [吳緯程] 月租金 (行號: 50)</v>
      </c>
      <c r="C2023" t="str">
        <f>IFERROR(__xludf.DUMMYFUNCTION("""COMPUTED_VALUE"""),"收入 - 租金")</f>
        <v>收入 - 租金</v>
      </c>
      <c r="D2023" s="270">
        <f>IFERROR(__xludf.DUMMYFUNCTION("""COMPUTED_VALUE"""),13000.0)</f>
        <v>13000</v>
      </c>
      <c r="F2023" t="str">
        <f>IFERROR(__xludf.DUMMYFUNCTION("""COMPUTED_VALUE"""),"台銀籌備帳戶")</f>
        <v>台銀籌備帳戶</v>
      </c>
      <c r="G2023" t="str">
        <f>IFERROR(__xludf.DUMMYFUNCTION("""COMPUTED_VALUE"""),"北醫醫師府")</f>
        <v>北醫醫師府</v>
      </c>
      <c r="H2023" s="106" t="str">
        <f t="shared" si="1"/>
        <v>2025-05</v>
      </c>
      <c r="I2023" s="271" t="str">
        <f>IFERROR(__xludf.DUMMYFUNCTION("""COMPUTED_VALUE"""),"貓狗企鵝")</f>
        <v>貓狗企鵝</v>
      </c>
      <c r="J2023" t="str">
        <f>IFERROR(__xludf.DUMMYFUNCTION("IFS(
  AND(REGEXMATCH(E2023, ""台銀籌備帳戶|玉山帳戶""), REGEXMATCH(C2023, ""薪資"")), ""分潤支出"",
  AND(REGEXMATCH(E2023, ""Ben帳戶|Elsa帳戶|Ben代墊|Ariel代墊|中信銀行共用""), REGEXMATCH(F2023, ""Ben帳戶|Elsa帳戶|Ben代墊|Ariel代墊|中信銀行共用"")), ""內部轉帳(忽略)"",
  AND(E2023&lt;&gt;"""", F2023&lt;&gt;"""", N"&amp;"OT(REGEXMATCH(C2023, ""薪資""))), ""內部轉帳(忽略)"",
  REGEXMATCH(C2023, ""薪資""), ""薪資變動(不計入)"",
  REGEXMATCH(C2023, ""押金""), ""押金往來"",
  AND(E2023&lt;&gt;"""", F2023=""""), ""真實支出"",
  AND(E2023="""", F2023&lt;&gt;""""), ""真實收入"",
  TRUE, ""其他""
)"),"真實收入")</f>
        <v>真實收入</v>
      </c>
      <c r="K2023" s="270">
        <f t="shared" si="2"/>
        <v>13000</v>
      </c>
      <c r="L2023">
        <f t="shared" si="3"/>
        <v>0</v>
      </c>
    </row>
    <row r="2024">
      <c r="A2024" s="107">
        <f>IFERROR(__xludf.DUMMYFUNCTION("""COMPUTED_VALUE"""),45809.0)</f>
        <v>45809</v>
      </c>
      <c r="B2024" t="str">
        <f>IFERROR(__xludf.DUMMYFUNCTION("""COMPUTED_VALUE"""),"[永春四號] C [林聿妡] 月租金 (行號: 51)")</f>
        <v>[永春四號] C [林聿妡] 月租金 (行號: 51)</v>
      </c>
      <c r="C2024" t="str">
        <f>IFERROR(__xludf.DUMMYFUNCTION("""COMPUTED_VALUE"""),"收入 - 租金")</f>
        <v>收入 - 租金</v>
      </c>
      <c r="D2024" s="270">
        <f>IFERROR(__xludf.DUMMYFUNCTION("""COMPUTED_VALUE"""),12800.0)</f>
        <v>12800</v>
      </c>
      <c r="F2024" t="str">
        <f>IFERROR(__xludf.DUMMYFUNCTION("""COMPUTED_VALUE"""),"台銀籌備帳戶")</f>
        <v>台銀籌備帳戶</v>
      </c>
      <c r="G2024" t="str">
        <f>IFERROR(__xludf.DUMMYFUNCTION("""COMPUTED_VALUE"""),"永春四號")</f>
        <v>永春四號</v>
      </c>
      <c r="H2024" s="106" t="str">
        <f t="shared" si="1"/>
        <v>2025-06</v>
      </c>
      <c r="I2024" s="271" t="str">
        <f>IFERROR(__xludf.DUMMYFUNCTION("""COMPUTED_VALUE"""),"貓狗企鵝")</f>
        <v>貓狗企鵝</v>
      </c>
      <c r="J2024" t="str">
        <f>IFERROR(__xludf.DUMMYFUNCTION("IFS(
  AND(REGEXMATCH(E2024, ""台銀籌備帳戶|玉山帳戶""), REGEXMATCH(C2024, ""薪資"")), ""分潤支出"",
  AND(REGEXMATCH(E2024, ""Ben帳戶|Elsa帳戶|Ben代墊|Ariel代墊|中信銀行共用""), REGEXMATCH(F2024, ""Ben帳戶|Elsa帳戶|Ben代墊|Ariel代墊|中信銀行共用"")), ""內部轉帳(忽略)"",
  AND(E2024&lt;&gt;"""", F2024&lt;&gt;"""", N"&amp;"OT(REGEXMATCH(C2024, ""薪資""))), ""內部轉帳(忽略)"",
  REGEXMATCH(C2024, ""薪資""), ""薪資變動(不計入)"",
  REGEXMATCH(C2024, ""押金""), ""押金往來"",
  AND(E2024&lt;&gt;"""", F2024=""""), ""真實支出"",
  AND(E2024="""", F2024&lt;&gt;""""), ""真實收入"",
  TRUE, ""其他""
)"),"真實收入")</f>
        <v>真實收入</v>
      </c>
      <c r="K2024" s="270">
        <f t="shared" si="2"/>
        <v>12800</v>
      </c>
      <c r="L2024">
        <f t="shared" si="3"/>
        <v>0</v>
      </c>
    </row>
    <row r="2025">
      <c r="A2025" s="107">
        <f>IFERROR(__xludf.DUMMYFUNCTION("""COMPUTED_VALUE"""),45809.0)</f>
        <v>45809</v>
      </c>
      <c r="B2025" t="str">
        <f>IFERROR(__xludf.DUMMYFUNCTION("""COMPUTED_VALUE"""),"[北醫醫師府] C [余典蓉] 月租金 (行號: 65)")</f>
        <v>[北醫醫師府] C [余典蓉] 月租金 (行號: 65)</v>
      </c>
      <c r="C2025" t="str">
        <f>IFERROR(__xludf.DUMMYFUNCTION("""COMPUTED_VALUE"""),"收入 - 租金")</f>
        <v>收入 - 租金</v>
      </c>
      <c r="D2025" s="270">
        <f>IFERROR(__xludf.DUMMYFUNCTION("""COMPUTED_VALUE"""),13000.0)</f>
        <v>13000</v>
      </c>
      <c r="F2025" t="str">
        <f>IFERROR(__xludf.DUMMYFUNCTION("""COMPUTED_VALUE"""),"台銀籌備帳戶")</f>
        <v>台銀籌備帳戶</v>
      </c>
      <c r="G2025" t="str">
        <f>IFERROR(__xludf.DUMMYFUNCTION("""COMPUTED_VALUE"""),"北醫醫師府")</f>
        <v>北醫醫師府</v>
      </c>
      <c r="H2025" s="106" t="str">
        <f t="shared" si="1"/>
        <v>2025-06</v>
      </c>
      <c r="I2025" s="271" t="str">
        <f>IFERROR(__xludf.DUMMYFUNCTION("""COMPUTED_VALUE"""),"貓狗企鵝")</f>
        <v>貓狗企鵝</v>
      </c>
      <c r="J2025" t="str">
        <f>IFERROR(__xludf.DUMMYFUNCTION("IFS(
  AND(REGEXMATCH(E2025, ""台銀籌備帳戶|玉山帳戶""), REGEXMATCH(C2025, ""薪資"")), ""分潤支出"",
  AND(REGEXMATCH(E2025, ""Ben帳戶|Elsa帳戶|Ben代墊|Ariel代墊|中信銀行共用""), REGEXMATCH(F2025, ""Ben帳戶|Elsa帳戶|Ben代墊|Ariel代墊|中信銀行共用"")), ""內部轉帳(忽略)"",
  AND(E2025&lt;&gt;"""", F2025&lt;&gt;"""", N"&amp;"OT(REGEXMATCH(C2025, ""薪資""))), ""內部轉帳(忽略)"",
  REGEXMATCH(C2025, ""薪資""), ""薪資變動(不計入)"",
  REGEXMATCH(C2025, ""押金""), ""押金往來"",
  AND(E2025&lt;&gt;"""", F2025=""""), ""真實支出"",
  AND(E2025="""", F2025&lt;&gt;""""), ""真實收入"",
  TRUE, ""其他""
)"),"真實收入")</f>
        <v>真實收入</v>
      </c>
      <c r="K2025" s="270">
        <f t="shared" si="2"/>
        <v>13000</v>
      </c>
      <c r="L2025">
        <f t="shared" si="3"/>
        <v>0</v>
      </c>
    </row>
    <row r="2026">
      <c r="A2026" s="107">
        <f>IFERROR(__xludf.DUMMYFUNCTION("""COMPUTED_VALUE"""),45809.0)</f>
        <v>45809</v>
      </c>
      <c r="B2026" t="str">
        <f>IFERROR(__xludf.DUMMYFUNCTION("""COMPUTED_VALUE"""),"[永春四號] B [袁家鳳] 月租金 (行號: 66)")</f>
        <v>[永春四號] B [袁家鳳] 月租金 (行號: 66)</v>
      </c>
      <c r="C2026" t="str">
        <f>IFERROR(__xludf.DUMMYFUNCTION("""COMPUTED_VALUE"""),"收入 - 租金")</f>
        <v>收入 - 租金</v>
      </c>
      <c r="D2026" s="270">
        <f>IFERROR(__xludf.DUMMYFUNCTION("""COMPUTED_VALUE"""),13500.0)</f>
        <v>13500</v>
      </c>
      <c r="F2026" t="str">
        <f>IFERROR(__xludf.DUMMYFUNCTION("""COMPUTED_VALUE"""),"台銀籌備帳戶")</f>
        <v>台銀籌備帳戶</v>
      </c>
      <c r="G2026" t="str">
        <f>IFERROR(__xludf.DUMMYFUNCTION("""COMPUTED_VALUE"""),"永春四號")</f>
        <v>永春四號</v>
      </c>
      <c r="H2026" s="106" t="str">
        <f t="shared" si="1"/>
        <v>2025-06</v>
      </c>
      <c r="I2026" s="271" t="str">
        <f>IFERROR(__xludf.DUMMYFUNCTION("""COMPUTED_VALUE"""),"貓狗企鵝")</f>
        <v>貓狗企鵝</v>
      </c>
      <c r="J2026" t="str">
        <f>IFERROR(__xludf.DUMMYFUNCTION("IFS(
  AND(REGEXMATCH(E2026, ""台銀籌備帳戶|玉山帳戶""), REGEXMATCH(C2026, ""薪資"")), ""分潤支出"",
  AND(REGEXMATCH(E2026, ""Ben帳戶|Elsa帳戶|Ben代墊|Ariel代墊|中信銀行共用""), REGEXMATCH(F2026, ""Ben帳戶|Elsa帳戶|Ben代墊|Ariel代墊|中信銀行共用"")), ""內部轉帳(忽略)"",
  AND(E2026&lt;&gt;"""", F2026&lt;&gt;"""", N"&amp;"OT(REGEXMATCH(C2026, ""薪資""))), ""內部轉帳(忽略)"",
  REGEXMATCH(C2026, ""薪資""), ""薪資變動(不計入)"",
  REGEXMATCH(C2026, ""押金""), ""押金往來"",
  AND(E2026&lt;&gt;"""", F2026=""""), ""真實支出"",
  AND(E2026="""", F2026&lt;&gt;""""), ""真實收入"",
  TRUE, ""其他""
)"),"真實收入")</f>
        <v>真實收入</v>
      </c>
      <c r="K2026" s="270">
        <f t="shared" si="2"/>
        <v>13500</v>
      </c>
      <c r="L2026">
        <f t="shared" si="3"/>
        <v>0</v>
      </c>
    </row>
    <row r="2027">
      <c r="A2027" s="107">
        <f>IFERROR(__xludf.DUMMYFUNCTION("""COMPUTED_VALUE"""),45809.0)</f>
        <v>45809</v>
      </c>
      <c r="B2027" t="str">
        <f>IFERROR(__xludf.DUMMYFUNCTION("""COMPUTED_VALUE"""),"[金龍帽子先生] C [鐘偉展] 月租金 (行號: 67)")</f>
        <v>[金龍帽子先生] C [鐘偉展] 月租金 (行號: 67)</v>
      </c>
      <c r="C2027" t="str">
        <f>IFERROR(__xludf.DUMMYFUNCTION("""COMPUTED_VALUE"""),"收入 - 租金")</f>
        <v>收入 - 租金</v>
      </c>
      <c r="D2027" s="270">
        <f>IFERROR(__xludf.DUMMYFUNCTION("""COMPUTED_VALUE"""),14000.0)</f>
        <v>14000</v>
      </c>
      <c r="F2027" t="str">
        <f>IFERROR(__xludf.DUMMYFUNCTION("""COMPUTED_VALUE"""),"台銀籌備帳戶")</f>
        <v>台銀籌備帳戶</v>
      </c>
      <c r="G2027" t="str">
        <f>IFERROR(__xludf.DUMMYFUNCTION("""COMPUTED_VALUE"""),"金龍帽子先生")</f>
        <v>金龍帽子先生</v>
      </c>
      <c r="H2027" s="106" t="str">
        <f t="shared" si="1"/>
        <v>2025-06</v>
      </c>
      <c r="I2027" s="271" t="str">
        <f>IFERROR(__xludf.DUMMYFUNCTION("""COMPUTED_VALUE"""),"貓狗企鵝")</f>
        <v>貓狗企鵝</v>
      </c>
      <c r="J2027" t="str">
        <f>IFERROR(__xludf.DUMMYFUNCTION("IFS(
  AND(REGEXMATCH(E2027, ""台銀籌備帳戶|玉山帳戶""), REGEXMATCH(C2027, ""薪資"")), ""分潤支出"",
  AND(REGEXMATCH(E2027, ""Ben帳戶|Elsa帳戶|Ben代墊|Ariel代墊|中信銀行共用""), REGEXMATCH(F2027, ""Ben帳戶|Elsa帳戶|Ben代墊|Ariel代墊|中信銀行共用"")), ""內部轉帳(忽略)"",
  AND(E2027&lt;&gt;"""", F2027&lt;&gt;"""", N"&amp;"OT(REGEXMATCH(C2027, ""薪資""))), ""內部轉帳(忽略)"",
  REGEXMATCH(C2027, ""薪資""), ""薪資變動(不計入)"",
  REGEXMATCH(C2027, ""押金""), ""押金往來"",
  AND(E2027&lt;&gt;"""", F2027=""""), ""真實支出"",
  AND(E2027="""", F2027&lt;&gt;""""), ""真實收入"",
  TRUE, ""其他""
)"),"真實收入")</f>
        <v>真實收入</v>
      </c>
      <c r="K2027" s="270">
        <f t="shared" si="2"/>
        <v>14000</v>
      </c>
      <c r="L2027">
        <f t="shared" si="3"/>
        <v>0</v>
      </c>
    </row>
    <row r="2028">
      <c r="A2028" s="107">
        <f>IFERROR(__xludf.DUMMYFUNCTION("""COMPUTED_VALUE"""),45809.0)</f>
        <v>45809</v>
      </c>
      <c r="B2028" t="str">
        <f>IFERROR(__xludf.DUMMYFUNCTION("""COMPUTED_VALUE"""),"[中山北娘家旁] D [洪琦媜] 月租金 (行號: 68)")</f>
        <v>[中山北娘家旁] D [洪琦媜] 月租金 (行號: 68)</v>
      </c>
      <c r="C2028" t="str">
        <f>IFERROR(__xludf.DUMMYFUNCTION("""COMPUTED_VALUE"""),"收入 - 租金")</f>
        <v>收入 - 租金</v>
      </c>
      <c r="D2028" s="270">
        <f>IFERROR(__xludf.DUMMYFUNCTION("""COMPUTED_VALUE"""),14500.0)</f>
        <v>14500</v>
      </c>
      <c r="F2028" t="str">
        <f>IFERROR(__xludf.DUMMYFUNCTION("""COMPUTED_VALUE"""),"台銀籌備帳戶")</f>
        <v>台銀籌備帳戶</v>
      </c>
      <c r="G2028" t="str">
        <f>IFERROR(__xludf.DUMMYFUNCTION("""COMPUTED_VALUE"""),"中山北娘家旁")</f>
        <v>中山北娘家旁</v>
      </c>
      <c r="H2028" s="106" t="str">
        <f t="shared" si="1"/>
        <v>2025-06</v>
      </c>
      <c r="I2028" s="271" t="str">
        <f>IFERROR(__xludf.DUMMYFUNCTION("""COMPUTED_VALUE"""),"貓狗企鵝")</f>
        <v>貓狗企鵝</v>
      </c>
      <c r="J2028" t="str">
        <f>IFERROR(__xludf.DUMMYFUNCTION("IFS(
  AND(REGEXMATCH(E2028, ""台銀籌備帳戶|玉山帳戶""), REGEXMATCH(C2028, ""薪資"")), ""分潤支出"",
  AND(REGEXMATCH(E2028, ""Ben帳戶|Elsa帳戶|Ben代墊|Ariel代墊|中信銀行共用""), REGEXMATCH(F2028, ""Ben帳戶|Elsa帳戶|Ben代墊|Ariel代墊|中信銀行共用"")), ""內部轉帳(忽略)"",
  AND(E2028&lt;&gt;"""", F2028&lt;&gt;"""", N"&amp;"OT(REGEXMATCH(C2028, ""薪資""))), ""內部轉帳(忽略)"",
  REGEXMATCH(C2028, ""薪資""), ""薪資變動(不計入)"",
  REGEXMATCH(C2028, ""押金""), ""押金往來"",
  AND(E2028&lt;&gt;"""", F2028=""""), ""真實支出"",
  AND(E2028="""", F2028&lt;&gt;""""), ""真實收入"",
  TRUE, ""其他""
)"),"真實收入")</f>
        <v>真實收入</v>
      </c>
      <c r="K2028" s="270">
        <f t="shared" si="2"/>
        <v>14500</v>
      </c>
      <c r="L2028">
        <f t="shared" si="3"/>
        <v>0</v>
      </c>
    </row>
    <row r="2029">
      <c r="A2029" s="107">
        <f>IFERROR(__xludf.DUMMYFUNCTION("""COMPUTED_VALUE"""),45809.0)</f>
        <v>45809</v>
      </c>
      <c r="B2029" t="str">
        <f>IFERROR(__xludf.DUMMYFUNCTION("""COMPUTED_VALUE"""),"[大湖山莊] A [熊翊丞] 月租金 (行號: 69)")</f>
        <v>[大湖山莊] A [熊翊丞] 月租金 (行號: 69)</v>
      </c>
      <c r="C2029" t="str">
        <f>IFERROR(__xludf.DUMMYFUNCTION("""COMPUTED_VALUE"""),"收入 - 租金")</f>
        <v>收入 - 租金</v>
      </c>
      <c r="D2029" s="270">
        <f>IFERROR(__xludf.DUMMYFUNCTION("""COMPUTED_VALUE"""),13300.0)</f>
        <v>13300</v>
      </c>
      <c r="F2029" t="str">
        <f>IFERROR(__xludf.DUMMYFUNCTION("""COMPUTED_VALUE"""),"台銀籌備帳戶")</f>
        <v>台銀籌備帳戶</v>
      </c>
      <c r="G2029" t="str">
        <f>IFERROR(__xludf.DUMMYFUNCTION("""COMPUTED_VALUE"""),"大湖山莊")</f>
        <v>大湖山莊</v>
      </c>
      <c r="H2029" s="106" t="str">
        <f t="shared" si="1"/>
        <v>2025-06</v>
      </c>
      <c r="I2029" s="271" t="str">
        <f>IFERROR(__xludf.DUMMYFUNCTION("""COMPUTED_VALUE"""),"貓狗企鵝")</f>
        <v>貓狗企鵝</v>
      </c>
      <c r="J2029" t="str">
        <f>IFERROR(__xludf.DUMMYFUNCTION("IFS(
  AND(REGEXMATCH(E2029, ""台銀籌備帳戶|玉山帳戶""), REGEXMATCH(C2029, ""薪資"")), ""分潤支出"",
  AND(REGEXMATCH(E2029, ""Ben帳戶|Elsa帳戶|Ben代墊|Ariel代墊|中信銀行共用""), REGEXMATCH(F2029, ""Ben帳戶|Elsa帳戶|Ben代墊|Ariel代墊|中信銀行共用"")), ""內部轉帳(忽略)"",
  AND(E2029&lt;&gt;"""", F2029&lt;&gt;"""", N"&amp;"OT(REGEXMATCH(C2029, ""薪資""))), ""內部轉帳(忽略)"",
  REGEXMATCH(C2029, ""薪資""), ""薪資變動(不計入)"",
  REGEXMATCH(C2029, ""押金""), ""押金往來"",
  AND(E2029&lt;&gt;"""", F2029=""""), ""真實支出"",
  AND(E2029="""", F2029&lt;&gt;""""), ""真實收入"",
  TRUE, ""其他""
)"),"真實收入")</f>
        <v>真實收入</v>
      </c>
      <c r="K2029" s="270">
        <f t="shared" si="2"/>
        <v>13300</v>
      </c>
      <c r="L2029">
        <f t="shared" si="3"/>
        <v>0</v>
      </c>
    </row>
    <row r="2030">
      <c r="A2030" s="107">
        <f>IFERROR(__xludf.DUMMYFUNCTION("""COMPUTED_VALUE"""),45809.0)</f>
        <v>45809</v>
      </c>
      <c r="B2030" t="str">
        <f>IFERROR(__xludf.DUMMYFUNCTION("""COMPUTED_VALUE"""),"[中山北Feli家] D [邱佳慧] 月租金 (行號: 70)")</f>
        <v>[中山北Feli家] D [邱佳慧] 月租金 (行號: 70)</v>
      </c>
      <c r="C2030" t="str">
        <f>IFERROR(__xludf.DUMMYFUNCTION("""COMPUTED_VALUE"""),"收入 - 租金")</f>
        <v>收入 - 租金</v>
      </c>
      <c r="D2030" s="270">
        <f>IFERROR(__xludf.DUMMYFUNCTION("""COMPUTED_VALUE"""),10800.0)</f>
        <v>10800</v>
      </c>
      <c r="F2030" t="str">
        <f>IFERROR(__xludf.DUMMYFUNCTION("""COMPUTED_VALUE"""),"台銀籌備帳戶")</f>
        <v>台銀籌備帳戶</v>
      </c>
      <c r="G2030" t="str">
        <f>IFERROR(__xludf.DUMMYFUNCTION("""COMPUTED_VALUE"""),"中山北Feli家")</f>
        <v>中山北Feli家</v>
      </c>
      <c r="H2030" s="106" t="str">
        <f t="shared" si="1"/>
        <v>2025-06</v>
      </c>
      <c r="I2030" s="271" t="str">
        <f>IFERROR(__xludf.DUMMYFUNCTION("""COMPUTED_VALUE"""),"貓狗企鵝")</f>
        <v>貓狗企鵝</v>
      </c>
      <c r="J2030" t="str">
        <f>IFERROR(__xludf.DUMMYFUNCTION("IFS(
  AND(REGEXMATCH(E2030, ""台銀籌備帳戶|玉山帳戶""), REGEXMATCH(C2030, ""薪資"")), ""分潤支出"",
  AND(REGEXMATCH(E2030, ""Ben帳戶|Elsa帳戶|Ben代墊|Ariel代墊|中信銀行共用""), REGEXMATCH(F2030, ""Ben帳戶|Elsa帳戶|Ben代墊|Ariel代墊|中信銀行共用"")), ""內部轉帳(忽略)"",
  AND(E2030&lt;&gt;"""", F2030&lt;&gt;"""", N"&amp;"OT(REGEXMATCH(C2030, ""薪資""))), ""內部轉帳(忽略)"",
  REGEXMATCH(C2030, ""薪資""), ""薪資變動(不計入)"",
  REGEXMATCH(C2030, ""押金""), ""押金往來"",
  AND(E2030&lt;&gt;"""", F2030=""""), ""真實支出"",
  AND(E2030="""", F2030&lt;&gt;""""), ""真實收入"",
  TRUE, ""其他""
)"),"真實收入")</f>
        <v>真實收入</v>
      </c>
      <c r="K2030" s="270">
        <f t="shared" si="2"/>
        <v>10800</v>
      </c>
      <c r="L2030">
        <f t="shared" si="3"/>
        <v>0</v>
      </c>
    </row>
    <row r="2031">
      <c r="A2031" s="107">
        <f>IFERROR(__xludf.DUMMYFUNCTION("""COMPUTED_VALUE"""),45809.0)</f>
        <v>45809</v>
      </c>
      <c r="B2031" t="str">
        <f>IFERROR(__xludf.DUMMYFUNCTION("""COMPUTED_VALUE"""),"[北醫醫師府] D [劉怡秀] 月租金 (行號: 71)")</f>
        <v>[北醫醫師府] D [劉怡秀] 月租金 (行號: 71)</v>
      </c>
      <c r="C2031" t="str">
        <f>IFERROR(__xludf.DUMMYFUNCTION("""COMPUTED_VALUE"""),"收入 - 租金")</f>
        <v>收入 - 租金</v>
      </c>
      <c r="D2031" s="270">
        <f>IFERROR(__xludf.DUMMYFUNCTION("""COMPUTED_VALUE"""),12000.0)</f>
        <v>12000</v>
      </c>
      <c r="F2031" t="str">
        <f>IFERROR(__xludf.DUMMYFUNCTION("""COMPUTED_VALUE"""),"台銀籌備帳戶")</f>
        <v>台銀籌備帳戶</v>
      </c>
      <c r="G2031" t="str">
        <f>IFERROR(__xludf.DUMMYFUNCTION("""COMPUTED_VALUE"""),"北醫醫師府")</f>
        <v>北醫醫師府</v>
      </c>
      <c r="H2031" s="106" t="str">
        <f t="shared" si="1"/>
        <v>2025-06</v>
      </c>
      <c r="I2031" s="271" t="str">
        <f>IFERROR(__xludf.DUMMYFUNCTION("""COMPUTED_VALUE"""),"貓狗企鵝")</f>
        <v>貓狗企鵝</v>
      </c>
      <c r="J2031" t="str">
        <f>IFERROR(__xludf.DUMMYFUNCTION("IFS(
  AND(REGEXMATCH(E2031, ""台銀籌備帳戶|玉山帳戶""), REGEXMATCH(C2031, ""薪資"")), ""分潤支出"",
  AND(REGEXMATCH(E2031, ""Ben帳戶|Elsa帳戶|Ben代墊|Ariel代墊|中信銀行共用""), REGEXMATCH(F2031, ""Ben帳戶|Elsa帳戶|Ben代墊|Ariel代墊|中信銀行共用"")), ""內部轉帳(忽略)"",
  AND(E2031&lt;&gt;"""", F2031&lt;&gt;"""", N"&amp;"OT(REGEXMATCH(C2031, ""薪資""))), ""內部轉帳(忽略)"",
  REGEXMATCH(C2031, ""薪資""), ""薪資變動(不計入)"",
  REGEXMATCH(C2031, ""押金""), ""押金往來"",
  AND(E2031&lt;&gt;"""", F2031=""""), ""真實支出"",
  AND(E2031="""", F2031&lt;&gt;""""), ""真實收入"",
  TRUE, ""其他""
)"),"真實收入")</f>
        <v>真實收入</v>
      </c>
      <c r="K2031" s="270">
        <f t="shared" si="2"/>
        <v>12000</v>
      </c>
      <c r="L2031">
        <f t="shared" si="3"/>
        <v>0</v>
      </c>
    </row>
    <row r="2032">
      <c r="A2032" s="107">
        <f>IFERROR(__xludf.DUMMYFUNCTION("""COMPUTED_VALUE"""),45809.0)</f>
        <v>45809</v>
      </c>
      <c r="B2032" t="str">
        <f>IFERROR(__xludf.DUMMYFUNCTION("""COMPUTED_VALUE"""),"[哈拉對面] B [鄭又菡] 月租金 (行號: 72)")</f>
        <v>[哈拉對面] B [鄭又菡] 月租金 (行號: 72)</v>
      </c>
      <c r="C2032" t="str">
        <f>IFERROR(__xludf.DUMMYFUNCTION("""COMPUTED_VALUE"""),"收入 - 租金")</f>
        <v>收入 - 租金</v>
      </c>
      <c r="D2032" s="270">
        <f>IFERROR(__xludf.DUMMYFUNCTION("""COMPUTED_VALUE"""),15800.0)</f>
        <v>15800</v>
      </c>
      <c r="F2032" t="str">
        <f>IFERROR(__xludf.DUMMYFUNCTION("""COMPUTED_VALUE"""),"台銀籌備帳戶")</f>
        <v>台銀籌備帳戶</v>
      </c>
      <c r="G2032" t="str">
        <f>IFERROR(__xludf.DUMMYFUNCTION("""COMPUTED_VALUE"""),"哈拉對面")</f>
        <v>哈拉對面</v>
      </c>
      <c r="H2032" s="106" t="str">
        <f t="shared" si="1"/>
        <v>2025-06</v>
      </c>
      <c r="I2032" s="271" t="str">
        <f>IFERROR(__xludf.DUMMYFUNCTION("""COMPUTED_VALUE"""),"貓狗企鵝")</f>
        <v>貓狗企鵝</v>
      </c>
      <c r="J2032" t="str">
        <f>IFERROR(__xludf.DUMMYFUNCTION("IFS(
  AND(REGEXMATCH(E2032, ""台銀籌備帳戶|玉山帳戶""), REGEXMATCH(C2032, ""薪資"")), ""分潤支出"",
  AND(REGEXMATCH(E2032, ""Ben帳戶|Elsa帳戶|Ben代墊|Ariel代墊|中信銀行共用""), REGEXMATCH(F2032, ""Ben帳戶|Elsa帳戶|Ben代墊|Ariel代墊|中信銀行共用"")), ""內部轉帳(忽略)"",
  AND(E2032&lt;&gt;"""", F2032&lt;&gt;"""", N"&amp;"OT(REGEXMATCH(C2032, ""薪資""))), ""內部轉帳(忽略)"",
  REGEXMATCH(C2032, ""薪資""), ""薪資變動(不計入)"",
  REGEXMATCH(C2032, ""押金""), ""押金往來"",
  AND(E2032&lt;&gt;"""", F2032=""""), ""真實支出"",
  AND(E2032="""", F2032&lt;&gt;""""), ""真實收入"",
  TRUE, ""其他""
)"),"真實收入")</f>
        <v>真實收入</v>
      </c>
      <c r="K2032" s="270">
        <f t="shared" si="2"/>
        <v>15800</v>
      </c>
      <c r="L2032">
        <f t="shared" si="3"/>
        <v>0</v>
      </c>
    </row>
    <row r="2033">
      <c r="A2033" s="107">
        <f>IFERROR(__xludf.DUMMYFUNCTION("""COMPUTED_VALUE"""),45809.0)</f>
        <v>45809</v>
      </c>
      <c r="B2033" t="str">
        <f>IFERROR(__xludf.DUMMYFUNCTION("""COMPUTED_VALUE"""),"[金龍帽子先生] B [謝歆俞] 月租金 (行號: 73)")</f>
        <v>[金龍帽子先生] B [謝歆俞] 月租金 (行號: 73)</v>
      </c>
      <c r="C2033" t="str">
        <f>IFERROR(__xludf.DUMMYFUNCTION("""COMPUTED_VALUE"""),"收入 - 租金")</f>
        <v>收入 - 租金</v>
      </c>
      <c r="D2033" s="270">
        <f>IFERROR(__xludf.DUMMYFUNCTION("""COMPUTED_VALUE"""),12700.0)</f>
        <v>12700</v>
      </c>
      <c r="F2033" t="str">
        <f>IFERROR(__xludf.DUMMYFUNCTION("""COMPUTED_VALUE"""),"台銀籌備帳戶")</f>
        <v>台銀籌備帳戶</v>
      </c>
      <c r="G2033" t="str">
        <f>IFERROR(__xludf.DUMMYFUNCTION("""COMPUTED_VALUE"""),"金龍帽子先生")</f>
        <v>金龍帽子先生</v>
      </c>
      <c r="H2033" s="106" t="str">
        <f t="shared" si="1"/>
        <v>2025-06</v>
      </c>
      <c r="I2033" s="271" t="str">
        <f>IFERROR(__xludf.DUMMYFUNCTION("""COMPUTED_VALUE"""),"貓狗企鵝")</f>
        <v>貓狗企鵝</v>
      </c>
      <c r="J2033" t="str">
        <f>IFERROR(__xludf.DUMMYFUNCTION("IFS(
  AND(REGEXMATCH(E2033, ""台銀籌備帳戶|玉山帳戶""), REGEXMATCH(C2033, ""薪資"")), ""分潤支出"",
  AND(REGEXMATCH(E2033, ""Ben帳戶|Elsa帳戶|Ben代墊|Ariel代墊|中信銀行共用""), REGEXMATCH(F2033, ""Ben帳戶|Elsa帳戶|Ben代墊|Ariel代墊|中信銀行共用"")), ""內部轉帳(忽略)"",
  AND(E2033&lt;&gt;"""", F2033&lt;&gt;"""", N"&amp;"OT(REGEXMATCH(C2033, ""薪資""))), ""內部轉帳(忽略)"",
  REGEXMATCH(C2033, ""薪資""), ""薪資變動(不計入)"",
  REGEXMATCH(C2033, ""押金""), ""押金往來"",
  AND(E2033&lt;&gt;"""", F2033=""""), ""真實支出"",
  AND(E2033="""", F2033&lt;&gt;""""), ""真實收入"",
  TRUE, ""其他""
)"),"真實收入")</f>
        <v>真實收入</v>
      </c>
      <c r="K2033" s="270">
        <f t="shared" si="2"/>
        <v>12700</v>
      </c>
      <c r="L2033">
        <f t="shared" si="3"/>
        <v>0</v>
      </c>
    </row>
    <row r="2034">
      <c r="A2034" s="107">
        <f>IFERROR(__xludf.DUMMYFUNCTION("""COMPUTED_VALUE"""),45809.0)</f>
        <v>45809</v>
      </c>
      <c r="B2034" t="str">
        <f>IFERROR(__xludf.DUMMYFUNCTION("""COMPUTED_VALUE"""),"[永春四號] D [翁政熙] 月租金 (行號: 74)")</f>
        <v>[永春四號] D [翁政熙] 月租金 (行號: 74)</v>
      </c>
      <c r="C2034" t="str">
        <f>IFERROR(__xludf.DUMMYFUNCTION("""COMPUTED_VALUE"""),"收入 - 租金")</f>
        <v>收入 - 租金</v>
      </c>
      <c r="D2034" s="270">
        <f>IFERROR(__xludf.DUMMYFUNCTION("""COMPUTED_VALUE"""),14300.0)</f>
        <v>14300</v>
      </c>
      <c r="F2034" t="str">
        <f>IFERROR(__xludf.DUMMYFUNCTION("""COMPUTED_VALUE"""),"台銀籌備帳戶")</f>
        <v>台銀籌備帳戶</v>
      </c>
      <c r="G2034" t="str">
        <f>IFERROR(__xludf.DUMMYFUNCTION("""COMPUTED_VALUE"""),"永春四號")</f>
        <v>永春四號</v>
      </c>
      <c r="H2034" s="106" t="str">
        <f t="shared" si="1"/>
        <v>2025-06</v>
      </c>
      <c r="I2034" s="271" t="str">
        <f>IFERROR(__xludf.DUMMYFUNCTION("""COMPUTED_VALUE"""),"貓狗企鵝")</f>
        <v>貓狗企鵝</v>
      </c>
      <c r="J2034" t="str">
        <f>IFERROR(__xludf.DUMMYFUNCTION("IFS(
  AND(REGEXMATCH(E2034, ""台銀籌備帳戶|玉山帳戶""), REGEXMATCH(C2034, ""薪資"")), ""分潤支出"",
  AND(REGEXMATCH(E2034, ""Ben帳戶|Elsa帳戶|Ben代墊|Ariel代墊|中信銀行共用""), REGEXMATCH(F2034, ""Ben帳戶|Elsa帳戶|Ben代墊|Ariel代墊|中信銀行共用"")), ""內部轉帳(忽略)"",
  AND(E2034&lt;&gt;"""", F2034&lt;&gt;"""", N"&amp;"OT(REGEXMATCH(C2034, ""薪資""))), ""內部轉帳(忽略)"",
  REGEXMATCH(C2034, ""薪資""), ""薪資變動(不計入)"",
  REGEXMATCH(C2034, ""押金""), ""押金往來"",
  AND(E2034&lt;&gt;"""", F2034=""""), ""真實支出"",
  AND(E2034="""", F2034&lt;&gt;""""), ""真實收入"",
  TRUE, ""其他""
)"),"真實收入")</f>
        <v>真實收入</v>
      </c>
      <c r="K2034" s="270">
        <f t="shared" si="2"/>
        <v>14300</v>
      </c>
      <c r="L2034">
        <f t="shared" si="3"/>
        <v>0</v>
      </c>
    </row>
    <row r="2035">
      <c r="A2035" s="107">
        <f>IFERROR(__xludf.DUMMYFUNCTION("""COMPUTED_VALUE"""),45809.0)</f>
        <v>45809</v>
      </c>
      <c r="B2035" t="str">
        <f>IFERROR(__xludf.DUMMYFUNCTION("""COMPUTED_VALUE"""),"[金龍帽子先生] D [林紫婕] 月租金 (行號: 75)")</f>
        <v>[金龍帽子先生] D [林紫婕] 月租金 (行號: 75)</v>
      </c>
      <c r="C2035" t="str">
        <f>IFERROR(__xludf.DUMMYFUNCTION("""COMPUTED_VALUE"""),"收入 - 租金")</f>
        <v>收入 - 租金</v>
      </c>
      <c r="D2035" s="270">
        <f>IFERROR(__xludf.DUMMYFUNCTION("""COMPUTED_VALUE"""),14500.0)</f>
        <v>14500</v>
      </c>
      <c r="F2035" t="str">
        <f>IFERROR(__xludf.DUMMYFUNCTION("""COMPUTED_VALUE"""),"台銀籌備帳戶")</f>
        <v>台銀籌備帳戶</v>
      </c>
      <c r="G2035" t="str">
        <f>IFERROR(__xludf.DUMMYFUNCTION("""COMPUTED_VALUE"""),"金龍帽子先生")</f>
        <v>金龍帽子先生</v>
      </c>
      <c r="H2035" s="106" t="str">
        <f t="shared" si="1"/>
        <v>2025-06</v>
      </c>
      <c r="I2035" s="271" t="str">
        <f>IFERROR(__xludf.DUMMYFUNCTION("""COMPUTED_VALUE"""),"貓狗企鵝")</f>
        <v>貓狗企鵝</v>
      </c>
      <c r="J2035" t="str">
        <f>IFERROR(__xludf.DUMMYFUNCTION("IFS(
  AND(REGEXMATCH(E2035, ""台銀籌備帳戶|玉山帳戶""), REGEXMATCH(C2035, ""薪資"")), ""分潤支出"",
  AND(REGEXMATCH(E2035, ""Ben帳戶|Elsa帳戶|Ben代墊|Ariel代墊|中信銀行共用""), REGEXMATCH(F2035, ""Ben帳戶|Elsa帳戶|Ben代墊|Ariel代墊|中信銀行共用"")), ""內部轉帳(忽略)"",
  AND(E2035&lt;&gt;"""", F2035&lt;&gt;"""", N"&amp;"OT(REGEXMATCH(C2035, ""薪資""))), ""內部轉帳(忽略)"",
  REGEXMATCH(C2035, ""薪資""), ""薪資變動(不計入)"",
  REGEXMATCH(C2035, ""押金""), ""押金往來"",
  AND(E2035&lt;&gt;"""", F2035=""""), ""真實支出"",
  AND(E2035="""", F2035&lt;&gt;""""), ""真實收入"",
  TRUE, ""其他""
)"),"真實收入")</f>
        <v>真實收入</v>
      </c>
      <c r="K2035" s="270">
        <f t="shared" si="2"/>
        <v>14500</v>
      </c>
      <c r="L2035">
        <f t="shared" si="3"/>
        <v>0</v>
      </c>
    </row>
    <row r="2036">
      <c r="A2036" s="107">
        <f>IFERROR(__xludf.DUMMYFUNCTION("""COMPUTED_VALUE"""),45809.0)</f>
        <v>45809</v>
      </c>
      <c r="B2036" t="str">
        <f>IFERROR(__xludf.DUMMYFUNCTION("""COMPUTED_VALUE"""),"[南港站挑高宅] A [莊以棋] 月租金 (行號: 76)")</f>
        <v>[南港站挑高宅] A [莊以棋] 月租金 (行號: 76)</v>
      </c>
      <c r="C2036" t="str">
        <f>IFERROR(__xludf.DUMMYFUNCTION("""COMPUTED_VALUE"""),"收入 - 租金")</f>
        <v>收入 - 租金</v>
      </c>
      <c r="D2036" s="270">
        <f>IFERROR(__xludf.DUMMYFUNCTION("""COMPUTED_VALUE"""),13000.0)</f>
        <v>13000</v>
      </c>
      <c r="F2036" t="str">
        <f>IFERROR(__xludf.DUMMYFUNCTION("""COMPUTED_VALUE"""),"台銀籌備帳戶")</f>
        <v>台銀籌備帳戶</v>
      </c>
      <c r="G2036" t="str">
        <f>IFERROR(__xludf.DUMMYFUNCTION("""COMPUTED_VALUE"""),"南港站挑高宅")</f>
        <v>南港站挑高宅</v>
      </c>
      <c r="H2036" s="106" t="str">
        <f t="shared" si="1"/>
        <v>2025-06</v>
      </c>
      <c r="I2036" s="271" t="str">
        <f>IFERROR(__xludf.DUMMYFUNCTION("""COMPUTED_VALUE"""),"貓狗企鵝")</f>
        <v>貓狗企鵝</v>
      </c>
      <c r="J2036" t="str">
        <f>IFERROR(__xludf.DUMMYFUNCTION("IFS(
  AND(REGEXMATCH(E2036, ""台銀籌備帳戶|玉山帳戶""), REGEXMATCH(C2036, ""薪資"")), ""分潤支出"",
  AND(REGEXMATCH(E2036, ""Ben帳戶|Elsa帳戶|Ben代墊|Ariel代墊|中信銀行共用""), REGEXMATCH(F2036, ""Ben帳戶|Elsa帳戶|Ben代墊|Ariel代墊|中信銀行共用"")), ""內部轉帳(忽略)"",
  AND(E2036&lt;&gt;"""", F2036&lt;&gt;"""", N"&amp;"OT(REGEXMATCH(C2036, ""薪資""))), ""內部轉帳(忽略)"",
  REGEXMATCH(C2036, ""薪資""), ""薪資變動(不計入)"",
  REGEXMATCH(C2036, ""押金""), ""押金往來"",
  AND(E2036&lt;&gt;"""", F2036=""""), ""真實支出"",
  AND(E2036="""", F2036&lt;&gt;""""), ""真實收入"",
  TRUE, ""其他""
)"),"真實收入")</f>
        <v>真實收入</v>
      </c>
      <c r="K2036" s="270">
        <f t="shared" si="2"/>
        <v>13000</v>
      </c>
      <c r="L2036">
        <f t="shared" si="3"/>
        <v>0</v>
      </c>
    </row>
    <row r="2037">
      <c r="A2037" s="107">
        <f>IFERROR(__xludf.DUMMYFUNCTION("""COMPUTED_VALUE"""),45809.0)</f>
        <v>45809</v>
      </c>
      <c r="B2037" t="str">
        <f>IFERROR(__xludf.DUMMYFUNCTION("""COMPUTED_VALUE"""),"[北醫醫師府] B [王品涵] 月租金 (行號: 77)")</f>
        <v>[北醫醫師府] B [王品涵] 月租金 (行號: 77)</v>
      </c>
      <c r="C2037" t="str">
        <f>IFERROR(__xludf.DUMMYFUNCTION("""COMPUTED_VALUE"""),"收入 - 租金")</f>
        <v>收入 - 租金</v>
      </c>
      <c r="D2037" s="270">
        <f>IFERROR(__xludf.DUMMYFUNCTION("""COMPUTED_VALUE"""),17800.0)</f>
        <v>17800</v>
      </c>
      <c r="F2037" t="str">
        <f>IFERROR(__xludf.DUMMYFUNCTION("""COMPUTED_VALUE"""),"台銀籌備帳戶")</f>
        <v>台銀籌備帳戶</v>
      </c>
      <c r="G2037" t="str">
        <f>IFERROR(__xludf.DUMMYFUNCTION("""COMPUTED_VALUE"""),"北醫醫師府")</f>
        <v>北醫醫師府</v>
      </c>
      <c r="H2037" s="106" t="str">
        <f t="shared" si="1"/>
        <v>2025-06</v>
      </c>
      <c r="I2037" s="271" t="str">
        <f>IFERROR(__xludf.DUMMYFUNCTION("""COMPUTED_VALUE"""),"貓狗企鵝")</f>
        <v>貓狗企鵝</v>
      </c>
      <c r="J2037" t="str">
        <f>IFERROR(__xludf.DUMMYFUNCTION("IFS(
  AND(REGEXMATCH(E2037, ""台銀籌備帳戶|玉山帳戶""), REGEXMATCH(C2037, ""薪資"")), ""分潤支出"",
  AND(REGEXMATCH(E2037, ""Ben帳戶|Elsa帳戶|Ben代墊|Ariel代墊|中信銀行共用""), REGEXMATCH(F2037, ""Ben帳戶|Elsa帳戶|Ben代墊|Ariel代墊|中信銀行共用"")), ""內部轉帳(忽略)"",
  AND(E2037&lt;&gt;"""", F2037&lt;&gt;"""", N"&amp;"OT(REGEXMATCH(C2037, ""薪資""))), ""內部轉帳(忽略)"",
  REGEXMATCH(C2037, ""薪資""), ""薪資變動(不計入)"",
  REGEXMATCH(C2037, ""押金""), ""押金往來"",
  AND(E2037&lt;&gt;"""", F2037=""""), ""真實支出"",
  AND(E2037="""", F2037&lt;&gt;""""), ""真實收入"",
  TRUE, ""其他""
)"),"真實收入")</f>
        <v>真實收入</v>
      </c>
      <c r="K2037" s="270">
        <f t="shared" si="2"/>
        <v>17800</v>
      </c>
      <c r="L2037">
        <f t="shared" si="3"/>
        <v>0</v>
      </c>
    </row>
    <row r="2038">
      <c r="A2038" s="107">
        <f>IFERROR(__xludf.DUMMYFUNCTION("""COMPUTED_VALUE"""),45809.0)</f>
        <v>45809</v>
      </c>
      <c r="B2038" t="str">
        <f>IFERROR(__xludf.DUMMYFUNCTION("""COMPUTED_VALUE"""),"[景安2分鐘] A [蕭宇榛] 月租金 (行號: 78)")</f>
        <v>[景安2分鐘] A [蕭宇榛] 月租金 (行號: 78)</v>
      </c>
      <c r="C2038" t="str">
        <f>IFERROR(__xludf.DUMMYFUNCTION("""COMPUTED_VALUE"""),"收入 - 租金")</f>
        <v>收入 - 租金</v>
      </c>
      <c r="D2038" s="270">
        <f>IFERROR(__xludf.DUMMYFUNCTION("""COMPUTED_VALUE"""),14500.0)</f>
        <v>14500</v>
      </c>
      <c r="F2038" t="str">
        <f>IFERROR(__xludf.DUMMYFUNCTION("""COMPUTED_VALUE"""),"台銀籌備帳戶")</f>
        <v>台銀籌備帳戶</v>
      </c>
      <c r="G2038" t="str">
        <f>IFERROR(__xludf.DUMMYFUNCTION("""COMPUTED_VALUE"""),"景安2分鐘")</f>
        <v>景安2分鐘</v>
      </c>
      <c r="H2038" s="106" t="str">
        <f t="shared" si="1"/>
        <v>2025-06</v>
      </c>
      <c r="I2038" s="271" t="str">
        <f>IFERROR(__xludf.DUMMYFUNCTION("""COMPUTED_VALUE"""),"貓狗企鵝")</f>
        <v>貓狗企鵝</v>
      </c>
      <c r="J2038" t="str">
        <f>IFERROR(__xludf.DUMMYFUNCTION("IFS(
  AND(REGEXMATCH(E2038, ""台銀籌備帳戶|玉山帳戶""), REGEXMATCH(C2038, ""薪資"")), ""分潤支出"",
  AND(REGEXMATCH(E2038, ""Ben帳戶|Elsa帳戶|Ben代墊|Ariel代墊|中信銀行共用""), REGEXMATCH(F2038, ""Ben帳戶|Elsa帳戶|Ben代墊|Ariel代墊|中信銀行共用"")), ""內部轉帳(忽略)"",
  AND(E2038&lt;&gt;"""", F2038&lt;&gt;"""", N"&amp;"OT(REGEXMATCH(C2038, ""薪資""))), ""內部轉帳(忽略)"",
  REGEXMATCH(C2038, ""薪資""), ""薪資變動(不計入)"",
  REGEXMATCH(C2038, ""押金""), ""押金往來"",
  AND(E2038&lt;&gt;"""", F2038=""""), ""真實支出"",
  AND(E2038="""", F2038&lt;&gt;""""), ""真實收入"",
  TRUE, ""其他""
)"),"真實收入")</f>
        <v>真實收入</v>
      </c>
      <c r="K2038" s="270">
        <f t="shared" si="2"/>
        <v>14500</v>
      </c>
      <c r="L2038">
        <f t="shared" si="3"/>
        <v>0</v>
      </c>
    </row>
    <row r="2039">
      <c r="A2039" s="107">
        <f>IFERROR(__xludf.DUMMYFUNCTION("""COMPUTED_VALUE"""),45809.0)</f>
        <v>45809</v>
      </c>
      <c r="B2039" t="str">
        <f>IFERROR(__xludf.DUMMYFUNCTION("""COMPUTED_VALUE"""),"[中山北娘家旁] B [李彥靜] 月租金 (行號: 79)")</f>
        <v>[中山北娘家旁] B [李彥靜] 月租金 (行號: 79)</v>
      </c>
      <c r="C2039" t="str">
        <f>IFERROR(__xludf.DUMMYFUNCTION("""COMPUTED_VALUE"""),"收入 - 租金")</f>
        <v>收入 - 租金</v>
      </c>
      <c r="D2039" s="270">
        <f>IFERROR(__xludf.DUMMYFUNCTION("""COMPUTED_VALUE"""),12500.0)</f>
        <v>12500</v>
      </c>
      <c r="F2039" t="str">
        <f>IFERROR(__xludf.DUMMYFUNCTION("""COMPUTED_VALUE"""),"台銀籌備帳戶")</f>
        <v>台銀籌備帳戶</v>
      </c>
      <c r="G2039" t="str">
        <f>IFERROR(__xludf.DUMMYFUNCTION("""COMPUTED_VALUE"""),"中山北娘家旁")</f>
        <v>中山北娘家旁</v>
      </c>
      <c r="H2039" s="106" t="str">
        <f t="shared" si="1"/>
        <v>2025-06</v>
      </c>
      <c r="I2039" s="271" t="str">
        <f>IFERROR(__xludf.DUMMYFUNCTION("""COMPUTED_VALUE"""),"貓狗企鵝")</f>
        <v>貓狗企鵝</v>
      </c>
      <c r="J2039" t="str">
        <f>IFERROR(__xludf.DUMMYFUNCTION("IFS(
  AND(REGEXMATCH(E2039, ""台銀籌備帳戶|玉山帳戶""), REGEXMATCH(C2039, ""薪資"")), ""分潤支出"",
  AND(REGEXMATCH(E2039, ""Ben帳戶|Elsa帳戶|Ben代墊|Ariel代墊|中信銀行共用""), REGEXMATCH(F2039, ""Ben帳戶|Elsa帳戶|Ben代墊|Ariel代墊|中信銀行共用"")), ""內部轉帳(忽略)"",
  AND(E2039&lt;&gt;"""", F2039&lt;&gt;"""", N"&amp;"OT(REGEXMATCH(C2039, ""薪資""))), ""內部轉帳(忽略)"",
  REGEXMATCH(C2039, ""薪資""), ""薪資變動(不計入)"",
  REGEXMATCH(C2039, ""押金""), ""押金往來"",
  AND(E2039&lt;&gt;"""", F2039=""""), ""真實支出"",
  AND(E2039="""", F2039&lt;&gt;""""), ""真實收入"",
  TRUE, ""其他""
)"),"真實收入")</f>
        <v>真實收入</v>
      </c>
      <c r="K2039" s="270">
        <f t="shared" si="2"/>
        <v>12500</v>
      </c>
      <c r="L2039">
        <f t="shared" si="3"/>
        <v>0</v>
      </c>
    </row>
    <row r="2040">
      <c r="A2040" s="107">
        <f>IFERROR(__xludf.DUMMYFUNCTION("""COMPUTED_VALUE"""),45809.0)</f>
        <v>45809</v>
      </c>
      <c r="B2040" t="str">
        <f>IFERROR(__xludf.DUMMYFUNCTION("""COMPUTED_VALUE"""),"[市府爺爺家] A [董書鵬, 張瑋珊] 月租金 (行號: 80)")</f>
        <v>[市府爺爺家] A [董書鵬, 張瑋珊] 月租金 (行號: 80)</v>
      </c>
      <c r="C2040" t="str">
        <f>IFERROR(__xludf.DUMMYFUNCTION("""COMPUTED_VALUE"""),"收入 - 租金")</f>
        <v>收入 - 租金</v>
      </c>
      <c r="D2040" s="270">
        <f>IFERROR(__xludf.DUMMYFUNCTION("""COMPUTED_VALUE"""),22000.0)</f>
        <v>22000</v>
      </c>
      <c r="F2040" t="str">
        <f>IFERROR(__xludf.DUMMYFUNCTION("""COMPUTED_VALUE"""),"台銀籌備帳戶")</f>
        <v>台銀籌備帳戶</v>
      </c>
      <c r="G2040" t="str">
        <f>IFERROR(__xludf.DUMMYFUNCTION("""COMPUTED_VALUE"""),"市府爺爺家")</f>
        <v>市府爺爺家</v>
      </c>
      <c r="H2040" s="106" t="str">
        <f t="shared" si="1"/>
        <v>2025-06</v>
      </c>
      <c r="I2040" s="271" t="str">
        <f>IFERROR(__xludf.DUMMYFUNCTION("""COMPUTED_VALUE"""),"貓狗企鵝")</f>
        <v>貓狗企鵝</v>
      </c>
      <c r="J2040" t="str">
        <f>IFERROR(__xludf.DUMMYFUNCTION("IFS(
  AND(REGEXMATCH(E2040, ""台銀籌備帳戶|玉山帳戶""), REGEXMATCH(C2040, ""薪資"")), ""分潤支出"",
  AND(REGEXMATCH(E2040, ""Ben帳戶|Elsa帳戶|Ben代墊|Ariel代墊|中信銀行共用""), REGEXMATCH(F2040, ""Ben帳戶|Elsa帳戶|Ben代墊|Ariel代墊|中信銀行共用"")), ""內部轉帳(忽略)"",
  AND(E2040&lt;&gt;"""", F2040&lt;&gt;"""", N"&amp;"OT(REGEXMATCH(C2040, ""薪資""))), ""內部轉帳(忽略)"",
  REGEXMATCH(C2040, ""薪資""), ""薪資變動(不計入)"",
  REGEXMATCH(C2040, ""押金""), ""押金往來"",
  AND(E2040&lt;&gt;"""", F2040=""""), ""真實支出"",
  AND(E2040="""", F2040&lt;&gt;""""), ""真實收入"",
  TRUE, ""其他""
)"),"真實收入")</f>
        <v>真實收入</v>
      </c>
      <c r="K2040" s="270">
        <f t="shared" si="2"/>
        <v>22000</v>
      </c>
      <c r="L2040">
        <f t="shared" si="3"/>
        <v>0</v>
      </c>
    </row>
    <row r="2041">
      <c r="A2041" s="107">
        <f>IFERROR(__xludf.DUMMYFUNCTION("""COMPUTED_VALUE"""),45809.0)</f>
        <v>45809</v>
      </c>
      <c r="B2041" t="str">
        <f>IFERROR(__xludf.DUMMYFUNCTION("""COMPUTED_VALUE"""),"[大湖山莊] E [吳彥霆] 月租金 (行號: 81)")</f>
        <v>[大湖山莊] E [吳彥霆] 月租金 (行號: 81)</v>
      </c>
      <c r="C2041" t="str">
        <f>IFERROR(__xludf.DUMMYFUNCTION("""COMPUTED_VALUE"""),"收入 - 租金")</f>
        <v>收入 - 租金</v>
      </c>
      <c r="D2041" s="270">
        <f>IFERROR(__xludf.DUMMYFUNCTION("""COMPUTED_VALUE"""),12500.0)</f>
        <v>12500</v>
      </c>
      <c r="F2041" t="str">
        <f>IFERROR(__xludf.DUMMYFUNCTION("""COMPUTED_VALUE"""),"台銀籌備帳戶")</f>
        <v>台銀籌備帳戶</v>
      </c>
      <c r="G2041" t="str">
        <f>IFERROR(__xludf.DUMMYFUNCTION("""COMPUTED_VALUE"""),"大湖山莊")</f>
        <v>大湖山莊</v>
      </c>
      <c r="H2041" s="106" t="str">
        <f t="shared" si="1"/>
        <v>2025-06</v>
      </c>
      <c r="I2041" s="271" t="str">
        <f>IFERROR(__xludf.DUMMYFUNCTION("""COMPUTED_VALUE"""),"貓狗企鵝")</f>
        <v>貓狗企鵝</v>
      </c>
      <c r="J2041" t="str">
        <f>IFERROR(__xludf.DUMMYFUNCTION("IFS(
  AND(REGEXMATCH(E2041, ""台銀籌備帳戶|玉山帳戶""), REGEXMATCH(C2041, ""薪資"")), ""分潤支出"",
  AND(REGEXMATCH(E2041, ""Ben帳戶|Elsa帳戶|Ben代墊|Ariel代墊|中信銀行共用""), REGEXMATCH(F2041, ""Ben帳戶|Elsa帳戶|Ben代墊|Ariel代墊|中信銀行共用"")), ""內部轉帳(忽略)"",
  AND(E2041&lt;&gt;"""", F2041&lt;&gt;"""", N"&amp;"OT(REGEXMATCH(C2041, ""薪資""))), ""內部轉帳(忽略)"",
  REGEXMATCH(C2041, ""薪資""), ""薪資變動(不計入)"",
  REGEXMATCH(C2041, ""押金""), ""押金往來"",
  AND(E2041&lt;&gt;"""", F2041=""""), ""真實支出"",
  AND(E2041="""", F2041&lt;&gt;""""), ""真實收入"",
  TRUE, ""其他""
)"),"真實收入")</f>
        <v>真實收入</v>
      </c>
      <c r="K2041" s="270">
        <f t="shared" si="2"/>
        <v>12500</v>
      </c>
      <c r="L2041">
        <f t="shared" si="3"/>
        <v>0</v>
      </c>
    </row>
    <row r="2042">
      <c r="A2042" s="107">
        <f>IFERROR(__xludf.DUMMYFUNCTION("""COMPUTED_VALUE"""),45809.0)</f>
        <v>45809</v>
      </c>
      <c r="B2042" t="str">
        <f>IFERROR(__xludf.DUMMYFUNCTION("""COMPUTED_VALUE"""),"[中山北Feli家] B [杜思瑀, 陳廷瀀] 月租金 (行號: 83)")</f>
        <v>[中山北Feli家] B [杜思瑀, 陳廷瀀] 月租金 (行號: 83)</v>
      </c>
      <c r="C2042" t="str">
        <f>IFERROR(__xludf.DUMMYFUNCTION("""COMPUTED_VALUE"""),"收入 - 租金")</f>
        <v>收入 - 租金</v>
      </c>
      <c r="D2042" s="270">
        <f>IFERROR(__xludf.DUMMYFUNCTION("""COMPUTED_VALUE"""),17500.0)</f>
        <v>17500</v>
      </c>
      <c r="F2042" t="str">
        <f>IFERROR(__xludf.DUMMYFUNCTION("""COMPUTED_VALUE"""),"台銀籌備帳戶")</f>
        <v>台銀籌備帳戶</v>
      </c>
      <c r="G2042" t="str">
        <f>IFERROR(__xludf.DUMMYFUNCTION("""COMPUTED_VALUE"""),"中山北Feli家")</f>
        <v>中山北Feli家</v>
      </c>
      <c r="H2042" s="106" t="str">
        <f t="shared" si="1"/>
        <v>2025-06</v>
      </c>
      <c r="I2042" s="271" t="str">
        <f>IFERROR(__xludf.DUMMYFUNCTION("""COMPUTED_VALUE"""),"貓狗企鵝")</f>
        <v>貓狗企鵝</v>
      </c>
      <c r="J2042" t="str">
        <f>IFERROR(__xludf.DUMMYFUNCTION("IFS(
  AND(REGEXMATCH(E2042, ""台銀籌備帳戶|玉山帳戶""), REGEXMATCH(C2042, ""薪資"")), ""分潤支出"",
  AND(REGEXMATCH(E2042, ""Ben帳戶|Elsa帳戶|Ben代墊|Ariel代墊|中信銀行共用""), REGEXMATCH(F2042, ""Ben帳戶|Elsa帳戶|Ben代墊|Ariel代墊|中信銀行共用"")), ""內部轉帳(忽略)"",
  AND(E2042&lt;&gt;"""", F2042&lt;&gt;"""", N"&amp;"OT(REGEXMATCH(C2042, ""薪資""))), ""內部轉帳(忽略)"",
  REGEXMATCH(C2042, ""薪資""), ""薪資變動(不計入)"",
  REGEXMATCH(C2042, ""押金""), ""押金往來"",
  AND(E2042&lt;&gt;"""", F2042=""""), ""真實支出"",
  AND(E2042="""", F2042&lt;&gt;""""), ""真實收入"",
  TRUE, ""其他""
)"),"真實收入")</f>
        <v>真實收入</v>
      </c>
      <c r="K2042" s="270">
        <f t="shared" si="2"/>
        <v>17500</v>
      </c>
      <c r="L2042">
        <f t="shared" si="3"/>
        <v>0</v>
      </c>
    </row>
    <row r="2043">
      <c r="A2043" s="107">
        <f>IFERROR(__xludf.DUMMYFUNCTION("""COMPUTED_VALUE"""),45809.0)</f>
        <v>45809</v>
      </c>
      <c r="B2043" t="str">
        <f>IFERROR(__xludf.DUMMYFUNCTION("""COMPUTED_VALUE"""),"[中山北娘家旁] C [魏湘芸] 月租金 (行號: 84)")</f>
        <v>[中山北娘家旁] C [魏湘芸] 月租金 (行號: 84)</v>
      </c>
      <c r="C2043" t="str">
        <f>IFERROR(__xludf.DUMMYFUNCTION("""COMPUTED_VALUE"""),"收入 - 租金")</f>
        <v>收入 - 租金</v>
      </c>
      <c r="D2043" s="270">
        <f>IFERROR(__xludf.DUMMYFUNCTION("""COMPUTED_VALUE"""),14800.0)</f>
        <v>14800</v>
      </c>
      <c r="F2043" t="str">
        <f>IFERROR(__xludf.DUMMYFUNCTION("""COMPUTED_VALUE"""),"台銀籌備帳戶")</f>
        <v>台銀籌備帳戶</v>
      </c>
      <c r="G2043" t="str">
        <f>IFERROR(__xludf.DUMMYFUNCTION("""COMPUTED_VALUE"""),"中山北娘家旁")</f>
        <v>中山北娘家旁</v>
      </c>
      <c r="H2043" s="106" t="str">
        <f t="shared" si="1"/>
        <v>2025-06</v>
      </c>
      <c r="I2043" s="271" t="str">
        <f>IFERROR(__xludf.DUMMYFUNCTION("""COMPUTED_VALUE"""),"貓狗企鵝")</f>
        <v>貓狗企鵝</v>
      </c>
      <c r="J2043" t="str">
        <f>IFERROR(__xludf.DUMMYFUNCTION("IFS(
  AND(REGEXMATCH(E2043, ""台銀籌備帳戶|玉山帳戶""), REGEXMATCH(C2043, ""薪資"")), ""分潤支出"",
  AND(REGEXMATCH(E2043, ""Ben帳戶|Elsa帳戶|Ben代墊|Ariel代墊|中信銀行共用""), REGEXMATCH(F2043, ""Ben帳戶|Elsa帳戶|Ben代墊|Ariel代墊|中信銀行共用"")), ""內部轉帳(忽略)"",
  AND(E2043&lt;&gt;"""", F2043&lt;&gt;"""", N"&amp;"OT(REGEXMATCH(C2043, ""薪資""))), ""內部轉帳(忽略)"",
  REGEXMATCH(C2043, ""薪資""), ""薪資變動(不計入)"",
  REGEXMATCH(C2043, ""押金""), ""押金往來"",
  AND(E2043&lt;&gt;"""", F2043=""""), ""真實支出"",
  AND(E2043="""", F2043&lt;&gt;""""), ""真實收入"",
  TRUE, ""其他""
)"),"真實收入")</f>
        <v>真實收入</v>
      </c>
      <c r="K2043" s="270">
        <f t="shared" si="2"/>
        <v>14800</v>
      </c>
      <c r="L2043">
        <f t="shared" si="3"/>
        <v>0</v>
      </c>
    </row>
    <row r="2044">
      <c r="A2044" s="107">
        <f>IFERROR(__xludf.DUMMYFUNCTION("""COMPUTED_VALUE"""),45809.0)</f>
        <v>45809</v>
      </c>
      <c r="B2044" t="str">
        <f>IFERROR(__xludf.DUMMYFUNCTION("""COMPUTED_VALUE"""),"[中山北Feli家] A [蔡亦翔] 月租金 (行號: 85)")</f>
        <v>[中山北Feli家] A [蔡亦翔] 月租金 (行號: 85)</v>
      </c>
      <c r="C2044" t="str">
        <f>IFERROR(__xludf.DUMMYFUNCTION("""COMPUTED_VALUE"""),"收入 - 租金")</f>
        <v>收入 - 租金</v>
      </c>
      <c r="D2044" s="270">
        <f>IFERROR(__xludf.DUMMYFUNCTION("""COMPUTED_VALUE"""),13200.0)</f>
        <v>13200</v>
      </c>
      <c r="F2044" t="str">
        <f>IFERROR(__xludf.DUMMYFUNCTION("""COMPUTED_VALUE"""),"台銀籌備帳戶")</f>
        <v>台銀籌備帳戶</v>
      </c>
      <c r="G2044" t="str">
        <f>IFERROR(__xludf.DUMMYFUNCTION("""COMPUTED_VALUE"""),"中山北Feli家")</f>
        <v>中山北Feli家</v>
      </c>
      <c r="H2044" s="106" t="str">
        <f t="shared" si="1"/>
        <v>2025-06</v>
      </c>
      <c r="I2044" s="271" t="str">
        <f>IFERROR(__xludf.DUMMYFUNCTION("""COMPUTED_VALUE"""),"貓狗企鵝")</f>
        <v>貓狗企鵝</v>
      </c>
      <c r="J2044" t="str">
        <f>IFERROR(__xludf.DUMMYFUNCTION("IFS(
  AND(REGEXMATCH(E2044, ""台銀籌備帳戶|玉山帳戶""), REGEXMATCH(C2044, ""薪資"")), ""分潤支出"",
  AND(REGEXMATCH(E2044, ""Ben帳戶|Elsa帳戶|Ben代墊|Ariel代墊|中信銀行共用""), REGEXMATCH(F2044, ""Ben帳戶|Elsa帳戶|Ben代墊|Ariel代墊|中信銀行共用"")), ""內部轉帳(忽略)"",
  AND(E2044&lt;&gt;"""", F2044&lt;&gt;"""", N"&amp;"OT(REGEXMATCH(C2044, ""薪資""))), ""內部轉帳(忽略)"",
  REGEXMATCH(C2044, ""薪資""), ""薪資變動(不計入)"",
  REGEXMATCH(C2044, ""押金""), ""押金往來"",
  AND(E2044&lt;&gt;"""", F2044=""""), ""真實支出"",
  AND(E2044="""", F2044&lt;&gt;""""), ""真實收入"",
  TRUE, ""其他""
)"),"真實收入")</f>
        <v>真實收入</v>
      </c>
      <c r="K2044" s="270">
        <f t="shared" si="2"/>
        <v>13200</v>
      </c>
      <c r="L2044">
        <f t="shared" si="3"/>
        <v>0</v>
      </c>
    </row>
    <row r="2045">
      <c r="A2045" s="107">
        <f>IFERROR(__xludf.DUMMYFUNCTION("""COMPUTED_VALUE"""),45809.0)</f>
        <v>45809</v>
      </c>
      <c r="B2045" t="str">
        <f>IFERROR(__xludf.DUMMYFUNCTION("""COMPUTED_VALUE"""),"[中山北Feli家] E [王翊樺, 周定瑀] 月租金 (行號: 86)")</f>
        <v>[中山北Feli家] E [王翊樺, 周定瑀] 月租金 (行號: 86)</v>
      </c>
      <c r="C2045" t="str">
        <f>IFERROR(__xludf.DUMMYFUNCTION("""COMPUTED_VALUE"""),"收入 - 租金")</f>
        <v>收入 - 租金</v>
      </c>
      <c r="D2045" s="270">
        <f>IFERROR(__xludf.DUMMYFUNCTION("""COMPUTED_VALUE"""),31000.0)</f>
        <v>31000</v>
      </c>
      <c r="F2045" t="str">
        <f>IFERROR(__xludf.DUMMYFUNCTION("""COMPUTED_VALUE"""),"台銀籌備帳戶")</f>
        <v>台銀籌備帳戶</v>
      </c>
      <c r="G2045" t="str">
        <f>IFERROR(__xludf.DUMMYFUNCTION("""COMPUTED_VALUE"""),"中山北Feli家")</f>
        <v>中山北Feli家</v>
      </c>
      <c r="H2045" s="106" t="str">
        <f t="shared" si="1"/>
        <v>2025-06</v>
      </c>
      <c r="I2045" s="271" t="str">
        <f>IFERROR(__xludf.DUMMYFUNCTION("""COMPUTED_VALUE"""),"貓狗企鵝")</f>
        <v>貓狗企鵝</v>
      </c>
      <c r="J2045" t="str">
        <f>IFERROR(__xludf.DUMMYFUNCTION("IFS(
  AND(REGEXMATCH(E2045, ""台銀籌備帳戶|玉山帳戶""), REGEXMATCH(C2045, ""薪資"")), ""分潤支出"",
  AND(REGEXMATCH(E2045, ""Ben帳戶|Elsa帳戶|Ben代墊|Ariel代墊|中信銀行共用""), REGEXMATCH(F2045, ""Ben帳戶|Elsa帳戶|Ben代墊|Ariel代墊|中信銀行共用"")), ""內部轉帳(忽略)"",
  AND(E2045&lt;&gt;"""", F2045&lt;&gt;"""", N"&amp;"OT(REGEXMATCH(C2045, ""薪資""))), ""內部轉帳(忽略)"",
  REGEXMATCH(C2045, ""薪資""), ""薪資變動(不計入)"",
  REGEXMATCH(C2045, ""押金""), ""押金往來"",
  AND(E2045&lt;&gt;"""", F2045=""""), ""真實支出"",
  AND(E2045="""", F2045&lt;&gt;""""), ""真實收入"",
  TRUE, ""其他""
)"),"真實收入")</f>
        <v>真實收入</v>
      </c>
      <c r="K2045" s="270">
        <f t="shared" si="2"/>
        <v>31000</v>
      </c>
      <c r="L2045">
        <f t="shared" si="3"/>
        <v>0</v>
      </c>
    </row>
    <row r="2046">
      <c r="A2046" s="107">
        <f>IFERROR(__xludf.DUMMYFUNCTION("""COMPUTED_VALUE"""),45809.0)</f>
        <v>45809</v>
      </c>
      <c r="B2046" t="str">
        <f>IFERROR(__xludf.DUMMYFUNCTION("""COMPUTED_VALUE"""),"[龍江229] A [許霈琪] 月租金 (行號: 87)")</f>
        <v>[龍江229] A [許霈琪] 月租金 (行號: 87)</v>
      </c>
      <c r="C2046" t="str">
        <f>IFERROR(__xludf.DUMMYFUNCTION("""COMPUTED_VALUE"""),"收入 - 租金")</f>
        <v>收入 - 租金</v>
      </c>
      <c r="D2046" s="270">
        <f>IFERROR(__xludf.DUMMYFUNCTION("""COMPUTED_VALUE"""),13000.0)</f>
        <v>13000</v>
      </c>
      <c r="F2046" t="str">
        <f>IFERROR(__xludf.DUMMYFUNCTION("""COMPUTED_VALUE"""),"台銀籌備帳戶")</f>
        <v>台銀籌備帳戶</v>
      </c>
      <c r="G2046" t="str">
        <f>IFERROR(__xludf.DUMMYFUNCTION("""COMPUTED_VALUE"""),"龍江229")</f>
        <v>龍江229</v>
      </c>
      <c r="H2046" s="106" t="str">
        <f t="shared" si="1"/>
        <v>2025-06</v>
      </c>
      <c r="I2046" s="271" t="str">
        <f>IFERROR(__xludf.DUMMYFUNCTION("""COMPUTED_VALUE"""),"貓狗企鵝")</f>
        <v>貓狗企鵝</v>
      </c>
      <c r="J2046" t="str">
        <f>IFERROR(__xludf.DUMMYFUNCTION("IFS(
  AND(REGEXMATCH(E2046, ""台銀籌備帳戶|玉山帳戶""), REGEXMATCH(C2046, ""薪資"")), ""分潤支出"",
  AND(REGEXMATCH(E2046, ""Ben帳戶|Elsa帳戶|Ben代墊|Ariel代墊|中信銀行共用""), REGEXMATCH(F2046, ""Ben帳戶|Elsa帳戶|Ben代墊|Ariel代墊|中信銀行共用"")), ""內部轉帳(忽略)"",
  AND(E2046&lt;&gt;"""", F2046&lt;&gt;"""", N"&amp;"OT(REGEXMATCH(C2046, ""薪資""))), ""內部轉帳(忽略)"",
  REGEXMATCH(C2046, ""薪資""), ""薪資變動(不計入)"",
  REGEXMATCH(C2046, ""押金""), ""押金往來"",
  AND(E2046&lt;&gt;"""", F2046=""""), ""真實支出"",
  AND(E2046="""", F2046&lt;&gt;""""), ""真實收入"",
  TRUE, ""其他""
)"),"真實收入")</f>
        <v>真實收入</v>
      </c>
      <c r="K2046" s="270">
        <f t="shared" si="2"/>
        <v>13000</v>
      </c>
      <c r="L2046">
        <f t="shared" si="3"/>
        <v>0</v>
      </c>
    </row>
    <row r="2047">
      <c r="A2047" s="107">
        <f>IFERROR(__xludf.DUMMYFUNCTION("""COMPUTED_VALUE"""),45809.0)</f>
        <v>45809</v>
      </c>
      <c r="B2047" t="str">
        <f>IFERROR(__xludf.DUMMYFUNCTION("""COMPUTED_VALUE"""),"[龍江229] D [黃依婷] 月租金 (行號: 88)")</f>
        <v>[龍江229] D [黃依婷] 月租金 (行號: 88)</v>
      </c>
      <c r="C2047" t="str">
        <f>IFERROR(__xludf.DUMMYFUNCTION("""COMPUTED_VALUE"""),"收入 - 租金")</f>
        <v>收入 - 租金</v>
      </c>
      <c r="D2047" s="270">
        <f>IFERROR(__xludf.DUMMYFUNCTION("""COMPUTED_VALUE"""),13300.0)</f>
        <v>13300</v>
      </c>
      <c r="F2047" t="str">
        <f>IFERROR(__xludf.DUMMYFUNCTION("""COMPUTED_VALUE"""),"台銀籌備帳戶")</f>
        <v>台銀籌備帳戶</v>
      </c>
      <c r="G2047" t="str">
        <f>IFERROR(__xludf.DUMMYFUNCTION("""COMPUTED_VALUE"""),"龍江229")</f>
        <v>龍江229</v>
      </c>
      <c r="H2047" s="106" t="str">
        <f t="shared" si="1"/>
        <v>2025-06</v>
      </c>
      <c r="I2047" s="271" t="str">
        <f>IFERROR(__xludf.DUMMYFUNCTION("""COMPUTED_VALUE"""),"貓狗企鵝")</f>
        <v>貓狗企鵝</v>
      </c>
      <c r="J2047" t="str">
        <f>IFERROR(__xludf.DUMMYFUNCTION("IFS(
  AND(REGEXMATCH(E2047, ""台銀籌備帳戶|玉山帳戶""), REGEXMATCH(C2047, ""薪資"")), ""分潤支出"",
  AND(REGEXMATCH(E2047, ""Ben帳戶|Elsa帳戶|Ben代墊|Ariel代墊|中信銀行共用""), REGEXMATCH(F2047, ""Ben帳戶|Elsa帳戶|Ben代墊|Ariel代墊|中信銀行共用"")), ""內部轉帳(忽略)"",
  AND(E2047&lt;&gt;"""", F2047&lt;&gt;"""", N"&amp;"OT(REGEXMATCH(C2047, ""薪資""))), ""內部轉帳(忽略)"",
  REGEXMATCH(C2047, ""薪資""), ""薪資變動(不計入)"",
  REGEXMATCH(C2047, ""押金""), ""押金往來"",
  AND(E2047&lt;&gt;"""", F2047=""""), ""真實支出"",
  AND(E2047="""", F2047&lt;&gt;""""), ""真實收入"",
  TRUE, ""其他""
)"),"真實收入")</f>
        <v>真實收入</v>
      </c>
      <c r="K2047" s="270">
        <f t="shared" si="2"/>
        <v>13300</v>
      </c>
      <c r="L2047">
        <f t="shared" si="3"/>
        <v>0</v>
      </c>
    </row>
    <row r="2048">
      <c r="A2048" s="107">
        <f>IFERROR(__xludf.DUMMYFUNCTION("""COMPUTED_VALUE"""),45810.0)</f>
        <v>45810</v>
      </c>
      <c r="B2048" t="str">
        <f>IFERROR(__xludf.DUMMYFUNCTION("""COMPUTED_VALUE"""),"[南港站挑高宅] D [吳城慕] 月租金 (行號: 90)")</f>
        <v>[南港站挑高宅] D [吳城慕] 月租金 (行號: 90)</v>
      </c>
      <c r="C2048" t="str">
        <f>IFERROR(__xludf.DUMMYFUNCTION("""COMPUTED_VALUE"""),"收入 - 租金")</f>
        <v>收入 - 租金</v>
      </c>
      <c r="D2048" s="270">
        <f>IFERROR(__xludf.DUMMYFUNCTION("""COMPUTED_VALUE"""),14300.0)</f>
        <v>14300</v>
      </c>
      <c r="F2048" t="str">
        <f>IFERROR(__xludf.DUMMYFUNCTION("""COMPUTED_VALUE"""),"台銀籌備帳戶")</f>
        <v>台銀籌備帳戶</v>
      </c>
      <c r="G2048" t="str">
        <f>IFERROR(__xludf.DUMMYFUNCTION("""COMPUTED_VALUE"""),"南港站挑高宅")</f>
        <v>南港站挑高宅</v>
      </c>
      <c r="H2048" s="106" t="str">
        <f t="shared" si="1"/>
        <v>2025-06</v>
      </c>
      <c r="I2048" s="271" t="str">
        <f>IFERROR(__xludf.DUMMYFUNCTION("""COMPUTED_VALUE"""),"貓狗企鵝")</f>
        <v>貓狗企鵝</v>
      </c>
      <c r="J2048" t="str">
        <f>IFERROR(__xludf.DUMMYFUNCTION("IFS(
  AND(REGEXMATCH(E2048, ""台銀籌備帳戶|玉山帳戶""), REGEXMATCH(C2048, ""薪資"")), ""分潤支出"",
  AND(REGEXMATCH(E2048, ""Ben帳戶|Elsa帳戶|Ben代墊|Ariel代墊|中信銀行共用""), REGEXMATCH(F2048, ""Ben帳戶|Elsa帳戶|Ben代墊|Ariel代墊|中信銀行共用"")), ""內部轉帳(忽略)"",
  AND(E2048&lt;&gt;"""", F2048&lt;&gt;"""", N"&amp;"OT(REGEXMATCH(C2048, ""薪資""))), ""內部轉帳(忽略)"",
  REGEXMATCH(C2048, ""薪資""), ""薪資變動(不計入)"",
  REGEXMATCH(C2048, ""押金""), ""押金往來"",
  AND(E2048&lt;&gt;"""", F2048=""""), ""真實支出"",
  AND(E2048="""", F2048&lt;&gt;""""), ""真實收入"",
  TRUE, ""其他""
)"),"真實收入")</f>
        <v>真實收入</v>
      </c>
      <c r="K2048" s="270">
        <f t="shared" si="2"/>
        <v>14300</v>
      </c>
      <c r="L2048">
        <f t="shared" si="3"/>
        <v>0</v>
      </c>
    </row>
    <row r="2049">
      <c r="A2049" s="107">
        <f>IFERROR(__xludf.DUMMYFUNCTION("""COMPUTED_VALUE"""),45810.0)</f>
        <v>45810</v>
      </c>
      <c r="B2049" t="str">
        <f>IFERROR(__xludf.DUMMYFUNCTION("""COMPUTED_VALUE"""),"[龍江229] C [馬義鈞] 月租金 (行號: 91)")</f>
        <v>[龍江229] C [馬義鈞] 月租金 (行號: 91)</v>
      </c>
      <c r="C2049" t="str">
        <f>IFERROR(__xludf.DUMMYFUNCTION("""COMPUTED_VALUE"""),"收入 - 租金")</f>
        <v>收入 - 租金</v>
      </c>
      <c r="D2049" s="270">
        <f>IFERROR(__xludf.DUMMYFUNCTION("""COMPUTED_VALUE"""),18800.0)</f>
        <v>18800</v>
      </c>
      <c r="F2049" t="str">
        <f>IFERROR(__xludf.DUMMYFUNCTION("""COMPUTED_VALUE"""),"台銀籌備帳戶")</f>
        <v>台銀籌備帳戶</v>
      </c>
      <c r="G2049" t="str">
        <f>IFERROR(__xludf.DUMMYFUNCTION("""COMPUTED_VALUE"""),"龍江229")</f>
        <v>龍江229</v>
      </c>
      <c r="H2049" s="106" t="str">
        <f t="shared" si="1"/>
        <v>2025-06</v>
      </c>
      <c r="I2049" s="271" t="str">
        <f>IFERROR(__xludf.DUMMYFUNCTION("""COMPUTED_VALUE"""),"貓狗企鵝")</f>
        <v>貓狗企鵝</v>
      </c>
      <c r="J2049" t="str">
        <f>IFERROR(__xludf.DUMMYFUNCTION("IFS(
  AND(REGEXMATCH(E2049, ""台銀籌備帳戶|玉山帳戶""), REGEXMATCH(C2049, ""薪資"")), ""分潤支出"",
  AND(REGEXMATCH(E2049, ""Ben帳戶|Elsa帳戶|Ben代墊|Ariel代墊|中信銀行共用""), REGEXMATCH(F2049, ""Ben帳戶|Elsa帳戶|Ben代墊|Ariel代墊|中信銀行共用"")), ""內部轉帳(忽略)"",
  AND(E2049&lt;&gt;"""", F2049&lt;&gt;"""", N"&amp;"OT(REGEXMATCH(C2049, ""薪資""))), ""內部轉帳(忽略)"",
  REGEXMATCH(C2049, ""薪資""), ""薪資變動(不計入)"",
  REGEXMATCH(C2049, ""押金""), ""押金往來"",
  AND(E2049&lt;&gt;"""", F2049=""""), ""真實支出"",
  AND(E2049="""", F2049&lt;&gt;""""), ""真實收入"",
  TRUE, ""其他""
)"),"真實收入")</f>
        <v>真實收入</v>
      </c>
      <c r="K2049" s="270">
        <f t="shared" si="2"/>
        <v>18800</v>
      </c>
      <c r="L2049">
        <f t="shared" si="3"/>
        <v>0</v>
      </c>
    </row>
    <row r="2050">
      <c r="A2050" s="107">
        <f>IFERROR(__xludf.DUMMYFUNCTION("""COMPUTED_VALUE"""),45810.0)</f>
        <v>45810</v>
      </c>
      <c r="B2050" t="str">
        <f>IFERROR(__xludf.DUMMYFUNCTION("""COMPUTED_VALUE"""),"[南港站挑高宅] E [張劉明翔] 月租金 (行號: 92)")</f>
        <v>[南港站挑高宅] E [張劉明翔] 月租金 (行號: 92)</v>
      </c>
      <c r="C2050" t="str">
        <f>IFERROR(__xludf.DUMMYFUNCTION("""COMPUTED_VALUE"""),"收入 - 租金")</f>
        <v>收入 - 租金</v>
      </c>
      <c r="D2050" s="270">
        <f>IFERROR(__xludf.DUMMYFUNCTION("""COMPUTED_VALUE"""),12800.0)</f>
        <v>12800</v>
      </c>
      <c r="F2050" t="str">
        <f>IFERROR(__xludf.DUMMYFUNCTION("""COMPUTED_VALUE"""),"台銀籌備帳戶")</f>
        <v>台銀籌備帳戶</v>
      </c>
      <c r="G2050" t="str">
        <f>IFERROR(__xludf.DUMMYFUNCTION("""COMPUTED_VALUE"""),"南港站挑高宅")</f>
        <v>南港站挑高宅</v>
      </c>
      <c r="H2050" s="106" t="str">
        <f t="shared" si="1"/>
        <v>2025-06</v>
      </c>
      <c r="I2050" s="271" t="str">
        <f>IFERROR(__xludf.DUMMYFUNCTION("""COMPUTED_VALUE"""),"貓狗企鵝")</f>
        <v>貓狗企鵝</v>
      </c>
      <c r="J2050" t="str">
        <f>IFERROR(__xludf.DUMMYFUNCTION("IFS(
  AND(REGEXMATCH(E2050, ""台銀籌備帳戶|玉山帳戶""), REGEXMATCH(C2050, ""薪資"")), ""分潤支出"",
  AND(REGEXMATCH(E2050, ""Ben帳戶|Elsa帳戶|Ben代墊|Ariel代墊|中信銀行共用""), REGEXMATCH(F2050, ""Ben帳戶|Elsa帳戶|Ben代墊|Ariel代墊|中信銀行共用"")), ""內部轉帳(忽略)"",
  AND(E2050&lt;&gt;"""", F2050&lt;&gt;"""", N"&amp;"OT(REGEXMATCH(C2050, ""薪資""))), ""內部轉帳(忽略)"",
  REGEXMATCH(C2050, ""薪資""), ""薪資變動(不計入)"",
  REGEXMATCH(C2050, ""押金""), ""押金往來"",
  AND(E2050&lt;&gt;"""", F2050=""""), ""真實支出"",
  AND(E2050="""", F2050&lt;&gt;""""), ""真實收入"",
  TRUE, ""其他""
)"),"真實收入")</f>
        <v>真實收入</v>
      </c>
      <c r="K2050" s="270">
        <f t="shared" si="2"/>
        <v>12800</v>
      </c>
      <c r="L2050">
        <f t="shared" si="3"/>
        <v>0</v>
      </c>
    </row>
    <row r="2051">
      <c r="A2051" s="107">
        <f>IFERROR(__xludf.DUMMYFUNCTION("""COMPUTED_VALUE"""),45810.0)</f>
        <v>45810</v>
      </c>
      <c r="B2051" t="str">
        <f>IFERROR(__xludf.DUMMYFUNCTION("""COMPUTED_VALUE"""),"[中山北娘家旁] A [李亨加] 月租金 (行號: 93, 94)")</f>
        <v>[中山北娘家旁] A [李亨加] 月租金 (行號: 93, 94)</v>
      </c>
      <c r="C2051" t="str">
        <f>IFERROR(__xludf.DUMMYFUNCTION("""COMPUTED_VALUE"""),"收入 - 租金")</f>
        <v>收入 - 租金</v>
      </c>
      <c r="D2051" s="270">
        <f>IFERROR(__xludf.DUMMYFUNCTION("""COMPUTED_VALUE"""),12500.0)</f>
        <v>12500</v>
      </c>
      <c r="F2051" t="str">
        <f>IFERROR(__xludf.DUMMYFUNCTION("""COMPUTED_VALUE"""),"台銀籌備帳戶")</f>
        <v>台銀籌備帳戶</v>
      </c>
      <c r="G2051" t="str">
        <f>IFERROR(__xludf.DUMMYFUNCTION("""COMPUTED_VALUE"""),"中山北娘家旁")</f>
        <v>中山北娘家旁</v>
      </c>
      <c r="H2051" s="106" t="str">
        <f t="shared" si="1"/>
        <v>2025-06</v>
      </c>
      <c r="I2051" s="271" t="str">
        <f>IFERROR(__xludf.DUMMYFUNCTION("""COMPUTED_VALUE"""),"貓狗企鵝")</f>
        <v>貓狗企鵝</v>
      </c>
      <c r="J2051" t="str">
        <f>IFERROR(__xludf.DUMMYFUNCTION("IFS(
  AND(REGEXMATCH(E2051, ""台銀籌備帳戶|玉山帳戶""), REGEXMATCH(C2051, ""薪資"")), ""分潤支出"",
  AND(REGEXMATCH(E2051, ""Ben帳戶|Elsa帳戶|Ben代墊|Ariel代墊|中信銀行共用""), REGEXMATCH(F2051, ""Ben帳戶|Elsa帳戶|Ben代墊|Ariel代墊|中信銀行共用"")), ""內部轉帳(忽略)"",
  AND(E2051&lt;&gt;"""", F2051&lt;&gt;"""", N"&amp;"OT(REGEXMATCH(C2051, ""薪資""))), ""內部轉帳(忽略)"",
  REGEXMATCH(C2051, ""薪資""), ""薪資變動(不計入)"",
  REGEXMATCH(C2051, ""押金""), ""押金往來"",
  AND(E2051&lt;&gt;"""", F2051=""""), ""真實支出"",
  AND(E2051="""", F2051&lt;&gt;""""), ""真實收入"",
  TRUE, ""其他""
)"),"真實收入")</f>
        <v>真實收入</v>
      </c>
      <c r="K2051" s="270">
        <f t="shared" si="2"/>
        <v>12500</v>
      </c>
      <c r="L2051">
        <f t="shared" si="3"/>
        <v>0</v>
      </c>
    </row>
    <row r="2052">
      <c r="A2052" s="107">
        <f>IFERROR(__xludf.DUMMYFUNCTION("""COMPUTED_VALUE"""),45810.0)</f>
        <v>45810</v>
      </c>
      <c r="B2052" t="str">
        <f>IFERROR(__xludf.DUMMYFUNCTION("""COMPUTED_VALUE"""),"[北醫醫師府] F [林雍勳] 月租金 (行號: 96)")</f>
        <v>[北醫醫師府] F [林雍勳] 月租金 (行號: 96)</v>
      </c>
      <c r="C2052" t="str">
        <f>IFERROR(__xludf.DUMMYFUNCTION("""COMPUTED_VALUE"""),"收入 - 租金")</f>
        <v>收入 - 租金</v>
      </c>
      <c r="D2052" s="270">
        <f>IFERROR(__xludf.DUMMYFUNCTION("""COMPUTED_VALUE"""),14800.0)</f>
        <v>14800</v>
      </c>
      <c r="F2052" t="str">
        <f>IFERROR(__xludf.DUMMYFUNCTION("""COMPUTED_VALUE"""),"台銀籌備帳戶")</f>
        <v>台銀籌備帳戶</v>
      </c>
      <c r="G2052" t="str">
        <f>IFERROR(__xludf.DUMMYFUNCTION("""COMPUTED_VALUE"""),"北醫醫師府")</f>
        <v>北醫醫師府</v>
      </c>
      <c r="H2052" s="106" t="str">
        <f t="shared" si="1"/>
        <v>2025-06</v>
      </c>
      <c r="I2052" s="271" t="str">
        <f>IFERROR(__xludf.DUMMYFUNCTION("""COMPUTED_VALUE"""),"貓狗企鵝")</f>
        <v>貓狗企鵝</v>
      </c>
      <c r="J2052" t="str">
        <f>IFERROR(__xludf.DUMMYFUNCTION("IFS(
  AND(REGEXMATCH(E2052, ""台銀籌備帳戶|玉山帳戶""), REGEXMATCH(C2052, ""薪資"")), ""分潤支出"",
  AND(REGEXMATCH(E2052, ""Ben帳戶|Elsa帳戶|Ben代墊|Ariel代墊|中信銀行共用""), REGEXMATCH(F2052, ""Ben帳戶|Elsa帳戶|Ben代墊|Ariel代墊|中信銀行共用"")), ""內部轉帳(忽略)"",
  AND(E2052&lt;&gt;"""", F2052&lt;&gt;"""", N"&amp;"OT(REGEXMATCH(C2052, ""薪資""))), ""內部轉帳(忽略)"",
  REGEXMATCH(C2052, ""薪資""), ""薪資變動(不計入)"",
  REGEXMATCH(C2052, ""押金""), ""押金往來"",
  AND(E2052&lt;&gt;"""", F2052=""""), ""真實支出"",
  AND(E2052="""", F2052&lt;&gt;""""), ""真實收入"",
  TRUE, ""其他""
)"),"真實收入")</f>
        <v>真實收入</v>
      </c>
      <c r="K2052" s="270">
        <f t="shared" si="2"/>
        <v>14800</v>
      </c>
      <c r="L2052">
        <f t="shared" si="3"/>
        <v>0</v>
      </c>
    </row>
    <row r="2053">
      <c r="A2053" s="107">
        <f>IFERROR(__xludf.DUMMYFUNCTION("""COMPUTED_VALUE"""),45810.0)</f>
        <v>45810</v>
      </c>
      <c r="B2053" t="str">
        <f>IFERROR(__xludf.DUMMYFUNCTION("""COMPUTED_VALUE"""),"[北醫醫師府] E [洪睿佑] 月租金 (行號: 97)")</f>
        <v>[北醫醫師府] E [洪睿佑] 月租金 (行號: 97)</v>
      </c>
      <c r="C2053" t="str">
        <f>IFERROR(__xludf.DUMMYFUNCTION("""COMPUTED_VALUE"""),"收入 - 租金")</f>
        <v>收入 - 租金</v>
      </c>
      <c r="D2053" s="270">
        <f>IFERROR(__xludf.DUMMYFUNCTION("""COMPUTED_VALUE"""),14800.0)</f>
        <v>14800</v>
      </c>
      <c r="F2053" t="str">
        <f>IFERROR(__xludf.DUMMYFUNCTION("""COMPUTED_VALUE"""),"台銀籌備帳戶")</f>
        <v>台銀籌備帳戶</v>
      </c>
      <c r="G2053" t="str">
        <f>IFERROR(__xludf.DUMMYFUNCTION("""COMPUTED_VALUE"""),"北醫醫師府")</f>
        <v>北醫醫師府</v>
      </c>
      <c r="H2053" s="106" t="str">
        <f t="shared" si="1"/>
        <v>2025-06</v>
      </c>
      <c r="I2053" s="271" t="str">
        <f>IFERROR(__xludf.DUMMYFUNCTION("""COMPUTED_VALUE"""),"貓狗企鵝")</f>
        <v>貓狗企鵝</v>
      </c>
      <c r="J2053" t="str">
        <f>IFERROR(__xludf.DUMMYFUNCTION("IFS(
  AND(REGEXMATCH(E2053, ""台銀籌備帳戶|玉山帳戶""), REGEXMATCH(C2053, ""薪資"")), ""分潤支出"",
  AND(REGEXMATCH(E2053, ""Ben帳戶|Elsa帳戶|Ben代墊|Ariel代墊|中信銀行共用""), REGEXMATCH(F2053, ""Ben帳戶|Elsa帳戶|Ben代墊|Ariel代墊|中信銀行共用"")), ""內部轉帳(忽略)"",
  AND(E2053&lt;&gt;"""", F2053&lt;&gt;"""", N"&amp;"OT(REGEXMATCH(C2053, ""薪資""))), ""內部轉帳(忽略)"",
  REGEXMATCH(C2053, ""薪資""), ""薪資變動(不計入)"",
  REGEXMATCH(C2053, ""押金""), ""押金往來"",
  AND(E2053&lt;&gt;"""", F2053=""""), ""真實支出"",
  AND(E2053="""", F2053&lt;&gt;""""), ""真實收入"",
  TRUE, ""其他""
)"),"真實收入")</f>
        <v>真實收入</v>
      </c>
      <c r="K2053" s="270">
        <f t="shared" si="2"/>
        <v>14800</v>
      </c>
      <c r="L2053">
        <f t="shared" si="3"/>
        <v>0</v>
      </c>
    </row>
    <row r="2054">
      <c r="A2054" s="107">
        <f>IFERROR(__xludf.DUMMYFUNCTION("""COMPUTED_VALUE"""),45810.0)</f>
        <v>45810</v>
      </c>
      <c r="B2054" t="str">
        <f>IFERROR(__xludf.DUMMYFUNCTION("""COMPUTED_VALUE"""),"費用 - 匯費 對方行:808 後五碼:24317 (行號: 2)")</f>
        <v>費用 - 匯費 對方行:808 後五碼:24317 (行號: 2)</v>
      </c>
      <c r="C2054" t="str">
        <f>IFERROR(__xludf.DUMMYFUNCTION("""COMPUTED_VALUE"""),"費用 - 匯費")</f>
        <v>費用 - 匯費</v>
      </c>
      <c r="D2054" s="270">
        <f>IFERROR(__xludf.DUMMYFUNCTION("""COMPUTED_VALUE"""),-15.0)</f>
        <v>-15</v>
      </c>
      <c r="E2054" t="str">
        <f>IFERROR(__xludf.DUMMYFUNCTION("""COMPUTED_VALUE"""),"台銀籌備帳戶")</f>
        <v>台銀籌備帳戶</v>
      </c>
      <c r="H2054" s="106" t="str">
        <f t="shared" si="1"/>
        <v>2025-06</v>
      </c>
      <c r="I2054" s="271" t="str">
        <f>IFERROR(__xludf.DUMMYFUNCTION("""COMPUTED_VALUE"""),"貓狗企鵝")</f>
        <v>貓狗企鵝</v>
      </c>
      <c r="J2054" t="str">
        <f>IFERROR(__xludf.DUMMYFUNCTION("IFS(
  AND(REGEXMATCH(E2054, ""台銀籌備帳戶|玉山帳戶""), REGEXMATCH(C2054, ""薪資"")), ""分潤支出"",
  AND(REGEXMATCH(E2054, ""Ben帳戶|Elsa帳戶|Ben代墊|Ariel代墊|中信銀行共用""), REGEXMATCH(F2054, ""Ben帳戶|Elsa帳戶|Ben代墊|Ariel代墊|中信銀行共用"")), ""內部轉帳(忽略)"",
  AND(E2054&lt;&gt;"""", F2054&lt;&gt;"""", N"&amp;"OT(REGEXMATCH(C2054, ""薪資""))), ""內部轉帳(忽略)"",
  REGEXMATCH(C2054, ""薪資""), ""薪資變動(不計入)"",
  REGEXMATCH(C2054, ""押金""), ""押金往來"",
  AND(E2054&lt;&gt;"""", F2054=""""), ""真實支出"",
  AND(E2054="""", F2054&lt;&gt;""""), ""真實收入"",
  TRUE, ""其他""
)"),"真實支出")</f>
        <v>真實支出</v>
      </c>
      <c r="K2054" s="270">
        <f t="shared" si="2"/>
        <v>-15</v>
      </c>
      <c r="L2054">
        <f t="shared" si="3"/>
        <v>0</v>
      </c>
    </row>
    <row r="2055">
      <c r="A2055" s="107">
        <f>IFERROR(__xludf.DUMMYFUNCTION("""COMPUTED_VALUE"""),45810.0)</f>
        <v>45810</v>
      </c>
      <c r="B2055" t="str">
        <f>IFERROR(__xludf.DUMMYFUNCTION("""COMPUTED_VALUE"""),"劍潭和豐D小宜 ' 【未分類支出】")</f>
        <v>劍潭和豐D小宜 ' 【未分類支出】</v>
      </c>
      <c r="C2055" t="str">
        <f>IFERROR(__xludf.DUMMYFUNCTION("""COMPUTED_VALUE"""),"收入 - 其他")</f>
        <v>收入 - 其他</v>
      </c>
      <c r="D2055" s="270">
        <f>IFERROR(__xludf.DUMMYFUNCTION("""COMPUTED_VALUE"""),-12500.0)</f>
        <v>-12500</v>
      </c>
      <c r="E2055" t="str">
        <f>IFERROR(__xludf.DUMMYFUNCTION("""COMPUTED_VALUE"""),"台銀籌備帳戶")</f>
        <v>台銀籌備帳戶</v>
      </c>
      <c r="G2055" t="str">
        <f>IFERROR(__xludf.DUMMYFUNCTION("""COMPUTED_VALUE"""),"無法分類")</f>
        <v>無法分類</v>
      </c>
      <c r="H2055" s="106" t="str">
        <f t="shared" si="1"/>
        <v>2025-06</v>
      </c>
      <c r="I2055" s="271" t="str">
        <f>IFERROR(__xludf.DUMMYFUNCTION("""COMPUTED_VALUE"""),"貓狗企鵝")</f>
        <v>貓狗企鵝</v>
      </c>
      <c r="J2055" t="str">
        <f>IFERROR(__xludf.DUMMYFUNCTION("IFS(
  AND(REGEXMATCH(E2055, ""台銀籌備帳戶|玉山帳戶""), REGEXMATCH(C2055, ""薪資"")), ""分潤支出"",
  AND(REGEXMATCH(E2055, ""Ben帳戶|Elsa帳戶|Ben代墊|Ariel代墊|中信銀行共用""), REGEXMATCH(F2055, ""Ben帳戶|Elsa帳戶|Ben代墊|Ariel代墊|中信銀行共用"")), ""內部轉帳(忽略)"",
  AND(E2055&lt;&gt;"""", F2055&lt;&gt;"""", N"&amp;"OT(REGEXMATCH(C2055, ""薪資""))), ""內部轉帳(忽略)"",
  REGEXMATCH(C2055, ""薪資""), ""薪資變動(不計入)"",
  REGEXMATCH(C2055, ""押金""), ""押金往來"",
  AND(E2055&lt;&gt;"""", F2055=""""), ""真實支出"",
  AND(E2055="""", F2055&lt;&gt;""""), ""真實收入"",
  TRUE, ""其他""
)"),"真實支出")</f>
        <v>真實支出</v>
      </c>
      <c r="K2055" s="270">
        <f t="shared" si="2"/>
        <v>-12500</v>
      </c>
      <c r="L2055">
        <f t="shared" si="3"/>
        <v>0</v>
      </c>
    </row>
    <row r="2056">
      <c r="A2056" s="107">
        <f>IFERROR(__xludf.DUMMYFUNCTION("""COMPUTED_VALUE"""),45810.0)</f>
        <v>45810</v>
      </c>
      <c r="B2056" t="str">
        <f>IFERROR(__xludf.DUMMYFUNCTION("""COMPUTED_VALUE"""),"費用 - 匯費 對方行:808 後五碼:24317 (行號: 3)")</f>
        <v>費用 - 匯費 對方行:808 後五碼:24317 (行號: 3)</v>
      </c>
      <c r="C2056" t="str">
        <f>IFERROR(__xludf.DUMMYFUNCTION("""COMPUTED_VALUE"""),"費用 - 匯費")</f>
        <v>費用 - 匯費</v>
      </c>
      <c r="D2056" s="270">
        <f>IFERROR(__xludf.DUMMYFUNCTION("""COMPUTED_VALUE"""),-15.0)</f>
        <v>-15</v>
      </c>
      <c r="E2056" t="str">
        <f>IFERROR(__xludf.DUMMYFUNCTION("""COMPUTED_VALUE"""),"台銀籌備帳戶")</f>
        <v>台銀籌備帳戶</v>
      </c>
      <c r="H2056" s="106" t="str">
        <f t="shared" si="1"/>
        <v>2025-06</v>
      </c>
      <c r="I2056" s="271" t="str">
        <f>IFERROR(__xludf.DUMMYFUNCTION("""COMPUTED_VALUE"""),"貓狗企鵝")</f>
        <v>貓狗企鵝</v>
      </c>
      <c r="J2056" t="str">
        <f>IFERROR(__xludf.DUMMYFUNCTION("IFS(
  AND(REGEXMATCH(E2056, ""台銀籌備帳戶|玉山帳戶""), REGEXMATCH(C2056, ""薪資"")), ""分潤支出"",
  AND(REGEXMATCH(E2056, ""Ben帳戶|Elsa帳戶|Ben代墊|Ariel代墊|中信銀行共用""), REGEXMATCH(F2056, ""Ben帳戶|Elsa帳戶|Ben代墊|Ariel代墊|中信銀行共用"")), ""內部轉帳(忽略)"",
  AND(E2056&lt;&gt;"""", F2056&lt;&gt;"""", N"&amp;"OT(REGEXMATCH(C2056, ""薪資""))), ""內部轉帳(忽略)"",
  REGEXMATCH(C2056, ""薪資""), ""薪資變動(不計入)"",
  REGEXMATCH(C2056, ""押金""), ""押金往來"",
  AND(E2056&lt;&gt;"""", F2056=""""), ""真實支出"",
  AND(E2056="""", F2056&lt;&gt;""""), ""真實收入"",
  TRUE, ""其他""
)"),"真實支出")</f>
        <v>真實支出</v>
      </c>
      <c r="K2056" s="270">
        <f t="shared" si="2"/>
        <v>-15</v>
      </c>
      <c r="L2056">
        <f t="shared" si="3"/>
        <v>0</v>
      </c>
    </row>
    <row r="2057">
      <c r="A2057" s="107">
        <f>IFERROR(__xludf.DUMMYFUNCTION("""COMPUTED_VALUE"""),45810.0)</f>
        <v>45810</v>
      </c>
      <c r="B2057" t="str">
        <f>IFERROR(__xludf.DUMMYFUNCTION("""COMPUTED_VALUE"""),"阿德火雞大湖民生 ' 【未分類支出】")</f>
        <v>阿德火雞大湖民生 ' 【未分類支出】</v>
      </c>
      <c r="C2057" t="str">
        <f>IFERROR(__xludf.DUMMYFUNCTION("""COMPUTED_VALUE"""),"費用 - 人力成本")</f>
        <v>費用 - 人力成本</v>
      </c>
      <c r="D2057" s="270">
        <f>IFERROR(__xludf.DUMMYFUNCTION("""COMPUTED_VALUE"""),-1531.0)</f>
        <v>-1531</v>
      </c>
      <c r="E2057" t="str">
        <f>IFERROR(__xludf.DUMMYFUNCTION("""COMPUTED_VALUE"""),"台銀籌備帳戶")</f>
        <v>台銀籌備帳戶</v>
      </c>
      <c r="G2057" t="str">
        <f>IFERROR(__xludf.DUMMYFUNCTION("""COMPUTED_VALUE"""),"書香民生")</f>
        <v>書香民生</v>
      </c>
      <c r="H2057" s="106" t="str">
        <f t="shared" si="1"/>
        <v>2025-06</v>
      </c>
      <c r="I2057" s="271" t="str">
        <f>IFERROR(__xludf.DUMMYFUNCTION("""COMPUTED_VALUE"""),"貓狗企鵝")</f>
        <v>貓狗企鵝</v>
      </c>
      <c r="J2057" t="str">
        <f>IFERROR(__xludf.DUMMYFUNCTION("IFS(
  AND(REGEXMATCH(E2057, ""台銀籌備帳戶|玉山帳戶""), REGEXMATCH(C2057, ""薪資"")), ""分潤支出"",
  AND(REGEXMATCH(E2057, ""Ben帳戶|Elsa帳戶|Ben代墊|Ariel代墊|中信銀行共用""), REGEXMATCH(F2057, ""Ben帳戶|Elsa帳戶|Ben代墊|Ariel代墊|中信銀行共用"")), ""內部轉帳(忽略)"",
  AND(E2057&lt;&gt;"""", F2057&lt;&gt;"""", N"&amp;"OT(REGEXMATCH(C2057, ""薪資""))), ""內部轉帳(忽略)"",
  REGEXMATCH(C2057, ""薪資""), ""薪資變動(不計入)"",
  REGEXMATCH(C2057, ""押金""), ""押金往來"",
  AND(E2057&lt;&gt;"""", F2057=""""), ""真實支出"",
  AND(E2057="""", F2057&lt;&gt;""""), ""真實收入"",
  TRUE, ""其他""
)"),"真實支出")</f>
        <v>真實支出</v>
      </c>
      <c r="K2057" s="270">
        <f t="shared" si="2"/>
        <v>-1531</v>
      </c>
      <c r="L2057">
        <f t="shared" si="3"/>
        <v>0</v>
      </c>
    </row>
    <row r="2058">
      <c r="A2058" s="107">
        <f>IFERROR(__xludf.DUMMYFUNCTION("""COMPUTED_VALUE"""),45811.0)</f>
        <v>45811</v>
      </c>
      <c r="B2058" t="str">
        <f>IFERROR(__xludf.DUMMYFUNCTION("""COMPUTED_VALUE"""),"費用 - 匯費 對方行:812 後五碼:31091 (行號: 4)")</f>
        <v>費用 - 匯費 對方行:812 後五碼:31091 (行號: 4)</v>
      </c>
      <c r="C2058" t="str">
        <f>IFERROR(__xludf.DUMMYFUNCTION("""COMPUTED_VALUE"""),"費用 - 匯費")</f>
        <v>費用 - 匯費</v>
      </c>
      <c r="D2058" s="270">
        <f>IFERROR(__xludf.DUMMYFUNCTION("""COMPUTED_VALUE"""),-15.0)</f>
        <v>-15</v>
      </c>
      <c r="E2058" t="str">
        <f>IFERROR(__xludf.DUMMYFUNCTION("""COMPUTED_VALUE"""),"台銀籌備帳戶")</f>
        <v>台銀籌備帳戶</v>
      </c>
      <c r="H2058" s="106" t="str">
        <f t="shared" si="1"/>
        <v>2025-06</v>
      </c>
      <c r="I2058" s="271" t="str">
        <f>IFERROR(__xludf.DUMMYFUNCTION("""COMPUTED_VALUE"""),"貓狗企鵝")</f>
        <v>貓狗企鵝</v>
      </c>
      <c r="J2058" t="str">
        <f>IFERROR(__xludf.DUMMYFUNCTION("IFS(
  AND(REGEXMATCH(E2058, ""台銀籌備帳戶|玉山帳戶""), REGEXMATCH(C2058, ""薪資"")), ""分潤支出"",
  AND(REGEXMATCH(E2058, ""Ben帳戶|Elsa帳戶|Ben代墊|Ariel代墊|中信銀行共用""), REGEXMATCH(F2058, ""Ben帳戶|Elsa帳戶|Ben代墊|Ariel代墊|中信銀行共用"")), ""內部轉帳(忽略)"",
  AND(E2058&lt;&gt;"""", F2058&lt;&gt;"""", N"&amp;"OT(REGEXMATCH(C2058, ""薪資""))), ""內部轉帳(忽略)"",
  REGEXMATCH(C2058, ""薪資""), ""薪資變動(不計入)"",
  REGEXMATCH(C2058, ""押金""), ""押金往來"",
  AND(E2058&lt;&gt;"""", F2058=""""), ""真實支出"",
  AND(E2058="""", F2058&lt;&gt;""""), ""真實收入"",
  TRUE, ""其他""
)"),"真實支出")</f>
        <v>真實支出</v>
      </c>
      <c r="K2058" s="270">
        <f t="shared" si="2"/>
        <v>-15</v>
      </c>
      <c r="L2058">
        <f t="shared" si="3"/>
        <v>0</v>
      </c>
    </row>
    <row r="2059">
      <c r="A2059" s="107">
        <f>IFERROR(__xludf.DUMMYFUNCTION("""COMPUTED_VALUE"""),45811.0)</f>
        <v>45811</v>
      </c>
      <c r="B2059" t="str">
        <f>IFERROR(__xludf.DUMMYFUNCTION("""COMPUTED_VALUE"""),"哈拉A退押 ' 【未分類支出】")</f>
        <v>哈拉A退押 ' 【未分類支出】</v>
      </c>
      <c r="C2059" t="str">
        <f>IFERROR(__xludf.DUMMYFUNCTION("""COMPUTED_VALUE"""),"收入 - 押金")</f>
        <v>收入 - 押金</v>
      </c>
      <c r="D2059" s="270">
        <f>IFERROR(__xludf.DUMMYFUNCTION("""COMPUTED_VALUE"""),-19100.0)</f>
        <v>-19100</v>
      </c>
      <c r="E2059" t="str">
        <f>IFERROR(__xludf.DUMMYFUNCTION("""COMPUTED_VALUE"""),"台銀籌備帳戶")</f>
        <v>台銀籌備帳戶</v>
      </c>
      <c r="G2059" t="str">
        <f>IFERROR(__xludf.DUMMYFUNCTION("""COMPUTED_VALUE"""),"哈拉對面")</f>
        <v>哈拉對面</v>
      </c>
      <c r="H2059" s="106" t="str">
        <f t="shared" si="1"/>
        <v>2025-06</v>
      </c>
      <c r="I2059" s="271" t="str">
        <f>IFERROR(__xludf.DUMMYFUNCTION("""COMPUTED_VALUE"""),"貓狗企鵝")</f>
        <v>貓狗企鵝</v>
      </c>
      <c r="J2059" t="str">
        <f>IFERROR(__xludf.DUMMYFUNCTION("IFS(
  AND(REGEXMATCH(E2059, ""台銀籌備帳戶|玉山帳戶""), REGEXMATCH(C2059, ""薪資"")), ""分潤支出"",
  AND(REGEXMATCH(E2059, ""Ben帳戶|Elsa帳戶|Ben代墊|Ariel代墊|中信銀行共用""), REGEXMATCH(F2059, ""Ben帳戶|Elsa帳戶|Ben代墊|Ariel代墊|中信銀行共用"")), ""內部轉帳(忽略)"",
  AND(E2059&lt;&gt;"""", F2059&lt;&gt;"""", N"&amp;"OT(REGEXMATCH(C2059, ""薪資""))), ""內部轉帳(忽略)"",
  REGEXMATCH(C2059, ""薪資""), ""薪資變動(不計入)"",
  REGEXMATCH(C2059, ""押金""), ""押金往來"",
  AND(E2059&lt;&gt;"""", F2059=""""), ""真實支出"",
  AND(E2059="""", F2059&lt;&gt;""""), ""真實收入"",
  TRUE, ""其他""
)"),"押金往來")</f>
        <v>押金往來</v>
      </c>
      <c r="K2059">
        <f t="shared" si="2"/>
        <v>0</v>
      </c>
      <c r="L2059">
        <f t="shared" si="3"/>
        <v>0</v>
      </c>
    </row>
    <row r="2060">
      <c r="A2060" s="107">
        <f>IFERROR(__xludf.DUMMYFUNCTION("""COMPUTED_VALUE"""),45811.0)</f>
        <v>45811</v>
      </c>
      <c r="B2060" t="str">
        <f>IFERROR(__xludf.DUMMYFUNCTION("""COMPUTED_VALUE"""),"費用 - 匯費 對方行:822 後五碼:45221 (行號: 5)")</f>
        <v>費用 - 匯費 對方行:822 後五碼:45221 (行號: 5)</v>
      </c>
      <c r="C2060" t="str">
        <f>IFERROR(__xludf.DUMMYFUNCTION("""COMPUTED_VALUE"""),"費用 - 匯費")</f>
        <v>費用 - 匯費</v>
      </c>
      <c r="D2060" s="270">
        <f>IFERROR(__xludf.DUMMYFUNCTION("""COMPUTED_VALUE"""),-15.0)</f>
        <v>-15</v>
      </c>
      <c r="E2060" t="str">
        <f>IFERROR(__xludf.DUMMYFUNCTION("""COMPUTED_VALUE"""),"台銀籌備帳戶")</f>
        <v>台銀籌備帳戶</v>
      </c>
      <c r="H2060" s="106" t="str">
        <f t="shared" si="1"/>
        <v>2025-06</v>
      </c>
      <c r="I2060" s="271" t="str">
        <f>IFERROR(__xludf.DUMMYFUNCTION("""COMPUTED_VALUE"""),"貓狗企鵝")</f>
        <v>貓狗企鵝</v>
      </c>
      <c r="J2060" t="str">
        <f>IFERROR(__xludf.DUMMYFUNCTION("IFS(
  AND(REGEXMATCH(E2060, ""台銀籌備帳戶|玉山帳戶""), REGEXMATCH(C2060, ""薪資"")), ""分潤支出"",
  AND(REGEXMATCH(E2060, ""Ben帳戶|Elsa帳戶|Ben代墊|Ariel代墊|中信銀行共用""), REGEXMATCH(F2060, ""Ben帳戶|Elsa帳戶|Ben代墊|Ariel代墊|中信銀行共用"")), ""內部轉帳(忽略)"",
  AND(E2060&lt;&gt;"""", F2060&lt;&gt;"""", N"&amp;"OT(REGEXMATCH(C2060, ""薪資""))), ""內部轉帳(忽略)"",
  REGEXMATCH(C2060, ""薪資""), ""薪資變動(不計入)"",
  REGEXMATCH(C2060, ""押金""), ""押金往來"",
  AND(E2060&lt;&gt;"""", F2060=""""), ""真實支出"",
  AND(E2060="""", F2060&lt;&gt;""""), ""真實收入"",
  TRUE, ""其他""
)"),"真實支出")</f>
        <v>真實支出</v>
      </c>
      <c r="K2060" s="270">
        <f t="shared" si="2"/>
        <v>-15</v>
      </c>
      <c r="L2060">
        <f t="shared" si="3"/>
        <v>0</v>
      </c>
    </row>
    <row r="2061">
      <c r="A2061" s="107">
        <f>IFERROR(__xludf.DUMMYFUNCTION("""COMPUTED_VALUE"""),45811.0)</f>
        <v>45811</v>
      </c>
      <c r="B2061" t="str">
        <f>IFERROR(__xludf.DUMMYFUNCTION("""COMPUTED_VALUE"""),"龍江BC水電瓦斯 ' 【未分類支出】")</f>
        <v>龍江BC水電瓦斯 ' 【未分類支出】</v>
      </c>
      <c r="C2061" t="str">
        <f>IFERROR(__xludf.DUMMYFUNCTION("""COMPUTED_VALUE"""),"成本 - 固定開銷(網路代收清潔)")</f>
        <v>成本 - 固定開銷(網路代收清潔)</v>
      </c>
      <c r="D2061" s="270">
        <f>IFERROR(__xludf.DUMMYFUNCTION("""COMPUTED_VALUE"""),-679.0)</f>
        <v>-679</v>
      </c>
      <c r="E2061" t="str">
        <f>IFERROR(__xludf.DUMMYFUNCTION("""COMPUTED_VALUE"""),"台銀籌備帳戶")</f>
        <v>台銀籌備帳戶</v>
      </c>
      <c r="G2061" t="str">
        <f>IFERROR(__xludf.DUMMYFUNCTION("""COMPUTED_VALUE"""),"龍江229")</f>
        <v>龍江229</v>
      </c>
      <c r="H2061" s="106" t="str">
        <f t="shared" si="1"/>
        <v>2025-06</v>
      </c>
      <c r="I2061" s="271" t="str">
        <f>IFERROR(__xludf.DUMMYFUNCTION("""COMPUTED_VALUE"""),"貓狗企鵝")</f>
        <v>貓狗企鵝</v>
      </c>
      <c r="J2061" t="str">
        <f>IFERROR(__xludf.DUMMYFUNCTION("IFS(
  AND(REGEXMATCH(E2061, ""台銀籌備帳戶|玉山帳戶""), REGEXMATCH(C2061, ""薪資"")), ""分潤支出"",
  AND(REGEXMATCH(E2061, ""Ben帳戶|Elsa帳戶|Ben代墊|Ariel代墊|中信銀行共用""), REGEXMATCH(F2061, ""Ben帳戶|Elsa帳戶|Ben代墊|Ariel代墊|中信銀行共用"")), ""內部轉帳(忽略)"",
  AND(E2061&lt;&gt;"""", F2061&lt;&gt;"""", N"&amp;"OT(REGEXMATCH(C2061, ""薪資""))), ""內部轉帳(忽略)"",
  REGEXMATCH(C2061, ""薪資""), ""薪資變動(不計入)"",
  REGEXMATCH(C2061, ""押金""), ""押金往來"",
  AND(E2061&lt;&gt;"""", F2061=""""), ""真實支出"",
  AND(E2061="""", F2061&lt;&gt;""""), ""真實收入"",
  TRUE, ""其他""
)"),"真實支出")</f>
        <v>真實支出</v>
      </c>
      <c r="K2061" s="270">
        <f t="shared" si="2"/>
        <v>-679</v>
      </c>
      <c r="L2061">
        <f t="shared" si="3"/>
        <v>0</v>
      </c>
    </row>
    <row r="2062">
      <c r="A2062" s="107">
        <f>IFERROR(__xludf.DUMMYFUNCTION("""COMPUTED_VALUE"""),45813.0)</f>
        <v>45813</v>
      </c>
      <c r="B2062" t="str">
        <f>IFERROR(__xludf.DUMMYFUNCTION("""COMPUTED_VALUE"""),"龍江B 維尼 押金")</f>
        <v>龍江B 維尼 押金</v>
      </c>
      <c r="C2062" t="str">
        <f>IFERROR(__xludf.DUMMYFUNCTION("""COMPUTED_VALUE"""),"收入 - 押金")</f>
        <v>收入 - 押金</v>
      </c>
      <c r="D2062" s="270">
        <f>IFERROR(__xludf.DUMMYFUNCTION("""COMPUTED_VALUE"""),27000.0)</f>
        <v>27000</v>
      </c>
      <c r="F2062" t="str">
        <f>IFERROR(__xludf.DUMMYFUNCTION("""COMPUTED_VALUE"""),"台銀籌備帳戶")</f>
        <v>台銀籌備帳戶</v>
      </c>
      <c r="G2062" t="str">
        <f>IFERROR(__xludf.DUMMYFUNCTION("""COMPUTED_VALUE"""),"龍江229")</f>
        <v>龍江229</v>
      </c>
      <c r="H2062" s="106" t="str">
        <f t="shared" si="1"/>
        <v>2025-06</v>
      </c>
      <c r="I2062" s="271" t="str">
        <f>IFERROR(__xludf.DUMMYFUNCTION("""COMPUTED_VALUE"""),"貓狗企鵝")</f>
        <v>貓狗企鵝</v>
      </c>
      <c r="J2062" t="str">
        <f>IFERROR(__xludf.DUMMYFUNCTION("IFS(
  AND(REGEXMATCH(E2062, ""台銀籌備帳戶|玉山帳戶""), REGEXMATCH(C2062, ""薪資"")), ""分潤支出"",
  AND(REGEXMATCH(E2062, ""Ben帳戶|Elsa帳戶|Ben代墊|Ariel代墊|中信銀行共用""), REGEXMATCH(F2062, ""Ben帳戶|Elsa帳戶|Ben代墊|Ariel代墊|中信銀行共用"")), ""內部轉帳(忽略)"",
  AND(E2062&lt;&gt;"""", F2062&lt;&gt;"""", N"&amp;"OT(REGEXMATCH(C2062, ""薪資""))), ""內部轉帳(忽略)"",
  REGEXMATCH(C2062, ""薪資""), ""薪資變動(不計入)"",
  REGEXMATCH(C2062, ""押金""), ""押金往來"",
  AND(E2062&lt;&gt;"""", F2062=""""), ""真實支出"",
  AND(E2062="""", F2062&lt;&gt;""""), ""真實收入"",
  TRUE, ""其他""
)"),"押金往來")</f>
        <v>押金往來</v>
      </c>
      <c r="K2062">
        <f t="shared" si="2"/>
        <v>0</v>
      </c>
      <c r="L2062">
        <f t="shared" si="3"/>
        <v>0</v>
      </c>
    </row>
    <row r="2063">
      <c r="A2063" s="107">
        <f>IFERROR(__xludf.DUMMYFUNCTION("""COMPUTED_VALUE"""),45813.0)</f>
        <v>45813</v>
      </c>
      <c r="B2063" t="str">
        <f>IFERROR(__xludf.DUMMYFUNCTION("""COMPUTED_VALUE"""),"[中山北Feli家] C [郭亞潔] 月租金 (行號: 7)")</f>
        <v>[中山北Feli家] C [郭亞潔] 月租金 (行號: 7)</v>
      </c>
      <c r="C2063" t="str">
        <f>IFERROR(__xludf.DUMMYFUNCTION("""COMPUTED_VALUE"""),"收入 - 租金")</f>
        <v>收入 - 租金</v>
      </c>
      <c r="D2063" s="270">
        <f>IFERROR(__xludf.DUMMYFUNCTION("""COMPUTED_VALUE"""),11500.0)</f>
        <v>11500</v>
      </c>
      <c r="F2063" t="str">
        <f>IFERROR(__xludf.DUMMYFUNCTION("""COMPUTED_VALUE"""),"台銀籌備帳戶")</f>
        <v>台銀籌備帳戶</v>
      </c>
      <c r="G2063" t="str">
        <f>IFERROR(__xludf.DUMMYFUNCTION("""COMPUTED_VALUE"""),"中山北Feli家")</f>
        <v>中山北Feli家</v>
      </c>
      <c r="H2063" s="106" t="str">
        <f t="shared" si="1"/>
        <v>2025-06</v>
      </c>
      <c r="I2063" s="271" t="str">
        <f>IFERROR(__xludf.DUMMYFUNCTION("""COMPUTED_VALUE"""),"貓狗企鵝")</f>
        <v>貓狗企鵝</v>
      </c>
      <c r="J2063" t="str">
        <f>IFERROR(__xludf.DUMMYFUNCTION("IFS(
  AND(REGEXMATCH(E2063, ""台銀籌備帳戶|玉山帳戶""), REGEXMATCH(C2063, ""薪資"")), ""分潤支出"",
  AND(REGEXMATCH(E2063, ""Ben帳戶|Elsa帳戶|Ben代墊|Ariel代墊|中信銀行共用""), REGEXMATCH(F2063, ""Ben帳戶|Elsa帳戶|Ben代墊|Ariel代墊|中信銀行共用"")), ""內部轉帳(忽略)"",
  AND(E2063&lt;&gt;"""", F2063&lt;&gt;"""", N"&amp;"OT(REGEXMATCH(C2063, ""薪資""))), ""內部轉帳(忽略)"",
  REGEXMATCH(C2063, ""薪資""), ""薪資變動(不計入)"",
  REGEXMATCH(C2063, ""押金""), ""押金往來"",
  AND(E2063&lt;&gt;"""", F2063=""""), ""真實支出"",
  AND(E2063="""", F2063&lt;&gt;""""), ""真實收入"",
  TRUE, ""其他""
)"),"真實收入")</f>
        <v>真實收入</v>
      </c>
      <c r="K2063" s="270">
        <f t="shared" si="2"/>
        <v>11500</v>
      </c>
      <c r="L2063">
        <f t="shared" si="3"/>
        <v>0</v>
      </c>
    </row>
    <row r="2064">
      <c r="A2064" s="107">
        <f>IFERROR(__xludf.DUMMYFUNCTION("""COMPUTED_VALUE"""),45813.0)</f>
        <v>45813</v>
      </c>
      <c r="B2064" t="str">
        <f>IFERROR(__xludf.DUMMYFUNCTION("""COMPUTED_VALUE"""),"龍江B 維尼 首租")</f>
        <v>龍江B 維尼 首租</v>
      </c>
      <c r="C2064" t="str">
        <f>IFERROR(__xludf.DUMMYFUNCTION("""COMPUTED_VALUE"""),"收入 - 租金")</f>
        <v>收入 - 租金</v>
      </c>
      <c r="D2064" s="270">
        <f>IFERROR(__xludf.DUMMYFUNCTION("""COMPUTED_VALUE"""),800.0)</f>
        <v>800</v>
      </c>
      <c r="F2064" t="str">
        <f>IFERROR(__xludf.DUMMYFUNCTION("""COMPUTED_VALUE"""),"台銀籌備帳戶")</f>
        <v>台銀籌備帳戶</v>
      </c>
      <c r="G2064" t="str">
        <f>IFERROR(__xludf.DUMMYFUNCTION("""COMPUTED_VALUE"""),"龍江229")</f>
        <v>龍江229</v>
      </c>
      <c r="H2064" s="106" t="str">
        <f t="shared" si="1"/>
        <v>2025-06</v>
      </c>
      <c r="I2064" s="271" t="str">
        <f>IFERROR(__xludf.DUMMYFUNCTION("""COMPUTED_VALUE"""),"貓狗企鵝")</f>
        <v>貓狗企鵝</v>
      </c>
      <c r="J2064" t="str">
        <f>IFERROR(__xludf.DUMMYFUNCTION("IFS(
  AND(REGEXMATCH(E2064, ""台銀籌備帳戶|玉山帳戶""), REGEXMATCH(C2064, ""薪資"")), ""分潤支出"",
  AND(REGEXMATCH(E2064, ""Ben帳戶|Elsa帳戶|Ben代墊|Ariel代墊|中信銀行共用""), REGEXMATCH(F2064, ""Ben帳戶|Elsa帳戶|Ben代墊|Ariel代墊|中信銀行共用"")), ""內部轉帳(忽略)"",
  AND(E2064&lt;&gt;"""", F2064&lt;&gt;"""", N"&amp;"OT(REGEXMATCH(C2064, ""薪資""))), ""內部轉帳(忽略)"",
  REGEXMATCH(C2064, ""薪資""), ""薪資變動(不計入)"",
  REGEXMATCH(C2064, ""押金""), ""押金往來"",
  AND(E2064&lt;&gt;"""", F2064=""""), ""真實支出"",
  AND(E2064="""", F2064&lt;&gt;""""), ""真實收入"",
  TRUE, ""其他""
)"),"真實收入")</f>
        <v>真實收入</v>
      </c>
      <c r="K2064" s="270">
        <f t="shared" si="2"/>
        <v>800</v>
      </c>
      <c r="L2064">
        <f t="shared" si="3"/>
        <v>0</v>
      </c>
    </row>
    <row r="2065">
      <c r="A2065" s="107">
        <f>IFERROR(__xludf.DUMMYFUNCTION("""COMPUTED_VALUE"""),45814.0)</f>
        <v>45814</v>
      </c>
      <c r="B2065" t="str">
        <f>IFERROR(__xludf.DUMMYFUNCTION("""COMPUTED_VALUE"""),"書香民生 網路費")</f>
        <v>書香民生 網路費</v>
      </c>
      <c r="C2065" t="str">
        <f>IFERROR(__xludf.DUMMYFUNCTION("""COMPUTED_VALUE"""),"成本 - 進場前裝潢費")</f>
        <v>成本 - 進場前裝潢費</v>
      </c>
      <c r="D2065" s="270">
        <f>IFERROR(__xludf.DUMMYFUNCTION("""COMPUTED_VALUE"""),-5200.0)</f>
        <v>-5200</v>
      </c>
      <c r="E2065" t="str">
        <f>IFERROR(__xludf.DUMMYFUNCTION("""COMPUTED_VALUE"""),"Ben帳戶")</f>
        <v>Ben帳戶</v>
      </c>
      <c r="G2065" t="str">
        <f>IFERROR(__xludf.DUMMYFUNCTION("""COMPUTED_VALUE"""),"書香民生")</f>
        <v>書香民生</v>
      </c>
      <c r="H2065" s="106" t="str">
        <f t="shared" si="1"/>
        <v>2025-06</v>
      </c>
      <c r="I2065" s="271" t="str">
        <f>IFERROR(__xludf.DUMMYFUNCTION("""COMPUTED_VALUE"""),"貓狗企鵝")</f>
        <v>貓狗企鵝</v>
      </c>
      <c r="J2065" t="str">
        <f>IFERROR(__xludf.DUMMYFUNCTION("IFS(
  AND(REGEXMATCH(E2065, ""台銀籌備帳戶|玉山帳戶""), REGEXMATCH(C2065, ""薪資"")), ""分潤支出"",
  AND(REGEXMATCH(E2065, ""Ben帳戶|Elsa帳戶|Ben代墊|Ariel代墊|中信銀行共用""), REGEXMATCH(F2065, ""Ben帳戶|Elsa帳戶|Ben代墊|Ariel代墊|中信銀行共用"")), ""內部轉帳(忽略)"",
  AND(E2065&lt;&gt;"""", F2065&lt;&gt;"""", N"&amp;"OT(REGEXMATCH(C2065, ""薪資""))), ""內部轉帳(忽略)"",
  REGEXMATCH(C2065, ""薪資""), ""薪資變動(不計入)"",
  REGEXMATCH(C2065, ""押金""), ""押金往來"",
  AND(E2065&lt;&gt;"""", F2065=""""), ""真實支出"",
  AND(E2065="""", F2065&lt;&gt;""""), ""真實收入"",
  TRUE, ""其他""
)"),"真實支出")</f>
        <v>真實支出</v>
      </c>
      <c r="K2065" s="270">
        <f t="shared" si="2"/>
        <v>-5200</v>
      </c>
      <c r="L2065">
        <f t="shared" si="3"/>
        <v>0</v>
      </c>
    </row>
    <row r="2066">
      <c r="A2066" s="107">
        <f>IFERROR(__xludf.DUMMYFUNCTION("""COMPUTED_VALUE"""),45814.0)</f>
        <v>45814</v>
      </c>
      <c r="B2066" t="str">
        <f>IFERROR(__xludf.DUMMYFUNCTION("""COMPUTED_VALUE"""),"書香民生 紗簾")</f>
        <v>書香民生 紗簾</v>
      </c>
      <c r="C2066" t="str">
        <f>IFERROR(__xludf.DUMMYFUNCTION("""COMPUTED_VALUE"""),"成本 - 進場前裝潢費")</f>
        <v>成本 - 進場前裝潢費</v>
      </c>
      <c r="D2066" s="270">
        <f>IFERROR(__xludf.DUMMYFUNCTION("""COMPUTED_VALUE"""),-5000.0)</f>
        <v>-5000</v>
      </c>
      <c r="E2066" t="str">
        <f>IFERROR(__xludf.DUMMYFUNCTION("""COMPUTED_VALUE"""),"Ben帳戶")</f>
        <v>Ben帳戶</v>
      </c>
      <c r="G2066" t="str">
        <f>IFERROR(__xludf.DUMMYFUNCTION("""COMPUTED_VALUE"""),"書香民生")</f>
        <v>書香民生</v>
      </c>
      <c r="H2066" s="106" t="str">
        <f t="shared" si="1"/>
        <v>2025-06</v>
      </c>
      <c r="I2066" s="271" t="str">
        <f>IFERROR(__xludf.DUMMYFUNCTION("""COMPUTED_VALUE"""),"貓狗企鵝")</f>
        <v>貓狗企鵝</v>
      </c>
      <c r="J2066" t="str">
        <f>IFERROR(__xludf.DUMMYFUNCTION("IFS(
  AND(REGEXMATCH(E2066, ""台銀籌備帳戶|玉山帳戶""), REGEXMATCH(C2066, ""薪資"")), ""分潤支出"",
  AND(REGEXMATCH(E2066, ""Ben帳戶|Elsa帳戶|Ben代墊|Ariel代墊|中信銀行共用""), REGEXMATCH(F2066, ""Ben帳戶|Elsa帳戶|Ben代墊|Ariel代墊|中信銀行共用"")), ""內部轉帳(忽略)"",
  AND(E2066&lt;&gt;"""", F2066&lt;&gt;"""", N"&amp;"OT(REGEXMATCH(C2066, ""薪資""))), ""內部轉帳(忽略)"",
  REGEXMATCH(C2066, ""薪資""), ""薪資變動(不計入)"",
  REGEXMATCH(C2066, ""押金""), ""押金往來"",
  AND(E2066&lt;&gt;"""", F2066=""""), ""真實支出"",
  AND(E2066="""", F2066&lt;&gt;""""), ""真實收入"",
  TRUE, ""其他""
)"),"真實支出")</f>
        <v>真實支出</v>
      </c>
      <c r="K2066" s="270">
        <f t="shared" si="2"/>
        <v>-5000</v>
      </c>
      <c r="L2066">
        <f t="shared" si="3"/>
        <v>0</v>
      </c>
    </row>
    <row r="2067">
      <c r="A2067" s="107">
        <f>IFERROR(__xludf.DUMMYFUNCTION("""COMPUTED_VALUE"""),45814.0)</f>
        <v>45814</v>
      </c>
      <c r="B2067" t="str">
        <f>IFERROR(__xludf.DUMMYFUNCTION("""COMPUTED_VALUE"""),"書香民生 柔紗簾(捲簾)")</f>
        <v>書香民生 柔紗簾(捲簾)</v>
      </c>
      <c r="C2067" t="str">
        <f>IFERROR(__xludf.DUMMYFUNCTION("""COMPUTED_VALUE"""),"成本 - 進場前裝潢費")</f>
        <v>成本 - 進場前裝潢費</v>
      </c>
      <c r="D2067" s="270">
        <f>IFERROR(__xludf.DUMMYFUNCTION("""COMPUTED_VALUE"""),-3000.0)</f>
        <v>-3000</v>
      </c>
      <c r="E2067" t="str">
        <f>IFERROR(__xludf.DUMMYFUNCTION("""COMPUTED_VALUE"""),"Ben帳戶")</f>
        <v>Ben帳戶</v>
      </c>
      <c r="G2067" t="str">
        <f>IFERROR(__xludf.DUMMYFUNCTION("""COMPUTED_VALUE"""),"書香民生")</f>
        <v>書香民生</v>
      </c>
      <c r="H2067" s="106" t="str">
        <f t="shared" si="1"/>
        <v>2025-06</v>
      </c>
      <c r="I2067" s="271" t="str">
        <f>IFERROR(__xludf.DUMMYFUNCTION("""COMPUTED_VALUE"""),"貓狗企鵝")</f>
        <v>貓狗企鵝</v>
      </c>
      <c r="J2067" t="str">
        <f>IFERROR(__xludf.DUMMYFUNCTION("IFS(
  AND(REGEXMATCH(E2067, ""台銀籌備帳戶|玉山帳戶""), REGEXMATCH(C2067, ""薪資"")), ""分潤支出"",
  AND(REGEXMATCH(E2067, ""Ben帳戶|Elsa帳戶|Ben代墊|Ariel代墊|中信銀行共用""), REGEXMATCH(F2067, ""Ben帳戶|Elsa帳戶|Ben代墊|Ariel代墊|中信銀行共用"")), ""內部轉帳(忽略)"",
  AND(E2067&lt;&gt;"""", F2067&lt;&gt;"""", N"&amp;"OT(REGEXMATCH(C2067, ""薪資""))), ""內部轉帳(忽略)"",
  REGEXMATCH(C2067, ""薪資""), ""薪資變動(不計入)"",
  REGEXMATCH(C2067, ""押金""), ""押金往來"",
  AND(E2067&lt;&gt;"""", F2067=""""), ""真實支出"",
  AND(E2067="""", F2067&lt;&gt;""""), ""真實收入"",
  TRUE, ""其他""
)"),"真實支出")</f>
        <v>真實支出</v>
      </c>
      <c r="K2067" s="270">
        <f t="shared" si="2"/>
        <v>-3000</v>
      </c>
      <c r="L2067">
        <f t="shared" si="3"/>
        <v>0</v>
      </c>
    </row>
    <row r="2068">
      <c r="A2068" s="107">
        <f>IFERROR(__xludf.DUMMYFUNCTION("""COMPUTED_VALUE"""),45814.0)</f>
        <v>45814</v>
      </c>
      <c r="B2068" t="str">
        <f>IFERROR(__xludf.DUMMYFUNCTION("""COMPUTED_VALUE"""),"班雜物五人晚餐")</f>
        <v>班雜物五人晚餐</v>
      </c>
      <c r="C2068" t="str">
        <f>IFERROR(__xludf.DUMMYFUNCTION("""COMPUTED_VALUE"""),"成本 - 進場前裝潢費")</f>
        <v>成本 - 進場前裝潢費</v>
      </c>
      <c r="D2068" s="270">
        <f>IFERROR(__xludf.DUMMYFUNCTION("""COMPUTED_VALUE"""),-5840.0)</f>
        <v>-5840</v>
      </c>
      <c r="E2068" t="str">
        <f>IFERROR(__xludf.DUMMYFUNCTION("""COMPUTED_VALUE"""),"Elsa帳戶")</f>
        <v>Elsa帳戶</v>
      </c>
      <c r="G2068" t="str">
        <f>IFERROR(__xludf.DUMMYFUNCTION("""COMPUTED_VALUE"""),"書香民生")</f>
        <v>書香民生</v>
      </c>
      <c r="H2068" s="106" t="str">
        <f t="shared" si="1"/>
        <v>2025-06</v>
      </c>
      <c r="I2068" s="271" t="str">
        <f>IFERROR(__xludf.DUMMYFUNCTION("""COMPUTED_VALUE"""),"貓狗企鵝")</f>
        <v>貓狗企鵝</v>
      </c>
      <c r="J2068" t="str">
        <f>IFERROR(__xludf.DUMMYFUNCTION("IFS(
  AND(REGEXMATCH(E2068, ""台銀籌備帳戶|玉山帳戶""), REGEXMATCH(C2068, ""薪資"")), ""分潤支出"",
  AND(REGEXMATCH(E2068, ""Ben帳戶|Elsa帳戶|Ben代墊|Ariel代墊|中信銀行共用""), REGEXMATCH(F2068, ""Ben帳戶|Elsa帳戶|Ben代墊|Ariel代墊|中信銀行共用"")), ""內部轉帳(忽略)"",
  AND(E2068&lt;&gt;"""", F2068&lt;&gt;"""", N"&amp;"OT(REGEXMATCH(C2068, ""薪資""))), ""內部轉帳(忽略)"",
  REGEXMATCH(C2068, ""薪資""), ""薪資變動(不計入)"",
  REGEXMATCH(C2068, ""押金""), ""押金往來"",
  AND(E2068&lt;&gt;"""", F2068=""""), ""真實支出"",
  AND(E2068="""", F2068&lt;&gt;""""), ""真實收入"",
  TRUE, ""其他""
)"),"真實支出")</f>
        <v>真實支出</v>
      </c>
      <c r="K2068" s="270">
        <f t="shared" si="2"/>
        <v>-5840</v>
      </c>
      <c r="L2068">
        <f t="shared" si="3"/>
        <v>0</v>
      </c>
    </row>
    <row r="2069">
      <c r="A2069" s="107">
        <f>IFERROR(__xludf.DUMMYFUNCTION("""COMPUTED_VALUE"""),45815.0)</f>
        <v>45815</v>
      </c>
      <c r="B2069" t="str">
        <f>IFERROR(__xludf.DUMMYFUNCTION("""COMPUTED_VALUE"""),"小米電鑽")</f>
        <v>小米電鑽</v>
      </c>
      <c r="C2069" t="str">
        <f>IFERROR(__xludf.DUMMYFUNCTION("""COMPUTED_VALUE"""),"費用 - 辦公用品")</f>
        <v>費用 - 辦公用品</v>
      </c>
      <c r="D2069" s="270">
        <f>IFERROR(__xludf.DUMMYFUNCTION("""COMPUTED_VALUE"""),-825.0)</f>
        <v>-825</v>
      </c>
      <c r="E2069" t="str">
        <f>IFERROR(__xludf.DUMMYFUNCTION("""COMPUTED_VALUE"""),"Elsa帳戶")</f>
        <v>Elsa帳戶</v>
      </c>
      <c r="G2069" t="str">
        <f>IFERROR(__xludf.DUMMYFUNCTION("""COMPUTED_VALUE"""),"無法分類")</f>
        <v>無法分類</v>
      </c>
      <c r="H2069" s="106" t="str">
        <f t="shared" si="1"/>
        <v>2025-06</v>
      </c>
      <c r="I2069" s="271" t="str">
        <f>IFERROR(__xludf.DUMMYFUNCTION("""COMPUTED_VALUE"""),"貓狗企鵝")</f>
        <v>貓狗企鵝</v>
      </c>
      <c r="J2069" t="str">
        <f>IFERROR(__xludf.DUMMYFUNCTION("IFS(
  AND(REGEXMATCH(E2069, ""台銀籌備帳戶|玉山帳戶""), REGEXMATCH(C2069, ""薪資"")), ""分潤支出"",
  AND(REGEXMATCH(E2069, ""Ben帳戶|Elsa帳戶|Ben代墊|Ariel代墊|中信銀行共用""), REGEXMATCH(F2069, ""Ben帳戶|Elsa帳戶|Ben代墊|Ariel代墊|中信銀行共用"")), ""內部轉帳(忽略)"",
  AND(E2069&lt;&gt;"""", F2069&lt;&gt;"""", N"&amp;"OT(REGEXMATCH(C2069, ""薪資""))), ""內部轉帳(忽略)"",
  REGEXMATCH(C2069, ""薪資""), ""薪資變動(不計入)"",
  REGEXMATCH(C2069, ""押金""), ""押金往來"",
  AND(E2069&lt;&gt;"""", F2069=""""), ""真實支出"",
  AND(E2069="""", F2069&lt;&gt;""""), ""真實收入"",
  TRUE, ""其他""
)"),"真實支出")</f>
        <v>真實支出</v>
      </c>
      <c r="K2069" s="270">
        <f t="shared" si="2"/>
        <v>-825</v>
      </c>
      <c r="L2069">
        <f t="shared" si="3"/>
        <v>0</v>
      </c>
    </row>
    <row r="2070">
      <c r="A2070" s="107">
        <f>IFERROR(__xludf.DUMMYFUNCTION("""COMPUTED_VALUE"""),45817.0)</f>
        <v>45817</v>
      </c>
      <c r="B2070" t="str">
        <f>IFERROR(__xludf.DUMMYFUNCTION("""COMPUTED_VALUE"""),"典蓉工費")</f>
        <v>典蓉工費</v>
      </c>
      <c r="C2070" t="str">
        <f>IFERROR(__xludf.DUMMYFUNCTION("""COMPUTED_VALUE"""),"費用 - 人力成本")</f>
        <v>費用 - 人力成本</v>
      </c>
      <c r="D2070" s="270">
        <f>IFERROR(__xludf.DUMMYFUNCTION("""COMPUTED_VALUE"""),-1000.0)</f>
        <v>-1000</v>
      </c>
      <c r="E2070" t="str">
        <f>IFERROR(__xludf.DUMMYFUNCTION("""COMPUTED_VALUE"""),"Ben帳戶")</f>
        <v>Ben帳戶</v>
      </c>
      <c r="G2070" t="str">
        <f>IFERROR(__xludf.DUMMYFUNCTION("""COMPUTED_VALUE"""),"無法分類")</f>
        <v>無法分類</v>
      </c>
      <c r="H2070" s="106" t="str">
        <f t="shared" si="1"/>
        <v>2025-06</v>
      </c>
      <c r="I2070" s="271" t="str">
        <f>IFERROR(__xludf.DUMMYFUNCTION("""COMPUTED_VALUE"""),"貓狗企鵝")</f>
        <v>貓狗企鵝</v>
      </c>
      <c r="J2070" t="str">
        <f>IFERROR(__xludf.DUMMYFUNCTION("IFS(
  AND(REGEXMATCH(E2070, ""台銀籌備帳戶|玉山帳戶""), REGEXMATCH(C2070, ""薪資"")), ""分潤支出"",
  AND(REGEXMATCH(E2070, ""Ben帳戶|Elsa帳戶|Ben代墊|Ariel代墊|中信銀行共用""), REGEXMATCH(F2070, ""Ben帳戶|Elsa帳戶|Ben代墊|Ariel代墊|中信銀行共用"")), ""內部轉帳(忽略)"",
  AND(E2070&lt;&gt;"""", F2070&lt;&gt;"""", N"&amp;"OT(REGEXMATCH(C2070, ""薪資""))), ""內部轉帳(忽略)"",
  REGEXMATCH(C2070, ""薪資""), ""薪資變動(不計入)"",
  REGEXMATCH(C2070, ""押金""), ""押金往來"",
  AND(E2070&lt;&gt;"""", F2070=""""), ""真實支出"",
  AND(E2070="""", F2070&lt;&gt;""""), ""真實收入"",
  TRUE, ""其他""
)"),"真實支出")</f>
        <v>真實支出</v>
      </c>
      <c r="K2070" s="270">
        <f t="shared" si="2"/>
        <v>-1000</v>
      </c>
      <c r="L2070">
        <f t="shared" si="3"/>
        <v>0</v>
      </c>
    </row>
    <row r="2071">
      <c r="A2071" s="107">
        <f>IFERROR(__xludf.DUMMYFUNCTION("""COMPUTED_VALUE"""),45817.0)</f>
        <v>45817</v>
      </c>
      <c r="B2071" t="str">
        <f>IFERROR(__xludf.DUMMYFUNCTION("""COMPUTED_VALUE"""),"Canva訂閱")</f>
        <v>Canva訂閱</v>
      </c>
      <c r="C2071" t="str">
        <f>IFERROR(__xludf.DUMMYFUNCTION("""COMPUTED_VALUE"""),"成本 - 進場前裝潢費")</f>
        <v>成本 - 進場前裝潢費</v>
      </c>
      <c r="D2071" s="270">
        <f>IFERROR(__xludf.DUMMYFUNCTION("""COMPUTED_VALUE"""),-3960.0)</f>
        <v>-3960</v>
      </c>
      <c r="E2071" t="str">
        <f>IFERROR(__xludf.DUMMYFUNCTION("""COMPUTED_VALUE"""),"Ben帳戶")</f>
        <v>Ben帳戶</v>
      </c>
      <c r="G2071" t="str">
        <f>IFERROR(__xludf.DUMMYFUNCTION("""COMPUTED_VALUE"""),"無法分類")</f>
        <v>無法分類</v>
      </c>
      <c r="H2071" s="106" t="str">
        <f t="shared" si="1"/>
        <v>2025-06</v>
      </c>
      <c r="I2071" s="271" t="str">
        <f>IFERROR(__xludf.DUMMYFUNCTION("""COMPUTED_VALUE"""),"貓狗企鵝")</f>
        <v>貓狗企鵝</v>
      </c>
      <c r="J2071" t="str">
        <f>IFERROR(__xludf.DUMMYFUNCTION("IFS(
  AND(REGEXMATCH(E2071, ""台銀籌備帳戶|玉山帳戶""), REGEXMATCH(C2071, ""薪資"")), ""分潤支出"",
  AND(REGEXMATCH(E2071, ""Ben帳戶|Elsa帳戶|Ben代墊|Ariel代墊|中信銀行共用""), REGEXMATCH(F2071, ""Ben帳戶|Elsa帳戶|Ben代墊|Ariel代墊|中信銀行共用"")), ""內部轉帳(忽略)"",
  AND(E2071&lt;&gt;"""", F2071&lt;&gt;"""", N"&amp;"OT(REGEXMATCH(C2071, ""薪資""))), ""內部轉帳(忽略)"",
  REGEXMATCH(C2071, ""薪資""), ""薪資變動(不計入)"",
  REGEXMATCH(C2071, ""押金""), ""押金往來"",
  AND(E2071&lt;&gt;"""", F2071=""""), ""真實支出"",
  AND(E2071="""", F2071&lt;&gt;""""), ""真實收入"",
  TRUE, ""其他""
)"),"真實支出")</f>
        <v>真實支出</v>
      </c>
      <c r="K2071" s="270">
        <f t="shared" si="2"/>
        <v>-3960</v>
      </c>
      <c r="L2071">
        <f t="shared" si="3"/>
        <v>0</v>
      </c>
    </row>
    <row r="2072">
      <c r="A2072" s="107">
        <f>IFERROR(__xludf.DUMMYFUNCTION("""COMPUTED_VALUE"""),45818.0)</f>
        <v>45818</v>
      </c>
      <c r="B2072" t="str">
        <f>IFERROR(__xludf.DUMMYFUNCTION("""COMPUTED_VALUE"""),"Simpany 漢堡型發票")</f>
        <v>Simpany 漢堡型發票</v>
      </c>
      <c r="C2072" t="str">
        <f>IFERROR(__xludf.DUMMYFUNCTION("""COMPUTED_VALUE"""),"費用 - 辦公用品")</f>
        <v>費用 - 辦公用品</v>
      </c>
      <c r="D2072" s="270">
        <f>IFERROR(__xludf.DUMMYFUNCTION("""COMPUTED_VALUE"""),-1800.0)</f>
        <v>-1800</v>
      </c>
      <c r="E2072" t="str">
        <f>IFERROR(__xludf.DUMMYFUNCTION("""COMPUTED_VALUE"""),"Elsa帳戶")</f>
        <v>Elsa帳戶</v>
      </c>
      <c r="G2072" t="str">
        <f>IFERROR(__xludf.DUMMYFUNCTION("""COMPUTED_VALUE"""),"無法分類")</f>
        <v>無法分類</v>
      </c>
      <c r="H2072" s="106" t="str">
        <f t="shared" si="1"/>
        <v>2025-06</v>
      </c>
      <c r="I2072" s="271" t="str">
        <f>IFERROR(__xludf.DUMMYFUNCTION("""COMPUTED_VALUE"""),"貓狗企鵝")</f>
        <v>貓狗企鵝</v>
      </c>
      <c r="J2072" t="str">
        <f>IFERROR(__xludf.DUMMYFUNCTION("IFS(
  AND(REGEXMATCH(E2072, ""台銀籌備帳戶|玉山帳戶""), REGEXMATCH(C2072, ""薪資"")), ""分潤支出"",
  AND(REGEXMATCH(E2072, ""Ben帳戶|Elsa帳戶|Ben代墊|Ariel代墊|中信銀行共用""), REGEXMATCH(F2072, ""Ben帳戶|Elsa帳戶|Ben代墊|Ariel代墊|中信銀行共用"")), ""內部轉帳(忽略)"",
  AND(E2072&lt;&gt;"""", F2072&lt;&gt;"""", N"&amp;"OT(REGEXMATCH(C2072, ""薪資""))), ""內部轉帳(忽略)"",
  REGEXMATCH(C2072, ""薪資""), ""薪資變動(不計入)"",
  REGEXMATCH(C2072, ""押金""), ""押金往來"",
  AND(E2072&lt;&gt;"""", F2072=""""), ""真實支出"",
  AND(E2072="""", F2072&lt;&gt;""""), ""真實收入"",
  TRUE, ""其他""
)"),"真實支出")</f>
        <v>真實支出</v>
      </c>
      <c r="K2072" s="270">
        <f t="shared" si="2"/>
        <v>-1800</v>
      </c>
      <c r="L2072">
        <f t="shared" si="3"/>
        <v>0</v>
      </c>
    </row>
    <row r="2073">
      <c r="A2073" s="107">
        <f>IFERROR(__xludf.DUMMYFUNCTION("""COMPUTED_VALUE"""),45818.0)</f>
        <v>45818</v>
      </c>
      <c r="B2073" t="str">
        <f>IFERROR(__xludf.DUMMYFUNCTION("""COMPUTED_VALUE"""),"垃可")</f>
        <v>垃可</v>
      </c>
      <c r="C2073" t="str">
        <f>IFERROR(__xludf.DUMMYFUNCTION("""COMPUTED_VALUE"""),"成本 - 固定開銷(網路代收清潔)")</f>
        <v>成本 - 固定開銷(網路代收清潔)</v>
      </c>
      <c r="D2073" s="270">
        <f>IFERROR(__xludf.DUMMYFUNCTION("""COMPUTED_VALUE"""),-4500.0)</f>
        <v>-4500</v>
      </c>
      <c r="E2073" t="str">
        <f>IFERROR(__xludf.DUMMYFUNCTION("""COMPUTED_VALUE"""),"Ben帳戶")</f>
        <v>Ben帳戶</v>
      </c>
      <c r="G2073" t="str">
        <f>IFERROR(__xludf.DUMMYFUNCTION("""COMPUTED_VALUE"""),"無法分類")</f>
        <v>無法分類</v>
      </c>
      <c r="H2073" s="106" t="str">
        <f t="shared" si="1"/>
        <v>2025-06</v>
      </c>
      <c r="I2073" s="271" t="str">
        <f>IFERROR(__xludf.DUMMYFUNCTION("""COMPUTED_VALUE"""),"貓狗企鵝")</f>
        <v>貓狗企鵝</v>
      </c>
      <c r="J2073" t="str">
        <f>IFERROR(__xludf.DUMMYFUNCTION("IFS(
  AND(REGEXMATCH(E2073, ""台銀籌備帳戶|玉山帳戶""), REGEXMATCH(C2073, ""薪資"")), ""分潤支出"",
  AND(REGEXMATCH(E2073, ""Ben帳戶|Elsa帳戶|Ben代墊|Ariel代墊|中信銀行共用""), REGEXMATCH(F2073, ""Ben帳戶|Elsa帳戶|Ben代墊|Ariel代墊|中信銀行共用"")), ""內部轉帳(忽略)"",
  AND(E2073&lt;&gt;"""", F2073&lt;&gt;"""", N"&amp;"OT(REGEXMATCH(C2073, ""薪資""))), ""內部轉帳(忽略)"",
  REGEXMATCH(C2073, ""薪資""), ""薪資變動(不計入)"",
  REGEXMATCH(C2073, ""押金""), ""押金往來"",
  AND(E2073&lt;&gt;"""", F2073=""""), ""真實支出"",
  AND(E2073="""", F2073&lt;&gt;""""), ""真實收入"",
  TRUE, ""其他""
)"),"真實支出")</f>
        <v>真實支出</v>
      </c>
      <c r="K2073" s="270">
        <f t="shared" si="2"/>
        <v>-4500</v>
      </c>
      <c r="L2073">
        <f t="shared" si="3"/>
        <v>0</v>
      </c>
    </row>
    <row r="2074">
      <c r="A2074" s="107">
        <f>IFERROR(__xludf.DUMMYFUNCTION("""COMPUTED_VALUE"""),45819.0)</f>
        <v>45819</v>
      </c>
      <c r="B2074" t="str">
        <f>IFERROR(__xludf.DUMMYFUNCTION("""COMPUTED_VALUE"""),"大湖6月份清潔")</f>
        <v>大湖6月份清潔</v>
      </c>
      <c r="C2074" t="str">
        <f>IFERROR(__xludf.DUMMYFUNCTION("""COMPUTED_VALUE"""),"成本 - 固定開銷(網路代收清潔)")</f>
        <v>成本 - 固定開銷(網路代收清潔)</v>
      </c>
      <c r="D2074" s="270">
        <f>IFERROR(__xludf.DUMMYFUNCTION("""COMPUTED_VALUE"""),-1650.0)</f>
        <v>-1650</v>
      </c>
      <c r="E2074" t="str">
        <f>IFERROR(__xludf.DUMMYFUNCTION("""COMPUTED_VALUE"""),"Elsa帳戶")</f>
        <v>Elsa帳戶</v>
      </c>
      <c r="G2074" t="str">
        <f>IFERROR(__xludf.DUMMYFUNCTION("""COMPUTED_VALUE"""),"大湖山莊")</f>
        <v>大湖山莊</v>
      </c>
      <c r="H2074" s="106" t="str">
        <f t="shared" si="1"/>
        <v>2025-06</v>
      </c>
      <c r="I2074" s="271" t="str">
        <f>IFERROR(__xludf.DUMMYFUNCTION("""COMPUTED_VALUE"""),"貓狗企鵝")</f>
        <v>貓狗企鵝</v>
      </c>
      <c r="J2074" t="str">
        <f>IFERROR(__xludf.DUMMYFUNCTION("IFS(
  AND(REGEXMATCH(E2074, ""台銀籌備帳戶|玉山帳戶""), REGEXMATCH(C2074, ""薪資"")), ""分潤支出"",
  AND(REGEXMATCH(E2074, ""Ben帳戶|Elsa帳戶|Ben代墊|Ariel代墊|中信銀行共用""), REGEXMATCH(F2074, ""Ben帳戶|Elsa帳戶|Ben代墊|Ariel代墊|中信銀行共用"")), ""內部轉帳(忽略)"",
  AND(E2074&lt;&gt;"""", F2074&lt;&gt;"""", N"&amp;"OT(REGEXMATCH(C2074, ""薪資""))), ""內部轉帳(忽略)"",
  REGEXMATCH(C2074, ""薪資""), ""薪資變動(不計入)"",
  REGEXMATCH(C2074, ""押金""), ""押金往來"",
  AND(E2074&lt;&gt;"""", F2074=""""), ""真實支出"",
  AND(E2074="""", F2074&lt;&gt;""""), ""真實收入"",
  TRUE, ""其他""
)"),"真實支出")</f>
        <v>真實支出</v>
      </c>
      <c r="K2074" s="270">
        <f t="shared" si="2"/>
        <v>-1650</v>
      </c>
      <c r="L2074">
        <f t="shared" si="3"/>
        <v>0</v>
      </c>
    </row>
    <row r="2075">
      <c r="A2075" s="107">
        <f>IFERROR(__xludf.DUMMYFUNCTION("""COMPUTED_VALUE"""),45823.0)</f>
        <v>45823</v>
      </c>
      <c r="B2075" t="str">
        <f>IFERROR(__xludf.DUMMYFUNCTION("""COMPUTED_VALUE"""),"拉拉木鑰匙給火雞")</f>
        <v>拉拉木鑰匙給火雞</v>
      </c>
      <c r="C2075" t="str">
        <f>IFERROR(__xludf.DUMMYFUNCTION("""COMPUTED_VALUE"""),"成本 - 進場前裝潢費")</f>
        <v>成本 - 進場前裝潢費</v>
      </c>
      <c r="D2075" s="270">
        <f>IFERROR(__xludf.DUMMYFUNCTION("""COMPUTED_VALUE"""),-214.0)</f>
        <v>-214</v>
      </c>
      <c r="E2075" t="str">
        <f>IFERROR(__xludf.DUMMYFUNCTION("""COMPUTED_VALUE"""),"Elsa帳戶")</f>
        <v>Elsa帳戶</v>
      </c>
      <c r="G2075" t="str">
        <f>IFERROR(__xludf.DUMMYFUNCTION("""COMPUTED_VALUE"""),"書香民生")</f>
        <v>書香民生</v>
      </c>
      <c r="H2075" s="106" t="str">
        <f t="shared" si="1"/>
        <v>2025-06</v>
      </c>
      <c r="I2075" s="271" t="str">
        <f>IFERROR(__xludf.DUMMYFUNCTION("""COMPUTED_VALUE"""),"貓狗企鵝")</f>
        <v>貓狗企鵝</v>
      </c>
      <c r="J2075" t="str">
        <f>IFERROR(__xludf.DUMMYFUNCTION("IFS(
  AND(REGEXMATCH(E2075, ""台銀籌備帳戶|玉山帳戶""), REGEXMATCH(C2075, ""薪資"")), ""分潤支出"",
  AND(REGEXMATCH(E2075, ""Ben帳戶|Elsa帳戶|Ben代墊|Ariel代墊|中信銀行共用""), REGEXMATCH(F2075, ""Ben帳戶|Elsa帳戶|Ben代墊|Ariel代墊|中信銀行共用"")), ""內部轉帳(忽略)"",
  AND(E2075&lt;&gt;"""", F2075&lt;&gt;"""", N"&amp;"OT(REGEXMATCH(C2075, ""薪資""))), ""內部轉帳(忽略)"",
  REGEXMATCH(C2075, ""薪資""), ""薪資變動(不計入)"",
  REGEXMATCH(C2075, ""押金""), ""押金往來"",
  AND(E2075&lt;&gt;"""", F2075=""""), ""真實支出"",
  AND(E2075="""", F2075&lt;&gt;""""), ""真實收入"",
  TRUE, ""其他""
)"),"真實支出")</f>
        <v>真實支出</v>
      </c>
      <c r="K2075" s="270">
        <f t="shared" si="2"/>
        <v>-214</v>
      </c>
      <c r="L2075">
        <f t="shared" si="3"/>
        <v>0</v>
      </c>
    </row>
    <row r="2076">
      <c r="A2076" s="107">
        <f>IFERROR(__xludf.DUMMYFUNCTION("""COMPUTED_VALUE"""),45824.0)</f>
        <v>45824</v>
      </c>
      <c r="B2076" t="str">
        <f>IFERROR(__xludf.DUMMYFUNCTION("""COMPUTED_VALUE"""),"景安網路費")</f>
        <v>景安網路費</v>
      </c>
      <c r="C2076" t="str">
        <f>IFERROR(__xludf.DUMMYFUNCTION("""COMPUTED_VALUE"""),"成本 - 固定開銷(網路代收清潔)")</f>
        <v>成本 - 固定開銷(網路代收清潔)</v>
      </c>
      <c r="D2076" s="270">
        <f>IFERROR(__xludf.DUMMYFUNCTION("""COMPUTED_VALUE"""),-1500.0)</f>
        <v>-1500</v>
      </c>
      <c r="E2076" t="str">
        <f>IFERROR(__xludf.DUMMYFUNCTION("""COMPUTED_VALUE"""),"Ben帳戶")</f>
        <v>Ben帳戶</v>
      </c>
      <c r="G2076" t="str">
        <f>IFERROR(__xludf.DUMMYFUNCTION("""COMPUTED_VALUE"""),"景安2分鐘")</f>
        <v>景安2分鐘</v>
      </c>
      <c r="H2076" s="106" t="str">
        <f t="shared" si="1"/>
        <v>2025-06</v>
      </c>
      <c r="I2076" s="271" t="str">
        <f>IFERROR(__xludf.DUMMYFUNCTION("""COMPUTED_VALUE"""),"貓狗企鵝")</f>
        <v>貓狗企鵝</v>
      </c>
      <c r="J2076" t="str">
        <f>IFERROR(__xludf.DUMMYFUNCTION("IFS(
  AND(REGEXMATCH(E2076, ""台銀籌備帳戶|玉山帳戶""), REGEXMATCH(C2076, ""薪資"")), ""分潤支出"",
  AND(REGEXMATCH(E2076, ""Ben帳戶|Elsa帳戶|Ben代墊|Ariel代墊|中信銀行共用""), REGEXMATCH(F2076, ""Ben帳戶|Elsa帳戶|Ben代墊|Ariel代墊|中信銀行共用"")), ""內部轉帳(忽略)"",
  AND(E2076&lt;&gt;"""", F2076&lt;&gt;"""", N"&amp;"OT(REGEXMATCH(C2076, ""薪資""))), ""內部轉帳(忽略)"",
  REGEXMATCH(C2076, ""薪資""), ""薪資變動(不計入)"",
  REGEXMATCH(C2076, ""押金""), ""押金往來"",
  AND(E2076&lt;&gt;"""", F2076=""""), ""真實支出"",
  AND(E2076="""", F2076&lt;&gt;""""), ""真實收入"",
  TRUE, ""其他""
)"),"真實支出")</f>
        <v>真實支出</v>
      </c>
      <c r="K2076" s="270">
        <f t="shared" si="2"/>
        <v>-1500</v>
      </c>
      <c r="L2076">
        <f t="shared" si="3"/>
        <v>0</v>
      </c>
    </row>
    <row r="2077">
      <c r="A2077" s="107">
        <f>IFERROR(__xludf.DUMMYFUNCTION("""COMPUTED_VALUE"""),45826.0)</f>
        <v>45826</v>
      </c>
      <c r="B2077" t="str">
        <f>IFERROR(__xludf.DUMMYFUNCTION("""COMPUTED_VALUE"""),"淘寶燈具")</f>
        <v>淘寶燈具</v>
      </c>
      <c r="C2077" t="str">
        <f>IFERROR(__xludf.DUMMYFUNCTION("""COMPUTED_VALUE"""),"成本 - 進場前裝潢費")</f>
        <v>成本 - 進場前裝潢費</v>
      </c>
      <c r="D2077" s="270">
        <f>IFERROR(__xludf.DUMMYFUNCTION("""COMPUTED_VALUE"""),-4500.0)</f>
        <v>-4500</v>
      </c>
      <c r="E2077" t="str">
        <f>IFERROR(__xludf.DUMMYFUNCTION("""COMPUTED_VALUE"""),"Ben帳戶")</f>
        <v>Ben帳戶</v>
      </c>
      <c r="G2077" t="str">
        <f>IFERROR(__xludf.DUMMYFUNCTION("""COMPUTED_VALUE"""),"書香民生")</f>
        <v>書香民生</v>
      </c>
      <c r="H2077" s="106" t="str">
        <f t="shared" si="1"/>
        <v>2025-06</v>
      </c>
      <c r="I2077" s="271" t="str">
        <f>IFERROR(__xludf.DUMMYFUNCTION("""COMPUTED_VALUE"""),"貓狗企鵝")</f>
        <v>貓狗企鵝</v>
      </c>
      <c r="J2077" t="str">
        <f>IFERROR(__xludf.DUMMYFUNCTION("IFS(
  AND(REGEXMATCH(E2077, ""台銀籌備帳戶|玉山帳戶""), REGEXMATCH(C2077, ""薪資"")), ""分潤支出"",
  AND(REGEXMATCH(E2077, ""Ben帳戶|Elsa帳戶|Ben代墊|Ariel代墊|中信銀行共用""), REGEXMATCH(F2077, ""Ben帳戶|Elsa帳戶|Ben代墊|Ariel代墊|中信銀行共用"")), ""內部轉帳(忽略)"",
  AND(E2077&lt;&gt;"""", F2077&lt;&gt;"""", N"&amp;"OT(REGEXMATCH(C2077, ""薪資""))), ""內部轉帳(忽略)"",
  REGEXMATCH(C2077, ""薪資""), ""薪資變動(不計入)"",
  REGEXMATCH(C2077, ""押金""), ""押金往來"",
  AND(E2077&lt;&gt;"""", F2077=""""), ""真實支出"",
  AND(E2077="""", F2077&lt;&gt;""""), ""真實收入"",
  TRUE, ""其他""
)"),"真實支出")</f>
        <v>真實支出</v>
      </c>
      <c r="K2077" s="270">
        <f t="shared" si="2"/>
        <v>-4500</v>
      </c>
      <c r="L2077">
        <f t="shared" si="3"/>
        <v>0</v>
      </c>
    </row>
    <row r="2078">
      <c r="A2078" s="107">
        <f>IFERROR(__xludf.DUMMYFUNCTION("""COMPUTED_VALUE"""),45826.0)</f>
        <v>45826</v>
      </c>
      <c r="B2078" t="str">
        <f>IFERROR(__xludf.DUMMYFUNCTION("""COMPUTED_VALUE"""),"淘寶燈具")</f>
        <v>淘寶燈具</v>
      </c>
      <c r="C2078" t="str">
        <f>IFERROR(__xludf.DUMMYFUNCTION("""COMPUTED_VALUE"""),"成本 - 進場前裝潢費")</f>
        <v>成本 - 進場前裝潢費</v>
      </c>
      <c r="D2078" s="270">
        <f>IFERROR(__xludf.DUMMYFUNCTION("""COMPUTED_VALUE"""),-2706.0)</f>
        <v>-2706</v>
      </c>
      <c r="E2078" t="str">
        <f>IFERROR(__xludf.DUMMYFUNCTION("""COMPUTED_VALUE"""),"Elsa帳戶")</f>
        <v>Elsa帳戶</v>
      </c>
      <c r="G2078" t="str">
        <f>IFERROR(__xludf.DUMMYFUNCTION("""COMPUTED_VALUE"""),"書香民生")</f>
        <v>書香民生</v>
      </c>
      <c r="H2078" s="106" t="str">
        <f t="shared" si="1"/>
        <v>2025-06</v>
      </c>
      <c r="I2078" s="271" t="str">
        <f>IFERROR(__xludf.DUMMYFUNCTION("""COMPUTED_VALUE"""),"貓狗企鵝")</f>
        <v>貓狗企鵝</v>
      </c>
      <c r="J2078" t="str">
        <f>IFERROR(__xludf.DUMMYFUNCTION("IFS(
  AND(REGEXMATCH(E2078, ""台銀籌備帳戶|玉山帳戶""), REGEXMATCH(C2078, ""薪資"")), ""分潤支出"",
  AND(REGEXMATCH(E2078, ""Ben帳戶|Elsa帳戶|Ben代墊|Ariel代墊|中信銀行共用""), REGEXMATCH(F2078, ""Ben帳戶|Elsa帳戶|Ben代墊|Ariel代墊|中信銀行共用"")), ""內部轉帳(忽略)"",
  AND(E2078&lt;&gt;"""", F2078&lt;&gt;"""", N"&amp;"OT(REGEXMATCH(C2078, ""薪資""))), ""內部轉帳(忽略)"",
  REGEXMATCH(C2078, ""薪資""), ""薪資變動(不計入)"",
  REGEXMATCH(C2078, ""押金""), ""押金往來"",
  AND(E2078&lt;&gt;"""", F2078=""""), ""真實支出"",
  AND(E2078="""", F2078&lt;&gt;""""), ""真實收入"",
  TRUE, ""其他""
)"),"真實支出")</f>
        <v>真實支出</v>
      </c>
      <c r="K2078" s="270">
        <f t="shared" si="2"/>
        <v>-2706</v>
      </c>
      <c r="L2078">
        <f t="shared" si="3"/>
        <v>0</v>
      </c>
    </row>
    <row r="2079">
      <c r="A2079" s="107">
        <f>IFERROR(__xludf.DUMMYFUNCTION("""COMPUTED_VALUE"""),45826.0)</f>
        <v>45826</v>
      </c>
      <c r="B2079" t="str">
        <f>IFERROR(__xludf.DUMMYFUNCTION("""COMPUTED_VALUE"""),"淘宝椅子")</f>
        <v>淘宝椅子</v>
      </c>
      <c r="C2079" t="str">
        <f>IFERROR(__xludf.DUMMYFUNCTION("""COMPUTED_VALUE"""),"成本 - 進場前裝潢費")</f>
        <v>成本 - 進場前裝潢費</v>
      </c>
      <c r="D2079" s="270">
        <f>IFERROR(__xludf.DUMMYFUNCTION("""COMPUTED_VALUE"""),-4284.0)</f>
        <v>-4284</v>
      </c>
      <c r="E2079" t="str">
        <f>IFERROR(__xludf.DUMMYFUNCTION("""COMPUTED_VALUE"""),"Ben帳戶")</f>
        <v>Ben帳戶</v>
      </c>
      <c r="G2079" t="str">
        <f>IFERROR(__xludf.DUMMYFUNCTION("""COMPUTED_VALUE"""),"書香民生")</f>
        <v>書香民生</v>
      </c>
      <c r="H2079" s="106" t="str">
        <f t="shared" si="1"/>
        <v>2025-06</v>
      </c>
      <c r="I2079" s="271" t="str">
        <f>IFERROR(__xludf.DUMMYFUNCTION("""COMPUTED_VALUE"""),"貓狗企鵝")</f>
        <v>貓狗企鵝</v>
      </c>
      <c r="J2079" t="str">
        <f>IFERROR(__xludf.DUMMYFUNCTION("IFS(
  AND(REGEXMATCH(E2079, ""台銀籌備帳戶|玉山帳戶""), REGEXMATCH(C2079, ""薪資"")), ""分潤支出"",
  AND(REGEXMATCH(E2079, ""Ben帳戶|Elsa帳戶|Ben代墊|Ariel代墊|中信銀行共用""), REGEXMATCH(F2079, ""Ben帳戶|Elsa帳戶|Ben代墊|Ariel代墊|中信銀行共用"")), ""內部轉帳(忽略)"",
  AND(E2079&lt;&gt;"""", F2079&lt;&gt;"""", N"&amp;"OT(REGEXMATCH(C2079, ""薪資""))), ""內部轉帳(忽略)"",
  REGEXMATCH(C2079, ""薪資""), ""薪資變動(不計入)"",
  REGEXMATCH(C2079, ""押金""), ""押金往來"",
  AND(E2079&lt;&gt;"""", F2079=""""), ""真實支出"",
  AND(E2079="""", F2079&lt;&gt;""""), ""真實收入"",
  TRUE, ""其他""
)"),"真實支出")</f>
        <v>真實支出</v>
      </c>
      <c r="K2079" s="270">
        <f t="shared" si="2"/>
        <v>-4284</v>
      </c>
      <c r="L2079">
        <f t="shared" si="3"/>
        <v>0</v>
      </c>
    </row>
    <row r="2080">
      <c r="A2080" s="107">
        <f>IFERROR(__xludf.DUMMYFUNCTION("""COMPUTED_VALUE"""),45828.0)</f>
        <v>45828</v>
      </c>
      <c r="B2080" t="str">
        <f>IFERROR(__xludf.DUMMYFUNCTION("""COMPUTED_VALUE"""),"書香led joya")</f>
        <v>書香led joya</v>
      </c>
      <c r="C2080" t="str">
        <f>IFERROR(__xludf.DUMMYFUNCTION("""COMPUTED_VALUE"""),"成本 - 進場前裝潢費")</f>
        <v>成本 - 進場前裝潢費</v>
      </c>
      <c r="D2080" s="270">
        <f>IFERROR(__xludf.DUMMYFUNCTION("""COMPUTED_VALUE"""),-7092.0)</f>
        <v>-7092</v>
      </c>
      <c r="E2080" t="str">
        <f>IFERROR(__xludf.DUMMYFUNCTION("""COMPUTED_VALUE"""),"Ben帳戶")</f>
        <v>Ben帳戶</v>
      </c>
      <c r="G2080" t="str">
        <f>IFERROR(__xludf.DUMMYFUNCTION("""COMPUTED_VALUE"""),"書香民生")</f>
        <v>書香民生</v>
      </c>
      <c r="H2080" s="106" t="str">
        <f t="shared" si="1"/>
        <v>2025-06</v>
      </c>
      <c r="I2080" s="271" t="str">
        <f>IFERROR(__xludf.DUMMYFUNCTION("""COMPUTED_VALUE"""),"貓狗企鵝")</f>
        <v>貓狗企鵝</v>
      </c>
      <c r="J2080" t="str">
        <f>IFERROR(__xludf.DUMMYFUNCTION("IFS(
  AND(REGEXMATCH(E2080, ""台銀籌備帳戶|玉山帳戶""), REGEXMATCH(C2080, ""薪資"")), ""分潤支出"",
  AND(REGEXMATCH(E2080, ""Ben帳戶|Elsa帳戶|Ben代墊|Ariel代墊|中信銀行共用""), REGEXMATCH(F2080, ""Ben帳戶|Elsa帳戶|Ben代墊|Ariel代墊|中信銀行共用"")), ""內部轉帳(忽略)"",
  AND(E2080&lt;&gt;"""", F2080&lt;&gt;"""", N"&amp;"OT(REGEXMATCH(C2080, ""薪資""))), ""內部轉帳(忽略)"",
  REGEXMATCH(C2080, ""薪資""), ""薪資變動(不計入)"",
  REGEXMATCH(C2080, ""押金""), ""押金往來"",
  AND(E2080&lt;&gt;"""", F2080=""""), ""真實支出"",
  AND(E2080="""", F2080&lt;&gt;""""), ""真實收入"",
  TRUE, ""其他""
)"),"真實支出")</f>
        <v>真實支出</v>
      </c>
      <c r="K2080" s="270">
        <f t="shared" si="2"/>
        <v>-7092</v>
      </c>
      <c r="L2080">
        <f t="shared" si="3"/>
        <v>0</v>
      </c>
    </row>
    <row r="2081">
      <c r="A2081" s="107">
        <f>IFERROR(__xludf.DUMMYFUNCTION("""COMPUTED_VALUE"""),45828.0)</f>
        <v>45828</v>
      </c>
      <c r="B2081" t="str">
        <f>IFERROR(__xludf.DUMMYFUNCTION("""COMPUTED_VALUE"""),"運匠 運費")</f>
        <v>運匠 運費</v>
      </c>
      <c r="C2081" t="str">
        <f>IFERROR(__xludf.DUMMYFUNCTION("""COMPUTED_VALUE"""),"成本 - 進場前裝潢費")</f>
        <v>成本 - 進場前裝潢費</v>
      </c>
      <c r="D2081" s="270">
        <f>IFERROR(__xludf.DUMMYFUNCTION("""COMPUTED_VALUE"""),-5000.0)</f>
        <v>-5000</v>
      </c>
      <c r="E2081" t="str">
        <f>IFERROR(__xludf.DUMMYFUNCTION("""COMPUTED_VALUE"""),"Ben帳戶")</f>
        <v>Ben帳戶</v>
      </c>
      <c r="G2081" t="str">
        <f>IFERROR(__xludf.DUMMYFUNCTION("""COMPUTED_VALUE"""),"書香民生")</f>
        <v>書香民生</v>
      </c>
      <c r="H2081" s="106" t="str">
        <f t="shared" si="1"/>
        <v>2025-06</v>
      </c>
      <c r="I2081" s="271" t="str">
        <f>IFERROR(__xludf.DUMMYFUNCTION("""COMPUTED_VALUE"""),"貓狗企鵝")</f>
        <v>貓狗企鵝</v>
      </c>
      <c r="J2081" t="str">
        <f>IFERROR(__xludf.DUMMYFUNCTION("IFS(
  AND(REGEXMATCH(E2081, ""台銀籌備帳戶|玉山帳戶""), REGEXMATCH(C2081, ""薪資"")), ""分潤支出"",
  AND(REGEXMATCH(E2081, ""Ben帳戶|Elsa帳戶|Ben代墊|Ariel代墊|中信銀行共用""), REGEXMATCH(F2081, ""Ben帳戶|Elsa帳戶|Ben代墊|Ariel代墊|中信銀行共用"")), ""內部轉帳(忽略)"",
  AND(E2081&lt;&gt;"""", F2081&lt;&gt;"""", N"&amp;"OT(REGEXMATCH(C2081, ""薪資""))), ""內部轉帳(忽略)"",
  REGEXMATCH(C2081, ""薪資""), ""薪資變動(不計入)"",
  REGEXMATCH(C2081, ""押金""), ""押金往來"",
  AND(E2081&lt;&gt;"""", F2081=""""), ""真實支出"",
  AND(E2081="""", F2081&lt;&gt;""""), ""真實收入"",
  TRUE, ""其他""
)"),"真實支出")</f>
        <v>真實支出</v>
      </c>
      <c r="K2081" s="270">
        <f t="shared" si="2"/>
        <v>-5000</v>
      </c>
      <c r="L2081">
        <f t="shared" si="3"/>
        <v>0</v>
      </c>
    </row>
    <row r="2082">
      <c r="A2082" s="107">
        <f>IFERROR(__xludf.DUMMYFUNCTION("""COMPUTED_VALUE"""),45829.0)</f>
        <v>45829</v>
      </c>
      <c r="B2082" t="str">
        <f>IFERROR(__xludf.DUMMYFUNCTION("""COMPUTED_VALUE"""),"金龍6、7月垃圾代收")</f>
        <v>金龍6、7月垃圾代收</v>
      </c>
      <c r="C2082" t="str">
        <f>IFERROR(__xludf.DUMMYFUNCTION("""COMPUTED_VALUE"""),"成本 - 固定開銷(網路代收清潔)")</f>
        <v>成本 - 固定開銷(網路代收清潔)</v>
      </c>
      <c r="D2082" s="270">
        <f>IFERROR(__xludf.DUMMYFUNCTION("""COMPUTED_VALUE"""),-800.0)</f>
        <v>-800</v>
      </c>
      <c r="E2082" t="str">
        <f>IFERROR(__xludf.DUMMYFUNCTION("""COMPUTED_VALUE"""),"Elsa帳戶")</f>
        <v>Elsa帳戶</v>
      </c>
      <c r="G2082" t="str">
        <f>IFERROR(__xludf.DUMMYFUNCTION("""COMPUTED_VALUE"""),"金龍帽子先生")</f>
        <v>金龍帽子先生</v>
      </c>
      <c r="H2082" s="106" t="str">
        <f t="shared" si="1"/>
        <v>2025-06</v>
      </c>
      <c r="I2082" s="271" t="str">
        <f>IFERROR(__xludf.DUMMYFUNCTION("""COMPUTED_VALUE"""),"貓狗企鵝")</f>
        <v>貓狗企鵝</v>
      </c>
      <c r="J2082" t="str">
        <f>IFERROR(__xludf.DUMMYFUNCTION("IFS(
  AND(REGEXMATCH(E2082, ""台銀籌備帳戶|玉山帳戶""), REGEXMATCH(C2082, ""薪資"")), ""分潤支出"",
  AND(REGEXMATCH(E2082, ""Ben帳戶|Elsa帳戶|Ben代墊|Ariel代墊|中信銀行共用""), REGEXMATCH(F2082, ""Ben帳戶|Elsa帳戶|Ben代墊|Ariel代墊|中信銀行共用"")), ""內部轉帳(忽略)"",
  AND(E2082&lt;&gt;"""", F2082&lt;&gt;"""", N"&amp;"OT(REGEXMATCH(C2082, ""薪資""))), ""內部轉帳(忽略)"",
  REGEXMATCH(C2082, ""薪資""), ""薪資變動(不計入)"",
  REGEXMATCH(C2082, ""押金""), ""押金往來"",
  AND(E2082&lt;&gt;"""", F2082=""""), ""真實支出"",
  AND(E2082="""", F2082&lt;&gt;""""), ""真實收入"",
  TRUE, ""其他""
)"),"真實支出")</f>
        <v>真實支出</v>
      </c>
      <c r="K2082" s="270">
        <f t="shared" si="2"/>
        <v>-800</v>
      </c>
      <c r="L2082">
        <f t="shared" si="3"/>
        <v>0</v>
      </c>
    </row>
    <row r="2083">
      <c r="A2083" s="107">
        <f>IFERROR(__xludf.DUMMYFUNCTION("""COMPUTED_VALUE"""),45833.0)</f>
        <v>45833</v>
      </c>
      <c r="B2083" t="str">
        <f>IFERROR(__xludf.DUMMYFUNCTION("""COMPUTED_VALUE"""),"MoMo洗衣機")</f>
        <v>MoMo洗衣機</v>
      </c>
      <c r="C2083" t="str">
        <f>IFERROR(__xludf.DUMMYFUNCTION("""COMPUTED_VALUE"""),"成本 - 進場前裝潢費")</f>
        <v>成本 - 進場前裝潢費</v>
      </c>
      <c r="D2083" s="270">
        <f>IFERROR(__xludf.DUMMYFUNCTION("""COMPUTED_VALUE"""),-7599.0)</f>
        <v>-7599</v>
      </c>
      <c r="E2083" t="str">
        <f>IFERROR(__xludf.DUMMYFUNCTION("""COMPUTED_VALUE"""),"Elsa帳戶")</f>
        <v>Elsa帳戶</v>
      </c>
      <c r="G2083" t="str">
        <f>IFERROR(__xludf.DUMMYFUNCTION("""COMPUTED_VALUE"""),"書香民生")</f>
        <v>書香民生</v>
      </c>
      <c r="H2083" s="106" t="str">
        <f t="shared" si="1"/>
        <v>2025-06</v>
      </c>
      <c r="I2083" s="271" t="str">
        <f>IFERROR(__xludf.DUMMYFUNCTION("""COMPUTED_VALUE"""),"貓狗企鵝")</f>
        <v>貓狗企鵝</v>
      </c>
      <c r="J2083" t="str">
        <f>IFERROR(__xludf.DUMMYFUNCTION("IFS(
  AND(REGEXMATCH(E2083, ""台銀籌備帳戶|玉山帳戶""), REGEXMATCH(C2083, ""薪資"")), ""分潤支出"",
  AND(REGEXMATCH(E2083, ""Ben帳戶|Elsa帳戶|Ben代墊|Ariel代墊|中信銀行共用""), REGEXMATCH(F2083, ""Ben帳戶|Elsa帳戶|Ben代墊|Ariel代墊|中信銀行共用"")), ""內部轉帳(忽略)"",
  AND(E2083&lt;&gt;"""", F2083&lt;&gt;"""", N"&amp;"OT(REGEXMATCH(C2083, ""薪資""))), ""內部轉帳(忽略)"",
  REGEXMATCH(C2083, ""薪資""), ""薪資變動(不計入)"",
  REGEXMATCH(C2083, ""押金""), ""押金往來"",
  AND(E2083&lt;&gt;"""", F2083=""""), ""真實支出"",
  AND(E2083="""", F2083&lt;&gt;""""), ""真實收入"",
  TRUE, ""其他""
)"),"真實支出")</f>
        <v>真實支出</v>
      </c>
      <c r="K2083" s="270">
        <f t="shared" si="2"/>
        <v>-7599</v>
      </c>
      <c r="L2083">
        <f t="shared" si="3"/>
        <v>0</v>
      </c>
    </row>
    <row r="2084">
      <c r="A2084" s="107">
        <f>IFERROR(__xludf.DUMMYFUNCTION("""COMPUTED_VALUE"""),45833.0)</f>
        <v>45833</v>
      </c>
      <c r="B2084" t="str">
        <f>IFERROR(__xludf.DUMMYFUNCTION("""COMPUTED_VALUE"""),"IKEA傢俱們")</f>
        <v>IKEA傢俱們</v>
      </c>
      <c r="C2084" t="str">
        <f>IFERROR(__xludf.DUMMYFUNCTION("""COMPUTED_VALUE"""),"成本 - 進場前裝潢費")</f>
        <v>成本 - 進場前裝潢費</v>
      </c>
      <c r="D2084" s="270">
        <f>IFERROR(__xludf.DUMMYFUNCTION("""COMPUTED_VALUE"""),-50641.0)</f>
        <v>-50641</v>
      </c>
      <c r="E2084" t="str">
        <f>IFERROR(__xludf.DUMMYFUNCTION("""COMPUTED_VALUE"""),"Elsa帳戶")</f>
        <v>Elsa帳戶</v>
      </c>
      <c r="G2084" t="str">
        <f>IFERROR(__xludf.DUMMYFUNCTION("""COMPUTED_VALUE"""),"書香民生")</f>
        <v>書香民生</v>
      </c>
      <c r="H2084" s="106" t="str">
        <f t="shared" si="1"/>
        <v>2025-06</v>
      </c>
      <c r="I2084" s="271" t="str">
        <f>IFERROR(__xludf.DUMMYFUNCTION("""COMPUTED_VALUE"""),"貓狗企鵝")</f>
        <v>貓狗企鵝</v>
      </c>
      <c r="J2084" t="str">
        <f>IFERROR(__xludf.DUMMYFUNCTION("IFS(
  AND(REGEXMATCH(E2084, ""台銀籌備帳戶|玉山帳戶""), REGEXMATCH(C2084, ""薪資"")), ""分潤支出"",
  AND(REGEXMATCH(E2084, ""Ben帳戶|Elsa帳戶|Ben代墊|Ariel代墊|中信銀行共用""), REGEXMATCH(F2084, ""Ben帳戶|Elsa帳戶|Ben代墊|Ariel代墊|中信銀行共用"")), ""內部轉帳(忽略)"",
  AND(E2084&lt;&gt;"""", F2084&lt;&gt;"""", N"&amp;"OT(REGEXMATCH(C2084, ""薪資""))), ""內部轉帳(忽略)"",
  REGEXMATCH(C2084, ""薪資""), ""薪資變動(不計入)"",
  REGEXMATCH(C2084, ""押金""), ""押金往來"",
  AND(E2084&lt;&gt;"""", F2084=""""), ""真實支出"",
  AND(E2084="""", F2084&lt;&gt;""""), ""真實收入"",
  TRUE, ""其他""
)"),"真實支出")</f>
        <v>真實支出</v>
      </c>
      <c r="K2084" s="270">
        <f t="shared" si="2"/>
        <v>-50641</v>
      </c>
      <c r="L2084">
        <f t="shared" si="3"/>
        <v>0</v>
      </c>
    </row>
    <row r="2085">
      <c r="A2085" s="107">
        <f>IFERROR(__xludf.DUMMYFUNCTION("""COMPUTED_VALUE"""),45834.0)</f>
        <v>45834</v>
      </c>
      <c r="B2085" t="str">
        <f>IFERROR(__xludf.DUMMYFUNCTION("""COMPUTED_VALUE"""),"591 大湖")</f>
        <v>591 大湖</v>
      </c>
      <c r="C2085" t="str">
        <f>IFERROR(__xludf.DUMMYFUNCTION("""COMPUTED_VALUE"""),"成本 - 仲介費")</f>
        <v>成本 - 仲介費</v>
      </c>
      <c r="D2085" s="270">
        <f>IFERROR(__xludf.DUMMYFUNCTION("""COMPUTED_VALUE"""),-1288.0)</f>
        <v>-1288</v>
      </c>
      <c r="E2085" t="str">
        <f>IFERROR(__xludf.DUMMYFUNCTION("""COMPUTED_VALUE"""),"Elsa帳戶")</f>
        <v>Elsa帳戶</v>
      </c>
      <c r="G2085" t="str">
        <f>IFERROR(__xludf.DUMMYFUNCTION("""COMPUTED_VALUE"""),"大湖山莊")</f>
        <v>大湖山莊</v>
      </c>
      <c r="H2085" s="106" t="str">
        <f t="shared" si="1"/>
        <v>2025-06</v>
      </c>
      <c r="I2085" s="271" t="str">
        <f>IFERROR(__xludf.DUMMYFUNCTION("""COMPUTED_VALUE"""),"貓狗企鵝")</f>
        <v>貓狗企鵝</v>
      </c>
      <c r="J2085" t="str">
        <f>IFERROR(__xludf.DUMMYFUNCTION("IFS(
  AND(REGEXMATCH(E2085, ""台銀籌備帳戶|玉山帳戶""), REGEXMATCH(C2085, ""薪資"")), ""分潤支出"",
  AND(REGEXMATCH(E2085, ""Ben帳戶|Elsa帳戶|Ben代墊|Ariel代墊|中信銀行共用""), REGEXMATCH(F2085, ""Ben帳戶|Elsa帳戶|Ben代墊|Ariel代墊|中信銀行共用"")), ""內部轉帳(忽略)"",
  AND(E2085&lt;&gt;"""", F2085&lt;&gt;"""", N"&amp;"OT(REGEXMATCH(C2085, ""薪資""))), ""內部轉帳(忽略)"",
  REGEXMATCH(C2085, ""薪資""), ""薪資變動(不計入)"",
  REGEXMATCH(C2085, ""押金""), ""押金往來"",
  AND(E2085&lt;&gt;"""", F2085=""""), ""真實支出"",
  AND(E2085="""", F2085&lt;&gt;""""), ""真實收入"",
  TRUE, ""其他""
)"),"真實支出")</f>
        <v>真實支出</v>
      </c>
      <c r="K2085" s="270">
        <f t="shared" si="2"/>
        <v>-1288</v>
      </c>
      <c r="L2085">
        <f t="shared" si="3"/>
        <v>0</v>
      </c>
    </row>
    <row r="2086">
      <c r="A2086" s="107">
        <f>IFERROR(__xludf.DUMMYFUNCTION("""COMPUTED_VALUE"""),45834.0)</f>
        <v>45834</v>
      </c>
      <c r="B2086" t="str">
        <f>IFERROR(__xludf.DUMMYFUNCTION("""COMPUTED_VALUE"""),"蝦皮層架")</f>
        <v>蝦皮層架</v>
      </c>
      <c r="C2086" t="str">
        <f>IFERROR(__xludf.DUMMYFUNCTION("""COMPUTED_VALUE"""),"成本 - 進場前裝潢費")</f>
        <v>成本 - 進場前裝潢費</v>
      </c>
      <c r="D2086" s="270">
        <f>IFERROR(__xludf.DUMMYFUNCTION("""COMPUTED_VALUE"""),-2358.0)</f>
        <v>-2358</v>
      </c>
      <c r="E2086" t="str">
        <f>IFERROR(__xludf.DUMMYFUNCTION("""COMPUTED_VALUE"""),"Elsa帳戶")</f>
        <v>Elsa帳戶</v>
      </c>
      <c r="G2086" t="str">
        <f>IFERROR(__xludf.DUMMYFUNCTION("""COMPUTED_VALUE"""),"書香民生")</f>
        <v>書香民生</v>
      </c>
      <c r="H2086" s="106" t="str">
        <f t="shared" si="1"/>
        <v>2025-06</v>
      </c>
      <c r="I2086" s="271" t="str">
        <f>IFERROR(__xludf.DUMMYFUNCTION("""COMPUTED_VALUE"""),"貓狗企鵝")</f>
        <v>貓狗企鵝</v>
      </c>
      <c r="J2086" t="str">
        <f>IFERROR(__xludf.DUMMYFUNCTION("IFS(
  AND(REGEXMATCH(E2086, ""台銀籌備帳戶|玉山帳戶""), REGEXMATCH(C2086, ""薪資"")), ""分潤支出"",
  AND(REGEXMATCH(E2086, ""Ben帳戶|Elsa帳戶|Ben代墊|Ariel代墊|中信銀行共用""), REGEXMATCH(F2086, ""Ben帳戶|Elsa帳戶|Ben代墊|Ariel代墊|中信銀行共用"")), ""內部轉帳(忽略)"",
  AND(E2086&lt;&gt;"""", F2086&lt;&gt;"""", N"&amp;"OT(REGEXMATCH(C2086, ""薪資""))), ""內部轉帳(忽略)"",
  REGEXMATCH(C2086, ""薪資""), ""薪資變動(不計入)"",
  REGEXMATCH(C2086, ""押金""), ""押金往來"",
  AND(E2086&lt;&gt;"""", F2086=""""), ""真實支出"",
  AND(E2086="""", F2086&lt;&gt;""""), ""真實收入"",
  TRUE, ""其他""
)"),"真實支出")</f>
        <v>真實支出</v>
      </c>
      <c r="K2086" s="270">
        <f t="shared" si="2"/>
        <v>-2358</v>
      </c>
      <c r="L2086">
        <f t="shared" si="3"/>
        <v>0</v>
      </c>
    </row>
    <row r="2087">
      <c r="A2087" s="107">
        <f>IFERROR(__xludf.DUMMYFUNCTION("""COMPUTED_VALUE"""),45834.0)</f>
        <v>45834</v>
      </c>
      <c r="B2087" t="str">
        <f>IFERROR(__xludf.DUMMYFUNCTION("""COMPUTED_VALUE"""),"591 北醫")</f>
        <v>591 北醫</v>
      </c>
      <c r="C2087" t="str">
        <f>IFERROR(__xludf.DUMMYFUNCTION("""COMPUTED_VALUE"""),"成本 - 仲介費")</f>
        <v>成本 - 仲介費</v>
      </c>
      <c r="D2087" s="270">
        <f>IFERROR(__xludf.DUMMYFUNCTION("""COMPUTED_VALUE"""),-1288.0)</f>
        <v>-1288</v>
      </c>
      <c r="E2087" t="str">
        <f>IFERROR(__xludf.DUMMYFUNCTION("""COMPUTED_VALUE"""),"Elsa帳戶")</f>
        <v>Elsa帳戶</v>
      </c>
      <c r="G2087" t="str">
        <f>IFERROR(__xludf.DUMMYFUNCTION("""COMPUTED_VALUE"""),"北醫醫師府")</f>
        <v>北醫醫師府</v>
      </c>
      <c r="H2087" s="106" t="str">
        <f t="shared" si="1"/>
        <v>2025-06</v>
      </c>
      <c r="I2087" s="271" t="str">
        <f>IFERROR(__xludf.DUMMYFUNCTION("""COMPUTED_VALUE"""),"貓狗企鵝")</f>
        <v>貓狗企鵝</v>
      </c>
      <c r="J2087" t="str">
        <f>IFERROR(__xludf.DUMMYFUNCTION("IFS(
  AND(REGEXMATCH(E2087, ""台銀籌備帳戶|玉山帳戶""), REGEXMATCH(C2087, ""薪資"")), ""分潤支出"",
  AND(REGEXMATCH(E2087, ""Ben帳戶|Elsa帳戶|Ben代墊|Ariel代墊|中信銀行共用""), REGEXMATCH(F2087, ""Ben帳戶|Elsa帳戶|Ben代墊|Ariel代墊|中信銀行共用"")), ""內部轉帳(忽略)"",
  AND(E2087&lt;&gt;"""", F2087&lt;&gt;"""", N"&amp;"OT(REGEXMATCH(C2087, ""薪資""))), ""內部轉帳(忽略)"",
  REGEXMATCH(C2087, ""薪資""), ""薪資變動(不計入)"",
  REGEXMATCH(C2087, ""押金""), ""押金往來"",
  AND(E2087&lt;&gt;"""", F2087=""""), ""真實支出"",
  AND(E2087="""", F2087&lt;&gt;""""), ""真實收入"",
  TRUE, ""其他""
)"),"真實支出")</f>
        <v>真實支出</v>
      </c>
      <c r="K2087" s="270">
        <f t="shared" si="2"/>
        <v>-1288</v>
      </c>
      <c r="L2087">
        <f t="shared" si="3"/>
        <v>0</v>
      </c>
    </row>
    <row r="2088">
      <c r="A2088" s="107">
        <f>IFERROR(__xludf.DUMMYFUNCTION("""COMPUTED_VALUE"""),45835.0)</f>
        <v>45835</v>
      </c>
      <c r="B2088" t="str">
        <f>IFERROR(__xludf.DUMMYFUNCTION("""COMPUTED_VALUE"""),"IKEA鞋櫃, 垃圾桶們")</f>
        <v>IKEA鞋櫃, 垃圾桶們</v>
      </c>
      <c r="C2088" t="str">
        <f>IFERROR(__xludf.DUMMYFUNCTION("""COMPUTED_VALUE"""),"成本 - 進場前裝潢費")</f>
        <v>成本 - 進場前裝潢費</v>
      </c>
      <c r="D2088" s="270">
        <f>IFERROR(__xludf.DUMMYFUNCTION("""COMPUTED_VALUE"""),-9334.0)</f>
        <v>-9334</v>
      </c>
      <c r="E2088" t="str">
        <f>IFERROR(__xludf.DUMMYFUNCTION("""COMPUTED_VALUE"""),"Elsa帳戶")</f>
        <v>Elsa帳戶</v>
      </c>
      <c r="G2088" t="str">
        <f>IFERROR(__xludf.DUMMYFUNCTION("""COMPUTED_VALUE"""),"書香民生")</f>
        <v>書香民生</v>
      </c>
      <c r="H2088" s="106" t="str">
        <f t="shared" si="1"/>
        <v>2025-06</v>
      </c>
      <c r="I2088" s="271" t="str">
        <f>IFERROR(__xludf.DUMMYFUNCTION("""COMPUTED_VALUE"""),"貓狗企鵝")</f>
        <v>貓狗企鵝</v>
      </c>
      <c r="J2088" t="str">
        <f>IFERROR(__xludf.DUMMYFUNCTION("IFS(
  AND(REGEXMATCH(E2088, ""台銀籌備帳戶|玉山帳戶""), REGEXMATCH(C2088, ""薪資"")), ""分潤支出"",
  AND(REGEXMATCH(E2088, ""Ben帳戶|Elsa帳戶|Ben代墊|Ariel代墊|中信銀行共用""), REGEXMATCH(F2088, ""Ben帳戶|Elsa帳戶|Ben代墊|Ariel代墊|中信銀行共用"")), ""內部轉帳(忽略)"",
  AND(E2088&lt;&gt;"""", F2088&lt;&gt;"""", N"&amp;"OT(REGEXMATCH(C2088, ""薪資""))), ""內部轉帳(忽略)"",
  REGEXMATCH(C2088, ""薪資""), ""薪資變動(不計入)"",
  REGEXMATCH(C2088, ""押金""), ""押金往來"",
  AND(E2088&lt;&gt;"""", F2088=""""), ""真實支出"",
  AND(E2088="""", F2088&lt;&gt;""""), ""真實收入"",
  TRUE, ""其他""
)"),"真實支出")</f>
        <v>真實支出</v>
      </c>
      <c r="K2088" s="270">
        <f t="shared" si="2"/>
        <v>-9334</v>
      </c>
      <c r="L2088">
        <f t="shared" si="3"/>
        <v>0</v>
      </c>
    </row>
    <row r="2089">
      <c r="A2089" s="107">
        <f>IFERROR(__xludf.DUMMYFUNCTION("""COMPUTED_VALUE"""),45835.0)</f>
        <v>45835</v>
      </c>
      <c r="B2089" t="str">
        <f>IFERROR(__xludf.DUMMYFUNCTION("""COMPUTED_VALUE"""),"淘宝軟裝")</f>
        <v>淘宝軟裝</v>
      </c>
      <c r="C2089" t="str">
        <f>IFERROR(__xludf.DUMMYFUNCTION("""COMPUTED_VALUE"""),"成本 - 進場前裝潢費")</f>
        <v>成本 - 進場前裝潢費</v>
      </c>
      <c r="D2089" s="270">
        <f>IFERROR(__xludf.DUMMYFUNCTION("""COMPUTED_VALUE"""),-938.0)</f>
        <v>-938</v>
      </c>
      <c r="E2089" t="str">
        <f>IFERROR(__xludf.DUMMYFUNCTION("""COMPUTED_VALUE"""),"Elsa帳戶")</f>
        <v>Elsa帳戶</v>
      </c>
      <c r="G2089" t="str">
        <f>IFERROR(__xludf.DUMMYFUNCTION("""COMPUTED_VALUE"""),"書香民生")</f>
        <v>書香民生</v>
      </c>
      <c r="H2089" s="106" t="str">
        <f t="shared" si="1"/>
        <v>2025-06</v>
      </c>
      <c r="I2089" s="271" t="str">
        <f>IFERROR(__xludf.DUMMYFUNCTION("""COMPUTED_VALUE"""),"貓狗企鵝")</f>
        <v>貓狗企鵝</v>
      </c>
      <c r="J2089" t="str">
        <f>IFERROR(__xludf.DUMMYFUNCTION("IFS(
  AND(REGEXMATCH(E2089, ""台銀籌備帳戶|玉山帳戶""), REGEXMATCH(C2089, ""薪資"")), ""分潤支出"",
  AND(REGEXMATCH(E2089, ""Ben帳戶|Elsa帳戶|Ben代墊|Ariel代墊|中信銀行共用""), REGEXMATCH(F2089, ""Ben帳戶|Elsa帳戶|Ben代墊|Ariel代墊|中信銀行共用"")), ""內部轉帳(忽略)"",
  AND(E2089&lt;&gt;"""", F2089&lt;&gt;"""", N"&amp;"OT(REGEXMATCH(C2089, ""薪資""))), ""內部轉帳(忽略)"",
  REGEXMATCH(C2089, ""薪資""), ""薪資變動(不計入)"",
  REGEXMATCH(C2089, ""押金""), ""押金往來"",
  AND(E2089&lt;&gt;"""", F2089=""""), ""真實支出"",
  AND(E2089="""", F2089&lt;&gt;""""), ""真實收入"",
  TRUE, ""其他""
)"),"真實支出")</f>
        <v>真實支出</v>
      </c>
      <c r="K2089" s="270">
        <f t="shared" si="2"/>
        <v>-938</v>
      </c>
      <c r="L2089">
        <f t="shared" si="3"/>
        <v>0</v>
      </c>
    </row>
    <row r="2090">
      <c r="A2090" s="107">
        <f>IFERROR(__xludf.DUMMYFUNCTION("""COMPUTED_VALUE"""),45838.0)</f>
        <v>45838</v>
      </c>
      <c r="B2090" t="str">
        <f>IFERROR(__xludf.DUMMYFUNCTION("""COMPUTED_VALUE"""),"哈拉水電瓦斯清潔費")</f>
        <v>哈拉水電瓦斯清潔費</v>
      </c>
      <c r="C2090" t="str">
        <f>IFERROR(__xludf.DUMMYFUNCTION("""COMPUTED_VALUE"""),"成本 - 固定開銷(網路代收清潔)")</f>
        <v>成本 - 固定開銷(網路代收清潔)</v>
      </c>
      <c r="D2090" s="270">
        <f>IFERROR(__xludf.DUMMYFUNCTION("""COMPUTED_VALUE"""),-3063.0)</f>
        <v>-3063</v>
      </c>
      <c r="E2090" t="str">
        <f>IFERROR(__xludf.DUMMYFUNCTION("""COMPUTED_VALUE"""),"Ben帳戶")</f>
        <v>Ben帳戶</v>
      </c>
      <c r="G2090" t="str">
        <f>IFERROR(__xludf.DUMMYFUNCTION("""COMPUTED_VALUE"""),"哈拉對面")</f>
        <v>哈拉對面</v>
      </c>
      <c r="H2090" s="106" t="str">
        <f t="shared" si="1"/>
        <v>2025-06</v>
      </c>
      <c r="I2090" s="271" t="str">
        <f>IFERROR(__xludf.DUMMYFUNCTION("""COMPUTED_VALUE"""),"貓狗企鵝")</f>
        <v>貓狗企鵝</v>
      </c>
      <c r="J2090" t="str">
        <f>IFERROR(__xludf.DUMMYFUNCTION("IFS(
  AND(REGEXMATCH(E2090, ""台銀籌備帳戶|玉山帳戶""), REGEXMATCH(C2090, ""薪資"")), ""分潤支出"",
  AND(REGEXMATCH(E2090, ""Ben帳戶|Elsa帳戶|Ben代墊|Ariel代墊|中信銀行共用""), REGEXMATCH(F2090, ""Ben帳戶|Elsa帳戶|Ben代墊|Ariel代墊|中信銀行共用"")), ""內部轉帳(忽略)"",
  AND(E2090&lt;&gt;"""", F2090&lt;&gt;"""", N"&amp;"OT(REGEXMATCH(C2090, ""薪資""))), ""內部轉帳(忽略)"",
  REGEXMATCH(C2090, ""薪資""), ""薪資變動(不計入)"",
  REGEXMATCH(C2090, ""押金""), ""押金往來"",
  AND(E2090&lt;&gt;"""", F2090=""""), ""真實支出"",
  AND(E2090="""", F2090&lt;&gt;""""), ""真實收入"",
  TRUE, ""其他""
)"),"真實支出")</f>
        <v>真實支出</v>
      </c>
      <c r="K2090" s="270">
        <f t="shared" si="2"/>
        <v>-3063</v>
      </c>
      <c r="L2090">
        <f t="shared" si="3"/>
        <v>0</v>
      </c>
    </row>
    <row r="2091">
      <c r="A2091" s="107">
        <f>IFERROR(__xludf.DUMMYFUNCTION("""COMPUTED_VALUE"""),45839.0)</f>
        <v>45839</v>
      </c>
      <c r="B2091" t="str">
        <f>IFERROR(__xludf.DUMMYFUNCTION("""COMPUTED_VALUE"""),"淘宝壁燈")</f>
        <v>淘宝壁燈</v>
      </c>
      <c r="C2091" t="str">
        <f>IFERROR(__xludf.DUMMYFUNCTION("""COMPUTED_VALUE"""),"成本 - 進場前裝潢費")</f>
        <v>成本 - 進場前裝潢費</v>
      </c>
      <c r="D2091" s="270">
        <f>IFERROR(__xludf.DUMMYFUNCTION("""COMPUTED_VALUE"""),-257.0)</f>
        <v>-257</v>
      </c>
      <c r="E2091" t="str">
        <f>IFERROR(__xludf.DUMMYFUNCTION("""COMPUTED_VALUE"""),"Elsa帳戶")</f>
        <v>Elsa帳戶</v>
      </c>
      <c r="G2091" t="str">
        <f>IFERROR(__xludf.DUMMYFUNCTION("""COMPUTED_VALUE"""),"書香民生")</f>
        <v>書香民生</v>
      </c>
      <c r="H2091" s="106" t="str">
        <f t="shared" si="1"/>
        <v>2025-07</v>
      </c>
      <c r="I2091" s="271" t="str">
        <f>IFERROR(__xludf.DUMMYFUNCTION("""COMPUTED_VALUE"""),"貓狗企鵝")</f>
        <v>貓狗企鵝</v>
      </c>
      <c r="J2091" t="str">
        <f>IFERROR(__xludf.DUMMYFUNCTION("IFS(
  AND(REGEXMATCH(E2091, ""台銀籌備帳戶|玉山帳戶""), REGEXMATCH(C2091, ""薪資"")), ""分潤支出"",
  AND(REGEXMATCH(E2091, ""Ben帳戶|Elsa帳戶|Ben代墊|Ariel代墊|中信銀行共用""), REGEXMATCH(F2091, ""Ben帳戶|Elsa帳戶|Ben代墊|Ariel代墊|中信銀行共用"")), ""內部轉帳(忽略)"",
  AND(E2091&lt;&gt;"""", F2091&lt;&gt;"""", N"&amp;"OT(REGEXMATCH(C2091, ""薪資""))), ""內部轉帳(忽略)"",
  REGEXMATCH(C2091, ""薪資""), ""薪資變動(不計入)"",
  REGEXMATCH(C2091, ""押金""), ""押金往來"",
  AND(E2091&lt;&gt;"""", F2091=""""), ""真實支出"",
  AND(E2091="""", F2091&lt;&gt;""""), ""真實收入"",
  TRUE, ""其他""
)"),"真實支出")</f>
        <v>真實支出</v>
      </c>
      <c r="K2091" s="270">
        <f t="shared" si="2"/>
        <v>-257</v>
      </c>
      <c r="L2091">
        <f t="shared" si="3"/>
        <v>0</v>
      </c>
    </row>
    <row r="2092">
      <c r="A2092" s="107">
        <f>IFERROR(__xludf.DUMMYFUNCTION("""COMPUTED_VALUE"""),45839.0)</f>
        <v>45839</v>
      </c>
      <c r="B2092" t="str">
        <f>IFERROR(__xludf.DUMMYFUNCTION("""COMPUTED_VALUE"""),"蝦皮 滅火器、住警器")</f>
        <v>蝦皮 滅火器、住警器</v>
      </c>
      <c r="C2092" t="str">
        <f>IFERROR(__xludf.DUMMYFUNCTION("""COMPUTED_VALUE"""),"成本 - 進場前裝潢費")</f>
        <v>成本 - 進場前裝潢費</v>
      </c>
      <c r="D2092" s="270">
        <f>IFERROR(__xludf.DUMMYFUNCTION("""COMPUTED_VALUE"""),-2020.0)</f>
        <v>-2020</v>
      </c>
      <c r="E2092" t="str">
        <f>IFERROR(__xludf.DUMMYFUNCTION("""COMPUTED_VALUE"""),"Elsa帳戶")</f>
        <v>Elsa帳戶</v>
      </c>
      <c r="G2092" t="str">
        <f>IFERROR(__xludf.DUMMYFUNCTION("""COMPUTED_VALUE"""),"書香民生")</f>
        <v>書香民生</v>
      </c>
      <c r="H2092" s="106" t="str">
        <f t="shared" si="1"/>
        <v>2025-07</v>
      </c>
      <c r="I2092" s="271" t="str">
        <f>IFERROR(__xludf.DUMMYFUNCTION("""COMPUTED_VALUE"""),"貓狗企鵝")</f>
        <v>貓狗企鵝</v>
      </c>
      <c r="J2092" t="str">
        <f>IFERROR(__xludf.DUMMYFUNCTION("IFS(
  AND(REGEXMATCH(E2092, ""台銀籌備帳戶|玉山帳戶""), REGEXMATCH(C2092, ""薪資"")), ""分潤支出"",
  AND(REGEXMATCH(E2092, ""Ben帳戶|Elsa帳戶|Ben代墊|Ariel代墊|中信銀行共用""), REGEXMATCH(F2092, ""Ben帳戶|Elsa帳戶|Ben代墊|Ariel代墊|中信銀行共用"")), ""內部轉帳(忽略)"",
  AND(E2092&lt;&gt;"""", F2092&lt;&gt;"""", N"&amp;"OT(REGEXMATCH(C2092, ""薪資""))), ""內部轉帳(忽略)"",
  REGEXMATCH(C2092, ""薪資""), ""薪資變動(不計入)"",
  REGEXMATCH(C2092, ""押金""), ""押金往來"",
  AND(E2092&lt;&gt;"""", F2092=""""), ""真實支出"",
  AND(E2092="""", F2092&lt;&gt;""""), ""真實收入"",
  TRUE, ""其他""
)"),"真實支出")</f>
        <v>真實支出</v>
      </c>
      <c r="K2092" s="270">
        <f t="shared" si="2"/>
        <v>-2020</v>
      </c>
      <c r="L2092">
        <f t="shared" si="3"/>
        <v>0</v>
      </c>
    </row>
    <row r="2093">
      <c r="A2093" s="107">
        <f>IFERROR(__xludf.DUMMYFUNCTION("""COMPUTED_VALUE"""),45839.0)</f>
        <v>45839</v>
      </c>
      <c r="B2093" t="str">
        <f>IFERROR(__xludf.DUMMYFUNCTION("""COMPUTED_VALUE"""),"淘宝畫")</f>
        <v>淘宝畫</v>
      </c>
      <c r="C2093" t="str">
        <f>IFERROR(__xludf.DUMMYFUNCTION("""COMPUTED_VALUE"""),"成本 - 進場前裝潢費")</f>
        <v>成本 - 進場前裝潢費</v>
      </c>
      <c r="D2093" s="270">
        <f>IFERROR(__xludf.DUMMYFUNCTION("""COMPUTED_VALUE"""),-2400.2999999999997)</f>
        <v>-2400.3</v>
      </c>
      <c r="E2093" t="str">
        <f>IFERROR(__xludf.DUMMYFUNCTION("""COMPUTED_VALUE"""),"Elsa帳戶")</f>
        <v>Elsa帳戶</v>
      </c>
      <c r="G2093" t="str">
        <f>IFERROR(__xludf.DUMMYFUNCTION("""COMPUTED_VALUE"""),"書香民生")</f>
        <v>書香民生</v>
      </c>
      <c r="H2093" s="106" t="str">
        <f t="shared" si="1"/>
        <v>2025-07</v>
      </c>
      <c r="I2093" s="271" t="str">
        <f>IFERROR(__xludf.DUMMYFUNCTION("""COMPUTED_VALUE"""),"貓狗企鵝")</f>
        <v>貓狗企鵝</v>
      </c>
      <c r="J2093" t="str">
        <f>IFERROR(__xludf.DUMMYFUNCTION("IFS(
  AND(REGEXMATCH(E2093, ""台銀籌備帳戶|玉山帳戶""), REGEXMATCH(C2093, ""薪資"")), ""分潤支出"",
  AND(REGEXMATCH(E2093, ""Ben帳戶|Elsa帳戶|Ben代墊|Ariel代墊|中信銀行共用""), REGEXMATCH(F2093, ""Ben帳戶|Elsa帳戶|Ben代墊|Ariel代墊|中信銀行共用"")), ""內部轉帳(忽略)"",
  AND(E2093&lt;&gt;"""", F2093&lt;&gt;"""", N"&amp;"OT(REGEXMATCH(C2093, ""薪資""))), ""內部轉帳(忽略)"",
  REGEXMATCH(C2093, ""薪資""), ""薪資變動(不計入)"",
  REGEXMATCH(C2093, ""押金""), ""押金往來"",
  AND(E2093&lt;&gt;"""", F2093=""""), ""真實支出"",
  AND(E2093="""", F2093&lt;&gt;""""), ""真實收入"",
  TRUE, ""其他""
)"),"真實支出")</f>
        <v>真實支出</v>
      </c>
      <c r="K2093" s="270">
        <f t="shared" si="2"/>
        <v>-2400.3</v>
      </c>
      <c r="L2093">
        <f t="shared" si="3"/>
        <v>0</v>
      </c>
    </row>
    <row r="2094">
      <c r="A2094" s="107">
        <f>IFERROR(__xludf.DUMMYFUNCTION("""COMPUTED_VALUE"""),45839.0)</f>
        <v>45839</v>
      </c>
      <c r="B2094" t="str">
        <f>IFERROR(__xludf.DUMMYFUNCTION("""COMPUTED_VALUE"""),"MoMo 拖把")</f>
        <v>MoMo 拖把</v>
      </c>
      <c r="C2094" t="str">
        <f>IFERROR(__xludf.DUMMYFUNCTION("""COMPUTED_VALUE"""),"成本 - 進場前裝潢費")</f>
        <v>成本 - 進場前裝潢費</v>
      </c>
      <c r="D2094" s="270">
        <f>IFERROR(__xludf.DUMMYFUNCTION("""COMPUTED_VALUE"""),-899.0)</f>
        <v>-899</v>
      </c>
      <c r="E2094" t="str">
        <f>IFERROR(__xludf.DUMMYFUNCTION("""COMPUTED_VALUE"""),"Elsa帳戶")</f>
        <v>Elsa帳戶</v>
      </c>
      <c r="G2094" t="str">
        <f>IFERROR(__xludf.DUMMYFUNCTION("""COMPUTED_VALUE"""),"書香民生")</f>
        <v>書香民生</v>
      </c>
      <c r="H2094" s="106" t="str">
        <f t="shared" si="1"/>
        <v>2025-07</v>
      </c>
      <c r="I2094" s="271" t="str">
        <f>IFERROR(__xludf.DUMMYFUNCTION("""COMPUTED_VALUE"""),"貓狗企鵝")</f>
        <v>貓狗企鵝</v>
      </c>
      <c r="J2094" t="str">
        <f>IFERROR(__xludf.DUMMYFUNCTION("IFS(
  AND(REGEXMATCH(E2094, ""台銀籌備帳戶|玉山帳戶""), REGEXMATCH(C2094, ""薪資"")), ""分潤支出"",
  AND(REGEXMATCH(E2094, ""Ben帳戶|Elsa帳戶|Ben代墊|Ariel代墊|中信銀行共用""), REGEXMATCH(F2094, ""Ben帳戶|Elsa帳戶|Ben代墊|Ariel代墊|中信銀行共用"")), ""內部轉帳(忽略)"",
  AND(E2094&lt;&gt;"""", F2094&lt;&gt;"""", N"&amp;"OT(REGEXMATCH(C2094, ""薪資""))), ""內部轉帳(忽略)"",
  REGEXMATCH(C2094, ""薪資""), ""薪資變動(不計入)"",
  REGEXMATCH(C2094, ""押金""), ""押金往來"",
  AND(E2094&lt;&gt;"""", F2094=""""), ""真實支出"",
  AND(E2094="""", F2094&lt;&gt;""""), ""真實收入"",
  TRUE, ""其他""
)"),"真實支出")</f>
        <v>真實支出</v>
      </c>
      <c r="K2094" s="270">
        <f t="shared" si="2"/>
        <v>-899</v>
      </c>
      <c r="L2094">
        <f t="shared" si="3"/>
        <v>0</v>
      </c>
    </row>
    <row r="2095">
      <c r="A2095" s="107">
        <f>IFERROR(__xludf.DUMMYFUNCTION("""COMPUTED_VALUE"""),45839.0)</f>
        <v>45839</v>
      </c>
      <c r="B2095" t="str">
        <f>IFERROR(__xludf.DUMMYFUNCTION("""COMPUTED_VALUE"""),"蝦皮 保潔墊")</f>
        <v>蝦皮 保潔墊</v>
      </c>
      <c r="C2095" t="str">
        <f>IFERROR(__xludf.DUMMYFUNCTION("""COMPUTED_VALUE"""),"成本 - 進場前裝潢費")</f>
        <v>成本 - 進場前裝潢費</v>
      </c>
      <c r="D2095" s="270">
        <f>IFERROR(__xludf.DUMMYFUNCTION("""COMPUTED_VALUE"""),-1260.0)</f>
        <v>-1260</v>
      </c>
      <c r="E2095" t="str">
        <f>IFERROR(__xludf.DUMMYFUNCTION("""COMPUTED_VALUE"""),"Elsa帳戶")</f>
        <v>Elsa帳戶</v>
      </c>
      <c r="G2095" t="str">
        <f>IFERROR(__xludf.DUMMYFUNCTION("""COMPUTED_VALUE"""),"書香民生")</f>
        <v>書香民生</v>
      </c>
      <c r="H2095" s="106" t="str">
        <f t="shared" si="1"/>
        <v>2025-07</v>
      </c>
      <c r="I2095" s="271" t="str">
        <f>IFERROR(__xludf.DUMMYFUNCTION("""COMPUTED_VALUE"""),"貓狗企鵝")</f>
        <v>貓狗企鵝</v>
      </c>
      <c r="J2095" t="str">
        <f>IFERROR(__xludf.DUMMYFUNCTION("IFS(
  AND(REGEXMATCH(E2095, ""台銀籌備帳戶|玉山帳戶""), REGEXMATCH(C2095, ""薪資"")), ""分潤支出"",
  AND(REGEXMATCH(E2095, ""Ben帳戶|Elsa帳戶|Ben代墊|Ariel代墊|中信銀行共用""), REGEXMATCH(F2095, ""Ben帳戶|Elsa帳戶|Ben代墊|Ariel代墊|中信銀行共用"")), ""內部轉帳(忽略)"",
  AND(E2095&lt;&gt;"""", F2095&lt;&gt;"""", N"&amp;"OT(REGEXMATCH(C2095, ""薪資""))), ""內部轉帳(忽略)"",
  REGEXMATCH(C2095, ""薪資""), ""薪資變動(不計入)"",
  REGEXMATCH(C2095, ""押金""), ""押金往來"",
  AND(E2095&lt;&gt;"""", F2095=""""), ""真實支出"",
  AND(E2095="""", F2095&lt;&gt;""""), ""真實收入"",
  TRUE, ""其他""
)"),"真實支出")</f>
        <v>真實支出</v>
      </c>
      <c r="K2095" s="270">
        <f t="shared" si="2"/>
        <v>-1260</v>
      </c>
      <c r="L2095">
        <f t="shared" si="3"/>
        <v>0</v>
      </c>
    </row>
    <row r="2096">
      <c r="A2096" s="107">
        <f>IFERROR(__xludf.DUMMYFUNCTION("""COMPUTED_VALUE"""),45840.0)</f>
        <v>45840</v>
      </c>
      <c r="B2096" t="str">
        <f>IFERROR(__xludf.DUMMYFUNCTION("""COMPUTED_VALUE"""),"MOMO 6呎馬梯")</f>
        <v>MOMO 6呎馬梯</v>
      </c>
      <c r="C2096" t="str">
        <f>IFERROR(__xludf.DUMMYFUNCTION("""COMPUTED_VALUE"""),"成本 - 租後修繕")</f>
        <v>成本 - 租後修繕</v>
      </c>
      <c r="D2096" s="270">
        <f>IFERROR(__xludf.DUMMYFUNCTION("""COMPUTED_VALUE"""),-2187.0)</f>
        <v>-2187</v>
      </c>
      <c r="E2096" t="str">
        <f>IFERROR(__xludf.DUMMYFUNCTION("""COMPUTED_VALUE"""),"Elsa帳戶")</f>
        <v>Elsa帳戶</v>
      </c>
      <c r="G2096" t="str">
        <f>IFERROR(__xludf.DUMMYFUNCTION("""COMPUTED_VALUE"""),"北醫醫師府")</f>
        <v>北醫醫師府</v>
      </c>
      <c r="H2096" s="106" t="str">
        <f t="shared" si="1"/>
        <v>2025-07</v>
      </c>
      <c r="I2096" s="271" t="str">
        <f>IFERROR(__xludf.DUMMYFUNCTION("""COMPUTED_VALUE"""),"貓狗企鵝")</f>
        <v>貓狗企鵝</v>
      </c>
      <c r="J2096" t="str">
        <f>IFERROR(__xludf.DUMMYFUNCTION("IFS(
  AND(REGEXMATCH(E2096, ""台銀籌備帳戶|玉山帳戶""), REGEXMATCH(C2096, ""薪資"")), ""分潤支出"",
  AND(REGEXMATCH(E2096, ""Ben帳戶|Elsa帳戶|Ben代墊|Ariel代墊|中信銀行共用""), REGEXMATCH(F2096, ""Ben帳戶|Elsa帳戶|Ben代墊|Ariel代墊|中信銀行共用"")), ""內部轉帳(忽略)"",
  AND(E2096&lt;&gt;"""", F2096&lt;&gt;"""", N"&amp;"OT(REGEXMATCH(C2096, ""薪資""))), ""內部轉帳(忽略)"",
  REGEXMATCH(C2096, ""薪資""), ""薪資變動(不計入)"",
  REGEXMATCH(C2096, ""押金""), ""押金往來"",
  AND(E2096&lt;&gt;"""", F2096=""""), ""真實支出"",
  AND(E2096="""", F2096&lt;&gt;""""), ""真實收入"",
  TRUE, ""其他""
)"),"真實支出")</f>
        <v>真實支出</v>
      </c>
      <c r="K2096" s="270">
        <f t="shared" si="2"/>
        <v>-2187</v>
      </c>
      <c r="L2096">
        <f t="shared" si="3"/>
        <v>0</v>
      </c>
    </row>
    <row r="2097">
      <c r="A2097" s="107">
        <f>IFERROR(__xludf.DUMMYFUNCTION("""COMPUTED_VALUE"""),45818.0)</f>
        <v>45818</v>
      </c>
      <c r="B2097" t="str">
        <f>IFERROR(__xludf.DUMMYFUNCTION("""COMPUTED_VALUE"""),"費用 - 匯費 對方行:005 後五碼:29006 (行號: 2)")</f>
        <v>費用 - 匯費 對方行:005 後五碼:29006 (行號: 2)</v>
      </c>
      <c r="C2097" t="str">
        <f>IFERROR(__xludf.DUMMYFUNCTION("""COMPUTED_VALUE"""),"費用 - 匯費")</f>
        <v>費用 - 匯費</v>
      </c>
      <c r="D2097" s="270">
        <f>IFERROR(__xludf.DUMMYFUNCTION("""COMPUTED_VALUE"""),-15.0)</f>
        <v>-15</v>
      </c>
      <c r="E2097" t="str">
        <f>IFERROR(__xludf.DUMMYFUNCTION("""COMPUTED_VALUE"""),"台銀籌備帳戶")</f>
        <v>台銀籌備帳戶</v>
      </c>
      <c r="H2097" s="106" t="str">
        <f t="shared" si="1"/>
        <v>2025-06</v>
      </c>
      <c r="I2097" s="271" t="str">
        <f>IFERROR(__xludf.DUMMYFUNCTION("""COMPUTED_VALUE"""),"貓狗企鵝")</f>
        <v>貓狗企鵝</v>
      </c>
      <c r="J2097" t="str">
        <f>IFERROR(__xludf.DUMMYFUNCTION("IFS(
  AND(REGEXMATCH(E2097, ""台銀籌備帳戶|玉山帳戶""), REGEXMATCH(C2097, ""薪資"")), ""分潤支出"",
  AND(REGEXMATCH(E2097, ""Ben帳戶|Elsa帳戶|Ben代墊|Ariel代墊|中信銀行共用""), REGEXMATCH(F2097, ""Ben帳戶|Elsa帳戶|Ben代墊|Ariel代墊|中信銀行共用"")), ""內部轉帳(忽略)"",
  AND(E2097&lt;&gt;"""", F2097&lt;&gt;"""", N"&amp;"OT(REGEXMATCH(C2097, ""薪資""))), ""內部轉帳(忽略)"",
  REGEXMATCH(C2097, ""薪資""), ""薪資變動(不計入)"",
  REGEXMATCH(C2097, ""押金""), ""押金往來"",
  AND(E2097&lt;&gt;"""", F2097=""""), ""真實支出"",
  AND(E2097="""", F2097&lt;&gt;""""), ""真實收入"",
  TRUE, ""其他""
)"),"真實支出")</f>
        <v>真實支出</v>
      </c>
      <c r="K2097" s="270">
        <f t="shared" si="2"/>
        <v>-15</v>
      </c>
      <c r="L2097">
        <f t="shared" si="3"/>
        <v>0</v>
      </c>
    </row>
    <row r="2098">
      <c r="A2098" s="107">
        <f>IFERROR(__xludf.DUMMYFUNCTION("""COMPUTED_VALUE"""),45818.0)</f>
        <v>45818</v>
      </c>
      <c r="B2098" t="str">
        <f>IFERROR(__xludf.DUMMYFUNCTION("""COMPUTED_VALUE"""),"樂宅北投巧巧              ' 【未分類支出】")</f>
        <v>樂宅北投巧巧              ' 【未分類支出】</v>
      </c>
      <c r="C2098" t="str">
        <f>IFERROR(__xludf.DUMMYFUNCTION("""COMPUTED_VALUE"""),"成本 - 進場前裝潢費")</f>
        <v>成本 - 進場前裝潢費</v>
      </c>
      <c r="D2098" s="270">
        <f>IFERROR(__xludf.DUMMYFUNCTION("""COMPUTED_VALUE"""),-9500.0)</f>
        <v>-9500</v>
      </c>
      <c r="E2098" t="str">
        <f>IFERROR(__xludf.DUMMYFUNCTION("""COMPUTED_VALUE"""),"台銀籌備帳戶")</f>
        <v>台銀籌備帳戶</v>
      </c>
      <c r="G2098" t="str">
        <f>IFERROR(__xludf.DUMMYFUNCTION("""COMPUTED_VALUE"""),"無法分類")</f>
        <v>無法分類</v>
      </c>
      <c r="H2098" s="106" t="str">
        <f t="shared" si="1"/>
        <v>2025-06</v>
      </c>
      <c r="I2098" s="271" t="str">
        <f>IFERROR(__xludf.DUMMYFUNCTION("""COMPUTED_VALUE"""),"貓狗企鵝")</f>
        <v>貓狗企鵝</v>
      </c>
      <c r="J2098" t="str">
        <f>IFERROR(__xludf.DUMMYFUNCTION("IFS(
  AND(REGEXMATCH(E2098, ""台銀籌備帳戶|玉山帳戶""), REGEXMATCH(C2098, ""薪資"")), ""分潤支出"",
  AND(REGEXMATCH(E2098, ""Ben帳戶|Elsa帳戶|Ben代墊|Ariel代墊|中信銀行共用""), REGEXMATCH(F2098, ""Ben帳戶|Elsa帳戶|Ben代墊|Ariel代墊|中信銀行共用"")), ""內部轉帳(忽略)"",
  AND(E2098&lt;&gt;"""", F2098&lt;&gt;"""", N"&amp;"OT(REGEXMATCH(C2098, ""薪資""))), ""內部轉帳(忽略)"",
  REGEXMATCH(C2098, ""薪資""), ""薪資變動(不計入)"",
  REGEXMATCH(C2098, ""押金""), ""押金往來"",
  AND(E2098&lt;&gt;"""", F2098=""""), ""真實支出"",
  AND(E2098="""", F2098&lt;&gt;""""), ""真實收入"",
  TRUE, ""其他""
)"),"真實支出")</f>
        <v>真實支出</v>
      </c>
      <c r="K2098" s="270">
        <f t="shared" si="2"/>
        <v>-9500</v>
      </c>
      <c r="L2098">
        <f t="shared" si="3"/>
        <v>0</v>
      </c>
    </row>
    <row r="2099">
      <c r="A2099" s="107">
        <f>IFERROR(__xludf.DUMMYFUNCTION("""COMPUTED_VALUE"""),45818.0)</f>
        <v>45818</v>
      </c>
      <c r="B2099" t="str">
        <f>IFERROR(__xludf.DUMMYFUNCTION("""COMPUTED_VALUE"""),"費用 - 匯費 對方行:118 後五碼:71859 (行號: 3)")</f>
        <v>費用 - 匯費 對方行:118 後五碼:71859 (行號: 3)</v>
      </c>
      <c r="C2099" t="str">
        <f>IFERROR(__xludf.DUMMYFUNCTION("""COMPUTED_VALUE"""),"費用 - 匯費")</f>
        <v>費用 - 匯費</v>
      </c>
      <c r="D2099" s="270">
        <f>IFERROR(__xludf.DUMMYFUNCTION("""COMPUTED_VALUE"""),-15.0)</f>
        <v>-15</v>
      </c>
      <c r="E2099" t="str">
        <f>IFERROR(__xludf.DUMMYFUNCTION("""COMPUTED_VALUE"""),"台銀籌備帳戶")</f>
        <v>台銀籌備帳戶</v>
      </c>
      <c r="H2099" s="106" t="str">
        <f t="shared" si="1"/>
        <v>2025-06</v>
      </c>
      <c r="I2099" s="271" t="str">
        <f>IFERROR(__xludf.DUMMYFUNCTION("""COMPUTED_VALUE"""),"貓狗企鵝")</f>
        <v>貓狗企鵝</v>
      </c>
      <c r="J2099" t="str">
        <f>IFERROR(__xludf.DUMMYFUNCTION("IFS(
  AND(REGEXMATCH(E2099, ""台銀籌備帳戶|玉山帳戶""), REGEXMATCH(C2099, ""薪資"")), ""分潤支出"",
  AND(REGEXMATCH(E2099, ""Ben帳戶|Elsa帳戶|Ben代墊|Ariel代墊|中信銀行共用""), REGEXMATCH(F2099, ""Ben帳戶|Elsa帳戶|Ben代墊|Ariel代墊|中信銀行共用"")), ""內部轉帳(忽略)"",
  AND(E2099&lt;&gt;"""", F2099&lt;&gt;"""", N"&amp;"OT(REGEXMATCH(C2099, ""薪資""))), ""內部轉帳(忽略)"",
  REGEXMATCH(C2099, ""薪資""), ""薪資變動(不計入)"",
  REGEXMATCH(C2099, ""押金""), ""押金往來"",
  AND(E2099&lt;&gt;"""", F2099=""""), ""真實支出"",
  AND(E2099="""", F2099&lt;&gt;""""), ""真實收入"",
  TRUE, ""其他""
)"),"真實支出")</f>
        <v>真實支出</v>
      </c>
      <c r="K2099" s="270">
        <f t="shared" si="2"/>
        <v>-15</v>
      </c>
      <c r="L2099">
        <f t="shared" si="3"/>
        <v>0</v>
      </c>
    </row>
    <row r="2100">
      <c r="A2100" s="107">
        <f>IFERROR(__xludf.DUMMYFUNCTION("""COMPUTED_VALUE"""),45818.0)</f>
        <v>45818</v>
      </c>
      <c r="B2100" t="str">
        <f>IFERROR(__xludf.DUMMYFUNCTION("""COMPUTED_VALUE"""),"小玉民生垃圾丟棄          ' 【未分類支出】")</f>
        <v>小玉民生垃圾丟棄          ' 【未分類支出】</v>
      </c>
      <c r="C2100" t="str">
        <f>IFERROR(__xludf.DUMMYFUNCTION("""COMPUTED_VALUE"""),"成本 - 進場前裝潢費")</f>
        <v>成本 - 進場前裝潢費</v>
      </c>
      <c r="D2100" s="270">
        <f>IFERROR(__xludf.DUMMYFUNCTION("""COMPUTED_VALUE"""),-3500.0)</f>
        <v>-3500</v>
      </c>
      <c r="E2100" t="str">
        <f>IFERROR(__xludf.DUMMYFUNCTION("""COMPUTED_VALUE"""),"台銀籌備帳戶")</f>
        <v>台銀籌備帳戶</v>
      </c>
      <c r="G2100" t="str">
        <f>IFERROR(__xludf.DUMMYFUNCTION("""COMPUTED_VALUE"""),"書香民生")</f>
        <v>書香民生</v>
      </c>
      <c r="H2100" s="106" t="str">
        <f t="shared" si="1"/>
        <v>2025-06</v>
      </c>
      <c r="I2100" s="271" t="str">
        <f>IFERROR(__xludf.DUMMYFUNCTION("""COMPUTED_VALUE"""),"貓狗企鵝")</f>
        <v>貓狗企鵝</v>
      </c>
      <c r="J2100" t="str">
        <f>IFERROR(__xludf.DUMMYFUNCTION("IFS(
  AND(REGEXMATCH(E2100, ""台銀籌備帳戶|玉山帳戶""), REGEXMATCH(C2100, ""薪資"")), ""分潤支出"",
  AND(REGEXMATCH(E2100, ""Ben帳戶|Elsa帳戶|Ben代墊|Ariel代墊|中信銀行共用""), REGEXMATCH(F2100, ""Ben帳戶|Elsa帳戶|Ben代墊|Ariel代墊|中信銀行共用"")), ""內部轉帳(忽略)"",
  AND(E2100&lt;&gt;"""", F2100&lt;&gt;"""", N"&amp;"OT(REGEXMATCH(C2100, ""薪資""))), ""內部轉帳(忽略)"",
  REGEXMATCH(C2100, ""薪資""), ""薪資變動(不計入)"",
  REGEXMATCH(C2100, ""押金""), ""押金往來"",
  AND(E2100&lt;&gt;"""", F2100=""""), ""真實支出"",
  AND(E2100="""", F2100&lt;&gt;""""), ""真實收入"",
  TRUE, ""其他""
)"),"真實支出")</f>
        <v>真實支出</v>
      </c>
      <c r="K2100" s="270">
        <f t="shared" si="2"/>
        <v>-3500</v>
      </c>
      <c r="L2100">
        <f t="shared" si="3"/>
        <v>0</v>
      </c>
    </row>
    <row r="2101">
      <c r="A2101" s="107">
        <f>IFERROR(__xludf.DUMMYFUNCTION("""COMPUTED_VALUE"""),45818.0)</f>
        <v>45818</v>
      </c>
      <c r="B2101" t="str">
        <f>IFERROR(__xludf.DUMMYFUNCTION("""COMPUTED_VALUE"""),"費用 - 匯費 對方行:118 後五碼:71859 (行號: 4)")</f>
        <v>費用 - 匯費 對方行:118 後五碼:71859 (行號: 4)</v>
      </c>
      <c r="C2101" t="str">
        <f>IFERROR(__xludf.DUMMYFUNCTION("""COMPUTED_VALUE"""),"費用 - 匯費")</f>
        <v>費用 - 匯費</v>
      </c>
      <c r="D2101" s="270">
        <f>IFERROR(__xludf.DUMMYFUNCTION("""COMPUTED_VALUE"""),-15.0)</f>
        <v>-15</v>
      </c>
      <c r="E2101" t="str">
        <f>IFERROR(__xludf.DUMMYFUNCTION("""COMPUTED_VALUE"""),"台銀籌備帳戶")</f>
        <v>台銀籌備帳戶</v>
      </c>
      <c r="H2101" s="106" t="str">
        <f t="shared" si="1"/>
        <v>2025-06</v>
      </c>
      <c r="I2101" s="271" t="str">
        <f>IFERROR(__xludf.DUMMYFUNCTION("""COMPUTED_VALUE"""),"貓狗企鵝")</f>
        <v>貓狗企鵝</v>
      </c>
      <c r="J2101" t="str">
        <f>IFERROR(__xludf.DUMMYFUNCTION("IFS(
  AND(REGEXMATCH(E2101, ""台銀籌備帳戶|玉山帳戶""), REGEXMATCH(C2101, ""薪資"")), ""分潤支出"",
  AND(REGEXMATCH(E2101, ""Ben帳戶|Elsa帳戶|Ben代墊|Ariel代墊|中信銀行共用""), REGEXMATCH(F2101, ""Ben帳戶|Elsa帳戶|Ben代墊|Ariel代墊|中信銀行共用"")), ""內部轉帳(忽略)"",
  AND(E2101&lt;&gt;"""", F2101&lt;&gt;"""", N"&amp;"OT(REGEXMATCH(C2101, ""薪資""))), ""內部轉帳(忽略)"",
  REGEXMATCH(C2101, ""薪資""), ""薪資變動(不計入)"",
  REGEXMATCH(C2101, ""押金""), ""押金往來"",
  AND(E2101&lt;&gt;"""", F2101=""""), ""真實支出"",
  AND(E2101="""", F2101&lt;&gt;""""), ""真實收入"",
  TRUE, ""其他""
)"),"真實支出")</f>
        <v>真實支出</v>
      </c>
      <c r="K2101" s="270">
        <f t="shared" si="2"/>
        <v>-15</v>
      </c>
      <c r="L2101">
        <f t="shared" si="3"/>
        <v>0</v>
      </c>
    </row>
    <row r="2102">
      <c r="A2102" s="107">
        <f>IFERROR(__xludf.DUMMYFUNCTION("""COMPUTED_VALUE"""),45818.0)</f>
        <v>45818</v>
      </c>
      <c r="B2102" t="str">
        <f>IFERROR(__xludf.DUMMYFUNCTION("""COMPUTED_VALUE"""),"小玉搬運民生              ' 【未分類支出】")</f>
        <v>小玉搬運民生              ' 【未分類支出】</v>
      </c>
      <c r="C2102" t="str">
        <f>IFERROR(__xludf.DUMMYFUNCTION("""COMPUTED_VALUE"""),"成本 - 進場前裝潢費")</f>
        <v>成本 - 進場前裝潢費</v>
      </c>
      <c r="D2102" s="270">
        <f>IFERROR(__xludf.DUMMYFUNCTION("""COMPUTED_VALUE"""),-160.0)</f>
        <v>-160</v>
      </c>
      <c r="E2102" t="str">
        <f>IFERROR(__xludf.DUMMYFUNCTION("""COMPUTED_VALUE"""),"台銀籌備帳戶")</f>
        <v>台銀籌備帳戶</v>
      </c>
      <c r="G2102" t="str">
        <f>IFERROR(__xludf.DUMMYFUNCTION("""COMPUTED_VALUE"""),"書香民生")</f>
        <v>書香民生</v>
      </c>
      <c r="H2102" s="106" t="str">
        <f t="shared" si="1"/>
        <v>2025-06</v>
      </c>
      <c r="I2102" s="271" t="str">
        <f>IFERROR(__xludf.DUMMYFUNCTION("""COMPUTED_VALUE"""),"貓狗企鵝")</f>
        <v>貓狗企鵝</v>
      </c>
      <c r="J2102" t="str">
        <f>IFERROR(__xludf.DUMMYFUNCTION("IFS(
  AND(REGEXMATCH(E2102, ""台銀籌備帳戶|玉山帳戶""), REGEXMATCH(C2102, ""薪資"")), ""分潤支出"",
  AND(REGEXMATCH(E2102, ""Ben帳戶|Elsa帳戶|Ben代墊|Ariel代墊|中信銀行共用""), REGEXMATCH(F2102, ""Ben帳戶|Elsa帳戶|Ben代墊|Ariel代墊|中信銀行共用"")), ""內部轉帳(忽略)"",
  AND(E2102&lt;&gt;"""", F2102&lt;&gt;"""", N"&amp;"OT(REGEXMATCH(C2102, ""薪資""))), ""內部轉帳(忽略)"",
  REGEXMATCH(C2102, ""薪資""), ""薪資變動(不計入)"",
  REGEXMATCH(C2102, ""押金""), ""押金往來"",
  AND(E2102&lt;&gt;"""", F2102=""""), ""真實支出"",
  AND(E2102="""", F2102&lt;&gt;""""), ""真實收入"",
  TRUE, ""其他""
)"),"真實支出")</f>
        <v>真實支出</v>
      </c>
      <c r="K2102" s="270">
        <f t="shared" si="2"/>
        <v>-160</v>
      </c>
      <c r="L2102">
        <f t="shared" si="3"/>
        <v>0</v>
      </c>
    </row>
    <row r="2103">
      <c r="A2103" s="107">
        <f>IFERROR(__xludf.DUMMYFUNCTION("""COMPUTED_VALUE"""),45818.0)</f>
        <v>45818</v>
      </c>
      <c r="B2103" t="str">
        <f>IFERROR(__xludf.DUMMYFUNCTION("""COMPUTED_VALUE"""),"費用 - 匯費 對方行:005 後五碼:29006 (行號: 5)")</f>
        <v>費用 - 匯費 對方行:005 後五碼:29006 (行號: 5)</v>
      </c>
      <c r="C2103" t="str">
        <f>IFERROR(__xludf.DUMMYFUNCTION("""COMPUTED_VALUE"""),"費用 - 匯費")</f>
        <v>費用 - 匯費</v>
      </c>
      <c r="D2103" s="270">
        <f>IFERROR(__xludf.DUMMYFUNCTION("""COMPUTED_VALUE"""),-15.0)</f>
        <v>-15</v>
      </c>
      <c r="E2103" t="str">
        <f>IFERROR(__xludf.DUMMYFUNCTION("""COMPUTED_VALUE"""),"台銀籌備帳戶")</f>
        <v>台銀籌備帳戶</v>
      </c>
      <c r="H2103" s="106" t="str">
        <f t="shared" si="1"/>
        <v>2025-06</v>
      </c>
      <c r="I2103" s="271" t="str">
        <f>IFERROR(__xludf.DUMMYFUNCTION("""COMPUTED_VALUE"""),"貓狗企鵝")</f>
        <v>貓狗企鵝</v>
      </c>
      <c r="J2103" t="str">
        <f>IFERROR(__xludf.DUMMYFUNCTION("IFS(
  AND(REGEXMATCH(E2103, ""台銀籌備帳戶|玉山帳戶""), REGEXMATCH(C2103, ""薪資"")), ""分潤支出"",
  AND(REGEXMATCH(E2103, ""Ben帳戶|Elsa帳戶|Ben代墊|Ariel代墊|中信銀行共用""), REGEXMATCH(F2103, ""Ben帳戶|Elsa帳戶|Ben代墊|Ariel代墊|中信銀行共用"")), ""內部轉帳(忽略)"",
  AND(E2103&lt;&gt;"""", F2103&lt;&gt;"""", N"&amp;"OT(REGEXMATCH(C2103, ""薪資""))), ""內部轉帳(忽略)"",
  REGEXMATCH(C2103, ""薪資""), ""薪資變動(不計入)"",
  REGEXMATCH(C2103, ""押金""), ""押金往來"",
  AND(E2103&lt;&gt;"""", F2103=""""), ""真實支出"",
  AND(E2103="""", F2103&lt;&gt;""""), ""真實收入"",
  TRUE, ""其他""
)"),"真實支出")</f>
        <v>真實支出</v>
      </c>
      <c r="K2103" s="270">
        <f t="shared" si="2"/>
        <v>-15</v>
      </c>
      <c r="L2103">
        <f t="shared" si="3"/>
        <v>0</v>
      </c>
    </row>
    <row r="2104">
      <c r="A2104" s="107">
        <f>IFERROR(__xludf.DUMMYFUNCTION("""COMPUTED_VALUE"""),45818.0)</f>
        <v>45818</v>
      </c>
      <c r="B2104" t="str">
        <f>IFERROR(__xludf.DUMMYFUNCTION("""COMPUTED_VALUE"""),"巧巧北投                  ' 【未分類支出】")</f>
        <v>巧巧北投                  ' 【未分類支出】</v>
      </c>
      <c r="C2104" t="str">
        <f>IFERROR(__xludf.DUMMYFUNCTION("""COMPUTED_VALUE"""),"成本 - 進場前裝潢費")</f>
        <v>成本 - 進場前裝潢費</v>
      </c>
      <c r="D2104" s="270">
        <f>IFERROR(__xludf.DUMMYFUNCTION("""COMPUTED_VALUE"""),-470.0)</f>
        <v>-470</v>
      </c>
      <c r="E2104" t="str">
        <f>IFERROR(__xludf.DUMMYFUNCTION("""COMPUTED_VALUE"""),"台銀籌備帳戶")</f>
        <v>台銀籌備帳戶</v>
      </c>
      <c r="G2104" t="str">
        <f>IFERROR(__xludf.DUMMYFUNCTION("""COMPUTED_VALUE"""),"無法分類")</f>
        <v>無法分類</v>
      </c>
      <c r="H2104" s="106" t="str">
        <f t="shared" si="1"/>
        <v>2025-06</v>
      </c>
      <c r="I2104" s="271" t="str">
        <f>IFERROR(__xludf.DUMMYFUNCTION("""COMPUTED_VALUE"""),"貓狗企鵝")</f>
        <v>貓狗企鵝</v>
      </c>
      <c r="J2104" t="str">
        <f>IFERROR(__xludf.DUMMYFUNCTION("IFS(
  AND(REGEXMATCH(E2104, ""台銀籌備帳戶|玉山帳戶""), REGEXMATCH(C2104, ""薪資"")), ""分潤支出"",
  AND(REGEXMATCH(E2104, ""Ben帳戶|Elsa帳戶|Ben代墊|Ariel代墊|中信銀行共用""), REGEXMATCH(F2104, ""Ben帳戶|Elsa帳戶|Ben代墊|Ariel代墊|中信銀行共用"")), ""內部轉帳(忽略)"",
  AND(E2104&lt;&gt;"""", F2104&lt;&gt;"""", N"&amp;"OT(REGEXMATCH(C2104, ""薪資""))), ""內部轉帳(忽略)"",
  REGEXMATCH(C2104, ""薪資""), ""薪資變動(不計入)"",
  REGEXMATCH(C2104, ""押金""), ""押金往來"",
  AND(E2104&lt;&gt;"""", F2104=""""), ""真實支出"",
  AND(E2104="""", F2104&lt;&gt;""""), ""真實收入"",
  TRUE, ""其他""
)"),"真實支出")</f>
        <v>真實支出</v>
      </c>
      <c r="K2104" s="270">
        <f t="shared" si="2"/>
        <v>-470</v>
      </c>
      <c r="L2104">
        <f t="shared" si="3"/>
        <v>0</v>
      </c>
    </row>
    <row r="2105">
      <c r="A2105" s="107">
        <f>IFERROR(__xludf.DUMMYFUNCTION("""COMPUTED_VALUE"""),45821.0)</f>
        <v>45821</v>
      </c>
      <c r="B2105" t="str">
        <f>IFERROR(__xludf.DUMMYFUNCTION("""COMPUTED_VALUE"""),"費用 - 匯費 對方行:700 後五碼:19509 (行號: 7)")</f>
        <v>費用 - 匯費 對方行:700 後五碼:19509 (行號: 7)</v>
      </c>
      <c r="C2105" t="str">
        <f>IFERROR(__xludf.DUMMYFUNCTION("""COMPUTED_VALUE"""),"費用 - 匯費")</f>
        <v>費用 - 匯費</v>
      </c>
      <c r="D2105" s="270">
        <f>IFERROR(__xludf.DUMMYFUNCTION("""COMPUTED_VALUE"""),-15.0)</f>
        <v>-15</v>
      </c>
      <c r="E2105" t="str">
        <f>IFERROR(__xludf.DUMMYFUNCTION("""COMPUTED_VALUE"""),"台銀籌備帳戶")</f>
        <v>台銀籌備帳戶</v>
      </c>
      <c r="H2105" s="106" t="str">
        <f t="shared" si="1"/>
        <v>2025-06</v>
      </c>
      <c r="I2105" s="271" t="str">
        <f>IFERROR(__xludf.DUMMYFUNCTION("""COMPUTED_VALUE"""),"貓狗企鵝")</f>
        <v>貓狗企鵝</v>
      </c>
      <c r="J2105" t="str">
        <f>IFERROR(__xludf.DUMMYFUNCTION("IFS(
  AND(REGEXMATCH(E2105, ""台銀籌備帳戶|玉山帳戶""), REGEXMATCH(C2105, ""薪資"")), ""分潤支出"",
  AND(REGEXMATCH(E2105, ""Ben帳戶|Elsa帳戶|Ben代墊|Ariel代墊|中信銀行共用""), REGEXMATCH(F2105, ""Ben帳戶|Elsa帳戶|Ben代墊|Ariel代墊|中信銀行共用"")), ""內部轉帳(忽略)"",
  AND(E2105&lt;&gt;"""", F2105&lt;&gt;"""", N"&amp;"OT(REGEXMATCH(C2105, ""薪資""))), ""內部轉帳(忽略)"",
  REGEXMATCH(C2105, ""薪資""), ""薪資變動(不計入)"",
  REGEXMATCH(C2105, ""押金""), ""押金往來"",
  AND(E2105&lt;&gt;"""", F2105=""""), ""真實支出"",
  AND(E2105="""", F2105&lt;&gt;""""), ""真實收入"",
  TRUE, ""其他""
)"),"真實支出")</f>
        <v>真實支出</v>
      </c>
      <c r="K2105" s="270">
        <f t="shared" si="2"/>
        <v>-15</v>
      </c>
      <c r="L2105">
        <f t="shared" si="3"/>
        <v>0</v>
      </c>
    </row>
    <row r="2106">
      <c r="A2106" s="107">
        <f>IFERROR(__xludf.DUMMYFUNCTION("""COMPUTED_VALUE"""),45821.0)</f>
        <v>45821</v>
      </c>
      <c r="B2106" t="str">
        <f>IFERROR(__xludf.DUMMYFUNCTION("""COMPUTED_VALUE"""),"[龍江229] [游為傑] 大租金")</f>
        <v>[龍江229] [游為傑] 大租金</v>
      </c>
      <c r="C2106" t="str">
        <f>IFERROR(__xludf.DUMMYFUNCTION("""COMPUTED_VALUE"""),"成本 - 大租金")</f>
        <v>成本 - 大租金</v>
      </c>
      <c r="D2106" s="270">
        <f>IFERROR(__xludf.DUMMYFUNCTION("""COMPUTED_VALUE"""),-13500.0)</f>
        <v>-13500</v>
      </c>
      <c r="E2106" t="str">
        <f>IFERROR(__xludf.DUMMYFUNCTION("""COMPUTED_VALUE"""),"台銀籌備帳戶")</f>
        <v>台銀籌備帳戶</v>
      </c>
      <c r="G2106" t="str">
        <f>IFERROR(__xludf.DUMMYFUNCTION("""COMPUTED_VALUE"""),"龍江229")</f>
        <v>龍江229</v>
      </c>
      <c r="H2106" s="106" t="str">
        <f t="shared" si="1"/>
        <v>2025-06</v>
      </c>
      <c r="I2106" s="271" t="str">
        <f>IFERROR(__xludf.DUMMYFUNCTION("""COMPUTED_VALUE"""),"貓狗企鵝")</f>
        <v>貓狗企鵝</v>
      </c>
      <c r="J2106" t="str">
        <f>IFERROR(__xludf.DUMMYFUNCTION("IFS(
  AND(REGEXMATCH(E2106, ""台銀籌備帳戶|玉山帳戶""), REGEXMATCH(C2106, ""薪資"")), ""分潤支出"",
  AND(REGEXMATCH(E2106, ""Ben帳戶|Elsa帳戶|Ben代墊|Ariel代墊|中信銀行共用""), REGEXMATCH(F2106, ""Ben帳戶|Elsa帳戶|Ben代墊|Ariel代墊|中信銀行共用"")), ""內部轉帳(忽略)"",
  AND(E2106&lt;&gt;"""", F2106&lt;&gt;"""", N"&amp;"OT(REGEXMATCH(C2106, ""薪資""))), ""內部轉帳(忽略)"",
  REGEXMATCH(C2106, ""薪資""), ""薪資變動(不計入)"",
  REGEXMATCH(C2106, ""押金""), ""押金往來"",
  AND(E2106&lt;&gt;"""", F2106=""""), ""真實支出"",
  AND(E2106="""", F2106&lt;&gt;""""), ""真實收入"",
  TRUE, ""其他""
)"),"真實支出")</f>
        <v>真實支出</v>
      </c>
      <c r="K2106" s="270">
        <f t="shared" si="2"/>
        <v>-13500</v>
      </c>
      <c r="L2106">
        <f t="shared" si="3"/>
        <v>0</v>
      </c>
    </row>
    <row r="2107">
      <c r="A2107" s="107">
        <f>IFERROR(__xludf.DUMMYFUNCTION("""COMPUTED_VALUE"""),45823.0)</f>
        <v>45823</v>
      </c>
      <c r="B2107" t="str">
        <f>IFERROR(__xludf.DUMMYFUNCTION("""COMPUTED_VALUE"""),"[南港站挑高宅] [林淑華] 大租金")</f>
        <v>[南港站挑高宅] [林淑華] 大租金</v>
      </c>
      <c r="C2107" t="str">
        <f>IFERROR(__xludf.DUMMYFUNCTION("""COMPUTED_VALUE"""),"成本 - 大租金")</f>
        <v>成本 - 大租金</v>
      </c>
      <c r="D2107" s="270">
        <f>IFERROR(__xludf.DUMMYFUNCTION("""COMPUTED_VALUE"""),-18250.0)</f>
        <v>-18250</v>
      </c>
      <c r="E2107" t="str">
        <f>IFERROR(__xludf.DUMMYFUNCTION("""COMPUTED_VALUE"""),"台銀籌備帳戶")</f>
        <v>台銀籌備帳戶</v>
      </c>
      <c r="G2107" t="str">
        <f>IFERROR(__xludf.DUMMYFUNCTION("""COMPUTED_VALUE"""),"南港站挑高宅")</f>
        <v>南港站挑高宅</v>
      </c>
      <c r="H2107" s="106" t="str">
        <f t="shared" si="1"/>
        <v>2025-06</v>
      </c>
      <c r="I2107" s="271" t="str">
        <f>IFERROR(__xludf.DUMMYFUNCTION("""COMPUTED_VALUE"""),"貓狗企鵝")</f>
        <v>貓狗企鵝</v>
      </c>
      <c r="J2107" t="str">
        <f>IFERROR(__xludf.DUMMYFUNCTION("IFS(
  AND(REGEXMATCH(E2107, ""台銀籌備帳戶|玉山帳戶""), REGEXMATCH(C2107, ""薪資"")), ""分潤支出"",
  AND(REGEXMATCH(E2107, ""Ben帳戶|Elsa帳戶|Ben代墊|Ariel代墊|中信銀行共用""), REGEXMATCH(F2107, ""Ben帳戶|Elsa帳戶|Ben代墊|Ariel代墊|中信銀行共用"")), ""內部轉帳(忽略)"",
  AND(E2107&lt;&gt;"""", F2107&lt;&gt;"""", N"&amp;"OT(REGEXMATCH(C2107, ""薪資""))), ""內部轉帳(忽略)"",
  REGEXMATCH(C2107, ""薪資""), ""薪資變動(不計入)"",
  REGEXMATCH(C2107, ""押金""), ""押金往來"",
  AND(E2107&lt;&gt;"""", F2107=""""), ""真實支出"",
  AND(E2107="""", F2107&lt;&gt;""""), ""真實收入"",
  TRUE, ""其他""
)"),"真實支出")</f>
        <v>真實支出</v>
      </c>
      <c r="K2107" s="270">
        <f t="shared" si="2"/>
        <v>-18250</v>
      </c>
      <c r="L2107">
        <f t="shared" si="3"/>
        <v>0</v>
      </c>
    </row>
    <row r="2108">
      <c r="A2108" s="107">
        <f>IFERROR(__xludf.DUMMYFUNCTION("""COMPUTED_VALUE"""),45823.0)</f>
        <v>45823</v>
      </c>
      <c r="B2108" t="str">
        <f>IFERROR(__xludf.DUMMYFUNCTION("""COMPUTED_VALUE"""),"費用 - 匯費 對方行:052 後五碼:22609 (行號: 9)")</f>
        <v>費用 - 匯費 對方行:052 後五碼:22609 (行號: 9)</v>
      </c>
      <c r="C2108" t="str">
        <f>IFERROR(__xludf.DUMMYFUNCTION("""COMPUTED_VALUE"""),"費用 - 匯費")</f>
        <v>費用 - 匯費</v>
      </c>
      <c r="D2108" s="270">
        <f>IFERROR(__xludf.DUMMYFUNCTION("""COMPUTED_VALUE"""),-15.0)</f>
        <v>-15</v>
      </c>
      <c r="E2108" t="str">
        <f>IFERROR(__xludf.DUMMYFUNCTION("""COMPUTED_VALUE"""),"台銀籌備帳戶")</f>
        <v>台銀籌備帳戶</v>
      </c>
      <c r="H2108" s="106" t="str">
        <f t="shared" si="1"/>
        <v>2025-06</v>
      </c>
      <c r="I2108" s="271" t="str">
        <f>IFERROR(__xludf.DUMMYFUNCTION("""COMPUTED_VALUE"""),"貓狗企鵝")</f>
        <v>貓狗企鵝</v>
      </c>
      <c r="J2108" t="str">
        <f>IFERROR(__xludf.DUMMYFUNCTION("IFS(
  AND(REGEXMATCH(E2108, ""台銀籌備帳戶|玉山帳戶""), REGEXMATCH(C2108, ""薪資"")), ""分潤支出"",
  AND(REGEXMATCH(E2108, ""Ben帳戶|Elsa帳戶|Ben代墊|Ariel代墊|中信銀行共用""), REGEXMATCH(F2108, ""Ben帳戶|Elsa帳戶|Ben代墊|Ariel代墊|中信銀行共用"")), ""內部轉帳(忽略)"",
  AND(E2108&lt;&gt;"""", F2108&lt;&gt;"""", N"&amp;"OT(REGEXMATCH(C2108, ""薪資""))), ""內部轉帳(忽略)"",
  REGEXMATCH(C2108, ""薪資""), ""薪資變動(不計入)"",
  REGEXMATCH(C2108, ""押金""), ""押金往來"",
  AND(E2108&lt;&gt;"""", F2108=""""), ""真實支出"",
  AND(E2108="""", F2108&lt;&gt;""""), ""真實收入"",
  TRUE, ""其他""
)"),"真實支出")</f>
        <v>真實支出</v>
      </c>
      <c r="K2108" s="270">
        <f t="shared" si="2"/>
        <v>-15</v>
      </c>
      <c r="L2108">
        <f t="shared" si="3"/>
        <v>0</v>
      </c>
    </row>
    <row r="2109">
      <c r="A2109" s="107">
        <f>IFERROR(__xludf.DUMMYFUNCTION("""COMPUTED_VALUE"""),45823.0)</f>
        <v>45823</v>
      </c>
      <c r="B2109" t="str">
        <f>IFERROR(__xludf.DUMMYFUNCTION("""COMPUTED_VALUE"""),"[中山北Feli家] [陳玉蘭] 大租金")</f>
        <v>[中山北Feli家] [陳玉蘭] 大租金</v>
      </c>
      <c r="C2109" t="str">
        <f>IFERROR(__xludf.DUMMYFUNCTION("""COMPUTED_VALUE"""),"成本 - 大租金")</f>
        <v>成本 - 大租金</v>
      </c>
      <c r="D2109" s="270">
        <f>IFERROR(__xludf.DUMMYFUNCTION("""COMPUTED_VALUE"""),-18000.0)</f>
        <v>-18000</v>
      </c>
      <c r="E2109" t="str">
        <f>IFERROR(__xludf.DUMMYFUNCTION("""COMPUTED_VALUE"""),"台銀籌備帳戶")</f>
        <v>台銀籌備帳戶</v>
      </c>
      <c r="G2109" t="str">
        <f>IFERROR(__xludf.DUMMYFUNCTION("""COMPUTED_VALUE"""),"中山北Feli家")</f>
        <v>中山北Feli家</v>
      </c>
      <c r="H2109" s="106" t="str">
        <f t="shared" si="1"/>
        <v>2025-06</v>
      </c>
      <c r="I2109" s="271" t="str">
        <f>IFERROR(__xludf.DUMMYFUNCTION("""COMPUTED_VALUE"""),"貓狗企鵝")</f>
        <v>貓狗企鵝</v>
      </c>
      <c r="J2109" t="str">
        <f>IFERROR(__xludf.DUMMYFUNCTION("IFS(
  AND(REGEXMATCH(E2109, ""台銀籌備帳戶|玉山帳戶""), REGEXMATCH(C2109, ""薪資"")), ""分潤支出"",
  AND(REGEXMATCH(E2109, ""Ben帳戶|Elsa帳戶|Ben代墊|Ariel代墊|中信銀行共用""), REGEXMATCH(F2109, ""Ben帳戶|Elsa帳戶|Ben代墊|Ariel代墊|中信銀行共用"")), ""內部轉帳(忽略)"",
  AND(E2109&lt;&gt;"""", F2109&lt;&gt;"""", N"&amp;"OT(REGEXMATCH(C2109, ""薪資""))), ""內部轉帳(忽略)"",
  REGEXMATCH(C2109, ""薪資""), ""薪資變動(不計入)"",
  REGEXMATCH(C2109, ""押金""), ""押金往來"",
  AND(E2109&lt;&gt;"""", F2109=""""), ""真實支出"",
  AND(E2109="""", F2109&lt;&gt;""""), ""真實收入"",
  TRUE, ""其他""
)"),"真實支出")</f>
        <v>真實支出</v>
      </c>
      <c r="K2109" s="270">
        <f t="shared" si="2"/>
        <v>-18000</v>
      </c>
      <c r="L2109">
        <f t="shared" si="3"/>
        <v>0</v>
      </c>
    </row>
    <row r="2110">
      <c r="A2110" s="107">
        <f>IFERROR(__xludf.DUMMYFUNCTION("""COMPUTED_VALUE"""),45823.0)</f>
        <v>45823</v>
      </c>
      <c r="B2110" t="str">
        <f>IFERROR(__xludf.DUMMYFUNCTION("""COMPUTED_VALUE"""),"費用 - 匯費 對方行:013 後五碼:20652 (行號: 10)")</f>
        <v>費用 - 匯費 對方行:013 後五碼:20652 (行號: 10)</v>
      </c>
      <c r="C2110" t="str">
        <f>IFERROR(__xludf.DUMMYFUNCTION("""COMPUTED_VALUE"""),"費用 - 匯費")</f>
        <v>費用 - 匯費</v>
      </c>
      <c r="D2110" s="270">
        <f>IFERROR(__xludf.DUMMYFUNCTION("""COMPUTED_VALUE"""),-15.0)</f>
        <v>-15</v>
      </c>
      <c r="E2110" t="str">
        <f>IFERROR(__xludf.DUMMYFUNCTION("""COMPUTED_VALUE"""),"台銀籌備帳戶")</f>
        <v>台銀籌備帳戶</v>
      </c>
      <c r="H2110" s="106" t="str">
        <f t="shared" si="1"/>
        <v>2025-06</v>
      </c>
      <c r="I2110" s="271" t="str">
        <f>IFERROR(__xludf.DUMMYFUNCTION("""COMPUTED_VALUE"""),"貓狗企鵝")</f>
        <v>貓狗企鵝</v>
      </c>
      <c r="J2110" t="str">
        <f>IFERROR(__xludf.DUMMYFUNCTION("IFS(
  AND(REGEXMATCH(E2110, ""台銀籌備帳戶|玉山帳戶""), REGEXMATCH(C2110, ""薪資"")), ""分潤支出"",
  AND(REGEXMATCH(E2110, ""Ben帳戶|Elsa帳戶|Ben代墊|Ariel代墊|中信銀行共用""), REGEXMATCH(F2110, ""Ben帳戶|Elsa帳戶|Ben代墊|Ariel代墊|中信銀行共用"")), ""內部轉帳(忽略)"",
  AND(E2110&lt;&gt;"""", F2110&lt;&gt;"""", N"&amp;"OT(REGEXMATCH(C2110, ""薪資""))), ""內部轉帳(忽略)"",
  REGEXMATCH(C2110, ""薪資""), ""薪資變動(不計入)"",
  REGEXMATCH(C2110, ""押金""), ""押金往來"",
  AND(E2110&lt;&gt;"""", F2110=""""), ""真實支出"",
  AND(E2110="""", F2110&lt;&gt;""""), ""真實收入"",
  TRUE, ""其他""
)"),"真實支出")</f>
        <v>真實支出</v>
      </c>
      <c r="K2110" s="270">
        <f t="shared" si="2"/>
        <v>-15</v>
      </c>
      <c r="L2110">
        <f t="shared" si="3"/>
        <v>0</v>
      </c>
    </row>
    <row r="2111">
      <c r="A2111" s="107">
        <f>IFERROR(__xludf.DUMMYFUNCTION("""COMPUTED_VALUE"""),45823.0)</f>
        <v>45823</v>
      </c>
      <c r="B2111" t="str">
        <f>IFERROR(__xludf.DUMMYFUNCTION("""COMPUTED_VALUE"""),"[景安2分鐘] [王逸荃] 大租金")</f>
        <v>[景安2分鐘] [王逸荃] 大租金</v>
      </c>
      <c r="C2111" t="str">
        <f>IFERROR(__xludf.DUMMYFUNCTION("""COMPUTED_VALUE"""),"成本 - 大租金")</f>
        <v>成本 - 大租金</v>
      </c>
      <c r="D2111" s="270">
        <f>IFERROR(__xludf.DUMMYFUNCTION("""COMPUTED_VALUE"""),-12500.0)</f>
        <v>-12500</v>
      </c>
      <c r="E2111" t="str">
        <f>IFERROR(__xludf.DUMMYFUNCTION("""COMPUTED_VALUE"""),"台銀籌備帳戶")</f>
        <v>台銀籌備帳戶</v>
      </c>
      <c r="G2111" t="str">
        <f>IFERROR(__xludf.DUMMYFUNCTION("""COMPUTED_VALUE"""),"景安2分鐘")</f>
        <v>景安2分鐘</v>
      </c>
      <c r="H2111" s="106" t="str">
        <f t="shared" si="1"/>
        <v>2025-06</v>
      </c>
      <c r="I2111" s="271" t="str">
        <f>IFERROR(__xludf.DUMMYFUNCTION("""COMPUTED_VALUE"""),"貓狗企鵝")</f>
        <v>貓狗企鵝</v>
      </c>
      <c r="J2111" t="str">
        <f>IFERROR(__xludf.DUMMYFUNCTION("IFS(
  AND(REGEXMATCH(E2111, ""台銀籌備帳戶|玉山帳戶""), REGEXMATCH(C2111, ""薪資"")), ""分潤支出"",
  AND(REGEXMATCH(E2111, ""Ben帳戶|Elsa帳戶|Ben代墊|Ariel代墊|中信銀行共用""), REGEXMATCH(F2111, ""Ben帳戶|Elsa帳戶|Ben代墊|Ariel代墊|中信銀行共用"")), ""內部轉帳(忽略)"",
  AND(E2111&lt;&gt;"""", F2111&lt;&gt;"""", N"&amp;"OT(REGEXMATCH(C2111, ""薪資""))), ""內部轉帳(忽略)"",
  REGEXMATCH(C2111, ""薪資""), ""薪資變動(不計入)"",
  REGEXMATCH(C2111, ""押金""), ""押金往來"",
  AND(E2111&lt;&gt;"""", F2111=""""), ""真實支出"",
  AND(E2111="""", F2111&lt;&gt;""""), ""真實收入"",
  TRUE, ""其他""
)"),"真實支出")</f>
        <v>真實支出</v>
      </c>
      <c r="K2111" s="270">
        <f t="shared" si="2"/>
        <v>-12500</v>
      </c>
      <c r="L2111">
        <f t="shared" si="3"/>
        <v>0</v>
      </c>
    </row>
    <row r="2112">
      <c r="A2112" s="107">
        <f>IFERROR(__xludf.DUMMYFUNCTION("""COMPUTED_VALUE"""),45823.0)</f>
        <v>45823</v>
      </c>
      <c r="B2112" t="str">
        <f>IFERROR(__xludf.DUMMYFUNCTION("""COMPUTED_VALUE"""),"費用 - 匯費 對方行:822 後五碼:06708 (行號: 11)")</f>
        <v>費用 - 匯費 對方行:822 後五碼:06708 (行號: 11)</v>
      </c>
      <c r="C2112" t="str">
        <f>IFERROR(__xludf.DUMMYFUNCTION("""COMPUTED_VALUE"""),"費用 - 匯費")</f>
        <v>費用 - 匯費</v>
      </c>
      <c r="D2112" s="270">
        <f>IFERROR(__xludf.DUMMYFUNCTION("""COMPUTED_VALUE"""),-15.0)</f>
        <v>-15</v>
      </c>
      <c r="E2112" t="str">
        <f>IFERROR(__xludf.DUMMYFUNCTION("""COMPUTED_VALUE"""),"台銀籌備帳戶")</f>
        <v>台銀籌備帳戶</v>
      </c>
      <c r="H2112" s="106" t="str">
        <f t="shared" si="1"/>
        <v>2025-06</v>
      </c>
      <c r="I2112" s="271" t="str">
        <f>IFERROR(__xludf.DUMMYFUNCTION("""COMPUTED_VALUE"""),"貓狗企鵝")</f>
        <v>貓狗企鵝</v>
      </c>
      <c r="J2112" t="str">
        <f>IFERROR(__xludf.DUMMYFUNCTION("IFS(
  AND(REGEXMATCH(E2112, ""台銀籌備帳戶|玉山帳戶""), REGEXMATCH(C2112, ""薪資"")), ""分潤支出"",
  AND(REGEXMATCH(E2112, ""Ben帳戶|Elsa帳戶|Ben代墊|Ariel代墊|中信銀行共用""), REGEXMATCH(F2112, ""Ben帳戶|Elsa帳戶|Ben代墊|Ariel代墊|中信銀行共用"")), ""內部轉帳(忽略)"",
  AND(E2112&lt;&gt;"""", F2112&lt;&gt;"""", N"&amp;"OT(REGEXMATCH(C2112, ""薪資""))), ""內部轉帳(忽略)"",
  REGEXMATCH(C2112, ""薪資""), ""薪資變動(不計入)"",
  REGEXMATCH(C2112, ""押金""), ""押金往來"",
  AND(E2112&lt;&gt;"""", F2112=""""), ""真實支出"",
  AND(E2112="""", F2112&lt;&gt;""""), ""真實收入"",
  TRUE, ""其他""
)"),"真實支出")</f>
        <v>真實支出</v>
      </c>
      <c r="K2112" s="270">
        <f t="shared" si="2"/>
        <v>-15</v>
      </c>
      <c r="L2112">
        <f t="shared" si="3"/>
        <v>0</v>
      </c>
    </row>
    <row r="2113">
      <c r="A2113" s="107">
        <f>IFERROR(__xludf.DUMMYFUNCTION("""COMPUTED_VALUE"""),45823.0)</f>
        <v>45823</v>
      </c>
      <c r="B2113" t="str">
        <f>IFERROR(__xludf.DUMMYFUNCTION("""COMPUTED_VALUE"""),"[金龍帽子先生] [郭娟伶] 大租金")</f>
        <v>[金龍帽子先生] [郭娟伶] 大租金</v>
      </c>
      <c r="C2113" t="str">
        <f>IFERROR(__xludf.DUMMYFUNCTION("""COMPUTED_VALUE"""),"成本 - 大租金")</f>
        <v>成本 - 大租金</v>
      </c>
      <c r="D2113" s="270">
        <f>IFERROR(__xludf.DUMMYFUNCTION("""COMPUTED_VALUE"""),-17750.0)</f>
        <v>-17750</v>
      </c>
      <c r="E2113" t="str">
        <f>IFERROR(__xludf.DUMMYFUNCTION("""COMPUTED_VALUE"""),"台銀籌備帳戶")</f>
        <v>台銀籌備帳戶</v>
      </c>
      <c r="G2113" t="str">
        <f>IFERROR(__xludf.DUMMYFUNCTION("""COMPUTED_VALUE"""),"金龍帽子先生")</f>
        <v>金龍帽子先生</v>
      </c>
      <c r="H2113" s="106" t="str">
        <f t="shared" si="1"/>
        <v>2025-06</v>
      </c>
      <c r="I2113" s="271" t="str">
        <f>IFERROR(__xludf.DUMMYFUNCTION("""COMPUTED_VALUE"""),"貓狗企鵝")</f>
        <v>貓狗企鵝</v>
      </c>
      <c r="J2113" t="str">
        <f>IFERROR(__xludf.DUMMYFUNCTION("IFS(
  AND(REGEXMATCH(E2113, ""台銀籌備帳戶|玉山帳戶""), REGEXMATCH(C2113, ""薪資"")), ""分潤支出"",
  AND(REGEXMATCH(E2113, ""Ben帳戶|Elsa帳戶|Ben代墊|Ariel代墊|中信銀行共用""), REGEXMATCH(F2113, ""Ben帳戶|Elsa帳戶|Ben代墊|Ariel代墊|中信銀行共用"")), ""內部轉帳(忽略)"",
  AND(E2113&lt;&gt;"""", F2113&lt;&gt;"""", N"&amp;"OT(REGEXMATCH(C2113, ""薪資""))), ""內部轉帳(忽略)"",
  REGEXMATCH(C2113, ""薪資""), ""薪資變動(不計入)"",
  REGEXMATCH(C2113, ""押金""), ""押金往來"",
  AND(E2113&lt;&gt;"""", F2113=""""), ""真實支出"",
  AND(E2113="""", F2113&lt;&gt;""""), ""真實收入"",
  TRUE, ""其他""
)"),"真實支出")</f>
        <v>真實支出</v>
      </c>
      <c r="K2113" s="270">
        <f t="shared" si="2"/>
        <v>-17750</v>
      </c>
      <c r="L2113">
        <f t="shared" si="3"/>
        <v>0</v>
      </c>
    </row>
    <row r="2114">
      <c r="A2114" s="107">
        <f>IFERROR(__xludf.DUMMYFUNCTION("""COMPUTED_VALUE"""),45823.0)</f>
        <v>45823</v>
      </c>
      <c r="B2114" t="str">
        <f>IFERROR(__xludf.DUMMYFUNCTION("""COMPUTED_VALUE"""),"費用 - 匯費 對方行:053 後五碼:05202 (行號: 12)")</f>
        <v>費用 - 匯費 對方行:053 後五碼:05202 (行號: 12)</v>
      </c>
      <c r="C2114" t="str">
        <f>IFERROR(__xludf.DUMMYFUNCTION("""COMPUTED_VALUE"""),"費用 - 匯費")</f>
        <v>費用 - 匯費</v>
      </c>
      <c r="D2114" s="270">
        <f>IFERROR(__xludf.DUMMYFUNCTION("""COMPUTED_VALUE"""),-15.0)</f>
        <v>-15</v>
      </c>
      <c r="E2114" t="str">
        <f>IFERROR(__xludf.DUMMYFUNCTION("""COMPUTED_VALUE"""),"台銀籌備帳戶")</f>
        <v>台銀籌備帳戶</v>
      </c>
      <c r="H2114" s="106" t="str">
        <f t="shared" si="1"/>
        <v>2025-06</v>
      </c>
      <c r="I2114" s="271" t="str">
        <f>IFERROR(__xludf.DUMMYFUNCTION("""COMPUTED_VALUE"""),"貓狗企鵝")</f>
        <v>貓狗企鵝</v>
      </c>
      <c r="J2114" t="str">
        <f>IFERROR(__xludf.DUMMYFUNCTION("IFS(
  AND(REGEXMATCH(E2114, ""台銀籌備帳戶|玉山帳戶""), REGEXMATCH(C2114, ""薪資"")), ""分潤支出"",
  AND(REGEXMATCH(E2114, ""Ben帳戶|Elsa帳戶|Ben代墊|Ariel代墊|中信銀行共用""), REGEXMATCH(F2114, ""Ben帳戶|Elsa帳戶|Ben代墊|Ariel代墊|中信銀行共用"")), ""內部轉帳(忽略)"",
  AND(E2114&lt;&gt;"""", F2114&lt;&gt;"""", N"&amp;"OT(REGEXMATCH(C2114, ""薪資""))), ""內部轉帳(忽略)"",
  REGEXMATCH(C2114, ""薪資""), ""薪資變動(不計入)"",
  REGEXMATCH(C2114, ""押金""), ""押金往來"",
  AND(E2114&lt;&gt;"""", F2114=""""), ""真實支出"",
  AND(E2114="""", F2114&lt;&gt;""""), ""真實收入"",
  TRUE, ""其他""
)"),"真實支出")</f>
        <v>真實支出</v>
      </c>
      <c r="K2114" s="270">
        <f t="shared" si="2"/>
        <v>-15</v>
      </c>
      <c r="L2114">
        <f t="shared" si="3"/>
        <v>0</v>
      </c>
    </row>
    <row r="2115">
      <c r="A2115" s="107">
        <f>IFERROR(__xludf.DUMMYFUNCTION("""COMPUTED_VALUE"""),45823.0)</f>
        <v>45823</v>
      </c>
      <c r="B2115" t="str">
        <f>IFERROR(__xludf.DUMMYFUNCTION("""COMPUTED_VALUE"""),"[大湖山莊] [陳彩霞] 大租金")</f>
        <v>[大湖山莊] [陳彩霞] 大租金</v>
      </c>
      <c r="C2115" t="str">
        <f>IFERROR(__xludf.DUMMYFUNCTION("""COMPUTED_VALUE"""),"成本 - 大租金")</f>
        <v>成本 - 大租金</v>
      </c>
      <c r="D2115" s="270">
        <f>IFERROR(__xludf.DUMMYFUNCTION("""COMPUTED_VALUE"""),-19400.0)</f>
        <v>-19400</v>
      </c>
      <c r="E2115" t="str">
        <f>IFERROR(__xludf.DUMMYFUNCTION("""COMPUTED_VALUE"""),"台銀籌備帳戶")</f>
        <v>台銀籌備帳戶</v>
      </c>
      <c r="G2115" t="str">
        <f>IFERROR(__xludf.DUMMYFUNCTION("""COMPUTED_VALUE"""),"大湖山莊")</f>
        <v>大湖山莊</v>
      </c>
      <c r="H2115" s="106" t="str">
        <f t="shared" si="1"/>
        <v>2025-06</v>
      </c>
      <c r="I2115" s="271" t="str">
        <f>IFERROR(__xludf.DUMMYFUNCTION("""COMPUTED_VALUE"""),"貓狗企鵝")</f>
        <v>貓狗企鵝</v>
      </c>
      <c r="J2115" t="str">
        <f>IFERROR(__xludf.DUMMYFUNCTION("IFS(
  AND(REGEXMATCH(E2115, ""台銀籌備帳戶|玉山帳戶""), REGEXMATCH(C2115, ""薪資"")), ""分潤支出"",
  AND(REGEXMATCH(E2115, ""Ben帳戶|Elsa帳戶|Ben代墊|Ariel代墊|中信銀行共用""), REGEXMATCH(F2115, ""Ben帳戶|Elsa帳戶|Ben代墊|Ariel代墊|中信銀行共用"")), ""內部轉帳(忽略)"",
  AND(E2115&lt;&gt;"""", F2115&lt;&gt;"""", N"&amp;"OT(REGEXMATCH(C2115, ""薪資""))), ""內部轉帳(忽略)"",
  REGEXMATCH(C2115, ""薪資""), ""薪資變動(不計入)"",
  REGEXMATCH(C2115, ""押金""), ""押金往來"",
  AND(E2115&lt;&gt;"""", F2115=""""), ""真實支出"",
  AND(E2115="""", F2115&lt;&gt;""""), ""真實收入"",
  TRUE, ""其他""
)"),"真實支出")</f>
        <v>真實支出</v>
      </c>
      <c r="K2115" s="270">
        <f t="shared" si="2"/>
        <v>-19400</v>
      </c>
      <c r="L2115">
        <f t="shared" si="3"/>
        <v>0</v>
      </c>
    </row>
    <row r="2116">
      <c r="A2116" s="107">
        <f>IFERROR(__xludf.DUMMYFUNCTION("""COMPUTED_VALUE"""),45823.0)</f>
        <v>45823</v>
      </c>
      <c r="B2116" t="str">
        <f>IFERROR(__xludf.DUMMYFUNCTION("""COMPUTED_VALUE"""),"費用 - 匯費 對方行:807 後五碼:06659 (行號: 13)")</f>
        <v>費用 - 匯費 對方行:807 後五碼:06659 (行號: 13)</v>
      </c>
      <c r="C2116" t="str">
        <f>IFERROR(__xludf.DUMMYFUNCTION("""COMPUTED_VALUE"""),"費用 - 匯費")</f>
        <v>費用 - 匯費</v>
      </c>
      <c r="D2116" s="270">
        <f>IFERROR(__xludf.DUMMYFUNCTION("""COMPUTED_VALUE"""),-15.0)</f>
        <v>-15</v>
      </c>
      <c r="E2116" t="str">
        <f>IFERROR(__xludf.DUMMYFUNCTION("""COMPUTED_VALUE"""),"台銀籌備帳戶")</f>
        <v>台銀籌備帳戶</v>
      </c>
      <c r="H2116" s="106" t="str">
        <f t="shared" si="1"/>
        <v>2025-06</v>
      </c>
      <c r="I2116" s="271" t="str">
        <f>IFERROR(__xludf.DUMMYFUNCTION("""COMPUTED_VALUE"""),"貓狗企鵝")</f>
        <v>貓狗企鵝</v>
      </c>
      <c r="J2116" t="str">
        <f>IFERROR(__xludf.DUMMYFUNCTION("IFS(
  AND(REGEXMATCH(E2116, ""台銀籌備帳戶|玉山帳戶""), REGEXMATCH(C2116, ""薪資"")), ""分潤支出"",
  AND(REGEXMATCH(E2116, ""Ben帳戶|Elsa帳戶|Ben代墊|Ariel代墊|中信銀行共用""), REGEXMATCH(F2116, ""Ben帳戶|Elsa帳戶|Ben代墊|Ariel代墊|中信銀行共用"")), ""內部轉帳(忽略)"",
  AND(E2116&lt;&gt;"""", F2116&lt;&gt;"""", N"&amp;"OT(REGEXMATCH(C2116, ""薪資""))), ""內部轉帳(忽略)"",
  REGEXMATCH(C2116, ""薪資""), ""薪資變動(不計入)"",
  REGEXMATCH(C2116, ""押金""), ""押金往來"",
  AND(E2116&lt;&gt;"""", F2116=""""), ""真實支出"",
  AND(E2116="""", F2116&lt;&gt;""""), ""真實收入"",
  TRUE, ""其他""
)"),"真實支出")</f>
        <v>真實支出</v>
      </c>
      <c r="K2116" s="270">
        <f t="shared" si="2"/>
        <v>-15</v>
      </c>
      <c r="L2116">
        <f t="shared" si="3"/>
        <v>0</v>
      </c>
    </row>
    <row r="2117">
      <c r="A2117" s="107">
        <f>IFERROR(__xludf.DUMMYFUNCTION("""COMPUTED_VALUE"""),45823.0)</f>
        <v>45823</v>
      </c>
      <c r="B2117" t="str">
        <f>IFERROR(__xludf.DUMMYFUNCTION("""COMPUTED_VALUE"""),"[哈拉對面] [陳哲聰] 大租金")</f>
        <v>[哈拉對面] [陳哲聰] 大租金</v>
      </c>
      <c r="C2117" t="str">
        <f>IFERROR(__xludf.DUMMYFUNCTION("""COMPUTED_VALUE"""),"成本 - 大租金")</f>
        <v>成本 - 大租金</v>
      </c>
      <c r="D2117" s="270">
        <f>IFERROR(__xludf.DUMMYFUNCTION("""COMPUTED_VALUE"""),-13000.0)</f>
        <v>-13000</v>
      </c>
      <c r="E2117" t="str">
        <f>IFERROR(__xludf.DUMMYFUNCTION("""COMPUTED_VALUE"""),"台銀籌備帳戶")</f>
        <v>台銀籌備帳戶</v>
      </c>
      <c r="G2117" t="str">
        <f>IFERROR(__xludf.DUMMYFUNCTION("""COMPUTED_VALUE"""),"哈拉對面")</f>
        <v>哈拉對面</v>
      </c>
      <c r="H2117" s="106" t="str">
        <f t="shared" si="1"/>
        <v>2025-06</v>
      </c>
      <c r="I2117" s="271" t="str">
        <f>IFERROR(__xludf.DUMMYFUNCTION("""COMPUTED_VALUE"""),"貓狗企鵝")</f>
        <v>貓狗企鵝</v>
      </c>
      <c r="J2117" t="str">
        <f>IFERROR(__xludf.DUMMYFUNCTION("IFS(
  AND(REGEXMATCH(E2117, ""台銀籌備帳戶|玉山帳戶""), REGEXMATCH(C2117, ""薪資"")), ""分潤支出"",
  AND(REGEXMATCH(E2117, ""Ben帳戶|Elsa帳戶|Ben代墊|Ariel代墊|中信銀行共用""), REGEXMATCH(F2117, ""Ben帳戶|Elsa帳戶|Ben代墊|Ariel代墊|中信銀行共用"")), ""內部轉帳(忽略)"",
  AND(E2117&lt;&gt;"""", F2117&lt;&gt;"""", N"&amp;"OT(REGEXMATCH(C2117, ""薪資""))), ""內部轉帳(忽略)"",
  REGEXMATCH(C2117, ""薪資""), ""薪資變動(不計入)"",
  REGEXMATCH(C2117, ""押金""), ""押金往來"",
  AND(E2117&lt;&gt;"""", F2117=""""), ""真實支出"",
  AND(E2117="""", F2117&lt;&gt;""""), ""真實收入"",
  TRUE, ""其他""
)"),"真實支出")</f>
        <v>真實支出</v>
      </c>
      <c r="K2117" s="270">
        <f t="shared" si="2"/>
        <v>-13000</v>
      </c>
      <c r="L2117">
        <f t="shared" si="3"/>
        <v>0</v>
      </c>
    </row>
    <row r="2118">
      <c r="A2118" s="107">
        <f>IFERROR(__xludf.DUMMYFUNCTION("""COMPUTED_VALUE"""),45823.0)</f>
        <v>45823</v>
      </c>
      <c r="B2118" t="str">
        <f>IFERROR(__xludf.DUMMYFUNCTION("""COMPUTED_VALUE"""),"費用 - 匯費 對方行:700 後五碼:92128 (行號: 14)")</f>
        <v>費用 - 匯費 對方行:700 後五碼:92128 (行號: 14)</v>
      </c>
      <c r="C2118" t="str">
        <f>IFERROR(__xludf.DUMMYFUNCTION("""COMPUTED_VALUE"""),"費用 - 匯費")</f>
        <v>費用 - 匯費</v>
      </c>
      <c r="D2118" s="270">
        <f>IFERROR(__xludf.DUMMYFUNCTION("""COMPUTED_VALUE"""),-15.0)</f>
        <v>-15</v>
      </c>
      <c r="E2118" t="str">
        <f>IFERROR(__xludf.DUMMYFUNCTION("""COMPUTED_VALUE"""),"台銀籌備帳戶")</f>
        <v>台銀籌備帳戶</v>
      </c>
      <c r="H2118" s="106" t="str">
        <f t="shared" si="1"/>
        <v>2025-06</v>
      </c>
      <c r="I2118" s="271" t="str">
        <f>IFERROR(__xludf.DUMMYFUNCTION("""COMPUTED_VALUE"""),"貓狗企鵝")</f>
        <v>貓狗企鵝</v>
      </c>
      <c r="J2118" t="str">
        <f>IFERROR(__xludf.DUMMYFUNCTION("IFS(
  AND(REGEXMATCH(E2118, ""台銀籌備帳戶|玉山帳戶""), REGEXMATCH(C2118, ""薪資"")), ""分潤支出"",
  AND(REGEXMATCH(E2118, ""Ben帳戶|Elsa帳戶|Ben代墊|Ariel代墊|中信銀行共用""), REGEXMATCH(F2118, ""Ben帳戶|Elsa帳戶|Ben代墊|Ariel代墊|中信銀行共用"")), ""內部轉帳(忽略)"",
  AND(E2118&lt;&gt;"""", F2118&lt;&gt;"""", N"&amp;"OT(REGEXMATCH(C2118, ""薪資""))), ""內部轉帳(忽略)"",
  REGEXMATCH(C2118, ""薪資""), ""薪資變動(不計入)"",
  REGEXMATCH(C2118, ""押金""), ""押金往來"",
  AND(E2118&lt;&gt;"""", F2118=""""), ""真實支出"",
  AND(E2118="""", F2118&lt;&gt;""""), ""真實收入"",
  TRUE, ""其他""
)"),"真實支出")</f>
        <v>真實支出</v>
      </c>
      <c r="K2118" s="270">
        <f t="shared" si="2"/>
        <v>-15</v>
      </c>
      <c r="L2118">
        <f t="shared" si="3"/>
        <v>0</v>
      </c>
    </row>
    <row r="2119">
      <c r="A2119" s="107">
        <f>IFERROR(__xludf.DUMMYFUNCTION("""COMPUTED_VALUE"""),45823.0)</f>
        <v>45823</v>
      </c>
      <c r="B2119" t="str">
        <f>IFERROR(__xludf.DUMMYFUNCTION("""COMPUTED_VALUE"""),"[北醫醫師府] [陳俊良] 大租金")</f>
        <v>[北醫醫師府] [陳俊良] 大租金</v>
      </c>
      <c r="C2119" t="str">
        <f>IFERROR(__xludf.DUMMYFUNCTION("""COMPUTED_VALUE"""),"成本 - 大租金")</f>
        <v>成本 - 大租金</v>
      </c>
      <c r="D2119" s="270">
        <f>IFERROR(__xludf.DUMMYFUNCTION("""COMPUTED_VALUE"""),-12800.0)</f>
        <v>-12800</v>
      </c>
      <c r="E2119" t="str">
        <f>IFERROR(__xludf.DUMMYFUNCTION("""COMPUTED_VALUE"""),"台銀籌備帳戶")</f>
        <v>台銀籌備帳戶</v>
      </c>
      <c r="G2119" t="str">
        <f>IFERROR(__xludf.DUMMYFUNCTION("""COMPUTED_VALUE"""),"北醫醫師府")</f>
        <v>北醫醫師府</v>
      </c>
      <c r="H2119" s="106" t="str">
        <f t="shared" si="1"/>
        <v>2025-06</v>
      </c>
      <c r="I2119" s="271" t="str">
        <f>IFERROR(__xludf.DUMMYFUNCTION("""COMPUTED_VALUE"""),"貓狗企鵝")</f>
        <v>貓狗企鵝</v>
      </c>
      <c r="J2119" t="str">
        <f>IFERROR(__xludf.DUMMYFUNCTION("IFS(
  AND(REGEXMATCH(E2119, ""台銀籌備帳戶|玉山帳戶""), REGEXMATCH(C2119, ""薪資"")), ""分潤支出"",
  AND(REGEXMATCH(E2119, ""Ben帳戶|Elsa帳戶|Ben代墊|Ariel代墊|中信銀行共用""), REGEXMATCH(F2119, ""Ben帳戶|Elsa帳戶|Ben代墊|Ariel代墊|中信銀行共用"")), ""內部轉帳(忽略)"",
  AND(E2119&lt;&gt;"""", F2119&lt;&gt;"""", N"&amp;"OT(REGEXMATCH(C2119, ""薪資""))), ""內部轉帳(忽略)"",
  REGEXMATCH(C2119, ""薪資""), ""薪資變動(不計入)"",
  REGEXMATCH(C2119, ""押金""), ""押金往來"",
  AND(E2119&lt;&gt;"""", F2119=""""), ""真實支出"",
  AND(E2119="""", F2119&lt;&gt;""""), ""真實收入"",
  TRUE, ""其他""
)"),"真實支出")</f>
        <v>真實支出</v>
      </c>
      <c r="K2119" s="270">
        <f t="shared" si="2"/>
        <v>-12800</v>
      </c>
      <c r="L2119">
        <f t="shared" si="3"/>
        <v>0</v>
      </c>
    </row>
    <row r="2120">
      <c r="A2120" s="107">
        <f>IFERROR(__xludf.DUMMYFUNCTION("""COMPUTED_VALUE"""),45823.0)</f>
        <v>45823</v>
      </c>
      <c r="B2120" t="str">
        <f>IFERROR(__xludf.DUMMYFUNCTION("""COMPUTED_VALUE"""),"費用 - 匯費 對方行:013 後五碼:43662 (行號: 15)")</f>
        <v>費用 - 匯費 對方行:013 後五碼:43662 (行號: 15)</v>
      </c>
      <c r="C2120" t="str">
        <f>IFERROR(__xludf.DUMMYFUNCTION("""COMPUTED_VALUE"""),"費用 - 匯費")</f>
        <v>費用 - 匯費</v>
      </c>
      <c r="D2120" s="270">
        <f>IFERROR(__xludf.DUMMYFUNCTION("""COMPUTED_VALUE"""),-15.0)</f>
        <v>-15</v>
      </c>
      <c r="E2120" t="str">
        <f>IFERROR(__xludf.DUMMYFUNCTION("""COMPUTED_VALUE"""),"台銀籌備帳戶")</f>
        <v>台銀籌備帳戶</v>
      </c>
      <c r="H2120" s="106" t="str">
        <f t="shared" si="1"/>
        <v>2025-06</v>
      </c>
      <c r="I2120" s="271" t="str">
        <f>IFERROR(__xludf.DUMMYFUNCTION("""COMPUTED_VALUE"""),"貓狗企鵝")</f>
        <v>貓狗企鵝</v>
      </c>
      <c r="J2120" t="str">
        <f>IFERROR(__xludf.DUMMYFUNCTION("IFS(
  AND(REGEXMATCH(E2120, ""台銀籌備帳戶|玉山帳戶""), REGEXMATCH(C2120, ""薪資"")), ""分潤支出"",
  AND(REGEXMATCH(E2120, ""Ben帳戶|Elsa帳戶|Ben代墊|Ariel代墊|中信銀行共用""), REGEXMATCH(F2120, ""Ben帳戶|Elsa帳戶|Ben代墊|Ariel代墊|中信銀行共用"")), ""內部轉帳(忽略)"",
  AND(E2120&lt;&gt;"""", F2120&lt;&gt;"""", N"&amp;"OT(REGEXMATCH(C2120, ""薪資""))), ""內部轉帳(忽略)"",
  REGEXMATCH(C2120, ""薪資""), ""薪資變動(不計入)"",
  REGEXMATCH(C2120, ""押金""), ""押金往來"",
  AND(E2120&lt;&gt;"""", F2120=""""), ""真實支出"",
  AND(E2120="""", F2120&lt;&gt;""""), ""真實收入"",
  TRUE, ""其他""
)"),"真實支出")</f>
        <v>真實支出</v>
      </c>
      <c r="K2120" s="270">
        <f t="shared" si="2"/>
        <v>-15</v>
      </c>
      <c r="L2120">
        <f t="shared" si="3"/>
        <v>0</v>
      </c>
    </row>
    <row r="2121">
      <c r="A2121" s="107">
        <f>IFERROR(__xludf.DUMMYFUNCTION("""COMPUTED_VALUE"""),45823.0)</f>
        <v>45823</v>
      </c>
      <c r="B2121" t="str">
        <f>IFERROR(__xludf.DUMMYFUNCTION("""COMPUTED_VALUE"""),"[中山北娘家旁] [方彥捷] 大租金")</f>
        <v>[中山北娘家旁] [方彥捷] 大租金</v>
      </c>
      <c r="C2121" t="str">
        <f>IFERROR(__xludf.DUMMYFUNCTION("""COMPUTED_VALUE"""),"成本 - 大租金")</f>
        <v>成本 - 大租金</v>
      </c>
      <c r="D2121" s="270">
        <f>IFERROR(__xludf.DUMMYFUNCTION("""COMPUTED_VALUE"""),-11500.0)</f>
        <v>-11500</v>
      </c>
      <c r="E2121" t="str">
        <f>IFERROR(__xludf.DUMMYFUNCTION("""COMPUTED_VALUE"""),"台銀籌備帳戶")</f>
        <v>台銀籌備帳戶</v>
      </c>
      <c r="G2121" t="str">
        <f>IFERROR(__xludf.DUMMYFUNCTION("""COMPUTED_VALUE"""),"中山北娘家旁")</f>
        <v>中山北娘家旁</v>
      </c>
      <c r="H2121" s="106" t="str">
        <f t="shared" si="1"/>
        <v>2025-06</v>
      </c>
      <c r="I2121" s="271" t="str">
        <f>IFERROR(__xludf.DUMMYFUNCTION("""COMPUTED_VALUE"""),"貓狗企鵝")</f>
        <v>貓狗企鵝</v>
      </c>
      <c r="J2121" t="str">
        <f>IFERROR(__xludf.DUMMYFUNCTION("IFS(
  AND(REGEXMATCH(E2121, ""台銀籌備帳戶|玉山帳戶""), REGEXMATCH(C2121, ""薪資"")), ""分潤支出"",
  AND(REGEXMATCH(E2121, ""Ben帳戶|Elsa帳戶|Ben代墊|Ariel代墊|中信銀行共用""), REGEXMATCH(F2121, ""Ben帳戶|Elsa帳戶|Ben代墊|Ariel代墊|中信銀行共用"")), ""內部轉帳(忽略)"",
  AND(E2121&lt;&gt;"""", F2121&lt;&gt;"""", N"&amp;"OT(REGEXMATCH(C2121, ""薪資""))), ""內部轉帳(忽略)"",
  REGEXMATCH(C2121, ""薪資""), ""薪資變動(不計入)"",
  REGEXMATCH(C2121, ""押金""), ""押金往來"",
  AND(E2121&lt;&gt;"""", F2121=""""), ""真實支出"",
  AND(E2121="""", F2121&lt;&gt;""""), ""真實收入"",
  TRUE, ""其他""
)"),"真實支出")</f>
        <v>真實支出</v>
      </c>
      <c r="K2121" s="270">
        <f t="shared" si="2"/>
        <v>-11500</v>
      </c>
      <c r="L2121">
        <f t="shared" si="3"/>
        <v>0</v>
      </c>
    </row>
    <row r="2122">
      <c r="A2122" s="107">
        <f>IFERROR(__xludf.DUMMYFUNCTION("""COMPUTED_VALUE"""),45823.0)</f>
        <v>45823</v>
      </c>
      <c r="B2122" t="str">
        <f>IFERROR(__xludf.DUMMYFUNCTION("""COMPUTED_VALUE"""),"費用 - 匯費 對方行:118 後五碼:71859 (行號: 16)")</f>
        <v>費用 - 匯費 對方行:118 後五碼:71859 (行號: 16)</v>
      </c>
      <c r="C2122" t="str">
        <f>IFERROR(__xludf.DUMMYFUNCTION("""COMPUTED_VALUE"""),"費用 - 匯費")</f>
        <v>費用 - 匯費</v>
      </c>
      <c r="D2122" s="270">
        <f>IFERROR(__xludf.DUMMYFUNCTION("""COMPUTED_VALUE"""),-15.0)</f>
        <v>-15</v>
      </c>
      <c r="E2122" t="str">
        <f>IFERROR(__xludf.DUMMYFUNCTION("""COMPUTED_VALUE"""),"台銀籌備帳戶")</f>
        <v>台銀籌備帳戶</v>
      </c>
      <c r="H2122" s="106" t="str">
        <f t="shared" si="1"/>
        <v>2025-06</v>
      </c>
      <c r="I2122" s="271" t="str">
        <f>IFERROR(__xludf.DUMMYFUNCTION("""COMPUTED_VALUE"""),"貓狗企鵝")</f>
        <v>貓狗企鵝</v>
      </c>
      <c r="J2122" t="str">
        <f>IFERROR(__xludf.DUMMYFUNCTION("IFS(
  AND(REGEXMATCH(E2122, ""台銀籌備帳戶|玉山帳戶""), REGEXMATCH(C2122, ""薪資"")), ""分潤支出"",
  AND(REGEXMATCH(E2122, ""Ben帳戶|Elsa帳戶|Ben代墊|Ariel代墊|中信銀行共用""), REGEXMATCH(F2122, ""Ben帳戶|Elsa帳戶|Ben代墊|Ariel代墊|中信銀行共用"")), ""內部轉帳(忽略)"",
  AND(E2122&lt;&gt;"""", F2122&lt;&gt;"""", N"&amp;"OT(REGEXMATCH(C2122, ""薪資""))), ""內部轉帳(忽略)"",
  REGEXMATCH(C2122, ""薪資""), ""薪資變動(不計入)"",
  REGEXMATCH(C2122, ""押金""), ""押金往來"",
  AND(E2122&lt;&gt;"""", F2122=""""), ""真實支出"",
  AND(E2122="""", F2122&lt;&gt;""""), ""真實收入"",
  TRUE, ""其他""
)"),"真實支出")</f>
        <v>真實支出</v>
      </c>
      <c r="K2122" s="270">
        <f t="shared" si="2"/>
        <v>-15</v>
      </c>
      <c r="L2122">
        <f t="shared" si="3"/>
        <v>0</v>
      </c>
    </row>
    <row r="2123">
      <c r="A2123" s="107">
        <f>IFERROR(__xludf.DUMMYFUNCTION("""COMPUTED_VALUE"""),45823.0)</f>
        <v>45823</v>
      </c>
      <c r="B2123" t="str">
        <f>IFERROR(__xludf.DUMMYFUNCTION("""COMPUTED_VALUE"""),"書香民生小玉搬運          ' 【未分類支出】")</f>
        <v>書香民生小玉搬運          ' 【未分類支出】</v>
      </c>
      <c r="C2123" t="str">
        <f>IFERROR(__xludf.DUMMYFUNCTION("""COMPUTED_VALUE"""),"成本 - 進場前裝潢費")</f>
        <v>成本 - 進場前裝潢費</v>
      </c>
      <c r="D2123" s="270">
        <f>IFERROR(__xludf.DUMMYFUNCTION("""COMPUTED_VALUE"""),-2730.0)</f>
        <v>-2730</v>
      </c>
      <c r="E2123" t="str">
        <f>IFERROR(__xludf.DUMMYFUNCTION("""COMPUTED_VALUE"""),"台銀籌備帳戶")</f>
        <v>台銀籌備帳戶</v>
      </c>
      <c r="G2123" t="str">
        <f>IFERROR(__xludf.DUMMYFUNCTION("""COMPUTED_VALUE"""),"書香民生")</f>
        <v>書香民生</v>
      </c>
      <c r="H2123" s="106" t="str">
        <f t="shared" si="1"/>
        <v>2025-06</v>
      </c>
      <c r="I2123" s="271" t="str">
        <f>IFERROR(__xludf.DUMMYFUNCTION("""COMPUTED_VALUE"""),"貓狗企鵝")</f>
        <v>貓狗企鵝</v>
      </c>
      <c r="J2123" t="str">
        <f>IFERROR(__xludf.DUMMYFUNCTION("IFS(
  AND(REGEXMATCH(E2123, ""台銀籌備帳戶|玉山帳戶""), REGEXMATCH(C2123, ""薪資"")), ""分潤支出"",
  AND(REGEXMATCH(E2123, ""Ben帳戶|Elsa帳戶|Ben代墊|Ariel代墊|中信銀行共用""), REGEXMATCH(F2123, ""Ben帳戶|Elsa帳戶|Ben代墊|Ariel代墊|中信銀行共用"")), ""內部轉帳(忽略)"",
  AND(E2123&lt;&gt;"""", F2123&lt;&gt;"""", N"&amp;"OT(REGEXMATCH(C2123, ""薪資""))), ""內部轉帳(忽略)"",
  REGEXMATCH(C2123, ""薪資""), ""薪資變動(不計入)"",
  REGEXMATCH(C2123, ""押金""), ""押金往來"",
  AND(E2123&lt;&gt;"""", F2123=""""), ""真實支出"",
  AND(E2123="""", F2123&lt;&gt;""""), ""真實收入"",
  TRUE, ""其他""
)"),"真實支出")</f>
        <v>真實支出</v>
      </c>
      <c r="K2123" s="270">
        <f t="shared" si="2"/>
        <v>-2730</v>
      </c>
      <c r="L2123">
        <f t="shared" si="3"/>
        <v>0</v>
      </c>
    </row>
    <row r="2124">
      <c r="A2124" s="107">
        <f>IFERROR(__xludf.DUMMYFUNCTION("""COMPUTED_VALUE"""),45823.0)</f>
        <v>45823</v>
      </c>
      <c r="B2124" t="str">
        <f>IFERROR(__xludf.DUMMYFUNCTION("""COMPUTED_VALUE"""),"費用 - 匯費 對方行:700 後五碼:70201 (行號: 17)")</f>
        <v>費用 - 匯費 對方行:700 後五碼:70201 (行號: 17)</v>
      </c>
      <c r="C2124" t="str">
        <f>IFERROR(__xludf.DUMMYFUNCTION("""COMPUTED_VALUE"""),"費用 - 匯費")</f>
        <v>費用 - 匯費</v>
      </c>
      <c r="D2124" s="270">
        <f>IFERROR(__xludf.DUMMYFUNCTION("""COMPUTED_VALUE"""),-15.0)</f>
        <v>-15</v>
      </c>
      <c r="E2124" t="str">
        <f>IFERROR(__xludf.DUMMYFUNCTION("""COMPUTED_VALUE"""),"台銀籌備帳戶")</f>
        <v>台銀籌備帳戶</v>
      </c>
      <c r="H2124" s="106" t="str">
        <f t="shared" si="1"/>
        <v>2025-06</v>
      </c>
      <c r="I2124" s="271" t="str">
        <f>IFERROR(__xludf.DUMMYFUNCTION("""COMPUTED_VALUE"""),"貓狗企鵝")</f>
        <v>貓狗企鵝</v>
      </c>
      <c r="J2124" t="str">
        <f>IFERROR(__xludf.DUMMYFUNCTION("IFS(
  AND(REGEXMATCH(E2124, ""台銀籌備帳戶|玉山帳戶""), REGEXMATCH(C2124, ""薪資"")), ""分潤支出"",
  AND(REGEXMATCH(E2124, ""Ben帳戶|Elsa帳戶|Ben代墊|Ariel代墊|中信銀行共用""), REGEXMATCH(F2124, ""Ben帳戶|Elsa帳戶|Ben代墊|Ariel代墊|中信銀行共用"")), ""內部轉帳(忽略)"",
  AND(E2124&lt;&gt;"""", F2124&lt;&gt;"""", N"&amp;"OT(REGEXMATCH(C2124, ""薪資""))), ""內部轉帳(忽略)"",
  REGEXMATCH(C2124, ""薪資""), ""薪資變動(不計入)"",
  REGEXMATCH(C2124, ""押金""), ""押金往來"",
  AND(E2124&lt;&gt;"""", F2124=""""), ""真實支出"",
  AND(E2124="""", F2124&lt;&gt;""""), ""真實收入"",
  TRUE, ""其他""
)"),"真實支出")</f>
        <v>真實支出</v>
      </c>
      <c r="K2124" s="270">
        <f t="shared" si="2"/>
        <v>-15</v>
      </c>
      <c r="L2124">
        <f t="shared" si="3"/>
        <v>0</v>
      </c>
    </row>
    <row r="2125">
      <c r="A2125" s="107">
        <f>IFERROR(__xludf.DUMMYFUNCTION("""COMPUTED_VALUE"""),45823.0)</f>
        <v>45823</v>
      </c>
      <c r="B2125" t="str">
        <f>IFERROR(__xludf.DUMMYFUNCTION("""COMPUTED_VALUE"""),"書香宜佳輕隔間            ' 【未分類支出】")</f>
        <v>書香宜佳輕隔間            ' 【未分類支出】</v>
      </c>
      <c r="C2125" t="str">
        <f>IFERROR(__xludf.DUMMYFUNCTION("""COMPUTED_VALUE"""),"成本 - 進場前裝潢費")</f>
        <v>成本 - 進場前裝潢費</v>
      </c>
      <c r="D2125" s="270">
        <f>IFERROR(__xludf.DUMMYFUNCTION("""COMPUTED_VALUE"""),-102491.0)</f>
        <v>-102491</v>
      </c>
      <c r="E2125" t="str">
        <f>IFERROR(__xludf.DUMMYFUNCTION("""COMPUTED_VALUE"""),"台銀籌備帳戶")</f>
        <v>台銀籌備帳戶</v>
      </c>
      <c r="G2125" t="str">
        <f>IFERROR(__xludf.DUMMYFUNCTION("""COMPUTED_VALUE"""),"書香民生")</f>
        <v>書香民生</v>
      </c>
      <c r="H2125" s="106" t="str">
        <f t="shared" si="1"/>
        <v>2025-06</v>
      </c>
      <c r="I2125" s="271" t="str">
        <f>IFERROR(__xludf.DUMMYFUNCTION("""COMPUTED_VALUE"""),"貓狗企鵝")</f>
        <v>貓狗企鵝</v>
      </c>
      <c r="J2125" t="str">
        <f>IFERROR(__xludf.DUMMYFUNCTION("IFS(
  AND(REGEXMATCH(E2125, ""台銀籌備帳戶|玉山帳戶""), REGEXMATCH(C2125, ""薪資"")), ""分潤支出"",
  AND(REGEXMATCH(E2125, ""Ben帳戶|Elsa帳戶|Ben代墊|Ariel代墊|中信銀行共用""), REGEXMATCH(F2125, ""Ben帳戶|Elsa帳戶|Ben代墊|Ariel代墊|中信銀行共用"")), ""內部轉帳(忽略)"",
  AND(E2125&lt;&gt;"""", F2125&lt;&gt;"""", N"&amp;"OT(REGEXMATCH(C2125, ""薪資""))), ""內部轉帳(忽略)"",
  REGEXMATCH(C2125, ""薪資""), ""薪資變動(不計入)"",
  REGEXMATCH(C2125, ""押金""), ""押金往來"",
  AND(E2125&lt;&gt;"""", F2125=""""), ""真實支出"",
  AND(E2125="""", F2125&lt;&gt;""""), ""真實收入"",
  TRUE, ""其他""
)"),"真實支出")</f>
        <v>真實支出</v>
      </c>
      <c r="K2125" s="270">
        <f t="shared" si="2"/>
        <v>-102491</v>
      </c>
      <c r="L2125">
        <f t="shared" si="3"/>
        <v>0</v>
      </c>
    </row>
    <row r="2126">
      <c r="A2126" s="107">
        <f>IFERROR(__xludf.DUMMYFUNCTION("""COMPUTED_VALUE"""),45825.0)</f>
        <v>45825</v>
      </c>
      <c r="B2126" t="str">
        <f>IFERROR(__xludf.DUMMYFUNCTION("""COMPUTED_VALUE"""),"費用 - 匯費 對方行:822 後五碼:68913 (行號: 18)")</f>
        <v>費用 - 匯費 對方行:822 後五碼:68913 (行號: 18)</v>
      </c>
      <c r="C2126" t="str">
        <f>IFERROR(__xludf.DUMMYFUNCTION("""COMPUTED_VALUE"""),"費用 - 匯費")</f>
        <v>費用 - 匯費</v>
      </c>
      <c r="D2126" s="270">
        <f>IFERROR(__xludf.DUMMYFUNCTION("""COMPUTED_VALUE"""),-15.0)</f>
        <v>-15</v>
      </c>
      <c r="E2126" t="str">
        <f>IFERROR(__xludf.DUMMYFUNCTION("""COMPUTED_VALUE"""),"台銀籌備帳戶")</f>
        <v>台銀籌備帳戶</v>
      </c>
      <c r="H2126" s="106" t="str">
        <f t="shared" si="1"/>
        <v>2025-06</v>
      </c>
      <c r="I2126" s="271" t="str">
        <f>IFERROR(__xludf.DUMMYFUNCTION("""COMPUTED_VALUE"""),"貓狗企鵝")</f>
        <v>貓狗企鵝</v>
      </c>
      <c r="J2126" t="str">
        <f>IFERROR(__xludf.DUMMYFUNCTION("IFS(
  AND(REGEXMATCH(E2126, ""台銀籌備帳戶|玉山帳戶""), REGEXMATCH(C2126, ""薪資"")), ""分潤支出"",
  AND(REGEXMATCH(E2126, ""Ben帳戶|Elsa帳戶|Ben代墊|Ariel代墊|中信銀行共用""), REGEXMATCH(F2126, ""Ben帳戶|Elsa帳戶|Ben代墊|Ariel代墊|中信銀行共用"")), ""內部轉帳(忽略)"",
  AND(E2126&lt;&gt;"""", F2126&lt;&gt;"""", N"&amp;"OT(REGEXMATCH(C2126, ""薪資""))), ""內部轉帳(忽略)"",
  REGEXMATCH(C2126, ""薪資""), ""薪資變動(不計入)"",
  REGEXMATCH(C2126, ""押金""), ""押金往來"",
  AND(E2126&lt;&gt;"""", F2126=""""), ""真實支出"",
  AND(E2126="""", F2126&lt;&gt;""""), ""真實收入"",
  TRUE, ""其他""
)"),"真實支出")</f>
        <v>真實支出</v>
      </c>
      <c r="K2126" s="270">
        <f t="shared" si="2"/>
        <v>-15</v>
      </c>
      <c r="L2126">
        <f t="shared" si="3"/>
        <v>0</v>
      </c>
    </row>
    <row r="2127">
      <c r="A2127" s="107">
        <f>IFERROR(__xludf.DUMMYFUNCTION("""COMPUTED_VALUE"""),45825.0)</f>
        <v>45825</v>
      </c>
      <c r="B2127" t="str">
        <f>IFERROR(__xludf.DUMMYFUNCTION("""COMPUTED_VALUE"""),"書香民生毛毛拆除          ' 【未分類支出】")</f>
        <v>書香民生毛毛拆除          ' 【未分類支出】</v>
      </c>
      <c r="C2127" t="str">
        <f>IFERROR(__xludf.DUMMYFUNCTION("""COMPUTED_VALUE"""),"成本 - 進場前裝潢費")</f>
        <v>成本 - 進場前裝潢費</v>
      </c>
      <c r="D2127" s="270">
        <f>IFERROR(__xludf.DUMMYFUNCTION("""COMPUTED_VALUE"""),-36750.0)</f>
        <v>-36750</v>
      </c>
      <c r="E2127" t="str">
        <f>IFERROR(__xludf.DUMMYFUNCTION("""COMPUTED_VALUE"""),"台銀籌備帳戶")</f>
        <v>台銀籌備帳戶</v>
      </c>
      <c r="G2127" t="str">
        <f>IFERROR(__xludf.DUMMYFUNCTION("""COMPUTED_VALUE"""),"書香民生")</f>
        <v>書香民生</v>
      </c>
      <c r="H2127" s="106" t="str">
        <f t="shared" si="1"/>
        <v>2025-06</v>
      </c>
      <c r="I2127" s="271" t="str">
        <f>IFERROR(__xludf.DUMMYFUNCTION("""COMPUTED_VALUE"""),"貓狗企鵝")</f>
        <v>貓狗企鵝</v>
      </c>
      <c r="J2127" t="str">
        <f>IFERROR(__xludf.DUMMYFUNCTION("IFS(
  AND(REGEXMATCH(E2127, ""台銀籌備帳戶|玉山帳戶""), REGEXMATCH(C2127, ""薪資"")), ""分潤支出"",
  AND(REGEXMATCH(E2127, ""Ben帳戶|Elsa帳戶|Ben代墊|Ariel代墊|中信銀行共用""), REGEXMATCH(F2127, ""Ben帳戶|Elsa帳戶|Ben代墊|Ariel代墊|中信銀行共用"")), ""內部轉帳(忽略)"",
  AND(E2127&lt;&gt;"""", F2127&lt;&gt;"""", N"&amp;"OT(REGEXMATCH(C2127, ""薪資""))), ""內部轉帳(忽略)"",
  REGEXMATCH(C2127, ""薪資""), ""薪資變動(不計入)"",
  REGEXMATCH(C2127, ""押金""), ""押金往來"",
  AND(E2127&lt;&gt;"""", F2127=""""), ""真實支出"",
  AND(E2127="""", F2127&lt;&gt;""""), ""真實收入"",
  TRUE, ""其他""
)"),"真實支出")</f>
        <v>真實支出</v>
      </c>
      <c r="K2127" s="270">
        <f t="shared" si="2"/>
        <v>-36750</v>
      </c>
      <c r="L2127">
        <f t="shared" si="3"/>
        <v>0</v>
      </c>
    </row>
    <row r="2128">
      <c r="A2128" s="107">
        <f>IFERROR(__xludf.DUMMYFUNCTION("""COMPUTED_VALUE"""),45825.0)</f>
        <v>45825</v>
      </c>
      <c r="B2128" t="str">
        <f>IFERROR(__xludf.DUMMYFUNCTION("""COMPUTED_VALUE"""),"費用 - 匯費 對方行:822 後五碼:67131 (行號: 19)")</f>
        <v>費用 - 匯費 對方行:822 後五碼:67131 (行號: 19)</v>
      </c>
      <c r="C2128" t="str">
        <f>IFERROR(__xludf.DUMMYFUNCTION("""COMPUTED_VALUE"""),"費用 - 匯費")</f>
        <v>費用 - 匯費</v>
      </c>
      <c r="D2128" s="270">
        <f>IFERROR(__xludf.DUMMYFUNCTION("""COMPUTED_VALUE"""),-15.0)</f>
        <v>-15</v>
      </c>
      <c r="E2128" t="str">
        <f>IFERROR(__xludf.DUMMYFUNCTION("""COMPUTED_VALUE"""),"台銀籌備帳戶")</f>
        <v>台銀籌備帳戶</v>
      </c>
      <c r="H2128" s="106" t="str">
        <f t="shared" si="1"/>
        <v>2025-06</v>
      </c>
      <c r="I2128" s="271" t="str">
        <f>IFERROR(__xludf.DUMMYFUNCTION("""COMPUTED_VALUE"""),"貓狗企鵝")</f>
        <v>貓狗企鵝</v>
      </c>
      <c r="J2128" t="str">
        <f>IFERROR(__xludf.DUMMYFUNCTION("IFS(
  AND(REGEXMATCH(E2128, ""台銀籌備帳戶|玉山帳戶""), REGEXMATCH(C2128, ""薪資"")), ""分潤支出"",
  AND(REGEXMATCH(E2128, ""Ben帳戶|Elsa帳戶|Ben代墊|Ariel代墊|中信銀行共用""), REGEXMATCH(F2128, ""Ben帳戶|Elsa帳戶|Ben代墊|Ariel代墊|中信銀行共用"")), ""內部轉帳(忽略)"",
  AND(E2128&lt;&gt;"""", F2128&lt;&gt;"""", N"&amp;"OT(REGEXMATCH(C2128, ""薪資""))), ""內部轉帳(忽略)"",
  REGEXMATCH(C2128, ""薪資""), ""薪資變動(不計入)"",
  REGEXMATCH(C2128, ""押金""), ""押金往來"",
  AND(E2128&lt;&gt;"""", F2128=""""), ""真實支出"",
  AND(E2128="""", F2128&lt;&gt;""""), ""真實收入"",
  TRUE, ""其他""
)"),"真實支出")</f>
        <v>真實支出</v>
      </c>
      <c r="K2128" s="270">
        <f t="shared" si="2"/>
        <v>-15</v>
      </c>
      <c r="L2128">
        <f t="shared" si="3"/>
        <v>0</v>
      </c>
    </row>
    <row r="2129">
      <c r="A2129" s="107">
        <f>IFERROR(__xludf.DUMMYFUNCTION("""COMPUTED_VALUE"""),45825.0)</f>
        <v>45825</v>
      </c>
      <c r="B2129" t="str">
        <f>IFERROR(__xludf.DUMMYFUNCTION("""COMPUTED_VALUE"""),"FB大社團PO文權            ' 【未分類支出】")</f>
        <v>FB大社團PO文權            ' 【未分類支出】</v>
      </c>
      <c r="C2129" t="str">
        <f>IFERROR(__xludf.DUMMYFUNCTION("""COMPUTED_VALUE"""),"成本 - 仲介費")</f>
        <v>成本 - 仲介費</v>
      </c>
      <c r="D2129" s="270">
        <f>IFERROR(__xludf.DUMMYFUNCTION("""COMPUTED_VALUE"""),-50400.0)</f>
        <v>-50400</v>
      </c>
      <c r="E2129" t="str">
        <f>IFERROR(__xludf.DUMMYFUNCTION("""COMPUTED_VALUE"""),"台銀籌備帳戶")</f>
        <v>台銀籌備帳戶</v>
      </c>
      <c r="G2129" t="str">
        <f>IFERROR(__xludf.DUMMYFUNCTION("""COMPUTED_VALUE"""),"無法分類")</f>
        <v>無法分類</v>
      </c>
      <c r="H2129" s="106" t="str">
        <f t="shared" si="1"/>
        <v>2025-06</v>
      </c>
      <c r="I2129" s="271" t="str">
        <f>IFERROR(__xludf.DUMMYFUNCTION("""COMPUTED_VALUE"""),"貓狗企鵝")</f>
        <v>貓狗企鵝</v>
      </c>
      <c r="J2129" t="str">
        <f>IFERROR(__xludf.DUMMYFUNCTION("IFS(
  AND(REGEXMATCH(E2129, ""台銀籌備帳戶|玉山帳戶""), REGEXMATCH(C2129, ""薪資"")), ""分潤支出"",
  AND(REGEXMATCH(E2129, ""Ben帳戶|Elsa帳戶|Ben代墊|Ariel代墊|中信銀行共用""), REGEXMATCH(F2129, ""Ben帳戶|Elsa帳戶|Ben代墊|Ariel代墊|中信銀行共用"")), ""內部轉帳(忽略)"",
  AND(E2129&lt;&gt;"""", F2129&lt;&gt;"""", N"&amp;"OT(REGEXMATCH(C2129, ""薪資""))), ""內部轉帳(忽略)"",
  REGEXMATCH(C2129, ""薪資""), ""薪資變動(不計入)"",
  REGEXMATCH(C2129, ""押金""), ""押金往來"",
  AND(E2129&lt;&gt;"""", F2129=""""), ""真實支出"",
  AND(E2129="""", F2129&lt;&gt;""""), ""真實收入"",
  TRUE, ""其他""
)"),"真實支出")</f>
        <v>真實支出</v>
      </c>
      <c r="K2129" s="270">
        <f t="shared" si="2"/>
        <v>-50400</v>
      </c>
      <c r="L2129">
        <f t="shared" si="3"/>
        <v>0</v>
      </c>
    </row>
    <row r="2130">
      <c r="A2130" s="107">
        <f>IFERROR(__xludf.DUMMYFUNCTION("""COMPUTED_VALUE"""),45825.0)</f>
        <v>45825</v>
      </c>
      <c r="B2130" t="str">
        <f>IFERROR(__xludf.DUMMYFUNCTION("""COMPUTED_VALUE"""),"費用 - 匯費 對方行:012 後五碼:92486 (行號: 20)")</f>
        <v>費用 - 匯費 對方行:012 後五碼:92486 (行號: 20)</v>
      </c>
      <c r="C2130" t="str">
        <f>IFERROR(__xludf.DUMMYFUNCTION("""COMPUTED_VALUE"""),"費用 - 匯費")</f>
        <v>費用 - 匯費</v>
      </c>
      <c r="D2130" s="270">
        <f>IFERROR(__xludf.DUMMYFUNCTION("""COMPUTED_VALUE"""),-15.0)</f>
        <v>-15</v>
      </c>
      <c r="E2130" t="str">
        <f>IFERROR(__xludf.DUMMYFUNCTION("""COMPUTED_VALUE"""),"台銀籌備帳戶")</f>
        <v>台銀籌備帳戶</v>
      </c>
      <c r="H2130" s="106" t="str">
        <f t="shared" si="1"/>
        <v>2025-06</v>
      </c>
      <c r="I2130" s="271" t="str">
        <f>IFERROR(__xludf.DUMMYFUNCTION("""COMPUTED_VALUE"""),"貓狗企鵝")</f>
        <v>貓狗企鵝</v>
      </c>
      <c r="J2130" t="str">
        <f>IFERROR(__xludf.DUMMYFUNCTION("IFS(
  AND(REGEXMATCH(E2130, ""台銀籌備帳戶|玉山帳戶""), REGEXMATCH(C2130, ""薪資"")), ""分潤支出"",
  AND(REGEXMATCH(E2130, ""Ben帳戶|Elsa帳戶|Ben代墊|Ariel代墊|中信銀行共用""), REGEXMATCH(F2130, ""Ben帳戶|Elsa帳戶|Ben代墊|Ariel代墊|中信銀行共用"")), ""內部轉帳(忽略)"",
  AND(E2130&lt;&gt;"""", F2130&lt;&gt;"""", N"&amp;"OT(REGEXMATCH(C2130, ""薪資""))), ""內部轉帳(忽略)"",
  REGEXMATCH(C2130, ""薪資""), ""薪資變動(不計入)"",
  REGEXMATCH(C2130, ""押金""), ""押金往來"",
  AND(E2130&lt;&gt;"""", F2130=""""), ""真實支出"",
  AND(E2130="""", F2130&lt;&gt;""""), ""真實收入"",
  TRUE, ""其他""
)"),"真實支出")</f>
        <v>真實支出</v>
      </c>
      <c r="K2130" s="270">
        <f t="shared" si="2"/>
        <v>-15</v>
      </c>
      <c r="L2130">
        <f t="shared" si="3"/>
        <v>0</v>
      </c>
    </row>
    <row r="2131">
      <c r="A2131" s="107">
        <f>IFERROR(__xludf.DUMMYFUNCTION("""COMPUTED_VALUE"""),45825.0)</f>
        <v>45825</v>
      </c>
      <c r="B2131" t="str">
        <f>IFERROR(__xludf.DUMMYFUNCTION("""COMPUTED_VALUE"""),"阿虎設計費                ' 【未分類支出】")</f>
        <v>阿虎設計費                ' 【未分類支出】</v>
      </c>
      <c r="C2131" t="str">
        <f>IFERROR(__xludf.DUMMYFUNCTION("""COMPUTED_VALUE"""),"費用 - Salary 薪資")</f>
        <v>費用 - Salary 薪資</v>
      </c>
      <c r="D2131" s="270">
        <f>IFERROR(__xludf.DUMMYFUNCTION("""COMPUTED_VALUE"""),-180000.0)</f>
        <v>-180000</v>
      </c>
      <c r="E2131" t="str">
        <f>IFERROR(__xludf.DUMMYFUNCTION("""COMPUTED_VALUE"""),"台銀籌備帳戶")</f>
        <v>台銀籌備帳戶</v>
      </c>
      <c r="F2131" t="str">
        <f>IFERROR(__xludf.DUMMYFUNCTION("""COMPUTED_VALUE"""),"Elsa帳戶")</f>
        <v>Elsa帳戶</v>
      </c>
      <c r="H2131" s="106" t="str">
        <f t="shared" si="1"/>
        <v>2025-06</v>
      </c>
      <c r="I2131" s="271" t="str">
        <f>IFERROR(__xludf.DUMMYFUNCTION("""COMPUTED_VALUE"""),"貓狗企鵝")</f>
        <v>貓狗企鵝</v>
      </c>
      <c r="J2131" t="str">
        <f>IFERROR(__xludf.DUMMYFUNCTION("IFS(
  AND(REGEXMATCH(E2131, ""台銀籌備帳戶|玉山帳戶""), REGEXMATCH(C2131, ""薪資"")), ""分潤支出"",
  AND(REGEXMATCH(E2131, ""Ben帳戶|Elsa帳戶|Ben代墊|Ariel代墊|中信銀行共用""), REGEXMATCH(F2131, ""Ben帳戶|Elsa帳戶|Ben代墊|Ariel代墊|中信銀行共用"")), ""內部轉帳(忽略)"",
  AND(E2131&lt;&gt;"""", F2131&lt;&gt;"""", N"&amp;"OT(REGEXMATCH(C2131, ""薪資""))), ""內部轉帳(忽略)"",
  REGEXMATCH(C2131, ""薪資""), ""薪資變動(不計入)"",
  REGEXMATCH(C2131, ""押金""), ""押金往來"",
  AND(E2131&lt;&gt;"""", F2131=""""), ""真實支出"",
  AND(E2131="""", F2131&lt;&gt;""""), ""真實收入"",
  TRUE, ""其他""
)"),"分潤支出")</f>
        <v>分潤支出</v>
      </c>
      <c r="K2131">
        <f t="shared" si="2"/>
        <v>0</v>
      </c>
      <c r="L2131">
        <f t="shared" si="3"/>
        <v>180000</v>
      </c>
    </row>
    <row r="2132">
      <c r="A2132" s="107">
        <f>IFERROR(__xludf.DUMMYFUNCTION("""COMPUTED_VALUE"""),45825.0)</f>
        <v>45825</v>
      </c>
      <c r="B2132" t="str">
        <f>IFERROR(__xludf.DUMMYFUNCTION("""COMPUTED_VALUE"""),"費用 - 匯費 對方行:012 後五碼:54627 (行號: 21)")</f>
        <v>費用 - 匯費 對方行:012 後五碼:54627 (行號: 21)</v>
      </c>
      <c r="C2132" t="str">
        <f>IFERROR(__xludf.DUMMYFUNCTION("""COMPUTED_VALUE"""),"費用 - 匯費")</f>
        <v>費用 - 匯費</v>
      </c>
      <c r="D2132" s="270">
        <f>IFERROR(__xludf.DUMMYFUNCTION("""COMPUTED_VALUE"""),-15.0)</f>
        <v>-15</v>
      </c>
      <c r="E2132" t="str">
        <f>IFERROR(__xludf.DUMMYFUNCTION("""COMPUTED_VALUE"""),"台銀籌備帳戶")</f>
        <v>台銀籌備帳戶</v>
      </c>
      <c r="H2132" s="106" t="str">
        <f t="shared" si="1"/>
        <v>2025-06</v>
      </c>
      <c r="I2132" s="271" t="str">
        <f>IFERROR(__xludf.DUMMYFUNCTION("""COMPUTED_VALUE"""),"貓狗企鵝")</f>
        <v>貓狗企鵝</v>
      </c>
      <c r="J2132" t="str">
        <f>IFERROR(__xludf.DUMMYFUNCTION("IFS(
  AND(REGEXMATCH(E2132, ""台銀籌備帳戶|玉山帳戶""), REGEXMATCH(C2132, ""薪資"")), ""分潤支出"",
  AND(REGEXMATCH(E2132, ""Ben帳戶|Elsa帳戶|Ben代墊|Ariel代墊|中信銀行共用""), REGEXMATCH(F2132, ""Ben帳戶|Elsa帳戶|Ben代墊|Ariel代墊|中信銀行共用"")), ""內部轉帳(忽略)"",
  AND(E2132&lt;&gt;"""", F2132&lt;&gt;"""", N"&amp;"OT(REGEXMATCH(C2132, ""薪資""))), ""內部轉帳(忽略)"",
  REGEXMATCH(C2132, ""薪資""), ""薪資變動(不計入)"",
  REGEXMATCH(C2132, ""押金""), ""押金往來"",
  AND(E2132&lt;&gt;"""", F2132=""""), ""真實支出"",
  AND(E2132="""", F2132&lt;&gt;""""), ""真實收入"",
  TRUE, ""其他""
)"),"真實支出")</f>
        <v>真實支出</v>
      </c>
      <c r="K2132" s="270">
        <f t="shared" si="2"/>
        <v>-15</v>
      </c>
      <c r="L2132">
        <f t="shared" si="3"/>
        <v>0</v>
      </c>
    </row>
    <row r="2133">
      <c r="A2133" s="107">
        <f>IFERROR(__xludf.DUMMYFUNCTION("""COMPUTED_VALUE"""),45825.0)</f>
        <v>45825</v>
      </c>
      <c r="B2133" t="str">
        <f>IFERROR(__xludf.DUMMYFUNCTION("""COMPUTED_VALUE"""),"Ben富邦代墊款             ' 【未分類支出】")</f>
        <v>Ben富邦代墊款             ' 【未分類支出】</v>
      </c>
      <c r="C2133" t="str">
        <f>IFERROR(__xludf.DUMMYFUNCTION("""COMPUTED_VALUE"""),"費用 - Salary 薪資")</f>
        <v>費用 - Salary 薪資</v>
      </c>
      <c r="D2133" s="270">
        <f>IFERROR(__xludf.DUMMYFUNCTION("""COMPUTED_VALUE"""),-180000.0)</f>
        <v>-180000</v>
      </c>
      <c r="E2133" t="str">
        <f>IFERROR(__xludf.DUMMYFUNCTION("""COMPUTED_VALUE"""),"台銀籌備帳戶")</f>
        <v>台銀籌備帳戶</v>
      </c>
      <c r="F2133" t="str">
        <f>IFERROR(__xludf.DUMMYFUNCTION("""COMPUTED_VALUE"""),"Ben帳戶")</f>
        <v>Ben帳戶</v>
      </c>
      <c r="H2133" s="106" t="str">
        <f t="shared" si="1"/>
        <v>2025-06</v>
      </c>
      <c r="I2133" s="271" t="str">
        <f>IFERROR(__xludf.DUMMYFUNCTION("""COMPUTED_VALUE"""),"貓狗企鵝")</f>
        <v>貓狗企鵝</v>
      </c>
      <c r="J2133" t="str">
        <f>IFERROR(__xludf.DUMMYFUNCTION("IFS(
  AND(REGEXMATCH(E2133, ""台銀籌備帳戶|玉山帳戶""), REGEXMATCH(C2133, ""薪資"")), ""分潤支出"",
  AND(REGEXMATCH(E2133, ""Ben帳戶|Elsa帳戶|Ben代墊|Ariel代墊|中信銀行共用""), REGEXMATCH(F2133, ""Ben帳戶|Elsa帳戶|Ben代墊|Ariel代墊|中信銀行共用"")), ""內部轉帳(忽略)"",
  AND(E2133&lt;&gt;"""", F2133&lt;&gt;"""", N"&amp;"OT(REGEXMATCH(C2133, ""薪資""))), ""內部轉帳(忽略)"",
  REGEXMATCH(C2133, ""薪資""), ""薪資變動(不計入)"",
  REGEXMATCH(C2133, ""押金""), ""押金往來"",
  AND(E2133&lt;&gt;"""", F2133=""""), ""真實支出"",
  AND(E2133="""", F2133&lt;&gt;""""), ""真實收入"",
  TRUE, ""其他""
)"),"分潤支出")</f>
        <v>分潤支出</v>
      </c>
      <c r="K2133">
        <f t="shared" si="2"/>
        <v>0</v>
      </c>
      <c r="L2133">
        <f t="shared" si="3"/>
        <v>180000</v>
      </c>
    </row>
    <row r="2134">
      <c r="A2134" s="107">
        <f>IFERROR(__xludf.DUMMYFUNCTION("""COMPUTED_VALUE"""),45828.0)</f>
        <v>45828</v>
      </c>
      <c r="B2134" t="str">
        <f>IFERROR(__xludf.DUMMYFUNCTION("""COMPUTED_VALUE"""),"費用 - 匯費 對方行:806 後五碼:38687 (行號: 24)")</f>
        <v>費用 - 匯費 對方行:806 後五碼:38687 (行號: 24)</v>
      </c>
      <c r="C2134" t="str">
        <f>IFERROR(__xludf.DUMMYFUNCTION("""COMPUTED_VALUE"""),"費用 - 匯費")</f>
        <v>費用 - 匯費</v>
      </c>
      <c r="D2134" s="270">
        <f>IFERROR(__xludf.DUMMYFUNCTION("""COMPUTED_VALUE"""),-15.0)</f>
        <v>-15</v>
      </c>
      <c r="E2134" t="str">
        <f>IFERROR(__xludf.DUMMYFUNCTION("""COMPUTED_VALUE"""),"台銀籌備帳戶")</f>
        <v>台銀籌備帳戶</v>
      </c>
      <c r="H2134" s="106" t="str">
        <f t="shared" si="1"/>
        <v>2025-06</v>
      </c>
      <c r="I2134" s="271" t="str">
        <f>IFERROR(__xludf.DUMMYFUNCTION("""COMPUTED_VALUE"""),"貓狗企鵝")</f>
        <v>貓狗企鵝</v>
      </c>
      <c r="J2134" t="str">
        <f>IFERROR(__xludf.DUMMYFUNCTION("IFS(
  AND(REGEXMATCH(E2134, ""台銀籌備帳戶|玉山帳戶""), REGEXMATCH(C2134, ""薪資"")), ""分潤支出"",
  AND(REGEXMATCH(E2134, ""Ben帳戶|Elsa帳戶|Ben代墊|Ariel代墊|中信銀行共用""), REGEXMATCH(F2134, ""Ben帳戶|Elsa帳戶|Ben代墊|Ariel代墊|中信銀行共用"")), ""內部轉帳(忽略)"",
  AND(E2134&lt;&gt;"""", F2134&lt;&gt;"""", N"&amp;"OT(REGEXMATCH(C2134, ""薪資""))), ""內部轉帳(忽略)"",
  REGEXMATCH(C2134, ""薪資""), ""薪資變動(不計入)"",
  REGEXMATCH(C2134, ""押金""), ""押金往來"",
  AND(E2134&lt;&gt;"""", F2134=""""), ""真實支出"",
  AND(E2134="""", F2134&lt;&gt;""""), ""真實收入"",
  TRUE, ""其他""
)"),"真實支出")</f>
        <v>真實支出</v>
      </c>
      <c r="K2134" s="270">
        <f t="shared" si="2"/>
        <v>-15</v>
      </c>
      <c r="L2134">
        <f t="shared" si="3"/>
        <v>0</v>
      </c>
    </row>
    <row r="2135">
      <c r="A2135" s="107">
        <f>IFERROR(__xludf.DUMMYFUNCTION("""COMPUTED_VALUE"""),45828.0)</f>
        <v>45828</v>
      </c>
      <c r="B2135" t="str">
        <f>IFERROR(__xludf.DUMMYFUNCTION("""COMPUTED_VALUE"""),"哈拉A電費                 ' 【未分類支出】")</f>
        <v>哈拉A電費                 ' 【未分類支出】</v>
      </c>
      <c r="C2135" t="str">
        <f>IFERROR(__xludf.DUMMYFUNCTION("""COMPUTED_VALUE"""),"收入 - 押金")</f>
        <v>收入 - 押金</v>
      </c>
      <c r="D2135" s="270">
        <f>IFERROR(__xludf.DUMMYFUNCTION("""COMPUTED_VALUE"""),-374.0)</f>
        <v>-374</v>
      </c>
      <c r="E2135" t="str">
        <f>IFERROR(__xludf.DUMMYFUNCTION("""COMPUTED_VALUE"""),"台銀籌備帳戶")</f>
        <v>台銀籌備帳戶</v>
      </c>
      <c r="G2135" t="str">
        <f>IFERROR(__xludf.DUMMYFUNCTION("""COMPUTED_VALUE"""),"哈拉對面")</f>
        <v>哈拉對面</v>
      </c>
      <c r="H2135" s="106" t="str">
        <f t="shared" si="1"/>
        <v>2025-06</v>
      </c>
      <c r="I2135" s="271" t="str">
        <f>IFERROR(__xludf.DUMMYFUNCTION("""COMPUTED_VALUE"""),"貓狗企鵝")</f>
        <v>貓狗企鵝</v>
      </c>
      <c r="J2135" t="str">
        <f>IFERROR(__xludf.DUMMYFUNCTION("IFS(
  AND(REGEXMATCH(E2135, ""台銀籌備帳戶|玉山帳戶""), REGEXMATCH(C2135, ""薪資"")), ""分潤支出"",
  AND(REGEXMATCH(E2135, ""Ben帳戶|Elsa帳戶|Ben代墊|Ariel代墊|中信銀行共用""), REGEXMATCH(F2135, ""Ben帳戶|Elsa帳戶|Ben代墊|Ariel代墊|中信銀行共用"")), ""內部轉帳(忽略)"",
  AND(E2135&lt;&gt;"""", F2135&lt;&gt;"""", N"&amp;"OT(REGEXMATCH(C2135, ""薪資""))), ""內部轉帳(忽略)"",
  REGEXMATCH(C2135, ""薪資""), ""薪資變動(不計入)"",
  REGEXMATCH(C2135, ""押金""), ""押金往來"",
  AND(E2135&lt;&gt;"""", F2135=""""), ""真實支出"",
  AND(E2135="""", F2135&lt;&gt;""""), ""真實收入"",
  TRUE, ""其他""
)"),"押金往來")</f>
        <v>押金往來</v>
      </c>
      <c r="K2135">
        <f t="shared" si="2"/>
        <v>0</v>
      </c>
      <c r="L2135">
        <f t="shared" si="3"/>
        <v>0</v>
      </c>
    </row>
    <row r="2136">
      <c r="A2136" s="107">
        <f>IFERROR(__xludf.DUMMYFUNCTION("""COMPUTED_VALUE"""),45832.0)</f>
        <v>45832</v>
      </c>
      <c r="B2136" t="str">
        <f>IFERROR(__xludf.DUMMYFUNCTION("""COMPUTED_VALUE"""),"費用 - 匯費 對方行:812 後五碼:16085 (行號: 26)")</f>
        <v>費用 - 匯費 對方行:812 後五碼:16085 (行號: 26)</v>
      </c>
      <c r="C2136" t="str">
        <f>IFERROR(__xludf.DUMMYFUNCTION("""COMPUTED_VALUE"""),"費用 - 匯費")</f>
        <v>費用 - 匯費</v>
      </c>
      <c r="D2136" s="270">
        <f>IFERROR(__xludf.DUMMYFUNCTION("""COMPUTED_VALUE"""),-15.0)</f>
        <v>-15</v>
      </c>
      <c r="E2136" t="str">
        <f>IFERROR(__xludf.DUMMYFUNCTION("""COMPUTED_VALUE"""),"台銀籌備帳戶")</f>
        <v>台銀籌備帳戶</v>
      </c>
      <c r="H2136" s="106" t="str">
        <f t="shared" si="1"/>
        <v>2025-06</v>
      </c>
      <c r="I2136" s="271" t="str">
        <f>IFERROR(__xludf.DUMMYFUNCTION("""COMPUTED_VALUE"""),"貓狗企鵝")</f>
        <v>貓狗企鵝</v>
      </c>
      <c r="J2136" t="str">
        <f>IFERROR(__xludf.DUMMYFUNCTION("IFS(
  AND(REGEXMATCH(E2136, ""台銀籌備帳戶|玉山帳戶""), REGEXMATCH(C2136, ""薪資"")), ""分潤支出"",
  AND(REGEXMATCH(E2136, ""Ben帳戶|Elsa帳戶|Ben代墊|Ariel代墊|中信銀行共用""), REGEXMATCH(F2136, ""Ben帳戶|Elsa帳戶|Ben代墊|Ariel代墊|中信銀行共用"")), ""內部轉帳(忽略)"",
  AND(E2136&lt;&gt;"""", F2136&lt;&gt;"""", N"&amp;"OT(REGEXMATCH(C2136, ""薪資""))), ""內部轉帳(忽略)"",
  REGEXMATCH(C2136, ""薪資""), ""薪資變動(不計入)"",
  REGEXMATCH(C2136, ""押金""), ""押金往來"",
  AND(E2136&lt;&gt;"""", F2136=""""), ""真實支出"",
  AND(E2136="""", F2136&lt;&gt;""""), ""真實收入"",
  TRUE, ""其他""
)"),"真實支出")</f>
        <v>真實支出</v>
      </c>
      <c r="K2136" s="270">
        <f t="shared" si="2"/>
        <v>-15</v>
      </c>
      <c r="L2136">
        <f t="shared" si="3"/>
        <v>0</v>
      </c>
    </row>
    <row r="2137">
      <c r="A2137" s="107">
        <f>IFERROR(__xludf.DUMMYFUNCTION("""COMPUTED_VALUE"""),45832.0)</f>
        <v>45832</v>
      </c>
      <c r="B2137" t="str">
        <f>IFERROR(__xludf.DUMMYFUNCTION("""COMPUTED_VALUE"""),"娘家庭偉退押              ' 【未分類支出】")</f>
        <v>娘家庭偉退押              ' 【未分類支出】</v>
      </c>
      <c r="C2137" t="str">
        <f>IFERROR(__xludf.DUMMYFUNCTION("""COMPUTED_VALUE"""),"收入 - 押金")</f>
        <v>收入 - 押金</v>
      </c>
      <c r="D2137" s="270">
        <f>IFERROR(__xludf.DUMMYFUNCTION("""COMPUTED_VALUE"""),-2156.0)</f>
        <v>-2156</v>
      </c>
      <c r="E2137" t="str">
        <f>IFERROR(__xludf.DUMMYFUNCTION("""COMPUTED_VALUE"""),"台銀籌備帳戶")</f>
        <v>台銀籌備帳戶</v>
      </c>
      <c r="G2137" t="str">
        <f>IFERROR(__xludf.DUMMYFUNCTION("""COMPUTED_VALUE"""),"中山北娘家旁")</f>
        <v>中山北娘家旁</v>
      </c>
      <c r="H2137" s="106" t="str">
        <f t="shared" si="1"/>
        <v>2025-06</v>
      </c>
      <c r="I2137" s="271" t="str">
        <f>IFERROR(__xludf.DUMMYFUNCTION("""COMPUTED_VALUE"""),"貓狗企鵝")</f>
        <v>貓狗企鵝</v>
      </c>
      <c r="J2137" t="str">
        <f>IFERROR(__xludf.DUMMYFUNCTION("IFS(
  AND(REGEXMATCH(E2137, ""台銀籌備帳戶|玉山帳戶""), REGEXMATCH(C2137, ""薪資"")), ""分潤支出"",
  AND(REGEXMATCH(E2137, ""Ben帳戶|Elsa帳戶|Ben代墊|Ariel代墊|中信銀行共用""), REGEXMATCH(F2137, ""Ben帳戶|Elsa帳戶|Ben代墊|Ariel代墊|中信銀行共用"")), ""內部轉帳(忽略)"",
  AND(E2137&lt;&gt;"""", F2137&lt;&gt;"""", N"&amp;"OT(REGEXMATCH(C2137, ""薪資""))), ""內部轉帳(忽略)"",
  REGEXMATCH(C2137, ""薪資""), ""薪資變動(不計入)"",
  REGEXMATCH(C2137, ""押金""), ""押金往來"",
  AND(E2137&lt;&gt;"""", F2137=""""), ""真實支出"",
  AND(E2137="""", F2137&lt;&gt;""""), ""真實收入"",
  TRUE, ""其他""
)"),"押金往來")</f>
        <v>押金往來</v>
      </c>
      <c r="K2137">
        <f t="shared" si="2"/>
        <v>0</v>
      </c>
      <c r="L2137">
        <f t="shared" si="3"/>
        <v>0</v>
      </c>
    </row>
    <row r="2138">
      <c r="A2138" s="107">
        <f>IFERROR(__xludf.DUMMYFUNCTION("""COMPUTED_VALUE"""),45832.0)</f>
        <v>45832</v>
      </c>
      <c r="B2138" t="str">
        <f>IFERROR(__xludf.DUMMYFUNCTION("""COMPUTED_VALUE"""),"費用 - 匯費 對方行:822 後五碼:07457 (行號: 27)")</f>
        <v>費用 - 匯費 對方行:822 後五碼:07457 (行號: 27)</v>
      </c>
      <c r="C2138" t="str">
        <f>IFERROR(__xludf.DUMMYFUNCTION("""COMPUTED_VALUE"""),"費用 - 匯費")</f>
        <v>費用 - 匯費</v>
      </c>
      <c r="D2138" s="270">
        <f>IFERROR(__xludf.DUMMYFUNCTION("""COMPUTED_VALUE"""),-15.0)</f>
        <v>-15</v>
      </c>
      <c r="E2138" t="str">
        <f>IFERROR(__xludf.DUMMYFUNCTION("""COMPUTED_VALUE"""),"台銀籌備帳戶")</f>
        <v>台銀籌備帳戶</v>
      </c>
      <c r="H2138" s="106" t="str">
        <f t="shared" si="1"/>
        <v>2025-06</v>
      </c>
      <c r="I2138" s="271" t="str">
        <f>IFERROR(__xludf.DUMMYFUNCTION("""COMPUTED_VALUE"""),"貓狗企鵝")</f>
        <v>貓狗企鵝</v>
      </c>
      <c r="J2138" t="str">
        <f>IFERROR(__xludf.DUMMYFUNCTION("IFS(
  AND(REGEXMATCH(E2138, ""台銀籌備帳戶|玉山帳戶""), REGEXMATCH(C2138, ""薪資"")), ""分潤支出"",
  AND(REGEXMATCH(E2138, ""Ben帳戶|Elsa帳戶|Ben代墊|Ariel代墊|中信銀行共用""), REGEXMATCH(F2138, ""Ben帳戶|Elsa帳戶|Ben代墊|Ariel代墊|中信銀行共用"")), ""內部轉帳(忽略)"",
  AND(E2138&lt;&gt;"""", F2138&lt;&gt;"""", N"&amp;"OT(REGEXMATCH(C2138, ""薪資""))), ""內部轉帳(忽略)"",
  REGEXMATCH(C2138, ""薪資""), ""薪資變動(不計入)"",
  REGEXMATCH(C2138, ""押金""), ""押金往來"",
  AND(E2138&lt;&gt;"""", F2138=""""), ""真實支出"",
  AND(E2138="""", F2138&lt;&gt;""""), ""真實收入"",
  TRUE, ""其他""
)"),"真實支出")</f>
        <v>真實支出</v>
      </c>
      <c r="K2138" s="270">
        <f t="shared" si="2"/>
        <v>-15</v>
      </c>
      <c r="L2138">
        <f t="shared" si="3"/>
        <v>0</v>
      </c>
    </row>
    <row r="2139">
      <c r="A2139" s="107">
        <f>IFERROR(__xludf.DUMMYFUNCTION("""COMPUTED_VALUE"""),45832.0)</f>
        <v>45832</v>
      </c>
      <c r="B2139" t="str">
        <f>IFERROR(__xludf.DUMMYFUNCTION("""COMPUTED_VALUE"""),"金龍d婷欣退押             ' 【未分類支出】")</f>
        <v>金龍d婷欣退押             ' 【未分類支出】</v>
      </c>
      <c r="C2139" t="str">
        <f>IFERROR(__xludf.DUMMYFUNCTION("""COMPUTED_VALUE"""),"收入 - 押金")</f>
        <v>收入 - 押金</v>
      </c>
      <c r="D2139" s="270">
        <f>IFERROR(__xludf.DUMMYFUNCTION("""COMPUTED_VALUE"""),-2532.0)</f>
        <v>-2532</v>
      </c>
      <c r="E2139" t="str">
        <f>IFERROR(__xludf.DUMMYFUNCTION("""COMPUTED_VALUE"""),"台銀籌備帳戶")</f>
        <v>台銀籌備帳戶</v>
      </c>
      <c r="G2139" t="str">
        <f>IFERROR(__xludf.DUMMYFUNCTION("""COMPUTED_VALUE"""),"金龍帽子先生")</f>
        <v>金龍帽子先生</v>
      </c>
      <c r="H2139" s="106" t="str">
        <f t="shared" si="1"/>
        <v>2025-06</v>
      </c>
      <c r="I2139" s="271" t="str">
        <f>IFERROR(__xludf.DUMMYFUNCTION("""COMPUTED_VALUE"""),"貓狗企鵝")</f>
        <v>貓狗企鵝</v>
      </c>
      <c r="J2139" t="str">
        <f>IFERROR(__xludf.DUMMYFUNCTION("IFS(
  AND(REGEXMATCH(E2139, ""台銀籌備帳戶|玉山帳戶""), REGEXMATCH(C2139, ""薪資"")), ""分潤支出"",
  AND(REGEXMATCH(E2139, ""Ben帳戶|Elsa帳戶|Ben代墊|Ariel代墊|中信銀行共用""), REGEXMATCH(F2139, ""Ben帳戶|Elsa帳戶|Ben代墊|Ariel代墊|中信銀行共用"")), ""內部轉帳(忽略)"",
  AND(E2139&lt;&gt;"""", F2139&lt;&gt;"""", N"&amp;"OT(REGEXMATCH(C2139, ""薪資""))), ""內部轉帳(忽略)"",
  REGEXMATCH(C2139, ""薪資""), ""薪資變動(不計入)"",
  REGEXMATCH(C2139, ""押金""), ""押金往來"",
  AND(E2139&lt;&gt;"""", F2139=""""), ""真實支出"",
  AND(E2139="""", F2139&lt;&gt;""""), ""真實收入"",
  TRUE, ""其他""
)"),"押金往來")</f>
        <v>押金往來</v>
      </c>
      <c r="K2139">
        <f t="shared" si="2"/>
        <v>0</v>
      </c>
      <c r="L2139">
        <f t="shared" si="3"/>
        <v>0</v>
      </c>
    </row>
    <row r="2140">
      <c r="A2140" s="107">
        <f>IFERROR(__xludf.DUMMYFUNCTION("""COMPUTED_VALUE"""),45838.0)</f>
        <v>45838</v>
      </c>
      <c r="B2140" t="str">
        <f>IFERROR(__xludf.DUMMYFUNCTION("""COMPUTED_VALUE"""),"費用 - 匯費 對方行:812 後五碼:20873 (行號: 38)")</f>
        <v>費用 - 匯費 對方行:812 後五碼:20873 (行號: 38)</v>
      </c>
      <c r="C2140" t="str">
        <f>IFERROR(__xludf.DUMMYFUNCTION("""COMPUTED_VALUE"""),"費用 - 匯費")</f>
        <v>費用 - 匯費</v>
      </c>
      <c r="D2140" s="270">
        <f>IFERROR(__xludf.DUMMYFUNCTION("""COMPUTED_VALUE"""),-15.0)</f>
        <v>-15</v>
      </c>
      <c r="E2140" t="str">
        <f>IFERROR(__xludf.DUMMYFUNCTION("""COMPUTED_VALUE"""),"台銀籌備帳戶")</f>
        <v>台銀籌備帳戶</v>
      </c>
      <c r="H2140" s="106" t="str">
        <f t="shared" si="1"/>
        <v>2025-06</v>
      </c>
      <c r="I2140" s="271" t="str">
        <f>IFERROR(__xludf.DUMMYFUNCTION("""COMPUTED_VALUE"""),"貓狗企鵝")</f>
        <v>貓狗企鵝</v>
      </c>
      <c r="J2140" t="str">
        <f>IFERROR(__xludf.DUMMYFUNCTION("IFS(
  AND(REGEXMATCH(E2140, ""台銀籌備帳戶|玉山帳戶""), REGEXMATCH(C2140, ""薪資"")), ""分潤支出"",
  AND(REGEXMATCH(E2140, ""Ben帳戶|Elsa帳戶|Ben代墊|Ariel代墊|中信銀行共用""), REGEXMATCH(F2140, ""Ben帳戶|Elsa帳戶|Ben代墊|Ariel代墊|中信銀行共用"")), ""內部轉帳(忽略)"",
  AND(E2140&lt;&gt;"""", F2140&lt;&gt;"""", N"&amp;"OT(REGEXMATCH(C2140, ""薪資""))), ""內部轉帳(忽略)"",
  REGEXMATCH(C2140, ""薪資""), ""薪資變動(不計入)"",
  REGEXMATCH(C2140, ""押金""), ""押金往來"",
  AND(E2140&lt;&gt;"""", F2140=""""), ""真實支出"",
  AND(E2140="""", F2140&lt;&gt;""""), ""真實收入"",
  TRUE, ""其他""
)"),"真實支出")</f>
        <v>真實支出</v>
      </c>
      <c r="K2140" s="270">
        <f t="shared" si="2"/>
        <v>-15</v>
      </c>
      <c r="L2140">
        <f t="shared" si="3"/>
        <v>0</v>
      </c>
    </row>
    <row r="2141">
      <c r="A2141" s="107">
        <f>IFERROR(__xludf.DUMMYFUNCTION("""COMPUTED_VALUE"""),45838.0)</f>
        <v>45838</v>
      </c>
      <c r="B2141" t="str">
        <f>IFERROR(__xludf.DUMMYFUNCTION("""COMPUTED_VALUE"""),"大湖Evy退水電             ' 【未分類支出】")</f>
        <v>大湖Evy退水電             ' 【未分類支出】</v>
      </c>
      <c r="C2141" t="str">
        <f>IFERROR(__xludf.DUMMYFUNCTION("""COMPUTED_VALUE"""),"收入 - 押金")</f>
        <v>收入 - 押金</v>
      </c>
      <c r="D2141" s="270">
        <f>IFERROR(__xludf.DUMMYFUNCTION("""COMPUTED_VALUE"""),-2477.0)</f>
        <v>-2477</v>
      </c>
      <c r="E2141" t="str">
        <f>IFERROR(__xludf.DUMMYFUNCTION("""COMPUTED_VALUE"""),"台銀籌備帳戶")</f>
        <v>台銀籌備帳戶</v>
      </c>
      <c r="G2141" t="str">
        <f>IFERROR(__xludf.DUMMYFUNCTION("""COMPUTED_VALUE"""),"大湖山莊")</f>
        <v>大湖山莊</v>
      </c>
      <c r="H2141" s="106" t="str">
        <f t="shared" si="1"/>
        <v>2025-06</v>
      </c>
      <c r="I2141" s="271" t="str">
        <f>IFERROR(__xludf.DUMMYFUNCTION("""COMPUTED_VALUE"""),"貓狗企鵝")</f>
        <v>貓狗企鵝</v>
      </c>
      <c r="J2141" t="str">
        <f>IFERROR(__xludf.DUMMYFUNCTION("IFS(
  AND(REGEXMATCH(E2141, ""台銀籌備帳戶|玉山帳戶""), REGEXMATCH(C2141, ""薪資"")), ""分潤支出"",
  AND(REGEXMATCH(E2141, ""Ben帳戶|Elsa帳戶|Ben代墊|Ariel代墊|中信銀行共用""), REGEXMATCH(F2141, ""Ben帳戶|Elsa帳戶|Ben代墊|Ariel代墊|中信銀行共用"")), ""內部轉帳(忽略)"",
  AND(E2141&lt;&gt;"""", F2141&lt;&gt;"""", N"&amp;"OT(REGEXMATCH(C2141, ""薪資""))), ""內部轉帳(忽略)"",
  REGEXMATCH(C2141, ""薪資""), ""薪資變動(不計入)"",
  REGEXMATCH(C2141, ""押金""), ""押金往來"",
  AND(E2141&lt;&gt;"""", F2141=""""), ""真實支出"",
  AND(E2141="""", F2141&lt;&gt;""""), ""真實收入"",
  TRUE, ""其他""
)"),"押金往來")</f>
        <v>押金往來</v>
      </c>
      <c r="K2141">
        <f t="shared" si="2"/>
        <v>0</v>
      </c>
      <c r="L2141">
        <f t="shared" si="3"/>
        <v>0</v>
      </c>
    </row>
    <row r="2142">
      <c r="A2142" s="107">
        <f>IFERROR(__xludf.DUMMYFUNCTION("""COMPUTED_VALUE"""),45838.0)</f>
        <v>45838</v>
      </c>
      <c r="B2142" t="str">
        <f>IFERROR(__xludf.DUMMYFUNCTION("""COMPUTED_VALUE"""),"費用 - 匯費 對方行:013 後五碼:80306 (行號: 39)")</f>
        <v>費用 - 匯費 對方行:013 後五碼:80306 (行號: 39)</v>
      </c>
      <c r="C2142" t="str">
        <f>IFERROR(__xludf.DUMMYFUNCTION("""COMPUTED_VALUE"""),"費用 - 匯費")</f>
        <v>費用 - 匯費</v>
      </c>
      <c r="D2142" s="270">
        <f>IFERROR(__xludf.DUMMYFUNCTION("""COMPUTED_VALUE"""),-15.0)</f>
        <v>-15</v>
      </c>
      <c r="E2142" t="str">
        <f>IFERROR(__xludf.DUMMYFUNCTION("""COMPUTED_VALUE"""),"台銀籌備帳戶")</f>
        <v>台銀籌備帳戶</v>
      </c>
      <c r="H2142" s="106" t="str">
        <f t="shared" si="1"/>
        <v>2025-06</v>
      </c>
      <c r="I2142" s="271" t="str">
        <f>IFERROR(__xludf.DUMMYFUNCTION("""COMPUTED_VALUE"""),"貓狗企鵝")</f>
        <v>貓狗企鵝</v>
      </c>
      <c r="J2142" t="str">
        <f>IFERROR(__xludf.DUMMYFUNCTION("IFS(
  AND(REGEXMATCH(E2142, ""台銀籌備帳戶|玉山帳戶""), REGEXMATCH(C2142, ""薪資"")), ""分潤支出"",
  AND(REGEXMATCH(E2142, ""Ben帳戶|Elsa帳戶|Ben代墊|Ariel代墊|中信銀行共用""), REGEXMATCH(F2142, ""Ben帳戶|Elsa帳戶|Ben代墊|Ariel代墊|中信銀行共用"")), ""內部轉帳(忽略)"",
  AND(E2142&lt;&gt;"""", F2142&lt;&gt;"""", N"&amp;"OT(REGEXMATCH(C2142, ""薪資""))), ""內部轉帳(忽略)"",
  REGEXMATCH(C2142, ""薪資""), ""薪資變動(不計入)"",
  REGEXMATCH(C2142, ""押金""), ""押金往來"",
  AND(E2142&lt;&gt;"""", F2142=""""), ""真實支出"",
  AND(E2142="""", F2142&lt;&gt;""""), ""真實收入"",
  TRUE, ""其他""
)"),"真實支出")</f>
        <v>真實支出</v>
      </c>
      <c r="K2142" s="270">
        <f t="shared" si="2"/>
        <v>-15</v>
      </c>
      <c r="L2142">
        <f t="shared" si="3"/>
        <v>0</v>
      </c>
    </row>
    <row r="2143">
      <c r="A2143" s="107">
        <f>IFERROR(__xludf.DUMMYFUNCTION("""COMPUTED_VALUE"""),45838.0)</f>
        <v>45838</v>
      </c>
      <c r="B2143" t="str">
        <f>IFERROR(__xludf.DUMMYFUNCTION("""COMPUTED_VALUE"""),"大湖惠卿退水電            ' 【未分類支出】")</f>
        <v>大湖惠卿退水電            ' 【未分類支出】</v>
      </c>
      <c r="C2143" t="str">
        <f>IFERROR(__xludf.DUMMYFUNCTION("""COMPUTED_VALUE"""),"收入 - 押金")</f>
        <v>收入 - 押金</v>
      </c>
      <c r="D2143" s="270">
        <f>IFERROR(__xludf.DUMMYFUNCTION("""COMPUTED_VALUE"""),-257.0)</f>
        <v>-257</v>
      </c>
      <c r="E2143" t="str">
        <f>IFERROR(__xludf.DUMMYFUNCTION("""COMPUTED_VALUE"""),"台銀籌備帳戶")</f>
        <v>台銀籌備帳戶</v>
      </c>
      <c r="G2143" t="str">
        <f>IFERROR(__xludf.DUMMYFUNCTION("""COMPUTED_VALUE"""),"大湖山莊")</f>
        <v>大湖山莊</v>
      </c>
      <c r="H2143" s="106" t="str">
        <f t="shared" si="1"/>
        <v>2025-06</v>
      </c>
      <c r="I2143" s="271" t="str">
        <f>IFERROR(__xludf.DUMMYFUNCTION("""COMPUTED_VALUE"""),"貓狗企鵝")</f>
        <v>貓狗企鵝</v>
      </c>
      <c r="J2143" t="str">
        <f>IFERROR(__xludf.DUMMYFUNCTION("IFS(
  AND(REGEXMATCH(E2143, ""台銀籌備帳戶|玉山帳戶""), REGEXMATCH(C2143, ""薪資"")), ""分潤支出"",
  AND(REGEXMATCH(E2143, ""Ben帳戶|Elsa帳戶|Ben代墊|Ariel代墊|中信銀行共用""), REGEXMATCH(F2143, ""Ben帳戶|Elsa帳戶|Ben代墊|Ariel代墊|中信銀行共用"")), ""內部轉帳(忽略)"",
  AND(E2143&lt;&gt;"""", F2143&lt;&gt;"""", N"&amp;"OT(REGEXMATCH(C2143, ""薪資""))), ""內部轉帳(忽略)"",
  REGEXMATCH(C2143, ""薪資""), ""薪資變動(不計入)"",
  REGEXMATCH(C2143, ""押金""), ""押金往來"",
  AND(E2143&lt;&gt;"""", F2143=""""), ""真實支出"",
  AND(E2143="""", F2143&lt;&gt;""""), ""真實收入"",
  TRUE, ""其他""
)"),"押金往來")</f>
        <v>押金往來</v>
      </c>
      <c r="K2143">
        <f t="shared" si="2"/>
        <v>0</v>
      </c>
      <c r="L2143">
        <f t="shared" si="3"/>
        <v>0</v>
      </c>
    </row>
    <row r="2144">
      <c r="A2144" s="107">
        <f>IFERROR(__xludf.DUMMYFUNCTION("""COMPUTED_VALUE"""),45838.0)</f>
        <v>45838</v>
      </c>
      <c r="B2144" t="str">
        <f>IFERROR(__xludf.DUMMYFUNCTION("""COMPUTED_VALUE"""),"費用 - 匯費 對方行:013 後五碼:12159 (行號: 43)")</f>
        <v>費用 - 匯費 對方行:013 後五碼:12159 (行號: 43)</v>
      </c>
      <c r="C2144" t="str">
        <f>IFERROR(__xludf.DUMMYFUNCTION("""COMPUTED_VALUE"""),"費用 - 匯費")</f>
        <v>費用 - 匯費</v>
      </c>
      <c r="D2144" s="270">
        <f>IFERROR(__xludf.DUMMYFUNCTION("""COMPUTED_VALUE"""),-15.0)</f>
        <v>-15</v>
      </c>
      <c r="E2144" t="str">
        <f>IFERROR(__xludf.DUMMYFUNCTION("""COMPUTED_VALUE"""),"台銀籌備帳戶")</f>
        <v>台銀籌備帳戶</v>
      </c>
      <c r="H2144" s="106" t="str">
        <f t="shared" si="1"/>
        <v>2025-06</v>
      </c>
      <c r="I2144" s="271" t="str">
        <f>IFERROR(__xludf.DUMMYFUNCTION("""COMPUTED_VALUE"""),"貓狗企鵝")</f>
        <v>貓狗企鵝</v>
      </c>
      <c r="J2144" t="str">
        <f>IFERROR(__xludf.DUMMYFUNCTION("IFS(
  AND(REGEXMATCH(E2144, ""台銀籌備帳戶|玉山帳戶""), REGEXMATCH(C2144, ""薪資"")), ""分潤支出"",
  AND(REGEXMATCH(E2144, ""Ben帳戶|Elsa帳戶|Ben代墊|Ariel代墊|中信銀行共用""), REGEXMATCH(F2144, ""Ben帳戶|Elsa帳戶|Ben代墊|Ariel代墊|中信銀行共用"")), ""內部轉帳(忽略)"",
  AND(E2144&lt;&gt;"""", F2144&lt;&gt;"""", N"&amp;"OT(REGEXMATCH(C2144, ""薪資""))), ""內部轉帳(忽略)"",
  REGEXMATCH(C2144, ""薪資""), ""薪資變動(不計入)"",
  REGEXMATCH(C2144, ""押金""), ""押金往來"",
  AND(E2144&lt;&gt;"""", F2144=""""), ""真實支出"",
  AND(E2144="""", F2144&lt;&gt;""""), ""真實收入"",
  TRUE, ""其他""
)"),"真實支出")</f>
        <v>真實支出</v>
      </c>
      <c r="K2144" s="270">
        <f t="shared" si="2"/>
        <v>-15</v>
      </c>
      <c r="L2144">
        <f t="shared" si="3"/>
        <v>0</v>
      </c>
    </row>
    <row r="2145">
      <c r="A2145" s="107">
        <f>IFERROR(__xludf.DUMMYFUNCTION("""COMPUTED_VALUE"""),45838.0)</f>
        <v>45838</v>
      </c>
      <c r="B2145" t="str">
        <f>IFERROR(__xludf.DUMMYFUNCTION("""COMPUTED_VALUE"""),"????? 【未分類支出】")</f>
        <v>????? 【未分類支出】</v>
      </c>
      <c r="C2145" t="str">
        <f>IFERROR(__xludf.DUMMYFUNCTION("""COMPUTED_VALUE"""),"收入 - 其他")</f>
        <v>收入 - 其他</v>
      </c>
      <c r="D2145" s="270">
        <f>IFERROR(__xludf.DUMMYFUNCTION("""COMPUTED_VALUE"""),-33054.0)</f>
        <v>-33054</v>
      </c>
      <c r="E2145" t="str">
        <f>IFERROR(__xludf.DUMMYFUNCTION("""COMPUTED_VALUE"""),"台銀籌備帳戶")</f>
        <v>台銀籌備帳戶</v>
      </c>
      <c r="G2145" t="str">
        <f>IFERROR(__xludf.DUMMYFUNCTION("""COMPUTED_VALUE"""),"無法分類")</f>
        <v>無法分類</v>
      </c>
      <c r="H2145" s="106" t="str">
        <f t="shared" si="1"/>
        <v>2025-06</v>
      </c>
      <c r="I2145" s="271" t="str">
        <f>IFERROR(__xludf.DUMMYFUNCTION("""COMPUTED_VALUE"""),"貓狗企鵝")</f>
        <v>貓狗企鵝</v>
      </c>
      <c r="J2145" t="str">
        <f>IFERROR(__xludf.DUMMYFUNCTION("IFS(
  AND(REGEXMATCH(E2145, ""台銀籌備帳戶|玉山帳戶""), REGEXMATCH(C2145, ""薪資"")), ""分潤支出"",
  AND(REGEXMATCH(E2145, ""Ben帳戶|Elsa帳戶|Ben代墊|Ariel代墊|中信銀行共用""), REGEXMATCH(F2145, ""Ben帳戶|Elsa帳戶|Ben代墊|Ariel代墊|中信銀行共用"")), ""內部轉帳(忽略)"",
  AND(E2145&lt;&gt;"""", F2145&lt;&gt;"""", N"&amp;"OT(REGEXMATCH(C2145, ""薪資""))), ""內部轉帳(忽略)"",
  REGEXMATCH(C2145, ""薪資""), ""薪資變動(不計入)"",
  REGEXMATCH(C2145, ""押金""), ""押金往來"",
  AND(E2145&lt;&gt;"""", F2145=""""), ""真實支出"",
  AND(E2145="""", F2145&lt;&gt;""""), ""真實收入"",
  TRUE, ""其他""
)"),"真實支出")</f>
        <v>真實支出</v>
      </c>
      <c r="K2145" s="270">
        <f t="shared" si="2"/>
        <v>-33054</v>
      </c>
      <c r="L2145">
        <f t="shared" si="3"/>
        <v>0</v>
      </c>
    </row>
    <row r="2146">
      <c r="A2146" s="107">
        <f>IFERROR(__xludf.DUMMYFUNCTION("""COMPUTED_VALUE"""),45839.0)</f>
        <v>45839</v>
      </c>
      <c r="B2146" t="str">
        <f>IFERROR(__xludf.DUMMYFUNCTION("""COMPUTED_VALUE"""),"[南港站挑高宅] [林淑華] 大租金")</f>
        <v>[南港站挑高宅] [林淑華] 大租金</v>
      </c>
      <c r="C2146" t="str">
        <f>IFERROR(__xludf.DUMMYFUNCTION("""COMPUTED_VALUE"""),"成本 - 大租金")</f>
        <v>成本 - 大租金</v>
      </c>
      <c r="D2146" s="270">
        <f>IFERROR(__xludf.DUMMYFUNCTION("""COMPUTED_VALUE"""),-18250.0)</f>
        <v>-18250</v>
      </c>
      <c r="E2146" t="str">
        <f>IFERROR(__xludf.DUMMYFUNCTION("""COMPUTED_VALUE"""),"台銀籌備帳戶")</f>
        <v>台銀籌備帳戶</v>
      </c>
      <c r="G2146" t="str">
        <f>IFERROR(__xludf.DUMMYFUNCTION("""COMPUTED_VALUE"""),"南港站挑高宅")</f>
        <v>南港站挑高宅</v>
      </c>
      <c r="H2146" s="106" t="str">
        <f t="shared" si="1"/>
        <v>2025-07</v>
      </c>
      <c r="I2146" s="271" t="str">
        <f>IFERROR(__xludf.DUMMYFUNCTION("""COMPUTED_VALUE"""),"貓狗企鵝")</f>
        <v>貓狗企鵝</v>
      </c>
      <c r="J2146" t="str">
        <f>IFERROR(__xludf.DUMMYFUNCTION("IFS(
  AND(REGEXMATCH(E2146, ""台銀籌備帳戶|玉山帳戶""), REGEXMATCH(C2146, ""薪資"")), ""分潤支出"",
  AND(REGEXMATCH(E2146, ""Ben帳戶|Elsa帳戶|Ben代墊|Ariel代墊|中信銀行共用""), REGEXMATCH(F2146, ""Ben帳戶|Elsa帳戶|Ben代墊|Ariel代墊|中信銀行共用"")), ""內部轉帳(忽略)"",
  AND(E2146&lt;&gt;"""", F2146&lt;&gt;"""", N"&amp;"OT(REGEXMATCH(C2146, ""薪資""))), ""內部轉帳(忽略)"",
  REGEXMATCH(C2146, ""薪資""), ""薪資變動(不計入)"",
  REGEXMATCH(C2146, ""押金""), ""押金往來"",
  AND(E2146&lt;&gt;"""", F2146=""""), ""真實支出"",
  AND(E2146="""", F2146&lt;&gt;""""), ""真實收入"",
  TRUE, ""其他""
)"),"真實支出")</f>
        <v>真實支出</v>
      </c>
      <c r="K2146" s="270">
        <f t="shared" si="2"/>
        <v>-18250</v>
      </c>
      <c r="L2146">
        <f t="shared" si="3"/>
        <v>0</v>
      </c>
    </row>
    <row r="2147">
      <c r="A2147" s="107">
        <f>IFERROR(__xludf.DUMMYFUNCTION("""COMPUTED_VALUE"""),45839.0)</f>
        <v>45839</v>
      </c>
      <c r="B2147" t="str">
        <f>IFERROR(__xludf.DUMMYFUNCTION("""COMPUTED_VALUE"""),"費用 - 匯費 對方行:012 後五碼:84509 (行號: 49)")</f>
        <v>費用 - 匯費 對方行:012 後五碼:84509 (行號: 49)</v>
      </c>
      <c r="C2147" t="str">
        <f>IFERROR(__xludf.DUMMYFUNCTION("""COMPUTED_VALUE"""),"費用 - 匯費")</f>
        <v>費用 - 匯費</v>
      </c>
      <c r="D2147" s="270">
        <f>IFERROR(__xludf.DUMMYFUNCTION("""COMPUTED_VALUE"""),-15.0)</f>
        <v>-15</v>
      </c>
      <c r="E2147" t="str">
        <f>IFERROR(__xludf.DUMMYFUNCTION("""COMPUTED_VALUE"""),"台銀籌備帳戶")</f>
        <v>台銀籌備帳戶</v>
      </c>
      <c r="H2147" s="106" t="str">
        <f t="shared" si="1"/>
        <v>2025-07</v>
      </c>
      <c r="I2147" s="271" t="str">
        <f>IFERROR(__xludf.DUMMYFUNCTION("""COMPUTED_VALUE"""),"貓狗企鵝")</f>
        <v>貓狗企鵝</v>
      </c>
      <c r="J2147" t="str">
        <f>IFERROR(__xludf.DUMMYFUNCTION("IFS(
  AND(REGEXMATCH(E2147, ""台銀籌備帳戶|玉山帳戶""), REGEXMATCH(C2147, ""薪資"")), ""分潤支出"",
  AND(REGEXMATCH(E2147, ""Ben帳戶|Elsa帳戶|Ben代墊|Ariel代墊|中信銀行共用""), REGEXMATCH(F2147, ""Ben帳戶|Elsa帳戶|Ben代墊|Ariel代墊|中信銀行共用"")), ""內部轉帳(忽略)"",
  AND(E2147&lt;&gt;"""", F2147&lt;&gt;"""", N"&amp;"OT(REGEXMATCH(C2147, ""薪資""))), ""內部轉帳(忽略)"",
  REGEXMATCH(C2147, ""薪資""), ""薪資變動(不計入)"",
  REGEXMATCH(C2147, ""押金""), ""押金往來"",
  AND(E2147&lt;&gt;"""", F2147=""""), ""真實支出"",
  AND(E2147="""", F2147&lt;&gt;""""), ""真實收入"",
  TRUE, ""其他""
)"),"真實支出")</f>
        <v>真實支出</v>
      </c>
      <c r="K2147" s="270">
        <f t="shared" si="2"/>
        <v>-15</v>
      </c>
      <c r="L2147">
        <f t="shared" si="3"/>
        <v>0</v>
      </c>
    </row>
    <row r="2148">
      <c r="A2148" s="107">
        <f>IFERROR(__xludf.DUMMYFUNCTION("""COMPUTED_VALUE"""),45839.0)</f>
        <v>45839</v>
      </c>
      <c r="B2148" t="str">
        <f>IFERROR(__xludf.DUMMYFUNCTION("""COMPUTED_VALUE"""),"[永春四號] [郭宗仁] 大租金")</f>
        <v>[永春四號] [郭宗仁] 大租金</v>
      </c>
      <c r="C2148" t="str">
        <f>IFERROR(__xludf.DUMMYFUNCTION("""COMPUTED_VALUE"""),"成本 - 大租金")</f>
        <v>成本 - 大租金</v>
      </c>
      <c r="D2148" s="270">
        <f>IFERROR(__xludf.DUMMYFUNCTION("""COMPUTED_VALUE"""),-17000.0)</f>
        <v>-17000</v>
      </c>
      <c r="E2148" t="str">
        <f>IFERROR(__xludf.DUMMYFUNCTION("""COMPUTED_VALUE"""),"台銀籌備帳戶")</f>
        <v>台銀籌備帳戶</v>
      </c>
      <c r="G2148" t="str">
        <f>IFERROR(__xludf.DUMMYFUNCTION("""COMPUTED_VALUE"""),"永春四號")</f>
        <v>永春四號</v>
      </c>
      <c r="H2148" s="106" t="str">
        <f t="shared" si="1"/>
        <v>2025-07</v>
      </c>
      <c r="I2148" s="271" t="str">
        <f>IFERROR(__xludf.DUMMYFUNCTION("""COMPUTED_VALUE"""),"貓狗企鵝")</f>
        <v>貓狗企鵝</v>
      </c>
      <c r="J2148" t="str">
        <f>IFERROR(__xludf.DUMMYFUNCTION("IFS(
  AND(REGEXMATCH(E2148, ""台銀籌備帳戶|玉山帳戶""), REGEXMATCH(C2148, ""薪資"")), ""分潤支出"",
  AND(REGEXMATCH(E2148, ""Ben帳戶|Elsa帳戶|Ben代墊|Ariel代墊|中信銀行共用""), REGEXMATCH(F2148, ""Ben帳戶|Elsa帳戶|Ben代墊|Ariel代墊|中信銀行共用"")), ""內部轉帳(忽略)"",
  AND(E2148&lt;&gt;"""", F2148&lt;&gt;"""", N"&amp;"OT(REGEXMATCH(C2148, ""薪資""))), ""內部轉帳(忽略)"",
  REGEXMATCH(C2148, ""薪資""), ""薪資變動(不計入)"",
  REGEXMATCH(C2148, ""押金""), ""押金往來"",
  AND(E2148&lt;&gt;"""", F2148=""""), ""真實支出"",
  AND(E2148="""", F2148&lt;&gt;""""), ""真實收入"",
  TRUE, ""其他""
)"),"真實支出")</f>
        <v>真實支出</v>
      </c>
      <c r="K2148" s="270">
        <f t="shared" si="2"/>
        <v>-17000</v>
      </c>
      <c r="L2148">
        <f t="shared" si="3"/>
        <v>0</v>
      </c>
    </row>
    <row r="2149">
      <c r="A2149" s="107">
        <f>IFERROR(__xludf.DUMMYFUNCTION("""COMPUTED_VALUE"""),45839.0)</f>
        <v>45839</v>
      </c>
      <c r="B2149" t="str">
        <f>IFERROR(__xludf.DUMMYFUNCTION("""COMPUTED_VALUE"""),"費用 - 匯費 對方行:012 後五碼:46295 (行號: 50)")</f>
        <v>費用 - 匯費 對方行:012 後五碼:46295 (行號: 50)</v>
      </c>
      <c r="C2149" t="str">
        <f>IFERROR(__xludf.DUMMYFUNCTION("""COMPUTED_VALUE"""),"費用 - 匯費")</f>
        <v>費用 - 匯費</v>
      </c>
      <c r="D2149" s="270">
        <f>IFERROR(__xludf.DUMMYFUNCTION("""COMPUTED_VALUE"""),-15.0)</f>
        <v>-15</v>
      </c>
      <c r="E2149" t="str">
        <f>IFERROR(__xludf.DUMMYFUNCTION("""COMPUTED_VALUE"""),"台銀籌備帳戶")</f>
        <v>台銀籌備帳戶</v>
      </c>
      <c r="H2149" s="106" t="str">
        <f t="shared" si="1"/>
        <v>2025-07</v>
      </c>
      <c r="I2149" s="271" t="str">
        <f>IFERROR(__xludf.DUMMYFUNCTION("""COMPUTED_VALUE"""),"貓狗企鵝")</f>
        <v>貓狗企鵝</v>
      </c>
      <c r="J2149" t="str">
        <f>IFERROR(__xludf.DUMMYFUNCTION("IFS(
  AND(REGEXMATCH(E2149, ""台銀籌備帳戶|玉山帳戶""), REGEXMATCH(C2149, ""薪資"")), ""分潤支出"",
  AND(REGEXMATCH(E2149, ""Ben帳戶|Elsa帳戶|Ben代墊|Ariel代墊|中信銀行共用""), REGEXMATCH(F2149, ""Ben帳戶|Elsa帳戶|Ben代墊|Ariel代墊|中信銀行共用"")), ""內部轉帳(忽略)"",
  AND(E2149&lt;&gt;"""", F2149&lt;&gt;"""", N"&amp;"OT(REGEXMATCH(C2149, ""薪資""))), ""內部轉帳(忽略)"",
  REGEXMATCH(C2149, ""薪資""), ""薪資變動(不計入)"",
  REGEXMATCH(C2149, ""押金""), ""押金往來"",
  AND(E2149&lt;&gt;"""", F2149=""""), ""真實支出"",
  AND(E2149="""", F2149&lt;&gt;""""), ""真實收入"",
  TRUE, ""其他""
)"),"真實支出")</f>
        <v>真實支出</v>
      </c>
      <c r="K2149" s="270">
        <f t="shared" si="2"/>
        <v>-15</v>
      </c>
      <c r="L2149">
        <f t="shared" si="3"/>
        <v>0</v>
      </c>
    </row>
    <row r="2150">
      <c r="A2150" s="107">
        <f>IFERROR(__xludf.DUMMYFUNCTION("""COMPUTED_VALUE"""),45839.0)</f>
        <v>45839</v>
      </c>
      <c r="B2150" t="str">
        <f>IFERROR(__xludf.DUMMYFUNCTION("""COMPUTED_VALUE"""),"[永春四號] [郭宗仁] 大租金")</f>
        <v>[永春四號] [郭宗仁] 大租金</v>
      </c>
      <c r="C2150" t="str">
        <f>IFERROR(__xludf.DUMMYFUNCTION("""COMPUTED_VALUE"""),"成本 - 大租金")</f>
        <v>成本 - 大租金</v>
      </c>
      <c r="D2150" s="270">
        <f>IFERROR(__xludf.DUMMYFUNCTION("""COMPUTED_VALUE"""),-17000.0)</f>
        <v>-17000</v>
      </c>
      <c r="E2150" t="str">
        <f>IFERROR(__xludf.DUMMYFUNCTION("""COMPUTED_VALUE"""),"台銀籌備帳戶")</f>
        <v>台銀籌備帳戶</v>
      </c>
      <c r="G2150" t="str">
        <f>IFERROR(__xludf.DUMMYFUNCTION("""COMPUTED_VALUE"""),"永春四號")</f>
        <v>永春四號</v>
      </c>
      <c r="H2150" s="106" t="str">
        <f t="shared" si="1"/>
        <v>2025-07</v>
      </c>
      <c r="I2150" s="271" t="str">
        <f>IFERROR(__xludf.DUMMYFUNCTION("""COMPUTED_VALUE"""),"貓狗企鵝")</f>
        <v>貓狗企鵝</v>
      </c>
      <c r="J2150" t="str">
        <f>IFERROR(__xludf.DUMMYFUNCTION("IFS(
  AND(REGEXMATCH(E2150, ""台銀籌備帳戶|玉山帳戶""), REGEXMATCH(C2150, ""薪資"")), ""分潤支出"",
  AND(REGEXMATCH(E2150, ""Ben帳戶|Elsa帳戶|Ben代墊|Ariel代墊|中信銀行共用""), REGEXMATCH(F2150, ""Ben帳戶|Elsa帳戶|Ben代墊|Ariel代墊|中信銀行共用"")), ""內部轉帳(忽略)"",
  AND(E2150&lt;&gt;"""", F2150&lt;&gt;"""", N"&amp;"OT(REGEXMATCH(C2150, ""薪資""))), ""內部轉帳(忽略)"",
  REGEXMATCH(C2150, ""薪資""), ""薪資變動(不計入)"",
  REGEXMATCH(C2150, ""押金""), ""押金往來"",
  AND(E2150&lt;&gt;"""", F2150=""""), ""真實支出"",
  AND(E2150="""", F2150&lt;&gt;""""), ""真實收入"",
  TRUE, ""其他""
)"),"真實支出")</f>
        <v>真實支出</v>
      </c>
      <c r="K2150" s="270">
        <f t="shared" si="2"/>
        <v>-17000</v>
      </c>
      <c r="L2150">
        <f t="shared" si="3"/>
        <v>0</v>
      </c>
    </row>
    <row r="2151">
      <c r="A2151" s="107">
        <f>IFERROR(__xludf.DUMMYFUNCTION("""COMPUTED_VALUE"""),45839.0)</f>
        <v>45839</v>
      </c>
      <c r="B2151" t="str">
        <f>IFERROR(__xludf.DUMMYFUNCTION("""COMPUTED_VALUE"""),"費用 - 匯費 對方行:700 後五碼:19509 (行號: 51)")</f>
        <v>費用 - 匯費 對方行:700 後五碼:19509 (行號: 51)</v>
      </c>
      <c r="C2151" t="str">
        <f>IFERROR(__xludf.DUMMYFUNCTION("""COMPUTED_VALUE"""),"費用 - 匯費")</f>
        <v>費用 - 匯費</v>
      </c>
      <c r="D2151" s="270">
        <f>IFERROR(__xludf.DUMMYFUNCTION("""COMPUTED_VALUE"""),-15.0)</f>
        <v>-15</v>
      </c>
      <c r="E2151" t="str">
        <f>IFERROR(__xludf.DUMMYFUNCTION("""COMPUTED_VALUE"""),"台銀籌備帳戶")</f>
        <v>台銀籌備帳戶</v>
      </c>
      <c r="H2151" s="106" t="str">
        <f t="shared" si="1"/>
        <v>2025-07</v>
      </c>
      <c r="I2151" s="271" t="str">
        <f>IFERROR(__xludf.DUMMYFUNCTION("""COMPUTED_VALUE"""),"貓狗企鵝")</f>
        <v>貓狗企鵝</v>
      </c>
      <c r="J2151" t="str">
        <f>IFERROR(__xludf.DUMMYFUNCTION("IFS(
  AND(REGEXMATCH(E2151, ""台銀籌備帳戶|玉山帳戶""), REGEXMATCH(C2151, ""薪資"")), ""分潤支出"",
  AND(REGEXMATCH(E2151, ""Ben帳戶|Elsa帳戶|Ben代墊|Ariel代墊|中信銀行共用""), REGEXMATCH(F2151, ""Ben帳戶|Elsa帳戶|Ben代墊|Ariel代墊|中信銀行共用"")), ""內部轉帳(忽略)"",
  AND(E2151&lt;&gt;"""", F2151&lt;&gt;"""", N"&amp;"OT(REGEXMATCH(C2151, ""薪資""))), ""內部轉帳(忽略)"",
  REGEXMATCH(C2151, ""薪資""), ""薪資變動(不計入)"",
  REGEXMATCH(C2151, ""押金""), ""押金往來"",
  AND(E2151&lt;&gt;"""", F2151=""""), ""真實支出"",
  AND(E2151="""", F2151&lt;&gt;""""), ""真實收入"",
  TRUE, ""其他""
)"),"真實支出")</f>
        <v>真實支出</v>
      </c>
      <c r="K2151" s="270">
        <f t="shared" si="2"/>
        <v>-15</v>
      </c>
      <c r="L2151">
        <f t="shared" si="3"/>
        <v>0</v>
      </c>
    </row>
    <row r="2152">
      <c r="A2152" s="107">
        <f>IFERROR(__xludf.DUMMYFUNCTION("""COMPUTED_VALUE"""),45839.0)</f>
        <v>45839</v>
      </c>
      <c r="B2152" t="str">
        <f>IFERROR(__xludf.DUMMYFUNCTION("""COMPUTED_VALUE"""),"[龍江229] [游為傑] 大租金")</f>
        <v>[龍江229] [游為傑] 大租金</v>
      </c>
      <c r="C2152" t="str">
        <f>IFERROR(__xludf.DUMMYFUNCTION("""COMPUTED_VALUE"""),"成本 - 大租金")</f>
        <v>成本 - 大租金</v>
      </c>
      <c r="D2152" s="270">
        <f>IFERROR(__xludf.DUMMYFUNCTION("""COMPUTED_VALUE"""),-13500.0)</f>
        <v>-13500</v>
      </c>
      <c r="E2152" t="str">
        <f>IFERROR(__xludf.DUMMYFUNCTION("""COMPUTED_VALUE"""),"台銀籌備帳戶")</f>
        <v>台銀籌備帳戶</v>
      </c>
      <c r="G2152" t="str">
        <f>IFERROR(__xludf.DUMMYFUNCTION("""COMPUTED_VALUE"""),"龍江229")</f>
        <v>龍江229</v>
      </c>
      <c r="H2152" s="106" t="str">
        <f t="shared" si="1"/>
        <v>2025-07</v>
      </c>
      <c r="I2152" s="271" t="str">
        <f>IFERROR(__xludf.DUMMYFUNCTION("""COMPUTED_VALUE"""),"貓狗企鵝")</f>
        <v>貓狗企鵝</v>
      </c>
      <c r="J2152" t="str">
        <f>IFERROR(__xludf.DUMMYFUNCTION("IFS(
  AND(REGEXMATCH(E2152, ""台銀籌備帳戶|玉山帳戶""), REGEXMATCH(C2152, ""薪資"")), ""分潤支出"",
  AND(REGEXMATCH(E2152, ""Ben帳戶|Elsa帳戶|Ben代墊|Ariel代墊|中信銀行共用""), REGEXMATCH(F2152, ""Ben帳戶|Elsa帳戶|Ben代墊|Ariel代墊|中信銀行共用"")), ""內部轉帳(忽略)"",
  AND(E2152&lt;&gt;"""", F2152&lt;&gt;"""", N"&amp;"OT(REGEXMATCH(C2152, ""薪資""))), ""內部轉帳(忽略)"",
  REGEXMATCH(C2152, ""薪資""), ""薪資變動(不計入)"",
  REGEXMATCH(C2152, ""押金""), ""押金往來"",
  AND(E2152&lt;&gt;"""", F2152=""""), ""真實支出"",
  AND(E2152="""", F2152&lt;&gt;""""), ""真實收入"",
  TRUE, ""其他""
)"),"真實支出")</f>
        <v>真實支出</v>
      </c>
      <c r="K2152" s="270">
        <f t="shared" si="2"/>
        <v>-13500</v>
      </c>
      <c r="L2152">
        <f t="shared" si="3"/>
        <v>0</v>
      </c>
    </row>
    <row r="2153">
      <c r="A2153" s="107">
        <f>IFERROR(__xludf.DUMMYFUNCTION("""COMPUTED_VALUE"""),45839.0)</f>
        <v>45839</v>
      </c>
      <c r="B2153" t="str">
        <f>IFERROR(__xludf.DUMMYFUNCTION("""COMPUTED_VALUE"""),"費用 - 匯費 對方行:012 後五碼:74779 (行號: 52)")</f>
        <v>費用 - 匯費 對方行:012 後五碼:74779 (行號: 52)</v>
      </c>
      <c r="C2153" t="str">
        <f>IFERROR(__xludf.DUMMYFUNCTION("""COMPUTED_VALUE"""),"費用 - 匯費")</f>
        <v>費用 - 匯費</v>
      </c>
      <c r="D2153" s="270">
        <f>IFERROR(__xludf.DUMMYFUNCTION("""COMPUTED_VALUE"""),-15.0)</f>
        <v>-15</v>
      </c>
      <c r="E2153" t="str">
        <f>IFERROR(__xludf.DUMMYFUNCTION("""COMPUTED_VALUE"""),"台銀籌備帳戶")</f>
        <v>台銀籌備帳戶</v>
      </c>
      <c r="H2153" s="106" t="str">
        <f t="shared" si="1"/>
        <v>2025-07</v>
      </c>
      <c r="I2153" s="271" t="str">
        <f>IFERROR(__xludf.DUMMYFUNCTION("""COMPUTED_VALUE"""),"貓狗企鵝")</f>
        <v>貓狗企鵝</v>
      </c>
      <c r="J2153" t="str">
        <f>IFERROR(__xludf.DUMMYFUNCTION("IFS(
  AND(REGEXMATCH(E2153, ""台銀籌備帳戶|玉山帳戶""), REGEXMATCH(C2153, ""薪資"")), ""分潤支出"",
  AND(REGEXMATCH(E2153, ""Ben帳戶|Elsa帳戶|Ben代墊|Ariel代墊|中信銀行共用""), REGEXMATCH(F2153, ""Ben帳戶|Elsa帳戶|Ben代墊|Ariel代墊|中信銀行共用"")), ""內部轉帳(忽略)"",
  AND(E2153&lt;&gt;"""", F2153&lt;&gt;"""", N"&amp;"OT(REGEXMATCH(C2153, ""薪資""))), ""內部轉帳(忽略)"",
  REGEXMATCH(C2153, ""薪資""), ""薪資變動(不計入)"",
  REGEXMATCH(C2153, ""押金""), ""押金往來"",
  AND(E2153&lt;&gt;"""", F2153=""""), ""真實支出"",
  AND(E2153="""", F2153&lt;&gt;""""), ""真實收入"",
  TRUE, ""其他""
)"),"真實支出")</f>
        <v>真實支出</v>
      </c>
      <c r="K2153" s="270">
        <f t="shared" si="2"/>
        <v>-15</v>
      </c>
      <c r="L2153">
        <f t="shared" si="3"/>
        <v>0</v>
      </c>
    </row>
    <row r="2154">
      <c r="A2154" s="107">
        <f>IFERROR(__xludf.DUMMYFUNCTION("""COMPUTED_VALUE"""),45839.0)</f>
        <v>45839</v>
      </c>
      <c r="B2154" t="str">
        <f>IFERROR(__xludf.DUMMYFUNCTION("""COMPUTED_VALUE"""),"[市府爺爺家] [常永年] 大租金")</f>
        <v>[市府爺爺家] [常永年] 大租金</v>
      </c>
      <c r="C2154" t="str">
        <f>IFERROR(__xludf.DUMMYFUNCTION("""COMPUTED_VALUE"""),"成本 - 大租金")</f>
        <v>成本 - 大租金</v>
      </c>
      <c r="D2154" s="270">
        <f>IFERROR(__xludf.DUMMYFUNCTION("""COMPUTED_VALUE"""),-12000.0)</f>
        <v>-12000</v>
      </c>
      <c r="E2154" t="str">
        <f>IFERROR(__xludf.DUMMYFUNCTION("""COMPUTED_VALUE"""),"台銀籌備帳戶")</f>
        <v>台銀籌備帳戶</v>
      </c>
      <c r="G2154" t="str">
        <f>IFERROR(__xludf.DUMMYFUNCTION("""COMPUTED_VALUE"""),"市府爺爺家")</f>
        <v>市府爺爺家</v>
      </c>
      <c r="H2154" s="106" t="str">
        <f t="shared" si="1"/>
        <v>2025-07</v>
      </c>
      <c r="I2154" s="271" t="str">
        <f>IFERROR(__xludf.DUMMYFUNCTION("""COMPUTED_VALUE"""),"貓狗企鵝")</f>
        <v>貓狗企鵝</v>
      </c>
      <c r="J2154" t="str">
        <f>IFERROR(__xludf.DUMMYFUNCTION("IFS(
  AND(REGEXMATCH(E2154, ""台銀籌備帳戶|玉山帳戶""), REGEXMATCH(C2154, ""薪資"")), ""分潤支出"",
  AND(REGEXMATCH(E2154, ""Ben帳戶|Elsa帳戶|Ben代墊|Ariel代墊|中信銀行共用""), REGEXMATCH(F2154, ""Ben帳戶|Elsa帳戶|Ben代墊|Ariel代墊|中信銀行共用"")), ""內部轉帳(忽略)"",
  AND(E2154&lt;&gt;"""", F2154&lt;&gt;"""", N"&amp;"OT(REGEXMATCH(C2154, ""薪資""))), ""內部轉帳(忽略)"",
  REGEXMATCH(C2154, ""薪資""), ""薪資變動(不計入)"",
  REGEXMATCH(C2154, ""押金""), ""押金往來"",
  AND(E2154&lt;&gt;"""", F2154=""""), ""真實支出"",
  AND(E2154="""", F2154&lt;&gt;""""), ""真實收入"",
  TRUE, ""其他""
)"),"真實支出")</f>
        <v>真實支出</v>
      </c>
      <c r="K2154" s="270">
        <f t="shared" si="2"/>
        <v>-12000</v>
      </c>
      <c r="L2154">
        <f t="shared" si="3"/>
        <v>0</v>
      </c>
    </row>
    <row r="2155">
      <c r="A2155" s="107">
        <f>IFERROR(__xludf.DUMMYFUNCTION("""COMPUTED_VALUE"""),45839.0)</f>
        <v>45839</v>
      </c>
      <c r="B2155" t="str">
        <f>IFERROR(__xludf.DUMMYFUNCTION("""COMPUTED_VALUE"""),"費用 - 匯費 對方行:052 後五碼:22609 (行號: 53)")</f>
        <v>費用 - 匯費 對方行:052 後五碼:22609 (行號: 53)</v>
      </c>
      <c r="C2155" t="str">
        <f>IFERROR(__xludf.DUMMYFUNCTION("""COMPUTED_VALUE"""),"費用 - 匯費")</f>
        <v>費用 - 匯費</v>
      </c>
      <c r="D2155" s="270">
        <f>IFERROR(__xludf.DUMMYFUNCTION("""COMPUTED_VALUE"""),-15.0)</f>
        <v>-15</v>
      </c>
      <c r="E2155" t="str">
        <f>IFERROR(__xludf.DUMMYFUNCTION("""COMPUTED_VALUE"""),"台銀籌備帳戶")</f>
        <v>台銀籌備帳戶</v>
      </c>
      <c r="H2155" s="106" t="str">
        <f t="shared" si="1"/>
        <v>2025-07</v>
      </c>
      <c r="I2155" s="271" t="str">
        <f>IFERROR(__xludf.DUMMYFUNCTION("""COMPUTED_VALUE"""),"貓狗企鵝")</f>
        <v>貓狗企鵝</v>
      </c>
      <c r="J2155" t="str">
        <f>IFERROR(__xludf.DUMMYFUNCTION("IFS(
  AND(REGEXMATCH(E2155, ""台銀籌備帳戶|玉山帳戶""), REGEXMATCH(C2155, ""薪資"")), ""分潤支出"",
  AND(REGEXMATCH(E2155, ""Ben帳戶|Elsa帳戶|Ben代墊|Ariel代墊|中信銀行共用""), REGEXMATCH(F2155, ""Ben帳戶|Elsa帳戶|Ben代墊|Ariel代墊|中信銀行共用"")), ""內部轉帳(忽略)"",
  AND(E2155&lt;&gt;"""", F2155&lt;&gt;"""", N"&amp;"OT(REGEXMATCH(C2155, ""薪資""))), ""內部轉帳(忽略)"",
  REGEXMATCH(C2155, ""薪資""), ""薪資變動(不計入)"",
  REGEXMATCH(C2155, ""押金""), ""押金往來"",
  AND(E2155&lt;&gt;"""", F2155=""""), ""真實支出"",
  AND(E2155="""", F2155&lt;&gt;""""), ""真實收入"",
  TRUE, ""其他""
)"),"真實支出")</f>
        <v>真實支出</v>
      </c>
      <c r="K2155" s="270">
        <f t="shared" si="2"/>
        <v>-15</v>
      </c>
      <c r="L2155">
        <f t="shared" si="3"/>
        <v>0</v>
      </c>
    </row>
    <row r="2156">
      <c r="A2156" s="107">
        <f>IFERROR(__xludf.DUMMYFUNCTION("""COMPUTED_VALUE"""),45839.0)</f>
        <v>45839</v>
      </c>
      <c r="B2156" t="str">
        <f>IFERROR(__xludf.DUMMYFUNCTION("""COMPUTED_VALUE"""),"[中山北Feli家] [陳玉蘭] 大租金")</f>
        <v>[中山北Feli家] [陳玉蘭] 大租金</v>
      </c>
      <c r="C2156" t="str">
        <f>IFERROR(__xludf.DUMMYFUNCTION("""COMPUTED_VALUE"""),"成本 - 大租金")</f>
        <v>成本 - 大租金</v>
      </c>
      <c r="D2156" s="270">
        <f>IFERROR(__xludf.DUMMYFUNCTION("""COMPUTED_VALUE"""),-18000.0)</f>
        <v>-18000</v>
      </c>
      <c r="E2156" t="str">
        <f>IFERROR(__xludf.DUMMYFUNCTION("""COMPUTED_VALUE"""),"台銀籌備帳戶")</f>
        <v>台銀籌備帳戶</v>
      </c>
      <c r="G2156" t="str">
        <f>IFERROR(__xludf.DUMMYFUNCTION("""COMPUTED_VALUE"""),"中山北Feli家")</f>
        <v>中山北Feli家</v>
      </c>
      <c r="H2156" s="106" t="str">
        <f t="shared" si="1"/>
        <v>2025-07</v>
      </c>
      <c r="I2156" s="271" t="str">
        <f>IFERROR(__xludf.DUMMYFUNCTION("""COMPUTED_VALUE"""),"貓狗企鵝")</f>
        <v>貓狗企鵝</v>
      </c>
      <c r="J2156" t="str">
        <f>IFERROR(__xludf.DUMMYFUNCTION("IFS(
  AND(REGEXMATCH(E2156, ""台銀籌備帳戶|玉山帳戶""), REGEXMATCH(C2156, ""薪資"")), ""分潤支出"",
  AND(REGEXMATCH(E2156, ""Ben帳戶|Elsa帳戶|Ben代墊|Ariel代墊|中信銀行共用""), REGEXMATCH(F2156, ""Ben帳戶|Elsa帳戶|Ben代墊|Ariel代墊|中信銀行共用"")), ""內部轉帳(忽略)"",
  AND(E2156&lt;&gt;"""", F2156&lt;&gt;"""", N"&amp;"OT(REGEXMATCH(C2156, ""薪資""))), ""內部轉帳(忽略)"",
  REGEXMATCH(C2156, ""薪資""), ""薪資變動(不計入)"",
  REGEXMATCH(C2156, ""押金""), ""押金往來"",
  AND(E2156&lt;&gt;"""", F2156=""""), ""真實支出"",
  AND(E2156="""", F2156&lt;&gt;""""), ""真實收入"",
  TRUE, ""其他""
)"),"真實支出")</f>
        <v>真實支出</v>
      </c>
      <c r="K2156" s="270">
        <f t="shared" si="2"/>
        <v>-18000</v>
      </c>
      <c r="L2156">
        <f t="shared" si="3"/>
        <v>0</v>
      </c>
    </row>
    <row r="2157">
      <c r="A2157" s="107">
        <f>IFERROR(__xludf.DUMMYFUNCTION("""COMPUTED_VALUE"""),45839.0)</f>
        <v>45839</v>
      </c>
      <c r="B2157" t="str">
        <f>IFERROR(__xludf.DUMMYFUNCTION("""COMPUTED_VALUE"""),"費用 - 匯費 對方行:013 後五碼:20652 (行號: 54)")</f>
        <v>費用 - 匯費 對方行:013 後五碼:20652 (行號: 54)</v>
      </c>
      <c r="C2157" t="str">
        <f>IFERROR(__xludf.DUMMYFUNCTION("""COMPUTED_VALUE"""),"費用 - 匯費")</f>
        <v>費用 - 匯費</v>
      </c>
      <c r="D2157" s="270">
        <f>IFERROR(__xludf.DUMMYFUNCTION("""COMPUTED_VALUE"""),-15.0)</f>
        <v>-15</v>
      </c>
      <c r="E2157" t="str">
        <f>IFERROR(__xludf.DUMMYFUNCTION("""COMPUTED_VALUE"""),"台銀籌備帳戶")</f>
        <v>台銀籌備帳戶</v>
      </c>
      <c r="H2157" s="106" t="str">
        <f t="shared" si="1"/>
        <v>2025-07</v>
      </c>
      <c r="I2157" s="271" t="str">
        <f>IFERROR(__xludf.DUMMYFUNCTION("""COMPUTED_VALUE"""),"貓狗企鵝")</f>
        <v>貓狗企鵝</v>
      </c>
      <c r="J2157" t="str">
        <f>IFERROR(__xludf.DUMMYFUNCTION("IFS(
  AND(REGEXMATCH(E2157, ""台銀籌備帳戶|玉山帳戶""), REGEXMATCH(C2157, ""薪資"")), ""分潤支出"",
  AND(REGEXMATCH(E2157, ""Ben帳戶|Elsa帳戶|Ben代墊|Ariel代墊|中信銀行共用""), REGEXMATCH(F2157, ""Ben帳戶|Elsa帳戶|Ben代墊|Ariel代墊|中信銀行共用"")), ""內部轉帳(忽略)"",
  AND(E2157&lt;&gt;"""", F2157&lt;&gt;"""", N"&amp;"OT(REGEXMATCH(C2157, ""薪資""))), ""內部轉帳(忽略)"",
  REGEXMATCH(C2157, ""薪資""), ""薪資變動(不計入)"",
  REGEXMATCH(C2157, ""押金""), ""押金往來"",
  AND(E2157&lt;&gt;"""", F2157=""""), ""真實支出"",
  AND(E2157="""", F2157&lt;&gt;""""), ""真實收入"",
  TRUE, ""其他""
)"),"真實支出")</f>
        <v>真實支出</v>
      </c>
      <c r="K2157" s="270">
        <f t="shared" si="2"/>
        <v>-15</v>
      </c>
      <c r="L2157">
        <f t="shared" si="3"/>
        <v>0</v>
      </c>
    </row>
    <row r="2158">
      <c r="A2158" s="107">
        <f>IFERROR(__xludf.DUMMYFUNCTION("""COMPUTED_VALUE"""),45839.0)</f>
        <v>45839</v>
      </c>
      <c r="B2158" t="str">
        <f>IFERROR(__xludf.DUMMYFUNCTION("""COMPUTED_VALUE"""),"[景安2分鐘] [王逸荃] 大租金")</f>
        <v>[景安2分鐘] [王逸荃] 大租金</v>
      </c>
      <c r="C2158" t="str">
        <f>IFERROR(__xludf.DUMMYFUNCTION("""COMPUTED_VALUE"""),"成本 - 大租金")</f>
        <v>成本 - 大租金</v>
      </c>
      <c r="D2158" s="270">
        <f>IFERROR(__xludf.DUMMYFUNCTION("""COMPUTED_VALUE"""),-12500.0)</f>
        <v>-12500</v>
      </c>
      <c r="E2158" t="str">
        <f>IFERROR(__xludf.DUMMYFUNCTION("""COMPUTED_VALUE"""),"台銀籌備帳戶")</f>
        <v>台銀籌備帳戶</v>
      </c>
      <c r="G2158" t="str">
        <f>IFERROR(__xludf.DUMMYFUNCTION("""COMPUTED_VALUE"""),"景安2分鐘")</f>
        <v>景安2分鐘</v>
      </c>
      <c r="H2158" s="106" t="str">
        <f t="shared" si="1"/>
        <v>2025-07</v>
      </c>
      <c r="I2158" s="271" t="str">
        <f>IFERROR(__xludf.DUMMYFUNCTION("""COMPUTED_VALUE"""),"貓狗企鵝")</f>
        <v>貓狗企鵝</v>
      </c>
      <c r="J2158" t="str">
        <f>IFERROR(__xludf.DUMMYFUNCTION("IFS(
  AND(REGEXMATCH(E2158, ""台銀籌備帳戶|玉山帳戶""), REGEXMATCH(C2158, ""薪資"")), ""分潤支出"",
  AND(REGEXMATCH(E2158, ""Ben帳戶|Elsa帳戶|Ben代墊|Ariel代墊|中信銀行共用""), REGEXMATCH(F2158, ""Ben帳戶|Elsa帳戶|Ben代墊|Ariel代墊|中信銀行共用"")), ""內部轉帳(忽略)"",
  AND(E2158&lt;&gt;"""", F2158&lt;&gt;"""", N"&amp;"OT(REGEXMATCH(C2158, ""薪資""))), ""內部轉帳(忽略)"",
  REGEXMATCH(C2158, ""薪資""), ""薪資變動(不計入)"",
  REGEXMATCH(C2158, ""押金""), ""押金往來"",
  AND(E2158&lt;&gt;"""", F2158=""""), ""真實支出"",
  AND(E2158="""", F2158&lt;&gt;""""), ""真實收入"",
  TRUE, ""其他""
)"),"真實支出")</f>
        <v>真實支出</v>
      </c>
      <c r="K2158" s="270">
        <f t="shared" si="2"/>
        <v>-12500</v>
      </c>
      <c r="L2158">
        <f t="shared" si="3"/>
        <v>0</v>
      </c>
    </row>
    <row r="2159">
      <c r="A2159" s="107">
        <f>IFERROR(__xludf.DUMMYFUNCTION("""COMPUTED_VALUE"""),45839.0)</f>
        <v>45839</v>
      </c>
      <c r="B2159" t="str">
        <f>IFERROR(__xludf.DUMMYFUNCTION("""COMPUTED_VALUE"""),"費用 - 匯費 對方行:822 後五碼:06708 (行號: 55)")</f>
        <v>費用 - 匯費 對方行:822 後五碼:06708 (行號: 55)</v>
      </c>
      <c r="C2159" t="str">
        <f>IFERROR(__xludf.DUMMYFUNCTION("""COMPUTED_VALUE"""),"費用 - 匯費")</f>
        <v>費用 - 匯費</v>
      </c>
      <c r="D2159" s="270">
        <f>IFERROR(__xludf.DUMMYFUNCTION("""COMPUTED_VALUE"""),-15.0)</f>
        <v>-15</v>
      </c>
      <c r="E2159" t="str">
        <f>IFERROR(__xludf.DUMMYFUNCTION("""COMPUTED_VALUE"""),"台銀籌備帳戶")</f>
        <v>台銀籌備帳戶</v>
      </c>
      <c r="H2159" s="106" t="str">
        <f t="shared" si="1"/>
        <v>2025-07</v>
      </c>
      <c r="I2159" s="271" t="str">
        <f>IFERROR(__xludf.DUMMYFUNCTION("""COMPUTED_VALUE"""),"貓狗企鵝")</f>
        <v>貓狗企鵝</v>
      </c>
      <c r="J2159" t="str">
        <f>IFERROR(__xludf.DUMMYFUNCTION("IFS(
  AND(REGEXMATCH(E2159, ""台銀籌備帳戶|玉山帳戶""), REGEXMATCH(C2159, ""薪資"")), ""分潤支出"",
  AND(REGEXMATCH(E2159, ""Ben帳戶|Elsa帳戶|Ben代墊|Ariel代墊|中信銀行共用""), REGEXMATCH(F2159, ""Ben帳戶|Elsa帳戶|Ben代墊|Ariel代墊|中信銀行共用"")), ""內部轉帳(忽略)"",
  AND(E2159&lt;&gt;"""", F2159&lt;&gt;"""", N"&amp;"OT(REGEXMATCH(C2159, ""薪資""))), ""內部轉帳(忽略)"",
  REGEXMATCH(C2159, ""薪資""), ""薪資變動(不計入)"",
  REGEXMATCH(C2159, ""押金""), ""押金往來"",
  AND(E2159&lt;&gt;"""", F2159=""""), ""真實支出"",
  AND(E2159="""", F2159&lt;&gt;""""), ""真實收入"",
  TRUE, ""其他""
)"),"真實支出")</f>
        <v>真實支出</v>
      </c>
      <c r="K2159" s="270">
        <f t="shared" si="2"/>
        <v>-15</v>
      </c>
      <c r="L2159">
        <f t="shared" si="3"/>
        <v>0</v>
      </c>
    </row>
    <row r="2160">
      <c r="A2160" s="107">
        <f>IFERROR(__xludf.DUMMYFUNCTION("""COMPUTED_VALUE"""),45839.0)</f>
        <v>45839</v>
      </c>
      <c r="B2160" t="str">
        <f>IFERROR(__xludf.DUMMYFUNCTION("""COMPUTED_VALUE"""),"[金龍帽子先生] [郭娟伶] 大租金")</f>
        <v>[金龍帽子先生] [郭娟伶] 大租金</v>
      </c>
      <c r="C2160" t="str">
        <f>IFERROR(__xludf.DUMMYFUNCTION("""COMPUTED_VALUE"""),"成本 - 大租金")</f>
        <v>成本 - 大租金</v>
      </c>
      <c r="D2160" s="270">
        <f>IFERROR(__xludf.DUMMYFUNCTION("""COMPUTED_VALUE"""),-17750.0)</f>
        <v>-17750</v>
      </c>
      <c r="E2160" t="str">
        <f>IFERROR(__xludf.DUMMYFUNCTION("""COMPUTED_VALUE"""),"台銀籌備帳戶")</f>
        <v>台銀籌備帳戶</v>
      </c>
      <c r="G2160" t="str">
        <f>IFERROR(__xludf.DUMMYFUNCTION("""COMPUTED_VALUE"""),"金龍帽子先生")</f>
        <v>金龍帽子先生</v>
      </c>
      <c r="H2160" s="106" t="str">
        <f t="shared" si="1"/>
        <v>2025-07</v>
      </c>
      <c r="I2160" s="271" t="str">
        <f>IFERROR(__xludf.DUMMYFUNCTION("""COMPUTED_VALUE"""),"貓狗企鵝")</f>
        <v>貓狗企鵝</v>
      </c>
      <c r="J2160" t="str">
        <f>IFERROR(__xludf.DUMMYFUNCTION("IFS(
  AND(REGEXMATCH(E2160, ""台銀籌備帳戶|玉山帳戶""), REGEXMATCH(C2160, ""薪資"")), ""分潤支出"",
  AND(REGEXMATCH(E2160, ""Ben帳戶|Elsa帳戶|Ben代墊|Ariel代墊|中信銀行共用""), REGEXMATCH(F2160, ""Ben帳戶|Elsa帳戶|Ben代墊|Ariel代墊|中信銀行共用"")), ""內部轉帳(忽略)"",
  AND(E2160&lt;&gt;"""", F2160&lt;&gt;"""", N"&amp;"OT(REGEXMATCH(C2160, ""薪資""))), ""內部轉帳(忽略)"",
  REGEXMATCH(C2160, ""薪資""), ""薪資變動(不計入)"",
  REGEXMATCH(C2160, ""押金""), ""押金往來"",
  AND(E2160&lt;&gt;"""", F2160=""""), ""真實支出"",
  AND(E2160="""", F2160&lt;&gt;""""), ""真實收入"",
  TRUE, ""其他""
)"),"真實支出")</f>
        <v>真實支出</v>
      </c>
      <c r="K2160" s="270">
        <f t="shared" si="2"/>
        <v>-17750</v>
      </c>
      <c r="L2160">
        <f t="shared" si="3"/>
        <v>0</v>
      </c>
    </row>
    <row r="2161">
      <c r="A2161" s="107">
        <f>IFERROR(__xludf.DUMMYFUNCTION("""COMPUTED_VALUE"""),45839.0)</f>
        <v>45839</v>
      </c>
      <c r="B2161" t="str">
        <f>IFERROR(__xludf.DUMMYFUNCTION("""COMPUTED_VALUE"""),"費用 - 匯費 對方行:053 後五碼:05202 (行號: 56)")</f>
        <v>費用 - 匯費 對方行:053 後五碼:05202 (行號: 56)</v>
      </c>
      <c r="C2161" t="str">
        <f>IFERROR(__xludf.DUMMYFUNCTION("""COMPUTED_VALUE"""),"費用 - 匯費")</f>
        <v>費用 - 匯費</v>
      </c>
      <c r="D2161" s="270">
        <f>IFERROR(__xludf.DUMMYFUNCTION("""COMPUTED_VALUE"""),-15.0)</f>
        <v>-15</v>
      </c>
      <c r="E2161" t="str">
        <f>IFERROR(__xludf.DUMMYFUNCTION("""COMPUTED_VALUE"""),"台銀籌備帳戶")</f>
        <v>台銀籌備帳戶</v>
      </c>
      <c r="H2161" s="106" t="str">
        <f t="shared" si="1"/>
        <v>2025-07</v>
      </c>
      <c r="I2161" s="271" t="str">
        <f>IFERROR(__xludf.DUMMYFUNCTION("""COMPUTED_VALUE"""),"貓狗企鵝")</f>
        <v>貓狗企鵝</v>
      </c>
      <c r="J2161" t="str">
        <f>IFERROR(__xludf.DUMMYFUNCTION("IFS(
  AND(REGEXMATCH(E2161, ""台銀籌備帳戶|玉山帳戶""), REGEXMATCH(C2161, ""薪資"")), ""分潤支出"",
  AND(REGEXMATCH(E2161, ""Ben帳戶|Elsa帳戶|Ben代墊|Ariel代墊|中信銀行共用""), REGEXMATCH(F2161, ""Ben帳戶|Elsa帳戶|Ben代墊|Ariel代墊|中信銀行共用"")), ""內部轉帳(忽略)"",
  AND(E2161&lt;&gt;"""", F2161&lt;&gt;"""", N"&amp;"OT(REGEXMATCH(C2161, ""薪資""))), ""內部轉帳(忽略)"",
  REGEXMATCH(C2161, ""薪資""), ""薪資變動(不計入)"",
  REGEXMATCH(C2161, ""押金""), ""押金往來"",
  AND(E2161&lt;&gt;"""", F2161=""""), ""真實支出"",
  AND(E2161="""", F2161&lt;&gt;""""), ""真實收入"",
  TRUE, ""其他""
)"),"真實支出")</f>
        <v>真實支出</v>
      </c>
      <c r="K2161" s="270">
        <f t="shared" si="2"/>
        <v>-15</v>
      </c>
      <c r="L2161">
        <f t="shared" si="3"/>
        <v>0</v>
      </c>
    </row>
    <row r="2162">
      <c r="A2162" s="107">
        <f>IFERROR(__xludf.DUMMYFUNCTION("""COMPUTED_VALUE"""),45839.0)</f>
        <v>45839</v>
      </c>
      <c r="B2162" t="str">
        <f>IFERROR(__xludf.DUMMYFUNCTION("""COMPUTED_VALUE"""),"[大湖山莊] [陳彩霞] 大租金")</f>
        <v>[大湖山莊] [陳彩霞] 大租金</v>
      </c>
      <c r="C2162" t="str">
        <f>IFERROR(__xludf.DUMMYFUNCTION("""COMPUTED_VALUE"""),"成本 - 大租金")</f>
        <v>成本 - 大租金</v>
      </c>
      <c r="D2162" s="270">
        <f>IFERROR(__xludf.DUMMYFUNCTION("""COMPUTED_VALUE"""),-19400.0)</f>
        <v>-19400</v>
      </c>
      <c r="E2162" t="str">
        <f>IFERROR(__xludf.DUMMYFUNCTION("""COMPUTED_VALUE"""),"台銀籌備帳戶")</f>
        <v>台銀籌備帳戶</v>
      </c>
      <c r="G2162" t="str">
        <f>IFERROR(__xludf.DUMMYFUNCTION("""COMPUTED_VALUE"""),"大湖山莊")</f>
        <v>大湖山莊</v>
      </c>
      <c r="H2162" s="106" t="str">
        <f t="shared" si="1"/>
        <v>2025-07</v>
      </c>
      <c r="I2162" s="271" t="str">
        <f>IFERROR(__xludf.DUMMYFUNCTION("""COMPUTED_VALUE"""),"貓狗企鵝")</f>
        <v>貓狗企鵝</v>
      </c>
      <c r="J2162" t="str">
        <f>IFERROR(__xludf.DUMMYFUNCTION("IFS(
  AND(REGEXMATCH(E2162, ""台銀籌備帳戶|玉山帳戶""), REGEXMATCH(C2162, ""薪資"")), ""分潤支出"",
  AND(REGEXMATCH(E2162, ""Ben帳戶|Elsa帳戶|Ben代墊|Ariel代墊|中信銀行共用""), REGEXMATCH(F2162, ""Ben帳戶|Elsa帳戶|Ben代墊|Ariel代墊|中信銀行共用"")), ""內部轉帳(忽略)"",
  AND(E2162&lt;&gt;"""", F2162&lt;&gt;"""", N"&amp;"OT(REGEXMATCH(C2162, ""薪資""))), ""內部轉帳(忽略)"",
  REGEXMATCH(C2162, ""薪資""), ""薪資變動(不計入)"",
  REGEXMATCH(C2162, ""押金""), ""押金往來"",
  AND(E2162&lt;&gt;"""", F2162=""""), ""真實支出"",
  AND(E2162="""", F2162&lt;&gt;""""), ""真實收入"",
  TRUE, ""其他""
)"),"真實支出")</f>
        <v>真實支出</v>
      </c>
      <c r="K2162" s="270">
        <f t="shared" si="2"/>
        <v>-19400</v>
      </c>
      <c r="L2162">
        <f t="shared" si="3"/>
        <v>0</v>
      </c>
    </row>
    <row r="2163">
      <c r="A2163" s="107">
        <f>IFERROR(__xludf.DUMMYFUNCTION("""COMPUTED_VALUE"""),45839.0)</f>
        <v>45839</v>
      </c>
      <c r="B2163" t="str">
        <f>IFERROR(__xludf.DUMMYFUNCTION("""COMPUTED_VALUE"""),"費用 - 匯費 對方行:807 後五碼:06659 (行號: 57)")</f>
        <v>費用 - 匯費 對方行:807 後五碼:06659 (行號: 57)</v>
      </c>
      <c r="C2163" t="str">
        <f>IFERROR(__xludf.DUMMYFUNCTION("""COMPUTED_VALUE"""),"費用 - 匯費")</f>
        <v>費用 - 匯費</v>
      </c>
      <c r="D2163" s="270">
        <f>IFERROR(__xludf.DUMMYFUNCTION("""COMPUTED_VALUE"""),-15.0)</f>
        <v>-15</v>
      </c>
      <c r="E2163" t="str">
        <f>IFERROR(__xludf.DUMMYFUNCTION("""COMPUTED_VALUE"""),"台銀籌備帳戶")</f>
        <v>台銀籌備帳戶</v>
      </c>
      <c r="H2163" s="106" t="str">
        <f t="shared" si="1"/>
        <v>2025-07</v>
      </c>
      <c r="I2163" s="271" t="str">
        <f>IFERROR(__xludf.DUMMYFUNCTION("""COMPUTED_VALUE"""),"貓狗企鵝")</f>
        <v>貓狗企鵝</v>
      </c>
      <c r="J2163" t="str">
        <f>IFERROR(__xludf.DUMMYFUNCTION("IFS(
  AND(REGEXMATCH(E2163, ""台銀籌備帳戶|玉山帳戶""), REGEXMATCH(C2163, ""薪資"")), ""分潤支出"",
  AND(REGEXMATCH(E2163, ""Ben帳戶|Elsa帳戶|Ben代墊|Ariel代墊|中信銀行共用""), REGEXMATCH(F2163, ""Ben帳戶|Elsa帳戶|Ben代墊|Ariel代墊|中信銀行共用"")), ""內部轉帳(忽略)"",
  AND(E2163&lt;&gt;"""", F2163&lt;&gt;"""", N"&amp;"OT(REGEXMATCH(C2163, ""薪資""))), ""內部轉帳(忽略)"",
  REGEXMATCH(C2163, ""薪資""), ""薪資變動(不計入)"",
  REGEXMATCH(C2163, ""押金""), ""押金往來"",
  AND(E2163&lt;&gt;"""", F2163=""""), ""真實支出"",
  AND(E2163="""", F2163&lt;&gt;""""), ""真實收入"",
  TRUE, ""其他""
)"),"真實支出")</f>
        <v>真實支出</v>
      </c>
      <c r="K2163" s="270">
        <f t="shared" si="2"/>
        <v>-15</v>
      </c>
      <c r="L2163">
        <f t="shared" si="3"/>
        <v>0</v>
      </c>
    </row>
    <row r="2164">
      <c r="A2164" s="107">
        <f>IFERROR(__xludf.DUMMYFUNCTION("""COMPUTED_VALUE"""),45839.0)</f>
        <v>45839</v>
      </c>
      <c r="B2164" t="str">
        <f>IFERROR(__xludf.DUMMYFUNCTION("""COMPUTED_VALUE"""),"[哈拉對面] [陳哲聰] 大租金")</f>
        <v>[哈拉對面] [陳哲聰] 大租金</v>
      </c>
      <c r="C2164" t="str">
        <f>IFERROR(__xludf.DUMMYFUNCTION("""COMPUTED_VALUE"""),"成本 - 大租金")</f>
        <v>成本 - 大租金</v>
      </c>
      <c r="D2164" s="270">
        <f>IFERROR(__xludf.DUMMYFUNCTION("""COMPUTED_VALUE"""),-13000.0)</f>
        <v>-13000</v>
      </c>
      <c r="E2164" t="str">
        <f>IFERROR(__xludf.DUMMYFUNCTION("""COMPUTED_VALUE"""),"台銀籌備帳戶")</f>
        <v>台銀籌備帳戶</v>
      </c>
      <c r="G2164" t="str">
        <f>IFERROR(__xludf.DUMMYFUNCTION("""COMPUTED_VALUE"""),"哈拉對面")</f>
        <v>哈拉對面</v>
      </c>
      <c r="H2164" s="106" t="str">
        <f t="shared" si="1"/>
        <v>2025-07</v>
      </c>
      <c r="I2164" s="271" t="str">
        <f>IFERROR(__xludf.DUMMYFUNCTION("""COMPUTED_VALUE"""),"貓狗企鵝")</f>
        <v>貓狗企鵝</v>
      </c>
      <c r="J2164" t="str">
        <f>IFERROR(__xludf.DUMMYFUNCTION("IFS(
  AND(REGEXMATCH(E2164, ""台銀籌備帳戶|玉山帳戶""), REGEXMATCH(C2164, ""薪資"")), ""分潤支出"",
  AND(REGEXMATCH(E2164, ""Ben帳戶|Elsa帳戶|Ben代墊|Ariel代墊|中信銀行共用""), REGEXMATCH(F2164, ""Ben帳戶|Elsa帳戶|Ben代墊|Ariel代墊|中信銀行共用"")), ""內部轉帳(忽略)"",
  AND(E2164&lt;&gt;"""", F2164&lt;&gt;"""", N"&amp;"OT(REGEXMATCH(C2164, ""薪資""))), ""內部轉帳(忽略)"",
  REGEXMATCH(C2164, ""薪資""), ""薪資變動(不計入)"",
  REGEXMATCH(C2164, ""押金""), ""押金往來"",
  AND(E2164&lt;&gt;"""", F2164=""""), ""真實支出"",
  AND(E2164="""", F2164&lt;&gt;""""), ""真實收入"",
  TRUE, ""其他""
)"),"真實支出")</f>
        <v>真實支出</v>
      </c>
      <c r="K2164" s="270">
        <f t="shared" si="2"/>
        <v>-13000</v>
      </c>
      <c r="L2164">
        <f t="shared" si="3"/>
        <v>0</v>
      </c>
    </row>
    <row r="2165">
      <c r="A2165" s="107">
        <f>IFERROR(__xludf.DUMMYFUNCTION("""COMPUTED_VALUE"""),45839.0)</f>
        <v>45839</v>
      </c>
      <c r="B2165" t="str">
        <f>IFERROR(__xludf.DUMMYFUNCTION("""COMPUTED_VALUE"""),"費用 - 匯費 對方行:700 後五碼:92128 (行號: 58)")</f>
        <v>費用 - 匯費 對方行:700 後五碼:92128 (行號: 58)</v>
      </c>
      <c r="C2165" t="str">
        <f>IFERROR(__xludf.DUMMYFUNCTION("""COMPUTED_VALUE"""),"費用 - 匯費")</f>
        <v>費用 - 匯費</v>
      </c>
      <c r="D2165" s="270">
        <f>IFERROR(__xludf.DUMMYFUNCTION("""COMPUTED_VALUE"""),-15.0)</f>
        <v>-15</v>
      </c>
      <c r="E2165" t="str">
        <f>IFERROR(__xludf.DUMMYFUNCTION("""COMPUTED_VALUE"""),"台銀籌備帳戶")</f>
        <v>台銀籌備帳戶</v>
      </c>
      <c r="H2165" s="106" t="str">
        <f t="shared" si="1"/>
        <v>2025-07</v>
      </c>
      <c r="I2165" s="271" t="str">
        <f>IFERROR(__xludf.DUMMYFUNCTION("""COMPUTED_VALUE"""),"貓狗企鵝")</f>
        <v>貓狗企鵝</v>
      </c>
      <c r="J2165" t="str">
        <f>IFERROR(__xludf.DUMMYFUNCTION("IFS(
  AND(REGEXMATCH(E2165, ""台銀籌備帳戶|玉山帳戶""), REGEXMATCH(C2165, ""薪資"")), ""分潤支出"",
  AND(REGEXMATCH(E2165, ""Ben帳戶|Elsa帳戶|Ben代墊|Ariel代墊|中信銀行共用""), REGEXMATCH(F2165, ""Ben帳戶|Elsa帳戶|Ben代墊|Ariel代墊|中信銀行共用"")), ""內部轉帳(忽略)"",
  AND(E2165&lt;&gt;"""", F2165&lt;&gt;"""", N"&amp;"OT(REGEXMATCH(C2165, ""薪資""))), ""內部轉帳(忽略)"",
  REGEXMATCH(C2165, ""薪資""), ""薪資變動(不計入)"",
  REGEXMATCH(C2165, ""押金""), ""押金往來"",
  AND(E2165&lt;&gt;"""", F2165=""""), ""真實支出"",
  AND(E2165="""", F2165&lt;&gt;""""), ""真實收入"",
  TRUE, ""其他""
)"),"真實支出")</f>
        <v>真實支出</v>
      </c>
      <c r="K2165" s="270">
        <f t="shared" si="2"/>
        <v>-15</v>
      </c>
      <c r="L2165">
        <f t="shared" si="3"/>
        <v>0</v>
      </c>
    </row>
    <row r="2166">
      <c r="A2166" s="107">
        <f>IFERROR(__xludf.DUMMYFUNCTION("""COMPUTED_VALUE"""),45839.0)</f>
        <v>45839</v>
      </c>
      <c r="B2166" t="str">
        <f>IFERROR(__xludf.DUMMYFUNCTION("""COMPUTED_VALUE"""),"[北醫醫師府] [陳俊良] 大租金")</f>
        <v>[北醫醫師府] [陳俊良] 大租金</v>
      </c>
      <c r="C2166" t="str">
        <f>IFERROR(__xludf.DUMMYFUNCTION("""COMPUTED_VALUE"""),"成本 - 大租金")</f>
        <v>成本 - 大租金</v>
      </c>
      <c r="D2166" s="270">
        <f>IFERROR(__xludf.DUMMYFUNCTION("""COMPUTED_VALUE"""),-12800.0)</f>
        <v>-12800</v>
      </c>
      <c r="E2166" t="str">
        <f>IFERROR(__xludf.DUMMYFUNCTION("""COMPUTED_VALUE"""),"台銀籌備帳戶")</f>
        <v>台銀籌備帳戶</v>
      </c>
      <c r="G2166" t="str">
        <f>IFERROR(__xludf.DUMMYFUNCTION("""COMPUTED_VALUE"""),"北醫醫師府")</f>
        <v>北醫醫師府</v>
      </c>
      <c r="H2166" s="106" t="str">
        <f t="shared" si="1"/>
        <v>2025-07</v>
      </c>
      <c r="I2166" s="271" t="str">
        <f>IFERROR(__xludf.DUMMYFUNCTION("""COMPUTED_VALUE"""),"貓狗企鵝")</f>
        <v>貓狗企鵝</v>
      </c>
      <c r="J2166" t="str">
        <f>IFERROR(__xludf.DUMMYFUNCTION("IFS(
  AND(REGEXMATCH(E2166, ""台銀籌備帳戶|玉山帳戶""), REGEXMATCH(C2166, ""薪資"")), ""分潤支出"",
  AND(REGEXMATCH(E2166, ""Ben帳戶|Elsa帳戶|Ben代墊|Ariel代墊|中信銀行共用""), REGEXMATCH(F2166, ""Ben帳戶|Elsa帳戶|Ben代墊|Ariel代墊|中信銀行共用"")), ""內部轉帳(忽略)"",
  AND(E2166&lt;&gt;"""", F2166&lt;&gt;"""", N"&amp;"OT(REGEXMATCH(C2166, ""薪資""))), ""內部轉帳(忽略)"",
  REGEXMATCH(C2166, ""薪資""), ""薪資變動(不計入)"",
  REGEXMATCH(C2166, ""押金""), ""押金往來"",
  AND(E2166&lt;&gt;"""", F2166=""""), ""真實支出"",
  AND(E2166="""", F2166&lt;&gt;""""), ""真實收入"",
  TRUE, ""其他""
)"),"真實支出")</f>
        <v>真實支出</v>
      </c>
      <c r="K2166" s="270">
        <f t="shared" si="2"/>
        <v>-12800</v>
      </c>
      <c r="L2166">
        <f t="shared" si="3"/>
        <v>0</v>
      </c>
    </row>
    <row r="2167">
      <c r="A2167" s="107">
        <f>IFERROR(__xludf.DUMMYFUNCTION("""COMPUTED_VALUE"""),45839.0)</f>
        <v>45839</v>
      </c>
      <c r="B2167" t="str">
        <f>IFERROR(__xludf.DUMMYFUNCTION("""COMPUTED_VALUE"""),"費用 - 匯費 對方行:013 後五碼:43662 (行號: 59)")</f>
        <v>費用 - 匯費 對方行:013 後五碼:43662 (行號: 59)</v>
      </c>
      <c r="C2167" t="str">
        <f>IFERROR(__xludf.DUMMYFUNCTION("""COMPUTED_VALUE"""),"費用 - 匯費")</f>
        <v>費用 - 匯費</v>
      </c>
      <c r="D2167" s="270">
        <f>IFERROR(__xludf.DUMMYFUNCTION("""COMPUTED_VALUE"""),-15.0)</f>
        <v>-15</v>
      </c>
      <c r="E2167" t="str">
        <f>IFERROR(__xludf.DUMMYFUNCTION("""COMPUTED_VALUE"""),"台銀籌備帳戶")</f>
        <v>台銀籌備帳戶</v>
      </c>
      <c r="H2167" s="106" t="str">
        <f t="shared" si="1"/>
        <v>2025-07</v>
      </c>
      <c r="I2167" s="271" t="str">
        <f>IFERROR(__xludf.DUMMYFUNCTION("""COMPUTED_VALUE"""),"貓狗企鵝")</f>
        <v>貓狗企鵝</v>
      </c>
      <c r="J2167" t="str">
        <f>IFERROR(__xludf.DUMMYFUNCTION("IFS(
  AND(REGEXMATCH(E2167, ""台銀籌備帳戶|玉山帳戶""), REGEXMATCH(C2167, ""薪資"")), ""分潤支出"",
  AND(REGEXMATCH(E2167, ""Ben帳戶|Elsa帳戶|Ben代墊|Ariel代墊|中信銀行共用""), REGEXMATCH(F2167, ""Ben帳戶|Elsa帳戶|Ben代墊|Ariel代墊|中信銀行共用"")), ""內部轉帳(忽略)"",
  AND(E2167&lt;&gt;"""", F2167&lt;&gt;"""", N"&amp;"OT(REGEXMATCH(C2167, ""薪資""))), ""內部轉帳(忽略)"",
  REGEXMATCH(C2167, ""薪資""), ""薪資變動(不計入)"",
  REGEXMATCH(C2167, ""押金""), ""押金往來"",
  AND(E2167&lt;&gt;"""", F2167=""""), ""真實支出"",
  AND(E2167="""", F2167&lt;&gt;""""), ""真實收入"",
  TRUE, ""其他""
)"),"真實支出")</f>
        <v>真實支出</v>
      </c>
      <c r="K2167" s="270">
        <f t="shared" si="2"/>
        <v>-15</v>
      </c>
      <c r="L2167">
        <f t="shared" si="3"/>
        <v>0</v>
      </c>
    </row>
    <row r="2168">
      <c r="A2168" s="107">
        <f>IFERROR(__xludf.DUMMYFUNCTION("""COMPUTED_VALUE"""),45839.0)</f>
        <v>45839</v>
      </c>
      <c r="B2168" t="str">
        <f>IFERROR(__xludf.DUMMYFUNCTION("""COMPUTED_VALUE"""),"[中山北娘家旁] [方彥捷] 大租金")</f>
        <v>[中山北娘家旁] [方彥捷] 大租金</v>
      </c>
      <c r="C2168" t="str">
        <f>IFERROR(__xludf.DUMMYFUNCTION("""COMPUTED_VALUE"""),"成本 - 大租金")</f>
        <v>成本 - 大租金</v>
      </c>
      <c r="D2168" s="270">
        <f>IFERROR(__xludf.DUMMYFUNCTION("""COMPUTED_VALUE"""),-11500.0)</f>
        <v>-11500</v>
      </c>
      <c r="E2168" t="str">
        <f>IFERROR(__xludf.DUMMYFUNCTION("""COMPUTED_VALUE"""),"台銀籌備帳戶")</f>
        <v>台銀籌備帳戶</v>
      </c>
      <c r="G2168" t="str">
        <f>IFERROR(__xludf.DUMMYFUNCTION("""COMPUTED_VALUE"""),"中山北娘家旁")</f>
        <v>中山北娘家旁</v>
      </c>
      <c r="H2168" s="106" t="str">
        <f t="shared" si="1"/>
        <v>2025-07</v>
      </c>
      <c r="I2168" s="271" t="str">
        <f>IFERROR(__xludf.DUMMYFUNCTION("""COMPUTED_VALUE"""),"貓狗企鵝")</f>
        <v>貓狗企鵝</v>
      </c>
      <c r="J2168" t="str">
        <f>IFERROR(__xludf.DUMMYFUNCTION("IFS(
  AND(REGEXMATCH(E2168, ""台銀籌備帳戶|玉山帳戶""), REGEXMATCH(C2168, ""薪資"")), ""分潤支出"",
  AND(REGEXMATCH(E2168, ""Ben帳戶|Elsa帳戶|Ben代墊|Ariel代墊|中信銀行共用""), REGEXMATCH(F2168, ""Ben帳戶|Elsa帳戶|Ben代墊|Ariel代墊|中信銀行共用"")), ""內部轉帳(忽略)"",
  AND(E2168&lt;&gt;"""", F2168&lt;&gt;"""", N"&amp;"OT(REGEXMATCH(C2168, ""薪資""))), ""內部轉帳(忽略)"",
  REGEXMATCH(C2168, ""薪資""), ""薪資變動(不計入)"",
  REGEXMATCH(C2168, ""押金""), ""押金往來"",
  AND(E2168&lt;&gt;"""", F2168=""""), ""真實支出"",
  AND(E2168="""", F2168&lt;&gt;""""), ""真實收入"",
  TRUE, ""其他""
)"),"真實支出")</f>
        <v>真實支出</v>
      </c>
      <c r="K2168" s="270">
        <f t="shared" si="2"/>
        <v>-11500</v>
      </c>
      <c r="L2168">
        <f t="shared" si="3"/>
        <v>0</v>
      </c>
    </row>
    <row r="2169">
      <c r="A2169" s="107">
        <f>IFERROR(__xludf.DUMMYFUNCTION("""COMPUTED_VALUE"""),45839.0)</f>
        <v>45839</v>
      </c>
      <c r="B2169" t="str">
        <f>IFERROR(__xludf.DUMMYFUNCTION("""COMPUTED_VALUE"""),"費用 - 匯費 對方行:006 後五碼:17501 (行號: 60)")</f>
        <v>費用 - 匯費 對方行:006 後五碼:17501 (行號: 60)</v>
      </c>
      <c r="C2169" t="str">
        <f>IFERROR(__xludf.DUMMYFUNCTION("""COMPUTED_VALUE"""),"費用 - 匯費")</f>
        <v>費用 - 匯費</v>
      </c>
      <c r="D2169" s="270">
        <f>IFERROR(__xludf.DUMMYFUNCTION("""COMPUTED_VALUE"""),-15.0)</f>
        <v>-15</v>
      </c>
      <c r="E2169" t="str">
        <f>IFERROR(__xludf.DUMMYFUNCTION("""COMPUTED_VALUE"""),"台銀籌備帳戶")</f>
        <v>台銀籌備帳戶</v>
      </c>
      <c r="H2169" s="106" t="str">
        <f t="shared" si="1"/>
        <v>2025-07</v>
      </c>
      <c r="I2169" s="271" t="str">
        <f>IFERROR(__xludf.DUMMYFUNCTION("""COMPUTED_VALUE"""),"貓狗企鵝")</f>
        <v>貓狗企鵝</v>
      </c>
      <c r="J2169" t="str">
        <f>IFERROR(__xludf.DUMMYFUNCTION("IFS(
  AND(REGEXMATCH(E2169, ""台銀籌備帳戶|玉山帳戶""), REGEXMATCH(C2169, ""薪資"")), ""分潤支出"",
  AND(REGEXMATCH(E2169, ""Ben帳戶|Elsa帳戶|Ben代墊|Ariel代墊|中信銀行共用""), REGEXMATCH(F2169, ""Ben帳戶|Elsa帳戶|Ben代墊|Ariel代墊|中信銀行共用"")), ""內部轉帳(忽略)"",
  AND(E2169&lt;&gt;"""", F2169&lt;&gt;"""", N"&amp;"OT(REGEXMATCH(C2169, ""薪資""))), ""內部轉帳(忽略)"",
  REGEXMATCH(C2169, ""薪資""), ""薪資變動(不計入)"",
  REGEXMATCH(C2169, ""押金""), ""押金往來"",
  AND(E2169&lt;&gt;"""", F2169=""""), ""真實支出"",
  AND(E2169="""", F2169&lt;&gt;""""), ""真實收入"",
  TRUE, ""其他""
)"),"真實支出")</f>
        <v>真實支出</v>
      </c>
      <c r="K2169" s="270">
        <f t="shared" si="2"/>
        <v>-15</v>
      </c>
      <c r="L2169">
        <f t="shared" si="3"/>
        <v>0</v>
      </c>
    </row>
    <row r="2170">
      <c r="A2170" s="107">
        <f>IFERROR(__xludf.DUMMYFUNCTION("""COMPUTED_VALUE"""),45839.0)</f>
        <v>45839</v>
      </c>
      <c r="B2170" t="str">
        <f>IFERROR(__xludf.DUMMYFUNCTION("""COMPUTED_VALUE"""),"大湖E退押                 ' 【未分類支出】")</f>
        <v>大湖E退押                 ' 【未分類支出】</v>
      </c>
      <c r="C2170" t="str">
        <f>IFERROR(__xludf.DUMMYFUNCTION("""COMPUTED_VALUE"""),"收入 - 押金")</f>
        <v>收入 - 押金</v>
      </c>
      <c r="D2170" s="270">
        <f>IFERROR(__xludf.DUMMYFUNCTION("""COMPUTED_VALUE"""),-24000.0)</f>
        <v>-24000</v>
      </c>
      <c r="E2170" t="str">
        <f>IFERROR(__xludf.DUMMYFUNCTION("""COMPUTED_VALUE"""),"台銀籌備帳戶")</f>
        <v>台銀籌備帳戶</v>
      </c>
      <c r="G2170" t="str">
        <f>IFERROR(__xludf.DUMMYFUNCTION("""COMPUTED_VALUE"""),"大湖山莊")</f>
        <v>大湖山莊</v>
      </c>
      <c r="H2170" s="106" t="str">
        <f t="shared" si="1"/>
        <v>2025-07</v>
      </c>
      <c r="I2170" s="271" t="str">
        <f>IFERROR(__xludf.DUMMYFUNCTION("""COMPUTED_VALUE"""),"貓狗企鵝")</f>
        <v>貓狗企鵝</v>
      </c>
      <c r="J2170" t="str">
        <f>IFERROR(__xludf.DUMMYFUNCTION("IFS(
  AND(REGEXMATCH(E2170, ""台銀籌備帳戶|玉山帳戶""), REGEXMATCH(C2170, ""薪資"")), ""分潤支出"",
  AND(REGEXMATCH(E2170, ""Ben帳戶|Elsa帳戶|Ben代墊|Ariel代墊|中信銀行共用""), REGEXMATCH(F2170, ""Ben帳戶|Elsa帳戶|Ben代墊|Ariel代墊|中信銀行共用"")), ""內部轉帳(忽略)"",
  AND(E2170&lt;&gt;"""", F2170&lt;&gt;"""", N"&amp;"OT(REGEXMATCH(C2170, ""薪資""))), ""內部轉帳(忽略)"",
  REGEXMATCH(C2170, ""薪資""), ""薪資變動(不計入)"",
  REGEXMATCH(C2170, ""押金""), ""押金往來"",
  AND(E2170&lt;&gt;"""", F2170=""""), ""真實支出"",
  AND(E2170="""", F2170&lt;&gt;""""), ""真實收入"",
  TRUE, ""其他""
)"),"押金往來")</f>
        <v>押金往來</v>
      </c>
      <c r="K2170">
        <f t="shared" si="2"/>
        <v>0</v>
      </c>
      <c r="L2170">
        <f t="shared" si="3"/>
        <v>0</v>
      </c>
    </row>
    <row r="2171">
      <c r="A2171" s="107">
        <f>IFERROR(__xludf.DUMMYFUNCTION("""COMPUTED_VALUE"""),45839.0)</f>
        <v>45839</v>
      </c>
      <c r="B2171" t="str">
        <f>IFERROR(__xludf.DUMMYFUNCTION("""COMPUTED_VALUE"""),"費用 - 匯費 對方行:013 後五碼:40643 (行號: 63)")</f>
        <v>費用 - 匯費 對方行:013 後五碼:40643 (行號: 63)</v>
      </c>
      <c r="C2171" t="str">
        <f>IFERROR(__xludf.DUMMYFUNCTION("""COMPUTED_VALUE"""),"費用 - 匯費")</f>
        <v>費用 - 匯費</v>
      </c>
      <c r="D2171" s="270">
        <f>IFERROR(__xludf.DUMMYFUNCTION("""COMPUTED_VALUE"""),-15.0)</f>
        <v>-15</v>
      </c>
      <c r="E2171" t="str">
        <f>IFERROR(__xludf.DUMMYFUNCTION("""COMPUTED_VALUE"""),"台銀籌備帳戶")</f>
        <v>台銀籌備帳戶</v>
      </c>
      <c r="H2171" s="106" t="str">
        <f t="shared" si="1"/>
        <v>2025-07</v>
      </c>
      <c r="I2171" s="271" t="str">
        <f>IFERROR(__xludf.DUMMYFUNCTION("""COMPUTED_VALUE"""),"貓狗企鵝")</f>
        <v>貓狗企鵝</v>
      </c>
      <c r="J2171" t="str">
        <f>IFERROR(__xludf.DUMMYFUNCTION("IFS(
  AND(REGEXMATCH(E2171, ""台銀籌備帳戶|玉山帳戶""), REGEXMATCH(C2171, ""薪資"")), ""分潤支出"",
  AND(REGEXMATCH(E2171, ""Ben帳戶|Elsa帳戶|Ben代墊|Ariel代墊|中信銀行共用""), REGEXMATCH(F2171, ""Ben帳戶|Elsa帳戶|Ben代墊|Ariel代墊|中信銀行共用"")), ""內部轉帳(忽略)"",
  AND(E2171&lt;&gt;"""", F2171&lt;&gt;"""", N"&amp;"OT(REGEXMATCH(C2171, ""薪資""))), ""內部轉帳(忽略)"",
  REGEXMATCH(C2171, ""薪資""), ""薪資變動(不計入)"",
  REGEXMATCH(C2171, ""押金""), ""押金往來"",
  AND(E2171&lt;&gt;"""", F2171=""""), ""真實支出"",
  AND(E2171="""", F2171&lt;&gt;""""), ""真實收入"",
  TRUE, ""其他""
)"),"真實支出")</f>
        <v>真實支出</v>
      </c>
      <c r="K2171" s="270">
        <f t="shared" si="2"/>
        <v>-15</v>
      </c>
      <c r="L2171">
        <f t="shared" si="3"/>
        <v>0</v>
      </c>
    </row>
    <row r="2172">
      <c r="A2172" s="107">
        <f>IFERROR(__xludf.DUMMYFUNCTION("""COMPUTED_VALUE"""),45839.0)</f>
        <v>45839</v>
      </c>
      <c r="B2172" t="str">
        <f>IFERROR(__xludf.DUMMYFUNCTION("""COMPUTED_VALUE"""),"大湖A退押                 ' 【未分類支出】")</f>
        <v>大湖A退押                 ' 【未分類支出】</v>
      </c>
      <c r="C2172" t="str">
        <f>IFERROR(__xludf.DUMMYFUNCTION("""COMPUTED_VALUE"""),"收入 - 押金")</f>
        <v>收入 - 押金</v>
      </c>
      <c r="D2172" s="270">
        <f>IFERROR(__xludf.DUMMYFUNCTION("""COMPUTED_VALUE"""),-25600.0)</f>
        <v>-25600</v>
      </c>
      <c r="E2172" t="str">
        <f>IFERROR(__xludf.DUMMYFUNCTION("""COMPUTED_VALUE"""),"台銀籌備帳戶")</f>
        <v>台銀籌備帳戶</v>
      </c>
      <c r="G2172" t="str">
        <f>IFERROR(__xludf.DUMMYFUNCTION("""COMPUTED_VALUE"""),"大湖山莊")</f>
        <v>大湖山莊</v>
      </c>
      <c r="H2172" s="106" t="str">
        <f t="shared" si="1"/>
        <v>2025-07</v>
      </c>
      <c r="I2172" s="271" t="str">
        <f>IFERROR(__xludf.DUMMYFUNCTION("""COMPUTED_VALUE"""),"貓狗企鵝")</f>
        <v>貓狗企鵝</v>
      </c>
      <c r="J2172" t="str">
        <f>IFERROR(__xludf.DUMMYFUNCTION("IFS(
  AND(REGEXMATCH(E2172, ""台銀籌備帳戶|玉山帳戶""), REGEXMATCH(C2172, ""薪資"")), ""分潤支出"",
  AND(REGEXMATCH(E2172, ""Ben帳戶|Elsa帳戶|Ben代墊|Ariel代墊|中信銀行共用""), REGEXMATCH(F2172, ""Ben帳戶|Elsa帳戶|Ben代墊|Ariel代墊|中信銀行共用"")), ""內部轉帳(忽略)"",
  AND(E2172&lt;&gt;"""", F2172&lt;&gt;"""", N"&amp;"OT(REGEXMATCH(C2172, ""薪資""))), ""內部轉帳(忽略)"",
  REGEXMATCH(C2172, ""薪資""), ""薪資變動(不計入)"",
  REGEXMATCH(C2172, ""押金""), ""押金往來"",
  AND(E2172&lt;&gt;"""", F2172=""""), ""真實支出"",
  AND(E2172="""", F2172&lt;&gt;""""), ""真實收入"",
  TRUE, ""其他""
)"),"押金往來")</f>
        <v>押金往來</v>
      </c>
      <c r="K2172">
        <f t="shared" si="2"/>
        <v>0</v>
      </c>
      <c r="L2172">
        <f t="shared" si="3"/>
        <v>0</v>
      </c>
    </row>
    <row r="2173">
      <c r="A2173" s="107">
        <f>IFERROR(__xludf.DUMMYFUNCTION("""COMPUTED_VALUE"""),45839.0)</f>
        <v>45839</v>
      </c>
      <c r="B2173" t="str">
        <f>IFERROR(__xludf.DUMMYFUNCTION("""COMPUTED_VALUE"""),"費用 - 匯費 對方行:700 後五碼:49767 (行號: 74)")</f>
        <v>費用 - 匯費 對方行:700 後五碼:49767 (行號: 74)</v>
      </c>
      <c r="C2173" t="str">
        <f>IFERROR(__xludf.DUMMYFUNCTION("""COMPUTED_VALUE"""),"費用 - 匯費")</f>
        <v>費用 - 匯費</v>
      </c>
      <c r="D2173" s="270">
        <f>IFERROR(__xludf.DUMMYFUNCTION("""COMPUTED_VALUE"""),-15.0)</f>
        <v>-15</v>
      </c>
      <c r="E2173" t="str">
        <f>IFERROR(__xludf.DUMMYFUNCTION("""COMPUTED_VALUE"""),"台銀籌備帳戶")</f>
        <v>台銀籌備帳戶</v>
      </c>
      <c r="H2173" s="106" t="str">
        <f t="shared" si="1"/>
        <v>2025-07</v>
      </c>
      <c r="I2173" s="271" t="str">
        <f>IFERROR(__xludf.DUMMYFUNCTION("""COMPUTED_VALUE"""),"貓狗企鵝")</f>
        <v>貓狗企鵝</v>
      </c>
      <c r="J2173" t="str">
        <f>IFERROR(__xludf.DUMMYFUNCTION("IFS(
  AND(REGEXMATCH(E2173, ""台銀籌備帳戶|玉山帳戶""), REGEXMATCH(C2173, ""薪資"")), ""分潤支出"",
  AND(REGEXMATCH(E2173, ""Ben帳戶|Elsa帳戶|Ben代墊|Ariel代墊|中信銀行共用""), REGEXMATCH(F2173, ""Ben帳戶|Elsa帳戶|Ben代墊|Ariel代墊|中信銀行共用"")), ""內部轉帳(忽略)"",
  AND(E2173&lt;&gt;"""", F2173&lt;&gt;"""", N"&amp;"OT(REGEXMATCH(C2173, ""薪資""))), ""內部轉帳(忽略)"",
  REGEXMATCH(C2173, ""薪資""), ""薪資變動(不計入)"",
  REGEXMATCH(C2173, ""押金""), ""押金往來"",
  AND(E2173&lt;&gt;"""", F2173=""""), ""真實支出"",
  AND(E2173="""", F2173&lt;&gt;""""), ""真實收入"",
  TRUE, ""其他""
)"),"真實支出")</f>
        <v>真實支出</v>
      </c>
      <c r="K2173" s="270">
        <f t="shared" si="2"/>
        <v>-15</v>
      </c>
      <c r="L2173">
        <f t="shared" si="3"/>
        <v>0</v>
      </c>
    </row>
    <row r="2174">
      <c r="A2174" s="107">
        <f>IFERROR(__xludf.DUMMYFUNCTION("""COMPUTED_VALUE"""),45839.0)</f>
        <v>45839</v>
      </c>
      <c r="B2174" t="str">
        <f>IFERROR(__xludf.DUMMYFUNCTION("""COMPUTED_VALUE"""),"北醫F退押                 ' 【未分類支出】")</f>
        <v>北醫F退押                 ' 【未分類支出】</v>
      </c>
      <c r="C2174" t="str">
        <f>IFERROR(__xludf.DUMMYFUNCTION("""COMPUTED_VALUE"""),"收入 - 押金")</f>
        <v>收入 - 押金</v>
      </c>
      <c r="D2174" s="270">
        <f>IFERROR(__xludf.DUMMYFUNCTION("""COMPUTED_VALUE"""),-28600.0)</f>
        <v>-28600</v>
      </c>
      <c r="E2174" t="str">
        <f>IFERROR(__xludf.DUMMYFUNCTION("""COMPUTED_VALUE"""),"台銀籌備帳戶")</f>
        <v>台銀籌備帳戶</v>
      </c>
      <c r="G2174" t="str">
        <f>IFERROR(__xludf.DUMMYFUNCTION("""COMPUTED_VALUE"""),"北醫醫師府")</f>
        <v>北醫醫師府</v>
      </c>
      <c r="H2174" s="106" t="str">
        <f t="shared" si="1"/>
        <v>2025-07</v>
      </c>
      <c r="I2174" s="271" t="str">
        <f>IFERROR(__xludf.DUMMYFUNCTION("""COMPUTED_VALUE"""),"貓狗企鵝")</f>
        <v>貓狗企鵝</v>
      </c>
      <c r="J2174" t="str">
        <f>IFERROR(__xludf.DUMMYFUNCTION("IFS(
  AND(REGEXMATCH(E2174, ""台銀籌備帳戶|玉山帳戶""), REGEXMATCH(C2174, ""薪資"")), ""分潤支出"",
  AND(REGEXMATCH(E2174, ""Ben帳戶|Elsa帳戶|Ben代墊|Ariel代墊|中信銀行共用""), REGEXMATCH(F2174, ""Ben帳戶|Elsa帳戶|Ben代墊|Ariel代墊|中信銀行共用"")), ""內部轉帳(忽略)"",
  AND(E2174&lt;&gt;"""", F2174&lt;&gt;"""", N"&amp;"OT(REGEXMATCH(C2174, ""薪資""))), ""內部轉帳(忽略)"",
  REGEXMATCH(C2174, ""薪資""), ""薪資變動(不計入)"",
  REGEXMATCH(C2174, ""押金""), ""押金往來"",
  AND(E2174&lt;&gt;"""", F2174=""""), ""真實支出"",
  AND(E2174="""", F2174&lt;&gt;""""), ""真實收入"",
  TRUE, ""其他""
)"),"押金往來")</f>
        <v>押金往來</v>
      </c>
      <c r="K2174">
        <f t="shared" si="2"/>
        <v>0</v>
      </c>
      <c r="L2174">
        <f t="shared" si="3"/>
        <v>0</v>
      </c>
    </row>
    <row r="2175">
      <c r="A2175" s="107">
        <f>IFERROR(__xludf.DUMMYFUNCTION("""COMPUTED_VALUE"""),45839.0)</f>
        <v>45839</v>
      </c>
      <c r="B2175" t="str">
        <f>IFERROR(__xludf.DUMMYFUNCTION("""COMPUTED_VALUE"""),"費用 - 匯費 對方行:700 後五碼:32165 (行號: 75)")</f>
        <v>費用 - 匯費 對方行:700 後五碼:32165 (行號: 75)</v>
      </c>
      <c r="C2175" t="str">
        <f>IFERROR(__xludf.DUMMYFUNCTION("""COMPUTED_VALUE"""),"費用 - 匯費")</f>
        <v>費用 - 匯費</v>
      </c>
      <c r="D2175" s="270">
        <f>IFERROR(__xludf.DUMMYFUNCTION("""COMPUTED_VALUE"""),-15.0)</f>
        <v>-15</v>
      </c>
      <c r="E2175" t="str">
        <f>IFERROR(__xludf.DUMMYFUNCTION("""COMPUTED_VALUE"""),"台銀籌備帳戶")</f>
        <v>台銀籌備帳戶</v>
      </c>
      <c r="H2175" s="106" t="str">
        <f t="shared" si="1"/>
        <v>2025-07</v>
      </c>
      <c r="I2175" s="271" t="str">
        <f>IFERROR(__xludf.DUMMYFUNCTION("""COMPUTED_VALUE"""),"貓狗企鵝")</f>
        <v>貓狗企鵝</v>
      </c>
      <c r="J2175" t="str">
        <f>IFERROR(__xludf.DUMMYFUNCTION("IFS(
  AND(REGEXMATCH(E2175, ""台銀籌備帳戶|玉山帳戶""), REGEXMATCH(C2175, ""薪資"")), ""分潤支出"",
  AND(REGEXMATCH(E2175, ""Ben帳戶|Elsa帳戶|Ben代墊|Ariel代墊|中信銀行共用""), REGEXMATCH(F2175, ""Ben帳戶|Elsa帳戶|Ben代墊|Ariel代墊|中信銀行共用"")), ""內部轉帳(忽略)"",
  AND(E2175&lt;&gt;"""", F2175&lt;&gt;"""", N"&amp;"OT(REGEXMATCH(C2175, ""薪資""))), ""內部轉帳(忽略)"",
  REGEXMATCH(C2175, ""薪資""), ""薪資變動(不計入)"",
  REGEXMATCH(C2175, ""押金""), ""押金往來"",
  AND(E2175&lt;&gt;"""", F2175=""""), ""真實支出"",
  AND(E2175="""", F2175&lt;&gt;""""), ""真實收入"",
  TRUE, ""其他""
)"),"真實支出")</f>
        <v>真實支出</v>
      </c>
      <c r="K2175" s="270">
        <f t="shared" si="2"/>
        <v>-15</v>
      </c>
      <c r="L2175">
        <f t="shared" si="3"/>
        <v>0</v>
      </c>
    </row>
    <row r="2176">
      <c r="A2176" s="107">
        <f>IFERROR(__xludf.DUMMYFUNCTION("""COMPUTED_VALUE"""),45839.0)</f>
        <v>45839</v>
      </c>
      <c r="B2176" t="str">
        <f>IFERROR(__xludf.DUMMYFUNCTION("""COMPUTED_VALUE"""),"北醫F退押                 ' 【未分類支出】")</f>
        <v>北醫F退押                 ' 【未分類支出】</v>
      </c>
      <c r="C2176" t="str">
        <f>IFERROR(__xludf.DUMMYFUNCTION("""COMPUTED_VALUE"""),"收入 - 押金")</f>
        <v>收入 - 押金</v>
      </c>
      <c r="D2176" s="270">
        <f>IFERROR(__xludf.DUMMYFUNCTION("""COMPUTED_VALUE"""),-28600.0)</f>
        <v>-28600</v>
      </c>
      <c r="E2176" t="str">
        <f>IFERROR(__xludf.DUMMYFUNCTION("""COMPUTED_VALUE"""),"台銀籌備帳戶")</f>
        <v>台銀籌備帳戶</v>
      </c>
      <c r="G2176" t="str">
        <f>IFERROR(__xludf.DUMMYFUNCTION("""COMPUTED_VALUE"""),"北醫醫師府")</f>
        <v>北醫醫師府</v>
      </c>
      <c r="H2176" s="106" t="str">
        <f t="shared" si="1"/>
        <v>2025-07</v>
      </c>
      <c r="I2176" s="271" t="str">
        <f>IFERROR(__xludf.DUMMYFUNCTION("""COMPUTED_VALUE"""),"貓狗企鵝")</f>
        <v>貓狗企鵝</v>
      </c>
      <c r="J2176" t="str">
        <f>IFERROR(__xludf.DUMMYFUNCTION("IFS(
  AND(REGEXMATCH(E2176, ""台銀籌備帳戶|玉山帳戶""), REGEXMATCH(C2176, ""薪資"")), ""分潤支出"",
  AND(REGEXMATCH(E2176, ""Ben帳戶|Elsa帳戶|Ben代墊|Ariel代墊|中信銀行共用""), REGEXMATCH(F2176, ""Ben帳戶|Elsa帳戶|Ben代墊|Ariel代墊|中信銀行共用"")), ""內部轉帳(忽略)"",
  AND(E2176&lt;&gt;"""", F2176&lt;&gt;"""", N"&amp;"OT(REGEXMATCH(C2176, ""薪資""))), ""內部轉帳(忽略)"",
  REGEXMATCH(C2176, ""薪資""), ""薪資變動(不計入)"",
  REGEXMATCH(C2176, ""押金""), ""押金往來"",
  AND(E2176&lt;&gt;"""", F2176=""""), ""真實支出"",
  AND(E2176="""", F2176&lt;&gt;""""), ""真實收入"",
  TRUE, ""其他""
)"),"押金往來")</f>
        <v>押金往來</v>
      </c>
      <c r="K2176">
        <f t="shared" si="2"/>
        <v>0</v>
      </c>
      <c r="L2176">
        <f t="shared" si="3"/>
        <v>0</v>
      </c>
    </row>
    <row r="2177">
      <c r="A2177" s="107">
        <f>IFERROR(__xludf.DUMMYFUNCTION("""COMPUTED_VALUE"""),45839.0)</f>
        <v>45839</v>
      </c>
      <c r="B2177" t="str">
        <f>IFERROR(__xludf.DUMMYFUNCTION("""COMPUTED_VALUE"""),"費用 - 匯費 對方行:812 後五碼:86639 (行號: 77)")</f>
        <v>費用 - 匯費 對方行:812 後五碼:86639 (行號: 77)</v>
      </c>
      <c r="C2177" t="str">
        <f>IFERROR(__xludf.DUMMYFUNCTION("""COMPUTED_VALUE"""),"費用 - 匯費")</f>
        <v>費用 - 匯費</v>
      </c>
      <c r="D2177" s="270">
        <f>IFERROR(__xludf.DUMMYFUNCTION("""COMPUTED_VALUE"""),-15.0)</f>
        <v>-15</v>
      </c>
      <c r="E2177" t="str">
        <f>IFERROR(__xludf.DUMMYFUNCTION("""COMPUTED_VALUE"""),"台銀籌備帳戶")</f>
        <v>台銀籌備帳戶</v>
      </c>
      <c r="H2177" s="106" t="str">
        <f t="shared" si="1"/>
        <v>2025-07</v>
      </c>
      <c r="I2177" s="271" t="str">
        <f>IFERROR(__xludf.DUMMYFUNCTION("""COMPUTED_VALUE"""),"貓狗企鵝")</f>
        <v>貓狗企鵝</v>
      </c>
      <c r="J2177" t="str">
        <f>IFERROR(__xludf.DUMMYFUNCTION("IFS(
  AND(REGEXMATCH(E2177, ""台銀籌備帳戶|玉山帳戶""), REGEXMATCH(C2177, ""薪資"")), ""分潤支出"",
  AND(REGEXMATCH(E2177, ""Ben帳戶|Elsa帳戶|Ben代墊|Ariel代墊|中信銀行共用""), REGEXMATCH(F2177, ""Ben帳戶|Elsa帳戶|Ben代墊|Ariel代墊|中信銀行共用"")), ""內部轉帳(忽略)"",
  AND(E2177&lt;&gt;"""", F2177&lt;&gt;"""", N"&amp;"OT(REGEXMATCH(C2177, ""薪資""))), ""內部轉帳(忽略)"",
  REGEXMATCH(C2177, ""薪資""), ""薪資變動(不計入)"",
  REGEXMATCH(C2177, ""押金""), ""押金往來"",
  AND(E2177&lt;&gt;"""", F2177=""""), ""真實支出"",
  AND(E2177="""", F2177&lt;&gt;""""), ""真實收入"",
  TRUE, ""其他""
)"),"真實支出")</f>
        <v>真實支出</v>
      </c>
      <c r="K2177" s="270">
        <f t="shared" si="2"/>
        <v>-15</v>
      </c>
      <c r="L2177">
        <f t="shared" si="3"/>
        <v>0</v>
      </c>
    </row>
    <row r="2178">
      <c r="A2178" s="107">
        <f>IFERROR(__xludf.DUMMYFUNCTION("""COMPUTED_VALUE"""),45839.0)</f>
        <v>45839</v>
      </c>
      <c r="B2178" t="str">
        <f>IFERROR(__xludf.DUMMYFUNCTION("""COMPUTED_VALUE"""),"螢光水電北投樂宅          ' 【未分類支出】")</f>
        <v>螢光水電北投樂宅          ' 【未分類支出】</v>
      </c>
      <c r="C2178" t="str">
        <f>IFERROR(__xludf.DUMMYFUNCTION("""COMPUTED_VALUE"""),"成本 - 進場前裝潢費")</f>
        <v>成本 - 進場前裝潢費</v>
      </c>
      <c r="D2178" s="270">
        <f>IFERROR(__xludf.DUMMYFUNCTION("""COMPUTED_VALUE"""),-16275.0)</f>
        <v>-16275</v>
      </c>
      <c r="E2178" t="str">
        <f>IFERROR(__xludf.DUMMYFUNCTION("""COMPUTED_VALUE"""),"台銀籌備帳戶")</f>
        <v>台銀籌備帳戶</v>
      </c>
      <c r="G2178" t="str">
        <f>IFERROR(__xludf.DUMMYFUNCTION("""COMPUTED_VALUE"""),"無法分類")</f>
        <v>無法分類</v>
      </c>
      <c r="H2178" s="106" t="str">
        <f t="shared" si="1"/>
        <v>2025-07</v>
      </c>
      <c r="I2178" s="271" t="str">
        <f>IFERROR(__xludf.DUMMYFUNCTION("""COMPUTED_VALUE"""),"貓狗企鵝")</f>
        <v>貓狗企鵝</v>
      </c>
      <c r="J2178" t="str">
        <f>IFERROR(__xludf.DUMMYFUNCTION("IFS(
  AND(REGEXMATCH(E2178, ""台銀籌備帳戶|玉山帳戶""), REGEXMATCH(C2178, ""薪資"")), ""分潤支出"",
  AND(REGEXMATCH(E2178, ""Ben帳戶|Elsa帳戶|Ben代墊|Ariel代墊|中信銀行共用""), REGEXMATCH(F2178, ""Ben帳戶|Elsa帳戶|Ben代墊|Ariel代墊|中信銀行共用"")), ""內部轉帳(忽略)"",
  AND(E2178&lt;&gt;"""", F2178&lt;&gt;"""", N"&amp;"OT(REGEXMATCH(C2178, ""薪資""))), ""內部轉帳(忽略)"",
  REGEXMATCH(C2178, ""薪資""), ""薪資變動(不計入)"",
  REGEXMATCH(C2178, ""押金""), ""押金往來"",
  AND(E2178&lt;&gt;"""", F2178=""""), ""真實支出"",
  AND(E2178="""", F2178&lt;&gt;""""), ""真實收入"",
  TRUE, ""其他""
)"),"真實支出")</f>
        <v>真實支出</v>
      </c>
      <c r="K2178" s="270">
        <f t="shared" si="2"/>
        <v>-16275</v>
      </c>
      <c r="L2178">
        <f t="shared" si="3"/>
        <v>0</v>
      </c>
    </row>
    <row r="2179">
      <c r="A2179" s="107">
        <f>IFERROR(__xludf.DUMMYFUNCTION("""COMPUTED_VALUE"""),45839.0)</f>
        <v>45839</v>
      </c>
      <c r="B2179" t="str">
        <f>IFERROR(__xludf.DUMMYFUNCTION("""COMPUTED_VALUE"""),"費用 - 匯費 對方行:812 後五碼:83272 (行號: 78)")</f>
        <v>費用 - 匯費 對方行:812 後五碼:83272 (行號: 78)</v>
      </c>
      <c r="C2179" t="str">
        <f>IFERROR(__xludf.DUMMYFUNCTION("""COMPUTED_VALUE"""),"費用 - 匯費")</f>
        <v>費用 - 匯費</v>
      </c>
      <c r="D2179" s="270">
        <f>IFERROR(__xludf.DUMMYFUNCTION("""COMPUTED_VALUE"""),-15.0)</f>
        <v>-15</v>
      </c>
      <c r="E2179" t="str">
        <f>IFERROR(__xludf.DUMMYFUNCTION("""COMPUTED_VALUE"""),"台銀籌備帳戶")</f>
        <v>台銀籌備帳戶</v>
      </c>
      <c r="H2179" s="106" t="str">
        <f t="shared" si="1"/>
        <v>2025-07</v>
      </c>
      <c r="I2179" s="271" t="str">
        <f>IFERROR(__xludf.DUMMYFUNCTION("""COMPUTED_VALUE"""),"貓狗企鵝")</f>
        <v>貓狗企鵝</v>
      </c>
      <c r="J2179" t="str">
        <f>IFERROR(__xludf.DUMMYFUNCTION("IFS(
  AND(REGEXMATCH(E2179, ""台銀籌備帳戶|玉山帳戶""), REGEXMATCH(C2179, ""薪資"")), ""分潤支出"",
  AND(REGEXMATCH(E2179, ""Ben帳戶|Elsa帳戶|Ben代墊|Ariel代墊|中信銀行共用""), REGEXMATCH(F2179, ""Ben帳戶|Elsa帳戶|Ben代墊|Ariel代墊|中信銀行共用"")), ""內部轉帳(忽略)"",
  AND(E2179&lt;&gt;"""", F2179&lt;&gt;"""", N"&amp;"OT(REGEXMATCH(C2179, ""薪資""))), ""內部轉帳(忽略)"",
  REGEXMATCH(C2179, ""薪資""), ""薪資變動(不計入)"",
  REGEXMATCH(C2179, ""押金""), ""押金往來"",
  AND(E2179&lt;&gt;"""", F2179=""""), ""真實支出"",
  AND(E2179="""", F2179&lt;&gt;""""), ""真實收入"",
  TRUE, ""其他""
)"),"真實支出")</f>
        <v>真實支出</v>
      </c>
      <c r="K2179" s="270">
        <f t="shared" si="2"/>
        <v>-15</v>
      </c>
      <c r="L2179">
        <f t="shared" si="3"/>
        <v>0</v>
      </c>
    </row>
    <row r="2180">
      <c r="A2180" s="107">
        <f>IFERROR(__xludf.DUMMYFUNCTION("""COMPUTED_VALUE"""),45839.0)</f>
        <v>45839</v>
      </c>
      <c r="B2180" t="str">
        <f>IFERROR(__xludf.DUMMYFUNCTION("""COMPUTED_VALUE"""),"北醫D退押                 ' 【未分類支出】")</f>
        <v>北醫D退押                 ' 【未分類支出】</v>
      </c>
      <c r="C2180" t="str">
        <f>IFERROR(__xludf.DUMMYFUNCTION("""COMPUTED_VALUE"""),"收入 - 押金")</f>
        <v>收入 - 押金</v>
      </c>
      <c r="D2180" s="270">
        <f>IFERROR(__xludf.DUMMYFUNCTION("""COMPUTED_VALUE"""),-23000.0)</f>
        <v>-23000</v>
      </c>
      <c r="E2180" t="str">
        <f>IFERROR(__xludf.DUMMYFUNCTION("""COMPUTED_VALUE"""),"台銀籌備帳戶")</f>
        <v>台銀籌備帳戶</v>
      </c>
      <c r="G2180" t="str">
        <f>IFERROR(__xludf.DUMMYFUNCTION("""COMPUTED_VALUE"""),"北醫醫師府")</f>
        <v>北醫醫師府</v>
      </c>
      <c r="H2180" s="106" t="str">
        <f t="shared" si="1"/>
        <v>2025-07</v>
      </c>
      <c r="I2180" s="271" t="str">
        <f>IFERROR(__xludf.DUMMYFUNCTION("""COMPUTED_VALUE"""),"貓狗企鵝")</f>
        <v>貓狗企鵝</v>
      </c>
      <c r="J2180" t="str">
        <f>IFERROR(__xludf.DUMMYFUNCTION("IFS(
  AND(REGEXMATCH(E2180, ""台銀籌備帳戶|玉山帳戶""), REGEXMATCH(C2180, ""薪資"")), ""分潤支出"",
  AND(REGEXMATCH(E2180, ""Ben帳戶|Elsa帳戶|Ben代墊|Ariel代墊|中信銀行共用""), REGEXMATCH(F2180, ""Ben帳戶|Elsa帳戶|Ben代墊|Ariel代墊|中信銀行共用"")), ""內部轉帳(忽略)"",
  AND(E2180&lt;&gt;"""", F2180&lt;&gt;"""", N"&amp;"OT(REGEXMATCH(C2180, ""薪資""))), ""內部轉帳(忽略)"",
  REGEXMATCH(C2180, ""薪資""), ""薪資變動(不計入)"",
  REGEXMATCH(C2180, ""押金""), ""押金往來"",
  AND(E2180&lt;&gt;"""", F2180=""""), ""真實支出"",
  AND(E2180="""", F2180&lt;&gt;""""), ""真實收入"",
  TRUE, ""其他""
)"),"押金往來")</f>
        <v>押金往來</v>
      </c>
      <c r="K2180">
        <f t="shared" si="2"/>
        <v>0</v>
      </c>
      <c r="L2180">
        <f t="shared" si="3"/>
        <v>0</v>
      </c>
    </row>
    <row r="2181">
      <c r="A2181" s="107">
        <f>IFERROR(__xludf.DUMMYFUNCTION("""COMPUTED_VALUE"""),45839.0)</f>
        <v>45839</v>
      </c>
      <c r="B2181" t="str">
        <f>IFERROR(__xludf.DUMMYFUNCTION("""COMPUTED_VALUE"""),"費用 - 匯費 對方行:812 後五碼:83272 (行號: 79)")</f>
        <v>費用 - 匯費 對方行:812 後五碼:83272 (行號: 79)</v>
      </c>
      <c r="C2181" t="str">
        <f>IFERROR(__xludf.DUMMYFUNCTION("""COMPUTED_VALUE"""),"費用 - 匯費")</f>
        <v>費用 - 匯費</v>
      </c>
      <c r="D2181" s="270">
        <f>IFERROR(__xludf.DUMMYFUNCTION("""COMPUTED_VALUE"""),-15.0)</f>
        <v>-15</v>
      </c>
      <c r="E2181" t="str">
        <f>IFERROR(__xludf.DUMMYFUNCTION("""COMPUTED_VALUE"""),"台銀籌備帳戶")</f>
        <v>台銀籌備帳戶</v>
      </c>
      <c r="H2181" s="106" t="str">
        <f t="shared" si="1"/>
        <v>2025-07</v>
      </c>
      <c r="I2181" s="271" t="str">
        <f>IFERROR(__xludf.DUMMYFUNCTION("""COMPUTED_VALUE"""),"貓狗企鵝")</f>
        <v>貓狗企鵝</v>
      </c>
      <c r="J2181" t="str">
        <f>IFERROR(__xludf.DUMMYFUNCTION("IFS(
  AND(REGEXMATCH(E2181, ""台銀籌備帳戶|玉山帳戶""), REGEXMATCH(C2181, ""薪資"")), ""分潤支出"",
  AND(REGEXMATCH(E2181, ""Ben帳戶|Elsa帳戶|Ben代墊|Ariel代墊|中信銀行共用""), REGEXMATCH(F2181, ""Ben帳戶|Elsa帳戶|Ben代墊|Ariel代墊|中信銀行共用"")), ""內部轉帳(忽略)"",
  AND(E2181&lt;&gt;"""", F2181&lt;&gt;"""", N"&amp;"OT(REGEXMATCH(C2181, ""薪資""))), ""內部轉帳(忽略)"",
  REGEXMATCH(C2181, ""薪資""), ""薪資變動(不計入)"",
  REGEXMATCH(C2181, ""押金""), ""押金往來"",
  AND(E2181&lt;&gt;"""", F2181=""""), ""真實支出"",
  AND(E2181="""", F2181&lt;&gt;""""), ""真實收入"",
  TRUE, ""其他""
)"),"真實支出")</f>
        <v>真實支出</v>
      </c>
      <c r="K2181" s="270">
        <f t="shared" si="2"/>
        <v>-15</v>
      </c>
      <c r="L2181">
        <f t="shared" si="3"/>
        <v>0</v>
      </c>
    </row>
    <row r="2182">
      <c r="A2182" s="107">
        <f>IFERROR(__xludf.DUMMYFUNCTION("""COMPUTED_VALUE"""),45839.0)</f>
        <v>45839</v>
      </c>
      <c r="B2182" t="str">
        <f>IFERROR(__xludf.DUMMYFUNCTION("""COMPUTED_VALUE"""),"北醫D退押                 ' 【未分類支出】")</f>
        <v>北醫D退押                 ' 【未分類支出】</v>
      </c>
      <c r="C2182" t="str">
        <f>IFERROR(__xludf.DUMMYFUNCTION("""COMPUTED_VALUE"""),"收入 - 押金")</f>
        <v>收入 - 押金</v>
      </c>
      <c r="D2182" s="270">
        <f>IFERROR(__xludf.DUMMYFUNCTION("""COMPUTED_VALUE"""),-995.0)</f>
        <v>-995</v>
      </c>
      <c r="E2182" t="str">
        <f>IFERROR(__xludf.DUMMYFUNCTION("""COMPUTED_VALUE"""),"台銀籌備帳戶")</f>
        <v>台銀籌備帳戶</v>
      </c>
      <c r="G2182" t="str">
        <f>IFERROR(__xludf.DUMMYFUNCTION("""COMPUTED_VALUE"""),"北醫醫師府")</f>
        <v>北醫醫師府</v>
      </c>
      <c r="H2182" s="106" t="str">
        <f t="shared" si="1"/>
        <v>2025-07</v>
      </c>
      <c r="I2182" s="271" t="str">
        <f>IFERROR(__xludf.DUMMYFUNCTION("""COMPUTED_VALUE"""),"貓狗企鵝")</f>
        <v>貓狗企鵝</v>
      </c>
      <c r="J2182" t="str">
        <f>IFERROR(__xludf.DUMMYFUNCTION("IFS(
  AND(REGEXMATCH(E2182, ""台銀籌備帳戶|玉山帳戶""), REGEXMATCH(C2182, ""薪資"")), ""分潤支出"",
  AND(REGEXMATCH(E2182, ""Ben帳戶|Elsa帳戶|Ben代墊|Ariel代墊|中信銀行共用""), REGEXMATCH(F2182, ""Ben帳戶|Elsa帳戶|Ben代墊|Ariel代墊|中信銀行共用"")), ""內部轉帳(忽略)"",
  AND(E2182&lt;&gt;"""", F2182&lt;&gt;"""", N"&amp;"OT(REGEXMATCH(C2182, ""薪資""))), ""內部轉帳(忽略)"",
  REGEXMATCH(C2182, ""薪資""), ""薪資變動(不計入)"",
  REGEXMATCH(C2182, ""押金""), ""押金往來"",
  AND(E2182&lt;&gt;"""", F2182=""""), ""真實支出"",
  AND(E2182="""", F2182&lt;&gt;""""), ""真實收入"",
  TRUE, ""其他""
)"),"押金往來")</f>
        <v>押金往來</v>
      </c>
      <c r="K2182">
        <f t="shared" si="2"/>
        <v>0</v>
      </c>
      <c r="L2182">
        <f t="shared" si="3"/>
        <v>0</v>
      </c>
    </row>
    <row r="2183">
      <c r="A2183" s="107">
        <f>IFERROR(__xludf.DUMMYFUNCTION("""COMPUTED_VALUE"""),45839.0)</f>
        <v>45839</v>
      </c>
      <c r="B2183" t="str">
        <f>IFERROR(__xludf.DUMMYFUNCTION("""COMPUTED_VALUE"""),"費用 - 匯費 對方行:822 後五碼:30547 (行號: 80)")</f>
        <v>費用 - 匯費 對方行:822 後五碼:30547 (行號: 80)</v>
      </c>
      <c r="C2183" t="str">
        <f>IFERROR(__xludf.DUMMYFUNCTION("""COMPUTED_VALUE"""),"費用 - 匯費")</f>
        <v>費用 - 匯費</v>
      </c>
      <c r="D2183" s="270">
        <f>IFERROR(__xludf.DUMMYFUNCTION("""COMPUTED_VALUE"""),-15.0)</f>
        <v>-15</v>
      </c>
      <c r="E2183" t="str">
        <f>IFERROR(__xludf.DUMMYFUNCTION("""COMPUTED_VALUE"""),"台銀籌備帳戶")</f>
        <v>台銀籌備帳戶</v>
      </c>
      <c r="H2183" s="106" t="str">
        <f t="shared" si="1"/>
        <v>2025-07</v>
      </c>
      <c r="I2183" s="271" t="str">
        <f>IFERROR(__xludf.DUMMYFUNCTION("""COMPUTED_VALUE"""),"貓狗企鵝")</f>
        <v>貓狗企鵝</v>
      </c>
      <c r="J2183" t="str">
        <f>IFERROR(__xludf.DUMMYFUNCTION("IFS(
  AND(REGEXMATCH(E2183, ""台銀籌備帳戶|玉山帳戶""), REGEXMATCH(C2183, ""薪資"")), ""分潤支出"",
  AND(REGEXMATCH(E2183, ""Ben帳戶|Elsa帳戶|Ben代墊|Ariel代墊|中信銀行共用""), REGEXMATCH(F2183, ""Ben帳戶|Elsa帳戶|Ben代墊|Ariel代墊|中信銀行共用"")), ""內部轉帳(忽略)"",
  AND(E2183&lt;&gt;"""", F2183&lt;&gt;"""", N"&amp;"OT(REGEXMATCH(C2183, ""薪資""))), ""內部轉帳(忽略)"",
  REGEXMATCH(C2183, ""薪資""), ""薪資變動(不計入)"",
  REGEXMATCH(C2183, ""押金""), ""押金往來"",
  AND(E2183&lt;&gt;"""", F2183=""""), ""真實支出"",
  AND(E2183="""", F2183&lt;&gt;""""), ""真實收入"",
  TRUE, ""其他""
)"),"真實支出")</f>
        <v>真實支出</v>
      </c>
      <c r="K2183" s="270">
        <f t="shared" si="2"/>
        <v>-15</v>
      </c>
      <c r="L2183">
        <f t="shared" si="3"/>
        <v>0</v>
      </c>
    </row>
    <row r="2184">
      <c r="A2184" s="107">
        <f>IFERROR(__xludf.DUMMYFUNCTION("""COMPUTED_VALUE"""),45839.0)</f>
        <v>45839</v>
      </c>
      <c r="B2184" t="str">
        <f>IFERROR(__xludf.DUMMYFUNCTION("""COMPUTED_VALUE"""),"火雞阿德民生為主          ' 【未分類支出】")</f>
        <v>火雞阿德民生為主          ' 【未分類支出】</v>
      </c>
      <c r="C2184" t="str">
        <f>IFERROR(__xludf.DUMMYFUNCTION("""COMPUTED_VALUE"""),"成本 - 進場前裝潢費")</f>
        <v>成本 - 進場前裝潢費</v>
      </c>
      <c r="D2184" s="270">
        <f>IFERROR(__xludf.DUMMYFUNCTION("""COMPUTED_VALUE"""),-64707.0)</f>
        <v>-64707</v>
      </c>
      <c r="E2184" t="str">
        <f>IFERROR(__xludf.DUMMYFUNCTION("""COMPUTED_VALUE"""),"台銀籌備帳戶")</f>
        <v>台銀籌備帳戶</v>
      </c>
      <c r="G2184" t="str">
        <f>IFERROR(__xludf.DUMMYFUNCTION("""COMPUTED_VALUE"""),"書香民生")</f>
        <v>書香民生</v>
      </c>
      <c r="H2184" s="106" t="str">
        <f t="shared" si="1"/>
        <v>2025-07</v>
      </c>
      <c r="I2184" s="271" t="str">
        <f>IFERROR(__xludf.DUMMYFUNCTION("""COMPUTED_VALUE"""),"貓狗企鵝")</f>
        <v>貓狗企鵝</v>
      </c>
      <c r="J2184" t="str">
        <f>IFERROR(__xludf.DUMMYFUNCTION("IFS(
  AND(REGEXMATCH(E2184, ""台銀籌備帳戶|玉山帳戶""), REGEXMATCH(C2184, ""薪資"")), ""分潤支出"",
  AND(REGEXMATCH(E2184, ""Ben帳戶|Elsa帳戶|Ben代墊|Ariel代墊|中信銀行共用""), REGEXMATCH(F2184, ""Ben帳戶|Elsa帳戶|Ben代墊|Ariel代墊|中信銀行共用"")), ""內部轉帳(忽略)"",
  AND(E2184&lt;&gt;"""", F2184&lt;&gt;"""", N"&amp;"OT(REGEXMATCH(C2184, ""薪資""))), ""內部轉帳(忽略)"",
  REGEXMATCH(C2184, ""薪資""), ""薪資變動(不計入)"",
  REGEXMATCH(C2184, ""押金""), ""押金往來"",
  AND(E2184&lt;&gt;"""", F2184=""""), ""真實支出"",
  AND(E2184="""", F2184&lt;&gt;""""), ""真實收入"",
  TRUE, ""其他""
)"),"真實支出")</f>
        <v>真實支出</v>
      </c>
      <c r="K2184" s="270">
        <f t="shared" si="2"/>
        <v>-64707</v>
      </c>
      <c r="L2184">
        <f t="shared" si="3"/>
        <v>0</v>
      </c>
    </row>
    <row r="2185">
      <c r="A2185" s="107">
        <f>IFERROR(__xludf.DUMMYFUNCTION("""COMPUTED_VALUE"""),45839.0)</f>
        <v>45839</v>
      </c>
      <c r="B2185" t="str">
        <f>IFERROR(__xludf.DUMMYFUNCTION("""COMPUTED_VALUE"""),"費用 - 匯費 對方行:011 後五碼:70443 (行號: 81)")</f>
        <v>費用 - 匯費 對方行:011 後五碼:70443 (行號: 81)</v>
      </c>
      <c r="C2185" t="str">
        <f>IFERROR(__xludf.DUMMYFUNCTION("""COMPUTED_VALUE"""),"費用 - 匯費")</f>
        <v>費用 - 匯費</v>
      </c>
      <c r="D2185" s="270">
        <f>IFERROR(__xludf.DUMMYFUNCTION("""COMPUTED_VALUE"""),-15.0)</f>
        <v>-15</v>
      </c>
      <c r="E2185" t="str">
        <f>IFERROR(__xludf.DUMMYFUNCTION("""COMPUTED_VALUE"""),"台銀籌備帳戶")</f>
        <v>台銀籌備帳戶</v>
      </c>
      <c r="H2185" s="106" t="str">
        <f t="shared" si="1"/>
        <v>2025-07</v>
      </c>
      <c r="I2185" s="271" t="str">
        <f>IFERROR(__xludf.DUMMYFUNCTION("""COMPUTED_VALUE"""),"貓狗企鵝")</f>
        <v>貓狗企鵝</v>
      </c>
      <c r="J2185" t="str">
        <f>IFERROR(__xludf.DUMMYFUNCTION("IFS(
  AND(REGEXMATCH(E2185, ""台銀籌備帳戶|玉山帳戶""), REGEXMATCH(C2185, ""薪資"")), ""分潤支出"",
  AND(REGEXMATCH(E2185, ""Ben帳戶|Elsa帳戶|Ben代墊|Ariel代墊|中信銀行共用""), REGEXMATCH(F2185, ""Ben帳戶|Elsa帳戶|Ben代墊|Ariel代墊|中信銀行共用"")), ""內部轉帳(忽略)"",
  AND(E2185&lt;&gt;"""", F2185&lt;&gt;"""", N"&amp;"OT(REGEXMATCH(C2185, ""薪資""))), ""內部轉帳(忽略)"",
  REGEXMATCH(C2185, ""薪資""), ""薪資變動(不計入)"",
  REGEXMATCH(C2185, ""押金""), ""押金往來"",
  AND(E2185&lt;&gt;"""", F2185=""""), ""真實支出"",
  AND(E2185="""", F2185&lt;&gt;""""), ""真實收入"",
  TRUE, ""其他""
)"),"真實支出")</f>
        <v>真實支出</v>
      </c>
      <c r="K2185" s="270">
        <f t="shared" si="2"/>
        <v>-15</v>
      </c>
      <c r="L2185">
        <f t="shared" si="3"/>
        <v>0</v>
      </c>
    </row>
    <row r="2186">
      <c r="A2186" s="107">
        <f>IFERROR(__xludf.DUMMYFUNCTION("""COMPUTED_VALUE"""),45839.0)</f>
        <v>45839</v>
      </c>
      <c r="B2186" t="str">
        <f>IFERROR(__xludf.DUMMYFUNCTION("""COMPUTED_VALUE"""),"弟弟企鵝                  ' 【未分類支出】")</f>
        <v>弟弟企鵝                  ' 【未分類支出】</v>
      </c>
      <c r="C2186" t="str">
        <f>IFERROR(__xludf.DUMMYFUNCTION("""COMPUTED_VALUE"""),"成本 - 進場前裝潢費")</f>
        <v>成本 - 進場前裝潢費</v>
      </c>
      <c r="D2186" s="270">
        <f>IFERROR(__xludf.DUMMYFUNCTION("""COMPUTED_VALUE"""),-37761.0)</f>
        <v>-37761</v>
      </c>
      <c r="E2186" t="str">
        <f>IFERROR(__xludf.DUMMYFUNCTION("""COMPUTED_VALUE"""),"台銀籌備帳戶")</f>
        <v>台銀籌備帳戶</v>
      </c>
      <c r="G2186" t="str">
        <f>IFERROR(__xludf.DUMMYFUNCTION("""COMPUTED_VALUE"""),"書香民生")</f>
        <v>書香民生</v>
      </c>
      <c r="H2186" s="106" t="str">
        <f t="shared" si="1"/>
        <v>2025-07</v>
      </c>
      <c r="I2186" s="271" t="str">
        <f>IFERROR(__xludf.DUMMYFUNCTION("""COMPUTED_VALUE"""),"貓狗企鵝")</f>
        <v>貓狗企鵝</v>
      </c>
      <c r="J2186" t="str">
        <f>IFERROR(__xludf.DUMMYFUNCTION("IFS(
  AND(REGEXMATCH(E2186, ""台銀籌備帳戶|玉山帳戶""), REGEXMATCH(C2186, ""薪資"")), ""分潤支出"",
  AND(REGEXMATCH(E2186, ""Ben帳戶|Elsa帳戶|Ben代墊|Ariel代墊|中信銀行共用""), REGEXMATCH(F2186, ""Ben帳戶|Elsa帳戶|Ben代墊|Ariel代墊|中信銀行共用"")), ""內部轉帳(忽略)"",
  AND(E2186&lt;&gt;"""", F2186&lt;&gt;"""", N"&amp;"OT(REGEXMATCH(C2186, ""薪資""))), ""內部轉帳(忽略)"",
  REGEXMATCH(C2186, ""薪資""), ""薪資變動(不計入)"",
  REGEXMATCH(C2186, ""押金""), ""押金往來"",
  AND(E2186&lt;&gt;"""", F2186=""""), ""真實支出"",
  AND(E2186="""", F2186&lt;&gt;""""), ""真實收入"",
  TRUE, ""其他""
)"),"真實支出")</f>
        <v>真實支出</v>
      </c>
      <c r="K2186" s="270">
        <f t="shared" si="2"/>
        <v>-37761</v>
      </c>
      <c r="L2186">
        <f t="shared" si="3"/>
        <v>0</v>
      </c>
    </row>
    <row r="2187">
      <c r="A2187" s="107">
        <f>IFERROR(__xludf.DUMMYFUNCTION("""COMPUTED_VALUE"""),45839.0)</f>
        <v>45839</v>
      </c>
      <c r="B2187" t="str">
        <f>IFERROR(__xludf.DUMMYFUNCTION("""COMPUTED_VALUE"""),"費用 - 匯費 對方行:012 後五碼:22931 (行號: 84)")</f>
        <v>費用 - 匯費 對方行:012 後五碼:22931 (行號: 84)</v>
      </c>
      <c r="C2187" t="str">
        <f>IFERROR(__xludf.DUMMYFUNCTION("""COMPUTED_VALUE"""),"費用 - 匯費")</f>
        <v>費用 - 匯費</v>
      </c>
      <c r="D2187" s="270">
        <f>IFERROR(__xludf.DUMMYFUNCTION("""COMPUTED_VALUE"""),-15.0)</f>
        <v>-15</v>
      </c>
      <c r="E2187" t="str">
        <f>IFERROR(__xludf.DUMMYFUNCTION("""COMPUTED_VALUE"""),"台銀籌備帳戶")</f>
        <v>台銀籌備帳戶</v>
      </c>
      <c r="H2187" s="106" t="str">
        <f t="shared" si="1"/>
        <v>2025-07</v>
      </c>
      <c r="I2187" s="271" t="str">
        <f>IFERROR(__xludf.DUMMYFUNCTION("""COMPUTED_VALUE"""),"貓狗企鵝")</f>
        <v>貓狗企鵝</v>
      </c>
      <c r="J2187" t="str">
        <f>IFERROR(__xludf.DUMMYFUNCTION("IFS(
  AND(REGEXMATCH(E2187, ""台銀籌備帳戶|玉山帳戶""), REGEXMATCH(C2187, ""薪資"")), ""分潤支出"",
  AND(REGEXMATCH(E2187, ""Ben帳戶|Elsa帳戶|Ben代墊|Ariel代墊|中信銀行共用""), REGEXMATCH(F2187, ""Ben帳戶|Elsa帳戶|Ben代墊|Ariel代墊|中信銀行共用"")), ""內部轉帳(忽略)"",
  AND(E2187&lt;&gt;"""", F2187&lt;&gt;"""", N"&amp;"OT(REGEXMATCH(C2187, ""薪資""))), ""內部轉帳(忽略)"",
  REGEXMATCH(C2187, ""薪資""), ""薪資變動(不計入)"",
  REGEXMATCH(C2187, ""押金""), ""押金往來"",
  AND(E2187&lt;&gt;"""", F2187=""""), ""真實支出"",
  AND(E2187="""", F2187&lt;&gt;""""), ""真實收入"",
  TRUE, ""其他""
)"),"真實支出")</f>
        <v>真實支出</v>
      </c>
      <c r="K2187" s="270">
        <f t="shared" si="2"/>
        <v>-15</v>
      </c>
      <c r="L2187">
        <f t="shared" si="3"/>
        <v>0</v>
      </c>
    </row>
    <row r="2188">
      <c r="A2188" s="107">
        <f>IFERROR(__xludf.DUMMYFUNCTION("""COMPUTED_VALUE"""),45839.0)</f>
        <v>45839</v>
      </c>
      <c r="B2188" t="str">
        <f>IFERROR(__xludf.DUMMYFUNCTION("""COMPUTED_VALUE"""),"Assari床                  ' 【未分類支出】")</f>
        <v>Assari床                  ' 【未分類支出】</v>
      </c>
      <c r="C2188" t="str">
        <f>IFERROR(__xludf.DUMMYFUNCTION("""COMPUTED_VALUE"""),"成本 - 進場前裝潢費")</f>
        <v>成本 - 進場前裝潢費</v>
      </c>
      <c r="D2188" s="270">
        <f>IFERROR(__xludf.DUMMYFUNCTION("""COMPUTED_VALUE"""),-53900.0)</f>
        <v>-53900</v>
      </c>
      <c r="E2188" t="str">
        <f>IFERROR(__xludf.DUMMYFUNCTION("""COMPUTED_VALUE"""),"台銀籌備帳戶")</f>
        <v>台銀籌備帳戶</v>
      </c>
      <c r="G2188" t="str">
        <f>IFERROR(__xludf.DUMMYFUNCTION("""COMPUTED_VALUE"""),"書香民生")</f>
        <v>書香民生</v>
      </c>
      <c r="H2188" s="106" t="str">
        <f t="shared" si="1"/>
        <v>2025-07</v>
      </c>
      <c r="I2188" s="271" t="str">
        <f>IFERROR(__xludf.DUMMYFUNCTION("""COMPUTED_VALUE"""),"貓狗企鵝")</f>
        <v>貓狗企鵝</v>
      </c>
      <c r="J2188" t="str">
        <f>IFERROR(__xludf.DUMMYFUNCTION("IFS(
  AND(REGEXMATCH(E2188, ""台銀籌備帳戶|玉山帳戶""), REGEXMATCH(C2188, ""薪資"")), ""分潤支出"",
  AND(REGEXMATCH(E2188, ""Ben帳戶|Elsa帳戶|Ben代墊|Ariel代墊|中信銀行共用""), REGEXMATCH(F2188, ""Ben帳戶|Elsa帳戶|Ben代墊|Ariel代墊|中信銀行共用"")), ""內部轉帳(忽略)"",
  AND(E2188&lt;&gt;"""", F2188&lt;&gt;"""", N"&amp;"OT(REGEXMATCH(C2188, ""薪資""))), ""內部轉帳(忽略)"",
  REGEXMATCH(C2188, ""薪資""), ""薪資變動(不計入)"",
  REGEXMATCH(C2188, ""押金""), ""押金往來"",
  AND(E2188&lt;&gt;"""", F2188=""""), ""真實支出"",
  AND(E2188="""", F2188&lt;&gt;""""), ""真實收入"",
  TRUE, ""其他""
)"),"真實支出")</f>
        <v>真實支出</v>
      </c>
      <c r="K2188" s="270">
        <f t="shared" si="2"/>
        <v>-53900</v>
      </c>
      <c r="L2188">
        <f t="shared" si="3"/>
        <v>0</v>
      </c>
    </row>
    <row r="2189">
      <c r="A2189" s="107">
        <f>IFERROR(__xludf.DUMMYFUNCTION("""COMPUTED_VALUE"""),45819.0)</f>
        <v>45819</v>
      </c>
      <c r="B2189" t="str">
        <f>IFERROR(__xludf.DUMMYFUNCTION("""COMPUTED_VALUE"""),"[哈拉對面] C [徐鉦庭] 月租金 (行號: 6)")</f>
        <v>[哈拉對面] C [徐鉦庭] 月租金 (行號: 6)</v>
      </c>
      <c r="C2189" t="str">
        <f>IFERROR(__xludf.DUMMYFUNCTION("""COMPUTED_VALUE"""),"收入 - 租金")</f>
        <v>收入 - 租金</v>
      </c>
      <c r="D2189" s="270">
        <f>IFERROR(__xludf.DUMMYFUNCTION("""COMPUTED_VALUE"""),11800.0)</f>
        <v>11800</v>
      </c>
      <c r="F2189" t="str">
        <f>IFERROR(__xludf.DUMMYFUNCTION("""COMPUTED_VALUE"""),"台銀籌備帳戶")</f>
        <v>台銀籌備帳戶</v>
      </c>
      <c r="G2189" t="str">
        <f>IFERROR(__xludf.DUMMYFUNCTION("""COMPUTED_VALUE"""),"哈拉對面")</f>
        <v>哈拉對面</v>
      </c>
      <c r="H2189" s="106" t="str">
        <f t="shared" si="1"/>
        <v>2025-06</v>
      </c>
      <c r="I2189" s="271" t="str">
        <f>IFERROR(__xludf.DUMMYFUNCTION("""COMPUTED_VALUE"""),"貓狗企鵝")</f>
        <v>貓狗企鵝</v>
      </c>
      <c r="J2189" t="str">
        <f>IFERROR(__xludf.DUMMYFUNCTION("IFS(
  AND(REGEXMATCH(E2189, ""台銀籌備帳戶|玉山帳戶""), REGEXMATCH(C2189, ""薪資"")), ""分潤支出"",
  AND(REGEXMATCH(E2189, ""Ben帳戶|Elsa帳戶|Ben代墊|Ariel代墊|中信銀行共用""), REGEXMATCH(F2189, ""Ben帳戶|Elsa帳戶|Ben代墊|Ariel代墊|中信銀行共用"")), ""內部轉帳(忽略)"",
  AND(E2189&lt;&gt;"""", F2189&lt;&gt;"""", N"&amp;"OT(REGEXMATCH(C2189, ""薪資""))), ""內部轉帳(忽略)"",
  REGEXMATCH(C2189, ""薪資""), ""薪資變動(不計入)"",
  REGEXMATCH(C2189, ""押金""), ""押金往來"",
  AND(E2189&lt;&gt;"""", F2189=""""), ""真實支出"",
  AND(E2189="""", F2189&lt;&gt;""""), ""真實收入"",
  TRUE, ""其他""
)"),"真實收入")</f>
        <v>真實收入</v>
      </c>
      <c r="K2189" s="270">
        <f t="shared" si="2"/>
        <v>11800</v>
      </c>
      <c r="L2189">
        <f t="shared" si="3"/>
        <v>0</v>
      </c>
    </row>
    <row r="2190">
      <c r="A2190" s="107">
        <f>IFERROR(__xludf.DUMMYFUNCTION("""COMPUTED_VALUE"""),45826.0)</f>
        <v>45826</v>
      </c>
      <c r="B2190" t="str">
        <f>IFERROR(__xludf.DUMMYFUNCTION("""COMPUTED_VALUE"""),"[北醫醫師府] D [吳宥辰] 押金 (行號: 22, 23)")</f>
        <v>[北醫醫師府] D [吳宥辰] 押金 (行號: 22, 23)</v>
      </c>
      <c r="C2190" t="str">
        <f>IFERROR(__xludf.DUMMYFUNCTION("""COMPUTED_VALUE"""),"收入 - 押金")</f>
        <v>收入 - 押金</v>
      </c>
      <c r="D2190" s="270">
        <f>IFERROR(__xludf.DUMMYFUNCTION("""COMPUTED_VALUE"""),24000.0)</f>
        <v>24000</v>
      </c>
      <c r="F2190" t="str">
        <f>IFERROR(__xludf.DUMMYFUNCTION("""COMPUTED_VALUE"""),"台銀籌備帳戶")</f>
        <v>台銀籌備帳戶</v>
      </c>
      <c r="G2190" t="str">
        <f>IFERROR(__xludf.DUMMYFUNCTION("""COMPUTED_VALUE"""),"北醫醫師府")</f>
        <v>北醫醫師府</v>
      </c>
      <c r="H2190" s="106" t="str">
        <f t="shared" si="1"/>
        <v>2025-06</v>
      </c>
      <c r="I2190" s="271" t="str">
        <f>IFERROR(__xludf.DUMMYFUNCTION("""COMPUTED_VALUE"""),"貓狗企鵝")</f>
        <v>貓狗企鵝</v>
      </c>
      <c r="J2190" t="str">
        <f>IFERROR(__xludf.DUMMYFUNCTION("IFS(
  AND(REGEXMATCH(E2190, ""台銀籌備帳戶|玉山帳戶""), REGEXMATCH(C2190, ""薪資"")), ""分潤支出"",
  AND(REGEXMATCH(E2190, ""Ben帳戶|Elsa帳戶|Ben代墊|Ariel代墊|中信銀行共用""), REGEXMATCH(F2190, ""Ben帳戶|Elsa帳戶|Ben代墊|Ariel代墊|中信銀行共用"")), ""內部轉帳(忽略)"",
  AND(E2190&lt;&gt;"""", F2190&lt;&gt;"""", N"&amp;"OT(REGEXMATCH(C2190, ""薪資""))), ""內部轉帳(忽略)"",
  REGEXMATCH(C2190, ""薪資""), ""薪資變動(不計入)"",
  REGEXMATCH(C2190, ""押金""), ""押金往來"",
  AND(E2190&lt;&gt;"""", F2190=""""), ""真實支出"",
  AND(E2190="""", F2190&lt;&gt;""""), ""真實收入"",
  TRUE, ""其他""
)"),"押金往來")</f>
        <v>押金往來</v>
      </c>
      <c r="K2190">
        <f t="shared" si="2"/>
        <v>0</v>
      </c>
      <c r="L2190">
        <f t="shared" si="3"/>
        <v>0</v>
      </c>
    </row>
    <row r="2191">
      <c r="A2191" s="107">
        <f>IFERROR(__xludf.DUMMYFUNCTION("""COMPUTED_VALUE"""),45826.0)</f>
        <v>45826</v>
      </c>
      <c r="B2191" t="str">
        <f>IFERROR(__xludf.DUMMYFUNCTION("""COMPUTED_VALUE"""),"[北醫醫師府] D [吳宥辰] 首月租金 (行號: 22, 23)")</f>
        <v>[北醫醫師府] D [吳宥辰] 首月租金 (行號: 22, 23)</v>
      </c>
      <c r="C2191" t="str">
        <f>IFERROR(__xludf.DUMMYFUNCTION("""COMPUTED_VALUE"""),"收入 - 租金")</f>
        <v>收入 - 租金</v>
      </c>
      <c r="D2191" s="270">
        <f>IFERROR(__xludf.DUMMYFUNCTION("""COMPUTED_VALUE"""),12000.0)</f>
        <v>12000</v>
      </c>
      <c r="F2191" t="str">
        <f>IFERROR(__xludf.DUMMYFUNCTION("""COMPUTED_VALUE"""),"台銀籌備帳戶")</f>
        <v>台銀籌備帳戶</v>
      </c>
      <c r="G2191" t="str">
        <f>IFERROR(__xludf.DUMMYFUNCTION("""COMPUTED_VALUE"""),"北醫醫師府")</f>
        <v>北醫醫師府</v>
      </c>
      <c r="H2191" s="106" t="str">
        <f t="shared" si="1"/>
        <v>2025-06</v>
      </c>
      <c r="I2191" s="271" t="str">
        <f>IFERROR(__xludf.DUMMYFUNCTION("""COMPUTED_VALUE"""),"貓狗企鵝")</f>
        <v>貓狗企鵝</v>
      </c>
      <c r="J2191" t="str">
        <f>IFERROR(__xludf.DUMMYFUNCTION("IFS(
  AND(REGEXMATCH(E2191, ""台銀籌備帳戶|玉山帳戶""), REGEXMATCH(C2191, ""薪資"")), ""分潤支出"",
  AND(REGEXMATCH(E2191, ""Ben帳戶|Elsa帳戶|Ben代墊|Ariel代墊|中信銀行共用""), REGEXMATCH(F2191, ""Ben帳戶|Elsa帳戶|Ben代墊|Ariel代墊|中信銀行共用"")), ""內部轉帳(忽略)"",
  AND(E2191&lt;&gt;"""", F2191&lt;&gt;"""", N"&amp;"OT(REGEXMATCH(C2191, ""薪資""))), ""內部轉帳(忽略)"",
  REGEXMATCH(C2191, ""薪資""), ""薪資變動(不計入)"",
  REGEXMATCH(C2191, ""押金""), ""押金往來"",
  AND(E2191&lt;&gt;"""", F2191=""""), ""真實支出"",
  AND(E2191="""", F2191&lt;&gt;""""), ""真實收入"",
  TRUE, ""其他""
)"),"真實收入")</f>
        <v>真實收入</v>
      </c>
      <c r="K2191" s="270">
        <f t="shared" si="2"/>
        <v>12000</v>
      </c>
      <c r="L2191">
        <f t="shared" si="3"/>
        <v>0</v>
      </c>
    </row>
    <row r="2192">
      <c r="A2192" s="107">
        <f>IFERROR(__xludf.DUMMYFUNCTION("""COMPUTED_VALUE"""),45829.0)</f>
        <v>45829</v>
      </c>
      <c r="B2192" t="str">
        <f>IFERROR(__xludf.DUMMYFUNCTION("""COMPUTED_VALUE"""),"稅******0健****0          ' 【不明收入 (行號: 25)】")</f>
        <v>稅******0健****0          ' 【不明收入 (行號: 25)】</v>
      </c>
      <c r="C2192" t="str">
        <f>IFERROR(__xludf.DUMMYFUNCTION("""COMPUTED_VALUE"""),"收入 - 政府補助/退稅")</f>
        <v>收入 - 政府補助/退稅</v>
      </c>
      <c r="D2192" s="270">
        <f>IFERROR(__xludf.DUMMYFUNCTION("""COMPUTED_VALUE"""),2875.0)</f>
        <v>2875</v>
      </c>
      <c r="F2192" t="str">
        <f>IFERROR(__xludf.DUMMYFUNCTION("""COMPUTED_VALUE"""),"台銀籌備帳戶")</f>
        <v>台銀籌備帳戶</v>
      </c>
      <c r="G2192" t="str">
        <f>IFERROR(__xludf.DUMMYFUNCTION("""COMPUTED_VALUE"""),"無法分類")</f>
        <v>無法分類</v>
      </c>
      <c r="H2192" s="106" t="str">
        <f t="shared" si="1"/>
        <v>2025-06</v>
      </c>
      <c r="I2192" s="271" t="str">
        <f>IFERROR(__xludf.DUMMYFUNCTION("""COMPUTED_VALUE"""),"貓狗企鵝")</f>
        <v>貓狗企鵝</v>
      </c>
      <c r="J2192" t="str">
        <f>IFERROR(__xludf.DUMMYFUNCTION("IFS(
  AND(REGEXMATCH(E2192, ""台銀籌備帳戶|玉山帳戶""), REGEXMATCH(C2192, ""薪資"")), ""分潤支出"",
  AND(REGEXMATCH(E2192, ""Ben帳戶|Elsa帳戶|Ben代墊|Ariel代墊|中信銀行共用""), REGEXMATCH(F2192, ""Ben帳戶|Elsa帳戶|Ben代墊|Ariel代墊|中信銀行共用"")), ""內部轉帳(忽略)"",
  AND(E2192&lt;&gt;"""", F2192&lt;&gt;"""", N"&amp;"OT(REGEXMATCH(C2192, ""薪資""))), ""內部轉帳(忽略)"",
  REGEXMATCH(C2192, ""薪資""), ""薪資變動(不計入)"",
  REGEXMATCH(C2192, ""押金""), ""押金往來"",
  AND(E2192&lt;&gt;"""", F2192=""""), ""真實支出"",
  AND(E2192="""", F2192&lt;&gt;""""), ""真實收入"",
  TRUE, ""其他""
)"),"真實收入")</f>
        <v>真實收入</v>
      </c>
      <c r="K2192" s="270">
        <f t="shared" si="2"/>
        <v>2875</v>
      </c>
      <c r="L2192">
        <f t="shared" si="3"/>
        <v>0</v>
      </c>
    </row>
    <row r="2193">
      <c r="A2193" s="107">
        <f>IFERROR(__xludf.DUMMYFUNCTION("""COMPUTED_VALUE"""),45833.0)</f>
        <v>45833</v>
      </c>
      <c r="B2193" t="str">
        <f>IFERROR(__xludf.DUMMYFUNCTION("""COMPUTED_VALUE"""),"綠界科技股份有            ' 【不明收入 (行號: 28)】")</f>
        <v>綠界科技股份有            ' 【不明收入 (行號: 28)】</v>
      </c>
      <c r="C2193" t="str">
        <f>IFERROR(__xludf.DUMMYFUNCTION("""COMPUTED_VALUE"""),"收入 - 其他")</f>
        <v>收入 - 其他</v>
      </c>
      <c r="D2193" s="270">
        <f>IFERROR(__xludf.DUMMYFUNCTION("""COMPUTED_VALUE"""),1.0)</f>
        <v>1</v>
      </c>
      <c r="F2193" t="str">
        <f>IFERROR(__xludf.DUMMYFUNCTION("""COMPUTED_VALUE"""),"台銀籌備帳戶")</f>
        <v>台銀籌備帳戶</v>
      </c>
      <c r="G2193" t="str">
        <f>IFERROR(__xludf.DUMMYFUNCTION("""COMPUTED_VALUE"""),"無法分類")</f>
        <v>無法分類</v>
      </c>
      <c r="H2193" s="106" t="str">
        <f t="shared" si="1"/>
        <v>2025-06</v>
      </c>
      <c r="I2193" s="271" t="str">
        <f>IFERROR(__xludf.DUMMYFUNCTION("""COMPUTED_VALUE"""),"貓狗企鵝")</f>
        <v>貓狗企鵝</v>
      </c>
      <c r="J2193" t="str">
        <f>IFERROR(__xludf.DUMMYFUNCTION("IFS(
  AND(REGEXMATCH(E2193, ""台銀籌備帳戶|玉山帳戶""), REGEXMATCH(C2193, ""薪資"")), ""分潤支出"",
  AND(REGEXMATCH(E2193, ""Ben帳戶|Elsa帳戶|Ben代墊|Ariel代墊|中信銀行共用""), REGEXMATCH(F2193, ""Ben帳戶|Elsa帳戶|Ben代墊|Ariel代墊|中信銀行共用"")), ""內部轉帳(忽略)"",
  AND(E2193&lt;&gt;"""", F2193&lt;&gt;"""", N"&amp;"OT(REGEXMATCH(C2193, ""薪資""))), ""內部轉帳(忽略)"",
  REGEXMATCH(C2193, ""薪資""), ""薪資變動(不計入)"",
  REGEXMATCH(C2193, ""押金""), ""押金往來"",
  AND(E2193&lt;&gt;"""", F2193=""""), ""真實支出"",
  AND(E2193="""", F2193&lt;&gt;""""), ""真實收入"",
  TRUE, ""其他""
)"),"真實收入")</f>
        <v>真實收入</v>
      </c>
      <c r="K2193" s="270">
        <f t="shared" si="2"/>
        <v>1</v>
      </c>
      <c r="L2193">
        <f t="shared" si="3"/>
        <v>0</v>
      </c>
    </row>
    <row r="2194">
      <c r="A2194" s="107">
        <f>IFERROR(__xludf.DUMMYFUNCTION("""COMPUTED_VALUE"""),45837.0)</f>
        <v>45837</v>
      </c>
      <c r="B2194" t="str">
        <f>IFERROR(__xludf.DUMMYFUNCTION("""COMPUTED_VALUE"""),"[大湖山莊] E [Eric] 月租金 (行號: 29, 30)")</f>
        <v>[大湖山莊] E [Eric] 月租金 (行號: 29, 30)</v>
      </c>
      <c r="C2194" t="str">
        <f>IFERROR(__xludf.DUMMYFUNCTION("""COMPUTED_VALUE"""),"收入 - 租金")</f>
        <v>收入 - 租金</v>
      </c>
      <c r="D2194" s="270">
        <f>IFERROR(__xludf.DUMMYFUNCTION("""COMPUTED_VALUE"""),7419.0)</f>
        <v>7419</v>
      </c>
      <c r="F2194" t="str">
        <f>IFERROR(__xludf.DUMMYFUNCTION("""COMPUTED_VALUE"""),"台銀籌備帳戶")</f>
        <v>台銀籌備帳戶</v>
      </c>
      <c r="G2194" t="str">
        <f>IFERROR(__xludf.DUMMYFUNCTION("""COMPUTED_VALUE"""),"大湖山莊")</f>
        <v>大湖山莊</v>
      </c>
      <c r="H2194" s="106" t="str">
        <f t="shared" si="1"/>
        <v>2025-06</v>
      </c>
      <c r="I2194" s="271" t="str">
        <f>IFERROR(__xludf.DUMMYFUNCTION("""COMPUTED_VALUE"""),"貓狗企鵝")</f>
        <v>貓狗企鵝</v>
      </c>
      <c r="J2194" t="str">
        <f>IFERROR(__xludf.DUMMYFUNCTION("IFS(
  AND(REGEXMATCH(E2194, ""台銀籌備帳戶|玉山帳戶""), REGEXMATCH(C2194, ""薪資"")), ""分潤支出"",
  AND(REGEXMATCH(E2194, ""Ben帳戶|Elsa帳戶|Ben代墊|Ariel代墊|中信銀行共用""), REGEXMATCH(F2194, ""Ben帳戶|Elsa帳戶|Ben代墊|Ariel代墊|中信銀行共用"")), ""內部轉帳(忽略)"",
  AND(E2194&lt;&gt;"""", F2194&lt;&gt;"""", N"&amp;"OT(REGEXMATCH(C2194, ""薪資""))), ""內部轉帳(忽略)"",
  REGEXMATCH(C2194, ""薪資""), ""薪資變動(不計入)"",
  REGEXMATCH(C2194, ""押金""), ""押金往來"",
  AND(E2194&lt;&gt;"""", F2194=""""), ""真實支出"",
  AND(E2194="""", F2194&lt;&gt;""""), ""真實收入"",
  TRUE, ""其他""
)"),"真實收入")</f>
        <v>真實收入</v>
      </c>
      <c r="K2194" s="270">
        <f t="shared" si="2"/>
        <v>7419</v>
      </c>
      <c r="L2194">
        <f t="shared" si="3"/>
        <v>0</v>
      </c>
    </row>
    <row r="2195">
      <c r="A2195" s="107">
        <f>IFERROR(__xludf.DUMMYFUNCTION("""COMPUTED_VALUE"""),45838.0)</f>
        <v>45838</v>
      </c>
      <c r="B2195" t="str">
        <f>IFERROR(__xludf.DUMMYFUNCTION("""COMPUTED_VALUE"""),"和豐曹淑宜                ' 【不明收入 (行號: 32)】")</f>
        <v>和豐曹淑宜                ' 【不明收入 (行號: 32)】</v>
      </c>
      <c r="C2195" t="str">
        <f>IFERROR(__xludf.DUMMYFUNCTION("""COMPUTED_VALUE"""),"收入 - 其他")</f>
        <v>收入 - 其他</v>
      </c>
      <c r="D2195" s="270">
        <f>IFERROR(__xludf.DUMMYFUNCTION("""COMPUTED_VALUE"""),12500.0)</f>
        <v>12500</v>
      </c>
      <c r="F2195" t="str">
        <f>IFERROR(__xludf.DUMMYFUNCTION("""COMPUTED_VALUE"""),"台銀籌備帳戶")</f>
        <v>台銀籌備帳戶</v>
      </c>
      <c r="G2195" t="str">
        <f>IFERROR(__xludf.DUMMYFUNCTION("""COMPUTED_VALUE"""),"無法分類")</f>
        <v>無法分類</v>
      </c>
      <c r="H2195" s="106" t="str">
        <f t="shared" si="1"/>
        <v>2025-06</v>
      </c>
      <c r="I2195" s="271" t="str">
        <f>IFERROR(__xludf.DUMMYFUNCTION("""COMPUTED_VALUE"""),"貓狗企鵝")</f>
        <v>貓狗企鵝</v>
      </c>
      <c r="J2195" t="str">
        <f>IFERROR(__xludf.DUMMYFUNCTION("IFS(
  AND(REGEXMATCH(E2195, ""台銀籌備帳戶|玉山帳戶""), REGEXMATCH(C2195, ""薪資"")), ""分潤支出"",
  AND(REGEXMATCH(E2195, ""Ben帳戶|Elsa帳戶|Ben代墊|Ariel代墊|中信銀行共用""), REGEXMATCH(F2195, ""Ben帳戶|Elsa帳戶|Ben代墊|Ariel代墊|中信銀行共用"")), ""內部轉帳(忽略)"",
  AND(E2195&lt;&gt;"""", F2195&lt;&gt;"""", N"&amp;"OT(REGEXMATCH(C2195, ""薪資""))), ""內部轉帳(忽略)"",
  REGEXMATCH(C2195, ""薪資""), ""薪資變動(不計入)"",
  REGEXMATCH(C2195, ""押金""), ""押金往來"",
  AND(E2195&lt;&gt;"""", F2195=""""), ""真實支出"",
  AND(E2195="""", F2195&lt;&gt;""""), ""真實收入"",
  TRUE, ""其他""
)"),"真實收入")</f>
        <v>真實收入</v>
      </c>
      <c r="K2195" s="270">
        <f t="shared" si="2"/>
        <v>12500</v>
      </c>
      <c r="L2195">
        <f t="shared" si="3"/>
        <v>0</v>
      </c>
    </row>
    <row r="2196">
      <c r="A2196" s="107">
        <f>IFERROR(__xludf.DUMMYFUNCTION("""COMPUTED_VALUE"""),45838.0)</f>
        <v>45838</v>
      </c>
      <c r="B2196" t="str">
        <f>IFERROR(__xludf.DUMMYFUNCTION("""COMPUTED_VALUE"""),"[南港站挑高宅] C [Chia Jui] 月租金 (行號: 42)")</f>
        <v>[南港站挑高宅] C [Chia Jui] 月租金 (行號: 42)</v>
      </c>
      <c r="C2196" t="str">
        <f>IFERROR(__xludf.DUMMYFUNCTION("""COMPUTED_VALUE"""),"收入 - 租金")</f>
        <v>收入 - 租金</v>
      </c>
      <c r="D2196" s="270">
        <f>IFERROR(__xludf.DUMMYFUNCTION("""COMPUTED_VALUE"""),15000.0)</f>
        <v>15000</v>
      </c>
      <c r="F2196" t="str">
        <f>IFERROR(__xludf.DUMMYFUNCTION("""COMPUTED_VALUE"""),"台銀籌備帳戶")</f>
        <v>台銀籌備帳戶</v>
      </c>
      <c r="G2196" t="str">
        <f>IFERROR(__xludf.DUMMYFUNCTION("""COMPUTED_VALUE"""),"南港站挑高宅")</f>
        <v>南港站挑高宅</v>
      </c>
      <c r="H2196" s="106" t="str">
        <f t="shared" si="1"/>
        <v>2025-06</v>
      </c>
      <c r="I2196" s="271" t="str">
        <f>IFERROR(__xludf.DUMMYFUNCTION("""COMPUTED_VALUE"""),"貓狗企鵝")</f>
        <v>貓狗企鵝</v>
      </c>
      <c r="J2196" t="str">
        <f>IFERROR(__xludf.DUMMYFUNCTION("IFS(
  AND(REGEXMATCH(E2196, ""台銀籌備帳戶|玉山帳戶""), REGEXMATCH(C2196, ""薪資"")), ""分潤支出"",
  AND(REGEXMATCH(E2196, ""Ben帳戶|Elsa帳戶|Ben代墊|Ariel代墊|中信銀行共用""), REGEXMATCH(F2196, ""Ben帳戶|Elsa帳戶|Ben代墊|Ariel代墊|中信銀行共用"")), ""內部轉帳(忽略)"",
  AND(E2196&lt;&gt;"""", F2196&lt;&gt;"""", N"&amp;"OT(REGEXMATCH(C2196, ""薪資""))), ""內部轉帳(忽略)"",
  REGEXMATCH(C2196, ""薪資""), ""薪資變動(不計入)"",
  REGEXMATCH(C2196, ""押金""), ""押金往來"",
  AND(E2196&lt;&gt;"""", F2196=""""), ""真實支出"",
  AND(E2196="""", F2196&lt;&gt;""""), ""真實收入"",
  TRUE, ""其他""
)"),"真實收入")</f>
        <v>真實收入</v>
      </c>
      <c r="K2196" s="270">
        <f t="shared" si="2"/>
        <v>15000</v>
      </c>
      <c r="L2196">
        <f t="shared" si="3"/>
        <v>0</v>
      </c>
    </row>
    <row r="2197">
      <c r="A2197" s="107">
        <f>IFERROR(__xludf.DUMMYFUNCTION("""COMPUTED_VALUE"""),45838.0)</f>
        <v>45838</v>
      </c>
      <c r="B2197" t="str">
        <f>IFERROR(__xludf.DUMMYFUNCTION("""COMPUTED_VALUE"""),"[大湖山莊] E [Eric] 押金 (行號: 29, 30)")</f>
        <v>[大湖山莊] E [Eric] 押金 (行號: 29, 30)</v>
      </c>
      <c r="C2197" t="str">
        <f>IFERROR(__xludf.DUMMYFUNCTION("""COMPUTED_VALUE"""),"收入 - 押金")</f>
        <v>收入 - 押金</v>
      </c>
      <c r="D2197" s="270">
        <f>IFERROR(__xludf.DUMMYFUNCTION("""COMPUTED_VALUE"""),23000.0)</f>
        <v>23000</v>
      </c>
      <c r="F2197" t="str">
        <f>IFERROR(__xludf.DUMMYFUNCTION("""COMPUTED_VALUE"""),"台銀籌備帳戶")</f>
        <v>台銀籌備帳戶</v>
      </c>
      <c r="G2197" t="str">
        <f>IFERROR(__xludf.DUMMYFUNCTION("""COMPUTED_VALUE"""),"大湖山莊")</f>
        <v>大湖山莊</v>
      </c>
      <c r="H2197" s="106" t="str">
        <f t="shared" si="1"/>
        <v>2025-06</v>
      </c>
      <c r="I2197" s="271" t="str">
        <f>IFERROR(__xludf.DUMMYFUNCTION("""COMPUTED_VALUE"""),"貓狗企鵝")</f>
        <v>貓狗企鵝</v>
      </c>
      <c r="J2197" t="str">
        <f>IFERROR(__xludf.DUMMYFUNCTION("IFS(
  AND(REGEXMATCH(E2197, ""台銀籌備帳戶|玉山帳戶""), REGEXMATCH(C2197, ""薪資"")), ""分潤支出"",
  AND(REGEXMATCH(E2197, ""Ben帳戶|Elsa帳戶|Ben代墊|Ariel代墊|中信銀行共用""), REGEXMATCH(F2197, ""Ben帳戶|Elsa帳戶|Ben代墊|Ariel代墊|中信銀行共用"")), ""內部轉帳(忽略)"",
  AND(E2197&lt;&gt;"""", F2197&lt;&gt;"""", N"&amp;"OT(REGEXMATCH(C2197, ""薪資""))), ""內部轉帳(忽略)"",
  REGEXMATCH(C2197, ""薪資""), ""薪資變動(不計入)"",
  REGEXMATCH(C2197, ""押金""), ""押金往來"",
  AND(E2197&lt;&gt;"""", F2197=""""), ""真實支出"",
  AND(E2197="""", F2197&lt;&gt;""""), ""真實收入"",
  TRUE, ""其他""
)"),"押金往來")</f>
        <v>押金往來</v>
      </c>
      <c r="K2197">
        <f t="shared" si="2"/>
        <v>0</v>
      </c>
      <c r="L2197">
        <f t="shared" si="3"/>
        <v>0</v>
      </c>
    </row>
    <row r="2198">
      <c r="A2198" s="107">
        <f>IFERROR(__xludf.DUMMYFUNCTION("""COMPUTED_VALUE"""),45839.0)</f>
        <v>45839</v>
      </c>
      <c r="B2198" t="str">
        <f>IFERROR(__xludf.DUMMYFUNCTION("""COMPUTED_VALUE"""),"火雞跟企鵝支援內湖的錢")</f>
        <v>火雞跟企鵝支援內湖的錢</v>
      </c>
      <c r="C2198" t="str">
        <f>IFERROR(__xludf.DUMMYFUNCTION("""COMPUTED_VALUE"""),"成本 - 進場前裝潢費")</f>
        <v>成本 - 進場前裝潢費</v>
      </c>
      <c r="D2198" s="270">
        <f>IFERROR(__xludf.DUMMYFUNCTION("""COMPUTED_VALUE"""),20796.0)</f>
        <v>20796</v>
      </c>
      <c r="F2198" t="str">
        <f>IFERROR(__xludf.DUMMYFUNCTION("""COMPUTED_VALUE"""),"台銀籌備帳戶")</f>
        <v>台銀籌備帳戶</v>
      </c>
      <c r="G2198" t="str">
        <f>IFERROR(__xludf.DUMMYFUNCTION("""COMPUTED_VALUE"""),"無法分類")</f>
        <v>無法分類</v>
      </c>
      <c r="H2198" s="106" t="str">
        <f t="shared" si="1"/>
        <v>2025-07</v>
      </c>
      <c r="I2198" s="271" t="str">
        <f>IFERROR(__xludf.DUMMYFUNCTION("""COMPUTED_VALUE"""),"貓狗企鵝")</f>
        <v>貓狗企鵝</v>
      </c>
      <c r="J2198" t="str">
        <f>IFERROR(__xludf.DUMMYFUNCTION("IFS(
  AND(REGEXMATCH(E2198, ""台銀籌備帳戶|玉山帳戶""), REGEXMATCH(C2198, ""薪資"")), ""分潤支出"",
  AND(REGEXMATCH(E2198, ""Ben帳戶|Elsa帳戶|Ben代墊|Ariel代墊|中信銀行共用""), REGEXMATCH(F2198, ""Ben帳戶|Elsa帳戶|Ben代墊|Ariel代墊|中信銀行共用"")), ""內部轉帳(忽略)"",
  AND(E2198&lt;&gt;"""", F2198&lt;&gt;"""", N"&amp;"OT(REGEXMATCH(C2198, ""薪資""))), ""內部轉帳(忽略)"",
  REGEXMATCH(C2198, ""薪資""), ""薪資變動(不計入)"",
  REGEXMATCH(C2198, ""押金""), ""押金往來"",
  AND(E2198&lt;&gt;"""", F2198=""""), ""真實支出"",
  AND(E2198="""", F2198&lt;&gt;""""), ""真實收入"",
  TRUE, ""其他""
)"),"真實收入")</f>
        <v>真實收入</v>
      </c>
      <c r="K2198" s="270">
        <f t="shared" si="2"/>
        <v>20796</v>
      </c>
      <c r="L2198">
        <f t="shared" si="3"/>
        <v>0</v>
      </c>
    </row>
    <row r="2199">
      <c r="A2199" s="107">
        <f>IFERROR(__xludf.DUMMYFUNCTION("""COMPUTED_VALUE"""),45839.0)</f>
        <v>45839</v>
      </c>
      <c r="B2199" t="str">
        <f>IFERROR(__xludf.DUMMYFUNCTION("""COMPUTED_VALUE"""),"[大湖山莊] G [River] 月租金")</f>
        <v>[大湖山莊] G [River] 月租金</v>
      </c>
      <c r="C2199" t="str">
        <f>IFERROR(__xludf.DUMMYFUNCTION("""COMPUTED_VALUE"""),"收入 - 租金")</f>
        <v>收入 - 租金</v>
      </c>
      <c r="D2199" s="270">
        <f>IFERROR(__xludf.DUMMYFUNCTION("""COMPUTED_VALUE"""),15800.0)</f>
        <v>15800</v>
      </c>
      <c r="F2199" t="str">
        <f>IFERROR(__xludf.DUMMYFUNCTION("""COMPUTED_VALUE"""),"台銀籌備帳戶")</f>
        <v>台銀籌備帳戶</v>
      </c>
      <c r="G2199" t="str">
        <f>IFERROR(__xludf.DUMMYFUNCTION("""COMPUTED_VALUE"""),"大湖山莊")</f>
        <v>大湖山莊</v>
      </c>
      <c r="H2199" s="106" t="str">
        <f t="shared" si="1"/>
        <v>2025-07</v>
      </c>
      <c r="I2199" s="271" t="str">
        <f>IFERROR(__xludf.DUMMYFUNCTION("""COMPUTED_VALUE"""),"貓狗企鵝")</f>
        <v>貓狗企鵝</v>
      </c>
      <c r="J2199" t="str">
        <f>IFERROR(__xludf.DUMMYFUNCTION("IFS(
  AND(REGEXMATCH(E2199, ""台銀籌備帳戶|玉山帳戶""), REGEXMATCH(C2199, ""薪資"")), ""分潤支出"",
  AND(REGEXMATCH(E2199, ""Ben帳戶|Elsa帳戶|Ben代墊|Ariel代墊|中信銀行共用""), REGEXMATCH(F2199, ""Ben帳戶|Elsa帳戶|Ben代墊|Ariel代墊|中信銀行共用"")), ""內部轉帳(忽略)"",
  AND(E2199&lt;&gt;"""", F2199&lt;&gt;"""", N"&amp;"OT(REGEXMATCH(C2199, ""薪資""))), ""內部轉帳(忽略)"",
  REGEXMATCH(C2199, ""薪資""), ""薪資變動(不計入)"",
  REGEXMATCH(C2199, ""押金""), ""押金往來"",
  AND(E2199&lt;&gt;"""", F2199=""""), ""真實支出"",
  AND(E2199="""", F2199&lt;&gt;""""), ""真實收入"",
  TRUE, ""其他""
)"),"真實收入")</f>
        <v>真實收入</v>
      </c>
      <c r="K2199" s="270">
        <f t="shared" si="2"/>
        <v>15800</v>
      </c>
      <c r="L2199">
        <f t="shared" si="3"/>
        <v>0</v>
      </c>
    </row>
    <row r="2200">
      <c r="A2200" s="107">
        <f>IFERROR(__xludf.DUMMYFUNCTION("""COMPUTED_VALUE"""),45839.0)</f>
        <v>45839</v>
      </c>
      <c r="B2200" t="str">
        <f>IFERROR(__xludf.DUMMYFUNCTION("""COMPUTED_VALUE"""),"龍江E 侑霖房租")</f>
        <v>龍江E 侑霖房租</v>
      </c>
      <c r="C2200" t="str">
        <f>IFERROR(__xludf.DUMMYFUNCTION("""COMPUTED_VALUE"""),"收入 - 租金")</f>
        <v>收入 - 租金</v>
      </c>
      <c r="D2200" s="270">
        <f>IFERROR(__xludf.DUMMYFUNCTION("""COMPUTED_VALUE"""),12500.0)</f>
        <v>12500</v>
      </c>
      <c r="F2200" t="str">
        <f>IFERROR(__xludf.DUMMYFUNCTION("""COMPUTED_VALUE"""),"台銀籌備帳戶")</f>
        <v>台銀籌備帳戶</v>
      </c>
      <c r="G2200" t="str">
        <f>IFERROR(__xludf.DUMMYFUNCTION("""COMPUTED_VALUE"""),"龍江229")</f>
        <v>龍江229</v>
      </c>
      <c r="H2200" s="106" t="str">
        <f t="shared" si="1"/>
        <v>2025-07</v>
      </c>
      <c r="I2200" s="271" t="str">
        <f>IFERROR(__xludf.DUMMYFUNCTION("""COMPUTED_VALUE"""),"貓狗企鵝")</f>
        <v>貓狗企鵝</v>
      </c>
      <c r="J2200" t="str">
        <f>IFERROR(__xludf.DUMMYFUNCTION("IFS(
  AND(REGEXMATCH(E2200, ""台銀籌備帳戶|玉山帳戶""), REGEXMATCH(C2200, ""薪資"")), ""分潤支出"",
  AND(REGEXMATCH(E2200, ""Ben帳戶|Elsa帳戶|Ben代墊|Ariel代墊|中信銀行共用""), REGEXMATCH(F2200, ""Ben帳戶|Elsa帳戶|Ben代墊|Ariel代墊|中信銀行共用"")), ""內部轉帳(忽略)"",
  AND(E2200&lt;&gt;"""", F2200&lt;&gt;"""", N"&amp;"OT(REGEXMATCH(C2200, ""薪資""))), ""內部轉帳(忽略)"",
  REGEXMATCH(C2200, ""薪資""), ""薪資變動(不計入)"",
  REGEXMATCH(C2200, ""押金""), ""押金往來"",
  AND(E2200&lt;&gt;"""", F2200=""""), ""真實支出"",
  AND(E2200="""", F2200&lt;&gt;""""), ""真實收入"",
  TRUE, ""其他""
)"),"真實收入")</f>
        <v>真實收入</v>
      </c>
      <c r="K2200" s="270">
        <f t="shared" si="2"/>
        <v>12500</v>
      </c>
      <c r="L2200">
        <f t="shared" si="3"/>
        <v>0</v>
      </c>
    </row>
    <row r="2201">
      <c r="A2201" s="107">
        <f>IFERROR(__xludf.DUMMYFUNCTION("""COMPUTED_VALUE"""),45834.0)</f>
        <v>45834</v>
      </c>
      <c r="B2201" t="str">
        <f>IFERROR(__xludf.DUMMYFUNCTION("""COMPUTED_VALUE"""),"[大湖山莊] F [吳智方, 蘇婉彤] 月租金 (行號: 29, 30)")</f>
        <v>[大湖山莊] F [吳智方, 蘇婉彤] 月租金 (行號: 29, 30)</v>
      </c>
      <c r="C2201" t="str">
        <f>IFERROR(__xludf.DUMMYFUNCTION("""COMPUTED_VALUE"""),"收入 - 租金")</f>
        <v>收入 - 租金</v>
      </c>
      <c r="D2201" s="270">
        <f>IFERROR(__xludf.DUMMYFUNCTION("""COMPUTED_VALUE"""),18000.0)</f>
        <v>18000</v>
      </c>
      <c r="F2201" t="str">
        <f>IFERROR(__xludf.DUMMYFUNCTION("""COMPUTED_VALUE"""),"台銀籌備帳戶")</f>
        <v>台銀籌備帳戶</v>
      </c>
      <c r="G2201" t="str">
        <f>IFERROR(__xludf.DUMMYFUNCTION("""COMPUTED_VALUE"""),"大湖山莊")</f>
        <v>大湖山莊</v>
      </c>
      <c r="H2201" s="106" t="str">
        <f t="shared" si="1"/>
        <v>2025-06</v>
      </c>
      <c r="I2201" s="271" t="str">
        <f>IFERROR(__xludf.DUMMYFUNCTION("""COMPUTED_VALUE"""),"貓狗企鵝")</f>
        <v>貓狗企鵝</v>
      </c>
      <c r="J2201" t="str">
        <f>IFERROR(__xludf.DUMMYFUNCTION("IFS(
  AND(REGEXMATCH(E2201, ""台銀籌備帳戶|玉山帳戶""), REGEXMATCH(C2201, ""薪資"")), ""分潤支出"",
  AND(REGEXMATCH(E2201, ""Ben帳戶|Elsa帳戶|Ben代墊|Ariel代墊|中信銀行共用""), REGEXMATCH(F2201, ""Ben帳戶|Elsa帳戶|Ben代墊|Ariel代墊|中信銀行共用"")), ""內部轉帳(忽略)"",
  AND(E2201&lt;&gt;"""", F2201&lt;&gt;"""", N"&amp;"OT(REGEXMATCH(C2201, ""薪資""))), ""內部轉帳(忽略)"",
  REGEXMATCH(C2201, ""薪資""), ""薪資變動(不計入)"",
  REGEXMATCH(C2201, ""押金""), ""押金往來"",
  AND(E2201&lt;&gt;"""", F2201=""""), ""真實支出"",
  AND(E2201="""", F2201&lt;&gt;""""), ""真實收入"",
  TRUE, ""其他""
)"),"真實收入")</f>
        <v>真實收入</v>
      </c>
      <c r="K2201" s="270">
        <f t="shared" si="2"/>
        <v>18000</v>
      </c>
      <c r="L2201">
        <f t="shared" si="3"/>
        <v>0</v>
      </c>
    </row>
    <row r="2202">
      <c r="A2202" s="107">
        <f>IFERROR(__xludf.DUMMYFUNCTION("""COMPUTED_VALUE"""),45838.0)</f>
        <v>45838</v>
      </c>
      <c r="B2202" t="str">
        <f>IFERROR(__xludf.DUMMYFUNCTION("""COMPUTED_VALUE"""),"[金龍帽子先生] A [何佩勳] 月租金 (行號: 33)")</f>
        <v>[金龍帽子先生] A [何佩勳] 月租金 (行號: 33)</v>
      </c>
      <c r="C2202" t="str">
        <f>IFERROR(__xludf.DUMMYFUNCTION("""COMPUTED_VALUE"""),"收入 - 租金")</f>
        <v>收入 - 租金</v>
      </c>
      <c r="D2202" s="270">
        <f>IFERROR(__xludf.DUMMYFUNCTION("""COMPUTED_VALUE"""),17200.0)</f>
        <v>17200</v>
      </c>
      <c r="F2202" t="str">
        <f>IFERROR(__xludf.DUMMYFUNCTION("""COMPUTED_VALUE"""),"台銀籌備帳戶")</f>
        <v>台銀籌備帳戶</v>
      </c>
      <c r="G2202" t="str">
        <f>IFERROR(__xludf.DUMMYFUNCTION("""COMPUTED_VALUE"""),"金龍帽子先生")</f>
        <v>金龍帽子先生</v>
      </c>
      <c r="H2202" s="106" t="str">
        <f t="shared" si="1"/>
        <v>2025-06</v>
      </c>
      <c r="I2202" s="271" t="str">
        <f>IFERROR(__xludf.DUMMYFUNCTION("""COMPUTED_VALUE"""),"貓狗企鵝")</f>
        <v>貓狗企鵝</v>
      </c>
      <c r="J2202" t="str">
        <f>IFERROR(__xludf.DUMMYFUNCTION("IFS(
  AND(REGEXMATCH(E2202, ""台銀籌備帳戶|玉山帳戶""), REGEXMATCH(C2202, ""薪資"")), ""分潤支出"",
  AND(REGEXMATCH(E2202, ""Ben帳戶|Elsa帳戶|Ben代墊|Ariel代墊|中信銀行共用""), REGEXMATCH(F2202, ""Ben帳戶|Elsa帳戶|Ben代墊|Ariel代墊|中信銀行共用"")), ""內部轉帳(忽略)"",
  AND(E2202&lt;&gt;"""", F2202&lt;&gt;"""", N"&amp;"OT(REGEXMATCH(C2202, ""薪資""))), ""內部轉帳(忽略)"",
  REGEXMATCH(C2202, ""薪資""), ""薪資變動(不計入)"",
  REGEXMATCH(C2202, ""押金""), ""押金往來"",
  AND(E2202&lt;&gt;"""", F2202=""""), ""真實支出"",
  AND(E2202="""", F2202&lt;&gt;""""), ""真實收入"",
  TRUE, ""其他""
)"),"真實收入")</f>
        <v>真實收入</v>
      </c>
      <c r="K2202" s="270">
        <f t="shared" si="2"/>
        <v>17200</v>
      </c>
      <c r="L2202">
        <f t="shared" si="3"/>
        <v>0</v>
      </c>
    </row>
    <row r="2203">
      <c r="A2203" s="107">
        <f>IFERROR(__xludf.DUMMYFUNCTION("""COMPUTED_VALUE"""),45838.0)</f>
        <v>45838</v>
      </c>
      <c r="B2203" t="str">
        <f>IFERROR(__xludf.DUMMYFUNCTION("""COMPUTED_VALUE"""),"[哈拉對面] D [柳翰洋] 月租金 (行號: 34)")</f>
        <v>[哈拉對面] D [柳翰洋] 月租金 (行號: 34)</v>
      </c>
      <c r="C2203" t="str">
        <f>IFERROR(__xludf.DUMMYFUNCTION("""COMPUTED_VALUE"""),"收入 - 租金")</f>
        <v>收入 - 租金</v>
      </c>
      <c r="D2203" s="270">
        <f>IFERROR(__xludf.DUMMYFUNCTION("""COMPUTED_VALUE"""),11800.0)</f>
        <v>11800</v>
      </c>
      <c r="F2203" t="str">
        <f>IFERROR(__xludf.DUMMYFUNCTION("""COMPUTED_VALUE"""),"台銀籌備帳戶")</f>
        <v>台銀籌備帳戶</v>
      </c>
      <c r="G2203" t="str">
        <f>IFERROR(__xludf.DUMMYFUNCTION("""COMPUTED_VALUE"""),"哈拉對面")</f>
        <v>哈拉對面</v>
      </c>
      <c r="H2203" s="106" t="str">
        <f t="shared" si="1"/>
        <v>2025-06</v>
      </c>
      <c r="I2203" s="271" t="str">
        <f>IFERROR(__xludf.DUMMYFUNCTION("""COMPUTED_VALUE"""),"貓狗企鵝")</f>
        <v>貓狗企鵝</v>
      </c>
      <c r="J2203" t="str">
        <f>IFERROR(__xludf.DUMMYFUNCTION("IFS(
  AND(REGEXMATCH(E2203, ""台銀籌備帳戶|玉山帳戶""), REGEXMATCH(C2203, ""薪資"")), ""分潤支出"",
  AND(REGEXMATCH(E2203, ""Ben帳戶|Elsa帳戶|Ben代墊|Ariel代墊|中信銀行共用""), REGEXMATCH(F2203, ""Ben帳戶|Elsa帳戶|Ben代墊|Ariel代墊|中信銀行共用"")), ""內部轉帳(忽略)"",
  AND(E2203&lt;&gt;"""", F2203&lt;&gt;"""", N"&amp;"OT(REGEXMATCH(C2203, ""薪資""))), ""內部轉帳(忽略)"",
  REGEXMATCH(C2203, ""薪資""), ""薪資變動(不計入)"",
  REGEXMATCH(C2203, ""押金""), ""押金往來"",
  AND(E2203&lt;&gt;"""", F2203=""""), ""真實支出"",
  AND(E2203="""", F2203&lt;&gt;""""), ""真實收入"",
  TRUE, ""其他""
)"),"真實收入")</f>
        <v>真實收入</v>
      </c>
      <c r="K2203" s="270">
        <f t="shared" si="2"/>
        <v>11800</v>
      </c>
      <c r="L2203">
        <f t="shared" si="3"/>
        <v>0</v>
      </c>
    </row>
    <row r="2204">
      <c r="A2204" s="107">
        <f>IFERROR(__xludf.DUMMYFUNCTION("""COMPUTED_VALUE"""),45838.0)</f>
        <v>45838</v>
      </c>
      <c r="B2204" t="str">
        <f>IFERROR(__xludf.DUMMYFUNCTION("""COMPUTED_VALUE"""),"[大湖山莊] C [姚伯謙] 月租金 (行號: 35)")</f>
        <v>[大湖山莊] C [姚伯謙] 月租金 (行號: 35)</v>
      </c>
      <c r="C2204" t="str">
        <f>IFERROR(__xludf.DUMMYFUNCTION("""COMPUTED_VALUE"""),"收入 - 租金")</f>
        <v>收入 - 租金</v>
      </c>
      <c r="D2204" s="270">
        <f>IFERROR(__xludf.DUMMYFUNCTION("""COMPUTED_VALUE"""),18800.0)</f>
        <v>18800</v>
      </c>
      <c r="F2204" t="str">
        <f>IFERROR(__xludf.DUMMYFUNCTION("""COMPUTED_VALUE"""),"台銀籌備帳戶")</f>
        <v>台銀籌備帳戶</v>
      </c>
      <c r="G2204" t="str">
        <f>IFERROR(__xludf.DUMMYFUNCTION("""COMPUTED_VALUE"""),"大湖山莊")</f>
        <v>大湖山莊</v>
      </c>
      <c r="H2204" s="106" t="str">
        <f t="shared" si="1"/>
        <v>2025-06</v>
      </c>
      <c r="I2204" s="271" t="str">
        <f>IFERROR(__xludf.DUMMYFUNCTION("""COMPUTED_VALUE"""),"貓狗企鵝")</f>
        <v>貓狗企鵝</v>
      </c>
      <c r="J2204" t="str">
        <f>IFERROR(__xludf.DUMMYFUNCTION("IFS(
  AND(REGEXMATCH(E2204, ""台銀籌備帳戶|玉山帳戶""), REGEXMATCH(C2204, ""薪資"")), ""分潤支出"",
  AND(REGEXMATCH(E2204, ""Ben帳戶|Elsa帳戶|Ben代墊|Ariel代墊|中信銀行共用""), REGEXMATCH(F2204, ""Ben帳戶|Elsa帳戶|Ben代墊|Ariel代墊|中信銀行共用"")), ""內部轉帳(忽略)"",
  AND(E2204&lt;&gt;"""", F2204&lt;&gt;"""", N"&amp;"OT(REGEXMATCH(C2204, ""薪資""))), ""內部轉帳(忽略)"",
  REGEXMATCH(C2204, ""薪資""), ""薪資變動(不計入)"",
  REGEXMATCH(C2204, ""押金""), ""押金往來"",
  AND(E2204&lt;&gt;"""", F2204=""""), ""真實支出"",
  AND(E2204="""", F2204&lt;&gt;""""), ""真實收入"",
  TRUE, ""其他""
)"),"真實收入")</f>
        <v>真實收入</v>
      </c>
      <c r="K2204" s="270">
        <f t="shared" si="2"/>
        <v>18800</v>
      </c>
      <c r="L2204">
        <f t="shared" si="3"/>
        <v>0</v>
      </c>
    </row>
    <row r="2205">
      <c r="A2205" s="107">
        <f>IFERROR(__xludf.DUMMYFUNCTION("""COMPUTED_VALUE"""),45838.0)</f>
        <v>45838</v>
      </c>
      <c r="B2205" t="str">
        <f>IFERROR(__xludf.DUMMYFUNCTION("""COMPUTED_VALUE"""),"[金龍帽子先生] C [鐘偉展] 月租金 (行號: 37)")</f>
        <v>[金龍帽子先生] C [鐘偉展] 月租金 (行號: 37)</v>
      </c>
      <c r="C2205" t="str">
        <f>IFERROR(__xludf.DUMMYFUNCTION("""COMPUTED_VALUE"""),"收入 - 租金")</f>
        <v>收入 - 租金</v>
      </c>
      <c r="D2205" s="270">
        <f>IFERROR(__xludf.DUMMYFUNCTION("""COMPUTED_VALUE"""),14000.0)</f>
        <v>14000</v>
      </c>
      <c r="F2205" t="str">
        <f>IFERROR(__xludf.DUMMYFUNCTION("""COMPUTED_VALUE"""),"台銀籌備帳戶")</f>
        <v>台銀籌備帳戶</v>
      </c>
      <c r="G2205" t="str">
        <f>IFERROR(__xludf.DUMMYFUNCTION("""COMPUTED_VALUE"""),"金龍帽子先生")</f>
        <v>金龍帽子先生</v>
      </c>
      <c r="H2205" s="106" t="str">
        <f t="shared" si="1"/>
        <v>2025-06</v>
      </c>
      <c r="I2205" s="271" t="str">
        <f>IFERROR(__xludf.DUMMYFUNCTION("""COMPUTED_VALUE"""),"貓狗企鵝")</f>
        <v>貓狗企鵝</v>
      </c>
      <c r="J2205" t="str">
        <f>IFERROR(__xludf.DUMMYFUNCTION("IFS(
  AND(REGEXMATCH(E2205, ""台銀籌備帳戶|玉山帳戶""), REGEXMATCH(C2205, ""薪資"")), ""分潤支出"",
  AND(REGEXMATCH(E2205, ""Ben帳戶|Elsa帳戶|Ben代墊|Ariel代墊|中信銀行共用""), REGEXMATCH(F2205, ""Ben帳戶|Elsa帳戶|Ben代墊|Ariel代墊|中信銀行共用"")), ""內部轉帳(忽略)"",
  AND(E2205&lt;&gt;"""", F2205&lt;&gt;"""", N"&amp;"OT(REGEXMATCH(C2205, ""薪資""))), ""內部轉帳(忽略)"",
  REGEXMATCH(C2205, ""薪資""), ""薪資變動(不計入)"",
  REGEXMATCH(C2205, ""押金""), ""押金往來"",
  AND(E2205&lt;&gt;"""", F2205=""""), ""真實支出"",
  AND(E2205="""", F2205&lt;&gt;""""), ""真實收入"",
  TRUE, ""其他""
)"),"真實收入")</f>
        <v>真實收入</v>
      </c>
      <c r="K2205" s="270">
        <f t="shared" si="2"/>
        <v>14000</v>
      </c>
      <c r="L2205">
        <f t="shared" si="3"/>
        <v>0</v>
      </c>
    </row>
    <row r="2206">
      <c r="A2206" s="107">
        <f>IFERROR(__xludf.DUMMYFUNCTION("""COMPUTED_VALUE"""),45838.0)</f>
        <v>45838</v>
      </c>
      <c r="B2206" t="str">
        <f>IFERROR(__xludf.DUMMYFUNCTION("""COMPUTED_VALUE"""),"[景安2分鐘] E [楊惠閔] 月租金 (行號: 40)")</f>
        <v>[景安2分鐘] E [楊惠閔] 月租金 (行號: 40)</v>
      </c>
      <c r="C2206" t="str">
        <f>IFERROR(__xludf.DUMMYFUNCTION("""COMPUTED_VALUE"""),"收入 - 租金")</f>
        <v>收入 - 租金</v>
      </c>
      <c r="D2206" s="270">
        <f>IFERROR(__xludf.DUMMYFUNCTION("""COMPUTED_VALUE"""),10500.0)</f>
        <v>10500</v>
      </c>
      <c r="F2206" t="str">
        <f>IFERROR(__xludf.DUMMYFUNCTION("""COMPUTED_VALUE"""),"台銀籌備帳戶")</f>
        <v>台銀籌備帳戶</v>
      </c>
      <c r="G2206" t="str">
        <f>IFERROR(__xludf.DUMMYFUNCTION("""COMPUTED_VALUE"""),"景安2分鐘")</f>
        <v>景安2分鐘</v>
      </c>
      <c r="H2206" s="106" t="str">
        <f t="shared" si="1"/>
        <v>2025-06</v>
      </c>
      <c r="I2206" s="271" t="str">
        <f>IFERROR(__xludf.DUMMYFUNCTION("""COMPUTED_VALUE"""),"貓狗企鵝")</f>
        <v>貓狗企鵝</v>
      </c>
      <c r="J2206" t="str">
        <f>IFERROR(__xludf.DUMMYFUNCTION("IFS(
  AND(REGEXMATCH(E2206, ""台銀籌備帳戶|玉山帳戶""), REGEXMATCH(C2206, ""薪資"")), ""分潤支出"",
  AND(REGEXMATCH(E2206, ""Ben帳戶|Elsa帳戶|Ben代墊|Ariel代墊|中信銀行共用""), REGEXMATCH(F2206, ""Ben帳戶|Elsa帳戶|Ben代墊|Ariel代墊|中信銀行共用"")), ""內部轉帳(忽略)"",
  AND(E2206&lt;&gt;"""", F2206&lt;&gt;"""", N"&amp;"OT(REGEXMATCH(C2206, ""薪資""))), ""內部轉帳(忽略)"",
  REGEXMATCH(C2206, ""薪資""), ""薪資變動(不計入)"",
  REGEXMATCH(C2206, ""押金""), ""押金往來"",
  AND(E2206&lt;&gt;"""", F2206=""""), ""真實支出"",
  AND(E2206="""", F2206&lt;&gt;""""), ""真實收入"",
  TRUE, ""其他""
)"),"真實收入")</f>
        <v>真實收入</v>
      </c>
      <c r="K2206" s="270">
        <f t="shared" si="2"/>
        <v>10500</v>
      </c>
      <c r="L2206">
        <f t="shared" si="3"/>
        <v>0</v>
      </c>
    </row>
    <row r="2207">
      <c r="A2207" s="107">
        <f>IFERROR(__xludf.DUMMYFUNCTION("""COMPUTED_VALUE"""),45838.0)</f>
        <v>45838</v>
      </c>
      <c r="B2207" t="str">
        <f>IFERROR(__xludf.DUMMYFUNCTION("""COMPUTED_VALUE"""),"[南港站挑高宅] B [林鍇蓓] 月租金 (行號: 42)")</f>
        <v>[南港站挑高宅] B [林鍇蓓] 月租金 (行號: 42)</v>
      </c>
      <c r="C2207" t="str">
        <f>IFERROR(__xludf.DUMMYFUNCTION("""COMPUTED_VALUE"""),"收入 - 租金")</f>
        <v>收入 - 租金</v>
      </c>
      <c r="D2207" s="270">
        <f>IFERROR(__xludf.DUMMYFUNCTION("""COMPUTED_VALUE"""),12300.0)</f>
        <v>12300</v>
      </c>
      <c r="F2207" t="str">
        <f>IFERROR(__xludf.DUMMYFUNCTION("""COMPUTED_VALUE"""),"台銀籌備帳戶")</f>
        <v>台銀籌備帳戶</v>
      </c>
      <c r="G2207" t="str">
        <f>IFERROR(__xludf.DUMMYFUNCTION("""COMPUTED_VALUE"""),"南港站挑高宅")</f>
        <v>南港站挑高宅</v>
      </c>
      <c r="H2207" s="106" t="str">
        <f t="shared" si="1"/>
        <v>2025-06</v>
      </c>
      <c r="I2207" s="271" t="str">
        <f>IFERROR(__xludf.DUMMYFUNCTION("""COMPUTED_VALUE"""),"貓狗企鵝")</f>
        <v>貓狗企鵝</v>
      </c>
      <c r="J2207" t="str">
        <f>IFERROR(__xludf.DUMMYFUNCTION("IFS(
  AND(REGEXMATCH(E2207, ""台銀籌備帳戶|玉山帳戶""), REGEXMATCH(C2207, ""薪資"")), ""分潤支出"",
  AND(REGEXMATCH(E2207, ""Ben帳戶|Elsa帳戶|Ben代墊|Ariel代墊|中信銀行共用""), REGEXMATCH(F2207, ""Ben帳戶|Elsa帳戶|Ben代墊|Ariel代墊|中信銀行共用"")), ""內部轉帳(忽略)"",
  AND(E2207&lt;&gt;"""", F2207&lt;&gt;"""", N"&amp;"OT(REGEXMATCH(C2207, ""薪資""))), ""內部轉帳(忽略)"",
  REGEXMATCH(C2207, ""薪資""), ""薪資變動(不計入)"",
  REGEXMATCH(C2207, ""押金""), ""押金往來"",
  AND(E2207&lt;&gt;"""", F2207=""""), ""真實支出"",
  AND(E2207="""", F2207&lt;&gt;""""), ""真實收入"",
  TRUE, ""其他""
)"),"真實收入")</f>
        <v>真實收入</v>
      </c>
      <c r="K2207" s="270">
        <f t="shared" si="2"/>
        <v>12300</v>
      </c>
      <c r="L2207">
        <f t="shared" si="3"/>
        <v>0</v>
      </c>
    </row>
    <row r="2208">
      <c r="A2208" s="107">
        <f>IFERROR(__xludf.DUMMYFUNCTION("""COMPUTED_VALUE"""),45838.0)</f>
        <v>45838</v>
      </c>
      <c r="B2208" t="str">
        <f>IFERROR(__xludf.DUMMYFUNCTION("""COMPUTED_VALUE"""),"[北醫醫師府] A [吳緯程] 月租金 (行號: 44)")</f>
        <v>[北醫醫師府] A [吳緯程] 月租金 (行號: 44)</v>
      </c>
      <c r="C2208" t="str">
        <f>IFERROR(__xludf.DUMMYFUNCTION("""COMPUTED_VALUE"""),"收入 - 租金")</f>
        <v>收入 - 租金</v>
      </c>
      <c r="D2208" s="270">
        <f>IFERROR(__xludf.DUMMYFUNCTION("""COMPUTED_VALUE"""),13000.0)</f>
        <v>13000</v>
      </c>
      <c r="F2208" t="str">
        <f>IFERROR(__xludf.DUMMYFUNCTION("""COMPUTED_VALUE"""),"台銀籌備帳戶")</f>
        <v>台銀籌備帳戶</v>
      </c>
      <c r="G2208" t="str">
        <f>IFERROR(__xludf.DUMMYFUNCTION("""COMPUTED_VALUE"""),"北醫醫師府")</f>
        <v>北醫醫師府</v>
      </c>
      <c r="H2208" s="106" t="str">
        <f t="shared" si="1"/>
        <v>2025-06</v>
      </c>
      <c r="I2208" s="271" t="str">
        <f>IFERROR(__xludf.DUMMYFUNCTION("""COMPUTED_VALUE"""),"貓狗企鵝")</f>
        <v>貓狗企鵝</v>
      </c>
      <c r="J2208" t="str">
        <f>IFERROR(__xludf.DUMMYFUNCTION("IFS(
  AND(REGEXMATCH(E2208, ""台銀籌備帳戶|玉山帳戶""), REGEXMATCH(C2208, ""薪資"")), ""分潤支出"",
  AND(REGEXMATCH(E2208, ""Ben帳戶|Elsa帳戶|Ben代墊|Ariel代墊|中信銀行共用""), REGEXMATCH(F2208, ""Ben帳戶|Elsa帳戶|Ben代墊|Ariel代墊|中信銀行共用"")), ""內部轉帳(忽略)"",
  AND(E2208&lt;&gt;"""", F2208&lt;&gt;"""", N"&amp;"OT(REGEXMATCH(C2208, ""薪資""))), ""內部轉帳(忽略)"",
  REGEXMATCH(C2208, ""薪資""), ""薪資變動(不計入)"",
  REGEXMATCH(C2208, ""押金""), ""押金往來"",
  AND(E2208&lt;&gt;"""", F2208=""""), ""真實支出"",
  AND(E2208="""", F2208&lt;&gt;""""), ""真實收入"",
  TRUE, ""其他""
)"),"真實收入")</f>
        <v>真實收入</v>
      </c>
      <c r="K2208" s="270">
        <f t="shared" si="2"/>
        <v>13000</v>
      </c>
      <c r="L2208">
        <f t="shared" si="3"/>
        <v>0</v>
      </c>
    </row>
    <row r="2209">
      <c r="A2209" s="107">
        <f>IFERROR(__xludf.DUMMYFUNCTION("""COMPUTED_VALUE"""),45839.0)</f>
        <v>45839</v>
      </c>
      <c r="B2209" t="str">
        <f>IFERROR(__xludf.DUMMYFUNCTION("""COMPUTED_VALUE"""),"[景安2分鐘] C [楊玉如] 月租金 (行號: 45)")</f>
        <v>[景安2分鐘] C [楊玉如] 月租金 (行號: 45)</v>
      </c>
      <c r="C2209" t="str">
        <f>IFERROR(__xludf.DUMMYFUNCTION("""COMPUTED_VALUE"""),"收入 - 租金")</f>
        <v>收入 - 租金</v>
      </c>
      <c r="D2209" s="270">
        <f>IFERROR(__xludf.DUMMYFUNCTION("""COMPUTED_VALUE"""),12300.0)</f>
        <v>12300</v>
      </c>
      <c r="F2209" t="str">
        <f>IFERROR(__xludf.DUMMYFUNCTION("""COMPUTED_VALUE"""),"台銀籌備帳戶")</f>
        <v>台銀籌備帳戶</v>
      </c>
      <c r="G2209" t="str">
        <f>IFERROR(__xludf.DUMMYFUNCTION("""COMPUTED_VALUE"""),"景安2分鐘")</f>
        <v>景安2分鐘</v>
      </c>
      <c r="H2209" s="106" t="str">
        <f t="shared" si="1"/>
        <v>2025-07</v>
      </c>
      <c r="I2209" s="271" t="str">
        <f>IFERROR(__xludf.DUMMYFUNCTION("""COMPUTED_VALUE"""),"貓狗企鵝")</f>
        <v>貓狗企鵝</v>
      </c>
      <c r="J2209" t="str">
        <f>IFERROR(__xludf.DUMMYFUNCTION("IFS(
  AND(REGEXMATCH(E2209, ""台銀籌備帳戶|玉山帳戶""), REGEXMATCH(C2209, ""薪資"")), ""分潤支出"",
  AND(REGEXMATCH(E2209, ""Ben帳戶|Elsa帳戶|Ben代墊|Ariel代墊|中信銀行共用""), REGEXMATCH(F2209, ""Ben帳戶|Elsa帳戶|Ben代墊|Ariel代墊|中信銀行共用"")), ""內部轉帳(忽略)"",
  AND(E2209&lt;&gt;"""", F2209&lt;&gt;"""", N"&amp;"OT(REGEXMATCH(C2209, ""薪資""))), ""內部轉帳(忽略)"",
  REGEXMATCH(C2209, ""薪資""), ""薪資變動(不計入)"",
  REGEXMATCH(C2209, ""押金""), ""押金往來"",
  AND(E2209&lt;&gt;"""", F2209=""""), ""真實支出"",
  AND(E2209="""", F2209&lt;&gt;""""), ""真實收入"",
  TRUE, ""其他""
)"),"真實收入")</f>
        <v>真實收入</v>
      </c>
      <c r="K2209" s="270">
        <f t="shared" si="2"/>
        <v>12300</v>
      </c>
      <c r="L2209">
        <f t="shared" si="3"/>
        <v>0</v>
      </c>
    </row>
    <row r="2210">
      <c r="A2210" s="107">
        <f>IFERROR(__xludf.DUMMYFUNCTION("""COMPUTED_VALUE"""),45839.0)</f>
        <v>45839</v>
      </c>
      <c r="B2210" t="str">
        <f>IFERROR(__xludf.DUMMYFUNCTION("""COMPUTED_VALUE"""),"[永春四號] D [翁政熙] 月租金 (行號: 46)")</f>
        <v>[永春四號] D [翁政熙] 月租金 (行號: 46)</v>
      </c>
      <c r="C2210" t="str">
        <f>IFERROR(__xludf.DUMMYFUNCTION("""COMPUTED_VALUE"""),"收入 - 租金")</f>
        <v>收入 - 租金</v>
      </c>
      <c r="D2210" s="270">
        <f>IFERROR(__xludf.DUMMYFUNCTION("""COMPUTED_VALUE"""),14300.0)</f>
        <v>14300</v>
      </c>
      <c r="F2210" t="str">
        <f>IFERROR(__xludf.DUMMYFUNCTION("""COMPUTED_VALUE"""),"台銀籌備帳戶")</f>
        <v>台銀籌備帳戶</v>
      </c>
      <c r="G2210" t="str">
        <f>IFERROR(__xludf.DUMMYFUNCTION("""COMPUTED_VALUE"""),"永春四號")</f>
        <v>永春四號</v>
      </c>
      <c r="H2210" s="106" t="str">
        <f t="shared" si="1"/>
        <v>2025-07</v>
      </c>
      <c r="I2210" s="271" t="str">
        <f>IFERROR(__xludf.DUMMYFUNCTION("""COMPUTED_VALUE"""),"貓狗企鵝")</f>
        <v>貓狗企鵝</v>
      </c>
      <c r="J2210" t="str">
        <f>IFERROR(__xludf.DUMMYFUNCTION("IFS(
  AND(REGEXMATCH(E2210, ""台銀籌備帳戶|玉山帳戶""), REGEXMATCH(C2210, ""薪資"")), ""分潤支出"",
  AND(REGEXMATCH(E2210, ""Ben帳戶|Elsa帳戶|Ben代墊|Ariel代墊|中信銀行共用""), REGEXMATCH(F2210, ""Ben帳戶|Elsa帳戶|Ben代墊|Ariel代墊|中信銀行共用"")), ""內部轉帳(忽略)"",
  AND(E2210&lt;&gt;"""", F2210&lt;&gt;"""", N"&amp;"OT(REGEXMATCH(C2210, ""薪資""))), ""內部轉帳(忽略)"",
  REGEXMATCH(C2210, ""薪資""), ""薪資變動(不計入)"",
  REGEXMATCH(C2210, ""押金""), ""押金往來"",
  AND(E2210&lt;&gt;"""", F2210=""""), ""真實支出"",
  AND(E2210="""", F2210&lt;&gt;""""), ""真實收入"",
  TRUE, ""其他""
)"),"真實收入")</f>
        <v>真實收入</v>
      </c>
      <c r="K2210" s="270">
        <f t="shared" si="2"/>
        <v>14300</v>
      </c>
      <c r="L2210">
        <f t="shared" si="3"/>
        <v>0</v>
      </c>
    </row>
    <row r="2211">
      <c r="A2211" s="107">
        <f>IFERROR(__xludf.DUMMYFUNCTION("""COMPUTED_VALUE"""),45839.0)</f>
        <v>45839</v>
      </c>
      <c r="B2211" t="str">
        <f>IFERROR(__xludf.DUMMYFUNCTION("""COMPUTED_VALUE"""),"[景安2分鐘] D [鍾佩晶] 月租金 (行號: 48)")</f>
        <v>[景安2分鐘] D [鍾佩晶] 月租金 (行號: 48)</v>
      </c>
      <c r="C2211" t="str">
        <f>IFERROR(__xludf.DUMMYFUNCTION("""COMPUTED_VALUE"""),"收入 - 租金")</f>
        <v>收入 - 租金</v>
      </c>
      <c r="D2211" s="270">
        <f>IFERROR(__xludf.DUMMYFUNCTION("""COMPUTED_VALUE"""),8600.0)</f>
        <v>8600</v>
      </c>
      <c r="F2211" t="str">
        <f>IFERROR(__xludf.DUMMYFUNCTION("""COMPUTED_VALUE"""),"台銀籌備帳戶")</f>
        <v>台銀籌備帳戶</v>
      </c>
      <c r="G2211" t="str">
        <f>IFERROR(__xludf.DUMMYFUNCTION("""COMPUTED_VALUE"""),"景安2分鐘")</f>
        <v>景安2分鐘</v>
      </c>
      <c r="H2211" s="106" t="str">
        <f t="shared" si="1"/>
        <v>2025-07</v>
      </c>
      <c r="I2211" s="271" t="str">
        <f>IFERROR(__xludf.DUMMYFUNCTION("""COMPUTED_VALUE"""),"貓狗企鵝")</f>
        <v>貓狗企鵝</v>
      </c>
      <c r="J2211" t="str">
        <f>IFERROR(__xludf.DUMMYFUNCTION("IFS(
  AND(REGEXMATCH(E2211, ""台銀籌備帳戶|玉山帳戶""), REGEXMATCH(C2211, ""薪資"")), ""分潤支出"",
  AND(REGEXMATCH(E2211, ""Ben帳戶|Elsa帳戶|Ben代墊|Ariel代墊|中信銀行共用""), REGEXMATCH(F2211, ""Ben帳戶|Elsa帳戶|Ben代墊|Ariel代墊|中信銀行共用"")), ""內部轉帳(忽略)"",
  AND(E2211&lt;&gt;"""", F2211&lt;&gt;"""", N"&amp;"OT(REGEXMATCH(C2211, ""薪資""))), ""內部轉帳(忽略)"",
  REGEXMATCH(C2211, ""薪資""), ""薪資變動(不計入)"",
  REGEXMATCH(C2211, ""押金""), ""押金往來"",
  AND(E2211&lt;&gt;"""", F2211=""""), ""真實支出"",
  AND(E2211="""", F2211&lt;&gt;""""), ""真實收入"",
  TRUE, ""其他""
)"),"真實收入")</f>
        <v>真實收入</v>
      </c>
      <c r="K2211" s="270">
        <f t="shared" si="2"/>
        <v>8600</v>
      </c>
      <c r="L2211">
        <f t="shared" si="3"/>
        <v>0</v>
      </c>
    </row>
    <row r="2212">
      <c r="A2212" s="107">
        <f>IFERROR(__xludf.DUMMYFUNCTION("""COMPUTED_VALUE"""),45839.0)</f>
        <v>45839</v>
      </c>
      <c r="B2212" t="str">
        <f>IFERROR(__xludf.DUMMYFUNCTION("""COMPUTED_VALUE"""),"[南港站挑高宅] D [吳城慕] 月租金 (行號: 61)")</f>
        <v>[南港站挑高宅] D [吳城慕] 月租金 (行號: 61)</v>
      </c>
      <c r="C2212" t="str">
        <f>IFERROR(__xludf.DUMMYFUNCTION("""COMPUTED_VALUE"""),"收入 - 租金")</f>
        <v>收入 - 租金</v>
      </c>
      <c r="D2212" s="270">
        <f>IFERROR(__xludf.DUMMYFUNCTION("""COMPUTED_VALUE"""),14300.0)</f>
        <v>14300</v>
      </c>
      <c r="F2212" t="str">
        <f>IFERROR(__xludf.DUMMYFUNCTION("""COMPUTED_VALUE"""),"台銀籌備帳戶")</f>
        <v>台銀籌備帳戶</v>
      </c>
      <c r="G2212" t="str">
        <f>IFERROR(__xludf.DUMMYFUNCTION("""COMPUTED_VALUE"""),"南港站挑高宅")</f>
        <v>南港站挑高宅</v>
      </c>
      <c r="H2212" s="106" t="str">
        <f t="shared" si="1"/>
        <v>2025-07</v>
      </c>
      <c r="I2212" s="271" t="str">
        <f>IFERROR(__xludf.DUMMYFUNCTION("""COMPUTED_VALUE"""),"貓狗企鵝")</f>
        <v>貓狗企鵝</v>
      </c>
      <c r="J2212" t="str">
        <f>IFERROR(__xludf.DUMMYFUNCTION("IFS(
  AND(REGEXMATCH(E2212, ""台銀籌備帳戶|玉山帳戶""), REGEXMATCH(C2212, ""薪資"")), ""分潤支出"",
  AND(REGEXMATCH(E2212, ""Ben帳戶|Elsa帳戶|Ben代墊|Ariel代墊|中信銀行共用""), REGEXMATCH(F2212, ""Ben帳戶|Elsa帳戶|Ben代墊|Ariel代墊|中信銀行共用"")), ""內部轉帳(忽略)"",
  AND(E2212&lt;&gt;"""", F2212&lt;&gt;"""", N"&amp;"OT(REGEXMATCH(C2212, ""薪資""))), ""內部轉帳(忽略)"",
  REGEXMATCH(C2212, ""薪資""), ""薪資變動(不計入)"",
  REGEXMATCH(C2212, ""押金""), ""押金往來"",
  AND(E2212&lt;&gt;"""", F2212=""""), ""真實支出"",
  AND(E2212="""", F2212&lt;&gt;""""), ""真實收入"",
  TRUE, ""其他""
)"),"真實收入")</f>
        <v>真實收入</v>
      </c>
      <c r="K2212" s="270">
        <f t="shared" si="2"/>
        <v>14300</v>
      </c>
      <c r="L2212">
        <f t="shared" si="3"/>
        <v>0</v>
      </c>
    </row>
    <row r="2213">
      <c r="A2213" s="107">
        <f>IFERROR(__xludf.DUMMYFUNCTION("""COMPUTED_VALUE"""),45839.0)</f>
        <v>45839</v>
      </c>
      <c r="B2213" t="str">
        <f>IFERROR(__xludf.DUMMYFUNCTION("""COMPUTED_VALUE"""),"[金龍帽子先生] B [謝歆俞] 月租金 (行號: 62)")</f>
        <v>[金龍帽子先生] B [謝歆俞] 月租金 (行號: 62)</v>
      </c>
      <c r="C2213" t="str">
        <f>IFERROR(__xludf.DUMMYFUNCTION("""COMPUTED_VALUE"""),"收入 - 租金")</f>
        <v>收入 - 租金</v>
      </c>
      <c r="D2213" s="270">
        <f>IFERROR(__xludf.DUMMYFUNCTION("""COMPUTED_VALUE"""),12700.0)</f>
        <v>12700</v>
      </c>
      <c r="F2213" t="str">
        <f>IFERROR(__xludf.DUMMYFUNCTION("""COMPUTED_VALUE"""),"台銀籌備帳戶")</f>
        <v>台銀籌備帳戶</v>
      </c>
      <c r="G2213" t="str">
        <f>IFERROR(__xludf.DUMMYFUNCTION("""COMPUTED_VALUE"""),"金龍帽子先生")</f>
        <v>金龍帽子先生</v>
      </c>
      <c r="H2213" s="106" t="str">
        <f t="shared" si="1"/>
        <v>2025-07</v>
      </c>
      <c r="I2213" s="271" t="str">
        <f>IFERROR(__xludf.DUMMYFUNCTION("""COMPUTED_VALUE"""),"貓狗企鵝")</f>
        <v>貓狗企鵝</v>
      </c>
      <c r="J2213" t="str">
        <f>IFERROR(__xludf.DUMMYFUNCTION("IFS(
  AND(REGEXMATCH(E2213, ""台銀籌備帳戶|玉山帳戶""), REGEXMATCH(C2213, ""薪資"")), ""分潤支出"",
  AND(REGEXMATCH(E2213, ""Ben帳戶|Elsa帳戶|Ben代墊|Ariel代墊|中信銀行共用""), REGEXMATCH(F2213, ""Ben帳戶|Elsa帳戶|Ben代墊|Ariel代墊|中信銀行共用"")), ""內部轉帳(忽略)"",
  AND(E2213&lt;&gt;"""", F2213&lt;&gt;"""", N"&amp;"OT(REGEXMATCH(C2213, ""薪資""))), ""內部轉帳(忽略)"",
  REGEXMATCH(C2213, ""薪資""), ""薪資變動(不計入)"",
  REGEXMATCH(C2213, ""押金""), ""押金往來"",
  AND(E2213&lt;&gt;"""", F2213=""""), ""真實支出"",
  AND(E2213="""", F2213&lt;&gt;""""), ""真實收入"",
  TRUE, ""其他""
)"),"真實收入")</f>
        <v>真實收入</v>
      </c>
      <c r="K2213" s="270">
        <f t="shared" si="2"/>
        <v>12700</v>
      </c>
      <c r="L2213">
        <f t="shared" si="3"/>
        <v>0</v>
      </c>
    </row>
    <row r="2214">
      <c r="A2214" s="107">
        <f>IFERROR(__xludf.DUMMYFUNCTION("""COMPUTED_VALUE"""),45839.0)</f>
        <v>45839</v>
      </c>
      <c r="B2214" t="str">
        <f>IFERROR(__xludf.DUMMYFUNCTION("""COMPUTED_VALUE"""),"[中山北Feli家] D [邱佳慧] 月租金 (行號: 64)")</f>
        <v>[中山北Feli家] D [邱佳慧] 月租金 (行號: 64)</v>
      </c>
      <c r="C2214" t="str">
        <f>IFERROR(__xludf.DUMMYFUNCTION("""COMPUTED_VALUE"""),"收入 - 租金")</f>
        <v>收入 - 租金</v>
      </c>
      <c r="D2214" s="270">
        <f>IFERROR(__xludf.DUMMYFUNCTION("""COMPUTED_VALUE"""),10800.0)</f>
        <v>10800</v>
      </c>
      <c r="F2214" t="str">
        <f>IFERROR(__xludf.DUMMYFUNCTION("""COMPUTED_VALUE"""),"台銀籌備帳戶")</f>
        <v>台銀籌備帳戶</v>
      </c>
      <c r="G2214" t="str">
        <f>IFERROR(__xludf.DUMMYFUNCTION("""COMPUTED_VALUE"""),"中山北Feli家")</f>
        <v>中山北Feli家</v>
      </c>
      <c r="H2214" s="106" t="str">
        <f t="shared" si="1"/>
        <v>2025-07</v>
      </c>
      <c r="I2214" s="271" t="str">
        <f>IFERROR(__xludf.DUMMYFUNCTION("""COMPUTED_VALUE"""),"貓狗企鵝")</f>
        <v>貓狗企鵝</v>
      </c>
      <c r="J2214" t="str">
        <f>IFERROR(__xludf.DUMMYFUNCTION("IFS(
  AND(REGEXMATCH(E2214, ""台銀籌備帳戶|玉山帳戶""), REGEXMATCH(C2214, ""薪資"")), ""分潤支出"",
  AND(REGEXMATCH(E2214, ""Ben帳戶|Elsa帳戶|Ben代墊|Ariel代墊|中信銀行共用""), REGEXMATCH(F2214, ""Ben帳戶|Elsa帳戶|Ben代墊|Ariel代墊|中信銀行共用"")), ""內部轉帳(忽略)"",
  AND(E2214&lt;&gt;"""", F2214&lt;&gt;"""", N"&amp;"OT(REGEXMATCH(C2214, ""薪資""))), ""內部轉帳(忽略)"",
  REGEXMATCH(C2214, ""薪資""), ""薪資變動(不計入)"",
  REGEXMATCH(C2214, ""押金""), ""押金往來"",
  AND(E2214&lt;&gt;"""", F2214=""""), ""真實支出"",
  AND(E2214="""", F2214&lt;&gt;""""), ""真實收入"",
  TRUE, ""其他""
)"),"真實收入")</f>
        <v>真實收入</v>
      </c>
      <c r="K2214" s="270">
        <f t="shared" si="2"/>
        <v>10800</v>
      </c>
      <c r="L2214">
        <f t="shared" si="3"/>
        <v>0</v>
      </c>
    </row>
    <row r="2215">
      <c r="A2215" s="107">
        <f>IFERROR(__xludf.DUMMYFUNCTION("""COMPUTED_VALUE"""),45839.0)</f>
        <v>45839</v>
      </c>
      <c r="B2215" t="str">
        <f>IFERROR(__xludf.DUMMYFUNCTION("""COMPUTED_VALUE"""),"[景安2分鐘] B [張語婕, 張依憑] 月租金 (行號: 65)")</f>
        <v>[景安2分鐘] B [張語婕, 張依憑] 月租金 (行號: 65)</v>
      </c>
      <c r="C2215" t="str">
        <f>IFERROR(__xludf.DUMMYFUNCTION("""COMPUTED_VALUE"""),"收入 - 租金")</f>
        <v>收入 - 租金</v>
      </c>
      <c r="D2215" s="270">
        <f>IFERROR(__xludf.DUMMYFUNCTION("""COMPUTED_VALUE"""),18800.0)</f>
        <v>18800</v>
      </c>
      <c r="F2215" t="str">
        <f>IFERROR(__xludf.DUMMYFUNCTION("""COMPUTED_VALUE"""),"台銀籌備帳戶")</f>
        <v>台銀籌備帳戶</v>
      </c>
      <c r="G2215" t="str">
        <f>IFERROR(__xludf.DUMMYFUNCTION("""COMPUTED_VALUE"""),"景安2分鐘")</f>
        <v>景安2分鐘</v>
      </c>
      <c r="H2215" s="106" t="str">
        <f t="shared" si="1"/>
        <v>2025-07</v>
      </c>
      <c r="I2215" s="271" t="str">
        <f>IFERROR(__xludf.DUMMYFUNCTION("""COMPUTED_VALUE"""),"貓狗企鵝")</f>
        <v>貓狗企鵝</v>
      </c>
      <c r="J2215" t="str">
        <f>IFERROR(__xludf.DUMMYFUNCTION("IFS(
  AND(REGEXMATCH(E2215, ""台銀籌備帳戶|玉山帳戶""), REGEXMATCH(C2215, ""薪資"")), ""分潤支出"",
  AND(REGEXMATCH(E2215, ""Ben帳戶|Elsa帳戶|Ben代墊|Ariel代墊|中信銀行共用""), REGEXMATCH(F2215, ""Ben帳戶|Elsa帳戶|Ben代墊|Ariel代墊|中信銀行共用"")), ""內部轉帳(忽略)"",
  AND(E2215&lt;&gt;"""", F2215&lt;&gt;"""", N"&amp;"OT(REGEXMATCH(C2215, ""薪資""))), ""內部轉帳(忽略)"",
  REGEXMATCH(C2215, ""薪資""), ""薪資變動(不計入)"",
  REGEXMATCH(C2215, ""押金""), ""押金往來"",
  AND(E2215&lt;&gt;"""", F2215=""""), ""真實支出"",
  AND(E2215="""", F2215&lt;&gt;""""), ""真實收入"",
  TRUE, ""其他""
)"),"真實收入")</f>
        <v>真實收入</v>
      </c>
      <c r="K2215" s="270">
        <f t="shared" si="2"/>
        <v>18800</v>
      </c>
      <c r="L2215">
        <f t="shared" si="3"/>
        <v>0</v>
      </c>
    </row>
    <row r="2216">
      <c r="A2216" s="107">
        <f>IFERROR(__xludf.DUMMYFUNCTION("""COMPUTED_VALUE"""),45839.0)</f>
        <v>45839</v>
      </c>
      <c r="B2216" t="str">
        <f>IFERROR(__xludf.DUMMYFUNCTION("""COMPUTED_VALUE"""),"[哈拉對面] B [鄭又菡] 月租金 (行號: 66)")</f>
        <v>[哈拉對面] B [鄭又菡] 月租金 (行號: 66)</v>
      </c>
      <c r="C2216" t="str">
        <f>IFERROR(__xludf.DUMMYFUNCTION("""COMPUTED_VALUE"""),"收入 - 租金")</f>
        <v>收入 - 租金</v>
      </c>
      <c r="D2216" s="270">
        <f>IFERROR(__xludf.DUMMYFUNCTION("""COMPUTED_VALUE"""),15800.0)</f>
        <v>15800</v>
      </c>
      <c r="F2216" t="str">
        <f>IFERROR(__xludf.DUMMYFUNCTION("""COMPUTED_VALUE"""),"台銀籌備帳戶")</f>
        <v>台銀籌備帳戶</v>
      </c>
      <c r="G2216" t="str">
        <f>IFERROR(__xludf.DUMMYFUNCTION("""COMPUTED_VALUE"""),"哈拉對面")</f>
        <v>哈拉對面</v>
      </c>
      <c r="H2216" s="106" t="str">
        <f t="shared" si="1"/>
        <v>2025-07</v>
      </c>
      <c r="I2216" s="271" t="str">
        <f>IFERROR(__xludf.DUMMYFUNCTION("""COMPUTED_VALUE"""),"貓狗企鵝")</f>
        <v>貓狗企鵝</v>
      </c>
      <c r="J2216" t="str">
        <f>IFERROR(__xludf.DUMMYFUNCTION("IFS(
  AND(REGEXMATCH(E2216, ""台銀籌備帳戶|玉山帳戶""), REGEXMATCH(C2216, ""薪資"")), ""分潤支出"",
  AND(REGEXMATCH(E2216, ""Ben帳戶|Elsa帳戶|Ben代墊|Ariel代墊|中信銀行共用""), REGEXMATCH(F2216, ""Ben帳戶|Elsa帳戶|Ben代墊|Ariel代墊|中信銀行共用"")), ""內部轉帳(忽略)"",
  AND(E2216&lt;&gt;"""", F2216&lt;&gt;"""", N"&amp;"OT(REGEXMATCH(C2216, ""薪資""))), ""內部轉帳(忽略)"",
  REGEXMATCH(C2216, ""薪資""), ""薪資變動(不計入)"",
  REGEXMATCH(C2216, ""押金""), ""押金往來"",
  AND(E2216&lt;&gt;"""", F2216=""""), ""真實支出"",
  AND(E2216="""", F2216&lt;&gt;""""), ""真實收入"",
  TRUE, ""其他""
)"),"真實收入")</f>
        <v>真實收入</v>
      </c>
      <c r="K2216" s="270">
        <f t="shared" si="2"/>
        <v>15800</v>
      </c>
      <c r="L2216">
        <f t="shared" si="3"/>
        <v>0</v>
      </c>
    </row>
    <row r="2217">
      <c r="A2217" s="107">
        <f>IFERROR(__xludf.DUMMYFUNCTION("""COMPUTED_VALUE"""),45839.0)</f>
        <v>45839</v>
      </c>
      <c r="B2217" t="str">
        <f>IFERROR(__xludf.DUMMYFUNCTION("""COMPUTED_VALUE"""),"[永春四號] C [林聿妡] 月租金 (行號: 67)")</f>
        <v>[永春四號] C [林聿妡] 月租金 (行號: 67)</v>
      </c>
      <c r="C2217" t="str">
        <f>IFERROR(__xludf.DUMMYFUNCTION("""COMPUTED_VALUE"""),"收入 - 租金")</f>
        <v>收入 - 租金</v>
      </c>
      <c r="D2217" s="270">
        <f>IFERROR(__xludf.DUMMYFUNCTION("""COMPUTED_VALUE"""),12800.0)</f>
        <v>12800</v>
      </c>
      <c r="F2217" t="str">
        <f>IFERROR(__xludf.DUMMYFUNCTION("""COMPUTED_VALUE"""),"台銀籌備帳戶")</f>
        <v>台銀籌備帳戶</v>
      </c>
      <c r="G2217" t="str">
        <f>IFERROR(__xludf.DUMMYFUNCTION("""COMPUTED_VALUE"""),"永春四號")</f>
        <v>永春四號</v>
      </c>
      <c r="H2217" s="106" t="str">
        <f t="shared" si="1"/>
        <v>2025-07</v>
      </c>
      <c r="I2217" s="271" t="str">
        <f>IFERROR(__xludf.DUMMYFUNCTION("""COMPUTED_VALUE"""),"貓狗企鵝")</f>
        <v>貓狗企鵝</v>
      </c>
      <c r="J2217" t="str">
        <f>IFERROR(__xludf.DUMMYFUNCTION("IFS(
  AND(REGEXMATCH(E2217, ""台銀籌備帳戶|玉山帳戶""), REGEXMATCH(C2217, ""薪資"")), ""分潤支出"",
  AND(REGEXMATCH(E2217, ""Ben帳戶|Elsa帳戶|Ben代墊|Ariel代墊|中信銀行共用""), REGEXMATCH(F2217, ""Ben帳戶|Elsa帳戶|Ben代墊|Ariel代墊|中信銀行共用"")), ""內部轉帳(忽略)"",
  AND(E2217&lt;&gt;"""", F2217&lt;&gt;"""", N"&amp;"OT(REGEXMATCH(C2217, ""薪資""))), ""內部轉帳(忽略)"",
  REGEXMATCH(C2217, ""薪資""), ""薪資變動(不計入)"",
  REGEXMATCH(C2217, ""押金""), ""押金往來"",
  AND(E2217&lt;&gt;"""", F2217=""""), ""真實支出"",
  AND(E2217="""", F2217&lt;&gt;""""), ""真實收入"",
  TRUE, ""其他""
)"),"真實收入")</f>
        <v>真實收入</v>
      </c>
      <c r="K2217" s="270">
        <f t="shared" si="2"/>
        <v>12800</v>
      </c>
      <c r="L2217">
        <f t="shared" si="3"/>
        <v>0</v>
      </c>
    </row>
    <row r="2218">
      <c r="A2218" s="107">
        <f>IFERROR(__xludf.DUMMYFUNCTION("""COMPUTED_VALUE"""),45839.0)</f>
        <v>45839</v>
      </c>
      <c r="B2218" t="str">
        <f>IFERROR(__xludf.DUMMYFUNCTION("""COMPUTED_VALUE"""),"[金龍帽子先生] D [林紫婕] 月租金 (行號: 68)")</f>
        <v>[金龍帽子先生] D [林紫婕] 月租金 (行號: 68)</v>
      </c>
      <c r="C2218" t="str">
        <f>IFERROR(__xludf.DUMMYFUNCTION("""COMPUTED_VALUE"""),"收入 - 租金")</f>
        <v>收入 - 租金</v>
      </c>
      <c r="D2218" s="270">
        <f>IFERROR(__xludf.DUMMYFUNCTION("""COMPUTED_VALUE"""),14500.0)</f>
        <v>14500</v>
      </c>
      <c r="F2218" t="str">
        <f>IFERROR(__xludf.DUMMYFUNCTION("""COMPUTED_VALUE"""),"台銀籌備帳戶")</f>
        <v>台銀籌備帳戶</v>
      </c>
      <c r="G2218" t="str">
        <f>IFERROR(__xludf.DUMMYFUNCTION("""COMPUTED_VALUE"""),"金龍帽子先生")</f>
        <v>金龍帽子先生</v>
      </c>
      <c r="H2218" s="106" t="str">
        <f t="shared" si="1"/>
        <v>2025-07</v>
      </c>
      <c r="I2218" s="271" t="str">
        <f>IFERROR(__xludf.DUMMYFUNCTION("""COMPUTED_VALUE"""),"貓狗企鵝")</f>
        <v>貓狗企鵝</v>
      </c>
      <c r="J2218" t="str">
        <f>IFERROR(__xludf.DUMMYFUNCTION("IFS(
  AND(REGEXMATCH(E2218, ""台銀籌備帳戶|玉山帳戶""), REGEXMATCH(C2218, ""薪資"")), ""分潤支出"",
  AND(REGEXMATCH(E2218, ""Ben帳戶|Elsa帳戶|Ben代墊|Ariel代墊|中信銀行共用""), REGEXMATCH(F2218, ""Ben帳戶|Elsa帳戶|Ben代墊|Ariel代墊|中信銀行共用"")), ""內部轉帳(忽略)"",
  AND(E2218&lt;&gt;"""", F2218&lt;&gt;"""", N"&amp;"OT(REGEXMATCH(C2218, ""薪資""))), ""內部轉帳(忽略)"",
  REGEXMATCH(C2218, ""薪資""), ""薪資變動(不計入)"",
  REGEXMATCH(C2218, ""押金""), ""押金往來"",
  AND(E2218&lt;&gt;"""", F2218=""""), ""真實支出"",
  AND(E2218="""", F2218&lt;&gt;""""), ""真實收入"",
  TRUE, ""其他""
)"),"真實收入")</f>
        <v>真實收入</v>
      </c>
      <c r="K2218" s="270">
        <f t="shared" si="2"/>
        <v>14500</v>
      </c>
      <c r="L2218">
        <f t="shared" si="3"/>
        <v>0</v>
      </c>
    </row>
    <row r="2219">
      <c r="A2219" s="107">
        <f>IFERROR(__xludf.DUMMYFUNCTION("""COMPUTED_VALUE"""),45839.0)</f>
        <v>45839</v>
      </c>
      <c r="B2219" t="str">
        <f>IFERROR(__xludf.DUMMYFUNCTION("""COMPUTED_VALUE"""),"[大湖山莊] B [吳佳樂] 月租金 (行號: 69)")</f>
        <v>[大湖山莊] B [吳佳樂] 月租金 (行號: 69)</v>
      </c>
      <c r="C2219" t="str">
        <f>IFERROR(__xludf.DUMMYFUNCTION("""COMPUTED_VALUE"""),"收入 - 租金")</f>
        <v>收入 - 租金</v>
      </c>
      <c r="D2219" s="270">
        <f>IFERROR(__xludf.DUMMYFUNCTION("""COMPUTED_VALUE"""),12800.0)</f>
        <v>12800</v>
      </c>
      <c r="F2219" t="str">
        <f>IFERROR(__xludf.DUMMYFUNCTION("""COMPUTED_VALUE"""),"台銀籌備帳戶")</f>
        <v>台銀籌備帳戶</v>
      </c>
      <c r="G2219" t="str">
        <f>IFERROR(__xludf.DUMMYFUNCTION("""COMPUTED_VALUE"""),"大湖山莊")</f>
        <v>大湖山莊</v>
      </c>
      <c r="H2219" s="106" t="str">
        <f t="shared" si="1"/>
        <v>2025-07</v>
      </c>
      <c r="I2219" s="271" t="str">
        <f>IFERROR(__xludf.DUMMYFUNCTION("""COMPUTED_VALUE"""),"貓狗企鵝")</f>
        <v>貓狗企鵝</v>
      </c>
      <c r="J2219" t="str">
        <f>IFERROR(__xludf.DUMMYFUNCTION("IFS(
  AND(REGEXMATCH(E2219, ""台銀籌備帳戶|玉山帳戶""), REGEXMATCH(C2219, ""薪資"")), ""分潤支出"",
  AND(REGEXMATCH(E2219, ""Ben帳戶|Elsa帳戶|Ben代墊|Ariel代墊|中信銀行共用""), REGEXMATCH(F2219, ""Ben帳戶|Elsa帳戶|Ben代墊|Ariel代墊|中信銀行共用"")), ""內部轉帳(忽略)"",
  AND(E2219&lt;&gt;"""", F2219&lt;&gt;"""", N"&amp;"OT(REGEXMATCH(C2219, ""薪資""))), ""內部轉帳(忽略)"",
  REGEXMATCH(C2219, ""薪資""), ""薪資變動(不計入)"",
  REGEXMATCH(C2219, ""押金""), ""押金往來"",
  AND(E2219&lt;&gt;"""", F2219=""""), ""真實支出"",
  AND(E2219="""", F2219&lt;&gt;""""), ""真實收入"",
  TRUE, ""其他""
)"),"真實收入")</f>
        <v>真實收入</v>
      </c>
      <c r="K2219" s="270">
        <f t="shared" si="2"/>
        <v>12800</v>
      </c>
      <c r="L2219">
        <f t="shared" si="3"/>
        <v>0</v>
      </c>
    </row>
    <row r="2220">
      <c r="A2220" s="107">
        <f>IFERROR(__xludf.DUMMYFUNCTION("""COMPUTED_VALUE"""),45839.0)</f>
        <v>45839</v>
      </c>
      <c r="B2220" t="str">
        <f>IFERROR(__xludf.DUMMYFUNCTION("""COMPUTED_VALUE"""),"[中山北娘家旁] D [洪琦媜] 月租金 (行號: 70)")</f>
        <v>[中山北娘家旁] D [洪琦媜] 月租金 (行號: 70)</v>
      </c>
      <c r="C2220" t="str">
        <f>IFERROR(__xludf.DUMMYFUNCTION("""COMPUTED_VALUE"""),"收入 - 租金")</f>
        <v>收入 - 租金</v>
      </c>
      <c r="D2220" s="270">
        <f>IFERROR(__xludf.DUMMYFUNCTION("""COMPUTED_VALUE"""),14500.0)</f>
        <v>14500</v>
      </c>
      <c r="F2220" t="str">
        <f>IFERROR(__xludf.DUMMYFUNCTION("""COMPUTED_VALUE"""),"台銀籌備帳戶")</f>
        <v>台銀籌備帳戶</v>
      </c>
      <c r="G2220" t="str">
        <f>IFERROR(__xludf.DUMMYFUNCTION("""COMPUTED_VALUE"""),"中山北娘家旁")</f>
        <v>中山北娘家旁</v>
      </c>
      <c r="H2220" s="106" t="str">
        <f t="shared" si="1"/>
        <v>2025-07</v>
      </c>
      <c r="I2220" s="271" t="str">
        <f>IFERROR(__xludf.DUMMYFUNCTION("""COMPUTED_VALUE"""),"貓狗企鵝")</f>
        <v>貓狗企鵝</v>
      </c>
      <c r="J2220" t="str">
        <f>IFERROR(__xludf.DUMMYFUNCTION("IFS(
  AND(REGEXMATCH(E2220, ""台銀籌備帳戶|玉山帳戶""), REGEXMATCH(C2220, ""薪資"")), ""分潤支出"",
  AND(REGEXMATCH(E2220, ""Ben帳戶|Elsa帳戶|Ben代墊|Ariel代墊|中信銀行共用""), REGEXMATCH(F2220, ""Ben帳戶|Elsa帳戶|Ben代墊|Ariel代墊|中信銀行共用"")), ""內部轉帳(忽略)"",
  AND(E2220&lt;&gt;"""", F2220&lt;&gt;"""", N"&amp;"OT(REGEXMATCH(C2220, ""薪資""))), ""內部轉帳(忽略)"",
  REGEXMATCH(C2220, ""薪資""), ""薪資變動(不計入)"",
  REGEXMATCH(C2220, ""押金""), ""押金往來"",
  AND(E2220&lt;&gt;"""", F2220=""""), ""真實支出"",
  AND(E2220="""", F2220&lt;&gt;""""), ""真實收入"",
  TRUE, ""其他""
)"),"真實收入")</f>
        <v>真實收入</v>
      </c>
      <c r="K2220" s="270">
        <f t="shared" si="2"/>
        <v>14500</v>
      </c>
      <c r="L2220">
        <f t="shared" si="3"/>
        <v>0</v>
      </c>
    </row>
    <row r="2221">
      <c r="A2221" s="107">
        <f>IFERROR(__xludf.DUMMYFUNCTION("""COMPUTED_VALUE"""),45839.0)</f>
        <v>45839</v>
      </c>
      <c r="B2221" t="str">
        <f>IFERROR(__xludf.DUMMYFUNCTION("""COMPUTED_VALUE""")," [北醫醫師府] C [余典蓉] 合約 CR00044 (行號: 71)")</f>
        <v> [北醫醫師府] C [余典蓉] 合約 CR00044 (行號: 71)</v>
      </c>
      <c r="C2221" t="str">
        <f>IFERROR(__xludf.DUMMYFUNCTION("""COMPUTED_VALUE"""),"收入 - 租金")</f>
        <v>收入 - 租金</v>
      </c>
      <c r="D2221" s="270">
        <f>IFERROR(__xludf.DUMMYFUNCTION("""COMPUTED_VALUE"""),4613.0)</f>
        <v>4613</v>
      </c>
      <c r="F2221" t="str">
        <f>IFERROR(__xludf.DUMMYFUNCTION("""COMPUTED_VALUE"""),"台銀籌備帳戶")</f>
        <v>台銀籌備帳戶</v>
      </c>
      <c r="G2221" t="str">
        <f>IFERROR(__xludf.DUMMYFUNCTION("""COMPUTED_VALUE"""),"北醫醫師府")</f>
        <v>北醫醫師府</v>
      </c>
      <c r="H2221" s="106" t="str">
        <f t="shared" si="1"/>
        <v>2025-07</v>
      </c>
      <c r="I2221" s="271" t="str">
        <f>IFERROR(__xludf.DUMMYFUNCTION("""COMPUTED_VALUE"""),"貓狗企鵝")</f>
        <v>貓狗企鵝</v>
      </c>
      <c r="J2221" t="str">
        <f>IFERROR(__xludf.DUMMYFUNCTION("IFS(
  AND(REGEXMATCH(E2221, ""台銀籌備帳戶|玉山帳戶""), REGEXMATCH(C2221, ""薪資"")), ""分潤支出"",
  AND(REGEXMATCH(E2221, ""Ben帳戶|Elsa帳戶|Ben代墊|Ariel代墊|中信銀行共用""), REGEXMATCH(F2221, ""Ben帳戶|Elsa帳戶|Ben代墊|Ariel代墊|中信銀行共用"")), ""內部轉帳(忽略)"",
  AND(E2221&lt;&gt;"""", F2221&lt;&gt;"""", N"&amp;"OT(REGEXMATCH(C2221, ""薪資""))), ""內部轉帳(忽略)"",
  REGEXMATCH(C2221, ""薪資""), ""薪資變動(不計入)"",
  REGEXMATCH(C2221, ""押金""), ""押金往來"",
  AND(E2221&lt;&gt;"""", F2221=""""), ""真實支出"",
  AND(E2221="""", F2221&lt;&gt;""""), ""真實收入"",
  TRUE, ""其他""
)"),"真實收入")</f>
        <v>真實收入</v>
      </c>
      <c r="K2221" s="270">
        <f t="shared" si="2"/>
        <v>4613</v>
      </c>
      <c r="L2221">
        <f t="shared" si="3"/>
        <v>0</v>
      </c>
    </row>
    <row r="2222">
      <c r="A2222" s="107">
        <f>IFERROR(__xludf.DUMMYFUNCTION("""COMPUTED_VALUE"""),45839.0)</f>
        <v>45839</v>
      </c>
      <c r="B2222" t="str">
        <f>IFERROR(__xludf.DUMMYFUNCTION("""COMPUTED_VALUE"""),"[大湖山莊] D [陳昭瑄] 月租金 (行號: 72)")</f>
        <v>[大湖山莊] D [陳昭瑄] 月租金 (行號: 72)</v>
      </c>
      <c r="C2222" t="str">
        <f>IFERROR(__xludf.DUMMYFUNCTION("""COMPUTED_VALUE"""),"收入 - 租金")</f>
        <v>收入 - 租金</v>
      </c>
      <c r="D2222" s="270">
        <f>IFERROR(__xludf.DUMMYFUNCTION("""COMPUTED_VALUE"""),14300.0)</f>
        <v>14300</v>
      </c>
      <c r="F2222" t="str">
        <f>IFERROR(__xludf.DUMMYFUNCTION("""COMPUTED_VALUE"""),"台銀籌備帳戶")</f>
        <v>台銀籌備帳戶</v>
      </c>
      <c r="G2222" t="str">
        <f>IFERROR(__xludf.DUMMYFUNCTION("""COMPUTED_VALUE"""),"大湖山莊")</f>
        <v>大湖山莊</v>
      </c>
      <c r="H2222" s="106" t="str">
        <f t="shared" si="1"/>
        <v>2025-07</v>
      </c>
      <c r="I2222" s="271" t="str">
        <f>IFERROR(__xludf.DUMMYFUNCTION("""COMPUTED_VALUE"""),"貓狗企鵝")</f>
        <v>貓狗企鵝</v>
      </c>
      <c r="J2222" t="str">
        <f>IFERROR(__xludf.DUMMYFUNCTION("IFS(
  AND(REGEXMATCH(E2222, ""台銀籌備帳戶|玉山帳戶""), REGEXMATCH(C2222, ""薪資"")), ""分潤支出"",
  AND(REGEXMATCH(E2222, ""Ben帳戶|Elsa帳戶|Ben代墊|Ariel代墊|中信銀行共用""), REGEXMATCH(F2222, ""Ben帳戶|Elsa帳戶|Ben代墊|Ariel代墊|中信銀行共用"")), ""內部轉帳(忽略)"",
  AND(E2222&lt;&gt;"""", F2222&lt;&gt;"""", N"&amp;"OT(REGEXMATCH(C2222, ""薪資""))), ""內部轉帳(忽略)"",
  REGEXMATCH(C2222, ""薪資""), ""薪資變動(不計入)"",
  REGEXMATCH(C2222, ""押金""), ""押金往來"",
  AND(E2222&lt;&gt;"""", F2222=""""), ""真實支出"",
  AND(E2222="""", F2222&lt;&gt;""""), ""真實收入"",
  TRUE, ""其他""
)"),"真實收入")</f>
        <v>真實收入</v>
      </c>
      <c r="K2222" s="270">
        <f t="shared" si="2"/>
        <v>14300</v>
      </c>
      <c r="L2222">
        <f t="shared" si="3"/>
        <v>0</v>
      </c>
    </row>
    <row r="2223">
      <c r="A2223" s="107">
        <f>IFERROR(__xludf.DUMMYFUNCTION("""COMPUTED_VALUE"""),45839.0)</f>
        <v>45839</v>
      </c>
      <c r="B2223" t="str">
        <f>IFERROR(__xludf.DUMMYFUNCTION("""COMPUTED_VALUE"""),"[中山北Feli家] B [杜思瑀, 陳廷瀀] 月租金 (行號: 73, 92)")</f>
        <v>[中山北Feli家] B [杜思瑀, 陳廷瀀] 月租金 (行號: 73, 92)</v>
      </c>
      <c r="C2223" t="str">
        <f>IFERROR(__xludf.DUMMYFUNCTION("""COMPUTED_VALUE"""),"收入 - 租金")</f>
        <v>收入 - 租金</v>
      </c>
      <c r="D2223" s="270">
        <f>IFERROR(__xludf.DUMMYFUNCTION("""COMPUTED_VALUE"""),17500.0)</f>
        <v>17500</v>
      </c>
      <c r="F2223" t="str">
        <f>IFERROR(__xludf.DUMMYFUNCTION("""COMPUTED_VALUE"""),"台銀籌備帳戶")</f>
        <v>台銀籌備帳戶</v>
      </c>
      <c r="G2223" t="str">
        <f>IFERROR(__xludf.DUMMYFUNCTION("""COMPUTED_VALUE"""),"中山北Feli家")</f>
        <v>中山北Feli家</v>
      </c>
      <c r="H2223" s="106" t="str">
        <f t="shared" si="1"/>
        <v>2025-07</v>
      </c>
      <c r="I2223" s="271" t="str">
        <f>IFERROR(__xludf.DUMMYFUNCTION("""COMPUTED_VALUE"""),"貓狗企鵝")</f>
        <v>貓狗企鵝</v>
      </c>
      <c r="J2223" t="str">
        <f>IFERROR(__xludf.DUMMYFUNCTION("IFS(
  AND(REGEXMATCH(E2223, ""台銀籌備帳戶|玉山帳戶""), REGEXMATCH(C2223, ""薪資"")), ""分潤支出"",
  AND(REGEXMATCH(E2223, ""Ben帳戶|Elsa帳戶|Ben代墊|Ariel代墊|中信銀行共用""), REGEXMATCH(F2223, ""Ben帳戶|Elsa帳戶|Ben代墊|Ariel代墊|中信銀行共用"")), ""內部轉帳(忽略)"",
  AND(E2223&lt;&gt;"""", F2223&lt;&gt;"""", N"&amp;"OT(REGEXMATCH(C2223, ""薪資""))), ""內部轉帳(忽略)"",
  REGEXMATCH(C2223, ""薪資""), ""薪資變動(不計入)"",
  REGEXMATCH(C2223, ""押金""), ""押金往來"",
  AND(E2223&lt;&gt;"""", F2223=""""), ""真實支出"",
  AND(E2223="""", F2223&lt;&gt;""""), ""真實收入"",
  TRUE, ""其他""
)"),"真實收入")</f>
        <v>真實收入</v>
      </c>
      <c r="K2223" s="270">
        <f t="shared" si="2"/>
        <v>17500</v>
      </c>
      <c r="L2223">
        <f t="shared" si="3"/>
        <v>0</v>
      </c>
    </row>
    <row r="2224">
      <c r="A2224" s="107">
        <f>IFERROR(__xludf.DUMMYFUNCTION("""COMPUTED_VALUE"""),45839.0)</f>
        <v>45839</v>
      </c>
      <c r="B2224" t="str">
        <f>IFERROR(__xludf.DUMMYFUNCTION("""COMPUTED_VALUE"""),"[中山北娘家旁] B [李彥靜] 月租金 (行號: 76)")</f>
        <v>[中山北娘家旁] B [李彥靜] 月租金 (行號: 76)</v>
      </c>
      <c r="C2224" t="str">
        <f>IFERROR(__xludf.DUMMYFUNCTION("""COMPUTED_VALUE"""),"收入 - 租金")</f>
        <v>收入 - 租金</v>
      </c>
      <c r="D2224" s="270">
        <f>IFERROR(__xludf.DUMMYFUNCTION("""COMPUTED_VALUE"""),12500.0)</f>
        <v>12500</v>
      </c>
      <c r="F2224" t="str">
        <f>IFERROR(__xludf.DUMMYFUNCTION("""COMPUTED_VALUE"""),"台銀籌備帳戶")</f>
        <v>台銀籌備帳戶</v>
      </c>
      <c r="G2224" t="str">
        <f>IFERROR(__xludf.DUMMYFUNCTION("""COMPUTED_VALUE"""),"中山北娘家旁")</f>
        <v>中山北娘家旁</v>
      </c>
      <c r="H2224" s="106" t="str">
        <f t="shared" si="1"/>
        <v>2025-07</v>
      </c>
      <c r="I2224" s="271" t="str">
        <f>IFERROR(__xludf.DUMMYFUNCTION("""COMPUTED_VALUE"""),"貓狗企鵝")</f>
        <v>貓狗企鵝</v>
      </c>
      <c r="J2224" t="str">
        <f>IFERROR(__xludf.DUMMYFUNCTION("IFS(
  AND(REGEXMATCH(E2224, ""台銀籌備帳戶|玉山帳戶""), REGEXMATCH(C2224, ""薪資"")), ""分潤支出"",
  AND(REGEXMATCH(E2224, ""Ben帳戶|Elsa帳戶|Ben代墊|Ariel代墊|中信銀行共用""), REGEXMATCH(F2224, ""Ben帳戶|Elsa帳戶|Ben代墊|Ariel代墊|中信銀行共用"")), ""內部轉帳(忽略)"",
  AND(E2224&lt;&gt;"""", F2224&lt;&gt;"""", N"&amp;"OT(REGEXMATCH(C2224, ""薪資""))), ""內部轉帳(忽略)"",
  REGEXMATCH(C2224, ""薪資""), ""薪資變動(不計入)"",
  REGEXMATCH(C2224, ""押金""), ""押金往來"",
  AND(E2224&lt;&gt;"""", F2224=""""), ""真實支出"",
  AND(E2224="""", F2224&lt;&gt;""""), ""真實收入"",
  TRUE, ""其他""
)"),"真實收入")</f>
        <v>真實收入</v>
      </c>
      <c r="K2224" s="270">
        <f t="shared" si="2"/>
        <v>12500</v>
      </c>
      <c r="L2224">
        <f t="shared" si="3"/>
        <v>0</v>
      </c>
    </row>
    <row r="2225">
      <c r="A2225" s="107">
        <f>IFERROR(__xludf.DUMMYFUNCTION("""COMPUTED_VALUE"""),45839.0)</f>
        <v>45839</v>
      </c>
      <c r="B2225" t="str">
        <f>IFERROR(__xludf.DUMMYFUNCTION("""COMPUTED_VALUE"""),"[永春四號] B [袁家鳳] 月租金 (行號: 85)")</f>
        <v>[永春四號] B [袁家鳳] 月租金 (行號: 85)</v>
      </c>
      <c r="C2225" t="str">
        <f>IFERROR(__xludf.DUMMYFUNCTION("""COMPUTED_VALUE"""),"收入 - 租金")</f>
        <v>收入 - 租金</v>
      </c>
      <c r="D2225" s="270">
        <f>IFERROR(__xludf.DUMMYFUNCTION("""COMPUTED_VALUE"""),13500.0)</f>
        <v>13500</v>
      </c>
      <c r="F2225" t="str">
        <f>IFERROR(__xludf.DUMMYFUNCTION("""COMPUTED_VALUE"""),"台銀籌備帳戶")</f>
        <v>台銀籌備帳戶</v>
      </c>
      <c r="G2225" t="str">
        <f>IFERROR(__xludf.DUMMYFUNCTION("""COMPUTED_VALUE"""),"永春四號")</f>
        <v>永春四號</v>
      </c>
      <c r="H2225" s="106" t="str">
        <f t="shared" si="1"/>
        <v>2025-07</v>
      </c>
      <c r="I2225" s="271" t="str">
        <f>IFERROR(__xludf.DUMMYFUNCTION("""COMPUTED_VALUE"""),"貓狗企鵝")</f>
        <v>貓狗企鵝</v>
      </c>
      <c r="J2225" t="str">
        <f>IFERROR(__xludf.DUMMYFUNCTION("IFS(
  AND(REGEXMATCH(E2225, ""台銀籌備帳戶|玉山帳戶""), REGEXMATCH(C2225, ""薪資"")), ""分潤支出"",
  AND(REGEXMATCH(E2225, ""Ben帳戶|Elsa帳戶|Ben代墊|Ariel代墊|中信銀行共用""), REGEXMATCH(F2225, ""Ben帳戶|Elsa帳戶|Ben代墊|Ariel代墊|中信銀行共用"")), ""內部轉帳(忽略)"",
  AND(E2225&lt;&gt;"""", F2225&lt;&gt;"""", N"&amp;"OT(REGEXMATCH(C2225, ""薪資""))), ""內部轉帳(忽略)"",
  REGEXMATCH(C2225, ""薪資""), ""薪資變動(不計入)"",
  REGEXMATCH(C2225, ""押金""), ""押金往來"",
  AND(E2225&lt;&gt;"""", F2225=""""), ""真實支出"",
  AND(E2225="""", F2225&lt;&gt;""""), ""真實收入"",
  TRUE, ""其他""
)"),"真實收入")</f>
        <v>真實收入</v>
      </c>
      <c r="K2225" s="270">
        <f t="shared" si="2"/>
        <v>13500</v>
      </c>
      <c r="L2225">
        <f t="shared" si="3"/>
        <v>0</v>
      </c>
    </row>
    <row r="2226">
      <c r="A2226" s="107">
        <f>IFERROR(__xludf.DUMMYFUNCTION("""COMPUTED_VALUE"""),45839.0)</f>
        <v>45839</v>
      </c>
      <c r="B2226" t="str">
        <f>IFERROR(__xludf.DUMMYFUNCTION("""COMPUTED_VALUE""")," [龍江229] B [涂維妮] (行號: 86)")</f>
        <v> [龍江229] B [涂維妮] (行號: 86)</v>
      </c>
      <c r="C2226" t="str">
        <f>IFERROR(__xludf.DUMMYFUNCTION("""COMPUTED_VALUE"""),"收入 - 租金")</f>
        <v>收入 - 租金</v>
      </c>
      <c r="D2226" s="270">
        <f>IFERROR(__xludf.DUMMYFUNCTION("""COMPUTED_VALUE"""),13500.0)</f>
        <v>13500</v>
      </c>
      <c r="F2226" t="str">
        <f>IFERROR(__xludf.DUMMYFUNCTION("""COMPUTED_VALUE"""),"台銀籌備帳戶")</f>
        <v>台銀籌備帳戶</v>
      </c>
      <c r="G2226" t="str">
        <f>IFERROR(__xludf.DUMMYFUNCTION("""COMPUTED_VALUE"""),"龍江229")</f>
        <v>龍江229</v>
      </c>
      <c r="H2226" s="106" t="str">
        <f t="shared" si="1"/>
        <v>2025-07</v>
      </c>
      <c r="I2226" s="271" t="str">
        <f>IFERROR(__xludf.DUMMYFUNCTION("""COMPUTED_VALUE"""),"貓狗企鵝")</f>
        <v>貓狗企鵝</v>
      </c>
      <c r="J2226" t="str">
        <f>IFERROR(__xludf.DUMMYFUNCTION("IFS(
  AND(REGEXMATCH(E2226, ""台銀籌備帳戶|玉山帳戶""), REGEXMATCH(C2226, ""薪資"")), ""分潤支出"",
  AND(REGEXMATCH(E2226, ""Ben帳戶|Elsa帳戶|Ben代墊|Ariel代墊|中信銀行共用""), REGEXMATCH(F2226, ""Ben帳戶|Elsa帳戶|Ben代墊|Ariel代墊|中信銀行共用"")), ""內部轉帳(忽略)"",
  AND(E2226&lt;&gt;"""", F2226&lt;&gt;"""", N"&amp;"OT(REGEXMATCH(C2226, ""薪資""))), ""內部轉帳(忽略)"",
  REGEXMATCH(C2226, ""薪資""), ""薪資變動(不計入)"",
  REGEXMATCH(C2226, ""押金""), ""押金往來"",
  AND(E2226&lt;&gt;"""", F2226=""""), ""真實支出"",
  AND(E2226="""", F2226&lt;&gt;""""), ""真實收入"",
  TRUE, ""其他""
)"),"真實收入")</f>
        <v>真實收入</v>
      </c>
      <c r="K2226" s="270">
        <f t="shared" si="2"/>
        <v>13500</v>
      </c>
      <c r="L2226">
        <f t="shared" si="3"/>
        <v>0</v>
      </c>
    </row>
    <row r="2227">
      <c r="A2227" s="107">
        <f>IFERROR(__xludf.DUMMYFUNCTION("""COMPUTED_VALUE"""),45839.0)</f>
        <v>45839</v>
      </c>
      <c r="B2227" t="str">
        <f>IFERROR(__xludf.DUMMYFUNCTION("""COMPUTED_VALUE"""),"[景安2分鐘] A [蕭宇榛] 月租金 (行號: 88)")</f>
        <v>[景安2分鐘] A [蕭宇榛] 月租金 (行號: 88)</v>
      </c>
      <c r="C2227" t="str">
        <f>IFERROR(__xludf.DUMMYFUNCTION("""COMPUTED_VALUE"""),"收入 - 租金")</f>
        <v>收入 - 租金</v>
      </c>
      <c r="D2227" s="270">
        <f>IFERROR(__xludf.DUMMYFUNCTION("""COMPUTED_VALUE"""),14500.0)</f>
        <v>14500</v>
      </c>
      <c r="F2227" t="str">
        <f>IFERROR(__xludf.DUMMYFUNCTION("""COMPUTED_VALUE"""),"台銀籌備帳戶")</f>
        <v>台銀籌備帳戶</v>
      </c>
      <c r="G2227" t="str">
        <f>IFERROR(__xludf.DUMMYFUNCTION("""COMPUTED_VALUE"""),"景安2分鐘")</f>
        <v>景安2分鐘</v>
      </c>
      <c r="H2227" s="106" t="str">
        <f t="shared" si="1"/>
        <v>2025-07</v>
      </c>
      <c r="I2227" s="271" t="str">
        <f>IFERROR(__xludf.DUMMYFUNCTION("""COMPUTED_VALUE"""),"貓狗企鵝")</f>
        <v>貓狗企鵝</v>
      </c>
      <c r="J2227" t="str">
        <f>IFERROR(__xludf.DUMMYFUNCTION("IFS(
  AND(REGEXMATCH(E2227, ""台銀籌備帳戶|玉山帳戶""), REGEXMATCH(C2227, ""薪資"")), ""分潤支出"",
  AND(REGEXMATCH(E2227, ""Ben帳戶|Elsa帳戶|Ben代墊|Ariel代墊|中信銀行共用""), REGEXMATCH(F2227, ""Ben帳戶|Elsa帳戶|Ben代墊|Ariel代墊|中信銀行共用"")), ""內部轉帳(忽略)"",
  AND(E2227&lt;&gt;"""", F2227&lt;&gt;"""", N"&amp;"OT(REGEXMATCH(C2227, ""薪資""))), ""內部轉帳(忽略)"",
  REGEXMATCH(C2227, ""薪資""), ""薪資變動(不計入)"",
  REGEXMATCH(C2227, ""押金""), ""押金往來"",
  AND(E2227&lt;&gt;"""", F2227=""""), ""真實支出"",
  AND(E2227="""", F2227&lt;&gt;""""), ""真實收入"",
  TRUE, ""其他""
)"),"真實收入")</f>
        <v>真實收入</v>
      </c>
      <c r="K2227" s="270">
        <f t="shared" si="2"/>
        <v>14500</v>
      </c>
      <c r="L2227">
        <f t="shared" si="3"/>
        <v>0</v>
      </c>
    </row>
    <row r="2228">
      <c r="A2228" s="107">
        <f>IFERROR(__xludf.DUMMYFUNCTION("""COMPUTED_VALUE"""),45839.0)</f>
        <v>45839</v>
      </c>
      <c r="B2228" t="str">
        <f>IFERROR(__xludf.DUMMYFUNCTION("""COMPUTED_VALUE"""),"[北醫醫師府] B [王品涵] 月租金 (行號: 89)")</f>
        <v>[北醫醫師府] B [王品涵] 月租金 (行號: 89)</v>
      </c>
      <c r="C2228" t="str">
        <f>IFERROR(__xludf.DUMMYFUNCTION("""COMPUTED_VALUE"""),"收入 - 租金")</f>
        <v>收入 - 租金</v>
      </c>
      <c r="D2228" s="270">
        <f>IFERROR(__xludf.DUMMYFUNCTION("""COMPUTED_VALUE"""),17800.0)</f>
        <v>17800</v>
      </c>
      <c r="F2228" t="str">
        <f>IFERROR(__xludf.DUMMYFUNCTION("""COMPUTED_VALUE"""),"台銀籌備帳戶")</f>
        <v>台銀籌備帳戶</v>
      </c>
      <c r="G2228" t="str">
        <f>IFERROR(__xludf.DUMMYFUNCTION("""COMPUTED_VALUE"""),"北醫醫師府")</f>
        <v>北醫醫師府</v>
      </c>
      <c r="H2228" s="106" t="str">
        <f t="shared" si="1"/>
        <v>2025-07</v>
      </c>
      <c r="I2228" s="271" t="str">
        <f>IFERROR(__xludf.DUMMYFUNCTION("""COMPUTED_VALUE"""),"貓狗企鵝")</f>
        <v>貓狗企鵝</v>
      </c>
      <c r="J2228" t="str">
        <f>IFERROR(__xludf.DUMMYFUNCTION("IFS(
  AND(REGEXMATCH(E2228, ""台銀籌備帳戶|玉山帳戶""), REGEXMATCH(C2228, ""薪資"")), ""分潤支出"",
  AND(REGEXMATCH(E2228, ""Ben帳戶|Elsa帳戶|Ben代墊|Ariel代墊|中信銀行共用""), REGEXMATCH(F2228, ""Ben帳戶|Elsa帳戶|Ben代墊|Ariel代墊|中信銀行共用"")), ""內部轉帳(忽略)"",
  AND(E2228&lt;&gt;"""", F2228&lt;&gt;"""", N"&amp;"OT(REGEXMATCH(C2228, ""薪資""))), ""內部轉帳(忽略)"",
  REGEXMATCH(C2228, ""薪資""), ""薪資變動(不計入)"",
  REGEXMATCH(C2228, ""押金""), ""押金往來"",
  AND(E2228&lt;&gt;"""", F2228=""""), ""真實支出"",
  AND(E2228="""", F2228&lt;&gt;""""), ""真實收入"",
  TRUE, ""其他""
)"),"真實收入")</f>
        <v>真實收入</v>
      </c>
      <c r="K2228" s="270">
        <f t="shared" si="2"/>
        <v>17800</v>
      </c>
      <c r="L2228">
        <f t="shared" si="3"/>
        <v>0</v>
      </c>
    </row>
    <row r="2229">
      <c r="A2229" s="107">
        <f>IFERROR(__xludf.DUMMYFUNCTION("""COMPUTED_VALUE"""),45840.0)</f>
        <v>45840</v>
      </c>
      <c r="B2229" t="str">
        <f>IFERROR(__xludf.DUMMYFUNCTION("""COMPUTED_VALUE"""),"[中山北Feli家] E [王翊樺, 周定瑀] 合約 CR00088 (行號: 90)")</f>
        <v>[中山北Feli家] E [王翊樺, 周定瑀] 合約 CR00088 (行號: 90)</v>
      </c>
      <c r="C2229" t="str">
        <f>IFERROR(__xludf.DUMMYFUNCTION("""COMPUTED_VALUE"""),"收入 - 租金")</f>
        <v>收入 - 租金</v>
      </c>
      <c r="D2229" s="270">
        <f>IFERROR(__xludf.DUMMYFUNCTION("""COMPUTED_VALUE"""),29400.0)</f>
        <v>29400</v>
      </c>
      <c r="F2229" t="str">
        <f>IFERROR(__xludf.DUMMYFUNCTION("""COMPUTED_VALUE"""),"台銀籌備帳戶")</f>
        <v>台銀籌備帳戶</v>
      </c>
      <c r="G2229" t="str">
        <f>IFERROR(__xludf.DUMMYFUNCTION("""COMPUTED_VALUE"""),"中山北Feli家")</f>
        <v>中山北Feli家</v>
      </c>
      <c r="H2229" s="106" t="str">
        <f t="shared" si="1"/>
        <v>2025-07</v>
      </c>
      <c r="I2229" s="271" t="str">
        <f>IFERROR(__xludf.DUMMYFUNCTION("""COMPUTED_VALUE"""),"貓狗企鵝")</f>
        <v>貓狗企鵝</v>
      </c>
      <c r="J2229" t="str">
        <f>IFERROR(__xludf.DUMMYFUNCTION("IFS(
  AND(REGEXMATCH(E2229, ""台銀籌備帳戶|玉山帳戶""), REGEXMATCH(C2229, ""薪資"")), ""分潤支出"",
  AND(REGEXMATCH(E2229, ""Ben帳戶|Elsa帳戶|Ben代墊|Ariel代墊|中信銀行共用""), REGEXMATCH(F2229, ""Ben帳戶|Elsa帳戶|Ben代墊|Ariel代墊|中信銀行共用"")), ""內部轉帳(忽略)"",
  AND(E2229&lt;&gt;"""", F2229&lt;&gt;"""", N"&amp;"OT(REGEXMATCH(C2229, ""薪資""))), ""內部轉帳(忽略)"",
  REGEXMATCH(C2229, ""薪資""), ""薪資變動(不計入)"",
  REGEXMATCH(C2229, ""押金""), ""押金往來"",
  AND(E2229&lt;&gt;"""", F2229=""""), ""真實支出"",
  AND(E2229="""", F2229&lt;&gt;""""), ""真實收入"",
  TRUE, ""其他""
)"),"真實收入")</f>
        <v>真實收入</v>
      </c>
      <c r="K2229" s="270">
        <f t="shared" si="2"/>
        <v>29400</v>
      </c>
      <c r="L2229">
        <f t="shared" si="3"/>
        <v>0</v>
      </c>
    </row>
    <row r="2230">
      <c r="A2230" s="107">
        <f>IFERROR(__xludf.DUMMYFUNCTION("""COMPUTED_VALUE"""),45840.0)</f>
        <v>45840</v>
      </c>
      <c r="B2230" t="str">
        <f>IFERROR(__xludf.DUMMYFUNCTION("""COMPUTED_VALUE"""),"[南港站挑高宅] A [莊以棋] 月租金 (行號: 91)")</f>
        <v>[南港站挑高宅] A [莊以棋] 月租金 (行號: 91)</v>
      </c>
      <c r="C2230" t="str">
        <f>IFERROR(__xludf.DUMMYFUNCTION("""COMPUTED_VALUE"""),"收入 - 租金")</f>
        <v>收入 - 租金</v>
      </c>
      <c r="D2230" s="270">
        <f>IFERROR(__xludf.DUMMYFUNCTION("""COMPUTED_VALUE"""),13000.0)</f>
        <v>13000</v>
      </c>
      <c r="F2230" t="str">
        <f>IFERROR(__xludf.DUMMYFUNCTION("""COMPUTED_VALUE"""),"台銀籌備帳戶")</f>
        <v>台銀籌備帳戶</v>
      </c>
      <c r="G2230" t="str">
        <f>IFERROR(__xludf.DUMMYFUNCTION("""COMPUTED_VALUE"""),"南港站挑高宅")</f>
        <v>南港站挑高宅</v>
      </c>
      <c r="H2230" s="106" t="str">
        <f t="shared" si="1"/>
        <v>2025-07</v>
      </c>
      <c r="I2230" s="271" t="str">
        <f>IFERROR(__xludf.DUMMYFUNCTION("""COMPUTED_VALUE"""),"貓狗企鵝")</f>
        <v>貓狗企鵝</v>
      </c>
      <c r="J2230" t="str">
        <f>IFERROR(__xludf.DUMMYFUNCTION("IFS(
  AND(REGEXMATCH(E2230, ""台銀籌備帳戶|玉山帳戶""), REGEXMATCH(C2230, ""薪資"")), ""分潤支出"",
  AND(REGEXMATCH(E2230, ""Ben帳戶|Elsa帳戶|Ben代墊|Ariel代墊|中信銀行共用""), REGEXMATCH(F2230, ""Ben帳戶|Elsa帳戶|Ben代墊|Ariel代墊|中信銀行共用"")), ""內部轉帳(忽略)"",
  AND(E2230&lt;&gt;"""", F2230&lt;&gt;"""", N"&amp;"OT(REGEXMATCH(C2230, ""薪資""))), ""內部轉帳(忽略)"",
  REGEXMATCH(C2230, ""薪資""), ""薪資變動(不計入)"",
  REGEXMATCH(C2230, ""押金""), ""押金往來"",
  AND(E2230&lt;&gt;"""", F2230=""""), ""真實支出"",
  AND(E2230="""", F2230&lt;&gt;""""), ""真實收入"",
  TRUE, ""其他""
)"),"真實收入")</f>
        <v>真實收入</v>
      </c>
      <c r="K2230" s="270">
        <f t="shared" si="2"/>
        <v>13000</v>
      </c>
      <c r="L2230">
        <f t="shared" si="3"/>
        <v>0</v>
      </c>
    </row>
    <row r="2231">
      <c r="A2231" s="107">
        <f>IFERROR(__xludf.DUMMYFUNCTION("""COMPUTED_VALUE"""),45840.0)</f>
        <v>45840</v>
      </c>
      <c r="B2231" t="str">
        <f>IFERROR(__xludf.DUMMYFUNCTION("""COMPUTED_VALUE"""),"[市府爺爺家] A [董書鵬, 張瑋珊] 月租金 (行號: 93)")</f>
        <v>[市府爺爺家] A [董書鵬, 張瑋珊] 月租金 (行號: 93)</v>
      </c>
      <c r="C2231" t="str">
        <f>IFERROR(__xludf.DUMMYFUNCTION("""COMPUTED_VALUE"""),"收入 - 租金")</f>
        <v>收入 - 租金</v>
      </c>
      <c r="D2231" s="270">
        <f>IFERROR(__xludf.DUMMYFUNCTION("""COMPUTED_VALUE"""),22000.0)</f>
        <v>22000</v>
      </c>
      <c r="F2231" t="str">
        <f>IFERROR(__xludf.DUMMYFUNCTION("""COMPUTED_VALUE"""),"台銀籌備帳戶")</f>
        <v>台銀籌備帳戶</v>
      </c>
      <c r="G2231" t="str">
        <f>IFERROR(__xludf.DUMMYFUNCTION("""COMPUTED_VALUE"""),"市府爺爺家")</f>
        <v>市府爺爺家</v>
      </c>
      <c r="H2231" s="106" t="str">
        <f t="shared" si="1"/>
        <v>2025-07</v>
      </c>
      <c r="I2231" s="271" t="str">
        <f>IFERROR(__xludf.DUMMYFUNCTION("""COMPUTED_VALUE"""),"貓狗企鵝")</f>
        <v>貓狗企鵝</v>
      </c>
      <c r="J2231" t="str">
        <f>IFERROR(__xludf.DUMMYFUNCTION("IFS(
  AND(REGEXMATCH(E2231, ""台銀籌備帳戶|玉山帳戶""), REGEXMATCH(C2231, ""薪資"")), ""分潤支出"",
  AND(REGEXMATCH(E2231, ""Ben帳戶|Elsa帳戶|Ben代墊|Ariel代墊|中信銀行共用""), REGEXMATCH(F2231, ""Ben帳戶|Elsa帳戶|Ben代墊|Ariel代墊|中信銀行共用"")), ""內部轉帳(忽略)"",
  AND(E2231&lt;&gt;"""", F2231&lt;&gt;"""", N"&amp;"OT(REGEXMATCH(C2231, ""薪資""))), ""內部轉帳(忽略)"",
  REGEXMATCH(C2231, ""薪資""), ""薪資變動(不計入)"",
  REGEXMATCH(C2231, ""押金""), ""押金往來"",
  AND(E2231&lt;&gt;"""", F2231=""""), ""真實支出"",
  AND(E2231="""", F2231&lt;&gt;""""), ""真實收入"",
  TRUE, ""其他""
)"),"真實收入")</f>
        <v>真實收入</v>
      </c>
      <c r="K2231" s="270">
        <f t="shared" si="2"/>
        <v>22000</v>
      </c>
      <c r="L2231">
        <f t="shared" si="3"/>
        <v>0</v>
      </c>
    </row>
    <row r="2232">
      <c r="A2232" s="107">
        <f>IFERROR(__xludf.DUMMYFUNCTION("""COMPUTED_VALUE"""),45840.0)</f>
        <v>45840</v>
      </c>
      <c r="B2232" t="str">
        <f>IFERROR(__xludf.DUMMYFUNCTION("""COMPUTED_VALUE"""),"[龍江229] D [黃依婷] 月租金 (行號: 94)")</f>
        <v>[龍江229] D [黃依婷] 月租金 (行號: 94)</v>
      </c>
      <c r="C2232" t="str">
        <f>IFERROR(__xludf.DUMMYFUNCTION("""COMPUTED_VALUE"""),"收入 - 租金")</f>
        <v>收入 - 租金</v>
      </c>
      <c r="D2232" s="270">
        <f>IFERROR(__xludf.DUMMYFUNCTION("""COMPUTED_VALUE"""),13300.0)</f>
        <v>13300</v>
      </c>
      <c r="F2232" t="str">
        <f>IFERROR(__xludf.DUMMYFUNCTION("""COMPUTED_VALUE"""),"台銀籌備帳戶")</f>
        <v>台銀籌備帳戶</v>
      </c>
      <c r="G2232" t="str">
        <f>IFERROR(__xludf.DUMMYFUNCTION("""COMPUTED_VALUE"""),"龍江229")</f>
        <v>龍江229</v>
      </c>
      <c r="H2232" s="106" t="str">
        <f t="shared" si="1"/>
        <v>2025-07</v>
      </c>
      <c r="I2232" s="271" t="str">
        <f>IFERROR(__xludf.DUMMYFUNCTION("""COMPUTED_VALUE"""),"貓狗企鵝")</f>
        <v>貓狗企鵝</v>
      </c>
      <c r="J2232" t="str">
        <f>IFERROR(__xludf.DUMMYFUNCTION("IFS(
  AND(REGEXMATCH(E2232, ""台銀籌備帳戶|玉山帳戶""), REGEXMATCH(C2232, ""薪資"")), ""分潤支出"",
  AND(REGEXMATCH(E2232, ""Ben帳戶|Elsa帳戶|Ben代墊|Ariel代墊|中信銀行共用""), REGEXMATCH(F2232, ""Ben帳戶|Elsa帳戶|Ben代墊|Ariel代墊|中信銀行共用"")), ""內部轉帳(忽略)"",
  AND(E2232&lt;&gt;"""", F2232&lt;&gt;"""", N"&amp;"OT(REGEXMATCH(C2232, ""薪資""))), ""內部轉帳(忽略)"",
  REGEXMATCH(C2232, ""薪資""), ""薪資變動(不計入)"",
  REGEXMATCH(C2232, ""押金""), ""押金往來"",
  AND(E2232&lt;&gt;"""", F2232=""""), ""真實支出"",
  AND(E2232="""", F2232&lt;&gt;""""), ""真實收入"",
  TRUE, ""其他""
)"),"真實收入")</f>
        <v>真實收入</v>
      </c>
      <c r="K2232" s="270">
        <f t="shared" si="2"/>
        <v>13300</v>
      </c>
      <c r="L2232">
        <f t="shared" si="3"/>
        <v>0</v>
      </c>
    </row>
    <row r="2233">
      <c r="A2233" s="107">
        <f>IFERROR(__xludf.DUMMYFUNCTION("""COMPUTED_VALUE"""),45840.0)</f>
        <v>45840</v>
      </c>
      <c r="B2233" t="str">
        <f>IFERROR(__xludf.DUMMYFUNCTION("""COMPUTED_VALUE"""),"[龍江229] A [許霈琪] 月租金 (行號: 95)")</f>
        <v>[龍江229] A [許霈琪] 月租金 (行號: 95)</v>
      </c>
      <c r="C2233" t="str">
        <f>IFERROR(__xludf.DUMMYFUNCTION("""COMPUTED_VALUE"""),"收入 - 租金")</f>
        <v>收入 - 租金</v>
      </c>
      <c r="D2233" s="270">
        <f>IFERROR(__xludf.DUMMYFUNCTION("""COMPUTED_VALUE"""),13000.0)</f>
        <v>13000</v>
      </c>
      <c r="F2233" t="str">
        <f>IFERROR(__xludf.DUMMYFUNCTION("""COMPUTED_VALUE"""),"台銀籌備帳戶")</f>
        <v>台銀籌備帳戶</v>
      </c>
      <c r="G2233" t="str">
        <f>IFERROR(__xludf.DUMMYFUNCTION("""COMPUTED_VALUE"""),"龍江229")</f>
        <v>龍江229</v>
      </c>
      <c r="H2233" s="106" t="str">
        <f t="shared" si="1"/>
        <v>2025-07</v>
      </c>
      <c r="I2233" s="271" t="str">
        <f>IFERROR(__xludf.DUMMYFUNCTION("""COMPUTED_VALUE"""),"貓狗企鵝")</f>
        <v>貓狗企鵝</v>
      </c>
      <c r="J2233" t="str">
        <f>IFERROR(__xludf.DUMMYFUNCTION("IFS(
  AND(REGEXMATCH(E2233, ""台銀籌備帳戶|玉山帳戶""), REGEXMATCH(C2233, ""薪資"")), ""分潤支出"",
  AND(REGEXMATCH(E2233, ""Ben帳戶|Elsa帳戶|Ben代墊|Ariel代墊|中信銀行共用""), REGEXMATCH(F2233, ""Ben帳戶|Elsa帳戶|Ben代墊|Ariel代墊|中信銀行共用"")), ""內部轉帳(忽略)"",
  AND(E2233&lt;&gt;"""", F2233&lt;&gt;"""", N"&amp;"OT(REGEXMATCH(C2233, ""薪資""))), ""內部轉帳(忽略)"",
  REGEXMATCH(C2233, ""薪資""), ""薪資變動(不計入)"",
  REGEXMATCH(C2233, ""押金""), ""押金往來"",
  AND(E2233&lt;&gt;"""", F2233=""""), ""真實支出"",
  AND(E2233="""", F2233&lt;&gt;""""), ""真實收入"",
  TRUE, ""其他""
)"),"真實收入")</f>
        <v>真實收入</v>
      </c>
      <c r="K2233" s="270">
        <f t="shared" si="2"/>
        <v>13000</v>
      </c>
      <c r="L2233">
        <f t="shared" si="3"/>
        <v>0</v>
      </c>
    </row>
    <row r="2234">
      <c r="A2234" s="107">
        <f>IFERROR(__xludf.DUMMYFUNCTION("""COMPUTED_VALUE"""),45840.0)</f>
        <v>45840</v>
      </c>
      <c r="B2234" t="str">
        <f>IFERROR(__xludf.DUMMYFUNCTION("""COMPUTED_VALUE"""),"[中山北Feli家] A [蔡亦翔] 月租金 (行號: 96)")</f>
        <v>[中山北Feli家] A [蔡亦翔] 月租金 (行號: 96)</v>
      </c>
      <c r="C2234" t="str">
        <f>IFERROR(__xludf.DUMMYFUNCTION("""COMPUTED_VALUE"""),"收入 - 租金")</f>
        <v>收入 - 租金</v>
      </c>
      <c r="D2234" s="270">
        <f>IFERROR(__xludf.DUMMYFUNCTION("""COMPUTED_VALUE"""),13200.0)</f>
        <v>13200</v>
      </c>
      <c r="F2234" t="str">
        <f>IFERROR(__xludf.DUMMYFUNCTION("""COMPUTED_VALUE"""),"台銀籌備帳戶")</f>
        <v>台銀籌備帳戶</v>
      </c>
      <c r="G2234" t="str">
        <f>IFERROR(__xludf.DUMMYFUNCTION("""COMPUTED_VALUE"""),"中山北Feli家")</f>
        <v>中山北Feli家</v>
      </c>
      <c r="H2234" s="106" t="str">
        <f t="shared" si="1"/>
        <v>2025-07</v>
      </c>
      <c r="I2234" s="271" t="str">
        <f>IFERROR(__xludf.DUMMYFUNCTION("""COMPUTED_VALUE"""),"貓狗企鵝")</f>
        <v>貓狗企鵝</v>
      </c>
      <c r="J2234" t="str">
        <f>IFERROR(__xludf.DUMMYFUNCTION("IFS(
  AND(REGEXMATCH(E2234, ""台銀籌備帳戶|玉山帳戶""), REGEXMATCH(C2234, ""薪資"")), ""分潤支出"",
  AND(REGEXMATCH(E2234, ""Ben帳戶|Elsa帳戶|Ben代墊|Ariel代墊|中信銀行共用""), REGEXMATCH(F2234, ""Ben帳戶|Elsa帳戶|Ben代墊|Ariel代墊|中信銀行共用"")), ""內部轉帳(忽略)"",
  AND(E2234&lt;&gt;"""", F2234&lt;&gt;"""", N"&amp;"OT(REGEXMATCH(C2234, ""薪資""))), ""內部轉帳(忽略)"",
  REGEXMATCH(C2234, ""薪資""), ""薪資變動(不計入)"",
  REGEXMATCH(C2234, ""押金""), ""押金往來"",
  AND(E2234&lt;&gt;"""", F2234=""""), ""真實支出"",
  AND(E2234="""", F2234&lt;&gt;""""), ""真實收入"",
  TRUE, ""其他""
)"),"真實收入")</f>
        <v>真實收入</v>
      </c>
      <c r="K2234" s="270">
        <f t="shared" si="2"/>
        <v>13200</v>
      </c>
      <c r="L2234">
        <f t="shared" si="3"/>
        <v>0</v>
      </c>
    </row>
    <row r="2235">
      <c r="A2235" s="107">
        <f>IFERROR(__xludf.DUMMYFUNCTION("""COMPUTED_VALUE"""),45840.0)</f>
        <v>45840</v>
      </c>
      <c r="B2235" t="str">
        <f>IFERROR(__xludf.DUMMYFUNCTION("""COMPUTED_VALUE"""),"[南港站挑高宅] E [張劉明翔] 月租金 (行號: 97)")</f>
        <v>[南港站挑高宅] E [張劉明翔] 月租金 (行號: 97)</v>
      </c>
      <c r="C2235" t="str">
        <f>IFERROR(__xludf.DUMMYFUNCTION("""COMPUTED_VALUE"""),"收入 - 租金")</f>
        <v>收入 - 租金</v>
      </c>
      <c r="D2235" s="270">
        <f>IFERROR(__xludf.DUMMYFUNCTION("""COMPUTED_VALUE"""),12800.0)</f>
        <v>12800</v>
      </c>
      <c r="F2235" t="str">
        <f>IFERROR(__xludf.DUMMYFUNCTION("""COMPUTED_VALUE"""),"台銀籌備帳戶")</f>
        <v>台銀籌備帳戶</v>
      </c>
      <c r="G2235" t="str">
        <f>IFERROR(__xludf.DUMMYFUNCTION("""COMPUTED_VALUE"""),"南港站挑高宅")</f>
        <v>南港站挑高宅</v>
      </c>
      <c r="H2235" s="106" t="str">
        <f t="shared" si="1"/>
        <v>2025-07</v>
      </c>
      <c r="I2235" s="271" t="str">
        <f>IFERROR(__xludf.DUMMYFUNCTION("""COMPUTED_VALUE"""),"貓狗企鵝")</f>
        <v>貓狗企鵝</v>
      </c>
      <c r="J2235" t="str">
        <f>IFERROR(__xludf.DUMMYFUNCTION("IFS(
  AND(REGEXMATCH(E2235, ""台銀籌備帳戶|玉山帳戶""), REGEXMATCH(C2235, ""薪資"")), ""分潤支出"",
  AND(REGEXMATCH(E2235, ""Ben帳戶|Elsa帳戶|Ben代墊|Ariel代墊|中信銀行共用""), REGEXMATCH(F2235, ""Ben帳戶|Elsa帳戶|Ben代墊|Ariel代墊|中信銀行共用"")), ""內部轉帳(忽略)"",
  AND(E2235&lt;&gt;"""", F2235&lt;&gt;"""", N"&amp;"OT(REGEXMATCH(C2235, ""薪資""))), ""內部轉帳(忽略)"",
  REGEXMATCH(C2235, ""薪資""), ""薪資變動(不計入)"",
  REGEXMATCH(C2235, ""押金""), ""押金往來"",
  AND(E2235&lt;&gt;"""", F2235=""""), ""真實支出"",
  AND(E2235="""", F2235&lt;&gt;""""), ""真實收入"",
  TRUE, ""其他""
)"),"真實收入")</f>
        <v>真實收入</v>
      </c>
      <c r="K2235" s="270">
        <f t="shared" si="2"/>
        <v>12800</v>
      </c>
      <c r="L2235">
        <f t="shared" si="3"/>
        <v>0</v>
      </c>
    </row>
    <row r="2236">
      <c r="A2236" s="107">
        <f>IFERROR(__xludf.DUMMYFUNCTION("""COMPUTED_VALUE"""),45840.0)</f>
        <v>45840</v>
      </c>
      <c r="B2236" t="str">
        <f>IFERROR(__xludf.DUMMYFUNCTION("""COMPUTED_VALUE"""),"小玉搬家")</f>
        <v>小玉搬家</v>
      </c>
      <c r="C2236" t="str">
        <f>IFERROR(__xludf.DUMMYFUNCTION("""COMPUTED_VALUE"""),"成本 - 進場前裝潢費")</f>
        <v>成本 - 進場前裝潢費</v>
      </c>
      <c r="D2236" s="270">
        <f>IFERROR(__xludf.DUMMYFUNCTION("""COMPUTED_VALUE"""),-1000.0)</f>
        <v>-1000</v>
      </c>
      <c r="E2236" t="str">
        <f>IFERROR(__xludf.DUMMYFUNCTION("""COMPUTED_VALUE"""),"Elsa帳戶")</f>
        <v>Elsa帳戶</v>
      </c>
      <c r="G2236" t="str">
        <f>IFERROR(__xludf.DUMMYFUNCTION("""COMPUTED_VALUE"""),"書香民生")</f>
        <v>書香民生</v>
      </c>
      <c r="H2236" s="106" t="str">
        <f t="shared" si="1"/>
        <v>2025-07</v>
      </c>
      <c r="I2236" s="271" t="str">
        <f>IFERROR(__xludf.DUMMYFUNCTION("""COMPUTED_VALUE"""),"貓狗企鵝")</f>
        <v>貓狗企鵝</v>
      </c>
      <c r="J2236" t="str">
        <f>IFERROR(__xludf.DUMMYFUNCTION("IFS(
  AND(REGEXMATCH(E2236, ""台銀籌備帳戶|玉山帳戶""), REGEXMATCH(C2236, ""薪資"")), ""分潤支出"",
  AND(REGEXMATCH(E2236, ""Ben帳戶|Elsa帳戶|Ben代墊|Ariel代墊|中信銀行共用""), REGEXMATCH(F2236, ""Ben帳戶|Elsa帳戶|Ben代墊|Ariel代墊|中信銀行共用"")), ""內部轉帳(忽略)"",
  AND(E2236&lt;&gt;"""", F2236&lt;&gt;"""", N"&amp;"OT(REGEXMATCH(C2236, ""薪資""))), ""內部轉帳(忽略)"",
  REGEXMATCH(C2236, ""薪資""), ""薪資變動(不計入)"",
  REGEXMATCH(C2236, ""押金""), ""押金往來"",
  AND(E2236&lt;&gt;"""", F2236=""""), ""真實支出"",
  AND(E2236="""", F2236&lt;&gt;""""), ""真實收入"",
  TRUE, ""其他""
)"),"真實支出")</f>
        <v>真實支出</v>
      </c>
      <c r="K2236" s="270">
        <f t="shared" si="2"/>
        <v>-1000</v>
      </c>
      <c r="L2236">
        <f t="shared" si="3"/>
        <v>0</v>
      </c>
    </row>
    <row r="2237">
      <c r="A2237" s="107">
        <f>IFERROR(__xludf.DUMMYFUNCTION("""COMPUTED_VALUE"""),45846.0)</f>
        <v>45846</v>
      </c>
      <c r="B2237" t="str">
        <f>IFERROR(__xludf.DUMMYFUNCTION("""COMPUTED_VALUE"""),"書香 TP LINK DECO X50 WiFi分享器")</f>
        <v>書香 TP LINK DECO X50 WiFi分享器</v>
      </c>
      <c r="C2237" t="str">
        <f>IFERROR(__xludf.DUMMYFUNCTION("""COMPUTED_VALUE"""),"成本 - 進場前裝潢費")</f>
        <v>成本 - 進場前裝潢費</v>
      </c>
      <c r="D2237" s="270">
        <f>IFERROR(__xludf.DUMMYFUNCTION("""COMPUTED_VALUE"""),-6799.0)</f>
        <v>-6799</v>
      </c>
      <c r="E2237" t="str">
        <f>IFERROR(__xludf.DUMMYFUNCTION("""COMPUTED_VALUE"""),"Ben帳戶")</f>
        <v>Ben帳戶</v>
      </c>
      <c r="G2237" t="str">
        <f>IFERROR(__xludf.DUMMYFUNCTION("""COMPUTED_VALUE"""),"書香民生")</f>
        <v>書香民生</v>
      </c>
      <c r="H2237" s="106" t="str">
        <f t="shared" si="1"/>
        <v>2025-07</v>
      </c>
      <c r="I2237" s="271" t="str">
        <f>IFERROR(__xludf.DUMMYFUNCTION("""COMPUTED_VALUE"""),"貓狗企鵝")</f>
        <v>貓狗企鵝</v>
      </c>
      <c r="J2237" t="str">
        <f>IFERROR(__xludf.DUMMYFUNCTION("IFS(
  AND(REGEXMATCH(E2237, ""台銀籌備帳戶|玉山帳戶""), REGEXMATCH(C2237, ""薪資"")), ""分潤支出"",
  AND(REGEXMATCH(E2237, ""Ben帳戶|Elsa帳戶|Ben代墊|Ariel代墊|中信銀行共用""), REGEXMATCH(F2237, ""Ben帳戶|Elsa帳戶|Ben代墊|Ariel代墊|中信銀行共用"")), ""內部轉帳(忽略)"",
  AND(E2237&lt;&gt;"""", F2237&lt;&gt;"""", N"&amp;"OT(REGEXMATCH(C2237, ""薪資""))), ""內部轉帳(忽略)"",
  REGEXMATCH(C2237, ""薪資""), ""薪資變動(不計入)"",
  REGEXMATCH(C2237, ""押金""), ""押金往來"",
  AND(E2237&lt;&gt;"""", F2237=""""), ""真實支出"",
  AND(E2237="""", F2237&lt;&gt;""""), ""真實收入"",
  TRUE, ""其他""
)"),"真實支出")</f>
        <v>真實支出</v>
      </c>
      <c r="K2237" s="270">
        <f t="shared" si="2"/>
        <v>-6799</v>
      </c>
      <c r="L2237">
        <f t="shared" si="3"/>
        <v>0</v>
      </c>
    </row>
    <row r="2238">
      <c r="A2238" s="107">
        <f>IFERROR(__xludf.DUMMYFUNCTION("""COMPUTED_VALUE"""),45840.0)</f>
        <v>45840</v>
      </c>
      <c r="B2238" t="str">
        <f>IFERROR(__xludf.DUMMYFUNCTION("""COMPUTED_VALUE"""),"[中山北娘家旁] A [李亨加] 月租金 (行號: 2, 3)")</f>
        <v>[中山北娘家旁] A [李亨加] 月租金 (行號: 2, 3)</v>
      </c>
      <c r="C2238" t="str">
        <f>IFERROR(__xludf.DUMMYFUNCTION("""COMPUTED_VALUE"""),"收入 - 租金")</f>
        <v>收入 - 租金</v>
      </c>
      <c r="D2238" s="270">
        <f>IFERROR(__xludf.DUMMYFUNCTION("""COMPUTED_VALUE"""),12500.0)</f>
        <v>12500</v>
      </c>
      <c r="F2238" t="str">
        <f>IFERROR(__xludf.DUMMYFUNCTION("""COMPUTED_VALUE"""),"台銀籌備帳戶")</f>
        <v>台銀籌備帳戶</v>
      </c>
      <c r="G2238" t="str">
        <f>IFERROR(__xludf.DUMMYFUNCTION("""COMPUTED_VALUE"""),"中山北娘家旁")</f>
        <v>中山北娘家旁</v>
      </c>
      <c r="H2238" s="106" t="str">
        <f t="shared" si="1"/>
        <v>2025-07</v>
      </c>
      <c r="I2238" s="271" t="str">
        <f>IFERROR(__xludf.DUMMYFUNCTION("""COMPUTED_VALUE"""),"貓狗企鵝")</f>
        <v>貓狗企鵝</v>
      </c>
      <c r="J2238" t="str">
        <f>IFERROR(__xludf.DUMMYFUNCTION("IFS(
  AND(REGEXMATCH(E2238, ""台銀籌備帳戶|玉山帳戶""), REGEXMATCH(C2238, ""薪資"")), ""分潤支出"",
  AND(REGEXMATCH(E2238, ""Ben帳戶|Elsa帳戶|Ben代墊|Ariel代墊|中信銀行共用""), REGEXMATCH(F2238, ""Ben帳戶|Elsa帳戶|Ben代墊|Ariel代墊|中信銀行共用"")), ""內部轉帳(忽略)"",
  AND(E2238&lt;&gt;"""", F2238&lt;&gt;"""", N"&amp;"OT(REGEXMATCH(C2238, ""薪資""))), ""內部轉帳(忽略)"",
  REGEXMATCH(C2238, ""薪資""), ""薪資變動(不計入)"",
  REGEXMATCH(C2238, ""押金""), ""押金往來"",
  AND(E2238&lt;&gt;"""", F2238=""""), ""真實支出"",
  AND(E2238="""", F2238&lt;&gt;""""), ""真實收入"",
  TRUE, ""其他""
)"),"真實收入")</f>
        <v>真實收入</v>
      </c>
      <c r="K2238" s="270">
        <f t="shared" si="2"/>
        <v>12500</v>
      </c>
      <c r="L2238">
        <f t="shared" si="3"/>
        <v>0</v>
      </c>
    </row>
    <row r="2239">
      <c r="A2239" s="107">
        <f>IFERROR(__xludf.DUMMYFUNCTION("""COMPUTED_VALUE"""),45840.0)</f>
        <v>45840</v>
      </c>
      <c r="B2239" t="str">
        <f>IFERROR(__xludf.DUMMYFUNCTION("""COMPUTED_VALUE"""),"[中山北娘家旁] C [魏湘芸] 月租金 (行號: 4)")</f>
        <v>[中山北娘家旁] C [魏湘芸] 月租金 (行號: 4)</v>
      </c>
      <c r="C2239" t="str">
        <f>IFERROR(__xludf.DUMMYFUNCTION("""COMPUTED_VALUE"""),"收入 - 租金")</f>
        <v>收入 - 租金</v>
      </c>
      <c r="D2239" s="270">
        <f>IFERROR(__xludf.DUMMYFUNCTION("""COMPUTED_VALUE"""),14800.0)</f>
        <v>14800</v>
      </c>
      <c r="F2239" t="str">
        <f>IFERROR(__xludf.DUMMYFUNCTION("""COMPUTED_VALUE"""),"台銀籌備帳戶")</f>
        <v>台銀籌備帳戶</v>
      </c>
      <c r="G2239" t="str">
        <f>IFERROR(__xludf.DUMMYFUNCTION("""COMPUTED_VALUE"""),"中山北娘家旁")</f>
        <v>中山北娘家旁</v>
      </c>
      <c r="H2239" s="106" t="str">
        <f t="shared" si="1"/>
        <v>2025-07</v>
      </c>
      <c r="I2239" s="271" t="str">
        <f>IFERROR(__xludf.DUMMYFUNCTION("""COMPUTED_VALUE"""),"貓狗企鵝")</f>
        <v>貓狗企鵝</v>
      </c>
      <c r="J2239" t="str">
        <f>IFERROR(__xludf.DUMMYFUNCTION("IFS(
  AND(REGEXMATCH(E2239, ""台銀籌備帳戶|玉山帳戶""), REGEXMATCH(C2239, ""薪資"")), ""分潤支出"",
  AND(REGEXMATCH(E2239, ""Ben帳戶|Elsa帳戶|Ben代墊|Ariel代墊|中信銀行共用""), REGEXMATCH(F2239, ""Ben帳戶|Elsa帳戶|Ben代墊|Ariel代墊|中信銀行共用"")), ""內部轉帳(忽略)"",
  AND(E2239&lt;&gt;"""", F2239&lt;&gt;"""", N"&amp;"OT(REGEXMATCH(C2239, ""薪資""))), ""內部轉帳(忽略)"",
  REGEXMATCH(C2239, ""薪資""), ""薪資變動(不計入)"",
  REGEXMATCH(C2239, ""押金""), ""押金往來"",
  AND(E2239&lt;&gt;"""", F2239=""""), ""真實支出"",
  AND(E2239="""", F2239&lt;&gt;""""), ""真實收入"",
  TRUE, ""其他""
)"),"真實收入")</f>
        <v>真實收入</v>
      </c>
      <c r="K2239" s="270">
        <f t="shared" si="2"/>
        <v>14800</v>
      </c>
      <c r="L2239">
        <f t="shared" si="3"/>
        <v>0</v>
      </c>
    </row>
    <row r="2240">
      <c r="A2240" s="107">
        <f>IFERROR(__xludf.DUMMYFUNCTION("""COMPUTED_VALUE"""),45840.0)</f>
        <v>45840</v>
      </c>
      <c r="B2240" t="str">
        <f>IFERROR(__xludf.DUMMYFUNCTION("""COMPUTED_VALUE""")," [北醫醫師府] E 首月租金")</f>
        <v> [北醫醫師府] E 首月租金</v>
      </c>
      <c r="C2240" t="str">
        <f>IFERROR(__xludf.DUMMYFUNCTION("""COMPUTED_VALUE"""),"收入 - 租金")</f>
        <v>收入 - 租金</v>
      </c>
      <c r="D2240" s="270">
        <f>IFERROR(__xludf.DUMMYFUNCTION("""COMPUTED_VALUE"""),13845.0)</f>
        <v>13845</v>
      </c>
      <c r="F2240" t="str">
        <f>IFERROR(__xludf.DUMMYFUNCTION("""COMPUTED_VALUE"""),"台銀籌備帳戶")</f>
        <v>台銀籌備帳戶</v>
      </c>
      <c r="G2240" t="str">
        <f>IFERROR(__xludf.DUMMYFUNCTION("""COMPUTED_VALUE"""),"北醫醫師府")</f>
        <v>北醫醫師府</v>
      </c>
      <c r="H2240" s="106" t="str">
        <f t="shared" si="1"/>
        <v>2025-07</v>
      </c>
      <c r="I2240" s="271" t="str">
        <f>IFERROR(__xludf.DUMMYFUNCTION("""COMPUTED_VALUE"""),"貓狗企鵝")</f>
        <v>貓狗企鵝</v>
      </c>
      <c r="J2240" t="str">
        <f>IFERROR(__xludf.DUMMYFUNCTION("IFS(
  AND(REGEXMATCH(E2240, ""台銀籌備帳戶|玉山帳戶""), REGEXMATCH(C2240, ""薪資"")), ""分潤支出"",
  AND(REGEXMATCH(E2240, ""Ben帳戶|Elsa帳戶|Ben代墊|Ariel代墊|中信銀行共用""), REGEXMATCH(F2240, ""Ben帳戶|Elsa帳戶|Ben代墊|Ariel代墊|中信銀行共用"")), ""內部轉帳(忽略)"",
  AND(E2240&lt;&gt;"""", F2240&lt;&gt;"""", N"&amp;"OT(REGEXMATCH(C2240, ""薪資""))), ""內部轉帳(忽略)"",
  REGEXMATCH(C2240, ""薪資""), ""薪資變動(不計入)"",
  REGEXMATCH(C2240, ""押金""), ""押金往來"",
  AND(E2240&lt;&gt;"""", F2240=""""), ""真實支出"",
  AND(E2240="""", F2240&lt;&gt;""""), ""真實收入"",
  TRUE, ""其他""
)"),"真實收入")</f>
        <v>真實收入</v>
      </c>
      <c r="K2240" s="270">
        <f t="shared" si="2"/>
        <v>13845</v>
      </c>
      <c r="L2240">
        <f t="shared" si="3"/>
        <v>0</v>
      </c>
    </row>
    <row r="2241">
      <c r="A2241" s="107">
        <f>IFERROR(__xludf.DUMMYFUNCTION("""COMPUTED_VALUE"""),45840.0)</f>
        <v>45840</v>
      </c>
      <c r="B2241" t="str">
        <f>IFERROR(__xludf.DUMMYFUNCTION("""COMPUTED_VALUE""")," [北醫醫師府] E 押金")</f>
        <v> [北醫醫師府] E 押金</v>
      </c>
      <c r="C2241" t="str">
        <f>IFERROR(__xludf.DUMMYFUNCTION("""COMPUTED_VALUE"""),"收入 - 押金")</f>
        <v>收入 - 押金</v>
      </c>
      <c r="D2241" s="270">
        <f>IFERROR(__xludf.DUMMYFUNCTION("""COMPUTED_VALUE"""),29600.0)</f>
        <v>29600</v>
      </c>
      <c r="F2241" t="str">
        <f>IFERROR(__xludf.DUMMYFUNCTION("""COMPUTED_VALUE"""),"台銀籌備帳戶")</f>
        <v>台銀籌備帳戶</v>
      </c>
      <c r="G2241" t="str">
        <f>IFERROR(__xludf.DUMMYFUNCTION("""COMPUTED_VALUE"""),"北醫醫師府")</f>
        <v>北醫醫師府</v>
      </c>
      <c r="H2241" s="106" t="str">
        <f t="shared" si="1"/>
        <v>2025-07</v>
      </c>
      <c r="I2241" s="271" t="str">
        <f>IFERROR(__xludf.DUMMYFUNCTION("""COMPUTED_VALUE"""),"貓狗企鵝")</f>
        <v>貓狗企鵝</v>
      </c>
      <c r="J2241" t="str">
        <f>IFERROR(__xludf.DUMMYFUNCTION("IFS(
  AND(REGEXMATCH(E2241, ""台銀籌備帳戶|玉山帳戶""), REGEXMATCH(C2241, ""薪資"")), ""分潤支出"",
  AND(REGEXMATCH(E2241, ""Ben帳戶|Elsa帳戶|Ben代墊|Ariel代墊|中信銀行共用""), REGEXMATCH(F2241, ""Ben帳戶|Elsa帳戶|Ben代墊|Ariel代墊|中信銀行共用"")), ""內部轉帳(忽略)"",
  AND(E2241&lt;&gt;"""", F2241&lt;&gt;"""", N"&amp;"OT(REGEXMATCH(C2241, ""薪資""))), ""內部轉帳(忽略)"",
  REGEXMATCH(C2241, ""薪資""), ""薪資變動(不計入)"",
  REGEXMATCH(C2241, ""押金""), ""押金往來"",
  AND(E2241&lt;&gt;"""", F2241=""""), ""真實支出"",
  AND(E2241="""", F2241&lt;&gt;""""), ""真實收入"",
  TRUE, ""其他""
)"),"押金往來")</f>
        <v>押金往來</v>
      </c>
      <c r="K2241">
        <f t="shared" si="2"/>
        <v>0</v>
      </c>
      <c r="L2241">
        <f t="shared" si="3"/>
        <v>0</v>
      </c>
    </row>
    <row r="2242">
      <c r="A2242" s="107">
        <f>IFERROR(__xludf.DUMMYFUNCTION("""COMPUTED_VALUE"""),45840.0)</f>
        <v>45840</v>
      </c>
      <c r="B2242" t="str">
        <f>IFERROR(__xludf.DUMMYFUNCTION("""COMPUTED_VALUE"""),"哈拉A 首租")</f>
        <v>哈拉A 首租</v>
      </c>
      <c r="C2242" t="str">
        <f>IFERROR(__xludf.DUMMYFUNCTION("""COMPUTED_VALUE"""),"收入 - 租金")</f>
        <v>收入 - 租金</v>
      </c>
      <c r="D2242" s="270">
        <f>IFERROR(__xludf.DUMMYFUNCTION("""COMPUTED_VALUE"""),9581.0)</f>
        <v>9581</v>
      </c>
      <c r="F2242" t="str">
        <f>IFERROR(__xludf.DUMMYFUNCTION("""COMPUTED_VALUE"""),"台銀籌備帳戶")</f>
        <v>台銀籌備帳戶</v>
      </c>
      <c r="G2242" t="str">
        <f>IFERROR(__xludf.DUMMYFUNCTION("""COMPUTED_VALUE"""),"哈拉對面")</f>
        <v>哈拉對面</v>
      </c>
      <c r="H2242" s="106" t="str">
        <f t="shared" si="1"/>
        <v>2025-07</v>
      </c>
      <c r="I2242" s="271" t="str">
        <f>IFERROR(__xludf.DUMMYFUNCTION("""COMPUTED_VALUE"""),"貓狗企鵝")</f>
        <v>貓狗企鵝</v>
      </c>
      <c r="J2242" t="str">
        <f>IFERROR(__xludf.DUMMYFUNCTION("IFS(
  AND(REGEXMATCH(E2242, ""台銀籌備帳戶|玉山帳戶""), REGEXMATCH(C2242, ""薪資"")), ""分潤支出"",
  AND(REGEXMATCH(E2242, ""Ben帳戶|Elsa帳戶|Ben代墊|Ariel代墊|中信銀行共用""), REGEXMATCH(F2242, ""Ben帳戶|Elsa帳戶|Ben代墊|Ariel代墊|中信銀行共用"")), ""內部轉帳(忽略)"",
  AND(E2242&lt;&gt;"""", F2242&lt;&gt;"""", N"&amp;"OT(REGEXMATCH(C2242, ""薪資""))), ""內部轉帳(忽略)"",
  REGEXMATCH(C2242, ""薪資""), ""薪資變動(不計入)"",
  REGEXMATCH(C2242, ""押金""), ""押金往來"",
  AND(E2242&lt;&gt;"""", F2242=""""), ""真實支出"",
  AND(E2242="""", F2242&lt;&gt;""""), ""真實收入"",
  TRUE, ""其他""
)"),"真實收入")</f>
        <v>真實收入</v>
      </c>
      <c r="K2242" s="270">
        <f t="shared" si="2"/>
        <v>9581</v>
      </c>
      <c r="L2242">
        <f t="shared" si="3"/>
        <v>0</v>
      </c>
    </row>
    <row r="2243">
      <c r="A2243" s="107">
        <f>IFERROR(__xludf.DUMMYFUNCTION("""COMPUTED_VALUE"""),45840.0)</f>
        <v>45840</v>
      </c>
      <c r="B2243" t="str">
        <f>IFERROR(__xludf.DUMMYFUNCTION("""COMPUTED_VALUE"""),"[中山北Feli家] C [郭亞潔] 月租金 (行號: 6)")</f>
        <v>[中山北Feli家] C [郭亞潔] 月租金 (行號: 6)</v>
      </c>
      <c r="C2243" t="str">
        <f>IFERROR(__xludf.DUMMYFUNCTION("""COMPUTED_VALUE"""),"收入 - 租金")</f>
        <v>收入 - 租金</v>
      </c>
      <c r="D2243" s="270">
        <f>IFERROR(__xludf.DUMMYFUNCTION("""COMPUTED_VALUE"""),11500.0)</f>
        <v>11500</v>
      </c>
      <c r="F2243" t="str">
        <f>IFERROR(__xludf.DUMMYFUNCTION("""COMPUTED_VALUE"""),"台銀籌備帳戶")</f>
        <v>台銀籌備帳戶</v>
      </c>
      <c r="G2243" t="str">
        <f>IFERROR(__xludf.DUMMYFUNCTION("""COMPUTED_VALUE"""),"中山北Feli家")</f>
        <v>中山北Feli家</v>
      </c>
      <c r="H2243" s="106" t="str">
        <f t="shared" si="1"/>
        <v>2025-07</v>
      </c>
      <c r="I2243" s="271" t="str">
        <f>IFERROR(__xludf.DUMMYFUNCTION("""COMPUTED_VALUE"""),"貓狗企鵝")</f>
        <v>貓狗企鵝</v>
      </c>
      <c r="J2243" t="str">
        <f>IFERROR(__xludf.DUMMYFUNCTION("IFS(
  AND(REGEXMATCH(E2243, ""台銀籌備帳戶|玉山帳戶""), REGEXMATCH(C2243, ""薪資"")), ""分潤支出"",
  AND(REGEXMATCH(E2243, ""Ben帳戶|Elsa帳戶|Ben代墊|Ariel代墊|中信銀行共用""), REGEXMATCH(F2243, ""Ben帳戶|Elsa帳戶|Ben代墊|Ariel代墊|中信銀行共用"")), ""內部轉帳(忽略)"",
  AND(E2243&lt;&gt;"""", F2243&lt;&gt;"""", N"&amp;"OT(REGEXMATCH(C2243, ""薪資""))), ""內部轉帳(忽略)"",
  REGEXMATCH(C2243, ""薪資""), ""薪資變動(不計入)"",
  REGEXMATCH(C2243, ""押金""), ""押金往來"",
  AND(E2243&lt;&gt;"""", F2243=""""), ""真實支出"",
  AND(E2243="""", F2243&lt;&gt;""""), ""真實收入"",
  TRUE, ""其他""
)"),"真實收入")</f>
        <v>真實收入</v>
      </c>
      <c r="K2243" s="270">
        <f t="shared" si="2"/>
        <v>11500</v>
      </c>
      <c r="L2243">
        <f t="shared" si="3"/>
        <v>0</v>
      </c>
    </row>
    <row r="2244">
      <c r="A2244" s="107">
        <f>IFERROR(__xludf.DUMMYFUNCTION("""COMPUTED_VALUE"""),45840.0)</f>
        <v>45840</v>
      </c>
      <c r="B2244" t="str">
        <f>IFERROR(__xludf.DUMMYFUNCTION("""COMPUTED_VALUE"""),"[龍江229] C [馬義鈞] 月租金 (行號: 9)")</f>
        <v>[龍江229] C [馬義鈞] 月租金 (行號: 9)</v>
      </c>
      <c r="C2244" t="str">
        <f>IFERROR(__xludf.DUMMYFUNCTION("""COMPUTED_VALUE"""),"收入 - 租金")</f>
        <v>收入 - 租金</v>
      </c>
      <c r="D2244" s="270">
        <f>IFERROR(__xludf.DUMMYFUNCTION("""COMPUTED_VALUE"""),18800.0)</f>
        <v>18800</v>
      </c>
      <c r="F2244" t="str">
        <f>IFERROR(__xludf.DUMMYFUNCTION("""COMPUTED_VALUE"""),"台銀籌備帳戶")</f>
        <v>台銀籌備帳戶</v>
      </c>
      <c r="G2244" t="str">
        <f>IFERROR(__xludf.DUMMYFUNCTION("""COMPUTED_VALUE"""),"龍江229")</f>
        <v>龍江229</v>
      </c>
      <c r="H2244" s="106" t="str">
        <f t="shared" si="1"/>
        <v>2025-07</v>
      </c>
      <c r="I2244" s="271" t="str">
        <f>IFERROR(__xludf.DUMMYFUNCTION("""COMPUTED_VALUE"""),"貓狗企鵝")</f>
        <v>貓狗企鵝</v>
      </c>
      <c r="J2244" t="str">
        <f>IFERROR(__xludf.DUMMYFUNCTION("IFS(
  AND(REGEXMATCH(E2244, ""台銀籌備帳戶|玉山帳戶""), REGEXMATCH(C2244, ""薪資"")), ""分潤支出"",
  AND(REGEXMATCH(E2244, ""Ben帳戶|Elsa帳戶|Ben代墊|Ariel代墊|中信銀行共用""), REGEXMATCH(F2244, ""Ben帳戶|Elsa帳戶|Ben代墊|Ariel代墊|中信銀行共用"")), ""內部轉帳(忽略)"",
  AND(E2244&lt;&gt;"""", F2244&lt;&gt;"""", N"&amp;"OT(REGEXMATCH(C2244, ""薪資""))), ""內部轉帳(忽略)"",
  REGEXMATCH(C2244, ""薪資""), ""薪資變動(不計入)"",
  REGEXMATCH(C2244, ""押金""), ""押金往來"",
  AND(E2244&lt;&gt;"""", F2244=""""), ""真實支出"",
  AND(E2244="""", F2244&lt;&gt;""""), ""真實收入"",
  TRUE, ""其他""
)"),"真實收入")</f>
        <v>真實收入</v>
      </c>
      <c r="K2244" s="270">
        <f t="shared" si="2"/>
        <v>18800</v>
      </c>
      <c r="L2244">
        <f t="shared" si="3"/>
        <v>0</v>
      </c>
    </row>
    <row r="2245">
      <c r="A2245" s="107">
        <f>IFERROR(__xludf.DUMMYFUNCTION("""COMPUTED_VALUE"""),45840.0)</f>
        <v>45840</v>
      </c>
      <c r="B2245" t="str">
        <f>IFERROR(__xludf.DUMMYFUNCTION("""COMPUTED_VALUE"""),"哈拉A 押金")</f>
        <v>哈拉A 押金</v>
      </c>
      <c r="C2245" t="str">
        <f>IFERROR(__xludf.DUMMYFUNCTION("""COMPUTED_VALUE"""),"收入 - 押金")</f>
        <v>收入 - 押金</v>
      </c>
      <c r="D2245" s="270">
        <f>IFERROR(__xludf.DUMMYFUNCTION("""COMPUTED_VALUE"""),22000.0)</f>
        <v>22000</v>
      </c>
      <c r="F2245" t="str">
        <f>IFERROR(__xludf.DUMMYFUNCTION("""COMPUTED_VALUE"""),"台銀籌備帳戶")</f>
        <v>台銀籌備帳戶</v>
      </c>
      <c r="G2245" t="str">
        <f>IFERROR(__xludf.DUMMYFUNCTION("""COMPUTED_VALUE"""),"哈拉對面")</f>
        <v>哈拉對面</v>
      </c>
      <c r="H2245" s="106" t="str">
        <f t="shared" si="1"/>
        <v>2025-07</v>
      </c>
      <c r="I2245" s="271" t="str">
        <f>IFERROR(__xludf.DUMMYFUNCTION("""COMPUTED_VALUE"""),"貓狗企鵝")</f>
        <v>貓狗企鵝</v>
      </c>
      <c r="J2245" t="str">
        <f>IFERROR(__xludf.DUMMYFUNCTION("IFS(
  AND(REGEXMATCH(E2245, ""台銀籌備帳戶|玉山帳戶""), REGEXMATCH(C2245, ""薪資"")), ""分潤支出"",
  AND(REGEXMATCH(E2245, ""Ben帳戶|Elsa帳戶|Ben代墊|Ariel代墊|中信銀行共用""), REGEXMATCH(F2245, ""Ben帳戶|Elsa帳戶|Ben代墊|Ariel代墊|中信銀行共用"")), ""內部轉帳(忽略)"",
  AND(E2245&lt;&gt;"""", F2245&lt;&gt;"""", N"&amp;"OT(REGEXMATCH(C2245, ""薪資""))), ""內部轉帳(忽略)"",
  REGEXMATCH(C2245, ""薪資""), ""薪資變動(不計入)"",
  REGEXMATCH(C2245, ""押金""), ""押金往來"",
  AND(E2245&lt;&gt;"""", F2245=""""), ""真實支出"",
  AND(E2245="""", F2245&lt;&gt;""""), ""真實收入"",
  TRUE, ""其他""
)"),"押金往來")</f>
        <v>押金往來</v>
      </c>
      <c r="K2245">
        <f t="shared" si="2"/>
        <v>0</v>
      </c>
      <c r="L2245">
        <f t="shared" si="3"/>
        <v>0</v>
      </c>
    </row>
    <row r="2246">
      <c r="A2246" s="107">
        <f>IFERROR(__xludf.DUMMYFUNCTION("""COMPUTED_VALUE"""),45840.0)</f>
        <v>45840</v>
      </c>
      <c r="B2246" t="str">
        <f>IFERROR(__xludf.DUMMYFUNCTION("""COMPUTED_VALUE""")," [北醫醫師府] F 首月租金")</f>
        <v> [北醫醫師府] F 首月租金</v>
      </c>
      <c r="C2246" t="str">
        <f>IFERROR(__xludf.DUMMYFUNCTION("""COMPUTED_VALUE"""),"收入 - 租金")</f>
        <v>收入 - 租金</v>
      </c>
      <c r="D2246" s="270">
        <f>IFERROR(__xludf.DUMMYFUNCTION("""COMPUTED_VALUE"""),13845.0)</f>
        <v>13845</v>
      </c>
      <c r="F2246" t="str">
        <f>IFERROR(__xludf.DUMMYFUNCTION("""COMPUTED_VALUE"""),"台銀籌備帳戶")</f>
        <v>台銀籌備帳戶</v>
      </c>
      <c r="G2246" t="str">
        <f>IFERROR(__xludf.DUMMYFUNCTION("""COMPUTED_VALUE"""),"北醫醫師府")</f>
        <v>北醫醫師府</v>
      </c>
      <c r="H2246" s="106" t="str">
        <f t="shared" si="1"/>
        <v>2025-07</v>
      </c>
      <c r="I2246" s="271" t="str">
        <f>IFERROR(__xludf.DUMMYFUNCTION("""COMPUTED_VALUE"""),"貓狗企鵝")</f>
        <v>貓狗企鵝</v>
      </c>
      <c r="J2246" t="str">
        <f>IFERROR(__xludf.DUMMYFUNCTION("IFS(
  AND(REGEXMATCH(E2246, ""台銀籌備帳戶|玉山帳戶""), REGEXMATCH(C2246, ""薪資"")), ""分潤支出"",
  AND(REGEXMATCH(E2246, ""Ben帳戶|Elsa帳戶|Ben代墊|Ariel代墊|中信銀行共用""), REGEXMATCH(F2246, ""Ben帳戶|Elsa帳戶|Ben代墊|Ariel代墊|中信銀行共用"")), ""內部轉帳(忽略)"",
  AND(E2246&lt;&gt;"""", F2246&lt;&gt;"""", N"&amp;"OT(REGEXMATCH(C2246, ""薪資""))), ""內部轉帳(忽略)"",
  REGEXMATCH(C2246, ""薪資""), ""薪資變動(不計入)"",
  REGEXMATCH(C2246, ""押金""), ""押金往來"",
  AND(E2246&lt;&gt;"""", F2246=""""), ""真實支出"",
  AND(E2246="""", F2246&lt;&gt;""""), ""真實收入"",
  TRUE, ""其他""
)"),"真實收入")</f>
        <v>真實收入</v>
      </c>
      <c r="K2246" s="270">
        <f t="shared" si="2"/>
        <v>13845</v>
      </c>
      <c r="L2246">
        <f t="shared" si="3"/>
        <v>0</v>
      </c>
    </row>
    <row r="2247">
      <c r="A2247" s="107">
        <f>IFERROR(__xludf.DUMMYFUNCTION("""COMPUTED_VALUE"""),45840.0)</f>
        <v>45840</v>
      </c>
      <c r="B2247" t="str">
        <f>IFERROR(__xludf.DUMMYFUNCTION("""COMPUTED_VALUE""")," [北醫醫師府] F 押金")</f>
        <v> [北醫醫師府] F 押金</v>
      </c>
      <c r="C2247" t="str">
        <f>IFERROR(__xludf.DUMMYFUNCTION("""COMPUTED_VALUE"""),"收入 - 押金")</f>
        <v>收入 - 押金</v>
      </c>
      <c r="D2247" s="270">
        <f>IFERROR(__xludf.DUMMYFUNCTION("""COMPUTED_VALUE"""),29600.0)</f>
        <v>29600</v>
      </c>
      <c r="F2247" t="str">
        <f>IFERROR(__xludf.DUMMYFUNCTION("""COMPUTED_VALUE"""),"台銀籌備帳戶")</f>
        <v>台銀籌備帳戶</v>
      </c>
      <c r="G2247" t="str">
        <f>IFERROR(__xludf.DUMMYFUNCTION("""COMPUTED_VALUE"""),"北醫醫師府")</f>
        <v>北醫醫師府</v>
      </c>
      <c r="H2247" s="106" t="str">
        <f t="shared" si="1"/>
        <v>2025-07</v>
      </c>
      <c r="I2247" s="271" t="str">
        <f>IFERROR(__xludf.DUMMYFUNCTION("""COMPUTED_VALUE"""),"貓狗企鵝")</f>
        <v>貓狗企鵝</v>
      </c>
      <c r="J2247" t="str">
        <f>IFERROR(__xludf.DUMMYFUNCTION("IFS(
  AND(REGEXMATCH(E2247, ""台銀籌備帳戶|玉山帳戶""), REGEXMATCH(C2247, ""薪資"")), ""分潤支出"",
  AND(REGEXMATCH(E2247, ""Ben帳戶|Elsa帳戶|Ben代墊|Ariel代墊|中信銀行共用""), REGEXMATCH(F2247, ""Ben帳戶|Elsa帳戶|Ben代墊|Ariel代墊|中信銀行共用"")), ""內部轉帳(忽略)"",
  AND(E2247&lt;&gt;"""", F2247&lt;&gt;"""", N"&amp;"OT(REGEXMATCH(C2247, ""薪資""))), ""內部轉帳(忽略)"",
  REGEXMATCH(C2247, ""薪資""), ""薪資變動(不計入)"",
  REGEXMATCH(C2247, ""押金""), ""押金往來"",
  AND(E2247&lt;&gt;"""", F2247=""""), ""真實支出"",
  AND(E2247="""", F2247&lt;&gt;""""), ""真實收入"",
  TRUE, ""其他""
)"),"押金往來")</f>
        <v>押金往來</v>
      </c>
      <c r="K2247">
        <f t="shared" si="2"/>
        <v>0</v>
      </c>
      <c r="L2247">
        <f t="shared" si="3"/>
        <v>0</v>
      </c>
    </row>
    <row r="2248">
      <c r="A2248" s="107">
        <f>IFERROR(__xludf.DUMMYFUNCTION("""COMPUTED_VALUE"""),45846.0)</f>
        <v>45846</v>
      </c>
      <c r="B2248" t="str">
        <f>IFERROR(__xludf.DUMMYFUNCTION("""COMPUTED_VALUE"""),"書香 曬衣架 窗簾桿 延長線")</f>
        <v>書香 曬衣架 窗簾桿 延長線</v>
      </c>
      <c r="C2248" t="str">
        <f>IFERROR(__xludf.DUMMYFUNCTION("""COMPUTED_VALUE"""),"成本 - 進場前裝潢費")</f>
        <v>成本 - 進場前裝潢費</v>
      </c>
      <c r="D2248" s="270">
        <f>IFERROR(__xludf.DUMMYFUNCTION("""COMPUTED_VALUE"""),-2293.0)</f>
        <v>-2293</v>
      </c>
      <c r="E2248" t="str">
        <f>IFERROR(__xludf.DUMMYFUNCTION("""COMPUTED_VALUE"""),"Ben帳戶")</f>
        <v>Ben帳戶</v>
      </c>
      <c r="G2248" t="str">
        <f>IFERROR(__xludf.DUMMYFUNCTION("""COMPUTED_VALUE"""),"書香民生")</f>
        <v>書香民生</v>
      </c>
      <c r="H2248" s="106" t="str">
        <f t="shared" si="1"/>
        <v>2025-07</v>
      </c>
      <c r="I2248" s="271" t="str">
        <f>IFERROR(__xludf.DUMMYFUNCTION("""COMPUTED_VALUE"""),"貓狗企鵝")</f>
        <v>貓狗企鵝</v>
      </c>
      <c r="J2248" t="str">
        <f>IFERROR(__xludf.DUMMYFUNCTION("IFS(
  AND(REGEXMATCH(E2248, ""台銀籌備帳戶|玉山帳戶""), REGEXMATCH(C2248, ""薪資"")), ""分潤支出"",
  AND(REGEXMATCH(E2248, ""Ben帳戶|Elsa帳戶|Ben代墊|Ariel代墊|中信銀行共用""), REGEXMATCH(F2248, ""Ben帳戶|Elsa帳戶|Ben代墊|Ariel代墊|中信銀行共用"")), ""內部轉帳(忽略)"",
  AND(E2248&lt;&gt;"""", F2248&lt;&gt;"""", N"&amp;"OT(REGEXMATCH(C2248, ""薪資""))), ""內部轉帳(忽略)"",
  REGEXMATCH(C2248, ""薪資""), ""薪資變動(不計入)"",
  REGEXMATCH(C2248, ""押金""), ""押金往來"",
  AND(E2248&lt;&gt;"""", F2248=""""), ""真實支出"",
  AND(E2248="""", F2248&lt;&gt;""""), ""真實收入"",
  TRUE, ""其他""
)"),"真實支出")</f>
        <v>真實支出</v>
      </c>
      <c r="K2248" s="270">
        <f t="shared" si="2"/>
        <v>-2293</v>
      </c>
      <c r="L2248">
        <f t="shared" si="3"/>
        <v>0</v>
      </c>
    </row>
    <row r="2249">
      <c r="A2249" s="107">
        <f>IFERROR(__xludf.DUMMYFUNCTION("""COMPUTED_VALUE"""),45846.0)</f>
        <v>45846</v>
      </c>
      <c r="B2249" t="str">
        <f>IFERROR(__xludf.DUMMYFUNCTION("""COMPUTED_VALUE"""),"潔客幫 6樓洗衣機清洗")</f>
        <v>潔客幫 6樓洗衣機清洗</v>
      </c>
      <c r="C2249" t="str">
        <f>IFERROR(__xludf.DUMMYFUNCTION("""COMPUTED_VALUE"""),"成本 - 租後修繕")</f>
        <v>成本 - 租後修繕</v>
      </c>
      <c r="D2249" s="270">
        <f>IFERROR(__xludf.DUMMYFUNCTION("""COMPUTED_VALUE"""),-1799.0)</f>
        <v>-1799</v>
      </c>
      <c r="E2249" t="str">
        <f>IFERROR(__xludf.DUMMYFUNCTION("""COMPUTED_VALUE"""),"Elsa帳戶")</f>
        <v>Elsa帳戶</v>
      </c>
      <c r="G2249" t="str">
        <f>IFERROR(__xludf.DUMMYFUNCTION("""COMPUTED_VALUE"""),"北醫醫師府")</f>
        <v>北醫醫師府</v>
      </c>
      <c r="H2249" s="106" t="str">
        <f t="shared" si="1"/>
        <v>2025-07</v>
      </c>
      <c r="I2249" s="271" t="str">
        <f>IFERROR(__xludf.DUMMYFUNCTION("""COMPUTED_VALUE"""),"貓狗企鵝")</f>
        <v>貓狗企鵝</v>
      </c>
      <c r="J2249" t="str">
        <f>IFERROR(__xludf.DUMMYFUNCTION("IFS(
  AND(REGEXMATCH(E2249, ""台銀籌備帳戶|玉山帳戶""), REGEXMATCH(C2249, ""薪資"")), ""分潤支出"",
  AND(REGEXMATCH(E2249, ""Ben帳戶|Elsa帳戶|Ben代墊|Ariel代墊|中信銀行共用""), REGEXMATCH(F2249, ""Ben帳戶|Elsa帳戶|Ben代墊|Ariel代墊|中信銀行共用"")), ""內部轉帳(忽略)"",
  AND(E2249&lt;&gt;"""", F2249&lt;&gt;"""", N"&amp;"OT(REGEXMATCH(C2249, ""薪資""))), ""內部轉帳(忽略)"",
  REGEXMATCH(C2249, ""薪資""), ""薪資變動(不計入)"",
  REGEXMATCH(C2249, ""押金""), ""押金往來"",
  AND(E2249&lt;&gt;"""", F2249=""""), ""真實支出"",
  AND(E2249="""", F2249&lt;&gt;""""), ""真實收入"",
  TRUE, ""其他""
)"),"真實支出")</f>
        <v>真實支出</v>
      </c>
      <c r="K2249" s="270">
        <f t="shared" si="2"/>
        <v>-1799</v>
      </c>
      <c r="L2249">
        <f t="shared" si="3"/>
        <v>0</v>
      </c>
    </row>
    <row r="2250">
      <c r="A2250" s="107">
        <f>IFERROR(__xludf.DUMMYFUNCTION("""COMPUTED_VALUE"""),45847.0)</f>
        <v>45847</v>
      </c>
      <c r="B2250" t="str">
        <f>IFERROR(__xludf.DUMMYFUNCTION("""COMPUTED_VALUE"""),"新生-&gt;書香 小玉")</f>
        <v>新生-&gt;書香 小玉</v>
      </c>
      <c r="C2250" t="str">
        <f>IFERROR(__xludf.DUMMYFUNCTION("""COMPUTED_VALUE"""),"成本 - 進場前裝潢費")</f>
        <v>成本 - 進場前裝潢費</v>
      </c>
      <c r="D2250" s="270">
        <f>IFERROR(__xludf.DUMMYFUNCTION("""COMPUTED_VALUE"""),-840.0)</f>
        <v>-840</v>
      </c>
      <c r="E2250" t="str">
        <f>IFERROR(__xludf.DUMMYFUNCTION("""COMPUTED_VALUE"""),"Ben帳戶")</f>
        <v>Ben帳戶</v>
      </c>
      <c r="G2250" t="str">
        <f>IFERROR(__xludf.DUMMYFUNCTION("""COMPUTED_VALUE"""),"書香民生")</f>
        <v>書香民生</v>
      </c>
      <c r="H2250" s="106" t="str">
        <f t="shared" si="1"/>
        <v>2025-07</v>
      </c>
      <c r="I2250" s="271" t="str">
        <f>IFERROR(__xludf.DUMMYFUNCTION("""COMPUTED_VALUE"""),"貓狗企鵝")</f>
        <v>貓狗企鵝</v>
      </c>
      <c r="J2250" t="str">
        <f>IFERROR(__xludf.DUMMYFUNCTION("IFS(
  AND(REGEXMATCH(E2250, ""台銀籌備帳戶|玉山帳戶""), REGEXMATCH(C2250, ""薪資"")), ""分潤支出"",
  AND(REGEXMATCH(E2250, ""Ben帳戶|Elsa帳戶|Ben代墊|Ariel代墊|中信銀行共用""), REGEXMATCH(F2250, ""Ben帳戶|Elsa帳戶|Ben代墊|Ariel代墊|中信銀行共用"")), ""內部轉帳(忽略)"",
  AND(E2250&lt;&gt;"""", F2250&lt;&gt;"""", N"&amp;"OT(REGEXMATCH(C2250, ""薪資""))), ""內部轉帳(忽略)"",
  REGEXMATCH(C2250, ""薪資""), ""薪資變動(不計入)"",
  REGEXMATCH(C2250, ""押金""), ""押金往來"",
  AND(E2250&lt;&gt;"""", F2250=""""), ""真實支出"",
  AND(E2250="""", F2250&lt;&gt;""""), ""真實收入"",
  TRUE, ""其他""
)"),"真實支出")</f>
        <v>真實支出</v>
      </c>
      <c r="K2250" s="270">
        <f t="shared" si="2"/>
        <v>-840</v>
      </c>
      <c r="L2250">
        <f t="shared" si="3"/>
        <v>0</v>
      </c>
    </row>
    <row r="2251">
      <c r="A2251" s="107">
        <f>IFERROR(__xludf.DUMMYFUNCTION("""COMPUTED_VALUE"""),45847.0)</f>
        <v>45847</v>
      </c>
      <c r="B2251" t="str">
        <f>IFERROR(__xludf.DUMMYFUNCTION("""COMPUTED_VALUE"""),"大湖E房書桌")</f>
        <v>大湖E房書桌</v>
      </c>
      <c r="C2251" t="str">
        <f>IFERROR(__xludf.DUMMYFUNCTION("""COMPUTED_VALUE"""),"成本 - 租後修繕")</f>
        <v>成本 - 租後修繕</v>
      </c>
      <c r="D2251" s="270">
        <f>IFERROR(__xludf.DUMMYFUNCTION("""COMPUTED_VALUE"""),-1174.0)</f>
        <v>-1174</v>
      </c>
      <c r="E2251" t="str">
        <f>IFERROR(__xludf.DUMMYFUNCTION("""COMPUTED_VALUE"""),"Elsa帳戶")</f>
        <v>Elsa帳戶</v>
      </c>
      <c r="G2251" t="str">
        <f>IFERROR(__xludf.DUMMYFUNCTION("""COMPUTED_VALUE"""),"大湖山莊")</f>
        <v>大湖山莊</v>
      </c>
      <c r="H2251" s="106" t="str">
        <f t="shared" si="1"/>
        <v>2025-07</v>
      </c>
      <c r="I2251" s="271" t="str">
        <f>IFERROR(__xludf.DUMMYFUNCTION("""COMPUTED_VALUE"""),"貓狗企鵝")</f>
        <v>貓狗企鵝</v>
      </c>
      <c r="J2251" t="str">
        <f>IFERROR(__xludf.DUMMYFUNCTION("IFS(
  AND(REGEXMATCH(E2251, ""台銀籌備帳戶|玉山帳戶""), REGEXMATCH(C2251, ""薪資"")), ""分潤支出"",
  AND(REGEXMATCH(E2251, ""Ben帳戶|Elsa帳戶|Ben代墊|Ariel代墊|中信銀行共用""), REGEXMATCH(F2251, ""Ben帳戶|Elsa帳戶|Ben代墊|Ariel代墊|中信銀行共用"")), ""內部轉帳(忽略)"",
  AND(E2251&lt;&gt;"""", F2251&lt;&gt;"""", N"&amp;"OT(REGEXMATCH(C2251, ""薪資""))), ""內部轉帳(忽略)"",
  REGEXMATCH(C2251, ""薪資""), ""薪資變動(不計入)"",
  REGEXMATCH(C2251, ""押金""), ""押金往來"",
  AND(E2251&lt;&gt;"""", F2251=""""), ""真實支出"",
  AND(E2251="""", F2251&lt;&gt;""""), ""真實收入"",
  TRUE, ""其他""
)"),"真實支出")</f>
        <v>真實支出</v>
      </c>
      <c r="K2251" s="270">
        <f t="shared" si="2"/>
        <v>-1174</v>
      </c>
      <c r="L2251">
        <f t="shared" si="3"/>
        <v>0</v>
      </c>
    </row>
    <row r="2252">
      <c r="A2252" s="107">
        <f>IFERROR(__xludf.DUMMYFUNCTION("""COMPUTED_VALUE"""),45846.0)</f>
        <v>45846</v>
      </c>
      <c r="B2252" t="str">
        <f>IFERROR(__xludf.DUMMYFUNCTION("""COMPUTED_VALUE"""),"大湖垃圾代收下半年份")</f>
        <v>大湖垃圾代收下半年份</v>
      </c>
      <c r="C2252" t="str">
        <f>IFERROR(__xludf.DUMMYFUNCTION("""COMPUTED_VALUE"""),"成本 - 固定開銷(網路代收清潔)")</f>
        <v>成本 - 固定開銷(網路代收清潔)</v>
      </c>
      <c r="D2252" s="270">
        <f>IFERROR(__xludf.DUMMYFUNCTION("""COMPUTED_VALUE"""),-3000.0)</f>
        <v>-3000</v>
      </c>
      <c r="E2252" t="str">
        <f>IFERROR(__xludf.DUMMYFUNCTION("""COMPUTED_VALUE"""),"Ben帳戶")</f>
        <v>Ben帳戶</v>
      </c>
      <c r="G2252" t="str">
        <f>IFERROR(__xludf.DUMMYFUNCTION("""COMPUTED_VALUE"""),"書香民生")</f>
        <v>書香民生</v>
      </c>
      <c r="H2252" s="106" t="str">
        <f t="shared" si="1"/>
        <v>2025-07</v>
      </c>
      <c r="I2252" s="271" t="str">
        <f>IFERROR(__xludf.DUMMYFUNCTION("""COMPUTED_VALUE"""),"貓狗企鵝")</f>
        <v>貓狗企鵝</v>
      </c>
      <c r="J2252" t="str">
        <f>IFERROR(__xludf.DUMMYFUNCTION("IFS(
  AND(REGEXMATCH(E2252, ""台銀籌備帳戶|玉山帳戶""), REGEXMATCH(C2252, ""薪資"")), ""分潤支出"",
  AND(REGEXMATCH(E2252, ""Ben帳戶|Elsa帳戶|Ben代墊|Ariel代墊|中信銀行共用""), REGEXMATCH(F2252, ""Ben帳戶|Elsa帳戶|Ben代墊|Ariel代墊|中信銀行共用"")), ""內部轉帳(忽略)"",
  AND(E2252&lt;&gt;"""", F2252&lt;&gt;"""", N"&amp;"OT(REGEXMATCH(C2252, ""薪資""))), ""內部轉帳(忽略)"",
  REGEXMATCH(C2252, ""薪資""), ""薪資變動(不計入)"",
  REGEXMATCH(C2252, ""押金""), ""押金往來"",
  AND(E2252&lt;&gt;"""", F2252=""""), ""真實支出"",
  AND(E2252="""", F2252&lt;&gt;""""), ""真實收入"",
  TRUE, ""其他""
)"),"真實支出")</f>
        <v>真實支出</v>
      </c>
      <c r="K2252" s="270">
        <f t="shared" si="2"/>
        <v>-3000</v>
      </c>
      <c r="L2252">
        <f t="shared" si="3"/>
        <v>0</v>
      </c>
    </row>
    <row r="2253">
      <c r="A2253" s="107">
        <f>IFERROR(__xludf.DUMMYFUNCTION("""COMPUTED_VALUE"""),45852.0)</f>
        <v>45852</v>
      </c>
      <c r="B2253" t="str">
        <f>IFERROR(__xludf.DUMMYFUNCTION("""COMPUTED_VALUE"""),"591 書香")</f>
        <v>591 書香</v>
      </c>
      <c r="C2253" t="str">
        <f>IFERROR(__xludf.DUMMYFUNCTION("""COMPUTED_VALUE"""),"成本 - 仲介費")</f>
        <v>成本 - 仲介費</v>
      </c>
      <c r="D2253" s="270">
        <f>IFERROR(__xludf.DUMMYFUNCTION("""COMPUTED_VALUE"""),-1289.0)</f>
        <v>-1289</v>
      </c>
      <c r="E2253" t="str">
        <f>IFERROR(__xludf.DUMMYFUNCTION("""COMPUTED_VALUE"""),"Elsa帳戶")</f>
        <v>Elsa帳戶</v>
      </c>
      <c r="G2253" t="str">
        <f>IFERROR(__xludf.DUMMYFUNCTION("""COMPUTED_VALUE"""),"書香民生")</f>
        <v>書香民生</v>
      </c>
      <c r="H2253" s="106" t="str">
        <f t="shared" si="1"/>
        <v>2025-07</v>
      </c>
      <c r="I2253" s="271" t="str">
        <f>IFERROR(__xludf.DUMMYFUNCTION("""COMPUTED_VALUE"""),"貓狗企鵝")</f>
        <v>貓狗企鵝</v>
      </c>
      <c r="J2253" t="str">
        <f>IFERROR(__xludf.DUMMYFUNCTION("IFS(
  AND(REGEXMATCH(E2253, ""台銀籌備帳戶|玉山帳戶""), REGEXMATCH(C2253, ""薪資"")), ""分潤支出"",
  AND(REGEXMATCH(E2253, ""Ben帳戶|Elsa帳戶|Ben代墊|Ariel代墊|中信銀行共用""), REGEXMATCH(F2253, ""Ben帳戶|Elsa帳戶|Ben代墊|Ariel代墊|中信銀行共用"")), ""內部轉帳(忽略)"",
  AND(E2253&lt;&gt;"""", F2253&lt;&gt;"""", N"&amp;"OT(REGEXMATCH(C2253, ""薪資""))), ""內部轉帳(忽略)"",
  REGEXMATCH(C2253, ""薪資""), ""薪資變動(不計入)"",
  REGEXMATCH(C2253, ""押金""), ""押金往來"",
  AND(E2253&lt;&gt;"""", F2253=""""), ""真實支出"",
  AND(E2253="""", F2253&lt;&gt;""""), ""真實收入"",
  TRUE, ""其他""
)"),"真實支出")</f>
        <v>真實支出</v>
      </c>
      <c r="K2253" s="270">
        <f t="shared" si="2"/>
        <v>-1289</v>
      </c>
      <c r="L2253">
        <f t="shared" si="3"/>
        <v>0</v>
      </c>
    </row>
    <row r="2254">
      <c r="A2254" s="107">
        <f>IFERROR(__xludf.DUMMYFUNCTION("""COMPUTED_VALUE"""),45852.0)</f>
        <v>45852</v>
      </c>
      <c r="B2254" t="str">
        <f>IFERROR(__xludf.DUMMYFUNCTION("""COMPUTED_VALUE"""),"591 大湖")</f>
        <v>591 大湖</v>
      </c>
      <c r="C2254" t="str">
        <f>IFERROR(__xludf.DUMMYFUNCTION("""COMPUTED_VALUE"""),"成本 - 仲介費")</f>
        <v>成本 - 仲介費</v>
      </c>
      <c r="D2254" s="270">
        <f>IFERROR(__xludf.DUMMYFUNCTION("""COMPUTED_VALUE"""),-1289.0)</f>
        <v>-1289</v>
      </c>
      <c r="E2254" t="str">
        <f>IFERROR(__xludf.DUMMYFUNCTION("""COMPUTED_VALUE"""),"Elsa帳戶")</f>
        <v>Elsa帳戶</v>
      </c>
      <c r="G2254" t="str">
        <f>IFERROR(__xludf.DUMMYFUNCTION("""COMPUTED_VALUE"""),"大湖山莊")</f>
        <v>大湖山莊</v>
      </c>
      <c r="H2254" s="106" t="str">
        <f t="shared" si="1"/>
        <v>2025-07</v>
      </c>
      <c r="I2254" s="271" t="str">
        <f>IFERROR(__xludf.DUMMYFUNCTION("""COMPUTED_VALUE"""),"貓狗企鵝")</f>
        <v>貓狗企鵝</v>
      </c>
      <c r="J2254" t="str">
        <f>IFERROR(__xludf.DUMMYFUNCTION("IFS(
  AND(REGEXMATCH(E2254, ""台銀籌備帳戶|玉山帳戶""), REGEXMATCH(C2254, ""薪資"")), ""分潤支出"",
  AND(REGEXMATCH(E2254, ""Ben帳戶|Elsa帳戶|Ben代墊|Ariel代墊|中信銀行共用""), REGEXMATCH(F2254, ""Ben帳戶|Elsa帳戶|Ben代墊|Ariel代墊|中信銀行共用"")), ""內部轉帳(忽略)"",
  AND(E2254&lt;&gt;"""", F2254&lt;&gt;"""", N"&amp;"OT(REGEXMATCH(C2254, ""薪資""))), ""內部轉帳(忽略)"",
  REGEXMATCH(C2254, ""薪資""), ""薪資變動(不計入)"",
  REGEXMATCH(C2254, ""押金""), ""押金往來"",
  AND(E2254&lt;&gt;"""", F2254=""""), ""真實支出"",
  AND(E2254="""", F2254&lt;&gt;""""), ""真實收入"",
  TRUE, ""其他""
)"),"真實支出")</f>
        <v>真實支出</v>
      </c>
      <c r="K2254" s="270">
        <f t="shared" si="2"/>
        <v>-1289</v>
      </c>
      <c r="L2254">
        <f t="shared" si="3"/>
        <v>0</v>
      </c>
    </row>
    <row r="2255">
      <c r="A2255" s="107">
        <f>IFERROR(__xludf.DUMMYFUNCTION("""COMPUTED_VALUE"""),45853.0)</f>
        <v>45853</v>
      </c>
      <c r="B2255" t="str">
        <f>IFERROR(__xludf.DUMMYFUNCTION("""COMPUTED_VALUE"""),"AI錄音訂閱")</f>
        <v>AI錄音訂閱</v>
      </c>
      <c r="C2255" t="str">
        <f>IFERROR(__xludf.DUMMYFUNCTION("""COMPUTED_VALUE"""),"費用 - 辦公用品")</f>
        <v>費用 - 辦公用品</v>
      </c>
      <c r="D2255" s="270">
        <f>IFERROR(__xludf.DUMMYFUNCTION("""COMPUTED_VALUE"""),-4280.0)</f>
        <v>-4280</v>
      </c>
      <c r="E2255" t="str">
        <f>IFERROR(__xludf.DUMMYFUNCTION("""COMPUTED_VALUE"""),"Ben帳戶")</f>
        <v>Ben帳戶</v>
      </c>
      <c r="G2255" t="str">
        <f>IFERROR(__xludf.DUMMYFUNCTION("""COMPUTED_VALUE"""),"無法分類")</f>
        <v>無法分類</v>
      </c>
      <c r="H2255" s="106" t="str">
        <f t="shared" si="1"/>
        <v>2025-07</v>
      </c>
      <c r="I2255" s="271" t="str">
        <f>IFERROR(__xludf.DUMMYFUNCTION("""COMPUTED_VALUE"""),"貓狗企鵝")</f>
        <v>貓狗企鵝</v>
      </c>
      <c r="J2255" t="str">
        <f>IFERROR(__xludf.DUMMYFUNCTION("IFS(
  AND(REGEXMATCH(E2255, ""台銀籌備帳戶|玉山帳戶""), REGEXMATCH(C2255, ""薪資"")), ""分潤支出"",
  AND(REGEXMATCH(E2255, ""Ben帳戶|Elsa帳戶|Ben代墊|Ariel代墊|中信銀行共用""), REGEXMATCH(F2255, ""Ben帳戶|Elsa帳戶|Ben代墊|Ariel代墊|中信銀行共用"")), ""內部轉帳(忽略)"",
  AND(E2255&lt;&gt;"""", F2255&lt;&gt;"""", N"&amp;"OT(REGEXMATCH(C2255, ""薪資""))), ""內部轉帳(忽略)"",
  REGEXMATCH(C2255, ""薪資""), ""薪資變動(不計入)"",
  REGEXMATCH(C2255, ""押金""), ""押金往來"",
  AND(E2255&lt;&gt;"""", F2255=""""), ""真實支出"",
  AND(E2255="""", F2255&lt;&gt;""""), ""真實收入"",
  TRUE, ""其他""
)"),"真實支出")</f>
        <v>真實支出</v>
      </c>
      <c r="K2255" s="270">
        <f t="shared" si="2"/>
        <v>-4280</v>
      </c>
      <c r="L2255">
        <f t="shared" si="3"/>
        <v>0</v>
      </c>
    </row>
    <row r="2256">
      <c r="A2256" s="107">
        <f>IFERROR(__xludf.DUMMYFUNCTION("""COMPUTED_VALUE"""),45854.0)</f>
        <v>45854</v>
      </c>
      <c r="B2256" t="str">
        <f>IFERROR(__xludf.DUMMYFUNCTION("""COMPUTED_VALUE"""),"書香B窗簾 補訂")</f>
        <v>書香B窗簾 補訂</v>
      </c>
      <c r="C2256" t="str">
        <f>IFERROR(__xludf.DUMMYFUNCTION("""COMPUTED_VALUE"""),"成本 - 進場前裝潢費")</f>
        <v>成本 - 進場前裝潢費</v>
      </c>
      <c r="D2256" s="270">
        <f>IFERROR(__xludf.DUMMYFUNCTION("""COMPUTED_VALUE"""),-600.0)</f>
        <v>-600</v>
      </c>
      <c r="E2256" t="str">
        <f>IFERROR(__xludf.DUMMYFUNCTION("""COMPUTED_VALUE"""),"Ben帳戶")</f>
        <v>Ben帳戶</v>
      </c>
      <c r="G2256" t="str">
        <f>IFERROR(__xludf.DUMMYFUNCTION("""COMPUTED_VALUE"""),"書香民生")</f>
        <v>書香民生</v>
      </c>
      <c r="H2256" s="106" t="str">
        <f t="shared" si="1"/>
        <v>2025-07</v>
      </c>
      <c r="I2256" s="271" t="str">
        <f>IFERROR(__xludf.DUMMYFUNCTION("""COMPUTED_VALUE"""),"貓狗企鵝")</f>
        <v>貓狗企鵝</v>
      </c>
      <c r="J2256" t="str">
        <f>IFERROR(__xludf.DUMMYFUNCTION("IFS(
  AND(REGEXMATCH(E2256, ""台銀籌備帳戶|玉山帳戶""), REGEXMATCH(C2256, ""薪資"")), ""分潤支出"",
  AND(REGEXMATCH(E2256, ""Ben帳戶|Elsa帳戶|Ben代墊|Ariel代墊|中信銀行共用""), REGEXMATCH(F2256, ""Ben帳戶|Elsa帳戶|Ben代墊|Ariel代墊|中信銀行共用"")), ""內部轉帳(忽略)"",
  AND(E2256&lt;&gt;"""", F2256&lt;&gt;"""", N"&amp;"OT(REGEXMATCH(C2256, ""薪資""))), ""內部轉帳(忽略)"",
  REGEXMATCH(C2256, ""薪資""), ""薪資變動(不計入)"",
  REGEXMATCH(C2256, ""押金""), ""押金往來"",
  AND(E2256&lt;&gt;"""", F2256=""""), ""真實支出"",
  AND(E2256="""", F2256&lt;&gt;""""), ""真實收入"",
  TRUE, ""其他""
)"),"真實支出")</f>
        <v>真實支出</v>
      </c>
      <c r="K2256" s="270">
        <f t="shared" si="2"/>
        <v>-600</v>
      </c>
      <c r="L2256">
        <f t="shared" si="3"/>
        <v>0</v>
      </c>
    </row>
    <row r="2257">
      <c r="A2257" s="107">
        <f>IFERROR(__xludf.DUMMYFUNCTION("""COMPUTED_VALUE"""),45854.0)</f>
        <v>45854</v>
      </c>
      <c r="B2257" t="str">
        <f>IFERROR(__xludf.DUMMYFUNCTION("""COMPUTED_VALUE"""),"大湖 網路 凱擘")</f>
        <v>大湖 網路 凱擘</v>
      </c>
      <c r="C2257" t="str">
        <f>IFERROR(__xludf.DUMMYFUNCTION("""COMPUTED_VALUE"""),"成本 - 固定開銷(網路代收清潔)")</f>
        <v>成本 - 固定開銷(網路代收清潔)</v>
      </c>
      <c r="D2257" s="270">
        <f>IFERROR(__xludf.DUMMYFUNCTION("""COMPUTED_VALUE"""),-2997.0)</f>
        <v>-2997</v>
      </c>
      <c r="E2257" t="str">
        <f>IFERROR(__xludf.DUMMYFUNCTION("""COMPUTED_VALUE"""),"Ben帳戶")</f>
        <v>Ben帳戶</v>
      </c>
      <c r="G2257" t="str">
        <f>IFERROR(__xludf.DUMMYFUNCTION("""COMPUTED_VALUE"""),"大湖山莊")</f>
        <v>大湖山莊</v>
      </c>
      <c r="H2257" s="106" t="str">
        <f t="shared" si="1"/>
        <v>2025-07</v>
      </c>
      <c r="I2257" s="271" t="str">
        <f>IFERROR(__xludf.DUMMYFUNCTION("""COMPUTED_VALUE"""),"貓狗企鵝")</f>
        <v>貓狗企鵝</v>
      </c>
      <c r="J2257" t="str">
        <f>IFERROR(__xludf.DUMMYFUNCTION("IFS(
  AND(REGEXMATCH(E2257, ""台銀籌備帳戶|玉山帳戶""), REGEXMATCH(C2257, ""薪資"")), ""分潤支出"",
  AND(REGEXMATCH(E2257, ""Ben帳戶|Elsa帳戶|Ben代墊|Ariel代墊|中信銀行共用""), REGEXMATCH(F2257, ""Ben帳戶|Elsa帳戶|Ben代墊|Ariel代墊|中信銀行共用"")), ""內部轉帳(忽略)"",
  AND(E2257&lt;&gt;"""", F2257&lt;&gt;"""", N"&amp;"OT(REGEXMATCH(C2257, ""薪資""))), ""內部轉帳(忽略)"",
  REGEXMATCH(C2257, ""薪資""), ""薪資變動(不計入)"",
  REGEXMATCH(C2257, ""押金""), ""押金往來"",
  AND(E2257&lt;&gt;"""", F2257=""""), ""真實支出"",
  AND(E2257="""", F2257&lt;&gt;""""), ""真實收入"",
  TRUE, ""其他""
)"),"真實支出")</f>
        <v>真實支出</v>
      </c>
      <c r="K2257" s="270">
        <f t="shared" si="2"/>
        <v>-2997</v>
      </c>
      <c r="L2257">
        <f t="shared" si="3"/>
        <v>0</v>
      </c>
    </row>
    <row r="2258">
      <c r="A2258" s="107">
        <f>IFERROR(__xludf.DUMMYFUNCTION("""COMPUTED_VALUE"""),45854.0)</f>
        <v>45854</v>
      </c>
      <c r="B2258" t="str">
        <f>IFERROR(__xludf.DUMMYFUNCTION("""COMPUTED_VALUE"""),"寶琳清潔")</f>
        <v>寶琳清潔</v>
      </c>
      <c r="C2258" t="str">
        <f>IFERROR(__xludf.DUMMYFUNCTION("""COMPUTED_VALUE"""),"成本 - 進場前裝潢費")</f>
        <v>成本 - 進場前裝潢費</v>
      </c>
      <c r="D2258" s="270">
        <f>IFERROR(__xludf.DUMMYFUNCTION("""COMPUTED_VALUE"""),-1575.0)</f>
        <v>-1575</v>
      </c>
      <c r="E2258" t="str">
        <f>IFERROR(__xludf.DUMMYFUNCTION("""COMPUTED_VALUE"""),"Elsa帳戶")</f>
        <v>Elsa帳戶</v>
      </c>
      <c r="G2258" t="str">
        <f>IFERROR(__xludf.DUMMYFUNCTION("""COMPUTED_VALUE"""),"書香民生")</f>
        <v>書香民生</v>
      </c>
      <c r="H2258" s="106" t="str">
        <f t="shared" si="1"/>
        <v>2025-07</v>
      </c>
      <c r="I2258" s="271" t="str">
        <f>IFERROR(__xludf.DUMMYFUNCTION("""COMPUTED_VALUE"""),"貓狗企鵝")</f>
        <v>貓狗企鵝</v>
      </c>
      <c r="J2258" t="str">
        <f>IFERROR(__xludf.DUMMYFUNCTION("IFS(
  AND(REGEXMATCH(E2258, ""台銀籌備帳戶|玉山帳戶""), REGEXMATCH(C2258, ""薪資"")), ""分潤支出"",
  AND(REGEXMATCH(E2258, ""Ben帳戶|Elsa帳戶|Ben代墊|Ariel代墊|中信銀行共用""), REGEXMATCH(F2258, ""Ben帳戶|Elsa帳戶|Ben代墊|Ariel代墊|中信銀行共用"")), ""內部轉帳(忽略)"",
  AND(E2258&lt;&gt;"""", F2258&lt;&gt;"""", N"&amp;"OT(REGEXMATCH(C2258, ""薪資""))), ""內部轉帳(忽略)"",
  REGEXMATCH(C2258, ""薪資""), ""薪資變動(不計入)"",
  REGEXMATCH(C2258, ""押金""), ""押金往來"",
  AND(E2258&lt;&gt;"""", F2258=""""), ""真實支出"",
  AND(E2258="""", F2258&lt;&gt;""""), ""真實收入"",
  TRUE, ""其他""
)"),"真實支出")</f>
        <v>真實支出</v>
      </c>
      <c r="K2258" s="270">
        <f t="shared" si="2"/>
        <v>-1575</v>
      </c>
      <c r="L2258">
        <f t="shared" si="3"/>
        <v>0</v>
      </c>
    </row>
    <row r="2259">
      <c r="A2259" s="107">
        <f>IFERROR(__xludf.DUMMYFUNCTION("""COMPUTED_VALUE"""),45859.0)</f>
        <v>45859</v>
      </c>
      <c r="B2259" t="str">
        <f>IFERROR(__xludf.DUMMYFUNCTION("""COMPUTED_VALUE"""),"書香B窗簾 運費")</f>
        <v>書香B窗簾 運費</v>
      </c>
      <c r="C2259" t="str">
        <f>IFERROR(__xludf.DUMMYFUNCTION("""COMPUTED_VALUE"""),"成本 - 進場前裝潢費")</f>
        <v>成本 - 進場前裝潢費</v>
      </c>
      <c r="D2259" s="270">
        <f>IFERROR(__xludf.DUMMYFUNCTION("""COMPUTED_VALUE"""),-240.0)</f>
        <v>-240</v>
      </c>
      <c r="E2259" t="str">
        <f>IFERROR(__xludf.DUMMYFUNCTION("""COMPUTED_VALUE"""),"Ben帳戶")</f>
        <v>Ben帳戶</v>
      </c>
      <c r="G2259" t="str">
        <f>IFERROR(__xludf.DUMMYFUNCTION("""COMPUTED_VALUE"""),"書香民生")</f>
        <v>書香民生</v>
      </c>
      <c r="H2259" s="106" t="str">
        <f t="shared" si="1"/>
        <v>2025-07</v>
      </c>
      <c r="I2259" s="271" t="str">
        <f>IFERROR(__xludf.DUMMYFUNCTION("""COMPUTED_VALUE"""),"貓狗企鵝")</f>
        <v>貓狗企鵝</v>
      </c>
      <c r="J2259" t="str">
        <f>IFERROR(__xludf.DUMMYFUNCTION("IFS(
  AND(REGEXMATCH(E2259, ""台銀籌備帳戶|玉山帳戶""), REGEXMATCH(C2259, ""薪資"")), ""分潤支出"",
  AND(REGEXMATCH(E2259, ""Ben帳戶|Elsa帳戶|Ben代墊|Ariel代墊|中信銀行共用""), REGEXMATCH(F2259, ""Ben帳戶|Elsa帳戶|Ben代墊|Ariel代墊|中信銀行共用"")), ""內部轉帳(忽略)"",
  AND(E2259&lt;&gt;"""", F2259&lt;&gt;"""", N"&amp;"OT(REGEXMATCH(C2259, ""薪資""))), ""內部轉帳(忽略)"",
  REGEXMATCH(C2259, ""薪資""), ""薪資變動(不計入)"",
  REGEXMATCH(C2259, ""押金""), ""押金往來"",
  AND(E2259&lt;&gt;"""", F2259=""""), ""真實支出"",
  AND(E2259="""", F2259&lt;&gt;""""), ""真實收入"",
  TRUE, ""其他""
)"),"真實支出")</f>
        <v>真實支出</v>
      </c>
      <c r="K2259" s="270">
        <f t="shared" si="2"/>
        <v>-240</v>
      </c>
      <c r="L2259">
        <f t="shared" si="3"/>
        <v>0</v>
      </c>
    </row>
    <row r="2260">
      <c r="A2260" s="107">
        <f>IFERROR(__xludf.DUMMYFUNCTION("""COMPUTED_VALUE"""),45860.0)</f>
        <v>45860</v>
      </c>
      <c r="B2260" t="str">
        <f>IFERROR(__xludf.DUMMYFUNCTION("""COMPUTED_VALUE"""),"官網 Bluehost訂閱一年")</f>
        <v>官網 Bluehost訂閱一年</v>
      </c>
      <c r="C2260" t="str">
        <f>IFERROR(__xludf.DUMMYFUNCTION("""COMPUTED_VALUE"""),"費用 - 辦公用品")</f>
        <v>費用 - 辦公用品</v>
      </c>
      <c r="D2260" s="270">
        <f>IFERROR(__xludf.DUMMYFUNCTION("""COMPUTED_VALUE"""),-3000.0)</f>
        <v>-3000</v>
      </c>
      <c r="E2260" t="str">
        <f>IFERROR(__xludf.DUMMYFUNCTION("""COMPUTED_VALUE"""),"Ben帳戶")</f>
        <v>Ben帳戶</v>
      </c>
      <c r="H2260" s="106" t="str">
        <f t="shared" si="1"/>
        <v>2025-07</v>
      </c>
      <c r="I2260" s="271" t="str">
        <f>IFERROR(__xludf.DUMMYFUNCTION("""COMPUTED_VALUE"""),"貓狗企鵝")</f>
        <v>貓狗企鵝</v>
      </c>
      <c r="J2260" t="str">
        <f>IFERROR(__xludf.DUMMYFUNCTION("IFS(
  AND(REGEXMATCH(E2260, ""台銀籌備帳戶|玉山帳戶""), REGEXMATCH(C2260, ""薪資"")), ""分潤支出"",
  AND(REGEXMATCH(E2260, ""Ben帳戶|Elsa帳戶|Ben代墊|Ariel代墊|中信銀行共用""), REGEXMATCH(F2260, ""Ben帳戶|Elsa帳戶|Ben代墊|Ariel代墊|中信銀行共用"")), ""內部轉帳(忽略)"",
  AND(E2260&lt;&gt;"""", F2260&lt;&gt;"""", N"&amp;"OT(REGEXMATCH(C2260, ""薪資""))), ""內部轉帳(忽略)"",
  REGEXMATCH(C2260, ""薪資""), ""薪資變動(不計入)"",
  REGEXMATCH(C2260, ""押金""), ""押金往來"",
  AND(E2260&lt;&gt;"""", F2260=""""), ""真實支出"",
  AND(E2260="""", F2260&lt;&gt;""""), ""真實收入"",
  TRUE, ""其他""
)"),"真實支出")</f>
        <v>真實支出</v>
      </c>
      <c r="K2260" s="270">
        <f t="shared" si="2"/>
        <v>-3000</v>
      </c>
      <c r="L2260">
        <f t="shared" si="3"/>
        <v>0</v>
      </c>
    </row>
    <row r="2261">
      <c r="A2261" s="107">
        <f>IFERROR(__xludf.DUMMYFUNCTION("""COMPUTED_VALUE"""),45861.0)</f>
        <v>45861</v>
      </c>
      <c r="B2261" t="str">
        <f>IFERROR(__xludf.DUMMYFUNCTION("""COMPUTED_VALUE"""),"娘家網路 中嘉寬頻")</f>
        <v>娘家網路 中嘉寬頻</v>
      </c>
      <c r="C2261" t="str">
        <f>IFERROR(__xludf.DUMMYFUNCTION("""COMPUTED_VALUE"""),"成本 - 固定開銷(網路代收清潔)")</f>
        <v>成本 - 固定開銷(網路代收清潔)</v>
      </c>
      <c r="D2261" s="270">
        <f>IFERROR(__xludf.DUMMYFUNCTION("""COMPUTED_VALUE"""),-1197.0)</f>
        <v>-1197</v>
      </c>
      <c r="E2261" t="str">
        <f>IFERROR(__xludf.DUMMYFUNCTION("""COMPUTED_VALUE"""),"Ben帳戶")</f>
        <v>Ben帳戶</v>
      </c>
      <c r="G2261" t="str">
        <f>IFERROR(__xludf.DUMMYFUNCTION("""COMPUTED_VALUE"""),"中山北娘家旁")</f>
        <v>中山北娘家旁</v>
      </c>
      <c r="H2261" s="106" t="str">
        <f t="shared" si="1"/>
        <v>2025-07</v>
      </c>
      <c r="I2261" s="271" t="str">
        <f>IFERROR(__xludf.DUMMYFUNCTION("""COMPUTED_VALUE"""),"貓狗企鵝")</f>
        <v>貓狗企鵝</v>
      </c>
      <c r="J2261" t="str">
        <f>IFERROR(__xludf.DUMMYFUNCTION("IFS(
  AND(REGEXMATCH(E2261, ""台銀籌備帳戶|玉山帳戶""), REGEXMATCH(C2261, ""薪資"")), ""分潤支出"",
  AND(REGEXMATCH(E2261, ""Ben帳戶|Elsa帳戶|Ben代墊|Ariel代墊|中信銀行共用""), REGEXMATCH(F2261, ""Ben帳戶|Elsa帳戶|Ben代墊|Ariel代墊|中信銀行共用"")), ""內部轉帳(忽略)"",
  AND(E2261&lt;&gt;"""", F2261&lt;&gt;"""", N"&amp;"OT(REGEXMATCH(C2261, ""薪資""))), ""內部轉帳(忽略)"",
  REGEXMATCH(C2261, ""薪資""), ""薪資變動(不計入)"",
  REGEXMATCH(C2261, ""押金""), ""押金往來"",
  AND(E2261&lt;&gt;"""", F2261=""""), ""真實支出"",
  AND(E2261="""", F2261&lt;&gt;""""), ""真實收入"",
  TRUE, ""其他""
)"),"真實支出")</f>
        <v>真實支出</v>
      </c>
      <c r="K2261" s="270">
        <f t="shared" si="2"/>
        <v>-1197</v>
      </c>
      <c r="L2261">
        <f t="shared" si="3"/>
        <v>0</v>
      </c>
    </row>
    <row r="2262">
      <c r="A2262" s="107">
        <f>IFERROR(__xludf.DUMMYFUNCTION("""COMPUTED_VALUE"""),45863.0)</f>
        <v>45863</v>
      </c>
      <c r="B2262" t="str">
        <f>IFERROR(__xludf.DUMMYFUNCTION("""COMPUTED_VALUE"""),"垃可")</f>
        <v>垃可</v>
      </c>
      <c r="C2262" t="str">
        <f>IFERROR(__xludf.DUMMYFUNCTION("""COMPUTED_VALUE"""),"成本 - 固定開銷(網路代收清潔)")</f>
        <v>成本 - 固定開銷(網路代收清潔)</v>
      </c>
      <c r="D2262" s="270">
        <f>IFERROR(__xludf.DUMMYFUNCTION("""COMPUTED_VALUE"""),-4500.0)</f>
        <v>-4500</v>
      </c>
      <c r="E2262" t="str">
        <f>IFERROR(__xludf.DUMMYFUNCTION("""COMPUTED_VALUE"""),"Ben帳戶")</f>
        <v>Ben帳戶</v>
      </c>
      <c r="H2262" s="106" t="str">
        <f t="shared" si="1"/>
        <v>2025-07</v>
      </c>
      <c r="I2262" s="271" t="str">
        <f>IFERROR(__xludf.DUMMYFUNCTION("""COMPUTED_VALUE"""),"貓狗企鵝")</f>
        <v>貓狗企鵝</v>
      </c>
      <c r="J2262" t="str">
        <f>IFERROR(__xludf.DUMMYFUNCTION("IFS(
  AND(REGEXMATCH(E2262, ""台銀籌備帳戶|玉山帳戶""), REGEXMATCH(C2262, ""薪資"")), ""分潤支出"",
  AND(REGEXMATCH(E2262, ""Ben帳戶|Elsa帳戶|Ben代墊|Ariel代墊|中信銀行共用""), REGEXMATCH(F2262, ""Ben帳戶|Elsa帳戶|Ben代墊|Ariel代墊|中信銀行共用"")), ""內部轉帳(忽略)"",
  AND(E2262&lt;&gt;"""", F2262&lt;&gt;"""", N"&amp;"OT(REGEXMATCH(C2262, ""薪資""))), ""內部轉帳(忽略)"",
  REGEXMATCH(C2262, ""薪資""), ""薪資變動(不計入)"",
  REGEXMATCH(C2262, ""押金""), ""押金往來"",
  AND(E2262&lt;&gt;"""", F2262=""""), ""真實支出"",
  AND(E2262="""", F2262&lt;&gt;""""), ""真實收入"",
  TRUE, ""其他""
)"),"真實支出")</f>
        <v>真實支出</v>
      </c>
      <c r="K2262" s="270">
        <f t="shared" si="2"/>
        <v>-4500</v>
      </c>
      <c r="L2262">
        <f t="shared" si="3"/>
        <v>0</v>
      </c>
    </row>
    <row r="2263">
      <c r="A2263" s="107">
        <f>IFERROR(__xludf.DUMMYFUNCTION("""COMPUTED_VALUE"""),45870.0)</f>
        <v>45870</v>
      </c>
      <c r="B2263" t="str">
        <f>IFERROR(__xludf.DUMMYFUNCTION("""COMPUTED_VALUE"""),"北醫水電瓦斯退6樓")</f>
        <v>北醫水電瓦斯退6樓</v>
      </c>
      <c r="C2263" t="str">
        <f>IFERROR(__xludf.DUMMYFUNCTION("""COMPUTED_VALUE"""),"收入 - 押金")</f>
        <v>收入 - 押金</v>
      </c>
      <c r="D2263" s="270">
        <f>IFERROR(__xludf.DUMMYFUNCTION("""COMPUTED_VALUE"""),-1500.0)</f>
        <v>-1500</v>
      </c>
      <c r="E2263" t="str">
        <f>IFERROR(__xludf.DUMMYFUNCTION("""COMPUTED_VALUE"""),"Ben帳戶")</f>
        <v>Ben帳戶</v>
      </c>
      <c r="G2263" t="str">
        <f>IFERROR(__xludf.DUMMYFUNCTION("""COMPUTED_VALUE"""),"北醫醫師府")</f>
        <v>北醫醫師府</v>
      </c>
      <c r="H2263" s="106" t="str">
        <f t="shared" si="1"/>
        <v>2025-08</v>
      </c>
      <c r="I2263" s="271" t="str">
        <f>IFERROR(__xludf.DUMMYFUNCTION("""COMPUTED_VALUE"""),"貓狗企鵝")</f>
        <v>貓狗企鵝</v>
      </c>
      <c r="J2263" t="str">
        <f>IFERROR(__xludf.DUMMYFUNCTION("IFS(
  AND(REGEXMATCH(E2263, ""台銀籌備帳戶|玉山帳戶""), REGEXMATCH(C2263, ""薪資"")), ""分潤支出"",
  AND(REGEXMATCH(E2263, ""Ben帳戶|Elsa帳戶|Ben代墊|Ariel代墊|中信銀行共用""), REGEXMATCH(F2263, ""Ben帳戶|Elsa帳戶|Ben代墊|Ariel代墊|中信銀行共用"")), ""內部轉帳(忽略)"",
  AND(E2263&lt;&gt;"""", F2263&lt;&gt;"""", N"&amp;"OT(REGEXMATCH(C2263, ""薪資""))), ""內部轉帳(忽略)"",
  REGEXMATCH(C2263, ""薪資""), ""薪資變動(不計入)"",
  REGEXMATCH(C2263, ""押金""), ""押金往來"",
  AND(E2263&lt;&gt;"""", F2263=""""), ""真實支出"",
  AND(E2263="""", F2263&lt;&gt;""""), ""真實收入"",
  TRUE, ""其他""
)"),"押金往來")</f>
        <v>押金往來</v>
      </c>
      <c r="K2263">
        <f t="shared" si="2"/>
        <v>0</v>
      </c>
      <c r="L2263">
        <f t="shared" si="3"/>
        <v>0</v>
      </c>
    </row>
    <row r="2264">
      <c r="A2264" s="107">
        <f>IFERROR(__xludf.DUMMYFUNCTION("""COMPUTED_VALUE"""),45871.0)</f>
        <v>45871</v>
      </c>
      <c r="B2264" t="str">
        <f>IFERROR(__xludf.DUMMYFUNCTION("""COMPUTED_VALUE"""),"小玉搬家")</f>
        <v>小玉搬家</v>
      </c>
      <c r="C2264" t="str">
        <f>IFERROR(__xludf.DUMMYFUNCTION("""COMPUTED_VALUE"""),"成本 - 進場前裝潢費")</f>
        <v>成本 - 進場前裝潢費</v>
      </c>
      <c r="D2264" s="270">
        <f>IFERROR(__xludf.DUMMYFUNCTION("""COMPUTED_VALUE"""),-1890.0)</f>
        <v>-1890</v>
      </c>
      <c r="E2264" t="str">
        <f>IFERROR(__xludf.DUMMYFUNCTION("""COMPUTED_VALUE"""),"Elsa帳戶")</f>
        <v>Elsa帳戶</v>
      </c>
      <c r="G2264" t="str">
        <f>IFERROR(__xludf.DUMMYFUNCTION("""COMPUTED_VALUE"""),"書香民生")</f>
        <v>書香民生</v>
      </c>
      <c r="H2264" s="106" t="str">
        <f t="shared" si="1"/>
        <v>2025-08</v>
      </c>
      <c r="I2264" s="271" t="str">
        <f>IFERROR(__xludf.DUMMYFUNCTION("""COMPUTED_VALUE"""),"貓狗企鵝")</f>
        <v>貓狗企鵝</v>
      </c>
      <c r="J2264" t="str">
        <f>IFERROR(__xludf.DUMMYFUNCTION("IFS(
  AND(REGEXMATCH(E2264, ""台銀籌備帳戶|玉山帳戶""), REGEXMATCH(C2264, ""薪資"")), ""分潤支出"",
  AND(REGEXMATCH(E2264, ""Ben帳戶|Elsa帳戶|Ben代墊|Ariel代墊|中信銀行共用""), REGEXMATCH(F2264, ""Ben帳戶|Elsa帳戶|Ben代墊|Ariel代墊|中信銀行共用"")), ""內部轉帳(忽略)"",
  AND(E2264&lt;&gt;"""", F2264&lt;&gt;"""", N"&amp;"OT(REGEXMATCH(C2264, ""薪資""))), ""內部轉帳(忽略)"",
  REGEXMATCH(C2264, ""薪資""), ""薪資變動(不計入)"",
  REGEXMATCH(C2264, ""押金""), ""押金往來"",
  AND(E2264&lt;&gt;"""", F2264=""""), ""真實支出"",
  AND(E2264="""", F2264&lt;&gt;""""), ""真實收入"",
  TRUE, ""其他""
)"),"真實支出")</f>
        <v>真實支出</v>
      </c>
      <c r="K2264" s="270">
        <f t="shared" si="2"/>
        <v>-1890</v>
      </c>
      <c r="L2264">
        <f t="shared" si="3"/>
        <v>0</v>
      </c>
    </row>
    <row r="2265">
      <c r="A2265" s="107">
        <f>IFERROR(__xludf.DUMMYFUNCTION("""COMPUTED_VALUE"""),45872.0)</f>
        <v>45872</v>
      </c>
      <c r="B2265" t="str">
        <f>IFERROR(__xludf.DUMMYFUNCTION("""COMPUTED_VALUE"""),"書香電費")</f>
        <v>書香電費</v>
      </c>
      <c r="C2265" t="str">
        <f>IFERROR(__xludf.DUMMYFUNCTION("""COMPUTED_VALUE"""),"成本 - 進場前裝潢費")</f>
        <v>成本 - 進場前裝潢費</v>
      </c>
      <c r="D2265" s="270">
        <f>IFERROR(__xludf.DUMMYFUNCTION("""COMPUTED_VALUE"""),-5738.0)</f>
        <v>-5738</v>
      </c>
      <c r="E2265" t="str">
        <f>IFERROR(__xludf.DUMMYFUNCTION("""COMPUTED_VALUE"""),"Ben帳戶")</f>
        <v>Ben帳戶</v>
      </c>
      <c r="G2265" t="str">
        <f>IFERROR(__xludf.DUMMYFUNCTION("""COMPUTED_VALUE"""),"書香民生")</f>
        <v>書香民生</v>
      </c>
      <c r="H2265" s="106" t="str">
        <f t="shared" si="1"/>
        <v>2025-08</v>
      </c>
      <c r="I2265" s="271" t="str">
        <f>IFERROR(__xludf.DUMMYFUNCTION("""COMPUTED_VALUE"""),"貓狗企鵝")</f>
        <v>貓狗企鵝</v>
      </c>
      <c r="J2265" t="str">
        <f>IFERROR(__xludf.DUMMYFUNCTION("IFS(
  AND(REGEXMATCH(E2265, ""台銀籌備帳戶|玉山帳戶""), REGEXMATCH(C2265, ""薪資"")), ""分潤支出"",
  AND(REGEXMATCH(E2265, ""Ben帳戶|Elsa帳戶|Ben代墊|Ariel代墊|中信銀行共用""), REGEXMATCH(F2265, ""Ben帳戶|Elsa帳戶|Ben代墊|Ariel代墊|中信銀行共用"")), ""內部轉帳(忽略)"",
  AND(E2265&lt;&gt;"""", F2265&lt;&gt;"""", N"&amp;"OT(REGEXMATCH(C2265, ""薪資""))), ""內部轉帳(忽略)"",
  REGEXMATCH(C2265, ""薪資""), ""薪資變動(不計入)"",
  REGEXMATCH(C2265, ""押金""), ""押金往來"",
  AND(E2265&lt;&gt;"""", F2265=""""), ""真實支出"",
  AND(E2265="""", F2265&lt;&gt;""""), ""真實收入"",
  TRUE, ""其他""
)"),"真實支出")</f>
        <v>真實支出</v>
      </c>
      <c r="K2265" s="270">
        <f t="shared" si="2"/>
        <v>-5738</v>
      </c>
      <c r="L2265">
        <f t="shared" si="3"/>
        <v>0</v>
      </c>
    </row>
    <row r="2266">
      <c r="A2266" s="107">
        <f>IFERROR(__xludf.DUMMYFUNCTION("""COMPUTED_VALUE"""),45873.0)</f>
        <v>45873</v>
      </c>
      <c r="B2266" t="str">
        <f>IFERROR(__xludf.DUMMYFUNCTION("""COMPUTED_VALUE"""),"寶琳 清潔3小時")</f>
        <v>寶琳 清潔3小時</v>
      </c>
      <c r="C2266" t="str">
        <f>IFERROR(__xludf.DUMMYFUNCTION("""COMPUTED_VALUE"""),"成本 - 租後修繕")</f>
        <v>成本 - 租後修繕</v>
      </c>
      <c r="D2266" s="270">
        <f>IFERROR(__xludf.DUMMYFUNCTION("""COMPUTED_VALUE"""),-1050.0)</f>
        <v>-1050</v>
      </c>
      <c r="E2266" t="str">
        <f>IFERROR(__xludf.DUMMYFUNCTION("""COMPUTED_VALUE"""),"Elsa帳戶")</f>
        <v>Elsa帳戶</v>
      </c>
      <c r="G2266" t="str">
        <f>IFERROR(__xludf.DUMMYFUNCTION("""COMPUTED_VALUE"""),"大湖山莊")</f>
        <v>大湖山莊</v>
      </c>
      <c r="H2266" s="106" t="str">
        <f t="shared" si="1"/>
        <v>2025-08</v>
      </c>
      <c r="I2266" s="271" t="str">
        <f>IFERROR(__xludf.DUMMYFUNCTION("""COMPUTED_VALUE"""),"貓狗企鵝")</f>
        <v>貓狗企鵝</v>
      </c>
      <c r="J2266" t="str">
        <f>IFERROR(__xludf.DUMMYFUNCTION("IFS(
  AND(REGEXMATCH(E2266, ""台銀籌備帳戶|玉山帳戶""), REGEXMATCH(C2266, ""薪資"")), ""分潤支出"",
  AND(REGEXMATCH(E2266, ""Ben帳戶|Elsa帳戶|Ben代墊|Ariel代墊|中信銀行共用""), REGEXMATCH(F2266, ""Ben帳戶|Elsa帳戶|Ben代墊|Ariel代墊|中信銀行共用"")), ""內部轉帳(忽略)"",
  AND(E2266&lt;&gt;"""", F2266&lt;&gt;"""", N"&amp;"OT(REGEXMATCH(C2266, ""薪資""))), ""內部轉帳(忽略)"",
  REGEXMATCH(C2266, ""薪資""), ""薪資變動(不計入)"",
  REGEXMATCH(C2266, ""押金""), ""押金往來"",
  AND(E2266&lt;&gt;"""", F2266=""""), ""真實支出"",
  AND(E2266="""", F2266&lt;&gt;""""), ""真實收入"",
  TRUE, ""其他""
)"),"真實支出")</f>
        <v>真實支出</v>
      </c>
      <c r="K2266" s="270">
        <f t="shared" si="2"/>
        <v>-1050</v>
      </c>
      <c r="L2266">
        <f t="shared" si="3"/>
        <v>0</v>
      </c>
    </row>
    <row r="2267">
      <c r="A2267" s="107">
        <f>IFERROR(__xludf.DUMMYFUNCTION("""COMPUTED_VALUE"""),45846.0)</f>
        <v>45846</v>
      </c>
      <c r="B2267" t="str">
        <f>IFERROR(__xludf.DUMMYFUNCTION("""COMPUTED_VALUE"""),"費用 - 匯費 對方行:012 後五碼:92486 (行號: 2)")</f>
        <v>費用 - 匯費 對方行:012 後五碼:92486 (行號: 2)</v>
      </c>
      <c r="C2267" t="str">
        <f>IFERROR(__xludf.DUMMYFUNCTION("""COMPUTED_VALUE"""),"費用 - 匯費")</f>
        <v>費用 - 匯費</v>
      </c>
      <c r="D2267" s="270">
        <f>IFERROR(__xludf.DUMMYFUNCTION("""COMPUTED_VALUE"""),-15.0)</f>
        <v>-15</v>
      </c>
      <c r="E2267" t="str">
        <f>IFERROR(__xludf.DUMMYFUNCTION("""COMPUTED_VALUE"""),"台銀籌備帳戶")</f>
        <v>台銀籌備帳戶</v>
      </c>
      <c r="H2267" s="106" t="str">
        <f t="shared" si="1"/>
        <v>2025-07</v>
      </c>
      <c r="I2267" s="271" t="str">
        <f>IFERROR(__xludf.DUMMYFUNCTION("""COMPUTED_VALUE"""),"貓狗企鵝")</f>
        <v>貓狗企鵝</v>
      </c>
      <c r="J2267" t="str">
        <f>IFERROR(__xludf.DUMMYFUNCTION("IFS(
  AND(REGEXMATCH(E2267, ""台銀籌備帳戶|玉山帳戶""), REGEXMATCH(C2267, ""薪資"")), ""分潤支出"",
  AND(REGEXMATCH(E2267, ""Ben帳戶|Elsa帳戶|Ben代墊|Ariel代墊|中信銀行共用""), REGEXMATCH(F2267, ""Ben帳戶|Elsa帳戶|Ben代墊|Ariel代墊|中信銀行共用"")), ""內部轉帳(忽略)"",
  AND(E2267&lt;&gt;"""", F2267&lt;&gt;"""", N"&amp;"OT(REGEXMATCH(C2267, ""薪資""))), ""內部轉帳(忽略)"",
  REGEXMATCH(C2267, ""薪資""), ""薪資變動(不計入)"",
  REGEXMATCH(C2267, ""押金""), ""押金往來"",
  AND(E2267&lt;&gt;"""", F2267=""""), ""真實支出"",
  AND(E2267="""", F2267&lt;&gt;""""), ""真實收入"",
  TRUE, ""其他""
)"),"真實支出")</f>
        <v>真實支出</v>
      </c>
      <c r="K2267" s="270">
        <f t="shared" si="2"/>
        <v>-15</v>
      </c>
      <c r="L2267">
        <f t="shared" si="3"/>
        <v>0</v>
      </c>
    </row>
    <row r="2268">
      <c r="A2268" s="107">
        <f>IFERROR(__xludf.DUMMYFUNCTION("""COMPUTED_VALUE"""),45846.0)</f>
        <v>45846</v>
      </c>
      <c r="B2268" t="str">
        <f>IFERROR(__xludf.DUMMYFUNCTION("""COMPUTED_VALUE"""),"阿虎設計費 ' 【未分類支出】")</f>
        <v>阿虎設計費 ' 【未分類支出】</v>
      </c>
      <c r="C2268" t="str">
        <f>IFERROR(__xludf.DUMMYFUNCTION("""COMPUTED_VALUE"""),"費用 - Salary 薪資")</f>
        <v>費用 - Salary 薪資</v>
      </c>
      <c r="D2268" s="270">
        <f>IFERROR(__xludf.DUMMYFUNCTION("""COMPUTED_VALUE"""),-180000.0)</f>
        <v>-180000</v>
      </c>
      <c r="E2268" t="str">
        <f>IFERROR(__xludf.DUMMYFUNCTION("""COMPUTED_VALUE"""),"台銀籌備帳戶")</f>
        <v>台銀籌備帳戶</v>
      </c>
      <c r="F2268" t="str">
        <f>IFERROR(__xludf.DUMMYFUNCTION("""COMPUTED_VALUE"""),"Elsa帳戶")</f>
        <v>Elsa帳戶</v>
      </c>
      <c r="H2268" s="106" t="str">
        <f t="shared" si="1"/>
        <v>2025-07</v>
      </c>
      <c r="I2268" s="271" t="str">
        <f>IFERROR(__xludf.DUMMYFUNCTION("""COMPUTED_VALUE"""),"貓狗企鵝")</f>
        <v>貓狗企鵝</v>
      </c>
      <c r="J2268" t="str">
        <f>IFERROR(__xludf.DUMMYFUNCTION("IFS(
  AND(REGEXMATCH(E2268, ""台銀籌備帳戶|玉山帳戶""), REGEXMATCH(C2268, ""薪資"")), ""分潤支出"",
  AND(REGEXMATCH(E2268, ""Ben帳戶|Elsa帳戶|Ben代墊|Ariel代墊|中信銀行共用""), REGEXMATCH(F2268, ""Ben帳戶|Elsa帳戶|Ben代墊|Ariel代墊|中信銀行共用"")), ""內部轉帳(忽略)"",
  AND(E2268&lt;&gt;"""", F2268&lt;&gt;"""", N"&amp;"OT(REGEXMATCH(C2268, ""薪資""))), ""內部轉帳(忽略)"",
  REGEXMATCH(C2268, ""薪資""), ""薪資變動(不計入)"",
  REGEXMATCH(C2268, ""押金""), ""押金往來"",
  AND(E2268&lt;&gt;"""", F2268=""""), ""真實支出"",
  AND(E2268="""", F2268&lt;&gt;""""), ""真實收入"",
  TRUE, ""其他""
)"),"分潤支出")</f>
        <v>分潤支出</v>
      </c>
      <c r="K2268">
        <f t="shared" si="2"/>
        <v>0</v>
      </c>
      <c r="L2268">
        <f t="shared" si="3"/>
        <v>180000</v>
      </c>
    </row>
    <row r="2269">
      <c r="A2269" s="107">
        <f>IFERROR(__xludf.DUMMYFUNCTION("""COMPUTED_VALUE"""),45846.0)</f>
        <v>45846</v>
      </c>
      <c r="B2269" t="str">
        <f>IFERROR(__xludf.DUMMYFUNCTION("""COMPUTED_VALUE"""),"費用 - 匯費 對方行:012 後五碼:54627 (行號: 3)")</f>
        <v>費用 - 匯費 對方行:012 後五碼:54627 (行號: 3)</v>
      </c>
      <c r="C2269" t="str">
        <f>IFERROR(__xludf.DUMMYFUNCTION("""COMPUTED_VALUE"""),"費用 - 匯費")</f>
        <v>費用 - 匯費</v>
      </c>
      <c r="D2269" s="270">
        <f>IFERROR(__xludf.DUMMYFUNCTION("""COMPUTED_VALUE"""),-15.0)</f>
        <v>-15</v>
      </c>
      <c r="E2269" t="str">
        <f>IFERROR(__xludf.DUMMYFUNCTION("""COMPUTED_VALUE"""),"台銀籌備帳戶")</f>
        <v>台銀籌備帳戶</v>
      </c>
      <c r="H2269" s="106" t="str">
        <f t="shared" si="1"/>
        <v>2025-07</v>
      </c>
      <c r="I2269" s="271" t="str">
        <f>IFERROR(__xludf.DUMMYFUNCTION("""COMPUTED_VALUE"""),"貓狗企鵝")</f>
        <v>貓狗企鵝</v>
      </c>
      <c r="J2269" t="str">
        <f>IFERROR(__xludf.DUMMYFUNCTION("IFS(
  AND(REGEXMATCH(E2269, ""台銀籌備帳戶|玉山帳戶""), REGEXMATCH(C2269, ""薪資"")), ""分潤支出"",
  AND(REGEXMATCH(E2269, ""Ben帳戶|Elsa帳戶|Ben代墊|Ariel代墊|中信銀行共用""), REGEXMATCH(F2269, ""Ben帳戶|Elsa帳戶|Ben代墊|Ariel代墊|中信銀行共用"")), ""內部轉帳(忽略)"",
  AND(E2269&lt;&gt;"""", F2269&lt;&gt;"""", N"&amp;"OT(REGEXMATCH(C2269, ""薪資""))), ""內部轉帳(忽略)"",
  REGEXMATCH(C2269, ""薪資""), ""薪資變動(不計入)"",
  REGEXMATCH(C2269, ""押金""), ""押金往來"",
  AND(E2269&lt;&gt;"""", F2269=""""), ""真實支出"",
  AND(E2269="""", F2269&lt;&gt;""""), ""真實收入"",
  TRUE, ""其他""
)"),"真實支出")</f>
        <v>真實支出</v>
      </c>
      <c r="K2269" s="270">
        <f t="shared" si="2"/>
        <v>-15</v>
      </c>
      <c r="L2269">
        <f t="shared" si="3"/>
        <v>0</v>
      </c>
    </row>
    <row r="2270">
      <c r="A2270" s="107">
        <f>IFERROR(__xludf.DUMMYFUNCTION("""COMPUTED_VALUE"""),45846.0)</f>
        <v>45846</v>
      </c>
      <c r="B2270" t="str">
        <f>IFERROR(__xludf.DUMMYFUNCTION("""COMPUTED_VALUE"""),"Ben富邦代墊款 ' 【未分類支出】")</f>
        <v>Ben富邦代墊款 ' 【未分類支出】</v>
      </c>
      <c r="C2270" t="str">
        <f>IFERROR(__xludf.DUMMYFUNCTION("""COMPUTED_VALUE"""),"費用 - Salary 薪資")</f>
        <v>費用 - Salary 薪資</v>
      </c>
      <c r="D2270" s="270">
        <f>IFERROR(__xludf.DUMMYFUNCTION("""COMPUTED_VALUE"""),-180000.0)</f>
        <v>-180000</v>
      </c>
      <c r="E2270" t="str">
        <f>IFERROR(__xludf.DUMMYFUNCTION("""COMPUTED_VALUE"""),"台銀籌備帳戶")</f>
        <v>台銀籌備帳戶</v>
      </c>
      <c r="F2270" t="str">
        <f>IFERROR(__xludf.DUMMYFUNCTION("""COMPUTED_VALUE"""),"Ben帳戶")</f>
        <v>Ben帳戶</v>
      </c>
      <c r="H2270" s="106" t="str">
        <f t="shared" si="1"/>
        <v>2025-07</v>
      </c>
      <c r="I2270" s="271" t="str">
        <f>IFERROR(__xludf.DUMMYFUNCTION("""COMPUTED_VALUE"""),"貓狗企鵝")</f>
        <v>貓狗企鵝</v>
      </c>
      <c r="J2270" t="str">
        <f>IFERROR(__xludf.DUMMYFUNCTION("IFS(
  AND(REGEXMATCH(E2270, ""台銀籌備帳戶|玉山帳戶""), REGEXMATCH(C2270, ""薪資"")), ""分潤支出"",
  AND(REGEXMATCH(E2270, ""Ben帳戶|Elsa帳戶|Ben代墊|Ariel代墊|中信銀行共用""), REGEXMATCH(F2270, ""Ben帳戶|Elsa帳戶|Ben代墊|Ariel代墊|中信銀行共用"")), ""內部轉帳(忽略)"",
  AND(E2270&lt;&gt;"""", F2270&lt;&gt;"""", N"&amp;"OT(REGEXMATCH(C2270, ""薪資""))), ""內部轉帳(忽略)"",
  REGEXMATCH(C2270, ""薪資""), ""薪資變動(不計入)"",
  REGEXMATCH(C2270, ""押金""), ""押金往來"",
  AND(E2270&lt;&gt;"""", F2270=""""), ""真實支出"",
  AND(E2270="""", F2270&lt;&gt;""""), ""真實收入"",
  TRUE, ""其他""
)"),"分潤支出")</f>
        <v>分潤支出</v>
      </c>
      <c r="K2270">
        <f t="shared" si="2"/>
        <v>0</v>
      </c>
      <c r="L2270">
        <f t="shared" si="3"/>
        <v>180000</v>
      </c>
    </row>
    <row r="2271">
      <c r="A2271" s="107">
        <f>IFERROR(__xludf.DUMMYFUNCTION("""COMPUTED_VALUE"""),45848.0)</f>
        <v>45848</v>
      </c>
      <c r="B2271" t="str">
        <f>IFERROR(__xludf.DUMMYFUNCTION("""COMPUTED_VALUE"""),"費用 - 匯費 對方行:007 後五碼:34901 (行號: 4)")</f>
        <v>費用 - 匯費 對方行:007 後五碼:34901 (行號: 4)</v>
      </c>
      <c r="C2271" t="str">
        <f>IFERROR(__xludf.DUMMYFUNCTION("""COMPUTED_VALUE"""),"費用 - 匯費")</f>
        <v>費用 - 匯費</v>
      </c>
      <c r="D2271" s="270">
        <f>IFERROR(__xludf.DUMMYFUNCTION("""COMPUTED_VALUE"""),-15.0)</f>
        <v>-15</v>
      </c>
      <c r="E2271" t="str">
        <f>IFERROR(__xludf.DUMMYFUNCTION("""COMPUTED_VALUE"""),"台銀籌備帳戶")</f>
        <v>台銀籌備帳戶</v>
      </c>
      <c r="H2271" s="106" t="str">
        <f t="shared" si="1"/>
        <v>2025-07</v>
      </c>
      <c r="I2271" s="271" t="str">
        <f>IFERROR(__xludf.DUMMYFUNCTION("""COMPUTED_VALUE"""),"貓狗企鵝")</f>
        <v>貓狗企鵝</v>
      </c>
      <c r="J2271" t="str">
        <f>IFERROR(__xludf.DUMMYFUNCTION("IFS(
  AND(REGEXMATCH(E2271, ""台銀籌備帳戶|玉山帳戶""), REGEXMATCH(C2271, ""薪資"")), ""分潤支出"",
  AND(REGEXMATCH(E2271, ""Ben帳戶|Elsa帳戶|Ben代墊|Ariel代墊|中信銀行共用""), REGEXMATCH(F2271, ""Ben帳戶|Elsa帳戶|Ben代墊|Ariel代墊|中信銀行共用"")), ""內部轉帳(忽略)"",
  AND(E2271&lt;&gt;"""", F2271&lt;&gt;"""", N"&amp;"OT(REGEXMATCH(C2271, ""薪資""))), ""內部轉帳(忽略)"",
  REGEXMATCH(C2271, ""薪資""), ""薪資變動(不計入)"",
  REGEXMATCH(C2271, ""押金""), ""押金往來"",
  AND(E2271&lt;&gt;"""", F2271=""""), ""真實支出"",
  AND(E2271="""", F2271&lt;&gt;""""), ""真實收入"",
  TRUE, ""其他""
)"),"真實支出")</f>
        <v>真實支出</v>
      </c>
      <c r="K2271" s="270">
        <f t="shared" si="2"/>
        <v>-15</v>
      </c>
      <c r="L2271">
        <f t="shared" si="3"/>
        <v>0</v>
      </c>
    </row>
    <row r="2272">
      <c r="A2272" s="107">
        <f>IFERROR(__xludf.DUMMYFUNCTION("""COMPUTED_VALUE"""),45848.0)</f>
        <v>45848</v>
      </c>
      <c r="B2272" t="str">
        <f>IFERROR(__xludf.DUMMYFUNCTION("""COMPUTED_VALUE"""),"書香地板忠哥 ' 【未分類支出】")</f>
        <v>書香地板忠哥 ' 【未分類支出】</v>
      </c>
      <c r="C2272" t="str">
        <f>IFERROR(__xludf.DUMMYFUNCTION("""COMPUTED_VALUE"""),"成本 - 進場前裝潢費")</f>
        <v>成本 - 進場前裝潢費</v>
      </c>
      <c r="D2272" s="270">
        <f>IFERROR(__xludf.DUMMYFUNCTION("""COMPUTED_VALUE"""),-9180.0)</f>
        <v>-9180</v>
      </c>
      <c r="E2272" t="str">
        <f>IFERROR(__xludf.DUMMYFUNCTION("""COMPUTED_VALUE"""),"台銀籌備帳戶")</f>
        <v>台銀籌備帳戶</v>
      </c>
      <c r="G2272" t="str">
        <f>IFERROR(__xludf.DUMMYFUNCTION("""COMPUTED_VALUE"""),"書香民生")</f>
        <v>書香民生</v>
      </c>
      <c r="H2272" s="106" t="str">
        <f t="shared" si="1"/>
        <v>2025-07</v>
      </c>
      <c r="I2272" s="271" t="str">
        <f>IFERROR(__xludf.DUMMYFUNCTION("""COMPUTED_VALUE"""),"貓狗企鵝")</f>
        <v>貓狗企鵝</v>
      </c>
      <c r="J2272" t="str">
        <f>IFERROR(__xludf.DUMMYFUNCTION("IFS(
  AND(REGEXMATCH(E2272, ""台銀籌備帳戶|玉山帳戶""), REGEXMATCH(C2272, ""薪資"")), ""分潤支出"",
  AND(REGEXMATCH(E2272, ""Ben帳戶|Elsa帳戶|Ben代墊|Ariel代墊|中信銀行共用""), REGEXMATCH(F2272, ""Ben帳戶|Elsa帳戶|Ben代墊|Ariel代墊|中信銀行共用"")), ""內部轉帳(忽略)"",
  AND(E2272&lt;&gt;"""", F2272&lt;&gt;"""", N"&amp;"OT(REGEXMATCH(C2272, ""薪資""))), ""內部轉帳(忽略)"",
  REGEXMATCH(C2272, ""薪資""), ""薪資變動(不計入)"",
  REGEXMATCH(C2272, ""押金""), ""押金往來"",
  AND(E2272&lt;&gt;"""", F2272=""""), ""真實支出"",
  AND(E2272="""", F2272&lt;&gt;""""), ""真實收入"",
  TRUE, ""其他""
)"),"真實支出")</f>
        <v>真實支出</v>
      </c>
      <c r="K2272" s="270">
        <f t="shared" si="2"/>
        <v>-9180</v>
      </c>
      <c r="L2272">
        <f t="shared" si="3"/>
        <v>0</v>
      </c>
    </row>
    <row r="2273">
      <c r="A2273" s="107">
        <f>IFERROR(__xludf.DUMMYFUNCTION("""COMPUTED_VALUE"""),45848.0)</f>
        <v>45848</v>
      </c>
      <c r="B2273" t="str">
        <f>IFERROR(__xludf.DUMMYFUNCTION("""COMPUTED_VALUE"""),"費用 - 匯費 對方行:118 後五碼:71859 (行號: 5)")</f>
        <v>費用 - 匯費 對方行:118 後五碼:71859 (行號: 5)</v>
      </c>
      <c r="C2273" t="str">
        <f>IFERROR(__xludf.DUMMYFUNCTION("""COMPUTED_VALUE"""),"費用 - 匯費")</f>
        <v>費用 - 匯費</v>
      </c>
      <c r="D2273" s="270">
        <f>IFERROR(__xludf.DUMMYFUNCTION("""COMPUTED_VALUE"""),-15.0)</f>
        <v>-15</v>
      </c>
      <c r="E2273" t="str">
        <f>IFERROR(__xludf.DUMMYFUNCTION("""COMPUTED_VALUE"""),"台銀籌備帳戶")</f>
        <v>台銀籌備帳戶</v>
      </c>
      <c r="H2273" s="106" t="str">
        <f t="shared" si="1"/>
        <v>2025-07</v>
      </c>
      <c r="I2273" s="271" t="str">
        <f>IFERROR(__xludf.DUMMYFUNCTION("""COMPUTED_VALUE"""),"貓狗企鵝")</f>
        <v>貓狗企鵝</v>
      </c>
      <c r="J2273" t="str">
        <f>IFERROR(__xludf.DUMMYFUNCTION("IFS(
  AND(REGEXMATCH(E2273, ""台銀籌備帳戶|玉山帳戶""), REGEXMATCH(C2273, ""薪資"")), ""分潤支出"",
  AND(REGEXMATCH(E2273, ""Ben帳戶|Elsa帳戶|Ben代墊|Ariel代墊|中信銀行共用""), REGEXMATCH(F2273, ""Ben帳戶|Elsa帳戶|Ben代墊|Ariel代墊|中信銀行共用"")), ""內部轉帳(忽略)"",
  AND(E2273&lt;&gt;"""", F2273&lt;&gt;"""", N"&amp;"OT(REGEXMATCH(C2273, ""薪資""))), ""內部轉帳(忽略)"",
  REGEXMATCH(C2273, ""薪資""), ""薪資變動(不計入)"",
  REGEXMATCH(C2273, ""押金""), ""押金往來"",
  AND(E2273&lt;&gt;"""", F2273=""""), ""真實支出"",
  AND(E2273="""", F2273&lt;&gt;""""), ""真實收入"",
  TRUE, ""其他""
)"),"真實支出")</f>
        <v>真實支出</v>
      </c>
      <c r="K2273" s="270">
        <f t="shared" si="2"/>
        <v>-15</v>
      </c>
      <c r="L2273">
        <f t="shared" si="3"/>
        <v>0</v>
      </c>
    </row>
    <row r="2274">
      <c r="A2274" s="107">
        <f>IFERROR(__xludf.DUMMYFUNCTION("""COMPUTED_VALUE"""),45848.0)</f>
        <v>45848</v>
      </c>
      <c r="B2274" t="str">
        <f>IFERROR(__xludf.DUMMYFUNCTION("""COMPUTED_VALUE"""),"小玉書香垃圾 ' 【未分類支出】")</f>
        <v>小玉書香垃圾 ' 【未分類支出】</v>
      </c>
      <c r="C2274" t="str">
        <f>IFERROR(__xludf.DUMMYFUNCTION("""COMPUTED_VALUE"""),"成本 - 進場前裝潢費")</f>
        <v>成本 - 進場前裝潢費</v>
      </c>
      <c r="D2274" s="270">
        <f>IFERROR(__xludf.DUMMYFUNCTION("""COMPUTED_VALUE"""),-1365.0)</f>
        <v>-1365</v>
      </c>
      <c r="E2274" t="str">
        <f>IFERROR(__xludf.DUMMYFUNCTION("""COMPUTED_VALUE"""),"台銀籌備帳戶")</f>
        <v>台銀籌備帳戶</v>
      </c>
      <c r="G2274" t="str">
        <f>IFERROR(__xludf.DUMMYFUNCTION("""COMPUTED_VALUE"""),"書香民生")</f>
        <v>書香民生</v>
      </c>
      <c r="H2274" s="106" t="str">
        <f t="shared" si="1"/>
        <v>2025-07</v>
      </c>
      <c r="I2274" s="271" t="str">
        <f>IFERROR(__xludf.DUMMYFUNCTION("""COMPUTED_VALUE"""),"貓狗企鵝")</f>
        <v>貓狗企鵝</v>
      </c>
      <c r="J2274" t="str">
        <f>IFERROR(__xludf.DUMMYFUNCTION("IFS(
  AND(REGEXMATCH(E2274, ""台銀籌備帳戶|玉山帳戶""), REGEXMATCH(C2274, ""薪資"")), ""分潤支出"",
  AND(REGEXMATCH(E2274, ""Ben帳戶|Elsa帳戶|Ben代墊|Ariel代墊|中信銀行共用""), REGEXMATCH(F2274, ""Ben帳戶|Elsa帳戶|Ben代墊|Ariel代墊|中信銀行共用"")), ""內部轉帳(忽略)"",
  AND(E2274&lt;&gt;"""", F2274&lt;&gt;"""", N"&amp;"OT(REGEXMATCH(C2274, ""薪資""))), ""內部轉帳(忽略)"",
  REGEXMATCH(C2274, ""薪資""), ""薪資變動(不計入)"",
  REGEXMATCH(C2274, ""押金""), ""押金往來"",
  AND(E2274&lt;&gt;"""", F2274=""""), ""真實支出"",
  AND(E2274="""", F2274&lt;&gt;""""), ""真實收入"",
  TRUE, ""其他""
)"),"真實支出")</f>
        <v>真實支出</v>
      </c>
      <c r="K2274" s="270">
        <f t="shared" si="2"/>
        <v>-1365</v>
      </c>
      <c r="L2274">
        <f t="shared" si="3"/>
        <v>0</v>
      </c>
    </row>
    <row r="2275">
      <c r="A2275" s="107">
        <f>IFERROR(__xludf.DUMMYFUNCTION("""COMPUTED_VALUE"""),45851.0)</f>
        <v>45851</v>
      </c>
      <c r="B2275" t="str">
        <f>IFERROR(__xludf.DUMMYFUNCTION("""COMPUTED_VALUE"""),"費用 - 匯費 對方行:812 後五碼:75759 (行號: 6)")</f>
        <v>費用 - 匯費 對方行:812 後五碼:75759 (行號: 6)</v>
      </c>
      <c r="C2275" t="str">
        <f>IFERROR(__xludf.DUMMYFUNCTION("""COMPUTED_VALUE"""),"費用 - 匯費")</f>
        <v>費用 - 匯費</v>
      </c>
      <c r="D2275" s="270">
        <f>IFERROR(__xludf.DUMMYFUNCTION("""COMPUTED_VALUE"""),-15.0)</f>
        <v>-15</v>
      </c>
      <c r="E2275" t="str">
        <f>IFERROR(__xludf.DUMMYFUNCTION("""COMPUTED_VALUE"""),"台銀籌備帳戶")</f>
        <v>台銀籌備帳戶</v>
      </c>
      <c r="H2275" s="106" t="str">
        <f t="shared" si="1"/>
        <v>2025-07</v>
      </c>
      <c r="I2275" s="271" t="str">
        <f>IFERROR(__xludf.DUMMYFUNCTION("""COMPUTED_VALUE"""),"貓狗企鵝")</f>
        <v>貓狗企鵝</v>
      </c>
      <c r="J2275" t="str">
        <f>IFERROR(__xludf.DUMMYFUNCTION("IFS(
  AND(REGEXMATCH(E2275, ""台銀籌備帳戶|玉山帳戶""), REGEXMATCH(C2275, ""薪資"")), ""分潤支出"",
  AND(REGEXMATCH(E2275, ""Ben帳戶|Elsa帳戶|Ben代墊|Ariel代墊|中信銀行共用""), REGEXMATCH(F2275, ""Ben帳戶|Elsa帳戶|Ben代墊|Ariel代墊|中信銀行共用"")), ""內部轉帳(忽略)"",
  AND(E2275&lt;&gt;"""", F2275&lt;&gt;"""", N"&amp;"OT(REGEXMATCH(C2275, ""薪資""))), ""內部轉帳(忽略)"",
  REGEXMATCH(C2275, ""薪資""), ""薪資變動(不計入)"",
  REGEXMATCH(C2275, ""押金""), ""押金往來"",
  AND(E2275&lt;&gt;"""", F2275=""""), ""真實支出"",
  AND(E2275="""", F2275&lt;&gt;""""), ""真實收入"",
  TRUE, ""其他""
)"),"真實支出")</f>
        <v>真實支出</v>
      </c>
      <c r="K2275" s="270">
        <f t="shared" si="2"/>
        <v>-15</v>
      </c>
      <c r="L2275">
        <f t="shared" si="3"/>
        <v>0</v>
      </c>
    </row>
    <row r="2276">
      <c r="A2276" s="107">
        <f>IFERROR(__xludf.DUMMYFUNCTION("""COMPUTED_VALUE"""),45851.0)</f>
        <v>45851</v>
      </c>
      <c r="B2276" t="str">
        <f>IFERROR(__xludf.DUMMYFUNCTION("""COMPUTED_VALUE"""),"景安管理費 ' 【未分類支出】")</f>
        <v>景安管理費 ' 【未分類支出】</v>
      </c>
      <c r="C2276" t="str">
        <f>IFERROR(__xludf.DUMMYFUNCTION("""COMPUTED_VALUE"""),"成本 - 固定開銷(網路代收清潔)")</f>
        <v>成本 - 固定開銷(網路代收清潔)</v>
      </c>
      <c r="D2276" s="270">
        <f>IFERROR(__xludf.DUMMYFUNCTION("""COMPUTED_VALUE"""),-1700.0)</f>
        <v>-1700</v>
      </c>
      <c r="E2276" t="str">
        <f>IFERROR(__xludf.DUMMYFUNCTION("""COMPUTED_VALUE"""),"台銀籌備帳戶")</f>
        <v>台銀籌備帳戶</v>
      </c>
      <c r="G2276" t="str">
        <f>IFERROR(__xludf.DUMMYFUNCTION("""COMPUTED_VALUE"""),"景安2分鐘")</f>
        <v>景安2分鐘</v>
      </c>
      <c r="H2276" s="106" t="str">
        <f t="shared" si="1"/>
        <v>2025-07</v>
      </c>
      <c r="I2276" s="271" t="str">
        <f>IFERROR(__xludf.DUMMYFUNCTION("""COMPUTED_VALUE"""),"貓狗企鵝")</f>
        <v>貓狗企鵝</v>
      </c>
      <c r="J2276" t="str">
        <f>IFERROR(__xludf.DUMMYFUNCTION("IFS(
  AND(REGEXMATCH(E2276, ""台銀籌備帳戶|玉山帳戶""), REGEXMATCH(C2276, ""薪資"")), ""分潤支出"",
  AND(REGEXMATCH(E2276, ""Ben帳戶|Elsa帳戶|Ben代墊|Ariel代墊|中信銀行共用""), REGEXMATCH(F2276, ""Ben帳戶|Elsa帳戶|Ben代墊|Ariel代墊|中信銀行共用"")), ""內部轉帳(忽略)"",
  AND(E2276&lt;&gt;"""", F2276&lt;&gt;"""", N"&amp;"OT(REGEXMATCH(C2276, ""薪資""))), ""內部轉帳(忽略)"",
  REGEXMATCH(C2276, ""薪資""), ""薪資變動(不計入)"",
  REGEXMATCH(C2276, ""押金""), ""押金往來"",
  AND(E2276&lt;&gt;"""", F2276=""""), ""真實支出"",
  AND(E2276="""", F2276&lt;&gt;""""), ""真實收入"",
  TRUE, ""其他""
)"),"真實支出")</f>
        <v>真實支出</v>
      </c>
      <c r="K2276" s="270">
        <f t="shared" si="2"/>
        <v>-1700</v>
      </c>
      <c r="L2276">
        <f t="shared" si="3"/>
        <v>0</v>
      </c>
    </row>
    <row r="2277">
      <c r="A2277" s="107">
        <f>IFERROR(__xludf.DUMMYFUNCTION("""COMPUTED_VALUE"""),45853.0)</f>
        <v>45853</v>
      </c>
      <c r="B2277" t="str">
        <f>IFERROR(__xludf.DUMMYFUNCTION("""COMPUTED_VALUE"""),"[南港站挑高宅] [林淑華] 大租金")</f>
        <v>[南港站挑高宅] [林淑華] 大租金</v>
      </c>
      <c r="C2277" t="str">
        <f>IFERROR(__xludf.DUMMYFUNCTION("""COMPUTED_VALUE"""),"成本 - 大租金")</f>
        <v>成本 - 大租金</v>
      </c>
      <c r="D2277" s="270">
        <f>IFERROR(__xludf.DUMMYFUNCTION("""COMPUTED_VALUE"""),-18250.0)</f>
        <v>-18250</v>
      </c>
      <c r="E2277" t="str">
        <f>IFERROR(__xludf.DUMMYFUNCTION("""COMPUTED_VALUE"""),"台銀籌備帳戶")</f>
        <v>台銀籌備帳戶</v>
      </c>
      <c r="G2277" t="str">
        <f>IFERROR(__xludf.DUMMYFUNCTION("""COMPUTED_VALUE"""),"南港站挑高宅")</f>
        <v>南港站挑高宅</v>
      </c>
      <c r="H2277" s="106" t="str">
        <f t="shared" si="1"/>
        <v>2025-07</v>
      </c>
      <c r="I2277" s="271" t="str">
        <f>IFERROR(__xludf.DUMMYFUNCTION("""COMPUTED_VALUE"""),"貓狗企鵝")</f>
        <v>貓狗企鵝</v>
      </c>
      <c r="J2277" t="str">
        <f>IFERROR(__xludf.DUMMYFUNCTION("IFS(
  AND(REGEXMATCH(E2277, ""台銀籌備帳戶|玉山帳戶""), REGEXMATCH(C2277, ""薪資"")), ""分潤支出"",
  AND(REGEXMATCH(E2277, ""Ben帳戶|Elsa帳戶|Ben代墊|Ariel代墊|中信銀行共用""), REGEXMATCH(F2277, ""Ben帳戶|Elsa帳戶|Ben代墊|Ariel代墊|中信銀行共用"")), ""內部轉帳(忽略)"",
  AND(E2277&lt;&gt;"""", F2277&lt;&gt;"""", N"&amp;"OT(REGEXMATCH(C2277, ""薪資""))), ""內部轉帳(忽略)"",
  REGEXMATCH(C2277, ""薪資""), ""薪資變動(不計入)"",
  REGEXMATCH(C2277, ""押金""), ""押金往來"",
  AND(E2277&lt;&gt;"""", F2277=""""), ""真實支出"",
  AND(E2277="""", F2277&lt;&gt;""""), ""真實收入"",
  TRUE, ""其他""
)"),"真實支出")</f>
        <v>真實支出</v>
      </c>
      <c r="K2277" s="270">
        <f t="shared" si="2"/>
        <v>-18250</v>
      </c>
      <c r="L2277">
        <f t="shared" si="3"/>
        <v>0</v>
      </c>
    </row>
    <row r="2278">
      <c r="A2278" s="107">
        <f>IFERROR(__xludf.DUMMYFUNCTION("""COMPUTED_VALUE"""),45853.0)</f>
        <v>45853</v>
      </c>
      <c r="B2278" t="str">
        <f>IFERROR(__xludf.DUMMYFUNCTION("""COMPUTED_VALUE"""),"費用 - 匯費 對方行:013 後五碼:43662 (行號: 9)")</f>
        <v>費用 - 匯費 對方行:013 後五碼:43662 (行號: 9)</v>
      </c>
      <c r="C2278" t="str">
        <f>IFERROR(__xludf.DUMMYFUNCTION("""COMPUTED_VALUE"""),"費用 - 匯費")</f>
        <v>費用 - 匯費</v>
      </c>
      <c r="D2278" s="270">
        <f>IFERROR(__xludf.DUMMYFUNCTION("""COMPUTED_VALUE"""),-15.0)</f>
        <v>-15</v>
      </c>
      <c r="E2278" t="str">
        <f>IFERROR(__xludf.DUMMYFUNCTION("""COMPUTED_VALUE"""),"台銀籌備帳戶")</f>
        <v>台銀籌備帳戶</v>
      </c>
      <c r="H2278" s="106" t="str">
        <f t="shared" si="1"/>
        <v>2025-07</v>
      </c>
      <c r="I2278" s="271" t="str">
        <f>IFERROR(__xludf.DUMMYFUNCTION("""COMPUTED_VALUE"""),"貓狗企鵝")</f>
        <v>貓狗企鵝</v>
      </c>
      <c r="J2278" t="str">
        <f>IFERROR(__xludf.DUMMYFUNCTION("IFS(
  AND(REGEXMATCH(E2278, ""台銀籌備帳戶|玉山帳戶""), REGEXMATCH(C2278, ""薪資"")), ""分潤支出"",
  AND(REGEXMATCH(E2278, ""Ben帳戶|Elsa帳戶|Ben代墊|Ariel代墊|中信銀行共用""), REGEXMATCH(F2278, ""Ben帳戶|Elsa帳戶|Ben代墊|Ariel代墊|中信銀行共用"")), ""內部轉帳(忽略)"",
  AND(E2278&lt;&gt;"""", F2278&lt;&gt;"""", N"&amp;"OT(REGEXMATCH(C2278, ""薪資""))), ""內部轉帳(忽略)"",
  REGEXMATCH(C2278, ""薪資""), ""薪資變動(不計入)"",
  REGEXMATCH(C2278, ""押金""), ""押金往來"",
  AND(E2278&lt;&gt;"""", F2278=""""), ""真實支出"",
  AND(E2278="""", F2278&lt;&gt;""""), ""真實收入"",
  TRUE, ""其他""
)"),"真實支出")</f>
        <v>真實支出</v>
      </c>
      <c r="K2278" s="270">
        <f t="shared" si="2"/>
        <v>-15</v>
      </c>
      <c r="L2278">
        <f t="shared" si="3"/>
        <v>0</v>
      </c>
    </row>
    <row r="2279">
      <c r="A2279" s="107">
        <f>IFERROR(__xludf.DUMMYFUNCTION("""COMPUTED_VALUE"""),45853.0)</f>
        <v>45853</v>
      </c>
      <c r="B2279" t="str">
        <f>IFERROR(__xludf.DUMMYFUNCTION("""COMPUTED_VALUE"""),"[中山北娘家旁] [方彥捷] 大租金")</f>
        <v>[中山北娘家旁] [方彥捷] 大租金</v>
      </c>
      <c r="C2279" t="str">
        <f>IFERROR(__xludf.DUMMYFUNCTION("""COMPUTED_VALUE"""),"成本 - 大租金")</f>
        <v>成本 - 大租金</v>
      </c>
      <c r="D2279" s="270">
        <f>IFERROR(__xludf.DUMMYFUNCTION("""COMPUTED_VALUE"""),-11500.0)</f>
        <v>-11500</v>
      </c>
      <c r="E2279" t="str">
        <f>IFERROR(__xludf.DUMMYFUNCTION("""COMPUTED_VALUE"""),"台銀籌備帳戶")</f>
        <v>台銀籌備帳戶</v>
      </c>
      <c r="G2279" t="str">
        <f>IFERROR(__xludf.DUMMYFUNCTION("""COMPUTED_VALUE"""),"中山北娘家旁")</f>
        <v>中山北娘家旁</v>
      </c>
      <c r="H2279" s="106" t="str">
        <f t="shared" si="1"/>
        <v>2025-07</v>
      </c>
      <c r="I2279" s="271" t="str">
        <f>IFERROR(__xludf.DUMMYFUNCTION("""COMPUTED_VALUE"""),"貓狗企鵝")</f>
        <v>貓狗企鵝</v>
      </c>
      <c r="J2279" t="str">
        <f>IFERROR(__xludf.DUMMYFUNCTION("IFS(
  AND(REGEXMATCH(E2279, ""台銀籌備帳戶|玉山帳戶""), REGEXMATCH(C2279, ""薪資"")), ""分潤支出"",
  AND(REGEXMATCH(E2279, ""Ben帳戶|Elsa帳戶|Ben代墊|Ariel代墊|中信銀行共用""), REGEXMATCH(F2279, ""Ben帳戶|Elsa帳戶|Ben代墊|Ariel代墊|中信銀行共用"")), ""內部轉帳(忽略)"",
  AND(E2279&lt;&gt;"""", F2279&lt;&gt;"""", N"&amp;"OT(REGEXMATCH(C2279, ""薪資""))), ""內部轉帳(忽略)"",
  REGEXMATCH(C2279, ""薪資""), ""薪資變動(不計入)"",
  REGEXMATCH(C2279, ""押金""), ""押金往來"",
  AND(E2279&lt;&gt;"""", F2279=""""), ""真實支出"",
  AND(E2279="""", F2279&lt;&gt;""""), ""真實收入"",
  TRUE, ""其他""
)"),"真實支出")</f>
        <v>真實支出</v>
      </c>
      <c r="K2279" s="270">
        <f t="shared" si="2"/>
        <v>-11500</v>
      </c>
      <c r="L2279">
        <f t="shared" si="3"/>
        <v>0</v>
      </c>
    </row>
    <row r="2280">
      <c r="A2280" s="107">
        <f>IFERROR(__xludf.DUMMYFUNCTION("""COMPUTED_VALUE"""),45853.0)</f>
        <v>45853</v>
      </c>
      <c r="B2280" t="str">
        <f>IFERROR(__xludf.DUMMYFUNCTION("""COMPUTED_VALUE"""),"費用 - 匯費 對方行:700 後五碼:92128 (行號: 10)")</f>
        <v>費用 - 匯費 對方行:700 後五碼:92128 (行號: 10)</v>
      </c>
      <c r="C2280" t="str">
        <f>IFERROR(__xludf.DUMMYFUNCTION("""COMPUTED_VALUE"""),"費用 - 匯費")</f>
        <v>費用 - 匯費</v>
      </c>
      <c r="D2280" s="270">
        <f>IFERROR(__xludf.DUMMYFUNCTION("""COMPUTED_VALUE"""),-15.0)</f>
        <v>-15</v>
      </c>
      <c r="E2280" t="str">
        <f>IFERROR(__xludf.DUMMYFUNCTION("""COMPUTED_VALUE"""),"台銀籌備帳戶")</f>
        <v>台銀籌備帳戶</v>
      </c>
      <c r="H2280" s="106" t="str">
        <f t="shared" si="1"/>
        <v>2025-07</v>
      </c>
      <c r="I2280" s="271" t="str">
        <f>IFERROR(__xludf.DUMMYFUNCTION("""COMPUTED_VALUE"""),"貓狗企鵝")</f>
        <v>貓狗企鵝</v>
      </c>
      <c r="J2280" t="str">
        <f>IFERROR(__xludf.DUMMYFUNCTION("IFS(
  AND(REGEXMATCH(E2280, ""台銀籌備帳戶|玉山帳戶""), REGEXMATCH(C2280, ""薪資"")), ""分潤支出"",
  AND(REGEXMATCH(E2280, ""Ben帳戶|Elsa帳戶|Ben代墊|Ariel代墊|中信銀行共用""), REGEXMATCH(F2280, ""Ben帳戶|Elsa帳戶|Ben代墊|Ariel代墊|中信銀行共用"")), ""內部轉帳(忽略)"",
  AND(E2280&lt;&gt;"""", F2280&lt;&gt;"""", N"&amp;"OT(REGEXMATCH(C2280, ""薪資""))), ""內部轉帳(忽略)"",
  REGEXMATCH(C2280, ""薪資""), ""薪資變動(不計入)"",
  REGEXMATCH(C2280, ""押金""), ""押金往來"",
  AND(E2280&lt;&gt;"""", F2280=""""), ""真實支出"",
  AND(E2280="""", F2280&lt;&gt;""""), ""真實收入"",
  TRUE, ""其他""
)"),"真實支出")</f>
        <v>真實支出</v>
      </c>
      <c r="K2280" s="270">
        <f t="shared" si="2"/>
        <v>-15</v>
      </c>
      <c r="L2280">
        <f t="shared" si="3"/>
        <v>0</v>
      </c>
    </row>
    <row r="2281">
      <c r="A2281" s="107">
        <f>IFERROR(__xludf.DUMMYFUNCTION("""COMPUTED_VALUE"""),45853.0)</f>
        <v>45853</v>
      </c>
      <c r="B2281" t="str">
        <f>IFERROR(__xludf.DUMMYFUNCTION("""COMPUTED_VALUE"""),"[北醫醫師府] [陳俊良] 大租金")</f>
        <v>[北醫醫師府] [陳俊良] 大租金</v>
      </c>
      <c r="C2281" t="str">
        <f>IFERROR(__xludf.DUMMYFUNCTION("""COMPUTED_VALUE"""),"成本 - 大租金")</f>
        <v>成本 - 大租金</v>
      </c>
      <c r="D2281" s="270">
        <f>IFERROR(__xludf.DUMMYFUNCTION("""COMPUTED_VALUE"""),-12800.0)</f>
        <v>-12800</v>
      </c>
      <c r="E2281" t="str">
        <f>IFERROR(__xludf.DUMMYFUNCTION("""COMPUTED_VALUE"""),"台銀籌備帳戶")</f>
        <v>台銀籌備帳戶</v>
      </c>
      <c r="G2281" t="str">
        <f>IFERROR(__xludf.DUMMYFUNCTION("""COMPUTED_VALUE"""),"北醫醫師府")</f>
        <v>北醫醫師府</v>
      </c>
      <c r="H2281" s="106" t="str">
        <f t="shared" si="1"/>
        <v>2025-07</v>
      </c>
      <c r="I2281" s="271" t="str">
        <f>IFERROR(__xludf.DUMMYFUNCTION("""COMPUTED_VALUE"""),"貓狗企鵝")</f>
        <v>貓狗企鵝</v>
      </c>
      <c r="J2281" t="str">
        <f>IFERROR(__xludf.DUMMYFUNCTION("IFS(
  AND(REGEXMATCH(E2281, ""台銀籌備帳戶|玉山帳戶""), REGEXMATCH(C2281, ""薪資"")), ""分潤支出"",
  AND(REGEXMATCH(E2281, ""Ben帳戶|Elsa帳戶|Ben代墊|Ariel代墊|中信銀行共用""), REGEXMATCH(F2281, ""Ben帳戶|Elsa帳戶|Ben代墊|Ariel代墊|中信銀行共用"")), ""內部轉帳(忽略)"",
  AND(E2281&lt;&gt;"""", F2281&lt;&gt;"""", N"&amp;"OT(REGEXMATCH(C2281, ""薪資""))), ""內部轉帳(忽略)"",
  REGEXMATCH(C2281, ""薪資""), ""薪資變動(不計入)"",
  REGEXMATCH(C2281, ""押金""), ""押金往來"",
  AND(E2281&lt;&gt;"""", F2281=""""), ""真實支出"",
  AND(E2281="""", F2281&lt;&gt;""""), ""真實收入"",
  TRUE, ""其他""
)"),"真實支出")</f>
        <v>真實支出</v>
      </c>
      <c r="K2281" s="270">
        <f t="shared" si="2"/>
        <v>-12800</v>
      </c>
      <c r="L2281">
        <f t="shared" si="3"/>
        <v>0</v>
      </c>
    </row>
    <row r="2282">
      <c r="A2282" s="107">
        <f>IFERROR(__xludf.DUMMYFUNCTION("""COMPUTED_VALUE"""),45853.0)</f>
        <v>45853</v>
      </c>
      <c r="B2282" t="str">
        <f>IFERROR(__xludf.DUMMYFUNCTION("""COMPUTED_VALUE"""),"費用 - 匯費 對方行:807 後五碼:06659 (行號: 11)")</f>
        <v>費用 - 匯費 對方行:807 後五碼:06659 (行號: 11)</v>
      </c>
      <c r="C2282" t="str">
        <f>IFERROR(__xludf.DUMMYFUNCTION("""COMPUTED_VALUE"""),"費用 - 匯費")</f>
        <v>費用 - 匯費</v>
      </c>
      <c r="D2282" s="270">
        <f>IFERROR(__xludf.DUMMYFUNCTION("""COMPUTED_VALUE"""),-15.0)</f>
        <v>-15</v>
      </c>
      <c r="E2282" t="str">
        <f>IFERROR(__xludf.DUMMYFUNCTION("""COMPUTED_VALUE"""),"台銀籌備帳戶")</f>
        <v>台銀籌備帳戶</v>
      </c>
      <c r="H2282" s="106" t="str">
        <f t="shared" si="1"/>
        <v>2025-07</v>
      </c>
      <c r="I2282" s="271" t="str">
        <f>IFERROR(__xludf.DUMMYFUNCTION("""COMPUTED_VALUE"""),"貓狗企鵝")</f>
        <v>貓狗企鵝</v>
      </c>
      <c r="J2282" t="str">
        <f>IFERROR(__xludf.DUMMYFUNCTION("IFS(
  AND(REGEXMATCH(E2282, ""台銀籌備帳戶|玉山帳戶""), REGEXMATCH(C2282, ""薪資"")), ""分潤支出"",
  AND(REGEXMATCH(E2282, ""Ben帳戶|Elsa帳戶|Ben代墊|Ariel代墊|中信銀行共用""), REGEXMATCH(F2282, ""Ben帳戶|Elsa帳戶|Ben代墊|Ariel代墊|中信銀行共用"")), ""內部轉帳(忽略)"",
  AND(E2282&lt;&gt;"""", F2282&lt;&gt;"""", N"&amp;"OT(REGEXMATCH(C2282, ""薪資""))), ""內部轉帳(忽略)"",
  REGEXMATCH(C2282, ""薪資""), ""薪資變動(不計入)"",
  REGEXMATCH(C2282, ""押金""), ""押金往來"",
  AND(E2282&lt;&gt;"""", F2282=""""), ""真實支出"",
  AND(E2282="""", F2282&lt;&gt;""""), ""真實收入"",
  TRUE, ""其他""
)"),"真實支出")</f>
        <v>真實支出</v>
      </c>
      <c r="K2282" s="270">
        <f t="shared" si="2"/>
        <v>-15</v>
      </c>
      <c r="L2282">
        <f t="shared" si="3"/>
        <v>0</v>
      </c>
    </row>
    <row r="2283">
      <c r="A2283" s="107">
        <f>IFERROR(__xludf.DUMMYFUNCTION("""COMPUTED_VALUE"""),45853.0)</f>
        <v>45853</v>
      </c>
      <c r="B2283" t="str">
        <f>IFERROR(__xludf.DUMMYFUNCTION("""COMPUTED_VALUE"""),"[哈拉對面] [陳哲聰] 大租金")</f>
        <v>[哈拉對面] [陳哲聰] 大租金</v>
      </c>
      <c r="C2283" t="str">
        <f>IFERROR(__xludf.DUMMYFUNCTION("""COMPUTED_VALUE"""),"成本 - 大租金")</f>
        <v>成本 - 大租金</v>
      </c>
      <c r="D2283" s="270">
        <f>IFERROR(__xludf.DUMMYFUNCTION("""COMPUTED_VALUE"""),-13000.0)</f>
        <v>-13000</v>
      </c>
      <c r="E2283" t="str">
        <f>IFERROR(__xludf.DUMMYFUNCTION("""COMPUTED_VALUE"""),"台銀籌備帳戶")</f>
        <v>台銀籌備帳戶</v>
      </c>
      <c r="G2283" t="str">
        <f>IFERROR(__xludf.DUMMYFUNCTION("""COMPUTED_VALUE"""),"哈拉對面")</f>
        <v>哈拉對面</v>
      </c>
      <c r="H2283" s="106" t="str">
        <f t="shared" si="1"/>
        <v>2025-07</v>
      </c>
      <c r="I2283" s="271" t="str">
        <f>IFERROR(__xludf.DUMMYFUNCTION("""COMPUTED_VALUE"""),"貓狗企鵝")</f>
        <v>貓狗企鵝</v>
      </c>
      <c r="J2283" t="str">
        <f>IFERROR(__xludf.DUMMYFUNCTION("IFS(
  AND(REGEXMATCH(E2283, ""台銀籌備帳戶|玉山帳戶""), REGEXMATCH(C2283, ""薪資"")), ""分潤支出"",
  AND(REGEXMATCH(E2283, ""Ben帳戶|Elsa帳戶|Ben代墊|Ariel代墊|中信銀行共用""), REGEXMATCH(F2283, ""Ben帳戶|Elsa帳戶|Ben代墊|Ariel代墊|中信銀行共用"")), ""內部轉帳(忽略)"",
  AND(E2283&lt;&gt;"""", F2283&lt;&gt;"""", N"&amp;"OT(REGEXMATCH(C2283, ""薪資""))), ""內部轉帳(忽略)"",
  REGEXMATCH(C2283, ""薪資""), ""薪資變動(不計入)"",
  REGEXMATCH(C2283, ""押金""), ""押金往來"",
  AND(E2283&lt;&gt;"""", F2283=""""), ""真實支出"",
  AND(E2283="""", F2283&lt;&gt;""""), ""真實收入"",
  TRUE, ""其他""
)"),"真實支出")</f>
        <v>真實支出</v>
      </c>
      <c r="K2283" s="270">
        <f t="shared" si="2"/>
        <v>-13000</v>
      </c>
      <c r="L2283">
        <f t="shared" si="3"/>
        <v>0</v>
      </c>
    </row>
    <row r="2284">
      <c r="A2284" s="107">
        <f>IFERROR(__xludf.DUMMYFUNCTION("""COMPUTED_VALUE"""),45853.0)</f>
        <v>45853</v>
      </c>
      <c r="B2284" t="str">
        <f>IFERROR(__xludf.DUMMYFUNCTION("""COMPUTED_VALUE"""),"費用 - 匯費 對方行:053 後五碼:05202 (行號: 12)")</f>
        <v>費用 - 匯費 對方行:053 後五碼:05202 (行號: 12)</v>
      </c>
      <c r="C2284" t="str">
        <f>IFERROR(__xludf.DUMMYFUNCTION("""COMPUTED_VALUE"""),"費用 - 匯費")</f>
        <v>費用 - 匯費</v>
      </c>
      <c r="D2284" s="270">
        <f>IFERROR(__xludf.DUMMYFUNCTION("""COMPUTED_VALUE"""),-15.0)</f>
        <v>-15</v>
      </c>
      <c r="E2284" t="str">
        <f>IFERROR(__xludf.DUMMYFUNCTION("""COMPUTED_VALUE"""),"台銀籌備帳戶")</f>
        <v>台銀籌備帳戶</v>
      </c>
      <c r="H2284" s="106" t="str">
        <f t="shared" si="1"/>
        <v>2025-07</v>
      </c>
      <c r="I2284" s="271" t="str">
        <f>IFERROR(__xludf.DUMMYFUNCTION("""COMPUTED_VALUE"""),"貓狗企鵝")</f>
        <v>貓狗企鵝</v>
      </c>
      <c r="J2284" t="str">
        <f>IFERROR(__xludf.DUMMYFUNCTION("IFS(
  AND(REGEXMATCH(E2284, ""台銀籌備帳戶|玉山帳戶""), REGEXMATCH(C2284, ""薪資"")), ""分潤支出"",
  AND(REGEXMATCH(E2284, ""Ben帳戶|Elsa帳戶|Ben代墊|Ariel代墊|中信銀行共用""), REGEXMATCH(F2284, ""Ben帳戶|Elsa帳戶|Ben代墊|Ariel代墊|中信銀行共用"")), ""內部轉帳(忽略)"",
  AND(E2284&lt;&gt;"""", F2284&lt;&gt;"""", N"&amp;"OT(REGEXMATCH(C2284, ""薪資""))), ""內部轉帳(忽略)"",
  REGEXMATCH(C2284, ""薪資""), ""薪資變動(不計入)"",
  REGEXMATCH(C2284, ""押金""), ""押金往來"",
  AND(E2284&lt;&gt;"""", F2284=""""), ""真實支出"",
  AND(E2284="""", F2284&lt;&gt;""""), ""真實收入"",
  TRUE, ""其他""
)"),"真實支出")</f>
        <v>真實支出</v>
      </c>
      <c r="K2284" s="270">
        <f t="shared" si="2"/>
        <v>-15</v>
      </c>
      <c r="L2284">
        <f t="shared" si="3"/>
        <v>0</v>
      </c>
    </row>
    <row r="2285">
      <c r="A2285" s="107">
        <f>IFERROR(__xludf.DUMMYFUNCTION("""COMPUTED_VALUE"""),45853.0)</f>
        <v>45853</v>
      </c>
      <c r="B2285" t="str">
        <f>IFERROR(__xludf.DUMMYFUNCTION("""COMPUTED_VALUE"""),"[大湖山莊] [陳彩霞] 大租金")</f>
        <v>[大湖山莊] [陳彩霞] 大租金</v>
      </c>
      <c r="C2285" t="str">
        <f>IFERROR(__xludf.DUMMYFUNCTION("""COMPUTED_VALUE"""),"成本 - 大租金")</f>
        <v>成本 - 大租金</v>
      </c>
      <c r="D2285" s="270">
        <f>IFERROR(__xludf.DUMMYFUNCTION("""COMPUTED_VALUE"""),-19400.0)</f>
        <v>-19400</v>
      </c>
      <c r="E2285" t="str">
        <f>IFERROR(__xludf.DUMMYFUNCTION("""COMPUTED_VALUE"""),"台銀籌備帳戶")</f>
        <v>台銀籌備帳戶</v>
      </c>
      <c r="G2285" t="str">
        <f>IFERROR(__xludf.DUMMYFUNCTION("""COMPUTED_VALUE"""),"大湖山莊")</f>
        <v>大湖山莊</v>
      </c>
      <c r="H2285" s="106" t="str">
        <f t="shared" si="1"/>
        <v>2025-07</v>
      </c>
      <c r="I2285" s="271" t="str">
        <f>IFERROR(__xludf.DUMMYFUNCTION("""COMPUTED_VALUE"""),"貓狗企鵝")</f>
        <v>貓狗企鵝</v>
      </c>
      <c r="J2285" t="str">
        <f>IFERROR(__xludf.DUMMYFUNCTION("IFS(
  AND(REGEXMATCH(E2285, ""台銀籌備帳戶|玉山帳戶""), REGEXMATCH(C2285, ""薪資"")), ""分潤支出"",
  AND(REGEXMATCH(E2285, ""Ben帳戶|Elsa帳戶|Ben代墊|Ariel代墊|中信銀行共用""), REGEXMATCH(F2285, ""Ben帳戶|Elsa帳戶|Ben代墊|Ariel代墊|中信銀行共用"")), ""內部轉帳(忽略)"",
  AND(E2285&lt;&gt;"""", F2285&lt;&gt;"""", N"&amp;"OT(REGEXMATCH(C2285, ""薪資""))), ""內部轉帳(忽略)"",
  REGEXMATCH(C2285, ""薪資""), ""薪資變動(不計入)"",
  REGEXMATCH(C2285, ""押金""), ""押金往來"",
  AND(E2285&lt;&gt;"""", F2285=""""), ""真實支出"",
  AND(E2285="""", F2285&lt;&gt;""""), ""真實收入"",
  TRUE, ""其他""
)"),"真實支出")</f>
        <v>真實支出</v>
      </c>
      <c r="K2285" s="270">
        <f t="shared" si="2"/>
        <v>-19400</v>
      </c>
      <c r="L2285">
        <f t="shared" si="3"/>
        <v>0</v>
      </c>
    </row>
    <row r="2286">
      <c r="A2286" s="107">
        <f>IFERROR(__xludf.DUMMYFUNCTION("""COMPUTED_VALUE"""),45853.0)</f>
        <v>45853</v>
      </c>
      <c r="B2286" t="str">
        <f>IFERROR(__xludf.DUMMYFUNCTION("""COMPUTED_VALUE"""),"費用 - 匯費 對方行:822 後五碼:06708 (行號: 13)")</f>
        <v>費用 - 匯費 對方行:822 後五碼:06708 (行號: 13)</v>
      </c>
      <c r="C2286" t="str">
        <f>IFERROR(__xludf.DUMMYFUNCTION("""COMPUTED_VALUE"""),"費用 - 匯費")</f>
        <v>費用 - 匯費</v>
      </c>
      <c r="D2286" s="270">
        <f>IFERROR(__xludf.DUMMYFUNCTION("""COMPUTED_VALUE"""),-15.0)</f>
        <v>-15</v>
      </c>
      <c r="E2286" t="str">
        <f>IFERROR(__xludf.DUMMYFUNCTION("""COMPUTED_VALUE"""),"台銀籌備帳戶")</f>
        <v>台銀籌備帳戶</v>
      </c>
      <c r="H2286" s="106" t="str">
        <f t="shared" si="1"/>
        <v>2025-07</v>
      </c>
      <c r="I2286" s="271" t="str">
        <f>IFERROR(__xludf.DUMMYFUNCTION("""COMPUTED_VALUE"""),"貓狗企鵝")</f>
        <v>貓狗企鵝</v>
      </c>
      <c r="J2286" t="str">
        <f>IFERROR(__xludf.DUMMYFUNCTION("IFS(
  AND(REGEXMATCH(E2286, ""台銀籌備帳戶|玉山帳戶""), REGEXMATCH(C2286, ""薪資"")), ""分潤支出"",
  AND(REGEXMATCH(E2286, ""Ben帳戶|Elsa帳戶|Ben代墊|Ariel代墊|中信銀行共用""), REGEXMATCH(F2286, ""Ben帳戶|Elsa帳戶|Ben代墊|Ariel代墊|中信銀行共用"")), ""內部轉帳(忽略)"",
  AND(E2286&lt;&gt;"""", F2286&lt;&gt;"""", N"&amp;"OT(REGEXMATCH(C2286, ""薪資""))), ""內部轉帳(忽略)"",
  REGEXMATCH(C2286, ""薪資""), ""薪資變動(不計入)"",
  REGEXMATCH(C2286, ""押金""), ""押金往來"",
  AND(E2286&lt;&gt;"""", F2286=""""), ""真實支出"",
  AND(E2286="""", F2286&lt;&gt;""""), ""真實收入"",
  TRUE, ""其他""
)"),"真實支出")</f>
        <v>真實支出</v>
      </c>
      <c r="K2286" s="270">
        <f t="shared" si="2"/>
        <v>-15</v>
      </c>
      <c r="L2286">
        <f t="shared" si="3"/>
        <v>0</v>
      </c>
    </row>
    <row r="2287">
      <c r="A2287" s="107">
        <f>IFERROR(__xludf.DUMMYFUNCTION("""COMPUTED_VALUE"""),45853.0)</f>
        <v>45853</v>
      </c>
      <c r="B2287" t="str">
        <f>IFERROR(__xludf.DUMMYFUNCTION("""COMPUTED_VALUE"""),"[金龍帽子先生] [郭娟伶] 大租金")</f>
        <v>[金龍帽子先生] [郭娟伶] 大租金</v>
      </c>
      <c r="C2287" t="str">
        <f>IFERROR(__xludf.DUMMYFUNCTION("""COMPUTED_VALUE"""),"成本 - 大租金")</f>
        <v>成本 - 大租金</v>
      </c>
      <c r="D2287" s="270">
        <f>IFERROR(__xludf.DUMMYFUNCTION("""COMPUTED_VALUE"""),-17750.0)</f>
        <v>-17750</v>
      </c>
      <c r="E2287" t="str">
        <f>IFERROR(__xludf.DUMMYFUNCTION("""COMPUTED_VALUE"""),"台銀籌備帳戶")</f>
        <v>台銀籌備帳戶</v>
      </c>
      <c r="G2287" t="str">
        <f>IFERROR(__xludf.DUMMYFUNCTION("""COMPUTED_VALUE"""),"金龍帽子先生")</f>
        <v>金龍帽子先生</v>
      </c>
      <c r="H2287" s="106" t="str">
        <f t="shared" si="1"/>
        <v>2025-07</v>
      </c>
      <c r="I2287" s="271" t="str">
        <f>IFERROR(__xludf.DUMMYFUNCTION("""COMPUTED_VALUE"""),"貓狗企鵝")</f>
        <v>貓狗企鵝</v>
      </c>
      <c r="J2287" t="str">
        <f>IFERROR(__xludf.DUMMYFUNCTION("IFS(
  AND(REGEXMATCH(E2287, ""台銀籌備帳戶|玉山帳戶""), REGEXMATCH(C2287, ""薪資"")), ""分潤支出"",
  AND(REGEXMATCH(E2287, ""Ben帳戶|Elsa帳戶|Ben代墊|Ariel代墊|中信銀行共用""), REGEXMATCH(F2287, ""Ben帳戶|Elsa帳戶|Ben代墊|Ariel代墊|中信銀行共用"")), ""內部轉帳(忽略)"",
  AND(E2287&lt;&gt;"""", F2287&lt;&gt;"""", N"&amp;"OT(REGEXMATCH(C2287, ""薪資""))), ""內部轉帳(忽略)"",
  REGEXMATCH(C2287, ""薪資""), ""薪資變動(不計入)"",
  REGEXMATCH(C2287, ""押金""), ""押金往來"",
  AND(E2287&lt;&gt;"""", F2287=""""), ""真實支出"",
  AND(E2287="""", F2287&lt;&gt;""""), ""真實收入"",
  TRUE, ""其他""
)"),"真實支出")</f>
        <v>真實支出</v>
      </c>
      <c r="K2287" s="270">
        <f t="shared" si="2"/>
        <v>-17750</v>
      </c>
      <c r="L2287">
        <f t="shared" si="3"/>
        <v>0</v>
      </c>
    </row>
    <row r="2288">
      <c r="A2288" s="107">
        <f>IFERROR(__xludf.DUMMYFUNCTION("""COMPUTED_VALUE"""),45853.0)</f>
        <v>45853</v>
      </c>
      <c r="B2288" t="str">
        <f>IFERROR(__xludf.DUMMYFUNCTION("""COMPUTED_VALUE"""),"費用 - 匯費 對方行:013 後五碼:20652 (行號: 14)")</f>
        <v>費用 - 匯費 對方行:013 後五碼:20652 (行號: 14)</v>
      </c>
      <c r="C2288" t="str">
        <f>IFERROR(__xludf.DUMMYFUNCTION("""COMPUTED_VALUE"""),"費用 - 匯費")</f>
        <v>費用 - 匯費</v>
      </c>
      <c r="D2288" s="270">
        <f>IFERROR(__xludf.DUMMYFUNCTION("""COMPUTED_VALUE"""),-15.0)</f>
        <v>-15</v>
      </c>
      <c r="E2288" t="str">
        <f>IFERROR(__xludf.DUMMYFUNCTION("""COMPUTED_VALUE"""),"台銀籌備帳戶")</f>
        <v>台銀籌備帳戶</v>
      </c>
      <c r="H2288" s="106" t="str">
        <f t="shared" si="1"/>
        <v>2025-07</v>
      </c>
      <c r="I2288" s="271" t="str">
        <f>IFERROR(__xludf.DUMMYFUNCTION("""COMPUTED_VALUE"""),"貓狗企鵝")</f>
        <v>貓狗企鵝</v>
      </c>
      <c r="J2288" t="str">
        <f>IFERROR(__xludf.DUMMYFUNCTION("IFS(
  AND(REGEXMATCH(E2288, ""台銀籌備帳戶|玉山帳戶""), REGEXMATCH(C2288, ""薪資"")), ""分潤支出"",
  AND(REGEXMATCH(E2288, ""Ben帳戶|Elsa帳戶|Ben代墊|Ariel代墊|中信銀行共用""), REGEXMATCH(F2288, ""Ben帳戶|Elsa帳戶|Ben代墊|Ariel代墊|中信銀行共用"")), ""內部轉帳(忽略)"",
  AND(E2288&lt;&gt;"""", F2288&lt;&gt;"""", N"&amp;"OT(REGEXMATCH(C2288, ""薪資""))), ""內部轉帳(忽略)"",
  REGEXMATCH(C2288, ""薪資""), ""薪資變動(不計入)"",
  REGEXMATCH(C2288, ""押金""), ""押金往來"",
  AND(E2288&lt;&gt;"""", F2288=""""), ""真實支出"",
  AND(E2288="""", F2288&lt;&gt;""""), ""真實收入"",
  TRUE, ""其他""
)"),"真實支出")</f>
        <v>真實支出</v>
      </c>
      <c r="K2288" s="270">
        <f t="shared" si="2"/>
        <v>-15</v>
      </c>
      <c r="L2288">
        <f t="shared" si="3"/>
        <v>0</v>
      </c>
    </row>
    <row r="2289">
      <c r="A2289" s="107">
        <f>IFERROR(__xludf.DUMMYFUNCTION("""COMPUTED_VALUE"""),45853.0)</f>
        <v>45853</v>
      </c>
      <c r="B2289" t="str">
        <f>IFERROR(__xludf.DUMMYFUNCTION("""COMPUTED_VALUE"""),"[景安2分鐘] [王逸荃] 大租金")</f>
        <v>[景安2分鐘] [王逸荃] 大租金</v>
      </c>
      <c r="C2289" t="str">
        <f>IFERROR(__xludf.DUMMYFUNCTION("""COMPUTED_VALUE"""),"成本 - 大租金")</f>
        <v>成本 - 大租金</v>
      </c>
      <c r="D2289" s="270">
        <f>IFERROR(__xludf.DUMMYFUNCTION("""COMPUTED_VALUE"""),-12500.0)</f>
        <v>-12500</v>
      </c>
      <c r="E2289" t="str">
        <f>IFERROR(__xludf.DUMMYFUNCTION("""COMPUTED_VALUE"""),"台銀籌備帳戶")</f>
        <v>台銀籌備帳戶</v>
      </c>
      <c r="G2289" t="str">
        <f>IFERROR(__xludf.DUMMYFUNCTION("""COMPUTED_VALUE"""),"景安2分鐘")</f>
        <v>景安2分鐘</v>
      </c>
      <c r="H2289" s="106" t="str">
        <f t="shared" si="1"/>
        <v>2025-07</v>
      </c>
      <c r="I2289" s="271" t="str">
        <f>IFERROR(__xludf.DUMMYFUNCTION("""COMPUTED_VALUE"""),"貓狗企鵝")</f>
        <v>貓狗企鵝</v>
      </c>
      <c r="J2289" t="str">
        <f>IFERROR(__xludf.DUMMYFUNCTION("IFS(
  AND(REGEXMATCH(E2289, ""台銀籌備帳戶|玉山帳戶""), REGEXMATCH(C2289, ""薪資"")), ""分潤支出"",
  AND(REGEXMATCH(E2289, ""Ben帳戶|Elsa帳戶|Ben代墊|Ariel代墊|中信銀行共用""), REGEXMATCH(F2289, ""Ben帳戶|Elsa帳戶|Ben代墊|Ariel代墊|中信銀行共用"")), ""內部轉帳(忽略)"",
  AND(E2289&lt;&gt;"""", F2289&lt;&gt;"""", N"&amp;"OT(REGEXMATCH(C2289, ""薪資""))), ""內部轉帳(忽略)"",
  REGEXMATCH(C2289, ""薪資""), ""薪資變動(不計入)"",
  REGEXMATCH(C2289, ""押金""), ""押金往來"",
  AND(E2289&lt;&gt;"""", F2289=""""), ""真實支出"",
  AND(E2289="""", F2289&lt;&gt;""""), ""真實收入"",
  TRUE, ""其他""
)"),"真實支出")</f>
        <v>真實支出</v>
      </c>
      <c r="K2289" s="270">
        <f t="shared" si="2"/>
        <v>-12500</v>
      </c>
      <c r="L2289">
        <f t="shared" si="3"/>
        <v>0</v>
      </c>
    </row>
    <row r="2290">
      <c r="A2290" s="107">
        <f>IFERROR(__xludf.DUMMYFUNCTION("""COMPUTED_VALUE"""),45853.0)</f>
        <v>45853</v>
      </c>
      <c r="B2290" t="str">
        <f>IFERROR(__xludf.DUMMYFUNCTION("""COMPUTED_VALUE"""),"費用 - 匯費 對方行:052 後五碼:22609 (行號: 15)")</f>
        <v>費用 - 匯費 對方行:052 後五碼:22609 (行號: 15)</v>
      </c>
      <c r="C2290" t="str">
        <f>IFERROR(__xludf.DUMMYFUNCTION("""COMPUTED_VALUE"""),"費用 - 匯費")</f>
        <v>費用 - 匯費</v>
      </c>
      <c r="D2290" s="270">
        <f>IFERROR(__xludf.DUMMYFUNCTION("""COMPUTED_VALUE"""),-15.0)</f>
        <v>-15</v>
      </c>
      <c r="E2290" t="str">
        <f>IFERROR(__xludf.DUMMYFUNCTION("""COMPUTED_VALUE"""),"台銀籌備帳戶")</f>
        <v>台銀籌備帳戶</v>
      </c>
      <c r="H2290" s="106" t="str">
        <f t="shared" si="1"/>
        <v>2025-07</v>
      </c>
      <c r="I2290" s="271" t="str">
        <f>IFERROR(__xludf.DUMMYFUNCTION("""COMPUTED_VALUE"""),"貓狗企鵝")</f>
        <v>貓狗企鵝</v>
      </c>
      <c r="J2290" t="str">
        <f>IFERROR(__xludf.DUMMYFUNCTION("IFS(
  AND(REGEXMATCH(E2290, ""台銀籌備帳戶|玉山帳戶""), REGEXMATCH(C2290, ""薪資"")), ""分潤支出"",
  AND(REGEXMATCH(E2290, ""Ben帳戶|Elsa帳戶|Ben代墊|Ariel代墊|中信銀行共用""), REGEXMATCH(F2290, ""Ben帳戶|Elsa帳戶|Ben代墊|Ariel代墊|中信銀行共用"")), ""內部轉帳(忽略)"",
  AND(E2290&lt;&gt;"""", F2290&lt;&gt;"""", N"&amp;"OT(REGEXMATCH(C2290, ""薪資""))), ""內部轉帳(忽略)"",
  REGEXMATCH(C2290, ""薪資""), ""薪資變動(不計入)"",
  REGEXMATCH(C2290, ""押金""), ""押金往來"",
  AND(E2290&lt;&gt;"""", F2290=""""), ""真實支出"",
  AND(E2290="""", F2290&lt;&gt;""""), ""真實收入"",
  TRUE, ""其他""
)"),"真實支出")</f>
        <v>真實支出</v>
      </c>
      <c r="K2290" s="270">
        <f t="shared" si="2"/>
        <v>-15</v>
      </c>
      <c r="L2290">
        <f t="shared" si="3"/>
        <v>0</v>
      </c>
    </row>
    <row r="2291">
      <c r="A2291" s="107">
        <f>IFERROR(__xludf.DUMMYFUNCTION("""COMPUTED_VALUE"""),45853.0)</f>
        <v>45853</v>
      </c>
      <c r="B2291" t="str">
        <f>IFERROR(__xludf.DUMMYFUNCTION("""COMPUTED_VALUE"""),"[中山北Feli家] [陳玉蘭] 大租金")</f>
        <v>[中山北Feli家] [陳玉蘭] 大租金</v>
      </c>
      <c r="C2291" t="str">
        <f>IFERROR(__xludf.DUMMYFUNCTION("""COMPUTED_VALUE"""),"成本 - 大租金")</f>
        <v>成本 - 大租金</v>
      </c>
      <c r="D2291" s="270">
        <f>IFERROR(__xludf.DUMMYFUNCTION("""COMPUTED_VALUE"""),-18000.0)</f>
        <v>-18000</v>
      </c>
      <c r="E2291" t="str">
        <f>IFERROR(__xludf.DUMMYFUNCTION("""COMPUTED_VALUE"""),"台銀籌備帳戶")</f>
        <v>台銀籌備帳戶</v>
      </c>
      <c r="G2291" t="str">
        <f>IFERROR(__xludf.DUMMYFUNCTION("""COMPUTED_VALUE"""),"中山北Feli家")</f>
        <v>中山北Feli家</v>
      </c>
      <c r="H2291" s="106" t="str">
        <f t="shared" si="1"/>
        <v>2025-07</v>
      </c>
      <c r="I2291" s="271" t="str">
        <f>IFERROR(__xludf.DUMMYFUNCTION("""COMPUTED_VALUE"""),"貓狗企鵝")</f>
        <v>貓狗企鵝</v>
      </c>
      <c r="J2291" t="str">
        <f>IFERROR(__xludf.DUMMYFUNCTION("IFS(
  AND(REGEXMATCH(E2291, ""台銀籌備帳戶|玉山帳戶""), REGEXMATCH(C2291, ""薪資"")), ""分潤支出"",
  AND(REGEXMATCH(E2291, ""Ben帳戶|Elsa帳戶|Ben代墊|Ariel代墊|中信銀行共用""), REGEXMATCH(F2291, ""Ben帳戶|Elsa帳戶|Ben代墊|Ariel代墊|中信銀行共用"")), ""內部轉帳(忽略)"",
  AND(E2291&lt;&gt;"""", F2291&lt;&gt;"""", N"&amp;"OT(REGEXMATCH(C2291, ""薪資""))), ""內部轉帳(忽略)"",
  REGEXMATCH(C2291, ""薪資""), ""薪資變動(不計入)"",
  REGEXMATCH(C2291, ""押金""), ""押金往來"",
  AND(E2291&lt;&gt;"""", F2291=""""), ""真實支出"",
  AND(E2291="""", F2291&lt;&gt;""""), ""真實收入"",
  TRUE, ""其他""
)"),"真實支出")</f>
        <v>真實支出</v>
      </c>
      <c r="K2291" s="270">
        <f t="shared" si="2"/>
        <v>-18000</v>
      </c>
      <c r="L2291">
        <f t="shared" si="3"/>
        <v>0</v>
      </c>
    </row>
    <row r="2292">
      <c r="A2292" s="107">
        <f>IFERROR(__xludf.DUMMYFUNCTION("""COMPUTED_VALUE"""),45853.0)</f>
        <v>45853</v>
      </c>
      <c r="B2292" t="str">
        <f>IFERROR(__xludf.DUMMYFUNCTION("""COMPUTED_VALUE"""),"費用 - 匯費 對方行:700 後五碼:19509 (行號: 16)")</f>
        <v>費用 - 匯費 對方行:700 後五碼:19509 (行號: 16)</v>
      </c>
      <c r="C2292" t="str">
        <f>IFERROR(__xludf.DUMMYFUNCTION("""COMPUTED_VALUE"""),"費用 - 匯費")</f>
        <v>費用 - 匯費</v>
      </c>
      <c r="D2292" s="270">
        <f>IFERROR(__xludf.DUMMYFUNCTION("""COMPUTED_VALUE"""),-15.0)</f>
        <v>-15</v>
      </c>
      <c r="E2292" t="str">
        <f>IFERROR(__xludf.DUMMYFUNCTION("""COMPUTED_VALUE"""),"台銀籌備帳戶")</f>
        <v>台銀籌備帳戶</v>
      </c>
      <c r="H2292" s="106" t="str">
        <f t="shared" si="1"/>
        <v>2025-07</v>
      </c>
      <c r="I2292" s="271" t="str">
        <f>IFERROR(__xludf.DUMMYFUNCTION("""COMPUTED_VALUE"""),"貓狗企鵝")</f>
        <v>貓狗企鵝</v>
      </c>
      <c r="J2292" t="str">
        <f>IFERROR(__xludf.DUMMYFUNCTION("IFS(
  AND(REGEXMATCH(E2292, ""台銀籌備帳戶|玉山帳戶""), REGEXMATCH(C2292, ""薪資"")), ""分潤支出"",
  AND(REGEXMATCH(E2292, ""Ben帳戶|Elsa帳戶|Ben代墊|Ariel代墊|中信銀行共用""), REGEXMATCH(F2292, ""Ben帳戶|Elsa帳戶|Ben代墊|Ariel代墊|中信銀行共用"")), ""內部轉帳(忽略)"",
  AND(E2292&lt;&gt;"""", F2292&lt;&gt;"""", N"&amp;"OT(REGEXMATCH(C2292, ""薪資""))), ""內部轉帳(忽略)"",
  REGEXMATCH(C2292, ""薪資""), ""薪資變動(不計入)"",
  REGEXMATCH(C2292, ""押金""), ""押金往來"",
  AND(E2292&lt;&gt;"""", F2292=""""), ""真實支出"",
  AND(E2292="""", F2292&lt;&gt;""""), ""真實收入"",
  TRUE, ""其他""
)"),"真實支出")</f>
        <v>真實支出</v>
      </c>
      <c r="K2292" s="270">
        <f t="shared" si="2"/>
        <v>-15</v>
      </c>
      <c r="L2292">
        <f t="shared" si="3"/>
        <v>0</v>
      </c>
    </row>
    <row r="2293">
      <c r="A2293" s="107">
        <f>IFERROR(__xludf.DUMMYFUNCTION("""COMPUTED_VALUE"""),45853.0)</f>
        <v>45853</v>
      </c>
      <c r="B2293" t="str">
        <f>IFERROR(__xludf.DUMMYFUNCTION("""COMPUTED_VALUE"""),"[龍江229] [游為傑] 大租金")</f>
        <v>[龍江229] [游為傑] 大租金</v>
      </c>
      <c r="C2293" t="str">
        <f>IFERROR(__xludf.DUMMYFUNCTION("""COMPUTED_VALUE"""),"成本 - 大租金")</f>
        <v>成本 - 大租金</v>
      </c>
      <c r="D2293" s="270">
        <f>IFERROR(__xludf.DUMMYFUNCTION("""COMPUTED_VALUE"""),-13500.0)</f>
        <v>-13500</v>
      </c>
      <c r="E2293" t="str">
        <f>IFERROR(__xludf.DUMMYFUNCTION("""COMPUTED_VALUE"""),"台銀籌備帳戶")</f>
        <v>台銀籌備帳戶</v>
      </c>
      <c r="G2293" t="str">
        <f>IFERROR(__xludf.DUMMYFUNCTION("""COMPUTED_VALUE"""),"龍江229")</f>
        <v>龍江229</v>
      </c>
      <c r="H2293" s="106" t="str">
        <f t="shared" si="1"/>
        <v>2025-07</v>
      </c>
      <c r="I2293" s="271" t="str">
        <f>IFERROR(__xludf.DUMMYFUNCTION("""COMPUTED_VALUE"""),"貓狗企鵝")</f>
        <v>貓狗企鵝</v>
      </c>
      <c r="J2293" t="str">
        <f>IFERROR(__xludf.DUMMYFUNCTION("IFS(
  AND(REGEXMATCH(E2293, ""台銀籌備帳戶|玉山帳戶""), REGEXMATCH(C2293, ""薪資"")), ""分潤支出"",
  AND(REGEXMATCH(E2293, ""Ben帳戶|Elsa帳戶|Ben代墊|Ariel代墊|中信銀行共用""), REGEXMATCH(F2293, ""Ben帳戶|Elsa帳戶|Ben代墊|Ariel代墊|中信銀行共用"")), ""內部轉帳(忽略)"",
  AND(E2293&lt;&gt;"""", F2293&lt;&gt;"""", N"&amp;"OT(REGEXMATCH(C2293, ""薪資""))), ""內部轉帳(忽略)"",
  REGEXMATCH(C2293, ""薪資""), ""薪資變動(不計入)"",
  REGEXMATCH(C2293, ""押金""), ""押金往來"",
  AND(E2293&lt;&gt;"""", F2293=""""), ""真實支出"",
  AND(E2293="""", F2293&lt;&gt;""""), ""真實收入"",
  TRUE, ""其他""
)"),"真實支出")</f>
        <v>真實支出</v>
      </c>
      <c r="K2293" s="270">
        <f t="shared" si="2"/>
        <v>-13500</v>
      </c>
      <c r="L2293">
        <f t="shared" si="3"/>
        <v>0</v>
      </c>
    </row>
    <row r="2294">
      <c r="A2294" s="107">
        <f>IFERROR(__xludf.DUMMYFUNCTION("""COMPUTED_VALUE"""),45853.0)</f>
        <v>45853</v>
      </c>
      <c r="B2294" t="str">
        <f>IFERROR(__xludf.DUMMYFUNCTION("""COMPUTED_VALUE"""),"費用 - 匯費 對方行:700 後五碼:70201 (行號: 20)")</f>
        <v>費用 - 匯費 對方行:700 後五碼:70201 (行號: 20)</v>
      </c>
      <c r="C2294" t="str">
        <f>IFERROR(__xludf.DUMMYFUNCTION("""COMPUTED_VALUE"""),"費用 - 匯費")</f>
        <v>費用 - 匯費</v>
      </c>
      <c r="D2294" s="270">
        <f>IFERROR(__xludf.DUMMYFUNCTION("""COMPUTED_VALUE"""),-15.0)</f>
        <v>-15</v>
      </c>
      <c r="E2294" t="str">
        <f>IFERROR(__xludf.DUMMYFUNCTION("""COMPUTED_VALUE"""),"台銀籌備帳戶")</f>
        <v>台銀籌備帳戶</v>
      </c>
      <c r="H2294" s="106" t="str">
        <f t="shared" si="1"/>
        <v>2025-07</v>
      </c>
      <c r="I2294" s="271" t="str">
        <f>IFERROR(__xludf.DUMMYFUNCTION("""COMPUTED_VALUE"""),"貓狗企鵝")</f>
        <v>貓狗企鵝</v>
      </c>
      <c r="J2294" t="str">
        <f>IFERROR(__xludf.DUMMYFUNCTION("IFS(
  AND(REGEXMATCH(E2294, ""台銀籌備帳戶|玉山帳戶""), REGEXMATCH(C2294, ""薪資"")), ""分潤支出"",
  AND(REGEXMATCH(E2294, ""Ben帳戶|Elsa帳戶|Ben代墊|Ariel代墊|中信銀行共用""), REGEXMATCH(F2294, ""Ben帳戶|Elsa帳戶|Ben代墊|Ariel代墊|中信銀行共用"")), ""內部轉帳(忽略)"",
  AND(E2294&lt;&gt;"""", F2294&lt;&gt;"""", N"&amp;"OT(REGEXMATCH(C2294, ""薪資""))), ""內部轉帳(忽略)"",
  REGEXMATCH(C2294, ""薪資""), ""薪資變動(不計入)"",
  REGEXMATCH(C2294, ""押金""), ""押金往來"",
  AND(E2294&lt;&gt;"""", F2294=""""), ""真實支出"",
  AND(E2294="""", F2294&lt;&gt;""""), ""真實收入"",
  TRUE, ""其他""
)"),"真實支出")</f>
        <v>真實支出</v>
      </c>
      <c r="K2294" s="270">
        <f t="shared" si="2"/>
        <v>-15</v>
      </c>
      <c r="L2294">
        <f t="shared" si="3"/>
        <v>0</v>
      </c>
    </row>
    <row r="2295">
      <c r="A2295" s="107">
        <f>IFERROR(__xludf.DUMMYFUNCTION("""COMPUTED_VALUE"""),45853.0)</f>
        <v>45853</v>
      </c>
      <c r="B2295" t="str">
        <f>IFERROR(__xludf.DUMMYFUNCTION("""COMPUTED_VALUE"""),"宜佳大湖封版 ' 【未分類支出】")</f>
        <v>宜佳大湖封版 ' 【未分類支出】</v>
      </c>
      <c r="C2295" t="str">
        <f>IFERROR(__xludf.DUMMYFUNCTION("""COMPUTED_VALUE"""),"成本 - 租後修繕")</f>
        <v>成本 - 租後修繕</v>
      </c>
      <c r="D2295" s="270">
        <f>IFERROR(__xludf.DUMMYFUNCTION("""COMPUTED_VALUE"""),-11865.0)</f>
        <v>-11865</v>
      </c>
      <c r="E2295" t="str">
        <f>IFERROR(__xludf.DUMMYFUNCTION("""COMPUTED_VALUE"""),"台銀籌備帳戶")</f>
        <v>台銀籌備帳戶</v>
      </c>
      <c r="G2295" t="str">
        <f>IFERROR(__xludf.DUMMYFUNCTION("""COMPUTED_VALUE"""),"大湖山莊")</f>
        <v>大湖山莊</v>
      </c>
      <c r="H2295" s="106" t="str">
        <f t="shared" si="1"/>
        <v>2025-07</v>
      </c>
      <c r="I2295" s="271" t="str">
        <f>IFERROR(__xludf.DUMMYFUNCTION("""COMPUTED_VALUE"""),"貓狗企鵝")</f>
        <v>貓狗企鵝</v>
      </c>
      <c r="J2295" t="str">
        <f>IFERROR(__xludf.DUMMYFUNCTION("IFS(
  AND(REGEXMATCH(E2295, ""台銀籌備帳戶|玉山帳戶""), REGEXMATCH(C2295, ""薪資"")), ""分潤支出"",
  AND(REGEXMATCH(E2295, ""Ben帳戶|Elsa帳戶|Ben代墊|Ariel代墊|中信銀行共用""), REGEXMATCH(F2295, ""Ben帳戶|Elsa帳戶|Ben代墊|Ariel代墊|中信銀行共用"")), ""內部轉帳(忽略)"",
  AND(E2295&lt;&gt;"""", F2295&lt;&gt;"""", N"&amp;"OT(REGEXMATCH(C2295, ""薪資""))), ""內部轉帳(忽略)"",
  REGEXMATCH(C2295, ""薪資""), ""薪資變動(不計入)"",
  REGEXMATCH(C2295, ""押金""), ""押金往來"",
  AND(E2295&lt;&gt;"""", F2295=""""), ""真實支出"",
  AND(E2295="""", F2295&lt;&gt;""""), ""真實收入"",
  TRUE, ""其他""
)"),"真實支出")</f>
        <v>真實支出</v>
      </c>
      <c r="K2295" s="270">
        <f t="shared" si="2"/>
        <v>-11865</v>
      </c>
      <c r="L2295">
        <f t="shared" si="3"/>
        <v>0</v>
      </c>
    </row>
    <row r="2296">
      <c r="A2296" s="107">
        <f>IFERROR(__xludf.DUMMYFUNCTION("""COMPUTED_VALUE"""),45856.0)</f>
        <v>45856</v>
      </c>
      <c r="B2296" t="str">
        <f>IFERROR(__xludf.DUMMYFUNCTION("""COMPUTED_VALUE"""),"費用 - 匯費 對方行:013 後五碼:93080 (行號: 24)")</f>
        <v>費用 - 匯費 對方行:013 後五碼:93080 (行號: 24)</v>
      </c>
      <c r="C2296" t="str">
        <f>IFERROR(__xludf.DUMMYFUNCTION("""COMPUTED_VALUE"""),"費用 - 匯費")</f>
        <v>費用 - 匯費</v>
      </c>
      <c r="D2296" s="270">
        <f>IFERROR(__xludf.DUMMYFUNCTION("""COMPUTED_VALUE"""),-15.0)</f>
        <v>-15</v>
      </c>
      <c r="E2296" t="str">
        <f>IFERROR(__xludf.DUMMYFUNCTION("""COMPUTED_VALUE"""),"台銀籌備帳戶")</f>
        <v>台銀籌備帳戶</v>
      </c>
      <c r="H2296" s="106" t="str">
        <f t="shared" si="1"/>
        <v>2025-07</v>
      </c>
      <c r="I2296" s="271" t="str">
        <f>IFERROR(__xludf.DUMMYFUNCTION("""COMPUTED_VALUE"""),"貓狗企鵝")</f>
        <v>貓狗企鵝</v>
      </c>
      <c r="J2296" t="str">
        <f>IFERROR(__xludf.DUMMYFUNCTION("IFS(
  AND(REGEXMATCH(E2296, ""台銀籌備帳戶|玉山帳戶""), REGEXMATCH(C2296, ""薪資"")), ""分潤支出"",
  AND(REGEXMATCH(E2296, ""Ben帳戶|Elsa帳戶|Ben代墊|Ariel代墊|中信銀行共用""), REGEXMATCH(F2296, ""Ben帳戶|Elsa帳戶|Ben代墊|Ariel代墊|中信銀行共用"")), ""內部轉帳(忽略)"",
  AND(E2296&lt;&gt;"""", F2296&lt;&gt;"""", N"&amp;"OT(REGEXMATCH(C2296, ""薪資""))), ""內部轉帳(忽略)"",
  REGEXMATCH(C2296, ""薪資""), ""薪資變動(不計入)"",
  REGEXMATCH(C2296, ""押金""), ""押金往來"",
  AND(E2296&lt;&gt;"""", F2296=""""), ""真實支出"",
  AND(E2296="""", F2296&lt;&gt;""""), ""真實收入"",
  TRUE, ""其他""
)"),"真實支出")</f>
        <v>真實支出</v>
      </c>
      <c r="K2296" s="270">
        <f t="shared" si="2"/>
        <v>-15</v>
      </c>
      <c r="L2296">
        <f t="shared" si="3"/>
        <v>0</v>
      </c>
    </row>
    <row r="2297">
      <c r="A2297" s="107">
        <f>IFERROR(__xludf.DUMMYFUNCTION("""COMPUTED_VALUE"""),45856.0)</f>
        <v>45856</v>
      </c>
      <c r="B2297" t="str">
        <f>IFERROR(__xludf.DUMMYFUNCTION("""COMPUTED_VALUE"""),"大湖F退押 ' 【未分類支出】")</f>
        <v>大湖F退押 ' 【未分類支出】</v>
      </c>
      <c r="C2297" t="str">
        <f>IFERROR(__xludf.DUMMYFUNCTION("""COMPUTED_VALUE"""),"收入 - 押金")</f>
        <v>收入 - 押金</v>
      </c>
      <c r="D2297" s="270">
        <f>IFERROR(__xludf.DUMMYFUNCTION("""COMPUTED_VALUE"""),-17000.0)</f>
        <v>-17000</v>
      </c>
      <c r="E2297" t="str">
        <f>IFERROR(__xludf.DUMMYFUNCTION("""COMPUTED_VALUE"""),"台銀籌備帳戶")</f>
        <v>台銀籌備帳戶</v>
      </c>
      <c r="G2297" t="str">
        <f>IFERROR(__xludf.DUMMYFUNCTION("""COMPUTED_VALUE"""),"大湖山莊")</f>
        <v>大湖山莊</v>
      </c>
      <c r="H2297" s="106" t="str">
        <f t="shared" si="1"/>
        <v>2025-07</v>
      </c>
      <c r="I2297" s="271" t="str">
        <f>IFERROR(__xludf.DUMMYFUNCTION("""COMPUTED_VALUE"""),"貓狗企鵝")</f>
        <v>貓狗企鵝</v>
      </c>
      <c r="J2297" t="str">
        <f>IFERROR(__xludf.DUMMYFUNCTION("IFS(
  AND(REGEXMATCH(E2297, ""台銀籌備帳戶|玉山帳戶""), REGEXMATCH(C2297, ""薪資"")), ""分潤支出"",
  AND(REGEXMATCH(E2297, ""Ben帳戶|Elsa帳戶|Ben代墊|Ariel代墊|中信銀行共用""), REGEXMATCH(F2297, ""Ben帳戶|Elsa帳戶|Ben代墊|Ariel代墊|中信銀行共用"")), ""內部轉帳(忽略)"",
  AND(E2297&lt;&gt;"""", F2297&lt;&gt;"""", N"&amp;"OT(REGEXMATCH(C2297, ""薪資""))), ""內部轉帳(忽略)"",
  REGEXMATCH(C2297, ""薪資""), ""薪資變動(不計入)"",
  REGEXMATCH(C2297, ""押金""), ""押金往來"",
  AND(E2297&lt;&gt;"""", F2297=""""), ""真實支出"",
  AND(E2297="""", F2297&lt;&gt;""""), ""真實收入"",
  TRUE, ""其他""
)"),"押金往來")</f>
        <v>押金往來</v>
      </c>
      <c r="K2297">
        <f t="shared" si="2"/>
        <v>0</v>
      </c>
      <c r="L2297">
        <f t="shared" si="3"/>
        <v>0</v>
      </c>
    </row>
    <row r="2298">
      <c r="A2298" s="107">
        <f>IFERROR(__xludf.DUMMYFUNCTION("""COMPUTED_VALUE"""),45856.0)</f>
        <v>45856</v>
      </c>
      <c r="B2298" t="str">
        <f>IFERROR(__xludf.DUMMYFUNCTION("""COMPUTED_VALUE"""),"費用 - 匯費 對方行:013 後五碼:15867 (行號: 25)")</f>
        <v>費用 - 匯費 對方行:013 後五碼:15867 (行號: 25)</v>
      </c>
      <c r="C2298" t="str">
        <f>IFERROR(__xludf.DUMMYFUNCTION("""COMPUTED_VALUE"""),"費用 - 匯費")</f>
        <v>費用 - 匯費</v>
      </c>
      <c r="D2298" s="270">
        <f>IFERROR(__xludf.DUMMYFUNCTION("""COMPUTED_VALUE"""),-15.0)</f>
        <v>-15</v>
      </c>
      <c r="E2298" t="str">
        <f>IFERROR(__xludf.DUMMYFUNCTION("""COMPUTED_VALUE"""),"台銀籌備帳戶")</f>
        <v>台銀籌備帳戶</v>
      </c>
      <c r="H2298" s="106" t="str">
        <f t="shared" si="1"/>
        <v>2025-07</v>
      </c>
      <c r="I2298" s="271" t="str">
        <f>IFERROR(__xludf.DUMMYFUNCTION("""COMPUTED_VALUE"""),"貓狗企鵝")</f>
        <v>貓狗企鵝</v>
      </c>
      <c r="J2298" t="str">
        <f>IFERROR(__xludf.DUMMYFUNCTION("IFS(
  AND(REGEXMATCH(E2298, ""台銀籌備帳戶|玉山帳戶""), REGEXMATCH(C2298, ""薪資"")), ""分潤支出"",
  AND(REGEXMATCH(E2298, ""Ben帳戶|Elsa帳戶|Ben代墊|Ariel代墊|中信銀行共用""), REGEXMATCH(F2298, ""Ben帳戶|Elsa帳戶|Ben代墊|Ariel代墊|中信銀行共用"")), ""內部轉帳(忽略)"",
  AND(E2298&lt;&gt;"""", F2298&lt;&gt;"""", N"&amp;"OT(REGEXMATCH(C2298, ""薪資""))), ""內部轉帳(忽略)"",
  REGEXMATCH(C2298, ""薪資""), ""薪資變動(不計入)"",
  REGEXMATCH(C2298, ""押金""), ""押金往來"",
  AND(E2298&lt;&gt;"""", F2298=""""), ""真實支出"",
  AND(E2298="""", F2298&lt;&gt;""""), ""真實收入"",
  TRUE, ""其他""
)"),"真實支出")</f>
        <v>真實支出</v>
      </c>
      <c r="K2298" s="270">
        <f t="shared" si="2"/>
        <v>-15</v>
      </c>
      <c r="L2298">
        <f t="shared" si="3"/>
        <v>0</v>
      </c>
    </row>
    <row r="2299">
      <c r="A2299" s="107">
        <f>IFERROR(__xludf.DUMMYFUNCTION("""COMPUTED_VALUE"""),45856.0)</f>
        <v>45856</v>
      </c>
      <c r="B2299" t="str">
        <f>IFERROR(__xludf.DUMMYFUNCTION("""COMPUTED_VALUE"""),"大湖F退押 ' 【未分類支出】")</f>
        <v>大湖F退押 ' 【未分類支出】</v>
      </c>
      <c r="C2299" t="str">
        <f>IFERROR(__xludf.DUMMYFUNCTION("""COMPUTED_VALUE"""),"收入 - 押金")</f>
        <v>收入 - 押金</v>
      </c>
      <c r="D2299" s="270">
        <f>IFERROR(__xludf.DUMMYFUNCTION("""COMPUTED_VALUE"""),-17000.0)</f>
        <v>-17000</v>
      </c>
      <c r="E2299" t="str">
        <f>IFERROR(__xludf.DUMMYFUNCTION("""COMPUTED_VALUE"""),"台銀籌備帳戶")</f>
        <v>台銀籌備帳戶</v>
      </c>
      <c r="G2299" t="str">
        <f>IFERROR(__xludf.DUMMYFUNCTION("""COMPUTED_VALUE"""),"大湖山莊")</f>
        <v>大湖山莊</v>
      </c>
      <c r="H2299" s="106" t="str">
        <f t="shared" si="1"/>
        <v>2025-07</v>
      </c>
      <c r="I2299" s="271" t="str">
        <f>IFERROR(__xludf.DUMMYFUNCTION("""COMPUTED_VALUE"""),"貓狗企鵝")</f>
        <v>貓狗企鵝</v>
      </c>
      <c r="J2299" t="str">
        <f>IFERROR(__xludf.DUMMYFUNCTION("IFS(
  AND(REGEXMATCH(E2299, ""台銀籌備帳戶|玉山帳戶""), REGEXMATCH(C2299, ""薪資"")), ""分潤支出"",
  AND(REGEXMATCH(E2299, ""Ben帳戶|Elsa帳戶|Ben代墊|Ariel代墊|中信銀行共用""), REGEXMATCH(F2299, ""Ben帳戶|Elsa帳戶|Ben代墊|Ariel代墊|中信銀行共用"")), ""內部轉帳(忽略)"",
  AND(E2299&lt;&gt;"""", F2299&lt;&gt;"""", N"&amp;"OT(REGEXMATCH(C2299, ""薪資""))), ""內部轉帳(忽略)"",
  REGEXMATCH(C2299, ""薪資""), ""薪資變動(不計入)"",
  REGEXMATCH(C2299, ""押金""), ""押金往來"",
  AND(E2299&lt;&gt;"""", F2299=""""), ""真實支出"",
  AND(E2299="""", F2299&lt;&gt;""""), ""真實收入"",
  TRUE, ""其他""
)"),"押金往來")</f>
        <v>押金往來</v>
      </c>
      <c r="K2299">
        <f t="shared" si="2"/>
        <v>0</v>
      </c>
      <c r="L2299">
        <f t="shared" si="3"/>
        <v>0</v>
      </c>
    </row>
    <row r="2300">
      <c r="A2300" s="107">
        <f>IFERROR(__xludf.DUMMYFUNCTION("""COMPUTED_VALUE"""),45856.0)</f>
        <v>45856</v>
      </c>
      <c r="B2300" t="str">
        <f>IFERROR(__xludf.DUMMYFUNCTION("""COMPUTED_VALUE"""),"費用 - 匯費 對方行:822 後五碼:56515 (行號: 26)")</f>
        <v>費用 - 匯費 對方行:822 後五碼:56515 (行號: 26)</v>
      </c>
      <c r="C2300" t="str">
        <f>IFERROR(__xludf.DUMMYFUNCTION("""COMPUTED_VALUE"""),"費用 - 匯費")</f>
        <v>費用 - 匯費</v>
      </c>
      <c r="D2300" s="270">
        <f>IFERROR(__xludf.DUMMYFUNCTION("""COMPUTED_VALUE"""),-15.0)</f>
        <v>-15</v>
      </c>
      <c r="E2300" t="str">
        <f>IFERROR(__xludf.DUMMYFUNCTION("""COMPUTED_VALUE"""),"台銀籌備帳戶")</f>
        <v>台銀籌備帳戶</v>
      </c>
      <c r="H2300" s="106" t="str">
        <f t="shared" si="1"/>
        <v>2025-07</v>
      </c>
      <c r="I2300" s="271" t="str">
        <f>IFERROR(__xludf.DUMMYFUNCTION("""COMPUTED_VALUE"""),"貓狗企鵝")</f>
        <v>貓狗企鵝</v>
      </c>
      <c r="J2300" t="str">
        <f>IFERROR(__xludf.DUMMYFUNCTION("IFS(
  AND(REGEXMATCH(E2300, ""台銀籌備帳戶|玉山帳戶""), REGEXMATCH(C2300, ""薪資"")), ""分潤支出"",
  AND(REGEXMATCH(E2300, ""Ben帳戶|Elsa帳戶|Ben代墊|Ariel代墊|中信銀行共用""), REGEXMATCH(F2300, ""Ben帳戶|Elsa帳戶|Ben代墊|Ariel代墊|中信銀行共用"")), ""內部轉帳(忽略)"",
  AND(E2300&lt;&gt;"""", F2300&lt;&gt;"""", N"&amp;"OT(REGEXMATCH(C2300, ""薪資""))), ""內部轉帳(忽略)"",
  REGEXMATCH(C2300, ""薪資""), ""薪資變動(不計入)"",
  REGEXMATCH(C2300, ""押金""), ""押金往來"",
  AND(E2300&lt;&gt;"""", F2300=""""), ""真實支出"",
  AND(E2300="""", F2300&lt;&gt;""""), ""真實收入"",
  TRUE, ""其他""
)"),"真實支出")</f>
        <v>真實支出</v>
      </c>
      <c r="K2300" s="270">
        <f t="shared" si="2"/>
        <v>-15</v>
      </c>
      <c r="L2300">
        <f t="shared" si="3"/>
        <v>0</v>
      </c>
    </row>
    <row r="2301">
      <c r="A2301" s="107">
        <f>IFERROR(__xludf.DUMMYFUNCTION("""COMPUTED_VALUE"""),45856.0)</f>
        <v>45856</v>
      </c>
      <c r="B2301" t="str">
        <f>IFERROR(__xludf.DUMMYFUNCTION("""COMPUTED_VALUE"""),"冷氣書香")</f>
        <v>冷氣書香</v>
      </c>
      <c r="C2301" t="str">
        <f>IFERROR(__xludf.DUMMYFUNCTION("""COMPUTED_VALUE"""),"成本 - 進場前裝潢費")</f>
        <v>成本 - 進場前裝潢費</v>
      </c>
      <c r="D2301" s="270">
        <f>IFERROR(__xludf.DUMMYFUNCTION("""COMPUTED_VALUE"""),-121980.0)</f>
        <v>-121980</v>
      </c>
      <c r="E2301" t="str">
        <f>IFERROR(__xludf.DUMMYFUNCTION("""COMPUTED_VALUE"""),"台銀籌備帳戶")</f>
        <v>台銀籌備帳戶</v>
      </c>
      <c r="G2301" t="str">
        <f>IFERROR(__xludf.DUMMYFUNCTION("""COMPUTED_VALUE"""),"書香民生")</f>
        <v>書香民生</v>
      </c>
      <c r="H2301" s="106" t="str">
        <f t="shared" si="1"/>
        <v>2025-07</v>
      </c>
      <c r="I2301" s="271" t="str">
        <f>IFERROR(__xludf.DUMMYFUNCTION("""COMPUTED_VALUE"""),"貓狗企鵝")</f>
        <v>貓狗企鵝</v>
      </c>
      <c r="J2301" t="str">
        <f>IFERROR(__xludf.DUMMYFUNCTION("IFS(
  AND(REGEXMATCH(E2301, ""台銀籌備帳戶|玉山帳戶""), REGEXMATCH(C2301, ""薪資"")), ""分潤支出"",
  AND(REGEXMATCH(E2301, ""Ben帳戶|Elsa帳戶|Ben代墊|Ariel代墊|中信銀行共用""), REGEXMATCH(F2301, ""Ben帳戶|Elsa帳戶|Ben代墊|Ariel代墊|中信銀行共用"")), ""內部轉帳(忽略)"",
  AND(E2301&lt;&gt;"""", F2301&lt;&gt;"""", N"&amp;"OT(REGEXMATCH(C2301, ""薪資""))), ""內部轉帳(忽略)"",
  REGEXMATCH(C2301, ""薪資""), ""薪資變動(不計入)"",
  REGEXMATCH(C2301, ""押金""), ""押金往來"",
  AND(E2301&lt;&gt;"""", F2301=""""), ""真實支出"",
  AND(E2301="""", F2301&lt;&gt;""""), ""真實收入"",
  TRUE, ""其他""
)"),"真實支出")</f>
        <v>真實支出</v>
      </c>
      <c r="K2301" s="270">
        <f t="shared" si="2"/>
        <v>-121980</v>
      </c>
      <c r="L2301">
        <f t="shared" si="3"/>
        <v>0</v>
      </c>
    </row>
    <row r="2302">
      <c r="A2302" s="107">
        <f>IFERROR(__xludf.DUMMYFUNCTION("""COMPUTED_VALUE"""),45856.0)</f>
        <v>45856</v>
      </c>
      <c r="B2302" t="str">
        <f>IFERROR(__xludf.DUMMYFUNCTION("""COMPUTED_VALUE"""),"費用 - 匯費 對方行:808 後五碼:24317 (行號: 30)")</f>
        <v>費用 - 匯費 對方行:808 後五碼:24317 (行號: 30)</v>
      </c>
      <c r="C2302" t="str">
        <f>IFERROR(__xludf.DUMMYFUNCTION("""COMPUTED_VALUE"""),"費用 - 匯費")</f>
        <v>費用 - 匯費</v>
      </c>
      <c r="D2302" s="270">
        <f>IFERROR(__xludf.DUMMYFUNCTION("""COMPUTED_VALUE"""),-15.0)</f>
        <v>-15</v>
      </c>
      <c r="E2302" t="str">
        <f>IFERROR(__xludf.DUMMYFUNCTION("""COMPUTED_VALUE"""),"台銀籌備帳戶")</f>
        <v>台銀籌備帳戶</v>
      </c>
      <c r="H2302" s="106" t="str">
        <f t="shared" si="1"/>
        <v>2025-07</v>
      </c>
      <c r="I2302" s="271" t="str">
        <f>IFERROR(__xludf.DUMMYFUNCTION("""COMPUTED_VALUE"""),"貓狗企鵝")</f>
        <v>貓狗企鵝</v>
      </c>
      <c r="J2302" t="str">
        <f>IFERROR(__xludf.DUMMYFUNCTION("IFS(
  AND(REGEXMATCH(E2302, ""台銀籌備帳戶|玉山帳戶""), REGEXMATCH(C2302, ""薪資"")), ""分潤支出"",
  AND(REGEXMATCH(E2302, ""Ben帳戶|Elsa帳戶|Ben代墊|Ariel代墊|中信銀行共用""), REGEXMATCH(F2302, ""Ben帳戶|Elsa帳戶|Ben代墊|Ariel代墊|中信銀行共用"")), ""內部轉帳(忽略)"",
  AND(E2302&lt;&gt;"""", F2302&lt;&gt;"""", N"&amp;"OT(REGEXMATCH(C2302, ""薪資""))), ""內部轉帳(忽略)"",
  REGEXMATCH(C2302, ""薪資""), ""薪資變動(不計入)"",
  REGEXMATCH(C2302, ""押金""), ""押金往來"",
  AND(E2302&lt;&gt;"""", F2302=""""), ""真實支出"",
  AND(E2302="""", F2302&lt;&gt;""""), ""真實收入"",
  TRUE, ""其他""
)"),"真實支出")</f>
        <v>真實支出</v>
      </c>
      <c r="K2302" s="270">
        <f t="shared" si="2"/>
        <v>-15</v>
      </c>
      <c r="L2302">
        <f t="shared" si="3"/>
        <v>0</v>
      </c>
    </row>
    <row r="2303">
      <c r="A2303" s="107">
        <f>IFERROR(__xludf.DUMMYFUNCTION("""COMPUTED_VALUE"""),45856.0)</f>
        <v>45856</v>
      </c>
      <c r="B2303" t="str">
        <f>IFERROR(__xludf.DUMMYFUNCTION("""COMPUTED_VALUE"""),"冷氣永春")</f>
        <v>冷氣永春</v>
      </c>
      <c r="C2303" t="str">
        <f>IFERROR(__xludf.DUMMYFUNCTION("""COMPUTED_VALUE"""),"成本 - 租後修繕")</f>
        <v>成本 - 租後修繕</v>
      </c>
      <c r="D2303" s="270">
        <f>IFERROR(__xludf.DUMMYFUNCTION("""COMPUTED_VALUE"""),-22800.0)</f>
        <v>-22800</v>
      </c>
      <c r="E2303" t="str">
        <f>IFERROR(__xludf.DUMMYFUNCTION("""COMPUTED_VALUE"""),"台銀籌備帳戶")</f>
        <v>台銀籌備帳戶</v>
      </c>
      <c r="G2303" t="str">
        <f>IFERROR(__xludf.DUMMYFUNCTION("""COMPUTED_VALUE"""),"永春四號")</f>
        <v>永春四號</v>
      </c>
      <c r="H2303" s="106" t="str">
        <f t="shared" si="1"/>
        <v>2025-07</v>
      </c>
      <c r="I2303" s="271" t="str">
        <f>IFERROR(__xludf.DUMMYFUNCTION("""COMPUTED_VALUE"""),"貓狗企鵝")</f>
        <v>貓狗企鵝</v>
      </c>
      <c r="J2303" t="str">
        <f>IFERROR(__xludf.DUMMYFUNCTION("IFS(
  AND(REGEXMATCH(E2303, ""台銀籌備帳戶|玉山帳戶""), REGEXMATCH(C2303, ""薪資"")), ""分潤支出"",
  AND(REGEXMATCH(E2303, ""Ben帳戶|Elsa帳戶|Ben代墊|Ariel代墊|中信銀行共用""), REGEXMATCH(F2303, ""Ben帳戶|Elsa帳戶|Ben代墊|Ariel代墊|中信銀行共用"")), ""內部轉帳(忽略)"",
  AND(E2303&lt;&gt;"""", F2303&lt;&gt;"""", N"&amp;"OT(REGEXMATCH(C2303, ""薪資""))), ""內部轉帳(忽略)"",
  REGEXMATCH(C2303, ""薪資""), ""薪資變動(不計入)"",
  REGEXMATCH(C2303, ""押金""), ""押金往來"",
  AND(E2303&lt;&gt;"""", F2303=""""), ""真實支出"",
  AND(E2303="""", F2303&lt;&gt;""""), ""真實收入"",
  TRUE, ""其他""
)"),"真實支出")</f>
        <v>真實支出</v>
      </c>
      <c r="K2303" s="270">
        <f t="shared" si="2"/>
        <v>-22800</v>
      </c>
      <c r="L2303">
        <f t="shared" si="3"/>
        <v>0</v>
      </c>
    </row>
    <row r="2304">
      <c r="A2304" s="107">
        <f>IFERROR(__xludf.DUMMYFUNCTION("""COMPUTED_VALUE"""),45859.0)</f>
        <v>45859</v>
      </c>
      <c r="B2304" t="str">
        <f>IFERROR(__xludf.DUMMYFUNCTION("""COMPUTED_VALUE"""),"費用 - 匯費 對方行:822 後五碼:61657 (行號: 37)")</f>
        <v>費用 - 匯費 對方行:822 後五碼:61657 (行號: 37)</v>
      </c>
      <c r="C2304" t="str">
        <f>IFERROR(__xludf.DUMMYFUNCTION("""COMPUTED_VALUE"""),"費用 - 匯費")</f>
        <v>費用 - 匯費</v>
      </c>
      <c r="D2304" s="270">
        <f>IFERROR(__xludf.DUMMYFUNCTION("""COMPUTED_VALUE"""),-15.0)</f>
        <v>-15</v>
      </c>
      <c r="E2304" t="str">
        <f>IFERROR(__xludf.DUMMYFUNCTION("""COMPUTED_VALUE"""),"台銀籌備帳戶")</f>
        <v>台銀籌備帳戶</v>
      </c>
      <c r="H2304" s="106" t="str">
        <f t="shared" si="1"/>
        <v>2025-07</v>
      </c>
      <c r="I2304" s="271" t="str">
        <f>IFERROR(__xludf.DUMMYFUNCTION("""COMPUTED_VALUE"""),"貓狗企鵝")</f>
        <v>貓狗企鵝</v>
      </c>
      <c r="J2304" t="str">
        <f>IFERROR(__xludf.DUMMYFUNCTION("IFS(
  AND(REGEXMATCH(E2304, ""台銀籌備帳戶|玉山帳戶""), REGEXMATCH(C2304, ""薪資"")), ""分潤支出"",
  AND(REGEXMATCH(E2304, ""Ben帳戶|Elsa帳戶|Ben代墊|Ariel代墊|中信銀行共用""), REGEXMATCH(F2304, ""Ben帳戶|Elsa帳戶|Ben代墊|Ariel代墊|中信銀行共用"")), ""內部轉帳(忽略)"",
  AND(E2304&lt;&gt;"""", F2304&lt;&gt;"""", N"&amp;"OT(REGEXMATCH(C2304, ""薪資""))), ""內部轉帳(忽略)"",
  REGEXMATCH(C2304, ""薪資""), ""薪資變動(不計入)"",
  REGEXMATCH(C2304, ""押金""), ""押金往來"",
  AND(E2304&lt;&gt;"""", F2304=""""), ""真實支出"",
  AND(E2304="""", F2304&lt;&gt;""""), ""真實收入"",
  TRUE, ""其他""
)"),"真實支出")</f>
        <v>真實支出</v>
      </c>
      <c r="K2304" s="270">
        <f t="shared" si="2"/>
        <v>-15</v>
      </c>
      <c r="L2304">
        <f t="shared" si="3"/>
        <v>0</v>
      </c>
    </row>
    <row r="2305">
      <c r="A2305" s="107">
        <f>IFERROR(__xludf.DUMMYFUNCTION("""COMPUTED_VALUE"""),45859.0)</f>
        <v>45859</v>
      </c>
      <c r="B2305" t="str">
        <f>IFERROR(__xludf.DUMMYFUNCTION("""COMPUTED_VALUE"""),"大湖套房馬桶維修 ")</f>
        <v>大湖套房馬桶維修 </v>
      </c>
      <c r="C2305" t="str">
        <f>IFERROR(__xludf.DUMMYFUNCTION("""COMPUTED_VALUE"""),"成本 - 租後修繕")</f>
        <v>成本 - 租後修繕</v>
      </c>
      <c r="D2305" s="270">
        <f>IFERROR(__xludf.DUMMYFUNCTION("""COMPUTED_VALUE"""),-1800.0)</f>
        <v>-1800</v>
      </c>
      <c r="E2305" t="str">
        <f>IFERROR(__xludf.DUMMYFUNCTION("""COMPUTED_VALUE"""),"台銀籌備帳戶")</f>
        <v>台銀籌備帳戶</v>
      </c>
      <c r="G2305" t="str">
        <f>IFERROR(__xludf.DUMMYFUNCTION("""COMPUTED_VALUE"""),"大湖山莊")</f>
        <v>大湖山莊</v>
      </c>
      <c r="H2305" s="106" t="str">
        <f t="shared" si="1"/>
        <v>2025-07</v>
      </c>
      <c r="I2305" s="271" t="str">
        <f>IFERROR(__xludf.DUMMYFUNCTION("""COMPUTED_VALUE"""),"貓狗企鵝")</f>
        <v>貓狗企鵝</v>
      </c>
      <c r="J2305" t="str">
        <f>IFERROR(__xludf.DUMMYFUNCTION("IFS(
  AND(REGEXMATCH(E2305, ""台銀籌備帳戶|玉山帳戶""), REGEXMATCH(C2305, ""薪資"")), ""分潤支出"",
  AND(REGEXMATCH(E2305, ""Ben帳戶|Elsa帳戶|Ben代墊|Ariel代墊|中信銀行共用""), REGEXMATCH(F2305, ""Ben帳戶|Elsa帳戶|Ben代墊|Ariel代墊|中信銀行共用"")), ""內部轉帳(忽略)"",
  AND(E2305&lt;&gt;"""", F2305&lt;&gt;"""", N"&amp;"OT(REGEXMATCH(C2305, ""薪資""))), ""內部轉帳(忽略)"",
  REGEXMATCH(C2305, ""薪資""), ""薪資變動(不計入)"",
  REGEXMATCH(C2305, ""押金""), ""押金往來"",
  AND(E2305&lt;&gt;"""", F2305=""""), ""真實支出"",
  AND(E2305="""", F2305&lt;&gt;""""), ""真實收入"",
  TRUE, ""其他""
)"),"真實支出")</f>
        <v>真實支出</v>
      </c>
      <c r="K2305" s="270">
        <f t="shared" si="2"/>
        <v>-1800</v>
      </c>
      <c r="L2305">
        <f t="shared" si="3"/>
        <v>0</v>
      </c>
    </row>
    <row r="2306">
      <c r="A2306" s="107">
        <f>IFERROR(__xludf.DUMMYFUNCTION("""COMPUTED_VALUE"""),45866.0)</f>
        <v>45866</v>
      </c>
      <c r="B2306" t="str">
        <f>IFERROR(__xludf.DUMMYFUNCTION("""COMPUTED_VALUE"""),"費用 - 匯費 對方行:812 後五碼:86639 (行號: 40)")</f>
        <v>費用 - 匯費 對方行:812 後五碼:86639 (行號: 40)</v>
      </c>
      <c r="C2306" t="str">
        <f>IFERROR(__xludf.DUMMYFUNCTION("""COMPUTED_VALUE"""),"費用 - 匯費")</f>
        <v>費用 - 匯費</v>
      </c>
      <c r="D2306" s="270">
        <f>IFERROR(__xludf.DUMMYFUNCTION("""COMPUTED_VALUE"""),-15.0)</f>
        <v>-15</v>
      </c>
      <c r="E2306" t="str">
        <f>IFERROR(__xludf.DUMMYFUNCTION("""COMPUTED_VALUE"""),"台銀籌備帳戶")</f>
        <v>台銀籌備帳戶</v>
      </c>
      <c r="H2306" s="106" t="str">
        <f t="shared" si="1"/>
        <v>2025-07</v>
      </c>
      <c r="I2306" s="271" t="str">
        <f>IFERROR(__xludf.DUMMYFUNCTION("""COMPUTED_VALUE"""),"貓狗企鵝")</f>
        <v>貓狗企鵝</v>
      </c>
      <c r="J2306" t="str">
        <f>IFERROR(__xludf.DUMMYFUNCTION("IFS(
  AND(REGEXMATCH(E2306, ""台銀籌備帳戶|玉山帳戶""), REGEXMATCH(C2306, ""薪資"")), ""分潤支出"",
  AND(REGEXMATCH(E2306, ""Ben帳戶|Elsa帳戶|Ben代墊|Ariel代墊|中信銀行共用""), REGEXMATCH(F2306, ""Ben帳戶|Elsa帳戶|Ben代墊|Ariel代墊|中信銀行共用"")), ""內部轉帳(忽略)"",
  AND(E2306&lt;&gt;"""", F2306&lt;&gt;"""", N"&amp;"OT(REGEXMATCH(C2306, ""薪資""))), ""內部轉帳(忽略)"",
  REGEXMATCH(C2306, ""薪資""), ""薪資變動(不計入)"",
  REGEXMATCH(C2306, ""押金""), ""押金往來"",
  AND(E2306&lt;&gt;"""", F2306=""""), ""真實支出"",
  AND(E2306="""", F2306&lt;&gt;""""), ""真實收入"",
  TRUE, ""其他""
)"),"真實支出")</f>
        <v>真實支出</v>
      </c>
      <c r="K2306" s="270">
        <f t="shared" si="2"/>
        <v>-15</v>
      </c>
      <c r="L2306">
        <f t="shared" si="3"/>
        <v>0</v>
      </c>
    </row>
    <row r="2307">
      <c r="A2307" s="107">
        <f>IFERROR(__xludf.DUMMYFUNCTION("""COMPUTED_VALUE"""),45866.0)</f>
        <v>45866</v>
      </c>
      <c r="B2307" t="str">
        <f>IFERROR(__xludf.DUMMYFUNCTION("""COMPUTED_VALUE"""),"螢光水電書香民生")</f>
        <v>螢光水電書香民生</v>
      </c>
      <c r="C2307" t="str">
        <f>IFERROR(__xludf.DUMMYFUNCTION("""COMPUTED_VALUE"""),"成本 - 進場前裝潢費")</f>
        <v>成本 - 進場前裝潢費</v>
      </c>
      <c r="D2307" s="270">
        <f>IFERROR(__xludf.DUMMYFUNCTION("""COMPUTED_VALUE"""),-51345.0)</f>
        <v>-51345</v>
      </c>
      <c r="E2307" t="str">
        <f>IFERROR(__xludf.DUMMYFUNCTION("""COMPUTED_VALUE"""),"台銀籌備帳戶")</f>
        <v>台銀籌備帳戶</v>
      </c>
      <c r="G2307" t="str">
        <f>IFERROR(__xludf.DUMMYFUNCTION("""COMPUTED_VALUE"""),"書香民生")</f>
        <v>書香民生</v>
      </c>
      <c r="H2307" s="106" t="str">
        <f t="shared" si="1"/>
        <v>2025-07</v>
      </c>
      <c r="I2307" s="271" t="str">
        <f>IFERROR(__xludf.DUMMYFUNCTION("""COMPUTED_VALUE"""),"貓狗企鵝")</f>
        <v>貓狗企鵝</v>
      </c>
      <c r="J2307" t="str">
        <f>IFERROR(__xludf.DUMMYFUNCTION("IFS(
  AND(REGEXMATCH(E2307, ""台銀籌備帳戶|玉山帳戶""), REGEXMATCH(C2307, ""薪資"")), ""分潤支出"",
  AND(REGEXMATCH(E2307, ""Ben帳戶|Elsa帳戶|Ben代墊|Ariel代墊|中信銀行共用""), REGEXMATCH(F2307, ""Ben帳戶|Elsa帳戶|Ben代墊|Ariel代墊|中信銀行共用"")), ""內部轉帳(忽略)"",
  AND(E2307&lt;&gt;"""", F2307&lt;&gt;"""", N"&amp;"OT(REGEXMATCH(C2307, ""薪資""))), ""內部轉帳(忽略)"",
  REGEXMATCH(C2307, ""薪資""), ""薪資變動(不計入)"",
  REGEXMATCH(C2307, ""押金""), ""押金往來"",
  AND(E2307&lt;&gt;"""", F2307=""""), ""真實支出"",
  AND(E2307="""", F2307&lt;&gt;""""), ""真實收入"",
  TRUE, ""其他""
)"),"真實支出")</f>
        <v>真實支出</v>
      </c>
      <c r="K2307" s="270">
        <f t="shared" si="2"/>
        <v>-51345</v>
      </c>
      <c r="L2307">
        <f t="shared" si="3"/>
        <v>0</v>
      </c>
    </row>
    <row r="2308">
      <c r="A2308" s="107">
        <f>IFERROR(__xludf.DUMMYFUNCTION("""COMPUTED_VALUE"""),45870.0)</f>
        <v>45870</v>
      </c>
      <c r="B2308" t="str">
        <f>IFERROR(__xludf.DUMMYFUNCTION("""COMPUTED_VALUE"""),"[南港站挑高宅] [林淑華] 大租金")</f>
        <v>[南港站挑高宅] [林淑華] 大租金</v>
      </c>
      <c r="C2308" t="str">
        <f>IFERROR(__xludf.DUMMYFUNCTION("""COMPUTED_VALUE"""),"成本 - 大租金")</f>
        <v>成本 - 大租金</v>
      </c>
      <c r="D2308" s="270">
        <f>IFERROR(__xludf.DUMMYFUNCTION("""COMPUTED_VALUE"""),-18250.0)</f>
        <v>-18250</v>
      </c>
      <c r="E2308" t="str">
        <f>IFERROR(__xludf.DUMMYFUNCTION("""COMPUTED_VALUE"""),"台銀籌備帳戶")</f>
        <v>台銀籌備帳戶</v>
      </c>
      <c r="G2308" t="str">
        <f>IFERROR(__xludf.DUMMYFUNCTION("""COMPUTED_VALUE"""),"南港站挑高宅")</f>
        <v>南港站挑高宅</v>
      </c>
      <c r="H2308" s="106" t="str">
        <f t="shared" si="1"/>
        <v>2025-08</v>
      </c>
      <c r="I2308" s="271" t="str">
        <f>IFERROR(__xludf.DUMMYFUNCTION("""COMPUTED_VALUE"""),"貓狗企鵝")</f>
        <v>貓狗企鵝</v>
      </c>
      <c r="J2308" t="str">
        <f>IFERROR(__xludf.DUMMYFUNCTION("IFS(
  AND(REGEXMATCH(E2308, ""台銀籌備帳戶|玉山帳戶""), REGEXMATCH(C2308, ""薪資"")), ""分潤支出"",
  AND(REGEXMATCH(E2308, ""Ben帳戶|Elsa帳戶|Ben代墊|Ariel代墊|中信銀行共用""), REGEXMATCH(F2308, ""Ben帳戶|Elsa帳戶|Ben代墊|Ariel代墊|中信銀行共用"")), ""內部轉帳(忽略)"",
  AND(E2308&lt;&gt;"""", F2308&lt;&gt;"""", N"&amp;"OT(REGEXMATCH(C2308, ""薪資""))), ""內部轉帳(忽略)"",
  REGEXMATCH(C2308, ""薪資""), ""薪資變動(不計入)"",
  REGEXMATCH(C2308, ""押金""), ""押金往來"",
  AND(E2308&lt;&gt;"""", F2308=""""), ""真實支出"",
  AND(E2308="""", F2308&lt;&gt;""""), ""真實收入"",
  TRUE, ""其他""
)"),"真實支出")</f>
        <v>真實支出</v>
      </c>
      <c r="K2308" s="270">
        <f t="shared" si="2"/>
        <v>-18250</v>
      </c>
      <c r="L2308">
        <f t="shared" si="3"/>
        <v>0</v>
      </c>
    </row>
    <row r="2309">
      <c r="A2309" s="107">
        <f>IFERROR(__xludf.DUMMYFUNCTION("""COMPUTED_VALUE"""),45870.0)</f>
        <v>45870</v>
      </c>
      <c r="B2309" t="str">
        <f>IFERROR(__xludf.DUMMYFUNCTION("""COMPUTED_VALUE"""),"費用 - 匯費 對方行:012 後五碼:84509 (行號: 47)")</f>
        <v>費用 - 匯費 對方行:012 後五碼:84509 (行號: 47)</v>
      </c>
      <c r="C2309" t="str">
        <f>IFERROR(__xludf.DUMMYFUNCTION("""COMPUTED_VALUE"""),"費用 - 匯費")</f>
        <v>費用 - 匯費</v>
      </c>
      <c r="D2309" s="270">
        <f>IFERROR(__xludf.DUMMYFUNCTION("""COMPUTED_VALUE"""),-15.0)</f>
        <v>-15</v>
      </c>
      <c r="E2309" t="str">
        <f>IFERROR(__xludf.DUMMYFUNCTION("""COMPUTED_VALUE"""),"台銀籌備帳戶")</f>
        <v>台銀籌備帳戶</v>
      </c>
      <c r="H2309" s="106" t="str">
        <f t="shared" si="1"/>
        <v>2025-08</v>
      </c>
      <c r="I2309" s="271" t="str">
        <f>IFERROR(__xludf.DUMMYFUNCTION("""COMPUTED_VALUE"""),"貓狗企鵝")</f>
        <v>貓狗企鵝</v>
      </c>
      <c r="J2309" t="str">
        <f>IFERROR(__xludf.DUMMYFUNCTION("IFS(
  AND(REGEXMATCH(E2309, ""台銀籌備帳戶|玉山帳戶""), REGEXMATCH(C2309, ""薪資"")), ""分潤支出"",
  AND(REGEXMATCH(E2309, ""Ben帳戶|Elsa帳戶|Ben代墊|Ariel代墊|中信銀行共用""), REGEXMATCH(F2309, ""Ben帳戶|Elsa帳戶|Ben代墊|Ariel代墊|中信銀行共用"")), ""內部轉帳(忽略)"",
  AND(E2309&lt;&gt;"""", F2309&lt;&gt;"""", N"&amp;"OT(REGEXMATCH(C2309, ""薪資""))), ""內部轉帳(忽略)"",
  REGEXMATCH(C2309, ""薪資""), ""薪資變動(不計入)"",
  REGEXMATCH(C2309, ""押金""), ""押金往來"",
  AND(E2309&lt;&gt;"""", F2309=""""), ""真實支出"",
  AND(E2309="""", F2309&lt;&gt;""""), ""真實收入"",
  TRUE, ""其他""
)"),"真實支出")</f>
        <v>真實支出</v>
      </c>
      <c r="K2309" s="270">
        <f t="shared" si="2"/>
        <v>-15</v>
      </c>
      <c r="L2309">
        <f t="shared" si="3"/>
        <v>0</v>
      </c>
    </row>
    <row r="2310">
      <c r="A2310" s="107">
        <f>IFERROR(__xludf.DUMMYFUNCTION("""COMPUTED_VALUE"""),45870.0)</f>
        <v>45870</v>
      </c>
      <c r="B2310" t="str">
        <f>IFERROR(__xludf.DUMMYFUNCTION("""COMPUTED_VALUE"""),"[永春四號] [郭宗仁] 大租金")</f>
        <v>[永春四號] [郭宗仁] 大租金</v>
      </c>
      <c r="C2310" t="str">
        <f>IFERROR(__xludf.DUMMYFUNCTION("""COMPUTED_VALUE"""),"成本 - 大租金")</f>
        <v>成本 - 大租金</v>
      </c>
      <c r="D2310" s="270">
        <f>IFERROR(__xludf.DUMMYFUNCTION("""COMPUTED_VALUE"""),-17000.0)</f>
        <v>-17000</v>
      </c>
      <c r="E2310" t="str">
        <f>IFERROR(__xludf.DUMMYFUNCTION("""COMPUTED_VALUE"""),"台銀籌備帳戶")</f>
        <v>台銀籌備帳戶</v>
      </c>
      <c r="G2310" t="str">
        <f>IFERROR(__xludf.DUMMYFUNCTION("""COMPUTED_VALUE"""),"永春四號")</f>
        <v>永春四號</v>
      </c>
      <c r="H2310" s="106" t="str">
        <f t="shared" si="1"/>
        <v>2025-08</v>
      </c>
      <c r="I2310" s="271" t="str">
        <f>IFERROR(__xludf.DUMMYFUNCTION("""COMPUTED_VALUE"""),"貓狗企鵝")</f>
        <v>貓狗企鵝</v>
      </c>
      <c r="J2310" t="str">
        <f>IFERROR(__xludf.DUMMYFUNCTION("IFS(
  AND(REGEXMATCH(E2310, ""台銀籌備帳戶|玉山帳戶""), REGEXMATCH(C2310, ""薪資"")), ""分潤支出"",
  AND(REGEXMATCH(E2310, ""Ben帳戶|Elsa帳戶|Ben代墊|Ariel代墊|中信銀行共用""), REGEXMATCH(F2310, ""Ben帳戶|Elsa帳戶|Ben代墊|Ariel代墊|中信銀行共用"")), ""內部轉帳(忽略)"",
  AND(E2310&lt;&gt;"""", F2310&lt;&gt;"""", N"&amp;"OT(REGEXMATCH(C2310, ""薪資""))), ""內部轉帳(忽略)"",
  REGEXMATCH(C2310, ""薪資""), ""薪資變動(不計入)"",
  REGEXMATCH(C2310, ""押金""), ""押金往來"",
  AND(E2310&lt;&gt;"""", F2310=""""), ""真實支出"",
  AND(E2310="""", F2310&lt;&gt;""""), ""真實收入"",
  TRUE, ""其他""
)"),"真實支出")</f>
        <v>真實支出</v>
      </c>
      <c r="K2310" s="270">
        <f t="shared" si="2"/>
        <v>-17000</v>
      </c>
      <c r="L2310">
        <f t="shared" si="3"/>
        <v>0</v>
      </c>
    </row>
    <row r="2311">
      <c r="A2311" s="107">
        <f>IFERROR(__xludf.DUMMYFUNCTION("""COMPUTED_VALUE"""),45870.0)</f>
        <v>45870</v>
      </c>
      <c r="B2311" t="str">
        <f>IFERROR(__xludf.DUMMYFUNCTION("""COMPUTED_VALUE"""),"費用 - 匯費 對方行:012 後五碼:46295 (行號: 48)")</f>
        <v>費用 - 匯費 對方行:012 後五碼:46295 (行號: 48)</v>
      </c>
      <c r="C2311" t="str">
        <f>IFERROR(__xludf.DUMMYFUNCTION("""COMPUTED_VALUE"""),"費用 - 匯費")</f>
        <v>費用 - 匯費</v>
      </c>
      <c r="D2311" s="270">
        <f>IFERROR(__xludf.DUMMYFUNCTION("""COMPUTED_VALUE"""),-15.0)</f>
        <v>-15</v>
      </c>
      <c r="E2311" t="str">
        <f>IFERROR(__xludf.DUMMYFUNCTION("""COMPUTED_VALUE"""),"台銀籌備帳戶")</f>
        <v>台銀籌備帳戶</v>
      </c>
      <c r="H2311" s="106" t="str">
        <f t="shared" si="1"/>
        <v>2025-08</v>
      </c>
      <c r="I2311" s="271" t="str">
        <f>IFERROR(__xludf.DUMMYFUNCTION("""COMPUTED_VALUE"""),"貓狗企鵝")</f>
        <v>貓狗企鵝</v>
      </c>
      <c r="J2311" t="str">
        <f>IFERROR(__xludf.DUMMYFUNCTION("IFS(
  AND(REGEXMATCH(E2311, ""台銀籌備帳戶|玉山帳戶""), REGEXMATCH(C2311, ""薪資"")), ""分潤支出"",
  AND(REGEXMATCH(E2311, ""Ben帳戶|Elsa帳戶|Ben代墊|Ariel代墊|中信銀行共用""), REGEXMATCH(F2311, ""Ben帳戶|Elsa帳戶|Ben代墊|Ariel代墊|中信銀行共用"")), ""內部轉帳(忽略)"",
  AND(E2311&lt;&gt;"""", F2311&lt;&gt;"""", N"&amp;"OT(REGEXMATCH(C2311, ""薪資""))), ""內部轉帳(忽略)"",
  REGEXMATCH(C2311, ""薪資""), ""薪資變動(不計入)"",
  REGEXMATCH(C2311, ""押金""), ""押金往來"",
  AND(E2311&lt;&gt;"""", F2311=""""), ""真實支出"",
  AND(E2311="""", F2311&lt;&gt;""""), ""真實收入"",
  TRUE, ""其他""
)"),"真實支出")</f>
        <v>真實支出</v>
      </c>
      <c r="K2311" s="270">
        <f t="shared" si="2"/>
        <v>-15</v>
      </c>
      <c r="L2311">
        <f t="shared" si="3"/>
        <v>0</v>
      </c>
    </row>
    <row r="2312">
      <c r="A2312" s="107">
        <f>IFERROR(__xludf.DUMMYFUNCTION("""COMPUTED_VALUE"""),45870.0)</f>
        <v>45870</v>
      </c>
      <c r="B2312" t="str">
        <f>IFERROR(__xludf.DUMMYFUNCTION("""COMPUTED_VALUE"""),"[永春四號] [郭宗仁] 大租金")</f>
        <v>[永春四號] [郭宗仁] 大租金</v>
      </c>
      <c r="C2312" t="str">
        <f>IFERROR(__xludf.DUMMYFUNCTION("""COMPUTED_VALUE"""),"成本 - 大租金")</f>
        <v>成本 - 大租金</v>
      </c>
      <c r="D2312" s="270">
        <f>IFERROR(__xludf.DUMMYFUNCTION("""COMPUTED_VALUE"""),-17000.0)</f>
        <v>-17000</v>
      </c>
      <c r="E2312" t="str">
        <f>IFERROR(__xludf.DUMMYFUNCTION("""COMPUTED_VALUE"""),"台銀籌備帳戶")</f>
        <v>台銀籌備帳戶</v>
      </c>
      <c r="G2312" t="str">
        <f>IFERROR(__xludf.DUMMYFUNCTION("""COMPUTED_VALUE"""),"永春四號")</f>
        <v>永春四號</v>
      </c>
      <c r="H2312" s="106" t="str">
        <f t="shared" si="1"/>
        <v>2025-08</v>
      </c>
      <c r="I2312" s="271" t="str">
        <f>IFERROR(__xludf.DUMMYFUNCTION("""COMPUTED_VALUE"""),"貓狗企鵝")</f>
        <v>貓狗企鵝</v>
      </c>
      <c r="J2312" t="str">
        <f>IFERROR(__xludf.DUMMYFUNCTION("IFS(
  AND(REGEXMATCH(E2312, ""台銀籌備帳戶|玉山帳戶""), REGEXMATCH(C2312, ""薪資"")), ""分潤支出"",
  AND(REGEXMATCH(E2312, ""Ben帳戶|Elsa帳戶|Ben代墊|Ariel代墊|中信銀行共用""), REGEXMATCH(F2312, ""Ben帳戶|Elsa帳戶|Ben代墊|Ariel代墊|中信銀行共用"")), ""內部轉帳(忽略)"",
  AND(E2312&lt;&gt;"""", F2312&lt;&gt;"""", N"&amp;"OT(REGEXMATCH(C2312, ""薪資""))), ""內部轉帳(忽略)"",
  REGEXMATCH(C2312, ""薪資""), ""薪資變動(不計入)"",
  REGEXMATCH(C2312, ""押金""), ""押金往來"",
  AND(E2312&lt;&gt;"""", F2312=""""), ""真實支出"",
  AND(E2312="""", F2312&lt;&gt;""""), ""真實收入"",
  TRUE, ""其他""
)"),"真實支出")</f>
        <v>真實支出</v>
      </c>
      <c r="K2312" s="270">
        <f t="shared" si="2"/>
        <v>-17000</v>
      </c>
      <c r="L2312">
        <f t="shared" si="3"/>
        <v>0</v>
      </c>
    </row>
    <row r="2313">
      <c r="A2313" s="107">
        <f>IFERROR(__xludf.DUMMYFUNCTION("""COMPUTED_VALUE"""),45870.0)</f>
        <v>45870</v>
      </c>
      <c r="B2313" t="str">
        <f>IFERROR(__xludf.DUMMYFUNCTION("""COMPUTED_VALUE"""),"費用 - 匯費 對方行:700 後五碼:19509 (行號: 49)")</f>
        <v>費用 - 匯費 對方行:700 後五碼:19509 (行號: 49)</v>
      </c>
      <c r="C2313" t="str">
        <f>IFERROR(__xludf.DUMMYFUNCTION("""COMPUTED_VALUE"""),"費用 - 匯費")</f>
        <v>費用 - 匯費</v>
      </c>
      <c r="D2313" s="270">
        <f>IFERROR(__xludf.DUMMYFUNCTION("""COMPUTED_VALUE"""),-15.0)</f>
        <v>-15</v>
      </c>
      <c r="E2313" t="str">
        <f>IFERROR(__xludf.DUMMYFUNCTION("""COMPUTED_VALUE"""),"台銀籌備帳戶")</f>
        <v>台銀籌備帳戶</v>
      </c>
      <c r="H2313" s="106" t="str">
        <f t="shared" si="1"/>
        <v>2025-08</v>
      </c>
      <c r="I2313" s="271" t="str">
        <f>IFERROR(__xludf.DUMMYFUNCTION("""COMPUTED_VALUE"""),"貓狗企鵝")</f>
        <v>貓狗企鵝</v>
      </c>
      <c r="J2313" t="str">
        <f>IFERROR(__xludf.DUMMYFUNCTION("IFS(
  AND(REGEXMATCH(E2313, ""台銀籌備帳戶|玉山帳戶""), REGEXMATCH(C2313, ""薪資"")), ""分潤支出"",
  AND(REGEXMATCH(E2313, ""Ben帳戶|Elsa帳戶|Ben代墊|Ariel代墊|中信銀行共用""), REGEXMATCH(F2313, ""Ben帳戶|Elsa帳戶|Ben代墊|Ariel代墊|中信銀行共用"")), ""內部轉帳(忽略)"",
  AND(E2313&lt;&gt;"""", F2313&lt;&gt;"""", N"&amp;"OT(REGEXMATCH(C2313, ""薪資""))), ""內部轉帳(忽略)"",
  REGEXMATCH(C2313, ""薪資""), ""薪資變動(不計入)"",
  REGEXMATCH(C2313, ""押金""), ""押金往來"",
  AND(E2313&lt;&gt;"""", F2313=""""), ""真實支出"",
  AND(E2313="""", F2313&lt;&gt;""""), ""真實收入"",
  TRUE, ""其他""
)"),"真實支出")</f>
        <v>真實支出</v>
      </c>
      <c r="K2313" s="270">
        <f t="shared" si="2"/>
        <v>-15</v>
      </c>
      <c r="L2313">
        <f t="shared" si="3"/>
        <v>0</v>
      </c>
    </row>
    <row r="2314">
      <c r="A2314" s="107">
        <f>IFERROR(__xludf.DUMMYFUNCTION("""COMPUTED_VALUE"""),45870.0)</f>
        <v>45870</v>
      </c>
      <c r="B2314" t="str">
        <f>IFERROR(__xludf.DUMMYFUNCTION("""COMPUTED_VALUE"""),"[龍江229] [游為傑] 大租金")</f>
        <v>[龍江229] [游為傑] 大租金</v>
      </c>
      <c r="C2314" t="str">
        <f>IFERROR(__xludf.DUMMYFUNCTION("""COMPUTED_VALUE"""),"成本 - 大租金")</f>
        <v>成本 - 大租金</v>
      </c>
      <c r="D2314" s="270">
        <f>IFERROR(__xludf.DUMMYFUNCTION("""COMPUTED_VALUE"""),-13500.0)</f>
        <v>-13500</v>
      </c>
      <c r="E2314" t="str">
        <f>IFERROR(__xludf.DUMMYFUNCTION("""COMPUTED_VALUE"""),"台銀籌備帳戶")</f>
        <v>台銀籌備帳戶</v>
      </c>
      <c r="G2314" t="str">
        <f>IFERROR(__xludf.DUMMYFUNCTION("""COMPUTED_VALUE"""),"龍江229")</f>
        <v>龍江229</v>
      </c>
      <c r="H2314" s="106" t="str">
        <f t="shared" si="1"/>
        <v>2025-08</v>
      </c>
      <c r="I2314" s="271" t="str">
        <f>IFERROR(__xludf.DUMMYFUNCTION("""COMPUTED_VALUE"""),"貓狗企鵝")</f>
        <v>貓狗企鵝</v>
      </c>
      <c r="J2314" t="str">
        <f>IFERROR(__xludf.DUMMYFUNCTION("IFS(
  AND(REGEXMATCH(E2314, ""台銀籌備帳戶|玉山帳戶""), REGEXMATCH(C2314, ""薪資"")), ""分潤支出"",
  AND(REGEXMATCH(E2314, ""Ben帳戶|Elsa帳戶|Ben代墊|Ariel代墊|中信銀行共用""), REGEXMATCH(F2314, ""Ben帳戶|Elsa帳戶|Ben代墊|Ariel代墊|中信銀行共用"")), ""內部轉帳(忽略)"",
  AND(E2314&lt;&gt;"""", F2314&lt;&gt;"""", N"&amp;"OT(REGEXMATCH(C2314, ""薪資""))), ""內部轉帳(忽略)"",
  REGEXMATCH(C2314, ""薪資""), ""薪資變動(不計入)"",
  REGEXMATCH(C2314, ""押金""), ""押金往來"",
  AND(E2314&lt;&gt;"""", F2314=""""), ""真實支出"",
  AND(E2314="""", F2314&lt;&gt;""""), ""真實收入"",
  TRUE, ""其他""
)"),"真實支出")</f>
        <v>真實支出</v>
      </c>
      <c r="K2314" s="270">
        <f t="shared" si="2"/>
        <v>-13500</v>
      </c>
      <c r="L2314">
        <f t="shared" si="3"/>
        <v>0</v>
      </c>
    </row>
    <row r="2315">
      <c r="A2315" s="107">
        <f>IFERROR(__xludf.DUMMYFUNCTION("""COMPUTED_VALUE"""),45870.0)</f>
        <v>45870</v>
      </c>
      <c r="B2315" t="str">
        <f>IFERROR(__xludf.DUMMYFUNCTION("""COMPUTED_VALUE"""),"費用 - 匯費 對方行:012 後五碼:74779 (行號: 50)")</f>
        <v>費用 - 匯費 對方行:012 後五碼:74779 (行號: 50)</v>
      </c>
      <c r="C2315" t="str">
        <f>IFERROR(__xludf.DUMMYFUNCTION("""COMPUTED_VALUE"""),"費用 - 匯費")</f>
        <v>費用 - 匯費</v>
      </c>
      <c r="D2315" s="270">
        <f>IFERROR(__xludf.DUMMYFUNCTION("""COMPUTED_VALUE"""),-15.0)</f>
        <v>-15</v>
      </c>
      <c r="E2315" t="str">
        <f>IFERROR(__xludf.DUMMYFUNCTION("""COMPUTED_VALUE"""),"台銀籌備帳戶")</f>
        <v>台銀籌備帳戶</v>
      </c>
      <c r="H2315" s="106" t="str">
        <f t="shared" si="1"/>
        <v>2025-08</v>
      </c>
      <c r="I2315" s="271" t="str">
        <f>IFERROR(__xludf.DUMMYFUNCTION("""COMPUTED_VALUE"""),"貓狗企鵝")</f>
        <v>貓狗企鵝</v>
      </c>
      <c r="J2315" t="str">
        <f>IFERROR(__xludf.DUMMYFUNCTION("IFS(
  AND(REGEXMATCH(E2315, ""台銀籌備帳戶|玉山帳戶""), REGEXMATCH(C2315, ""薪資"")), ""分潤支出"",
  AND(REGEXMATCH(E2315, ""Ben帳戶|Elsa帳戶|Ben代墊|Ariel代墊|中信銀行共用""), REGEXMATCH(F2315, ""Ben帳戶|Elsa帳戶|Ben代墊|Ariel代墊|中信銀行共用"")), ""內部轉帳(忽略)"",
  AND(E2315&lt;&gt;"""", F2315&lt;&gt;"""", N"&amp;"OT(REGEXMATCH(C2315, ""薪資""))), ""內部轉帳(忽略)"",
  REGEXMATCH(C2315, ""薪資""), ""薪資變動(不計入)"",
  REGEXMATCH(C2315, ""押金""), ""押金往來"",
  AND(E2315&lt;&gt;"""", F2315=""""), ""真實支出"",
  AND(E2315="""", F2315&lt;&gt;""""), ""真實收入"",
  TRUE, ""其他""
)"),"真實支出")</f>
        <v>真實支出</v>
      </c>
      <c r="K2315" s="270">
        <f t="shared" si="2"/>
        <v>-15</v>
      </c>
      <c r="L2315">
        <f t="shared" si="3"/>
        <v>0</v>
      </c>
    </row>
    <row r="2316">
      <c r="A2316" s="107">
        <f>IFERROR(__xludf.DUMMYFUNCTION("""COMPUTED_VALUE"""),45870.0)</f>
        <v>45870</v>
      </c>
      <c r="B2316" t="str">
        <f>IFERROR(__xludf.DUMMYFUNCTION("""COMPUTED_VALUE"""),"[市府爺爺家] [常永年] 大租金")</f>
        <v>[市府爺爺家] [常永年] 大租金</v>
      </c>
      <c r="C2316" t="str">
        <f>IFERROR(__xludf.DUMMYFUNCTION("""COMPUTED_VALUE"""),"成本 - 大租金")</f>
        <v>成本 - 大租金</v>
      </c>
      <c r="D2316" s="270">
        <f>IFERROR(__xludf.DUMMYFUNCTION("""COMPUTED_VALUE"""),-12000.0)</f>
        <v>-12000</v>
      </c>
      <c r="E2316" t="str">
        <f>IFERROR(__xludf.DUMMYFUNCTION("""COMPUTED_VALUE"""),"台銀籌備帳戶")</f>
        <v>台銀籌備帳戶</v>
      </c>
      <c r="G2316" t="str">
        <f>IFERROR(__xludf.DUMMYFUNCTION("""COMPUTED_VALUE"""),"市府爺爺家")</f>
        <v>市府爺爺家</v>
      </c>
      <c r="H2316" s="106" t="str">
        <f t="shared" si="1"/>
        <v>2025-08</v>
      </c>
      <c r="I2316" s="271" t="str">
        <f>IFERROR(__xludf.DUMMYFUNCTION("""COMPUTED_VALUE"""),"貓狗企鵝")</f>
        <v>貓狗企鵝</v>
      </c>
      <c r="J2316" t="str">
        <f>IFERROR(__xludf.DUMMYFUNCTION("IFS(
  AND(REGEXMATCH(E2316, ""台銀籌備帳戶|玉山帳戶""), REGEXMATCH(C2316, ""薪資"")), ""分潤支出"",
  AND(REGEXMATCH(E2316, ""Ben帳戶|Elsa帳戶|Ben代墊|Ariel代墊|中信銀行共用""), REGEXMATCH(F2316, ""Ben帳戶|Elsa帳戶|Ben代墊|Ariel代墊|中信銀行共用"")), ""內部轉帳(忽略)"",
  AND(E2316&lt;&gt;"""", F2316&lt;&gt;"""", N"&amp;"OT(REGEXMATCH(C2316, ""薪資""))), ""內部轉帳(忽略)"",
  REGEXMATCH(C2316, ""薪資""), ""薪資變動(不計入)"",
  REGEXMATCH(C2316, ""押金""), ""押金往來"",
  AND(E2316&lt;&gt;"""", F2316=""""), ""真實支出"",
  AND(E2316="""", F2316&lt;&gt;""""), ""真實收入"",
  TRUE, ""其他""
)"),"真實支出")</f>
        <v>真實支出</v>
      </c>
      <c r="K2316" s="270">
        <f t="shared" si="2"/>
        <v>-12000</v>
      </c>
      <c r="L2316">
        <f t="shared" si="3"/>
        <v>0</v>
      </c>
    </row>
    <row r="2317">
      <c r="A2317" s="107">
        <f>IFERROR(__xludf.DUMMYFUNCTION("""COMPUTED_VALUE"""),45870.0)</f>
        <v>45870</v>
      </c>
      <c r="B2317" t="str">
        <f>IFERROR(__xludf.DUMMYFUNCTION("""COMPUTED_VALUE"""),"費用 - 匯費 對方行:052 後五碼:22609 (行號: 51)")</f>
        <v>費用 - 匯費 對方行:052 後五碼:22609 (行號: 51)</v>
      </c>
      <c r="C2317" t="str">
        <f>IFERROR(__xludf.DUMMYFUNCTION("""COMPUTED_VALUE"""),"費用 - 匯費")</f>
        <v>費用 - 匯費</v>
      </c>
      <c r="D2317" s="270">
        <f>IFERROR(__xludf.DUMMYFUNCTION("""COMPUTED_VALUE"""),-15.0)</f>
        <v>-15</v>
      </c>
      <c r="E2317" t="str">
        <f>IFERROR(__xludf.DUMMYFUNCTION("""COMPUTED_VALUE"""),"台銀籌備帳戶")</f>
        <v>台銀籌備帳戶</v>
      </c>
      <c r="H2317" s="106" t="str">
        <f t="shared" si="1"/>
        <v>2025-08</v>
      </c>
      <c r="I2317" s="271" t="str">
        <f>IFERROR(__xludf.DUMMYFUNCTION("""COMPUTED_VALUE"""),"貓狗企鵝")</f>
        <v>貓狗企鵝</v>
      </c>
      <c r="J2317" t="str">
        <f>IFERROR(__xludf.DUMMYFUNCTION("IFS(
  AND(REGEXMATCH(E2317, ""台銀籌備帳戶|玉山帳戶""), REGEXMATCH(C2317, ""薪資"")), ""分潤支出"",
  AND(REGEXMATCH(E2317, ""Ben帳戶|Elsa帳戶|Ben代墊|Ariel代墊|中信銀行共用""), REGEXMATCH(F2317, ""Ben帳戶|Elsa帳戶|Ben代墊|Ariel代墊|中信銀行共用"")), ""內部轉帳(忽略)"",
  AND(E2317&lt;&gt;"""", F2317&lt;&gt;"""", N"&amp;"OT(REGEXMATCH(C2317, ""薪資""))), ""內部轉帳(忽略)"",
  REGEXMATCH(C2317, ""薪資""), ""薪資變動(不計入)"",
  REGEXMATCH(C2317, ""押金""), ""押金往來"",
  AND(E2317&lt;&gt;"""", F2317=""""), ""真實支出"",
  AND(E2317="""", F2317&lt;&gt;""""), ""真實收入"",
  TRUE, ""其他""
)"),"真實支出")</f>
        <v>真實支出</v>
      </c>
      <c r="K2317" s="270">
        <f t="shared" si="2"/>
        <v>-15</v>
      </c>
      <c r="L2317">
        <f t="shared" si="3"/>
        <v>0</v>
      </c>
    </row>
    <row r="2318">
      <c r="A2318" s="107">
        <f>IFERROR(__xludf.DUMMYFUNCTION("""COMPUTED_VALUE"""),45870.0)</f>
        <v>45870</v>
      </c>
      <c r="B2318" t="str">
        <f>IFERROR(__xludf.DUMMYFUNCTION("""COMPUTED_VALUE"""),"[中山北Feli家] [陳玉蘭] 大租金")</f>
        <v>[中山北Feli家] [陳玉蘭] 大租金</v>
      </c>
      <c r="C2318" t="str">
        <f>IFERROR(__xludf.DUMMYFUNCTION("""COMPUTED_VALUE"""),"成本 - 大租金")</f>
        <v>成本 - 大租金</v>
      </c>
      <c r="D2318" s="270">
        <f>IFERROR(__xludf.DUMMYFUNCTION("""COMPUTED_VALUE"""),-18000.0)</f>
        <v>-18000</v>
      </c>
      <c r="E2318" t="str">
        <f>IFERROR(__xludf.DUMMYFUNCTION("""COMPUTED_VALUE"""),"台銀籌備帳戶")</f>
        <v>台銀籌備帳戶</v>
      </c>
      <c r="G2318" t="str">
        <f>IFERROR(__xludf.DUMMYFUNCTION("""COMPUTED_VALUE"""),"中山北Feli家")</f>
        <v>中山北Feli家</v>
      </c>
      <c r="H2318" s="106" t="str">
        <f t="shared" si="1"/>
        <v>2025-08</v>
      </c>
      <c r="I2318" s="271" t="str">
        <f>IFERROR(__xludf.DUMMYFUNCTION("""COMPUTED_VALUE"""),"貓狗企鵝")</f>
        <v>貓狗企鵝</v>
      </c>
      <c r="J2318" t="str">
        <f>IFERROR(__xludf.DUMMYFUNCTION("IFS(
  AND(REGEXMATCH(E2318, ""台銀籌備帳戶|玉山帳戶""), REGEXMATCH(C2318, ""薪資"")), ""分潤支出"",
  AND(REGEXMATCH(E2318, ""Ben帳戶|Elsa帳戶|Ben代墊|Ariel代墊|中信銀行共用""), REGEXMATCH(F2318, ""Ben帳戶|Elsa帳戶|Ben代墊|Ariel代墊|中信銀行共用"")), ""內部轉帳(忽略)"",
  AND(E2318&lt;&gt;"""", F2318&lt;&gt;"""", N"&amp;"OT(REGEXMATCH(C2318, ""薪資""))), ""內部轉帳(忽略)"",
  REGEXMATCH(C2318, ""薪資""), ""薪資變動(不計入)"",
  REGEXMATCH(C2318, ""押金""), ""押金往來"",
  AND(E2318&lt;&gt;"""", F2318=""""), ""真實支出"",
  AND(E2318="""", F2318&lt;&gt;""""), ""真實收入"",
  TRUE, ""其他""
)"),"真實支出")</f>
        <v>真實支出</v>
      </c>
      <c r="K2318" s="270">
        <f t="shared" si="2"/>
        <v>-18000</v>
      </c>
      <c r="L2318">
        <f t="shared" si="3"/>
        <v>0</v>
      </c>
    </row>
    <row r="2319">
      <c r="A2319" s="107">
        <f>IFERROR(__xludf.DUMMYFUNCTION("""COMPUTED_VALUE"""),45870.0)</f>
        <v>45870</v>
      </c>
      <c r="B2319" t="str">
        <f>IFERROR(__xludf.DUMMYFUNCTION("""COMPUTED_VALUE"""),"費用 - 匯費 對方行:013 後五碼:20652 (行號: 52)")</f>
        <v>費用 - 匯費 對方行:013 後五碼:20652 (行號: 52)</v>
      </c>
      <c r="C2319" t="str">
        <f>IFERROR(__xludf.DUMMYFUNCTION("""COMPUTED_VALUE"""),"費用 - 匯費")</f>
        <v>費用 - 匯費</v>
      </c>
      <c r="D2319" s="270">
        <f>IFERROR(__xludf.DUMMYFUNCTION("""COMPUTED_VALUE"""),-15.0)</f>
        <v>-15</v>
      </c>
      <c r="E2319" t="str">
        <f>IFERROR(__xludf.DUMMYFUNCTION("""COMPUTED_VALUE"""),"台銀籌備帳戶")</f>
        <v>台銀籌備帳戶</v>
      </c>
      <c r="H2319" s="106" t="str">
        <f t="shared" si="1"/>
        <v>2025-08</v>
      </c>
      <c r="I2319" s="271" t="str">
        <f>IFERROR(__xludf.DUMMYFUNCTION("""COMPUTED_VALUE"""),"貓狗企鵝")</f>
        <v>貓狗企鵝</v>
      </c>
      <c r="J2319" t="str">
        <f>IFERROR(__xludf.DUMMYFUNCTION("IFS(
  AND(REGEXMATCH(E2319, ""台銀籌備帳戶|玉山帳戶""), REGEXMATCH(C2319, ""薪資"")), ""分潤支出"",
  AND(REGEXMATCH(E2319, ""Ben帳戶|Elsa帳戶|Ben代墊|Ariel代墊|中信銀行共用""), REGEXMATCH(F2319, ""Ben帳戶|Elsa帳戶|Ben代墊|Ariel代墊|中信銀行共用"")), ""內部轉帳(忽略)"",
  AND(E2319&lt;&gt;"""", F2319&lt;&gt;"""", N"&amp;"OT(REGEXMATCH(C2319, ""薪資""))), ""內部轉帳(忽略)"",
  REGEXMATCH(C2319, ""薪資""), ""薪資變動(不計入)"",
  REGEXMATCH(C2319, ""押金""), ""押金往來"",
  AND(E2319&lt;&gt;"""", F2319=""""), ""真實支出"",
  AND(E2319="""", F2319&lt;&gt;""""), ""真實收入"",
  TRUE, ""其他""
)"),"真實支出")</f>
        <v>真實支出</v>
      </c>
      <c r="K2319" s="270">
        <f t="shared" si="2"/>
        <v>-15</v>
      </c>
      <c r="L2319">
        <f t="shared" si="3"/>
        <v>0</v>
      </c>
    </row>
    <row r="2320">
      <c r="A2320" s="107">
        <f>IFERROR(__xludf.DUMMYFUNCTION("""COMPUTED_VALUE"""),45870.0)</f>
        <v>45870</v>
      </c>
      <c r="B2320" t="str">
        <f>IFERROR(__xludf.DUMMYFUNCTION("""COMPUTED_VALUE"""),"[景安2分鐘] [王逸荃] 大租金")</f>
        <v>[景安2分鐘] [王逸荃] 大租金</v>
      </c>
      <c r="C2320" t="str">
        <f>IFERROR(__xludf.DUMMYFUNCTION("""COMPUTED_VALUE"""),"成本 - 大租金")</f>
        <v>成本 - 大租金</v>
      </c>
      <c r="D2320" s="270">
        <f>IFERROR(__xludf.DUMMYFUNCTION("""COMPUTED_VALUE"""),-12500.0)</f>
        <v>-12500</v>
      </c>
      <c r="E2320" t="str">
        <f>IFERROR(__xludf.DUMMYFUNCTION("""COMPUTED_VALUE"""),"台銀籌備帳戶")</f>
        <v>台銀籌備帳戶</v>
      </c>
      <c r="G2320" t="str">
        <f>IFERROR(__xludf.DUMMYFUNCTION("""COMPUTED_VALUE"""),"景安2分鐘")</f>
        <v>景安2分鐘</v>
      </c>
      <c r="H2320" s="106" t="str">
        <f t="shared" si="1"/>
        <v>2025-08</v>
      </c>
      <c r="I2320" s="271" t="str">
        <f>IFERROR(__xludf.DUMMYFUNCTION("""COMPUTED_VALUE"""),"貓狗企鵝")</f>
        <v>貓狗企鵝</v>
      </c>
      <c r="J2320" t="str">
        <f>IFERROR(__xludf.DUMMYFUNCTION("IFS(
  AND(REGEXMATCH(E2320, ""台銀籌備帳戶|玉山帳戶""), REGEXMATCH(C2320, ""薪資"")), ""分潤支出"",
  AND(REGEXMATCH(E2320, ""Ben帳戶|Elsa帳戶|Ben代墊|Ariel代墊|中信銀行共用""), REGEXMATCH(F2320, ""Ben帳戶|Elsa帳戶|Ben代墊|Ariel代墊|中信銀行共用"")), ""內部轉帳(忽略)"",
  AND(E2320&lt;&gt;"""", F2320&lt;&gt;"""", N"&amp;"OT(REGEXMATCH(C2320, ""薪資""))), ""內部轉帳(忽略)"",
  REGEXMATCH(C2320, ""薪資""), ""薪資變動(不計入)"",
  REGEXMATCH(C2320, ""押金""), ""押金往來"",
  AND(E2320&lt;&gt;"""", F2320=""""), ""真實支出"",
  AND(E2320="""", F2320&lt;&gt;""""), ""真實收入"",
  TRUE, ""其他""
)"),"真實支出")</f>
        <v>真實支出</v>
      </c>
      <c r="K2320" s="270">
        <f t="shared" si="2"/>
        <v>-12500</v>
      </c>
      <c r="L2320">
        <f t="shared" si="3"/>
        <v>0</v>
      </c>
    </row>
    <row r="2321">
      <c r="A2321" s="107">
        <f>IFERROR(__xludf.DUMMYFUNCTION("""COMPUTED_VALUE"""),45870.0)</f>
        <v>45870</v>
      </c>
      <c r="B2321" t="str">
        <f>IFERROR(__xludf.DUMMYFUNCTION("""COMPUTED_VALUE"""),"費用 - 匯費 對方行:822 後五碼:06708 (行號: 53)")</f>
        <v>費用 - 匯費 對方行:822 後五碼:06708 (行號: 53)</v>
      </c>
      <c r="C2321" t="str">
        <f>IFERROR(__xludf.DUMMYFUNCTION("""COMPUTED_VALUE"""),"費用 - 匯費")</f>
        <v>費用 - 匯費</v>
      </c>
      <c r="D2321" s="270">
        <f>IFERROR(__xludf.DUMMYFUNCTION("""COMPUTED_VALUE"""),-15.0)</f>
        <v>-15</v>
      </c>
      <c r="E2321" t="str">
        <f>IFERROR(__xludf.DUMMYFUNCTION("""COMPUTED_VALUE"""),"台銀籌備帳戶")</f>
        <v>台銀籌備帳戶</v>
      </c>
      <c r="H2321" s="106" t="str">
        <f t="shared" si="1"/>
        <v>2025-08</v>
      </c>
      <c r="I2321" s="271" t="str">
        <f>IFERROR(__xludf.DUMMYFUNCTION("""COMPUTED_VALUE"""),"貓狗企鵝")</f>
        <v>貓狗企鵝</v>
      </c>
      <c r="J2321" t="str">
        <f>IFERROR(__xludf.DUMMYFUNCTION("IFS(
  AND(REGEXMATCH(E2321, ""台銀籌備帳戶|玉山帳戶""), REGEXMATCH(C2321, ""薪資"")), ""分潤支出"",
  AND(REGEXMATCH(E2321, ""Ben帳戶|Elsa帳戶|Ben代墊|Ariel代墊|中信銀行共用""), REGEXMATCH(F2321, ""Ben帳戶|Elsa帳戶|Ben代墊|Ariel代墊|中信銀行共用"")), ""內部轉帳(忽略)"",
  AND(E2321&lt;&gt;"""", F2321&lt;&gt;"""", N"&amp;"OT(REGEXMATCH(C2321, ""薪資""))), ""內部轉帳(忽略)"",
  REGEXMATCH(C2321, ""薪資""), ""薪資變動(不計入)"",
  REGEXMATCH(C2321, ""押金""), ""押金往來"",
  AND(E2321&lt;&gt;"""", F2321=""""), ""真實支出"",
  AND(E2321="""", F2321&lt;&gt;""""), ""真實收入"",
  TRUE, ""其他""
)"),"真實支出")</f>
        <v>真實支出</v>
      </c>
      <c r="K2321" s="270">
        <f t="shared" si="2"/>
        <v>-15</v>
      </c>
      <c r="L2321">
        <f t="shared" si="3"/>
        <v>0</v>
      </c>
    </row>
    <row r="2322">
      <c r="A2322" s="107">
        <f>IFERROR(__xludf.DUMMYFUNCTION("""COMPUTED_VALUE"""),45870.0)</f>
        <v>45870</v>
      </c>
      <c r="B2322" t="str">
        <f>IFERROR(__xludf.DUMMYFUNCTION("""COMPUTED_VALUE"""),"[金龍帽子先生] [郭娟伶] 大租金")</f>
        <v>[金龍帽子先生] [郭娟伶] 大租金</v>
      </c>
      <c r="C2322" t="str">
        <f>IFERROR(__xludf.DUMMYFUNCTION("""COMPUTED_VALUE"""),"成本 - 大租金")</f>
        <v>成本 - 大租金</v>
      </c>
      <c r="D2322" s="270">
        <f>IFERROR(__xludf.DUMMYFUNCTION("""COMPUTED_VALUE"""),-17750.0)</f>
        <v>-17750</v>
      </c>
      <c r="E2322" t="str">
        <f>IFERROR(__xludf.DUMMYFUNCTION("""COMPUTED_VALUE"""),"台銀籌備帳戶")</f>
        <v>台銀籌備帳戶</v>
      </c>
      <c r="G2322" t="str">
        <f>IFERROR(__xludf.DUMMYFUNCTION("""COMPUTED_VALUE"""),"金龍帽子先生")</f>
        <v>金龍帽子先生</v>
      </c>
      <c r="H2322" s="106" t="str">
        <f t="shared" si="1"/>
        <v>2025-08</v>
      </c>
      <c r="I2322" s="271" t="str">
        <f>IFERROR(__xludf.DUMMYFUNCTION("""COMPUTED_VALUE"""),"貓狗企鵝")</f>
        <v>貓狗企鵝</v>
      </c>
      <c r="J2322" t="str">
        <f>IFERROR(__xludf.DUMMYFUNCTION("IFS(
  AND(REGEXMATCH(E2322, ""台銀籌備帳戶|玉山帳戶""), REGEXMATCH(C2322, ""薪資"")), ""分潤支出"",
  AND(REGEXMATCH(E2322, ""Ben帳戶|Elsa帳戶|Ben代墊|Ariel代墊|中信銀行共用""), REGEXMATCH(F2322, ""Ben帳戶|Elsa帳戶|Ben代墊|Ariel代墊|中信銀行共用"")), ""內部轉帳(忽略)"",
  AND(E2322&lt;&gt;"""", F2322&lt;&gt;"""", N"&amp;"OT(REGEXMATCH(C2322, ""薪資""))), ""內部轉帳(忽略)"",
  REGEXMATCH(C2322, ""薪資""), ""薪資變動(不計入)"",
  REGEXMATCH(C2322, ""押金""), ""押金往來"",
  AND(E2322&lt;&gt;"""", F2322=""""), ""真實支出"",
  AND(E2322="""", F2322&lt;&gt;""""), ""真實收入"",
  TRUE, ""其他""
)"),"真實支出")</f>
        <v>真實支出</v>
      </c>
      <c r="K2322" s="270">
        <f t="shared" si="2"/>
        <v>-17750</v>
      </c>
      <c r="L2322">
        <f t="shared" si="3"/>
        <v>0</v>
      </c>
    </row>
    <row r="2323">
      <c r="A2323" s="107">
        <f>IFERROR(__xludf.DUMMYFUNCTION("""COMPUTED_VALUE"""),45870.0)</f>
        <v>45870</v>
      </c>
      <c r="B2323" t="str">
        <f>IFERROR(__xludf.DUMMYFUNCTION("""COMPUTED_VALUE"""),"費用 - 匯費 對方行:053 後五碼:05202 (行號: 54)")</f>
        <v>費用 - 匯費 對方行:053 後五碼:05202 (行號: 54)</v>
      </c>
      <c r="C2323" t="str">
        <f>IFERROR(__xludf.DUMMYFUNCTION("""COMPUTED_VALUE"""),"費用 - 匯費")</f>
        <v>費用 - 匯費</v>
      </c>
      <c r="D2323" s="270">
        <f>IFERROR(__xludf.DUMMYFUNCTION("""COMPUTED_VALUE"""),-15.0)</f>
        <v>-15</v>
      </c>
      <c r="E2323" t="str">
        <f>IFERROR(__xludf.DUMMYFUNCTION("""COMPUTED_VALUE"""),"台銀籌備帳戶")</f>
        <v>台銀籌備帳戶</v>
      </c>
      <c r="H2323" s="106" t="str">
        <f t="shared" si="1"/>
        <v>2025-08</v>
      </c>
      <c r="I2323" s="271" t="str">
        <f>IFERROR(__xludf.DUMMYFUNCTION("""COMPUTED_VALUE"""),"貓狗企鵝")</f>
        <v>貓狗企鵝</v>
      </c>
      <c r="J2323" t="str">
        <f>IFERROR(__xludf.DUMMYFUNCTION("IFS(
  AND(REGEXMATCH(E2323, ""台銀籌備帳戶|玉山帳戶""), REGEXMATCH(C2323, ""薪資"")), ""分潤支出"",
  AND(REGEXMATCH(E2323, ""Ben帳戶|Elsa帳戶|Ben代墊|Ariel代墊|中信銀行共用""), REGEXMATCH(F2323, ""Ben帳戶|Elsa帳戶|Ben代墊|Ariel代墊|中信銀行共用"")), ""內部轉帳(忽略)"",
  AND(E2323&lt;&gt;"""", F2323&lt;&gt;"""", N"&amp;"OT(REGEXMATCH(C2323, ""薪資""))), ""內部轉帳(忽略)"",
  REGEXMATCH(C2323, ""薪資""), ""薪資變動(不計入)"",
  REGEXMATCH(C2323, ""押金""), ""押金往來"",
  AND(E2323&lt;&gt;"""", F2323=""""), ""真實支出"",
  AND(E2323="""", F2323&lt;&gt;""""), ""真實收入"",
  TRUE, ""其他""
)"),"真實支出")</f>
        <v>真實支出</v>
      </c>
      <c r="K2323" s="270">
        <f t="shared" si="2"/>
        <v>-15</v>
      </c>
      <c r="L2323">
        <f t="shared" si="3"/>
        <v>0</v>
      </c>
    </row>
    <row r="2324">
      <c r="A2324" s="107">
        <f>IFERROR(__xludf.DUMMYFUNCTION("""COMPUTED_VALUE"""),45870.0)</f>
        <v>45870</v>
      </c>
      <c r="B2324" t="str">
        <f>IFERROR(__xludf.DUMMYFUNCTION("""COMPUTED_VALUE"""),"[大湖山莊] [陳彩霞] 大租金")</f>
        <v>[大湖山莊] [陳彩霞] 大租金</v>
      </c>
      <c r="C2324" t="str">
        <f>IFERROR(__xludf.DUMMYFUNCTION("""COMPUTED_VALUE"""),"成本 - 大租金")</f>
        <v>成本 - 大租金</v>
      </c>
      <c r="D2324" s="270">
        <f>IFERROR(__xludf.DUMMYFUNCTION("""COMPUTED_VALUE"""),-19400.0)</f>
        <v>-19400</v>
      </c>
      <c r="E2324" t="str">
        <f>IFERROR(__xludf.DUMMYFUNCTION("""COMPUTED_VALUE"""),"台銀籌備帳戶")</f>
        <v>台銀籌備帳戶</v>
      </c>
      <c r="G2324" t="str">
        <f>IFERROR(__xludf.DUMMYFUNCTION("""COMPUTED_VALUE"""),"大湖山莊")</f>
        <v>大湖山莊</v>
      </c>
      <c r="H2324" s="106" t="str">
        <f t="shared" si="1"/>
        <v>2025-08</v>
      </c>
      <c r="I2324" s="271" t="str">
        <f>IFERROR(__xludf.DUMMYFUNCTION("""COMPUTED_VALUE"""),"貓狗企鵝")</f>
        <v>貓狗企鵝</v>
      </c>
      <c r="J2324" t="str">
        <f>IFERROR(__xludf.DUMMYFUNCTION("IFS(
  AND(REGEXMATCH(E2324, ""台銀籌備帳戶|玉山帳戶""), REGEXMATCH(C2324, ""薪資"")), ""分潤支出"",
  AND(REGEXMATCH(E2324, ""Ben帳戶|Elsa帳戶|Ben代墊|Ariel代墊|中信銀行共用""), REGEXMATCH(F2324, ""Ben帳戶|Elsa帳戶|Ben代墊|Ariel代墊|中信銀行共用"")), ""內部轉帳(忽略)"",
  AND(E2324&lt;&gt;"""", F2324&lt;&gt;"""", N"&amp;"OT(REGEXMATCH(C2324, ""薪資""))), ""內部轉帳(忽略)"",
  REGEXMATCH(C2324, ""薪資""), ""薪資變動(不計入)"",
  REGEXMATCH(C2324, ""押金""), ""押金往來"",
  AND(E2324&lt;&gt;"""", F2324=""""), ""真實支出"",
  AND(E2324="""", F2324&lt;&gt;""""), ""真實收入"",
  TRUE, ""其他""
)"),"真實支出")</f>
        <v>真實支出</v>
      </c>
      <c r="K2324" s="270">
        <f t="shared" si="2"/>
        <v>-19400</v>
      </c>
      <c r="L2324">
        <f t="shared" si="3"/>
        <v>0</v>
      </c>
    </row>
    <row r="2325">
      <c r="A2325" s="107">
        <f>IFERROR(__xludf.DUMMYFUNCTION("""COMPUTED_VALUE"""),45870.0)</f>
        <v>45870</v>
      </c>
      <c r="B2325" t="str">
        <f>IFERROR(__xludf.DUMMYFUNCTION("""COMPUTED_VALUE"""),"費用 - 匯費 對方行:807 後五碼:06659 (行號: 55)")</f>
        <v>費用 - 匯費 對方行:807 後五碼:06659 (行號: 55)</v>
      </c>
      <c r="C2325" t="str">
        <f>IFERROR(__xludf.DUMMYFUNCTION("""COMPUTED_VALUE"""),"費用 - 匯費")</f>
        <v>費用 - 匯費</v>
      </c>
      <c r="D2325" s="270">
        <f>IFERROR(__xludf.DUMMYFUNCTION("""COMPUTED_VALUE"""),-15.0)</f>
        <v>-15</v>
      </c>
      <c r="E2325" t="str">
        <f>IFERROR(__xludf.DUMMYFUNCTION("""COMPUTED_VALUE"""),"台銀籌備帳戶")</f>
        <v>台銀籌備帳戶</v>
      </c>
      <c r="H2325" s="106" t="str">
        <f t="shared" si="1"/>
        <v>2025-08</v>
      </c>
      <c r="I2325" s="271" t="str">
        <f>IFERROR(__xludf.DUMMYFUNCTION("""COMPUTED_VALUE"""),"貓狗企鵝")</f>
        <v>貓狗企鵝</v>
      </c>
      <c r="J2325" t="str">
        <f>IFERROR(__xludf.DUMMYFUNCTION("IFS(
  AND(REGEXMATCH(E2325, ""台銀籌備帳戶|玉山帳戶""), REGEXMATCH(C2325, ""薪資"")), ""分潤支出"",
  AND(REGEXMATCH(E2325, ""Ben帳戶|Elsa帳戶|Ben代墊|Ariel代墊|中信銀行共用""), REGEXMATCH(F2325, ""Ben帳戶|Elsa帳戶|Ben代墊|Ariel代墊|中信銀行共用"")), ""內部轉帳(忽略)"",
  AND(E2325&lt;&gt;"""", F2325&lt;&gt;"""", N"&amp;"OT(REGEXMATCH(C2325, ""薪資""))), ""內部轉帳(忽略)"",
  REGEXMATCH(C2325, ""薪資""), ""薪資變動(不計入)"",
  REGEXMATCH(C2325, ""押金""), ""押金往來"",
  AND(E2325&lt;&gt;"""", F2325=""""), ""真實支出"",
  AND(E2325="""", F2325&lt;&gt;""""), ""真實收入"",
  TRUE, ""其他""
)"),"真實支出")</f>
        <v>真實支出</v>
      </c>
      <c r="K2325" s="270">
        <f t="shared" si="2"/>
        <v>-15</v>
      </c>
      <c r="L2325">
        <f t="shared" si="3"/>
        <v>0</v>
      </c>
    </row>
    <row r="2326">
      <c r="A2326" s="107">
        <f>IFERROR(__xludf.DUMMYFUNCTION("""COMPUTED_VALUE"""),45870.0)</f>
        <v>45870</v>
      </c>
      <c r="B2326" t="str">
        <f>IFERROR(__xludf.DUMMYFUNCTION("""COMPUTED_VALUE"""),"[哈拉對面] [陳哲聰] 大租金")</f>
        <v>[哈拉對面] [陳哲聰] 大租金</v>
      </c>
      <c r="C2326" t="str">
        <f>IFERROR(__xludf.DUMMYFUNCTION("""COMPUTED_VALUE"""),"成本 - 大租金")</f>
        <v>成本 - 大租金</v>
      </c>
      <c r="D2326" s="270">
        <f>IFERROR(__xludf.DUMMYFUNCTION("""COMPUTED_VALUE"""),-13000.0)</f>
        <v>-13000</v>
      </c>
      <c r="E2326" t="str">
        <f>IFERROR(__xludf.DUMMYFUNCTION("""COMPUTED_VALUE"""),"台銀籌備帳戶")</f>
        <v>台銀籌備帳戶</v>
      </c>
      <c r="G2326" t="str">
        <f>IFERROR(__xludf.DUMMYFUNCTION("""COMPUTED_VALUE"""),"哈拉對面")</f>
        <v>哈拉對面</v>
      </c>
      <c r="H2326" s="106" t="str">
        <f t="shared" si="1"/>
        <v>2025-08</v>
      </c>
      <c r="I2326" s="271" t="str">
        <f>IFERROR(__xludf.DUMMYFUNCTION("""COMPUTED_VALUE"""),"貓狗企鵝")</f>
        <v>貓狗企鵝</v>
      </c>
      <c r="J2326" t="str">
        <f>IFERROR(__xludf.DUMMYFUNCTION("IFS(
  AND(REGEXMATCH(E2326, ""台銀籌備帳戶|玉山帳戶""), REGEXMATCH(C2326, ""薪資"")), ""分潤支出"",
  AND(REGEXMATCH(E2326, ""Ben帳戶|Elsa帳戶|Ben代墊|Ariel代墊|中信銀行共用""), REGEXMATCH(F2326, ""Ben帳戶|Elsa帳戶|Ben代墊|Ariel代墊|中信銀行共用"")), ""內部轉帳(忽略)"",
  AND(E2326&lt;&gt;"""", F2326&lt;&gt;"""", N"&amp;"OT(REGEXMATCH(C2326, ""薪資""))), ""內部轉帳(忽略)"",
  REGEXMATCH(C2326, ""薪資""), ""薪資變動(不計入)"",
  REGEXMATCH(C2326, ""押金""), ""押金往來"",
  AND(E2326&lt;&gt;"""", F2326=""""), ""真實支出"",
  AND(E2326="""", F2326&lt;&gt;""""), ""真實收入"",
  TRUE, ""其他""
)"),"真實支出")</f>
        <v>真實支出</v>
      </c>
      <c r="K2326" s="270">
        <f t="shared" si="2"/>
        <v>-13000</v>
      </c>
      <c r="L2326">
        <f t="shared" si="3"/>
        <v>0</v>
      </c>
    </row>
    <row r="2327">
      <c r="A2327" s="107">
        <f>IFERROR(__xludf.DUMMYFUNCTION("""COMPUTED_VALUE"""),45870.0)</f>
        <v>45870</v>
      </c>
      <c r="B2327" t="str">
        <f>IFERROR(__xludf.DUMMYFUNCTION("""COMPUTED_VALUE"""),"費用 - 匯費 對方行:700 後五碼:92128 (行號: 56)")</f>
        <v>費用 - 匯費 對方行:700 後五碼:92128 (行號: 56)</v>
      </c>
      <c r="C2327" t="str">
        <f>IFERROR(__xludf.DUMMYFUNCTION("""COMPUTED_VALUE"""),"費用 - 匯費")</f>
        <v>費用 - 匯費</v>
      </c>
      <c r="D2327" s="270">
        <f>IFERROR(__xludf.DUMMYFUNCTION("""COMPUTED_VALUE"""),-15.0)</f>
        <v>-15</v>
      </c>
      <c r="E2327" t="str">
        <f>IFERROR(__xludf.DUMMYFUNCTION("""COMPUTED_VALUE"""),"台銀籌備帳戶")</f>
        <v>台銀籌備帳戶</v>
      </c>
      <c r="H2327" s="106" t="str">
        <f t="shared" si="1"/>
        <v>2025-08</v>
      </c>
      <c r="I2327" s="271" t="str">
        <f>IFERROR(__xludf.DUMMYFUNCTION("""COMPUTED_VALUE"""),"貓狗企鵝")</f>
        <v>貓狗企鵝</v>
      </c>
      <c r="J2327" t="str">
        <f>IFERROR(__xludf.DUMMYFUNCTION("IFS(
  AND(REGEXMATCH(E2327, ""台銀籌備帳戶|玉山帳戶""), REGEXMATCH(C2327, ""薪資"")), ""分潤支出"",
  AND(REGEXMATCH(E2327, ""Ben帳戶|Elsa帳戶|Ben代墊|Ariel代墊|中信銀行共用""), REGEXMATCH(F2327, ""Ben帳戶|Elsa帳戶|Ben代墊|Ariel代墊|中信銀行共用"")), ""內部轉帳(忽略)"",
  AND(E2327&lt;&gt;"""", F2327&lt;&gt;"""", N"&amp;"OT(REGEXMATCH(C2327, ""薪資""))), ""內部轉帳(忽略)"",
  REGEXMATCH(C2327, ""薪資""), ""薪資變動(不計入)"",
  REGEXMATCH(C2327, ""押金""), ""押金往來"",
  AND(E2327&lt;&gt;"""", F2327=""""), ""真實支出"",
  AND(E2327="""", F2327&lt;&gt;""""), ""真實收入"",
  TRUE, ""其他""
)"),"真實支出")</f>
        <v>真實支出</v>
      </c>
      <c r="K2327" s="270">
        <f t="shared" si="2"/>
        <v>-15</v>
      </c>
      <c r="L2327">
        <f t="shared" si="3"/>
        <v>0</v>
      </c>
    </row>
    <row r="2328">
      <c r="A2328" s="107">
        <f>IFERROR(__xludf.DUMMYFUNCTION("""COMPUTED_VALUE"""),45870.0)</f>
        <v>45870</v>
      </c>
      <c r="B2328" t="str">
        <f>IFERROR(__xludf.DUMMYFUNCTION("""COMPUTED_VALUE"""),"[北醫醫師府] [陳俊良] 大租金")</f>
        <v>[北醫醫師府] [陳俊良] 大租金</v>
      </c>
      <c r="C2328" t="str">
        <f>IFERROR(__xludf.DUMMYFUNCTION("""COMPUTED_VALUE"""),"成本 - 大租金")</f>
        <v>成本 - 大租金</v>
      </c>
      <c r="D2328" s="270">
        <f>IFERROR(__xludf.DUMMYFUNCTION("""COMPUTED_VALUE"""),-12800.0)</f>
        <v>-12800</v>
      </c>
      <c r="E2328" t="str">
        <f>IFERROR(__xludf.DUMMYFUNCTION("""COMPUTED_VALUE"""),"台銀籌備帳戶")</f>
        <v>台銀籌備帳戶</v>
      </c>
      <c r="G2328" t="str">
        <f>IFERROR(__xludf.DUMMYFUNCTION("""COMPUTED_VALUE"""),"北醫醫師府")</f>
        <v>北醫醫師府</v>
      </c>
      <c r="H2328" s="106" t="str">
        <f t="shared" si="1"/>
        <v>2025-08</v>
      </c>
      <c r="I2328" s="271" t="str">
        <f>IFERROR(__xludf.DUMMYFUNCTION("""COMPUTED_VALUE"""),"貓狗企鵝")</f>
        <v>貓狗企鵝</v>
      </c>
      <c r="J2328" t="str">
        <f>IFERROR(__xludf.DUMMYFUNCTION("IFS(
  AND(REGEXMATCH(E2328, ""台銀籌備帳戶|玉山帳戶""), REGEXMATCH(C2328, ""薪資"")), ""分潤支出"",
  AND(REGEXMATCH(E2328, ""Ben帳戶|Elsa帳戶|Ben代墊|Ariel代墊|中信銀行共用""), REGEXMATCH(F2328, ""Ben帳戶|Elsa帳戶|Ben代墊|Ariel代墊|中信銀行共用"")), ""內部轉帳(忽略)"",
  AND(E2328&lt;&gt;"""", F2328&lt;&gt;"""", N"&amp;"OT(REGEXMATCH(C2328, ""薪資""))), ""內部轉帳(忽略)"",
  REGEXMATCH(C2328, ""薪資""), ""薪資變動(不計入)"",
  REGEXMATCH(C2328, ""押金""), ""押金往來"",
  AND(E2328&lt;&gt;"""", F2328=""""), ""真實支出"",
  AND(E2328="""", F2328&lt;&gt;""""), ""真實收入"",
  TRUE, ""其他""
)"),"真實支出")</f>
        <v>真實支出</v>
      </c>
      <c r="K2328" s="270">
        <f t="shared" si="2"/>
        <v>-12800</v>
      </c>
      <c r="L2328">
        <f t="shared" si="3"/>
        <v>0</v>
      </c>
    </row>
    <row r="2329">
      <c r="A2329" s="107">
        <f>IFERROR(__xludf.DUMMYFUNCTION("""COMPUTED_VALUE"""),45870.0)</f>
        <v>45870</v>
      </c>
      <c r="B2329" t="str">
        <f>IFERROR(__xludf.DUMMYFUNCTION("""COMPUTED_VALUE"""),"費用 - 匯費 對方行:013 後五碼:43662 (行號: 57)")</f>
        <v>費用 - 匯費 對方行:013 後五碼:43662 (行號: 57)</v>
      </c>
      <c r="C2329" t="str">
        <f>IFERROR(__xludf.DUMMYFUNCTION("""COMPUTED_VALUE"""),"費用 - 匯費")</f>
        <v>費用 - 匯費</v>
      </c>
      <c r="D2329" s="270">
        <f>IFERROR(__xludf.DUMMYFUNCTION("""COMPUTED_VALUE"""),-15.0)</f>
        <v>-15</v>
      </c>
      <c r="E2329" t="str">
        <f>IFERROR(__xludf.DUMMYFUNCTION("""COMPUTED_VALUE"""),"台銀籌備帳戶")</f>
        <v>台銀籌備帳戶</v>
      </c>
      <c r="H2329" s="106" t="str">
        <f t="shared" si="1"/>
        <v>2025-08</v>
      </c>
      <c r="I2329" s="271" t="str">
        <f>IFERROR(__xludf.DUMMYFUNCTION("""COMPUTED_VALUE"""),"貓狗企鵝")</f>
        <v>貓狗企鵝</v>
      </c>
      <c r="J2329" t="str">
        <f>IFERROR(__xludf.DUMMYFUNCTION("IFS(
  AND(REGEXMATCH(E2329, ""台銀籌備帳戶|玉山帳戶""), REGEXMATCH(C2329, ""薪資"")), ""分潤支出"",
  AND(REGEXMATCH(E2329, ""Ben帳戶|Elsa帳戶|Ben代墊|Ariel代墊|中信銀行共用""), REGEXMATCH(F2329, ""Ben帳戶|Elsa帳戶|Ben代墊|Ariel代墊|中信銀行共用"")), ""內部轉帳(忽略)"",
  AND(E2329&lt;&gt;"""", F2329&lt;&gt;"""", N"&amp;"OT(REGEXMATCH(C2329, ""薪資""))), ""內部轉帳(忽略)"",
  REGEXMATCH(C2329, ""薪資""), ""薪資變動(不計入)"",
  REGEXMATCH(C2329, ""押金""), ""押金往來"",
  AND(E2329&lt;&gt;"""", F2329=""""), ""真實支出"",
  AND(E2329="""", F2329&lt;&gt;""""), ""真實收入"",
  TRUE, ""其他""
)"),"真實支出")</f>
        <v>真實支出</v>
      </c>
      <c r="K2329" s="270">
        <f t="shared" si="2"/>
        <v>-15</v>
      </c>
      <c r="L2329">
        <f t="shared" si="3"/>
        <v>0</v>
      </c>
    </row>
    <row r="2330">
      <c r="A2330" s="107">
        <f>IFERROR(__xludf.DUMMYFUNCTION("""COMPUTED_VALUE"""),45870.0)</f>
        <v>45870</v>
      </c>
      <c r="B2330" t="str">
        <f>IFERROR(__xludf.DUMMYFUNCTION("""COMPUTED_VALUE"""),"[中山北娘家旁] [方彥捷] 大租金")</f>
        <v>[中山北娘家旁] [方彥捷] 大租金</v>
      </c>
      <c r="C2330" t="str">
        <f>IFERROR(__xludf.DUMMYFUNCTION("""COMPUTED_VALUE"""),"成本 - 大租金")</f>
        <v>成本 - 大租金</v>
      </c>
      <c r="D2330" s="270">
        <f>IFERROR(__xludf.DUMMYFUNCTION("""COMPUTED_VALUE"""),-11500.0)</f>
        <v>-11500</v>
      </c>
      <c r="E2330" t="str">
        <f>IFERROR(__xludf.DUMMYFUNCTION("""COMPUTED_VALUE"""),"台銀籌備帳戶")</f>
        <v>台銀籌備帳戶</v>
      </c>
      <c r="G2330" t="str">
        <f>IFERROR(__xludf.DUMMYFUNCTION("""COMPUTED_VALUE"""),"中山北娘家旁")</f>
        <v>中山北娘家旁</v>
      </c>
      <c r="H2330" s="106" t="str">
        <f t="shared" si="1"/>
        <v>2025-08</v>
      </c>
      <c r="I2330" s="271" t="str">
        <f>IFERROR(__xludf.DUMMYFUNCTION("""COMPUTED_VALUE"""),"貓狗企鵝")</f>
        <v>貓狗企鵝</v>
      </c>
      <c r="J2330" t="str">
        <f>IFERROR(__xludf.DUMMYFUNCTION("IFS(
  AND(REGEXMATCH(E2330, ""台銀籌備帳戶|玉山帳戶""), REGEXMATCH(C2330, ""薪資"")), ""分潤支出"",
  AND(REGEXMATCH(E2330, ""Ben帳戶|Elsa帳戶|Ben代墊|Ariel代墊|中信銀行共用""), REGEXMATCH(F2330, ""Ben帳戶|Elsa帳戶|Ben代墊|Ariel代墊|中信銀行共用"")), ""內部轉帳(忽略)"",
  AND(E2330&lt;&gt;"""", F2330&lt;&gt;"""", N"&amp;"OT(REGEXMATCH(C2330, ""薪資""))), ""內部轉帳(忽略)"",
  REGEXMATCH(C2330, ""薪資""), ""薪資變動(不計入)"",
  REGEXMATCH(C2330, ""押金""), ""押金往來"",
  AND(E2330&lt;&gt;"""", F2330=""""), ""真實支出"",
  AND(E2330="""", F2330&lt;&gt;""""), ""真實收入"",
  TRUE, ""其他""
)"),"真實支出")</f>
        <v>真實支出</v>
      </c>
      <c r="K2330" s="270">
        <f t="shared" si="2"/>
        <v>-11500</v>
      </c>
      <c r="L2330">
        <f t="shared" si="3"/>
        <v>0</v>
      </c>
    </row>
    <row r="2331">
      <c r="A2331" s="107">
        <f>IFERROR(__xludf.DUMMYFUNCTION("""COMPUTED_VALUE"""),45870.0)</f>
        <v>45870</v>
      </c>
      <c r="B2331" t="str">
        <f>IFERROR(__xludf.DUMMYFUNCTION("""COMPUTED_VALUE"""),"費用 - 匯費 對方行:822 後五碼:30547 (行號: 82)")</f>
        <v>費用 - 匯費 對方行:822 後五碼:30547 (行號: 82)</v>
      </c>
      <c r="C2331" t="str">
        <f>IFERROR(__xludf.DUMMYFUNCTION("""COMPUTED_VALUE"""),"費用 - 匯費")</f>
        <v>費用 - 匯費</v>
      </c>
      <c r="D2331" s="270">
        <f>IFERROR(__xludf.DUMMYFUNCTION("""COMPUTED_VALUE"""),-15.0)</f>
        <v>-15</v>
      </c>
      <c r="E2331" t="str">
        <f>IFERROR(__xludf.DUMMYFUNCTION("""COMPUTED_VALUE"""),"台銀籌備帳戶")</f>
        <v>台銀籌備帳戶</v>
      </c>
      <c r="H2331" s="106" t="str">
        <f t="shared" si="1"/>
        <v>2025-08</v>
      </c>
      <c r="I2331" s="271" t="str">
        <f>IFERROR(__xludf.DUMMYFUNCTION("""COMPUTED_VALUE"""),"貓狗企鵝")</f>
        <v>貓狗企鵝</v>
      </c>
      <c r="J2331" t="str">
        <f>IFERROR(__xludf.DUMMYFUNCTION("IFS(
  AND(REGEXMATCH(E2331, ""台銀籌備帳戶|玉山帳戶""), REGEXMATCH(C2331, ""薪資"")), ""分潤支出"",
  AND(REGEXMATCH(E2331, ""Ben帳戶|Elsa帳戶|Ben代墊|Ariel代墊|中信銀行共用""), REGEXMATCH(F2331, ""Ben帳戶|Elsa帳戶|Ben代墊|Ariel代墊|中信銀行共用"")), ""內部轉帳(忽略)"",
  AND(E2331&lt;&gt;"""", F2331&lt;&gt;"""", N"&amp;"OT(REGEXMATCH(C2331, ""薪資""))), ""內部轉帳(忽略)"",
  REGEXMATCH(C2331, ""薪資""), ""薪資變動(不計入)"",
  REGEXMATCH(C2331, ""押金""), ""押金往來"",
  AND(E2331&lt;&gt;"""", F2331=""""), ""真實支出"",
  AND(E2331="""", F2331&lt;&gt;""""), ""真實收入"",
  TRUE, ""其他""
)"),"真實支出")</f>
        <v>真實支出</v>
      </c>
      <c r="K2331" s="270">
        <f t="shared" si="2"/>
        <v>-15</v>
      </c>
      <c r="L2331">
        <f t="shared" si="3"/>
        <v>0</v>
      </c>
    </row>
    <row r="2332">
      <c r="A2332" s="107">
        <f>IFERROR(__xludf.DUMMYFUNCTION("""COMPUTED_VALUE"""),45870.0)</f>
        <v>45870</v>
      </c>
      <c r="B2332" t="str">
        <f>IFERROR(__xludf.DUMMYFUNCTION("""COMPUTED_VALUE"""),"火雞阿德書香大湖 ' 【未分類支出】")</f>
        <v>火雞阿德書香大湖 ' 【未分類支出】</v>
      </c>
      <c r="C2332" t="str">
        <f>IFERROR(__xludf.DUMMYFUNCTION("""COMPUTED_VALUE"""),"成本 - 進場前裝潢費")</f>
        <v>成本 - 進場前裝潢費</v>
      </c>
      <c r="D2332" s="270">
        <f>IFERROR(__xludf.DUMMYFUNCTION("""COMPUTED_VALUE"""),-31385.0)</f>
        <v>-31385</v>
      </c>
      <c r="E2332" t="str">
        <f>IFERROR(__xludf.DUMMYFUNCTION("""COMPUTED_VALUE"""),"台銀籌備帳戶")</f>
        <v>台銀籌備帳戶</v>
      </c>
      <c r="G2332" t="str">
        <f>IFERROR(__xludf.DUMMYFUNCTION("""COMPUTED_VALUE"""),"書香民生")</f>
        <v>書香民生</v>
      </c>
      <c r="H2332" s="106" t="str">
        <f t="shared" si="1"/>
        <v>2025-08</v>
      </c>
      <c r="I2332" s="271" t="str">
        <f>IFERROR(__xludf.DUMMYFUNCTION("""COMPUTED_VALUE"""),"貓狗企鵝")</f>
        <v>貓狗企鵝</v>
      </c>
      <c r="J2332" t="str">
        <f>IFERROR(__xludf.DUMMYFUNCTION("IFS(
  AND(REGEXMATCH(E2332, ""台銀籌備帳戶|玉山帳戶""), REGEXMATCH(C2332, ""薪資"")), ""分潤支出"",
  AND(REGEXMATCH(E2332, ""Ben帳戶|Elsa帳戶|Ben代墊|Ariel代墊|中信銀行共用""), REGEXMATCH(F2332, ""Ben帳戶|Elsa帳戶|Ben代墊|Ariel代墊|中信銀行共用"")), ""內部轉帳(忽略)"",
  AND(E2332&lt;&gt;"""", F2332&lt;&gt;"""", N"&amp;"OT(REGEXMATCH(C2332, ""薪資""))), ""內部轉帳(忽略)"",
  REGEXMATCH(C2332, ""薪資""), ""薪資變動(不計入)"",
  REGEXMATCH(C2332, ""押金""), ""押金往來"",
  AND(E2332&lt;&gt;"""", F2332=""""), ""真實支出"",
  AND(E2332="""", F2332&lt;&gt;""""), ""真實收入"",
  TRUE, ""其他""
)"),"真實支出")</f>
        <v>真實支出</v>
      </c>
      <c r="K2332" s="270">
        <f t="shared" si="2"/>
        <v>-31385</v>
      </c>
      <c r="L2332">
        <f t="shared" si="3"/>
        <v>0</v>
      </c>
    </row>
    <row r="2333">
      <c r="A2333" s="107">
        <f>IFERROR(__xludf.DUMMYFUNCTION("""COMPUTED_VALUE"""),45870.0)</f>
        <v>45870</v>
      </c>
      <c r="B2333" t="str">
        <f>IFERROR(__xludf.DUMMYFUNCTION("""COMPUTED_VALUE"""),"[北醫醫師府] E+F  月租金 (行號: 89)")</f>
        <v>[北醫醫師府] E+F  月租金 (行號: 89)</v>
      </c>
      <c r="C2333" t="str">
        <f>IFERROR(__xludf.DUMMYFUNCTION("""COMPUTED_VALUE"""),"收入 - 租金")</f>
        <v>收入 - 租金</v>
      </c>
      <c r="D2333" s="270">
        <f>IFERROR(__xludf.DUMMYFUNCTION("""COMPUTED_VALUE"""),29600.0)</f>
        <v>29600</v>
      </c>
      <c r="F2333" t="str">
        <f>IFERROR(__xludf.DUMMYFUNCTION("""COMPUTED_VALUE"""),"台銀籌備帳戶")</f>
        <v>台銀籌備帳戶</v>
      </c>
      <c r="G2333" t="str">
        <f>IFERROR(__xludf.DUMMYFUNCTION("""COMPUTED_VALUE"""),"北醫醫師府")</f>
        <v>北醫醫師府</v>
      </c>
      <c r="H2333" s="106" t="str">
        <f t="shared" si="1"/>
        <v>2025-08</v>
      </c>
      <c r="I2333" s="271" t="str">
        <f>IFERROR(__xludf.DUMMYFUNCTION("""COMPUTED_VALUE"""),"貓狗企鵝")</f>
        <v>貓狗企鵝</v>
      </c>
      <c r="J2333" t="str">
        <f>IFERROR(__xludf.DUMMYFUNCTION("IFS(
  AND(REGEXMATCH(E2333, ""台銀籌備帳戶|玉山帳戶""), REGEXMATCH(C2333, ""薪資"")), ""分潤支出"",
  AND(REGEXMATCH(E2333, ""Ben帳戶|Elsa帳戶|Ben代墊|Ariel代墊|中信銀行共用""), REGEXMATCH(F2333, ""Ben帳戶|Elsa帳戶|Ben代墊|Ariel代墊|中信銀行共用"")), ""內部轉帳(忽略)"",
  AND(E2333&lt;&gt;"""", F2333&lt;&gt;"""", N"&amp;"OT(REGEXMATCH(C2333, ""薪資""))), ""內部轉帳(忽略)"",
  REGEXMATCH(C2333, ""薪資""), ""薪資變動(不計入)"",
  REGEXMATCH(C2333, ""押金""), ""押金往來"",
  AND(E2333&lt;&gt;"""", F2333=""""), ""真實支出"",
  AND(E2333="""", F2333&lt;&gt;""""), ""真實收入"",
  TRUE, ""其他""
)"),"真實收入")</f>
        <v>真實收入</v>
      </c>
      <c r="K2333" s="270">
        <f t="shared" si="2"/>
        <v>29600</v>
      </c>
      <c r="L2333">
        <f t="shared" si="3"/>
        <v>0</v>
      </c>
    </row>
    <row r="2334">
      <c r="A2334" s="107">
        <f>IFERROR(__xludf.DUMMYFUNCTION("""COMPUTED_VALUE"""),45852.0)</f>
        <v>45852</v>
      </c>
      <c r="B2334" t="str">
        <f>IFERROR(__xludf.DUMMYFUNCTION("""COMPUTED_VALUE"""),"[書香民生] B [吳小朋] 押金 (行號: 7, 35)")</f>
        <v>[書香民生] B [吳小朋] 押金 (行號: 7, 35)</v>
      </c>
      <c r="C2334" t="str">
        <f>IFERROR(__xludf.DUMMYFUNCTION("""COMPUTED_VALUE"""),"收入 - 押金")</f>
        <v>收入 - 押金</v>
      </c>
      <c r="D2334" s="270">
        <f>IFERROR(__xludf.DUMMYFUNCTION("""COMPUTED_VALUE"""),35600.0)</f>
        <v>35600</v>
      </c>
      <c r="F2334" t="str">
        <f>IFERROR(__xludf.DUMMYFUNCTION("""COMPUTED_VALUE"""),"台銀籌備帳戶")</f>
        <v>台銀籌備帳戶</v>
      </c>
      <c r="G2334" t="str">
        <f>IFERROR(__xludf.DUMMYFUNCTION("""COMPUTED_VALUE"""),"書香民生")</f>
        <v>書香民生</v>
      </c>
      <c r="H2334" s="106" t="str">
        <f t="shared" si="1"/>
        <v>2025-07</v>
      </c>
      <c r="I2334" s="271" t="str">
        <f>IFERROR(__xludf.DUMMYFUNCTION("""COMPUTED_VALUE"""),"貓狗企鵝")</f>
        <v>貓狗企鵝</v>
      </c>
      <c r="J2334" t="str">
        <f>IFERROR(__xludf.DUMMYFUNCTION("IFS(
  AND(REGEXMATCH(E2334, ""台銀籌備帳戶|玉山帳戶""), REGEXMATCH(C2334, ""薪資"")), ""分潤支出"",
  AND(REGEXMATCH(E2334, ""Ben帳戶|Elsa帳戶|Ben代墊|Ariel代墊|中信銀行共用""), REGEXMATCH(F2334, ""Ben帳戶|Elsa帳戶|Ben代墊|Ariel代墊|中信銀行共用"")), ""內部轉帳(忽略)"",
  AND(E2334&lt;&gt;"""", F2334&lt;&gt;"""", N"&amp;"OT(REGEXMATCH(C2334, ""薪資""))), ""內部轉帳(忽略)"",
  REGEXMATCH(C2334, ""薪資""), ""薪資變動(不計入)"",
  REGEXMATCH(C2334, ""押金""), ""押金往來"",
  AND(E2334&lt;&gt;"""", F2334=""""), ""真實支出"",
  AND(E2334="""", F2334&lt;&gt;""""), ""真實收入"",
  TRUE, ""其他""
)"),"押金往來")</f>
        <v>押金往來</v>
      </c>
      <c r="K2334">
        <f t="shared" si="2"/>
        <v>0</v>
      </c>
      <c r="L2334">
        <f t="shared" si="3"/>
        <v>0</v>
      </c>
    </row>
    <row r="2335">
      <c r="A2335" s="107">
        <f>IFERROR(__xludf.DUMMYFUNCTION("""COMPUTED_VALUE"""),45852.0)</f>
        <v>45852</v>
      </c>
      <c r="B2335" t="str">
        <f>IFERROR(__xludf.DUMMYFUNCTION("""COMPUTED_VALUE"""),"[書香民生] B [吳小朋] 首月租金 (行號: 7, 35)")</f>
        <v>[書香民生] B [吳小朋] 首月租金 (行號: 7, 35)</v>
      </c>
      <c r="C2335" t="str">
        <f>IFERROR(__xludf.DUMMYFUNCTION("""COMPUTED_VALUE"""),"收入 - 租金")</f>
        <v>收入 - 租金</v>
      </c>
      <c r="D2335" s="270">
        <f>IFERROR(__xludf.DUMMYFUNCTION("""COMPUTED_VALUE"""),21819.0)</f>
        <v>21819</v>
      </c>
      <c r="F2335" t="str">
        <f>IFERROR(__xludf.DUMMYFUNCTION("""COMPUTED_VALUE"""),"台銀籌備帳戶")</f>
        <v>台銀籌備帳戶</v>
      </c>
      <c r="G2335" t="str">
        <f>IFERROR(__xludf.DUMMYFUNCTION("""COMPUTED_VALUE"""),"書香民生")</f>
        <v>書香民生</v>
      </c>
      <c r="H2335" s="106" t="str">
        <f t="shared" si="1"/>
        <v>2025-07</v>
      </c>
      <c r="I2335" s="271" t="str">
        <f>IFERROR(__xludf.DUMMYFUNCTION("""COMPUTED_VALUE"""),"貓狗企鵝")</f>
        <v>貓狗企鵝</v>
      </c>
      <c r="J2335" t="str">
        <f>IFERROR(__xludf.DUMMYFUNCTION("IFS(
  AND(REGEXMATCH(E2335, ""台銀籌備帳戶|玉山帳戶""), REGEXMATCH(C2335, ""薪資"")), ""分潤支出"",
  AND(REGEXMATCH(E2335, ""Ben帳戶|Elsa帳戶|Ben代墊|Ariel代墊|中信銀行共用""), REGEXMATCH(F2335, ""Ben帳戶|Elsa帳戶|Ben代墊|Ariel代墊|中信銀行共用"")), ""內部轉帳(忽略)"",
  AND(E2335&lt;&gt;"""", F2335&lt;&gt;"""", N"&amp;"OT(REGEXMATCH(C2335, ""薪資""))), ""內部轉帳(忽略)"",
  REGEXMATCH(C2335, ""薪資""), ""薪資變動(不計入)"",
  REGEXMATCH(C2335, ""押金""), ""押金往來"",
  AND(E2335&lt;&gt;"""", F2335=""""), ""真實支出"",
  AND(E2335="""", F2335&lt;&gt;""""), ""真實收入"",
  TRUE, ""其他""
)"),"真實收入")</f>
        <v>真實收入</v>
      </c>
      <c r="K2335" s="270">
        <f t="shared" si="2"/>
        <v>21819</v>
      </c>
      <c r="L2335">
        <f t="shared" si="3"/>
        <v>0</v>
      </c>
    </row>
    <row r="2336">
      <c r="A2336" s="107">
        <f>IFERROR(__xludf.DUMMYFUNCTION("""COMPUTED_VALUE"""),45854.0)</f>
        <v>45854</v>
      </c>
      <c r="B2336" t="str">
        <f>IFERROR(__xludf.DUMMYFUNCTION("""COMPUTED_VALUE"""),"阿虎放錢【不明收入 (行號: 21)】")</f>
        <v>阿虎放錢【不明收入 (行號: 21)】</v>
      </c>
      <c r="C2336" t="str">
        <f>IFERROR(__xludf.DUMMYFUNCTION("""COMPUTED_VALUE"""),"收入 - 其他")</f>
        <v>收入 - 其他</v>
      </c>
      <c r="D2336" s="270">
        <f>IFERROR(__xludf.DUMMYFUNCTION("""COMPUTED_VALUE"""),100000.0)</f>
        <v>100000</v>
      </c>
      <c r="F2336" t="str">
        <f>IFERROR(__xludf.DUMMYFUNCTION("""COMPUTED_VALUE"""),"台銀籌備帳戶")</f>
        <v>台銀籌備帳戶</v>
      </c>
      <c r="G2336" t="str">
        <f>IFERROR(__xludf.DUMMYFUNCTION("""COMPUTED_VALUE"""),"無法分類")</f>
        <v>無法分類</v>
      </c>
      <c r="H2336" s="106" t="str">
        <f t="shared" si="1"/>
        <v>2025-07</v>
      </c>
      <c r="I2336" s="271" t="str">
        <f>IFERROR(__xludf.DUMMYFUNCTION("""COMPUTED_VALUE"""),"貓狗企鵝")</f>
        <v>貓狗企鵝</v>
      </c>
      <c r="J2336" t="str">
        <f>IFERROR(__xludf.DUMMYFUNCTION("IFS(
  AND(REGEXMATCH(E2336, ""台銀籌備帳戶|玉山帳戶""), REGEXMATCH(C2336, ""薪資"")), ""分潤支出"",
  AND(REGEXMATCH(E2336, ""Ben帳戶|Elsa帳戶|Ben代墊|Ariel代墊|中信銀行共用""), REGEXMATCH(F2336, ""Ben帳戶|Elsa帳戶|Ben代墊|Ariel代墊|中信銀行共用"")), ""內部轉帳(忽略)"",
  AND(E2336&lt;&gt;"""", F2336&lt;&gt;"""", N"&amp;"OT(REGEXMATCH(C2336, ""薪資""))), ""內部轉帳(忽略)"",
  REGEXMATCH(C2336, ""薪資""), ""薪資變動(不計入)"",
  REGEXMATCH(C2336, ""押金""), ""押金往來"",
  AND(E2336&lt;&gt;"""", F2336=""""), ""真實支出"",
  AND(E2336="""", F2336&lt;&gt;""""), ""真實收入"",
  TRUE, ""其他""
)"),"真實收入")</f>
        <v>真實收入</v>
      </c>
      <c r="K2336" s="270">
        <f t="shared" si="2"/>
        <v>100000</v>
      </c>
      <c r="L2336">
        <f t="shared" si="3"/>
        <v>0</v>
      </c>
    </row>
    <row r="2337">
      <c r="A2337" s="107">
        <f>IFERROR(__xludf.DUMMYFUNCTION("""COMPUTED_VALUE"""),45856.0)</f>
        <v>45856</v>
      </c>
      <c r="B2337" t="str">
        <f>IFERROR(__xludf.DUMMYFUNCTION("""COMPUTED_VALUE"""),"Ｂｅｎ放錢 【不明收入 (行號: 27)】")</f>
        <v>Ｂｅｎ放錢 【不明收入 (行號: 27)】</v>
      </c>
      <c r="C2337" t="str">
        <f>IFERROR(__xludf.DUMMYFUNCTION("""COMPUTED_VALUE"""),"收入 - 其他")</f>
        <v>收入 - 其他</v>
      </c>
      <c r="D2337" s="270">
        <f>IFERROR(__xludf.DUMMYFUNCTION("""COMPUTED_VALUE"""),100000.0)</f>
        <v>100000</v>
      </c>
      <c r="F2337" t="str">
        <f>IFERROR(__xludf.DUMMYFUNCTION("""COMPUTED_VALUE"""),"台銀籌備帳戶")</f>
        <v>台銀籌備帳戶</v>
      </c>
      <c r="G2337" t="str">
        <f>IFERROR(__xludf.DUMMYFUNCTION("""COMPUTED_VALUE"""),"無法分類")</f>
        <v>無法分類</v>
      </c>
      <c r="H2337" s="106" t="str">
        <f t="shared" si="1"/>
        <v>2025-07</v>
      </c>
      <c r="I2337" s="271" t="str">
        <f>IFERROR(__xludf.DUMMYFUNCTION("""COMPUTED_VALUE"""),"貓狗企鵝")</f>
        <v>貓狗企鵝</v>
      </c>
      <c r="J2337" t="str">
        <f>IFERROR(__xludf.DUMMYFUNCTION("IFS(
  AND(REGEXMATCH(E2337, ""台銀籌備帳戶|玉山帳戶""), REGEXMATCH(C2337, ""薪資"")), ""分潤支出"",
  AND(REGEXMATCH(E2337, ""Ben帳戶|Elsa帳戶|Ben代墊|Ariel代墊|中信銀行共用""), REGEXMATCH(F2337, ""Ben帳戶|Elsa帳戶|Ben代墊|Ariel代墊|中信銀行共用"")), ""內部轉帳(忽略)"",
  AND(E2337&lt;&gt;"""", F2337&lt;&gt;"""", N"&amp;"OT(REGEXMATCH(C2337, ""薪資""))), ""內部轉帳(忽略)"",
  REGEXMATCH(C2337, ""薪資""), ""薪資變動(不計入)"",
  REGEXMATCH(C2337, ""押金""), ""押金往來"",
  AND(E2337&lt;&gt;"""", F2337=""""), ""真實支出"",
  AND(E2337="""", F2337&lt;&gt;""""), ""真實收入"",
  TRUE, ""其他""
)"),"真實收入")</f>
        <v>真實收入</v>
      </c>
      <c r="K2337" s="270">
        <f t="shared" si="2"/>
        <v>100000</v>
      </c>
      <c r="L2337">
        <f t="shared" si="3"/>
        <v>0</v>
      </c>
    </row>
    <row r="2338">
      <c r="A2338" s="107">
        <f>IFERROR(__xludf.DUMMYFUNCTION("""COMPUTED_VALUE"""),45872.0)</f>
        <v>45872</v>
      </c>
      <c r="B2338" t="str">
        <f>IFERROR(__xludf.DUMMYFUNCTION("""COMPUTED_VALUE"""),"大湖 F Ｃｈｌｏｅ 定金")</f>
        <v>大湖 F Ｃｈｌｏｅ 定金</v>
      </c>
      <c r="C2338" t="str">
        <f>IFERROR(__xludf.DUMMYFUNCTION("""COMPUTED_VALUE"""),"收入 - 租金")</f>
        <v>收入 - 租金</v>
      </c>
      <c r="D2338" s="270">
        <f>IFERROR(__xludf.DUMMYFUNCTION("""COMPUTED_VALUE"""),10000.0)</f>
        <v>10000</v>
      </c>
      <c r="F2338" t="str">
        <f>IFERROR(__xludf.DUMMYFUNCTION("""COMPUTED_VALUE"""),"台銀籌備帳戶")</f>
        <v>台銀籌備帳戶</v>
      </c>
      <c r="G2338" t="str">
        <f>IFERROR(__xludf.DUMMYFUNCTION("""COMPUTED_VALUE"""),"大湖山莊")</f>
        <v>大湖山莊</v>
      </c>
      <c r="H2338" s="106" t="str">
        <f t="shared" si="1"/>
        <v>2025-08</v>
      </c>
      <c r="I2338" s="271" t="str">
        <f>IFERROR(__xludf.DUMMYFUNCTION("""COMPUTED_VALUE"""),"貓狗企鵝")</f>
        <v>貓狗企鵝</v>
      </c>
      <c r="J2338" t="str">
        <f>IFERROR(__xludf.DUMMYFUNCTION("IFS(
  AND(REGEXMATCH(E2338, ""台銀籌備帳戶|玉山帳戶""), REGEXMATCH(C2338, ""薪資"")), ""分潤支出"",
  AND(REGEXMATCH(E2338, ""Ben帳戶|Elsa帳戶|Ben代墊|Ariel代墊|中信銀行共用""), REGEXMATCH(F2338, ""Ben帳戶|Elsa帳戶|Ben代墊|Ariel代墊|中信銀行共用"")), ""內部轉帳(忽略)"",
  AND(E2338&lt;&gt;"""", F2338&lt;&gt;"""", N"&amp;"OT(REGEXMATCH(C2338, ""薪資""))), ""內部轉帳(忽略)"",
  REGEXMATCH(C2338, ""薪資""), ""薪資變動(不計入)"",
  REGEXMATCH(C2338, ""押金""), ""押金往來"",
  AND(E2338&lt;&gt;"""", F2338=""""), ""真實支出"",
  AND(E2338="""", F2338&lt;&gt;""""), ""真實收入"",
  TRUE, ""其他""
)"),"真實收入")</f>
        <v>真實收入</v>
      </c>
      <c r="K2338" s="270">
        <f t="shared" si="2"/>
        <v>10000</v>
      </c>
      <c r="L2338">
        <f t="shared" si="3"/>
        <v>0</v>
      </c>
    </row>
    <row r="2339">
      <c r="A2339" s="107">
        <f>IFERROR(__xludf.DUMMYFUNCTION("""COMPUTED_VALUE"""),45873.0)</f>
        <v>45873</v>
      </c>
      <c r="B2339" t="str">
        <f>IFERROR(__xludf.DUMMYFUNCTION("""COMPUTED_VALUE"""),"涂維妮龍江租金 ")</f>
        <v>涂維妮龍江租金 </v>
      </c>
      <c r="C2339" t="str">
        <f>IFERROR(__xludf.DUMMYFUNCTION("""COMPUTED_VALUE"""),"收入 - 租金")</f>
        <v>收入 - 租金</v>
      </c>
      <c r="D2339" s="270">
        <f>IFERROR(__xludf.DUMMYFUNCTION("""COMPUTED_VALUE"""),13500.0)</f>
        <v>13500</v>
      </c>
      <c r="F2339" t="str">
        <f>IFERROR(__xludf.DUMMYFUNCTION("""COMPUTED_VALUE"""),"台銀籌備帳戶")</f>
        <v>台銀籌備帳戶</v>
      </c>
      <c r="G2339" t="str">
        <f>IFERROR(__xludf.DUMMYFUNCTION("""COMPUTED_VALUE"""),"龍江229")</f>
        <v>龍江229</v>
      </c>
      <c r="H2339" s="106" t="str">
        <f t="shared" si="1"/>
        <v>2025-08</v>
      </c>
      <c r="I2339" s="271" t="str">
        <f>IFERROR(__xludf.DUMMYFUNCTION("""COMPUTED_VALUE"""),"貓狗企鵝")</f>
        <v>貓狗企鵝</v>
      </c>
      <c r="J2339" t="str">
        <f>IFERROR(__xludf.DUMMYFUNCTION("IFS(
  AND(REGEXMATCH(E2339, ""台銀籌備帳戶|玉山帳戶""), REGEXMATCH(C2339, ""薪資"")), ""分潤支出"",
  AND(REGEXMATCH(E2339, ""Ben帳戶|Elsa帳戶|Ben代墊|Ariel代墊|中信銀行共用""), REGEXMATCH(F2339, ""Ben帳戶|Elsa帳戶|Ben代墊|Ariel代墊|中信銀行共用"")), ""內部轉帳(忽略)"",
  AND(E2339&lt;&gt;"""", F2339&lt;&gt;"""", N"&amp;"OT(REGEXMATCH(C2339, ""薪資""))), ""內部轉帳(忽略)"",
  REGEXMATCH(C2339, ""薪資""), ""薪資變動(不計入)"",
  REGEXMATCH(C2339, ""押金""), ""押金往來"",
  AND(E2339&lt;&gt;"""", F2339=""""), ""真實支出"",
  AND(E2339="""", F2339&lt;&gt;""""), ""真實收入"",
  TRUE, ""其他""
)"),"真實收入")</f>
        <v>真實收入</v>
      </c>
      <c r="K2339" s="270">
        <f t="shared" si="2"/>
        <v>13500</v>
      </c>
      <c r="L2339">
        <f t="shared" si="3"/>
        <v>0</v>
      </c>
    </row>
    <row r="2340">
      <c r="A2340" s="107">
        <f>IFERROR(__xludf.DUMMYFUNCTION("""COMPUTED_VALUE"""),45853.0)</f>
        <v>45853</v>
      </c>
      <c r="B2340" t="str">
        <f>IFERROR(__xludf.DUMMYFUNCTION("""COMPUTED_VALUE"""),"[書香民生] G [朱彥蓉] 押金 (行號: 18, 23)")</f>
        <v>[書香民生] G [朱彥蓉] 押金 (行號: 18, 23)</v>
      </c>
      <c r="C2340" t="str">
        <f>IFERROR(__xludf.DUMMYFUNCTION("""COMPUTED_VALUE"""),"收入 - 押金")</f>
        <v>收入 - 押金</v>
      </c>
      <c r="D2340" s="270">
        <f>IFERROR(__xludf.DUMMYFUNCTION("""COMPUTED_VALUE"""),33600.0)</f>
        <v>33600</v>
      </c>
      <c r="F2340" t="str">
        <f>IFERROR(__xludf.DUMMYFUNCTION("""COMPUTED_VALUE"""),"台銀籌備帳戶")</f>
        <v>台銀籌備帳戶</v>
      </c>
      <c r="G2340" t="str">
        <f>IFERROR(__xludf.DUMMYFUNCTION("""COMPUTED_VALUE"""),"書香民生")</f>
        <v>書香民生</v>
      </c>
      <c r="H2340" s="106" t="str">
        <f t="shared" si="1"/>
        <v>2025-07</v>
      </c>
      <c r="I2340" s="271" t="str">
        <f>IFERROR(__xludf.DUMMYFUNCTION("""COMPUTED_VALUE"""),"貓狗企鵝")</f>
        <v>貓狗企鵝</v>
      </c>
      <c r="J2340" t="str">
        <f>IFERROR(__xludf.DUMMYFUNCTION("IFS(
  AND(REGEXMATCH(E2340, ""台銀籌備帳戶|玉山帳戶""), REGEXMATCH(C2340, ""薪資"")), ""分潤支出"",
  AND(REGEXMATCH(E2340, ""Ben帳戶|Elsa帳戶|Ben代墊|Ariel代墊|中信銀行共用""), REGEXMATCH(F2340, ""Ben帳戶|Elsa帳戶|Ben代墊|Ariel代墊|中信銀行共用"")), ""內部轉帳(忽略)"",
  AND(E2340&lt;&gt;"""", F2340&lt;&gt;"""", N"&amp;"OT(REGEXMATCH(C2340, ""薪資""))), ""內部轉帳(忽略)"",
  REGEXMATCH(C2340, ""薪資""), ""薪資變動(不計入)"",
  REGEXMATCH(C2340, ""押金""), ""押金往來"",
  AND(E2340&lt;&gt;"""", F2340=""""), ""真實支出"",
  AND(E2340="""", F2340&lt;&gt;""""), ""真實收入"",
  TRUE, ""其他""
)"),"押金往來")</f>
        <v>押金往來</v>
      </c>
      <c r="K2340">
        <f t="shared" si="2"/>
        <v>0</v>
      </c>
      <c r="L2340">
        <f t="shared" si="3"/>
        <v>0</v>
      </c>
    </row>
    <row r="2341">
      <c r="A2341" s="107">
        <f>IFERROR(__xludf.DUMMYFUNCTION("""COMPUTED_VALUE"""),45853.0)</f>
        <v>45853</v>
      </c>
      <c r="B2341" t="str">
        <f>IFERROR(__xludf.DUMMYFUNCTION("""COMPUTED_VALUE"""),"[書香民生] G [朱彥蓉] 首月租金 (行號: 18, 23)")</f>
        <v>[書香民生] G [朱彥蓉] 首月租金 (行號: 18, 23)</v>
      </c>
      <c r="C2341" t="str">
        <f>IFERROR(__xludf.DUMMYFUNCTION("""COMPUTED_VALUE"""),"收入 - 租金")</f>
        <v>收入 - 租金</v>
      </c>
      <c r="D2341" s="270">
        <f>IFERROR(__xludf.DUMMYFUNCTION("""COMPUTED_VALUE"""),23845.0)</f>
        <v>23845</v>
      </c>
      <c r="F2341" t="str">
        <f>IFERROR(__xludf.DUMMYFUNCTION("""COMPUTED_VALUE"""),"台銀籌備帳戶")</f>
        <v>台銀籌備帳戶</v>
      </c>
      <c r="G2341" t="str">
        <f>IFERROR(__xludf.DUMMYFUNCTION("""COMPUTED_VALUE"""),"書香民生")</f>
        <v>書香民生</v>
      </c>
      <c r="H2341" s="106" t="str">
        <f t="shared" si="1"/>
        <v>2025-07</v>
      </c>
      <c r="I2341" s="271" t="str">
        <f>IFERROR(__xludf.DUMMYFUNCTION("""COMPUTED_VALUE"""),"貓狗企鵝")</f>
        <v>貓狗企鵝</v>
      </c>
      <c r="J2341" t="str">
        <f>IFERROR(__xludf.DUMMYFUNCTION("IFS(
  AND(REGEXMATCH(E2341, ""台銀籌備帳戶|玉山帳戶""), REGEXMATCH(C2341, ""薪資"")), ""分潤支出"",
  AND(REGEXMATCH(E2341, ""Ben帳戶|Elsa帳戶|Ben代墊|Ariel代墊|中信銀行共用""), REGEXMATCH(F2341, ""Ben帳戶|Elsa帳戶|Ben代墊|Ariel代墊|中信銀行共用"")), ""內部轉帳(忽略)"",
  AND(E2341&lt;&gt;"""", F2341&lt;&gt;"""", N"&amp;"OT(REGEXMATCH(C2341, ""薪資""))), ""內部轉帳(忽略)"",
  REGEXMATCH(C2341, ""薪資""), ""薪資變動(不計入)"",
  REGEXMATCH(C2341, ""押金""), ""押金往來"",
  AND(E2341&lt;&gt;"""", F2341=""""), ""真實支出"",
  AND(E2341="""", F2341&lt;&gt;""""), ""真實收入"",
  TRUE, ""其他""
)"),"真實收入")</f>
        <v>真實收入</v>
      </c>
      <c r="K2341" s="270">
        <f t="shared" si="2"/>
        <v>23845</v>
      </c>
      <c r="L2341">
        <f t="shared" si="3"/>
        <v>0</v>
      </c>
    </row>
    <row r="2342">
      <c r="A2342" s="107">
        <f>IFERROR(__xludf.DUMMYFUNCTION("""COMPUTED_VALUE"""),45853.0)</f>
        <v>45853</v>
      </c>
      <c r="B2342" t="str">
        <f>IFERROR(__xludf.DUMMYFUNCTION("""COMPUTED_VALUE"""),"[書香民生] A [曾蘋儀] 押金 (行號: 19, 36)")</f>
        <v>[書香民生] A [曾蘋儀] 押金 (行號: 19, 36)</v>
      </c>
      <c r="C2342" t="str">
        <f>IFERROR(__xludf.DUMMYFUNCTION("""COMPUTED_VALUE"""),"收入 - 押金")</f>
        <v>收入 - 押金</v>
      </c>
      <c r="D2342" s="270">
        <f>IFERROR(__xludf.DUMMYFUNCTION("""COMPUTED_VALUE"""),26600.0)</f>
        <v>26600</v>
      </c>
      <c r="F2342" t="str">
        <f>IFERROR(__xludf.DUMMYFUNCTION("""COMPUTED_VALUE"""),"台銀籌備帳戶")</f>
        <v>台銀籌備帳戶</v>
      </c>
      <c r="G2342" t="str">
        <f>IFERROR(__xludf.DUMMYFUNCTION("""COMPUTED_VALUE"""),"書香民生")</f>
        <v>書香民生</v>
      </c>
      <c r="H2342" s="106" t="str">
        <f t="shared" si="1"/>
        <v>2025-07</v>
      </c>
      <c r="I2342" s="271" t="str">
        <f>IFERROR(__xludf.DUMMYFUNCTION("""COMPUTED_VALUE"""),"貓狗企鵝")</f>
        <v>貓狗企鵝</v>
      </c>
      <c r="J2342" t="str">
        <f>IFERROR(__xludf.DUMMYFUNCTION("IFS(
  AND(REGEXMATCH(E2342, ""台銀籌備帳戶|玉山帳戶""), REGEXMATCH(C2342, ""薪資"")), ""分潤支出"",
  AND(REGEXMATCH(E2342, ""Ben帳戶|Elsa帳戶|Ben代墊|Ariel代墊|中信銀行共用""), REGEXMATCH(F2342, ""Ben帳戶|Elsa帳戶|Ben代墊|Ariel代墊|中信銀行共用"")), ""內部轉帳(忽略)"",
  AND(E2342&lt;&gt;"""", F2342&lt;&gt;"""", N"&amp;"OT(REGEXMATCH(C2342, ""薪資""))), ""內部轉帳(忽略)"",
  REGEXMATCH(C2342, ""薪資""), ""薪資變動(不計入)"",
  REGEXMATCH(C2342, ""押金""), ""押金往來"",
  AND(E2342&lt;&gt;"""", F2342=""""), ""真實支出"",
  AND(E2342="""", F2342&lt;&gt;""""), ""真實收入"",
  TRUE, ""其他""
)"),"押金往來")</f>
        <v>押金往來</v>
      </c>
      <c r="K2342">
        <f t="shared" si="2"/>
        <v>0</v>
      </c>
      <c r="L2342">
        <f t="shared" si="3"/>
        <v>0</v>
      </c>
    </row>
    <row r="2343">
      <c r="A2343" s="107">
        <f>IFERROR(__xludf.DUMMYFUNCTION("""COMPUTED_VALUE"""),45853.0)</f>
        <v>45853</v>
      </c>
      <c r="B2343" t="str">
        <f>IFERROR(__xludf.DUMMYFUNCTION("""COMPUTED_VALUE"""),"[書香民生] A [曾蘋儀] 首月租金 (行號: 19, 36)")</f>
        <v>[書香民生] A [曾蘋儀] 首月租金 (行號: 19, 36)</v>
      </c>
      <c r="C2343" t="str">
        <f>IFERROR(__xludf.DUMMYFUNCTION("""COMPUTED_VALUE"""),"收入 - 租金")</f>
        <v>收入 - 租金</v>
      </c>
      <c r="D2343" s="270">
        <f>IFERROR(__xludf.DUMMYFUNCTION("""COMPUTED_VALUE"""),18448.0)</f>
        <v>18448</v>
      </c>
      <c r="F2343" t="str">
        <f>IFERROR(__xludf.DUMMYFUNCTION("""COMPUTED_VALUE"""),"台銀籌備帳戶")</f>
        <v>台銀籌備帳戶</v>
      </c>
      <c r="G2343" t="str">
        <f>IFERROR(__xludf.DUMMYFUNCTION("""COMPUTED_VALUE"""),"書香民生")</f>
        <v>書香民生</v>
      </c>
      <c r="H2343" s="106" t="str">
        <f t="shared" si="1"/>
        <v>2025-07</v>
      </c>
      <c r="I2343" s="271" t="str">
        <f>IFERROR(__xludf.DUMMYFUNCTION("""COMPUTED_VALUE"""),"貓狗企鵝")</f>
        <v>貓狗企鵝</v>
      </c>
      <c r="J2343" t="str">
        <f>IFERROR(__xludf.DUMMYFUNCTION("IFS(
  AND(REGEXMATCH(E2343, ""台銀籌備帳戶|玉山帳戶""), REGEXMATCH(C2343, ""薪資"")), ""分潤支出"",
  AND(REGEXMATCH(E2343, ""Ben帳戶|Elsa帳戶|Ben代墊|Ariel代墊|中信銀行共用""), REGEXMATCH(F2343, ""Ben帳戶|Elsa帳戶|Ben代墊|Ariel代墊|中信銀行共用"")), ""內部轉帳(忽略)"",
  AND(E2343&lt;&gt;"""", F2343&lt;&gt;"""", N"&amp;"OT(REGEXMATCH(C2343, ""薪資""))), ""內部轉帳(忽略)"",
  REGEXMATCH(C2343, ""薪資""), ""薪資變動(不計入)"",
  REGEXMATCH(C2343, ""押金""), ""押金往來"",
  AND(E2343&lt;&gt;"""", F2343=""""), ""真實支出"",
  AND(E2343="""", F2343&lt;&gt;""""), ""真實收入"",
  TRUE, ""其他""
)"),"真實收入")</f>
        <v>真實收入</v>
      </c>
      <c r="K2343" s="270">
        <f t="shared" si="2"/>
        <v>18448</v>
      </c>
      <c r="L2343">
        <f t="shared" si="3"/>
        <v>0</v>
      </c>
    </row>
    <row r="2344">
      <c r="A2344" s="107">
        <f>IFERROR(__xludf.DUMMYFUNCTION("""COMPUTED_VALUE"""),45855.0)</f>
        <v>45855</v>
      </c>
      <c r="B2344" t="str">
        <f>IFERROR(__xludf.DUMMYFUNCTION("""COMPUTED_VALUE"""),"[書香民生] F [周利安] 押金 (行號: 22, 34)")</f>
        <v>[書香民生] F [周利安] 押金 (行號: 22, 34)</v>
      </c>
      <c r="C2344" t="str">
        <f>IFERROR(__xludf.DUMMYFUNCTION("""COMPUTED_VALUE"""),"收入 - 押金")</f>
        <v>收入 - 押金</v>
      </c>
      <c r="D2344" s="270">
        <f>IFERROR(__xludf.DUMMYFUNCTION("""COMPUTED_VALUE"""),31600.0)</f>
        <v>31600</v>
      </c>
      <c r="F2344" t="str">
        <f>IFERROR(__xludf.DUMMYFUNCTION("""COMPUTED_VALUE"""),"台銀籌備帳戶")</f>
        <v>台銀籌備帳戶</v>
      </c>
      <c r="G2344" t="str">
        <f>IFERROR(__xludf.DUMMYFUNCTION("""COMPUTED_VALUE"""),"書香民生")</f>
        <v>書香民生</v>
      </c>
      <c r="H2344" s="106" t="str">
        <f t="shared" si="1"/>
        <v>2025-07</v>
      </c>
      <c r="I2344" s="271" t="str">
        <f>IFERROR(__xludf.DUMMYFUNCTION("""COMPUTED_VALUE"""),"貓狗企鵝")</f>
        <v>貓狗企鵝</v>
      </c>
      <c r="J2344" t="str">
        <f>IFERROR(__xludf.DUMMYFUNCTION("IFS(
  AND(REGEXMATCH(E2344, ""台銀籌備帳戶|玉山帳戶""), REGEXMATCH(C2344, ""薪資"")), ""分潤支出"",
  AND(REGEXMATCH(E2344, ""Ben帳戶|Elsa帳戶|Ben代墊|Ariel代墊|中信銀行共用""), REGEXMATCH(F2344, ""Ben帳戶|Elsa帳戶|Ben代墊|Ariel代墊|中信銀行共用"")), ""內部轉帳(忽略)"",
  AND(E2344&lt;&gt;"""", F2344&lt;&gt;"""", N"&amp;"OT(REGEXMATCH(C2344, ""薪資""))), ""內部轉帳(忽略)"",
  REGEXMATCH(C2344, ""薪資""), ""薪資變動(不計入)"",
  REGEXMATCH(C2344, ""押金""), ""押金往來"",
  AND(E2344&lt;&gt;"""", F2344=""""), ""真實支出"",
  AND(E2344="""", F2344&lt;&gt;""""), ""真實收入"",
  TRUE, ""其他""
)"),"押金往來")</f>
        <v>押金往來</v>
      </c>
      <c r="K2344">
        <f t="shared" si="2"/>
        <v>0</v>
      </c>
      <c r="L2344">
        <f t="shared" si="3"/>
        <v>0</v>
      </c>
    </row>
    <row r="2345">
      <c r="A2345" s="107">
        <f>IFERROR(__xludf.DUMMYFUNCTION("""COMPUTED_VALUE"""),45855.0)</f>
        <v>45855</v>
      </c>
      <c r="B2345" t="str">
        <f>IFERROR(__xludf.DUMMYFUNCTION("""COMPUTED_VALUE"""),"[書香民生] F [周利安] 首月租金 (行號: 22, 34)")</f>
        <v>[書香民生] F [周利安] 首月租金 (行號: 22, 34)</v>
      </c>
      <c r="C2345" t="str">
        <f>IFERROR(__xludf.DUMMYFUNCTION("""COMPUTED_VALUE"""),"收入 - 租金")</f>
        <v>收入 - 租金</v>
      </c>
      <c r="D2345" s="270">
        <f>IFERROR(__xludf.DUMMYFUNCTION("""COMPUTED_VALUE"""),21916.0)</f>
        <v>21916</v>
      </c>
      <c r="F2345" t="str">
        <f>IFERROR(__xludf.DUMMYFUNCTION("""COMPUTED_VALUE"""),"台銀籌備帳戶")</f>
        <v>台銀籌備帳戶</v>
      </c>
      <c r="G2345" t="str">
        <f>IFERROR(__xludf.DUMMYFUNCTION("""COMPUTED_VALUE"""),"書香民生")</f>
        <v>書香民生</v>
      </c>
      <c r="H2345" s="106" t="str">
        <f t="shared" si="1"/>
        <v>2025-07</v>
      </c>
      <c r="I2345" s="271" t="str">
        <f>IFERROR(__xludf.DUMMYFUNCTION("""COMPUTED_VALUE"""),"貓狗企鵝")</f>
        <v>貓狗企鵝</v>
      </c>
      <c r="J2345" t="str">
        <f>IFERROR(__xludf.DUMMYFUNCTION("IFS(
  AND(REGEXMATCH(E2345, ""台銀籌備帳戶|玉山帳戶""), REGEXMATCH(C2345, ""薪資"")), ""分潤支出"",
  AND(REGEXMATCH(E2345, ""Ben帳戶|Elsa帳戶|Ben代墊|Ariel代墊|中信銀行共用""), REGEXMATCH(F2345, ""Ben帳戶|Elsa帳戶|Ben代墊|Ariel代墊|中信銀行共用"")), ""內部轉帳(忽略)"",
  AND(E2345&lt;&gt;"""", F2345&lt;&gt;"""", N"&amp;"OT(REGEXMATCH(C2345, ""薪資""))), ""內部轉帳(忽略)"",
  REGEXMATCH(C2345, ""薪資""), ""薪資變動(不計入)"",
  REGEXMATCH(C2345, ""押金""), ""押金往來"",
  AND(E2345&lt;&gt;"""", F2345=""""), ""真實支出"",
  AND(E2345="""", F2345&lt;&gt;""""), ""真實收入"",
  TRUE, ""其他""
)"),"真實收入")</f>
        <v>真實收入</v>
      </c>
      <c r="K2345" s="270">
        <f t="shared" si="2"/>
        <v>21916</v>
      </c>
      <c r="L2345">
        <f t="shared" si="3"/>
        <v>0</v>
      </c>
    </row>
    <row r="2346">
      <c r="A2346" s="107">
        <f>IFERROR(__xludf.DUMMYFUNCTION("""COMPUTED_VALUE"""),45856.0)</f>
        <v>45856</v>
      </c>
      <c r="B2346" t="str">
        <f>IFERROR(__xludf.DUMMYFUNCTION("""COMPUTED_VALUE"""),"[書香民生] C [韋茗期] 押金 (行號: 29)")</f>
        <v>[書香民生] C [韋茗期] 押金 (行號: 29)</v>
      </c>
      <c r="C2346" t="str">
        <f>IFERROR(__xludf.DUMMYFUNCTION("""COMPUTED_VALUE"""),"收入 - 押金")</f>
        <v>收入 - 押金</v>
      </c>
      <c r="D2346" s="270">
        <f>IFERROR(__xludf.DUMMYFUNCTION("""COMPUTED_VALUE"""),29600.0)</f>
        <v>29600</v>
      </c>
      <c r="F2346" t="str">
        <f>IFERROR(__xludf.DUMMYFUNCTION("""COMPUTED_VALUE"""),"台銀籌備帳戶")</f>
        <v>台銀籌備帳戶</v>
      </c>
      <c r="G2346" t="str">
        <f>IFERROR(__xludf.DUMMYFUNCTION("""COMPUTED_VALUE"""),"書香民生")</f>
        <v>書香民生</v>
      </c>
      <c r="H2346" s="106" t="str">
        <f t="shared" si="1"/>
        <v>2025-07</v>
      </c>
      <c r="I2346" s="271" t="str">
        <f>IFERROR(__xludf.DUMMYFUNCTION("""COMPUTED_VALUE"""),"貓狗企鵝")</f>
        <v>貓狗企鵝</v>
      </c>
      <c r="J2346" t="str">
        <f>IFERROR(__xludf.DUMMYFUNCTION("IFS(
  AND(REGEXMATCH(E2346, ""台銀籌備帳戶|玉山帳戶""), REGEXMATCH(C2346, ""薪資"")), ""分潤支出"",
  AND(REGEXMATCH(E2346, ""Ben帳戶|Elsa帳戶|Ben代墊|Ariel代墊|中信銀行共用""), REGEXMATCH(F2346, ""Ben帳戶|Elsa帳戶|Ben代墊|Ariel代墊|中信銀行共用"")), ""內部轉帳(忽略)"",
  AND(E2346&lt;&gt;"""", F2346&lt;&gt;"""", N"&amp;"OT(REGEXMATCH(C2346, ""薪資""))), ""內部轉帳(忽略)"",
  REGEXMATCH(C2346, ""薪資""), ""薪資變動(不計入)"",
  REGEXMATCH(C2346, ""押金""), ""押金往來"",
  AND(E2346&lt;&gt;"""", F2346=""""), ""真實支出"",
  AND(E2346="""", F2346&lt;&gt;""""), ""真實收入"",
  TRUE, ""其他""
)"),"押金往來")</f>
        <v>押金往來</v>
      </c>
      <c r="K2346">
        <f t="shared" si="2"/>
        <v>0</v>
      </c>
      <c r="L2346">
        <f t="shared" si="3"/>
        <v>0</v>
      </c>
    </row>
    <row r="2347">
      <c r="A2347" s="107">
        <f>IFERROR(__xludf.DUMMYFUNCTION("""COMPUTED_VALUE"""),45856.0)</f>
        <v>45856</v>
      </c>
      <c r="B2347" t="str">
        <f>IFERROR(__xludf.DUMMYFUNCTION("""COMPUTED_VALUE"""),"[書香民生] C [韋茗期] 首月租金 (行號: 29)")</f>
        <v>[書香民生] C [韋茗期] 首月租金 (行號: 29)</v>
      </c>
      <c r="C2347" t="str">
        <f>IFERROR(__xludf.DUMMYFUNCTION("""COMPUTED_VALUE"""),"收入 - 租金")</f>
        <v>收入 - 租金</v>
      </c>
      <c r="D2347" s="270">
        <f>IFERROR(__xludf.DUMMYFUNCTION("""COMPUTED_VALUE"""),19574.0)</f>
        <v>19574</v>
      </c>
      <c r="F2347" t="str">
        <f>IFERROR(__xludf.DUMMYFUNCTION("""COMPUTED_VALUE"""),"台銀籌備帳戶")</f>
        <v>台銀籌備帳戶</v>
      </c>
      <c r="G2347" t="str">
        <f>IFERROR(__xludf.DUMMYFUNCTION("""COMPUTED_VALUE"""),"書香民生")</f>
        <v>書香民生</v>
      </c>
      <c r="H2347" s="106" t="str">
        <f t="shared" si="1"/>
        <v>2025-07</v>
      </c>
      <c r="I2347" s="271" t="str">
        <f>IFERROR(__xludf.DUMMYFUNCTION("""COMPUTED_VALUE"""),"貓狗企鵝")</f>
        <v>貓狗企鵝</v>
      </c>
      <c r="J2347" t="str">
        <f>IFERROR(__xludf.DUMMYFUNCTION("IFS(
  AND(REGEXMATCH(E2347, ""台銀籌備帳戶|玉山帳戶""), REGEXMATCH(C2347, ""薪資"")), ""分潤支出"",
  AND(REGEXMATCH(E2347, ""Ben帳戶|Elsa帳戶|Ben代墊|Ariel代墊|中信銀行共用""), REGEXMATCH(F2347, ""Ben帳戶|Elsa帳戶|Ben代墊|Ariel代墊|中信銀行共用"")), ""內部轉帳(忽略)"",
  AND(E2347&lt;&gt;"""", F2347&lt;&gt;"""", N"&amp;"OT(REGEXMATCH(C2347, ""薪資""))), ""內部轉帳(忽略)"",
  REGEXMATCH(C2347, ""薪資""), ""薪資變動(不計入)"",
  REGEXMATCH(C2347, ""押金""), ""押金往來"",
  AND(E2347&lt;&gt;"""", F2347=""""), ""真實支出"",
  AND(E2347="""", F2347&lt;&gt;""""), ""真實收入"",
  TRUE, ""其他""
)"),"真實收入")</f>
        <v>真實收入</v>
      </c>
      <c r="K2347" s="270">
        <f t="shared" si="2"/>
        <v>19574</v>
      </c>
      <c r="L2347">
        <f t="shared" si="3"/>
        <v>0</v>
      </c>
    </row>
    <row r="2348">
      <c r="A2348" s="107">
        <f>IFERROR(__xludf.DUMMYFUNCTION("""COMPUTED_VALUE"""),45857.0)</f>
        <v>45857</v>
      </c>
      <c r="B2348" t="str">
        <f>IFERROR(__xludf.DUMMYFUNCTION("""COMPUTED_VALUE"""),"[書香民生] D [蔡昀潔, 林聖凱] 押金 (行號: 31, 38)")</f>
        <v>[書香民生] D [蔡昀潔, 林聖凱] 押金 (行號: 31, 38)</v>
      </c>
      <c r="C2348" t="str">
        <f>IFERROR(__xludf.DUMMYFUNCTION("""COMPUTED_VALUE"""),"收入 - 押金")</f>
        <v>收入 - 押金</v>
      </c>
      <c r="D2348" s="270">
        <f>IFERROR(__xludf.DUMMYFUNCTION("""COMPUTED_VALUE"""),35600.0)</f>
        <v>35600</v>
      </c>
      <c r="F2348" t="str">
        <f>IFERROR(__xludf.DUMMYFUNCTION("""COMPUTED_VALUE"""),"台銀籌備帳戶")</f>
        <v>台銀籌備帳戶</v>
      </c>
      <c r="G2348" t="str">
        <f>IFERROR(__xludf.DUMMYFUNCTION("""COMPUTED_VALUE"""),"書香民生")</f>
        <v>書香民生</v>
      </c>
      <c r="H2348" s="106" t="str">
        <f t="shared" si="1"/>
        <v>2025-07</v>
      </c>
      <c r="I2348" s="271" t="str">
        <f>IFERROR(__xludf.DUMMYFUNCTION("""COMPUTED_VALUE"""),"貓狗企鵝")</f>
        <v>貓狗企鵝</v>
      </c>
      <c r="J2348" t="str">
        <f>IFERROR(__xludf.DUMMYFUNCTION("IFS(
  AND(REGEXMATCH(E2348, ""台銀籌備帳戶|玉山帳戶""), REGEXMATCH(C2348, ""薪資"")), ""分潤支出"",
  AND(REGEXMATCH(E2348, ""Ben帳戶|Elsa帳戶|Ben代墊|Ariel代墊|中信銀行共用""), REGEXMATCH(F2348, ""Ben帳戶|Elsa帳戶|Ben代墊|Ariel代墊|中信銀行共用"")), ""內部轉帳(忽略)"",
  AND(E2348&lt;&gt;"""", F2348&lt;&gt;"""", N"&amp;"OT(REGEXMATCH(C2348, ""薪資""))), ""內部轉帳(忽略)"",
  REGEXMATCH(C2348, ""薪資""), ""薪資變動(不計入)"",
  REGEXMATCH(C2348, ""押金""), ""押金往來"",
  AND(E2348&lt;&gt;"""", F2348=""""), ""真實支出"",
  AND(E2348="""", F2348&lt;&gt;""""), ""真實收入"",
  TRUE, ""其他""
)"),"押金往來")</f>
        <v>押金往來</v>
      </c>
      <c r="K2348">
        <f t="shared" si="2"/>
        <v>0</v>
      </c>
      <c r="L2348">
        <f t="shared" si="3"/>
        <v>0</v>
      </c>
    </row>
    <row r="2349">
      <c r="A2349" s="107">
        <f>IFERROR(__xludf.DUMMYFUNCTION("""COMPUTED_VALUE"""),45857.0)</f>
        <v>45857</v>
      </c>
      <c r="B2349" t="str">
        <f>IFERROR(__xludf.DUMMYFUNCTION("""COMPUTED_VALUE"""),"[書香民生] D [蔡昀潔, 林聖凱] 首月租金 (行號: 31, 38)")</f>
        <v>[書香民生] D [蔡昀潔, 林聖凱] 首月租金 (行號: 31, 38)</v>
      </c>
      <c r="C2349" t="str">
        <f>IFERROR(__xludf.DUMMYFUNCTION("""COMPUTED_VALUE"""),"收入 - 租金")</f>
        <v>收入 - 租金</v>
      </c>
      <c r="D2349" s="270">
        <f>IFERROR(__xludf.DUMMYFUNCTION("""COMPUTED_VALUE"""),17387.0)</f>
        <v>17387</v>
      </c>
      <c r="F2349" t="str">
        <f>IFERROR(__xludf.DUMMYFUNCTION("""COMPUTED_VALUE"""),"台銀籌備帳戶")</f>
        <v>台銀籌備帳戶</v>
      </c>
      <c r="G2349" t="str">
        <f>IFERROR(__xludf.DUMMYFUNCTION("""COMPUTED_VALUE"""),"書香民生")</f>
        <v>書香民生</v>
      </c>
      <c r="H2349" s="106" t="str">
        <f t="shared" si="1"/>
        <v>2025-07</v>
      </c>
      <c r="I2349" s="271" t="str">
        <f>IFERROR(__xludf.DUMMYFUNCTION("""COMPUTED_VALUE"""),"貓狗企鵝")</f>
        <v>貓狗企鵝</v>
      </c>
      <c r="J2349" t="str">
        <f>IFERROR(__xludf.DUMMYFUNCTION("IFS(
  AND(REGEXMATCH(E2349, ""台銀籌備帳戶|玉山帳戶""), REGEXMATCH(C2349, ""薪資"")), ""分潤支出"",
  AND(REGEXMATCH(E2349, ""Ben帳戶|Elsa帳戶|Ben代墊|Ariel代墊|中信銀行共用""), REGEXMATCH(F2349, ""Ben帳戶|Elsa帳戶|Ben代墊|Ariel代墊|中信銀行共用"")), ""內部轉帳(忽略)"",
  AND(E2349&lt;&gt;"""", F2349&lt;&gt;"""", N"&amp;"OT(REGEXMATCH(C2349, ""薪資""))), ""內部轉帳(忽略)"",
  REGEXMATCH(C2349, ""薪資""), ""薪資變動(不計入)"",
  REGEXMATCH(C2349, ""押金""), ""押金往來"",
  AND(E2349&lt;&gt;"""", F2349=""""), ""真實支出"",
  AND(E2349="""", F2349&lt;&gt;""""), ""真實收入"",
  TRUE, ""其他""
)"),"真實收入")</f>
        <v>真實收入</v>
      </c>
      <c r="K2349" s="270">
        <f t="shared" si="2"/>
        <v>17387</v>
      </c>
      <c r="L2349">
        <f t="shared" si="3"/>
        <v>0</v>
      </c>
    </row>
    <row r="2350">
      <c r="A2350" s="107">
        <f>IFERROR(__xludf.DUMMYFUNCTION("""COMPUTED_VALUE"""),45857.0)</f>
        <v>45857</v>
      </c>
      <c r="B2350" t="str">
        <f>IFERROR(__xludf.DUMMYFUNCTION("""COMPUTED_VALUE"""),"[書香民生] E [劉祐安] 押金 (行號: 32, 33)")</f>
        <v>[書香民生] E [劉祐安] 押金 (行號: 32, 33)</v>
      </c>
      <c r="C2350" t="str">
        <f>IFERROR(__xludf.DUMMYFUNCTION("""COMPUTED_VALUE"""),"收入 - 押金")</f>
        <v>收入 - 押金</v>
      </c>
      <c r="D2350" s="270">
        <f>IFERROR(__xludf.DUMMYFUNCTION("""COMPUTED_VALUE"""),35600.0)</f>
        <v>35600</v>
      </c>
      <c r="F2350" t="str">
        <f>IFERROR(__xludf.DUMMYFUNCTION("""COMPUTED_VALUE"""),"台銀籌備帳戶")</f>
        <v>台銀籌備帳戶</v>
      </c>
      <c r="G2350" t="str">
        <f>IFERROR(__xludf.DUMMYFUNCTION("""COMPUTED_VALUE"""),"書香民生")</f>
        <v>書香民生</v>
      </c>
      <c r="H2350" s="106" t="str">
        <f t="shared" si="1"/>
        <v>2025-07</v>
      </c>
      <c r="I2350" s="271" t="str">
        <f>IFERROR(__xludf.DUMMYFUNCTION("""COMPUTED_VALUE"""),"貓狗企鵝")</f>
        <v>貓狗企鵝</v>
      </c>
      <c r="J2350" t="str">
        <f>IFERROR(__xludf.DUMMYFUNCTION("IFS(
  AND(REGEXMATCH(E2350, ""台銀籌備帳戶|玉山帳戶""), REGEXMATCH(C2350, ""薪資"")), ""分潤支出"",
  AND(REGEXMATCH(E2350, ""Ben帳戶|Elsa帳戶|Ben代墊|Ariel代墊|中信銀行共用""), REGEXMATCH(F2350, ""Ben帳戶|Elsa帳戶|Ben代墊|Ariel代墊|中信銀行共用"")), ""內部轉帳(忽略)"",
  AND(E2350&lt;&gt;"""", F2350&lt;&gt;"""", N"&amp;"OT(REGEXMATCH(C2350, ""薪資""))), ""內部轉帳(忽略)"",
  REGEXMATCH(C2350, ""薪資""), ""薪資變動(不計入)"",
  REGEXMATCH(C2350, ""押金""), ""押金往來"",
  AND(E2350&lt;&gt;"""", F2350=""""), ""真實支出"",
  AND(E2350="""", F2350&lt;&gt;""""), ""真實收入"",
  TRUE, ""其他""
)"),"押金往來")</f>
        <v>押金往來</v>
      </c>
      <c r="K2350">
        <f t="shared" si="2"/>
        <v>0</v>
      </c>
      <c r="L2350">
        <f t="shared" si="3"/>
        <v>0</v>
      </c>
    </row>
    <row r="2351">
      <c r="A2351" s="107">
        <f>IFERROR(__xludf.DUMMYFUNCTION("""COMPUTED_VALUE"""),45857.0)</f>
        <v>45857</v>
      </c>
      <c r="B2351" t="str">
        <f>IFERROR(__xludf.DUMMYFUNCTION("""COMPUTED_VALUE"""),"[書香民生] E [劉祐安] 首月租金 (行號: 32, 33)")</f>
        <v>[書香民生] E [劉祐安] 首月租金 (行號: 32, 33)</v>
      </c>
      <c r="C2351" t="str">
        <f>IFERROR(__xludf.DUMMYFUNCTION("""COMPUTED_VALUE"""),"收入 - 租金")</f>
        <v>收入 - 租金</v>
      </c>
      <c r="D2351" s="270">
        <f>IFERROR(__xludf.DUMMYFUNCTION("""COMPUTED_VALUE"""),17800.0)</f>
        <v>17800</v>
      </c>
      <c r="F2351" t="str">
        <f>IFERROR(__xludf.DUMMYFUNCTION("""COMPUTED_VALUE"""),"台銀籌備帳戶")</f>
        <v>台銀籌備帳戶</v>
      </c>
      <c r="G2351" t="str">
        <f>IFERROR(__xludf.DUMMYFUNCTION("""COMPUTED_VALUE"""),"書香民生")</f>
        <v>書香民生</v>
      </c>
      <c r="H2351" s="106" t="str">
        <f t="shared" si="1"/>
        <v>2025-07</v>
      </c>
      <c r="I2351" s="271" t="str">
        <f>IFERROR(__xludf.DUMMYFUNCTION("""COMPUTED_VALUE"""),"貓狗企鵝")</f>
        <v>貓狗企鵝</v>
      </c>
      <c r="J2351" t="str">
        <f>IFERROR(__xludf.DUMMYFUNCTION("IFS(
  AND(REGEXMATCH(E2351, ""台銀籌備帳戶|玉山帳戶""), REGEXMATCH(C2351, ""薪資"")), ""分潤支出"",
  AND(REGEXMATCH(E2351, ""Ben帳戶|Elsa帳戶|Ben代墊|Ariel代墊|中信銀行共用""), REGEXMATCH(F2351, ""Ben帳戶|Elsa帳戶|Ben代墊|Ariel代墊|中信銀行共用"")), ""內部轉帳(忽略)"",
  AND(E2351&lt;&gt;"""", F2351&lt;&gt;"""", N"&amp;"OT(REGEXMATCH(C2351, ""薪資""))), ""內部轉帳(忽略)"",
  REGEXMATCH(C2351, ""薪資""), ""薪資變動(不計入)"",
  REGEXMATCH(C2351, ""押金""), ""押金往來"",
  AND(E2351&lt;&gt;"""", F2351=""""), ""真實支出"",
  AND(E2351="""", F2351&lt;&gt;""""), ""真實收入"",
  TRUE, ""其他""
)"),"真實收入")</f>
        <v>真實收入</v>
      </c>
      <c r="K2351" s="270">
        <f t="shared" si="2"/>
        <v>17800</v>
      </c>
      <c r="L2351">
        <f t="shared" si="3"/>
        <v>0</v>
      </c>
    </row>
    <row r="2352">
      <c r="A2352" s="107">
        <f>IFERROR(__xludf.DUMMYFUNCTION("""COMPUTED_VALUE"""),45865.0)</f>
        <v>45865</v>
      </c>
      <c r="B2352" t="str">
        <f>IFERROR(__xludf.DUMMYFUNCTION("""COMPUTED_VALUE"""),"[南港站挑高宅] B [林鍇蓓] 月租金 (行號: 39)")</f>
        <v>[南港站挑高宅] B [林鍇蓓] 月租金 (行號: 39)</v>
      </c>
      <c r="C2352" t="str">
        <f>IFERROR(__xludf.DUMMYFUNCTION("""COMPUTED_VALUE"""),"收入 - 租金")</f>
        <v>收入 - 租金</v>
      </c>
      <c r="D2352" s="270">
        <f>IFERROR(__xludf.DUMMYFUNCTION("""COMPUTED_VALUE"""),12300.0)</f>
        <v>12300</v>
      </c>
      <c r="F2352" t="str">
        <f>IFERROR(__xludf.DUMMYFUNCTION("""COMPUTED_VALUE"""),"台銀籌備帳戶")</f>
        <v>台銀籌備帳戶</v>
      </c>
      <c r="G2352" t="str">
        <f>IFERROR(__xludf.DUMMYFUNCTION("""COMPUTED_VALUE"""),"南港站挑高宅")</f>
        <v>南港站挑高宅</v>
      </c>
      <c r="H2352" s="106" t="str">
        <f t="shared" si="1"/>
        <v>2025-07</v>
      </c>
      <c r="I2352" s="271" t="str">
        <f>IFERROR(__xludf.DUMMYFUNCTION("""COMPUTED_VALUE"""),"貓狗企鵝")</f>
        <v>貓狗企鵝</v>
      </c>
      <c r="J2352" t="str">
        <f>IFERROR(__xludf.DUMMYFUNCTION("IFS(
  AND(REGEXMATCH(E2352, ""台銀籌備帳戶|玉山帳戶""), REGEXMATCH(C2352, ""薪資"")), ""分潤支出"",
  AND(REGEXMATCH(E2352, ""Ben帳戶|Elsa帳戶|Ben代墊|Ariel代墊|中信銀行共用""), REGEXMATCH(F2352, ""Ben帳戶|Elsa帳戶|Ben代墊|Ariel代墊|中信銀行共用"")), ""內部轉帳(忽略)"",
  AND(E2352&lt;&gt;"""", F2352&lt;&gt;"""", N"&amp;"OT(REGEXMATCH(C2352, ""薪資""))), ""內部轉帳(忽略)"",
  REGEXMATCH(C2352, ""薪資""), ""薪資變動(不計入)"",
  REGEXMATCH(C2352, ""押金""), ""押金往來"",
  AND(E2352&lt;&gt;"""", F2352=""""), ""真實支出"",
  AND(E2352="""", F2352&lt;&gt;""""), ""真實收入"",
  TRUE, ""其他""
)"),"真實收入")</f>
        <v>真實收入</v>
      </c>
      <c r="K2352" s="270">
        <f t="shared" si="2"/>
        <v>12300</v>
      </c>
      <c r="L2352">
        <f t="shared" si="3"/>
        <v>0</v>
      </c>
    </row>
    <row r="2353">
      <c r="A2353" s="107">
        <f>IFERROR(__xludf.DUMMYFUNCTION("""COMPUTED_VALUE"""),45868.0)</f>
        <v>45868</v>
      </c>
      <c r="B2353" t="str">
        <f>IFERROR(__xludf.DUMMYFUNCTION("""COMPUTED_VALUE"""),"[大湖山莊] G [Soumyajit Balabantaray] 月租金 (行號: 41)")</f>
        <v>[大湖山莊] G [Soumyajit Balabantaray] 月租金 (行號: 41)</v>
      </c>
      <c r="C2353" t="str">
        <f>IFERROR(__xludf.DUMMYFUNCTION("""COMPUTED_VALUE"""),"收入 - 租金")</f>
        <v>收入 - 租金</v>
      </c>
      <c r="D2353" s="270">
        <f>IFERROR(__xludf.DUMMYFUNCTION("""COMPUTED_VALUE"""),15800.0)</f>
        <v>15800</v>
      </c>
      <c r="F2353" t="str">
        <f>IFERROR(__xludf.DUMMYFUNCTION("""COMPUTED_VALUE"""),"台銀籌備帳戶")</f>
        <v>台銀籌備帳戶</v>
      </c>
      <c r="G2353" t="str">
        <f>IFERROR(__xludf.DUMMYFUNCTION("""COMPUTED_VALUE"""),"大湖山莊")</f>
        <v>大湖山莊</v>
      </c>
      <c r="H2353" s="106" t="str">
        <f t="shared" si="1"/>
        <v>2025-07</v>
      </c>
      <c r="I2353" s="271" t="str">
        <f>IFERROR(__xludf.DUMMYFUNCTION("""COMPUTED_VALUE"""),"貓狗企鵝")</f>
        <v>貓狗企鵝</v>
      </c>
      <c r="J2353" t="str">
        <f>IFERROR(__xludf.DUMMYFUNCTION("IFS(
  AND(REGEXMATCH(E2353, ""台銀籌備帳戶|玉山帳戶""), REGEXMATCH(C2353, ""薪資"")), ""分潤支出"",
  AND(REGEXMATCH(E2353, ""Ben帳戶|Elsa帳戶|Ben代墊|Ariel代墊|中信銀行共用""), REGEXMATCH(F2353, ""Ben帳戶|Elsa帳戶|Ben代墊|Ariel代墊|中信銀行共用"")), ""內部轉帳(忽略)"",
  AND(E2353&lt;&gt;"""", F2353&lt;&gt;"""", N"&amp;"OT(REGEXMATCH(C2353, ""薪資""))), ""內部轉帳(忽略)"",
  REGEXMATCH(C2353, ""薪資""), ""薪資變動(不計入)"",
  REGEXMATCH(C2353, ""押金""), ""押金往來"",
  AND(E2353&lt;&gt;"""", F2353=""""), ""真實支出"",
  AND(E2353="""", F2353&lt;&gt;""""), ""真實收入"",
  TRUE, ""其他""
)"),"真實收入")</f>
        <v>真實收入</v>
      </c>
      <c r="K2353" s="270">
        <f t="shared" si="2"/>
        <v>15800</v>
      </c>
      <c r="L2353">
        <f t="shared" si="3"/>
        <v>0</v>
      </c>
    </row>
    <row r="2354">
      <c r="A2354" s="107">
        <f>IFERROR(__xludf.DUMMYFUNCTION("""COMPUTED_VALUE"""),45869.0)</f>
        <v>45869</v>
      </c>
      <c r="B2354" t="str">
        <f>IFERROR(__xludf.DUMMYFUNCTION("""COMPUTED_VALUE"""),"[南港站挑高宅] A [莊以棋] 月租金 (行號: 42)")</f>
        <v>[南港站挑高宅] A [莊以棋] 月租金 (行號: 42)</v>
      </c>
      <c r="C2354" t="str">
        <f>IFERROR(__xludf.DUMMYFUNCTION("""COMPUTED_VALUE"""),"收入 - 租金")</f>
        <v>收入 - 租金</v>
      </c>
      <c r="D2354" s="270">
        <f>IFERROR(__xludf.DUMMYFUNCTION("""COMPUTED_VALUE"""),13000.0)</f>
        <v>13000</v>
      </c>
      <c r="F2354" t="str">
        <f>IFERROR(__xludf.DUMMYFUNCTION("""COMPUTED_VALUE"""),"台銀籌備帳戶")</f>
        <v>台銀籌備帳戶</v>
      </c>
      <c r="G2354" t="str">
        <f>IFERROR(__xludf.DUMMYFUNCTION("""COMPUTED_VALUE"""),"南港站挑高宅")</f>
        <v>南港站挑高宅</v>
      </c>
      <c r="H2354" s="106" t="str">
        <f t="shared" si="1"/>
        <v>2025-07</v>
      </c>
      <c r="I2354" s="271" t="str">
        <f>IFERROR(__xludf.DUMMYFUNCTION("""COMPUTED_VALUE"""),"貓狗企鵝")</f>
        <v>貓狗企鵝</v>
      </c>
      <c r="J2354" t="str">
        <f>IFERROR(__xludf.DUMMYFUNCTION("IFS(
  AND(REGEXMATCH(E2354, ""台銀籌備帳戶|玉山帳戶""), REGEXMATCH(C2354, ""薪資"")), ""分潤支出"",
  AND(REGEXMATCH(E2354, ""Ben帳戶|Elsa帳戶|Ben代墊|Ariel代墊|中信銀行共用""), REGEXMATCH(F2354, ""Ben帳戶|Elsa帳戶|Ben代墊|Ariel代墊|中信銀行共用"")), ""內部轉帳(忽略)"",
  AND(E2354&lt;&gt;"""", F2354&lt;&gt;"""", N"&amp;"OT(REGEXMATCH(C2354, ""薪資""))), ""內部轉帳(忽略)"",
  REGEXMATCH(C2354, ""薪資""), ""薪資變動(不計入)"",
  REGEXMATCH(C2354, ""押金""), ""押金往來"",
  AND(E2354&lt;&gt;"""", F2354=""""), ""真實支出"",
  AND(E2354="""", F2354&lt;&gt;""""), ""真實收入"",
  TRUE, ""其他""
)"),"真實收入")</f>
        <v>真實收入</v>
      </c>
      <c r="K2354" s="270">
        <f t="shared" si="2"/>
        <v>13000</v>
      </c>
      <c r="L2354">
        <f t="shared" si="3"/>
        <v>0</v>
      </c>
    </row>
    <row r="2355">
      <c r="A2355" s="107">
        <f>IFERROR(__xludf.DUMMYFUNCTION("""COMPUTED_VALUE"""),45869.0)</f>
        <v>45869</v>
      </c>
      <c r="B2355" t="str">
        <f>IFERROR(__xludf.DUMMYFUNCTION("""COMPUTED_VALUE"""),"[永春四號] D [翁政熙] 月租金 (行號: 43)")</f>
        <v>[永春四號] D [翁政熙] 月租金 (行號: 43)</v>
      </c>
      <c r="C2355" t="str">
        <f>IFERROR(__xludf.DUMMYFUNCTION("""COMPUTED_VALUE"""),"收入 - 租金")</f>
        <v>收入 - 租金</v>
      </c>
      <c r="D2355" s="270">
        <f>IFERROR(__xludf.DUMMYFUNCTION("""COMPUTED_VALUE"""),14300.0)</f>
        <v>14300</v>
      </c>
      <c r="F2355" t="str">
        <f>IFERROR(__xludf.DUMMYFUNCTION("""COMPUTED_VALUE"""),"台銀籌備帳戶")</f>
        <v>台銀籌備帳戶</v>
      </c>
      <c r="G2355" t="str">
        <f>IFERROR(__xludf.DUMMYFUNCTION("""COMPUTED_VALUE"""),"永春四號")</f>
        <v>永春四號</v>
      </c>
      <c r="H2355" s="106" t="str">
        <f t="shared" si="1"/>
        <v>2025-07</v>
      </c>
      <c r="I2355" s="271" t="str">
        <f>IFERROR(__xludf.DUMMYFUNCTION("""COMPUTED_VALUE"""),"貓狗企鵝")</f>
        <v>貓狗企鵝</v>
      </c>
      <c r="J2355" t="str">
        <f>IFERROR(__xludf.DUMMYFUNCTION("IFS(
  AND(REGEXMATCH(E2355, ""台銀籌備帳戶|玉山帳戶""), REGEXMATCH(C2355, ""薪資"")), ""分潤支出"",
  AND(REGEXMATCH(E2355, ""Ben帳戶|Elsa帳戶|Ben代墊|Ariel代墊|中信銀行共用""), REGEXMATCH(F2355, ""Ben帳戶|Elsa帳戶|Ben代墊|Ariel代墊|中信銀行共用"")), ""內部轉帳(忽略)"",
  AND(E2355&lt;&gt;"""", F2355&lt;&gt;"""", N"&amp;"OT(REGEXMATCH(C2355, ""薪資""))), ""內部轉帳(忽略)"",
  REGEXMATCH(C2355, ""薪資""), ""薪資變動(不計入)"",
  REGEXMATCH(C2355, ""押金""), ""押金往來"",
  AND(E2355&lt;&gt;"""", F2355=""""), ""真實支出"",
  AND(E2355="""", F2355&lt;&gt;""""), ""真實收入"",
  TRUE, ""其他""
)"),"真實收入")</f>
        <v>真實收入</v>
      </c>
      <c r="K2355" s="270">
        <f t="shared" si="2"/>
        <v>14300</v>
      </c>
      <c r="L2355">
        <f t="shared" si="3"/>
        <v>0</v>
      </c>
    </row>
    <row r="2356">
      <c r="A2356" s="107">
        <f>IFERROR(__xludf.DUMMYFUNCTION("""COMPUTED_VALUE"""),45869.0)</f>
        <v>45869</v>
      </c>
      <c r="B2356" t="str">
        <f>IFERROR(__xludf.DUMMYFUNCTION("""COMPUTED_VALUE"""),"[南港站挑高宅] C [吳佳叡] 月租金 (行號: 44)")</f>
        <v>[南港站挑高宅] C [吳佳叡] 月租金 (行號: 44)</v>
      </c>
      <c r="C2356" t="str">
        <f>IFERROR(__xludf.DUMMYFUNCTION("""COMPUTED_VALUE"""),"收入 - 租金")</f>
        <v>收入 - 租金</v>
      </c>
      <c r="D2356" s="270">
        <f>IFERROR(__xludf.DUMMYFUNCTION("""COMPUTED_VALUE"""),15000.0)</f>
        <v>15000</v>
      </c>
      <c r="F2356" t="str">
        <f>IFERROR(__xludf.DUMMYFUNCTION("""COMPUTED_VALUE"""),"台銀籌備帳戶")</f>
        <v>台銀籌備帳戶</v>
      </c>
      <c r="G2356" t="str">
        <f>IFERROR(__xludf.DUMMYFUNCTION("""COMPUTED_VALUE"""),"南港站挑高宅")</f>
        <v>南港站挑高宅</v>
      </c>
      <c r="H2356" s="106" t="str">
        <f t="shared" si="1"/>
        <v>2025-07</v>
      </c>
      <c r="I2356" s="271" t="str">
        <f>IFERROR(__xludf.DUMMYFUNCTION("""COMPUTED_VALUE"""),"貓狗企鵝")</f>
        <v>貓狗企鵝</v>
      </c>
      <c r="J2356" t="str">
        <f>IFERROR(__xludf.DUMMYFUNCTION("IFS(
  AND(REGEXMATCH(E2356, ""台銀籌備帳戶|玉山帳戶""), REGEXMATCH(C2356, ""薪資"")), ""分潤支出"",
  AND(REGEXMATCH(E2356, ""Ben帳戶|Elsa帳戶|Ben代墊|Ariel代墊|中信銀行共用""), REGEXMATCH(F2356, ""Ben帳戶|Elsa帳戶|Ben代墊|Ariel代墊|中信銀行共用"")), ""內部轉帳(忽略)"",
  AND(E2356&lt;&gt;"""", F2356&lt;&gt;"""", N"&amp;"OT(REGEXMATCH(C2356, ""薪資""))), ""內部轉帳(忽略)"",
  REGEXMATCH(C2356, ""薪資""), ""薪資變動(不計入)"",
  REGEXMATCH(C2356, ""押金""), ""押金往來"",
  AND(E2356&lt;&gt;"""", F2356=""""), ""真實支出"",
  AND(E2356="""", F2356&lt;&gt;""""), ""真實收入"",
  TRUE, ""其他""
)"),"真實收入")</f>
        <v>真實收入</v>
      </c>
      <c r="K2356" s="270">
        <f t="shared" si="2"/>
        <v>15000</v>
      </c>
      <c r="L2356">
        <f t="shared" si="3"/>
        <v>0</v>
      </c>
    </row>
    <row r="2357">
      <c r="A2357" s="107">
        <f>IFERROR(__xludf.DUMMYFUNCTION("""COMPUTED_VALUE"""),45869.0)</f>
        <v>45869</v>
      </c>
      <c r="B2357" t="str">
        <f>IFERROR(__xludf.DUMMYFUNCTION("""COMPUTED_VALUE"""),"[哈拉對面] D [柳翰洋] 月租金 (行號: 45)")</f>
        <v>[哈拉對面] D [柳翰洋] 月租金 (行號: 45)</v>
      </c>
      <c r="C2357" t="str">
        <f>IFERROR(__xludf.DUMMYFUNCTION("""COMPUTED_VALUE"""),"收入 - 租金")</f>
        <v>收入 - 租金</v>
      </c>
      <c r="D2357" s="270">
        <f>IFERROR(__xludf.DUMMYFUNCTION("""COMPUTED_VALUE"""),11800.0)</f>
        <v>11800</v>
      </c>
      <c r="F2357" t="str">
        <f>IFERROR(__xludf.DUMMYFUNCTION("""COMPUTED_VALUE"""),"台銀籌備帳戶")</f>
        <v>台銀籌備帳戶</v>
      </c>
      <c r="G2357" t="str">
        <f>IFERROR(__xludf.DUMMYFUNCTION("""COMPUTED_VALUE"""),"哈拉對面")</f>
        <v>哈拉對面</v>
      </c>
      <c r="H2357" s="106" t="str">
        <f t="shared" si="1"/>
        <v>2025-07</v>
      </c>
      <c r="I2357" s="271" t="str">
        <f>IFERROR(__xludf.DUMMYFUNCTION("""COMPUTED_VALUE"""),"貓狗企鵝")</f>
        <v>貓狗企鵝</v>
      </c>
      <c r="J2357" t="str">
        <f>IFERROR(__xludf.DUMMYFUNCTION("IFS(
  AND(REGEXMATCH(E2357, ""台銀籌備帳戶|玉山帳戶""), REGEXMATCH(C2357, ""薪資"")), ""分潤支出"",
  AND(REGEXMATCH(E2357, ""Ben帳戶|Elsa帳戶|Ben代墊|Ariel代墊|中信銀行共用""), REGEXMATCH(F2357, ""Ben帳戶|Elsa帳戶|Ben代墊|Ariel代墊|中信銀行共用"")), ""內部轉帳(忽略)"",
  AND(E2357&lt;&gt;"""", F2357&lt;&gt;"""", N"&amp;"OT(REGEXMATCH(C2357, ""薪資""))), ""內部轉帳(忽略)"",
  REGEXMATCH(C2357, ""薪資""), ""薪資變動(不計入)"",
  REGEXMATCH(C2357, ""押金""), ""押金往來"",
  AND(E2357&lt;&gt;"""", F2357=""""), ""真實支出"",
  AND(E2357="""", F2357&lt;&gt;""""), ""真實收入"",
  TRUE, ""其他""
)"),"真實收入")</f>
        <v>真實收入</v>
      </c>
      <c r="K2357" s="270">
        <f t="shared" si="2"/>
        <v>11800</v>
      </c>
      <c r="L2357">
        <f t="shared" si="3"/>
        <v>0</v>
      </c>
    </row>
    <row r="2358">
      <c r="A2358" s="107">
        <f>IFERROR(__xludf.DUMMYFUNCTION("""COMPUTED_VALUE"""),45870.0)</f>
        <v>45870</v>
      </c>
      <c r="B2358" t="str">
        <f>IFERROR(__xludf.DUMMYFUNCTION("""COMPUTED_VALUE"""),"[景安2分鐘] E [楊惠閔] 月租金 (行號: 58)")</f>
        <v>[景安2分鐘] E [楊惠閔] 月租金 (行號: 58)</v>
      </c>
      <c r="C2358" t="str">
        <f>IFERROR(__xludf.DUMMYFUNCTION("""COMPUTED_VALUE"""),"收入 - 租金")</f>
        <v>收入 - 租金</v>
      </c>
      <c r="D2358" s="270">
        <f>IFERROR(__xludf.DUMMYFUNCTION("""COMPUTED_VALUE"""),10500.0)</f>
        <v>10500</v>
      </c>
      <c r="F2358" t="str">
        <f>IFERROR(__xludf.DUMMYFUNCTION("""COMPUTED_VALUE"""),"台銀籌備帳戶")</f>
        <v>台銀籌備帳戶</v>
      </c>
      <c r="G2358" t="str">
        <f>IFERROR(__xludf.DUMMYFUNCTION("""COMPUTED_VALUE"""),"景安2分鐘")</f>
        <v>景安2分鐘</v>
      </c>
      <c r="H2358" s="106" t="str">
        <f t="shared" si="1"/>
        <v>2025-08</v>
      </c>
      <c r="I2358" s="271" t="str">
        <f>IFERROR(__xludf.DUMMYFUNCTION("""COMPUTED_VALUE"""),"貓狗企鵝")</f>
        <v>貓狗企鵝</v>
      </c>
      <c r="J2358" t="str">
        <f>IFERROR(__xludf.DUMMYFUNCTION("IFS(
  AND(REGEXMATCH(E2358, ""台銀籌備帳戶|玉山帳戶""), REGEXMATCH(C2358, ""薪資"")), ""分潤支出"",
  AND(REGEXMATCH(E2358, ""Ben帳戶|Elsa帳戶|Ben代墊|Ariel代墊|中信銀行共用""), REGEXMATCH(F2358, ""Ben帳戶|Elsa帳戶|Ben代墊|Ariel代墊|中信銀行共用"")), ""內部轉帳(忽略)"",
  AND(E2358&lt;&gt;"""", F2358&lt;&gt;"""", N"&amp;"OT(REGEXMATCH(C2358, ""薪資""))), ""內部轉帳(忽略)"",
  REGEXMATCH(C2358, ""薪資""), ""薪資變動(不計入)"",
  REGEXMATCH(C2358, ""押金""), ""押金往來"",
  AND(E2358&lt;&gt;"""", F2358=""""), ""真實支出"",
  AND(E2358="""", F2358&lt;&gt;""""), ""真實收入"",
  TRUE, ""其他""
)"),"真實收入")</f>
        <v>真實收入</v>
      </c>
      <c r="K2358" s="270">
        <f t="shared" si="2"/>
        <v>10500</v>
      </c>
      <c r="L2358">
        <f t="shared" si="3"/>
        <v>0</v>
      </c>
    </row>
    <row r="2359">
      <c r="A2359" s="107">
        <f>IFERROR(__xludf.DUMMYFUNCTION("""COMPUTED_VALUE"""),45870.0)</f>
        <v>45870</v>
      </c>
      <c r="B2359" t="str">
        <f>IFERROR(__xludf.DUMMYFUNCTION("""COMPUTED_VALUE"""),"[永春四號] B [袁家鳳] 月租金 (行號: 59)")</f>
        <v>[永春四號] B [袁家鳳] 月租金 (行號: 59)</v>
      </c>
      <c r="C2359" t="str">
        <f>IFERROR(__xludf.DUMMYFUNCTION("""COMPUTED_VALUE"""),"收入 - 租金")</f>
        <v>收入 - 租金</v>
      </c>
      <c r="D2359" s="270">
        <f>IFERROR(__xludf.DUMMYFUNCTION("""COMPUTED_VALUE"""),13500.0)</f>
        <v>13500</v>
      </c>
      <c r="F2359" t="str">
        <f>IFERROR(__xludf.DUMMYFUNCTION("""COMPUTED_VALUE"""),"台銀籌備帳戶")</f>
        <v>台銀籌備帳戶</v>
      </c>
      <c r="G2359" t="str">
        <f>IFERROR(__xludf.DUMMYFUNCTION("""COMPUTED_VALUE"""),"永春四號")</f>
        <v>永春四號</v>
      </c>
      <c r="H2359" s="106" t="str">
        <f t="shared" si="1"/>
        <v>2025-08</v>
      </c>
      <c r="I2359" s="271" t="str">
        <f>IFERROR(__xludf.DUMMYFUNCTION("""COMPUTED_VALUE"""),"貓狗企鵝")</f>
        <v>貓狗企鵝</v>
      </c>
      <c r="J2359" t="str">
        <f>IFERROR(__xludf.DUMMYFUNCTION("IFS(
  AND(REGEXMATCH(E2359, ""台銀籌備帳戶|玉山帳戶""), REGEXMATCH(C2359, ""薪資"")), ""分潤支出"",
  AND(REGEXMATCH(E2359, ""Ben帳戶|Elsa帳戶|Ben代墊|Ariel代墊|中信銀行共用""), REGEXMATCH(F2359, ""Ben帳戶|Elsa帳戶|Ben代墊|Ariel代墊|中信銀行共用"")), ""內部轉帳(忽略)"",
  AND(E2359&lt;&gt;"""", F2359&lt;&gt;"""", N"&amp;"OT(REGEXMATCH(C2359, ""薪資""))), ""內部轉帳(忽略)"",
  REGEXMATCH(C2359, ""薪資""), ""薪資變動(不計入)"",
  REGEXMATCH(C2359, ""押金""), ""押金往來"",
  AND(E2359&lt;&gt;"""", F2359=""""), ""真實支出"",
  AND(E2359="""", F2359&lt;&gt;""""), ""真實收入"",
  TRUE, ""其他""
)"),"真實收入")</f>
        <v>真實收入</v>
      </c>
      <c r="K2359" s="270">
        <f t="shared" si="2"/>
        <v>13500</v>
      </c>
      <c r="L2359">
        <f t="shared" si="3"/>
        <v>0</v>
      </c>
    </row>
    <row r="2360">
      <c r="A2360" s="107">
        <f>IFERROR(__xludf.DUMMYFUNCTION("""COMPUTED_VALUE"""),45870.0)</f>
        <v>45870</v>
      </c>
      <c r="B2360" t="str">
        <f>IFERROR(__xludf.DUMMYFUNCTION("""COMPUTED_VALUE"""),"[景安2分鐘] C [楊玉如] 月租金 (行號: 60)")</f>
        <v>[景安2分鐘] C [楊玉如] 月租金 (行號: 60)</v>
      </c>
      <c r="C2360" t="str">
        <f>IFERROR(__xludf.DUMMYFUNCTION("""COMPUTED_VALUE"""),"收入 - 租金")</f>
        <v>收入 - 租金</v>
      </c>
      <c r="D2360" s="270">
        <f>IFERROR(__xludf.DUMMYFUNCTION("""COMPUTED_VALUE"""),12300.0)</f>
        <v>12300</v>
      </c>
      <c r="F2360" t="str">
        <f>IFERROR(__xludf.DUMMYFUNCTION("""COMPUTED_VALUE"""),"台銀籌備帳戶")</f>
        <v>台銀籌備帳戶</v>
      </c>
      <c r="G2360" t="str">
        <f>IFERROR(__xludf.DUMMYFUNCTION("""COMPUTED_VALUE"""),"景安2分鐘")</f>
        <v>景安2分鐘</v>
      </c>
      <c r="H2360" s="106" t="str">
        <f t="shared" si="1"/>
        <v>2025-08</v>
      </c>
      <c r="I2360" s="271" t="str">
        <f>IFERROR(__xludf.DUMMYFUNCTION("""COMPUTED_VALUE"""),"貓狗企鵝")</f>
        <v>貓狗企鵝</v>
      </c>
      <c r="J2360" t="str">
        <f>IFERROR(__xludf.DUMMYFUNCTION("IFS(
  AND(REGEXMATCH(E2360, ""台銀籌備帳戶|玉山帳戶""), REGEXMATCH(C2360, ""薪資"")), ""分潤支出"",
  AND(REGEXMATCH(E2360, ""Ben帳戶|Elsa帳戶|Ben代墊|Ariel代墊|中信銀行共用""), REGEXMATCH(F2360, ""Ben帳戶|Elsa帳戶|Ben代墊|Ariel代墊|中信銀行共用"")), ""內部轉帳(忽略)"",
  AND(E2360&lt;&gt;"""", F2360&lt;&gt;"""", N"&amp;"OT(REGEXMATCH(C2360, ""薪資""))), ""內部轉帳(忽略)"",
  REGEXMATCH(C2360, ""薪資""), ""薪資變動(不計入)"",
  REGEXMATCH(C2360, ""押金""), ""押金往來"",
  AND(E2360&lt;&gt;"""", F2360=""""), ""真實支出"",
  AND(E2360="""", F2360&lt;&gt;""""), ""真實收入"",
  TRUE, ""其他""
)"),"真實收入")</f>
        <v>真實收入</v>
      </c>
      <c r="K2360" s="270">
        <f t="shared" si="2"/>
        <v>12300</v>
      </c>
      <c r="L2360">
        <f t="shared" si="3"/>
        <v>0</v>
      </c>
    </row>
    <row r="2361">
      <c r="A2361" s="107">
        <f>IFERROR(__xludf.DUMMYFUNCTION("""COMPUTED_VALUE"""),45870.0)</f>
        <v>45870</v>
      </c>
      <c r="B2361" t="str">
        <f>IFERROR(__xludf.DUMMYFUNCTION("""COMPUTED_VALUE"""),"[北醫醫師府] A [吳緯程] 月租金 (行號: 61)")</f>
        <v>[北醫醫師府] A [吳緯程] 月租金 (行號: 61)</v>
      </c>
      <c r="C2361" t="str">
        <f>IFERROR(__xludf.DUMMYFUNCTION("""COMPUTED_VALUE"""),"收入 - 租金")</f>
        <v>收入 - 租金</v>
      </c>
      <c r="D2361" s="270">
        <f>IFERROR(__xludf.DUMMYFUNCTION("""COMPUTED_VALUE"""),13000.0)</f>
        <v>13000</v>
      </c>
      <c r="F2361" t="str">
        <f>IFERROR(__xludf.DUMMYFUNCTION("""COMPUTED_VALUE"""),"台銀籌備帳戶")</f>
        <v>台銀籌備帳戶</v>
      </c>
      <c r="G2361" t="str">
        <f>IFERROR(__xludf.DUMMYFUNCTION("""COMPUTED_VALUE"""),"北醫醫師府")</f>
        <v>北醫醫師府</v>
      </c>
      <c r="H2361" s="106" t="str">
        <f t="shared" si="1"/>
        <v>2025-08</v>
      </c>
      <c r="I2361" s="271" t="str">
        <f>IFERROR(__xludf.DUMMYFUNCTION("""COMPUTED_VALUE"""),"貓狗企鵝")</f>
        <v>貓狗企鵝</v>
      </c>
      <c r="J2361" t="str">
        <f>IFERROR(__xludf.DUMMYFUNCTION("IFS(
  AND(REGEXMATCH(E2361, ""台銀籌備帳戶|玉山帳戶""), REGEXMATCH(C2361, ""薪資"")), ""分潤支出"",
  AND(REGEXMATCH(E2361, ""Ben帳戶|Elsa帳戶|Ben代墊|Ariel代墊|中信銀行共用""), REGEXMATCH(F2361, ""Ben帳戶|Elsa帳戶|Ben代墊|Ariel代墊|中信銀行共用"")), ""內部轉帳(忽略)"",
  AND(E2361&lt;&gt;"""", F2361&lt;&gt;"""", N"&amp;"OT(REGEXMATCH(C2361, ""薪資""))), ""內部轉帳(忽略)"",
  REGEXMATCH(C2361, ""薪資""), ""薪資變動(不計入)"",
  REGEXMATCH(C2361, ""押金""), ""押金往來"",
  AND(E2361&lt;&gt;"""", F2361=""""), ""真實支出"",
  AND(E2361="""", F2361&lt;&gt;""""), ""真實收入"",
  TRUE, ""其他""
)"),"真實收入")</f>
        <v>真實收入</v>
      </c>
      <c r="K2361" s="270">
        <f t="shared" si="2"/>
        <v>13000</v>
      </c>
      <c r="L2361">
        <f t="shared" si="3"/>
        <v>0</v>
      </c>
    </row>
    <row r="2362">
      <c r="A2362" s="107">
        <f>IFERROR(__xludf.DUMMYFUNCTION("""COMPUTED_VALUE"""),45870.0)</f>
        <v>45870</v>
      </c>
      <c r="B2362" t="str">
        <f>IFERROR(__xludf.DUMMYFUNCTION("""COMPUTED_VALUE"""),"[市府爺爺家] A [董書鵬, 張瑋珊] 月租金 (行號: 62)")</f>
        <v>[市府爺爺家] A [董書鵬, 張瑋珊] 月租金 (行號: 62)</v>
      </c>
      <c r="C2362" t="str">
        <f>IFERROR(__xludf.DUMMYFUNCTION("""COMPUTED_VALUE"""),"收入 - 租金")</f>
        <v>收入 - 租金</v>
      </c>
      <c r="D2362" s="270">
        <f>IFERROR(__xludf.DUMMYFUNCTION("""COMPUTED_VALUE"""),22000.0)</f>
        <v>22000</v>
      </c>
      <c r="F2362" t="str">
        <f>IFERROR(__xludf.DUMMYFUNCTION("""COMPUTED_VALUE"""),"台銀籌備帳戶")</f>
        <v>台銀籌備帳戶</v>
      </c>
      <c r="G2362" t="str">
        <f>IFERROR(__xludf.DUMMYFUNCTION("""COMPUTED_VALUE"""),"市府爺爺家")</f>
        <v>市府爺爺家</v>
      </c>
      <c r="H2362" s="106" t="str">
        <f t="shared" si="1"/>
        <v>2025-08</v>
      </c>
      <c r="I2362" s="271" t="str">
        <f>IFERROR(__xludf.DUMMYFUNCTION("""COMPUTED_VALUE"""),"貓狗企鵝")</f>
        <v>貓狗企鵝</v>
      </c>
      <c r="J2362" t="str">
        <f>IFERROR(__xludf.DUMMYFUNCTION("IFS(
  AND(REGEXMATCH(E2362, ""台銀籌備帳戶|玉山帳戶""), REGEXMATCH(C2362, ""薪資"")), ""分潤支出"",
  AND(REGEXMATCH(E2362, ""Ben帳戶|Elsa帳戶|Ben代墊|Ariel代墊|中信銀行共用""), REGEXMATCH(F2362, ""Ben帳戶|Elsa帳戶|Ben代墊|Ariel代墊|中信銀行共用"")), ""內部轉帳(忽略)"",
  AND(E2362&lt;&gt;"""", F2362&lt;&gt;"""", N"&amp;"OT(REGEXMATCH(C2362, ""薪資""))), ""內部轉帳(忽略)"",
  REGEXMATCH(C2362, ""薪資""), ""薪資變動(不計入)"",
  REGEXMATCH(C2362, ""押金""), ""押金往來"",
  AND(E2362&lt;&gt;"""", F2362=""""), ""真實支出"",
  AND(E2362="""", F2362&lt;&gt;""""), ""真實收入"",
  TRUE, ""其他""
)"),"真實收入")</f>
        <v>真實收入</v>
      </c>
      <c r="K2362" s="270">
        <f t="shared" si="2"/>
        <v>22000</v>
      </c>
      <c r="L2362">
        <f t="shared" si="3"/>
        <v>0</v>
      </c>
    </row>
    <row r="2363">
      <c r="A2363" s="107">
        <f>IFERROR(__xludf.DUMMYFUNCTION("""COMPUTED_VALUE"""),45870.0)</f>
        <v>45870</v>
      </c>
      <c r="B2363" t="str">
        <f>IFERROR(__xludf.DUMMYFUNCTION("""COMPUTED_VALUE"""),"[大湖山莊] C [姚伯謙] 月租金 (行號: 63)")</f>
        <v>[大湖山莊] C [姚伯謙] 月租金 (行號: 63)</v>
      </c>
      <c r="C2363" t="str">
        <f>IFERROR(__xludf.DUMMYFUNCTION("""COMPUTED_VALUE"""),"收入 - 租金")</f>
        <v>收入 - 租金</v>
      </c>
      <c r="D2363" s="270">
        <f>IFERROR(__xludf.DUMMYFUNCTION("""COMPUTED_VALUE"""),18800.0)</f>
        <v>18800</v>
      </c>
      <c r="F2363" t="str">
        <f>IFERROR(__xludf.DUMMYFUNCTION("""COMPUTED_VALUE"""),"台銀籌備帳戶")</f>
        <v>台銀籌備帳戶</v>
      </c>
      <c r="G2363" t="str">
        <f>IFERROR(__xludf.DUMMYFUNCTION("""COMPUTED_VALUE"""),"大湖山莊")</f>
        <v>大湖山莊</v>
      </c>
      <c r="H2363" s="106" t="str">
        <f t="shared" si="1"/>
        <v>2025-08</v>
      </c>
      <c r="I2363" s="271" t="str">
        <f>IFERROR(__xludf.DUMMYFUNCTION("""COMPUTED_VALUE"""),"貓狗企鵝")</f>
        <v>貓狗企鵝</v>
      </c>
      <c r="J2363" t="str">
        <f>IFERROR(__xludf.DUMMYFUNCTION("IFS(
  AND(REGEXMATCH(E2363, ""台銀籌備帳戶|玉山帳戶""), REGEXMATCH(C2363, ""薪資"")), ""分潤支出"",
  AND(REGEXMATCH(E2363, ""Ben帳戶|Elsa帳戶|Ben代墊|Ariel代墊|中信銀行共用""), REGEXMATCH(F2363, ""Ben帳戶|Elsa帳戶|Ben代墊|Ariel代墊|中信銀行共用"")), ""內部轉帳(忽略)"",
  AND(E2363&lt;&gt;"""", F2363&lt;&gt;"""", N"&amp;"OT(REGEXMATCH(C2363, ""薪資""))), ""內部轉帳(忽略)"",
  REGEXMATCH(C2363, ""薪資""), ""薪資變動(不計入)"",
  REGEXMATCH(C2363, ""押金""), ""押金往來"",
  AND(E2363&lt;&gt;"""", F2363=""""), ""真實支出"",
  AND(E2363="""", F2363&lt;&gt;""""), ""真實收入"",
  TRUE, ""其他""
)"),"真實收入")</f>
        <v>真實收入</v>
      </c>
      <c r="K2363" s="270">
        <f t="shared" si="2"/>
        <v>18800</v>
      </c>
      <c r="L2363">
        <f t="shared" si="3"/>
        <v>0</v>
      </c>
    </row>
    <row r="2364">
      <c r="A2364" s="107">
        <f>IFERROR(__xludf.DUMMYFUNCTION("""COMPUTED_VALUE"""),45870.0)</f>
        <v>45870</v>
      </c>
      <c r="B2364" t="str">
        <f>IFERROR(__xludf.DUMMYFUNCTION("""COMPUTED_VALUE"""),"[北醫醫師府] C [余典蓉] 月租金 (行號: 64)")</f>
        <v>[北醫醫師府] C [余典蓉] 月租金 (行號: 64)</v>
      </c>
      <c r="C2364" t="str">
        <f>IFERROR(__xludf.DUMMYFUNCTION("""COMPUTED_VALUE"""),"收入 - 租金")</f>
        <v>收入 - 租金</v>
      </c>
      <c r="D2364" s="270">
        <f>IFERROR(__xludf.DUMMYFUNCTION("""COMPUTED_VALUE"""),13000.0)</f>
        <v>13000</v>
      </c>
      <c r="F2364" t="str">
        <f>IFERROR(__xludf.DUMMYFUNCTION("""COMPUTED_VALUE"""),"台銀籌備帳戶")</f>
        <v>台銀籌備帳戶</v>
      </c>
      <c r="G2364" t="str">
        <f>IFERROR(__xludf.DUMMYFUNCTION("""COMPUTED_VALUE"""),"北醫醫師府")</f>
        <v>北醫醫師府</v>
      </c>
      <c r="H2364" s="106" t="str">
        <f t="shared" si="1"/>
        <v>2025-08</v>
      </c>
      <c r="I2364" s="271" t="str">
        <f>IFERROR(__xludf.DUMMYFUNCTION("""COMPUTED_VALUE"""),"貓狗企鵝")</f>
        <v>貓狗企鵝</v>
      </c>
      <c r="J2364" t="str">
        <f>IFERROR(__xludf.DUMMYFUNCTION("IFS(
  AND(REGEXMATCH(E2364, ""台銀籌備帳戶|玉山帳戶""), REGEXMATCH(C2364, ""薪資"")), ""分潤支出"",
  AND(REGEXMATCH(E2364, ""Ben帳戶|Elsa帳戶|Ben代墊|Ariel代墊|中信銀行共用""), REGEXMATCH(F2364, ""Ben帳戶|Elsa帳戶|Ben代墊|Ariel代墊|中信銀行共用"")), ""內部轉帳(忽略)"",
  AND(E2364&lt;&gt;"""", F2364&lt;&gt;"""", N"&amp;"OT(REGEXMATCH(C2364, ""薪資""))), ""內部轉帳(忽略)"",
  REGEXMATCH(C2364, ""薪資""), ""薪資變動(不計入)"",
  REGEXMATCH(C2364, ""押金""), ""押金往來"",
  AND(E2364&lt;&gt;"""", F2364=""""), ""真實支出"",
  AND(E2364="""", F2364&lt;&gt;""""), ""真實收入"",
  TRUE, ""其他""
)"),"真實收入")</f>
        <v>真實收入</v>
      </c>
      <c r="K2364" s="270">
        <f t="shared" si="2"/>
        <v>13000</v>
      </c>
      <c r="L2364">
        <f t="shared" si="3"/>
        <v>0</v>
      </c>
    </row>
    <row r="2365">
      <c r="A2365" s="107">
        <f>IFERROR(__xludf.DUMMYFUNCTION("""COMPUTED_VALUE"""),45870.0)</f>
        <v>45870</v>
      </c>
      <c r="B2365" t="str">
        <f>IFERROR(__xludf.DUMMYFUNCTION("""COMPUTED_VALUE"""),"[景安2分鐘] B [張語婕, 張依憑] 月租金 (行號: 65)")</f>
        <v>[景安2分鐘] B [張語婕, 張依憑] 月租金 (行號: 65)</v>
      </c>
      <c r="C2365" t="str">
        <f>IFERROR(__xludf.DUMMYFUNCTION("""COMPUTED_VALUE"""),"收入 - 租金")</f>
        <v>收入 - 租金</v>
      </c>
      <c r="D2365" s="270">
        <f>IFERROR(__xludf.DUMMYFUNCTION("""COMPUTED_VALUE"""),18800.0)</f>
        <v>18800</v>
      </c>
      <c r="F2365" t="str">
        <f>IFERROR(__xludf.DUMMYFUNCTION("""COMPUTED_VALUE"""),"台銀籌備帳戶")</f>
        <v>台銀籌備帳戶</v>
      </c>
      <c r="G2365" t="str">
        <f>IFERROR(__xludf.DUMMYFUNCTION("""COMPUTED_VALUE"""),"景安2分鐘")</f>
        <v>景安2分鐘</v>
      </c>
      <c r="H2365" s="106" t="str">
        <f t="shared" si="1"/>
        <v>2025-08</v>
      </c>
      <c r="I2365" s="271" t="str">
        <f>IFERROR(__xludf.DUMMYFUNCTION("""COMPUTED_VALUE"""),"貓狗企鵝")</f>
        <v>貓狗企鵝</v>
      </c>
      <c r="J2365" t="str">
        <f>IFERROR(__xludf.DUMMYFUNCTION("IFS(
  AND(REGEXMATCH(E2365, ""台銀籌備帳戶|玉山帳戶""), REGEXMATCH(C2365, ""薪資"")), ""分潤支出"",
  AND(REGEXMATCH(E2365, ""Ben帳戶|Elsa帳戶|Ben代墊|Ariel代墊|中信銀行共用""), REGEXMATCH(F2365, ""Ben帳戶|Elsa帳戶|Ben代墊|Ariel代墊|中信銀行共用"")), ""內部轉帳(忽略)"",
  AND(E2365&lt;&gt;"""", F2365&lt;&gt;"""", N"&amp;"OT(REGEXMATCH(C2365, ""薪資""))), ""內部轉帳(忽略)"",
  REGEXMATCH(C2365, ""薪資""), ""薪資變動(不計入)"",
  REGEXMATCH(C2365, ""押金""), ""押金往來"",
  AND(E2365&lt;&gt;"""", F2365=""""), ""真實支出"",
  AND(E2365="""", F2365&lt;&gt;""""), ""真實收入"",
  TRUE, ""其他""
)"),"真實收入")</f>
        <v>真實收入</v>
      </c>
      <c r="K2365" s="270">
        <f t="shared" si="2"/>
        <v>18800</v>
      </c>
      <c r="L2365">
        <f t="shared" si="3"/>
        <v>0</v>
      </c>
    </row>
    <row r="2366">
      <c r="A2366" s="107">
        <f>IFERROR(__xludf.DUMMYFUNCTION("""COMPUTED_VALUE"""),45870.0)</f>
        <v>45870</v>
      </c>
      <c r="B2366" t="str">
        <f>IFERROR(__xludf.DUMMYFUNCTION("""COMPUTED_VALUE"""),"[金龍帽子先生] B [謝歆俞] 月租金 (行號: 66)")</f>
        <v>[金龍帽子先生] B [謝歆俞] 月租金 (行號: 66)</v>
      </c>
      <c r="C2366" t="str">
        <f>IFERROR(__xludf.DUMMYFUNCTION("""COMPUTED_VALUE"""),"收入 - 租金")</f>
        <v>收入 - 租金</v>
      </c>
      <c r="D2366" s="270">
        <f>IFERROR(__xludf.DUMMYFUNCTION("""COMPUTED_VALUE"""),12700.0)</f>
        <v>12700</v>
      </c>
      <c r="F2366" t="str">
        <f>IFERROR(__xludf.DUMMYFUNCTION("""COMPUTED_VALUE"""),"台銀籌備帳戶")</f>
        <v>台銀籌備帳戶</v>
      </c>
      <c r="G2366" t="str">
        <f>IFERROR(__xludf.DUMMYFUNCTION("""COMPUTED_VALUE"""),"金龍帽子先生")</f>
        <v>金龍帽子先生</v>
      </c>
      <c r="H2366" s="106" t="str">
        <f t="shared" si="1"/>
        <v>2025-08</v>
      </c>
      <c r="I2366" s="271" t="str">
        <f>IFERROR(__xludf.DUMMYFUNCTION("""COMPUTED_VALUE"""),"貓狗企鵝")</f>
        <v>貓狗企鵝</v>
      </c>
      <c r="J2366" t="str">
        <f>IFERROR(__xludf.DUMMYFUNCTION("IFS(
  AND(REGEXMATCH(E2366, ""台銀籌備帳戶|玉山帳戶""), REGEXMATCH(C2366, ""薪資"")), ""分潤支出"",
  AND(REGEXMATCH(E2366, ""Ben帳戶|Elsa帳戶|Ben代墊|Ariel代墊|中信銀行共用""), REGEXMATCH(F2366, ""Ben帳戶|Elsa帳戶|Ben代墊|Ariel代墊|中信銀行共用"")), ""內部轉帳(忽略)"",
  AND(E2366&lt;&gt;"""", F2366&lt;&gt;"""", N"&amp;"OT(REGEXMATCH(C2366, ""薪資""))), ""內部轉帳(忽略)"",
  REGEXMATCH(C2366, ""薪資""), ""薪資變動(不計入)"",
  REGEXMATCH(C2366, ""押金""), ""押金往來"",
  AND(E2366&lt;&gt;"""", F2366=""""), ""真實支出"",
  AND(E2366="""", F2366&lt;&gt;""""), ""真實收入"",
  TRUE, ""其他""
)"),"真實收入")</f>
        <v>真實收入</v>
      </c>
      <c r="K2366" s="270">
        <f t="shared" si="2"/>
        <v>12700</v>
      </c>
      <c r="L2366">
        <f t="shared" si="3"/>
        <v>0</v>
      </c>
    </row>
    <row r="2367">
      <c r="A2367" s="107">
        <f>IFERROR(__xludf.DUMMYFUNCTION("""COMPUTED_VALUE"""),45870.0)</f>
        <v>45870</v>
      </c>
      <c r="B2367" t="str">
        <f>IFERROR(__xludf.DUMMYFUNCTION("""COMPUTED_VALUE"""),"[哈拉對面] B [鄭又菡] 月租金 (行號: 67)")</f>
        <v>[哈拉對面] B [鄭又菡] 月租金 (行號: 67)</v>
      </c>
      <c r="C2367" t="str">
        <f>IFERROR(__xludf.DUMMYFUNCTION("""COMPUTED_VALUE"""),"收入 - 租金")</f>
        <v>收入 - 租金</v>
      </c>
      <c r="D2367" s="270">
        <f>IFERROR(__xludf.DUMMYFUNCTION("""COMPUTED_VALUE"""),15800.0)</f>
        <v>15800</v>
      </c>
      <c r="F2367" t="str">
        <f>IFERROR(__xludf.DUMMYFUNCTION("""COMPUTED_VALUE"""),"台銀籌備帳戶")</f>
        <v>台銀籌備帳戶</v>
      </c>
      <c r="G2367" t="str">
        <f>IFERROR(__xludf.DUMMYFUNCTION("""COMPUTED_VALUE"""),"哈拉對面")</f>
        <v>哈拉對面</v>
      </c>
      <c r="H2367" s="106" t="str">
        <f t="shared" si="1"/>
        <v>2025-08</v>
      </c>
      <c r="I2367" s="271" t="str">
        <f>IFERROR(__xludf.DUMMYFUNCTION("""COMPUTED_VALUE"""),"貓狗企鵝")</f>
        <v>貓狗企鵝</v>
      </c>
      <c r="J2367" t="str">
        <f>IFERROR(__xludf.DUMMYFUNCTION("IFS(
  AND(REGEXMATCH(E2367, ""台銀籌備帳戶|玉山帳戶""), REGEXMATCH(C2367, ""薪資"")), ""分潤支出"",
  AND(REGEXMATCH(E2367, ""Ben帳戶|Elsa帳戶|Ben代墊|Ariel代墊|中信銀行共用""), REGEXMATCH(F2367, ""Ben帳戶|Elsa帳戶|Ben代墊|Ariel代墊|中信銀行共用"")), ""內部轉帳(忽略)"",
  AND(E2367&lt;&gt;"""", F2367&lt;&gt;"""", N"&amp;"OT(REGEXMATCH(C2367, ""薪資""))), ""內部轉帳(忽略)"",
  REGEXMATCH(C2367, ""薪資""), ""薪資變動(不計入)"",
  REGEXMATCH(C2367, ""押金""), ""押金往來"",
  AND(E2367&lt;&gt;"""", F2367=""""), ""真實支出"",
  AND(E2367="""", F2367&lt;&gt;""""), ""真實收入"",
  TRUE, ""其他""
)"),"真實收入")</f>
        <v>真實收入</v>
      </c>
      <c r="K2367" s="270">
        <f t="shared" si="2"/>
        <v>15800</v>
      </c>
      <c r="L2367">
        <f t="shared" si="3"/>
        <v>0</v>
      </c>
    </row>
    <row r="2368">
      <c r="A2368" s="107">
        <f>IFERROR(__xludf.DUMMYFUNCTION("""COMPUTED_VALUE"""),45870.0)</f>
        <v>45870</v>
      </c>
      <c r="B2368" t="str">
        <f>IFERROR(__xludf.DUMMYFUNCTION("""COMPUTED_VALUE"""),"[中山北Feli家] D [邱佳慧] 月租金 (行號: 68)")</f>
        <v>[中山北Feli家] D [邱佳慧] 月租金 (行號: 68)</v>
      </c>
      <c r="C2368" t="str">
        <f>IFERROR(__xludf.DUMMYFUNCTION("""COMPUTED_VALUE"""),"收入 - 租金")</f>
        <v>收入 - 租金</v>
      </c>
      <c r="D2368" s="270">
        <f>IFERROR(__xludf.DUMMYFUNCTION("""COMPUTED_VALUE"""),10800.0)</f>
        <v>10800</v>
      </c>
      <c r="F2368" t="str">
        <f>IFERROR(__xludf.DUMMYFUNCTION("""COMPUTED_VALUE"""),"台銀籌備帳戶")</f>
        <v>台銀籌備帳戶</v>
      </c>
      <c r="G2368" t="str">
        <f>IFERROR(__xludf.DUMMYFUNCTION("""COMPUTED_VALUE"""),"中山北Feli家")</f>
        <v>中山北Feli家</v>
      </c>
      <c r="H2368" s="106" t="str">
        <f t="shared" si="1"/>
        <v>2025-08</v>
      </c>
      <c r="I2368" s="271" t="str">
        <f>IFERROR(__xludf.DUMMYFUNCTION("""COMPUTED_VALUE"""),"貓狗企鵝")</f>
        <v>貓狗企鵝</v>
      </c>
      <c r="J2368" t="str">
        <f>IFERROR(__xludf.DUMMYFUNCTION("IFS(
  AND(REGEXMATCH(E2368, ""台銀籌備帳戶|玉山帳戶""), REGEXMATCH(C2368, ""薪資"")), ""分潤支出"",
  AND(REGEXMATCH(E2368, ""Ben帳戶|Elsa帳戶|Ben代墊|Ariel代墊|中信銀行共用""), REGEXMATCH(F2368, ""Ben帳戶|Elsa帳戶|Ben代墊|Ariel代墊|中信銀行共用"")), ""內部轉帳(忽略)"",
  AND(E2368&lt;&gt;"""", F2368&lt;&gt;"""", N"&amp;"OT(REGEXMATCH(C2368, ""薪資""))), ""內部轉帳(忽略)"",
  REGEXMATCH(C2368, ""薪資""), ""薪資變動(不計入)"",
  REGEXMATCH(C2368, ""押金""), ""押金往來"",
  AND(E2368&lt;&gt;"""", F2368=""""), ""真實支出"",
  AND(E2368="""", F2368&lt;&gt;""""), ""真實收入"",
  TRUE, ""其他""
)"),"真實收入")</f>
        <v>真實收入</v>
      </c>
      <c r="K2368" s="270">
        <f t="shared" si="2"/>
        <v>10800</v>
      </c>
      <c r="L2368">
        <f t="shared" si="3"/>
        <v>0</v>
      </c>
    </row>
    <row r="2369">
      <c r="A2369" s="107">
        <f>IFERROR(__xludf.DUMMYFUNCTION("""COMPUTED_VALUE"""),45870.0)</f>
        <v>45870</v>
      </c>
      <c r="B2369" t="str">
        <f>IFERROR(__xludf.DUMMYFUNCTION("""COMPUTED_VALUE"""),"[中山北Feli家] A [蔡亦翔] 月租金 (行號: 69)")</f>
        <v>[中山北Feli家] A [蔡亦翔] 月租金 (行號: 69)</v>
      </c>
      <c r="C2369" t="str">
        <f>IFERROR(__xludf.DUMMYFUNCTION("""COMPUTED_VALUE"""),"收入 - 租金")</f>
        <v>收入 - 租金</v>
      </c>
      <c r="D2369" s="270">
        <f>IFERROR(__xludf.DUMMYFUNCTION("""COMPUTED_VALUE"""),13200.0)</f>
        <v>13200</v>
      </c>
      <c r="F2369" t="str">
        <f>IFERROR(__xludf.DUMMYFUNCTION("""COMPUTED_VALUE"""),"台銀籌備帳戶")</f>
        <v>台銀籌備帳戶</v>
      </c>
      <c r="G2369" t="str">
        <f>IFERROR(__xludf.DUMMYFUNCTION("""COMPUTED_VALUE"""),"中山北Feli家")</f>
        <v>中山北Feli家</v>
      </c>
      <c r="H2369" s="106" t="str">
        <f t="shared" si="1"/>
        <v>2025-08</v>
      </c>
      <c r="I2369" s="271" t="str">
        <f>IFERROR(__xludf.DUMMYFUNCTION("""COMPUTED_VALUE"""),"貓狗企鵝")</f>
        <v>貓狗企鵝</v>
      </c>
      <c r="J2369" t="str">
        <f>IFERROR(__xludf.DUMMYFUNCTION("IFS(
  AND(REGEXMATCH(E2369, ""台銀籌備帳戶|玉山帳戶""), REGEXMATCH(C2369, ""薪資"")), ""分潤支出"",
  AND(REGEXMATCH(E2369, ""Ben帳戶|Elsa帳戶|Ben代墊|Ariel代墊|中信銀行共用""), REGEXMATCH(F2369, ""Ben帳戶|Elsa帳戶|Ben代墊|Ariel代墊|中信銀行共用"")), ""內部轉帳(忽略)"",
  AND(E2369&lt;&gt;"""", F2369&lt;&gt;"""", N"&amp;"OT(REGEXMATCH(C2369, ""薪資""))), ""內部轉帳(忽略)"",
  REGEXMATCH(C2369, ""薪資""), ""薪資變動(不計入)"",
  REGEXMATCH(C2369, ""押金""), ""押金往來"",
  AND(E2369&lt;&gt;"""", F2369=""""), ""真實支出"",
  AND(E2369="""", F2369&lt;&gt;""""), ""真實收入"",
  TRUE, ""其他""
)"),"真實收入")</f>
        <v>真實收入</v>
      </c>
      <c r="K2369" s="270">
        <f t="shared" si="2"/>
        <v>13200</v>
      </c>
      <c r="L2369">
        <f t="shared" si="3"/>
        <v>0</v>
      </c>
    </row>
    <row r="2370">
      <c r="A2370" s="107">
        <f>IFERROR(__xludf.DUMMYFUNCTION("""COMPUTED_VALUE"""),45870.0)</f>
        <v>45870</v>
      </c>
      <c r="B2370" t="str">
        <f>IFERROR(__xludf.DUMMYFUNCTION("""COMPUTED_VALUE"""),"[中山北娘家旁] D [洪琦媜] 月租金 (行號: 70)")</f>
        <v>[中山北娘家旁] D [洪琦媜] 月租金 (行號: 70)</v>
      </c>
      <c r="C2370" t="str">
        <f>IFERROR(__xludf.DUMMYFUNCTION("""COMPUTED_VALUE"""),"收入 - 租金")</f>
        <v>收入 - 租金</v>
      </c>
      <c r="D2370" s="270">
        <f>IFERROR(__xludf.DUMMYFUNCTION("""COMPUTED_VALUE"""),14500.0)</f>
        <v>14500</v>
      </c>
      <c r="F2370" t="str">
        <f>IFERROR(__xludf.DUMMYFUNCTION("""COMPUTED_VALUE"""),"台銀籌備帳戶")</f>
        <v>台銀籌備帳戶</v>
      </c>
      <c r="G2370" t="str">
        <f>IFERROR(__xludf.DUMMYFUNCTION("""COMPUTED_VALUE"""),"中山北娘家旁")</f>
        <v>中山北娘家旁</v>
      </c>
      <c r="H2370" s="106" t="str">
        <f t="shared" si="1"/>
        <v>2025-08</v>
      </c>
      <c r="I2370" s="271" t="str">
        <f>IFERROR(__xludf.DUMMYFUNCTION("""COMPUTED_VALUE"""),"貓狗企鵝")</f>
        <v>貓狗企鵝</v>
      </c>
      <c r="J2370" t="str">
        <f>IFERROR(__xludf.DUMMYFUNCTION("IFS(
  AND(REGEXMATCH(E2370, ""台銀籌備帳戶|玉山帳戶""), REGEXMATCH(C2370, ""薪資"")), ""分潤支出"",
  AND(REGEXMATCH(E2370, ""Ben帳戶|Elsa帳戶|Ben代墊|Ariel代墊|中信銀行共用""), REGEXMATCH(F2370, ""Ben帳戶|Elsa帳戶|Ben代墊|Ariel代墊|中信銀行共用"")), ""內部轉帳(忽略)"",
  AND(E2370&lt;&gt;"""", F2370&lt;&gt;"""", N"&amp;"OT(REGEXMATCH(C2370, ""薪資""))), ""內部轉帳(忽略)"",
  REGEXMATCH(C2370, ""薪資""), ""薪資變動(不計入)"",
  REGEXMATCH(C2370, ""押金""), ""押金往來"",
  AND(E2370&lt;&gt;"""", F2370=""""), ""真實支出"",
  AND(E2370="""", F2370&lt;&gt;""""), ""真實收入"",
  TRUE, ""其他""
)"),"真實收入")</f>
        <v>真實收入</v>
      </c>
      <c r="K2370" s="270">
        <f t="shared" si="2"/>
        <v>14500</v>
      </c>
      <c r="L2370">
        <f t="shared" si="3"/>
        <v>0</v>
      </c>
    </row>
    <row r="2371">
      <c r="A2371" s="107">
        <f>IFERROR(__xludf.DUMMYFUNCTION("""COMPUTED_VALUE"""),45870.0)</f>
        <v>45870</v>
      </c>
      <c r="B2371" t="str">
        <f>IFERROR(__xludf.DUMMYFUNCTION("""COMPUTED_VALUE"""),"[中山北娘家旁] B [李彥靜] 月租金 (行號: 71)")</f>
        <v>[中山北娘家旁] B [李彥靜] 月租金 (行號: 71)</v>
      </c>
      <c r="C2371" t="str">
        <f>IFERROR(__xludf.DUMMYFUNCTION("""COMPUTED_VALUE"""),"收入 - 租金")</f>
        <v>收入 - 租金</v>
      </c>
      <c r="D2371" s="270">
        <f>IFERROR(__xludf.DUMMYFUNCTION("""COMPUTED_VALUE"""),12500.0)</f>
        <v>12500</v>
      </c>
      <c r="F2371" t="str">
        <f>IFERROR(__xludf.DUMMYFUNCTION("""COMPUTED_VALUE"""),"台銀籌備帳戶")</f>
        <v>台銀籌備帳戶</v>
      </c>
      <c r="G2371" t="str">
        <f>IFERROR(__xludf.DUMMYFUNCTION("""COMPUTED_VALUE"""),"中山北娘家旁")</f>
        <v>中山北娘家旁</v>
      </c>
      <c r="H2371" s="106" t="str">
        <f t="shared" si="1"/>
        <v>2025-08</v>
      </c>
      <c r="I2371" s="271" t="str">
        <f>IFERROR(__xludf.DUMMYFUNCTION("""COMPUTED_VALUE"""),"貓狗企鵝")</f>
        <v>貓狗企鵝</v>
      </c>
      <c r="J2371" t="str">
        <f>IFERROR(__xludf.DUMMYFUNCTION("IFS(
  AND(REGEXMATCH(E2371, ""台銀籌備帳戶|玉山帳戶""), REGEXMATCH(C2371, ""薪資"")), ""分潤支出"",
  AND(REGEXMATCH(E2371, ""Ben帳戶|Elsa帳戶|Ben代墊|Ariel代墊|中信銀行共用""), REGEXMATCH(F2371, ""Ben帳戶|Elsa帳戶|Ben代墊|Ariel代墊|中信銀行共用"")), ""內部轉帳(忽略)"",
  AND(E2371&lt;&gt;"""", F2371&lt;&gt;"""", N"&amp;"OT(REGEXMATCH(C2371, ""薪資""))), ""內部轉帳(忽略)"",
  REGEXMATCH(C2371, ""薪資""), ""薪資變動(不計入)"",
  REGEXMATCH(C2371, ""押金""), ""押金往來"",
  AND(E2371&lt;&gt;"""", F2371=""""), ""真實支出"",
  AND(E2371="""", F2371&lt;&gt;""""), ""真實收入"",
  TRUE, ""其他""
)"),"真實收入")</f>
        <v>真實收入</v>
      </c>
      <c r="K2371" s="270">
        <f t="shared" si="2"/>
        <v>12500</v>
      </c>
      <c r="L2371">
        <f t="shared" si="3"/>
        <v>0</v>
      </c>
    </row>
    <row r="2372">
      <c r="A2372" s="107">
        <f>IFERROR(__xludf.DUMMYFUNCTION("""COMPUTED_VALUE"""),45870.0)</f>
        <v>45870</v>
      </c>
      <c r="B2372" t="str">
        <f>IFERROR(__xludf.DUMMYFUNCTION("""COMPUTED_VALUE"""),"[北醫醫師府] D [吳宥辰] 月租金 (行號: 72)")</f>
        <v>[北醫醫師府] D [吳宥辰] 月租金 (行號: 72)</v>
      </c>
      <c r="C2372" t="str">
        <f>IFERROR(__xludf.DUMMYFUNCTION("""COMPUTED_VALUE"""),"收入 - 租金")</f>
        <v>收入 - 租金</v>
      </c>
      <c r="D2372" s="270">
        <f>IFERROR(__xludf.DUMMYFUNCTION("""COMPUTED_VALUE"""),12000.0)</f>
        <v>12000</v>
      </c>
      <c r="F2372" t="str">
        <f>IFERROR(__xludf.DUMMYFUNCTION("""COMPUTED_VALUE"""),"台銀籌備帳戶")</f>
        <v>台銀籌備帳戶</v>
      </c>
      <c r="G2372" t="str">
        <f>IFERROR(__xludf.DUMMYFUNCTION("""COMPUTED_VALUE"""),"北醫醫師府")</f>
        <v>北醫醫師府</v>
      </c>
      <c r="H2372" s="106" t="str">
        <f t="shared" si="1"/>
        <v>2025-08</v>
      </c>
      <c r="I2372" s="271" t="str">
        <f>IFERROR(__xludf.DUMMYFUNCTION("""COMPUTED_VALUE"""),"貓狗企鵝")</f>
        <v>貓狗企鵝</v>
      </c>
      <c r="J2372" t="str">
        <f>IFERROR(__xludf.DUMMYFUNCTION("IFS(
  AND(REGEXMATCH(E2372, ""台銀籌備帳戶|玉山帳戶""), REGEXMATCH(C2372, ""薪資"")), ""分潤支出"",
  AND(REGEXMATCH(E2372, ""Ben帳戶|Elsa帳戶|Ben代墊|Ariel代墊|中信銀行共用""), REGEXMATCH(F2372, ""Ben帳戶|Elsa帳戶|Ben代墊|Ariel代墊|中信銀行共用"")), ""內部轉帳(忽略)"",
  AND(E2372&lt;&gt;"""", F2372&lt;&gt;"""", N"&amp;"OT(REGEXMATCH(C2372, ""薪資""))), ""內部轉帳(忽略)"",
  REGEXMATCH(C2372, ""薪資""), ""薪資變動(不計入)"",
  REGEXMATCH(C2372, ""押金""), ""押金往來"",
  AND(E2372&lt;&gt;"""", F2372=""""), ""真實支出"",
  AND(E2372="""", F2372&lt;&gt;""""), ""真實收入"",
  TRUE, ""其他""
)"),"真實收入")</f>
        <v>真實收入</v>
      </c>
      <c r="K2372" s="270">
        <f t="shared" si="2"/>
        <v>12000</v>
      </c>
      <c r="L2372">
        <f t="shared" si="3"/>
        <v>0</v>
      </c>
    </row>
    <row r="2373">
      <c r="A2373" s="107">
        <f>IFERROR(__xludf.DUMMYFUNCTION("""COMPUTED_VALUE"""),45870.0)</f>
        <v>45870</v>
      </c>
      <c r="B2373" t="str">
        <f>IFERROR(__xludf.DUMMYFUNCTION("""COMPUTED_VALUE"""),"[大湖山莊] E [吳宗祐] 月租金 (行號: 73)")</f>
        <v>[大湖山莊] E [吳宗祐] 月租金 (行號: 73)</v>
      </c>
      <c r="C2373" t="str">
        <f>IFERROR(__xludf.DUMMYFUNCTION("""COMPUTED_VALUE"""),"收入 - 租金")</f>
        <v>收入 - 租金</v>
      </c>
      <c r="D2373" s="270">
        <f>IFERROR(__xludf.DUMMYFUNCTION("""COMPUTED_VALUE"""),11500.0)</f>
        <v>11500</v>
      </c>
      <c r="F2373" t="str">
        <f>IFERROR(__xludf.DUMMYFUNCTION("""COMPUTED_VALUE"""),"台銀籌備帳戶")</f>
        <v>台銀籌備帳戶</v>
      </c>
      <c r="G2373" t="str">
        <f>IFERROR(__xludf.DUMMYFUNCTION("""COMPUTED_VALUE"""),"大湖山莊")</f>
        <v>大湖山莊</v>
      </c>
      <c r="H2373" s="106" t="str">
        <f t="shared" si="1"/>
        <v>2025-08</v>
      </c>
      <c r="I2373" s="271" t="str">
        <f>IFERROR(__xludf.DUMMYFUNCTION("""COMPUTED_VALUE"""),"貓狗企鵝")</f>
        <v>貓狗企鵝</v>
      </c>
      <c r="J2373" t="str">
        <f>IFERROR(__xludf.DUMMYFUNCTION("IFS(
  AND(REGEXMATCH(E2373, ""台銀籌備帳戶|玉山帳戶""), REGEXMATCH(C2373, ""薪資"")), ""分潤支出"",
  AND(REGEXMATCH(E2373, ""Ben帳戶|Elsa帳戶|Ben代墊|Ariel代墊|中信銀行共用""), REGEXMATCH(F2373, ""Ben帳戶|Elsa帳戶|Ben代墊|Ariel代墊|中信銀行共用"")), ""內部轉帳(忽略)"",
  AND(E2373&lt;&gt;"""", F2373&lt;&gt;"""", N"&amp;"OT(REGEXMATCH(C2373, ""薪資""))), ""內部轉帳(忽略)"",
  REGEXMATCH(C2373, ""薪資""), ""薪資變動(不計入)"",
  REGEXMATCH(C2373, ""押金""), ""押金往來"",
  AND(E2373&lt;&gt;"""", F2373=""""), ""真實支出"",
  AND(E2373="""", F2373&lt;&gt;""""), ""真實收入"",
  TRUE, ""其他""
)"),"真實收入")</f>
        <v>真實收入</v>
      </c>
      <c r="K2373" s="270">
        <f t="shared" si="2"/>
        <v>11500</v>
      </c>
      <c r="L2373">
        <f t="shared" si="3"/>
        <v>0</v>
      </c>
    </row>
    <row r="2374">
      <c r="A2374" s="107">
        <f>IFERROR(__xludf.DUMMYFUNCTION("""COMPUTED_VALUE"""),45870.0)</f>
        <v>45870</v>
      </c>
      <c r="B2374" t="str">
        <f>IFERROR(__xludf.DUMMYFUNCTION("""COMPUTED_VALUE"""),"[中山北Feli家] B [杜思瑀, 陳廷瀀] 月租金 (行號: 74, 78)")</f>
        <v>[中山北Feli家] B [杜思瑀, 陳廷瀀] 月租金 (行號: 74, 78)</v>
      </c>
      <c r="C2374" t="str">
        <f>IFERROR(__xludf.DUMMYFUNCTION("""COMPUTED_VALUE"""),"收入 - 租金")</f>
        <v>收入 - 租金</v>
      </c>
      <c r="D2374" s="270">
        <f>IFERROR(__xludf.DUMMYFUNCTION("""COMPUTED_VALUE"""),17500.0)</f>
        <v>17500</v>
      </c>
      <c r="F2374" t="str">
        <f>IFERROR(__xludf.DUMMYFUNCTION("""COMPUTED_VALUE"""),"台銀籌備帳戶")</f>
        <v>台銀籌備帳戶</v>
      </c>
      <c r="G2374" t="str">
        <f>IFERROR(__xludf.DUMMYFUNCTION("""COMPUTED_VALUE"""),"中山北Feli家")</f>
        <v>中山北Feli家</v>
      </c>
      <c r="H2374" s="106" t="str">
        <f t="shared" si="1"/>
        <v>2025-08</v>
      </c>
      <c r="I2374" s="271" t="str">
        <f>IFERROR(__xludf.DUMMYFUNCTION("""COMPUTED_VALUE"""),"貓狗企鵝")</f>
        <v>貓狗企鵝</v>
      </c>
      <c r="J2374" t="str">
        <f>IFERROR(__xludf.DUMMYFUNCTION("IFS(
  AND(REGEXMATCH(E2374, ""台銀籌備帳戶|玉山帳戶""), REGEXMATCH(C2374, ""薪資"")), ""分潤支出"",
  AND(REGEXMATCH(E2374, ""Ben帳戶|Elsa帳戶|Ben代墊|Ariel代墊|中信銀行共用""), REGEXMATCH(F2374, ""Ben帳戶|Elsa帳戶|Ben代墊|Ariel代墊|中信銀行共用"")), ""內部轉帳(忽略)"",
  AND(E2374&lt;&gt;"""", F2374&lt;&gt;"""", N"&amp;"OT(REGEXMATCH(C2374, ""薪資""))), ""內部轉帳(忽略)"",
  REGEXMATCH(C2374, ""薪資""), ""薪資變動(不計入)"",
  REGEXMATCH(C2374, ""押金""), ""押金往來"",
  AND(E2374&lt;&gt;"""", F2374=""""), ""真實支出"",
  AND(E2374="""", F2374&lt;&gt;""""), ""真實收入"",
  TRUE, ""其他""
)"),"真實收入")</f>
        <v>真實收入</v>
      </c>
      <c r="K2374" s="270">
        <f t="shared" si="2"/>
        <v>17500</v>
      </c>
      <c r="L2374">
        <f t="shared" si="3"/>
        <v>0</v>
      </c>
    </row>
    <row r="2375">
      <c r="A2375" s="107">
        <f>IFERROR(__xludf.DUMMYFUNCTION("""COMPUTED_VALUE"""),45870.0)</f>
        <v>45870</v>
      </c>
      <c r="B2375" t="str">
        <f>IFERROR(__xludf.DUMMYFUNCTION("""COMPUTED_VALUE"""),"[大湖山莊] D [陳昭瑄] 月租金 (行號: 75)")</f>
        <v>[大湖山莊] D [陳昭瑄] 月租金 (行號: 75)</v>
      </c>
      <c r="C2375" t="str">
        <f>IFERROR(__xludf.DUMMYFUNCTION("""COMPUTED_VALUE"""),"收入 - 租金")</f>
        <v>收入 - 租金</v>
      </c>
      <c r="D2375" s="270">
        <f>IFERROR(__xludf.DUMMYFUNCTION("""COMPUTED_VALUE"""),14300.0)</f>
        <v>14300</v>
      </c>
      <c r="F2375" t="str">
        <f>IFERROR(__xludf.DUMMYFUNCTION("""COMPUTED_VALUE"""),"台銀籌備帳戶")</f>
        <v>台銀籌備帳戶</v>
      </c>
      <c r="G2375" t="str">
        <f>IFERROR(__xludf.DUMMYFUNCTION("""COMPUTED_VALUE"""),"大湖山莊")</f>
        <v>大湖山莊</v>
      </c>
      <c r="H2375" s="106" t="str">
        <f t="shared" si="1"/>
        <v>2025-08</v>
      </c>
      <c r="I2375" s="271" t="str">
        <f>IFERROR(__xludf.DUMMYFUNCTION("""COMPUTED_VALUE"""),"貓狗企鵝")</f>
        <v>貓狗企鵝</v>
      </c>
      <c r="J2375" t="str">
        <f>IFERROR(__xludf.DUMMYFUNCTION("IFS(
  AND(REGEXMATCH(E2375, ""台銀籌備帳戶|玉山帳戶""), REGEXMATCH(C2375, ""薪資"")), ""分潤支出"",
  AND(REGEXMATCH(E2375, ""Ben帳戶|Elsa帳戶|Ben代墊|Ariel代墊|中信銀行共用""), REGEXMATCH(F2375, ""Ben帳戶|Elsa帳戶|Ben代墊|Ariel代墊|中信銀行共用"")), ""內部轉帳(忽略)"",
  AND(E2375&lt;&gt;"""", F2375&lt;&gt;"""", N"&amp;"OT(REGEXMATCH(C2375, ""薪資""))), ""內部轉帳(忽略)"",
  REGEXMATCH(C2375, ""薪資""), ""薪資變動(不計入)"",
  REGEXMATCH(C2375, ""押金""), ""押金往來"",
  AND(E2375&lt;&gt;"""", F2375=""""), ""真實支出"",
  AND(E2375="""", F2375&lt;&gt;""""), ""真實收入"",
  TRUE, ""其他""
)"),"真實收入")</f>
        <v>真實收入</v>
      </c>
      <c r="K2375" s="270">
        <f t="shared" si="2"/>
        <v>14300</v>
      </c>
      <c r="L2375">
        <f t="shared" si="3"/>
        <v>0</v>
      </c>
    </row>
    <row r="2376">
      <c r="A2376" s="107">
        <f>IFERROR(__xludf.DUMMYFUNCTION("""COMPUTED_VALUE"""),45870.0)</f>
        <v>45870</v>
      </c>
      <c r="B2376" t="str">
        <f>IFERROR(__xludf.DUMMYFUNCTION("""COMPUTED_VALUE"""),"[哈拉對面] A [何丞翊] 月租金 (行號: 76)")</f>
        <v>[哈拉對面] A [何丞翊] 月租金 (行號: 76)</v>
      </c>
      <c r="C2376" t="str">
        <f>IFERROR(__xludf.DUMMYFUNCTION("""COMPUTED_VALUE"""),"收入 - 租金")</f>
        <v>收入 - 租金</v>
      </c>
      <c r="D2376" s="270">
        <f>IFERROR(__xludf.DUMMYFUNCTION("""COMPUTED_VALUE"""),11000.0)</f>
        <v>11000</v>
      </c>
      <c r="F2376" t="str">
        <f>IFERROR(__xludf.DUMMYFUNCTION("""COMPUTED_VALUE"""),"台銀籌備帳戶")</f>
        <v>台銀籌備帳戶</v>
      </c>
      <c r="G2376" t="str">
        <f>IFERROR(__xludf.DUMMYFUNCTION("""COMPUTED_VALUE"""),"哈拉對面")</f>
        <v>哈拉對面</v>
      </c>
      <c r="H2376" s="106" t="str">
        <f t="shared" si="1"/>
        <v>2025-08</v>
      </c>
      <c r="I2376" s="271" t="str">
        <f>IFERROR(__xludf.DUMMYFUNCTION("""COMPUTED_VALUE"""),"貓狗企鵝")</f>
        <v>貓狗企鵝</v>
      </c>
      <c r="J2376" t="str">
        <f>IFERROR(__xludf.DUMMYFUNCTION("IFS(
  AND(REGEXMATCH(E2376, ""台銀籌備帳戶|玉山帳戶""), REGEXMATCH(C2376, ""薪資"")), ""分潤支出"",
  AND(REGEXMATCH(E2376, ""Ben帳戶|Elsa帳戶|Ben代墊|Ariel代墊|中信銀行共用""), REGEXMATCH(F2376, ""Ben帳戶|Elsa帳戶|Ben代墊|Ariel代墊|中信銀行共用"")), ""內部轉帳(忽略)"",
  AND(E2376&lt;&gt;"""", F2376&lt;&gt;"""", N"&amp;"OT(REGEXMATCH(C2376, ""薪資""))), ""內部轉帳(忽略)"",
  REGEXMATCH(C2376, ""薪資""), ""薪資變動(不計入)"",
  REGEXMATCH(C2376, ""押金""), ""押金往來"",
  AND(E2376&lt;&gt;"""", F2376=""""), ""真實支出"",
  AND(E2376="""", F2376&lt;&gt;""""), ""真實收入"",
  TRUE, ""其他""
)"),"真實收入")</f>
        <v>真實收入</v>
      </c>
      <c r="K2376" s="270">
        <f t="shared" si="2"/>
        <v>11000</v>
      </c>
      <c r="L2376">
        <f t="shared" si="3"/>
        <v>0</v>
      </c>
    </row>
    <row r="2377">
      <c r="A2377" s="107">
        <f>IFERROR(__xludf.DUMMYFUNCTION("""COMPUTED_VALUE"""),45870.0)</f>
        <v>45870</v>
      </c>
      <c r="B2377" t="str">
        <f>IFERROR(__xludf.DUMMYFUNCTION("""COMPUTED_VALUE""")," [龍江229] E [李侑霖] (行號: 77)")</f>
        <v> [龍江229] E [李侑霖] (行號: 77)</v>
      </c>
      <c r="C2377" t="str">
        <f>IFERROR(__xludf.DUMMYFUNCTION("""COMPUTED_VALUE"""),"收入 - 租金")</f>
        <v>收入 - 租金</v>
      </c>
      <c r="D2377" s="270">
        <f>IFERROR(__xludf.DUMMYFUNCTION("""COMPUTED_VALUE"""),12500.0)</f>
        <v>12500</v>
      </c>
      <c r="F2377" t="str">
        <f>IFERROR(__xludf.DUMMYFUNCTION("""COMPUTED_VALUE"""),"台銀籌備帳戶")</f>
        <v>台銀籌備帳戶</v>
      </c>
      <c r="G2377" t="str">
        <f>IFERROR(__xludf.DUMMYFUNCTION("""COMPUTED_VALUE"""),"龍江229")</f>
        <v>龍江229</v>
      </c>
      <c r="H2377" s="106" t="str">
        <f t="shared" si="1"/>
        <v>2025-08</v>
      </c>
      <c r="I2377" s="271" t="str">
        <f>IFERROR(__xludf.DUMMYFUNCTION("""COMPUTED_VALUE"""),"貓狗企鵝")</f>
        <v>貓狗企鵝</v>
      </c>
      <c r="J2377" t="str">
        <f>IFERROR(__xludf.DUMMYFUNCTION("IFS(
  AND(REGEXMATCH(E2377, ""台銀籌備帳戶|玉山帳戶""), REGEXMATCH(C2377, ""薪資"")), ""分潤支出"",
  AND(REGEXMATCH(E2377, ""Ben帳戶|Elsa帳戶|Ben代墊|Ariel代墊|中信銀行共用""), REGEXMATCH(F2377, ""Ben帳戶|Elsa帳戶|Ben代墊|Ariel代墊|中信銀行共用"")), ""內部轉帳(忽略)"",
  AND(E2377&lt;&gt;"""", F2377&lt;&gt;"""", N"&amp;"OT(REGEXMATCH(C2377, ""薪資""))), ""內部轉帳(忽略)"",
  REGEXMATCH(C2377, ""薪資""), ""薪資變動(不計入)"",
  REGEXMATCH(C2377, ""押金""), ""押金往來"",
  AND(E2377&lt;&gt;"""", F2377=""""), ""真實支出"",
  AND(E2377="""", F2377&lt;&gt;""""), ""真實收入"",
  TRUE, ""其他""
)"),"真實收入")</f>
        <v>真實收入</v>
      </c>
      <c r="K2377" s="270">
        <f t="shared" si="2"/>
        <v>12500</v>
      </c>
      <c r="L2377">
        <f t="shared" si="3"/>
        <v>0</v>
      </c>
    </row>
    <row r="2378">
      <c r="A2378" s="107">
        <f>IFERROR(__xludf.DUMMYFUNCTION("""COMPUTED_VALUE"""),45870.0)</f>
        <v>45870</v>
      </c>
      <c r="B2378" t="str">
        <f>IFERROR(__xludf.DUMMYFUNCTION("""COMPUTED_VALUE"""),"[南港站挑高宅] D [吳城慕] 月租金 (行號: 79)")</f>
        <v>[南港站挑高宅] D [吳城慕] 月租金 (行號: 79)</v>
      </c>
      <c r="C2378" t="str">
        <f>IFERROR(__xludf.DUMMYFUNCTION("""COMPUTED_VALUE"""),"收入 - 租金")</f>
        <v>收入 - 租金</v>
      </c>
      <c r="D2378" s="270">
        <f>IFERROR(__xludf.DUMMYFUNCTION("""COMPUTED_VALUE"""),14300.0)</f>
        <v>14300</v>
      </c>
      <c r="F2378" t="str">
        <f>IFERROR(__xludf.DUMMYFUNCTION("""COMPUTED_VALUE"""),"台銀籌備帳戶")</f>
        <v>台銀籌備帳戶</v>
      </c>
      <c r="G2378" t="str">
        <f>IFERROR(__xludf.DUMMYFUNCTION("""COMPUTED_VALUE"""),"南港站挑高宅")</f>
        <v>南港站挑高宅</v>
      </c>
      <c r="H2378" s="106" t="str">
        <f t="shared" si="1"/>
        <v>2025-08</v>
      </c>
      <c r="I2378" s="271" t="str">
        <f>IFERROR(__xludf.DUMMYFUNCTION("""COMPUTED_VALUE"""),"貓狗企鵝")</f>
        <v>貓狗企鵝</v>
      </c>
      <c r="J2378" t="str">
        <f>IFERROR(__xludf.DUMMYFUNCTION("IFS(
  AND(REGEXMATCH(E2378, ""台銀籌備帳戶|玉山帳戶""), REGEXMATCH(C2378, ""薪資"")), ""分潤支出"",
  AND(REGEXMATCH(E2378, ""Ben帳戶|Elsa帳戶|Ben代墊|Ariel代墊|中信銀行共用""), REGEXMATCH(F2378, ""Ben帳戶|Elsa帳戶|Ben代墊|Ariel代墊|中信銀行共用"")), ""內部轉帳(忽略)"",
  AND(E2378&lt;&gt;"""", F2378&lt;&gt;"""", N"&amp;"OT(REGEXMATCH(C2378, ""薪資""))), ""內部轉帳(忽略)"",
  REGEXMATCH(C2378, ""薪資""), ""薪資變動(不計入)"",
  REGEXMATCH(C2378, ""押金""), ""押金往來"",
  AND(E2378&lt;&gt;"""", F2378=""""), ""真實支出"",
  AND(E2378="""", F2378&lt;&gt;""""), ""真實收入"",
  TRUE, ""其他""
)"),"真實收入")</f>
        <v>真實收入</v>
      </c>
      <c r="K2378" s="270">
        <f t="shared" si="2"/>
        <v>14300</v>
      </c>
      <c r="L2378">
        <f t="shared" si="3"/>
        <v>0</v>
      </c>
    </row>
    <row r="2379">
      <c r="A2379" s="107">
        <f>IFERROR(__xludf.DUMMYFUNCTION("""COMPUTED_VALUE"""),45870.0)</f>
        <v>45870</v>
      </c>
      <c r="B2379" t="str">
        <f>IFERROR(__xludf.DUMMYFUNCTION("""COMPUTED_VALUE"""),"[中山北娘家旁] A [李亨加] 月租金 (行號: 80, 81)")</f>
        <v>[中山北娘家旁] A [李亨加] 月租金 (行號: 80, 81)</v>
      </c>
      <c r="C2379" t="str">
        <f>IFERROR(__xludf.DUMMYFUNCTION("""COMPUTED_VALUE"""),"收入 - 租金")</f>
        <v>收入 - 租金</v>
      </c>
      <c r="D2379" s="270">
        <f>IFERROR(__xludf.DUMMYFUNCTION("""COMPUTED_VALUE"""),12500.0)</f>
        <v>12500</v>
      </c>
      <c r="F2379" t="str">
        <f>IFERROR(__xludf.DUMMYFUNCTION("""COMPUTED_VALUE"""),"台銀籌備帳戶")</f>
        <v>台銀籌備帳戶</v>
      </c>
      <c r="G2379" t="str">
        <f>IFERROR(__xludf.DUMMYFUNCTION("""COMPUTED_VALUE"""),"中山北娘家旁")</f>
        <v>中山北娘家旁</v>
      </c>
      <c r="H2379" s="106" t="str">
        <f t="shared" si="1"/>
        <v>2025-08</v>
      </c>
      <c r="I2379" s="271" t="str">
        <f>IFERROR(__xludf.DUMMYFUNCTION("""COMPUTED_VALUE"""),"貓狗企鵝")</f>
        <v>貓狗企鵝</v>
      </c>
      <c r="J2379" t="str">
        <f>IFERROR(__xludf.DUMMYFUNCTION("IFS(
  AND(REGEXMATCH(E2379, ""台銀籌備帳戶|玉山帳戶""), REGEXMATCH(C2379, ""薪資"")), ""分潤支出"",
  AND(REGEXMATCH(E2379, ""Ben帳戶|Elsa帳戶|Ben代墊|Ariel代墊|中信銀行共用""), REGEXMATCH(F2379, ""Ben帳戶|Elsa帳戶|Ben代墊|Ariel代墊|中信銀行共用"")), ""內部轉帳(忽略)"",
  AND(E2379&lt;&gt;"""", F2379&lt;&gt;"""", N"&amp;"OT(REGEXMATCH(C2379, ""薪資""))), ""內部轉帳(忽略)"",
  REGEXMATCH(C2379, ""薪資""), ""薪資變動(不計入)"",
  REGEXMATCH(C2379, ""押金""), ""押金往來"",
  AND(E2379&lt;&gt;"""", F2379=""""), ""真實支出"",
  AND(E2379="""", F2379&lt;&gt;""""), ""真實收入"",
  TRUE, ""其他""
)"),"真實收入")</f>
        <v>真實收入</v>
      </c>
      <c r="K2379" s="270">
        <f t="shared" si="2"/>
        <v>12500</v>
      </c>
      <c r="L2379">
        <f t="shared" si="3"/>
        <v>0</v>
      </c>
    </row>
    <row r="2380">
      <c r="A2380" s="107">
        <f>IFERROR(__xludf.DUMMYFUNCTION("""COMPUTED_VALUE"""),45870.0)</f>
        <v>45870</v>
      </c>
      <c r="B2380" t="str">
        <f>IFERROR(__xludf.DUMMYFUNCTION("""COMPUTED_VALUE"""),"[龍江229] C [馬義鈞] 月租金 (行號: 83)")</f>
        <v>[龍江229] C [馬義鈞] 月租金 (行號: 83)</v>
      </c>
      <c r="C2380" t="str">
        <f>IFERROR(__xludf.DUMMYFUNCTION("""COMPUTED_VALUE"""),"收入 - 租金")</f>
        <v>收入 - 租金</v>
      </c>
      <c r="D2380" s="270">
        <f>IFERROR(__xludf.DUMMYFUNCTION("""COMPUTED_VALUE"""),18500.0)</f>
        <v>18500</v>
      </c>
      <c r="F2380" t="str">
        <f>IFERROR(__xludf.DUMMYFUNCTION("""COMPUTED_VALUE"""),"台銀籌備帳戶")</f>
        <v>台銀籌備帳戶</v>
      </c>
      <c r="G2380" t="str">
        <f>IFERROR(__xludf.DUMMYFUNCTION("""COMPUTED_VALUE"""),"龍江229")</f>
        <v>龍江229</v>
      </c>
      <c r="H2380" s="106" t="str">
        <f t="shared" si="1"/>
        <v>2025-08</v>
      </c>
      <c r="I2380" s="271" t="str">
        <f>IFERROR(__xludf.DUMMYFUNCTION("""COMPUTED_VALUE"""),"貓狗企鵝")</f>
        <v>貓狗企鵝</v>
      </c>
      <c r="J2380" t="str">
        <f>IFERROR(__xludf.DUMMYFUNCTION("IFS(
  AND(REGEXMATCH(E2380, ""台銀籌備帳戶|玉山帳戶""), REGEXMATCH(C2380, ""薪資"")), ""分潤支出"",
  AND(REGEXMATCH(E2380, ""Ben帳戶|Elsa帳戶|Ben代墊|Ariel代墊|中信銀行共用""), REGEXMATCH(F2380, ""Ben帳戶|Elsa帳戶|Ben代墊|Ariel代墊|中信銀行共用"")), ""內部轉帳(忽略)"",
  AND(E2380&lt;&gt;"""", F2380&lt;&gt;"""", N"&amp;"OT(REGEXMATCH(C2380, ""薪資""))), ""內部轉帳(忽略)"",
  REGEXMATCH(C2380, ""薪資""), ""薪資變動(不計入)"",
  REGEXMATCH(C2380, ""押金""), ""押金往來"",
  AND(E2380&lt;&gt;"""", F2380=""""), ""真實支出"",
  AND(E2380="""", F2380&lt;&gt;""""), ""真實收入"",
  TRUE, ""其他""
)"),"真實收入")</f>
        <v>真實收入</v>
      </c>
      <c r="K2380" s="270">
        <f t="shared" si="2"/>
        <v>18500</v>
      </c>
      <c r="L2380">
        <f t="shared" si="3"/>
        <v>0</v>
      </c>
    </row>
    <row r="2381">
      <c r="A2381" s="107">
        <f>IFERROR(__xludf.DUMMYFUNCTION("""COMPUTED_VALUE"""),45870.0)</f>
        <v>45870</v>
      </c>
      <c r="B2381" t="str">
        <f>IFERROR(__xludf.DUMMYFUNCTION("""COMPUTED_VALUE"""),"[金龍帽子先生] D [林紫婕] 月租金 (行號: 85)")</f>
        <v>[金龍帽子先生] D [林紫婕] 月租金 (行號: 85)</v>
      </c>
      <c r="C2381" t="str">
        <f>IFERROR(__xludf.DUMMYFUNCTION("""COMPUTED_VALUE"""),"收入 - 租金")</f>
        <v>收入 - 租金</v>
      </c>
      <c r="D2381" s="270">
        <f>IFERROR(__xludf.DUMMYFUNCTION("""COMPUTED_VALUE"""),14500.0)</f>
        <v>14500</v>
      </c>
      <c r="F2381" t="str">
        <f>IFERROR(__xludf.DUMMYFUNCTION("""COMPUTED_VALUE"""),"台銀籌備帳戶")</f>
        <v>台銀籌備帳戶</v>
      </c>
      <c r="G2381" t="str">
        <f>IFERROR(__xludf.DUMMYFUNCTION("""COMPUTED_VALUE"""),"金龍帽子先生")</f>
        <v>金龍帽子先生</v>
      </c>
      <c r="H2381" s="106" t="str">
        <f t="shared" si="1"/>
        <v>2025-08</v>
      </c>
      <c r="I2381" s="271" t="str">
        <f>IFERROR(__xludf.DUMMYFUNCTION("""COMPUTED_VALUE"""),"貓狗企鵝")</f>
        <v>貓狗企鵝</v>
      </c>
      <c r="J2381" t="str">
        <f>IFERROR(__xludf.DUMMYFUNCTION("IFS(
  AND(REGEXMATCH(E2381, ""台銀籌備帳戶|玉山帳戶""), REGEXMATCH(C2381, ""薪資"")), ""分潤支出"",
  AND(REGEXMATCH(E2381, ""Ben帳戶|Elsa帳戶|Ben代墊|Ariel代墊|中信銀行共用""), REGEXMATCH(F2381, ""Ben帳戶|Elsa帳戶|Ben代墊|Ariel代墊|中信銀行共用"")), ""內部轉帳(忽略)"",
  AND(E2381&lt;&gt;"""", F2381&lt;&gt;"""", N"&amp;"OT(REGEXMATCH(C2381, ""薪資""))), ""內部轉帳(忽略)"",
  REGEXMATCH(C2381, ""薪資""), ""薪資變動(不計入)"",
  REGEXMATCH(C2381, ""押金""), ""押金往來"",
  AND(E2381&lt;&gt;"""", F2381=""""), ""真實支出"",
  AND(E2381="""", F2381&lt;&gt;""""), ""真實收入"",
  TRUE, ""其他""
)"),"真實收入")</f>
        <v>真實收入</v>
      </c>
      <c r="K2381" s="270">
        <f t="shared" si="2"/>
        <v>14500</v>
      </c>
      <c r="L2381">
        <f t="shared" si="3"/>
        <v>0</v>
      </c>
    </row>
    <row r="2382">
      <c r="A2382" s="107">
        <f>IFERROR(__xludf.DUMMYFUNCTION("""COMPUTED_VALUE"""),45870.0)</f>
        <v>45870</v>
      </c>
      <c r="B2382" t="str">
        <f>IFERROR(__xludf.DUMMYFUNCTION("""COMPUTED_VALUE"""),"[景安2分鐘] D [鍾佩晶] 月租金 (行號: 86)")</f>
        <v>[景安2分鐘] D [鍾佩晶] 月租金 (行號: 86)</v>
      </c>
      <c r="C2382" t="str">
        <f>IFERROR(__xludf.DUMMYFUNCTION("""COMPUTED_VALUE"""),"收入 - 租金")</f>
        <v>收入 - 租金</v>
      </c>
      <c r="D2382" s="270">
        <f>IFERROR(__xludf.DUMMYFUNCTION("""COMPUTED_VALUE"""),8600.0)</f>
        <v>8600</v>
      </c>
      <c r="F2382" t="str">
        <f>IFERROR(__xludf.DUMMYFUNCTION("""COMPUTED_VALUE"""),"台銀籌備帳戶")</f>
        <v>台銀籌備帳戶</v>
      </c>
      <c r="G2382" t="str">
        <f>IFERROR(__xludf.DUMMYFUNCTION("""COMPUTED_VALUE"""),"景安2分鐘")</f>
        <v>景安2分鐘</v>
      </c>
      <c r="H2382" s="106" t="str">
        <f t="shared" si="1"/>
        <v>2025-08</v>
      </c>
      <c r="I2382" s="271" t="str">
        <f>IFERROR(__xludf.DUMMYFUNCTION("""COMPUTED_VALUE"""),"貓狗企鵝")</f>
        <v>貓狗企鵝</v>
      </c>
      <c r="J2382" t="str">
        <f>IFERROR(__xludf.DUMMYFUNCTION("IFS(
  AND(REGEXMATCH(E2382, ""台銀籌備帳戶|玉山帳戶""), REGEXMATCH(C2382, ""薪資"")), ""分潤支出"",
  AND(REGEXMATCH(E2382, ""Ben帳戶|Elsa帳戶|Ben代墊|Ariel代墊|中信銀行共用""), REGEXMATCH(F2382, ""Ben帳戶|Elsa帳戶|Ben代墊|Ariel代墊|中信銀行共用"")), ""內部轉帳(忽略)"",
  AND(E2382&lt;&gt;"""", F2382&lt;&gt;"""", N"&amp;"OT(REGEXMATCH(C2382, ""薪資""))), ""內部轉帳(忽略)"",
  REGEXMATCH(C2382, ""薪資""), ""薪資變動(不計入)"",
  REGEXMATCH(C2382, ""押金""), ""押金往來"",
  AND(E2382&lt;&gt;"""", F2382=""""), ""真實支出"",
  AND(E2382="""", F2382&lt;&gt;""""), ""真實收入"",
  TRUE, ""其他""
)"),"真實收入")</f>
        <v>真實收入</v>
      </c>
      <c r="K2382" s="270">
        <f t="shared" si="2"/>
        <v>8600</v>
      </c>
      <c r="L2382">
        <f t="shared" si="3"/>
        <v>0</v>
      </c>
    </row>
    <row r="2383">
      <c r="A2383" s="107">
        <f>IFERROR(__xludf.DUMMYFUNCTION("""COMPUTED_VALUE"""),45870.0)</f>
        <v>45870</v>
      </c>
      <c r="B2383" t="str">
        <f>IFERROR(__xludf.DUMMYFUNCTION("""COMPUTED_VALUE"""),"[金龍帽子先生] C [鐘偉展] 月租金 (行號: 87)")</f>
        <v>[金龍帽子先生] C [鐘偉展] 月租金 (行號: 87)</v>
      </c>
      <c r="C2383" t="str">
        <f>IFERROR(__xludf.DUMMYFUNCTION("""COMPUTED_VALUE"""),"收入 - 租金")</f>
        <v>收入 - 租金</v>
      </c>
      <c r="D2383" s="270">
        <f>IFERROR(__xludf.DUMMYFUNCTION("""COMPUTED_VALUE"""),14000.0)</f>
        <v>14000</v>
      </c>
      <c r="F2383" t="str">
        <f>IFERROR(__xludf.DUMMYFUNCTION("""COMPUTED_VALUE"""),"台銀籌備帳戶")</f>
        <v>台銀籌備帳戶</v>
      </c>
      <c r="G2383" t="str">
        <f>IFERROR(__xludf.DUMMYFUNCTION("""COMPUTED_VALUE"""),"金龍帽子先生")</f>
        <v>金龍帽子先生</v>
      </c>
      <c r="H2383" s="106" t="str">
        <f t="shared" si="1"/>
        <v>2025-08</v>
      </c>
      <c r="I2383" s="271" t="str">
        <f>IFERROR(__xludf.DUMMYFUNCTION("""COMPUTED_VALUE"""),"貓狗企鵝")</f>
        <v>貓狗企鵝</v>
      </c>
      <c r="J2383" t="str">
        <f>IFERROR(__xludf.DUMMYFUNCTION("IFS(
  AND(REGEXMATCH(E2383, ""台銀籌備帳戶|玉山帳戶""), REGEXMATCH(C2383, ""薪資"")), ""分潤支出"",
  AND(REGEXMATCH(E2383, ""Ben帳戶|Elsa帳戶|Ben代墊|Ariel代墊|中信銀行共用""), REGEXMATCH(F2383, ""Ben帳戶|Elsa帳戶|Ben代墊|Ariel代墊|中信銀行共用"")), ""內部轉帳(忽略)"",
  AND(E2383&lt;&gt;"""", F2383&lt;&gt;"""", N"&amp;"OT(REGEXMATCH(C2383, ""薪資""))), ""內部轉帳(忽略)"",
  REGEXMATCH(C2383, ""薪資""), ""薪資變動(不計入)"",
  REGEXMATCH(C2383, ""押金""), ""押金往來"",
  AND(E2383&lt;&gt;"""", F2383=""""), ""真實支出"",
  AND(E2383="""", F2383&lt;&gt;""""), ""真實收入"",
  TRUE, ""其他""
)"),"真實收入")</f>
        <v>真實收入</v>
      </c>
      <c r="K2383" s="270">
        <f t="shared" si="2"/>
        <v>14000</v>
      </c>
      <c r="L2383">
        <f t="shared" si="3"/>
        <v>0</v>
      </c>
    </row>
    <row r="2384">
      <c r="A2384" s="107">
        <f>IFERROR(__xludf.DUMMYFUNCTION("""COMPUTED_VALUE"""),45870.0)</f>
        <v>45870</v>
      </c>
      <c r="B2384" t="str">
        <f>IFERROR(__xludf.DUMMYFUNCTION("""COMPUTED_VALUE"""),"[龍江229] A [許霈琪] 月租金 (行號: 88)")</f>
        <v>[龍江229] A [許霈琪] 月租金 (行號: 88)</v>
      </c>
      <c r="C2384" t="str">
        <f>IFERROR(__xludf.DUMMYFUNCTION("""COMPUTED_VALUE"""),"收入 - 租金")</f>
        <v>收入 - 租金</v>
      </c>
      <c r="D2384" s="270">
        <f>IFERROR(__xludf.DUMMYFUNCTION("""COMPUTED_VALUE"""),13000.0)</f>
        <v>13000</v>
      </c>
      <c r="F2384" t="str">
        <f>IFERROR(__xludf.DUMMYFUNCTION("""COMPUTED_VALUE"""),"台銀籌備帳戶")</f>
        <v>台銀籌備帳戶</v>
      </c>
      <c r="G2384" t="str">
        <f>IFERROR(__xludf.DUMMYFUNCTION("""COMPUTED_VALUE"""),"龍江229")</f>
        <v>龍江229</v>
      </c>
      <c r="H2384" s="106" t="str">
        <f t="shared" si="1"/>
        <v>2025-08</v>
      </c>
      <c r="I2384" s="271" t="str">
        <f>IFERROR(__xludf.DUMMYFUNCTION("""COMPUTED_VALUE"""),"貓狗企鵝")</f>
        <v>貓狗企鵝</v>
      </c>
      <c r="J2384" t="str">
        <f>IFERROR(__xludf.DUMMYFUNCTION("IFS(
  AND(REGEXMATCH(E2384, ""台銀籌備帳戶|玉山帳戶""), REGEXMATCH(C2384, ""薪資"")), ""分潤支出"",
  AND(REGEXMATCH(E2384, ""Ben帳戶|Elsa帳戶|Ben代墊|Ariel代墊|中信銀行共用""), REGEXMATCH(F2384, ""Ben帳戶|Elsa帳戶|Ben代墊|Ariel代墊|中信銀行共用"")), ""內部轉帳(忽略)"",
  AND(E2384&lt;&gt;"""", F2384&lt;&gt;"""", N"&amp;"OT(REGEXMATCH(C2384, ""薪資""))), ""內部轉帳(忽略)"",
  REGEXMATCH(C2384, ""薪資""), ""薪資變動(不計入)"",
  REGEXMATCH(C2384, ""押金""), ""押金往來"",
  AND(E2384&lt;&gt;"""", F2384=""""), ""真實支出"",
  AND(E2384="""", F2384&lt;&gt;""""), ""真實收入"",
  TRUE, ""其他""
)"),"真實收入")</f>
        <v>真實收入</v>
      </c>
      <c r="K2384" s="270">
        <f t="shared" si="2"/>
        <v>13000</v>
      </c>
      <c r="L2384">
        <f t="shared" si="3"/>
        <v>0</v>
      </c>
    </row>
    <row r="2385">
      <c r="A2385" s="107">
        <f>IFERROR(__xludf.DUMMYFUNCTION("""COMPUTED_VALUE"""),45870.0)</f>
        <v>45870</v>
      </c>
      <c r="B2385" t="str">
        <f>IFERROR(__xludf.DUMMYFUNCTION("""COMPUTED_VALUE"""),"[北醫醫師府] B [王品涵] 月租金 (行號: 89)")</f>
        <v>[北醫醫師府] B [王品涵] 月租金 (行號: 89)</v>
      </c>
      <c r="C2385" t="str">
        <f>IFERROR(__xludf.DUMMYFUNCTION("""COMPUTED_VALUE"""),"收入 - 租金")</f>
        <v>收入 - 租金</v>
      </c>
      <c r="D2385" s="270">
        <f>IFERROR(__xludf.DUMMYFUNCTION("""COMPUTED_VALUE"""),17800.0)</f>
        <v>17800</v>
      </c>
      <c r="F2385" t="str">
        <f>IFERROR(__xludf.DUMMYFUNCTION("""COMPUTED_VALUE"""),"台銀籌備帳戶")</f>
        <v>台銀籌備帳戶</v>
      </c>
      <c r="G2385" t="str">
        <f>IFERROR(__xludf.DUMMYFUNCTION("""COMPUTED_VALUE"""),"北醫醫師府")</f>
        <v>北醫醫師府</v>
      </c>
      <c r="H2385" s="106" t="str">
        <f t="shared" si="1"/>
        <v>2025-08</v>
      </c>
      <c r="I2385" s="271" t="str">
        <f>IFERROR(__xludf.DUMMYFUNCTION("""COMPUTED_VALUE"""),"貓狗企鵝")</f>
        <v>貓狗企鵝</v>
      </c>
      <c r="J2385" t="str">
        <f>IFERROR(__xludf.DUMMYFUNCTION("IFS(
  AND(REGEXMATCH(E2385, ""台銀籌備帳戶|玉山帳戶""), REGEXMATCH(C2385, ""薪資"")), ""分潤支出"",
  AND(REGEXMATCH(E2385, ""Ben帳戶|Elsa帳戶|Ben代墊|Ariel代墊|中信銀行共用""), REGEXMATCH(F2385, ""Ben帳戶|Elsa帳戶|Ben代墊|Ariel代墊|中信銀行共用"")), ""內部轉帳(忽略)"",
  AND(E2385&lt;&gt;"""", F2385&lt;&gt;"""", N"&amp;"OT(REGEXMATCH(C2385, ""薪資""))), ""內部轉帳(忽略)"",
  REGEXMATCH(C2385, ""薪資""), ""薪資變動(不計入)"",
  REGEXMATCH(C2385, ""押金""), ""押金往來"",
  AND(E2385&lt;&gt;"""", F2385=""""), ""真實支出"",
  AND(E2385="""", F2385&lt;&gt;""""), ""真實收入"",
  TRUE, ""其他""
)"),"真實收入")</f>
        <v>真實收入</v>
      </c>
      <c r="K2385" s="270">
        <f t="shared" si="2"/>
        <v>17800</v>
      </c>
      <c r="L2385">
        <f t="shared" si="3"/>
        <v>0</v>
      </c>
    </row>
    <row r="2386">
      <c r="A2386" s="107">
        <f>IFERROR(__xludf.DUMMYFUNCTION("""COMPUTED_VALUE"""),45870.0)</f>
        <v>45870</v>
      </c>
      <c r="B2386" t="str">
        <f>IFERROR(__xludf.DUMMYFUNCTION("""COMPUTED_VALUE"""),"[永春四號] C [林聿妡] 月租金 (行號: 90)")</f>
        <v>[永春四號] C [林聿妡] 月租金 (行號: 90)</v>
      </c>
      <c r="C2386" t="str">
        <f>IFERROR(__xludf.DUMMYFUNCTION("""COMPUTED_VALUE"""),"收入 - 租金")</f>
        <v>收入 - 租金</v>
      </c>
      <c r="D2386" s="270">
        <f>IFERROR(__xludf.DUMMYFUNCTION("""COMPUTED_VALUE"""),12800.0)</f>
        <v>12800</v>
      </c>
      <c r="F2386" t="str">
        <f>IFERROR(__xludf.DUMMYFUNCTION("""COMPUTED_VALUE"""),"台銀籌備帳戶")</f>
        <v>台銀籌備帳戶</v>
      </c>
      <c r="G2386" t="str">
        <f>IFERROR(__xludf.DUMMYFUNCTION("""COMPUTED_VALUE"""),"永春四號")</f>
        <v>永春四號</v>
      </c>
      <c r="H2386" s="106" t="str">
        <f t="shared" si="1"/>
        <v>2025-08</v>
      </c>
      <c r="I2386" s="271" t="str">
        <f>IFERROR(__xludf.DUMMYFUNCTION("""COMPUTED_VALUE"""),"貓狗企鵝")</f>
        <v>貓狗企鵝</v>
      </c>
      <c r="J2386" t="str">
        <f>IFERROR(__xludf.DUMMYFUNCTION("IFS(
  AND(REGEXMATCH(E2386, ""台銀籌備帳戶|玉山帳戶""), REGEXMATCH(C2386, ""薪資"")), ""分潤支出"",
  AND(REGEXMATCH(E2386, ""Ben帳戶|Elsa帳戶|Ben代墊|Ariel代墊|中信銀行共用""), REGEXMATCH(F2386, ""Ben帳戶|Elsa帳戶|Ben代墊|Ariel代墊|中信銀行共用"")), ""內部轉帳(忽略)"",
  AND(E2386&lt;&gt;"""", F2386&lt;&gt;"""", N"&amp;"OT(REGEXMATCH(C2386, ""薪資""))), ""內部轉帳(忽略)"",
  REGEXMATCH(C2386, ""薪資""), ""薪資變動(不計入)"",
  REGEXMATCH(C2386, ""押金""), ""押金往來"",
  AND(E2386&lt;&gt;"""", F2386=""""), ""真實支出"",
  AND(E2386="""", F2386&lt;&gt;""""), ""真實收入"",
  TRUE, ""其他""
)"),"真實收入")</f>
        <v>真實收入</v>
      </c>
      <c r="K2386" s="270">
        <f t="shared" si="2"/>
        <v>12800</v>
      </c>
      <c r="L2386">
        <f t="shared" si="3"/>
        <v>0</v>
      </c>
    </row>
    <row r="2387">
      <c r="A2387" s="107">
        <f>IFERROR(__xludf.DUMMYFUNCTION("""COMPUTED_VALUE"""),45870.0)</f>
        <v>45870</v>
      </c>
      <c r="B2387" t="str">
        <f>IFERROR(__xludf.DUMMYFUNCTION("""COMPUTED_VALUE"""),"[景安2分鐘] A [蕭宇榛] 月租金 (行號: 91)")</f>
        <v>[景安2分鐘] A [蕭宇榛] 月租金 (行號: 91)</v>
      </c>
      <c r="C2387" t="str">
        <f>IFERROR(__xludf.DUMMYFUNCTION("""COMPUTED_VALUE"""),"收入 - 租金")</f>
        <v>收入 - 租金</v>
      </c>
      <c r="D2387" s="270">
        <f>IFERROR(__xludf.DUMMYFUNCTION("""COMPUTED_VALUE"""),14500.0)</f>
        <v>14500</v>
      </c>
      <c r="F2387" t="str">
        <f>IFERROR(__xludf.DUMMYFUNCTION("""COMPUTED_VALUE"""),"台銀籌備帳戶")</f>
        <v>台銀籌備帳戶</v>
      </c>
      <c r="G2387" t="str">
        <f>IFERROR(__xludf.DUMMYFUNCTION("""COMPUTED_VALUE"""),"景安2分鐘")</f>
        <v>景安2分鐘</v>
      </c>
      <c r="H2387" s="106" t="str">
        <f t="shared" si="1"/>
        <v>2025-08</v>
      </c>
      <c r="I2387" s="271" t="str">
        <f>IFERROR(__xludf.DUMMYFUNCTION("""COMPUTED_VALUE"""),"貓狗企鵝")</f>
        <v>貓狗企鵝</v>
      </c>
      <c r="J2387" t="str">
        <f>IFERROR(__xludf.DUMMYFUNCTION("IFS(
  AND(REGEXMATCH(E2387, ""台銀籌備帳戶|玉山帳戶""), REGEXMATCH(C2387, ""薪資"")), ""分潤支出"",
  AND(REGEXMATCH(E2387, ""Ben帳戶|Elsa帳戶|Ben代墊|Ariel代墊|中信銀行共用""), REGEXMATCH(F2387, ""Ben帳戶|Elsa帳戶|Ben代墊|Ariel代墊|中信銀行共用"")), ""內部轉帳(忽略)"",
  AND(E2387&lt;&gt;"""", F2387&lt;&gt;"""", N"&amp;"OT(REGEXMATCH(C2387, ""薪資""))), ""內部轉帳(忽略)"",
  REGEXMATCH(C2387, ""薪資""), ""薪資變動(不計入)"",
  REGEXMATCH(C2387, ""押金""), ""押金往來"",
  AND(E2387&lt;&gt;"""", F2387=""""), ""真實支出"",
  AND(E2387="""", F2387&lt;&gt;""""), ""真實收入"",
  TRUE, ""其他""
)"),"真實收入")</f>
        <v>真實收入</v>
      </c>
      <c r="K2387" s="270">
        <f t="shared" si="2"/>
        <v>14500</v>
      </c>
      <c r="L2387">
        <f t="shared" si="3"/>
        <v>0</v>
      </c>
    </row>
    <row r="2388">
      <c r="A2388" s="107">
        <f>IFERROR(__xludf.DUMMYFUNCTION("""COMPUTED_VALUE"""),45871.0)</f>
        <v>45871</v>
      </c>
      <c r="B2388" t="str">
        <f>IFERROR(__xludf.DUMMYFUNCTION("""COMPUTED_VALUE"""),"[南港站挑高宅] E [張劉明翔] 月租金 (行號: 92)")</f>
        <v>[南港站挑高宅] E [張劉明翔] 月租金 (行號: 92)</v>
      </c>
      <c r="C2388" t="str">
        <f>IFERROR(__xludf.DUMMYFUNCTION("""COMPUTED_VALUE"""),"收入 - 租金")</f>
        <v>收入 - 租金</v>
      </c>
      <c r="D2388" s="270">
        <f>IFERROR(__xludf.DUMMYFUNCTION("""COMPUTED_VALUE"""),12800.0)</f>
        <v>12800</v>
      </c>
      <c r="F2388" t="str">
        <f>IFERROR(__xludf.DUMMYFUNCTION("""COMPUTED_VALUE"""),"台銀籌備帳戶")</f>
        <v>台銀籌備帳戶</v>
      </c>
      <c r="G2388" t="str">
        <f>IFERROR(__xludf.DUMMYFUNCTION("""COMPUTED_VALUE"""),"南港站挑高宅")</f>
        <v>南港站挑高宅</v>
      </c>
      <c r="H2388" s="106" t="str">
        <f t="shared" si="1"/>
        <v>2025-08</v>
      </c>
      <c r="I2388" s="271" t="str">
        <f>IFERROR(__xludf.DUMMYFUNCTION("""COMPUTED_VALUE"""),"貓狗企鵝")</f>
        <v>貓狗企鵝</v>
      </c>
      <c r="J2388" t="str">
        <f>IFERROR(__xludf.DUMMYFUNCTION("IFS(
  AND(REGEXMATCH(E2388, ""台銀籌備帳戶|玉山帳戶""), REGEXMATCH(C2388, ""薪資"")), ""分潤支出"",
  AND(REGEXMATCH(E2388, ""Ben帳戶|Elsa帳戶|Ben代墊|Ariel代墊|中信銀行共用""), REGEXMATCH(F2388, ""Ben帳戶|Elsa帳戶|Ben代墊|Ariel代墊|中信銀行共用"")), ""內部轉帳(忽略)"",
  AND(E2388&lt;&gt;"""", F2388&lt;&gt;"""", N"&amp;"OT(REGEXMATCH(C2388, ""薪資""))), ""內部轉帳(忽略)"",
  REGEXMATCH(C2388, ""薪資""), ""薪資變動(不計入)"",
  REGEXMATCH(C2388, ""押金""), ""押金往來"",
  AND(E2388&lt;&gt;"""", F2388=""""), ""真實支出"",
  AND(E2388="""", F2388&lt;&gt;""""), ""真實收入"",
  TRUE, ""其他""
)"),"真實收入")</f>
        <v>真實收入</v>
      </c>
      <c r="K2388" s="270">
        <f t="shared" si="2"/>
        <v>12800</v>
      </c>
      <c r="L2388">
        <f t="shared" si="3"/>
        <v>0</v>
      </c>
    </row>
    <row r="2389">
      <c r="A2389" s="107">
        <f>IFERROR(__xludf.DUMMYFUNCTION("""COMPUTED_VALUE"""),45871.0)</f>
        <v>45871</v>
      </c>
      <c r="B2389" t="str">
        <f>IFERROR(__xludf.DUMMYFUNCTION("""COMPUTED_VALUE"""),"[中山北Feli家] C [郭亞潔] 月租金 (行號: 93)")</f>
        <v>[中山北Feli家] C [郭亞潔] 月租金 (行號: 93)</v>
      </c>
      <c r="C2389" t="str">
        <f>IFERROR(__xludf.DUMMYFUNCTION("""COMPUTED_VALUE"""),"收入 - 租金")</f>
        <v>收入 - 租金</v>
      </c>
      <c r="D2389" s="270">
        <f>IFERROR(__xludf.DUMMYFUNCTION("""COMPUTED_VALUE"""),11500.0)</f>
        <v>11500</v>
      </c>
      <c r="F2389" t="str">
        <f>IFERROR(__xludf.DUMMYFUNCTION("""COMPUTED_VALUE"""),"台銀籌備帳戶")</f>
        <v>台銀籌備帳戶</v>
      </c>
      <c r="G2389" t="str">
        <f>IFERROR(__xludf.DUMMYFUNCTION("""COMPUTED_VALUE"""),"中山北Feli家")</f>
        <v>中山北Feli家</v>
      </c>
      <c r="H2389" s="106" t="str">
        <f t="shared" si="1"/>
        <v>2025-08</v>
      </c>
      <c r="I2389" s="271" t="str">
        <f>IFERROR(__xludf.DUMMYFUNCTION("""COMPUTED_VALUE"""),"貓狗企鵝")</f>
        <v>貓狗企鵝</v>
      </c>
      <c r="J2389" t="str">
        <f>IFERROR(__xludf.DUMMYFUNCTION("IFS(
  AND(REGEXMATCH(E2389, ""台銀籌備帳戶|玉山帳戶""), REGEXMATCH(C2389, ""薪資"")), ""分潤支出"",
  AND(REGEXMATCH(E2389, ""Ben帳戶|Elsa帳戶|Ben代墊|Ariel代墊|中信銀行共用""), REGEXMATCH(F2389, ""Ben帳戶|Elsa帳戶|Ben代墊|Ariel代墊|中信銀行共用"")), ""內部轉帳(忽略)"",
  AND(E2389&lt;&gt;"""", F2389&lt;&gt;"""", N"&amp;"OT(REGEXMATCH(C2389, ""薪資""))), ""內部轉帳(忽略)"",
  REGEXMATCH(C2389, ""薪資""), ""薪資變動(不計入)"",
  REGEXMATCH(C2389, ""押金""), ""押金往來"",
  AND(E2389&lt;&gt;"""", F2389=""""), ""真實支出"",
  AND(E2389="""", F2389&lt;&gt;""""), ""真實收入"",
  TRUE, ""其他""
)"),"真實收入")</f>
        <v>真實收入</v>
      </c>
      <c r="K2389" s="270">
        <f t="shared" si="2"/>
        <v>11500</v>
      </c>
      <c r="L2389">
        <f t="shared" si="3"/>
        <v>0</v>
      </c>
    </row>
    <row r="2390">
      <c r="A2390" s="107">
        <f>IFERROR(__xludf.DUMMYFUNCTION("""COMPUTED_VALUE"""),45871.0)</f>
        <v>45871</v>
      </c>
      <c r="B2390" t="str">
        <f>IFERROR(__xludf.DUMMYFUNCTION("""COMPUTED_VALUE"""),"[龍江229] D [黃依婷] 月租金 (行號: 94)")</f>
        <v>[龍江229] D [黃依婷] 月租金 (行號: 94)</v>
      </c>
      <c r="C2390" t="str">
        <f>IFERROR(__xludf.DUMMYFUNCTION("""COMPUTED_VALUE"""),"收入 - 租金")</f>
        <v>收入 - 租金</v>
      </c>
      <c r="D2390" s="270">
        <f>IFERROR(__xludf.DUMMYFUNCTION("""COMPUTED_VALUE"""),13300.0)</f>
        <v>13300</v>
      </c>
      <c r="F2390" t="str">
        <f>IFERROR(__xludf.DUMMYFUNCTION("""COMPUTED_VALUE"""),"台銀籌備帳戶")</f>
        <v>台銀籌備帳戶</v>
      </c>
      <c r="G2390" t="str">
        <f>IFERROR(__xludf.DUMMYFUNCTION("""COMPUTED_VALUE"""),"龍江229")</f>
        <v>龍江229</v>
      </c>
      <c r="H2390" s="106" t="str">
        <f t="shared" si="1"/>
        <v>2025-08</v>
      </c>
      <c r="I2390" s="271" t="str">
        <f>IFERROR(__xludf.DUMMYFUNCTION("""COMPUTED_VALUE"""),"貓狗企鵝")</f>
        <v>貓狗企鵝</v>
      </c>
      <c r="J2390" t="str">
        <f>IFERROR(__xludf.DUMMYFUNCTION("IFS(
  AND(REGEXMATCH(E2390, ""台銀籌備帳戶|玉山帳戶""), REGEXMATCH(C2390, ""薪資"")), ""分潤支出"",
  AND(REGEXMATCH(E2390, ""Ben帳戶|Elsa帳戶|Ben代墊|Ariel代墊|中信銀行共用""), REGEXMATCH(F2390, ""Ben帳戶|Elsa帳戶|Ben代墊|Ariel代墊|中信銀行共用"")), ""內部轉帳(忽略)"",
  AND(E2390&lt;&gt;"""", F2390&lt;&gt;"""", N"&amp;"OT(REGEXMATCH(C2390, ""薪資""))), ""內部轉帳(忽略)"",
  REGEXMATCH(C2390, ""薪資""), ""薪資變動(不計入)"",
  REGEXMATCH(C2390, ""押金""), ""押金往來"",
  AND(E2390&lt;&gt;"""", F2390=""""), ""真實支出"",
  AND(E2390="""", F2390&lt;&gt;""""), ""真實收入"",
  TRUE, ""其他""
)"),"真實收入")</f>
        <v>真實收入</v>
      </c>
      <c r="K2390" s="270">
        <f t="shared" si="2"/>
        <v>13300</v>
      </c>
      <c r="L2390">
        <f t="shared" si="3"/>
        <v>0</v>
      </c>
    </row>
    <row r="2391">
      <c r="A2391" s="107">
        <f>IFERROR(__xludf.DUMMYFUNCTION("""COMPUTED_VALUE"""),45873.0)</f>
        <v>45873</v>
      </c>
      <c r="B2391" t="str">
        <f>IFERROR(__xludf.DUMMYFUNCTION("""COMPUTED_VALUE""")," [大湖山莊] B [吳佳樂] 合約 CR00117 (行號: 96)")</f>
        <v> [大湖山莊] B [吳佳樂] 合約 CR00117 (行號: 96)</v>
      </c>
      <c r="C2391" t="str">
        <f>IFERROR(__xludf.DUMMYFUNCTION("""COMPUTED_VALUE"""),"收入 - 租金")</f>
        <v>收入 - 租金</v>
      </c>
      <c r="D2391" s="270">
        <f>IFERROR(__xludf.DUMMYFUNCTION("""COMPUTED_VALUE"""),5367.0)</f>
        <v>5367</v>
      </c>
      <c r="F2391" t="str">
        <f>IFERROR(__xludf.DUMMYFUNCTION("""COMPUTED_VALUE"""),"台銀籌備帳戶")</f>
        <v>台銀籌備帳戶</v>
      </c>
      <c r="G2391" t="str">
        <f>IFERROR(__xludf.DUMMYFUNCTION("""COMPUTED_VALUE"""),"大湖山莊")</f>
        <v>大湖山莊</v>
      </c>
      <c r="H2391" s="106" t="str">
        <f t="shared" si="1"/>
        <v>2025-08</v>
      </c>
      <c r="I2391" s="271" t="str">
        <f>IFERROR(__xludf.DUMMYFUNCTION("""COMPUTED_VALUE"""),"貓狗企鵝")</f>
        <v>貓狗企鵝</v>
      </c>
      <c r="J2391" t="str">
        <f>IFERROR(__xludf.DUMMYFUNCTION("IFS(
  AND(REGEXMATCH(E2391, ""台銀籌備帳戶|玉山帳戶""), REGEXMATCH(C2391, ""薪資"")), ""分潤支出"",
  AND(REGEXMATCH(E2391, ""Ben帳戶|Elsa帳戶|Ben代墊|Ariel代墊|中信銀行共用""), REGEXMATCH(F2391, ""Ben帳戶|Elsa帳戶|Ben代墊|Ariel代墊|中信銀行共用"")), ""內部轉帳(忽略)"",
  AND(E2391&lt;&gt;"""", F2391&lt;&gt;"""", N"&amp;"OT(REGEXMATCH(C2391, ""薪資""))), ""內部轉帳(忽略)"",
  REGEXMATCH(C2391, ""薪資""), ""薪資變動(不計入)"",
  REGEXMATCH(C2391, ""押金""), ""押金往來"",
  AND(E2391&lt;&gt;"""", F2391=""""), ""真實支出"",
  AND(E2391="""", F2391&lt;&gt;""""), ""真實收入"",
  TRUE, ""其他""
)"),"真實收入")</f>
        <v>真實收入</v>
      </c>
      <c r="K2391" s="270">
        <f t="shared" si="2"/>
        <v>5367</v>
      </c>
      <c r="L2391">
        <f t="shared" si="3"/>
        <v>0</v>
      </c>
    </row>
    <row r="2392">
      <c r="A2392" s="107">
        <f>IFERROR(__xludf.DUMMYFUNCTION("""COMPUTED_VALUE"""),45873.0)</f>
        <v>45873</v>
      </c>
      <c r="B2392" t="str">
        <f>IFERROR(__xludf.DUMMYFUNCTION("""COMPUTED_VALUE"""),"[金龍帽子先生] A [何佩勳] 月租金 (行號: 97)")</f>
        <v>[金龍帽子先生] A [何佩勳] 月租金 (行號: 97)</v>
      </c>
      <c r="C2392" t="str">
        <f>IFERROR(__xludf.DUMMYFUNCTION("""COMPUTED_VALUE"""),"收入 - 租金")</f>
        <v>收入 - 租金</v>
      </c>
      <c r="D2392" s="270">
        <f>IFERROR(__xludf.DUMMYFUNCTION("""COMPUTED_VALUE"""),17200.0)</f>
        <v>17200</v>
      </c>
      <c r="F2392" t="str">
        <f>IFERROR(__xludf.DUMMYFUNCTION("""COMPUTED_VALUE"""),"台銀籌備帳戶")</f>
        <v>台銀籌備帳戶</v>
      </c>
      <c r="G2392" t="str">
        <f>IFERROR(__xludf.DUMMYFUNCTION("""COMPUTED_VALUE"""),"金龍帽子先生")</f>
        <v>金龍帽子先生</v>
      </c>
      <c r="H2392" s="106" t="str">
        <f t="shared" si="1"/>
        <v>2025-08</v>
      </c>
      <c r="I2392" s="271" t="str">
        <f>IFERROR(__xludf.DUMMYFUNCTION("""COMPUTED_VALUE"""),"貓狗企鵝")</f>
        <v>貓狗企鵝</v>
      </c>
      <c r="J2392" t="str">
        <f>IFERROR(__xludf.DUMMYFUNCTION("IFS(
  AND(REGEXMATCH(E2392, ""台銀籌備帳戶|玉山帳戶""), REGEXMATCH(C2392, ""薪資"")), ""分潤支出"",
  AND(REGEXMATCH(E2392, ""Ben帳戶|Elsa帳戶|Ben代墊|Ariel代墊|中信銀行共用""), REGEXMATCH(F2392, ""Ben帳戶|Elsa帳戶|Ben代墊|Ariel代墊|中信銀行共用"")), ""內部轉帳(忽略)"",
  AND(E2392&lt;&gt;"""", F2392&lt;&gt;"""", N"&amp;"OT(REGEXMATCH(C2392, ""薪資""))), ""內部轉帳(忽略)"",
  REGEXMATCH(C2392, ""薪資""), ""薪資變動(不計入)"",
  REGEXMATCH(C2392, ""押金""), ""押金往來"",
  AND(E2392&lt;&gt;"""", F2392=""""), ""真實支出"",
  AND(E2392="""", F2392&lt;&gt;""""), ""真實收入"",
  TRUE, ""其他""
)"),"真實收入")</f>
        <v>真實收入</v>
      </c>
      <c r="K2392" s="270">
        <f t="shared" si="2"/>
        <v>17200</v>
      </c>
      <c r="L2392">
        <f t="shared" si="3"/>
        <v>0</v>
      </c>
    </row>
    <row r="2393">
      <c r="A2393" s="107">
        <f>IFERROR(__xludf.DUMMYFUNCTION("""COMPUTED_VALUE"""),45856.0)</f>
        <v>45856</v>
      </c>
      <c r="B2393" t="str">
        <f>IFERROR(__xludf.DUMMYFUNCTION("""COMPUTED_VALUE"""),"劍潭轉錯錢")</f>
        <v>劍潭轉錯錢</v>
      </c>
      <c r="C2393" t="str">
        <f>IFERROR(__xludf.DUMMYFUNCTION("""COMPUTED_VALUE"""),"費用 - 匯費")</f>
        <v>費用 - 匯費</v>
      </c>
      <c r="D2393" s="270">
        <f>IFERROR(__xludf.DUMMYFUNCTION("""COMPUTED_VALUE"""),-12485.0)</f>
        <v>-12485</v>
      </c>
      <c r="E2393" t="str">
        <f>IFERROR(__xludf.DUMMYFUNCTION("""COMPUTED_VALUE"""),"台銀籌備帳戶")</f>
        <v>台銀籌備帳戶</v>
      </c>
      <c r="G2393" t="str">
        <f>IFERROR(__xludf.DUMMYFUNCTION("""COMPUTED_VALUE"""),"無法分類")</f>
        <v>無法分類</v>
      </c>
      <c r="H2393" s="106" t="str">
        <f t="shared" si="1"/>
        <v>2025-07</v>
      </c>
      <c r="I2393" s="271" t="str">
        <f>IFERROR(__xludf.DUMMYFUNCTION("""COMPUTED_VALUE"""),"貓狗企鵝")</f>
        <v>貓狗企鵝</v>
      </c>
      <c r="J2393" t="str">
        <f>IFERROR(__xludf.DUMMYFUNCTION("IFS(
  AND(REGEXMATCH(E2393, ""台銀籌備帳戶|玉山帳戶""), REGEXMATCH(C2393, ""薪資"")), ""分潤支出"",
  AND(REGEXMATCH(E2393, ""Ben帳戶|Elsa帳戶|Ben代墊|Ariel代墊|中信銀行共用""), REGEXMATCH(F2393, ""Ben帳戶|Elsa帳戶|Ben代墊|Ariel代墊|中信銀行共用"")), ""內部轉帳(忽略)"",
  AND(E2393&lt;&gt;"""", F2393&lt;&gt;"""", N"&amp;"OT(REGEXMATCH(C2393, ""薪資""))), ""內部轉帳(忽略)"",
  REGEXMATCH(C2393, ""薪資""), ""薪資變動(不計入)"",
  REGEXMATCH(C2393, ""押金""), ""押金往來"",
  AND(E2393&lt;&gt;"""", F2393=""""), ""真實支出"",
  AND(E2393="""", F2393&lt;&gt;""""), ""真實收入"",
  TRUE, ""其他""
)"),"真實支出")</f>
        <v>真實支出</v>
      </c>
      <c r="K2393" s="270">
        <f t="shared" si="2"/>
        <v>-12485</v>
      </c>
      <c r="L2393">
        <f t="shared" si="3"/>
        <v>0</v>
      </c>
    </row>
    <row r="2394">
      <c r="A2394" s="107">
        <f>IFERROR(__xludf.DUMMYFUNCTION("""COMPUTED_VALUE"""),45874.0)</f>
        <v>45874</v>
      </c>
      <c r="B2394" t="str">
        <f>IFERROR(__xludf.DUMMYFUNCTION("""COMPUTED_VALUE"""),"D房精神補償 葡萄*2禮盒")</f>
        <v>D房精神補償 葡萄*2禮盒</v>
      </c>
      <c r="C2394" t="str">
        <f>IFERROR(__xludf.DUMMYFUNCTION("""COMPUTED_VALUE"""),"成本 - 租後修繕")</f>
        <v>成本 - 租後修繕</v>
      </c>
      <c r="D2394" s="270">
        <f>IFERROR(__xludf.DUMMYFUNCTION("""COMPUTED_VALUE"""),-1558.0)</f>
        <v>-1558</v>
      </c>
      <c r="E2394" t="str">
        <f>IFERROR(__xludf.DUMMYFUNCTION("""COMPUTED_VALUE"""),"Elsa帳戶")</f>
        <v>Elsa帳戶</v>
      </c>
      <c r="G2394" t="str">
        <f>IFERROR(__xludf.DUMMYFUNCTION("""COMPUTED_VALUE"""),"南港站挑高宅")</f>
        <v>南港站挑高宅</v>
      </c>
      <c r="H2394" s="106" t="str">
        <f t="shared" si="1"/>
        <v>2025-08</v>
      </c>
      <c r="I2394" s="271" t="str">
        <f>IFERROR(__xludf.DUMMYFUNCTION("""COMPUTED_VALUE"""),"貓狗企鵝")</f>
        <v>貓狗企鵝</v>
      </c>
      <c r="J2394" t="str">
        <f>IFERROR(__xludf.DUMMYFUNCTION("IFS(
  AND(REGEXMATCH(E2394, ""台銀籌備帳戶|玉山帳戶""), REGEXMATCH(C2394, ""薪資"")), ""分潤支出"",
  AND(REGEXMATCH(E2394, ""Ben帳戶|Elsa帳戶|Ben代墊|Ariel代墊|中信銀行共用""), REGEXMATCH(F2394, ""Ben帳戶|Elsa帳戶|Ben代墊|Ariel代墊|中信銀行共用"")), ""內部轉帳(忽略)"",
  AND(E2394&lt;&gt;"""", F2394&lt;&gt;"""", N"&amp;"OT(REGEXMATCH(C2394, ""薪資""))), ""內部轉帳(忽略)"",
  REGEXMATCH(C2394, ""薪資""), ""薪資變動(不計入)"",
  REGEXMATCH(C2394, ""押金""), ""押金往來"",
  AND(E2394&lt;&gt;"""", F2394=""""), ""真實支出"",
  AND(E2394="""", F2394&lt;&gt;""""), ""真實收入"",
  TRUE, ""其他""
)"),"真實支出")</f>
        <v>真實支出</v>
      </c>
      <c r="K2394" s="270">
        <f t="shared" si="2"/>
        <v>-1558</v>
      </c>
      <c r="L2394">
        <f t="shared" si="3"/>
        <v>0</v>
      </c>
    </row>
    <row r="2395">
      <c r="A2395" s="107">
        <f>IFERROR(__xludf.DUMMYFUNCTION("""COMPUTED_VALUE"""),45875.0)</f>
        <v>45875</v>
      </c>
      <c r="B2395" t="str">
        <f>IFERROR(__xludf.DUMMYFUNCTION("""COMPUTED_VALUE"""),"費用 - 匯費 對方行:012 後五碼:92486 (行號: 4)")</f>
        <v>費用 - 匯費 對方行:012 後五碼:92486 (行號: 4)</v>
      </c>
      <c r="C2395" t="str">
        <f>IFERROR(__xludf.DUMMYFUNCTION("""COMPUTED_VALUE"""),"費用 - 匯費")</f>
        <v>費用 - 匯費</v>
      </c>
      <c r="D2395" s="270">
        <f>IFERROR(__xludf.DUMMYFUNCTION("""COMPUTED_VALUE"""),-15.0)</f>
        <v>-15</v>
      </c>
      <c r="E2395" t="str">
        <f>IFERROR(__xludf.DUMMYFUNCTION("""COMPUTED_VALUE"""),"台銀籌備帳戶")</f>
        <v>台銀籌備帳戶</v>
      </c>
      <c r="H2395" s="106" t="str">
        <f t="shared" si="1"/>
        <v>2025-08</v>
      </c>
      <c r="I2395" s="271" t="str">
        <f>IFERROR(__xludf.DUMMYFUNCTION("""COMPUTED_VALUE"""),"貓狗企鵝")</f>
        <v>貓狗企鵝</v>
      </c>
      <c r="J2395" t="str">
        <f>IFERROR(__xludf.DUMMYFUNCTION("IFS(
  AND(REGEXMATCH(E2395, ""台銀籌備帳戶|玉山帳戶""), REGEXMATCH(C2395, ""薪資"")), ""分潤支出"",
  AND(REGEXMATCH(E2395, ""Ben帳戶|Elsa帳戶|Ben代墊|Ariel代墊|中信銀行共用""), REGEXMATCH(F2395, ""Ben帳戶|Elsa帳戶|Ben代墊|Ariel代墊|中信銀行共用"")), ""內部轉帳(忽略)"",
  AND(E2395&lt;&gt;"""", F2395&lt;&gt;"""", N"&amp;"OT(REGEXMATCH(C2395, ""薪資""))), ""內部轉帳(忽略)"",
  REGEXMATCH(C2395, ""薪資""), ""薪資變動(不計入)"",
  REGEXMATCH(C2395, ""押金""), ""押金往來"",
  AND(E2395&lt;&gt;"""", F2395=""""), ""真實支出"",
  AND(E2395="""", F2395&lt;&gt;""""), ""真實收入"",
  TRUE, ""其他""
)"),"真實支出")</f>
        <v>真實支出</v>
      </c>
      <c r="K2395" s="270">
        <f t="shared" si="2"/>
        <v>-15</v>
      </c>
      <c r="L2395">
        <f t="shared" si="3"/>
        <v>0</v>
      </c>
    </row>
    <row r="2396">
      <c r="A2396" s="107">
        <f>IFERROR(__xludf.DUMMYFUNCTION("""COMPUTED_VALUE"""),45875.0)</f>
        <v>45875</v>
      </c>
      <c r="B2396" t="str">
        <f>IFERROR(__xludf.DUMMYFUNCTION("""COMPUTED_VALUE"""),"阿虎設計費 ' 【未分類支出】")</f>
        <v>阿虎設計費 ' 【未分類支出】</v>
      </c>
      <c r="C2396" t="str">
        <f>IFERROR(__xludf.DUMMYFUNCTION("""COMPUTED_VALUE"""),"費用 - Salary 薪資")</f>
        <v>費用 - Salary 薪資</v>
      </c>
      <c r="D2396" s="270">
        <f>IFERROR(__xludf.DUMMYFUNCTION("""COMPUTED_VALUE"""),-200000.0)</f>
        <v>-200000</v>
      </c>
      <c r="E2396" t="str">
        <f>IFERROR(__xludf.DUMMYFUNCTION("""COMPUTED_VALUE"""),"台銀籌備帳戶")</f>
        <v>台銀籌備帳戶</v>
      </c>
      <c r="F2396" t="str">
        <f>IFERROR(__xludf.DUMMYFUNCTION("""COMPUTED_VALUE"""),"Elsa帳戶")</f>
        <v>Elsa帳戶</v>
      </c>
      <c r="G2396" t="str">
        <f>IFERROR(__xludf.DUMMYFUNCTION("""COMPUTED_VALUE"""),"無法分類")</f>
        <v>無法分類</v>
      </c>
      <c r="H2396" s="106" t="str">
        <f t="shared" si="1"/>
        <v>2025-08</v>
      </c>
      <c r="I2396" s="271" t="str">
        <f>IFERROR(__xludf.DUMMYFUNCTION("""COMPUTED_VALUE"""),"貓狗企鵝")</f>
        <v>貓狗企鵝</v>
      </c>
      <c r="J2396" t="str">
        <f>IFERROR(__xludf.DUMMYFUNCTION("IFS(
  AND(REGEXMATCH(E2396, ""台銀籌備帳戶|玉山帳戶""), REGEXMATCH(C2396, ""薪資"")), ""分潤支出"",
  AND(REGEXMATCH(E2396, ""Ben帳戶|Elsa帳戶|Ben代墊|Ariel代墊|中信銀行共用""), REGEXMATCH(F2396, ""Ben帳戶|Elsa帳戶|Ben代墊|Ariel代墊|中信銀行共用"")), ""內部轉帳(忽略)"",
  AND(E2396&lt;&gt;"""", F2396&lt;&gt;"""", N"&amp;"OT(REGEXMATCH(C2396, ""薪資""))), ""內部轉帳(忽略)"",
  REGEXMATCH(C2396, ""薪資""), ""薪資變動(不計入)"",
  REGEXMATCH(C2396, ""押金""), ""押金往來"",
  AND(E2396&lt;&gt;"""", F2396=""""), ""真實支出"",
  AND(E2396="""", F2396&lt;&gt;""""), ""真實收入"",
  TRUE, ""其他""
)"),"分潤支出")</f>
        <v>分潤支出</v>
      </c>
      <c r="K2396">
        <f t="shared" si="2"/>
        <v>0</v>
      </c>
      <c r="L2396">
        <f t="shared" si="3"/>
        <v>200000</v>
      </c>
    </row>
    <row r="2397">
      <c r="A2397" s="107">
        <f>IFERROR(__xludf.DUMMYFUNCTION("""COMPUTED_VALUE"""),45875.0)</f>
        <v>45875</v>
      </c>
      <c r="B2397" t="str">
        <f>IFERROR(__xludf.DUMMYFUNCTION("""COMPUTED_VALUE"""),"費用 - 匯費 對方行:012 後五碼:54627 (行號: 5)")</f>
        <v>費用 - 匯費 對方行:012 後五碼:54627 (行號: 5)</v>
      </c>
      <c r="C2397" t="str">
        <f>IFERROR(__xludf.DUMMYFUNCTION("""COMPUTED_VALUE"""),"費用 - 匯費")</f>
        <v>費用 - 匯費</v>
      </c>
      <c r="D2397" s="270">
        <f>IFERROR(__xludf.DUMMYFUNCTION("""COMPUTED_VALUE"""),-15.0)</f>
        <v>-15</v>
      </c>
      <c r="E2397" t="str">
        <f>IFERROR(__xludf.DUMMYFUNCTION("""COMPUTED_VALUE"""),"台銀籌備帳戶")</f>
        <v>台銀籌備帳戶</v>
      </c>
      <c r="H2397" s="106" t="str">
        <f t="shared" si="1"/>
        <v>2025-08</v>
      </c>
      <c r="I2397" s="271" t="str">
        <f>IFERROR(__xludf.DUMMYFUNCTION("""COMPUTED_VALUE"""),"貓狗企鵝")</f>
        <v>貓狗企鵝</v>
      </c>
      <c r="J2397" t="str">
        <f>IFERROR(__xludf.DUMMYFUNCTION("IFS(
  AND(REGEXMATCH(E2397, ""台銀籌備帳戶|玉山帳戶""), REGEXMATCH(C2397, ""薪資"")), ""分潤支出"",
  AND(REGEXMATCH(E2397, ""Ben帳戶|Elsa帳戶|Ben代墊|Ariel代墊|中信銀行共用""), REGEXMATCH(F2397, ""Ben帳戶|Elsa帳戶|Ben代墊|Ariel代墊|中信銀行共用"")), ""內部轉帳(忽略)"",
  AND(E2397&lt;&gt;"""", F2397&lt;&gt;"""", N"&amp;"OT(REGEXMATCH(C2397, ""薪資""))), ""內部轉帳(忽略)"",
  REGEXMATCH(C2397, ""薪資""), ""薪資變動(不計入)"",
  REGEXMATCH(C2397, ""押金""), ""押金往來"",
  AND(E2397&lt;&gt;"""", F2397=""""), ""真實支出"",
  AND(E2397="""", F2397&lt;&gt;""""), ""真實收入"",
  TRUE, ""其他""
)"),"真實支出")</f>
        <v>真實支出</v>
      </c>
      <c r="K2397" s="270">
        <f t="shared" si="2"/>
        <v>-15</v>
      </c>
      <c r="L2397">
        <f t="shared" si="3"/>
        <v>0</v>
      </c>
    </row>
    <row r="2398">
      <c r="A2398" s="107">
        <f>IFERROR(__xludf.DUMMYFUNCTION("""COMPUTED_VALUE"""),45875.0)</f>
        <v>45875</v>
      </c>
      <c r="B2398" t="str">
        <f>IFERROR(__xludf.DUMMYFUNCTION("""COMPUTED_VALUE"""),"Ben富邦代墊款 ' 【未分類支出】")</f>
        <v>Ben富邦代墊款 ' 【未分類支出】</v>
      </c>
      <c r="C2398" t="str">
        <f>IFERROR(__xludf.DUMMYFUNCTION("""COMPUTED_VALUE"""),"費用 - Salary 薪資")</f>
        <v>費用 - Salary 薪資</v>
      </c>
      <c r="D2398" s="270">
        <f>IFERROR(__xludf.DUMMYFUNCTION("""COMPUTED_VALUE"""),-200000.0)</f>
        <v>-200000</v>
      </c>
      <c r="E2398" t="str">
        <f>IFERROR(__xludf.DUMMYFUNCTION("""COMPUTED_VALUE"""),"台銀籌備帳戶")</f>
        <v>台銀籌備帳戶</v>
      </c>
      <c r="F2398" t="str">
        <f>IFERROR(__xludf.DUMMYFUNCTION("""COMPUTED_VALUE"""),"Ben帳戶")</f>
        <v>Ben帳戶</v>
      </c>
      <c r="G2398" t="str">
        <f>IFERROR(__xludf.DUMMYFUNCTION("""COMPUTED_VALUE"""),"無法分類")</f>
        <v>無法分類</v>
      </c>
      <c r="H2398" s="106" t="str">
        <f t="shared" si="1"/>
        <v>2025-08</v>
      </c>
      <c r="I2398" s="271" t="str">
        <f>IFERROR(__xludf.DUMMYFUNCTION("""COMPUTED_VALUE"""),"貓狗企鵝")</f>
        <v>貓狗企鵝</v>
      </c>
      <c r="J2398" t="str">
        <f>IFERROR(__xludf.DUMMYFUNCTION("IFS(
  AND(REGEXMATCH(E2398, ""台銀籌備帳戶|玉山帳戶""), REGEXMATCH(C2398, ""薪資"")), ""分潤支出"",
  AND(REGEXMATCH(E2398, ""Ben帳戶|Elsa帳戶|Ben代墊|Ariel代墊|中信銀行共用""), REGEXMATCH(F2398, ""Ben帳戶|Elsa帳戶|Ben代墊|Ariel代墊|中信銀行共用"")), ""內部轉帳(忽略)"",
  AND(E2398&lt;&gt;"""", F2398&lt;&gt;"""", N"&amp;"OT(REGEXMATCH(C2398, ""薪資""))), ""內部轉帳(忽略)"",
  REGEXMATCH(C2398, ""薪資""), ""薪資變動(不計入)"",
  REGEXMATCH(C2398, ""押金""), ""押金往來"",
  AND(E2398&lt;&gt;"""", F2398=""""), ""真實支出"",
  AND(E2398="""", F2398&lt;&gt;""""), ""真實收入"",
  TRUE, ""其他""
)"),"分潤支出")</f>
        <v>分潤支出</v>
      </c>
      <c r="K2398">
        <f t="shared" si="2"/>
        <v>0</v>
      </c>
      <c r="L2398">
        <f t="shared" si="3"/>
        <v>200000</v>
      </c>
    </row>
    <row r="2399">
      <c r="A2399" s="107">
        <f>IFERROR(__xludf.DUMMYFUNCTION("""COMPUTED_VALUE"""),45874.0)</f>
        <v>45874</v>
      </c>
      <c r="B2399" t="str">
        <f>IFERROR(__xludf.DUMMYFUNCTION("""COMPUTED_VALUE"""),"[中山北娘家旁] C [魏湘芸] 月租金 (行號: 2)")</f>
        <v>[中山北娘家旁] C [魏湘芸] 月租金 (行號: 2)</v>
      </c>
      <c r="C2399" t="str">
        <f>IFERROR(__xludf.DUMMYFUNCTION("""COMPUTED_VALUE"""),"收入 - 租金")</f>
        <v>收入 - 租金</v>
      </c>
      <c r="D2399" s="270">
        <f>IFERROR(__xludf.DUMMYFUNCTION("""COMPUTED_VALUE"""),14800.0)</f>
        <v>14800</v>
      </c>
      <c r="F2399" t="str">
        <f>IFERROR(__xludf.DUMMYFUNCTION("""COMPUTED_VALUE"""),"台銀籌備帳戶")</f>
        <v>台銀籌備帳戶</v>
      </c>
      <c r="G2399" t="str">
        <f>IFERROR(__xludf.DUMMYFUNCTION("""COMPUTED_VALUE"""),"中山北娘家旁")</f>
        <v>中山北娘家旁</v>
      </c>
      <c r="H2399" s="106" t="str">
        <f t="shared" si="1"/>
        <v>2025-08</v>
      </c>
      <c r="I2399" s="271" t="str">
        <f>IFERROR(__xludf.DUMMYFUNCTION("""COMPUTED_VALUE"""),"貓狗企鵝")</f>
        <v>貓狗企鵝</v>
      </c>
      <c r="J2399" t="str">
        <f>IFERROR(__xludf.DUMMYFUNCTION("IFS(
  AND(REGEXMATCH(E2399, ""台銀籌備帳戶|玉山帳戶""), REGEXMATCH(C2399, ""薪資"")), ""分潤支出"",
  AND(REGEXMATCH(E2399, ""Ben帳戶|Elsa帳戶|Ben代墊|Ariel代墊|中信銀行共用""), REGEXMATCH(F2399, ""Ben帳戶|Elsa帳戶|Ben代墊|Ariel代墊|中信銀行共用"")), ""內部轉帳(忽略)"",
  AND(E2399&lt;&gt;"""", F2399&lt;&gt;"""", N"&amp;"OT(REGEXMATCH(C2399, ""薪資""))), ""內部轉帳(忽略)"",
  REGEXMATCH(C2399, ""薪資""), ""薪資變動(不計入)"",
  REGEXMATCH(C2399, ""押金""), ""押金往來"",
  AND(E2399&lt;&gt;"""", F2399=""""), ""真實支出"",
  AND(E2399="""", F2399&lt;&gt;""""), ""真實收入"",
  TRUE, ""其他""
)"),"真實收入")</f>
        <v>真實收入</v>
      </c>
      <c r="K2399" s="270">
        <f t="shared" si="2"/>
        <v>14800</v>
      </c>
      <c r="L2399">
        <f t="shared" si="3"/>
        <v>0</v>
      </c>
    </row>
    <row r="2400">
      <c r="A2400" s="107">
        <f>IFERROR(__xludf.DUMMYFUNCTION("""COMPUTED_VALUE"""),45874.0)</f>
        <v>45874</v>
      </c>
      <c r="B2400" t="str">
        <f>IFERROR(__xludf.DUMMYFUNCTION("""COMPUTED_VALUE"""),"[哈拉對面] C [徐鉦庭] 月租金 (行號: 3)")</f>
        <v>[哈拉對面] C [徐鉦庭] 月租金 (行號: 3)</v>
      </c>
      <c r="C2400" t="str">
        <f>IFERROR(__xludf.DUMMYFUNCTION("""COMPUTED_VALUE"""),"收入 - 租金")</f>
        <v>收入 - 租金</v>
      </c>
      <c r="D2400" s="270">
        <f>IFERROR(__xludf.DUMMYFUNCTION("""COMPUTED_VALUE"""),11800.0)</f>
        <v>11800</v>
      </c>
      <c r="F2400" t="str">
        <f>IFERROR(__xludf.DUMMYFUNCTION("""COMPUTED_VALUE"""),"台銀籌備帳戶")</f>
        <v>台銀籌備帳戶</v>
      </c>
      <c r="G2400" t="str">
        <f>IFERROR(__xludf.DUMMYFUNCTION("""COMPUTED_VALUE"""),"哈拉對面")</f>
        <v>哈拉對面</v>
      </c>
      <c r="H2400" s="106" t="str">
        <f t="shared" si="1"/>
        <v>2025-08</v>
      </c>
      <c r="I2400" s="271" t="str">
        <f>IFERROR(__xludf.DUMMYFUNCTION("""COMPUTED_VALUE"""),"貓狗企鵝")</f>
        <v>貓狗企鵝</v>
      </c>
      <c r="J2400" t="str">
        <f>IFERROR(__xludf.DUMMYFUNCTION("IFS(
  AND(REGEXMATCH(E2400, ""台銀籌備帳戶|玉山帳戶""), REGEXMATCH(C2400, ""薪資"")), ""分潤支出"",
  AND(REGEXMATCH(E2400, ""Ben帳戶|Elsa帳戶|Ben代墊|Ariel代墊|中信銀行共用""), REGEXMATCH(F2400, ""Ben帳戶|Elsa帳戶|Ben代墊|Ariel代墊|中信銀行共用"")), ""內部轉帳(忽略)"",
  AND(E2400&lt;&gt;"""", F2400&lt;&gt;"""", N"&amp;"OT(REGEXMATCH(C2400, ""薪資""))), ""內部轉帳(忽略)"",
  REGEXMATCH(C2400, ""薪資""), ""薪資變動(不計入)"",
  REGEXMATCH(C2400, ""押金""), ""押金往來"",
  AND(E2400&lt;&gt;"""", F2400=""""), ""真實支出"",
  AND(E2400="""", F2400&lt;&gt;""""), ""真實收入"",
  TRUE, ""其他""
)"),"真實收入")</f>
        <v>真實收入</v>
      </c>
      <c r="K2400" s="270">
        <f t="shared" si="2"/>
        <v>11800</v>
      </c>
      <c r="L2400">
        <f t="shared" si="3"/>
        <v>0</v>
      </c>
    </row>
    <row r="2401">
      <c r="A2401" s="107">
        <f>IFERROR(__xludf.DUMMYFUNCTION("""COMPUTED_VALUE"""),45879.0)</f>
        <v>45879</v>
      </c>
      <c r="B2401" t="str">
        <f>IFERROR(__xludf.DUMMYFUNCTION("""COMPUTED_VALUE"""),"南港禮盒餅乾")</f>
        <v>南港禮盒餅乾</v>
      </c>
      <c r="C2401" t="str">
        <f>IFERROR(__xludf.DUMMYFUNCTION("""COMPUTED_VALUE"""),"成本 - 租後修繕")</f>
        <v>成本 - 租後修繕</v>
      </c>
      <c r="D2401" s="270">
        <f>IFERROR(__xludf.DUMMYFUNCTION("""COMPUTED_VALUE"""),-1320.0)</f>
        <v>-1320</v>
      </c>
      <c r="E2401" t="str">
        <f>IFERROR(__xludf.DUMMYFUNCTION("""COMPUTED_VALUE"""),"Ben帳戶")</f>
        <v>Ben帳戶</v>
      </c>
      <c r="G2401" t="str">
        <f>IFERROR(__xludf.DUMMYFUNCTION("""COMPUTED_VALUE"""),"南港站挑高宅")</f>
        <v>南港站挑高宅</v>
      </c>
      <c r="H2401" s="106" t="str">
        <f t="shared" si="1"/>
        <v>2025-08</v>
      </c>
      <c r="I2401" s="271" t="str">
        <f>IFERROR(__xludf.DUMMYFUNCTION("""COMPUTED_VALUE"""),"貓狗企鵝")</f>
        <v>貓狗企鵝</v>
      </c>
      <c r="J2401" t="str">
        <f>IFERROR(__xludf.DUMMYFUNCTION("IFS(
  AND(REGEXMATCH(E2401, ""台銀籌備帳戶|玉山帳戶""), REGEXMATCH(C2401, ""薪資"")), ""分潤支出"",
  AND(REGEXMATCH(E2401, ""Ben帳戶|Elsa帳戶|Ben代墊|Ariel代墊|中信銀行共用""), REGEXMATCH(F2401, ""Ben帳戶|Elsa帳戶|Ben代墊|Ariel代墊|中信銀行共用"")), ""內部轉帳(忽略)"",
  AND(E2401&lt;&gt;"""", F2401&lt;&gt;"""", N"&amp;"OT(REGEXMATCH(C2401, ""薪資""))), ""內部轉帳(忽略)"",
  REGEXMATCH(C2401, ""薪資""), ""薪資變動(不計入)"",
  REGEXMATCH(C2401, ""押金""), ""押金往來"",
  AND(E2401&lt;&gt;"""", F2401=""""), ""真實支出"",
  AND(E2401="""", F2401&lt;&gt;""""), ""真實收入"",
  TRUE, ""其他""
)"),"真實支出")</f>
        <v>真實支出</v>
      </c>
      <c r="K2401" s="270">
        <f t="shared" si="2"/>
        <v>-1320</v>
      </c>
      <c r="L2401">
        <f t="shared" si="3"/>
        <v>0</v>
      </c>
    </row>
    <row r="2402">
      <c r="A2402" s="107">
        <f>IFERROR(__xludf.DUMMYFUNCTION("""COMPUTED_VALUE"""),45879.0)</f>
        <v>45879</v>
      </c>
      <c r="B2402" t="str">
        <f>IFERROR(__xludf.DUMMYFUNCTION("""COMPUTED_VALUE"""),"大湖退租水電瓦斯")</f>
        <v>大湖退租水電瓦斯</v>
      </c>
      <c r="C2402" t="str">
        <f>IFERROR(__xludf.DUMMYFUNCTION("""COMPUTED_VALUE"""),"成本 - 固定開銷(網路代收清潔)")</f>
        <v>成本 - 固定開銷(網路代收清潔)</v>
      </c>
      <c r="D2402" s="270">
        <f>IFERROR(__xludf.DUMMYFUNCTION("""COMPUTED_VALUE"""),-4307.0)</f>
        <v>-4307</v>
      </c>
      <c r="E2402" t="str">
        <f>IFERROR(__xludf.DUMMYFUNCTION("""COMPUTED_VALUE"""),"Ben帳戶")</f>
        <v>Ben帳戶</v>
      </c>
      <c r="G2402" t="str">
        <f>IFERROR(__xludf.DUMMYFUNCTION("""COMPUTED_VALUE"""),"大湖山莊")</f>
        <v>大湖山莊</v>
      </c>
      <c r="H2402" s="106" t="str">
        <f t="shared" si="1"/>
        <v>2025-08</v>
      </c>
      <c r="I2402" s="271" t="str">
        <f>IFERROR(__xludf.DUMMYFUNCTION("""COMPUTED_VALUE"""),"貓狗企鵝")</f>
        <v>貓狗企鵝</v>
      </c>
      <c r="J2402" t="str">
        <f>IFERROR(__xludf.DUMMYFUNCTION("IFS(
  AND(REGEXMATCH(E2402, ""台銀籌備帳戶|玉山帳戶""), REGEXMATCH(C2402, ""薪資"")), ""分潤支出"",
  AND(REGEXMATCH(E2402, ""Ben帳戶|Elsa帳戶|Ben代墊|Ariel代墊|中信銀行共用""), REGEXMATCH(F2402, ""Ben帳戶|Elsa帳戶|Ben代墊|Ariel代墊|中信銀行共用"")), ""內部轉帳(忽略)"",
  AND(E2402&lt;&gt;"""", F2402&lt;&gt;"""", N"&amp;"OT(REGEXMATCH(C2402, ""薪資""))), ""內部轉帳(忽略)"",
  REGEXMATCH(C2402, ""薪資""), ""薪資變動(不計入)"",
  REGEXMATCH(C2402, ""押金""), ""押金往來"",
  AND(E2402&lt;&gt;"""", F2402=""""), ""真實支出"",
  AND(E2402="""", F2402&lt;&gt;""""), ""真實收入"",
  TRUE, ""其他""
)"),"真實支出")</f>
        <v>真實支出</v>
      </c>
      <c r="K2402" s="270">
        <f t="shared" si="2"/>
        <v>-4307</v>
      </c>
      <c r="L2402">
        <f t="shared" si="3"/>
        <v>0</v>
      </c>
    </row>
    <row r="2403">
      <c r="A2403" s="107">
        <f>IFERROR(__xludf.DUMMYFUNCTION("""COMPUTED_VALUE"""),45881.0)</f>
        <v>45881</v>
      </c>
      <c r="B2403" t="str">
        <f>IFERROR(__xludf.DUMMYFUNCTION("""COMPUTED_VALUE"""),"南港落地窗")</f>
        <v>南港落地窗</v>
      </c>
      <c r="C2403" t="str">
        <f>IFERROR(__xludf.DUMMYFUNCTION("""COMPUTED_VALUE"""),"成本 - 租後修繕")</f>
        <v>成本 - 租後修繕</v>
      </c>
      <c r="D2403" s="270">
        <f>IFERROR(__xludf.DUMMYFUNCTION("""COMPUTED_VALUE"""),-15750.0)</f>
        <v>-15750</v>
      </c>
      <c r="E2403" t="str">
        <f>IFERROR(__xludf.DUMMYFUNCTION("""COMPUTED_VALUE"""),"Elsa帳戶")</f>
        <v>Elsa帳戶</v>
      </c>
      <c r="G2403" t="str">
        <f>IFERROR(__xludf.DUMMYFUNCTION("""COMPUTED_VALUE"""),"南港站挑高宅")</f>
        <v>南港站挑高宅</v>
      </c>
      <c r="H2403" s="106" t="str">
        <f t="shared" si="1"/>
        <v>2025-08</v>
      </c>
      <c r="I2403" s="271" t="str">
        <f>IFERROR(__xludf.DUMMYFUNCTION("""COMPUTED_VALUE"""),"貓狗企鵝")</f>
        <v>貓狗企鵝</v>
      </c>
      <c r="J2403" t="str">
        <f>IFERROR(__xludf.DUMMYFUNCTION("IFS(
  AND(REGEXMATCH(E2403, ""台銀籌備帳戶|玉山帳戶""), REGEXMATCH(C2403, ""薪資"")), ""分潤支出"",
  AND(REGEXMATCH(E2403, ""Ben帳戶|Elsa帳戶|Ben代墊|Ariel代墊|中信銀行共用""), REGEXMATCH(F2403, ""Ben帳戶|Elsa帳戶|Ben代墊|Ariel代墊|中信銀行共用"")), ""內部轉帳(忽略)"",
  AND(E2403&lt;&gt;"""", F2403&lt;&gt;"""", N"&amp;"OT(REGEXMATCH(C2403, ""薪資""))), ""內部轉帳(忽略)"",
  REGEXMATCH(C2403, ""薪資""), ""薪資變動(不計入)"",
  REGEXMATCH(C2403, ""押金""), ""押金往來"",
  AND(E2403&lt;&gt;"""", F2403=""""), ""真實支出"",
  AND(E2403="""", F2403&lt;&gt;""""), ""真實收入"",
  TRUE, ""其他""
)"),"真實支出")</f>
        <v>真實支出</v>
      </c>
      <c r="K2403" s="270">
        <f t="shared" si="2"/>
        <v>-15750</v>
      </c>
      <c r="L2403">
        <f t="shared" si="3"/>
        <v>0</v>
      </c>
    </row>
    <row r="2404">
      <c r="A2404" s="107">
        <f>IFERROR(__xludf.DUMMYFUNCTION("""COMPUTED_VALUE"""),45882.0)</f>
        <v>45882</v>
      </c>
      <c r="B2404" t="str">
        <f>IFERROR(__xludf.DUMMYFUNCTION("""COMPUTED_VALUE"""),"南港除濕機")</f>
        <v>南港除濕機</v>
      </c>
      <c r="C2404" t="str">
        <f>IFERROR(__xludf.DUMMYFUNCTION("""COMPUTED_VALUE"""),"成本 - 租後修繕")</f>
        <v>成本 - 租後修繕</v>
      </c>
      <c r="D2404" s="270">
        <f>IFERROR(__xludf.DUMMYFUNCTION("""COMPUTED_VALUE"""),-4990.0)</f>
        <v>-4990</v>
      </c>
      <c r="E2404" t="str">
        <f>IFERROR(__xludf.DUMMYFUNCTION("""COMPUTED_VALUE"""),"Elsa帳戶")</f>
        <v>Elsa帳戶</v>
      </c>
      <c r="G2404" t="str">
        <f>IFERROR(__xludf.DUMMYFUNCTION("""COMPUTED_VALUE"""),"南港站挑高宅")</f>
        <v>南港站挑高宅</v>
      </c>
      <c r="H2404" s="106" t="str">
        <f t="shared" si="1"/>
        <v>2025-08</v>
      </c>
      <c r="I2404" s="271" t="str">
        <f>IFERROR(__xludf.DUMMYFUNCTION("""COMPUTED_VALUE"""),"貓狗企鵝")</f>
        <v>貓狗企鵝</v>
      </c>
      <c r="J2404" t="str">
        <f>IFERROR(__xludf.DUMMYFUNCTION("IFS(
  AND(REGEXMATCH(E2404, ""台銀籌備帳戶|玉山帳戶""), REGEXMATCH(C2404, ""薪資"")), ""分潤支出"",
  AND(REGEXMATCH(E2404, ""Ben帳戶|Elsa帳戶|Ben代墊|Ariel代墊|中信銀行共用""), REGEXMATCH(F2404, ""Ben帳戶|Elsa帳戶|Ben代墊|Ariel代墊|中信銀行共用"")), ""內部轉帳(忽略)"",
  AND(E2404&lt;&gt;"""", F2404&lt;&gt;"""", N"&amp;"OT(REGEXMATCH(C2404, ""薪資""))), ""內部轉帳(忽略)"",
  REGEXMATCH(C2404, ""薪資""), ""薪資變動(不計入)"",
  REGEXMATCH(C2404, ""押金""), ""押金往來"",
  AND(E2404&lt;&gt;"""", F2404=""""), ""真實支出"",
  AND(E2404="""", F2404&lt;&gt;""""), ""真實收入"",
  TRUE, ""其他""
)"),"真實支出")</f>
        <v>真實支出</v>
      </c>
      <c r="K2404" s="270">
        <f t="shared" si="2"/>
        <v>-4990</v>
      </c>
      <c r="L2404">
        <f t="shared" si="3"/>
        <v>0</v>
      </c>
    </row>
    <row r="2405">
      <c r="A2405" s="107">
        <f>IFERROR(__xludf.DUMMYFUNCTION("""COMPUTED_VALUE"""),45885.0)</f>
        <v>45885</v>
      </c>
      <c r="B2405" t="str">
        <f>IFERROR(__xludf.DUMMYFUNCTION("""COMPUTED_VALUE"""),"妥妥租官網訂閱")</f>
        <v>妥妥租官網訂閱</v>
      </c>
      <c r="C2405" t="str">
        <f>IFERROR(__xludf.DUMMYFUNCTION("""COMPUTED_VALUE"""),"費用 - 辦公用品")</f>
        <v>費用 - 辦公用品</v>
      </c>
      <c r="D2405" s="270">
        <f>IFERROR(__xludf.DUMMYFUNCTION("""COMPUTED_VALUE"""),-5498.0)</f>
        <v>-5498</v>
      </c>
      <c r="E2405" t="str">
        <f>IFERROR(__xludf.DUMMYFUNCTION("""COMPUTED_VALUE"""),"Ben帳戶")</f>
        <v>Ben帳戶</v>
      </c>
      <c r="H2405" s="106" t="str">
        <f t="shared" si="1"/>
        <v>2025-08</v>
      </c>
      <c r="I2405" s="271" t="str">
        <f>IFERROR(__xludf.DUMMYFUNCTION("""COMPUTED_VALUE"""),"貓狗企鵝")</f>
        <v>貓狗企鵝</v>
      </c>
      <c r="J2405" t="str">
        <f>IFERROR(__xludf.DUMMYFUNCTION("IFS(
  AND(REGEXMATCH(E2405, ""台銀籌備帳戶|玉山帳戶""), REGEXMATCH(C2405, ""薪資"")), ""分潤支出"",
  AND(REGEXMATCH(E2405, ""Ben帳戶|Elsa帳戶|Ben代墊|Ariel代墊|中信銀行共用""), REGEXMATCH(F2405, ""Ben帳戶|Elsa帳戶|Ben代墊|Ariel代墊|中信銀行共用"")), ""內部轉帳(忽略)"",
  AND(E2405&lt;&gt;"""", F2405&lt;&gt;"""", N"&amp;"OT(REGEXMATCH(C2405, ""薪資""))), ""內部轉帳(忽略)"",
  REGEXMATCH(C2405, ""薪資""), ""薪資變動(不計入)"",
  REGEXMATCH(C2405, ""押金""), ""押金往來"",
  AND(E2405&lt;&gt;"""", F2405=""""), ""真實支出"",
  AND(E2405="""", F2405&lt;&gt;""""), ""真實收入"",
  TRUE, ""其他""
)"),"真實支出")</f>
        <v>真實支出</v>
      </c>
      <c r="K2405" s="270">
        <f t="shared" si="2"/>
        <v>-5498</v>
      </c>
      <c r="L2405">
        <f t="shared" si="3"/>
        <v>0</v>
      </c>
    </row>
    <row r="2406">
      <c r="A2406" s="107">
        <f>IFERROR(__xludf.DUMMYFUNCTION("""COMPUTED_VALUE"""),45821.0)</f>
        <v>45821</v>
      </c>
      <c r="B2406" t="str">
        <f>IFERROR(__xludf.DUMMYFUNCTION("""COMPUTED_VALUE"""),"591 兩筆")</f>
        <v>591 兩筆</v>
      </c>
      <c r="C2406" t="str">
        <f>IFERROR(__xludf.DUMMYFUNCTION("""COMPUTED_VALUE"""),"成本 - 仲介費")</f>
        <v>成本 - 仲介費</v>
      </c>
      <c r="D2406" s="270">
        <f>IFERROR(__xludf.DUMMYFUNCTION("""COMPUTED_VALUE"""),-2578.0)</f>
        <v>-2578</v>
      </c>
      <c r="E2406" t="str">
        <f>IFERROR(__xludf.DUMMYFUNCTION("""COMPUTED_VALUE"""),"Ben帳戶")</f>
        <v>Ben帳戶</v>
      </c>
      <c r="G2406" t="str">
        <f>IFERROR(__xludf.DUMMYFUNCTION("""COMPUTED_VALUE"""),"北醫醫師府")</f>
        <v>北醫醫師府</v>
      </c>
      <c r="H2406" s="106" t="str">
        <f t="shared" si="1"/>
        <v>2025-06</v>
      </c>
      <c r="I2406" s="271" t="str">
        <f>IFERROR(__xludf.DUMMYFUNCTION("""COMPUTED_VALUE"""),"貓狗企鵝")</f>
        <v>貓狗企鵝</v>
      </c>
      <c r="J2406" t="str">
        <f>IFERROR(__xludf.DUMMYFUNCTION("IFS(
  AND(REGEXMATCH(E2406, ""台銀籌備帳戶|玉山帳戶""), REGEXMATCH(C2406, ""薪資"")), ""分潤支出"",
  AND(REGEXMATCH(E2406, ""Ben帳戶|Elsa帳戶|Ben代墊|Ariel代墊|中信銀行共用""), REGEXMATCH(F2406, ""Ben帳戶|Elsa帳戶|Ben代墊|Ariel代墊|中信銀行共用"")), ""內部轉帳(忽略)"",
  AND(E2406&lt;&gt;"""", F2406&lt;&gt;"""", N"&amp;"OT(REGEXMATCH(C2406, ""薪資""))), ""內部轉帳(忽略)"",
  REGEXMATCH(C2406, ""薪資""), ""薪資變動(不計入)"",
  REGEXMATCH(C2406, ""押金""), ""押金往來"",
  AND(E2406&lt;&gt;"""", F2406=""""), ""真實支出"",
  AND(E2406="""", F2406&lt;&gt;""""), ""真實收入"",
  TRUE, ""其他""
)"),"真實支出")</f>
        <v>真實支出</v>
      </c>
      <c r="K2406" s="270">
        <f t="shared" si="2"/>
        <v>-2578</v>
      </c>
      <c r="L2406">
        <f t="shared" si="3"/>
        <v>0</v>
      </c>
    </row>
    <row r="2407">
      <c r="A2407" s="107">
        <f>IFERROR(__xludf.DUMMYFUNCTION("""COMPUTED_VALUE"""),45885.0)</f>
        <v>45885</v>
      </c>
      <c r="B2407" t="str">
        <f>IFERROR(__xludf.DUMMYFUNCTION("""COMPUTED_VALUE"""),"南港591")</f>
        <v>南港591</v>
      </c>
      <c r="C2407" t="str">
        <f>IFERROR(__xludf.DUMMYFUNCTION("""COMPUTED_VALUE"""),"成本 - 仲介費")</f>
        <v>成本 - 仲介費</v>
      </c>
      <c r="D2407" s="270">
        <f>IFERROR(__xludf.DUMMYFUNCTION("""COMPUTED_VALUE"""),-1289.0)</f>
        <v>-1289</v>
      </c>
      <c r="E2407" t="str">
        <f>IFERROR(__xludf.DUMMYFUNCTION("""COMPUTED_VALUE"""),"Elsa帳戶")</f>
        <v>Elsa帳戶</v>
      </c>
      <c r="G2407" t="str">
        <f>IFERROR(__xludf.DUMMYFUNCTION("""COMPUTED_VALUE"""),"南港站挑高宅")</f>
        <v>南港站挑高宅</v>
      </c>
      <c r="H2407" s="106" t="str">
        <f t="shared" si="1"/>
        <v>2025-08</v>
      </c>
      <c r="I2407" s="271" t="str">
        <f>IFERROR(__xludf.DUMMYFUNCTION("""COMPUTED_VALUE"""),"貓狗企鵝")</f>
        <v>貓狗企鵝</v>
      </c>
      <c r="J2407" t="str">
        <f>IFERROR(__xludf.DUMMYFUNCTION("IFS(
  AND(REGEXMATCH(E2407, ""台銀籌備帳戶|玉山帳戶""), REGEXMATCH(C2407, ""薪資"")), ""分潤支出"",
  AND(REGEXMATCH(E2407, ""Ben帳戶|Elsa帳戶|Ben代墊|Ariel代墊|中信銀行共用""), REGEXMATCH(F2407, ""Ben帳戶|Elsa帳戶|Ben代墊|Ariel代墊|中信銀行共用"")), ""內部轉帳(忽略)"",
  AND(E2407&lt;&gt;"""", F2407&lt;&gt;"""", N"&amp;"OT(REGEXMATCH(C2407, ""薪資""))), ""內部轉帳(忽略)"",
  REGEXMATCH(C2407, ""薪資""), ""薪資變動(不計入)"",
  REGEXMATCH(C2407, ""押金""), ""押金往來"",
  AND(E2407&lt;&gt;"""", F2407=""""), ""真實支出"",
  AND(E2407="""", F2407&lt;&gt;""""), ""真實收入"",
  TRUE, ""其他""
)"),"真實支出")</f>
        <v>真實支出</v>
      </c>
      <c r="K2407" s="270">
        <f t="shared" si="2"/>
        <v>-1289</v>
      </c>
      <c r="L2407">
        <f t="shared" si="3"/>
        <v>0</v>
      </c>
    </row>
    <row r="2408">
      <c r="A2408" s="107">
        <f>IFERROR(__xludf.DUMMYFUNCTION("""COMPUTED_VALUE"""),45886.0)</f>
        <v>45886</v>
      </c>
      <c r="B2408" t="str">
        <f>IFERROR(__xludf.DUMMYFUNCTION("""COMPUTED_VALUE"""),"熱水器磁鐵")</f>
        <v>熱水器磁鐵</v>
      </c>
      <c r="C2408" t="str">
        <f>IFERROR(__xludf.DUMMYFUNCTION("""COMPUTED_VALUE"""),"成本 - 租後修繕")</f>
        <v>成本 - 租後修繕</v>
      </c>
      <c r="D2408" s="270">
        <f>IFERROR(__xludf.DUMMYFUNCTION("""COMPUTED_VALUE"""),-70.0)</f>
        <v>-70</v>
      </c>
      <c r="E2408" t="str">
        <f>IFERROR(__xludf.DUMMYFUNCTION("""COMPUTED_VALUE"""),"Elsa帳戶")</f>
        <v>Elsa帳戶</v>
      </c>
      <c r="G2408" t="str">
        <f>IFERROR(__xludf.DUMMYFUNCTION("""COMPUTED_VALUE"""),"書香民生")</f>
        <v>書香民生</v>
      </c>
      <c r="H2408" s="106" t="str">
        <f t="shared" si="1"/>
        <v>2025-08</v>
      </c>
      <c r="I2408" s="271" t="str">
        <f>IFERROR(__xludf.DUMMYFUNCTION("""COMPUTED_VALUE"""),"貓狗企鵝")</f>
        <v>貓狗企鵝</v>
      </c>
      <c r="J2408" t="str">
        <f>IFERROR(__xludf.DUMMYFUNCTION("IFS(
  AND(REGEXMATCH(E2408, ""台銀籌備帳戶|玉山帳戶""), REGEXMATCH(C2408, ""薪資"")), ""分潤支出"",
  AND(REGEXMATCH(E2408, ""Ben帳戶|Elsa帳戶|Ben代墊|Ariel代墊|中信銀行共用""), REGEXMATCH(F2408, ""Ben帳戶|Elsa帳戶|Ben代墊|Ariel代墊|中信銀行共用"")), ""內部轉帳(忽略)"",
  AND(E2408&lt;&gt;"""", F2408&lt;&gt;"""", N"&amp;"OT(REGEXMATCH(C2408, ""薪資""))), ""內部轉帳(忽略)"",
  REGEXMATCH(C2408, ""薪資""), ""薪資變動(不計入)"",
  REGEXMATCH(C2408, ""押金""), ""押金往來"",
  AND(E2408&lt;&gt;"""", F2408=""""), ""真實支出"",
  AND(E2408="""", F2408&lt;&gt;""""), ""真實收入"",
  TRUE, ""其他""
)"),"真實支出")</f>
        <v>真實支出</v>
      </c>
      <c r="K2408" s="270">
        <f t="shared" si="2"/>
        <v>-70</v>
      </c>
      <c r="L2408">
        <f t="shared" si="3"/>
        <v>0</v>
      </c>
    </row>
    <row r="2409">
      <c r="A2409" s="107">
        <f>IFERROR(__xludf.DUMMYFUNCTION("""COMPUTED_VALUE"""),45888.0)</f>
        <v>45888</v>
      </c>
      <c r="B2409" t="str">
        <f>IFERROR(__xludf.DUMMYFUNCTION("""COMPUTED_VALUE"""),"Feli家 6樓 退押金")</f>
        <v>Feli家 6樓 退押金</v>
      </c>
      <c r="C2409" t="str">
        <f>IFERROR(__xludf.DUMMYFUNCTION("""COMPUTED_VALUE"""),"收入 - 押金")</f>
        <v>收入 - 押金</v>
      </c>
      <c r="D2409" s="270">
        <f>IFERROR(__xludf.DUMMYFUNCTION("""COMPUTED_VALUE"""),-1100.0)</f>
        <v>-1100</v>
      </c>
      <c r="E2409" t="str">
        <f>IFERROR(__xludf.DUMMYFUNCTION("""COMPUTED_VALUE"""),"Ben帳戶")</f>
        <v>Ben帳戶</v>
      </c>
      <c r="G2409" t="str">
        <f>IFERROR(__xludf.DUMMYFUNCTION("""COMPUTED_VALUE"""),"中山北Feli家")</f>
        <v>中山北Feli家</v>
      </c>
      <c r="H2409" s="106" t="str">
        <f t="shared" si="1"/>
        <v>2025-08</v>
      </c>
      <c r="I2409" s="271" t="str">
        <f>IFERROR(__xludf.DUMMYFUNCTION("""COMPUTED_VALUE"""),"貓狗企鵝")</f>
        <v>貓狗企鵝</v>
      </c>
      <c r="J2409" t="str">
        <f>IFERROR(__xludf.DUMMYFUNCTION("IFS(
  AND(REGEXMATCH(E2409, ""台銀籌備帳戶|玉山帳戶""), REGEXMATCH(C2409, ""薪資"")), ""分潤支出"",
  AND(REGEXMATCH(E2409, ""Ben帳戶|Elsa帳戶|Ben代墊|Ariel代墊|中信銀行共用""), REGEXMATCH(F2409, ""Ben帳戶|Elsa帳戶|Ben代墊|Ariel代墊|中信銀行共用"")), ""內部轉帳(忽略)"",
  AND(E2409&lt;&gt;"""", F2409&lt;&gt;"""", N"&amp;"OT(REGEXMATCH(C2409, ""薪資""))), ""內部轉帳(忽略)"",
  REGEXMATCH(C2409, ""薪資""), ""薪資變動(不計入)"",
  REGEXMATCH(C2409, ""押金""), ""押金往來"",
  AND(E2409&lt;&gt;"""", F2409=""""), ""真實支出"",
  AND(E2409="""", F2409&lt;&gt;""""), ""真實收入"",
  TRUE, ""其他""
)"),"押金往來")</f>
        <v>押金往來</v>
      </c>
      <c r="K2409">
        <f t="shared" si="2"/>
        <v>0</v>
      </c>
      <c r="L2409">
        <f t="shared" si="3"/>
        <v>0</v>
      </c>
    </row>
    <row r="2410">
      <c r="A2410" s="107">
        <f>IFERROR(__xludf.DUMMYFUNCTION("""COMPUTED_VALUE"""),45890.0)</f>
        <v>45890</v>
      </c>
      <c r="B2410" t="str">
        <f>IFERROR(__xludf.DUMMYFUNCTION("""COMPUTED_VALUE"""),"書香A 大金冷氣檢修")</f>
        <v>書香A 大金冷氣檢修</v>
      </c>
      <c r="C2410" t="str">
        <f>IFERROR(__xludf.DUMMYFUNCTION("""COMPUTED_VALUE"""),"成本 - 租後修繕")</f>
        <v>成本 - 租後修繕</v>
      </c>
      <c r="D2410" s="270">
        <f>IFERROR(__xludf.DUMMYFUNCTION("""COMPUTED_VALUE"""),-600.0)</f>
        <v>-600</v>
      </c>
      <c r="E2410" t="str">
        <f>IFERROR(__xludf.DUMMYFUNCTION("""COMPUTED_VALUE"""),"Elsa帳戶")</f>
        <v>Elsa帳戶</v>
      </c>
      <c r="G2410" t="str">
        <f>IFERROR(__xludf.DUMMYFUNCTION("""COMPUTED_VALUE"""),"書香民生")</f>
        <v>書香民生</v>
      </c>
      <c r="H2410" s="106" t="str">
        <f t="shared" si="1"/>
        <v>2025-08</v>
      </c>
      <c r="I2410" s="271" t="str">
        <f>IFERROR(__xludf.DUMMYFUNCTION("""COMPUTED_VALUE"""),"貓狗企鵝")</f>
        <v>貓狗企鵝</v>
      </c>
      <c r="J2410" t="str">
        <f>IFERROR(__xludf.DUMMYFUNCTION("IFS(
  AND(REGEXMATCH(E2410, ""台銀籌備帳戶|玉山帳戶""), REGEXMATCH(C2410, ""薪資"")), ""分潤支出"",
  AND(REGEXMATCH(E2410, ""Ben帳戶|Elsa帳戶|Ben代墊|Ariel代墊|中信銀行共用""), REGEXMATCH(F2410, ""Ben帳戶|Elsa帳戶|Ben代墊|Ariel代墊|中信銀行共用"")), ""內部轉帳(忽略)"",
  AND(E2410&lt;&gt;"""", F2410&lt;&gt;"""", N"&amp;"OT(REGEXMATCH(C2410, ""薪資""))), ""內部轉帳(忽略)"",
  REGEXMATCH(C2410, ""薪資""), ""薪資變動(不計入)"",
  REGEXMATCH(C2410, ""押金""), ""押金往來"",
  AND(E2410&lt;&gt;"""", F2410=""""), ""真實支出"",
  AND(E2410="""", F2410&lt;&gt;""""), ""真實收入"",
  TRUE, ""其他""
)"),"真實支出")</f>
        <v>真實支出</v>
      </c>
      <c r="K2410" s="270">
        <f t="shared" si="2"/>
        <v>-600</v>
      </c>
      <c r="L2410">
        <f t="shared" si="3"/>
        <v>0</v>
      </c>
    </row>
    <row r="2411">
      <c r="A2411" s="107">
        <f>IFERROR(__xludf.DUMMYFUNCTION("""COMPUTED_VALUE"""),45890.0)</f>
        <v>45890</v>
      </c>
      <c r="B2411" t="str">
        <f>IFERROR(__xludf.DUMMYFUNCTION("""COMPUTED_VALUE"""),"清潔🧽")</f>
        <v>清潔🧽</v>
      </c>
      <c r="C2411" t="str">
        <f>IFERROR(__xludf.DUMMYFUNCTION("""COMPUTED_VALUE"""),"成本 - 固定開銷(網路代收清潔)")</f>
        <v>成本 - 固定開銷(網路代收清潔)</v>
      </c>
      <c r="D2411" s="270">
        <f>IFERROR(__xludf.DUMMYFUNCTION("""COMPUTED_VALUE"""),-1050.0)</f>
        <v>-1050</v>
      </c>
      <c r="E2411" t="str">
        <f>IFERROR(__xludf.DUMMYFUNCTION("""COMPUTED_VALUE"""),"Elsa帳戶")</f>
        <v>Elsa帳戶</v>
      </c>
      <c r="G2411" t="str">
        <f>IFERROR(__xludf.DUMMYFUNCTION("""COMPUTED_VALUE"""),"書香民生")</f>
        <v>書香民生</v>
      </c>
      <c r="H2411" s="106" t="str">
        <f t="shared" si="1"/>
        <v>2025-08</v>
      </c>
      <c r="I2411" s="271" t="str">
        <f>IFERROR(__xludf.DUMMYFUNCTION("""COMPUTED_VALUE"""),"貓狗企鵝")</f>
        <v>貓狗企鵝</v>
      </c>
      <c r="J2411" t="str">
        <f>IFERROR(__xludf.DUMMYFUNCTION("IFS(
  AND(REGEXMATCH(E2411, ""台銀籌備帳戶|玉山帳戶""), REGEXMATCH(C2411, ""薪資"")), ""分潤支出"",
  AND(REGEXMATCH(E2411, ""Ben帳戶|Elsa帳戶|Ben代墊|Ariel代墊|中信銀行共用""), REGEXMATCH(F2411, ""Ben帳戶|Elsa帳戶|Ben代墊|Ariel代墊|中信銀行共用"")), ""內部轉帳(忽略)"",
  AND(E2411&lt;&gt;"""", F2411&lt;&gt;"""", N"&amp;"OT(REGEXMATCH(C2411, ""薪資""))), ""內部轉帳(忽略)"",
  REGEXMATCH(C2411, ""薪資""), ""薪資變動(不計入)"",
  REGEXMATCH(C2411, ""押金""), ""押金往來"",
  AND(E2411&lt;&gt;"""", F2411=""""), ""真實支出"",
  AND(E2411="""", F2411&lt;&gt;""""), ""真實收入"",
  TRUE, ""其他""
)"),"真實支出")</f>
        <v>真實支出</v>
      </c>
      <c r="K2411" s="270">
        <f t="shared" si="2"/>
        <v>-1050</v>
      </c>
      <c r="L2411">
        <f t="shared" si="3"/>
        <v>0</v>
      </c>
    </row>
    <row r="2412">
      <c r="A2412" s="107">
        <f>IFERROR(__xludf.DUMMYFUNCTION("""COMPUTED_VALUE"""),45892.0)</f>
        <v>45892</v>
      </c>
      <c r="B2412" t="str">
        <f>IFERROR(__xludf.DUMMYFUNCTION("""COMPUTED_VALUE"""),"龍江蓮蓬頭")</f>
        <v>龍江蓮蓬頭</v>
      </c>
      <c r="C2412" t="str">
        <f>IFERROR(__xludf.DUMMYFUNCTION("""COMPUTED_VALUE"""),"成本 - 租後修繕")</f>
        <v>成本 - 租後修繕</v>
      </c>
      <c r="D2412" s="270">
        <f>IFERROR(__xludf.DUMMYFUNCTION("""COMPUTED_VALUE"""),-169.0)</f>
        <v>-169</v>
      </c>
      <c r="E2412" t="str">
        <f>IFERROR(__xludf.DUMMYFUNCTION("""COMPUTED_VALUE"""),"Ben帳戶")</f>
        <v>Ben帳戶</v>
      </c>
      <c r="G2412" t="str">
        <f>IFERROR(__xludf.DUMMYFUNCTION("""COMPUTED_VALUE"""),"龍江229")</f>
        <v>龍江229</v>
      </c>
      <c r="H2412" s="106" t="str">
        <f t="shared" si="1"/>
        <v>2025-08</v>
      </c>
      <c r="I2412" s="271" t="str">
        <f>IFERROR(__xludf.DUMMYFUNCTION("""COMPUTED_VALUE"""),"貓狗企鵝")</f>
        <v>貓狗企鵝</v>
      </c>
      <c r="J2412" t="str">
        <f>IFERROR(__xludf.DUMMYFUNCTION("IFS(
  AND(REGEXMATCH(E2412, ""台銀籌備帳戶|玉山帳戶""), REGEXMATCH(C2412, ""薪資"")), ""分潤支出"",
  AND(REGEXMATCH(E2412, ""Ben帳戶|Elsa帳戶|Ben代墊|Ariel代墊|中信銀行共用""), REGEXMATCH(F2412, ""Ben帳戶|Elsa帳戶|Ben代墊|Ariel代墊|中信銀行共用"")), ""內部轉帳(忽略)"",
  AND(E2412&lt;&gt;"""", F2412&lt;&gt;"""", N"&amp;"OT(REGEXMATCH(C2412, ""薪資""))), ""內部轉帳(忽略)"",
  REGEXMATCH(C2412, ""薪資""), ""薪資變動(不計入)"",
  REGEXMATCH(C2412, ""押金""), ""押金往來"",
  AND(E2412&lt;&gt;"""", F2412=""""), ""真實支出"",
  AND(E2412="""", F2412&lt;&gt;""""), ""真實收入"",
  TRUE, ""其他""
)"),"真實支出")</f>
        <v>真實支出</v>
      </c>
      <c r="K2412" s="270">
        <f t="shared" si="2"/>
        <v>-169</v>
      </c>
      <c r="L2412">
        <f t="shared" si="3"/>
        <v>0</v>
      </c>
    </row>
    <row r="2413">
      <c r="A2413" s="107">
        <f>IFERROR(__xludf.DUMMYFUNCTION("""COMPUTED_VALUE"""),45893.0)</f>
        <v>45893</v>
      </c>
      <c r="B2413" t="str">
        <f>IFERROR(__xludf.DUMMYFUNCTION("""COMPUTED_VALUE"""),"Feli 6樓清潔")</f>
        <v>Feli 6樓清潔</v>
      </c>
      <c r="C2413" t="str">
        <f>IFERROR(__xludf.DUMMYFUNCTION("""COMPUTED_VALUE"""),"成本 - 租後修繕")</f>
        <v>成本 - 租後修繕</v>
      </c>
      <c r="D2413" s="270">
        <f>IFERROR(__xludf.DUMMYFUNCTION("""COMPUTED_VALUE"""),-1050.0)</f>
        <v>-1050</v>
      </c>
      <c r="E2413" t="str">
        <f>IFERROR(__xludf.DUMMYFUNCTION("""COMPUTED_VALUE"""),"Elsa帳戶")</f>
        <v>Elsa帳戶</v>
      </c>
      <c r="G2413" t="str">
        <f>IFERROR(__xludf.DUMMYFUNCTION("""COMPUTED_VALUE"""),"中山北Feli家")</f>
        <v>中山北Feli家</v>
      </c>
      <c r="H2413" s="106" t="str">
        <f t="shared" si="1"/>
        <v>2025-08</v>
      </c>
      <c r="I2413" s="271" t="str">
        <f>IFERROR(__xludf.DUMMYFUNCTION("""COMPUTED_VALUE"""),"貓狗企鵝")</f>
        <v>貓狗企鵝</v>
      </c>
      <c r="J2413" t="str">
        <f>IFERROR(__xludf.DUMMYFUNCTION("IFS(
  AND(REGEXMATCH(E2413, ""台銀籌備帳戶|玉山帳戶""), REGEXMATCH(C2413, ""薪資"")), ""分潤支出"",
  AND(REGEXMATCH(E2413, ""Ben帳戶|Elsa帳戶|Ben代墊|Ariel代墊|中信銀行共用""), REGEXMATCH(F2413, ""Ben帳戶|Elsa帳戶|Ben代墊|Ariel代墊|中信銀行共用"")), ""內部轉帳(忽略)"",
  AND(E2413&lt;&gt;"""", F2413&lt;&gt;"""", N"&amp;"OT(REGEXMATCH(C2413, ""薪資""))), ""內部轉帳(忽略)"",
  REGEXMATCH(C2413, ""薪資""), ""薪資變動(不計入)"",
  REGEXMATCH(C2413, ""押金""), ""押金往來"",
  AND(E2413&lt;&gt;"""", F2413=""""), ""真實支出"",
  AND(E2413="""", F2413&lt;&gt;""""), ""真實收入"",
  TRUE, ""其他""
)"),"真實支出")</f>
        <v>真實支出</v>
      </c>
      <c r="K2413" s="270">
        <f t="shared" si="2"/>
        <v>-1050</v>
      </c>
      <c r="L2413">
        <f t="shared" si="3"/>
        <v>0</v>
      </c>
    </row>
    <row r="2414">
      <c r="A2414" s="107">
        <f>IFERROR(__xludf.DUMMYFUNCTION("""COMPUTED_VALUE"""),45893.0)</f>
        <v>45893</v>
      </c>
      <c r="B2414" t="str">
        <f>IFERROR(__xludf.DUMMYFUNCTION("""COMPUTED_VALUE"""),"Line認證ID")</f>
        <v>Line認證ID</v>
      </c>
      <c r="C2414" t="str">
        <f>IFERROR(__xludf.DUMMYFUNCTION("""COMPUTED_VALUE"""),"費用 - 辦公用品")</f>
        <v>費用 - 辦公用品</v>
      </c>
      <c r="D2414" s="270">
        <f>IFERROR(__xludf.DUMMYFUNCTION("""COMPUTED_VALUE"""),-756.0)</f>
        <v>-756</v>
      </c>
      <c r="E2414" t="str">
        <f>IFERROR(__xludf.DUMMYFUNCTION("""COMPUTED_VALUE"""),"Ben帳戶")</f>
        <v>Ben帳戶</v>
      </c>
      <c r="G2414" t="str">
        <f>IFERROR(__xludf.DUMMYFUNCTION("""COMPUTED_VALUE"""),"無法分類")</f>
        <v>無法分類</v>
      </c>
      <c r="H2414" s="106" t="str">
        <f t="shared" si="1"/>
        <v>2025-08</v>
      </c>
      <c r="I2414" s="271" t="str">
        <f>IFERROR(__xludf.DUMMYFUNCTION("""COMPUTED_VALUE"""),"貓狗企鵝")</f>
        <v>貓狗企鵝</v>
      </c>
      <c r="J2414" t="str">
        <f>IFERROR(__xludf.DUMMYFUNCTION("IFS(
  AND(REGEXMATCH(E2414, ""台銀籌備帳戶|玉山帳戶""), REGEXMATCH(C2414, ""薪資"")), ""分潤支出"",
  AND(REGEXMATCH(E2414, ""Ben帳戶|Elsa帳戶|Ben代墊|Ariel代墊|中信銀行共用""), REGEXMATCH(F2414, ""Ben帳戶|Elsa帳戶|Ben代墊|Ariel代墊|中信銀行共用"")), ""內部轉帳(忽略)"",
  AND(E2414&lt;&gt;"""", F2414&lt;&gt;"""", N"&amp;"OT(REGEXMATCH(C2414, ""薪資""))), ""內部轉帳(忽略)"",
  REGEXMATCH(C2414, ""薪資""), ""薪資變動(不計入)"",
  REGEXMATCH(C2414, ""押金""), ""押金往來"",
  AND(E2414&lt;&gt;"""", F2414=""""), ""真實支出"",
  AND(E2414="""", F2414&lt;&gt;""""), ""真實收入"",
  TRUE, ""其他""
)"),"真實支出")</f>
        <v>真實支出</v>
      </c>
      <c r="K2414" s="270">
        <f t="shared" si="2"/>
        <v>-756</v>
      </c>
      <c r="L2414">
        <f t="shared" si="3"/>
        <v>0</v>
      </c>
    </row>
    <row r="2415">
      <c r="A2415" s="107">
        <f>IFERROR(__xludf.DUMMYFUNCTION("""COMPUTED_VALUE"""),45895.0)</f>
        <v>45895</v>
      </c>
      <c r="B2415" t="str">
        <f>IFERROR(__xludf.DUMMYFUNCTION("""COMPUTED_VALUE"""),"垃可7月")</f>
        <v>垃可7月</v>
      </c>
      <c r="C2415" t="str">
        <f>IFERROR(__xludf.DUMMYFUNCTION("""COMPUTED_VALUE"""),"成本 - 固定開銷(網路代收清潔)")</f>
        <v>成本 - 固定開銷(網路代收清潔)</v>
      </c>
      <c r="D2415" s="270">
        <f>IFERROR(__xludf.DUMMYFUNCTION("""COMPUTED_VALUE"""),-4708.0)</f>
        <v>-4708</v>
      </c>
      <c r="E2415" t="str">
        <f>IFERROR(__xludf.DUMMYFUNCTION("""COMPUTED_VALUE"""),"Ben帳戶")</f>
        <v>Ben帳戶</v>
      </c>
      <c r="G2415" t="str">
        <f>IFERROR(__xludf.DUMMYFUNCTION("""COMPUTED_VALUE"""),"無法分類")</f>
        <v>無法分類</v>
      </c>
      <c r="H2415" s="106" t="str">
        <f t="shared" si="1"/>
        <v>2025-08</v>
      </c>
      <c r="I2415" s="271" t="str">
        <f>IFERROR(__xludf.DUMMYFUNCTION("""COMPUTED_VALUE"""),"貓狗企鵝")</f>
        <v>貓狗企鵝</v>
      </c>
      <c r="J2415" t="str">
        <f>IFERROR(__xludf.DUMMYFUNCTION("IFS(
  AND(REGEXMATCH(E2415, ""台銀籌備帳戶|玉山帳戶""), REGEXMATCH(C2415, ""薪資"")), ""分潤支出"",
  AND(REGEXMATCH(E2415, ""Ben帳戶|Elsa帳戶|Ben代墊|Ariel代墊|中信銀行共用""), REGEXMATCH(F2415, ""Ben帳戶|Elsa帳戶|Ben代墊|Ariel代墊|中信銀行共用"")), ""內部轉帳(忽略)"",
  AND(E2415&lt;&gt;"""", F2415&lt;&gt;"""", N"&amp;"OT(REGEXMATCH(C2415, ""薪資""))), ""內部轉帳(忽略)"",
  REGEXMATCH(C2415, ""薪資""), ""薪資變動(不計入)"",
  REGEXMATCH(C2415, ""押金""), ""押金往來"",
  AND(E2415&lt;&gt;"""", F2415=""""), ""真實支出"",
  AND(E2415="""", F2415&lt;&gt;""""), ""真實收入"",
  TRUE, ""其他""
)"),"真實支出")</f>
        <v>真實支出</v>
      </c>
      <c r="K2415" s="270">
        <f t="shared" si="2"/>
        <v>-4708</v>
      </c>
      <c r="L2415">
        <f t="shared" si="3"/>
        <v>0</v>
      </c>
    </row>
    <row r="2416">
      <c r="A2416" s="107">
        <f>IFERROR(__xludf.DUMMYFUNCTION("""COMPUTED_VALUE"""),45896.0)</f>
        <v>45896</v>
      </c>
      <c r="B2416" t="str">
        <f>IFERROR(__xludf.DUMMYFUNCTION("""COMPUTED_VALUE"""),"小玉搬家")</f>
        <v>小玉搬家</v>
      </c>
      <c r="C2416" t="str">
        <f>IFERROR(__xludf.DUMMYFUNCTION("""COMPUTED_VALUE"""),"成本 - 租後修繕")</f>
        <v>成本 - 租後修繕</v>
      </c>
      <c r="D2416" s="270">
        <f>IFERROR(__xludf.DUMMYFUNCTION("""COMPUTED_VALUE"""),-840.0)</f>
        <v>-840</v>
      </c>
      <c r="E2416" t="str">
        <f>IFERROR(__xludf.DUMMYFUNCTION("""COMPUTED_VALUE"""),"Elsa帳戶")</f>
        <v>Elsa帳戶</v>
      </c>
      <c r="G2416" t="str">
        <f>IFERROR(__xludf.DUMMYFUNCTION("""COMPUTED_VALUE"""),"南港站挑高宅")</f>
        <v>南港站挑高宅</v>
      </c>
      <c r="H2416" s="106" t="str">
        <f t="shared" si="1"/>
        <v>2025-08</v>
      </c>
      <c r="I2416" s="271" t="str">
        <f>IFERROR(__xludf.DUMMYFUNCTION("""COMPUTED_VALUE"""),"貓狗企鵝")</f>
        <v>貓狗企鵝</v>
      </c>
      <c r="J2416" t="str">
        <f>IFERROR(__xludf.DUMMYFUNCTION("IFS(
  AND(REGEXMATCH(E2416, ""台銀籌備帳戶|玉山帳戶""), REGEXMATCH(C2416, ""薪資"")), ""分潤支出"",
  AND(REGEXMATCH(E2416, ""Ben帳戶|Elsa帳戶|Ben代墊|Ariel代墊|中信銀行共用""), REGEXMATCH(F2416, ""Ben帳戶|Elsa帳戶|Ben代墊|Ariel代墊|中信銀行共用"")), ""內部轉帳(忽略)"",
  AND(E2416&lt;&gt;"""", F2416&lt;&gt;"""", N"&amp;"OT(REGEXMATCH(C2416, ""薪資""))), ""內部轉帳(忽略)"",
  REGEXMATCH(C2416, ""薪資""), ""薪資變動(不計入)"",
  REGEXMATCH(C2416, ""押金""), ""押金往來"",
  AND(E2416&lt;&gt;"""", F2416=""""), ""真實支出"",
  AND(E2416="""", F2416&lt;&gt;""""), ""真實收入"",
  TRUE, ""其他""
)"),"真實支出")</f>
        <v>真實支出</v>
      </c>
      <c r="K2416" s="270">
        <f t="shared" si="2"/>
        <v>-840</v>
      </c>
      <c r="L2416">
        <f t="shared" si="3"/>
        <v>0</v>
      </c>
    </row>
    <row r="2417">
      <c r="A2417" s="107">
        <f>IFERROR(__xludf.DUMMYFUNCTION("""COMPUTED_VALUE"""),45899.0)</f>
        <v>45899</v>
      </c>
      <c r="B2417" t="str">
        <f>IFERROR(__xludf.DUMMYFUNCTION("""COMPUTED_VALUE"""),"WD40")</f>
        <v>WD40</v>
      </c>
      <c r="C2417" t="str">
        <f>IFERROR(__xludf.DUMMYFUNCTION("""COMPUTED_VALUE"""),"成本 - 租後修繕")</f>
        <v>成本 - 租後修繕</v>
      </c>
      <c r="D2417" s="270">
        <f>IFERROR(__xludf.DUMMYFUNCTION("""COMPUTED_VALUE"""),-260.0)</f>
        <v>-260</v>
      </c>
      <c r="E2417" t="str">
        <f>IFERROR(__xludf.DUMMYFUNCTION("""COMPUTED_VALUE"""),"Elsa帳戶")</f>
        <v>Elsa帳戶</v>
      </c>
      <c r="G2417" t="str">
        <f>IFERROR(__xludf.DUMMYFUNCTION("""COMPUTED_VALUE"""),"大湖山莊")</f>
        <v>大湖山莊</v>
      </c>
      <c r="H2417" s="106" t="str">
        <f t="shared" si="1"/>
        <v>2025-08</v>
      </c>
      <c r="I2417" s="271" t="str">
        <f>IFERROR(__xludf.DUMMYFUNCTION("""COMPUTED_VALUE"""),"貓狗企鵝")</f>
        <v>貓狗企鵝</v>
      </c>
      <c r="J2417" t="str">
        <f>IFERROR(__xludf.DUMMYFUNCTION("IFS(
  AND(REGEXMATCH(E2417, ""台銀籌備帳戶|玉山帳戶""), REGEXMATCH(C2417, ""薪資"")), ""分潤支出"",
  AND(REGEXMATCH(E2417, ""Ben帳戶|Elsa帳戶|Ben代墊|Ariel代墊|中信銀行共用""), REGEXMATCH(F2417, ""Ben帳戶|Elsa帳戶|Ben代墊|Ariel代墊|中信銀行共用"")), ""內部轉帳(忽略)"",
  AND(E2417&lt;&gt;"""", F2417&lt;&gt;"""", N"&amp;"OT(REGEXMATCH(C2417, ""薪資""))), ""內部轉帳(忽略)"",
  REGEXMATCH(C2417, ""薪資""), ""薪資變動(不計入)"",
  REGEXMATCH(C2417, ""押金""), ""押金往來"",
  AND(E2417&lt;&gt;"""", F2417=""""), ""真實支出"",
  AND(E2417="""", F2417&lt;&gt;""""), ""真實收入"",
  TRUE, ""其他""
)"),"真實支出")</f>
        <v>真實支出</v>
      </c>
      <c r="K2417" s="270">
        <f t="shared" si="2"/>
        <v>-260</v>
      </c>
      <c r="L2417">
        <f t="shared" si="3"/>
        <v>0</v>
      </c>
    </row>
    <row r="2418">
      <c r="A2418" s="107">
        <f>IFERROR(__xludf.DUMMYFUNCTION("""COMPUTED_VALUE"""),45895.0)</f>
        <v>45895</v>
      </c>
      <c r="B2418" t="str">
        <f>IFERROR(__xludf.DUMMYFUNCTION("""COMPUTED_VALUE"""),"永春+內湖 冷氣個人補助")</f>
        <v>永春+內湖 冷氣個人補助</v>
      </c>
      <c r="C2418" t="str">
        <f>IFERROR(__xludf.DUMMYFUNCTION("""COMPUTED_VALUE"""),"收入 - 政府補助/退稅")</f>
        <v>收入 - 政府補助/退稅</v>
      </c>
      <c r="D2418" s="270">
        <f>IFERROR(__xludf.DUMMYFUNCTION("""COMPUTED_VALUE"""),6000.0)</f>
        <v>6000</v>
      </c>
      <c r="F2418" t="str">
        <f>IFERROR(__xludf.DUMMYFUNCTION("""COMPUTED_VALUE"""),"Elsa帳戶")</f>
        <v>Elsa帳戶</v>
      </c>
      <c r="G2418" t="str">
        <f>IFERROR(__xludf.DUMMYFUNCTION("""COMPUTED_VALUE"""),"永春四號")</f>
        <v>永春四號</v>
      </c>
      <c r="H2418" s="106" t="str">
        <f t="shared" si="1"/>
        <v>2025-08</v>
      </c>
      <c r="I2418" s="271" t="str">
        <f>IFERROR(__xludf.DUMMYFUNCTION("""COMPUTED_VALUE"""),"貓狗企鵝")</f>
        <v>貓狗企鵝</v>
      </c>
      <c r="J2418" t="str">
        <f>IFERROR(__xludf.DUMMYFUNCTION("IFS(
  AND(REGEXMATCH(E2418, ""台銀籌備帳戶|玉山帳戶""), REGEXMATCH(C2418, ""薪資"")), ""分潤支出"",
  AND(REGEXMATCH(E2418, ""Ben帳戶|Elsa帳戶|Ben代墊|Ariel代墊|中信銀行共用""), REGEXMATCH(F2418, ""Ben帳戶|Elsa帳戶|Ben代墊|Ariel代墊|中信銀行共用"")), ""內部轉帳(忽略)"",
  AND(E2418&lt;&gt;"""", F2418&lt;&gt;"""", N"&amp;"OT(REGEXMATCH(C2418, ""薪資""))), ""內部轉帳(忽略)"",
  REGEXMATCH(C2418, ""薪資""), ""薪資變動(不計入)"",
  REGEXMATCH(C2418, ""押金""), ""押金往來"",
  AND(E2418&lt;&gt;"""", F2418=""""), ""真實支出"",
  AND(E2418="""", F2418&lt;&gt;""""), ""真實收入"",
  TRUE, ""其他""
)"),"真實收入")</f>
        <v>真實收入</v>
      </c>
      <c r="K2418" s="270">
        <f t="shared" si="2"/>
        <v>6000</v>
      </c>
      <c r="L2418">
        <f t="shared" si="3"/>
        <v>0</v>
      </c>
    </row>
    <row r="2419">
      <c r="A2419" s="107">
        <f>IFERROR(__xludf.DUMMYFUNCTION("""COMPUTED_VALUE"""),45898.0)</f>
        <v>45898</v>
      </c>
      <c r="B2419" t="str">
        <f>IFERROR(__xludf.DUMMYFUNCTION("""COMPUTED_VALUE"""),"大湖水電瓦斯")</f>
        <v>大湖水電瓦斯</v>
      </c>
      <c r="C2419" t="str">
        <f>IFERROR(__xludf.DUMMYFUNCTION("""COMPUTED_VALUE"""),"成本 - 固定開銷(網路代收清潔)")</f>
        <v>成本 - 固定開銷(網路代收清潔)</v>
      </c>
      <c r="D2419" s="270">
        <f>IFERROR(__xludf.DUMMYFUNCTION("""COMPUTED_VALUE"""),-433.0)</f>
        <v>-433</v>
      </c>
      <c r="E2419" t="str">
        <f>IFERROR(__xludf.DUMMYFUNCTION("""COMPUTED_VALUE"""),"Ben帳戶")</f>
        <v>Ben帳戶</v>
      </c>
      <c r="G2419" t="str">
        <f>IFERROR(__xludf.DUMMYFUNCTION("""COMPUTED_VALUE"""),"大湖山莊")</f>
        <v>大湖山莊</v>
      </c>
      <c r="H2419" s="106" t="str">
        <f t="shared" si="1"/>
        <v>2025-08</v>
      </c>
      <c r="I2419" s="271" t="str">
        <f>IFERROR(__xludf.DUMMYFUNCTION("""COMPUTED_VALUE"""),"貓狗企鵝")</f>
        <v>貓狗企鵝</v>
      </c>
      <c r="J2419" t="str">
        <f>IFERROR(__xludf.DUMMYFUNCTION("IFS(
  AND(REGEXMATCH(E2419, ""台銀籌備帳戶|玉山帳戶""), REGEXMATCH(C2419, ""薪資"")), ""分潤支出"",
  AND(REGEXMATCH(E2419, ""Ben帳戶|Elsa帳戶|Ben代墊|Ariel代墊|中信銀行共用""), REGEXMATCH(F2419, ""Ben帳戶|Elsa帳戶|Ben代墊|Ariel代墊|中信銀行共用"")), ""內部轉帳(忽略)"",
  AND(E2419&lt;&gt;"""", F2419&lt;&gt;"""", N"&amp;"OT(REGEXMATCH(C2419, ""薪資""))), ""內部轉帳(忽略)"",
  REGEXMATCH(C2419, ""薪資""), ""薪資變動(不計入)"",
  REGEXMATCH(C2419, ""押金""), ""押金往來"",
  AND(E2419&lt;&gt;"""", F2419=""""), ""真實支出"",
  AND(E2419="""", F2419&lt;&gt;""""), ""真實收入"",
  TRUE, ""其他""
)"),"真實支出")</f>
        <v>真實支出</v>
      </c>
      <c r="K2419" s="270">
        <f t="shared" si="2"/>
        <v>-433</v>
      </c>
      <c r="L2419">
        <f t="shared" si="3"/>
        <v>0</v>
      </c>
    </row>
    <row r="2420">
      <c r="A2420" s="107">
        <f>IFERROR(__xludf.DUMMYFUNCTION("""COMPUTED_VALUE"""),45884.0)</f>
        <v>45884</v>
      </c>
      <c r="B2420" t="str">
        <f>IFERROR(__xludf.DUMMYFUNCTION("""COMPUTED_VALUE"""),"[南港站挑高宅] [林淑華] 大租金")</f>
        <v>[南港站挑高宅] [林淑華] 大租金</v>
      </c>
      <c r="C2420" t="str">
        <f>IFERROR(__xludf.DUMMYFUNCTION("""COMPUTED_VALUE"""),"成本 - 大租金")</f>
        <v>成本 - 大租金</v>
      </c>
      <c r="D2420" s="270">
        <f>IFERROR(__xludf.DUMMYFUNCTION("""COMPUTED_VALUE"""),-18250.0)</f>
        <v>-18250</v>
      </c>
      <c r="E2420" t="str">
        <f>IFERROR(__xludf.DUMMYFUNCTION("""COMPUTED_VALUE"""),"台銀籌備帳戶")</f>
        <v>台銀籌備帳戶</v>
      </c>
      <c r="G2420" t="str">
        <f>IFERROR(__xludf.DUMMYFUNCTION("""COMPUTED_VALUE"""),"南港站挑高宅")</f>
        <v>南港站挑高宅</v>
      </c>
      <c r="H2420" s="106" t="str">
        <f t="shared" si="1"/>
        <v>2025-08</v>
      </c>
      <c r="I2420" s="271" t="str">
        <f>IFERROR(__xludf.DUMMYFUNCTION("""COMPUTED_VALUE"""),"貓狗企鵝")</f>
        <v>貓狗企鵝</v>
      </c>
      <c r="J2420" t="str">
        <f>IFERROR(__xludf.DUMMYFUNCTION("IFS(
  AND(REGEXMATCH(E2420, ""台銀籌備帳戶|玉山帳戶""), REGEXMATCH(C2420, ""薪資"")), ""分潤支出"",
  AND(REGEXMATCH(E2420, ""Ben帳戶|Elsa帳戶|Ben代墊|Ariel代墊|中信銀行共用""), REGEXMATCH(F2420, ""Ben帳戶|Elsa帳戶|Ben代墊|Ariel代墊|中信銀行共用"")), ""內部轉帳(忽略)"",
  AND(E2420&lt;&gt;"""", F2420&lt;&gt;"""", N"&amp;"OT(REGEXMATCH(C2420, ""薪資""))), ""內部轉帳(忽略)"",
  REGEXMATCH(C2420, ""薪資""), ""薪資變動(不計入)"",
  REGEXMATCH(C2420, ""押金""), ""押金往來"",
  AND(E2420&lt;&gt;"""", F2420=""""), ""真實支出"",
  AND(E2420="""", F2420&lt;&gt;""""), ""真實收入"",
  TRUE, ""其他""
)"),"真實支出")</f>
        <v>真實支出</v>
      </c>
      <c r="K2420" s="270">
        <f t="shared" si="2"/>
        <v>-18250</v>
      </c>
      <c r="L2420">
        <f t="shared" si="3"/>
        <v>0</v>
      </c>
    </row>
    <row r="2421">
      <c r="A2421" s="107">
        <f>IFERROR(__xludf.DUMMYFUNCTION("""COMPUTED_VALUE"""),45884.0)</f>
        <v>45884</v>
      </c>
      <c r="B2421" t="str">
        <f>IFERROR(__xludf.DUMMYFUNCTION("""COMPUTED_VALUE"""),"費用 - 匯費 對方行:013 後五碼:43662 (行號: 4)")</f>
        <v>費用 - 匯費 對方行:013 後五碼:43662 (行號: 4)</v>
      </c>
      <c r="C2421" t="str">
        <f>IFERROR(__xludf.DUMMYFUNCTION("""COMPUTED_VALUE"""),"費用 - 匯費")</f>
        <v>費用 - 匯費</v>
      </c>
      <c r="D2421" s="270">
        <f>IFERROR(__xludf.DUMMYFUNCTION("""COMPUTED_VALUE"""),-15.0)</f>
        <v>-15</v>
      </c>
      <c r="E2421" t="str">
        <f>IFERROR(__xludf.DUMMYFUNCTION("""COMPUTED_VALUE"""),"台銀籌備帳戶")</f>
        <v>台銀籌備帳戶</v>
      </c>
      <c r="H2421" s="106" t="str">
        <f t="shared" si="1"/>
        <v>2025-08</v>
      </c>
      <c r="I2421" s="271" t="str">
        <f>IFERROR(__xludf.DUMMYFUNCTION("""COMPUTED_VALUE"""),"貓狗企鵝")</f>
        <v>貓狗企鵝</v>
      </c>
      <c r="J2421" t="str">
        <f>IFERROR(__xludf.DUMMYFUNCTION("IFS(
  AND(REGEXMATCH(E2421, ""台銀籌備帳戶|玉山帳戶""), REGEXMATCH(C2421, ""薪資"")), ""分潤支出"",
  AND(REGEXMATCH(E2421, ""Ben帳戶|Elsa帳戶|Ben代墊|Ariel代墊|中信銀行共用""), REGEXMATCH(F2421, ""Ben帳戶|Elsa帳戶|Ben代墊|Ariel代墊|中信銀行共用"")), ""內部轉帳(忽略)"",
  AND(E2421&lt;&gt;"""", F2421&lt;&gt;"""", N"&amp;"OT(REGEXMATCH(C2421, ""薪資""))), ""內部轉帳(忽略)"",
  REGEXMATCH(C2421, ""薪資""), ""薪資變動(不計入)"",
  REGEXMATCH(C2421, ""押金""), ""押金往來"",
  AND(E2421&lt;&gt;"""", F2421=""""), ""真實支出"",
  AND(E2421="""", F2421&lt;&gt;""""), ""真實收入"",
  TRUE, ""其他""
)"),"真實支出")</f>
        <v>真實支出</v>
      </c>
      <c r="K2421" s="270">
        <f t="shared" si="2"/>
        <v>-15</v>
      </c>
      <c r="L2421">
        <f t="shared" si="3"/>
        <v>0</v>
      </c>
    </row>
    <row r="2422">
      <c r="A2422" s="107">
        <f>IFERROR(__xludf.DUMMYFUNCTION("""COMPUTED_VALUE"""),45884.0)</f>
        <v>45884</v>
      </c>
      <c r="B2422" t="str">
        <f>IFERROR(__xludf.DUMMYFUNCTION("""COMPUTED_VALUE"""),"[中山北娘家旁] [方彥捷] 大租金")</f>
        <v>[中山北娘家旁] [方彥捷] 大租金</v>
      </c>
      <c r="C2422" t="str">
        <f>IFERROR(__xludf.DUMMYFUNCTION("""COMPUTED_VALUE"""),"成本 - 大租金")</f>
        <v>成本 - 大租金</v>
      </c>
      <c r="D2422" s="270">
        <f>IFERROR(__xludf.DUMMYFUNCTION("""COMPUTED_VALUE"""),-11500.0)</f>
        <v>-11500</v>
      </c>
      <c r="E2422" t="str">
        <f>IFERROR(__xludf.DUMMYFUNCTION("""COMPUTED_VALUE"""),"台銀籌備帳戶")</f>
        <v>台銀籌備帳戶</v>
      </c>
      <c r="G2422" t="str">
        <f>IFERROR(__xludf.DUMMYFUNCTION("""COMPUTED_VALUE"""),"中山北娘家旁")</f>
        <v>中山北娘家旁</v>
      </c>
      <c r="H2422" s="106" t="str">
        <f t="shared" si="1"/>
        <v>2025-08</v>
      </c>
      <c r="I2422" s="271" t="str">
        <f>IFERROR(__xludf.DUMMYFUNCTION("""COMPUTED_VALUE"""),"貓狗企鵝")</f>
        <v>貓狗企鵝</v>
      </c>
      <c r="J2422" t="str">
        <f>IFERROR(__xludf.DUMMYFUNCTION("IFS(
  AND(REGEXMATCH(E2422, ""台銀籌備帳戶|玉山帳戶""), REGEXMATCH(C2422, ""薪資"")), ""分潤支出"",
  AND(REGEXMATCH(E2422, ""Ben帳戶|Elsa帳戶|Ben代墊|Ariel代墊|中信銀行共用""), REGEXMATCH(F2422, ""Ben帳戶|Elsa帳戶|Ben代墊|Ariel代墊|中信銀行共用"")), ""內部轉帳(忽略)"",
  AND(E2422&lt;&gt;"""", F2422&lt;&gt;"""", N"&amp;"OT(REGEXMATCH(C2422, ""薪資""))), ""內部轉帳(忽略)"",
  REGEXMATCH(C2422, ""薪資""), ""薪資變動(不計入)"",
  REGEXMATCH(C2422, ""押金""), ""押金往來"",
  AND(E2422&lt;&gt;"""", F2422=""""), ""真實支出"",
  AND(E2422="""", F2422&lt;&gt;""""), ""真實收入"",
  TRUE, ""其他""
)"),"真實支出")</f>
        <v>真實支出</v>
      </c>
      <c r="K2422" s="270">
        <f t="shared" si="2"/>
        <v>-11500</v>
      </c>
      <c r="L2422">
        <f t="shared" si="3"/>
        <v>0</v>
      </c>
    </row>
    <row r="2423">
      <c r="A2423" s="107">
        <f>IFERROR(__xludf.DUMMYFUNCTION("""COMPUTED_VALUE"""),45884.0)</f>
        <v>45884</v>
      </c>
      <c r="B2423" t="str">
        <f>IFERROR(__xludf.DUMMYFUNCTION("""COMPUTED_VALUE"""),"費用 - 匯費 對方行:700 後五碼:92128 (行號: 5)")</f>
        <v>費用 - 匯費 對方行:700 後五碼:92128 (行號: 5)</v>
      </c>
      <c r="C2423" t="str">
        <f>IFERROR(__xludf.DUMMYFUNCTION("""COMPUTED_VALUE"""),"費用 - 匯費")</f>
        <v>費用 - 匯費</v>
      </c>
      <c r="D2423" s="270">
        <f>IFERROR(__xludf.DUMMYFUNCTION("""COMPUTED_VALUE"""),-15.0)</f>
        <v>-15</v>
      </c>
      <c r="E2423" t="str">
        <f>IFERROR(__xludf.DUMMYFUNCTION("""COMPUTED_VALUE"""),"台銀籌備帳戶")</f>
        <v>台銀籌備帳戶</v>
      </c>
      <c r="H2423" s="106" t="str">
        <f t="shared" si="1"/>
        <v>2025-08</v>
      </c>
      <c r="I2423" s="271" t="str">
        <f>IFERROR(__xludf.DUMMYFUNCTION("""COMPUTED_VALUE"""),"貓狗企鵝")</f>
        <v>貓狗企鵝</v>
      </c>
      <c r="J2423" t="str">
        <f>IFERROR(__xludf.DUMMYFUNCTION("IFS(
  AND(REGEXMATCH(E2423, ""台銀籌備帳戶|玉山帳戶""), REGEXMATCH(C2423, ""薪資"")), ""分潤支出"",
  AND(REGEXMATCH(E2423, ""Ben帳戶|Elsa帳戶|Ben代墊|Ariel代墊|中信銀行共用""), REGEXMATCH(F2423, ""Ben帳戶|Elsa帳戶|Ben代墊|Ariel代墊|中信銀行共用"")), ""內部轉帳(忽略)"",
  AND(E2423&lt;&gt;"""", F2423&lt;&gt;"""", N"&amp;"OT(REGEXMATCH(C2423, ""薪資""))), ""內部轉帳(忽略)"",
  REGEXMATCH(C2423, ""薪資""), ""薪資變動(不計入)"",
  REGEXMATCH(C2423, ""押金""), ""押金往來"",
  AND(E2423&lt;&gt;"""", F2423=""""), ""真實支出"",
  AND(E2423="""", F2423&lt;&gt;""""), ""真實收入"",
  TRUE, ""其他""
)"),"真實支出")</f>
        <v>真實支出</v>
      </c>
      <c r="K2423" s="270">
        <f t="shared" si="2"/>
        <v>-15</v>
      </c>
      <c r="L2423">
        <f t="shared" si="3"/>
        <v>0</v>
      </c>
    </row>
    <row r="2424">
      <c r="A2424" s="107">
        <f>IFERROR(__xludf.DUMMYFUNCTION("""COMPUTED_VALUE"""),45884.0)</f>
        <v>45884</v>
      </c>
      <c r="B2424" t="str">
        <f>IFERROR(__xludf.DUMMYFUNCTION("""COMPUTED_VALUE"""),"[北醫醫師府] [陳俊良] 大租金")</f>
        <v>[北醫醫師府] [陳俊良] 大租金</v>
      </c>
      <c r="C2424" t="str">
        <f>IFERROR(__xludf.DUMMYFUNCTION("""COMPUTED_VALUE"""),"成本 - 大租金")</f>
        <v>成本 - 大租金</v>
      </c>
      <c r="D2424" s="270">
        <f>IFERROR(__xludf.DUMMYFUNCTION("""COMPUTED_VALUE"""),-12800.0)</f>
        <v>-12800</v>
      </c>
      <c r="E2424" t="str">
        <f>IFERROR(__xludf.DUMMYFUNCTION("""COMPUTED_VALUE"""),"台銀籌備帳戶")</f>
        <v>台銀籌備帳戶</v>
      </c>
      <c r="G2424" t="str">
        <f>IFERROR(__xludf.DUMMYFUNCTION("""COMPUTED_VALUE"""),"北醫醫師府")</f>
        <v>北醫醫師府</v>
      </c>
      <c r="H2424" s="106" t="str">
        <f t="shared" si="1"/>
        <v>2025-08</v>
      </c>
      <c r="I2424" s="271" t="str">
        <f>IFERROR(__xludf.DUMMYFUNCTION("""COMPUTED_VALUE"""),"貓狗企鵝")</f>
        <v>貓狗企鵝</v>
      </c>
      <c r="J2424" t="str">
        <f>IFERROR(__xludf.DUMMYFUNCTION("IFS(
  AND(REGEXMATCH(E2424, ""台銀籌備帳戶|玉山帳戶""), REGEXMATCH(C2424, ""薪資"")), ""分潤支出"",
  AND(REGEXMATCH(E2424, ""Ben帳戶|Elsa帳戶|Ben代墊|Ariel代墊|中信銀行共用""), REGEXMATCH(F2424, ""Ben帳戶|Elsa帳戶|Ben代墊|Ariel代墊|中信銀行共用"")), ""內部轉帳(忽略)"",
  AND(E2424&lt;&gt;"""", F2424&lt;&gt;"""", N"&amp;"OT(REGEXMATCH(C2424, ""薪資""))), ""內部轉帳(忽略)"",
  REGEXMATCH(C2424, ""薪資""), ""薪資變動(不計入)"",
  REGEXMATCH(C2424, ""押金""), ""押金往來"",
  AND(E2424&lt;&gt;"""", F2424=""""), ""真實支出"",
  AND(E2424="""", F2424&lt;&gt;""""), ""真實收入"",
  TRUE, ""其他""
)"),"真實支出")</f>
        <v>真實支出</v>
      </c>
      <c r="K2424" s="270">
        <f t="shared" si="2"/>
        <v>-12800</v>
      </c>
      <c r="L2424">
        <f t="shared" si="3"/>
        <v>0</v>
      </c>
    </row>
    <row r="2425">
      <c r="A2425" s="107">
        <f>IFERROR(__xludf.DUMMYFUNCTION("""COMPUTED_VALUE"""),45884.0)</f>
        <v>45884</v>
      </c>
      <c r="B2425" t="str">
        <f>IFERROR(__xludf.DUMMYFUNCTION("""COMPUTED_VALUE"""),"費用 - 匯費 對方行:807 後五碼:06659 (行號: 6)")</f>
        <v>費用 - 匯費 對方行:807 後五碼:06659 (行號: 6)</v>
      </c>
      <c r="C2425" t="str">
        <f>IFERROR(__xludf.DUMMYFUNCTION("""COMPUTED_VALUE"""),"費用 - 匯費")</f>
        <v>費用 - 匯費</v>
      </c>
      <c r="D2425" s="270">
        <f>IFERROR(__xludf.DUMMYFUNCTION("""COMPUTED_VALUE"""),-15.0)</f>
        <v>-15</v>
      </c>
      <c r="E2425" t="str">
        <f>IFERROR(__xludf.DUMMYFUNCTION("""COMPUTED_VALUE"""),"台銀籌備帳戶")</f>
        <v>台銀籌備帳戶</v>
      </c>
      <c r="H2425" s="106" t="str">
        <f t="shared" si="1"/>
        <v>2025-08</v>
      </c>
      <c r="I2425" s="271" t="str">
        <f>IFERROR(__xludf.DUMMYFUNCTION("""COMPUTED_VALUE"""),"貓狗企鵝")</f>
        <v>貓狗企鵝</v>
      </c>
      <c r="J2425" t="str">
        <f>IFERROR(__xludf.DUMMYFUNCTION("IFS(
  AND(REGEXMATCH(E2425, ""台銀籌備帳戶|玉山帳戶""), REGEXMATCH(C2425, ""薪資"")), ""分潤支出"",
  AND(REGEXMATCH(E2425, ""Ben帳戶|Elsa帳戶|Ben代墊|Ariel代墊|中信銀行共用""), REGEXMATCH(F2425, ""Ben帳戶|Elsa帳戶|Ben代墊|Ariel代墊|中信銀行共用"")), ""內部轉帳(忽略)"",
  AND(E2425&lt;&gt;"""", F2425&lt;&gt;"""", N"&amp;"OT(REGEXMATCH(C2425, ""薪資""))), ""內部轉帳(忽略)"",
  REGEXMATCH(C2425, ""薪資""), ""薪資變動(不計入)"",
  REGEXMATCH(C2425, ""押金""), ""押金往來"",
  AND(E2425&lt;&gt;"""", F2425=""""), ""真實支出"",
  AND(E2425="""", F2425&lt;&gt;""""), ""真實收入"",
  TRUE, ""其他""
)"),"真實支出")</f>
        <v>真實支出</v>
      </c>
      <c r="K2425" s="270">
        <f t="shared" si="2"/>
        <v>-15</v>
      </c>
      <c r="L2425">
        <f t="shared" si="3"/>
        <v>0</v>
      </c>
    </row>
    <row r="2426">
      <c r="A2426" s="107">
        <f>IFERROR(__xludf.DUMMYFUNCTION("""COMPUTED_VALUE"""),45884.0)</f>
        <v>45884</v>
      </c>
      <c r="B2426" t="str">
        <f>IFERROR(__xludf.DUMMYFUNCTION("""COMPUTED_VALUE"""),"[哈拉對面] [陳哲聰] 大租金")</f>
        <v>[哈拉對面] [陳哲聰] 大租金</v>
      </c>
      <c r="C2426" t="str">
        <f>IFERROR(__xludf.DUMMYFUNCTION("""COMPUTED_VALUE"""),"成本 - 大租金")</f>
        <v>成本 - 大租金</v>
      </c>
      <c r="D2426" s="270">
        <f>IFERROR(__xludf.DUMMYFUNCTION("""COMPUTED_VALUE"""),-13000.0)</f>
        <v>-13000</v>
      </c>
      <c r="E2426" t="str">
        <f>IFERROR(__xludf.DUMMYFUNCTION("""COMPUTED_VALUE"""),"台銀籌備帳戶")</f>
        <v>台銀籌備帳戶</v>
      </c>
      <c r="G2426" t="str">
        <f>IFERROR(__xludf.DUMMYFUNCTION("""COMPUTED_VALUE"""),"哈拉對面")</f>
        <v>哈拉對面</v>
      </c>
      <c r="H2426" s="106" t="str">
        <f t="shared" si="1"/>
        <v>2025-08</v>
      </c>
      <c r="I2426" s="271" t="str">
        <f>IFERROR(__xludf.DUMMYFUNCTION("""COMPUTED_VALUE"""),"貓狗企鵝")</f>
        <v>貓狗企鵝</v>
      </c>
      <c r="J2426" t="str">
        <f>IFERROR(__xludf.DUMMYFUNCTION("IFS(
  AND(REGEXMATCH(E2426, ""台銀籌備帳戶|玉山帳戶""), REGEXMATCH(C2426, ""薪資"")), ""分潤支出"",
  AND(REGEXMATCH(E2426, ""Ben帳戶|Elsa帳戶|Ben代墊|Ariel代墊|中信銀行共用""), REGEXMATCH(F2426, ""Ben帳戶|Elsa帳戶|Ben代墊|Ariel代墊|中信銀行共用"")), ""內部轉帳(忽略)"",
  AND(E2426&lt;&gt;"""", F2426&lt;&gt;"""", N"&amp;"OT(REGEXMATCH(C2426, ""薪資""))), ""內部轉帳(忽略)"",
  REGEXMATCH(C2426, ""薪資""), ""薪資變動(不計入)"",
  REGEXMATCH(C2426, ""押金""), ""押金往來"",
  AND(E2426&lt;&gt;"""", F2426=""""), ""真實支出"",
  AND(E2426="""", F2426&lt;&gt;""""), ""真實收入"",
  TRUE, ""其他""
)"),"真實支出")</f>
        <v>真實支出</v>
      </c>
      <c r="K2426" s="270">
        <f t="shared" si="2"/>
        <v>-13000</v>
      </c>
      <c r="L2426">
        <f t="shared" si="3"/>
        <v>0</v>
      </c>
    </row>
    <row r="2427">
      <c r="A2427" s="107">
        <f>IFERROR(__xludf.DUMMYFUNCTION("""COMPUTED_VALUE"""),45884.0)</f>
        <v>45884</v>
      </c>
      <c r="B2427" t="str">
        <f>IFERROR(__xludf.DUMMYFUNCTION("""COMPUTED_VALUE"""),"費用 - 匯費 對方行:053 後五碼:05202 (行號: 7)")</f>
        <v>費用 - 匯費 對方行:053 後五碼:05202 (行號: 7)</v>
      </c>
      <c r="C2427" t="str">
        <f>IFERROR(__xludf.DUMMYFUNCTION("""COMPUTED_VALUE"""),"費用 - 匯費")</f>
        <v>費用 - 匯費</v>
      </c>
      <c r="D2427" s="270">
        <f>IFERROR(__xludf.DUMMYFUNCTION("""COMPUTED_VALUE"""),-15.0)</f>
        <v>-15</v>
      </c>
      <c r="E2427" t="str">
        <f>IFERROR(__xludf.DUMMYFUNCTION("""COMPUTED_VALUE"""),"台銀籌備帳戶")</f>
        <v>台銀籌備帳戶</v>
      </c>
      <c r="H2427" s="106" t="str">
        <f t="shared" si="1"/>
        <v>2025-08</v>
      </c>
      <c r="I2427" s="271" t="str">
        <f>IFERROR(__xludf.DUMMYFUNCTION("""COMPUTED_VALUE"""),"貓狗企鵝")</f>
        <v>貓狗企鵝</v>
      </c>
      <c r="J2427" t="str">
        <f>IFERROR(__xludf.DUMMYFUNCTION("IFS(
  AND(REGEXMATCH(E2427, ""台銀籌備帳戶|玉山帳戶""), REGEXMATCH(C2427, ""薪資"")), ""分潤支出"",
  AND(REGEXMATCH(E2427, ""Ben帳戶|Elsa帳戶|Ben代墊|Ariel代墊|中信銀行共用""), REGEXMATCH(F2427, ""Ben帳戶|Elsa帳戶|Ben代墊|Ariel代墊|中信銀行共用"")), ""內部轉帳(忽略)"",
  AND(E2427&lt;&gt;"""", F2427&lt;&gt;"""", N"&amp;"OT(REGEXMATCH(C2427, ""薪資""))), ""內部轉帳(忽略)"",
  REGEXMATCH(C2427, ""薪資""), ""薪資變動(不計入)"",
  REGEXMATCH(C2427, ""押金""), ""押金往來"",
  AND(E2427&lt;&gt;"""", F2427=""""), ""真實支出"",
  AND(E2427="""", F2427&lt;&gt;""""), ""真實收入"",
  TRUE, ""其他""
)"),"真實支出")</f>
        <v>真實支出</v>
      </c>
      <c r="K2427" s="270">
        <f t="shared" si="2"/>
        <v>-15</v>
      </c>
      <c r="L2427">
        <f t="shared" si="3"/>
        <v>0</v>
      </c>
    </row>
    <row r="2428">
      <c r="A2428" s="107">
        <f>IFERROR(__xludf.DUMMYFUNCTION("""COMPUTED_VALUE"""),45884.0)</f>
        <v>45884</v>
      </c>
      <c r="B2428" t="str">
        <f>IFERROR(__xludf.DUMMYFUNCTION("""COMPUTED_VALUE"""),"[大湖山莊] [陳彩霞] 大租金")</f>
        <v>[大湖山莊] [陳彩霞] 大租金</v>
      </c>
      <c r="C2428" t="str">
        <f>IFERROR(__xludf.DUMMYFUNCTION("""COMPUTED_VALUE"""),"成本 - 大租金")</f>
        <v>成本 - 大租金</v>
      </c>
      <c r="D2428" s="270">
        <f>IFERROR(__xludf.DUMMYFUNCTION("""COMPUTED_VALUE"""),-19400.0)</f>
        <v>-19400</v>
      </c>
      <c r="E2428" t="str">
        <f>IFERROR(__xludf.DUMMYFUNCTION("""COMPUTED_VALUE"""),"台銀籌備帳戶")</f>
        <v>台銀籌備帳戶</v>
      </c>
      <c r="G2428" t="str">
        <f>IFERROR(__xludf.DUMMYFUNCTION("""COMPUTED_VALUE"""),"大湖山莊")</f>
        <v>大湖山莊</v>
      </c>
      <c r="H2428" s="106" t="str">
        <f t="shared" si="1"/>
        <v>2025-08</v>
      </c>
      <c r="I2428" s="271" t="str">
        <f>IFERROR(__xludf.DUMMYFUNCTION("""COMPUTED_VALUE"""),"貓狗企鵝")</f>
        <v>貓狗企鵝</v>
      </c>
      <c r="J2428" t="str">
        <f>IFERROR(__xludf.DUMMYFUNCTION("IFS(
  AND(REGEXMATCH(E2428, ""台銀籌備帳戶|玉山帳戶""), REGEXMATCH(C2428, ""薪資"")), ""分潤支出"",
  AND(REGEXMATCH(E2428, ""Ben帳戶|Elsa帳戶|Ben代墊|Ariel代墊|中信銀行共用""), REGEXMATCH(F2428, ""Ben帳戶|Elsa帳戶|Ben代墊|Ariel代墊|中信銀行共用"")), ""內部轉帳(忽略)"",
  AND(E2428&lt;&gt;"""", F2428&lt;&gt;"""", N"&amp;"OT(REGEXMATCH(C2428, ""薪資""))), ""內部轉帳(忽略)"",
  REGEXMATCH(C2428, ""薪資""), ""薪資變動(不計入)"",
  REGEXMATCH(C2428, ""押金""), ""押金往來"",
  AND(E2428&lt;&gt;"""", F2428=""""), ""真實支出"",
  AND(E2428="""", F2428&lt;&gt;""""), ""真實收入"",
  TRUE, ""其他""
)"),"真實支出")</f>
        <v>真實支出</v>
      </c>
      <c r="K2428" s="270">
        <f t="shared" si="2"/>
        <v>-19400</v>
      </c>
      <c r="L2428">
        <f t="shared" si="3"/>
        <v>0</v>
      </c>
    </row>
    <row r="2429">
      <c r="A2429" s="107">
        <f>IFERROR(__xludf.DUMMYFUNCTION("""COMPUTED_VALUE"""),45884.0)</f>
        <v>45884</v>
      </c>
      <c r="B2429" t="str">
        <f>IFERROR(__xludf.DUMMYFUNCTION("""COMPUTED_VALUE"""),"費用 - 匯費 對方行:822 後五碼:06708 (行號: 8)")</f>
        <v>費用 - 匯費 對方行:822 後五碼:06708 (行號: 8)</v>
      </c>
      <c r="C2429" t="str">
        <f>IFERROR(__xludf.DUMMYFUNCTION("""COMPUTED_VALUE"""),"費用 - 匯費")</f>
        <v>費用 - 匯費</v>
      </c>
      <c r="D2429" s="270">
        <f>IFERROR(__xludf.DUMMYFUNCTION("""COMPUTED_VALUE"""),-15.0)</f>
        <v>-15</v>
      </c>
      <c r="E2429" t="str">
        <f>IFERROR(__xludf.DUMMYFUNCTION("""COMPUTED_VALUE"""),"台銀籌備帳戶")</f>
        <v>台銀籌備帳戶</v>
      </c>
      <c r="H2429" s="106" t="str">
        <f t="shared" si="1"/>
        <v>2025-08</v>
      </c>
      <c r="I2429" s="271" t="str">
        <f>IFERROR(__xludf.DUMMYFUNCTION("""COMPUTED_VALUE"""),"貓狗企鵝")</f>
        <v>貓狗企鵝</v>
      </c>
      <c r="J2429" t="str">
        <f>IFERROR(__xludf.DUMMYFUNCTION("IFS(
  AND(REGEXMATCH(E2429, ""台銀籌備帳戶|玉山帳戶""), REGEXMATCH(C2429, ""薪資"")), ""分潤支出"",
  AND(REGEXMATCH(E2429, ""Ben帳戶|Elsa帳戶|Ben代墊|Ariel代墊|中信銀行共用""), REGEXMATCH(F2429, ""Ben帳戶|Elsa帳戶|Ben代墊|Ariel代墊|中信銀行共用"")), ""內部轉帳(忽略)"",
  AND(E2429&lt;&gt;"""", F2429&lt;&gt;"""", N"&amp;"OT(REGEXMATCH(C2429, ""薪資""))), ""內部轉帳(忽略)"",
  REGEXMATCH(C2429, ""薪資""), ""薪資變動(不計入)"",
  REGEXMATCH(C2429, ""押金""), ""押金往來"",
  AND(E2429&lt;&gt;"""", F2429=""""), ""真實支出"",
  AND(E2429="""", F2429&lt;&gt;""""), ""真實收入"",
  TRUE, ""其他""
)"),"真實支出")</f>
        <v>真實支出</v>
      </c>
      <c r="K2429" s="270">
        <f t="shared" si="2"/>
        <v>-15</v>
      </c>
      <c r="L2429">
        <f t="shared" si="3"/>
        <v>0</v>
      </c>
    </row>
    <row r="2430">
      <c r="A2430" s="107">
        <f>IFERROR(__xludf.DUMMYFUNCTION("""COMPUTED_VALUE"""),45884.0)</f>
        <v>45884</v>
      </c>
      <c r="B2430" t="str">
        <f>IFERROR(__xludf.DUMMYFUNCTION("""COMPUTED_VALUE"""),"[金龍帽子先生] [郭娟伶] 大租金")</f>
        <v>[金龍帽子先生] [郭娟伶] 大租金</v>
      </c>
      <c r="C2430" t="str">
        <f>IFERROR(__xludf.DUMMYFUNCTION("""COMPUTED_VALUE"""),"成本 - 大租金")</f>
        <v>成本 - 大租金</v>
      </c>
      <c r="D2430" s="270">
        <f>IFERROR(__xludf.DUMMYFUNCTION("""COMPUTED_VALUE"""),-17750.0)</f>
        <v>-17750</v>
      </c>
      <c r="E2430" t="str">
        <f>IFERROR(__xludf.DUMMYFUNCTION("""COMPUTED_VALUE"""),"台銀籌備帳戶")</f>
        <v>台銀籌備帳戶</v>
      </c>
      <c r="G2430" t="str">
        <f>IFERROR(__xludf.DUMMYFUNCTION("""COMPUTED_VALUE"""),"金龍帽子先生")</f>
        <v>金龍帽子先生</v>
      </c>
      <c r="H2430" s="106" t="str">
        <f t="shared" si="1"/>
        <v>2025-08</v>
      </c>
      <c r="I2430" s="271" t="str">
        <f>IFERROR(__xludf.DUMMYFUNCTION("""COMPUTED_VALUE"""),"貓狗企鵝")</f>
        <v>貓狗企鵝</v>
      </c>
      <c r="J2430" t="str">
        <f>IFERROR(__xludf.DUMMYFUNCTION("IFS(
  AND(REGEXMATCH(E2430, ""台銀籌備帳戶|玉山帳戶""), REGEXMATCH(C2430, ""薪資"")), ""分潤支出"",
  AND(REGEXMATCH(E2430, ""Ben帳戶|Elsa帳戶|Ben代墊|Ariel代墊|中信銀行共用""), REGEXMATCH(F2430, ""Ben帳戶|Elsa帳戶|Ben代墊|Ariel代墊|中信銀行共用"")), ""內部轉帳(忽略)"",
  AND(E2430&lt;&gt;"""", F2430&lt;&gt;"""", N"&amp;"OT(REGEXMATCH(C2430, ""薪資""))), ""內部轉帳(忽略)"",
  REGEXMATCH(C2430, ""薪資""), ""薪資變動(不計入)"",
  REGEXMATCH(C2430, ""押金""), ""押金往來"",
  AND(E2430&lt;&gt;"""", F2430=""""), ""真實支出"",
  AND(E2430="""", F2430&lt;&gt;""""), ""真實收入"",
  TRUE, ""其他""
)"),"真實支出")</f>
        <v>真實支出</v>
      </c>
      <c r="K2430" s="270">
        <f t="shared" si="2"/>
        <v>-17750</v>
      </c>
      <c r="L2430">
        <f t="shared" si="3"/>
        <v>0</v>
      </c>
    </row>
    <row r="2431">
      <c r="A2431" s="107">
        <f>IFERROR(__xludf.DUMMYFUNCTION("""COMPUTED_VALUE"""),45884.0)</f>
        <v>45884</v>
      </c>
      <c r="B2431" t="str">
        <f>IFERROR(__xludf.DUMMYFUNCTION("""COMPUTED_VALUE"""),"費用 - 匯費 對方行:013 後五碼:20652 (行號: 9)")</f>
        <v>費用 - 匯費 對方行:013 後五碼:20652 (行號: 9)</v>
      </c>
      <c r="C2431" t="str">
        <f>IFERROR(__xludf.DUMMYFUNCTION("""COMPUTED_VALUE"""),"費用 - 匯費")</f>
        <v>費用 - 匯費</v>
      </c>
      <c r="D2431" s="270">
        <f>IFERROR(__xludf.DUMMYFUNCTION("""COMPUTED_VALUE"""),-15.0)</f>
        <v>-15</v>
      </c>
      <c r="E2431" t="str">
        <f>IFERROR(__xludf.DUMMYFUNCTION("""COMPUTED_VALUE"""),"台銀籌備帳戶")</f>
        <v>台銀籌備帳戶</v>
      </c>
      <c r="H2431" s="106" t="str">
        <f t="shared" si="1"/>
        <v>2025-08</v>
      </c>
      <c r="I2431" s="271" t="str">
        <f>IFERROR(__xludf.DUMMYFUNCTION("""COMPUTED_VALUE"""),"貓狗企鵝")</f>
        <v>貓狗企鵝</v>
      </c>
      <c r="J2431" t="str">
        <f>IFERROR(__xludf.DUMMYFUNCTION("IFS(
  AND(REGEXMATCH(E2431, ""台銀籌備帳戶|玉山帳戶""), REGEXMATCH(C2431, ""薪資"")), ""分潤支出"",
  AND(REGEXMATCH(E2431, ""Ben帳戶|Elsa帳戶|Ben代墊|Ariel代墊|中信銀行共用""), REGEXMATCH(F2431, ""Ben帳戶|Elsa帳戶|Ben代墊|Ariel代墊|中信銀行共用"")), ""內部轉帳(忽略)"",
  AND(E2431&lt;&gt;"""", F2431&lt;&gt;"""", N"&amp;"OT(REGEXMATCH(C2431, ""薪資""))), ""內部轉帳(忽略)"",
  REGEXMATCH(C2431, ""薪資""), ""薪資變動(不計入)"",
  REGEXMATCH(C2431, ""押金""), ""押金往來"",
  AND(E2431&lt;&gt;"""", F2431=""""), ""真實支出"",
  AND(E2431="""", F2431&lt;&gt;""""), ""真實收入"",
  TRUE, ""其他""
)"),"真實支出")</f>
        <v>真實支出</v>
      </c>
      <c r="K2431" s="270">
        <f t="shared" si="2"/>
        <v>-15</v>
      </c>
      <c r="L2431">
        <f t="shared" si="3"/>
        <v>0</v>
      </c>
    </row>
    <row r="2432">
      <c r="A2432" s="107">
        <f>IFERROR(__xludf.DUMMYFUNCTION("""COMPUTED_VALUE"""),45884.0)</f>
        <v>45884</v>
      </c>
      <c r="B2432" t="str">
        <f>IFERROR(__xludf.DUMMYFUNCTION("""COMPUTED_VALUE"""),"[景安2分鐘] [王逸荃] 大租金")</f>
        <v>[景安2分鐘] [王逸荃] 大租金</v>
      </c>
      <c r="C2432" t="str">
        <f>IFERROR(__xludf.DUMMYFUNCTION("""COMPUTED_VALUE"""),"成本 - 大租金")</f>
        <v>成本 - 大租金</v>
      </c>
      <c r="D2432" s="270">
        <f>IFERROR(__xludf.DUMMYFUNCTION("""COMPUTED_VALUE"""),-12500.0)</f>
        <v>-12500</v>
      </c>
      <c r="E2432" t="str">
        <f>IFERROR(__xludf.DUMMYFUNCTION("""COMPUTED_VALUE"""),"台銀籌備帳戶")</f>
        <v>台銀籌備帳戶</v>
      </c>
      <c r="G2432" t="str">
        <f>IFERROR(__xludf.DUMMYFUNCTION("""COMPUTED_VALUE"""),"景安2分鐘")</f>
        <v>景安2分鐘</v>
      </c>
      <c r="H2432" s="106" t="str">
        <f t="shared" si="1"/>
        <v>2025-08</v>
      </c>
      <c r="I2432" s="271" t="str">
        <f>IFERROR(__xludf.DUMMYFUNCTION("""COMPUTED_VALUE"""),"貓狗企鵝")</f>
        <v>貓狗企鵝</v>
      </c>
      <c r="J2432" t="str">
        <f>IFERROR(__xludf.DUMMYFUNCTION("IFS(
  AND(REGEXMATCH(E2432, ""台銀籌備帳戶|玉山帳戶""), REGEXMATCH(C2432, ""薪資"")), ""分潤支出"",
  AND(REGEXMATCH(E2432, ""Ben帳戶|Elsa帳戶|Ben代墊|Ariel代墊|中信銀行共用""), REGEXMATCH(F2432, ""Ben帳戶|Elsa帳戶|Ben代墊|Ariel代墊|中信銀行共用"")), ""內部轉帳(忽略)"",
  AND(E2432&lt;&gt;"""", F2432&lt;&gt;"""", N"&amp;"OT(REGEXMATCH(C2432, ""薪資""))), ""內部轉帳(忽略)"",
  REGEXMATCH(C2432, ""薪資""), ""薪資變動(不計入)"",
  REGEXMATCH(C2432, ""押金""), ""押金往來"",
  AND(E2432&lt;&gt;"""", F2432=""""), ""真實支出"",
  AND(E2432="""", F2432&lt;&gt;""""), ""真實收入"",
  TRUE, ""其他""
)"),"真實支出")</f>
        <v>真實支出</v>
      </c>
      <c r="K2432" s="270">
        <f t="shared" si="2"/>
        <v>-12500</v>
      </c>
      <c r="L2432">
        <f t="shared" si="3"/>
        <v>0</v>
      </c>
    </row>
    <row r="2433">
      <c r="A2433" s="107">
        <f>IFERROR(__xludf.DUMMYFUNCTION("""COMPUTED_VALUE"""),45884.0)</f>
        <v>45884</v>
      </c>
      <c r="B2433" t="str">
        <f>IFERROR(__xludf.DUMMYFUNCTION("""COMPUTED_VALUE"""),"費用 - 匯費 對方行:052 後五碼:22609 (行號: 10)")</f>
        <v>費用 - 匯費 對方行:052 後五碼:22609 (行號: 10)</v>
      </c>
      <c r="C2433" t="str">
        <f>IFERROR(__xludf.DUMMYFUNCTION("""COMPUTED_VALUE"""),"費用 - 匯費")</f>
        <v>費用 - 匯費</v>
      </c>
      <c r="D2433" s="270">
        <f>IFERROR(__xludf.DUMMYFUNCTION("""COMPUTED_VALUE"""),-15.0)</f>
        <v>-15</v>
      </c>
      <c r="E2433" t="str">
        <f>IFERROR(__xludf.DUMMYFUNCTION("""COMPUTED_VALUE"""),"台銀籌備帳戶")</f>
        <v>台銀籌備帳戶</v>
      </c>
      <c r="H2433" s="106" t="str">
        <f t="shared" si="1"/>
        <v>2025-08</v>
      </c>
      <c r="I2433" s="271" t="str">
        <f>IFERROR(__xludf.DUMMYFUNCTION("""COMPUTED_VALUE"""),"貓狗企鵝")</f>
        <v>貓狗企鵝</v>
      </c>
      <c r="J2433" t="str">
        <f>IFERROR(__xludf.DUMMYFUNCTION("IFS(
  AND(REGEXMATCH(E2433, ""台銀籌備帳戶|玉山帳戶""), REGEXMATCH(C2433, ""薪資"")), ""分潤支出"",
  AND(REGEXMATCH(E2433, ""Ben帳戶|Elsa帳戶|Ben代墊|Ariel代墊|中信銀行共用""), REGEXMATCH(F2433, ""Ben帳戶|Elsa帳戶|Ben代墊|Ariel代墊|中信銀行共用"")), ""內部轉帳(忽略)"",
  AND(E2433&lt;&gt;"""", F2433&lt;&gt;"""", N"&amp;"OT(REGEXMATCH(C2433, ""薪資""))), ""內部轉帳(忽略)"",
  REGEXMATCH(C2433, ""薪資""), ""薪資變動(不計入)"",
  REGEXMATCH(C2433, ""押金""), ""押金往來"",
  AND(E2433&lt;&gt;"""", F2433=""""), ""真實支出"",
  AND(E2433="""", F2433&lt;&gt;""""), ""真實收入"",
  TRUE, ""其他""
)"),"真實支出")</f>
        <v>真實支出</v>
      </c>
      <c r="K2433" s="270">
        <f t="shared" si="2"/>
        <v>-15</v>
      </c>
      <c r="L2433">
        <f t="shared" si="3"/>
        <v>0</v>
      </c>
    </row>
    <row r="2434">
      <c r="A2434" s="107">
        <f>IFERROR(__xludf.DUMMYFUNCTION("""COMPUTED_VALUE"""),45884.0)</f>
        <v>45884</v>
      </c>
      <c r="B2434" t="str">
        <f>IFERROR(__xludf.DUMMYFUNCTION("""COMPUTED_VALUE"""),"[中山北Feli家] [陳玉蘭] 大租金")</f>
        <v>[中山北Feli家] [陳玉蘭] 大租金</v>
      </c>
      <c r="C2434" t="str">
        <f>IFERROR(__xludf.DUMMYFUNCTION("""COMPUTED_VALUE"""),"成本 - 大租金")</f>
        <v>成本 - 大租金</v>
      </c>
      <c r="D2434" s="270">
        <f>IFERROR(__xludf.DUMMYFUNCTION("""COMPUTED_VALUE"""),-18000.0)</f>
        <v>-18000</v>
      </c>
      <c r="E2434" t="str">
        <f>IFERROR(__xludf.DUMMYFUNCTION("""COMPUTED_VALUE"""),"台銀籌備帳戶")</f>
        <v>台銀籌備帳戶</v>
      </c>
      <c r="G2434" t="str">
        <f>IFERROR(__xludf.DUMMYFUNCTION("""COMPUTED_VALUE"""),"中山北Feli家")</f>
        <v>中山北Feli家</v>
      </c>
      <c r="H2434" s="106" t="str">
        <f t="shared" si="1"/>
        <v>2025-08</v>
      </c>
      <c r="I2434" s="271" t="str">
        <f>IFERROR(__xludf.DUMMYFUNCTION("""COMPUTED_VALUE"""),"貓狗企鵝")</f>
        <v>貓狗企鵝</v>
      </c>
      <c r="J2434" t="str">
        <f>IFERROR(__xludf.DUMMYFUNCTION("IFS(
  AND(REGEXMATCH(E2434, ""台銀籌備帳戶|玉山帳戶""), REGEXMATCH(C2434, ""薪資"")), ""分潤支出"",
  AND(REGEXMATCH(E2434, ""Ben帳戶|Elsa帳戶|Ben代墊|Ariel代墊|中信銀行共用""), REGEXMATCH(F2434, ""Ben帳戶|Elsa帳戶|Ben代墊|Ariel代墊|中信銀行共用"")), ""內部轉帳(忽略)"",
  AND(E2434&lt;&gt;"""", F2434&lt;&gt;"""", N"&amp;"OT(REGEXMATCH(C2434, ""薪資""))), ""內部轉帳(忽略)"",
  REGEXMATCH(C2434, ""薪資""), ""薪資變動(不計入)"",
  REGEXMATCH(C2434, ""押金""), ""押金往來"",
  AND(E2434&lt;&gt;"""", F2434=""""), ""真實支出"",
  AND(E2434="""", F2434&lt;&gt;""""), ""真實收入"",
  TRUE, ""其他""
)"),"真實支出")</f>
        <v>真實支出</v>
      </c>
      <c r="K2434" s="270">
        <f t="shared" si="2"/>
        <v>-18000</v>
      </c>
      <c r="L2434">
        <f t="shared" si="3"/>
        <v>0</v>
      </c>
    </row>
    <row r="2435">
      <c r="A2435" s="107">
        <f>IFERROR(__xludf.DUMMYFUNCTION("""COMPUTED_VALUE"""),45884.0)</f>
        <v>45884</v>
      </c>
      <c r="B2435" t="str">
        <f>IFERROR(__xludf.DUMMYFUNCTION("""COMPUTED_VALUE"""),"費用 - 匯費 對方行:700 後五碼:19509 (行號: 11)")</f>
        <v>費用 - 匯費 對方行:700 後五碼:19509 (行號: 11)</v>
      </c>
      <c r="C2435" t="str">
        <f>IFERROR(__xludf.DUMMYFUNCTION("""COMPUTED_VALUE"""),"費用 - 匯費")</f>
        <v>費用 - 匯費</v>
      </c>
      <c r="D2435" s="270">
        <f>IFERROR(__xludf.DUMMYFUNCTION("""COMPUTED_VALUE"""),-15.0)</f>
        <v>-15</v>
      </c>
      <c r="E2435" t="str">
        <f>IFERROR(__xludf.DUMMYFUNCTION("""COMPUTED_VALUE"""),"台銀籌備帳戶")</f>
        <v>台銀籌備帳戶</v>
      </c>
      <c r="H2435" s="106" t="str">
        <f t="shared" si="1"/>
        <v>2025-08</v>
      </c>
      <c r="I2435" s="271" t="str">
        <f>IFERROR(__xludf.DUMMYFUNCTION("""COMPUTED_VALUE"""),"貓狗企鵝")</f>
        <v>貓狗企鵝</v>
      </c>
      <c r="J2435" t="str">
        <f>IFERROR(__xludf.DUMMYFUNCTION("IFS(
  AND(REGEXMATCH(E2435, ""台銀籌備帳戶|玉山帳戶""), REGEXMATCH(C2435, ""薪資"")), ""分潤支出"",
  AND(REGEXMATCH(E2435, ""Ben帳戶|Elsa帳戶|Ben代墊|Ariel代墊|中信銀行共用""), REGEXMATCH(F2435, ""Ben帳戶|Elsa帳戶|Ben代墊|Ariel代墊|中信銀行共用"")), ""內部轉帳(忽略)"",
  AND(E2435&lt;&gt;"""", F2435&lt;&gt;"""", N"&amp;"OT(REGEXMATCH(C2435, ""薪資""))), ""內部轉帳(忽略)"",
  REGEXMATCH(C2435, ""薪資""), ""薪資變動(不計入)"",
  REGEXMATCH(C2435, ""押金""), ""押金往來"",
  AND(E2435&lt;&gt;"""", F2435=""""), ""真實支出"",
  AND(E2435="""", F2435&lt;&gt;""""), ""真實收入"",
  TRUE, ""其他""
)"),"真實支出")</f>
        <v>真實支出</v>
      </c>
      <c r="K2435" s="270">
        <f t="shared" si="2"/>
        <v>-15</v>
      </c>
      <c r="L2435">
        <f t="shared" si="3"/>
        <v>0</v>
      </c>
    </row>
    <row r="2436">
      <c r="A2436" s="107">
        <f>IFERROR(__xludf.DUMMYFUNCTION("""COMPUTED_VALUE"""),45884.0)</f>
        <v>45884</v>
      </c>
      <c r="B2436" t="str">
        <f>IFERROR(__xludf.DUMMYFUNCTION("""COMPUTED_VALUE"""),"[龍江229] [游為傑] 大租金")</f>
        <v>[龍江229] [游為傑] 大租金</v>
      </c>
      <c r="C2436" t="str">
        <f>IFERROR(__xludf.DUMMYFUNCTION("""COMPUTED_VALUE"""),"成本 - 大租金")</f>
        <v>成本 - 大租金</v>
      </c>
      <c r="D2436" s="270">
        <f>IFERROR(__xludf.DUMMYFUNCTION("""COMPUTED_VALUE"""),-13500.0)</f>
        <v>-13500</v>
      </c>
      <c r="E2436" t="str">
        <f>IFERROR(__xludf.DUMMYFUNCTION("""COMPUTED_VALUE"""),"台銀籌備帳戶")</f>
        <v>台銀籌備帳戶</v>
      </c>
      <c r="G2436" t="str">
        <f>IFERROR(__xludf.DUMMYFUNCTION("""COMPUTED_VALUE"""),"龍江229")</f>
        <v>龍江229</v>
      </c>
      <c r="H2436" s="106" t="str">
        <f t="shared" si="1"/>
        <v>2025-08</v>
      </c>
      <c r="I2436" s="271" t="str">
        <f>IFERROR(__xludf.DUMMYFUNCTION("""COMPUTED_VALUE"""),"貓狗企鵝")</f>
        <v>貓狗企鵝</v>
      </c>
      <c r="J2436" t="str">
        <f>IFERROR(__xludf.DUMMYFUNCTION("IFS(
  AND(REGEXMATCH(E2436, ""台銀籌備帳戶|玉山帳戶""), REGEXMATCH(C2436, ""薪資"")), ""分潤支出"",
  AND(REGEXMATCH(E2436, ""Ben帳戶|Elsa帳戶|Ben代墊|Ariel代墊|中信銀行共用""), REGEXMATCH(F2436, ""Ben帳戶|Elsa帳戶|Ben代墊|Ariel代墊|中信銀行共用"")), ""內部轉帳(忽略)"",
  AND(E2436&lt;&gt;"""", F2436&lt;&gt;"""", N"&amp;"OT(REGEXMATCH(C2436, ""薪資""))), ""內部轉帳(忽略)"",
  REGEXMATCH(C2436, ""薪資""), ""薪資變動(不計入)"",
  REGEXMATCH(C2436, ""押金""), ""押金往來"",
  AND(E2436&lt;&gt;"""", F2436=""""), ""真實支出"",
  AND(E2436="""", F2436&lt;&gt;""""), ""真實收入"",
  TRUE, ""其他""
)"),"真實支出")</f>
        <v>真實支出</v>
      </c>
      <c r="K2436" s="270">
        <f t="shared" si="2"/>
        <v>-13500</v>
      </c>
      <c r="L2436">
        <f t="shared" si="3"/>
        <v>0</v>
      </c>
    </row>
    <row r="2437">
      <c r="A2437" s="107">
        <f>IFERROR(__xludf.DUMMYFUNCTION("""COMPUTED_VALUE"""),45885.0)</f>
        <v>45885</v>
      </c>
      <c r="B2437" t="str">
        <f>IFERROR(__xludf.DUMMYFUNCTION("""COMPUTED_VALUE"""),"費用 - 匯費 對方行:808 後五碼:10714 (行號: 12)")</f>
        <v>費用 - 匯費 對方行:808 後五碼:10714 (行號: 12)</v>
      </c>
      <c r="C2437" t="str">
        <f>IFERROR(__xludf.DUMMYFUNCTION("""COMPUTED_VALUE"""),"費用 - 匯費")</f>
        <v>費用 - 匯費</v>
      </c>
      <c r="D2437" s="270">
        <f>IFERROR(__xludf.DUMMYFUNCTION("""COMPUTED_VALUE"""),-15.0)</f>
        <v>-15</v>
      </c>
      <c r="E2437" t="str">
        <f>IFERROR(__xludf.DUMMYFUNCTION("""COMPUTED_VALUE"""),"台銀籌備帳戶")</f>
        <v>台銀籌備帳戶</v>
      </c>
      <c r="H2437" s="106" t="str">
        <f t="shared" si="1"/>
        <v>2025-08</v>
      </c>
      <c r="I2437" s="271" t="str">
        <f>IFERROR(__xludf.DUMMYFUNCTION("""COMPUTED_VALUE"""),"貓狗企鵝")</f>
        <v>貓狗企鵝</v>
      </c>
      <c r="J2437" t="str">
        <f>IFERROR(__xludf.DUMMYFUNCTION("IFS(
  AND(REGEXMATCH(E2437, ""台銀籌備帳戶|玉山帳戶""), REGEXMATCH(C2437, ""薪資"")), ""分潤支出"",
  AND(REGEXMATCH(E2437, ""Ben帳戶|Elsa帳戶|Ben代墊|Ariel代墊|中信銀行共用""), REGEXMATCH(F2437, ""Ben帳戶|Elsa帳戶|Ben代墊|Ariel代墊|中信銀行共用"")), ""內部轉帳(忽略)"",
  AND(E2437&lt;&gt;"""", F2437&lt;&gt;"""", N"&amp;"OT(REGEXMATCH(C2437, ""薪資""))), ""內部轉帳(忽略)"",
  REGEXMATCH(C2437, ""薪資""), ""薪資變動(不計入)"",
  REGEXMATCH(C2437, ""押金""), ""押金往來"",
  AND(E2437&lt;&gt;"""", F2437=""""), ""真實支出"",
  AND(E2437="""", F2437&lt;&gt;""""), ""真實收入"",
  TRUE, ""其他""
)"),"真實支出")</f>
        <v>真實支出</v>
      </c>
      <c r="K2437" s="270">
        <f t="shared" si="2"/>
        <v>-15</v>
      </c>
      <c r="L2437">
        <f t="shared" si="3"/>
        <v>0</v>
      </c>
    </row>
    <row r="2438">
      <c r="A2438" s="107">
        <f>IFERROR(__xludf.DUMMYFUNCTION("""COMPUTED_VALUE"""),45885.0)</f>
        <v>45885</v>
      </c>
      <c r="B2438" t="str">
        <f>IFERROR(__xludf.DUMMYFUNCTION("""COMPUTED_VALUE"""),"大湖B退押 ' 【未分類支出】")</f>
        <v>大湖B退押 ' 【未分類支出】</v>
      </c>
      <c r="C2438" t="str">
        <f>IFERROR(__xludf.DUMMYFUNCTION("""COMPUTED_VALUE"""),"收入 - 押金")</f>
        <v>收入 - 押金</v>
      </c>
      <c r="D2438" s="270">
        <f>IFERROR(__xludf.DUMMYFUNCTION("""COMPUTED_VALUE"""),-12800.0)</f>
        <v>-12800</v>
      </c>
      <c r="E2438" t="str">
        <f>IFERROR(__xludf.DUMMYFUNCTION("""COMPUTED_VALUE"""),"台銀籌備帳戶")</f>
        <v>台銀籌備帳戶</v>
      </c>
      <c r="G2438" t="str">
        <f>IFERROR(__xludf.DUMMYFUNCTION("""COMPUTED_VALUE"""),"大湖山莊")</f>
        <v>大湖山莊</v>
      </c>
      <c r="H2438" s="106" t="str">
        <f t="shared" si="1"/>
        <v>2025-08</v>
      </c>
      <c r="I2438" s="271" t="str">
        <f>IFERROR(__xludf.DUMMYFUNCTION("""COMPUTED_VALUE"""),"貓狗企鵝")</f>
        <v>貓狗企鵝</v>
      </c>
      <c r="J2438" t="str">
        <f>IFERROR(__xludf.DUMMYFUNCTION("IFS(
  AND(REGEXMATCH(E2438, ""台銀籌備帳戶|玉山帳戶""), REGEXMATCH(C2438, ""薪資"")), ""分潤支出"",
  AND(REGEXMATCH(E2438, ""Ben帳戶|Elsa帳戶|Ben代墊|Ariel代墊|中信銀行共用""), REGEXMATCH(F2438, ""Ben帳戶|Elsa帳戶|Ben代墊|Ariel代墊|中信銀行共用"")), ""內部轉帳(忽略)"",
  AND(E2438&lt;&gt;"""", F2438&lt;&gt;"""", N"&amp;"OT(REGEXMATCH(C2438, ""薪資""))), ""內部轉帳(忽略)"",
  REGEXMATCH(C2438, ""薪資""), ""薪資變動(不計入)"",
  REGEXMATCH(C2438, ""押金""), ""押金往來"",
  AND(E2438&lt;&gt;"""", F2438=""""), ""真實支出"",
  AND(E2438="""", F2438&lt;&gt;""""), ""真實收入"",
  TRUE, ""其他""
)"),"押金往來")</f>
        <v>押金往來</v>
      </c>
      <c r="K2438">
        <f t="shared" si="2"/>
        <v>0</v>
      </c>
      <c r="L2438">
        <f t="shared" si="3"/>
        <v>0</v>
      </c>
    </row>
    <row r="2439">
      <c r="A2439" s="107">
        <f>IFERROR(__xludf.DUMMYFUNCTION("""COMPUTED_VALUE"""),45889.0)</f>
        <v>45889</v>
      </c>
      <c r="B2439" t="str">
        <f>IFERROR(__xludf.DUMMYFUNCTION("""COMPUTED_VALUE"""),"費用 - 匯費 對方行:822 後五碼:61657 (行號: 15)")</f>
        <v>費用 - 匯費 對方行:822 後五碼:61657 (行號: 15)</v>
      </c>
      <c r="C2439" t="str">
        <f>IFERROR(__xludf.DUMMYFUNCTION("""COMPUTED_VALUE"""),"費用 - 匯費")</f>
        <v>費用 - 匯費</v>
      </c>
      <c r="D2439" s="270">
        <f>IFERROR(__xludf.DUMMYFUNCTION("""COMPUTED_VALUE"""),-15.0)</f>
        <v>-15</v>
      </c>
      <c r="E2439" t="str">
        <f>IFERROR(__xludf.DUMMYFUNCTION("""COMPUTED_VALUE"""),"台銀籌備帳戶")</f>
        <v>台銀籌備帳戶</v>
      </c>
      <c r="H2439" s="106" t="str">
        <f t="shared" si="1"/>
        <v>2025-08</v>
      </c>
      <c r="I2439" s="271" t="str">
        <f>IFERROR(__xludf.DUMMYFUNCTION("""COMPUTED_VALUE"""),"貓狗企鵝")</f>
        <v>貓狗企鵝</v>
      </c>
      <c r="J2439" t="str">
        <f>IFERROR(__xludf.DUMMYFUNCTION("IFS(
  AND(REGEXMATCH(E2439, ""台銀籌備帳戶|玉山帳戶""), REGEXMATCH(C2439, ""薪資"")), ""分潤支出"",
  AND(REGEXMATCH(E2439, ""Ben帳戶|Elsa帳戶|Ben代墊|Ariel代墊|中信銀行共用""), REGEXMATCH(F2439, ""Ben帳戶|Elsa帳戶|Ben代墊|Ariel代墊|中信銀行共用"")), ""內部轉帳(忽略)"",
  AND(E2439&lt;&gt;"""", F2439&lt;&gt;"""", N"&amp;"OT(REGEXMATCH(C2439, ""薪資""))), ""內部轉帳(忽略)"",
  REGEXMATCH(C2439, ""薪資""), ""薪資變動(不計入)"",
  REGEXMATCH(C2439, ""押金""), ""押金往來"",
  AND(E2439&lt;&gt;"""", F2439=""""), ""真實支出"",
  AND(E2439="""", F2439&lt;&gt;""""), ""真實收入"",
  TRUE, ""其他""
)"),"真實支出")</f>
        <v>真實支出</v>
      </c>
      <c r="K2439" s="270">
        <f t="shared" si="2"/>
        <v>-15</v>
      </c>
      <c r="L2439">
        <f t="shared" si="3"/>
        <v>0</v>
      </c>
    </row>
    <row r="2440">
      <c r="A2440" s="107">
        <f>IFERROR(__xludf.DUMMYFUNCTION("""COMPUTED_VALUE"""),45889.0)</f>
        <v>45889</v>
      </c>
      <c r="B2440" t="str">
        <f>IFERROR(__xludf.DUMMYFUNCTION("""COMPUTED_VALUE"""),"Feli5樓 換鎖")</f>
        <v>Feli5樓 換鎖</v>
      </c>
      <c r="C2440" t="str">
        <f>IFERROR(__xludf.DUMMYFUNCTION("""COMPUTED_VALUE"""),"成本 - 租後修繕")</f>
        <v>成本 - 租後修繕</v>
      </c>
      <c r="D2440" s="270">
        <f>IFERROR(__xludf.DUMMYFUNCTION("""COMPUTED_VALUE"""),-1400.0)</f>
        <v>-1400</v>
      </c>
      <c r="E2440" t="str">
        <f>IFERROR(__xludf.DUMMYFUNCTION("""COMPUTED_VALUE"""),"台銀籌備帳戶")</f>
        <v>台銀籌備帳戶</v>
      </c>
      <c r="G2440" t="str">
        <f>IFERROR(__xludf.DUMMYFUNCTION("""COMPUTED_VALUE"""),"中山北Feli家")</f>
        <v>中山北Feli家</v>
      </c>
      <c r="H2440" s="106" t="str">
        <f t="shared" si="1"/>
        <v>2025-08</v>
      </c>
      <c r="I2440" s="271" t="str">
        <f>IFERROR(__xludf.DUMMYFUNCTION("""COMPUTED_VALUE"""),"貓狗企鵝")</f>
        <v>貓狗企鵝</v>
      </c>
      <c r="J2440" t="str">
        <f>IFERROR(__xludf.DUMMYFUNCTION("IFS(
  AND(REGEXMATCH(E2440, ""台銀籌備帳戶|玉山帳戶""), REGEXMATCH(C2440, ""薪資"")), ""分潤支出"",
  AND(REGEXMATCH(E2440, ""Ben帳戶|Elsa帳戶|Ben代墊|Ariel代墊|中信銀行共用""), REGEXMATCH(F2440, ""Ben帳戶|Elsa帳戶|Ben代墊|Ariel代墊|中信銀行共用"")), ""內部轉帳(忽略)"",
  AND(E2440&lt;&gt;"""", F2440&lt;&gt;"""", N"&amp;"OT(REGEXMATCH(C2440, ""薪資""))), ""內部轉帳(忽略)"",
  REGEXMATCH(C2440, ""薪資""), ""薪資變動(不計入)"",
  REGEXMATCH(C2440, ""押金""), ""押金往來"",
  AND(E2440&lt;&gt;"""", F2440=""""), ""真實支出"",
  AND(E2440="""", F2440&lt;&gt;""""), ""真實收入"",
  TRUE, ""其他""
)"),"真實支出")</f>
        <v>真實支出</v>
      </c>
      <c r="K2440" s="270">
        <f t="shared" si="2"/>
        <v>-1400</v>
      </c>
      <c r="L2440">
        <f t="shared" si="3"/>
        <v>0</v>
      </c>
    </row>
    <row r="2441">
      <c r="A2441" s="107">
        <f>IFERROR(__xludf.DUMMYFUNCTION("""COMPUTED_VALUE"""),45889.0)</f>
        <v>45889</v>
      </c>
      <c r="B2441" t="str">
        <f>IFERROR(__xludf.DUMMYFUNCTION("""COMPUTED_VALUE"""),"費用 - 匯費 對方行:700 後五碼:10279 (行號: 16)")</f>
        <v>費用 - 匯費 對方行:700 後五碼:10279 (行號: 16)</v>
      </c>
      <c r="C2441" t="str">
        <f>IFERROR(__xludf.DUMMYFUNCTION("""COMPUTED_VALUE"""),"費用 - 匯費")</f>
        <v>費用 - 匯費</v>
      </c>
      <c r="D2441" s="270">
        <f>IFERROR(__xludf.DUMMYFUNCTION("""COMPUTED_VALUE"""),-15.0)</f>
        <v>-15</v>
      </c>
      <c r="E2441" t="str">
        <f>IFERROR(__xludf.DUMMYFUNCTION("""COMPUTED_VALUE"""),"台銀籌備帳戶")</f>
        <v>台銀籌備帳戶</v>
      </c>
      <c r="H2441" s="106" t="str">
        <f t="shared" si="1"/>
        <v>2025-08</v>
      </c>
      <c r="I2441" s="271" t="str">
        <f>IFERROR(__xludf.DUMMYFUNCTION("""COMPUTED_VALUE"""),"貓狗企鵝")</f>
        <v>貓狗企鵝</v>
      </c>
      <c r="J2441" t="str">
        <f>IFERROR(__xludf.DUMMYFUNCTION("IFS(
  AND(REGEXMATCH(E2441, ""台銀籌備帳戶|玉山帳戶""), REGEXMATCH(C2441, ""薪資"")), ""分潤支出"",
  AND(REGEXMATCH(E2441, ""Ben帳戶|Elsa帳戶|Ben代墊|Ariel代墊|中信銀行共用""), REGEXMATCH(F2441, ""Ben帳戶|Elsa帳戶|Ben代墊|Ariel代墊|中信銀行共用"")), ""內部轉帳(忽略)"",
  AND(E2441&lt;&gt;"""", F2441&lt;&gt;"""", N"&amp;"OT(REGEXMATCH(C2441, ""薪資""))), ""內部轉帳(忽略)"",
  REGEXMATCH(C2441, ""薪資""), ""薪資變動(不計入)"",
  REGEXMATCH(C2441, ""押金""), ""押金往來"",
  AND(E2441&lt;&gt;"""", F2441=""""), ""真實支出"",
  AND(E2441="""", F2441&lt;&gt;""""), ""真實收入"",
  TRUE, ""其他""
)"),"真實支出")</f>
        <v>真實支出</v>
      </c>
      <c r="K2441" s="270">
        <f t="shared" si="2"/>
        <v>-15</v>
      </c>
      <c r="L2441">
        <f t="shared" si="3"/>
        <v>0</v>
      </c>
    </row>
    <row r="2442">
      <c r="A2442" s="107">
        <f>IFERROR(__xludf.DUMMYFUNCTION("""COMPUTED_VALUE"""),45889.0)</f>
        <v>45889</v>
      </c>
      <c r="B2442" t="str">
        <f>IFERROR(__xludf.DUMMYFUNCTION("""COMPUTED_VALUE"""),"南港大大退押 ' 【未分類支出】")</f>
        <v>南港大大退押 ' 【未分類支出】</v>
      </c>
      <c r="C2442" t="str">
        <f>IFERROR(__xludf.DUMMYFUNCTION("""COMPUTED_VALUE"""),"收入 - 押金")</f>
        <v>收入 - 押金</v>
      </c>
      <c r="D2442" s="270">
        <f>IFERROR(__xludf.DUMMYFUNCTION("""COMPUTED_VALUE"""),-995.0)</f>
        <v>-995</v>
      </c>
      <c r="E2442" t="str">
        <f>IFERROR(__xludf.DUMMYFUNCTION("""COMPUTED_VALUE"""),"台銀籌備帳戶")</f>
        <v>台銀籌備帳戶</v>
      </c>
      <c r="G2442" t="str">
        <f>IFERROR(__xludf.DUMMYFUNCTION("""COMPUTED_VALUE"""),"南港站挑高宅")</f>
        <v>南港站挑高宅</v>
      </c>
      <c r="H2442" s="106" t="str">
        <f t="shared" si="1"/>
        <v>2025-08</v>
      </c>
      <c r="I2442" s="271" t="str">
        <f>IFERROR(__xludf.DUMMYFUNCTION("""COMPUTED_VALUE"""),"貓狗企鵝")</f>
        <v>貓狗企鵝</v>
      </c>
      <c r="J2442" t="str">
        <f>IFERROR(__xludf.DUMMYFUNCTION("IFS(
  AND(REGEXMATCH(E2442, ""台銀籌備帳戶|玉山帳戶""), REGEXMATCH(C2442, ""薪資"")), ""分潤支出"",
  AND(REGEXMATCH(E2442, ""Ben帳戶|Elsa帳戶|Ben代墊|Ariel代墊|中信銀行共用""), REGEXMATCH(F2442, ""Ben帳戶|Elsa帳戶|Ben代墊|Ariel代墊|中信銀行共用"")), ""內部轉帳(忽略)"",
  AND(E2442&lt;&gt;"""", F2442&lt;&gt;"""", N"&amp;"OT(REGEXMATCH(C2442, ""薪資""))), ""內部轉帳(忽略)"",
  REGEXMATCH(C2442, ""薪資""), ""薪資變動(不計入)"",
  REGEXMATCH(C2442, ""押金""), ""押金往來"",
  AND(E2442&lt;&gt;"""", F2442=""""), ""真實支出"",
  AND(E2442="""", F2442&lt;&gt;""""), ""真實收入"",
  TRUE, ""其他""
)"),"押金往來")</f>
        <v>押金往來</v>
      </c>
      <c r="K2442">
        <f t="shared" si="2"/>
        <v>0</v>
      </c>
      <c r="L2442">
        <f t="shared" si="3"/>
        <v>0</v>
      </c>
    </row>
    <row r="2443">
      <c r="A2443" s="107">
        <f>IFERROR(__xludf.DUMMYFUNCTION("""COMPUTED_VALUE"""),45891.0)</f>
        <v>45891</v>
      </c>
      <c r="B2443" t="str">
        <f>IFERROR(__xludf.DUMMYFUNCTION("""COMPUTED_VALUE"""),"費用 - 匯費 對方行:700 後五碼:23348 (行號: 19)")</f>
        <v>費用 - 匯費 對方行:700 後五碼:23348 (行號: 19)</v>
      </c>
      <c r="C2443" t="str">
        <f>IFERROR(__xludf.DUMMYFUNCTION("""COMPUTED_VALUE"""),"費用 - 匯費")</f>
        <v>費用 - 匯費</v>
      </c>
      <c r="D2443" s="270">
        <f>IFERROR(__xludf.DUMMYFUNCTION("""COMPUTED_VALUE"""),-15.0)</f>
        <v>-15</v>
      </c>
      <c r="E2443" t="str">
        <f>IFERROR(__xludf.DUMMYFUNCTION("""COMPUTED_VALUE"""),"台銀籌備帳戶")</f>
        <v>台銀籌備帳戶</v>
      </c>
      <c r="H2443" s="106" t="str">
        <f t="shared" si="1"/>
        <v>2025-08</v>
      </c>
      <c r="I2443" s="271" t="str">
        <f>IFERROR(__xludf.DUMMYFUNCTION("""COMPUTED_VALUE"""),"貓狗企鵝")</f>
        <v>貓狗企鵝</v>
      </c>
      <c r="J2443" t="str">
        <f>IFERROR(__xludf.DUMMYFUNCTION("IFS(
  AND(REGEXMATCH(E2443, ""台銀籌備帳戶|玉山帳戶""), REGEXMATCH(C2443, ""薪資"")), ""分潤支出"",
  AND(REGEXMATCH(E2443, ""Ben帳戶|Elsa帳戶|Ben代墊|Ariel代墊|中信銀行共用""), REGEXMATCH(F2443, ""Ben帳戶|Elsa帳戶|Ben代墊|Ariel代墊|中信銀行共用"")), ""內部轉帳(忽略)"",
  AND(E2443&lt;&gt;"""", F2443&lt;&gt;"""", N"&amp;"OT(REGEXMATCH(C2443, ""薪資""))), ""內部轉帳(忽略)"",
  REGEXMATCH(C2443, ""薪資""), ""薪資變動(不計入)"",
  REGEXMATCH(C2443, ""押金""), ""押金往來"",
  AND(E2443&lt;&gt;"""", F2443=""""), ""真實支出"",
  AND(E2443="""", F2443&lt;&gt;""""), ""真實收入"",
  TRUE, ""其他""
)"),"真實支出")</f>
        <v>真實支出</v>
      </c>
      <c r="K2443" s="270">
        <f t="shared" si="2"/>
        <v>-15</v>
      </c>
      <c r="L2443">
        <f t="shared" si="3"/>
        <v>0</v>
      </c>
    </row>
    <row r="2444">
      <c r="A2444" s="107">
        <f>IFERROR(__xludf.DUMMYFUNCTION("""COMPUTED_VALUE"""),45891.0)</f>
        <v>45891</v>
      </c>
      <c r="B2444" t="str">
        <f>IFERROR(__xludf.DUMMYFUNCTION("""COMPUTED_VALUE"""),"大湖Eric感謝金 ' 【未分類支出】")</f>
        <v>大湖Eric感謝金 ' 【未分類支出】</v>
      </c>
      <c r="C2444" t="str">
        <f>IFERROR(__xludf.DUMMYFUNCTION("""COMPUTED_VALUE"""),"成本 - 仲介費")</f>
        <v>成本 - 仲介費</v>
      </c>
      <c r="D2444" s="270">
        <f>IFERROR(__xludf.DUMMYFUNCTION("""COMPUTED_VALUE"""),-285.0)</f>
        <v>-285</v>
      </c>
      <c r="E2444" t="str">
        <f>IFERROR(__xludf.DUMMYFUNCTION("""COMPUTED_VALUE"""),"台銀籌備帳戶")</f>
        <v>台銀籌備帳戶</v>
      </c>
      <c r="G2444" t="str">
        <f>IFERROR(__xludf.DUMMYFUNCTION("""COMPUTED_VALUE"""),"大湖山莊")</f>
        <v>大湖山莊</v>
      </c>
      <c r="H2444" s="106" t="str">
        <f t="shared" si="1"/>
        <v>2025-08</v>
      </c>
      <c r="I2444" s="271" t="str">
        <f>IFERROR(__xludf.DUMMYFUNCTION("""COMPUTED_VALUE"""),"貓狗企鵝")</f>
        <v>貓狗企鵝</v>
      </c>
      <c r="J2444" t="str">
        <f>IFERROR(__xludf.DUMMYFUNCTION("IFS(
  AND(REGEXMATCH(E2444, ""台銀籌備帳戶|玉山帳戶""), REGEXMATCH(C2444, ""薪資"")), ""分潤支出"",
  AND(REGEXMATCH(E2444, ""Ben帳戶|Elsa帳戶|Ben代墊|Ariel代墊|中信銀行共用""), REGEXMATCH(F2444, ""Ben帳戶|Elsa帳戶|Ben代墊|Ariel代墊|中信銀行共用"")), ""內部轉帳(忽略)"",
  AND(E2444&lt;&gt;"""", F2444&lt;&gt;"""", N"&amp;"OT(REGEXMATCH(C2444, ""薪資""))), ""內部轉帳(忽略)"",
  REGEXMATCH(C2444, ""薪資""), ""薪資變動(不計入)"",
  REGEXMATCH(C2444, ""押金""), ""押金往來"",
  AND(E2444&lt;&gt;"""", F2444=""""), ""真實支出"",
  AND(E2444="""", F2444&lt;&gt;""""), ""真實收入"",
  TRUE, ""其他""
)"),"真實支出")</f>
        <v>真實支出</v>
      </c>
      <c r="K2444" s="270">
        <f t="shared" si="2"/>
        <v>-285</v>
      </c>
      <c r="L2444">
        <f t="shared" si="3"/>
        <v>0</v>
      </c>
    </row>
    <row r="2445">
      <c r="A2445" s="107">
        <f>IFERROR(__xludf.DUMMYFUNCTION("""COMPUTED_VALUE"""),45895.0)</f>
        <v>45895</v>
      </c>
      <c r="B2445" t="str">
        <f>IFERROR(__xludf.DUMMYFUNCTION("""COMPUTED_VALUE"""),"費用 - 匯費 對方行:822 後五碼:14465 (行號: 23)")</f>
        <v>費用 - 匯費 對方行:822 後五碼:14465 (行號: 23)</v>
      </c>
      <c r="C2445" t="str">
        <f>IFERROR(__xludf.DUMMYFUNCTION("""COMPUTED_VALUE"""),"費用 - 匯費")</f>
        <v>費用 - 匯費</v>
      </c>
      <c r="D2445" s="270">
        <f>IFERROR(__xludf.DUMMYFUNCTION("""COMPUTED_VALUE"""),-15.0)</f>
        <v>-15</v>
      </c>
      <c r="E2445" t="str">
        <f>IFERROR(__xludf.DUMMYFUNCTION("""COMPUTED_VALUE"""),"台銀籌備帳戶")</f>
        <v>台銀籌備帳戶</v>
      </c>
      <c r="H2445" s="106" t="str">
        <f t="shared" si="1"/>
        <v>2025-08</v>
      </c>
      <c r="I2445" s="271" t="str">
        <f>IFERROR(__xludf.DUMMYFUNCTION("""COMPUTED_VALUE"""),"貓狗企鵝")</f>
        <v>貓狗企鵝</v>
      </c>
      <c r="J2445" t="str">
        <f>IFERROR(__xludf.DUMMYFUNCTION("IFS(
  AND(REGEXMATCH(E2445, ""台銀籌備帳戶|玉山帳戶""), REGEXMATCH(C2445, ""薪資"")), ""分潤支出"",
  AND(REGEXMATCH(E2445, ""Ben帳戶|Elsa帳戶|Ben代墊|Ariel代墊|中信銀行共用""), REGEXMATCH(F2445, ""Ben帳戶|Elsa帳戶|Ben代墊|Ariel代墊|中信銀行共用"")), ""內部轉帳(忽略)"",
  AND(E2445&lt;&gt;"""", F2445&lt;&gt;"""", N"&amp;"OT(REGEXMATCH(C2445, ""薪資""))), ""內部轉帳(忽略)"",
  REGEXMATCH(C2445, ""薪資""), ""薪資變動(不計入)"",
  REGEXMATCH(C2445, ""押金""), ""押金往來"",
  AND(E2445&lt;&gt;"""", F2445=""""), ""真實支出"",
  AND(E2445="""", F2445&lt;&gt;""""), ""真實收入"",
  TRUE, ""其他""
)"),"真實支出")</f>
        <v>真實支出</v>
      </c>
      <c r="K2445" s="270">
        <f t="shared" si="2"/>
        <v>-15</v>
      </c>
      <c r="L2445">
        <f t="shared" si="3"/>
        <v>0</v>
      </c>
    </row>
    <row r="2446">
      <c r="A2446" s="107">
        <f>IFERROR(__xludf.DUMMYFUNCTION("""COMPUTED_VALUE"""),45895.0)</f>
        <v>45895</v>
      </c>
      <c r="B2446" t="str">
        <f>IFERROR(__xludf.DUMMYFUNCTION("""COMPUTED_VALUE"""),"南港貓女水電 ' 【未分類支出】")</f>
        <v>南港貓女水電 ' 【未分類支出】</v>
      </c>
      <c r="C2446" t="str">
        <f>IFERROR(__xludf.DUMMYFUNCTION("""COMPUTED_VALUE"""),"成本 - 固定開銷(網路代收清潔)")</f>
        <v>成本 - 固定開銷(網路代收清潔)</v>
      </c>
      <c r="D2446" s="270">
        <f>IFERROR(__xludf.DUMMYFUNCTION("""COMPUTED_VALUE"""),-655.0)</f>
        <v>-655</v>
      </c>
      <c r="E2446" t="str">
        <f>IFERROR(__xludf.DUMMYFUNCTION("""COMPUTED_VALUE"""),"台銀籌備帳戶")</f>
        <v>台銀籌備帳戶</v>
      </c>
      <c r="G2446" t="str">
        <f>IFERROR(__xludf.DUMMYFUNCTION("""COMPUTED_VALUE"""),"南港站挑高宅")</f>
        <v>南港站挑高宅</v>
      </c>
      <c r="H2446" s="106" t="str">
        <f t="shared" si="1"/>
        <v>2025-08</v>
      </c>
      <c r="I2446" s="271" t="str">
        <f>IFERROR(__xludf.DUMMYFUNCTION("""COMPUTED_VALUE"""),"貓狗企鵝")</f>
        <v>貓狗企鵝</v>
      </c>
      <c r="J2446" t="str">
        <f>IFERROR(__xludf.DUMMYFUNCTION("IFS(
  AND(REGEXMATCH(E2446, ""台銀籌備帳戶|玉山帳戶""), REGEXMATCH(C2446, ""薪資"")), ""分潤支出"",
  AND(REGEXMATCH(E2446, ""Ben帳戶|Elsa帳戶|Ben代墊|Ariel代墊|中信銀行共用""), REGEXMATCH(F2446, ""Ben帳戶|Elsa帳戶|Ben代墊|Ariel代墊|中信銀行共用"")), ""內部轉帳(忽略)"",
  AND(E2446&lt;&gt;"""", F2446&lt;&gt;"""", N"&amp;"OT(REGEXMATCH(C2446, ""薪資""))), ""內部轉帳(忽略)"",
  REGEXMATCH(C2446, ""薪資""), ""薪資變動(不計入)"",
  REGEXMATCH(C2446, ""押金""), ""押金往來"",
  AND(E2446&lt;&gt;"""", F2446=""""), ""真實支出"",
  AND(E2446="""", F2446&lt;&gt;""""), ""真實收入"",
  TRUE, ""其他""
)"),"真實支出")</f>
        <v>真實支出</v>
      </c>
      <c r="K2446" s="270">
        <f t="shared" si="2"/>
        <v>-655</v>
      </c>
      <c r="L2446">
        <f t="shared" si="3"/>
        <v>0</v>
      </c>
    </row>
    <row r="2447">
      <c r="A2447" s="107">
        <f>IFERROR(__xludf.DUMMYFUNCTION("""COMPUTED_VALUE"""),45895.0)</f>
        <v>45895</v>
      </c>
      <c r="B2447" t="str">
        <f>IFERROR(__xludf.DUMMYFUNCTION("""COMPUTED_VALUE"""),"費用 - 匯費 對方行:807 後五碼:82067 (行號: 24)")</f>
        <v>費用 - 匯費 對方行:807 後五碼:82067 (行號: 24)</v>
      </c>
      <c r="C2447" t="str">
        <f>IFERROR(__xludf.DUMMYFUNCTION("""COMPUTED_VALUE"""),"費用 - 匯費")</f>
        <v>費用 - 匯費</v>
      </c>
      <c r="D2447" s="270">
        <f>IFERROR(__xludf.DUMMYFUNCTION("""COMPUTED_VALUE"""),-15.0)</f>
        <v>-15</v>
      </c>
      <c r="E2447" t="str">
        <f>IFERROR(__xludf.DUMMYFUNCTION("""COMPUTED_VALUE"""),"台銀籌備帳戶")</f>
        <v>台銀籌備帳戶</v>
      </c>
      <c r="H2447" s="106" t="str">
        <f t="shared" si="1"/>
        <v>2025-08</v>
      </c>
      <c r="I2447" s="271" t="str">
        <f>IFERROR(__xludf.DUMMYFUNCTION("""COMPUTED_VALUE"""),"貓狗企鵝")</f>
        <v>貓狗企鵝</v>
      </c>
      <c r="J2447" t="str">
        <f>IFERROR(__xludf.DUMMYFUNCTION("IFS(
  AND(REGEXMATCH(E2447, ""台銀籌備帳戶|玉山帳戶""), REGEXMATCH(C2447, ""薪資"")), ""分潤支出"",
  AND(REGEXMATCH(E2447, ""Ben帳戶|Elsa帳戶|Ben代墊|Ariel代墊|中信銀行共用""), REGEXMATCH(F2447, ""Ben帳戶|Elsa帳戶|Ben代墊|Ariel代墊|中信銀行共用"")), ""內部轉帳(忽略)"",
  AND(E2447&lt;&gt;"""", F2447&lt;&gt;"""", N"&amp;"OT(REGEXMATCH(C2447, ""薪資""))), ""內部轉帳(忽略)"",
  REGEXMATCH(C2447, ""薪資""), ""薪資變動(不計入)"",
  REGEXMATCH(C2447, ""押金""), ""押金往來"",
  AND(E2447&lt;&gt;"""", F2447=""""), ""真實支出"",
  AND(E2447="""", F2447&lt;&gt;""""), ""真實收入"",
  TRUE, ""其他""
)"),"真實支出")</f>
        <v>真實支出</v>
      </c>
      <c r="K2447" s="270">
        <f t="shared" si="2"/>
        <v>-15</v>
      </c>
      <c r="L2447">
        <f t="shared" si="3"/>
        <v>0</v>
      </c>
    </row>
    <row r="2448">
      <c r="A2448" s="107">
        <f>IFERROR(__xludf.DUMMYFUNCTION("""COMPUTED_VALUE"""),45895.0)</f>
        <v>45895</v>
      </c>
      <c r="B2448" t="str">
        <f>IFERROR(__xludf.DUMMYFUNCTION("""COMPUTED_VALUE"""),"南港貓女瓦斯 ' 【未分類支出】")</f>
        <v>南港貓女瓦斯 ' 【未分類支出】</v>
      </c>
      <c r="C2448" t="str">
        <f>IFERROR(__xludf.DUMMYFUNCTION("""COMPUTED_VALUE"""),"成本 - 固定開銷(網路代收清潔)")</f>
        <v>成本 - 固定開銷(網路代收清潔)</v>
      </c>
      <c r="D2448" s="270">
        <f>IFERROR(__xludf.DUMMYFUNCTION("""COMPUTED_VALUE"""),-273.0)</f>
        <v>-273</v>
      </c>
      <c r="E2448" t="str">
        <f>IFERROR(__xludf.DUMMYFUNCTION("""COMPUTED_VALUE"""),"台銀籌備帳戶")</f>
        <v>台銀籌備帳戶</v>
      </c>
      <c r="G2448" t="str">
        <f>IFERROR(__xludf.DUMMYFUNCTION("""COMPUTED_VALUE"""),"南港站挑高宅")</f>
        <v>南港站挑高宅</v>
      </c>
      <c r="H2448" s="106" t="str">
        <f t="shared" si="1"/>
        <v>2025-08</v>
      </c>
      <c r="I2448" s="271" t="str">
        <f>IFERROR(__xludf.DUMMYFUNCTION("""COMPUTED_VALUE"""),"貓狗企鵝")</f>
        <v>貓狗企鵝</v>
      </c>
      <c r="J2448" t="str">
        <f>IFERROR(__xludf.DUMMYFUNCTION("IFS(
  AND(REGEXMATCH(E2448, ""台銀籌備帳戶|玉山帳戶""), REGEXMATCH(C2448, ""薪資"")), ""分潤支出"",
  AND(REGEXMATCH(E2448, ""Ben帳戶|Elsa帳戶|Ben代墊|Ariel代墊|中信銀行共用""), REGEXMATCH(F2448, ""Ben帳戶|Elsa帳戶|Ben代墊|Ariel代墊|中信銀行共用"")), ""內部轉帳(忽略)"",
  AND(E2448&lt;&gt;"""", F2448&lt;&gt;"""", N"&amp;"OT(REGEXMATCH(C2448, ""薪資""))), ""內部轉帳(忽略)"",
  REGEXMATCH(C2448, ""薪資""), ""薪資變動(不計入)"",
  REGEXMATCH(C2448, ""押金""), ""押金往來"",
  AND(E2448&lt;&gt;"""", F2448=""""), ""真實支出"",
  AND(E2448="""", F2448&lt;&gt;""""), ""真實收入"",
  TRUE, ""其他""
)"),"真實支出")</f>
        <v>真實支出</v>
      </c>
      <c r="K2448" s="270">
        <f t="shared" si="2"/>
        <v>-273</v>
      </c>
      <c r="L2448">
        <f t="shared" si="3"/>
        <v>0</v>
      </c>
    </row>
    <row r="2449">
      <c r="A2449" s="107">
        <f>IFERROR(__xludf.DUMMYFUNCTION("""COMPUTED_VALUE"""),45897.0)</f>
        <v>45897</v>
      </c>
      <c r="B2449" t="str">
        <f>IFERROR(__xludf.DUMMYFUNCTION("""COMPUTED_VALUE"""),"費用 - 匯費 對方行:822 後五碼:43681 (行號: 27)")</f>
        <v>費用 - 匯費 對方行:822 後五碼:43681 (行號: 27)</v>
      </c>
      <c r="C2449" t="str">
        <f>IFERROR(__xludf.DUMMYFUNCTION("""COMPUTED_VALUE"""),"費用 - 匯費")</f>
        <v>費用 - 匯費</v>
      </c>
      <c r="D2449" s="270">
        <f>IFERROR(__xludf.DUMMYFUNCTION("""COMPUTED_VALUE"""),-15.0)</f>
        <v>-15</v>
      </c>
      <c r="E2449" t="str">
        <f>IFERROR(__xludf.DUMMYFUNCTION("""COMPUTED_VALUE"""),"台銀籌備帳戶")</f>
        <v>台銀籌備帳戶</v>
      </c>
      <c r="H2449" s="106" t="str">
        <f t="shared" si="1"/>
        <v>2025-08</v>
      </c>
      <c r="I2449" s="271" t="str">
        <f>IFERROR(__xludf.DUMMYFUNCTION("""COMPUTED_VALUE"""),"貓狗企鵝")</f>
        <v>貓狗企鵝</v>
      </c>
      <c r="J2449" t="str">
        <f>IFERROR(__xludf.DUMMYFUNCTION("IFS(
  AND(REGEXMATCH(E2449, ""台銀籌備帳戶|玉山帳戶""), REGEXMATCH(C2449, ""薪資"")), ""分潤支出"",
  AND(REGEXMATCH(E2449, ""Ben帳戶|Elsa帳戶|Ben代墊|Ariel代墊|中信銀行共用""), REGEXMATCH(F2449, ""Ben帳戶|Elsa帳戶|Ben代墊|Ariel代墊|中信銀行共用"")), ""內部轉帳(忽略)"",
  AND(E2449&lt;&gt;"""", F2449&lt;&gt;"""", N"&amp;"OT(REGEXMATCH(C2449, ""薪資""))), ""內部轉帳(忽略)"",
  REGEXMATCH(C2449, ""薪資""), ""薪資變動(不計入)"",
  REGEXMATCH(C2449, ""押金""), ""押金往來"",
  AND(E2449&lt;&gt;"""", F2449=""""), ""真實支出"",
  AND(E2449="""", F2449&lt;&gt;""""), ""真實收入"",
  TRUE, ""其他""
)"),"真實支出")</f>
        <v>真實支出</v>
      </c>
      <c r="K2449" s="270">
        <f t="shared" si="2"/>
        <v>-15</v>
      </c>
      <c r="L2449">
        <f t="shared" si="3"/>
        <v>0</v>
      </c>
    </row>
    <row r="2450">
      <c r="A2450" s="107">
        <f>IFERROR(__xludf.DUMMYFUNCTION("""COMPUTED_VALUE"""),45897.0)</f>
        <v>45897</v>
      </c>
      <c r="B2450" t="str">
        <f>IFERROR(__xludf.DUMMYFUNCTION("""COMPUTED_VALUE"""),"南港B退押 ' 【未分類支出】")</f>
        <v>南港B退押 ' 【未分類支出】</v>
      </c>
      <c r="C2450" t="str">
        <f>IFERROR(__xludf.DUMMYFUNCTION("""COMPUTED_VALUE"""),"收入 - 押金")</f>
        <v>收入 - 押金</v>
      </c>
      <c r="D2450" s="270">
        <f>IFERROR(__xludf.DUMMYFUNCTION("""COMPUTED_VALUE"""),-20652.0)</f>
        <v>-20652</v>
      </c>
      <c r="E2450" t="str">
        <f>IFERROR(__xludf.DUMMYFUNCTION("""COMPUTED_VALUE"""),"台銀籌備帳戶")</f>
        <v>台銀籌備帳戶</v>
      </c>
      <c r="G2450" t="str">
        <f>IFERROR(__xludf.DUMMYFUNCTION("""COMPUTED_VALUE"""),"南港站挑高宅")</f>
        <v>南港站挑高宅</v>
      </c>
      <c r="H2450" s="106" t="str">
        <f t="shared" si="1"/>
        <v>2025-08</v>
      </c>
      <c r="I2450" s="271" t="str">
        <f>IFERROR(__xludf.DUMMYFUNCTION("""COMPUTED_VALUE"""),"貓狗企鵝")</f>
        <v>貓狗企鵝</v>
      </c>
      <c r="J2450" t="str">
        <f>IFERROR(__xludf.DUMMYFUNCTION("IFS(
  AND(REGEXMATCH(E2450, ""台銀籌備帳戶|玉山帳戶""), REGEXMATCH(C2450, ""薪資"")), ""分潤支出"",
  AND(REGEXMATCH(E2450, ""Ben帳戶|Elsa帳戶|Ben代墊|Ariel代墊|中信銀行共用""), REGEXMATCH(F2450, ""Ben帳戶|Elsa帳戶|Ben代墊|Ariel代墊|中信銀行共用"")), ""內部轉帳(忽略)"",
  AND(E2450&lt;&gt;"""", F2450&lt;&gt;"""", N"&amp;"OT(REGEXMATCH(C2450, ""薪資""))), ""內部轉帳(忽略)"",
  REGEXMATCH(C2450, ""薪資""), ""薪資變動(不計入)"",
  REGEXMATCH(C2450, ""押金""), ""押金往來"",
  AND(E2450&lt;&gt;"""", F2450=""""), ""真實支出"",
  AND(E2450="""", F2450&lt;&gt;""""), ""真實收入"",
  TRUE, ""其他""
)"),"押金往來")</f>
        <v>押金往來</v>
      </c>
      <c r="K2450">
        <f t="shared" si="2"/>
        <v>0</v>
      </c>
      <c r="L2450">
        <f t="shared" si="3"/>
        <v>0</v>
      </c>
    </row>
    <row r="2451">
      <c r="A2451" s="107">
        <f>IFERROR(__xludf.DUMMYFUNCTION("""COMPUTED_VALUE"""),45901.0)</f>
        <v>45901</v>
      </c>
      <c r="B2451" t="str">
        <f>IFERROR(__xludf.DUMMYFUNCTION("""COMPUTED_VALUE"""),"[南港站挑高宅] [林淑華] 大租金")</f>
        <v>[南港站挑高宅] [林淑華] 大租金</v>
      </c>
      <c r="C2451" t="str">
        <f>IFERROR(__xludf.DUMMYFUNCTION("""COMPUTED_VALUE"""),"成本 - 大租金")</f>
        <v>成本 - 大租金</v>
      </c>
      <c r="D2451" s="270">
        <f>IFERROR(__xludf.DUMMYFUNCTION("""COMPUTED_VALUE"""),-18250.0)</f>
        <v>-18250</v>
      </c>
      <c r="E2451" t="str">
        <f>IFERROR(__xludf.DUMMYFUNCTION("""COMPUTED_VALUE"""),"台銀籌備帳戶")</f>
        <v>台銀籌備帳戶</v>
      </c>
      <c r="G2451" t="str">
        <f>IFERROR(__xludf.DUMMYFUNCTION("""COMPUTED_VALUE"""),"南港站挑高宅")</f>
        <v>南港站挑高宅</v>
      </c>
      <c r="H2451" s="106" t="str">
        <f t="shared" si="1"/>
        <v>2025-09</v>
      </c>
      <c r="I2451" s="271" t="str">
        <f>IFERROR(__xludf.DUMMYFUNCTION("""COMPUTED_VALUE"""),"貓狗企鵝")</f>
        <v>貓狗企鵝</v>
      </c>
      <c r="J2451" t="str">
        <f>IFERROR(__xludf.DUMMYFUNCTION("IFS(
  AND(REGEXMATCH(E2451, ""台銀籌備帳戶|玉山帳戶""), REGEXMATCH(C2451, ""薪資"")), ""分潤支出"",
  AND(REGEXMATCH(E2451, ""Ben帳戶|Elsa帳戶|Ben代墊|Ariel代墊|中信銀行共用""), REGEXMATCH(F2451, ""Ben帳戶|Elsa帳戶|Ben代墊|Ariel代墊|中信銀行共用"")), ""內部轉帳(忽略)"",
  AND(E2451&lt;&gt;"""", F2451&lt;&gt;"""", N"&amp;"OT(REGEXMATCH(C2451, ""薪資""))), ""內部轉帳(忽略)"",
  REGEXMATCH(C2451, ""薪資""), ""薪資變動(不計入)"",
  REGEXMATCH(C2451, ""押金""), ""押金往來"",
  AND(E2451&lt;&gt;"""", F2451=""""), ""真實支出"",
  AND(E2451="""", F2451&lt;&gt;""""), ""真實收入"",
  TRUE, ""其他""
)"),"真實支出")</f>
        <v>真實支出</v>
      </c>
      <c r="K2451" s="270">
        <f t="shared" si="2"/>
        <v>-18250</v>
      </c>
      <c r="L2451">
        <f t="shared" si="3"/>
        <v>0</v>
      </c>
    </row>
    <row r="2452">
      <c r="A2452" s="107">
        <f>IFERROR(__xludf.DUMMYFUNCTION("""COMPUTED_VALUE"""),45901.0)</f>
        <v>45901</v>
      </c>
      <c r="B2452" t="str">
        <f>IFERROR(__xludf.DUMMYFUNCTION("""COMPUTED_VALUE"""),"費用 - 匯費 對方行:012 後五碼:84509 (行號: 43)")</f>
        <v>費用 - 匯費 對方行:012 後五碼:84509 (行號: 43)</v>
      </c>
      <c r="C2452" t="str">
        <f>IFERROR(__xludf.DUMMYFUNCTION("""COMPUTED_VALUE"""),"費用 - 匯費")</f>
        <v>費用 - 匯費</v>
      </c>
      <c r="D2452" s="270">
        <f>IFERROR(__xludf.DUMMYFUNCTION("""COMPUTED_VALUE"""),-15.0)</f>
        <v>-15</v>
      </c>
      <c r="E2452" t="str">
        <f>IFERROR(__xludf.DUMMYFUNCTION("""COMPUTED_VALUE"""),"台銀籌備帳戶")</f>
        <v>台銀籌備帳戶</v>
      </c>
      <c r="H2452" s="106" t="str">
        <f t="shared" si="1"/>
        <v>2025-09</v>
      </c>
      <c r="I2452" s="271" t="str">
        <f>IFERROR(__xludf.DUMMYFUNCTION("""COMPUTED_VALUE"""),"貓狗企鵝")</f>
        <v>貓狗企鵝</v>
      </c>
      <c r="J2452" t="str">
        <f>IFERROR(__xludf.DUMMYFUNCTION("IFS(
  AND(REGEXMATCH(E2452, ""台銀籌備帳戶|玉山帳戶""), REGEXMATCH(C2452, ""薪資"")), ""分潤支出"",
  AND(REGEXMATCH(E2452, ""Ben帳戶|Elsa帳戶|Ben代墊|Ariel代墊|中信銀行共用""), REGEXMATCH(F2452, ""Ben帳戶|Elsa帳戶|Ben代墊|Ariel代墊|中信銀行共用"")), ""內部轉帳(忽略)"",
  AND(E2452&lt;&gt;"""", F2452&lt;&gt;"""", N"&amp;"OT(REGEXMATCH(C2452, ""薪資""))), ""內部轉帳(忽略)"",
  REGEXMATCH(C2452, ""薪資""), ""薪資變動(不計入)"",
  REGEXMATCH(C2452, ""押金""), ""押金往來"",
  AND(E2452&lt;&gt;"""", F2452=""""), ""真實支出"",
  AND(E2452="""", F2452&lt;&gt;""""), ""真實收入"",
  TRUE, ""其他""
)"),"真實支出")</f>
        <v>真實支出</v>
      </c>
      <c r="K2452" s="270">
        <f t="shared" si="2"/>
        <v>-15</v>
      </c>
      <c r="L2452">
        <f t="shared" si="3"/>
        <v>0</v>
      </c>
    </row>
    <row r="2453">
      <c r="A2453" s="107">
        <f>IFERROR(__xludf.DUMMYFUNCTION("""COMPUTED_VALUE"""),45901.0)</f>
        <v>45901</v>
      </c>
      <c r="B2453" t="str">
        <f>IFERROR(__xludf.DUMMYFUNCTION("""COMPUTED_VALUE"""),"[永春四號] [郭宗仁] 大租金")</f>
        <v>[永春四號] [郭宗仁] 大租金</v>
      </c>
      <c r="C2453" t="str">
        <f>IFERROR(__xludf.DUMMYFUNCTION("""COMPUTED_VALUE"""),"成本 - 大租金")</f>
        <v>成本 - 大租金</v>
      </c>
      <c r="D2453" s="270">
        <f>IFERROR(__xludf.DUMMYFUNCTION("""COMPUTED_VALUE"""),-17000.0)</f>
        <v>-17000</v>
      </c>
      <c r="E2453" t="str">
        <f>IFERROR(__xludf.DUMMYFUNCTION("""COMPUTED_VALUE"""),"台銀籌備帳戶")</f>
        <v>台銀籌備帳戶</v>
      </c>
      <c r="G2453" t="str">
        <f>IFERROR(__xludf.DUMMYFUNCTION("""COMPUTED_VALUE"""),"永春四號")</f>
        <v>永春四號</v>
      </c>
      <c r="H2453" s="106" t="str">
        <f t="shared" si="1"/>
        <v>2025-09</v>
      </c>
      <c r="I2453" s="271" t="str">
        <f>IFERROR(__xludf.DUMMYFUNCTION("""COMPUTED_VALUE"""),"貓狗企鵝")</f>
        <v>貓狗企鵝</v>
      </c>
      <c r="J2453" t="str">
        <f>IFERROR(__xludf.DUMMYFUNCTION("IFS(
  AND(REGEXMATCH(E2453, ""台銀籌備帳戶|玉山帳戶""), REGEXMATCH(C2453, ""薪資"")), ""分潤支出"",
  AND(REGEXMATCH(E2453, ""Ben帳戶|Elsa帳戶|Ben代墊|Ariel代墊|中信銀行共用""), REGEXMATCH(F2453, ""Ben帳戶|Elsa帳戶|Ben代墊|Ariel代墊|中信銀行共用"")), ""內部轉帳(忽略)"",
  AND(E2453&lt;&gt;"""", F2453&lt;&gt;"""", N"&amp;"OT(REGEXMATCH(C2453, ""薪資""))), ""內部轉帳(忽略)"",
  REGEXMATCH(C2453, ""薪資""), ""薪資變動(不計入)"",
  REGEXMATCH(C2453, ""押金""), ""押金往來"",
  AND(E2453&lt;&gt;"""", F2453=""""), ""真實支出"",
  AND(E2453="""", F2453&lt;&gt;""""), ""真實收入"",
  TRUE, ""其他""
)"),"真實支出")</f>
        <v>真實支出</v>
      </c>
      <c r="K2453" s="270">
        <f t="shared" si="2"/>
        <v>-17000</v>
      </c>
      <c r="L2453">
        <f t="shared" si="3"/>
        <v>0</v>
      </c>
    </row>
    <row r="2454">
      <c r="A2454" s="107">
        <f>IFERROR(__xludf.DUMMYFUNCTION("""COMPUTED_VALUE"""),45901.0)</f>
        <v>45901</v>
      </c>
      <c r="B2454" t="str">
        <f>IFERROR(__xludf.DUMMYFUNCTION("""COMPUTED_VALUE"""),"費用 - 匯費 對方行:012 後五碼:46295 (行號: 44)")</f>
        <v>費用 - 匯費 對方行:012 後五碼:46295 (行號: 44)</v>
      </c>
      <c r="C2454" t="str">
        <f>IFERROR(__xludf.DUMMYFUNCTION("""COMPUTED_VALUE"""),"費用 - 匯費")</f>
        <v>費用 - 匯費</v>
      </c>
      <c r="D2454" s="270">
        <f>IFERROR(__xludf.DUMMYFUNCTION("""COMPUTED_VALUE"""),-15.0)</f>
        <v>-15</v>
      </c>
      <c r="E2454" t="str">
        <f>IFERROR(__xludf.DUMMYFUNCTION("""COMPUTED_VALUE"""),"台銀籌備帳戶")</f>
        <v>台銀籌備帳戶</v>
      </c>
      <c r="H2454" s="106" t="str">
        <f t="shared" si="1"/>
        <v>2025-09</v>
      </c>
      <c r="I2454" s="271" t="str">
        <f>IFERROR(__xludf.DUMMYFUNCTION("""COMPUTED_VALUE"""),"貓狗企鵝")</f>
        <v>貓狗企鵝</v>
      </c>
      <c r="J2454" t="str">
        <f>IFERROR(__xludf.DUMMYFUNCTION("IFS(
  AND(REGEXMATCH(E2454, ""台銀籌備帳戶|玉山帳戶""), REGEXMATCH(C2454, ""薪資"")), ""分潤支出"",
  AND(REGEXMATCH(E2454, ""Ben帳戶|Elsa帳戶|Ben代墊|Ariel代墊|中信銀行共用""), REGEXMATCH(F2454, ""Ben帳戶|Elsa帳戶|Ben代墊|Ariel代墊|中信銀行共用"")), ""內部轉帳(忽略)"",
  AND(E2454&lt;&gt;"""", F2454&lt;&gt;"""", N"&amp;"OT(REGEXMATCH(C2454, ""薪資""))), ""內部轉帳(忽略)"",
  REGEXMATCH(C2454, ""薪資""), ""薪資變動(不計入)"",
  REGEXMATCH(C2454, ""押金""), ""押金往來"",
  AND(E2454&lt;&gt;"""", F2454=""""), ""真實支出"",
  AND(E2454="""", F2454&lt;&gt;""""), ""真實收入"",
  TRUE, ""其他""
)"),"真實支出")</f>
        <v>真實支出</v>
      </c>
      <c r="K2454" s="270">
        <f t="shared" si="2"/>
        <v>-15</v>
      </c>
      <c r="L2454">
        <f t="shared" si="3"/>
        <v>0</v>
      </c>
    </row>
    <row r="2455">
      <c r="A2455" s="107">
        <f>IFERROR(__xludf.DUMMYFUNCTION("""COMPUTED_VALUE"""),45901.0)</f>
        <v>45901</v>
      </c>
      <c r="B2455" t="str">
        <f>IFERROR(__xludf.DUMMYFUNCTION("""COMPUTED_VALUE"""),"[永春四號] [郭宗仁] 大租金")</f>
        <v>[永春四號] [郭宗仁] 大租金</v>
      </c>
      <c r="C2455" t="str">
        <f>IFERROR(__xludf.DUMMYFUNCTION("""COMPUTED_VALUE"""),"成本 - 大租金")</f>
        <v>成本 - 大租金</v>
      </c>
      <c r="D2455" s="270">
        <f>IFERROR(__xludf.DUMMYFUNCTION("""COMPUTED_VALUE"""),-17000.0)</f>
        <v>-17000</v>
      </c>
      <c r="E2455" t="str">
        <f>IFERROR(__xludf.DUMMYFUNCTION("""COMPUTED_VALUE"""),"台銀籌備帳戶")</f>
        <v>台銀籌備帳戶</v>
      </c>
      <c r="G2455" t="str">
        <f>IFERROR(__xludf.DUMMYFUNCTION("""COMPUTED_VALUE"""),"永春四號")</f>
        <v>永春四號</v>
      </c>
      <c r="H2455" s="106" t="str">
        <f t="shared" si="1"/>
        <v>2025-09</v>
      </c>
      <c r="I2455" s="271" t="str">
        <f>IFERROR(__xludf.DUMMYFUNCTION("""COMPUTED_VALUE"""),"貓狗企鵝")</f>
        <v>貓狗企鵝</v>
      </c>
      <c r="J2455" t="str">
        <f>IFERROR(__xludf.DUMMYFUNCTION("IFS(
  AND(REGEXMATCH(E2455, ""台銀籌備帳戶|玉山帳戶""), REGEXMATCH(C2455, ""薪資"")), ""分潤支出"",
  AND(REGEXMATCH(E2455, ""Ben帳戶|Elsa帳戶|Ben代墊|Ariel代墊|中信銀行共用""), REGEXMATCH(F2455, ""Ben帳戶|Elsa帳戶|Ben代墊|Ariel代墊|中信銀行共用"")), ""內部轉帳(忽略)"",
  AND(E2455&lt;&gt;"""", F2455&lt;&gt;"""", N"&amp;"OT(REGEXMATCH(C2455, ""薪資""))), ""內部轉帳(忽略)"",
  REGEXMATCH(C2455, ""薪資""), ""薪資變動(不計入)"",
  REGEXMATCH(C2455, ""押金""), ""押金往來"",
  AND(E2455&lt;&gt;"""", F2455=""""), ""真實支出"",
  AND(E2455="""", F2455&lt;&gt;""""), ""真實收入"",
  TRUE, ""其他""
)"),"真實支出")</f>
        <v>真實支出</v>
      </c>
      <c r="K2455" s="270">
        <f t="shared" si="2"/>
        <v>-17000</v>
      </c>
      <c r="L2455">
        <f t="shared" si="3"/>
        <v>0</v>
      </c>
    </row>
    <row r="2456">
      <c r="A2456" s="107">
        <f>IFERROR(__xludf.DUMMYFUNCTION("""COMPUTED_VALUE"""),45901.0)</f>
        <v>45901</v>
      </c>
      <c r="B2456" t="str">
        <f>IFERROR(__xludf.DUMMYFUNCTION("""COMPUTED_VALUE"""),"費用 - 匯費 對方行:700 後五碼:19509 (行號: 45)")</f>
        <v>費用 - 匯費 對方行:700 後五碼:19509 (行號: 45)</v>
      </c>
      <c r="C2456" t="str">
        <f>IFERROR(__xludf.DUMMYFUNCTION("""COMPUTED_VALUE"""),"費用 - 匯費")</f>
        <v>費用 - 匯費</v>
      </c>
      <c r="D2456" s="270">
        <f>IFERROR(__xludf.DUMMYFUNCTION("""COMPUTED_VALUE"""),-15.0)</f>
        <v>-15</v>
      </c>
      <c r="E2456" t="str">
        <f>IFERROR(__xludf.DUMMYFUNCTION("""COMPUTED_VALUE"""),"台銀籌備帳戶")</f>
        <v>台銀籌備帳戶</v>
      </c>
      <c r="H2456" s="106" t="str">
        <f t="shared" si="1"/>
        <v>2025-09</v>
      </c>
      <c r="I2456" s="271" t="str">
        <f>IFERROR(__xludf.DUMMYFUNCTION("""COMPUTED_VALUE"""),"貓狗企鵝")</f>
        <v>貓狗企鵝</v>
      </c>
      <c r="J2456" t="str">
        <f>IFERROR(__xludf.DUMMYFUNCTION("IFS(
  AND(REGEXMATCH(E2456, ""台銀籌備帳戶|玉山帳戶""), REGEXMATCH(C2456, ""薪資"")), ""分潤支出"",
  AND(REGEXMATCH(E2456, ""Ben帳戶|Elsa帳戶|Ben代墊|Ariel代墊|中信銀行共用""), REGEXMATCH(F2456, ""Ben帳戶|Elsa帳戶|Ben代墊|Ariel代墊|中信銀行共用"")), ""內部轉帳(忽略)"",
  AND(E2456&lt;&gt;"""", F2456&lt;&gt;"""", N"&amp;"OT(REGEXMATCH(C2456, ""薪資""))), ""內部轉帳(忽略)"",
  REGEXMATCH(C2456, ""薪資""), ""薪資變動(不計入)"",
  REGEXMATCH(C2456, ""押金""), ""押金往來"",
  AND(E2456&lt;&gt;"""", F2456=""""), ""真實支出"",
  AND(E2456="""", F2456&lt;&gt;""""), ""真實收入"",
  TRUE, ""其他""
)"),"真實支出")</f>
        <v>真實支出</v>
      </c>
      <c r="K2456" s="270">
        <f t="shared" si="2"/>
        <v>-15</v>
      </c>
      <c r="L2456">
        <f t="shared" si="3"/>
        <v>0</v>
      </c>
    </row>
    <row r="2457">
      <c r="A2457" s="107">
        <f>IFERROR(__xludf.DUMMYFUNCTION("""COMPUTED_VALUE"""),45901.0)</f>
        <v>45901</v>
      </c>
      <c r="B2457" t="str">
        <f>IFERROR(__xludf.DUMMYFUNCTION("""COMPUTED_VALUE"""),"[龍江229] [游為傑] 大租金")</f>
        <v>[龍江229] [游為傑] 大租金</v>
      </c>
      <c r="C2457" t="str">
        <f>IFERROR(__xludf.DUMMYFUNCTION("""COMPUTED_VALUE"""),"成本 - 大租金")</f>
        <v>成本 - 大租金</v>
      </c>
      <c r="D2457" s="270">
        <f>IFERROR(__xludf.DUMMYFUNCTION("""COMPUTED_VALUE"""),-13500.0)</f>
        <v>-13500</v>
      </c>
      <c r="E2457" t="str">
        <f>IFERROR(__xludf.DUMMYFUNCTION("""COMPUTED_VALUE"""),"台銀籌備帳戶")</f>
        <v>台銀籌備帳戶</v>
      </c>
      <c r="G2457" t="str">
        <f>IFERROR(__xludf.DUMMYFUNCTION("""COMPUTED_VALUE"""),"龍江229")</f>
        <v>龍江229</v>
      </c>
      <c r="H2457" s="106" t="str">
        <f t="shared" si="1"/>
        <v>2025-09</v>
      </c>
      <c r="I2457" s="271" t="str">
        <f>IFERROR(__xludf.DUMMYFUNCTION("""COMPUTED_VALUE"""),"貓狗企鵝")</f>
        <v>貓狗企鵝</v>
      </c>
      <c r="J2457" t="str">
        <f>IFERROR(__xludf.DUMMYFUNCTION("IFS(
  AND(REGEXMATCH(E2457, ""台銀籌備帳戶|玉山帳戶""), REGEXMATCH(C2457, ""薪資"")), ""分潤支出"",
  AND(REGEXMATCH(E2457, ""Ben帳戶|Elsa帳戶|Ben代墊|Ariel代墊|中信銀行共用""), REGEXMATCH(F2457, ""Ben帳戶|Elsa帳戶|Ben代墊|Ariel代墊|中信銀行共用"")), ""內部轉帳(忽略)"",
  AND(E2457&lt;&gt;"""", F2457&lt;&gt;"""", N"&amp;"OT(REGEXMATCH(C2457, ""薪資""))), ""內部轉帳(忽略)"",
  REGEXMATCH(C2457, ""薪資""), ""薪資變動(不計入)"",
  REGEXMATCH(C2457, ""押金""), ""押金往來"",
  AND(E2457&lt;&gt;"""", F2457=""""), ""真實支出"",
  AND(E2457="""", F2457&lt;&gt;""""), ""真實收入"",
  TRUE, ""其他""
)"),"真實支出")</f>
        <v>真實支出</v>
      </c>
      <c r="K2457" s="270">
        <f t="shared" si="2"/>
        <v>-13500</v>
      </c>
      <c r="L2457">
        <f t="shared" si="3"/>
        <v>0</v>
      </c>
    </row>
    <row r="2458">
      <c r="A2458" s="107">
        <f>IFERROR(__xludf.DUMMYFUNCTION("""COMPUTED_VALUE"""),45901.0)</f>
        <v>45901</v>
      </c>
      <c r="B2458" t="str">
        <f>IFERROR(__xludf.DUMMYFUNCTION("""COMPUTED_VALUE"""),"費用 - 匯費 對方行:012 後五碼:74779 (行號: 46)")</f>
        <v>費用 - 匯費 對方行:012 後五碼:74779 (行號: 46)</v>
      </c>
      <c r="C2458" t="str">
        <f>IFERROR(__xludf.DUMMYFUNCTION("""COMPUTED_VALUE"""),"費用 - 匯費")</f>
        <v>費用 - 匯費</v>
      </c>
      <c r="D2458" s="270">
        <f>IFERROR(__xludf.DUMMYFUNCTION("""COMPUTED_VALUE"""),-15.0)</f>
        <v>-15</v>
      </c>
      <c r="E2458" t="str">
        <f>IFERROR(__xludf.DUMMYFUNCTION("""COMPUTED_VALUE"""),"台銀籌備帳戶")</f>
        <v>台銀籌備帳戶</v>
      </c>
      <c r="H2458" s="106" t="str">
        <f t="shared" si="1"/>
        <v>2025-09</v>
      </c>
      <c r="I2458" s="271" t="str">
        <f>IFERROR(__xludf.DUMMYFUNCTION("""COMPUTED_VALUE"""),"貓狗企鵝")</f>
        <v>貓狗企鵝</v>
      </c>
      <c r="J2458" t="str">
        <f>IFERROR(__xludf.DUMMYFUNCTION("IFS(
  AND(REGEXMATCH(E2458, ""台銀籌備帳戶|玉山帳戶""), REGEXMATCH(C2458, ""薪資"")), ""分潤支出"",
  AND(REGEXMATCH(E2458, ""Ben帳戶|Elsa帳戶|Ben代墊|Ariel代墊|中信銀行共用""), REGEXMATCH(F2458, ""Ben帳戶|Elsa帳戶|Ben代墊|Ariel代墊|中信銀行共用"")), ""內部轉帳(忽略)"",
  AND(E2458&lt;&gt;"""", F2458&lt;&gt;"""", N"&amp;"OT(REGEXMATCH(C2458, ""薪資""))), ""內部轉帳(忽略)"",
  REGEXMATCH(C2458, ""薪資""), ""薪資變動(不計入)"",
  REGEXMATCH(C2458, ""押金""), ""押金往來"",
  AND(E2458&lt;&gt;"""", F2458=""""), ""真實支出"",
  AND(E2458="""", F2458&lt;&gt;""""), ""真實收入"",
  TRUE, ""其他""
)"),"真實支出")</f>
        <v>真實支出</v>
      </c>
      <c r="K2458" s="270">
        <f t="shared" si="2"/>
        <v>-15</v>
      </c>
      <c r="L2458">
        <f t="shared" si="3"/>
        <v>0</v>
      </c>
    </row>
    <row r="2459">
      <c r="A2459" s="107">
        <f>IFERROR(__xludf.DUMMYFUNCTION("""COMPUTED_VALUE"""),45901.0)</f>
        <v>45901</v>
      </c>
      <c r="B2459" t="str">
        <f>IFERROR(__xludf.DUMMYFUNCTION("""COMPUTED_VALUE"""),"[市府爺爺家] [常永年] 大租金")</f>
        <v>[市府爺爺家] [常永年] 大租金</v>
      </c>
      <c r="C2459" t="str">
        <f>IFERROR(__xludf.DUMMYFUNCTION("""COMPUTED_VALUE"""),"成本 - 大租金")</f>
        <v>成本 - 大租金</v>
      </c>
      <c r="D2459" s="270">
        <f>IFERROR(__xludf.DUMMYFUNCTION("""COMPUTED_VALUE"""),-12000.0)</f>
        <v>-12000</v>
      </c>
      <c r="E2459" t="str">
        <f>IFERROR(__xludf.DUMMYFUNCTION("""COMPUTED_VALUE"""),"台銀籌備帳戶")</f>
        <v>台銀籌備帳戶</v>
      </c>
      <c r="G2459" t="str">
        <f>IFERROR(__xludf.DUMMYFUNCTION("""COMPUTED_VALUE"""),"市府爺爺家")</f>
        <v>市府爺爺家</v>
      </c>
      <c r="H2459" s="106" t="str">
        <f t="shared" si="1"/>
        <v>2025-09</v>
      </c>
      <c r="I2459" s="271" t="str">
        <f>IFERROR(__xludf.DUMMYFUNCTION("""COMPUTED_VALUE"""),"貓狗企鵝")</f>
        <v>貓狗企鵝</v>
      </c>
      <c r="J2459" t="str">
        <f>IFERROR(__xludf.DUMMYFUNCTION("IFS(
  AND(REGEXMATCH(E2459, ""台銀籌備帳戶|玉山帳戶""), REGEXMATCH(C2459, ""薪資"")), ""分潤支出"",
  AND(REGEXMATCH(E2459, ""Ben帳戶|Elsa帳戶|Ben代墊|Ariel代墊|中信銀行共用""), REGEXMATCH(F2459, ""Ben帳戶|Elsa帳戶|Ben代墊|Ariel代墊|中信銀行共用"")), ""內部轉帳(忽略)"",
  AND(E2459&lt;&gt;"""", F2459&lt;&gt;"""", N"&amp;"OT(REGEXMATCH(C2459, ""薪資""))), ""內部轉帳(忽略)"",
  REGEXMATCH(C2459, ""薪資""), ""薪資變動(不計入)"",
  REGEXMATCH(C2459, ""押金""), ""押金往來"",
  AND(E2459&lt;&gt;"""", F2459=""""), ""真實支出"",
  AND(E2459="""", F2459&lt;&gt;""""), ""真實收入"",
  TRUE, ""其他""
)"),"真實支出")</f>
        <v>真實支出</v>
      </c>
      <c r="K2459" s="270">
        <f t="shared" si="2"/>
        <v>-12000</v>
      </c>
      <c r="L2459">
        <f t="shared" si="3"/>
        <v>0</v>
      </c>
    </row>
    <row r="2460">
      <c r="A2460" s="107">
        <f>IFERROR(__xludf.DUMMYFUNCTION("""COMPUTED_VALUE"""),45901.0)</f>
        <v>45901</v>
      </c>
      <c r="B2460" t="str">
        <f>IFERROR(__xludf.DUMMYFUNCTION("""COMPUTED_VALUE"""),"費用 - 匯費 對方行:052 後五碼:22609 (行號: 47)")</f>
        <v>費用 - 匯費 對方行:052 後五碼:22609 (行號: 47)</v>
      </c>
      <c r="C2460" t="str">
        <f>IFERROR(__xludf.DUMMYFUNCTION("""COMPUTED_VALUE"""),"費用 - 匯費")</f>
        <v>費用 - 匯費</v>
      </c>
      <c r="D2460" s="270">
        <f>IFERROR(__xludf.DUMMYFUNCTION("""COMPUTED_VALUE"""),-15.0)</f>
        <v>-15</v>
      </c>
      <c r="E2460" t="str">
        <f>IFERROR(__xludf.DUMMYFUNCTION("""COMPUTED_VALUE"""),"台銀籌備帳戶")</f>
        <v>台銀籌備帳戶</v>
      </c>
      <c r="H2460" s="106" t="str">
        <f t="shared" si="1"/>
        <v>2025-09</v>
      </c>
      <c r="I2460" s="271" t="str">
        <f>IFERROR(__xludf.DUMMYFUNCTION("""COMPUTED_VALUE"""),"貓狗企鵝")</f>
        <v>貓狗企鵝</v>
      </c>
      <c r="J2460" t="str">
        <f>IFERROR(__xludf.DUMMYFUNCTION("IFS(
  AND(REGEXMATCH(E2460, ""台銀籌備帳戶|玉山帳戶""), REGEXMATCH(C2460, ""薪資"")), ""分潤支出"",
  AND(REGEXMATCH(E2460, ""Ben帳戶|Elsa帳戶|Ben代墊|Ariel代墊|中信銀行共用""), REGEXMATCH(F2460, ""Ben帳戶|Elsa帳戶|Ben代墊|Ariel代墊|中信銀行共用"")), ""內部轉帳(忽略)"",
  AND(E2460&lt;&gt;"""", F2460&lt;&gt;"""", N"&amp;"OT(REGEXMATCH(C2460, ""薪資""))), ""內部轉帳(忽略)"",
  REGEXMATCH(C2460, ""薪資""), ""薪資變動(不計入)"",
  REGEXMATCH(C2460, ""押金""), ""押金往來"",
  AND(E2460&lt;&gt;"""", F2460=""""), ""真實支出"",
  AND(E2460="""", F2460&lt;&gt;""""), ""真實收入"",
  TRUE, ""其他""
)"),"真實支出")</f>
        <v>真實支出</v>
      </c>
      <c r="K2460" s="270">
        <f t="shared" si="2"/>
        <v>-15</v>
      </c>
      <c r="L2460">
        <f t="shared" si="3"/>
        <v>0</v>
      </c>
    </row>
    <row r="2461">
      <c r="A2461" s="107">
        <f>IFERROR(__xludf.DUMMYFUNCTION("""COMPUTED_VALUE"""),45901.0)</f>
        <v>45901</v>
      </c>
      <c r="B2461" t="str">
        <f>IFERROR(__xludf.DUMMYFUNCTION("""COMPUTED_VALUE"""),"[中山北Feli家] [陳玉蘭] 大租金")</f>
        <v>[中山北Feli家] [陳玉蘭] 大租金</v>
      </c>
      <c r="C2461" t="str">
        <f>IFERROR(__xludf.DUMMYFUNCTION("""COMPUTED_VALUE"""),"成本 - 大租金")</f>
        <v>成本 - 大租金</v>
      </c>
      <c r="D2461" s="270">
        <f>IFERROR(__xludf.DUMMYFUNCTION("""COMPUTED_VALUE"""),-18000.0)</f>
        <v>-18000</v>
      </c>
      <c r="E2461" t="str">
        <f>IFERROR(__xludf.DUMMYFUNCTION("""COMPUTED_VALUE"""),"台銀籌備帳戶")</f>
        <v>台銀籌備帳戶</v>
      </c>
      <c r="G2461" t="str">
        <f>IFERROR(__xludf.DUMMYFUNCTION("""COMPUTED_VALUE"""),"中山北Feli家")</f>
        <v>中山北Feli家</v>
      </c>
      <c r="H2461" s="106" t="str">
        <f t="shared" si="1"/>
        <v>2025-09</v>
      </c>
      <c r="I2461" s="271" t="str">
        <f>IFERROR(__xludf.DUMMYFUNCTION("""COMPUTED_VALUE"""),"貓狗企鵝")</f>
        <v>貓狗企鵝</v>
      </c>
      <c r="J2461" t="str">
        <f>IFERROR(__xludf.DUMMYFUNCTION("IFS(
  AND(REGEXMATCH(E2461, ""台銀籌備帳戶|玉山帳戶""), REGEXMATCH(C2461, ""薪資"")), ""分潤支出"",
  AND(REGEXMATCH(E2461, ""Ben帳戶|Elsa帳戶|Ben代墊|Ariel代墊|中信銀行共用""), REGEXMATCH(F2461, ""Ben帳戶|Elsa帳戶|Ben代墊|Ariel代墊|中信銀行共用"")), ""內部轉帳(忽略)"",
  AND(E2461&lt;&gt;"""", F2461&lt;&gt;"""", N"&amp;"OT(REGEXMATCH(C2461, ""薪資""))), ""內部轉帳(忽略)"",
  REGEXMATCH(C2461, ""薪資""), ""薪資變動(不計入)"",
  REGEXMATCH(C2461, ""押金""), ""押金往來"",
  AND(E2461&lt;&gt;"""", F2461=""""), ""真實支出"",
  AND(E2461="""", F2461&lt;&gt;""""), ""真實收入"",
  TRUE, ""其他""
)"),"真實支出")</f>
        <v>真實支出</v>
      </c>
      <c r="K2461" s="270">
        <f t="shared" si="2"/>
        <v>-18000</v>
      </c>
      <c r="L2461">
        <f t="shared" si="3"/>
        <v>0</v>
      </c>
    </row>
    <row r="2462">
      <c r="A2462" s="107">
        <f>IFERROR(__xludf.DUMMYFUNCTION("""COMPUTED_VALUE"""),45901.0)</f>
        <v>45901</v>
      </c>
      <c r="B2462" t="str">
        <f>IFERROR(__xludf.DUMMYFUNCTION("""COMPUTED_VALUE"""),"費用 - 匯費 對方行:013 後五碼:20652 (行號: 48)")</f>
        <v>費用 - 匯費 對方行:013 後五碼:20652 (行號: 48)</v>
      </c>
      <c r="C2462" t="str">
        <f>IFERROR(__xludf.DUMMYFUNCTION("""COMPUTED_VALUE"""),"費用 - 匯費")</f>
        <v>費用 - 匯費</v>
      </c>
      <c r="D2462" s="270">
        <f>IFERROR(__xludf.DUMMYFUNCTION("""COMPUTED_VALUE"""),-15.0)</f>
        <v>-15</v>
      </c>
      <c r="E2462" t="str">
        <f>IFERROR(__xludf.DUMMYFUNCTION("""COMPUTED_VALUE"""),"台銀籌備帳戶")</f>
        <v>台銀籌備帳戶</v>
      </c>
      <c r="H2462" s="106" t="str">
        <f t="shared" si="1"/>
        <v>2025-09</v>
      </c>
      <c r="I2462" s="271" t="str">
        <f>IFERROR(__xludf.DUMMYFUNCTION("""COMPUTED_VALUE"""),"貓狗企鵝")</f>
        <v>貓狗企鵝</v>
      </c>
      <c r="J2462" t="str">
        <f>IFERROR(__xludf.DUMMYFUNCTION("IFS(
  AND(REGEXMATCH(E2462, ""台銀籌備帳戶|玉山帳戶""), REGEXMATCH(C2462, ""薪資"")), ""分潤支出"",
  AND(REGEXMATCH(E2462, ""Ben帳戶|Elsa帳戶|Ben代墊|Ariel代墊|中信銀行共用""), REGEXMATCH(F2462, ""Ben帳戶|Elsa帳戶|Ben代墊|Ariel代墊|中信銀行共用"")), ""內部轉帳(忽略)"",
  AND(E2462&lt;&gt;"""", F2462&lt;&gt;"""", N"&amp;"OT(REGEXMATCH(C2462, ""薪資""))), ""內部轉帳(忽略)"",
  REGEXMATCH(C2462, ""薪資""), ""薪資變動(不計入)"",
  REGEXMATCH(C2462, ""押金""), ""押金往來"",
  AND(E2462&lt;&gt;"""", F2462=""""), ""真實支出"",
  AND(E2462="""", F2462&lt;&gt;""""), ""真實收入"",
  TRUE, ""其他""
)"),"真實支出")</f>
        <v>真實支出</v>
      </c>
      <c r="K2462" s="270">
        <f t="shared" si="2"/>
        <v>-15</v>
      </c>
      <c r="L2462">
        <f t="shared" si="3"/>
        <v>0</v>
      </c>
    </row>
    <row r="2463">
      <c r="A2463" s="107">
        <f>IFERROR(__xludf.DUMMYFUNCTION("""COMPUTED_VALUE"""),45901.0)</f>
        <v>45901</v>
      </c>
      <c r="B2463" t="str">
        <f>IFERROR(__xludf.DUMMYFUNCTION("""COMPUTED_VALUE"""),"[景安2分鐘] [王逸荃] 大租金")</f>
        <v>[景安2分鐘] [王逸荃] 大租金</v>
      </c>
      <c r="C2463" t="str">
        <f>IFERROR(__xludf.DUMMYFUNCTION("""COMPUTED_VALUE"""),"成本 - 大租金")</f>
        <v>成本 - 大租金</v>
      </c>
      <c r="D2463" s="270">
        <f>IFERROR(__xludf.DUMMYFUNCTION("""COMPUTED_VALUE"""),-12500.0)</f>
        <v>-12500</v>
      </c>
      <c r="E2463" t="str">
        <f>IFERROR(__xludf.DUMMYFUNCTION("""COMPUTED_VALUE"""),"台銀籌備帳戶")</f>
        <v>台銀籌備帳戶</v>
      </c>
      <c r="G2463" t="str">
        <f>IFERROR(__xludf.DUMMYFUNCTION("""COMPUTED_VALUE"""),"景安2分鐘")</f>
        <v>景安2分鐘</v>
      </c>
      <c r="H2463" s="106" t="str">
        <f t="shared" si="1"/>
        <v>2025-09</v>
      </c>
      <c r="I2463" s="271" t="str">
        <f>IFERROR(__xludf.DUMMYFUNCTION("""COMPUTED_VALUE"""),"貓狗企鵝")</f>
        <v>貓狗企鵝</v>
      </c>
      <c r="J2463" t="str">
        <f>IFERROR(__xludf.DUMMYFUNCTION("IFS(
  AND(REGEXMATCH(E2463, ""台銀籌備帳戶|玉山帳戶""), REGEXMATCH(C2463, ""薪資"")), ""分潤支出"",
  AND(REGEXMATCH(E2463, ""Ben帳戶|Elsa帳戶|Ben代墊|Ariel代墊|中信銀行共用""), REGEXMATCH(F2463, ""Ben帳戶|Elsa帳戶|Ben代墊|Ariel代墊|中信銀行共用"")), ""內部轉帳(忽略)"",
  AND(E2463&lt;&gt;"""", F2463&lt;&gt;"""", N"&amp;"OT(REGEXMATCH(C2463, ""薪資""))), ""內部轉帳(忽略)"",
  REGEXMATCH(C2463, ""薪資""), ""薪資變動(不計入)"",
  REGEXMATCH(C2463, ""押金""), ""押金往來"",
  AND(E2463&lt;&gt;"""", F2463=""""), ""真實支出"",
  AND(E2463="""", F2463&lt;&gt;""""), ""真實收入"",
  TRUE, ""其他""
)"),"真實支出")</f>
        <v>真實支出</v>
      </c>
      <c r="K2463" s="270">
        <f t="shared" si="2"/>
        <v>-12500</v>
      </c>
      <c r="L2463">
        <f t="shared" si="3"/>
        <v>0</v>
      </c>
    </row>
    <row r="2464">
      <c r="A2464" s="107">
        <f>IFERROR(__xludf.DUMMYFUNCTION("""COMPUTED_VALUE"""),45901.0)</f>
        <v>45901</v>
      </c>
      <c r="B2464" t="str">
        <f>IFERROR(__xludf.DUMMYFUNCTION("""COMPUTED_VALUE"""),"費用 - 匯費 對方行:822 後五碼:06708 (行號: 49)")</f>
        <v>費用 - 匯費 對方行:822 後五碼:06708 (行號: 49)</v>
      </c>
      <c r="C2464" t="str">
        <f>IFERROR(__xludf.DUMMYFUNCTION("""COMPUTED_VALUE"""),"費用 - 匯費")</f>
        <v>費用 - 匯費</v>
      </c>
      <c r="D2464" s="270">
        <f>IFERROR(__xludf.DUMMYFUNCTION("""COMPUTED_VALUE"""),-15.0)</f>
        <v>-15</v>
      </c>
      <c r="E2464" t="str">
        <f>IFERROR(__xludf.DUMMYFUNCTION("""COMPUTED_VALUE"""),"台銀籌備帳戶")</f>
        <v>台銀籌備帳戶</v>
      </c>
      <c r="H2464" s="106" t="str">
        <f t="shared" si="1"/>
        <v>2025-09</v>
      </c>
      <c r="I2464" s="271" t="str">
        <f>IFERROR(__xludf.DUMMYFUNCTION("""COMPUTED_VALUE"""),"貓狗企鵝")</f>
        <v>貓狗企鵝</v>
      </c>
      <c r="J2464" t="str">
        <f>IFERROR(__xludf.DUMMYFUNCTION("IFS(
  AND(REGEXMATCH(E2464, ""台銀籌備帳戶|玉山帳戶""), REGEXMATCH(C2464, ""薪資"")), ""分潤支出"",
  AND(REGEXMATCH(E2464, ""Ben帳戶|Elsa帳戶|Ben代墊|Ariel代墊|中信銀行共用""), REGEXMATCH(F2464, ""Ben帳戶|Elsa帳戶|Ben代墊|Ariel代墊|中信銀行共用"")), ""內部轉帳(忽略)"",
  AND(E2464&lt;&gt;"""", F2464&lt;&gt;"""", N"&amp;"OT(REGEXMATCH(C2464, ""薪資""))), ""內部轉帳(忽略)"",
  REGEXMATCH(C2464, ""薪資""), ""薪資變動(不計入)"",
  REGEXMATCH(C2464, ""押金""), ""押金往來"",
  AND(E2464&lt;&gt;"""", F2464=""""), ""真實支出"",
  AND(E2464="""", F2464&lt;&gt;""""), ""真實收入"",
  TRUE, ""其他""
)"),"真實支出")</f>
        <v>真實支出</v>
      </c>
      <c r="K2464" s="270">
        <f t="shared" si="2"/>
        <v>-15</v>
      </c>
      <c r="L2464">
        <f t="shared" si="3"/>
        <v>0</v>
      </c>
    </row>
    <row r="2465">
      <c r="A2465" s="107">
        <f>IFERROR(__xludf.DUMMYFUNCTION("""COMPUTED_VALUE"""),45901.0)</f>
        <v>45901</v>
      </c>
      <c r="B2465" t="str">
        <f>IFERROR(__xludf.DUMMYFUNCTION("""COMPUTED_VALUE"""),"[金龍帽子先生] [郭娟伶] 大租金")</f>
        <v>[金龍帽子先生] [郭娟伶] 大租金</v>
      </c>
      <c r="C2465" t="str">
        <f>IFERROR(__xludf.DUMMYFUNCTION("""COMPUTED_VALUE"""),"成本 - 大租金")</f>
        <v>成本 - 大租金</v>
      </c>
      <c r="D2465" s="270">
        <f>IFERROR(__xludf.DUMMYFUNCTION("""COMPUTED_VALUE"""),-17750.0)</f>
        <v>-17750</v>
      </c>
      <c r="E2465" t="str">
        <f>IFERROR(__xludf.DUMMYFUNCTION("""COMPUTED_VALUE"""),"台銀籌備帳戶")</f>
        <v>台銀籌備帳戶</v>
      </c>
      <c r="G2465" t="str">
        <f>IFERROR(__xludf.DUMMYFUNCTION("""COMPUTED_VALUE"""),"金龍帽子先生")</f>
        <v>金龍帽子先生</v>
      </c>
      <c r="H2465" s="106" t="str">
        <f t="shared" si="1"/>
        <v>2025-09</v>
      </c>
      <c r="I2465" s="271" t="str">
        <f>IFERROR(__xludf.DUMMYFUNCTION("""COMPUTED_VALUE"""),"貓狗企鵝")</f>
        <v>貓狗企鵝</v>
      </c>
      <c r="J2465" t="str">
        <f>IFERROR(__xludf.DUMMYFUNCTION("IFS(
  AND(REGEXMATCH(E2465, ""台銀籌備帳戶|玉山帳戶""), REGEXMATCH(C2465, ""薪資"")), ""分潤支出"",
  AND(REGEXMATCH(E2465, ""Ben帳戶|Elsa帳戶|Ben代墊|Ariel代墊|中信銀行共用""), REGEXMATCH(F2465, ""Ben帳戶|Elsa帳戶|Ben代墊|Ariel代墊|中信銀行共用"")), ""內部轉帳(忽略)"",
  AND(E2465&lt;&gt;"""", F2465&lt;&gt;"""", N"&amp;"OT(REGEXMATCH(C2465, ""薪資""))), ""內部轉帳(忽略)"",
  REGEXMATCH(C2465, ""薪資""), ""薪資變動(不計入)"",
  REGEXMATCH(C2465, ""押金""), ""押金往來"",
  AND(E2465&lt;&gt;"""", F2465=""""), ""真實支出"",
  AND(E2465="""", F2465&lt;&gt;""""), ""真實收入"",
  TRUE, ""其他""
)"),"真實支出")</f>
        <v>真實支出</v>
      </c>
      <c r="K2465" s="270">
        <f t="shared" si="2"/>
        <v>-17750</v>
      </c>
      <c r="L2465">
        <f t="shared" si="3"/>
        <v>0</v>
      </c>
    </row>
    <row r="2466">
      <c r="A2466" s="107">
        <f>IFERROR(__xludf.DUMMYFUNCTION("""COMPUTED_VALUE"""),45901.0)</f>
        <v>45901</v>
      </c>
      <c r="B2466" t="str">
        <f>IFERROR(__xludf.DUMMYFUNCTION("""COMPUTED_VALUE"""),"費用 - 匯費 對方行:053 後五碼:05202 (行號: 50)")</f>
        <v>費用 - 匯費 對方行:053 後五碼:05202 (行號: 50)</v>
      </c>
      <c r="C2466" t="str">
        <f>IFERROR(__xludf.DUMMYFUNCTION("""COMPUTED_VALUE"""),"費用 - 匯費")</f>
        <v>費用 - 匯費</v>
      </c>
      <c r="D2466" s="270">
        <f>IFERROR(__xludf.DUMMYFUNCTION("""COMPUTED_VALUE"""),-15.0)</f>
        <v>-15</v>
      </c>
      <c r="E2466" t="str">
        <f>IFERROR(__xludf.DUMMYFUNCTION("""COMPUTED_VALUE"""),"台銀籌備帳戶")</f>
        <v>台銀籌備帳戶</v>
      </c>
      <c r="H2466" s="106" t="str">
        <f t="shared" si="1"/>
        <v>2025-09</v>
      </c>
      <c r="I2466" s="271" t="str">
        <f>IFERROR(__xludf.DUMMYFUNCTION("""COMPUTED_VALUE"""),"貓狗企鵝")</f>
        <v>貓狗企鵝</v>
      </c>
      <c r="J2466" t="str">
        <f>IFERROR(__xludf.DUMMYFUNCTION("IFS(
  AND(REGEXMATCH(E2466, ""台銀籌備帳戶|玉山帳戶""), REGEXMATCH(C2466, ""薪資"")), ""分潤支出"",
  AND(REGEXMATCH(E2466, ""Ben帳戶|Elsa帳戶|Ben代墊|Ariel代墊|中信銀行共用""), REGEXMATCH(F2466, ""Ben帳戶|Elsa帳戶|Ben代墊|Ariel代墊|中信銀行共用"")), ""內部轉帳(忽略)"",
  AND(E2466&lt;&gt;"""", F2466&lt;&gt;"""", N"&amp;"OT(REGEXMATCH(C2466, ""薪資""))), ""內部轉帳(忽略)"",
  REGEXMATCH(C2466, ""薪資""), ""薪資變動(不計入)"",
  REGEXMATCH(C2466, ""押金""), ""押金往來"",
  AND(E2466&lt;&gt;"""", F2466=""""), ""真實支出"",
  AND(E2466="""", F2466&lt;&gt;""""), ""真實收入"",
  TRUE, ""其他""
)"),"真實支出")</f>
        <v>真實支出</v>
      </c>
      <c r="K2466" s="270">
        <f t="shared" si="2"/>
        <v>-15</v>
      </c>
      <c r="L2466">
        <f t="shared" si="3"/>
        <v>0</v>
      </c>
    </row>
    <row r="2467">
      <c r="A2467" s="107">
        <f>IFERROR(__xludf.DUMMYFUNCTION("""COMPUTED_VALUE"""),45901.0)</f>
        <v>45901</v>
      </c>
      <c r="B2467" t="str">
        <f>IFERROR(__xludf.DUMMYFUNCTION("""COMPUTED_VALUE"""),"[大湖山莊] [陳彩霞] 大租金")</f>
        <v>[大湖山莊] [陳彩霞] 大租金</v>
      </c>
      <c r="C2467" t="str">
        <f>IFERROR(__xludf.DUMMYFUNCTION("""COMPUTED_VALUE"""),"成本 - 大租金")</f>
        <v>成本 - 大租金</v>
      </c>
      <c r="D2467" s="270">
        <f>IFERROR(__xludf.DUMMYFUNCTION("""COMPUTED_VALUE"""),-19400.0)</f>
        <v>-19400</v>
      </c>
      <c r="E2467" t="str">
        <f>IFERROR(__xludf.DUMMYFUNCTION("""COMPUTED_VALUE"""),"台銀籌備帳戶")</f>
        <v>台銀籌備帳戶</v>
      </c>
      <c r="G2467" t="str">
        <f>IFERROR(__xludf.DUMMYFUNCTION("""COMPUTED_VALUE"""),"大湖山莊")</f>
        <v>大湖山莊</v>
      </c>
      <c r="H2467" s="106" t="str">
        <f t="shared" si="1"/>
        <v>2025-09</v>
      </c>
      <c r="I2467" s="271" t="str">
        <f>IFERROR(__xludf.DUMMYFUNCTION("""COMPUTED_VALUE"""),"貓狗企鵝")</f>
        <v>貓狗企鵝</v>
      </c>
      <c r="J2467" t="str">
        <f>IFERROR(__xludf.DUMMYFUNCTION("IFS(
  AND(REGEXMATCH(E2467, ""台銀籌備帳戶|玉山帳戶""), REGEXMATCH(C2467, ""薪資"")), ""分潤支出"",
  AND(REGEXMATCH(E2467, ""Ben帳戶|Elsa帳戶|Ben代墊|Ariel代墊|中信銀行共用""), REGEXMATCH(F2467, ""Ben帳戶|Elsa帳戶|Ben代墊|Ariel代墊|中信銀行共用"")), ""內部轉帳(忽略)"",
  AND(E2467&lt;&gt;"""", F2467&lt;&gt;"""", N"&amp;"OT(REGEXMATCH(C2467, ""薪資""))), ""內部轉帳(忽略)"",
  REGEXMATCH(C2467, ""薪資""), ""薪資變動(不計入)"",
  REGEXMATCH(C2467, ""押金""), ""押金往來"",
  AND(E2467&lt;&gt;"""", F2467=""""), ""真實支出"",
  AND(E2467="""", F2467&lt;&gt;""""), ""真實收入"",
  TRUE, ""其他""
)"),"真實支出")</f>
        <v>真實支出</v>
      </c>
      <c r="K2467" s="270">
        <f t="shared" si="2"/>
        <v>-19400</v>
      </c>
      <c r="L2467">
        <f t="shared" si="3"/>
        <v>0</v>
      </c>
    </row>
    <row r="2468">
      <c r="A2468" s="107">
        <f>IFERROR(__xludf.DUMMYFUNCTION("""COMPUTED_VALUE"""),45901.0)</f>
        <v>45901</v>
      </c>
      <c r="B2468" t="str">
        <f>IFERROR(__xludf.DUMMYFUNCTION("""COMPUTED_VALUE"""),"費用 - 匯費 對方行:807 後五碼:06659 (行號: 51)")</f>
        <v>費用 - 匯費 對方行:807 後五碼:06659 (行號: 51)</v>
      </c>
      <c r="C2468" t="str">
        <f>IFERROR(__xludf.DUMMYFUNCTION("""COMPUTED_VALUE"""),"費用 - 匯費")</f>
        <v>費用 - 匯費</v>
      </c>
      <c r="D2468" s="270">
        <f>IFERROR(__xludf.DUMMYFUNCTION("""COMPUTED_VALUE"""),-15.0)</f>
        <v>-15</v>
      </c>
      <c r="E2468" t="str">
        <f>IFERROR(__xludf.DUMMYFUNCTION("""COMPUTED_VALUE"""),"台銀籌備帳戶")</f>
        <v>台銀籌備帳戶</v>
      </c>
      <c r="H2468" s="106" t="str">
        <f t="shared" si="1"/>
        <v>2025-09</v>
      </c>
      <c r="I2468" s="271" t="str">
        <f>IFERROR(__xludf.DUMMYFUNCTION("""COMPUTED_VALUE"""),"貓狗企鵝")</f>
        <v>貓狗企鵝</v>
      </c>
      <c r="J2468" t="str">
        <f>IFERROR(__xludf.DUMMYFUNCTION("IFS(
  AND(REGEXMATCH(E2468, ""台銀籌備帳戶|玉山帳戶""), REGEXMATCH(C2468, ""薪資"")), ""分潤支出"",
  AND(REGEXMATCH(E2468, ""Ben帳戶|Elsa帳戶|Ben代墊|Ariel代墊|中信銀行共用""), REGEXMATCH(F2468, ""Ben帳戶|Elsa帳戶|Ben代墊|Ariel代墊|中信銀行共用"")), ""內部轉帳(忽略)"",
  AND(E2468&lt;&gt;"""", F2468&lt;&gt;"""", N"&amp;"OT(REGEXMATCH(C2468, ""薪資""))), ""內部轉帳(忽略)"",
  REGEXMATCH(C2468, ""薪資""), ""薪資變動(不計入)"",
  REGEXMATCH(C2468, ""押金""), ""押金往來"",
  AND(E2468&lt;&gt;"""", F2468=""""), ""真實支出"",
  AND(E2468="""", F2468&lt;&gt;""""), ""真實收入"",
  TRUE, ""其他""
)"),"真實支出")</f>
        <v>真實支出</v>
      </c>
      <c r="K2468" s="270">
        <f t="shared" si="2"/>
        <v>-15</v>
      </c>
      <c r="L2468">
        <f t="shared" si="3"/>
        <v>0</v>
      </c>
    </row>
    <row r="2469">
      <c r="A2469" s="107">
        <f>IFERROR(__xludf.DUMMYFUNCTION("""COMPUTED_VALUE"""),45901.0)</f>
        <v>45901</v>
      </c>
      <c r="B2469" t="str">
        <f>IFERROR(__xludf.DUMMYFUNCTION("""COMPUTED_VALUE"""),"[哈拉對面] [陳哲聰] 大租金")</f>
        <v>[哈拉對面] [陳哲聰] 大租金</v>
      </c>
      <c r="C2469" t="str">
        <f>IFERROR(__xludf.DUMMYFUNCTION("""COMPUTED_VALUE"""),"成本 - 大租金")</f>
        <v>成本 - 大租金</v>
      </c>
      <c r="D2469" s="270">
        <f>IFERROR(__xludf.DUMMYFUNCTION("""COMPUTED_VALUE"""),-13000.0)</f>
        <v>-13000</v>
      </c>
      <c r="E2469" t="str">
        <f>IFERROR(__xludf.DUMMYFUNCTION("""COMPUTED_VALUE"""),"台銀籌備帳戶")</f>
        <v>台銀籌備帳戶</v>
      </c>
      <c r="G2469" t="str">
        <f>IFERROR(__xludf.DUMMYFUNCTION("""COMPUTED_VALUE"""),"哈拉對面")</f>
        <v>哈拉對面</v>
      </c>
      <c r="H2469" s="106" t="str">
        <f t="shared" si="1"/>
        <v>2025-09</v>
      </c>
      <c r="I2469" s="271" t="str">
        <f>IFERROR(__xludf.DUMMYFUNCTION("""COMPUTED_VALUE"""),"貓狗企鵝")</f>
        <v>貓狗企鵝</v>
      </c>
      <c r="J2469" t="str">
        <f>IFERROR(__xludf.DUMMYFUNCTION("IFS(
  AND(REGEXMATCH(E2469, ""台銀籌備帳戶|玉山帳戶""), REGEXMATCH(C2469, ""薪資"")), ""分潤支出"",
  AND(REGEXMATCH(E2469, ""Ben帳戶|Elsa帳戶|Ben代墊|Ariel代墊|中信銀行共用""), REGEXMATCH(F2469, ""Ben帳戶|Elsa帳戶|Ben代墊|Ariel代墊|中信銀行共用"")), ""內部轉帳(忽略)"",
  AND(E2469&lt;&gt;"""", F2469&lt;&gt;"""", N"&amp;"OT(REGEXMATCH(C2469, ""薪資""))), ""內部轉帳(忽略)"",
  REGEXMATCH(C2469, ""薪資""), ""薪資變動(不計入)"",
  REGEXMATCH(C2469, ""押金""), ""押金往來"",
  AND(E2469&lt;&gt;"""", F2469=""""), ""真實支出"",
  AND(E2469="""", F2469&lt;&gt;""""), ""真實收入"",
  TRUE, ""其他""
)"),"真實支出")</f>
        <v>真實支出</v>
      </c>
      <c r="K2469" s="270">
        <f t="shared" si="2"/>
        <v>-13000</v>
      </c>
      <c r="L2469">
        <f t="shared" si="3"/>
        <v>0</v>
      </c>
    </row>
    <row r="2470">
      <c r="A2470" s="107">
        <f>IFERROR(__xludf.DUMMYFUNCTION("""COMPUTED_VALUE"""),45901.0)</f>
        <v>45901</v>
      </c>
      <c r="B2470" t="str">
        <f>IFERROR(__xludf.DUMMYFUNCTION("""COMPUTED_VALUE"""),"費用 - 匯費 對方行:700 後五碼:92128 (行號: 52)")</f>
        <v>費用 - 匯費 對方行:700 後五碼:92128 (行號: 52)</v>
      </c>
      <c r="C2470" t="str">
        <f>IFERROR(__xludf.DUMMYFUNCTION("""COMPUTED_VALUE"""),"費用 - 匯費")</f>
        <v>費用 - 匯費</v>
      </c>
      <c r="D2470" s="270">
        <f>IFERROR(__xludf.DUMMYFUNCTION("""COMPUTED_VALUE"""),-15.0)</f>
        <v>-15</v>
      </c>
      <c r="E2470" t="str">
        <f>IFERROR(__xludf.DUMMYFUNCTION("""COMPUTED_VALUE"""),"台銀籌備帳戶")</f>
        <v>台銀籌備帳戶</v>
      </c>
      <c r="H2470" s="106" t="str">
        <f t="shared" si="1"/>
        <v>2025-09</v>
      </c>
      <c r="I2470" s="271" t="str">
        <f>IFERROR(__xludf.DUMMYFUNCTION("""COMPUTED_VALUE"""),"貓狗企鵝")</f>
        <v>貓狗企鵝</v>
      </c>
      <c r="J2470" t="str">
        <f>IFERROR(__xludf.DUMMYFUNCTION("IFS(
  AND(REGEXMATCH(E2470, ""台銀籌備帳戶|玉山帳戶""), REGEXMATCH(C2470, ""薪資"")), ""分潤支出"",
  AND(REGEXMATCH(E2470, ""Ben帳戶|Elsa帳戶|Ben代墊|Ariel代墊|中信銀行共用""), REGEXMATCH(F2470, ""Ben帳戶|Elsa帳戶|Ben代墊|Ariel代墊|中信銀行共用"")), ""內部轉帳(忽略)"",
  AND(E2470&lt;&gt;"""", F2470&lt;&gt;"""", N"&amp;"OT(REGEXMATCH(C2470, ""薪資""))), ""內部轉帳(忽略)"",
  REGEXMATCH(C2470, ""薪資""), ""薪資變動(不計入)"",
  REGEXMATCH(C2470, ""押金""), ""押金往來"",
  AND(E2470&lt;&gt;"""", F2470=""""), ""真實支出"",
  AND(E2470="""", F2470&lt;&gt;""""), ""真實收入"",
  TRUE, ""其他""
)"),"真實支出")</f>
        <v>真實支出</v>
      </c>
      <c r="K2470" s="270">
        <f t="shared" si="2"/>
        <v>-15</v>
      </c>
      <c r="L2470">
        <f t="shared" si="3"/>
        <v>0</v>
      </c>
    </row>
    <row r="2471">
      <c r="A2471" s="107">
        <f>IFERROR(__xludf.DUMMYFUNCTION("""COMPUTED_VALUE"""),45901.0)</f>
        <v>45901</v>
      </c>
      <c r="B2471" t="str">
        <f>IFERROR(__xludf.DUMMYFUNCTION("""COMPUTED_VALUE"""),"[北醫醫師府] [陳俊良] 大租金")</f>
        <v>[北醫醫師府] [陳俊良] 大租金</v>
      </c>
      <c r="C2471" t="str">
        <f>IFERROR(__xludf.DUMMYFUNCTION("""COMPUTED_VALUE"""),"成本 - 大租金")</f>
        <v>成本 - 大租金</v>
      </c>
      <c r="D2471" s="270">
        <f>IFERROR(__xludf.DUMMYFUNCTION("""COMPUTED_VALUE"""),-12800.0)</f>
        <v>-12800</v>
      </c>
      <c r="E2471" t="str">
        <f>IFERROR(__xludf.DUMMYFUNCTION("""COMPUTED_VALUE"""),"台銀籌備帳戶")</f>
        <v>台銀籌備帳戶</v>
      </c>
      <c r="G2471" t="str">
        <f>IFERROR(__xludf.DUMMYFUNCTION("""COMPUTED_VALUE"""),"北醫醫師府")</f>
        <v>北醫醫師府</v>
      </c>
      <c r="H2471" s="106" t="str">
        <f t="shared" si="1"/>
        <v>2025-09</v>
      </c>
      <c r="I2471" s="271" t="str">
        <f>IFERROR(__xludf.DUMMYFUNCTION("""COMPUTED_VALUE"""),"貓狗企鵝")</f>
        <v>貓狗企鵝</v>
      </c>
      <c r="J2471" t="str">
        <f>IFERROR(__xludf.DUMMYFUNCTION("IFS(
  AND(REGEXMATCH(E2471, ""台銀籌備帳戶|玉山帳戶""), REGEXMATCH(C2471, ""薪資"")), ""分潤支出"",
  AND(REGEXMATCH(E2471, ""Ben帳戶|Elsa帳戶|Ben代墊|Ariel代墊|中信銀行共用""), REGEXMATCH(F2471, ""Ben帳戶|Elsa帳戶|Ben代墊|Ariel代墊|中信銀行共用"")), ""內部轉帳(忽略)"",
  AND(E2471&lt;&gt;"""", F2471&lt;&gt;"""", N"&amp;"OT(REGEXMATCH(C2471, ""薪資""))), ""內部轉帳(忽略)"",
  REGEXMATCH(C2471, ""薪資""), ""薪資變動(不計入)"",
  REGEXMATCH(C2471, ""押金""), ""押金往來"",
  AND(E2471&lt;&gt;"""", F2471=""""), ""真實支出"",
  AND(E2471="""", F2471&lt;&gt;""""), ""真實收入"",
  TRUE, ""其他""
)"),"真實支出")</f>
        <v>真實支出</v>
      </c>
      <c r="K2471" s="270">
        <f t="shared" si="2"/>
        <v>-12800</v>
      </c>
      <c r="L2471">
        <f t="shared" si="3"/>
        <v>0</v>
      </c>
    </row>
    <row r="2472">
      <c r="A2472" s="107">
        <f>IFERROR(__xludf.DUMMYFUNCTION("""COMPUTED_VALUE"""),45901.0)</f>
        <v>45901</v>
      </c>
      <c r="B2472" t="str">
        <f>IFERROR(__xludf.DUMMYFUNCTION("""COMPUTED_VALUE"""),"費用 - 匯費 對方行:013 後五碼:43662 (行號: 53)")</f>
        <v>費用 - 匯費 對方行:013 後五碼:43662 (行號: 53)</v>
      </c>
      <c r="C2472" t="str">
        <f>IFERROR(__xludf.DUMMYFUNCTION("""COMPUTED_VALUE"""),"費用 - 匯費")</f>
        <v>費用 - 匯費</v>
      </c>
      <c r="D2472" s="270">
        <f>IFERROR(__xludf.DUMMYFUNCTION("""COMPUTED_VALUE"""),-15.0)</f>
        <v>-15</v>
      </c>
      <c r="E2472" t="str">
        <f>IFERROR(__xludf.DUMMYFUNCTION("""COMPUTED_VALUE"""),"台銀籌備帳戶")</f>
        <v>台銀籌備帳戶</v>
      </c>
      <c r="H2472" s="106" t="str">
        <f t="shared" si="1"/>
        <v>2025-09</v>
      </c>
      <c r="I2472" s="271" t="str">
        <f>IFERROR(__xludf.DUMMYFUNCTION("""COMPUTED_VALUE"""),"貓狗企鵝")</f>
        <v>貓狗企鵝</v>
      </c>
      <c r="J2472" t="str">
        <f>IFERROR(__xludf.DUMMYFUNCTION("IFS(
  AND(REGEXMATCH(E2472, ""台銀籌備帳戶|玉山帳戶""), REGEXMATCH(C2472, ""薪資"")), ""分潤支出"",
  AND(REGEXMATCH(E2472, ""Ben帳戶|Elsa帳戶|Ben代墊|Ariel代墊|中信銀行共用""), REGEXMATCH(F2472, ""Ben帳戶|Elsa帳戶|Ben代墊|Ariel代墊|中信銀行共用"")), ""內部轉帳(忽略)"",
  AND(E2472&lt;&gt;"""", F2472&lt;&gt;"""", N"&amp;"OT(REGEXMATCH(C2472, ""薪資""))), ""內部轉帳(忽略)"",
  REGEXMATCH(C2472, ""薪資""), ""薪資變動(不計入)"",
  REGEXMATCH(C2472, ""押金""), ""押金往來"",
  AND(E2472&lt;&gt;"""", F2472=""""), ""真實支出"",
  AND(E2472="""", F2472&lt;&gt;""""), ""真實收入"",
  TRUE, ""其他""
)"),"真實支出")</f>
        <v>真實支出</v>
      </c>
      <c r="K2472" s="270">
        <f t="shared" si="2"/>
        <v>-15</v>
      </c>
      <c r="L2472">
        <f t="shared" si="3"/>
        <v>0</v>
      </c>
    </row>
    <row r="2473">
      <c r="A2473" s="107">
        <f>IFERROR(__xludf.DUMMYFUNCTION("""COMPUTED_VALUE"""),45901.0)</f>
        <v>45901</v>
      </c>
      <c r="B2473" t="str">
        <f>IFERROR(__xludf.DUMMYFUNCTION("""COMPUTED_VALUE"""),"[中山北娘家旁] [方彥捷] 大租金")</f>
        <v>[中山北娘家旁] [方彥捷] 大租金</v>
      </c>
      <c r="C2473" t="str">
        <f>IFERROR(__xludf.DUMMYFUNCTION("""COMPUTED_VALUE"""),"成本 - 大租金")</f>
        <v>成本 - 大租金</v>
      </c>
      <c r="D2473" s="270">
        <f>IFERROR(__xludf.DUMMYFUNCTION("""COMPUTED_VALUE"""),-11500.0)</f>
        <v>-11500</v>
      </c>
      <c r="E2473" t="str">
        <f>IFERROR(__xludf.DUMMYFUNCTION("""COMPUTED_VALUE"""),"台銀籌備帳戶")</f>
        <v>台銀籌備帳戶</v>
      </c>
      <c r="G2473" t="str">
        <f>IFERROR(__xludf.DUMMYFUNCTION("""COMPUTED_VALUE"""),"中山北娘家旁")</f>
        <v>中山北娘家旁</v>
      </c>
      <c r="H2473" s="106" t="str">
        <f t="shared" si="1"/>
        <v>2025-09</v>
      </c>
      <c r="I2473" s="271" t="str">
        <f>IFERROR(__xludf.DUMMYFUNCTION("""COMPUTED_VALUE"""),"貓狗企鵝")</f>
        <v>貓狗企鵝</v>
      </c>
      <c r="J2473" t="str">
        <f>IFERROR(__xludf.DUMMYFUNCTION("IFS(
  AND(REGEXMATCH(E2473, ""台銀籌備帳戶|玉山帳戶""), REGEXMATCH(C2473, ""薪資"")), ""分潤支出"",
  AND(REGEXMATCH(E2473, ""Ben帳戶|Elsa帳戶|Ben代墊|Ariel代墊|中信銀行共用""), REGEXMATCH(F2473, ""Ben帳戶|Elsa帳戶|Ben代墊|Ariel代墊|中信銀行共用"")), ""內部轉帳(忽略)"",
  AND(E2473&lt;&gt;"""", F2473&lt;&gt;"""", N"&amp;"OT(REGEXMATCH(C2473, ""薪資""))), ""內部轉帳(忽略)"",
  REGEXMATCH(C2473, ""薪資""), ""薪資變動(不計入)"",
  REGEXMATCH(C2473, ""押金""), ""押金往來"",
  AND(E2473&lt;&gt;"""", F2473=""""), ""真實支出"",
  AND(E2473="""", F2473&lt;&gt;""""), ""真實收入"",
  TRUE, ""其他""
)"),"真實支出")</f>
        <v>真實支出</v>
      </c>
      <c r="K2473" s="270">
        <f t="shared" si="2"/>
        <v>-11500</v>
      </c>
      <c r="L2473">
        <f t="shared" si="3"/>
        <v>0</v>
      </c>
    </row>
    <row r="2474">
      <c r="A2474" s="107">
        <f>IFERROR(__xludf.DUMMYFUNCTION("""COMPUTED_VALUE"""),45901.0)</f>
        <v>45901</v>
      </c>
      <c r="B2474" t="str">
        <f>IFERROR(__xludf.DUMMYFUNCTION("""COMPUTED_VALUE"""),"費用 - 匯費 對方行:011 後五碼:17078 (行號: 54)")</f>
        <v>費用 - 匯費 對方行:011 後五碼:17078 (行號: 54)</v>
      </c>
      <c r="C2474" t="str">
        <f>IFERROR(__xludf.DUMMYFUNCTION("""COMPUTED_VALUE"""),"費用 - 匯費")</f>
        <v>費用 - 匯費</v>
      </c>
      <c r="D2474" s="270">
        <f>IFERROR(__xludf.DUMMYFUNCTION("""COMPUTED_VALUE"""),-15.0)</f>
        <v>-15</v>
      </c>
      <c r="E2474" t="str">
        <f>IFERROR(__xludf.DUMMYFUNCTION("""COMPUTED_VALUE"""),"台銀籌備帳戶")</f>
        <v>台銀籌備帳戶</v>
      </c>
      <c r="H2474" s="106" t="str">
        <f t="shared" si="1"/>
        <v>2025-09</v>
      </c>
      <c r="I2474" s="271" t="str">
        <f>IFERROR(__xludf.DUMMYFUNCTION("""COMPUTED_VALUE"""),"貓狗企鵝")</f>
        <v>貓狗企鵝</v>
      </c>
      <c r="J2474" t="str">
        <f>IFERROR(__xludf.DUMMYFUNCTION("IFS(
  AND(REGEXMATCH(E2474, ""台銀籌備帳戶|玉山帳戶""), REGEXMATCH(C2474, ""薪資"")), ""分潤支出"",
  AND(REGEXMATCH(E2474, ""Ben帳戶|Elsa帳戶|Ben代墊|Ariel代墊|中信銀行共用""), REGEXMATCH(F2474, ""Ben帳戶|Elsa帳戶|Ben代墊|Ariel代墊|中信銀行共用"")), ""內部轉帳(忽略)"",
  AND(E2474&lt;&gt;"""", F2474&lt;&gt;"""", N"&amp;"OT(REGEXMATCH(C2474, ""薪資""))), ""內部轉帳(忽略)"",
  REGEXMATCH(C2474, ""薪資""), ""薪資變動(不計入)"",
  REGEXMATCH(C2474, ""押金""), ""押金往來"",
  AND(E2474&lt;&gt;"""", F2474=""""), ""真實支出"",
  AND(E2474="""", F2474&lt;&gt;""""), ""真實收入"",
  TRUE, ""其他""
)"),"真實支出")</f>
        <v>真實支出</v>
      </c>
      <c r="K2474" s="270">
        <f t="shared" si="2"/>
        <v>-15</v>
      </c>
      <c r="L2474">
        <f t="shared" si="3"/>
        <v>0</v>
      </c>
    </row>
    <row r="2475">
      <c r="A2475" s="107">
        <f>IFERROR(__xludf.DUMMYFUNCTION("""COMPUTED_VALUE"""),45901.0)</f>
        <v>45901</v>
      </c>
      <c r="B2475" t="str">
        <f>IFERROR(__xludf.DUMMYFUNCTION("""COMPUTED_VALUE"""),"[書香民生] [吳高寶玉] 大租金")</f>
        <v>[書香民生] [吳高寶玉] 大租金</v>
      </c>
      <c r="C2475" t="str">
        <f>IFERROR(__xludf.DUMMYFUNCTION("""COMPUTED_VALUE"""),"成本 - 大租金")</f>
        <v>成本 - 大租金</v>
      </c>
      <c r="D2475" s="270">
        <f>IFERROR(__xludf.DUMMYFUNCTION("""COMPUTED_VALUE"""),-16667.0)</f>
        <v>-16667</v>
      </c>
      <c r="E2475" t="str">
        <f>IFERROR(__xludf.DUMMYFUNCTION("""COMPUTED_VALUE"""),"台銀籌備帳戶")</f>
        <v>台銀籌備帳戶</v>
      </c>
      <c r="G2475" t="str">
        <f>IFERROR(__xludf.DUMMYFUNCTION("""COMPUTED_VALUE"""),"書香民生")</f>
        <v>書香民生</v>
      </c>
      <c r="H2475" s="106" t="str">
        <f t="shared" si="1"/>
        <v>2025-09</v>
      </c>
      <c r="I2475" s="271" t="str">
        <f>IFERROR(__xludf.DUMMYFUNCTION("""COMPUTED_VALUE"""),"貓狗企鵝")</f>
        <v>貓狗企鵝</v>
      </c>
      <c r="J2475" t="str">
        <f>IFERROR(__xludf.DUMMYFUNCTION("IFS(
  AND(REGEXMATCH(E2475, ""台銀籌備帳戶|玉山帳戶""), REGEXMATCH(C2475, ""薪資"")), ""分潤支出"",
  AND(REGEXMATCH(E2475, ""Ben帳戶|Elsa帳戶|Ben代墊|Ariel代墊|中信銀行共用""), REGEXMATCH(F2475, ""Ben帳戶|Elsa帳戶|Ben代墊|Ariel代墊|中信銀行共用"")), ""內部轉帳(忽略)"",
  AND(E2475&lt;&gt;"""", F2475&lt;&gt;"""", N"&amp;"OT(REGEXMATCH(C2475, ""薪資""))), ""內部轉帳(忽略)"",
  REGEXMATCH(C2475, ""薪資""), ""薪資變動(不計入)"",
  REGEXMATCH(C2475, ""押金""), ""押金往來"",
  AND(E2475&lt;&gt;"""", F2475=""""), ""真實支出"",
  AND(E2475="""", F2475&lt;&gt;""""), ""真實收入"",
  TRUE, ""其他""
)"),"真實支出")</f>
        <v>真實支出</v>
      </c>
      <c r="K2475" s="270">
        <f t="shared" si="2"/>
        <v>-16667</v>
      </c>
      <c r="L2475">
        <f t="shared" si="3"/>
        <v>0</v>
      </c>
    </row>
    <row r="2476">
      <c r="A2476" s="107">
        <f>IFERROR(__xludf.DUMMYFUNCTION("""COMPUTED_VALUE"""),45901.0)</f>
        <v>45901</v>
      </c>
      <c r="B2476" t="str">
        <f>IFERROR(__xludf.DUMMYFUNCTION("""COMPUTED_VALUE"""),"費用 - 匯費 對方行:807 後五碼:56364 (行號: 75)")</f>
        <v>費用 - 匯費 對方行:807 後五碼:56364 (行號: 75)</v>
      </c>
      <c r="C2476" t="str">
        <f>IFERROR(__xludf.DUMMYFUNCTION("""COMPUTED_VALUE"""),"費用 - 匯費")</f>
        <v>費用 - 匯費</v>
      </c>
      <c r="D2476" s="270">
        <f>IFERROR(__xludf.DUMMYFUNCTION("""COMPUTED_VALUE"""),-15.0)</f>
        <v>-15</v>
      </c>
      <c r="E2476" t="str">
        <f>IFERROR(__xludf.DUMMYFUNCTION("""COMPUTED_VALUE"""),"台銀籌備帳戶")</f>
        <v>台銀籌備帳戶</v>
      </c>
      <c r="H2476" s="106" t="str">
        <f t="shared" si="1"/>
        <v>2025-09</v>
      </c>
      <c r="I2476" s="271" t="str">
        <f>IFERROR(__xludf.DUMMYFUNCTION("""COMPUTED_VALUE"""),"貓狗企鵝")</f>
        <v>貓狗企鵝</v>
      </c>
      <c r="J2476" t="str">
        <f>IFERROR(__xludf.DUMMYFUNCTION("IFS(
  AND(REGEXMATCH(E2476, ""台銀籌備帳戶|玉山帳戶""), REGEXMATCH(C2476, ""薪資"")), ""分潤支出"",
  AND(REGEXMATCH(E2476, ""Ben帳戶|Elsa帳戶|Ben代墊|Ariel代墊|中信銀行共用""), REGEXMATCH(F2476, ""Ben帳戶|Elsa帳戶|Ben代墊|Ariel代墊|中信銀行共用"")), ""內部轉帳(忽略)"",
  AND(E2476&lt;&gt;"""", F2476&lt;&gt;"""", N"&amp;"OT(REGEXMATCH(C2476, ""薪資""))), ""內部轉帳(忽略)"",
  REGEXMATCH(C2476, ""薪資""), ""薪資變動(不計入)"",
  REGEXMATCH(C2476, ""押金""), ""押金往來"",
  AND(E2476&lt;&gt;"""", F2476=""""), ""真實支出"",
  AND(E2476="""", F2476&lt;&gt;""""), ""真實收入"",
  TRUE, ""其他""
)"),"真實支出")</f>
        <v>真實支出</v>
      </c>
      <c r="K2476" s="270">
        <f t="shared" si="2"/>
        <v>-15</v>
      </c>
      <c r="L2476">
        <f t="shared" si="3"/>
        <v>0</v>
      </c>
    </row>
    <row r="2477">
      <c r="A2477" s="107">
        <f>IFERROR(__xludf.DUMMYFUNCTION("""COMPUTED_VALUE"""),45901.0)</f>
        <v>45901</v>
      </c>
      <c r="B2477" t="str">
        <f>IFERROR(__xludf.DUMMYFUNCTION("""COMPUTED_VALUE"""),"龍江A退押 ' 【未分類支出】")</f>
        <v>龍江A退押 ' 【未分類支出】</v>
      </c>
      <c r="C2477" t="str">
        <f>IFERROR(__xludf.DUMMYFUNCTION("""COMPUTED_VALUE"""),"收入 - 押金")</f>
        <v>收入 - 押金</v>
      </c>
      <c r="D2477" s="270">
        <f>IFERROR(__xludf.DUMMYFUNCTION("""COMPUTED_VALUE"""),-4585.0)</f>
        <v>-4585</v>
      </c>
      <c r="E2477" t="str">
        <f>IFERROR(__xludf.DUMMYFUNCTION("""COMPUTED_VALUE"""),"台銀籌備帳戶")</f>
        <v>台銀籌備帳戶</v>
      </c>
      <c r="G2477" t="str">
        <f>IFERROR(__xludf.DUMMYFUNCTION("""COMPUTED_VALUE"""),"龍江229")</f>
        <v>龍江229</v>
      </c>
      <c r="H2477" s="106" t="str">
        <f t="shared" si="1"/>
        <v>2025-09</v>
      </c>
      <c r="I2477" s="271" t="str">
        <f>IFERROR(__xludf.DUMMYFUNCTION("""COMPUTED_VALUE"""),"貓狗企鵝")</f>
        <v>貓狗企鵝</v>
      </c>
      <c r="J2477" t="str">
        <f>IFERROR(__xludf.DUMMYFUNCTION("IFS(
  AND(REGEXMATCH(E2477, ""台銀籌備帳戶|玉山帳戶""), REGEXMATCH(C2477, ""薪資"")), ""分潤支出"",
  AND(REGEXMATCH(E2477, ""Ben帳戶|Elsa帳戶|Ben代墊|Ariel代墊|中信銀行共用""), REGEXMATCH(F2477, ""Ben帳戶|Elsa帳戶|Ben代墊|Ariel代墊|中信銀行共用"")), ""內部轉帳(忽略)"",
  AND(E2477&lt;&gt;"""", F2477&lt;&gt;"""", N"&amp;"OT(REGEXMATCH(C2477, ""薪資""))), ""內部轉帳(忽略)"",
  REGEXMATCH(C2477, ""薪資""), ""薪資變動(不計入)"",
  REGEXMATCH(C2477, ""押金""), ""押金往來"",
  AND(E2477&lt;&gt;"""", F2477=""""), ""真實支出"",
  AND(E2477="""", F2477&lt;&gt;""""), ""真實收入"",
  TRUE, ""其他""
)"),"押金往來")</f>
        <v>押金往來</v>
      </c>
      <c r="K2477">
        <f t="shared" si="2"/>
        <v>0</v>
      </c>
      <c r="L2477">
        <f t="shared" si="3"/>
        <v>0</v>
      </c>
    </row>
    <row r="2478">
      <c r="A2478" s="107">
        <f>IFERROR(__xludf.DUMMYFUNCTION("""COMPUTED_VALUE"""),45876.0)</f>
        <v>45876</v>
      </c>
      <c r="B2478" t="str">
        <f>IFERROR(__xludf.DUMMYFUNCTION("""COMPUTED_VALUE"""),"[大湖山莊] F [李佳芸, 吉俊儒] 押金 (行號: 2)")</f>
        <v>[大湖山莊] F [李佳芸, 吉俊儒] 押金 (行號: 2)</v>
      </c>
      <c r="C2478" t="str">
        <f>IFERROR(__xludf.DUMMYFUNCTION("""COMPUTED_VALUE"""),"收入 - 押金")</f>
        <v>收入 - 押金</v>
      </c>
      <c r="D2478" s="270">
        <f>IFERROR(__xludf.DUMMYFUNCTION("""COMPUTED_VALUE"""),36600.0)</f>
        <v>36600</v>
      </c>
      <c r="F2478" t="str">
        <f>IFERROR(__xludf.DUMMYFUNCTION("""COMPUTED_VALUE"""),"台銀籌備帳戶")</f>
        <v>台銀籌備帳戶</v>
      </c>
      <c r="G2478" t="str">
        <f>IFERROR(__xludf.DUMMYFUNCTION("""COMPUTED_VALUE"""),"大湖山莊")</f>
        <v>大湖山莊</v>
      </c>
      <c r="H2478" s="106" t="str">
        <f t="shared" si="1"/>
        <v>2025-08</v>
      </c>
      <c r="I2478" s="271" t="str">
        <f>IFERROR(__xludf.DUMMYFUNCTION("""COMPUTED_VALUE"""),"貓狗企鵝")</f>
        <v>貓狗企鵝</v>
      </c>
      <c r="J2478" t="str">
        <f>IFERROR(__xludf.DUMMYFUNCTION("IFS(
  AND(REGEXMATCH(E2478, ""台銀籌備帳戶|玉山帳戶""), REGEXMATCH(C2478, ""薪資"")), ""分潤支出"",
  AND(REGEXMATCH(E2478, ""Ben帳戶|Elsa帳戶|Ben代墊|Ariel代墊|中信銀行共用""), REGEXMATCH(F2478, ""Ben帳戶|Elsa帳戶|Ben代墊|Ariel代墊|中信銀行共用"")), ""內部轉帳(忽略)"",
  AND(E2478&lt;&gt;"""", F2478&lt;&gt;"""", N"&amp;"OT(REGEXMATCH(C2478, ""薪資""))), ""內部轉帳(忽略)"",
  REGEXMATCH(C2478, ""薪資""), ""薪資變動(不計入)"",
  REGEXMATCH(C2478, ""押金""), ""押金往來"",
  AND(E2478&lt;&gt;"""", F2478=""""), ""真實支出"",
  AND(E2478="""", F2478&lt;&gt;""""), ""真實收入"",
  TRUE, ""其他""
)"),"押金往來")</f>
        <v>押金往來</v>
      </c>
      <c r="K2478">
        <f t="shared" si="2"/>
        <v>0</v>
      </c>
      <c r="L2478">
        <f t="shared" si="3"/>
        <v>0</v>
      </c>
    </row>
    <row r="2479">
      <c r="A2479" s="107">
        <f>IFERROR(__xludf.DUMMYFUNCTION("""COMPUTED_VALUE"""),45876.0)</f>
        <v>45876</v>
      </c>
      <c r="B2479" t="str">
        <f>IFERROR(__xludf.DUMMYFUNCTION("""COMPUTED_VALUE"""),"[大湖山莊] F [李佳芸, 吉俊儒] 首月租金 (行號: 2)")</f>
        <v>[大湖山莊] F [李佳芸, 吉俊儒] 首月租金 (行號: 2)</v>
      </c>
      <c r="C2479" t="str">
        <f>IFERROR(__xludf.DUMMYFUNCTION("""COMPUTED_VALUE"""),"收入 - 租金")</f>
        <v>收入 - 租金</v>
      </c>
      <c r="D2479" s="270">
        <f>IFERROR(__xludf.DUMMYFUNCTION("""COMPUTED_VALUE"""),13023.0)</f>
        <v>13023</v>
      </c>
      <c r="F2479" t="str">
        <f>IFERROR(__xludf.DUMMYFUNCTION("""COMPUTED_VALUE"""),"台銀籌備帳戶")</f>
        <v>台銀籌備帳戶</v>
      </c>
      <c r="G2479" t="str">
        <f>IFERROR(__xludf.DUMMYFUNCTION("""COMPUTED_VALUE"""),"大湖山莊")</f>
        <v>大湖山莊</v>
      </c>
      <c r="H2479" s="106" t="str">
        <f t="shared" si="1"/>
        <v>2025-08</v>
      </c>
      <c r="I2479" s="271" t="str">
        <f>IFERROR(__xludf.DUMMYFUNCTION("""COMPUTED_VALUE"""),"貓狗企鵝")</f>
        <v>貓狗企鵝</v>
      </c>
      <c r="J2479" t="str">
        <f>IFERROR(__xludf.DUMMYFUNCTION("IFS(
  AND(REGEXMATCH(E2479, ""台銀籌備帳戶|玉山帳戶""), REGEXMATCH(C2479, ""薪資"")), ""分潤支出"",
  AND(REGEXMATCH(E2479, ""Ben帳戶|Elsa帳戶|Ben代墊|Ariel代墊|中信銀行共用""), REGEXMATCH(F2479, ""Ben帳戶|Elsa帳戶|Ben代墊|Ariel代墊|中信銀行共用"")), ""內部轉帳(忽略)"",
  AND(E2479&lt;&gt;"""", F2479&lt;&gt;"""", N"&amp;"OT(REGEXMATCH(C2479, ""薪資""))), ""內部轉帳(忽略)"",
  REGEXMATCH(C2479, ""薪資""), ""薪資變動(不計入)"",
  REGEXMATCH(C2479, ""押金""), ""押金往來"",
  AND(E2479&lt;&gt;"""", F2479=""""), ""真實支出"",
  AND(E2479="""", F2479&lt;&gt;""""), ""真實收入"",
  TRUE, ""其他""
)"),"真實收入")</f>
        <v>真實收入</v>
      </c>
      <c r="K2479" s="270">
        <f t="shared" si="2"/>
        <v>13023</v>
      </c>
      <c r="L2479">
        <f t="shared" si="3"/>
        <v>0</v>
      </c>
    </row>
    <row r="2480">
      <c r="A2480" s="107">
        <f>IFERROR(__xludf.DUMMYFUNCTION("""COMPUTED_VALUE"""),45888.0)</f>
        <v>45888</v>
      </c>
      <c r="B2480" t="str">
        <f>IFERROR(__xludf.DUMMYFUNCTION("""COMPUTED_VALUE"""),"北市國稅94053182 ' 【不明收入 (行號: 13)】")</f>
        <v>北市國稅94053182 ' 【不明收入 (行號: 13)】</v>
      </c>
      <c r="C2480" t="str">
        <f>IFERROR(__xludf.DUMMYFUNCTION("""COMPUTED_VALUE"""),"收入 - 其他")</f>
        <v>收入 - 其他</v>
      </c>
      <c r="D2480" s="270">
        <f>IFERROR(__xludf.DUMMYFUNCTION("""COMPUTED_VALUE"""),1000.0)</f>
        <v>1000</v>
      </c>
      <c r="F2480" t="str">
        <f>IFERROR(__xludf.DUMMYFUNCTION("""COMPUTED_VALUE"""),"台銀籌備帳戶")</f>
        <v>台銀籌備帳戶</v>
      </c>
      <c r="H2480" s="106" t="str">
        <f t="shared" si="1"/>
        <v>2025-08</v>
      </c>
      <c r="I2480" s="271" t="str">
        <f>IFERROR(__xludf.DUMMYFUNCTION("""COMPUTED_VALUE"""),"貓狗企鵝")</f>
        <v>貓狗企鵝</v>
      </c>
      <c r="J2480" t="str">
        <f>IFERROR(__xludf.DUMMYFUNCTION("IFS(
  AND(REGEXMATCH(E2480, ""台銀籌備帳戶|玉山帳戶""), REGEXMATCH(C2480, ""薪資"")), ""分潤支出"",
  AND(REGEXMATCH(E2480, ""Ben帳戶|Elsa帳戶|Ben代墊|Ariel代墊|中信銀行共用""), REGEXMATCH(F2480, ""Ben帳戶|Elsa帳戶|Ben代墊|Ariel代墊|中信銀行共用"")), ""內部轉帳(忽略)"",
  AND(E2480&lt;&gt;"""", F2480&lt;&gt;"""", N"&amp;"OT(REGEXMATCH(C2480, ""薪資""))), ""內部轉帳(忽略)"",
  REGEXMATCH(C2480, ""薪資""), ""薪資變動(不計入)"",
  REGEXMATCH(C2480, ""押金""), ""押金往來"",
  AND(E2480&lt;&gt;"""", F2480=""""), ""真實支出"",
  AND(E2480="""", F2480&lt;&gt;""""), ""真實收入"",
  TRUE, ""其他""
)"),"真實收入")</f>
        <v>真實收入</v>
      </c>
      <c r="K2480" s="270">
        <f t="shared" si="2"/>
        <v>1000</v>
      </c>
      <c r="L2480">
        <f t="shared" si="3"/>
        <v>0</v>
      </c>
    </row>
    <row r="2481">
      <c r="A2481" s="107">
        <f>IFERROR(__xludf.DUMMYFUNCTION("""COMPUTED_VALUE"""),45893.0)</f>
        <v>45893</v>
      </c>
      <c r="B2481" t="str">
        <f>IFERROR(__xludf.DUMMYFUNCTION("""COMPUTED_VALUE"""),"中山北Feli家 6樓")</f>
        <v>中山北Feli家 6樓</v>
      </c>
      <c r="C2481" t="str">
        <f>IFERROR(__xludf.DUMMYFUNCTION("""COMPUTED_VALUE"""),"收入 - 租金")</f>
        <v>收入 - 租金</v>
      </c>
      <c r="D2481" s="270">
        <f>IFERROR(__xludf.DUMMYFUNCTION("""COMPUTED_VALUE"""),26000.0)</f>
        <v>26000</v>
      </c>
      <c r="F2481" t="str">
        <f>IFERROR(__xludf.DUMMYFUNCTION("""COMPUTED_VALUE"""),"台銀籌備帳戶")</f>
        <v>台銀籌備帳戶</v>
      </c>
      <c r="G2481" t="str">
        <f>IFERROR(__xludf.DUMMYFUNCTION("""COMPUTED_VALUE"""),"中山北Feli家")</f>
        <v>中山北Feli家</v>
      </c>
      <c r="H2481" s="106" t="str">
        <f t="shared" si="1"/>
        <v>2025-08</v>
      </c>
      <c r="I2481" s="271" t="str">
        <f>IFERROR(__xludf.DUMMYFUNCTION("""COMPUTED_VALUE"""),"貓狗企鵝")</f>
        <v>貓狗企鵝</v>
      </c>
      <c r="J2481" t="str">
        <f>IFERROR(__xludf.DUMMYFUNCTION("IFS(
  AND(REGEXMATCH(E2481, ""台銀籌備帳戶|玉山帳戶""), REGEXMATCH(C2481, ""薪資"")), ""分潤支出"",
  AND(REGEXMATCH(E2481, ""Ben帳戶|Elsa帳戶|Ben代墊|Ariel代墊|中信銀行共用""), REGEXMATCH(F2481, ""Ben帳戶|Elsa帳戶|Ben代墊|Ariel代墊|中信銀行共用"")), ""內部轉帳(忽略)"",
  AND(E2481&lt;&gt;"""", F2481&lt;&gt;"""", N"&amp;"OT(REGEXMATCH(C2481, ""薪資""))), ""內部轉帳(忽略)"",
  REGEXMATCH(C2481, ""薪資""), ""薪資變動(不計入)"",
  REGEXMATCH(C2481, ""押金""), ""押金往來"",
  AND(E2481&lt;&gt;"""", F2481=""""), ""真實支出"",
  AND(E2481="""", F2481&lt;&gt;""""), ""真實收入"",
  TRUE, ""其他""
)"),"真實收入")</f>
        <v>真實收入</v>
      </c>
      <c r="K2481" s="270">
        <f t="shared" si="2"/>
        <v>26000</v>
      </c>
      <c r="L2481">
        <f t="shared" si="3"/>
        <v>0</v>
      </c>
    </row>
    <row r="2482">
      <c r="A2482" s="107">
        <f>IFERROR(__xludf.DUMMYFUNCTION("""COMPUTED_VALUE"""),45899.0)</f>
        <v>45899</v>
      </c>
      <c r="B2482" t="str">
        <f>IFERROR(__xludf.DUMMYFUNCTION("""COMPUTED_VALUE"""),"中山北Feli家 6樓")</f>
        <v>中山北Feli家 6樓</v>
      </c>
      <c r="C2482" t="str">
        <f>IFERROR(__xludf.DUMMYFUNCTION("""COMPUTED_VALUE"""),"收入 - 押金")</f>
        <v>收入 - 押金</v>
      </c>
      <c r="D2482" s="270">
        <f>IFERROR(__xludf.DUMMYFUNCTION("""COMPUTED_VALUE"""),60000.0)</f>
        <v>60000</v>
      </c>
      <c r="F2482" t="str">
        <f>IFERROR(__xludf.DUMMYFUNCTION("""COMPUTED_VALUE"""),"台銀籌備帳戶")</f>
        <v>台銀籌備帳戶</v>
      </c>
      <c r="G2482" t="str">
        <f>IFERROR(__xludf.DUMMYFUNCTION("""COMPUTED_VALUE"""),"中山北Feli家")</f>
        <v>中山北Feli家</v>
      </c>
      <c r="H2482" s="106" t="str">
        <f t="shared" si="1"/>
        <v>2025-08</v>
      </c>
      <c r="I2482" s="271" t="str">
        <f>IFERROR(__xludf.DUMMYFUNCTION("""COMPUTED_VALUE"""),"貓狗企鵝")</f>
        <v>貓狗企鵝</v>
      </c>
      <c r="J2482" t="str">
        <f>IFERROR(__xludf.DUMMYFUNCTION("IFS(
  AND(REGEXMATCH(E2482, ""台銀籌備帳戶|玉山帳戶""), REGEXMATCH(C2482, ""薪資"")), ""分潤支出"",
  AND(REGEXMATCH(E2482, ""Ben帳戶|Elsa帳戶|Ben代墊|Ariel代墊|中信銀行共用""), REGEXMATCH(F2482, ""Ben帳戶|Elsa帳戶|Ben代墊|Ariel代墊|中信銀行共用"")), ""內部轉帳(忽略)"",
  AND(E2482&lt;&gt;"""", F2482&lt;&gt;"""", N"&amp;"OT(REGEXMATCH(C2482, ""薪資""))), ""內部轉帳(忽略)"",
  REGEXMATCH(C2482, ""薪資""), ""薪資變動(不計入)"",
  REGEXMATCH(C2482, ""押金""), ""押金往來"",
  AND(E2482&lt;&gt;"""", F2482=""""), ""真實支出"",
  AND(E2482="""", F2482&lt;&gt;""""), ""真實收入"",
  TRUE, ""其他""
)"),"押金往來")</f>
        <v>押金往來</v>
      </c>
      <c r="K2482">
        <f t="shared" si="2"/>
        <v>0</v>
      </c>
      <c r="L2482">
        <f t="shared" si="3"/>
        <v>0</v>
      </c>
    </row>
    <row r="2483">
      <c r="A2483" s="107">
        <f>IFERROR(__xludf.DUMMYFUNCTION("""COMPUTED_VALUE"""),45901.0)</f>
        <v>45901</v>
      </c>
      <c r="B2483" t="str">
        <f>IFERROR(__xludf.DUMMYFUNCTION("""COMPUTED_VALUE"""),"[金龍帽子先生] C [鐘偉展] 月租金 (行號: 87)")</f>
        <v>[金龍帽子先生] C [鐘偉展] 月租金 (行號: 87)</v>
      </c>
      <c r="C2483" t="str">
        <f>IFERROR(__xludf.DUMMYFUNCTION("""COMPUTED_VALUE"""),"收入 - 租金")</f>
        <v>收入 - 租金</v>
      </c>
      <c r="D2483" s="270">
        <f>IFERROR(__xludf.DUMMYFUNCTION("""COMPUTED_VALUE"""),14000.0)</f>
        <v>14000</v>
      </c>
      <c r="F2483" t="str">
        <f>IFERROR(__xludf.DUMMYFUNCTION("""COMPUTED_VALUE"""),"台銀籌備帳戶")</f>
        <v>台銀籌備帳戶</v>
      </c>
      <c r="G2483" t="str">
        <f>IFERROR(__xludf.DUMMYFUNCTION("""COMPUTED_VALUE"""),"金龍帽子先生")</f>
        <v>金龍帽子先生</v>
      </c>
      <c r="H2483" s="106" t="str">
        <f t="shared" si="1"/>
        <v>2025-09</v>
      </c>
      <c r="I2483" s="271" t="str">
        <f>IFERROR(__xludf.DUMMYFUNCTION("""COMPUTED_VALUE"""),"貓狗企鵝")</f>
        <v>貓狗企鵝</v>
      </c>
      <c r="J2483" t="str">
        <f>IFERROR(__xludf.DUMMYFUNCTION("IFS(
  AND(REGEXMATCH(E2483, ""台銀籌備帳戶|玉山帳戶""), REGEXMATCH(C2483, ""薪資"")), ""分潤支出"",
  AND(REGEXMATCH(E2483, ""Ben帳戶|Elsa帳戶|Ben代墊|Ariel代墊|中信銀行共用""), REGEXMATCH(F2483, ""Ben帳戶|Elsa帳戶|Ben代墊|Ariel代墊|中信銀行共用"")), ""內部轉帳(忽略)"",
  AND(E2483&lt;&gt;"""", F2483&lt;&gt;"""", N"&amp;"OT(REGEXMATCH(C2483, ""薪資""))), ""內部轉帳(忽略)"",
  REGEXMATCH(C2483, ""薪資""), ""薪資變動(不計入)"",
  REGEXMATCH(C2483, ""押金""), ""押金往來"",
  AND(E2483&lt;&gt;"""", F2483=""""), ""真實支出"",
  AND(E2483="""", F2483&lt;&gt;""""), ""真實收入"",
  TRUE, ""其他""
)"),"真實收入")</f>
        <v>真實收入</v>
      </c>
      <c r="K2483" s="270">
        <f t="shared" si="2"/>
        <v>14000</v>
      </c>
      <c r="L2483">
        <f t="shared" si="3"/>
        <v>0</v>
      </c>
    </row>
    <row r="2484">
      <c r="A2484" s="107">
        <f>IFERROR(__xludf.DUMMYFUNCTION("""COMPUTED_VALUE"""),45901.0)</f>
        <v>45901</v>
      </c>
      <c r="B2484" t="str">
        <f>IFERROR(__xludf.DUMMYFUNCTION("""COMPUTED_VALUE"""),"龍江西瓜 ")</f>
        <v>龍江西瓜 </v>
      </c>
      <c r="C2484" t="str">
        <f>IFERROR(__xludf.DUMMYFUNCTION("""COMPUTED_VALUE"""),"收入 - 租金")</f>
        <v>收入 - 租金</v>
      </c>
      <c r="D2484" s="270">
        <f>IFERROR(__xludf.DUMMYFUNCTION("""COMPUTED_VALUE"""),11000.0)</f>
        <v>11000</v>
      </c>
      <c r="F2484" t="str">
        <f>IFERROR(__xludf.DUMMYFUNCTION("""COMPUTED_VALUE"""),"台銀籌備帳戶")</f>
        <v>台銀籌備帳戶</v>
      </c>
      <c r="G2484" t="str">
        <f>IFERROR(__xludf.DUMMYFUNCTION("""COMPUTED_VALUE"""),"龍江229")</f>
        <v>龍江229</v>
      </c>
      <c r="H2484" s="106" t="str">
        <f t="shared" si="1"/>
        <v>2025-09</v>
      </c>
      <c r="I2484" s="271" t="str">
        <f>IFERROR(__xludf.DUMMYFUNCTION("""COMPUTED_VALUE"""),"貓狗企鵝")</f>
        <v>貓狗企鵝</v>
      </c>
      <c r="J2484" t="str">
        <f>IFERROR(__xludf.DUMMYFUNCTION("IFS(
  AND(REGEXMATCH(E2484, ""台銀籌備帳戶|玉山帳戶""), REGEXMATCH(C2484, ""薪資"")), ""分潤支出"",
  AND(REGEXMATCH(E2484, ""Ben帳戶|Elsa帳戶|Ben代墊|Ariel代墊|中信銀行共用""), REGEXMATCH(F2484, ""Ben帳戶|Elsa帳戶|Ben代墊|Ariel代墊|中信銀行共用"")), ""內部轉帳(忽略)"",
  AND(E2484&lt;&gt;"""", F2484&lt;&gt;"""", N"&amp;"OT(REGEXMATCH(C2484, ""薪資""))), ""內部轉帳(忽略)"",
  REGEXMATCH(C2484, ""薪資""), ""薪資變動(不計入)"",
  REGEXMATCH(C2484, ""押金""), ""押金往來"",
  AND(E2484&lt;&gt;"""", F2484=""""), ""真實支出"",
  AND(E2484="""", F2484&lt;&gt;""""), ""真實收入"",
  TRUE, ""其他""
)"),"真實收入")</f>
        <v>真實收入</v>
      </c>
      <c r="K2484" s="270">
        <f t="shared" si="2"/>
        <v>11000</v>
      </c>
      <c r="L2484">
        <f t="shared" si="3"/>
        <v>0</v>
      </c>
    </row>
    <row r="2485">
      <c r="A2485" s="107">
        <f>IFERROR(__xludf.DUMMYFUNCTION("""COMPUTED_VALUE"""),45901.0)</f>
        <v>45901</v>
      </c>
      <c r="B2485" t="str">
        <f>IFERROR(__xludf.DUMMYFUNCTION("""COMPUTED_VALUE"""),"[南港站挑高宅] E [張劉明翔] 月租金 (行號: 92)")</f>
        <v>[南港站挑高宅] E [張劉明翔] 月租金 (行號: 92)</v>
      </c>
      <c r="C2485" t="str">
        <f>IFERROR(__xludf.DUMMYFUNCTION("""COMPUTED_VALUE"""),"收入 - 租金")</f>
        <v>收入 - 租金</v>
      </c>
      <c r="D2485" s="270">
        <f>IFERROR(__xludf.DUMMYFUNCTION("""COMPUTED_VALUE"""),12800.0)</f>
        <v>12800</v>
      </c>
      <c r="F2485" t="str">
        <f>IFERROR(__xludf.DUMMYFUNCTION("""COMPUTED_VALUE"""),"台銀籌備帳戶")</f>
        <v>台銀籌備帳戶</v>
      </c>
      <c r="G2485" t="str">
        <f>IFERROR(__xludf.DUMMYFUNCTION("""COMPUTED_VALUE"""),"南港站挑高宅")</f>
        <v>南港站挑高宅</v>
      </c>
      <c r="H2485" s="106" t="str">
        <f t="shared" si="1"/>
        <v>2025-09</v>
      </c>
      <c r="I2485" s="271" t="str">
        <f>IFERROR(__xludf.DUMMYFUNCTION("""COMPUTED_VALUE"""),"貓狗企鵝")</f>
        <v>貓狗企鵝</v>
      </c>
      <c r="J2485" t="str">
        <f>IFERROR(__xludf.DUMMYFUNCTION("IFS(
  AND(REGEXMATCH(E2485, ""台銀籌備帳戶|玉山帳戶""), REGEXMATCH(C2485, ""薪資"")), ""分潤支出"",
  AND(REGEXMATCH(E2485, ""Ben帳戶|Elsa帳戶|Ben代墊|Ariel代墊|中信銀行共用""), REGEXMATCH(F2485, ""Ben帳戶|Elsa帳戶|Ben代墊|Ariel代墊|中信銀行共用"")), ""內部轉帳(忽略)"",
  AND(E2485&lt;&gt;"""", F2485&lt;&gt;"""", N"&amp;"OT(REGEXMATCH(C2485, ""薪資""))), ""內部轉帳(忽略)"",
  REGEXMATCH(C2485, ""薪資""), ""薪資變動(不計入)"",
  REGEXMATCH(C2485, ""押金""), ""押金往來"",
  AND(E2485&lt;&gt;"""", F2485=""""), ""真實支出"",
  AND(E2485="""", F2485&lt;&gt;""""), ""真實收入"",
  TRUE, ""其他""
)"),"真實收入")</f>
        <v>真實收入</v>
      </c>
      <c r="K2485" s="270">
        <f t="shared" si="2"/>
        <v>12800</v>
      </c>
      <c r="L2485">
        <f t="shared" si="3"/>
        <v>0</v>
      </c>
    </row>
    <row r="2486">
      <c r="A2486" s="107">
        <f>IFERROR(__xludf.DUMMYFUNCTION("""COMPUTED_VALUE"""),45902.0)</f>
        <v>45902</v>
      </c>
      <c r="B2486" t="str">
        <f>IFERROR(__xludf.DUMMYFUNCTION("""COMPUTED_VALUE"""),"北市國稅94053182 ' 【不明收入 (行號: 85)】")</f>
        <v>北市國稅94053182 ' 【不明收入 (行號: 85)】</v>
      </c>
      <c r="C2486" t="str">
        <f>IFERROR(__xludf.DUMMYFUNCTION("""COMPUTED_VALUE"""),"收入 - 其他")</f>
        <v>收入 - 其他</v>
      </c>
      <c r="D2486" s="270">
        <f>IFERROR(__xludf.DUMMYFUNCTION("""COMPUTED_VALUE"""),1200.0)</f>
        <v>1200</v>
      </c>
      <c r="F2486" t="str">
        <f>IFERROR(__xludf.DUMMYFUNCTION("""COMPUTED_VALUE"""),"台銀籌備帳戶")</f>
        <v>台銀籌備帳戶</v>
      </c>
      <c r="H2486" s="106" t="str">
        <f t="shared" si="1"/>
        <v>2025-09</v>
      </c>
      <c r="I2486" s="271" t="str">
        <f>IFERROR(__xludf.DUMMYFUNCTION("""COMPUTED_VALUE"""),"貓狗企鵝")</f>
        <v>貓狗企鵝</v>
      </c>
      <c r="J2486" t="str">
        <f>IFERROR(__xludf.DUMMYFUNCTION("IFS(
  AND(REGEXMATCH(E2486, ""台銀籌備帳戶|玉山帳戶""), REGEXMATCH(C2486, ""薪資"")), ""分潤支出"",
  AND(REGEXMATCH(E2486, ""Ben帳戶|Elsa帳戶|Ben代墊|Ariel代墊|中信銀行共用""), REGEXMATCH(F2486, ""Ben帳戶|Elsa帳戶|Ben代墊|Ariel代墊|中信銀行共用"")), ""內部轉帳(忽略)"",
  AND(E2486&lt;&gt;"""", F2486&lt;&gt;"""", N"&amp;"OT(REGEXMATCH(C2486, ""薪資""))), ""內部轉帳(忽略)"",
  REGEXMATCH(C2486, ""薪資""), ""薪資變動(不計入)"",
  REGEXMATCH(C2486, ""押金""), ""押金往來"",
  AND(E2486&lt;&gt;"""", F2486=""""), ""真實支出"",
  AND(E2486="""", F2486&lt;&gt;""""), ""真實收入"",
  TRUE, ""其他""
)"),"真實收入")</f>
        <v>真實收入</v>
      </c>
      <c r="K2486" s="270">
        <f t="shared" si="2"/>
        <v>1200</v>
      </c>
      <c r="L2486">
        <f t="shared" si="3"/>
        <v>0</v>
      </c>
    </row>
    <row r="2487">
      <c r="A2487" s="107">
        <f>IFERROR(__xludf.DUMMYFUNCTION("""COMPUTED_VALUE"""),45889.0)</f>
        <v>45889</v>
      </c>
      <c r="B2487" t="str">
        <f>IFERROR(__xludf.DUMMYFUNCTION("""COMPUTED_VALUE"""),"[大湖山莊] A [涂敏] 押金 (行號: 17, 18)")</f>
        <v>[大湖山莊] A [涂敏] 押金 (行號: 17, 18)</v>
      </c>
      <c r="C2487" t="str">
        <f>IFERROR(__xludf.DUMMYFUNCTION("""COMPUTED_VALUE"""),"收入 - 押金")</f>
        <v>收入 - 押金</v>
      </c>
      <c r="D2487" s="270">
        <f>IFERROR(__xludf.DUMMYFUNCTION("""COMPUTED_VALUE"""),26000.0)</f>
        <v>26000</v>
      </c>
      <c r="F2487" t="str">
        <f>IFERROR(__xludf.DUMMYFUNCTION("""COMPUTED_VALUE"""),"台銀籌備帳戶")</f>
        <v>台銀籌備帳戶</v>
      </c>
      <c r="G2487" t="str">
        <f>IFERROR(__xludf.DUMMYFUNCTION("""COMPUTED_VALUE"""),"大湖山莊")</f>
        <v>大湖山莊</v>
      </c>
      <c r="H2487" s="106" t="str">
        <f t="shared" si="1"/>
        <v>2025-08</v>
      </c>
      <c r="I2487" s="271" t="str">
        <f>IFERROR(__xludf.DUMMYFUNCTION("""COMPUTED_VALUE"""),"貓狗企鵝")</f>
        <v>貓狗企鵝</v>
      </c>
      <c r="J2487" t="str">
        <f>IFERROR(__xludf.DUMMYFUNCTION("IFS(
  AND(REGEXMATCH(E2487, ""台銀籌備帳戶|玉山帳戶""), REGEXMATCH(C2487, ""薪資"")), ""分潤支出"",
  AND(REGEXMATCH(E2487, ""Ben帳戶|Elsa帳戶|Ben代墊|Ariel代墊|中信銀行共用""), REGEXMATCH(F2487, ""Ben帳戶|Elsa帳戶|Ben代墊|Ariel代墊|中信銀行共用"")), ""內部轉帳(忽略)"",
  AND(E2487&lt;&gt;"""", F2487&lt;&gt;"""", N"&amp;"OT(REGEXMATCH(C2487, ""薪資""))), ""內部轉帳(忽略)"",
  REGEXMATCH(C2487, ""薪資""), ""薪資變動(不計入)"",
  REGEXMATCH(C2487, ""押金""), ""押金往來"",
  AND(E2487&lt;&gt;"""", F2487=""""), ""真實支出"",
  AND(E2487="""", F2487&lt;&gt;""""), ""真實收入"",
  TRUE, ""其他""
)"),"押金往來")</f>
        <v>押金往來</v>
      </c>
      <c r="K2487">
        <f t="shared" si="2"/>
        <v>0</v>
      </c>
      <c r="L2487">
        <f t="shared" si="3"/>
        <v>0</v>
      </c>
    </row>
    <row r="2488">
      <c r="A2488" s="107">
        <f>IFERROR(__xludf.DUMMYFUNCTION("""COMPUTED_VALUE"""),45889.0)</f>
        <v>45889</v>
      </c>
      <c r="B2488" t="str">
        <f>IFERROR(__xludf.DUMMYFUNCTION("""COMPUTED_VALUE"""),"[大湖山莊] A [涂敏] 首月租金 (行號: 17, 18)")</f>
        <v>[大湖山莊] A [涂敏] 首月租金 (行號: 17, 18)</v>
      </c>
      <c r="C2488" t="str">
        <f>IFERROR(__xludf.DUMMYFUNCTION("""COMPUTED_VALUE"""),"收入 - 租金")</f>
        <v>收入 - 租金</v>
      </c>
      <c r="D2488" s="270">
        <f>IFERROR(__xludf.DUMMYFUNCTION("""COMPUTED_VALUE"""),15935.0)</f>
        <v>15935</v>
      </c>
      <c r="F2488" t="str">
        <f>IFERROR(__xludf.DUMMYFUNCTION("""COMPUTED_VALUE"""),"台銀籌備帳戶")</f>
        <v>台銀籌備帳戶</v>
      </c>
      <c r="G2488" t="str">
        <f>IFERROR(__xludf.DUMMYFUNCTION("""COMPUTED_VALUE"""),"大湖山莊")</f>
        <v>大湖山莊</v>
      </c>
      <c r="H2488" s="106" t="str">
        <f t="shared" si="1"/>
        <v>2025-08</v>
      </c>
      <c r="I2488" s="271" t="str">
        <f>IFERROR(__xludf.DUMMYFUNCTION("""COMPUTED_VALUE"""),"貓狗企鵝")</f>
        <v>貓狗企鵝</v>
      </c>
      <c r="J2488" t="str">
        <f>IFERROR(__xludf.DUMMYFUNCTION("IFS(
  AND(REGEXMATCH(E2488, ""台銀籌備帳戶|玉山帳戶""), REGEXMATCH(C2488, ""薪資"")), ""分潤支出"",
  AND(REGEXMATCH(E2488, ""Ben帳戶|Elsa帳戶|Ben代墊|Ariel代墊|中信銀行共用""), REGEXMATCH(F2488, ""Ben帳戶|Elsa帳戶|Ben代墊|Ariel代墊|中信銀行共用"")), ""內部轉帳(忽略)"",
  AND(E2488&lt;&gt;"""", F2488&lt;&gt;"""", N"&amp;"OT(REGEXMATCH(C2488, ""薪資""))), ""內部轉帳(忽略)"",
  REGEXMATCH(C2488, ""薪資""), ""薪資變動(不計入)"",
  REGEXMATCH(C2488, ""押金""), ""押金往來"",
  AND(E2488&lt;&gt;"""", F2488=""""), ""真實支出"",
  AND(E2488="""", F2488&lt;&gt;""""), ""真實收入"",
  TRUE, ""其他""
)"),"真實收入")</f>
        <v>真實收入</v>
      </c>
      <c r="K2488" s="270">
        <f t="shared" si="2"/>
        <v>15935</v>
      </c>
      <c r="L2488">
        <f t="shared" si="3"/>
        <v>0</v>
      </c>
    </row>
    <row r="2489">
      <c r="A2489" s="107">
        <f>IFERROR(__xludf.DUMMYFUNCTION("""COMPUTED_VALUE"""),45893.0)</f>
        <v>45893</v>
      </c>
      <c r="B2489" t="str">
        <f>IFERROR(__xludf.DUMMYFUNCTION("""COMPUTED_VALUE"""),"[景安2分鐘] C [吳品萱] 押金 (行號: 20, 25)")</f>
        <v>[景安2分鐘] C [吳品萱] 押金 (行號: 20, 25)</v>
      </c>
      <c r="C2489" t="str">
        <f>IFERROR(__xludf.DUMMYFUNCTION("""COMPUTED_VALUE"""),"收入 - 押金")</f>
        <v>收入 - 押金</v>
      </c>
      <c r="D2489" s="270">
        <f>IFERROR(__xludf.DUMMYFUNCTION("""COMPUTED_VALUE"""),25000.0)</f>
        <v>25000</v>
      </c>
      <c r="F2489" t="str">
        <f>IFERROR(__xludf.DUMMYFUNCTION("""COMPUTED_VALUE"""),"台銀籌備帳戶")</f>
        <v>台銀籌備帳戶</v>
      </c>
      <c r="G2489" t="str">
        <f>IFERROR(__xludf.DUMMYFUNCTION("""COMPUTED_VALUE"""),"景安2分鐘")</f>
        <v>景安2分鐘</v>
      </c>
      <c r="H2489" s="106" t="str">
        <f t="shared" si="1"/>
        <v>2025-08</v>
      </c>
      <c r="I2489" s="271" t="str">
        <f>IFERROR(__xludf.DUMMYFUNCTION("""COMPUTED_VALUE"""),"貓狗企鵝")</f>
        <v>貓狗企鵝</v>
      </c>
      <c r="J2489" t="str">
        <f>IFERROR(__xludf.DUMMYFUNCTION("IFS(
  AND(REGEXMATCH(E2489, ""台銀籌備帳戶|玉山帳戶""), REGEXMATCH(C2489, ""薪資"")), ""分潤支出"",
  AND(REGEXMATCH(E2489, ""Ben帳戶|Elsa帳戶|Ben代墊|Ariel代墊|中信銀行共用""), REGEXMATCH(F2489, ""Ben帳戶|Elsa帳戶|Ben代墊|Ariel代墊|中信銀行共用"")), ""內部轉帳(忽略)"",
  AND(E2489&lt;&gt;"""", F2489&lt;&gt;"""", N"&amp;"OT(REGEXMATCH(C2489, ""薪資""))), ""內部轉帳(忽略)"",
  REGEXMATCH(C2489, ""薪資""), ""薪資變動(不計入)"",
  REGEXMATCH(C2489, ""押金""), ""押金往來"",
  AND(E2489&lt;&gt;"""", F2489=""""), ""真實支出"",
  AND(E2489="""", F2489&lt;&gt;""""), ""真實收入"",
  TRUE, ""其他""
)"),"押金往來")</f>
        <v>押金往來</v>
      </c>
      <c r="K2489">
        <f t="shared" si="2"/>
        <v>0</v>
      </c>
      <c r="L2489">
        <f t="shared" si="3"/>
        <v>0</v>
      </c>
    </row>
    <row r="2490">
      <c r="A2490" s="107">
        <f>IFERROR(__xludf.DUMMYFUNCTION("""COMPUTED_VALUE"""),45893.0)</f>
        <v>45893</v>
      </c>
      <c r="B2490" t="str">
        <f>IFERROR(__xludf.DUMMYFUNCTION("""COMPUTED_VALUE"""),"[景安2分鐘] C [吳品萱] 首月租金 (行號: 20, 25)")</f>
        <v>[景安2分鐘] C [吳品萱] 首月租金 (行號: 20, 25)</v>
      </c>
      <c r="C2490" t="str">
        <f>IFERROR(__xludf.DUMMYFUNCTION("""COMPUTED_VALUE"""),"收入 - 租金")</f>
        <v>收入 - 租金</v>
      </c>
      <c r="D2490" s="270">
        <f>IFERROR(__xludf.DUMMYFUNCTION("""COMPUTED_VALUE"""),12500.0)</f>
        <v>12500</v>
      </c>
      <c r="F2490" t="str">
        <f>IFERROR(__xludf.DUMMYFUNCTION("""COMPUTED_VALUE"""),"台銀籌備帳戶")</f>
        <v>台銀籌備帳戶</v>
      </c>
      <c r="G2490" t="str">
        <f>IFERROR(__xludf.DUMMYFUNCTION("""COMPUTED_VALUE"""),"景安2分鐘")</f>
        <v>景安2分鐘</v>
      </c>
      <c r="H2490" s="106" t="str">
        <f t="shared" si="1"/>
        <v>2025-08</v>
      </c>
      <c r="I2490" s="271" t="str">
        <f>IFERROR(__xludf.DUMMYFUNCTION("""COMPUTED_VALUE"""),"貓狗企鵝")</f>
        <v>貓狗企鵝</v>
      </c>
      <c r="J2490" t="str">
        <f>IFERROR(__xludf.DUMMYFUNCTION("IFS(
  AND(REGEXMATCH(E2490, ""台銀籌備帳戶|玉山帳戶""), REGEXMATCH(C2490, ""薪資"")), ""分潤支出"",
  AND(REGEXMATCH(E2490, ""Ben帳戶|Elsa帳戶|Ben代墊|Ariel代墊|中信銀行共用""), REGEXMATCH(F2490, ""Ben帳戶|Elsa帳戶|Ben代墊|Ariel代墊|中信銀行共用"")), ""內部轉帳(忽略)"",
  AND(E2490&lt;&gt;"""", F2490&lt;&gt;"""", N"&amp;"OT(REGEXMATCH(C2490, ""薪資""))), ""內部轉帳(忽略)"",
  REGEXMATCH(C2490, ""薪資""), ""薪資變動(不計入)"",
  REGEXMATCH(C2490, ""押金""), ""押金往來"",
  AND(E2490&lt;&gt;"""", F2490=""""), ""真實支出"",
  AND(E2490="""", F2490&lt;&gt;""""), ""真實收入"",
  TRUE, ""其他""
)"),"真實收入")</f>
        <v>真實收入</v>
      </c>
      <c r="K2490" s="270">
        <f t="shared" si="2"/>
        <v>12500</v>
      </c>
      <c r="L2490">
        <f t="shared" si="3"/>
        <v>0</v>
      </c>
    </row>
    <row r="2491">
      <c r="A2491" s="107">
        <f>IFERROR(__xludf.DUMMYFUNCTION("""COMPUTED_VALUE"""),45893.0)</f>
        <v>45893</v>
      </c>
      <c r="B2491" t="str">
        <f>IFERROR(__xludf.DUMMYFUNCTION("""COMPUTED_VALUE"""),"[大湖山莊] B [魏敬軒] 押金 (行號: 21, 26)")</f>
        <v>[大湖山莊] B [魏敬軒] 押金 (行號: 21, 26)</v>
      </c>
      <c r="C2491" t="str">
        <f>IFERROR(__xludf.DUMMYFUNCTION("""COMPUTED_VALUE"""),"收入 - 押金")</f>
        <v>收入 - 押金</v>
      </c>
      <c r="D2491" s="270">
        <f>IFERROR(__xludf.DUMMYFUNCTION("""COMPUTED_VALUE"""),24000.0)</f>
        <v>24000</v>
      </c>
      <c r="F2491" t="str">
        <f>IFERROR(__xludf.DUMMYFUNCTION("""COMPUTED_VALUE"""),"台銀籌備帳戶")</f>
        <v>台銀籌備帳戶</v>
      </c>
      <c r="G2491" t="str">
        <f>IFERROR(__xludf.DUMMYFUNCTION("""COMPUTED_VALUE"""),"大湖山莊")</f>
        <v>大湖山莊</v>
      </c>
      <c r="H2491" s="106" t="str">
        <f t="shared" si="1"/>
        <v>2025-08</v>
      </c>
      <c r="I2491" s="271" t="str">
        <f>IFERROR(__xludf.DUMMYFUNCTION("""COMPUTED_VALUE"""),"貓狗企鵝")</f>
        <v>貓狗企鵝</v>
      </c>
      <c r="J2491" t="str">
        <f>IFERROR(__xludf.DUMMYFUNCTION("IFS(
  AND(REGEXMATCH(E2491, ""台銀籌備帳戶|玉山帳戶""), REGEXMATCH(C2491, ""薪資"")), ""分潤支出"",
  AND(REGEXMATCH(E2491, ""Ben帳戶|Elsa帳戶|Ben代墊|Ariel代墊|中信銀行共用""), REGEXMATCH(F2491, ""Ben帳戶|Elsa帳戶|Ben代墊|Ariel代墊|中信銀行共用"")), ""內部轉帳(忽略)"",
  AND(E2491&lt;&gt;"""", F2491&lt;&gt;"""", N"&amp;"OT(REGEXMATCH(C2491, ""薪資""))), ""內部轉帳(忽略)"",
  REGEXMATCH(C2491, ""薪資""), ""薪資變動(不計入)"",
  REGEXMATCH(C2491, ""押金""), ""押金往來"",
  AND(E2491&lt;&gt;"""", F2491=""""), ""真實支出"",
  AND(E2491="""", F2491&lt;&gt;""""), ""真實收入"",
  TRUE, ""其他""
)"),"押金往來")</f>
        <v>押金往來</v>
      </c>
      <c r="K2491">
        <f t="shared" si="2"/>
        <v>0</v>
      </c>
      <c r="L2491">
        <f t="shared" si="3"/>
        <v>0</v>
      </c>
    </row>
    <row r="2492">
      <c r="A2492" s="107">
        <f>IFERROR(__xludf.DUMMYFUNCTION("""COMPUTED_VALUE"""),45893.0)</f>
        <v>45893</v>
      </c>
      <c r="B2492" t="str">
        <f>IFERROR(__xludf.DUMMYFUNCTION("""COMPUTED_VALUE"""),"[大湖山莊] B [魏敬軒] 首月租金 (行號: 21, 26)")</f>
        <v>[大湖山莊] B [魏敬軒] 首月租金 (行號: 21, 26)</v>
      </c>
      <c r="C2492" t="str">
        <f>IFERROR(__xludf.DUMMYFUNCTION("""COMPUTED_VALUE"""),"收入 - 租金")</f>
        <v>收入 - 租金</v>
      </c>
      <c r="D2492" s="270">
        <f>IFERROR(__xludf.DUMMYFUNCTION("""COMPUTED_VALUE"""),12000.0)</f>
        <v>12000</v>
      </c>
      <c r="F2492" t="str">
        <f>IFERROR(__xludf.DUMMYFUNCTION("""COMPUTED_VALUE"""),"台銀籌備帳戶")</f>
        <v>台銀籌備帳戶</v>
      </c>
      <c r="G2492" t="str">
        <f>IFERROR(__xludf.DUMMYFUNCTION("""COMPUTED_VALUE"""),"大湖山莊")</f>
        <v>大湖山莊</v>
      </c>
      <c r="H2492" s="106" t="str">
        <f t="shared" si="1"/>
        <v>2025-08</v>
      </c>
      <c r="I2492" s="271" t="str">
        <f>IFERROR(__xludf.DUMMYFUNCTION("""COMPUTED_VALUE"""),"貓狗企鵝")</f>
        <v>貓狗企鵝</v>
      </c>
      <c r="J2492" t="str">
        <f>IFERROR(__xludf.DUMMYFUNCTION("IFS(
  AND(REGEXMATCH(E2492, ""台銀籌備帳戶|玉山帳戶""), REGEXMATCH(C2492, ""薪資"")), ""分潤支出"",
  AND(REGEXMATCH(E2492, ""Ben帳戶|Elsa帳戶|Ben代墊|Ariel代墊|中信銀行共用""), REGEXMATCH(F2492, ""Ben帳戶|Elsa帳戶|Ben代墊|Ariel代墊|中信銀行共用"")), ""內部轉帳(忽略)"",
  AND(E2492&lt;&gt;"""", F2492&lt;&gt;"""", N"&amp;"OT(REGEXMATCH(C2492, ""薪資""))), ""內部轉帳(忽略)"",
  REGEXMATCH(C2492, ""薪資""), ""薪資變動(不計入)"",
  REGEXMATCH(C2492, ""押金""), ""押金往來"",
  AND(E2492&lt;&gt;"""", F2492=""""), ""真實支出"",
  AND(E2492="""", F2492&lt;&gt;""""), ""真實收入"",
  TRUE, ""其他""
)"),"真實收入")</f>
        <v>真實收入</v>
      </c>
      <c r="K2492" s="270">
        <f t="shared" si="2"/>
        <v>12000</v>
      </c>
      <c r="L2492">
        <f t="shared" si="3"/>
        <v>0</v>
      </c>
    </row>
    <row r="2493">
      <c r="A2493" s="107">
        <f>IFERROR(__xludf.DUMMYFUNCTION("""COMPUTED_VALUE"""),45898.0)</f>
        <v>45898</v>
      </c>
      <c r="B2493" t="str">
        <f>IFERROR(__xludf.DUMMYFUNCTION("""COMPUTED_VALUE"""),"[書香民生] C [韋茗期] 月租金 (行號: 28)")</f>
        <v>[書香民生] C [韋茗期] 月租金 (行號: 28)</v>
      </c>
      <c r="C2493" t="str">
        <f>IFERROR(__xludf.DUMMYFUNCTION("""COMPUTED_VALUE"""),"收入 - 租金")</f>
        <v>收入 - 租金</v>
      </c>
      <c r="D2493" s="270">
        <f>IFERROR(__xludf.DUMMYFUNCTION("""COMPUTED_VALUE"""),14800.0)</f>
        <v>14800</v>
      </c>
      <c r="F2493" t="str">
        <f>IFERROR(__xludf.DUMMYFUNCTION("""COMPUTED_VALUE"""),"台銀籌備帳戶")</f>
        <v>台銀籌備帳戶</v>
      </c>
      <c r="G2493" t="str">
        <f>IFERROR(__xludf.DUMMYFUNCTION("""COMPUTED_VALUE"""),"書香民生")</f>
        <v>書香民生</v>
      </c>
      <c r="H2493" s="106" t="str">
        <f t="shared" si="1"/>
        <v>2025-08</v>
      </c>
      <c r="I2493" s="271" t="str">
        <f>IFERROR(__xludf.DUMMYFUNCTION("""COMPUTED_VALUE"""),"貓狗企鵝")</f>
        <v>貓狗企鵝</v>
      </c>
      <c r="J2493" t="str">
        <f>IFERROR(__xludf.DUMMYFUNCTION("IFS(
  AND(REGEXMATCH(E2493, ""台銀籌備帳戶|玉山帳戶""), REGEXMATCH(C2493, ""薪資"")), ""分潤支出"",
  AND(REGEXMATCH(E2493, ""Ben帳戶|Elsa帳戶|Ben代墊|Ariel代墊|中信銀行共用""), REGEXMATCH(F2493, ""Ben帳戶|Elsa帳戶|Ben代墊|Ariel代墊|中信銀行共用"")), ""內部轉帳(忽略)"",
  AND(E2493&lt;&gt;"""", F2493&lt;&gt;"""", N"&amp;"OT(REGEXMATCH(C2493, ""薪資""))), ""內部轉帳(忽略)"",
  REGEXMATCH(C2493, ""薪資""), ""薪資變動(不計入)"",
  REGEXMATCH(C2493, ""押金""), ""押金往來"",
  AND(E2493&lt;&gt;"""", F2493=""""), ""真實支出"",
  AND(E2493="""", F2493&lt;&gt;""""), ""真實收入"",
  TRUE, ""其他""
)"),"真實收入")</f>
        <v>真實收入</v>
      </c>
      <c r="K2493" s="270">
        <f t="shared" si="2"/>
        <v>14800</v>
      </c>
      <c r="L2493">
        <f t="shared" si="3"/>
        <v>0</v>
      </c>
    </row>
    <row r="2494">
      <c r="A2494" s="107">
        <f>IFERROR(__xludf.DUMMYFUNCTION("""COMPUTED_VALUE"""),45898.0)</f>
        <v>45898</v>
      </c>
      <c r="B2494" t="str">
        <f>IFERROR(__xludf.DUMMYFUNCTION("""COMPUTED_VALUE"""),"[哈拉對面] D [柳翰洋] 月租金 (行號: 29)")</f>
        <v>[哈拉對面] D [柳翰洋] 月租金 (行號: 29)</v>
      </c>
      <c r="C2494" t="str">
        <f>IFERROR(__xludf.DUMMYFUNCTION("""COMPUTED_VALUE"""),"收入 - 租金")</f>
        <v>收入 - 租金</v>
      </c>
      <c r="D2494" s="270">
        <f>IFERROR(__xludf.DUMMYFUNCTION("""COMPUTED_VALUE"""),11800.0)</f>
        <v>11800</v>
      </c>
      <c r="F2494" t="str">
        <f>IFERROR(__xludf.DUMMYFUNCTION("""COMPUTED_VALUE"""),"台銀籌備帳戶")</f>
        <v>台銀籌備帳戶</v>
      </c>
      <c r="G2494" t="str">
        <f>IFERROR(__xludf.DUMMYFUNCTION("""COMPUTED_VALUE"""),"哈拉對面")</f>
        <v>哈拉對面</v>
      </c>
      <c r="H2494" s="106" t="str">
        <f t="shared" si="1"/>
        <v>2025-08</v>
      </c>
      <c r="I2494" s="271" t="str">
        <f>IFERROR(__xludf.DUMMYFUNCTION("""COMPUTED_VALUE"""),"貓狗企鵝")</f>
        <v>貓狗企鵝</v>
      </c>
      <c r="J2494" t="str">
        <f>IFERROR(__xludf.DUMMYFUNCTION("IFS(
  AND(REGEXMATCH(E2494, ""台銀籌備帳戶|玉山帳戶""), REGEXMATCH(C2494, ""薪資"")), ""分潤支出"",
  AND(REGEXMATCH(E2494, ""Ben帳戶|Elsa帳戶|Ben代墊|Ariel代墊|中信銀行共用""), REGEXMATCH(F2494, ""Ben帳戶|Elsa帳戶|Ben代墊|Ariel代墊|中信銀行共用"")), ""內部轉帳(忽略)"",
  AND(E2494&lt;&gt;"""", F2494&lt;&gt;"""", N"&amp;"OT(REGEXMATCH(C2494, ""薪資""))), ""內部轉帳(忽略)"",
  REGEXMATCH(C2494, ""薪資""), ""薪資變動(不計入)"",
  REGEXMATCH(C2494, ""押金""), ""押金往來"",
  AND(E2494&lt;&gt;"""", F2494=""""), ""真實支出"",
  AND(E2494="""", F2494&lt;&gt;""""), ""真實收入"",
  TRUE, ""其他""
)"),"真實收入")</f>
        <v>真實收入</v>
      </c>
      <c r="K2494" s="270">
        <f t="shared" si="2"/>
        <v>11800</v>
      </c>
      <c r="L2494">
        <f t="shared" si="3"/>
        <v>0</v>
      </c>
    </row>
    <row r="2495">
      <c r="A2495" s="107">
        <f>IFERROR(__xludf.DUMMYFUNCTION("""COMPUTED_VALUE"""),45900.0)</f>
        <v>45900</v>
      </c>
      <c r="B2495" t="str">
        <f>IFERROR(__xludf.DUMMYFUNCTION("""COMPUTED_VALUE"""),"[金龍帽子先生] A [何佩勳] 月租金 (行號: 31)")</f>
        <v>[金龍帽子先生] A [何佩勳] 月租金 (行號: 31)</v>
      </c>
      <c r="C2495" t="str">
        <f>IFERROR(__xludf.DUMMYFUNCTION("""COMPUTED_VALUE"""),"收入 - 租金")</f>
        <v>收入 - 租金</v>
      </c>
      <c r="D2495" s="270">
        <f>IFERROR(__xludf.DUMMYFUNCTION("""COMPUTED_VALUE"""),17200.0)</f>
        <v>17200</v>
      </c>
      <c r="F2495" t="str">
        <f>IFERROR(__xludf.DUMMYFUNCTION("""COMPUTED_VALUE"""),"台銀籌備帳戶")</f>
        <v>台銀籌備帳戶</v>
      </c>
      <c r="G2495" t="str">
        <f>IFERROR(__xludf.DUMMYFUNCTION("""COMPUTED_VALUE"""),"金龍帽子先生")</f>
        <v>金龍帽子先生</v>
      </c>
      <c r="H2495" s="106" t="str">
        <f t="shared" si="1"/>
        <v>2025-08</v>
      </c>
      <c r="I2495" s="271" t="str">
        <f>IFERROR(__xludf.DUMMYFUNCTION("""COMPUTED_VALUE"""),"貓狗企鵝")</f>
        <v>貓狗企鵝</v>
      </c>
      <c r="J2495" t="str">
        <f>IFERROR(__xludf.DUMMYFUNCTION("IFS(
  AND(REGEXMATCH(E2495, ""台銀籌備帳戶|玉山帳戶""), REGEXMATCH(C2495, ""薪資"")), ""分潤支出"",
  AND(REGEXMATCH(E2495, ""Ben帳戶|Elsa帳戶|Ben代墊|Ariel代墊|中信銀行共用""), REGEXMATCH(F2495, ""Ben帳戶|Elsa帳戶|Ben代墊|Ariel代墊|中信銀行共用"")), ""內部轉帳(忽略)"",
  AND(E2495&lt;&gt;"""", F2495&lt;&gt;"""", N"&amp;"OT(REGEXMATCH(C2495, ""薪資""))), ""內部轉帳(忽略)"",
  REGEXMATCH(C2495, ""薪資""), ""薪資變動(不計入)"",
  REGEXMATCH(C2495, ""押金""), ""押金往來"",
  AND(E2495&lt;&gt;"""", F2495=""""), ""真實支出"",
  AND(E2495="""", F2495&lt;&gt;""""), ""真實收入"",
  TRUE, ""其他""
)"),"真實收入")</f>
        <v>真實收入</v>
      </c>
      <c r="K2495" s="270">
        <f t="shared" si="2"/>
        <v>17200</v>
      </c>
      <c r="L2495">
        <f t="shared" si="3"/>
        <v>0</v>
      </c>
    </row>
    <row r="2496">
      <c r="A2496" s="107">
        <f>IFERROR(__xludf.DUMMYFUNCTION("""COMPUTED_VALUE"""),45900.0)</f>
        <v>45900</v>
      </c>
      <c r="B2496" t="str">
        <f>IFERROR(__xludf.DUMMYFUNCTION("""COMPUTED_VALUE"""),"[北醫醫師府] A [吳緯程] 月租金 (行號: 32)")</f>
        <v>[北醫醫師府] A [吳緯程] 月租金 (行號: 32)</v>
      </c>
      <c r="C2496" t="str">
        <f>IFERROR(__xludf.DUMMYFUNCTION("""COMPUTED_VALUE"""),"收入 - 租金")</f>
        <v>收入 - 租金</v>
      </c>
      <c r="D2496" s="270">
        <f>IFERROR(__xludf.DUMMYFUNCTION("""COMPUTED_VALUE"""),13000.0)</f>
        <v>13000</v>
      </c>
      <c r="F2496" t="str">
        <f>IFERROR(__xludf.DUMMYFUNCTION("""COMPUTED_VALUE"""),"台銀籌備帳戶")</f>
        <v>台銀籌備帳戶</v>
      </c>
      <c r="G2496" t="str">
        <f>IFERROR(__xludf.DUMMYFUNCTION("""COMPUTED_VALUE"""),"北醫醫師府")</f>
        <v>北醫醫師府</v>
      </c>
      <c r="H2496" s="106" t="str">
        <f t="shared" si="1"/>
        <v>2025-08</v>
      </c>
      <c r="I2496" s="271" t="str">
        <f>IFERROR(__xludf.DUMMYFUNCTION("""COMPUTED_VALUE"""),"貓狗企鵝")</f>
        <v>貓狗企鵝</v>
      </c>
      <c r="J2496" t="str">
        <f>IFERROR(__xludf.DUMMYFUNCTION("IFS(
  AND(REGEXMATCH(E2496, ""台銀籌備帳戶|玉山帳戶""), REGEXMATCH(C2496, ""薪資"")), ""分潤支出"",
  AND(REGEXMATCH(E2496, ""Ben帳戶|Elsa帳戶|Ben代墊|Ariel代墊|中信銀行共用""), REGEXMATCH(F2496, ""Ben帳戶|Elsa帳戶|Ben代墊|Ariel代墊|中信銀行共用"")), ""內部轉帳(忽略)"",
  AND(E2496&lt;&gt;"""", F2496&lt;&gt;"""", N"&amp;"OT(REGEXMATCH(C2496, ""薪資""))), ""內部轉帳(忽略)"",
  REGEXMATCH(C2496, ""薪資""), ""薪資變動(不計入)"",
  REGEXMATCH(C2496, ""押金""), ""押金往來"",
  AND(E2496&lt;&gt;"""", F2496=""""), ""真實支出"",
  AND(E2496="""", F2496&lt;&gt;""""), ""真實收入"",
  TRUE, ""其他""
)"),"真實收入")</f>
        <v>真實收入</v>
      </c>
      <c r="K2496" s="270">
        <f t="shared" si="2"/>
        <v>13000</v>
      </c>
      <c r="L2496">
        <f t="shared" si="3"/>
        <v>0</v>
      </c>
    </row>
    <row r="2497">
      <c r="A2497" s="107">
        <f>IFERROR(__xludf.DUMMYFUNCTION("""COMPUTED_VALUE"""),45900.0)</f>
        <v>45900</v>
      </c>
      <c r="B2497" t="str">
        <f>IFERROR(__xludf.DUMMYFUNCTION("""COMPUTED_VALUE"""),"[大湖山莊] C [姚伯謙] 月租金 (行號: 33)")</f>
        <v>[大湖山莊] C [姚伯謙] 月租金 (行號: 33)</v>
      </c>
      <c r="C2497" t="str">
        <f>IFERROR(__xludf.DUMMYFUNCTION("""COMPUTED_VALUE"""),"收入 - 租金")</f>
        <v>收入 - 租金</v>
      </c>
      <c r="D2497" s="270">
        <f>IFERROR(__xludf.DUMMYFUNCTION("""COMPUTED_VALUE"""),18800.0)</f>
        <v>18800</v>
      </c>
      <c r="F2497" t="str">
        <f>IFERROR(__xludf.DUMMYFUNCTION("""COMPUTED_VALUE"""),"台銀籌備帳戶")</f>
        <v>台銀籌備帳戶</v>
      </c>
      <c r="G2497" t="str">
        <f>IFERROR(__xludf.DUMMYFUNCTION("""COMPUTED_VALUE"""),"大湖山莊")</f>
        <v>大湖山莊</v>
      </c>
      <c r="H2497" s="106" t="str">
        <f t="shared" si="1"/>
        <v>2025-08</v>
      </c>
      <c r="I2497" s="271" t="str">
        <f>IFERROR(__xludf.DUMMYFUNCTION("""COMPUTED_VALUE"""),"貓狗企鵝")</f>
        <v>貓狗企鵝</v>
      </c>
      <c r="J2497" t="str">
        <f>IFERROR(__xludf.DUMMYFUNCTION("IFS(
  AND(REGEXMATCH(E2497, ""台銀籌備帳戶|玉山帳戶""), REGEXMATCH(C2497, ""薪資"")), ""分潤支出"",
  AND(REGEXMATCH(E2497, ""Ben帳戶|Elsa帳戶|Ben代墊|Ariel代墊|中信銀行共用""), REGEXMATCH(F2497, ""Ben帳戶|Elsa帳戶|Ben代墊|Ariel代墊|中信銀行共用"")), ""內部轉帳(忽略)"",
  AND(E2497&lt;&gt;"""", F2497&lt;&gt;"""", N"&amp;"OT(REGEXMATCH(C2497, ""薪資""))), ""內部轉帳(忽略)"",
  REGEXMATCH(C2497, ""薪資""), ""薪資變動(不計入)"",
  REGEXMATCH(C2497, ""押金""), ""押金往來"",
  AND(E2497&lt;&gt;"""", F2497=""""), ""真實支出"",
  AND(E2497="""", F2497&lt;&gt;""""), ""真實收入"",
  TRUE, ""其他""
)"),"真實收入")</f>
        <v>真實收入</v>
      </c>
      <c r="K2497" s="270">
        <f t="shared" si="2"/>
        <v>18800</v>
      </c>
      <c r="L2497">
        <f t="shared" si="3"/>
        <v>0</v>
      </c>
    </row>
    <row r="2498">
      <c r="A2498" s="107">
        <f>IFERROR(__xludf.DUMMYFUNCTION("""COMPUTED_VALUE"""),45900.0)</f>
        <v>45900</v>
      </c>
      <c r="B2498" t="str">
        <f>IFERROR(__xludf.DUMMYFUNCTION("""COMPUTED_VALUE"""),"[景安2分鐘] B [張語婕, 張依憑] 月租金 (行號: 34)")</f>
        <v>[景安2分鐘] B [張語婕, 張依憑] 月租金 (行號: 34)</v>
      </c>
      <c r="C2498" t="str">
        <f>IFERROR(__xludf.DUMMYFUNCTION("""COMPUTED_VALUE"""),"收入 - 租金")</f>
        <v>收入 - 租金</v>
      </c>
      <c r="D2498" s="270">
        <f>IFERROR(__xludf.DUMMYFUNCTION("""COMPUTED_VALUE"""),18800.0)</f>
        <v>18800</v>
      </c>
      <c r="F2498" t="str">
        <f>IFERROR(__xludf.DUMMYFUNCTION("""COMPUTED_VALUE"""),"台銀籌備帳戶")</f>
        <v>台銀籌備帳戶</v>
      </c>
      <c r="G2498" t="str">
        <f>IFERROR(__xludf.DUMMYFUNCTION("""COMPUTED_VALUE"""),"景安2分鐘")</f>
        <v>景安2分鐘</v>
      </c>
      <c r="H2498" s="106" t="str">
        <f t="shared" si="1"/>
        <v>2025-08</v>
      </c>
      <c r="I2498" s="271" t="str">
        <f>IFERROR(__xludf.DUMMYFUNCTION("""COMPUTED_VALUE"""),"貓狗企鵝")</f>
        <v>貓狗企鵝</v>
      </c>
      <c r="J2498" t="str">
        <f>IFERROR(__xludf.DUMMYFUNCTION("IFS(
  AND(REGEXMATCH(E2498, ""台銀籌備帳戶|玉山帳戶""), REGEXMATCH(C2498, ""薪資"")), ""分潤支出"",
  AND(REGEXMATCH(E2498, ""Ben帳戶|Elsa帳戶|Ben代墊|Ariel代墊|中信銀行共用""), REGEXMATCH(F2498, ""Ben帳戶|Elsa帳戶|Ben代墊|Ariel代墊|中信銀行共用"")), ""內部轉帳(忽略)"",
  AND(E2498&lt;&gt;"""", F2498&lt;&gt;"""", N"&amp;"OT(REGEXMATCH(C2498, ""薪資""))), ""內部轉帳(忽略)"",
  REGEXMATCH(C2498, ""薪資""), ""薪資變動(不計入)"",
  REGEXMATCH(C2498, ""押金""), ""押金往來"",
  AND(E2498&lt;&gt;"""", F2498=""""), ""真實支出"",
  AND(E2498="""", F2498&lt;&gt;""""), ""真實收入"",
  TRUE, ""其他""
)"),"真實收入")</f>
        <v>真實收入</v>
      </c>
      <c r="K2498" s="270">
        <f t="shared" si="2"/>
        <v>18800</v>
      </c>
      <c r="L2498">
        <f t="shared" si="3"/>
        <v>0</v>
      </c>
    </row>
    <row r="2499">
      <c r="A2499" s="107">
        <f>IFERROR(__xludf.DUMMYFUNCTION("""COMPUTED_VALUE"""),45900.0)</f>
        <v>45900</v>
      </c>
      <c r="B2499" t="str">
        <f>IFERROR(__xludf.DUMMYFUNCTION("""COMPUTED_VALUE"""),"[南港站挑高宅] C [吳佳叡] 月租金 (行號: 35)")</f>
        <v>[南港站挑高宅] C [吳佳叡] 月租金 (行號: 35)</v>
      </c>
      <c r="C2499" t="str">
        <f>IFERROR(__xludf.DUMMYFUNCTION("""COMPUTED_VALUE"""),"收入 - 租金")</f>
        <v>收入 - 租金</v>
      </c>
      <c r="D2499" s="270">
        <f>IFERROR(__xludf.DUMMYFUNCTION("""COMPUTED_VALUE"""),15000.0)</f>
        <v>15000</v>
      </c>
      <c r="F2499" t="str">
        <f>IFERROR(__xludf.DUMMYFUNCTION("""COMPUTED_VALUE"""),"台銀籌備帳戶")</f>
        <v>台銀籌備帳戶</v>
      </c>
      <c r="G2499" t="str">
        <f>IFERROR(__xludf.DUMMYFUNCTION("""COMPUTED_VALUE"""),"南港站挑高宅")</f>
        <v>南港站挑高宅</v>
      </c>
      <c r="H2499" s="106" t="str">
        <f t="shared" si="1"/>
        <v>2025-08</v>
      </c>
      <c r="I2499" s="271" t="str">
        <f>IFERROR(__xludf.DUMMYFUNCTION("""COMPUTED_VALUE"""),"貓狗企鵝")</f>
        <v>貓狗企鵝</v>
      </c>
      <c r="J2499" t="str">
        <f>IFERROR(__xludf.DUMMYFUNCTION("IFS(
  AND(REGEXMATCH(E2499, ""台銀籌備帳戶|玉山帳戶""), REGEXMATCH(C2499, ""薪資"")), ""分潤支出"",
  AND(REGEXMATCH(E2499, ""Ben帳戶|Elsa帳戶|Ben代墊|Ariel代墊|中信銀行共用""), REGEXMATCH(F2499, ""Ben帳戶|Elsa帳戶|Ben代墊|Ariel代墊|中信銀行共用"")), ""內部轉帳(忽略)"",
  AND(E2499&lt;&gt;"""", F2499&lt;&gt;"""", N"&amp;"OT(REGEXMATCH(C2499, ""薪資""))), ""內部轉帳(忽略)"",
  REGEXMATCH(C2499, ""薪資""), ""薪資變動(不計入)"",
  REGEXMATCH(C2499, ""押金""), ""押金往來"",
  AND(E2499&lt;&gt;"""", F2499=""""), ""真實支出"",
  AND(E2499="""", F2499&lt;&gt;""""), ""真實收入"",
  TRUE, ""其他""
)"),"真實收入")</f>
        <v>真實收入</v>
      </c>
      <c r="K2499" s="270">
        <f t="shared" si="2"/>
        <v>15000</v>
      </c>
      <c r="L2499">
        <f t="shared" si="3"/>
        <v>0</v>
      </c>
    </row>
    <row r="2500">
      <c r="A2500" s="107">
        <f>IFERROR(__xludf.DUMMYFUNCTION("""COMPUTED_VALUE"""),45901.0)</f>
        <v>45901</v>
      </c>
      <c r="B2500" t="str">
        <f>IFERROR(__xludf.DUMMYFUNCTION("""COMPUTED_VALUE"""),"[南港站挑高宅] D [吳城慕] 月租金 (行號: 36)")</f>
        <v>[南港站挑高宅] D [吳城慕] 月租金 (行號: 36)</v>
      </c>
      <c r="C2500" t="str">
        <f>IFERROR(__xludf.DUMMYFUNCTION("""COMPUTED_VALUE"""),"收入 - 租金")</f>
        <v>收入 - 租金</v>
      </c>
      <c r="D2500" s="270">
        <f>IFERROR(__xludf.DUMMYFUNCTION("""COMPUTED_VALUE"""),13800.0)</f>
        <v>13800</v>
      </c>
      <c r="F2500" t="str">
        <f>IFERROR(__xludf.DUMMYFUNCTION("""COMPUTED_VALUE"""),"台銀籌備帳戶")</f>
        <v>台銀籌備帳戶</v>
      </c>
      <c r="G2500" t="str">
        <f>IFERROR(__xludf.DUMMYFUNCTION("""COMPUTED_VALUE"""),"南港站挑高宅")</f>
        <v>南港站挑高宅</v>
      </c>
      <c r="H2500" s="106" t="str">
        <f t="shared" si="1"/>
        <v>2025-09</v>
      </c>
      <c r="I2500" s="271" t="str">
        <f>IFERROR(__xludf.DUMMYFUNCTION("""COMPUTED_VALUE"""),"貓狗企鵝")</f>
        <v>貓狗企鵝</v>
      </c>
      <c r="J2500" t="str">
        <f>IFERROR(__xludf.DUMMYFUNCTION("IFS(
  AND(REGEXMATCH(E2500, ""台銀籌備帳戶|玉山帳戶""), REGEXMATCH(C2500, ""薪資"")), ""分潤支出"",
  AND(REGEXMATCH(E2500, ""Ben帳戶|Elsa帳戶|Ben代墊|Ariel代墊|中信銀行共用""), REGEXMATCH(F2500, ""Ben帳戶|Elsa帳戶|Ben代墊|Ariel代墊|中信銀行共用"")), ""內部轉帳(忽略)"",
  AND(E2500&lt;&gt;"""", F2500&lt;&gt;"""", N"&amp;"OT(REGEXMATCH(C2500, ""薪資""))), ""內部轉帳(忽略)"",
  REGEXMATCH(C2500, ""薪資""), ""薪資變動(不計入)"",
  REGEXMATCH(C2500, ""押金""), ""押金往來"",
  AND(E2500&lt;&gt;"""", F2500=""""), ""真實支出"",
  AND(E2500="""", F2500&lt;&gt;""""), ""真實收入"",
  TRUE, ""其他""
)"),"真實收入")</f>
        <v>真實收入</v>
      </c>
      <c r="K2500" s="270">
        <f t="shared" si="2"/>
        <v>13800</v>
      </c>
      <c r="L2500">
        <f t="shared" si="3"/>
        <v>0</v>
      </c>
    </row>
    <row r="2501">
      <c r="A2501" s="107">
        <f>IFERROR(__xludf.DUMMYFUNCTION("""COMPUTED_VALUE"""),45901.0)</f>
        <v>45901</v>
      </c>
      <c r="B2501" t="str">
        <f>IFERROR(__xludf.DUMMYFUNCTION("""COMPUTED_VALUE"""),"[中山北Feli家] A [蔡亦翔] 月租金 (行號: 38)")</f>
        <v>[中山北Feli家] A [蔡亦翔] 月租金 (行號: 38)</v>
      </c>
      <c r="C2501" t="str">
        <f>IFERROR(__xludf.DUMMYFUNCTION("""COMPUTED_VALUE"""),"收入 - 租金")</f>
        <v>收入 - 租金</v>
      </c>
      <c r="D2501" s="270">
        <f>IFERROR(__xludf.DUMMYFUNCTION("""COMPUTED_VALUE"""),13200.0)</f>
        <v>13200</v>
      </c>
      <c r="F2501" t="str">
        <f>IFERROR(__xludf.DUMMYFUNCTION("""COMPUTED_VALUE"""),"台銀籌備帳戶")</f>
        <v>台銀籌備帳戶</v>
      </c>
      <c r="G2501" t="str">
        <f>IFERROR(__xludf.DUMMYFUNCTION("""COMPUTED_VALUE"""),"中山北Feli家")</f>
        <v>中山北Feli家</v>
      </c>
      <c r="H2501" s="106" t="str">
        <f t="shared" si="1"/>
        <v>2025-09</v>
      </c>
      <c r="I2501" s="271" t="str">
        <f>IFERROR(__xludf.DUMMYFUNCTION("""COMPUTED_VALUE"""),"貓狗企鵝")</f>
        <v>貓狗企鵝</v>
      </c>
      <c r="J2501" t="str">
        <f>IFERROR(__xludf.DUMMYFUNCTION("IFS(
  AND(REGEXMATCH(E2501, ""台銀籌備帳戶|玉山帳戶""), REGEXMATCH(C2501, ""薪資"")), ""分潤支出"",
  AND(REGEXMATCH(E2501, ""Ben帳戶|Elsa帳戶|Ben代墊|Ariel代墊|中信銀行共用""), REGEXMATCH(F2501, ""Ben帳戶|Elsa帳戶|Ben代墊|Ariel代墊|中信銀行共用"")), ""內部轉帳(忽略)"",
  AND(E2501&lt;&gt;"""", F2501&lt;&gt;"""", N"&amp;"OT(REGEXMATCH(C2501, ""薪資""))), ""內部轉帳(忽略)"",
  REGEXMATCH(C2501, ""薪資""), ""薪資變動(不計入)"",
  REGEXMATCH(C2501, ""押金""), ""押金往來"",
  AND(E2501&lt;&gt;"""", F2501=""""), ""真實支出"",
  AND(E2501="""", F2501&lt;&gt;""""), ""真實收入"",
  TRUE, ""其他""
)"),"真實收入")</f>
        <v>真實收入</v>
      </c>
      <c r="K2501" s="270">
        <f t="shared" si="2"/>
        <v>13200</v>
      </c>
      <c r="L2501">
        <f t="shared" si="3"/>
        <v>0</v>
      </c>
    </row>
    <row r="2502">
      <c r="A2502" s="107">
        <f>IFERROR(__xludf.DUMMYFUNCTION("""COMPUTED_VALUE"""),45901.0)</f>
        <v>45901</v>
      </c>
      <c r="B2502" t="str">
        <f>IFERROR(__xludf.DUMMYFUNCTION("""COMPUTED_VALUE"""),"[哈拉對面] B [鄭又菡] 月租金 (行號: 40)")</f>
        <v>[哈拉對面] B [鄭又菡] 月租金 (行號: 40)</v>
      </c>
      <c r="C2502" t="str">
        <f>IFERROR(__xludf.DUMMYFUNCTION("""COMPUTED_VALUE"""),"收入 - 租金")</f>
        <v>收入 - 租金</v>
      </c>
      <c r="D2502" s="270">
        <f>IFERROR(__xludf.DUMMYFUNCTION("""COMPUTED_VALUE"""),15800.0)</f>
        <v>15800</v>
      </c>
      <c r="F2502" t="str">
        <f>IFERROR(__xludf.DUMMYFUNCTION("""COMPUTED_VALUE"""),"台銀籌備帳戶")</f>
        <v>台銀籌備帳戶</v>
      </c>
      <c r="G2502" t="str">
        <f>IFERROR(__xludf.DUMMYFUNCTION("""COMPUTED_VALUE"""),"哈拉對面")</f>
        <v>哈拉對面</v>
      </c>
      <c r="H2502" s="106" t="str">
        <f t="shared" si="1"/>
        <v>2025-09</v>
      </c>
      <c r="I2502" s="271" t="str">
        <f>IFERROR(__xludf.DUMMYFUNCTION("""COMPUTED_VALUE"""),"貓狗企鵝")</f>
        <v>貓狗企鵝</v>
      </c>
      <c r="J2502" t="str">
        <f>IFERROR(__xludf.DUMMYFUNCTION("IFS(
  AND(REGEXMATCH(E2502, ""台銀籌備帳戶|玉山帳戶""), REGEXMATCH(C2502, ""薪資"")), ""分潤支出"",
  AND(REGEXMATCH(E2502, ""Ben帳戶|Elsa帳戶|Ben代墊|Ariel代墊|中信銀行共用""), REGEXMATCH(F2502, ""Ben帳戶|Elsa帳戶|Ben代墊|Ariel代墊|中信銀行共用"")), ""內部轉帳(忽略)"",
  AND(E2502&lt;&gt;"""", F2502&lt;&gt;"""", N"&amp;"OT(REGEXMATCH(C2502, ""薪資""))), ""內部轉帳(忽略)"",
  REGEXMATCH(C2502, ""薪資""), ""薪資變動(不計入)"",
  REGEXMATCH(C2502, ""押金""), ""押金往來"",
  AND(E2502&lt;&gt;"""", F2502=""""), ""真實支出"",
  AND(E2502="""", F2502&lt;&gt;""""), ""真實收入"",
  TRUE, ""其他""
)"),"真實收入")</f>
        <v>真實收入</v>
      </c>
      <c r="K2502" s="270">
        <f t="shared" si="2"/>
        <v>15800</v>
      </c>
      <c r="L2502">
        <f t="shared" si="3"/>
        <v>0</v>
      </c>
    </row>
    <row r="2503">
      <c r="A2503" s="107">
        <f>IFERROR(__xludf.DUMMYFUNCTION("""COMPUTED_VALUE"""),45901.0)</f>
        <v>45901</v>
      </c>
      <c r="B2503" t="str">
        <f>IFERROR(__xludf.DUMMYFUNCTION("""COMPUTED_VALUE"""),"[景安2分鐘] E [楊惠閔] 月租金 (行號: 41)")</f>
        <v>[景安2分鐘] E [楊惠閔] 月租金 (行號: 41)</v>
      </c>
      <c r="C2503" t="str">
        <f>IFERROR(__xludf.DUMMYFUNCTION("""COMPUTED_VALUE"""),"收入 - 租金")</f>
        <v>收入 - 租金</v>
      </c>
      <c r="D2503" s="270">
        <f>IFERROR(__xludf.DUMMYFUNCTION("""COMPUTED_VALUE"""),10500.0)</f>
        <v>10500</v>
      </c>
      <c r="F2503" t="str">
        <f>IFERROR(__xludf.DUMMYFUNCTION("""COMPUTED_VALUE"""),"台銀籌備帳戶")</f>
        <v>台銀籌備帳戶</v>
      </c>
      <c r="G2503" t="str">
        <f>IFERROR(__xludf.DUMMYFUNCTION("""COMPUTED_VALUE"""),"景安2分鐘")</f>
        <v>景安2分鐘</v>
      </c>
      <c r="H2503" s="106" t="str">
        <f t="shared" si="1"/>
        <v>2025-09</v>
      </c>
      <c r="I2503" s="271" t="str">
        <f>IFERROR(__xludf.DUMMYFUNCTION("""COMPUTED_VALUE"""),"貓狗企鵝")</f>
        <v>貓狗企鵝</v>
      </c>
      <c r="J2503" t="str">
        <f>IFERROR(__xludf.DUMMYFUNCTION("IFS(
  AND(REGEXMATCH(E2503, ""台銀籌備帳戶|玉山帳戶""), REGEXMATCH(C2503, ""薪資"")), ""分潤支出"",
  AND(REGEXMATCH(E2503, ""Ben帳戶|Elsa帳戶|Ben代墊|Ariel代墊|中信銀行共用""), REGEXMATCH(F2503, ""Ben帳戶|Elsa帳戶|Ben代墊|Ariel代墊|中信銀行共用"")), ""內部轉帳(忽略)"",
  AND(E2503&lt;&gt;"""", F2503&lt;&gt;"""", N"&amp;"OT(REGEXMATCH(C2503, ""薪資""))), ""內部轉帳(忽略)"",
  REGEXMATCH(C2503, ""薪資""), ""薪資變動(不計入)"",
  REGEXMATCH(C2503, ""押金""), ""押金往來"",
  AND(E2503&lt;&gt;"""", F2503=""""), ""真實支出"",
  AND(E2503="""", F2503&lt;&gt;""""), ""真實收入"",
  TRUE, ""其他""
)"),"真實收入")</f>
        <v>真實收入</v>
      </c>
      <c r="K2503" s="270">
        <f t="shared" si="2"/>
        <v>10500</v>
      </c>
      <c r="L2503">
        <f t="shared" si="3"/>
        <v>0</v>
      </c>
    </row>
    <row r="2504">
      <c r="A2504" s="107">
        <f>IFERROR(__xludf.DUMMYFUNCTION("""COMPUTED_VALUE"""),45901.0)</f>
        <v>45901</v>
      </c>
      <c r="B2504" t="str">
        <f>IFERROR(__xludf.DUMMYFUNCTION("""COMPUTED_VALUE"""),"[金龍帽子先生] B [謝歆俞] 月租金 (行號: 42)")</f>
        <v>[金龍帽子先生] B [謝歆俞] 月租金 (行號: 42)</v>
      </c>
      <c r="C2504" t="str">
        <f>IFERROR(__xludf.DUMMYFUNCTION("""COMPUTED_VALUE"""),"收入 - 租金")</f>
        <v>收入 - 租金</v>
      </c>
      <c r="D2504" s="270">
        <f>IFERROR(__xludf.DUMMYFUNCTION("""COMPUTED_VALUE"""),12700.0)</f>
        <v>12700</v>
      </c>
      <c r="F2504" t="str">
        <f>IFERROR(__xludf.DUMMYFUNCTION("""COMPUTED_VALUE"""),"台銀籌備帳戶")</f>
        <v>台銀籌備帳戶</v>
      </c>
      <c r="G2504" t="str">
        <f>IFERROR(__xludf.DUMMYFUNCTION("""COMPUTED_VALUE"""),"金龍帽子先生")</f>
        <v>金龍帽子先生</v>
      </c>
      <c r="H2504" s="106" t="str">
        <f t="shared" si="1"/>
        <v>2025-09</v>
      </c>
      <c r="I2504" s="271" t="str">
        <f>IFERROR(__xludf.DUMMYFUNCTION("""COMPUTED_VALUE"""),"貓狗企鵝")</f>
        <v>貓狗企鵝</v>
      </c>
      <c r="J2504" t="str">
        <f>IFERROR(__xludf.DUMMYFUNCTION("IFS(
  AND(REGEXMATCH(E2504, ""台銀籌備帳戶|玉山帳戶""), REGEXMATCH(C2504, ""薪資"")), ""分潤支出"",
  AND(REGEXMATCH(E2504, ""Ben帳戶|Elsa帳戶|Ben代墊|Ariel代墊|中信銀行共用""), REGEXMATCH(F2504, ""Ben帳戶|Elsa帳戶|Ben代墊|Ariel代墊|中信銀行共用"")), ""內部轉帳(忽略)"",
  AND(E2504&lt;&gt;"""", F2504&lt;&gt;"""", N"&amp;"OT(REGEXMATCH(C2504, ""薪資""))), ""內部轉帳(忽略)"",
  REGEXMATCH(C2504, ""薪資""), ""薪資變動(不計入)"",
  REGEXMATCH(C2504, ""押金""), ""押金往來"",
  AND(E2504&lt;&gt;"""", F2504=""""), ""真實支出"",
  AND(E2504="""", F2504&lt;&gt;""""), ""真實收入"",
  TRUE, ""其他""
)"),"真實收入")</f>
        <v>真實收入</v>
      </c>
      <c r="K2504" s="270">
        <f t="shared" si="2"/>
        <v>12700</v>
      </c>
      <c r="L2504">
        <f t="shared" si="3"/>
        <v>0</v>
      </c>
    </row>
    <row r="2505">
      <c r="A2505" s="107">
        <f>IFERROR(__xludf.DUMMYFUNCTION("""COMPUTED_VALUE"""),45901.0)</f>
        <v>45901</v>
      </c>
      <c r="B2505" t="str">
        <f>IFERROR(__xludf.DUMMYFUNCTION("""COMPUTED_VALUE"""),"[書香民生] A [曾蘋儀] 月租金 (行號: 55)")</f>
        <v>[書香民生] A [曾蘋儀] 月租金 (行號: 55)</v>
      </c>
      <c r="C2505" t="str">
        <f>IFERROR(__xludf.DUMMYFUNCTION("""COMPUTED_VALUE"""),"收入 - 租金")</f>
        <v>收入 - 租金</v>
      </c>
      <c r="D2505" s="270">
        <f>IFERROR(__xludf.DUMMYFUNCTION("""COMPUTED_VALUE"""),13300.0)</f>
        <v>13300</v>
      </c>
      <c r="F2505" t="str">
        <f>IFERROR(__xludf.DUMMYFUNCTION("""COMPUTED_VALUE"""),"台銀籌備帳戶")</f>
        <v>台銀籌備帳戶</v>
      </c>
      <c r="G2505" t="str">
        <f>IFERROR(__xludf.DUMMYFUNCTION("""COMPUTED_VALUE"""),"書香民生")</f>
        <v>書香民生</v>
      </c>
      <c r="H2505" s="106" t="str">
        <f t="shared" si="1"/>
        <v>2025-09</v>
      </c>
      <c r="I2505" s="271" t="str">
        <f>IFERROR(__xludf.DUMMYFUNCTION("""COMPUTED_VALUE"""),"貓狗企鵝")</f>
        <v>貓狗企鵝</v>
      </c>
      <c r="J2505" t="str">
        <f>IFERROR(__xludf.DUMMYFUNCTION("IFS(
  AND(REGEXMATCH(E2505, ""台銀籌備帳戶|玉山帳戶""), REGEXMATCH(C2505, ""薪資"")), ""分潤支出"",
  AND(REGEXMATCH(E2505, ""Ben帳戶|Elsa帳戶|Ben代墊|Ariel代墊|中信銀行共用""), REGEXMATCH(F2505, ""Ben帳戶|Elsa帳戶|Ben代墊|Ariel代墊|中信銀行共用"")), ""內部轉帳(忽略)"",
  AND(E2505&lt;&gt;"""", F2505&lt;&gt;"""", N"&amp;"OT(REGEXMATCH(C2505, ""薪資""))), ""內部轉帳(忽略)"",
  REGEXMATCH(C2505, ""薪資""), ""薪資變動(不計入)"",
  REGEXMATCH(C2505, ""押金""), ""押金往來"",
  AND(E2505&lt;&gt;"""", F2505=""""), ""真實支出"",
  AND(E2505="""", F2505&lt;&gt;""""), ""真實收入"",
  TRUE, ""其他""
)"),"真實收入")</f>
        <v>真實收入</v>
      </c>
      <c r="K2505" s="270">
        <f t="shared" si="2"/>
        <v>13300</v>
      </c>
      <c r="L2505">
        <f t="shared" si="3"/>
        <v>0</v>
      </c>
    </row>
    <row r="2506">
      <c r="A2506" s="107">
        <f>IFERROR(__xludf.DUMMYFUNCTION("""COMPUTED_VALUE"""),45901.0)</f>
        <v>45901</v>
      </c>
      <c r="B2506" t="str">
        <f>IFERROR(__xludf.DUMMYFUNCTION("""COMPUTED_VALUE"""),"[景安2分鐘] D [鍾佩晶] 月租金 (行號: 56)")</f>
        <v>[景安2分鐘] D [鍾佩晶] 月租金 (行號: 56)</v>
      </c>
      <c r="C2506" t="str">
        <f>IFERROR(__xludf.DUMMYFUNCTION("""COMPUTED_VALUE"""),"收入 - 租金")</f>
        <v>收入 - 租金</v>
      </c>
      <c r="D2506" s="270">
        <f>IFERROR(__xludf.DUMMYFUNCTION("""COMPUTED_VALUE"""),8600.0)</f>
        <v>8600</v>
      </c>
      <c r="F2506" t="str">
        <f>IFERROR(__xludf.DUMMYFUNCTION("""COMPUTED_VALUE"""),"台銀籌備帳戶")</f>
        <v>台銀籌備帳戶</v>
      </c>
      <c r="G2506" t="str">
        <f>IFERROR(__xludf.DUMMYFUNCTION("""COMPUTED_VALUE"""),"景安2分鐘")</f>
        <v>景安2分鐘</v>
      </c>
      <c r="H2506" s="106" t="str">
        <f t="shared" si="1"/>
        <v>2025-09</v>
      </c>
      <c r="I2506" s="271" t="str">
        <f>IFERROR(__xludf.DUMMYFUNCTION("""COMPUTED_VALUE"""),"貓狗企鵝")</f>
        <v>貓狗企鵝</v>
      </c>
      <c r="J2506" t="str">
        <f>IFERROR(__xludf.DUMMYFUNCTION("IFS(
  AND(REGEXMATCH(E2506, ""台銀籌備帳戶|玉山帳戶""), REGEXMATCH(C2506, ""薪資"")), ""分潤支出"",
  AND(REGEXMATCH(E2506, ""Ben帳戶|Elsa帳戶|Ben代墊|Ariel代墊|中信銀行共用""), REGEXMATCH(F2506, ""Ben帳戶|Elsa帳戶|Ben代墊|Ariel代墊|中信銀行共用"")), ""內部轉帳(忽略)"",
  AND(E2506&lt;&gt;"""", F2506&lt;&gt;"""", N"&amp;"OT(REGEXMATCH(C2506, ""薪資""))), ""內部轉帳(忽略)"",
  REGEXMATCH(C2506, ""薪資""), ""薪資變動(不計入)"",
  REGEXMATCH(C2506, ""押金""), ""押金往來"",
  AND(E2506&lt;&gt;"""", F2506=""""), ""真實支出"",
  AND(E2506="""", F2506&lt;&gt;""""), ""真實收入"",
  TRUE, ""其他""
)"),"真實收入")</f>
        <v>真實收入</v>
      </c>
      <c r="K2506" s="270">
        <f t="shared" si="2"/>
        <v>8600</v>
      </c>
      <c r="L2506">
        <f t="shared" si="3"/>
        <v>0</v>
      </c>
    </row>
    <row r="2507">
      <c r="A2507" s="107">
        <f>IFERROR(__xludf.DUMMYFUNCTION("""COMPUTED_VALUE"""),45901.0)</f>
        <v>45901</v>
      </c>
      <c r="B2507" t="str">
        <f>IFERROR(__xludf.DUMMYFUNCTION("""COMPUTED_VALUE"""),"[大湖山莊] G [Soumyajit Balabantaray] 月租金 (行號: 57)")</f>
        <v>[大湖山莊] G [Soumyajit Balabantaray] 月租金 (行號: 57)</v>
      </c>
      <c r="C2507" t="str">
        <f>IFERROR(__xludf.DUMMYFUNCTION("""COMPUTED_VALUE"""),"收入 - 租金")</f>
        <v>收入 - 租金</v>
      </c>
      <c r="D2507" s="270">
        <f>IFERROR(__xludf.DUMMYFUNCTION("""COMPUTED_VALUE"""),15800.0)</f>
        <v>15800</v>
      </c>
      <c r="F2507" t="str">
        <f>IFERROR(__xludf.DUMMYFUNCTION("""COMPUTED_VALUE"""),"台銀籌備帳戶")</f>
        <v>台銀籌備帳戶</v>
      </c>
      <c r="G2507" t="str">
        <f>IFERROR(__xludf.DUMMYFUNCTION("""COMPUTED_VALUE"""),"大湖山莊")</f>
        <v>大湖山莊</v>
      </c>
      <c r="H2507" s="106" t="str">
        <f t="shared" si="1"/>
        <v>2025-09</v>
      </c>
      <c r="I2507" s="271" t="str">
        <f>IFERROR(__xludf.DUMMYFUNCTION("""COMPUTED_VALUE"""),"貓狗企鵝")</f>
        <v>貓狗企鵝</v>
      </c>
      <c r="J2507" t="str">
        <f>IFERROR(__xludf.DUMMYFUNCTION("IFS(
  AND(REGEXMATCH(E2507, ""台銀籌備帳戶|玉山帳戶""), REGEXMATCH(C2507, ""薪資"")), ""分潤支出"",
  AND(REGEXMATCH(E2507, ""Ben帳戶|Elsa帳戶|Ben代墊|Ariel代墊|中信銀行共用""), REGEXMATCH(F2507, ""Ben帳戶|Elsa帳戶|Ben代墊|Ariel代墊|中信銀行共用"")), ""內部轉帳(忽略)"",
  AND(E2507&lt;&gt;"""", F2507&lt;&gt;"""", N"&amp;"OT(REGEXMATCH(C2507, ""薪資""))), ""內部轉帳(忽略)"",
  REGEXMATCH(C2507, ""薪資""), ""薪資變動(不計入)"",
  REGEXMATCH(C2507, ""押金""), ""押金往來"",
  AND(E2507&lt;&gt;"""", F2507=""""), ""真實支出"",
  AND(E2507="""", F2507&lt;&gt;""""), ""真實收入"",
  TRUE, ""其他""
)"),"真實收入")</f>
        <v>真實收入</v>
      </c>
      <c r="K2507" s="270">
        <f t="shared" si="2"/>
        <v>15800</v>
      </c>
      <c r="L2507">
        <f t="shared" si="3"/>
        <v>0</v>
      </c>
    </row>
    <row r="2508">
      <c r="A2508" s="107">
        <f>IFERROR(__xludf.DUMMYFUNCTION("""COMPUTED_VALUE"""),45901.0)</f>
        <v>45901</v>
      </c>
      <c r="B2508" t="str">
        <f>IFERROR(__xludf.DUMMYFUNCTION("""COMPUTED_VALUE"""),"[中山北Feli家] D [邱佳慧] 月租金 (行號: 59)")</f>
        <v>[中山北Feli家] D [邱佳慧] 月租金 (行號: 59)</v>
      </c>
      <c r="C2508" t="str">
        <f>IFERROR(__xludf.DUMMYFUNCTION("""COMPUTED_VALUE"""),"收入 - 租金")</f>
        <v>收入 - 租金</v>
      </c>
      <c r="D2508" s="270">
        <f>IFERROR(__xludf.DUMMYFUNCTION("""COMPUTED_VALUE"""),10800.0)</f>
        <v>10800</v>
      </c>
      <c r="F2508" t="str">
        <f>IFERROR(__xludf.DUMMYFUNCTION("""COMPUTED_VALUE"""),"台銀籌備帳戶")</f>
        <v>台銀籌備帳戶</v>
      </c>
      <c r="G2508" t="str">
        <f>IFERROR(__xludf.DUMMYFUNCTION("""COMPUTED_VALUE"""),"中山北Feli家")</f>
        <v>中山北Feli家</v>
      </c>
      <c r="H2508" s="106" t="str">
        <f t="shared" si="1"/>
        <v>2025-09</v>
      </c>
      <c r="I2508" s="271" t="str">
        <f>IFERROR(__xludf.DUMMYFUNCTION("""COMPUTED_VALUE"""),"貓狗企鵝")</f>
        <v>貓狗企鵝</v>
      </c>
      <c r="J2508" t="str">
        <f>IFERROR(__xludf.DUMMYFUNCTION("IFS(
  AND(REGEXMATCH(E2508, ""台銀籌備帳戶|玉山帳戶""), REGEXMATCH(C2508, ""薪資"")), ""分潤支出"",
  AND(REGEXMATCH(E2508, ""Ben帳戶|Elsa帳戶|Ben代墊|Ariel代墊|中信銀行共用""), REGEXMATCH(F2508, ""Ben帳戶|Elsa帳戶|Ben代墊|Ariel代墊|中信銀行共用"")), ""內部轉帳(忽略)"",
  AND(E2508&lt;&gt;"""", F2508&lt;&gt;"""", N"&amp;"OT(REGEXMATCH(C2508, ""薪資""))), ""內部轉帳(忽略)"",
  REGEXMATCH(C2508, ""薪資""), ""薪資變動(不計入)"",
  REGEXMATCH(C2508, ""押金""), ""押金往來"",
  AND(E2508&lt;&gt;"""", F2508=""""), ""真實支出"",
  AND(E2508="""", F2508&lt;&gt;""""), ""真實收入"",
  TRUE, ""其他""
)"),"真實收入")</f>
        <v>真實收入</v>
      </c>
      <c r="K2508" s="270">
        <f t="shared" si="2"/>
        <v>10800</v>
      </c>
      <c r="L2508">
        <f t="shared" si="3"/>
        <v>0</v>
      </c>
    </row>
    <row r="2509">
      <c r="A2509" s="107">
        <f>IFERROR(__xludf.DUMMYFUNCTION("""COMPUTED_VALUE"""),45901.0)</f>
        <v>45901</v>
      </c>
      <c r="B2509" t="str">
        <f>IFERROR(__xludf.DUMMYFUNCTION("""COMPUTED_VALUE"""),"[永春四號] D [翁政熙] 月租金 (行號: 60)")</f>
        <v>[永春四號] D [翁政熙] 月租金 (行號: 60)</v>
      </c>
      <c r="C2509" t="str">
        <f>IFERROR(__xludf.DUMMYFUNCTION("""COMPUTED_VALUE"""),"收入 - 租金")</f>
        <v>收入 - 租金</v>
      </c>
      <c r="D2509" s="270">
        <f>IFERROR(__xludf.DUMMYFUNCTION("""COMPUTED_VALUE"""),14300.0)</f>
        <v>14300</v>
      </c>
      <c r="F2509" t="str">
        <f>IFERROR(__xludf.DUMMYFUNCTION("""COMPUTED_VALUE"""),"台銀籌備帳戶")</f>
        <v>台銀籌備帳戶</v>
      </c>
      <c r="G2509" t="str">
        <f>IFERROR(__xludf.DUMMYFUNCTION("""COMPUTED_VALUE"""),"永春四號")</f>
        <v>永春四號</v>
      </c>
      <c r="H2509" s="106" t="str">
        <f t="shared" si="1"/>
        <v>2025-09</v>
      </c>
      <c r="I2509" s="271" t="str">
        <f>IFERROR(__xludf.DUMMYFUNCTION("""COMPUTED_VALUE"""),"貓狗企鵝")</f>
        <v>貓狗企鵝</v>
      </c>
      <c r="J2509" t="str">
        <f>IFERROR(__xludf.DUMMYFUNCTION("IFS(
  AND(REGEXMATCH(E2509, ""台銀籌備帳戶|玉山帳戶""), REGEXMATCH(C2509, ""薪資"")), ""分潤支出"",
  AND(REGEXMATCH(E2509, ""Ben帳戶|Elsa帳戶|Ben代墊|Ariel代墊|中信銀行共用""), REGEXMATCH(F2509, ""Ben帳戶|Elsa帳戶|Ben代墊|Ariel代墊|中信銀行共用"")), ""內部轉帳(忽略)"",
  AND(E2509&lt;&gt;"""", F2509&lt;&gt;"""", N"&amp;"OT(REGEXMATCH(C2509, ""薪資""))), ""內部轉帳(忽略)"",
  REGEXMATCH(C2509, ""薪資""), ""薪資變動(不計入)"",
  REGEXMATCH(C2509, ""押金""), ""押金往來"",
  AND(E2509&lt;&gt;"""", F2509=""""), ""真實支出"",
  AND(E2509="""", F2509&lt;&gt;""""), ""真實收入"",
  TRUE, ""其他""
)"),"真實收入")</f>
        <v>真實收入</v>
      </c>
      <c r="K2509" s="270">
        <f t="shared" si="2"/>
        <v>14300</v>
      </c>
      <c r="L2509">
        <f t="shared" si="3"/>
        <v>0</v>
      </c>
    </row>
    <row r="2510">
      <c r="A2510" s="107">
        <f>IFERROR(__xludf.DUMMYFUNCTION("""COMPUTED_VALUE"""),45901.0)</f>
        <v>45901</v>
      </c>
      <c r="B2510" t="str">
        <f>IFERROR(__xludf.DUMMYFUNCTION("""COMPUTED_VALUE"""),"[北醫醫師府] C [余典蓉] 月租金 (行號: 61)")</f>
        <v>[北醫醫師府] C [余典蓉] 月租金 (行號: 61)</v>
      </c>
      <c r="C2510" t="str">
        <f>IFERROR(__xludf.DUMMYFUNCTION("""COMPUTED_VALUE"""),"收入 - 租金")</f>
        <v>收入 - 租金</v>
      </c>
      <c r="D2510" s="270">
        <f>IFERROR(__xludf.DUMMYFUNCTION("""COMPUTED_VALUE"""),13000.0)</f>
        <v>13000</v>
      </c>
      <c r="F2510" t="str">
        <f>IFERROR(__xludf.DUMMYFUNCTION("""COMPUTED_VALUE"""),"台銀籌備帳戶")</f>
        <v>台銀籌備帳戶</v>
      </c>
      <c r="G2510" t="str">
        <f>IFERROR(__xludf.DUMMYFUNCTION("""COMPUTED_VALUE"""),"北醫醫師府")</f>
        <v>北醫醫師府</v>
      </c>
      <c r="H2510" s="106" t="str">
        <f t="shared" si="1"/>
        <v>2025-09</v>
      </c>
      <c r="I2510" s="271" t="str">
        <f>IFERROR(__xludf.DUMMYFUNCTION("""COMPUTED_VALUE"""),"貓狗企鵝")</f>
        <v>貓狗企鵝</v>
      </c>
      <c r="J2510" t="str">
        <f>IFERROR(__xludf.DUMMYFUNCTION("IFS(
  AND(REGEXMATCH(E2510, ""台銀籌備帳戶|玉山帳戶""), REGEXMATCH(C2510, ""薪資"")), ""分潤支出"",
  AND(REGEXMATCH(E2510, ""Ben帳戶|Elsa帳戶|Ben代墊|Ariel代墊|中信銀行共用""), REGEXMATCH(F2510, ""Ben帳戶|Elsa帳戶|Ben代墊|Ariel代墊|中信銀行共用"")), ""內部轉帳(忽略)"",
  AND(E2510&lt;&gt;"""", F2510&lt;&gt;"""", N"&amp;"OT(REGEXMATCH(C2510, ""薪資""))), ""內部轉帳(忽略)"",
  REGEXMATCH(C2510, ""薪資""), ""薪資變動(不計入)"",
  REGEXMATCH(C2510, ""押金""), ""押金往來"",
  AND(E2510&lt;&gt;"""", F2510=""""), ""真實支出"",
  AND(E2510="""", F2510&lt;&gt;""""), ""真實收入"",
  TRUE, ""其他""
)"),"真實收入")</f>
        <v>真實收入</v>
      </c>
      <c r="K2510" s="270">
        <f t="shared" si="2"/>
        <v>13000</v>
      </c>
      <c r="L2510">
        <f t="shared" si="3"/>
        <v>0</v>
      </c>
    </row>
    <row r="2511">
      <c r="A2511" s="107">
        <f>IFERROR(__xludf.DUMMYFUNCTION("""COMPUTED_VALUE"""),45901.0)</f>
        <v>45901</v>
      </c>
      <c r="B2511" t="str">
        <f>IFERROR(__xludf.DUMMYFUNCTION("""COMPUTED_VALUE"""),"[市府爺爺家] A [董書鵬, 張瑋珊] 月租金 (行號: 62)")</f>
        <v>[市府爺爺家] A [董書鵬, 張瑋珊] 月租金 (行號: 62)</v>
      </c>
      <c r="C2511" t="str">
        <f>IFERROR(__xludf.DUMMYFUNCTION("""COMPUTED_VALUE"""),"收入 - 租金")</f>
        <v>收入 - 租金</v>
      </c>
      <c r="D2511" s="270">
        <f>IFERROR(__xludf.DUMMYFUNCTION("""COMPUTED_VALUE"""),22000.0)</f>
        <v>22000</v>
      </c>
      <c r="F2511" t="str">
        <f>IFERROR(__xludf.DUMMYFUNCTION("""COMPUTED_VALUE"""),"台銀籌備帳戶")</f>
        <v>台銀籌備帳戶</v>
      </c>
      <c r="G2511" t="str">
        <f>IFERROR(__xludf.DUMMYFUNCTION("""COMPUTED_VALUE"""),"市府爺爺家")</f>
        <v>市府爺爺家</v>
      </c>
      <c r="H2511" s="106" t="str">
        <f t="shared" si="1"/>
        <v>2025-09</v>
      </c>
      <c r="I2511" s="271" t="str">
        <f>IFERROR(__xludf.DUMMYFUNCTION("""COMPUTED_VALUE"""),"貓狗企鵝")</f>
        <v>貓狗企鵝</v>
      </c>
      <c r="J2511" t="str">
        <f>IFERROR(__xludf.DUMMYFUNCTION("IFS(
  AND(REGEXMATCH(E2511, ""台銀籌備帳戶|玉山帳戶""), REGEXMATCH(C2511, ""薪資"")), ""分潤支出"",
  AND(REGEXMATCH(E2511, ""Ben帳戶|Elsa帳戶|Ben代墊|Ariel代墊|中信銀行共用""), REGEXMATCH(F2511, ""Ben帳戶|Elsa帳戶|Ben代墊|Ariel代墊|中信銀行共用"")), ""內部轉帳(忽略)"",
  AND(E2511&lt;&gt;"""", F2511&lt;&gt;"""", N"&amp;"OT(REGEXMATCH(C2511, ""薪資""))), ""內部轉帳(忽略)"",
  REGEXMATCH(C2511, ""薪資""), ""薪資變動(不計入)"",
  REGEXMATCH(C2511, ""押金""), ""押金往來"",
  AND(E2511&lt;&gt;"""", F2511=""""), ""真實支出"",
  AND(E2511="""", F2511&lt;&gt;""""), ""真實收入"",
  TRUE, ""其他""
)"),"真實收入")</f>
        <v>真實收入</v>
      </c>
      <c r="K2511" s="270">
        <f t="shared" si="2"/>
        <v>22000</v>
      </c>
      <c r="L2511">
        <f t="shared" si="3"/>
        <v>0</v>
      </c>
    </row>
    <row r="2512">
      <c r="A2512" s="107">
        <f>IFERROR(__xludf.DUMMYFUNCTION("""COMPUTED_VALUE"""),45901.0)</f>
        <v>45901</v>
      </c>
      <c r="B2512" t="str">
        <f>IFERROR(__xludf.DUMMYFUNCTION("""COMPUTED_VALUE"""),"[大湖山莊] D [陳昭瑄] 月租金 (行號: 63)")</f>
        <v>[大湖山莊] D [陳昭瑄] 月租金 (行號: 63)</v>
      </c>
      <c r="C2512" t="str">
        <f>IFERROR(__xludf.DUMMYFUNCTION("""COMPUTED_VALUE"""),"收入 - 租金")</f>
        <v>收入 - 租金</v>
      </c>
      <c r="D2512" s="270">
        <f>IFERROR(__xludf.DUMMYFUNCTION("""COMPUTED_VALUE"""),14300.0)</f>
        <v>14300</v>
      </c>
      <c r="F2512" t="str">
        <f>IFERROR(__xludf.DUMMYFUNCTION("""COMPUTED_VALUE"""),"台銀籌備帳戶")</f>
        <v>台銀籌備帳戶</v>
      </c>
      <c r="G2512" t="str">
        <f>IFERROR(__xludf.DUMMYFUNCTION("""COMPUTED_VALUE"""),"大湖山莊")</f>
        <v>大湖山莊</v>
      </c>
      <c r="H2512" s="106" t="str">
        <f t="shared" si="1"/>
        <v>2025-09</v>
      </c>
      <c r="I2512" s="271" t="str">
        <f>IFERROR(__xludf.DUMMYFUNCTION("""COMPUTED_VALUE"""),"貓狗企鵝")</f>
        <v>貓狗企鵝</v>
      </c>
      <c r="J2512" t="str">
        <f>IFERROR(__xludf.DUMMYFUNCTION("IFS(
  AND(REGEXMATCH(E2512, ""台銀籌備帳戶|玉山帳戶""), REGEXMATCH(C2512, ""薪資"")), ""分潤支出"",
  AND(REGEXMATCH(E2512, ""Ben帳戶|Elsa帳戶|Ben代墊|Ariel代墊|中信銀行共用""), REGEXMATCH(F2512, ""Ben帳戶|Elsa帳戶|Ben代墊|Ariel代墊|中信銀行共用"")), ""內部轉帳(忽略)"",
  AND(E2512&lt;&gt;"""", F2512&lt;&gt;"""", N"&amp;"OT(REGEXMATCH(C2512, ""薪資""))), ""內部轉帳(忽略)"",
  REGEXMATCH(C2512, ""薪資""), ""薪資變動(不計入)"",
  REGEXMATCH(C2512, ""押金""), ""押金往來"",
  AND(E2512&lt;&gt;"""", F2512=""""), ""真實支出"",
  AND(E2512="""", F2512&lt;&gt;""""), ""真實收入"",
  TRUE, ""其他""
)"),"真實收入")</f>
        <v>真實收入</v>
      </c>
      <c r="K2512" s="270">
        <f t="shared" si="2"/>
        <v>14300</v>
      </c>
      <c r="L2512">
        <f t="shared" si="3"/>
        <v>0</v>
      </c>
    </row>
    <row r="2513">
      <c r="A2513" s="107">
        <f>IFERROR(__xludf.DUMMYFUNCTION("""COMPUTED_VALUE"""),45901.0)</f>
        <v>45901</v>
      </c>
      <c r="B2513" t="str">
        <f>IFERROR(__xludf.DUMMYFUNCTION("""COMPUTED_VALUE"""),"[書香民生] F [周利安] 月租金 (行號: 64)")</f>
        <v>[書香民生] F [周利安] 月租金 (行號: 64)</v>
      </c>
      <c r="C2513" t="str">
        <f>IFERROR(__xludf.DUMMYFUNCTION("""COMPUTED_VALUE"""),"收入 - 租金")</f>
        <v>收入 - 租金</v>
      </c>
      <c r="D2513" s="270">
        <f>IFERROR(__xludf.DUMMYFUNCTION("""COMPUTED_VALUE"""),15800.0)</f>
        <v>15800</v>
      </c>
      <c r="F2513" t="str">
        <f>IFERROR(__xludf.DUMMYFUNCTION("""COMPUTED_VALUE"""),"台銀籌備帳戶")</f>
        <v>台銀籌備帳戶</v>
      </c>
      <c r="G2513" t="str">
        <f>IFERROR(__xludf.DUMMYFUNCTION("""COMPUTED_VALUE"""),"書香民生")</f>
        <v>書香民生</v>
      </c>
      <c r="H2513" s="106" t="str">
        <f t="shared" si="1"/>
        <v>2025-09</v>
      </c>
      <c r="I2513" s="271" t="str">
        <f>IFERROR(__xludf.DUMMYFUNCTION("""COMPUTED_VALUE"""),"貓狗企鵝")</f>
        <v>貓狗企鵝</v>
      </c>
      <c r="J2513" t="str">
        <f>IFERROR(__xludf.DUMMYFUNCTION("IFS(
  AND(REGEXMATCH(E2513, ""台銀籌備帳戶|玉山帳戶""), REGEXMATCH(C2513, ""薪資"")), ""分潤支出"",
  AND(REGEXMATCH(E2513, ""Ben帳戶|Elsa帳戶|Ben代墊|Ariel代墊|中信銀行共用""), REGEXMATCH(F2513, ""Ben帳戶|Elsa帳戶|Ben代墊|Ariel代墊|中信銀行共用"")), ""內部轉帳(忽略)"",
  AND(E2513&lt;&gt;"""", F2513&lt;&gt;"""", N"&amp;"OT(REGEXMATCH(C2513, ""薪資""))), ""內部轉帳(忽略)"",
  REGEXMATCH(C2513, ""薪資""), ""薪資變動(不計入)"",
  REGEXMATCH(C2513, ""押金""), ""押金往來"",
  AND(E2513&lt;&gt;"""", F2513=""""), ""真實支出"",
  AND(E2513="""", F2513&lt;&gt;""""), ""真實收入"",
  TRUE, ""其他""
)"),"真實收入")</f>
        <v>真實收入</v>
      </c>
      <c r="K2513" s="270">
        <f t="shared" si="2"/>
        <v>15800</v>
      </c>
      <c r="L2513">
        <f t="shared" si="3"/>
        <v>0</v>
      </c>
    </row>
    <row r="2514">
      <c r="A2514" s="107">
        <f>IFERROR(__xludf.DUMMYFUNCTION("""COMPUTED_VALUE"""),45901.0)</f>
        <v>45901</v>
      </c>
      <c r="B2514" t="str">
        <f>IFERROR(__xludf.DUMMYFUNCTION("""COMPUTED_VALUE"""),"[永春四號] B [袁家鳳] 月租金 (行號: 65)")</f>
        <v>[永春四號] B [袁家鳳] 月租金 (行號: 65)</v>
      </c>
      <c r="C2514" t="str">
        <f>IFERROR(__xludf.DUMMYFUNCTION("""COMPUTED_VALUE"""),"收入 - 租金")</f>
        <v>收入 - 租金</v>
      </c>
      <c r="D2514" s="270">
        <f>IFERROR(__xludf.DUMMYFUNCTION("""COMPUTED_VALUE"""),13500.0)</f>
        <v>13500</v>
      </c>
      <c r="F2514" t="str">
        <f>IFERROR(__xludf.DUMMYFUNCTION("""COMPUTED_VALUE"""),"台銀籌備帳戶")</f>
        <v>台銀籌備帳戶</v>
      </c>
      <c r="G2514" t="str">
        <f>IFERROR(__xludf.DUMMYFUNCTION("""COMPUTED_VALUE"""),"永春四號")</f>
        <v>永春四號</v>
      </c>
      <c r="H2514" s="106" t="str">
        <f t="shared" si="1"/>
        <v>2025-09</v>
      </c>
      <c r="I2514" s="271" t="str">
        <f>IFERROR(__xludf.DUMMYFUNCTION("""COMPUTED_VALUE"""),"貓狗企鵝")</f>
        <v>貓狗企鵝</v>
      </c>
      <c r="J2514" t="str">
        <f>IFERROR(__xludf.DUMMYFUNCTION("IFS(
  AND(REGEXMATCH(E2514, ""台銀籌備帳戶|玉山帳戶""), REGEXMATCH(C2514, ""薪資"")), ""分潤支出"",
  AND(REGEXMATCH(E2514, ""Ben帳戶|Elsa帳戶|Ben代墊|Ariel代墊|中信銀行共用""), REGEXMATCH(F2514, ""Ben帳戶|Elsa帳戶|Ben代墊|Ariel代墊|中信銀行共用"")), ""內部轉帳(忽略)"",
  AND(E2514&lt;&gt;"""", F2514&lt;&gt;"""", N"&amp;"OT(REGEXMATCH(C2514, ""薪資""))), ""內部轉帳(忽略)"",
  REGEXMATCH(C2514, ""薪資""), ""薪資變動(不計入)"",
  REGEXMATCH(C2514, ""押金""), ""押金往來"",
  AND(E2514&lt;&gt;"""", F2514=""""), ""真實支出"",
  AND(E2514="""", F2514&lt;&gt;""""), ""真實收入"",
  TRUE, ""其他""
)"),"真實收入")</f>
        <v>真實收入</v>
      </c>
      <c r="K2514" s="270">
        <f t="shared" si="2"/>
        <v>13500</v>
      </c>
      <c r="L2514">
        <f t="shared" si="3"/>
        <v>0</v>
      </c>
    </row>
    <row r="2515">
      <c r="A2515" s="107">
        <f>IFERROR(__xludf.DUMMYFUNCTION("""COMPUTED_VALUE"""),45901.0)</f>
        <v>45901</v>
      </c>
      <c r="B2515" t="str">
        <f>IFERROR(__xludf.DUMMYFUNCTION("""COMPUTED_VALUE"""),"[中山北娘家旁] B [李彥靜] 月租金 (行號: 66)")</f>
        <v>[中山北娘家旁] B [李彥靜] 月租金 (行號: 66)</v>
      </c>
      <c r="C2515" t="str">
        <f>IFERROR(__xludf.DUMMYFUNCTION("""COMPUTED_VALUE"""),"收入 - 租金")</f>
        <v>收入 - 租金</v>
      </c>
      <c r="D2515" s="270">
        <f>IFERROR(__xludf.DUMMYFUNCTION("""COMPUTED_VALUE"""),12500.0)</f>
        <v>12500</v>
      </c>
      <c r="F2515" t="str">
        <f>IFERROR(__xludf.DUMMYFUNCTION("""COMPUTED_VALUE"""),"台銀籌備帳戶")</f>
        <v>台銀籌備帳戶</v>
      </c>
      <c r="G2515" t="str">
        <f>IFERROR(__xludf.DUMMYFUNCTION("""COMPUTED_VALUE"""),"中山北娘家旁")</f>
        <v>中山北娘家旁</v>
      </c>
      <c r="H2515" s="106" t="str">
        <f t="shared" si="1"/>
        <v>2025-09</v>
      </c>
      <c r="I2515" s="271" t="str">
        <f>IFERROR(__xludf.DUMMYFUNCTION("""COMPUTED_VALUE"""),"貓狗企鵝")</f>
        <v>貓狗企鵝</v>
      </c>
      <c r="J2515" t="str">
        <f>IFERROR(__xludf.DUMMYFUNCTION("IFS(
  AND(REGEXMATCH(E2515, ""台銀籌備帳戶|玉山帳戶""), REGEXMATCH(C2515, ""薪資"")), ""分潤支出"",
  AND(REGEXMATCH(E2515, ""Ben帳戶|Elsa帳戶|Ben代墊|Ariel代墊|中信銀行共用""), REGEXMATCH(F2515, ""Ben帳戶|Elsa帳戶|Ben代墊|Ariel代墊|中信銀行共用"")), ""內部轉帳(忽略)"",
  AND(E2515&lt;&gt;"""", F2515&lt;&gt;"""", N"&amp;"OT(REGEXMATCH(C2515, ""薪資""))), ""內部轉帳(忽略)"",
  REGEXMATCH(C2515, ""薪資""), ""薪資變動(不計入)"",
  REGEXMATCH(C2515, ""押金""), ""押金往來"",
  AND(E2515&lt;&gt;"""", F2515=""""), ""真實支出"",
  AND(E2515="""", F2515&lt;&gt;""""), ""真實收入"",
  TRUE, ""其他""
)"),"真實收入")</f>
        <v>真實收入</v>
      </c>
      <c r="K2515" s="270">
        <f t="shared" si="2"/>
        <v>12500</v>
      </c>
      <c r="L2515">
        <f t="shared" si="3"/>
        <v>0</v>
      </c>
    </row>
    <row r="2516">
      <c r="A2516" s="107">
        <f>IFERROR(__xludf.DUMMYFUNCTION("""COMPUTED_VALUE"""),45901.0)</f>
        <v>45901</v>
      </c>
      <c r="B2516" t="str">
        <f>IFERROR(__xludf.DUMMYFUNCTION("""COMPUTED_VALUE"""),"[景安2分鐘] A [蕭宇榛] 月租金 (行號: 67)")</f>
        <v>[景安2分鐘] A [蕭宇榛] 月租金 (行號: 67)</v>
      </c>
      <c r="C2516" t="str">
        <f>IFERROR(__xludf.DUMMYFUNCTION("""COMPUTED_VALUE"""),"收入 - 租金")</f>
        <v>收入 - 租金</v>
      </c>
      <c r="D2516" s="270">
        <f>IFERROR(__xludf.DUMMYFUNCTION("""COMPUTED_VALUE"""),14500.0)</f>
        <v>14500</v>
      </c>
      <c r="F2516" t="str">
        <f>IFERROR(__xludf.DUMMYFUNCTION("""COMPUTED_VALUE"""),"台銀籌備帳戶")</f>
        <v>台銀籌備帳戶</v>
      </c>
      <c r="G2516" t="str">
        <f>IFERROR(__xludf.DUMMYFUNCTION("""COMPUTED_VALUE"""),"景安2分鐘")</f>
        <v>景安2分鐘</v>
      </c>
      <c r="H2516" s="106" t="str">
        <f t="shared" si="1"/>
        <v>2025-09</v>
      </c>
      <c r="I2516" s="271" t="str">
        <f>IFERROR(__xludf.DUMMYFUNCTION("""COMPUTED_VALUE"""),"貓狗企鵝")</f>
        <v>貓狗企鵝</v>
      </c>
      <c r="J2516" t="str">
        <f>IFERROR(__xludf.DUMMYFUNCTION("IFS(
  AND(REGEXMATCH(E2516, ""台銀籌備帳戶|玉山帳戶""), REGEXMATCH(C2516, ""薪資"")), ""分潤支出"",
  AND(REGEXMATCH(E2516, ""Ben帳戶|Elsa帳戶|Ben代墊|Ariel代墊|中信銀行共用""), REGEXMATCH(F2516, ""Ben帳戶|Elsa帳戶|Ben代墊|Ariel代墊|中信銀行共用"")), ""內部轉帳(忽略)"",
  AND(E2516&lt;&gt;"""", F2516&lt;&gt;"""", N"&amp;"OT(REGEXMATCH(C2516, ""薪資""))), ""內部轉帳(忽略)"",
  REGEXMATCH(C2516, ""薪資""), ""薪資變動(不計入)"",
  REGEXMATCH(C2516, ""押金""), ""押金往來"",
  AND(E2516&lt;&gt;"""", F2516=""""), ""真實支出"",
  AND(E2516="""", F2516&lt;&gt;""""), ""真實收入"",
  TRUE, ""其他""
)"),"真實收入")</f>
        <v>真實收入</v>
      </c>
      <c r="K2516" s="270">
        <f t="shared" si="2"/>
        <v>14500</v>
      </c>
      <c r="L2516">
        <f t="shared" si="3"/>
        <v>0</v>
      </c>
    </row>
    <row r="2517">
      <c r="A2517" s="107">
        <f>IFERROR(__xludf.DUMMYFUNCTION("""COMPUTED_VALUE"""),45901.0)</f>
        <v>45901</v>
      </c>
      <c r="B2517" t="str">
        <f>IFERROR(__xludf.DUMMYFUNCTION("""COMPUTED_VALUE"""),"[中山北Feli家] B [杜思瑀, 陳廷瀀] 月租金 (行號: 68)")</f>
        <v>[中山北Feli家] B [杜思瑀, 陳廷瀀] 月租金 (行號: 68)</v>
      </c>
      <c r="C2517" t="str">
        <f>IFERROR(__xludf.DUMMYFUNCTION("""COMPUTED_VALUE"""),"收入 - 租金")</f>
        <v>收入 - 租金</v>
      </c>
      <c r="D2517" s="270">
        <f>IFERROR(__xludf.DUMMYFUNCTION("""COMPUTED_VALUE"""),17500.0)</f>
        <v>17500</v>
      </c>
      <c r="F2517" t="str">
        <f>IFERROR(__xludf.DUMMYFUNCTION("""COMPUTED_VALUE"""),"台銀籌備帳戶")</f>
        <v>台銀籌備帳戶</v>
      </c>
      <c r="G2517" t="str">
        <f>IFERROR(__xludf.DUMMYFUNCTION("""COMPUTED_VALUE"""),"中山北Feli家")</f>
        <v>中山北Feli家</v>
      </c>
      <c r="H2517" s="106" t="str">
        <f t="shared" si="1"/>
        <v>2025-09</v>
      </c>
      <c r="I2517" s="271" t="str">
        <f>IFERROR(__xludf.DUMMYFUNCTION("""COMPUTED_VALUE"""),"貓狗企鵝")</f>
        <v>貓狗企鵝</v>
      </c>
      <c r="J2517" t="str">
        <f>IFERROR(__xludf.DUMMYFUNCTION("IFS(
  AND(REGEXMATCH(E2517, ""台銀籌備帳戶|玉山帳戶""), REGEXMATCH(C2517, ""薪資"")), ""分潤支出"",
  AND(REGEXMATCH(E2517, ""Ben帳戶|Elsa帳戶|Ben代墊|Ariel代墊|中信銀行共用""), REGEXMATCH(F2517, ""Ben帳戶|Elsa帳戶|Ben代墊|Ariel代墊|中信銀行共用"")), ""內部轉帳(忽略)"",
  AND(E2517&lt;&gt;"""", F2517&lt;&gt;"""", N"&amp;"OT(REGEXMATCH(C2517, ""薪資""))), ""內部轉帳(忽略)"",
  REGEXMATCH(C2517, ""薪資""), ""薪資變動(不計入)"",
  REGEXMATCH(C2517, ""押金""), ""押金往來"",
  AND(E2517&lt;&gt;"""", F2517=""""), ""真實支出"",
  AND(E2517="""", F2517&lt;&gt;""""), ""真實收入"",
  TRUE, ""其他""
)"),"真實收入")</f>
        <v>真實收入</v>
      </c>
      <c r="K2517" s="270">
        <f t="shared" si="2"/>
        <v>17500</v>
      </c>
      <c r="L2517">
        <f t="shared" si="3"/>
        <v>0</v>
      </c>
    </row>
    <row r="2518">
      <c r="A2518" s="107">
        <f>IFERROR(__xludf.DUMMYFUNCTION("""COMPUTED_VALUE"""),45901.0)</f>
        <v>45901</v>
      </c>
      <c r="B2518" t="str">
        <f>IFERROR(__xludf.DUMMYFUNCTION("""COMPUTED_VALUE"""),"[哈拉對面] A [何丞翊] 月租金 (行號: 69)")</f>
        <v>[哈拉對面] A [何丞翊] 月租金 (行號: 69)</v>
      </c>
      <c r="C2518" t="str">
        <f>IFERROR(__xludf.DUMMYFUNCTION("""COMPUTED_VALUE"""),"收入 - 租金")</f>
        <v>收入 - 租金</v>
      </c>
      <c r="D2518" s="270">
        <f>IFERROR(__xludf.DUMMYFUNCTION("""COMPUTED_VALUE"""),11000.0)</f>
        <v>11000</v>
      </c>
      <c r="F2518" t="str">
        <f>IFERROR(__xludf.DUMMYFUNCTION("""COMPUTED_VALUE"""),"台銀籌備帳戶")</f>
        <v>台銀籌備帳戶</v>
      </c>
      <c r="G2518" t="str">
        <f>IFERROR(__xludf.DUMMYFUNCTION("""COMPUTED_VALUE"""),"哈拉對面")</f>
        <v>哈拉對面</v>
      </c>
      <c r="H2518" s="106" t="str">
        <f t="shared" si="1"/>
        <v>2025-09</v>
      </c>
      <c r="I2518" s="271" t="str">
        <f>IFERROR(__xludf.DUMMYFUNCTION("""COMPUTED_VALUE"""),"貓狗企鵝")</f>
        <v>貓狗企鵝</v>
      </c>
      <c r="J2518" t="str">
        <f>IFERROR(__xludf.DUMMYFUNCTION("IFS(
  AND(REGEXMATCH(E2518, ""台銀籌備帳戶|玉山帳戶""), REGEXMATCH(C2518, ""薪資"")), ""分潤支出"",
  AND(REGEXMATCH(E2518, ""Ben帳戶|Elsa帳戶|Ben代墊|Ariel代墊|中信銀行共用""), REGEXMATCH(F2518, ""Ben帳戶|Elsa帳戶|Ben代墊|Ariel代墊|中信銀行共用"")), ""內部轉帳(忽略)"",
  AND(E2518&lt;&gt;"""", F2518&lt;&gt;"""", N"&amp;"OT(REGEXMATCH(C2518, ""薪資""))), ""內部轉帳(忽略)"",
  REGEXMATCH(C2518, ""薪資""), ""薪資變動(不計入)"",
  REGEXMATCH(C2518, ""押金""), ""押金往來"",
  AND(E2518&lt;&gt;"""", F2518=""""), ""真實支出"",
  AND(E2518="""", F2518&lt;&gt;""""), ""真實收入"",
  TRUE, ""其他""
)"),"真實收入")</f>
        <v>真實收入</v>
      </c>
      <c r="K2518" s="270">
        <f t="shared" si="2"/>
        <v>11000</v>
      </c>
      <c r="L2518">
        <f t="shared" si="3"/>
        <v>0</v>
      </c>
    </row>
    <row r="2519">
      <c r="A2519" s="107">
        <f>IFERROR(__xludf.DUMMYFUNCTION("""COMPUTED_VALUE"""),45901.0)</f>
        <v>45901</v>
      </c>
      <c r="B2519" t="str">
        <f>IFERROR(__xludf.DUMMYFUNCTION("""COMPUTED_VALUE"""),"[永春四號] C [林聿妡] 月租金 (行號: 70)")</f>
        <v>[永春四號] C [林聿妡] 月租金 (行號: 70)</v>
      </c>
      <c r="C2519" t="str">
        <f>IFERROR(__xludf.DUMMYFUNCTION("""COMPUTED_VALUE"""),"收入 - 租金")</f>
        <v>收入 - 租金</v>
      </c>
      <c r="D2519" s="270">
        <f>IFERROR(__xludf.DUMMYFUNCTION("""COMPUTED_VALUE"""),12800.0)</f>
        <v>12800</v>
      </c>
      <c r="F2519" t="str">
        <f>IFERROR(__xludf.DUMMYFUNCTION("""COMPUTED_VALUE"""),"台銀籌備帳戶")</f>
        <v>台銀籌備帳戶</v>
      </c>
      <c r="G2519" t="str">
        <f>IFERROR(__xludf.DUMMYFUNCTION("""COMPUTED_VALUE"""),"永春四號")</f>
        <v>永春四號</v>
      </c>
      <c r="H2519" s="106" t="str">
        <f t="shared" si="1"/>
        <v>2025-09</v>
      </c>
      <c r="I2519" s="271" t="str">
        <f>IFERROR(__xludf.DUMMYFUNCTION("""COMPUTED_VALUE"""),"貓狗企鵝")</f>
        <v>貓狗企鵝</v>
      </c>
      <c r="J2519" t="str">
        <f>IFERROR(__xludf.DUMMYFUNCTION("IFS(
  AND(REGEXMATCH(E2519, ""台銀籌備帳戶|玉山帳戶""), REGEXMATCH(C2519, ""薪資"")), ""分潤支出"",
  AND(REGEXMATCH(E2519, ""Ben帳戶|Elsa帳戶|Ben代墊|Ariel代墊|中信銀行共用""), REGEXMATCH(F2519, ""Ben帳戶|Elsa帳戶|Ben代墊|Ariel代墊|中信銀行共用"")), ""內部轉帳(忽略)"",
  AND(E2519&lt;&gt;"""", F2519&lt;&gt;"""", N"&amp;"OT(REGEXMATCH(C2519, ""薪資""))), ""內部轉帳(忽略)"",
  REGEXMATCH(C2519, ""薪資""), ""薪資變動(不計入)"",
  REGEXMATCH(C2519, ""押金""), ""押金往來"",
  AND(E2519&lt;&gt;"""", F2519=""""), ""真實支出"",
  AND(E2519="""", F2519&lt;&gt;""""), ""真實收入"",
  TRUE, ""其他""
)"),"真實收入")</f>
        <v>真實收入</v>
      </c>
      <c r="K2519" s="270">
        <f t="shared" si="2"/>
        <v>12800</v>
      </c>
      <c r="L2519">
        <f t="shared" si="3"/>
        <v>0</v>
      </c>
    </row>
    <row r="2520">
      <c r="A2520" s="107">
        <f>IFERROR(__xludf.DUMMYFUNCTION("""COMPUTED_VALUE"""),45901.0)</f>
        <v>45901</v>
      </c>
      <c r="B2520" t="str">
        <f>IFERROR(__xludf.DUMMYFUNCTION("""COMPUTED_VALUE"""),"[中山北娘家旁] A [李亨加] 月租金 (行號: 71, 72)")</f>
        <v>[中山北娘家旁] A [李亨加] 月租金 (行號: 71, 72)</v>
      </c>
      <c r="C2520" t="str">
        <f>IFERROR(__xludf.DUMMYFUNCTION("""COMPUTED_VALUE"""),"收入 - 租金")</f>
        <v>收入 - 租金</v>
      </c>
      <c r="D2520" s="270">
        <f>IFERROR(__xludf.DUMMYFUNCTION("""COMPUTED_VALUE"""),12500.0)</f>
        <v>12500</v>
      </c>
      <c r="F2520" t="str">
        <f>IFERROR(__xludf.DUMMYFUNCTION("""COMPUTED_VALUE"""),"台銀籌備帳戶")</f>
        <v>台銀籌備帳戶</v>
      </c>
      <c r="G2520" t="str">
        <f>IFERROR(__xludf.DUMMYFUNCTION("""COMPUTED_VALUE"""),"中山北娘家旁")</f>
        <v>中山北娘家旁</v>
      </c>
      <c r="H2520" s="106" t="str">
        <f t="shared" si="1"/>
        <v>2025-09</v>
      </c>
      <c r="I2520" s="271" t="str">
        <f>IFERROR(__xludf.DUMMYFUNCTION("""COMPUTED_VALUE"""),"貓狗企鵝")</f>
        <v>貓狗企鵝</v>
      </c>
      <c r="J2520" t="str">
        <f>IFERROR(__xludf.DUMMYFUNCTION("IFS(
  AND(REGEXMATCH(E2520, ""台銀籌備帳戶|玉山帳戶""), REGEXMATCH(C2520, ""薪資"")), ""分潤支出"",
  AND(REGEXMATCH(E2520, ""Ben帳戶|Elsa帳戶|Ben代墊|Ariel代墊|中信銀行共用""), REGEXMATCH(F2520, ""Ben帳戶|Elsa帳戶|Ben代墊|Ariel代墊|中信銀行共用"")), ""內部轉帳(忽略)"",
  AND(E2520&lt;&gt;"""", F2520&lt;&gt;"""", N"&amp;"OT(REGEXMATCH(C2520, ""薪資""))), ""內部轉帳(忽略)"",
  REGEXMATCH(C2520, ""薪資""), ""薪資變動(不計入)"",
  REGEXMATCH(C2520, ""押金""), ""押金往來"",
  AND(E2520&lt;&gt;"""", F2520=""""), ""真實支出"",
  AND(E2520="""", F2520&lt;&gt;""""), ""真實收入"",
  TRUE, ""其他""
)"),"真實收入")</f>
        <v>真實收入</v>
      </c>
      <c r="K2520" s="270">
        <f t="shared" si="2"/>
        <v>12500</v>
      </c>
      <c r="L2520">
        <f t="shared" si="3"/>
        <v>0</v>
      </c>
    </row>
    <row r="2521">
      <c r="A2521" s="107">
        <f>IFERROR(__xludf.DUMMYFUNCTION("""COMPUTED_VALUE"""),45901.0)</f>
        <v>45901</v>
      </c>
      <c r="B2521" t="str">
        <f>IFERROR(__xludf.DUMMYFUNCTION("""COMPUTED_VALUE"""),"[大湖山莊] E [吳宗祐] 月租金 (行號: 73)")</f>
        <v>[大湖山莊] E [吳宗祐] 月租金 (行號: 73)</v>
      </c>
      <c r="C2521" t="str">
        <f>IFERROR(__xludf.DUMMYFUNCTION("""COMPUTED_VALUE"""),"收入 - 租金")</f>
        <v>收入 - 租金</v>
      </c>
      <c r="D2521" s="270">
        <f>IFERROR(__xludf.DUMMYFUNCTION("""COMPUTED_VALUE"""),11500.0)</f>
        <v>11500</v>
      </c>
      <c r="F2521" t="str">
        <f>IFERROR(__xludf.DUMMYFUNCTION("""COMPUTED_VALUE"""),"台銀籌備帳戶")</f>
        <v>台銀籌備帳戶</v>
      </c>
      <c r="G2521" t="str">
        <f>IFERROR(__xludf.DUMMYFUNCTION("""COMPUTED_VALUE"""),"大湖山莊")</f>
        <v>大湖山莊</v>
      </c>
      <c r="H2521" s="106" t="str">
        <f t="shared" si="1"/>
        <v>2025-09</v>
      </c>
      <c r="I2521" s="271" t="str">
        <f>IFERROR(__xludf.DUMMYFUNCTION("""COMPUTED_VALUE"""),"貓狗企鵝")</f>
        <v>貓狗企鵝</v>
      </c>
      <c r="J2521" t="str">
        <f>IFERROR(__xludf.DUMMYFUNCTION("IFS(
  AND(REGEXMATCH(E2521, ""台銀籌備帳戶|玉山帳戶""), REGEXMATCH(C2521, ""薪資"")), ""分潤支出"",
  AND(REGEXMATCH(E2521, ""Ben帳戶|Elsa帳戶|Ben代墊|Ariel代墊|中信銀行共用""), REGEXMATCH(F2521, ""Ben帳戶|Elsa帳戶|Ben代墊|Ariel代墊|中信銀行共用"")), ""內部轉帳(忽略)"",
  AND(E2521&lt;&gt;"""", F2521&lt;&gt;"""", N"&amp;"OT(REGEXMATCH(C2521, ""薪資""))), ""內部轉帳(忽略)"",
  REGEXMATCH(C2521, ""薪資""), ""薪資變動(不計入)"",
  REGEXMATCH(C2521, ""押金""), ""押金往來"",
  AND(E2521&lt;&gt;"""", F2521=""""), ""真實支出"",
  AND(E2521="""", F2521&lt;&gt;""""), ""真實收入"",
  TRUE, ""其他""
)"),"真實收入")</f>
        <v>真實收入</v>
      </c>
      <c r="K2521" s="270">
        <f t="shared" si="2"/>
        <v>11500</v>
      </c>
      <c r="L2521">
        <f t="shared" si="3"/>
        <v>0</v>
      </c>
    </row>
    <row r="2522">
      <c r="A2522" s="107">
        <f>IFERROR(__xludf.DUMMYFUNCTION("""COMPUTED_VALUE"""),45901.0)</f>
        <v>45901</v>
      </c>
      <c r="B2522" t="str">
        <f>IFERROR(__xludf.DUMMYFUNCTION("""COMPUTED_VALUE""")," [北醫醫師府] E [楊東憲] 合約 CR00133 (行號: 76)")</f>
        <v> [北醫醫師府] E [楊東憲] 合約 CR00133 (行號: 76)</v>
      </c>
      <c r="C2522" t="str">
        <f>IFERROR(__xludf.DUMMYFUNCTION("""COMPUTED_VALUE"""),"收入 - 租金")</f>
        <v>收入 - 租金</v>
      </c>
      <c r="D2522" s="270">
        <f>IFERROR(__xludf.DUMMYFUNCTION("""COMPUTED_VALUE"""),29600.0)</f>
        <v>29600</v>
      </c>
      <c r="F2522" t="str">
        <f>IFERROR(__xludf.DUMMYFUNCTION("""COMPUTED_VALUE"""),"台銀籌備帳戶")</f>
        <v>台銀籌備帳戶</v>
      </c>
      <c r="G2522" t="str">
        <f>IFERROR(__xludf.DUMMYFUNCTION("""COMPUTED_VALUE"""),"北醫醫師府")</f>
        <v>北醫醫師府</v>
      </c>
      <c r="H2522" s="106" t="str">
        <f t="shared" si="1"/>
        <v>2025-09</v>
      </c>
      <c r="I2522" s="271" t="str">
        <f>IFERROR(__xludf.DUMMYFUNCTION("""COMPUTED_VALUE"""),"貓狗企鵝")</f>
        <v>貓狗企鵝</v>
      </c>
      <c r="J2522" t="str">
        <f>IFERROR(__xludf.DUMMYFUNCTION("IFS(
  AND(REGEXMATCH(E2522, ""台銀籌備帳戶|玉山帳戶""), REGEXMATCH(C2522, ""薪資"")), ""分潤支出"",
  AND(REGEXMATCH(E2522, ""Ben帳戶|Elsa帳戶|Ben代墊|Ariel代墊|中信銀行共用""), REGEXMATCH(F2522, ""Ben帳戶|Elsa帳戶|Ben代墊|Ariel代墊|中信銀行共用"")), ""內部轉帳(忽略)"",
  AND(E2522&lt;&gt;"""", F2522&lt;&gt;"""", N"&amp;"OT(REGEXMATCH(C2522, ""薪資""))), ""內部轉帳(忽略)"",
  REGEXMATCH(C2522, ""薪資""), ""薪資變動(不計入)"",
  REGEXMATCH(C2522, ""押金""), ""押金往來"",
  AND(E2522&lt;&gt;"""", F2522=""""), ""真實支出"",
  AND(E2522="""", F2522&lt;&gt;""""), ""真實收入"",
  TRUE, ""其他""
)"),"真實收入")</f>
        <v>真實收入</v>
      </c>
      <c r="K2522" s="270">
        <f t="shared" si="2"/>
        <v>29600</v>
      </c>
      <c r="L2522">
        <f t="shared" si="3"/>
        <v>0</v>
      </c>
    </row>
    <row r="2523">
      <c r="A2523" s="107">
        <f>IFERROR(__xludf.DUMMYFUNCTION("""COMPUTED_VALUE"""),45901.0)</f>
        <v>45901</v>
      </c>
      <c r="B2523" t="str">
        <f>IFERROR(__xludf.DUMMYFUNCTION("""COMPUTED_VALUE"""),"[書香民生] G [朱彥蓉] 月租金 (行號: 77)")</f>
        <v>[書香民生] G [朱彥蓉] 月租金 (行號: 77)</v>
      </c>
      <c r="C2523" t="str">
        <f>IFERROR(__xludf.DUMMYFUNCTION("""COMPUTED_VALUE"""),"收入 - 租金")</f>
        <v>收入 - 租金</v>
      </c>
      <c r="D2523" s="270">
        <f>IFERROR(__xludf.DUMMYFUNCTION("""COMPUTED_VALUE"""),16800.0)</f>
        <v>16800</v>
      </c>
      <c r="F2523" t="str">
        <f>IFERROR(__xludf.DUMMYFUNCTION("""COMPUTED_VALUE"""),"台銀籌備帳戶")</f>
        <v>台銀籌備帳戶</v>
      </c>
      <c r="G2523" t="str">
        <f>IFERROR(__xludf.DUMMYFUNCTION("""COMPUTED_VALUE"""),"書香民生")</f>
        <v>書香民生</v>
      </c>
      <c r="H2523" s="106" t="str">
        <f t="shared" si="1"/>
        <v>2025-09</v>
      </c>
      <c r="I2523" s="271" t="str">
        <f>IFERROR(__xludf.DUMMYFUNCTION("""COMPUTED_VALUE"""),"貓狗企鵝")</f>
        <v>貓狗企鵝</v>
      </c>
      <c r="J2523" t="str">
        <f>IFERROR(__xludf.DUMMYFUNCTION("IFS(
  AND(REGEXMATCH(E2523, ""台銀籌備帳戶|玉山帳戶""), REGEXMATCH(C2523, ""薪資"")), ""分潤支出"",
  AND(REGEXMATCH(E2523, ""Ben帳戶|Elsa帳戶|Ben代墊|Ariel代墊|中信銀行共用""), REGEXMATCH(F2523, ""Ben帳戶|Elsa帳戶|Ben代墊|Ariel代墊|中信銀行共用"")), ""內部轉帳(忽略)"",
  AND(E2523&lt;&gt;"""", F2523&lt;&gt;"""", N"&amp;"OT(REGEXMATCH(C2523, ""薪資""))), ""內部轉帳(忽略)"",
  REGEXMATCH(C2523, ""薪資""), ""薪資變動(不計入)"",
  REGEXMATCH(C2523, ""押金""), ""押金往來"",
  AND(E2523&lt;&gt;"""", F2523=""""), ""真實支出"",
  AND(E2523="""", F2523&lt;&gt;""""), ""真實收入"",
  TRUE, ""其他""
)"),"真實收入")</f>
        <v>真實收入</v>
      </c>
      <c r="K2523" s="270">
        <f t="shared" si="2"/>
        <v>16800</v>
      </c>
      <c r="L2523">
        <f t="shared" si="3"/>
        <v>0</v>
      </c>
    </row>
    <row r="2524">
      <c r="A2524" s="107">
        <f>IFERROR(__xludf.DUMMYFUNCTION("""COMPUTED_VALUE"""),45901.0)</f>
        <v>45901</v>
      </c>
      <c r="B2524" t="str">
        <f>IFERROR(__xludf.DUMMYFUNCTION("""COMPUTED_VALUE"""),"[哈拉對面] C [徐鉦庭] 月租金 (行號: 78)")</f>
        <v>[哈拉對面] C [徐鉦庭] 月租金 (行號: 78)</v>
      </c>
      <c r="C2524" t="str">
        <f>IFERROR(__xludf.DUMMYFUNCTION("""COMPUTED_VALUE"""),"收入 - 租金")</f>
        <v>收入 - 租金</v>
      </c>
      <c r="D2524" s="270">
        <f>IFERROR(__xludf.DUMMYFUNCTION("""COMPUTED_VALUE"""),11800.0)</f>
        <v>11800</v>
      </c>
      <c r="F2524" t="str">
        <f>IFERROR(__xludf.DUMMYFUNCTION("""COMPUTED_VALUE"""),"台銀籌備帳戶")</f>
        <v>台銀籌備帳戶</v>
      </c>
      <c r="G2524" t="str">
        <f>IFERROR(__xludf.DUMMYFUNCTION("""COMPUTED_VALUE"""),"哈拉對面")</f>
        <v>哈拉對面</v>
      </c>
      <c r="H2524" s="106" t="str">
        <f t="shared" si="1"/>
        <v>2025-09</v>
      </c>
      <c r="I2524" s="271" t="str">
        <f>IFERROR(__xludf.DUMMYFUNCTION("""COMPUTED_VALUE"""),"貓狗企鵝")</f>
        <v>貓狗企鵝</v>
      </c>
      <c r="J2524" t="str">
        <f>IFERROR(__xludf.DUMMYFUNCTION("IFS(
  AND(REGEXMATCH(E2524, ""台銀籌備帳戶|玉山帳戶""), REGEXMATCH(C2524, ""薪資"")), ""分潤支出"",
  AND(REGEXMATCH(E2524, ""Ben帳戶|Elsa帳戶|Ben代墊|Ariel代墊|中信銀行共用""), REGEXMATCH(F2524, ""Ben帳戶|Elsa帳戶|Ben代墊|Ariel代墊|中信銀行共用"")), ""內部轉帳(忽略)"",
  AND(E2524&lt;&gt;"""", F2524&lt;&gt;"""", N"&amp;"OT(REGEXMATCH(C2524, ""薪資""))), ""內部轉帳(忽略)"",
  REGEXMATCH(C2524, ""薪資""), ""薪資變動(不計入)"",
  REGEXMATCH(C2524, ""押金""), ""押金往來"",
  AND(E2524&lt;&gt;"""", F2524=""""), ""真實支出"",
  AND(E2524="""", F2524&lt;&gt;""""), ""真實收入"",
  TRUE, ""其他""
)"),"真實收入")</f>
        <v>真實收入</v>
      </c>
      <c r="K2524" s="270">
        <f t="shared" si="2"/>
        <v>11800</v>
      </c>
      <c r="L2524">
        <f t="shared" si="3"/>
        <v>0</v>
      </c>
    </row>
    <row r="2525">
      <c r="A2525" s="107">
        <f>IFERROR(__xludf.DUMMYFUNCTION("""COMPUTED_VALUE"""),45901.0)</f>
        <v>45901</v>
      </c>
      <c r="B2525" t="str">
        <f>IFERROR(__xludf.DUMMYFUNCTION("""COMPUTED_VALUE"""),"[金龍帽子先生] D [林紫婕] 月租金 (行號: 79)")</f>
        <v>[金龍帽子先生] D [林紫婕] 月租金 (行號: 79)</v>
      </c>
      <c r="C2525" t="str">
        <f>IFERROR(__xludf.DUMMYFUNCTION("""COMPUTED_VALUE"""),"收入 - 租金")</f>
        <v>收入 - 租金</v>
      </c>
      <c r="D2525" s="270">
        <f>IFERROR(__xludf.DUMMYFUNCTION("""COMPUTED_VALUE"""),14500.0)</f>
        <v>14500</v>
      </c>
      <c r="F2525" t="str">
        <f>IFERROR(__xludf.DUMMYFUNCTION("""COMPUTED_VALUE"""),"台銀籌備帳戶")</f>
        <v>台銀籌備帳戶</v>
      </c>
      <c r="G2525" t="str">
        <f>IFERROR(__xludf.DUMMYFUNCTION("""COMPUTED_VALUE"""),"金龍帽子先生")</f>
        <v>金龍帽子先生</v>
      </c>
      <c r="H2525" s="106" t="str">
        <f t="shared" si="1"/>
        <v>2025-09</v>
      </c>
      <c r="I2525" s="271" t="str">
        <f>IFERROR(__xludf.DUMMYFUNCTION("""COMPUTED_VALUE"""),"貓狗企鵝")</f>
        <v>貓狗企鵝</v>
      </c>
      <c r="J2525" t="str">
        <f>IFERROR(__xludf.DUMMYFUNCTION("IFS(
  AND(REGEXMATCH(E2525, ""台銀籌備帳戶|玉山帳戶""), REGEXMATCH(C2525, ""薪資"")), ""分潤支出"",
  AND(REGEXMATCH(E2525, ""Ben帳戶|Elsa帳戶|Ben代墊|Ariel代墊|中信銀行共用""), REGEXMATCH(F2525, ""Ben帳戶|Elsa帳戶|Ben代墊|Ariel代墊|中信銀行共用"")), ""內部轉帳(忽略)"",
  AND(E2525&lt;&gt;"""", F2525&lt;&gt;"""", N"&amp;"OT(REGEXMATCH(C2525, ""薪資""))), ""內部轉帳(忽略)"",
  REGEXMATCH(C2525, ""薪資""), ""薪資變動(不計入)"",
  REGEXMATCH(C2525, ""押金""), ""押金往來"",
  AND(E2525&lt;&gt;"""", F2525=""""), ""真實支出"",
  AND(E2525="""", F2525&lt;&gt;""""), ""真實收入"",
  TRUE, ""其他""
)"),"真實收入")</f>
        <v>真實收入</v>
      </c>
      <c r="K2525" s="270">
        <f t="shared" si="2"/>
        <v>14500</v>
      </c>
      <c r="L2525">
        <f t="shared" si="3"/>
        <v>0</v>
      </c>
    </row>
    <row r="2526">
      <c r="A2526" s="107">
        <f>IFERROR(__xludf.DUMMYFUNCTION("""COMPUTED_VALUE"""),45901.0)</f>
        <v>45901</v>
      </c>
      <c r="B2526" t="str">
        <f>IFERROR(__xludf.DUMMYFUNCTION("""COMPUTED_VALUE"""),"[書香民生] E [劉祐安] 月租金 (行號: 80)")</f>
        <v>[書香民生] E [劉祐安] 月租金 (行號: 80)</v>
      </c>
      <c r="C2526" t="str">
        <f>IFERROR(__xludf.DUMMYFUNCTION("""COMPUTED_VALUE"""),"收入 - 租金")</f>
        <v>收入 - 租金</v>
      </c>
      <c r="D2526" s="270">
        <f>IFERROR(__xludf.DUMMYFUNCTION("""COMPUTED_VALUE"""),17800.0)</f>
        <v>17800</v>
      </c>
      <c r="F2526" t="str">
        <f>IFERROR(__xludf.DUMMYFUNCTION("""COMPUTED_VALUE"""),"台銀籌備帳戶")</f>
        <v>台銀籌備帳戶</v>
      </c>
      <c r="G2526" t="str">
        <f>IFERROR(__xludf.DUMMYFUNCTION("""COMPUTED_VALUE"""),"書香民生")</f>
        <v>書香民生</v>
      </c>
      <c r="H2526" s="106" t="str">
        <f t="shared" si="1"/>
        <v>2025-09</v>
      </c>
      <c r="I2526" s="271" t="str">
        <f>IFERROR(__xludf.DUMMYFUNCTION("""COMPUTED_VALUE"""),"貓狗企鵝")</f>
        <v>貓狗企鵝</v>
      </c>
      <c r="J2526" t="str">
        <f>IFERROR(__xludf.DUMMYFUNCTION("IFS(
  AND(REGEXMATCH(E2526, ""台銀籌備帳戶|玉山帳戶""), REGEXMATCH(C2526, ""薪資"")), ""分潤支出"",
  AND(REGEXMATCH(E2526, ""Ben帳戶|Elsa帳戶|Ben代墊|Ariel代墊|中信銀行共用""), REGEXMATCH(F2526, ""Ben帳戶|Elsa帳戶|Ben代墊|Ariel代墊|中信銀行共用"")), ""內部轉帳(忽略)"",
  AND(E2526&lt;&gt;"""", F2526&lt;&gt;"""", N"&amp;"OT(REGEXMATCH(C2526, ""薪資""))), ""內部轉帳(忽略)"",
  REGEXMATCH(C2526, ""薪資""), ""薪資變動(不計入)"",
  REGEXMATCH(C2526, ""押金""), ""押金往來"",
  AND(E2526&lt;&gt;"""", F2526=""""), ""真實支出"",
  AND(E2526="""", F2526&lt;&gt;""""), ""真實收入"",
  TRUE, ""其他""
)"),"真實收入")</f>
        <v>真實收入</v>
      </c>
      <c r="K2526" s="270">
        <f t="shared" si="2"/>
        <v>17800</v>
      </c>
      <c r="L2526">
        <f t="shared" si="3"/>
        <v>0</v>
      </c>
    </row>
    <row r="2527">
      <c r="A2527" s="107">
        <f>IFERROR(__xludf.DUMMYFUNCTION("""COMPUTED_VALUE"""),45901.0)</f>
        <v>45901</v>
      </c>
      <c r="B2527" t="str">
        <f>IFERROR(__xludf.DUMMYFUNCTION("""COMPUTED_VALUE"""),"[南港站挑高宅] A [莊以祺] 月租金 (行號: 81)")</f>
        <v>[南港站挑高宅] A [莊以祺] 月租金 (行號: 81)</v>
      </c>
      <c r="C2527" t="str">
        <f>IFERROR(__xludf.DUMMYFUNCTION("""COMPUTED_VALUE"""),"收入 - 租金")</f>
        <v>收入 - 租金</v>
      </c>
      <c r="D2527" s="270">
        <f>IFERROR(__xludf.DUMMYFUNCTION("""COMPUTED_VALUE"""),13000.0)</f>
        <v>13000</v>
      </c>
      <c r="F2527" t="str">
        <f>IFERROR(__xludf.DUMMYFUNCTION("""COMPUTED_VALUE"""),"台銀籌備帳戶")</f>
        <v>台銀籌備帳戶</v>
      </c>
      <c r="G2527" t="str">
        <f>IFERROR(__xludf.DUMMYFUNCTION("""COMPUTED_VALUE"""),"南港站挑高宅")</f>
        <v>南港站挑高宅</v>
      </c>
      <c r="H2527" s="106" t="str">
        <f t="shared" si="1"/>
        <v>2025-09</v>
      </c>
      <c r="I2527" s="271" t="str">
        <f>IFERROR(__xludf.DUMMYFUNCTION("""COMPUTED_VALUE"""),"貓狗企鵝")</f>
        <v>貓狗企鵝</v>
      </c>
      <c r="J2527" t="str">
        <f>IFERROR(__xludf.DUMMYFUNCTION("IFS(
  AND(REGEXMATCH(E2527, ""台銀籌備帳戶|玉山帳戶""), REGEXMATCH(C2527, ""薪資"")), ""分潤支出"",
  AND(REGEXMATCH(E2527, ""Ben帳戶|Elsa帳戶|Ben代墊|Ariel代墊|中信銀行共用""), REGEXMATCH(F2527, ""Ben帳戶|Elsa帳戶|Ben代墊|Ariel代墊|中信銀行共用"")), ""內部轉帳(忽略)"",
  AND(E2527&lt;&gt;"""", F2527&lt;&gt;"""", N"&amp;"OT(REGEXMATCH(C2527, ""薪資""))), ""內部轉帳(忽略)"",
  REGEXMATCH(C2527, ""薪資""), ""薪資變動(不計入)"",
  REGEXMATCH(C2527, ""押金""), ""押金往來"",
  AND(E2527&lt;&gt;"""", F2527=""""), ""真實支出"",
  AND(E2527="""", F2527&lt;&gt;""""), ""真實收入"",
  TRUE, ""其他""
)"),"真實收入")</f>
        <v>真實收入</v>
      </c>
      <c r="K2527" s="270">
        <f t="shared" si="2"/>
        <v>13000</v>
      </c>
      <c r="L2527">
        <f t="shared" si="3"/>
        <v>0</v>
      </c>
    </row>
    <row r="2528">
      <c r="A2528" s="107">
        <f>IFERROR(__xludf.DUMMYFUNCTION("""COMPUTED_VALUE"""),45901.0)</f>
        <v>45901</v>
      </c>
      <c r="B2528" t="str">
        <f>IFERROR(__xludf.DUMMYFUNCTION("""COMPUTED_VALUE"""),"[中山北娘家旁] D [洪琦媜] 月租金 (行號: 82)")</f>
        <v>[中山北娘家旁] D [洪琦媜] 月租金 (行號: 82)</v>
      </c>
      <c r="C2528" t="str">
        <f>IFERROR(__xludf.DUMMYFUNCTION("""COMPUTED_VALUE"""),"收入 - 租金")</f>
        <v>收入 - 租金</v>
      </c>
      <c r="D2528" s="270">
        <f>IFERROR(__xludf.DUMMYFUNCTION("""COMPUTED_VALUE"""),14500.0)</f>
        <v>14500</v>
      </c>
      <c r="F2528" t="str">
        <f>IFERROR(__xludf.DUMMYFUNCTION("""COMPUTED_VALUE"""),"台銀籌備帳戶")</f>
        <v>台銀籌備帳戶</v>
      </c>
      <c r="G2528" t="str">
        <f>IFERROR(__xludf.DUMMYFUNCTION("""COMPUTED_VALUE"""),"中山北娘家旁")</f>
        <v>中山北娘家旁</v>
      </c>
      <c r="H2528" s="106" t="str">
        <f t="shared" si="1"/>
        <v>2025-09</v>
      </c>
      <c r="I2528" s="271" t="str">
        <f>IFERROR(__xludf.DUMMYFUNCTION("""COMPUTED_VALUE"""),"貓狗企鵝")</f>
        <v>貓狗企鵝</v>
      </c>
      <c r="J2528" t="str">
        <f>IFERROR(__xludf.DUMMYFUNCTION("IFS(
  AND(REGEXMATCH(E2528, ""台銀籌備帳戶|玉山帳戶""), REGEXMATCH(C2528, ""薪資"")), ""分潤支出"",
  AND(REGEXMATCH(E2528, ""Ben帳戶|Elsa帳戶|Ben代墊|Ariel代墊|中信銀行共用""), REGEXMATCH(F2528, ""Ben帳戶|Elsa帳戶|Ben代墊|Ariel代墊|中信銀行共用"")), ""內部轉帳(忽略)"",
  AND(E2528&lt;&gt;"""", F2528&lt;&gt;"""", N"&amp;"OT(REGEXMATCH(C2528, ""薪資""))), ""內部轉帳(忽略)"",
  REGEXMATCH(C2528, ""薪資""), ""薪資變動(不計入)"",
  REGEXMATCH(C2528, ""押金""), ""押金往來"",
  AND(E2528&lt;&gt;"""", F2528=""""), ""真實支出"",
  AND(E2528="""", F2528&lt;&gt;""""), ""真實收入"",
  TRUE, ""其他""
)"),"真實收入")</f>
        <v>真實收入</v>
      </c>
      <c r="K2528" s="270">
        <f t="shared" si="2"/>
        <v>14500</v>
      </c>
      <c r="L2528">
        <f t="shared" si="3"/>
        <v>0</v>
      </c>
    </row>
    <row r="2529">
      <c r="A2529" s="107">
        <f>IFERROR(__xludf.DUMMYFUNCTION("""COMPUTED_VALUE"""),45901.0)</f>
        <v>45901</v>
      </c>
      <c r="B2529" t="str">
        <f>IFERROR(__xludf.DUMMYFUNCTION("""COMPUTED_VALUE"""),"[北醫醫師府] D [吳宥辰] 月租金 (行號: 83)")</f>
        <v>[北醫醫師府] D [吳宥辰] 月租金 (行號: 83)</v>
      </c>
      <c r="C2529" t="str">
        <f>IFERROR(__xludf.DUMMYFUNCTION("""COMPUTED_VALUE"""),"收入 - 租金")</f>
        <v>收入 - 租金</v>
      </c>
      <c r="D2529" s="270">
        <f>IFERROR(__xludf.DUMMYFUNCTION("""COMPUTED_VALUE"""),12000.0)</f>
        <v>12000</v>
      </c>
      <c r="F2529" t="str">
        <f>IFERROR(__xludf.DUMMYFUNCTION("""COMPUTED_VALUE"""),"台銀籌備帳戶")</f>
        <v>台銀籌備帳戶</v>
      </c>
      <c r="G2529" t="str">
        <f>IFERROR(__xludf.DUMMYFUNCTION("""COMPUTED_VALUE"""),"北醫醫師府")</f>
        <v>北醫醫師府</v>
      </c>
      <c r="H2529" s="106" t="str">
        <f t="shared" si="1"/>
        <v>2025-09</v>
      </c>
      <c r="I2529" s="271" t="str">
        <f>IFERROR(__xludf.DUMMYFUNCTION("""COMPUTED_VALUE"""),"貓狗企鵝")</f>
        <v>貓狗企鵝</v>
      </c>
      <c r="J2529" t="str">
        <f>IFERROR(__xludf.DUMMYFUNCTION("IFS(
  AND(REGEXMATCH(E2529, ""台銀籌備帳戶|玉山帳戶""), REGEXMATCH(C2529, ""薪資"")), ""分潤支出"",
  AND(REGEXMATCH(E2529, ""Ben帳戶|Elsa帳戶|Ben代墊|Ariel代墊|中信銀行共用""), REGEXMATCH(F2529, ""Ben帳戶|Elsa帳戶|Ben代墊|Ariel代墊|中信銀行共用"")), ""內部轉帳(忽略)"",
  AND(E2529&lt;&gt;"""", F2529&lt;&gt;"""", N"&amp;"OT(REGEXMATCH(C2529, ""薪資""))), ""內部轉帳(忽略)"",
  REGEXMATCH(C2529, ""薪資""), ""薪資變動(不計入)"",
  REGEXMATCH(C2529, ""押金""), ""押金往來"",
  AND(E2529&lt;&gt;"""", F2529=""""), ""真實支出"",
  AND(E2529="""", F2529&lt;&gt;""""), ""真實收入"",
  TRUE, ""其他""
)"),"真實收入")</f>
        <v>真實收入</v>
      </c>
      <c r="K2529" s="270">
        <f t="shared" si="2"/>
        <v>12000</v>
      </c>
      <c r="L2529">
        <f t="shared" si="3"/>
        <v>0</v>
      </c>
    </row>
    <row r="2530">
      <c r="A2530" s="107">
        <f>IFERROR(__xludf.DUMMYFUNCTION("""COMPUTED_VALUE"""),45901.0)</f>
        <v>45901</v>
      </c>
      <c r="B2530" t="str">
        <f>IFERROR(__xludf.DUMMYFUNCTION("""COMPUTED_VALUE"""),"[龍江229] E [李侑霖] 月租金 (行號: 84)")</f>
        <v>[龍江229] E [李侑霖] 月租金 (行號: 84)</v>
      </c>
      <c r="C2530" t="str">
        <f>IFERROR(__xludf.DUMMYFUNCTION("""COMPUTED_VALUE"""),"收入 - 租金")</f>
        <v>收入 - 租金</v>
      </c>
      <c r="D2530" s="270">
        <f>IFERROR(__xludf.DUMMYFUNCTION("""COMPUTED_VALUE"""),12500.0)</f>
        <v>12500</v>
      </c>
      <c r="F2530" t="str">
        <f>IFERROR(__xludf.DUMMYFUNCTION("""COMPUTED_VALUE"""),"台銀籌備帳戶")</f>
        <v>台銀籌備帳戶</v>
      </c>
      <c r="G2530" t="str">
        <f>IFERROR(__xludf.DUMMYFUNCTION("""COMPUTED_VALUE"""),"龍江229")</f>
        <v>龍江229</v>
      </c>
      <c r="H2530" s="106" t="str">
        <f t="shared" si="1"/>
        <v>2025-09</v>
      </c>
      <c r="I2530" s="271" t="str">
        <f>IFERROR(__xludf.DUMMYFUNCTION("""COMPUTED_VALUE"""),"貓狗企鵝")</f>
        <v>貓狗企鵝</v>
      </c>
      <c r="J2530" t="str">
        <f>IFERROR(__xludf.DUMMYFUNCTION("IFS(
  AND(REGEXMATCH(E2530, ""台銀籌備帳戶|玉山帳戶""), REGEXMATCH(C2530, ""薪資"")), ""分潤支出"",
  AND(REGEXMATCH(E2530, ""Ben帳戶|Elsa帳戶|Ben代墊|Ariel代墊|中信銀行共用""), REGEXMATCH(F2530, ""Ben帳戶|Elsa帳戶|Ben代墊|Ariel代墊|中信銀行共用"")), ""內部轉帳(忽略)"",
  AND(E2530&lt;&gt;"""", F2530&lt;&gt;"""", N"&amp;"OT(REGEXMATCH(C2530, ""薪資""))), ""內部轉帳(忽略)"",
  REGEXMATCH(C2530, ""薪資""), ""薪資變動(不計入)"",
  REGEXMATCH(C2530, ""押金""), ""押金往來"",
  AND(E2530&lt;&gt;"""", F2530=""""), ""真實支出"",
  AND(E2530="""", F2530&lt;&gt;""""), ""真實收入"",
  TRUE, ""其他""
)"),"真實收入")</f>
        <v>真實收入</v>
      </c>
      <c r="K2530" s="270">
        <f t="shared" si="2"/>
        <v>12500</v>
      </c>
      <c r="L2530">
        <f t="shared" si="3"/>
        <v>0</v>
      </c>
    </row>
    <row r="2531">
      <c r="A2531" s="107">
        <f>IFERROR(__xludf.DUMMYFUNCTION("""COMPUTED_VALUE"""),45902.0)</f>
        <v>45902</v>
      </c>
      <c r="B2531" t="str">
        <f>IFERROR(__xludf.DUMMYFUNCTION("""COMPUTED_VALUE""")," [永春四號] A [辜馨嬅] 合約 CR00003 (行號: 86)")</f>
        <v> [永春四號] A [辜馨嬅] 合約 CR00003 (行號: 86)</v>
      </c>
      <c r="C2531" t="str">
        <f>IFERROR(__xludf.DUMMYFUNCTION("""COMPUTED_VALUE"""),"收入 - 租金")</f>
        <v>收入 - 租金</v>
      </c>
      <c r="D2531" s="270">
        <f>IFERROR(__xludf.DUMMYFUNCTION("""COMPUTED_VALUE"""),77400.0)</f>
        <v>77400</v>
      </c>
      <c r="F2531" t="str">
        <f>IFERROR(__xludf.DUMMYFUNCTION("""COMPUTED_VALUE"""),"台銀籌備帳戶")</f>
        <v>台銀籌備帳戶</v>
      </c>
      <c r="G2531" t="str">
        <f>IFERROR(__xludf.DUMMYFUNCTION("""COMPUTED_VALUE"""),"永春四號")</f>
        <v>永春四號</v>
      </c>
      <c r="H2531" s="106" t="str">
        <f t="shared" si="1"/>
        <v>2025-09</v>
      </c>
      <c r="I2531" s="271" t="str">
        <f>IFERROR(__xludf.DUMMYFUNCTION("""COMPUTED_VALUE"""),"貓狗企鵝")</f>
        <v>貓狗企鵝</v>
      </c>
      <c r="J2531" t="str">
        <f>IFERROR(__xludf.DUMMYFUNCTION("IFS(
  AND(REGEXMATCH(E2531, ""台銀籌備帳戶|玉山帳戶""), REGEXMATCH(C2531, ""薪資"")), ""分潤支出"",
  AND(REGEXMATCH(E2531, ""Ben帳戶|Elsa帳戶|Ben代墊|Ariel代墊|中信銀行共用""), REGEXMATCH(F2531, ""Ben帳戶|Elsa帳戶|Ben代墊|Ariel代墊|中信銀行共用"")), ""內部轉帳(忽略)"",
  AND(E2531&lt;&gt;"""", F2531&lt;&gt;"""", N"&amp;"OT(REGEXMATCH(C2531, ""薪資""))), ""內部轉帳(忽略)"",
  REGEXMATCH(C2531, ""薪資""), ""薪資變動(不計入)"",
  REGEXMATCH(C2531, ""押金""), ""押金往來"",
  AND(E2531&lt;&gt;"""", F2531=""""), ""真實支出"",
  AND(E2531="""", F2531&lt;&gt;""""), ""真實收入"",
  TRUE, ""其他""
)"),"真實收入")</f>
        <v>真實收入</v>
      </c>
      <c r="K2531" s="270">
        <f t="shared" si="2"/>
        <v>77400</v>
      </c>
      <c r="L2531">
        <f t="shared" si="3"/>
        <v>0</v>
      </c>
    </row>
    <row r="2532">
      <c r="A2532" s="107">
        <f>IFERROR(__xludf.DUMMYFUNCTION("""COMPUTED_VALUE"""),45902.0)</f>
        <v>45902</v>
      </c>
      <c r="B2532" t="str">
        <f>IFERROR(__xludf.DUMMYFUNCTION("""COMPUTED_VALUE"""),"[書香民生] B [吳小朋] 月租金 (行號: 87)")</f>
        <v>[書香民生] B [吳小朋] 月租金 (行號: 87)</v>
      </c>
      <c r="C2532" t="str">
        <f>IFERROR(__xludf.DUMMYFUNCTION("""COMPUTED_VALUE"""),"收入 - 租金")</f>
        <v>收入 - 租金</v>
      </c>
      <c r="D2532" s="270">
        <f>IFERROR(__xludf.DUMMYFUNCTION("""COMPUTED_VALUE"""),17800.0)</f>
        <v>17800</v>
      </c>
      <c r="F2532" t="str">
        <f>IFERROR(__xludf.DUMMYFUNCTION("""COMPUTED_VALUE"""),"台銀籌備帳戶")</f>
        <v>台銀籌備帳戶</v>
      </c>
      <c r="G2532" t="str">
        <f>IFERROR(__xludf.DUMMYFUNCTION("""COMPUTED_VALUE"""),"書香民生")</f>
        <v>書香民生</v>
      </c>
      <c r="H2532" s="106" t="str">
        <f t="shared" si="1"/>
        <v>2025-09</v>
      </c>
      <c r="I2532" s="271" t="str">
        <f>IFERROR(__xludf.DUMMYFUNCTION("""COMPUTED_VALUE"""),"貓狗企鵝")</f>
        <v>貓狗企鵝</v>
      </c>
      <c r="J2532" t="str">
        <f>IFERROR(__xludf.DUMMYFUNCTION("IFS(
  AND(REGEXMATCH(E2532, ""台銀籌備帳戶|玉山帳戶""), REGEXMATCH(C2532, ""薪資"")), ""分潤支出"",
  AND(REGEXMATCH(E2532, ""Ben帳戶|Elsa帳戶|Ben代墊|Ariel代墊|中信銀行共用""), REGEXMATCH(F2532, ""Ben帳戶|Elsa帳戶|Ben代墊|Ariel代墊|中信銀行共用"")), ""內部轉帳(忽略)"",
  AND(E2532&lt;&gt;"""", F2532&lt;&gt;"""", N"&amp;"OT(REGEXMATCH(C2532, ""薪資""))), ""內部轉帳(忽略)"",
  REGEXMATCH(C2532, ""薪資""), ""薪資變動(不計入)"",
  REGEXMATCH(C2532, ""押金""), ""押金往來"",
  AND(E2532&lt;&gt;"""", F2532=""""), ""真實支出"",
  AND(E2532="""", F2532&lt;&gt;""""), ""真實收入"",
  TRUE, ""其他""
)"),"真實收入")</f>
        <v>真實收入</v>
      </c>
      <c r="K2532" s="270">
        <f t="shared" si="2"/>
        <v>17800</v>
      </c>
      <c r="L2532">
        <f t="shared" si="3"/>
        <v>0</v>
      </c>
    </row>
    <row r="2533">
      <c r="A2533" s="107">
        <f>IFERROR(__xludf.DUMMYFUNCTION("""COMPUTED_VALUE"""),45902.0)</f>
        <v>45902</v>
      </c>
      <c r="B2533" t="str">
        <f>IFERROR(__xludf.DUMMYFUNCTION("""COMPUTED_VALUE"""),"[龍江229] D [黃依婷] 月租金 (行號: 88)")</f>
        <v>[龍江229] D [黃依婷] 月租金 (行號: 88)</v>
      </c>
      <c r="C2533" t="str">
        <f>IFERROR(__xludf.DUMMYFUNCTION("""COMPUTED_VALUE"""),"收入 - 租金")</f>
        <v>收入 - 租金</v>
      </c>
      <c r="D2533" s="270">
        <f>IFERROR(__xludf.DUMMYFUNCTION("""COMPUTED_VALUE"""),13300.0)</f>
        <v>13300</v>
      </c>
      <c r="F2533" t="str">
        <f>IFERROR(__xludf.DUMMYFUNCTION("""COMPUTED_VALUE"""),"台銀籌備帳戶")</f>
        <v>台銀籌備帳戶</v>
      </c>
      <c r="G2533" t="str">
        <f>IFERROR(__xludf.DUMMYFUNCTION("""COMPUTED_VALUE"""),"龍江229")</f>
        <v>龍江229</v>
      </c>
      <c r="H2533" s="106" t="str">
        <f t="shared" si="1"/>
        <v>2025-09</v>
      </c>
      <c r="I2533" s="271" t="str">
        <f>IFERROR(__xludf.DUMMYFUNCTION("""COMPUTED_VALUE"""),"貓狗企鵝")</f>
        <v>貓狗企鵝</v>
      </c>
      <c r="J2533" t="str">
        <f>IFERROR(__xludf.DUMMYFUNCTION("IFS(
  AND(REGEXMATCH(E2533, ""台銀籌備帳戶|玉山帳戶""), REGEXMATCH(C2533, ""薪資"")), ""分潤支出"",
  AND(REGEXMATCH(E2533, ""Ben帳戶|Elsa帳戶|Ben代墊|Ariel代墊|中信銀行共用""), REGEXMATCH(F2533, ""Ben帳戶|Elsa帳戶|Ben代墊|Ariel代墊|中信銀行共用"")), ""內部轉帳(忽略)"",
  AND(E2533&lt;&gt;"""", F2533&lt;&gt;"""", N"&amp;"OT(REGEXMATCH(C2533, ""薪資""))), ""內部轉帳(忽略)"",
  REGEXMATCH(C2533, ""薪資""), ""薪資變動(不計入)"",
  REGEXMATCH(C2533, ""押金""), ""押金往來"",
  AND(E2533&lt;&gt;"""", F2533=""""), ""真實支出"",
  AND(E2533="""", F2533&lt;&gt;""""), ""真實收入"",
  TRUE, ""其他""
)"),"真實收入")</f>
        <v>真實收入</v>
      </c>
      <c r="K2533" s="270">
        <f t="shared" si="2"/>
        <v>13300</v>
      </c>
      <c r="L2533">
        <f t="shared" si="3"/>
        <v>0</v>
      </c>
    </row>
    <row r="2534">
      <c r="A2534" s="107">
        <f>IFERROR(__xludf.DUMMYFUNCTION("""COMPUTED_VALUE"""),45902.0)</f>
        <v>45902</v>
      </c>
      <c r="B2534" t="str">
        <f>IFERROR(__xludf.DUMMYFUNCTION("""COMPUTED_VALUE"""),"[中山北Feli家] C [郭亞潔] 月租金 (行號: 89)")</f>
        <v>[中山北Feli家] C [郭亞潔] 月租金 (行號: 89)</v>
      </c>
      <c r="C2534" t="str">
        <f>IFERROR(__xludf.DUMMYFUNCTION("""COMPUTED_VALUE"""),"收入 - 租金")</f>
        <v>收入 - 租金</v>
      </c>
      <c r="D2534" s="270">
        <f>IFERROR(__xludf.DUMMYFUNCTION("""COMPUTED_VALUE"""),11500.0)</f>
        <v>11500</v>
      </c>
      <c r="F2534" t="str">
        <f>IFERROR(__xludf.DUMMYFUNCTION("""COMPUTED_VALUE"""),"台銀籌備帳戶")</f>
        <v>台銀籌備帳戶</v>
      </c>
      <c r="G2534" t="str">
        <f>IFERROR(__xludf.DUMMYFUNCTION("""COMPUTED_VALUE"""),"中山北Feli家")</f>
        <v>中山北Feli家</v>
      </c>
      <c r="H2534" s="106" t="str">
        <f t="shared" si="1"/>
        <v>2025-09</v>
      </c>
      <c r="I2534" s="271" t="str">
        <f>IFERROR(__xludf.DUMMYFUNCTION("""COMPUTED_VALUE"""),"貓狗企鵝")</f>
        <v>貓狗企鵝</v>
      </c>
      <c r="J2534" t="str">
        <f>IFERROR(__xludf.DUMMYFUNCTION("IFS(
  AND(REGEXMATCH(E2534, ""台銀籌備帳戶|玉山帳戶""), REGEXMATCH(C2534, ""薪資"")), ""分潤支出"",
  AND(REGEXMATCH(E2534, ""Ben帳戶|Elsa帳戶|Ben代墊|Ariel代墊|中信銀行共用""), REGEXMATCH(F2534, ""Ben帳戶|Elsa帳戶|Ben代墊|Ariel代墊|中信銀行共用"")), ""內部轉帳(忽略)"",
  AND(E2534&lt;&gt;"""", F2534&lt;&gt;"""", N"&amp;"OT(REGEXMATCH(C2534, ""薪資""))), ""內部轉帳(忽略)"",
  REGEXMATCH(C2534, ""薪資""), ""薪資變動(不計入)"",
  REGEXMATCH(C2534, ""押金""), ""押金往來"",
  AND(E2534&lt;&gt;"""", F2534=""""), ""真實支出"",
  AND(E2534="""", F2534&lt;&gt;""""), ""真實收入"",
  TRUE, ""其他""
)"),"真實收入")</f>
        <v>真實收入</v>
      </c>
      <c r="K2534" s="270">
        <f t="shared" si="2"/>
        <v>11500</v>
      </c>
      <c r="L2534">
        <f t="shared" si="3"/>
        <v>0</v>
      </c>
    </row>
    <row r="2535">
      <c r="A2535" s="107">
        <f>IFERROR(__xludf.DUMMYFUNCTION("""COMPUTED_VALUE"""),45902.0)</f>
        <v>45902</v>
      </c>
      <c r="B2535" t="str">
        <f>IFERROR(__xludf.DUMMYFUNCTION("""COMPUTED_VALUE"""),"[龍江229] C [馬義鈞] 月租金 (行號: 90)")</f>
        <v>[龍江229] C [馬義鈞] 月租金 (行號: 90)</v>
      </c>
      <c r="C2535" t="str">
        <f>IFERROR(__xludf.DUMMYFUNCTION("""COMPUTED_VALUE"""),"收入 - 租金")</f>
        <v>收入 - 租金</v>
      </c>
      <c r="D2535" s="270">
        <f>IFERROR(__xludf.DUMMYFUNCTION("""COMPUTED_VALUE"""),18500.0)</f>
        <v>18500</v>
      </c>
      <c r="F2535" t="str">
        <f>IFERROR(__xludf.DUMMYFUNCTION("""COMPUTED_VALUE"""),"台銀籌備帳戶")</f>
        <v>台銀籌備帳戶</v>
      </c>
      <c r="G2535" t="str">
        <f>IFERROR(__xludf.DUMMYFUNCTION("""COMPUTED_VALUE"""),"龍江229")</f>
        <v>龍江229</v>
      </c>
      <c r="H2535" s="106" t="str">
        <f t="shared" si="1"/>
        <v>2025-09</v>
      </c>
      <c r="I2535" s="271" t="str">
        <f>IFERROR(__xludf.DUMMYFUNCTION("""COMPUTED_VALUE"""),"貓狗企鵝")</f>
        <v>貓狗企鵝</v>
      </c>
      <c r="J2535" t="str">
        <f>IFERROR(__xludf.DUMMYFUNCTION("IFS(
  AND(REGEXMATCH(E2535, ""台銀籌備帳戶|玉山帳戶""), REGEXMATCH(C2535, ""薪資"")), ""分潤支出"",
  AND(REGEXMATCH(E2535, ""Ben帳戶|Elsa帳戶|Ben代墊|Ariel代墊|中信銀行共用""), REGEXMATCH(F2535, ""Ben帳戶|Elsa帳戶|Ben代墊|Ariel代墊|中信銀行共用"")), ""內部轉帳(忽略)"",
  AND(E2535&lt;&gt;"""", F2535&lt;&gt;"""", N"&amp;"OT(REGEXMATCH(C2535, ""薪資""))), ""內部轉帳(忽略)"",
  REGEXMATCH(C2535, ""薪資""), ""薪資變動(不計入)"",
  REGEXMATCH(C2535, ""押金""), ""押金往來"",
  AND(E2535&lt;&gt;"""", F2535=""""), ""真實支出"",
  AND(E2535="""", F2535&lt;&gt;""""), ""真實收入"",
  TRUE, ""其他""
)"),"真實收入")</f>
        <v>真實收入</v>
      </c>
      <c r="K2535" s="270">
        <f t="shared" si="2"/>
        <v>18500</v>
      </c>
      <c r="L2535">
        <f t="shared" si="3"/>
        <v>0</v>
      </c>
    </row>
    <row r="2536">
      <c r="A2536" s="107">
        <f>IFERROR(__xludf.DUMMYFUNCTION("""COMPUTED_VALUE"""),45905.0)</f>
        <v>45905</v>
      </c>
      <c r="B2536" t="str">
        <f>IFERROR(__xludf.DUMMYFUNCTION("""COMPUTED_VALUE"""),"寶琳大湖清潔3HR")</f>
        <v>寶琳大湖清潔3HR</v>
      </c>
      <c r="C2536" t="str">
        <f>IFERROR(__xludf.DUMMYFUNCTION("""COMPUTED_VALUE"""),"成本 - 固定開銷(網路代收清潔)")</f>
        <v>成本 - 固定開銷(網路代收清潔)</v>
      </c>
      <c r="D2536" s="270">
        <f>IFERROR(__xludf.DUMMYFUNCTION("""COMPUTED_VALUE"""),-1050.0)</f>
        <v>-1050</v>
      </c>
      <c r="E2536" t="str">
        <f>IFERROR(__xludf.DUMMYFUNCTION("""COMPUTED_VALUE"""),"Elsa帳戶")</f>
        <v>Elsa帳戶</v>
      </c>
      <c r="G2536" t="str">
        <f>IFERROR(__xludf.DUMMYFUNCTION("""COMPUTED_VALUE"""),"大湖山莊")</f>
        <v>大湖山莊</v>
      </c>
      <c r="H2536" s="106" t="str">
        <f t="shared" si="1"/>
        <v>2025-09</v>
      </c>
      <c r="I2536" s="271" t="str">
        <f>IFERROR(__xludf.DUMMYFUNCTION("""COMPUTED_VALUE"""),"貓狗企鵝")</f>
        <v>貓狗企鵝</v>
      </c>
      <c r="J2536" t="str">
        <f>IFERROR(__xludf.DUMMYFUNCTION("IFS(
  AND(REGEXMATCH(E2536, ""台銀籌備帳戶|玉山帳戶""), REGEXMATCH(C2536, ""薪資"")), ""分潤支出"",
  AND(REGEXMATCH(E2536, ""Ben帳戶|Elsa帳戶|Ben代墊|Ariel代墊|中信銀行共用""), REGEXMATCH(F2536, ""Ben帳戶|Elsa帳戶|Ben代墊|Ariel代墊|中信銀行共用"")), ""內部轉帳(忽略)"",
  AND(E2536&lt;&gt;"""", F2536&lt;&gt;"""", N"&amp;"OT(REGEXMATCH(C2536, ""薪資""))), ""內部轉帳(忽略)"",
  REGEXMATCH(C2536, ""薪資""), ""薪資變動(不計入)"",
  REGEXMATCH(C2536, ""押金""), ""押金往來"",
  AND(E2536&lt;&gt;"""", F2536=""""), ""真實支出"",
  AND(E2536="""", F2536&lt;&gt;""""), ""真實收入"",
  TRUE, ""其他""
)"),"真實支出")</f>
        <v>真實支出</v>
      </c>
      <c r="K2536" s="270">
        <f t="shared" si="2"/>
        <v>-1050</v>
      </c>
      <c r="L2536">
        <f t="shared" si="3"/>
        <v>0</v>
      </c>
    </row>
    <row r="2537">
      <c r="A2537" s="107">
        <f>IFERROR(__xludf.DUMMYFUNCTION("""COMPUTED_VALUE"""),45905.0)</f>
        <v>45905</v>
      </c>
      <c r="B2537" t="str">
        <f>IFERROR(__xludf.DUMMYFUNCTION("""COMPUTED_VALUE"""),"費用 - 匯費 對方行:822 後五碼:43051 (行號: 4)")</f>
        <v>費用 - 匯費 對方行:822 後五碼:43051 (行號: 4)</v>
      </c>
      <c r="C2537" t="str">
        <f>IFERROR(__xludf.DUMMYFUNCTION("""COMPUTED_VALUE"""),"費用 - 匯費")</f>
        <v>費用 - 匯費</v>
      </c>
      <c r="D2537" s="270">
        <f>IFERROR(__xludf.DUMMYFUNCTION("""COMPUTED_VALUE"""),-15.0)</f>
        <v>-15</v>
      </c>
      <c r="E2537" t="str">
        <f>IFERROR(__xludf.DUMMYFUNCTION("""COMPUTED_VALUE"""),"台銀籌備帳戶")</f>
        <v>台銀籌備帳戶</v>
      </c>
      <c r="H2537" s="106" t="str">
        <f t="shared" si="1"/>
        <v>2025-09</v>
      </c>
      <c r="I2537" s="271" t="str">
        <f>IFERROR(__xludf.DUMMYFUNCTION("""COMPUTED_VALUE"""),"貓狗企鵝")</f>
        <v>貓狗企鵝</v>
      </c>
      <c r="J2537" t="str">
        <f>IFERROR(__xludf.DUMMYFUNCTION("IFS(
  AND(REGEXMATCH(E2537, ""台銀籌備帳戶|玉山帳戶""), REGEXMATCH(C2537, ""薪資"")), ""分潤支出"",
  AND(REGEXMATCH(E2537, ""Ben帳戶|Elsa帳戶|Ben代墊|Ariel代墊|中信銀行共用""), REGEXMATCH(F2537, ""Ben帳戶|Elsa帳戶|Ben代墊|Ariel代墊|中信銀行共用"")), ""內部轉帳(忽略)"",
  AND(E2537&lt;&gt;"""", F2537&lt;&gt;"""", N"&amp;"OT(REGEXMATCH(C2537, ""薪資""))), ""內部轉帳(忽略)"",
  REGEXMATCH(C2537, ""薪資""), ""薪資變動(不計入)"",
  REGEXMATCH(C2537, ""押金""), ""押金往來"",
  AND(E2537&lt;&gt;"""", F2537=""""), ""真實支出"",
  AND(E2537="""", F2537&lt;&gt;""""), ""真實收入"",
  TRUE, ""其他""
)"),"真實支出")</f>
        <v>真實支出</v>
      </c>
      <c r="K2537" s="270">
        <f t="shared" si="2"/>
        <v>-15</v>
      </c>
      <c r="L2537">
        <f t="shared" si="3"/>
        <v>0</v>
      </c>
    </row>
    <row r="2538">
      <c r="A2538" s="107">
        <f>IFERROR(__xludf.DUMMYFUNCTION("""COMPUTED_VALUE"""),45905.0)</f>
        <v>45905</v>
      </c>
      <c r="B2538" t="str">
        <f>IFERROR(__xludf.DUMMYFUNCTION("""COMPUTED_VALUE"""),"Ben中信薪資 ' 【未分類支出】")</f>
        <v>Ben中信薪資 ' 【未分類支出】</v>
      </c>
      <c r="C2538" t="str">
        <f>IFERROR(__xludf.DUMMYFUNCTION("""COMPUTED_VALUE"""),"費用 - Salary 薪資")</f>
        <v>費用 - Salary 薪資</v>
      </c>
      <c r="D2538" s="270">
        <f>IFERROR(__xludf.DUMMYFUNCTION("""COMPUTED_VALUE"""),-200000.0)</f>
        <v>-200000</v>
      </c>
      <c r="E2538" t="str">
        <f>IFERROR(__xludf.DUMMYFUNCTION("""COMPUTED_VALUE"""),"台銀籌備帳戶")</f>
        <v>台銀籌備帳戶</v>
      </c>
      <c r="F2538" t="str">
        <f>IFERROR(__xludf.DUMMYFUNCTION("""COMPUTED_VALUE"""),"Ben帳戶")</f>
        <v>Ben帳戶</v>
      </c>
      <c r="H2538" s="106" t="str">
        <f t="shared" si="1"/>
        <v>2025-09</v>
      </c>
      <c r="I2538" s="271" t="str">
        <f>IFERROR(__xludf.DUMMYFUNCTION("""COMPUTED_VALUE"""),"貓狗企鵝")</f>
        <v>貓狗企鵝</v>
      </c>
      <c r="J2538" t="str">
        <f>IFERROR(__xludf.DUMMYFUNCTION("IFS(
  AND(REGEXMATCH(E2538, ""台銀籌備帳戶|玉山帳戶""), REGEXMATCH(C2538, ""薪資"")), ""分潤支出"",
  AND(REGEXMATCH(E2538, ""Ben帳戶|Elsa帳戶|Ben代墊|Ariel代墊|中信銀行共用""), REGEXMATCH(F2538, ""Ben帳戶|Elsa帳戶|Ben代墊|Ariel代墊|中信銀行共用"")), ""內部轉帳(忽略)"",
  AND(E2538&lt;&gt;"""", F2538&lt;&gt;"""", N"&amp;"OT(REGEXMATCH(C2538, ""薪資""))), ""內部轉帳(忽略)"",
  REGEXMATCH(C2538, ""薪資""), ""薪資變動(不計入)"",
  REGEXMATCH(C2538, ""押金""), ""押金往來"",
  AND(E2538&lt;&gt;"""", F2538=""""), ""真實支出"",
  AND(E2538="""", F2538&lt;&gt;""""), ""真實收入"",
  TRUE, ""其他""
)"),"分潤支出")</f>
        <v>分潤支出</v>
      </c>
      <c r="K2538">
        <f t="shared" si="2"/>
        <v>0</v>
      </c>
      <c r="L2538">
        <f t="shared" si="3"/>
        <v>200000</v>
      </c>
    </row>
    <row r="2539">
      <c r="A2539" s="107">
        <f>IFERROR(__xludf.DUMMYFUNCTION("""COMPUTED_VALUE"""),45905.0)</f>
        <v>45905</v>
      </c>
      <c r="B2539" t="str">
        <f>IFERROR(__xludf.DUMMYFUNCTION("""COMPUTED_VALUE"""),"費用 - 匯費 對方行:012 後五碼:92486 (行號: 5)")</f>
        <v>費用 - 匯費 對方行:012 後五碼:92486 (行號: 5)</v>
      </c>
      <c r="C2539" t="str">
        <f>IFERROR(__xludf.DUMMYFUNCTION("""COMPUTED_VALUE"""),"費用 - 匯費")</f>
        <v>費用 - 匯費</v>
      </c>
      <c r="D2539" s="270">
        <f>IFERROR(__xludf.DUMMYFUNCTION("""COMPUTED_VALUE"""),-15.0)</f>
        <v>-15</v>
      </c>
      <c r="E2539" t="str">
        <f>IFERROR(__xludf.DUMMYFUNCTION("""COMPUTED_VALUE"""),"台銀籌備帳戶")</f>
        <v>台銀籌備帳戶</v>
      </c>
      <c r="H2539" s="106" t="str">
        <f t="shared" si="1"/>
        <v>2025-09</v>
      </c>
      <c r="I2539" s="271" t="str">
        <f>IFERROR(__xludf.DUMMYFUNCTION("""COMPUTED_VALUE"""),"貓狗企鵝")</f>
        <v>貓狗企鵝</v>
      </c>
      <c r="J2539" t="str">
        <f>IFERROR(__xludf.DUMMYFUNCTION("IFS(
  AND(REGEXMATCH(E2539, ""台銀籌備帳戶|玉山帳戶""), REGEXMATCH(C2539, ""薪資"")), ""分潤支出"",
  AND(REGEXMATCH(E2539, ""Ben帳戶|Elsa帳戶|Ben代墊|Ariel代墊|中信銀行共用""), REGEXMATCH(F2539, ""Ben帳戶|Elsa帳戶|Ben代墊|Ariel代墊|中信銀行共用"")), ""內部轉帳(忽略)"",
  AND(E2539&lt;&gt;"""", F2539&lt;&gt;"""", N"&amp;"OT(REGEXMATCH(C2539, ""薪資""))), ""內部轉帳(忽略)"",
  REGEXMATCH(C2539, ""薪資""), ""薪資變動(不計入)"",
  REGEXMATCH(C2539, ""押金""), ""押金往來"",
  AND(E2539&lt;&gt;"""", F2539=""""), ""真實支出"",
  AND(E2539="""", F2539&lt;&gt;""""), ""真實收入"",
  TRUE, ""其他""
)"),"真實支出")</f>
        <v>真實支出</v>
      </c>
      <c r="K2539" s="270">
        <f t="shared" si="2"/>
        <v>-15</v>
      </c>
      <c r="L2539">
        <f t="shared" si="3"/>
        <v>0</v>
      </c>
    </row>
    <row r="2540">
      <c r="A2540" s="107">
        <f>IFERROR(__xludf.DUMMYFUNCTION("""COMPUTED_VALUE"""),45905.0)</f>
        <v>45905</v>
      </c>
      <c r="B2540" t="str">
        <f>IFERROR(__xludf.DUMMYFUNCTION("""COMPUTED_VALUE"""),"阿虎設計費 ' 【未分類支出】")</f>
        <v>阿虎設計費 ' 【未分類支出】</v>
      </c>
      <c r="C2540" t="str">
        <f>IFERROR(__xludf.DUMMYFUNCTION("""COMPUTED_VALUE"""),"費用 - Salary 薪資")</f>
        <v>費用 - Salary 薪資</v>
      </c>
      <c r="D2540" s="270">
        <f>IFERROR(__xludf.DUMMYFUNCTION("""COMPUTED_VALUE"""),-200000.0)</f>
        <v>-200000</v>
      </c>
      <c r="E2540" t="str">
        <f>IFERROR(__xludf.DUMMYFUNCTION("""COMPUTED_VALUE"""),"台銀籌備帳戶")</f>
        <v>台銀籌備帳戶</v>
      </c>
      <c r="F2540" t="str">
        <f>IFERROR(__xludf.DUMMYFUNCTION("""COMPUTED_VALUE"""),"Elsa帳戶")</f>
        <v>Elsa帳戶</v>
      </c>
      <c r="H2540" s="106" t="str">
        <f t="shared" si="1"/>
        <v>2025-09</v>
      </c>
      <c r="I2540" s="271" t="str">
        <f>IFERROR(__xludf.DUMMYFUNCTION("""COMPUTED_VALUE"""),"貓狗企鵝")</f>
        <v>貓狗企鵝</v>
      </c>
      <c r="J2540" t="str">
        <f>IFERROR(__xludf.DUMMYFUNCTION("IFS(
  AND(REGEXMATCH(E2540, ""台銀籌備帳戶|玉山帳戶""), REGEXMATCH(C2540, ""薪資"")), ""分潤支出"",
  AND(REGEXMATCH(E2540, ""Ben帳戶|Elsa帳戶|Ben代墊|Ariel代墊|中信銀行共用""), REGEXMATCH(F2540, ""Ben帳戶|Elsa帳戶|Ben代墊|Ariel代墊|中信銀行共用"")), ""內部轉帳(忽略)"",
  AND(E2540&lt;&gt;"""", F2540&lt;&gt;"""", N"&amp;"OT(REGEXMATCH(C2540, ""薪資""))), ""內部轉帳(忽略)"",
  REGEXMATCH(C2540, ""薪資""), ""薪資變動(不計入)"",
  REGEXMATCH(C2540, ""押金""), ""押金往來"",
  AND(E2540&lt;&gt;"""", F2540=""""), ""真實支出"",
  AND(E2540="""", F2540&lt;&gt;""""), ""真實收入"",
  TRUE, ""其他""
)"),"分潤支出")</f>
        <v>分潤支出</v>
      </c>
      <c r="K2540">
        <f t="shared" si="2"/>
        <v>0</v>
      </c>
      <c r="L2540">
        <f t="shared" si="3"/>
        <v>200000</v>
      </c>
    </row>
    <row r="2541">
      <c r="A2541" s="107">
        <f>IFERROR(__xludf.DUMMYFUNCTION("""COMPUTED_VALUE"""),45903.0)</f>
        <v>45903</v>
      </c>
      <c r="B2541" t="str">
        <f>IFERROR(__xludf.DUMMYFUNCTION("""COMPUTED_VALUE"""),"[書香民生] D [蔡昀潔, 林聖凱] 月租金 後五碼:67788 (行號: 2)")</f>
        <v>[書香民生] D [蔡昀潔, 林聖凱] 月租金 後五碼:67788 (行號: 2)</v>
      </c>
      <c r="C2541" t="str">
        <f>IFERROR(__xludf.DUMMYFUNCTION("""COMPUTED_VALUE"""),"收入 - 租金")</f>
        <v>收入 - 租金</v>
      </c>
      <c r="D2541" s="270">
        <f>IFERROR(__xludf.DUMMYFUNCTION("""COMPUTED_VALUE"""),17800.0)</f>
        <v>17800</v>
      </c>
      <c r="F2541" t="str">
        <f>IFERROR(__xludf.DUMMYFUNCTION("""COMPUTED_VALUE"""),"台銀籌備帳戶")</f>
        <v>台銀籌備帳戶</v>
      </c>
      <c r="G2541" t="str">
        <f>IFERROR(__xludf.DUMMYFUNCTION("""COMPUTED_VALUE"""),"書香民生")</f>
        <v>書香民生</v>
      </c>
      <c r="H2541" s="106" t="str">
        <f t="shared" si="1"/>
        <v>2025-09</v>
      </c>
      <c r="I2541" s="271" t="str">
        <f>IFERROR(__xludf.DUMMYFUNCTION("""COMPUTED_VALUE"""),"貓狗企鵝")</f>
        <v>貓狗企鵝</v>
      </c>
      <c r="J2541" t="str">
        <f>IFERROR(__xludf.DUMMYFUNCTION("IFS(
  AND(REGEXMATCH(E2541, ""台銀籌備帳戶|玉山帳戶""), REGEXMATCH(C2541, ""薪資"")), ""分潤支出"",
  AND(REGEXMATCH(E2541, ""Ben帳戶|Elsa帳戶|Ben代墊|Ariel代墊|中信銀行共用""), REGEXMATCH(F2541, ""Ben帳戶|Elsa帳戶|Ben代墊|Ariel代墊|中信銀行共用"")), ""內部轉帳(忽略)"",
  AND(E2541&lt;&gt;"""", F2541&lt;&gt;"""", N"&amp;"OT(REGEXMATCH(C2541, ""薪資""))), ""內部轉帳(忽略)"",
  REGEXMATCH(C2541, ""薪資""), ""薪資變動(不計入)"",
  REGEXMATCH(C2541, ""押金""), ""押金往來"",
  AND(E2541&lt;&gt;"""", F2541=""""), ""真實支出"",
  AND(E2541="""", F2541&lt;&gt;""""), ""真實收入"",
  TRUE, ""其他""
)"),"真實收入")</f>
        <v>真實收入</v>
      </c>
      <c r="K2541" s="270">
        <f t="shared" si="2"/>
        <v>17800</v>
      </c>
      <c r="L2541">
        <f t="shared" si="3"/>
        <v>0</v>
      </c>
    </row>
    <row r="2542">
      <c r="A2542" s="107">
        <f>IFERROR(__xludf.DUMMYFUNCTION("""COMPUTED_VALUE"""),45903.0)</f>
        <v>45903</v>
      </c>
      <c r="B2542" t="str">
        <f>IFERROR(__xludf.DUMMYFUNCTION("""COMPUTED_VALUE"""),"品涵９月房租 ")</f>
        <v>品涵９月房租 </v>
      </c>
      <c r="C2542" t="str">
        <f>IFERROR(__xludf.DUMMYFUNCTION("""COMPUTED_VALUE"""),"收入 - 租金")</f>
        <v>收入 - 租金</v>
      </c>
      <c r="D2542" s="270">
        <f>IFERROR(__xludf.DUMMYFUNCTION("""COMPUTED_VALUE"""),17800.0)</f>
        <v>17800</v>
      </c>
      <c r="F2542" t="str">
        <f>IFERROR(__xludf.DUMMYFUNCTION("""COMPUTED_VALUE"""),"台銀籌備帳戶")</f>
        <v>台銀籌備帳戶</v>
      </c>
      <c r="G2542" t="str">
        <f>IFERROR(__xludf.DUMMYFUNCTION("""COMPUTED_VALUE"""),"北醫醫師府")</f>
        <v>北醫醫師府</v>
      </c>
      <c r="H2542" s="106" t="str">
        <f t="shared" si="1"/>
        <v>2025-09</v>
      </c>
      <c r="I2542" s="271" t="str">
        <f>IFERROR(__xludf.DUMMYFUNCTION("""COMPUTED_VALUE"""),"貓狗企鵝")</f>
        <v>貓狗企鵝</v>
      </c>
      <c r="J2542" t="str">
        <f>IFERROR(__xludf.DUMMYFUNCTION("IFS(
  AND(REGEXMATCH(E2542, ""台銀籌備帳戶|玉山帳戶""), REGEXMATCH(C2542, ""薪資"")), ""分潤支出"",
  AND(REGEXMATCH(E2542, ""Ben帳戶|Elsa帳戶|Ben代墊|Ariel代墊|中信銀行共用""), REGEXMATCH(F2542, ""Ben帳戶|Elsa帳戶|Ben代墊|Ariel代墊|中信銀行共用"")), ""內部轉帳(忽略)"",
  AND(E2542&lt;&gt;"""", F2542&lt;&gt;"""", N"&amp;"OT(REGEXMATCH(C2542, ""薪資""))), ""內部轉帳(忽略)"",
  REGEXMATCH(C2542, ""薪資""), ""薪資變動(不計入)"",
  REGEXMATCH(C2542, ""押金""), ""押金往來"",
  AND(E2542&lt;&gt;"""", F2542=""""), ""真實支出"",
  AND(E2542="""", F2542&lt;&gt;""""), ""真實收入"",
  TRUE, ""其他""
)"),"真實收入")</f>
        <v>真實收入</v>
      </c>
      <c r="K2542" s="270">
        <f t="shared" si="2"/>
        <v>17800</v>
      </c>
      <c r="L2542">
        <f t="shared" si="3"/>
        <v>0</v>
      </c>
    </row>
    <row r="2543">
      <c r="A2543" s="107">
        <f>IFERROR(__xludf.DUMMYFUNCTION("""COMPUTED_VALUE"""),45906.0)</f>
        <v>45906</v>
      </c>
      <c r="B2543" t="str">
        <f>IFERROR(__xludf.DUMMYFUNCTION("""COMPUTED_VALUE"""),"南港B 押金")</f>
        <v>南港B 押金</v>
      </c>
      <c r="C2543" t="str">
        <f>IFERROR(__xludf.DUMMYFUNCTION("""COMPUTED_VALUE"""),"收入 - 押金")</f>
        <v>收入 - 押金</v>
      </c>
      <c r="D2543" s="270">
        <f>IFERROR(__xludf.DUMMYFUNCTION("""COMPUTED_VALUE"""),22000.0)</f>
        <v>22000</v>
      </c>
      <c r="F2543" t="str">
        <f>IFERROR(__xludf.DUMMYFUNCTION("""COMPUTED_VALUE"""),"台銀籌備帳戶")</f>
        <v>台銀籌備帳戶</v>
      </c>
      <c r="G2543" t="str">
        <f>IFERROR(__xludf.DUMMYFUNCTION("""COMPUTED_VALUE"""),"南港站挑高宅")</f>
        <v>南港站挑高宅</v>
      </c>
      <c r="H2543" s="106" t="str">
        <f t="shared" si="1"/>
        <v>2025-09</v>
      </c>
      <c r="I2543" s="271" t="str">
        <f>IFERROR(__xludf.DUMMYFUNCTION("""COMPUTED_VALUE"""),"貓狗企鵝")</f>
        <v>貓狗企鵝</v>
      </c>
      <c r="J2543" t="str">
        <f>IFERROR(__xludf.DUMMYFUNCTION("IFS(
  AND(REGEXMATCH(E2543, ""台銀籌備帳戶|玉山帳戶""), REGEXMATCH(C2543, ""薪資"")), ""分潤支出"",
  AND(REGEXMATCH(E2543, ""Ben帳戶|Elsa帳戶|Ben代墊|Ariel代墊|中信銀行共用""), REGEXMATCH(F2543, ""Ben帳戶|Elsa帳戶|Ben代墊|Ariel代墊|中信銀行共用"")), ""內部轉帳(忽略)"",
  AND(E2543&lt;&gt;"""", F2543&lt;&gt;"""", N"&amp;"OT(REGEXMATCH(C2543, ""薪資""))), ""內部轉帳(忽略)"",
  REGEXMATCH(C2543, ""薪資""), ""薪資變動(不計入)"",
  REGEXMATCH(C2543, ""押金""), ""押金往來"",
  AND(E2543&lt;&gt;"""", F2543=""""), ""真實支出"",
  AND(E2543="""", F2543&lt;&gt;""""), ""真實收入"",
  TRUE, ""其他""
)"),"押金往來")</f>
        <v>押金往來</v>
      </c>
      <c r="K2543">
        <f t="shared" si="2"/>
        <v>0</v>
      </c>
      <c r="L2543">
        <f t="shared" si="3"/>
        <v>0</v>
      </c>
    </row>
    <row r="2544">
      <c r="A2544" s="107">
        <f>IFERROR(__xludf.DUMMYFUNCTION("""COMPUTED_VALUE"""),45905.0)</f>
        <v>45905</v>
      </c>
      <c r="B2544" t="str">
        <f>IFERROR(__xludf.DUMMYFUNCTION("""COMPUTED_VALUE"""),"[龍江229] B [涂維妮] 月租金 後五碼:67546 (行號: 6)")</f>
        <v>[龍江229] B [涂維妮] 月租金 後五碼:67546 (行號: 6)</v>
      </c>
      <c r="C2544" t="str">
        <f>IFERROR(__xludf.DUMMYFUNCTION("""COMPUTED_VALUE"""),"收入 - 租金")</f>
        <v>收入 - 租金</v>
      </c>
      <c r="D2544" s="270">
        <f>IFERROR(__xludf.DUMMYFUNCTION("""COMPUTED_VALUE"""),13500.0)</f>
        <v>13500</v>
      </c>
      <c r="F2544" t="str">
        <f>IFERROR(__xludf.DUMMYFUNCTION("""COMPUTED_VALUE"""),"台銀籌備帳戶")</f>
        <v>台銀籌備帳戶</v>
      </c>
      <c r="G2544" t="str">
        <f>IFERROR(__xludf.DUMMYFUNCTION("""COMPUTED_VALUE"""),"龍江229")</f>
        <v>龍江229</v>
      </c>
      <c r="H2544" s="106" t="str">
        <f t="shared" si="1"/>
        <v>2025-09</v>
      </c>
      <c r="I2544" s="271" t="str">
        <f>IFERROR(__xludf.DUMMYFUNCTION("""COMPUTED_VALUE"""),"貓狗企鵝")</f>
        <v>貓狗企鵝</v>
      </c>
      <c r="J2544" t="str">
        <f>IFERROR(__xludf.DUMMYFUNCTION("IFS(
  AND(REGEXMATCH(E2544, ""台銀籌備帳戶|玉山帳戶""), REGEXMATCH(C2544, ""薪資"")), ""分潤支出"",
  AND(REGEXMATCH(E2544, ""Ben帳戶|Elsa帳戶|Ben代墊|Ariel代墊|中信銀行共用""), REGEXMATCH(F2544, ""Ben帳戶|Elsa帳戶|Ben代墊|Ariel代墊|中信銀行共用"")), ""內部轉帳(忽略)"",
  AND(E2544&lt;&gt;"""", F2544&lt;&gt;"""", N"&amp;"OT(REGEXMATCH(C2544, ""薪資""))), ""內部轉帳(忽略)"",
  REGEXMATCH(C2544, ""薪資""), ""薪資變動(不計入)"",
  REGEXMATCH(C2544, ""押金""), ""押金往來"",
  AND(E2544&lt;&gt;"""", F2544=""""), ""真實支出"",
  AND(E2544="""", F2544&lt;&gt;""""), ""真實收入"",
  TRUE, ""其他""
)"),"真實收入")</f>
        <v>真實收入</v>
      </c>
      <c r="K2544" s="270">
        <f t="shared" si="2"/>
        <v>13500</v>
      </c>
      <c r="L2544">
        <f t="shared" si="3"/>
        <v>0</v>
      </c>
    </row>
    <row r="2545">
      <c r="A2545" s="107">
        <f>IFERROR(__xludf.DUMMYFUNCTION("""COMPUTED_VALUE"""),45906.0)</f>
        <v>45906</v>
      </c>
      <c r="B2545" t="str">
        <f>IFERROR(__xludf.DUMMYFUNCTION("""COMPUTED_VALUE"""),"[中山北娘家旁] C [魏湘芸] 月租金 後五碼:21978 (行號: 7)")</f>
        <v>[中山北娘家旁] C [魏湘芸] 月租金 後五碼:21978 (行號: 7)</v>
      </c>
      <c r="C2545" t="str">
        <f>IFERROR(__xludf.DUMMYFUNCTION("""COMPUTED_VALUE"""),"收入 - 租金")</f>
        <v>收入 - 租金</v>
      </c>
      <c r="D2545" s="270">
        <f>IFERROR(__xludf.DUMMYFUNCTION("""COMPUTED_VALUE"""),14800.0)</f>
        <v>14800</v>
      </c>
      <c r="F2545" t="str">
        <f>IFERROR(__xludf.DUMMYFUNCTION("""COMPUTED_VALUE"""),"台銀籌備帳戶")</f>
        <v>台銀籌備帳戶</v>
      </c>
      <c r="G2545" t="str">
        <f>IFERROR(__xludf.DUMMYFUNCTION("""COMPUTED_VALUE"""),"中山北娘家旁")</f>
        <v>中山北娘家旁</v>
      </c>
      <c r="H2545" s="106" t="str">
        <f t="shared" si="1"/>
        <v>2025-09</v>
      </c>
      <c r="I2545" s="271" t="str">
        <f>IFERROR(__xludf.DUMMYFUNCTION("""COMPUTED_VALUE"""),"貓狗企鵝")</f>
        <v>貓狗企鵝</v>
      </c>
      <c r="J2545" t="str">
        <f>IFERROR(__xludf.DUMMYFUNCTION("IFS(
  AND(REGEXMATCH(E2545, ""台銀籌備帳戶|玉山帳戶""), REGEXMATCH(C2545, ""薪資"")), ""分潤支出"",
  AND(REGEXMATCH(E2545, ""Ben帳戶|Elsa帳戶|Ben代墊|Ariel代墊|中信銀行共用""), REGEXMATCH(F2545, ""Ben帳戶|Elsa帳戶|Ben代墊|Ariel代墊|中信銀行共用"")), ""內部轉帳(忽略)"",
  AND(E2545&lt;&gt;"""", F2545&lt;&gt;"""", N"&amp;"OT(REGEXMATCH(C2545, ""薪資""))), ""內部轉帳(忽略)"",
  REGEXMATCH(C2545, ""薪資""), ""薪資變動(不計入)"",
  REGEXMATCH(C2545, ""押金""), ""押金往來"",
  AND(E2545&lt;&gt;"""", F2545=""""), ""真實支出"",
  AND(E2545="""", F2545&lt;&gt;""""), ""真實收入"",
  TRUE, ""其他""
)"),"真實收入")</f>
        <v>真實收入</v>
      </c>
      <c r="K2545" s="270">
        <f t="shared" si="2"/>
        <v>14800</v>
      </c>
      <c r="L2545">
        <f t="shared" si="3"/>
        <v>0</v>
      </c>
    </row>
    <row r="2546">
      <c r="A2546" s="107">
        <f>IFERROR(__xludf.DUMMYFUNCTION("""COMPUTED_VALUE"""),45906.0)</f>
        <v>45906</v>
      </c>
      <c r="B2546" t="str">
        <f>IFERROR(__xludf.DUMMYFUNCTION("""COMPUTED_VALUE"""),"書香RoomG IKEA衣櫃")</f>
        <v>書香RoomG IKEA衣櫃</v>
      </c>
      <c r="C2546" t="str">
        <f>IFERROR(__xludf.DUMMYFUNCTION("""COMPUTED_VALUE"""),"成本 - 租後修繕")</f>
        <v>成本 - 租後修繕</v>
      </c>
      <c r="D2546" s="270">
        <f>IFERROR(__xludf.DUMMYFUNCTION("""COMPUTED_VALUE"""),-7309.0)</f>
        <v>-7309</v>
      </c>
      <c r="E2546" t="str">
        <f>IFERROR(__xludf.DUMMYFUNCTION("""COMPUTED_VALUE"""),"Elsa帳戶")</f>
        <v>Elsa帳戶</v>
      </c>
      <c r="G2546" t="str">
        <f>IFERROR(__xludf.DUMMYFUNCTION("""COMPUTED_VALUE"""),"書香民生")</f>
        <v>書香民生</v>
      </c>
      <c r="H2546" s="106" t="str">
        <f t="shared" si="1"/>
        <v>2025-09</v>
      </c>
      <c r="I2546" s="271" t="str">
        <f>IFERROR(__xludf.DUMMYFUNCTION("""COMPUTED_VALUE"""),"貓狗企鵝")</f>
        <v>貓狗企鵝</v>
      </c>
      <c r="J2546" t="str">
        <f>IFERROR(__xludf.DUMMYFUNCTION("IFS(
  AND(REGEXMATCH(E2546, ""台銀籌備帳戶|玉山帳戶""), REGEXMATCH(C2546, ""薪資"")), ""分潤支出"",
  AND(REGEXMATCH(E2546, ""Ben帳戶|Elsa帳戶|Ben代墊|Ariel代墊|中信銀行共用""), REGEXMATCH(F2546, ""Ben帳戶|Elsa帳戶|Ben代墊|Ariel代墊|中信銀行共用"")), ""內部轉帳(忽略)"",
  AND(E2546&lt;&gt;"""", F2546&lt;&gt;"""", N"&amp;"OT(REGEXMATCH(C2546, ""薪資""))), ""內部轉帳(忽略)"",
  REGEXMATCH(C2546, ""薪資""), ""薪資變動(不計入)"",
  REGEXMATCH(C2546, ""押金""), ""押金往來"",
  AND(E2546&lt;&gt;"""", F2546=""""), ""真實支出"",
  AND(E2546="""", F2546&lt;&gt;""""), ""真實收入"",
  TRUE, ""其他""
)"),"真實支出")</f>
        <v>真實支出</v>
      </c>
      <c r="K2546" s="270">
        <f t="shared" si="2"/>
        <v>-7309</v>
      </c>
      <c r="L2546">
        <f t="shared" si="3"/>
        <v>0</v>
      </c>
    </row>
    <row r="2547">
      <c r="A2547" s="107">
        <f>IFERROR(__xludf.DUMMYFUNCTION("""COMPUTED_VALUE"""),45909.0)</f>
        <v>45909</v>
      </c>
      <c r="B2547" t="str">
        <f>IFERROR(__xludf.DUMMYFUNCTION("""COMPUTED_VALUE"""),"垃可8月")</f>
        <v>垃可8月</v>
      </c>
      <c r="C2547" t="str">
        <f>IFERROR(__xludf.DUMMYFUNCTION("""COMPUTED_VALUE"""),"成本 - 固定開銷(網路代收清潔)")</f>
        <v>成本 - 固定開銷(網路代收清潔)</v>
      </c>
      <c r="D2547" s="270">
        <f>IFERROR(__xludf.DUMMYFUNCTION("""COMPUTED_VALUE"""),-6200.0)</f>
        <v>-6200</v>
      </c>
      <c r="E2547" t="str">
        <f>IFERROR(__xludf.DUMMYFUNCTION("""COMPUTED_VALUE"""),"Ben帳戶")</f>
        <v>Ben帳戶</v>
      </c>
      <c r="G2547" t="str">
        <f>IFERROR(__xludf.DUMMYFUNCTION("""COMPUTED_VALUE"""),"無法分類")</f>
        <v>無法分類</v>
      </c>
      <c r="H2547" s="106" t="str">
        <f t="shared" si="1"/>
        <v>2025-09</v>
      </c>
      <c r="I2547" s="271" t="str">
        <f>IFERROR(__xludf.DUMMYFUNCTION("""COMPUTED_VALUE"""),"貓狗企鵝")</f>
        <v>貓狗企鵝</v>
      </c>
      <c r="J2547" t="str">
        <f>IFERROR(__xludf.DUMMYFUNCTION("IFS(
  AND(REGEXMATCH(E2547, ""台銀籌備帳戶|玉山帳戶""), REGEXMATCH(C2547, ""薪資"")), ""分潤支出"",
  AND(REGEXMATCH(E2547, ""Ben帳戶|Elsa帳戶|Ben代墊|Ariel代墊|中信銀行共用""), REGEXMATCH(F2547, ""Ben帳戶|Elsa帳戶|Ben代墊|Ariel代墊|中信銀行共用"")), ""內部轉帳(忽略)"",
  AND(E2547&lt;&gt;"""", F2547&lt;&gt;"""", N"&amp;"OT(REGEXMATCH(C2547, ""薪資""))), ""內部轉帳(忽略)"",
  REGEXMATCH(C2547, ""薪資""), ""薪資變動(不計入)"",
  REGEXMATCH(C2547, ""押金""), ""押金往來"",
  AND(E2547&lt;&gt;"""", F2547=""""), ""真實支出"",
  AND(E2547="""", F2547&lt;&gt;""""), ""真實收入"",
  TRUE, ""其他""
)"),"真實支出")</f>
        <v>真實支出</v>
      </c>
      <c r="K2547" s="270">
        <f t="shared" si="2"/>
        <v>-6200</v>
      </c>
      <c r="L2547">
        <f t="shared" si="3"/>
        <v>0</v>
      </c>
    </row>
    <row r="2548">
      <c r="A2548" s="107">
        <f>IFERROR(__xludf.DUMMYFUNCTION("""COMPUTED_VALUE"""),45911.0)</f>
        <v>45911</v>
      </c>
      <c r="B2548" t="str">
        <f>IFERROR(__xludf.DUMMYFUNCTION("""COMPUTED_VALUE"""),"典蓉 6-9月 打工費")</f>
        <v>典蓉 6-9月 打工費</v>
      </c>
      <c r="C2548" t="str">
        <f>IFERROR(__xludf.DUMMYFUNCTION("""COMPUTED_VALUE"""),"費用 - 人力成本")</f>
        <v>費用 - 人力成本</v>
      </c>
      <c r="D2548" s="270">
        <f>IFERROR(__xludf.DUMMYFUNCTION("""COMPUTED_VALUE"""),-1000.0)</f>
        <v>-1000</v>
      </c>
      <c r="E2548" t="str">
        <f>IFERROR(__xludf.DUMMYFUNCTION("""COMPUTED_VALUE"""),"Ben帳戶")</f>
        <v>Ben帳戶</v>
      </c>
      <c r="H2548" s="106" t="str">
        <f t="shared" si="1"/>
        <v>2025-09</v>
      </c>
      <c r="I2548" s="271" t="str">
        <f>IFERROR(__xludf.DUMMYFUNCTION("""COMPUTED_VALUE"""),"貓狗企鵝")</f>
        <v>貓狗企鵝</v>
      </c>
      <c r="J2548" t="str">
        <f>IFERROR(__xludf.DUMMYFUNCTION("IFS(
  AND(REGEXMATCH(E2548, ""台銀籌備帳戶|玉山帳戶""), REGEXMATCH(C2548, ""薪資"")), ""分潤支出"",
  AND(REGEXMATCH(E2548, ""Ben帳戶|Elsa帳戶|Ben代墊|Ariel代墊|中信銀行共用""), REGEXMATCH(F2548, ""Ben帳戶|Elsa帳戶|Ben代墊|Ariel代墊|中信銀行共用"")), ""內部轉帳(忽略)"",
  AND(E2548&lt;&gt;"""", F2548&lt;&gt;"""", N"&amp;"OT(REGEXMATCH(C2548, ""薪資""))), ""內部轉帳(忽略)"",
  REGEXMATCH(C2548, ""薪資""), ""薪資變動(不計入)"",
  REGEXMATCH(C2548, ""押金""), ""押金往來"",
  AND(E2548&lt;&gt;"""", F2548=""""), ""真實支出"",
  AND(E2548="""", F2548&lt;&gt;""""), ""真實收入"",
  TRUE, ""其他""
)"),"真實支出")</f>
        <v>真實支出</v>
      </c>
      <c r="K2548" s="270">
        <f t="shared" si="2"/>
        <v>-1000</v>
      </c>
      <c r="L2548">
        <f t="shared" si="3"/>
        <v>0</v>
      </c>
    </row>
    <row r="2549">
      <c r="A2549" s="107">
        <f>IFERROR(__xludf.DUMMYFUNCTION("""COMPUTED_VALUE"""),45917.0)</f>
        <v>45917</v>
      </c>
      <c r="B2549" t="str">
        <f>IFERROR(__xludf.DUMMYFUNCTION("""COMPUTED_VALUE"""),"景安 大大寬頻")</f>
        <v>景安 大大寬頻</v>
      </c>
      <c r="C2549" t="str">
        <f>IFERROR(__xludf.DUMMYFUNCTION("""COMPUTED_VALUE"""),"成本 - 固定開銷(網路代收清潔)")</f>
        <v>成本 - 固定開銷(網路代收清潔)</v>
      </c>
      <c r="D2549" s="270">
        <f>IFERROR(__xludf.DUMMYFUNCTION("""COMPUTED_VALUE"""),-1500.0)</f>
        <v>-1500</v>
      </c>
      <c r="E2549" t="str">
        <f>IFERROR(__xludf.DUMMYFUNCTION("""COMPUTED_VALUE"""),"Ben帳戶")</f>
        <v>Ben帳戶</v>
      </c>
      <c r="G2549" t="str">
        <f>IFERROR(__xludf.DUMMYFUNCTION("""COMPUTED_VALUE"""),"景安2分鐘")</f>
        <v>景安2分鐘</v>
      </c>
      <c r="H2549" s="106" t="str">
        <f t="shared" si="1"/>
        <v>2025-09</v>
      </c>
      <c r="I2549" s="271" t="str">
        <f>IFERROR(__xludf.DUMMYFUNCTION("""COMPUTED_VALUE"""),"貓狗企鵝")</f>
        <v>貓狗企鵝</v>
      </c>
      <c r="J2549" t="str">
        <f>IFERROR(__xludf.DUMMYFUNCTION("IFS(
  AND(REGEXMATCH(E2549, ""台銀籌備帳戶|玉山帳戶""), REGEXMATCH(C2549, ""薪資"")), ""分潤支出"",
  AND(REGEXMATCH(E2549, ""Ben帳戶|Elsa帳戶|Ben代墊|Ariel代墊|中信銀行共用""), REGEXMATCH(F2549, ""Ben帳戶|Elsa帳戶|Ben代墊|Ariel代墊|中信銀行共用"")), ""內部轉帳(忽略)"",
  AND(E2549&lt;&gt;"""", F2549&lt;&gt;"""", N"&amp;"OT(REGEXMATCH(C2549, ""薪資""))), ""內部轉帳(忽略)"",
  REGEXMATCH(C2549, ""薪資""), ""薪資變動(不計入)"",
  REGEXMATCH(C2549, ""押金""), ""押金往來"",
  AND(E2549&lt;&gt;"""", F2549=""""), ""真實支出"",
  AND(E2549="""", F2549&lt;&gt;""""), ""真實收入"",
  TRUE, ""其他""
)"),"真實支出")</f>
        <v>真實支出</v>
      </c>
      <c r="K2549" s="270">
        <f t="shared" si="2"/>
        <v>-1500</v>
      </c>
      <c r="L2549">
        <f t="shared" si="3"/>
        <v>0</v>
      </c>
    </row>
    <row r="2550">
      <c r="A2550" s="107">
        <f>IFERROR(__xludf.DUMMYFUNCTION("""COMPUTED_VALUE"""),45917.0)</f>
        <v>45917</v>
      </c>
      <c r="B2550" t="str">
        <f>IFERROR(__xludf.DUMMYFUNCTION("""COMPUTED_VALUE"""),"金龍8-9月垃圾代收")</f>
        <v>金龍8-9月垃圾代收</v>
      </c>
      <c r="C2550" t="str">
        <f>IFERROR(__xludf.DUMMYFUNCTION("""COMPUTED_VALUE"""),"成本 - 固定開銷(網路代收清潔)")</f>
        <v>成本 - 固定開銷(網路代收清潔)</v>
      </c>
      <c r="D2550" s="270">
        <f>IFERROR(__xludf.DUMMYFUNCTION("""COMPUTED_VALUE"""),-800.0)</f>
        <v>-800</v>
      </c>
      <c r="E2550" t="str">
        <f>IFERROR(__xludf.DUMMYFUNCTION("""COMPUTED_VALUE"""),"Elsa帳戶")</f>
        <v>Elsa帳戶</v>
      </c>
      <c r="G2550" t="str">
        <f>IFERROR(__xludf.DUMMYFUNCTION("""COMPUTED_VALUE"""),"金龍帽子先生")</f>
        <v>金龍帽子先生</v>
      </c>
      <c r="H2550" s="106" t="str">
        <f t="shared" si="1"/>
        <v>2025-09</v>
      </c>
      <c r="I2550" s="271" t="str">
        <f>IFERROR(__xludf.DUMMYFUNCTION("""COMPUTED_VALUE"""),"貓狗企鵝")</f>
        <v>貓狗企鵝</v>
      </c>
      <c r="J2550" t="str">
        <f>IFERROR(__xludf.DUMMYFUNCTION("IFS(
  AND(REGEXMATCH(E2550, ""台銀籌備帳戶|玉山帳戶""), REGEXMATCH(C2550, ""薪資"")), ""分潤支出"",
  AND(REGEXMATCH(E2550, ""Ben帳戶|Elsa帳戶|Ben代墊|Ariel代墊|中信銀行共用""), REGEXMATCH(F2550, ""Ben帳戶|Elsa帳戶|Ben代墊|Ariel代墊|中信銀行共用"")), ""內部轉帳(忽略)"",
  AND(E2550&lt;&gt;"""", F2550&lt;&gt;"""", N"&amp;"OT(REGEXMATCH(C2550, ""薪資""))), ""內部轉帳(忽略)"",
  REGEXMATCH(C2550, ""薪資""), ""薪資變動(不計入)"",
  REGEXMATCH(C2550, ""押金""), ""押金往來"",
  AND(E2550&lt;&gt;"""", F2550=""""), ""真實支出"",
  AND(E2550="""", F2550&lt;&gt;""""), ""真實收入"",
  TRUE, ""其他""
)"),"真實支出")</f>
        <v>真實支出</v>
      </c>
      <c r="K2550" s="270">
        <f t="shared" si="2"/>
        <v>-800</v>
      </c>
      <c r="L2550">
        <f t="shared" si="3"/>
        <v>0</v>
      </c>
    </row>
    <row r="2551">
      <c r="A2551" s="107">
        <f>IFERROR(__xludf.DUMMYFUNCTION("""COMPUTED_VALUE"""),45917.0)</f>
        <v>45917</v>
      </c>
      <c r="B2551" t="str">
        <f>IFERROR(__xludf.DUMMYFUNCTION("""COMPUTED_VALUE"""),"德行東路 定金")</f>
        <v>德行東路 定金</v>
      </c>
      <c r="C2551" t="str">
        <f>IFERROR(__xludf.DUMMYFUNCTION("""COMPUTED_VALUE"""),"成本 - 對屋主押金")</f>
        <v>成本 - 對屋主押金</v>
      </c>
      <c r="D2551" s="270">
        <f>IFERROR(__xludf.DUMMYFUNCTION("""COMPUTED_VALUE"""),-39600.0)</f>
        <v>-39600</v>
      </c>
      <c r="E2551" t="str">
        <f>IFERROR(__xludf.DUMMYFUNCTION("""COMPUTED_VALUE"""),"Ben帳戶")</f>
        <v>Ben帳戶</v>
      </c>
      <c r="G2551" t="str">
        <f>IFERROR(__xludf.DUMMYFUNCTION("""COMPUTED_VALUE"""),"天母搜狗")</f>
        <v>天母搜狗</v>
      </c>
      <c r="H2551" s="106" t="str">
        <f t="shared" si="1"/>
        <v>2025-09</v>
      </c>
      <c r="I2551" s="271" t="str">
        <f>IFERROR(__xludf.DUMMYFUNCTION("""COMPUTED_VALUE"""),"貓狗企鵝")</f>
        <v>貓狗企鵝</v>
      </c>
      <c r="J2551" t="str">
        <f>IFERROR(__xludf.DUMMYFUNCTION("IFS(
  AND(REGEXMATCH(E2551, ""台銀籌備帳戶|玉山帳戶""), REGEXMATCH(C2551, ""薪資"")), ""分潤支出"",
  AND(REGEXMATCH(E2551, ""Ben帳戶|Elsa帳戶|Ben代墊|Ariel代墊|中信銀行共用""), REGEXMATCH(F2551, ""Ben帳戶|Elsa帳戶|Ben代墊|Ariel代墊|中信銀行共用"")), ""內部轉帳(忽略)"",
  AND(E2551&lt;&gt;"""", F2551&lt;&gt;"""", N"&amp;"OT(REGEXMATCH(C2551, ""薪資""))), ""內部轉帳(忽略)"",
  REGEXMATCH(C2551, ""薪資""), ""薪資變動(不計入)"",
  REGEXMATCH(C2551, ""押金""), ""押金往來"",
  AND(E2551&lt;&gt;"""", F2551=""""), ""真實支出"",
  AND(E2551="""", F2551&lt;&gt;""""), ""真實收入"",
  TRUE, ""其他""
)"),"押金往來")</f>
        <v>押金往來</v>
      </c>
      <c r="K2551">
        <f t="shared" si="2"/>
        <v>0</v>
      </c>
      <c r="L2551">
        <f t="shared" si="3"/>
        <v>0</v>
      </c>
    </row>
    <row r="2552">
      <c r="A2552" s="107">
        <f>IFERROR(__xludf.DUMMYFUNCTION("""COMPUTED_VALUE"""),45918.0)</f>
        <v>45918</v>
      </c>
      <c r="B2552" t="str">
        <f>IFERROR(__xludf.DUMMYFUNCTION("""COMPUTED_VALUE"""),"德行東路 鑰匙")</f>
        <v>德行東路 鑰匙</v>
      </c>
      <c r="C2552" t="str">
        <f>IFERROR(__xludf.DUMMYFUNCTION("""COMPUTED_VALUE"""),"成本 - 進場前裝潢費")</f>
        <v>成本 - 進場前裝潢費</v>
      </c>
      <c r="D2552" s="270">
        <f>IFERROR(__xludf.DUMMYFUNCTION("""COMPUTED_VALUE"""),-420.0)</f>
        <v>-420</v>
      </c>
      <c r="E2552" t="str">
        <f>IFERROR(__xludf.DUMMYFUNCTION("""COMPUTED_VALUE"""),"Elsa帳戶")</f>
        <v>Elsa帳戶</v>
      </c>
      <c r="G2552" t="str">
        <f>IFERROR(__xludf.DUMMYFUNCTION("""COMPUTED_VALUE"""),"天母搜狗")</f>
        <v>天母搜狗</v>
      </c>
      <c r="H2552" s="106" t="str">
        <f t="shared" si="1"/>
        <v>2025-09</v>
      </c>
      <c r="I2552" s="271" t="str">
        <f>IFERROR(__xludf.DUMMYFUNCTION("""COMPUTED_VALUE"""),"貓狗企鵝")</f>
        <v>貓狗企鵝</v>
      </c>
      <c r="J2552" t="str">
        <f>IFERROR(__xludf.DUMMYFUNCTION("IFS(
  AND(REGEXMATCH(E2552, ""台銀籌備帳戶|玉山帳戶""), REGEXMATCH(C2552, ""薪資"")), ""分潤支出"",
  AND(REGEXMATCH(E2552, ""Ben帳戶|Elsa帳戶|Ben代墊|Ariel代墊|中信銀行共用""), REGEXMATCH(F2552, ""Ben帳戶|Elsa帳戶|Ben代墊|Ariel代墊|中信銀行共用"")), ""內部轉帳(忽略)"",
  AND(E2552&lt;&gt;"""", F2552&lt;&gt;"""", N"&amp;"OT(REGEXMATCH(C2552, ""薪資""))), ""內部轉帳(忽略)"",
  REGEXMATCH(C2552, ""薪資""), ""薪資變動(不計入)"",
  REGEXMATCH(C2552, ""押金""), ""押金往來"",
  AND(E2552&lt;&gt;"""", F2552=""""), ""真實支出"",
  AND(E2552="""", F2552&lt;&gt;""""), ""真實收入"",
  TRUE, ""其他""
)"),"真實支出")</f>
        <v>真實支出</v>
      </c>
      <c r="K2552" s="270">
        <f t="shared" si="2"/>
        <v>-420</v>
      </c>
      <c r="L2552">
        <f t="shared" si="3"/>
        <v>0</v>
      </c>
    </row>
    <row r="2553">
      <c r="A2553" s="107">
        <f>IFERROR(__xludf.DUMMYFUNCTION("""COMPUTED_VALUE"""),45919.0)</f>
        <v>45919</v>
      </c>
      <c r="B2553" t="str">
        <f>IFERROR(__xludf.DUMMYFUNCTION("""COMPUTED_VALUE"""),"寶琳書香清潔")</f>
        <v>寶琳書香清潔</v>
      </c>
      <c r="C2553" t="str">
        <f>IFERROR(__xludf.DUMMYFUNCTION("""COMPUTED_VALUE"""),"成本 - 固定開銷(網路代收清潔)")</f>
        <v>成本 - 固定開銷(網路代收清潔)</v>
      </c>
      <c r="D2553" s="270">
        <f>IFERROR(__xludf.DUMMYFUNCTION("""COMPUTED_VALUE"""),-1050.0)</f>
        <v>-1050</v>
      </c>
      <c r="E2553" t="str">
        <f>IFERROR(__xludf.DUMMYFUNCTION("""COMPUTED_VALUE"""),"Elsa帳戶")</f>
        <v>Elsa帳戶</v>
      </c>
      <c r="G2553" t="str">
        <f>IFERROR(__xludf.DUMMYFUNCTION("""COMPUTED_VALUE"""),"書香民生")</f>
        <v>書香民生</v>
      </c>
      <c r="H2553" s="106" t="str">
        <f t="shared" si="1"/>
        <v>2025-09</v>
      </c>
      <c r="I2553" s="271" t="str">
        <f>IFERROR(__xludf.DUMMYFUNCTION("""COMPUTED_VALUE"""),"貓狗企鵝")</f>
        <v>貓狗企鵝</v>
      </c>
      <c r="J2553" t="str">
        <f>IFERROR(__xludf.DUMMYFUNCTION("IFS(
  AND(REGEXMATCH(E2553, ""台銀籌備帳戶|玉山帳戶""), REGEXMATCH(C2553, ""薪資"")), ""分潤支出"",
  AND(REGEXMATCH(E2553, ""Ben帳戶|Elsa帳戶|Ben代墊|Ariel代墊|中信銀行共用""), REGEXMATCH(F2553, ""Ben帳戶|Elsa帳戶|Ben代墊|Ariel代墊|中信銀行共用"")), ""內部轉帳(忽略)"",
  AND(E2553&lt;&gt;"""", F2553&lt;&gt;"""", N"&amp;"OT(REGEXMATCH(C2553, ""薪資""))), ""內部轉帳(忽略)"",
  REGEXMATCH(C2553, ""薪資""), ""薪資變動(不計入)"",
  REGEXMATCH(C2553, ""押金""), ""押金往來"",
  AND(E2553&lt;&gt;"""", F2553=""""), ""真實支出"",
  AND(E2553="""", F2553&lt;&gt;""""), ""真實收入"",
  TRUE, ""其他""
)"),"真實支出")</f>
        <v>真實支出</v>
      </c>
      <c r="K2553" s="270">
        <f t="shared" si="2"/>
        <v>-1050</v>
      </c>
      <c r="L2553">
        <f t="shared" si="3"/>
        <v>0</v>
      </c>
    </row>
    <row r="2554">
      <c r="A2554" s="107">
        <f>IFERROR(__xludf.DUMMYFUNCTION("""COMPUTED_VALUE"""),45931.0)</f>
        <v>45931</v>
      </c>
      <c r="B2554" t="str">
        <f>IFERROR(__xludf.DUMMYFUNCTION("""COMPUTED_VALUE"""),"B房IKEA書桌")</f>
        <v>B房IKEA書桌</v>
      </c>
      <c r="C2554" t="str">
        <f>IFERROR(__xludf.DUMMYFUNCTION("""COMPUTED_VALUE"""),"成本 - 租後修繕")</f>
        <v>成本 - 租後修繕</v>
      </c>
      <c r="D2554" s="270">
        <f>IFERROR(__xludf.DUMMYFUNCTION("""COMPUTED_VALUE"""),-1349.0)</f>
        <v>-1349</v>
      </c>
      <c r="E2554" t="str">
        <f>IFERROR(__xludf.DUMMYFUNCTION("""COMPUTED_VALUE"""),"Elsa帳戶")</f>
        <v>Elsa帳戶</v>
      </c>
      <c r="G2554" t="str">
        <f>IFERROR(__xludf.DUMMYFUNCTION("""COMPUTED_VALUE"""),"南港站挑高宅")</f>
        <v>南港站挑高宅</v>
      </c>
      <c r="H2554" s="106" t="str">
        <f t="shared" si="1"/>
        <v>2025-10</v>
      </c>
      <c r="I2554" s="271" t="str">
        <f>IFERROR(__xludf.DUMMYFUNCTION("""COMPUTED_VALUE"""),"貓狗企鵝")</f>
        <v>貓狗企鵝</v>
      </c>
      <c r="J2554" t="str">
        <f>IFERROR(__xludf.DUMMYFUNCTION("IFS(
  AND(REGEXMATCH(E2554, ""台銀籌備帳戶|玉山帳戶""), REGEXMATCH(C2554, ""薪資"")), ""分潤支出"",
  AND(REGEXMATCH(E2554, ""Ben帳戶|Elsa帳戶|Ben代墊|Ariel代墊|中信銀行共用""), REGEXMATCH(F2554, ""Ben帳戶|Elsa帳戶|Ben代墊|Ariel代墊|中信銀行共用"")), ""內部轉帳(忽略)"",
  AND(E2554&lt;&gt;"""", F2554&lt;&gt;"""", N"&amp;"OT(REGEXMATCH(C2554, ""薪資""))), ""內部轉帳(忽略)"",
  REGEXMATCH(C2554, ""薪資""), ""薪資變動(不計入)"",
  REGEXMATCH(C2554, ""押金""), ""押金往來"",
  AND(E2554&lt;&gt;"""", F2554=""""), ""真實支出"",
  AND(E2554="""", F2554&lt;&gt;""""), ""真實收入"",
  TRUE, ""其他""
)"),"真實支出")</f>
        <v>真實支出</v>
      </c>
      <c r="K2554" s="270">
        <f t="shared" si="2"/>
        <v>-1349</v>
      </c>
      <c r="L2554">
        <f t="shared" si="3"/>
        <v>0</v>
      </c>
    </row>
    <row r="2555">
      <c r="A2555" s="107">
        <f>IFERROR(__xludf.DUMMYFUNCTION("""COMPUTED_VALUE"""),45932.0)</f>
        <v>45932</v>
      </c>
      <c r="B2555" t="str">
        <f>IFERROR(__xludf.DUMMYFUNCTION("""COMPUTED_VALUE"""),"霈琪押金")</f>
        <v>霈琪押金</v>
      </c>
      <c r="C2555" t="str">
        <f>IFERROR(__xludf.DUMMYFUNCTION("""COMPUTED_VALUE"""),"收入 - 押金")</f>
        <v>收入 - 押金</v>
      </c>
      <c r="D2555" s="270">
        <f>IFERROR(__xludf.DUMMYFUNCTION("""COMPUTED_VALUE"""),-4340.0)</f>
        <v>-4340</v>
      </c>
      <c r="E2555" t="str">
        <f>IFERROR(__xludf.DUMMYFUNCTION("""COMPUTED_VALUE"""),"Elsa帳戶")</f>
        <v>Elsa帳戶</v>
      </c>
      <c r="G2555" t="str">
        <f>IFERROR(__xludf.DUMMYFUNCTION("""COMPUTED_VALUE"""),"龍江229")</f>
        <v>龍江229</v>
      </c>
      <c r="H2555" s="106" t="str">
        <f t="shared" si="1"/>
        <v>2025-10</v>
      </c>
      <c r="I2555" s="271" t="str">
        <f>IFERROR(__xludf.DUMMYFUNCTION("""COMPUTED_VALUE"""),"貓狗企鵝")</f>
        <v>貓狗企鵝</v>
      </c>
      <c r="J2555" t="str">
        <f>IFERROR(__xludf.DUMMYFUNCTION("IFS(
  AND(REGEXMATCH(E2555, ""台銀籌備帳戶|玉山帳戶""), REGEXMATCH(C2555, ""薪資"")), ""分潤支出"",
  AND(REGEXMATCH(E2555, ""Ben帳戶|Elsa帳戶|Ben代墊|Ariel代墊|中信銀行共用""), REGEXMATCH(F2555, ""Ben帳戶|Elsa帳戶|Ben代墊|Ariel代墊|中信銀行共用"")), ""內部轉帳(忽略)"",
  AND(E2555&lt;&gt;"""", F2555&lt;&gt;"""", N"&amp;"OT(REGEXMATCH(C2555, ""薪資""))), ""內部轉帳(忽略)"",
  REGEXMATCH(C2555, ""薪資""), ""薪資變動(不計入)"",
  REGEXMATCH(C2555, ""押金""), ""押金往來"",
  AND(E2555&lt;&gt;"""", F2555=""""), ""真實支出"",
  AND(E2555="""", F2555&lt;&gt;""""), ""真實收入"",
  TRUE, ""其他""
)"),"押金往來")</f>
        <v>押金往來</v>
      </c>
      <c r="K2555">
        <f t="shared" si="2"/>
        <v>0</v>
      </c>
      <c r="L2555">
        <f t="shared" si="3"/>
        <v>0</v>
      </c>
    </row>
    <row r="2556">
      <c r="A2556" s="107">
        <f>IFERROR(__xludf.DUMMYFUNCTION("""COMPUTED_VALUE"""),45933.0)</f>
        <v>45933</v>
      </c>
      <c r="B2556" t="str">
        <f>IFERROR(__xludf.DUMMYFUNCTION("""COMPUTED_VALUE"""),"天母搜狗 押金")</f>
        <v>天母搜狗 押金</v>
      </c>
      <c r="C2556" t="str">
        <f>IFERROR(__xludf.DUMMYFUNCTION("""COMPUTED_VALUE"""),"成本 - 大租金")</f>
        <v>成本 - 大租金</v>
      </c>
      <c r="D2556" s="270">
        <f>IFERROR(__xludf.DUMMYFUNCTION("""COMPUTED_VALUE"""),-12135.0)</f>
        <v>-12135</v>
      </c>
      <c r="E2556" t="str">
        <f>IFERROR(__xludf.DUMMYFUNCTION("""COMPUTED_VALUE"""),"Ben帳戶")</f>
        <v>Ben帳戶</v>
      </c>
      <c r="G2556" t="str">
        <f>IFERROR(__xludf.DUMMYFUNCTION("""COMPUTED_VALUE"""),"天母搜狗")</f>
        <v>天母搜狗</v>
      </c>
      <c r="H2556" s="106" t="str">
        <f t="shared" si="1"/>
        <v>2025-10</v>
      </c>
      <c r="I2556" s="271" t="str">
        <f>IFERROR(__xludf.DUMMYFUNCTION("""COMPUTED_VALUE"""),"貓狗企鵝")</f>
        <v>貓狗企鵝</v>
      </c>
      <c r="J2556" t="str">
        <f>IFERROR(__xludf.DUMMYFUNCTION("IFS(
  AND(REGEXMATCH(E2556, ""台銀籌備帳戶|玉山帳戶""), REGEXMATCH(C2556, ""薪資"")), ""分潤支出"",
  AND(REGEXMATCH(E2556, ""Ben帳戶|Elsa帳戶|Ben代墊|Ariel代墊|中信銀行共用""), REGEXMATCH(F2556, ""Ben帳戶|Elsa帳戶|Ben代墊|Ariel代墊|中信銀行共用"")), ""內部轉帳(忽略)"",
  AND(E2556&lt;&gt;"""", F2556&lt;&gt;"""", N"&amp;"OT(REGEXMATCH(C2556, ""薪資""))), ""內部轉帳(忽略)"",
  REGEXMATCH(C2556, ""薪資""), ""薪資變動(不計入)"",
  REGEXMATCH(C2556, ""押金""), ""押金往來"",
  AND(E2556&lt;&gt;"""", F2556=""""), ""真實支出"",
  AND(E2556="""", F2556&lt;&gt;""""), ""真實收入"",
  TRUE, ""其他""
)"),"真實支出")</f>
        <v>真實支出</v>
      </c>
      <c r="K2556" s="270">
        <f t="shared" si="2"/>
        <v>-12135</v>
      </c>
      <c r="L2556">
        <f t="shared" si="3"/>
        <v>0</v>
      </c>
    </row>
    <row r="2557">
      <c r="A2557" s="107">
        <f>IFERROR(__xludf.DUMMYFUNCTION("""COMPUTED_VALUE"""),45933.0)</f>
        <v>45933</v>
      </c>
      <c r="B2557" t="str">
        <f>IFERROR(__xludf.DUMMYFUNCTION("""COMPUTED_VALUE"""),"天母搜狗 貝琪仲仲費")</f>
        <v>天母搜狗 貝琪仲仲費</v>
      </c>
      <c r="C2557" t="str">
        <f>IFERROR(__xludf.DUMMYFUNCTION("""COMPUTED_VALUE"""),"成本 - 仲介費")</f>
        <v>成本 - 仲介費</v>
      </c>
      <c r="D2557" s="270">
        <f>IFERROR(__xludf.DUMMYFUNCTION("""COMPUTED_VALUE"""),-30000.0)</f>
        <v>-30000</v>
      </c>
      <c r="E2557" t="str">
        <f>IFERROR(__xludf.DUMMYFUNCTION("""COMPUTED_VALUE"""),"Ben帳戶")</f>
        <v>Ben帳戶</v>
      </c>
      <c r="G2557" t="str">
        <f>IFERROR(__xludf.DUMMYFUNCTION("""COMPUTED_VALUE"""),"天母搜狗")</f>
        <v>天母搜狗</v>
      </c>
      <c r="H2557" s="106" t="str">
        <f t="shared" si="1"/>
        <v>2025-10</v>
      </c>
      <c r="I2557" s="271" t="str">
        <f>IFERROR(__xludf.DUMMYFUNCTION("""COMPUTED_VALUE"""),"貓狗企鵝")</f>
        <v>貓狗企鵝</v>
      </c>
      <c r="J2557" t="str">
        <f>IFERROR(__xludf.DUMMYFUNCTION("IFS(
  AND(REGEXMATCH(E2557, ""台銀籌備帳戶|玉山帳戶""), REGEXMATCH(C2557, ""薪資"")), ""分潤支出"",
  AND(REGEXMATCH(E2557, ""Ben帳戶|Elsa帳戶|Ben代墊|Ariel代墊|中信銀行共用""), REGEXMATCH(F2557, ""Ben帳戶|Elsa帳戶|Ben代墊|Ariel代墊|中信銀行共用"")), ""內部轉帳(忽略)"",
  AND(E2557&lt;&gt;"""", F2557&lt;&gt;"""", N"&amp;"OT(REGEXMATCH(C2557, ""薪資""))), ""內部轉帳(忽略)"",
  REGEXMATCH(C2557, ""薪資""), ""薪資變動(不計入)"",
  REGEXMATCH(C2557, ""押金""), ""押金往來"",
  AND(E2557&lt;&gt;"""", F2557=""""), ""真實支出"",
  AND(E2557="""", F2557&lt;&gt;""""), ""真實收入"",
  TRUE, ""其他""
)"),"真實支出")</f>
        <v>真實支出</v>
      </c>
      <c r="K2557" s="270">
        <f t="shared" si="2"/>
        <v>-30000</v>
      </c>
      <c r="L2557">
        <f t="shared" si="3"/>
        <v>0</v>
      </c>
    </row>
    <row r="2558">
      <c r="A2558" s="107">
        <f>IFERROR(__xludf.DUMMYFUNCTION("""COMPUTED_VALUE"""),45933.0)</f>
        <v>45933</v>
      </c>
      <c r="B2558" t="str">
        <f>IFERROR(__xludf.DUMMYFUNCTION("""COMPUTED_VALUE"""),"天母搜狗 公證費")</f>
        <v>天母搜狗 公證費</v>
      </c>
      <c r="C2558" t="str">
        <f>IFERROR(__xludf.DUMMYFUNCTION("""COMPUTED_VALUE"""),"成本 - 公證費")</f>
        <v>成本 - 公證費</v>
      </c>
      <c r="D2558" s="270">
        <f>IFERROR(__xludf.DUMMYFUNCTION("""COMPUTED_VALUE"""),-3750.0)</f>
        <v>-3750</v>
      </c>
      <c r="E2558" t="str">
        <f>IFERROR(__xludf.DUMMYFUNCTION("""COMPUTED_VALUE"""),"Ben帳戶")</f>
        <v>Ben帳戶</v>
      </c>
      <c r="G2558" t="str">
        <f>IFERROR(__xludf.DUMMYFUNCTION("""COMPUTED_VALUE"""),"天母搜狗")</f>
        <v>天母搜狗</v>
      </c>
      <c r="H2558" s="106" t="str">
        <f t="shared" si="1"/>
        <v>2025-10</v>
      </c>
      <c r="I2558" s="271" t="str">
        <f>IFERROR(__xludf.DUMMYFUNCTION("""COMPUTED_VALUE"""),"貓狗企鵝")</f>
        <v>貓狗企鵝</v>
      </c>
      <c r="J2558" t="str">
        <f>IFERROR(__xludf.DUMMYFUNCTION("IFS(
  AND(REGEXMATCH(E2558, ""台銀籌備帳戶|玉山帳戶""), REGEXMATCH(C2558, ""薪資"")), ""分潤支出"",
  AND(REGEXMATCH(E2558, ""Ben帳戶|Elsa帳戶|Ben代墊|Ariel代墊|中信銀行共用""), REGEXMATCH(F2558, ""Ben帳戶|Elsa帳戶|Ben代墊|Ariel代墊|中信銀行共用"")), ""內部轉帳(忽略)"",
  AND(E2558&lt;&gt;"""", F2558&lt;&gt;"""", N"&amp;"OT(REGEXMATCH(C2558, ""薪資""))), ""內部轉帳(忽略)"",
  REGEXMATCH(C2558, ""薪資""), ""薪資變動(不計入)"",
  REGEXMATCH(C2558, ""押金""), ""押金往來"",
  AND(E2558&lt;&gt;"""", F2558=""""), ""真實支出"",
  AND(E2558="""", F2558&lt;&gt;""""), ""真實收入"",
  TRUE, ""其他""
)"),"真實支出")</f>
        <v>真實支出</v>
      </c>
      <c r="K2558" s="270">
        <f t="shared" si="2"/>
        <v>-3750</v>
      </c>
      <c r="L2558">
        <f t="shared" si="3"/>
        <v>0</v>
      </c>
    </row>
    <row r="2559">
      <c r="A2559" s="107">
        <f>IFERROR(__xludf.DUMMYFUNCTION("""COMPUTED_VALUE"""),45933.0)</f>
        <v>45933</v>
      </c>
      <c r="B2559" t="str">
        <f>IFERROR(__xludf.DUMMYFUNCTION("""COMPUTED_VALUE"""),"葫洲維也納押金")</f>
        <v>葫洲維也納押金</v>
      </c>
      <c r="C2559" t="str">
        <f>IFERROR(__xludf.DUMMYFUNCTION("""COMPUTED_VALUE"""),"成本 - 對屋主押金")</f>
        <v>成本 - 對屋主押金</v>
      </c>
      <c r="D2559" s="270">
        <f>IFERROR(__xludf.DUMMYFUNCTION("""COMPUTED_VALUE"""),-57600.0)</f>
        <v>-57600</v>
      </c>
      <c r="E2559" t="str">
        <f>IFERROR(__xludf.DUMMYFUNCTION("""COMPUTED_VALUE"""),"Ben帳戶")</f>
        <v>Ben帳戶</v>
      </c>
      <c r="G2559" t="str">
        <f>IFERROR(__xludf.DUMMYFUNCTION("""COMPUTED_VALUE"""),"葫洲維也納")</f>
        <v>葫洲維也納</v>
      </c>
      <c r="H2559" s="106" t="str">
        <f t="shared" si="1"/>
        <v>2025-10</v>
      </c>
      <c r="I2559" s="271" t="str">
        <f>IFERROR(__xludf.DUMMYFUNCTION("""COMPUTED_VALUE"""),"貓狗企鵝")</f>
        <v>貓狗企鵝</v>
      </c>
      <c r="J2559" t="str">
        <f>IFERROR(__xludf.DUMMYFUNCTION("IFS(
  AND(REGEXMATCH(E2559, ""台銀籌備帳戶|玉山帳戶""), REGEXMATCH(C2559, ""薪資"")), ""分潤支出"",
  AND(REGEXMATCH(E2559, ""Ben帳戶|Elsa帳戶|Ben代墊|Ariel代墊|中信銀行共用""), REGEXMATCH(F2559, ""Ben帳戶|Elsa帳戶|Ben代墊|Ariel代墊|中信銀行共用"")), ""內部轉帳(忽略)"",
  AND(E2559&lt;&gt;"""", F2559&lt;&gt;"""", N"&amp;"OT(REGEXMATCH(C2559, ""薪資""))), ""內部轉帳(忽略)"",
  REGEXMATCH(C2559, ""薪資""), ""薪資變動(不計入)"",
  REGEXMATCH(C2559, ""押金""), ""押金往來"",
  AND(E2559&lt;&gt;"""", F2559=""""), ""真實支出"",
  AND(E2559="""", F2559&lt;&gt;""""), ""真實收入"",
  TRUE, ""其他""
)"),"押金往來")</f>
        <v>押金往來</v>
      </c>
      <c r="K2559">
        <f t="shared" si="2"/>
        <v>0</v>
      </c>
      <c r="L2559">
        <f t="shared" si="3"/>
        <v>0</v>
      </c>
    </row>
    <row r="2560">
      <c r="A2560" s="107">
        <f>IFERROR(__xludf.DUMMYFUNCTION("""COMPUTED_VALUE"""),45933.0)</f>
        <v>45933</v>
      </c>
      <c r="B2560" t="str">
        <f>IFERROR(__xludf.DUMMYFUNCTION("""COMPUTED_VALUE"""),"葫洲維也納租金2026 1月租金")</f>
        <v>葫洲維也納租金2026 1月租金</v>
      </c>
      <c r="C2560" t="str">
        <f>IFERROR(__xludf.DUMMYFUNCTION("""COMPUTED_VALUE"""),"成本 - 大租金")</f>
        <v>成本 - 大租金</v>
      </c>
      <c r="D2560" s="270">
        <f>IFERROR(__xludf.DUMMYFUNCTION("""COMPUTED_VALUE"""),-28800.0)</f>
        <v>-28800</v>
      </c>
      <c r="E2560" t="str">
        <f>IFERROR(__xludf.DUMMYFUNCTION("""COMPUTED_VALUE"""),"Ben帳戶")</f>
        <v>Ben帳戶</v>
      </c>
      <c r="G2560" t="str">
        <f>IFERROR(__xludf.DUMMYFUNCTION("""COMPUTED_VALUE"""),"葫洲維也納")</f>
        <v>葫洲維也納</v>
      </c>
      <c r="H2560" s="106" t="str">
        <f t="shared" si="1"/>
        <v>2025-10</v>
      </c>
      <c r="I2560" s="271" t="str">
        <f>IFERROR(__xludf.DUMMYFUNCTION("""COMPUTED_VALUE"""),"貓狗企鵝")</f>
        <v>貓狗企鵝</v>
      </c>
      <c r="J2560" t="str">
        <f>IFERROR(__xludf.DUMMYFUNCTION("IFS(
  AND(REGEXMATCH(E2560, ""台銀籌備帳戶|玉山帳戶""), REGEXMATCH(C2560, ""薪資"")), ""分潤支出"",
  AND(REGEXMATCH(E2560, ""Ben帳戶|Elsa帳戶|Ben代墊|Ariel代墊|中信銀行共用""), REGEXMATCH(F2560, ""Ben帳戶|Elsa帳戶|Ben代墊|Ariel代墊|中信銀行共用"")), ""內部轉帳(忽略)"",
  AND(E2560&lt;&gt;"""", F2560&lt;&gt;"""", N"&amp;"OT(REGEXMATCH(C2560, ""薪資""))), ""內部轉帳(忽略)"",
  REGEXMATCH(C2560, ""薪資""), ""薪資變動(不計入)"",
  REGEXMATCH(C2560, ""押金""), ""押金往來"",
  AND(E2560&lt;&gt;"""", F2560=""""), ""真實支出"",
  AND(E2560="""", F2560&lt;&gt;""""), ""真實收入"",
  TRUE, ""其他""
)"),"真實支出")</f>
        <v>真實支出</v>
      </c>
      <c r="K2560" s="270">
        <f t="shared" si="2"/>
        <v>-28800</v>
      </c>
      <c r="L2560">
        <f t="shared" si="3"/>
        <v>0</v>
      </c>
    </row>
    <row r="2561">
      <c r="A2561" s="107">
        <f>IFERROR(__xludf.DUMMYFUNCTION("""COMPUTED_VALUE"""),45933.0)</f>
        <v>45933</v>
      </c>
      <c r="B2561" t="str">
        <f>IFERROR(__xludf.DUMMYFUNCTION("""COMPUTED_VALUE"""),"葫洲維也納 公證費")</f>
        <v>葫洲維也納 公證費</v>
      </c>
      <c r="C2561" t="str">
        <f>IFERROR(__xludf.DUMMYFUNCTION("""COMPUTED_VALUE"""),"成本 - 公證費")</f>
        <v>成本 - 公證費</v>
      </c>
      <c r="D2561" s="270">
        <f>IFERROR(__xludf.DUMMYFUNCTION("""COMPUTED_VALUE"""),-3750.0)</f>
        <v>-3750</v>
      </c>
      <c r="E2561" t="str">
        <f>IFERROR(__xludf.DUMMYFUNCTION("""COMPUTED_VALUE"""),"Ben帳戶")</f>
        <v>Ben帳戶</v>
      </c>
      <c r="G2561" t="str">
        <f>IFERROR(__xludf.DUMMYFUNCTION("""COMPUTED_VALUE"""),"葫洲維也納")</f>
        <v>葫洲維也納</v>
      </c>
      <c r="H2561" s="106" t="str">
        <f t="shared" si="1"/>
        <v>2025-10</v>
      </c>
      <c r="I2561" s="271" t="str">
        <f>IFERROR(__xludf.DUMMYFUNCTION("""COMPUTED_VALUE"""),"貓狗企鵝")</f>
        <v>貓狗企鵝</v>
      </c>
      <c r="J2561" t="str">
        <f>IFERROR(__xludf.DUMMYFUNCTION("IFS(
  AND(REGEXMATCH(E2561, ""台銀籌備帳戶|玉山帳戶""), REGEXMATCH(C2561, ""薪資"")), ""分潤支出"",
  AND(REGEXMATCH(E2561, ""Ben帳戶|Elsa帳戶|Ben代墊|Ariel代墊|中信銀行共用""), REGEXMATCH(F2561, ""Ben帳戶|Elsa帳戶|Ben代墊|Ariel代墊|中信銀行共用"")), ""內部轉帳(忽略)"",
  AND(E2561&lt;&gt;"""", F2561&lt;&gt;"""", N"&amp;"OT(REGEXMATCH(C2561, ""薪資""))), ""內部轉帳(忽略)"",
  REGEXMATCH(C2561, ""薪資""), ""薪資變動(不計入)"",
  REGEXMATCH(C2561, ""押金""), ""押金往來"",
  AND(E2561&lt;&gt;"""", F2561=""""), ""真實支出"",
  AND(E2561="""", F2561&lt;&gt;""""), ""真實收入"",
  TRUE, ""其他""
)"),"真實支出")</f>
        <v>真實支出</v>
      </c>
      <c r="K2561" s="270">
        <f t="shared" si="2"/>
        <v>-3750</v>
      </c>
      <c r="L2561">
        <f t="shared" si="3"/>
        <v>0</v>
      </c>
    </row>
    <row r="2562">
      <c r="A2562" s="107">
        <f>IFERROR(__xludf.DUMMYFUNCTION("""COMPUTED_VALUE"""),45910.0)</f>
        <v>45910</v>
      </c>
      <c r="B2562" t="str">
        <f>IFERROR(__xludf.DUMMYFUNCTION("""COMPUTED_VALUE"""),"費用 - 匯費 對方行:011 後五碼:17078 (行號: 3)")</f>
        <v>費用 - 匯費 對方行:011 後五碼:17078 (行號: 3)</v>
      </c>
      <c r="C2562" t="str">
        <f>IFERROR(__xludf.DUMMYFUNCTION("""COMPUTED_VALUE"""),"費用 - 匯費")</f>
        <v>費用 - 匯費</v>
      </c>
      <c r="D2562" s="270">
        <f>IFERROR(__xludf.DUMMYFUNCTION("""COMPUTED_VALUE"""),-15.0)</f>
        <v>-15</v>
      </c>
      <c r="E2562" t="str">
        <f>IFERROR(__xludf.DUMMYFUNCTION("""COMPUTED_VALUE"""),"台銀籌備帳戶")</f>
        <v>台銀籌備帳戶</v>
      </c>
      <c r="H2562" s="106" t="str">
        <f t="shared" si="1"/>
        <v>2025-09</v>
      </c>
      <c r="I2562" s="271" t="str">
        <f>IFERROR(__xludf.DUMMYFUNCTION("""COMPUTED_VALUE"""),"貓狗企鵝")</f>
        <v>貓狗企鵝</v>
      </c>
      <c r="J2562" t="str">
        <f>IFERROR(__xludf.DUMMYFUNCTION("IFS(
  AND(REGEXMATCH(E2562, ""台銀籌備帳戶|玉山帳戶""), REGEXMATCH(C2562, ""薪資"")), ""分潤支出"",
  AND(REGEXMATCH(E2562, ""Ben帳戶|Elsa帳戶|Ben代墊|Ariel代墊|中信銀行共用""), REGEXMATCH(F2562, ""Ben帳戶|Elsa帳戶|Ben代墊|Ariel代墊|中信銀行共用"")), ""內部轉帳(忽略)"",
  AND(E2562&lt;&gt;"""", F2562&lt;&gt;"""", N"&amp;"OT(REGEXMATCH(C2562, ""薪資""))), ""內部轉帳(忽略)"",
  REGEXMATCH(C2562, ""薪資""), ""薪資變動(不計入)"",
  REGEXMATCH(C2562, ""押金""), ""押金往來"",
  AND(E2562&lt;&gt;"""", F2562=""""), ""真實支出"",
  AND(E2562="""", F2562&lt;&gt;""""), ""真實收入"",
  TRUE, ""其他""
)"),"真實支出")</f>
        <v>真實支出</v>
      </c>
      <c r="K2562" s="270">
        <f t="shared" si="2"/>
        <v>-15</v>
      </c>
      <c r="L2562">
        <f t="shared" si="3"/>
        <v>0</v>
      </c>
    </row>
    <row r="2563">
      <c r="A2563" s="107">
        <f>IFERROR(__xludf.DUMMYFUNCTION("""COMPUTED_VALUE"""),45910.0)</f>
        <v>45910</v>
      </c>
      <c r="B2563" t="str">
        <f>IFERROR(__xludf.DUMMYFUNCTION("""COMPUTED_VALUE"""),"[書香民生] [吳高寶玉] 大租金")</f>
        <v>[書香民生] [吳高寶玉] 大租金</v>
      </c>
      <c r="C2563" t="str">
        <f>IFERROR(__xludf.DUMMYFUNCTION("""COMPUTED_VALUE"""),"成本 - 大租金")</f>
        <v>成本 - 大租金</v>
      </c>
      <c r="D2563" s="270">
        <f>IFERROR(__xludf.DUMMYFUNCTION("""COMPUTED_VALUE"""),-16667.0)</f>
        <v>-16667</v>
      </c>
      <c r="E2563" t="str">
        <f>IFERROR(__xludf.DUMMYFUNCTION("""COMPUTED_VALUE"""),"台銀籌備帳戶")</f>
        <v>台銀籌備帳戶</v>
      </c>
      <c r="G2563" t="str">
        <f>IFERROR(__xludf.DUMMYFUNCTION("""COMPUTED_VALUE"""),"書香民生")</f>
        <v>書香民生</v>
      </c>
      <c r="H2563" s="106" t="str">
        <f t="shared" si="1"/>
        <v>2025-09</v>
      </c>
      <c r="I2563" s="271" t="str">
        <f>IFERROR(__xludf.DUMMYFUNCTION("""COMPUTED_VALUE"""),"貓狗企鵝")</f>
        <v>貓狗企鵝</v>
      </c>
      <c r="J2563" t="str">
        <f>IFERROR(__xludf.DUMMYFUNCTION("IFS(
  AND(REGEXMATCH(E2563, ""台銀籌備帳戶|玉山帳戶""), REGEXMATCH(C2563, ""薪資"")), ""分潤支出"",
  AND(REGEXMATCH(E2563, ""Ben帳戶|Elsa帳戶|Ben代墊|Ariel代墊|中信銀行共用""), REGEXMATCH(F2563, ""Ben帳戶|Elsa帳戶|Ben代墊|Ariel代墊|中信銀行共用"")), ""內部轉帳(忽略)"",
  AND(E2563&lt;&gt;"""", F2563&lt;&gt;"""", N"&amp;"OT(REGEXMATCH(C2563, ""薪資""))), ""內部轉帳(忽略)"",
  REGEXMATCH(C2563, ""薪資""), ""薪資變動(不計入)"",
  REGEXMATCH(C2563, ""押金""), ""押金往來"",
  AND(E2563&lt;&gt;"""", F2563=""""), ""真實支出"",
  AND(E2563="""", F2563&lt;&gt;""""), ""真實收入"",
  TRUE, ""其他""
)"),"真實支出")</f>
        <v>真實支出</v>
      </c>
      <c r="K2563" s="270">
        <f t="shared" si="2"/>
        <v>-16667</v>
      </c>
      <c r="L2563">
        <f t="shared" si="3"/>
        <v>0</v>
      </c>
    </row>
    <row r="2564">
      <c r="A2564" s="107">
        <f>IFERROR(__xludf.DUMMYFUNCTION("""COMPUTED_VALUE"""),45915.0)</f>
        <v>45915</v>
      </c>
      <c r="B2564" t="str">
        <f>IFERROR(__xludf.DUMMYFUNCTION("""COMPUTED_VALUE"""),"[南港站挑高宅] [林淑華] 大租金")</f>
        <v>[南港站挑高宅] [林淑華] 大租金</v>
      </c>
      <c r="C2564" t="str">
        <f>IFERROR(__xludf.DUMMYFUNCTION("""COMPUTED_VALUE"""),"成本 - 大租金")</f>
        <v>成本 - 大租金</v>
      </c>
      <c r="D2564" s="270">
        <f>IFERROR(__xludf.DUMMYFUNCTION("""COMPUTED_VALUE"""),-18250.0)</f>
        <v>-18250</v>
      </c>
      <c r="E2564" t="str">
        <f>IFERROR(__xludf.DUMMYFUNCTION("""COMPUTED_VALUE"""),"台銀籌備帳戶")</f>
        <v>台銀籌備帳戶</v>
      </c>
      <c r="G2564" t="str">
        <f>IFERROR(__xludf.DUMMYFUNCTION("""COMPUTED_VALUE"""),"南港站挑高宅")</f>
        <v>南港站挑高宅</v>
      </c>
      <c r="H2564" s="106" t="str">
        <f t="shared" si="1"/>
        <v>2025-09</v>
      </c>
      <c r="I2564" s="271" t="str">
        <f>IFERROR(__xludf.DUMMYFUNCTION("""COMPUTED_VALUE"""),"貓狗企鵝")</f>
        <v>貓狗企鵝</v>
      </c>
      <c r="J2564" t="str">
        <f>IFERROR(__xludf.DUMMYFUNCTION("IFS(
  AND(REGEXMATCH(E2564, ""台銀籌備帳戶|玉山帳戶""), REGEXMATCH(C2564, ""薪資"")), ""分潤支出"",
  AND(REGEXMATCH(E2564, ""Ben帳戶|Elsa帳戶|Ben代墊|Ariel代墊|中信銀行共用""), REGEXMATCH(F2564, ""Ben帳戶|Elsa帳戶|Ben代墊|Ariel代墊|中信銀行共用"")), ""內部轉帳(忽略)"",
  AND(E2564&lt;&gt;"""", F2564&lt;&gt;"""", N"&amp;"OT(REGEXMATCH(C2564, ""薪資""))), ""內部轉帳(忽略)"",
  REGEXMATCH(C2564, ""薪資""), ""薪資變動(不計入)"",
  REGEXMATCH(C2564, ""押金""), ""押金往來"",
  AND(E2564&lt;&gt;"""", F2564=""""), ""真實支出"",
  AND(E2564="""", F2564&lt;&gt;""""), ""真實收入"",
  TRUE, ""其他""
)"),"真實支出")</f>
        <v>真實支出</v>
      </c>
      <c r="K2564" s="270">
        <f t="shared" si="2"/>
        <v>-18250</v>
      </c>
      <c r="L2564">
        <f t="shared" si="3"/>
        <v>0</v>
      </c>
    </row>
    <row r="2565">
      <c r="A2565" s="107">
        <f>IFERROR(__xludf.DUMMYFUNCTION("""COMPUTED_VALUE"""),45915.0)</f>
        <v>45915</v>
      </c>
      <c r="B2565" t="str">
        <f>IFERROR(__xludf.DUMMYFUNCTION("""COMPUTED_VALUE"""),"費用 - 匯費 對方行:013 後五碼:43662 (行號: 5)")</f>
        <v>費用 - 匯費 對方行:013 後五碼:43662 (行號: 5)</v>
      </c>
      <c r="C2565" t="str">
        <f>IFERROR(__xludf.DUMMYFUNCTION("""COMPUTED_VALUE"""),"費用 - 匯費")</f>
        <v>費用 - 匯費</v>
      </c>
      <c r="D2565" s="270">
        <f>IFERROR(__xludf.DUMMYFUNCTION("""COMPUTED_VALUE"""),-15.0)</f>
        <v>-15</v>
      </c>
      <c r="E2565" t="str">
        <f>IFERROR(__xludf.DUMMYFUNCTION("""COMPUTED_VALUE"""),"台銀籌備帳戶")</f>
        <v>台銀籌備帳戶</v>
      </c>
      <c r="H2565" s="106" t="str">
        <f t="shared" si="1"/>
        <v>2025-09</v>
      </c>
      <c r="I2565" s="271" t="str">
        <f>IFERROR(__xludf.DUMMYFUNCTION("""COMPUTED_VALUE"""),"貓狗企鵝")</f>
        <v>貓狗企鵝</v>
      </c>
      <c r="J2565" t="str">
        <f>IFERROR(__xludf.DUMMYFUNCTION("IFS(
  AND(REGEXMATCH(E2565, ""台銀籌備帳戶|玉山帳戶""), REGEXMATCH(C2565, ""薪資"")), ""分潤支出"",
  AND(REGEXMATCH(E2565, ""Ben帳戶|Elsa帳戶|Ben代墊|Ariel代墊|中信銀行共用""), REGEXMATCH(F2565, ""Ben帳戶|Elsa帳戶|Ben代墊|Ariel代墊|中信銀行共用"")), ""內部轉帳(忽略)"",
  AND(E2565&lt;&gt;"""", F2565&lt;&gt;"""", N"&amp;"OT(REGEXMATCH(C2565, ""薪資""))), ""內部轉帳(忽略)"",
  REGEXMATCH(C2565, ""薪資""), ""薪資變動(不計入)"",
  REGEXMATCH(C2565, ""押金""), ""押金往來"",
  AND(E2565&lt;&gt;"""", F2565=""""), ""真實支出"",
  AND(E2565="""", F2565&lt;&gt;""""), ""真實收入"",
  TRUE, ""其他""
)"),"真實支出")</f>
        <v>真實支出</v>
      </c>
      <c r="K2565" s="270">
        <f t="shared" si="2"/>
        <v>-15</v>
      </c>
      <c r="L2565">
        <f t="shared" si="3"/>
        <v>0</v>
      </c>
    </row>
    <row r="2566">
      <c r="A2566" s="107">
        <f>IFERROR(__xludf.DUMMYFUNCTION("""COMPUTED_VALUE"""),45915.0)</f>
        <v>45915</v>
      </c>
      <c r="B2566" t="str">
        <f>IFERROR(__xludf.DUMMYFUNCTION("""COMPUTED_VALUE"""),"[中山北娘家旁] [方彥捷] 大租金")</f>
        <v>[中山北娘家旁] [方彥捷] 大租金</v>
      </c>
      <c r="C2566" t="str">
        <f>IFERROR(__xludf.DUMMYFUNCTION("""COMPUTED_VALUE"""),"成本 - 大租金")</f>
        <v>成本 - 大租金</v>
      </c>
      <c r="D2566" s="270">
        <f>IFERROR(__xludf.DUMMYFUNCTION("""COMPUTED_VALUE"""),-11500.0)</f>
        <v>-11500</v>
      </c>
      <c r="E2566" t="str">
        <f>IFERROR(__xludf.DUMMYFUNCTION("""COMPUTED_VALUE"""),"台銀籌備帳戶")</f>
        <v>台銀籌備帳戶</v>
      </c>
      <c r="G2566" t="str">
        <f>IFERROR(__xludf.DUMMYFUNCTION("""COMPUTED_VALUE"""),"中山北娘家旁")</f>
        <v>中山北娘家旁</v>
      </c>
      <c r="H2566" s="106" t="str">
        <f t="shared" si="1"/>
        <v>2025-09</v>
      </c>
      <c r="I2566" s="271" t="str">
        <f>IFERROR(__xludf.DUMMYFUNCTION("""COMPUTED_VALUE"""),"貓狗企鵝")</f>
        <v>貓狗企鵝</v>
      </c>
      <c r="J2566" t="str">
        <f>IFERROR(__xludf.DUMMYFUNCTION("IFS(
  AND(REGEXMATCH(E2566, ""台銀籌備帳戶|玉山帳戶""), REGEXMATCH(C2566, ""薪資"")), ""分潤支出"",
  AND(REGEXMATCH(E2566, ""Ben帳戶|Elsa帳戶|Ben代墊|Ariel代墊|中信銀行共用""), REGEXMATCH(F2566, ""Ben帳戶|Elsa帳戶|Ben代墊|Ariel代墊|中信銀行共用"")), ""內部轉帳(忽略)"",
  AND(E2566&lt;&gt;"""", F2566&lt;&gt;"""", N"&amp;"OT(REGEXMATCH(C2566, ""薪資""))), ""內部轉帳(忽略)"",
  REGEXMATCH(C2566, ""薪資""), ""薪資變動(不計入)"",
  REGEXMATCH(C2566, ""押金""), ""押金往來"",
  AND(E2566&lt;&gt;"""", F2566=""""), ""真實支出"",
  AND(E2566="""", F2566&lt;&gt;""""), ""真實收入"",
  TRUE, ""其他""
)"),"真實支出")</f>
        <v>真實支出</v>
      </c>
      <c r="K2566" s="270">
        <f t="shared" si="2"/>
        <v>-11500</v>
      </c>
      <c r="L2566">
        <f t="shared" si="3"/>
        <v>0</v>
      </c>
    </row>
    <row r="2567">
      <c r="A2567" s="107">
        <f>IFERROR(__xludf.DUMMYFUNCTION("""COMPUTED_VALUE"""),45915.0)</f>
        <v>45915</v>
      </c>
      <c r="B2567" t="str">
        <f>IFERROR(__xludf.DUMMYFUNCTION("""COMPUTED_VALUE"""),"費用 - 匯費 對方行:700 後五碼:92128 (行號: 6)")</f>
        <v>費用 - 匯費 對方行:700 後五碼:92128 (行號: 6)</v>
      </c>
      <c r="C2567" t="str">
        <f>IFERROR(__xludf.DUMMYFUNCTION("""COMPUTED_VALUE"""),"費用 - 匯費")</f>
        <v>費用 - 匯費</v>
      </c>
      <c r="D2567" s="270">
        <f>IFERROR(__xludf.DUMMYFUNCTION("""COMPUTED_VALUE"""),-15.0)</f>
        <v>-15</v>
      </c>
      <c r="E2567" t="str">
        <f>IFERROR(__xludf.DUMMYFUNCTION("""COMPUTED_VALUE"""),"台銀籌備帳戶")</f>
        <v>台銀籌備帳戶</v>
      </c>
      <c r="H2567" s="106" t="str">
        <f t="shared" si="1"/>
        <v>2025-09</v>
      </c>
      <c r="I2567" s="271" t="str">
        <f>IFERROR(__xludf.DUMMYFUNCTION("""COMPUTED_VALUE"""),"貓狗企鵝")</f>
        <v>貓狗企鵝</v>
      </c>
      <c r="J2567" t="str">
        <f>IFERROR(__xludf.DUMMYFUNCTION("IFS(
  AND(REGEXMATCH(E2567, ""台銀籌備帳戶|玉山帳戶""), REGEXMATCH(C2567, ""薪資"")), ""分潤支出"",
  AND(REGEXMATCH(E2567, ""Ben帳戶|Elsa帳戶|Ben代墊|Ariel代墊|中信銀行共用""), REGEXMATCH(F2567, ""Ben帳戶|Elsa帳戶|Ben代墊|Ariel代墊|中信銀行共用"")), ""內部轉帳(忽略)"",
  AND(E2567&lt;&gt;"""", F2567&lt;&gt;"""", N"&amp;"OT(REGEXMATCH(C2567, ""薪資""))), ""內部轉帳(忽略)"",
  REGEXMATCH(C2567, ""薪資""), ""薪資變動(不計入)"",
  REGEXMATCH(C2567, ""押金""), ""押金往來"",
  AND(E2567&lt;&gt;"""", F2567=""""), ""真實支出"",
  AND(E2567="""", F2567&lt;&gt;""""), ""真實收入"",
  TRUE, ""其他""
)"),"真實支出")</f>
        <v>真實支出</v>
      </c>
      <c r="K2567" s="270">
        <f t="shared" si="2"/>
        <v>-15</v>
      </c>
      <c r="L2567">
        <f t="shared" si="3"/>
        <v>0</v>
      </c>
    </row>
    <row r="2568">
      <c r="A2568" s="107">
        <f>IFERROR(__xludf.DUMMYFUNCTION("""COMPUTED_VALUE"""),45915.0)</f>
        <v>45915</v>
      </c>
      <c r="B2568" t="str">
        <f>IFERROR(__xludf.DUMMYFUNCTION("""COMPUTED_VALUE"""),"[北醫醫師府] [陳俊良] 大租金")</f>
        <v>[北醫醫師府] [陳俊良] 大租金</v>
      </c>
      <c r="C2568" t="str">
        <f>IFERROR(__xludf.DUMMYFUNCTION("""COMPUTED_VALUE"""),"成本 - 大租金")</f>
        <v>成本 - 大租金</v>
      </c>
      <c r="D2568" s="270">
        <f>IFERROR(__xludf.DUMMYFUNCTION("""COMPUTED_VALUE"""),-12800.0)</f>
        <v>-12800</v>
      </c>
      <c r="E2568" t="str">
        <f>IFERROR(__xludf.DUMMYFUNCTION("""COMPUTED_VALUE"""),"台銀籌備帳戶")</f>
        <v>台銀籌備帳戶</v>
      </c>
      <c r="G2568" t="str">
        <f>IFERROR(__xludf.DUMMYFUNCTION("""COMPUTED_VALUE"""),"北醫醫師府")</f>
        <v>北醫醫師府</v>
      </c>
      <c r="H2568" s="106" t="str">
        <f t="shared" si="1"/>
        <v>2025-09</v>
      </c>
      <c r="I2568" s="271" t="str">
        <f>IFERROR(__xludf.DUMMYFUNCTION("""COMPUTED_VALUE"""),"貓狗企鵝")</f>
        <v>貓狗企鵝</v>
      </c>
      <c r="J2568" t="str">
        <f>IFERROR(__xludf.DUMMYFUNCTION("IFS(
  AND(REGEXMATCH(E2568, ""台銀籌備帳戶|玉山帳戶""), REGEXMATCH(C2568, ""薪資"")), ""分潤支出"",
  AND(REGEXMATCH(E2568, ""Ben帳戶|Elsa帳戶|Ben代墊|Ariel代墊|中信銀行共用""), REGEXMATCH(F2568, ""Ben帳戶|Elsa帳戶|Ben代墊|Ariel代墊|中信銀行共用"")), ""內部轉帳(忽略)"",
  AND(E2568&lt;&gt;"""", F2568&lt;&gt;"""", N"&amp;"OT(REGEXMATCH(C2568, ""薪資""))), ""內部轉帳(忽略)"",
  REGEXMATCH(C2568, ""薪資""), ""薪資變動(不計入)"",
  REGEXMATCH(C2568, ""押金""), ""押金往來"",
  AND(E2568&lt;&gt;"""", F2568=""""), ""真實支出"",
  AND(E2568="""", F2568&lt;&gt;""""), ""真實收入"",
  TRUE, ""其他""
)"),"真實支出")</f>
        <v>真實支出</v>
      </c>
      <c r="K2568" s="270">
        <f t="shared" si="2"/>
        <v>-12800</v>
      </c>
      <c r="L2568">
        <f t="shared" si="3"/>
        <v>0</v>
      </c>
    </row>
    <row r="2569">
      <c r="A2569" s="107">
        <f>IFERROR(__xludf.DUMMYFUNCTION("""COMPUTED_VALUE"""),45915.0)</f>
        <v>45915</v>
      </c>
      <c r="B2569" t="str">
        <f>IFERROR(__xludf.DUMMYFUNCTION("""COMPUTED_VALUE"""),"費用 - 匯費 對方行:807 後五碼:06659 (行號: 7)")</f>
        <v>費用 - 匯費 對方行:807 後五碼:06659 (行號: 7)</v>
      </c>
      <c r="C2569" t="str">
        <f>IFERROR(__xludf.DUMMYFUNCTION("""COMPUTED_VALUE"""),"費用 - 匯費")</f>
        <v>費用 - 匯費</v>
      </c>
      <c r="D2569" s="270">
        <f>IFERROR(__xludf.DUMMYFUNCTION("""COMPUTED_VALUE"""),-15.0)</f>
        <v>-15</v>
      </c>
      <c r="E2569" t="str">
        <f>IFERROR(__xludf.DUMMYFUNCTION("""COMPUTED_VALUE"""),"台銀籌備帳戶")</f>
        <v>台銀籌備帳戶</v>
      </c>
      <c r="H2569" s="106" t="str">
        <f t="shared" si="1"/>
        <v>2025-09</v>
      </c>
      <c r="I2569" s="271" t="str">
        <f>IFERROR(__xludf.DUMMYFUNCTION("""COMPUTED_VALUE"""),"貓狗企鵝")</f>
        <v>貓狗企鵝</v>
      </c>
      <c r="J2569" t="str">
        <f>IFERROR(__xludf.DUMMYFUNCTION("IFS(
  AND(REGEXMATCH(E2569, ""台銀籌備帳戶|玉山帳戶""), REGEXMATCH(C2569, ""薪資"")), ""分潤支出"",
  AND(REGEXMATCH(E2569, ""Ben帳戶|Elsa帳戶|Ben代墊|Ariel代墊|中信銀行共用""), REGEXMATCH(F2569, ""Ben帳戶|Elsa帳戶|Ben代墊|Ariel代墊|中信銀行共用"")), ""內部轉帳(忽略)"",
  AND(E2569&lt;&gt;"""", F2569&lt;&gt;"""", N"&amp;"OT(REGEXMATCH(C2569, ""薪資""))), ""內部轉帳(忽略)"",
  REGEXMATCH(C2569, ""薪資""), ""薪資變動(不計入)"",
  REGEXMATCH(C2569, ""押金""), ""押金往來"",
  AND(E2569&lt;&gt;"""", F2569=""""), ""真實支出"",
  AND(E2569="""", F2569&lt;&gt;""""), ""真實收入"",
  TRUE, ""其他""
)"),"真實支出")</f>
        <v>真實支出</v>
      </c>
      <c r="K2569" s="270">
        <f t="shared" si="2"/>
        <v>-15</v>
      </c>
      <c r="L2569">
        <f t="shared" si="3"/>
        <v>0</v>
      </c>
    </row>
    <row r="2570">
      <c r="A2570" s="107">
        <f>IFERROR(__xludf.DUMMYFUNCTION("""COMPUTED_VALUE"""),45915.0)</f>
        <v>45915</v>
      </c>
      <c r="B2570" t="str">
        <f>IFERROR(__xludf.DUMMYFUNCTION("""COMPUTED_VALUE"""),"[哈拉對面] [陳哲聰] 大租金")</f>
        <v>[哈拉對面] [陳哲聰] 大租金</v>
      </c>
      <c r="C2570" t="str">
        <f>IFERROR(__xludf.DUMMYFUNCTION("""COMPUTED_VALUE"""),"成本 - 大租金")</f>
        <v>成本 - 大租金</v>
      </c>
      <c r="D2570" s="270">
        <f>IFERROR(__xludf.DUMMYFUNCTION("""COMPUTED_VALUE"""),-13000.0)</f>
        <v>-13000</v>
      </c>
      <c r="E2570" t="str">
        <f>IFERROR(__xludf.DUMMYFUNCTION("""COMPUTED_VALUE"""),"台銀籌備帳戶")</f>
        <v>台銀籌備帳戶</v>
      </c>
      <c r="G2570" t="str">
        <f>IFERROR(__xludf.DUMMYFUNCTION("""COMPUTED_VALUE"""),"哈拉對面")</f>
        <v>哈拉對面</v>
      </c>
      <c r="H2570" s="106" t="str">
        <f t="shared" si="1"/>
        <v>2025-09</v>
      </c>
      <c r="I2570" s="271" t="str">
        <f>IFERROR(__xludf.DUMMYFUNCTION("""COMPUTED_VALUE"""),"貓狗企鵝")</f>
        <v>貓狗企鵝</v>
      </c>
      <c r="J2570" t="str">
        <f>IFERROR(__xludf.DUMMYFUNCTION("IFS(
  AND(REGEXMATCH(E2570, ""台銀籌備帳戶|玉山帳戶""), REGEXMATCH(C2570, ""薪資"")), ""分潤支出"",
  AND(REGEXMATCH(E2570, ""Ben帳戶|Elsa帳戶|Ben代墊|Ariel代墊|中信銀行共用""), REGEXMATCH(F2570, ""Ben帳戶|Elsa帳戶|Ben代墊|Ariel代墊|中信銀行共用"")), ""內部轉帳(忽略)"",
  AND(E2570&lt;&gt;"""", F2570&lt;&gt;"""", N"&amp;"OT(REGEXMATCH(C2570, ""薪資""))), ""內部轉帳(忽略)"",
  REGEXMATCH(C2570, ""薪資""), ""薪資變動(不計入)"",
  REGEXMATCH(C2570, ""押金""), ""押金往來"",
  AND(E2570&lt;&gt;"""", F2570=""""), ""真實支出"",
  AND(E2570="""", F2570&lt;&gt;""""), ""真實收入"",
  TRUE, ""其他""
)"),"真實支出")</f>
        <v>真實支出</v>
      </c>
      <c r="K2570" s="270">
        <f t="shared" si="2"/>
        <v>-13000</v>
      </c>
      <c r="L2570">
        <f t="shared" si="3"/>
        <v>0</v>
      </c>
    </row>
    <row r="2571">
      <c r="A2571" s="107">
        <f>IFERROR(__xludf.DUMMYFUNCTION("""COMPUTED_VALUE"""),45915.0)</f>
        <v>45915</v>
      </c>
      <c r="B2571" t="str">
        <f>IFERROR(__xludf.DUMMYFUNCTION("""COMPUTED_VALUE"""),"費用 - 匯費 對方行:053 後五碼:05202 (行號: 8)")</f>
        <v>費用 - 匯費 對方行:053 後五碼:05202 (行號: 8)</v>
      </c>
      <c r="C2571" t="str">
        <f>IFERROR(__xludf.DUMMYFUNCTION("""COMPUTED_VALUE"""),"費用 - 匯費")</f>
        <v>費用 - 匯費</v>
      </c>
      <c r="D2571" s="270">
        <f>IFERROR(__xludf.DUMMYFUNCTION("""COMPUTED_VALUE"""),-15.0)</f>
        <v>-15</v>
      </c>
      <c r="E2571" t="str">
        <f>IFERROR(__xludf.DUMMYFUNCTION("""COMPUTED_VALUE"""),"台銀籌備帳戶")</f>
        <v>台銀籌備帳戶</v>
      </c>
      <c r="H2571" s="106" t="str">
        <f t="shared" si="1"/>
        <v>2025-09</v>
      </c>
      <c r="I2571" s="271" t="str">
        <f>IFERROR(__xludf.DUMMYFUNCTION("""COMPUTED_VALUE"""),"貓狗企鵝")</f>
        <v>貓狗企鵝</v>
      </c>
      <c r="J2571" t="str">
        <f>IFERROR(__xludf.DUMMYFUNCTION("IFS(
  AND(REGEXMATCH(E2571, ""台銀籌備帳戶|玉山帳戶""), REGEXMATCH(C2571, ""薪資"")), ""分潤支出"",
  AND(REGEXMATCH(E2571, ""Ben帳戶|Elsa帳戶|Ben代墊|Ariel代墊|中信銀行共用""), REGEXMATCH(F2571, ""Ben帳戶|Elsa帳戶|Ben代墊|Ariel代墊|中信銀行共用"")), ""內部轉帳(忽略)"",
  AND(E2571&lt;&gt;"""", F2571&lt;&gt;"""", N"&amp;"OT(REGEXMATCH(C2571, ""薪資""))), ""內部轉帳(忽略)"",
  REGEXMATCH(C2571, ""薪資""), ""薪資變動(不計入)"",
  REGEXMATCH(C2571, ""押金""), ""押金往來"",
  AND(E2571&lt;&gt;"""", F2571=""""), ""真實支出"",
  AND(E2571="""", F2571&lt;&gt;""""), ""真實收入"",
  TRUE, ""其他""
)"),"真實支出")</f>
        <v>真實支出</v>
      </c>
      <c r="K2571" s="270">
        <f t="shared" si="2"/>
        <v>-15</v>
      </c>
      <c r="L2571">
        <f t="shared" si="3"/>
        <v>0</v>
      </c>
    </row>
    <row r="2572">
      <c r="A2572" s="107">
        <f>IFERROR(__xludf.DUMMYFUNCTION("""COMPUTED_VALUE"""),45915.0)</f>
        <v>45915</v>
      </c>
      <c r="B2572" t="str">
        <f>IFERROR(__xludf.DUMMYFUNCTION("""COMPUTED_VALUE"""),"[大湖山莊] [陳彩霞] 大租金")</f>
        <v>[大湖山莊] [陳彩霞] 大租金</v>
      </c>
      <c r="C2572" t="str">
        <f>IFERROR(__xludf.DUMMYFUNCTION("""COMPUTED_VALUE"""),"成本 - 大租金")</f>
        <v>成本 - 大租金</v>
      </c>
      <c r="D2572" s="270">
        <f>IFERROR(__xludf.DUMMYFUNCTION("""COMPUTED_VALUE"""),-19400.0)</f>
        <v>-19400</v>
      </c>
      <c r="E2572" t="str">
        <f>IFERROR(__xludf.DUMMYFUNCTION("""COMPUTED_VALUE"""),"台銀籌備帳戶")</f>
        <v>台銀籌備帳戶</v>
      </c>
      <c r="G2572" t="str">
        <f>IFERROR(__xludf.DUMMYFUNCTION("""COMPUTED_VALUE"""),"大湖山莊")</f>
        <v>大湖山莊</v>
      </c>
      <c r="H2572" s="106" t="str">
        <f t="shared" si="1"/>
        <v>2025-09</v>
      </c>
      <c r="I2572" s="271" t="str">
        <f>IFERROR(__xludf.DUMMYFUNCTION("""COMPUTED_VALUE"""),"貓狗企鵝")</f>
        <v>貓狗企鵝</v>
      </c>
      <c r="J2572" t="str">
        <f>IFERROR(__xludf.DUMMYFUNCTION("IFS(
  AND(REGEXMATCH(E2572, ""台銀籌備帳戶|玉山帳戶""), REGEXMATCH(C2572, ""薪資"")), ""分潤支出"",
  AND(REGEXMATCH(E2572, ""Ben帳戶|Elsa帳戶|Ben代墊|Ariel代墊|中信銀行共用""), REGEXMATCH(F2572, ""Ben帳戶|Elsa帳戶|Ben代墊|Ariel代墊|中信銀行共用"")), ""內部轉帳(忽略)"",
  AND(E2572&lt;&gt;"""", F2572&lt;&gt;"""", N"&amp;"OT(REGEXMATCH(C2572, ""薪資""))), ""內部轉帳(忽略)"",
  REGEXMATCH(C2572, ""薪資""), ""薪資變動(不計入)"",
  REGEXMATCH(C2572, ""押金""), ""押金往來"",
  AND(E2572&lt;&gt;"""", F2572=""""), ""真實支出"",
  AND(E2572="""", F2572&lt;&gt;""""), ""真實收入"",
  TRUE, ""其他""
)"),"真實支出")</f>
        <v>真實支出</v>
      </c>
      <c r="K2572" s="270">
        <f t="shared" si="2"/>
        <v>-19400</v>
      </c>
      <c r="L2572">
        <f t="shared" si="3"/>
        <v>0</v>
      </c>
    </row>
    <row r="2573">
      <c r="A2573" s="107">
        <f>IFERROR(__xludf.DUMMYFUNCTION("""COMPUTED_VALUE"""),45915.0)</f>
        <v>45915</v>
      </c>
      <c r="B2573" t="str">
        <f>IFERROR(__xludf.DUMMYFUNCTION("""COMPUTED_VALUE"""),"費用 - 匯費 對方行:822 後五碼:06708 (行號: 9)")</f>
        <v>費用 - 匯費 對方行:822 後五碼:06708 (行號: 9)</v>
      </c>
      <c r="C2573" t="str">
        <f>IFERROR(__xludf.DUMMYFUNCTION("""COMPUTED_VALUE"""),"費用 - 匯費")</f>
        <v>費用 - 匯費</v>
      </c>
      <c r="D2573" s="270">
        <f>IFERROR(__xludf.DUMMYFUNCTION("""COMPUTED_VALUE"""),-15.0)</f>
        <v>-15</v>
      </c>
      <c r="E2573" t="str">
        <f>IFERROR(__xludf.DUMMYFUNCTION("""COMPUTED_VALUE"""),"台銀籌備帳戶")</f>
        <v>台銀籌備帳戶</v>
      </c>
      <c r="H2573" s="106" t="str">
        <f t="shared" si="1"/>
        <v>2025-09</v>
      </c>
      <c r="I2573" s="271" t="str">
        <f>IFERROR(__xludf.DUMMYFUNCTION("""COMPUTED_VALUE"""),"貓狗企鵝")</f>
        <v>貓狗企鵝</v>
      </c>
      <c r="J2573" t="str">
        <f>IFERROR(__xludf.DUMMYFUNCTION("IFS(
  AND(REGEXMATCH(E2573, ""台銀籌備帳戶|玉山帳戶""), REGEXMATCH(C2573, ""薪資"")), ""分潤支出"",
  AND(REGEXMATCH(E2573, ""Ben帳戶|Elsa帳戶|Ben代墊|Ariel代墊|中信銀行共用""), REGEXMATCH(F2573, ""Ben帳戶|Elsa帳戶|Ben代墊|Ariel代墊|中信銀行共用"")), ""內部轉帳(忽略)"",
  AND(E2573&lt;&gt;"""", F2573&lt;&gt;"""", N"&amp;"OT(REGEXMATCH(C2573, ""薪資""))), ""內部轉帳(忽略)"",
  REGEXMATCH(C2573, ""薪資""), ""薪資變動(不計入)"",
  REGEXMATCH(C2573, ""押金""), ""押金往來"",
  AND(E2573&lt;&gt;"""", F2573=""""), ""真實支出"",
  AND(E2573="""", F2573&lt;&gt;""""), ""真實收入"",
  TRUE, ""其他""
)"),"真實支出")</f>
        <v>真實支出</v>
      </c>
      <c r="K2573" s="270">
        <f t="shared" si="2"/>
        <v>-15</v>
      </c>
      <c r="L2573">
        <f t="shared" si="3"/>
        <v>0</v>
      </c>
    </row>
    <row r="2574">
      <c r="A2574" s="107">
        <f>IFERROR(__xludf.DUMMYFUNCTION("""COMPUTED_VALUE"""),45915.0)</f>
        <v>45915</v>
      </c>
      <c r="B2574" t="str">
        <f>IFERROR(__xludf.DUMMYFUNCTION("""COMPUTED_VALUE"""),"[金龍帽子先生] [郭娟伶] 大租金")</f>
        <v>[金龍帽子先生] [郭娟伶] 大租金</v>
      </c>
      <c r="C2574" t="str">
        <f>IFERROR(__xludf.DUMMYFUNCTION("""COMPUTED_VALUE"""),"成本 - 大租金")</f>
        <v>成本 - 大租金</v>
      </c>
      <c r="D2574" s="270">
        <f>IFERROR(__xludf.DUMMYFUNCTION("""COMPUTED_VALUE"""),-17750.0)</f>
        <v>-17750</v>
      </c>
      <c r="E2574" t="str">
        <f>IFERROR(__xludf.DUMMYFUNCTION("""COMPUTED_VALUE"""),"台銀籌備帳戶")</f>
        <v>台銀籌備帳戶</v>
      </c>
      <c r="G2574" t="str">
        <f>IFERROR(__xludf.DUMMYFUNCTION("""COMPUTED_VALUE"""),"金龍帽子先生")</f>
        <v>金龍帽子先生</v>
      </c>
      <c r="H2574" s="106" t="str">
        <f t="shared" si="1"/>
        <v>2025-09</v>
      </c>
      <c r="I2574" s="271" t="str">
        <f>IFERROR(__xludf.DUMMYFUNCTION("""COMPUTED_VALUE"""),"貓狗企鵝")</f>
        <v>貓狗企鵝</v>
      </c>
      <c r="J2574" t="str">
        <f>IFERROR(__xludf.DUMMYFUNCTION("IFS(
  AND(REGEXMATCH(E2574, ""台銀籌備帳戶|玉山帳戶""), REGEXMATCH(C2574, ""薪資"")), ""分潤支出"",
  AND(REGEXMATCH(E2574, ""Ben帳戶|Elsa帳戶|Ben代墊|Ariel代墊|中信銀行共用""), REGEXMATCH(F2574, ""Ben帳戶|Elsa帳戶|Ben代墊|Ariel代墊|中信銀行共用"")), ""內部轉帳(忽略)"",
  AND(E2574&lt;&gt;"""", F2574&lt;&gt;"""", N"&amp;"OT(REGEXMATCH(C2574, ""薪資""))), ""內部轉帳(忽略)"",
  REGEXMATCH(C2574, ""薪資""), ""薪資變動(不計入)"",
  REGEXMATCH(C2574, ""押金""), ""押金往來"",
  AND(E2574&lt;&gt;"""", F2574=""""), ""真實支出"",
  AND(E2574="""", F2574&lt;&gt;""""), ""真實收入"",
  TRUE, ""其他""
)"),"真實支出")</f>
        <v>真實支出</v>
      </c>
      <c r="K2574" s="270">
        <f t="shared" si="2"/>
        <v>-17750</v>
      </c>
      <c r="L2574">
        <f t="shared" si="3"/>
        <v>0</v>
      </c>
    </row>
    <row r="2575">
      <c r="A2575" s="107">
        <f>IFERROR(__xludf.DUMMYFUNCTION("""COMPUTED_VALUE"""),45915.0)</f>
        <v>45915</v>
      </c>
      <c r="B2575" t="str">
        <f>IFERROR(__xludf.DUMMYFUNCTION("""COMPUTED_VALUE"""),"費用 - 匯費 對方行:013 後五碼:20652 (行號: 10)")</f>
        <v>費用 - 匯費 對方行:013 後五碼:20652 (行號: 10)</v>
      </c>
      <c r="C2575" t="str">
        <f>IFERROR(__xludf.DUMMYFUNCTION("""COMPUTED_VALUE"""),"費用 - 匯費")</f>
        <v>費用 - 匯費</v>
      </c>
      <c r="D2575" s="270">
        <f>IFERROR(__xludf.DUMMYFUNCTION("""COMPUTED_VALUE"""),-15.0)</f>
        <v>-15</v>
      </c>
      <c r="E2575" t="str">
        <f>IFERROR(__xludf.DUMMYFUNCTION("""COMPUTED_VALUE"""),"台銀籌備帳戶")</f>
        <v>台銀籌備帳戶</v>
      </c>
      <c r="H2575" s="106" t="str">
        <f t="shared" si="1"/>
        <v>2025-09</v>
      </c>
      <c r="I2575" s="271" t="str">
        <f>IFERROR(__xludf.DUMMYFUNCTION("""COMPUTED_VALUE"""),"貓狗企鵝")</f>
        <v>貓狗企鵝</v>
      </c>
      <c r="J2575" t="str">
        <f>IFERROR(__xludf.DUMMYFUNCTION("IFS(
  AND(REGEXMATCH(E2575, ""台銀籌備帳戶|玉山帳戶""), REGEXMATCH(C2575, ""薪資"")), ""分潤支出"",
  AND(REGEXMATCH(E2575, ""Ben帳戶|Elsa帳戶|Ben代墊|Ariel代墊|中信銀行共用""), REGEXMATCH(F2575, ""Ben帳戶|Elsa帳戶|Ben代墊|Ariel代墊|中信銀行共用"")), ""內部轉帳(忽略)"",
  AND(E2575&lt;&gt;"""", F2575&lt;&gt;"""", N"&amp;"OT(REGEXMATCH(C2575, ""薪資""))), ""內部轉帳(忽略)"",
  REGEXMATCH(C2575, ""薪資""), ""薪資變動(不計入)"",
  REGEXMATCH(C2575, ""押金""), ""押金往來"",
  AND(E2575&lt;&gt;"""", F2575=""""), ""真實支出"",
  AND(E2575="""", F2575&lt;&gt;""""), ""真實收入"",
  TRUE, ""其他""
)"),"真實支出")</f>
        <v>真實支出</v>
      </c>
      <c r="K2575" s="270">
        <f t="shared" si="2"/>
        <v>-15</v>
      </c>
      <c r="L2575">
        <f t="shared" si="3"/>
        <v>0</v>
      </c>
    </row>
    <row r="2576">
      <c r="A2576" s="107">
        <f>IFERROR(__xludf.DUMMYFUNCTION("""COMPUTED_VALUE"""),45915.0)</f>
        <v>45915</v>
      </c>
      <c r="B2576" t="str">
        <f>IFERROR(__xludf.DUMMYFUNCTION("""COMPUTED_VALUE"""),"[景安2分鐘] [王逸荃] 大租金")</f>
        <v>[景安2分鐘] [王逸荃] 大租金</v>
      </c>
      <c r="C2576" t="str">
        <f>IFERROR(__xludf.DUMMYFUNCTION("""COMPUTED_VALUE"""),"成本 - 大租金")</f>
        <v>成本 - 大租金</v>
      </c>
      <c r="D2576" s="270">
        <f>IFERROR(__xludf.DUMMYFUNCTION("""COMPUTED_VALUE"""),-12500.0)</f>
        <v>-12500</v>
      </c>
      <c r="E2576" t="str">
        <f>IFERROR(__xludf.DUMMYFUNCTION("""COMPUTED_VALUE"""),"台銀籌備帳戶")</f>
        <v>台銀籌備帳戶</v>
      </c>
      <c r="G2576" t="str">
        <f>IFERROR(__xludf.DUMMYFUNCTION("""COMPUTED_VALUE"""),"景安2分鐘")</f>
        <v>景安2分鐘</v>
      </c>
      <c r="H2576" s="106" t="str">
        <f t="shared" si="1"/>
        <v>2025-09</v>
      </c>
      <c r="I2576" s="271" t="str">
        <f>IFERROR(__xludf.DUMMYFUNCTION("""COMPUTED_VALUE"""),"貓狗企鵝")</f>
        <v>貓狗企鵝</v>
      </c>
      <c r="J2576" t="str">
        <f>IFERROR(__xludf.DUMMYFUNCTION("IFS(
  AND(REGEXMATCH(E2576, ""台銀籌備帳戶|玉山帳戶""), REGEXMATCH(C2576, ""薪資"")), ""分潤支出"",
  AND(REGEXMATCH(E2576, ""Ben帳戶|Elsa帳戶|Ben代墊|Ariel代墊|中信銀行共用""), REGEXMATCH(F2576, ""Ben帳戶|Elsa帳戶|Ben代墊|Ariel代墊|中信銀行共用"")), ""內部轉帳(忽略)"",
  AND(E2576&lt;&gt;"""", F2576&lt;&gt;"""", N"&amp;"OT(REGEXMATCH(C2576, ""薪資""))), ""內部轉帳(忽略)"",
  REGEXMATCH(C2576, ""薪資""), ""薪資變動(不計入)"",
  REGEXMATCH(C2576, ""押金""), ""押金往來"",
  AND(E2576&lt;&gt;"""", F2576=""""), ""真實支出"",
  AND(E2576="""", F2576&lt;&gt;""""), ""真實收入"",
  TRUE, ""其他""
)"),"真實支出")</f>
        <v>真實支出</v>
      </c>
      <c r="K2576" s="270">
        <f t="shared" si="2"/>
        <v>-12500</v>
      </c>
      <c r="L2576">
        <f t="shared" si="3"/>
        <v>0</v>
      </c>
    </row>
    <row r="2577">
      <c r="A2577" s="107">
        <f>IFERROR(__xludf.DUMMYFUNCTION("""COMPUTED_VALUE"""),45915.0)</f>
        <v>45915</v>
      </c>
      <c r="B2577" t="str">
        <f>IFERROR(__xludf.DUMMYFUNCTION("""COMPUTED_VALUE"""),"費用 - 匯費 對方行:052 後五碼:22609 (行號: 11)")</f>
        <v>費用 - 匯費 對方行:052 後五碼:22609 (行號: 11)</v>
      </c>
      <c r="C2577" t="str">
        <f>IFERROR(__xludf.DUMMYFUNCTION("""COMPUTED_VALUE"""),"費用 - 匯費")</f>
        <v>費用 - 匯費</v>
      </c>
      <c r="D2577" s="270">
        <f>IFERROR(__xludf.DUMMYFUNCTION("""COMPUTED_VALUE"""),-15.0)</f>
        <v>-15</v>
      </c>
      <c r="E2577" t="str">
        <f>IFERROR(__xludf.DUMMYFUNCTION("""COMPUTED_VALUE"""),"台銀籌備帳戶")</f>
        <v>台銀籌備帳戶</v>
      </c>
      <c r="H2577" s="106" t="str">
        <f t="shared" si="1"/>
        <v>2025-09</v>
      </c>
      <c r="I2577" s="271" t="str">
        <f>IFERROR(__xludf.DUMMYFUNCTION("""COMPUTED_VALUE"""),"貓狗企鵝")</f>
        <v>貓狗企鵝</v>
      </c>
      <c r="J2577" t="str">
        <f>IFERROR(__xludf.DUMMYFUNCTION("IFS(
  AND(REGEXMATCH(E2577, ""台銀籌備帳戶|玉山帳戶""), REGEXMATCH(C2577, ""薪資"")), ""分潤支出"",
  AND(REGEXMATCH(E2577, ""Ben帳戶|Elsa帳戶|Ben代墊|Ariel代墊|中信銀行共用""), REGEXMATCH(F2577, ""Ben帳戶|Elsa帳戶|Ben代墊|Ariel代墊|中信銀行共用"")), ""內部轉帳(忽略)"",
  AND(E2577&lt;&gt;"""", F2577&lt;&gt;"""", N"&amp;"OT(REGEXMATCH(C2577, ""薪資""))), ""內部轉帳(忽略)"",
  REGEXMATCH(C2577, ""薪資""), ""薪資變動(不計入)"",
  REGEXMATCH(C2577, ""押金""), ""押金往來"",
  AND(E2577&lt;&gt;"""", F2577=""""), ""真實支出"",
  AND(E2577="""", F2577&lt;&gt;""""), ""真實收入"",
  TRUE, ""其他""
)"),"真實支出")</f>
        <v>真實支出</v>
      </c>
      <c r="K2577" s="270">
        <f t="shared" si="2"/>
        <v>-15</v>
      </c>
      <c r="L2577">
        <f t="shared" si="3"/>
        <v>0</v>
      </c>
    </row>
    <row r="2578">
      <c r="A2578" s="107">
        <f>IFERROR(__xludf.DUMMYFUNCTION("""COMPUTED_VALUE"""),45915.0)</f>
        <v>45915</v>
      </c>
      <c r="B2578" t="str">
        <f>IFERROR(__xludf.DUMMYFUNCTION("""COMPUTED_VALUE"""),"[中山北Feli家] [陳玉蘭] 大租金")</f>
        <v>[中山北Feli家] [陳玉蘭] 大租金</v>
      </c>
      <c r="C2578" t="str">
        <f>IFERROR(__xludf.DUMMYFUNCTION("""COMPUTED_VALUE"""),"成本 - 大租金")</f>
        <v>成本 - 大租金</v>
      </c>
      <c r="D2578" s="270">
        <f>IFERROR(__xludf.DUMMYFUNCTION("""COMPUTED_VALUE"""),-18000.0)</f>
        <v>-18000</v>
      </c>
      <c r="E2578" t="str">
        <f>IFERROR(__xludf.DUMMYFUNCTION("""COMPUTED_VALUE"""),"台銀籌備帳戶")</f>
        <v>台銀籌備帳戶</v>
      </c>
      <c r="G2578" t="str">
        <f>IFERROR(__xludf.DUMMYFUNCTION("""COMPUTED_VALUE"""),"中山北Feli家")</f>
        <v>中山北Feli家</v>
      </c>
      <c r="H2578" s="106" t="str">
        <f t="shared" si="1"/>
        <v>2025-09</v>
      </c>
      <c r="I2578" s="271" t="str">
        <f>IFERROR(__xludf.DUMMYFUNCTION("""COMPUTED_VALUE"""),"貓狗企鵝")</f>
        <v>貓狗企鵝</v>
      </c>
      <c r="J2578" t="str">
        <f>IFERROR(__xludf.DUMMYFUNCTION("IFS(
  AND(REGEXMATCH(E2578, ""台銀籌備帳戶|玉山帳戶""), REGEXMATCH(C2578, ""薪資"")), ""分潤支出"",
  AND(REGEXMATCH(E2578, ""Ben帳戶|Elsa帳戶|Ben代墊|Ariel代墊|中信銀行共用""), REGEXMATCH(F2578, ""Ben帳戶|Elsa帳戶|Ben代墊|Ariel代墊|中信銀行共用"")), ""內部轉帳(忽略)"",
  AND(E2578&lt;&gt;"""", F2578&lt;&gt;"""", N"&amp;"OT(REGEXMATCH(C2578, ""薪資""))), ""內部轉帳(忽略)"",
  REGEXMATCH(C2578, ""薪資""), ""薪資變動(不計入)"",
  REGEXMATCH(C2578, ""押金""), ""押金往來"",
  AND(E2578&lt;&gt;"""", F2578=""""), ""真實支出"",
  AND(E2578="""", F2578&lt;&gt;""""), ""真實收入"",
  TRUE, ""其他""
)"),"真實支出")</f>
        <v>真實支出</v>
      </c>
      <c r="K2578" s="270">
        <f t="shared" si="2"/>
        <v>-18000</v>
      </c>
      <c r="L2578">
        <f t="shared" si="3"/>
        <v>0</v>
      </c>
    </row>
    <row r="2579">
      <c r="A2579" s="107">
        <f>IFERROR(__xludf.DUMMYFUNCTION("""COMPUTED_VALUE"""),45915.0)</f>
        <v>45915</v>
      </c>
      <c r="B2579" t="str">
        <f>IFERROR(__xludf.DUMMYFUNCTION("""COMPUTED_VALUE"""),"費用 - 匯費 對方行:700 後五碼:19509 (行號: 12)")</f>
        <v>費用 - 匯費 對方行:700 後五碼:19509 (行號: 12)</v>
      </c>
      <c r="C2579" t="str">
        <f>IFERROR(__xludf.DUMMYFUNCTION("""COMPUTED_VALUE"""),"費用 - 匯費")</f>
        <v>費用 - 匯費</v>
      </c>
      <c r="D2579" s="270">
        <f>IFERROR(__xludf.DUMMYFUNCTION("""COMPUTED_VALUE"""),-15.0)</f>
        <v>-15</v>
      </c>
      <c r="E2579" t="str">
        <f>IFERROR(__xludf.DUMMYFUNCTION("""COMPUTED_VALUE"""),"台銀籌備帳戶")</f>
        <v>台銀籌備帳戶</v>
      </c>
      <c r="H2579" s="106" t="str">
        <f t="shared" si="1"/>
        <v>2025-09</v>
      </c>
      <c r="I2579" s="271" t="str">
        <f>IFERROR(__xludf.DUMMYFUNCTION("""COMPUTED_VALUE"""),"貓狗企鵝")</f>
        <v>貓狗企鵝</v>
      </c>
      <c r="J2579" t="str">
        <f>IFERROR(__xludf.DUMMYFUNCTION("IFS(
  AND(REGEXMATCH(E2579, ""台銀籌備帳戶|玉山帳戶""), REGEXMATCH(C2579, ""薪資"")), ""分潤支出"",
  AND(REGEXMATCH(E2579, ""Ben帳戶|Elsa帳戶|Ben代墊|Ariel代墊|中信銀行共用""), REGEXMATCH(F2579, ""Ben帳戶|Elsa帳戶|Ben代墊|Ariel代墊|中信銀行共用"")), ""內部轉帳(忽略)"",
  AND(E2579&lt;&gt;"""", F2579&lt;&gt;"""", N"&amp;"OT(REGEXMATCH(C2579, ""薪資""))), ""內部轉帳(忽略)"",
  REGEXMATCH(C2579, ""薪資""), ""薪資變動(不計入)"",
  REGEXMATCH(C2579, ""押金""), ""押金往來"",
  AND(E2579&lt;&gt;"""", F2579=""""), ""真實支出"",
  AND(E2579="""", F2579&lt;&gt;""""), ""真實收入"",
  TRUE, ""其他""
)"),"真實支出")</f>
        <v>真實支出</v>
      </c>
      <c r="K2579" s="270">
        <f t="shared" si="2"/>
        <v>-15</v>
      </c>
      <c r="L2579">
        <f t="shared" si="3"/>
        <v>0</v>
      </c>
    </row>
    <row r="2580">
      <c r="A2580" s="107">
        <f>IFERROR(__xludf.DUMMYFUNCTION("""COMPUTED_VALUE"""),45915.0)</f>
        <v>45915</v>
      </c>
      <c r="B2580" t="str">
        <f>IFERROR(__xludf.DUMMYFUNCTION("""COMPUTED_VALUE"""),"[龍江229] [游為傑] 大租金")</f>
        <v>[龍江229] [游為傑] 大租金</v>
      </c>
      <c r="C2580" t="str">
        <f>IFERROR(__xludf.DUMMYFUNCTION("""COMPUTED_VALUE"""),"成本 - 大租金")</f>
        <v>成本 - 大租金</v>
      </c>
      <c r="D2580" s="270">
        <f>IFERROR(__xludf.DUMMYFUNCTION("""COMPUTED_VALUE"""),-13500.0)</f>
        <v>-13500</v>
      </c>
      <c r="E2580" t="str">
        <f>IFERROR(__xludf.DUMMYFUNCTION("""COMPUTED_VALUE"""),"台銀籌備帳戶")</f>
        <v>台銀籌備帳戶</v>
      </c>
      <c r="G2580" t="str">
        <f>IFERROR(__xludf.DUMMYFUNCTION("""COMPUTED_VALUE"""),"龍江229")</f>
        <v>龍江229</v>
      </c>
      <c r="H2580" s="106" t="str">
        <f t="shared" si="1"/>
        <v>2025-09</v>
      </c>
      <c r="I2580" s="271" t="str">
        <f>IFERROR(__xludf.DUMMYFUNCTION("""COMPUTED_VALUE"""),"貓狗企鵝")</f>
        <v>貓狗企鵝</v>
      </c>
      <c r="J2580" t="str">
        <f>IFERROR(__xludf.DUMMYFUNCTION("IFS(
  AND(REGEXMATCH(E2580, ""台銀籌備帳戶|玉山帳戶""), REGEXMATCH(C2580, ""薪資"")), ""分潤支出"",
  AND(REGEXMATCH(E2580, ""Ben帳戶|Elsa帳戶|Ben代墊|Ariel代墊|中信銀行共用""), REGEXMATCH(F2580, ""Ben帳戶|Elsa帳戶|Ben代墊|Ariel代墊|中信銀行共用"")), ""內部轉帳(忽略)"",
  AND(E2580&lt;&gt;"""", F2580&lt;&gt;"""", N"&amp;"OT(REGEXMATCH(C2580, ""薪資""))), ""內部轉帳(忽略)"",
  REGEXMATCH(C2580, ""薪資""), ""薪資變動(不計入)"",
  REGEXMATCH(C2580, ""押金""), ""押金往來"",
  AND(E2580&lt;&gt;"""", F2580=""""), ""真實支出"",
  AND(E2580="""", F2580&lt;&gt;""""), ""真實收入"",
  TRUE, ""其他""
)"),"真實支出")</f>
        <v>真實支出</v>
      </c>
      <c r="K2580" s="270">
        <f t="shared" si="2"/>
        <v>-13500</v>
      </c>
      <c r="L2580">
        <f t="shared" si="3"/>
        <v>0</v>
      </c>
    </row>
    <row r="2581">
      <c r="A2581" s="107">
        <f>IFERROR(__xludf.DUMMYFUNCTION("""COMPUTED_VALUE"""),45918.0)</f>
        <v>45918</v>
      </c>
      <c r="B2581" t="str">
        <f>IFERROR(__xludf.DUMMYFUNCTION("""COMPUTED_VALUE"""),"費用 - 匯費 對方行:017 後五碼:28089 (行號: 15)")</f>
        <v>費用 - 匯費 對方行:017 後五碼:28089 (行號: 15)</v>
      </c>
      <c r="C2581" t="str">
        <f>IFERROR(__xludf.DUMMYFUNCTION("""COMPUTED_VALUE"""),"費用 - 匯費")</f>
        <v>費用 - 匯費</v>
      </c>
      <c r="D2581" s="270">
        <f>IFERROR(__xludf.DUMMYFUNCTION("""COMPUTED_VALUE"""),-15.0)</f>
        <v>-15</v>
      </c>
      <c r="E2581" t="str">
        <f>IFERROR(__xludf.DUMMYFUNCTION("""COMPUTED_VALUE"""),"台銀籌備帳戶")</f>
        <v>台銀籌備帳戶</v>
      </c>
      <c r="H2581" s="106" t="str">
        <f t="shared" si="1"/>
        <v>2025-09</v>
      </c>
      <c r="I2581" s="271" t="str">
        <f>IFERROR(__xludf.DUMMYFUNCTION("""COMPUTED_VALUE"""),"貓狗企鵝")</f>
        <v>貓狗企鵝</v>
      </c>
      <c r="J2581" t="str">
        <f>IFERROR(__xludf.DUMMYFUNCTION("IFS(
  AND(REGEXMATCH(E2581, ""台銀籌備帳戶|玉山帳戶""), REGEXMATCH(C2581, ""薪資"")), ""分潤支出"",
  AND(REGEXMATCH(E2581, ""Ben帳戶|Elsa帳戶|Ben代墊|Ariel代墊|中信銀行共用""), REGEXMATCH(F2581, ""Ben帳戶|Elsa帳戶|Ben代墊|Ariel代墊|中信銀行共用"")), ""內部轉帳(忽略)"",
  AND(E2581&lt;&gt;"""", F2581&lt;&gt;"""", N"&amp;"OT(REGEXMATCH(C2581, ""薪資""))), ""內部轉帳(忽略)"",
  REGEXMATCH(C2581, ""薪資""), ""薪資變動(不計入)"",
  REGEXMATCH(C2581, ""押金""), ""押金往來"",
  AND(E2581&lt;&gt;"""", F2581=""""), ""真實支出"",
  AND(E2581="""", F2581&lt;&gt;""""), ""真實收入"",
  TRUE, ""其他""
)"),"真實支出")</f>
        <v>真實支出</v>
      </c>
      <c r="K2581" s="270">
        <f t="shared" si="2"/>
        <v>-15</v>
      </c>
      <c r="L2581">
        <f t="shared" si="3"/>
        <v>0</v>
      </c>
    </row>
    <row r="2582">
      <c r="A2582" s="107">
        <f>IFERROR(__xludf.DUMMYFUNCTION("""COMPUTED_VALUE"""),45918.0)</f>
        <v>45918</v>
      </c>
      <c r="B2582" t="str">
        <f>IFERROR(__xludf.DUMMYFUNCTION("""COMPUTED_VALUE"""),"景安C退押 ' 【未分類支出】")</f>
        <v>景安C退押 ' 【未分類支出】</v>
      </c>
      <c r="C2582" t="str">
        <f>IFERROR(__xludf.DUMMYFUNCTION("""COMPUTED_VALUE"""),"收入 - 押金")</f>
        <v>收入 - 押金</v>
      </c>
      <c r="D2582" s="270">
        <f>IFERROR(__xludf.DUMMYFUNCTION("""COMPUTED_VALUE"""),-21600.0)</f>
        <v>-21600</v>
      </c>
      <c r="E2582" t="str">
        <f>IFERROR(__xludf.DUMMYFUNCTION("""COMPUTED_VALUE"""),"台銀籌備帳戶")</f>
        <v>台銀籌備帳戶</v>
      </c>
      <c r="G2582" t="str">
        <f>IFERROR(__xludf.DUMMYFUNCTION("""COMPUTED_VALUE"""),"景安2分鐘")</f>
        <v>景安2分鐘</v>
      </c>
      <c r="H2582" s="106" t="str">
        <f t="shared" si="1"/>
        <v>2025-09</v>
      </c>
      <c r="I2582" s="271" t="str">
        <f>IFERROR(__xludf.DUMMYFUNCTION("""COMPUTED_VALUE"""),"貓狗企鵝")</f>
        <v>貓狗企鵝</v>
      </c>
      <c r="J2582" t="str">
        <f>IFERROR(__xludf.DUMMYFUNCTION("IFS(
  AND(REGEXMATCH(E2582, ""台銀籌備帳戶|玉山帳戶""), REGEXMATCH(C2582, ""薪資"")), ""分潤支出"",
  AND(REGEXMATCH(E2582, ""Ben帳戶|Elsa帳戶|Ben代墊|Ariel代墊|中信銀行共用""), REGEXMATCH(F2582, ""Ben帳戶|Elsa帳戶|Ben代墊|Ariel代墊|中信銀行共用"")), ""內部轉帳(忽略)"",
  AND(E2582&lt;&gt;"""", F2582&lt;&gt;"""", N"&amp;"OT(REGEXMATCH(C2582, ""薪資""))), ""內部轉帳(忽略)"",
  REGEXMATCH(C2582, ""薪資""), ""薪資變動(不計入)"",
  REGEXMATCH(C2582, ""押金""), ""押金往來"",
  AND(E2582&lt;&gt;"""", F2582=""""), ""真實支出"",
  AND(E2582="""", F2582&lt;&gt;""""), ""真實收入"",
  TRUE, ""其他""
)"),"押金往來")</f>
        <v>押金往來</v>
      </c>
      <c r="K2582">
        <f t="shared" si="2"/>
        <v>0</v>
      </c>
      <c r="L2582">
        <f t="shared" si="3"/>
        <v>0</v>
      </c>
    </row>
    <row r="2583">
      <c r="A2583" s="107">
        <f>IFERROR(__xludf.DUMMYFUNCTION("""COMPUTED_VALUE"""),45920.0)</f>
        <v>45920</v>
      </c>
      <c r="B2583" t="str">
        <f>IFERROR(__xludf.DUMMYFUNCTION("""COMPUTED_VALUE"""),"費用 - 匯費 對方行:011 後五碼:17078 (行號: 16)")</f>
        <v>費用 - 匯費 對方行:011 後五碼:17078 (行號: 16)</v>
      </c>
      <c r="C2583" t="str">
        <f>IFERROR(__xludf.DUMMYFUNCTION("""COMPUTED_VALUE"""),"費用 - 匯費")</f>
        <v>費用 - 匯費</v>
      </c>
      <c r="D2583" s="270">
        <f>IFERROR(__xludf.DUMMYFUNCTION("""COMPUTED_VALUE"""),-15.0)</f>
        <v>-15</v>
      </c>
      <c r="E2583" t="str">
        <f>IFERROR(__xludf.DUMMYFUNCTION("""COMPUTED_VALUE"""),"台銀籌備帳戶")</f>
        <v>台銀籌備帳戶</v>
      </c>
      <c r="H2583" s="106" t="str">
        <f t="shared" si="1"/>
        <v>2025-09</v>
      </c>
      <c r="I2583" s="271" t="str">
        <f>IFERROR(__xludf.DUMMYFUNCTION("""COMPUTED_VALUE"""),"貓狗企鵝")</f>
        <v>貓狗企鵝</v>
      </c>
      <c r="J2583" t="str">
        <f>IFERROR(__xludf.DUMMYFUNCTION("IFS(
  AND(REGEXMATCH(E2583, ""台銀籌備帳戶|玉山帳戶""), REGEXMATCH(C2583, ""薪資"")), ""分潤支出"",
  AND(REGEXMATCH(E2583, ""Ben帳戶|Elsa帳戶|Ben代墊|Ariel代墊|中信銀行共用""), REGEXMATCH(F2583, ""Ben帳戶|Elsa帳戶|Ben代墊|Ariel代墊|中信銀行共用"")), ""內部轉帳(忽略)"",
  AND(E2583&lt;&gt;"""", F2583&lt;&gt;"""", N"&amp;"OT(REGEXMATCH(C2583, ""薪資""))), ""內部轉帳(忽略)"",
  REGEXMATCH(C2583, ""薪資""), ""薪資變動(不計入)"",
  REGEXMATCH(C2583, ""押金""), ""押金往來"",
  AND(E2583&lt;&gt;"""", F2583=""""), ""真實支出"",
  AND(E2583="""", F2583&lt;&gt;""""), ""真實收入"",
  TRUE, ""其他""
)"),"真實支出")</f>
        <v>真實支出</v>
      </c>
      <c r="K2583" s="270">
        <f t="shared" si="2"/>
        <v>-15</v>
      </c>
      <c r="L2583">
        <f t="shared" si="3"/>
        <v>0</v>
      </c>
    </row>
    <row r="2584">
      <c r="A2584" s="107">
        <f>IFERROR(__xludf.DUMMYFUNCTION("""COMPUTED_VALUE"""),45920.0)</f>
        <v>45920</v>
      </c>
      <c r="B2584" t="str">
        <f>IFERROR(__xludf.DUMMYFUNCTION("""COMPUTED_VALUE"""),"[書香民生] [吳高寶玉] 大租金")</f>
        <v>[書香民生] [吳高寶玉] 大租金</v>
      </c>
      <c r="C2584" t="str">
        <f>IFERROR(__xludf.DUMMYFUNCTION("""COMPUTED_VALUE"""),"成本 - 大租金")</f>
        <v>成本 - 大租金</v>
      </c>
      <c r="D2584" s="270">
        <f>IFERROR(__xludf.DUMMYFUNCTION("""COMPUTED_VALUE"""),-16666.0)</f>
        <v>-16666</v>
      </c>
      <c r="E2584" t="str">
        <f>IFERROR(__xludf.DUMMYFUNCTION("""COMPUTED_VALUE"""),"台銀籌備帳戶")</f>
        <v>台銀籌備帳戶</v>
      </c>
      <c r="G2584" t="str">
        <f>IFERROR(__xludf.DUMMYFUNCTION("""COMPUTED_VALUE"""),"書香民生")</f>
        <v>書香民生</v>
      </c>
      <c r="H2584" s="106" t="str">
        <f t="shared" si="1"/>
        <v>2025-09</v>
      </c>
      <c r="I2584" s="271" t="str">
        <f>IFERROR(__xludf.DUMMYFUNCTION("""COMPUTED_VALUE"""),"貓狗企鵝")</f>
        <v>貓狗企鵝</v>
      </c>
      <c r="J2584" t="str">
        <f>IFERROR(__xludf.DUMMYFUNCTION("IFS(
  AND(REGEXMATCH(E2584, ""台銀籌備帳戶|玉山帳戶""), REGEXMATCH(C2584, ""薪資"")), ""分潤支出"",
  AND(REGEXMATCH(E2584, ""Ben帳戶|Elsa帳戶|Ben代墊|Ariel代墊|中信銀行共用""), REGEXMATCH(F2584, ""Ben帳戶|Elsa帳戶|Ben代墊|Ariel代墊|中信銀行共用"")), ""內部轉帳(忽略)"",
  AND(E2584&lt;&gt;"""", F2584&lt;&gt;"""", N"&amp;"OT(REGEXMATCH(C2584, ""薪資""))), ""內部轉帳(忽略)"",
  REGEXMATCH(C2584, ""薪資""), ""薪資變動(不計入)"",
  REGEXMATCH(C2584, ""押金""), ""押金往來"",
  AND(E2584&lt;&gt;"""", F2584=""""), ""真實支出"",
  AND(E2584="""", F2584&lt;&gt;""""), ""真實收入"",
  TRUE, ""其他""
)"),"真實支出")</f>
        <v>真實支出</v>
      </c>
      <c r="K2584" s="270">
        <f t="shared" si="2"/>
        <v>-16666</v>
      </c>
      <c r="L2584">
        <f t="shared" si="3"/>
        <v>0</v>
      </c>
    </row>
    <row r="2585">
      <c r="A2585" s="107">
        <f>IFERROR(__xludf.DUMMYFUNCTION("""COMPUTED_VALUE"""),45923.0)</f>
        <v>45923</v>
      </c>
      <c r="B2585" t="str">
        <f>IFERROR(__xludf.DUMMYFUNCTION("""COMPUTED_VALUE"""),"費用 - 匯費 對方行:812 後五碼:86639 (行號: 17)")</f>
        <v>費用 - 匯費 對方行:812 後五碼:86639 (行號: 17)</v>
      </c>
      <c r="C2585" t="str">
        <f>IFERROR(__xludf.DUMMYFUNCTION("""COMPUTED_VALUE"""),"費用 - 匯費")</f>
        <v>費用 - 匯費</v>
      </c>
      <c r="D2585" s="270">
        <f>IFERROR(__xludf.DUMMYFUNCTION("""COMPUTED_VALUE"""),-15.0)</f>
        <v>-15</v>
      </c>
      <c r="E2585" t="str">
        <f>IFERROR(__xludf.DUMMYFUNCTION("""COMPUTED_VALUE"""),"台銀籌備帳戶")</f>
        <v>台銀籌備帳戶</v>
      </c>
      <c r="H2585" s="106" t="str">
        <f t="shared" si="1"/>
        <v>2025-09</v>
      </c>
      <c r="I2585" s="271" t="str">
        <f>IFERROR(__xludf.DUMMYFUNCTION("""COMPUTED_VALUE"""),"貓狗企鵝")</f>
        <v>貓狗企鵝</v>
      </c>
      <c r="J2585" t="str">
        <f>IFERROR(__xludf.DUMMYFUNCTION("IFS(
  AND(REGEXMATCH(E2585, ""台銀籌備帳戶|玉山帳戶""), REGEXMATCH(C2585, ""薪資"")), ""分潤支出"",
  AND(REGEXMATCH(E2585, ""Ben帳戶|Elsa帳戶|Ben代墊|Ariel代墊|中信銀行共用""), REGEXMATCH(F2585, ""Ben帳戶|Elsa帳戶|Ben代墊|Ariel代墊|中信銀行共用"")), ""內部轉帳(忽略)"",
  AND(E2585&lt;&gt;"""", F2585&lt;&gt;"""", N"&amp;"OT(REGEXMATCH(C2585, ""薪資""))), ""內部轉帳(忽略)"",
  REGEXMATCH(C2585, ""薪資""), ""薪資變動(不計入)"",
  REGEXMATCH(C2585, ""押金""), ""押金往來"",
  AND(E2585&lt;&gt;"""", F2585=""""), ""真實支出"",
  AND(E2585="""", F2585&lt;&gt;""""), ""真實收入"",
  TRUE, ""其他""
)"),"真實支出")</f>
        <v>真實支出</v>
      </c>
      <c r="K2585" s="270">
        <f t="shared" si="2"/>
        <v>-15</v>
      </c>
      <c r="L2585">
        <f t="shared" si="3"/>
        <v>0</v>
      </c>
    </row>
    <row r="2586">
      <c r="A2586" s="107">
        <f>IFERROR(__xludf.DUMMYFUNCTION("""COMPUTED_VALUE"""),45923.0)</f>
        <v>45923</v>
      </c>
      <c r="B2586" t="str">
        <f>IFERROR(__xludf.DUMMYFUNCTION("""COMPUTED_VALUE"""),"南港加插座 ' 【未分類支出】")</f>
        <v>南港加插座 ' 【未分類支出】</v>
      </c>
      <c r="C2586" t="str">
        <f>IFERROR(__xludf.DUMMYFUNCTION("""COMPUTED_VALUE"""),"成本 - 租後修繕")</f>
        <v>成本 - 租後修繕</v>
      </c>
      <c r="D2586" s="270">
        <f>IFERROR(__xludf.DUMMYFUNCTION("""COMPUTED_VALUE"""),-1365.0)</f>
        <v>-1365</v>
      </c>
      <c r="E2586" t="str">
        <f>IFERROR(__xludf.DUMMYFUNCTION("""COMPUTED_VALUE"""),"台銀籌備帳戶")</f>
        <v>台銀籌備帳戶</v>
      </c>
      <c r="G2586" t="str">
        <f>IFERROR(__xludf.DUMMYFUNCTION("""COMPUTED_VALUE"""),"南港站挑高宅")</f>
        <v>南港站挑高宅</v>
      </c>
      <c r="H2586" s="106" t="str">
        <f t="shared" si="1"/>
        <v>2025-09</v>
      </c>
      <c r="I2586" s="271" t="str">
        <f>IFERROR(__xludf.DUMMYFUNCTION("""COMPUTED_VALUE"""),"貓狗企鵝")</f>
        <v>貓狗企鵝</v>
      </c>
      <c r="J2586" t="str">
        <f>IFERROR(__xludf.DUMMYFUNCTION("IFS(
  AND(REGEXMATCH(E2586, ""台銀籌備帳戶|玉山帳戶""), REGEXMATCH(C2586, ""薪資"")), ""分潤支出"",
  AND(REGEXMATCH(E2586, ""Ben帳戶|Elsa帳戶|Ben代墊|Ariel代墊|中信銀行共用""), REGEXMATCH(F2586, ""Ben帳戶|Elsa帳戶|Ben代墊|Ariel代墊|中信銀行共用"")), ""內部轉帳(忽略)"",
  AND(E2586&lt;&gt;"""", F2586&lt;&gt;"""", N"&amp;"OT(REGEXMATCH(C2586, ""薪資""))), ""內部轉帳(忽略)"",
  REGEXMATCH(C2586, ""薪資""), ""薪資變動(不計入)"",
  REGEXMATCH(C2586, ""押金""), ""押金往來"",
  AND(E2586&lt;&gt;"""", F2586=""""), ""真實支出"",
  AND(E2586="""", F2586&lt;&gt;""""), ""真實收入"",
  TRUE, ""其他""
)"),"真實支出")</f>
        <v>真實支出</v>
      </c>
      <c r="K2586" s="270">
        <f t="shared" si="2"/>
        <v>-1365</v>
      </c>
      <c r="L2586">
        <f t="shared" si="3"/>
        <v>0</v>
      </c>
    </row>
    <row r="2587">
      <c r="A2587" s="107">
        <f>IFERROR(__xludf.DUMMYFUNCTION("""COMPUTED_VALUE"""),45931.0)</f>
        <v>45931</v>
      </c>
      <c r="B2587" t="str">
        <f>IFERROR(__xludf.DUMMYFUNCTION("""COMPUTED_VALUE"""),"[南港站挑高宅] [林淑華] 大租金")</f>
        <v>[南港站挑高宅] [林淑華] 大租金</v>
      </c>
      <c r="C2587" t="str">
        <f>IFERROR(__xludf.DUMMYFUNCTION("""COMPUTED_VALUE"""),"成本 - 大租金")</f>
        <v>成本 - 大租金</v>
      </c>
      <c r="D2587" s="270">
        <f>IFERROR(__xludf.DUMMYFUNCTION("""COMPUTED_VALUE"""),-18250.0)</f>
        <v>-18250</v>
      </c>
      <c r="E2587" t="str">
        <f>IFERROR(__xludf.DUMMYFUNCTION("""COMPUTED_VALUE"""),"台銀籌備帳戶")</f>
        <v>台銀籌備帳戶</v>
      </c>
      <c r="G2587" t="str">
        <f>IFERROR(__xludf.DUMMYFUNCTION("""COMPUTED_VALUE"""),"南港站挑高宅")</f>
        <v>南港站挑高宅</v>
      </c>
      <c r="H2587" s="106" t="str">
        <f t="shared" si="1"/>
        <v>2025-10</v>
      </c>
      <c r="I2587" s="271" t="str">
        <f>IFERROR(__xludf.DUMMYFUNCTION("""COMPUTED_VALUE"""),"貓狗企鵝")</f>
        <v>貓狗企鵝</v>
      </c>
      <c r="J2587" t="str">
        <f>IFERROR(__xludf.DUMMYFUNCTION("IFS(
  AND(REGEXMATCH(E2587, ""台銀籌備帳戶|玉山帳戶""), REGEXMATCH(C2587, ""薪資"")), ""分潤支出"",
  AND(REGEXMATCH(E2587, ""Ben帳戶|Elsa帳戶|Ben代墊|Ariel代墊|中信銀行共用""), REGEXMATCH(F2587, ""Ben帳戶|Elsa帳戶|Ben代墊|Ariel代墊|中信銀行共用"")), ""內部轉帳(忽略)"",
  AND(E2587&lt;&gt;"""", F2587&lt;&gt;"""", N"&amp;"OT(REGEXMATCH(C2587, ""薪資""))), ""內部轉帳(忽略)"",
  REGEXMATCH(C2587, ""薪資""), ""薪資變動(不計入)"",
  REGEXMATCH(C2587, ""押金""), ""押金往來"",
  AND(E2587&lt;&gt;"""", F2587=""""), ""真實支出"",
  AND(E2587="""", F2587&lt;&gt;""""), ""真實收入"",
  TRUE, ""其他""
)"),"真實支出")</f>
        <v>真實支出</v>
      </c>
      <c r="K2587" s="270">
        <f t="shared" si="2"/>
        <v>-18250</v>
      </c>
      <c r="L2587">
        <f t="shared" si="3"/>
        <v>0</v>
      </c>
    </row>
    <row r="2588">
      <c r="A2588" s="107">
        <f>IFERROR(__xludf.DUMMYFUNCTION("""COMPUTED_VALUE"""),45931.0)</f>
        <v>45931</v>
      </c>
      <c r="B2588" t="str">
        <f>IFERROR(__xludf.DUMMYFUNCTION("""COMPUTED_VALUE"""),"費用 - 匯費 對方行:012 後五碼:84509 (行號: 32)")</f>
        <v>費用 - 匯費 對方行:012 後五碼:84509 (行號: 32)</v>
      </c>
      <c r="C2588" t="str">
        <f>IFERROR(__xludf.DUMMYFUNCTION("""COMPUTED_VALUE"""),"費用 - 匯費")</f>
        <v>費用 - 匯費</v>
      </c>
      <c r="D2588" s="270">
        <f>IFERROR(__xludf.DUMMYFUNCTION("""COMPUTED_VALUE"""),-15.0)</f>
        <v>-15</v>
      </c>
      <c r="E2588" t="str">
        <f>IFERROR(__xludf.DUMMYFUNCTION("""COMPUTED_VALUE"""),"台銀籌備帳戶")</f>
        <v>台銀籌備帳戶</v>
      </c>
      <c r="H2588" s="106" t="str">
        <f t="shared" si="1"/>
        <v>2025-10</v>
      </c>
      <c r="I2588" s="271" t="str">
        <f>IFERROR(__xludf.DUMMYFUNCTION("""COMPUTED_VALUE"""),"貓狗企鵝")</f>
        <v>貓狗企鵝</v>
      </c>
      <c r="J2588" t="str">
        <f>IFERROR(__xludf.DUMMYFUNCTION("IFS(
  AND(REGEXMATCH(E2588, ""台銀籌備帳戶|玉山帳戶""), REGEXMATCH(C2588, ""薪資"")), ""分潤支出"",
  AND(REGEXMATCH(E2588, ""Ben帳戶|Elsa帳戶|Ben代墊|Ariel代墊|中信銀行共用""), REGEXMATCH(F2588, ""Ben帳戶|Elsa帳戶|Ben代墊|Ariel代墊|中信銀行共用"")), ""內部轉帳(忽略)"",
  AND(E2588&lt;&gt;"""", F2588&lt;&gt;"""", N"&amp;"OT(REGEXMATCH(C2588, ""薪資""))), ""內部轉帳(忽略)"",
  REGEXMATCH(C2588, ""薪資""), ""薪資變動(不計入)"",
  REGEXMATCH(C2588, ""押金""), ""押金往來"",
  AND(E2588&lt;&gt;"""", F2588=""""), ""真實支出"",
  AND(E2588="""", F2588&lt;&gt;""""), ""真實收入"",
  TRUE, ""其他""
)"),"真實支出")</f>
        <v>真實支出</v>
      </c>
      <c r="K2588" s="270">
        <f t="shared" si="2"/>
        <v>-15</v>
      </c>
      <c r="L2588">
        <f t="shared" si="3"/>
        <v>0</v>
      </c>
    </row>
    <row r="2589">
      <c r="A2589" s="107">
        <f>IFERROR(__xludf.DUMMYFUNCTION("""COMPUTED_VALUE"""),45931.0)</f>
        <v>45931</v>
      </c>
      <c r="B2589" t="str">
        <f>IFERROR(__xludf.DUMMYFUNCTION("""COMPUTED_VALUE"""),"[永春四號] [郭宗仁] 大租金")</f>
        <v>[永春四號] [郭宗仁] 大租金</v>
      </c>
      <c r="C2589" t="str">
        <f>IFERROR(__xludf.DUMMYFUNCTION("""COMPUTED_VALUE"""),"成本 - 大租金")</f>
        <v>成本 - 大租金</v>
      </c>
      <c r="D2589" s="270">
        <f>IFERROR(__xludf.DUMMYFUNCTION("""COMPUTED_VALUE"""),-17000.0)</f>
        <v>-17000</v>
      </c>
      <c r="E2589" t="str">
        <f>IFERROR(__xludf.DUMMYFUNCTION("""COMPUTED_VALUE"""),"台銀籌備帳戶")</f>
        <v>台銀籌備帳戶</v>
      </c>
      <c r="G2589" t="str">
        <f>IFERROR(__xludf.DUMMYFUNCTION("""COMPUTED_VALUE"""),"永春四號")</f>
        <v>永春四號</v>
      </c>
      <c r="H2589" s="106" t="str">
        <f t="shared" si="1"/>
        <v>2025-10</v>
      </c>
      <c r="I2589" s="271" t="str">
        <f>IFERROR(__xludf.DUMMYFUNCTION("""COMPUTED_VALUE"""),"貓狗企鵝")</f>
        <v>貓狗企鵝</v>
      </c>
      <c r="J2589" t="str">
        <f>IFERROR(__xludf.DUMMYFUNCTION("IFS(
  AND(REGEXMATCH(E2589, ""台銀籌備帳戶|玉山帳戶""), REGEXMATCH(C2589, ""薪資"")), ""分潤支出"",
  AND(REGEXMATCH(E2589, ""Ben帳戶|Elsa帳戶|Ben代墊|Ariel代墊|中信銀行共用""), REGEXMATCH(F2589, ""Ben帳戶|Elsa帳戶|Ben代墊|Ariel代墊|中信銀行共用"")), ""內部轉帳(忽略)"",
  AND(E2589&lt;&gt;"""", F2589&lt;&gt;"""", N"&amp;"OT(REGEXMATCH(C2589, ""薪資""))), ""內部轉帳(忽略)"",
  REGEXMATCH(C2589, ""薪資""), ""薪資變動(不計入)"",
  REGEXMATCH(C2589, ""押金""), ""押金往來"",
  AND(E2589&lt;&gt;"""", F2589=""""), ""真實支出"",
  AND(E2589="""", F2589&lt;&gt;""""), ""真實收入"",
  TRUE, ""其他""
)"),"真實支出")</f>
        <v>真實支出</v>
      </c>
      <c r="K2589" s="270">
        <f t="shared" si="2"/>
        <v>-17000</v>
      </c>
      <c r="L2589">
        <f t="shared" si="3"/>
        <v>0</v>
      </c>
    </row>
    <row r="2590">
      <c r="A2590" s="107">
        <f>IFERROR(__xludf.DUMMYFUNCTION("""COMPUTED_VALUE"""),45931.0)</f>
        <v>45931</v>
      </c>
      <c r="B2590" t="str">
        <f>IFERROR(__xludf.DUMMYFUNCTION("""COMPUTED_VALUE"""),"費用 - 匯費 對方行:012 後五碼:46295 (行號: 33)")</f>
        <v>費用 - 匯費 對方行:012 後五碼:46295 (行號: 33)</v>
      </c>
      <c r="C2590" t="str">
        <f>IFERROR(__xludf.DUMMYFUNCTION("""COMPUTED_VALUE"""),"費用 - 匯費")</f>
        <v>費用 - 匯費</v>
      </c>
      <c r="D2590" s="270">
        <f>IFERROR(__xludf.DUMMYFUNCTION("""COMPUTED_VALUE"""),-15.0)</f>
        <v>-15</v>
      </c>
      <c r="E2590" t="str">
        <f>IFERROR(__xludf.DUMMYFUNCTION("""COMPUTED_VALUE"""),"台銀籌備帳戶")</f>
        <v>台銀籌備帳戶</v>
      </c>
      <c r="H2590" s="106" t="str">
        <f t="shared" si="1"/>
        <v>2025-10</v>
      </c>
      <c r="I2590" s="271" t="str">
        <f>IFERROR(__xludf.DUMMYFUNCTION("""COMPUTED_VALUE"""),"貓狗企鵝")</f>
        <v>貓狗企鵝</v>
      </c>
      <c r="J2590" t="str">
        <f>IFERROR(__xludf.DUMMYFUNCTION("IFS(
  AND(REGEXMATCH(E2590, ""台銀籌備帳戶|玉山帳戶""), REGEXMATCH(C2590, ""薪資"")), ""分潤支出"",
  AND(REGEXMATCH(E2590, ""Ben帳戶|Elsa帳戶|Ben代墊|Ariel代墊|中信銀行共用""), REGEXMATCH(F2590, ""Ben帳戶|Elsa帳戶|Ben代墊|Ariel代墊|中信銀行共用"")), ""內部轉帳(忽略)"",
  AND(E2590&lt;&gt;"""", F2590&lt;&gt;"""", N"&amp;"OT(REGEXMATCH(C2590, ""薪資""))), ""內部轉帳(忽略)"",
  REGEXMATCH(C2590, ""薪資""), ""薪資變動(不計入)"",
  REGEXMATCH(C2590, ""押金""), ""押金往來"",
  AND(E2590&lt;&gt;"""", F2590=""""), ""真實支出"",
  AND(E2590="""", F2590&lt;&gt;""""), ""真實收入"",
  TRUE, ""其他""
)"),"真實支出")</f>
        <v>真實支出</v>
      </c>
      <c r="K2590" s="270">
        <f t="shared" si="2"/>
        <v>-15</v>
      </c>
      <c r="L2590">
        <f t="shared" si="3"/>
        <v>0</v>
      </c>
    </row>
    <row r="2591">
      <c r="A2591" s="107">
        <f>IFERROR(__xludf.DUMMYFUNCTION("""COMPUTED_VALUE"""),45931.0)</f>
        <v>45931</v>
      </c>
      <c r="B2591" t="str">
        <f>IFERROR(__xludf.DUMMYFUNCTION("""COMPUTED_VALUE"""),"[永春四號] [郭宗仁] 大租金")</f>
        <v>[永春四號] [郭宗仁] 大租金</v>
      </c>
      <c r="C2591" t="str">
        <f>IFERROR(__xludf.DUMMYFUNCTION("""COMPUTED_VALUE"""),"成本 - 大租金")</f>
        <v>成本 - 大租金</v>
      </c>
      <c r="D2591" s="270">
        <f>IFERROR(__xludf.DUMMYFUNCTION("""COMPUTED_VALUE"""),-17000.0)</f>
        <v>-17000</v>
      </c>
      <c r="E2591" t="str">
        <f>IFERROR(__xludf.DUMMYFUNCTION("""COMPUTED_VALUE"""),"台銀籌備帳戶")</f>
        <v>台銀籌備帳戶</v>
      </c>
      <c r="G2591" t="str">
        <f>IFERROR(__xludf.DUMMYFUNCTION("""COMPUTED_VALUE"""),"永春四號")</f>
        <v>永春四號</v>
      </c>
      <c r="H2591" s="106" t="str">
        <f t="shared" si="1"/>
        <v>2025-10</v>
      </c>
      <c r="I2591" s="271" t="str">
        <f>IFERROR(__xludf.DUMMYFUNCTION("""COMPUTED_VALUE"""),"貓狗企鵝")</f>
        <v>貓狗企鵝</v>
      </c>
      <c r="J2591" t="str">
        <f>IFERROR(__xludf.DUMMYFUNCTION("IFS(
  AND(REGEXMATCH(E2591, ""台銀籌備帳戶|玉山帳戶""), REGEXMATCH(C2591, ""薪資"")), ""分潤支出"",
  AND(REGEXMATCH(E2591, ""Ben帳戶|Elsa帳戶|Ben代墊|Ariel代墊|中信銀行共用""), REGEXMATCH(F2591, ""Ben帳戶|Elsa帳戶|Ben代墊|Ariel代墊|中信銀行共用"")), ""內部轉帳(忽略)"",
  AND(E2591&lt;&gt;"""", F2591&lt;&gt;"""", N"&amp;"OT(REGEXMATCH(C2591, ""薪資""))), ""內部轉帳(忽略)"",
  REGEXMATCH(C2591, ""薪資""), ""薪資變動(不計入)"",
  REGEXMATCH(C2591, ""押金""), ""押金往來"",
  AND(E2591&lt;&gt;"""", F2591=""""), ""真實支出"",
  AND(E2591="""", F2591&lt;&gt;""""), ""真實收入"",
  TRUE, ""其他""
)"),"真實支出")</f>
        <v>真實支出</v>
      </c>
      <c r="K2591" s="270">
        <f t="shared" si="2"/>
        <v>-17000</v>
      </c>
      <c r="L2591">
        <f t="shared" si="3"/>
        <v>0</v>
      </c>
    </row>
    <row r="2592">
      <c r="A2592" s="107">
        <f>IFERROR(__xludf.DUMMYFUNCTION("""COMPUTED_VALUE"""),45931.0)</f>
        <v>45931</v>
      </c>
      <c r="B2592" t="str">
        <f>IFERROR(__xludf.DUMMYFUNCTION("""COMPUTED_VALUE"""),"費用 - 匯費 對方行:700 後五碼:19509 (行號: 34)")</f>
        <v>費用 - 匯費 對方行:700 後五碼:19509 (行號: 34)</v>
      </c>
      <c r="C2592" t="str">
        <f>IFERROR(__xludf.DUMMYFUNCTION("""COMPUTED_VALUE"""),"費用 - 匯費")</f>
        <v>費用 - 匯費</v>
      </c>
      <c r="D2592" s="270">
        <f>IFERROR(__xludf.DUMMYFUNCTION("""COMPUTED_VALUE"""),-15.0)</f>
        <v>-15</v>
      </c>
      <c r="E2592" t="str">
        <f>IFERROR(__xludf.DUMMYFUNCTION("""COMPUTED_VALUE"""),"台銀籌備帳戶")</f>
        <v>台銀籌備帳戶</v>
      </c>
      <c r="H2592" s="106" t="str">
        <f t="shared" si="1"/>
        <v>2025-10</v>
      </c>
      <c r="I2592" s="271" t="str">
        <f>IFERROR(__xludf.DUMMYFUNCTION("""COMPUTED_VALUE"""),"貓狗企鵝")</f>
        <v>貓狗企鵝</v>
      </c>
      <c r="J2592" t="str">
        <f>IFERROR(__xludf.DUMMYFUNCTION("IFS(
  AND(REGEXMATCH(E2592, ""台銀籌備帳戶|玉山帳戶""), REGEXMATCH(C2592, ""薪資"")), ""分潤支出"",
  AND(REGEXMATCH(E2592, ""Ben帳戶|Elsa帳戶|Ben代墊|Ariel代墊|中信銀行共用""), REGEXMATCH(F2592, ""Ben帳戶|Elsa帳戶|Ben代墊|Ariel代墊|中信銀行共用"")), ""內部轉帳(忽略)"",
  AND(E2592&lt;&gt;"""", F2592&lt;&gt;"""", N"&amp;"OT(REGEXMATCH(C2592, ""薪資""))), ""內部轉帳(忽略)"",
  REGEXMATCH(C2592, ""薪資""), ""薪資變動(不計入)"",
  REGEXMATCH(C2592, ""押金""), ""押金往來"",
  AND(E2592&lt;&gt;"""", F2592=""""), ""真實支出"",
  AND(E2592="""", F2592&lt;&gt;""""), ""真實收入"",
  TRUE, ""其他""
)"),"真實支出")</f>
        <v>真實支出</v>
      </c>
      <c r="K2592" s="270">
        <f t="shared" si="2"/>
        <v>-15</v>
      </c>
      <c r="L2592">
        <f t="shared" si="3"/>
        <v>0</v>
      </c>
    </row>
    <row r="2593">
      <c r="A2593" s="107">
        <f>IFERROR(__xludf.DUMMYFUNCTION("""COMPUTED_VALUE"""),45931.0)</f>
        <v>45931</v>
      </c>
      <c r="B2593" t="str">
        <f>IFERROR(__xludf.DUMMYFUNCTION("""COMPUTED_VALUE"""),"[龍江229] [游為傑] 大租金")</f>
        <v>[龍江229] [游為傑] 大租金</v>
      </c>
      <c r="C2593" t="str">
        <f>IFERROR(__xludf.DUMMYFUNCTION("""COMPUTED_VALUE"""),"成本 - 大租金")</f>
        <v>成本 - 大租金</v>
      </c>
      <c r="D2593" s="270">
        <f>IFERROR(__xludf.DUMMYFUNCTION("""COMPUTED_VALUE"""),-13500.0)</f>
        <v>-13500</v>
      </c>
      <c r="E2593" t="str">
        <f>IFERROR(__xludf.DUMMYFUNCTION("""COMPUTED_VALUE"""),"台銀籌備帳戶")</f>
        <v>台銀籌備帳戶</v>
      </c>
      <c r="G2593" t="str">
        <f>IFERROR(__xludf.DUMMYFUNCTION("""COMPUTED_VALUE"""),"龍江229")</f>
        <v>龍江229</v>
      </c>
      <c r="H2593" s="106" t="str">
        <f t="shared" si="1"/>
        <v>2025-10</v>
      </c>
      <c r="I2593" s="271" t="str">
        <f>IFERROR(__xludf.DUMMYFUNCTION("""COMPUTED_VALUE"""),"貓狗企鵝")</f>
        <v>貓狗企鵝</v>
      </c>
      <c r="J2593" t="str">
        <f>IFERROR(__xludf.DUMMYFUNCTION("IFS(
  AND(REGEXMATCH(E2593, ""台銀籌備帳戶|玉山帳戶""), REGEXMATCH(C2593, ""薪資"")), ""分潤支出"",
  AND(REGEXMATCH(E2593, ""Ben帳戶|Elsa帳戶|Ben代墊|Ariel代墊|中信銀行共用""), REGEXMATCH(F2593, ""Ben帳戶|Elsa帳戶|Ben代墊|Ariel代墊|中信銀行共用"")), ""內部轉帳(忽略)"",
  AND(E2593&lt;&gt;"""", F2593&lt;&gt;"""", N"&amp;"OT(REGEXMATCH(C2593, ""薪資""))), ""內部轉帳(忽略)"",
  REGEXMATCH(C2593, ""薪資""), ""薪資變動(不計入)"",
  REGEXMATCH(C2593, ""押金""), ""押金往來"",
  AND(E2593&lt;&gt;"""", F2593=""""), ""真實支出"",
  AND(E2593="""", F2593&lt;&gt;""""), ""真實收入"",
  TRUE, ""其他""
)"),"真實支出")</f>
        <v>真實支出</v>
      </c>
      <c r="K2593" s="270">
        <f t="shared" si="2"/>
        <v>-13500</v>
      </c>
      <c r="L2593">
        <f t="shared" si="3"/>
        <v>0</v>
      </c>
    </row>
    <row r="2594">
      <c r="A2594" s="107">
        <f>IFERROR(__xludf.DUMMYFUNCTION("""COMPUTED_VALUE"""),45931.0)</f>
        <v>45931</v>
      </c>
      <c r="B2594" t="str">
        <f>IFERROR(__xludf.DUMMYFUNCTION("""COMPUTED_VALUE"""),"費用 - 匯費 對方行:012 後五碼:74779 (行號: 35)")</f>
        <v>費用 - 匯費 對方行:012 後五碼:74779 (行號: 35)</v>
      </c>
      <c r="C2594" t="str">
        <f>IFERROR(__xludf.DUMMYFUNCTION("""COMPUTED_VALUE"""),"費用 - 匯費")</f>
        <v>費用 - 匯費</v>
      </c>
      <c r="D2594" s="270">
        <f>IFERROR(__xludf.DUMMYFUNCTION("""COMPUTED_VALUE"""),-15.0)</f>
        <v>-15</v>
      </c>
      <c r="E2594" t="str">
        <f>IFERROR(__xludf.DUMMYFUNCTION("""COMPUTED_VALUE"""),"台銀籌備帳戶")</f>
        <v>台銀籌備帳戶</v>
      </c>
      <c r="H2594" s="106" t="str">
        <f t="shared" si="1"/>
        <v>2025-10</v>
      </c>
      <c r="I2594" s="271" t="str">
        <f>IFERROR(__xludf.DUMMYFUNCTION("""COMPUTED_VALUE"""),"貓狗企鵝")</f>
        <v>貓狗企鵝</v>
      </c>
      <c r="J2594" t="str">
        <f>IFERROR(__xludf.DUMMYFUNCTION("IFS(
  AND(REGEXMATCH(E2594, ""台銀籌備帳戶|玉山帳戶""), REGEXMATCH(C2594, ""薪資"")), ""分潤支出"",
  AND(REGEXMATCH(E2594, ""Ben帳戶|Elsa帳戶|Ben代墊|Ariel代墊|中信銀行共用""), REGEXMATCH(F2594, ""Ben帳戶|Elsa帳戶|Ben代墊|Ariel代墊|中信銀行共用"")), ""內部轉帳(忽略)"",
  AND(E2594&lt;&gt;"""", F2594&lt;&gt;"""", N"&amp;"OT(REGEXMATCH(C2594, ""薪資""))), ""內部轉帳(忽略)"",
  REGEXMATCH(C2594, ""薪資""), ""薪資變動(不計入)"",
  REGEXMATCH(C2594, ""押金""), ""押金往來"",
  AND(E2594&lt;&gt;"""", F2594=""""), ""真實支出"",
  AND(E2594="""", F2594&lt;&gt;""""), ""真實收入"",
  TRUE, ""其他""
)"),"真實支出")</f>
        <v>真實支出</v>
      </c>
      <c r="K2594" s="270">
        <f t="shared" si="2"/>
        <v>-15</v>
      </c>
      <c r="L2594">
        <f t="shared" si="3"/>
        <v>0</v>
      </c>
    </row>
    <row r="2595">
      <c r="A2595" s="107">
        <f>IFERROR(__xludf.DUMMYFUNCTION("""COMPUTED_VALUE"""),45931.0)</f>
        <v>45931</v>
      </c>
      <c r="B2595" t="str">
        <f>IFERROR(__xludf.DUMMYFUNCTION("""COMPUTED_VALUE"""),"[市府爺爺家] [常永年] 大租金")</f>
        <v>[市府爺爺家] [常永年] 大租金</v>
      </c>
      <c r="C2595" t="str">
        <f>IFERROR(__xludf.DUMMYFUNCTION("""COMPUTED_VALUE"""),"成本 - 大租金")</f>
        <v>成本 - 大租金</v>
      </c>
      <c r="D2595" s="270">
        <f>IFERROR(__xludf.DUMMYFUNCTION("""COMPUTED_VALUE"""),-12000.0)</f>
        <v>-12000</v>
      </c>
      <c r="E2595" t="str">
        <f>IFERROR(__xludf.DUMMYFUNCTION("""COMPUTED_VALUE"""),"台銀籌備帳戶")</f>
        <v>台銀籌備帳戶</v>
      </c>
      <c r="G2595" t="str">
        <f>IFERROR(__xludf.DUMMYFUNCTION("""COMPUTED_VALUE"""),"市府爺爺家")</f>
        <v>市府爺爺家</v>
      </c>
      <c r="H2595" s="106" t="str">
        <f t="shared" si="1"/>
        <v>2025-10</v>
      </c>
      <c r="I2595" s="271" t="str">
        <f>IFERROR(__xludf.DUMMYFUNCTION("""COMPUTED_VALUE"""),"貓狗企鵝")</f>
        <v>貓狗企鵝</v>
      </c>
      <c r="J2595" t="str">
        <f>IFERROR(__xludf.DUMMYFUNCTION("IFS(
  AND(REGEXMATCH(E2595, ""台銀籌備帳戶|玉山帳戶""), REGEXMATCH(C2595, ""薪資"")), ""分潤支出"",
  AND(REGEXMATCH(E2595, ""Ben帳戶|Elsa帳戶|Ben代墊|Ariel代墊|中信銀行共用""), REGEXMATCH(F2595, ""Ben帳戶|Elsa帳戶|Ben代墊|Ariel代墊|中信銀行共用"")), ""內部轉帳(忽略)"",
  AND(E2595&lt;&gt;"""", F2595&lt;&gt;"""", N"&amp;"OT(REGEXMATCH(C2595, ""薪資""))), ""內部轉帳(忽略)"",
  REGEXMATCH(C2595, ""薪資""), ""薪資變動(不計入)"",
  REGEXMATCH(C2595, ""押金""), ""押金往來"",
  AND(E2595&lt;&gt;"""", F2595=""""), ""真實支出"",
  AND(E2595="""", F2595&lt;&gt;""""), ""真實收入"",
  TRUE, ""其他""
)"),"真實支出")</f>
        <v>真實支出</v>
      </c>
      <c r="K2595" s="270">
        <f t="shared" si="2"/>
        <v>-12000</v>
      </c>
      <c r="L2595">
        <f t="shared" si="3"/>
        <v>0</v>
      </c>
    </row>
    <row r="2596">
      <c r="A2596" s="107">
        <f>IFERROR(__xludf.DUMMYFUNCTION("""COMPUTED_VALUE"""),45931.0)</f>
        <v>45931</v>
      </c>
      <c r="B2596" t="str">
        <f>IFERROR(__xludf.DUMMYFUNCTION("""COMPUTED_VALUE"""),"費用 - 匯費 對方行:052 後五碼:22609 (行號: 36)")</f>
        <v>費用 - 匯費 對方行:052 後五碼:22609 (行號: 36)</v>
      </c>
      <c r="C2596" t="str">
        <f>IFERROR(__xludf.DUMMYFUNCTION("""COMPUTED_VALUE"""),"費用 - 匯費")</f>
        <v>費用 - 匯費</v>
      </c>
      <c r="D2596" s="270">
        <f>IFERROR(__xludf.DUMMYFUNCTION("""COMPUTED_VALUE"""),-15.0)</f>
        <v>-15</v>
      </c>
      <c r="E2596" t="str">
        <f>IFERROR(__xludf.DUMMYFUNCTION("""COMPUTED_VALUE"""),"台銀籌備帳戶")</f>
        <v>台銀籌備帳戶</v>
      </c>
      <c r="H2596" s="106" t="str">
        <f t="shared" si="1"/>
        <v>2025-10</v>
      </c>
      <c r="I2596" s="271" t="str">
        <f>IFERROR(__xludf.DUMMYFUNCTION("""COMPUTED_VALUE"""),"貓狗企鵝")</f>
        <v>貓狗企鵝</v>
      </c>
      <c r="J2596" t="str">
        <f>IFERROR(__xludf.DUMMYFUNCTION("IFS(
  AND(REGEXMATCH(E2596, ""台銀籌備帳戶|玉山帳戶""), REGEXMATCH(C2596, ""薪資"")), ""分潤支出"",
  AND(REGEXMATCH(E2596, ""Ben帳戶|Elsa帳戶|Ben代墊|Ariel代墊|中信銀行共用""), REGEXMATCH(F2596, ""Ben帳戶|Elsa帳戶|Ben代墊|Ariel代墊|中信銀行共用"")), ""內部轉帳(忽略)"",
  AND(E2596&lt;&gt;"""", F2596&lt;&gt;"""", N"&amp;"OT(REGEXMATCH(C2596, ""薪資""))), ""內部轉帳(忽略)"",
  REGEXMATCH(C2596, ""薪資""), ""薪資變動(不計入)"",
  REGEXMATCH(C2596, ""押金""), ""押金往來"",
  AND(E2596&lt;&gt;"""", F2596=""""), ""真實支出"",
  AND(E2596="""", F2596&lt;&gt;""""), ""真實收入"",
  TRUE, ""其他""
)"),"真實支出")</f>
        <v>真實支出</v>
      </c>
      <c r="K2596" s="270">
        <f t="shared" si="2"/>
        <v>-15</v>
      </c>
      <c r="L2596">
        <f t="shared" si="3"/>
        <v>0</v>
      </c>
    </row>
    <row r="2597">
      <c r="A2597" s="107">
        <f>IFERROR(__xludf.DUMMYFUNCTION("""COMPUTED_VALUE"""),45931.0)</f>
        <v>45931</v>
      </c>
      <c r="B2597" t="str">
        <f>IFERROR(__xludf.DUMMYFUNCTION("""COMPUTED_VALUE"""),"[中山北Feli家] [陳玉蘭] 大租金")</f>
        <v>[中山北Feli家] [陳玉蘭] 大租金</v>
      </c>
      <c r="C2597" t="str">
        <f>IFERROR(__xludf.DUMMYFUNCTION("""COMPUTED_VALUE"""),"成本 - 大租金")</f>
        <v>成本 - 大租金</v>
      </c>
      <c r="D2597" s="270">
        <f>IFERROR(__xludf.DUMMYFUNCTION("""COMPUTED_VALUE"""),-18000.0)</f>
        <v>-18000</v>
      </c>
      <c r="E2597" t="str">
        <f>IFERROR(__xludf.DUMMYFUNCTION("""COMPUTED_VALUE"""),"台銀籌備帳戶")</f>
        <v>台銀籌備帳戶</v>
      </c>
      <c r="G2597" t="str">
        <f>IFERROR(__xludf.DUMMYFUNCTION("""COMPUTED_VALUE"""),"中山北Feli家")</f>
        <v>中山北Feli家</v>
      </c>
      <c r="H2597" s="106" t="str">
        <f t="shared" si="1"/>
        <v>2025-10</v>
      </c>
      <c r="I2597" s="271" t="str">
        <f>IFERROR(__xludf.DUMMYFUNCTION("""COMPUTED_VALUE"""),"貓狗企鵝")</f>
        <v>貓狗企鵝</v>
      </c>
      <c r="J2597" t="str">
        <f>IFERROR(__xludf.DUMMYFUNCTION("IFS(
  AND(REGEXMATCH(E2597, ""台銀籌備帳戶|玉山帳戶""), REGEXMATCH(C2597, ""薪資"")), ""分潤支出"",
  AND(REGEXMATCH(E2597, ""Ben帳戶|Elsa帳戶|Ben代墊|Ariel代墊|中信銀行共用""), REGEXMATCH(F2597, ""Ben帳戶|Elsa帳戶|Ben代墊|Ariel代墊|中信銀行共用"")), ""內部轉帳(忽略)"",
  AND(E2597&lt;&gt;"""", F2597&lt;&gt;"""", N"&amp;"OT(REGEXMATCH(C2597, ""薪資""))), ""內部轉帳(忽略)"",
  REGEXMATCH(C2597, ""薪資""), ""薪資變動(不計入)"",
  REGEXMATCH(C2597, ""押金""), ""押金往來"",
  AND(E2597&lt;&gt;"""", F2597=""""), ""真實支出"",
  AND(E2597="""", F2597&lt;&gt;""""), ""真實收入"",
  TRUE, ""其他""
)"),"真實支出")</f>
        <v>真實支出</v>
      </c>
      <c r="K2597" s="270">
        <f t="shared" si="2"/>
        <v>-18000</v>
      </c>
      <c r="L2597">
        <f t="shared" si="3"/>
        <v>0</v>
      </c>
    </row>
    <row r="2598">
      <c r="A2598" s="107">
        <f>IFERROR(__xludf.DUMMYFUNCTION("""COMPUTED_VALUE"""),45931.0)</f>
        <v>45931</v>
      </c>
      <c r="B2598" t="str">
        <f>IFERROR(__xludf.DUMMYFUNCTION("""COMPUTED_VALUE"""),"費用 - 匯費 對方行:013 後五碼:20652 (行號: 37)")</f>
        <v>費用 - 匯費 對方行:013 後五碼:20652 (行號: 37)</v>
      </c>
      <c r="C2598" t="str">
        <f>IFERROR(__xludf.DUMMYFUNCTION("""COMPUTED_VALUE"""),"費用 - 匯費")</f>
        <v>費用 - 匯費</v>
      </c>
      <c r="D2598" s="270">
        <f>IFERROR(__xludf.DUMMYFUNCTION("""COMPUTED_VALUE"""),-15.0)</f>
        <v>-15</v>
      </c>
      <c r="E2598" t="str">
        <f>IFERROR(__xludf.DUMMYFUNCTION("""COMPUTED_VALUE"""),"台銀籌備帳戶")</f>
        <v>台銀籌備帳戶</v>
      </c>
      <c r="H2598" s="106" t="str">
        <f t="shared" si="1"/>
        <v>2025-10</v>
      </c>
      <c r="I2598" s="271" t="str">
        <f>IFERROR(__xludf.DUMMYFUNCTION("""COMPUTED_VALUE"""),"貓狗企鵝")</f>
        <v>貓狗企鵝</v>
      </c>
      <c r="J2598" t="str">
        <f>IFERROR(__xludf.DUMMYFUNCTION("IFS(
  AND(REGEXMATCH(E2598, ""台銀籌備帳戶|玉山帳戶""), REGEXMATCH(C2598, ""薪資"")), ""分潤支出"",
  AND(REGEXMATCH(E2598, ""Ben帳戶|Elsa帳戶|Ben代墊|Ariel代墊|中信銀行共用""), REGEXMATCH(F2598, ""Ben帳戶|Elsa帳戶|Ben代墊|Ariel代墊|中信銀行共用"")), ""內部轉帳(忽略)"",
  AND(E2598&lt;&gt;"""", F2598&lt;&gt;"""", N"&amp;"OT(REGEXMATCH(C2598, ""薪資""))), ""內部轉帳(忽略)"",
  REGEXMATCH(C2598, ""薪資""), ""薪資變動(不計入)"",
  REGEXMATCH(C2598, ""押金""), ""押金往來"",
  AND(E2598&lt;&gt;"""", F2598=""""), ""真實支出"",
  AND(E2598="""", F2598&lt;&gt;""""), ""真實收入"",
  TRUE, ""其他""
)"),"真實支出")</f>
        <v>真實支出</v>
      </c>
      <c r="K2598" s="270">
        <f t="shared" si="2"/>
        <v>-15</v>
      </c>
      <c r="L2598">
        <f t="shared" si="3"/>
        <v>0</v>
      </c>
    </row>
    <row r="2599">
      <c r="A2599" s="107">
        <f>IFERROR(__xludf.DUMMYFUNCTION("""COMPUTED_VALUE"""),45931.0)</f>
        <v>45931</v>
      </c>
      <c r="B2599" t="str">
        <f>IFERROR(__xludf.DUMMYFUNCTION("""COMPUTED_VALUE"""),"[景安2分鐘] [王逸荃] 大租金")</f>
        <v>[景安2分鐘] [王逸荃] 大租金</v>
      </c>
      <c r="C2599" t="str">
        <f>IFERROR(__xludf.DUMMYFUNCTION("""COMPUTED_VALUE"""),"成本 - 大租金")</f>
        <v>成本 - 大租金</v>
      </c>
      <c r="D2599" s="270">
        <f>IFERROR(__xludf.DUMMYFUNCTION("""COMPUTED_VALUE"""),-12500.0)</f>
        <v>-12500</v>
      </c>
      <c r="E2599" t="str">
        <f>IFERROR(__xludf.DUMMYFUNCTION("""COMPUTED_VALUE"""),"台銀籌備帳戶")</f>
        <v>台銀籌備帳戶</v>
      </c>
      <c r="G2599" t="str">
        <f>IFERROR(__xludf.DUMMYFUNCTION("""COMPUTED_VALUE"""),"景安2分鐘")</f>
        <v>景安2分鐘</v>
      </c>
      <c r="H2599" s="106" t="str">
        <f t="shared" si="1"/>
        <v>2025-10</v>
      </c>
      <c r="I2599" s="271" t="str">
        <f>IFERROR(__xludf.DUMMYFUNCTION("""COMPUTED_VALUE"""),"貓狗企鵝")</f>
        <v>貓狗企鵝</v>
      </c>
      <c r="J2599" t="str">
        <f>IFERROR(__xludf.DUMMYFUNCTION("IFS(
  AND(REGEXMATCH(E2599, ""台銀籌備帳戶|玉山帳戶""), REGEXMATCH(C2599, ""薪資"")), ""分潤支出"",
  AND(REGEXMATCH(E2599, ""Ben帳戶|Elsa帳戶|Ben代墊|Ariel代墊|中信銀行共用""), REGEXMATCH(F2599, ""Ben帳戶|Elsa帳戶|Ben代墊|Ariel代墊|中信銀行共用"")), ""內部轉帳(忽略)"",
  AND(E2599&lt;&gt;"""", F2599&lt;&gt;"""", N"&amp;"OT(REGEXMATCH(C2599, ""薪資""))), ""內部轉帳(忽略)"",
  REGEXMATCH(C2599, ""薪資""), ""薪資變動(不計入)"",
  REGEXMATCH(C2599, ""押金""), ""押金往來"",
  AND(E2599&lt;&gt;"""", F2599=""""), ""真實支出"",
  AND(E2599="""", F2599&lt;&gt;""""), ""真實收入"",
  TRUE, ""其他""
)"),"真實支出")</f>
        <v>真實支出</v>
      </c>
      <c r="K2599" s="270">
        <f t="shared" si="2"/>
        <v>-12500</v>
      </c>
      <c r="L2599">
        <f t="shared" si="3"/>
        <v>0</v>
      </c>
    </row>
    <row r="2600">
      <c r="A2600" s="107">
        <f>IFERROR(__xludf.DUMMYFUNCTION("""COMPUTED_VALUE"""),45931.0)</f>
        <v>45931</v>
      </c>
      <c r="B2600" t="str">
        <f>IFERROR(__xludf.DUMMYFUNCTION("""COMPUTED_VALUE"""),"費用 - 匯費 對方行:822 後五碼:06708 (行號: 38)")</f>
        <v>費用 - 匯費 對方行:822 後五碼:06708 (行號: 38)</v>
      </c>
      <c r="C2600" t="str">
        <f>IFERROR(__xludf.DUMMYFUNCTION("""COMPUTED_VALUE"""),"費用 - 匯費")</f>
        <v>費用 - 匯費</v>
      </c>
      <c r="D2600" s="270">
        <f>IFERROR(__xludf.DUMMYFUNCTION("""COMPUTED_VALUE"""),-15.0)</f>
        <v>-15</v>
      </c>
      <c r="E2600" t="str">
        <f>IFERROR(__xludf.DUMMYFUNCTION("""COMPUTED_VALUE"""),"台銀籌備帳戶")</f>
        <v>台銀籌備帳戶</v>
      </c>
      <c r="H2600" s="106" t="str">
        <f t="shared" si="1"/>
        <v>2025-10</v>
      </c>
      <c r="I2600" s="271" t="str">
        <f>IFERROR(__xludf.DUMMYFUNCTION("""COMPUTED_VALUE"""),"貓狗企鵝")</f>
        <v>貓狗企鵝</v>
      </c>
      <c r="J2600" t="str">
        <f>IFERROR(__xludf.DUMMYFUNCTION("IFS(
  AND(REGEXMATCH(E2600, ""台銀籌備帳戶|玉山帳戶""), REGEXMATCH(C2600, ""薪資"")), ""分潤支出"",
  AND(REGEXMATCH(E2600, ""Ben帳戶|Elsa帳戶|Ben代墊|Ariel代墊|中信銀行共用""), REGEXMATCH(F2600, ""Ben帳戶|Elsa帳戶|Ben代墊|Ariel代墊|中信銀行共用"")), ""內部轉帳(忽略)"",
  AND(E2600&lt;&gt;"""", F2600&lt;&gt;"""", N"&amp;"OT(REGEXMATCH(C2600, ""薪資""))), ""內部轉帳(忽略)"",
  REGEXMATCH(C2600, ""薪資""), ""薪資變動(不計入)"",
  REGEXMATCH(C2600, ""押金""), ""押金往來"",
  AND(E2600&lt;&gt;"""", F2600=""""), ""真實支出"",
  AND(E2600="""", F2600&lt;&gt;""""), ""真實收入"",
  TRUE, ""其他""
)"),"真實支出")</f>
        <v>真實支出</v>
      </c>
      <c r="K2600" s="270">
        <f t="shared" si="2"/>
        <v>-15</v>
      </c>
      <c r="L2600">
        <f t="shared" si="3"/>
        <v>0</v>
      </c>
    </row>
    <row r="2601">
      <c r="A2601" s="107">
        <f>IFERROR(__xludf.DUMMYFUNCTION("""COMPUTED_VALUE"""),45931.0)</f>
        <v>45931</v>
      </c>
      <c r="B2601" t="str">
        <f>IFERROR(__xludf.DUMMYFUNCTION("""COMPUTED_VALUE"""),"[金龍帽子先生] [郭娟伶] 大租金")</f>
        <v>[金龍帽子先生] [郭娟伶] 大租金</v>
      </c>
      <c r="C2601" t="str">
        <f>IFERROR(__xludf.DUMMYFUNCTION("""COMPUTED_VALUE"""),"成本 - 大租金")</f>
        <v>成本 - 大租金</v>
      </c>
      <c r="D2601" s="270">
        <f>IFERROR(__xludf.DUMMYFUNCTION("""COMPUTED_VALUE"""),-17750.0)</f>
        <v>-17750</v>
      </c>
      <c r="E2601" t="str">
        <f>IFERROR(__xludf.DUMMYFUNCTION("""COMPUTED_VALUE"""),"台銀籌備帳戶")</f>
        <v>台銀籌備帳戶</v>
      </c>
      <c r="G2601" t="str">
        <f>IFERROR(__xludf.DUMMYFUNCTION("""COMPUTED_VALUE"""),"金龍帽子先生")</f>
        <v>金龍帽子先生</v>
      </c>
      <c r="H2601" s="106" t="str">
        <f t="shared" si="1"/>
        <v>2025-10</v>
      </c>
      <c r="I2601" s="271" t="str">
        <f>IFERROR(__xludf.DUMMYFUNCTION("""COMPUTED_VALUE"""),"貓狗企鵝")</f>
        <v>貓狗企鵝</v>
      </c>
      <c r="J2601" t="str">
        <f>IFERROR(__xludf.DUMMYFUNCTION("IFS(
  AND(REGEXMATCH(E2601, ""台銀籌備帳戶|玉山帳戶""), REGEXMATCH(C2601, ""薪資"")), ""分潤支出"",
  AND(REGEXMATCH(E2601, ""Ben帳戶|Elsa帳戶|Ben代墊|Ariel代墊|中信銀行共用""), REGEXMATCH(F2601, ""Ben帳戶|Elsa帳戶|Ben代墊|Ariel代墊|中信銀行共用"")), ""內部轉帳(忽略)"",
  AND(E2601&lt;&gt;"""", F2601&lt;&gt;"""", N"&amp;"OT(REGEXMATCH(C2601, ""薪資""))), ""內部轉帳(忽略)"",
  REGEXMATCH(C2601, ""薪資""), ""薪資變動(不計入)"",
  REGEXMATCH(C2601, ""押金""), ""押金往來"",
  AND(E2601&lt;&gt;"""", F2601=""""), ""真實支出"",
  AND(E2601="""", F2601&lt;&gt;""""), ""真實收入"",
  TRUE, ""其他""
)"),"真實支出")</f>
        <v>真實支出</v>
      </c>
      <c r="K2601" s="270">
        <f t="shared" si="2"/>
        <v>-17750</v>
      </c>
      <c r="L2601">
        <f t="shared" si="3"/>
        <v>0</v>
      </c>
    </row>
    <row r="2602">
      <c r="A2602" s="107">
        <f>IFERROR(__xludf.DUMMYFUNCTION("""COMPUTED_VALUE"""),45931.0)</f>
        <v>45931</v>
      </c>
      <c r="B2602" t="str">
        <f>IFERROR(__xludf.DUMMYFUNCTION("""COMPUTED_VALUE"""),"費用 - 匯費 對方行:053 後五碼:05202 (行號: 39)")</f>
        <v>費用 - 匯費 對方行:053 後五碼:05202 (行號: 39)</v>
      </c>
      <c r="C2602" t="str">
        <f>IFERROR(__xludf.DUMMYFUNCTION("""COMPUTED_VALUE"""),"費用 - 匯費")</f>
        <v>費用 - 匯費</v>
      </c>
      <c r="D2602" s="270">
        <f>IFERROR(__xludf.DUMMYFUNCTION("""COMPUTED_VALUE"""),-15.0)</f>
        <v>-15</v>
      </c>
      <c r="E2602" t="str">
        <f>IFERROR(__xludf.DUMMYFUNCTION("""COMPUTED_VALUE"""),"台銀籌備帳戶")</f>
        <v>台銀籌備帳戶</v>
      </c>
      <c r="H2602" s="106" t="str">
        <f t="shared" si="1"/>
        <v>2025-10</v>
      </c>
      <c r="I2602" s="271" t="str">
        <f>IFERROR(__xludf.DUMMYFUNCTION("""COMPUTED_VALUE"""),"貓狗企鵝")</f>
        <v>貓狗企鵝</v>
      </c>
      <c r="J2602" t="str">
        <f>IFERROR(__xludf.DUMMYFUNCTION("IFS(
  AND(REGEXMATCH(E2602, ""台銀籌備帳戶|玉山帳戶""), REGEXMATCH(C2602, ""薪資"")), ""分潤支出"",
  AND(REGEXMATCH(E2602, ""Ben帳戶|Elsa帳戶|Ben代墊|Ariel代墊|中信銀行共用""), REGEXMATCH(F2602, ""Ben帳戶|Elsa帳戶|Ben代墊|Ariel代墊|中信銀行共用"")), ""內部轉帳(忽略)"",
  AND(E2602&lt;&gt;"""", F2602&lt;&gt;"""", N"&amp;"OT(REGEXMATCH(C2602, ""薪資""))), ""內部轉帳(忽略)"",
  REGEXMATCH(C2602, ""薪資""), ""薪資變動(不計入)"",
  REGEXMATCH(C2602, ""押金""), ""押金往來"",
  AND(E2602&lt;&gt;"""", F2602=""""), ""真實支出"",
  AND(E2602="""", F2602&lt;&gt;""""), ""真實收入"",
  TRUE, ""其他""
)"),"真實支出")</f>
        <v>真實支出</v>
      </c>
      <c r="K2602" s="270">
        <f t="shared" si="2"/>
        <v>-15</v>
      </c>
      <c r="L2602">
        <f t="shared" si="3"/>
        <v>0</v>
      </c>
    </row>
    <row r="2603">
      <c r="A2603" s="107">
        <f>IFERROR(__xludf.DUMMYFUNCTION("""COMPUTED_VALUE"""),45931.0)</f>
        <v>45931</v>
      </c>
      <c r="B2603" t="str">
        <f>IFERROR(__xludf.DUMMYFUNCTION("""COMPUTED_VALUE"""),"[大湖山莊] [陳彩霞] 大租金")</f>
        <v>[大湖山莊] [陳彩霞] 大租金</v>
      </c>
      <c r="C2603" t="str">
        <f>IFERROR(__xludf.DUMMYFUNCTION("""COMPUTED_VALUE"""),"成本 - 大租金")</f>
        <v>成本 - 大租金</v>
      </c>
      <c r="D2603" s="270">
        <f>IFERROR(__xludf.DUMMYFUNCTION("""COMPUTED_VALUE"""),-19400.0)</f>
        <v>-19400</v>
      </c>
      <c r="E2603" t="str">
        <f>IFERROR(__xludf.DUMMYFUNCTION("""COMPUTED_VALUE"""),"台銀籌備帳戶")</f>
        <v>台銀籌備帳戶</v>
      </c>
      <c r="G2603" t="str">
        <f>IFERROR(__xludf.DUMMYFUNCTION("""COMPUTED_VALUE"""),"大湖山莊")</f>
        <v>大湖山莊</v>
      </c>
      <c r="H2603" s="106" t="str">
        <f t="shared" si="1"/>
        <v>2025-10</v>
      </c>
      <c r="I2603" s="271" t="str">
        <f>IFERROR(__xludf.DUMMYFUNCTION("""COMPUTED_VALUE"""),"貓狗企鵝")</f>
        <v>貓狗企鵝</v>
      </c>
      <c r="J2603" t="str">
        <f>IFERROR(__xludf.DUMMYFUNCTION("IFS(
  AND(REGEXMATCH(E2603, ""台銀籌備帳戶|玉山帳戶""), REGEXMATCH(C2603, ""薪資"")), ""分潤支出"",
  AND(REGEXMATCH(E2603, ""Ben帳戶|Elsa帳戶|Ben代墊|Ariel代墊|中信銀行共用""), REGEXMATCH(F2603, ""Ben帳戶|Elsa帳戶|Ben代墊|Ariel代墊|中信銀行共用"")), ""內部轉帳(忽略)"",
  AND(E2603&lt;&gt;"""", F2603&lt;&gt;"""", N"&amp;"OT(REGEXMATCH(C2603, ""薪資""))), ""內部轉帳(忽略)"",
  REGEXMATCH(C2603, ""薪資""), ""薪資變動(不計入)"",
  REGEXMATCH(C2603, ""押金""), ""押金往來"",
  AND(E2603&lt;&gt;"""", F2603=""""), ""真實支出"",
  AND(E2603="""", F2603&lt;&gt;""""), ""真實收入"",
  TRUE, ""其他""
)"),"真實支出")</f>
        <v>真實支出</v>
      </c>
      <c r="K2603" s="270">
        <f t="shared" si="2"/>
        <v>-19400</v>
      </c>
      <c r="L2603">
        <f t="shared" si="3"/>
        <v>0</v>
      </c>
    </row>
    <row r="2604">
      <c r="A2604" s="107">
        <f>IFERROR(__xludf.DUMMYFUNCTION("""COMPUTED_VALUE"""),45931.0)</f>
        <v>45931</v>
      </c>
      <c r="B2604" t="str">
        <f>IFERROR(__xludf.DUMMYFUNCTION("""COMPUTED_VALUE"""),"費用 - 匯費 對方行:807 後五碼:06659 (行號: 40)")</f>
        <v>費用 - 匯費 對方行:807 後五碼:06659 (行號: 40)</v>
      </c>
      <c r="C2604" t="str">
        <f>IFERROR(__xludf.DUMMYFUNCTION("""COMPUTED_VALUE"""),"費用 - 匯費")</f>
        <v>費用 - 匯費</v>
      </c>
      <c r="D2604" s="270">
        <f>IFERROR(__xludf.DUMMYFUNCTION("""COMPUTED_VALUE"""),-15.0)</f>
        <v>-15</v>
      </c>
      <c r="E2604" t="str">
        <f>IFERROR(__xludf.DUMMYFUNCTION("""COMPUTED_VALUE"""),"台銀籌備帳戶")</f>
        <v>台銀籌備帳戶</v>
      </c>
      <c r="H2604" s="106" t="str">
        <f t="shared" si="1"/>
        <v>2025-10</v>
      </c>
      <c r="I2604" s="271" t="str">
        <f>IFERROR(__xludf.DUMMYFUNCTION("""COMPUTED_VALUE"""),"貓狗企鵝")</f>
        <v>貓狗企鵝</v>
      </c>
      <c r="J2604" t="str">
        <f>IFERROR(__xludf.DUMMYFUNCTION("IFS(
  AND(REGEXMATCH(E2604, ""台銀籌備帳戶|玉山帳戶""), REGEXMATCH(C2604, ""薪資"")), ""分潤支出"",
  AND(REGEXMATCH(E2604, ""Ben帳戶|Elsa帳戶|Ben代墊|Ariel代墊|中信銀行共用""), REGEXMATCH(F2604, ""Ben帳戶|Elsa帳戶|Ben代墊|Ariel代墊|中信銀行共用"")), ""內部轉帳(忽略)"",
  AND(E2604&lt;&gt;"""", F2604&lt;&gt;"""", N"&amp;"OT(REGEXMATCH(C2604, ""薪資""))), ""內部轉帳(忽略)"",
  REGEXMATCH(C2604, ""薪資""), ""薪資變動(不計入)"",
  REGEXMATCH(C2604, ""押金""), ""押金往來"",
  AND(E2604&lt;&gt;"""", F2604=""""), ""真實支出"",
  AND(E2604="""", F2604&lt;&gt;""""), ""真實收入"",
  TRUE, ""其他""
)"),"真實支出")</f>
        <v>真實支出</v>
      </c>
      <c r="K2604" s="270">
        <f t="shared" si="2"/>
        <v>-15</v>
      </c>
      <c r="L2604">
        <f t="shared" si="3"/>
        <v>0</v>
      </c>
    </row>
    <row r="2605">
      <c r="A2605" s="107">
        <f>IFERROR(__xludf.DUMMYFUNCTION("""COMPUTED_VALUE"""),45931.0)</f>
        <v>45931</v>
      </c>
      <c r="B2605" t="str">
        <f>IFERROR(__xludf.DUMMYFUNCTION("""COMPUTED_VALUE"""),"[哈拉對面] [陳哲聰] 大租金")</f>
        <v>[哈拉對面] [陳哲聰] 大租金</v>
      </c>
      <c r="C2605" t="str">
        <f>IFERROR(__xludf.DUMMYFUNCTION("""COMPUTED_VALUE"""),"成本 - 大租金")</f>
        <v>成本 - 大租金</v>
      </c>
      <c r="D2605" s="270">
        <f>IFERROR(__xludf.DUMMYFUNCTION("""COMPUTED_VALUE"""),-13000.0)</f>
        <v>-13000</v>
      </c>
      <c r="E2605" t="str">
        <f>IFERROR(__xludf.DUMMYFUNCTION("""COMPUTED_VALUE"""),"台銀籌備帳戶")</f>
        <v>台銀籌備帳戶</v>
      </c>
      <c r="G2605" t="str">
        <f>IFERROR(__xludf.DUMMYFUNCTION("""COMPUTED_VALUE"""),"哈拉對面")</f>
        <v>哈拉對面</v>
      </c>
      <c r="H2605" s="106" t="str">
        <f t="shared" si="1"/>
        <v>2025-10</v>
      </c>
      <c r="I2605" s="271" t="str">
        <f>IFERROR(__xludf.DUMMYFUNCTION("""COMPUTED_VALUE"""),"貓狗企鵝")</f>
        <v>貓狗企鵝</v>
      </c>
      <c r="J2605" t="str">
        <f>IFERROR(__xludf.DUMMYFUNCTION("IFS(
  AND(REGEXMATCH(E2605, ""台銀籌備帳戶|玉山帳戶""), REGEXMATCH(C2605, ""薪資"")), ""分潤支出"",
  AND(REGEXMATCH(E2605, ""Ben帳戶|Elsa帳戶|Ben代墊|Ariel代墊|中信銀行共用""), REGEXMATCH(F2605, ""Ben帳戶|Elsa帳戶|Ben代墊|Ariel代墊|中信銀行共用"")), ""內部轉帳(忽略)"",
  AND(E2605&lt;&gt;"""", F2605&lt;&gt;"""", N"&amp;"OT(REGEXMATCH(C2605, ""薪資""))), ""內部轉帳(忽略)"",
  REGEXMATCH(C2605, ""薪資""), ""薪資變動(不計入)"",
  REGEXMATCH(C2605, ""押金""), ""押金往來"",
  AND(E2605&lt;&gt;"""", F2605=""""), ""真實支出"",
  AND(E2605="""", F2605&lt;&gt;""""), ""真實收入"",
  TRUE, ""其他""
)"),"真實支出")</f>
        <v>真實支出</v>
      </c>
      <c r="K2605" s="270">
        <f t="shared" si="2"/>
        <v>-13000</v>
      </c>
      <c r="L2605">
        <f t="shared" si="3"/>
        <v>0</v>
      </c>
    </row>
    <row r="2606">
      <c r="A2606" s="107">
        <f>IFERROR(__xludf.DUMMYFUNCTION("""COMPUTED_VALUE"""),45931.0)</f>
        <v>45931</v>
      </c>
      <c r="B2606" t="str">
        <f>IFERROR(__xludf.DUMMYFUNCTION("""COMPUTED_VALUE"""),"費用 - 匯費 對方行:700 後五碼:92128 (行號: 41)")</f>
        <v>費用 - 匯費 對方行:700 後五碼:92128 (行號: 41)</v>
      </c>
      <c r="C2606" t="str">
        <f>IFERROR(__xludf.DUMMYFUNCTION("""COMPUTED_VALUE"""),"費用 - 匯費")</f>
        <v>費用 - 匯費</v>
      </c>
      <c r="D2606" s="270">
        <f>IFERROR(__xludf.DUMMYFUNCTION("""COMPUTED_VALUE"""),-15.0)</f>
        <v>-15</v>
      </c>
      <c r="E2606" t="str">
        <f>IFERROR(__xludf.DUMMYFUNCTION("""COMPUTED_VALUE"""),"台銀籌備帳戶")</f>
        <v>台銀籌備帳戶</v>
      </c>
      <c r="H2606" s="106" t="str">
        <f t="shared" si="1"/>
        <v>2025-10</v>
      </c>
      <c r="I2606" s="271" t="str">
        <f>IFERROR(__xludf.DUMMYFUNCTION("""COMPUTED_VALUE"""),"貓狗企鵝")</f>
        <v>貓狗企鵝</v>
      </c>
      <c r="J2606" t="str">
        <f>IFERROR(__xludf.DUMMYFUNCTION("IFS(
  AND(REGEXMATCH(E2606, ""台銀籌備帳戶|玉山帳戶""), REGEXMATCH(C2606, ""薪資"")), ""分潤支出"",
  AND(REGEXMATCH(E2606, ""Ben帳戶|Elsa帳戶|Ben代墊|Ariel代墊|中信銀行共用""), REGEXMATCH(F2606, ""Ben帳戶|Elsa帳戶|Ben代墊|Ariel代墊|中信銀行共用"")), ""內部轉帳(忽略)"",
  AND(E2606&lt;&gt;"""", F2606&lt;&gt;"""", N"&amp;"OT(REGEXMATCH(C2606, ""薪資""))), ""內部轉帳(忽略)"",
  REGEXMATCH(C2606, ""薪資""), ""薪資變動(不計入)"",
  REGEXMATCH(C2606, ""押金""), ""押金往來"",
  AND(E2606&lt;&gt;"""", F2606=""""), ""真實支出"",
  AND(E2606="""", F2606&lt;&gt;""""), ""真實收入"",
  TRUE, ""其他""
)"),"真實支出")</f>
        <v>真實支出</v>
      </c>
      <c r="K2606" s="270">
        <f t="shared" si="2"/>
        <v>-15</v>
      </c>
      <c r="L2606">
        <f t="shared" si="3"/>
        <v>0</v>
      </c>
    </row>
    <row r="2607">
      <c r="A2607" s="107">
        <f>IFERROR(__xludf.DUMMYFUNCTION("""COMPUTED_VALUE"""),45931.0)</f>
        <v>45931</v>
      </c>
      <c r="B2607" t="str">
        <f>IFERROR(__xludf.DUMMYFUNCTION("""COMPUTED_VALUE"""),"[北醫醫師府] [陳俊良] 大租金")</f>
        <v>[北醫醫師府] [陳俊良] 大租金</v>
      </c>
      <c r="C2607" t="str">
        <f>IFERROR(__xludf.DUMMYFUNCTION("""COMPUTED_VALUE"""),"成本 - 大租金")</f>
        <v>成本 - 大租金</v>
      </c>
      <c r="D2607" s="270">
        <f>IFERROR(__xludf.DUMMYFUNCTION("""COMPUTED_VALUE"""),-12800.0)</f>
        <v>-12800</v>
      </c>
      <c r="E2607" t="str">
        <f>IFERROR(__xludf.DUMMYFUNCTION("""COMPUTED_VALUE"""),"台銀籌備帳戶")</f>
        <v>台銀籌備帳戶</v>
      </c>
      <c r="G2607" t="str">
        <f>IFERROR(__xludf.DUMMYFUNCTION("""COMPUTED_VALUE"""),"北醫醫師府")</f>
        <v>北醫醫師府</v>
      </c>
      <c r="H2607" s="106" t="str">
        <f t="shared" si="1"/>
        <v>2025-10</v>
      </c>
      <c r="I2607" s="271" t="str">
        <f>IFERROR(__xludf.DUMMYFUNCTION("""COMPUTED_VALUE"""),"貓狗企鵝")</f>
        <v>貓狗企鵝</v>
      </c>
      <c r="J2607" t="str">
        <f>IFERROR(__xludf.DUMMYFUNCTION("IFS(
  AND(REGEXMATCH(E2607, ""台銀籌備帳戶|玉山帳戶""), REGEXMATCH(C2607, ""薪資"")), ""分潤支出"",
  AND(REGEXMATCH(E2607, ""Ben帳戶|Elsa帳戶|Ben代墊|Ariel代墊|中信銀行共用""), REGEXMATCH(F2607, ""Ben帳戶|Elsa帳戶|Ben代墊|Ariel代墊|中信銀行共用"")), ""內部轉帳(忽略)"",
  AND(E2607&lt;&gt;"""", F2607&lt;&gt;"""", N"&amp;"OT(REGEXMATCH(C2607, ""薪資""))), ""內部轉帳(忽略)"",
  REGEXMATCH(C2607, ""薪資""), ""薪資變動(不計入)"",
  REGEXMATCH(C2607, ""押金""), ""押金往來"",
  AND(E2607&lt;&gt;"""", F2607=""""), ""真實支出"",
  AND(E2607="""", F2607&lt;&gt;""""), ""真實收入"",
  TRUE, ""其他""
)"),"真實支出")</f>
        <v>真實支出</v>
      </c>
      <c r="K2607" s="270">
        <f t="shared" si="2"/>
        <v>-12800</v>
      </c>
      <c r="L2607">
        <f t="shared" si="3"/>
        <v>0</v>
      </c>
    </row>
    <row r="2608">
      <c r="A2608" s="107">
        <f>IFERROR(__xludf.DUMMYFUNCTION("""COMPUTED_VALUE"""),45931.0)</f>
        <v>45931</v>
      </c>
      <c r="B2608" t="str">
        <f>IFERROR(__xludf.DUMMYFUNCTION("""COMPUTED_VALUE"""),"費用 - 匯費 對方行:013 後五碼:43662 (行號: 42)")</f>
        <v>費用 - 匯費 對方行:013 後五碼:43662 (行號: 42)</v>
      </c>
      <c r="C2608" t="str">
        <f>IFERROR(__xludf.DUMMYFUNCTION("""COMPUTED_VALUE"""),"費用 - 匯費")</f>
        <v>費用 - 匯費</v>
      </c>
      <c r="D2608" s="270">
        <f>IFERROR(__xludf.DUMMYFUNCTION("""COMPUTED_VALUE"""),-15.0)</f>
        <v>-15</v>
      </c>
      <c r="E2608" t="str">
        <f>IFERROR(__xludf.DUMMYFUNCTION("""COMPUTED_VALUE"""),"台銀籌備帳戶")</f>
        <v>台銀籌備帳戶</v>
      </c>
      <c r="H2608" s="106" t="str">
        <f t="shared" si="1"/>
        <v>2025-10</v>
      </c>
      <c r="I2608" s="271" t="str">
        <f>IFERROR(__xludf.DUMMYFUNCTION("""COMPUTED_VALUE"""),"貓狗企鵝")</f>
        <v>貓狗企鵝</v>
      </c>
      <c r="J2608" t="str">
        <f>IFERROR(__xludf.DUMMYFUNCTION("IFS(
  AND(REGEXMATCH(E2608, ""台銀籌備帳戶|玉山帳戶""), REGEXMATCH(C2608, ""薪資"")), ""分潤支出"",
  AND(REGEXMATCH(E2608, ""Ben帳戶|Elsa帳戶|Ben代墊|Ariel代墊|中信銀行共用""), REGEXMATCH(F2608, ""Ben帳戶|Elsa帳戶|Ben代墊|Ariel代墊|中信銀行共用"")), ""內部轉帳(忽略)"",
  AND(E2608&lt;&gt;"""", F2608&lt;&gt;"""", N"&amp;"OT(REGEXMATCH(C2608, ""薪資""))), ""內部轉帳(忽略)"",
  REGEXMATCH(C2608, ""薪資""), ""薪資變動(不計入)"",
  REGEXMATCH(C2608, ""押金""), ""押金往來"",
  AND(E2608&lt;&gt;"""", F2608=""""), ""真實支出"",
  AND(E2608="""", F2608&lt;&gt;""""), ""真實收入"",
  TRUE, ""其他""
)"),"真實支出")</f>
        <v>真實支出</v>
      </c>
      <c r="K2608" s="270">
        <f t="shared" si="2"/>
        <v>-15</v>
      </c>
      <c r="L2608">
        <f t="shared" si="3"/>
        <v>0</v>
      </c>
    </row>
    <row r="2609">
      <c r="A2609" s="107">
        <f>IFERROR(__xludf.DUMMYFUNCTION("""COMPUTED_VALUE"""),45931.0)</f>
        <v>45931</v>
      </c>
      <c r="B2609" t="str">
        <f>IFERROR(__xludf.DUMMYFUNCTION("""COMPUTED_VALUE"""),"[中山北娘家旁] [方彥捷] 大租金")</f>
        <v>[中山北娘家旁] [方彥捷] 大租金</v>
      </c>
      <c r="C2609" t="str">
        <f>IFERROR(__xludf.DUMMYFUNCTION("""COMPUTED_VALUE"""),"成本 - 大租金")</f>
        <v>成本 - 大租金</v>
      </c>
      <c r="D2609" s="270">
        <f>IFERROR(__xludf.DUMMYFUNCTION("""COMPUTED_VALUE"""),-11500.0)</f>
        <v>-11500</v>
      </c>
      <c r="E2609" t="str">
        <f>IFERROR(__xludf.DUMMYFUNCTION("""COMPUTED_VALUE"""),"台銀籌備帳戶")</f>
        <v>台銀籌備帳戶</v>
      </c>
      <c r="G2609" t="str">
        <f>IFERROR(__xludf.DUMMYFUNCTION("""COMPUTED_VALUE"""),"中山北娘家旁")</f>
        <v>中山北娘家旁</v>
      </c>
      <c r="H2609" s="106" t="str">
        <f t="shared" si="1"/>
        <v>2025-10</v>
      </c>
      <c r="I2609" s="271" t="str">
        <f>IFERROR(__xludf.DUMMYFUNCTION("""COMPUTED_VALUE"""),"貓狗企鵝")</f>
        <v>貓狗企鵝</v>
      </c>
      <c r="J2609" t="str">
        <f>IFERROR(__xludf.DUMMYFUNCTION("IFS(
  AND(REGEXMATCH(E2609, ""台銀籌備帳戶|玉山帳戶""), REGEXMATCH(C2609, ""薪資"")), ""分潤支出"",
  AND(REGEXMATCH(E2609, ""Ben帳戶|Elsa帳戶|Ben代墊|Ariel代墊|中信銀行共用""), REGEXMATCH(F2609, ""Ben帳戶|Elsa帳戶|Ben代墊|Ariel代墊|中信銀行共用"")), ""內部轉帳(忽略)"",
  AND(E2609&lt;&gt;"""", F2609&lt;&gt;"""", N"&amp;"OT(REGEXMATCH(C2609, ""薪資""))), ""內部轉帳(忽略)"",
  REGEXMATCH(C2609, ""薪資""), ""薪資變動(不計入)"",
  REGEXMATCH(C2609, ""押金""), ""押金往來"",
  AND(E2609&lt;&gt;"""", F2609=""""), ""真實支出"",
  AND(E2609="""", F2609&lt;&gt;""""), ""真實收入"",
  TRUE, ""其他""
)"),"真實支出")</f>
        <v>真實支出</v>
      </c>
      <c r="K2609" s="270">
        <f t="shared" si="2"/>
        <v>-11500</v>
      </c>
      <c r="L2609">
        <f t="shared" si="3"/>
        <v>0</v>
      </c>
    </row>
    <row r="2610">
      <c r="A2610" s="107">
        <f>IFERROR(__xludf.DUMMYFUNCTION("""COMPUTED_VALUE"""),45931.0)</f>
        <v>45931</v>
      </c>
      <c r="B2610" t="str">
        <f>IFERROR(__xludf.DUMMYFUNCTION("""COMPUTED_VALUE"""),"費用 - 匯費 對方行:011 後五碼:17078 (行號: 43)")</f>
        <v>費用 - 匯費 對方行:011 後五碼:17078 (行號: 43)</v>
      </c>
      <c r="C2610" t="str">
        <f>IFERROR(__xludf.DUMMYFUNCTION("""COMPUTED_VALUE"""),"費用 - 匯費")</f>
        <v>費用 - 匯費</v>
      </c>
      <c r="D2610" s="270">
        <f>IFERROR(__xludf.DUMMYFUNCTION("""COMPUTED_VALUE"""),-15.0)</f>
        <v>-15</v>
      </c>
      <c r="E2610" t="str">
        <f>IFERROR(__xludf.DUMMYFUNCTION("""COMPUTED_VALUE"""),"台銀籌備帳戶")</f>
        <v>台銀籌備帳戶</v>
      </c>
      <c r="H2610" s="106" t="str">
        <f t="shared" si="1"/>
        <v>2025-10</v>
      </c>
      <c r="I2610" s="271" t="str">
        <f>IFERROR(__xludf.DUMMYFUNCTION("""COMPUTED_VALUE"""),"貓狗企鵝")</f>
        <v>貓狗企鵝</v>
      </c>
      <c r="J2610" t="str">
        <f>IFERROR(__xludf.DUMMYFUNCTION("IFS(
  AND(REGEXMATCH(E2610, ""台銀籌備帳戶|玉山帳戶""), REGEXMATCH(C2610, ""薪資"")), ""分潤支出"",
  AND(REGEXMATCH(E2610, ""Ben帳戶|Elsa帳戶|Ben代墊|Ariel代墊|中信銀行共用""), REGEXMATCH(F2610, ""Ben帳戶|Elsa帳戶|Ben代墊|Ariel代墊|中信銀行共用"")), ""內部轉帳(忽略)"",
  AND(E2610&lt;&gt;"""", F2610&lt;&gt;"""", N"&amp;"OT(REGEXMATCH(C2610, ""薪資""))), ""內部轉帳(忽略)"",
  REGEXMATCH(C2610, ""薪資""), ""薪資變動(不計入)"",
  REGEXMATCH(C2610, ""押金""), ""押金往來"",
  AND(E2610&lt;&gt;"""", F2610=""""), ""真實支出"",
  AND(E2610="""", F2610&lt;&gt;""""), ""真實收入"",
  TRUE, ""其他""
)"),"真實支出")</f>
        <v>真實支出</v>
      </c>
      <c r="K2610" s="270">
        <f t="shared" si="2"/>
        <v>-15</v>
      </c>
      <c r="L2610">
        <f t="shared" si="3"/>
        <v>0</v>
      </c>
    </row>
    <row r="2611">
      <c r="A2611" s="107">
        <f>IFERROR(__xludf.DUMMYFUNCTION("""COMPUTED_VALUE"""),45931.0)</f>
        <v>45931</v>
      </c>
      <c r="B2611" t="str">
        <f>IFERROR(__xludf.DUMMYFUNCTION("""COMPUTED_VALUE"""),"[書香民生] [吳高寶玉] 大租金")</f>
        <v>[書香民生] [吳高寶玉] 大租金</v>
      </c>
      <c r="C2611" t="str">
        <f>IFERROR(__xludf.DUMMYFUNCTION("""COMPUTED_VALUE"""),"成本 - 大租金")</f>
        <v>成本 - 大租金</v>
      </c>
      <c r="D2611" s="270">
        <f>IFERROR(__xludf.DUMMYFUNCTION("""COMPUTED_VALUE"""),-16667.0)</f>
        <v>-16667</v>
      </c>
      <c r="E2611" t="str">
        <f>IFERROR(__xludf.DUMMYFUNCTION("""COMPUTED_VALUE"""),"台銀籌備帳戶")</f>
        <v>台銀籌備帳戶</v>
      </c>
      <c r="G2611" t="str">
        <f>IFERROR(__xludf.DUMMYFUNCTION("""COMPUTED_VALUE"""),"書香民生")</f>
        <v>書香民生</v>
      </c>
      <c r="H2611" s="106" t="str">
        <f t="shared" si="1"/>
        <v>2025-10</v>
      </c>
      <c r="I2611" s="271" t="str">
        <f>IFERROR(__xludf.DUMMYFUNCTION("""COMPUTED_VALUE"""),"貓狗企鵝")</f>
        <v>貓狗企鵝</v>
      </c>
      <c r="J2611" t="str">
        <f>IFERROR(__xludf.DUMMYFUNCTION("IFS(
  AND(REGEXMATCH(E2611, ""台銀籌備帳戶|玉山帳戶""), REGEXMATCH(C2611, ""薪資"")), ""分潤支出"",
  AND(REGEXMATCH(E2611, ""Ben帳戶|Elsa帳戶|Ben代墊|Ariel代墊|中信銀行共用""), REGEXMATCH(F2611, ""Ben帳戶|Elsa帳戶|Ben代墊|Ariel代墊|中信銀行共用"")), ""內部轉帳(忽略)"",
  AND(E2611&lt;&gt;"""", F2611&lt;&gt;"""", N"&amp;"OT(REGEXMATCH(C2611, ""薪資""))), ""內部轉帳(忽略)"",
  REGEXMATCH(C2611, ""薪資""), ""薪資變動(不計入)"",
  REGEXMATCH(C2611, ""押金""), ""押金往來"",
  AND(E2611&lt;&gt;"""", F2611=""""), ""真實支出"",
  AND(E2611="""", F2611&lt;&gt;""""), ""真實收入"",
  TRUE, ""其他""
)"),"真實支出")</f>
        <v>真實支出</v>
      </c>
      <c r="K2611" s="270">
        <f t="shared" si="2"/>
        <v>-16667</v>
      </c>
      <c r="L2611">
        <f t="shared" si="3"/>
        <v>0</v>
      </c>
    </row>
    <row r="2612">
      <c r="A2612" s="107">
        <f>IFERROR(__xludf.DUMMYFUNCTION("""COMPUTED_VALUE"""),45931.0)</f>
        <v>45931</v>
      </c>
      <c r="B2612" t="str">
        <f>IFERROR(__xludf.DUMMYFUNCTION("""COMPUTED_VALUE"""),"龍江A 玉米租金")</f>
        <v>龍江A 玉米租金</v>
      </c>
      <c r="C2612" t="str">
        <f>IFERROR(__xludf.DUMMYFUNCTION("""COMPUTED_VALUE"""),"收入 - 租金")</f>
        <v>收入 - 租金</v>
      </c>
      <c r="D2612" s="270">
        <f>IFERROR(__xludf.DUMMYFUNCTION("""COMPUTED_VALUE"""),11000.0)</f>
        <v>11000</v>
      </c>
      <c r="F2612" t="str">
        <f>IFERROR(__xludf.DUMMYFUNCTION("""COMPUTED_VALUE"""),"台銀籌備帳戶")</f>
        <v>台銀籌備帳戶</v>
      </c>
      <c r="G2612" t="str">
        <f>IFERROR(__xludf.DUMMYFUNCTION("""COMPUTED_VALUE"""),"龍江229")</f>
        <v>龍江229</v>
      </c>
      <c r="H2612" s="106" t="str">
        <f t="shared" si="1"/>
        <v>2025-10</v>
      </c>
      <c r="I2612" s="271" t="str">
        <f>IFERROR(__xludf.DUMMYFUNCTION("""COMPUTED_VALUE"""),"貓狗企鵝")</f>
        <v>貓狗企鵝</v>
      </c>
      <c r="J2612" t="str">
        <f>IFERROR(__xludf.DUMMYFUNCTION("IFS(
  AND(REGEXMATCH(E2612, ""台銀籌備帳戶|玉山帳戶""), REGEXMATCH(C2612, ""薪資"")), ""分潤支出"",
  AND(REGEXMATCH(E2612, ""Ben帳戶|Elsa帳戶|Ben代墊|Ariel代墊|中信銀行共用""), REGEXMATCH(F2612, ""Ben帳戶|Elsa帳戶|Ben代墊|Ariel代墊|中信銀行共用"")), ""內部轉帳(忽略)"",
  AND(E2612&lt;&gt;"""", F2612&lt;&gt;"""", N"&amp;"OT(REGEXMATCH(C2612, ""薪資""))), ""內部轉帳(忽略)"",
  REGEXMATCH(C2612, ""薪資""), ""薪資變動(不計入)"",
  REGEXMATCH(C2612, ""押金""), ""押金往來"",
  AND(E2612&lt;&gt;"""", F2612=""""), ""真實支出"",
  AND(E2612="""", F2612&lt;&gt;""""), ""真實收入"",
  TRUE, ""其他""
)"),"真實收入")</f>
        <v>真實收入</v>
      </c>
      <c r="K2612" s="270">
        <f t="shared" si="2"/>
        <v>11000</v>
      </c>
      <c r="L2612">
        <f t="shared" si="3"/>
        <v>0</v>
      </c>
    </row>
    <row r="2613">
      <c r="A2613" s="107">
        <f>IFERROR(__xludf.DUMMYFUNCTION("""COMPUTED_VALUE"""),45935.0)</f>
        <v>45935</v>
      </c>
      <c r="B2613" t="str">
        <f>IFERROR(__xludf.DUMMYFUNCTION("""COMPUTED_VALUE"""),"費用 - 匯費 對方行:822 後五碼:43051 (行號: 85)")</f>
        <v>費用 - 匯費 對方行:822 後五碼:43051 (行號: 85)</v>
      </c>
      <c r="C2613" t="str">
        <f>IFERROR(__xludf.DUMMYFUNCTION("""COMPUTED_VALUE"""),"費用 - 匯費")</f>
        <v>費用 - 匯費</v>
      </c>
      <c r="D2613" s="270">
        <f>IFERROR(__xludf.DUMMYFUNCTION("""COMPUTED_VALUE"""),-15.0)</f>
        <v>-15</v>
      </c>
      <c r="E2613" t="str">
        <f>IFERROR(__xludf.DUMMYFUNCTION("""COMPUTED_VALUE"""),"台銀籌備帳戶")</f>
        <v>台銀籌備帳戶</v>
      </c>
      <c r="H2613" s="106" t="str">
        <f t="shared" si="1"/>
        <v>2025-10</v>
      </c>
      <c r="I2613" s="271" t="str">
        <f>IFERROR(__xludf.DUMMYFUNCTION("""COMPUTED_VALUE"""),"貓狗企鵝")</f>
        <v>貓狗企鵝</v>
      </c>
      <c r="J2613" t="str">
        <f>IFERROR(__xludf.DUMMYFUNCTION("IFS(
  AND(REGEXMATCH(E2613, ""台銀籌備帳戶|玉山帳戶""), REGEXMATCH(C2613, ""薪資"")), ""分潤支出"",
  AND(REGEXMATCH(E2613, ""Ben帳戶|Elsa帳戶|Ben代墊|Ariel代墊|中信銀行共用""), REGEXMATCH(F2613, ""Ben帳戶|Elsa帳戶|Ben代墊|Ariel代墊|中信銀行共用"")), ""內部轉帳(忽略)"",
  AND(E2613&lt;&gt;"""", F2613&lt;&gt;"""", N"&amp;"OT(REGEXMATCH(C2613, ""薪資""))), ""內部轉帳(忽略)"",
  REGEXMATCH(C2613, ""薪資""), ""薪資變動(不計入)"",
  REGEXMATCH(C2613, ""押金""), ""押金往來"",
  AND(E2613&lt;&gt;"""", F2613=""""), ""真實支出"",
  AND(E2613="""", F2613&lt;&gt;""""), ""真實收入"",
  TRUE, ""其他""
)"),"真實支出")</f>
        <v>真實支出</v>
      </c>
      <c r="K2613" s="270">
        <f t="shared" si="2"/>
        <v>-15</v>
      </c>
      <c r="L2613">
        <f t="shared" si="3"/>
        <v>0</v>
      </c>
    </row>
    <row r="2614">
      <c r="A2614" s="107">
        <f>IFERROR(__xludf.DUMMYFUNCTION("""COMPUTED_VALUE"""),45935.0)</f>
        <v>45935</v>
      </c>
      <c r="B2614" t="str">
        <f>IFERROR(__xludf.DUMMYFUNCTION("""COMPUTED_VALUE"""),"Ben中信薪資 ' 【未分類支出】")</f>
        <v>Ben中信薪資 ' 【未分類支出】</v>
      </c>
      <c r="C2614" t="str">
        <f>IFERROR(__xludf.DUMMYFUNCTION("""COMPUTED_VALUE"""),"費用 - Salary 薪資")</f>
        <v>費用 - Salary 薪資</v>
      </c>
      <c r="D2614" s="270">
        <f>IFERROR(__xludf.DUMMYFUNCTION("""COMPUTED_VALUE"""),-200000.0)</f>
        <v>-200000</v>
      </c>
      <c r="E2614" t="str">
        <f>IFERROR(__xludf.DUMMYFUNCTION("""COMPUTED_VALUE"""),"台銀籌備帳戶")</f>
        <v>台銀籌備帳戶</v>
      </c>
      <c r="F2614" t="str">
        <f>IFERROR(__xludf.DUMMYFUNCTION("""COMPUTED_VALUE"""),"Ben帳戶")</f>
        <v>Ben帳戶</v>
      </c>
      <c r="G2614" t="str">
        <f>IFERROR(__xludf.DUMMYFUNCTION("""COMPUTED_VALUE"""),"無法分類")</f>
        <v>無法分類</v>
      </c>
      <c r="H2614" s="106" t="str">
        <f t="shared" si="1"/>
        <v>2025-10</v>
      </c>
      <c r="I2614" s="271" t="str">
        <f>IFERROR(__xludf.DUMMYFUNCTION("""COMPUTED_VALUE"""),"貓狗企鵝")</f>
        <v>貓狗企鵝</v>
      </c>
      <c r="J2614" t="str">
        <f>IFERROR(__xludf.DUMMYFUNCTION("IFS(
  AND(REGEXMATCH(E2614, ""台銀籌備帳戶|玉山帳戶""), REGEXMATCH(C2614, ""薪資"")), ""分潤支出"",
  AND(REGEXMATCH(E2614, ""Ben帳戶|Elsa帳戶|Ben代墊|Ariel代墊|中信銀行共用""), REGEXMATCH(F2614, ""Ben帳戶|Elsa帳戶|Ben代墊|Ariel代墊|中信銀行共用"")), ""內部轉帳(忽略)"",
  AND(E2614&lt;&gt;"""", F2614&lt;&gt;"""", N"&amp;"OT(REGEXMATCH(C2614, ""薪資""))), ""內部轉帳(忽略)"",
  REGEXMATCH(C2614, ""薪資""), ""薪資變動(不計入)"",
  REGEXMATCH(C2614, ""押金""), ""押金往來"",
  AND(E2614&lt;&gt;"""", F2614=""""), ""真實支出"",
  AND(E2614="""", F2614&lt;&gt;""""), ""真實收入"",
  TRUE, ""其他""
)"),"分潤支出")</f>
        <v>分潤支出</v>
      </c>
      <c r="K2614">
        <f t="shared" si="2"/>
        <v>0</v>
      </c>
      <c r="L2614">
        <f t="shared" si="3"/>
        <v>200000</v>
      </c>
    </row>
    <row r="2615">
      <c r="A2615" s="107">
        <f>IFERROR(__xludf.DUMMYFUNCTION("""COMPUTED_VALUE"""),45935.0)</f>
        <v>45935</v>
      </c>
      <c r="B2615" t="str">
        <f>IFERROR(__xludf.DUMMYFUNCTION("""COMPUTED_VALUE"""),"費用 - 匯費 對方行:012 後五碼:92486 (行號: 86)")</f>
        <v>費用 - 匯費 對方行:012 後五碼:92486 (行號: 86)</v>
      </c>
      <c r="C2615" t="str">
        <f>IFERROR(__xludf.DUMMYFUNCTION("""COMPUTED_VALUE"""),"費用 - 匯費")</f>
        <v>費用 - 匯費</v>
      </c>
      <c r="D2615" s="270">
        <f>IFERROR(__xludf.DUMMYFUNCTION("""COMPUTED_VALUE"""),-15.0)</f>
        <v>-15</v>
      </c>
      <c r="E2615" t="str">
        <f>IFERROR(__xludf.DUMMYFUNCTION("""COMPUTED_VALUE"""),"台銀籌備帳戶")</f>
        <v>台銀籌備帳戶</v>
      </c>
      <c r="H2615" s="106" t="str">
        <f t="shared" si="1"/>
        <v>2025-10</v>
      </c>
      <c r="I2615" s="271" t="str">
        <f>IFERROR(__xludf.DUMMYFUNCTION("""COMPUTED_VALUE"""),"貓狗企鵝")</f>
        <v>貓狗企鵝</v>
      </c>
      <c r="J2615" t="str">
        <f>IFERROR(__xludf.DUMMYFUNCTION("IFS(
  AND(REGEXMATCH(E2615, ""台銀籌備帳戶|玉山帳戶""), REGEXMATCH(C2615, ""薪資"")), ""分潤支出"",
  AND(REGEXMATCH(E2615, ""Ben帳戶|Elsa帳戶|Ben代墊|Ariel代墊|中信銀行共用""), REGEXMATCH(F2615, ""Ben帳戶|Elsa帳戶|Ben代墊|Ariel代墊|中信銀行共用"")), ""內部轉帳(忽略)"",
  AND(E2615&lt;&gt;"""", F2615&lt;&gt;"""", N"&amp;"OT(REGEXMATCH(C2615, ""薪資""))), ""內部轉帳(忽略)"",
  REGEXMATCH(C2615, ""薪資""), ""薪資變動(不計入)"",
  REGEXMATCH(C2615, ""押金""), ""押金往來"",
  AND(E2615&lt;&gt;"""", F2615=""""), ""真實支出"",
  AND(E2615="""", F2615&lt;&gt;""""), ""真實收入"",
  TRUE, ""其他""
)"),"真實支出")</f>
        <v>真實支出</v>
      </c>
      <c r="K2615" s="270">
        <f t="shared" si="2"/>
        <v>-15</v>
      </c>
      <c r="L2615">
        <f t="shared" si="3"/>
        <v>0</v>
      </c>
    </row>
    <row r="2616">
      <c r="A2616" s="107">
        <f>IFERROR(__xludf.DUMMYFUNCTION("""COMPUTED_VALUE"""),45935.0)</f>
        <v>45935</v>
      </c>
      <c r="B2616" t="str">
        <f>IFERROR(__xludf.DUMMYFUNCTION("""COMPUTED_VALUE"""),"阿虎設計費 ' 【未分類支出】")</f>
        <v>阿虎設計費 ' 【未分類支出】</v>
      </c>
      <c r="C2616" t="str">
        <f>IFERROR(__xludf.DUMMYFUNCTION("""COMPUTED_VALUE"""),"費用 - Salary 薪資")</f>
        <v>費用 - Salary 薪資</v>
      </c>
      <c r="D2616" s="270">
        <f>IFERROR(__xludf.DUMMYFUNCTION("""COMPUTED_VALUE"""),-200000.0)</f>
        <v>-200000</v>
      </c>
      <c r="E2616" t="str">
        <f>IFERROR(__xludf.DUMMYFUNCTION("""COMPUTED_VALUE"""),"台銀籌備帳戶")</f>
        <v>台銀籌備帳戶</v>
      </c>
      <c r="F2616" t="str">
        <f>IFERROR(__xludf.DUMMYFUNCTION("""COMPUTED_VALUE"""),"Elsa帳戶")</f>
        <v>Elsa帳戶</v>
      </c>
      <c r="G2616" t="str">
        <f>IFERROR(__xludf.DUMMYFUNCTION("""COMPUTED_VALUE"""),"無法分類")</f>
        <v>無法分類</v>
      </c>
      <c r="H2616" s="106" t="str">
        <f t="shared" si="1"/>
        <v>2025-10</v>
      </c>
      <c r="I2616" s="271" t="str">
        <f>IFERROR(__xludf.DUMMYFUNCTION("""COMPUTED_VALUE"""),"貓狗企鵝")</f>
        <v>貓狗企鵝</v>
      </c>
      <c r="J2616" t="str">
        <f>IFERROR(__xludf.DUMMYFUNCTION("IFS(
  AND(REGEXMATCH(E2616, ""台銀籌備帳戶|玉山帳戶""), REGEXMATCH(C2616, ""薪資"")), ""分潤支出"",
  AND(REGEXMATCH(E2616, ""Ben帳戶|Elsa帳戶|Ben代墊|Ariel代墊|中信銀行共用""), REGEXMATCH(F2616, ""Ben帳戶|Elsa帳戶|Ben代墊|Ariel代墊|中信銀行共用"")), ""內部轉帳(忽略)"",
  AND(E2616&lt;&gt;"""", F2616&lt;&gt;"""", N"&amp;"OT(REGEXMATCH(C2616, ""薪資""))), ""內部轉帳(忽略)"",
  REGEXMATCH(C2616, ""薪資""), ""薪資變動(不計入)"",
  REGEXMATCH(C2616, ""押金""), ""押金往來"",
  AND(E2616&lt;&gt;"""", F2616=""""), ""真實支出"",
  AND(E2616="""", F2616&lt;&gt;""""), ""真實收入"",
  TRUE, ""其他""
)"),"分潤支出")</f>
        <v>分潤支出</v>
      </c>
      <c r="K2616">
        <f t="shared" si="2"/>
        <v>0</v>
      </c>
      <c r="L2616">
        <f t="shared" si="3"/>
        <v>200000</v>
      </c>
    </row>
    <row r="2617">
      <c r="A2617" s="107">
        <f>IFERROR(__xludf.DUMMYFUNCTION("""COMPUTED_VALUE"""),45935.0)</f>
        <v>45935</v>
      </c>
      <c r="B2617" t="str">
        <f>IFERROR(__xludf.DUMMYFUNCTION("""COMPUTED_VALUE"""),"費用 - 匯費 對方行:012 後五碼:54627 (行號: 87)")</f>
        <v>費用 - 匯費 對方行:012 後五碼:54627 (行號: 87)</v>
      </c>
      <c r="C2617" t="str">
        <f>IFERROR(__xludf.DUMMYFUNCTION("""COMPUTED_VALUE"""),"費用 - 匯費")</f>
        <v>費用 - 匯費</v>
      </c>
      <c r="D2617" s="270">
        <f>IFERROR(__xludf.DUMMYFUNCTION("""COMPUTED_VALUE"""),-15.0)</f>
        <v>-15</v>
      </c>
      <c r="E2617" t="str">
        <f>IFERROR(__xludf.DUMMYFUNCTION("""COMPUTED_VALUE"""),"台銀籌備帳戶")</f>
        <v>台銀籌備帳戶</v>
      </c>
      <c r="H2617" s="106" t="str">
        <f t="shared" si="1"/>
        <v>2025-10</v>
      </c>
      <c r="I2617" s="271" t="str">
        <f>IFERROR(__xludf.DUMMYFUNCTION("""COMPUTED_VALUE"""),"貓狗企鵝")</f>
        <v>貓狗企鵝</v>
      </c>
      <c r="J2617" t="str">
        <f>IFERROR(__xludf.DUMMYFUNCTION("IFS(
  AND(REGEXMATCH(E2617, ""台銀籌備帳戶|玉山帳戶""), REGEXMATCH(C2617, ""薪資"")), ""分潤支出"",
  AND(REGEXMATCH(E2617, ""Ben帳戶|Elsa帳戶|Ben代墊|Ariel代墊|中信銀行共用""), REGEXMATCH(F2617, ""Ben帳戶|Elsa帳戶|Ben代墊|Ariel代墊|中信銀行共用"")), ""內部轉帳(忽略)"",
  AND(E2617&lt;&gt;"""", F2617&lt;&gt;"""", N"&amp;"OT(REGEXMATCH(C2617, ""薪資""))), ""內部轉帳(忽略)"",
  REGEXMATCH(C2617, ""薪資""), ""薪資變動(不計入)"",
  REGEXMATCH(C2617, ""押金""), ""押金往來"",
  AND(E2617&lt;&gt;"""", F2617=""""), ""真實支出"",
  AND(E2617="""", F2617&lt;&gt;""""), ""真實收入"",
  TRUE, ""其他""
)"),"真實支出")</f>
        <v>真實支出</v>
      </c>
      <c r="K2617" s="270">
        <f t="shared" si="2"/>
        <v>-15</v>
      </c>
      <c r="L2617">
        <f t="shared" si="3"/>
        <v>0</v>
      </c>
    </row>
    <row r="2618">
      <c r="A2618" s="107">
        <f>IFERROR(__xludf.DUMMYFUNCTION("""COMPUTED_VALUE"""),45935.0)</f>
        <v>45935</v>
      </c>
      <c r="B2618" t="str">
        <f>IFERROR(__xludf.DUMMYFUNCTION("""COMPUTED_VALUE"""),"維也納搜狗代墊款 ' 【未分類支出】")</f>
        <v>維也納搜狗代墊款 ' 【未分類支出】</v>
      </c>
      <c r="C2618" t="str">
        <f>IFERROR(__xludf.DUMMYFUNCTION("""COMPUTED_VALUE"""),"收入 - 其他")</f>
        <v>收入 - 其他</v>
      </c>
      <c r="D2618" s="270">
        <f>IFERROR(__xludf.DUMMYFUNCTION("""COMPUTED_VALUE"""),-175635.0)</f>
        <v>-175635</v>
      </c>
      <c r="E2618" t="str">
        <f>IFERROR(__xludf.DUMMYFUNCTION("""COMPUTED_VALUE"""),"台銀籌備帳戶")</f>
        <v>台銀籌備帳戶</v>
      </c>
      <c r="F2618" t="str">
        <f>IFERROR(__xludf.DUMMYFUNCTION("""COMPUTED_VALUE"""),"Ben帳戶")</f>
        <v>Ben帳戶</v>
      </c>
      <c r="G2618" t="str">
        <f>IFERROR(__xludf.DUMMYFUNCTION("""COMPUTED_VALUE"""),"葫洲維也納")</f>
        <v>葫洲維也納</v>
      </c>
      <c r="H2618" s="106" t="str">
        <f t="shared" si="1"/>
        <v>2025-10</v>
      </c>
      <c r="I2618" s="271" t="str">
        <f>IFERROR(__xludf.DUMMYFUNCTION("""COMPUTED_VALUE"""),"貓狗企鵝")</f>
        <v>貓狗企鵝</v>
      </c>
      <c r="J2618" t="str">
        <f>IFERROR(__xludf.DUMMYFUNCTION("IFS(
  AND(REGEXMATCH(E2618, ""台銀籌備帳戶|玉山帳戶""), REGEXMATCH(C2618, ""薪資"")), ""分潤支出"",
  AND(REGEXMATCH(E2618, ""Ben帳戶|Elsa帳戶|Ben代墊|Ariel代墊|中信銀行共用""), REGEXMATCH(F2618, ""Ben帳戶|Elsa帳戶|Ben代墊|Ariel代墊|中信銀行共用"")), ""內部轉帳(忽略)"",
  AND(E2618&lt;&gt;"""", F2618&lt;&gt;"""", N"&amp;"OT(REGEXMATCH(C2618, ""薪資""))), ""內部轉帳(忽略)"",
  REGEXMATCH(C2618, ""薪資""), ""薪資變動(不計入)"",
  REGEXMATCH(C2618, ""押金""), ""押金往來"",
  AND(E2618&lt;&gt;"""", F2618=""""), ""真實支出"",
  AND(E2618="""", F2618&lt;&gt;""""), ""真實收入"",
  TRUE, ""其他""
)"),"內部轉帳(忽略)")</f>
        <v>內部轉帳(忽略)</v>
      </c>
      <c r="K2618">
        <f t="shared" si="2"/>
        <v>0</v>
      </c>
      <c r="L2618">
        <f t="shared" si="3"/>
        <v>0</v>
      </c>
    </row>
    <row r="2619">
      <c r="A2619" s="107">
        <f>IFERROR(__xludf.DUMMYFUNCTION("""COMPUTED_VALUE"""),45907.0)</f>
        <v>45907</v>
      </c>
      <c r="B2619" t="str">
        <f>IFERROR(__xludf.DUMMYFUNCTION("""COMPUTED_VALUE"""),"南港B 租金")</f>
        <v>南港B 租金</v>
      </c>
      <c r="C2619" t="str">
        <f>IFERROR(__xludf.DUMMYFUNCTION("""COMPUTED_VALUE"""),"收入 - 租金")</f>
        <v>收入 - 租金</v>
      </c>
      <c r="D2619" s="270">
        <f>IFERROR(__xludf.DUMMYFUNCTION("""COMPUTED_VALUE"""),12467.0)</f>
        <v>12467</v>
      </c>
      <c r="F2619" t="str">
        <f>IFERROR(__xludf.DUMMYFUNCTION("""COMPUTED_VALUE"""),"台銀籌備帳戶")</f>
        <v>台銀籌備帳戶</v>
      </c>
      <c r="G2619" t="str">
        <f>IFERROR(__xludf.DUMMYFUNCTION("""COMPUTED_VALUE"""),"南港站挑高宅")</f>
        <v>南港站挑高宅</v>
      </c>
      <c r="H2619" s="106" t="str">
        <f t="shared" si="1"/>
        <v>2025-09</v>
      </c>
      <c r="I2619" s="271" t="str">
        <f>IFERROR(__xludf.DUMMYFUNCTION("""COMPUTED_VALUE"""),"貓狗企鵝")</f>
        <v>貓狗企鵝</v>
      </c>
      <c r="J2619" t="str">
        <f>IFERROR(__xludf.DUMMYFUNCTION("IFS(
  AND(REGEXMATCH(E2619, ""台銀籌備帳戶|玉山帳戶""), REGEXMATCH(C2619, ""薪資"")), ""分潤支出"",
  AND(REGEXMATCH(E2619, ""Ben帳戶|Elsa帳戶|Ben代墊|Ariel代墊|中信銀行共用""), REGEXMATCH(F2619, ""Ben帳戶|Elsa帳戶|Ben代墊|Ariel代墊|中信銀行共用"")), ""內部轉帳(忽略)"",
  AND(E2619&lt;&gt;"""", F2619&lt;&gt;"""", N"&amp;"OT(REGEXMATCH(C2619, ""薪資""))), ""內部轉帳(忽略)"",
  REGEXMATCH(C2619, ""薪資""), ""薪資變動(不計入)"",
  REGEXMATCH(C2619, ""押金""), ""押金往來"",
  AND(E2619&lt;&gt;"""", F2619=""""), ""真實支出"",
  AND(E2619="""", F2619&lt;&gt;""""), ""真實收入"",
  TRUE, ""其他""
)"),"真實收入")</f>
        <v>真實收入</v>
      </c>
      <c r="K2619" s="270">
        <f t="shared" si="2"/>
        <v>12467</v>
      </c>
      <c r="L2619">
        <f t="shared" si="3"/>
        <v>0</v>
      </c>
    </row>
    <row r="2620">
      <c r="A2620" s="107">
        <f>IFERROR(__xludf.DUMMYFUNCTION("""COMPUTED_VALUE"""),45915.0)</f>
        <v>45915</v>
      </c>
      <c r="B2620" t="str">
        <f>IFERROR(__xludf.DUMMYFUNCTION("""COMPUTED_VALUE"""),"財團法人中 匯 ' 【不明收入 後五碼:00000 (行號: 13)】")</f>
        <v>財團法人中 匯 ' 【不明收入 後五碼:00000 (行號: 13)】</v>
      </c>
      <c r="C2620" t="str">
        <f>IFERROR(__xludf.DUMMYFUNCTION("""COMPUTED_VALUE"""),"收入 - 政府補助/退稅")</f>
        <v>收入 - 政府補助/退稅</v>
      </c>
      <c r="D2620" s="270">
        <f>IFERROR(__xludf.DUMMYFUNCTION("""COMPUTED_VALUE"""),7250.0)</f>
        <v>7250</v>
      </c>
      <c r="F2620" t="str">
        <f>IFERROR(__xludf.DUMMYFUNCTION("""COMPUTED_VALUE"""),"台銀籌備帳戶")</f>
        <v>台銀籌備帳戶</v>
      </c>
      <c r="G2620" t="str">
        <f>IFERROR(__xludf.DUMMYFUNCTION("""COMPUTED_VALUE"""),"北醫醫師府")</f>
        <v>北醫醫師府</v>
      </c>
      <c r="H2620" s="106" t="str">
        <f t="shared" si="1"/>
        <v>2025-09</v>
      </c>
      <c r="I2620" s="271" t="str">
        <f>IFERROR(__xludf.DUMMYFUNCTION("""COMPUTED_VALUE"""),"貓狗企鵝")</f>
        <v>貓狗企鵝</v>
      </c>
      <c r="J2620" t="str">
        <f>IFERROR(__xludf.DUMMYFUNCTION("IFS(
  AND(REGEXMATCH(E2620, ""台銀籌備帳戶|玉山帳戶""), REGEXMATCH(C2620, ""薪資"")), ""分潤支出"",
  AND(REGEXMATCH(E2620, ""Ben帳戶|Elsa帳戶|Ben代墊|Ariel代墊|中信銀行共用""), REGEXMATCH(F2620, ""Ben帳戶|Elsa帳戶|Ben代墊|Ariel代墊|中信銀行共用"")), ""內部轉帳(忽略)"",
  AND(E2620&lt;&gt;"""", F2620&lt;&gt;"""", N"&amp;"OT(REGEXMATCH(C2620, ""薪資""))), ""內部轉帳(忽略)"",
  REGEXMATCH(C2620, ""薪資""), ""薪資變動(不計入)"",
  REGEXMATCH(C2620, ""押金""), ""押金往來"",
  AND(E2620&lt;&gt;"""", F2620=""""), ""真實支出"",
  AND(E2620="""", F2620&lt;&gt;""""), ""真實收入"",
  TRUE, ""其他""
)"),"真實收入")</f>
        <v>真實收入</v>
      </c>
      <c r="K2620" s="270">
        <f t="shared" si="2"/>
        <v>7250</v>
      </c>
      <c r="L2620">
        <f t="shared" si="3"/>
        <v>0</v>
      </c>
    </row>
    <row r="2621">
      <c r="A2621" s="107">
        <f>IFERROR(__xludf.DUMMYFUNCTION("""COMPUTED_VALUE"""),45916.0)</f>
        <v>45916</v>
      </c>
      <c r="B2621" t="str">
        <f>IFERROR(__xludf.DUMMYFUNCTION("""COMPUTED_VALUE"""),"財團法人中 匯 ' 【不明收入 後五碼:00000 (行號: 14)】")</f>
        <v>財團法人中 匯 ' 【不明收入 後五碼:00000 (行號: 14)】</v>
      </c>
      <c r="C2621" t="str">
        <f>IFERROR(__xludf.DUMMYFUNCTION("""COMPUTED_VALUE"""),"收入 - 政府補助/退稅")</f>
        <v>收入 - 政府補助/退稅</v>
      </c>
      <c r="D2621" s="270">
        <f>IFERROR(__xludf.DUMMYFUNCTION("""COMPUTED_VALUE"""),23750.0)</f>
        <v>23750</v>
      </c>
      <c r="F2621" t="str">
        <f>IFERROR(__xludf.DUMMYFUNCTION("""COMPUTED_VALUE"""),"台銀籌備帳戶")</f>
        <v>台銀籌備帳戶</v>
      </c>
      <c r="G2621" t="str">
        <f>IFERROR(__xludf.DUMMYFUNCTION("""COMPUTED_VALUE"""),"書香民生")</f>
        <v>書香民生</v>
      </c>
      <c r="H2621" s="106" t="str">
        <f t="shared" si="1"/>
        <v>2025-09</v>
      </c>
      <c r="I2621" s="271" t="str">
        <f>IFERROR(__xludf.DUMMYFUNCTION("""COMPUTED_VALUE"""),"貓狗企鵝")</f>
        <v>貓狗企鵝</v>
      </c>
      <c r="J2621" t="str">
        <f>IFERROR(__xludf.DUMMYFUNCTION("IFS(
  AND(REGEXMATCH(E2621, ""台銀籌備帳戶|玉山帳戶""), REGEXMATCH(C2621, ""薪資"")), ""分潤支出"",
  AND(REGEXMATCH(E2621, ""Ben帳戶|Elsa帳戶|Ben代墊|Ariel代墊|中信銀行共用""), REGEXMATCH(F2621, ""Ben帳戶|Elsa帳戶|Ben代墊|Ariel代墊|中信銀行共用"")), ""內部轉帳(忽略)"",
  AND(E2621&lt;&gt;"""", F2621&lt;&gt;"""", N"&amp;"OT(REGEXMATCH(C2621, ""薪資""))), ""內部轉帳(忽略)"",
  REGEXMATCH(C2621, ""薪資""), ""薪資變動(不計入)"",
  REGEXMATCH(C2621, ""押金""), ""押金往來"",
  AND(E2621&lt;&gt;"""", F2621=""""), ""真實支出"",
  AND(E2621="""", F2621&lt;&gt;""""), ""真實收入"",
  TRUE, ""其他""
)"),"真實收入")</f>
        <v>真實收入</v>
      </c>
      <c r="K2621" s="270">
        <f t="shared" si="2"/>
        <v>23750</v>
      </c>
      <c r="L2621">
        <f t="shared" si="3"/>
        <v>0</v>
      </c>
    </row>
    <row r="2622">
      <c r="A2622" s="107">
        <f>IFERROR(__xludf.DUMMYFUNCTION("""COMPUTED_VALUE"""),45926.0)</f>
        <v>45926</v>
      </c>
      <c r="B2622" t="str">
        <f>IFERROR(__xludf.DUMMYFUNCTION("""COMPUTED_VALUE"""),"景安套房 租金")</f>
        <v>景安套房 租金</v>
      </c>
      <c r="C2622" t="str">
        <f>IFERROR(__xludf.DUMMYFUNCTION("""COMPUTED_VALUE"""),"收入 - 租金")</f>
        <v>收入 - 租金</v>
      </c>
      <c r="D2622" s="270">
        <f>IFERROR(__xludf.DUMMYFUNCTION("""COMPUTED_VALUE"""),18800.0)</f>
        <v>18800</v>
      </c>
      <c r="F2622" t="str">
        <f>IFERROR(__xludf.DUMMYFUNCTION("""COMPUTED_VALUE"""),"台銀籌備帳戶")</f>
        <v>台銀籌備帳戶</v>
      </c>
      <c r="G2622" t="str">
        <f>IFERROR(__xludf.DUMMYFUNCTION("""COMPUTED_VALUE"""),"景安2分鐘")</f>
        <v>景安2分鐘</v>
      </c>
      <c r="H2622" s="106" t="str">
        <f t="shared" si="1"/>
        <v>2025-09</v>
      </c>
      <c r="I2622" s="271" t="str">
        <f>IFERROR(__xludf.DUMMYFUNCTION("""COMPUTED_VALUE"""),"貓狗企鵝")</f>
        <v>貓狗企鵝</v>
      </c>
      <c r="J2622" t="str">
        <f>IFERROR(__xludf.DUMMYFUNCTION("IFS(
  AND(REGEXMATCH(E2622, ""台銀籌備帳戶|玉山帳戶""), REGEXMATCH(C2622, ""薪資"")), ""分潤支出"",
  AND(REGEXMATCH(E2622, ""Ben帳戶|Elsa帳戶|Ben代墊|Ariel代墊|中信銀行共用""), REGEXMATCH(F2622, ""Ben帳戶|Elsa帳戶|Ben代墊|Ariel代墊|中信銀行共用"")), ""內部轉帳(忽略)"",
  AND(E2622&lt;&gt;"""", F2622&lt;&gt;"""", N"&amp;"OT(REGEXMATCH(C2622, ""薪資""))), ""內部轉帳(忽略)"",
  REGEXMATCH(C2622, ""薪資""), ""薪資變動(不計入)"",
  REGEXMATCH(C2622, ""押金""), ""押金往來"",
  AND(E2622&lt;&gt;"""", F2622=""""), ""真實支出"",
  AND(E2622="""", F2622&lt;&gt;""""), ""真實收入"",
  TRUE, ""其他""
)"),"真實收入")</f>
        <v>真實收入</v>
      </c>
      <c r="K2622" s="270">
        <f t="shared" si="2"/>
        <v>18800</v>
      </c>
      <c r="L2622">
        <f t="shared" si="3"/>
        <v>0</v>
      </c>
    </row>
    <row r="2623">
      <c r="A2623" s="107">
        <f>IFERROR(__xludf.DUMMYFUNCTION("""COMPUTED_VALUE"""),45931.0)</f>
        <v>45931</v>
      </c>
      <c r="B2623" t="str">
        <f>IFERROR(__xludf.DUMMYFUNCTION("""COMPUTED_VALUE"""),"南港 E")</f>
        <v>南港 E</v>
      </c>
      <c r="C2623" t="str">
        <f>IFERROR(__xludf.DUMMYFUNCTION("""COMPUTED_VALUE"""),"收入 - 租金")</f>
        <v>收入 - 租金</v>
      </c>
      <c r="D2623" s="270">
        <f>IFERROR(__xludf.DUMMYFUNCTION("""COMPUTED_VALUE"""),12800.0)</f>
        <v>12800</v>
      </c>
      <c r="F2623" t="str">
        <f>IFERROR(__xludf.DUMMYFUNCTION("""COMPUTED_VALUE"""),"台銀籌備帳戶")</f>
        <v>台銀籌備帳戶</v>
      </c>
      <c r="G2623" t="str">
        <f>IFERROR(__xludf.DUMMYFUNCTION("""COMPUTED_VALUE"""),"南港站挑高宅")</f>
        <v>南港站挑高宅</v>
      </c>
      <c r="H2623" s="106" t="str">
        <f t="shared" si="1"/>
        <v>2025-10</v>
      </c>
      <c r="I2623" s="271" t="str">
        <f>IFERROR(__xludf.DUMMYFUNCTION("""COMPUTED_VALUE"""),"貓狗企鵝")</f>
        <v>貓狗企鵝</v>
      </c>
      <c r="J2623" t="str">
        <f>IFERROR(__xludf.DUMMYFUNCTION("IFS(
  AND(REGEXMATCH(E2623, ""台銀籌備帳戶|玉山帳戶""), REGEXMATCH(C2623, ""薪資"")), ""分潤支出"",
  AND(REGEXMATCH(E2623, ""Ben帳戶|Elsa帳戶|Ben代墊|Ariel代墊|中信銀行共用""), REGEXMATCH(F2623, ""Ben帳戶|Elsa帳戶|Ben代墊|Ariel代墊|中信銀行共用"")), ""內部轉帳(忽略)"",
  AND(E2623&lt;&gt;"""", F2623&lt;&gt;"""", N"&amp;"OT(REGEXMATCH(C2623, ""薪資""))), ""內部轉帳(忽略)"",
  REGEXMATCH(C2623, ""薪資""), ""薪資變動(不計入)"",
  REGEXMATCH(C2623, ""押金""), ""押金往來"",
  AND(E2623&lt;&gt;"""", F2623=""""), ""真實支出"",
  AND(E2623="""", F2623&lt;&gt;""""), ""真實收入"",
  TRUE, ""其他""
)"),"真實收入")</f>
        <v>真實收入</v>
      </c>
      <c r="K2623" s="270">
        <f t="shared" si="2"/>
        <v>12800</v>
      </c>
      <c r="L2623">
        <f t="shared" si="3"/>
        <v>0</v>
      </c>
    </row>
    <row r="2624">
      <c r="A2624" s="107">
        <f>IFERROR(__xludf.DUMMYFUNCTION("""COMPUTED_VALUE"""),45931.0)</f>
        <v>45931</v>
      </c>
      <c r="B2624" t="str">
        <f>IFERROR(__xludf.DUMMYFUNCTION("""COMPUTED_VALUE"""),"Feli B")</f>
        <v>Feli B</v>
      </c>
      <c r="C2624" t="str">
        <f>IFERROR(__xludf.DUMMYFUNCTION("""COMPUTED_VALUE"""),"收入 - 租金")</f>
        <v>收入 - 租金</v>
      </c>
      <c r="D2624" s="270">
        <f>IFERROR(__xludf.DUMMYFUNCTION("""COMPUTED_VALUE"""),8900.0)</f>
        <v>8900</v>
      </c>
      <c r="F2624" t="str">
        <f>IFERROR(__xludf.DUMMYFUNCTION("""COMPUTED_VALUE"""),"台銀籌備帳戶")</f>
        <v>台銀籌備帳戶</v>
      </c>
      <c r="G2624" t="str">
        <f>IFERROR(__xludf.DUMMYFUNCTION("""COMPUTED_VALUE"""),"中山北Feli家")</f>
        <v>中山北Feli家</v>
      </c>
      <c r="H2624" s="106" t="str">
        <f t="shared" si="1"/>
        <v>2025-10</v>
      </c>
      <c r="I2624" s="271" t="str">
        <f>IFERROR(__xludf.DUMMYFUNCTION("""COMPUTED_VALUE"""),"貓狗企鵝")</f>
        <v>貓狗企鵝</v>
      </c>
      <c r="J2624" t="str">
        <f>IFERROR(__xludf.DUMMYFUNCTION("IFS(
  AND(REGEXMATCH(E2624, ""台銀籌備帳戶|玉山帳戶""), REGEXMATCH(C2624, ""薪資"")), ""分潤支出"",
  AND(REGEXMATCH(E2624, ""Ben帳戶|Elsa帳戶|Ben代墊|Ariel代墊|中信銀行共用""), REGEXMATCH(F2624, ""Ben帳戶|Elsa帳戶|Ben代墊|Ariel代墊|中信銀行共用"")), ""內部轉帳(忽略)"",
  AND(E2624&lt;&gt;"""", F2624&lt;&gt;"""", N"&amp;"OT(REGEXMATCH(C2624, ""薪資""))), ""內部轉帳(忽略)"",
  REGEXMATCH(C2624, ""薪資""), ""薪資變動(不計入)"",
  REGEXMATCH(C2624, ""押金""), ""押金往來"",
  AND(E2624&lt;&gt;"""", F2624=""""), ""真實支出"",
  AND(E2624="""", F2624&lt;&gt;""""), ""真實收入"",
  TRUE, ""其他""
)"),"真實收入")</f>
        <v>真實收入</v>
      </c>
      <c r="K2624" s="270">
        <f t="shared" si="2"/>
        <v>8900</v>
      </c>
      <c r="L2624">
        <f t="shared" si="3"/>
        <v>0</v>
      </c>
    </row>
    <row r="2625">
      <c r="A2625" s="107">
        <f>IFERROR(__xludf.DUMMYFUNCTION("""COMPUTED_VALUE"""),45931.0)</f>
        <v>45931</v>
      </c>
      <c r="B2625" t="str">
        <f>IFERROR(__xludf.DUMMYFUNCTION("""COMPUTED_VALUE"""),"景安 A")</f>
        <v>景安 A</v>
      </c>
      <c r="C2625" t="str">
        <f>IFERROR(__xludf.DUMMYFUNCTION("""COMPUTED_VALUE"""),"收入 - 租金")</f>
        <v>收入 - 租金</v>
      </c>
      <c r="D2625" s="270">
        <f>IFERROR(__xludf.DUMMYFUNCTION("""COMPUTED_VALUE"""),14500.0)</f>
        <v>14500</v>
      </c>
      <c r="F2625" t="str">
        <f>IFERROR(__xludf.DUMMYFUNCTION("""COMPUTED_VALUE"""),"台銀籌備帳戶")</f>
        <v>台銀籌備帳戶</v>
      </c>
      <c r="G2625" t="str">
        <f>IFERROR(__xludf.DUMMYFUNCTION("""COMPUTED_VALUE"""),"景安2分鐘")</f>
        <v>景安2分鐘</v>
      </c>
      <c r="H2625" s="106" t="str">
        <f t="shared" si="1"/>
        <v>2025-10</v>
      </c>
      <c r="I2625" s="271" t="str">
        <f>IFERROR(__xludf.DUMMYFUNCTION("""COMPUTED_VALUE"""),"貓狗企鵝")</f>
        <v>貓狗企鵝</v>
      </c>
      <c r="J2625" t="str">
        <f>IFERROR(__xludf.DUMMYFUNCTION("IFS(
  AND(REGEXMATCH(E2625, ""台銀籌備帳戶|玉山帳戶""), REGEXMATCH(C2625, ""薪資"")), ""分潤支出"",
  AND(REGEXMATCH(E2625, ""Ben帳戶|Elsa帳戶|Ben代墊|Ariel代墊|中信銀行共用""), REGEXMATCH(F2625, ""Ben帳戶|Elsa帳戶|Ben代墊|Ariel代墊|中信銀行共用"")), ""內部轉帳(忽略)"",
  AND(E2625&lt;&gt;"""", F2625&lt;&gt;"""", N"&amp;"OT(REGEXMATCH(C2625, ""薪資""))), ""內部轉帳(忽略)"",
  REGEXMATCH(C2625, ""薪資""), ""薪資變動(不計入)"",
  REGEXMATCH(C2625, ""押金""), ""押金往來"",
  AND(E2625&lt;&gt;"""", F2625=""""), ""真實支出"",
  AND(E2625="""", F2625&lt;&gt;""""), ""真實收入"",
  TRUE, ""其他""
)"),"真實收入")</f>
        <v>真實收入</v>
      </c>
      <c r="K2625" s="270">
        <f t="shared" si="2"/>
        <v>14500</v>
      </c>
      <c r="L2625">
        <f t="shared" si="3"/>
        <v>0</v>
      </c>
    </row>
    <row r="2626">
      <c r="A2626" s="107">
        <f>IFERROR(__xludf.DUMMYFUNCTION("""COMPUTED_VALUE"""),45931.0)</f>
        <v>45931</v>
      </c>
      <c r="B2626" t="str">
        <f>IFERROR(__xludf.DUMMYFUNCTION("""COMPUTED_VALUE"""),"北醫 D")</f>
        <v>北醫 D</v>
      </c>
      <c r="C2626" t="str">
        <f>IFERROR(__xludf.DUMMYFUNCTION("""COMPUTED_VALUE"""),"收入 - 租金")</f>
        <v>收入 - 租金</v>
      </c>
      <c r="D2626" s="270">
        <f>IFERROR(__xludf.DUMMYFUNCTION("""COMPUTED_VALUE"""),12000.0)</f>
        <v>12000</v>
      </c>
      <c r="F2626" t="str">
        <f>IFERROR(__xludf.DUMMYFUNCTION("""COMPUTED_VALUE"""),"台銀籌備帳戶")</f>
        <v>台銀籌備帳戶</v>
      </c>
      <c r="G2626" t="str">
        <f>IFERROR(__xludf.DUMMYFUNCTION("""COMPUTED_VALUE"""),"北醫醫師府")</f>
        <v>北醫醫師府</v>
      </c>
      <c r="H2626" s="106" t="str">
        <f t="shared" si="1"/>
        <v>2025-10</v>
      </c>
      <c r="I2626" s="271" t="str">
        <f>IFERROR(__xludf.DUMMYFUNCTION("""COMPUTED_VALUE"""),"貓狗企鵝")</f>
        <v>貓狗企鵝</v>
      </c>
      <c r="J2626" t="str">
        <f>IFERROR(__xludf.DUMMYFUNCTION("IFS(
  AND(REGEXMATCH(E2626, ""台銀籌備帳戶|玉山帳戶""), REGEXMATCH(C2626, ""薪資"")), ""分潤支出"",
  AND(REGEXMATCH(E2626, ""Ben帳戶|Elsa帳戶|Ben代墊|Ariel代墊|中信銀行共用""), REGEXMATCH(F2626, ""Ben帳戶|Elsa帳戶|Ben代墊|Ariel代墊|中信銀行共用"")), ""內部轉帳(忽略)"",
  AND(E2626&lt;&gt;"""", F2626&lt;&gt;"""", N"&amp;"OT(REGEXMATCH(C2626, ""薪資""))), ""內部轉帳(忽略)"",
  REGEXMATCH(C2626, ""薪資""), ""薪資變動(不計入)"",
  REGEXMATCH(C2626, ""押金""), ""押金往來"",
  AND(E2626&lt;&gt;"""", F2626=""""), ""真實支出"",
  AND(E2626="""", F2626&lt;&gt;""""), ""真實收入"",
  TRUE, ""其他""
)"),"真實收入")</f>
        <v>真實收入</v>
      </c>
      <c r="K2626" s="270">
        <f t="shared" si="2"/>
        <v>12000</v>
      </c>
      <c r="L2626">
        <f t="shared" si="3"/>
        <v>0</v>
      </c>
    </row>
    <row r="2627">
      <c r="A2627" s="107">
        <f>IFERROR(__xludf.DUMMYFUNCTION("""COMPUTED_VALUE"""),45931.0)</f>
        <v>45931</v>
      </c>
      <c r="B2627" t="str">
        <f>IFERROR(__xludf.DUMMYFUNCTION("""COMPUTED_VALUE"""),"Feli家 6樓")</f>
        <v>Feli家 6樓</v>
      </c>
      <c r="C2627" t="str">
        <f>IFERROR(__xludf.DUMMYFUNCTION("""COMPUTED_VALUE"""),"收入 - 租金")</f>
        <v>收入 - 租金</v>
      </c>
      <c r="D2627" s="270">
        <f>IFERROR(__xludf.DUMMYFUNCTION("""COMPUTED_VALUE"""),30000.0)</f>
        <v>30000</v>
      </c>
      <c r="F2627" t="str">
        <f>IFERROR(__xludf.DUMMYFUNCTION("""COMPUTED_VALUE"""),"台銀籌備帳戶")</f>
        <v>台銀籌備帳戶</v>
      </c>
      <c r="G2627" t="str">
        <f>IFERROR(__xludf.DUMMYFUNCTION("""COMPUTED_VALUE"""),"中山北Feli家")</f>
        <v>中山北Feli家</v>
      </c>
      <c r="H2627" s="106" t="str">
        <f t="shared" si="1"/>
        <v>2025-10</v>
      </c>
      <c r="I2627" s="271" t="str">
        <f>IFERROR(__xludf.DUMMYFUNCTION("""COMPUTED_VALUE"""),"貓狗企鵝")</f>
        <v>貓狗企鵝</v>
      </c>
      <c r="J2627" t="str">
        <f>IFERROR(__xludf.DUMMYFUNCTION("IFS(
  AND(REGEXMATCH(E2627, ""台銀籌備帳戶|玉山帳戶""), REGEXMATCH(C2627, ""薪資"")), ""分潤支出"",
  AND(REGEXMATCH(E2627, ""Ben帳戶|Elsa帳戶|Ben代墊|Ariel代墊|中信銀行共用""), REGEXMATCH(F2627, ""Ben帳戶|Elsa帳戶|Ben代墊|Ariel代墊|中信銀行共用"")), ""內部轉帳(忽略)"",
  AND(E2627&lt;&gt;"""", F2627&lt;&gt;"""", N"&amp;"OT(REGEXMATCH(C2627, ""薪資""))), ""內部轉帳(忽略)"",
  REGEXMATCH(C2627, ""薪資""), ""薪資變動(不計入)"",
  REGEXMATCH(C2627, ""押金""), ""押金往來"",
  AND(E2627&lt;&gt;"""", F2627=""""), ""真實支出"",
  AND(E2627="""", F2627&lt;&gt;""""), ""真實收入"",
  TRUE, ""其他""
)"),"真實收入")</f>
        <v>真實收入</v>
      </c>
      <c r="K2627" s="270">
        <f t="shared" si="2"/>
        <v>30000</v>
      </c>
      <c r="L2627">
        <f t="shared" si="3"/>
        <v>0</v>
      </c>
    </row>
    <row r="2628">
      <c r="A2628" s="107">
        <f>IFERROR(__xludf.DUMMYFUNCTION("""COMPUTED_VALUE"""),45931.0)</f>
        <v>45931</v>
      </c>
      <c r="B2628" t="str">
        <f>IFERROR(__xludf.DUMMYFUNCTION("""COMPUTED_VALUE"""),"書香民生	E		劉祐安")</f>
        <v>書香民生	E		劉祐安</v>
      </c>
      <c r="C2628" t="str">
        <f>IFERROR(__xludf.DUMMYFUNCTION("""COMPUTED_VALUE"""),"收入 - 租金")</f>
        <v>收入 - 租金</v>
      </c>
      <c r="D2628" s="270">
        <f>IFERROR(__xludf.DUMMYFUNCTION("""COMPUTED_VALUE"""),17800.0)</f>
        <v>17800</v>
      </c>
      <c r="F2628" t="str">
        <f>IFERROR(__xludf.DUMMYFUNCTION("""COMPUTED_VALUE"""),"台銀籌備帳戶")</f>
        <v>台銀籌備帳戶</v>
      </c>
      <c r="G2628" t="str">
        <f>IFERROR(__xludf.DUMMYFUNCTION("""COMPUTED_VALUE"""),"書香民生")</f>
        <v>書香民生</v>
      </c>
      <c r="H2628" s="106" t="str">
        <f t="shared" si="1"/>
        <v>2025-10</v>
      </c>
      <c r="I2628" s="271" t="str">
        <f>IFERROR(__xludf.DUMMYFUNCTION("""COMPUTED_VALUE"""),"貓狗企鵝")</f>
        <v>貓狗企鵝</v>
      </c>
      <c r="J2628" t="str">
        <f>IFERROR(__xludf.DUMMYFUNCTION("IFS(
  AND(REGEXMATCH(E2628, ""台銀籌備帳戶|玉山帳戶""), REGEXMATCH(C2628, ""薪資"")), ""分潤支出"",
  AND(REGEXMATCH(E2628, ""Ben帳戶|Elsa帳戶|Ben代墊|Ariel代墊|中信銀行共用""), REGEXMATCH(F2628, ""Ben帳戶|Elsa帳戶|Ben代墊|Ariel代墊|中信銀行共用"")), ""內部轉帳(忽略)"",
  AND(E2628&lt;&gt;"""", F2628&lt;&gt;"""", N"&amp;"OT(REGEXMATCH(C2628, ""薪資""))), ""內部轉帳(忽略)"",
  REGEXMATCH(C2628, ""薪資""), ""薪資變動(不計入)"",
  REGEXMATCH(C2628, ""押金""), ""押金往來"",
  AND(E2628&lt;&gt;"""", F2628=""""), ""真實支出"",
  AND(E2628="""", F2628&lt;&gt;""""), ""真實收入"",
  TRUE, ""其他""
)"),"真實收入")</f>
        <v>真實收入</v>
      </c>
      <c r="K2628" s="270">
        <f t="shared" si="2"/>
        <v>17800</v>
      </c>
      <c r="L2628">
        <f t="shared" si="3"/>
        <v>0</v>
      </c>
    </row>
    <row r="2629">
      <c r="A2629" s="107">
        <f>IFERROR(__xludf.DUMMYFUNCTION("""COMPUTED_VALUE"""),45929.0)</f>
        <v>45929</v>
      </c>
      <c r="B2629" t="str">
        <f>IFERROR(__xludf.DUMMYFUNCTION("""COMPUTED_VALUE"""),"[大湖山莊] F [李佳芸, 吉俊儒] ")</f>
        <v>[大湖山莊] F [李佳芸, 吉俊儒] </v>
      </c>
      <c r="C2629" t="str">
        <f>IFERROR(__xludf.DUMMYFUNCTION("""COMPUTED_VALUE"""),"收入 - 租金")</f>
        <v>收入 - 租金</v>
      </c>
      <c r="D2629" s="270">
        <f>IFERROR(__xludf.DUMMYFUNCTION("""COMPUTED_VALUE"""),18300.0)</f>
        <v>18300</v>
      </c>
      <c r="F2629" t="str">
        <f>IFERROR(__xludf.DUMMYFUNCTION("""COMPUTED_VALUE"""),"台銀籌備帳戶")</f>
        <v>台銀籌備帳戶</v>
      </c>
      <c r="G2629" t="str">
        <f>IFERROR(__xludf.DUMMYFUNCTION("""COMPUTED_VALUE"""),"大湖山莊")</f>
        <v>大湖山莊</v>
      </c>
      <c r="H2629" s="106" t="str">
        <f t="shared" si="1"/>
        <v>2025-09</v>
      </c>
      <c r="I2629" s="271" t="str">
        <f>IFERROR(__xludf.DUMMYFUNCTION("""COMPUTED_VALUE"""),"貓狗企鵝")</f>
        <v>貓狗企鵝</v>
      </c>
      <c r="J2629" t="str">
        <f>IFERROR(__xludf.DUMMYFUNCTION("IFS(
  AND(REGEXMATCH(E2629, ""台銀籌備帳戶|玉山帳戶""), REGEXMATCH(C2629, ""薪資"")), ""分潤支出"",
  AND(REGEXMATCH(E2629, ""Ben帳戶|Elsa帳戶|Ben代墊|Ariel代墊|中信銀行共用""), REGEXMATCH(F2629, ""Ben帳戶|Elsa帳戶|Ben代墊|Ariel代墊|中信銀行共用"")), ""內部轉帳(忽略)"",
  AND(E2629&lt;&gt;"""", F2629&lt;&gt;"""", N"&amp;"OT(REGEXMATCH(C2629, ""薪資""))), ""內部轉帳(忽略)"",
  REGEXMATCH(C2629, ""薪資""), ""薪資變動(不計入)"",
  REGEXMATCH(C2629, ""押金""), ""押金往來"",
  AND(E2629&lt;&gt;"""", F2629=""""), ""真實支出"",
  AND(E2629="""", F2629&lt;&gt;""""), ""真實收入"",
  TRUE, ""其他""
)"),"真實收入")</f>
        <v>真實收入</v>
      </c>
      <c r="K2629" s="270">
        <f t="shared" si="2"/>
        <v>18300</v>
      </c>
      <c r="L2629">
        <f t="shared" si="3"/>
        <v>0</v>
      </c>
    </row>
    <row r="2630">
      <c r="A2630" s="107">
        <f>IFERROR(__xludf.DUMMYFUNCTION("""COMPUTED_VALUE"""),45930.0)</f>
        <v>45930</v>
      </c>
      <c r="B2630" t="str">
        <f>IFERROR(__xludf.DUMMYFUNCTION("""COMPUTED_VALUE"""),"[金龍帽子先生] A [何佩勳] 月租金 後五碼:70383 (行號: 20)")</f>
        <v>[金龍帽子先生] A [何佩勳] 月租金 後五碼:70383 (行號: 20)</v>
      </c>
      <c r="C2630" t="str">
        <f>IFERROR(__xludf.DUMMYFUNCTION("""COMPUTED_VALUE"""),"收入 - 租金")</f>
        <v>收入 - 租金</v>
      </c>
      <c r="D2630" s="270">
        <f>IFERROR(__xludf.DUMMYFUNCTION("""COMPUTED_VALUE"""),17200.0)</f>
        <v>17200</v>
      </c>
      <c r="F2630" t="str">
        <f>IFERROR(__xludf.DUMMYFUNCTION("""COMPUTED_VALUE"""),"台銀籌備帳戶")</f>
        <v>台銀籌備帳戶</v>
      </c>
      <c r="G2630" t="str">
        <f>IFERROR(__xludf.DUMMYFUNCTION("""COMPUTED_VALUE"""),"金龍帽子先生")</f>
        <v>金龍帽子先生</v>
      </c>
      <c r="H2630" s="106" t="str">
        <f t="shared" si="1"/>
        <v>2025-09</v>
      </c>
      <c r="I2630" s="271" t="str">
        <f>IFERROR(__xludf.DUMMYFUNCTION("""COMPUTED_VALUE"""),"貓狗企鵝")</f>
        <v>貓狗企鵝</v>
      </c>
      <c r="J2630" t="str">
        <f>IFERROR(__xludf.DUMMYFUNCTION("IFS(
  AND(REGEXMATCH(E2630, ""台銀籌備帳戶|玉山帳戶""), REGEXMATCH(C2630, ""薪資"")), ""分潤支出"",
  AND(REGEXMATCH(E2630, ""Ben帳戶|Elsa帳戶|Ben代墊|Ariel代墊|中信銀行共用""), REGEXMATCH(F2630, ""Ben帳戶|Elsa帳戶|Ben代墊|Ariel代墊|中信銀行共用"")), ""內部轉帳(忽略)"",
  AND(E2630&lt;&gt;"""", F2630&lt;&gt;"""", N"&amp;"OT(REGEXMATCH(C2630, ""薪資""))), ""內部轉帳(忽略)"",
  REGEXMATCH(C2630, ""薪資""), ""薪資變動(不計入)"",
  REGEXMATCH(C2630, ""押金""), ""押金往來"",
  AND(E2630&lt;&gt;"""", F2630=""""), ""真實支出"",
  AND(E2630="""", F2630&lt;&gt;""""), ""真實收入"",
  TRUE, ""其他""
)"),"真實收入")</f>
        <v>真實收入</v>
      </c>
      <c r="K2630" s="270">
        <f t="shared" si="2"/>
        <v>17200</v>
      </c>
      <c r="L2630">
        <f t="shared" si="3"/>
        <v>0</v>
      </c>
    </row>
    <row r="2631">
      <c r="A2631" s="107">
        <f>IFERROR(__xludf.DUMMYFUNCTION("""COMPUTED_VALUE"""),45930.0)</f>
        <v>45930</v>
      </c>
      <c r="B2631" t="str">
        <f>IFERROR(__xludf.DUMMYFUNCTION("""COMPUTED_VALUE"""),"[大湖山莊] C [姚伯謙] 月租金 後五碼:54655 (行號: 21)")</f>
        <v>[大湖山莊] C [姚伯謙] 月租金 後五碼:54655 (行號: 21)</v>
      </c>
      <c r="C2631" t="str">
        <f>IFERROR(__xludf.DUMMYFUNCTION("""COMPUTED_VALUE"""),"收入 - 租金")</f>
        <v>收入 - 租金</v>
      </c>
      <c r="D2631" s="270">
        <f>IFERROR(__xludf.DUMMYFUNCTION("""COMPUTED_VALUE"""),18800.0)</f>
        <v>18800</v>
      </c>
      <c r="F2631" t="str">
        <f>IFERROR(__xludf.DUMMYFUNCTION("""COMPUTED_VALUE"""),"台銀籌備帳戶")</f>
        <v>台銀籌備帳戶</v>
      </c>
      <c r="G2631" t="str">
        <f>IFERROR(__xludf.DUMMYFUNCTION("""COMPUTED_VALUE"""),"大湖山莊")</f>
        <v>大湖山莊</v>
      </c>
      <c r="H2631" s="106" t="str">
        <f t="shared" si="1"/>
        <v>2025-09</v>
      </c>
      <c r="I2631" s="271" t="str">
        <f>IFERROR(__xludf.DUMMYFUNCTION("""COMPUTED_VALUE"""),"貓狗企鵝")</f>
        <v>貓狗企鵝</v>
      </c>
      <c r="J2631" t="str">
        <f>IFERROR(__xludf.DUMMYFUNCTION("IFS(
  AND(REGEXMATCH(E2631, ""台銀籌備帳戶|玉山帳戶""), REGEXMATCH(C2631, ""薪資"")), ""分潤支出"",
  AND(REGEXMATCH(E2631, ""Ben帳戶|Elsa帳戶|Ben代墊|Ariel代墊|中信銀行共用""), REGEXMATCH(F2631, ""Ben帳戶|Elsa帳戶|Ben代墊|Ariel代墊|中信銀行共用"")), ""內部轉帳(忽略)"",
  AND(E2631&lt;&gt;"""", F2631&lt;&gt;"""", N"&amp;"OT(REGEXMATCH(C2631, ""薪資""))), ""內部轉帳(忽略)"",
  REGEXMATCH(C2631, ""薪資""), ""薪資變動(不計入)"",
  REGEXMATCH(C2631, ""押金""), ""押金往來"",
  AND(E2631&lt;&gt;"""", F2631=""""), ""真實支出"",
  AND(E2631="""", F2631&lt;&gt;""""), ""真實收入"",
  TRUE, ""其他""
)"),"真實收入")</f>
        <v>真實收入</v>
      </c>
      <c r="K2631" s="270">
        <f t="shared" si="2"/>
        <v>18800</v>
      </c>
      <c r="L2631">
        <f t="shared" si="3"/>
        <v>0</v>
      </c>
    </row>
    <row r="2632">
      <c r="A2632" s="107">
        <f>IFERROR(__xludf.DUMMYFUNCTION("""COMPUTED_VALUE"""),45930.0)</f>
        <v>45930</v>
      </c>
      <c r="B2632" t="str">
        <f>IFERROR(__xludf.DUMMYFUNCTION("""COMPUTED_VALUE"""),"[哈拉對面] D [柳翰洋] 月租金 後五碼:38687 (行號: 22)")</f>
        <v>[哈拉對面] D [柳翰洋] 月租金 後五碼:38687 (行號: 22)</v>
      </c>
      <c r="C2632" t="str">
        <f>IFERROR(__xludf.DUMMYFUNCTION("""COMPUTED_VALUE"""),"收入 - 租金")</f>
        <v>收入 - 租金</v>
      </c>
      <c r="D2632" s="270">
        <f>IFERROR(__xludf.DUMMYFUNCTION("""COMPUTED_VALUE"""),11800.0)</f>
        <v>11800</v>
      </c>
      <c r="F2632" t="str">
        <f>IFERROR(__xludf.DUMMYFUNCTION("""COMPUTED_VALUE"""),"台銀籌備帳戶")</f>
        <v>台銀籌備帳戶</v>
      </c>
      <c r="G2632" t="str">
        <f>IFERROR(__xludf.DUMMYFUNCTION("""COMPUTED_VALUE"""),"哈拉對面")</f>
        <v>哈拉對面</v>
      </c>
      <c r="H2632" s="106" t="str">
        <f t="shared" si="1"/>
        <v>2025-09</v>
      </c>
      <c r="I2632" s="271" t="str">
        <f>IFERROR(__xludf.DUMMYFUNCTION("""COMPUTED_VALUE"""),"貓狗企鵝")</f>
        <v>貓狗企鵝</v>
      </c>
      <c r="J2632" t="str">
        <f>IFERROR(__xludf.DUMMYFUNCTION("IFS(
  AND(REGEXMATCH(E2632, ""台銀籌備帳戶|玉山帳戶""), REGEXMATCH(C2632, ""薪資"")), ""分潤支出"",
  AND(REGEXMATCH(E2632, ""Ben帳戶|Elsa帳戶|Ben代墊|Ariel代墊|中信銀行共用""), REGEXMATCH(F2632, ""Ben帳戶|Elsa帳戶|Ben代墊|Ariel代墊|中信銀行共用"")), ""內部轉帳(忽略)"",
  AND(E2632&lt;&gt;"""", F2632&lt;&gt;"""", N"&amp;"OT(REGEXMATCH(C2632, ""薪資""))), ""內部轉帳(忽略)"",
  REGEXMATCH(C2632, ""薪資""), ""薪資變動(不計入)"",
  REGEXMATCH(C2632, ""押金""), ""押金往來"",
  AND(E2632&lt;&gt;"""", F2632=""""), ""真實支出"",
  AND(E2632="""", F2632&lt;&gt;""""), ""真實收入"",
  TRUE, ""其他""
)"),"真實收入")</f>
        <v>真實收入</v>
      </c>
      <c r="K2632" s="270">
        <f t="shared" si="2"/>
        <v>11800</v>
      </c>
      <c r="L2632">
        <f t="shared" si="3"/>
        <v>0</v>
      </c>
    </row>
    <row r="2633">
      <c r="A2633" s="107">
        <f>IFERROR(__xludf.DUMMYFUNCTION("""COMPUTED_VALUE"""),45930.0)</f>
        <v>45930</v>
      </c>
      <c r="B2633" t="str">
        <f>IFERROR(__xludf.DUMMYFUNCTION("""COMPUTED_VALUE"""),"[金龍帽子先生] C [鐘偉展] 月租金 後五碼:43168 (行號: 23)")</f>
        <v>[金龍帽子先生] C [鐘偉展] 月租金 後五碼:43168 (行號: 23)</v>
      </c>
      <c r="C2633" t="str">
        <f>IFERROR(__xludf.DUMMYFUNCTION("""COMPUTED_VALUE"""),"收入 - 租金")</f>
        <v>收入 - 租金</v>
      </c>
      <c r="D2633" s="270">
        <f>IFERROR(__xludf.DUMMYFUNCTION("""COMPUTED_VALUE"""),14000.0)</f>
        <v>14000</v>
      </c>
      <c r="F2633" t="str">
        <f>IFERROR(__xludf.DUMMYFUNCTION("""COMPUTED_VALUE"""),"台銀籌備帳戶")</f>
        <v>台銀籌備帳戶</v>
      </c>
      <c r="G2633" t="str">
        <f>IFERROR(__xludf.DUMMYFUNCTION("""COMPUTED_VALUE"""),"金龍帽子先生")</f>
        <v>金龍帽子先生</v>
      </c>
      <c r="H2633" s="106" t="str">
        <f t="shared" si="1"/>
        <v>2025-09</v>
      </c>
      <c r="I2633" s="271" t="str">
        <f>IFERROR(__xludf.DUMMYFUNCTION("""COMPUTED_VALUE"""),"貓狗企鵝")</f>
        <v>貓狗企鵝</v>
      </c>
      <c r="J2633" t="str">
        <f>IFERROR(__xludf.DUMMYFUNCTION("IFS(
  AND(REGEXMATCH(E2633, ""台銀籌備帳戶|玉山帳戶""), REGEXMATCH(C2633, ""薪資"")), ""分潤支出"",
  AND(REGEXMATCH(E2633, ""Ben帳戶|Elsa帳戶|Ben代墊|Ariel代墊|中信銀行共用""), REGEXMATCH(F2633, ""Ben帳戶|Elsa帳戶|Ben代墊|Ariel代墊|中信銀行共用"")), ""內部轉帳(忽略)"",
  AND(E2633&lt;&gt;"""", F2633&lt;&gt;"""", N"&amp;"OT(REGEXMATCH(C2633, ""薪資""))), ""內部轉帳(忽略)"",
  REGEXMATCH(C2633, ""薪資""), ""薪資變動(不計入)"",
  REGEXMATCH(C2633, ""押金""), ""押金往來"",
  AND(E2633&lt;&gt;"""", F2633=""""), ""真實支出"",
  AND(E2633="""", F2633&lt;&gt;""""), ""真實收入"",
  TRUE, ""其他""
)"),"真實收入")</f>
        <v>真實收入</v>
      </c>
      <c r="K2633" s="270">
        <f t="shared" si="2"/>
        <v>14000</v>
      </c>
      <c r="L2633">
        <f t="shared" si="3"/>
        <v>0</v>
      </c>
    </row>
    <row r="2634">
      <c r="A2634" s="107">
        <f>IFERROR(__xludf.DUMMYFUNCTION("""COMPUTED_VALUE"""),45930.0)</f>
        <v>45930</v>
      </c>
      <c r="B2634" t="str">
        <f>IFERROR(__xludf.DUMMYFUNCTION("""COMPUTED_VALUE"""),"[大湖山莊] B [魏敬軒] ")</f>
        <v>[大湖山莊] B [魏敬軒] </v>
      </c>
      <c r="C2634" t="str">
        <f>IFERROR(__xludf.DUMMYFUNCTION("""COMPUTED_VALUE"""),"收入 - 租金")</f>
        <v>收入 - 租金</v>
      </c>
      <c r="D2634" s="270">
        <f>IFERROR(__xludf.DUMMYFUNCTION("""COMPUTED_VALUE"""),12000.0)</f>
        <v>12000</v>
      </c>
      <c r="F2634" t="str">
        <f>IFERROR(__xludf.DUMMYFUNCTION("""COMPUTED_VALUE"""),"台銀籌備帳戶")</f>
        <v>台銀籌備帳戶</v>
      </c>
      <c r="G2634" t="str">
        <f>IFERROR(__xludf.DUMMYFUNCTION("""COMPUTED_VALUE"""),"大湖山莊")</f>
        <v>大湖山莊</v>
      </c>
      <c r="H2634" s="106" t="str">
        <f t="shared" si="1"/>
        <v>2025-09</v>
      </c>
      <c r="I2634" s="271" t="str">
        <f>IFERROR(__xludf.DUMMYFUNCTION("""COMPUTED_VALUE"""),"貓狗企鵝")</f>
        <v>貓狗企鵝</v>
      </c>
      <c r="J2634" t="str">
        <f>IFERROR(__xludf.DUMMYFUNCTION("IFS(
  AND(REGEXMATCH(E2634, ""台銀籌備帳戶|玉山帳戶""), REGEXMATCH(C2634, ""薪資"")), ""分潤支出"",
  AND(REGEXMATCH(E2634, ""Ben帳戶|Elsa帳戶|Ben代墊|Ariel代墊|中信銀行共用""), REGEXMATCH(F2634, ""Ben帳戶|Elsa帳戶|Ben代墊|Ariel代墊|中信銀行共用"")), ""內部轉帳(忽略)"",
  AND(E2634&lt;&gt;"""", F2634&lt;&gt;"""", N"&amp;"OT(REGEXMATCH(C2634, ""薪資""))), ""內部轉帳(忽略)"",
  REGEXMATCH(C2634, ""薪資""), ""薪資變動(不計入)"",
  REGEXMATCH(C2634, ""押金""), ""押金往來"",
  AND(E2634&lt;&gt;"""", F2634=""""), ""真實支出"",
  AND(E2634="""", F2634&lt;&gt;""""), ""真實收入"",
  TRUE, ""其他""
)"),"真實收入")</f>
        <v>真實收入</v>
      </c>
      <c r="K2634" s="270">
        <f t="shared" si="2"/>
        <v>12000</v>
      </c>
      <c r="L2634">
        <f t="shared" si="3"/>
        <v>0</v>
      </c>
    </row>
    <row r="2635">
      <c r="A2635" s="107">
        <f>IFERROR(__xludf.DUMMYFUNCTION("""COMPUTED_VALUE"""),45930.0)</f>
        <v>45930</v>
      </c>
      <c r="B2635" t="str">
        <f>IFERROR(__xludf.DUMMYFUNCTION("""COMPUTED_VALUE"""),"[北醫醫師府] A [吳緯程] 月租金 後五碼:94132 (行號: 25)")</f>
        <v>[北醫醫師府] A [吳緯程] 月租金 後五碼:94132 (行號: 25)</v>
      </c>
      <c r="C2635" t="str">
        <f>IFERROR(__xludf.DUMMYFUNCTION("""COMPUTED_VALUE"""),"收入 - 租金")</f>
        <v>收入 - 租金</v>
      </c>
      <c r="D2635" s="270">
        <f>IFERROR(__xludf.DUMMYFUNCTION("""COMPUTED_VALUE"""),13000.0)</f>
        <v>13000</v>
      </c>
      <c r="F2635" t="str">
        <f>IFERROR(__xludf.DUMMYFUNCTION("""COMPUTED_VALUE"""),"台銀籌備帳戶")</f>
        <v>台銀籌備帳戶</v>
      </c>
      <c r="G2635" t="str">
        <f>IFERROR(__xludf.DUMMYFUNCTION("""COMPUTED_VALUE"""),"北醫醫師府")</f>
        <v>北醫醫師府</v>
      </c>
      <c r="H2635" s="106" t="str">
        <f t="shared" si="1"/>
        <v>2025-09</v>
      </c>
      <c r="I2635" s="271" t="str">
        <f>IFERROR(__xludf.DUMMYFUNCTION("""COMPUTED_VALUE"""),"貓狗企鵝")</f>
        <v>貓狗企鵝</v>
      </c>
      <c r="J2635" t="str">
        <f>IFERROR(__xludf.DUMMYFUNCTION("IFS(
  AND(REGEXMATCH(E2635, ""台銀籌備帳戶|玉山帳戶""), REGEXMATCH(C2635, ""薪資"")), ""分潤支出"",
  AND(REGEXMATCH(E2635, ""Ben帳戶|Elsa帳戶|Ben代墊|Ariel代墊|中信銀行共用""), REGEXMATCH(F2635, ""Ben帳戶|Elsa帳戶|Ben代墊|Ariel代墊|中信銀行共用"")), ""內部轉帳(忽略)"",
  AND(E2635&lt;&gt;"""", F2635&lt;&gt;"""", N"&amp;"OT(REGEXMATCH(C2635, ""薪資""))), ""內部轉帳(忽略)"",
  REGEXMATCH(C2635, ""薪資""), ""薪資變動(不計入)"",
  REGEXMATCH(C2635, ""押金""), ""押金往來"",
  AND(E2635&lt;&gt;"""", F2635=""""), ""真實支出"",
  AND(E2635="""", F2635&lt;&gt;""""), ""真實收入"",
  TRUE, ""其他""
)"),"真實收入")</f>
        <v>真實收入</v>
      </c>
      <c r="K2635" s="270">
        <f t="shared" si="2"/>
        <v>13000</v>
      </c>
      <c r="L2635">
        <f t="shared" si="3"/>
        <v>0</v>
      </c>
    </row>
    <row r="2636">
      <c r="A2636" s="107">
        <f>IFERROR(__xludf.DUMMYFUNCTION("""COMPUTED_VALUE"""),45930.0)</f>
        <v>45930</v>
      </c>
      <c r="B2636" t="str">
        <f>IFERROR(__xludf.DUMMYFUNCTION("""COMPUTED_VALUE"""),"[大湖山莊] E [吳宗祐] 月租金 後五碼:60828 (行號: 26)")</f>
        <v>[大湖山莊] E [吳宗祐] 月租金 後五碼:60828 (行號: 26)</v>
      </c>
      <c r="C2636" t="str">
        <f>IFERROR(__xludf.DUMMYFUNCTION("""COMPUTED_VALUE"""),"收入 - 租金")</f>
        <v>收入 - 租金</v>
      </c>
      <c r="D2636" s="270">
        <f>IFERROR(__xludf.DUMMYFUNCTION("""COMPUTED_VALUE"""),11500.0)</f>
        <v>11500</v>
      </c>
      <c r="F2636" t="str">
        <f>IFERROR(__xludf.DUMMYFUNCTION("""COMPUTED_VALUE"""),"台銀籌備帳戶")</f>
        <v>台銀籌備帳戶</v>
      </c>
      <c r="G2636" t="str">
        <f>IFERROR(__xludf.DUMMYFUNCTION("""COMPUTED_VALUE"""),"大湖山莊")</f>
        <v>大湖山莊</v>
      </c>
      <c r="H2636" s="106" t="str">
        <f t="shared" si="1"/>
        <v>2025-09</v>
      </c>
      <c r="I2636" s="271" t="str">
        <f>IFERROR(__xludf.DUMMYFUNCTION("""COMPUTED_VALUE"""),"貓狗企鵝")</f>
        <v>貓狗企鵝</v>
      </c>
      <c r="J2636" t="str">
        <f>IFERROR(__xludf.DUMMYFUNCTION("IFS(
  AND(REGEXMATCH(E2636, ""台銀籌備帳戶|玉山帳戶""), REGEXMATCH(C2636, ""薪資"")), ""分潤支出"",
  AND(REGEXMATCH(E2636, ""Ben帳戶|Elsa帳戶|Ben代墊|Ariel代墊|中信銀行共用""), REGEXMATCH(F2636, ""Ben帳戶|Elsa帳戶|Ben代墊|Ariel代墊|中信銀行共用"")), ""內部轉帳(忽略)"",
  AND(E2636&lt;&gt;"""", F2636&lt;&gt;"""", N"&amp;"OT(REGEXMATCH(C2636, ""薪資""))), ""內部轉帳(忽略)"",
  REGEXMATCH(C2636, ""薪資""), ""薪資變動(不計入)"",
  REGEXMATCH(C2636, ""押金""), ""押金往來"",
  AND(E2636&lt;&gt;"""", F2636=""""), ""真實支出"",
  AND(E2636="""", F2636&lt;&gt;""""), ""真實收入"",
  TRUE, ""其他""
)"),"真實收入")</f>
        <v>真實收入</v>
      </c>
      <c r="K2636" s="270">
        <f t="shared" si="2"/>
        <v>11500</v>
      </c>
      <c r="L2636">
        <f t="shared" si="3"/>
        <v>0</v>
      </c>
    </row>
    <row r="2637">
      <c r="A2637" s="107">
        <f>IFERROR(__xludf.DUMMYFUNCTION("""COMPUTED_VALUE"""),45930.0)</f>
        <v>45930</v>
      </c>
      <c r="B2637" t="str">
        <f>IFERROR(__xludf.DUMMYFUNCTION("""COMPUTED_VALUE"""),"[書香民生] C [韋茗期] 月租金 後五碼:07688 (行號: 27)")</f>
        <v>[書香民生] C [韋茗期] 月租金 後五碼:07688 (行號: 27)</v>
      </c>
      <c r="C2637" t="str">
        <f>IFERROR(__xludf.DUMMYFUNCTION("""COMPUTED_VALUE"""),"收入 - 租金")</f>
        <v>收入 - 租金</v>
      </c>
      <c r="D2637" s="270">
        <f>IFERROR(__xludf.DUMMYFUNCTION("""COMPUTED_VALUE"""),14800.0)</f>
        <v>14800</v>
      </c>
      <c r="F2637" t="str">
        <f>IFERROR(__xludf.DUMMYFUNCTION("""COMPUTED_VALUE"""),"台銀籌備帳戶")</f>
        <v>台銀籌備帳戶</v>
      </c>
      <c r="G2637" t="str">
        <f>IFERROR(__xludf.DUMMYFUNCTION("""COMPUTED_VALUE"""),"書香民生")</f>
        <v>書香民生</v>
      </c>
      <c r="H2637" s="106" t="str">
        <f t="shared" si="1"/>
        <v>2025-09</v>
      </c>
      <c r="I2637" s="271" t="str">
        <f>IFERROR(__xludf.DUMMYFUNCTION("""COMPUTED_VALUE"""),"貓狗企鵝")</f>
        <v>貓狗企鵝</v>
      </c>
      <c r="J2637" t="str">
        <f>IFERROR(__xludf.DUMMYFUNCTION("IFS(
  AND(REGEXMATCH(E2637, ""台銀籌備帳戶|玉山帳戶""), REGEXMATCH(C2637, ""薪資"")), ""分潤支出"",
  AND(REGEXMATCH(E2637, ""Ben帳戶|Elsa帳戶|Ben代墊|Ariel代墊|中信銀行共用""), REGEXMATCH(F2637, ""Ben帳戶|Elsa帳戶|Ben代墊|Ariel代墊|中信銀行共用"")), ""內部轉帳(忽略)"",
  AND(E2637&lt;&gt;"""", F2637&lt;&gt;"""", N"&amp;"OT(REGEXMATCH(C2637, ""薪資""))), ""內部轉帳(忽略)"",
  REGEXMATCH(C2637, ""薪資""), ""薪資變動(不計入)"",
  REGEXMATCH(C2637, ""押金""), ""押金往來"",
  AND(E2637&lt;&gt;"""", F2637=""""), ""真實支出"",
  AND(E2637="""", F2637&lt;&gt;""""), ""真實收入"",
  TRUE, ""其他""
)"),"真實收入")</f>
        <v>真實收入</v>
      </c>
      <c r="K2637" s="270">
        <f t="shared" si="2"/>
        <v>14800</v>
      </c>
      <c r="L2637">
        <f t="shared" si="3"/>
        <v>0</v>
      </c>
    </row>
    <row r="2638">
      <c r="A2638" s="107">
        <f>IFERROR(__xludf.DUMMYFUNCTION("""COMPUTED_VALUE"""),45931.0)</f>
        <v>45931</v>
      </c>
      <c r="B2638" t="str">
        <f>IFERROR(__xludf.DUMMYFUNCTION("""COMPUTED_VALUE""")," [景安2分鐘] C [吳品萱] ")</f>
        <v> [景安2分鐘] C [吳品萱] </v>
      </c>
      <c r="C2638" t="str">
        <f>IFERROR(__xludf.DUMMYFUNCTION("""COMPUTED_VALUE"""),"收入 - 租金")</f>
        <v>收入 - 租金</v>
      </c>
      <c r="D2638" s="270">
        <f>IFERROR(__xludf.DUMMYFUNCTION("""COMPUTED_VALUE"""),12500.0)</f>
        <v>12500</v>
      </c>
      <c r="F2638" t="str">
        <f>IFERROR(__xludf.DUMMYFUNCTION("""COMPUTED_VALUE"""),"台銀籌備帳戶")</f>
        <v>台銀籌備帳戶</v>
      </c>
      <c r="G2638" t="str">
        <f>IFERROR(__xludf.DUMMYFUNCTION("""COMPUTED_VALUE"""),"景安2分鐘")</f>
        <v>景安2分鐘</v>
      </c>
      <c r="H2638" s="106" t="str">
        <f t="shared" si="1"/>
        <v>2025-10</v>
      </c>
      <c r="I2638" s="271" t="str">
        <f>IFERROR(__xludf.DUMMYFUNCTION("""COMPUTED_VALUE"""),"貓狗企鵝")</f>
        <v>貓狗企鵝</v>
      </c>
      <c r="J2638" t="str">
        <f>IFERROR(__xludf.DUMMYFUNCTION("IFS(
  AND(REGEXMATCH(E2638, ""台銀籌備帳戶|玉山帳戶""), REGEXMATCH(C2638, ""薪資"")), ""分潤支出"",
  AND(REGEXMATCH(E2638, ""Ben帳戶|Elsa帳戶|Ben代墊|Ariel代墊|中信銀行共用""), REGEXMATCH(F2638, ""Ben帳戶|Elsa帳戶|Ben代墊|Ariel代墊|中信銀行共用"")), ""內部轉帳(忽略)"",
  AND(E2638&lt;&gt;"""", F2638&lt;&gt;"""", N"&amp;"OT(REGEXMATCH(C2638, ""薪資""))), ""內部轉帳(忽略)"",
  REGEXMATCH(C2638, ""薪資""), ""薪資變動(不計入)"",
  REGEXMATCH(C2638, ""押金""), ""押金往來"",
  AND(E2638&lt;&gt;"""", F2638=""""), ""真實支出"",
  AND(E2638="""", F2638&lt;&gt;""""), ""真實收入"",
  TRUE, ""其他""
)"),"真實收入")</f>
        <v>真實收入</v>
      </c>
      <c r="K2638" s="270">
        <f t="shared" si="2"/>
        <v>12500</v>
      </c>
      <c r="L2638">
        <f t="shared" si="3"/>
        <v>0</v>
      </c>
    </row>
    <row r="2639">
      <c r="A2639" s="107">
        <f>IFERROR(__xludf.DUMMYFUNCTION("""COMPUTED_VALUE"""),45931.0)</f>
        <v>45931</v>
      </c>
      <c r="B2639" t="str">
        <f>IFERROR(__xludf.DUMMYFUNCTION("""COMPUTED_VALUE"""),"[金龍帽子先生] B [謝歆俞] 月租金 後五碼:70609 (行號: 31)")</f>
        <v>[金龍帽子先生] B [謝歆俞] 月租金 後五碼:70609 (行號: 31)</v>
      </c>
      <c r="C2639" t="str">
        <f>IFERROR(__xludf.DUMMYFUNCTION("""COMPUTED_VALUE"""),"收入 - 租金")</f>
        <v>收入 - 租金</v>
      </c>
      <c r="D2639" s="270">
        <f>IFERROR(__xludf.DUMMYFUNCTION("""COMPUTED_VALUE"""),12700.0)</f>
        <v>12700</v>
      </c>
      <c r="F2639" t="str">
        <f>IFERROR(__xludf.DUMMYFUNCTION("""COMPUTED_VALUE"""),"台銀籌備帳戶")</f>
        <v>台銀籌備帳戶</v>
      </c>
      <c r="G2639" t="str">
        <f>IFERROR(__xludf.DUMMYFUNCTION("""COMPUTED_VALUE"""),"金龍帽子先生")</f>
        <v>金龍帽子先生</v>
      </c>
      <c r="H2639" s="106" t="str">
        <f t="shared" si="1"/>
        <v>2025-10</v>
      </c>
      <c r="I2639" s="271" t="str">
        <f>IFERROR(__xludf.DUMMYFUNCTION("""COMPUTED_VALUE"""),"貓狗企鵝")</f>
        <v>貓狗企鵝</v>
      </c>
      <c r="J2639" t="str">
        <f>IFERROR(__xludf.DUMMYFUNCTION("IFS(
  AND(REGEXMATCH(E2639, ""台銀籌備帳戶|玉山帳戶""), REGEXMATCH(C2639, ""薪資"")), ""分潤支出"",
  AND(REGEXMATCH(E2639, ""Ben帳戶|Elsa帳戶|Ben代墊|Ariel代墊|中信銀行共用""), REGEXMATCH(F2639, ""Ben帳戶|Elsa帳戶|Ben代墊|Ariel代墊|中信銀行共用"")), ""內部轉帳(忽略)"",
  AND(E2639&lt;&gt;"""", F2639&lt;&gt;"""", N"&amp;"OT(REGEXMATCH(C2639, ""薪資""))), ""內部轉帳(忽略)"",
  REGEXMATCH(C2639, ""薪資""), ""薪資變動(不計入)"",
  REGEXMATCH(C2639, ""押金""), ""押金往來"",
  AND(E2639&lt;&gt;"""", F2639=""""), ""真實支出"",
  AND(E2639="""", F2639&lt;&gt;""""), ""真實收入"",
  TRUE, ""其他""
)"),"真實收入")</f>
        <v>真實收入</v>
      </c>
      <c r="K2639" s="270">
        <f t="shared" si="2"/>
        <v>12700</v>
      </c>
      <c r="L2639">
        <f t="shared" si="3"/>
        <v>0</v>
      </c>
    </row>
    <row r="2640">
      <c r="A2640" s="107">
        <f>IFERROR(__xludf.DUMMYFUNCTION("""COMPUTED_VALUE"""),45931.0)</f>
        <v>45931</v>
      </c>
      <c r="B2640" t="str">
        <f>IFERROR(__xludf.DUMMYFUNCTION("""COMPUTED_VALUE"""),"[永春四號] D [翁政熙] 月租金 後五碼:54267 (行號: 44)")</f>
        <v>[永春四號] D [翁政熙] 月租金 後五碼:54267 (行號: 44)</v>
      </c>
      <c r="C2640" t="str">
        <f>IFERROR(__xludf.DUMMYFUNCTION("""COMPUTED_VALUE"""),"收入 - 租金")</f>
        <v>收入 - 租金</v>
      </c>
      <c r="D2640" s="270">
        <f>IFERROR(__xludf.DUMMYFUNCTION("""COMPUTED_VALUE"""),14300.0)</f>
        <v>14300</v>
      </c>
      <c r="F2640" t="str">
        <f>IFERROR(__xludf.DUMMYFUNCTION("""COMPUTED_VALUE"""),"台銀籌備帳戶")</f>
        <v>台銀籌備帳戶</v>
      </c>
      <c r="G2640" t="str">
        <f>IFERROR(__xludf.DUMMYFUNCTION("""COMPUTED_VALUE"""),"永春四號")</f>
        <v>永春四號</v>
      </c>
      <c r="H2640" s="106" t="str">
        <f t="shared" si="1"/>
        <v>2025-10</v>
      </c>
      <c r="I2640" s="271" t="str">
        <f>IFERROR(__xludf.DUMMYFUNCTION("""COMPUTED_VALUE"""),"貓狗企鵝")</f>
        <v>貓狗企鵝</v>
      </c>
      <c r="J2640" t="str">
        <f>IFERROR(__xludf.DUMMYFUNCTION("IFS(
  AND(REGEXMATCH(E2640, ""台銀籌備帳戶|玉山帳戶""), REGEXMATCH(C2640, ""薪資"")), ""分潤支出"",
  AND(REGEXMATCH(E2640, ""Ben帳戶|Elsa帳戶|Ben代墊|Ariel代墊|中信銀行共用""), REGEXMATCH(F2640, ""Ben帳戶|Elsa帳戶|Ben代墊|Ariel代墊|中信銀行共用"")), ""內部轉帳(忽略)"",
  AND(E2640&lt;&gt;"""", F2640&lt;&gt;"""", N"&amp;"OT(REGEXMATCH(C2640, ""薪資""))), ""內部轉帳(忽略)"",
  REGEXMATCH(C2640, ""薪資""), ""薪資變動(不計入)"",
  REGEXMATCH(C2640, ""押金""), ""押金往來"",
  AND(E2640&lt;&gt;"""", F2640=""""), ""真實支出"",
  AND(E2640="""", F2640&lt;&gt;""""), ""真實收入"",
  TRUE, ""其他""
)"),"真實收入")</f>
        <v>真實收入</v>
      </c>
      <c r="K2640" s="270">
        <f t="shared" si="2"/>
        <v>14300</v>
      </c>
      <c r="L2640">
        <f t="shared" si="3"/>
        <v>0</v>
      </c>
    </row>
    <row r="2641">
      <c r="A2641" s="107">
        <f>IFERROR(__xludf.DUMMYFUNCTION("""COMPUTED_VALUE"""),45931.0)</f>
        <v>45931</v>
      </c>
      <c r="B2641" t="str">
        <f>IFERROR(__xludf.DUMMYFUNCTION("""COMPUTED_VALUE"""),"[景安2分鐘] E [楊惠閔] 月租金 後五碼:75759 (行號: 46)")</f>
        <v>[景安2分鐘] E [楊惠閔] 月租金 後五碼:75759 (行號: 46)</v>
      </c>
      <c r="C2641" t="str">
        <f>IFERROR(__xludf.DUMMYFUNCTION("""COMPUTED_VALUE"""),"收入 - 租金")</f>
        <v>收入 - 租金</v>
      </c>
      <c r="D2641" s="270">
        <f>IFERROR(__xludf.DUMMYFUNCTION("""COMPUTED_VALUE"""),10500.0)</f>
        <v>10500</v>
      </c>
      <c r="F2641" t="str">
        <f>IFERROR(__xludf.DUMMYFUNCTION("""COMPUTED_VALUE"""),"台銀籌備帳戶")</f>
        <v>台銀籌備帳戶</v>
      </c>
      <c r="G2641" t="str">
        <f>IFERROR(__xludf.DUMMYFUNCTION("""COMPUTED_VALUE"""),"景安2分鐘")</f>
        <v>景安2分鐘</v>
      </c>
      <c r="H2641" s="106" t="str">
        <f t="shared" si="1"/>
        <v>2025-10</v>
      </c>
      <c r="I2641" s="271" t="str">
        <f>IFERROR(__xludf.DUMMYFUNCTION("""COMPUTED_VALUE"""),"貓狗企鵝")</f>
        <v>貓狗企鵝</v>
      </c>
      <c r="J2641" t="str">
        <f>IFERROR(__xludf.DUMMYFUNCTION("IFS(
  AND(REGEXMATCH(E2641, ""台銀籌備帳戶|玉山帳戶""), REGEXMATCH(C2641, ""薪資"")), ""分潤支出"",
  AND(REGEXMATCH(E2641, ""Ben帳戶|Elsa帳戶|Ben代墊|Ariel代墊|中信銀行共用""), REGEXMATCH(F2641, ""Ben帳戶|Elsa帳戶|Ben代墊|Ariel代墊|中信銀行共用"")), ""內部轉帳(忽略)"",
  AND(E2641&lt;&gt;"""", F2641&lt;&gt;"""", N"&amp;"OT(REGEXMATCH(C2641, ""薪資""))), ""內部轉帳(忽略)"",
  REGEXMATCH(C2641, ""薪資""), ""薪資變動(不計入)"",
  REGEXMATCH(C2641, ""押金""), ""押金往來"",
  AND(E2641&lt;&gt;"""", F2641=""""), ""真實支出"",
  AND(E2641="""", F2641&lt;&gt;""""), ""真實收入"",
  TRUE, ""其他""
)"),"真實收入")</f>
        <v>真實收入</v>
      </c>
      <c r="K2641" s="270">
        <f t="shared" si="2"/>
        <v>10500</v>
      </c>
      <c r="L2641">
        <f t="shared" si="3"/>
        <v>0</v>
      </c>
    </row>
    <row r="2642">
      <c r="A2642" s="107">
        <f>IFERROR(__xludf.DUMMYFUNCTION("""COMPUTED_VALUE"""),45931.0)</f>
        <v>45931</v>
      </c>
      <c r="B2642" t="str">
        <f>IFERROR(__xludf.DUMMYFUNCTION("""COMPUTED_VALUE"""),"[書香民生] F [周利安] 月租金 後五碼:02178 (行號: 47)")</f>
        <v>[書香民生] F [周利安] 月租金 後五碼:02178 (行號: 47)</v>
      </c>
      <c r="C2642" t="str">
        <f>IFERROR(__xludf.DUMMYFUNCTION("""COMPUTED_VALUE"""),"收入 - 租金")</f>
        <v>收入 - 租金</v>
      </c>
      <c r="D2642" s="270">
        <f>IFERROR(__xludf.DUMMYFUNCTION("""COMPUTED_VALUE"""),15800.0)</f>
        <v>15800</v>
      </c>
      <c r="F2642" t="str">
        <f>IFERROR(__xludf.DUMMYFUNCTION("""COMPUTED_VALUE"""),"台銀籌備帳戶")</f>
        <v>台銀籌備帳戶</v>
      </c>
      <c r="G2642" t="str">
        <f>IFERROR(__xludf.DUMMYFUNCTION("""COMPUTED_VALUE"""),"書香民生")</f>
        <v>書香民生</v>
      </c>
      <c r="H2642" s="106" t="str">
        <f t="shared" si="1"/>
        <v>2025-10</v>
      </c>
      <c r="I2642" s="271" t="str">
        <f>IFERROR(__xludf.DUMMYFUNCTION("""COMPUTED_VALUE"""),"貓狗企鵝")</f>
        <v>貓狗企鵝</v>
      </c>
      <c r="J2642" t="str">
        <f>IFERROR(__xludf.DUMMYFUNCTION("IFS(
  AND(REGEXMATCH(E2642, ""台銀籌備帳戶|玉山帳戶""), REGEXMATCH(C2642, ""薪資"")), ""分潤支出"",
  AND(REGEXMATCH(E2642, ""Ben帳戶|Elsa帳戶|Ben代墊|Ariel代墊|中信銀行共用""), REGEXMATCH(F2642, ""Ben帳戶|Elsa帳戶|Ben代墊|Ariel代墊|中信銀行共用"")), ""內部轉帳(忽略)"",
  AND(E2642&lt;&gt;"""", F2642&lt;&gt;"""", N"&amp;"OT(REGEXMATCH(C2642, ""薪資""))), ""內部轉帳(忽略)"",
  REGEXMATCH(C2642, ""薪資""), ""薪資變動(不計入)"",
  REGEXMATCH(C2642, ""押金""), ""押金往來"",
  AND(E2642&lt;&gt;"""", F2642=""""), ""真實支出"",
  AND(E2642="""", F2642&lt;&gt;""""), ""真實收入"",
  TRUE, ""其他""
)"),"真實收入")</f>
        <v>真實收入</v>
      </c>
      <c r="K2642" s="270">
        <f t="shared" si="2"/>
        <v>15800</v>
      </c>
      <c r="L2642">
        <f t="shared" si="3"/>
        <v>0</v>
      </c>
    </row>
    <row r="2643">
      <c r="A2643" s="107">
        <f>IFERROR(__xludf.DUMMYFUNCTION("""COMPUTED_VALUE"""),45931.0)</f>
        <v>45931</v>
      </c>
      <c r="B2643" t="str">
        <f>IFERROR(__xludf.DUMMYFUNCTION("""COMPUTED_VALUE"""),"[哈拉對面] B [鄭又菡] 月租金 後五碼:79539 (行號: 48)")</f>
        <v>[哈拉對面] B [鄭又菡] 月租金 後五碼:79539 (行號: 48)</v>
      </c>
      <c r="C2643" t="str">
        <f>IFERROR(__xludf.DUMMYFUNCTION("""COMPUTED_VALUE"""),"收入 - 租金")</f>
        <v>收入 - 租金</v>
      </c>
      <c r="D2643" s="270">
        <f>IFERROR(__xludf.DUMMYFUNCTION("""COMPUTED_VALUE"""),15800.0)</f>
        <v>15800</v>
      </c>
      <c r="F2643" t="str">
        <f>IFERROR(__xludf.DUMMYFUNCTION("""COMPUTED_VALUE"""),"台銀籌備帳戶")</f>
        <v>台銀籌備帳戶</v>
      </c>
      <c r="G2643" t="str">
        <f>IFERROR(__xludf.DUMMYFUNCTION("""COMPUTED_VALUE"""),"哈拉對面")</f>
        <v>哈拉對面</v>
      </c>
      <c r="H2643" s="106" t="str">
        <f t="shared" si="1"/>
        <v>2025-10</v>
      </c>
      <c r="I2643" s="271" t="str">
        <f>IFERROR(__xludf.DUMMYFUNCTION("""COMPUTED_VALUE"""),"貓狗企鵝")</f>
        <v>貓狗企鵝</v>
      </c>
      <c r="J2643" t="str">
        <f>IFERROR(__xludf.DUMMYFUNCTION("IFS(
  AND(REGEXMATCH(E2643, ""台銀籌備帳戶|玉山帳戶""), REGEXMATCH(C2643, ""薪資"")), ""分潤支出"",
  AND(REGEXMATCH(E2643, ""Ben帳戶|Elsa帳戶|Ben代墊|Ariel代墊|中信銀行共用""), REGEXMATCH(F2643, ""Ben帳戶|Elsa帳戶|Ben代墊|Ariel代墊|中信銀行共用"")), ""內部轉帳(忽略)"",
  AND(E2643&lt;&gt;"""", F2643&lt;&gt;"""", N"&amp;"OT(REGEXMATCH(C2643, ""薪資""))), ""內部轉帳(忽略)"",
  REGEXMATCH(C2643, ""薪資""), ""薪資變動(不計入)"",
  REGEXMATCH(C2643, ""押金""), ""押金往來"",
  AND(E2643&lt;&gt;"""", F2643=""""), ""真實支出"",
  AND(E2643="""", F2643&lt;&gt;""""), ""真實收入"",
  TRUE, ""其他""
)"),"真實收入")</f>
        <v>真實收入</v>
      </c>
      <c r="K2643" s="270">
        <f t="shared" si="2"/>
        <v>15800</v>
      </c>
      <c r="L2643">
        <f t="shared" si="3"/>
        <v>0</v>
      </c>
    </row>
    <row r="2644">
      <c r="A2644" s="107">
        <f>IFERROR(__xludf.DUMMYFUNCTION("""COMPUTED_VALUE"""),45931.0)</f>
        <v>45931</v>
      </c>
      <c r="B2644" t="str">
        <f>IFERROR(__xludf.DUMMYFUNCTION("""COMPUTED_VALUE"""),"[中山北Feli家] D [邱佳慧] 月租金 後五碼:45046 (行號: 49)")</f>
        <v>[中山北Feli家] D [邱佳慧] 月租金 後五碼:45046 (行號: 49)</v>
      </c>
      <c r="C2644" t="str">
        <f>IFERROR(__xludf.DUMMYFUNCTION("""COMPUTED_VALUE"""),"收入 - 租金")</f>
        <v>收入 - 租金</v>
      </c>
      <c r="D2644" s="270">
        <f>IFERROR(__xludf.DUMMYFUNCTION("""COMPUTED_VALUE"""),10800.0)</f>
        <v>10800</v>
      </c>
      <c r="F2644" t="str">
        <f>IFERROR(__xludf.DUMMYFUNCTION("""COMPUTED_VALUE"""),"台銀籌備帳戶")</f>
        <v>台銀籌備帳戶</v>
      </c>
      <c r="G2644" t="str">
        <f>IFERROR(__xludf.DUMMYFUNCTION("""COMPUTED_VALUE"""),"中山北Feli家")</f>
        <v>中山北Feli家</v>
      </c>
      <c r="H2644" s="106" t="str">
        <f t="shared" si="1"/>
        <v>2025-10</v>
      </c>
      <c r="I2644" s="271" t="str">
        <f>IFERROR(__xludf.DUMMYFUNCTION("""COMPUTED_VALUE"""),"貓狗企鵝")</f>
        <v>貓狗企鵝</v>
      </c>
      <c r="J2644" t="str">
        <f>IFERROR(__xludf.DUMMYFUNCTION("IFS(
  AND(REGEXMATCH(E2644, ""台銀籌備帳戶|玉山帳戶""), REGEXMATCH(C2644, ""薪資"")), ""分潤支出"",
  AND(REGEXMATCH(E2644, ""Ben帳戶|Elsa帳戶|Ben代墊|Ariel代墊|中信銀行共用""), REGEXMATCH(F2644, ""Ben帳戶|Elsa帳戶|Ben代墊|Ariel代墊|中信銀行共用"")), ""內部轉帳(忽略)"",
  AND(E2644&lt;&gt;"""", F2644&lt;&gt;"""", N"&amp;"OT(REGEXMATCH(C2644, ""薪資""))), ""內部轉帳(忽略)"",
  REGEXMATCH(C2644, ""薪資""), ""薪資變動(不計入)"",
  REGEXMATCH(C2644, ""押金""), ""押金往來"",
  AND(E2644&lt;&gt;"""", F2644=""""), ""真實支出"",
  AND(E2644="""", F2644&lt;&gt;""""), ""真實收入"",
  TRUE, ""其他""
)"),"真實收入")</f>
        <v>真實收入</v>
      </c>
      <c r="K2644" s="270">
        <f t="shared" si="2"/>
        <v>10800</v>
      </c>
      <c r="L2644">
        <f t="shared" si="3"/>
        <v>0</v>
      </c>
    </row>
    <row r="2645">
      <c r="A2645" s="107">
        <f>IFERROR(__xludf.DUMMYFUNCTION("""COMPUTED_VALUE"""),45931.0)</f>
        <v>45931</v>
      </c>
      <c r="B2645" t="str">
        <f>IFERROR(__xludf.DUMMYFUNCTION("""COMPUTED_VALUE"""),"[景安2分鐘] D [鍾佩晶] 月租金 後五碼:60130 (行號: 50)")</f>
        <v>[景安2分鐘] D [鍾佩晶] 月租金 後五碼:60130 (行號: 50)</v>
      </c>
      <c r="C2645" t="str">
        <f>IFERROR(__xludf.DUMMYFUNCTION("""COMPUTED_VALUE"""),"收入 - 租金")</f>
        <v>收入 - 租金</v>
      </c>
      <c r="D2645" s="270">
        <f>IFERROR(__xludf.DUMMYFUNCTION("""COMPUTED_VALUE"""),8600.0)</f>
        <v>8600</v>
      </c>
      <c r="F2645" t="str">
        <f>IFERROR(__xludf.DUMMYFUNCTION("""COMPUTED_VALUE"""),"台銀籌備帳戶")</f>
        <v>台銀籌備帳戶</v>
      </c>
      <c r="G2645" t="str">
        <f>IFERROR(__xludf.DUMMYFUNCTION("""COMPUTED_VALUE"""),"景安2分鐘")</f>
        <v>景安2分鐘</v>
      </c>
      <c r="H2645" s="106" t="str">
        <f t="shared" si="1"/>
        <v>2025-10</v>
      </c>
      <c r="I2645" s="271" t="str">
        <f>IFERROR(__xludf.DUMMYFUNCTION("""COMPUTED_VALUE"""),"貓狗企鵝")</f>
        <v>貓狗企鵝</v>
      </c>
      <c r="J2645" t="str">
        <f>IFERROR(__xludf.DUMMYFUNCTION("IFS(
  AND(REGEXMATCH(E2645, ""台銀籌備帳戶|玉山帳戶""), REGEXMATCH(C2645, ""薪資"")), ""分潤支出"",
  AND(REGEXMATCH(E2645, ""Ben帳戶|Elsa帳戶|Ben代墊|Ariel代墊|中信銀行共用""), REGEXMATCH(F2645, ""Ben帳戶|Elsa帳戶|Ben代墊|Ariel代墊|中信銀行共用"")), ""內部轉帳(忽略)"",
  AND(E2645&lt;&gt;"""", F2645&lt;&gt;"""", N"&amp;"OT(REGEXMATCH(C2645, ""薪資""))), ""內部轉帳(忽略)"",
  REGEXMATCH(C2645, ""薪資""), ""薪資變動(不計入)"",
  REGEXMATCH(C2645, ""押金""), ""押金往來"",
  AND(E2645&lt;&gt;"""", F2645=""""), ""真實支出"",
  AND(E2645="""", F2645&lt;&gt;""""), ""真實收入"",
  TRUE, ""其他""
)"),"真實收入")</f>
        <v>真實收入</v>
      </c>
      <c r="K2645" s="270">
        <f t="shared" si="2"/>
        <v>8600</v>
      </c>
      <c r="L2645">
        <f t="shared" si="3"/>
        <v>0</v>
      </c>
    </row>
    <row r="2646">
      <c r="A2646" s="107">
        <f>IFERROR(__xludf.DUMMYFUNCTION("""COMPUTED_VALUE"""),45931.0)</f>
        <v>45931</v>
      </c>
      <c r="B2646" t="str">
        <f>IFERROR(__xludf.DUMMYFUNCTION("""COMPUTED_VALUE"""),"[哈拉對面] C [徐鉦庭] 月租金 後五碼:14482 (行號: 51)")</f>
        <v>[哈拉對面] C [徐鉦庭] 月租金 後五碼:14482 (行號: 51)</v>
      </c>
      <c r="C2646" t="str">
        <f>IFERROR(__xludf.DUMMYFUNCTION("""COMPUTED_VALUE"""),"收入 - 租金")</f>
        <v>收入 - 租金</v>
      </c>
      <c r="D2646" s="270">
        <f>IFERROR(__xludf.DUMMYFUNCTION("""COMPUTED_VALUE"""),11800.0)</f>
        <v>11800</v>
      </c>
      <c r="F2646" t="str">
        <f>IFERROR(__xludf.DUMMYFUNCTION("""COMPUTED_VALUE"""),"台銀籌備帳戶")</f>
        <v>台銀籌備帳戶</v>
      </c>
      <c r="G2646" t="str">
        <f>IFERROR(__xludf.DUMMYFUNCTION("""COMPUTED_VALUE"""),"哈拉對面")</f>
        <v>哈拉對面</v>
      </c>
      <c r="H2646" s="106" t="str">
        <f t="shared" si="1"/>
        <v>2025-10</v>
      </c>
      <c r="I2646" s="271" t="str">
        <f>IFERROR(__xludf.DUMMYFUNCTION("""COMPUTED_VALUE"""),"貓狗企鵝")</f>
        <v>貓狗企鵝</v>
      </c>
      <c r="J2646" t="str">
        <f>IFERROR(__xludf.DUMMYFUNCTION("IFS(
  AND(REGEXMATCH(E2646, ""台銀籌備帳戶|玉山帳戶""), REGEXMATCH(C2646, ""薪資"")), ""分潤支出"",
  AND(REGEXMATCH(E2646, ""Ben帳戶|Elsa帳戶|Ben代墊|Ariel代墊|中信銀行共用""), REGEXMATCH(F2646, ""Ben帳戶|Elsa帳戶|Ben代墊|Ariel代墊|中信銀行共用"")), ""內部轉帳(忽略)"",
  AND(E2646&lt;&gt;"""", F2646&lt;&gt;"""", N"&amp;"OT(REGEXMATCH(C2646, ""薪資""))), ""內部轉帳(忽略)"",
  REGEXMATCH(C2646, ""薪資""), ""薪資變動(不計入)"",
  REGEXMATCH(C2646, ""押金""), ""押金往來"",
  AND(E2646&lt;&gt;"""", F2646=""""), ""真實支出"",
  AND(E2646="""", F2646&lt;&gt;""""), ""真實收入"",
  TRUE, ""其他""
)"),"真實收入")</f>
        <v>真實收入</v>
      </c>
      <c r="K2646" s="270">
        <f t="shared" si="2"/>
        <v>11800</v>
      </c>
      <c r="L2646">
        <f t="shared" si="3"/>
        <v>0</v>
      </c>
    </row>
    <row r="2647">
      <c r="A2647" s="107">
        <f>IFERROR(__xludf.DUMMYFUNCTION("""COMPUTED_VALUE"""),45931.0)</f>
        <v>45931</v>
      </c>
      <c r="B2647" t="str">
        <f>IFERROR(__xludf.DUMMYFUNCTION("""COMPUTED_VALUE""")," [大湖山莊] A [涂敏] ")</f>
        <v> [大湖山莊] A [涂敏] </v>
      </c>
      <c r="C2647" t="str">
        <f>IFERROR(__xludf.DUMMYFUNCTION("""COMPUTED_VALUE"""),"收入 - 租金")</f>
        <v>收入 - 租金</v>
      </c>
      <c r="D2647" s="270">
        <f>IFERROR(__xludf.DUMMYFUNCTION("""COMPUTED_VALUE"""),13000.0)</f>
        <v>13000</v>
      </c>
      <c r="F2647" t="str">
        <f>IFERROR(__xludf.DUMMYFUNCTION("""COMPUTED_VALUE"""),"台銀籌備帳戶")</f>
        <v>台銀籌備帳戶</v>
      </c>
      <c r="G2647" t="str">
        <f>IFERROR(__xludf.DUMMYFUNCTION("""COMPUTED_VALUE"""),"大湖山莊")</f>
        <v>大湖山莊</v>
      </c>
      <c r="H2647" s="106" t="str">
        <f t="shared" si="1"/>
        <v>2025-10</v>
      </c>
      <c r="I2647" s="271" t="str">
        <f>IFERROR(__xludf.DUMMYFUNCTION("""COMPUTED_VALUE"""),"貓狗企鵝")</f>
        <v>貓狗企鵝</v>
      </c>
      <c r="J2647" t="str">
        <f>IFERROR(__xludf.DUMMYFUNCTION("IFS(
  AND(REGEXMATCH(E2647, ""台銀籌備帳戶|玉山帳戶""), REGEXMATCH(C2647, ""薪資"")), ""分潤支出"",
  AND(REGEXMATCH(E2647, ""Ben帳戶|Elsa帳戶|Ben代墊|Ariel代墊|中信銀行共用""), REGEXMATCH(F2647, ""Ben帳戶|Elsa帳戶|Ben代墊|Ariel代墊|中信銀行共用"")), ""內部轉帳(忽略)"",
  AND(E2647&lt;&gt;"""", F2647&lt;&gt;"""", N"&amp;"OT(REGEXMATCH(C2647, ""薪資""))), ""內部轉帳(忽略)"",
  REGEXMATCH(C2647, ""薪資""), ""薪資變動(不計入)"",
  REGEXMATCH(C2647, ""押金""), ""押金往來"",
  AND(E2647&lt;&gt;"""", F2647=""""), ""真實支出"",
  AND(E2647="""", F2647&lt;&gt;""""), ""真實收入"",
  TRUE, ""其他""
)"),"真實收入")</f>
        <v>真實收入</v>
      </c>
      <c r="K2647" s="270">
        <f t="shared" si="2"/>
        <v>13000</v>
      </c>
      <c r="L2647">
        <f t="shared" si="3"/>
        <v>0</v>
      </c>
    </row>
    <row r="2648">
      <c r="A2648" s="107">
        <f>IFERROR(__xludf.DUMMYFUNCTION("""COMPUTED_VALUE"""),45931.0)</f>
        <v>45931</v>
      </c>
      <c r="B2648" t="str">
        <f>IFERROR(__xludf.DUMMYFUNCTION("""COMPUTED_VALUE"""),"[永春四號] B [袁家鳳] 月租金 後五碼:31402 (行號: 53)")</f>
        <v>[永春四號] B [袁家鳳] 月租金 後五碼:31402 (行號: 53)</v>
      </c>
      <c r="C2648" t="str">
        <f>IFERROR(__xludf.DUMMYFUNCTION("""COMPUTED_VALUE"""),"收入 - 租金")</f>
        <v>收入 - 租金</v>
      </c>
      <c r="D2648" s="270">
        <f>IFERROR(__xludf.DUMMYFUNCTION("""COMPUTED_VALUE"""),13500.0)</f>
        <v>13500</v>
      </c>
      <c r="F2648" t="str">
        <f>IFERROR(__xludf.DUMMYFUNCTION("""COMPUTED_VALUE"""),"台銀籌備帳戶")</f>
        <v>台銀籌備帳戶</v>
      </c>
      <c r="G2648" t="str">
        <f>IFERROR(__xludf.DUMMYFUNCTION("""COMPUTED_VALUE"""),"永春四號")</f>
        <v>永春四號</v>
      </c>
      <c r="H2648" s="106" t="str">
        <f t="shared" si="1"/>
        <v>2025-10</v>
      </c>
      <c r="I2648" s="271" t="str">
        <f>IFERROR(__xludf.DUMMYFUNCTION("""COMPUTED_VALUE"""),"貓狗企鵝")</f>
        <v>貓狗企鵝</v>
      </c>
      <c r="J2648" t="str">
        <f>IFERROR(__xludf.DUMMYFUNCTION("IFS(
  AND(REGEXMATCH(E2648, ""台銀籌備帳戶|玉山帳戶""), REGEXMATCH(C2648, ""薪資"")), ""分潤支出"",
  AND(REGEXMATCH(E2648, ""Ben帳戶|Elsa帳戶|Ben代墊|Ariel代墊|中信銀行共用""), REGEXMATCH(F2648, ""Ben帳戶|Elsa帳戶|Ben代墊|Ariel代墊|中信銀行共用"")), ""內部轉帳(忽略)"",
  AND(E2648&lt;&gt;"""", F2648&lt;&gt;"""", N"&amp;"OT(REGEXMATCH(C2648, ""薪資""))), ""內部轉帳(忽略)"",
  REGEXMATCH(C2648, ""薪資""), ""薪資變動(不計入)"",
  REGEXMATCH(C2648, ""押金""), ""押金往來"",
  AND(E2648&lt;&gt;"""", F2648=""""), ""真實支出"",
  AND(E2648="""", F2648&lt;&gt;""""), ""真實收入"",
  TRUE, ""其他""
)"),"真實收入")</f>
        <v>真實收入</v>
      </c>
      <c r="K2648" s="270">
        <f t="shared" si="2"/>
        <v>13500</v>
      </c>
      <c r="L2648">
        <f t="shared" si="3"/>
        <v>0</v>
      </c>
    </row>
    <row r="2649">
      <c r="A2649" s="107">
        <f>IFERROR(__xludf.DUMMYFUNCTION("""COMPUTED_VALUE"""),45931.0)</f>
        <v>45931</v>
      </c>
      <c r="B2649" t="str">
        <f>IFERROR(__xludf.DUMMYFUNCTION("""COMPUTED_VALUE"""),"[書香民生] A [曾蘋儀] 月租金 後五碼:73611 (行號: 54)")</f>
        <v>[書香民生] A [曾蘋儀] 月租金 後五碼:73611 (行號: 54)</v>
      </c>
      <c r="C2649" t="str">
        <f>IFERROR(__xludf.DUMMYFUNCTION("""COMPUTED_VALUE"""),"收入 - 租金")</f>
        <v>收入 - 租金</v>
      </c>
      <c r="D2649" s="270">
        <f>IFERROR(__xludf.DUMMYFUNCTION("""COMPUTED_VALUE"""),13300.0)</f>
        <v>13300</v>
      </c>
      <c r="F2649" t="str">
        <f>IFERROR(__xludf.DUMMYFUNCTION("""COMPUTED_VALUE"""),"台銀籌備帳戶")</f>
        <v>台銀籌備帳戶</v>
      </c>
      <c r="G2649" t="str">
        <f>IFERROR(__xludf.DUMMYFUNCTION("""COMPUTED_VALUE"""),"書香民生")</f>
        <v>書香民生</v>
      </c>
      <c r="H2649" s="106" t="str">
        <f t="shared" si="1"/>
        <v>2025-10</v>
      </c>
      <c r="I2649" s="271" t="str">
        <f>IFERROR(__xludf.DUMMYFUNCTION("""COMPUTED_VALUE"""),"貓狗企鵝")</f>
        <v>貓狗企鵝</v>
      </c>
      <c r="J2649" t="str">
        <f>IFERROR(__xludf.DUMMYFUNCTION("IFS(
  AND(REGEXMATCH(E2649, ""台銀籌備帳戶|玉山帳戶""), REGEXMATCH(C2649, ""薪資"")), ""分潤支出"",
  AND(REGEXMATCH(E2649, ""Ben帳戶|Elsa帳戶|Ben代墊|Ariel代墊|中信銀行共用""), REGEXMATCH(F2649, ""Ben帳戶|Elsa帳戶|Ben代墊|Ariel代墊|中信銀行共用"")), ""內部轉帳(忽略)"",
  AND(E2649&lt;&gt;"""", F2649&lt;&gt;"""", N"&amp;"OT(REGEXMATCH(C2649, ""薪資""))), ""內部轉帳(忽略)"",
  REGEXMATCH(C2649, ""薪資""), ""薪資變動(不計入)"",
  REGEXMATCH(C2649, ""押金""), ""押金往來"",
  AND(E2649&lt;&gt;"""", F2649=""""), ""真實支出"",
  AND(E2649="""", F2649&lt;&gt;""""), ""真實收入"",
  TRUE, ""其他""
)"),"真實收入")</f>
        <v>真實收入</v>
      </c>
      <c r="K2649" s="270">
        <f t="shared" si="2"/>
        <v>13300</v>
      </c>
      <c r="L2649">
        <f t="shared" si="3"/>
        <v>0</v>
      </c>
    </row>
    <row r="2650">
      <c r="A2650" s="107">
        <f>IFERROR(__xludf.DUMMYFUNCTION("""COMPUTED_VALUE"""),45931.0)</f>
        <v>45931</v>
      </c>
      <c r="B2650" t="str">
        <f>IFERROR(__xludf.DUMMYFUNCTION("""COMPUTED_VALUE"""),"[市府爺爺家] A [董書鵬, 張瑋珊] 月租金 後五碼:44967 (行號: 55)")</f>
        <v>[市府爺爺家] A [董書鵬, 張瑋珊] 月租金 後五碼:44967 (行號: 55)</v>
      </c>
      <c r="C2650" t="str">
        <f>IFERROR(__xludf.DUMMYFUNCTION("""COMPUTED_VALUE"""),"收入 - 租金")</f>
        <v>收入 - 租金</v>
      </c>
      <c r="D2650" s="270">
        <f>IFERROR(__xludf.DUMMYFUNCTION("""COMPUTED_VALUE"""),22000.0)</f>
        <v>22000</v>
      </c>
      <c r="F2650" t="str">
        <f>IFERROR(__xludf.DUMMYFUNCTION("""COMPUTED_VALUE"""),"台銀籌備帳戶")</f>
        <v>台銀籌備帳戶</v>
      </c>
      <c r="G2650" t="str">
        <f>IFERROR(__xludf.DUMMYFUNCTION("""COMPUTED_VALUE"""),"市府爺爺家")</f>
        <v>市府爺爺家</v>
      </c>
      <c r="H2650" s="106" t="str">
        <f t="shared" si="1"/>
        <v>2025-10</v>
      </c>
      <c r="I2650" s="271" t="str">
        <f>IFERROR(__xludf.DUMMYFUNCTION("""COMPUTED_VALUE"""),"貓狗企鵝")</f>
        <v>貓狗企鵝</v>
      </c>
      <c r="J2650" t="str">
        <f>IFERROR(__xludf.DUMMYFUNCTION("IFS(
  AND(REGEXMATCH(E2650, ""台銀籌備帳戶|玉山帳戶""), REGEXMATCH(C2650, ""薪資"")), ""分潤支出"",
  AND(REGEXMATCH(E2650, ""Ben帳戶|Elsa帳戶|Ben代墊|Ariel代墊|中信銀行共用""), REGEXMATCH(F2650, ""Ben帳戶|Elsa帳戶|Ben代墊|Ariel代墊|中信銀行共用"")), ""內部轉帳(忽略)"",
  AND(E2650&lt;&gt;"""", F2650&lt;&gt;"""", N"&amp;"OT(REGEXMATCH(C2650, ""薪資""))), ""內部轉帳(忽略)"",
  REGEXMATCH(C2650, ""薪資""), ""薪資變動(不計入)"",
  REGEXMATCH(C2650, ""押金""), ""押金往來"",
  AND(E2650&lt;&gt;"""", F2650=""""), ""真實支出"",
  AND(E2650="""", F2650&lt;&gt;""""), ""真實收入"",
  TRUE, ""其他""
)"),"真實收入")</f>
        <v>真實收入</v>
      </c>
      <c r="K2650" s="270">
        <f t="shared" si="2"/>
        <v>22000</v>
      </c>
      <c r="L2650">
        <f t="shared" si="3"/>
        <v>0</v>
      </c>
    </row>
    <row r="2651">
      <c r="A2651" s="107">
        <f>IFERROR(__xludf.DUMMYFUNCTION("""COMPUTED_VALUE"""),45931.0)</f>
        <v>45931</v>
      </c>
      <c r="B2651" t="str">
        <f>IFERROR(__xludf.DUMMYFUNCTION("""COMPUTED_VALUE"""),"[大湖山莊] D [陳昭瑄] 月租金 後五碼:57000 (行號: 56)")</f>
        <v>[大湖山莊] D [陳昭瑄] 月租金 後五碼:57000 (行號: 56)</v>
      </c>
      <c r="C2651" t="str">
        <f>IFERROR(__xludf.DUMMYFUNCTION("""COMPUTED_VALUE"""),"收入 - 租金")</f>
        <v>收入 - 租金</v>
      </c>
      <c r="D2651" s="270">
        <f>IFERROR(__xludf.DUMMYFUNCTION("""COMPUTED_VALUE"""),14300.0)</f>
        <v>14300</v>
      </c>
      <c r="F2651" t="str">
        <f>IFERROR(__xludf.DUMMYFUNCTION("""COMPUTED_VALUE"""),"台銀籌備帳戶")</f>
        <v>台銀籌備帳戶</v>
      </c>
      <c r="G2651" t="str">
        <f>IFERROR(__xludf.DUMMYFUNCTION("""COMPUTED_VALUE"""),"大湖山莊")</f>
        <v>大湖山莊</v>
      </c>
      <c r="H2651" s="106" t="str">
        <f t="shared" si="1"/>
        <v>2025-10</v>
      </c>
      <c r="I2651" s="271" t="str">
        <f>IFERROR(__xludf.DUMMYFUNCTION("""COMPUTED_VALUE"""),"貓狗企鵝")</f>
        <v>貓狗企鵝</v>
      </c>
      <c r="J2651" t="str">
        <f>IFERROR(__xludf.DUMMYFUNCTION("IFS(
  AND(REGEXMATCH(E2651, ""台銀籌備帳戶|玉山帳戶""), REGEXMATCH(C2651, ""薪資"")), ""分潤支出"",
  AND(REGEXMATCH(E2651, ""Ben帳戶|Elsa帳戶|Ben代墊|Ariel代墊|中信銀行共用""), REGEXMATCH(F2651, ""Ben帳戶|Elsa帳戶|Ben代墊|Ariel代墊|中信銀行共用"")), ""內部轉帳(忽略)"",
  AND(E2651&lt;&gt;"""", F2651&lt;&gt;"""", N"&amp;"OT(REGEXMATCH(C2651, ""薪資""))), ""內部轉帳(忽略)"",
  REGEXMATCH(C2651, ""薪資""), ""薪資變動(不計入)"",
  REGEXMATCH(C2651, ""押金""), ""押金往來"",
  AND(E2651&lt;&gt;"""", F2651=""""), ""真實支出"",
  AND(E2651="""", F2651&lt;&gt;""""), ""真實收入"",
  TRUE, ""其他""
)"),"真實收入")</f>
        <v>真實收入</v>
      </c>
      <c r="K2651" s="270">
        <f t="shared" si="2"/>
        <v>14300</v>
      </c>
      <c r="L2651">
        <f t="shared" si="3"/>
        <v>0</v>
      </c>
    </row>
    <row r="2652">
      <c r="A2652" s="107">
        <f>IFERROR(__xludf.DUMMYFUNCTION("""COMPUTED_VALUE"""),45931.0)</f>
        <v>45931</v>
      </c>
      <c r="B2652" t="str">
        <f>IFERROR(__xludf.DUMMYFUNCTION("""COMPUTED_VALUE"""),"[永春四號] C [林聿妡] 月租金 後五碼:47900 (行號: 58)")</f>
        <v>[永春四號] C [林聿妡] 月租金 後五碼:47900 (行號: 58)</v>
      </c>
      <c r="C2652" t="str">
        <f>IFERROR(__xludf.DUMMYFUNCTION("""COMPUTED_VALUE"""),"收入 - 租金")</f>
        <v>收入 - 租金</v>
      </c>
      <c r="D2652" s="270">
        <f>IFERROR(__xludf.DUMMYFUNCTION("""COMPUTED_VALUE"""),12800.0)</f>
        <v>12800</v>
      </c>
      <c r="F2652" t="str">
        <f>IFERROR(__xludf.DUMMYFUNCTION("""COMPUTED_VALUE"""),"台銀籌備帳戶")</f>
        <v>台銀籌備帳戶</v>
      </c>
      <c r="G2652" t="str">
        <f>IFERROR(__xludf.DUMMYFUNCTION("""COMPUTED_VALUE"""),"永春四號")</f>
        <v>永春四號</v>
      </c>
      <c r="H2652" s="106" t="str">
        <f t="shared" si="1"/>
        <v>2025-10</v>
      </c>
      <c r="I2652" s="271" t="str">
        <f>IFERROR(__xludf.DUMMYFUNCTION("""COMPUTED_VALUE"""),"貓狗企鵝")</f>
        <v>貓狗企鵝</v>
      </c>
      <c r="J2652" t="str">
        <f>IFERROR(__xludf.DUMMYFUNCTION("IFS(
  AND(REGEXMATCH(E2652, ""台銀籌備帳戶|玉山帳戶""), REGEXMATCH(C2652, ""薪資"")), ""分潤支出"",
  AND(REGEXMATCH(E2652, ""Ben帳戶|Elsa帳戶|Ben代墊|Ariel代墊|中信銀行共用""), REGEXMATCH(F2652, ""Ben帳戶|Elsa帳戶|Ben代墊|Ariel代墊|中信銀行共用"")), ""內部轉帳(忽略)"",
  AND(E2652&lt;&gt;"""", F2652&lt;&gt;"""", N"&amp;"OT(REGEXMATCH(C2652, ""薪資""))), ""內部轉帳(忽略)"",
  REGEXMATCH(C2652, ""薪資""), ""薪資變動(不計入)"",
  REGEXMATCH(C2652, ""押金""), ""押金往來"",
  AND(E2652&lt;&gt;"""", F2652=""""), ""真實支出"",
  AND(E2652="""", F2652&lt;&gt;""""), ""真實收入"",
  TRUE, ""其他""
)"),"真實收入")</f>
        <v>真實收入</v>
      </c>
      <c r="K2652" s="270">
        <f t="shared" si="2"/>
        <v>12800</v>
      </c>
      <c r="L2652">
        <f t="shared" si="3"/>
        <v>0</v>
      </c>
    </row>
    <row r="2653">
      <c r="A2653" s="107">
        <f>IFERROR(__xludf.DUMMYFUNCTION("""COMPUTED_VALUE"""),45931.0)</f>
        <v>45931</v>
      </c>
      <c r="B2653" t="str">
        <f>IFERROR(__xludf.DUMMYFUNCTION("""COMPUTED_VALUE"""),"[中山北娘家旁] D [洪琦媜] 月租金 後五碼:25359 (行號: 59)")</f>
        <v>[中山北娘家旁] D [洪琦媜] 月租金 後五碼:25359 (行號: 59)</v>
      </c>
      <c r="C2653" t="str">
        <f>IFERROR(__xludf.DUMMYFUNCTION("""COMPUTED_VALUE"""),"收入 - 租金")</f>
        <v>收入 - 租金</v>
      </c>
      <c r="D2653" s="270">
        <f>IFERROR(__xludf.DUMMYFUNCTION("""COMPUTED_VALUE"""),14500.0)</f>
        <v>14500</v>
      </c>
      <c r="F2653" t="str">
        <f>IFERROR(__xludf.DUMMYFUNCTION("""COMPUTED_VALUE"""),"台銀籌備帳戶")</f>
        <v>台銀籌備帳戶</v>
      </c>
      <c r="G2653" t="str">
        <f>IFERROR(__xludf.DUMMYFUNCTION("""COMPUTED_VALUE"""),"中山北娘家旁")</f>
        <v>中山北娘家旁</v>
      </c>
      <c r="H2653" s="106" t="str">
        <f t="shared" si="1"/>
        <v>2025-10</v>
      </c>
      <c r="I2653" s="271" t="str">
        <f>IFERROR(__xludf.DUMMYFUNCTION("""COMPUTED_VALUE"""),"貓狗企鵝")</f>
        <v>貓狗企鵝</v>
      </c>
      <c r="J2653" t="str">
        <f>IFERROR(__xludf.DUMMYFUNCTION("IFS(
  AND(REGEXMATCH(E2653, ""台銀籌備帳戶|玉山帳戶""), REGEXMATCH(C2653, ""薪資"")), ""分潤支出"",
  AND(REGEXMATCH(E2653, ""Ben帳戶|Elsa帳戶|Ben代墊|Ariel代墊|中信銀行共用""), REGEXMATCH(F2653, ""Ben帳戶|Elsa帳戶|Ben代墊|Ariel代墊|中信銀行共用"")), ""內部轉帳(忽略)"",
  AND(E2653&lt;&gt;"""", F2653&lt;&gt;"""", N"&amp;"OT(REGEXMATCH(C2653, ""薪資""))), ""內部轉帳(忽略)"",
  REGEXMATCH(C2653, ""薪資""), ""薪資變動(不計入)"",
  REGEXMATCH(C2653, ""押金""), ""押金往來"",
  AND(E2653&lt;&gt;"""", F2653=""""), ""真實支出"",
  AND(E2653="""", F2653&lt;&gt;""""), ""真實收入"",
  TRUE, ""其他""
)"),"真實收入")</f>
        <v>真實收入</v>
      </c>
      <c r="K2653" s="270">
        <f t="shared" si="2"/>
        <v>14500</v>
      </c>
      <c r="L2653">
        <f t="shared" si="3"/>
        <v>0</v>
      </c>
    </row>
    <row r="2654">
      <c r="A2654" s="107">
        <f>IFERROR(__xludf.DUMMYFUNCTION("""COMPUTED_VALUE"""),45931.0)</f>
        <v>45931</v>
      </c>
      <c r="B2654" t="str">
        <f>IFERROR(__xludf.DUMMYFUNCTION("""COMPUTED_VALUE"""),"[南港站挑高宅] C [吳佳叡] 月租金 後五碼:64976 (行號: 60)")</f>
        <v>[南港站挑高宅] C [吳佳叡] 月租金 後五碼:64976 (行號: 60)</v>
      </c>
      <c r="C2654" t="str">
        <f>IFERROR(__xludf.DUMMYFUNCTION("""COMPUTED_VALUE"""),"收入 - 租金")</f>
        <v>收入 - 租金</v>
      </c>
      <c r="D2654" s="270">
        <f>IFERROR(__xludf.DUMMYFUNCTION("""COMPUTED_VALUE"""),15000.0)</f>
        <v>15000</v>
      </c>
      <c r="F2654" t="str">
        <f>IFERROR(__xludf.DUMMYFUNCTION("""COMPUTED_VALUE"""),"台銀籌備帳戶")</f>
        <v>台銀籌備帳戶</v>
      </c>
      <c r="G2654" t="str">
        <f>IFERROR(__xludf.DUMMYFUNCTION("""COMPUTED_VALUE"""),"南港站挑高宅")</f>
        <v>南港站挑高宅</v>
      </c>
      <c r="H2654" s="106" t="str">
        <f t="shared" si="1"/>
        <v>2025-10</v>
      </c>
      <c r="I2654" s="271" t="str">
        <f>IFERROR(__xludf.DUMMYFUNCTION("""COMPUTED_VALUE"""),"貓狗企鵝")</f>
        <v>貓狗企鵝</v>
      </c>
      <c r="J2654" t="str">
        <f>IFERROR(__xludf.DUMMYFUNCTION("IFS(
  AND(REGEXMATCH(E2654, ""台銀籌備帳戶|玉山帳戶""), REGEXMATCH(C2654, ""薪資"")), ""分潤支出"",
  AND(REGEXMATCH(E2654, ""Ben帳戶|Elsa帳戶|Ben代墊|Ariel代墊|中信銀行共用""), REGEXMATCH(F2654, ""Ben帳戶|Elsa帳戶|Ben代墊|Ariel代墊|中信銀行共用"")), ""內部轉帳(忽略)"",
  AND(E2654&lt;&gt;"""", F2654&lt;&gt;"""", N"&amp;"OT(REGEXMATCH(C2654, ""薪資""))), ""內部轉帳(忽略)"",
  REGEXMATCH(C2654, ""薪資""), ""薪資變動(不計入)"",
  REGEXMATCH(C2654, ""押金""), ""押金往來"",
  AND(E2654&lt;&gt;"""", F2654=""""), ""真實支出"",
  AND(E2654="""", F2654&lt;&gt;""""), ""真實收入"",
  TRUE, ""其他""
)"),"真實收入")</f>
        <v>真實收入</v>
      </c>
      <c r="K2654" s="270">
        <f t="shared" si="2"/>
        <v>15000</v>
      </c>
      <c r="L2654">
        <f t="shared" si="3"/>
        <v>0</v>
      </c>
    </row>
    <row r="2655">
      <c r="A2655" s="107">
        <f>IFERROR(__xludf.DUMMYFUNCTION("""COMPUTED_VALUE"""),45931.0)</f>
        <v>45931</v>
      </c>
      <c r="B2655" t="str">
        <f>IFERROR(__xludf.DUMMYFUNCTION("""COMPUTED_VALUE"""),"[南港站挑高宅] D [吳城慕] 月租金 後五碼:10279 (行號: 61)")</f>
        <v>[南港站挑高宅] D [吳城慕] 月租金 後五碼:10279 (行號: 61)</v>
      </c>
      <c r="C2655" t="str">
        <f>IFERROR(__xludf.DUMMYFUNCTION("""COMPUTED_VALUE"""),"收入 - 租金")</f>
        <v>收入 - 租金</v>
      </c>
      <c r="D2655" s="270">
        <f>IFERROR(__xludf.DUMMYFUNCTION("""COMPUTED_VALUE"""),13800.0)</f>
        <v>13800</v>
      </c>
      <c r="F2655" t="str">
        <f>IFERROR(__xludf.DUMMYFUNCTION("""COMPUTED_VALUE"""),"台銀籌備帳戶")</f>
        <v>台銀籌備帳戶</v>
      </c>
      <c r="G2655" t="str">
        <f>IFERROR(__xludf.DUMMYFUNCTION("""COMPUTED_VALUE"""),"南港站挑高宅")</f>
        <v>南港站挑高宅</v>
      </c>
      <c r="H2655" s="106" t="str">
        <f t="shared" si="1"/>
        <v>2025-10</v>
      </c>
      <c r="I2655" s="271" t="str">
        <f>IFERROR(__xludf.DUMMYFUNCTION("""COMPUTED_VALUE"""),"貓狗企鵝")</f>
        <v>貓狗企鵝</v>
      </c>
      <c r="J2655" t="str">
        <f>IFERROR(__xludf.DUMMYFUNCTION("IFS(
  AND(REGEXMATCH(E2655, ""台銀籌備帳戶|玉山帳戶""), REGEXMATCH(C2655, ""薪資"")), ""分潤支出"",
  AND(REGEXMATCH(E2655, ""Ben帳戶|Elsa帳戶|Ben代墊|Ariel代墊|中信銀行共用""), REGEXMATCH(F2655, ""Ben帳戶|Elsa帳戶|Ben代墊|Ariel代墊|中信銀行共用"")), ""內部轉帳(忽略)"",
  AND(E2655&lt;&gt;"""", F2655&lt;&gt;"""", N"&amp;"OT(REGEXMATCH(C2655, ""薪資""))), ""內部轉帳(忽略)"",
  REGEXMATCH(C2655, ""薪資""), ""薪資變動(不計入)"",
  REGEXMATCH(C2655, ""押金""), ""押金往來"",
  AND(E2655&lt;&gt;"""", F2655=""""), ""真實支出"",
  AND(E2655="""", F2655&lt;&gt;""""), ""真實收入"",
  TRUE, ""其他""
)"),"真實收入")</f>
        <v>真實收入</v>
      </c>
      <c r="K2655" s="270">
        <f t="shared" si="2"/>
        <v>13800</v>
      </c>
      <c r="L2655">
        <f t="shared" si="3"/>
        <v>0</v>
      </c>
    </row>
    <row r="2656">
      <c r="A2656" s="107">
        <f>IFERROR(__xludf.DUMMYFUNCTION("""COMPUTED_VALUE"""),45931.0)</f>
        <v>45931</v>
      </c>
      <c r="B2656" t="str">
        <f>IFERROR(__xludf.DUMMYFUNCTION("""COMPUTED_VALUE"""),"[北醫醫師府] C [余典蓉] 月租金 後五碼:44027 (行號: 63)")</f>
        <v>[北醫醫師府] C [余典蓉] 月租金 後五碼:44027 (行號: 63)</v>
      </c>
      <c r="C2656" t="str">
        <f>IFERROR(__xludf.DUMMYFUNCTION("""COMPUTED_VALUE"""),"收入 - 租金")</f>
        <v>收入 - 租金</v>
      </c>
      <c r="D2656" s="270">
        <f>IFERROR(__xludf.DUMMYFUNCTION("""COMPUTED_VALUE"""),13000.0)</f>
        <v>13000</v>
      </c>
      <c r="F2656" t="str">
        <f>IFERROR(__xludf.DUMMYFUNCTION("""COMPUTED_VALUE"""),"台銀籌備帳戶")</f>
        <v>台銀籌備帳戶</v>
      </c>
      <c r="G2656" t="str">
        <f>IFERROR(__xludf.DUMMYFUNCTION("""COMPUTED_VALUE"""),"北醫醫師府")</f>
        <v>北醫醫師府</v>
      </c>
      <c r="H2656" s="106" t="str">
        <f t="shared" si="1"/>
        <v>2025-10</v>
      </c>
      <c r="I2656" s="271" t="str">
        <f>IFERROR(__xludf.DUMMYFUNCTION("""COMPUTED_VALUE"""),"貓狗企鵝")</f>
        <v>貓狗企鵝</v>
      </c>
      <c r="J2656" t="str">
        <f>IFERROR(__xludf.DUMMYFUNCTION("IFS(
  AND(REGEXMATCH(E2656, ""台銀籌備帳戶|玉山帳戶""), REGEXMATCH(C2656, ""薪資"")), ""分潤支出"",
  AND(REGEXMATCH(E2656, ""Ben帳戶|Elsa帳戶|Ben代墊|Ariel代墊|中信銀行共用""), REGEXMATCH(F2656, ""Ben帳戶|Elsa帳戶|Ben代墊|Ariel代墊|中信銀行共用"")), ""內部轉帳(忽略)"",
  AND(E2656&lt;&gt;"""", F2656&lt;&gt;"""", N"&amp;"OT(REGEXMATCH(C2656, ""薪資""))), ""內部轉帳(忽略)"",
  REGEXMATCH(C2656, ""薪資""), ""薪資變動(不計入)"",
  REGEXMATCH(C2656, ""押金""), ""押金往來"",
  AND(E2656&lt;&gt;"""", F2656=""""), ""真實支出"",
  AND(E2656="""", F2656&lt;&gt;""""), ""真實收入"",
  TRUE, ""其他""
)"),"真實收入")</f>
        <v>真實收入</v>
      </c>
      <c r="K2656" s="270">
        <f t="shared" si="2"/>
        <v>13000</v>
      </c>
      <c r="L2656">
        <f t="shared" si="3"/>
        <v>0</v>
      </c>
    </row>
    <row r="2657">
      <c r="A2657" s="107">
        <f>IFERROR(__xludf.DUMMYFUNCTION("""COMPUTED_VALUE"""),45931.0)</f>
        <v>45931</v>
      </c>
      <c r="B2657" t="str">
        <f>IFERROR(__xludf.DUMMYFUNCTION("""COMPUTED_VALUE"""),"[中山北娘家旁] A [李亨加] 月租金 後五碼:86076 (行號: 64, 65)")</f>
        <v>[中山北娘家旁] A [李亨加] 月租金 後五碼:86076 (行號: 64, 65)</v>
      </c>
      <c r="C2657" t="str">
        <f>IFERROR(__xludf.DUMMYFUNCTION("""COMPUTED_VALUE"""),"收入 - 租金")</f>
        <v>收入 - 租金</v>
      </c>
      <c r="D2657" s="270">
        <f>IFERROR(__xludf.DUMMYFUNCTION("""COMPUTED_VALUE"""),12500.0)</f>
        <v>12500</v>
      </c>
      <c r="F2657" t="str">
        <f>IFERROR(__xludf.DUMMYFUNCTION("""COMPUTED_VALUE"""),"台銀籌備帳戶")</f>
        <v>台銀籌備帳戶</v>
      </c>
      <c r="G2657" t="str">
        <f>IFERROR(__xludf.DUMMYFUNCTION("""COMPUTED_VALUE"""),"中山北娘家旁")</f>
        <v>中山北娘家旁</v>
      </c>
      <c r="H2657" s="106" t="str">
        <f t="shared" si="1"/>
        <v>2025-10</v>
      </c>
      <c r="I2657" s="271" t="str">
        <f>IFERROR(__xludf.DUMMYFUNCTION("""COMPUTED_VALUE"""),"貓狗企鵝")</f>
        <v>貓狗企鵝</v>
      </c>
      <c r="J2657" t="str">
        <f>IFERROR(__xludf.DUMMYFUNCTION("IFS(
  AND(REGEXMATCH(E2657, ""台銀籌備帳戶|玉山帳戶""), REGEXMATCH(C2657, ""薪資"")), ""分潤支出"",
  AND(REGEXMATCH(E2657, ""Ben帳戶|Elsa帳戶|Ben代墊|Ariel代墊|中信銀行共用""), REGEXMATCH(F2657, ""Ben帳戶|Elsa帳戶|Ben代墊|Ariel代墊|中信銀行共用"")), ""內部轉帳(忽略)"",
  AND(E2657&lt;&gt;"""", F2657&lt;&gt;"""", N"&amp;"OT(REGEXMATCH(C2657, ""薪資""))), ""內部轉帳(忽略)"",
  REGEXMATCH(C2657, ""薪資""), ""薪資變動(不計入)"",
  REGEXMATCH(C2657, ""押金""), ""押金往來"",
  AND(E2657&lt;&gt;"""", F2657=""""), ""真實支出"",
  AND(E2657="""", F2657&lt;&gt;""""), ""真實收入"",
  TRUE, ""其他""
)"),"真實收入")</f>
        <v>真實收入</v>
      </c>
      <c r="K2657" s="270">
        <f t="shared" si="2"/>
        <v>12500</v>
      </c>
      <c r="L2657">
        <f t="shared" si="3"/>
        <v>0</v>
      </c>
    </row>
    <row r="2658">
      <c r="A2658" s="107">
        <f>IFERROR(__xludf.DUMMYFUNCTION("""COMPUTED_VALUE"""),45931.0)</f>
        <v>45931</v>
      </c>
      <c r="B2658" t="str">
        <f>IFERROR(__xludf.DUMMYFUNCTION("""COMPUTED_VALUE"""),"[中山北Feli家] C [郭亞潔] 月租金 後五碼:84909 (行號: 68)")</f>
        <v>[中山北Feli家] C [郭亞潔] 月租金 後五碼:84909 (行號: 68)</v>
      </c>
      <c r="C2658" t="str">
        <f>IFERROR(__xludf.DUMMYFUNCTION("""COMPUTED_VALUE"""),"收入 - 租金")</f>
        <v>收入 - 租金</v>
      </c>
      <c r="D2658" s="270">
        <f>IFERROR(__xludf.DUMMYFUNCTION("""COMPUTED_VALUE"""),11500.0)</f>
        <v>11500</v>
      </c>
      <c r="F2658" t="str">
        <f>IFERROR(__xludf.DUMMYFUNCTION("""COMPUTED_VALUE"""),"台銀籌備帳戶")</f>
        <v>台銀籌備帳戶</v>
      </c>
      <c r="G2658" t="str">
        <f>IFERROR(__xludf.DUMMYFUNCTION("""COMPUTED_VALUE"""),"中山北Feli家")</f>
        <v>中山北Feli家</v>
      </c>
      <c r="H2658" s="106" t="str">
        <f t="shared" si="1"/>
        <v>2025-10</v>
      </c>
      <c r="I2658" s="271" t="str">
        <f>IFERROR(__xludf.DUMMYFUNCTION("""COMPUTED_VALUE"""),"貓狗企鵝")</f>
        <v>貓狗企鵝</v>
      </c>
      <c r="J2658" t="str">
        <f>IFERROR(__xludf.DUMMYFUNCTION("IFS(
  AND(REGEXMATCH(E2658, ""台銀籌備帳戶|玉山帳戶""), REGEXMATCH(C2658, ""薪資"")), ""分潤支出"",
  AND(REGEXMATCH(E2658, ""Ben帳戶|Elsa帳戶|Ben代墊|Ariel代墊|中信銀行共用""), REGEXMATCH(F2658, ""Ben帳戶|Elsa帳戶|Ben代墊|Ariel代墊|中信銀行共用"")), ""內部轉帳(忽略)"",
  AND(E2658&lt;&gt;"""", F2658&lt;&gt;"""", N"&amp;"OT(REGEXMATCH(C2658, ""薪資""))), ""內部轉帳(忽略)"",
  REGEXMATCH(C2658, ""薪資""), ""薪資變動(不計入)"",
  REGEXMATCH(C2658, ""押金""), ""押金往來"",
  AND(E2658&lt;&gt;"""", F2658=""""), ""真實支出"",
  AND(E2658="""", F2658&lt;&gt;""""), ""真實收入"",
  TRUE, ""其他""
)"),"真實收入")</f>
        <v>真實收入</v>
      </c>
      <c r="K2658" s="270">
        <f t="shared" si="2"/>
        <v>11500</v>
      </c>
      <c r="L2658">
        <f t="shared" si="3"/>
        <v>0</v>
      </c>
    </row>
    <row r="2659">
      <c r="A2659" s="107">
        <f>IFERROR(__xludf.DUMMYFUNCTION("""COMPUTED_VALUE"""),45931.0)</f>
        <v>45931</v>
      </c>
      <c r="B2659" t="str">
        <f>IFERROR(__xludf.DUMMYFUNCTION("""COMPUTED_VALUE"""),"[書香民生] G [朱彥蓉] 月租金 後五碼:82950 (行號: 69)")</f>
        <v>[書香民生] G [朱彥蓉] 月租金 後五碼:82950 (行號: 69)</v>
      </c>
      <c r="C2659" t="str">
        <f>IFERROR(__xludf.DUMMYFUNCTION("""COMPUTED_VALUE"""),"收入 - 租金")</f>
        <v>收入 - 租金</v>
      </c>
      <c r="D2659" s="270">
        <f>IFERROR(__xludf.DUMMYFUNCTION("""COMPUTED_VALUE"""),16800.0)</f>
        <v>16800</v>
      </c>
      <c r="F2659" t="str">
        <f>IFERROR(__xludf.DUMMYFUNCTION("""COMPUTED_VALUE"""),"台銀籌備帳戶")</f>
        <v>台銀籌備帳戶</v>
      </c>
      <c r="G2659" t="str">
        <f>IFERROR(__xludf.DUMMYFUNCTION("""COMPUTED_VALUE"""),"書香民生")</f>
        <v>書香民生</v>
      </c>
      <c r="H2659" s="106" t="str">
        <f t="shared" si="1"/>
        <v>2025-10</v>
      </c>
      <c r="I2659" s="271" t="str">
        <f>IFERROR(__xludf.DUMMYFUNCTION("""COMPUTED_VALUE"""),"貓狗企鵝")</f>
        <v>貓狗企鵝</v>
      </c>
      <c r="J2659" t="str">
        <f>IFERROR(__xludf.DUMMYFUNCTION("IFS(
  AND(REGEXMATCH(E2659, ""台銀籌備帳戶|玉山帳戶""), REGEXMATCH(C2659, ""薪資"")), ""分潤支出"",
  AND(REGEXMATCH(E2659, ""Ben帳戶|Elsa帳戶|Ben代墊|Ariel代墊|中信銀行共用""), REGEXMATCH(F2659, ""Ben帳戶|Elsa帳戶|Ben代墊|Ariel代墊|中信銀行共用"")), ""內部轉帳(忽略)"",
  AND(E2659&lt;&gt;"""", F2659&lt;&gt;"""", N"&amp;"OT(REGEXMATCH(C2659, ""薪資""))), ""內部轉帳(忽略)"",
  REGEXMATCH(C2659, ""薪資""), ""薪資變動(不計入)"",
  REGEXMATCH(C2659, ""押金""), ""押金往來"",
  AND(E2659&lt;&gt;"""", F2659=""""), ""真實支出"",
  AND(E2659="""", F2659&lt;&gt;""""), ""真實收入"",
  TRUE, ""其他""
)"),"真實收入")</f>
        <v>真實收入</v>
      </c>
      <c r="K2659" s="270">
        <f t="shared" si="2"/>
        <v>16800</v>
      </c>
      <c r="L2659">
        <f t="shared" si="3"/>
        <v>0</v>
      </c>
    </row>
    <row r="2660">
      <c r="A2660" s="107">
        <f>IFERROR(__xludf.DUMMYFUNCTION("""COMPUTED_VALUE"""),45931.0)</f>
        <v>45931</v>
      </c>
      <c r="B2660" t="str">
        <f>IFERROR(__xludf.DUMMYFUNCTION("""COMPUTED_VALUE"""),"[北醫醫師府] E [楊東憲] ")</f>
        <v>[北醫醫師府] E [楊東憲] </v>
      </c>
      <c r="C2660" t="str">
        <f>IFERROR(__xludf.DUMMYFUNCTION("""COMPUTED_VALUE"""),"收入 - 租金")</f>
        <v>收入 - 租金</v>
      </c>
      <c r="D2660" s="270">
        <f>IFERROR(__xludf.DUMMYFUNCTION("""COMPUTED_VALUE"""),29600.0)</f>
        <v>29600</v>
      </c>
      <c r="F2660" t="str">
        <f>IFERROR(__xludf.DUMMYFUNCTION("""COMPUTED_VALUE"""),"台銀籌備帳戶")</f>
        <v>台銀籌備帳戶</v>
      </c>
      <c r="G2660" t="str">
        <f>IFERROR(__xludf.DUMMYFUNCTION("""COMPUTED_VALUE"""),"北醫醫師府")</f>
        <v>北醫醫師府</v>
      </c>
      <c r="H2660" s="106" t="str">
        <f t="shared" si="1"/>
        <v>2025-10</v>
      </c>
      <c r="I2660" s="271" t="str">
        <f>IFERROR(__xludf.DUMMYFUNCTION("""COMPUTED_VALUE"""),"貓狗企鵝")</f>
        <v>貓狗企鵝</v>
      </c>
      <c r="J2660" t="str">
        <f>IFERROR(__xludf.DUMMYFUNCTION("IFS(
  AND(REGEXMATCH(E2660, ""台銀籌備帳戶|玉山帳戶""), REGEXMATCH(C2660, ""薪資"")), ""分潤支出"",
  AND(REGEXMATCH(E2660, ""Ben帳戶|Elsa帳戶|Ben代墊|Ariel代墊|中信銀行共用""), REGEXMATCH(F2660, ""Ben帳戶|Elsa帳戶|Ben代墊|Ariel代墊|中信銀行共用"")), ""內部轉帳(忽略)"",
  AND(E2660&lt;&gt;"""", F2660&lt;&gt;"""", N"&amp;"OT(REGEXMATCH(C2660, ""薪資""))), ""內部轉帳(忽略)"",
  REGEXMATCH(C2660, ""薪資""), ""薪資變動(不計入)"",
  REGEXMATCH(C2660, ""押金""), ""押金往來"",
  AND(E2660&lt;&gt;"""", F2660=""""), ""真實支出"",
  AND(E2660="""", F2660&lt;&gt;""""), ""真實收入"",
  TRUE, ""其他""
)"),"真實收入")</f>
        <v>真實收入</v>
      </c>
      <c r="K2660" s="270">
        <f t="shared" si="2"/>
        <v>29600</v>
      </c>
      <c r="L2660">
        <f t="shared" si="3"/>
        <v>0</v>
      </c>
    </row>
    <row r="2661">
      <c r="A2661" s="107">
        <f>IFERROR(__xludf.DUMMYFUNCTION("""COMPUTED_VALUE"""),45931.0)</f>
        <v>45931</v>
      </c>
      <c r="B2661" t="str">
        <f>IFERROR(__xludf.DUMMYFUNCTION("""COMPUTED_VALUE"""),"[中山北Feli家] A [蔡亦翔] 月租金 後五碼:17600 (行號: 71)")</f>
        <v>[中山北Feli家] A [蔡亦翔] 月租金 後五碼:17600 (行號: 71)</v>
      </c>
      <c r="C2661" t="str">
        <f>IFERROR(__xludf.DUMMYFUNCTION("""COMPUTED_VALUE"""),"收入 - 租金")</f>
        <v>收入 - 租金</v>
      </c>
      <c r="D2661" s="270">
        <f>IFERROR(__xludf.DUMMYFUNCTION("""COMPUTED_VALUE"""),13200.0)</f>
        <v>13200</v>
      </c>
      <c r="F2661" t="str">
        <f>IFERROR(__xludf.DUMMYFUNCTION("""COMPUTED_VALUE"""),"台銀籌備帳戶")</f>
        <v>台銀籌備帳戶</v>
      </c>
      <c r="G2661" t="str">
        <f>IFERROR(__xludf.DUMMYFUNCTION("""COMPUTED_VALUE"""),"中山北Feli家")</f>
        <v>中山北Feli家</v>
      </c>
      <c r="H2661" s="106" t="str">
        <f t="shared" si="1"/>
        <v>2025-10</v>
      </c>
      <c r="I2661" s="271" t="str">
        <f>IFERROR(__xludf.DUMMYFUNCTION("""COMPUTED_VALUE"""),"貓狗企鵝")</f>
        <v>貓狗企鵝</v>
      </c>
      <c r="J2661" t="str">
        <f>IFERROR(__xludf.DUMMYFUNCTION("IFS(
  AND(REGEXMATCH(E2661, ""台銀籌備帳戶|玉山帳戶""), REGEXMATCH(C2661, ""薪資"")), ""分潤支出"",
  AND(REGEXMATCH(E2661, ""Ben帳戶|Elsa帳戶|Ben代墊|Ariel代墊|中信銀行共用""), REGEXMATCH(F2661, ""Ben帳戶|Elsa帳戶|Ben代墊|Ariel代墊|中信銀行共用"")), ""內部轉帳(忽略)"",
  AND(E2661&lt;&gt;"""", F2661&lt;&gt;"""", N"&amp;"OT(REGEXMATCH(C2661, ""薪資""))), ""內部轉帳(忽略)"",
  REGEXMATCH(C2661, ""薪資""), ""薪資變動(不計入)"",
  REGEXMATCH(C2661, ""押金""), ""押金往來"",
  AND(E2661&lt;&gt;"""", F2661=""""), ""真實支出"",
  AND(E2661="""", F2661&lt;&gt;""""), ""真實收入"",
  TRUE, ""其他""
)"),"真實收入")</f>
        <v>真實收入</v>
      </c>
      <c r="K2661" s="270">
        <f t="shared" si="2"/>
        <v>13200</v>
      </c>
      <c r="L2661">
        <f t="shared" si="3"/>
        <v>0</v>
      </c>
    </row>
    <row r="2662">
      <c r="A2662" s="107">
        <f>IFERROR(__xludf.DUMMYFUNCTION("""COMPUTED_VALUE"""),45931.0)</f>
        <v>45931</v>
      </c>
      <c r="B2662" t="str">
        <f>IFERROR(__xludf.DUMMYFUNCTION("""COMPUTED_VALUE"""),"[中山北娘家旁] B [李彥靜] 月租金 後五碼:38047 (行號: 72)")</f>
        <v>[中山北娘家旁] B [李彥靜] 月租金 後五碼:38047 (行號: 72)</v>
      </c>
      <c r="C2662" t="str">
        <f>IFERROR(__xludf.DUMMYFUNCTION("""COMPUTED_VALUE"""),"收入 - 租金")</f>
        <v>收入 - 租金</v>
      </c>
      <c r="D2662" s="270">
        <f>IFERROR(__xludf.DUMMYFUNCTION("""COMPUTED_VALUE"""),12500.0)</f>
        <v>12500</v>
      </c>
      <c r="F2662" t="str">
        <f>IFERROR(__xludf.DUMMYFUNCTION("""COMPUTED_VALUE"""),"台銀籌備帳戶")</f>
        <v>台銀籌備帳戶</v>
      </c>
      <c r="G2662" t="str">
        <f>IFERROR(__xludf.DUMMYFUNCTION("""COMPUTED_VALUE"""),"中山北娘家旁")</f>
        <v>中山北娘家旁</v>
      </c>
      <c r="H2662" s="106" t="str">
        <f t="shared" si="1"/>
        <v>2025-10</v>
      </c>
      <c r="I2662" s="271" t="str">
        <f>IFERROR(__xludf.DUMMYFUNCTION("""COMPUTED_VALUE"""),"貓狗企鵝")</f>
        <v>貓狗企鵝</v>
      </c>
      <c r="J2662" t="str">
        <f>IFERROR(__xludf.DUMMYFUNCTION("IFS(
  AND(REGEXMATCH(E2662, ""台銀籌備帳戶|玉山帳戶""), REGEXMATCH(C2662, ""薪資"")), ""分潤支出"",
  AND(REGEXMATCH(E2662, ""Ben帳戶|Elsa帳戶|Ben代墊|Ariel代墊|中信銀行共用""), REGEXMATCH(F2662, ""Ben帳戶|Elsa帳戶|Ben代墊|Ariel代墊|中信銀行共用"")), ""內部轉帳(忽略)"",
  AND(E2662&lt;&gt;"""", F2662&lt;&gt;"""", N"&amp;"OT(REGEXMATCH(C2662, ""薪資""))), ""內部轉帳(忽略)"",
  REGEXMATCH(C2662, ""薪資""), ""薪資變動(不計入)"",
  REGEXMATCH(C2662, ""押金""), ""押金往來"",
  AND(E2662&lt;&gt;"""", F2662=""""), ""真實支出"",
  AND(E2662="""", F2662&lt;&gt;""""), ""真實收入"",
  TRUE, ""其他""
)"),"真實收入")</f>
        <v>真實收入</v>
      </c>
      <c r="K2662" s="270">
        <f t="shared" si="2"/>
        <v>12500</v>
      </c>
      <c r="L2662">
        <f t="shared" si="3"/>
        <v>0</v>
      </c>
    </row>
    <row r="2663">
      <c r="A2663" s="107">
        <f>IFERROR(__xludf.DUMMYFUNCTION("""COMPUTED_VALUE"""),45931.0)</f>
        <v>45931</v>
      </c>
      <c r="B2663" t="str">
        <f>IFERROR(__xludf.DUMMYFUNCTION("""COMPUTED_VALUE"""),"[北醫醫師府] B [王品涵] 月租金 後五碼:26127 (行號: 73)")</f>
        <v>[北醫醫師府] B [王品涵] 月租金 後五碼:26127 (行號: 73)</v>
      </c>
      <c r="C2663" t="str">
        <f>IFERROR(__xludf.DUMMYFUNCTION("""COMPUTED_VALUE"""),"收入 - 租金")</f>
        <v>收入 - 租金</v>
      </c>
      <c r="D2663" s="270">
        <f>IFERROR(__xludf.DUMMYFUNCTION("""COMPUTED_VALUE"""),17800.0)</f>
        <v>17800</v>
      </c>
      <c r="F2663" t="str">
        <f>IFERROR(__xludf.DUMMYFUNCTION("""COMPUTED_VALUE"""),"台銀籌備帳戶")</f>
        <v>台銀籌備帳戶</v>
      </c>
      <c r="G2663" t="str">
        <f>IFERROR(__xludf.DUMMYFUNCTION("""COMPUTED_VALUE"""),"北醫醫師府")</f>
        <v>北醫醫師府</v>
      </c>
      <c r="H2663" s="106" t="str">
        <f t="shared" si="1"/>
        <v>2025-10</v>
      </c>
      <c r="I2663" s="271" t="str">
        <f>IFERROR(__xludf.DUMMYFUNCTION("""COMPUTED_VALUE"""),"貓狗企鵝")</f>
        <v>貓狗企鵝</v>
      </c>
      <c r="J2663" t="str">
        <f>IFERROR(__xludf.DUMMYFUNCTION("IFS(
  AND(REGEXMATCH(E2663, ""台銀籌備帳戶|玉山帳戶""), REGEXMATCH(C2663, ""薪資"")), ""分潤支出"",
  AND(REGEXMATCH(E2663, ""Ben帳戶|Elsa帳戶|Ben代墊|Ariel代墊|中信銀行共用""), REGEXMATCH(F2663, ""Ben帳戶|Elsa帳戶|Ben代墊|Ariel代墊|中信銀行共用"")), ""內部轉帳(忽略)"",
  AND(E2663&lt;&gt;"""", F2663&lt;&gt;"""", N"&amp;"OT(REGEXMATCH(C2663, ""薪資""))), ""內部轉帳(忽略)"",
  REGEXMATCH(C2663, ""薪資""), ""薪資變動(不計入)"",
  REGEXMATCH(C2663, ""押金""), ""押金往來"",
  AND(E2663&lt;&gt;"""", F2663=""""), ""真實支出"",
  AND(E2663="""", F2663&lt;&gt;""""), ""真實收入"",
  TRUE, ""其他""
)"),"真實收入")</f>
        <v>真實收入</v>
      </c>
      <c r="K2663" s="270">
        <f t="shared" si="2"/>
        <v>17800</v>
      </c>
      <c r="L2663">
        <f t="shared" si="3"/>
        <v>0</v>
      </c>
    </row>
    <row r="2664">
      <c r="A2664" s="107">
        <f>IFERROR(__xludf.DUMMYFUNCTION("""COMPUTED_VALUE"""),45931.0)</f>
        <v>45931</v>
      </c>
      <c r="B2664" t="str">
        <f>IFERROR(__xludf.DUMMYFUNCTION("""COMPUTED_VALUE"""),"[金龍帽子先生] D [林紫婕] 月租金 後五碼:70737 (行號: 74)")</f>
        <v>[金龍帽子先生] D [林紫婕] 月租金 後五碼:70737 (行號: 74)</v>
      </c>
      <c r="C2664" t="str">
        <f>IFERROR(__xludf.DUMMYFUNCTION("""COMPUTED_VALUE"""),"收入 - 租金")</f>
        <v>收入 - 租金</v>
      </c>
      <c r="D2664" s="270">
        <f>IFERROR(__xludf.DUMMYFUNCTION("""COMPUTED_VALUE"""),14500.0)</f>
        <v>14500</v>
      </c>
      <c r="F2664" t="str">
        <f>IFERROR(__xludf.DUMMYFUNCTION("""COMPUTED_VALUE"""),"台銀籌備帳戶")</f>
        <v>台銀籌備帳戶</v>
      </c>
      <c r="G2664" t="str">
        <f>IFERROR(__xludf.DUMMYFUNCTION("""COMPUTED_VALUE"""),"金龍帽子先生")</f>
        <v>金龍帽子先生</v>
      </c>
      <c r="H2664" s="106" t="str">
        <f t="shared" si="1"/>
        <v>2025-10</v>
      </c>
      <c r="I2664" s="271" t="str">
        <f>IFERROR(__xludf.DUMMYFUNCTION("""COMPUTED_VALUE"""),"貓狗企鵝")</f>
        <v>貓狗企鵝</v>
      </c>
      <c r="J2664" t="str">
        <f>IFERROR(__xludf.DUMMYFUNCTION("IFS(
  AND(REGEXMATCH(E2664, ""台銀籌備帳戶|玉山帳戶""), REGEXMATCH(C2664, ""薪資"")), ""分潤支出"",
  AND(REGEXMATCH(E2664, ""Ben帳戶|Elsa帳戶|Ben代墊|Ariel代墊|中信銀行共用""), REGEXMATCH(F2664, ""Ben帳戶|Elsa帳戶|Ben代墊|Ariel代墊|中信銀行共用"")), ""內部轉帳(忽略)"",
  AND(E2664&lt;&gt;"""", F2664&lt;&gt;"""", N"&amp;"OT(REGEXMATCH(C2664, ""薪資""))), ""內部轉帳(忽略)"",
  REGEXMATCH(C2664, ""薪資""), ""薪資變動(不計入)"",
  REGEXMATCH(C2664, ""押金""), ""押金往來"",
  AND(E2664&lt;&gt;"""", F2664=""""), ""真實支出"",
  AND(E2664="""", F2664&lt;&gt;""""), ""真實收入"",
  TRUE, ""其他""
)"),"真實收入")</f>
        <v>真實收入</v>
      </c>
      <c r="K2664" s="270">
        <f t="shared" si="2"/>
        <v>14500</v>
      </c>
      <c r="L2664">
        <f t="shared" si="3"/>
        <v>0</v>
      </c>
    </row>
    <row r="2665">
      <c r="A2665" s="107">
        <f>IFERROR(__xludf.DUMMYFUNCTION("""COMPUTED_VALUE"""),45931.0)</f>
        <v>45931</v>
      </c>
      <c r="B2665" t="str">
        <f>IFERROR(__xludf.DUMMYFUNCTION("""COMPUTED_VALUE"""),"[中山北Feli家] B [杜思瑀, 陳廷瀀] ")</f>
        <v>[中山北Feli家] B [杜思瑀, 陳廷瀀] </v>
      </c>
      <c r="C2665" t="str">
        <f>IFERROR(__xludf.DUMMYFUNCTION("""COMPUTED_VALUE"""),"收入 - 租金")</f>
        <v>收入 - 租金</v>
      </c>
      <c r="D2665" s="270">
        <f>IFERROR(__xludf.DUMMYFUNCTION("""COMPUTED_VALUE"""),8600.0)</f>
        <v>8600</v>
      </c>
      <c r="F2665" t="str">
        <f>IFERROR(__xludf.DUMMYFUNCTION("""COMPUTED_VALUE"""),"台銀籌備帳戶")</f>
        <v>台銀籌備帳戶</v>
      </c>
      <c r="G2665" t="str">
        <f>IFERROR(__xludf.DUMMYFUNCTION("""COMPUTED_VALUE"""),"中山北Feli家")</f>
        <v>中山北Feli家</v>
      </c>
      <c r="H2665" s="106" t="str">
        <f t="shared" si="1"/>
        <v>2025-10</v>
      </c>
      <c r="I2665" s="271" t="str">
        <f>IFERROR(__xludf.DUMMYFUNCTION("""COMPUTED_VALUE"""),"貓狗企鵝")</f>
        <v>貓狗企鵝</v>
      </c>
      <c r="J2665" t="str">
        <f>IFERROR(__xludf.DUMMYFUNCTION("IFS(
  AND(REGEXMATCH(E2665, ""台銀籌備帳戶|玉山帳戶""), REGEXMATCH(C2665, ""薪資"")), ""分潤支出"",
  AND(REGEXMATCH(E2665, ""Ben帳戶|Elsa帳戶|Ben代墊|Ariel代墊|中信銀行共用""), REGEXMATCH(F2665, ""Ben帳戶|Elsa帳戶|Ben代墊|Ariel代墊|中信銀行共用"")), ""內部轉帳(忽略)"",
  AND(E2665&lt;&gt;"""", F2665&lt;&gt;"""", N"&amp;"OT(REGEXMATCH(C2665, ""薪資""))), ""內部轉帳(忽略)"",
  REGEXMATCH(C2665, ""薪資""), ""薪資變動(不計入)"",
  REGEXMATCH(C2665, ""押金""), ""押金往來"",
  AND(E2665&lt;&gt;"""", F2665=""""), ""真實支出"",
  AND(E2665="""", F2665&lt;&gt;""""), ""真實收入"",
  TRUE, ""其他""
)"),"真實收入")</f>
        <v>真實收入</v>
      </c>
      <c r="K2665" s="270">
        <f t="shared" si="2"/>
        <v>8600</v>
      </c>
      <c r="L2665">
        <f t="shared" si="3"/>
        <v>0</v>
      </c>
    </row>
    <row r="2666">
      <c r="A2666" s="107">
        <f>IFERROR(__xludf.DUMMYFUNCTION("""COMPUTED_VALUE"""),45931.0)</f>
        <v>45931</v>
      </c>
      <c r="B2666" t="str">
        <f>IFERROR(__xludf.DUMMYFUNCTION("""COMPUTED_VALUE"""),"[龍江229] E [李侑霖] 月租金 後五碼:24691 (行號: 77)")</f>
        <v>[龍江229] E [李侑霖] 月租金 後五碼:24691 (行號: 77)</v>
      </c>
      <c r="C2666" t="str">
        <f>IFERROR(__xludf.DUMMYFUNCTION("""COMPUTED_VALUE"""),"收入 - 租金")</f>
        <v>收入 - 租金</v>
      </c>
      <c r="D2666" s="270">
        <f>IFERROR(__xludf.DUMMYFUNCTION("""COMPUTED_VALUE"""),12500.0)</f>
        <v>12500</v>
      </c>
      <c r="F2666" t="str">
        <f>IFERROR(__xludf.DUMMYFUNCTION("""COMPUTED_VALUE"""),"台銀籌備帳戶")</f>
        <v>台銀籌備帳戶</v>
      </c>
      <c r="G2666" t="str">
        <f>IFERROR(__xludf.DUMMYFUNCTION("""COMPUTED_VALUE"""),"龍江229")</f>
        <v>龍江229</v>
      </c>
      <c r="H2666" s="106" t="str">
        <f t="shared" si="1"/>
        <v>2025-10</v>
      </c>
      <c r="I2666" s="271" t="str">
        <f>IFERROR(__xludf.DUMMYFUNCTION("""COMPUTED_VALUE"""),"貓狗企鵝")</f>
        <v>貓狗企鵝</v>
      </c>
      <c r="J2666" t="str">
        <f>IFERROR(__xludf.DUMMYFUNCTION("IFS(
  AND(REGEXMATCH(E2666, ""台銀籌備帳戶|玉山帳戶""), REGEXMATCH(C2666, ""薪資"")), ""分潤支出"",
  AND(REGEXMATCH(E2666, ""Ben帳戶|Elsa帳戶|Ben代墊|Ariel代墊|中信銀行共用""), REGEXMATCH(F2666, ""Ben帳戶|Elsa帳戶|Ben代墊|Ariel代墊|中信銀行共用"")), ""內部轉帳(忽略)"",
  AND(E2666&lt;&gt;"""", F2666&lt;&gt;"""", N"&amp;"OT(REGEXMATCH(C2666, ""薪資""))), ""內部轉帳(忽略)"",
  REGEXMATCH(C2666, ""薪資""), ""薪資變動(不計入)"",
  REGEXMATCH(C2666, ""押金""), ""押金往來"",
  AND(E2666&lt;&gt;"""", F2666=""""), ""真實支出"",
  AND(E2666="""", F2666&lt;&gt;""""), ""真實收入"",
  TRUE, ""其他""
)"),"真實收入")</f>
        <v>真實收入</v>
      </c>
      <c r="K2666" s="270">
        <f t="shared" si="2"/>
        <v>12500</v>
      </c>
      <c r="L2666">
        <f t="shared" si="3"/>
        <v>0</v>
      </c>
    </row>
    <row r="2667">
      <c r="A2667" s="107">
        <f>IFERROR(__xludf.DUMMYFUNCTION("""COMPUTED_VALUE"""),45932.0)</f>
        <v>45932</v>
      </c>
      <c r="B2667" t="str">
        <f>IFERROR(__xludf.DUMMYFUNCTION("""COMPUTED_VALUE"""),"[南港站挑高宅] A [莊以祺] 月租金 後五碼:15361 (行號: 78)")</f>
        <v>[南港站挑高宅] A [莊以祺] 月租金 後五碼:15361 (行號: 78)</v>
      </c>
      <c r="C2667" t="str">
        <f>IFERROR(__xludf.DUMMYFUNCTION("""COMPUTED_VALUE"""),"收入 - 租金")</f>
        <v>收入 - 租金</v>
      </c>
      <c r="D2667" s="270">
        <f>IFERROR(__xludf.DUMMYFUNCTION("""COMPUTED_VALUE"""),13000.0)</f>
        <v>13000</v>
      </c>
      <c r="F2667" t="str">
        <f>IFERROR(__xludf.DUMMYFUNCTION("""COMPUTED_VALUE"""),"台銀籌備帳戶")</f>
        <v>台銀籌備帳戶</v>
      </c>
      <c r="G2667" t="str">
        <f>IFERROR(__xludf.DUMMYFUNCTION("""COMPUTED_VALUE"""),"南港站挑高宅")</f>
        <v>南港站挑高宅</v>
      </c>
      <c r="H2667" s="106" t="str">
        <f t="shared" si="1"/>
        <v>2025-10</v>
      </c>
      <c r="I2667" s="271" t="str">
        <f>IFERROR(__xludf.DUMMYFUNCTION("""COMPUTED_VALUE"""),"貓狗企鵝")</f>
        <v>貓狗企鵝</v>
      </c>
      <c r="J2667" t="str">
        <f>IFERROR(__xludf.DUMMYFUNCTION("IFS(
  AND(REGEXMATCH(E2667, ""台銀籌備帳戶|玉山帳戶""), REGEXMATCH(C2667, ""薪資"")), ""分潤支出"",
  AND(REGEXMATCH(E2667, ""Ben帳戶|Elsa帳戶|Ben代墊|Ariel代墊|中信銀行共用""), REGEXMATCH(F2667, ""Ben帳戶|Elsa帳戶|Ben代墊|Ariel代墊|中信銀行共用"")), ""內部轉帳(忽略)"",
  AND(E2667&lt;&gt;"""", F2667&lt;&gt;"""", N"&amp;"OT(REGEXMATCH(C2667, ""薪資""))), ""內部轉帳(忽略)"",
  REGEXMATCH(C2667, ""薪資""), ""薪資變動(不計入)"",
  REGEXMATCH(C2667, ""押金""), ""押金往來"",
  AND(E2667&lt;&gt;"""", F2667=""""), ""真實支出"",
  AND(E2667="""", F2667&lt;&gt;""""), ""真實收入"",
  TRUE, ""其他""
)"),"真實收入")</f>
        <v>真實收入</v>
      </c>
      <c r="K2667" s="270">
        <f t="shared" si="2"/>
        <v>13000</v>
      </c>
      <c r="L2667">
        <f t="shared" si="3"/>
        <v>0</v>
      </c>
    </row>
    <row r="2668">
      <c r="A2668" s="107">
        <f>IFERROR(__xludf.DUMMYFUNCTION("""COMPUTED_VALUE"""),45932.0)</f>
        <v>45932</v>
      </c>
      <c r="B2668" t="str">
        <f>IFERROR(__xludf.DUMMYFUNCTION("""COMPUTED_VALUE"""),"[龍江229] D [黃依婷] 月租金 後五碼:45221 (行號: 79)")</f>
        <v>[龍江229] D [黃依婷] 月租金 後五碼:45221 (行號: 79)</v>
      </c>
      <c r="C2668" t="str">
        <f>IFERROR(__xludf.DUMMYFUNCTION("""COMPUTED_VALUE"""),"收入 - 租金")</f>
        <v>收入 - 租金</v>
      </c>
      <c r="D2668" s="270">
        <f>IFERROR(__xludf.DUMMYFUNCTION("""COMPUTED_VALUE"""),13300.0)</f>
        <v>13300</v>
      </c>
      <c r="F2668" t="str">
        <f>IFERROR(__xludf.DUMMYFUNCTION("""COMPUTED_VALUE"""),"台銀籌備帳戶")</f>
        <v>台銀籌備帳戶</v>
      </c>
      <c r="G2668" t="str">
        <f>IFERROR(__xludf.DUMMYFUNCTION("""COMPUTED_VALUE"""),"龍江229")</f>
        <v>龍江229</v>
      </c>
      <c r="H2668" s="106" t="str">
        <f t="shared" si="1"/>
        <v>2025-10</v>
      </c>
      <c r="I2668" s="271" t="str">
        <f>IFERROR(__xludf.DUMMYFUNCTION("""COMPUTED_VALUE"""),"貓狗企鵝")</f>
        <v>貓狗企鵝</v>
      </c>
      <c r="J2668" t="str">
        <f>IFERROR(__xludf.DUMMYFUNCTION("IFS(
  AND(REGEXMATCH(E2668, ""台銀籌備帳戶|玉山帳戶""), REGEXMATCH(C2668, ""薪資"")), ""分潤支出"",
  AND(REGEXMATCH(E2668, ""Ben帳戶|Elsa帳戶|Ben代墊|Ariel代墊|中信銀行共用""), REGEXMATCH(F2668, ""Ben帳戶|Elsa帳戶|Ben代墊|Ariel代墊|中信銀行共用"")), ""內部轉帳(忽略)"",
  AND(E2668&lt;&gt;"""", F2668&lt;&gt;"""", N"&amp;"OT(REGEXMATCH(C2668, ""薪資""))), ""內部轉帳(忽略)"",
  REGEXMATCH(C2668, ""薪資""), ""薪資變動(不計入)"",
  REGEXMATCH(C2668, ""押金""), ""押金往來"",
  AND(E2668&lt;&gt;"""", F2668=""""), ""真實支出"",
  AND(E2668="""", F2668&lt;&gt;""""), ""真實收入"",
  TRUE, ""其他""
)"),"真實收入")</f>
        <v>真實收入</v>
      </c>
      <c r="K2668" s="270">
        <f t="shared" si="2"/>
        <v>13300</v>
      </c>
      <c r="L2668">
        <f t="shared" si="3"/>
        <v>0</v>
      </c>
    </row>
    <row r="2669">
      <c r="A2669" s="107">
        <f>IFERROR(__xludf.DUMMYFUNCTION("""COMPUTED_VALUE"""),45932.0)</f>
        <v>45932</v>
      </c>
      <c r="B2669" t="str">
        <f>IFERROR(__xludf.DUMMYFUNCTION("""COMPUTED_VALUE"""),"[書香民生] D [蔡昀潔, 林聖凱] 月租金 後五碼:67788 (行號: 80)")</f>
        <v>[書香民生] D [蔡昀潔, 林聖凱] 月租金 後五碼:67788 (行號: 80)</v>
      </c>
      <c r="C2669" t="str">
        <f>IFERROR(__xludf.DUMMYFUNCTION("""COMPUTED_VALUE"""),"收入 - 租金")</f>
        <v>收入 - 租金</v>
      </c>
      <c r="D2669" s="270">
        <f>IFERROR(__xludf.DUMMYFUNCTION("""COMPUTED_VALUE"""),17800.0)</f>
        <v>17800</v>
      </c>
      <c r="F2669" t="str">
        <f>IFERROR(__xludf.DUMMYFUNCTION("""COMPUTED_VALUE"""),"台銀籌備帳戶")</f>
        <v>台銀籌備帳戶</v>
      </c>
      <c r="G2669" t="str">
        <f>IFERROR(__xludf.DUMMYFUNCTION("""COMPUTED_VALUE"""),"書香民生")</f>
        <v>書香民生</v>
      </c>
      <c r="H2669" s="106" t="str">
        <f t="shared" si="1"/>
        <v>2025-10</v>
      </c>
      <c r="I2669" s="271" t="str">
        <f>IFERROR(__xludf.DUMMYFUNCTION("""COMPUTED_VALUE"""),"貓狗企鵝")</f>
        <v>貓狗企鵝</v>
      </c>
      <c r="J2669" t="str">
        <f>IFERROR(__xludf.DUMMYFUNCTION("IFS(
  AND(REGEXMATCH(E2669, ""台銀籌備帳戶|玉山帳戶""), REGEXMATCH(C2669, ""薪資"")), ""分潤支出"",
  AND(REGEXMATCH(E2669, ""Ben帳戶|Elsa帳戶|Ben代墊|Ariel代墊|中信銀行共用""), REGEXMATCH(F2669, ""Ben帳戶|Elsa帳戶|Ben代墊|Ariel代墊|中信銀行共用"")), ""內部轉帳(忽略)"",
  AND(E2669&lt;&gt;"""", F2669&lt;&gt;"""", N"&amp;"OT(REGEXMATCH(C2669, ""薪資""))), ""內部轉帳(忽略)"",
  REGEXMATCH(C2669, ""薪資""), ""薪資變動(不計入)"",
  REGEXMATCH(C2669, ""押金""), ""押金往來"",
  AND(E2669&lt;&gt;"""", F2669=""""), ""真實支出"",
  AND(E2669="""", F2669&lt;&gt;""""), ""真實收入"",
  TRUE, ""其他""
)"),"真實收入")</f>
        <v>真實收入</v>
      </c>
      <c r="K2669" s="270">
        <f t="shared" si="2"/>
        <v>17800</v>
      </c>
      <c r="L2669">
        <f t="shared" si="3"/>
        <v>0</v>
      </c>
    </row>
    <row r="2670">
      <c r="A2670" s="107">
        <f>IFERROR(__xludf.DUMMYFUNCTION("""COMPUTED_VALUE"""),45932.0)</f>
        <v>45932</v>
      </c>
      <c r="B2670" t="str">
        <f>IFERROR(__xludf.DUMMYFUNCTION("""COMPUTED_VALUE"""),"[大湖山莊] G [Soumyajit Balabantaray] 月租金 後五碼:47500 (行號: 81)")</f>
        <v>[大湖山莊] G [Soumyajit Balabantaray] 月租金 後五碼:47500 (行號: 81)</v>
      </c>
      <c r="C2670" t="str">
        <f>IFERROR(__xludf.DUMMYFUNCTION("""COMPUTED_VALUE"""),"收入 - 租金")</f>
        <v>收入 - 租金</v>
      </c>
      <c r="D2670" s="270">
        <f>IFERROR(__xludf.DUMMYFUNCTION("""COMPUTED_VALUE"""),15800.0)</f>
        <v>15800</v>
      </c>
      <c r="F2670" t="str">
        <f>IFERROR(__xludf.DUMMYFUNCTION("""COMPUTED_VALUE"""),"台銀籌備帳戶")</f>
        <v>台銀籌備帳戶</v>
      </c>
      <c r="G2670" t="str">
        <f>IFERROR(__xludf.DUMMYFUNCTION("""COMPUTED_VALUE"""),"大湖山莊")</f>
        <v>大湖山莊</v>
      </c>
      <c r="H2670" s="106" t="str">
        <f t="shared" si="1"/>
        <v>2025-10</v>
      </c>
      <c r="I2670" s="271" t="str">
        <f>IFERROR(__xludf.DUMMYFUNCTION("""COMPUTED_VALUE"""),"貓狗企鵝")</f>
        <v>貓狗企鵝</v>
      </c>
      <c r="J2670" t="str">
        <f>IFERROR(__xludf.DUMMYFUNCTION("IFS(
  AND(REGEXMATCH(E2670, ""台銀籌備帳戶|玉山帳戶""), REGEXMATCH(C2670, ""薪資"")), ""分潤支出"",
  AND(REGEXMATCH(E2670, ""Ben帳戶|Elsa帳戶|Ben代墊|Ariel代墊|中信銀行共用""), REGEXMATCH(F2670, ""Ben帳戶|Elsa帳戶|Ben代墊|Ariel代墊|中信銀行共用"")), ""內部轉帳(忽略)"",
  AND(E2670&lt;&gt;"""", F2670&lt;&gt;"""", N"&amp;"OT(REGEXMATCH(C2670, ""薪資""))), ""內部轉帳(忽略)"",
  REGEXMATCH(C2670, ""薪資""), ""薪資變動(不計入)"",
  REGEXMATCH(C2670, ""押金""), ""押金往來"",
  AND(E2670&lt;&gt;"""", F2670=""""), ""真實支出"",
  AND(E2670="""", F2670&lt;&gt;""""), ""真實收入"",
  TRUE, ""其他""
)"),"真實收入")</f>
        <v>真實收入</v>
      </c>
      <c r="K2670" s="270">
        <f t="shared" si="2"/>
        <v>15800</v>
      </c>
      <c r="L2670">
        <f t="shared" si="3"/>
        <v>0</v>
      </c>
    </row>
    <row r="2671">
      <c r="A2671" s="107">
        <f>IFERROR(__xludf.DUMMYFUNCTION("""COMPUTED_VALUE"""),45933.0)</f>
        <v>45933</v>
      </c>
      <c r="B2671" t="str">
        <f>IFERROR(__xludf.DUMMYFUNCTION("""COMPUTED_VALUE"""),"[龍江229] C [馬義鈞] 月租金 後五碼:62428 (行號: 82)")</f>
        <v>[龍江229] C [馬義鈞] 月租金 後五碼:62428 (行號: 82)</v>
      </c>
      <c r="C2671" t="str">
        <f>IFERROR(__xludf.DUMMYFUNCTION("""COMPUTED_VALUE"""),"收入 - 租金")</f>
        <v>收入 - 租金</v>
      </c>
      <c r="D2671" s="270">
        <f>IFERROR(__xludf.DUMMYFUNCTION("""COMPUTED_VALUE"""),18500.0)</f>
        <v>18500</v>
      </c>
      <c r="F2671" t="str">
        <f>IFERROR(__xludf.DUMMYFUNCTION("""COMPUTED_VALUE"""),"台銀籌備帳戶")</f>
        <v>台銀籌備帳戶</v>
      </c>
      <c r="G2671" t="str">
        <f>IFERROR(__xludf.DUMMYFUNCTION("""COMPUTED_VALUE"""),"龍江229")</f>
        <v>龍江229</v>
      </c>
      <c r="H2671" s="106" t="str">
        <f t="shared" si="1"/>
        <v>2025-10</v>
      </c>
      <c r="I2671" s="271" t="str">
        <f>IFERROR(__xludf.DUMMYFUNCTION("""COMPUTED_VALUE"""),"貓狗企鵝")</f>
        <v>貓狗企鵝</v>
      </c>
      <c r="J2671" t="str">
        <f>IFERROR(__xludf.DUMMYFUNCTION("IFS(
  AND(REGEXMATCH(E2671, ""台銀籌備帳戶|玉山帳戶""), REGEXMATCH(C2671, ""薪資"")), ""分潤支出"",
  AND(REGEXMATCH(E2671, ""Ben帳戶|Elsa帳戶|Ben代墊|Ariel代墊|中信銀行共用""), REGEXMATCH(F2671, ""Ben帳戶|Elsa帳戶|Ben代墊|Ariel代墊|中信銀行共用"")), ""內部轉帳(忽略)"",
  AND(E2671&lt;&gt;"""", F2671&lt;&gt;"""", N"&amp;"OT(REGEXMATCH(C2671, ""薪資""))), ""內部轉帳(忽略)"",
  REGEXMATCH(C2671, ""薪資""), ""薪資變動(不計入)"",
  REGEXMATCH(C2671, ""押金""), ""押金往來"",
  AND(E2671&lt;&gt;"""", F2671=""""), ""真實支出"",
  AND(E2671="""", F2671&lt;&gt;""""), ""真實收入"",
  TRUE, ""其他""
)"),"真實收入")</f>
        <v>真實收入</v>
      </c>
      <c r="K2671" s="270">
        <f t="shared" si="2"/>
        <v>18500</v>
      </c>
      <c r="L2671">
        <f t="shared" si="3"/>
        <v>0</v>
      </c>
    </row>
    <row r="2672">
      <c r="A2672" s="107">
        <f>IFERROR(__xludf.DUMMYFUNCTION("""COMPUTED_VALUE"""),45933.0)</f>
        <v>45933</v>
      </c>
      <c r="B2672" t="str">
        <f>IFERROR(__xludf.DUMMYFUNCTION("""COMPUTED_VALUE"""),"[中山北娘家旁] C [魏湘芸] 月租金 後五碼:21978 (行號: 83)")</f>
        <v>[中山北娘家旁] C [魏湘芸] 月租金 後五碼:21978 (行號: 83)</v>
      </c>
      <c r="C2672" t="str">
        <f>IFERROR(__xludf.DUMMYFUNCTION("""COMPUTED_VALUE"""),"收入 - 租金")</f>
        <v>收入 - 租金</v>
      </c>
      <c r="D2672" s="270">
        <f>IFERROR(__xludf.DUMMYFUNCTION("""COMPUTED_VALUE"""),14800.0)</f>
        <v>14800</v>
      </c>
      <c r="F2672" t="str">
        <f>IFERROR(__xludf.DUMMYFUNCTION("""COMPUTED_VALUE"""),"台銀籌備帳戶")</f>
        <v>台銀籌備帳戶</v>
      </c>
      <c r="G2672" t="str">
        <f>IFERROR(__xludf.DUMMYFUNCTION("""COMPUTED_VALUE"""),"中山北娘家旁")</f>
        <v>中山北娘家旁</v>
      </c>
      <c r="H2672" s="106" t="str">
        <f t="shared" si="1"/>
        <v>2025-10</v>
      </c>
      <c r="I2672" s="271" t="str">
        <f>IFERROR(__xludf.DUMMYFUNCTION("""COMPUTED_VALUE"""),"貓狗企鵝")</f>
        <v>貓狗企鵝</v>
      </c>
      <c r="J2672" t="str">
        <f>IFERROR(__xludf.DUMMYFUNCTION("IFS(
  AND(REGEXMATCH(E2672, ""台銀籌備帳戶|玉山帳戶""), REGEXMATCH(C2672, ""薪資"")), ""分潤支出"",
  AND(REGEXMATCH(E2672, ""Ben帳戶|Elsa帳戶|Ben代墊|Ariel代墊|中信銀行共用""), REGEXMATCH(F2672, ""Ben帳戶|Elsa帳戶|Ben代墊|Ariel代墊|中信銀行共用"")), ""內部轉帳(忽略)"",
  AND(E2672&lt;&gt;"""", F2672&lt;&gt;"""", N"&amp;"OT(REGEXMATCH(C2672, ""薪資""))), ""內部轉帳(忽略)"",
  REGEXMATCH(C2672, ""薪資""), ""薪資變動(不計入)"",
  REGEXMATCH(C2672, ""押金""), ""押金往來"",
  AND(E2672&lt;&gt;"""", F2672=""""), ""真實支出"",
  AND(E2672="""", F2672&lt;&gt;""""), ""真實收入"",
  TRUE, ""其他""
)"),"真實收入")</f>
        <v>真實收入</v>
      </c>
      <c r="K2672" s="270">
        <f t="shared" si="2"/>
        <v>14800</v>
      </c>
      <c r="L2672">
        <f t="shared" si="3"/>
        <v>0</v>
      </c>
    </row>
    <row r="2673">
      <c r="A2673" s="107">
        <f>IFERROR(__xludf.DUMMYFUNCTION("""COMPUTED_VALUE"""),45934.0)</f>
        <v>45934</v>
      </c>
      <c r="B2673" t="str">
        <f>IFERROR(__xludf.DUMMYFUNCTION("""COMPUTED_VALUE"""),"[龍江229] B [涂維妮] 月租金 後五碼:67546 (行號: 84)")</f>
        <v>[龍江229] B [涂維妮] 月租金 後五碼:67546 (行號: 84)</v>
      </c>
      <c r="C2673" t="str">
        <f>IFERROR(__xludf.DUMMYFUNCTION("""COMPUTED_VALUE"""),"收入 - 租金")</f>
        <v>收入 - 租金</v>
      </c>
      <c r="D2673" s="270">
        <f>IFERROR(__xludf.DUMMYFUNCTION("""COMPUTED_VALUE"""),13500.0)</f>
        <v>13500</v>
      </c>
      <c r="F2673" t="str">
        <f>IFERROR(__xludf.DUMMYFUNCTION("""COMPUTED_VALUE"""),"台銀籌備帳戶")</f>
        <v>台銀籌備帳戶</v>
      </c>
      <c r="G2673" t="str">
        <f>IFERROR(__xludf.DUMMYFUNCTION("""COMPUTED_VALUE"""),"龍江229")</f>
        <v>龍江229</v>
      </c>
      <c r="H2673" s="106" t="str">
        <f t="shared" si="1"/>
        <v>2025-10</v>
      </c>
      <c r="I2673" s="271" t="str">
        <f>IFERROR(__xludf.DUMMYFUNCTION("""COMPUTED_VALUE"""),"貓狗企鵝")</f>
        <v>貓狗企鵝</v>
      </c>
      <c r="J2673" t="str">
        <f>IFERROR(__xludf.DUMMYFUNCTION("IFS(
  AND(REGEXMATCH(E2673, ""台銀籌備帳戶|玉山帳戶""), REGEXMATCH(C2673, ""薪資"")), ""分潤支出"",
  AND(REGEXMATCH(E2673, ""Ben帳戶|Elsa帳戶|Ben代墊|Ariel代墊|中信銀行共用""), REGEXMATCH(F2673, ""Ben帳戶|Elsa帳戶|Ben代墊|Ariel代墊|中信銀行共用"")), ""內部轉帳(忽略)"",
  AND(E2673&lt;&gt;"""", F2673&lt;&gt;"""", N"&amp;"OT(REGEXMATCH(C2673, ""薪資""))), ""內部轉帳(忽略)"",
  REGEXMATCH(C2673, ""薪資""), ""薪資變動(不計入)"",
  REGEXMATCH(C2673, ""押金""), ""押金往來"",
  AND(E2673&lt;&gt;"""", F2673=""""), ""真實支出"",
  AND(E2673="""", F2673&lt;&gt;""""), ""真實收入"",
  TRUE, ""其他""
)"),"真實收入")</f>
        <v>真實收入</v>
      </c>
      <c r="K2673" s="270">
        <f t="shared" si="2"/>
        <v>13500</v>
      </c>
      <c r="L2673">
        <f t="shared" si="3"/>
        <v>0</v>
      </c>
    </row>
    <row r="2674">
      <c r="A2674" s="107">
        <f>IFERROR(__xludf.DUMMYFUNCTION("""COMPUTED_VALUE"""),45937.0)</f>
        <v>45937</v>
      </c>
      <c r="B2674" t="str">
        <f>IFERROR(__xludf.DUMMYFUNCTION("""COMPUTED_VALUE"""),"垃可9月")</f>
        <v>垃可9月</v>
      </c>
      <c r="C2674" t="str">
        <f>IFERROR(__xludf.DUMMYFUNCTION("""COMPUTED_VALUE"""),"成本 - 固定開銷(網路代收清潔)")</f>
        <v>成本 - 固定開銷(網路代收清潔)</v>
      </c>
      <c r="D2674" s="270">
        <f>IFERROR(__xludf.DUMMYFUNCTION("""COMPUTED_VALUE"""),-6000.0)</f>
        <v>-6000</v>
      </c>
      <c r="E2674" t="str">
        <f>IFERROR(__xludf.DUMMYFUNCTION("""COMPUTED_VALUE"""),"Ben帳戶")</f>
        <v>Ben帳戶</v>
      </c>
      <c r="G2674" t="str">
        <f>IFERROR(__xludf.DUMMYFUNCTION("""COMPUTED_VALUE"""),"無法分類")</f>
        <v>無法分類</v>
      </c>
      <c r="H2674" s="106" t="str">
        <f t="shared" si="1"/>
        <v>2025-10</v>
      </c>
      <c r="I2674" s="271" t="str">
        <f>IFERROR(__xludf.DUMMYFUNCTION("""COMPUTED_VALUE"""),"貓狗企鵝")</f>
        <v>貓狗企鵝</v>
      </c>
      <c r="J2674" t="str">
        <f>IFERROR(__xludf.DUMMYFUNCTION("IFS(
  AND(REGEXMATCH(E2674, ""台銀籌備帳戶|玉山帳戶""), REGEXMATCH(C2674, ""薪資"")), ""分潤支出"",
  AND(REGEXMATCH(E2674, ""Ben帳戶|Elsa帳戶|Ben代墊|Ariel代墊|中信銀行共用""), REGEXMATCH(F2674, ""Ben帳戶|Elsa帳戶|Ben代墊|Ariel代墊|中信銀行共用"")), ""內部轉帳(忽略)"",
  AND(E2674&lt;&gt;"""", F2674&lt;&gt;"""", N"&amp;"OT(REGEXMATCH(C2674, ""薪資""))), ""內部轉帳(忽略)"",
  REGEXMATCH(C2674, ""薪資""), ""薪資變動(不計入)"",
  REGEXMATCH(C2674, ""押金""), ""押金往來"",
  AND(E2674&lt;&gt;"""", F2674=""""), ""真實支出"",
  AND(E2674="""", F2674&lt;&gt;""""), ""真實收入"",
  TRUE, ""其他""
)"),"真實支出")</f>
        <v>真實支出</v>
      </c>
      <c r="K2674" s="270">
        <f t="shared" si="2"/>
        <v>-6000</v>
      </c>
      <c r="L2674">
        <f t="shared" si="3"/>
        <v>0</v>
      </c>
    </row>
    <row r="2675">
      <c r="A2675" s="107">
        <f>IFERROR(__xludf.DUMMYFUNCTION("""COMPUTED_VALUE"""),45937.0)</f>
        <v>45937</v>
      </c>
      <c r="B2675" t="str">
        <f>IFERROR(__xludf.DUMMYFUNCTION("""COMPUTED_VALUE"""),"Eddy廁所30%定金")</f>
        <v>Eddy廁所30%定金</v>
      </c>
      <c r="C2675" t="str">
        <f>IFERROR(__xludf.DUMMYFUNCTION("""COMPUTED_VALUE"""),"成本 - 進場前裝潢費")</f>
        <v>成本 - 進場前裝潢費</v>
      </c>
      <c r="D2675" s="270">
        <f>IFERROR(__xludf.DUMMYFUNCTION("""COMPUTED_VALUE"""),-49920.0)</f>
        <v>-49920</v>
      </c>
      <c r="E2675" t="str">
        <f>IFERROR(__xludf.DUMMYFUNCTION("""COMPUTED_VALUE"""),"Ben帳戶")</f>
        <v>Ben帳戶</v>
      </c>
      <c r="G2675" t="str">
        <f>IFERROR(__xludf.DUMMYFUNCTION("""COMPUTED_VALUE"""),"天母搜狗")</f>
        <v>天母搜狗</v>
      </c>
      <c r="H2675" s="106" t="str">
        <f t="shared" si="1"/>
        <v>2025-10</v>
      </c>
      <c r="I2675" s="271" t="str">
        <f>IFERROR(__xludf.DUMMYFUNCTION("""COMPUTED_VALUE"""),"貓狗企鵝")</f>
        <v>貓狗企鵝</v>
      </c>
      <c r="J2675" t="str">
        <f>IFERROR(__xludf.DUMMYFUNCTION("IFS(
  AND(REGEXMATCH(E2675, ""台銀籌備帳戶|玉山帳戶""), REGEXMATCH(C2675, ""薪資"")), ""分潤支出"",
  AND(REGEXMATCH(E2675, ""Ben帳戶|Elsa帳戶|Ben代墊|Ariel代墊|中信銀行共用""), REGEXMATCH(F2675, ""Ben帳戶|Elsa帳戶|Ben代墊|Ariel代墊|中信銀行共用"")), ""內部轉帳(忽略)"",
  AND(E2675&lt;&gt;"""", F2675&lt;&gt;"""", N"&amp;"OT(REGEXMATCH(C2675, ""薪資""))), ""內部轉帳(忽略)"",
  REGEXMATCH(C2675, ""薪資""), ""薪資變動(不計入)"",
  REGEXMATCH(C2675, ""押金""), ""押金往來"",
  AND(E2675&lt;&gt;"""", F2675=""""), ""真實支出"",
  AND(E2675="""", F2675&lt;&gt;""""), ""真實收入"",
  TRUE, ""其他""
)"),"真實支出")</f>
        <v>真實支出</v>
      </c>
      <c r="K2675" s="270">
        <f t="shared" si="2"/>
        <v>-49920</v>
      </c>
      <c r="L2675">
        <f t="shared" si="3"/>
        <v>0</v>
      </c>
    </row>
    <row r="2676">
      <c r="A2676" s="107">
        <f>IFERROR(__xludf.DUMMYFUNCTION("""COMPUTED_VALUE"""),45936.0)</f>
        <v>45936</v>
      </c>
      <c r="B2676" t="str">
        <f>IFERROR(__xludf.DUMMYFUNCTION("""COMPUTED_VALUE"""),"[書香民生] B [吳小朋] 月租金 後五碼:54102 (行號: 2)")</f>
        <v>[書香民生] B [吳小朋] 月租金 後五碼:54102 (行號: 2)</v>
      </c>
      <c r="C2676" t="str">
        <f>IFERROR(__xludf.DUMMYFUNCTION("""COMPUTED_VALUE"""),"收入 - 租金")</f>
        <v>收入 - 租金</v>
      </c>
      <c r="D2676" s="270">
        <f>IFERROR(__xludf.DUMMYFUNCTION("""COMPUTED_VALUE"""),17800.0)</f>
        <v>17800</v>
      </c>
      <c r="F2676" t="str">
        <f>IFERROR(__xludf.DUMMYFUNCTION("""COMPUTED_VALUE"""),"台銀籌備帳戶")</f>
        <v>台銀籌備帳戶</v>
      </c>
      <c r="G2676" t="str">
        <f>IFERROR(__xludf.DUMMYFUNCTION("""COMPUTED_VALUE"""),"書香民生")</f>
        <v>書香民生</v>
      </c>
      <c r="H2676" s="106" t="str">
        <f t="shared" si="1"/>
        <v>2025-10</v>
      </c>
      <c r="I2676" s="271" t="str">
        <f>IFERROR(__xludf.DUMMYFUNCTION("""COMPUTED_VALUE"""),"貓狗企鵝")</f>
        <v>貓狗企鵝</v>
      </c>
      <c r="J2676" t="str">
        <f>IFERROR(__xludf.DUMMYFUNCTION("IFS(
  AND(REGEXMATCH(E2676, ""台銀籌備帳戶|玉山帳戶""), REGEXMATCH(C2676, ""薪資"")), ""分潤支出"",
  AND(REGEXMATCH(E2676, ""Ben帳戶|Elsa帳戶|Ben代墊|Ariel代墊|中信銀行共用""), REGEXMATCH(F2676, ""Ben帳戶|Elsa帳戶|Ben代墊|Ariel代墊|中信銀行共用"")), ""內部轉帳(忽略)"",
  AND(E2676&lt;&gt;"""", F2676&lt;&gt;"""", N"&amp;"OT(REGEXMATCH(C2676, ""薪資""))), ""內部轉帳(忽略)"",
  REGEXMATCH(C2676, ""薪資""), ""薪資變動(不計入)"",
  REGEXMATCH(C2676, ""押金""), ""押金往來"",
  AND(E2676&lt;&gt;"""", F2676=""""), ""真實支出"",
  AND(E2676="""", F2676&lt;&gt;""""), ""真實收入"",
  TRUE, ""其他""
)"),"真實收入")</f>
        <v>真實收入</v>
      </c>
      <c r="K2676" s="270">
        <f t="shared" si="2"/>
        <v>17800</v>
      </c>
      <c r="L2676">
        <f t="shared" si="3"/>
        <v>0</v>
      </c>
    </row>
    <row r="2677">
      <c r="A2677" s="107">
        <f>IFERROR(__xludf.DUMMYFUNCTION("""COMPUTED_VALUE"""),45939.0)</f>
        <v>45939</v>
      </c>
      <c r="B2677" t="str">
        <f>IFERROR(__xludf.DUMMYFUNCTION("""COMPUTED_VALUE"""),"[哈拉對面] A [何丞翊] 月租金 後五碼:35538 (行號: 3)")</f>
        <v>[哈拉對面] A [何丞翊] 月租金 後五碼:35538 (行號: 3)</v>
      </c>
      <c r="C2677" t="str">
        <f>IFERROR(__xludf.DUMMYFUNCTION("""COMPUTED_VALUE"""),"收入 - 租金")</f>
        <v>收入 - 租金</v>
      </c>
      <c r="D2677" s="270">
        <f>IFERROR(__xludf.DUMMYFUNCTION("""COMPUTED_VALUE"""),11000.0)</f>
        <v>11000</v>
      </c>
      <c r="F2677" t="str">
        <f>IFERROR(__xludf.DUMMYFUNCTION("""COMPUTED_VALUE"""),"台銀籌備帳戶")</f>
        <v>台銀籌備帳戶</v>
      </c>
      <c r="G2677" t="str">
        <f>IFERROR(__xludf.DUMMYFUNCTION("""COMPUTED_VALUE"""),"哈拉對面")</f>
        <v>哈拉對面</v>
      </c>
      <c r="H2677" s="106" t="str">
        <f t="shared" si="1"/>
        <v>2025-10</v>
      </c>
      <c r="I2677" s="271" t="str">
        <f>IFERROR(__xludf.DUMMYFUNCTION("""COMPUTED_VALUE"""),"貓狗企鵝")</f>
        <v>貓狗企鵝</v>
      </c>
      <c r="J2677" t="str">
        <f>IFERROR(__xludf.DUMMYFUNCTION("IFS(
  AND(REGEXMATCH(E2677, ""台銀籌備帳戶|玉山帳戶""), REGEXMATCH(C2677, ""薪資"")), ""分潤支出"",
  AND(REGEXMATCH(E2677, ""Ben帳戶|Elsa帳戶|Ben代墊|Ariel代墊|中信銀行共用""), REGEXMATCH(F2677, ""Ben帳戶|Elsa帳戶|Ben代墊|Ariel代墊|中信銀行共用"")), ""內部轉帳(忽略)"",
  AND(E2677&lt;&gt;"""", F2677&lt;&gt;"""", N"&amp;"OT(REGEXMATCH(C2677, ""薪資""))), ""內部轉帳(忽略)"",
  REGEXMATCH(C2677, ""薪資""), ""薪資變動(不計入)"",
  REGEXMATCH(C2677, ""押金""), ""押金往來"",
  AND(E2677&lt;&gt;"""", F2677=""""), ""真實支出"",
  AND(E2677="""", F2677&lt;&gt;""""), ""真實收入"",
  TRUE, ""其他""
)"),"真實收入")</f>
        <v>真實收入</v>
      </c>
      <c r="K2677" s="270">
        <f t="shared" si="2"/>
        <v>11000</v>
      </c>
      <c r="L2677">
        <f t="shared" si="3"/>
        <v>0</v>
      </c>
    </row>
    <row r="2678">
      <c r="A2678" s="107">
        <f>IFERROR(__xludf.DUMMYFUNCTION("""COMPUTED_VALUE"""),45939.0)</f>
        <v>45939</v>
      </c>
      <c r="B2678" t="str">
        <f>IFERROR(__xludf.DUMMYFUNCTION("""COMPUTED_VALUE"""),"鑰匙兩組")</f>
        <v>鑰匙兩組</v>
      </c>
      <c r="C2678" t="str">
        <f>IFERROR(__xludf.DUMMYFUNCTION("""COMPUTED_VALUE"""),"成本 - 進場前裝潢費")</f>
        <v>成本 - 進場前裝潢費</v>
      </c>
      <c r="D2678" s="270">
        <f>IFERROR(__xludf.DUMMYFUNCTION("""COMPUTED_VALUE"""),-560.0)</f>
        <v>-560</v>
      </c>
      <c r="E2678" t="str">
        <f>IFERROR(__xludf.DUMMYFUNCTION("""COMPUTED_VALUE"""),"Elsa帳戶")</f>
        <v>Elsa帳戶</v>
      </c>
      <c r="G2678" t="str">
        <f>IFERROR(__xludf.DUMMYFUNCTION("""COMPUTED_VALUE"""),"天母搜狗")</f>
        <v>天母搜狗</v>
      </c>
      <c r="H2678" s="106" t="str">
        <f t="shared" si="1"/>
        <v>2025-10</v>
      </c>
      <c r="I2678" s="271" t="str">
        <f>IFERROR(__xludf.DUMMYFUNCTION("""COMPUTED_VALUE"""),"貓狗企鵝")</f>
        <v>貓狗企鵝</v>
      </c>
      <c r="J2678" t="str">
        <f>IFERROR(__xludf.DUMMYFUNCTION("IFS(
  AND(REGEXMATCH(E2678, ""台銀籌備帳戶|玉山帳戶""), REGEXMATCH(C2678, ""薪資"")), ""分潤支出"",
  AND(REGEXMATCH(E2678, ""Ben帳戶|Elsa帳戶|Ben代墊|Ariel代墊|中信銀行共用""), REGEXMATCH(F2678, ""Ben帳戶|Elsa帳戶|Ben代墊|Ariel代墊|中信銀行共用"")), ""內部轉帳(忽略)"",
  AND(E2678&lt;&gt;"""", F2678&lt;&gt;"""", N"&amp;"OT(REGEXMATCH(C2678, ""薪資""))), ""內部轉帳(忽略)"",
  REGEXMATCH(C2678, ""薪資""), ""薪資變動(不計入)"",
  REGEXMATCH(C2678, ""押金""), ""押金往來"",
  AND(E2678&lt;&gt;"""", F2678=""""), ""真實支出"",
  AND(E2678="""", F2678&lt;&gt;""""), ""真實收入"",
  TRUE, ""其他""
)"),"真實支出")</f>
        <v>真實支出</v>
      </c>
      <c r="K2678" s="270">
        <f t="shared" si="2"/>
        <v>-560</v>
      </c>
      <c r="L2678">
        <f t="shared" si="3"/>
        <v>0</v>
      </c>
    </row>
    <row r="2679">
      <c r="A2679" s="107">
        <f>IFERROR(__xludf.DUMMYFUNCTION("""COMPUTED_VALUE"""),45940.0)</f>
        <v>45940</v>
      </c>
      <c r="B2679" t="str">
        <f>IFERROR(__xludf.DUMMYFUNCTION("""COMPUTED_VALUE"""),"大湖清潔")</f>
        <v>大湖清潔</v>
      </c>
      <c r="C2679" t="str">
        <f>IFERROR(__xludf.DUMMYFUNCTION("""COMPUTED_VALUE"""),"成本 - 固定開銷(網路代收清潔)")</f>
        <v>成本 - 固定開銷(網路代收清潔)</v>
      </c>
      <c r="D2679" s="270">
        <f>IFERROR(__xludf.DUMMYFUNCTION("""COMPUTED_VALUE"""),-1050.0)</f>
        <v>-1050</v>
      </c>
      <c r="E2679" t="str">
        <f>IFERROR(__xludf.DUMMYFUNCTION("""COMPUTED_VALUE"""),"Elsa帳戶")</f>
        <v>Elsa帳戶</v>
      </c>
      <c r="G2679" t="str">
        <f>IFERROR(__xludf.DUMMYFUNCTION("""COMPUTED_VALUE"""),"大湖山莊")</f>
        <v>大湖山莊</v>
      </c>
      <c r="H2679" s="106" t="str">
        <f t="shared" si="1"/>
        <v>2025-10</v>
      </c>
      <c r="I2679" s="271" t="str">
        <f>IFERROR(__xludf.DUMMYFUNCTION("""COMPUTED_VALUE"""),"貓狗企鵝")</f>
        <v>貓狗企鵝</v>
      </c>
      <c r="J2679" t="str">
        <f>IFERROR(__xludf.DUMMYFUNCTION("IFS(
  AND(REGEXMATCH(E2679, ""台銀籌備帳戶|玉山帳戶""), REGEXMATCH(C2679, ""薪資"")), ""分潤支出"",
  AND(REGEXMATCH(E2679, ""Ben帳戶|Elsa帳戶|Ben代墊|Ariel代墊|中信銀行共用""), REGEXMATCH(F2679, ""Ben帳戶|Elsa帳戶|Ben代墊|Ariel代墊|中信銀行共用"")), ""內部轉帳(忽略)"",
  AND(E2679&lt;&gt;"""", F2679&lt;&gt;"""", N"&amp;"OT(REGEXMATCH(C2679, ""薪資""))), ""內部轉帳(忽略)"",
  REGEXMATCH(C2679, ""薪資""), ""薪資變動(不計入)"",
  REGEXMATCH(C2679, ""押金""), ""押金往來"",
  AND(E2679&lt;&gt;"""", F2679=""""), ""真實支出"",
  AND(E2679="""", F2679&lt;&gt;""""), ""真實收入"",
  TRUE, ""其他""
)"),"真實支出")</f>
        <v>真實支出</v>
      </c>
      <c r="K2679" s="270">
        <f t="shared" si="2"/>
        <v>-1050</v>
      </c>
      <c r="L2679">
        <f t="shared" si="3"/>
        <v>0</v>
      </c>
    </row>
    <row r="2680">
      <c r="A2680" s="107">
        <f>IFERROR(__xludf.DUMMYFUNCTION("""COMPUTED_VALUE"""),45888.0)</f>
        <v>45888</v>
      </c>
      <c r="B2680" t="str">
        <f>IFERROR(__xludf.DUMMYFUNCTION("""COMPUTED_VALUE"""),"永春兩台冷氣")</f>
        <v>永春兩台冷氣</v>
      </c>
      <c r="C2680" t="str">
        <f>IFERROR(__xludf.DUMMYFUNCTION("""COMPUTED_VALUE"""),"收入 - 政府補助/退稅")</f>
        <v>收入 - 政府補助/退稅</v>
      </c>
      <c r="D2680" s="270">
        <f>IFERROR(__xludf.DUMMYFUNCTION("""COMPUTED_VALUE"""),3200.0)</f>
        <v>3200</v>
      </c>
      <c r="F2680" t="str">
        <f>IFERROR(__xludf.DUMMYFUNCTION("""COMPUTED_VALUE"""),"Elsa帳戶")</f>
        <v>Elsa帳戶</v>
      </c>
      <c r="G2680" t="str">
        <f>IFERROR(__xludf.DUMMYFUNCTION("""COMPUTED_VALUE"""),"永春四號")</f>
        <v>永春四號</v>
      </c>
      <c r="H2680" s="106" t="str">
        <f t="shared" si="1"/>
        <v>2025-08</v>
      </c>
      <c r="I2680" s="271" t="str">
        <f>IFERROR(__xludf.DUMMYFUNCTION("""COMPUTED_VALUE"""),"貓狗企鵝")</f>
        <v>貓狗企鵝</v>
      </c>
      <c r="J2680" t="str">
        <f>IFERROR(__xludf.DUMMYFUNCTION("IFS(
  AND(REGEXMATCH(E2680, ""台銀籌備帳戶|玉山帳戶""), REGEXMATCH(C2680, ""薪資"")), ""分潤支出"",
  AND(REGEXMATCH(E2680, ""Ben帳戶|Elsa帳戶|Ben代墊|Ariel代墊|中信銀行共用""), REGEXMATCH(F2680, ""Ben帳戶|Elsa帳戶|Ben代墊|Ariel代墊|中信銀行共用"")), ""內部轉帳(忽略)"",
  AND(E2680&lt;&gt;"""", F2680&lt;&gt;"""", N"&amp;"OT(REGEXMATCH(C2680, ""薪資""))), ""內部轉帳(忽略)"",
  REGEXMATCH(C2680, ""薪資""), ""薪資變動(不計入)"",
  REGEXMATCH(C2680, ""押金""), ""押金往來"",
  AND(E2680&lt;&gt;"""", F2680=""""), ""真實支出"",
  AND(E2680="""", F2680&lt;&gt;""""), ""真實收入"",
  TRUE, ""其他""
)"),"真實收入")</f>
        <v>真實收入</v>
      </c>
      <c r="K2680" s="270">
        <f t="shared" si="2"/>
        <v>3200</v>
      </c>
      <c r="L2680">
        <f t="shared" si="3"/>
        <v>0</v>
      </c>
    </row>
    <row r="2681">
      <c r="A2681" s="107">
        <f>IFERROR(__xludf.DUMMYFUNCTION("""COMPUTED_VALUE"""),45943.0)</f>
        <v>45943</v>
      </c>
      <c r="B2681" t="str">
        <f>IFERROR(__xludf.DUMMYFUNCTION("""COMPUTED_VALUE"""),"大湖水電瓦斯 B 跟 八月")</f>
        <v>大湖水電瓦斯 B 跟 八月</v>
      </c>
      <c r="C2681" t="str">
        <f>IFERROR(__xludf.DUMMYFUNCTION("""COMPUTED_VALUE"""),"成本 - 固定開銷(網路代收清潔)")</f>
        <v>成本 - 固定開銷(網路代收清潔)</v>
      </c>
      <c r="D2681" s="270">
        <f>IFERROR(__xludf.DUMMYFUNCTION("""COMPUTED_VALUE"""),-3250.0)</f>
        <v>-3250</v>
      </c>
      <c r="E2681" t="str">
        <f>IFERROR(__xludf.DUMMYFUNCTION("""COMPUTED_VALUE"""),"Ben帳戶")</f>
        <v>Ben帳戶</v>
      </c>
      <c r="G2681" t="str">
        <f>IFERROR(__xludf.DUMMYFUNCTION("""COMPUTED_VALUE"""),"大湖山莊")</f>
        <v>大湖山莊</v>
      </c>
      <c r="H2681" s="106" t="str">
        <f t="shared" si="1"/>
        <v>2025-10</v>
      </c>
      <c r="I2681" s="271" t="str">
        <f>IFERROR(__xludf.DUMMYFUNCTION("""COMPUTED_VALUE"""),"貓狗企鵝")</f>
        <v>貓狗企鵝</v>
      </c>
      <c r="J2681" t="str">
        <f>IFERROR(__xludf.DUMMYFUNCTION("IFS(
  AND(REGEXMATCH(E2681, ""台銀籌備帳戶|玉山帳戶""), REGEXMATCH(C2681, ""薪資"")), ""分潤支出"",
  AND(REGEXMATCH(E2681, ""Ben帳戶|Elsa帳戶|Ben代墊|Ariel代墊|中信銀行共用""), REGEXMATCH(F2681, ""Ben帳戶|Elsa帳戶|Ben代墊|Ariel代墊|中信銀行共用"")), ""內部轉帳(忽略)"",
  AND(E2681&lt;&gt;"""", F2681&lt;&gt;"""", N"&amp;"OT(REGEXMATCH(C2681, ""薪資""))), ""內部轉帳(忽略)"",
  REGEXMATCH(C2681, ""薪資""), ""薪資變動(不計入)"",
  REGEXMATCH(C2681, ""押金""), ""押金往來"",
  AND(E2681&lt;&gt;"""", F2681=""""), ""真實支出"",
  AND(E2681="""", F2681&lt;&gt;""""), ""真實收入"",
  TRUE, ""其他""
)"),"真實支出")</f>
        <v>真實支出</v>
      </c>
      <c r="K2681" s="270">
        <f t="shared" si="2"/>
        <v>-3250</v>
      </c>
      <c r="L2681">
        <f t="shared" si="3"/>
        <v>0</v>
      </c>
    </row>
    <row r="2682">
      <c r="A2682" s="107">
        <f>IFERROR(__xludf.DUMMYFUNCTION("""COMPUTED_VALUE"""),45943.0)</f>
        <v>45943</v>
      </c>
      <c r="B2682" t="str">
        <f>IFERROR(__xludf.DUMMYFUNCTION("""COMPUTED_VALUE"""),"景安 591")</f>
        <v>景安 591</v>
      </c>
      <c r="C2682" t="str">
        <f>IFERROR(__xludf.DUMMYFUNCTION("""COMPUTED_VALUE"""),"成本 - 仲介費")</f>
        <v>成本 - 仲介費</v>
      </c>
      <c r="D2682" s="270">
        <f>IFERROR(__xludf.DUMMYFUNCTION("""COMPUTED_VALUE"""),-1289.0)</f>
        <v>-1289</v>
      </c>
      <c r="E2682" t="str">
        <f>IFERROR(__xludf.DUMMYFUNCTION("""COMPUTED_VALUE"""),"Elsa帳戶")</f>
        <v>Elsa帳戶</v>
      </c>
      <c r="G2682" t="str">
        <f>IFERROR(__xludf.DUMMYFUNCTION("""COMPUTED_VALUE"""),"景安2分鐘")</f>
        <v>景安2分鐘</v>
      </c>
      <c r="H2682" s="106" t="str">
        <f t="shared" si="1"/>
        <v>2025-10</v>
      </c>
      <c r="I2682" s="271" t="str">
        <f>IFERROR(__xludf.DUMMYFUNCTION("""COMPUTED_VALUE"""),"貓狗企鵝")</f>
        <v>貓狗企鵝</v>
      </c>
      <c r="J2682" t="str">
        <f>IFERROR(__xludf.DUMMYFUNCTION("IFS(
  AND(REGEXMATCH(E2682, ""台銀籌備帳戶|玉山帳戶""), REGEXMATCH(C2682, ""薪資"")), ""分潤支出"",
  AND(REGEXMATCH(E2682, ""Ben帳戶|Elsa帳戶|Ben代墊|Ariel代墊|中信銀行共用""), REGEXMATCH(F2682, ""Ben帳戶|Elsa帳戶|Ben代墊|Ariel代墊|中信銀行共用"")), ""內部轉帳(忽略)"",
  AND(E2682&lt;&gt;"""", F2682&lt;&gt;"""", N"&amp;"OT(REGEXMATCH(C2682, ""薪資""))), ""內部轉帳(忽略)"",
  REGEXMATCH(C2682, ""薪資""), ""薪資變動(不計入)"",
  REGEXMATCH(C2682, ""押金""), ""押金往來"",
  AND(E2682&lt;&gt;"""", F2682=""""), ""真實支出"",
  AND(E2682="""", F2682&lt;&gt;""""), ""真實收入"",
  TRUE, ""其他""
)"),"真實支出")</f>
        <v>真實支出</v>
      </c>
      <c r="K2682" s="270">
        <f t="shared" si="2"/>
        <v>-1289</v>
      </c>
      <c r="L2682">
        <f t="shared" si="3"/>
        <v>0</v>
      </c>
    </row>
    <row r="2683">
      <c r="A2683" s="107">
        <f>IFERROR(__xludf.DUMMYFUNCTION("""COMPUTED_VALUE"""),45946.0)</f>
        <v>45946</v>
      </c>
      <c r="B2683" t="str">
        <f>IFERROR(__xludf.DUMMYFUNCTION("""COMPUTED_VALUE"""),"大湖網路")</f>
        <v>大湖網路</v>
      </c>
      <c r="C2683" t="str">
        <f>IFERROR(__xludf.DUMMYFUNCTION("""COMPUTED_VALUE"""),"成本 - 固定開銷(網路代收清潔)")</f>
        <v>成本 - 固定開銷(網路代收清潔)</v>
      </c>
      <c r="D2683" s="270">
        <f>IFERROR(__xludf.DUMMYFUNCTION("""COMPUTED_VALUE"""),-2997.0)</f>
        <v>-2997</v>
      </c>
      <c r="E2683" t="str">
        <f>IFERROR(__xludf.DUMMYFUNCTION("""COMPUTED_VALUE"""),"Ben帳戶")</f>
        <v>Ben帳戶</v>
      </c>
      <c r="G2683" t="str">
        <f>IFERROR(__xludf.DUMMYFUNCTION("""COMPUTED_VALUE"""),"大湖山莊")</f>
        <v>大湖山莊</v>
      </c>
      <c r="H2683" s="106" t="str">
        <f t="shared" si="1"/>
        <v>2025-10</v>
      </c>
      <c r="I2683" s="271" t="str">
        <f>IFERROR(__xludf.DUMMYFUNCTION("""COMPUTED_VALUE"""),"貓狗企鵝")</f>
        <v>貓狗企鵝</v>
      </c>
      <c r="J2683" t="str">
        <f>IFERROR(__xludf.DUMMYFUNCTION("IFS(
  AND(REGEXMATCH(E2683, ""台銀籌備帳戶|玉山帳戶""), REGEXMATCH(C2683, ""薪資"")), ""分潤支出"",
  AND(REGEXMATCH(E2683, ""Ben帳戶|Elsa帳戶|Ben代墊|Ariel代墊|中信銀行共用""), REGEXMATCH(F2683, ""Ben帳戶|Elsa帳戶|Ben代墊|Ariel代墊|中信銀行共用"")), ""內部轉帳(忽略)"",
  AND(E2683&lt;&gt;"""", F2683&lt;&gt;"""", N"&amp;"OT(REGEXMATCH(C2683, ""薪資""))), ""內部轉帳(忽略)"",
  REGEXMATCH(C2683, ""薪資""), ""薪資變動(不計入)"",
  REGEXMATCH(C2683, ""押金""), ""押金往來"",
  AND(E2683&lt;&gt;"""", F2683=""""), ""真實支出"",
  AND(E2683="""", F2683&lt;&gt;""""), ""真實收入"",
  TRUE, ""其他""
)"),"真實支出")</f>
        <v>真實支出</v>
      </c>
      <c r="K2683" s="270">
        <f t="shared" si="2"/>
        <v>-2997</v>
      </c>
      <c r="L2683">
        <f t="shared" si="3"/>
        <v>0</v>
      </c>
    </row>
    <row r="2684">
      <c r="A2684" s="107">
        <f>IFERROR(__xludf.DUMMYFUNCTION("""COMPUTED_VALUE"""),45946.0)</f>
        <v>45946</v>
      </c>
      <c r="B2684" t="str">
        <f>IFERROR(__xludf.DUMMYFUNCTION("""COMPUTED_VALUE"""),"密碼盒*3")</f>
        <v>密碼盒*3</v>
      </c>
      <c r="C2684" t="str">
        <f>IFERROR(__xludf.DUMMYFUNCTION("""COMPUTED_VALUE"""),"成本 - 進場前裝潢費")</f>
        <v>成本 - 進場前裝潢費</v>
      </c>
      <c r="D2684" s="270">
        <f>IFERROR(__xludf.DUMMYFUNCTION("""COMPUTED_VALUE"""),-417.0)</f>
        <v>-417</v>
      </c>
      <c r="E2684" t="str">
        <f>IFERROR(__xludf.DUMMYFUNCTION("""COMPUTED_VALUE"""),"Elsa帳戶")</f>
        <v>Elsa帳戶</v>
      </c>
      <c r="G2684" t="str">
        <f>IFERROR(__xludf.DUMMYFUNCTION("""COMPUTED_VALUE"""),"天母搜狗")</f>
        <v>天母搜狗</v>
      </c>
      <c r="H2684" s="106" t="str">
        <f t="shared" si="1"/>
        <v>2025-10</v>
      </c>
      <c r="I2684" s="271" t="str">
        <f>IFERROR(__xludf.DUMMYFUNCTION("""COMPUTED_VALUE"""),"貓狗企鵝")</f>
        <v>貓狗企鵝</v>
      </c>
      <c r="J2684" t="str">
        <f>IFERROR(__xludf.DUMMYFUNCTION("IFS(
  AND(REGEXMATCH(E2684, ""台銀籌備帳戶|玉山帳戶""), REGEXMATCH(C2684, ""薪資"")), ""分潤支出"",
  AND(REGEXMATCH(E2684, ""Ben帳戶|Elsa帳戶|Ben代墊|Ariel代墊|中信銀行共用""), REGEXMATCH(F2684, ""Ben帳戶|Elsa帳戶|Ben代墊|Ariel代墊|中信銀行共用"")), ""內部轉帳(忽略)"",
  AND(E2684&lt;&gt;"""", F2684&lt;&gt;"""", N"&amp;"OT(REGEXMATCH(C2684, ""薪資""))), ""內部轉帳(忽略)"",
  REGEXMATCH(C2684, ""薪資""), ""薪資變動(不計入)"",
  REGEXMATCH(C2684, ""押金""), ""押金往來"",
  AND(E2684&lt;&gt;"""", F2684=""""), ""真實支出"",
  AND(E2684="""", F2684&lt;&gt;""""), ""真實收入"",
  TRUE, ""其他""
)"),"真實支出")</f>
        <v>真實支出</v>
      </c>
      <c r="K2684" s="270">
        <f t="shared" si="2"/>
        <v>-417</v>
      </c>
      <c r="L2684">
        <f t="shared" si="3"/>
        <v>0</v>
      </c>
    </row>
    <row r="2685">
      <c r="A2685" s="107">
        <f>IFERROR(__xludf.DUMMYFUNCTION("""COMPUTED_VALUE"""),45948.0)</f>
        <v>45948</v>
      </c>
      <c r="B2685" t="str">
        <f>IFERROR(__xludf.DUMMYFUNCTION("""COMPUTED_VALUE"""),"書香民生 清潔3小時")</f>
        <v>書香民生 清潔3小時</v>
      </c>
      <c r="C2685" t="str">
        <f>IFERROR(__xludf.DUMMYFUNCTION("""COMPUTED_VALUE"""),"成本 - 固定開銷(網路代收清潔)")</f>
        <v>成本 - 固定開銷(網路代收清潔)</v>
      </c>
      <c r="D2685" s="270">
        <f>IFERROR(__xludf.DUMMYFUNCTION("""COMPUTED_VALUE"""),-1050.0)</f>
        <v>-1050</v>
      </c>
      <c r="E2685" t="str">
        <f>IFERROR(__xludf.DUMMYFUNCTION("""COMPUTED_VALUE"""),"Elsa帳戶")</f>
        <v>Elsa帳戶</v>
      </c>
      <c r="G2685" t="str">
        <f>IFERROR(__xludf.DUMMYFUNCTION("""COMPUTED_VALUE"""),"書香民生")</f>
        <v>書香民生</v>
      </c>
      <c r="H2685" s="106" t="str">
        <f t="shared" si="1"/>
        <v>2025-10</v>
      </c>
      <c r="I2685" s="271" t="str">
        <f>IFERROR(__xludf.DUMMYFUNCTION("""COMPUTED_VALUE"""),"貓狗企鵝")</f>
        <v>貓狗企鵝</v>
      </c>
      <c r="J2685" t="str">
        <f>IFERROR(__xludf.DUMMYFUNCTION("IFS(
  AND(REGEXMATCH(E2685, ""台銀籌備帳戶|玉山帳戶""), REGEXMATCH(C2685, ""薪資"")), ""分潤支出"",
  AND(REGEXMATCH(E2685, ""Ben帳戶|Elsa帳戶|Ben代墊|Ariel代墊|中信銀行共用""), REGEXMATCH(F2685, ""Ben帳戶|Elsa帳戶|Ben代墊|Ariel代墊|中信銀行共用"")), ""內部轉帳(忽略)"",
  AND(E2685&lt;&gt;"""", F2685&lt;&gt;"""", N"&amp;"OT(REGEXMATCH(C2685, ""薪資""))), ""內部轉帳(忽略)"",
  REGEXMATCH(C2685, ""薪資""), ""薪資變動(不計入)"",
  REGEXMATCH(C2685, ""押金""), ""押金往來"",
  AND(E2685&lt;&gt;"""", F2685=""""), ""真實支出"",
  AND(E2685="""", F2685&lt;&gt;""""), ""真實收入"",
  TRUE, ""其他""
)"),"真實支出")</f>
        <v>真實支出</v>
      </c>
      <c r="K2685" s="270">
        <f t="shared" si="2"/>
        <v>-1050</v>
      </c>
      <c r="L2685">
        <f t="shared" si="3"/>
        <v>0</v>
      </c>
    </row>
    <row r="2686">
      <c r="A2686" s="107">
        <f>IFERROR(__xludf.DUMMYFUNCTION("""COMPUTED_VALUE"""),45950.0)</f>
        <v>45950</v>
      </c>
      <c r="B2686" t="str">
        <f>IFERROR(__xludf.DUMMYFUNCTION("""COMPUTED_VALUE"""),"景安A能源費 退")</f>
        <v>景安A能源費 退</v>
      </c>
      <c r="C2686" t="str">
        <f>IFERROR(__xludf.DUMMYFUNCTION("""COMPUTED_VALUE"""),"成本 - 租後修繕")</f>
        <v>成本 - 租後修繕</v>
      </c>
      <c r="D2686" s="270">
        <f>IFERROR(__xludf.DUMMYFUNCTION("""COMPUTED_VALUE"""),-396.0)</f>
        <v>-396</v>
      </c>
      <c r="E2686" t="str">
        <f>IFERROR(__xludf.DUMMYFUNCTION("""COMPUTED_VALUE"""),"Elsa帳戶")</f>
        <v>Elsa帳戶</v>
      </c>
      <c r="G2686" t="str">
        <f>IFERROR(__xludf.DUMMYFUNCTION("""COMPUTED_VALUE"""),"景安2分鐘")</f>
        <v>景安2分鐘</v>
      </c>
      <c r="H2686" s="106" t="str">
        <f t="shared" si="1"/>
        <v>2025-10</v>
      </c>
      <c r="I2686" s="271" t="str">
        <f>IFERROR(__xludf.DUMMYFUNCTION("""COMPUTED_VALUE"""),"貓狗企鵝")</f>
        <v>貓狗企鵝</v>
      </c>
      <c r="J2686" t="str">
        <f>IFERROR(__xludf.DUMMYFUNCTION("IFS(
  AND(REGEXMATCH(E2686, ""台銀籌備帳戶|玉山帳戶""), REGEXMATCH(C2686, ""薪資"")), ""分潤支出"",
  AND(REGEXMATCH(E2686, ""Ben帳戶|Elsa帳戶|Ben代墊|Ariel代墊|中信銀行共用""), REGEXMATCH(F2686, ""Ben帳戶|Elsa帳戶|Ben代墊|Ariel代墊|中信銀行共用"")), ""內部轉帳(忽略)"",
  AND(E2686&lt;&gt;"""", F2686&lt;&gt;"""", N"&amp;"OT(REGEXMATCH(C2686, ""薪資""))), ""內部轉帳(忽略)"",
  REGEXMATCH(C2686, ""薪資""), ""薪資變動(不計入)"",
  REGEXMATCH(C2686, ""押金""), ""押金往來"",
  AND(E2686&lt;&gt;"""", F2686=""""), ""真實支出"",
  AND(E2686="""", F2686&lt;&gt;""""), ""真實收入"",
  TRUE, ""其他""
)"),"真實支出")</f>
        <v>真實支出</v>
      </c>
      <c r="K2686" s="270">
        <f t="shared" si="2"/>
        <v>-396</v>
      </c>
      <c r="L2686">
        <f t="shared" si="3"/>
        <v>0</v>
      </c>
    </row>
    <row r="2687">
      <c r="A2687" s="107">
        <f>IFERROR(__xludf.DUMMYFUNCTION("""COMPUTED_VALUE"""),45951.0)</f>
        <v>45951</v>
      </c>
      <c r="B2687" t="str">
        <f>IFERROR(__xludf.DUMMYFUNCTION("""COMPUTED_VALUE"""),"Feli老家 能源費")</f>
        <v>Feli老家 能源費</v>
      </c>
      <c r="C2687" t="str">
        <f>IFERROR(__xludf.DUMMYFUNCTION("""COMPUTED_VALUE"""),"成本 - 租後修繕")</f>
        <v>成本 - 租後修繕</v>
      </c>
      <c r="D2687" s="270">
        <f>IFERROR(__xludf.DUMMYFUNCTION("""COMPUTED_VALUE"""),-346.0)</f>
        <v>-346</v>
      </c>
      <c r="E2687" t="str">
        <f>IFERROR(__xludf.DUMMYFUNCTION("""COMPUTED_VALUE"""),"Elsa帳戶")</f>
        <v>Elsa帳戶</v>
      </c>
      <c r="G2687" t="str">
        <f>IFERROR(__xludf.DUMMYFUNCTION("""COMPUTED_VALUE"""),"中山北Feli家")</f>
        <v>中山北Feli家</v>
      </c>
      <c r="H2687" s="106" t="str">
        <f t="shared" si="1"/>
        <v>2025-10</v>
      </c>
      <c r="I2687" s="271" t="str">
        <f>IFERROR(__xludf.DUMMYFUNCTION("""COMPUTED_VALUE"""),"貓狗企鵝")</f>
        <v>貓狗企鵝</v>
      </c>
      <c r="J2687" t="str">
        <f>IFERROR(__xludf.DUMMYFUNCTION("IFS(
  AND(REGEXMATCH(E2687, ""台銀籌備帳戶|玉山帳戶""), REGEXMATCH(C2687, ""薪資"")), ""分潤支出"",
  AND(REGEXMATCH(E2687, ""Ben帳戶|Elsa帳戶|Ben代墊|Ariel代墊|中信銀行共用""), REGEXMATCH(F2687, ""Ben帳戶|Elsa帳戶|Ben代墊|Ariel代墊|中信銀行共用"")), ""內部轉帳(忽略)"",
  AND(E2687&lt;&gt;"""", F2687&lt;&gt;"""", N"&amp;"OT(REGEXMATCH(C2687, ""薪資""))), ""內部轉帳(忽略)"",
  REGEXMATCH(C2687, ""薪資""), ""薪資變動(不計入)"",
  REGEXMATCH(C2687, ""押金""), ""押金往來"",
  AND(E2687&lt;&gt;"""", F2687=""""), ""真實支出"",
  AND(E2687="""", F2687&lt;&gt;""""), ""真實收入"",
  TRUE, ""其他""
)"),"真實支出")</f>
        <v>真實支出</v>
      </c>
      <c r="K2687" s="270">
        <f t="shared" si="2"/>
        <v>-346</v>
      </c>
      <c r="L2687">
        <f t="shared" si="3"/>
        <v>0</v>
      </c>
    </row>
    <row r="2688">
      <c r="A2688" s="107">
        <f>IFERROR(__xludf.DUMMYFUNCTION("""COMPUTED_VALUE"""),45952.0)</f>
        <v>45952</v>
      </c>
      <c r="B2688" t="str">
        <f>IFERROR(__xludf.DUMMYFUNCTION("""COMPUTED_VALUE"""),"龍江 能源費")</f>
        <v>龍江 能源費</v>
      </c>
      <c r="C2688" t="str">
        <f>IFERROR(__xludf.DUMMYFUNCTION("""COMPUTED_VALUE"""),"成本 - 租後修繕")</f>
        <v>成本 - 租後修繕</v>
      </c>
      <c r="D2688" s="270">
        <f>IFERROR(__xludf.DUMMYFUNCTION("""COMPUTED_VALUE"""),-732.0)</f>
        <v>-732</v>
      </c>
      <c r="E2688" t="str">
        <f>IFERROR(__xludf.DUMMYFUNCTION("""COMPUTED_VALUE"""),"Elsa帳戶")</f>
        <v>Elsa帳戶</v>
      </c>
      <c r="G2688" t="str">
        <f>IFERROR(__xludf.DUMMYFUNCTION("""COMPUTED_VALUE"""),"龍江229")</f>
        <v>龍江229</v>
      </c>
      <c r="H2688" s="106" t="str">
        <f t="shared" si="1"/>
        <v>2025-10</v>
      </c>
      <c r="I2688" s="271" t="str">
        <f>IFERROR(__xludf.DUMMYFUNCTION("""COMPUTED_VALUE"""),"貓狗企鵝")</f>
        <v>貓狗企鵝</v>
      </c>
      <c r="J2688" t="str">
        <f>IFERROR(__xludf.DUMMYFUNCTION("IFS(
  AND(REGEXMATCH(E2688, ""台銀籌備帳戶|玉山帳戶""), REGEXMATCH(C2688, ""薪資"")), ""分潤支出"",
  AND(REGEXMATCH(E2688, ""Ben帳戶|Elsa帳戶|Ben代墊|Ariel代墊|中信銀行共用""), REGEXMATCH(F2688, ""Ben帳戶|Elsa帳戶|Ben代墊|Ariel代墊|中信銀行共用"")), ""內部轉帳(忽略)"",
  AND(E2688&lt;&gt;"""", F2688&lt;&gt;"""", N"&amp;"OT(REGEXMATCH(C2688, ""薪資""))), ""內部轉帳(忽略)"",
  REGEXMATCH(C2688, ""薪資""), ""薪資變動(不計入)"",
  REGEXMATCH(C2688, ""押金""), ""押金往來"",
  AND(E2688&lt;&gt;"""", F2688=""""), ""真實支出"",
  AND(E2688="""", F2688&lt;&gt;""""), ""真實收入"",
  TRUE, ""其他""
)"),"真實支出")</f>
        <v>真實支出</v>
      </c>
      <c r="K2688" s="270">
        <f t="shared" si="2"/>
        <v>-732</v>
      </c>
      <c r="L2688">
        <f t="shared" si="3"/>
        <v>0</v>
      </c>
    </row>
    <row r="2689">
      <c r="A2689" s="107">
        <f>IFERROR(__xludf.DUMMYFUNCTION("""COMPUTED_VALUE"""),45953.0)</f>
        <v>45953</v>
      </c>
      <c r="B2689" t="str">
        <f>IFERROR(__xludf.DUMMYFUNCTION("""COMPUTED_VALUE"""),"中嘉網路娘家")</f>
        <v>中嘉網路娘家</v>
      </c>
      <c r="C2689" t="str">
        <f>IFERROR(__xludf.DUMMYFUNCTION("""COMPUTED_VALUE"""),"成本 - 固定開銷(網路代收清潔)")</f>
        <v>成本 - 固定開銷(網路代收清潔)</v>
      </c>
      <c r="D2689" s="270">
        <f>IFERROR(__xludf.DUMMYFUNCTION("""COMPUTED_VALUE"""),-1197.0)</f>
        <v>-1197</v>
      </c>
      <c r="E2689" t="str">
        <f>IFERROR(__xludf.DUMMYFUNCTION("""COMPUTED_VALUE"""),"Ben帳戶")</f>
        <v>Ben帳戶</v>
      </c>
      <c r="G2689" t="str">
        <f>IFERROR(__xludf.DUMMYFUNCTION("""COMPUTED_VALUE"""),"中山北娘家旁")</f>
        <v>中山北娘家旁</v>
      </c>
      <c r="H2689" s="106" t="str">
        <f t="shared" si="1"/>
        <v>2025-10</v>
      </c>
      <c r="I2689" s="271" t="str">
        <f>IFERROR(__xludf.DUMMYFUNCTION("""COMPUTED_VALUE"""),"貓狗企鵝")</f>
        <v>貓狗企鵝</v>
      </c>
      <c r="J2689" t="str">
        <f>IFERROR(__xludf.DUMMYFUNCTION("IFS(
  AND(REGEXMATCH(E2689, ""台銀籌備帳戶|玉山帳戶""), REGEXMATCH(C2689, ""薪資"")), ""分潤支出"",
  AND(REGEXMATCH(E2689, ""Ben帳戶|Elsa帳戶|Ben代墊|Ariel代墊|中信銀行共用""), REGEXMATCH(F2689, ""Ben帳戶|Elsa帳戶|Ben代墊|Ariel代墊|中信銀行共用"")), ""內部轉帳(忽略)"",
  AND(E2689&lt;&gt;"""", F2689&lt;&gt;"""", N"&amp;"OT(REGEXMATCH(C2689, ""薪資""))), ""內部轉帳(忽略)"",
  REGEXMATCH(C2689, ""薪資""), ""薪資變動(不計入)"",
  REGEXMATCH(C2689, ""押金""), ""押金往來"",
  AND(E2689&lt;&gt;"""", F2689=""""), ""真實支出"",
  AND(E2689="""", F2689&lt;&gt;""""), ""真實收入"",
  TRUE, ""其他""
)"),"真實支出")</f>
        <v>真實支出</v>
      </c>
      <c r="K2689" s="270">
        <f t="shared" si="2"/>
        <v>-1197</v>
      </c>
      <c r="L2689">
        <f t="shared" si="3"/>
        <v>0</v>
      </c>
    </row>
    <row r="2690">
      <c r="A2690" s="107">
        <f>IFERROR(__xludf.DUMMYFUNCTION("""COMPUTED_VALUE"""),45953.0)</f>
        <v>45953</v>
      </c>
      <c r="B2690" t="str">
        <f>IFERROR(__xludf.DUMMYFUNCTION("""COMPUTED_VALUE"""),"存證信函")</f>
        <v>存證信函</v>
      </c>
      <c r="C2690" t="str">
        <f>IFERROR(__xludf.DUMMYFUNCTION("""COMPUTED_VALUE"""),"費用 - 法律會計費用")</f>
        <v>費用 - 法律會計費用</v>
      </c>
      <c r="D2690" s="270">
        <f>IFERROR(__xludf.DUMMYFUNCTION("""COMPUTED_VALUE"""),-780.0)</f>
        <v>-780</v>
      </c>
      <c r="E2690" t="str">
        <f>IFERROR(__xludf.DUMMYFUNCTION("""COMPUTED_VALUE"""),"Ben帳戶")</f>
        <v>Ben帳戶</v>
      </c>
      <c r="G2690" t="str">
        <f>IFERROR(__xludf.DUMMYFUNCTION("""COMPUTED_VALUE"""),"龍江229")</f>
        <v>龍江229</v>
      </c>
      <c r="H2690" s="106" t="str">
        <f t="shared" si="1"/>
        <v>2025-10</v>
      </c>
      <c r="I2690" s="271" t="str">
        <f>IFERROR(__xludf.DUMMYFUNCTION("""COMPUTED_VALUE"""),"貓狗企鵝")</f>
        <v>貓狗企鵝</v>
      </c>
      <c r="J2690" t="str">
        <f>IFERROR(__xludf.DUMMYFUNCTION("IFS(
  AND(REGEXMATCH(E2690, ""台銀籌備帳戶|玉山帳戶""), REGEXMATCH(C2690, ""薪資"")), ""分潤支出"",
  AND(REGEXMATCH(E2690, ""Ben帳戶|Elsa帳戶|Ben代墊|Ariel代墊|中信銀行共用""), REGEXMATCH(F2690, ""Ben帳戶|Elsa帳戶|Ben代墊|Ariel代墊|中信銀行共用"")), ""內部轉帳(忽略)"",
  AND(E2690&lt;&gt;"""", F2690&lt;&gt;"""", N"&amp;"OT(REGEXMATCH(C2690, ""薪資""))), ""內部轉帳(忽略)"",
  REGEXMATCH(C2690, ""薪資""), ""薪資變動(不計入)"",
  REGEXMATCH(C2690, ""押金""), ""押金往來"",
  AND(E2690&lt;&gt;"""", F2690=""""), ""真實支出"",
  AND(E2690="""", F2690&lt;&gt;""""), ""真實收入"",
  TRUE, ""其他""
)"),"真實支出")</f>
        <v>真實支出</v>
      </c>
      <c r="K2690" s="270">
        <f t="shared" si="2"/>
        <v>-780</v>
      </c>
      <c r="L2690">
        <f t="shared" si="3"/>
        <v>0</v>
      </c>
    </row>
    <row r="2691">
      <c r="A2691" s="107">
        <f>IFERROR(__xludf.DUMMYFUNCTION("""COMPUTED_VALUE"""),45954.0)</f>
        <v>45954</v>
      </c>
      <c r="B2691" t="str">
        <f>IFERROR(__xludf.DUMMYFUNCTION("""COMPUTED_VALUE"""),"費南雪禮盒")</f>
        <v>費南雪禮盒</v>
      </c>
      <c r="C2691" t="str">
        <f>IFERROR(__xludf.DUMMYFUNCTION("""COMPUTED_VALUE"""),"費用 - 餐飲")</f>
        <v>費用 - 餐飲</v>
      </c>
      <c r="D2691" s="270">
        <f>IFERROR(__xludf.DUMMYFUNCTION("""COMPUTED_VALUE"""),-2184.0)</f>
        <v>-2184</v>
      </c>
      <c r="E2691" t="str">
        <f>IFERROR(__xludf.DUMMYFUNCTION("""COMPUTED_VALUE"""),"Elsa帳戶")</f>
        <v>Elsa帳戶</v>
      </c>
      <c r="G2691" t="str">
        <f>IFERROR(__xludf.DUMMYFUNCTION("""COMPUTED_VALUE"""),"景安2分鐘")</f>
        <v>景安2分鐘</v>
      </c>
      <c r="H2691" s="106" t="str">
        <f t="shared" si="1"/>
        <v>2025-10</v>
      </c>
      <c r="I2691" s="271" t="str">
        <f>IFERROR(__xludf.DUMMYFUNCTION("""COMPUTED_VALUE"""),"貓狗企鵝")</f>
        <v>貓狗企鵝</v>
      </c>
      <c r="J2691" t="str">
        <f>IFERROR(__xludf.DUMMYFUNCTION("IFS(
  AND(REGEXMATCH(E2691, ""台銀籌備帳戶|玉山帳戶""), REGEXMATCH(C2691, ""薪資"")), ""分潤支出"",
  AND(REGEXMATCH(E2691, ""Ben帳戶|Elsa帳戶|Ben代墊|Ariel代墊|中信銀行共用""), REGEXMATCH(F2691, ""Ben帳戶|Elsa帳戶|Ben代墊|Ariel代墊|中信銀行共用"")), ""內部轉帳(忽略)"",
  AND(E2691&lt;&gt;"""", F2691&lt;&gt;"""", N"&amp;"OT(REGEXMATCH(C2691, ""薪資""))), ""內部轉帳(忽略)"",
  REGEXMATCH(C2691, ""薪資""), ""薪資變動(不計入)"",
  REGEXMATCH(C2691, ""押金""), ""押金往來"",
  AND(E2691&lt;&gt;"""", F2691=""""), ""真實支出"",
  AND(E2691="""", F2691&lt;&gt;""""), ""真實收入"",
  TRUE, ""其他""
)"),"真實支出")</f>
        <v>真實支出</v>
      </c>
      <c r="K2691" s="270">
        <f t="shared" si="2"/>
        <v>-2184</v>
      </c>
      <c r="L2691">
        <f t="shared" si="3"/>
        <v>0</v>
      </c>
    </row>
    <row r="2692">
      <c r="A2692" s="107">
        <f>IFERROR(__xludf.DUMMYFUNCTION("""COMPUTED_VALUE"""),45959.0)</f>
        <v>45959</v>
      </c>
      <c r="B2692" t="str">
        <f>IFERROR(__xludf.DUMMYFUNCTION("""COMPUTED_VALUE"""),"龍江沛琪能源費, Mina代付")</f>
        <v>龍江沛琪能源費, Mina代付</v>
      </c>
      <c r="C2692" t="str">
        <f>IFERROR(__xludf.DUMMYFUNCTION("""COMPUTED_VALUE"""),"成本 - 租後修繕")</f>
        <v>成本 - 租後修繕</v>
      </c>
      <c r="D2692" s="270">
        <f>IFERROR(__xludf.DUMMYFUNCTION("""COMPUTED_VALUE"""),-1678.0)</f>
        <v>-1678</v>
      </c>
      <c r="E2692" t="str">
        <f>IFERROR(__xludf.DUMMYFUNCTION("""COMPUTED_VALUE"""),"Elsa帳戶")</f>
        <v>Elsa帳戶</v>
      </c>
      <c r="G2692" t="str">
        <f>IFERROR(__xludf.DUMMYFUNCTION("""COMPUTED_VALUE"""),"龍江229")</f>
        <v>龍江229</v>
      </c>
      <c r="H2692" s="106" t="str">
        <f t="shared" si="1"/>
        <v>2025-10</v>
      </c>
      <c r="I2692" s="271" t="str">
        <f>IFERROR(__xludf.DUMMYFUNCTION("""COMPUTED_VALUE"""),"貓狗企鵝")</f>
        <v>貓狗企鵝</v>
      </c>
      <c r="J2692" t="str">
        <f>IFERROR(__xludf.DUMMYFUNCTION("IFS(
  AND(REGEXMATCH(E2692, ""台銀籌備帳戶|玉山帳戶""), REGEXMATCH(C2692, ""薪資"")), ""分潤支出"",
  AND(REGEXMATCH(E2692, ""Ben帳戶|Elsa帳戶|Ben代墊|Ariel代墊|中信銀行共用""), REGEXMATCH(F2692, ""Ben帳戶|Elsa帳戶|Ben代墊|Ariel代墊|中信銀行共用"")), ""內部轉帳(忽略)"",
  AND(E2692&lt;&gt;"""", F2692&lt;&gt;"""", N"&amp;"OT(REGEXMATCH(C2692, ""薪資""))), ""內部轉帳(忽略)"",
  REGEXMATCH(C2692, ""薪資""), ""薪資變動(不計入)"",
  REGEXMATCH(C2692, ""押金""), ""押金往來"",
  AND(E2692&lt;&gt;"""", F2692=""""), ""真實支出"",
  AND(E2692="""", F2692&lt;&gt;""""), ""真實收入"",
  TRUE, ""其他""
)"),"真實支出")</f>
        <v>真實支出</v>
      </c>
      <c r="K2692" s="270">
        <f t="shared" si="2"/>
        <v>-1678</v>
      </c>
      <c r="L2692">
        <f t="shared" si="3"/>
        <v>0</v>
      </c>
    </row>
    <row r="2693">
      <c r="A2693" s="107">
        <f>IFERROR(__xludf.DUMMYFUNCTION("""COMPUTED_VALUE"""),45959.0)</f>
        <v>45959</v>
      </c>
      <c r="B2693" t="str">
        <f>IFERROR(__xludf.DUMMYFUNCTION("""COMPUTED_VALUE"""),"天母搜狗Joya LED燈")</f>
        <v>天母搜狗Joya LED燈</v>
      </c>
      <c r="C2693" t="str">
        <f>IFERROR(__xludf.DUMMYFUNCTION("""COMPUTED_VALUE"""),"成本 - 進場前裝潢費")</f>
        <v>成本 - 進場前裝潢費</v>
      </c>
      <c r="D2693" s="270">
        <f>IFERROR(__xludf.DUMMYFUNCTION("""COMPUTED_VALUE"""),-15162.0)</f>
        <v>-15162</v>
      </c>
      <c r="E2693" t="str">
        <f>IFERROR(__xludf.DUMMYFUNCTION("""COMPUTED_VALUE"""),"Ben帳戶")</f>
        <v>Ben帳戶</v>
      </c>
      <c r="G2693" t="str">
        <f>IFERROR(__xludf.DUMMYFUNCTION("""COMPUTED_VALUE"""),"天母搜狗")</f>
        <v>天母搜狗</v>
      </c>
      <c r="H2693" s="106" t="str">
        <f t="shared" si="1"/>
        <v>2025-10</v>
      </c>
      <c r="I2693" s="271" t="str">
        <f>IFERROR(__xludf.DUMMYFUNCTION("""COMPUTED_VALUE"""),"貓狗企鵝")</f>
        <v>貓狗企鵝</v>
      </c>
      <c r="J2693" t="str">
        <f>IFERROR(__xludf.DUMMYFUNCTION("IFS(
  AND(REGEXMATCH(E2693, ""台銀籌備帳戶|玉山帳戶""), REGEXMATCH(C2693, ""薪資"")), ""分潤支出"",
  AND(REGEXMATCH(E2693, ""Ben帳戶|Elsa帳戶|Ben代墊|Ariel代墊|中信銀行共用""), REGEXMATCH(F2693, ""Ben帳戶|Elsa帳戶|Ben代墊|Ariel代墊|中信銀行共用"")), ""內部轉帳(忽略)"",
  AND(E2693&lt;&gt;"""", F2693&lt;&gt;"""", N"&amp;"OT(REGEXMATCH(C2693, ""薪資""))), ""內部轉帳(忽略)"",
  REGEXMATCH(C2693, ""薪資""), ""薪資變動(不計入)"",
  REGEXMATCH(C2693, ""押金""), ""押金往來"",
  AND(E2693&lt;&gt;"""", F2693=""""), ""真實支出"",
  AND(E2693="""", F2693&lt;&gt;""""), ""真實收入"",
  TRUE, ""其他""
)"),"真實支出")</f>
        <v>真實支出</v>
      </c>
      <c r="K2693" s="270">
        <f t="shared" si="2"/>
        <v>-15162</v>
      </c>
      <c r="L2693">
        <f t="shared" si="3"/>
        <v>0</v>
      </c>
    </row>
    <row r="2694">
      <c r="A2694" s="107">
        <f>IFERROR(__xludf.DUMMYFUNCTION("""COMPUTED_VALUE"""),45960.0)</f>
        <v>45960</v>
      </c>
      <c r="B2694" t="str">
        <f>IFERROR(__xludf.DUMMYFUNCTION("""COMPUTED_VALUE"""),"凱擘網路安裝")</f>
        <v>凱擘網路安裝</v>
      </c>
      <c r="C2694" t="str">
        <f>IFERROR(__xludf.DUMMYFUNCTION("""COMPUTED_VALUE"""),"成本 - 進場前裝潢費")</f>
        <v>成本 - 進場前裝潢費</v>
      </c>
      <c r="D2694" s="270">
        <f>IFERROR(__xludf.DUMMYFUNCTION("""COMPUTED_VALUE"""),-2897.0)</f>
        <v>-2897</v>
      </c>
      <c r="E2694" t="str">
        <f>IFERROR(__xludf.DUMMYFUNCTION("""COMPUTED_VALUE"""),"Ben帳戶")</f>
        <v>Ben帳戶</v>
      </c>
      <c r="G2694" t="str">
        <f>IFERROR(__xludf.DUMMYFUNCTION("""COMPUTED_VALUE"""),"天母搜狗")</f>
        <v>天母搜狗</v>
      </c>
      <c r="H2694" s="106" t="str">
        <f t="shared" si="1"/>
        <v>2025-10</v>
      </c>
      <c r="I2694" s="271" t="str">
        <f>IFERROR(__xludf.DUMMYFUNCTION("""COMPUTED_VALUE"""),"貓狗企鵝")</f>
        <v>貓狗企鵝</v>
      </c>
      <c r="J2694" t="str">
        <f>IFERROR(__xludf.DUMMYFUNCTION("IFS(
  AND(REGEXMATCH(E2694, ""台銀籌備帳戶|玉山帳戶""), REGEXMATCH(C2694, ""薪資"")), ""分潤支出"",
  AND(REGEXMATCH(E2694, ""Ben帳戶|Elsa帳戶|Ben代墊|Ariel代墊|中信銀行共用""), REGEXMATCH(F2694, ""Ben帳戶|Elsa帳戶|Ben代墊|Ariel代墊|中信銀行共用"")), ""內部轉帳(忽略)"",
  AND(E2694&lt;&gt;"""", F2694&lt;&gt;"""", N"&amp;"OT(REGEXMATCH(C2694, ""薪資""))), ""內部轉帳(忽略)"",
  REGEXMATCH(C2694, ""薪資""), ""薪資變動(不計入)"",
  REGEXMATCH(C2694, ""押金""), ""押金往來"",
  AND(E2694&lt;&gt;"""", F2694=""""), ""真實支出"",
  AND(E2694="""", F2694&lt;&gt;""""), ""真實收入"",
  TRUE, ""其他""
)"),"真實支出")</f>
        <v>真實支出</v>
      </c>
      <c r="K2694" s="270">
        <f t="shared" si="2"/>
        <v>-2897</v>
      </c>
      <c r="L2694">
        <f t="shared" si="3"/>
        <v>0</v>
      </c>
    </row>
    <row r="2695">
      <c r="A2695" s="107">
        <f>IFERROR(__xludf.DUMMYFUNCTION("""COMPUTED_VALUE"""),45960.0)</f>
        <v>45960</v>
      </c>
      <c r="B2695" t="str">
        <f>IFERROR(__xludf.DUMMYFUNCTION("""COMPUTED_VALUE"""),"FB 🌞🌞🌞社團費")</f>
        <v>FB 🌞🌞🌞社團費</v>
      </c>
      <c r="C2695" t="str">
        <f>IFERROR(__xludf.DUMMYFUNCTION("""COMPUTED_VALUE"""),"成本 - 仲介費")</f>
        <v>成本 - 仲介費</v>
      </c>
      <c r="D2695" s="270">
        <f>IFERROR(__xludf.DUMMYFUNCTION("""COMPUTED_VALUE"""),-1000.0)</f>
        <v>-1000</v>
      </c>
      <c r="E2695" t="str">
        <f>IFERROR(__xludf.DUMMYFUNCTION("""COMPUTED_VALUE"""),"Elsa帳戶")</f>
        <v>Elsa帳戶</v>
      </c>
      <c r="G2695" t="str">
        <f>IFERROR(__xludf.DUMMYFUNCTION("""COMPUTED_VALUE"""),"無法分類")</f>
        <v>無法分類</v>
      </c>
      <c r="H2695" s="106" t="str">
        <f t="shared" si="1"/>
        <v>2025-10</v>
      </c>
      <c r="I2695" s="271" t="str">
        <f>IFERROR(__xludf.DUMMYFUNCTION("""COMPUTED_VALUE"""),"貓狗企鵝")</f>
        <v>貓狗企鵝</v>
      </c>
      <c r="J2695" t="str">
        <f>IFERROR(__xludf.DUMMYFUNCTION("IFS(
  AND(REGEXMATCH(E2695, ""台銀籌備帳戶|玉山帳戶""), REGEXMATCH(C2695, ""薪資"")), ""分潤支出"",
  AND(REGEXMATCH(E2695, ""Ben帳戶|Elsa帳戶|Ben代墊|Ariel代墊|中信銀行共用""), REGEXMATCH(F2695, ""Ben帳戶|Elsa帳戶|Ben代墊|Ariel代墊|中信銀行共用"")), ""內部轉帳(忽略)"",
  AND(E2695&lt;&gt;"""", F2695&lt;&gt;"""", N"&amp;"OT(REGEXMATCH(C2695, ""薪資""))), ""內部轉帳(忽略)"",
  REGEXMATCH(C2695, ""薪資""), ""薪資變動(不計入)"",
  REGEXMATCH(C2695, ""押金""), ""押金往來"",
  AND(E2695&lt;&gt;"""", F2695=""""), ""真實支出"",
  AND(E2695="""", F2695&lt;&gt;""""), ""真實收入"",
  TRUE, ""其他""
)"),"真實支出")</f>
        <v>真實支出</v>
      </c>
      <c r="K2695" s="270">
        <f t="shared" si="2"/>
        <v>-1000</v>
      </c>
      <c r="L2695">
        <f t="shared" si="3"/>
        <v>0</v>
      </c>
    </row>
    <row r="2696">
      <c r="A2696" s="107">
        <f>IFERROR(__xludf.DUMMYFUNCTION("""COMPUTED_VALUE"""),45960.0)</f>
        <v>45960</v>
      </c>
      <c r="B2696" t="str">
        <f>IFERROR(__xludf.DUMMYFUNCTION("""COMPUTED_VALUE"""),"火雞薪資(魚部+馬偕")</f>
        <v>火雞薪資(魚部+馬偕</v>
      </c>
      <c r="C2696" t="str">
        <f>IFERROR(__xludf.DUMMYFUNCTION("""COMPUTED_VALUE"""),"費用 - 人力成本")</f>
        <v>費用 - 人力成本</v>
      </c>
      <c r="D2696" s="270">
        <f>IFERROR(__xludf.DUMMYFUNCTION("""COMPUTED_VALUE"""),6689.0)</f>
        <v>6689</v>
      </c>
      <c r="F2696" t="str">
        <f>IFERROR(__xludf.DUMMYFUNCTION("""COMPUTED_VALUE"""),"Ben帳戶")</f>
        <v>Ben帳戶</v>
      </c>
      <c r="G2696" t="str">
        <f>IFERROR(__xludf.DUMMYFUNCTION("""COMPUTED_VALUE"""),"無法分類")</f>
        <v>無法分類</v>
      </c>
      <c r="H2696" s="106" t="str">
        <f t="shared" si="1"/>
        <v>2025-10</v>
      </c>
      <c r="I2696" s="271" t="str">
        <f>IFERROR(__xludf.DUMMYFUNCTION("""COMPUTED_VALUE"""),"貓狗企鵝")</f>
        <v>貓狗企鵝</v>
      </c>
      <c r="J2696" t="str">
        <f>IFERROR(__xludf.DUMMYFUNCTION("IFS(
  AND(REGEXMATCH(E2696, ""台銀籌備帳戶|玉山帳戶""), REGEXMATCH(C2696, ""薪資"")), ""分潤支出"",
  AND(REGEXMATCH(E2696, ""Ben帳戶|Elsa帳戶|Ben代墊|Ariel代墊|中信銀行共用""), REGEXMATCH(F2696, ""Ben帳戶|Elsa帳戶|Ben代墊|Ariel代墊|中信銀行共用"")), ""內部轉帳(忽略)"",
  AND(E2696&lt;&gt;"""", F2696&lt;&gt;"""", N"&amp;"OT(REGEXMATCH(C2696, ""薪資""))), ""內部轉帳(忽略)"",
  REGEXMATCH(C2696, ""薪資""), ""薪資變動(不計入)"",
  REGEXMATCH(C2696, ""押金""), ""押金往來"",
  AND(E2696&lt;&gt;"""", F2696=""""), ""真實支出"",
  AND(E2696="""", F2696&lt;&gt;""""), ""真實收入"",
  TRUE, ""其他""
)"),"真實收入")</f>
        <v>真實收入</v>
      </c>
      <c r="K2696" s="270">
        <f t="shared" si="2"/>
        <v>6689</v>
      </c>
      <c r="L2696">
        <f t="shared" si="3"/>
        <v>0</v>
      </c>
    </row>
    <row r="2697">
      <c r="A2697" s="107">
        <f>IFERROR(__xludf.DUMMYFUNCTION("""COMPUTED_VALUE"""),45963.0)</f>
        <v>45963</v>
      </c>
      <c r="B2697" t="str">
        <f>IFERROR(__xludf.DUMMYFUNCTION("""COMPUTED_VALUE"""),"景安RoomA 水電")</f>
        <v>景安RoomA 水電</v>
      </c>
      <c r="C2697" t="str">
        <f>IFERROR(__xludf.DUMMYFUNCTION("""COMPUTED_VALUE"""),"成本 - 租後修繕")</f>
        <v>成本 - 租後修繕</v>
      </c>
      <c r="D2697" s="270">
        <f>IFERROR(__xludf.DUMMYFUNCTION("""COMPUTED_VALUE"""),-659.0)</f>
        <v>-659</v>
      </c>
      <c r="E2697" t="str">
        <f>IFERROR(__xludf.DUMMYFUNCTION("""COMPUTED_VALUE"""),"Elsa帳戶")</f>
        <v>Elsa帳戶</v>
      </c>
      <c r="G2697" t="str">
        <f>IFERROR(__xludf.DUMMYFUNCTION("""COMPUTED_VALUE"""),"景安2分鐘")</f>
        <v>景安2分鐘</v>
      </c>
      <c r="H2697" s="106" t="str">
        <f t="shared" si="1"/>
        <v>2025-11</v>
      </c>
      <c r="I2697" s="271" t="str">
        <f>IFERROR(__xludf.DUMMYFUNCTION("""COMPUTED_VALUE"""),"貓狗企鵝")</f>
        <v>貓狗企鵝</v>
      </c>
      <c r="J2697" t="str">
        <f>IFERROR(__xludf.DUMMYFUNCTION("IFS(
  AND(REGEXMATCH(E2697, ""台銀籌備帳戶|玉山帳戶""), REGEXMATCH(C2697, ""薪資"")), ""分潤支出"",
  AND(REGEXMATCH(E2697, ""Ben帳戶|Elsa帳戶|Ben代墊|Ariel代墊|中信銀行共用""), REGEXMATCH(F2697, ""Ben帳戶|Elsa帳戶|Ben代墊|Ariel代墊|中信銀行共用"")), ""內部轉帳(忽略)"",
  AND(E2697&lt;&gt;"""", F2697&lt;&gt;"""", N"&amp;"OT(REGEXMATCH(C2697, ""薪資""))), ""內部轉帳(忽略)"",
  REGEXMATCH(C2697, ""薪資""), ""薪資變動(不計入)"",
  REGEXMATCH(C2697, ""押金""), ""押金往來"",
  AND(E2697&lt;&gt;"""", F2697=""""), ""真實支出"",
  AND(E2697="""", F2697&lt;&gt;""""), ""真實收入"",
  TRUE, ""其他""
)"),"真實支出")</f>
        <v>真實支出</v>
      </c>
      <c r="K2697" s="270">
        <f t="shared" si="2"/>
        <v>-659</v>
      </c>
      <c r="L2697">
        <f t="shared" si="3"/>
        <v>0</v>
      </c>
    </row>
    <row r="2698">
      <c r="A2698" s="107">
        <f>IFERROR(__xludf.DUMMYFUNCTION("""COMPUTED_VALUE"""),45963.0)</f>
        <v>45963</v>
      </c>
      <c r="B2698" t="str">
        <f>IFERROR(__xludf.DUMMYFUNCTION("""COMPUTED_VALUE"""),"閔 帶看費")</f>
        <v>閔 帶看費</v>
      </c>
      <c r="C2698" t="str">
        <f>IFERROR(__xludf.DUMMYFUNCTION("""COMPUTED_VALUE"""),"成本 - 租後修繕")</f>
        <v>成本 - 租後修繕</v>
      </c>
      <c r="D2698" s="270">
        <f>IFERROR(__xludf.DUMMYFUNCTION("""COMPUTED_VALUE"""),-1000.0)</f>
        <v>-1000</v>
      </c>
      <c r="E2698" t="str">
        <f>IFERROR(__xludf.DUMMYFUNCTION("""COMPUTED_VALUE"""),"Elsa帳戶")</f>
        <v>Elsa帳戶</v>
      </c>
      <c r="G2698" t="str">
        <f>IFERROR(__xludf.DUMMYFUNCTION("""COMPUTED_VALUE"""),"景安2分鐘")</f>
        <v>景安2分鐘</v>
      </c>
      <c r="H2698" s="106" t="str">
        <f t="shared" si="1"/>
        <v>2025-11</v>
      </c>
      <c r="I2698" s="271" t="str">
        <f>IFERROR(__xludf.DUMMYFUNCTION("""COMPUTED_VALUE"""),"貓狗企鵝")</f>
        <v>貓狗企鵝</v>
      </c>
      <c r="J2698" t="str">
        <f>IFERROR(__xludf.DUMMYFUNCTION("IFS(
  AND(REGEXMATCH(E2698, ""台銀籌備帳戶|玉山帳戶""), REGEXMATCH(C2698, ""薪資"")), ""分潤支出"",
  AND(REGEXMATCH(E2698, ""Ben帳戶|Elsa帳戶|Ben代墊|Ariel代墊|中信銀行共用""), REGEXMATCH(F2698, ""Ben帳戶|Elsa帳戶|Ben代墊|Ariel代墊|中信銀行共用"")), ""內部轉帳(忽略)"",
  AND(E2698&lt;&gt;"""", F2698&lt;&gt;"""", N"&amp;"OT(REGEXMATCH(C2698, ""薪資""))), ""內部轉帳(忽略)"",
  REGEXMATCH(C2698, ""薪資""), ""薪資變動(不計入)"",
  REGEXMATCH(C2698, ""押金""), ""押金往來"",
  AND(E2698&lt;&gt;"""", F2698=""""), ""真實支出"",
  AND(E2698="""", F2698&lt;&gt;""""), ""真實收入"",
  TRUE, ""其他""
)"),"真實支出")</f>
        <v>真實支出</v>
      </c>
      <c r="K2698" s="270">
        <f t="shared" si="2"/>
        <v>-1000</v>
      </c>
      <c r="L2698">
        <f t="shared" si="3"/>
        <v>0</v>
      </c>
    </row>
    <row r="2699">
      <c r="A2699" s="107">
        <f>IFERROR(__xludf.DUMMYFUNCTION("""COMPUTED_VALUE"""),45940.0)</f>
        <v>45940</v>
      </c>
      <c r="B2699" t="str">
        <f>IFERROR(__xludf.DUMMYFUNCTION("""COMPUTED_VALUE"""),"費用 - 匯費 對方行:011 後五碼:17078 (行號: 2)")</f>
        <v>費用 - 匯費 對方行:011 後五碼:17078 (行號: 2)</v>
      </c>
      <c r="C2699" t="str">
        <f>IFERROR(__xludf.DUMMYFUNCTION("""COMPUTED_VALUE"""),"費用 - 匯費")</f>
        <v>費用 - 匯費</v>
      </c>
      <c r="D2699" s="270">
        <f>IFERROR(__xludf.DUMMYFUNCTION("""COMPUTED_VALUE"""),-15.0)</f>
        <v>-15</v>
      </c>
      <c r="E2699" t="str">
        <f>IFERROR(__xludf.DUMMYFUNCTION("""COMPUTED_VALUE"""),"台銀籌備帳戶")</f>
        <v>台銀籌備帳戶</v>
      </c>
      <c r="H2699" s="106" t="str">
        <f t="shared" si="1"/>
        <v>2025-10</v>
      </c>
      <c r="I2699" s="271" t="str">
        <f>IFERROR(__xludf.DUMMYFUNCTION("""COMPUTED_VALUE"""),"貓狗企鵝")</f>
        <v>貓狗企鵝</v>
      </c>
      <c r="J2699" t="str">
        <f>IFERROR(__xludf.DUMMYFUNCTION("IFS(
  AND(REGEXMATCH(E2699, ""台銀籌備帳戶|玉山帳戶""), REGEXMATCH(C2699, ""薪資"")), ""分潤支出"",
  AND(REGEXMATCH(E2699, ""Ben帳戶|Elsa帳戶|Ben代墊|Ariel代墊|中信銀行共用""), REGEXMATCH(F2699, ""Ben帳戶|Elsa帳戶|Ben代墊|Ariel代墊|中信銀行共用"")), ""內部轉帳(忽略)"",
  AND(E2699&lt;&gt;"""", F2699&lt;&gt;"""", N"&amp;"OT(REGEXMATCH(C2699, ""薪資""))), ""內部轉帳(忽略)"",
  REGEXMATCH(C2699, ""薪資""), ""薪資變動(不計入)"",
  REGEXMATCH(C2699, ""押金""), ""押金往來"",
  AND(E2699&lt;&gt;"""", F2699=""""), ""真實支出"",
  AND(E2699="""", F2699&lt;&gt;""""), ""真實收入"",
  TRUE, ""其他""
)"),"真實支出")</f>
        <v>真實支出</v>
      </c>
      <c r="K2699" s="270">
        <f t="shared" si="2"/>
        <v>-15</v>
      </c>
      <c r="L2699">
        <f t="shared" si="3"/>
        <v>0</v>
      </c>
    </row>
    <row r="2700">
      <c r="A2700" s="107">
        <f>IFERROR(__xludf.DUMMYFUNCTION("""COMPUTED_VALUE"""),45940.0)</f>
        <v>45940</v>
      </c>
      <c r="B2700" t="str">
        <f>IFERROR(__xludf.DUMMYFUNCTION("""COMPUTED_VALUE"""),"[書香民生] [吳高寶玉] 大租金")</f>
        <v>[書香民生] [吳高寶玉] 大租金</v>
      </c>
      <c r="C2700" t="str">
        <f>IFERROR(__xludf.DUMMYFUNCTION("""COMPUTED_VALUE"""),"成本 - 大租金")</f>
        <v>成本 - 大租金</v>
      </c>
      <c r="D2700" s="270">
        <f>IFERROR(__xludf.DUMMYFUNCTION("""COMPUTED_VALUE"""),-16667.0)</f>
        <v>-16667</v>
      </c>
      <c r="E2700" t="str">
        <f>IFERROR(__xludf.DUMMYFUNCTION("""COMPUTED_VALUE"""),"台銀籌備帳戶")</f>
        <v>台銀籌備帳戶</v>
      </c>
      <c r="G2700" t="str">
        <f>IFERROR(__xludf.DUMMYFUNCTION("""COMPUTED_VALUE"""),"書香民生")</f>
        <v>書香民生</v>
      </c>
      <c r="H2700" s="106" t="str">
        <f t="shared" si="1"/>
        <v>2025-10</v>
      </c>
      <c r="I2700" s="271" t="str">
        <f>IFERROR(__xludf.DUMMYFUNCTION("""COMPUTED_VALUE"""),"貓狗企鵝")</f>
        <v>貓狗企鵝</v>
      </c>
      <c r="J2700" t="str">
        <f>IFERROR(__xludf.DUMMYFUNCTION("IFS(
  AND(REGEXMATCH(E2700, ""台銀籌備帳戶|玉山帳戶""), REGEXMATCH(C2700, ""薪資"")), ""分潤支出"",
  AND(REGEXMATCH(E2700, ""Ben帳戶|Elsa帳戶|Ben代墊|Ariel代墊|中信銀行共用""), REGEXMATCH(F2700, ""Ben帳戶|Elsa帳戶|Ben代墊|Ariel代墊|中信銀行共用"")), ""內部轉帳(忽略)"",
  AND(E2700&lt;&gt;"""", F2700&lt;&gt;"""", N"&amp;"OT(REGEXMATCH(C2700, ""薪資""))), ""內部轉帳(忽略)"",
  REGEXMATCH(C2700, ""薪資""), ""薪資變動(不計入)"",
  REGEXMATCH(C2700, ""押金""), ""押金往來"",
  AND(E2700&lt;&gt;"""", F2700=""""), ""真實支出"",
  AND(E2700="""", F2700&lt;&gt;""""), ""真實收入"",
  TRUE, ""其他""
)"),"真實支出")</f>
        <v>真實支出</v>
      </c>
      <c r="K2700" s="270">
        <f t="shared" si="2"/>
        <v>-16667</v>
      </c>
      <c r="L2700">
        <f t="shared" si="3"/>
        <v>0</v>
      </c>
    </row>
    <row r="2701">
      <c r="A2701" s="107">
        <f>IFERROR(__xludf.DUMMYFUNCTION("""COMPUTED_VALUE"""),45943.0)</f>
        <v>45943</v>
      </c>
      <c r="B2701" t="str">
        <f>IFERROR(__xludf.DUMMYFUNCTION("""COMPUTED_VALUE"""),"天母維也納 退押")</f>
        <v>天母維也納 退押</v>
      </c>
      <c r="C2701" t="str">
        <f>IFERROR(__xludf.DUMMYFUNCTION("""COMPUTED_VALUE"""),"成本 - 對屋主押金")</f>
        <v>成本 - 對屋主押金</v>
      </c>
      <c r="D2701" s="270">
        <f>IFERROR(__xludf.DUMMYFUNCTION("""COMPUTED_VALUE"""),86400.0)</f>
        <v>86400</v>
      </c>
      <c r="F2701" t="str">
        <f>IFERROR(__xludf.DUMMYFUNCTION("""COMPUTED_VALUE"""),"台銀籌備帳戶")</f>
        <v>台銀籌備帳戶</v>
      </c>
      <c r="G2701" t="str">
        <f>IFERROR(__xludf.DUMMYFUNCTION("""COMPUTED_VALUE"""),"葫洲維也納")</f>
        <v>葫洲維也納</v>
      </c>
      <c r="H2701" s="106" t="str">
        <f t="shared" si="1"/>
        <v>2025-10</v>
      </c>
      <c r="I2701" s="271" t="str">
        <f>IFERROR(__xludf.DUMMYFUNCTION("""COMPUTED_VALUE"""),"貓狗企鵝")</f>
        <v>貓狗企鵝</v>
      </c>
      <c r="J2701" t="str">
        <f>IFERROR(__xludf.DUMMYFUNCTION("IFS(
  AND(REGEXMATCH(E2701, ""台銀籌備帳戶|玉山帳戶""), REGEXMATCH(C2701, ""薪資"")), ""分潤支出"",
  AND(REGEXMATCH(E2701, ""Ben帳戶|Elsa帳戶|Ben代墊|Ariel代墊|中信銀行共用""), REGEXMATCH(F2701, ""Ben帳戶|Elsa帳戶|Ben代墊|Ariel代墊|中信銀行共用"")), ""內部轉帳(忽略)"",
  AND(E2701&lt;&gt;"""", F2701&lt;&gt;"""", N"&amp;"OT(REGEXMATCH(C2701, ""薪資""))), ""內部轉帳(忽略)"",
  REGEXMATCH(C2701, ""薪資""), ""薪資變動(不計入)"",
  REGEXMATCH(C2701, ""押金""), ""押金往來"",
  AND(E2701&lt;&gt;"""", F2701=""""), ""真實支出"",
  AND(E2701="""", F2701&lt;&gt;""""), ""真實收入"",
  TRUE, ""其他""
)"),"押金往來")</f>
        <v>押金往來</v>
      </c>
      <c r="K2701">
        <f t="shared" si="2"/>
        <v>0</v>
      </c>
      <c r="L2701">
        <f t="shared" si="3"/>
        <v>0</v>
      </c>
    </row>
    <row r="2702">
      <c r="A2702" s="107">
        <f>IFERROR(__xludf.DUMMYFUNCTION("""COMPUTED_VALUE"""),45943.0)</f>
        <v>45943</v>
      </c>
      <c r="B2702" t="str">
        <f>IFERROR(__xludf.DUMMYFUNCTION("""COMPUTED_VALUE"""),"費用 - 匯費 對方行:812 後五碼:75759 (行號: 5)")</f>
        <v>費用 - 匯費 對方行:812 後五碼:75759 (行號: 5)</v>
      </c>
      <c r="C2702" t="str">
        <f>IFERROR(__xludf.DUMMYFUNCTION("""COMPUTED_VALUE"""),"費用 - 匯費")</f>
        <v>費用 - 匯費</v>
      </c>
      <c r="D2702" s="270">
        <f>IFERROR(__xludf.DUMMYFUNCTION("""COMPUTED_VALUE"""),-15.0)</f>
        <v>-15</v>
      </c>
      <c r="E2702" t="str">
        <f>IFERROR(__xludf.DUMMYFUNCTION("""COMPUTED_VALUE"""),"台銀籌備帳戶")</f>
        <v>台銀籌備帳戶</v>
      </c>
      <c r="H2702" s="106" t="str">
        <f t="shared" si="1"/>
        <v>2025-10</v>
      </c>
      <c r="I2702" s="271" t="str">
        <f>IFERROR(__xludf.DUMMYFUNCTION("""COMPUTED_VALUE"""),"貓狗企鵝")</f>
        <v>貓狗企鵝</v>
      </c>
      <c r="J2702" t="str">
        <f>IFERROR(__xludf.DUMMYFUNCTION("IFS(
  AND(REGEXMATCH(E2702, ""台銀籌備帳戶|玉山帳戶""), REGEXMATCH(C2702, ""薪資"")), ""分潤支出"",
  AND(REGEXMATCH(E2702, ""Ben帳戶|Elsa帳戶|Ben代墊|Ariel代墊|中信銀行共用""), REGEXMATCH(F2702, ""Ben帳戶|Elsa帳戶|Ben代墊|Ariel代墊|中信銀行共用"")), ""內部轉帳(忽略)"",
  AND(E2702&lt;&gt;"""", F2702&lt;&gt;"""", N"&amp;"OT(REGEXMATCH(C2702, ""薪資""))), ""內部轉帳(忽略)"",
  REGEXMATCH(C2702, ""薪資""), ""薪資變動(不計入)"",
  REGEXMATCH(C2702, ""押金""), ""押金往來"",
  AND(E2702&lt;&gt;"""", F2702=""""), ""真實支出"",
  AND(E2702="""", F2702&lt;&gt;""""), ""真實收入"",
  TRUE, ""其他""
)"),"真實支出")</f>
        <v>真實支出</v>
      </c>
      <c r="K2702" s="270">
        <f t="shared" si="2"/>
        <v>-15</v>
      </c>
      <c r="L2702">
        <f t="shared" si="3"/>
        <v>0</v>
      </c>
    </row>
    <row r="2703">
      <c r="A2703" s="107">
        <f>IFERROR(__xludf.DUMMYFUNCTION("""COMPUTED_VALUE"""),45943.0)</f>
        <v>45943</v>
      </c>
      <c r="B2703" t="str">
        <f>IFERROR(__xludf.DUMMYFUNCTION("""COMPUTED_VALUE"""),"景安管理費 ' 【未分類支出】")</f>
        <v>景安管理費 ' 【未分類支出】</v>
      </c>
      <c r="C2703" t="str">
        <f>IFERROR(__xludf.DUMMYFUNCTION("""COMPUTED_VALUE"""),"成本 - 固定開銷(網路代收清潔)")</f>
        <v>成本 - 固定開銷(網路代收清潔)</v>
      </c>
      <c r="D2703" s="270">
        <f>IFERROR(__xludf.DUMMYFUNCTION("""COMPUTED_VALUE"""),-1700.0)</f>
        <v>-1700</v>
      </c>
      <c r="E2703" t="str">
        <f>IFERROR(__xludf.DUMMYFUNCTION("""COMPUTED_VALUE"""),"台銀籌備帳戶")</f>
        <v>台銀籌備帳戶</v>
      </c>
      <c r="G2703" t="str">
        <f>IFERROR(__xludf.DUMMYFUNCTION("""COMPUTED_VALUE"""),"景安2分鐘")</f>
        <v>景安2分鐘</v>
      </c>
      <c r="H2703" s="106" t="str">
        <f t="shared" si="1"/>
        <v>2025-10</v>
      </c>
      <c r="I2703" s="271" t="str">
        <f>IFERROR(__xludf.DUMMYFUNCTION("""COMPUTED_VALUE"""),"貓狗企鵝")</f>
        <v>貓狗企鵝</v>
      </c>
      <c r="J2703" t="str">
        <f>IFERROR(__xludf.DUMMYFUNCTION("IFS(
  AND(REGEXMATCH(E2703, ""台銀籌備帳戶|玉山帳戶""), REGEXMATCH(C2703, ""薪資"")), ""分潤支出"",
  AND(REGEXMATCH(E2703, ""Ben帳戶|Elsa帳戶|Ben代墊|Ariel代墊|中信銀行共用""), REGEXMATCH(F2703, ""Ben帳戶|Elsa帳戶|Ben代墊|Ariel代墊|中信銀行共用"")), ""內部轉帳(忽略)"",
  AND(E2703&lt;&gt;"""", F2703&lt;&gt;"""", N"&amp;"OT(REGEXMATCH(C2703, ""薪資""))), ""內部轉帳(忽略)"",
  REGEXMATCH(C2703, ""薪資""), ""薪資變動(不計入)"",
  REGEXMATCH(C2703, ""押金""), ""押金往來"",
  AND(E2703&lt;&gt;"""", F2703=""""), ""真實支出"",
  AND(E2703="""", F2703&lt;&gt;""""), ""真實收入"",
  TRUE, ""其他""
)"),"真實支出")</f>
        <v>真實支出</v>
      </c>
      <c r="K2703" s="270">
        <f t="shared" si="2"/>
        <v>-1700</v>
      </c>
      <c r="L2703">
        <f t="shared" si="3"/>
        <v>0</v>
      </c>
    </row>
    <row r="2704">
      <c r="A2704" s="107">
        <f>IFERROR(__xludf.DUMMYFUNCTION("""COMPUTED_VALUE"""),45945.0)</f>
        <v>45945</v>
      </c>
      <c r="B2704" t="str">
        <f>IFERROR(__xludf.DUMMYFUNCTION("""COMPUTED_VALUE"""),"[南港站挑高宅] [林淑華] 大租金")</f>
        <v>[南港站挑高宅] [林淑華] 大租金</v>
      </c>
      <c r="C2704" t="str">
        <f>IFERROR(__xludf.DUMMYFUNCTION("""COMPUTED_VALUE"""),"成本 - 大租金")</f>
        <v>成本 - 大租金</v>
      </c>
      <c r="D2704" s="270">
        <f>IFERROR(__xludf.DUMMYFUNCTION("""COMPUTED_VALUE"""),-18250.0)</f>
        <v>-18250</v>
      </c>
      <c r="E2704" t="str">
        <f>IFERROR(__xludf.DUMMYFUNCTION("""COMPUTED_VALUE"""),"台銀籌備帳戶")</f>
        <v>台銀籌備帳戶</v>
      </c>
      <c r="G2704" t="str">
        <f>IFERROR(__xludf.DUMMYFUNCTION("""COMPUTED_VALUE"""),"南港站挑高宅")</f>
        <v>南港站挑高宅</v>
      </c>
      <c r="H2704" s="106" t="str">
        <f t="shared" si="1"/>
        <v>2025-10</v>
      </c>
      <c r="I2704" s="271" t="str">
        <f>IFERROR(__xludf.DUMMYFUNCTION("""COMPUTED_VALUE"""),"貓狗企鵝")</f>
        <v>貓狗企鵝</v>
      </c>
      <c r="J2704" t="str">
        <f>IFERROR(__xludf.DUMMYFUNCTION("IFS(
  AND(REGEXMATCH(E2704, ""台銀籌備帳戶|玉山帳戶""), REGEXMATCH(C2704, ""薪資"")), ""分潤支出"",
  AND(REGEXMATCH(E2704, ""Ben帳戶|Elsa帳戶|Ben代墊|Ariel代墊|中信銀行共用""), REGEXMATCH(F2704, ""Ben帳戶|Elsa帳戶|Ben代墊|Ariel代墊|中信銀行共用"")), ""內部轉帳(忽略)"",
  AND(E2704&lt;&gt;"""", F2704&lt;&gt;"""", N"&amp;"OT(REGEXMATCH(C2704, ""薪資""))), ""內部轉帳(忽略)"",
  REGEXMATCH(C2704, ""薪資""), ""薪資變動(不計入)"",
  REGEXMATCH(C2704, ""押金""), ""押金往來"",
  AND(E2704&lt;&gt;"""", F2704=""""), ""真實支出"",
  AND(E2704="""", F2704&lt;&gt;""""), ""真實收入"",
  TRUE, ""其他""
)"),"真實支出")</f>
        <v>真實支出</v>
      </c>
      <c r="K2704" s="270">
        <f t="shared" si="2"/>
        <v>-18250</v>
      </c>
      <c r="L2704">
        <f t="shared" si="3"/>
        <v>0</v>
      </c>
    </row>
    <row r="2705">
      <c r="A2705" s="107">
        <f>IFERROR(__xludf.DUMMYFUNCTION("""COMPUTED_VALUE"""),45945.0)</f>
        <v>45945</v>
      </c>
      <c r="B2705" t="str">
        <f>IFERROR(__xludf.DUMMYFUNCTION("""COMPUTED_VALUE"""),"費用 - 匯費 對方行:013 後五碼:43662 (行號: 7)")</f>
        <v>費用 - 匯費 對方行:013 後五碼:43662 (行號: 7)</v>
      </c>
      <c r="C2705" t="str">
        <f>IFERROR(__xludf.DUMMYFUNCTION("""COMPUTED_VALUE"""),"費用 - 匯費")</f>
        <v>費用 - 匯費</v>
      </c>
      <c r="D2705" s="270">
        <f>IFERROR(__xludf.DUMMYFUNCTION("""COMPUTED_VALUE"""),-15.0)</f>
        <v>-15</v>
      </c>
      <c r="E2705" t="str">
        <f>IFERROR(__xludf.DUMMYFUNCTION("""COMPUTED_VALUE"""),"台銀籌備帳戶")</f>
        <v>台銀籌備帳戶</v>
      </c>
      <c r="H2705" s="106" t="str">
        <f t="shared" si="1"/>
        <v>2025-10</v>
      </c>
      <c r="I2705" s="271" t="str">
        <f>IFERROR(__xludf.DUMMYFUNCTION("""COMPUTED_VALUE"""),"貓狗企鵝")</f>
        <v>貓狗企鵝</v>
      </c>
      <c r="J2705" t="str">
        <f>IFERROR(__xludf.DUMMYFUNCTION("IFS(
  AND(REGEXMATCH(E2705, ""台銀籌備帳戶|玉山帳戶""), REGEXMATCH(C2705, ""薪資"")), ""分潤支出"",
  AND(REGEXMATCH(E2705, ""Ben帳戶|Elsa帳戶|Ben代墊|Ariel代墊|中信銀行共用""), REGEXMATCH(F2705, ""Ben帳戶|Elsa帳戶|Ben代墊|Ariel代墊|中信銀行共用"")), ""內部轉帳(忽略)"",
  AND(E2705&lt;&gt;"""", F2705&lt;&gt;"""", N"&amp;"OT(REGEXMATCH(C2705, ""薪資""))), ""內部轉帳(忽略)"",
  REGEXMATCH(C2705, ""薪資""), ""薪資變動(不計入)"",
  REGEXMATCH(C2705, ""押金""), ""押金往來"",
  AND(E2705&lt;&gt;"""", F2705=""""), ""真實支出"",
  AND(E2705="""", F2705&lt;&gt;""""), ""真實收入"",
  TRUE, ""其他""
)"),"真實支出")</f>
        <v>真實支出</v>
      </c>
      <c r="K2705" s="270">
        <f t="shared" si="2"/>
        <v>-15</v>
      </c>
      <c r="L2705">
        <f t="shared" si="3"/>
        <v>0</v>
      </c>
    </row>
    <row r="2706">
      <c r="A2706" s="107">
        <f>IFERROR(__xludf.DUMMYFUNCTION("""COMPUTED_VALUE"""),45945.0)</f>
        <v>45945</v>
      </c>
      <c r="B2706" t="str">
        <f>IFERROR(__xludf.DUMMYFUNCTION("""COMPUTED_VALUE"""),"[中山北娘家旁] [方彥捷] 大租金")</f>
        <v>[中山北娘家旁] [方彥捷] 大租金</v>
      </c>
      <c r="C2706" t="str">
        <f>IFERROR(__xludf.DUMMYFUNCTION("""COMPUTED_VALUE"""),"成本 - 大租金")</f>
        <v>成本 - 大租金</v>
      </c>
      <c r="D2706" s="270">
        <f>IFERROR(__xludf.DUMMYFUNCTION("""COMPUTED_VALUE"""),-11500.0)</f>
        <v>-11500</v>
      </c>
      <c r="E2706" t="str">
        <f>IFERROR(__xludf.DUMMYFUNCTION("""COMPUTED_VALUE"""),"台銀籌備帳戶")</f>
        <v>台銀籌備帳戶</v>
      </c>
      <c r="G2706" t="str">
        <f>IFERROR(__xludf.DUMMYFUNCTION("""COMPUTED_VALUE"""),"中山北娘家旁")</f>
        <v>中山北娘家旁</v>
      </c>
      <c r="H2706" s="106" t="str">
        <f t="shared" si="1"/>
        <v>2025-10</v>
      </c>
      <c r="I2706" s="271" t="str">
        <f>IFERROR(__xludf.DUMMYFUNCTION("""COMPUTED_VALUE"""),"貓狗企鵝")</f>
        <v>貓狗企鵝</v>
      </c>
      <c r="J2706" t="str">
        <f>IFERROR(__xludf.DUMMYFUNCTION("IFS(
  AND(REGEXMATCH(E2706, ""台銀籌備帳戶|玉山帳戶""), REGEXMATCH(C2706, ""薪資"")), ""分潤支出"",
  AND(REGEXMATCH(E2706, ""Ben帳戶|Elsa帳戶|Ben代墊|Ariel代墊|中信銀行共用""), REGEXMATCH(F2706, ""Ben帳戶|Elsa帳戶|Ben代墊|Ariel代墊|中信銀行共用"")), ""內部轉帳(忽略)"",
  AND(E2706&lt;&gt;"""", F2706&lt;&gt;"""", N"&amp;"OT(REGEXMATCH(C2706, ""薪資""))), ""內部轉帳(忽略)"",
  REGEXMATCH(C2706, ""薪資""), ""薪資變動(不計入)"",
  REGEXMATCH(C2706, ""押金""), ""押金往來"",
  AND(E2706&lt;&gt;"""", F2706=""""), ""真實支出"",
  AND(E2706="""", F2706&lt;&gt;""""), ""真實收入"",
  TRUE, ""其他""
)"),"真實支出")</f>
        <v>真實支出</v>
      </c>
      <c r="K2706" s="270">
        <f t="shared" si="2"/>
        <v>-11500</v>
      </c>
      <c r="L2706">
        <f t="shared" si="3"/>
        <v>0</v>
      </c>
    </row>
    <row r="2707">
      <c r="A2707" s="107">
        <f>IFERROR(__xludf.DUMMYFUNCTION("""COMPUTED_VALUE"""),45945.0)</f>
        <v>45945</v>
      </c>
      <c r="B2707" t="str">
        <f>IFERROR(__xludf.DUMMYFUNCTION("""COMPUTED_VALUE"""),"費用 - 匯費 對方行:700 後五碼:92128 (行號: 8)")</f>
        <v>費用 - 匯費 對方行:700 後五碼:92128 (行號: 8)</v>
      </c>
      <c r="C2707" t="str">
        <f>IFERROR(__xludf.DUMMYFUNCTION("""COMPUTED_VALUE"""),"費用 - 匯費")</f>
        <v>費用 - 匯費</v>
      </c>
      <c r="D2707" s="270">
        <f>IFERROR(__xludf.DUMMYFUNCTION("""COMPUTED_VALUE"""),-15.0)</f>
        <v>-15</v>
      </c>
      <c r="E2707" t="str">
        <f>IFERROR(__xludf.DUMMYFUNCTION("""COMPUTED_VALUE"""),"台銀籌備帳戶")</f>
        <v>台銀籌備帳戶</v>
      </c>
      <c r="H2707" s="106" t="str">
        <f t="shared" si="1"/>
        <v>2025-10</v>
      </c>
      <c r="I2707" s="271" t="str">
        <f>IFERROR(__xludf.DUMMYFUNCTION("""COMPUTED_VALUE"""),"貓狗企鵝")</f>
        <v>貓狗企鵝</v>
      </c>
      <c r="J2707" t="str">
        <f>IFERROR(__xludf.DUMMYFUNCTION("IFS(
  AND(REGEXMATCH(E2707, ""台銀籌備帳戶|玉山帳戶""), REGEXMATCH(C2707, ""薪資"")), ""分潤支出"",
  AND(REGEXMATCH(E2707, ""Ben帳戶|Elsa帳戶|Ben代墊|Ariel代墊|中信銀行共用""), REGEXMATCH(F2707, ""Ben帳戶|Elsa帳戶|Ben代墊|Ariel代墊|中信銀行共用"")), ""內部轉帳(忽略)"",
  AND(E2707&lt;&gt;"""", F2707&lt;&gt;"""", N"&amp;"OT(REGEXMATCH(C2707, ""薪資""))), ""內部轉帳(忽略)"",
  REGEXMATCH(C2707, ""薪資""), ""薪資變動(不計入)"",
  REGEXMATCH(C2707, ""押金""), ""押金往來"",
  AND(E2707&lt;&gt;"""", F2707=""""), ""真實支出"",
  AND(E2707="""", F2707&lt;&gt;""""), ""真實收入"",
  TRUE, ""其他""
)"),"真實支出")</f>
        <v>真實支出</v>
      </c>
      <c r="K2707" s="270">
        <f t="shared" si="2"/>
        <v>-15</v>
      </c>
      <c r="L2707">
        <f t="shared" si="3"/>
        <v>0</v>
      </c>
    </row>
    <row r="2708">
      <c r="A2708" s="107">
        <f>IFERROR(__xludf.DUMMYFUNCTION("""COMPUTED_VALUE"""),45945.0)</f>
        <v>45945</v>
      </c>
      <c r="B2708" t="str">
        <f>IFERROR(__xludf.DUMMYFUNCTION("""COMPUTED_VALUE"""),"[北醫醫師府] [陳俊良] 大租金")</f>
        <v>[北醫醫師府] [陳俊良] 大租金</v>
      </c>
      <c r="C2708" t="str">
        <f>IFERROR(__xludf.DUMMYFUNCTION("""COMPUTED_VALUE"""),"成本 - 大租金")</f>
        <v>成本 - 大租金</v>
      </c>
      <c r="D2708" s="270">
        <f>IFERROR(__xludf.DUMMYFUNCTION("""COMPUTED_VALUE"""),-12800.0)</f>
        <v>-12800</v>
      </c>
      <c r="E2708" t="str">
        <f>IFERROR(__xludf.DUMMYFUNCTION("""COMPUTED_VALUE"""),"台銀籌備帳戶")</f>
        <v>台銀籌備帳戶</v>
      </c>
      <c r="G2708" t="str">
        <f>IFERROR(__xludf.DUMMYFUNCTION("""COMPUTED_VALUE"""),"北醫醫師府")</f>
        <v>北醫醫師府</v>
      </c>
      <c r="H2708" s="106" t="str">
        <f t="shared" si="1"/>
        <v>2025-10</v>
      </c>
      <c r="I2708" s="271" t="str">
        <f>IFERROR(__xludf.DUMMYFUNCTION("""COMPUTED_VALUE"""),"貓狗企鵝")</f>
        <v>貓狗企鵝</v>
      </c>
      <c r="J2708" t="str">
        <f>IFERROR(__xludf.DUMMYFUNCTION("IFS(
  AND(REGEXMATCH(E2708, ""台銀籌備帳戶|玉山帳戶""), REGEXMATCH(C2708, ""薪資"")), ""分潤支出"",
  AND(REGEXMATCH(E2708, ""Ben帳戶|Elsa帳戶|Ben代墊|Ariel代墊|中信銀行共用""), REGEXMATCH(F2708, ""Ben帳戶|Elsa帳戶|Ben代墊|Ariel代墊|中信銀行共用"")), ""內部轉帳(忽略)"",
  AND(E2708&lt;&gt;"""", F2708&lt;&gt;"""", N"&amp;"OT(REGEXMATCH(C2708, ""薪資""))), ""內部轉帳(忽略)"",
  REGEXMATCH(C2708, ""薪資""), ""薪資變動(不計入)"",
  REGEXMATCH(C2708, ""押金""), ""押金往來"",
  AND(E2708&lt;&gt;"""", F2708=""""), ""真實支出"",
  AND(E2708="""", F2708&lt;&gt;""""), ""真實收入"",
  TRUE, ""其他""
)"),"真實支出")</f>
        <v>真實支出</v>
      </c>
      <c r="K2708" s="270">
        <f t="shared" si="2"/>
        <v>-12800</v>
      </c>
      <c r="L2708">
        <f t="shared" si="3"/>
        <v>0</v>
      </c>
    </row>
    <row r="2709">
      <c r="A2709" s="107">
        <f>IFERROR(__xludf.DUMMYFUNCTION("""COMPUTED_VALUE"""),45945.0)</f>
        <v>45945</v>
      </c>
      <c r="B2709" t="str">
        <f>IFERROR(__xludf.DUMMYFUNCTION("""COMPUTED_VALUE"""),"費用 - 匯費 對方行:807 後五碼:06659 (行號: 9)")</f>
        <v>費用 - 匯費 對方行:807 後五碼:06659 (行號: 9)</v>
      </c>
      <c r="C2709" t="str">
        <f>IFERROR(__xludf.DUMMYFUNCTION("""COMPUTED_VALUE"""),"費用 - 匯費")</f>
        <v>費用 - 匯費</v>
      </c>
      <c r="D2709" s="270">
        <f>IFERROR(__xludf.DUMMYFUNCTION("""COMPUTED_VALUE"""),-15.0)</f>
        <v>-15</v>
      </c>
      <c r="E2709" t="str">
        <f>IFERROR(__xludf.DUMMYFUNCTION("""COMPUTED_VALUE"""),"台銀籌備帳戶")</f>
        <v>台銀籌備帳戶</v>
      </c>
      <c r="H2709" s="106" t="str">
        <f t="shared" si="1"/>
        <v>2025-10</v>
      </c>
      <c r="I2709" s="271" t="str">
        <f>IFERROR(__xludf.DUMMYFUNCTION("""COMPUTED_VALUE"""),"貓狗企鵝")</f>
        <v>貓狗企鵝</v>
      </c>
      <c r="J2709" t="str">
        <f>IFERROR(__xludf.DUMMYFUNCTION("IFS(
  AND(REGEXMATCH(E2709, ""台銀籌備帳戶|玉山帳戶""), REGEXMATCH(C2709, ""薪資"")), ""分潤支出"",
  AND(REGEXMATCH(E2709, ""Ben帳戶|Elsa帳戶|Ben代墊|Ariel代墊|中信銀行共用""), REGEXMATCH(F2709, ""Ben帳戶|Elsa帳戶|Ben代墊|Ariel代墊|中信銀行共用"")), ""內部轉帳(忽略)"",
  AND(E2709&lt;&gt;"""", F2709&lt;&gt;"""", N"&amp;"OT(REGEXMATCH(C2709, ""薪資""))), ""內部轉帳(忽略)"",
  REGEXMATCH(C2709, ""薪資""), ""薪資變動(不計入)"",
  REGEXMATCH(C2709, ""押金""), ""押金往來"",
  AND(E2709&lt;&gt;"""", F2709=""""), ""真實支出"",
  AND(E2709="""", F2709&lt;&gt;""""), ""真實收入"",
  TRUE, ""其他""
)"),"真實支出")</f>
        <v>真實支出</v>
      </c>
      <c r="K2709" s="270">
        <f t="shared" si="2"/>
        <v>-15</v>
      </c>
      <c r="L2709">
        <f t="shared" si="3"/>
        <v>0</v>
      </c>
    </row>
    <row r="2710">
      <c r="A2710" s="107">
        <f>IFERROR(__xludf.DUMMYFUNCTION("""COMPUTED_VALUE"""),45945.0)</f>
        <v>45945</v>
      </c>
      <c r="B2710" t="str">
        <f>IFERROR(__xludf.DUMMYFUNCTION("""COMPUTED_VALUE"""),"[哈拉對面] [陳哲聰] 大租金")</f>
        <v>[哈拉對面] [陳哲聰] 大租金</v>
      </c>
      <c r="C2710" t="str">
        <f>IFERROR(__xludf.DUMMYFUNCTION("""COMPUTED_VALUE"""),"成本 - 大租金")</f>
        <v>成本 - 大租金</v>
      </c>
      <c r="D2710" s="270">
        <f>IFERROR(__xludf.DUMMYFUNCTION("""COMPUTED_VALUE"""),-13000.0)</f>
        <v>-13000</v>
      </c>
      <c r="E2710" t="str">
        <f>IFERROR(__xludf.DUMMYFUNCTION("""COMPUTED_VALUE"""),"台銀籌備帳戶")</f>
        <v>台銀籌備帳戶</v>
      </c>
      <c r="G2710" t="str">
        <f>IFERROR(__xludf.DUMMYFUNCTION("""COMPUTED_VALUE"""),"哈拉對面")</f>
        <v>哈拉對面</v>
      </c>
      <c r="H2710" s="106" t="str">
        <f t="shared" si="1"/>
        <v>2025-10</v>
      </c>
      <c r="I2710" s="271" t="str">
        <f>IFERROR(__xludf.DUMMYFUNCTION("""COMPUTED_VALUE"""),"貓狗企鵝")</f>
        <v>貓狗企鵝</v>
      </c>
      <c r="J2710" t="str">
        <f>IFERROR(__xludf.DUMMYFUNCTION("IFS(
  AND(REGEXMATCH(E2710, ""台銀籌備帳戶|玉山帳戶""), REGEXMATCH(C2710, ""薪資"")), ""分潤支出"",
  AND(REGEXMATCH(E2710, ""Ben帳戶|Elsa帳戶|Ben代墊|Ariel代墊|中信銀行共用""), REGEXMATCH(F2710, ""Ben帳戶|Elsa帳戶|Ben代墊|Ariel代墊|中信銀行共用"")), ""內部轉帳(忽略)"",
  AND(E2710&lt;&gt;"""", F2710&lt;&gt;"""", N"&amp;"OT(REGEXMATCH(C2710, ""薪資""))), ""內部轉帳(忽略)"",
  REGEXMATCH(C2710, ""薪資""), ""薪資變動(不計入)"",
  REGEXMATCH(C2710, ""押金""), ""押金往來"",
  AND(E2710&lt;&gt;"""", F2710=""""), ""真實支出"",
  AND(E2710="""", F2710&lt;&gt;""""), ""真實收入"",
  TRUE, ""其他""
)"),"真實支出")</f>
        <v>真實支出</v>
      </c>
      <c r="K2710" s="270">
        <f t="shared" si="2"/>
        <v>-13000</v>
      </c>
      <c r="L2710">
        <f t="shared" si="3"/>
        <v>0</v>
      </c>
    </row>
    <row r="2711">
      <c r="A2711" s="107">
        <f>IFERROR(__xludf.DUMMYFUNCTION("""COMPUTED_VALUE"""),45945.0)</f>
        <v>45945</v>
      </c>
      <c r="B2711" t="str">
        <f>IFERROR(__xludf.DUMMYFUNCTION("""COMPUTED_VALUE"""),"費用 - 匯費 對方行:053 後五碼:05202 (行號: 10)")</f>
        <v>費用 - 匯費 對方行:053 後五碼:05202 (行號: 10)</v>
      </c>
      <c r="C2711" t="str">
        <f>IFERROR(__xludf.DUMMYFUNCTION("""COMPUTED_VALUE"""),"費用 - 匯費")</f>
        <v>費用 - 匯費</v>
      </c>
      <c r="D2711" s="270">
        <f>IFERROR(__xludf.DUMMYFUNCTION("""COMPUTED_VALUE"""),-15.0)</f>
        <v>-15</v>
      </c>
      <c r="E2711" t="str">
        <f>IFERROR(__xludf.DUMMYFUNCTION("""COMPUTED_VALUE"""),"台銀籌備帳戶")</f>
        <v>台銀籌備帳戶</v>
      </c>
      <c r="H2711" s="106" t="str">
        <f t="shared" si="1"/>
        <v>2025-10</v>
      </c>
      <c r="I2711" s="271" t="str">
        <f>IFERROR(__xludf.DUMMYFUNCTION("""COMPUTED_VALUE"""),"貓狗企鵝")</f>
        <v>貓狗企鵝</v>
      </c>
      <c r="J2711" t="str">
        <f>IFERROR(__xludf.DUMMYFUNCTION("IFS(
  AND(REGEXMATCH(E2711, ""台銀籌備帳戶|玉山帳戶""), REGEXMATCH(C2711, ""薪資"")), ""分潤支出"",
  AND(REGEXMATCH(E2711, ""Ben帳戶|Elsa帳戶|Ben代墊|Ariel代墊|中信銀行共用""), REGEXMATCH(F2711, ""Ben帳戶|Elsa帳戶|Ben代墊|Ariel代墊|中信銀行共用"")), ""內部轉帳(忽略)"",
  AND(E2711&lt;&gt;"""", F2711&lt;&gt;"""", N"&amp;"OT(REGEXMATCH(C2711, ""薪資""))), ""內部轉帳(忽略)"",
  REGEXMATCH(C2711, ""薪資""), ""薪資變動(不計入)"",
  REGEXMATCH(C2711, ""押金""), ""押金往來"",
  AND(E2711&lt;&gt;"""", F2711=""""), ""真實支出"",
  AND(E2711="""", F2711&lt;&gt;""""), ""真實收入"",
  TRUE, ""其他""
)"),"真實支出")</f>
        <v>真實支出</v>
      </c>
      <c r="K2711" s="270">
        <f t="shared" si="2"/>
        <v>-15</v>
      </c>
      <c r="L2711">
        <f t="shared" si="3"/>
        <v>0</v>
      </c>
    </row>
    <row r="2712">
      <c r="A2712" s="107">
        <f>IFERROR(__xludf.DUMMYFUNCTION("""COMPUTED_VALUE"""),45945.0)</f>
        <v>45945</v>
      </c>
      <c r="B2712" t="str">
        <f>IFERROR(__xludf.DUMMYFUNCTION("""COMPUTED_VALUE"""),"[大湖山莊] [陳彩霞] 大租金")</f>
        <v>[大湖山莊] [陳彩霞] 大租金</v>
      </c>
      <c r="C2712" t="str">
        <f>IFERROR(__xludf.DUMMYFUNCTION("""COMPUTED_VALUE"""),"成本 - 大租金")</f>
        <v>成本 - 大租金</v>
      </c>
      <c r="D2712" s="270">
        <f>IFERROR(__xludf.DUMMYFUNCTION("""COMPUTED_VALUE"""),-19400.0)</f>
        <v>-19400</v>
      </c>
      <c r="E2712" t="str">
        <f>IFERROR(__xludf.DUMMYFUNCTION("""COMPUTED_VALUE"""),"台銀籌備帳戶")</f>
        <v>台銀籌備帳戶</v>
      </c>
      <c r="G2712" t="str">
        <f>IFERROR(__xludf.DUMMYFUNCTION("""COMPUTED_VALUE"""),"大湖山莊")</f>
        <v>大湖山莊</v>
      </c>
      <c r="H2712" s="106" t="str">
        <f t="shared" si="1"/>
        <v>2025-10</v>
      </c>
      <c r="I2712" s="271" t="str">
        <f>IFERROR(__xludf.DUMMYFUNCTION("""COMPUTED_VALUE"""),"貓狗企鵝")</f>
        <v>貓狗企鵝</v>
      </c>
      <c r="J2712" t="str">
        <f>IFERROR(__xludf.DUMMYFUNCTION("IFS(
  AND(REGEXMATCH(E2712, ""台銀籌備帳戶|玉山帳戶""), REGEXMATCH(C2712, ""薪資"")), ""分潤支出"",
  AND(REGEXMATCH(E2712, ""Ben帳戶|Elsa帳戶|Ben代墊|Ariel代墊|中信銀行共用""), REGEXMATCH(F2712, ""Ben帳戶|Elsa帳戶|Ben代墊|Ariel代墊|中信銀行共用"")), ""內部轉帳(忽略)"",
  AND(E2712&lt;&gt;"""", F2712&lt;&gt;"""", N"&amp;"OT(REGEXMATCH(C2712, ""薪資""))), ""內部轉帳(忽略)"",
  REGEXMATCH(C2712, ""薪資""), ""薪資變動(不計入)"",
  REGEXMATCH(C2712, ""押金""), ""押金往來"",
  AND(E2712&lt;&gt;"""", F2712=""""), ""真實支出"",
  AND(E2712="""", F2712&lt;&gt;""""), ""真實收入"",
  TRUE, ""其他""
)"),"真實支出")</f>
        <v>真實支出</v>
      </c>
      <c r="K2712" s="270">
        <f t="shared" si="2"/>
        <v>-19400</v>
      </c>
      <c r="L2712">
        <f t="shared" si="3"/>
        <v>0</v>
      </c>
    </row>
    <row r="2713">
      <c r="A2713" s="107">
        <f>IFERROR(__xludf.DUMMYFUNCTION("""COMPUTED_VALUE"""),45945.0)</f>
        <v>45945</v>
      </c>
      <c r="B2713" t="str">
        <f>IFERROR(__xludf.DUMMYFUNCTION("""COMPUTED_VALUE"""),"費用 - 匯費 對方行:822 後五碼:06708 (行號: 11)")</f>
        <v>費用 - 匯費 對方行:822 後五碼:06708 (行號: 11)</v>
      </c>
      <c r="C2713" t="str">
        <f>IFERROR(__xludf.DUMMYFUNCTION("""COMPUTED_VALUE"""),"費用 - 匯費")</f>
        <v>費用 - 匯費</v>
      </c>
      <c r="D2713" s="270">
        <f>IFERROR(__xludf.DUMMYFUNCTION("""COMPUTED_VALUE"""),-15.0)</f>
        <v>-15</v>
      </c>
      <c r="E2713" t="str">
        <f>IFERROR(__xludf.DUMMYFUNCTION("""COMPUTED_VALUE"""),"台銀籌備帳戶")</f>
        <v>台銀籌備帳戶</v>
      </c>
      <c r="H2713" s="106" t="str">
        <f t="shared" si="1"/>
        <v>2025-10</v>
      </c>
      <c r="I2713" s="271" t="str">
        <f>IFERROR(__xludf.DUMMYFUNCTION("""COMPUTED_VALUE"""),"貓狗企鵝")</f>
        <v>貓狗企鵝</v>
      </c>
      <c r="J2713" t="str">
        <f>IFERROR(__xludf.DUMMYFUNCTION("IFS(
  AND(REGEXMATCH(E2713, ""台銀籌備帳戶|玉山帳戶""), REGEXMATCH(C2713, ""薪資"")), ""分潤支出"",
  AND(REGEXMATCH(E2713, ""Ben帳戶|Elsa帳戶|Ben代墊|Ariel代墊|中信銀行共用""), REGEXMATCH(F2713, ""Ben帳戶|Elsa帳戶|Ben代墊|Ariel代墊|中信銀行共用"")), ""內部轉帳(忽略)"",
  AND(E2713&lt;&gt;"""", F2713&lt;&gt;"""", N"&amp;"OT(REGEXMATCH(C2713, ""薪資""))), ""內部轉帳(忽略)"",
  REGEXMATCH(C2713, ""薪資""), ""薪資變動(不計入)"",
  REGEXMATCH(C2713, ""押金""), ""押金往來"",
  AND(E2713&lt;&gt;"""", F2713=""""), ""真實支出"",
  AND(E2713="""", F2713&lt;&gt;""""), ""真實收入"",
  TRUE, ""其他""
)"),"真實支出")</f>
        <v>真實支出</v>
      </c>
      <c r="K2713" s="270">
        <f t="shared" si="2"/>
        <v>-15</v>
      </c>
      <c r="L2713">
        <f t="shared" si="3"/>
        <v>0</v>
      </c>
    </row>
    <row r="2714">
      <c r="A2714" s="107">
        <f>IFERROR(__xludf.DUMMYFUNCTION("""COMPUTED_VALUE"""),45945.0)</f>
        <v>45945</v>
      </c>
      <c r="B2714" t="str">
        <f>IFERROR(__xludf.DUMMYFUNCTION("""COMPUTED_VALUE"""),"[金龍帽子先生] [郭娟伶] 大租金")</f>
        <v>[金龍帽子先生] [郭娟伶] 大租金</v>
      </c>
      <c r="C2714" t="str">
        <f>IFERROR(__xludf.DUMMYFUNCTION("""COMPUTED_VALUE"""),"成本 - 大租金")</f>
        <v>成本 - 大租金</v>
      </c>
      <c r="D2714" s="270">
        <f>IFERROR(__xludf.DUMMYFUNCTION("""COMPUTED_VALUE"""),-17750.0)</f>
        <v>-17750</v>
      </c>
      <c r="E2714" t="str">
        <f>IFERROR(__xludf.DUMMYFUNCTION("""COMPUTED_VALUE"""),"台銀籌備帳戶")</f>
        <v>台銀籌備帳戶</v>
      </c>
      <c r="G2714" t="str">
        <f>IFERROR(__xludf.DUMMYFUNCTION("""COMPUTED_VALUE"""),"金龍帽子先生")</f>
        <v>金龍帽子先生</v>
      </c>
      <c r="H2714" s="106" t="str">
        <f t="shared" si="1"/>
        <v>2025-10</v>
      </c>
      <c r="I2714" s="271" t="str">
        <f>IFERROR(__xludf.DUMMYFUNCTION("""COMPUTED_VALUE"""),"貓狗企鵝")</f>
        <v>貓狗企鵝</v>
      </c>
      <c r="J2714" t="str">
        <f>IFERROR(__xludf.DUMMYFUNCTION("IFS(
  AND(REGEXMATCH(E2714, ""台銀籌備帳戶|玉山帳戶""), REGEXMATCH(C2714, ""薪資"")), ""分潤支出"",
  AND(REGEXMATCH(E2714, ""Ben帳戶|Elsa帳戶|Ben代墊|Ariel代墊|中信銀行共用""), REGEXMATCH(F2714, ""Ben帳戶|Elsa帳戶|Ben代墊|Ariel代墊|中信銀行共用"")), ""內部轉帳(忽略)"",
  AND(E2714&lt;&gt;"""", F2714&lt;&gt;"""", N"&amp;"OT(REGEXMATCH(C2714, ""薪資""))), ""內部轉帳(忽略)"",
  REGEXMATCH(C2714, ""薪資""), ""薪資變動(不計入)"",
  REGEXMATCH(C2714, ""押金""), ""押金往來"",
  AND(E2714&lt;&gt;"""", F2714=""""), ""真實支出"",
  AND(E2714="""", F2714&lt;&gt;""""), ""真實收入"",
  TRUE, ""其他""
)"),"真實支出")</f>
        <v>真實支出</v>
      </c>
      <c r="K2714" s="270">
        <f t="shared" si="2"/>
        <v>-17750</v>
      </c>
      <c r="L2714">
        <f t="shared" si="3"/>
        <v>0</v>
      </c>
    </row>
    <row r="2715">
      <c r="A2715" s="107">
        <f>IFERROR(__xludf.DUMMYFUNCTION("""COMPUTED_VALUE"""),45945.0)</f>
        <v>45945</v>
      </c>
      <c r="B2715" t="str">
        <f>IFERROR(__xludf.DUMMYFUNCTION("""COMPUTED_VALUE"""),"費用 - 匯費 對方行:013 後五碼:20652 (行號: 12)")</f>
        <v>費用 - 匯費 對方行:013 後五碼:20652 (行號: 12)</v>
      </c>
      <c r="C2715" t="str">
        <f>IFERROR(__xludf.DUMMYFUNCTION("""COMPUTED_VALUE"""),"費用 - 匯費")</f>
        <v>費用 - 匯費</v>
      </c>
      <c r="D2715" s="270">
        <f>IFERROR(__xludf.DUMMYFUNCTION("""COMPUTED_VALUE"""),-15.0)</f>
        <v>-15</v>
      </c>
      <c r="E2715" t="str">
        <f>IFERROR(__xludf.DUMMYFUNCTION("""COMPUTED_VALUE"""),"台銀籌備帳戶")</f>
        <v>台銀籌備帳戶</v>
      </c>
      <c r="H2715" s="106" t="str">
        <f t="shared" si="1"/>
        <v>2025-10</v>
      </c>
      <c r="I2715" s="271" t="str">
        <f>IFERROR(__xludf.DUMMYFUNCTION("""COMPUTED_VALUE"""),"貓狗企鵝")</f>
        <v>貓狗企鵝</v>
      </c>
      <c r="J2715" t="str">
        <f>IFERROR(__xludf.DUMMYFUNCTION("IFS(
  AND(REGEXMATCH(E2715, ""台銀籌備帳戶|玉山帳戶""), REGEXMATCH(C2715, ""薪資"")), ""分潤支出"",
  AND(REGEXMATCH(E2715, ""Ben帳戶|Elsa帳戶|Ben代墊|Ariel代墊|中信銀行共用""), REGEXMATCH(F2715, ""Ben帳戶|Elsa帳戶|Ben代墊|Ariel代墊|中信銀行共用"")), ""內部轉帳(忽略)"",
  AND(E2715&lt;&gt;"""", F2715&lt;&gt;"""", N"&amp;"OT(REGEXMATCH(C2715, ""薪資""))), ""內部轉帳(忽略)"",
  REGEXMATCH(C2715, ""薪資""), ""薪資變動(不計入)"",
  REGEXMATCH(C2715, ""押金""), ""押金往來"",
  AND(E2715&lt;&gt;"""", F2715=""""), ""真實支出"",
  AND(E2715="""", F2715&lt;&gt;""""), ""真實收入"",
  TRUE, ""其他""
)"),"真實支出")</f>
        <v>真實支出</v>
      </c>
      <c r="K2715" s="270">
        <f t="shared" si="2"/>
        <v>-15</v>
      </c>
      <c r="L2715">
        <f t="shared" si="3"/>
        <v>0</v>
      </c>
    </row>
    <row r="2716">
      <c r="A2716" s="107">
        <f>IFERROR(__xludf.DUMMYFUNCTION("""COMPUTED_VALUE"""),45945.0)</f>
        <v>45945</v>
      </c>
      <c r="B2716" t="str">
        <f>IFERROR(__xludf.DUMMYFUNCTION("""COMPUTED_VALUE"""),"[景安2分鐘] [王逸荃] 大租金")</f>
        <v>[景安2分鐘] [王逸荃] 大租金</v>
      </c>
      <c r="C2716" t="str">
        <f>IFERROR(__xludf.DUMMYFUNCTION("""COMPUTED_VALUE"""),"成本 - 大租金")</f>
        <v>成本 - 大租金</v>
      </c>
      <c r="D2716" s="270">
        <f>IFERROR(__xludf.DUMMYFUNCTION("""COMPUTED_VALUE"""),-12500.0)</f>
        <v>-12500</v>
      </c>
      <c r="E2716" t="str">
        <f>IFERROR(__xludf.DUMMYFUNCTION("""COMPUTED_VALUE"""),"台銀籌備帳戶")</f>
        <v>台銀籌備帳戶</v>
      </c>
      <c r="G2716" t="str">
        <f>IFERROR(__xludf.DUMMYFUNCTION("""COMPUTED_VALUE"""),"景安2分鐘")</f>
        <v>景安2分鐘</v>
      </c>
      <c r="H2716" s="106" t="str">
        <f t="shared" si="1"/>
        <v>2025-10</v>
      </c>
      <c r="I2716" s="271" t="str">
        <f>IFERROR(__xludf.DUMMYFUNCTION("""COMPUTED_VALUE"""),"貓狗企鵝")</f>
        <v>貓狗企鵝</v>
      </c>
      <c r="J2716" t="str">
        <f>IFERROR(__xludf.DUMMYFUNCTION("IFS(
  AND(REGEXMATCH(E2716, ""台銀籌備帳戶|玉山帳戶""), REGEXMATCH(C2716, ""薪資"")), ""分潤支出"",
  AND(REGEXMATCH(E2716, ""Ben帳戶|Elsa帳戶|Ben代墊|Ariel代墊|中信銀行共用""), REGEXMATCH(F2716, ""Ben帳戶|Elsa帳戶|Ben代墊|Ariel代墊|中信銀行共用"")), ""內部轉帳(忽略)"",
  AND(E2716&lt;&gt;"""", F2716&lt;&gt;"""", N"&amp;"OT(REGEXMATCH(C2716, ""薪資""))), ""內部轉帳(忽略)"",
  REGEXMATCH(C2716, ""薪資""), ""薪資變動(不計入)"",
  REGEXMATCH(C2716, ""押金""), ""押金往來"",
  AND(E2716&lt;&gt;"""", F2716=""""), ""真實支出"",
  AND(E2716="""", F2716&lt;&gt;""""), ""真實收入"",
  TRUE, ""其他""
)"),"真實支出")</f>
        <v>真實支出</v>
      </c>
      <c r="K2716" s="270">
        <f t="shared" si="2"/>
        <v>-12500</v>
      </c>
      <c r="L2716">
        <f t="shared" si="3"/>
        <v>0</v>
      </c>
    </row>
    <row r="2717">
      <c r="A2717" s="107">
        <f>IFERROR(__xludf.DUMMYFUNCTION("""COMPUTED_VALUE"""),45945.0)</f>
        <v>45945</v>
      </c>
      <c r="B2717" t="str">
        <f>IFERROR(__xludf.DUMMYFUNCTION("""COMPUTED_VALUE"""),"費用 - 匯費 對方行:052 後五碼:22609 (行號: 13)")</f>
        <v>費用 - 匯費 對方行:052 後五碼:22609 (行號: 13)</v>
      </c>
      <c r="C2717" t="str">
        <f>IFERROR(__xludf.DUMMYFUNCTION("""COMPUTED_VALUE"""),"費用 - 匯費")</f>
        <v>費用 - 匯費</v>
      </c>
      <c r="D2717" s="270">
        <f>IFERROR(__xludf.DUMMYFUNCTION("""COMPUTED_VALUE"""),-15.0)</f>
        <v>-15</v>
      </c>
      <c r="E2717" t="str">
        <f>IFERROR(__xludf.DUMMYFUNCTION("""COMPUTED_VALUE"""),"台銀籌備帳戶")</f>
        <v>台銀籌備帳戶</v>
      </c>
      <c r="H2717" s="106" t="str">
        <f t="shared" si="1"/>
        <v>2025-10</v>
      </c>
      <c r="I2717" s="271" t="str">
        <f>IFERROR(__xludf.DUMMYFUNCTION("""COMPUTED_VALUE"""),"貓狗企鵝")</f>
        <v>貓狗企鵝</v>
      </c>
      <c r="J2717" t="str">
        <f>IFERROR(__xludf.DUMMYFUNCTION("IFS(
  AND(REGEXMATCH(E2717, ""台銀籌備帳戶|玉山帳戶""), REGEXMATCH(C2717, ""薪資"")), ""分潤支出"",
  AND(REGEXMATCH(E2717, ""Ben帳戶|Elsa帳戶|Ben代墊|Ariel代墊|中信銀行共用""), REGEXMATCH(F2717, ""Ben帳戶|Elsa帳戶|Ben代墊|Ariel代墊|中信銀行共用"")), ""內部轉帳(忽略)"",
  AND(E2717&lt;&gt;"""", F2717&lt;&gt;"""", N"&amp;"OT(REGEXMATCH(C2717, ""薪資""))), ""內部轉帳(忽略)"",
  REGEXMATCH(C2717, ""薪資""), ""薪資變動(不計入)"",
  REGEXMATCH(C2717, ""押金""), ""押金往來"",
  AND(E2717&lt;&gt;"""", F2717=""""), ""真實支出"",
  AND(E2717="""", F2717&lt;&gt;""""), ""真實收入"",
  TRUE, ""其他""
)"),"真實支出")</f>
        <v>真實支出</v>
      </c>
      <c r="K2717" s="270">
        <f t="shared" si="2"/>
        <v>-15</v>
      </c>
      <c r="L2717">
        <f t="shared" si="3"/>
        <v>0</v>
      </c>
    </row>
    <row r="2718">
      <c r="A2718" s="107">
        <f>IFERROR(__xludf.DUMMYFUNCTION("""COMPUTED_VALUE"""),45945.0)</f>
        <v>45945</v>
      </c>
      <c r="B2718" t="str">
        <f>IFERROR(__xludf.DUMMYFUNCTION("""COMPUTED_VALUE"""),"[中山北Feli家] [陳玉蘭] 大租金")</f>
        <v>[中山北Feli家] [陳玉蘭] 大租金</v>
      </c>
      <c r="C2718" t="str">
        <f>IFERROR(__xludf.DUMMYFUNCTION("""COMPUTED_VALUE"""),"成本 - 大租金")</f>
        <v>成本 - 大租金</v>
      </c>
      <c r="D2718" s="270">
        <f>IFERROR(__xludf.DUMMYFUNCTION("""COMPUTED_VALUE"""),-18000.0)</f>
        <v>-18000</v>
      </c>
      <c r="E2718" t="str">
        <f>IFERROR(__xludf.DUMMYFUNCTION("""COMPUTED_VALUE"""),"台銀籌備帳戶")</f>
        <v>台銀籌備帳戶</v>
      </c>
      <c r="G2718" t="str">
        <f>IFERROR(__xludf.DUMMYFUNCTION("""COMPUTED_VALUE"""),"中山北Feli家")</f>
        <v>中山北Feli家</v>
      </c>
      <c r="H2718" s="106" t="str">
        <f t="shared" si="1"/>
        <v>2025-10</v>
      </c>
      <c r="I2718" s="271" t="str">
        <f>IFERROR(__xludf.DUMMYFUNCTION("""COMPUTED_VALUE"""),"貓狗企鵝")</f>
        <v>貓狗企鵝</v>
      </c>
      <c r="J2718" t="str">
        <f>IFERROR(__xludf.DUMMYFUNCTION("IFS(
  AND(REGEXMATCH(E2718, ""台銀籌備帳戶|玉山帳戶""), REGEXMATCH(C2718, ""薪資"")), ""分潤支出"",
  AND(REGEXMATCH(E2718, ""Ben帳戶|Elsa帳戶|Ben代墊|Ariel代墊|中信銀行共用""), REGEXMATCH(F2718, ""Ben帳戶|Elsa帳戶|Ben代墊|Ariel代墊|中信銀行共用"")), ""內部轉帳(忽略)"",
  AND(E2718&lt;&gt;"""", F2718&lt;&gt;"""", N"&amp;"OT(REGEXMATCH(C2718, ""薪資""))), ""內部轉帳(忽略)"",
  REGEXMATCH(C2718, ""薪資""), ""薪資變動(不計入)"",
  REGEXMATCH(C2718, ""押金""), ""押金往來"",
  AND(E2718&lt;&gt;"""", F2718=""""), ""真實支出"",
  AND(E2718="""", F2718&lt;&gt;""""), ""真實收入"",
  TRUE, ""其他""
)"),"真實支出")</f>
        <v>真實支出</v>
      </c>
      <c r="K2718" s="270">
        <f t="shared" si="2"/>
        <v>-18000</v>
      </c>
      <c r="L2718">
        <f t="shared" si="3"/>
        <v>0</v>
      </c>
    </row>
    <row r="2719">
      <c r="A2719" s="107">
        <f>IFERROR(__xludf.DUMMYFUNCTION("""COMPUTED_VALUE"""),45945.0)</f>
        <v>45945</v>
      </c>
      <c r="B2719" t="str">
        <f>IFERROR(__xludf.DUMMYFUNCTION("""COMPUTED_VALUE"""),"費用 - 匯費 對方行:700 後五碼:19509 (行號: 14)")</f>
        <v>費用 - 匯費 對方行:700 後五碼:19509 (行號: 14)</v>
      </c>
      <c r="C2719" t="str">
        <f>IFERROR(__xludf.DUMMYFUNCTION("""COMPUTED_VALUE"""),"費用 - 匯費")</f>
        <v>費用 - 匯費</v>
      </c>
      <c r="D2719" s="270">
        <f>IFERROR(__xludf.DUMMYFUNCTION("""COMPUTED_VALUE"""),-15.0)</f>
        <v>-15</v>
      </c>
      <c r="E2719" t="str">
        <f>IFERROR(__xludf.DUMMYFUNCTION("""COMPUTED_VALUE"""),"台銀籌備帳戶")</f>
        <v>台銀籌備帳戶</v>
      </c>
      <c r="H2719" s="106" t="str">
        <f t="shared" si="1"/>
        <v>2025-10</v>
      </c>
      <c r="I2719" s="271" t="str">
        <f>IFERROR(__xludf.DUMMYFUNCTION("""COMPUTED_VALUE"""),"貓狗企鵝")</f>
        <v>貓狗企鵝</v>
      </c>
      <c r="J2719" t="str">
        <f>IFERROR(__xludf.DUMMYFUNCTION("IFS(
  AND(REGEXMATCH(E2719, ""台銀籌備帳戶|玉山帳戶""), REGEXMATCH(C2719, ""薪資"")), ""分潤支出"",
  AND(REGEXMATCH(E2719, ""Ben帳戶|Elsa帳戶|Ben代墊|Ariel代墊|中信銀行共用""), REGEXMATCH(F2719, ""Ben帳戶|Elsa帳戶|Ben代墊|Ariel代墊|中信銀行共用"")), ""內部轉帳(忽略)"",
  AND(E2719&lt;&gt;"""", F2719&lt;&gt;"""", N"&amp;"OT(REGEXMATCH(C2719, ""薪資""))), ""內部轉帳(忽略)"",
  REGEXMATCH(C2719, ""薪資""), ""薪資變動(不計入)"",
  REGEXMATCH(C2719, ""押金""), ""押金往來"",
  AND(E2719&lt;&gt;"""", F2719=""""), ""真實支出"",
  AND(E2719="""", F2719&lt;&gt;""""), ""真實收入"",
  TRUE, ""其他""
)"),"真實支出")</f>
        <v>真實支出</v>
      </c>
      <c r="K2719" s="270">
        <f t="shared" si="2"/>
        <v>-15</v>
      </c>
      <c r="L2719">
        <f t="shared" si="3"/>
        <v>0</v>
      </c>
    </row>
    <row r="2720">
      <c r="A2720" s="107">
        <f>IFERROR(__xludf.DUMMYFUNCTION("""COMPUTED_VALUE"""),45945.0)</f>
        <v>45945</v>
      </c>
      <c r="B2720" t="str">
        <f>IFERROR(__xludf.DUMMYFUNCTION("""COMPUTED_VALUE"""),"[龍江229] [游為傑] 大租金")</f>
        <v>[龍江229] [游為傑] 大租金</v>
      </c>
      <c r="C2720" t="str">
        <f>IFERROR(__xludf.DUMMYFUNCTION("""COMPUTED_VALUE"""),"成本 - 大租金")</f>
        <v>成本 - 大租金</v>
      </c>
      <c r="D2720" s="270">
        <f>IFERROR(__xludf.DUMMYFUNCTION("""COMPUTED_VALUE"""),-13500.0)</f>
        <v>-13500</v>
      </c>
      <c r="E2720" t="str">
        <f>IFERROR(__xludf.DUMMYFUNCTION("""COMPUTED_VALUE"""),"台銀籌備帳戶")</f>
        <v>台銀籌備帳戶</v>
      </c>
      <c r="G2720" t="str">
        <f>IFERROR(__xludf.DUMMYFUNCTION("""COMPUTED_VALUE"""),"龍江229")</f>
        <v>龍江229</v>
      </c>
      <c r="H2720" s="106" t="str">
        <f t="shared" si="1"/>
        <v>2025-10</v>
      </c>
      <c r="I2720" s="271" t="str">
        <f>IFERROR(__xludf.DUMMYFUNCTION("""COMPUTED_VALUE"""),"貓狗企鵝")</f>
        <v>貓狗企鵝</v>
      </c>
      <c r="J2720" t="str">
        <f>IFERROR(__xludf.DUMMYFUNCTION("IFS(
  AND(REGEXMATCH(E2720, ""台銀籌備帳戶|玉山帳戶""), REGEXMATCH(C2720, ""薪資"")), ""分潤支出"",
  AND(REGEXMATCH(E2720, ""Ben帳戶|Elsa帳戶|Ben代墊|Ariel代墊|中信銀行共用""), REGEXMATCH(F2720, ""Ben帳戶|Elsa帳戶|Ben代墊|Ariel代墊|中信銀行共用"")), ""內部轉帳(忽略)"",
  AND(E2720&lt;&gt;"""", F2720&lt;&gt;"""", N"&amp;"OT(REGEXMATCH(C2720, ""薪資""))), ""內部轉帳(忽略)"",
  REGEXMATCH(C2720, ""薪資""), ""薪資變動(不計入)"",
  REGEXMATCH(C2720, ""押金""), ""押金往來"",
  AND(E2720&lt;&gt;"""", F2720=""""), ""真實支出"",
  AND(E2720="""", F2720&lt;&gt;""""), ""真實收入"",
  TRUE, ""其他""
)"),"真實支出")</f>
        <v>真實支出</v>
      </c>
      <c r="K2720" s="270">
        <f t="shared" si="2"/>
        <v>-13500</v>
      </c>
      <c r="L2720">
        <f t="shared" si="3"/>
        <v>0</v>
      </c>
    </row>
    <row r="2721">
      <c r="A2721" s="107">
        <f>IFERROR(__xludf.DUMMYFUNCTION("""COMPUTED_VALUE"""),45949.0)</f>
        <v>45949</v>
      </c>
      <c r="B2721" t="str">
        <f>IFERROR(__xludf.DUMMYFUNCTION("""COMPUTED_VALUE"""),"費用 - 匯費 對方行:822 後五碼:56515 (行號: 15)")</f>
        <v>費用 - 匯費 對方行:822 後五碼:56515 (行號: 15)</v>
      </c>
      <c r="C2721" t="str">
        <f>IFERROR(__xludf.DUMMYFUNCTION("""COMPUTED_VALUE"""),"費用 - 匯費")</f>
        <v>費用 - 匯費</v>
      </c>
      <c r="D2721" s="270">
        <f>IFERROR(__xludf.DUMMYFUNCTION("""COMPUTED_VALUE"""),-15.0)</f>
        <v>-15</v>
      </c>
      <c r="E2721" t="str">
        <f>IFERROR(__xludf.DUMMYFUNCTION("""COMPUTED_VALUE"""),"台銀籌備帳戶")</f>
        <v>台銀籌備帳戶</v>
      </c>
      <c r="H2721" s="106" t="str">
        <f t="shared" si="1"/>
        <v>2025-10</v>
      </c>
      <c r="I2721" s="271" t="str">
        <f>IFERROR(__xludf.DUMMYFUNCTION("""COMPUTED_VALUE"""),"貓狗企鵝")</f>
        <v>貓狗企鵝</v>
      </c>
      <c r="J2721" t="str">
        <f>IFERROR(__xludf.DUMMYFUNCTION("IFS(
  AND(REGEXMATCH(E2721, ""台銀籌備帳戶|玉山帳戶""), REGEXMATCH(C2721, ""薪資"")), ""分潤支出"",
  AND(REGEXMATCH(E2721, ""Ben帳戶|Elsa帳戶|Ben代墊|Ariel代墊|中信銀行共用""), REGEXMATCH(F2721, ""Ben帳戶|Elsa帳戶|Ben代墊|Ariel代墊|中信銀行共用"")), ""內部轉帳(忽略)"",
  AND(E2721&lt;&gt;"""", F2721&lt;&gt;"""", N"&amp;"OT(REGEXMATCH(C2721, ""薪資""))), ""內部轉帳(忽略)"",
  REGEXMATCH(C2721, ""薪資""), ""薪資變動(不計入)"",
  REGEXMATCH(C2721, ""押金""), ""押金往來"",
  AND(E2721&lt;&gt;"""", F2721=""""), ""真實支出"",
  AND(E2721="""", F2721&lt;&gt;""""), ""真實收入"",
  TRUE, ""其他""
)"),"真實支出")</f>
        <v>真實支出</v>
      </c>
      <c r="K2721" s="270">
        <f t="shared" si="2"/>
        <v>-15</v>
      </c>
      <c r="L2721">
        <f t="shared" si="3"/>
        <v>0</v>
      </c>
    </row>
    <row r="2722">
      <c r="A2722" s="107">
        <f>IFERROR(__xludf.DUMMYFUNCTION("""COMPUTED_VALUE"""),45949.0)</f>
        <v>45949</v>
      </c>
      <c r="B2722" t="str">
        <f>IFERROR(__xludf.DUMMYFUNCTION("""COMPUTED_VALUE""")," 冷氣 龍江 哈拉 大湖...等")</f>
        <v> 冷氣 龍江 哈拉 大湖...等</v>
      </c>
      <c r="C2722" t="str">
        <f>IFERROR(__xludf.DUMMYFUNCTION("""COMPUTED_VALUE"""),"成本 - 租後修繕")</f>
        <v>成本 - 租後修繕</v>
      </c>
      <c r="D2722" s="270">
        <f>IFERROR(__xludf.DUMMYFUNCTION("""COMPUTED_VALUE"""),-117200.0)</f>
        <v>-117200</v>
      </c>
      <c r="E2722" t="str">
        <f>IFERROR(__xludf.DUMMYFUNCTION("""COMPUTED_VALUE"""),"台銀籌備帳戶")</f>
        <v>台銀籌備帳戶</v>
      </c>
      <c r="G2722" t="str">
        <f>IFERROR(__xludf.DUMMYFUNCTION("""COMPUTED_VALUE"""),"哈拉對面")</f>
        <v>哈拉對面</v>
      </c>
      <c r="H2722" s="106" t="str">
        <f t="shared" si="1"/>
        <v>2025-10</v>
      </c>
      <c r="I2722" s="271" t="str">
        <f>IFERROR(__xludf.DUMMYFUNCTION("""COMPUTED_VALUE"""),"貓狗企鵝")</f>
        <v>貓狗企鵝</v>
      </c>
      <c r="J2722" t="str">
        <f>IFERROR(__xludf.DUMMYFUNCTION("IFS(
  AND(REGEXMATCH(E2722, ""台銀籌備帳戶|玉山帳戶""), REGEXMATCH(C2722, ""薪資"")), ""分潤支出"",
  AND(REGEXMATCH(E2722, ""Ben帳戶|Elsa帳戶|Ben代墊|Ariel代墊|中信銀行共用""), REGEXMATCH(F2722, ""Ben帳戶|Elsa帳戶|Ben代墊|Ariel代墊|中信銀行共用"")), ""內部轉帳(忽略)"",
  AND(E2722&lt;&gt;"""", F2722&lt;&gt;"""", N"&amp;"OT(REGEXMATCH(C2722, ""薪資""))), ""內部轉帳(忽略)"",
  REGEXMATCH(C2722, ""薪資""), ""薪資變動(不計入)"",
  REGEXMATCH(C2722, ""押金""), ""押金往來"",
  AND(E2722&lt;&gt;"""", F2722=""""), ""真實支出"",
  AND(E2722="""", F2722&lt;&gt;""""), ""真實收入"",
  TRUE, ""其他""
)"),"真實支出")</f>
        <v>真實支出</v>
      </c>
      <c r="K2722" s="270">
        <f t="shared" si="2"/>
        <v>-117200</v>
      </c>
      <c r="L2722">
        <f t="shared" si="3"/>
        <v>0</v>
      </c>
    </row>
    <row r="2723">
      <c r="A2723" s="107">
        <f>IFERROR(__xludf.DUMMYFUNCTION("""COMPUTED_VALUE"""),45949.0)</f>
        <v>45949</v>
      </c>
      <c r="B2723" t="str">
        <f>IFERROR(__xludf.DUMMYFUNCTION("""COMPUTED_VALUE"""),"費用 - 匯費 對方行:700 後五碼:70201 (行號: 16)")</f>
        <v>費用 - 匯費 對方行:700 後五碼:70201 (行號: 16)</v>
      </c>
      <c r="C2723" t="str">
        <f>IFERROR(__xludf.DUMMYFUNCTION("""COMPUTED_VALUE"""),"費用 - 匯費")</f>
        <v>費用 - 匯費</v>
      </c>
      <c r="D2723" s="270">
        <f>IFERROR(__xludf.DUMMYFUNCTION("""COMPUTED_VALUE"""),-15.0)</f>
        <v>-15</v>
      </c>
      <c r="E2723" t="str">
        <f>IFERROR(__xludf.DUMMYFUNCTION("""COMPUTED_VALUE"""),"台銀籌備帳戶")</f>
        <v>台銀籌備帳戶</v>
      </c>
      <c r="H2723" s="106" t="str">
        <f t="shared" si="1"/>
        <v>2025-10</v>
      </c>
      <c r="I2723" s="271" t="str">
        <f>IFERROR(__xludf.DUMMYFUNCTION("""COMPUTED_VALUE"""),"貓狗企鵝")</f>
        <v>貓狗企鵝</v>
      </c>
      <c r="J2723" t="str">
        <f>IFERROR(__xludf.DUMMYFUNCTION("IFS(
  AND(REGEXMATCH(E2723, ""台銀籌備帳戶|玉山帳戶""), REGEXMATCH(C2723, ""薪資"")), ""分潤支出"",
  AND(REGEXMATCH(E2723, ""Ben帳戶|Elsa帳戶|Ben代墊|Ariel代墊|中信銀行共用""), REGEXMATCH(F2723, ""Ben帳戶|Elsa帳戶|Ben代墊|Ariel代墊|中信銀行共用"")), ""內部轉帳(忽略)"",
  AND(E2723&lt;&gt;"""", F2723&lt;&gt;"""", N"&amp;"OT(REGEXMATCH(C2723, ""薪資""))), ""內部轉帳(忽略)"",
  REGEXMATCH(C2723, ""薪資""), ""薪資變動(不計入)"",
  REGEXMATCH(C2723, ""押金""), ""押金往來"",
  AND(E2723&lt;&gt;"""", F2723=""""), ""真實支出"",
  AND(E2723="""", F2723&lt;&gt;""""), ""真實收入"",
  TRUE, ""其他""
)"),"真實支出")</f>
        <v>真實支出</v>
      </c>
      <c r="K2723" s="270">
        <f t="shared" si="2"/>
        <v>-15</v>
      </c>
      <c r="L2723">
        <f t="shared" si="3"/>
        <v>0</v>
      </c>
    </row>
    <row r="2724">
      <c r="A2724" s="107">
        <f>IFERROR(__xludf.DUMMYFUNCTION("""COMPUTED_VALUE"""),45949.0)</f>
        <v>45949</v>
      </c>
      <c r="B2724" t="str">
        <f>IFERROR(__xludf.DUMMYFUNCTION("""COMPUTED_VALUE"""),"宜佳天母搜狗 ' 【未分類支出】")</f>
        <v>宜佳天母搜狗 ' 【未分類支出】</v>
      </c>
      <c r="C2724" t="str">
        <f>IFERROR(__xludf.DUMMYFUNCTION("""COMPUTED_VALUE"""),"成本 - 進場前裝潢費")</f>
        <v>成本 - 進場前裝潢費</v>
      </c>
      <c r="D2724" s="270">
        <f>IFERROR(__xludf.DUMMYFUNCTION("""COMPUTED_VALUE"""),-110000.0)</f>
        <v>-110000</v>
      </c>
      <c r="E2724" t="str">
        <f>IFERROR(__xludf.DUMMYFUNCTION("""COMPUTED_VALUE"""),"台銀籌備帳戶")</f>
        <v>台銀籌備帳戶</v>
      </c>
      <c r="G2724" t="str">
        <f>IFERROR(__xludf.DUMMYFUNCTION("""COMPUTED_VALUE"""),"天母搜狗")</f>
        <v>天母搜狗</v>
      </c>
      <c r="H2724" s="106" t="str">
        <f t="shared" si="1"/>
        <v>2025-10</v>
      </c>
      <c r="I2724" s="271" t="str">
        <f>IFERROR(__xludf.DUMMYFUNCTION("""COMPUTED_VALUE"""),"貓狗企鵝")</f>
        <v>貓狗企鵝</v>
      </c>
      <c r="J2724" t="str">
        <f>IFERROR(__xludf.DUMMYFUNCTION("IFS(
  AND(REGEXMATCH(E2724, ""台銀籌備帳戶|玉山帳戶""), REGEXMATCH(C2724, ""薪資"")), ""分潤支出"",
  AND(REGEXMATCH(E2724, ""Ben帳戶|Elsa帳戶|Ben代墊|Ariel代墊|中信銀行共用""), REGEXMATCH(F2724, ""Ben帳戶|Elsa帳戶|Ben代墊|Ariel代墊|中信銀行共用"")), ""內部轉帳(忽略)"",
  AND(E2724&lt;&gt;"""", F2724&lt;&gt;"""", N"&amp;"OT(REGEXMATCH(C2724, ""薪資""))), ""內部轉帳(忽略)"",
  REGEXMATCH(C2724, ""薪資""), ""薪資變動(不計入)"",
  REGEXMATCH(C2724, ""押金""), ""押金往來"",
  AND(E2724&lt;&gt;"""", F2724=""""), ""真實支出"",
  AND(E2724="""", F2724&lt;&gt;""""), ""真實收入"",
  TRUE, ""其他""
)"),"真實支出")</f>
        <v>真實支出</v>
      </c>
      <c r="K2724" s="270">
        <f t="shared" si="2"/>
        <v>-110000</v>
      </c>
      <c r="L2724">
        <f t="shared" si="3"/>
        <v>0</v>
      </c>
    </row>
    <row r="2725">
      <c r="A2725" s="107">
        <f>IFERROR(__xludf.DUMMYFUNCTION("""COMPUTED_VALUE"""),45950.0)</f>
        <v>45950</v>
      </c>
      <c r="B2725" t="str">
        <f>IFERROR(__xludf.DUMMYFUNCTION("""COMPUTED_VALUE"""),"費用 - 匯費 對方行:011 後五碼:17078 (行號: 17)")</f>
        <v>費用 - 匯費 對方行:011 後五碼:17078 (行號: 17)</v>
      </c>
      <c r="C2725" t="str">
        <f>IFERROR(__xludf.DUMMYFUNCTION("""COMPUTED_VALUE"""),"費用 - 匯費")</f>
        <v>費用 - 匯費</v>
      </c>
      <c r="D2725" s="270">
        <f>IFERROR(__xludf.DUMMYFUNCTION("""COMPUTED_VALUE"""),-15.0)</f>
        <v>-15</v>
      </c>
      <c r="E2725" t="str">
        <f>IFERROR(__xludf.DUMMYFUNCTION("""COMPUTED_VALUE"""),"台銀籌備帳戶")</f>
        <v>台銀籌備帳戶</v>
      </c>
      <c r="H2725" s="106" t="str">
        <f t="shared" si="1"/>
        <v>2025-10</v>
      </c>
      <c r="I2725" s="271" t="str">
        <f>IFERROR(__xludf.DUMMYFUNCTION("""COMPUTED_VALUE"""),"貓狗企鵝")</f>
        <v>貓狗企鵝</v>
      </c>
      <c r="J2725" t="str">
        <f>IFERROR(__xludf.DUMMYFUNCTION("IFS(
  AND(REGEXMATCH(E2725, ""台銀籌備帳戶|玉山帳戶""), REGEXMATCH(C2725, ""薪資"")), ""分潤支出"",
  AND(REGEXMATCH(E2725, ""Ben帳戶|Elsa帳戶|Ben代墊|Ariel代墊|中信銀行共用""), REGEXMATCH(F2725, ""Ben帳戶|Elsa帳戶|Ben代墊|Ariel代墊|中信銀行共用"")), ""內部轉帳(忽略)"",
  AND(E2725&lt;&gt;"""", F2725&lt;&gt;"""", N"&amp;"OT(REGEXMATCH(C2725, ""薪資""))), ""內部轉帳(忽略)"",
  REGEXMATCH(C2725, ""薪資""), ""薪資變動(不計入)"",
  REGEXMATCH(C2725, ""押金""), ""押金往來"",
  AND(E2725&lt;&gt;"""", F2725=""""), ""真實支出"",
  AND(E2725="""", F2725&lt;&gt;""""), ""真實收入"",
  TRUE, ""其他""
)"),"真實支出")</f>
        <v>真實支出</v>
      </c>
      <c r="K2725" s="270">
        <f t="shared" si="2"/>
        <v>-15</v>
      </c>
      <c r="L2725">
        <f t="shared" si="3"/>
        <v>0</v>
      </c>
    </row>
    <row r="2726">
      <c r="A2726" s="107">
        <f>IFERROR(__xludf.DUMMYFUNCTION("""COMPUTED_VALUE"""),45950.0)</f>
        <v>45950</v>
      </c>
      <c r="B2726" t="str">
        <f>IFERROR(__xludf.DUMMYFUNCTION("""COMPUTED_VALUE"""),"[書香民生] [吳高寶玉] 大租金")</f>
        <v>[書香民生] [吳高寶玉] 大租金</v>
      </c>
      <c r="C2726" t="str">
        <f>IFERROR(__xludf.DUMMYFUNCTION("""COMPUTED_VALUE"""),"成本 - 大租金")</f>
        <v>成本 - 大租金</v>
      </c>
      <c r="D2726" s="270">
        <f>IFERROR(__xludf.DUMMYFUNCTION("""COMPUTED_VALUE"""),-16666.0)</f>
        <v>-16666</v>
      </c>
      <c r="E2726" t="str">
        <f>IFERROR(__xludf.DUMMYFUNCTION("""COMPUTED_VALUE"""),"台銀籌備帳戶")</f>
        <v>台銀籌備帳戶</v>
      </c>
      <c r="G2726" t="str">
        <f>IFERROR(__xludf.DUMMYFUNCTION("""COMPUTED_VALUE"""),"書香民生")</f>
        <v>書香民生</v>
      </c>
      <c r="H2726" s="106" t="str">
        <f t="shared" si="1"/>
        <v>2025-10</v>
      </c>
      <c r="I2726" s="271" t="str">
        <f>IFERROR(__xludf.DUMMYFUNCTION("""COMPUTED_VALUE"""),"貓狗企鵝")</f>
        <v>貓狗企鵝</v>
      </c>
      <c r="J2726" t="str">
        <f>IFERROR(__xludf.DUMMYFUNCTION("IFS(
  AND(REGEXMATCH(E2726, ""台銀籌備帳戶|玉山帳戶""), REGEXMATCH(C2726, ""薪資"")), ""分潤支出"",
  AND(REGEXMATCH(E2726, ""Ben帳戶|Elsa帳戶|Ben代墊|Ariel代墊|中信銀行共用""), REGEXMATCH(F2726, ""Ben帳戶|Elsa帳戶|Ben代墊|Ariel代墊|中信銀行共用"")), ""內部轉帳(忽略)"",
  AND(E2726&lt;&gt;"""", F2726&lt;&gt;"""", N"&amp;"OT(REGEXMATCH(C2726, ""薪資""))), ""內部轉帳(忽略)"",
  REGEXMATCH(C2726, ""薪資""), ""薪資變動(不計入)"",
  REGEXMATCH(C2726, ""押金""), ""押金往來"",
  AND(E2726&lt;&gt;"""", F2726=""""), ""真實支出"",
  AND(E2726="""", F2726&lt;&gt;""""), ""真實收入"",
  TRUE, ""其他""
)"),"真實支出")</f>
        <v>真實支出</v>
      </c>
      <c r="K2726" s="270">
        <f t="shared" si="2"/>
        <v>-16666</v>
      </c>
      <c r="L2726">
        <f t="shared" si="3"/>
        <v>0</v>
      </c>
    </row>
    <row r="2727">
      <c r="A2727" s="107">
        <f>IFERROR(__xludf.DUMMYFUNCTION("""COMPUTED_VALUE"""),45953.0)</f>
        <v>45953</v>
      </c>
      <c r="B2727" t="str">
        <f>IFERROR(__xludf.DUMMYFUNCTION("""COMPUTED_VALUE"""),"費用 - 匯費 對方行:822 後五碼:68913 (行號: 18)")</f>
        <v>費用 - 匯費 對方行:822 後五碼:68913 (行號: 18)</v>
      </c>
      <c r="C2727" t="str">
        <f>IFERROR(__xludf.DUMMYFUNCTION("""COMPUTED_VALUE"""),"費用 - 匯費")</f>
        <v>費用 - 匯費</v>
      </c>
      <c r="D2727" s="270">
        <f>IFERROR(__xludf.DUMMYFUNCTION("""COMPUTED_VALUE"""),-15.0)</f>
        <v>-15</v>
      </c>
      <c r="E2727" t="str">
        <f>IFERROR(__xludf.DUMMYFUNCTION("""COMPUTED_VALUE"""),"台銀籌備帳戶")</f>
        <v>台銀籌備帳戶</v>
      </c>
      <c r="H2727" s="106" t="str">
        <f t="shared" si="1"/>
        <v>2025-10</v>
      </c>
      <c r="I2727" s="271" t="str">
        <f>IFERROR(__xludf.DUMMYFUNCTION("""COMPUTED_VALUE"""),"貓狗企鵝")</f>
        <v>貓狗企鵝</v>
      </c>
      <c r="J2727" t="str">
        <f>IFERROR(__xludf.DUMMYFUNCTION("IFS(
  AND(REGEXMATCH(E2727, ""台銀籌備帳戶|玉山帳戶""), REGEXMATCH(C2727, ""薪資"")), ""分潤支出"",
  AND(REGEXMATCH(E2727, ""Ben帳戶|Elsa帳戶|Ben代墊|Ariel代墊|中信銀行共用""), REGEXMATCH(F2727, ""Ben帳戶|Elsa帳戶|Ben代墊|Ariel代墊|中信銀行共用"")), ""內部轉帳(忽略)"",
  AND(E2727&lt;&gt;"""", F2727&lt;&gt;"""", N"&amp;"OT(REGEXMATCH(C2727, ""薪資""))), ""內部轉帳(忽略)"",
  REGEXMATCH(C2727, ""薪資""), ""薪資變動(不計入)"",
  REGEXMATCH(C2727, ""押金""), ""押金往來"",
  AND(E2727&lt;&gt;"""", F2727=""""), ""真實支出"",
  AND(E2727="""", F2727&lt;&gt;""""), ""真實收入"",
  TRUE, ""其他""
)"),"真實支出")</f>
        <v>真實支出</v>
      </c>
      <c r="K2727" s="270">
        <f t="shared" si="2"/>
        <v>-15</v>
      </c>
      <c r="L2727">
        <f t="shared" si="3"/>
        <v>0</v>
      </c>
    </row>
    <row r="2728">
      <c r="A2728" s="107">
        <f>IFERROR(__xludf.DUMMYFUNCTION("""COMPUTED_VALUE"""),45953.0)</f>
        <v>45953</v>
      </c>
      <c r="B2728" t="str">
        <f>IFERROR(__xludf.DUMMYFUNCTION("""COMPUTED_VALUE"""),"毛毛拆除天母搜狗 ' 【未分類支出】")</f>
        <v>毛毛拆除天母搜狗 ' 【未分類支出】</v>
      </c>
      <c r="C2728" t="str">
        <f>IFERROR(__xludf.DUMMYFUNCTION("""COMPUTED_VALUE"""),"成本 - 進場前裝潢費")</f>
        <v>成本 - 進場前裝潢費</v>
      </c>
      <c r="D2728" s="270">
        <f>IFERROR(__xludf.DUMMYFUNCTION("""COMPUTED_VALUE"""),-172000.0)</f>
        <v>-172000</v>
      </c>
      <c r="E2728" t="str">
        <f>IFERROR(__xludf.DUMMYFUNCTION("""COMPUTED_VALUE"""),"台銀籌備帳戶")</f>
        <v>台銀籌備帳戶</v>
      </c>
      <c r="G2728" t="str">
        <f>IFERROR(__xludf.DUMMYFUNCTION("""COMPUTED_VALUE"""),"天母搜狗")</f>
        <v>天母搜狗</v>
      </c>
      <c r="H2728" s="106" t="str">
        <f t="shared" si="1"/>
        <v>2025-10</v>
      </c>
      <c r="I2728" s="271" t="str">
        <f>IFERROR(__xludf.DUMMYFUNCTION("""COMPUTED_VALUE"""),"貓狗企鵝")</f>
        <v>貓狗企鵝</v>
      </c>
      <c r="J2728" t="str">
        <f>IFERROR(__xludf.DUMMYFUNCTION("IFS(
  AND(REGEXMATCH(E2728, ""台銀籌備帳戶|玉山帳戶""), REGEXMATCH(C2728, ""薪資"")), ""分潤支出"",
  AND(REGEXMATCH(E2728, ""Ben帳戶|Elsa帳戶|Ben代墊|Ariel代墊|中信銀行共用""), REGEXMATCH(F2728, ""Ben帳戶|Elsa帳戶|Ben代墊|Ariel代墊|中信銀行共用"")), ""內部轉帳(忽略)"",
  AND(E2728&lt;&gt;"""", F2728&lt;&gt;"""", N"&amp;"OT(REGEXMATCH(C2728, ""薪資""))), ""內部轉帳(忽略)"",
  REGEXMATCH(C2728, ""薪資""), ""薪資變動(不計入)"",
  REGEXMATCH(C2728, ""押金""), ""押金往來"",
  AND(E2728&lt;&gt;"""", F2728=""""), ""真實支出"",
  AND(E2728="""", F2728&lt;&gt;""""), ""真實收入"",
  TRUE, ""其他""
)"),"真實支出")</f>
        <v>真實支出</v>
      </c>
      <c r="K2728" s="270">
        <f t="shared" si="2"/>
        <v>-172000</v>
      </c>
      <c r="L2728">
        <f t="shared" si="3"/>
        <v>0</v>
      </c>
    </row>
    <row r="2729">
      <c r="A2729" s="107">
        <f>IFERROR(__xludf.DUMMYFUNCTION("""COMPUTED_VALUE"""),45957.0)</f>
        <v>45957</v>
      </c>
      <c r="B2729" t="str">
        <f>IFERROR(__xludf.DUMMYFUNCTION("""COMPUTED_VALUE"""),"鄭宇廷 南港B")</f>
        <v>鄭宇廷 南港B</v>
      </c>
      <c r="C2729" t="str">
        <f>IFERROR(__xludf.DUMMYFUNCTION("""COMPUTED_VALUE"""),"收入 - 租金")</f>
        <v>收入 - 租金</v>
      </c>
      <c r="D2729" s="270">
        <f>IFERROR(__xludf.DUMMYFUNCTION("""COMPUTED_VALUE"""),11000.0)</f>
        <v>11000</v>
      </c>
      <c r="F2729" t="str">
        <f>IFERROR(__xludf.DUMMYFUNCTION("""COMPUTED_VALUE"""),"台銀籌備帳戶")</f>
        <v>台銀籌備帳戶</v>
      </c>
      <c r="G2729" t="str">
        <f>IFERROR(__xludf.DUMMYFUNCTION("""COMPUTED_VALUE"""),"南港站挑高宅")</f>
        <v>南港站挑高宅</v>
      </c>
      <c r="H2729" s="106" t="str">
        <f t="shared" si="1"/>
        <v>2025-10</v>
      </c>
      <c r="I2729" s="271" t="str">
        <f>IFERROR(__xludf.DUMMYFUNCTION("""COMPUTED_VALUE"""),"貓狗企鵝")</f>
        <v>貓狗企鵝</v>
      </c>
      <c r="J2729" t="str">
        <f>IFERROR(__xludf.DUMMYFUNCTION("IFS(
  AND(REGEXMATCH(E2729, ""台銀籌備帳戶|玉山帳戶""), REGEXMATCH(C2729, ""薪資"")), ""分潤支出"",
  AND(REGEXMATCH(E2729, ""Ben帳戶|Elsa帳戶|Ben代墊|Ariel代墊|中信銀行共用""), REGEXMATCH(F2729, ""Ben帳戶|Elsa帳戶|Ben代墊|Ariel代墊|中信銀行共用"")), ""內部轉帳(忽略)"",
  AND(E2729&lt;&gt;"""", F2729&lt;&gt;"""", N"&amp;"OT(REGEXMATCH(C2729, ""薪資""))), ""內部轉帳(忽略)"",
  REGEXMATCH(C2729, ""薪資""), ""薪資變動(不計入)"",
  REGEXMATCH(C2729, ""押金""), ""押金往來"",
  AND(E2729&lt;&gt;"""", F2729=""""), ""真實支出"",
  AND(E2729="""", F2729&lt;&gt;""""), ""真實收入"",
  TRUE, ""其他""
)"),"真實收入")</f>
        <v>真實收入</v>
      </c>
      <c r="K2729" s="270">
        <f t="shared" si="2"/>
        <v>11000</v>
      </c>
      <c r="L2729">
        <f t="shared" si="3"/>
        <v>0</v>
      </c>
    </row>
    <row r="2730">
      <c r="A2730" s="107">
        <f>IFERROR(__xludf.DUMMYFUNCTION("""COMPUTED_VALUE"""),45959.0)</f>
        <v>45959</v>
      </c>
      <c r="B2730" t="str">
        <f>IFERROR(__xludf.DUMMYFUNCTION("""COMPUTED_VALUE"""),"費用 - 匯費 對方行:009 後五碼:94700 (行號: 20)")</f>
        <v>費用 - 匯費 對方行:009 後五碼:94700 (行號: 20)</v>
      </c>
      <c r="C2730" t="str">
        <f>IFERROR(__xludf.DUMMYFUNCTION("""COMPUTED_VALUE"""),"費用 - 匯費")</f>
        <v>費用 - 匯費</v>
      </c>
      <c r="D2730" s="270">
        <f>IFERROR(__xludf.DUMMYFUNCTION("""COMPUTED_VALUE"""),-15.0)</f>
        <v>-15</v>
      </c>
      <c r="E2730" t="str">
        <f>IFERROR(__xludf.DUMMYFUNCTION("""COMPUTED_VALUE"""),"台銀籌備帳戶")</f>
        <v>台銀籌備帳戶</v>
      </c>
      <c r="H2730" s="106" t="str">
        <f t="shared" si="1"/>
        <v>2025-10</v>
      </c>
      <c r="I2730" s="271" t="str">
        <f>IFERROR(__xludf.DUMMYFUNCTION("""COMPUTED_VALUE"""),"貓狗企鵝")</f>
        <v>貓狗企鵝</v>
      </c>
      <c r="J2730" t="str">
        <f>IFERROR(__xludf.DUMMYFUNCTION("IFS(
  AND(REGEXMATCH(E2730, ""台銀籌備帳戶|玉山帳戶""), REGEXMATCH(C2730, ""薪資"")), ""分潤支出"",
  AND(REGEXMATCH(E2730, ""Ben帳戶|Elsa帳戶|Ben代墊|Ariel代墊|中信銀行共用""), REGEXMATCH(F2730, ""Ben帳戶|Elsa帳戶|Ben代墊|Ariel代墊|中信銀行共用"")), ""內部轉帳(忽略)"",
  AND(E2730&lt;&gt;"""", F2730&lt;&gt;"""", N"&amp;"OT(REGEXMATCH(C2730, ""薪資""))), ""內部轉帳(忽略)"",
  REGEXMATCH(C2730, ""薪資""), ""薪資變動(不計入)"",
  REGEXMATCH(C2730, ""押金""), ""押金往來"",
  AND(E2730&lt;&gt;"""", F2730=""""), ""真實支出"",
  AND(E2730="""", F2730&lt;&gt;""""), ""真實收入"",
  TRUE, ""其他""
)"),"真實支出")</f>
        <v>真實支出</v>
      </c>
      <c r="K2730" s="270">
        <f t="shared" si="2"/>
        <v>-15</v>
      </c>
      <c r="L2730">
        <f t="shared" si="3"/>
        <v>0</v>
      </c>
    </row>
    <row r="2731">
      <c r="A2731" s="107">
        <f>IFERROR(__xludf.DUMMYFUNCTION("""COMPUTED_VALUE"""),45959.0)</f>
        <v>45959</v>
      </c>
      <c r="B2731" t="str">
        <f>IFERROR(__xludf.DUMMYFUNCTION("""COMPUTED_VALUE"""),"Feli水電瓦斯 ' 【未分類支出】")</f>
        <v>Feli水電瓦斯 ' 【未分類支出】</v>
      </c>
      <c r="C2731" t="str">
        <f>IFERROR(__xludf.DUMMYFUNCTION("""COMPUTED_VALUE"""),"收入 - 押金")</f>
        <v>收入 - 押金</v>
      </c>
      <c r="D2731" s="270">
        <f>IFERROR(__xludf.DUMMYFUNCTION("""COMPUTED_VALUE"""),-661.0)</f>
        <v>-661</v>
      </c>
      <c r="E2731" t="str">
        <f>IFERROR(__xludf.DUMMYFUNCTION("""COMPUTED_VALUE"""),"台銀籌備帳戶")</f>
        <v>台銀籌備帳戶</v>
      </c>
      <c r="G2731" t="str">
        <f>IFERROR(__xludf.DUMMYFUNCTION("""COMPUTED_VALUE"""),"中山北Feli家")</f>
        <v>中山北Feli家</v>
      </c>
      <c r="H2731" s="106" t="str">
        <f t="shared" si="1"/>
        <v>2025-10</v>
      </c>
      <c r="I2731" s="271" t="str">
        <f>IFERROR(__xludf.DUMMYFUNCTION("""COMPUTED_VALUE"""),"貓狗企鵝")</f>
        <v>貓狗企鵝</v>
      </c>
      <c r="J2731" t="str">
        <f>IFERROR(__xludf.DUMMYFUNCTION("IFS(
  AND(REGEXMATCH(E2731, ""台銀籌備帳戶|玉山帳戶""), REGEXMATCH(C2731, ""薪資"")), ""分潤支出"",
  AND(REGEXMATCH(E2731, ""Ben帳戶|Elsa帳戶|Ben代墊|Ariel代墊|中信銀行共用""), REGEXMATCH(F2731, ""Ben帳戶|Elsa帳戶|Ben代墊|Ariel代墊|中信銀行共用"")), ""內部轉帳(忽略)"",
  AND(E2731&lt;&gt;"""", F2731&lt;&gt;"""", N"&amp;"OT(REGEXMATCH(C2731, ""薪資""))), ""內部轉帳(忽略)"",
  REGEXMATCH(C2731, ""薪資""), ""薪資變動(不計入)"",
  REGEXMATCH(C2731, ""押金""), ""押金往來"",
  AND(E2731&lt;&gt;"""", F2731=""""), ""真實支出"",
  AND(E2731="""", F2731&lt;&gt;""""), ""真實收入"",
  TRUE, ""其他""
)"),"押金往來")</f>
        <v>押金往來</v>
      </c>
      <c r="K2731">
        <f t="shared" si="2"/>
        <v>0</v>
      </c>
      <c r="L2731">
        <f t="shared" si="3"/>
        <v>0</v>
      </c>
    </row>
    <row r="2732">
      <c r="A2732" s="107">
        <f>IFERROR(__xludf.DUMMYFUNCTION("""COMPUTED_VALUE"""),45960.0)</f>
        <v>45960</v>
      </c>
      <c r="B2732" t="str">
        <f>IFERROR(__xludf.DUMMYFUNCTION("""COMPUTED_VALUE"""),"[大湖山莊] B [魏敬軒] 月租金 後五碼:57386 (行號: 21)")</f>
        <v>[大湖山莊] B [魏敬軒] 月租金 後五碼:57386 (行號: 21)</v>
      </c>
      <c r="C2732" t="str">
        <f>IFERROR(__xludf.DUMMYFUNCTION("""COMPUTED_VALUE"""),"收入 - 租金")</f>
        <v>收入 - 租金</v>
      </c>
      <c r="D2732" s="270">
        <f>IFERROR(__xludf.DUMMYFUNCTION("""COMPUTED_VALUE"""),12000.0)</f>
        <v>12000</v>
      </c>
      <c r="F2732" t="str">
        <f>IFERROR(__xludf.DUMMYFUNCTION("""COMPUTED_VALUE"""),"台銀籌備帳戶")</f>
        <v>台銀籌備帳戶</v>
      </c>
      <c r="G2732" t="str">
        <f>IFERROR(__xludf.DUMMYFUNCTION("""COMPUTED_VALUE"""),"大湖山莊")</f>
        <v>大湖山莊</v>
      </c>
      <c r="H2732" s="106" t="str">
        <f t="shared" si="1"/>
        <v>2025-10</v>
      </c>
      <c r="I2732" s="271" t="str">
        <f>IFERROR(__xludf.DUMMYFUNCTION("""COMPUTED_VALUE"""),"貓狗企鵝")</f>
        <v>貓狗企鵝</v>
      </c>
      <c r="J2732" t="str">
        <f>IFERROR(__xludf.DUMMYFUNCTION("IFS(
  AND(REGEXMATCH(E2732, ""台銀籌備帳戶|玉山帳戶""), REGEXMATCH(C2732, ""薪資"")), ""分潤支出"",
  AND(REGEXMATCH(E2732, ""Ben帳戶|Elsa帳戶|Ben代墊|Ariel代墊|中信銀行共用""), REGEXMATCH(F2732, ""Ben帳戶|Elsa帳戶|Ben代墊|Ariel代墊|中信銀行共用"")), ""內部轉帳(忽略)"",
  AND(E2732&lt;&gt;"""", F2732&lt;&gt;"""", N"&amp;"OT(REGEXMATCH(C2732, ""薪資""))), ""內部轉帳(忽略)"",
  REGEXMATCH(C2732, ""薪資""), ""薪資變動(不計入)"",
  REGEXMATCH(C2732, ""押金""), ""押金往來"",
  AND(E2732&lt;&gt;"""", F2732=""""), ""真實支出"",
  AND(E2732="""", F2732&lt;&gt;""""), ""真實收入"",
  TRUE, ""其他""
)"),"真實收入")</f>
        <v>真實收入</v>
      </c>
      <c r="K2732" s="270">
        <f t="shared" si="2"/>
        <v>12000</v>
      </c>
      <c r="L2732">
        <f t="shared" si="3"/>
        <v>0</v>
      </c>
    </row>
    <row r="2733">
      <c r="A2733" s="107">
        <f>IFERROR(__xludf.DUMMYFUNCTION("""COMPUTED_VALUE"""),45960.0)</f>
        <v>45960</v>
      </c>
      <c r="B2733" t="str">
        <f>IFERROR(__xludf.DUMMYFUNCTION("""COMPUTED_VALUE"""),"費用 - 匯費 對方行:822 後五碼:30547 (行號: 22)")</f>
        <v>費用 - 匯費 對方行:822 後五碼:30547 (行號: 22)</v>
      </c>
      <c r="C2733" t="str">
        <f>IFERROR(__xludf.DUMMYFUNCTION("""COMPUTED_VALUE"""),"費用 - 匯費")</f>
        <v>費用 - 匯費</v>
      </c>
      <c r="D2733" s="270">
        <f>IFERROR(__xludf.DUMMYFUNCTION("""COMPUTED_VALUE"""),-15.0)</f>
        <v>-15</v>
      </c>
      <c r="E2733" t="str">
        <f>IFERROR(__xludf.DUMMYFUNCTION("""COMPUTED_VALUE"""),"台銀籌備帳戶")</f>
        <v>台銀籌備帳戶</v>
      </c>
      <c r="H2733" s="106" t="str">
        <f t="shared" si="1"/>
        <v>2025-10</v>
      </c>
      <c r="I2733" s="271" t="str">
        <f>IFERROR(__xludf.DUMMYFUNCTION("""COMPUTED_VALUE"""),"貓狗企鵝")</f>
        <v>貓狗企鵝</v>
      </c>
      <c r="J2733" t="str">
        <f>IFERROR(__xludf.DUMMYFUNCTION("IFS(
  AND(REGEXMATCH(E2733, ""台銀籌備帳戶|玉山帳戶""), REGEXMATCH(C2733, ""薪資"")), ""分潤支出"",
  AND(REGEXMATCH(E2733, ""Ben帳戶|Elsa帳戶|Ben代墊|Ariel代墊|中信銀行共用""), REGEXMATCH(F2733, ""Ben帳戶|Elsa帳戶|Ben代墊|Ariel代墊|中信銀行共用"")), ""內部轉帳(忽略)"",
  AND(E2733&lt;&gt;"""", F2733&lt;&gt;"""", N"&amp;"OT(REGEXMATCH(C2733, ""薪資""))), ""內部轉帳(忽略)"",
  REGEXMATCH(C2733, ""薪資""), ""薪資變動(不計入)"",
  REGEXMATCH(C2733, ""押金""), ""押金往來"",
  AND(E2733&lt;&gt;"""", F2733=""""), ""真實支出"",
  AND(E2733="""", F2733&lt;&gt;""""), ""真實收入"",
  TRUE, ""其他""
)"),"真實支出")</f>
        <v>真實支出</v>
      </c>
      <c r="K2733" s="270">
        <f t="shared" si="2"/>
        <v>-15</v>
      </c>
      <c r="L2733">
        <f t="shared" si="3"/>
        <v>0</v>
      </c>
    </row>
    <row r="2734">
      <c r="A2734" s="107">
        <f>IFERROR(__xludf.DUMMYFUNCTION("""COMPUTED_VALUE"""),45960.0)</f>
        <v>45960</v>
      </c>
      <c r="B2734" t="str">
        <f>IFERROR(__xludf.DUMMYFUNCTION("""COMPUTED_VALUE"""),"火雞阿德 ' 【未分類支出】")</f>
        <v>火雞阿德 ' 【未分類支出】</v>
      </c>
      <c r="C2734" t="str">
        <f>IFERROR(__xludf.DUMMYFUNCTION("""COMPUTED_VALUE"""),"費用 - 人力成本")</f>
        <v>費用 - 人力成本</v>
      </c>
      <c r="D2734" s="270">
        <f>IFERROR(__xludf.DUMMYFUNCTION("""COMPUTED_VALUE"""),-8852.0)</f>
        <v>-8852</v>
      </c>
      <c r="E2734" t="str">
        <f>IFERROR(__xludf.DUMMYFUNCTION("""COMPUTED_VALUE"""),"台銀籌備帳戶")</f>
        <v>台銀籌備帳戶</v>
      </c>
      <c r="H2734" s="106" t="str">
        <f t="shared" si="1"/>
        <v>2025-10</v>
      </c>
      <c r="I2734" s="271" t="str">
        <f>IFERROR(__xludf.DUMMYFUNCTION("""COMPUTED_VALUE"""),"貓狗企鵝")</f>
        <v>貓狗企鵝</v>
      </c>
      <c r="J2734" t="str">
        <f>IFERROR(__xludf.DUMMYFUNCTION("IFS(
  AND(REGEXMATCH(E2734, ""台銀籌備帳戶|玉山帳戶""), REGEXMATCH(C2734, ""薪資"")), ""分潤支出"",
  AND(REGEXMATCH(E2734, ""Ben帳戶|Elsa帳戶|Ben代墊|Ariel代墊|中信銀行共用""), REGEXMATCH(F2734, ""Ben帳戶|Elsa帳戶|Ben代墊|Ariel代墊|中信銀行共用"")), ""內部轉帳(忽略)"",
  AND(E2734&lt;&gt;"""", F2734&lt;&gt;"""", N"&amp;"OT(REGEXMATCH(C2734, ""薪資""))), ""內部轉帳(忽略)"",
  REGEXMATCH(C2734, ""薪資""), ""薪資變動(不計入)"",
  REGEXMATCH(C2734, ""押金""), ""押金往來"",
  AND(E2734&lt;&gt;"""", F2734=""""), ""真實支出"",
  AND(E2734="""", F2734&lt;&gt;""""), ""真實收入"",
  TRUE, ""其他""
)"),"真實支出")</f>
        <v>真實支出</v>
      </c>
      <c r="K2734" s="270">
        <f t="shared" si="2"/>
        <v>-8852</v>
      </c>
      <c r="L2734">
        <f t="shared" si="3"/>
        <v>0</v>
      </c>
    </row>
    <row r="2735">
      <c r="A2735" s="107">
        <f>IFERROR(__xludf.DUMMYFUNCTION("""COMPUTED_VALUE"""),45960.0)</f>
        <v>45960</v>
      </c>
      <c r="B2735" t="str">
        <f>IFERROR(__xludf.DUMMYFUNCTION("""COMPUTED_VALUE"""),"費用 - 匯費 對方行:013 後五碼:05843 (行號: 23)")</f>
        <v>費用 - 匯費 對方行:013 後五碼:05843 (行號: 23)</v>
      </c>
      <c r="C2735" t="str">
        <f>IFERROR(__xludf.DUMMYFUNCTION("""COMPUTED_VALUE"""),"費用 - 匯費")</f>
        <v>費用 - 匯費</v>
      </c>
      <c r="D2735" s="270">
        <f>IFERROR(__xludf.DUMMYFUNCTION("""COMPUTED_VALUE"""),-15.0)</f>
        <v>-15</v>
      </c>
      <c r="E2735" t="str">
        <f>IFERROR(__xludf.DUMMYFUNCTION("""COMPUTED_VALUE"""),"台銀籌備帳戶")</f>
        <v>台銀籌備帳戶</v>
      </c>
      <c r="H2735" s="106" t="str">
        <f t="shared" si="1"/>
        <v>2025-10</v>
      </c>
      <c r="I2735" s="271" t="str">
        <f>IFERROR(__xludf.DUMMYFUNCTION("""COMPUTED_VALUE"""),"貓狗企鵝")</f>
        <v>貓狗企鵝</v>
      </c>
      <c r="J2735" t="str">
        <f>IFERROR(__xludf.DUMMYFUNCTION("IFS(
  AND(REGEXMATCH(E2735, ""台銀籌備帳戶|玉山帳戶""), REGEXMATCH(C2735, ""薪資"")), ""分潤支出"",
  AND(REGEXMATCH(E2735, ""Ben帳戶|Elsa帳戶|Ben代墊|Ariel代墊|中信銀行共用""), REGEXMATCH(F2735, ""Ben帳戶|Elsa帳戶|Ben代墊|Ariel代墊|中信銀行共用"")), ""內部轉帳(忽略)"",
  AND(E2735&lt;&gt;"""", F2735&lt;&gt;"""", N"&amp;"OT(REGEXMATCH(C2735, ""薪資""))), ""內部轉帳(忽略)"",
  REGEXMATCH(C2735, ""薪資""), ""薪資變動(不計入)"",
  REGEXMATCH(C2735, ""押金""), ""押金往來"",
  AND(E2735&lt;&gt;"""", F2735=""""), ""真實支出"",
  AND(E2735="""", F2735&lt;&gt;""""), ""真實收入"",
  TRUE, ""其他""
)"),"真實支出")</f>
        <v>真實支出</v>
      </c>
      <c r="K2735" s="270">
        <f t="shared" si="2"/>
        <v>-15</v>
      </c>
      <c r="L2735">
        <f t="shared" si="3"/>
        <v>0</v>
      </c>
    </row>
    <row r="2736">
      <c r="A2736" s="107">
        <f>IFERROR(__xludf.DUMMYFUNCTION("""COMPUTED_VALUE"""),45960.0)</f>
        <v>45960</v>
      </c>
      <c r="B2736" t="str">
        <f>IFERROR(__xludf.DUMMYFUNCTION("""COMPUTED_VALUE"""),"景安A退押 ' 【未分類支出】")</f>
        <v>景安A退押 ' 【未分類支出】</v>
      </c>
      <c r="C2736" t="str">
        <f>IFERROR(__xludf.DUMMYFUNCTION("""COMPUTED_VALUE"""),"收入 - 押金")</f>
        <v>收入 - 押金</v>
      </c>
      <c r="D2736" s="270">
        <f>IFERROR(__xludf.DUMMYFUNCTION("""COMPUTED_VALUE"""),-30275.0)</f>
        <v>-30275</v>
      </c>
      <c r="E2736" t="str">
        <f>IFERROR(__xludf.DUMMYFUNCTION("""COMPUTED_VALUE"""),"台銀籌備帳戶")</f>
        <v>台銀籌備帳戶</v>
      </c>
      <c r="G2736" t="str">
        <f>IFERROR(__xludf.DUMMYFUNCTION("""COMPUTED_VALUE"""),"景安2分鐘")</f>
        <v>景安2分鐘</v>
      </c>
      <c r="H2736" s="106" t="str">
        <f t="shared" si="1"/>
        <v>2025-10</v>
      </c>
      <c r="I2736" s="271" t="str">
        <f>IFERROR(__xludf.DUMMYFUNCTION("""COMPUTED_VALUE"""),"貓狗企鵝")</f>
        <v>貓狗企鵝</v>
      </c>
      <c r="J2736" t="str">
        <f>IFERROR(__xludf.DUMMYFUNCTION("IFS(
  AND(REGEXMATCH(E2736, ""台銀籌備帳戶|玉山帳戶""), REGEXMATCH(C2736, ""薪資"")), ""分潤支出"",
  AND(REGEXMATCH(E2736, ""Ben帳戶|Elsa帳戶|Ben代墊|Ariel代墊|中信銀行共用""), REGEXMATCH(F2736, ""Ben帳戶|Elsa帳戶|Ben代墊|Ariel代墊|中信銀行共用"")), ""內部轉帳(忽略)"",
  AND(E2736&lt;&gt;"""", F2736&lt;&gt;"""", N"&amp;"OT(REGEXMATCH(C2736, ""薪資""))), ""內部轉帳(忽略)"",
  REGEXMATCH(C2736, ""薪資""), ""薪資變動(不計入)"",
  REGEXMATCH(C2736, ""押金""), ""押金往來"",
  AND(E2736&lt;&gt;"""", F2736=""""), ""真實支出"",
  AND(E2736="""", F2736&lt;&gt;""""), ""真實收入"",
  TRUE, ""其他""
)"),"押金往來")</f>
        <v>押金往來</v>
      </c>
      <c r="K2736">
        <f t="shared" si="2"/>
        <v>0</v>
      </c>
      <c r="L2736">
        <f t="shared" si="3"/>
        <v>0</v>
      </c>
    </row>
    <row r="2737">
      <c r="A2737" s="107">
        <f>IFERROR(__xludf.DUMMYFUNCTION("""COMPUTED_VALUE"""),45960.0)</f>
        <v>45960</v>
      </c>
      <c r="B2737" t="str">
        <f>IFERROR(__xludf.DUMMYFUNCTION("""COMPUTED_VALUE"""),"費用 - 匯費 對方行:017 後五碼:28089 (行號: 24)")</f>
        <v>費用 - 匯費 對方行:017 後五碼:28089 (行號: 24)</v>
      </c>
      <c r="C2737" t="str">
        <f>IFERROR(__xludf.DUMMYFUNCTION("""COMPUTED_VALUE"""),"費用 - 匯費")</f>
        <v>費用 - 匯費</v>
      </c>
      <c r="D2737" s="270">
        <f>IFERROR(__xludf.DUMMYFUNCTION("""COMPUTED_VALUE"""),-15.0)</f>
        <v>-15</v>
      </c>
      <c r="E2737" t="str">
        <f>IFERROR(__xludf.DUMMYFUNCTION("""COMPUTED_VALUE"""),"台銀籌備帳戶")</f>
        <v>台銀籌備帳戶</v>
      </c>
      <c r="H2737" s="106" t="str">
        <f t="shared" si="1"/>
        <v>2025-10</v>
      </c>
      <c r="I2737" s="271" t="str">
        <f>IFERROR(__xludf.DUMMYFUNCTION("""COMPUTED_VALUE"""),"貓狗企鵝")</f>
        <v>貓狗企鵝</v>
      </c>
      <c r="J2737" t="str">
        <f>IFERROR(__xludf.DUMMYFUNCTION("IFS(
  AND(REGEXMATCH(E2737, ""台銀籌備帳戶|玉山帳戶""), REGEXMATCH(C2737, ""薪資"")), ""分潤支出"",
  AND(REGEXMATCH(E2737, ""Ben帳戶|Elsa帳戶|Ben代墊|Ariel代墊|中信銀行共用""), REGEXMATCH(F2737, ""Ben帳戶|Elsa帳戶|Ben代墊|Ariel代墊|中信銀行共用"")), ""內部轉帳(忽略)"",
  AND(E2737&lt;&gt;"""", F2737&lt;&gt;"""", N"&amp;"OT(REGEXMATCH(C2737, ""薪資""))), ""內部轉帳(忽略)"",
  REGEXMATCH(C2737, ""薪資""), ""薪資變動(不計入)"",
  REGEXMATCH(C2737, ""押金""), ""押金往來"",
  AND(E2737&lt;&gt;"""", F2737=""""), ""真實支出"",
  AND(E2737="""", F2737&lt;&gt;""""), ""真實收入"",
  TRUE, ""其他""
)"),"真實支出")</f>
        <v>真實支出</v>
      </c>
      <c r="K2737" s="270">
        <f t="shared" si="2"/>
        <v>-15</v>
      </c>
      <c r="L2737">
        <f t="shared" si="3"/>
        <v>0</v>
      </c>
    </row>
    <row r="2738">
      <c r="A2738" s="107">
        <f>IFERROR(__xludf.DUMMYFUNCTION("""COMPUTED_VALUE"""),45960.0)</f>
        <v>45960</v>
      </c>
      <c r="B2738" t="str">
        <f>IFERROR(__xludf.DUMMYFUNCTION("""COMPUTED_VALUE"""),"景安C退押")</f>
        <v>景安C退押</v>
      </c>
      <c r="C2738" t="str">
        <f>IFERROR(__xludf.DUMMYFUNCTION("""COMPUTED_VALUE"""),"收入 - 押金")</f>
        <v>收入 - 押金</v>
      </c>
      <c r="D2738" s="270">
        <f>IFERROR(__xludf.DUMMYFUNCTION("""COMPUTED_VALUE"""),-2670.0)</f>
        <v>-2670</v>
      </c>
      <c r="E2738" t="str">
        <f>IFERROR(__xludf.DUMMYFUNCTION("""COMPUTED_VALUE"""),"台銀籌備帳戶")</f>
        <v>台銀籌備帳戶</v>
      </c>
      <c r="G2738" t="str">
        <f>IFERROR(__xludf.DUMMYFUNCTION("""COMPUTED_VALUE"""),"景安2分鐘")</f>
        <v>景安2分鐘</v>
      </c>
      <c r="H2738" s="106" t="str">
        <f t="shared" si="1"/>
        <v>2025-10</v>
      </c>
      <c r="I2738" s="271" t="str">
        <f>IFERROR(__xludf.DUMMYFUNCTION("""COMPUTED_VALUE"""),"貓狗企鵝")</f>
        <v>貓狗企鵝</v>
      </c>
      <c r="J2738" t="str">
        <f>IFERROR(__xludf.DUMMYFUNCTION("IFS(
  AND(REGEXMATCH(E2738, ""台銀籌備帳戶|玉山帳戶""), REGEXMATCH(C2738, ""薪資"")), ""分潤支出"",
  AND(REGEXMATCH(E2738, ""Ben帳戶|Elsa帳戶|Ben代墊|Ariel代墊|中信銀行共用""), REGEXMATCH(F2738, ""Ben帳戶|Elsa帳戶|Ben代墊|Ariel代墊|中信銀行共用"")), ""內部轉帳(忽略)"",
  AND(E2738&lt;&gt;"""", F2738&lt;&gt;"""", N"&amp;"OT(REGEXMATCH(C2738, ""薪資""))), ""內部轉帳(忽略)"",
  REGEXMATCH(C2738, ""薪資""), ""薪資變動(不計入)"",
  REGEXMATCH(C2738, ""押金""), ""押金往來"",
  AND(E2738&lt;&gt;"""", F2738=""""), ""真實支出"",
  AND(E2738="""", F2738&lt;&gt;""""), ""真實收入"",
  TRUE, ""其他""
)"),"押金往來")</f>
        <v>押金往來</v>
      </c>
      <c r="K2738">
        <f t="shared" si="2"/>
        <v>0</v>
      </c>
      <c r="L2738">
        <f t="shared" si="3"/>
        <v>0</v>
      </c>
    </row>
    <row r="2739">
      <c r="A2739" s="107">
        <f>IFERROR(__xludf.DUMMYFUNCTION("""COMPUTED_VALUE"""),45961.0)</f>
        <v>45961</v>
      </c>
      <c r="B2739" t="str">
        <f>IFERROR(__xludf.DUMMYFUNCTION("""COMPUTED_VALUE"""),"[南港站挑高宅] A [莊以祺] 月租金 後五碼:15361 (行號: 25)")</f>
        <v>[南港站挑高宅] A [莊以祺] 月租金 後五碼:15361 (行號: 25)</v>
      </c>
      <c r="C2739" t="str">
        <f>IFERROR(__xludf.DUMMYFUNCTION("""COMPUTED_VALUE"""),"收入 - 租金")</f>
        <v>收入 - 租金</v>
      </c>
      <c r="D2739" s="270">
        <f>IFERROR(__xludf.DUMMYFUNCTION("""COMPUTED_VALUE"""),13000.0)</f>
        <v>13000</v>
      </c>
      <c r="F2739" t="str">
        <f>IFERROR(__xludf.DUMMYFUNCTION("""COMPUTED_VALUE"""),"台銀籌備帳戶")</f>
        <v>台銀籌備帳戶</v>
      </c>
      <c r="G2739" t="str">
        <f>IFERROR(__xludf.DUMMYFUNCTION("""COMPUTED_VALUE"""),"南港站挑高宅")</f>
        <v>南港站挑高宅</v>
      </c>
      <c r="H2739" s="106" t="str">
        <f t="shared" si="1"/>
        <v>2025-10</v>
      </c>
      <c r="I2739" s="271" t="str">
        <f>IFERROR(__xludf.DUMMYFUNCTION("""COMPUTED_VALUE"""),"貓狗企鵝")</f>
        <v>貓狗企鵝</v>
      </c>
      <c r="J2739" t="str">
        <f>IFERROR(__xludf.DUMMYFUNCTION("IFS(
  AND(REGEXMATCH(E2739, ""台銀籌備帳戶|玉山帳戶""), REGEXMATCH(C2739, ""薪資"")), ""分潤支出"",
  AND(REGEXMATCH(E2739, ""Ben帳戶|Elsa帳戶|Ben代墊|Ariel代墊|中信銀行共用""), REGEXMATCH(F2739, ""Ben帳戶|Elsa帳戶|Ben代墊|Ariel代墊|中信銀行共用"")), ""內部轉帳(忽略)"",
  AND(E2739&lt;&gt;"""", F2739&lt;&gt;"""", N"&amp;"OT(REGEXMATCH(C2739, ""薪資""))), ""內部轉帳(忽略)"",
  REGEXMATCH(C2739, ""薪資""), ""薪資變動(不計入)"",
  REGEXMATCH(C2739, ""押金""), ""押金往來"",
  AND(E2739&lt;&gt;"""", F2739=""""), ""真實支出"",
  AND(E2739="""", F2739&lt;&gt;""""), ""真實收入"",
  TRUE, ""其他""
)"),"真實收入")</f>
        <v>真實收入</v>
      </c>
      <c r="K2739" s="270">
        <f t="shared" si="2"/>
        <v>13000</v>
      </c>
      <c r="L2739">
        <f t="shared" si="3"/>
        <v>0</v>
      </c>
    </row>
    <row r="2740">
      <c r="A2740" s="107">
        <f>IFERROR(__xludf.DUMMYFUNCTION("""COMPUTED_VALUE"""),45961.0)</f>
        <v>45961</v>
      </c>
      <c r="B2740" t="str">
        <f>IFERROR(__xludf.DUMMYFUNCTION("""COMPUTED_VALUE"""),"[金龍帽子先生] A [何佩勳] 月租金 後五碼:70383 (行號: 26)")</f>
        <v>[金龍帽子先生] A [何佩勳] 月租金 後五碼:70383 (行號: 26)</v>
      </c>
      <c r="C2740" t="str">
        <f>IFERROR(__xludf.DUMMYFUNCTION("""COMPUTED_VALUE"""),"收入 - 租金")</f>
        <v>收入 - 租金</v>
      </c>
      <c r="D2740" s="270">
        <f>IFERROR(__xludf.DUMMYFUNCTION("""COMPUTED_VALUE"""),17200.0)</f>
        <v>17200</v>
      </c>
      <c r="F2740" t="str">
        <f>IFERROR(__xludf.DUMMYFUNCTION("""COMPUTED_VALUE"""),"台銀籌備帳戶")</f>
        <v>台銀籌備帳戶</v>
      </c>
      <c r="G2740" t="str">
        <f>IFERROR(__xludf.DUMMYFUNCTION("""COMPUTED_VALUE"""),"金龍帽子先生")</f>
        <v>金龍帽子先生</v>
      </c>
      <c r="H2740" s="106" t="str">
        <f t="shared" si="1"/>
        <v>2025-10</v>
      </c>
      <c r="I2740" s="271" t="str">
        <f>IFERROR(__xludf.DUMMYFUNCTION("""COMPUTED_VALUE"""),"貓狗企鵝")</f>
        <v>貓狗企鵝</v>
      </c>
      <c r="J2740" t="str">
        <f>IFERROR(__xludf.DUMMYFUNCTION("IFS(
  AND(REGEXMATCH(E2740, ""台銀籌備帳戶|玉山帳戶""), REGEXMATCH(C2740, ""薪資"")), ""分潤支出"",
  AND(REGEXMATCH(E2740, ""Ben帳戶|Elsa帳戶|Ben代墊|Ariel代墊|中信銀行共用""), REGEXMATCH(F2740, ""Ben帳戶|Elsa帳戶|Ben代墊|Ariel代墊|中信銀行共用"")), ""內部轉帳(忽略)"",
  AND(E2740&lt;&gt;"""", F2740&lt;&gt;"""", N"&amp;"OT(REGEXMATCH(C2740, ""薪資""))), ""內部轉帳(忽略)"",
  REGEXMATCH(C2740, ""薪資""), ""薪資變動(不計入)"",
  REGEXMATCH(C2740, ""押金""), ""押金往來"",
  AND(E2740&lt;&gt;"""", F2740=""""), ""真實支出"",
  AND(E2740="""", F2740&lt;&gt;""""), ""真實收入"",
  TRUE, ""其他""
)"),"真實收入")</f>
        <v>真實收入</v>
      </c>
      <c r="K2740" s="270">
        <f t="shared" si="2"/>
        <v>17200</v>
      </c>
      <c r="L2740">
        <f t="shared" si="3"/>
        <v>0</v>
      </c>
    </row>
    <row r="2741">
      <c r="A2741" s="107">
        <f>IFERROR(__xludf.DUMMYFUNCTION("""COMPUTED_VALUE"""),45961.0)</f>
        <v>45961</v>
      </c>
      <c r="B2741" t="str">
        <f>IFERROR(__xludf.DUMMYFUNCTION("""COMPUTED_VALUE"""),"費用 - 匯費 對方行:822 後五碼:30547 (行號: 27)")</f>
        <v>費用 - 匯費 對方行:822 後五碼:30547 (行號: 27)</v>
      </c>
      <c r="C2741" t="str">
        <f>IFERROR(__xludf.DUMMYFUNCTION("""COMPUTED_VALUE"""),"費用 - 匯費")</f>
        <v>費用 - 匯費</v>
      </c>
      <c r="D2741" s="270">
        <f>IFERROR(__xludf.DUMMYFUNCTION("""COMPUTED_VALUE"""),-15.0)</f>
        <v>-15</v>
      </c>
      <c r="E2741" t="str">
        <f>IFERROR(__xludf.DUMMYFUNCTION("""COMPUTED_VALUE"""),"台銀籌備帳戶")</f>
        <v>台銀籌備帳戶</v>
      </c>
      <c r="H2741" s="106" t="str">
        <f t="shared" si="1"/>
        <v>2025-10</v>
      </c>
      <c r="I2741" s="271" t="str">
        <f>IFERROR(__xludf.DUMMYFUNCTION("""COMPUTED_VALUE"""),"貓狗企鵝")</f>
        <v>貓狗企鵝</v>
      </c>
      <c r="J2741" t="str">
        <f>IFERROR(__xludf.DUMMYFUNCTION("IFS(
  AND(REGEXMATCH(E2741, ""台銀籌備帳戶|玉山帳戶""), REGEXMATCH(C2741, ""薪資"")), ""分潤支出"",
  AND(REGEXMATCH(E2741, ""Ben帳戶|Elsa帳戶|Ben代墊|Ariel代墊|中信銀行共用""), REGEXMATCH(F2741, ""Ben帳戶|Elsa帳戶|Ben代墊|Ariel代墊|中信銀行共用"")), ""內部轉帳(忽略)"",
  AND(E2741&lt;&gt;"""", F2741&lt;&gt;"""", N"&amp;"OT(REGEXMATCH(C2741, ""薪資""))), ""內部轉帳(忽略)"",
  REGEXMATCH(C2741, ""薪資""), ""薪資變動(不計入)"",
  REGEXMATCH(C2741, ""押金""), ""押金往來"",
  AND(E2741&lt;&gt;"""", F2741=""""), ""真實支出"",
  AND(E2741="""", F2741&lt;&gt;""""), ""真實收入"",
  TRUE, ""其他""
)"),"真實支出")</f>
        <v>真實支出</v>
      </c>
      <c r="K2741" s="270">
        <f t="shared" si="2"/>
        <v>-15</v>
      </c>
      <c r="L2741">
        <f t="shared" si="3"/>
        <v>0</v>
      </c>
    </row>
    <row r="2742">
      <c r="A2742" s="107">
        <f>IFERROR(__xludf.DUMMYFUNCTION("""COMPUTED_VALUE"""),45961.0)</f>
        <v>45961</v>
      </c>
      <c r="B2742" t="str">
        <f>IFERROR(__xludf.DUMMYFUNCTION("""COMPUTED_VALUE"""),"火雞阿德 ' 【未分類支出】")</f>
        <v>火雞阿德 ' 【未分類支出】</v>
      </c>
      <c r="C2742" t="str">
        <f>IFERROR(__xludf.DUMMYFUNCTION("""COMPUTED_VALUE"""),"費用 - 人力成本")</f>
        <v>費用 - 人力成本</v>
      </c>
      <c r="D2742" s="270">
        <f>IFERROR(__xludf.DUMMYFUNCTION("""COMPUTED_VALUE"""),-21567.0)</f>
        <v>-21567</v>
      </c>
      <c r="E2742" t="str">
        <f>IFERROR(__xludf.DUMMYFUNCTION("""COMPUTED_VALUE"""),"台銀籌備帳戶")</f>
        <v>台銀籌備帳戶</v>
      </c>
      <c r="H2742" s="106" t="str">
        <f t="shared" si="1"/>
        <v>2025-10</v>
      </c>
      <c r="I2742" s="271" t="str">
        <f>IFERROR(__xludf.DUMMYFUNCTION("""COMPUTED_VALUE"""),"貓狗企鵝")</f>
        <v>貓狗企鵝</v>
      </c>
      <c r="J2742" t="str">
        <f>IFERROR(__xludf.DUMMYFUNCTION("IFS(
  AND(REGEXMATCH(E2742, ""台銀籌備帳戶|玉山帳戶""), REGEXMATCH(C2742, ""薪資"")), ""分潤支出"",
  AND(REGEXMATCH(E2742, ""Ben帳戶|Elsa帳戶|Ben代墊|Ariel代墊|中信銀行共用""), REGEXMATCH(F2742, ""Ben帳戶|Elsa帳戶|Ben代墊|Ariel代墊|中信銀行共用"")), ""內部轉帳(忽略)"",
  AND(E2742&lt;&gt;"""", F2742&lt;&gt;"""", N"&amp;"OT(REGEXMATCH(C2742, ""薪資""))), ""內部轉帳(忽略)"",
  REGEXMATCH(C2742, ""薪資""), ""薪資變動(不計入)"",
  REGEXMATCH(C2742, ""押金""), ""押金往來"",
  AND(E2742&lt;&gt;"""", F2742=""""), ""真實支出"",
  AND(E2742="""", F2742&lt;&gt;""""), ""真實收入"",
  TRUE, ""其他""
)"),"真實支出")</f>
        <v>真實支出</v>
      </c>
      <c r="K2742" s="270">
        <f t="shared" si="2"/>
        <v>-21567</v>
      </c>
      <c r="L2742">
        <f t="shared" si="3"/>
        <v>0</v>
      </c>
    </row>
    <row r="2743">
      <c r="A2743" s="107">
        <f>IFERROR(__xludf.DUMMYFUNCTION("""COMPUTED_VALUE"""),45961.0)</f>
        <v>45961</v>
      </c>
      <c r="B2743" t="str">
        <f>IFERROR(__xludf.DUMMYFUNCTION("""COMPUTED_VALUE"""),"費用 - 匯費 對方行:118 後五碼:08037 (行號: 28)")</f>
        <v>費用 - 匯費 對方行:118 後五碼:08037 (行號: 28)</v>
      </c>
      <c r="C2743" t="str">
        <f>IFERROR(__xludf.DUMMYFUNCTION("""COMPUTED_VALUE"""),"費用 - 匯費")</f>
        <v>費用 - 匯費</v>
      </c>
      <c r="D2743" s="270">
        <f>IFERROR(__xludf.DUMMYFUNCTION("""COMPUTED_VALUE"""),-15.0)</f>
        <v>-15</v>
      </c>
      <c r="E2743" t="str">
        <f>IFERROR(__xludf.DUMMYFUNCTION("""COMPUTED_VALUE"""),"台銀籌備帳戶")</f>
        <v>台銀籌備帳戶</v>
      </c>
      <c r="H2743" s="106" t="str">
        <f t="shared" si="1"/>
        <v>2025-10</v>
      </c>
      <c r="I2743" s="271" t="str">
        <f>IFERROR(__xludf.DUMMYFUNCTION("""COMPUTED_VALUE"""),"貓狗企鵝")</f>
        <v>貓狗企鵝</v>
      </c>
      <c r="J2743" t="str">
        <f>IFERROR(__xludf.DUMMYFUNCTION("IFS(
  AND(REGEXMATCH(E2743, ""台銀籌備帳戶|玉山帳戶""), REGEXMATCH(C2743, ""薪資"")), ""分潤支出"",
  AND(REGEXMATCH(E2743, ""Ben帳戶|Elsa帳戶|Ben代墊|Ariel代墊|中信銀行共用""), REGEXMATCH(F2743, ""Ben帳戶|Elsa帳戶|Ben代墊|Ariel代墊|中信銀行共用"")), ""內部轉帳(忽略)"",
  AND(E2743&lt;&gt;"""", F2743&lt;&gt;"""", N"&amp;"OT(REGEXMATCH(C2743, ""薪資""))), ""內部轉帳(忽略)"",
  REGEXMATCH(C2743, ""薪資""), ""薪資變動(不計入)"",
  REGEXMATCH(C2743, ""押金""), ""押金往來"",
  AND(E2743&lt;&gt;"""", F2743=""""), ""真實支出"",
  AND(E2743="""", F2743&lt;&gt;""""), ""真實收入"",
  TRUE, ""其他""
)"),"真實支出")</f>
        <v>真實支出</v>
      </c>
      <c r="K2743" s="270">
        <f t="shared" si="2"/>
        <v>-15</v>
      </c>
      <c r="L2743">
        <f t="shared" si="3"/>
        <v>0</v>
      </c>
    </row>
    <row r="2744">
      <c r="A2744" s="107">
        <f>IFERROR(__xludf.DUMMYFUNCTION("""COMPUTED_VALUE"""),45961.0)</f>
        <v>45961</v>
      </c>
      <c r="B2744" t="str">
        <f>IFERROR(__xludf.DUMMYFUNCTION("""COMPUTED_VALUE"""),"FB社團會員 '")</f>
        <v>FB社團會員 '</v>
      </c>
      <c r="C2744" t="str">
        <f>IFERROR(__xludf.DUMMYFUNCTION("""COMPUTED_VALUE"""),"成本 - 仲介費")</f>
        <v>成本 - 仲介費</v>
      </c>
      <c r="D2744" s="270">
        <f>IFERROR(__xludf.DUMMYFUNCTION("""COMPUTED_VALUE"""),-995.0)</f>
        <v>-995</v>
      </c>
      <c r="E2744" t="str">
        <f>IFERROR(__xludf.DUMMYFUNCTION("""COMPUTED_VALUE"""),"台銀籌備帳戶")</f>
        <v>台銀籌備帳戶</v>
      </c>
      <c r="G2744" t="str">
        <f>IFERROR(__xludf.DUMMYFUNCTION("""COMPUTED_VALUE"""),"無法分類")</f>
        <v>無法分類</v>
      </c>
      <c r="H2744" s="106" t="str">
        <f t="shared" si="1"/>
        <v>2025-10</v>
      </c>
      <c r="I2744" s="271" t="str">
        <f>IFERROR(__xludf.DUMMYFUNCTION("""COMPUTED_VALUE"""),"貓狗企鵝")</f>
        <v>貓狗企鵝</v>
      </c>
      <c r="J2744" t="str">
        <f>IFERROR(__xludf.DUMMYFUNCTION("IFS(
  AND(REGEXMATCH(E2744, ""台銀籌備帳戶|玉山帳戶""), REGEXMATCH(C2744, ""薪資"")), ""分潤支出"",
  AND(REGEXMATCH(E2744, ""Ben帳戶|Elsa帳戶|Ben代墊|Ariel代墊|中信銀行共用""), REGEXMATCH(F2744, ""Ben帳戶|Elsa帳戶|Ben代墊|Ariel代墊|中信銀行共用"")), ""內部轉帳(忽略)"",
  AND(E2744&lt;&gt;"""", F2744&lt;&gt;"""", N"&amp;"OT(REGEXMATCH(C2744, ""薪資""))), ""內部轉帳(忽略)"",
  REGEXMATCH(C2744, ""薪資""), ""薪資變動(不計入)"",
  REGEXMATCH(C2744, ""押金""), ""押金往來"",
  AND(E2744&lt;&gt;"""", F2744=""""), ""真實支出"",
  AND(E2744="""", F2744&lt;&gt;""""), ""真實收入"",
  TRUE, ""其他""
)"),"真實支出")</f>
        <v>真實支出</v>
      </c>
      <c r="K2744" s="270">
        <f t="shared" si="2"/>
        <v>-995</v>
      </c>
      <c r="L2744">
        <f t="shared" si="3"/>
        <v>0</v>
      </c>
    </row>
    <row r="2745">
      <c r="A2745" s="107">
        <f>IFERROR(__xludf.DUMMYFUNCTION("""COMPUTED_VALUE"""),45961.0)</f>
        <v>45961</v>
      </c>
      <c r="B2745" t="str">
        <f>IFERROR(__xludf.DUMMYFUNCTION("""COMPUTED_VALUE"""),"[哈拉對面] D [柳翰洋] 月租金 後五碼:38687 (行號: 29)")</f>
        <v>[哈拉對面] D [柳翰洋] 月租金 後五碼:38687 (行號: 29)</v>
      </c>
      <c r="C2745" t="str">
        <f>IFERROR(__xludf.DUMMYFUNCTION("""COMPUTED_VALUE"""),"收入 - 租金")</f>
        <v>收入 - 租金</v>
      </c>
      <c r="D2745" s="270">
        <f>IFERROR(__xludf.DUMMYFUNCTION("""COMPUTED_VALUE"""),11800.0)</f>
        <v>11800</v>
      </c>
      <c r="F2745" t="str">
        <f>IFERROR(__xludf.DUMMYFUNCTION("""COMPUTED_VALUE"""),"台銀籌備帳戶")</f>
        <v>台銀籌備帳戶</v>
      </c>
      <c r="G2745" t="str">
        <f>IFERROR(__xludf.DUMMYFUNCTION("""COMPUTED_VALUE"""),"哈拉對面")</f>
        <v>哈拉對面</v>
      </c>
      <c r="H2745" s="106" t="str">
        <f t="shared" si="1"/>
        <v>2025-10</v>
      </c>
      <c r="I2745" s="271" t="str">
        <f>IFERROR(__xludf.DUMMYFUNCTION("""COMPUTED_VALUE"""),"貓狗企鵝")</f>
        <v>貓狗企鵝</v>
      </c>
      <c r="J2745" t="str">
        <f>IFERROR(__xludf.DUMMYFUNCTION("IFS(
  AND(REGEXMATCH(E2745, ""台銀籌備帳戶|玉山帳戶""), REGEXMATCH(C2745, ""薪資"")), ""分潤支出"",
  AND(REGEXMATCH(E2745, ""Ben帳戶|Elsa帳戶|Ben代墊|Ariel代墊|中信銀行共用""), REGEXMATCH(F2745, ""Ben帳戶|Elsa帳戶|Ben代墊|Ariel代墊|中信銀行共用"")), ""內部轉帳(忽略)"",
  AND(E2745&lt;&gt;"""", F2745&lt;&gt;"""", N"&amp;"OT(REGEXMATCH(C2745, ""薪資""))), ""內部轉帳(忽略)"",
  REGEXMATCH(C2745, ""薪資""), ""薪資變動(不計入)"",
  REGEXMATCH(C2745, ""押金""), ""押金往來"",
  AND(E2745&lt;&gt;"""", F2745=""""), ""真實支出"",
  AND(E2745="""", F2745&lt;&gt;""""), ""真實收入"",
  TRUE, ""其他""
)"),"真實收入")</f>
        <v>真實收入</v>
      </c>
      <c r="K2745" s="270">
        <f t="shared" si="2"/>
        <v>11800</v>
      </c>
      <c r="L2745">
        <f t="shared" si="3"/>
        <v>0</v>
      </c>
    </row>
    <row r="2746">
      <c r="A2746" s="107">
        <f>IFERROR(__xludf.DUMMYFUNCTION("""COMPUTED_VALUE"""),45961.0)</f>
        <v>45961</v>
      </c>
      <c r="B2746" t="str">
        <f>IFERROR(__xludf.DUMMYFUNCTION("""COMPUTED_VALUE"""),"[書香民生] C [韋茗期] 月租金 後五碼:07688 (行號: 30)")</f>
        <v>[書香民生] C [韋茗期] 月租金 後五碼:07688 (行號: 30)</v>
      </c>
      <c r="C2746" t="str">
        <f>IFERROR(__xludf.DUMMYFUNCTION("""COMPUTED_VALUE"""),"收入 - 租金")</f>
        <v>收入 - 租金</v>
      </c>
      <c r="D2746" s="270">
        <f>IFERROR(__xludf.DUMMYFUNCTION("""COMPUTED_VALUE"""),14800.0)</f>
        <v>14800</v>
      </c>
      <c r="F2746" t="str">
        <f>IFERROR(__xludf.DUMMYFUNCTION("""COMPUTED_VALUE"""),"台銀籌備帳戶")</f>
        <v>台銀籌備帳戶</v>
      </c>
      <c r="G2746" t="str">
        <f>IFERROR(__xludf.DUMMYFUNCTION("""COMPUTED_VALUE"""),"書香民生")</f>
        <v>書香民生</v>
      </c>
      <c r="H2746" s="106" t="str">
        <f t="shared" si="1"/>
        <v>2025-10</v>
      </c>
      <c r="I2746" s="271" t="str">
        <f>IFERROR(__xludf.DUMMYFUNCTION("""COMPUTED_VALUE"""),"貓狗企鵝")</f>
        <v>貓狗企鵝</v>
      </c>
      <c r="J2746" t="str">
        <f>IFERROR(__xludf.DUMMYFUNCTION("IFS(
  AND(REGEXMATCH(E2746, ""台銀籌備帳戶|玉山帳戶""), REGEXMATCH(C2746, ""薪資"")), ""分潤支出"",
  AND(REGEXMATCH(E2746, ""Ben帳戶|Elsa帳戶|Ben代墊|Ariel代墊|中信銀行共用""), REGEXMATCH(F2746, ""Ben帳戶|Elsa帳戶|Ben代墊|Ariel代墊|中信銀行共用"")), ""內部轉帳(忽略)"",
  AND(E2746&lt;&gt;"""", F2746&lt;&gt;"""", N"&amp;"OT(REGEXMATCH(C2746, ""薪資""))), ""內部轉帳(忽略)"",
  REGEXMATCH(C2746, ""薪資""), ""薪資變動(不計入)"",
  REGEXMATCH(C2746, ""押金""), ""押金往來"",
  AND(E2746&lt;&gt;"""", F2746=""""), ""真實支出"",
  AND(E2746="""", F2746&lt;&gt;""""), ""真實收入"",
  TRUE, ""其他""
)"),"真實收入")</f>
        <v>真實收入</v>
      </c>
      <c r="K2746" s="270">
        <f t="shared" si="2"/>
        <v>14800</v>
      </c>
      <c r="L2746">
        <f t="shared" si="3"/>
        <v>0</v>
      </c>
    </row>
    <row r="2747">
      <c r="A2747" s="107">
        <f>IFERROR(__xludf.DUMMYFUNCTION("""COMPUTED_VALUE"""),45961.0)</f>
        <v>45961</v>
      </c>
      <c r="B2747" t="str">
        <f>IFERROR(__xludf.DUMMYFUNCTION("""COMPUTED_VALUE"""),"[景安2分鐘] C [吳品萱] 月租金 後五碼:40729 (行號: 31)")</f>
        <v>[景安2分鐘] C [吳品萱] 月租金 後五碼:40729 (行號: 31)</v>
      </c>
      <c r="C2747" t="str">
        <f>IFERROR(__xludf.DUMMYFUNCTION("""COMPUTED_VALUE"""),"收入 - 租金")</f>
        <v>收入 - 租金</v>
      </c>
      <c r="D2747" s="270">
        <f>IFERROR(__xludf.DUMMYFUNCTION("""COMPUTED_VALUE"""),12500.0)</f>
        <v>12500</v>
      </c>
      <c r="F2747" t="str">
        <f>IFERROR(__xludf.DUMMYFUNCTION("""COMPUTED_VALUE"""),"台銀籌備帳戶")</f>
        <v>台銀籌備帳戶</v>
      </c>
      <c r="G2747" t="str">
        <f>IFERROR(__xludf.DUMMYFUNCTION("""COMPUTED_VALUE"""),"景安2分鐘")</f>
        <v>景安2分鐘</v>
      </c>
      <c r="H2747" s="106" t="str">
        <f t="shared" si="1"/>
        <v>2025-10</v>
      </c>
      <c r="I2747" s="271" t="str">
        <f>IFERROR(__xludf.DUMMYFUNCTION("""COMPUTED_VALUE"""),"貓狗企鵝")</f>
        <v>貓狗企鵝</v>
      </c>
      <c r="J2747" t="str">
        <f>IFERROR(__xludf.DUMMYFUNCTION("IFS(
  AND(REGEXMATCH(E2747, ""台銀籌備帳戶|玉山帳戶""), REGEXMATCH(C2747, ""薪資"")), ""分潤支出"",
  AND(REGEXMATCH(E2747, ""Ben帳戶|Elsa帳戶|Ben代墊|Ariel代墊|中信銀行共用""), REGEXMATCH(F2747, ""Ben帳戶|Elsa帳戶|Ben代墊|Ariel代墊|中信銀行共用"")), ""內部轉帳(忽略)"",
  AND(E2747&lt;&gt;"""", F2747&lt;&gt;"""", N"&amp;"OT(REGEXMATCH(C2747, ""薪資""))), ""內部轉帳(忽略)"",
  REGEXMATCH(C2747, ""薪資""), ""薪資變動(不計入)"",
  REGEXMATCH(C2747, ""押金""), ""押金往來"",
  AND(E2747&lt;&gt;"""", F2747=""""), ""真實支出"",
  AND(E2747="""", F2747&lt;&gt;""""), ""真實收入"",
  TRUE, ""其他""
)"),"真實收入")</f>
        <v>真實收入</v>
      </c>
      <c r="K2747" s="270">
        <f t="shared" si="2"/>
        <v>12500</v>
      </c>
      <c r="L2747">
        <f t="shared" si="3"/>
        <v>0</v>
      </c>
    </row>
    <row r="2748">
      <c r="A2748" s="107">
        <f>IFERROR(__xludf.DUMMYFUNCTION("""COMPUTED_VALUE"""),45961.0)</f>
        <v>45961</v>
      </c>
      <c r="B2748" t="str">
        <f>IFERROR(__xludf.DUMMYFUNCTION("""COMPUTED_VALUE"""),"[大湖山莊] C [姚伯謙] 月租金 後五碼:54655 (行號: 32)")</f>
        <v>[大湖山莊] C [姚伯謙] 月租金 後五碼:54655 (行號: 32)</v>
      </c>
      <c r="C2748" t="str">
        <f>IFERROR(__xludf.DUMMYFUNCTION("""COMPUTED_VALUE"""),"收入 - 租金")</f>
        <v>收入 - 租金</v>
      </c>
      <c r="D2748" s="270">
        <f>IFERROR(__xludf.DUMMYFUNCTION("""COMPUTED_VALUE"""),18800.0)</f>
        <v>18800</v>
      </c>
      <c r="F2748" t="str">
        <f>IFERROR(__xludf.DUMMYFUNCTION("""COMPUTED_VALUE"""),"台銀籌備帳戶")</f>
        <v>台銀籌備帳戶</v>
      </c>
      <c r="G2748" t="str">
        <f>IFERROR(__xludf.DUMMYFUNCTION("""COMPUTED_VALUE"""),"大湖山莊")</f>
        <v>大湖山莊</v>
      </c>
      <c r="H2748" s="106" t="str">
        <f t="shared" si="1"/>
        <v>2025-10</v>
      </c>
      <c r="I2748" s="271" t="str">
        <f>IFERROR(__xludf.DUMMYFUNCTION("""COMPUTED_VALUE"""),"貓狗企鵝")</f>
        <v>貓狗企鵝</v>
      </c>
      <c r="J2748" t="str">
        <f>IFERROR(__xludf.DUMMYFUNCTION("IFS(
  AND(REGEXMATCH(E2748, ""台銀籌備帳戶|玉山帳戶""), REGEXMATCH(C2748, ""薪資"")), ""分潤支出"",
  AND(REGEXMATCH(E2748, ""Ben帳戶|Elsa帳戶|Ben代墊|Ariel代墊|中信銀行共用""), REGEXMATCH(F2748, ""Ben帳戶|Elsa帳戶|Ben代墊|Ariel代墊|中信銀行共用"")), ""內部轉帳(忽略)"",
  AND(E2748&lt;&gt;"""", F2748&lt;&gt;"""", N"&amp;"OT(REGEXMATCH(C2748, ""薪資""))), ""內部轉帳(忽略)"",
  REGEXMATCH(C2748, ""薪資""), ""薪資變動(不計入)"",
  REGEXMATCH(C2748, ""押金""), ""押金往來"",
  AND(E2748&lt;&gt;"""", F2748=""""), ""真實支出"",
  AND(E2748="""", F2748&lt;&gt;""""), ""真實收入"",
  TRUE, ""其他""
)"),"真實收入")</f>
        <v>真實收入</v>
      </c>
      <c r="K2748" s="270">
        <f t="shared" si="2"/>
        <v>18800</v>
      </c>
      <c r="L2748">
        <f t="shared" si="3"/>
        <v>0</v>
      </c>
    </row>
    <row r="2749">
      <c r="A2749" s="107">
        <f>IFERROR(__xludf.DUMMYFUNCTION("""COMPUTED_VALUE"""),45961.0)</f>
        <v>45961</v>
      </c>
      <c r="B2749" t="str">
        <f>IFERROR(__xludf.DUMMYFUNCTION("""COMPUTED_VALUE"""),"[大湖山莊] F [李佳芸, 吉俊儒] 月租金 後五碼:36938 (行號: 33)")</f>
        <v>[大湖山莊] F [李佳芸, 吉俊儒] 月租金 後五碼:36938 (行號: 33)</v>
      </c>
      <c r="C2749" t="str">
        <f>IFERROR(__xludf.DUMMYFUNCTION("""COMPUTED_VALUE"""),"收入 - 租金")</f>
        <v>收入 - 租金</v>
      </c>
      <c r="D2749" s="270">
        <f>IFERROR(__xludf.DUMMYFUNCTION("""COMPUTED_VALUE"""),18300.0)</f>
        <v>18300</v>
      </c>
      <c r="F2749" t="str">
        <f>IFERROR(__xludf.DUMMYFUNCTION("""COMPUTED_VALUE"""),"台銀籌備帳戶")</f>
        <v>台銀籌備帳戶</v>
      </c>
      <c r="G2749" t="str">
        <f>IFERROR(__xludf.DUMMYFUNCTION("""COMPUTED_VALUE"""),"大湖山莊")</f>
        <v>大湖山莊</v>
      </c>
      <c r="H2749" s="106" t="str">
        <f t="shared" si="1"/>
        <v>2025-10</v>
      </c>
      <c r="I2749" s="271" t="str">
        <f>IFERROR(__xludf.DUMMYFUNCTION("""COMPUTED_VALUE"""),"貓狗企鵝")</f>
        <v>貓狗企鵝</v>
      </c>
      <c r="J2749" t="str">
        <f>IFERROR(__xludf.DUMMYFUNCTION("IFS(
  AND(REGEXMATCH(E2749, ""台銀籌備帳戶|玉山帳戶""), REGEXMATCH(C2749, ""薪資"")), ""分潤支出"",
  AND(REGEXMATCH(E2749, ""Ben帳戶|Elsa帳戶|Ben代墊|Ariel代墊|中信銀行共用""), REGEXMATCH(F2749, ""Ben帳戶|Elsa帳戶|Ben代墊|Ariel代墊|中信銀行共用"")), ""內部轉帳(忽略)"",
  AND(E2749&lt;&gt;"""", F2749&lt;&gt;"""", N"&amp;"OT(REGEXMATCH(C2749, ""薪資""))), ""內部轉帳(忽略)"",
  REGEXMATCH(C2749, ""薪資""), ""薪資變動(不計入)"",
  REGEXMATCH(C2749, ""押金""), ""押金往來"",
  AND(E2749&lt;&gt;"""", F2749=""""), ""真實支出"",
  AND(E2749="""", F2749&lt;&gt;""""), ""真實收入"",
  TRUE, ""其他""
)"),"真實收入")</f>
        <v>真實收入</v>
      </c>
      <c r="K2749" s="270">
        <f t="shared" si="2"/>
        <v>18300</v>
      </c>
      <c r="L2749">
        <f t="shared" si="3"/>
        <v>0</v>
      </c>
    </row>
    <row r="2750">
      <c r="A2750" s="107">
        <f>IFERROR(__xludf.DUMMYFUNCTION("""COMPUTED_VALUE"""),45961.0)</f>
        <v>45961</v>
      </c>
      <c r="B2750" t="str">
        <f>IFERROR(__xludf.DUMMYFUNCTION("""COMPUTED_VALUE"""),"[景安2分鐘] E [楊惠閔] 月租金 後五碼:75759 (行號: 34)")</f>
        <v>[景安2分鐘] E [楊惠閔] 月租金 後五碼:75759 (行號: 34)</v>
      </c>
      <c r="C2750" t="str">
        <f>IFERROR(__xludf.DUMMYFUNCTION("""COMPUTED_VALUE"""),"收入 - 租金")</f>
        <v>收入 - 租金</v>
      </c>
      <c r="D2750" s="270">
        <f>IFERROR(__xludf.DUMMYFUNCTION("""COMPUTED_VALUE"""),10500.0)</f>
        <v>10500</v>
      </c>
      <c r="F2750" t="str">
        <f>IFERROR(__xludf.DUMMYFUNCTION("""COMPUTED_VALUE"""),"台銀籌備帳戶")</f>
        <v>台銀籌備帳戶</v>
      </c>
      <c r="G2750" t="str">
        <f>IFERROR(__xludf.DUMMYFUNCTION("""COMPUTED_VALUE"""),"景安2分鐘")</f>
        <v>景安2分鐘</v>
      </c>
      <c r="H2750" s="106" t="str">
        <f t="shared" si="1"/>
        <v>2025-10</v>
      </c>
      <c r="I2750" s="271" t="str">
        <f>IFERROR(__xludf.DUMMYFUNCTION("""COMPUTED_VALUE"""),"貓狗企鵝")</f>
        <v>貓狗企鵝</v>
      </c>
      <c r="J2750" t="str">
        <f>IFERROR(__xludf.DUMMYFUNCTION("IFS(
  AND(REGEXMATCH(E2750, ""台銀籌備帳戶|玉山帳戶""), REGEXMATCH(C2750, ""薪資"")), ""分潤支出"",
  AND(REGEXMATCH(E2750, ""Ben帳戶|Elsa帳戶|Ben代墊|Ariel代墊|中信銀行共用""), REGEXMATCH(F2750, ""Ben帳戶|Elsa帳戶|Ben代墊|Ariel代墊|中信銀行共用"")), ""內部轉帳(忽略)"",
  AND(E2750&lt;&gt;"""", F2750&lt;&gt;"""", N"&amp;"OT(REGEXMATCH(C2750, ""薪資""))), ""內部轉帳(忽略)"",
  REGEXMATCH(C2750, ""薪資""), ""薪資變動(不計入)"",
  REGEXMATCH(C2750, ""押金""), ""押金往來"",
  AND(E2750&lt;&gt;"""", F2750=""""), ""真實支出"",
  AND(E2750="""", F2750&lt;&gt;""""), ""真實收入"",
  TRUE, ""其他""
)"),"真實收入")</f>
        <v>真實收入</v>
      </c>
      <c r="K2750" s="270">
        <f t="shared" si="2"/>
        <v>10500</v>
      </c>
      <c r="L2750">
        <f t="shared" si="3"/>
        <v>0</v>
      </c>
    </row>
    <row r="2751">
      <c r="A2751" s="107">
        <f>IFERROR(__xludf.DUMMYFUNCTION("""COMPUTED_VALUE"""),45962.0)</f>
        <v>45962</v>
      </c>
      <c r="B2751" t="str">
        <f>IFERROR(__xludf.DUMMYFUNCTION("""COMPUTED_VALUE"""),"[北醫醫師府] C [余典蓉] 月租金 後五碼:44027 (行號: 35)")</f>
        <v>[北醫醫師府] C [余典蓉] 月租金 後五碼:44027 (行號: 35)</v>
      </c>
      <c r="C2751" t="str">
        <f>IFERROR(__xludf.DUMMYFUNCTION("""COMPUTED_VALUE"""),"收入 - 租金")</f>
        <v>收入 - 租金</v>
      </c>
      <c r="D2751" s="270">
        <f>IFERROR(__xludf.DUMMYFUNCTION("""COMPUTED_VALUE"""),13000.0)</f>
        <v>13000</v>
      </c>
      <c r="F2751" t="str">
        <f>IFERROR(__xludf.DUMMYFUNCTION("""COMPUTED_VALUE"""),"台銀籌備帳戶")</f>
        <v>台銀籌備帳戶</v>
      </c>
      <c r="G2751" t="str">
        <f>IFERROR(__xludf.DUMMYFUNCTION("""COMPUTED_VALUE"""),"北醫醫師府")</f>
        <v>北醫醫師府</v>
      </c>
      <c r="H2751" s="106" t="str">
        <f t="shared" si="1"/>
        <v>2025-11</v>
      </c>
      <c r="I2751" s="271" t="str">
        <f>IFERROR(__xludf.DUMMYFUNCTION("""COMPUTED_VALUE"""),"貓狗企鵝")</f>
        <v>貓狗企鵝</v>
      </c>
      <c r="J2751" t="str">
        <f>IFERROR(__xludf.DUMMYFUNCTION("IFS(
  AND(REGEXMATCH(E2751, ""台銀籌備帳戶|玉山帳戶""), REGEXMATCH(C2751, ""薪資"")), ""分潤支出"",
  AND(REGEXMATCH(E2751, ""Ben帳戶|Elsa帳戶|Ben代墊|Ariel代墊|中信銀行共用""), REGEXMATCH(F2751, ""Ben帳戶|Elsa帳戶|Ben代墊|Ariel代墊|中信銀行共用"")), ""內部轉帳(忽略)"",
  AND(E2751&lt;&gt;"""", F2751&lt;&gt;"""", N"&amp;"OT(REGEXMATCH(C2751, ""薪資""))), ""內部轉帳(忽略)"",
  REGEXMATCH(C2751, ""薪資""), ""薪資變動(不計入)"",
  REGEXMATCH(C2751, ""押金""), ""押金往來"",
  AND(E2751&lt;&gt;"""", F2751=""""), ""真實支出"",
  AND(E2751="""", F2751&lt;&gt;""""), ""真實收入"",
  TRUE, ""其他""
)"),"真實收入")</f>
        <v>真實收入</v>
      </c>
      <c r="K2751" s="270">
        <f t="shared" si="2"/>
        <v>13000</v>
      </c>
      <c r="L2751">
        <f t="shared" si="3"/>
        <v>0</v>
      </c>
    </row>
    <row r="2752">
      <c r="A2752" s="107">
        <f>IFERROR(__xludf.DUMMYFUNCTION("""COMPUTED_VALUE"""),45962.0)</f>
        <v>45962</v>
      </c>
      <c r="B2752" t="str">
        <f>IFERROR(__xludf.DUMMYFUNCTION("""COMPUTED_VALUE"""),"[永春四號] D [翁政熙] 月租金 後五碼:54267 (行號: 36)")</f>
        <v>[永春四號] D [翁政熙] 月租金 後五碼:54267 (行號: 36)</v>
      </c>
      <c r="C2752" t="str">
        <f>IFERROR(__xludf.DUMMYFUNCTION("""COMPUTED_VALUE"""),"收入 - 租金")</f>
        <v>收入 - 租金</v>
      </c>
      <c r="D2752" s="270">
        <f>IFERROR(__xludf.DUMMYFUNCTION("""COMPUTED_VALUE"""),14300.0)</f>
        <v>14300</v>
      </c>
      <c r="F2752" t="str">
        <f>IFERROR(__xludf.DUMMYFUNCTION("""COMPUTED_VALUE"""),"台銀籌備帳戶")</f>
        <v>台銀籌備帳戶</v>
      </c>
      <c r="G2752" t="str">
        <f>IFERROR(__xludf.DUMMYFUNCTION("""COMPUTED_VALUE"""),"永春四號")</f>
        <v>永春四號</v>
      </c>
      <c r="H2752" s="106" t="str">
        <f t="shared" si="1"/>
        <v>2025-11</v>
      </c>
      <c r="I2752" s="271" t="str">
        <f>IFERROR(__xludf.DUMMYFUNCTION("""COMPUTED_VALUE"""),"貓狗企鵝")</f>
        <v>貓狗企鵝</v>
      </c>
      <c r="J2752" t="str">
        <f>IFERROR(__xludf.DUMMYFUNCTION("IFS(
  AND(REGEXMATCH(E2752, ""台銀籌備帳戶|玉山帳戶""), REGEXMATCH(C2752, ""薪資"")), ""分潤支出"",
  AND(REGEXMATCH(E2752, ""Ben帳戶|Elsa帳戶|Ben代墊|Ariel代墊|中信銀行共用""), REGEXMATCH(F2752, ""Ben帳戶|Elsa帳戶|Ben代墊|Ariel代墊|中信銀行共用"")), ""內部轉帳(忽略)"",
  AND(E2752&lt;&gt;"""", F2752&lt;&gt;"""", N"&amp;"OT(REGEXMATCH(C2752, ""薪資""))), ""內部轉帳(忽略)"",
  REGEXMATCH(C2752, ""薪資""), ""薪資變動(不計入)"",
  REGEXMATCH(C2752, ""押金""), ""押金往來"",
  AND(E2752&lt;&gt;"""", F2752=""""), ""真實支出"",
  AND(E2752="""", F2752&lt;&gt;""""), ""真實收入"",
  TRUE, ""其他""
)"),"真實收入")</f>
        <v>真實收入</v>
      </c>
      <c r="K2752" s="270">
        <f t="shared" si="2"/>
        <v>14300</v>
      </c>
      <c r="L2752">
        <f t="shared" si="3"/>
        <v>0</v>
      </c>
    </row>
    <row r="2753">
      <c r="A2753" s="107">
        <f>IFERROR(__xludf.DUMMYFUNCTION("""COMPUTED_VALUE"""),45962.0)</f>
        <v>45962</v>
      </c>
      <c r="B2753" t="str">
        <f>IFERROR(__xludf.DUMMYFUNCTION("""COMPUTED_VALUE"""),"[金龍帽子先生] C [鐘偉展] 月租金 後五碼:31815 (行號: 37)")</f>
        <v>[金龍帽子先生] C [鐘偉展] 月租金 後五碼:31815 (行號: 37)</v>
      </c>
      <c r="C2753" t="str">
        <f>IFERROR(__xludf.DUMMYFUNCTION("""COMPUTED_VALUE"""),"收入 - 租金")</f>
        <v>收入 - 租金</v>
      </c>
      <c r="D2753" s="270">
        <f>IFERROR(__xludf.DUMMYFUNCTION("""COMPUTED_VALUE"""),14000.0)</f>
        <v>14000</v>
      </c>
      <c r="F2753" t="str">
        <f>IFERROR(__xludf.DUMMYFUNCTION("""COMPUTED_VALUE"""),"台銀籌備帳戶")</f>
        <v>台銀籌備帳戶</v>
      </c>
      <c r="G2753" t="str">
        <f>IFERROR(__xludf.DUMMYFUNCTION("""COMPUTED_VALUE"""),"金龍帽子先生")</f>
        <v>金龍帽子先生</v>
      </c>
      <c r="H2753" s="106" t="str">
        <f t="shared" si="1"/>
        <v>2025-11</v>
      </c>
      <c r="I2753" s="271" t="str">
        <f>IFERROR(__xludf.DUMMYFUNCTION("""COMPUTED_VALUE"""),"貓狗企鵝")</f>
        <v>貓狗企鵝</v>
      </c>
      <c r="J2753" t="str">
        <f>IFERROR(__xludf.DUMMYFUNCTION("IFS(
  AND(REGEXMATCH(E2753, ""台銀籌備帳戶|玉山帳戶""), REGEXMATCH(C2753, ""薪資"")), ""分潤支出"",
  AND(REGEXMATCH(E2753, ""Ben帳戶|Elsa帳戶|Ben代墊|Ariel代墊|中信銀行共用""), REGEXMATCH(F2753, ""Ben帳戶|Elsa帳戶|Ben代墊|Ariel代墊|中信銀行共用"")), ""內部轉帳(忽略)"",
  AND(E2753&lt;&gt;"""", F2753&lt;&gt;"""", N"&amp;"OT(REGEXMATCH(C2753, ""薪資""))), ""內部轉帳(忽略)"",
  REGEXMATCH(C2753, ""薪資""), ""薪資變動(不計入)"",
  REGEXMATCH(C2753, ""押金""), ""押金往來"",
  AND(E2753&lt;&gt;"""", F2753=""""), ""真實支出"",
  AND(E2753="""", F2753&lt;&gt;""""), ""真實收入"",
  TRUE, ""其他""
)"),"真實收入")</f>
        <v>真實收入</v>
      </c>
      <c r="K2753" s="270">
        <f t="shared" si="2"/>
        <v>14000</v>
      </c>
      <c r="L2753">
        <f t="shared" si="3"/>
        <v>0</v>
      </c>
    </row>
    <row r="2754">
      <c r="A2754" s="107">
        <f>IFERROR(__xludf.DUMMYFUNCTION("""COMPUTED_VALUE"""),45962.0)</f>
        <v>45962</v>
      </c>
      <c r="B2754" t="str">
        <f>IFERROR(__xludf.DUMMYFUNCTION("""COMPUTED_VALUE"""),"[龍江229] E [李侑霖] 合約 CR00111 後五碼:24691 (行號: 38)")</f>
        <v>[龍江229] E [李侑霖] 合約 CR00111 後五碼:24691 (行號: 38)</v>
      </c>
      <c r="C2754" t="str">
        <f>IFERROR(__xludf.DUMMYFUNCTION("""COMPUTED_VALUE"""),"收入 - 租金")</f>
        <v>收入 - 租金</v>
      </c>
      <c r="D2754" s="270">
        <f>IFERROR(__xludf.DUMMYFUNCTION("""COMPUTED_VALUE"""),7500.0)</f>
        <v>7500</v>
      </c>
      <c r="F2754" t="str">
        <f>IFERROR(__xludf.DUMMYFUNCTION("""COMPUTED_VALUE"""),"台銀籌備帳戶")</f>
        <v>台銀籌備帳戶</v>
      </c>
      <c r="G2754" t="str">
        <f>IFERROR(__xludf.DUMMYFUNCTION("""COMPUTED_VALUE"""),"龍江229")</f>
        <v>龍江229</v>
      </c>
      <c r="H2754" s="106" t="str">
        <f t="shared" si="1"/>
        <v>2025-11</v>
      </c>
      <c r="I2754" s="271" t="str">
        <f>IFERROR(__xludf.DUMMYFUNCTION("""COMPUTED_VALUE"""),"貓狗企鵝")</f>
        <v>貓狗企鵝</v>
      </c>
      <c r="J2754" t="str">
        <f>IFERROR(__xludf.DUMMYFUNCTION("IFS(
  AND(REGEXMATCH(E2754, ""台銀籌備帳戶|玉山帳戶""), REGEXMATCH(C2754, ""薪資"")), ""分潤支出"",
  AND(REGEXMATCH(E2754, ""Ben帳戶|Elsa帳戶|Ben代墊|Ariel代墊|中信銀行共用""), REGEXMATCH(F2754, ""Ben帳戶|Elsa帳戶|Ben代墊|Ariel代墊|中信銀行共用"")), ""內部轉帳(忽略)"",
  AND(E2754&lt;&gt;"""", F2754&lt;&gt;"""", N"&amp;"OT(REGEXMATCH(C2754, ""薪資""))), ""內部轉帳(忽略)"",
  REGEXMATCH(C2754, ""薪資""), ""薪資變動(不計入)"",
  REGEXMATCH(C2754, ""押金""), ""押金往來"",
  AND(E2754&lt;&gt;"""", F2754=""""), ""真實支出"",
  AND(E2754="""", F2754&lt;&gt;""""), ""真實收入"",
  TRUE, ""其他""
)"),"真實收入")</f>
        <v>真實收入</v>
      </c>
      <c r="K2754" s="270">
        <f t="shared" si="2"/>
        <v>7500</v>
      </c>
      <c r="L2754">
        <f t="shared" si="3"/>
        <v>0</v>
      </c>
    </row>
    <row r="2755">
      <c r="A2755" s="107">
        <f>IFERROR(__xludf.DUMMYFUNCTION("""COMPUTED_VALUE"""),45962.0)</f>
        <v>45962</v>
      </c>
      <c r="B2755" t="str">
        <f>IFERROR(__xludf.DUMMYFUNCTION("""COMPUTED_VALUE"""),"[南港站挑高宅] C [吳佳叡] 月租金 後五碼:64976 (行號: 39)")</f>
        <v>[南港站挑高宅] C [吳佳叡] 月租金 後五碼:64976 (行號: 39)</v>
      </c>
      <c r="C2755" t="str">
        <f>IFERROR(__xludf.DUMMYFUNCTION("""COMPUTED_VALUE"""),"收入 - 租金")</f>
        <v>收入 - 租金</v>
      </c>
      <c r="D2755" s="270">
        <f>IFERROR(__xludf.DUMMYFUNCTION("""COMPUTED_VALUE"""),15000.0)</f>
        <v>15000</v>
      </c>
      <c r="F2755" t="str">
        <f>IFERROR(__xludf.DUMMYFUNCTION("""COMPUTED_VALUE"""),"台銀籌備帳戶")</f>
        <v>台銀籌備帳戶</v>
      </c>
      <c r="G2755" t="str">
        <f>IFERROR(__xludf.DUMMYFUNCTION("""COMPUTED_VALUE"""),"南港站挑高宅")</f>
        <v>南港站挑高宅</v>
      </c>
      <c r="H2755" s="106" t="str">
        <f t="shared" si="1"/>
        <v>2025-11</v>
      </c>
      <c r="I2755" s="271" t="str">
        <f>IFERROR(__xludf.DUMMYFUNCTION("""COMPUTED_VALUE"""),"貓狗企鵝")</f>
        <v>貓狗企鵝</v>
      </c>
      <c r="J2755" t="str">
        <f>IFERROR(__xludf.DUMMYFUNCTION("IFS(
  AND(REGEXMATCH(E2755, ""台銀籌備帳戶|玉山帳戶""), REGEXMATCH(C2755, ""薪資"")), ""分潤支出"",
  AND(REGEXMATCH(E2755, ""Ben帳戶|Elsa帳戶|Ben代墊|Ariel代墊|中信銀行共用""), REGEXMATCH(F2755, ""Ben帳戶|Elsa帳戶|Ben代墊|Ariel代墊|中信銀行共用"")), ""內部轉帳(忽略)"",
  AND(E2755&lt;&gt;"""", F2755&lt;&gt;"""", N"&amp;"OT(REGEXMATCH(C2755, ""薪資""))), ""內部轉帳(忽略)"",
  REGEXMATCH(C2755, ""薪資""), ""薪資變動(不計入)"",
  REGEXMATCH(C2755, ""押金""), ""押金往來"",
  AND(E2755&lt;&gt;"""", F2755=""""), ""真實支出"",
  AND(E2755="""", F2755&lt;&gt;""""), ""真實收入"",
  TRUE, ""其他""
)"),"真實收入")</f>
        <v>真實收入</v>
      </c>
      <c r="K2755" s="270">
        <f t="shared" si="2"/>
        <v>15000</v>
      </c>
      <c r="L2755">
        <f t="shared" si="3"/>
        <v>0</v>
      </c>
    </row>
    <row r="2756">
      <c r="A2756" s="107">
        <f>IFERROR(__xludf.DUMMYFUNCTION("""COMPUTED_VALUE"""),45962.0)</f>
        <v>45962</v>
      </c>
      <c r="B2756" t="str">
        <f>IFERROR(__xludf.DUMMYFUNCTION("""COMPUTED_VALUE"""),"[南港站挑高宅] [林淑華] 大租金")</f>
        <v>[南港站挑高宅] [林淑華] 大租金</v>
      </c>
      <c r="C2756" t="str">
        <f>IFERROR(__xludf.DUMMYFUNCTION("""COMPUTED_VALUE"""),"成本 - 大租金")</f>
        <v>成本 - 大租金</v>
      </c>
      <c r="D2756" s="270">
        <f>IFERROR(__xludf.DUMMYFUNCTION("""COMPUTED_VALUE"""),-18250.0)</f>
        <v>-18250</v>
      </c>
      <c r="E2756" t="str">
        <f>IFERROR(__xludf.DUMMYFUNCTION("""COMPUTED_VALUE"""),"台銀籌備帳戶")</f>
        <v>台銀籌備帳戶</v>
      </c>
      <c r="G2756" t="str">
        <f>IFERROR(__xludf.DUMMYFUNCTION("""COMPUTED_VALUE"""),"南港站挑高宅")</f>
        <v>南港站挑高宅</v>
      </c>
      <c r="H2756" s="106" t="str">
        <f t="shared" si="1"/>
        <v>2025-11</v>
      </c>
      <c r="I2756" s="271" t="str">
        <f>IFERROR(__xludf.DUMMYFUNCTION("""COMPUTED_VALUE"""),"貓狗企鵝")</f>
        <v>貓狗企鵝</v>
      </c>
      <c r="J2756" t="str">
        <f>IFERROR(__xludf.DUMMYFUNCTION("IFS(
  AND(REGEXMATCH(E2756, ""台銀籌備帳戶|玉山帳戶""), REGEXMATCH(C2756, ""薪資"")), ""分潤支出"",
  AND(REGEXMATCH(E2756, ""Ben帳戶|Elsa帳戶|Ben代墊|Ariel代墊|中信銀行共用""), REGEXMATCH(F2756, ""Ben帳戶|Elsa帳戶|Ben代墊|Ariel代墊|中信銀行共用"")), ""內部轉帳(忽略)"",
  AND(E2756&lt;&gt;"""", F2756&lt;&gt;"""", N"&amp;"OT(REGEXMATCH(C2756, ""薪資""))), ""內部轉帳(忽略)"",
  REGEXMATCH(C2756, ""薪資""), ""薪資變動(不計入)"",
  REGEXMATCH(C2756, ""押金""), ""押金往來"",
  AND(E2756&lt;&gt;"""", F2756=""""), ""真實支出"",
  AND(E2756="""", F2756&lt;&gt;""""), ""真實收入"",
  TRUE, ""其他""
)"),"真實支出")</f>
        <v>真實支出</v>
      </c>
      <c r="K2756" s="270">
        <f t="shared" si="2"/>
        <v>-18250</v>
      </c>
      <c r="L2756">
        <f t="shared" si="3"/>
        <v>0</v>
      </c>
    </row>
    <row r="2757">
      <c r="A2757" s="107">
        <f>IFERROR(__xludf.DUMMYFUNCTION("""COMPUTED_VALUE"""),45962.0)</f>
        <v>45962</v>
      </c>
      <c r="B2757" t="str">
        <f>IFERROR(__xludf.DUMMYFUNCTION("""COMPUTED_VALUE"""),"[書香民生] A [曾蘋儀] 月租金 後五碼:73611 (行號: 41)")</f>
        <v>[書香民生] A [曾蘋儀] 月租金 後五碼:73611 (行號: 41)</v>
      </c>
      <c r="C2757" t="str">
        <f>IFERROR(__xludf.DUMMYFUNCTION("""COMPUTED_VALUE"""),"收入 - 租金")</f>
        <v>收入 - 租金</v>
      </c>
      <c r="D2757" s="270">
        <f>IFERROR(__xludf.DUMMYFUNCTION("""COMPUTED_VALUE"""),13300.0)</f>
        <v>13300</v>
      </c>
      <c r="F2757" t="str">
        <f>IFERROR(__xludf.DUMMYFUNCTION("""COMPUTED_VALUE"""),"台銀籌備帳戶")</f>
        <v>台銀籌備帳戶</v>
      </c>
      <c r="G2757" t="str">
        <f>IFERROR(__xludf.DUMMYFUNCTION("""COMPUTED_VALUE"""),"書香民生")</f>
        <v>書香民生</v>
      </c>
      <c r="H2757" s="106" t="str">
        <f t="shared" si="1"/>
        <v>2025-11</v>
      </c>
      <c r="I2757" s="271" t="str">
        <f>IFERROR(__xludf.DUMMYFUNCTION("""COMPUTED_VALUE"""),"貓狗企鵝")</f>
        <v>貓狗企鵝</v>
      </c>
      <c r="J2757" t="str">
        <f>IFERROR(__xludf.DUMMYFUNCTION("IFS(
  AND(REGEXMATCH(E2757, ""台銀籌備帳戶|玉山帳戶""), REGEXMATCH(C2757, ""薪資"")), ""分潤支出"",
  AND(REGEXMATCH(E2757, ""Ben帳戶|Elsa帳戶|Ben代墊|Ariel代墊|中信銀行共用""), REGEXMATCH(F2757, ""Ben帳戶|Elsa帳戶|Ben代墊|Ariel代墊|中信銀行共用"")), ""內部轉帳(忽略)"",
  AND(E2757&lt;&gt;"""", F2757&lt;&gt;"""", N"&amp;"OT(REGEXMATCH(C2757, ""薪資""))), ""內部轉帳(忽略)"",
  REGEXMATCH(C2757, ""薪資""), ""薪資變動(不計入)"",
  REGEXMATCH(C2757, ""押金""), ""押金往來"",
  AND(E2757&lt;&gt;"""", F2757=""""), ""真實支出"",
  AND(E2757="""", F2757&lt;&gt;""""), ""真實收入"",
  TRUE, ""其他""
)"),"真實收入")</f>
        <v>真實收入</v>
      </c>
      <c r="K2757" s="270">
        <f t="shared" si="2"/>
        <v>13300</v>
      </c>
      <c r="L2757">
        <f t="shared" si="3"/>
        <v>0</v>
      </c>
    </row>
    <row r="2758">
      <c r="A2758" s="107">
        <f>IFERROR(__xludf.DUMMYFUNCTION("""COMPUTED_VALUE"""),45962.0)</f>
        <v>45962</v>
      </c>
      <c r="B2758" t="str">
        <f>IFERROR(__xludf.DUMMYFUNCTION("""COMPUTED_VALUE"""),"[金龍帽子先生] B [謝歆俞] 月租金 後五碼:70609 (行號: 42)")</f>
        <v>[金龍帽子先生] B [謝歆俞] 月租金 後五碼:70609 (行號: 42)</v>
      </c>
      <c r="C2758" t="str">
        <f>IFERROR(__xludf.DUMMYFUNCTION("""COMPUTED_VALUE"""),"收入 - 租金")</f>
        <v>收入 - 租金</v>
      </c>
      <c r="D2758" s="270">
        <f>IFERROR(__xludf.DUMMYFUNCTION("""COMPUTED_VALUE"""),12700.0)</f>
        <v>12700</v>
      </c>
      <c r="F2758" t="str">
        <f>IFERROR(__xludf.DUMMYFUNCTION("""COMPUTED_VALUE"""),"台銀籌備帳戶")</f>
        <v>台銀籌備帳戶</v>
      </c>
      <c r="G2758" t="str">
        <f>IFERROR(__xludf.DUMMYFUNCTION("""COMPUTED_VALUE"""),"金龍帽子先生")</f>
        <v>金龍帽子先生</v>
      </c>
      <c r="H2758" s="106" t="str">
        <f t="shared" si="1"/>
        <v>2025-11</v>
      </c>
      <c r="I2758" s="271" t="str">
        <f>IFERROR(__xludf.DUMMYFUNCTION("""COMPUTED_VALUE"""),"貓狗企鵝")</f>
        <v>貓狗企鵝</v>
      </c>
      <c r="J2758" t="str">
        <f>IFERROR(__xludf.DUMMYFUNCTION("IFS(
  AND(REGEXMATCH(E2758, ""台銀籌備帳戶|玉山帳戶""), REGEXMATCH(C2758, ""薪資"")), ""分潤支出"",
  AND(REGEXMATCH(E2758, ""Ben帳戶|Elsa帳戶|Ben代墊|Ariel代墊|中信銀行共用""), REGEXMATCH(F2758, ""Ben帳戶|Elsa帳戶|Ben代墊|Ariel代墊|中信銀行共用"")), ""內部轉帳(忽略)"",
  AND(E2758&lt;&gt;"""", F2758&lt;&gt;"""", N"&amp;"OT(REGEXMATCH(C2758, ""薪資""))), ""內部轉帳(忽略)"",
  REGEXMATCH(C2758, ""薪資""), ""薪資變動(不計入)"",
  REGEXMATCH(C2758, ""押金""), ""押金往來"",
  AND(E2758&lt;&gt;"""", F2758=""""), ""真實支出"",
  AND(E2758="""", F2758&lt;&gt;""""), ""真實收入"",
  TRUE, ""其他""
)"),"真實收入")</f>
        <v>真實收入</v>
      </c>
      <c r="K2758" s="270">
        <f t="shared" si="2"/>
        <v>12700</v>
      </c>
      <c r="L2758">
        <f t="shared" si="3"/>
        <v>0</v>
      </c>
    </row>
    <row r="2759">
      <c r="A2759" s="107">
        <f>IFERROR(__xludf.DUMMYFUNCTION("""COMPUTED_VALUE"""),45962.0)</f>
        <v>45962</v>
      </c>
      <c r="B2759" t="str">
        <f>IFERROR(__xludf.DUMMYFUNCTION("""COMPUTED_VALUE"""),"費用 - 匯費 對方行:012 後五碼:84509 (行號: 43)")</f>
        <v>費用 - 匯費 對方行:012 後五碼:84509 (行號: 43)</v>
      </c>
      <c r="C2759" t="str">
        <f>IFERROR(__xludf.DUMMYFUNCTION("""COMPUTED_VALUE"""),"費用 - 匯費")</f>
        <v>費用 - 匯費</v>
      </c>
      <c r="D2759" s="270">
        <f>IFERROR(__xludf.DUMMYFUNCTION("""COMPUTED_VALUE"""),-15.0)</f>
        <v>-15</v>
      </c>
      <c r="E2759" t="str">
        <f>IFERROR(__xludf.DUMMYFUNCTION("""COMPUTED_VALUE"""),"台銀籌備帳戶")</f>
        <v>台銀籌備帳戶</v>
      </c>
      <c r="H2759" s="106" t="str">
        <f t="shared" si="1"/>
        <v>2025-11</v>
      </c>
      <c r="I2759" s="271" t="str">
        <f>IFERROR(__xludf.DUMMYFUNCTION("""COMPUTED_VALUE"""),"貓狗企鵝")</f>
        <v>貓狗企鵝</v>
      </c>
      <c r="J2759" t="str">
        <f>IFERROR(__xludf.DUMMYFUNCTION("IFS(
  AND(REGEXMATCH(E2759, ""台銀籌備帳戶|玉山帳戶""), REGEXMATCH(C2759, ""薪資"")), ""分潤支出"",
  AND(REGEXMATCH(E2759, ""Ben帳戶|Elsa帳戶|Ben代墊|Ariel代墊|中信銀行共用""), REGEXMATCH(F2759, ""Ben帳戶|Elsa帳戶|Ben代墊|Ariel代墊|中信銀行共用"")), ""內部轉帳(忽略)"",
  AND(E2759&lt;&gt;"""", F2759&lt;&gt;"""", N"&amp;"OT(REGEXMATCH(C2759, ""薪資""))), ""內部轉帳(忽略)"",
  REGEXMATCH(C2759, ""薪資""), ""薪資變動(不計入)"",
  REGEXMATCH(C2759, ""押金""), ""押金往來"",
  AND(E2759&lt;&gt;"""", F2759=""""), ""真實支出"",
  AND(E2759="""", F2759&lt;&gt;""""), ""真實收入"",
  TRUE, ""其他""
)"),"真實支出")</f>
        <v>真實支出</v>
      </c>
      <c r="K2759" s="270">
        <f t="shared" si="2"/>
        <v>-15</v>
      </c>
      <c r="L2759">
        <f t="shared" si="3"/>
        <v>0</v>
      </c>
    </row>
    <row r="2760">
      <c r="A2760" s="107">
        <f>IFERROR(__xludf.DUMMYFUNCTION("""COMPUTED_VALUE"""),45962.0)</f>
        <v>45962</v>
      </c>
      <c r="B2760" t="str">
        <f>IFERROR(__xludf.DUMMYFUNCTION("""COMPUTED_VALUE"""),"[永春四號] [郭宗仁] 大租金")</f>
        <v>[永春四號] [郭宗仁] 大租金</v>
      </c>
      <c r="C2760" t="str">
        <f>IFERROR(__xludf.DUMMYFUNCTION("""COMPUTED_VALUE"""),"成本 - 大租金")</f>
        <v>成本 - 大租金</v>
      </c>
      <c r="D2760" s="270">
        <f>IFERROR(__xludf.DUMMYFUNCTION("""COMPUTED_VALUE"""),-17000.0)</f>
        <v>-17000</v>
      </c>
      <c r="E2760" t="str">
        <f>IFERROR(__xludf.DUMMYFUNCTION("""COMPUTED_VALUE"""),"台銀籌備帳戶")</f>
        <v>台銀籌備帳戶</v>
      </c>
      <c r="G2760" t="str">
        <f>IFERROR(__xludf.DUMMYFUNCTION("""COMPUTED_VALUE"""),"永春四號")</f>
        <v>永春四號</v>
      </c>
      <c r="H2760" s="106" t="str">
        <f t="shared" si="1"/>
        <v>2025-11</v>
      </c>
      <c r="I2760" s="271" t="str">
        <f>IFERROR(__xludf.DUMMYFUNCTION("""COMPUTED_VALUE"""),"貓狗企鵝")</f>
        <v>貓狗企鵝</v>
      </c>
      <c r="J2760" t="str">
        <f>IFERROR(__xludf.DUMMYFUNCTION("IFS(
  AND(REGEXMATCH(E2760, ""台銀籌備帳戶|玉山帳戶""), REGEXMATCH(C2760, ""薪資"")), ""分潤支出"",
  AND(REGEXMATCH(E2760, ""Ben帳戶|Elsa帳戶|Ben代墊|Ariel代墊|中信銀行共用""), REGEXMATCH(F2760, ""Ben帳戶|Elsa帳戶|Ben代墊|Ariel代墊|中信銀行共用"")), ""內部轉帳(忽略)"",
  AND(E2760&lt;&gt;"""", F2760&lt;&gt;"""", N"&amp;"OT(REGEXMATCH(C2760, ""薪資""))), ""內部轉帳(忽略)"",
  REGEXMATCH(C2760, ""薪資""), ""薪資變動(不計入)"",
  REGEXMATCH(C2760, ""押金""), ""押金往來"",
  AND(E2760&lt;&gt;"""", F2760=""""), ""真實支出"",
  AND(E2760="""", F2760&lt;&gt;""""), ""真實收入"",
  TRUE, ""其他""
)"),"真實支出")</f>
        <v>真實支出</v>
      </c>
      <c r="K2760" s="270">
        <f t="shared" si="2"/>
        <v>-17000</v>
      </c>
      <c r="L2760">
        <f t="shared" si="3"/>
        <v>0</v>
      </c>
    </row>
    <row r="2761">
      <c r="A2761" s="107">
        <f>IFERROR(__xludf.DUMMYFUNCTION("""COMPUTED_VALUE"""),45962.0)</f>
        <v>45962</v>
      </c>
      <c r="B2761" t="str">
        <f>IFERROR(__xludf.DUMMYFUNCTION("""COMPUTED_VALUE"""),"費用 - 匯費 對方行:012 後五碼:46295 (行號: 44)")</f>
        <v>費用 - 匯費 對方行:012 後五碼:46295 (行號: 44)</v>
      </c>
      <c r="C2761" t="str">
        <f>IFERROR(__xludf.DUMMYFUNCTION("""COMPUTED_VALUE"""),"費用 - 匯費")</f>
        <v>費用 - 匯費</v>
      </c>
      <c r="D2761" s="270">
        <f>IFERROR(__xludf.DUMMYFUNCTION("""COMPUTED_VALUE"""),-15.0)</f>
        <v>-15</v>
      </c>
      <c r="E2761" t="str">
        <f>IFERROR(__xludf.DUMMYFUNCTION("""COMPUTED_VALUE"""),"台銀籌備帳戶")</f>
        <v>台銀籌備帳戶</v>
      </c>
      <c r="H2761" s="106" t="str">
        <f t="shared" si="1"/>
        <v>2025-11</v>
      </c>
      <c r="I2761" s="271" t="str">
        <f>IFERROR(__xludf.DUMMYFUNCTION("""COMPUTED_VALUE"""),"貓狗企鵝")</f>
        <v>貓狗企鵝</v>
      </c>
      <c r="J2761" t="str">
        <f>IFERROR(__xludf.DUMMYFUNCTION("IFS(
  AND(REGEXMATCH(E2761, ""台銀籌備帳戶|玉山帳戶""), REGEXMATCH(C2761, ""薪資"")), ""分潤支出"",
  AND(REGEXMATCH(E2761, ""Ben帳戶|Elsa帳戶|Ben代墊|Ariel代墊|中信銀行共用""), REGEXMATCH(F2761, ""Ben帳戶|Elsa帳戶|Ben代墊|Ariel代墊|中信銀行共用"")), ""內部轉帳(忽略)"",
  AND(E2761&lt;&gt;"""", F2761&lt;&gt;"""", N"&amp;"OT(REGEXMATCH(C2761, ""薪資""))), ""內部轉帳(忽略)"",
  REGEXMATCH(C2761, ""薪資""), ""薪資變動(不計入)"",
  REGEXMATCH(C2761, ""押金""), ""押金往來"",
  AND(E2761&lt;&gt;"""", F2761=""""), ""真實支出"",
  AND(E2761="""", F2761&lt;&gt;""""), ""真實收入"",
  TRUE, ""其他""
)"),"真實支出")</f>
        <v>真實支出</v>
      </c>
      <c r="K2761" s="270">
        <f t="shared" si="2"/>
        <v>-15</v>
      </c>
      <c r="L2761">
        <f t="shared" si="3"/>
        <v>0</v>
      </c>
    </row>
    <row r="2762">
      <c r="A2762" s="107">
        <f>IFERROR(__xludf.DUMMYFUNCTION("""COMPUTED_VALUE"""),45962.0)</f>
        <v>45962</v>
      </c>
      <c r="B2762" t="str">
        <f>IFERROR(__xludf.DUMMYFUNCTION("""COMPUTED_VALUE"""),"[永春四號] [郭宗仁] 大租金")</f>
        <v>[永春四號] [郭宗仁] 大租金</v>
      </c>
      <c r="C2762" t="str">
        <f>IFERROR(__xludf.DUMMYFUNCTION("""COMPUTED_VALUE"""),"成本 - 大租金")</f>
        <v>成本 - 大租金</v>
      </c>
      <c r="D2762" s="270">
        <f>IFERROR(__xludf.DUMMYFUNCTION("""COMPUTED_VALUE"""),-17000.0)</f>
        <v>-17000</v>
      </c>
      <c r="E2762" t="str">
        <f>IFERROR(__xludf.DUMMYFUNCTION("""COMPUTED_VALUE"""),"台銀籌備帳戶")</f>
        <v>台銀籌備帳戶</v>
      </c>
      <c r="G2762" t="str">
        <f>IFERROR(__xludf.DUMMYFUNCTION("""COMPUTED_VALUE"""),"永春四號")</f>
        <v>永春四號</v>
      </c>
      <c r="H2762" s="106" t="str">
        <f t="shared" si="1"/>
        <v>2025-11</v>
      </c>
      <c r="I2762" s="271" t="str">
        <f>IFERROR(__xludf.DUMMYFUNCTION("""COMPUTED_VALUE"""),"貓狗企鵝")</f>
        <v>貓狗企鵝</v>
      </c>
      <c r="J2762" t="str">
        <f>IFERROR(__xludf.DUMMYFUNCTION("IFS(
  AND(REGEXMATCH(E2762, ""台銀籌備帳戶|玉山帳戶""), REGEXMATCH(C2762, ""薪資"")), ""分潤支出"",
  AND(REGEXMATCH(E2762, ""Ben帳戶|Elsa帳戶|Ben代墊|Ariel代墊|中信銀行共用""), REGEXMATCH(F2762, ""Ben帳戶|Elsa帳戶|Ben代墊|Ariel代墊|中信銀行共用"")), ""內部轉帳(忽略)"",
  AND(E2762&lt;&gt;"""", F2762&lt;&gt;"""", N"&amp;"OT(REGEXMATCH(C2762, ""薪資""))), ""內部轉帳(忽略)"",
  REGEXMATCH(C2762, ""薪資""), ""薪資變動(不計入)"",
  REGEXMATCH(C2762, ""押金""), ""押金往來"",
  AND(E2762&lt;&gt;"""", F2762=""""), ""真實支出"",
  AND(E2762="""", F2762&lt;&gt;""""), ""真實收入"",
  TRUE, ""其他""
)"),"真實支出")</f>
        <v>真實支出</v>
      </c>
      <c r="K2762" s="270">
        <f t="shared" si="2"/>
        <v>-17000</v>
      </c>
      <c r="L2762">
        <f t="shared" si="3"/>
        <v>0</v>
      </c>
    </row>
    <row r="2763">
      <c r="A2763" s="107">
        <f>IFERROR(__xludf.DUMMYFUNCTION("""COMPUTED_VALUE"""),45962.0)</f>
        <v>45962</v>
      </c>
      <c r="B2763" t="str">
        <f>IFERROR(__xludf.DUMMYFUNCTION("""COMPUTED_VALUE"""),"費用 - 匯費 對方行:700 後五碼:19509 (行號: 45)")</f>
        <v>費用 - 匯費 對方行:700 後五碼:19509 (行號: 45)</v>
      </c>
      <c r="C2763" t="str">
        <f>IFERROR(__xludf.DUMMYFUNCTION("""COMPUTED_VALUE"""),"費用 - 匯費")</f>
        <v>費用 - 匯費</v>
      </c>
      <c r="D2763" s="270">
        <f>IFERROR(__xludf.DUMMYFUNCTION("""COMPUTED_VALUE"""),-15.0)</f>
        <v>-15</v>
      </c>
      <c r="E2763" t="str">
        <f>IFERROR(__xludf.DUMMYFUNCTION("""COMPUTED_VALUE"""),"台銀籌備帳戶")</f>
        <v>台銀籌備帳戶</v>
      </c>
      <c r="H2763" s="106" t="str">
        <f t="shared" si="1"/>
        <v>2025-11</v>
      </c>
      <c r="I2763" s="271" t="str">
        <f>IFERROR(__xludf.DUMMYFUNCTION("""COMPUTED_VALUE"""),"貓狗企鵝")</f>
        <v>貓狗企鵝</v>
      </c>
      <c r="J2763" t="str">
        <f>IFERROR(__xludf.DUMMYFUNCTION("IFS(
  AND(REGEXMATCH(E2763, ""台銀籌備帳戶|玉山帳戶""), REGEXMATCH(C2763, ""薪資"")), ""分潤支出"",
  AND(REGEXMATCH(E2763, ""Ben帳戶|Elsa帳戶|Ben代墊|Ariel代墊|中信銀行共用""), REGEXMATCH(F2763, ""Ben帳戶|Elsa帳戶|Ben代墊|Ariel代墊|中信銀行共用"")), ""內部轉帳(忽略)"",
  AND(E2763&lt;&gt;"""", F2763&lt;&gt;"""", N"&amp;"OT(REGEXMATCH(C2763, ""薪資""))), ""內部轉帳(忽略)"",
  REGEXMATCH(C2763, ""薪資""), ""薪資變動(不計入)"",
  REGEXMATCH(C2763, ""押金""), ""押金往來"",
  AND(E2763&lt;&gt;"""", F2763=""""), ""真實支出"",
  AND(E2763="""", F2763&lt;&gt;""""), ""真實收入"",
  TRUE, ""其他""
)"),"真實支出")</f>
        <v>真實支出</v>
      </c>
      <c r="K2763" s="270">
        <f t="shared" si="2"/>
        <v>-15</v>
      </c>
      <c r="L2763">
        <f t="shared" si="3"/>
        <v>0</v>
      </c>
    </row>
    <row r="2764">
      <c r="A2764" s="107">
        <f>IFERROR(__xludf.DUMMYFUNCTION("""COMPUTED_VALUE"""),45962.0)</f>
        <v>45962</v>
      </c>
      <c r="B2764" t="str">
        <f>IFERROR(__xludf.DUMMYFUNCTION("""COMPUTED_VALUE"""),"[龍江229] [游為傑] 大租金")</f>
        <v>[龍江229] [游為傑] 大租金</v>
      </c>
      <c r="C2764" t="str">
        <f>IFERROR(__xludf.DUMMYFUNCTION("""COMPUTED_VALUE"""),"成本 - 大租金")</f>
        <v>成本 - 大租金</v>
      </c>
      <c r="D2764" s="270">
        <f>IFERROR(__xludf.DUMMYFUNCTION("""COMPUTED_VALUE"""),-13500.0)</f>
        <v>-13500</v>
      </c>
      <c r="E2764" t="str">
        <f>IFERROR(__xludf.DUMMYFUNCTION("""COMPUTED_VALUE"""),"台銀籌備帳戶")</f>
        <v>台銀籌備帳戶</v>
      </c>
      <c r="G2764" t="str">
        <f>IFERROR(__xludf.DUMMYFUNCTION("""COMPUTED_VALUE"""),"龍江229")</f>
        <v>龍江229</v>
      </c>
      <c r="H2764" s="106" t="str">
        <f t="shared" si="1"/>
        <v>2025-11</v>
      </c>
      <c r="I2764" s="271" t="str">
        <f>IFERROR(__xludf.DUMMYFUNCTION("""COMPUTED_VALUE"""),"貓狗企鵝")</f>
        <v>貓狗企鵝</v>
      </c>
      <c r="J2764" t="str">
        <f>IFERROR(__xludf.DUMMYFUNCTION("IFS(
  AND(REGEXMATCH(E2764, ""台銀籌備帳戶|玉山帳戶""), REGEXMATCH(C2764, ""薪資"")), ""分潤支出"",
  AND(REGEXMATCH(E2764, ""Ben帳戶|Elsa帳戶|Ben代墊|Ariel代墊|中信銀行共用""), REGEXMATCH(F2764, ""Ben帳戶|Elsa帳戶|Ben代墊|Ariel代墊|中信銀行共用"")), ""內部轉帳(忽略)"",
  AND(E2764&lt;&gt;"""", F2764&lt;&gt;"""", N"&amp;"OT(REGEXMATCH(C2764, ""薪資""))), ""內部轉帳(忽略)"",
  REGEXMATCH(C2764, ""薪資""), ""薪資變動(不計入)"",
  REGEXMATCH(C2764, ""押金""), ""押金往來"",
  AND(E2764&lt;&gt;"""", F2764=""""), ""真實支出"",
  AND(E2764="""", F2764&lt;&gt;""""), ""真實收入"",
  TRUE, ""其他""
)"),"真實支出")</f>
        <v>真實支出</v>
      </c>
      <c r="K2764" s="270">
        <f t="shared" si="2"/>
        <v>-13500</v>
      </c>
      <c r="L2764">
        <f t="shared" si="3"/>
        <v>0</v>
      </c>
    </row>
    <row r="2765">
      <c r="A2765" s="107">
        <f>IFERROR(__xludf.DUMMYFUNCTION("""COMPUTED_VALUE"""),45962.0)</f>
        <v>45962</v>
      </c>
      <c r="B2765" t="str">
        <f>IFERROR(__xludf.DUMMYFUNCTION("""COMPUTED_VALUE"""),"費用 - 匯費 對方行:012 後五碼:74779 (行號: 46)")</f>
        <v>費用 - 匯費 對方行:012 後五碼:74779 (行號: 46)</v>
      </c>
      <c r="C2765" t="str">
        <f>IFERROR(__xludf.DUMMYFUNCTION("""COMPUTED_VALUE"""),"費用 - 匯費")</f>
        <v>費用 - 匯費</v>
      </c>
      <c r="D2765" s="270">
        <f>IFERROR(__xludf.DUMMYFUNCTION("""COMPUTED_VALUE"""),-15.0)</f>
        <v>-15</v>
      </c>
      <c r="E2765" t="str">
        <f>IFERROR(__xludf.DUMMYFUNCTION("""COMPUTED_VALUE"""),"台銀籌備帳戶")</f>
        <v>台銀籌備帳戶</v>
      </c>
      <c r="H2765" s="106" t="str">
        <f t="shared" si="1"/>
        <v>2025-11</v>
      </c>
      <c r="I2765" s="271" t="str">
        <f>IFERROR(__xludf.DUMMYFUNCTION("""COMPUTED_VALUE"""),"貓狗企鵝")</f>
        <v>貓狗企鵝</v>
      </c>
      <c r="J2765" t="str">
        <f>IFERROR(__xludf.DUMMYFUNCTION("IFS(
  AND(REGEXMATCH(E2765, ""台銀籌備帳戶|玉山帳戶""), REGEXMATCH(C2765, ""薪資"")), ""分潤支出"",
  AND(REGEXMATCH(E2765, ""Ben帳戶|Elsa帳戶|Ben代墊|Ariel代墊|中信銀行共用""), REGEXMATCH(F2765, ""Ben帳戶|Elsa帳戶|Ben代墊|Ariel代墊|中信銀行共用"")), ""內部轉帳(忽略)"",
  AND(E2765&lt;&gt;"""", F2765&lt;&gt;"""", N"&amp;"OT(REGEXMATCH(C2765, ""薪資""))), ""內部轉帳(忽略)"",
  REGEXMATCH(C2765, ""薪資""), ""薪資變動(不計入)"",
  REGEXMATCH(C2765, ""押金""), ""押金往來"",
  AND(E2765&lt;&gt;"""", F2765=""""), ""真實支出"",
  AND(E2765="""", F2765&lt;&gt;""""), ""真實收入"",
  TRUE, ""其他""
)"),"真實支出")</f>
        <v>真實支出</v>
      </c>
      <c r="K2765" s="270">
        <f t="shared" si="2"/>
        <v>-15</v>
      </c>
      <c r="L2765">
        <f t="shared" si="3"/>
        <v>0</v>
      </c>
    </row>
    <row r="2766">
      <c r="A2766" s="107">
        <f>IFERROR(__xludf.DUMMYFUNCTION("""COMPUTED_VALUE"""),45962.0)</f>
        <v>45962</v>
      </c>
      <c r="B2766" t="str">
        <f>IFERROR(__xludf.DUMMYFUNCTION("""COMPUTED_VALUE"""),"[市府爺爺家] [常永年] 大租金")</f>
        <v>[市府爺爺家] [常永年] 大租金</v>
      </c>
      <c r="C2766" t="str">
        <f>IFERROR(__xludf.DUMMYFUNCTION("""COMPUTED_VALUE"""),"成本 - 大租金")</f>
        <v>成本 - 大租金</v>
      </c>
      <c r="D2766" s="270">
        <f>IFERROR(__xludf.DUMMYFUNCTION("""COMPUTED_VALUE"""),-12000.0)</f>
        <v>-12000</v>
      </c>
      <c r="E2766" t="str">
        <f>IFERROR(__xludf.DUMMYFUNCTION("""COMPUTED_VALUE"""),"台銀籌備帳戶")</f>
        <v>台銀籌備帳戶</v>
      </c>
      <c r="G2766" t="str">
        <f>IFERROR(__xludf.DUMMYFUNCTION("""COMPUTED_VALUE"""),"市府爺爺家")</f>
        <v>市府爺爺家</v>
      </c>
      <c r="H2766" s="106" t="str">
        <f t="shared" si="1"/>
        <v>2025-11</v>
      </c>
      <c r="I2766" s="271" t="str">
        <f>IFERROR(__xludf.DUMMYFUNCTION("""COMPUTED_VALUE"""),"貓狗企鵝")</f>
        <v>貓狗企鵝</v>
      </c>
      <c r="J2766" t="str">
        <f>IFERROR(__xludf.DUMMYFUNCTION("IFS(
  AND(REGEXMATCH(E2766, ""台銀籌備帳戶|玉山帳戶""), REGEXMATCH(C2766, ""薪資"")), ""分潤支出"",
  AND(REGEXMATCH(E2766, ""Ben帳戶|Elsa帳戶|Ben代墊|Ariel代墊|中信銀行共用""), REGEXMATCH(F2766, ""Ben帳戶|Elsa帳戶|Ben代墊|Ariel代墊|中信銀行共用"")), ""內部轉帳(忽略)"",
  AND(E2766&lt;&gt;"""", F2766&lt;&gt;"""", N"&amp;"OT(REGEXMATCH(C2766, ""薪資""))), ""內部轉帳(忽略)"",
  REGEXMATCH(C2766, ""薪資""), ""薪資變動(不計入)"",
  REGEXMATCH(C2766, ""押金""), ""押金往來"",
  AND(E2766&lt;&gt;"""", F2766=""""), ""真實支出"",
  AND(E2766="""", F2766&lt;&gt;""""), ""真實收入"",
  TRUE, ""其他""
)"),"真實支出")</f>
        <v>真實支出</v>
      </c>
      <c r="K2766" s="270">
        <f t="shared" si="2"/>
        <v>-12000</v>
      </c>
      <c r="L2766">
        <f t="shared" si="3"/>
        <v>0</v>
      </c>
    </row>
    <row r="2767">
      <c r="A2767" s="107">
        <f>IFERROR(__xludf.DUMMYFUNCTION("""COMPUTED_VALUE"""),45962.0)</f>
        <v>45962</v>
      </c>
      <c r="B2767" t="str">
        <f>IFERROR(__xludf.DUMMYFUNCTION("""COMPUTED_VALUE"""),"費用 - 匯費 對方行:052 後五碼:22609 (行號: 47)")</f>
        <v>費用 - 匯費 對方行:052 後五碼:22609 (行號: 47)</v>
      </c>
      <c r="C2767" t="str">
        <f>IFERROR(__xludf.DUMMYFUNCTION("""COMPUTED_VALUE"""),"費用 - 匯費")</f>
        <v>費用 - 匯費</v>
      </c>
      <c r="D2767" s="270">
        <f>IFERROR(__xludf.DUMMYFUNCTION("""COMPUTED_VALUE"""),-15.0)</f>
        <v>-15</v>
      </c>
      <c r="E2767" t="str">
        <f>IFERROR(__xludf.DUMMYFUNCTION("""COMPUTED_VALUE"""),"台銀籌備帳戶")</f>
        <v>台銀籌備帳戶</v>
      </c>
      <c r="H2767" s="106" t="str">
        <f t="shared" si="1"/>
        <v>2025-11</v>
      </c>
      <c r="I2767" s="271" t="str">
        <f>IFERROR(__xludf.DUMMYFUNCTION("""COMPUTED_VALUE"""),"貓狗企鵝")</f>
        <v>貓狗企鵝</v>
      </c>
      <c r="J2767" t="str">
        <f>IFERROR(__xludf.DUMMYFUNCTION("IFS(
  AND(REGEXMATCH(E2767, ""台銀籌備帳戶|玉山帳戶""), REGEXMATCH(C2767, ""薪資"")), ""分潤支出"",
  AND(REGEXMATCH(E2767, ""Ben帳戶|Elsa帳戶|Ben代墊|Ariel代墊|中信銀行共用""), REGEXMATCH(F2767, ""Ben帳戶|Elsa帳戶|Ben代墊|Ariel代墊|中信銀行共用"")), ""內部轉帳(忽略)"",
  AND(E2767&lt;&gt;"""", F2767&lt;&gt;"""", N"&amp;"OT(REGEXMATCH(C2767, ""薪資""))), ""內部轉帳(忽略)"",
  REGEXMATCH(C2767, ""薪資""), ""薪資變動(不計入)"",
  REGEXMATCH(C2767, ""押金""), ""押金往來"",
  AND(E2767&lt;&gt;"""", F2767=""""), ""真實支出"",
  AND(E2767="""", F2767&lt;&gt;""""), ""真實收入"",
  TRUE, ""其他""
)"),"真實支出")</f>
        <v>真實支出</v>
      </c>
      <c r="K2767" s="270">
        <f t="shared" si="2"/>
        <v>-15</v>
      </c>
      <c r="L2767">
        <f t="shared" si="3"/>
        <v>0</v>
      </c>
    </row>
    <row r="2768">
      <c r="A2768" s="107">
        <f>IFERROR(__xludf.DUMMYFUNCTION("""COMPUTED_VALUE"""),45962.0)</f>
        <v>45962</v>
      </c>
      <c r="B2768" t="str">
        <f>IFERROR(__xludf.DUMMYFUNCTION("""COMPUTED_VALUE"""),"[中山北Feli家] [陳玉蘭] 大租金")</f>
        <v>[中山北Feli家] [陳玉蘭] 大租金</v>
      </c>
      <c r="C2768" t="str">
        <f>IFERROR(__xludf.DUMMYFUNCTION("""COMPUTED_VALUE"""),"成本 - 大租金")</f>
        <v>成本 - 大租金</v>
      </c>
      <c r="D2768" s="270">
        <f>IFERROR(__xludf.DUMMYFUNCTION("""COMPUTED_VALUE"""),-18000.0)</f>
        <v>-18000</v>
      </c>
      <c r="E2768" t="str">
        <f>IFERROR(__xludf.DUMMYFUNCTION("""COMPUTED_VALUE"""),"台銀籌備帳戶")</f>
        <v>台銀籌備帳戶</v>
      </c>
      <c r="G2768" t="str">
        <f>IFERROR(__xludf.DUMMYFUNCTION("""COMPUTED_VALUE"""),"中山北Feli家")</f>
        <v>中山北Feli家</v>
      </c>
      <c r="H2768" s="106" t="str">
        <f t="shared" si="1"/>
        <v>2025-11</v>
      </c>
      <c r="I2768" s="271" t="str">
        <f>IFERROR(__xludf.DUMMYFUNCTION("""COMPUTED_VALUE"""),"貓狗企鵝")</f>
        <v>貓狗企鵝</v>
      </c>
      <c r="J2768" t="str">
        <f>IFERROR(__xludf.DUMMYFUNCTION("IFS(
  AND(REGEXMATCH(E2768, ""台銀籌備帳戶|玉山帳戶""), REGEXMATCH(C2768, ""薪資"")), ""分潤支出"",
  AND(REGEXMATCH(E2768, ""Ben帳戶|Elsa帳戶|Ben代墊|Ariel代墊|中信銀行共用""), REGEXMATCH(F2768, ""Ben帳戶|Elsa帳戶|Ben代墊|Ariel代墊|中信銀行共用"")), ""內部轉帳(忽略)"",
  AND(E2768&lt;&gt;"""", F2768&lt;&gt;"""", N"&amp;"OT(REGEXMATCH(C2768, ""薪資""))), ""內部轉帳(忽略)"",
  REGEXMATCH(C2768, ""薪資""), ""薪資變動(不計入)"",
  REGEXMATCH(C2768, ""押金""), ""押金往來"",
  AND(E2768&lt;&gt;"""", F2768=""""), ""真實支出"",
  AND(E2768="""", F2768&lt;&gt;""""), ""真實收入"",
  TRUE, ""其他""
)"),"真實支出")</f>
        <v>真實支出</v>
      </c>
      <c r="K2768" s="270">
        <f t="shared" si="2"/>
        <v>-18000</v>
      </c>
      <c r="L2768">
        <f t="shared" si="3"/>
        <v>0</v>
      </c>
    </row>
    <row r="2769">
      <c r="A2769" s="107">
        <f>IFERROR(__xludf.DUMMYFUNCTION("""COMPUTED_VALUE"""),45962.0)</f>
        <v>45962</v>
      </c>
      <c r="B2769" t="str">
        <f>IFERROR(__xludf.DUMMYFUNCTION("""COMPUTED_VALUE"""),"費用 - 匯費 對方行:013 後五碼:20652 (行號: 48)")</f>
        <v>費用 - 匯費 對方行:013 後五碼:20652 (行號: 48)</v>
      </c>
      <c r="C2769" t="str">
        <f>IFERROR(__xludf.DUMMYFUNCTION("""COMPUTED_VALUE"""),"費用 - 匯費")</f>
        <v>費用 - 匯費</v>
      </c>
      <c r="D2769" s="270">
        <f>IFERROR(__xludf.DUMMYFUNCTION("""COMPUTED_VALUE"""),-15.0)</f>
        <v>-15</v>
      </c>
      <c r="E2769" t="str">
        <f>IFERROR(__xludf.DUMMYFUNCTION("""COMPUTED_VALUE"""),"台銀籌備帳戶")</f>
        <v>台銀籌備帳戶</v>
      </c>
      <c r="H2769" s="106" t="str">
        <f t="shared" si="1"/>
        <v>2025-11</v>
      </c>
      <c r="I2769" s="271" t="str">
        <f>IFERROR(__xludf.DUMMYFUNCTION("""COMPUTED_VALUE"""),"貓狗企鵝")</f>
        <v>貓狗企鵝</v>
      </c>
      <c r="J2769" t="str">
        <f>IFERROR(__xludf.DUMMYFUNCTION("IFS(
  AND(REGEXMATCH(E2769, ""台銀籌備帳戶|玉山帳戶""), REGEXMATCH(C2769, ""薪資"")), ""分潤支出"",
  AND(REGEXMATCH(E2769, ""Ben帳戶|Elsa帳戶|Ben代墊|Ariel代墊|中信銀行共用""), REGEXMATCH(F2769, ""Ben帳戶|Elsa帳戶|Ben代墊|Ariel代墊|中信銀行共用"")), ""內部轉帳(忽略)"",
  AND(E2769&lt;&gt;"""", F2769&lt;&gt;"""", N"&amp;"OT(REGEXMATCH(C2769, ""薪資""))), ""內部轉帳(忽略)"",
  REGEXMATCH(C2769, ""薪資""), ""薪資變動(不計入)"",
  REGEXMATCH(C2769, ""押金""), ""押金往來"",
  AND(E2769&lt;&gt;"""", F2769=""""), ""真實支出"",
  AND(E2769="""", F2769&lt;&gt;""""), ""真實收入"",
  TRUE, ""其他""
)"),"真實支出")</f>
        <v>真實支出</v>
      </c>
      <c r="K2769" s="270">
        <f t="shared" si="2"/>
        <v>-15</v>
      </c>
      <c r="L2769">
        <f t="shared" si="3"/>
        <v>0</v>
      </c>
    </row>
    <row r="2770">
      <c r="A2770" s="107">
        <f>IFERROR(__xludf.DUMMYFUNCTION("""COMPUTED_VALUE"""),45962.0)</f>
        <v>45962</v>
      </c>
      <c r="B2770" t="str">
        <f>IFERROR(__xludf.DUMMYFUNCTION("""COMPUTED_VALUE"""),"[景安2分鐘] [王逸荃] 大租金")</f>
        <v>[景安2分鐘] [王逸荃] 大租金</v>
      </c>
      <c r="C2770" t="str">
        <f>IFERROR(__xludf.DUMMYFUNCTION("""COMPUTED_VALUE"""),"成本 - 大租金")</f>
        <v>成本 - 大租金</v>
      </c>
      <c r="D2770" s="270">
        <f>IFERROR(__xludf.DUMMYFUNCTION("""COMPUTED_VALUE"""),-12500.0)</f>
        <v>-12500</v>
      </c>
      <c r="E2770" t="str">
        <f>IFERROR(__xludf.DUMMYFUNCTION("""COMPUTED_VALUE"""),"台銀籌備帳戶")</f>
        <v>台銀籌備帳戶</v>
      </c>
      <c r="G2770" t="str">
        <f>IFERROR(__xludf.DUMMYFUNCTION("""COMPUTED_VALUE"""),"景安2分鐘")</f>
        <v>景安2分鐘</v>
      </c>
      <c r="H2770" s="106" t="str">
        <f t="shared" si="1"/>
        <v>2025-11</v>
      </c>
      <c r="I2770" s="271" t="str">
        <f>IFERROR(__xludf.DUMMYFUNCTION("""COMPUTED_VALUE"""),"貓狗企鵝")</f>
        <v>貓狗企鵝</v>
      </c>
      <c r="J2770" t="str">
        <f>IFERROR(__xludf.DUMMYFUNCTION("IFS(
  AND(REGEXMATCH(E2770, ""台銀籌備帳戶|玉山帳戶""), REGEXMATCH(C2770, ""薪資"")), ""分潤支出"",
  AND(REGEXMATCH(E2770, ""Ben帳戶|Elsa帳戶|Ben代墊|Ariel代墊|中信銀行共用""), REGEXMATCH(F2770, ""Ben帳戶|Elsa帳戶|Ben代墊|Ariel代墊|中信銀行共用"")), ""內部轉帳(忽略)"",
  AND(E2770&lt;&gt;"""", F2770&lt;&gt;"""", N"&amp;"OT(REGEXMATCH(C2770, ""薪資""))), ""內部轉帳(忽略)"",
  REGEXMATCH(C2770, ""薪資""), ""薪資變動(不計入)"",
  REGEXMATCH(C2770, ""押金""), ""押金往來"",
  AND(E2770&lt;&gt;"""", F2770=""""), ""真實支出"",
  AND(E2770="""", F2770&lt;&gt;""""), ""真實收入"",
  TRUE, ""其他""
)"),"真實支出")</f>
        <v>真實支出</v>
      </c>
      <c r="K2770" s="270">
        <f t="shared" si="2"/>
        <v>-12500</v>
      </c>
      <c r="L2770">
        <f t="shared" si="3"/>
        <v>0</v>
      </c>
    </row>
    <row r="2771">
      <c r="A2771" s="107">
        <f>IFERROR(__xludf.DUMMYFUNCTION("""COMPUTED_VALUE"""),45962.0)</f>
        <v>45962</v>
      </c>
      <c r="B2771" t="str">
        <f>IFERROR(__xludf.DUMMYFUNCTION("""COMPUTED_VALUE"""),"費用 - 匯費 對方行:822 後五碼:06708 (行號: 49)")</f>
        <v>費用 - 匯費 對方行:822 後五碼:06708 (行號: 49)</v>
      </c>
      <c r="C2771" t="str">
        <f>IFERROR(__xludf.DUMMYFUNCTION("""COMPUTED_VALUE"""),"費用 - 匯費")</f>
        <v>費用 - 匯費</v>
      </c>
      <c r="D2771" s="270">
        <f>IFERROR(__xludf.DUMMYFUNCTION("""COMPUTED_VALUE"""),-15.0)</f>
        <v>-15</v>
      </c>
      <c r="E2771" t="str">
        <f>IFERROR(__xludf.DUMMYFUNCTION("""COMPUTED_VALUE"""),"台銀籌備帳戶")</f>
        <v>台銀籌備帳戶</v>
      </c>
      <c r="H2771" s="106" t="str">
        <f t="shared" si="1"/>
        <v>2025-11</v>
      </c>
      <c r="I2771" s="271" t="str">
        <f>IFERROR(__xludf.DUMMYFUNCTION("""COMPUTED_VALUE"""),"貓狗企鵝")</f>
        <v>貓狗企鵝</v>
      </c>
      <c r="J2771" t="str">
        <f>IFERROR(__xludf.DUMMYFUNCTION("IFS(
  AND(REGEXMATCH(E2771, ""台銀籌備帳戶|玉山帳戶""), REGEXMATCH(C2771, ""薪資"")), ""分潤支出"",
  AND(REGEXMATCH(E2771, ""Ben帳戶|Elsa帳戶|Ben代墊|Ariel代墊|中信銀行共用""), REGEXMATCH(F2771, ""Ben帳戶|Elsa帳戶|Ben代墊|Ariel代墊|中信銀行共用"")), ""內部轉帳(忽略)"",
  AND(E2771&lt;&gt;"""", F2771&lt;&gt;"""", N"&amp;"OT(REGEXMATCH(C2771, ""薪資""))), ""內部轉帳(忽略)"",
  REGEXMATCH(C2771, ""薪資""), ""薪資變動(不計入)"",
  REGEXMATCH(C2771, ""押金""), ""押金往來"",
  AND(E2771&lt;&gt;"""", F2771=""""), ""真實支出"",
  AND(E2771="""", F2771&lt;&gt;""""), ""真實收入"",
  TRUE, ""其他""
)"),"真實支出")</f>
        <v>真實支出</v>
      </c>
      <c r="K2771" s="270">
        <f t="shared" si="2"/>
        <v>-15</v>
      </c>
      <c r="L2771">
        <f t="shared" si="3"/>
        <v>0</v>
      </c>
    </row>
    <row r="2772">
      <c r="A2772" s="107">
        <f>IFERROR(__xludf.DUMMYFUNCTION("""COMPUTED_VALUE"""),45962.0)</f>
        <v>45962</v>
      </c>
      <c r="B2772" t="str">
        <f>IFERROR(__xludf.DUMMYFUNCTION("""COMPUTED_VALUE"""),"[金龍帽子先生] [郭娟伶] 大租金")</f>
        <v>[金龍帽子先生] [郭娟伶] 大租金</v>
      </c>
      <c r="C2772" t="str">
        <f>IFERROR(__xludf.DUMMYFUNCTION("""COMPUTED_VALUE"""),"成本 - 大租金")</f>
        <v>成本 - 大租金</v>
      </c>
      <c r="D2772" s="270">
        <f>IFERROR(__xludf.DUMMYFUNCTION("""COMPUTED_VALUE"""),-17750.0)</f>
        <v>-17750</v>
      </c>
      <c r="E2772" t="str">
        <f>IFERROR(__xludf.DUMMYFUNCTION("""COMPUTED_VALUE"""),"台銀籌備帳戶")</f>
        <v>台銀籌備帳戶</v>
      </c>
      <c r="G2772" t="str">
        <f>IFERROR(__xludf.DUMMYFUNCTION("""COMPUTED_VALUE"""),"金龍帽子先生")</f>
        <v>金龍帽子先生</v>
      </c>
      <c r="H2772" s="106" t="str">
        <f t="shared" si="1"/>
        <v>2025-11</v>
      </c>
      <c r="I2772" s="271" t="str">
        <f>IFERROR(__xludf.DUMMYFUNCTION("""COMPUTED_VALUE"""),"貓狗企鵝")</f>
        <v>貓狗企鵝</v>
      </c>
      <c r="J2772" t="str">
        <f>IFERROR(__xludf.DUMMYFUNCTION("IFS(
  AND(REGEXMATCH(E2772, ""台銀籌備帳戶|玉山帳戶""), REGEXMATCH(C2772, ""薪資"")), ""分潤支出"",
  AND(REGEXMATCH(E2772, ""Ben帳戶|Elsa帳戶|Ben代墊|Ariel代墊|中信銀行共用""), REGEXMATCH(F2772, ""Ben帳戶|Elsa帳戶|Ben代墊|Ariel代墊|中信銀行共用"")), ""內部轉帳(忽略)"",
  AND(E2772&lt;&gt;"""", F2772&lt;&gt;"""", N"&amp;"OT(REGEXMATCH(C2772, ""薪資""))), ""內部轉帳(忽略)"",
  REGEXMATCH(C2772, ""薪資""), ""薪資變動(不計入)"",
  REGEXMATCH(C2772, ""押金""), ""押金往來"",
  AND(E2772&lt;&gt;"""", F2772=""""), ""真實支出"",
  AND(E2772="""", F2772&lt;&gt;""""), ""真實收入"",
  TRUE, ""其他""
)"),"真實支出")</f>
        <v>真實支出</v>
      </c>
      <c r="K2772" s="270">
        <f t="shared" si="2"/>
        <v>-17750</v>
      </c>
      <c r="L2772">
        <f t="shared" si="3"/>
        <v>0</v>
      </c>
    </row>
    <row r="2773">
      <c r="A2773" s="107">
        <f>IFERROR(__xludf.DUMMYFUNCTION("""COMPUTED_VALUE"""),45962.0)</f>
        <v>45962</v>
      </c>
      <c r="B2773" t="str">
        <f>IFERROR(__xludf.DUMMYFUNCTION("""COMPUTED_VALUE"""),"費用 - 匯費 對方行:053 後五碼:05202 (行號: 50)")</f>
        <v>費用 - 匯費 對方行:053 後五碼:05202 (行號: 50)</v>
      </c>
      <c r="C2773" t="str">
        <f>IFERROR(__xludf.DUMMYFUNCTION("""COMPUTED_VALUE"""),"費用 - 匯費")</f>
        <v>費用 - 匯費</v>
      </c>
      <c r="D2773" s="270">
        <f>IFERROR(__xludf.DUMMYFUNCTION("""COMPUTED_VALUE"""),-15.0)</f>
        <v>-15</v>
      </c>
      <c r="E2773" t="str">
        <f>IFERROR(__xludf.DUMMYFUNCTION("""COMPUTED_VALUE"""),"台銀籌備帳戶")</f>
        <v>台銀籌備帳戶</v>
      </c>
      <c r="H2773" s="106" t="str">
        <f t="shared" si="1"/>
        <v>2025-11</v>
      </c>
      <c r="I2773" s="271" t="str">
        <f>IFERROR(__xludf.DUMMYFUNCTION("""COMPUTED_VALUE"""),"貓狗企鵝")</f>
        <v>貓狗企鵝</v>
      </c>
      <c r="J2773" t="str">
        <f>IFERROR(__xludf.DUMMYFUNCTION("IFS(
  AND(REGEXMATCH(E2773, ""台銀籌備帳戶|玉山帳戶""), REGEXMATCH(C2773, ""薪資"")), ""分潤支出"",
  AND(REGEXMATCH(E2773, ""Ben帳戶|Elsa帳戶|Ben代墊|Ariel代墊|中信銀行共用""), REGEXMATCH(F2773, ""Ben帳戶|Elsa帳戶|Ben代墊|Ariel代墊|中信銀行共用"")), ""內部轉帳(忽略)"",
  AND(E2773&lt;&gt;"""", F2773&lt;&gt;"""", N"&amp;"OT(REGEXMATCH(C2773, ""薪資""))), ""內部轉帳(忽略)"",
  REGEXMATCH(C2773, ""薪資""), ""薪資變動(不計入)"",
  REGEXMATCH(C2773, ""押金""), ""押金往來"",
  AND(E2773&lt;&gt;"""", F2773=""""), ""真實支出"",
  AND(E2773="""", F2773&lt;&gt;""""), ""真實收入"",
  TRUE, ""其他""
)"),"真實支出")</f>
        <v>真實支出</v>
      </c>
      <c r="K2773" s="270">
        <f t="shared" si="2"/>
        <v>-15</v>
      </c>
      <c r="L2773">
        <f t="shared" si="3"/>
        <v>0</v>
      </c>
    </row>
    <row r="2774">
      <c r="A2774" s="107">
        <f>IFERROR(__xludf.DUMMYFUNCTION("""COMPUTED_VALUE"""),45962.0)</f>
        <v>45962</v>
      </c>
      <c r="B2774" t="str">
        <f>IFERROR(__xludf.DUMMYFUNCTION("""COMPUTED_VALUE"""),"[大湖山莊] [陳彩霞] 大租金")</f>
        <v>[大湖山莊] [陳彩霞] 大租金</v>
      </c>
      <c r="C2774" t="str">
        <f>IFERROR(__xludf.DUMMYFUNCTION("""COMPUTED_VALUE"""),"成本 - 大租金")</f>
        <v>成本 - 大租金</v>
      </c>
      <c r="D2774" s="270">
        <f>IFERROR(__xludf.DUMMYFUNCTION("""COMPUTED_VALUE"""),-19400.0)</f>
        <v>-19400</v>
      </c>
      <c r="E2774" t="str">
        <f>IFERROR(__xludf.DUMMYFUNCTION("""COMPUTED_VALUE"""),"台銀籌備帳戶")</f>
        <v>台銀籌備帳戶</v>
      </c>
      <c r="G2774" t="str">
        <f>IFERROR(__xludf.DUMMYFUNCTION("""COMPUTED_VALUE"""),"大湖山莊")</f>
        <v>大湖山莊</v>
      </c>
      <c r="H2774" s="106" t="str">
        <f t="shared" si="1"/>
        <v>2025-11</v>
      </c>
      <c r="I2774" s="271" t="str">
        <f>IFERROR(__xludf.DUMMYFUNCTION("""COMPUTED_VALUE"""),"貓狗企鵝")</f>
        <v>貓狗企鵝</v>
      </c>
      <c r="J2774" t="str">
        <f>IFERROR(__xludf.DUMMYFUNCTION("IFS(
  AND(REGEXMATCH(E2774, ""台銀籌備帳戶|玉山帳戶""), REGEXMATCH(C2774, ""薪資"")), ""分潤支出"",
  AND(REGEXMATCH(E2774, ""Ben帳戶|Elsa帳戶|Ben代墊|Ariel代墊|中信銀行共用""), REGEXMATCH(F2774, ""Ben帳戶|Elsa帳戶|Ben代墊|Ariel代墊|中信銀行共用"")), ""內部轉帳(忽略)"",
  AND(E2774&lt;&gt;"""", F2774&lt;&gt;"""", N"&amp;"OT(REGEXMATCH(C2774, ""薪資""))), ""內部轉帳(忽略)"",
  REGEXMATCH(C2774, ""薪資""), ""薪資變動(不計入)"",
  REGEXMATCH(C2774, ""押金""), ""押金往來"",
  AND(E2774&lt;&gt;"""", F2774=""""), ""真實支出"",
  AND(E2774="""", F2774&lt;&gt;""""), ""真實收入"",
  TRUE, ""其他""
)"),"真實支出")</f>
        <v>真實支出</v>
      </c>
      <c r="K2774" s="270">
        <f t="shared" si="2"/>
        <v>-19400</v>
      </c>
      <c r="L2774">
        <f t="shared" si="3"/>
        <v>0</v>
      </c>
    </row>
    <row r="2775">
      <c r="A2775" s="107">
        <f>IFERROR(__xludf.DUMMYFUNCTION("""COMPUTED_VALUE"""),45962.0)</f>
        <v>45962</v>
      </c>
      <c r="B2775" t="str">
        <f>IFERROR(__xludf.DUMMYFUNCTION("""COMPUTED_VALUE"""),"費用 - 匯費 對方行:807 後五碼:06659 (行號: 51)")</f>
        <v>費用 - 匯費 對方行:807 後五碼:06659 (行號: 51)</v>
      </c>
      <c r="C2775" t="str">
        <f>IFERROR(__xludf.DUMMYFUNCTION("""COMPUTED_VALUE"""),"費用 - 匯費")</f>
        <v>費用 - 匯費</v>
      </c>
      <c r="D2775" s="270">
        <f>IFERROR(__xludf.DUMMYFUNCTION("""COMPUTED_VALUE"""),-15.0)</f>
        <v>-15</v>
      </c>
      <c r="E2775" t="str">
        <f>IFERROR(__xludf.DUMMYFUNCTION("""COMPUTED_VALUE"""),"台銀籌備帳戶")</f>
        <v>台銀籌備帳戶</v>
      </c>
      <c r="H2775" s="106" t="str">
        <f t="shared" si="1"/>
        <v>2025-11</v>
      </c>
      <c r="I2775" s="271" t="str">
        <f>IFERROR(__xludf.DUMMYFUNCTION("""COMPUTED_VALUE"""),"貓狗企鵝")</f>
        <v>貓狗企鵝</v>
      </c>
      <c r="J2775" t="str">
        <f>IFERROR(__xludf.DUMMYFUNCTION("IFS(
  AND(REGEXMATCH(E2775, ""台銀籌備帳戶|玉山帳戶""), REGEXMATCH(C2775, ""薪資"")), ""分潤支出"",
  AND(REGEXMATCH(E2775, ""Ben帳戶|Elsa帳戶|Ben代墊|Ariel代墊|中信銀行共用""), REGEXMATCH(F2775, ""Ben帳戶|Elsa帳戶|Ben代墊|Ariel代墊|中信銀行共用"")), ""內部轉帳(忽略)"",
  AND(E2775&lt;&gt;"""", F2775&lt;&gt;"""", N"&amp;"OT(REGEXMATCH(C2775, ""薪資""))), ""內部轉帳(忽略)"",
  REGEXMATCH(C2775, ""薪資""), ""薪資變動(不計入)"",
  REGEXMATCH(C2775, ""押金""), ""押金往來"",
  AND(E2775&lt;&gt;"""", F2775=""""), ""真實支出"",
  AND(E2775="""", F2775&lt;&gt;""""), ""真實收入"",
  TRUE, ""其他""
)"),"真實支出")</f>
        <v>真實支出</v>
      </c>
      <c r="K2775" s="270">
        <f t="shared" si="2"/>
        <v>-15</v>
      </c>
      <c r="L2775">
        <f t="shared" si="3"/>
        <v>0</v>
      </c>
    </row>
    <row r="2776">
      <c r="A2776" s="107">
        <f>IFERROR(__xludf.DUMMYFUNCTION("""COMPUTED_VALUE"""),45962.0)</f>
        <v>45962</v>
      </c>
      <c r="B2776" t="str">
        <f>IFERROR(__xludf.DUMMYFUNCTION("""COMPUTED_VALUE"""),"[哈拉對面] [陳哲聰] 大租金")</f>
        <v>[哈拉對面] [陳哲聰] 大租金</v>
      </c>
      <c r="C2776" t="str">
        <f>IFERROR(__xludf.DUMMYFUNCTION("""COMPUTED_VALUE"""),"成本 - 大租金")</f>
        <v>成本 - 大租金</v>
      </c>
      <c r="D2776" s="270">
        <f>IFERROR(__xludf.DUMMYFUNCTION("""COMPUTED_VALUE"""),-13000.0)</f>
        <v>-13000</v>
      </c>
      <c r="E2776" t="str">
        <f>IFERROR(__xludf.DUMMYFUNCTION("""COMPUTED_VALUE"""),"台銀籌備帳戶")</f>
        <v>台銀籌備帳戶</v>
      </c>
      <c r="G2776" t="str">
        <f>IFERROR(__xludf.DUMMYFUNCTION("""COMPUTED_VALUE"""),"哈拉對面")</f>
        <v>哈拉對面</v>
      </c>
      <c r="H2776" s="106" t="str">
        <f t="shared" si="1"/>
        <v>2025-11</v>
      </c>
      <c r="I2776" s="271" t="str">
        <f>IFERROR(__xludf.DUMMYFUNCTION("""COMPUTED_VALUE"""),"貓狗企鵝")</f>
        <v>貓狗企鵝</v>
      </c>
      <c r="J2776" t="str">
        <f>IFERROR(__xludf.DUMMYFUNCTION("IFS(
  AND(REGEXMATCH(E2776, ""台銀籌備帳戶|玉山帳戶""), REGEXMATCH(C2776, ""薪資"")), ""分潤支出"",
  AND(REGEXMATCH(E2776, ""Ben帳戶|Elsa帳戶|Ben代墊|Ariel代墊|中信銀行共用""), REGEXMATCH(F2776, ""Ben帳戶|Elsa帳戶|Ben代墊|Ariel代墊|中信銀行共用"")), ""內部轉帳(忽略)"",
  AND(E2776&lt;&gt;"""", F2776&lt;&gt;"""", N"&amp;"OT(REGEXMATCH(C2776, ""薪資""))), ""內部轉帳(忽略)"",
  REGEXMATCH(C2776, ""薪資""), ""薪資變動(不計入)"",
  REGEXMATCH(C2776, ""押金""), ""押金往來"",
  AND(E2776&lt;&gt;"""", F2776=""""), ""真實支出"",
  AND(E2776="""", F2776&lt;&gt;""""), ""真實收入"",
  TRUE, ""其他""
)"),"真實支出")</f>
        <v>真實支出</v>
      </c>
      <c r="K2776" s="270">
        <f t="shared" si="2"/>
        <v>-13000</v>
      </c>
      <c r="L2776">
        <f t="shared" si="3"/>
        <v>0</v>
      </c>
    </row>
    <row r="2777">
      <c r="A2777" s="107">
        <f>IFERROR(__xludf.DUMMYFUNCTION("""COMPUTED_VALUE"""),45962.0)</f>
        <v>45962</v>
      </c>
      <c r="B2777" t="str">
        <f>IFERROR(__xludf.DUMMYFUNCTION("""COMPUTED_VALUE"""),"費用 - 匯費 對方行:700 後五碼:92128 (行號: 52)")</f>
        <v>費用 - 匯費 對方行:700 後五碼:92128 (行號: 52)</v>
      </c>
      <c r="C2777" t="str">
        <f>IFERROR(__xludf.DUMMYFUNCTION("""COMPUTED_VALUE"""),"費用 - 匯費")</f>
        <v>費用 - 匯費</v>
      </c>
      <c r="D2777" s="270">
        <f>IFERROR(__xludf.DUMMYFUNCTION("""COMPUTED_VALUE"""),-15.0)</f>
        <v>-15</v>
      </c>
      <c r="E2777" t="str">
        <f>IFERROR(__xludf.DUMMYFUNCTION("""COMPUTED_VALUE"""),"台銀籌備帳戶")</f>
        <v>台銀籌備帳戶</v>
      </c>
      <c r="H2777" s="106" t="str">
        <f t="shared" si="1"/>
        <v>2025-11</v>
      </c>
      <c r="I2777" s="271" t="str">
        <f>IFERROR(__xludf.DUMMYFUNCTION("""COMPUTED_VALUE"""),"貓狗企鵝")</f>
        <v>貓狗企鵝</v>
      </c>
      <c r="J2777" t="str">
        <f>IFERROR(__xludf.DUMMYFUNCTION("IFS(
  AND(REGEXMATCH(E2777, ""台銀籌備帳戶|玉山帳戶""), REGEXMATCH(C2777, ""薪資"")), ""分潤支出"",
  AND(REGEXMATCH(E2777, ""Ben帳戶|Elsa帳戶|Ben代墊|Ariel代墊|中信銀行共用""), REGEXMATCH(F2777, ""Ben帳戶|Elsa帳戶|Ben代墊|Ariel代墊|中信銀行共用"")), ""內部轉帳(忽略)"",
  AND(E2777&lt;&gt;"""", F2777&lt;&gt;"""", N"&amp;"OT(REGEXMATCH(C2777, ""薪資""))), ""內部轉帳(忽略)"",
  REGEXMATCH(C2777, ""薪資""), ""薪資變動(不計入)"",
  REGEXMATCH(C2777, ""押金""), ""押金往來"",
  AND(E2777&lt;&gt;"""", F2777=""""), ""真實支出"",
  AND(E2777="""", F2777&lt;&gt;""""), ""真實收入"",
  TRUE, ""其他""
)"),"真實支出")</f>
        <v>真實支出</v>
      </c>
      <c r="K2777" s="270">
        <f t="shared" si="2"/>
        <v>-15</v>
      </c>
      <c r="L2777">
        <f t="shared" si="3"/>
        <v>0</v>
      </c>
    </row>
    <row r="2778">
      <c r="A2778" s="107">
        <f>IFERROR(__xludf.DUMMYFUNCTION("""COMPUTED_VALUE"""),45962.0)</f>
        <v>45962</v>
      </c>
      <c r="B2778" t="str">
        <f>IFERROR(__xludf.DUMMYFUNCTION("""COMPUTED_VALUE"""),"[北醫醫師府] [陳俊良] 大租金")</f>
        <v>[北醫醫師府] [陳俊良] 大租金</v>
      </c>
      <c r="C2778" t="str">
        <f>IFERROR(__xludf.DUMMYFUNCTION("""COMPUTED_VALUE"""),"成本 - 大租金")</f>
        <v>成本 - 大租金</v>
      </c>
      <c r="D2778" s="270">
        <f>IFERROR(__xludf.DUMMYFUNCTION("""COMPUTED_VALUE"""),-12800.0)</f>
        <v>-12800</v>
      </c>
      <c r="E2778" t="str">
        <f>IFERROR(__xludf.DUMMYFUNCTION("""COMPUTED_VALUE"""),"台銀籌備帳戶")</f>
        <v>台銀籌備帳戶</v>
      </c>
      <c r="G2778" t="str">
        <f>IFERROR(__xludf.DUMMYFUNCTION("""COMPUTED_VALUE"""),"北醫醫師府")</f>
        <v>北醫醫師府</v>
      </c>
      <c r="H2778" s="106" t="str">
        <f t="shared" si="1"/>
        <v>2025-11</v>
      </c>
      <c r="I2778" s="271" t="str">
        <f>IFERROR(__xludf.DUMMYFUNCTION("""COMPUTED_VALUE"""),"貓狗企鵝")</f>
        <v>貓狗企鵝</v>
      </c>
      <c r="J2778" t="str">
        <f>IFERROR(__xludf.DUMMYFUNCTION("IFS(
  AND(REGEXMATCH(E2778, ""台銀籌備帳戶|玉山帳戶""), REGEXMATCH(C2778, ""薪資"")), ""分潤支出"",
  AND(REGEXMATCH(E2778, ""Ben帳戶|Elsa帳戶|Ben代墊|Ariel代墊|中信銀行共用""), REGEXMATCH(F2778, ""Ben帳戶|Elsa帳戶|Ben代墊|Ariel代墊|中信銀行共用"")), ""內部轉帳(忽略)"",
  AND(E2778&lt;&gt;"""", F2778&lt;&gt;"""", N"&amp;"OT(REGEXMATCH(C2778, ""薪資""))), ""內部轉帳(忽略)"",
  REGEXMATCH(C2778, ""薪資""), ""薪資變動(不計入)"",
  REGEXMATCH(C2778, ""押金""), ""押金往來"",
  AND(E2778&lt;&gt;"""", F2778=""""), ""真實支出"",
  AND(E2778="""", F2778&lt;&gt;""""), ""真實收入"",
  TRUE, ""其他""
)"),"真實支出")</f>
        <v>真實支出</v>
      </c>
      <c r="K2778" s="270">
        <f t="shared" si="2"/>
        <v>-12800</v>
      </c>
      <c r="L2778">
        <f t="shared" si="3"/>
        <v>0</v>
      </c>
    </row>
    <row r="2779">
      <c r="A2779" s="107">
        <f>IFERROR(__xludf.DUMMYFUNCTION("""COMPUTED_VALUE"""),45962.0)</f>
        <v>45962</v>
      </c>
      <c r="B2779" t="str">
        <f>IFERROR(__xludf.DUMMYFUNCTION("""COMPUTED_VALUE"""),"費用 - 匯費 對方行:013 後五碼:43662 (行號: 53)")</f>
        <v>費用 - 匯費 對方行:013 後五碼:43662 (行號: 53)</v>
      </c>
      <c r="C2779" t="str">
        <f>IFERROR(__xludf.DUMMYFUNCTION("""COMPUTED_VALUE"""),"費用 - 匯費")</f>
        <v>費用 - 匯費</v>
      </c>
      <c r="D2779" s="270">
        <f>IFERROR(__xludf.DUMMYFUNCTION("""COMPUTED_VALUE"""),-15.0)</f>
        <v>-15</v>
      </c>
      <c r="E2779" t="str">
        <f>IFERROR(__xludf.DUMMYFUNCTION("""COMPUTED_VALUE"""),"台銀籌備帳戶")</f>
        <v>台銀籌備帳戶</v>
      </c>
      <c r="H2779" s="106" t="str">
        <f t="shared" si="1"/>
        <v>2025-11</v>
      </c>
      <c r="I2779" s="271" t="str">
        <f>IFERROR(__xludf.DUMMYFUNCTION("""COMPUTED_VALUE"""),"貓狗企鵝")</f>
        <v>貓狗企鵝</v>
      </c>
      <c r="J2779" t="str">
        <f>IFERROR(__xludf.DUMMYFUNCTION("IFS(
  AND(REGEXMATCH(E2779, ""台銀籌備帳戶|玉山帳戶""), REGEXMATCH(C2779, ""薪資"")), ""分潤支出"",
  AND(REGEXMATCH(E2779, ""Ben帳戶|Elsa帳戶|Ben代墊|Ariel代墊|中信銀行共用""), REGEXMATCH(F2779, ""Ben帳戶|Elsa帳戶|Ben代墊|Ariel代墊|中信銀行共用"")), ""內部轉帳(忽略)"",
  AND(E2779&lt;&gt;"""", F2779&lt;&gt;"""", N"&amp;"OT(REGEXMATCH(C2779, ""薪資""))), ""內部轉帳(忽略)"",
  REGEXMATCH(C2779, ""薪資""), ""薪資變動(不計入)"",
  REGEXMATCH(C2779, ""押金""), ""押金往來"",
  AND(E2779&lt;&gt;"""", F2779=""""), ""真實支出"",
  AND(E2779="""", F2779&lt;&gt;""""), ""真實收入"",
  TRUE, ""其他""
)"),"真實支出")</f>
        <v>真實支出</v>
      </c>
      <c r="K2779" s="270">
        <f t="shared" si="2"/>
        <v>-15</v>
      </c>
      <c r="L2779">
        <f t="shared" si="3"/>
        <v>0</v>
      </c>
    </row>
    <row r="2780">
      <c r="A2780" s="107">
        <f>IFERROR(__xludf.DUMMYFUNCTION("""COMPUTED_VALUE"""),45962.0)</f>
        <v>45962</v>
      </c>
      <c r="B2780" t="str">
        <f>IFERROR(__xludf.DUMMYFUNCTION("""COMPUTED_VALUE"""),"[中山北娘家旁] [方彥捷] 大租金")</f>
        <v>[中山北娘家旁] [方彥捷] 大租金</v>
      </c>
      <c r="C2780" t="str">
        <f>IFERROR(__xludf.DUMMYFUNCTION("""COMPUTED_VALUE"""),"成本 - 大租金")</f>
        <v>成本 - 大租金</v>
      </c>
      <c r="D2780" s="270">
        <f>IFERROR(__xludf.DUMMYFUNCTION("""COMPUTED_VALUE"""),-11500.0)</f>
        <v>-11500</v>
      </c>
      <c r="E2780" t="str">
        <f>IFERROR(__xludf.DUMMYFUNCTION("""COMPUTED_VALUE"""),"台銀籌備帳戶")</f>
        <v>台銀籌備帳戶</v>
      </c>
      <c r="G2780" t="str">
        <f>IFERROR(__xludf.DUMMYFUNCTION("""COMPUTED_VALUE"""),"中山北娘家旁")</f>
        <v>中山北娘家旁</v>
      </c>
      <c r="H2780" s="106" t="str">
        <f t="shared" si="1"/>
        <v>2025-11</v>
      </c>
      <c r="I2780" s="271" t="str">
        <f>IFERROR(__xludf.DUMMYFUNCTION("""COMPUTED_VALUE"""),"貓狗企鵝")</f>
        <v>貓狗企鵝</v>
      </c>
      <c r="J2780" t="str">
        <f>IFERROR(__xludf.DUMMYFUNCTION("IFS(
  AND(REGEXMATCH(E2780, ""台銀籌備帳戶|玉山帳戶""), REGEXMATCH(C2780, ""薪資"")), ""分潤支出"",
  AND(REGEXMATCH(E2780, ""Ben帳戶|Elsa帳戶|Ben代墊|Ariel代墊|中信銀行共用""), REGEXMATCH(F2780, ""Ben帳戶|Elsa帳戶|Ben代墊|Ariel代墊|中信銀行共用"")), ""內部轉帳(忽略)"",
  AND(E2780&lt;&gt;"""", F2780&lt;&gt;"""", N"&amp;"OT(REGEXMATCH(C2780, ""薪資""))), ""內部轉帳(忽略)"",
  REGEXMATCH(C2780, ""薪資""), ""薪資變動(不計入)"",
  REGEXMATCH(C2780, ""押金""), ""押金往來"",
  AND(E2780&lt;&gt;"""", F2780=""""), ""真實支出"",
  AND(E2780="""", F2780&lt;&gt;""""), ""真實收入"",
  TRUE, ""其他""
)"),"真實支出")</f>
        <v>真實支出</v>
      </c>
      <c r="K2780" s="270">
        <f t="shared" si="2"/>
        <v>-11500</v>
      </c>
      <c r="L2780">
        <f t="shared" si="3"/>
        <v>0</v>
      </c>
    </row>
    <row r="2781">
      <c r="A2781" s="107">
        <f>IFERROR(__xludf.DUMMYFUNCTION("""COMPUTED_VALUE"""),45962.0)</f>
        <v>45962</v>
      </c>
      <c r="B2781" t="str">
        <f>IFERROR(__xludf.DUMMYFUNCTION("""COMPUTED_VALUE"""),"費用 - 匯費 對方行:011 後五碼:17078 (行號: 54)")</f>
        <v>費用 - 匯費 對方行:011 後五碼:17078 (行號: 54)</v>
      </c>
      <c r="C2781" t="str">
        <f>IFERROR(__xludf.DUMMYFUNCTION("""COMPUTED_VALUE"""),"費用 - 匯費")</f>
        <v>費用 - 匯費</v>
      </c>
      <c r="D2781" s="270">
        <f>IFERROR(__xludf.DUMMYFUNCTION("""COMPUTED_VALUE"""),-15.0)</f>
        <v>-15</v>
      </c>
      <c r="E2781" t="str">
        <f>IFERROR(__xludf.DUMMYFUNCTION("""COMPUTED_VALUE"""),"台銀籌備帳戶")</f>
        <v>台銀籌備帳戶</v>
      </c>
      <c r="H2781" s="106" t="str">
        <f t="shared" si="1"/>
        <v>2025-11</v>
      </c>
      <c r="I2781" s="271" t="str">
        <f>IFERROR(__xludf.DUMMYFUNCTION("""COMPUTED_VALUE"""),"貓狗企鵝")</f>
        <v>貓狗企鵝</v>
      </c>
      <c r="J2781" t="str">
        <f>IFERROR(__xludf.DUMMYFUNCTION("IFS(
  AND(REGEXMATCH(E2781, ""台銀籌備帳戶|玉山帳戶""), REGEXMATCH(C2781, ""薪資"")), ""分潤支出"",
  AND(REGEXMATCH(E2781, ""Ben帳戶|Elsa帳戶|Ben代墊|Ariel代墊|中信銀行共用""), REGEXMATCH(F2781, ""Ben帳戶|Elsa帳戶|Ben代墊|Ariel代墊|中信銀行共用"")), ""內部轉帳(忽略)"",
  AND(E2781&lt;&gt;"""", F2781&lt;&gt;"""", N"&amp;"OT(REGEXMATCH(C2781, ""薪資""))), ""內部轉帳(忽略)"",
  REGEXMATCH(C2781, ""薪資""), ""薪資變動(不計入)"",
  REGEXMATCH(C2781, ""押金""), ""押金往來"",
  AND(E2781&lt;&gt;"""", F2781=""""), ""真實支出"",
  AND(E2781="""", F2781&lt;&gt;""""), ""真實收入"",
  TRUE, ""其他""
)"),"真實支出")</f>
        <v>真實支出</v>
      </c>
      <c r="K2781" s="270">
        <f t="shared" si="2"/>
        <v>-15</v>
      </c>
      <c r="L2781">
        <f t="shared" si="3"/>
        <v>0</v>
      </c>
    </row>
    <row r="2782">
      <c r="A2782" s="107">
        <f>IFERROR(__xludf.DUMMYFUNCTION("""COMPUTED_VALUE"""),45962.0)</f>
        <v>45962</v>
      </c>
      <c r="B2782" t="str">
        <f>IFERROR(__xludf.DUMMYFUNCTION("""COMPUTED_VALUE"""),"[書香民生] [吳高寶玉] 大租金")</f>
        <v>[書香民生] [吳高寶玉] 大租金</v>
      </c>
      <c r="C2782" t="str">
        <f>IFERROR(__xludf.DUMMYFUNCTION("""COMPUTED_VALUE"""),"成本 - 大租金")</f>
        <v>成本 - 大租金</v>
      </c>
      <c r="D2782" s="270">
        <f>IFERROR(__xludf.DUMMYFUNCTION("""COMPUTED_VALUE"""),-16667.0)</f>
        <v>-16667</v>
      </c>
      <c r="E2782" t="str">
        <f>IFERROR(__xludf.DUMMYFUNCTION("""COMPUTED_VALUE"""),"台銀籌備帳戶")</f>
        <v>台銀籌備帳戶</v>
      </c>
      <c r="G2782" t="str">
        <f>IFERROR(__xludf.DUMMYFUNCTION("""COMPUTED_VALUE"""),"書香民生")</f>
        <v>書香民生</v>
      </c>
      <c r="H2782" s="106" t="str">
        <f t="shared" si="1"/>
        <v>2025-11</v>
      </c>
      <c r="I2782" s="271" t="str">
        <f>IFERROR(__xludf.DUMMYFUNCTION("""COMPUTED_VALUE"""),"貓狗企鵝")</f>
        <v>貓狗企鵝</v>
      </c>
      <c r="J2782" t="str">
        <f>IFERROR(__xludf.DUMMYFUNCTION("IFS(
  AND(REGEXMATCH(E2782, ""台銀籌備帳戶|玉山帳戶""), REGEXMATCH(C2782, ""薪資"")), ""分潤支出"",
  AND(REGEXMATCH(E2782, ""Ben帳戶|Elsa帳戶|Ben代墊|Ariel代墊|中信銀行共用""), REGEXMATCH(F2782, ""Ben帳戶|Elsa帳戶|Ben代墊|Ariel代墊|中信銀行共用"")), ""內部轉帳(忽略)"",
  AND(E2782&lt;&gt;"""", F2782&lt;&gt;"""", N"&amp;"OT(REGEXMATCH(C2782, ""薪資""))), ""內部轉帳(忽略)"",
  REGEXMATCH(C2782, ""薪資""), ""薪資變動(不計入)"",
  REGEXMATCH(C2782, ""押金""), ""押金往來"",
  AND(E2782&lt;&gt;"""", F2782=""""), ""真實支出"",
  AND(E2782="""", F2782&lt;&gt;""""), ""真實收入"",
  TRUE, ""其他""
)"),"真實支出")</f>
        <v>真實支出</v>
      </c>
      <c r="K2782" s="270">
        <f t="shared" si="2"/>
        <v>-16667</v>
      </c>
      <c r="L2782">
        <f t="shared" si="3"/>
        <v>0</v>
      </c>
    </row>
    <row r="2783">
      <c r="A2783" s="107">
        <f>IFERROR(__xludf.DUMMYFUNCTION("""COMPUTED_VALUE"""),45962.0)</f>
        <v>45962</v>
      </c>
      <c r="B2783" t="str">
        <f>IFERROR(__xludf.DUMMYFUNCTION("""COMPUTED_VALUE"""),"[龍江229] A [吳昱旻] 月租金 後五碼:88760 (行號: 55)")</f>
        <v>[龍江229] A [吳昱旻] 月租金 後五碼:88760 (行號: 55)</v>
      </c>
      <c r="C2783" t="str">
        <f>IFERROR(__xludf.DUMMYFUNCTION("""COMPUTED_VALUE"""),"收入 - 租金")</f>
        <v>收入 - 租金</v>
      </c>
      <c r="D2783" s="270">
        <f>IFERROR(__xludf.DUMMYFUNCTION("""COMPUTED_VALUE"""),11000.0)</f>
        <v>11000</v>
      </c>
      <c r="F2783" t="str">
        <f>IFERROR(__xludf.DUMMYFUNCTION("""COMPUTED_VALUE"""),"台銀籌備帳戶")</f>
        <v>台銀籌備帳戶</v>
      </c>
      <c r="G2783" t="str">
        <f>IFERROR(__xludf.DUMMYFUNCTION("""COMPUTED_VALUE"""),"龍江229")</f>
        <v>龍江229</v>
      </c>
      <c r="H2783" s="106" t="str">
        <f t="shared" si="1"/>
        <v>2025-11</v>
      </c>
      <c r="I2783" s="271" t="str">
        <f>IFERROR(__xludf.DUMMYFUNCTION("""COMPUTED_VALUE"""),"貓狗企鵝")</f>
        <v>貓狗企鵝</v>
      </c>
      <c r="J2783" t="str">
        <f>IFERROR(__xludf.DUMMYFUNCTION("IFS(
  AND(REGEXMATCH(E2783, ""台銀籌備帳戶|玉山帳戶""), REGEXMATCH(C2783, ""薪資"")), ""分潤支出"",
  AND(REGEXMATCH(E2783, ""Ben帳戶|Elsa帳戶|Ben代墊|Ariel代墊|中信銀行共用""), REGEXMATCH(F2783, ""Ben帳戶|Elsa帳戶|Ben代墊|Ariel代墊|中信銀行共用"")), ""內部轉帳(忽略)"",
  AND(E2783&lt;&gt;"""", F2783&lt;&gt;"""", N"&amp;"OT(REGEXMATCH(C2783, ""薪資""))), ""內部轉帳(忽略)"",
  REGEXMATCH(C2783, ""薪資""), ""薪資變動(不計入)"",
  REGEXMATCH(C2783, ""押金""), ""押金往來"",
  AND(E2783&lt;&gt;"""", F2783=""""), ""真實支出"",
  AND(E2783="""", F2783&lt;&gt;""""), ""真實收入"",
  TRUE, ""其他""
)"),"真實收入")</f>
        <v>真實收入</v>
      </c>
      <c r="K2783" s="270">
        <f t="shared" si="2"/>
        <v>11000</v>
      </c>
      <c r="L2783">
        <f t="shared" si="3"/>
        <v>0</v>
      </c>
    </row>
    <row r="2784">
      <c r="A2784" s="107">
        <f>IFERROR(__xludf.DUMMYFUNCTION("""COMPUTED_VALUE"""),45962.0)</f>
        <v>45962</v>
      </c>
      <c r="B2784" t="str">
        <f>IFERROR(__xludf.DUMMYFUNCTION("""COMPUTED_VALUE"""),"[書香民生] G [朱彥蓉] 月租金 後五碼:82950 (行號: 56)")</f>
        <v>[書香民生] G [朱彥蓉] 月租金 後五碼:82950 (行號: 56)</v>
      </c>
      <c r="C2784" t="str">
        <f>IFERROR(__xludf.DUMMYFUNCTION("""COMPUTED_VALUE"""),"收入 - 租金")</f>
        <v>收入 - 租金</v>
      </c>
      <c r="D2784" s="270">
        <f>IFERROR(__xludf.DUMMYFUNCTION("""COMPUTED_VALUE"""),16800.0)</f>
        <v>16800</v>
      </c>
      <c r="F2784" t="str">
        <f>IFERROR(__xludf.DUMMYFUNCTION("""COMPUTED_VALUE"""),"台銀籌備帳戶")</f>
        <v>台銀籌備帳戶</v>
      </c>
      <c r="G2784" t="str">
        <f>IFERROR(__xludf.DUMMYFUNCTION("""COMPUTED_VALUE"""),"書香民生")</f>
        <v>書香民生</v>
      </c>
      <c r="H2784" s="106" t="str">
        <f t="shared" si="1"/>
        <v>2025-11</v>
      </c>
      <c r="I2784" s="271" t="str">
        <f>IFERROR(__xludf.DUMMYFUNCTION("""COMPUTED_VALUE"""),"貓狗企鵝")</f>
        <v>貓狗企鵝</v>
      </c>
      <c r="J2784" t="str">
        <f>IFERROR(__xludf.DUMMYFUNCTION("IFS(
  AND(REGEXMATCH(E2784, ""台銀籌備帳戶|玉山帳戶""), REGEXMATCH(C2784, ""薪資"")), ""分潤支出"",
  AND(REGEXMATCH(E2784, ""Ben帳戶|Elsa帳戶|Ben代墊|Ariel代墊|中信銀行共用""), REGEXMATCH(F2784, ""Ben帳戶|Elsa帳戶|Ben代墊|Ariel代墊|中信銀行共用"")), ""內部轉帳(忽略)"",
  AND(E2784&lt;&gt;"""", F2784&lt;&gt;"""", N"&amp;"OT(REGEXMATCH(C2784, ""薪資""))), ""內部轉帳(忽略)"",
  REGEXMATCH(C2784, ""薪資""), ""薪資變動(不計入)"",
  REGEXMATCH(C2784, ""押金""), ""押金往來"",
  AND(E2784&lt;&gt;"""", F2784=""""), ""真實支出"",
  AND(E2784="""", F2784&lt;&gt;""""), ""真實收入"",
  TRUE, ""其他""
)"),"真實收入")</f>
        <v>真實收入</v>
      </c>
      <c r="K2784" s="270">
        <f t="shared" si="2"/>
        <v>16800</v>
      </c>
      <c r="L2784">
        <f t="shared" si="3"/>
        <v>0</v>
      </c>
    </row>
    <row r="2785">
      <c r="A2785" s="107">
        <f>IFERROR(__xludf.DUMMYFUNCTION("""COMPUTED_VALUE"""),45962.0)</f>
        <v>45962</v>
      </c>
      <c r="B2785" t="str">
        <f>IFERROR(__xludf.DUMMYFUNCTION("""COMPUTED_VALUE"""),"[景安2分鐘] D [鍾佩晶] 月租金 後五碼:60130 (行號: 57)")</f>
        <v>[景安2分鐘] D [鍾佩晶] 月租金 後五碼:60130 (行號: 57)</v>
      </c>
      <c r="C2785" t="str">
        <f>IFERROR(__xludf.DUMMYFUNCTION("""COMPUTED_VALUE"""),"收入 - 租金")</f>
        <v>收入 - 租金</v>
      </c>
      <c r="D2785" s="270">
        <f>IFERROR(__xludf.DUMMYFUNCTION("""COMPUTED_VALUE"""),8600.0)</f>
        <v>8600</v>
      </c>
      <c r="F2785" t="str">
        <f>IFERROR(__xludf.DUMMYFUNCTION("""COMPUTED_VALUE"""),"台銀籌備帳戶")</f>
        <v>台銀籌備帳戶</v>
      </c>
      <c r="G2785" t="str">
        <f>IFERROR(__xludf.DUMMYFUNCTION("""COMPUTED_VALUE"""),"景安2分鐘")</f>
        <v>景安2分鐘</v>
      </c>
      <c r="H2785" s="106" t="str">
        <f t="shared" si="1"/>
        <v>2025-11</v>
      </c>
      <c r="I2785" s="271" t="str">
        <f>IFERROR(__xludf.DUMMYFUNCTION("""COMPUTED_VALUE"""),"貓狗企鵝")</f>
        <v>貓狗企鵝</v>
      </c>
      <c r="J2785" t="str">
        <f>IFERROR(__xludf.DUMMYFUNCTION("IFS(
  AND(REGEXMATCH(E2785, ""台銀籌備帳戶|玉山帳戶""), REGEXMATCH(C2785, ""薪資"")), ""分潤支出"",
  AND(REGEXMATCH(E2785, ""Ben帳戶|Elsa帳戶|Ben代墊|Ariel代墊|中信銀行共用""), REGEXMATCH(F2785, ""Ben帳戶|Elsa帳戶|Ben代墊|Ariel代墊|中信銀行共用"")), ""內部轉帳(忽略)"",
  AND(E2785&lt;&gt;"""", F2785&lt;&gt;"""", N"&amp;"OT(REGEXMATCH(C2785, ""薪資""))), ""內部轉帳(忽略)"",
  REGEXMATCH(C2785, ""薪資""), ""薪資變動(不計入)"",
  REGEXMATCH(C2785, ""押金""), ""押金往來"",
  AND(E2785&lt;&gt;"""", F2785=""""), ""真實支出"",
  AND(E2785="""", F2785&lt;&gt;""""), ""真實收入"",
  TRUE, ""其他""
)"),"真實收入")</f>
        <v>真實收入</v>
      </c>
      <c r="K2785" s="270">
        <f t="shared" si="2"/>
        <v>8600</v>
      </c>
      <c r="L2785">
        <f t="shared" si="3"/>
        <v>0</v>
      </c>
    </row>
    <row r="2786">
      <c r="A2786" s="107">
        <f>IFERROR(__xludf.DUMMYFUNCTION("""COMPUTED_VALUE"""),45962.0)</f>
        <v>45962</v>
      </c>
      <c r="B2786" t="str">
        <f>IFERROR(__xludf.DUMMYFUNCTION("""COMPUTED_VALUE"""),"[中山北Feli家] D [邱佳慧] 月租金 後五碼:45046 (行號: 58)")</f>
        <v>[中山北Feli家] D [邱佳慧] 月租金 後五碼:45046 (行號: 58)</v>
      </c>
      <c r="C2786" t="str">
        <f>IFERROR(__xludf.DUMMYFUNCTION("""COMPUTED_VALUE"""),"收入 - 租金")</f>
        <v>收入 - 租金</v>
      </c>
      <c r="D2786" s="270">
        <f>IFERROR(__xludf.DUMMYFUNCTION("""COMPUTED_VALUE"""),10800.0)</f>
        <v>10800</v>
      </c>
      <c r="F2786" t="str">
        <f>IFERROR(__xludf.DUMMYFUNCTION("""COMPUTED_VALUE"""),"台銀籌備帳戶")</f>
        <v>台銀籌備帳戶</v>
      </c>
      <c r="G2786" t="str">
        <f>IFERROR(__xludf.DUMMYFUNCTION("""COMPUTED_VALUE"""),"中山北Feli家")</f>
        <v>中山北Feli家</v>
      </c>
      <c r="H2786" s="106" t="str">
        <f t="shared" si="1"/>
        <v>2025-11</v>
      </c>
      <c r="I2786" s="271" t="str">
        <f>IFERROR(__xludf.DUMMYFUNCTION("""COMPUTED_VALUE"""),"貓狗企鵝")</f>
        <v>貓狗企鵝</v>
      </c>
      <c r="J2786" t="str">
        <f>IFERROR(__xludf.DUMMYFUNCTION("IFS(
  AND(REGEXMATCH(E2786, ""台銀籌備帳戶|玉山帳戶""), REGEXMATCH(C2786, ""薪資"")), ""分潤支出"",
  AND(REGEXMATCH(E2786, ""Ben帳戶|Elsa帳戶|Ben代墊|Ariel代墊|中信銀行共用""), REGEXMATCH(F2786, ""Ben帳戶|Elsa帳戶|Ben代墊|Ariel代墊|中信銀行共用"")), ""內部轉帳(忽略)"",
  AND(E2786&lt;&gt;"""", F2786&lt;&gt;"""", N"&amp;"OT(REGEXMATCH(C2786, ""薪資""))), ""內部轉帳(忽略)"",
  REGEXMATCH(C2786, ""薪資""), ""薪資變動(不計入)"",
  REGEXMATCH(C2786, ""押金""), ""押金往來"",
  AND(E2786&lt;&gt;"""", F2786=""""), ""真實支出"",
  AND(E2786="""", F2786&lt;&gt;""""), ""真實收入"",
  TRUE, ""其他""
)"),"真實收入")</f>
        <v>真實收入</v>
      </c>
      <c r="K2786" s="270">
        <f t="shared" si="2"/>
        <v>10800</v>
      </c>
      <c r="L2786">
        <f t="shared" si="3"/>
        <v>0</v>
      </c>
    </row>
    <row r="2787">
      <c r="A2787" s="107">
        <f>IFERROR(__xludf.DUMMYFUNCTION("""COMPUTED_VALUE"""),45962.0)</f>
        <v>45962</v>
      </c>
      <c r="B2787" t="str">
        <f>IFERROR(__xludf.DUMMYFUNCTION("""COMPUTED_VALUE"""),"[永春四號] B [袁家鳳] 月租金 後五碼:31402 (行號: 59)")</f>
        <v>[永春四號] B [袁家鳳] 月租金 後五碼:31402 (行號: 59)</v>
      </c>
      <c r="C2787" t="str">
        <f>IFERROR(__xludf.DUMMYFUNCTION("""COMPUTED_VALUE"""),"收入 - 租金")</f>
        <v>收入 - 租金</v>
      </c>
      <c r="D2787" s="270">
        <f>IFERROR(__xludf.DUMMYFUNCTION("""COMPUTED_VALUE"""),13500.0)</f>
        <v>13500</v>
      </c>
      <c r="F2787" t="str">
        <f>IFERROR(__xludf.DUMMYFUNCTION("""COMPUTED_VALUE"""),"台銀籌備帳戶")</f>
        <v>台銀籌備帳戶</v>
      </c>
      <c r="G2787" t="str">
        <f>IFERROR(__xludf.DUMMYFUNCTION("""COMPUTED_VALUE"""),"永春四號")</f>
        <v>永春四號</v>
      </c>
      <c r="H2787" s="106" t="str">
        <f t="shared" si="1"/>
        <v>2025-11</v>
      </c>
      <c r="I2787" s="271" t="str">
        <f>IFERROR(__xludf.DUMMYFUNCTION("""COMPUTED_VALUE"""),"貓狗企鵝")</f>
        <v>貓狗企鵝</v>
      </c>
      <c r="J2787" t="str">
        <f>IFERROR(__xludf.DUMMYFUNCTION("IFS(
  AND(REGEXMATCH(E2787, ""台銀籌備帳戶|玉山帳戶""), REGEXMATCH(C2787, ""薪資"")), ""分潤支出"",
  AND(REGEXMATCH(E2787, ""Ben帳戶|Elsa帳戶|Ben代墊|Ariel代墊|中信銀行共用""), REGEXMATCH(F2787, ""Ben帳戶|Elsa帳戶|Ben代墊|Ariel代墊|中信銀行共用"")), ""內部轉帳(忽略)"",
  AND(E2787&lt;&gt;"""", F2787&lt;&gt;"""", N"&amp;"OT(REGEXMATCH(C2787, ""薪資""))), ""內部轉帳(忽略)"",
  REGEXMATCH(C2787, ""薪資""), ""薪資變動(不計入)"",
  REGEXMATCH(C2787, ""押金""), ""押金往來"",
  AND(E2787&lt;&gt;"""", F2787=""""), ""真實支出"",
  AND(E2787="""", F2787&lt;&gt;""""), ""真實收入"",
  TRUE, ""其他""
)"),"真實收入")</f>
        <v>真實收入</v>
      </c>
      <c r="K2787" s="270">
        <f t="shared" si="2"/>
        <v>13500</v>
      </c>
      <c r="L2787">
        <f t="shared" si="3"/>
        <v>0</v>
      </c>
    </row>
    <row r="2788">
      <c r="A2788" s="107">
        <f>IFERROR(__xludf.DUMMYFUNCTION("""COMPUTED_VALUE"""),45962.0)</f>
        <v>45962</v>
      </c>
      <c r="B2788" t="str">
        <f>IFERROR(__xludf.DUMMYFUNCTION("""COMPUTED_VALUE"""),"[大湖山莊] E [吳宗祐] 月租金 後五碼:60828 (行號: 60)")</f>
        <v>[大湖山莊] E [吳宗祐] 月租金 後五碼:60828 (行號: 60)</v>
      </c>
      <c r="C2788" t="str">
        <f>IFERROR(__xludf.DUMMYFUNCTION("""COMPUTED_VALUE"""),"收入 - 租金")</f>
        <v>收入 - 租金</v>
      </c>
      <c r="D2788" s="270">
        <f>IFERROR(__xludf.DUMMYFUNCTION("""COMPUTED_VALUE"""),11500.0)</f>
        <v>11500</v>
      </c>
      <c r="F2788" t="str">
        <f>IFERROR(__xludf.DUMMYFUNCTION("""COMPUTED_VALUE"""),"台銀籌備帳戶")</f>
        <v>台銀籌備帳戶</v>
      </c>
      <c r="G2788" t="str">
        <f>IFERROR(__xludf.DUMMYFUNCTION("""COMPUTED_VALUE"""),"大湖山莊")</f>
        <v>大湖山莊</v>
      </c>
      <c r="H2788" s="106" t="str">
        <f t="shared" si="1"/>
        <v>2025-11</v>
      </c>
      <c r="I2788" s="271" t="str">
        <f>IFERROR(__xludf.DUMMYFUNCTION("""COMPUTED_VALUE"""),"貓狗企鵝")</f>
        <v>貓狗企鵝</v>
      </c>
      <c r="J2788" t="str">
        <f>IFERROR(__xludf.DUMMYFUNCTION("IFS(
  AND(REGEXMATCH(E2788, ""台銀籌備帳戶|玉山帳戶""), REGEXMATCH(C2788, ""薪資"")), ""分潤支出"",
  AND(REGEXMATCH(E2788, ""Ben帳戶|Elsa帳戶|Ben代墊|Ariel代墊|中信銀行共用""), REGEXMATCH(F2788, ""Ben帳戶|Elsa帳戶|Ben代墊|Ariel代墊|中信銀行共用"")), ""內部轉帳(忽略)"",
  AND(E2788&lt;&gt;"""", F2788&lt;&gt;"""", N"&amp;"OT(REGEXMATCH(C2788, ""薪資""))), ""內部轉帳(忽略)"",
  REGEXMATCH(C2788, ""薪資""), ""薪資變動(不計入)"",
  REGEXMATCH(C2788, ""押金""), ""押金往來"",
  AND(E2788&lt;&gt;"""", F2788=""""), ""真實支出"",
  AND(E2788="""", F2788&lt;&gt;""""), ""真實收入"",
  TRUE, ""其他""
)"),"真實收入")</f>
        <v>真實收入</v>
      </c>
      <c r="K2788" s="270">
        <f t="shared" si="2"/>
        <v>11500</v>
      </c>
      <c r="L2788">
        <f t="shared" si="3"/>
        <v>0</v>
      </c>
    </row>
    <row r="2789">
      <c r="A2789" s="107">
        <f>IFERROR(__xludf.DUMMYFUNCTION("""COMPUTED_VALUE"""),45962.0)</f>
        <v>45962</v>
      </c>
      <c r="B2789" t="str">
        <f>IFERROR(__xludf.DUMMYFUNCTION("""COMPUTED_VALUE"""),"[大湖山莊] A [涂敏] 月租金 後五碼:66532 (行號: 61)")</f>
        <v>[大湖山莊] A [涂敏] 月租金 後五碼:66532 (行號: 61)</v>
      </c>
      <c r="C2789" t="str">
        <f>IFERROR(__xludf.DUMMYFUNCTION("""COMPUTED_VALUE"""),"收入 - 租金")</f>
        <v>收入 - 租金</v>
      </c>
      <c r="D2789" s="270">
        <f>IFERROR(__xludf.DUMMYFUNCTION("""COMPUTED_VALUE"""),13000.0)</f>
        <v>13000</v>
      </c>
      <c r="F2789" t="str">
        <f>IFERROR(__xludf.DUMMYFUNCTION("""COMPUTED_VALUE"""),"台銀籌備帳戶")</f>
        <v>台銀籌備帳戶</v>
      </c>
      <c r="G2789" t="str">
        <f>IFERROR(__xludf.DUMMYFUNCTION("""COMPUTED_VALUE"""),"大湖山莊")</f>
        <v>大湖山莊</v>
      </c>
      <c r="H2789" s="106" t="str">
        <f t="shared" si="1"/>
        <v>2025-11</v>
      </c>
      <c r="I2789" s="271" t="str">
        <f>IFERROR(__xludf.DUMMYFUNCTION("""COMPUTED_VALUE"""),"貓狗企鵝")</f>
        <v>貓狗企鵝</v>
      </c>
      <c r="J2789" t="str">
        <f>IFERROR(__xludf.DUMMYFUNCTION("IFS(
  AND(REGEXMATCH(E2789, ""台銀籌備帳戶|玉山帳戶""), REGEXMATCH(C2789, ""薪資"")), ""分潤支出"",
  AND(REGEXMATCH(E2789, ""Ben帳戶|Elsa帳戶|Ben代墊|Ariel代墊|中信銀行共用""), REGEXMATCH(F2789, ""Ben帳戶|Elsa帳戶|Ben代墊|Ariel代墊|中信銀行共用"")), ""內部轉帳(忽略)"",
  AND(E2789&lt;&gt;"""", F2789&lt;&gt;"""", N"&amp;"OT(REGEXMATCH(C2789, ""薪資""))), ""內部轉帳(忽略)"",
  REGEXMATCH(C2789, ""薪資""), ""薪資變動(不計入)"",
  REGEXMATCH(C2789, ""押金""), ""押金往來"",
  AND(E2789&lt;&gt;"""", F2789=""""), ""真實支出"",
  AND(E2789="""", F2789&lt;&gt;""""), ""真實收入"",
  TRUE, ""其他""
)"),"真實收入")</f>
        <v>真實收入</v>
      </c>
      <c r="K2789" s="270">
        <f t="shared" si="2"/>
        <v>13000</v>
      </c>
      <c r="L2789">
        <f t="shared" si="3"/>
        <v>0</v>
      </c>
    </row>
    <row r="2790">
      <c r="A2790" s="107">
        <f>IFERROR(__xludf.DUMMYFUNCTION("""COMPUTED_VALUE"""),45962.0)</f>
        <v>45962</v>
      </c>
      <c r="B2790" t="str">
        <f>IFERROR(__xludf.DUMMYFUNCTION("""COMPUTED_VALUE"""),"[中山北Feli家] B [杜思瑀, 陳廷瀀] 月租金 後五碼:48700 (行號: 62)")</f>
        <v>[中山北Feli家] B [杜思瑀, 陳廷瀀] 月租金 後五碼:48700 (行號: 62)</v>
      </c>
      <c r="C2790" t="str">
        <f>IFERROR(__xludf.DUMMYFUNCTION("""COMPUTED_VALUE"""),"收入 - 租金")</f>
        <v>收入 - 租金</v>
      </c>
      <c r="D2790" s="270">
        <f>IFERROR(__xludf.DUMMYFUNCTION("""COMPUTED_VALUE"""),17500.0)</f>
        <v>17500</v>
      </c>
      <c r="F2790" t="str">
        <f>IFERROR(__xludf.DUMMYFUNCTION("""COMPUTED_VALUE"""),"台銀籌備帳戶")</f>
        <v>台銀籌備帳戶</v>
      </c>
      <c r="G2790" t="str">
        <f>IFERROR(__xludf.DUMMYFUNCTION("""COMPUTED_VALUE"""),"中山北Feli家")</f>
        <v>中山北Feli家</v>
      </c>
      <c r="H2790" s="106" t="str">
        <f t="shared" si="1"/>
        <v>2025-11</v>
      </c>
      <c r="I2790" s="271" t="str">
        <f>IFERROR(__xludf.DUMMYFUNCTION("""COMPUTED_VALUE"""),"貓狗企鵝")</f>
        <v>貓狗企鵝</v>
      </c>
      <c r="J2790" t="str">
        <f>IFERROR(__xludf.DUMMYFUNCTION("IFS(
  AND(REGEXMATCH(E2790, ""台銀籌備帳戶|玉山帳戶""), REGEXMATCH(C2790, ""薪資"")), ""分潤支出"",
  AND(REGEXMATCH(E2790, ""Ben帳戶|Elsa帳戶|Ben代墊|Ariel代墊|中信銀行共用""), REGEXMATCH(F2790, ""Ben帳戶|Elsa帳戶|Ben代墊|Ariel代墊|中信銀行共用"")), ""內部轉帳(忽略)"",
  AND(E2790&lt;&gt;"""", F2790&lt;&gt;"""", N"&amp;"OT(REGEXMATCH(C2790, ""薪資""))), ""內部轉帳(忽略)"",
  REGEXMATCH(C2790, ""薪資""), ""薪資變動(不計入)"",
  REGEXMATCH(C2790, ""押金""), ""押金往來"",
  AND(E2790&lt;&gt;"""", F2790=""""), ""真實支出"",
  AND(E2790="""", F2790&lt;&gt;""""), ""真實收入"",
  TRUE, ""其他""
)"),"真實收入")</f>
        <v>真實收入</v>
      </c>
      <c r="K2790" s="270">
        <f t="shared" si="2"/>
        <v>17500</v>
      </c>
      <c r="L2790">
        <f t="shared" si="3"/>
        <v>0</v>
      </c>
    </row>
    <row r="2791">
      <c r="A2791" s="107">
        <f>IFERROR(__xludf.DUMMYFUNCTION("""COMPUTED_VALUE"""),45962.0)</f>
        <v>45962</v>
      </c>
      <c r="B2791" t="str">
        <f>IFERROR(__xludf.DUMMYFUNCTION("""COMPUTED_VALUE"""),"書香F")</f>
        <v>書香F</v>
      </c>
      <c r="C2791" t="str">
        <f>IFERROR(__xludf.DUMMYFUNCTION("""COMPUTED_VALUE"""),"收入 - 租金")</f>
        <v>收入 - 租金</v>
      </c>
      <c r="D2791" s="270">
        <f>IFERROR(__xludf.DUMMYFUNCTION("""COMPUTED_VALUE"""),15800.0)</f>
        <v>15800</v>
      </c>
      <c r="F2791" t="str">
        <f>IFERROR(__xludf.DUMMYFUNCTION("""COMPUTED_VALUE"""),"台銀籌備帳戶")</f>
        <v>台銀籌備帳戶</v>
      </c>
      <c r="G2791" t="str">
        <f>IFERROR(__xludf.DUMMYFUNCTION("""COMPUTED_VALUE"""),"書香民生")</f>
        <v>書香民生</v>
      </c>
      <c r="H2791" s="106" t="str">
        <f t="shared" si="1"/>
        <v>2025-11</v>
      </c>
      <c r="I2791" s="271" t="str">
        <f>IFERROR(__xludf.DUMMYFUNCTION("""COMPUTED_VALUE"""),"貓狗企鵝")</f>
        <v>貓狗企鵝</v>
      </c>
      <c r="J2791" t="str">
        <f>IFERROR(__xludf.DUMMYFUNCTION("IFS(
  AND(REGEXMATCH(E2791, ""台銀籌備帳戶|玉山帳戶""), REGEXMATCH(C2791, ""薪資"")), ""分潤支出"",
  AND(REGEXMATCH(E2791, ""Ben帳戶|Elsa帳戶|Ben代墊|Ariel代墊|中信銀行共用""), REGEXMATCH(F2791, ""Ben帳戶|Elsa帳戶|Ben代墊|Ariel代墊|中信銀行共用"")), ""內部轉帳(忽略)"",
  AND(E2791&lt;&gt;"""", F2791&lt;&gt;"""", N"&amp;"OT(REGEXMATCH(C2791, ""薪資""))), ""內部轉帳(忽略)"",
  REGEXMATCH(C2791, ""薪資""), ""薪資變動(不計入)"",
  REGEXMATCH(C2791, ""押金""), ""押金往來"",
  AND(E2791&lt;&gt;"""", F2791=""""), ""真實支出"",
  AND(E2791="""", F2791&lt;&gt;""""), ""真實收入"",
  TRUE, ""其他""
)"),"真實收入")</f>
        <v>真實收入</v>
      </c>
      <c r="K2791" s="270">
        <f t="shared" si="2"/>
        <v>15800</v>
      </c>
      <c r="L2791">
        <f t="shared" si="3"/>
        <v>0</v>
      </c>
    </row>
    <row r="2792">
      <c r="A2792" s="107">
        <f>IFERROR(__xludf.DUMMYFUNCTION("""COMPUTED_VALUE"""),45962.0)</f>
        <v>45962</v>
      </c>
      <c r="B2792" t="str">
        <f>IFERROR(__xludf.DUMMYFUNCTION("""COMPUTED_VALUE"""),"[哈拉對面] C [徐鉦庭] 月租金 後五碼:14482 (行號: 64)")</f>
        <v>[哈拉對面] C [徐鉦庭] 月租金 後五碼:14482 (行號: 64)</v>
      </c>
      <c r="C2792" t="str">
        <f>IFERROR(__xludf.DUMMYFUNCTION("""COMPUTED_VALUE"""),"收入 - 租金")</f>
        <v>收入 - 租金</v>
      </c>
      <c r="D2792" s="270">
        <f>IFERROR(__xludf.DUMMYFUNCTION("""COMPUTED_VALUE"""),11800.0)</f>
        <v>11800</v>
      </c>
      <c r="F2792" t="str">
        <f>IFERROR(__xludf.DUMMYFUNCTION("""COMPUTED_VALUE"""),"台銀籌備帳戶")</f>
        <v>台銀籌備帳戶</v>
      </c>
      <c r="G2792" t="str">
        <f>IFERROR(__xludf.DUMMYFUNCTION("""COMPUTED_VALUE"""),"哈拉對面")</f>
        <v>哈拉對面</v>
      </c>
      <c r="H2792" s="106" t="str">
        <f t="shared" si="1"/>
        <v>2025-11</v>
      </c>
      <c r="I2792" s="271" t="str">
        <f>IFERROR(__xludf.DUMMYFUNCTION("""COMPUTED_VALUE"""),"貓狗企鵝")</f>
        <v>貓狗企鵝</v>
      </c>
      <c r="J2792" t="str">
        <f>IFERROR(__xludf.DUMMYFUNCTION("IFS(
  AND(REGEXMATCH(E2792, ""台銀籌備帳戶|玉山帳戶""), REGEXMATCH(C2792, ""薪資"")), ""分潤支出"",
  AND(REGEXMATCH(E2792, ""Ben帳戶|Elsa帳戶|Ben代墊|Ariel代墊|中信銀行共用""), REGEXMATCH(F2792, ""Ben帳戶|Elsa帳戶|Ben代墊|Ariel代墊|中信銀行共用"")), ""內部轉帳(忽略)"",
  AND(E2792&lt;&gt;"""", F2792&lt;&gt;"""", N"&amp;"OT(REGEXMATCH(C2792, ""薪資""))), ""內部轉帳(忽略)"",
  REGEXMATCH(C2792, ""薪資""), ""薪資變動(不計入)"",
  REGEXMATCH(C2792, ""押金""), ""押金往來"",
  AND(E2792&lt;&gt;"""", F2792=""""), ""真實支出"",
  AND(E2792="""", F2792&lt;&gt;""""), ""真實收入"",
  TRUE, ""其他""
)"),"真實收入")</f>
        <v>真實收入</v>
      </c>
      <c r="K2792" s="270">
        <f t="shared" si="2"/>
        <v>11800</v>
      </c>
      <c r="L2792">
        <f t="shared" si="3"/>
        <v>0</v>
      </c>
    </row>
    <row r="2793">
      <c r="A2793" s="107">
        <f>IFERROR(__xludf.DUMMYFUNCTION("""COMPUTED_VALUE"""),45962.0)</f>
        <v>45962</v>
      </c>
      <c r="B2793" t="str">
        <f>IFERROR(__xludf.DUMMYFUNCTION("""COMPUTED_VALUE"""),"[哈拉對面] B [鄭又菡] 月租金 後五碼:79539 (行號: 65)")</f>
        <v>[哈拉對面] B [鄭又菡] 月租金 後五碼:79539 (行號: 65)</v>
      </c>
      <c r="C2793" t="str">
        <f>IFERROR(__xludf.DUMMYFUNCTION("""COMPUTED_VALUE"""),"收入 - 租金")</f>
        <v>收入 - 租金</v>
      </c>
      <c r="D2793" s="270">
        <f>IFERROR(__xludf.DUMMYFUNCTION("""COMPUTED_VALUE"""),15800.0)</f>
        <v>15800</v>
      </c>
      <c r="F2793" t="str">
        <f>IFERROR(__xludf.DUMMYFUNCTION("""COMPUTED_VALUE"""),"台銀籌備帳戶")</f>
        <v>台銀籌備帳戶</v>
      </c>
      <c r="G2793" t="str">
        <f>IFERROR(__xludf.DUMMYFUNCTION("""COMPUTED_VALUE"""),"哈拉對面")</f>
        <v>哈拉對面</v>
      </c>
      <c r="H2793" s="106" t="str">
        <f t="shared" si="1"/>
        <v>2025-11</v>
      </c>
      <c r="I2793" s="271" t="str">
        <f>IFERROR(__xludf.DUMMYFUNCTION("""COMPUTED_VALUE"""),"貓狗企鵝")</f>
        <v>貓狗企鵝</v>
      </c>
      <c r="J2793" t="str">
        <f>IFERROR(__xludf.DUMMYFUNCTION("IFS(
  AND(REGEXMATCH(E2793, ""台銀籌備帳戶|玉山帳戶""), REGEXMATCH(C2793, ""薪資"")), ""分潤支出"",
  AND(REGEXMATCH(E2793, ""Ben帳戶|Elsa帳戶|Ben代墊|Ariel代墊|中信銀行共用""), REGEXMATCH(F2793, ""Ben帳戶|Elsa帳戶|Ben代墊|Ariel代墊|中信銀行共用"")), ""內部轉帳(忽略)"",
  AND(E2793&lt;&gt;"""", F2793&lt;&gt;"""", N"&amp;"OT(REGEXMATCH(C2793, ""薪資""))), ""內部轉帳(忽略)"",
  REGEXMATCH(C2793, ""薪資""), ""薪資變動(不計入)"",
  REGEXMATCH(C2793, ""押金""), ""押金往來"",
  AND(E2793&lt;&gt;"""", F2793=""""), ""真實支出"",
  AND(E2793="""", F2793&lt;&gt;""""), ""真實收入"",
  TRUE, ""其他""
)"),"真實收入")</f>
        <v>真實收入</v>
      </c>
      <c r="K2793" s="270">
        <f t="shared" si="2"/>
        <v>15800</v>
      </c>
      <c r="L2793">
        <f t="shared" si="3"/>
        <v>0</v>
      </c>
    </row>
    <row r="2794">
      <c r="A2794" s="107">
        <f>IFERROR(__xludf.DUMMYFUNCTION("""COMPUTED_VALUE"""),45962.0)</f>
        <v>45962</v>
      </c>
      <c r="B2794" t="str">
        <f>IFERROR(__xludf.DUMMYFUNCTION("""COMPUTED_VALUE"""),"[南港站挑高宅] D [吳城慕] 月租金 後五碼:10279 (行號: 66)")</f>
        <v>[南港站挑高宅] D [吳城慕] 月租金 後五碼:10279 (行號: 66)</v>
      </c>
      <c r="C2794" t="str">
        <f>IFERROR(__xludf.DUMMYFUNCTION("""COMPUTED_VALUE"""),"收入 - 租金")</f>
        <v>收入 - 租金</v>
      </c>
      <c r="D2794" s="270">
        <f>IFERROR(__xludf.DUMMYFUNCTION("""COMPUTED_VALUE"""),13800.0)</f>
        <v>13800</v>
      </c>
      <c r="F2794" t="str">
        <f>IFERROR(__xludf.DUMMYFUNCTION("""COMPUTED_VALUE"""),"台銀籌備帳戶")</f>
        <v>台銀籌備帳戶</v>
      </c>
      <c r="G2794" t="str">
        <f>IFERROR(__xludf.DUMMYFUNCTION("""COMPUTED_VALUE"""),"南港站挑高宅")</f>
        <v>南港站挑高宅</v>
      </c>
      <c r="H2794" s="106" t="str">
        <f t="shared" si="1"/>
        <v>2025-11</v>
      </c>
      <c r="I2794" s="271" t="str">
        <f>IFERROR(__xludf.DUMMYFUNCTION("""COMPUTED_VALUE"""),"貓狗企鵝")</f>
        <v>貓狗企鵝</v>
      </c>
      <c r="J2794" t="str">
        <f>IFERROR(__xludf.DUMMYFUNCTION("IFS(
  AND(REGEXMATCH(E2794, ""台銀籌備帳戶|玉山帳戶""), REGEXMATCH(C2794, ""薪資"")), ""分潤支出"",
  AND(REGEXMATCH(E2794, ""Ben帳戶|Elsa帳戶|Ben代墊|Ariel代墊|中信銀行共用""), REGEXMATCH(F2794, ""Ben帳戶|Elsa帳戶|Ben代墊|Ariel代墊|中信銀行共用"")), ""內部轉帳(忽略)"",
  AND(E2794&lt;&gt;"""", F2794&lt;&gt;"""", N"&amp;"OT(REGEXMATCH(C2794, ""薪資""))), ""內部轉帳(忽略)"",
  REGEXMATCH(C2794, ""薪資""), ""薪資變動(不計入)"",
  REGEXMATCH(C2794, ""押金""), ""押金往來"",
  AND(E2794&lt;&gt;"""", F2794=""""), ""真實支出"",
  AND(E2794="""", F2794&lt;&gt;""""), ""真實收入"",
  TRUE, ""其他""
)"),"真實收入")</f>
        <v>真實收入</v>
      </c>
      <c r="K2794" s="270">
        <f t="shared" si="2"/>
        <v>13800</v>
      </c>
      <c r="L2794">
        <f t="shared" si="3"/>
        <v>0</v>
      </c>
    </row>
    <row r="2795">
      <c r="A2795" s="107">
        <f>IFERROR(__xludf.DUMMYFUNCTION("""COMPUTED_VALUE"""),45962.0)</f>
        <v>45962</v>
      </c>
      <c r="B2795" t="str">
        <f>IFERROR(__xludf.DUMMYFUNCTION("""COMPUTED_VALUE"""),"[中山北娘家旁] B [李彥靜] 月租金 後五碼:38047 (行號: 67)")</f>
        <v>[中山北娘家旁] B [李彥靜] 月租金 後五碼:38047 (行號: 67)</v>
      </c>
      <c r="C2795" t="str">
        <f>IFERROR(__xludf.DUMMYFUNCTION("""COMPUTED_VALUE"""),"收入 - 租金")</f>
        <v>收入 - 租金</v>
      </c>
      <c r="D2795" s="270">
        <f>IFERROR(__xludf.DUMMYFUNCTION("""COMPUTED_VALUE"""),12500.0)</f>
        <v>12500</v>
      </c>
      <c r="F2795" t="str">
        <f>IFERROR(__xludf.DUMMYFUNCTION("""COMPUTED_VALUE"""),"台銀籌備帳戶")</f>
        <v>台銀籌備帳戶</v>
      </c>
      <c r="G2795" t="str">
        <f>IFERROR(__xludf.DUMMYFUNCTION("""COMPUTED_VALUE"""),"中山北娘家旁")</f>
        <v>中山北娘家旁</v>
      </c>
      <c r="H2795" s="106" t="str">
        <f t="shared" si="1"/>
        <v>2025-11</v>
      </c>
      <c r="I2795" s="271" t="str">
        <f>IFERROR(__xludf.DUMMYFUNCTION("""COMPUTED_VALUE"""),"貓狗企鵝")</f>
        <v>貓狗企鵝</v>
      </c>
      <c r="J2795" t="str">
        <f>IFERROR(__xludf.DUMMYFUNCTION("IFS(
  AND(REGEXMATCH(E2795, ""台銀籌備帳戶|玉山帳戶""), REGEXMATCH(C2795, ""薪資"")), ""分潤支出"",
  AND(REGEXMATCH(E2795, ""Ben帳戶|Elsa帳戶|Ben代墊|Ariel代墊|中信銀行共用""), REGEXMATCH(F2795, ""Ben帳戶|Elsa帳戶|Ben代墊|Ariel代墊|中信銀行共用"")), ""內部轉帳(忽略)"",
  AND(E2795&lt;&gt;"""", F2795&lt;&gt;"""", N"&amp;"OT(REGEXMATCH(C2795, ""薪資""))), ""內部轉帳(忽略)"",
  REGEXMATCH(C2795, ""薪資""), ""薪資變動(不計入)"",
  REGEXMATCH(C2795, ""押金""), ""押金往來"",
  AND(E2795&lt;&gt;"""", F2795=""""), ""真實支出"",
  AND(E2795="""", F2795&lt;&gt;""""), ""真實收入"",
  TRUE, ""其他""
)"),"真實收入")</f>
        <v>真實收入</v>
      </c>
      <c r="K2795" s="270">
        <f t="shared" si="2"/>
        <v>12500</v>
      </c>
      <c r="L2795">
        <f t="shared" si="3"/>
        <v>0</v>
      </c>
    </row>
    <row r="2796">
      <c r="A2796" s="107">
        <f>IFERROR(__xludf.DUMMYFUNCTION("""COMPUTED_VALUE"""),45962.0)</f>
        <v>45962</v>
      </c>
      <c r="B2796" t="str">
        <f>IFERROR(__xludf.DUMMYFUNCTION("""COMPUTED_VALUE"""),"[市府爺爺家] A [董書鵬, 張瑋珊] 月租金 後五碼:44967 (行號: 68)")</f>
        <v>[市府爺爺家] A [董書鵬, 張瑋珊] 月租金 後五碼:44967 (行號: 68)</v>
      </c>
      <c r="C2796" t="str">
        <f>IFERROR(__xludf.DUMMYFUNCTION("""COMPUTED_VALUE"""),"收入 - 租金")</f>
        <v>收入 - 租金</v>
      </c>
      <c r="D2796" s="270">
        <f>IFERROR(__xludf.DUMMYFUNCTION("""COMPUTED_VALUE"""),22000.0)</f>
        <v>22000</v>
      </c>
      <c r="F2796" t="str">
        <f>IFERROR(__xludf.DUMMYFUNCTION("""COMPUTED_VALUE"""),"台銀籌備帳戶")</f>
        <v>台銀籌備帳戶</v>
      </c>
      <c r="G2796" t="str">
        <f>IFERROR(__xludf.DUMMYFUNCTION("""COMPUTED_VALUE"""),"市府爺爺家")</f>
        <v>市府爺爺家</v>
      </c>
      <c r="H2796" s="106" t="str">
        <f t="shared" si="1"/>
        <v>2025-11</v>
      </c>
      <c r="I2796" s="271" t="str">
        <f>IFERROR(__xludf.DUMMYFUNCTION("""COMPUTED_VALUE"""),"貓狗企鵝")</f>
        <v>貓狗企鵝</v>
      </c>
      <c r="J2796" t="str">
        <f>IFERROR(__xludf.DUMMYFUNCTION("IFS(
  AND(REGEXMATCH(E2796, ""台銀籌備帳戶|玉山帳戶""), REGEXMATCH(C2796, ""薪資"")), ""分潤支出"",
  AND(REGEXMATCH(E2796, ""Ben帳戶|Elsa帳戶|Ben代墊|Ariel代墊|中信銀行共用""), REGEXMATCH(F2796, ""Ben帳戶|Elsa帳戶|Ben代墊|Ariel代墊|中信銀行共用"")), ""內部轉帳(忽略)"",
  AND(E2796&lt;&gt;"""", F2796&lt;&gt;"""", N"&amp;"OT(REGEXMATCH(C2796, ""薪資""))), ""內部轉帳(忽略)"",
  REGEXMATCH(C2796, ""薪資""), ""薪資變動(不計入)"",
  REGEXMATCH(C2796, ""押金""), ""押金往來"",
  AND(E2796&lt;&gt;"""", F2796=""""), ""真實支出"",
  AND(E2796="""", F2796&lt;&gt;""""), ""真實收入"",
  TRUE, ""其他""
)"),"真實收入")</f>
        <v>真實收入</v>
      </c>
      <c r="K2796" s="270">
        <f t="shared" si="2"/>
        <v>22000</v>
      </c>
      <c r="L2796">
        <f t="shared" si="3"/>
        <v>0</v>
      </c>
    </row>
    <row r="2797">
      <c r="A2797" s="107">
        <f>IFERROR(__xludf.DUMMYFUNCTION("""COMPUTED_VALUE"""),45962.0)</f>
        <v>45962</v>
      </c>
      <c r="B2797" t="str">
        <f>IFERROR(__xludf.DUMMYFUNCTION("""COMPUTED_VALUE"""),"[金龍帽子先生] D [林紫婕] 月租金 後五碼:70737 (行號: 69)")</f>
        <v>[金龍帽子先生] D [林紫婕] 月租金 後五碼:70737 (行號: 69)</v>
      </c>
      <c r="C2797" t="str">
        <f>IFERROR(__xludf.DUMMYFUNCTION("""COMPUTED_VALUE"""),"收入 - 租金")</f>
        <v>收入 - 租金</v>
      </c>
      <c r="D2797" s="270">
        <f>IFERROR(__xludf.DUMMYFUNCTION("""COMPUTED_VALUE"""),14500.0)</f>
        <v>14500</v>
      </c>
      <c r="F2797" t="str">
        <f>IFERROR(__xludf.DUMMYFUNCTION("""COMPUTED_VALUE"""),"台銀籌備帳戶")</f>
        <v>台銀籌備帳戶</v>
      </c>
      <c r="G2797" t="str">
        <f>IFERROR(__xludf.DUMMYFUNCTION("""COMPUTED_VALUE"""),"金龍帽子先生")</f>
        <v>金龍帽子先生</v>
      </c>
      <c r="H2797" s="106" t="str">
        <f t="shared" si="1"/>
        <v>2025-11</v>
      </c>
      <c r="I2797" s="271" t="str">
        <f>IFERROR(__xludf.DUMMYFUNCTION("""COMPUTED_VALUE"""),"貓狗企鵝")</f>
        <v>貓狗企鵝</v>
      </c>
      <c r="J2797" t="str">
        <f>IFERROR(__xludf.DUMMYFUNCTION("IFS(
  AND(REGEXMATCH(E2797, ""台銀籌備帳戶|玉山帳戶""), REGEXMATCH(C2797, ""薪資"")), ""分潤支出"",
  AND(REGEXMATCH(E2797, ""Ben帳戶|Elsa帳戶|Ben代墊|Ariel代墊|中信銀行共用""), REGEXMATCH(F2797, ""Ben帳戶|Elsa帳戶|Ben代墊|Ariel代墊|中信銀行共用"")), ""內部轉帳(忽略)"",
  AND(E2797&lt;&gt;"""", F2797&lt;&gt;"""", N"&amp;"OT(REGEXMATCH(C2797, ""薪資""))), ""內部轉帳(忽略)"",
  REGEXMATCH(C2797, ""薪資""), ""薪資變動(不計入)"",
  REGEXMATCH(C2797, ""押金""), ""押金往來"",
  AND(E2797&lt;&gt;"""", F2797=""""), ""真實支出"",
  AND(E2797="""", F2797&lt;&gt;""""), ""真實收入"",
  TRUE, ""其他""
)"),"真實收入")</f>
        <v>真實收入</v>
      </c>
      <c r="K2797" s="270">
        <f t="shared" si="2"/>
        <v>14500</v>
      </c>
      <c r="L2797">
        <f t="shared" si="3"/>
        <v>0</v>
      </c>
    </row>
    <row r="2798">
      <c r="A2798" s="107">
        <f>IFERROR(__xludf.DUMMYFUNCTION("""COMPUTED_VALUE"""),45962.0)</f>
        <v>45962</v>
      </c>
      <c r="B2798" t="str">
        <f>IFERROR(__xludf.DUMMYFUNCTION("""COMPUTED_VALUE"""),"[大湖山莊] G [Soumyajit Balabantaray] 月租金 後五碼:47500 (行號: 70)")</f>
        <v>[大湖山莊] G [Soumyajit Balabantaray] 月租金 後五碼:47500 (行號: 70)</v>
      </c>
      <c r="C2798" t="str">
        <f>IFERROR(__xludf.DUMMYFUNCTION("""COMPUTED_VALUE"""),"收入 - 租金")</f>
        <v>收入 - 租金</v>
      </c>
      <c r="D2798" s="270">
        <f>IFERROR(__xludf.DUMMYFUNCTION("""COMPUTED_VALUE"""),15800.0)</f>
        <v>15800</v>
      </c>
      <c r="F2798" t="str">
        <f>IFERROR(__xludf.DUMMYFUNCTION("""COMPUTED_VALUE"""),"台銀籌備帳戶")</f>
        <v>台銀籌備帳戶</v>
      </c>
      <c r="G2798" t="str">
        <f>IFERROR(__xludf.DUMMYFUNCTION("""COMPUTED_VALUE"""),"大湖山莊")</f>
        <v>大湖山莊</v>
      </c>
      <c r="H2798" s="106" t="str">
        <f t="shared" si="1"/>
        <v>2025-11</v>
      </c>
      <c r="I2798" s="271" t="str">
        <f>IFERROR(__xludf.DUMMYFUNCTION("""COMPUTED_VALUE"""),"貓狗企鵝")</f>
        <v>貓狗企鵝</v>
      </c>
      <c r="J2798" t="str">
        <f>IFERROR(__xludf.DUMMYFUNCTION("IFS(
  AND(REGEXMATCH(E2798, ""台銀籌備帳戶|玉山帳戶""), REGEXMATCH(C2798, ""薪資"")), ""分潤支出"",
  AND(REGEXMATCH(E2798, ""Ben帳戶|Elsa帳戶|Ben代墊|Ariel代墊|中信銀行共用""), REGEXMATCH(F2798, ""Ben帳戶|Elsa帳戶|Ben代墊|Ariel代墊|中信銀行共用"")), ""內部轉帳(忽略)"",
  AND(E2798&lt;&gt;"""", F2798&lt;&gt;"""", N"&amp;"OT(REGEXMATCH(C2798, ""薪資""))), ""內部轉帳(忽略)"",
  REGEXMATCH(C2798, ""薪資""), ""薪資變動(不計入)"",
  REGEXMATCH(C2798, ""押金""), ""押金往來"",
  AND(E2798&lt;&gt;"""", F2798=""""), ""真實支出"",
  AND(E2798="""", F2798&lt;&gt;""""), ""真實收入"",
  TRUE, ""其他""
)"),"真實收入")</f>
        <v>真實收入</v>
      </c>
      <c r="K2798" s="270">
        <f t="shared" si="2"/>
        <v>15800</v>
      </c>
      <c r="L2798">
        <f t="shared" si="3"/>
        <v>0</v>
      </c>
    </row>
    <row r="2799">
      <c r="A2799" s="107">
        <f>IFERROR(__xludf.DUMMYFUNCTION("""COMPUTED_VALUE"""),45962.0)</f>
        <v>45962</v>
      </c>
      <c r="B2799" t="str">
        <f>IFERROR(__xludf.DUMMYFUNCTION("""COMPUTED_VALUE"""),"[龍江229] C [馬義鈞] 月租金 後五碼:62428 (行號: 71)")</f>
        <v>[龍江229] C [馬義鈞] 月租金 後五碼:62428 (行號: 71)</v>
      </c>
      <c r="C2799" t="str">
        <f>IFERROR(__xludf.DUMMYFUNCTION("""COMPUTED_VALUE"""),"收入 - 租金")</f>
        <v>收入 - 租金</v>
      </c>
      <c r="D2799" s="270">
        <f>IFERROR(__xludf.DUMMYFUNCTION("""COMPUTED_VALUE"""),18500.0)</f>
        <v>18500</v>
      </c>
      <c r="F2799" t="str">
        <f>IFERROR(__xludf.DUMMYFUNCTION("""COMPUTED_VALUE"""),"台銀籌備帳戶")</f>
        <v>台銀籌備帳戶</v>
      </c>
      <c r="G2799" t="str">
        <f>IFERROR(__xludf.DUMMYFUNCTION("""COMPUTED_VALUE"""),"龍江229")</f>
        <v>龍江229</v>
      </c>
      <c r="H2799" s="106" t="str">
        <f t="shared" si="1"/>
        <v>2025-11</v>
      </c>
      <c r="I2799" s="271" t="str">
        <f>IFERROR(__xludf.DUMMYFUNCTION("""COMPUTED_VALUE"""),"貓狗企鵝")</f>
        <v>貓狗企鵝</v>
      </c>
      <c r="J2799" t="str">
        <f>IFERROR(__xludf.DUMMYFUNCTION("IFS(
  AND(REGEXMATCH(E2799, ""台銀籌備帳戶|玉山帳戶""), REGEXMATCH(C2799, ""薪資"")), ""分潤支出"",
  AND(REGEXMATCH(E2799, ""Ben帳戶|Elsa帳戶|Ben代墊|Ariel代墊|中信銀行共用""), REGEXMATCH(F2799, ""Ben帳戶|Elsa帳戶|Ben代墊|Ariel代墊|中信銀行共用"")), ""內部轉帳(忽略)"",
  AND(E2799&lt;&gt;"""", F2799&lt;&gt;"""", N"&amp;"OT(REGEXMATCH(C2799, ""薪資""))), ""內部轉帳(忽略)"",
  REGEXMATCH(C2799, ""薪資""), ""薪資變動(不計入)"",
  REGEXMATCH(C2799, ""押金""), ""押金往來"",
  AND(E2799&lt;&gt;"""", F2799=""""), ""真實支出"",
  AND(E2799="""", F2799&lt;&gt;""""), ""真實收入"",
  TRUE, ""其他""
)"),"真實收入")</f>
        <v>真實收入</v>
      </c>
      <c r="K2799" s="270">
        <f t="shared" si="2"/>
        <v>18500</v>
      </c>
      <c r="L2799">
        <f t="shared" si="3"/>
        <v>0</v>
      </c>
    </row>
    <row r="2800">
      <c r="A2800" s="107">
        <f>IFERROR(__xludf.DUMMYFUNCTION("""COMPUTED_VALUE"""),45962.0)</f>
        <v>45962</v>
      </c>
      <c r="B2800" t="str">
        <f>IFERROR(__xludf.DUMMYFUNCTION("""COMPUTED_VALUE"""),"[中山北娘家旁] D [洪琦媜] 月租金 後五碼:25359 (行號: 72)")</f>
        <v>[中山北娘家旁] D [洪琦媜] 月租金 後五碼:25359 (行號: 72)</v>
      </c>
      <c r="C2800" t="str">
        <f>IFERROR(__xludf.DUMMYFUNCTION("""COMPUTED_VALUE"""),"收入 - 租金")</f>
        <v>收入 - 租金</v>
      </c>
      <c r="D2800" s="270">
        <f>IFERROR(__xludf.DUMMYFUNCTION("""COMPUTED_VALUE"""),14500.0)</f>
        <v>14500</v>
      </c>
      <c r="F2800" t="str">
        <f>IFERROR(__xludf.DUMMYFUNCTION("""COMPUTED_VALUE"""),"台銀籌備帳戶")</f>
        <v>台銀籌備帳戶</v>
      </c>
      <c r="G2800" t="str">
        <f>IFERROR(__xludf.DUMMYFUNCTION("""COMPUTED_VALUE"""),"中山北娘家旁")</f>
        <v>中山北娘家旁</v>
      </c>
      <c r="H2800" s="106" t="str">
        <f t="shared" si="1"/>
        <v>2025-11</v>
      </c>
      <c r="I2800" s="271" t="str">
        <f>IFERROR(__xludf.DUMMYFUNCTION("""COMPUTED_VALUE"""),"貓狗企鵝")</f>
        <v>貓狗企鵝</v>
      </c>
      <c r="J2800" t="str">
        <f>IFERROR(__xludf.DUMMYFUNCTION("IFS(
  AND(REGEXMATCH(E2800, ""台銀籌備帳戶|玉山帳戶""), REGEXMATCH(C2800, ""薪資"")), ""分潤支出"",
  AND(REGEXMATCH(E2800, ""Ben帳戶|Elsa帳戶|Ben代墊|Ariel代墊|中信銀行共用""), REGEXMATCH(F2800, ""Ben帳戶|Elsa帳戶|Ben代墊|Ariel代墊|中信銀行共用"")), ""內部轉帳(忽略)"",
  AND(E2800&lt;&gt;"""", F2800&lt;&gt;"""", N"&amp;"OT(REGEXMATCH(C2800, ""薪資""))), ""內部轉帳(忽略)"",
  REGEXMATCH(C2800, ""薪資""), ""薪資變動(不計入)"",
  REGEXMATCH(C2800, ""押金""), ""押金往來"",
  AND(E2800&lt;&gt;"""", F2800=""""), ""真實支出"",
  AND(E2800="""", F2800&lt;&gt;""""), ""真實收入"",
  TRUE, ""其他""
)"),"真實收入")</f>
        <v>真實收入</v>
      </c>
      <c r="K2800" s="270">
        <f t="shared" si="2"/>
        <v>14500</v>
      </c>
      <c r="L2800">
        <f t="shared" si="3"/>
        <v>0</v>
      </c>
    </row>
    <row r="2801">
      <c r="A2801" s="107">
        <f>IFERROR(__xludf.DUMMYFUNCTION("""COMPUTED_VALUE"""),45962.0)</f>
        <v>45962</v>
      </c>
      <c r="B2801" t="str">
        <f>IFERROR(__xludf.DUMMYFUNCTION("""COMPUTED_VALUE"""),"[中山北娘家旁] A [李亨加] 月租金 後五碼:86076 (行號: 73, 74)")</f>
        <v>[中山北娘家旁] A [李亨加] 月租金 後五碼:86076 (行號: 73, 74)</v>
      </c>
      <c r="C2801" t="str">
        <f>IFERROR(__xludf.DUMMYFUNCTION("""COMPUTED_VALUE"""),"收入 - 租金")</f>
        <v>收入 - 租金</v>
      </c>
      <c r="D2801" s="270">
        <f>IFERROR(__xludf.DUMMYFUNCTION("""COMPUTED_VALUE"""),12500.0)</f>
        <v>12500</v>
      </c>
      <c r="F2801" t="str">
        <f>IFERROR(__xludf.DUMMYFUNCTION("""COMPUTED_VALUE"""),"台銀籌備帳戶")</f>
        <v>台銀籌備帳戶</v>
      </c>
      <c r="G2801" t="str">
        <f>IFERROR(__xludf.DUMMYFUNCTION("""COMPUTED_VALUE"""),"中山北娘家旁")</f>
        <v>中山北娘家旁</v>
      </c>
      <c r="H2801" s="106" t="str">
        <f t="shared" si="1"/>
        <v>2025-11</v>
      </c>
      <c r="I2801" s="271" t="str">
        <f>IFERROR(__xludf.DUMMYFUNCTION("""COMPUTED_VALUE"""),"貓狗企鵝")</f>
        <v>貓狗企鵝</v>
      </c>
      <c r="J2801" t="str">
        <f>IFERROR(__xludf.DUMMYFUNCTION("IFS(
  AND(REGEXMATCH(E2801, ""台銀籌備帳戶|玉山帳戶""), REGEXMATCH(C2801, ""薪資"")), ""分潤支出"",
  AND(REGEXMATCH(E2801, ""Ben帳戶|Elsa帳戶|Ben代墊|Ariel代墊|中信銀行共用""), REGEXMATCH(F2801, ""Ben帳戶|Elsa帳戶|Ben代墊|Ariel代墊|中信銀行共用"")), ""內部轉帳(忽略)"",
  AND(E2801&lt;&gt;"""", F2801&lt;&gt;"""", N"&amp;"OT(REGEXMATCH(C2801, ""薪資""))), ""內部轉帳(忽略)"",
  REGEXMATCH(C2801, ""薪資""), ""薪資變動(不計入)"",
  REGEXMATCH(C2801, ""押金""), ""押金往來"",
  AND(E2801&lt;&gt;"""", F2801=""""), ""真實支出"",
  AND(E2801="""", F2801&lt;&gt;""""), ""真實收入"",
  TRUE, ""其他""
)"),"真實收入")</f>
        <v>真實收入</v>
      </c>
      <c r="K2801" s="270">
        <f t="shared" si="2"/>
        <v>12500</v>
      </c>
      <c r="L2801">
        <f t="shared" si="3"/>
        <v>0</v>
      </c>
    </row>
    <row r="2802">
      <c r="A2802" s="107">
        <f>IFERROR(__xludf.DUMMYFUNCTION("""COMPUTED_VALUE"""),45962.0)</f>
        <v>45962</v>
      </c>
      <c r="B2802" t="str">
        <f>IFERROR(__xludf.DUMMYFUNCTION("""COMPUTED_VALUE"""),"[中山北Feli家] E [Shihara Senaratna, Xueying Chen] 月租金 後五碼:41343 (行號: 75)")</f>
        <v>[中山北Feli家] E [Shihara Senaratna, Xueying Chen] 月租金 後五碼:41343 (行號: 75)</v>
      </c>
      <c r="C2802" t="str">
        <f>IFERROR(__xludf.DUMMYFUNCTION("""COMPUTED_VALUE"""),"收入 - 租金")</f>
        <v>收入 - 租金</v>
      </c>
      <c r="D2802" s="270">
        <f>IFERROR(__xludf.DUMMYFUNCTION("""COMPUTED_VALUE"""),30000.0)</f>
        <v>30000</v>
      </c>
      <c r="F2802" t="str">
        <f>IFERROR(__xludf.DUMMYFUNCTION("""COMPUTED_VALUE"""),"台銀籌備帳戶")</f>
        <v>台銀籌備帳戶</v>
      </c>
      <c r="G2802" t="str">
        <f>IFERROR(__xludf.DUMMYFUNCTION("""COMPUTED_VALUE"""),"中山北Feli家")</f>
        <v>中山北Feli家</v>
      </c>
      <c r="H2802" s="106" t="str">
        <f t="shared" si="1"/>
        <v>2025-11</v>
      </c>
      <c r="I2802" s="271" t="str">
        <f>IFERROR(__xludf.DUMMYFUNCTION("""COMPUTED_VALUE"""),"貓狗企鵝")</f>
        <v>貓狗企鵝</v>
      </c>
      <c r="J2802" t="str">
        <f>IFERROR(__xludf.DUMMYFUNCTION("IFS(
  AND(REGEXMATCH(E2802, ""台銀籌備帳戶|玉山帳戶""), REGEXMATCH(C2802, ""薪資"")), ""分潤支出"",
  AND(REGEXMATCH(E2802, ""Ben帳戶|Elsa帳戶|Ben代墊|Ariel代墊|中信銀行共用""), REGEXMATCH(F2802, ""Ben帳戶|Elsa帳戶|Ben代墊|Ariel代墊|中信銀行共用"")), ""內部轉帳(忽略)"",
  AND(E2802&lt;&gt;"""", F2802&lt;&gt;"""", N"&amp;"OT(REGEXMATCH(C2802, ""薪資""))), ""內部轉帳(忽略)"",
  REGEXMATCH(C2802, ""薪資""), ""薪資變動(不計入)"",
  REGEXMATCH(C2802, ""押金""), ""押金往來"",
  AND(E2802&lt;&gt;"""", F2802=""""), ""真實支出"",
  AND(E2802="""", F2802&lt;&gt;""""), ""真實收入"",
  TRUE, ""其他""
)"),"真實收入")</f>
        <v>真實收入</v>
      </c>
      <c r="K2802" s="270">
        <f t="shared" si="2"/>
        <v>30000</v>
      </c>
      <c r="L2802">
        <f t="shared" si="3"/>
        <v>0</v>
      </c>
    </row>
    <row r="2803">
      <c r="A2803" s="107">
        <f>IFERROR(__xludf.DUMMYFUNCTION("""COMPUTED_VALUE"""),45962.0)</f>
        <v>45962</v>
      </c>
      <c r="B2803" t="str">
        <f>IFERROR(__xludf.DUMMYFUNCTION("""COMPUTED_VALUE"""),"[永春四號] C [林聿妡] 月租金 後五碼:47900 (行號: 76)")</f>
        <v>[永春四號] C [林聿妡] 月租金 後五碼:47900 (行號: 76)</v>
      </c>
      <c r="C2803" t="str">
        <f>IFERROR(__xludf.DUMMYFUNCTION("""COMPUTED_VALUE"""),"收入 - 租金")</f>
        <v>收入 - 租金</v>
      </c>
      <c r="D2803" s="270">
        <f>IFERROR(__xludf.DUMMYFUNCTION("""COMPUTED_VALUE"""),12800.0)</f>
        <v>12800</v>
      </c>
      <c r="F2803" t="str">
        <f>IFERROR(__xludf.DUMMYFUNCTION("""COMPUTED_VALUE"""),"台銀籌備帳戶")</f>
        <v>台銀籌備帳戶</v>
      </c>
      <c r="G2803" t="str">
        <f>IFERROR(__xludf.DUMMYFUNCTION("""COMPUTED_VALUE"""),"永春四號")</f>
        <v>永春四號</v>
      </c>
      <c r="H2803" s="106" t="str">
        <f t="shared" si="1"/>
        <v>2025-11</v>
      </c>
      <c r="I2803" s="271" t="str">
        <f>IFERROR(__xludf.DUMMYFUNCTION("""COMPUTED_VALUE"""),"貓狗企鵝")</f>
        <v>貓狗企鵝</v>
      </c>
      <c r="J2803" t="str">
        <f>IFERROR(__xludf.DUMMYFUNCTION("IFS(
  AND(REGEXMATCH(E2803, ""台銀籌備帳戶|玉山帳戶""), REGEXMATCH(C2803, ""薪資"")), ""分潤支出"",
  AND(REGEXMATCH(E2803, ""Ben帳戶|Elsa帳戶|Ben代墊|Ariel代墊|中信銀行共用""), REGEXMATCH(F2803, ""Ben帳戶|Elsa帳戶|Ben代墊|Ariel代墊|中信銀行共用"")), ""內部轉帳(忽略)"",
  AND(E2803&lt;&gt;"""", F2803&lt;&gt;"""", N"&amp;"OT(REGEXMATCH(C2803, ""薪資""))), ""內部轉帳(忽略)"",
  REGEXMATCH(C2803, ""薪資""), ""薪資變動(不計入)"",
  REGEXMATCH(C2803, ""押金""), ""押金往來"",
  AND(E2803&lt;&gt;"""", F2803=""""), ""真實支出"",
  AND(E2803="""", F2803&lt;&gt;""""), ""真實收入"",
  TRUE, ""其他""
)"),"真實收入")</f>
        <v>真實收入</v>
      </c>
      <c r="K2803" s="270">
        <f t="shared" si="2"/>
        <v>12800</v>
      </c>
      <c r="L2803">
        <f t="shared" si="3"/>
        <v>0</v>
      </c>
    </row>
    <row r="2804">
      <c r="A2804" s="107">
        <f>IFERROR(__xludf.DUMMYFUNCTION("""COMPUTED_VALUE"""),45962.0)</f>
        <v>45962</v>
      </c>
      <c r="B2804" t="str">
        <f>IFERROR(__xludf.DUMMYFUNCTION("""COMPUTED_VALUE"""),"[大湖山莊] D [陳昭瑄] 月租金 後五碼:57000 (行號: 77)")</f>
        <v>[大湖山莊] D [陳昭瑄] 月租金 後五碼:57000 (行號: 77)</v>
      </c>
      <c r="C2804" t="str">
        <f>IFERROR(__xludf.DUMMYFUNCTION("""COMPUTED_VALUE"""),"收入 - 租金")</f>
        <v>收入 - 租金</v>
      </c>
      <c r="D2804" s="270">
        <f>IFERROR(__xludf.DUMMYFUNCTION("""COMPUTED_VALUE"""),14300.0)</f>
        <v>14300</v>
      </c>
      <c r="F2804" t="str">
        <f>IFERROR(__xludf.DUMMYFUNCTION("""COMPUTED_VALUE"""),"台銀籌備帳戶")</f>
        <v>台銀籌備帳戶</v>
      </c>
      <c r="G2804" t="str">
        <f>IFERROR(__xludf.DUMMYFUNCTION("""COMPUTED_VALUE"""),"大湖山莊")</f>
        <v>大湖山莊</v>
      </c>
      <c r="H2804" s="106" t="str">
        <f t="shared" si="1"/>
        <v>2025-11</v>
      </c>
      <c r="I2804" s="271" t="str">
        <f>IFERROR(__xludf.DUMMYFUNCTION("""COMPUTED_VALUE"""),"貓狗企鵝")</f>
        <v>貓狗企鵝</v>
      </c>
      <c r="J2804" t="str">
        <f>IFERROR(__xludf.DUMMYFUNCTION("IFS(
  AND(REGEXMATCH(E2804, ""台銀籌備帳戶|玉山帳戶""), REGEXMATCH(C2804, ""薪資"")), ""分潤支出"",
  AND(REGEXMATCH(E2804, ""Ben帳戶|Elsa帳戶|Ben代墊|Ariel代墊|中信銀行共用""), REGEXMATCH(F2804, ""Ben帳戶|Elsa帳戶|Ben代墊|Ariel代墊|中信銀行共用"")), ""內部轉帳(忽略)"",
  AND(E2804&lt;&gt;"""", F2804&lt;&gt;"""", N"&amp;"OT(REGEXMATCH(C2804, ""薪資""))), ""內部轉帳(忽略)"",
  REGEXMATCH(C2804, ""薪資""), ""薪資變動(不計入)"",
  REGEXMATCH(C2804, ""押金""), ""押金往來"",
  AND(E2804&lt;&gt;"""", F2804=""""), ""真實支出"",
  AND(E2804="""", F2804&lt;&gt;""""), ""真實收入"",
  TRUE, ""其他""
)"),"真實收入")</f>
        <v>真實收入</v>
      </c>
      <c r="K2804" s="270">
        <f t="shared" si="2"/>
        <v>14300</v>
      </c>
      <c r="L2804">
        <f t="shared" si="3"/>
        <v>0</v>
      </c>
    </row>
    <row r="2805">
      <c r="A2805" s="107">
        <f>IFERROR(__xludf.DUMMYFUNCTION("""COMPUTED_VALUE"""),45962.0)</f>
        <v>45962</v>
      </c>
      <c r="B2805" t="str">
        <f>IFERROR(__xludf.DUMMYFUNCTION("""COMPUTED_VALUE"""),"[北醫醫師府] A [吳緯程] 月租金 後五碼:94132 (行號: 78)")</f>
        <v>[北醫醫師府] A [吳緯程] 月租金 後五碼:94132 (行號: 78)</v>
      </c>
      <c r="C2805" t="str">
        <f>IFERROR(__xludf.DUMMYFUNCTION("""COMPUTED_VALUE"""),"收入 - 租金")</f>
        <v>收入 - 租金</v>
      </c>
      <c r="D2805" s="270">
        <f>IFERROR(__xludf.DUMMYFUNCTION("""COMPUTED_VALUE"""),13000.0)</f>
        <v>13000</v>
      </c>
      <c r="F2805" t="str">
        <f>IFERROR(__xludf.DUMMYFUNCTION("""COMPUTED_VALUE"""),"台銀籌備帳戶")</f>
        <v>台銀籌備帳戶</v>
      </c>
      <c r="G2805" t="str">
        <f>IFERROR(__xludf.DUMMYFUNCTION("""COMPUTED_VALUE"""),"北醫醫師府")</f>
        <v>北醫醫師府</v>
      </c>
      <c r="H2805" s="106" t="str">
        <f t="shared" si="1"/>
        <v>2025-11</v>
      </c>
      <c r="I2805" s="271" t="str">
        <f>IFERROR(__xludf.DUMMYFUNCTION("""COMPUTED_VALUE"""),"貓狗企鵝")</f>
        <v>貓狗企鵝</v>
      </c>
      <c r="J2805" t="str">
        <f>IFERROR(__xludf.DUMMYFUNCTION("IFS(
  AND(REGEXMATCH(E2805, ""台銀籌備帳戶|玉山帳戶""), REGEXMATCH(C2805, ""薪資"")), ""分潤支出"",
  AND(REGEXMATCH(E2805, ""Ben帳戶|Elsa帳戶|Ben代墊|Ariel代墊|中信銀行共用""), REGEXMATCH(F2805, ""Ben帳戶|Elsa帳戶|Ben代墊|Ariel代墊|中信銀行共用"")), ""內部轉帳(忽略)"",
  AND(E2805&lt;&gt;"""", F2805&lt;&gt;"""", N"&amp;"OT(REGEXMATCH(C2805, ""薪資""))), ""內部轉帳(忽略)"",
  REGEXMATCH(C2805, ""薪資""), ""薪資變動(不計入)"",
  REGEXMATCH(C2805, ""押金""), ""押金往來"",
  AND(E2805&lt;&gt;"""", F2805=""""), ""真實支出"",
  AND(E2805="""", F2805&lt;&gt;""""), ""真實收入"",
  TRUE, ""其他""
)"),"真實收入")</f>
        <v>真實收入</v>
      </c>
      <c r="K2805" s="270">
        <f t="shared" si="2"/>
        <v>13000</v>
      </c>
      <c r="L2805">
        <f t="shared" si="3"/>
        <v>0</v>
      </c>
    </row>
    <row r="2806">
      <c r="A2806" s="107">
        <f>IFERROR(__xludf.DUMMYFUNCTION("""COMPUTED_VALUE"""),45962.0)</f>
        <v>45962</v>
      </c>
      <c r="B2806" t="str">
        <f>IFERROR(__xludf.DUMMYFUNCTION("""COMPUTED_VALUE"""),"[景安2分鐘] B [張依憑, 張語婕] 月租金 後五碼:29741 (行號: 79)")</f>
        <v>[景安2分鐘] B [張依憑, 張語婕] 月租金 後五碼:29741 (行號: 79)</v>
      </c>
      <c r="C2806" t="str">
        <f>IFERROR(__xludf.DUMMYFUNCTION("""COMPUTED_VALUE"""),"收入 - 租金")</f>
        <v>收入 - 租金</v>
      </c>
      <c r="D2806" s="270">
        <f>IFERROR(__xludf.DUMMYFUNCTION("""COMPUTED_VALUE"""),18800.0)</f>
        <v>18800</v>
      </c>
      <c r="F2806" t="str">
        <f>IFERROR(__xludf.DUMMYFUNCTION("""COMPUTED_VALUE"""),"台銀籌備帳戶")</f>
        <v>台銀籌備帳戶</v>
      </c>
      <c r="G2806" t="str">
        <f>IFERROR(__xludf.DUMMYFUNCTION("""COMPUTED_VALUE"""),"景安2分鐘")</f>
        <v>景安2分鐘</v>
      </c>
      <c r="H2806" s="106" t="str">
        <f t="shared" si="1"/>
        <v>2025-11</v>
      </c>
      <c r="I2806" s="271" t="str">
        <f>IFERROR(__xludf.DUMMYFUNCTION("""COMPUTED_VALUE"""),"貓狗企鵝")</f>
        <v>貓狗企鵝</v>
      </c>
      <c r="J2806" t="str">
        <f>IFERROR(__xludf.DUMMYFUNCTION("IFS(
  AND(REGEXMATCH(E2806, ""台銀籌備帳戶|玉山帳戶""), REGEXMATCH(C2806, ""薪資"")), ""分潤支出"",
  AND(REGEXMATCH(E2806, ""Ben帳戶|Elsa帳戶|Ben代墊|Ariel代墊|中信銀行共用""), REGEXMATCH(F2806, ""Ben帳戶|Elsa帳戶|Ben代墊|Ariel代墊|中信銀行共用"")), ""內部轉帳(忽略)"",
  AND(E2806&lt;&gt;"""", F2806&lt;&gt;"""", N"&amp;"OT(REGEXMATCH(C2806, ""薪資""))), ""內部轉帳(忽略)"",
  REGEXMATCH(C2806, ""薪資""), ""薪資變動(不計入)"",
  REGEXMATCH(C2806, ""押金""), ""押金往來"",
  AND(E2806&lt;&gt;"""", F2806=""""), ""真實支出"",
  AND(E2806="""", F2806&lt;&gt;""""), ""真實收入"",
  TRUE, ""其他""
)"),"真實收入")</f>
        <v>真實收入</v>
      </c>
      <c r="K2806" s="270">
        <f t="shared" si="2"/>
        <v>18800</v>
      </c>
      <c r="L2806">
        <f t="shared" si="3"/>
        <v>0</v>
      </c>
    </row>
    <row r="2807">
      <c r="A2807" s="107">
        <f>IFERROR(__xludf.DUMMYFUNCTION("""COMPUTED_VALUE"""),45963.0)</f>
        <v>45963</v>
      </c>
      <c r="B2807" t="str">
        <f>IFERROR(__xludf.DUMMYFUNCTION("""COMPUTED_VALUE"""),"[北醫醫師府] B [王品涵] 月租金 後五碼:26127 (行號: 80)")</f>
        <v>[北醫醫師府] B [王品涵] 月租金 後五碼:26127 (行號: 80)</v>
      </c>
      <c r="C2807" t="str">
        <f>IFERROR(__xludf.DUMMYFUNCTION("""COMPUTED_VALUE"""),"收入 - 租金")</f>
        <v>收入 - 租金</v>
      </c>
      <c r="D2807" s="270">
        <f>IFERROR(__xludf.DUMMYFUNCTION("""COMPUTED_VALUE"""),17800.0)</f>
        <v>17800</v>
      </c>
      <c r="F2807" t="str">
        <f>IFERROR(__xludf.DUMMYFUNCTION("""COMPUTED_VALUE"""),"台銀籌備帳戶")</f>
        <v>台銀籌備帳戶</v>
      </c>
      <c r="G2807" t="str">
        <f>IFERROR(__xludf.DUMMYFUNCTION("""COMPUTED_VALUE"""),"北醫醫師府")</f>
        <v>北醫醫師府</v>
      </c>
      <c r="H2807" s="106" t="str">
        <f t="shared" si="1"/>
        <v>2025-11</v>
      </c>
      <c r="I2807" s="271" t="str">
        <f>IFERROR(__xludf.DUMMYFUNCTION("""COMPUTED_VALUE"""),"貓狗企鵝")</f>
        <v>貓狗企鵝</v>
      </c>
      <c r="J2807" t="str">
        <f>IFERROR(__xludf.DUMMYFUNCTION("IFS(
  AND(REGEXMATCH(E2807, ""台銀籌備帳戶|玉山帳戶""), REGEXMATCH(C2807, ""薪資"")), ""分潤支出"",
  AND(REGEXMATCH(E2807, ""Ben帳戶|Elsa帳戶|Ben代墊|Ariel代墊|中信銀行共用""), REGEXMATCH(F2807, ""Ben帳戶|Elsa帳戶|Ben代墊|Ariel代墊|中信銀行共用"")), ""內部轉帳(忽略)"",
  AND(E2807&lt;&gt;"""", F2807&lt;&gt;"""", N"&amp;"OT(REGEXMATCH(C2807, ""薪資""))), ""內部轉帳(忽略)"",
  REGEXMATCH(C2807, ""薪資""), ""薪資變動(不計入)"",
  REGEXMATCH(C2807, ""押金""), ""押金往來"",
  AND(E2807&lt;&gt;"""", F2807=""""), ""真實支出"",
  AND(E2807="""", F2807&lt;&gt;""""), ""真實收入"",
  TRUE, ""其他""
)"),"真實收入")</f>
        <v>真實收入</v>
      </c>
      <c r="K2807" s="270">
        <f t="shared" si="2"/>
        <v>17800</v>
      </c>
      <c r="L2807">
        <f t="shared" si="3"/>
        <v>0</v>
      </c>
    </row>
    <row r="2808">
      <c r="A2808" s="107">
        <f>IFERROR(__xludf.DUMMYFUNCTION("""COMPUTED_VALUE"""),45963.0)</f>
        <v>45963</v>
      </c>
      <c r="B2808" t="str">
        <f>IFERROR(__xludf.DUMMYFUNCTION("""COMPUTED_VALUE""")," [北醫醫師府] E [楊東憲] 合約 CR00133 後五碼:77237 (行號: 81)")</f>
        <v> [北醫醫師府] E [楊東憲] 合約 CR00133 後五碼:77237 (行號: 81)</v>
      </c>
      <c r="C2808" t="str">
        <f>IFERROR(__xludf.DUMMYFUNCTION("""COMPUTED_VALUE"""),"收入 - 租金")</f>
        <v>收入 - 租金</v>
      </c>
      <c r="D2808" s="270">
        <f>IFERROR(__xludf.DUMMYFUNCTION("""COMPUTED_VALUE"""),29600.0)</f>
        <v>29600</v>
      </c>
      <c r="F2808" t="str">
        <f>IFERROR(__xludf.DUMMYFUNCTION("""COMPUTED_VALUE"""),"台銀籌備帳戶")</f>
        <v>台銀籌備帳戶</v>
      </c>
      <c r="G2808" t="str">
        <f>IFERROR(__xludf.DUMMYFUNCTION("""COMPUTED_VALUE"""),"北醫醫師府")</f>
        <v>北醫醫師府</v>
      </c>
      <c r="H2808" s="106" t="str">
        <f t="shared" si="1"/>
        <v>2025-11</v>
      </c>
      <c r="I2808" s="271" t="str">
        <f>IFERROR(__xludf.DUMMYFUNCTION("""COMPUTED_VALUE"""),"貓狗企鵝")</f>
        <v>貓狗企鵝</v>
      </c>
      <c r="J2808" t="str">
        <f>IFERROR(__xludf.DUMMYFUNCTION("IFS(
  AND(REGEXMATCH(E2808, ""台銀籌備帳戶|玉山帳戶""), REGEXMATCH(C2808, ""薪資"")), ""分潤支出"",
  AND(REGEXMATCH(E2808, ""Ben帳戶|Elsa帳戶|Ben代墊|Ariel代墊|中信銀行共用""), REGEXMATCH(F2808, ""Ben帳戶|Elsa帳戶|Ben代墊|Ariel代墊|中信銀行共用"")), ""內部轉帳(忽略)"",
  AND(E2808&lt;&gt;"""", F2808&lt;&gt;"""", N"&amp;"OT(REGEXMATCH(C2808, ""薪資""))), ""內部轉帳(忽略)"",
  REGEXMATCH(C2808, ""薪資""), ""薪資變動(不計入)"",
  REGEXMATCH(C2808, ""押金""), ""押金往來"",
  AND(E2808&lt;&gt;"""", F2808=""""), ""真實支出"",
  AND(E2808="""", F2808&lt;&gt;""""), ""真實收入"",
  TRUE, ""其他""
)"),"真實收入")</f>
        <v>真實收入</v>
      </c>
      <c r="K2808" s="270">
        <f t="shared" si="2"/>
        <v>29600</v>
      </c>
      <c r="L2808">
        <f t="shared" si="3"/>
        <v>0</v>
      </c>
    </row>
    <row r="2809">
      <c r="A2809" s="107">
        <f>IFERROR(__xludf.DUMMYFUNCTION("""COMPUTED_VALUE"""),45963.0)</f>
        <v>45963</v>
      </c>
      <c r="B2809" t="str">
        <f>IFERROR(__xludf.DUMMYFUNCTION("""COMPUTED_VALUE"""),"[中山北Feli家] C [郭亞潔] 月租金 後五碼:84909 (行號: 82)")</f>
        <v>[中山北Feli家] C [郭亞潔] 月租金 後五碼:84909 (行號: 82)</v>
      </c>
      <c r="C2809" t="str">
        <f>IFERROR(__xludf.DUMMYFUNCTION("""COMPUTED_VALUE"""),"收入 - 租金")</f>
        <v>收入 - 租金</v>
      </c>
      <c r="D2809" s="270">
        <f>IFERROR(__xludf.DUMMYFUNCTION("""COMPUTED_VALUE"""),11500.0)</f>
        <v>11500</v>
      </c>
      <c r="F2809" t="str">
        <f>IFERROR(__xludf.DUMMYFUNCTION("""COMPUTED_VALUE"""),"台銀籌備帳戶")</f>
        <v>台銀籌備帳戶</v>
      </c>
      <c r="G2809" t="str">
        <f>IFERROR(__xludf.DUMMYFUNCTION("""COMPUTED_VALUE"""),"中山北Feli家")</f>
        <v>中山北Feli家</v>
      </c>
      <c r="H2809" s="106" t="str">
        <f t="shared" si="1"/>
        <v>2025-11</v>
      </c>
      <c r="I2809" s="271" t="str">
        <f>IFERROR(__xludf.DUMMYFUNCTION("""COMPUTED_VALUE"""),"貓狗企鵝")</f>
        <v>貓狗企鵝</v>
      </c>
      <c r="J2809" t="str">
        <f>IFERROR(__xludf.DUMMYFUNCTION("IFS(
  AND(REGEXMATCH(E2809, ""台銀籌備帳戶|玉山帳戶""), REGEXMATCH(C2809, ""薪資"")), ""分潤支出"",
  AND(REGEXMATCH(E2809, ""Ben帳戶|Elsa帳戶|Ben代墊|Ariel代墊|中信銀行共用""), REGEXMATCH(F2809, ""Ben帳戶|Elsa帳戶|Ben代墊|Ariel代墊|中信銀行共用"")), ""內部轉帳(忽略)"",
  AND(E2809&lt;&gt;"""", F2809&lt;&gt;"""", N"&amp;"OT(REGEXMATCH(C2809, ""薪資""))), ""內部轉帳(忽略)"",
  REGEXMATCH(C2809, ""薪資""), ""薪資變動(不計入)"",
  REGEXMATCH(C2809, ""押金""), ""押金往來"",
  AND(E2809&lt;&gt;"""", F2809=""""), ""真實支出"",
  AND(E2809="""", F2809&lt;&gt;""""), ""真實收入"",
  TRUE, ""其他""
)"),"真實收入")</f>
        <v>真實收入</v>
      </c>
      <c r="K2809" s="270">
        <f t="shared" si="2"/>
        <v>11500</v>
      </c>
      <c r="L2809">
        <f t="shared" si="3"/>
        <v>0</v>
      </c>
    </row>
    <row r="2810">
      <c r="A2810" s="107">
        <f>IFERROR(__xludf.DUMMYFUNCTION("""COMPUTED_VALUE"""),45963.0)</f>
        <v>45963</v>
      </c>
      <c r="B2810" t="str">
        <f>IFERROR(__xludf.DUMMYFUNCTION("""COMPUTED_VALUE"""),"[龍江229] D [黃依婷] 月租金 後五碼:45221 (行號: 83)")</f>
        <v>[龍江229] D [黃依婷] 月租金 後五碼:45221 (行號: 83)</v>
      </c>
      <c r="C2810" t="str">
        <f>IFERROR(__xludf.DUMMYFUNCTION("""COMPUTED_VALUE"""),"收入 - 租金")</f>
        <v>收入 - 租金</v>
      </c>
      <c r="D2810" s="270">
        <f>IFERROR(__xludf.DUMMYFUNCTION("""COMPUTED_VALUE"""),13300.0)</f>
        <v>13300</v>
      </c>
      <c r="F2810" t="str">
        <f>IFERROR(__xludf.DUMMYFUNCTION("""COMPUTED_VALUE"""),"台銀籌備帳戶")</f>
        <v>台銀籌備帳戶</v>
      </c>
      <c r="G2810" t="str">
        <f>IFERROR(__xludf.DUMMYFUNCTION("""COMPUTED_VALUE"""),"龍江229")</f>
        <v>龍江229</v>
      </c>
      <c r="H2810" s="106" t="str">
        <f t="shared" si="1"/>
        <v>2025-11</v>
      </c>
      <c r="I2810" s="271" t="str">
        <f>IFERROR(__xludf.DUMMYFUNCTION("""COMPUTED_VALUE"""),"貓狗企鵝")</f>
        <v>貓狗企鵝</v>
      </c>
      <c r="J2810" t="str">
        <f>IFERROR(__xludf.DUMMYFUNCTION("IFS(
  AND(REGEXMATCH(E2810, ""台銀籌備帳戶|玉山帳戶""), REGEXMATCH(C2810, ""薪資"")), ""分潤支出"",
  AND(REGEXMATCH(E2810, ""Ben帳戶|Elsa帳戶|Ben代墊|Ariel代墊|中信銀行共用""), REGEXMATCH(F2810, ""Ben帳戶|Elsa帳戶|Ben代墊|Ariel代墊|中信銀行共用"")), ""內部轉帳(忽略)"",
  AND(E2810&lt;&gt;"""", F2810&lt;&gt;"""", N"&amp;"OT(REGEXMATCH(C2810, ""薪資""))), ""內部轉帳(忽略)"",
  REGEXMATCH(C2810, ""薪資""), ""薪資變動(不計入)"",
  REGEXMATCH(C2810, ""押金""), ""押金往來"",
  AND(E2810&lt;&gt;"""", F2810=""""), ""真實支出"",
  AND(E2810="""", F2810&lt;&gt;""""), ""真實收入"",
  TRUE, ""其他""
)"),"真實收入")</f>
        <v>真實收入</v>
      </c>
      <c r="K2810" s="270">
        <f t="shared" si="2"/>
        <v>13300</v>
      </c>
      <c r="L2810">
        <f t="shared" si="3"/>
        <v>0</v>
      </c>
    </row>
    <row r="2811">
      <c r="A2811" s="107">
        <f>IFERROR(__xludf.DUMMYFUNCTION("""COMPUTED_VALUE"""),45963.0)</f>
        <v>45963</v>
      </c>
      <c r="B2811" t="str">
        <f>IFERROR(__xludf.DUMMYFUNCTION("""COMPUTED_VALUE"""),"[北醫醫師府] D [吳宥辰] 月租金 後五碼:79414 (行號: 84)")</f>
        <v>[北醫醫師府] D [吳宥辰] 月租金 後五碼:79414 (行號: 84)</v>
      </c>
      <c r="C2811" t="str">
        <f>IFERROR(__xludf.DUMMYFUNCTION("""COMPUTED_VALUE"""),"收入 - 租金")</f>
        <v>收入 - 租金</v>
      </c>
      <c r="D2811" s="270">
        <f>IFERROR(__xludf.DUMMYFUNCTION("""COMPUTED_VALUE"""),12000.0)</f>
        <v>12000</v>
      </c>
      <c r="F2811" t="str">
        <f>IFERROR(__xludf.DUMMYFUNCTION("""COMPUTED_VALUE"""),"台銀籌備帳戶")</f>
        <v>台銀籌備帳戶</v>
      </c>
      <c r="G2811" t="str">
        <f>IFERROR(__xludf.DUMMYFUNCTION("""COMPUTED_VALUE"""),"北醫醫師府")</f>
        <v>北醫醫師府</v>
      </c>
      <c r="H2811" s="106" t="str">
        <f t="shared" si="1"/>
        <v>2025-11</v>
      </c>
      <c r="I2811" s="271" t="str">
        <f>IFERROR(__xludf.DUMMYFUNCTION("""COMPUTED_VALUE"""),"貓狗企鵝")</f>
        <v>貓狗企鵝</v>
      </c>
      <c r="J2811" t="str">
        <f>IFERROR(__xludf.DUMMYFUNCTION("IFS(
  AND(REGEXMATCH(E2811, ""台銀籌備帳戶|玉山帳戶""), REGEXMATCH(C2811, ""薪資"")), ""分潤支出"",
  AND(REGEXMATCH(E2811, ""Ben帳戶|Elsa帳戶|Ben代墊|Ariel代墊|中信銀行共用""), REGEXMATCH(F2811, ""Ben帳戶|Elsa帳戶|Ben代墊|Ariel代墊|中信銀行共用"")), ""內部轉帳(忽略)"",
  AND(E2811&lt;&gt;"""", F2811&lt;&gt;"""", N"&amp;"OT(REGEXMATCH(C2811, ""薪資""))), ""內部轉帳(忽略)"",
  REGEXMATCH(C2811, ""薪資""), ""薪資變動(不計入)"",
  REGEXMATCH(C2811, ""押金""), ""押金往來"",
  AND(E2811&lt;&gt;"""", F2811=""""), ""真實支出"",
  AND(E2811="""", F2811&lt;&gt;""""), ""真實收入"",
  TRUE, ""其他""
)"),"真實收入")</f>
        <v>真實收入</v>
      </c>
      <c r="K2811" s="270">
        <f t="shared" si="2"/>
        <v>12000</v>
      </c>
      <c r="L2811">
        <f t="shared" si="3"/>
        <v>0</v>
      </c>
    </row>
    <row r="2812">
      <c r="A2812" s="107">
        <f>IFERROR(__xludf.DUMMYFUNCTION("""COMPUTED_VALUE"""),45963.0)</f>
        <v>45963</v>
      </c>
      <c r="B2812" t="str">
        <f>IFERROR(__xludf.DUMMYFUNCTION("""COMPUTED_VALUE"""),"[書香民生] E [劉祐安] 月租金 後五碼:41152 (行號: 85)")</f>
        <v>[書香民生] E [劉祐安] 月租金 後五碼:41152 (行號: 85)</v>
      </c>
      <c r="C2812" t="str">
        <f>IFERROR(__xludf.DUMMYFUNCTION("""COMPUTED_VALUE"""),"收入 - 租金")</f>
        <v>收入 - 租金</v>
      </c>
      <c r="D2812" s="270">
        <f>IFERROR(__xludf.DUMMYFUNCTION("""COMPUTED_VALUE"""),17800.0)</f>
        <v>17800</v>
      </c>
      <c r="F2812" t="str">
        <f>IFERROR(__xludf.DUMMYFUNCTION("""COMPUTED_VALUE"""),"台銀籌備帳戶")</f>
        <v>台銀籌備帳戶</v>
      </c>
      <c r="G2812" t="str">
        <f>IFERROR(__xludf.DUMMYFUNCTION("""COMPUTED_VALUE"""),"書香民生")</f>
        <v>書香民生</v>
      </c>
      <c r="H2812" s="106" t="str">
        <f t="shared" si="1"/>
        <v>2025-11</v>
      </c>
      <c r="I2812" s="271" t="str">
        <f>IFERROR(__xludf.DUMMYFUNCTION("""COMPUTED_VALUE"""),"貓狗企鵝")</f>
        <v>貓狗企鵝</v>
      </c>
      <c r="J2812" t="str">
        <f>IFERROR(__xludf.DUMMYFUNCTION("IFS(
  AND(REGEXMATCH(E2812, ""台銀籌備帳戶|玉山帳戶""), REGEXMATCH(C2812, ""薪資"")), ""分潤支出"",
  AND(REGEXMATCH(E2812, ""Ben帳戶|Elsa帳戶|Ben代墊|Ariel代墊|中信銀行共用""), REGEXMATCH(F2812, ""Ben帳戶|Elsa帳戶|Ben代墊|Ariel代墊|中信銀行共用"")), ""內部轉帳(忽略)"",
  AND(E2812&lt;&gt;"""", F2812&lt;&gt;"""", N"&amp;"OT(REGEXMATCH(C2812, ""薪資""))), ""內部轉帳(忽略)"",
  REGEXMATCH(C2812, ""薪資""), ""薪資變動(不計入)"",
  REGEXMATCH(C2812, ""押金""), ""押金往來"",
  AND(E2812&lt;&gt;"""", F2812=""""), ""真實支出"",
  AND(E2812="""", F2812&lt;&gt;""""), ""真實收入"",
  TRUE, ""其他""
)"),"真實收入")</f>
        <v>真實收入</v>
      </c>
      <c r="K2812" s="270">
        <f t="shared" si="2"/>
        <v>17800</v>
      </c>
      <c r="L2812">
        <f t="shared" si="3"/>
        <v>0</v>
      </c>
    </row>
    <row r="2813">
      <c r="A2813" s="107">
        <f>IFERROR(__xludf.DUMMYFUNCTION("""COMPUTED_VALUE"""),45963.0)</f>
        <v>45963</v>
      </c>
      <c r="B2813" t="str">
        <f>IFERROR(__xludf.DUMMYFUNCTION("""COMPUTED_VALUE"""),"王彥婷 景安A 首租")</f>
        <v>王彥婷 景安A 首租</v>
      </c>
      <c r="C2813" t="str">
        <f>IFERROR(__xludf.DUMMYFUNCTION("""COMPUTED_VALUE"""),"收入 - 租金")</f>
        <v>收入 - 租金</v>
      </c>
      <c r="D2813" s="270">
        <f>IFERROR(__xludf.DUMMYFUNCTION("""COMPUTED_VALUE"""),12420.0)</f>
        <v>12420</v>
      </c>
      <c r="F2813" t="str">
        <f>IFERROR(__xludf.DUMMYFUNCTION("""COMPUTED_VALUE"""),"台銀籌備帳戶")</f>
        <v>台銀籌備帳戶</v>
      </c>
      <c r="G2813" t="str">
        <f>IFERROR(__xludf.DUMMYFUNCTION("""COMPUTED_VALUE"""),"景安2分鐘")</f>
        <v>景安2分鐘</v>
      </c>
      <c r="H2813" s="106" t="str">
        <f t="shared" si="1"/>
        <v>2025-11</v>
      </c>
      <c r="I2813" s="271" t="str">
        <f>IFERROR(__xludf.DUMMYFUNCTION("""COMPUTED_VALUE"""),"貓狗企鵝")</f>
        <v>貓狗企鵝</v>
      </c>
      <c r="J2813" t="str">
        <f>IFERROR(__xludf.DUMMYFUNCTION("IFS(
  AND(REGEXMATCH(E2813, ""台銀籌備帳戶|玉山帳戶""), REGEXMATCH(C2813, ""薪資"")), ""分潤支出"",
  AND(REGEXMATCH(E2813, ""Ben帳戶|Elsa帳戶|Ben代墊|Ariel代墊|中信銀行共用""), REGEXMATCH(F2813, ""Ben帳戶|Elsa帳戶|Ben代墊|Ariel代墊|中信銀行共用"")), ""內部轉帳(忽略)"",
  AND(E2813&lt;&gt;"""", F2813&lt;&gt;"""", N"&amp;"OT(REGEXMATCH(C2813, ""薪資""))), ""內部轉帳(忽略)"",
  REGEXMATCH(C2813, ""薪資""), ""薪資變動(不計入)"",
  REGEXMATCH(C2813, ""押金""), ""押金往來"",
  AND(E2813&lt;&gt;"""", F2813=""""), ""真實支出"",
  AND(E2813="""", F2813&lt;&gt;""""), ""真實收入"",
  TRUE, ""其他""
)"),"真實收入")</f>
        <v>真實收入</v>
      </c>
      <c r="K2813" s="270">
        <f t="shared" si="2"/>
        <v>12420</v>
      </c>
      <c r="L2813">
        <f t="shared" si="3"/>
        <v>0</v>
      </c>
    </row>
    <row r="2814">
      <c r="A2814" s="107">
        <f>IFERROR(__xludf.DUMMYFUNCTION("""COMPUTED_VALUE"""),45963.0)</f>
        <v>45963</v>
      </c>
      <c r="B2814" t="str">
        <f>IFERROR(__xludf.DUMMYFUNCTION("""COMPUTED_VALUE"""),"王彥婷 景安A 押金")</f>
        <v>王彥婷 景安A 押金</v>
      </c>
      <c r="C2814" t="str">
        <f>IFERROR(__xludf.DUMMYFUNCTION("""COMPUTED_VALUE"""),"收入 - 押金")</f>
        <v>收入 - 押金</v>
      </c>
      <c r="D2814" s="270">
        <f>IFERROR(__xludf.DUMMYFUNCTION("""COMPUTED_VALUE"""),27600.0)</f>
        <v>27600</v>
      </c>
      <c r="F2814" t="str">
        <f>IFERROR(__xludf.DUMMYFUNCTION("""COMPUTED_VALUE"""),"台銀籌備帳戶")</f>
        <v>台銀籌備帳戶</v>
      </c>
      <c r="G2814" t="str">
        <f>IFERROR(__xludf.DUMMYFUNCTION("""COMPUTED_VALUE"""),"景安2分鐘")</f>
        <v>景安2分鐘</v>
      </c>
      <c r="H2814" s="106" t="str">
        <f t="shared" si="1"/>
        <v>2025-11</v>
      </c>
      <c r="I2814" s="271" t="str">
        <f>IFERROR(__xludf.DUMMYFUNCTION("""COMPUTED_VALUE"""),"貓狗企鵝")</f>
        <v>貓狗企鵝</v>
      </c>
      <c r="J2814" t="str">
        <f>IFERROR(__xludf.DUMMYFUNCTION("IFS(
  AND(REGEXMATCH(E2814, ""台銀籌備帳戶|玉山帳戶""), REGEXMATCH(C2814, ""薪資"")), ""分潤支出"",
  AND(REGEXMATCH(E2814, ""Ben帳戶|Elsa帳戶|Ben代墊|Ariel代墊|中信銀行共用""), REGEXMATCH(F2814, ""Ben帳戶|Elsa帳戶|Ben代墊|Ariel代墊|中信銀行共用"")), ""內部轉帳(忽略)"",
  AND(E2814&lt;&gt;"""", F2814&lt;&gt;"""", N"&amp;"OT(REGEXMATCH(C2814, ""薪資""))), ""內部轉帳(忽略)"",
  REGEXMATCH(C2814, ""薪資""), ""薪資變動(不計入)"",
  REGEXMATCH(C2814, ""押金""), ""押金往來"",
  AND(E2814&lt;&gt;"""", F2814=""""), ""真實支出"",
  AND(E2814="""", F2814&lt;&gt;""""), ""真實收入"",
  TRUE, ""其他""
)"),"押金往來")</f>
        <v>押金往來</v>
      </c>
      <c r="K2814">
        <f t="shared" si="2"/>
        <v>0</v>
      </c>
      <c r="L2814">
        <f t="shared" si="3"/>
        <v>0</v>
      </c>
    </row>
    <row r="2815">
      <c r="A2815" s="107">
        <f>IFERROR(__xludf.DUMMYFUNCTION("""COMPUTED_VALUE"""),45963.0)</f>
        <v>45963</v>
      </c>
      <c r="B2815" t="str">
        <f>IFERROR(__xludf.DUMMYFUNCTION("""COMPUTED_VALUE"""),"[書香民生] D [蔡昀潔, 林聖凱] 月租金 後五碼:67788 (行號: 88)")</f>
        <v>[書香民生] D [蔡昀潔, 林聖凱] 月租金 後五碼:67788 (行號: 88)</v>
      </c>
      <c r="C2815" t="str">
        <f>IFERROR(__xludf.DUMMYFUNCTION("""COMPUTED_VALUE"""),"收入 - 租金")</f>
        <v>收入 - 租金</v>
      </c>
      <c r="D2815" s="270">
        <f>IFERROR(__xludf.DUMMYFUNCTION("""COMPUTED_VALUE"""),17800.0)</f>
        <v>17800</v>
      </c>
      <c r="F2815" t="str">
        <f>IFERROR(__xludf.DUMMYFUNCTION("""COMPUTED_VALUE"""),"台銀籌備帳戶")</f>
        <v>台銀籌備帳戶</v>
      </c>
      <c r="G2815" t="str">
        <f>IFERROR(__xludf.DUMMYFUNCTION("""COMPUTED_VALUE"""),"書香民生")</f>
        <v>書香民生</v>
      </c>
      <c r="H2815" s="106" t="str">
        <f t="shared" si="1"/>
        <v>2025-11</v>
      </c>
      <c r="I2815" s="271" t="str">
        <f>IFERROR(__xludf.DUMMYFUNCTION("""COMPUTED_VALUE"""),"貓狗企鵝")</f>
        <v>貓狗企鵝</v>
      </c>
      <c r="J2815" t="str">
        <f>IFERROR(__xludf.DUMMYFUNCTION("IFS(
  AND(REGEXMATCH(E2815, ""台銀籌備帳戶|玉山帳戶""), REGEXMATCH(C2815, ""薪資"")), ""分潤支出"",
  AND(REGEXMATCH(E2815, ""Ben帳戶|Elsa帳戶|Ben代墊|Ariel代墊|中信銀行共用""), REGEXMATCH(F2815, ""Ben帳戶|Elsa帳戶|Ben代墊|Ariel代墊|中信銀行共用"")), ""內部轉帳(忽略)"",
  AND(E2815&lt;&gt;"""", F2815&lt;&gt;"""", N"&amp;"OT(REGEXMATCH(C2815, ""薪資""))), ""內部轉帳(忽略)"",
  REGEXMATCH(C2815, ""薪資""), ""薪資變動(不計入)"",
  REGEXMATCH(C2815, ""押金""), ""押金往來"",
  AND(E2815&lt;&gt;"""", F2815=""""), ""真實支出"",
  AND(E2815="""", F2815&lt;&gt;""""), ""真實收入"",
  TRUE, ""其他""
)"),"真實收入")</f>
        <v>真實收入</v>
      </c>
      <c r="K2815" s="270">
        <f t="shared" si="2"/>
        <v>17800</v>
      </c>
      <c r="L2815">
        <f t="shared" si="3"/>
        <v>0</v>
      </c>
    </row>
    <row r="2816">
      <c r="A2816" s="107">
        <f>IFERROR(__xludf.DUMMYFUNCTION("""COMPUTED_VALUE"""),45964.0)</f>
        <v>45964</v>
      </c>
      <c r="B2816" t="str">
        <f>IFERROR(__xludf.DUMMYFUNCTION("""COMPUTED_VALUE"""),"[南港站挑高宅] E [張劉明翔] 月租金 後五碼:75493 (行號: 89)")</f>
        <v>[南港站挑高宅] E [張劉明翔] 月租金 後五碼:75493 (行號: 89)</v>
      </c>
      <c r="C2816" t="str">
        <f>IFERROR(__xludf.DUMMYFUNCTION("""COMPUTED_VALUE"""),"收入 - 租金")</f>
        <v>收入 - 租金</v>
      </c>
      <c r="D2816" s="270">
        <f>IFERROR(__xludf.DUMMYFUNCTION("""COMPUTED_VALUE"""),12800.0)</f>
        <v>12800</v>
      </c>
      <c r="F2816" t="str">
        <f>IFERROR(__xludf.DUMMYFUNCTION("""COMPUTED_VALUE"""),"台銀籌備帳戶")</f>
        <v>台銀籌備帳戶</v>
      </c>
      <c r="G2816" t="str">
        <f>IFERROR(__xludf.DUMMYFUNCTION("""COMPUTED_VALUE"""),"南港站挑高宅")</f>
        <v>南港站挑高宅</v>
      </c>
      <c r="H2816" s="106" t="str">
        <f t="shared" si="1"/>
        <v>2025-11</v>
      </c>
      <c r="I2816" s="271" t="str">
        <f>IFERROR(__xludf.DUMMYFUNCTION("""COMPUTED_VALUE"""),"貓狗企鵝")</f>
        <v>貓狗企鵝</v>
      </c>
      <c r="J2816" t="str">
        <f>IFERROR(__xludf.DUMMYFUNCTION("IFS(
  AND(REGEXMATCH(E2816, ""台銀籌備帳戶|玉山帳戶""), REGEXMATCH(C2816, ""薪資"")), ""分潤支出"",
  AND(REGEXMATCH(E2816, ""Ben帳戶|Elsa帳戶|Ben代墊|Ariel代墊|中信銀行共用""), REGEXMATCH(F2816, ""Ben帳戶|Elsa帳戶|Ben代墊|Ariel代墊|中信銀行共用"")), ""內部轉帳(忽略)"",
  AND(E2816&lt;&gt;"""", F2816&lt;&gt;"""", N"&amp;"OT(REGEXMATCH(C2816, ""薪資""))), ""內部轉帳(忽略)"",
  REGEXMATCH(C2816, ""薪資""), ""薪資變動(不計入)"",
  REGEXMATCH(C2816, ""押金""), ""押金往來"",
  AND(E2816&lt;&gt;"""", F2816=""""), ""真實支出"",
  AND(E2816="""", F2816&lt;&gt;""""), ""真實收入"",
  TRUE, ""其他""
)"),"真實收入")</f>
        <v>真實收入</v>
      </c>
      <c r="K2816" s="270">
        <f t="shared" si="2"/>
        <v>12800</v>
      </c>
      <c r="L2816">
        <f t="shared" si="3"/>
        <v>0</v>
      </c>
    </row>
    <row r="2817">
      <c r="A2817" s="107">
        <f>IFERROR(__xludf.DUMMYFUNCTION("""COMPUTED_VALUE"""),45966.0)</f>
        <v>45966</v>
      </c>
      <c r="B2817" t="str">
        <f>IFERROR(__xludf.DUMMYFUNCTION("""COMPUTED_VALUE"""),"垃可10月")</f>
        <v>垃可10月</v>
      </c>
      <c r="C2817" t="str">
        <f>IFERROR(__xludf.DUMMYFUNCTION("""COMPUTED_VALUE"""),"成本 - 固定開銷(網路代收清潔)")</f>
        <v>成本 - 固定開銷(網路代收清潔)</v>
      </c>
      <c r="D2817" s="270">
        <f>IFERROR(__xludf.DUMMYFUNCTION("""COMPUTED_VALUE"""),-6300.0)</f>
        <v>-6300</v>
      </c>
      <c r="E2817" t="str">
        <f>IFERROR(__xludf.DUMMYFUNCTION("""COMPUTED_VALUE"""),"Ben帳戶")</f>
        <v>Ben帳戶</v>
      </c>
      <c r="G2817" t="str">
        <f>IFERROR(__xludf.DUMMYFUNCTION("""COMPUTED_VALUE"""),"無法分類")</f>
        <v>無法分類</v>
      </c>
      <c r="H2817" s="106" t="str">
        <f t="shared" si="1"/>
        <v>2025-11</v>
      </c>
      <c r="I2817" s="271" t="str">
        <f>IFERROR(__xludf.DUMMYFUNCTION("""COMPUTED_VALUE"""),"貓狗企鵝")</f>
        <v>貓狗企鵝</v>
      </c>
      <c r="J2817" t="str">
        <f>IFERROR(__xludf.DUMMYFUNCTION("IFS(
  AND(REGEXMATCH(E2817, ""台銀籌備帳戶|玉山帳戶""), REGEXMATCH(C2817, ""薪資"")), ""分潤支出"",
  AND(REGEXMATCH(E2817, ""Ben帳戶|Elsa帳戶|Ben代墊|Ariel代墊|中信銀行共用""), REGEXMATCH(F2817, ""Ben帳戶|Elsa帳戶|Ben代墊|Ariel代墊|中信銀行共用"")), ""內部轉帳(忽略)"",
  AND(E2817&lt;&gt;"""", F2817&lt;&gt;"""", N"&amp;"OT(REGEXMATCH(C2817, ""薪資""))), ""內部轉帳(忽略)"",
  REGEXMATCH(C2817, ""薪資""), ""薪資變動(不計入)"",
  REGEXMATCH(C2817, ""押金""), ""押金往來"",
  AND(E2817&lt;&gt;"""", F2817=""""), ""真實支出"",
  AND(E2817="""", F2817&lt;&gt;""""), ""真實收入"",
  TRUE, ""其他""
)"),"真實支出")</f>
        <v>真實支出</v>
      </c>
      <c r="K2817" s="270">
        <f t="shared" si="2"/>
        <v>-6300</v>
      </c>
      <c r="L2817">
        <f t="shared" si="3"/>
        <v>0</v>
      </c>
    </row>
    <row r="2818">
      <c r="A2818" s="107">
        <f>IFERROR(__xludf.DUMMYFUNCTION("""COMPUTED_VALUE"""),45966.0)</f>
        <v>45966</v>
      </c>
      <c r="B2818" t="str">
        <f>IFERROR(__xludf.DUMMYFUNCTION("""COMPUTED_VALUE"""),"大湖寶琳清潔")</f>
        <v>大湖寶琳清潔</v>
      </c>
      <c r="C2818" t="str">
        <f>IFERROR(__xludf.DUMMYFUNCTION("""COMPUTED_VALUE"""),"成本 - 固定開銷(網路代收清潔)")</f>
        <v>成本 - 固定開銷(網路代收清潔)</v>
      </c>
      <c r="D2818" s="270">
        <f>IFERROR(__xludf.DUMMYFUNCTION("""COMPUTED_VALUE"""),-1050.0)</f>
        <v>-1050</v>
      </c>
      <c r="E2818" t="str">
        <f>IFERROR(__xludf.DUMMYFUNCTION("""COMPUTED_VALUE"""),"Elsa帳戶")</f>
        <v>Elsa帳戶</v>
      </c>
      <c r="G2818" t="str">
        <f>IFERROR(__xludf.DUMMYFUNCTION("""COMPUTED_VALUE"""),"大湖山莊")</f>
        <v>大湖山莊</v>
      </c>
      <c r="H2818" s="106" t="str">
        <f t="shared" si="1"/>
        <v>2025-11</v>
      </c>
      <c r="I2818" s="271" t="str">
        <f>IFERROR(__xludf.DUMMYFUNCTION("""COMPUTED_VALUE"""),"貓狗企鵝")</f>
        <v>貓狗企鵝</v>
      </c>
      <c r="J2818" t="str">
        <f>IFERROR(__xludf.DUMMYFUNCTION("IFS(
  AND(REGEXMATCH(E2818, ""台銀籌備帳戶|玉山帳戶""), REGEXMATCH(C2818, ""薪資"")), ""分潤支出"",
  AND(REGEXMATCH(E2818, ""Ben帳戶|Elsa帳戶|Ben代墊|Ariel代墊|中信銀行共用""), REGEXMATCH(F2818, ""Ben帳戶|Elsa帳戶|Ben代墊|Ariel代墊|中信銀行共用"")), ""內部轉帳(忽略)"",
  AND(E2818&lt;&gt;"""", F2818&lt;&gt;"""", N"&amp;"OT(REGEXMATCH(C2818, ""薪資""))), ""內部轉帳(忽略)"",
  REGEXMATCH(C2818, ""薪資""), ""薪資變動(不計入)"",
  REGEXMATCH(C2818, ""押金""), ""押金往來"",
  AND(E2818&lt;&gt;"""", F2818=""""), ""真實支出"",
  AND(E2818="""", F2818&lt;&gt;""""), ""真實收入"",
  TRUE, ""其他""
)"),"真實支出")</f>
        <v>真實支出</v>
      </c>
      <c r="K2818" s="270">
        <f t="shared" si="2"/>
        <v>-1050</v>
      </c>
      <c r="L2818">
        <f t="shared" si="3"/>
        <v>0</v>
      </c>
    </row>
    <row r="2819">
      <c r="A2819" s="107">
        <f>IFERROR(__xludf.DUMMYFUNCTION("""COMPUTED_VALUE"""),45966.0)</f>
        <v>45966</v>
      </c>
      <c r="B2819" t="str">
        <f>IFERROR(__xludf.DUMMYFUNCTION("""COMPUTED_VALUE"""),"書香換鎖框")</f>
        <v>書香換鎖框</v>
      </c>
      <c r="C2819" t="str">
        <f>IFERROR(__xludf.DUMMYFUNCTION("""COMPUTED_VALUE"""),"成本 - 租後修繕")</f>
        <v>成本 - 租後修繕</v>
      </c>
      <c r="D2819" s="270">
        <f>IFERROR(__xludf.DUMMYFUNCTION("""COMPUTED_VALUE"""),-3500.0)</f>
        <v>-3500</v>
      </c>
      <c r="E2819" t="str">
        <f>IFERROR(__xludf.DUMMYFUNCTION("""COMPUTED_VALUE"""),"Elsa帳戶")</f>
        <v>Elsa帳戶</v>
      </c>
      <c r="G2819" t="str">
        <f>IFERROR(__xludf.DUMMYFUNCTION("""COMPUTED_VALUE"""),"書香民生")</f>
        <v>書香民生</v>
      </c>
      <c r="H2819" s="106" t="str">
        <f t="shared" si="1"/>
        <v>2025-11</v>
      </c>
      <c r="I2819" s="271" t="str">
        <f>IFERROR(__xludf.DUMMYFUNCTION("""COMPUTED_VALUE"""),"貓狗企鵝")</f>
        <v>貓狗企鵝</v>
      </c>
      <c r="J2819" t="str">
        <f>IFERROR(__xludf.DUMMYFUNCTION("IFS(
  AND(REGEXMATCH(E2819, ""台銀籌備帳戶|玉山帳戶""), REGEXMATCH(C2819, ""薪資"")), ""分潤支出"",
  AND(REGEXMATCH(E2819, ""Ben帳戶|Elsa帳戶|Ben代墊|Ariel代墊|中信銀行共用""), REGEXMATCH(F2819, ""Ben帳戶|Elsa帳戶|Ben代墊|Ariel代墊|中信銀行共用"")), ""內部轉帳(忽略)"",
  AND(E2819&lt;&gt;"""", F2819&lt;&gt;"""", N"&amp;"OT(REGEXMATCH(C2819, ""薪資""))), ""內部轉帳(忽略)"",
  REGEXMATCH(C2819, ""薪資""), ""薪資變動(不計入)"",
  REGEXMATCH(C2819, ""押金""), ""押金往來"",
  AND(E2819&lt;&gt;"""", F2819=""""), ""真實支出"",
  AND(E2819="""", F2819&lt;&gt;""""), ""真實收入"",
  TRUE, ""其他""
)"),"真實支出")</f>
        <v>真實支出</v>
      </c>
      <c r="K2819" s="270">
        <f t="shared" si="2"/>
        <v>-3500</v>
      </c>
      <c r="L2819">
        <f t="shared" si="3"/>
        <v>0</v>
      </c>
    </row>
    <row r="2820">
      <c r="A2820" s="107">
        <f>IFERROR(__xludf.DUMMYFUNCTION("""COMPUTED_VALUE"""),45964.0)</f>
        <v>45964</v>
      </c>
      <c r="B2820" t="str">
        <f>IFERROR(__xludf.DUMMYFUNCTION("""COMPUTED_VALUE"""),"費用 - 匯費 對方行:700 後五碼:70201 (行號: 2)")</f>
        <v>費用 - 匯費 對方行:700 後五碼:70201 (行號: 2)</v>
      </c>
      <c r="C2820" t="str">
        <f>IFERROR(__xludf.DUMMYFUNCTION("""COMPUTED_VALUE"""),"費用 - 匯費")</f>
        <v>費用 - 匯費</v>
      </c>
      <c r="D2820" s="270">
        <f>IFERROR(__xludf.DUMMYFUNCTION("""COMPUTED_VALUE"""),-15.0)</f>
        <v>-15</v>
      </c>
      <c r="E2820" t="str">
        <f>IFERROR(__xludf.DUMMYFUNCTION("""COMPUTED_VALUE"""),"台銀籌備帳戶")</f>
        <v>台銀籌備帳戶</v>
      </c>
      <c r="H2820" s="106" t="str">
        <f t="shared" si="1"/>
        <v>2025-11</v>
      </c>
      <c r="I2820" s="271" t="str">
        <f>IFERROR(__xludf.DUMMYFUNCTION("""COMPUTED_VALUE"""),"貓狗企鵝")</f>
        <v>貓狗企鵝</v>
      </c>
      <c r="J2820" t="str">
        <f>IFERROR(__xludf.DUMMYFUNCTION("IFS(
  AND(REGEXMATCH(E2820, ""台銀籌備帳戶|玉山帳戶""), REGEXMATCH(C2820, ""薪資"")), ""分潤支出"",
  AND(REGEXMATCH(E2820, ""Ben帳戶|Elsa帳戶|Ben代墊|Ariel代墊|中信銀行共用""), REGEXMATCH(F2820, ""Ben帳戶|Elsa帳戶|Ben代墊|Ariel代墊|中信銀行共用"")), ""內部轉帳(忽略)"",
  AND(E2820&lt;&gt;"""", F2820&lt;&gt;"""", N"&amp;"OT(REGEXMATCH(C2820, ""薪資""))), ""內部轉帳(忽略)"",
  REGEXMATCH(C2820, ""薪資""), ""薪資變動(不計入)"",
  REGEXMATCH(C2820, ""押金""), ""押金往來"",
  AND(E2820&lt;&gt;"""", F2820=""""), ""真實支出"",
  AND(E2820="""", F2820&lt;&gt;""""), ""真實收入"",
  TRUE, ""其他""
)"),"真實支出")</f>
        <v>真實支出</v>
      </c>
      <c r="K2820" s="270">
        <f t="shared" si="2"/>
        <v>-15</v>
      </c>
      <c r="L2820">
        <f t="shared" si="3"/>
        <v>0</v>
      </c>
    </row>
    <row r="2821">
      <c r="A2821" s="107">
        <f>IFERROR(__xludf.DUMMYFUNCTION("""COMPUTED_VALUE"""),45964.0)</f>
        <v>45964</v>
      </c>
      <c r="B2821" t="str">
        <f>IFERROR(__xludf.DUMMYFUNCTION("""COMPUTED_VALUE"""),"宜佳 輕隔間 天母搜狗' 【未分類支出】")</f>
        <v>宜佳 輕隔間 天母搜狗' 【未分類支出】</v>
      </c>
      <c r="C2821" t="str">
        <f>IFERROR(__xludf.DUMMYFUNCTION("""COMPUTED_VALUE"""),"成本 - 進場前裝潢費")</f>
        <v>成本 - 進場前裝潢費</v>
      </c>
      <c r="D2821" s="270">
        <f>IFERROR(__xludf.DUMMYFUNCTION("""COMPUTED_VALUE"""),-110000.0)</f>
        <v>-110000</v>
      </c>
      <c r="E2821" t="str">
        <f>IFERROR(__xludf.DUMMYFUNCTION("""COMPUTED_VALUE"""),"台銀籌備帳戶")</f>
        <v>台銀籌備帳戶</v>
      </c>
      <c r="G2821" t="str">
        <f>IFERROR(__xludf.DUMMYFUNCTION("""COMPUTED_VALUE"""),"天母搜狗")</f>
        <v>天母搜狗</v>
      </c>
      <c r="H2821" s="106" t="str">
        <f t="shared" si="1"/>
        <v>2025-11</v>
      </c>
      <c r="I2821" s="271" t="str">
        <f>IFERROR(__xludf.DUMMYFUNCTION("""COMPUTED_VALUE"""),"貓狗企鵝")</f>
        <v>貓狗企鵝</v>
      </c>
      <c r="J2821" t="str">
        <f>IFERROR(__xludf.DUMMYFUNCTION("IFS(
  AND(REGEXMATCH(E2821, ""台銀籌備帳戶|玉山帳戶""), REGEXMATCH(C2821, ""薪資"")), ""分潤支出"",
  AND(REGEXMATCH(E2821, ""Ben帳戶|Elsa帳戶|Ben代墊|Ariel代墊|中信銀行共用""), REGEXMATCH(F2821, ""Ben帳戶|Elsa帳戶|Ben代墊|Ariel代墊|中信銀行共用"")), ""內部轉帳(忽略)"",
  AND(E2821&lt;&gt;"""", F2821&lt;&gt;"""", N"&amp;"OT(REGEXMATCH(C2821, ""薪資""))), ""內部轉帳(忽略)"",
  REGEXMATCH(C2821, ""薪資""), ""薪資變動(不計入)"",
  REGEXMATCH(C2821, ""押金""), ""押金往來"",
  AND(E2821&lt;&gt;"""", F2821=""""), ""真實支出"",
  AND(E2821="""", F2821&lt;&gt;""""), ""真實收入"",
  TRUE, ""其他""
)"),"真實支出")</f>
        <v>真實支出</v>
      </c>
      <c r="K2821" s="270">
        <f t="shared" si="2"/>
        <v>-110000</v>
      </c>
      <c r="L2821">
        <f t="shared" si="3"/>
        <v>0</v>
      </c>
    </row>
    <row r="2822">
      <c r="A2822" s="107">
        <f>IFERROR(__xludf.DUMMYFUNCTION("""COMPUTED_VALUE"""),45964.0)</f>
        <v>45964</v>
      </c>
      <c r="B2822" t="str">
        <f>IFERROR(__xludf.DUMMYFUNCTION("""COMPUTED_VALUE"""),"[書香民生] B [吳小朋] 月租金 後五碼:54102 (行號: 3)")</f>
        <v>[書香民生] B [吳小朋] 月租金 後五碼:54102 (行號: 3)</v>
      </c>
      <c r="C2822" t="str">
        <f>IFERROR(__xludf.DUMMYFUNCTION("""COMPUTED_VALUE"""),"收入 - 租金")</f>
        <v>收入 - 租金</v>
      </c>
      <c r="D2822" s="270">
        <f>IFERROR(__xludf.DUMMYFUNCTION("""COMPUTED_VALUE"""),17800.0)</f>
        <v>17800</v>
      </c>
      <c r="F2822" t="str">
        <f>IFERROR(__xludf.DUMMYFUNCTION("""COMPUTED_VALUE"""),"台銀籌備帳戶")</f>
        <v>台銀籌備帳戶</v>
      </c>
      <c r="G2822" t="str">
        <f>IFERROR(__xludf.DUMMYFUNCTION("""COMPUTED_VALUE"""),"書香民生")</f>
        <v>書香民生</v>
      </c>
      <c r="H2822" s="106" t="str">
        <f t="shared" si="1"/>
        <v>2025-11</v>
      </c>
      <c r="I2822" s="271" t="str">
        <f>IFERROR(__xludf.DUMMYFUNCTION("""COMPUTED_VALUE"""),"貓狗企鵝")</f>
        <v>貓狗企鵝</v>
      </c>
      <c r="J2822" t="str">
        <f>IFERROR(__xludf.DUMMYFUNCTION("IFS(
  AND(REGEXMATCH(E2822, ""台銀籌備帳戶|玉山帳戶""), REGEXMATCH(C2822, ""薪資"")), ""分潤支出"",
  AND(REGEXMATCH(E2822, ""Ben帳戶|Elsa帳戶|Ben代墊|Ariel代墊|中信銀行共用""), REGEXMATCH(F2822, ""Ben帳戶|Elsa帳戶|Ben代墊|Ariel代墊|中信銀行共用"")), ""內部轉帳(忽略)"",
  AND(E2822&lt;&gt;"""", F2822&lt;&gt;"""", N"&amp;"OT(REGEXMATCH(C2822, ""薪資""))), ""內部轉帳(忽略)"",
  REGEXMATCH(C2822, ""薪資""), ""薪資變動(不計入)"",
  REGEXMATCH(C2822, ""押金""), ""押金往來"",
  AND(E2822&lt;&gt;"""", F2822=""""), ""真實支出"",
  AND(E2822="""", F2822&lt;&gt;""""), ""真實收入"",
  TRUE, ""其他""
)"),"真實收入")</f>
        <v>真實收入</v>
      </c>
      <c r="K2822" s="270">
        <f t="shared" si="2"/>
        <v>17800</v>
      </c>
      <c r="L2822">
        <f t="shared" si="3"/>
        <v>0</v>
      </c>
    </row>
    <row r="2823">
      <c r="A2823" s="107">
        <f>IFERROR(__xludf.DUMMYFUNCTION("""COMPUTED_VALUE"""),45964.0)</f>
        <v>45964</v>
      </c>
      <c r="B2823" t="str">
        <f>IFERROR(__xludf.DUMMYFUNCTION("""COMPUTED_VALUE"""),"[龍江229] B [涂維妮] 月租金 後五碼:67546 (行號: 4)")</f>
        <v>[龍江229] B [涂維妮] 月租金 後五碼:67546 (行號: 4)</v>
      </c>
      <c r="C2823" t="str">
        <f>IFERROR(__xludf.DUMMYFUNCTION("""COMPUTED_VALUE"""),"收入 - 租金")</f>
        <v>收入 - 租金</v>
      </c>
      <c r="D2823" s="270">
        <f>IFERROR(__xludf.DUMMYFUNCTION("""COMPUTED_VALUE"""),13500.0)</f>
        <v>13500</v>
      </c>
      <c r="F2823" t="str">
        <f>IFERROR(__xludf.DUMMYFUNCTION("""COMPUTED_VALUE"""),"台銀籌備帳戶")</f>
        <v>台銀籌備帳戶</v>
      </c>
      <c r="G2823" t="str">
        <f>IFERROR(__xludf.DUMMYFUNCTION("""COMPUTED_VALUE"""),"龍江229")</f>
        <v>龍江229</v>
      </c>
      <c r="H2823" s="106" t="str">
        <f t="shared" si="1"/>
        <v>2025-11</v>
      </c>
      <c r="I2823" s="271" t="str">
        <f>IFERROR(__xludf.DUMMYFUNCTION("""COMPUTED_VALUE"""),"貓狗企鵝")</f>
        <v>貓狗企鵝</v>
      </c>
      <c r="J2823" t="str">
        <f>IFERROR(__xludf.DUMMYFUNCTION("IFS(
  AND(REGEXMATCH(E2823, ""台銀籌備帳戶|玉山帳戶""), REGEXMATCH(C2823, ""薪資"")), ""分潤支出"",
  AND(REGEXMATCH(E2823, ""Ben帳戶|Elsa帳戶|Ben代墊|Ariel代墊|中信銀行共用""), REGEXMATCH(F2823, ""Ben帳戶|Elsa帳戶|Ben代墊|Ariel代墊|中信銀行共用"")), ""內部轉帳(忽略)"",
  AND(E2823&lt;&gt;"""", F2823&lt;&gt;"""", N"&amp;"OT(REGEXMATCH(C2823, ""薪資""))), ""內部轉帳(忽略)"",
  REGEXMATCH(C2823, ""薪資""), ""薪資變動(不計入)"",
  REGEXMATCH(C2823, ""押金""), ""押金往來"",
  AND(E2823&lt;&gt;"""", F2823=""""), ""真實支出"",
  AND(E2823="""", F2823&lt;&gt;""""), ""真實收入"",
  TRUE, ""其他""
)"),"真實收入")</f>
        <v>真實收入</v>
      </c>
      <c r="K2823" s="270">
        <f t="shared" si="2"/>
        <v>13500</v>
      </c>
      <c r="L2823">
        <f t="shared" si="3"/>
        <v>0</v>
      </c>
    </row>
    <row r="2824">
      <c r="A2824" s="107">
        <f>IFERROR(__xludf.DUMMYFUNCTION("""COMPUTED_VALUE"""),45965.0)</f>
        <v>45965</v>
      </c>
      <c r="B2824" t="str">
        <f>IFERROR(__xludf.DUMMYFUNCTION("""COMPUTED_VALUE"""),"[中山北Feli家] A [蔡亦翔] 月租金 後五碼:51759 (行號: 5)")</f>
        <v>[中山北Feli家] A [蔡亦翔] 月租金 後五碼:51759 (行號: 5)</v>
      </c>
      <c r="C2824" t="str">
        <f>IFERROR(__xludf.DUMMYFUNCTION("""COMPUTED_VALUE"""),"收入 - 租金")</f>
        <v>收入 - 租金</v>
      </c>
      <c r="D2824" s="270">
        <f>IFERROR(__xludf.DUMMYFUNCTION("""COMPUTED_VALUE"""),13200.0)</f>
        <v>13200</v>
      </c>
      <c r="F2824" t="str">
        <f>IFERROR(__xludf.DUMMYFUNCTION("""COMPUTED_VALUE"""),"台銀籌備帳戶")</f>
        <v>台銀籌備帳戶</v>
      </c>
      <c r="G2824" t="str">
        <f>IFERROR(__xludf.DUMMYFUNCTION("""COMPUTED_VALUE"""),"中山北Feli家")</f>
        <v>中山北Feli家</v>
      </c>
      <c r="H2824" s="106" t="str">
        <f t="shared" si="1"/>
        <v>2025-11</v>
      </c>
      <c r="I2824" s="271" t="str">
        <f>IFERROR(__xludf.DUMMYFUNCTION("""COMPUTED_VALUE"""),"貓狗企鵝")</f>
        <v>貓狗企鵝</v>
      </c>
      <c r="J2824" t="str">
        <f>IFERROR(__xludf.DUMMYFUNCTION("IFS(
  AND(REGEXMATCH(E2824, ""台銀籌備帳戶|玉山帳戶""), REGEXMATCH(C2824, ""薪資"")), ""分潤支出"",
  AND(REGEXMATCH(E2824, ""Ben帳戶|Elsa帳戶|Ben代墊|Ariel代墊|中信銀行共用""), REGEXMATCH(F2824, ""Ben帳戶|Elsa帳戶|Ben代墊|Ariel代墊|中信銀行共用"")), ""內部轉帳(忽略)"",
  AND(E2824&lt;&gt;"""", F2824&lt;&gt;"""", N"&amp;"OT(REGEXMATCH(C2824, ""薪資""))), ""內部轉帳(忽略)"",
  REGEXMATCH(C2824, ""薪資""), ""薪資變動(不計入)"",
  REGEXMATCH(C2824, ""押金""), ""押金往來"",
  AND(E2824&lt;&gt;"""", F2824=""""), ""真實支出"",
  AND(E2824="""", F2824&lt;&gt;""""), ""真實收入"",
  TRUE, ""其他""
)"),"真實收入")</f>
        <v>真實收入</v>
      </c>
      <c r="K2824" s="270">
        <f t="shared" si="2"/>
        <v>13200</v>
      </c>
      <c r="L2824">
        <f t="shared" si="3"/>
        <v>0</v>
      </c>
    </row>
    <row r="2825">
      <c r="A2825" s="107">
        <f>IFERROR(__xludf.DUMMYFUNCTION("""COMPUTED_VALUE"""),45966.0)</f>
        <v>45966</v>
      </c>
      <c r="B2825" t="str">
        <f>IFERROR(__xludf.DUMMYFUNCTION("""COMPUTED_VALUE"""),"費用 - 匯費 對方行:013 後五碼:80181 (行號: 6)")</f>
        <v>費用 - 匯費 對方行:013 後五碼:80181 (行號: 6)</v>
      </c>
      <c r="C2825" t="str">
        <f>IFERROR(__xludf.DUMMYFUNCTION("""COMPUTED_VALUE"""),"費用 - 匯費")</f>
        <v>費用 - 匯費</v>
      </c>
      <c r="D2825" s="270">
        <f>IFERROR(__xludf.DUMMYFUNCTION("""COMPUTED_VALUE"""),-15.0)</f>
        <v>-15</v>
      </c>
      <c r="E2825" t="str">
        <f>IFERROR(__xludf.DUMMYFUNCTION("""COMPUTED_VALUE"""),"台銀籌備帳戶")</f>
        <v>台銀籌備帳戶</v>
      </c>
      <c r="H2825" s="106" t="str">
        <f t="shared" si="1"/>
        <v>2025-11</v>
      </c>
      <c r="I2825" s="271" t="str">
        <f>IFERROR(__xludf.DUMMYFUNCTION("""COMPUTED_VALUE"""),"貓狗企鵝")</f>
        <v>貓狗企鵝</v>
      </c>
      <c r="J2825" t="str">
        <f>IFERROR(__xludf.DUMMYFUNCTION("IFS(
  AND(REGEXMATCH(E2825, ""台銀籌備帳戶|玉山帳戶""), REGEXMATCH(C2825, ""薪資"")), ""分潤支出"",
  AND(REGEXMATCH(E2825, ""Ben帳戶|Elsa帳戶|Ben代墊|Ariel代墊|中信銀行共用""), REGEXMATCH(F2825, ""Ben帳戶|Elsa帳戶|Ben代墊|Ariel代墊|中信銀行共用"")), ""內部轉帳(忽略)"",
  AND(E2825&lt;&gt;"""", F2825&lt;&gt;"""", N"&amp;"OT(REGEXMATCH(C2825, ""薪資""))), ""內部轉帳(忽略)"",
  REGEXMATCH(C2825, ""薪資""), ""薪資變動(不計入)"",
  REGEXMATCH(C2825, ""押金""), ""押金往來"",
  AND(E2825&lt;&gt;"""", F2825=""""), ""真實支出"",
  AND(E2825="""", F2825&lt;&gt;""""), ""真實收入"",
  TRUE, ""其他""
)"),"真實支出")</f>
        <v>真實支出</v>
      </c>
      <c r="K2825" s="270">
        <f t="shared" si="2"/>
        <v>-15</v>
      </c>
      <c r="L2825">
        <f t="shared" si="3"/>
        <v>0</v>
      </c>
    </row>
    <row r="2826">
      <c r="A2826" s="107">
        <f>IFERROR(__xludf.DUMMYFUNCTION("""COMPUTED_VALUE"""),45966.0)</f>
        <v>45966</v>
      </c>
      <c r="B2826" t="str">
        <f>IFERROR(__xludf.DUMMYFUNCTION("""COMPUTED_VALUE"""),"哈拉清潔費 ' 【未分類支出】")</f>
        <v>哈拉清潔費 ' 【未分類支出】</v>
      </c>
      <c r="C2826" t="str">
        <f>IFERROR(__xludf.DUMMYFUNCTION("""COMPUTED_VALUE"""),"成本 - 固定開銷(網路代收清潔)")</f>
        <v>成本 - 固定開銷(網路代收清潔)</v>
      </c>
      <c r="D2826" s="270">
        <f>IFERROR(__xludf.DUMMYFUNCTION("""COMPUTED_VALUE"""),-1500.0)</f>
        <v>-1500</v>
      </c>
      <c r="E2826" t="str">
        <f>IFERROR(__xludf.DUMMYFUNCTION("""COMPUTED_VALUE"""),"台銀籌備帳戶")</f>
        <v>台銀籌備帳戶</v>
      </c>
      <c r="G2826" t="str">
        <f>IFERROR(__xludf.DUMMYFUNCTION("""COMPUTED_VALUE"""),"哈拉對面")</f>
        <v>哈拉對面</v>
      </c>
      <c r="H2826" s="106" t="str">
        <f t="shared" si="1"/>
        <v>2025-11</v>
      </c>
      <c r="I2826" s="271" t="str">
        <f>IFERROR(__xludf.DUMMYFUNCTION("""COMPUTED_VALUE"""),"貓狗企鵝")</f>
        <v>貓狗企鵝</v>
      </c>
      <c r="J2826" t="str">
        <f>IFERROR(__xludf.DUMMYFUNCTION("IFS(
  AND(REGEXMATCH(E2826, ""台銀籌備帳戶|玉山帳戶""), REGEXMATCH(C2826, ""薪資"")), ""分潤支出"",
  AND(REGEXMATCH(E2826, ""Ben帳戶|Elsa帳戶|Ben代墊|Ariel代墊|中信銀行共用""), REGEXMATCH(F2826, ""Ben帳戶|Elsa帳戶|Ben代墊|Ariel代墊|中信銀行共用"")), ""內部轉帳(忽略)"",
  AND(E2826&lt;&gt;"""", F2826&lt;&gt;"""", N"&amp;"OT(REGEXMATCH(C2826, ""薪資""))), ""內部轉帳(忽略)"",
  REGEXMATCH(C2826, ""薪資""), ""薪資變動(不計入)"",
  REGEXMATCH(C2826, ""押金""), ""押金往來"",
  AND(E2826&lt;&gt;"""", F2826=""""), ""真實支出"",
  AND(E2826="""", F2826&lt;&gt;""""), ""真實收入"",
  TRUE, ""其他""
)"),"真實支出")</f>
        <v>真實支出</v>
      </c>
      <c r="K2826" s="270">
        <f t="shared" si="2"/>
        <v>-1500</v>
      </c>
      <c r="L2826">
        <f t="shared" si="3"/>
        <v>0</v>
      </c>
    </row>
    <row r="2827">
      <c r="A2827" s="107">
        <f>IFERROR(__xludf.DUMMYFUNCTION("""COMPUTED_VALUE"""),45966.0)</f>
        <v>45966</v>
      </c>
      <c r="B2827" t="str">
        <f>IFERROR(__xludf.DUMMYFUNCTION("""COMPUTED_VALUE"""),"費用 - 匯費 對方行:807 後五碼:56364 (行號: 7)")</f>
        <v>費用 - 匯費 對方行:807 後五碼:56364 (行號: 7)</v>
      </c>
      <c r="C2827" t="str">
        <f>IFERROR(__xludf.DUMMYFUNCTION("""COMPUTED_VALUE"""),"費用 - 匯費")</f>
        <v>費用 - 匯費</v>
      </c>
      <c r="D2827" s="270">
        <f>IFERROR(__xludf.DUMMYFUNCTION("""COMPUTED_VALUE"""),-15.0)</f>
        <v>-15</v>
      </c>
      <c r="E2827" t="str">
        <f>IFERROR(__xludf.DUMMYFUNCTION("""COMPUTED_VALUE"""),"台銀籌備帳戶")</f>
        <v>台銀籌備帳戶</v>
      </c>
      <c r="H2827" s="106" t="str">
        <f t="shared" si="1"/>
        <v>2025-11</v>
      </c>
      <c r="I2827" s="271" t="str">
        <f>IFERROR(__xludf.DUMMYFUNCTION("""COMPUTED_VALUE"""),"貓狗企鵝")</f>
        <v>貓狗企鵝</v>
      </c>
      <c r="J2827" t="str">
        <f>IFERROR(__xludf.DUMMYFUNCTION("IFS(
  AND(REGEXMATCH(E2827, ""台銀籌備帳戶|玉山帳戶""), REGEXMATCH(C2827, ""薪資"")), ""分潤支出"",
  AND(REGEXMATCH(E2827, ""Ben帳戶|Elsa帳戶|Ben代墊|Ariel代墊|中信銀行共用""), REGEXMATCH(F2827, ""Ben帳戶|Elsa帳戶|Ben代墊|Ariel代墊|中信銀行共用"")), ""內部轉帳(忽略)"",
  AND(E2827&lt;&gt;"""", F2827&lt;&gt;"""", N"&amp;"OT(REGEXMATCH(C2827, ""薪資""))), ""內部轉帳(忽略)"",
  REGEXMATCH(C2827, ""薪資""), ""薪資變動(不計入)"",
  REGEXMATCH(C2827, ""押金""), ""押金往來"",
  AND(E2827&lt;&gt;"""", F2827=""""), ""真實支出"",
  AND(E2827="""", F2827&lt;&gt;""""), ""真實收入"",
  TRUE, ""其他""
)"),"真實支出")</f>
        <v>真實支出</v>
      </c>
      <c r="K2827" s="270">
        <f t="shared" si="2"/>
        <v>-15</v>
      </c>
      <c r="L2827">
        <f t="shared" si="3"/>
        <v>0</v>
      </c>
    </row>
    <row r="2828">
      <c r="A2828" s="107">
        <f>IFERROR(__xludf.DUMMYFUNCTION("""COMPUTED_VALUE"""),45966.0)</f>
        <v>45966</v>
      </c>
      <c r="B2828" t="str">
        <f>IFERROR(__xludf.DUMMYFUNCTION("""COMPUTED_VALUE"""),"龍江佩琪退押 ' 【未分類支出】")</f>
        <v>龍江佩琪退押 ' 【未分類支出】</v>
      </c>
      <c r="C2828" t="str">
        <f>IFERROR(__xludf.DUMMYFUNCTION("""COMPUTED_VALUE"""),"收入 - 押金")</f>
        <v>收入 - 押金</v>
      </c>
      <c r="D2828" s="270">
        <f>IFERROR(__xludf.DUMMYFUNCTION("""COMPUTED_VALUE"""),-1970.0)</f>
        <v>-1970</v>
      </c>
      <c r="E2828" t="str">
        <f>IFERROR(__xludf.DUMMYFUNCTION("""COMPUTED_VALUE"""),"台銀籌備帳戶")</f>
        <v>台銀籌備帳戶</v>
      </c>
      <c r="G2828" t="str">
        <f>IFERROR(__xludf.DUMMYFUNCTION("""COMPUTED_VALUE"""),"龍江229")</f>
        <v>龍江229</v>
      </c>
      <c r="H2828" s="106" t="str">
        <f t="shared" si="1"/>
        <v>2025-11</v>
      </c>
      <c r="I2828" s="271" t="str">
        <f>IFERROR(__xludf.DUMMYFUNCTION("""COMPUTED_VALUE"""),"貓狗企鵝")</f>
        <v>貓狗企鵝</v>
      </c>
      <c r="J2828" t="str">
        <f>IFERROR(__xludf.DUMMYFUNCTION("IFS(
  AND(REGEXMATCH(E2828, ""台銀籌備帳戶|玉山帳戶""), REGEXMATCH(C2828, ""薪資"")), ""分潤支出"",
  AND(REGEXMATCH(E2828, ""Ben帳戶|Elsa帳戶|Ben代墊|Ariel代墊|中信銀行共用""), REGEXMATCH(F2828, ""Ben帳戶|Elsa帳戶|Ben代墊|Ariel代墊|中信銀行共用"")), ""內部轉帳(忽略)"",
  AND(E2828&lt;&gt;"""", F2828&lt;&gt;"""", N"&amp;"OT(REGEXMATCH(C2828, ""薪資""))), ""內部轉帳(忽略)"",
  REGEXMATCH(C2828, ""薪資""), ""薪資變動(不計入)"",
  REGEXMATCH(C2828, ""押金""), ""押金往來"",
  AND(E2828&lt;&gt;"""", F2828=""""), ""真實支出"",
  AND(E2828="""", F2828&lt;&gt;""""), ""真實收入"",
  TRUE, ""其他""
)"),"押金往來")</f>
        <v>押金往來</v>
      </c>
      <c r="K2828">
        <f t="shared" si="2"/>
        <v>0</v>
      </c>
      <c r="L2828">
        <f t="shared" si="3"/>
        <v>0</v>
      </c>
    </row>
    <row r="2829">
      <c r="A2829" s="107">
        <f>IFERROR(__xludf.DUMMYFUNCTION("""COMPUTED_VALUE"""),45966.0)</f>
        <v>45966</v>
      </c>
      <c r="B2829" t="str">
        <f>IFERROR(__xludf.DUMMYFUNCTION("""COMPUTED_VALUE"""),"[中山北娘家旁] C [魏湘芸] 月租金 後五碼:60963 (行號: 8)")</f>
        <v>[中山北娘家旁] C [魏湘芸] 月租金 後五碼:60963 (行號: 8)</v>
      </c>
      <c r="C2829" t="str">
        <f>IFERROR(__xludf.DUMMYFUNCTION("""COMPUTED_VALUE"""),"收入 - 租金")</f>
        <v>收入 - 租金</v>
      </c>
      <c r="D2829" s="270">
        <f>IFERROR(__xludf.DUMMYFUNCTION("""COMPUTED_VALUE"""),14800.0)</f>
        <v>14800</v>
      </c>
      <c r="F2829" t="str">
        <f>IFERROR(__xludf.DUMMYFUNCTION("""COMPUTED_VALUE"""),"台銀籌備帳戶")</f>
        <v>台銀籌備帳戶</v>
      </c>
      <c r="G2829" t="str">
        <f>IFERROR(__xludf.DUMMYFUNCTION("""COMPUTED_VALUE"""),"中山北娘家旁")</f>
        <v>中山北娘家旁</v>
      </c>
      <c r="H2829" s="106" t="str">
        <f t="shared" si="1"/>
        <v>2025-11</v>
      </c>
      <c r="I2829" s="271" t="str">
        <f>IFERROR(__xludf.DUMMYFUNCTION("""COMPUTED_VALUE"""),"貓狗企鵝")</f>
        <v>貓狗企鵝</v>
      </c>
      <c r="J2829" t="str">
        <f>IFERROR(__xludf.DUMMYFUNCTION("IFS(
  AND(REGEXMATCH(E2829, ""台銀籌備帳戶|玉山帳戶""), REGEXMATCH(C2829, ""薪資"")), ""分潤支出"",
  AND(REGEXMATCH(E2829, ""Ben帳戶|Elsa帳戶|Ben代墊|Ariel代墊|中信銀行共用""), REGEXMATCH(F2829, ""Ben帳戶|Elsa帳戶|Ben代墊|Ariel代墊|中信銀行共用"")), ""內部轉帳(忽略)"",
  AND(E2829&lt;&gt;"""", F2829&lt;&gt;"""", N"&amp;"OT(REGEXMATCH(C2829, ""薪資""))), ""內部轉帳(忽略)"",
  REGEXMATCH(C2829, ""薪資""), ""薪資變動(不計入)"",
  REGEXMATCH(C2829, ""押金""), ""押金往來"",
  AND(E2829&lt;&gt;"""", F2829=""""), ""真實支出"",
  AND(E2829="""", F2829&lt;&gt;""""), ""真實收入"",
  TRUE, ""其他""
)"),"真實收入")</f>
        <v>真實收入</v>
      </c>
      <c r="K2829" s="270">
        <f t="shared" si="2"/>
        <v>14800</v>
      </c>
      <c r="L2829">
        <f t="shared" si="3"/>
        <v>0</v>
      </c>
    </row>
    <row r="2830">
      <c r="A2830" s="107">
        <f>IFERROR(__xludf.DUMMYFUNCTION("""COMPUTED_VALUE"""),45971.0)</f>
        <v>45971</v>
      </c>
      <c r="B2830" t="str">
        <f>IFERROR(__xludf.DUMMYFUNCTION("""COMPUTED_VALUE"""),"費用 - 匯費 對方行:011 後五碼:17078 (行號: 9)")</f>
        <v>費用 - 匯費 對方行:011 後五碼:17078 (行號: 9)</v>
      </c>
      <c r="C2830" t="str">
        <f>IFERROR(__xludf.DUMMYFUNCTION("""COMPUTED_VALUE"""),"費用 - 匯費")</f>
        <v>費用 - 匯費</v>
      </c>
      <c r="D2830" s="270">
        <f>IFERROR(__xludf.DUMMYFUNCTION("""COMPUTED_VALUE"""),-15.0)</f>
        <v>-15</v>
      </c>
      <c r="E2830" t="str">
        <f>IFERROR(__xludf.DUMMYFUNCTION("""COMPUTED_VALUE"""),"台銀籌備帳戶")</f>
        <v>台銀籌備帳戶</v>
      </c>
      <c r="H2830" s="106" t="str">
        <f t="shared" si="1"/>
        <v>2025-11</v>
      </c>
      <c r="I2830" s="271" t="str">
        <f>IFERROR(__xludf.DUMMYFUNCTION("""COMPUTED_VALUE"""),"貓狗企鵝")</f>
        <v>貓狗企鵝</v>
      </c>
      <c r="J2830" t="str">
        <f>IFERROR(__xludf.DUMMYFUNCTION("IFS(
  AND(REGEXMATCH(E2830, ""台銀籌備帳戶|玉山帳戶""), REGEXMATCH(C2830, ""薪資"")), ""分潤支出"",
  AND(REGEXMATCH(E2830, ""Ben帳戶|Elsa帳戶|Ben代墊|Ariel代墊|中信銀行共用""), REGEXMATCH(F2830, ""Ben帳戶|Elsa帳戶|Ben代墊|Ariel代墊|中信銀行共用"")), ""內部轉帳(忽略)"",
  AND(E2830&lt;&gt;"""", F2830&lt;&gt;"""", N"&amp;"OT(REGEXMATCH(C2830, ""薪資""))), ""內部轉帳(忽略)"",
  REGEXMATCH(C2830, ""薪資""), ""薪資變動(不計入)"",
  REGEXMATCH(C2830, ""押金""), ""押金往來"",
  AND(E2830&lt;&gt;"""", F2830=""""), ""真實支出"",
  AND(E2830="""", F2830&lt;&gt;""""), ""真實收入"",
  TRUE, ""其他""
)"),"真實支出")</f>
        <v>真實支出</v>
      </c>
      <c r="K2830" s="270">
        <f t="shared" si="2"/>
        <v>-15</v>
      </c>
      <c r="L2830">
        <f t="shared" si="3"/>
        <v>0</v>
      </c>
    </row>
    <row r="2831">
      <c r="A2831" s="107">
        <f>IFERROR(__xludf.DUMMYFUNCTION("""COMPUTED_VALUE"""),45971.0)</f>
        <v>45971</v>
      </c>
      <c r="B2831" t="str">
        <f>IFERROR(__xludf.DUMMYFUNCTION("""COMPUTED_VALUE"""),"[書香民生] [吳高寶玉] 大租金")</f>
        <v>[書香民生] [吳高寶玉] 大租金</v>
      </c>
      <c r="C2831" t="str">
        <f>IFERROR(__xludf.DUMMYFUNCTION("""COMPUTED_VALUE"""),"成本 - 大租金")</f>
        <v>成本 - 大租金</v>
      </c>
      <c r="D2831" s="270">
        <f>IFERROR(__xludf.DUMMYFUNCTION("""COMPUTED_VALUE"""),-16667.0)</f>
        <v>-16667</v>
      </c>
      <c r="E2831" t="str">
        <f>IFERROR(__xludf.DUMMYFUNCTION("""COMPUTED_VALUE"""),"台銀籌備帳戶")</f>
        <v>台銀籌備帳戶</v>
      </c>
      <c r="G2831" t="str">
        <f>IFERROR(__xludf.DUMMYFUNCTION("""COMPUTED_VALUE"""),"書香民生")</f>
        <v>書香民生</v>
      </c>
      <c r="H2831" s="106" t="str">
        <f t="shared" si="1"/>
        <v>2025-11</v>
      </c>
      <c r="I2831" s="271" t="str">
        <f>IFERROR(__xludf.DUMMYFUNCTION("""COMPUTED_VALUE"""),"貓狗企鵝")</f>
        <v>貓狗企鵝</v>
      </c>
      <c r="J2831" t="str">
        <f>IFERROR(__xludf.DUMMYFUNCTION("IFS(
  AND(REGEXMATCH(E2831, ""台銀籌備帳戶|玉山帳戶""), REGEXMATCH(C2831, ""薪資"")), ""分潤支出"",
  AND(REGEXMATCH(E2831, ""Ben帳戶|Elsa帳戶|Ben代墊|Ariel代墊|中信銀行共用""), REGEXMATCH(F2831, ""Ben帳戶|Elsa帳戶|Ben代墊|Ariel代墊|中信銀行共用"")), ""內部轉帳(忽略)"",
  AND(E2831&lt;&gt;"""", F2831&lt;&gt;"""", N"&amp;"OT(REGEXMATCH(C2831, ""薪資""))), ""內部轉帳(忽略)"",
  REGEXMATCH(C2831, ""薪資""), ""薪資變動(不計入)"",
  REGEXMATCH(C2831, ""押金""), ""押金往來"",
  AND(E2831&lt;&gt;"""", F2831=""""), ""真實支出"",
  AND(E2831="""", F2831&lt;&gt;""""), ""真實收入"",
  TRUE, ""其他""
)"),"真實支出")</f>
        <v>真實支出</v>
      </c>
      <c r="K2831" s="270">
        <f t="shared" si="2"/>
        <v>-16667</v>
      </c>
      <c r="L2831">
        <f t="shared" si="3"/>
        <v>0</v>
      </c>
    </row>
    <row r="2832">
      <c r="A2832" s="107">
        <f>IFERROR(__xludf.DUMMYFUNCTION("""COMPUTED_VALUE"""),45971.0)</f>
        <v>45971</v>
      </c>
      <c r="B2832" t="str">
        <f>IFERROR(__xludf.DUMMYFUNCTION("""COMPUTED_VALUE"""),"[哈拉對面] A [何丞翊] 月租金 後五碼:35538 (行號: 10)")</f>
        <v>[哈拉對面] A [何丞翊] 月租金 後五碼:35538 (行號: 10)</v>
      </c>
      <c r="C2832" t="str">
        <f>IFERROR(__xludf.DUMMYFUNCTION("""COMPUTED_VALUE"""),"收入 - 租金")</f>
        <v>收入 - 租金</v>
      </c>
      <c r="D2832" s="270">
        <f>IFERROR(__xludf.DUMMYFUNCTION("""COMPUTED_VALUE"""),11000.0)</f>
        <v>11000</v>
      </c>
      <c r="F2832" t="str">
        <f>IFERROR(__xludf.DUMMYFUNCTION("""COMPUTED_VALUE"""),"台銀籌備帳戶")</f>
        <v>台銀籌備帳戶</v>
      </c>
      <c r="G2832" t="str">
        <f>IFERROR(__xludf.DUMMYFUNCTION("""COMPUTED_VALUE"""),"哈拉對面")</f>
        <v>哈拉對面</v>
      </c>
      <c r="H2832" s="106" t="str">
        <f t="shared" si="1"/>
        <v>2025-11</v>
      </c>
      <c r="I2832" s="271" t="str">
        <f>IFERROR(__xludf.DUMMYFUNCTION("""COMPUTED_VALUE"""),"貓狗企鵝")</f>
        <v>貓狗企鵝</v>
      </c>
      <c r="J2832" t="str">
        <f>IFERROR(__xludf.DUMMYFUNCTION("IFS(
  AND(REGEXMATCH(E2832, ""台銀籌備帳戶|玉山帳戶""), REGEXMATCH(C2832, ""薪資"")), ""分潤支出"",
  AND(REGEXMATCH(E2832, ""Ben帳戶|Elsa帳戶|Ben代墊|Ariel代墊|中信銀行共用""), REGEXMATCH(F2832, ""Ben帳戶|Elsa帳戶|Ben代墊|Ariel代墊|中信銀行共用"")), ""內部轉帳(忽略)"",
  AND(E2832&lt;&gt;"""", F2832&lt;&gt;"""", N"&amp;"OT(REGEXMATCH(C2832, ""薪資""))), ""內部轉帳(忽略)"",
  REGEXMATCH(C2832, ""薪資""), ""薪資變動(不計入)"",
  REGEXMATCH(C2832, ""押金""), ""押金往來"",
  AND(E2832&lt;&gt;"""", F2832=""""), ""真實支出"",
  AND(E2832="""", F2832&lt;&gt;""""), ""真實收入"",
  TRUE, ""其他""
)"),"真實收入")</f>
        <v>真實收入</v>
      </c>
      <c r="K2832" s="270">
        <f t="shared" si="2"/>
        <v>11000</v>
      </c>
      <c r="L2832">
        <f t="shared" si="3"/>
        <v>0</v>
      </c>
    </row>
    <row r="2833">
      <c r="A2833" s="107">
        <f>IFERROR(__xludf.DUMMYFUNCTION("""COMPUTED_VALUE"""),45971.0)</f>
        <v>45971</v>
      </c>
      <c r="B2833" t="str">
        <f>IFERROR(__xludf.DUMMYFUNCTION("""COMPUTED_VALUE"""),"費用 - 匯費 對方行:013 後五碼:05843 (行號: 11)")</f>
        <v>費用 - 匯費 對方行:013 後五碼:05843 (行號: 11)</v>
      </c>
      <c r="C2833" t="str">
        <f>IFERROR(__xludf.DUMMYFUNCTION("""COMPUTED_VALUE"""),"費用 - 匯費")</f>
        <v>費用 - 匯費</v>
      </c>
      <c r="D2833" s="270">
        <f>IFERROR(__xludf.DUMMYFUNCTION("""COMPUTED_VALUE"""),-15.0)</f>
        <v>-15</v>
      </c>
      <c r="E2833" t="str">
        <f>IFERROR(__xludf.DUMMYFUNCTION("""COMPUTED_VALUE"""),"台銀籌備帳戶")</f>
        <v>台銀籌備帳戶</v>
      </c>
      <c r="H2833" s="106" t="str">
        <f t="shared" si="1"/>
        <v>2025-11</v>
      </c>
      <c r="I2833" s="271" t="str">
        <f>IFERROR(__xludf.DUMMYFUNCTION("""COMPUTED_VALUE"""),"貓狗企鵝")</f>
        <v>貓狗企鵝</v>
      </c>
      <c r="J2833" t="str">
        <f>IFERROR(__xludf.DUMMYFUNCTION("IFS(
  AND(REGEXMATCH(E2833, ""台銀籌備帳戶|玉山帳戶""), REGEXMATCH(C2833, ""薪資"")), ""分潤支出"",
  AND(REGEXMATCH(E2833, ""Ben帳戶|Elsa帳戶|Ben代墊|Ariel代墊|中信銀行共用""), REGEXMATCH(F2833, ""Ben帳戶|Elsa帳戶|Ben代墊|Ariel代墊|中信銀行共用"")), ""內部轉帳(忽略)"",
  AND(E2833&lt;&gt;"""", F2833&lt;&gt;"""", N"&amp;"OT(REGEXMATCH(C2833, ""薪資""))), ""內部轉帳(忽略)"",
  REGEXMATCH(C2833, ""薪資""), ""薪資變動(不計入)"",
  REGEXMATCH(C2833, ""押金""), ""押金往來"",
  AND(E2833&lt;&gt;"""", F2833=""""), ""真實支出"",
  AND(E2833="""", F2833&lt;&gt;""""), ""真實收入"",
  TRUE, ""其他""
)"),"真實支出")</f>
        <v>真實支出</v>
      </c>
      <c r="K2833" s="270">
        <f t="shared" si="2"/>
        <v>-15</v>
      </c>
      <c r="L2833">
        <f t="shared" si="3"/>
        <v>0</v>
      </c>
    </row>
    <row r="2834">
      <c r="A2834" s="107">
        <f>IFERROR(__xludf.DUMMYFUNCTION("""COMPUTED_VALUE"""),45971.0)</f>
        <v>45971</v>
      </c>
      <c r="B2834" t="str">
        <f>IFERROR(__xludf.DUMMYFUNCTION("""COMPUTED_VALUE"""),"宇榛感謝金 ' 【未分類支出】")</f>
        <v>宇榛感謝金 ' 【未分類支出】</v>
      </c>
      <c r="C2834" t="str">
        <f>IFERROR(__xludf.DUMMYFUNCTION("""COMPUTED_VALUE"""),"收入 - 其他")</f>
        <v>收入 - 其他</v>
      </c>
      <c r="D2834" s="270">
        <f>IFERROR(__xludf.DUMMYFUNCTION("""COMPUTED_VALUE"""),-185.0)</f>
        <v>-185</v>
      </c>
      <c r="E2834" t="str">
        <f>IFERROR(__xludf.DUMMYFUNCTION("""COMPUTED_VALUE"""),"台銀籌備帳戶")</f>
        <v>台銀籌備帳戶</v>
      </c>
      <c r="G2834" t="str">
        <f>IFERROR(__xludf.DUMMYFUNCTION("""COMPUTED_VALUE"""),"景安2分鐘")</f>
        <v>景安2分鐘</v>
      </c>
      <c r="H2834" s="106" t="str">
        <f t="shared" si="1"/>
        <v>2025-11</v>
      </c>
      <c r="I2834" s="271" t="str">
        <f>IFERROR(__xludf.DUMMYFUNCTION("""COMPUTED_VALUE"""),"貓狗企鵝")</f>
        <v>貓狗企鵝</v>
      </c>
      <c r="J2834" t="str">
        <f>IFERROR(__xludf.DUMMYFUNCTION("IFS(
  AND(REGEXMATCH(E2834, ""台銀籌備帳戶|玉山帳戶""), REGEXMATCH(C2834, ""薪資"")), ""分潤支出"",
  AND(REGEXMATCH(E2834, ""Ben帳戶|Elsa帳戶|Ben代墊|Ariel代墊|中信銀行共用""), REGEXMATCH(F2834, ""Ben帳戶|Elsa帳戶|Ben代墊|Ariel代墊|中信銀行共用"")), ""內部轉帳(忽略)"",
  AND(E2834&lt;&gt;"""", F2834&lt;&gt;"""", N"&amp;"OT(REGEXMATCH(C2834, ""薪資""))), ""內部轉帳(忽略)"",
  REGEXMATCH(C2834, ""薪資""), ""薪資變動(不計入)"",
  REGEXMATCH(C2834, ""押金""), ""押金往來"",
  AND(E2834&lt;&gt;"""", F2834=""""), ""真實支出"",
  AND(E2834="""", F2834&lt;&gt;""""), ""真實收入"",
  TRUE, ""其他""
)"),"真實支出")</f>
        <v>真實支出</v>
      </c>
      <c r="K2834" s="270">
        <f t="shared" si="2"/>
        <v>-185</v>
      </c>
      <c r="L2834">
        <f t="shared" si="3"/>
        <v>0</v>
      </c>
    </row>
    <row r="2835">
      <c r="A2835" s="107">
        <f>IFERROR(__xludf.DUMMYFUNCTION("""COMPUTED_VALUE"""),45972.0)</f>
        <v>45972</v>
      </c>
      <c r="B2835" t="str">
        <f>IFERROR(__xludf.DUMMYFUNCTION("""COMPUTED_VALUE"""),"蝦皮層板")</f>
        <v>蝦皮層板</v>
      </c>
      <c r="C2835" t="str">
        <f>IFERROR(__xludf.DUMMYFUNCTION("""COMPUTED_VALUE"""),"成本 - 進場前裝潢費")</f>
        <v>成本 - 進場前裝潢費</v>
      </c>
      <c r="D2835" s="270">
        <f>IFERROR(__xludf.DUMMYFUNCTION("""COMPUTED_VALUE"""),-3454.0)</f>
        <v>-3454</v>
      </c>
      <c r="E2835" t="str">
        <f>IFERROR(__xludf.DUMMYFUNCTION("""COMPUTED_VALUE"""),"Elsa帳戶")</f>
        <v>Elsa帳戶</v>
      </c>
      <c r="G2835" t="str">
        <f>IFERROR(__xludf.DUMMYFUNCTION("""COMPUTED_VALUE"""),"天母搜狗")</f>
        <v>天母搜狗</v>
      </c>
      <c r="H2835" s="106" t="str">
        <f t="shared" si="1"/>
        <v>2025-11</v>
      </c>
      <c r="I2835" s="271" t="str">
        <f>IFERROR(__xludf.DUMMYFUNCTION("""COMPUTED_VALUE"""),"貓狗企鵝")</f>
        <v>貓狗企鵝</v>
      </c>
      <c r="J2835" t="str">
        <f>IFERROR(__xludf.DUMMYFUNCTION("IFS(
  AND(REGEXMATCH(E2835, ""台銀籌備帳戶|玉山帳戶""), REGEXMATCH(C2835, ""薪資"")), ""分潤支出"",
  AND(REGEXMATCH(E2835, ""Ben帳戶|Elsa帳戶|Ben代墊|Ariel代墊|中信銀行共用""), REGEXMATCH(F2835, ""Ben帳戶|Elsa帳戶|Ben代墊|Ariel代墊|中信銀行共用"")), ""內部轉帳(忽略)"",
  AND(E2835&lt;&gt;"""", F2835&lt;&gt;"""", N"&amp;"OT(REGEXMATCH(C2835, ""薪資""))), ""內部轉帳(忽略)"",
  REGEXMATCH(C2835, ""薪資""), ""薪資變動(不計入)"",
  REGEXMATCH(C2835, ""押金""), ""押金往來"",
  AND(E2835&lt;&gt;"""", F2835=""""), ""真實支出"",
  AND(E2835="""", F2835&lt;&gt;""""), ""真實收入"",
  TRUE, ""其他""
)"),"真實支出")</f>
        <v>真實支出</v>
      </c>
      <c r="K2835" s="270">
        <f t="shared" si="2"/>
        <v>-3454</v>
      </c>
      <c r="L2835">
        <f t="shared" si="3"/>
        <v>0</v>
      </c>
    </row>
    <row r="2836">
      <c r="A2836" s="107">
        <f>IFERROR(__xludf.DUMMYFUNCTION("""COMPUTED_VALUE"""),45974.0)</f>
        <v>45974</v>
      </c>
      <c r="B2836" t="str">
        <f>IFERROR(__xludf.DUMMYFUNCTION("""COMPUTED_VALUE"""),"書香大門換鎖芯")</f>
        <v>書香大門換鎖芯</v>
      </c>
      <c r="C2836" t="str">
        <f>IFERROR(__xludf.DUMMYFUNCTION("""COMPUTED_VALUE"""),"成本 - 租後修繕")</f>
        <v>成本 - 租後修繕</v>
      </c>
      <c r="D2836" s="270">
        <f>IFERROR(__xludf.DUMMYFUNCTION("""COMPUTED_VALUE"""),-2000.0)</f>
        <v>-2000</v>
      </c>
      <c r="E2836" t="str">
        <f>IFERROR(__xludf.DUMMYFUNCTION("""COMPUTED_VALUE"""),"Elsa帳戶")</f>
        <v>Elsa帳戶</v>
      </c>
      <c r="G2836" t="str">
        <f>IFERROR(__xludf.DUMMYFUNCTION("""COMPUTED_VALUE"""),"書香民生")</f>
        <v>書香民生</v>
      </c>
      <c r="H2836" s="106" t="str">
        <f t="shared" si="1"/>
        <v>2025-11</v>
      </c>
      <c r="I2836" s="271" t="str">
        <f>IFERROR(__xludf.DUMMYFUNCTION("""COMPUTED_VALUE"""),"貓狗企鵝")</f>
        <v>貓狗企鵝</v>
      </c>
      <c r="J2836" t="str">
        <f>IFERROR(__xludf.DUMMYFUNCTION("IFS(
  AND(REGEXMATCH(E2836, ""台銀籌備帳戶|玉山帳戶""), REGEXMATCH(C2836, ""薪資"")), ""分潤支出"",
  AND(REGEXMATCH(E2836, ""Ben帳戶|Elsa帳戶|Ben代墊|Ariel代墊|中信銀行共用""), REGEXMATCH(F2836, ""Ben帳戶|Elsa帳戶|Ben代墊|Ariel代墊|中信銀行共用"")), ""內部轉帳(忽略)"",
  AND(E2836&lt;&gt;"""", F2836&lt;&gt;"""", N"&amp;"OT(REGEXMATCH(C2836, ""薪資""))), ""內部轉帳(忽略)"",
  REGEXMATCH(C2836, ""薪資""), ""薪資變動(不計入)"",
  REGEXMATCH(C2836, ""押金""), ""押金往來"",
  AND(E2836&lt;&gt;"""", F2836=""""), ""真實支出"",
  AND(E2836="""", F2836&lt;&gt;""""), ""真實收入"",
  TRUE, ""其他""
)"),"真實支出")</f>
        <v>真實支出</v>
      </c>
      <c r="K2836" s="270">
        <f t="shared" si="2"/>
        <v>-2000</v>
      </c>
      <c r="L2836">
        <f t="shared" si="3"/>
        <v>0</v>
      </c>
    </row>
    <row r="2837">
      <c r="A2837" s="107">
        <f>IFERROR(__xludf.DUMMYFUNCTION("""COMPUTED_VALUE"""),45974.0)</f>
        <v>45974</v>
      </c>
      <c r="B2837" t="str">
        <f>IFERROR(__xludf.DUMMYFUNCTION("""COMPUTED_VALUE"""),"(財政部)哈拉對面冷氣*3 + 龍江C房冷氣*1")</f>
        <v>(財政部)哈拉對面冷氣*3 + 龍江C房冷氣*1</v>
      </c>
      <c r="C2837" t="str">
        <f>IFERROR(__xludf.DUMMYFUNCTION("""COMPUTED_VALUE"""),"收入 - 政府補助/退稅")</f>
        <v>收入 - 政府補助/退稅</v>
      </c>
      <c r="D2837" s="270">
        <f>IFERROR(__xludf.DUMMYFUNCTION("""COMPUTED_VALUE"""),6400.0)</f>
        <v>6400</v>
      </c>
      <c r="F2837" t="str">
        <f>IFERROR(__xludf.DUMMYFUNCTION("""COMPUTED_VALUE"""),"Elsa帳戶")</f>
        <v>Elsa帳戶</v>
      </c>
      <c r="G2837" t="str">
        <f>IFERROR(__xludf.DUMMYFUNCTION("""COMPUTED_VALUE"""),"哈拉對面")</f>
        <v>哈拉對面</v>
      </c>
      <c r="H2837" s="106" t="str">
        <f t="shared" si="1"/>
        <v>2025-11</v>
      </c>
      <c r="I2837" s="271" t="str">
        <f>IFERROR(__xludf.DUMMYFUNCTION("""COMPUTED_VALUE"""),"貓狗企鵝")</f>
        <v>貓狗企鵝</v>
      </c>
      <c r="J2837" t="str">
        <f>IFERROR(__xludf.DUMMYFUNCTION("IFS(
  AND(REGEXMATCH(E2837, ""台銀籌備帳戶|玉山帳戶""), REGEXMATCH(C2837, ""薪資"")), ""分潤支出"",
  AND(REGEXMATCH(E2837, ""Ben帳戶|Elsa帳戶|Ben代墊|Ariel代墊|中信銀行共用""), REGEXMATCH(F2837, ""Ben帳戶|Elsa帳戶|Ben代墊|Ariel代墊|中信銀行共用"")), ""內部轉帳(忽略)"",
  AND(E2837&lt;&gt;"""", F2837&lt;&gt;"""", N"&amp;"OT(REGEXMATCH(C2837, ""薪資""))), ""內部轉帳(忽略)"",
  REGEXMATCH(C2837, ""薪資""), ""薪資變動(不計入)"",
  REGEXMATCH(C2837, ""押金""), ""押金往來"",
  AND(E2837&lt;&gt;"""", F2837=""""), ""真實支出"",
  AND(E2837="""", F2837&lt;&gt;""""), ""真實收入"",
  TRUE, ""其他""
)"),"真實收入")</f>
        <v>真實收入</v>
      </c>
      <c r="K2837" s="270">
        <f t="shared" si="2"/>
        <v>6400</v>
      </c>
      <c r="L2837">
        <f t="shared" si="3"/>
        <v>0</v>
      </c>
    </row>
    <row r="2838">
      <c r="A2838" s="107">
        <f>IFERROR(__xludf.DUMMYFUNCTION("""COMPUTED_VALUE"""),45974.0)</f>
        <v>45974</v>
      </c>
      <c r="B2838" t="str">
        <f>IFERROR(__xludf.DUMMYFUNCTION("""COMPUTED_VALUE"""),"(經濟部)哈拉對面冷氣*3 + 龍江C房冷氣*1")</f>
        <v>(經濟部)哈拉對面冷氣*3 + 龍江C房冷氣*1</v>
      </c>
      <c r="C2838" t="str">
        <f>IFERROR(__xludf.DUMMYFUNCTION("""COMPUTED_VALUE"""),"收入 - 政府補助/退稅")</f>
        <v>收入 - 政府補助/退稅</v>
      </c>
      <c r="D2838" s="270">
        <f>IFERROR(__xludf.DUMMYFUNCTION("""COMPUTED_VALUE"""),12000.0)</f>
        <v>12000</v>
      </c>
      <c r="F2838" t="str">
        <f>IFERROR(__xludf.DUMMYFUNCTION("""COMPUTED_VALUE"""),"Elsa帳戶")</f>
        <v>Elsa帳戶</v>
      </c>
      <c r="G2838" t="str">
        <f>IFERROR(__xludf.DUMMYFUNCTION("""COMPUTED_VALUE"""),"哈拉對面")</f>
        <v>哈拉對面</v>
      </c>
      <c r="H2838" s="106" t="str">
        <f t="shared" si="1"/>
        <v>2025-11</v>
      </c>
      <c r="I2838" s="271" t="str">
        <f>IFERROR(__xludf.DUMMYFUNCTION("""COMPUTED_VALUE"""),"貓狗企鵝")</f>
        <v>貓狗企鵝</v>
      </c>
      <c r="J2838" t="str">
        <f>IFERROR(__xludf.DUMMYFUNCTION("IFS(
  AND(REGEXMATCH(E2838, ""台銀籌備帳戶|玉山帳戶""), REGEXMATCH(C2838, ""薪資"")), ""分潤支出"",
  AND(REGEXMATCH(E2838, ""Ben帳戶|Elsa帳戶|Ben代墊|Ariel代墊|中信銀行共用""), REGEXMATCH(F2838, ""Ben帳戶|Elsa帳戶|Ben代墊|Ariel代墊|中信銀行共用"")), ""內部轉帳(忽略)"",
  AND(E2838&lt;&gt;"""", F2838&lt;&gt;"""", N"&amp;"OT(REGEXMATCH(C2838, ""薪資""))), ""內部轉帳(忽略)"",
  REGEXMATCH(C2838, ""薪資""), ""薪資變動(不計入)"",
  REGEXMATCH(C2838, ""押金""), ""押金往來"",
  AND(E2838&lt;&gt;"""", F2838=""""), ""真實支出"",
  AND(E2838="""", F2838&lt;&gt;""""), ""真實收入"",
  TRUE, ""其他""
)"),"真實收入")</f>
        <v>真實收入</v>
      </c>
      <c r="K2838" s="270">
        <f t="shared" si="2"/>
        <v>12000</v>
      </c>
      <c r="L2838">
        <f t="shared" si="3"/>
        <v>0</v>
      </c>
    </row>
    <row r="2839">
      <c r="A2839" s="107">
        <f>IFERROR(__xludf.DUMMYFUNCTION("""COMPUTED_VALUE"""),45975.0)</f>
        <v>45975</v>
      </c>
      <c r="B2839" t="str">
        <f>IFERROR(__xludf.DUMMYFUNCTION("""COMPUTED_VALUE"""),"MoMo 壁燈*2")</f>
        <v>MoMo 壁燈*2</v>
      </c>
      <c r="C2839" t="str">
        <f>IFERROR(__xludf.DUMMYFUNCTION("""COMPUTED_VALUE"""),"成本 - 進場前裝潢費")</f>
        <v>成本 - 進場前裝潢費</v>
      </c>
      <c r="D2839" s="270">
        <f>IFERROR(__xludf.DUMMYFUNCTION("""COMPUTED_VALUE"""),-1358.0)</f>
        <v>-1358</v>
      </c>
      <c r="E2839" t="str">
        <f>IFERROR(__xludf.DUMMYFUNCTION("""COMPUTED_VALUE"""),"Elsa帳戶")</f>
        <v>Elsa帳戶</v>
      </c>
      <c r="G2839" t="str">
        <f>IFERROR(__xludf.DUMMYFUNCTION("""COMPUTED_VALUE"""),"天母搜狗")</f>
        <v>天母搜狗</v>
      </c>
      <c r="H2839" s="106" t="str">
        <f t="shared" si="1"/>
        <v>2025-11</v>
      </c>
      <c r="I2839" s="271" t="str">
        <f>IFERROR(__xludf.DUMMYFUNCTION("""COMPUTED_VALUE"""),"貓狗企鵝")</f>
        <v>貓狗企鵝</v>
      </c>
      <c r="J2839" t="str">
        <f>IFERROR(__xludf.DUMMYFUNCTION("IFS(
  AND(REGEXMATCH(E2839, ""台銀籌備帳戶|玉山帳戶""), REGEXMATCH(C2839, ""薪資"")), ""分潤支出"",
  AND(REGEXMATCH(E2839, ""Ben帳戶|Elsa帳戶|Ben代墊|Ariel代墊|中信銀行共用""), REGEXMATCH(F2839, ""Ben帳戶|Elsa帳戶|Ben代墊|Ariel代墊|中信銀行共用"")), ""內部轉帳(忽略)"",
  AND(E2839&lt;&gt;"""", F2839&lt;&gt;"""", N"&amp;"OT(REGEXMATCH(C2839, ""薪資""))), ""內部轉帳(忽略)"",
  REGEXMATCH(C2839, ""薪資""), ""薪資變動(不計入)"",
  REGEXMATCH(C2839, ""押金""), ""押金往來"",
  AND(E2839&lt;&gt;"""", F2839=""""), ""真實支出"",
  AND(E2839="""", F2839&lt;&gt;""""), ""真實收入"",
  TRUE, ""其他""
)"),"真實支出")</f>
        <v>真實支出</v>
      </c>
      <c r="K2839" s="270">
        <f t="shared" si="2"/>
        <v>-1358</v>
      </c>
      <c r="L2839">
        <f t="shared" si="3"/>
        <v>0</v>
      </c>
    </row>
    <row r="2840">
      <c r="A2840" s="107">
        <f>IFERROR(__xludf.DUMMYFUNCTION("""COMPUTED_VALUE"""),45976.0)</f>
        <v>45976</v>
      </c>
      <c r="B2840" t="str">
        <f>IFERROR(__xludf.DUMMYFUNCTION("""COMPUTED_VALUE"""),"591 FELI C +龍江E")</f>
        <v>591 FELI C +龍江E</v>
      </c>
      <c r="C2840" t="str">
        <f>IFERROR(__xludf.DUMMYFUNCTION("""COMPUTED_VALUE"""),"成本 - 仲介費")</f>
        <v>成本 - 仲介費</v>
      </c>
      <c r="D2840" s="270">
        <f>IFERROR(__xludf.DUMMYFUNCTION("""COMPUTED_VALUE"""),-2578.0)</f>
        <v>-2578</v>
      </c>
      <c r="E2840" t="str">
        <f>IFERROR(__xludf.DUMMYFUNCTION("""COMPUTED_VALUE"""),"Ben帳戶")</f>
        <v>Ben帳戶</v>
      </c>
      <c r="G2840" t="str">
        <f>IFERROR(__xludf.DUMMYFUNCTION("""COMPUTED_VALUE"""),"無法分類")</f>
        <v>無法分類</v>
      </c>
      <c r="H2840" s="106" t="str">
        <f t="shared" si="1"/>
        <v>2025-11</v>
      </c>
      <c r="I2840" s="271" t="str">
        <f>IFERROR(__xludf.DUMMYFUNCTION("""COMPUTED_VALUE"""),"貓狗企鵝")</f>
        <v>貓狗企鵝</v>
      </c>
      <c r="J2840" t="str">
        <f>IFERROR(__xludf.DUMMYFUNCTION("IFS(
  AND(REGEXMATCH(E2840, ""台銀籌備帳戶|玉山帳戶""), REGEXMATCH(C2840, ""薪資"")), ""分潤支出"",
  AND(REGEXMATCH(E2840, ""Ben帳戶|Elsa帳戶|Ben代墊|Ariel代墊|中信銀行共用""), REGEXMATCH(F2840, ""Ben帳戶|Elsa帳戶|Ben代墊|Ariel代墊|中信銀行共用"")), ""內部轉帳(忽略)"",
  AND(E2840&lt;&gt;"""", F2840&lt;&gt;"""", N"&amp;"OT(REGEXMATCH(C2840, ""薪資""))), ""內部轉帳(忽略)"",
  REGEXMATCH(C2840, ""薪資""), ""薪資變動(不計入)"",
  REGEXMATCH(C2840, ""押金""), ""押金往來"",
  AND(E2840&lt;&gt;"""", F2840=""""), ""真實支出"",
  AND(E2840="""", F2840&lt;&gt;""""), ""真實收入"",
  TRUE, ""其他""
)"),"真實支出")</f>
        <v>真實支出</v>
      </c>
      <c r="K2840" s="270">
        <f t="shared" si="2"/>
        <v>-2578</v>
      </c>
      <c r="L2840">
        <f t="shared" si="3"/>
        <v>0</v>
      </c>
    </row>
    <row r="2841">
      <c r="A2841" s="107">
        <f>IFERROR(__xludf.DUMMYFUNCTION("""COMPUTED_VALUE"""),45977.0)</f>
        <v>45977</v>
      </c>
      <c r="B2841" t="str">
        <f>IFERROR(__xludf.DUMMYFUNCTION("""COMPUTED_VALUE"""),"黃洞石壁燈*6+書桌壁燈*1")</f>
        <v>黃洞石壁燈*6+書桌壁燈*1</v>
      </c>
      <c r="C2841" t="str">
        <f>IFERROR(__xludf.DUMMYFUNCTION("""COMPUTED_VALUE"""),"成本 - 進場前裝潢費")</f>
        <v>成本 - 進場前裝潢費</v>
      </c>
      <c r="D2841" s="270">
        <f>IFERROR(__xludf.DUMMYFUNCTION("""COMPUTED_VALUE"""),-7662.5)</f>
        <v>-7662.5</v>
      </c>
      <c r="E2841" t="str">
        <f>IFERROR(__xludf.DUMMYFUNCTION("""COMPUTED_VALUE"""),"Elsa帳戶")</f>
        <v>Elsa帳戶</v>
      </c>
      <c r="G2841" t="str">
        <f>IFERROR(__xludf.DUMMYFUNCTION("""COMPUTED_VALUE"""),"天母搜狗")</f>
        <v>天母搜狗</v>
      </c>
      <c r="H2841" s="106" t="str">
        <f t="shared" si="1"/>
        <v>2025-11</v>
      </c>
      <c r="I2841" s="271" t="str">
        <f>IFERROR(__xludf.DUMMYFUNCTION("""COMPUTED_VALUE"""),"貓狗企鵝")</f>
        <v>貓狗企鵝</v>
      </c>
      <c r="J2841" t="str">
        <f>IFERROR(__xludf.DUMMYFUNCTION("IFS(
  AND(REGEXMATCH(E2841, ""台銀籌備帳戶|玉山帳戶""), REGEXMATCH(C2841, ""薪資"")), ""分潤支出"",
  AND(REGEXMATCH(E2841, ""Ben帳戶|Elsa帳戶|Ben代墊|Ariel代墊|中信銀行共用""), REGEXMATCH(F2841, ""Ben帳戶|Elsa帳戶|Ben代墊|Ariel代墊|中信銀行共用"")), ""內部轉帳(忽略)"",
  AND(E2841&lt;&gt;"""", F2841&lt;&gt;"""", N"&amp;"OT(REGEXMATCH(C2841, ""薪資""))), ""內部轉帳(忽略)"",
  REGEXMATCH(C2841, ""薪資""), ""薪資變動(不計入)"",
  REGEXMATCH(C2841, ""押金""), ""押金往來"",
  AND(E2841&lt;&gt;"""", F2841=""""), ""真實支出"",
  AND(E2841="""", F2841&lt;&gt;""""), ""真實收入"",
  TRUE, ""其他""
)"),"真實支出")</f>
        <v>真實支出</v>
      </c>
      <c r="K2841" s="270">
        <f t="shared" si="2"/>
        <v>-7662.5</v>
      </c>
      <c r="L2841">
        <f t="shared" si="3"/>
        <v>0</v>
      </c>
    </row>
    <row r="2842">
      <c r="A2842" s="107">
        <f>IFERROR(__xludf.DUMMYFUNCTION("""COMPUTED_VALUE"""),45977.0)</f>
        <v>45977</v>
      </c>
      <c r="B2842" t="str">
        <f>IFERROR(__xludf.DUMMYFUNCTION("""COMPUTED_VALUE"""),"淘寶吊燈")</f>
        <v>淘寶吊燈</v>
      </c>
      <c r="C2842" t="str">
        <f>IFERROR(__xludf.DUMMYFUNCTION("""COMPUTED_VALUE"""),"成本 - 進場前裝潢費")</f>
        <v>成本 - 進場前裝潢費</v>
      </c>
      <c r="D2842" s="270">
        <f>IFERROR(__xludf.DUMMYFUNCTION("""COMPUTED_VALUE"""),-833.04)</f>
        <v>-833.04</v>
      </c>
      <c r="E2842" t="str">
        <f>IFERROR(__xludf.DUMMYFUNCTION("""COMPUTED_VALUE"""),"Elsa帳戶")</f>
        <v>Elsa帳戶</v>
      </c>
      <c r="G2842" t="str">
        <f>IFERROR(__xludf.DUMMYFUNCTION("""COMPUTED_VALUE"""),"永春四號")</f>
        <v>永春四號</v>
      </c>
      <c r="H2842" s="106" t="str">
        <f t="shared" si="1"/>
        <v>2025-11</v>
      </c>
      <c r="I2842" s="271" t="str">
        <f>IFERROR(__xludf.DUMMYFUNCTION("""COMPUTED_VALUE"""),"貓狗企鵝")</f>
        <v>貓狗企鵝</v>
      </c>
      <c r="J2842" t="str">
        <f>IFERROR(__xludf.DUMMYFUNCTION("IFS(
  AND(REGEXMATCH(E2842, ""台銀籌備帳戶|玉山帳戶""), REGEXMATCH(C2842, ""薪資"")), ""分潤支出"",
  AND(REGEXMATCH(E2842, ""Ben帳戶|Elsa帳戶|Ben代墊|Ariel代墊|中信銀行共用""), REGEXMATCH(F2842, ""Ben帳戶|Elsa帳戶|Ben代墊|Ariel代墊|中信銀行共用"")), ""內部轉帳(忽略)"",
  AND(E2842&lt;&gt;"""", F2842&lt;&gt;"""", N"&amp;"OT(REGEXMATCH(C2842, ""薪資""))), ""內部轉帳(忽略)"",
  REGEXMATCH(C2842, ""薪資""), ""薪資變動(不計入)"",
  REGEXMATCH(C2842, ""押金""), ""押金往來"",
  AND(E2842&lt;&gt;"""", F2842=""""), ""真實支出"",
  AND(E2842="""", F2842&lt;&gt;""""), ""真實收入"",
  TRUE, ""其他""
)"),"真實支出")</f>
        <v>真實支出</v>
      </c>
      <c r="K2842" s="270">
        <f t="shared" si="2"/>
        <v>-833.04</v>
      </c>
      <c r="L2842">
        <f t="shared" si="3"/>
        <v>0</v>
      </c>
    </row>
    <row r="2843">
      <c r="A2843" s="107">
        <f>IFERROR(__xludf.DUMMYFUNCTION("""COMPUTED_VALUE"""),45977.0)</f>
        <v>45977</v>
      </c>
      <c r="B2843" t="str">
        <f>IFERROR(__xludf.DUMMYFUNCTION("""COMPUTED_VALUE"""),"淘寶吊扇")</f>
        <v>淘寶吊扇</v>
      </c>
      <c r="C2843" t="str">
        <f>IFERROR(__xludf.DUMMYFUNCTION("""COMPUTED_VALUE"""),"成本 - 進場前裝潢費")</f>
        <v>成本 - 進場前裝潢費</v>
      </c>
      <c r="D2843" s="270">
        <f>IFERROR(__xludf.DUMMYFUNCTION("""COMPUTED_VALUE"""),-1009.89)</f>
        <v>-1009.89</v>
      </c>
      <c r="E2843" t="str">
        <f>IFERROR(__xludf.DUMMYFUNCTION("""COMPUTED_VALUE"""),"Elsa帳戶")</f>
        <v>Elsa帳戶</v>
      </c>
      <c r="G2843" t="str">
        <f>IFERROR(__xludf.DUMMYFUNCTION("""COMPUTED_VALUE"""),"天母搜狗")</f>
        <v>天母搜狗</v>
      </c>
      <c r="H2843" s="106" t="str">
        <f t="shared" si="1"/>
        <v>2025-11</v>
      </c>
      <c r="I2843" s="271" t="str">
        <f>IFERROR(__xludf.DUMMYFUNCTION("""COMPUTED_VALUE"""),"貓狗企鵝")</f>
        <v>貓狗企鵝</v>
      </c>
      <c r="J2843" t="str">
        <f>IFERROR(__xludf.DUMMYFUNCTION("IFS(
  AND(REGEXMATCH(E2843, ""台銀籌備帳戶|玉山帳戶""), REGEXMATCH(C2843, ""薪資"")), ""分潤支出"",
  AND(REGEXMATCH(E2843, ""Ben帳戶|Elsa帳戶|Ben代墊|Ariel代墊|中信銀行共用""), REGEXMATCH(F2843, ""Ben帳戶|Elsa帳戶|Ben代墊|Ariel代墊|中信銀行共用"")), ""內部轉帳(忽略)"",
  AND(E2843&lt;&gt;"""", F2843&lt;&gt;"""", N"&amp;"OT(REGEXMATCH(C2843, ""薪資""))), ""內部轉帳(忽略)"",
  REGEXMATCH(C2843, ""薪資""), ""薪資變動(不計入)"",
  REGEXMATCH(C2843, ""押金""), ""押金往來"",
  AND(E2843&lt;&gt;"""", F2843=""""), ""真實支出"",
  AND(E2843="""", F2843&lt;&gt;""""), ""真實收入"",
  TRUE, ""其他""
)"),"真實支出")</f>
        <v>真實支出</v>
      </c>
      <c r="K2843" s="270">
        <f t="shared" si="2"/>
        <v>-1009.89</v>
      </c>
      <c r="L2843">
        <f t="shared" si="3"/>
        <v>0</v>
      </c>
    </row>
    <row r="2844">
      <c r="A2844" s="107">
        <f>IFERROR(__xludf.DUMMYFUNCTION("""COMPUTED_VALUE"""),45979.0)</f>
        <v>45979</v>
      </c>
      <c r="B2844" t="str">
        <f>IFERROR(__xludf.DUMMYFUNCTION("""COMPUTED_VALUE"""),"龍江Coco退押金")</f>
        <v>龍江Coco退押金</v>
      </c>
      <c r="C2844" t="str">
        <f>IFERROR(__xludf.DUMMYFUNCTION("""COMPUTED_VALUE"""),"收入 - 押金")</f>
        <v>收入 - 押金</v>
      </c>
      <c r="D2844" s="270">
        <f>IFERROR(__xludf.DUMMYFUNCTION("""COMPUTED_VALUE"""),-21000.0)</f>
        <v>-21000</v>
      </c>
      <c r="E2844" t="str">
        <f>IFERROR(__xludf.DUMMYFUNCTION("""COMPUTED_VALUE"""),"Ben帳戶")</f>
        <v>Ben帳戶</v>
      </c>
      <c r="G2844" t="str">
        <f>IFERROR(__xludf.DUMMYFUNCTION("""COMPUTED_VALUE"""),"龍江229")</f>
        <v>龍江229</v>
      </c>
      <c r="H2844" s="106" t="str">
        <f t="shared" si="1"/>
        <v>2025-11</v>
      </c>
      <c r="I2844" s="271" t="str">
        <f>IFERROR(__xludf.DUMMYFUNCTION("""COMPUTED_VALUE"""),"貓狗企鵝")</f>
        <v>貓狗企鵝</v>
      </c>
      <c r="J2844" t="str">
        <f>IFERROR(__xludf.DUMMYFUNCTION("IFS(
  AND(REGEXMATCH(E2844, ""台銀籌備帳戶|玉山帳戶""), REGEXMATCH(C2844, ""薪資"")), ""分潤支出"",
  AND(REGEXMATCH(E2844, ""Ben帳戶|Elsa帳戶|Ben代墊|Ariel代墊|中信銀行共用""), REGEXMATCH(F2844, ""Ben帳戶|Elsa帳戶|Ben代墊|Ariel代墊|中信銀行共用"")), ""內部轉帳(忽略)"",
  AND(E2844&lt;&gt;"""", F2844&lt;&gt;"""", N"&amp;"OT(REGEXMATCH(C2844, ""薪資""))), ""內部轉帳(忽略)"",
  REGEXMATCH(C2844, ""薪資""), ""薪資變動(不計入)"",
  REGEXMATCH(C2844, ""押金""), ""押金往來"",
  AND(E2844&lt;&gt;"""", F2844=""""), ""真實支出"",
  AND(E2844="""", F2844&lt;&gt;""""), ""真實收入"",
  TRUE, ""其他""
)"),"押金往來")</f>
        <v>押金往來</v>
      </c>
      <c r="K2844">
        <f t="shared" si="2"/>
        <v>0</v>
      </c>
      <c r="L2844">
        <f t="shared" si="3"/>
        <v>0</v>
      </c>
    </row>
    <row r="2845">
      <c r="A2845" s="107">
        <f>IFERROR(__xludf.DUMMYFUNCTION("""COMPUTED_VALUE"""),45979.0)</f>
        <v>45979</v>
      </c>
      <c r="B2845" t="str">
        <f>IFERROR(__xludf.DUMMYFUNCTION("""COMPUTED_VALUE"""),"龍江Mina延長線")</f>
        <v>龍江Mina延長線</v>
      </c>
      <c r="C2845" t="str">
        <f>IFERROR(__xludf.DUMMYFUNCTION("""COMPUTED_VALUE"""),"成本 - 租後修繕")</f>
        <v>成本 - 租後修繕</v>
      </c>
      <c r="D2845" s="270">
        <f>IFERROR(__xludf.DUMMYFUNCTION("""COMPUTED_VALUE"""),-1000.0)</f>
        <v>-1000</v>
      </c>
      <c r="E2845" t="str">
        <f>IFERROR(__xludf.DUMMYFUNCTION("""COMPUTED_VALUE"""),"Ben帳戶")</f>
        <v>Ben帳戶</v>
      </c>
      <c r="G2845" t="str">
        <f>IFERROR(__xludf.DUMMYFUNCTION("""COMPUTED_VALUE"""),"龍江229")</f>
        <v>龍江229</v>
      </c>
      <c r="H2845" s="106" t="str">
        <f t="shared" si="1"/>
        <v>2025-11</v>
      </c>
      <c r="I2845" s="271" t="str">
        <f>IFERROR(__xludf.DUMMYFUNCTION("""COMPUTED_VALUE"""),"貓狗企鵝")</f>
        <v>貓狗企鵝</v>
      </c>
      <c r="J2845" t="str">
        <f>IFERROR(__xludf.DUMMYFUNCTION("IFS(
  AND(REGEXMATCH(E2845, ""台銀籌備帳戶|玉山帳戶""), REGEXMATCH(C2845, ""薪資"")), ""分潤支出"",
  AND(REGEXMATCH(E2845, ""Ben帳戶|Elsa帳戶|Ben代墊|Ariel代墊|中信銀行共用""), REGEXMATCH(F2845, ""Ben帳戶|Elsa帳戶|Ben代墊|Ariel代墊|中信銀行共用"")), ""內部轉帳(忽略)"",
  AND(E2845&lt;&gt;"""", F2845&lt;&gt;"""", N"&amp;"OT(REGEXMATCH(C2845, ""薪資""))), ""內部轉帳(忽略)"",
  REGEXMATCH(C2845, ""薪資""), ""薪資變動(不計入)"",
  REGEXMATCH(C2845, ""押金""), ""押金往來"",
  AND(E2845&lt;&gt;"""", F2845=""""), ""真實支出"",
  AND(E2845="""", F2845&lt;&gt;""""), ""真實收入"",
  TRUE, ""其他""
)"),"真實支出")</f>
        <v>真實支出</v>
      </c>
      <c r="K2845" s="270">
        <f t="shared" si="2"/>
        <v>-1000</v>
      </c>
      <c r="L2845">
        <f t="shared" si="3"/>
        <v>0</v>
      </c>
    </row>
    <row r="2846">
      <c r="A2846" s="107">
        <f>IFERROR(__xludf.DUMMYFUNCTION("""COMPUTED_VALUE"""),45980.0)</f>
        <v>45980</v>
      </c>
      <c r="B2846" t="str">
        <f>IFERROR(__xludf.DUMMYFUNCTION("""COMPUTED_VALUE"""),"金龍10、11月垃圾代收")</f>
        <v>金龍10、11月垃圾代收</v>
      </c>
      <c r="C2846" t="str">
        <f>IFERROR(__xludf.DUMMYFUNCTION("""COMPUTED_VALUE"""),"成本 - 固定開銷(網路代收清潔)")</f>
        <v>成本 - 固定開銷(網路代收清潔)</v>
      </c>
      <c r="D2846" s="270">
        <f>IFERROR(__xludf.DUMMYFUNCTION("""COMPUTED_VALUE"""),-800.0)</f>
        <v>-800</v>
      </c>
      <c r="E2846" t="str">
        <f>IFERROR(__xludf.DUMMYFUNCTION("""COMPUTED_VALUE"""),"Elsa帳戶")</f>
        <v>Elsa帳戶</v>
      </c>
      <c r="G2846" t="str">
        <f>IFERROR(__xludf.DUMMYFUNCTION("""COMPUTED_VALUE"""),"金龍帽子先生")</f>
        <v>金龍帽子先生</v>
      </c>
      <c r="H2846" s="106" t="str">
        <f t="shared" si="1"/>
        <v>2025-11</v>
      </c>
      <c r="I2846" s="271" t="str">
        <f>IFERROR(__xludf.DUMMYFUNCTION("""COMPUTED_VALUE"""),"貓狗企鵝")</f>
        <v>貓狗企鵝</v>
      </c>
      <c r="J2846" t="str">
        <f>IFERROR(__xludf.DUMMYFUNCTION("IFS(
  AND(REGEXMATCH(E2846, ""台銀籌備帳戶|玉山帳戶""), REGEXMATCH(C2846, ""薪資"")), ""分潤支出"",
  AND(REGEXMATCH(E2846, ""Ben帳戶|Elsa帳戶|Ben代墊|Ariel代墊|中信銀行共用""), REGEXMATCH(F2846, ""Ben帳戶|Elsa帳戶|Ben代墊|Ariel代墊|中信銀行共用"")), ""內部轉帳(忽略)"",
  AND(E2846&lt;&gt;"""", F2846&lt;&gt;"""", N"&amp;"OT(REGEXMATCH(C2846, ""薪資""))), ""內部轉帳(忽略)"",
  REGEXMATCH(C2846, ""薪資""), ""薪資變動(不計入)"",
  REGEXMATCH(C2846, ""押金""), ""押金往來"",
  AND(E2846&lt;&gt;"""", F2846=""""), ""真實支出"",
  AND(E2846="""", F2846&lt;&gt;""""), ""真實收入"",
  TRUE, ""其他""
)"),"真實支出")</f>
        <v>真實支出</v>
      </c>
      <c r="K2846" s="270">
        <f t="shared" si="2"/>
        <v>-800</v>
      </c>
      <c r="L2846">
        <f t="shared" si="3"/>
        <v>0</v>
      </c>
    </row>
    <row r="2847">
      <c r="A2847" s="107">
        <f>IFERROR(__xludf.DUMMYFUNCTION("""COMPUTED_VALUE"""),45981.0)</f>
        <v>45981</v>
      </c>
      <c r="B2847" t="str">
        <f>IFERROR(__xludf.DUMMYFUNCTION("""COMPUTED_VALUE"""),"10月份清潔費")</f>
        <v>10月份清潔費</v>
      </c>
      <c r="C2847" t="str">
        <f>IFERROR(__xludf.DUMMYFUNCTION("""COMPUTED_VALUE"""),"成本 - 固定開銷(網路代收清潔)")</f>
        <v>成本 - 固定開銷(網路代收清潔)</v>
      </c>
      <c r="D2847" s="270">
        <f>IFERROR(__xludf.DUMMYFUNCTION("""COMPUTED_VALUE"""),-1600.0)</f>
        <v>-1600</v>
      </c>
      <c r="E2847" t="str">
        <f>IFERROR(__xludf.DUMMYFUNCTION("""COMPUTED_VALUE"""),"Elsa帳戶")</f>
        <v>Elsa帳戶</v>
      </c>
      <c r="G2847" t="str">
        <f>IFERROR(__xludf.DUMMYFUNCTION("""COMPUTED_VALUE"""),"中山北Feli家")</f>
        <v>中山北Feli家</v>
      </c>
      <c r="H2847" s="106" t="str">
        <f t="shared" si="1"/>
        <v>2025-11</v>
      </c>
      <c r="I2847" s="271" t="str">
        <f>IFERROR(__xludf.DUMMYFUNCTION("""COMPUTED_VALUE"""),"貓狗企鵝")</f>
        <v>貓狗企鵝</v>
      </c>
      <c r="J2847" t="str">
        <f>IFERROR(__xludf.DUMMYFUNCTION("IFS(
  AND(REGEXMATCH(E2847, ""台銀籌備帳戶|玉山帳戶""), REGEXMATCH(C2847, ""薪資"")), ""分潤支出"",
  AND(REGEXMATCH(E2847, ""Ben帳戶|Elsa帳戶|Ben代墊|Ariel代墊|中信銀行共用""), REGEXMATCH(F2847, ""Ben帳戶|Elsa帳戶|Ben代墊|Ariel代墊|中信銀行共用"")), ""內部轉帳(忽略)"",
  AND(E2847&lt;&gt;"""", F2847&lt;&gt;"""", N"&amp;"OT(REGEXMATCH(C2847, ""薪資""))), ""內部轉帳(忽略)"",
  REGEXMATCH(C2847, ""薪資""), ""薪資變動(不計入)"",
  REGEXMATCH(C2847, ""押金""), ""押金往來"",
  AND(E2847&lt;&gt;"""", F2847=""""), ""真實支出"",
  AND(E2847="""", F2847&lt;&gt;""""), ""真實收入"",
  TRUE, ""其他""
)"),"真實支出")</f>
        <v>真實支出</v>
      </c>
      <c r="K2847" s="270">
        <f t="shared" si="2"/>
        <v>-1600</v>
      </c>
      <c r="L2847">
        <f t="shared" si="3"/>
        <v>0</v>
      </c>
    </row>
    <row r="2848">
      <c r="A2848" s="107">
        <f>IFERROR(__xludf.DUMMYFUNCTION("""COMPUTED_VALUE"""),45981.0)</f>
        <v>45981</v>
      </c>
      <c r="B2848" t="str">
        <f>IFERROR(__xludf.DUMMYFUNCTION("""COMPUTED_VALUE"""),"Feli 6F能源費退款")</f>
        <v>Feli 6F能源費退款</v>
      </c>
      <c r="C2848" t="str">
        <f>IFERROR(__xludf.DUMMYFUNCTION("""COMPUTED_VALUE"""),"成本 - 租後修繕")</f>
        <v>成本 - 租後修繕</v>
      </c>
      <c r="D2848" s="270">
        <f>IFERROR(__xludf.DUMMYFUNCTION("""COMPUTED_VALUE"""),-2845.0)</f>
        <v>-2845</v>
      </c>
      <c r="E2848" t="str">
        <f>IFERROR(__xludf.DUMMYFUNCTION("""COMPUTED_VALUE"""),"Elsa帳戶")</f>
        <v>Elsa帳戶</v>
      </c>
      <c r="G2848" t="str">
        <f>IFERROR(__xludf.DUMMYFUNCTION("""COMPUTED_VALUE"""),"中山北Feli家")</f>
        <v>中山北Feli家</v>
      </c>
      <c r="H2848" s="106" t="str">
        <f t="shared" si="1"/>
        <v>2025-11</v>
      </c>
      <c r="I2848" s="271" t="str">
        <f>IFERROR(__xludf.DUMMYFUNCTION("""COMPUTED_VALUE"""),"貓狗企鵝")</f>
        <v>貓狗企鵝</v>
      </c>
      <c r="J2848" t="str">
        <f>IFERROR(__xludf.DUMMYFUNCTION("IFS(
  AND(REGEXMATCH(E2848, ""台銀籌備帳戶|玉山帳戶""), REGEXMATCH(C2848, ""薪資"")), ""分潤支出"",
  AND(REGEXMATCH(E2848, ""Ben帳戶|Elsa帳戶|Ben代墊|Ariel代墊|中信銀行共用""), REGEXMATCH(F2848, ""Ben帳戶|Elsa帳戶|Ben代墊|Ariel代墊|中信銀行共用"")), ""內部轉帳(忽略)"",
  AND(E2848&lt;&gt;"""", F2848&lt;&gt;"""", N"&amp;"OT(REGEXMATCH(C2848, ""薪資""))), ""內部轉帳(忽略)"",
  REGEXMATCH(C2848, ""薪資""), ""薪資變動(不計入)"",
  REGEXMATCH(C2848, ""押金""), ""押金往來"",
  AND(E2848&lt;&gt;"""", F2848=""""), ""真實支出"",
  AND(E2848="""", F2848&lt;&gt;""""), ""真實收入"",
  TRUE, ""其他""
)"),"真實支出")</f>
        <v>真實支出</v>
      </c>
      <c r="K2848" s="270">
        <f t="shared" si="2"/>
        <v>-2845</v>
      </c>
      <c r="L2848">
        <f t="shared" si="3"/>
        <v>0</v>
      </c>
    </row>
    <row r="2849">
      <c r="A2849" s="107">
        <f>IFERROR(__xludf.DUMMYFUNCTION("""COMPUTED_VALUE"""),45982.0)</f>
        <v>45982</v>
      </c>
      <c r="B2849" t="str">
        <f>IFERROR(__xludf.DUMMYFUNCTION("""COMPUTED_VALUE"""),"訂閱便宜版的Lightroom 年費")</f>
        <v>訂閱便宜版的Lightroom 年費</v>
      </c>
      <c r="C2849" t="str">
        <f>IFERROR(__xludf.DUMMYFUNCTION("""COMPUTED_VALUE"""),"費用 - 辦公用品")</f>
        <v>費用 - 辦公用品</v>
      </c>
      <c r="D2849" s="270">
        <f>IFERROR(__xludf.DUMMYFUNCTION("""COMPUTED_VALUE"""),-11748.0)</f>
        <v>-11748</v>
      </c>
      <c r="E2849" t="str">
        <f>IFERROR(__xludf.DUMMYFUNCTION("""COMPUTED_VALUE"""),"Ben帳戶")</f>
        <v>Ben帳戶</v>
      </c>
      <c r="G2849" t="str">
        <f>IFERROR(__xludf.DUMMYFUNCTION("""COMPUTED_VALUE"""),"無法分類")</f>
        <v>無法分類</v>
      </c>
      <c r="H2849" s="106" t="str">
        <f t="shared" si="1"/>
        <v>2025-11</v>
      </c>
      <c r="I2849" s="271" t="str">
        <f>IFERROR(__xludf.DUMMYFUNCTION("""COMPUTED_VALUE"""),"貓狗企鵝")</f>
        <v>貓狗企鵝</v>
      </c>
      <c r="J2849" t="str">
        <f>IFERROR(__xludf.DUMMYFUNCTION("IFS(
  AND(REGEXMATCH(E2849, ""台銀籌備帳戶|玉山帳戶""), REGEXMATCH(C2849, ""薪資"")), ""分潤支出"",
  AND(REGEXMATCH(E2849, ""Ben帳戶|Elsa帳戶|Ben代墊|Ariel代墊|中信銀行共用""), REGEXMATCH(F2849, ""Ben帳戶|Elsa帳戶|Ben代墊|Ariel代墊|中信銀行共用"")), ""內部轉帳(忽略)"",
  AND(E2849&lt;&gt;"""", F2849&lt;&gt;"""", N"&amp;"OT(REGEXMATCH(C2849, ""薪資""))), ""內部轉帳(忽略)"",
  REGEXMATCH(C2849, ""薪資""), ""薪資變動(不計入)"",
  REGEXMATCH(C2849, ""押金""), ""押金往來"",
  AND(E2849&lt;&gt;"""", F2849=""""), ""真實支出"",
  AND(E2849="""", F2849&lt;&gt;""""), ""真實收入"",
  TRUE, ""其他""
)"),"真實支出")</f>
        <v>真實支出</v>
      </c>
      <c r="K2849" s="270">
        <f t="shared" si="2"/>
        <v>-11748</v>
      </c>
      <c r="L2849">
        <f t="shared" si="3"/>
        <v>0</v>
      </c>
    </row>
    <row r="2850">
      <c r="A2850" s="107">
        <f>IFERROR(__xludf.DUMMYFUNCTION("""COMPUTED_VALUE"""),45982.0)</f>
        <v>45982</v>
      </c>
      <c r="B2850" t="str">
        <f>IFERROR(__xludf.DUMMYFUNCTION("""COMPUTED_VALUE"""),"LaMove儲值")</f>
        <v>LaMove儲值</v>
      </c>
      <c r="C2850" t="str">
        <f>IFERROR(__xludf.DUMMYFUNCTION("""COMPUTED_VALUE"""),"費用 - 辦公用品")</f>
        <v>費用 - 辦公用品</v>
      </c>
      <c r="D2850" s="270">
        <f>IFERROR(__xludf.DUMMYFUNCTION("""COMPUTED_VALUE"""),-1200.0)</f>
        <v>-1200</v>
      </c>
      <c r="E2850" t="str">
        <f>IFERROR(__xludf.DUMMYFUNCTION("""COMPUTED_VALUE"""),"Ben帳戶")</f>
        <v>Ben帳戶</v>
      </c>
      <c r="H2850" s="106" t="str">
        <f t="shared" si="1"/>
        <v>2025-11</v>
      </c>
      <c r="I2850" s="271" t="str">
        <f>IFERROR(__xludf.DUMMYFUNCTION("""COMPUTED_VALUE"""),"貓狗企鵝")</f>
        <v>貓狗企鵝</v>
      </c>
      <c r="J2850" t="str">
        <f>IFERROR(__xludf.DUMMYFUNCTION("IFS(
  AND(REGEXMATCH(E2850, ""台銀籌備帳戶|玉山帳戶""), REGEXMATCH(C2850, ""薪資"")), ""分潤支出"",
  AND(REGEXMATCH(E2850, ""Ben帳戶|Elsa帳戶|Ben代墊|Ariel代墊|中信銀行共用""), REGEXMATCH(F2850, ""Ben帳戶|Elsa帳戶|Ben代墊|Ariel代墊|中信銀行共用"")), ""內部轉帳(忽略)"",
  AND(E2850&lt;&gt;"""", F2850&lt;&gt;"""", N"&amp;"OT(REGEXMATCH(C2850, ""薪資""))), ""內部轉帳(忽略)"",
  REGEXMATCH(C2850, ""薪資""), ""薪資變動(不計入)"",
  REGEXMATCH(C2850, ""押金""), ""押金往來"",
  AND(E2850&lt;&gt;"""", F2850=""""), ""真實支出"",
  AND(E2850="""", F2850&lt;&gt;""""), ""真實收入"",
  TRUE, ""其他""
)"),"真實支出")</f>
        <v>真實支出</v>
      </c>
      <c r="K2850" s="270">
        <f t="shared" si="2"/>
        <v>-1200</v>
      </c>
      <c r="L2850">
        <f t="shared" si="3"/>
        <v>0</v>
      </c>
    </row>
    <row r="2851">
      <c r="A2851" s="107">
        <f>IFERROR(__xludf.DUMMYFUNCTION("""COMPUTED_VALUE"""),45982.0)</f>
        <v>45982</v>
      </c>
      <c r="B2851" t="str">
        <f>IFERROR(__xludf.DUMMYFUNCTION("""COMPUTED_VALUE"""),"5樓坎燈")</f>
        <v>5樓坎燈</v>
      </c>
      <c r="C2851" t="str">
        <f>IFERROR(__xludf.DUMMYFUNCTION("""COMPUTED_VALUE"""),"成本 - 進場前裝潢費")</f>
        <v>成本 - 進場前裝潢費</v>
      </c>
      <c r="D2851" s="270">
        <f>IFERROR(__xludf.DUMMYFUNCTION("""COMPUTED_VALUE"""),-1000.0)</f>
        <v>-1000</v>
      </c>
      <c r="E2851" t="str">
        <f>IFERROR(__xludf.DUMMYFUNCTION("""COMPUTED_VALUE"""),"Ben帳戶")</f>
        <v>Ben帳戶</v>
      </c>
      <c r="G2851" t="str">
        <f>IFERROR(__xludf.DUMMYFUNCTION("""COMPUTED_VALUE"""),"永春四號")</f>
        <v>永春四號</v>
      </c>
      <c r="H2851" s="106" t="str">
        <f t="shared" si="1"/>
        <v>2025-11</v>
      </c>
      <c r="I2851" s="271" t="str">
        <f>IFERROR(__xludf.DUMMYFUNCTION("""COMPUTED_VALUE"""),"貓狗企鵝")</f>
        <v>貓狗企鵝</v>
      </c>
      <c r="J2851" t="str">
        <f>IFERROR(__xludf.DUMMYFUNCTION("IFS(
  AND(REGEXMATCH(E2851, ""台銀籌備帳戶|玉山帳戶""), REGEXMATCH(C2851, ""薪資"")), ""分潤支出"",
  AND(REGEXMATCH(E2851, ""Ben帳戶|Elsa帳戶|Ben代墊|Ariel代墊|中信銀行共用""), REGEXMATCH(F2851, ""Ben帳戶|Elsa帳戶|Ben代墊|Ariel代墊|中信銀行共用"")), ""內部轉帳(忽略)"",
  AND(E2851&lt;&gt;"""", F2851&lt;&gt;"""", N"&amp;"OT(REGEXMATCH(C2851, ""薪資""))), ""內部轉帳(忽略)"",
  REGEXMATCH(C2851, ""薪資""), ""薪資變動(不計入)"",
  REGEXMATCH(C2851, ""押金""), ""押金往來"",
  AND(E2851&lt;&gt;"""", F2851=""""), ""真實支出"",
  AND(E2851="""", F2851&lt;&gt;""""), ""真實收入"",
  TRUE, ""其他""
)"),"真實支出")</f>
        <v>真實支出</v>
      </c>
      <c r="K2851" s="270">
        <f t="shared" si="2"/>
        <v>-1000</v>
      </c>
      <c r="L2851">
        <f t="shared" si="3"/>
        <v>0</v>
      </c>
    </row>
    <row r="2852">
      <c r="A2852" s="107">
        <f>IFERROR(__xludf.DUMMYFUNCTION("""COMPUTED_VALUE"""),45982.0)</f>
        <v>45982</v>
      </c>
      <c r="B2852" t="str">
        <f>IFERROR(__xludf.DUMMYFUNCTION("""COMPUTED_VALUE"""),"5樓坎燈")</f>
        <v>5樓坎燈</v>
      </c>
      <c r="C2852" t="str">
        <f>IFERROR(__xludf.DUMMYFUNCTION("""COMPUTED_VALUE"""),"成本 - 進場前裝潢費")</f>
        <v>成本 - 進場前裝潢費</v>
      </c>
      <c r="D2852" s="270">
        <f>IFERROR(__xludf.DUMMYFUNCTION("""COMPUTED_VALUE"""),-1015.0)</f>
        <v>-1015</v>
      </c>
      <c r="E2852" t="str">
        <f>IFERROR(__xludf.DUMMYFUNCTION("""COMPUTED_VALUE"""),"Elsa帳戶")</f>
        <v>Elsa帳戶</v>
      </c>
      <c r="G2852" t="str">
        <f>IFERROR(__xludf.DUMMYFUNCTION("""COMPUTED_VALUE"""),"永春四號")</f>
        <v>永春四號</v>
      </c>
      <c r="H2852" s="106" t="str">
        <f t="shared" si="1"/>
        <v>2025-11</v>
      </c>
      <c r="I2852" s="271" t="str">
        <f>IFERROR(__xludf.DUMMYFUNCTION("""COMPUTED_VALUE"""),"貓狗企鵝")</f>
        <v>貓狗企鵝</v>
      </c>
      <c r="J2852" t="str">
        <f>IFERROR(__xludf.DUMMYFUNCTION("IFS(
  AND(REGEXMATCH(E2852, ""台銀籌備帳戶|玉山帳戶""), REGEXMATCH(C2852, ""薪資"")), ""分潤支出"",
  AND(REGEXMATCH(E2852, ""Ben帳戶|Elsa帳戶|Ben代墊|Ariel代墊|中信銀行共用""), REGEXMATCH(F2852, ""Ben帳戶|Elsa帳戶|Ben代墊|Ariel代墊|中信銀行共用"")), ""內部轉帳(忽略)"",
  AND(E2852&lt;&gt;"""", F2852&lt;&gt;"""", N"&amp;"OT(REGEXMATCH(C2852, ""薪資""))), ""內部轉帳(忽略)"",
  REGEXMATCH(C2852, ""薪資""), ""薪資變動(不計入)"",
  REGEXMATCH(C2852, ""押金""), ""押金往來"",
  AND(E2852&lt;&gt;"""", F2852=""""), ""真實支出"",
  AND(E2852="""", F2852&lt;&gt;""""), ""真實收入"",
  TRUE, ""其他""
)"),"真實支出")</f>
        <v>真實支出</v>
      </c>
      <c r="K2852" s="270">
        <f t="shared" si="2"/>
        <v>-1015</v>
      </c>
      <c r="L2852">
        <f t="shared" si="3"/>
        <v>0</v>
      </c>
    </row>
    <row r="2853">
      <c r="A2853" s="107">
        <f>IFERROR(__xludf.DUMMYFUNCTION("""COMPUTED_VALUE"""),45983.0)</f>
        <v>45983</v>
      </c>
      <c r="B2853" t="str">
        <f>IFERROR(__xludf.DUMMYFUNCTION("""COMPUTED_VALUE"""),"寶琳3HR清潔")</f>
        <v>寶琳3HR清潔</v>
      </c>
      <c r="C2853" t="str">
        <f>IFERROR(__xludf.DUMMYFUNCTION("""COMPUTED_VALUE"""),"成本 - 固定開銷(網路代收清潔)")</f>
        <v>成本 - 固定開銷(網路代收清潔)</v>
      </c>
      <c r="D2853" s="270">
        <f>IFERROR(__xludf.DUMMYFUNCTION("""COMPUTED_VALUE"""),-1050.0)</f>
        <v>-1050</v>
      </c>
      <c r="E2853" t="str">
        <f>IFERROR(__xludf.DUMMYFUNCTION("""COMPUTED_VALUE"""),"Elsa帳戶")</f>
        <v>Elsa帳戶</v>
      </c>
      <c r="G2853" t="str">
        <f>IFERROR(__xludf.DUMMYFUNCTION("""COMPUTED_VALUE"""),"書香民生")</f>
        <v>書香民生</v>
      </c>
      <c r="H2853" s="106" t="str">
        <f t="shared" si="1"/>
        <v>2025-11</v>
      </c>
      <c r="I2853" s="271" t="str">
        <f>IFERROR(__xludf.DUMMYFUNCTION("""COMPUTED_VALUE"""),"貓狗企鵝")</f>
        <v>貓狗企鵝</v>
      </c>
      <c r="J2853" t="str">
        <f>IFERROR(__xludf.DUMMYFUNCTION("IFS(
  AND(REGEXMATCH(E2853, ""台銀籌備帳戶|玉山帳戶""), REGEXMATCH(C2853, ""薪資"")), ""分潤支出"",
  AND(REGEXMATCH(E2853, ""Ben帳戶|Elsa帳戶|Ben代墊|Ariel代墊|中信銀行共用""), REGEXMATCH(F2853, ""Ben帳戶|Elsa帳戶|Ben代墊|Ariel代墊|中信銀行共用"")), ""內部轉帳(忽略)"",
  AND(E2853&lt;&gt;"""", F2853&lt;&gt;"""", N"&amp;"OT(REGEXMATCH(C2853, ""薪資""))), ""內部轉帳(忽略)"",
  REGEXMATCH(C2853, ""薪資""), ""薪資變動(不計入)"",
  REGEXMATCH(C2853, ""押金""), ""押金往來"",
  AND(E2853&lt;&gt;"""", F2853=""""), ""真實支出"",
  AND(E2853="""", F2853&lt;&gt;""""), ""真實收入"",
  TRUE, ""其他""
)"),"真實支出")</f>
        <v>真實支出</v>
      </c>
      <c r="K2853" s="270">
        <f t="shared" si="2"/>
        <v>-1050</v>
      </c>
      <c r="L2853">
        <f t="shared" si="3"/>
        <v>0</v>
      </c>
    </row>
    <row r="2854">
      <c r="A2854" s="107">
        <f>IFERROR(__xludf.DUMMYFUNCTION("""COMPUTED_VALUE"""),45984.0)</f>
        <v>45984</v>
      </c>
      <c r="B2854" t="str">
        <f>IFERROR(__xludf.DUMMYFUNCTION("""COMPUTED_VALUE"""),"淘寶壁燈*1")</f>
        <v>淘寶壁燈*1</v>
      </c>
      <c r="C2854" t="str">
        <f>IFERROR(__xludf.DUMMYFUNCTION("""COMPUTED_VALUE"""),"成本 - 固定開銷(網路代收清潔)")</f>
        <v>成本 - 固定開銷(網路代收清潔)</v>
      </c>
      <c r="D2854" s="270">
        <f>IFERROR(__xludf.DUMMYFUNCTION("""COMPUTED_VALUE"""),-598.5)</f>
        <v>-598.5</v>
      </c>
      <c r="E2854" t="str">
        <f>IFERROR(__xludf.DUMMYFUNCTION("""COMPUTED_VALUE"""),"Elsa帳戶")</f>
        <v>Elsa帳戶</v>
      </c>
      <c r="G2854" t="str">
        <f>IFERROR(__xludf.DUMMYFUNCTION("""COMPUTED_VALUE"""),"天母搜狗")</f>
        <v>天母搜狗</v>
      </c>
      <c r="H2854" s="106" t="str">
        <f t="shared" si="1"/>
        <v>2025-11</v>
      </c>
      <c r="I2854" s="271" t="str">
        <f>IFERROR(__xludf.DUMMYFUNCTION("""COMPUTED_VALUE"""),"貓狗企鵝")</f>
        <v>貓狗企鵝</v>
      </c>
      <c r="J2854" t="str">
        <f>IFERROR(__xludf.DUMMYFUNCTION("IFS(
  AND(REGEXMATCH(E2854, ""台銀籌備帳戶|玉山帳戶""), REGEXMATCH(C2854, ""薪資"")), ""分潤支出"",
  AND(REGEXMATCH(E2854, ""Ben帳戶|Elsa帳戶|Ben代墊|Ariel代墊|中信銀行共用""), REGEXMATCH(F2854, ""Ben帳戶|Elsa帳戶|Ben代墊|Ariel代墊|中信銀行共用"")), ""內部轉帳(忽略)"",
  AND(E2854&lt;&gt;"""", F2854&lt;&gt;"""", N"&amp;"OT(REGEXMATCH(C2854, ""薪資""))), ""內部轉帳(忽略)"",
  REGEXMATCH(C2854, ""薪資""), ""薪資變動(不計入)"",
  REGEXMATCH(C2854, ""押金""), ""押金往來"",
  AND(E2854&lt;&gt;"""", F2854=""""), ""真實支出"",
  AND(E2854="""", F2854&lt;&gt;""""), ""真實收入"",
  TRUE, ""其他""
)"),"真實支出")</f>
        <v>真實支出</v>
      </c>
      <c r="K2854" s="270">
        <f t="shared" si="2"/>
        <v>-598.5</v>
      </c>
      <c r="L2854">
        <f t="shared" si="3"/>
        <v>0</v>
      </c>
    </row>
    <row r="2855">
      <c r="A2855" s="107">
        <f>IFERROR(__xludf.DUMMYFUNCTION("""COMPUTED_VALUE"""),45984.0)</f>
        <v>45984</v>
      </c>
      <c r="B2855" t="str">
        <f>IFERROR(__xludf.DUMMYFUNCTION("""COMPUTED_VALUE"""),"591龍江E PO文")</f>
        <v>591龍江E PO文</v>
      </c>
      <c r="C2855" t="str">
        <f>IFERROR(__xludf.DUMMYFUNCTION("""COMPUTED_VALUE"""),"成本 - 仲介費")</f>
        <v>成本 - 仲介費</v>
      </c>
      <c r="D2855" s="270">
        <f>IFERROR(__xludf.DUMMYFUNCTION("""COMPUTED_VALUE"""),-1289.0)</f>
        <v>-1289</v>
      </c>
      <c r="E2855" t="str">
        <f>IFERROR(__xludf.DUMMYFUNCTION("""COMPUTED_VALUE"""),"Elsa帳戶")</f>
        <v>Elsa帳戶</v>
      </c>
      <c r="G2855" t="str">
        <f>IFERROR(__xludf.DUMMYFUNCTION("""COMPUTED_VALUE"""),"龍江229")</f>
        <v>龍江229</v>
      </c>
      <c r="H2855" s="106" t="str">
        <f t="shared" si="1"/>
        <v>2025-11</v>
      </c>
      <c r="I2855" s="271" t="str">
        <f>IFERROR(__xludf.DUMMYFUNCTION("""COMPUTED_VALUE"""),"貓狗企鵝")</f>
        <v>貓狗企鵝</v>
      </c>
      <c r="J2855" t="str">
        <f>IFERROR(__xludf.DUMMYFUNCTION("IFS(
  AND(REGEXMATCH(E2855, ""台銀籌備帳戶|玉山帳戶""), REGEXMATCH(C2855, ""薪資"")), ""分潤支出"",
  AND(REGEXMATCH(E2855, ""Ben帳戶|Elsa帳戶|Ben代墊|Ariel代墊|中信銀行共用""), REGEXMATCH(F2855, ""Ben帳戶|Elsa帳戶|Ben代墊|Ariel代墊|中信銀行共用"")), ""內部轉帳(忽略)"",
  AND(E2855&lt;&gt;"""", F2855&lt;&gt;"""", N"&amp;"OT(REGEXMATCH(C2855, ""薪資""))), ""內部轉帳(忽略)"",
  REGEXMATCH(C2855, ""薪資""), ""薪資變動(不計入)"",
  REGEXMATCH(C2855, ""押金""), ""押金往來"",
  AND(E2855&lt;&gt;"""", F2855=""""), ""真實支出"",
  AND(E2855="""", F2855&lt;&gt;""""), ""真實收入"",
  TRUE, ""其他""
)"),"真實支出")</f>
        <v>真實支出</v>
      </c>
      <c r="K2855" s="270">
        <f t="shared" si="2"/>
        <v>-1289</v>
      </c>
      <c r="L2855">
        <f t="shared" si="3"/>
        <v>0</v>
      </c>
    </row>
    <row r="2856">
      <c r="A2856" s="107">
        <f>IFERROR(__xludf.DUMMYFUNCTION("""COMPUTED_VALUE"""),45985.0)</f>
        <v>45985</v>
      </c>
      <c r="B2856" t="str">
        <f>IFERROR(__xludf.DUMMYFUNCTION("""COMPUTED_VALUE"""),"小玉搬家")</f>
        <v>小玉搬家</v>
      </c>
      <c r="C2856" t="str">
        <f>IFERROR(__xludf.DUMMYFUNCTION("""COMPUTED_VALUE"""),"成本 - 進場前裝潢費")</f>
        <v>成本 - 進場前裝潢費</v>
      </c>
      <c r="D2856" s="270">
        <f>IFERROR(__xludf.DUMMYFUNCTION("""COMPUTED_VALUE"""),-945.0)</f>
        <v>-945</v>
      </c>
      <c r="E2856" t="str">
        <f>IFERROR(__xludf.DUMMYFUNCTION("""COMPUTED_VALUE"""),"Elsa帳戶")</f>
        <v>Elsa帳戶</v>
      </c>
      <c r="G2856" t="str">
        <f>IFERROR(__xludf.DUMMYFUNCTION("""COMPUTED_VALUE"""),"永春四號")</f>
        <v>永春四號</v>
      </c>
      <c r="H2856" s="106" t="str">
        <f t="shared" si="1"/>
        <v>2025-11</v>
      </c>
      <c r="I2856" s="271" t="str">
        <f>IFERROR(__xludf.DUMMYFUNCTION("""COMPUTED_VALUE"""),"貓狗企鵝")</f>
        <v>貓狗企鵝</v>
      </c>
      <c r="J2856" t="str">
        <f>IFERROR(__xludf.DUMMYFUNCTION("IFS(
  AND(REGEXMATCH(E2856, ""台銀籌備帳戶|玉山帳戶""), REGEXMATCH(C2856, ""薪資"")), ""分潤支出"",
  AND(REGEXMATCH(E2856, ""Ben帳戶|Elsa帳戶|Ben代墊|Ariel代墊|中信銀行共用""), REGEXMATCH(F2856, ""Ben帳戶|Elsa帳戶|Ben代墊|Ariel代墊|中信銀行共用"")), ""內部轉帳(忽略)"",
  AND(E2856&lt;&gt;"""", F2856&lt;&gt;"""", N"&amp;"OT(REGEXMATCH(C2856, ""薪資""))), ""內部轉帳(忽略)"",
  REGEXMATCH(C2856, ""薪資""), ""薪資變動(不計入)"",
  REGEXMATCH(C2856, ""押金""), ""押金往來"",
  AND(E2856&lt;&gt;"""", F2856=""""), ""真實支出"",
  AND(E2856="""", F2856&lt;&gt;""""), ""真實收入"",
  TRUE, ""其他""
)"),"真實支出")</f>
        <v>真實支出</v>
      </c>
      <c r="K2856" s="270">
        <f t="shared" si="2"/>
        <v>-945</v>
      </c>
      <c r="L2856">
        <f t="shared" si="3"/>
        <v>0</v>
      </c>
    </row>
    <row r="2857">
      <c r="A2857" s="107">
        <f>IFERROR(__xludf.DUMMYFUNCTION("""COMPUTED_VALUE"""),45986.0)</f>
        <v>45986</v>
      </c>
      <c r="B2857" t="str">
        <f>IFERROR(__xludf.DUMMYFUNCTION("""COMPUTED_VALUE"""),"小玉幫丟棄垃圾")</f>
        <v>小玉幫丟棄垃圾</v>
      </c>
      <c r="C2857" t="str">
        <f>IFERROR(__xludf.DUMMYFUNCTION("""COMPUTED_VALUE"""),"成本 - 進場前裝潢費")</f>
        <v>成本 - 進場前裝潢費</v>
      </c>
      <c r="D2857" s="270">
        <f>IFERROR(__xludf.DUMMYFUNCTION("""COMPUTED_VALUE"""),-2100.0)</f>
        <v>-2100</v>
      </c>
      <c r="E2857" t="str">
        <f>IFERROR(__xludf.DUMMYFUNCTION("""COMPUTED_VALUE"""),"Elsa帳戶")</f>
        <v>Elsa帳戶</v>
      </c>
      <c r="G2857" t="str">
        <f>IFERROR(__xludf.DUMMYFUNCTION("""COMPUTED_VALUE"""),"永春四號")</f>
        <v>永春四號</v>
      </c>
      <c r="H2857" s="106" t="str">
        <f t="shared" si="1"/>
        <v>2025-11</v>
      </c>
      <c r="I2857" s="271" t="str">
        <f>IFERROR(__xludf.DUMMYFUNCTION("""COMPUTED_VALUE"""),"貓狗企鵝")</f>
        <v>貓狗企鵝</v>
      </c>
      <c r="J2857" t="str">
        <f>IFERROR(__xludf.DUMMYFUNCTION("IFS(
  AND(REGEXMATCH(E2857, ""台銀籌備帳戶|玉山帳戶""), REGEXMATCH(C2857, ""薪資"")), ""分潤支出"",
  AND(REGEXMATCH(E2857, ""Ben帳戶|Elsa帳戶|Ben代墊|Ariel代墊|中信銀行共用""), REGEXMATCH(F2857, ""Ben帳戶|Elsa帳戶|Ben代墊|Ariel代墊|中信銀行共用"")), ""內部轉帳(忽略)"",
  AND(E2857&lt;&gt;"""", F2857&lt;&gt;"""", N"&amp;"OT(REGEXMATCH(C2857, ""薪資""))), ""內部轉帳(忽略)"",
  REGEXMATCH(C2857, ""薪資""), ""薪資變動(不計入)"",
  REGEXMATCH(C2857, ""押金""), ""押金往來"",
  AND(E2857&lt;&gt;"""", F2857=""""), ""真實支出"",
  AND(E2857="""", F2857&lt;&gt;""""), ""真實收入"",
  TRUE, ""其他""
)"),"真實支出")</f>
        <v>真實支出</v>
      </c>
      <c r="K2857" s="270">
        <f t="shared" si="2"/>
        <v>-2100</v>
      </c>
      <c r="L2857">
        <f t="shared" si="3"/>
        <v>0</v>
      </c>
    </row>
    <row r="2858">
      <c r="A2858" s="107">
        <f>IFERROR(__xludf.DUMMYFUNCTION("""COMPUTED_VALUE"""),45988.0)</f>
        <v>45988</v>
      </c>
      <c r="B2858" t="str">
        <f>IFERROR(__xludf.DUMMYFUNCTION("""COMPUTED_VALUE"""),"懶人殿堂 南港12月")</f>
        <v>懶人殿堂 南港12月</v>
      </c>
      <c r="C2858" t="str">
        <f>IFERROR(__xludf.DUMMYFUNCTION("""COMPUTED_VALUE"""),"成本 - 固定開銷(網路代收清潔)")</f>
        <v>成本 - 固定開銷(網路代收清潔)</v>
      </c>
      <c r="D2858" s="270">
        <f>IFERROR(__xludf.DUMMYFUNCTION("""COMPUTED_VALUE"""),-1272.0)</f>
        <v>-1272</v>
      </c>
      <c r="E2858" t="str">
        <f>IFERROR(__xludf.DUMMYFUNCTION("""COMPUTED_VALUE"""),"Elsa帳戶")</f>
        <v>Elsa帳戶</v>
      </c>
      <c r="G2858" t="str">
        <f>IFERROR(__xludf.DUMMYFUNCTION("""COMPUTED_VALUE"""),"南港站挑高宅")</f>
        <v>南港站挑高宅</v>
      </c>
      <c r="H2858" s="106" t="str">
        <f t="shared" si="1"/>
        <v>2025-11</v>
      </c>
      <c r="I2858" s="271" t="str">
        <f>IFERROR(__xludf.DUMMYFUNCTION("""COMPUTED_VALUE"""),"貓狗企鵝")</f>
        <v>貓狗企鵝</v>
      </c>
      <c r="J2858" t="str">
        <f>IFERROR(__xludf.DUMMYFUNCTION("IFS(
  AND(REGEXMATCH(E2858, ""台銀籌備帳戶|玉山帳戶""), REGEXMATCH(C2858, ""薪資"")), ""分潤支出"",
  AND(REGEXMATCH(E2858, ""Ben帳戶|Elsa帳戶|Ben代墊|Ariel代墊|中信銀行共用""), REGEXMATCH(F2858, ""Ben帳戶|Elsa帳戶|Ben代墊|Ariel代墊|中信銀行共用"")), ""內部轉帳(忽略)"",
  AND(E2858&lt;&gt;"""", F2858&lt;&gt;"""", N"&amp;"OT(REGEXMATCH(C2858, ""薪資""))), ""內部轉帳(忽略)"",
  REGEXMATCH(C2858, ""薪資""), ""薪資變動(不計入)"",
  REGEXMATCH(C2858, ""押金""), ""押金往來"",
  AND(E2858&lt;&gt;"""", F2858=""""), ""真實支出"",
  AND(E2858="""", F2858&lt;&gt;""""), ""真實收入"",
  TRUE, ""其他""
)"),"真實支出")</f>
        <v>真實支出</v>
      </c>
      <c r="K2858" s="270">
        <f t="shared" si="2"/>
        <v>-1272</v>
      </c>
      <c r="L2858">
        <f t="shared" si="3"/>
        <v>0</v>
      </c>
    </row>
    <row r="2859">
      <c r="A2859" s="107">
        <f>IFERROR(__xludf.DUMMYFUNCTION("""COMPUTED_VALUE"""),45988.0)</f>
        <v>45988</v>
      </c>
      <c r="B2859" t="str">
        <f>IFERROR(__xludf.DUMMYFUNCTION("""COMPUTED_VALUE"""),"IKEA家俱")</f>
        <v>IKEA家俱</v>
      </c>
      <c r="C2859" t="str">
        <f>IFERROR(__xludf.DUMMYFUNCTION("""COMPUTED_VALUE"""),"成本 - 進場前裝潢費")</f>
        <v>成本 - 進場前裝潢費</v>
      </c>
      <c r="D2859" s="270">
        <f>IFERROR(__xludf.DUMMYFUNCTION("""COMPUTED_VALUE"""),-20171.0)</f>
        <v>-20171</v>
      </c>
      <c r="E2859" t="str">
        <f>IFERROR(__xludf.DUMMYFUNCTION("""COMPUTED_VALUE"""),"Elsa帳戶")</f>
        <v>Elsa帳戶</v>
      </c>
      <c r="G2859" t="str">
        <f>IFERROR(__xludf.DUMMYFUNCTION("""COMPUTED_VALUE"""),"永春四號")</f>
        <v>永春四號</v>
      </c>
      <c r="H2859" s="106" t="str">
        <f t="shared" si="1"/>
        <v>2025-11</v>
      </c>
      <c r="I2859" s="271" t="str">
        <f>IFERROR(__xludf.DUMMYFUNCTION("""COMPUTED_VALUE"""),"貓狗企鵝")</f>
        <v>貓狗企鵝</v>
      </c>
      <c r="J2859" t="str">
        <f>IFERROR(__xludf.DUMMYFUNCTION("IFS(
  AND(REGEXMATCH(E2859, ""台銀籌備帳戶|玉山帳戶""), REGEXMATCH(C2859, ""薪資"")), ""分潤支出"",
  AND(REGEXMATCH(E2859, ""Ben帳戶|Elsa帳戶|Ben代墊|Ariel代墊|中信銀行共用""), REGEXMATCH(F2859, ""Ben帳戶|Elsa帳戶|Ben代墊|Ariel代墊|中信銀行共用"")), ""內部轉帳(忽略)"",
  AND(E2859&lt;&gt;"""", F2859&lt;&gt;"""", N"&amp;"OT(REGEXMATCH(C2859, ""薪資""))), ""內部轉帳(忽略)"",
  REGEXMATCH(C2859, ""薪資""), ""薪資變動(不計入)"",
  REGEXMATCH(C2859, ""押金""), ""押金往來"",
  AND(E2859&lt;&gt;"""", F2859=""""), ""真實支出"",
  AND(E2859="""", F2859&lt;&gt;""""), ""真實收入"",
  TRUE, ""其他""
)"),"真實支出")</f>
        <v>真實支出</v>
      </c>
      <c r="K2859" s="270">
        <f t="shared" si="2"/>
        <v>-20171</v>
      </c>
      <c r="L2859">
        <f t="shared" si="3"/>
        <v>0</v>
      </c>
    </row>
    <row r="2860">
      <c r="A2860" s="107">
        <f>IFERROR(__xludf.DUMMYFUNCTION("""COMPUTED_VALUE"""),45988.0)</f>
        <v>45988</v>
      </c>
      <c r="B2860" t="str">
        <f>IFERROR(__xludf.DUMMYFUNCTION("""COMPUTED_VALUE"""),"懶人殿堂 Feli家 5+6樓 12月")</f>
        <v>懶人殿堂 Feli家 5+6樓 12月</v>
      </c>
      <c r="C2860" t="str">
        <f>IFERROR(__xludf.DUMMYFUNCTION("""COMPUTED_VALUE"""),"成本 - 固定開銷(網路代收清潔)")</f>
        <v>成本 - 固定開銷(網路代收清潔)</v>
      </c>
      <c r="D2860" s="270">
        <f>IFERROR(__xludf.DUMMYFUNCTION("""COMPUTED_VALUE"""),-1820.0)</f>
        <v>-1820</v>
      </c>
      <c r="E2860" t="str">
        <f>IFERROR(__xludf.DUMMYFUNCTION("""COMPUTED_VALUE"""),"Elsa帳戶")</f>
        <v>Elsa帳戶</v>
      </c>
      <c r="G2860" t="str">
        <f>IFERROR(__xludf.DUMMYFUNCTION("""COMPUTED_VALUE"""),"中山北Feli家")</f>
        <v>中山北Feli家</v>
      </c>
      <c r="H2860" s="106" t="str">
        <f t="shared" si="1"/>
        <v>2025-11</v>
      </c>
      <c r="I2860" s="271" t="str">
        <f>IFERROR(__xludf.DUMMYFUNCTION("""COMPUTED_VALUE"""),"貓狗企鵝")</f>
        <v>貓狗企鵝</v>
      </c>
      <c r="J2860" t="str">
        <f>IFERROR(__xludf.DUMMYFUNCTION("IFS(
  AND(REGEXMATCH(E2860, ""台銀籌備帳戶|玉山帳戶""), REGEXMATCH(C2860, ""薪資"")), ""分潤支出"",
  AND(REGEXMATCH(E2860, ""Ben帳戶|Elsa帳戶|Ben代墊|Ariel代墊|中信銀行共用""), REGEXMATCH(F2860, ""Ben帳戶|Elsa帳戶|Ben代墊|Ariel代墊|中信銀行共用"")), ""內部轉帳(忽略)"",
  AND(E2860&lt;&gt;"""", F2860&lt;&gt;"""", N"&amp;"OT(REGEXMATCH(C2860, ""薪資""))), ""內部轉帳(忽略)"",
  REGEXMATCH(C2860, ""薪資""), ""薪資變動(不計入)"",
  REGEXMATCH(C2860, ""押金""), ""押金往來"",
  AND(E2860&lt;&gt;"""", F2860=""""), ""真實支出"",
  AND(E2860="""", F2860&lt;&gt;""""), ""真實收入"",
  TRUE, ""其他""
)"),"真實支出")</f>
        <v>真實支出</v>
      </c>
      <c r="K2860" s="270">
        <f t="shared" si="2"/>
        <v>-1820</v>
      </c>
      <c r="L2860">
        <f t="shared" si="3"/>
        <v>0</v>
      </c>
    </row>
    <row r="2861">
      <c r="A2861" s="107">
        <f>IFERROR(__xludf.DUMMYFUNCTION("""COMPUTED_VALUE"""),45990.0)</f>
        <v>45990</v>
      </c>
      <c r="B2861" t="str">
        <f>IFERROR(__xludf.DUMMYFUNCTION("""COMPUTED_VALUE"""),"Feli C退押")</f>
        <v>Feli C退押</v>
      </c>
      <c r="C2861" t="str">
        <f>IFERROR(__xludf.DUMMYFUNCTION("""COMPUTED_VALUE"""),"收入 - 押金")</f>
        <v>收入 - 押金</v>
      </c>
      <c r="D2861" s="270">
        <f>IFERROR(__xludf.DUMMYFUNCTION("""COMPUTED_VALUE"""),-20000.0)</f>
        <v>-20000</v>
      </c>
      <c r="E2861" t="str">
        <f>IFERROR(__xludf.DUMMYFUNCTION("""COMPUTED_VALUE"""),"Ben帳戶")</f>
        <v>Ben帳戶</v>
      </c>
      <c r="G2861" t="str">
        <f>IFERROR(__xludf.DUMMYFUNCTION("""COMPUTED_VALUE"""),"中山北Feli家")</f>
        <v>中山北Feli家</v>
      </c>
      <c r="H2861" s="106" t="str">
        <f t="shared" si="1"/>
        <v>2025-11</v>
      </c>
      <c r="I2861" s="271" t="str">
        <f>IFERROR(__xludf.DUMMYFUNCTION("""COMPUTED_VALUE"""),"貓狗企鵝")</f>
        <v>貓狗企鵝</v>
      </c>
      <c r="J2861" t="str">
        <f>IFERROR(__xludf.DUMMYFUNCTION("IFS(
  AND(REGEXMATCH(E2861, ""台銀籌備帳戶|玉山帳戶""), REGEXMATCH(C2861, ""薪資"")), ""分潤支出"",
  AND(REGEXMATCH(E2861, ""Ben帳戶|Elsa帳戶|Ben代墊|Ariel代墊|中信銀行共用""), REGEXMATCH(F2861, ""Ben帳戶|Elsa帳戶|Ben代墊|Ariel代墊|中信銀行共用"")), ""內部轉帳(忽略)"",
  AND(E2861&lt;&gt;"""", F2861&lt;&gt;"""", N"&amp;"OT(REGEXMATCH(C2861, ""薪資""))), ""內部轉帳(忽略)"",
  REGEXMATCH(C2861, ""薪資""), ""薪資變動(不計入)"",
  REGEXMATCH(C2861, ""押金""), ""押金往來"",
  AND(E2861&lt;&gt;"""", F2861=""""), ""真實支出"",
  AND(E2861="""", F2861&lt;&gt;""""), ""真實收入"",
  TRUE, ""其他""
)"),"押金往來")</f>
        <v>押金往來</v>
      </c>
      <c r="K2861">
        <f t="shared" si="2"/>
        <v>0</v>
      </c>
      <c r="L2861">
        <f t="shared" si="3"/>
        <v>0</v>
      </c>
    </row>
    <row r="2862">
      <c r="A2862" s="107">
        <f>IFERROR(__xludf.DUMMYFUNCTION("""COMPUTED_VALUE"""),45991.0)</f>
        <v>45991</v>
      </c>
      <c r="B2862" t="str">
        <f>IFERROR(__xludf.DUMMYFUNCTION("""COMPUTED_VALUE"""),"南港25公升垃圾袋*3")</f>
        <v>南港25公升垃圾袋*3</v>
      </c>
      <c r="C2862" t="str">
        <f>IFERROR(__xludf.DUMMYFUNCTION("""COMPUTED_VALUE"""),"成本 - 租後修繕")</f>
        <v>成本 - 租後修繕</v>
      </c>
      <c r="D2862" s="270">
        <f>IFERROR(__xludf.DUMMYFUNCTION("""COMPUTED_VALUE"""),-540.0)</f>
        <v>-540</v>
      </c>
      <c r="E2862" t="str">
        <f>IFERROR(__xludf.DUMMYFUNCTION("""COMPUTED_VALUE"""),"Elsa帳戶")</f>
        <v>Elsa帳戶</v>
      </c>
      <c r="G2862" t="str">
        <f>IFERROR(__xludf.DUMMYFUNCTION("""COMPUTED_VALUE"""),"南港站挑高宅")</f>
        <v>南港站挑高宅</v>
      </c>
      <c r="H2862" s="106" t="str">
        <f t="shared" si="1"/>
        <v>2025-11</v>
      </c>
      <c r="I2862" s="271" t="str">
        <f>IFERROR(__xludf.DUMMYFUNCTION("""COMPUTED_VALUE"""),"貓狗企鵝")</f>
        <v>貓狗企鵝</v>
      </c>
      <c r="J2862" t="str">
        <f>IFERROR(__xludf.DUMMYFUNCTION("IFS(
  AND(REGEXMATCH(E2862, ""台銀籌備帳戶|玉山帳戶""), REGEXMATCH(C2862, ""薪資"")), ""分潤支出"",
  AND(REGEXMATCH(E2862, ""Ben帳戶|Elsa帳戶|Ben代墊|Ariel代墊|中信銀行共用""), REGEXMATCH(F2862, ""Ben帳戶|Elsa帳戶|Ben代墊|Ariel代墊|中信銀行共用"")), ""內部轉帳(忽略)"",
  AND(E2862&lt;&gt;"""", F2862&lt;&gt;"""", N"&amp;"OT(REGEXMATCH(C2862, ""薪資""))), ""內部轉帳(忽略)"",
  REGEXMATCH(C2862, ""薪資""), ""薪資變動(不計入)"",
  REGEXMATCH(C2862, ""押金""), ""押金往來"",
  AND(E2862&lt;&gt;"""", F2862=""""), ""真實支出"",
  AND(E2862="""", F2862&lt;&gt;""""), ""真實收入"",
  TRUE, ""其他""
)"),"真實支出")</f>
        <v>真實支出</v>
      </c>
      <c r="K2862" s="270">
        <f t="shared" si="2"/>
        <v>-540</v>
      </c>
      <c r="L2862">
        <f t="shared" si="3"/>
        <v>0</v>
      </c>
    </row>
    <row r="2863">
      <c r="A2863" s="107">
        <f>IFERROR(__xludf.DUMMYFUNCTION("""COMPUTED_VALUE"""),45995.0)</f>
        <v>45995</v>
      </c>
      <c r="B2863" t="str">
        <f>IFERROR(__xludf.DUMMYFUNCTION("""COMPUTED_VALUE"""),"搬冰箱")</f>
        <v>搬冰箱</v>
      </c>
      <c r="C2863" t="str">
        <f>IFERROR(__xludf.DUMMYFUNCTION("""COMPUTED_VALUE"""),"成本 - 進場前裝潢費")</f>
        <v>成本 - 進場前裝潢費</v>
      </c>
      <c r="D2863" s="270">
        <f>IFERROR(__xludf.DUMMYFUNCTION("""COMPUTED_VALUE"""),-1200.0)</f>
        <v>-1200</v>
      </c>
      <c r="E2863" t="str">
        <f>IFERROR(__xludf.DUMMYFUNCTION("""COMPUTED_VALUE"""),"Ben帳戶")</f>
        <v>Ben帳戶</v>
      </c>
      <c r="G2863" t="str">
        <f>IFERROR(__xludf.DUMMYFUNCTION("""COMPUTED_VALUE"""),"天母搜狗")</f>
        <v>天母搜狗</v>
      </c>
      <c r="H2863" s="106" t="str">
        <f t="shared" si="1"/>
        <v>2025-12</v>
      </c>
      <c r="I2863" s="271" t="str">
        <f>IFERROR(__xludf.DUMMYFUNCTION("""COMPUTED_VALUE"""),"貓狗企鵝")</f>
        <v>貓狗企鵝</v>
      </c>
      <c r="J2863" t="str">
        <f>IFERROR(__xludf.DUMMYFUNCTION("IFS(
  AND(REGEXMATCH(E2863, ""台銀籌備帳戶|玉山帳戶""), REGEXMATCH(C2863, ""薪資"")), ""分潤支出"",
  AND(REGEXMATCH(E2863, ""Ben帳戶|Elsa帳戶|Ben代墊|Ariel代墊|中信銀行共用""), REGEXMATCH(F2863, ""Ben帳戶|Elsa帳戶|Ben代墊|Ariel代墊|中信銀行共用"")), ""內部轉帳(忽略)"",
  AND(E2863&lt;&gt;"""", F2863&lt;&gt;"""", N"&amp;"OT(REGEXMATCH(C2863, ""薪資""))), ""內部轉帳(忽略)"",
  REGEXMATCH(C2863, ""薪資""), ""薪資變動(不計入)"",
  REGEXMATCH(C2863, ""押金""), ""押金往來"",
  AND(E2863&lt;&gt;"""", F2863=""""), ""真實支出"",
  AND(E2863="""", F2863&lt;&gt;""""), ""真實收入"",
  TRUE, ""其他""
)"),"真實支出")</f>
        <v>真實支出</v>
      </c>
      <c r="K2863" s="270">
        <f t="shared" si="2"/>
        <v>-1200</v>
      </c>
      <c r="L2863">
        <f t="shared" si="3"/>
        <v>0</v>
      </c>
    </row>
    <row r="2864">
      <c r="A2864" s="107">
        <f>IFERROR(__xludf.DUMMYFUNCTION("""COMPUTED_VALUE"""),45994.0)</f>
        <v>45994</v>
      </c>
      <c r="B2864" t="str">
        <f>IFERROR(__xludf.DUMMYFUNCTION("""COMPUTED_VALUE"""),"大湖清潔3小時")</f>
        <v>大湖清潔3小時</v>
      </c>
      <c r="C2864" t="str">
        <f>IFERROR(__xludf.DUMMYFUNCTION("""COMPUTED_VALUE"""),"成本 - 固定開銷(網路代收清潔)")</f>
        <v>成本 - 固定開銷(網路代收清潔)</v>
      </c>
      <c r="D2864" s="270">
        <f>IFERROR(__xludf.DUMMYFUNCTION("""COMPUTED_VALUE"""),-1050.0)</f>
        <v>-1050</v>
      </c>
      <c r="E2864" t="str">
        <f>IFERROR(__xludf.DUMMYFUNCTION("""COMPUTED_VALUE"""),"Elsa帳戶")</f>
        <v>Elsa帳戶</v>
      </c>
      <c r="G2864" t="str">
        <f>IFERROR(__xludf.DUMMYFUNCTION("""COMPUTED_VALUE"""),"大湖山莊")</f>
        <v>大湖山莊</v>
      </c>
      <c r="H2864" s="106" t="str">
        <f t="shared" si="1"/>
        <v>2025-12</v>
      </c>
      <c r="I2864" s="271" t="str">
        <f>IFERROR(__xludf.DUMMYFUNCTION("""COMPUTED_VALUE"""),"貓狗企鵝")</f>
        <v>貓狗企鵝</v>
      </c>
      <c r="J2864" t="str">
        <f>IFERROR(__xludf.DUMMYFUNCTION("IFS(
  AND(REGEXMATCH(E2864, ""台銀籌備帳戶|玉山帳戶""), REGEXMATCH(C2864, ""薪資"")), ""分潤支出"",
  AND(REGEXMATCH(E2864, ""Ben帳戶|Elsa帳戶|Ben代墊|Ariel代墊|中信銀行共用""), REGEXMATCH(F2864, ""Ben帳戶|Elsa帳戶|Ben代墊|Ariel代墊|中信銀行共用"")), ""內部轉帳(忽略)"",
  AND(E2864&lt;&gt;"""", F2864&lt;&gt;"""", N"&amp;"OT(REGEXMATCH(C2864, ""薪資""))), ""內部轉帳(忽略)"",
  REGEXMATCH(C2864, ""薪資""), ""薪資變動(不計入)"",
  REGEXMATCH(C2864, ""押金""), ""押金往來"",
  AND(E2864&lt;&gt;"""", F2864=""""), ""真實支出"",
  AND(E2864="""", F2864&lt;&gt;""""), ""真實收入"",
  TRUE, ""其他""
)"),"真實支出")</f>
        <v>真實支出</v>
      </c>
      <c r="K2864" s="270">
        <f t="shared" si="2"/>
        <v>-1050</v>
      </c>
      <c r="L2864">
        <f t="shared" si="3"/>
        <v>0</v>
      </c>
    </row>
    <row r="2865">
      <c r="A2865" s="107">
        <f>IFERROR(__xludf.DUMMYFUNCTION("""COMPUTED_VALUE"""),45972.0)</f>
        <v>45972</v>
      </c>
      <c r="B2865" t="str">
        <f>IFERROR(__xludf.DUMMYFUNCTION("""COMPUTED_VALUE"""),"費用 - 匯費 對方行:013 後五碼:20652 (行號: 2)")</f>
        <v>費用 - 匯費 對方行:013 後五碼:20652 (行號: 2)</v>
      </c>
      <c r="C2865" t="str">
        <f>IFERROR(__xludf.DUMMYFUNCTION("""COMPUTED_VALUE"""),"費用 - 匯費")</f>
        <v>費用 - 匯費</v>
      </c>
      <c r="D2865" s="270">
        <f>IFERROR(__xludf.DUMMYFUNCTION("""COMPUTED_VALUE"""),-15.0)</f>
        <v>-15</v>
      </c>
      <c r="E2865" t="str">
        <f>IFERROR(__xludf.DUMMYFUNCTION("""COMPUTED_VALUE"""),"台銀籌備帳戶")</f>
        <v>台銀籌備帳戶</v>
      </c>
      <c r="H2865" s="106" t="str">
        <f t="shared" si="1"/>
        <v>2025-11</v>
      </c>
      <c r="I2865" s="271" t="str">
        <f>IFERROR(__xludf.DUMMYFUNCTION("""COMPUTED_VALUE"""),"貓狗企鵝")</f>
        <v>貓狗企鵝</v>
      </c>
      <c r="J2865" t="str">
        <f>IFERROR(__xludf.DUMMYFUNCTION("IFS(
  AND(REGEXMATCH(E2865, ""台銀籌備帳戶|玉山帳戶""), REGEXMATCH(C2865, ""薪資"")), ""分潤支出"",
  AND(REGEXMATCH(E2865, ""Ben帳戶|Elsa帳戶|Ben代墊|Ariel代墊|中信銀行共用""), REGEXMATCH(F2865, ""Ben帳戶|Elsa帳戶|Ben代墊|Ariel代墊|中信銀行共用"")), ""內部轉帳(忽略)"",
  AND(E2865&lt;&gt;"""", F2865&lt;&gt;"""", N"&amp;"OT(REGEXMATCH(C2865, ""薪資""))), ""內部轉帳(忽略)"",
  REGEXMATCH(C2865, ""薪資""), ""薪資變動(不計入)"",
  REGEXMATCH(C2865, ""押金""), ""押金往來"",
  AND(E2865&lt;&gt;"""", F2865=""""), ""真實支出"",
  AND(E2865="""", F2865&lt;&gt;""""), ""真實收入"",
  TRUE, ""其他""
)"),"真實支出")</f>
        <v>真實支出</v>
      </c>
      <c r="K2865" s="270">
        <f t="shared" si="2"/>
        <v>-15</v>
      </c>
      <c r="L2865">
        <f t="shared" si="3"/>
        <v>0</v>
      </c>
    </row>
    <row r="2866">
      <c r="A2866" s="107">
        <f>IFERROR(__xludf.DUMMYFUNCTION("""COMPUTED_VALUE"""),45972.0)</f>
        <v>45972</v>
      </c>
      <c r="B2866" t="str">
        <f>IFERROR(__xludf.DUMMYFUNCTION("""COMPUTED_VALUE"""),"[景安2分鐘] [王逸荃] 大租金")</f>
        <v>[景安2分鐘] [王逸荃] 大租金</v>
      </c>
      <c r="C2866" t="str">
        <f>IFERROR(__xludf.DUMMYFUNCTION("""COMPUTED_VALUE"""),"成本 - 大租金")</f>
        <v>成本 - 大租金</v>
      </c>
      <c r="D2866" s="270">
        <f>IFERROR(__xludf.DUMMYFUNCTION("""COMPUTED_VALUE"""),-6800.0)</f>
        <v>-6800</v>
      </c>
      <c r="E2866" t="str">
        <f>IFERROR(__xludf.DUMMYFUNCTION("""COMPUTED_VALUE"""),"台銀籌備帳戶")</f>
        <v>台銀籌備帳戶</v>
      </c>
      <c r="G2866" t="str">
        <f>IFERROR(__xludf.DUMMYFUNCTION("""COMPUTED_VALUE"""),"景安2分鐘")</f>
        <v>景安2分鐘</v>
      </c>
      <c r="H2866" s="106" t="str">
        <f t="shared" si="1"/>
        <v>2025-11</v>
      </c>
      <c r="I2866" s="271" t="str">
        <f>IFERROR(__xludf.DUMMYFUNCTION("""COMPUTED_VALUE"""),"貓狗企鵝")</f>
        <v>貓狗企鵝</v>
      </c>
      <c r="J2866" t="str">
        <f>IFERROR(__xludf.DUMMYFUNCTION("IFS(
  AND(REGEXMATCH(E2866, ""台銀籌備帳戶|玉山帳戶""), REGEXMATCH(C2866, ""薪資"")), ""分潤支出"",
  AND(REGEXMATCH(E2866, ""Ben帳戶|Elsa帳戶|Ben代墊|Ariel代墊|中信銀行共用""), REGEXMATCH(F2866, ""Ben帳戶|Elsa帳戶|Ben代墊|Ariel代墊|中信銀行共用"")), ""內部轉帳(忽略)"",
  AND(E2866&lt;&gt;"""", F2866&lt;&gt;"""", N"&amp;"OT(REGEXMATCH(C2866, ""薪資""))), ""內部轉帳(忽略)"",
  REGEXMATCH(C2866, ""薪資""), ""薪資變動(不計入)"",
  REGEXMATCH(C2866, ""押金""), ""押金往來"",
  AND(E2866&lt;&gt;"""", F2866=""""), ""真實支出"",
  AND(E2866="""", F2866&lt;&gt;""""), ""真實收入"",
  TRUE, ""其他""
)"),"真實支出")</f>
        <v>真實支出</v>
      </c>
      <c r="K2866" s="270">
        <f t="shared" si="2"/>
        <v>-6800</v>
      </c>
      <c r="L2866">
        <f t="shared" si="3"/>
        <v>0</v>
      </c>
    </row>
    <row r="2867">
      <c r="A2867" s="107">
        <f>IFERROR(__xludf.DUMMYFUNCTION("""COMPUTED_VALUE"""),45976.0)</f>
        <v>45976</v>
      </c>
      <c r="B2867" t="str">
        <f>IFERROR(__xludf.DUMMYFUNCTION("""COMPUTED_VALUE"""),"[南港站挑高宅] [林淑華] 大租金")</f>
        <v>[南港站挑高宅] [林淑華] 大租金</v>
      </c>
      <c r="C2867" t="str">
        <f>IFERROR(__xludf.DUMMYFUNCTION("""COMPUTED_VALUE"""),"成本 - 大租金")</f>
        <v>成本 - 大租金</v>
      </c>
      <c r="D2867" s="270">
        <f>IFERROR(__xludf.DUMMYFUNCTION("""COMPUTED_VALUE"""),-18250.0)</f>
        <v>-18250</v>
      </c>
      <c r="E2867" t="str">
        <f>IFERROR(__xludf.DUMMYFUNCTION("""COMPUTED_VALUE"""),"台銀籌備帳戶")</f>
        <v>台銀籌備帳戶</v>
      </c>
      <c r="G2867" t="str">
        <f>IFERROR(__xludf.DUMMYFUNCTION("""COMPUTED_VALUE"""),"南港站挑高宅")</f>
        <v>南港站挑高宅</v>
      </c>
      <c r="H2867" s="106" t="str">
        <f t="shared" si="1"/>
        <v>2025-11</v>
      </c>
      <c r="I2867" s="271" t="str">
        <f>IFERROR(__xludf.DUMMYFUNCTION("""COMPUTED_VALUE"""),"貓狗企鵝")</f>
        <v>貓狗企鵝</v>
      </c>
      <c r="J2867" t="str">
        <f>IFERROR(__xludf.DUMMYFUNCTION("IFS(
  AND(REGEXMATCH(E2867, ""台銀籌備帳戶|玉山帳戶""), REGEXMATCH(C2867, ""薪資"")), ""分潤支出"",
  AND(REGEXMATCH(E2867, ""Ben帳戶|Elsa帳戶|Ben代墊|Ariel代墊|中信銀行共用""), REGEXMATCH(F2867, ""Ben帳戶|Elsa帳戶|Ben代墊|Ariel代墊|中信銀行共用"")), ""內部轉帳(忽略)"",
  AND(E2867&lt;&gt;"""", F2867&lt;&gt;"""", N"&amp;"OT(REGEXMATCH(C2867, ""薪資""))), ""內部轉帳(忽略)"",
  REGEXMATCH(C2867, ""薪資""), ""薪資變動(不計入)"",
  REGEXMATCH(C2867, ""押金""), ""押金往來"",
  AND(E2867&lt;&gt;"""", F2867=""""), ""真實支出"",
  AND(E2867="""", F2867&lt;&gt;""""), ""真實收入"",
  TRUE, ""其他""
)"),"真實支出")</f>
        <v>真實支出</v>
      </c>
      <c r="K2867" s="270">
        <f t="shared" si="2"/>
        <v>-18250</v>
      </c>
      <c r="L2867">
        <f t="shared" si="3"/>
        <v>0</v>
      </c>
    </row>
    <row r="2868">
      <c r="A2868" s="107">
        <f>IFERROR(__xludf.DUMMYFUNCTION("""COMPUTED_VALUE"""),45976.0)</f>
        <v>45976</v>
      </c>
      <c r="B2868" t="str">
        <f>IFERROR(__xludf.DUMMYFUNCTION("""COMPUTED_VALUE"""),"費用 - 匯費 對方行:013 後五碼:43662 (行號: 4)")</f>
        <v>費用 - 匯費 對方行:013 後五碼:43662 (行號: 4)</v>
      </c>
      <c r="C2868" t="str">
        <f>IFERROR(__xludf.DUMMYFUNCTION("""COMPUTED_VALUE"""),"費用 - 匯費")</f>
        <v>費用 - 匯費</v>
      </c>
      <c r="D2868" s="270">
        <f>IFERROR(__xludf.DUMMYFUNCTION("""COMPUTED_VALUE"""),-15.0)</f>
        <v>-15</v>
      </c>
      <c r="E2868" t="str">
        <f>IFERROR(__xludf.DUMMYFUNCTION("""COMPUTED_VALUE"""),"台銀籌備帳戶")</f>
        <v>台銀籌備帳戶</v>
      </c>
      <c r="H2868" s="106" t="str">
        <f t="shared" si="1"/>
        <v>2025-11</v>
      </c>
      <c r="I2868" s="271" t="str">
        <f>IFERROR(__xludf.DUMMYFUNCTION("""COMPUTED_VALUE"""),"貓狗企鵝")</f>
        <v>貓狗企鵝</v>
      </c>
      <c r="J2868" t="str">
        <f>IFERROR(__xludf.DUMMYFUNCTION("IFS(
  AND(REGEXMATCH(E2868, ""台銀籌備帳戶|玉山帳戶""), REGEXMATCH(C2868, ""薪資"")), ""分潤支出"",
  AND(REGEXMATCH(E2868, ""Ben帳戶|Elsa帳戶|Ben代墊|Ariel代墊|中信銀行共用""), REGEXMATCH(F2868, ""Ben帳戶|Elsa帳戶|Ben代墊|Ariel代墊|中信銀行共用"")), ""內部轉帳(忽略)"",
  AND(E2868&lt;&gt;"""", F2868&lt;&gt;"""", N"&amp;"OT(REGEXMATCH(C2868, ""薪資""))), ""內部轉帳(忽略)"",
  REGEXMATCH(C2868, ""薪資""), ""薪資變動(不計入)"",
  REGEXMATCH(C2868, ""押金""), ""押金往來"",
  AND(E2868&lt;&gt;"""", F2868=""""), ""真實支出"",
  AND(E2868="""", F2868&lt;&gt;""""), ""真實收入"",
  TRUE, ""其他""
)"),"真實支出")</f>
        <v>真實支出</v>
      </c>
      <c r="K2868" s="270">
        <f t="shared" si="2"/>
        <v>-15</v>
      </c>
      <c r="L2868">
        <f t="shared" si="3"/>
        <v>0</v>
      </c>
    </row>
    <row r="2869">
      <c r="A2869" s="107">
        <f>IFERROR(__xludf.DUMMYFUNCTION("""COMPUTED_VALUE"""),45976.0)</f>
        <v>45976</v>
      </c>
      <c r="B2869" t="str">
        <f>IFERROR(__xludf.DUMMYFUNCTION("""COMPUTED_VALUE"""),"[中山北娘家旁] [方彥捷] 大租金")</f>
        <v>[中山北娘家旁] [方彥捷] 大租金</v>
      </c>
      <c r="C2869" t="str">
        <f>IFERROR(__xludf.DUMMYFUNCTION("""COMPUTED_VALUE"""),"成本 - 大租金")</f>
        <v>成本 - 大租金</v>
      </c>
      <c r="D2869" s="270">
        <f>IFERROR(__xludf.DUMMYFUNCTION("""COMPUTED_VALUE"""),-11500.0)</f>
        <v>-11500</v>
      </c>
      <c r="E2869" t="str">
        <f>IFERROR(__xludf.DUMMYFUNCTION("""COMPUTED_VALUE"""),"台銀籌備帳戶")</f>
        <v>台銀籌備帳戶</v>
      </c>
      <c r="G2869" t="str">
        <f>IFERROR(__xludf.DUMMYFUNCTION("""COMPUTED_VALUE"""),"中山北娘家旁")</f>
        <v>中山北娘家旁</v>
      </c>
      <c r="H2869" s="106" t="str">
        <f t="shared" si="1"/>
        <v>2025-11</v>
      </c>
      <c r="I2869" s="271" t="str">
        <f>IFERROR(__xludf.DUMMYFUNCTION("""COMPUTED_VALUE"""),"貓狗企鵝")</f>
        <v>貓狗企鵝</v>
      </c>
      <c r="J2869" t="str">
        <f>IFERROR(__xludf.DUMMYFUNCTION("IFS(
  AND(REGEXMATCH(E2869, ""台銀籌備帳戶|玉山帳戶""), REGEXMATCH(C2869, ""薪資"")), ""分潤支出"",
  AND(REGEXMATCH(E2869, ""Ben帳戶|Elsa帳戶|Ben代墊|Ariel代墊|中信銀行共用""), REGEXMATCH(F2869, ""Ben帳戶|Elsa帳戶|Ben代墊|Ariel代墊|中信銀行共用"")), ""內部轉帳(忽略)"",
  AND(E2869&lt;&gt;"""", F2869&lt;&gt;"""", N"&amp;"OT(REGEXMATCH(C2869, ""薪資""))), ""內部轉帳(忽略)"",
  REGEXMATCH(C2869, ""薪資""), ""薪資變動(不計入)"",
  REGEXMATCH(C2869, ""押金""), ""押金往來"",
  AND(E2869&lt;&gt;"""", F2869=""""), ""真實支出"",
  AND(E2869="""", F2869&lt;&gt;""""), ""真實收入"",
  TRUE, ""其他""
)"),"真實支出")</f>
        <v>真實支出</v>
      </c>
      <c r="K2869" s="270">
        <f t="shared" si="2"/>
        <v>-11500</v>
      </c>
      <c r="L2869">
        <f t="shared" si="3"/>
        <v>0</v>
      </c>
    </row>
    <row r="2870">
      <c r="A2870" s="107">
        <f>IFERROR(__xludf.DUMMYFUNCTION("""COMPUTED_VALUE"""),45976.0)</f>
        <v>45976</v>
      </c>
      <c r="B2870" t="str">
        <f>IFERROR(__xludf.DUMMYFUNCTION("""COMPUTED_VALUE"""),"費用 - 匯費 對方行:700 後五碼:92128 (行號: 5)")</f>
        <v>費用 - 匯費 對方行:700 後五碼:92128 (行號: 5)</v>
      </c>
      <c r="C2870" t="str">
        <f>IFERROR(__xludf.DUMMYFUNCTION("""COMPUTED_VALUE"""),"費用 - 匯費")</f>
        <v>費用 - 匯費</v>
      </c>
      <c r="D2870" s="270">
        <f>IFERROR(__xludf.DUMMYFUNCTION("""COMPUTED_VALUE"""),-15.0)</f>
        <v>-15</v>
      </c>
      <c r="E2870" t="str">
        <f>IFERROR(__xludf.DUMMYFUNCTION("""COMPUTED_VALUE"""),"台銀籌備帳戶")</f>
        <v>台銀籌備帳戶</v>
      </c>
      <c r="H2870" s="106" t="str">
        <f t="shared" si="1"/>
        <v>2025-11</v>
      </c>
      <c r="I2870" s="271" t="str">
        <f>IFERROR(__xludf.DUMMYFUNCTION("""COMPUTED_VALUE"""),"貓狗企鵝")</f>
        <v>貓狗企鵝</v>
      </c>
      <c r="J2870" t="str">
        <f>IFERROR(__xludf.DUMMYFUNCTION("IFS(
  AND(REGEXMATCH(E2870, ""台銀籌備帳戶|玉山帳戶""), REGEXMATCH(C2870, ""薪資"")), ""分潤支出"",
  AND(REGEXMATCH(E2870, ""Ben帳戶|Elsa帳戶|Ben代墊|Ariel代墊|中信銀行共用""), REGEXMATCH(F2870, ""Ben帳戶|Elsa帳戶|Ben代墊|Ariel代墊|中信銀行共用"")), ""內部轉帳(忽略)"",
  AND(E2870&lt;&gt;"""", F2870&lt;&gt;"""", N"&amp;"OT(REGEXMATCH(C2870, ""薪資""))), ""內部轉帳(忽略)"",
  REGEXMATCH(C2870, ""薪資""), ""薪資變動(不計入)"",
  REGEXMATCH(C2870, ""押金""), ""押金往來"",
  AND(E2870&lt;&gt;"""", F2870=""""), ""真實支出"",
  AND(E2870="""", F2870&lt;&gt;""""), ""真實收入"",
  TRUE, ""其他""
)"),"真實支出")</f>
        <v>真實支出</v>
      </c>
      <c r="K2870" s="270">
        <f t="shared" si="2"/>
        <v>-15</v>
      </c>
      <c r="L2870">
        <f t="shared" si="3"/>
        <v>0</v>
      </c>
    </row>
    <row r="2871">
      <c r="A2871" s="107">
        <f>IFERROR(__xludf.DUMMYFUNCTION("""COMPUTED_VALUE"""),45976.0)</f>
        <v>45976</v>
      </c>
      <c r="B2871" t="str">
        <f>IFERROR(__xludf.DUMMYFUNCTION("""COMPUTED_VALUE"""),"[北醫醫師府] [陳俊良] 大租金")</f>
        <v>[北醫醫師府] [陳俊良] 大租金</v>
      </c>
      <c r="C2871" t="str">
        <f>IFERROR(__xludf.DUMMYFUNCTION("""COMPUTED_VALUE"""),"成本 - 大租金")</f>
        <v>成本 - 大租金</v>
      </c>
      <c r="D2871" s="270">
        <f>IFERROR(__xludf.DUMMYFUNCTION("""COMPUTED_VALUE"""),-12800.0)</f>
        <v>-12800</v>
      </c>
      <c r="E2871" t="str">
        <f>IFERROR(__xludf.DUMMYFUNCTION("""COMPUTED_VALUE"""),"台銀籌備帳戶")</f>
        <v>台銀籌備帳戶</v>
      </c>
      <c r="G2871" t="str">
        <f>IFERROR(__xludf.DUMMYFUNCTION("""COMPUTED_VALUE"""),"北醫醫師府")</f>
        <v>北醫醫師府</v>
      </c>
      <c r="H2871" s="106" t="str">
        <f t="shared" si="1"/>
        <v>2025-11</v>
      </c>
      <c r="I2871" s="271" t="str">
        <f>IFERROR(__xludf.DUMMYFUNCTION("""COMPUTED_VALUE"""),"貓狗企鵝")</f>
        <v>貓狗企鵝</v>
      </c>
      <c r="J2871" t="str">
        <f>IFERROR(__xludf.DUMMYFUNCTION("IFS(
  AND(REGEXMATCH(E2871, ""台銀籌備帳戶|玉山帳戶""), REGEXMATCH(C2871, ""薪資"")), ""分潤支出"",
  AND(REGEXMATCH(E2871, ""Ben帳戶|Elsa帳戶|Ben代墊|Ariel代墊|中信銀行共用""), REGEXMATCH(F2871, ""Ben帳戶|Elsa帳戶|Ben代墊|Ariel代墊|中信銀行共用"")), ""內部轉帳(忽略)"",
  AND(E2871&lt;&gt;"""", F2871&lt;&gt;"""", N"&amp;"OT(REGEXMATCH(C2871, ""薪資""))), ""內部轉帳(忽略)"",
  REGEXMATCH(C2871, ""薪資""), ""薪資變動(不計入)"",
  REGEXMATCH(C2871, ""押金""), ""押金往來"",
  AND(E2871&lt;&gt;"""", F2871=""""), ""真實支出"",
  AND(E2871="""", F2871&lt;&gt;""""), ""真實收入"",
  TRUE, ""其他""
)"),"真實支出")</f>
        <v>真實支出</v>
      </c>
      <c r="K2871" s="270">
        <f t="shared" si="2"/>
        <v>-12800</v>
      </c>
      <c r="L2871">
        <f t="shared" si="3"/>
        <v>0</v>
      </c>
    </row>
    <row r="2872">
      <c r="A2872" s="107">
        <f>IFERROR(__xludf.DUMMYFUNCTION("""COMPUTED_VALUE"""),45976.0)</f>
        <v>45976</v>
      </c>
      <c r="B2872" t="str">
        <f>IFERROR(__xludf.DUMMYFUNCTION("""COMPUTED_VALUE"""),"費用 - 匯費 對方行:807 後五碼:06659 (行號: 6)")</f>
        <v>費用 - 匯費 對方行:807 後五碼:06659 (行號: 6)</v>
      </c>
      <c r="C2872" t="str">
        <f>IFERROR(__xludf.DUMMYFUNCTION("""COMPUTED_VALUE"""),"費用 - 匯費")</f>
        <v>費用 - 匯費</v>
      </c>
      <c r="D2872" s="270">
        <f>IFERROR(__xludf.DUMMYFUNCTION("""COMPUTED_VALUE"""),-15.0)</f>
        <v>-15</v>
      </c>
      <c r="E2872" t="str">
        <f>IFERROR(__xludf.DUMMYFUNCTION("""COMPUTED_VALUE"""),"台銀籌備帳戶")</f>
        <v>台銀籌備帳戶</v>
      </c>
      <c r="H2872" s="106" t="str">
        <f t="shared" si="1"/>
        <v>2025-11</v>
      </c>
      <c r="I2872" s="271" t="str">
        <f>IFERROR(__xludf.DUMMYFUNCTION("""COMPUTED_VALUE"""),"貓狗企鵝")</f>
        <v>貓狗企鵝</v>
      </c>
      <c r="J2872" t="str">
        <f>IFERROR(__xludf.DUMMYFUNCTION("IFS(
  AND(REGEXMATCH(E2872, ""台銀籌備帳戶|玉山帳戶""), REGEXMATCH(C2872, ""薪資"")), ""分潤支出"",
  AND(REGEXMATCH(E2872, ""Ben帳戶|Elsa帳戶|Ben代墊|Ariel代墊|中信銀行共用""), REGEXMATCH(F2872, ""Ben帳戶|Elsa帳戶|Ben代墊|Ariel代墊|中信銀行共用"")), ""內部轉帳(忽略)"",
  AND(E2872&lt;&gt;"""", F2872&lt;&gt;"""", N"&amp;"OT(REGEXMATCH(C2872, ""薪資""))), ""內部轉帳(忽略)"",
  REGEXMATCH(C2872, ""薪資""), ""薪資變動(不計入)"",
  REGEXMATCH(C2872, ""押金""), ""押金往來"",
  AND(E2872&lt;&gt;"""", F2872=""""), ""真實支出"",
  AND(E2872="""", F2872&lt;&gt;""""), ""真實收入"",
  TRUE, ""其他""
)"),"真實支出")</f>
        <v>真實支出</v>
      </c>
      <c r="K2872" s="270">
        <f t="shared" si="2"/>
        <v>-15</v>
      </c>
      <c r="L2872">
        <f t="shared" si="3"/>
        <v>0</v>
      </c>
    </row>
    <row r="2873">
      <c r="A2873" s="107">
        <f>IFERROR(__xludf.DUMMYFUNCTION("""COMPUTED_VALUE"""),45976.0)</f>
        <v>45976</v>
      </c>
      <c r="B2873" t="str">
        <f>IFERROR(__xludf.DUMMYFUNCTION("""COMPUTED_VALUE"""),"[哈拉對面] [陳哲聰] 大租金")</f>
        <v>[哈拉對面] [陳哲聰] 大租金</v>
      </c>
      <c r="C2873" t="str">
        <f>IFERROR(__xludf.DUMMYFUNCTION("""COMPUTED_VALUE"""),"成本 - 大租金")</f>
        <v>成本 - 大租金</v>
      </c>
      <c r="D2873" s="270">
        <f>IFERROR(__xludf.DUMMYFUNCTION("""COMPUTED_VALUE"""),-13000.0)</f>
        <v>-13000</v>
      </c>
      <c r="E2873" t="str">
        <f>IFERROR(__xludf.DUMMYFUNCTION("""COMPUTED_VALUE"""),"台銀籌備帳戶")</f>
        <v>台銀籌備帳戶</v>
      </c>
      <c r="G2873" t="str">
        <f>IFERROR(__xludf.DUMMYFUNCTION("""COMPUTED_VALUE"""),"哈拉對面")</f>
        <v>哈拉對面</v>
      </c>
      <c r="H2873" s="106" t="str">
        <f t="shared" si="1"/>
        <v>2025-11</v>
      </c>
      <c r="I2873" s="271" t="str">
        <f>IFERROR(__xludf.DUMMYFUNCTION("""COMPUTED_VALUE"""),"貓狗企鵝")</f>
        <v>貓狗企鵝</v>
      </c>
      <c r="J2873" t="str">
        <f>IFERROR(__xludf.DUMMYFUNCTION("IFS(
  AND(REGEXMATCH(E2873, ""台銀籌備帳戶|玉山帳戶""), REGEXMATCH(C2873, ""薪資"")), ""分潤支出"",
  AND(REGEXMATCH(E2873, ""Ben帳戶|Elsa帳戶|Ben代墊|Ariel代墊|中信銀行共用""), REGEXMATCH(F2873, ""Ben帳戶|Elsa帳戶|Ben代墊|Ariel代墊|中信銀行共用"")), ""內部轉帳(忽略)"",
  AND(E2873&lt;&gt;"""", F2873&lt;&gt;"""", N"&amp;"OT(REGEXMATCH(C2873, ""薪資""))), ""內部轉帳(忽略)"",
  REGEXMATCH(C2873, ""薪資""), ""薪資變動(不計入)"",
  REGEXMATCH(C2873, ""押金""), ""押金往來"",
  AND(E2873&lt;&gt;"""", F2873=""""), ""真實支出"",
  AND(E2873="""", F2873&lt;&gt;""""), ""真實收入"",
  TRUE, ""其他""
)"),"真實支出")</f>
        <v>真實支出</v>
      </c>
      <c r="K2873" s="270">
        <f t="shared" si="2"/>
        <v>-13000</v>
      </c>
      <c r="L2873">
        <f t="shared" si="3"/>
        <v>0</v>
      </c>
    </row>
    <row r="2874">
      <c r="A2874" s="107">
        <f>IFERROR(__xludf.DUMMYFUNCTION("""COMPUTED_VALUE"""),45976.0)</f>
        <v>45976</v>
      </c>
      <c r="B2874" t="str">
        <f>IFERROR(__xludf.DUMMYFUNCTION("""COMPUTED_VALUE"""),"費用 - 匯費 對方行:053 後五碼:05202 (行號: 7)")</f>
        <v>費用 - 匯費 對方行:053 後五碼:05202 (行號: 7)</v>
      </c>
      <c r="C2874" t="str">
        <f>IFERROR(__xludf.DUMMYFUNCTION("""COMPUTED_VALUE"""),"費用 - 匯費")</f>
        <v>費用 - 匯費</v>
      </c>
      <c r="D2874" s="270">
        <f>IFERROR(__xludf.DUMMYFUNCTION("""COMPUTED_VALUE"""),-15.0)</f>
        <v>-15</v>
      </c>
      <c r="E2874" t="str">
        <f>IFERROR(__xludf.DUMMYFUNCTION("""COMPUTED_VALUE"""),"台銀籌備帳戶")</f>
        <v>台銀籌備帳戶</v>
      </c>
      <c r="H2874" s="106" t="str">
        <f t="shared" si="1"/>
        <v>2025-11</v>
      </c>
      <c r="I2874" s="271" t="str">
        <f>IFERROR(__xludf.DUMMYFUNCTION("""COMPUTED_VALUE"""),"貓狗企鵝")</f>
        <v>貓狗企鵝</v>
      </c>
      <c r="J2874" t="str">
        <f>IFERROR(__xludf.DUMMYFUNCTION("IFS(
  AND(REGEXMATCH(E2874, ""台銀籌備帳戶|玉山帳戶""), REGEXMATCH(C2874, ""薪資"")), ""分潤支出"",
  AND(REGEXMATCH(E2874, ""Ben帳戶|Elsa帳戶|Ben代墊|Ariel代墊|中信銀行共用""), REGEXMATCH(F2874, ""Ben帳戶|Elsa帳戶|Ben代墊|Ariel代墊|中信銀行共用"")), ""內部轉帳(忽略)"",
  AND(E2874&lt;&gt;"""", F2874&lt;&gt;"""", N"&amp;"OT(REGEXMATCH(C2874, ""薪資""))), ""內部轉帳(忽略)"",
  REGEXMATCH(C2874, ""薪資""), ""薪資變動(不計入)"",
  REGEXMATCH(C2874, ""押金""), ""押金往來"",
  AND(E2874&lt;&gt;"""", F2874=""""), ""真實支出"",
  AND(E2874="""", F2874&lt;&gt;""""), ""真實收入"",
  TRUE, ""其他""
)"),"真實支出")</f>
        <v>真實支出</v>
      </c>
      <c r="K2874" s="270">
        <f t="shared" si="2"/>
        <v>-15</v>
      </c>
      <c r="L2874">
        <f t="shared" si="3"/>
        <v>0</v>
      </c>
    </row>
    <row r="2875">
      <c r="A2875" s="107">
        <f>IFERROR(__xludf.DUMMYFUNCTION("""COMPUTED_VALUE"""),45976.0)</f>
        <v>45976</v>
      </c>
      <c r="B2875" t="str">
        <f>IFERROR(__xludf.DUMMYFUNCTION("""COMPUTED_VALUE"""),"[大湖山莊] [陳彩霞] 大租金")</f>
        <v>[大湖山莊] [陳彩霞] 大租金</v>
      </c>
      <c r="C2875" t="str">
        <f>IFERROR(__xludf.DUMMYFUNCTION("""COMPUTED_VALUE"""),"成本 - 大租金")</f>
        <v>成本 - 大租金</v>
      </c>
      <c r="D2875" s="270">
        <f>IFERROR(__xludf.DUMMYFUNCTION("""COMPUTED_VALUE"""),-19400.0)</f>
        <v>-19400</v>
      </c>
      <c r="E2875" t="str">
        <f>IFERROR(__xludf.DUMMYFUNCTION("""COMPUTED_VALUE"""),"台銀籌備帳戶")</f>
        <v>台銀籌備帳戶</v>
      </c>
      <c r="G2875" t="str">
        <f>IFERROR(__xludf.DUMMYFUNCTION("""COMPUTED_VALUE"""),"大湖山莊")</f>
        <v>大湖山莊</v>
      </c>
      <c r="H2875" s="106" t="str">
        <f t="shared" si="1"/>
        <v>2025-11</v>
      </c>
      <c r="I2875" s="271" t="str">
        <f>IFERROR(__xludf.DUMMYFUNCTION("""COMPUTED_VALUE"""),"貓狗企鵝")</f>
        <v>貓狗企鵝</v>
      </c>
      <c r="J2875" t="str">
        <f>IFERROR(__xludf.DUMMYFUNCTION("IFS(
  AND(REGEXMATCH(E2875, ""台銀籌備帳戶|玉山帳戶""), REGEXMATCH(C2875, ""薪資"")), ""分潤支出"",
  AND(REGEXMATCH(E2875, ""Ben帳戶|Elsa帳戶|Ben代墊|Ariel代墊|中信銀行共用""), REGEXMATCH(F2875, ""Ben帳戶|Elsa帳戶|Ben代墊|Ariel代墊|中信銀行共用"")), ""內部轉帳(忽略)"",
  AND(E2875&lt;&gt;"""", F2875&lt;&gt;"""", N"&amp;"OT(REGEXMATCH(C2875, ""薪資""))), ""內部轉帳(忽略)"",
  REGEXMATCH(C2875, ""薪資""), ""薪資變動(不計入)"",
  REGEXMATCH(C2875, ""押金""), ""押金往來"",
  AND(E2875&lt;&gt;"""", F2875=""""), ""真實支出"",
  AND(E2875="""", F2875&lt;&gt;""""), ""真實收入"",
  TRUE, ""其他""
)"),"真實支出")</f>
        <v>真實支出</v>
      </c>
      <c r="K2875" s="270">
        <f t="shared" si="2"/>
        <v>-19400</v>
      </c>
      <c r="L2875">
        <f t="shared" si="3"/>
        <v>0</v>
      </c>
    </row>
    <row r="2876">
      <c r="A2876" s="107">
        <f>IFERROR(__xludf.DUMMYFUNCTION("""COMPUTED_VALUE"""),45976.0)</f>
        <v>45976</v>
      </c>
      <c r="B2876" t="str">
        <f>IFERROR(__xludf.DUMMYFUNCTION("""COMPUTED_VALUE"""),"費用 - 匯費 對方行:822 後五碼:06708 (行號: 8)")</f>
        <v>費用 - 匯費 對方行:822 後五碼:06708 (行號: 8)</v>
      </c>
      <c r="C2876" t="str">
        <f>IFERROR(__xludf.DUMMYFUNCTION("""COMPUTED_VALUE"""),"費用 - 匯費")</f>
        <v>費用 - 匯費</v>
      </c>
      <c r="D2876" s="270">
        <f>IFERROR(__xludf.DUMMYFUNCTION("""COMPUTED_VALUE"""),-15.0)</f>
        <v>-15</v>
      </c>
      <c r="E2876" t="str">
        <f>IFERROR(__xludf.DUMMYFUNCTION("""COMPUTED_VALUE"""),"台銀籌備帳戶")</f>
        <v>台銀籌備帳戶</v>
      </c>
      <c r="H2876" s="106" t="str">
        <f t="shared" si="1"/>
        <v>2025-11</v>
      </c>
      <c r="I2876" s="271" t="str">
        <f>IFERROR(__xludf.DUMMYFUNCTION("""COMPUTED_VALUE"""),"貓狗企鵝")</f>
        <v>貓狗企鵝</v>
      </c>
      <c r="J2876" t="str">
        <f>IFERROR(__xludf.DUMMYFUNCTION("IFS(
  AND(REGEXMATCH(E2876, ""台銀籌備帳戶|玉山帳戶""), REGEXMATCH(C2876, ""薪資"")), ""分潤支出"",
  AND(REGEXMATCH(E2876, ""Ben帳戶|Elsa帳戶|Ben代墊|Ariel代墊|中信銀行共用""), REGEXMATCH(F2876, ""Ben帳戶|Elsa帳戶|Ben代墊|Ariel代墊|中信銀行共用"")), ""內部轉帳(忽略)"",
  AND(E2876&lt;&gt;"""", F2876&lt;&gt;"""", N"&amp;"OT(REGEXMATCH(C2876, ""薪資""))), ""內部轉帳(忽略)"",
  REGEXMATCH(C2876, ""薪資""), ""薪資變動(不計入)"",
  REGEXMATCH(C2876, ""押金""), ""押金往來"",
  AND(E2876&lt;&gt;"""", F2876=""""), ""真實支出"",
  AND(E2876="""", F2876&lt;&gt;""""), ""真實收入"",
  TRUE, ""其他""
)"),"真實支出")</f>
        <v>真實支出</v>
      </c>
      <c r="K2876" s="270">
        <f t="shared" si="2"/>
        <v>-15</v>
      </c>
      <c r="L2876">
        <f t="shared" si="3"/>
        <v>0</v>
      </c>
    </row>
    <row r="2877">
      <c r="A2877" s="107">
        <f>IFERROR(__xludf.DUMMYFUNCTION("""COMPUTED_VALUE"""),45976.0)</f>
        <v>45976</v>
      </c>
      <c r="B2877" t="str">
        <f>IFERROR(__xludf.DUMMYFUNCTION("""COMPUTED_VALUE"""),"[金龍帽子先生] [郭娟伶] 大租金")</f>
        <v>[金龍帽子先生] [郭娟伶] 大租金</v>
      </c>
      <c r="C2877" t="str">
        <f>IFERROR(__xludf.DUMMYFUNCTION("""COMPUTED_VALUE"""),"成本 - 大租金")</f>
        <v>成本 - 大租金</v>
      </c>
      <c r="D2877" s="270">
        <f>IFERROR(__xludf.DUMMYFUNCTION("""COMPUTED_VALUE"""),-17750.0)</f>
        <v>-17750</v>
      </c>
      <c r="E2877" t="str">
        <f>IFERROR(__xludf.DUMMYFUNCTION("""COMPUTED_VALUE"""),"台銀籌備帳戶")</f>
        <v>台銀籌備帳戶</v>
      </c>
      <c r="G2877" t="str">
        <f>IFERROR(__xludf.DUMMYFUNCTION("""COMPUTED_VALUE"""),"金龍帽子先生")</f>
        <v>金龍帽子先生</v>
      </c>
      <c r="H2877" s="106" t="str">
        <f t="shared" si="1"/>
        <v>2025-11</v>
      </c>
      <c r="I2877" s="271" t="str">
        <f>IFERROR(__xludf.DUMMYFUNCTION("""COMPUTED_VALUE"""),"貓狗企鵝")</f>
        <v>貓狗企鵝</v>
      </c>
      <c r="J2877" t="str">
        <f>IFERROR(__xludf.DUMMYFUNCTION("IFS(
  AND(REGEXMATCH(E2877, ""台銀籌備帳戶|玉山帳戶""), REGEXMATCH(C2877, ""薪資"")), ""分潤支出"",
  AND(REGEXMATCH(E2877, ""Ben帳戶|Elsa帳戶|Ben代墊|Ariel代墊|中信銀行共用""), REGEXMATCH(F2877, ""Ben帳戶|Elsa帳戶|Ben代墊|Ariel代墊|中信銀行共用"")), ""內部轉帳(忽略)"",
  AND(E2877&lt;&gt;"""", F2877&lt;&gt;"""", N"&amp;"OT(REGEXMATCH(C2877, ""薪資""))), ""內部轉帳(忽略)"",
  REGEXMATCH(C2877, ""薪資""), ""薪資變動(不計入)"",
  REGEXMATCH(C2877, ""押金""), ""押金往來"",
  AND(E2877&lt;&gt;"""", F2877=""""), ""真實支出"",
  AND(E2877="""", F2877&lt;&gt;""""), ""真實收入"",
  TRUE, ""其他""
)"),"真實支出")</f>
        <v>真實支出</v>
      </c>
      <c r="K2877" s="270">
        <f t="shared" si="2"/>
        <v>-17750</v>
      </c>
      <c r="L2877">
        <f t="shared" si="3"/>
        <v>0</v>
      </c>
    </row>
    <row r="2878">
      <c r="A2878" s="107">
        <f>IFERROR(__xludf.DUMMYFUNCTION("""COMPUTED_VALUE"""),45976.0)</f>
        <v>45976</v>
      </c>
      <c r="B2878" t="str">
        <f>IFERROR(__xludf.DUMMYFUNCTION("""COMPUTED_VALUE"""),"費用 - 匯費 對方行:013 後五碼:20652 (行號: 9)")</f>
        <v>費用 - 匯費 對方行:013 後五碼:20652 (行號: 9)</v>
      </c>
      <c r="C2878" t="str">
        <f>IFERROR(__xludf.DUMMYFUNCTION("""COMPUTED_VALUE"""),"費用 - 匯費")</f>
        <v>費用 - 匯費</v>
      </c>
      <c r="D2878" s="270">
        <f>IFERROR(__xludf.DUMMYFUNCTION("""COMPUTED_VALUE"""),-15.0)</f>
        <v>-15</v>
      </c>
      <c r="E2878" t="str">
        <f>IFERROR(__xludf.DUMMYFUNCTION("""COMPUTED_VALUE"""),"台銀籌備帳戶")</f>
        <v>台銀籌備帳戶</v>
      </c>
      <c r="H2878" s="106" t="str">
        <f t="shared" si="1"/>
        <v>2025-11</v>
      </c>
      <c r="I2878" s="271" t="str">
        <f>IFERROR(__xludf.DUMMYFUNCTION("""COMPUTED_VALUE"""),"貓狗企鵝")</f>
        <v>貓狗企鵝</v>
      </c>
      <c r="J2878" t="str">
        <f>IFERROR(__xludf.DUMMYFUNCTION("IFS(
  AND(REGEXMATCH(E2878, ""台銀籌備帳戶|玉山帳戶""), REGEXMATCH(C2878, ""薪資"")), ""分潤支出"",
  AND(REGEXMATCH(E2878, ""Ben帳戶|Elsa帳戶|Ben代墊|Ariel代墊|中信銀行共用""), REGEXMATCH(F2878, ""Ben帳戶|Elsa帳戶|Ben代墊|Ariel代墊|中信銀行共用"")), ""內部轉帳(忽略)"",
  AND(E2878&lt;&gt;"""", F2878&lt;&gt;"""", N"&amp;"OT(REGEXMATCH(C2878, ""薪資""))), ""內部轉帳(忽略)"",
  REGEXMATCH(C2878, ""薪資""), ""薪資變動(不計入)"",
  REGEXMATCH(C2878, ""押金""), ""押金往來"",
  AND(E2878&lt;&gt;"""", F2878=""""), ""真實支出"",
  AND(E2878="""", F2878&lt;&gt;""""), ""真實收入"",
  TRUE, ""其他""
)"),"真實支出")</f>
        <v>真實支出</v>
      </c>
      <c r="K2878" s="270">
        <f t="shared" si="2"/>
        <v>-15</v>
      </c>
      <c r="L2878">
        <f t="shared" si="3"/>
        <v>0</v>
      </c>
    </row>
    <row r="2879">
      <c r="A2879" s="107">
        <f>IFERROR(__xludf.DUMMYFUNCTION("""COMPUTED_VALUE"""),45976.0)</f>
        <v>45976</v>
      </c>
      <c r="B2879" t="str">
        <f>IFERROR(__xludf.DUMMYFUNCTION("""COMPUTED_VALUE"""),"[景安2分鐘] [王逸荃] 大租金")</f>
        <v>[景安2分鐘] [王逸荃] 大租金</v>
      </c>
      <c r="C2879" t="str">
        <f>IFERROR(__xludf.DUMMYFUNCTION("""COMPUTED_VALUE"""),"成本 - 大租金")</f>
        <v>成本 - 大租金</v>
      </c>
      <c r="D2879" s="270">
        <f>IFERROR(__xludf.DUMMYFUNCTION("""COMPUTED_VALUE"""),-12500.0)</f>
        <v>-12500</v>
      </c>
      <c r="E2879" t="str">
        <f>IFERROR(__xludf.DUMMYFUNCTION("""COMPUTED_VALUE"""),"台銀籌備帳戶")</f>
        <v>台銀籌備帳戶</v>
      </c>
      <c r="G2879" t="str">
        <f>IFERROR(__xludf.DUMMYFUNCTION("""COMPUTED_VALUE"""),"景安2分鐘")</f>
        <v>景安2分鐘</v>
      </c>
      <c r="H2879" s="106" t="str">
        <f t="shared" si="1"/>
        <v>2025-11</v>
      </c>
      <c r="I2879" s="271" t="str">
        <f>IFERROR(__xludf.DUMMYFUNCTION("""COMPUTED_VALUE"""),"貓狗企鵝")</f>
        <v>貓狗企鵝</v>
      </c>
      <c r="J2879" t="str">
        <f>IFERROR(__xludf.DUMMYFUNCTION("IFS(
  AND(REGEXMATCH(E2879, ""台銀籌備帳戶|玉山帳戶""), REGEXMATCH(C2879, ""薪資"")), ""分潤支出"",
  AND(REGEXMATCH(E2879, ""Ben帳戶|Elsa帳戶|Ben代墊|Ariel代墊|中信銀行共用""), REGEXMATCH(F2879, ""Ben帳戶|Elsa帳戶|Ben代墊|Ariel代墊|中信銀行共用"")), ""內部轉帳(忽略)"",
  AND(E2879&lt;&gt;"""", F2879&lt;&gt;"""", N"&amp;"OT(REGEXMATCH(C2879, ""薪資""))), ""內部轉帳(忽略)"",
  REGEXMATCH(C2879, ""薪資""), ""薪資變動(不計入)"",
  REGEXMATCH(C2879, ""押金""), ""押金往來"",
  AND(E2879&lt;&gt;"""", F2879=""""), ""真實支出"",
  AND(E2879="""", F2879&lt;&gt;""""), ""真實收入"",
  TRUE, ""其他""
)"),"真實支出")</f>
        <v>真實支出</v>
      </c>
      <c r="K2879" s="270">
        <f t="shared" si="2"/>
        <v>-12500</v>
      </c>
      <c r="L2879">
        <f t="shared" si="3"/>
        <v>0</v>
      </c>
    </row>
    <row r="2880">
      <c r="A2880" s="107">
        <f>IFERROR(__xludf.DUMMYFUNCTION("""COMPUTED_VALUE"""),45976.0)</f>
        <v>45976</v>
      </c>
      <c r="B2880" t="str">
        <f>IFERROR(__xludf.DUMMYFUNCTION("""COMPUTED_VALUE"""),"費用 - 匯費 對方行:052 後五碼:22609 (行號: 10)")</f>
        <v>費用 - 匯費 對方行:052 後五碼:22609 (行號: 10)</v>
      </c>
      <c r="C2880" t="str">
        <f>IFERROR(__xludf.DUMMYFUNCTION("""COMPUTED_VALUE"""),"費用 - 匯費")</f>
        <v>費用 - 匯費</v>
      </c>
      <c r="D2880" s="270">
        <f>IFERROR(__xludf.DUMMYFUNCTION("""COMPUTED_VALUE"""),-15.0)</f>
        <v>-15</v>
      </c>
      <c r="E2880" t="str">
        <f>IFERROR(__xludf.DUMMYFUNCTION("""COMPUTED_VALUE"""),"台銀籌備帳戶")</f>
        <v>台銀籌備帳戶</v>
      </c>
      <c r="H2880" s="106" t="str">
        <f t="shared" si="1"/>
        <v>2025-11</v>
      </c>
      <c r="I2880" s="271" t="str">
        <f>IFERROR(__xludf.DUMMYFUNCTION("""COMPUTED_VALUE"""),"貓狗企鵝")</f>
        <v>貓狗企鵝</v>
      </c>
      <c r="J2880" t="str">
        <f>IFERROR(__xludf.DUMMYFUNCTION("IFS(
  AND(REGEXMATCH(E2880, ""台銀籌備帳戶|玉山帳戶""), REGEXMATCH(C2880, ""薪資"")), ""分潤支出"",
  AND(REGEXMATCH(E2880, ""Ben帳戶|Elsa帳戶|Ben代墊|Ariel代墊|中信銀行共用""), REGEXMATCH(F2880, ""Ben帳戶|Elsa帳戶|Ben代墊|Ariel代墊|中信銀行共用"")), ""內部轉帳(忽略)"",
  AND(E2880&lt;&gt;"""", F2880&lt;&gt;"""", N"&amp;"OT(REGEXMATCH(C2880, ""薪資""))), ""內部轉帳(忽略)"",
  REGEXMATCH(C2880, ""薪資""), ""薪資變動(不計入)"",
  REGEXMATCH(C2880, ""押金""), ""押金往來"",
  AND(E2880&lt;&gt;"""", F2880=""""), ""真實支出"",
  AND(E2880="""", F2880&lt;&gt;""""), ""真實收入"",
  TRUE, ""其他""
)"),"真實支出")</f>
        <v>真實支出</v>
      </c>
      <c r="K2880" s="270">
        <f t="shared" si="2"/>
        <v>-15</v>
      </c>
      <c r="L2880">
        <f t="shared" si="3"/>
        <v>0</v>
      </c>
    </row>
    <row r="2881">
      <c r="A2881" s="107">
        <f>IFERROR(__xludf.DUMMYFUNCTION("""COMPUTED_VALUE"""),45976.0)</f>
        <v>45976</v>
      </c>
      <c r="B2881" t="str">
        <f>IFERROR(__xludf.DUMMYFUNCTION("""COMPUTED_VALUE"""),"[中山北Feli家] [陳玉蘭] 大租金")</f>
        <v>[中山北Feli家] [陳玉蘭] 大租金</v>
      </c>
      <c r="C2881" t="str">
        <f>IFERROR(__xludf.DUMMYFUNCTION("""COMPUTED_VALUE"""),"成本 - 大租金")</f>
        <v>成本 - 大租金</v>
      </c>
      <c r="D2881" s="270">
        <f>IFERROR(__xludf.DUMMYFUNCTION("""COMPUTED_VALUE"""),-18000.0)</f>
        <v>-18000</v>
      </c>
      <c r="E2881" t="str">
        <f>IFERROR(__xludf.DUMMYFUNCTION("""COMPUTED_VALUE"""),"台銀籌備帳戶")</f>
        <v>台銀籌備帳戶</v>
      </c>
      <c r="G2881" t="str">
        <f>IFERROR(__xludf.DUMMYFUNCTION("""COMPUTED_VALUE"""),"中山北Feli家")</f>
        <v>中山北Feli家</v>
      </c>
      <c r="H2881" s="106" t="str">
        <f t="shared" si="1"/>
        <v>2025-11</v>
      </c>
      <c r="I2881" s="271" t="str">
        <f>IFERROR(__xludf.DUMMYFUNCTION("""COMPUTED_VALUE"""),"貓狗企鵝")</f>
        <v>貓狗企鵝</v>
      </c>
      <c r="J2881" t="str">
        <f>IFERROR(__xludf.DUMMYFUNCTION("IFS(
  AND(REGEXMATCH(E2881, ""台銀籌備帳戶|玉山帳戶""), REGEXMATCH(C2881, ""薪資"")), ""分潤支出"",
  AND(REGEXMATCH(E2881, ""Ben帳戶|Elsa帳戶|Ben代墊|Ariel代墊|中信銀行共用""), REGEXMATCH(F2881, ""Ben帳戶|Elsa帳戶|Ben代墊|Ariel代墊|中信銀行共用"")), ""內部轉帳(忽略)"",
  AND(E2881&lt;&gt;"""", F2881&lt;&gt;"""", N"&amp;"OT(REGEXMATCH(C2881, ""薪資""))), ""內部轉帳(忽略)"",
  REGEXMATCH(C2881, ""薪資""), ""薪資變動(不計入)"",
  REGEXMATCH(C2881, ""押金""), ""押金往來"",
  AND(E2881&lt;&gt;"""", F2881=""""), ""真實支出"",
  AND(E2881="""", F2881&lt;&gt;""""), ""真實收入"",
  TRUE, ""其他""
)"),"真實支出")</f>
        <v>真實支出</v>
      </c>
      <c r="K2881" s="270">
        <f t="shared" si="2"/>
        <v>-18000</v>
      </c>
      <c r="L2881">
        <f t="shared" si="3"/>
        <v>0</v>
      </c>
    </row>
    <row r="2882">
      <c r="A2882" s="107">
        <f>IFERROR(__xludf.DUMMYFUNCTION("""COMPUTED_VALUE"""),45976.0)</f>
        <v>45976</v>
      </c>
      <c r="B2882" t="str">
        <f>IFERROR(__xludf.DUMMYFUNCTION("""COMPUTED_VALUE"""),"費用 - 匯費 對方行:700 後五碼:19509 (行號: 11)")</f>
        <v>費用 - 匯費 對方行:700 後五碼:19509 (行號: 11)</v>
      </c>
      <c r="C2882" t="str">
        <f>IFERROR(__xludf.DUMMYFUNCTION("""COMPUTED_VALUE"""),"費用 - 匯費")</f>
        <v>費用 - 匯費</v>
      </c>
      <c r="D2882" s="270">
        <f>IFERROR(__xludf.DUMMYFUNCTION("""COMPUTED_VALUE"""),-15.0)</f>
        <v>-15</v>
      </c>
      <c r="E2882" t="str">
        <f>IFERROR(__xludf.DUMMYFUNCTION("""COMPUTED_VALUE"""),"台銀籌備帳戶")</f>
        <v>台銀籌備帳戶</v>
      </c>
      <c r="H2882" s="106" t="str">
        <f t="shared" si="1"/>
        <v>2025-11</v>
      </c>
      <c r="I2882" s="271" t="str">
        <f>IFERROR(__xludf.DUMMYFUNCTION("""COMPUTED_VALUE"""),"貓狗企鵝")</f>
        <v>貓狗企鵝</v>
      </c>
      <c r="J2882" t="str">
        <f>IFERROR(__xludf.DUMMYFUNCTION("IFS(
  AND(REGEXMATCH(E2882, ""台銀籌備帳戶|玉山帳戶""), REGEXMATCH(C2882, ""薪資"")), ""分潤支出"",
  AND(REGEXMATCH(E2882, ""Ben帳戶|Elsa帳戶|Ben代墊|Ariel代墊|中信銀行共用""), REGEXMATCH(F2882, ""Ben帳戶|Elsa帳戶|Ben代墊|Ariel代墊|中信銀行共用"")), ""內部轉帳(忽略)"",
  AND(E2882&lt;&gt;"""", F2882&lt;&gt;"""", N"&amp;"OT(REGEXMATCH(C2882, ""薪資""))), ""內部轉帳(忽略)"",
  REGEXMATCH(C2882, ""薪資""), ""薪資變動(不計入)"",
  REGEXMATCH(C2882, ""押金""), ""押金往來"",
  AND(E2882&lt;&gt;"""", F2882=""""), ""真實支出"",
  AND(E2882="""", F2882&lt;&gt;""""), ""真實收入"",
  TRUE, ""其他""
)"),"真實支出")</f>
        <v>真實支出</v>
      </c>
      <c r="K2882" s="270">
        <f t="shared" si="2"/>
        <v>-15</v>
      </c>
      <c r="L2882">
        <f t="shared" si="3"/>
        <v>0</v>
      </c>
    </row>
    <row r="2883">
      <c r="A2883" s="107">
        <f>IFERROR(__xludf.DUMMYFUNCTION("""COMPUTED_VALUE"""),45976.0)</f>
        <v>45976</v>
      </c>
      <c r="B2883" t="str">
        <f>IFERROR(__xludf.DUMMYFUNCTION("""COMPUTED_VALUE"""),"[龍江229] [游為傑] 大租金")</f>
        <v>[龍江229] [游為傑] 大租金</v>
      </c>
      <c r="C2883" t="str">
        <f>IFERROR(__xludf.DUMMYFUNCTION("""COMPUTED_VALUE"""),"成本 - 大租金")</f>
        <v>成本 - 大租金</v>
      </c>
      <c r="D2883" s="270">
        <f>IFERROR(__xludf.DUMMYFUNCTION("""COMPUTED_VALUE"""),-13500.0)</f>
        <v>-13500</v>
      </c>
      <c r="E2883" t="str">
        <f>IFERROR(__xludf.DUMMYFUNCTION("""COMPUTED_VALUE"""),"台銀籌備帳戶")</f>
        <v>台銀籌備帳戶</v>
      </c>
      <c r="G2883" t="str">
        <f>IFERROR(__xludf.DUMMYFUNCTION("""COMPUTED_VALUE"""),"龍江229")</f>
        <v>龍江229</v>
      </c>
      <c r="H2883" s="106" t="str">
        <f t="shared" si="1"/>
        <v>2025-11</v>
      </c>
      <c r="I2883" s="271" t="str">
        <f>IFERROR(__xludf.DUMMYFUNCTION("""COMPUTED_VALUE"""),"貓狗企鵝")</f>
        <v>貓狗企鵝</v>
      </c>
      <c r="J2883" t="str">
        <f>IFERROR(__xludf.DUMMYFUNCTION("IFS(
  AND(REGEXMATCH(E2883, ""台銀籌備帳戶|玉山帳戶""), REGEXMATCH(C2883, ""薪資"")), ""分潤支出"",
  AND(REGEXMATCH(E2883, ""Ben帳戶|Elsa帳戶|Ben代墊|Ariel代墊|中信銀行共用""), REGEXMATCH(F2883, ""Ben帳戶|Elsa帳戶|Ben代墊|Ariel代墊|中信銀行共用"")), ""內部轉帳(忽略)"",
  AND(E2883&lt;&gt;"""", F2883&lt;&gt;"""", N"&amp;"OT(REGEXMATCH(C2883, ""薪資""))), ""內部轉帳(忽略)"",
  REGEXMATCH(C2883, ""薪資""), ""薪資變動(不計入)"",
  REGEXMATCH(C2883, ""押金""), ""押金往來"",
  AND(E2883&lt;&gt;"""", F2883=""""), ""真實支出"",
  AND(E2883="""", F2883&lt;&gt;""""), ""真實收入"",
  TRUE, ""其他""
)"),"真實支出")</f>
        <v>真實支出</v>
      </c>
      <c r="K2883" s="270">
        <f t="shared" si="2"/>
        <v>-13500</v>
      </c>
      <c r="L2883">
        <f t="shared" si="3"/>
        <v>0</v>
      </c>
    </row>
    <row r="2884">
      <c r="A2884" s="107">
        <f>IFERROR(__xludf.DUMMYFUNCTION("""COMPUTED_VALUE"""),45977.0)</f>
        <v>45977</v>
      </c>
      <c r="B2884" t="str">
        <f>IFERROR(__xludf.DUMMYFUNCTION("""COMPUTED_VALUE"""),"費用 - 匯費 對方行:700 後五碼:70201 (行號: 12)")</f>
        <v>費用 - 匯費 對方行:700 後五碼:70201 (行號: 12)</v>
      </c>
      <c r="C2884" t="str">
        <f>IFERROR(__xludf.DUMMYFUNCTION("""COMPUTED_VALUE"""),"費用 - 匯費")</f>
        <v>費用 - 匯費</v>
      </c>
      <c r="D2884" s="270">
        <f>IFERROR(__xludf.DUMMYFUNCTION("""COMPUTED_VALUE"""),-15.0)</f>
        <v>-15</v>
      </c>
      <c r="E2884" t="str">
        <f>IFERROR(__xludf.DUMMYFUNCTION("""COMPUTED_VALUE"""),"台銀籌備帳戶")</f>
        <v>台銀籌備帳戶</v>
      </c>
      <c r="H2884" s="106" t="str">
        <f t="shared" si="1"/>
        <v>2025-11</v>
      </c>
      <c r="I2884" s="271" t="str">
        <f>IFERROR(__xludf.DUMMYFUNCTION("""COMPUTED_VALUE"""),"貓狗企鵝")</f>
        <v>貓狗企鵝</v>
      </c>
      <c r="J2884" t="str">
        <f>IFERROR(__xludf.DUMMYFUNCTION("IFS(
  AND(REGEXMATCH(E2884, ""台銀籌備帳戶|玉山帳戶""), REGEXMATCH(C2884, ""薪資"")), ""分潤支出"",
  AND(REGEXMATCH(E2884, ""Ben帳戶|Elsa帳戶|Ben代墊|Ariel代墊|中信銀行共用""), REGEXMATCH(F2884, ""Ben帳戶|Elsa帳戶|Ben代墊|Ariel代墊|中信銀行共用"")), ""內部轉帳(忽略)"",
  AND(E2884&lt;&gt;"""", F2884&lt;&gt;"""", N"&amp;"OT(REGEXMATCH(C2884, ""薪資""))), ""內部轉帳(忽略)"",
  REGEXMATCH(C2884, ""薪資""), ""薪資變動(不計入)"",
  REGEXMATCH(C2884, ""押金""), ""押金往來"",
  AND(E2884&lt;&gt;"""", F2884=""""), ""真實支出"",
  AND(E2884="""", F2884&lt;&gt;""""), ""真實收入"",
  TRUE, ""其他""
)"),"真實支出")</f>
        <v>真實支出</v>
      </c>
      <c r="K2884" s="270">
        <f t="shared" si="2"/>
        <v>-15</v>
      </c>
      <c r="L2884">
        <f t="shared" si="3"/>
        <v>0</v>
      </c>
    </row>
    <row r="2885">
      <c r="A2885" s="107">
        <f>IFERROR(__xludf.DUMMYFUNCTION("""COMPUTED_VALUE"""),45977.0)</f>
        <v>45977</v>
      </c>
      <c r="B2885" t="str">
        <f>IFERROR(__xludf.DUMMYFUNCTION("""COMPUTED_VALUE"""),"宜佳 天母搜狗")</f>
        <v>宜佳 天母搜狗</v>
      </c>
      <c r="C2885" t="str">
        <f>IFERROR(__xludf.DUMMYFUNCTION("""COMPUTED_VALUE"""),"成本 - 進場前裝潢費")</f>
        <v>成本 - 進場前裝潢費</v>
      </c>
      <c r="D2885" s="270">
        <f>IFERROR(__xludf.DUMMYFUNCTION("""COMPUTED_VALUE"""),-139100.0)</f>
        <v>-139100</v>
      </c>
      <c r="E2885" t="str">
        <f>IFERROR(__xludf.DUMMYFUNCTION("""COMPUTED_VALUE"""),"台銀籌備帳戶")</f>
        <v>台銀籌備帳戶</v>
      </c>
      <c r="G2885" t="str">
        <f>IFERROR(__xludf.DUMMYFUNCTION("""COMPUTED_VALUE"""),"天母搜狗")</f>
        <v>天母搜狗</v>
      </c>
      <c r="H2885" s="106" t="str">
        <f t="shared" si="1"/>
        <v>2025-11</v>
      </c>
      <c r="I2885" s="271" t="str">
        <f>IFERROR(__xludf.DUMMYFUNCTION("""COMPUTED_VALUE"""),"貓狗企鵝")</f>
        <v>貓狗企鵝</v>
      </c>
      <c r="J2885" t="str">
        <f>IFERROR(__xludf.DUMMYFUNCTION("IFS(
  AND(REGEXMATCH(E2885, ""台銀籌備帳戶|玉山帳戶""), REGEXMATCH(C2885, ""薪資"")), ""分潤支出"",
  AND(REGEXMATCH(E2885, ""Ben帳戶|Elsa帳戶|Ben代墊|Ariel代墊|中信銀行共用""), REGEXMATCH(F2885, ""Ben帳戶|Elsa帳戶|Ben代墊|Ariel代墊|中信銀行共用"")), ""內部轉帳(忽略)"",
  AND(E2885&lt;&gt;"""", F2885&lt;&gt;"""", N"&amp;"OT(REGEXMATCH(C2885, ""薪資""))), ""內部轉帳(忽略)"",
  REGEXMATCH(C2885, ""薪資""), ""薪資變動(不計入)"",
  REGEXMATCH(C2885, ""押金""), ""押金往來"",
  AND(E2885&lt;&gt;"""", F2885=""""), ""真實支出"",
  AND(E2885="""", F2885&lt;&gt;""""), ""真實收入"",
  TRUE, ""其他""
)"),"真實支出")</f>
        <v>真實支出</v>
      </c>
      <c r="K2885" s="270">
        <f t="shared" si="2"/>
        <v>-139100</v>
      </c>
      <c r="L2885">
        <f t="shared" si="3"/>
        <v>0</v>
      </c>
    </row>
    <row r="2886">
      <c r="A2886" s="107">
        <f>IFERROR(__xludf.DUMMYFUNCTION("""COMPUTED_VALUE"""),45978.0)</f>
        <v>45978</v>
      </c>
      <c r="B2886" t="str">
        <f>IFERROR(__xludf.DUMMYFUNCTION("""COMPUTED_VALUE"""),"費用 - 匯費 對方行:808 後五碼:18096 (行號: 13)")</f>
        <v>費用 - 匯費 對方行:808 後五碼:18096 (行號: 13)</v>
      </c>
      <c r="C2886" t="str">
        <f>IFERROR(__xludf.DUMMYFUNCTION("""COMPUTED_VALUE"""),"費用 - 匯費")</f>
        <v>費用 - 匯費</v>
      </c>
      <c r="D2886" s="270">
        <f>IFERROR(__xludf.DUMMYFUNCTION("""COMPUTED_VALUE"""),-15.0)</f>
        <v>-15</v>
      </c>
      <c r="E2886" t="str">
        <f>IFERROR(__xludf.DUMMYFUNCTION("""COMPUTED_VALUE"""),"台銀籌備帳戶")</f>
        <v>台銀籌備帳戶</v>
      </c>
      <c r="H2886" s="106" t="str">
        <f t="shared" si="1"/>
        <v>2025-11</v>
      </c>
      <c r="I2886" s="271" t="str">
        <f>IFERROR(__xludf.DUMMYFUNCTION("""COMPUTED_VALUE"""),"貓狗企鵝")</f>
        <v>貓狗企鵝</v>
      </c>
      <c r="J2886" t="str">
        <f>IFERROR(__xludf.DUMMYFUNCTION("IFS(
  AND(REGEXMATCH(E2886, ""台銀籌備帳戶|玉山帳戶""), REGEXMATCH(C2886, ""薪資"")), ""分潤支出"",
  AND(REGEXMATCH(E2886, ""Ben帳戶|Elsa帳戶|Ben代墊|Ariel代墊|中信銀行共用""), REGEXMATCH(F2886, ""Ben帳戶|Elsa帳戶|Ben代墊|Ariel代墊|中信銀行共用"")), ""內部轉帳(忽略)"",
  AND(E2886&lt;&gt;"""", F2886&lt;&gt;"""", N"&amp;"OT(REGEXMATCH(C2886, ""薪資""))), ""內部轉帳(忽略)"",
  REGEXMATCH(C2886, ""薪資""), ""薪資變動(不計入)"",
  REGEXMATCH(C2886, ""押金""), ""押金往來"",
  AND(E2886&lt;&gt;"""", F2886=""""), ""真實支出"",
  AND(E2886="""", F2886&lt;&gt;""""), ""真實收入"",
  TRUE, ""其他""
)"),"真實支出")</f>
        <v>真實支出</v>
      </c>
      <c r="K2886" s="270">
        <f t="shared" si="2"/>
        <v>-15</v>
      </c>
      <c r="L2886">
        <f t="shared" si="3"/>
        <v>0</v>
      </c>
    </row>
    <row r="2887">
      <c r="A2887" s="107">
        <f>IFERROR(__xludf.DUMMYFUNCTION("""COMPUTED_VALUE"""),45978.0)</f>
        <v>45978</v>
      </c>
      <c r="B2887" t="str">
        <f>IFERROR(__xludf.DUMMYFUNCTION("""COMPUTED_VALUE"""),"Eddy整體衛浴 天母搜狗")</f>
        <v>Eddy整體衛浴 天母搜狗</v>
      </c>
      <c r="C2887" t="str">
        <f>IFERROR(__xludf.DUMMYFUNCTION("""COMPUTED_VALUE"""),"成本 - 進場前裝潢費")</f>
        <v>成本 - 進場前裝潢費</v>
      </c>
      <c r="D2887" s="270">
        <f>IFERROR(__xludf.DUMMYFUNCTION("""COMPUTED_VALUE"""),-116480.0)</f>
        <v>-116480</v>
      </c>
      <c r="E2887" t="str">
        <f>IFERROR(__xludf.DUMMYFUNCTION("""COMPUTED_VALUE"""),"台銀籌備帳戶")</f>
        <v>台銀籌備帳戶</v>
      </c>
      <c r="G2887" t="str">
        <f>IFERROR(__xludf.DUMMYFUNCTION("""COMPUTED_VALUE"""),"天母搜狗")</f>
        <v>天母搜狗</v>
      </c>
      <c r="H2887" s="106" t="str">
        <f t="shared" si="1"/>
        <v>2025-11</v>
      </c>
      <c r="I2887" s="271" t="str">
        <f>IFERROR(__xludf.DUMMYFUNCTION("""COMPUTED_VALUE"""),"貓狗企鵝")</f>
        <v>貓狗企鵝</v>
      </c>
      <c r="J2887" t="str">
        <f>IFERROR(__xludf.DUMMYFUNCTION("IFS(
  AND(REGEXMATCH(E2887, ""台銀籌備帳戶|玉山帳戶""), REGEXMATCH(C2887, ""薪資"")), ""分潤支出"",
  AND(REGEXMATCH(E2887, ""Ben帳戶|Elsa帳戶|Ben代墊|Ariel代墊|中信銀行共用""), REGEXMATCH(F2887, ""Ben帳戶|Elsa帳戶|Ben代墊|Ariel代墊|中信銀行共用"")), ""內部轉帳(忽略)"",
  AND(E2887&lt;&gt;"""", F2887&lt;&gt;"""", N"&amp;"OT(REGEXMATCH(C2887, ""薪資""))), ""內部轉帳(忽略)"",
  REGEXMATCH(C2887, ""薪資""), ""薪資變動(不計入)"",
  REGEXMATCH(C2887, ""押金""), ""押金往來"",
  AND(E2887&lt;&gt;"""", F2887=""""), ""真實支出"",
  AND(E2887="""", F2887&lt;&gt;""""), ""真實收入"",
  TRUE, ""其他""
)"),"真實支出")</f>
        <v>真實支出</v>
      </c>
      <c r="K2887" s="270">
        <f t="shared" si="2"/>
        <v>-116480</v>
      </c>
      <c r="L2887">
        <f t="shared" si="3"/>
        <v>0</v>
      </c>
    </row>
    <row r="2888">
      <c r="A2888" s="107">
        <f>IFERROR(__xludf.DUMMYFUNCTION("""COMPUTED_VALUE"""),45981.0)</f>
        <v>45981</v>
      </c>
      <c r="B2888" t="str">
        <f>IFERROR(__xludf.DUMMYFUNCTION("""COMPUTED_VALUE"""),"費用 - 匯費 對方行:011 後五碼:17078 (行號: 14)")</f>
        <v>費用 - 匯費 對方行:011 後五碼:17078 (行號: 14)</v>
      </c>
      <c r="C2888" t="str">
        <f>IFERROR(__xludf.DUMMYFUNCTION("""COMPUTED_VALUE"""),"費用 - 匯費")</f>
        <v>費用 - 匯費</v>
      </c>
      <c r="D2888" s="270">
        <f>IFERROR(__xludf.DUMMYFUNCTION("""COMPUTED_VALUE"""),-15.0)</f>
        <v>-15</v>
      </c>
      <c r="E2888" t="str">
        <f>IFERROR(__xludf.DUMMYFUNCTION("""COMPUTED_VALUE"""),"台銀籌備帳戶")</f>
        <v>台銀籌備帳戶</v>
      </c>
      <c r="H2888" s="106" t="str">
        <f t="shared" si="1"/>
        <v>2025-11</v>
      </c>
      <c r="I2888" s="271" t="str">
        <f>IFERROR(__xludf.DUMMYFUNCTION("""COMPUTED_VALUE"""),"貓狗企鵝")</f>
        <v>貓狗企鵝</v>
      </c>
      <c r="J2888" t="str">
        <f>IFERROR(__xludf.DUMMYFUNCTION("IFS(
  AND(REGEXMATCH(E2888, ""台銀籌備帳戶|玉山帳戶""), REGEXMATCH(C2888, ""薪資"")), ""分潤支出"",
  AND(REGEXMATCH(E2888, ""Ben帳戶|Elsa帳戶|Ben代墊|Ariel代墊|中信銀行共用""), REGEXMATCH(F2888, ""Ben帳戶|Elsa帳戶|Ben代墊|Ariel代墊|中信銀行共用"")), ""內部轉帳(忽略)"",
  AND(E2888&lt;&gt;"""", F2888&lt;&gt;"""", N"&amp;"OT(REGEXMATCH(C2888, ""薪資""))), ""內部轉帳(忽略)"",
  REGEXMATCH(C2888, ""薪資""), ""薪資變動(不計入)"",
  REGEXMATCH(C2888, ""押金""), ""押金往來"",
  AND(E2888&lt;&gt;"""", F2888=""""), ""真實支出"",
  AND(E2888="""", F2888&lt;&gt;""""), ""真實收入"",
  TRUE, ""其他""
)"),"真實支出")</f>
        <v>真實支出</v>
      </c>
      <c r="K2888" s="270">
        <f t="shared" si="2"/>
        <v>-15</v>
      </c>
      <c r="L2888">
        <f t="shared" si="3"/>
        <v>0</v>
      </c>
    </row>
    <row r="2889">
      <c r="A2889" s="107">
        <f>IFERROR(__xludf.DUMMYFUNCTION("""COMPUTED_VALUE"""),45981.0)</f>
        <v>45981</v>
      </c>
      <c r="B2889" t="str">
        <f>IFERROR(__xludf.DUMMYFUNCTION("""COMPUTED_VALUE"""),"[書香民生] [吳高寶玉] 大租金")</f>
        <v>[書香民生] [吳高寶玉] 大租金</v>
      </c>
      <c r="C2889" t="str">
        <f>IFERROR(__xludf.DUMMYFUNCTION("""COMPUTED_VALUE"""),"成本 - 大租金")</f>
        <v>成本 - 大租金</v>
      </c>
      <c r="D2889" s="270">
        <f>IFERROR(__xludf.DUMMYFUNCTION("""COMPUTED_VALUE"""),-16666.0)</f>
        <v>-16666</v>
      </c>
      <c r="E2889" t="str">
        <f>IFERROR(__xludf.DUMMYFUNCTION("""COMPUTED_VALUE"""),"台銀籌備帳戶")</f>
        <v>台銀籌備帳戶</v>
      </c>
      <c r="G2889" t="str">
        <f>IFERROR(__xludf.DUMMYFUNCTION("""COMPUTED_VALUE"""),"書香民生")</f>
        <v>書香民生</v>
      </c>
      <c r="H2889" s="106" t="str">
        <f t="shared" si="1"/>
        <v>2025-11</v>
      </c>
      <c r="I2889" s="271" t="str">
        <f>IFERROR(__xludf.DUMMYFUNCTION("""COMPUTED_VALUE"""),"貓狗企鵝")</f>
        <v>貓狗企鵝</v>
      </c>
      <c r="J2889" t="str">
        <f>IFERROR(__xludf.DUMMYFUNCTION("IFS(
  AND(REGEXMATCH(E2889, ""台銀籌備帳戶|玉山帳戶""), REGEXMATCH(C2889, ""薪資"")), ""分潤支出"",
  AND(REGEXMATCH(E2889, ""Ben帳戶|Elsa帳戶|Ben代墊|Ariel代墊|中信銀行共用""), REGEXMATCH(F2889, ""Ben帳戶|Elsa帳戶|Ben代墊|Ariel代墊|中信銀行共用"")), ""內部轉帳(忽略)"",
  AND(E2889&lt;&gt;"""", F2889&lt;&gt;"""", N"&amp;"OT(REGEXMATCH(C2889, ""薪資""))), ""內部轉帳(忽略)"",
  REGEXMATCH(C2889, ""薪資""), ""薪資變動(不計入)"",
  REGEXMATCH(C2889, ""押金""), ""押金往來"",
  AND(E2889&lt;&gt;"""", F2889=""""), ""真實支出"",
  AND(E2889="""", F2889&lt;&gt;""""), ""真實收入"",
  TRUE, ""其他""
)"),"真實支出")</f>
        <v>真實支出</v>
      </c>
      <c r="K2889" s="270">
        <f t="shared" si="2"/>
        <v>-16666</v>
      </c>
      <c r="L2889">
        <f t="shared" si="3"/>
        <v>0</v>
      </c>
    </row>
    <row r="2890">
      <c r="A2890" s="107">
        <f>IFERROR(__xludf.DUMMYFUNCTION("""COMPUTED_VALUE"""),45982.0)</f>
        <v>45982</v>
      </c>
      <c r="B2890" t="str">
        <f>IFERROR(__xludf.DUMMYFUNCTION("""COMPUTED_VALUE"""),"費用 - 匯費 對方行:806 後五碼:38687 (行號: 15)")</f>
        <v>費用 - 匯費 對方行:806 後五碼:38687 (行號: 15)</v>
      </c>
      <c r="C2890" t="str">
        <f>IFERROR(__xludf.DUMMYFUNCTION("""COMPUTED_VALUE"""),"費用 - 匯費")</f>
        <v>費用 - 匯費</v>
      </c>
      <c r="D2890" s="270">
        <f>IFERROR(__xludf.DUMMYFUNCTION("""COMPUTED_VALUE"""),-15.0)</f>
        <v>-15</v>
      </c>
      <c r="E2890" t="str">
        <f>IFERROR(__xludf.DUMMYFUNCTION("""COMPUTED_VALUE"""),"台銀籌備帳戶")</f>
        <v>台銀籌備帳戶</v>
      </c>
      <c r="H2890" s="106" t="str">
        <f t="shared" si="1"/>
        <v>2025-11</v>
      </c>
      <c r="I2890" s="271" t="str">
        <f>IFERROR(__xludf.DUMMYFUNCTION("""COMPUTED_VALUE"""),"貓狗企鵝")</f>
        <v>貓狗企鵝</v>
      </c>
      <c r="J2890" t="str">
        <f>IFERROR(__xludf.DUMMYFUNCTION("IFS(
  AND(REGEXMATCH(E2890, ""台銀籌備帳戶|玉山帳戶""), REGEXMATCH(C2890, ""薪資"")), ""分潤支出"",
  AND(REGEXMATCH(E2890, ""Ben帳戶|Elsa帳戶|Ben代墊|Ariel代墊|中信銀行共用""), REGEXMATCH(F2890, ""Ben帳戶|Elsa帳戶|Ben代墊|Ariel代墊|中信銀行共用"")), ""內部轉帳(忽略)"",
  AND(E2890&lt;&gt;"""", F2890&lt;&gt;"""", N"&amp;"OT(REGEXMATCH(C2890, ""薪資""))), ""內部轉帳(忽略)"",
  REGEXMATCH(C2890, ""薪資""), ""薪資變動(不計入)"",
  REGEXMATCH(C2890, ""押金""), ""押金往來"",
  AND(E2890&lt;&gt;"""", F2890=""""), ""真實支出"",
  AND(E2890="""", F2890&lt;&gt;""""), ""真實收入"",
  TRUE, ""其他""
)"),"真實支出")</f>
        <v>真實支出</v>
      </c>
      <c r="K2890" s="270">
        <f t="shared" si="2"/>
        <v>-15</v>
      </c>
      <c r="L2890">
        <f t="shared" si="3"/>
        <v>0</v>
      </c>
    </row>
    <row r="2891">
      <c r="A2891" s="107">
        <f>IFERROR(__xludf.DUMMYFUNCTION("""COMPUTED_VALUE"""),45982.0)</f>
        <v>45982</v>
      </c>
      <c r="B2891" t="str">
        <f>IFERROR(__xludf.DUMMYFUNCTION("""COMPUTED_VALUE""")," ' 【未分類支出】哈拉樓梯清潔費")</f>
        <v> ' 【未分類支出】哈拉樓梯清潔費</v>
      </c>
      <c r="C2891" t="str">
        <f>IFERROR(__xludf.DUMMYFUNCTION("""COMPUTED_VALUE"""),"成本 - 固定開銷(網路代收清潔)")</f>
        <v>成本 - 固定開銷(網路代收清潔)</v>
      </c>
      <c r="D2891" s="270">
        <f>IFERROR(__xludf.DUMMYFUNCTION("""COMPUTED_VALUE"""),-1500.0)</f>
        <v>-1500</v>
      </c>
      <c r="E2891" t="str">
        <f>IFERROR(__xludf.DUMMYFUNCTION("""COMPUTED_VALUE"""),"台銀籌備帳戶")</f>
        <v>台銀籌備帳戶</v>
      </c>
      <c r="G2891" t="str">
        <f>IFERROR(__xludf.DUMMYFUNCTION("""COMPUTED_VALUE"""),"哈拉對面")</f>
        <v>哈拉對面</v>
      </c>
      <c r="H2891" s="106" t="str">
        <f t="shared" si="1"/>
        <v>2025-11</v>
      </c>
      <c r="I2891" s="271" t="str">
        <f>IFERROR(__xludf.DUMMYFUNCTION("""COMPUTED_VALUE"""),"貓狗企鵝")</f>
        <v>貓狗企鵝</v>
      </c>
      <c r="J2891" t="str">
        <f>IFERROR(__xludf.DUMMYFUNCTION("IFS(
  AND(REGEXMATCH(E2891, ""台銀籌備帳戶|玉山帳戶""), REGEXMATCH(C2891, ""薪資"")), ""分潤支出"",
  AND(REGEXMATCH(E2891, ""Ben帳戶|Elsa帳戶|Ben代墊|Ariel代墊|中信銀行共用""), REGEXMATCH(F2891, ""Ben帳戶|Elsa帳戶|Ben代墊|Ariel代墊|中信銀行共用"")), ""內部轉帳(忽略)"",
  AND(E2891&lt;&gt;"""", F2891&lt;&gt;"""", N"&amp;"OT(REGEXMATCH(C2891, ""薪資""))), ""內部轉帳(忽略)"",
  REGEXMATCH(C2891, ""薪資""), ""薪資變動(不計入)"",
  REGEXMATCH(C2891, ""押金""), ""押金往來"",
  AND(E2891&lt;&gt;"""", F2891=""""), ""真實支出"",
  AND(E2891="""", F2891&lt;&gt;""""), ""真實收入"",
  TRUE, ""其他""
)"),"真實支出")</f>
        <v>真實支出</v>
      </c>
      <c r="K2891" s="270">
        <f t="shared" si="2"/>
        <v>-1500</v>
      </c>
      <c r="L2891">
        <f t="shared" si="3"/>
        <v>0</v>
      </c>
    </row>
    <row r="2892">
      <c r="A2892" s="107">
        <f>IFERROR(__xludf.DUMMYFUNCTION("""COMPUTED_VALUE"""),45984.0)</f>
        <v>45984</v>
      </c>
      <c r="B2892" t="str">
        <f>IFERROR(__xludf.DUMMYFUNCTION("""COMPUTED_VALUE"""),"宇廷１２月房租 0001WB ")</f>
        <v>宇廷１２月房租 0001WB </v>
      </c>
      <c r="C2892" t="str">
        <f>IFERROR(__xludf.DUMMYFUNCTION("""COMPUTED_VALUE"""),"收入 - 租金")</f>
        <v>收入 - 租金</v>
      </c>
      <c r="D2892" s="270">
        <f>IFERROR(__xludf.DUMMYFUNCTION("""COMPUTED_VALUE"""),11000.0)</f>
        <v>11000</v>
      </c>
      <c r="F2892" t="str">
        <f>IFERROR(__xludf.DUMMYFUNCTION("""COMPUTED_VALUE"""),"台銀籌備帳戶")</f>
        <v>台銀籌備帳戶</v>
      </c>
      <c r="G2892" t="str">
        <f>IFERROR(__xludf.DUMMYFUNCTION("""COMPUTED_VALUE"""),"南港站挑高宅")</f>
        <v>南港站挑高宅</v>
      </c>
      <c r="H2892" s="106" t="str">
        <f t="shared" si="1"/>
        <v>2025-11</v>
      </c>
      <c r="I2892" s="271" t="str">
        <f>IFERROR(__xludf.DUMMYFUNCTION("""COMPUTED_VALUE"""),"貓狗企鵝")</f>
        <v>貓狗企鵝</v>
      </c>
      <c r="J2892" t="str">
        <f>IFERROR(__xludf.DUMMYFUNCTION("IFS(
  AND(REGEXMATCH(E2892, ""台銀籌備帳戶|玉山帳戶""), REGEXMATCH(C2892, ""薪資"")), ""分潤支出"",
  AND(REGEXMATCH(E2892, ""Ben帳戶|Elsa帳戶|Ben代墊|Ariel代墊|中信銀行共用""), REGEXMATCH(F2892, ""Ben帳戶|Elsa帳戶|Ben代墊|Ariel代墊|中信銀行共用"")), ""內部轉帳(忽略)"",
  AND(E2892&lt;&gt;"""", F2892&lt;&gt;"""", N"&amp;"OT(REGEXMATCH(C2892, ""薪資""))), ""內部轉帳(忽略)"",
  REGEXMATCH(C2892, ""薪資""), ""薪資變動(不計入)"",
  REGEXMATCH(C2892, ""押金""), ""押金往來"",
  AND(E2892&lt;&gt;"""", F2892=""""), ""真實支出"",
  AND(E2892="""", F2892&lt;&gt;""""), ""真實收入"",
  TRUE, ""其他""
)"),"真實收入")</f>
        <v>真實收入</v>
      </c>
      <c r="K2892" s="270">
        <f t="shared" si="2"/>
        <v>11000</v>
      </c>
      <c r="L2892">
        <f t="shared" si="3"/>
        <v>0</v>
      </c>
    </row>
    <row r="2893">
      <c r="A2893" s="107">
        <f>IFERROR(__xludf.DUMMYFUNCTION("""COMPUTED_VALUE"""),45985.0)</f>
        <v>45985</v>
      </c>
      <c r="B2893" t="str">
        <f>IFERROR(__xludf.DUMMYFUNCTION("""COMPUTED_VALUE"""),"費用 - 匯費 對方行:012 後五碼:22931 (行號: 17)")</f>
        <v>費用 - 匯費 對方行:012 後五碼:22931 (行號: 17)</v>
      </c>
      <c r="C2893" t="str">
        <f>IFERROR(__xludf.DUMMYFUNCTION("""COMPUTED_VALUE"""),"費用 - 匯費")</f>
        <v>費用 - 匯費</v>
      </c>
      <c r="D2893" s="270">
        <f>IFERROR(__xludf.DUMMYFUNCTION("""COMPUTED_VALUE"""),-15.0)</f>
        <v>-15</v>
      </c>
      <c r="E2893" t="str">
        <f>IFERROR(__xludf.DUMMYFUNCTION("""COMPUTED_VALUE"""),"台銀籌備帳戶")</f>
        <v>台銀籌備帳戶</v>
      </c>
      <c r="H2893" s="106" t="str">
        <f t="shared" si="1"/>
        <v>2025-11</v>
      </c>
      <c r="I2893" s="271" t="str">
        <f>IFERROR(__xludf.DUMMYFUNCTION("""COMPUTED_VALUE"""),"貓狗企鵝")</f>
        <v>貓狗企鵝</v>
      </c>
      <c r="J2893" t="str">
        <f>IFERROR(__xludf.DUMMYFUNCTION("IFS(
  AND(REGEXMATCH(E2893, ""台銀籌備帳戶|玉山帳戶""), REGEXMATCH(C2893, ""薪資"")), ""分潤支出"",
  AND(REGEXMATCH(E2893, ""Ben帳戶|Elsa帳戶|Ben代墊|Ariel代墊|中信銀行共用""), REGEXMATCH(F2893, ""Ben帳戶|Elsa帳戶|Ben代墊|Ariel代墊|中信銀行共用"")), ""內部轉帳(忽略)"",
  AND(E2893&lt;&gt;"""", F2893&lt;&gt;"""", N"&amp;"OT(REGEXMATCH(C2893, ""薪資""))), ""內部轉帳(忽略)"",
  REGEXMATCH(C2893, ""薪資""), ""薪資變動(不計入)"",
  REGEXMATCH(C2893, ""押金""), ""押金往來"",
  AND(E2893&lt;&gt;"""", F2893=""""), ""真實支出"",
  AND(E2893="""", F2893&lt;&gt;""""), ""真實收入"",
  TRUE, ""其他""
)"),"真實支出")</f>
        <v>真實支出</v>
      </c>
      <c r="K2893" s="270">
        <f t="shared" si="2"/>
        <v>-15</v>
      </c>
      <c r="L2893">
        <f t="shared" si="3"/>
        <v>0</v>
      </c>
    </row>
    <row r="2894">
      <c r="A2894" s="107">
        <f>IFERROR(__xludf.DUMMYFUNCTION("""COMPUTED_VALUE"""),45985.0)</f>
        <v>45985</v>
      </c>
      <c r="B2894" t="str">
        <f>IFERROR(__xludf.DUMMYFUNCTION("""COMPUTED_VALUE"""),"Assari 床")</f>
        <v>Assari 床</v>
      </c>
      <c r="C2894" t="str">
        <f>IFERROR(__xludf.DUMMYFUNCTION("""COMPUTED_VALUE"""),"成本 - 進場前裝潢費")</f>
        <v>成本 - 進場前裝潢費</v>
      </c>
      <c r="D2894" s="270">
        <f>IFERROR(__xludf.DUMMYFUNCTION("""COMPUTED_VALUE"""),-12000.0)</f>
        <v>-12000</v>
      </c>
      <c r="E2894" t="str">
        <f>IFERROR(__xludf.DUMMYFUNCTION("""COMPUTED_VALUE"""),"台銀籌備帳戶")</f>
        <v>台銀籌備帳戶</v>
      </c>
      <c r="G2894" t="str">
        <f>IFERROR(__xludf.DUMMYFUNCTION("""COMPUTED_VALUE"""),"永春四號")</f>
        <v>永春四號</v>
      </c>
      <c r="H2894" s="106" t="str">
        <f t="shared" si="1"/>
        <v>2025-11</v>
      </c>
      <c r="I2894" s="271" t="str">
        <f>IFERROR(__xludf.DUMMYFUNCTION("""COMPUTED_VALUE"""),"貓狗企鵝")</f>
        <v>貓狗企鵝</v>
      </c>
      <c r="J2894" t="str">
        <f>IFERROR(__xludf.DUMMYFUNCTION("IFS(
  AND(REGEXMATCH(E2894, ""台銀籌備帳戶|玉山帳戶""), REGEXMATCH(C2894, ""薪資"")), ""分潤支出"",
  AND(REGEXMATCH(E2894, ""Ben帳戶|Elsa帳戶|Ben代墊|Ariel代墊|中信銀行共用""), REGEXMATCH(F2894, ""Ben帳戶|Elsa帳戶|Ben代墊|Ariel代墊|中信銀行共用"")), ""內部轉帳(忽略)"",
  AND(E2894&lt;&gt;"""", F2894&lt;&gt;"""", N"&amp;"OT(REGEXMATCH(C2894, ""薪資""))), ""內部轉帳(忽略)"",
  REGEXMATCH(C2894, ""薪資""), ""薪資變動(不計入)"",
  REGEXMATCH(C2894, ""押金""), ""押金往來"",
  AND(E2894&lt;&gt;"""", F2894=""""), ""真實支出"",
  AND(E2894="""", F2894&lt;&gt;""""), ""真實收入"",
  TRUE, ""其他""
)"),"真實支出")</f>
        <v>真實支出</v>
      </c>
      <c r="K2894" s="270">
        <f t="shared" si="2"/>
        <v>-12000</v>
      </c>
      <c r="L2894">
        <f t="shared" si="3"/>
        <v>0</v>
      </c>
    </row>
    <row r="2895">
      <c r="A2895" s="107">
        <f>IFERROR(__xludf.DUMMYFUNCTION("""COMPUTED_VALUE"""),45988.0)</f>
        <v>45988</v>
      </c>
      <c r="B2895" t="str">
        <f>IFERROR(__xludf.DUMMYFUNCTION("""COMPUTED_VALUE"""),"[景安2分鐘] E [楊惠閔] 月租金 後五碼:75759 (行號: 18)")</f>
        <v>[景安2分鐘] E [楊惠閔] 月租金 後五碼:75759 (行號: 18)</v>
      </c>
      <c r="C2895" t="str">
        <f>IFERROR(__xludf.DUMMYFUNCTION("""COMPUTED_VALUE"""),"收入 - 租金")</f>
        <v>收入 - 租金</v>
      </c>
      <c r="D2895" s="270">
        <f>IFERROR(__xludf.DUMMYFUNCTION("""COMPUTED_VALUE"""),10500.0)</f>
        <v>10500</v>
      </c>
      <c r="F2895" t="str">
        <f>IFERROR(__xludf.DUMMYFUNCTION("""COMPUTED_VALUE"""),"台銀籌備帳戶")</f>
        <v>台銀籌備帳戶</v>
      </c>
      <c r="G2895" t="str">
        <f>IFERROR(__xludf.DUMMYFUNCTION("""COMPUTED_VALUE"""),"景安2分鐘")</f>
        <v>景安2分鐘</v>
      </c>
      <c r="H2895" s="106" t="str">
        <f t="shared" si="1"/>
        <v>2025-11</v>
      </c>
      <c r="I2895" s="271" t="str">
        <f>IFERROR(__xludf.DUMMYFUNCTION("""COMPUTED_VALUE"""),"貓狗企鵝")</f>
        <v>貓狗企鵝</v>
      </c>
      <c r="J2895" t="str">
        <f>IFERROR(__xludf.DUMMYFUNCTION("IFS(
  AND(REGEXMATCH(E2895, ""台銀籌備帳戶|玉山帳戶""), REGEXMATCH(C2895, ""薪資"")), ""分潤支出"",
  AND(REGEXMATCH(E2895, ""Ben帳戶|Elsa帳戶|Ben代墊|Ariel代墊|中信銀行共用""), REGEXMATCH(F2895, ""Ben帳戶|Elsa帳戶|Ben代墊|Ariel代墊|中信銀行共用"")), ""內部轉帳(忽略)"",
  AND(E2895&lt;&gt;"""", F2895&lt;&gt;"""", N"&amp;"OT(REGEXMATCH(C2895, ""薪資""))), ""內部轉帳(忽略)"",
  REGEXMATCH(C2895, ""薪資""), ""薪資變動(不計入)"",
  REGEXMATCH(C2895, ""押金""), ""押金往來"",
  AND(E2895&lt;&gt;"""", F2895=""""), ""真實支出"",
  AND(E2895="""", F2895&lt;&gt;""""), ""真實收入"",
  TRUE, ""其他""
)"),"真實收入")</f>
        <v>真實收入</v>
      </c>
      <c r="K2895" s="270">
        <f t="shared" si="2"/>
        <v>10500</v>
      </c>
      <c r="L2895">
        <f t="shared" si="3"/>
        <v>0</v>
      </c>
    </row>
    <row r="2896">
      <c r="A2896" s="107">
        <f>IFERROR(__xludf.DUMMYFUNCTION("""COMPUTED_VALUE"""),45989.0)</f>
        <v>45989</v>
      </c>
      <c r="B2896" t="str">
        <f>IFERROR(__xludf.DUMMYFUNCTION("""COMPUTED_VALUE"""),"財團法人中 匯 ' 笨蛋Ben填錯帳戶")</f>
        <v>財團法人中 匯 ' 笨蛋Ben填錯帳戶</v>
      </c>
      <c r="C2896" t="str">
        <f>IFERROR(__xludf.DUMMYFUNCTION("""COMPUTED_VALUE"""),"收入 - 其他")</f>
        <v>收入 - 其他</v>
      </c>
      <c r="D2896" s="270">
        <f>IFERROR(__xludf.DUMMYFUNCTION("""COMPUTED_VALUE"""),36250.0)</f>
        <v>36250</v>
      </c>
      <c r="F2896" t="str">
        <f>IFERROR(__xludf.DUMMYFUNCTION("""COMPUTED_VALUE"""),"台銀籌備帳戶")</f>
        <v>台銀籌備帳戶</v>
      </c>
      <c r="G2896" t="str">
        <f>IFERROR(__xludf.DUMMYFUNCTION("""COMPUTED_VALUE"""),"無法分類")</f>
        <v>無法分類</v>
      </c>
      <c r="H2896" s="106" t="str">
        <f t="shared" si="1"/>
        <v>2025-11</v>
      </c>
      <c r="I2896" s="271" t="str">
        <f>IFERROR(__xludf.DUMMYFUNCTION("""COMPUTED_VALUE"""),"貓狗企鵝")</f>
        <v>貓狗企鵝</v>
      </c>
      <c r="J2896" t="str">
        <f>IFERROR(__xludf.DUMMYFUNCTION("IFS(
  AND(REGEXMATCH(E2896, ""台銀籌備帳戶|玉山帳戶""), REGEXMATCH(C2896, ""薪資"")), ""分潤支出"",
  AND(REGEXMATCH(E2896, ""Ben帳戶|Elsa帳戶|Ben代墊|Ariel代墊|中信銀行共用""), REGEXMATCH(F2896, ""Ben帳戶|Elsa帳戶|Ben代墊|Ariel代墊|中信銀行共用"")), ""內部轉帳(忽略)"",
  AND(E2896&lt;&gt;"""", F2896&lt;&gt;"""", N"&amp;"OT(REGEXMATCH(C2896, ""薪資""))), ""內部轉帳(忽略)"",
  REGEXMATCH(C2896, ""薪資""), ""薪資變動(不計入)"",
  REGEXMATCH(C2896, ""押金""), ""押金往來"",
  AND(E2896&lt;&gt;"""", F2896=""""), ""真實支出"",
  AND(E2896="""", F2896&lt;&gt;""""), ""真實收入"",
  TRUE, ""其他""
)"),"真實收入")</f>
        <v>真實收入</v>
      </c>
      <c r="K2896" s="270">
        <f t="shared" si="2"/>
        <v>36250</v>
      </c>
      <c r="L2896">
        <f t="shared" si="3"/>
        <v>0</v>
      </c>
    </row>
    <row r="2897">
      <c r="A2897" s="107">
        <f>IFERROR(__xludf.DUMMYFUNCTION("""COMPUTED_VALUE"""),45989.0)</f>
        <v>45989</v>
      </c>
      <c r="B2897" t="str">
        <f>IFERROR(__xludf.DUMMYFUNCTION("""COMPUTED_VALUE"""),"費用 - 匯費 對方行:803 後五碼:08986 (行號: 20)")</f>
        <v>費用 - 匯費 對方行:803 後五碼:08986 (行號: 20)</v>
      </c>
      <c r="C2897" t="str">
        <f>IFERROR(__xludf.DUMMYFUNCTION("""COMPUTED_VALUE"""),"費用 - 匯費")</f>
        <v>費用 - 匯費</v>
      </c>
      <c r="D2897" s="270">
        <f>IFERROR(__xludf.DUMMYFUNCTION("""COMPUTED_VALUE"""),-15.0)</f>
        <v>-15</v>
      </c>
      <c r="E2897" t="str">
        <f>IFERROR(__xludf.DUMMYFUNCTION("""COMPUTED_VALUE"""),"台銀籌備帳戶")</f>
        <v>台銀籌備帳戶</v>
      </c>
      <c r="H2897" s="106" t="str">
        <f t="shared" si="1"/>
        <v>2025-11</v>
      </c>
      <c r="I2897" s="271" t="str">
        <f>IFERROR(__xludf.DUMMYFUNCTION("""COMPUTED_VALUE"""),"貓狗企鵝")</f>
        <v>貓狗企鵝</v>
      </c>
      <c r="J2897" t="str">
        <f>IFERROR(__xludf.DUMMYFUNCTION("IFS(
  AND(REGEXMATCH(E2897, ""台銀籌備帳戶|玉山帳戶""), REGEXMATCH(C2897, ""薪資"")), ""分潤支出"",
  AND(REGEXMATCH(E2897, ""Ben帳戶|Elsa帳戶|Ben代墊|Ariel代墊|中信銀行共用""), REGEXMATCH(F2897, ""Ben帳戶|Elsa帳戶|Ben代墊|Ariel代墊|中信銀行共用"")), ""內部轉帳(忽略)"",
  AND(E2897&lt;&gt;"""", F2897&lt;&gt;"""", N"&amp;"OT(REGEXMATCH(C2897, ""薪資""))), ""內部轉帳(忽略)"",
  REGEXMATCH(C2897, ""薪資""), ""薪資變動(不計入)"",
  REGEXMATCH(C2897, ""押金""), ""押金往來"",
  AND(E2897&lt;&gt;"""", F2897=""""), ""真實支出"",
  AND(E2897="""", F2897&lt;&gt;""""), ""真實收入"",
  TRUE, ""其他""
)"),"真實支出")</f>
        <v>真實支出</v>
      </c>
      <c r="K2897" s="270">
        <f t="shared" si="2"/>
        <v>-15</v>
      </c>
      <c r="L2897">
        <f t="shared" si="3"/>
        <v>0</v>
      </c>
    </row>
    <row r="2898">
      <c r="A2898" s="107">
        <f>IFERROR(__xludf.DUMMYFUNCTION("""COMPUTED_VALUE"""),45989.0)</f>
        <v>45989</v>
      </c>
      <c r="B2898" t="str">
        <f>IFERROR(__xludf.DUMMYFUNCTION("""COMPUTED_VALUE"""),"哇來收垃圾代收 ' 【未分類支出】")</f>
        <v>哇來收垃圾代收 ' 【未分類支出】</v>
      </c>
      <c r="C2898" t="str">
        <f>IFERROR(__xludf.DUMMYFUNCTION("""COMPUTED_VALUE"""),"成本 - 固定開銷(網路代收清潔)")</f>
        <v>成本 - 固定開銷(網路代收清潔)</v>
      </c>
      <c r="D2898" s="270">
        <f>IFERROR(__xludf.DUMMYFUNCTION("""COMPUTED_VALUE"""),-1013.0)</f>
        <v>-1013</v>
      </c>
      <c r="E2898" t="str">
        <f>IFERROR(__xludf.DUMMYFUNCTION("""COMPUTED_VALUE"""),"台銀籌備帳戶")</f>
        <v>台銀籌備帳戶</v>
      </c>
      <c r="H2898" s="106" t="str">
        <f t="shared" si="1"/>
        <v>2025-11</v>
      </c>
      <c r="I2898" s="271" t="str">
        <f>IFERROR(__xludf.DUMMYFUNCTION("""COMPUTED_VALUE"""),"貓狗企鵝")</f>
        <v>貓狗企鵝</v>
      </c>
      <c r="J2898" t="str">
        <f>IFERROR(__xludf.DUMMYFUNCTION("IFS(
  AND(REGEXMATCH(E2898, ""台銀籌備帳戶|玉山帳戶""), REGEXMATCH(C2898, ""薪資"")), ""分潤支出"",
  AND(REGEXMATCH(E2898, ""Ben帳戶|Elsa帳戶|Ben代墊|Ariel代墊|中信銀行共用""), REGEXMATCH(F2898, ""Ben帳戶|Elsa帳戶|Ben代墊|Ariel代墊|中信銀行共用"")), ""內部轉帳(忽略)"",
  AND(E2898&lt;&gt;"""", F2898&lt;&gt;"""", N"&amp;"OT(REGEXMATCH(C2898, ""薪資""))), ""內部轉帳(忽略)"",
  REGEXMATCH(C2898, ""薪資""), ""薪資變動(不計入)"",
  REGEXMATCH(C2898, ""押金""), ""押金往來"",
  AND(E2898&lt;&gt;"""", F2898=""""), ""真實支出"",
  AND(E2898="""", F2898&lt;&gt;""""), ""真實收入"",
  TRUE, ""其他""
)"),"真實支出")</f>
        <v>真實支出</v>
      </c>
      <c r="K2898" s="270">
        <f t="shared" si="2"/>
        <v>-1013</v>
      </c>
      <c r="L2898">
        <f t="shared" si="3"/>
        <v>0</v>
      </c>
    </row>
    <row r="2899">
      <c r="A2899" s="107">
        <f>IFERROR(__xludf.DUMMYFUNCTION("""COMPUTED_VALUE"""),45990.0)</f>
        <v>45990</v>
      </c>
      <c r="B2899" t="str">
        <f>IFERROR(__xludf.DUMMYFUNCTION("""COMPUTED_VALUE"""),"807A101XXXX84909 076971000' 【RoomC老鼠人 後五碼:84909 (行號: 21)】")</f>
        <v>807A101XXXX84909 076971000' 【RoomC老鼠人 後五碼:84909 (行號: 21)】</v>
      </c>
      <c r="C2899" t="str">
        <f>IFERROR(__xludf.DUMMYFUNCTION("""COMPUTED_VALUE"""),"收入 - 其他")</f>
        <v>收入 - 其他</v>
      </c>
      <c r="D2899" s="270">
        <f>IFERROR(__xludf.DUMMYFUNCTION("""COMPUTED_VALUE"""),11500.0)</f>
        <v>11500</v>
      </c>
      <c r="F2899" t="str">
        <f>IFERROR(__xludf.DUMMYFUNCTION("""COMPUTED_VALUE"""),"台銀籌備帳戶")</f>
        <v>台銀籌備帳戶</v>
      </c>
      <c r="G2899" t="str">
        <f>IFERROR(__xludf.DUMMYFUNCTION("""COMPUTED_VALUE"""),"中山北Feli家")</f>
        <v>中山北Feli家</v>
      </c>
      <c r="H2899" s="106" t="str">
        <f t="shared" si="1"/>
        <v>2025-11</v>
      </c>
      <c r="I2899" s="271" t="str">
        <f>IFERROR(__xludf.DUMMYFUNCTION("""COMPUTED_VALUE"""),"貓狗企鵝")</f>
        <v>貓狗企鵝</v>
      </c>
      <c r="J2899" t="str">
        <f>IFERROR(__xludf.DUMMYFUNCTION("IFS(
  AND(REGEXMATCH(E2899, ""台銀籌備帳戶|玉山帳戶""), REGEXMATCH(C2899, ""薪資"")), ""分潤支出"",
  AND(REGEXMATCH(E2899, ""Ben帳戶|Elsa帳戶|Ben代墊|Ariel代墊|中信銀行共用""), REGEXMATCH(F2899, ""Ben帳戶|Elsa帳戶|Ben代墊|Ariel代墊|中信銀行共用"")), ""內部轉帳(忽略)"",
  AND(E2899&lt;&gt;"""", F2899&lt;&gt;"""", N"&amp;"OT(REGEXMATCH(C2899, ""薪資""))), ""內部轉帳(忽略)"",
  REGEXMATCH(C2899, ""薪資""), ""薪資變動(不計入)"",
  REGEXMATCH(C2899, ""押金""), ""押金往來"",
  AND(E2899&lt;&gt;"""", F2899=""""), ""真實支出"",
  AND(E2899="""", F2899&lt;&gt;""""), ""真實收入"",
  TRUE, ""其他""
)"),"真實收入")</f>
        <v>真實收入</v>
      </c>
      <c r="K2899" s="270">
        <f t="shared" si="2"/>
        <v>11500</v>
      </c>
      <c r="L2899">
        <f t="shared" si="3"/>
        <v>0</v>
      </c>
    </row>
    <row r="2900">
      <c r="A2900" s="107">
        <f>IFERROR(__xludf.DUMMYFUNCTION("""COMPUTED_VALUE"""),45990.0)</f>
        <v>45990</v>
      </c>
      <c r="B2900" t="str">
        <f>IFERROR(__xludf.DUMMYFUNCTION("""COMPUTED_VALUE"""),"[大湖山莊] C [姚伯謙] 月租金 後五碼:54655 (行號: 22)")</f>
        <v>[大湖山莊] C [姚伯謙] 月租金 後五碼:54655 (行號: 22)</v>
      </c>
      <c r="C2900" t="str">
        <f>IFERROR(__xludf.DUMMYFUNCTION("""COMPUTED_VALUE"""),"收入 - 租金")</f>
        <v>收入 - 租金</v>
      </c>
      <c r="D2900" s="270">
        <f>IFERROR(__xludf.DUMMYFUNCTION("""COMPUTED_VALUE"""),18800.0)</f>
        <v>18800</v>
      </c>
      <c r="F2900" t="str">
        <f>IFERROR(__xludf.DUMMYFUNCTION("""COMPUTED_VALUE"""),"台銀籌備帳戶")</f>
        <v>台銀籌備帳戶</v>
      </c>
      <c r="G2900" t="str">
        <f>IFERROR(__xludf.DUMMYFUNCTION("""COMPUTED_VALUE"""),"大湖山莊")</f>
        <v>大湖山莊</v>
      </c>
      <c r="H2900" s="106" t="str">
        <f t="shared" si="1"/>
        <v>2025-11</v>
      </c>
      <c r="I2900" s="271" t="str">
        <f>IFERROR(__xludf.DUMMYFUNCTION("""COMPUTED_VALUE"""),"貓狗企鵝")</f>
        <v>貓狗企鵝</v>
      </c>
      <c r="J2900" t="str">
        <f>IFERROR(__xludf.DUMMYFUNCTION("IFS(
  AND(REGEXMATCH(E2900, ""台銀籌備帳戶|玉山帳戶""), REGEXMATCH(C2900, ""薪資"")), ""分潤支出"",
  AND(REGEXMATCH(E2900, ""Ben帳戶|Elsa帳戶|Ben代墊|Ariel代墊|中信銀行共用""), REGEXMATCH(F2900, ""Ben帳戶|Elsa帳戶|Ben代墊|Ariel代墊|中信銀行共用"")), ""內部轉帳(忽略)"",
  AND(E2900&lt;&gt;"""", F2900&lt;&gt;"""", N"&amp;"OT(REGEXMATCH(C2900, ""薪資""))), ""內部轉帳(忽略)"",
  REGEXMATCH(C2900, ""薪資""), ""薪資變動(不計入)"",
  REGEXMATCH(C2900, ""押金""), ""押金往來"",
  AND(E2900&lt;&gt;"""", F2900=""""), ""真實支出"",
  AND(E2900="""", F2900&lt;&gt;""""), ""真實收入"",
  TRUE, ""其他""
)"),"真實收入")</f>
        <v>真實收入</v>
      </c>
      <c r="K2900" s="270">
        <f t="shared" si="2"/>
        <v>18800</v>
      </c>
      <c r="L2900">
        <f t="shared" si="3"/>
        <v>0</v>
      </c>
    </row>
    <row r="2901">
      <c r="A2901" s="107">
        <f>IFERROR(__xludf.DUMMYFUNCTION("""COMPUTED_VALUE"""),45991.0)</f>
        <v>45991</v>
      </c>
      <c r="B2901" t="str">
        <f>IFERROR(__xludf.DUMMYFUNCTION("""COMPUTED_VALUE"""),"[南港站挑高宅] A [莊以祺] 月租金 後五碼:15361 (行號: 23)")</f>
        <v>[南港站挑高宅] A [莊以祺] 月租金 後五碼:15361 (行號: 23)</v>
      </c>
      <c r="C2901" t="str">
        <f>IFERROR(__xludf.DUMMYFUNCTION("""COMPUTED_VALUE"""),"收入 - 租金")</f>
        <v>收入 - 租金</v>
      </c>
      <c r="D2901" s="270">
        <f>IFERROR(__xludf.DUMMYFUNCTION("""COMPUTED_VALUE"""),13000.0)</f>
        <v>13000</v>
      </c>
      <c r="F2901" t="str">
        <f>IFERROR(__xludf.DUMMYFUNCTION("""COMPUTED_VALUE"""),"台銀籌備帳戶")</f>
        <v>台銀籌備帳戶</v>
      </c>
      <c r="G2901" t="str">
        <f>IFERROR(__xludf.DUMMYFUNCTION("""COMPUTED_VALUE"""),"南港站挑高宅")</f>
        <v>南港站挑高宅</v>
      </c>
      <c r="H2901" s="106" t="str">
        <f t="shared" si="1"/>
        <v>2025-11</v>
      </c>
      <c r="I2901" s="271" t="str">
        <f>IFERROR(__xludf.DUMMYFUNCTION("""COMPUTED_VALUE"""),"貓狗企鵝")</f>
        <v>貓狗企鵝</v>
      </c>
      <c r="J2901" t="str">
        <f>IFERROR(__xludf.DUMMYFUNCTION("IFS(
  AND(REGEXMATCH(E2901, ""台銀籌備帳戶|玉山帳戶""), REGEXMATCH(C2901, ""薪資"")), ""分潤支出"",
  AND(REGEXMATCH(E2901, ""Ben帳戶|Elsa帳戶|Ben代墊|Ariel代墊|中信銀行共用""), REGEXMATCH(F2901, ""Ben帳戶|Elsa帳戶|Ben代墊|Ariel代墊|中信銀行共用"")), ""內部轉帳(忽略)"",
  AND(E2901&lt;&gt;"""", F2901&lt;&gt;"""", N"&amp;"OT(REGEXMATCH(C2901, ""薪資""))), ""內部轉帳(忽略)"",
  REGEXMATCH(C2901, ""薪資""), ""薪資變動(不計入)"",
  REGEXMATCH(C2901, ""押金""), ""押金往來"",
  AND(E2901&lt;&gt;"""", F2901=""""), ""真實支出"",
  AND(E2901="""", F2901&lt;&gt;""""), ""真實收入"",
  TRUE, ""其他""
)"),"真實收入")</f>
        <v>真實收入</v>
      </c>
      <c r="K2901" s="270">
        <f t="shared" si="2"/>
        <v>13000</v>
      </c>
      <c r="L2901">
        <f t="shared" si="3"/>
        <v>0</v>
      </c>
    </row>
    <row r="2902">
      <c r="A2902" s="107">
        <f>IFERROR(__xludf.DUMMYFUNCTION("""COMPUTED_VALUE"""),45991.0)</f>
        <v>45991</v>
      </c>
      <c r="B2902" t="str">
        <f>IFERROR(__xludf.DUMMYFUNCTION("""COMPUTED_VALUE"""),"[金龍帽子先生] A [何佩勳] 月租金 後五碼:70383 (行號: 24)")</f>
        <v>[金龍帽子先生] A [何佩勳] 月租金 後五碼:70383 (行號: 24)</v>
      </c>
      <c r="C2902" t="str">
        <f>IFERROR(__xludf.DUMMYFUNCTION("""COMPUTED_VALUE"""),"收入 - 租金")</f>
        <v>收入 - 租金</v>
      </c>
      <c r="D2902" s="270">
        <f>IFERROR(__xludf.DUMMYFUNCTION("""COMPUTED_VALUE"""),17200.0)</f>
        <v>17200</v>
      </c>
      <c r="F2902" t="str">
        <f>IFERROR(__xludf.DUMMYFUNCTION("""COMPUTED_VALUE"""),"台銀籌備帳戶")</f>
        <v>台銀籌備帳戶</v>
      </c>
      <c r="G2902" t="str">
        <f>IFERROR(__xludf.DUMMYFUNCTION("""COMPUTED_VALUE"""),"金龍帽子先生")</f>
        <v>金龍帽子先生</v>
      </c>
      <c r="H2902" s="106" t="str">
        <f t="shared" si="1"/>
        <v>2025-11</v>
      </c>
      <c r="I2902" s="271" t="str">
        <f>IFERROR(__xludf.DUMMYFUNCTION("""COMPUTED_VALUE"""),"貓狗企鵝")</f>
        <v>貓狗企鵝</v>
      </c>
      <c r="J2902" t="str">
        <f>IFERROR(__xludf.DUMMYFUNCTION("IFS(
  AND(REGEXMATCH(E2902, ""台銀籌備帳戶|玉山帳戶""), REGEXMATCH(C2902, ""薪資"")), ""分潤支出"",
  AND(REGEXMATCH(E2902, ""Ben帳戶|Elsa帳戶|Ben代墊|Ariel代墊|中信銀行共用""), REGEXMATCH(F2902, ""Ben帳戶|Elsa帳戶|Ben代墊|Ariel代墊|中信銀行共用"")), ""內部轉帳(忽略)"",
  AND(E2902&lt;&gt;"""", F2902&lt;&gt;"""", N"&amp;"OT(REGEXMATCH(C2902, ""薪資""))), ""內部轉帳(忽略)"",
  REGEXMATCH(C2902, ""薪資""), ""薪資變動(不計入)"",
  REGEXMATCH(C2902, ""押金""), ""押金往來"",
  AND(E2902&lt;&gt;"""", F2902=""""), ""真實支出"",
  AND(E2902="""", F2902&lt;&gt;""""), ""真實收入"",
  TRUE, ""其他""
)"),"真實收入")</f>
        <v>真實收入</v>
      </c>
      <c r="K2902" s="270">
        <f t="shared" si="2"/>
        <v>17200</v>
      </c>
      <c r="L2902">
        <f t="shared" si="3"/>
        <v>0</v>
      </c>
    </row>
    <row r="2903">
      <c r="A2903" s="107">
        <f>IFERROR(__xludf.DUMMYFUNCTION("""COMPUTED_VALUE"""),45991.0)</f>
        <v>45991</v>
      </c>
      <c r="B2903" t="str">
        <f>IFERROR(__xludf.DUMMYFUNCTION("""COMPUTED_VALUE"""),"[北醫醫師府] A [吳緯程] 月租金 後五碼:94132 (行號: 25)")</f>
        <v>[北醫醫師府] A [吳緯程] 月租金 後五碼:94132 (行號: 25)</v>
      </c>
      <c r="C2903" t="str">
        <f>IFERROR(__xludf.DUMMYFUNCTION("""COMPUTED_VALUE"""),"收入 - 租金")</f>
        <v>收入 - 租金</v>
      </c>
      <c r="D2903" s="270">
        <f>IFERROR(__xludf.DUMMYFUNCTION("""COMPUTED_VALUE"""),13000.0)</f>
        <v>13000</v>
      </c>
      <c r="F2903" t="str">
        <f>IFERROR(__xludf.DUMMYFUNCTION("""COMPUTED_VALUE"""),"台銀籌備帳戶")</f>
        <v>台銀籌備帳戶</v>
      </c>
      <c r="G2903" t="str">
        <f>IFERROR(__xludf.DUMMYFUNCTION("""COMPUTED_VALUE"""),"北醫醫師府")</f>
        <v>北醫醫師府</v>
      </c>
      <c r="H2903" s="106" t="str">
        <f t="shared" si="1"/>
        <v>2025-11</v>
      </c>
      <c r="I2903" s="271" t="str">
        <f>IFERROR(__xludf.DUMMYFUNCTION("""COMPUTED_VALUE"""),"貓狗企鵝")</f>
        <v>貓狗企鵝</v>
      </c>
      <c r="J2903" t="str">
        <f>IFERROR(__xludf.DUMMYFUNCTION("IFS(
  AND(REGEXMATCH(E2903, ""台銀籌備帳戶|玉山帳戶""), REGEXMATCH(C2903, ""薪資"")), ""分潤支出"",
  AND(REGEXMATCH(E2903, ""Ben帳戶|Elsa帳戶|Ben代墊|Ariel代墊|中信銀行共用""), REGEXMATCH(F2903, ""Ben帳戶|Elsa帳戶|Ben代墊|Ariel代墊|中信銀行共用"")), ""內部轉帳(忽略)"",
  AND(E2903&lt;&gt;"""", F2903&lt;&gt;"""", N"&amp;"OT(REGEXMATCH(C2903, ""薪資""))), ""內部轉帳(忽略)"",
  REGEXMATCH(C2903, ""薪資""), ""薪資變動(不計入)"",
  REGEXMATCH(C2903, ""押金""), ""押金往來"",
  AND(E2903&lt;&gt;"""", F2903=""""), ""真實支出"",
  AND(E2903="""", F2903&lt;&gt;""""), ""真實收入"",
  TRUE, ""其他""
)"),"真實收入")</f>
        <v>真實收入</v>
      </c>
      <c r="K2903" s="270">
        <f t="shared" si="2"/>
        <v>13000</v>
      </c>
      <c r="L2903">
        <f t="shared" si="3"/>
        <v>0</v>
      </c>
    </row>
    <row r="2904">
      <c r="A2904" s="107">
        <f>IFERROR(__xludf.DUMMYFUNCTION("""COMPUTED_VALUE"""),45991.0)</f>
        <v>45991</v>
      </c>
      <c r="B2904" t="str">
        <f>IFERROR(__xludf.DUMMYFUNCTION("""COMPUTED_VALUE"""),"[大湖山莊] B [魏敬軒] 月租金 後五碼:57386 (行號: 26)")</f>
        <v>[大湖山莊] B [魏敬軒] 月租金 後五碼:57386 (行號: 26)</v>
      </c>
      <c r="C2904" t="str">
        <f>IFERROR(__xludf.DUMMYFUNCTION("""COMPUTED_VALUE"""),"收入 - 租金")</f>
        <v>收入 - 租金</v>
      </c>
      <c r="D2904" s="270">
        <f>IFERROR(__xludf.DUMMYFUNCTION("""COMPUTED_VALUE"""),12000.0)</f>
        <v>12000</v>
      </c>
      <c r="F2904" t="str">
        <f>IFERROR(__xludf.DUMMYFUNCTION("""COMPUTED_VALUE"""),"台銀籌備帳戶")</f>
        <v>台銀籌備帳戶</v>
      </c>
      <c r="G2904" t="str">
        <f>IFERROR(__xludf.DUMMYFUNCTION("""COMPUTED_VALUE"""),"大湖山莊")</f>
        <v>大湖山莊</v>
      </c>
      <c r="H2904" s="106" t="str">
        <f t="shared" si="1"/>
        <v>2025-11</v>
      </c>
      <c r="I2904" s="271" t="str">
        <f>IFERROR(__xludf.DUMMYFUNCTION("""COMPUTED_VALUE"""),"貓狗企鵝")</f>
        <v>貓狗企鵝</v>
      </c>
      <c r="J2904" t="str">
        <f>IFERROR(__xludf.DUMMYFUNCTION("IFS(
  AND(REGEXMATCH(E2904, ""台銀籌備帳戶|玉山帳戶""), REGEXMATCH(C2904, ""薪資"")), ""分潤支出"",
  AND(REGEXMATCH(E2904, ""Ben帳戶|Elsa帳戶|Ben代墊|Ariel代墊|中信銀行共用""), REGEXMATCH(F2904, ""Ben帳戶|Elsa帳戶|Ben代墊|Ariel代墊|中信銀行共用"")), ""內部轉帳(忽略)"",
  AND(E2904&lt;&gt;"""", F2904&lt;&gt;"""", N"&amp;"OT(REGEXMATCH(C2904, ""薪資""))), ""內部轉帳(忽略)"",
  REGEXMATCH(C2904, ""薪資""), ""薪資變動(不計入)"",
  REGEXMATCH(C2904, ""押金""), ""押金往來"",
  AND(E2904&lt;&gt;"""", F2904=""""), ""真實支出"",
  AND(E2904="""", F2904&lt;&gt;""""), ""真實收入"",
  TRUE, ""其他""
)"),"真實收入")</f>
        <v>真實收入</v>
      </c>
      <c r="K2904" s="270">
        <f t="shared" si="2"/>
        <v>12000</v>
      </c>
      <c r="L2904">
        <f t="shared" si="3"/>
        <v>0</v>
      </c>
    </row>
    <row r="2905">
      <c r="A2905" s="107">
        <f>IFERROR(__xludf.DUMMYFUNCTION("""COMPUTED_VALUE"""),45992.0)</f>
        <v>45992</v>
      </c>
      <c r="B2905" t="str">
        <f>IFERROR(__xludf.DUMMYFUNCTION("""COMPUTED_VALUE"""),"[南港站挑高宅] C [吳佳叡] 月租金 後五碼:15812 (行號: 27)")</f>
        <v>[南港站挑高宅] C [吳佳叡] 月租金 後五碼:15812 (行號: 27)</v>
      </c>
      <c r="C2905" t="str">
        <f>IFERROR(__xludf.DUMMYFUNCTION("""COMPUTED_VALUE"""),"收入 - 租金")</f>
        <v>收入 - 租金</v>
      </c>
      <c r="D2905" s="270">
        <f>IFERROR(__xludf.DUMMYFUNCTION("""COMPUTED_VALUE"""),15000.0)</f>
        <v>15000</v>
      </c>
      <c r="F2905" t="str">
        <f>IFERROR(__xludf.DUMMYFUNCTION("""COMPUTED_VALUE"""),"台銀籌備帳戶")</f>
        <v>台銀籌備帳戶</v>
      </c>
      <c r="G2905" t="str">
        <f>IFERROR(__xludf.DUMMYFUNCTION("""COMPUTED_VALUE"""),"南港站挑高宅")</f>
        <v>南港站挑高宅</v>
      </c>
      <c r="H2905" s="106" t="str">
        <f t="shared" si="1"/>
        <v>2025-12</v>
      </c>
      <c r="I2905" s="271" t="str">
        <f>IFERROR(__xludf.DUMMYFUNCTION("""COMPUTED_VALUE"""),"貓狗企鵝")</f>
        <v>貓狗企鵝</v>
      </c>
      <c r="J2905" t="str">
        <f>IFERROR(__xludf.DUMMYFUNCTION("IFS(
  AND(REGEXMATCH(E2905, ""台銀籌備帳戶|玉山帳戶""), REGEXMATCH(C2905, ""薪資"")), ""分潤支出"",
  AND(REGEXMATCH(E2905, ""Ben帳戶|Elsa帳戶|Ben代墊|Ariel代墊|中信銀行共用""), REGEXMATCH(F2905, ""Ben帳戶|Elsa帳戶|Ben代墊|Ariel代墊|中信銀行共用"")), ""內部轉帳(忽略)"",
  AND(E2905&lt;&gt;"""", F2905&lt;&gt;"""", N"&amp;"OT(REGEXMATCH(C2905, ""薪資""))), ""內部轉帳(忽略)"",
  REGEXMATCH(C2905, ""薪資""), ""薪資變動(不計入)"",
  REGEXMATCH(C2905, ""押金""), ""押金往來"",
  AND(E2905&lt;&gt;"""", F2905=""""), ""真實支出"",
  AND(E2905="""", F2905&lt;&gt;""""), ""真實收入"",
  TRUE, ""其他""
)"),"真實收入")</f>
        <v>真實收入</v>
      </c>
      <c r="K2905" s="270">
        <f t="shared" si="2"/>
        <v>15000</v>
      </c>
      <c r="L2905">
        <f t="shared" si="3"/>
        <v>0</v>
      </c>
    </row>
    <row r="2906">
      <c r="A2906" s="107">
        <f>IFERROR(__xludf.DUMMYFUNCTION("""COMPUTED_VALUE"""),45992.0)</f>
        <v>45992</v>
      </c>
      <c r="B2906" t="str">
        <f>IFERROR(__xludf.DUMMYFUNCTION("""COMPUTED_VALUE"""),"[景安2分鐘] D [鍾佩晶] 月租金 後五碼:60130 (行號: 28)")</f>
        <v>[景安2分鐘] D [鍾佩晶] 月租金 後五碼:60130 (行號: 28)</v>
      </c>
      <c r="C2906" t="str">
        <f>IFERROR(__xludf.DUMMYFUNCTION("""COMPUTED_VALUE"""),"收入 - 租金")</f>
        <v>收入 - 租金</v>
      </c>
      <c r="D2906" s="270">
        <f>IFERROR(__xludf.DUMMYFUNCTION("""COMPUTED_VALUE"""),8600.0)</f>
        <v>8600</v>
      </c>
      <c r="F2906" t="str">
        <f>IFERROR(__xludf.DUMMYFUNCTION("""COMPUTED_VALUE"""),"台銀籌備帳戶")</f>
        <v>台銀籌備帳戶</v>
      </c>
      <c r="G2906" t="str">
        <f>IFERROR(__xludf.DUMMYFUNCTION("""COMPUTED_VALUE"""),"景安2分鐘")</f>
        <v>景安2分鐘</v>
      </c>
      <c r="H2906" s="106" t="str">
        <f t="shared" si="1"/>
        <v>2025-12</v>
      </c>
      <c r="I2906" s="271" t="str">
        <f>IFERROR(__xludf.DUMMYFUNCTION("""COMPUTED_VALUE"""),"貓狗企鵝")</f>
        <v>貓狗企鵝</v>
      </c>
      <c r="J2906" t="str">
        <f>IFERROR(__xludf.DUMMYFUNCTION("IFS(
  AND(REGEXMATCH(E2906, ""台銀籌備帳戶|玉山帳戶""), REGEXMATCH(C2906, ""薪資"")), ""分潤支出"",
  AND(REGEXMATCH(E2906, ""Ben帳戶|Elsa帳戶|Ben代墊|Ariel代墊|中信銀行共用""), REGEXMATCH(F2906, ""Ben帳戶|Elsa帳戶|Ben代墊|Ariel代墊|中信銀行共用"")), ""內部轉帳(忽略)"",
  AND(E2906&lt;&gt;"""", F2906&lt;&gt;"""", N"&amp;"OT(REGEXMATCH(C2906, ""薪資""))), ""內部轉帳(忽略)"",
  REGEXMATCH(C2906, ""薪資""), ""薪資變動(不計入)"",
  REGEXMATCH(C2906, ""押金""), ""押金往來"",
  AND(E2906&lt;&gt;"""", F2906=""""), ""真實支出"",
  AND(E2906="""", F2906&lt;&gt;""""), ""真實收入"",
  TRUE, ""其他""
)"),"真實收入")</f>
        <v>真實收入</v>
      </c>
      <c r="K2906" s="270">
        <f t="shared" si="2"/>
        <v>8600</v>
      </c>
      <c r="L2906">
        <f t="shared" si="3"/>
        <v>0</v>
      </c>
    </row>
    <row r="2907">
      <c r="A2907" s="107">
        <f>IFERROR(__xludf.DUMMYFUNCTION("""COMPUTED_VALUE"""),45992.0)</f>
        <v>45992</v>
      </c>
      <c r="B2907" t="str">
        <f>IFERROR(__xludf.DUMMYFUNCTION("""COMPUTED_VALUE"""),"[南港站挑高宅] [林淑華] 大租金")</f>
        <v>[南港站挑高宅] [林淑華] 大租金</v>
      </c>
      <c r="C2907" t="str">
        <f>IFERROR(__xludf.DUMMYFUNCTION("""COMPUTED_VALUE"""),"成本 - 大租金")</f>
        <v>成本 - 大租金</v>
      </c>
      <c r="D2907" s="270">
        <f>IFERROR(__xludf.DUMMYFUNCTION("""COMPUTED_VALUE"""),-18250.0)</f>
        <v>-18250</v>
      </c>
      <c r="E2907" t="str">
        <f>IFERROR(__xludf.DUMMYFUNCTION("""COMPUTED_VALUE"""),"台銀籌備帳戶")</f>
        <v>台銀籌備帳戶</v>
      </c>
      <c r="G2907" t="str">
        <f>IFERROR(__xludf.DUMMYFUNCTION("""COMPUTED_VALUE"""),"南港站挑高宅")</f>
        <v>南港站挑高宅</v>
      </c>
      <c r="H2907" s="106" t="str">
        <f t="shared" si="1"/>
        <v>2025-12</v>
      </c>
      <c r="I2907" s="271" t="str">
        <f>IFERROR(__xludf.DUMMYFUNCTION("""COMPUTED_VALUE"""),"貓狗企鵝")</f>
        <v>貓狗企鵝</v>
      </c>
      <c r="J2907" t="str">
        <f>IFERROR(__xludf.DUMMYFUNCTION("IFS(
  AND(REGEXMATCH(E2907, ""台銀籌備帳戶|玉山帳戶""), REGEXMATCH(C2907, ""薪資"")), ""分潤支出"",
  AND(REGEXMATCH(E2907, ""Ben帳戶|Elsa帳戶|Ben代墊|Ariel代墊|中信銀行共用""), REGEXMATCH(F2907, ""Ben帳戶|Elsa帳戶|Ben代墊|Ariel代墊|中信銀行共用"")), ""內部轉帳(忽略)"",
  AND(E2907&lt;&gt;"""", F2907&lt;&gt;"""", N"&amp;"OT(REGEXMATCH(C2907, ""薪資""))), ""內部轉帳(忽略)"",
  REGEXMATCH(C2907, ""薪資""), ""薪資變動(不計入)"",
  REGEXMATCH(C2907, ""押金""), ""押金往來"",
  AND(E2907&lt;&gt;"""", F2907=""""), ""真實支出"",
  AND(E2907="""", F2907&lt;&gt;""""), ""真實收入"",
  TRUE, ""其他""
)"),"真實支出")</f>
        <v>真實支出</v>
      </c>
      <c r="K2907" s="270">
        <f t="shared" si="2"/>
        <v>-18250</v>
      </c>
      <c r="L2907">
        <f t="shared" si="3"/>
        <v>0</v>
      </c>
    </row>
    <row r="2908">
      <c r="A2908" s="107">
        <f>IFERROR(__xludf.DUMMYFUNCTION("""COMPUTED_VALUE"""),45992.0)</f>
        <v>45992</v>
      </c>
      <c r="B2908" t="str">
        <f>IFERROR(__xludf.DUMMYFUNCTION("""COMPUTED_VALUE"""),"[金龍帽子先生] B [謝歆俞] 月租金 後五碼:70609 (行號: 30)")</f>
        <v>[金龍帽子先生] B [謝歆俞] 月租金 後五碼:70609 (行號: 30)</v>
      </c>
      <c r="C2908" t="str">
        <f>IFERROR(__xludf.DUMMYFUNCTION("""COMPUTED_VALUE"""),"收入 - 租金")</f>
        <v>收入 - 租金</v>
      </c>
      <c r="D2908" s="270">
        <f>IFERROR(__xludf.DUMMYFUNCTION("""COMPUTED_VALUE"""),12700.0)</f>
        <v>12700</v>
      </c>
      <c r="F2908" t="str">
        <f>IFERROR(__xludf.DUMMYFUNCTION("""COMPUTED_VALUE"""),"台銀籌備帳戶")</f>
        <v>台銀籌備帳戶</v>
      </c>
      <c r="G2908" t="str">
        <f>IFERROR(__xludf.DUMMYFUNCTION("""COMPUTED_VALUE"""),"金龍帽子先生")</f>
        <v>金龍帽子先生</v>
      </c>
      <c r="H2908" s="106" t="str">
        <f t="shared" si="1"/>
        <v>2025-12</v>
      </c>
      <c r="I2908" s="271" t="str">
        <f>IFERROR(__xludf.DUMMYFUNCTION("""COMPUTED_VALUE"""),"貓狗企鵝")</f>
        <v>貓狗企鵝</v>
      </c>
      <c r="J2908" t="str">
        <f>IFERROR(__xludf.DUMMYFUNCTION("IFS(
  AND(REGEXMATCH(E2908, ""台銀籌備帳戶|玉山帳戶""), REGEXMATCH(C2908, ""薪資"")), ""分潤支出"",
  AND(REGEXMATCH(E2908, ""Ben帳戶|Elsa帳戶|Ben代墊|Ariel代墊|中信銀行共用""), REGEXMATCH(F2908, ""Ben帳戶|Elsa帳戶|Ben代墊|Ariel代墊|中信銀行共用"")), ""內部轉帳(忽略)"",
  AND(E2908&lt;&gt;"""", F2908&lt;&gt;"""", N"&amp;"OT(REGEXMATCH(C2908, ""薪資""))), ""內部轉帳(忽略)"",
  REGEXMATCH(C2908, ""薪資""), ""薪資變動(不計入)"",
  REGEXMATCH(C2908, ""押金""), ""押金往來"",
  AND(E2908&lt;&gt;"""", F2908=""""), ""真實支出"",
  AND(E2908="""", F2908&lt;&gt;""""), ""真實收入"",
  TRUE, ""其他""
)"),"真實收入")</f>
        <v>真實收入</v>
      </c>
      <c r="K2908" s="270">
        <f t="shared" si="2"/>
        <v>12700</v>
      </c>
      <c r="L2908">
        <f t="shared" si="3"/>
        <v>0</v>
      </c>
    </row>
    <row r="2909">
      <c r="A2909" s="107">
        <f>IFERROR(__xludf.DUMMYFUNCTION("""COMPUTED_VALUE"""),45992.0)</f>
        <v>45992</v>
      </c>
      <c r="B2909" t="str">
        <f>IFERROR(__xludf.DUMMYFUNCTION("""COMPUTED_VALUE"""),"費用 - 匯費 對方行:012 後五碼:84509 (行號: 31)")</f>
        <v>費用 - 匯費 對方行:012 後五碼:84509 (行號: 31)</v>
      </c>
      <c r="C2909" t="str">
        <f>IFERROR(__xludf.DUMMYFUNCTION("""COMPUTED_VALUE"""),"費用 - 匯費")</f>
        <v>費用 - 匯費</v>
      </c>
      <c r="D2909" s="270">
        <f>IFERROR(__xludf.DUMMYFUNCTION("""COMPUTED_VALUE"""),-15.0)</f>
        <v>-15</v>
      </c>
      <c r="E2909" t="str">
        <f>IFERROR(__xludf.DUMMYFUNCTION("""COMPUTED_VALUE"""),"台銀籌備帳戶")</f>
        <v>台銀籌備帳戶</v>
      </c>
      <c r="H2909" s="106" t="str">
        <f t="shared" si="1"/>
        <v>2025-12</v>
      </c>
      <c r="I2909" s="271" t="str">
        <f>IFERROR(__xludf.DUMMYFUNCTION("""COMPUTED_VALUE"""),"貓狗企鵝")</f>
        <v>貓狗企鵝</v>
      </c>
      <c r="J2909" t="str">
        <f>IFERROR(__xludf.DUMMYFUNCTION("IFS(
  AND(REGEXMATCH(E2909, ""台銀籌備帳戶|玉山帳戶""), REGEXMATCH(C2909, ""薪資"")), ""分潤支出"",
  AND(REGEXMATCH(E2909, ""Ben帳戶|Elsa帳戶|Ben代墊|Ariel代墊|中信銀行共用""), REGEXMATCH(F2909, ""Ben帳戶|Elsa帳戶|Ben代墊|Ariel代墊|中信銀行共用"")), ""內部轉帳(忽略)"",
  AND(E2909&lt;&gt;"""", F2909&lt;&gt;"""", N"&amp;"OT(REGEXMATCH(C2909, ""薪資""))), ""內部轉帳(忽略)"",
  REGEXMATCH(C2909, ""薪資""), ""薪資變動(不計入)"",
  REGEXMATCH(C2909, ""押金""), ""押金往來"",
  AND(E2909&lt;&gt;"""", F2909=""""), ""真實支出"",
  AND(E2909="""", F2909&lt;&gt;""""), ""真實收入"",
  TRUE, ""其他""
)"),"真實支出")</f>
        <v>真實支出</v>
      </c>
      <c r="K2909" s="270">
        <f t="shared" si="2"/>
        <v>-15</v>
      </c>
      <c r="L2909">
        <f t="shared" si="3"/>
        <v>0</v>
      </c>
    </row>
    <row r="2910">
      <c r="A2910" s="107">
        <f>IFERROR(__xludf.DUMMYFUNCTION("""COMPUTED_VALUE"""),45992.0)</f>
        <v>45992</v>
      </c>
      <c r="B2910" t="str">
        <f>IFERROR(__xludf.DUMMYFUNCTION("""COMPUTED_VALUE"""),"[永春四號] [郭宗仁] 大租金")</f>
        <v>[永春四號] [郭宗仁] 大租金</v>
      </c>
      <c r="C2910" t="str">
        <f>IFERROR(__xludf.DUMMYFUNCTION("""COMPUTED_VALUE"""),"成本 - 大租金")</f>
        <v>成本 - 大租金</v>
      </c>
      <c r="D2910" s="270">
        <f>IFERROR(__xludf.DUMMYFUNCTION("""COMPUTED_VALUE"""),-17000.0)</f>
        <v>-17000</v>
      </c>
      <c r="E2910" t="str">
        <f>IFERROR(__xludf.DUMMYFUNCTION("""COMPUTED_VALUE"""),"台銀籌備帳戶")</f>
        <v>台銀籌備帳戶</v>
      </c>
      <c r="G2910" t="str">
        <f>IFERROR(__xludf.DUMMYFUNCTION("""COMPUTED_VALUE"""),"永春四號")</f>
        <v>永春四號</v>
      </c>
      <c r="H2910" s="106" t="str">
        <f t="shared" si="1"/>
        <v>2025-12</v>
      </c>
      <c r="I2910" s="271" t="str">
        <f>IFERROR(__xludf.DUMMYFUNCTION("""COMPUTED_VALUE"""),"貓狗企鵝")</f>
        <v>貓狗企鵝</v>
      </c>
      <c r="J2910" t="str">
        <f>IFERROR(__xludf.DUMMYFUNCTION("IFS(
  AND(REGEXMATCH(E2910, ""台銀籌備帳戶|玉山帳戶""), REGEXMATCH(C2910, ""薪資"")), ""分潤支出"",
  AND(REGEXMATCH(E2910, ""Ben帳戶|Elsa帳戶|Ben代墊|Ariel代墊|中信銀行共用""), REGEXMATCH(F2910, ""Ben帳戶|Elsa帳戶|Ben代墊|Ariel代墊|中信銀行共用"")), ""內部轉帳(忽略)"",
  AND(E2910&lt;&gt;"""", F2910&lt;&gt;"""", N"&amp;"OT(REGEXMATCH(C2910, ""薪資""))), ""內部轉帳(忽略)"",
  REGEXMATCH(C2910, ""薪資""), ""薪資變動(不計入)"",
  REGEXMATCH(C2910, ""押金""), ""押金往來"",
  AND(E2910&lt;&gt;"""", F2910=""""), ""真實支出"",
  AND(E2910="""", F2910&lt;&gt;""""), ""真實收入"",
  TRUE, ""其他""
)"),"真實支出")</f>
        <v>真實支出</v>
      </c>
      <c r="K2910" s="270">
        <f t="shared" si="2"/>
        <v>-17000</v>
      </c>
      <c r="L2910">
        <f t="shared" si="3"/>
        <v>0</v>
      </c>
    </row>
    <row r="2911">
      <c r="A2911" s="107">
        <f>IFERROR(__xludf.DUMMYFUNCTION("""COMPUTED_VALUE"""),45992.0)</f>
        <v>45992</v>
      </c>
      <c r="B2911" t="str">
        <f>IFERROR(__xludf.DUMMYFUNCTION("""COMPUTED_VALUE"""),"費用 - 匯費 對方行:012 後五碼:46295 (行號: 32)")</f>
        <v>費用 - 匯費 對方行:012 後五碼:46295 (行號: 32)</v>
      </c>
      <c r="C2911" t="str">
        <f>IFERROR(__xludf.DUMMYFUNCTION("""COMPUTED_VALUE"""),"費用 - 匯費")</f>
        <v>費用 - 匯費</v>
      </c>
      <c r="D2911" s="270">
        <f>IFERROR(__xludf.DUMMYFUNCTION("""COMPUTED_VALUE"""),-15.0)</f>
        <v>-15</v>
      </c>
      <c r="E2911" t="str">
        <f>IFERROR(__xludf.DUMMYFUNCTION("""COMPUTED_VALUE"""),"台銀籌備帳戶")</f>
        <v>台銀籌備帳戶</v>
      </c>
      <c r="H2911" s="106" t="str">
        <f t="shared" si="1"/>
        <v>2025-12</v>
      </c>
      <c r="I2911" s="271" t="str">
        <f>IFERROR(__xludf.DUMMYFUNCTION("""COMPUTED_VALUE"""),"貓狗企鵝")</f>
        <v>貓狗企鵝</v>
      </c>
      <c r="J2911" t="str">
        <f>IFERROR(__xludf.DUMMYFUNCTION("IFS(
  AND(REGEXMATCH(E2911, ""台銀籌備帳戶|玉山帳戶""), REGEXMATCH(C2911, ""薪資"")), ""分潤支出"",
  AND(REGEXMATCH(E2911, ""Ben帳戶|Elsa帳戶|Ben代墊|Ariel代墊|中信銀行共用""), REGEXMATCH(F2911, ""Ben帳戶|Elsa帳戶|Ben代墊|Ariel代墊|中信銀行共用"")), ""內部轉帳(忽略)"",
  AND(E2911&lt;&gt;"""", F2911&lt;&gt;"""", N"&amp;"OT(REGEXMATCH(C2911, ""薪資""))), ""內部轉帳(忽略)"",
  REGEXMATCH(C2911, ""薪資""), ""薪資變動(不計入)"",
  REGEXMATCH(C2911, ""押金""), ""押金往來"",
  AND(E2911&lt;&gt;"""", F2911=""""), ""真實支出"",
  AND(E2911="""", F2911&lt;&gt;""""), ""真實收入"",
  TRUE, ""其他""
)"),"真實支出")</f>
        <v>真實支出</v>
      </c>
      <c r="K2911" s="270">
        <f t="shared" si="2"/>
        <v>-15</v>
      </c>
      <c r="L2911">
        <f t="shared" si="3"/>
        <v>0</v>
      </c>
    </row>
    <row r="2912">
      <c r="A2912" s="107">
        <f>IFERROR(__xludf.DUMMYFUNCTION("""COMPUTED_VALUE"""),45992.0)</f>
        <v>45992</v>
      </c>
      <c r="B2912" t="str">
        <f>IFERROR(__xludf.DUMMYFUNCTION("""COMPUTED_VALUE"""),"[永春四號] [郭宗仁] 大租金")</f>
        <v>[永春四號] [郭宗仁] 大租金</v>
      </c>
      <c r="C2912" t="str">
        <f>IFERROR(__xludf.DUMMYFUNCTION("""COMPUTED_VALUE"""),"成本 - 大租金")</f>
        <v>成本 - 大租金</v>
      </c>
      <c r="D2912" s="270">
        <f>IFERROR(__xludf.DUMMYFUNCTION("""COMPUTED_VALUE"""),-17000.0)</f>
        <v>-17000</v>
      </c>
      <c r="E2912" t="str">
        <f>IFERROR(__xludf.DUMMYFUNCTION("""COMPUTED_VALUE"""),"台銀籌備帳戶")</f>
        <v>台銀籌備帳戶</v>
      </c>
      <c r="G2912" t="str">
        <f>IFERROR(__xludf.DUMMYFUNCTION("""COMPUTED_VALUE"""),"永春四號")</f>
        <v>永春四號</v>
      </c>
      <c r="H2912" s="106" t="str">
        <f t="shared" si="1"/>
        <v>2025-12</v>
      </c>
      <c r="I2912" s="271" t="str">
        <f>IFERROR(__xludf.DUMMYFUNCTION("""COMPUTED_VALUE"""),"貓狗企鵝")</f>
        <v>貓狗企鵝</v>
      </c>
      <c r="J2912" t="str">
        <f>IFERROR(__xludf.DUMMYFUNCTION("IFS(
  AND(REGEXMATCH(E2912, ""台銀籌備帳戶|玉山帳戶""), REGEXMATCH(C2912, ""薪資"")), ""分潤支出"",
  AND(REGEXMATCH(E2912, ""Ben帳戶|Elsa帳戶|Ben代墊|Ariel代墊|中信銀行共用""), REGEXMATCH(F2912, ""Ben帳戶|Elsa帳戶|Ben代墊|Ariel代墊|中信銀行共用"")), ""內部轉帳(忽略)"",
  AND(E2912&lt;&gt;"""", F2912&lt;&gt;"""", N"&amp;"OT(REGEXMATCH(C2912, ""薪資""))), ""內部轉帳(忽略)"",
  REGEXMATCH(C2912, ""薪資""), ""薪資變動(不計入)"",
  REGEXMATCH(C2912, ""押金""), ""押金往來"",
  AND(E2912&lt;&gt;"""", F2912=""""), ""真實支出"",
  AND(E2912="""", F2912&lt;&gt;""""), ""真實收入"",
  TRUE, ""其他""
)"),"真實支出")</f>
        <v>真實支出</v>
      </c>
      <c r="K2912" s="270">
        <f t="shared" si="2"/>
        <v>-17000</v>
      </c>
      <c r="L2912">
        <f t="shared" si="3"/>
        <v>0</v>
      </c>
    </row>
    <row r="2913">
      <c r="A2913" s="107">
        <f>IFERROR(__xludf.DUMMYFUNCTION("""COMPUTED_VALUE"""),45992.0)</f>
        <v>45992</v>
      </c>
      <c r="B2913" t="str">
        <f>IFERROR(__xludf.DUMMYFUNCTION("""COMPUTED_VALUE"""),"費用 - 匯費 對方行:700 後五碼:19509 (行號: 33)")</f>
        <v>費用 - 匯費 對方行:700 後五碼:19509 (行號: 33)</v>
      </c>
      <c r="C2913" t="str">
        <f>IFERROR(__xludf.DUMMYFUNCTION("""COMPUTED_VALUE"""),"費用 - 匯費")</f>
        <v>費用 - 匯費</v>
      </c>
      <c r="D2913" s="270">
        <f>IFERROR(__xludf.DUMMYFUNCTION("""COMPUTED_VALUE"""),-15.0)</f>
        <v>-15</v>
      </c>
      <c r="E2913" t="str">
        <f>IFERROR(__xludf.DUMMYFUNCTION("""COMPUTED_VALUE"""),"台銀籌備帳戶")</f>
        <v>台銀籌備帳戶</v>
      </c>
      <c r="H2913" s="106" t="str">
        <f t="shared" si="1"/>
        <v>2025-12</v>
      </c>
      <c r="I2913" s="271" t="str">
        <f>IFERROR(__xludf.DUMMYFUNCTION("""COMPUTED_VALUE"""),"貓狗企鵝")</f>
        <v>貓狗企鵝</v>
      </c>
      <c r="J2913" t="str">
        <f>IFERROR(__xludf.DUMMYFUNCTION("IFS(
  AND(REGEXMATCH(E2913, ""台銀籌備帳戶|玉山帳戶""), REGEXMATCH(C2913, ""薪資"")), ""分潤支出"",
  AND(REGEXMATCH(E2913, ""Ben帳戶|Elsa帳戶|Ben代墊|Ariel代墊|中信銀行共用""), REGEXMATCH(F2913, ""Ben帳戶|Elsa帳戶|Ben代墊|Ariel代墊|中信銀行共用"")), ""內部轉帳(忽略)"",
  AND(E2913&lt;&gt;"""", F2913&lt;&gt;"""", N"&amp;"OT(REGEXMATCH(C2913, ""薪資""))), ""內部轉帳(忽略)"",
  REGEXMATCH(C2913, ""薪資""), ""薪資變動(不計入)"",
  REGEXMATCH(C2913, ""押金""), ""押金往來"",
  AND(E2913&lt;&gt;"""", F2913=""""), ""真實支出"",
  AND(E2913="""", F2913&lt;&gt;""""), ""真實收入"",
  TRUE, ""其他""
)"),"真實支出")</f>
        <v>真實支出</v>
      </c>
      <c r="K2913" s="270">
        <f t="shared" si="2"/>
        <v>-15</v>
      </c>
      <c r="L2913">
        <f t="shared" si="3"/>
        <v>0</v>
      </c>
    </row>
    <row r="2914">
      <c r="A2914" s="107">
        <f>IFERROR(__xludf.DUMMYFUNCTION("""COMPUTED_VALUE"""),45992.0)</f>
        <v>45992</v>
      </c>
      <c r="B2914" t="str">
        <f>IFERROR(__xludf.DUMMYFUNCTION("""COMPUTED_VALUE"""),"[龍江229] [游為傑] 大租金")</f>
        <v>[龍江229] [游為傑] 大租金</v>
      </c>
      <c r="C2914" t="str">
        <f>IFERROR(__xludf.DUMMYFUNCTION("""COMPUTED_VALUE"""),"成本 - 大租金")</f>
        <v>成本 - 大租金</v>
      </c>
      <c r="D2914" s="270">
        <f>IFERROR(__xludf.DUMMYFUNCTION("""COMPUTED_VALUE"""),-13500.0)</f>
        <v>-13500</v>
      </c>
      <c r="E2914" t="str">
        <f>IFERROR(__xludf.DUMMYFUNCTION("""COMPUTED_VALUE"""),"台銀籌備帳戶")</f>
        <v>台銀籌備帳戶</v>
      </c>
      <c r="G2914" t="str">
        <f>IFERROR(__xludf.DUMMYFUNCTION("""COMPUTED_VALUE"""),"龍江229")</f>
        <v>龍江229</v>
      </c>
      <c r="H2914" s="106" t="str">
        <f t="shared" si="1"/>
        <v>2025-12</v>
      </c>
      <c r="I2914" s="271" t="str">
        <f>IFERROR(__xludf.DUMMYFUNCTION("""COMPUTED_VALUE"""),"貓狗企鵝")</f>
        <v>貓狗企鵝</v>
      </c>
      <c r="J2914" t="str">
        <f>IFERROR(__xludf.DUMMYFUNCTION("IFS(
  AND(REGEXMATCH(E2914, ""台銀籌備帳戶|玉山帳戶""), REGEXMATCH(C2914, ""薪資"")), ""分潤支出"",
  AND(REGEXMATCH(E2914, ""Ben帳戶|Elsa帳戶|Ben代墊|Ariel代墊|中信銀行共用""), REGEXMATCH(F2914, ""Ben帳戶|Elsa帳戶|Ben代墊|Ariel代墊|中信銀行共用"")), ""內部轉帳(忽略)"",
  AND(E2914&lt;&gt;"""", F2914&lt;&gt;"""", N"&amp;"OT(REGEXMATCH(C2914, ""薪資""))), ""內部轉帳(忽略)"",
  REGEXMATCH(C2914, ""薪資""), ""薪資變動(不計入)"",
  REGEXMATCH(C2914, ""押金""), ""押金往來"",
  AND(E2914&lt;&gt;"""", F2914=""""), ""真實支出"",
  AND(E2914="""", F2914&lt;&gt;""""), ""真實收入"",
  TRUE, ""其他""
)"),"真實支出")</f>
        <v>真實支出</v>
      </c>
      <c r="K2914" s="270">
        <f t="shared" si="2"/>
        <v>-13500</v>
      </c>
      <c r="L2914">
        <f t="shared" si="3"/>
        <v>0</v>
      </c>
    </row>
    <row r="2915">
      <c r="A2915" s="107">
        <f>IFERROR(__xludf.DUMMYFUNCTION("""COMPUTED_VALUE"""),45992.0)</f>
        <v>45992</v>
      </c>
      <c r="B2915" t="str">
        <f>IFERROR(__xludf.DUMMYFUNCTION("""COMPUTED_VALUE"""),"費用 - 匯費 對方行:012 後五碼:74779 (行號: 34)")</f>
        <v>費用 - 匯費 對方行:012 後五碼:74779 (行號: 34)</v>
      </c>
      <c r="C2915" t="str">
        <f>IFERROR(__xludf.DUMMYFUNCTION("""COMPUTED_VALUE"""),"費用 - 匯費")</f>
        <v>費用 - 匯費</v>
      </c>
      <c r="D2915" s="270">
        <f>IFERROR(__xludf.DUMMYFUNCTION("""COMPUTED_VALUE"""),-15.0)</f>
        <v>-15</v>
      </c>
      <c r="E2915" t="str">
        <f>IFERROR(__xludf.DUMMYFUNCTION("""COMPUTED_VALUE"""),"台銀籌備帳戶")</f>
        <v>台銀籌備帳戶</v>
      </c>
      <c r="H2915" s="106" t="str">
        <f t="shared" si="1"/>
        <v>2025-12</v>
      </c>
      <c r="I2915" s="271" t="str">
        <f>IFERROR(__xludf.DUMMYFUNCTION("""COMPUTED_VALUE"""),"貓狗企鵝")</f>
        <v>貓狗企鵝</v>
      </c>
      <c r="J2915" t="str">
        <f>IFERROR(__xludf.DUMMYFUNCTION("IFS(
  AND(REGEXMATCH(E2915, ""台銀籌備帳戶|玉山帳戶""), REGEXMATCH(C2915, ""薪資"")), ""分潤支出"",
  AND(REGEXMATCH(E2915, ""Ben帳戶|Elsa帳戶|Ben代墊|Ariel代墊|中信銀行共用""), REGEXMATCH(F2915, ""Ben帳戶|Elsa帳戶|Ben代墊|Ariel代墊|中信銀行共用"")), ""內部轉帳(忽略)"",
  AND(E2915&lt;&gt;"""", F2915&lt;&gt;"""", N"&amp;"OT(REGEXMATCH(C2915, ""薪資""))), ""內部轉帳(忽略)"",
  REGEXMATCH(C2915, ""薪資""), ""薪資變動(不計入)"",
  REGEXMATCH(C2915, ""押金""), ""押金往來"",
  AND(E2915&lt;&gt;"""", F2915=""""), ""真實支出"",
  AND(E2915="""", F2915&lt;&gt;""""), ""真實收入"",
  TRUE, ""其他""
)"),"真實支出")</f>
        <v>真實支出</v>
      </c>
      <c r="K2915" s="270">
        <f t="shared" si="2"/>
        <v>-15</v>
      </c>
      <c r="L2915">
        <f t="shared" si="3"/>
        <v>0</v>
      </c>
    </row>
    <row r="2916">
      <c r="A2916" s="107">
        <f>IFERROR(__xludf.DUMMYFUNCTION("""COMPUTED_VALUE"""),45992.0)</f>
        <v>45992</v>
      </c>
      <c r="B2916" t="str">
        <f>IFERROR(__xludf.DUMMYFUNCTION("""COMPUTED_VALUE"""),"[市府爺爺家] [常永年] 大租金")</f>
        <v>[市府爺爺家] [常永年] 大租金</v>
      </c>
      <c r="C2916" t="str">
        <f>IFERROR(__xludf.DUMMYFUNCTION("""COMPUTED_VALUE"""),"成本 - 大租金")</f>
        <v>成本 - 大租金</v>
      </c>
      <c r="D2916" s="270">
        <f>IFERROR(__xludf.DUMMYFUNCTION("""COMPUTED_VALUE"""),-12000.0)</f>
        <v>-12000</v>
      </c>
      <c r="E2916" t="str">
        <f>IFERROR(__xludf.DUMMYFUNCTION("""COMPUTED_VALUE"""),"台銀籌備帳戶")</f>
        <v>台銀籌備帳戶</v>
      </c>
      <c r="G2916" t="str">
        <f>IFERROR(__xludf.DUMMYFUNCTION("""COMPUTED_VALUE"""),"市府爺爺家")</f>
        <v>市府爺爺家</v>
      </c>
      <c r="H2916" s="106" t="str">
        <f t="shared" si="1"/>
        <v>2025-12</v>
      </c>
      <c r="I2916" s="271" t="str">
        <f>IFERROR(__xludf.DUMMYFUNCTION("""COMPUTED_VALUE"""),"貓狗企鵝")</f>
        <v>貓狗企鵝</v>
      </c>
      <c r="J2916" t="str">
        <f>IFERROR(__xludf.DUMMYFUNCTION("IFS(
  AND(REGEXMATCH(E2916, ""台銀籌備帳戶|玉山帳戶""), REGEXMATCH(C2916, ""薪資"")), ""分潤支出"",
  AND(REGEXMATCH(E2916, ""Ben帳戶|Elsa帳戶|Ben代墊|Ariel代墊|中信銀行共用""), REGEXMATCH(F2916, ""Ben帳戶|Elsa帳戶|Ben代墊|Ariel代墊|中信銀行共用"")), ""內部轉帳(忽略)"",
  AND(E2916&lt;&gt;"""", F2916&lt;&gt;"""", N"&amp;"OT(REGEXMATCH(C2916, ""薪資""))), ""內部轉帳(忽略)"",
  REGEXMATCH(C2916, ""薪資""), ""薪資變動(不計入)"",
  REGEXMATCH(C2916, ""押金""), ""押金往來"",
  AND(E2916&lt;&gt;"""", F2916=""""), ""真實支出"",
  AND(E2916="""", F2916&lt;&gt;""""), ""真實收入"",
  TRUE, ""其他""
)"),"真實支出")</f>
        <v>真實支出</v>
      </c>
      <c r="K2916" s="270">
        <f t="shared" si="2"/>
        <v>-12000</v>
      </c>
      <c r="L2916">
        <f t="shared" si="3"/>
        <v>0</v>
      </c>
    </row>
    <row r="2917">
      <c r="A2917" s="107">
        <f>IFERROR(__xludf.DUMMYFUNCTION("""COMPUTED_VALUE"""),45992.0)</f>
        <v>45992</v>
      </c>
      <c r="B2917" t="str">
        <f>IFERROR(__xludf.DUMMYFUNCTION("""COMPUTED_VALUE"""),"費用 - 匯費 對方行:052 後五碼:22609 (行號: 35)")</f>
        <v>費用 - 匯費 對方行:052 後五碼:22609 (行號: 35)</v>
      </c>
      <c r="C2917" t="str">
        <f>IFERROR(__xludf.DUMMYFUNCTION("""COMPUTED_VALUE"""),"費用 - 匯費")</f>
        <v>費用 - 匯費</v>
      </c>
      <c r="D2917" s="270">
        <f>IFERROR(__xludf.DUMMYFUNCTION("""COMPUTED_VALUE"""),-15.0)</f>
        <v>-15</v>
      </c>
      <c r="E2917" t="str">
        <f>IFERROR(__xludf.DUMMYFUNCTION("""COMPUTED_VALUE"""),"台銀籌備帳戶")</f>
        <v>台銀籌備帳戶</v>
      </c>
      <c r="H2917" s="106" t="str">
        <f t="shared" si="1"/>
        <v>2025-12</v>
      </c>
      <c r="I2917" s="271" t="str">
        <f>IFERROR(__xludf.DUMMYFUNCTION("""COMPUTED_VALUE"""),"貓狗企鵝")</f>
        <v>貓狗企鵝</v>
      </c>
      <c r="J2917" t="str">
        <f>IFERROR(__xludf.DUMMYFUNCTION("IFS(
  AND(REGEXMATCH(E2917, ""台銀籌備帳戶|玉山帳戶""), REGEXMATCH(C2917, ""薪資"")), ""分潤支出"",
  AND(REGEXMATCH(E2917, ""Ben帳戶|Elsa帳戶|Ben代墊|Ariel代墊|中信銀行共用""), REGEXMATCH(F2917, ""Ben帳戶|Elsa帳戶|Ben代墊|Ariel代墊|中信銀行共用"")), ""內部轉帳(忽略)"",
  AND(E2917&lt;&gt;"""", F2917&lt;&gt;"""", N"&amp;"OT(REGEXMATCH(C2917, ""薪資""))), ""內部轉帳(忽略)"",
  REGEXMATCH(C2917, ""薪資""), ""薪資變動(不計入)"",
  REGEXMATCH(C2917, ""押金""), ""押金往來"",
  AND(E2917&lt;&gt;"""", F2917=""""), ""真實支出"",
  AND(E2917="""", F2917&lt;&gt;""""), ""真實收入"",
  TRUE, ""其他""
)"),"真實支出")</f>
        <v>真實支出</v>
      </c>
      <c r="K2917" s="270">
        <f t="shared" si="2"/>
        <v>-15</v>
      </c>
      <c r="L2917">
        <f t="shared" si="3"/>
        <v>0</v>
      </c>
    </row>
    <row r="2918">
      <c r="A2918" s="107">
        <f>IFERROR(__xludf.DUMMYFUNCTION("""COMPUTED_VALUE"""),45992.0)</f>
        <v>45992</v>
      </c>
      <c r="B2918" t="str">
        <f>IFERROR(__xludf.DUMMYFUNCTION("""COMPUTED_VALUE"""),"[中山北Feli家] [陳玉蘭] 大租金")</f>
        <v>[中山北Feli家] [陳玉蘭] 大租金</v>
      </c>
      <c r="C2918" t="str">
        <f>IFERROR(__xludf.DUMMYFUNCTION("""COMPUTED_VALUE"""),"成本 - 大租金")</f>
        <v>成本 - 大租金</v>
      </c>
      <c r="D2918" s="270">
        <f>IFERROR(__xludf.DUMMYFUNCTION("""COMPUTED_VALUE"""),-18000.0)</f>
        <v>-18000</v>
      </c>
      <c r="E2918" t="str">
        <f>IFERROR(__xludf.DUMMYFUNCTION("""COMPUTED_VALUE"""),"台銀籌備帳戶")</f>
        <v>台銀籌備帳戶</v>
      </c>
      <c r="G2918" t="str">
        <f>IFERROR(__xludf.DUMMYFUNCTION("""COMPUTED_VALUE"""),"中山北Feli家")</f>
        <v>中山北Feli家</v>
      </c>
      <c r="H2918" s="106" t="str">
        <f t="shared" si="1"/>
        <v>2025-12</v>
      </c>
      <c r="I2918" s="271" t="str">
        <f>IFERROR(__xludf.DUMMYFUNCTION("""COMPUTED_VALUE"""),"貓狗企鵝")</f>
        <v>貓狗企鵝</v>
      </c>
      <c r="J2918" t="str">
        <f>IFERROR(__xludf.DUMMYFUNCTION("IFS(
  AND(REGEXMATCH(E2918, ""台銀籌備帳戶|玉山帳戶""), REGEXMATCH(C2918, ""薪資"")), ""分潤支出"",
  AND(REGEXMATCH(E2918, ""Ben帳戶|Elsa帳戶|Ben代墊|Ariel代墊|中信銀行共用""), REGEXMATCH(F2918, ""Ben帳戶|Elsa帳戶|Ben代墊|Ariel代墊|中信銀行共用"")), ""內部轉帳(忽略)"",
  AND(E2918&lt;&gt;"""", F2918&lt;&gt;"""", N"&amp;"OT(REGEXMATCH(C2918, ""薪資""))), ""內部轉帳(忽略)"",
  REGEXMATCH(C2918, ""薪資""), ""薪資變動(不計入)"",
  REGEXMATCH(C2918, ""押金""), ""押金往來"",
  AND(E2918&lt;&gt;"""", F2918=""""), ""真實支出"",
  AND(E2918="""", F2918&lt;&gt;""""), ""真實收入"",
  TRUE, ""其他""
)"),"真實支出")</f>
        <v>真實支出</v>
      </c>
      <c r="K2918" s="270">
        <f t="shared" si="2"/>
        <v>-18000</v>
      </c>
      <c r="L2918">
        <f t="shared" si="3"/>
        <v>0</v>
      </c>
    </row>
    <row r="2919">
      <c r="A2919" s="107">
        <f>IFERROR(__xludf.DUMMYFUNCTION("""COMPUTED_VALUE"""),45992.0)</f>
        <v>45992</v>
      </c>
      <c r="B2919" t="str">
        <f>IFERROR(__xludf.DUMMYFUNCTION("""COMPUTED_VALUE"""),"費用 - 匯費 對方行:013 後五碼:20652 (行號: 36)")</f>
        <v>費用 - 匯費 對方行:013 後五碼:20652 (行號: 36)</v>
      </c>
      <c r="C2919" t="str">
        <f>IFERROR(__xludf.DUMMYFUNCTION("""COMPUTED_VALUE"""),"費用 - 匯費")</f>
        <v>費用 - 匯費</v>
      </c>
      <c r="D2919" s="270">
        <f>IFERROR(__xludf.DUMMYFUNCTION("""COMPUTED_VALUE"""),-15.0)</f>
        <v>-15</v>
      </c>
      <c r="E2919" t="str">
        <f>IFERROR(__xludf.DUMMYFUNCTION("""COMPUTED_VALUE"""),"台銀籌備帳戶")</f>
        <v>台銀籌備帳戶</v>
      </c>
      <c r="H2919" s="106" t="str">
        <f t="shared" si="1"/>
        <v>2025-12</v>
      </c>
      <c r="I2919" s="271" t="str">
        <f>IFERROR(__xludf.DUMMYFUNCTION("""COMPUTED_VALUE"""),"貓狗企鵝")</f>
        <v>貓狗企鵝</v>
      </c>
      <c r="J2919" t="str">
        <f>IFERROR(__xludf.DUMMYFUNCTION("IFS(
  AND(REGEXMATCH(E2919, ""台銀籌備帳戶|玉山帳戶""), REGEXMATCH(C2919, ""薪資"")), ""分潤支出"",
  AND(REGEXMATCH(E2919, ""Ben帳戶|Elsa帳戶|Ben代墊|Ariel代墊|中信銀行共用""), REGEXMATCH(F2919, ""Ben帳戶|Elsa帳戶|Ben代墊|Ariel代墊|中信銀行共用"")), ""內部轉帳(忽略)"",
  AND(E2919&lt;&gt;"""", F2919&lt;&gt;"""", N"&amp;"OT(REGEXMATCH(C2919, ""薪資""))), ""內部轉帳(忽略)"",
  REGEXMATCH(C2919, ""薪資""), ""薪資變動(不計入)"",
  REGEXMATCH(C2919, ""押金""), ""押金往來"",
  AND(E2919&lt;&gt;"""", F2919=""""), ""真實支出"",
  AND(E2919="""", F2919&lt;&gt;""""), ""真實收入"",
  TRUE, ""其他""
)"),"真實支出")</f>
        <v>真實支出</v>
      </c>
      <c r="K2919" s="270">
        <f t="shared" si="2"/>
        <v>-15</v>
      </c>
      <c r="L2919">
        <f t="shared" si="3"/>
        <v>0</v>
      </c>
    </row>
    <row r="2920">
      <c r="A2920" s="107">
        <f>IFERROR(__xludf.DUMMYFUNCTION("""COMPUTED_VALUE"""),45992.0)</f>
        <v>45992</v>
      </c>
      <c r="B2920" t="str">
        <f>IFERROR(__xludf.DUMMYFUNCTION("""COMPUTED_VALUE"""),"[景安2分鐘] [王逸荃] 大租金")</f>
        <v>[景安2分鐘] [王逸荃] 大租金</v>
      </c>
      <c r="C2920" t="str">
        <f>IFERROR(__xludf.DUMMYFUNCTION("""COMPUTED_VALUE"""),"成本 - 大租金")</f>
        <v>成本 - 大租金</v>
      </c>
      <c r="D2920" s="270">
        <f>IFERROR(__xludf.DUMMYFUNCTION("""COMPUTED_VALUE"""),-12500.0)</f>
        <v>-12500</v>
      </c>
      <c r="E2920" t="str">
        <f>IFERROR(__xludf.DUMMYFUNCTION("""COMPUTED_VALUE"""),"台銀籌備帳戶")</f>
        <v>台銀籌備帳戶</v>
      </c>
      <c r="G2920" t="str">
        <f>IFERROR(__xludf.DUMMYFUNCTION("""COMPUTED_VALUE"""),"景安2分鐘")</f>
        <v>景安2分鐘</v>
      </c>
      <c r="H2920" s="106" t="str">
        <f t="shared" si="1"/>
        <v>2025-12</v>
      </c>
      <c r="I2920" s="271" t="str">
        <f>IFERROR(__xludf.DUMMYFUNCTION("""COMPUTED_VALUE"""),"貓狗企鵝")</f>
        <v>貓狗企鵝</v>
      </c>
      <c r="J2920" t="str">
        <f>IFERROR(__xludf.DUMMYFUNCTION("IFS(
  AND(REGEXMATCH(E2920, ""台銀籌備帳戶|玉山帳戶""), REGEXMATCH(C2920, ""薪資"")), ""分潤支出"",
  AND(REGEXMATCH(E2920, ""Ben帳戶|Elsa帳戶|Ben代墊|Ariel代墊|中信銀行共用""), REGEXMATCH(F2920, ""Ben帳戶|Elsa帳戶|Ben代墊|Ariel代墊|中信銀行共用"")), ""內部轉帳(忽略)"",
  AND(E2920&lt;&gt;"""", F2920&lt;&gt;"""", N"&amp;"OT(REGEXMATCH(C2920, ""薪資""))), ""內部轉帳(忽略)"",
  REGEXMATCH(C2920, ""薪資""), ""薪資變動(不計入)"",
  REGEXMATCH(C2920, ""押金""), ""押金往來"",
  AND(E2920&lt;&gt;"""", F2920=""""), ""真實支出"",
  AND(E2920="""", F2920&lt;&gt;""""), ""真實收入"",
  TRUE, ""其他""
)"),"真實支出")</f>
        <v>真實支出</v>
      </c>
      <c r="K2920" s="270">
        <f t="shared" si="2"/>
        <v>-12500</v>
      </c>
      <c r="L2920">
        <f t="shared" si="3"/>
        <v>0</v>
      </c>
    </row>
    <row r="2921">
      <c r="A2921" s="107">
        <f>IFERROR(__xludf.DUMMYFUNCTION("""COMPUTED_VALUE"""),45992.0)</f>
        <v>45992</v>
      </c>
      <c r="B2921" t="str">
        <f>IFERROR(__xludf.DUMMYFUNCTION("""COMPUTED_VALUE"""),"費用 - 匯費 對方行:822 後五碼:06708 (行號: 37)")</f>
        <v>費用 - 匯費 對方行:822 後五碼:06708 (行號: 37)</v>
      </c>
      <c r="C2921" t="str">
        <f>IFERROR(__xludf.DUMMYFUNCTION("""COMPUTED_VALUE"""),"費用 - 匯費")</f>
        <v>費用 - 匯費</v>
      </c>
      <c r="D2921" s="270">
        <f>IFERROR(__xludf.DUMMYFUNCTION("""COMPUTED_VALUE"""),-15.0)</f>
        <v>-15</v>
      </c>
      <c r="E2921" t="str">
        <f>IFERROR(__xludf.DUMMYFUNCTION("""COMPUTED_VALUE"""),"台銀籌備帳戶")</f>
        <v>台銀籌備帳戶</v>
      </c>
      <c r="H2921" s="106" t="str">
        <f t="shared" si="1"/>
        <v>2025-12</v>
      </c>
      <c r="I2921" s="271" t="str">
        <f>IFERROR(__xludf.DUMMYFUNCTION("""COMPUTED_VALUE"""),"貓狗企鵝")</f>
        <v>貓狗企鵝</v>
      </c>
      <c r="J2921" t="str">
        <f>IFERROR(__xludf.DUMMYFUNCTION("IFS(
  AND(REGEXMATCH(E2921, ""台銀籌備帳戶|玉山帳戶""), REGEXMATCH(C2921, ""薪資"")), ""分潤支出"",
  AND(REGEXMATCH(E2921, ""Ben帳戶|Elsa帳戶|Ben代墊|Ariel代墊|中信銀行共用""), REGEXMATCH(F2921, ""Ben帳戶|Elsa帳戶|Ben代墊|Ariel代墊|中信銀行共用"")), ""內部轉帳(忽略)"",
  AND(E2921&lt;&gt;"""", F2921&lt;&gt;"""", N"&amp;"OT(REGEXMATCH(C2921, ""薪資""))), ""內部轉帳(忽略)"",
  REGEXMATCH(C2921, ""薪資""), ""薪資變動(不計入)"",
  REGEXMATCH(C2921, ""押金""), ""押金往來"",
  AND(E2921&lt;&gt;"""", F2921=""""), ""真實支出"",
  AND(E2921="""", F2921&lt;&gt;""""), ""真實收入"",
  TRUE, ""其他""
)"),"真實支出")</f>
        <v>真實支出</v>
      </c>
      <c r="K2921" s="270">
        <f t="shared" si="2"/>
        <v>-15</v>
      </c>
      <c r="L2921">
        <f t="shared" si="3"/>
        <v>0</v>
      </c>
    </row>
    <row r="2922">
      <c r="A2922" s="107">
        <f>IFERROR(__xludf.DUMMYFUNCTION("""COMPUTED_VALUE"""),45992.0)</f>
        <v>45992</v>
      </c>
      <c r="B2922" t="str">
        <f>IFERROR(__xludf.DUMMYFUNCTION("""COMPUTED_VALUE"""),"[金龍帽子先生] [郭娟伶] 大租金")</f>
        <v>[金龍帽子先生] [郭娟伶] 大租金</v>
      </c>
      <c r="C2922" t="str">
        <f>IFERROR(__xludf.DUMMYFUNCTION("""COMPUTED_VALUE"""),"成本 - 大租金")</f>
        <v>成本 - 大租金</v>
      </c>
      <c r="D2922" s="270">
        <f>IFERROR(__xludf.DUMMYFUNCTION("""COMPUTED_VALUE"""),-17750.0)</f>
        <v>-17750</v>
      </c>
      <c r="E2922" t="str">
        <f>IFERROR(__xludf.DUMMYFUNCTION("""COMPUTED_VALUE"""),"台銀籌備帳戶")</f>
        <v>台銀籌備帳戶</v>
      </c>
      <c r="G2922" t="str">
        <f>IFERROR(__xludf.DUMMYFUNCTION("""COMPUTED_VALUE"""),"金龍帽子先生")</f>
        <v>金龍帽子先生</v>
      </c>
      <c r="H2922" s="106" t="str">
        <f t="shared" si="1"/>
        <v>2025-12</v>
      </c>
      <c r="I2922" s="271" t="str">
        <f>IFERROR(__xludf.DUMMYFUNCTION("""COMPUTED_VALUE"""),"貓狗企鵝")</f>
        <v>貓狗企鵝</v>
      </c>
      <c r="J2922" t="str">
        <f>IFERROR(__xludf.DUMMYFUNCTION("IFS(
  AND(REGEXMATCH(E2922, ""台銀籌備帳戶|玉山帳戶""), REGEXMATCH(C2922, ""薪資"")), ""分潤支出"",
  AND(REGEXMATCH(E2922, ""Ben帳戶|Elsa帳戶|Ben代墊|Ariel代墊|中信銀行共用""), REGEXMATCH(F2922, ""Ben帳戶|Elsa帳戶|Ben代墊|Ariel代墊|中信銀行共用"")), ""內部轉帳(忽略)"",
  AND(E2922&lt;&gt;"""", F2922&lt;&gt;"""", N"&amp;"OT(REGEXMATCH(C2922, ""薪資""))), ""內部轉帳(忽略)"",
  REGEXMATCH(C2922, ""薪資""), ""薪資變動(不計入)"",
  REGEXMATCH(C2922, ""押金""), ""押金往來"",
  AND(E2922&lt;&gt;"""", F2922=""""), ""真實支出"",
  AND(E2922="""", F2922&lt;&gt;""""), ""真實收入"",
  TRUE, ""其他""
)"),"真實支出")</f>
        <v>真實支出</v>
      </c>
      <c r="K2922" s="270">
        <f t="shared" si="2"/>
        <v>-17750</v>
      </c>
      <c r="L2922">
        <f t="shared" si="3"/>
        <v>0</v>
      </c>
    </row>
    <row r="2923">
      <c r="A2923" s="107">
        <f>IFERROR(__xludf.DUMMYFUNCTION("""COMPUTED_VALUE"""),45992.0)</f>
        <v>45992</v>
      </c>
      <c r="B2923" t="str">
        <f>IFERROR(__xludf.DUMMYFUNCTION("""COMPUTED_VALUE"""),"費用 - 匯費 對方行:053 後五碼:05202 (行號: 38)")</f>
        <v>費用 - 匯費 對方行:053 後五碼:05202 (行號: 38)</v>
      </c>
      <c r="C2923" t="str">
        <f>IFERROR(__xludf.DUMMYFUNCTION("""COMPUTED_VALUE"""),"費用 - 匯費")</f>
        <v>費用 - 匯費</v>
      </c>
      <c r="D2923" s="270">
        <f>IFERROR(__xludf.DUMMYFUNCTION("""COMPUTED_VALUE"""),-15.0)</f>
        <v>-15</v>
      </c>
      <c r="E2923" t="str">
        <f>IFERROR(__xludf.DUMMYFUNCTION("""COMPUTED_VALUE"""),"台銀籌備帳戶")</f>
        <v>台銀籌備帳戶</v>
      </c>
      <c r="H2923" s="106" t="str">
        <f t="shared" si="1"/>
        <v>2025-12</v>
      </c>
      <c r="I2923" s="271" t="str">
        <f>IFERROR(__xludf.DUMMYFUNCTION("""COMPUTED_VALUE"""),"貓狗企鵝")</f>
        <v>貓狗企鵝</v>
      </c>
      <c r="J2923" t="str">
        <f>IFERROR(__xludf.DUMMYFUNCTION("IFS(
  AND(REGEXMATCH(E2923, ""台銀籌備帳戶|玉山帳戶""), REGEXMATCH(C2923, ""薪資"")), ""分潤支出"",
  AND(REGEXMATCH(E2923, ""Ben帳戶|Elsa帳戶|Ben代墊|Ariel代墊|中信銀行共用""), REGEXMATCH(F2923, ""Ben帳戶|Elsa帳戶|Ben代墊|Ariel代墊|中信銀行共用"")), ""內部轉帳(忽略)"",
  AND(E2923&lt;&gt;"""", F2923&lt;&gt;"""", N"&amp;"OT(REGEXMATCH(C2923, ""薪資""))), ""內部轉帳(忽略)"",
  REGEXMATCH(C2923, ""薪資""), ""薪資變動(不計入)"",
  REGEXMATCH(C2923, ""押金""), ""押金往來"",
  AND(E2923&lt;&gt;"""", F2923=""""), ""真實支出"",
  AND(E2923="""", F2923&lt;&gt;""""), ""真實收入"",
  TRUE, ""其他""
)"),"真實支出")</f>
        <v>真實支出</v>
      </c>
      <c r="K2923" s="270">
        <f t="shared" si="2"/>
        <v>-15</v>
      </c>
      <c r="L2923">
        <f t="shared" si="3"/>
        <v>0</v>
      </c>
    </row>
    <row r="2924">
      <c r="A2924" s="107">
        <f>IFERROR(__xludf.DUMMYFUNCTION("""COMPUTED_VALUE"""),45992.0)</f>
        <v>45992</v>
      </c>
      <c r="B2924" t="str">
        <f>IFERROR(__xludf.DUMMYFUNCTION("""COMPUTED_VALUE"""),"[大湖山莊] [陳彩霞] 大租金")</f>
        <v>[大湖山莊] [陳彩霞] 大租金</v>
      </c>
      <c r="C2924" t="str">
        <f>IFERROR(__xludf.DUMMYFUNCTION("""COMPUTED_VALUE"""),"成本 - 大租金")</f>
        <v>成本 - 大租金</v>
      </c>
      <c r="D2924" s="270">
        <f>IFERROR(__xludf.DUMMYFUNCTION("""COMPUTED_VALUE"""),-19400.0)</f>
        <v>-19400</v>
      </c>
      <c r="E2924" t="str">
        <f>IFERROR(__xludf.DUMMYFUNCTION("""COMPUTED_VALUE"""),"台銀籌備帳戶")</f>
        <v>台銀籌備帳戶</v>
      </c>
      <c r="G2924" t="str">
        <f>IFERROR(__xludf.DUMMYFUNCTION("""COMPUTED_VALUE"""),"大湖山莊")</f>
        <v>大湖山莊</v>
      </c>
      <c r="H2924" s="106" t="str">
        <f t="shared" si="1"/>
        <v>2025-12</v>
      </c>
      <c r="I2924" s="271" t="str">
        <f>IFERROR(__xludf.DUMMYFUNCTION("""COMPUTED_VALUE"""),"貓狗企鵝")</f>
        <v>貓狗企鵝</v>
      </c>
      <c r="J2924" t="str">
        <f>IFERROR(__xludf.DUMMYFUNCTION("IFS(
  AND(REGEXMATCH(E2924, ""台銀籌備帳戶|玉山帳戶""), REGEXMATCH(C2924, ""薪資"")), ""分潤支出"",
  AND(REGEXMATCH(E2924, ""Ben帳戶|Elsa帳戶|Ben代墊|Ariel代墊|中信銀行共用""), REGEXMATCH(F2924, ""Ben帳戶|Elsa帳戶|Ben代墊|Ariel代墊|中信銀行共用"")), ""內部轉帳(忽略)"",
  AND(E2924&lt;&gt;"""", F2924&lt;&gt;"""", N"&amp;"OT(REGEXMATCH(C2924, ""薪資""))), ""內部轉帳(忽略)"",
  REGEXMATCH(C2924, ""薪資""), ""薪資變動(不計入)"",
  REGEXMATCH(C2924, ""押金""), ""押金往來"",
  AND(E2924&lt;&gt;"""", F2924=""""), ""真實支出"",
  AND(E2924="""", F2924&lt;&gt;""""), ""真實收入"",
  TRUE, ""其他""
)"),"真實支出")</f>
        <v>真實支出</v>
      </c>
      <c r="K2924" s="270">
        <f t="shared" si="2"/>
        <v>-19400</v>
      </c>
      <c r="L2924">
        <f t="shared" si="3"/>
        <v>0</v>
      </c>
    </row>
    <row r="2925">
      <c r="A2925" s="107">
        <f>IFERROR(__xludf.DUMMYFUNCTION("""COMPUTED_VALUE"""),45992.0)</f>
        <v>45992</v>
      </c>
      <c r="B2925" t="str">
        <f>IFERROR(__xludf.DUMMYFUNCTION("""COMPUTED_VALUE"""),"費用 - 匯費 對方行:807 後五碼:06659 (行號: 39)")</f>
        <v>費用 - 匯費 對方行:807 後五碼:06659 (行號: 39)</v>
      </c>
      <c r="C2925" t="str">
        <f>IFERROR(__xludf.DUMMYFUNCTION("""COMPUTED_VALUE"""),"費用 - 匯費")</f>
        <v>費用 - 匯費</v>
      </c>
      <c r="D2925" s="270">
        <f>IFERROR(__xludf.DUMMYFUNCTION("""COMPUTED_VALUE"""),-15.0)</f>
        <v>-15</v>
      </c>
      <c r="E2925" t="str">
        <f>IFERROR(__xludf.DUMMYFUNCTION("""COMPUTED_VALUE"""),"台銀籌備帳戶")</f>
        <v>台銀籌備帳戶</v>
      </c>
      <c r="H2925" s="106" t="str">
        <f t="shared" si="1"/>
        <v>2025-12</v>
      </c>
      <c r="I2925" s="271" t="str">
        <f>IFERROR(__xludf.DUMMYFUNCTION("""COMPUTED_VALUE"""),"貓狗企鵝")</f>
        <v>貓狗企鵝</v>
      </c>
      <c r="J2925" t="str">
        <f>IFERROR(__xludf.DUMMYFUNCTION("IFS(
  AND(REGEXMATCH(E2925, ""台銀籌備帳戶|玉山帳戶""), REGEXMATCH(C2925, ""薪資"")), ""分潤支出"",
  AND(REGEXMATCH(E2925, ""Ben帳戶|Elsa帳戶|Ben代墊|Ariel代墊|中信銀行共用""), REGEXMATCH(F2925, ""Ben帳戶|Elsa帳戶|Ben代墊|Ariel代墊|中信銀行共用"")), ""內部轉帳(忽略)"",
  AND(E2925&lt;&gt;"""", F2925&lt;&gt;"""", N"&amp;"OT(REGEXMATCH(C2925, ""薪資""))), ""內部轉帳(忽略)"",
  REGEXMATCH(C2925, ""薪資""), ""薪資變動(不計入)"",
  REGEXMATCH(C2925, ""押金""), ""押金往來"",
  AND(E2925&lt;&gt;"""", F2925=""""), ""真實支出"",
  AND(E2925="""", F2925&lt;&gt;""""), ""真實收入"",
  TRUE, ""其他""
)"),"真實支出")</f>
        <v>真實支出</v>
      </c>
      <c r="K2925" s="270">
        <f t="shared" si="2"/>
        <v>-15</v>
      </c>
      <c r="L2925">
        <f t="shared" si="3"/>
        <v>0</v>
      </c>
    </row>
    <row r="2926">
      <c r="A2926" s="107">
        <f>IFERROR(__xludf.DUMMYFUNCTION("""COMPUTED_VALUE"""),45992.0)</f>
        <v>45992</v>
      </c>
      <c r="B2926" t="str">
        <f>IFERROR(__xludf.DUMMYFUNCTION("""COMPUTED_VALUE"""),"[哈拉對面] [陳哲聰] 大租金")</f>
        <v>[哈拉對面] [陳哲聰] 大租金</v>
      </c>
      <c r="C2926" t="str">
        <f>IFERROR(__xludf.DUMMYFUNCTION("""COMPUTED_VALUE"""),"成本 - 大租金")</f>
        <v>成本 - 大租金</v>
      </c>
      <c r="D2926" s="270">
        <f>IFERROR(__xludf.DUMMYFUNCTION("""COMPUTED_VALUE"""),-13000.0)</f>
        <v>-13000</v>
      </c>
      <c r="E2926" t="str">
        <f>IFERROR(__xludf.DUMMYFUNCTION("""COMPUTED_VALUE"""),"台銀籌備帳戶")</f>
        <v>台銀籌備帳戶</v>
      </c>
      <c r="G2926" t="str">
        <f>IFERROR(__xludf.DUMMYFUNCTION("""COMPUTED_VALUE"""),"哈拉對面")</f>
        <v>哈拉對面</v>
      </c>
      <c r="H2926" s="106" t="str">
        <f t="shared" si="1"/>
        <v>2025-12</v>
      </c>
      <c r="I2926" s="271" t="str">
        <f>IFERROR(__xludf.DUMMYFUNCTION("""COMPUTED_VALUE"""),"貓狗企鵝")</f>
        <v>貓狗企鵝</v>
      </c>
      <c r="J2926" t="str">
        <f>IFERROR(__xludf.DUMMYFUNCTION("IFS(
  AND(REGEXMATCH(E2926, ""台銀籌備帳戶|玉山帳戶""), REGEXMATCH(C2926, ""薪資"")), ""分潤支出"",
  AND(REGEXMATCH(E2926, ""Ben帳戶|Elsa帳戶|Ben代墊|Ariel代墊|中信銀行共用""), REGEXMATCH(F2926, ""Ben帳戶|Elsa帳戶|Ben代墊|Ariel代墊|中信銀行共用"")), ""內部轉帳(忽略)"",
  AND(E2926&lt;&gt;"""", F2926&lt;&gt;"""", N"&amp;"OT(REGEXMATCH(C2926, ""薪資""))), ""內部轉帳(忽略)"",
  REGEXMATCH(C2926, ""薪資""), ""薪資變動(不計入)"",
  REGEXMATCH(C2926, ""押金""), ""押金往來"",
  AND(E2926&lt;&gt;"""", F2926=""""), ""真實支出"",
  AND(E2926="""", F2926&lt;&gt;""""), ""真實收入"",
  TRUE, ""其他""
)"),"真實支出")</f>
        <v>真實支出</v>
      </c>
      <c r="K2926" s="270">
        <f t="shared" si="2"/>
        <v>-13000</v>
      </c>
      <c r="L2926">
        <f t="shared" si="3"/>
        <v>0</v>
      </c>
    </row>
    <row r="2927">
      <c r="A2927" s="107">
        <f>IFERROR(__xludf.DUMMYFUNCTION("""COMPUTED_VALUE"""),45992.0)</f>
        <v>45992</v>
      </c>
      <c r="B2927" t="str">
        <f>IFERROR(__xludf.DUMMYFUNCTION("""COMPUTED_VALUE"""),"費用 - 匯費 對方行:700 後五碼:92128 (行號: 40)")</f>
        <v>費用 - 匯費 對方行:700 後五碼:92128 (行號: 40)</v>
      </c>
      <c r="C2927" t="str">
        <f>IFERROR(__xludf.DUMMYFUNCTION("""COMPUTED_VALUE"""),"費用 - 匯費")</f>
        <v>費用 - 匯費</v>
      </c>
      <c r="D2927" s="270">
        <f>IFERROR(__xludf.DUMMYFUNCTION("""COMPUTED_VALUE"""),-15.0)</f>
        <v>-15</v>
      </c>
      <c r="E2927" t="str">
        <f>IFERROR(__xludf.DUMMYFUNCTION("""COMPUTED_VALUE"""),"台銀籌備帳戶")</f>
        <v>台銀籌備帳戶</v>
      </c>
      <c r="H2927" s="106" t="str">
        <f t="shared" si="1"/>
        <v>2025-12</v>
      </c>
      <c r="I2927" s="271" t="str">
        <f>IFERROR(__xludf.DUMMYFUNCTION("""COMPUTED_VALUE"""),"貓狗企鵝")</f>
        <v>貓狗企鵝</v>
      </c>
      <c r="J2927" t="str">
        <f>IFERROR(__xludf.DUMMYFUNCTION("IFS(
  AND(REGEXMATCH(E2927, ""台銀籌備帳戶|玉山帳戶""), REGEXMATCH(C2927, ""薪資"")), ""分潤支出"",
  AND(REGEXMATCH(E2927, ""Ben帳戶|Elsa帳戶|Ben代墊|Ariel代墊|中信銀行共用""), REGEXMATCH(F2927, ""Ben帳戶|Elsa帳戶|Ben代墊|Ariel代墊|中信銀行共用"")), ""內部轉帳(忽略)"",
  AND(E2927&lt;&gt;"""", F2927&lt;&gt;"""", N"&amp;"OT(REGEXMATCH(C2927, ""薪資""))), ""內部轉帳(忽略)"",
  REGEXMATCH(C2927, ""薪資""), ""薪資變動(不計入)"",
  REGEXMATCH(C2927, ""押金""), ""押金往來"",
  AND(E2927&lt;&gt;"""", F2927=""""), ""真實支出"",
  AND(E2927="""", F2927&lt;&gt;""""), ""真實收入"",
  TRUE, ""其他""
)"),"真實支出")</f>
        <v>真實支出</v>
      </c>
      <c r="K2927" s="270">
        <f t="shared" si="2"/>
        <v>-15</v>
      </c>
      <c r="L2927">
        <f t="shared" si="3"/>
        <v>0</v>
      </c>
    </row>
    <row r="2928">
      <c r="A2928" s="107">
        <f>IFERROR(__xludf.DUMMYFUNCTION("""COMPUTED_VALUE"""),45992.0)</f>
        <v>45992</v>
      </c>
      <c r="B2928" t="str">
        <f>IFERROR(__xludf.DUMMYFUNCTION("""COMPUTED_VALUE"""),"[北醫醫師府] [陳俊良] 大租金")</f>
        <v>[北醫醫師府] [陳俊良] 大租金</v>
      </c>
      <c r="C2928" t="str">
        <f>IFERROR(__xludf.DUMMYFUNCTION("""COMPUTED_VALUE"""),"成本 - 大租金")</f>
        <v>成本 - 大租金</v>
      </c>
      <c r="D2928" s="270">
        <f>IFERROR(__xludf.DUMMYFUNCTION("""COMPUTED_VALUE"""),-12800.0)</f>
        <v>-12800</v>
      </c>
      <c r="E2928" t="str">
        <f>IFERROR(__xludf.DUMMYFUNCTION("""COMPUTED_VALUE"""),"台銀籌備帳戶")</f>
        <v>台銀籌備帳戶</v>
      </c>
      <c r="G2928" t="str">
        <f>IFERROR(__xludf.DUMMYFUNCTION("""COMPUTED_VALUE"""),"北醫醫師府")</f>
        <v>北醫醫師府</v>
      </c>
      <c r="H2928" s="106" t="str">
        <f t="shared" si="1"/>
        <v>2025-12</v>
      </c>
      <c r="I2928" s="271" t="str">
        <f>IFERROR(__xludf.DUMMYFUNCTION("""COMPUTED_VALUE"""),"貓狗企鵝")</f>
        <v>貓狗企鵝</v>
      </c>
      <c r="J2928" t="str">
        <f>IFERROR(__xludf.DUMMYFUNCTION("IFS(
  AND(REGEXMATCH(E2928, ""台銀籌備帳戶|玉山帳戶""), REGEXMATCH(C2928, ""薪資"")), ""分潤支出"",
  AND(REGEXMATCH(E2928, ""Ben帳戶|Elsa帳戶|Ben代墊|Ariel代墊|中信銀行共用""), REGEXMATCH(F2928, ""Ben帳戶|Elsa帳戶|Ben代墊|Ariel代墊|中信銀行共用"")), ""內部轉帳(忽略)"",
  AND(E2928&lt;&gt;"""", F2928&lt;&gt;"""", N"&amp;"OT(REGEXMATCH(C2928, ""薪資""))), ""內部轉帳(忽略)"",
  REGEXMATCH(C2928, ""薪資""), ""薪資變動(不計入)"",
  REGEXMATCH(C2928, ""押金""), ""押金往來"",
  AND(E2928&lt;&gt;"""", F2928=""""), ""真實支出"",
  AND(E2928="""", F2928&lt;&gt;""""), ""真實收入"",
  TRUE, ""其他""
)"),"真實支出")</f>
        <v>真實支出</v>
      </c>
      <c r="K2928" s="270">
        <f t="shared" si="2"/>
        <v>-12800</v>
      </c>
      <c r="L2928">
        <f t="shared" si="3"/>
        <v>0</v>
      </c>
    </row>
    <row r="2929">
      <c r="A2929" s="107">
        <f>IFERROR(__xludf.DUMMYFUNCTION("""COMPUTED_VALUE"""),45992.0)</f>
        <v>45992</v>
      </c>
      <c r="B2929" t="str">
        <f>IFERROR(__xludf.DUMMYFUNCTION("""COMPUTED_VALUE"""),"費用 - 匯費 對方行:013 後五碼:43662 (行號: 41)")</f>
        <v>費用 - 匯費 對方行:013 後五碼:43662 (行號: 41)</v>
      </c>
      <c r="C2929" t="str">
        <f>IFERROR(__xludf.DUMMYFUNCTION("""COMPUTED_VALUE"""),"費用 - 匯費")</f>
        <v>費用 - 匯費</v>
      </c>
      <c r="D2929" s="270">
        <f>IFERROR(__xludf.DUMMYFUNCTION("""COMPUTED_VALUE"""),-15.0)</f>
        <v>-15</v>
      </c>
      <c r="E2929" t="str">
        <f>IFERROR(__xludf.DUMMYFUNCTION("""COMPUTED_VALUE"""),"台銀籌備帳戶")</f>
        <v>台銀籌備帳戶</v>
      </c>
      <c r="H2929" s="106" t="str">
        <f t="shared" si="1"/>
        <v>2025-12</v>
      </c>
      <c r="I2929" s="271" t="str">
        <f>IFERROR(__xludf.DUMMYFUNCTION("""COMPUTED_VALUE"""),"貓狗企鵝")</f>
        <v>貓狗企鵝</v>
      </c>
      <c r="J2929" t="str">
        <f>IFERROR(__xludf.DUMMYFUNCTION("IFS(
  AND(REGEXMATCH(E2929, ""台銀籌備帳戶|玉山帳戶""), REGEXMATCH(C2929, ""薪資"")), ""分潤支出"",
  AND(REGEXMATCH(E2929, ""Ben帳戶|Elsa帳戶|Ben代墊|Ariel代墊|中信銀行共用""), REGEXMATCH(F2929, ""Ben帳戶|Elsa帳戶|Ben代墊|Ariel代墊|中信銀行共用"")), ""內部轉帳(忽略)"",
  AND(E2929&lt;&gt;"""", F2929&lt;&gt;"""", N"&amp;"OT(REGEXMATCH(C2929, ""薪資""))), ""內部轉帳(忽略)"",
  REGEXMATCH(C2929, ""薪資""), ""薪資變動(不計入)"",
  REGEXMATCH(C2929, ""押金""), ""押金往來"",
  AND(E2929&lt;&gt;"""", F2929=""""), ""真實支出"",
  AND(E2929="""", F2929&lt;&gt;""""), ""真實收入"",
  TRUE, ""其他""
)"),"真實支出")</f>
        <v>真實支出</v>
      </c>
      <c r="K2929" s="270">
        <f t="shared" si="2"/>
        <v>-15</v>
      </c>
      <c r="L2929">
        <f t="shared" si="3"/>
        <v>0</v>
      </c>
    </row>
    <row r="2930">
      <c r="A2930" s="107">
        <f>IFERROR(__xludf.DUMMYFUNCTION("""COMPUTED_VALUE"""),45992.0)</f>
        <v>45992</v>
      </c>
      <c r="B2930" t="str">
        <f>IFERROR(__xludf.DUMMYFUNCTION("""COMPUTED_VALUE"""),"[中山北娘家旁] [方彥捷] 大租金")</f>
        <v>[中山北娘家旁] [方彥捷] 大租金</v>
      </c>
      <c r="C2930" t="str">
        <f>IFERROR(__xludf.DUMMYFUNCTION("""COMPUTED_VALUE"""),"成本 - 大租金")</f>
        <v>成本 - 大租金</v>
      </c>
      <c r="D2930" s="270">
        <f>IFERROR(__xludf.DUMMYFUNCTION("""COMPUTED_VALUE"""),-11500.0)</f>
        <v>-11500</v>
      </c>
      <c r="E2930" t="str">
        <f>IFERROR(__xludf.DUMMYFUNCTION("""COMPUTED_VALUE"""),"台銀籌備帳戶")</f>
        <v>台銀籌備帳戶</v>
      </c>
      <c r="G2930" t="str">
        <f>IFERROR(__xludf.DUMMYFUNCTION("""COMPUTED_VALUE"""),"中山北娘家旁")</f>
        <v>中山北娘家旁</v>
      </c>
      <c r="H2930" s="106" t="str">
        <f t="shared" si="1"/>
        <v>2025-12</v>
      </c>
      <c r="I2930" s="271" t="str">
        <f>IFERROR(__xludf.DUMMYFUNCTION("""COMPUTED_VALUE"""),"貓狗企鵝")</f>
        <v>貓狗企鵝</v>
      </c>
      <c r="J2930" t="str">
        <f>IFERROR(__xludf.DUMMYFUNCTION("IFS(
  AND(REGEXMATCH(E2930, ""台銀籌備帳戶|玉山帳戶""), REGEXMATCH(C2930, ""薪資"")), ""分潤支出"",
  AND(REGEXMATCH(E2930, ""Ben帳戶|Elsa帳戶|Ben代墊|Ariel代墊|中信銀行共用""), REGEXMATCH(F2930, ""Ben帳戶|Elsa帳戶|Ben代墊|Ariel代墊|中信銀行共用"")), ""內部轉帳(忽略)"",
  AND(E2930&lt;&gt;"""", F2930&lt;&gt;"""", N"&amp;"OT(REGEXMATCH(C2930, ""薪資""))), ""內部轉帳(忽略)"",
  REGEXMATCH(C2930, ""薪資""), ""薪資變動(不計入)"",
  REGEXMATCH(C2930, ""押金""), ""押金往來"",
  AND(E2930&lt;&gt;"""", F2930=""""), ""真實支出"",
  AND(E2930="""", F2930&lt;&gt;""""), ""真實收入"",
  TRUE, ""其他""
)"),"真實支出")</f>
        <v>真實支出</v>
      </c>
      <c r="K2930" s="270">
        <f t="shared" si="2"/>
        <v>-11500</v>
      </c>
      <c r="L2930">
        <f t="shared" si="3"/>
        <v>0</v>
      </c>
    </row>
    <row r="2931">
      <c r="A2931" s="107">
        <f>IFERROR(__xludf.DUMMYFUNCTION("""COMPUTED_VALUE"""),45992.0)</f>
        <v>45992</v>
      </c>
      <c r="B2931" t="str">
        <f>IFERROR(__xludf.DUMMYFUNCTION("""COMPUTED_VALUE"""),"費用 - 匯費 對方行:011 後五碼:17078 (行號: 42)")</f>
        <v>費用 - 匯費 對方行:011 後五碼:17078 (行號: 42)</v>
      </c>
      <c r="C2931" t="str">
        <f>IFERROR(__xludf.DUMMYFUNCTION("""COMPUTED_VALUE"""),"費用 - 匯費")</f>
        <v>費用 - 匯費</v>
      </c>
      <c r="D2931" s="270">
        <f>IFERROR(__xludf.DUMMYFUNCTION("""COMPUTED_VALUE"""),-15.0)</f>
        <v>-15</v>
      </c>
      <c r="E2931" t="str">
        <f>IFERROR(__xludf.DUMMYFUNCTION("""COMPUTED_VALUE"""),"台銀籌備帳戶")</f>
        <v>台銀籌備帳戶</v>
      </c>
      <c r="H2931" s="106" t="str">
        <f t="shared" si="1"/>
        <v>2025-12</v>
      </c>
      <c r="I2931" s="271" t="str">
        <f>IFERROR(__xludf.DUMMYFUNCTION("""COMPUTED_VALUE"""),"貓狗企鵝")</f>
        <v>貓狗企鵝</v>
      </c>
      <c r="J2931" t="str">
        <f>IFERROR(__xludf.DUMMYFUNCTION("IFS(
  AND(REGEXMATCH(E2931, ""台銀籌備帳戶|玉山帳戶""), REGEXMATCH(C2931, ""薪資"")), ""分潤支出"",
  AND(REGEXMATCH(E2931, ""Ben帳戶|Elsa帳戶|Ben代墊|Ariel代墊|中信銀行共用""), REGEXMATCH(F2931, ""Ben帳戶|Elsa帳戶|Ben代墊|Ariel代墊|中信銀行共用"")), ""內部轉帳(忽略)"",
  AND(E2931&lt;&gt;"""", F2931&lt;&gt;"""", N"&amp;"OT(REGEXMATCH(C2931, ""薪資""))), ""內部轉帳(忽略)"",
  REGEXMATCH(C2931, ""薪資""), ""薪資變動(不計入)"",
  REGEXMATCH(C2931, ""押金""), ""押金往來"",
  AND(E2931&lt;&gt;"""", F2931=""""), ""真實支出"",
  AND(E2931="""", F2931&lt;&gt;""""), ""真實收入"",
  TRUE, ""其他""
)"),"真實支出")</f>
        <v>真實支出</v>
      </c>
      <c r="K2931" s="270">
        <f t="shared" si="2"/>
        <v>-15</v>
      </c>
      <c r="L2931">
        <f t="shared" si="3"/>
        <v>0</v>
      </c>
    </row>
    <row r="2932">
      <c r="A2932" s="107">
        <f>IFERROR(__xludf.DUMMYFUNCTION("""COMPUTED_VALUE"""),45992.0)</f>
        <v>45992</v>
      </c>
      <c r="B2932" t="str">
        <f>IFERROR(__xludf.DUMMYFUNCTION("""COMPUTED_VALUE"""),"[書香民生] [吳高寶玉] 大租金")</f>
        <v>[書香民生] [吳高寶玉] 大租金</v>
      </c>
      <c r="C2932" t="str">
        <f>IFERROR(__xludf.DUMMYFUNCTION("""COMPUTED_VALUE"""),"成本 - 大租金")</f>
        <v>成本 - 大租金</v>
      </c>
      <c r="D2932" s="270">
        <f>IFERROR(__xludf.DUMMYFUNCTION("""COMPUTED_VALUE"""),-16667.0)</f>
        <v>-16667</v>
      </c>
      <c r="E2932" t="str">
        <f>IFERROR(__xludf.DUMMYFUNCTION("""COMPUTED_VALUE"""),"台銀籌備帳戶")</f>
        <v>台銀籌備帳戶</v>
      </c>
      <c r="G2932" t="str">
        <f>IFERROR(__xludf.DUMMYFUNCTION("""COMPUTED_VALUE"""),"書香民生")</f>
        <v>書香民生</v>
      </c>
      <c r="H2932" s="106" t="str">
        <f t="shared" si="1"/>
        <v>2025-12</v>
      </c>
      <c r="I2932" s="271" t="str">
        <f>IFERROR(__xludf.DUMMYFUNCTION("""COMPUTED_VALUE"""),"貓狗企鵝")</f>
        <v>貓狗企鵝</v>
      </c>
      <c r="J2932" t="str">
        <f>IFERROR(__xludf.DUMMYFUNCTION("IFS(
  AND(REGEXMATCH(E2932, ""台銀籌備帳戶|玉山帳戶""), REGEXMATCH(C2932, ""薪資"")), ""分潤支出"",
  AND(REGEXMATCH(E2932, ""Ben帳戶|Elsa帳戶|Ben代墊|Ariel代墊|中信銀行共用""), REGEXMATCH(F2932, ""Ben帳戶|Elsa帳戶|Ben代墊|Ariel代墊|中信銀行共用"")), ""內部轉帳(忽略)"",
  AND(E2932&lt;&gt;"""", F2932&lt;&gt;"""", N"&amp;"OT(REGEXMATCH(C2932, ""薪資""))), ""內部轉帳(忽略)"",
  REGEXMATCH(C2932, ""薪資""), ""薪資變動(不計入)"",
  REGEXMATCH(C2932, ""押金""), ""押金往來"",
  AND(E2932&lt;&gt;"""", F2932=""""), ""真實支出"",
  AND(E2932="""", F2932&lt;&gt;""""), ""真實收入"",
  TRUE, ""其他""
)"),"真實支出")</f>
        <v>真實支出</v>
      </c>
      <c r="K2932" s="270">
        <f t="shared" si="2"/>
        <v>-16667</v>
      </c>
      <c r="L2932">
        <f t="shared" si="3"/>
        <v>0</v>
      </c>
    </row>
    <row r="2933">
      <c r="A2933" s="107">
        <f>IFERROR(__xludf.DUMMYFUNCTION("""COMPUTED_VALUE"""),45992.0)</f>
        <v>45992</v>
      </c>
      <c r="B2933" t="str">
        <f>IFERROR(__xludf.DUMMYFUNCTION("""COMPUTED_VALUE"""),"[書香民生] A [曾蘋儀] 月租金 後五碼:73611 (行號: 43)")</f>
        <v>[書香民生] A [曾蘋儀] 月租金 後五碼:73611 (行號: 43)</v>
      </c>
      <c r="C2933" t="str">
        <f>IFERROR(__xludf.DUMMYFUNCTION("""COMPUTED_VALUE"""),"收入 - 租金")</f>
        <v>收入 - 租金</v>
      </c>
      <c r="D2933" s="270">
        <f>IFERROR(__xludf.DUMMYFUNCTION("""COMPUTED_VALUE"""),13300.0)</f>
        <v>13300</v>
      </c>
      <c r="F2933" t="str">
        <f>IFERROR(__xludf.DUMMYFUNCTION("""COMPUTED_VALUE"""),"台銀籌備帳戶")</f>
        <v>台銀籌備帳戶</v>
      </c>
      <c r="G2933" t="str">
        <f>IFERROR(__xludf.DUMMYFUNCTION("""COMPUTED_VALUE"""),"書香民生")</f>
        <v>書香民生</v>
      </c>
      <c r="H2933" s="106" t="str">
        <f t="shared" si="1"/>
        <v>2025-12</v>
      </c>
      <c r="I2933" s="271" t="str">
        <f>IFERROR(__xludf.DUMMYFUNCTION("""COMPUTED_VALUE"""),"貓狗企鵝")</f>
        <v>貓狗企鵝</v>
      </c>
      <c r="J2933" t="str">
        <f>IFERROR(__xludf.DUMMYFUNCTION("IFS(
  AND(REGEXMATCH(E2933, ""台銀籌備帳戶|玉山帳戶""), REGEXMATCH(C2933, ""薪資"")), ""分潤支出"",
  AND(REGEXMATCH(E2933, ""Ben帳戶|Elsa帳戶|Ben代墊|Ariel代墊|中信銀行共用""), REGEXMATCH(F2933, ""Ben帳戶|Elsa帳戶|Ben代墊|Ariel代墊|中信銀行共用"")), ""內部轉帳(忽略)"",
  AND(E2933&lt;&gt;"""", F2933&lt;&gt;"""", N"&amp;"OT(REGEXMATCH(C2933, ""薪資""))), ""內部轉帳(忽略)"",
  REGEXMATCH(C2933, ""薪資""), ""薪資變動(不計入)"",
  REGEXMATCH(C2933, ""押金""), ""押金往來"",
  AND(E2933&lt;&gt;"""", F2933=""""), ""真實支出"",
  AND(E2933="""", F2933&lt;&gt;""""), ""真實收入"",
  TRUE, ""其他""
)"),"真實收入")</f>
        <v>真實收入</v>
      </c>
      <c r="K2933" s="270">
        <f t="shared" si="2"/>
        <v>13300</v>
      </c>
      <c r="L2933">
        <f t="shared" si="3"/>
        <v>0</v>
      </c>
    </row>
    <row r="2934">
      <c r="A2934" s="107">
        <f>IFERROR(__xludf.DUMMYFUNCTION("""COMPUTED_VALUE"""),45992.0)</f>
        <v>45992</v>
      </c>
      <c r="B2934" t="str">
        <f>IFERROR(__xludf.DUMMYFUNCTION("""COMPUTED_VALUE"""),"[龍江229] A [吳昱旻] 月租金 後五碼:88760 (行號: 44)")</f>
        <v>[龍江229] A [吳昱旻] 月租金 後五碼:88760 (行號: 44)</v>
      </c>
      <c r="C2934" t="str">
        <f>IFERROR(__xludf.DUMMYFUNCTION("""COMPUTED_VALUE"""),"收入 - 租金")</f>
        <v>收入 - 租金</v>
      </c>
      <c r="D2934" s="270">
        <f>IFERROR(__xludf.DUMMYFUNCTION("""COMPUTED_VALUE"""),11000.0)</f>
        <v>11000</v>
      </c>
      <c r="F2934" t="str">
        <f>IFERROR(__xludf.DUMMYFUNCTION("""COMPUTED_VALUE"""),"台銀籌備帳戶")</f>
        <v>台銀籌備帳戶</v>
      </c>
      <c r="G2934" t="str">
        <f>IFERROR(__xludf.DUMMYFUNCTION("""COMPUTED_VALUE"""),"龍江229")</f>
        <v>龍江229</v>
      </c>
      <c r="H2934" s="106" t="str">
        <f t="shared" si="1"/>
        <v>2025-12</v>
      </c>
      <c r="I2934" s="271" t="str">
        <f>IFERROR(__xludf.DUMMYFUNCTION("""COMPUTED_VALUE"""),"貓狗企鵝")</f>
        <v>貓狗企鵝</v>
      </c>
      <c r="J2934" t="str">
        <f>IFERROR(__xludf.DUMMYFUNCTION("IFS(
  AND(REGEXMATCH(E2934, ""台銀籌備帳戶|玉山帳戶""), REGEXMATCH(C2934, ""薪資"")), ""分潤支出"",
  AND(REGEXMATCH(E2934, ""Ben帳戶|Elsa帳戶|Ben代墊|Ariel代墊|中信銀行共用""), REGEXMATCH(F2934, ""Ben帳戶|Elsa帳戶|Ben代墊|Ariel代墊|中信銀行共用"")), ""內部轉帳(忽略)"",
  AND(E2934&lt;&gt;"""", F2934&lt;&gt;"""", N"&amp;"OT(REGEXMATCH(C2934, ""薪資""))), ""內部轉帳(忽略)"",
  REGEXMATCH(C2934, ""薪資""), ""薪資變動(不計入)"",
  REGEXMATCH(C2934, ""押金""), ""押金往來"",
  AND(E2934&lt;&gt;"""", F2934=""""), ""真實支出"",
  AND(E2934="""", F2934&lt;&gt;""""), ""真實收入"",
  TRUE, ""其他""
)"),"真實收入")</f>
        <v>真實收入</v>
      </c>
      <c r="K2934" s="270">
        <f t="shared" si="2"/>
        <v>11000</v>
      </c>
      <c r="L2934">
        <f t="shared" si="3"/>
        <v>0</v>
      </c>
    </row>
    <row r="2935">
      <c r="A2935" s="107">
        <f>IFERROR(__xludf.DUMMYFUNCTION("""COMPUTED_VALUE"""),45992.0)</f>
        <v>45992</v>
      </c>
      <c r="B2935" t="str">
        <f>IFERROR(__xludf.DUMMYFUNCTION("""COMPUTED_VALUE"""),"12月房租涂敏A ' 【不明收入 後五碼:60119 (行號: 45)】")</f>
        <v>12月房租涂敏A ' 【不明收入 後五碼:60119 (行號: 45)】</v>
      </c>
      <c r="C2935" t="str">
        <f>IFERROR(__xludf.DUMMYFUNCTION("""COMPUTED_VALUE"""),"收入 - 租金")</f>
        <v>收入 - 租金</v>
      </c>
      <c r="D2935" s="270">
        <f>IFERROR(__xludf.DUMMYFUNCTION("""COMPUTED_VALUE"""),13000.0)</f>
        <v>13000</v>
      </c>
      <c r="F2935" t="str">
        <f>IFERROR(__xludf.DUMMYFUNCTION("""COMPUTED_VALUE"""),"台銀籌備帳戶")</f>
        <v>台銀籌備帳戶</v>
      </c>
      <c r="G2935" t="str">
        <f>IFERROR(__xludf.DUMMYFUNCTION("""COMPUTED_VALUE"""),"大湖山莊")</f>
        <v>大湖山莊</v>
      </c>
      <c r="H2935" s="106" t="str">
        <f t="shared" si="1"/>
        <v>2025-12</v>
      </c>
      <c r="I2935" s="271" t="str">
        <f>IFERROR(__xludf.DUMMYFUNCTION("""COMPUTED_VALUE"""),"貓狗企鵝")</f>
        <v>貓狗企鵝</v>
      </c>
      <c r="J2935" t="str">
        <f>IFERROR(__xludf.DUMMYFUNCTION("IFS(
  AND(REGEXMATCH(E2935, ""台銀籌備帳戶|玉山帳戶""), REGEXMATCH(C2935, ""薪資"")), ""分潤支出"",
  AND(REGEXMATCH(E2935, ""Ben帳戶|Elsa帳戶|Ben代墊|Ariel代墊|中信銀行共用""), REGEXMATCH(F2935, ""Ben帳戶|Elsa帳戶|Ben代墊|Ariel代墊|中信銀行共用"")), ""內部轉帳(忽略)"",
  AND(E2935&lt;&gt;"""", F2935&lt;&gt;"""", N"&amp;"OT(REGEXMATCH(C2935, ""薪資""))), ""內部轉帳(忽略)"",
  REGEXMATCH(C2935, ""薪資""), ""薪資變動(不計入)"",
  REGEXMATCH(C2935, ""押金""), ""押金往來"",
  AND(E2935&lt;&gt;"""", F2935=""""), ""真實支出"",
  AND(E2935="""", F2935&lt;&gt;""""), ""真實收入"",
  TRUE, ""其他""
)"),"真實收入")</f>
        <v>真實收入</v>
      </c>
      <c r="K2935" s="270">
        <f t="shared" si="2"/>
        <v>13000</v>
      </c>
      <c r="L2935">
        <f t="shared" si="3"/>
        <v>0</v>
      </c>
    </row>
    <row r="2936">
      <c r="A2936" s="107">
        <f>IFERROR(__xludf.DUMMYFUNCTION("""COMPUTED_VALUE"""),45992.0)</f>
        <v>45992</v>
      </c>
      <c r="B2936" t="str">
        <f>IFERROR(__xludf.DUMMYFUNCTION("""COMPUTED_VALUE"""),"[書香民生] C [韋茗期] 月租金 後五碼:07688 (行號: 46)")</f>
        <v>[書香民生] C [韋茗期] 月租金 後五碼:07688 (行號: 46)</v>
      </c>
      <c r="C2936" t="str">
        <f>IFERROR(__xludf.DUMMYFUNCTION("""COMPUTED_VALUE"""),"收入 - 租金")</f>
        <v>收入 - 租金</v>
      </c>
      <c r="D2936" s="270">
        <f>IFERROR(__xludf.DUMMYFUNCTION("""COMPUTED_VALUE"""),14800.0)</f>
        <v>14800</v>
      </c>
      <c r="F2936" t="str">
        <f>IFERROR(__xludf.DUMMYFUNCTION("""COMPUTED_VALUE"""),"台銀籌備帳戶")</f>
        <v>台銀籌備帳戶</v>
      </c>
      <c r="G2936" t="str">
        <f>IFERROR(__xludf.DUMMYFUNCTION("""COMPUTED_VALUE"""),"書香民生")</f>
        <v>書香民生</v>
      </c>
      <c r="H2936" s="106" t="str">
        <f t="shared" si="1"/>
        <v>2025-12</v>
      </c>
      <c r="I2936" s="271" t="str">
        <f>IFERROR(__xludf.DUMMYFUNCTION("""COMPUTED_VALUE"""),"貓狗企鵝")</f>
        <v>貓狗企鵝</v>
      </c>
      <c r="J2936" t="str">
        <f>IFERROR(__xludf.DUMMYFUNCTION("IFS(
  AND(REGEXMATCH(E2936, ""台銀籌備帳戶|玉山帳戶""), REGEXMATCH(C2936, ""薪資"")), ""分潤支出"",
  AND(REGEXMATCH(E2936, ""Ben帳戶|Elsa帳戶|Ben代墊|Ariel代墊|中信銀行共用""), REGEXMATCH(F2936, ""Ben帳戶|Elsa帳戶|Ben代墊|Ariel代墊|中信銀行共用"")), ""內部轉帳(忽略)"",
  AND(E2936&lt;&gt;"""", F2936&lt;&gt;"""", N"&amp;"OT(REGEXMATCH(C2936, ""薪資""))), ""內部轉帳(忽略)"",
  REGEXMATCH(C2936, ""薪資""), ""薪資變動(不計入)"",
  REGEXMATCH(C2936, ""押金""), ""押金往來"",
  AND(E2936&lt;&gt;"""", F2936=""""), ""真實支出"",
  AND(E2936="""", F2936&lt;&gt;""""), ""真實收入"",
  TRUE, ""其他""
)"),"真實收入")</f>
        <v>真實收入</v>
      </c>
      <c r="K2936" s="270">
        <f t="shared" si="2"/>
        <v>14800</v>
      </c>
      <c r="L2936">
        <f t="shared" si="3"/>
        <v>0</v>
      </c>
    </row>
    <row r="2937">
      <c r="A2937" s="107">
        <f>IFERROR(__xludf.DUMMYFUNCTION("""COMPUTED_VALUE"""),45992.0)</f>
        <v>45992</v>
      </c>
      <c r="B2937" t="str">
        <f>IFERROR(__xludf.DUMMYFUNCTION("""COMPUTED_VALUE"""),"[永春四號] D [翁政熙] 月租金 後五碼:54267 (行號: 47)")</f>
        <v>[永春四號] D [翁政熙] 月租金 後五碼:54267 (行號: 47)</v>
      </c>
      <c r="C2937" t="str">
        <f>IFERROR(__xludf.DUMMYFUNCTION("""COMPUTED_VALUE"""),"收入 - 租金")</f>
        <v>收入 - 租金</v>
      </c>
      <c r="D2937" s="270">
        <f>IFERROR(__xludf.DUMMYFUNCTION("""COMPUTED_VALUE"""),14300.0)</f>
        <v>14300</v>
      </c>
      <c r="F2937" t="str">
        <f>IFERROR(__xludf.DUMMYFUNCTION("""COMPUTED_VALUE"""),"台銀籌備帳戶")</f>
        <v>台銀籌備帳戶</v>
      </c>
      <c r="G2937" t="str">
        <f>IFERROR(__xludf.DUMMYFUNCTION("""COMPUTED_VALUE"""),"永春四號")</f>
        <v>永春四號</v>
      </c>
      <c r="H2937" s="106" t="str">
        <f t="shared" si="1"/>
        <v>2025-12</v>
      </c>
      <c r="I2937" s="271" t="str">
        <f>IFERROR(__xludf.DUMMYFUNCTION("""COMPUTED_VALUE"""),"貓狗企鵝")</f>
        <v>貓狗企鵝</v>
      </c>
      <c r="J2937" t="str">
        <f>IFERROR(__xludf.DUMMYFUNCTION("IFS(
  AND(REGEXMATCH(E2937, ""台銀籌備帳戶|玉山帳戶""), REGEXMATCH(C2937, ""薪資"")), ""分潤支出"",
  AND(REGEXMATCH(E2937, ""Ben帳戶|Elsa帳戶|Ben代墊|Ariel代墊|中信銀行共用""), REGEXMATCH(F2937, ""Ben帳戶|Elsa帳戶|Ben代墊|Ariel代墊|中信銀行共用"")), ""內部轉帳(忽略)"",
  AND(E2937&lt;&gt;"""", F2937&lt;&gt;"""", N"&amp;"OT(REGEXMATCH(C2937, ""薪資""))), ""內部轉帳(忽略)"",
  REGEXMATCH(C2937, ""薪資""), ""薪資變動(不計入)"",
  REGEXMATCH(C2937, ""押金""), ""押金往來"",
  AND(E2937&lt;&gt;"""", F2937=""""), ""真實支出"",
  AND(E2937="""", F2937&lt;&gt;""""), ""真實收入"",
  TRUE, ""其他""
)"),"真實收入")</f>
        <v>真實收入</v>
      </c>
      <c r="K2937" s="270">
        <f t="shared" si="2"/>
        <v>14300</v>
      </c>
      <c r="L2937">
        <f t="shared" si="3"/>
        <v>0</v>
      </c>
    </row>
    <row r="2938">
      <c r="A2938" s="107">
        <f>IFERROR(__xludf.DUMMYFUNCTION("""COMPUTED_VALUE"""),45992.0)</f>
        <v>45992</v>
      </c>
      <c r="B2938" t="str">
        <f>IFERROR(__xludf.DUMMYFUNCTION("""COMPUTED_VALUE"""),"[中山北Feli家] D [邱佳慧] 月租金 後五碼:45046 (行號: 48)")</f>
        <v>[中山北Feli家] D [邱佳慧] 月租金 後五碼:45046 (行號: 48)</v>
      </c>
      <c r="C2938" t="str">
        <f>IFERROR(__xludf.DUMMYFUNCTION("""COMPUTED_VALUE"""),"收入 - 租金")</f>
        <v>收入 - 租金</v>
      </c>
      <c r="D2938" s="270">
        <f>IFERROR(__xludf.DUMMYFUNCTION("""COMPUTED_VALUE"""),10800.0)</f>
        <v>10800</v>
      </c>
      <c r="F2938" t="str">
        <f>IFERROR(__xludf.DUMMYFUNCTION("""COMPUTED_VALUE"""),"台銀籌備帳戶")</f>
        <v>台銀籌備帳戶</v>
      </c>
      <c r="G2938" t="str">
        <f>IFERROR(__xludf.DUMMYFUNCTION("""COMPUTED_VALUE"""),"中山北Feli家")</f>
        <v>中山北Feli家</v>
      </c>
      <c r="H2938" s="106" t="str">
        <f t="shared" si="1"/>
        <v>2025-12</v>
      </c>
      <c r="I2938" s="271" t="str">
        <f>IFERROR(__xludf.DUMMYFUNCTION("""COMPUTED_VALUE"""),"貓狗企鵝")</f>
        <v>貓狗企鵝</v>
      </c>
      <c r="J2938" t="str">
        <f>IFERROR(__xludf.DUMMYFUNCTION("IFS(
  AND(REGEXMATCH(E2938, ""台銀籌備帳戶|玉山帳戶""), REGEXMATCH(C2938, ""薪資"")), ""分潤支出"",
  AND(REGEXMATCH(E2938, ""Ben帳戶|Elsa帳戶|Ben代墊|Ariel代墊|中信銀行共用""), REGEXMATCH(F2938, ""Ben帳戶|Elsa帳戶|Ben代墊|Ariel代墊|中信銀行共用"")), ""內部轉帳(忽略)"",
  AND(E2938&lt;&gt;"""", F2938&lt;&gt;"""", N"&amp;"OT(REGEXMATCH(C2938, ""薪資""))), ""內部轉帳(忽略)"",
  REGEXMATCH(C2938, ""薪資""), ""薪資變動(不計入)"",
  REGEXMATCH(C2938, ""押金""), ""押金往來"",
  AND(E2938&lt;&gt;"""", F2938=""""), ""真實支出"",
  AND(E2938="""", F2938&lt;&gt;""""), ""真實收入"",
  TRUE, ""其他""
)"),"真實收入")</f>
        <v>真實收入</v>
      </c>
      <c r="K2938" s="270">
        <f t="shared" si="2"/>
        <v>10800</v>
      </c>
      <c r="L2938">
        <f t="shared" si="3"/>
        <v>0</v>
      </c>
    </row>
    <row r="2939">
      <c r="A2939" s="107">
        <f>IFERROR(__xludf.DUMMYFUNCTION("""COMPUTED_VALUE"""),45992.0)</f>
        <v>45992</v>
      </c>
      <c r="B2939" t="str">
        <f>IFERROR(__xludf.DUMMYFUNCTION("""COMPUTED_VALUE"""),"書香民生        F周利安")</f>
        <v>書香民生        F周利安</v>
      </c>
      <c r="C2939" t="str">
        <f>IFERROR(__xludf.DUMMYFUNCTION("""COMPUTED_VALUE"""),"收入 - 租金")</f>
        <v>收入 - 租金</v>
      </c>
      <c r="D2939" s="270">
        <f>IFERROR(__xludf.DUMMYFUNCTION("""COMPUTED_VALUE"""),15800.0)</f>
        <v>15800</v>
      </c>
      <c r="F2939" t="str">
        <f>IFERROR(__xludf.DUMMYFUNCTION("""COMPUTED_VALUE"""),"台銀籌備帳戶")</f>
        <v>台銀籌備帳戶</v>
      </c>
      <c r="G2939" t="str">
        <f>IFERROR(__xludf.DUMMYFUNCTION("""COMPUTED_VALUE"""),"書香民生")</f>
        <v>書香民生</v>
      </c>
      <c r="H2939" s="106" t="str">
        <f t="shared" si="1"/>
        <v>2025-12</v>
      </c>
      <c r="I2939" s="271" t="str">
        <f>IFERROR(__xludf.DUMMYFUNCTION("""COMPUTED_VALUE"""),"貓狗企鵝")</f>
        <v>貓狗企鵝</v>
      </c>
      <c r="J2939" t="str">
        <f>IFERROR(__xludf.DUMMYFUNCTION("IFS(
  AND(REGEXMATCH(E2939, ""台銀籌備帳戶|玉山帳戶""), REGEXMATCH(C2939, ""薪資"")), ""分潤支出"",
  AND(REGEXMATCH(E2939, ""Ben帳戶|Elsa帳戶|Ben代墊|Ariel代墊|中信銀行共用""), REGEXMATCH(F2939, ""Ben帳戶|Elsa帳戶|Ben代墊|Ariel代墊|中信銀行共用"")), ""內部轉帳(忽略)"",
  AND(E2939&lt;&gt;"""", F2939&lt;&gt;"""", N"&amp;"OT(REGEXMATCH(C2939, ""薪資""))), ""內部轉帳(忽略)"",
  REGEXMATCH(C2939, ""薪資""), ""薪資變動(不計入)"",
  REGEXMATCH(C2939, ""押金""), ""押金往來"",
  AND(E2939&lt;&gt;"""", F2939=""""), ""真實支出"",
  AND(E2939="""", F2939&lt;&gt;""""), ""真實收入"",
  TRUE, ""其他""
)"),"真實收入")</f>
        <v>真實收入</v>
      </c>
      <c r="K2939" s="270">
        <f t="shared" si="2"/>
        <v>15800</v>
      </c>
      <c r="L2939">
        <f t="shared" si="3"/>
        <v>0</v>
      </c>
    </row>
    <row r="2940">
      <c r="A2940" s="107">
        <f>IFERROR(__xludf.DUMMYFUNCTION("""COMPUTED_VALUE"""),45992.0)</f>
        <v>45992</v>
      </c>
      <c r="B2940" t="str">
        <f>IFERROR(__xludf.DUMMYFUNCTION("""COMPUTED_VALUE"""),"[大湖山莊] D [陳昭瑄] 月租金 後五碼:57000 (行號: 50)")</f>
        <v>[大湖山莊] D [陳昭瑄] 月租金 後五碼:57000 (行號: 50)</v>
      </c>
      <c r="C2940" t="str">
        <f>IFERROR(__xludf.DUMMYFUNCTION("""COMPUTED_VALUE"""),"收入 - 租金")</f>
        <v>收入 - 租金</v>
      </c>
      <c r="D2940" s="270">
        <f>IFERROR(__xludf.DUMMYFUNCTION("""COMPUTED_VALUE"""),14300.0)</f>
        <v>14300</v>
      </c>
      <c r="F2940" t="str">
        <f>IFERROR(__xludf.DUMMYFUNCTION("""COMPUTED_VALUE"""),"台銀籌備帳戶")</f>
        <v>台銀籌備帳戶</v>
      </c>
      <c r="G2940" t="str">
        <f>IFERROR(__xludf.DUMMYFUNCTION("""COMPUTED_VALUE"""),"大湖山莊")</f>
        <v>大湖山莊</v>
      </c>
      <c r="H2940" s="106" t="str">
        <f t="shared" si="1"/>
        <v>2025-12</v>
      </c>
      <c r="I2940" s="271" t="str">
        <f>IFERROR(__xludf.DUMMYFUNCTION("""COMPUTED_VALUE"""),"貓狗企鵝")</f>
        <v>貓狗企鵝</v>
      </c>
      <c r="J2940" t="str">
        <f>IFERROR(__xludf.DUMMYFUNCTION("IFS(
  AND(REGEXMATCH(E2940, ""台銀籌備帳戶|玉山帳戶""), REGEXMATCH(C2940, ""薪資"")), ""分潤支出"",
  AND(REGEXMATCH(E2940, ""Ben帳戶|Elsa帳戶|Ben代墊|Ariel代墊|中信銀行共用""), REGEXMATCH(F2940, ""Ben帳戶|Elsa帳戶|Ben代墊|Ariel代墊|中信銀行共用"")), ""內部轉帳(忽略)"",
  AND(E2940&lt;&gt;"""", F2940&lt;&gt;"""", N"&amp;"OT(REGEXMATCH(C2940, ""薪資""))), ""內部轉帳(忽略)"",
  REGEXMATCH(C2940, ""薪資""), ""薪資變動(不計入)"",
  REGEXMATCH(C2940, ""押金""), ""押金往來"",
  AND(E2940&lt;&gt;"""", F2940=""""), ""真實支出"",
  AND(E2940="""", F2940&lt;&gt;""""), ""真實收入"",
  TRUE, ""其他""
)"),"真實收入")</f>
        <v>真實收入</v>
      </c>
      <c r="K2940" s="270">
        <f t="shared" si="2"/>
        <v>14300</v>
      </c>
      <c r="L2940">
        <f t="shared" si="3"/>
        <v>0</v>
      </c>
    </row>
    <row r="2941">
      <c r="A2941" s="107">
        <f>IFERROR(__xludf.DUMMYFUNCTION("""COMPUTED_VALUE"""),45992.0)</f>
        <v>45992</v>
      </c>
      <c r="B2941" t="str">
        <f>IFERROR(__xludf.DUMMYFUNCTION("""COMPUTED_VALUE"""),"[永春四號] B [袁家鳳] 月租金 後五碼:31402 (行號: 51)")</f>
        <v>[永春四號] B [袁家鳳] 月租金 後五碼:31402 (行號: 51)</v>
      </c>
      <c r="C2941" t="str">
        <f>IFERROR(__xludf.DUMMYFUNCTION("""COMPUTED_VALUE"""),"收入 - 租金")</f>
        <v>收入 - 租金</v>
      </c>
      <c r="D2941" s="270">
        <f>IFERROR(__xludf.DUMMYFUNCTION("""COMPUTED_VALUE"""),13500.0)</f>
        <v>13500</v>
      </c>
      <c r="F2941" t="str">
        <f>IFERROR(__xludf.DUMMYFUNCTION("""COMPUTED_VALUE"""),"台銀籌備帳戶")</f>
        <v>台銀籌備帳戶</v>
      </c>
      <c r="G2941" t="str">
        <f>IFERROR(__xludf.DUMMYFUNCTION("""COMPUTED_VALUE"""),"永春四號")</f>
        <v>永春四號</v>
      </c>
      <c r="H2941" s="106" t="str">
        <f t="shared" si="1"/>
        <v>2025-12</v>
      </c>
      <c r="I2941" s="271" t="str">
        <f>IFERROR(__xludf.DUMMYFUNCTION("""COMPUTED_VALUE"""),"貓狗企鵝")</f>
        <v>貓狗企鵝</v>
      </c>
      <c r="J2941" t="str">
        <f>IFERROR(__xludf.DUMMYFUNCTION("IFS(
  AND(REGEXMATCH(E2941, ""台銀籌備帳戶|玉山帳戶""), REGEXMATCH(C2941, ""薪資"")), ""分潤支出"",
  AND(REGEXMATCH(E2941, ""Ben帳戶|Elsa帳戶|Ben代墊|Ariel代墊|中信銀行共用""), REGEXMATCH(F2941, ""Ben帳戶|Elsa帳戶|Ben代墊|Ariel代墊|中信銀行共用"")), ""內部轉帳(忽略)"",
  AND(E2941&lt;&gt;"""", F2941&lt;&gt;"""", N"&amp;"OT(REGEXMATCH(C2941, ""薪資""))), ""內部轉帳(忽略)"",
  REGEXMATCH(C2941, ""薪資""), ""薪資變動(不計入)"",
  REGEXMATCH(C2941, ""押金""), ""押金往來"",
  AND(E2941&lt;&gt;"""", F2941=""""), ""真實支出"",
  AND(E2941="""", F2941&lt;&gt;""""), ""真實收入"",
  TRUE, ""其他""
)"),"真實收入")</f>
        <v>真實收入</v>
      </c>
      <c r="K2941" s="270">
        <f t="shared" si="2"/>
        <v>13500</v>
      </c>
      <c r="L2941">
        <f t="shared" si="3"/>
        <v>0</v>
      </c>
    </row>
    <row r="2942">
      <c r="A2942" s="107">
        <f>IFERROR(__xludf.DUMMYFUNCTION("""COMPUTED_VALUE"""),45992.0)</f>
        <v>45992</v>
      </c>
      <c r="B2942" t="str">
        <f>IFERROR(__xludf.DUMMYFUNCTION("""COMPUTED_VALUE"""),"[北醫醫師府] D [吳宥辰] 月租金 後五碼:79414 (行號: 52)")</f>
        <v>[北醫醫師府] D [吳宥辰] 月租金 後五碼:79414 (行號: 52)</v>
      </c>
      <c r="C2942" t="str">
        <f>IFERROR(__xludf.DUMMYFUNCTION("""COMPUTED_VALUE"""),"收入 - 租金")</f>
        <v>收入 - 租金</v>
      </c>
      <c r="D2942" s="270">
        <f>IFERROR(__xludf.DUMMYFUNCTION("""COMPUTED_VALUE"""),12000.0)</f>
        <v>12000</v>
      </c>
      <c r="F2942" t="str">
        <f>IFERROR(__xludf.DUMMYFUNCTION("""COMPUTED_VALUE"""),"台銀籌備帳戶")</f>
        <v>台銀籌備帳戶</v>
      </c>
      <c r="G2942" t="str">
        <f>IFERROR(__xludf.DUMMYFUNCTION("""COMPUTED_VALUE"""),"北醫醫師府")</f>
        <v>北醫醫師府</v>
      </c>
      <c r="H2942" s="106" t="str">
        <f t="shared" si="1"/>
        <v>2025-12</v>
      </c>
      <c r="I2942" s="271" t="str">
        <f>IFERROR(__xludf.DUMMYFUNCTION("""COMPUTED_VALUE"""),"貓狗企鵝")</f>
        <v>貓狗企鵝</v>
      </c>
      <c r="J2942" t="str">
        <f>IFERROR(__xludf.DUMMYFUNCTION("IFS(
  AND(REGEXMATCH(E2942, ""台銀籌備帳戶|玉山帳戶""), REGEXMATCH(C2942, ""薪資"")), ""分潤支出"",
  AND(REGEXMATCH(E2942, ""Ben帳戶|Elsa帳戶|Ben代墊|Ariel代墊|中信銀行共用""), REGEXMATCH(F2942, ""Ben帳戶|Elsa帳戶|Ben代墊|Ariel代墊|中信銀行共用"")), ""內部轉帳(忽略)"",
  AND(E2942&lt;&gt;"""", F2942&lt;&gt;"""", N"&amp;"OT(REGEXMATCH(C2942, ""薪資""))), ""內部轉帳(忽略)"",
  REGEXMATCH(C2942, ""薪資""), ""薪資變動(不計入)"",
  REGEXMATCH(C2942, ""押金""), ""押金往來"",
  AND(E2942&lt;&gt;"""", F2942=""""), ""真實支出"",
  AND(E2942="""", F2942&lt;&gt;""""), ""真實收入"",
  TRUE, ""其他""
)"),"真實收入")</f>
        <v>真實收入</v>
      </c>
      <c r="K2942" s="270">
        <f t="shared" si="2"/>
        <v>12000</v>
      </c>
      <c r="L2942">
        <f t="shared" si="3"/>
        <v>0</v>
      </c>
    </row>
    <row r="2943">
      <c r="A2943" s="107">
        <f>IFERROR(__xludf.DUMMYFUNCTION("""COMPUTED_VALUE"""),45992.0)</f>
        <v>45992</v>
      </c>
      <c r="B2943" t="str">
        <f>IFERROR(__xludf.DUMMYFUNCTION("""COMPUTED_VALUE"""),"[市府爺爺家] A [董書鵬, 張瑋珊] 月租金 後五碼:44967 (行號: 53)")</f>
        <v>[市府爺爺家] A [董書鵬, 張瑋珊] 月租金 後五碼:44967 (行號: 53)</v>
      </c>
      <c r="C2943" t="str">
        <f>IFERROR(__xludf.DUMMYFUNCTION("""COMPUTED_VALUE"""),"收入 - 租金")</f>
        <v>收入 - 租金</v>
      </c>
      <c r="D2943" s="270">
        <f>IFERROR(__xludf.DUMMYFUNCTION("""COMPUTED_VALUE"""),22000.0)</f>
        <v>22000</v>
      </c>
      <c r="F2943" t="str">
        <f>IFERROR(__xludf.DUMMYFUNCTION("""COMPUTED_VALUE"""),"台銀籌備帳戶")</f>
        <v>台銀籌備帳戶</v>
      </c>
      <c r="G2943" t="str">
        <f>IFERROR(__xludf.DUMMYFUNCTION("""COMPUTED_VALUE"""),"市府爺爺家")</f>
        <v>市府爺爺家</v>
      </c>
      <c r="H2943" s="106" t="str">
        <f t="shared" si="1"/>
        <v>2025-12</v>
      </c>
      <c r="I2943" s="271" t="str">
        <f>IFERROR(__xludf.DUMMYFUNCTION("""COMPUTED_VALUE"""),"貓狗企鵝")</f>
        <v>貓狗企鵝</v>
      </c>
      <c r="J2943" t="str">
        <f>IFERROR(__xludf.DUMMYFUNCTION("IFS(
  AND(REGEXMATCH(E2943, ""台銀籌備帳戶|玉山帳戶""), REGEXMATCH(C2943, ""薪資"")), ""分潤支出"",
  AND(REGEXMATCH(E2943, ""Ben帳戶|Elsa帳戶|Ben代墊|Ariel代墊|中信銀行共用""), REGEXMATCH(F2943, ""Ben帳戶|Elsa帳戶|Ben代墊|Ariel代墊|中信銀行共用"")), ""內部轉帳(忽略)"",
  AND(E2943&lt;&gt;"""", F2943&lt;&gt;"""", N"&amp;"OT(REGEXMATCH(C2943, ""薪資""))), ""內部轉帳(忽略)"",
  REGEXMATCH(C2943, ""薪資""), ""薪資變動(不計入)"",
  REGEXMATCH(C2943, ""押金""), ""押金往來"",
  AND(E2943&lt;&gt;"""", F2943=""""), ""真實支出"",
  AND(E2943="""", F2943&lt;&gt;""""), ""真實收入"",
  TRUE, ""其他""
)"),"真實收入")</f>
        <v>真實收入</v>
      </c>
      <c r="K2943" s="270">
        <f t="shared" si="2"/>
        <v>22000</v>
      </c>
      <c r="L2943">
        <f t="shared" si="3"/>
        <v>0</v>
      </c>
    </row>
    <row r="2944">
      <c r="A2944" s="107">
        <f>IFERROR(__xludf.DUMMYFUNCTION("""COMPUTED_VALUE"""),45992.0)</f>
        <v>45992</v>
      </c>
      <c r="B2944" t="str">
        <f>IFERROR(__xludf.DUMMYFUNCTION("""COMPUTED_VALUE"""),"[南港站挑高宅] D [吳城慕] 月租金 後五碼:10279 (行號: 54)")</f>
        <v>[南港站挑高宅] D [吳城慕] 月租金 後五碼:10279 (行號: 54)</v>
      </c>
      <c r="C2944" t="str">
        <f>IFERROR(__xludf.DUMMYFUNCTION("""COMPUTED_VALUE"""),"收入 - 租金")</f>
        <v>收入 - 租金</v>
      </c>
      <c r="D2944" s="270">
        <f>IFERROR(__xludf.DUMMYFUNCTION("""COMPUTED_VALUE"""),13800.0)</f>
        <v>13800</v>
      </c>
      <c r="F2944" t="str">
        <f>IFERROR(__xludf.DUMMYFUNCTION("""COMPUTED_VALUE"""),"台銀籌備帳戶")</f>
        <v>台銀籌備帳戶</v>
      </c>
      <c r="G2944" t="str">
        <f>IFERROR(__xludf.DUMMYFUNCTION("""COMPUTED_VALUE"""),"南港站挑高宅")</f>
        <v>南港站挑高宅</v>
      </c>
      <c r="H2944" s="106" t="str">
        <f t="shared" si="1"/>
        <v>2025-12</v>
      </c>
      <c r="I2944" s="271" t="str">
        <f>IFERROR(__xludf.DUMMYFUNCTION("""COMPUTED_VALUE"""),"貓狗企鵝")</f>
        <v>貓狗企鵝</v>
      </c>
      <c r="J2944" t="str">
        <f>IFERROR(__xludf.DUMMYFUNCTION("IFS(
  AND(REGEXMATCH(E2944, ""台銀籌備帳戶|玉山帳戶""), REGEXMATCH(C2944, ""薪資"")), ""分潤支出"",
  AND(REGEXMATCH(E2944, ""Ben帳戶|Elsa帳戶|Ben代墊|Ariel代墊|中信銀行共用""), REGEXMATCH(F2944, ""Ben帳戶|Elsa帳戶|Ben代墊|Ariel代墊|中信銀行共用"")), ""內部轉帳(忽略)"",
  AND(E2944&lt;&gt;"""", F2944&lt;&gt;"""", N"&amp;"OT(REGEXMATCH(C2944, ""薪資""))), ""內部轉帳(忽略)"",
  REGEXMATCH(C2944, ""薪資""), ""薪資變動(不計入)"",
  REGEXMATCH(C2944, ""押金""), ""押金往來"",
  AND(E2944&lt;&gt;"""", F2944=""""), ""真實支出"",
  AND(E2944="""", F2944&lt;&gt;""""), ""真實收入"",
  TRUE, ""其他""
)"),"真實收入")</f>
        <v>真實收入</v>
      </c>
      <c r="K2944" s="270">
        <f t="shared" si="2"/>
        <v>13800</v>
      </c>
      <c r="L2944">
        <f t="shared" si="3"/>
        <v>0</v>
      </c>
    </row>
    <row r="2945">
      <c r="A2945" s="107">
        <f>IFERROR(__xludf.DUMMYFUNCTION("""COMPUTED_VALUE"""),45992.0)</f>
        <v>45992</v>
      </c>
      <c r="B2945" t="str">
        <f>IFERROR(__xludf.DUMMYFUNCTION("""COMPUTED_VALUE"""),"[中山北娘家旁] D [洪琦媜] 月租金 後五碼:25359 (行號: 55)")</f>
        <v>[中山北娘家旁] D [洪琦媜] 月租金 後五碼:25359 (行號: 55)</v>
      </c>
      <c r="C2945" t="str">
        <f>IFERROR(__xludf.DUMMYFUNCTION("""COMPUTED_VALUE"""),"收入 - 租金")</f>
        <v>收入 - 租金</v>
      </c>
      <c r="D2945" s="270">
        <f>IFERROR(__xludf.DUMMYFUNCTION("""COMPUTED_VALUE"""),14500.0)</f>
        <v>14500</v>
      </c>
      <c r="F2945" t="str">
        <f>IFERROR(__xludf.DUMMYFUNCTION("""COMPUTED_VALUE"""),"台銀籌備帳戶")</f>
        <v>台銀籌備帳戶</v>
      </c>
      <c r="G2945" t="str">
        <f>IFERROR(__xludf.DUMMYFUNCTION("""COMPUTED_VALUE"""),"中山北娘家旁")</f>
        <v>中山北娘家旁</v>
      </c>
      <c r="H2945" s="106" t="str">
        <f t="shared" si="1"/>
        <v>2025-12</v>
      </c>
      <c r="I2945" s="271" t="str">
        <f>IFERROR(__xludf.DUMMYFUNCTION("""COMPUTED_VALUE"""),"貓狗企鵝")</f>
        <v>貓狗企鵝</v>
      </c>
      <c r="J2945" t="str">
        <f>IFERROR(__xludf.DUMMYFUNCTION("IFS(
  AND(REGEXMATCH(E2945, ""台銀籌備帳戶|玉山帳戶""), REGEXMATCH(C2945, ""薪資"")), ""分潤支出"",
  AND(REGEXMATCH(E2945, ""Ben帳戶|Elsa帳戶|Ben代墊|Ariel代墊|中信銀行共用""), REGEXMATCH(F2945, ""Ben帳戶|Elsa帳戶|Ben代墊|Ariel代墊|中信銀行共用"")), ""內部轉帳(忽略)"",
  AND(E2945&lt;&gt;"""", F2945&lt;&gt;"""", N"&amp;"OT(REGEXMATCH(C2945, ""薪資""))), ""內部轉帳(忽略)"",
  REGEXMATCH(C2945, ""薪資""), ""薪資變動(不計入)"",
  REGEXMATCH(C2945, ""押金""), ""押金往來"",
  AND(E2945&lt;&gt;"""", F2945=""""), ""真實支出"",
  AND(E2945="""", F2945&lt;&gt;""""), ""真實收入"",
  TRUE, ""其他""
)"),"真實收入")</f>
        <v>真實收入</v>
      </c>
      <c r="K2945" s="270">
        <f t="shared" si="2"/>
        <v>14500</v>
      </c>
      <c r="L2945">
        <f t="shared" si="3"/>
        <v>0</v>
      </c>
    </row>
    <row r="2946">
      <c r="A2946" s="107">
        <f>IFERROR(__xludf.DUMMYFUNCTION("""COMPUTED_VALUE"""),45992.0)</f>
        <v>45992</v>
      </c>
      <c r="B2946" t="str">
        <f>IFERROR(__xludf.DUMMYFUNCTION("""COMPUTED_VALUE"""),"[大湖山莊] F [李佳芸, 吉俊儒] 月租金 後五碼:36938 (行號: 56)")</f>
        <v>[大湖山莊] F [李佳芸, 吉俊儒] 月租金 後五碼:36938 (行號: 56)</v>
      </c>
      <c r="C2946" t="str">
        <f>IFERROR(__xludf.DUMMYFUNCTION("""COMPUTED_VALUE"""),"收入 - 租金")</f>
        <v>收入 - 租金</v>
      </c>
      <c r="D2946" s="270">
        <f>IFERROR(__xludf.DUMMYFUNCTION("""COMPUTED_VALUE"""),18300.0)</f>
        <v>18300</v>
      </c>
      <c r="F2946" t="str">
        <f>IFERROR(__xludf.DUMMYFUNCTION("""COMPUTED_VALUE"""),"台銀籌備帳戶")</f>
        <v>台銀籌備帳戶</v>
      </c>
      <c r="G2946" t="str">
        <f>IFERROR(__xludf.DUMMYFUNCTION("""COMPUTED_VALUE"""),"大湖山莊")</f>
        <v>大湖山莊</v>
      </c>
      <c r="H2946" s="106" t="str">
        <f t="shared" si="1"/>
        <v>2025-12</v>
      </c>
      <c r="I2946" s="271" t="str">
        <f>IFERROR(__xludf.DUMMYFUNCTION("""COMPUTED_VALUE"""),"貓狗企鵝")</f>
        <v>貓狗企鵝</v>
      </c>
      <c r="J2946" t="str">
        <f>IFERROR(__xludf.DUMMYFUNCTION("IFS(
  AND(REGEXMATCH(E2946, ""台銀籌備帳戶|玉山帳戶""), REGEXMATCH(C2946, ""薪資"")), ""分潤支出"",
  AND(REGEXMATCH(E2946, ""Ben帳戶|Elsa帳戶|Ben代墊|Ariel代墊|中信銀行共用""), REGEXMATCH(F2946, ""Ben帳戶|Elsa帳戶|Ben代墊|Ariel代墊|中信銀行共用"")), ""內部轉帳(忽略)"",
  AND(E2946&lt;&gt;"""", F2946&lt;&gt;"""", N"&amp;"OT(REGEXMATCH(C2946, ""薪資""))), ""內部轉帳(忽略)"",
  REGEXMATCH(C2946, ""薪資""), ""薪資變動(不計入)"",
  REGEXMATCH(C2946, ""押金""), ""押金往來"",
  AND(E2946&lt;&gt;"""", F2946=""""), ""真實支出"",
  AND(E2946="""", F2946&lt;&gt;""""), ""真實收入"",
  TRUE, ""其他""
)"),"真實收入")</f>
        <v>真實收入</v>
      </c>
      <c r="K2946" s="270">
        <f t="shared" si="2"/>
        <v>18300</v>
      </c>
      <c r="L2946">
        <f t="shared" si="3"/>
        <v>0</v>
      </c>
    </row>
    <row r="2947">
      <c r="A2947" s="107">
        <f>IFERROR(__xludf.DUMMYFUNCTION("""COMPUTED_VALUE"""),45992.0)</f>
        <v>45992</v>
      </c>
      <c r="B2947" t="str">
        <f>IFERROR(__xludf.DUMMYFUNCTION("""COMPUTED_VALUE"""),"[永春四號] C [林聿妡] 月租金 後五碼:47900 (行號: 57)")</f>
        <v>[永春四號] C [林聿妡] 月租金 後五碼:47900 (行號: 57)</v>
      </c>
      <c r="C2947" t="str">
        <f>IFERROR(__xludf.DUMMYFUNCTION("""COMPUTED_VALUE"""),"收入 - 租金")</f>
        <v>收入 - 租金</v>
      </c>
      <c r="D2947" s="270">
        <f>IFERROR(__xludf.DUMMYFUNCTION("""COMPUTED_VALUE"""),12800.0)</f>
        <v>12800</v>
      </c>
      <c r="F2947" t="str">
        <f>IFERROR(__xludf.DUMMYFUNCTION("""COMPUTED_VALUE"""),"台銀籌備帳戶")</f>
        <v>台銀籌備帳戶</v>
      </c>
      <c r="G2947" t="str">
        <f>IFERROR(__xludf.DUMMYFUNCTION("""COMPUTED_VALUE"""),"永春四號")</f>
        <v>永春四號</v>
      </c>
      <c r="H2947" s="106" t="str">
        <f t="shared" si="1"/>
        <v>2025-12</v>
      </c>
      <c r="I2947" s="271" t="str">
        <f>IFERROR(__xludf.DUMMYFUNCTION("""COMPUTED_VALUE"""),"貓狗企鵝")</f>
        <v>貓狗企鵝</v>
      </c>
      <c r="J2947" t="str">
        <f>IFERROR(__xludf.DUMMYFUNCTION("IFS(
  AND(REGEXMATCH(E2947, ""台銀籌備帳戶|玉山帳戶""), REGEXMATCH(C2947, ""薪資"")), ""分潤支出"",
  AND(REGEXMATCH(E2947, ""Ben帳戶|Elsa帳戶|Ben代墊|Ariel代墊|中信銀行共用""), REGEXMATCH(F2947, ""Ben帳戶|Elsa帳戶|Ben代墊|Ariel代墊|中信銀行共用"")), ""內部轉帳(忽略)"",
  AND(E2947&lt;&gt;"""", F2947&lt;&gt;"""", N"&amp;"OT(REGEXMATCH(C2947, ""薪資""))), ""內部轉帳(忽略)"",
  REGEXMATCH(C2947, ""薪資""), ""薪資變動(不計入)"",
  REGEXMATCH(C2947, ""押金""), ""押金往來"",
  AND(E2947&lt;&gt;"""", F2947=""""), ""真實支出"",
  AND(E2947="""", F2947&lt;&gt;""""), ""真實收入"",
  TRUE, ""其他""
)"),"真實收入")</f>
        <v>真實收入</v>
      </c>
      <c r="K2947" s="270">
        <f t="shared" si="2"/>
        <v>12800</v>
      </c>
      <c r="L2947">
        <f t="shared" si="3"/>
        <v>0</v>
      </c>
    </row>
    <row r="2948">
      <c r="A2948" s="107">
        <f>IFERROR(__xludf.DUMMYFUNCTION("""COMPUTED_VALUE"""),45992.0)</f>
        <v>45992</v>
      </c>
      <c r="B2948" t="str">
        <f>IFERROR(__xludf.DUMMYFUNCTION("""COMPUTED_VALUE"""),"[中山北Feli家] B [杜思瑀, 陳廷瀀] 月租金 後五碼:48700/92961 (行號: 58, 59)")</f>
        <v>[中山北Feli家] B [杜思瑀, 陳廷瀀] 月租金 後五碼:48700/92961 (行號: 58, 59)</v>
      </c>
      <c r="C2948" t="str">
        <f>IFERROR(__xludf.DUMMYFUNCTION("""COMPUTED_VALUE"""),"收入 - 租金")</f>
        <v>收入 - 租金</v>
      </c>
      <c r="D2948" s="270">
        <f>IFERROR(__xludf.DUMMYFUNCTION("""COMPUTED_VALUE"""),17500.0)</f>
        <v>17500</v>
      </c>
      <c r="F2948" t="str">
        <f>IFERROR(__xludf.DUMMYFUNCTION("""COMPUTED_VALUE"""),"台銀籌備帳戶")</f>
        <v>台銀籌備帳戶</v>
      </c>
      <c r="G2948" t="str">
        <f>IFERROR(__xludf.DUMMYFUNCTION("""COMPUTED_VALUE"""),"中山北Feli家")</f>
        <v>中山北Feli家</v>
      </c>
      <c r="H2948" s="106" t="str">
        <f t="shared" si="1"/>
        <v>2025-12</v>
      </c>
      <c r="I2948" s="271" t="str">
        <f>IFERROR(__xludf.DUMMYFUNCTION("""COMPUTED_VALUE"""),"貓狗企鵝")</f>
        <v>貓狗企鵝</v>
      </c>
      <c r="J2948" t="str">
        <f>IFERROR(__xludf.DUMMYFUNCTION("IFS(
  AND(REGEXMATCH(E2948, ""台銀籌備帳戶|玉山帳戶""), REGEXMATCH(C2948, ""薪資"")), ""分潤支出"",
  AND(REGEXMATCH(E2948, ""Ben帳戶|Elsa帳戶|Ben代墊|Ariel代墊|中信銀行共用""), REGEXMATCH(F2948, ""Ben帳戶|Elsa帳戶|Ben代墊|Ariel代墊|中信銀行共用"")), ""內部轉帳(忽略)"",
  AND(E2948&lt;&gt;"""", F2948&lt;&gt;"""", N"&amp;"OT(REGEXMATCH(C2948, ""薪資""))), ""內部轉帳(忽略)"",
  REGEXMATCH(C2948, ""薪資""), ""薪資變動(不計入)"",
  REGEXMATCH(C2948, ""押金""), ""押金往來"",
  AND(E2948&lt;&gt;"""", F2948=""""), ""真實支出"",
  AND(E2948="""", F2948&lt;&gt;""""), ""真實收入"",
  TRUE, ""其他""
)"),"真實收入")</f>
        <v>真實收入</v>
      </c>
      <c r="K2948" s="270">
        <f t="shared" si="2"/>
        <v>17500</v>
      </c>
      <c r="L2948">
        <f t="shared" si="3"/>
        <v>0</v>
      </c>
    </row>
    <row r="2949">
      <c r="A2949" s="107">
        <f>IFERROR(__xludf.DUMMYFUNCTION("""COMPUTED_VALUE"""),45992.0)</f>
        <v>45992</v>
      </c>
      <c r="B2949" t="str">
        <f>IFERROR(__xludf.DUMMYFUNCTION("""COMPUTED_VALUE"""),"[景安2分鐘] B [張依憑, 張語婕] 月租金 後五碼:93469 (行號: 60)")</f>
        <v>[景安2分鐘] B [張依憑, 張語婕] 月租金 後五碼:93469 (行號: 60)</v>
      </c>
      <c r="C2949" t="str">
        <f>IFERROR(__xludf.DUMMYFUNCTION("""COMPUTED_VALUE"""),"收入 - 租金")</f>
        <v>收入 - 租金</v>
      </c>
      <c r="D2949" s="270">
        <f>IFERROR(__xludf.DUMMYFUNCTION("""COMPUTED_VALUE"""),18800.0)</f>
        <v>18800</v>
      </c>
      <c r="F2949" t="str">
        <f>IFERROR(__xludf.DUMMYFUNCTION("""COMPUTED_VALUE"""),"台銀籌備帳戶")</f>
        <v>台銀籌備帳戶</v>
      </c>
      <c r="G2949" t="str">
        <f>IFERROR(__xludf.DUMMYFUNCTION("""COMPUTED_VALUE"""),"景安2分鐘")</f>
        <v>景安2分鐘</v>
      </c>
      <c r="H2949" s="106" t="str">
        <f t="shared" si="1"/>
        <v>2025-12</v>
      </c>
      <c r="I2949" s="271" t="str">
        <f>IFERROR(__xludf.DUMMYFUNCTION("""COMPUTED_VALUE"""),"貓狗企鵝")</f>
        <v>貓狗企鵝</v>
      </c>
      <c r="J2949" t="str">
        <f>IFERROR(__xludf.DUMMYFUNCTION("IFS(
  AND(REGEXMATCH(E2949, ""台銀籌備帳戶|玉山帳戶""), REGEXMATCH(C2949, ""薪資"")), ""分潤支出"",
  AND(REGEXMATCH(E2949, ""Ben帳戶|Elsa帳戶|Ben代墊|Ariel代墊|中信銀行共用""), REGEXMATCH(F2949, ""Ben帳戶|Elsa帳戶|Ben代墊|Ariel代墊|中信銀行共用"")), ""內部轉帳(忽略)"",
  AND(E2949&lt;&gt;"""", F2949&lt;&gt;"""", N"&amp;"OT(REGEXMATCH(C2949, ""薪資""))), ""內部轉帳(忽略)"",
  REGEXMATCH(C2949, ""薪資""), ""薪資變動(不計入)"",
  REGEXMATCH(C2949, ""押金""), ""押金往來"",
  AND(E2949&lt;&gt;"""", F2949=""""), ""真實支出"",
  AND(E2949="""", F2949&lt;&gt;""""), ""真實收入"",
  TRUE, ""其他""
)"),"真實收入")</f>
        <v>真實收入</v>
      </c>
      <c r="K2949" s="270">
        <f t="shared" si="2"/>
        <v>18800</v>
      </c>
      <c r="L2949">
        <f t="shared" si="3"/>
        <v>0</v>
      </c>
    </row>
    <row r="2950">
      <c r="A2950" s="107">
        <f>IFERROR(__xludf.DUMMYFUNCTION("""COMPUTED_VALUE"""),45992.0)</f>
        <v>45992</v>
      </c>
      <c r="B2950" t="str">
        <f>IFERROR(__xludf.DUMMYFUNCTION("""COMPUTED_VALUE"""),"[書香民生] B [吳小朋] 月租金 後五碼:54102 (行號: 61)")</f>
        <v>[書香民生] B [吳小朋] 月租金 後五碼:54102 (行號: 61)</v>
      </c>
      <c r="C2950" t="str">
        <f>IFERROR(__xludf.DUMMYFUNCTION("""COMPUTED_VALUE"""),"收入 - 租金")</f>
        <v>收入 - 租金</v>
      </c>
      <c r="D2950" s="270">
        <f>IFERROR(__xludf.DUMMYFUNCTION("""COMPUTED_VALUE"""),17800.0)</f>
        <v>17800</v>
      </c>
      <c r="F2950" t="str">
        <f>IFERROR(__xludf.DUMMYFUNCTION("""COMPUTED_VALUE"""),"台銀籌備帳戶")</f>
        <v>台銀籌備帳戶</v>
      </c>
      <c r="G2950" t="str">
        <f>IFERROR(__xludf.DUMMYFUNCTION("""COMPUTED_VALUE"""),"書香民生")</f>
        <v>書香民生</v>
      </c>
      <c r="H2950" s="106" t="str">
        <f t="shared" si="1"/>
        <v>2025-12</v>
      </c>
      <c r="I2950" s="271" t="str">
        <f>IFERROR(__xludf.DUMMYFUNCTION("""COMPUTED_VALUE"""),"貓狗企鵝")</f>
        <v>貓狗企鵝</v>
      </c>
      <c r="J2950" t="str">
        <f>IFERROR(__xludf.DUMMYFUNCTION("IFS(
  AND(REGEXMATCH(E2950, ""台銀籌備帳戶|玉山帳戶""), REGEXMATCH(C2950, ""薪資"")), ""分潤支出"",
  AND(REGEXMATCH(E2950, ""Ben帳戶|Elsa帳戶|Ben代墊|Ariel代墊|中信銀行共用""), REGEXMATCH(F2950, ""Ben帳戶|Elsa帳戶|Ben代墊|Ariel代墊|中信銀行共用"")), ""內部轉帳(忽略)"",
  AND(E2950&lt;&gt;"""", F2950&lt;&gt;"""", N"&amp;"OT(REGEXMATCH(C2950, ""薪資""))), ""內部轉帳(忽略)"",
  REGEXMATCH(C2950, ""薪資""), ""薪資變動(不計入)"",
  REGEXMATCH(C2950, ""押金""), ""押金往來"",
  AND(E2950&lt;&gt;"""", F2950=""""), ""真實支出"",
  AND(E2950="""", F2950&lt;&gt;""""), ""真實收入"",
  TRUE, ""其他""
)"),"真實收入")</f>
        <v>真實收入</v>
      </c>
      <c r="K2950" s="270">
        <f t="shared" si="2"/>
        <v>17800</v>
      </c>
      <c r="L2950">
        <f t="shared" si="3"/>
        <v>0</v>
      </c>
    </row>
    <row r="2951">
      <c r="A2951" s="107">
        <f>IFERROR(__xludf.DUMMYFUNCTION("""COMPUTED_VALUE"""),45992.0)</f>
        <v>45992</v>
      </c>
      <c r="B2951" t="str">
        <f>IFERROR(__xludf.DUMMYFUNCTION("""COMPUTED_VALUE"""),"[大湖山莊] E [吳宗祐] 月租金 後五碼:60828 (行號: 62)")</f>
        <v>[大湖山莊] E [吳宗祐] 月租金 後五碼:60828 (行號: 62)</v>
      </c>
      <c r="C2951" t="str">
        <f>IFERROR(__xludf.DUMMYFUNCTION("""COMPUTED_VALUE"""),"收入 - 租金")</f>
        <v>收入 - 租金</v>
      </c>
      <c r="D2951" s="270">
        <f>IFERROR(__xludf.DUMMYFUNCTION("""COMPUTED_VALUE"""),11500.0)</f>
        <v>11500</v>
      </c>
      <c r="F2951" t="str">
        <f>IFERROR(__xludf.DUMMYFUNCTION("""COMPUTED_VALUE"""),"台銀籌備帳戶")</f>
        <v>台銀籌備帳戶</v>
      </c>
      <c r="G2951" t="str">
        <f>IFERROR(__xludf.DUMMYFUNCTION("""COMPUTED_VALUE"""),"大湖山莊")</f>
        <v>大湖山莊</v>
      </c>
      <c r="H2951" s="106" t="str">
        <f t="shared" si="1"/>
        <v>2025-12</v>
      </c>
      <c r="I2951" s="271" t="str">
        <f>IFERROR(__xludf.DUMMYFUNCTION("""COMPUTED_VALUE"""),"貓狗企鵝")</f>
        <v>貓狗企鵝</v>
      </c>
      <c r="J2951" t="str">
        <f>IFERROR(__xludf.DUMMYFUNCTION("IFS(
  AND(REGEXMATCH(E2951, ""台銀籌備帳戶|玉山帳戶""), REGEXMATCH(C2951, ""薪資"")), ""分潤支出"",
  AND(REGEXMATCH(E2951, ""Ben帳戶|Elsa帳戶|Ben代墊|Ariel代墊|中信銀行共用""), REGEXMATCH(F2951, ""Ben帳戶|Elsa帳戶|Ben代墊|Ariel代墊|中信銀行共用"")), ""內部轉帳(忽略)"",
  AND(E2951&lt;&gt;"""", F2951&lt;&gt;"""", N"&amp;"OT(REGEXMATCH(C2951, ""薪資""))), ""內部轉帳(忽略)"",
  REGEXMATCH(C2951, ""薪資""), ""薪資變動(不計入)"",
  REGEXMATCH(C2951, ""押金""), ""押金往來"",
  AND(E2951&lt;&gt;"""", F2951=""""), ""真實支出"",
  AND(E2951="""", F2951&lt;&gt;""""), ""真實收入"",
  TRUE, ""其他""
)"),"真實收入")</f>
        <v>真實收入</v>
      </c>
      <c r="K2951" s="270">
        <f t="shared" si="2"/>
        <v>11500</v>
      </c>
      <c r="L2951">
        <f t="shared" si="3"/>
        <v>0</v>
      </c>
    </row>
    <row r="2952">
      <c r="A2952" s="107">
        <f>IFERROR(__xludf.DUMMYFUNCTION("""COMPUTED_VALUE"""),45992.0)</f>
        <v>45992</v>
      </c>
      <c r="B2952" t="str">
        <f>IFERROR(__xludf.DUMMYFUNCTION("""COMPUTED_VALUE"""),"[書香民生] G [朱彥蓉] 月租金 後五碼:82950 (行號: 63)")</f>
        <v>[書香民生] G [朱彥蓉] 月租金 後五碼:82950 (行號: 63)</v>
      </c>
      <c r="C2952" t="str">
        <f>IFERROR(__xludf.DUMMYFUNCTION("""COMPUTED_VALUE"""),"收入 - 租金")</f>
        <v>收入 - 租金</v>
      </c>
      <c r="D2952" s="270">
        <f>IFERROR(__xludf.DUMMYFUNCTION("""COMPUTED_VALUE"""),16800.0)</f>
        <v>16800</v>
      </c>
      <c r="F2952" t="str">
        <f>IFERROR(__xludf.DUMMYFUNCTION("""COMPUTED_VALUE"""),"台銀籌備帳戶")</f>
        <v>台銀籌備帳戶</v>
      </c>
      <c r="G2952" t="str">
        <f>IFERROR(__xludf.DUMMYFUNCTION("""COMPUTED_VALUE"""),"書香民生")</f>
        <v>書香民生</v>
      </c>
      <c r="H2952" s="106" t="str">
        <f t="shared" si="1"/>
        <v>2025-12</v>
      </c>
      <c r="I2952" s="271" t="str">
        <f>IFERROR(__xludf.DUMMYFUNCTION("""COMPUTED_VALUE"""),"貓狗企鵝")</f>
        <v>貓狗企鵝</v>
      </c>
      <c r="J2952" t="str">
        <f>IFERROR(__xludf.DUMMYFUNCTION("IFS(
  AND(REGEXMATCH(E2952, ""台銀籌備帳戶|玉山帳戶""), REGEXMATCH(C2952, ""薪資"")), ""分潤支出"",
  AND(REGEXMATCH(E2952, ""Ben帳戶|Elsa帳戶|Ben代墊|Ariel代墊|中信銀行共用""), REGEXMATCH(F2952, ""Ben帳戶|Elsa帳戶|Ben代墊|Ariel代墊|中信銀行共用"")), ""內部轉帳(忽略)"",
  AND(E2952&lt;&gt;"""", F2952&lt;&gt;"""", N"&amp;"OT(REGEXMATCH(C2952, ""薪資""))), ""內部轉帳(忽略)"",
  REGEXMATCH(C2952, ""薪資""), ""薪資變動(不計入)"",
  REGEXMATCH(C2952, ""押金""), ""押金往來"",
  AND(E2952&lt;&gt;"""", F2952=""""), ""真實支出"",
  AND(E2952="""", F2952&lt;&gt;""""), ""真實收入"",
  TRUE, ""其他""
)"),"真實收入")</f>
        <v>真實收入</v>
      </c>
      <c r="K2952" s="270">
        <f t="shared" si="2"/>
        <v>16800</v>
      </c>
      <c r="L2952">
        <f t="shared" si="3"/>
        <v>0</v>
      </c>
    </row>
    <row r="2953">
      <c r="A2953" s="107">
        <f>IFERROR(__xludf.DUMMYFUNCTION("""COMPUTED_VALUE"""),45992.0)</f>
        <v>45992</v>
      </c>
      <c r="B2953" t="str">
        <f>IFERROR(__xludf.DUMMYFUNCTION("""COMPUTED_VALUE"""),"[北醫醫師府] B [王品涵] 月租金 後五碼:26127 (行號: 64)")</f>
        <v>[北醫醫師府] B [王品涵] 月租金 後五碼:26127 (行號: 64)</v>
      </c>
      <c r="C2953" t="str">
        <f>IFERROR(__xludf.DUMMYFUNCTION("""COMPUTED_VALUE"""),"收入 - 租金")</f>
        <v>收入 - 租金</v>
      </c>
      <c r="D2953" s="270">
        <f>IFERROR(__xludf.DUMMYFUNCTION("""COMPUTED_VALUE"""),17800.0)</f>
        <v>17800</v>
      </c>
      <c r="F2953" t="str">
        <f>IFERROR(__xludf.DUMMYFUNCTION("""COMPUTED_VALUE"""),"台銀籌備帳戶")</f>
        <v>台銀籌備帳戶</v>
      </c>
      <c r="G2953" t="str">
        <f>IFERROR(__xludf.DUMMYFUNCTION("""COMPUTED_VALUE"""),"北醫醫師府")</f>
        <v>北醫醫師府</v>
      </c>
      <c r="H2953" s="106" t="str">
        <f t="shared" si="1"/>
        <v>2025-12</v>
      </c>
      <c r="I2953" s="271" t="str">
        <f>IFERROR(__xludf.DUMMYFUNCTION("""COMPUTED_VALUE"""),"貓狗企鵝")</f>
        <v>貓狗企鵝</v>
      </c>
      <c r="J2953" t="str">
        <f>IFERROR(__xludf.DUMMYFUNCTION("IFS(
  AND(REGEXMATCH(E2953, ""台銀籌備帳戶|玉山帳戶""), REGEXMATCH(C2953, ""薪資"")), ""分潤支出"",
  AND(REGEXMATCH(E2953, ""Ben帳戶|Elsa帳戶|Ben代墊|Ariel代墊|中信銀行共用""), REGEXMATCH(F2953, ""Ben帳戶|Elsa帳戶|Ben代墊|Ariel代墊|中信銀行共用"")), ""內部轉帳(忽略)"",
  AND(E2953&lt;&gt;"""", F2953&lt;&gt;"""", N"&amp;"OT(REGEXMATCH(C2953, ""薪資""))), ""內部轉帳(忽略)"",
  REGEXMATCH(C2953, ""薪資""), ""薪資變動(不計入)"",
  REGEXMATCH(C2953, ""押金""), ""押金往來"",
  AND(E2953&lt;&gt;"""", F2953=""""), ""真實支出"",
  AND(E2953="""", F2953&lt;&gt;""""), ""真實收入"",
  TRUE, ""其他""
)"),"真實收入")</f>
        <v>真實收入</v>
      </c>
      <c r="K2953" s="270">
        <f t="shared" si="2"/>
        <v>17800</v>
      </c>
      <c r="L2953">
        <f t="shared" si="3"/>
        <v>0</v>
      </c>
    </row>
    <row r="2954">
      <c r="A2954" s="107">
        <f>IFERROR(__xludf.DUMMYFUNCTION("""COMPUTED_VALUE"""),45992.0)</f>
        <v>45992</v>
      </c>
      <c r="B2954" t="str">
        <f>IFERROR(__xludf.DUMMYFUNCTION("""COMPUTED_VALUE"""),"[哈拉對面] C [徐鉦庭] 月租金 後五碼:14482 (行號: 65)")</f>
        <v>[哈拉對面] C [徐鉦庭] 月租金 後五碼:14482 (行號: 65)</v>
      </c>
      <c r="C2954" t="str">
        <f>IFERROR(__xludf.DUMMYFUNCTION("""COMPUTED_VALUE"""),"收入 - 租金")</f>
        <v>收入 - 租金</v>
      </c>
      <c r="D2954" s="270">
        <f>IFERROR(__xludf.DUMMYFUNCTION("""COMPUTED_VALUE"""),11800.0)</f>
        <v>11800</v>
      </c>
      <c r="F2954" t="str">
        <f>IFERROR(__xludf.DUMMYFUNCTION("""COMPUTED_VALUE"""),"台銀籌備帳戶")</f>
        <v>台銀籌備帳戶</v>
      </c>
      <c r="G2954" t="str">
        <f>IFERROR(__xludf.DUMMYFUNCTION("""COMPUTED_VALUE"""),"哈拉對面")</f>
        <v>哈拉對面</v>
      </c>
      <c r="H2954" s="106" t="str">
        <f t="shared" si="1"/>
        <v>2025-12</v>
      </c>
      <c r="I2954" s="271" t="str">
        <f>IFERROR(__xludf.DUMMYFUNCTION("""COMPUTED_VALUE"""),"貓狗企鵝")</f>
        <v>貓狗企鵝</v>
      </c>
      <c r="J2954" t="str">
        <f>IFERROR(__xludf.DUMMYFUNCTION("IFS(
  AND(REGEXMATCH(E2954, ""台銀籌備帳戶|玉山帳戶""), REGEXMATCH(C2954, ""薪資"")), ""分潤支出"",
  AND(REGEXMATCH(E2954, ""Ben帳戶|Elsa帳戶|Ben代墊|Ariel代墊|中信銀行共用""), REGEXMATCH(F2954, ""Ben帳戶|Elsa帳戶|Ben代墊|Ariel代墊|中信銀行共用"")), ""內部轉帳(忽略)"",
  AND(E2954&lt;&gt;"""", F2954&lt;&gt;"""", N"&amp;"OT(REGEXMATCH(C2954, ""薪資""))), ""內部轉帳(忽略)"",
  REGEXMATCH(C2954, ""薪資""), ""薪資變動(不計入)"",
  REGEXMATCH(C2954, ""押金""), ""押金往來"",
  AND(E2954&lt;&gt;"""", F2954=""""), ""真實支出"",
  AND(E2954="""", F2954&lt;&gt;""""), ""真實收入"",
  TRUE, ""其他""
)"),"真實收入")</f>
        <v>真實收入</v>
      </c>
      <c r="K2954" s="270">
        <f t="shared" si="2"/>
        <v>11800</v>
      </c>
      <c r="L2954">
        <f t="shared" si="3"/>
        <v>0</v>
      </c>
    </row>
    <row r="2955">
      <c r="A2955" s="107">
        <f>IFERROR(__xludf.DUMMYFUNCTION("""COMPUTED_VALUE"""),45992.0)</f>
        <v>45992</v>
      </c>
      <c r="B2955" t="str">
        <f>IFERROR(__xludf.DUMMYFUNCTION("""COMPUTED_VALUE"""),"[中山北娘家旁] A [李亨加] 月租金 後五碼:86076 (行號: 66, 67)")</f>
        <v>[中山北娘家旁] A [李亨加] 月租金 後五碼:86076 (行號: 66, 67)</v>
      </c>
      <c r="C2955" t="str">
        <f>IFERROR(__xludf.DUMMYFUNCTION("""COMPUTED_VALUE"""),"收入 - 租金")</f>
        <v>收入 - 租金</v>
      </c>
      <c r="D2955" s="270">
        <f>IFERROR(__xludf.DUMMYFUNCTION("""COMPUTED_VALUE"""),12500.0)</f>
        <v>12500</v>
      </c>
      <c r="F2955" t="str">
        <f>IFERROR(__xludf.DUMMYFUNCTION("""COMPUTED_VALUE"""),"台銀籌備帳戶")</f>
        <v>台銀籌備帳戶</v>
      </c>
      <c r="G2955" t="str">
        <f>IFERROR(__xludf.DUMMYFUNCTION("""COMPUTED_VALUE"""),"中山北娘家旁")</f>
        <v>中山北娘家旁</v>
      </c>
      <c r="H2955" s="106" t="str">
        <f t="shared" si="1"/>
        <v>2025-12</v>
      </c>
      <c r="I2955" s="271" t="str">
        <f>IFERROR(__xludf.DUMMYFUNCTION("""COMPUTED_VALUE"""),"貓狗企鵝")</f>
        <v>貓狗企鵝</v>
      </c>
      <c r="J2955" t="str">
        <f>IFERROR(__xludf.DUMMYFUNCTION("IFS(
  AND(REGEXMATCH(E2955, ""台銀籌備帳戶|玉山帳戶""), REGEXMATCH(C2955, ""薪資"")), ""分潤支出"",
  AND(REGEXMATCH(E2955, ""Ben帳戶|Elsa帳戶|Ben代墊|Ariel代墊|中信銀行共用""), REGEXMATCH(F2955, ""Ben帳戶|Elsa帳戶|Ben代墊|Ariel代墊|中信銀行共用"")), ""內部轉帳(忽略)"",
  AND(E2955&lt;&gt;"""", F2955&lt;&gt;"""", N"&amp;"OT(REGEXMATCH(C2955, ""薪資""))), ""內部轉帳(忽略)"",
  REGEXMATCH(C2955, ""薪資""), ""薪資變動(不計入)"",
  REGEXMATCH(C2955, ""押金""), ""押金往來"",
  AND(E2955&lt;&gt;"""", F2955=""""), ""真實支出"",
  AND(E2955="""", F2955&lt;&gt;""""), ""真實收入"",
  TRUE, ""其他""
)"),"真實收入")</f>
        <v>真實收入</v>
      </c>
      <c r="K2955" s="270">
        <f t="shared" si="2"/>
        <v>12500</v>
      </c>
      <c r="L2955">
        <f t="shared" si="3"/>
        <v>0</v>
      </c>
    </row>
    <row r="2956">
      <c r="A2956" s="107">
        <f>IFERROR(__xludf.DUMMYFUNCTION("""COMPUTED_VALUE"""),45992.0)</f>
        <v>45992</v>
      </c>
      <c r="B2956" t="str">
        <f>IFERROR(__xludf.DUMMYFUNCTION("""COMPUTED_VALUE""")," [北醫醫師府] E [楊東憲] 合約 CR00133 後五碼:77237 (行號: 81)")</f>
        <v> [北醫醫師府] E [楊東憲] 合約 CR00133 後五碼:77237 (行號: 81)</v>
      </c>
      <c r="C2956" t="str">
        <f>IFERROR(__xludf.DUMMYFUNCTION("""COMPUTED_VALUE"""),"收入 - 租金")</f>
        <v>收入 - 租金</v>
      </c>
      <c r="D2956" s="270">
        <f>IFERROR(__xludf.DUMMYFUNCTION("""COMPUTED_VALUE"""),29600.0)</f>
        <v>29600</v>
      </c>
      <c r="F2956" t="str">
        <f>IFERROR(__xludf.DUMMYFUNCTION("""COMPUTED_VALUE"""),"台銀籌備帳戶")</f>
        <v>台銀籌備帳戶</v>
      </c>
      <c r="G2956" t="str">
        <f>IFERROR(__xludf.DUMMYFUNCTION("""COMPUTED_VALUE"""),"北醫醫師府")</f>
        <v>北醫醫師府</v>
      </c>
      <c r="H2956" s="106" t="str">
        <f t="shared" si="1"/>
        <v>2025-12</v>
      </c>
      <c r="I2956" s="271" t="str">
        <f>IFERROR(__xludf.DUMMYFUNCTION("""COMPUTED_VALUE"""),"貓狗企鵝")</f>
        <v>貓狗企鵝</v>
      </c>
      <c r="J2956" t="str">
        <f>IFERROR(__xludf.DUMMYFUNCTION("IFS(
  AND(REGEXMATCH(E2956, ""台銀籌備帳戶|玉山帳戶""), REGEXMATCH(C2956, ""薪資"")), ""分潤支出"",
  AND(REGEXMATCH(E2956, ""Ben帳戶|Elsa帳戶|Ben代墊|Ariel代墊|中信銀行共用""), REGEXMATCH(F2956, ""Ben帳戶|Elsa帳戶|Ben代墊|Ariel代墊|中信銀行共用"")), ""內部轉帳(忽略)"",
  AND(E2956&lt;&gt;"""", F2956&lt;&gt;"""", N"&amp;"OT(REGEXMATCH(C2956, ""薪資""))), ""內部轉帳(忽略)"",
  REGEXMATCH(C2956, ""薪資""), ""薪資變動(不計入)"",
  REGEXMATCH(C2956, ""押金""), ""押金往來"",
  AND(E2956&lt;&gt;"""", F2956=""""), ""真實支出"",
  AND(E2956="""", F2956&lt;&gt;""""), ""真實收入"",
  TRUE, ""其他""
)"),"真實收入")</f>
        <v>真實收入</v>
      </c>
      <c r="K2956" s="270">
        <f t="shared" si="2"/>
        <v>29600</v>
      </c>
      <c r="L2956">
        <f t="shared" si="3"/>
        <v>0</v>
      </c>
    </row>
    <row r="2957">
      <c r="A2957" s="107">
        <f>IFERROR(__xludf.DUMMYFUNCTION("""COMPUTED_VALUE"""),45992.0)</f>
        <v>45992</v>
      </c>
      <c r="B2957" t="str">
        <f>IFERROR(__xludf.DUMMYFUNCTION("""COMPUTED_VALUE"""),"[哈拉對面] A [何丞翊] 月租金 後五碼:35538 (行號: 69)")</f>
        <v>[哈拉對面] A [何丞翊] 月租金 後五碼:35538 (行號: 69)</v>
      </c>
      <c r="C2957" t="str">
        <f>IFERROR(__xludf.DUMMYFUNCTION("""COMPUTED_VALUE"""),"收入 - 租金")</f>
        <v>收入 - 租金</v>
      </c>
      <c r="D2957" s="270">
        <f>IFERROR(__xludf.DUMMYFUNCTION("""COMPUTED_VALUE"""),11000.0)</f>
        <v>11000</v>
      </c>
      <c r="F2957" t="str">
        <f>IFERROR(__xludf.DUMMYFUNCTION("""COMPUTED_VALUE"""),"台銀籌備帳戶")</f>
        <v>台銀籌備帳戶</v>
      </c>
      <c r="G2957" t="str">
        <f>IFERROR(__xludf.DUMMYFUNCTION("""COMPUTED_VALUE"""),"哈拉對面")</f>
        <v>哈拉對面</v>
      </c>
      <c r="H2957" s="106" t="str">
        <f t="shared" si="1"/>
        <v>2025-12</v>
      </c>
      <c r="I2957" s="271" t="str">
        <f>IFERROR(__xludf.DUMMYFUNCTION("""COMPUTED_VALUE"""),"貓狗企鵝")</f>
        <v>貓狗企鵝</v>
      </c>
      <c r="J2957" t="str">
        <f>IFERROR(__xludf.DUMMYFUNCTION("IFS(
  AND(REGEXMATCH(E2957, ""台銀籌備帳戶|玉山帳戶""), REGEXMATCH(C2957, ""薪資"")), ""分潤支出"",
  AND(REGEXMATCH(E2957, ""Ben帳戶|Elsa帳戶|Ben代墊|Ariel代墊|中信銀行共用""), REGEXMATCH(F2957, ""Ben帳戶|Elsa帳戶|Ben代墊|Ariel代墊|中信銀行共用"")), ""內部轉帳(忽略)"",
  AND(E2957&lt;&gt;"""", F2957&lt;&gt;"""", N"&amp;"OT(REGEXMATCH(C2957, ""薪資""))), ""內部轉帳(忽略)"",
  REGEXMATCH(C2957, ""薪資""), ""薪資變動(不計入)"",
  REGEXMATCH(C2957, ""押金""), ""押金往來"",
  AND(E2957&lt;&gt;"""", F2957=""""), ""真實支出"",
  AND(E2957="""", F2957&lt;&gt;""""), ""真實收入"",
  TRUE, ""其他""
)"),"真實收入")</f>
        <v>真實收入</v>
      </c>
      <c r="K2957" s="270">
        <f t="shared" si="2"/>
        <v>11000</v>
      </c>
      <c r="L2957">
        <f t="shared" si="3"/>
        <v>0</v>
      </c>
    </row>
    <row r="2958">
      <c r="A2958" s="107">
        <f>IFERROR(__xludf.DUMMYFUNCTION("""COMPUTED_VALUE"""),45992.0)</f>
        <v>45992</v>
      </c>
      <c r="B2958" t="str">
        <f>IFERROR(__xludf.DUMMYFUNCTION("""COMPUTED_VALUE"""),"[景安2分鐘] C [吳品萱] 月租金 後五碼:40729 (行號: 70)")</f>
        <v>[景安2分鐘] C [吳品萱] 月租金 後五碼:40729 (行號: 70)</v>
      </c>
      <c r="C2958" t="str">
        <f>IFERROR(__xludf.DUMMYFUNCTION("""COMPUTED_VALUE"""),"收入 - 租金")</f>
        <v>收入 - 租金</v>
      </c>
      <c r="D2958" s="270">
        <f>IFERROR(__xludf.DUMMYFUNCTION("""COMPUTED_VALUE"""),12500.0)</f>
        <v>12500</v>
      </c>
      <c r="F2958" t="str">
        <f>IFERROR(__xludf.DUMMYFUNCTION("""COMPUTED_VALUE"""),"台銀籌備帳戶")</f>
        <v>台銀籌備帳戶</v>
      </c>
      <c r="G2958" t="str">
        <f>IFERROR(__xludf.DUMMYFUNCTION("""COMPUTED_VALUE"""),"景安2分鐘")</f>
        <v>景安2分鐘</v>
      </c>
      <c r="H2958" s="106" t="str">
        <f t="shared" si="1"/>
        <v>2025-12</v>
      </c>
      <c r="I2958" s="271" t="str">
        <f>IFERROR(__xludf.DUMMYFUNCTION("""COMPUTED_VALUE"""),"貓狗企鵝")</f>
        <v>貓狗企鵝</v>
      </c>
      <c r="J2958" t="str">
        <f>IFERROR(__xludf.DUMMYFUNCTION("IFS(
  AND(REGEXMATCH(E2958, ""台銀籌備帳戶|玉山帳戶""), REGEXMATCH(C2958, ""薪資"")), ""分潤支出"",
  AND(REGEXMATCH(E2958, ""Ben帳戶|Elsa帳戶|Ben代墊|Ariel代墊|中信銀行共用""), REGEXMATCH(F2958, ""Ben帳戶|Elsa帳戶|Ben代墊|Ariel代墊|中信銀行共用"")), ""內部轉帳(忽略)"",
  AND(E2958&lt;&gt;"""", F2958&lt;&gt;"""", N"&amp;"OT(REGEXMATCH(C2958, ""薪資""))), ""內部轉帳(忽略)"",
  REGEXMATCH(C2958, ""薪資""), ""薪資變動(不計入)"",
  REGEXMATCH(C2958, ""押金""), ""押金往來"",
  AND(E2958&lt;&gt;"""", F2958=""""), ""真實支出"",
  AND(E2958="""", F2958&lt;&gt;""""), ""真實收入"",
  TRUE, ""其他""
)"),"真實收入")</f>
        <v>真實收入</v>
      </c>
      <c r="K2958" s="270">
        <f t="shared" si="2"/>
        <v>12500</v>
      </c>
      <c r="L2958">
        <f t="shared" si="3"/>
        <v>0</v>
      </c>
    </row>
    <row r="2959">
      <c r="A2959" s="107">
        <f>IFERROR(__xludf.DUMMYFUNCTION("""COMPUTED_VALUE"""),45992.0)</f>
        <v>45992</v>
      </c>
      <c r="B2959" t="str">
        <f>IFERROR(__xludf.DUMMYFUNCTION("""COMPUTED_VALUE"""),"[哈拉對面] B [鄭又菡] 月租金 後五碼:79539 (行號: 71)")</f>
        <v>[哈拉對面] B [鄭又菡] 月租金 後五碼:79539 (行號: 71)</v>
      </c>
      <c r="C2959" t="str">
        <f>IFERROR(__xludf.DUMMYFUNCTION("""COMPUTED_VALUE"""),"收入 - 租金")</f>
        <v>收入 - 租金</v>
      </c>
      <c r="D2959" s="270">
        <f>IFERROR(__xludf.DUMMYFUNCTION("""COMPUTED_VALUE"""),15800.0)</f>
        <v>15800</v>
      </c>
      <c r="F2959" t="str">
        <f>IFERROR(__xludf.DUMMYFUNCTION("""COMPUTED_VALUE"""),"台銀籌備帳戶")</f>
        <v>台銀籌備帳戶</v>
      </c>
      <c r="G2959" t="str">
        <f>IFERROR(__xludf.DUMMYFUNCTION("""COMPUTED_VALUE"""),"哈拉對面")</f>
        <v>哈拉對面</v>
      </c>
      <c r="H2959" s="106" t="str">
        <f t="shared" si="1"/>
        <v>2025-12</v>
      </c>
      <c r="I2959" s="271" t="str">
        <f>IFERROR(__xludf.DUMMYFUNCTION("""COMPUTED_VALUE"""),"貓狗企鵝")</f>
        <v>貓狗企鵝</v>
      </c>
      <c r="J2959" t="str">
        <f>IFERROR(__xludf.DUMMYFUNCTION("IFS(
  AND(REGEXMATCH(E2959, ""台銀籌備帳戶|玉山帳戶""), REGEXMATCH(C2959, ""薪資"")), ""分潤支出"",
  AND(REGEXMATCH(E2959, ""Ben帳戶|Elsa帳戶|Ben代墊|Ariel代墊|中信銀行共用""), REGEXMATCH(F2959, ""Ben帳戶|Elsa帳戶|Ben代墊|Ariel代墊|中信銀行共用"")), ""內部轉帳(忽略)"",
  AND(E2959&lt;&gt;"""", F2959&lt;&gt;"""", N"&amp;"OT(REGEXMATCH(C2959, ""薪資""))), ""內部轉帳(忽略)"",
  REGEXMATCH(C2959, ""薪資""), ""薪資變動(不計入)"",
  REGEXMATCH(C2959, ""押金""), ""押金往來"",
  AND(E2959&lt;&gt;"""", F2959=""""), ""真實支出"",
  AND(E2959="""", F2959&lt;&gt;""""), ""真實收入"",
  TRUE, ""其他""
)"),"真實收入")</f>
        <v>真實收入</v>
      </c>
      <c r="K2959" s="270">
        <f t="shared" si="2"/>
        <v>15800</v>
      </c>
      <c r="L2959">
        <f t="shared" si="3"/>
        <v>0</v>
      </c>
    </row>
    <row r="2960">
      <c r="A2960" s="107">
        <f>IFERROR(__xludf.DUMMYFUNCTION("""COMPUTED_VALUE"""),45992.0)</f>
        <v>45992</v>
      </c>
      <c r="B2960" t="str">
        <f>IFERROR(__xludf.DUMMYFUNCTION("""COMPUTED_VALUE"""),"[金龍帽子先生] D [林紫婕] 月租金 後五碼:70737 (行號: 72)")</f>
        <v>[金龍帽子先生] D [林紫婕] 月租金 後五碼:70737 (行號: 72)</v>
      </c>
      <c r="C2960" t="str">
        <f>IFERROR(__xludf.DUMMYFUNCTION("""COMPUTED_VALUE"""),"收入 - 租金")</f>
        <v>收入 - 租金</v>
      </c>
      <c r="D2960" s="270">
        <f>IFERROR(__xludf.DUMMYFUNCTION("""COMPUTED_VALUE"""),14500.0)</f>
        <v>14500</v>
      </c>
      <c r="F2960" t="str">
        <f>IFERROR(__xludf.DUMMYFUNCTION("""COMPUTED_VALUE"""),"台銀籌備帳戶")</f>
        <v>台銀籌備帳戶</v>
      </c>
      <c r="G2960" t="str">
        <f>IFERROR(__xludf.DUMMYFUNCTION("""COMPUTED_VALUE"""),"金龍帽子先生")</f>
        <v>金龍帽子先生</v>
      </c>
      <c r="H2960" s="106" t="str">
        <f t="shared" si="1"/>
        <v>2025-12</v>
      </c>
      <c r="I2960" s="271" t="str">
        <f>IFERROR(__xludf.DUMMYFUNCTION("""COMPUTED_VALUE"""),"貓狗企鵝")</f>
        <v>貓狗企鵝</v>
      </c>
      <c r="J2960" t="str">
        <f>IFERROR(__xludf.DUMMYFUNCTION("IFS(
  AND(REGEXMATCH(E2960, ""台銀籌備帳戶|玉山帳戶""), REGEXMATCH(C2960, ""薪資"")), ""分潤支出"",
  AND(REGEXMATCH(E2960, ""Ben帳戶|Elsa帳戶|Ben代墊|Ariel代墊|中信銀行共用""), REGEXMATCH(F2960, ""Ben帳戶|Elsa帳戶|Ben代墊|Ariel代墊|中信銀行共用"")), ""內部轉帳(忽略)"",
  AND(E2960&lt;&gt;"""", F2960&lt;&gt;"""", N"&amp;"OT(REGEXMATCH(C2960, ""薪資""))), ""內部轉帳(忽略)"",
  REGEXMATCH(C2960, ""薪資""), ""薪資變動(不計入)"",
  REGEXMATCH(C2960, ""押金""), ""押金往來"",
  AND(E2960&lt;&gt;"""", F2960=""""), ""真實支出"",
  AND(E2960="""", F2960&lt;&gt;""""), ""真實收入"",
  TRUE, ""其他""
)"),"真實收入")</f>
        <v>真實收入</v>
      </c>
      <c r="K2960" s="270">
        <f t="shared" si="2"/>
        <v>14500</v>
      </c>
      <c r="L2960">
        <f t="shared" si="3"/>
        <v>0</v>
      </c>
    </row>
    <row r="2961">
      <c r="A2961" s="107">
        <f>IFERROR(__xludf.DUMMYFUNCTION("""COMPUTED_VALUE"""),45992.0)</f>
        <v>45992</v>
      </c>
      <c r="B2961" t="str">
        <f>IFERROR(__xludf.DUMMYFUNCTION("""COMPUTED_VALUE"""),"[書香民生] E [劉祐安] 月租金 後五碼:41152 (行號: 73)")</f>
        <v>[書香民生] E [劉祐安] 月租金 後五碼:41152 (行號: 73)</v>
      </c>
      <c r="C2961" t="str">
        <f>IFERROR(__xludf.DUMMYFUNCTION("""COMPUTED_VALUE"""),"收入 - 租金")</f>
        <v>收入 - 租金</v>
      </c>
      <c r="D2961" s="270">
        <f>IFERROR(__xludf.DUMMYFUNCTION("""COMPUTED_VALUE"""),17800.0)</f>
        <v>17800</v>
      </c>
      <c r="F2961" t="str">
        <f>IFERROR(__xludf.DUMMYFUNCTION("""COMPUTED_VALUE"""),"台銀籌備帳戶")</f>
        <v>台銀籌備帳戶</v>
      </c>
      <c r="G2961" t="str">
        <f>IFERROR(__xludf.DUMMYFUNCTION("""COMPUTED_VALUE"""),"書香民生")</f>
        <v>書香民生</v>
      </c>
      <c r="H2961" s="106" t="str">
        <f t="shared" si="1"/>
        <v>2025-12</v>
      </c>
      <c r="I2961" s="271" t="str">
        <f>IFERROR(__xludf.DUMMYFUNCTION("""COMPUTED_VALUE"""),"貓狗企鵝")</f>
        <v>貓狗企鵝</v>
      </c>
      <c r="J2961" t="str">
        <f>IFERROR(__xludf.DUMMYFUNCTION("IFS(
  AND(REGEXMATCH(E2961, ""台銀籌備帳戶|玉山帳戶""), REGEXMATCH(C2961, ""薪資"")), ""分潤支出"",
  AND(REGEXMATCH(E2961, ""Ben帳戶|Elsa帳戶|Ben代墊|Ariel代墊|中信銀行共用""), REGEXMATCH(F2961, ""Ben帳戶|Elsa帳戶|Ben代墊|Ariel代墊|中信銀行共用"")), ""內部轉帳(忽略)"",
  AND(E2961&lt;&gt;"""", F2961&lt;&gt;"""", N"&amp;"OT(REGEXMATCH(C2961, ""薪資""))), ""內部轉帳(忽略)"",
  REGEXMATCH(C2961, ""薪資""), ""薪資變動(不計入)"",
  REGEXMATCH(C2961, ""押金""), ""押金往來"",
  AND(E2961&lt;&gt;"""", F2961=""""), ""真實支出"",
  AND(E2961="""", F2961&lt;&gt;""""), ""真實收入"",
  TRUE, ""其他""
)"),"真實收入")</f>
        <v>真實收入</v>
      </c>
      <c r="K2961" s="270">
        <f t="shared" si="2"/>
        <v>17800</v>
      </c>
      <c r="L2961">
        <f t="shared" si="3"/>
        <v>0</v>
      </c>
    </row>
    <row r="2962">
      <c r="A2962" s="107">
        <f>IFERROR(__xludf.DUMMYFUNCTION("""COMPUTED_VALUE"""),45992.0)</f>
        <v>45992</v>
      </c>
      <c r="B2962" t="str">
        <f>IFERROR(__xludf.DUMMYFUNCTION("""COMPUTED_VALUE"""),"[中山北娘家旁] B [李彥靜] 月租金 後五碼:38047 (行號: 74)")</f>
        <v>[中山北娘家旁] B [李彥靜] 月租金 後五碼:38047 (行號: 74)</v>
      </c>
      <c r="C2962" t="str">
        <f>IFERROR(__xludf.DUMMYFUNCTION("""COMPUTED_VALUE"""),"收入 - 租金")</f>
        <v>收入 - 租金</v>
      </c>
      <c r="D2962" s="270">
        <f>IFERROR(__xludf.DUMMYFUNCTION("""COMPUTED_VALUE"""),12500.0)</f>
        <v>12500</v>
      </c>
      <c r="F2962" t="str">
        <f>IFERROR(__xludf.DUMMYFUNCTION("""COMPUTED_VALUE"""),"台銀籌備帳戶")</f>
        <v>台銀籌備帳戶</v>
      </c>
      <c r="G2962" t="str">
        <f>IFERROR(__xludf.DUMMYFUNCTION("""COMPUTED_VALUE"""),"中山北娘家旁")</f>
        <v>中山北娘家旁</v>
      </c>
      <c r="H2962" s="106" t="str">
        <f t="shared" si="1"/>
        <v>2025-12</v>
      </c>
      <c r="I2962" s="271" t="str">
        <f>IFERROR(__xludf.DUMMYFUNCTION("""COMPUTED_VALUE"""),"貓狗企鵝")</f>
        <v>貓狗企鵝</v>
      </c>
      <c r="J2962" t="str">
        <f>IFERROR(__xludf.DUMMYFUNCTION("IFS(
  AND(REGEXMATCH(E2962, ""台銀籌備帳戶|玉山帳戶""), REGEXMATCH(C2962, ""薪資"")), ""分潤支出"",
  AND(REGEXMATCH(E2962, ""Ben帳戶|Elsa帳戶|Ben代墊|Ariel代墊|中信銀行共用""), REGEXMATCH(F2962, ""Ben帳戶|Elsa帳戶|Ben代墊|Ariel代墊|中信銀行共用"")), ""內部轉帳(忽略)"",
  AND(E2962&lt;&gt;"""", F2962&lt;&gt;"""", N"&amp;"OT(REGEXMATCH(C2962, ""薪資""))), ""內部轉帳(忽略)"",
  REGEXMATCH(C2962, ""薪資""), ""薪資變動(不計入)"",
  REGEXMATCH(C2962, ""押金""), ""押金往來"",
  AND(E2962&lt;&gt;"""", F2962=""""), ""真實支出"",
  AND(E2962="""", F2962&lt;&gt;""""), ""真實收入"",
  TRUE, ""其他""
)"),"真實收入")</f>
        <v>真實收入</v>
      </c>
      <c r="K2962" s="270">
        <f t="shared" si="2"/>
        <v>12500</v>
      </c>
      <c r="L2962">
        <f t="shared" si="3"/>
        <v>0</v>
      </c>
    </row>
    <row r="2963">
      <c r="A2963" s="107">
        <f>IFERROR(__xludf.DUMMYFUNCTION("""COMPUTED_VALUE"""),45992.0)</f>
        <v>45992</v>
      </c>
      <c r="B2963" t="str">
        <f>IFERROR(__xludf.DUMMYFUNCTION("""COMPUTED_VALUE"""),"[龍江229] B [涂維妮] 月租金 後五碼:67546 (行號: 75)")</f>
        <v>[龍江229] B [涂維妮] 月租金 後五碼:67546 (行號: 75)</v>
      </c>
      <c r="C2963" t="str">
        <f>IFERROR(__xludf.DUMMYFUNCTION("""COMPUTED_VALUE"""),"收入 - 租金")</f>
        <v>收入 - 租金</v>
      </c>
      <c r="D2963" s="270">
        <f>IFERROR(__xludf.DUMMYFUNCTION("""COMPUTED_VALUE"""),13500.0)</f>
        <v>13500</v>
      </c>
      <c r="F2963" t="str">
        <f>IFERROR(__xludf.DUMMYFUNCTION("""COMPUTED_VALUE"""),"台銀籌備帳戶")</f>
        <v>台銀籌備帳戶</v>
      </c>
      <c r="G2963" t="str">
        <f>IFERROR(__xludf.DUMMYFUNCTION("""COMPUTED_VALUE"""),"龍江229")</f>
        <v>龍江229</v>
      </c>
      <c r="H2963" s="106" t="str">
        <f t="shared" si="1"/>
        <v>2025-12</v>
      </c>
      <c r="I2963" s="271" t="str">
        <f>IFERROR(__xludf.DUMMYFUNCTION("""COMPUTED_VALUE"""),"貓狗企鵝")</f>
        <v>貓狗企鵝</v>
      </c>
      <c r="J2963" t="str">
        <f>IFERROR(__xludf.DUMMYFUNCTION("IFS(
  AND(REGEXMATCH(E2963, ""台銀籌備帳戶|玉山帳戶""), REGEXMATCH(C2963, ""薪資"")), ""分潤支出"",
  AND(REGEXMATCH(E2963, ""Ben帳戶|Elsa帳戶|Ben代墊|Ariel代墊|中信銀行共用""), REGEXMATCH(F2963, ""Ben帳戶|Elsa帳戶|Ben代墊|Ariel代墊|中信銀行共用"")), ""內部轉帳(忽略)"",
  AND(E2963&lt;&gt;"""", F2963&lt;&gt;"""", N"&amp;"OT(REGEXMATCH(C2963, ""薪資""))), ""內部轉帳(忽略)"",
  REGEXMATCH(C2963, ""薪資""), ""薪資變動(不計入)"",
  REGEXMATCH(C2963, ""押金""), ""押金往來"",
  AND(E2963&lt;&gt;"""", F2963=""""), ""真實支出"",
  AND(E2963="""", F2963&lt;&gt;""""), ""真實收入"",
  TRUE, ""其他""
)"),"真實收入")</f>
        <v>真實收入</v>
      </c>
      <c r="K2963" s="270">
        <f t="shared" si="2"/>
        <v>13500</v>
      </c>
      <c r="L2963">
        <f t="shared" si="3"/>
        <v>0</v>
      </c>
    </row>
    <row r="2964">
      <c r="A2964" s="107">
        <f>IFERROR(__xludf.DUMMYFUNCTION("""COMPUTED_VALUE"""),45992.0)</f>
        <v>45992</v>
      </c>
      <c r="B2964" t="str">
        <f>IFERROR(__xludf.DUMMYFUNCTION("""COMPUTED_VALUE"""),"[書香民生] D [蔡昀潔, 林聖凱] 月租金 後五碼:67788 (行號: 76)")</f>
        <v>[書香民生] D [蔡昀潔, 林聖凱] 月租金 後五碼:67788 (行號: 76)</v>
      </c>
      <c r="C2964" t="str">
        <f>IFERROR(__xludf.DUMMYFUNCTION("""COMPUTED_VALUE"""),"收入 - 租金")</f>
        <v>收入 - 租金</v>
      </c>
      <c r="D2964" s="270">
        <f>IFERROR(__xludf.DUMMYFUNCTION("""COMPUTED_VALUE"""),17800.0)</f>
        <v>17800</v>
      </c>
      <c r="F2964" t="str">
        <f>IFERROR(__xludf.DUMMYFUNCTION("""COMPUTED_VALUE"""),"台銀籌備帳戶")</f>
        <v>台銀籌備帳戶</v>
      </c>
      <c r="G2964" t="str">
        <f>IFERROR(__xludf.DUMMYFUNCTION("""COMPUTED_VALUE"""),"書香民生")</f>
        <v>書香民生</v>
      </c>
      <c r="H2964" s="106" t="str">
        <f t="shared" si="1"/>
        <v>2025-12</v>
      </c>
      <c r="I2964" s="271" t="str">
        <f>IFERROR(__xludf.DUMMYFUNCTION("""COMPUTED_VALUE"""),"貓狗企鵝")</f>
        <v>貓狗企鵝</v>
      </c>
      <c r="J2964" t="str">
        <f>IFERROR(__xludf.DUMMYFUNCTION("IFS(
  AND(REGEXMATCH(E2964, ""台銀籌備帳戶|玉山帳戶""), REGEXMATCH(C2964, ""薪資"")), ""分潤支出"",
  AND(REGEXMATCH(E2964, ""Ben帳戶|Elsa帳戶|Ben代墊|Ariel代墊|中信銀行共用""), REGEXMATCH(F2964, ""Ben帳戶|Elsa帳戶|Ben代墊|Ariel代墊|中信銀行共用"")), ""內部轉帳(忽略)"",
  AND(E2964&lt;&gt;"""", F2964&lt;&gt;"""", N"&amp;"OT(REGEXMATCH(C2964, ""薪資""))), ""內部轉帳(忽略)"",
  REGEXMATCH(C2964, ""薪資""), ""薪資變動(不計入)"",
  REGEXMATCH(C2964, ""押金""), ""押金往來"",
  AND(E2964&lt;&gt;"""", F2964=""""), ""真實支出"",
  AND(E2964="""", F2964&lt;&gt;""""), ""真實收入"",
  TRUE, ""其他""
)"),"真實收入")</f>
        <v>真實收入</v>
      </c>
      <c r="K2964" s="270">
        <f t="shared" si="2"/>
        <v>17800</v>
      </c>
      <c r="L2964">
        <f t="shared" si="3"/>
        <v>0</v>
      </c>
    </row>
    <row r="2965">
      <c r="A2965" s="107">
        <f>IFERROR(__xludf.DUMMYFUNCTION("""COMPUTED_VALUE"""),45992.0)</f>
        <v>45992</v>
      </c>
      <c r="B2965" t="str">
        <f>IFERROR(__xludf.DUMMYFUNCTION("""COMPUTED_VALUE"""),"[金龍帽子先生] C [鐘偉展] 月租金 後五碼:31815 (行號: 77)")</f>
        <v>[金龍帽子先生] C [鐘偉展] 月租金 後五碼:31815 (行號: 77)</v>
      </c>
      <c r="C2965" t="str">
        <f>IFERROR(__xludf.DUMMYFUNCTION("""COMPUTED_VALUE"""),"收入 - 租金")</f>
        <v>收入 - 租金</v>
      </c>
      <c r="D2965" s="270">
        <f>IFERROR(__xludf.DUMMYFUNCTION("""COMPUTED_VALUE"""),14000.0)</f>
        <v>14000</v>
      </c>
      <c r="F2965" t="str">
        <f>IFERROR(__xludf.DUMMYFUNCTION("""COMPUTED_VALUE"""),"台銀籌備帳戶")</f>
        <v>台銀籌備帳戶</v>
      </c>
      <c r="G2965" t="str">
        <f>IFERROR(__xludf.DUMMYFUNCTION("""COMPUTED_VALUE"""),"金龍帽子先生")</f>
        <v>金龍帽子先生</v>
      </c>
      <c r="H2965" s="106" t="str">
        <f t="shared" si="1"/>
        <v>2025-12</v>
      </c>
      <c r="I2965" s="271" t="str">
        <f>IFERROR(__xludf.DUMMYFUNCTION("""COMPUTED_VALUE"""),"貓狗企鵝")</f>
        <v>貓狗企鵝</v>
      </c>
      <c r="J2965" t="str">
        <f>IFERROR(__xludf.DUMMYFUNCTION("IFS(
  AND(REGEXMATCH(E2965, ""台銀籌備帳戶|玉山帳戶""), REGEXMATCH(C2965, ""薪資"")), ""分潤支出"",
  AND(REGEXMATCH(E2965, ""Ben帳戶|Elsa帳戶|Ben代墊|Ariel代墊|中信銀行共用""), REGEXMATCH(F2965, ""Ben帳戶|Elsa帳戶|Ben代墊|Ariel代墊|中信銀行共用"")), ""內部轉帳(忽略)"",
  AND(E2965&lt;&gt;"""", F2965&lt;&gt;"""", N"&amp;"OT(REGEXMATCH(C2965, ""薪資""))), ""內部轉帳(忽略)"",
  REGEXMATCH(C2965, ""薪資""), ""薪資變動(不計入)"",
  REGEXMATCH(C2965, ""押金""), ""押金往來"",
  AND(E2965&lt;&gt;"""", F2965=""""), ""真實支出"",
  AND(E2965="""", F2965&lt;&gt;""""), ""真實收入"",
  TRUE, ""其他""
)"),"真實收入")</f>
        <v>真實收入</v>
      </c>
      <c r="K2965" s="270">
        <f t="shared" si="2"/>
        <v>14000</v>
      </c>
      <c r="L2965">
        <f t="shared" si="3"/>
        <v>0</v>
      </c>
    </row>
    <row r="2966">
      <c r="A2966" s="107">
        <f>IFERROR(__xludf.DUMMYFUNCTION("""COMPUTED_VALUE"""),45992.0)</f>
        <v>45992</v>
      </c>
      <c r="B2966" t="str">
        <f>IFERROR(__xludf.DUMMYFUNCTION("""COMPUTED_VALUE"""),"[景安2分鐘] A [王彥婷] 月租金 後五碼:74081 (行號: 78)")</f>
        <v>[景安2分鐘] A [王彥婷] 月租金 後五碼:74081 (行號: 78)</v>
      </c>
      <c r="C2966" t="str">
        <f>IFERROR(__xludf.DUMMYFUNCTION("""COMPUTED_VALUE"""),"收入 - 租金")</f>
        <v>收入 - 租金</v>
      </c>
      <c r="D2966" s="270">
        <f>IFERROR(__xludf.DUMMYFUNCTION("""COMPUTED_VALUE"""),13800.0)</f>
        <v>13800</v>
      </c>
      <c r="F2966" t="str">
        <f>IFERROR(__xludf.DUMMYFUNCTION("""COMPUTED_VALUE"""),"台銀籌備帳戶")</f>
        <v>台銀籌備帳戶</v>
      </c>
      <c r="G2966" t="str">
        <f>IFERROR(__xludf.DUMMYFUNCTION("""COMPUTED_VALUE"""),"景安2分鐘")</f>
        <v>景安2分鐘</v>
      </c>
      <c r="H2966" s="106" t="str">
        <f t="shared" si="1"/>
        <v>2025-12</v>
      </c>
      <c r="I2966" s="271" t="str">
        <f>IFERROR(__xludf.DUMMYFUNCTION("""COMPUTED_VALUE"""),"貓狗企鵝")</f>
        <v>貓狗企鵝</v>
      </c>
      <c r="J2966" t="str">
        <f>IFERROR(__xludf.DUMMYFUNCTION("IFS(
  AND(REGEXMATCH(E2966, ""台銀籌備帳戶|玉山帳戶""), REGEXMATCH(C2966, ""薪資"")), ""分潤支出"",
  AND(REGEXMATCH(E2966, ""Ben帳戶|Elsa帳戶|Ben代墊|Ariel代墊|中信銀行共用""), REGEXMATCH(F2966, ""Ben帳戶|Elsa帳戶|Ben代墊|Ariel代墊|中信銀行共用"")), ""內部轉帳(忽略)"",
  AND(E2966&lt;&gt;"""", F2966&lt;&gt;"""", N"&amp;"OT(REGEXMATCH(C2966, ""薪資""))), ""內部轉帳(忽略)"",
  REGEXMATCH(C2966, ""薪資""), ""薪資變動(不計入)"",
  REGEXMATCH(C2966, ""押金""), ""押金往來"",
  AND(E2966&lt;&gt;"""", F2966=""""), ""真實支出"",
  AND(E2966="""", F2966&lt;&gt;""""), ""真實收入"",
  TRUE, ""其他""
)"),"真實收入")</f>
        <v>真實收入</v>
      </c>
      <c r="K2966" s="270">
        <f t="shared" si="2"/>
        <v>13800</v>
      </c>
      <c r="L2966">
        <f t="shared" si="3"/>
        <v>0</v>
      </c>
    </row>
    <row r="2967">
      <c r="A2967" s="107">
        <f>IFERROR(__xludf.DUMMYFUNCTION("""COMPUTED_VALUE"""),45993.0)</f>
        <v>45993</v>
      </c>
      <c r="B2967" t="str">
        <f>IFERROR(__xludf.DUMMYFUNCTION("""COMPUTED_VALUE"""),"[北醫醫師府] C [余典蓉] 月租金 後五碼:44027 (行號: 79)")</f>
        <v>[北醫醫師府] C [余典蓉] 月租金 後五碼:44027 (行號: 79)</v>
      </c>
      <c r="C2967" t="str">
        <f>IFERROR(__xludf.DUMMYFUNCTION("""COMPUTED_VALUE"""),"收入 - 租金")</f>
        <v>收入 - 租金</v>
      </c>
      <c r="D2967" s="270">
        <f>IFERROR(__xludf.DUMMYFUNCTION("""COMPUTED_VALUE"""),13000.0)</f>
        <v>13000</v>
      </c>
      <c r="F2967" t="str">
        <f>IFERROR(__xludf.DUMMYFUNCTION("""COMPUTED_VALUE"""),"台銀籌備帳戶")</f>
        <v>台銀籌備帳戶</v>
      </c>
      <c r="G2967" t="str">
        <f>IFERROR(__xludf.DUMMYFUNCTION("""COMPUTED_VALUE"""),"北醫醫師府")</f>
        <v>北醫醫師府</v>
      </c>
      <c r="H2967" s="106" t="str">
        <f t="shared" si="1"/>
        <v>2025-12</v>
      </c>
      <c r="I2967" s="271" t="str">
        <f>IFERROR(__xludf.DUMMYFUNCTION("""COMPUTED_VALUE"""),"貓狗企鵝")</f>
        <v>貓狗企鵝</v>
      </c>
      <c r="J2967" t="str">
        <f>IFERROR(__xludf.DUMMYFUNCTION("IFS(
  AND(REGEXMATCH(E2967, ""台銀籌備帳戶|玉山帳戶""), REGEXMATCH(C2967, ""薪資"")), ""分潤支出"",
  AND(REGEXMATCH(E2967, ""Ben帳戶|Elsa帳戶|Ben代墊|Ariel代墊|中信銀行共用""), REGEXMATCH(F2967, ""Ben帳戶|Elsa帳戶|Ben代墊|Ariel代墊|中信銀行共用"")), ""內部轉帳(忽略)"",
  AND(E2967&lt;&gt;"""", F2967&lt;&gt;"""", N"&amp;"OT(REGEXMATCH(C2967, ""薪資""))), ""內部轉帳(忽略)"",
  REGEXMATCH(C2967, ""薪資""), ""薪資變動(不計入)"",
  REGEXMATCH(C2967, ""押金""), ""押金往來"",
  AND(E2967&lt;&gt;"""", F2967=""""), ""真實支出"",
  AND(E2967="""", F2967&lt;&gt;""""), ""真實收入"",
  TRUE, ""其他""
)"),"真實收入")</f>
        <v>真實收入</v>
      </c>
      <c r="K2967" s="270">
        <f t="shared" si="2"/>
        <v>13000</v>
      </c>
      <c r="L2967">
        <f t="shared" si="3"/>
        <v>0</v>
      </c>
    </row>
    <row r="2968">
      <c r="A2968" s="107">
        <f>IFERROR(__xludf.DUMMYFUNCTION("""COMPUTED_VALUE"""),45993.0)</f>
        <v>45993</v>
      </c>
      <c r="B2968" t="str">
        <f>IFERROR(__xludf.DUMMYFUNCTION("""COMPUTED_VALUE"""),"[龍江229] C [馬義鈞] 月租金 後五碼:62428 (行號: 80)")</f>
        <v>[龍江229] C [馬義鈞] 月租金 後五碼:62428 (行號: 80)</v>
      </c>
      <c r="C2968" t="str">
        <f>IFERROR(__xludf.DUMMYFUNCTION("""COMPUTED_VALUE"""),"收入 - 租金")</f>
        <v>收入 - 租金</v>
      </c>
      <c r="D2968" s="270">
        <f>IFERROR(__xludf.DUMMYFUNCTION("""COMPUTED_VALUE"""),18500.0)</f>
        <v>18500</v>
      </c>
      <c r="F2968" t="str">
        <f>IFERROR(__xludf.DUMMYFUNCTION("""COMPUTED_VALUE"""),"台銀籌備帳戶")</f>
        <v>台銀籌備帳戶</v>
      </c>
      <c r="G2968" t="str">
        <f>IFERROR(__xludf.DUMMYFUNCTION("""COMPUTED_VALUE"""),"龍江229")</f>
        <v>龍江229</v>
      </c>
      <c r="H2968" s="106" t="str">
        <f t="shared" si="1"/>
        <v>2025-12</v>
      </c>
      <c r="I2968" s="271" t="str">
        <f>IFERROR(__xludf.DUMMYFUNCTION("""COMPUTED_VALUE"""),"貓狗企鵝")</f>
        <v>貓狗企鵝</v>
      </c>
      <c r="J2968" t="str">
        <f>IFERROR(__xludf.DUMMYFUNCTION("IFS(
  AND(REGEXMATCH(E2968, ""台銀籌備帳戶|玉山帳戶""), REGEXMATCH(C2968, ""薪資"")), ""分潤支出"",
  AND(REGEXMATCH(E2968, ""Ben帳戶|Elsa帳戶|Ben代墊|Ariel代墊|中信銀行共用""), REGEXMATCH(F2968, ""Ben帳戶|Elsa帳戶|Ben代墊|Ariel代墊|中信銀行共用"")), ""內部轉帳(忽略)"",
  AND(E2968&lt;&gt;"""", F2968&lt;&gt;"""", N"&amp;"OT(REGEXMATCH(C2968, ""薪資""))), ""內部轉帳(忽略)"",
  REGEXMATCH(C2968, ""薪資""), ""薪資變動(不計入)"",
  REGEXMATCH(C2968, ""押金""), ""押金往來"",
  AND(E2968&lt;&gt;"""", F2968=""""), ""真實支出"",
  AND(E2968="""", F2968&lt;&gt;""""), ""真實收入"",
  TRUE, ""其他""
)"),"真實收入")</f>
        <v>真實收入</v>
      </c>
      <c r="K2968" s="270">
        <f t="shared" si="2"/>
        <v>18500</v>
      </c>
      <c r="L2968">
        <f t="shared" si="3"/>
        <v>0</v>
      </c>
    </row>
    <row r="2969">
      <c r="A2969" s="107">
        <f>IFERROR(__xludf.DUMMYFUNCTION("""COMPUTED_VALUE"""),45993.0)</f>
        <v>45993</v>
      </c>
      <c r="B2969" t="str">
        <f>IFERROR(__xludf.DUMMYFUNCTION("""COMPUTED_VALUE"""),"[龍江229] D [黃依婷] 月租金 後五碼:45221 (行號: 81)")</f>
        <v>[龍江229] D [黃依婷] 月租金 後五碼:45221 (行號: 81)</v>
      </c>
      <c r="C2969" t="str">
        <f>IFERROR(__xludf.DUMMYFUNCTION("""COMPUTED_VALUE"""),"收入 - 租金")</f>
        <v>收入 - 租金</v>
      </c>
      <c r="D2969" s="270">
        <f>IFERROR(__xludf.DUMMYFUNCTION("""COMPUTED_VALUE"""),13300.0)</f>
        <v>13300</v>
      </c>
      <c r="F2969" t="str">
        <f>IFERROR(__xludf.DUMMYFUNCTION("""COMPUTED_VALUE"""),"台銀籌備帳戶")</f>
        <v>台銀籌備帳戶</v>
      </c>
      <c r="G2969" t="str">
        <f>IFERROR(__xludf.DUMMYFUNCTION("""COMPUTED_VALUE"""),"龍江229")</f>
        <v>龍江229</v>
      </c>
      <c r="H2969" s="106" t="str">
        <f t="shared" si="1"/>
        <v>2025-12</v>
      </c>
      <c r="I2969" s="271" t="str">
        <f>IFERROR(__xludf.DUMMYFUNCTION("""COMPUTED_VALUE"""),"貓狗企鵝")</f>
        <v>貓狗企鵝</v>
      </c>
      <c r="J2969" t="str">
        <f>IFERROR(__xludf.DUMMYFUNCTION("IFS(
  AND(REGEXMATCH(E2969, ""台銀籌備帳戶|玉山帳戶""), REGEXMATCH(C2969, ""薪資"")), ""分潤支出"",
  AND(REGEXMATCH(E2969, ""Ben帳戶|Elsa帳戶|Ben代墊|Ariel代墊|中信銀行共用""), REGEXMATCH(F2969, ""Ben帳戶|Elsa帳戶|Ben代墊|Ariel代墊|中信銀行共用"")), ""內部轉帳(忽略)"",
  AND(E2969&lt;&gt;"""", F2969&lt;&gt;"""", N"&amp;"OT(REGEXMATCH(C2969, ""薪資""))), ""內部轉帳(忽略)"",
  REGEXMATCH(C2969, ""薪資""), ""薪資變動(不計入)"",
  REGEXMATCH(C2969, ""押金""), ""押金往來"",
  AND(E2969&lt;&gt;"""", F2969=""""), ""真實支出"",
  AND(E2969="""", F2969&lt;&gt;""""), ""真實收入"",
  TRUE, ""其他""
)"),"真實收入")</f>
        <v>真實收入</v>
      </c>
      <c r="K2969" s="270">
        <f t="shared" si="2"/>
        <v>13300</v>
      </c>
      <c r="L2969">
        <f t="shared" si="3"/>
        <v>0</v>
      </c>
    </row>
    <row r="2970">
      <c r="A2970" s="107">
        <f>IFERROR(__xludf.DUMMYFUNCTION("""COMPUTED_VALUE"""),45993.0)</f>
        <v>45993</v>
      </c>
      <c r="B2970" t="str">
        <f>IFERROR(__xludf.DUMMYFUNCTION("""COMPUTED_VALUE"""),"[南港站挑高宅] E [張劉明翔] 月租金 後五碼:75493 (行號: 82)")</f>
        <v>[南港站挑高宅] E [張劉明翔] 月租金 後五碼:75493 (行號: 82)</v>
      </c>
      <c r="C2970" t="str">
        <f>IFERROR(__xludf.DUMMYFUNCTION("""COMPUTED_VALUE"""),"收入 - 租金")</f>
        <v>收入 - 租金</v>
      </c>
      <c r="D2970" s="270">
        <f>IFERROR(__xludf.DUMMYFUNCTION("""COMPUTED_VALUE"""),12800.0)</f>
        <v>12800</v>
      </c>
      <c r="F2970" t="str">
        <f>IFERROR(__xludf.DUMMYFUNCTION("""COMPUTED_VALUE"""),"台銀籌備帳戶")</f>
        <v>台銀籌備帳戶</v>
      </c>
      <c r="G2970" t="str">
        <f>IFERROR(__xludf.DUMMYFUNCTION("""COMPUTED_VALUE"""),"南港站挑高宅")</f>
        <v>南港站挑高宅</v>
      </c>
      <c r="H2970" s="106" t="str">
        <f t="shared" si="1"/>
        <v>2025-12</v>
      </c>
      <c r="I2970" s="271" t="str">
        <f>IFERROR(__xludf.DUMMYFUNCTION("""COMPUTED_VALUE"""),"貓狗企鵝")</f>
        <v>貓狗企鵝</v>
      </c>
      <c r="J2970" t="str">
        <f>IFERROR(__xludf.DUMMYFUNCTION("IFS(
  AND(REGEXMATCH(E2970, ""台銀籌備帳戶|玉山帳戶""), REGEXMATCH(C2970, ""薪資"")), ""分潤支出"",
  AND(REGEXMATCH(E2970, ""Ben帳戶|Elsa帳戶|Ben代墊|Ariel代墊|中信銀行共用""), REGEXMATCH(F2970, ""Ben帳戶|Elsa帳戶|Ben代墊|Ariel代墊|中信銀行共用"")), ""內部轉帳(忽略)"",
  AND(E2970&lt;&gt;"""", F2970&lt;&gt;"""", N"&amp;"OT(REGEXMATCH(C2970, ""薪資""))), ""內部轉帳(忽略)"",
  REGEXMATCH(C2970, ""薪資""), ""薪資變動(不計入)"",
  REGEXMATCH(C2970, ""押金""), ""押金往來"",
  AND(E2970&lt;&gt;"""", F2970=""""), ""真實支出"",
  AND(E2970="""", F2970&lt;&gt;""""), ""真實收入"",
  TRUE, ""其他""
)"),"真實收入")</f>
        <v>真實收入</v>
      </c>
      <c r="K2970" s="270">
        <f t="shared" si="2"/>
        <v>12800</v>
      </c>
      <c r="L2970">
        <f t="shared" si="3"/>
        <v>0</v>
      </c>
    </row>
    <row r="2971">
      <c r="A2971" s="107">
        <f>IFERROR(__xludf.DUMMYFUNCTION("""COMPUTED_VALUE"""),45993.0)</f>
        <v>45993</v>
      </c>
      <c r="B2971" t="str">
        <f>IFERROR(__xludf.DUMMYFUNCTION("""COMPUTED_VALUE"""),"李宜蓁妥妥租 Feli C")</f>
        <v>李宜蓁妥妥租 Feli C</v>
      </c>
      <c r="C2971" t="str">
        <f>IFERROR(__xludf.DUMMYFUNCTION("""COMPUTED_VALUE"""),"收入 - 租金")</f>
        <v>收入 - 租金</v>
      </c>
      <c r="D2971" s="270">
        <f>IFERROR(__xludf.DUMMYFUNCTION("""COMPUTED_VALUE"""),8532.0)</f>
        <v>8532</v>
      </c>
      <c r="F2971" t="str">
        <f>IFERROR(__xludf.DUMMYFUNCTION("""COMPUTED_VALUE"""),"台銀籌備帳戶")</f>
        <v>台銀籌備帳戶</v>
      </c>
      <c r="G2971" t="str">
        <f>IFERROR(__xludf.DUMMYFUNCTION("""COMPUTED_VALUE"""),"中山北Feli家")</f>
        <v>中山北Feli家</v>
      </c>
      <c r="H2971" s="106" t="str">
        <f t="shared" si="1"/>
        <v>2025-12</v>
      </c>
      <c r="I2971" s="271" t="str">
        <f>IFERROR(__xludf.DUMMYFUNCTION("""COMPUTED_VALUE"""),"貓狗企鵝")</f>
        <v>貓狗企鵝</v>
      </c>
      <c r="J2971" t="str">
        <f>IFERROR(__xludf.DUMMYFUNCTION("IFS(
  AND(REGEXMATCH(E2971, ""台銀籌備帳戶|玉山帳戶""), REGEXMATCH(C2971, ""薪資"")), ""分潤支出"",
  AND(REGEXMATCH(E2971, ""Ben帳戶|Elsa帳戶|Ben代墊|Ariel代墊|中信銀行共用""), REGEXMATCH(F2971, ""Ben帳戶|Elsa帳戶|Ben代墊|Ariel代墊|中信銀行共用"")), ""內部轉帳(忽略)"",
  AND(E2971&lt;&gt;"""", F2971&lt;&gt;"""", N"&amp;"OT(REGEXMATCH(C2971, ""薪資""))), ""內部轉帳(忽略)"",
  REGEXMATCH(C2971, ""薪資""), ""薪資變動(不計入)"",
  REGEXMATCH(C2971, ""押金""), ""押金往來"",
  AND(E2971&lt;&gt;"""", F2971=""""), ""真實支出"",
  AND(E2971="""", F2971&lt;&gt;""""), ""真實收入"",
  TRUE, ""其他""
)"),"真實收入")</f>
        <v>真實收入</v>
      </c>
      <c r="K2971" s="270">
        <f t="shared" si="2"/>
        <v>8532</v>
      </c>
      <c r="L2971">
        <f t="shared" si="3"/>
        <v>0</v>
      </c>
    </row>
    <row r="2972">
      <c r="A2972" s="107">
        <f>IFERROR(__xludf.DUMMYFUNCTION("""COMPUTED_VALUE"""),45993.0)</f>
        <v>45993</v>
      </c>
      <c r="B2972" t="str">
        <f>IFERROR(__xludf.DUMMYFUNCTION("""COMPUTED_VALUE"""),"[中山北Feli家] A [蔡亦翔] 月租金 後五碼:51759 (行號: 84)")</f>
        <v>[中山北Feli家] A [蔡亦翔] 月租金 後五碼:51759 (行號: 84)</v>
      </c>
      <c r="C2972" t="str">
        <f>IFERROR(__xludf.DUMMYFUNCTION("""COMPUTED_VALUE"""),"收入 - 租金")</f>
        <v>收入 - 租金</v>
      </c>
      <c r="D2972" s="270">
        <f>IFERROR(__xludf.DUMMYFUNCTION("""COMPUTED_VALUE"""),13200.0)</f>
        <v>13200</v>
      </c>
      <c r="F2972" t="str">
        <f>IFERROR(__xludf.DUMMYFUNCTION("""COMPUTED_VALUE"""),"台銀籌備帳戶")</f>
        <v>台銀籌備帳戶</v>
      </c>
      <c r="G2972" t="str">
        <f>IFERROR(__xludf.DUMMYFUNCTION("""COMPUTED_VALUE"""),"中山北Feli家")</f>
        <v>中山北Feli家</v>
      </c>
      <c r="H2972" s="106" t="str">
        <f t="shared" si="1"/>
        <v>2025-12</v>
      </c>
      <c r="I2972" s="271" t="str">
        <f>IFERROR(__xludf.DUMMYFUNCTION("""COMPUTED_VALUE"""),"貓狗企鵝")</f>
        <v>貓狗企鵝</v>
      </c>
      <c r="J2972" t="str">
        <f>IFERROR(__xludf.DUMMYFUNCTION("IFS(
  AND(REGEXMATCH(E2972, ""台銀籌備帳戶|玉山帳戶""), REGEXMATCH(C2972, ""薪資"")), ""分潤支出"",
  AND(REGEXMATCH(E2972, ""Ben帳戶|Elsa帳戶|Ben代墊|Ariel代墊|中信銀行共用""), REGEXMATCH(F2972, ""Ben帳戶|Elsa帳戶|Ben代墊|Ariel代墊|中信銀行共用"")), ""內部轉帳(忽略)"",
  AND(E2972&lt;&gt;"""", F2972&lt;&gt;"""", N"&amp;"OT(REGEXMATCH(C2972, ""薪資""))), ""內部轉帳(忽略)"",
  REGEXMATCH(C2972, ""薪資""), ""薪資變動(不計入)"",
  REGEXMATCH(C2972, ""押金""), ""押金往來"",
  AND(E2972&lt;&gt;"""", F2972=""""), ""真實支出"",
  AND(E2972="""", F2972&lt;&gt;""""), ""真實收入"",
  TRUE, ""其他""
)"),"真實收入")</f>
        <v>真實收入</v>
      </c>
      <c r="K2972" s="270">
        <f t="shared" si="2"/>
        <v>13200</v>
      </c>
      <c r="L2972">
        <f t="shared" si="3"/>
        <v>0</v>
      </c>
    </row>
    <row r="2973">
      <c r="A2973" s="107">
        <f>IFERROR(__xludf.DUMMYFUNCTION("""COMPUTED_VALUE"""),45994.0)</f>
        <v>45994</v>
      </c>
      <c r="B2973" t="str">
        <f>IFERROR(__xludf.DUMMYFUNCTION("""COMPUTED_VALUE"""),"[大湖山莊] G [Soumyajit Balabantaray] 月租金 後五碼:47500 (行號: 85)")</f>
        <v>[大湖山莊] G [Soumyajit Balabantaray] 月租金 後五碼:47500 (行號: 85)</v>
      </c>
      <c r="C2973" t="str">
        <f>IFERROR(__xludf.DUMMYFUNCTION("""COMPUTED_VALUE"""),"收入 - 租金")</f>
        <v>收入 - 租金</v>
      </c>
      <c r="D2973" s="270">
        <f>IFERROR(__xludf.DUMMYFUNCTION("""COMPUTED_VALUE"""),15800.0)</f>
        <v>15800</v>
      </c>
      <c r="F2973" t="str">
        <f>IFERROR(__xludf.DUMMYFUNCTION("""COMPUTED_VALUE"""),"台銀籌備帳戶")</f>
        <v>台銀籌備帳戶</v>
      </c>
      <c r="G2973" t="str">
        <f>IFERROR(__xludf.DUMMYFUNCTION("""COMPUTED_VALUE"""),"大湖山莊")</f>
        <v>大湖山莊</v>
      </c>
      <c r="H2973" s="106" t="str">
        <f t="shared" si="1"/>
        <v>2025-12</v>
      </c>
      <c r="I2973" s="271" t="str">
        <f>IFERROR(__xludf.DUMMYFUNCTION("""COMPUTED_VALUE"""),"貓狗企鵝")</f>
        <v>貓狗企鵝</v>
      </c>
      <c r="J2973" t="str">
        <f>IFERROR(__xludf.DUMMYFUNCTION("IFS(
  AND(REGEXMATCH(E2973, ""台銀籌備帳戶|玉山帳戶""), REGEXMATCH(C2973, ""薪資"")), ""分潤支出"",
  AND(REGEXMATCH(E2973, ""Ben帳戶|Elsa帳戶|Ben代墊|Ariel代墊|中信銀行共用""), REGEXMATCH(F2973, ""Ben帳戶|Elsa帳戶|Ben代墊|Ariel代墊|中信銀行共用"")), ""內部轉帳(忽略)"",
  AND(E2973&lt;&gt;"""", F2973&lt;&gt;"""", N"&amp;"OT(REGEXMATCH(C2973, ""薪資""))), ""內部轉帳(忽略)"",
  REGEXMATCH(C2973, ""薪資""), ""薪資變動(不計入)"",
  REGEXMATCH(C2973, ""押金""), ""押金往來"",
  AND(E2973&lt;&gt;"""", F2973=""""), ""真實支出"",
  AND(E2973="""", F2973&lt;&gt;""""), ""真實收入"",
  TRUE, ""其他""
)"),"真實收入")</f>
        <v>真實收入</v>
      </c>
      <c r="K2973" s="270">
        <f t="shared" si="2"/>
        <v>15800</v>
      </c>
      <c r="L2973">
        <f t="shared" si="3"/>
        <v>0</v>
      </c>
    </row>
    <row r="2974">
      <c r="A2974" s="107">
        <f>IFERROR(__xludf.DUMMYFUNCTION("""COMPUTED_VALUE"""),45994.0)</f>
        <v>45994</v>
      </c>
      <c r="B2974" t="str">
        <f>IFERROR(__xludf.DUMMYFUNCTION("""COMPUTED_VALUE"""),"[中山北Feli家] E [Shihara Senaratna, Xueying Chen] 月租金 後五碼:41343 (行號: 86)")</f>
        <v>[中山北Feli家] E [Shihara Senaratna, Xueying Chen] 月租金 後五碼:41343 (行號: 86)</v>
      </c>
      <c r="C2974" t="str">
        <f>IFERROR(__xludf.DUMMYFUNCTION("""COMPUTED_VALUE"""),"收入 - 租金")</f>
        <v>收入 - 租金</v>
      </c>
      <c r="D2974" s="270">
        <f>IFERROR(__xludf.DUMMYFUNCTION("""COMPUTED_VALUE"""),30000.0)</f>
        <v>30000</v>
      </c>
      <c r="F2974" t="str">
        <f>IFERROR(__xludf.DUMMYFUNCTION("""COMPUTED_VALUE"""),"台銀籌備帳戶")</f>
        <v>台銀籌備帳戶</v>
      </c>
      <c r="G2974" t="str">
        <f>IFERROR(__xludf.DUMMYFUNCTION("""COMPUTED_VALUE"""),"中山北Feli家")</f>
        <v>中山北Feli家</v>
      </c>
      <c r="H2974" s="106" t="str">
        <f t="shared" si="1"/>
        <v>2025-12</v>
      </c>
      <c r="I2974" s="271" t="str">
        <f>IFERROR(__xludf.DUMMYFUNCTION("""COMPUTED_VALUE"""),"貓狗企鵝")</f>
        <v>貓狗企鵝</v>
      </c>
      <c r="J2974" t="str">
        <f>IFERROR(__xludf.DUMMYFUNCTION("IFS(
  AND(REGEXMATCH(E2974, ""台銀籌備帳戶|玉山帳戶""), REGEXMATCH(C2974, ""薪資"")), ""分潤支出"",
  AND(REGEXMATCH(E2974, ""Ben帳戶|Elsa帳戶|Ben代墊|Ariel代墊|中信銀行共用""), REGEXMATCH(F2974, ""Ben帳戶|Elsa帳戶|Ben代墊|Ariel代墊|中信銀行共用"")), ""內部轉帳(忽略)"",
  AND(E2974&lt;&gt;"""", F2974&lt;&gt;"""", N"&amp;"OT(REGEXMATCH(C2974, ""薪資""))), ""內部轉帳(忽略)"",
  REGEXMATCH(C2974, ""薪資""), ""薪資變動(不計入)"",
  REGEXMATCH(C2974, ""押金""), ""押金往來"",
  AND(E2974&lt;&gt;"""", F2974=""""), ""真實支出"",
  AND(E2974="""", F2974&lt;&gt;""""), ""真實收入"",
  TRUE, ""其他""
)"),"真實收入")</f>
        <v>真實收入</v>
      </c>
      <c r="K2974" s="270">
        <f t="shared" si="2"/>
        <v>30000</v>
      </c>
      <c r="L2974">
        <f t="shared" si="3"/>
        <v>0</v>
      </c>
    </row>
    <row r="2975">
      <c r="A2975" s="107">
        <f>IFERROR(__xludf.DUMMYFUNCTION("""COMPUTED_VALUE"""),45996.0)</f>
        <v>45996</v>
      </c>
      <c r="B2975" t="str">
        <f>IFERROR(__xludf.DUMMYFUNCTION("""COMPUTED_VALUE"""),"費用 - 匯費 對方行:012 後五碼:92486 (行號: 87)")</f>
        <v>費用 - 匯費 對方行:012 後五碼:92486 (行號: 87)</v>
      </c>
      <c r="C2975" t="str">
        <f>IFERROR(__xludf.DUMMYFUNCTION("""COMPUTED_VALUE"""),"費用 - 匯費")</f>
        <v>費用 - 匯費</v>
      </c>
      <c r="D2975" s="270">
        <f>IFERROR(__xludf.DUMMYFUNCTION("""COMPUTED_VALUE"""),-15.0)</f>
        <v>-15</v>
      </c>
      <c r="E2975" t="str">
        <f>IFERROR(__xludf.DUMMYFUNCTION("""COMPUTED_VALUE"""),"台銀籌備帳戶")</f>
        <v>台銀籌備帳戶</v>
      </c>
      <c r="H2975" s="106" t="str">
        <f t="shared" si="1"/>
        <v>2025-12</v>
      </c>
      <c r="I2975" s="271" t="str">
        <f>IFERROR(__xludf.DUMMYFUNCTION("""COMPUTED_VALUE"""),"貓狗企鵝")</f>
        <v>貓狗企鵝</v>
      </c>
      <c r="J2975" t="str">
        <f>IFERROR(__xludf.DUMMYFUNCTION("IFS(
  AND(REGEXMATCH(E2975, ""台銀籌備帳戶|玉山帳戶""), REGEXMATCH(C2975, ""薪資"")), ""分潤支出"",
  AND(REGEXMATCH(E2975, ""Ben帳戶|Elsa帳戶|Ben代墊|Ariel代墊|中信銀行共用""), REGEXMATCH(F2975, ""Ben帳戶|Elsa帳戶|Ben代墊|Ariel代墊|中信銀行共用"")), ""內部轉帳(忽略)"",
  AND(E2975&lt;&gt;"""", F2975&lt;&gt;"""", N"&amp;"OT(REGEXMATCH(C2975, ""薪資""))), ""內部轉帳(忽略)"",
  REGEXMATCH(C2975, ""薪資""), ""薪資變動(不計入)"",
  REGEXMATCH(C2975, ""押金""), ""押金往來"",
  AND(E2975&lt;&gt;"""", F2975=""""), ""真實支出"",
  AND(E2975="""", F2975&lt;&gt;""""), ""真實收入"",
  TRUE, ""其他""
)"),"真實支出")</f>
        <v>真實支出</v>
      </c>
      <c r="K2975" s="270">
        <f t="shared" si="2"/>
        <v>-15</v>
      </c>
      <c r="L2975">
        <f t="shared" si="3"/>
        <v>0</v>
      </c>
    </row>
    <row r="2976">
      <c r="A2976" s="107">
        <f>IFERROR(__xludf.DUMMYFUNCTION("""COMPUTED_VALUE"""),45996.0)</f>
        <v>45996</v>
      </c>
      <c r="B2976" t="str">
        <f>IFERROR(__xludf.DUMMYFUNCTION("""COMPUTED_VALUE"""),"阿虎設計費 ' 【未分類支出】")</f>
        <v>阿虎設計費 ' 【未分類支出】</v>
      </c>
      <c r="C2976" t="str">
        <f>IFERROR(__xludf.DUMMYFUNCTION("""COMPUTED_VALUE"""),"費用 - Salary 薪資")</f>
        <v>費用 - Salary 薪資</v>
      </c>
      <c r="D2976" s="270">
        <f>IFERROR(__xludf.DUMMYFUNCTION("""COMPUTED_VALUE"""),-200000.0)</f>
        <v>-200000</v>
      </c>
      <c r="E2976" t="str">
        <f>IFERROR(__xludf.DUMMYFUNCTION("""COMPUTED_VALUE"""),"台銀籌備帳戶")</f>
        <v>台銀籌備帳戶</v>
      </c>
      <c r="F2976" t="str">
        <f>IFERROR(__xludf.DUMMYFUNCTION("""COMPUTED_VALUE"""),"Elsa帳戶")</f>
        <v>Elsa帳戶</v>
      </c>
      <c r="H2976" s="106" t="str">
        <f t="shared" si="1"/>
        <v>2025-12</v>
      </c>
      <c r="I2976" s="271" t="str">
        <f>IFERROR(__xludf.DUMMYFUNCTION("""COMPUTED_VALUE"""),"貓狗企鵝")</f>
        <v>貓狗企鵝</v>
      </c>
      <c r="J2976" t="str">
        <f>IFERROR(__xludf.DUMMYFUNCTION("IFS(
  AND(REGEXMATCH(E2976, ""台銀籌備帳戶|玉山帳戶""), REGEXMATCH(C2976, ""薪資"")), ""分潤支出"",
  AND(REGEXMATCH(E2976, ""Ben帳戶|Elsa帳戶|Ben代墊|Ariel代墊|中信銀行共用""), REGEXMATCH(F2976, ""Ben帳戶|Elsa帳戶|Ben代墊|Ariel代墊|中信銀行共用"")), ""內部轉帳(忽略)"",
  AND(E2976&lt;&gt;"""", F2976&lt;&gt;"""", N"&amp;"OT(REGEXMATCH(C2976, ""薪資""))), ""內部轉帳(忽略)"",
  REGEXMATCH(C2976, ""薪資""), ""薪資變動(不計入)"",
  REGEXMATCH(C2976, ""押金""), ""押金往來"",
  AND(E2976&lt;&gt;"""", F2976=""""), ""真實支出"",
  AND(E2976="""", F2976&lt;&gt;""""), ""真實收入"",
  TRUE, ""其他""
)"),"分潤支出")</f>
        <v>分潤支出</v>
      </c>
      <c r="K2976">
        <f t="shared" si="2"/>
        <v>0</v>
      </c>
      <c r="L2976">
        <f t="shared" si="3"/>
        <v>200000</v>
      </c>
    </row>
    <row r="2977">
      <c r="A2977" s="107">
        <f>IFERROR(__xludf.DUMMYFUNCTION("""COMPUTED_VALUE"""),45996.0)</f>
        <v>45996</v>
      </c>
      <c r="B2977" t="str">
        <f>IFERROR(__xludf.DUMMYFUNCTION("""COMPUTED_VALUE"""),"費用 - 匯費 對方行:012 後五碼:54627 (行號: 88)")</f>
        <v>費用 - 匯費 對方行:012 後五碼:54627 (行號: 88)</v>
      </c>
      <c r="C2977" t="str">
        <f>IFERROR(__xludf.DUMMYFUNCTION("""COMPUTED_VALUE"""),"費用 - 匯費")</f>
        <v>費用 - 匯費</v>
      </c>
      <c r="D2977" s="270">
        <f>IFERROR(__xludf.DUMMYFUNCTION("""COMPUTED_VALUE"""),-15.0)</f>
        <v>-15</v>
      </c>
      <c r="E2977" t="str">
        <f>IFERROR(__xludf.DUMMYFUNCTION("""COMPUTED_VALUE"""),"台銀籌備帳戶")</f>
        <v>台銀籌備帳戶</v>
      </c>
      <c r="H2977" s="106" t="str">
        <f t="shared" si="1"/>
        <v>2025-12</v>
      </c>
      <c r="I2977" s="271" t="str">
        <f>IFERROR(__xludf.DUMMYFUNCTION("""COMPUTED_VALUE"""),"貓狗企鵝")</f>
        <v>貓狗企鵝</v>
      </c>
      <c r="J2977" t="str">
        <f>IFERROR(__xludf.DUMMYFUNCTION("IFS(
  AND(REGEXMATCH(E2977, ""台銀籌備帳戶|玉山帳戶""), REGEXMATCH(C2977, ""薪資"")), ""分潤支出"",
  AND(REGEXMATCH(E2977, ""Ben帳戶|Elsa帳戶|Ben代墊|Ariel代墊|中信銀行共用""), REGEXMATCH(F2977, ""Ben帳戶|Elsa帳戶|Ben代墊|Ariel代墊|中信銀行共用"")), ""內部轉帳(忽略)"",
  AND(E2977&lt;&gt;"""", F2977&lt;&gt;"""", N"&amp;"OT(REGEXMATCH(C2977, ""薪資""))), ""內部轉帳(忽略)"",
  REGEXMATCH(C2977, ""薪資""), ""薪資變動(不計入)"",
  REGEXMATCH(C2977, ""押金""), ""押金往來"",
  AND(E2977&lt;&gt;"""", F2977=""""), ""真實支出"",
  AND(E2977="""", F2977&lt;&gt;""""), ""真實收入"",
  TRUE, ""其他""
)"),"真實支出")</f>
        <v>真實支出</v>
      </c>
      <c r="K2977" s="270">
        <f t="shared" si="2"/>
        <v>-15</v>
      </c>
      <c r="L2977">
        <f t="shared" si="3"/>
        <v>0</v>
      </c>
    </row>
    <row r="2978">
      <c r="A2978" s="107">
        <f>IFERROR(__xludf.DUMMYFUNCTION("""COMPUTED_VALUE"""),45996.0)</f>
        <v>45996</v>
      </c>
      <c r="B2978" t="str">
        <f>IFERROR(__xludf.DUMMYFUNCTION("""COMPUTED_VALUE"""),"Ben富邦代墊款 ' 【未分類支出】")</f>
        <v>Ben富邦代墊款 ' 【未分類支出】</v>
      </c>
      <c r="C2978" t="str">
        <f>IFERROR(__xludf.DUMMYFUNCTION("""COMPUTED_VALUE"""),"費用 - Salary 薪資")</f>
        <v>費用 - Salary 薪資</v>
      </c>
      <c r="D2978" s="270">
        <f>IFERROR(__xludf.DUMMYFUNCTION("""COMPUTED_VALUE"""),-200000.0)</f>
        <v>-200000</v>
      </c>
      <c r="E2978" t="str">
        <f>IFERROR(__xludf.DUMMYFUNCTION("""COMPUTED_VALUE"""),"台銀籌備帳戶")</f>
        <v>台銀籌備帳戶</v>
      </c>
      <c r="F2978" t="str">
        <f>IFERROR(__xludf.DUMMYFUNCTION("""COMPUTED_VALUE"""),"Ben帳戶")</f>
        <v>Ben帳戶</v>
      </c>
      <c r="H2978" s="106" t="str">
        <f t="shared" si="1"/>
        <v>2025-12</v>
      </c>
      <c r="I2978" s="271" t="str">
        <f>IFERROR(__xludf.DUMMYFUNCTION("""COMPUTED_VALUE"""),"貓狗企鵝")</f>
        <v>貓狗企鵝</v>
      </c>
      <c r="J2978" t="str">
        <f>IFERROR(__xludf.DUMMYFUNCTION("IFS(
  AND(REGEXMATCH(E2978, ""台銀籌備帳戶|玉山帳戶""), REGEXMATCH(C2978, ""薪資"")), ""分潤支出"",
  AND(REGEXMATCH(E2978, ""Ben帳戶|Elsa帳戶|Ben代墊|Ariel代墊|中信銀行共用""), REGEXMATCH(F2978, ""Ben帳戶|Elsa帳戶|Ben代墊|Ariel代墊|中信銀行共用"")), ""內部轉帳(忽略)"",
  AND(E2978&lt;&gt;"""", F2978&lt;&gt;"""", N"&amp;"OT(REGEXMATCH(C2978, ""薪資""))), ""內部轉帳(忽略)"",
  REGEXMATCH(C2978, ""薪資""), ""薪資變動(不計入)"",
  REGEXMATCH(C2978, ""押金""), ""押金往來"",
  AND(E2978&lt;&gt;"""", F2978=""""), ""真實支出"",
  AND(E2978="""", F2978&lt;&gt;""""), ""真實收入"",
  TRUE, ""其他""
)"),"分潤支出")</f>
        <v>分潤支出</v>
      </c>
      <c r="K2978">
        <f t="shared" si="2"/>
        <v>0</v>
      </c>
      <c r="L2978">
        <f t="shared" si="3"/>
        <v>200000</v>
      </c>
    </row>
    <row r="2979">
      <c r="A2979" s="107">
        <f>IFERROR(__xludf.DUMMYFUNCTION("""COMPUTED_VALUE"""),45999.0)</f>
        <v>45999</v>
      </c>
      <c r="B2979" t="str">
        <f>IFERROR(__xludf.DUMMYFUNCTION("""COMPUTED_VALUE"""),"南港退能源費給林鍇蓓")</f>
        <v>南港退能源費給林鍇蓓</v>
      </c>
      <c r="C2979" t="str">
        <f>IFERROR(__xludf.DUMMYFUNCTION("""COMPUTED_VALUE"""),"收入 - 押金")</f>
        <v>收入 - 押金</v>
      </c>
      <c r="D2979" s="270">
        <f>IFERROR(__xludf.DUMMYFUNCTION("""COMPUTED_VALUE"""),-1403.0)</f>
        <v>-1403</v>
      </c>
      <c r="E2979" t="str">
        <f>IFERROR(__xludf.DUMMYFUNCTION("""COMPUTED_VALUE"""),"Elsa帳戶")</f>
        <v>Elsa帳戶</v>
      </c>
      <c r="G2979" t="str">
        <f>IFERROR(__xludf.DUMMYFUNCTION("""COMPUTED_VALUE"""),"南港站挑高宅")</f>
        <v>南港站挑高宅</v>
      </c>
      <c r="H2979" s="106" t="str">
        <f t="shared" si="1"/>
        <v>2025-12</v>
      </c>
      <c r="I2979" s="271" t="str">
        <f>IFERROR(__xludf.DUMMYFUNCTION("""COMPUTED_VALUE"""),"貓狗企鵝")</f>
        <v>貓狗企鵝</v>
      </c>
      <c r="J2979" t="str">
        <f>IFERROR(__xludf.DUMMYFUNCTION("IFS(
  AND(REGEXMATCH(E2979, ""台銀籌備帳戶|玉山帳戶""), REGEXMATCH(C2979, ""薪資"")), ""分潤支出"",
  AND(REGEXMATCH(E2979, ""Ben帳戶|Elsa帳戶|Ben代墊|Ariel代墊|中信銀行共用""), REGEXMATCH(F2979, ""Ben帳戶|Elsa帳戶|Ben代墊|Ariel代墊|中信銀行共用"")), ""內部轉帳(忽略)"",
  AND(E2979&lt;&gt;"""", F2979&lt;&gt;"""", N"&amp;"OT(REGEXMATCH(C2979, ""薪資""))), ""內部轉帳(忽略)"",
  REGEXMATCH(C2979, ""薪資""), ""薪資變動(不計入)"",
  REGEXMATCH(C2979, ""押金""), ""押金往來"",
  AND(E2979&lt;&gt;"""", F2979=""""), ""真實支出"",
  AND(E2979="""", F2979&lt;&gt;""""), ""真實收入"",
  TRUE, ""其他""
)"),"押金往來")</f>
        <v>押金往來</v>
      </c>
      <c r="K2979">
        <f t="shared" si="2"/>
        <v>0</v>
      </c>
      <c r="L2979">
        <f t="shared" si="3"/>
        <v>0</v>
      </c>
    </row>
    <row r="2980">
      <c r="A2980" s="107">
        <f>IFERROR(__xludf.DUMMYFUNCTION("""COMPUTED_VALUE"""),45999.0)</f>
        <v>45999</v>
      </c>
      <c r="B2980" t="str">
        <f>IFERROR(__xludf.DUMMYFUNCTION("""COMPUTED_VALUE"""),"擴香")</f>
        <v>擴香</v>
      </c>
      <c r="C2980" t="str">
        <f>IFERROR(__xludf.DUMMYFUNCTION("""COMPUTED_VALUE"""),"費用 - 辦公用品")</f>
        <v>費用 - 辦公用品</v>
      </c>
      <c r="D2980" s="270">
        <f>IFERROR(__xludf.DUMMYFUNCTION("""COMPUTED_VALUE"""),-204.0)</f>
        <v>-204</v>
      </c>
      <c r="E2980" t="str">
        <f>IFERROR(__xludf.DUMMYFUNCTION("""COMPUTED_VALUE"""),"Ben帳戶")</f>
        <v>Ben帳戶</v>
      </c>
      <c r="G2980" t="str">
        <f>IFERROR(__xludf.DUMMYFUNCTION("""COMPUTED_VALUE"""),"龍江229")</f>
        <v>龍江229</v>
      </c>
      <c r="H2980" s="106" t="str">
        <f t="shared" si="1"/>
        <v>2025-12</v>
      </c>
      <c r="I2980" s="271" t="str">
        <f>IFERROR(__xludf.DUMMYFUNCTION("""COMPUTED_VALUE"""),"貓狗企鵝")</f>
        <v>貓狗企鵝</v>
      </c>
      <c r="J2980" t="str">
        <f>IFERROR(__xludf.DUMMYFUNCTION("IFS(
  AND(REGEXMATCH(E2980, ""台銀籌備帳戶|玉山帳戶""), REGEXMATCH(C2980, ""薪資"")), ""分潤支出"",
  AND(REGEXMATCH(E2980, ""Ben帳戶|Elsa帳戶|Ben代墊|Ariel代墊|中信銀行共用""), REGEXMATCH(F2980, ""Ben帳戶|Elsa帳戶|Ben代墊|Ariel代墊|中信銀行共用"")), ""內部轉帳(忽略)"",
  AND(E2980&lt;&gt;"""", F2980&lt;&gt;"""", N"&amp;"OT(REGEXMATCH(C2980, ""薪資""))), ""內部轉帳(忽略)"",
  REGEXMATCH(C2980, ""薪資""), ""薪資變動(不計入)"",
  REGEXMATCH(C2980, ""押金""), ""押金往來"",
  AND(E2980&lt;&gt;"""", F2980=""""), ""真實支出"",
  AND(E2980="""", F2980&lt;&gt;""""), ""真實收入"",
  TRUE, ""其他""
)"),"真實支出")</f>
        <v>真實支出</v>
      </c>
      <c r="K2980" s="270">
        <f t="shared" si="2"/>
        <v>-204</v>
      </c>
      <c r="L2980">
        <f t="shared" si="3"/>
        <v>0</v>
      </c>
    </row>
    <row r="2981">
      <c r="A2981" s="107">
        <f>IFERROR(__xludf.DUMMYFUNCTION("""COMPUTED_VALUE"""),45999.0)</f>
        <v>45999</v>
      </c>
      <c r="B2981" t="str">
        <f>IFERROR(__xludf.DUMMYFUNCTION("""COMPUTED_VALUE"""),"南港退能源費給林鍇蓓")</f>
        <v>南港退能源費給林鍇蓓</v>
      </c>
      <c r="C2981" t="str">
        <f>IFERROR(__xludf.DUMMYFUNCTION("""COMPUTED_VALUE"""),"收入 - 押金")</f>
        <v>收入 - 押金</v>
      </c>
      <c r="D2981" s="270">
        <f>IFERROR(__xludf.DUMMYFUNCTION("""COMPUTED_VALUE"""),-948.0)</f>
        <v>-948</v>
      </c>
      <c r="E2981" t="str">
        <f>IFERROR(__xludf.DUMMYFUNCTION("""COMPUTED_VALUE"""),"Ben帳戶")</f>
        <v>Ben帳戶</v>
      </c>
      <c r="G2981" t="str">
        <f>IFERROR(__xludf.DUMMYFUNCTION("""COMPUTED_VALUE"""),"南港站挑高宅")</f>
        <v>南港站挑高宅</v>
      </c>
      <c r="H2981" s="106" t="str">
        <f t="shared" si="1"/>
        <v>2025-12</v>
      </c>
      <c r="I2981" s="271" t="str">
        <f>IFERROR(__xludf.DUMMYFUNCTION("""COMPUTED_VALUE"""),"貓狗企鵝")</f>
        <v>貓狗企鵝</v>
      </c>
      <c r="J2981" t="str">
        <f>IFERROR(__xludf.DUMMYFUNCTION("IFS(
  AND(REGEXMATCH(E2981, ""台銀籌備帳戶|玉山帳戶""), REGEXMATCH(C2981, ""薪資"")), ""分潤支出"",
  AND(REGEXMATCH(E2981, ""Ben帳戶|Elsa帳戶|Ben代墊|Ariel代墊|中信銀行共用""), REGEXMATCH(F2981, ""Ben帳戶|Elsa帳戶|Ben代墊|Ariel代墊|中信銀行共用"")), ""內部轉帳(忽略)"",
  AND(E2981&lt;&gt;"""", F2981&lt;&gt;"""", N"&amp;"OT(REGEXMATCH(C2981, ""薪資""))), ""內部轉帳(忽略)"",
  REGEXMATCH(C2981, ""薪資""), ""薪資變動(不計入)"",
  REGEXMATCH(C2981, ""押金""), ""押金往來"",
  AND(E2981&lt;&gt;"""", F2981=""""), ""真實支出"",
  AND(E2981="""", F2981&lt;&gt;""""), ""真實收入"",
  TRUE, ""其他""
)"),"押金往來")</f>
        <v>押金往來</v>
      </c>
      <c r="K2981">
        <f t="shared" si="2"/>
        <v>0</v>
      </c>
      <c r="L2981">
        <f t="shared" si="3"/>
        <v>0</v>
      </c>
    </row>
    <row r="2982">
      <c r="A2982" s="107">
        <f>IFERROR(__xludf.DUMMYFUNCTION("""COMPUTED_VALUE"""),46001.0)</f>
        <v>46001</v>
      </c>
      <c r="B2982" t="str">
        <f>IFERROR(__xludf.DUMMYFUNCTION("""COMPUTED_VALUE"""),"天母搜狗 浴室們大採購")</f>
        <v>天母搜狗 浴室們大採購</v>
      </c>
      <c r="C2982" t="str">
        <f>IFERROR(__xludf.DUMMYFUNCTION("""COMPUTED_VALUE"""),"成本 - 進場前裝潢費")</f>
        <v>成本 - 進場前裝潢費</v>
      </c>
      <c r="D2982" s="270">
        <f>IFERROR(__xludf.DUMMYFUNCTION("""COMPUTED_VALUE"""),-20341.0)</f>
        <v>-20341</v>
      </c>
      <c r="E2982" t="str">
        <f>IFERROR(__xludf.DUMMYFUNCTION("""COMPUTED_VALUE"""),"Elsa帳戶")</f>
        <v>Elsa帳戶</v>
      </c>
      <c r="G2982" t="str">
        <f>IFERROR(__xludf.DUMMYFUNCTION("""COMPUTED_VALUE"""),"天母搜狗")</f>
        <v>天母搜狗</v>
      </c>
      <c r="H2982" s="106" t="str">
        <f t="shared" si="1"/>
        <v>2025-12</v>
      </c>
      <c r="I2982" s="271" t="str">
        <f>IFERROR(__xludf.DUMMYFUNCTION("""COMPUTED_VALUE"""),"貓狗企鵝")</f>
        <v>貓狗企鵝</v>
      </c>
      <c r="J2982" t="str">
        <f>IFERROR(__xludf.DUMMYFUNCTION("IFS(
  AND(REGEXMATCH(E2982, ""台銀籌備帳戶|玉山帳戶""), REGEXMATCH(C2982, ""薪資"")), ""分潤支出"",
  AND(REGEXMATCH(E2982, ""Ben帳戶|Elsa帳戶|Ben代墊|Ariel代墊|中信銀行共用""), REGEXMATCH(F2982, ""Ben帳戶|Elsa帳戶|Ben代墊|Ariel代墊|中信銀行共用"")), ""內部轉帳(忽略)"",
  AND(E2982&lt;&gt;"""", F2982&lt;&gt;"""", N"&amp;"OT(REGEXMATCH(C2982, ""薪資""))), ""內部轉帳(忽略)"",
  REGEXMATCH(C2982, ""薪資""), ""薪資變動(不計入)"",
  REGEXMATCH(C2982, ""押金""), ""押金往來"",
  AND(E2982&lt;&gt;"""", F2982=""""), ""真實支出"",
  AND(E2982="""", F2982&lt;&gt;""""), ""真實收入"",
  TRUE, ""其他""
)"),"真實支出")</f>
        <v>真實支出</v>
      </c>
      <c r="K2982" s="270">
        <f t="shared" si="2"/>
        <v>-20341</v>
      </c>
      <c r="L2982">
        <f t="shared" si="3"/>
        <v>0</v>
      </c>
    </row>
    <row r="2983">
      <c r="A2983" s="107">
        <f>IFERROR(__xludf.DUMMYFUNCTION("""COMPUTED_VALUE"""),46001.0)</f>
        <v>46001</v>
      </c>
      <c r="B2983" t="str">
        <f>IFERROR(__xludf.DUMMYFUNCTION("""COMPUTED_VALUE"""),"寶琳清潔")</f>
        <v>寶琳清潔</v>
      </c>
      <c r="C2983" t="str">
        <f>IFERROR(__xludf.DUMMYFUNCTION("""COMPUTED_VALUE"""),"成本 - 進場前裝潢費")</f>
        <v>成本 - 進場前裝潢費</v>
      </c>
      <c r="D2983" s="270">
        <f>IFERROR(__xludf.DUMMYFUNCTION("""COMPUTED_VALUE"""),-1050.0)</f>
        <v>-1050</v>
      </c>
      <c r="E2983" t="str">
        <f>IFERROR(__xludf.DUMMYFUNCTION("""COMPUTED_VALUE"""),"Elsa帳戶")</f>
        <v>Elsa帳戶</v>
      </c>
      <c r="G2983" t="str">
        <f>IFERROR(__xludf.DUMMYFUNCTION("""COMPUTED_VALUE"""),"永春四號")</f>
        <v>永春四號</v>
      </c>
      <c r="H2983" s="106" t="str">
        <f t="shared" si="1"/>
        <v>2025-12</v>
      </c>
      <c r="I2983" s="271" t="str">
        <f>IFERROR(__xludf.DUMMYFUNCTION("""COMPUTED_VALUE"""),"貓狗企鵝")</f>
        <v>貓狗企鵝</v>
      </c>
      <c r="J2983" t="str">
        <f>IFERROR(__xludf.DUMMYFUNCTION("IFS(
  AND(REGEXMATCH(E2983, ""台銀籌備帳戶|玉山帳戶""), REGEXMATCH(C2983, ""薪資"")), ""分潤支出"",
  AND(REGEXMATCH(E2983, ""Ben帳戶|Elsa帳戶|Ben代墊|Ariel代墊|中信銀行共用""), REGEXMATCH(F2983, ""Ben帳戶|Elsa帳戶|Ben代墊|Ariel代墊|中信銀行共用"")), ""內部轉帳(忽略)"",
  AND(E2983&lt;&gt;"""", F2983&lt;&gt;"""", N"&amp;"OT(REGEXMATCH(C2983, ""薪資""))), ""內部轉帳(忽略)"",
  REGEXMATCH(C2983, ""薪資""), ""薪資變動(不計入)"",
  REGEXMATCH(C2983, ""押金""), ""押金往來"",
  AND(E2983&lt;&gt;"""", F2983=""""), ""真實支出"",
  AND(E2983="""", F2983&lt;&gt;""""), ""真實收入"",
  TRUE, ""其他""
)"),"真實支出")</f>
        <v>真實支出</v>
      </c>
      <c r="K2983" s="270">
        <f t="shared" si="2"/>
        <v>-1050</v>
      </c>
      <c r="L2983">
        <f t="shared" si="3"/>
        <v>0</v>
      </c>
    </row>
    <row r="2984">
      <c r="A2984" s="107">
        <f>IFERROR(__xludf.DUMMYFUNCTION("""COMPUTED_VALUE"""),46006.0)</f>
        <v>46006</v>
      </c>
      <c r="B2984" t="str">
        <f>IFERROR(__xludf.DUMMYFUNCTION("""COMPUTED_VALUE"""),"龍江瓦斯費、Coco的錢")</f>
        <v>龍江瓦斯費、Coco的錢</v>
      </c>
      <c r="C2984" t="str">
        <f>IFERROR(__xludf.DUMMYFUNCTION("""COMPUTED_VALUE"""),"收入 - 押金")</f>
        <v>收入 - 押金</v>
      </c>
      <c r="D2984" s="270">
        <f>IFERROR(__xludf.DUMMYFUNCTION("""COMPUTED_VALUE"""),-6228.0)</f>
        <v>-6228</v>
      </c>
      <c r="E2984" t="str">
        <f>IFERROR(__xludf.DUMMYFUNCTION("""COMPUTED_VALUE"""),"Elsa帳戶")</f>
        <v>Elsa帳戶</v>
      </c>
      <c r="G2984" t="str">
        <f>IFERROR(__xludf.DUMMYFUNCTION("""COMPUTED_VALUE"""),"龍江229")</f>
        <v>龍江229</v>
      </c>
      <c r="H2984" s="106" t="str">
        <f t="shared" si="1"/>
        <v>2025-12</v>
      </c>
      <c r="I2984" s="271" t="str">
        <f>IFERROR(__xludf.DUMMYFUNCTION("""COMPUTED_VALUE"""),"貓狗企鵝")</f>
        <v>貓狗企鵝</v>
      </c>
      <c r="J2984" t="str">
        <f>IFERROR(__xludf.DUMMYFUNCTION("IFS(
  AND(REGEXMATCH(E2984, ""台銀籌備帳戶|玉山帳戶""), REGEXMATCH(C2984, ""薪資"")), ""分潤支出"",
  AND(REGEXMATCH(E2984, ""Ben帳戶|Elsa帳戶|Ben代墊|Ariel代墊|中信銀行共用""), REGEXMATCH(F2984, ""Ben帳戶|Elsa帳戶|Ben代墊|Ariel代墊|中信銀行共用"")), ""內部轉帳(忽略)"",
  AND(E2984&lt;&gt;"""", F2984&lt;&gt;"""", N"&amp;"OT(REGEXMATCH(C2984, ""薪資""))), ""內部轉帳(忽略)"",
  REGEXMATCH(C2984, ""薪資""), ""薪資變動(不計入)"",
  REGEXMATCH(C2984, ""押金""), ""押金往來"",
  AND(E2984&lt;&gt;"""", F2984=""""), ""真實支出"",
  AND(E2984="""", F2984&lt;&gt;""""), ""真實收入"",
  TRUE, ""其他""
)"),"押金往來")</f>
        <v>押金往來</v>
      </c>
      <c r="K2984">
        <f t="shared" si="2"/>
        <v>0</v>
      </c>
      <c r="L2984">
        <f t="shared" si="3"/>
        <v>0</v>
      </c>
    </row>
    <row r="2985">
      <c r="A2985" s="107">
        <f>IFERROR(__xludf.DUMMYFUNCTION("""COMPUTED_VALUE"""),46006.0)</f>
        <v>46006</v>
      </c>
      <c r="B2985" t="str">
        <f>IFERROR(__xludf.DUMMYFUNCTION("""COMPUTED_VALUE"""),"小玉搬家")</f>
        <v>小玉搬家</v>
      </c>
      <c r="C2985" t="str">
        <f>IFERROR(__xludf.DUMMYFUNCTION("""COMPUTED_VALUE"""),"成本 - 進場前裝潢費")</f>
        <v>成本 - 進場前裝潢費</v>
      </c>
      <c r="D2985" s="270">
        <f>IFERROR(__xludf.DUMMYFUNCTION("""COMPUTED_VALUE"""),-1050.0)</f>
        <v>-1050</v>
      </c>
      <c r="E2985" t="str">
        <f>IFERROR(__xludf.DUMMYFUNCTION("""COMPUTED_VALUE"""),"Elsa帳戶")</f>
        <v>Elsa帳戶</v>
      </c>
      <c r="G2985" t="str">
        <f>IFERROR(__xludf.DUMMYFUNCTION("""COMPUTED_VALUE"""),"天母搜狗")</f>
        <v>天母搜狗</v>
      </c>
      <c r="H2985" s="106" t="str">
        <f t="shared" si="1"/>
        <v>2025-12</v>
      </c>
      <c r="I2985" s="271" t="str">
        <f>IFERROR(__xludf.DUMMYFUNCTION("""COMPUTED_VALUE"""),"貓狗企鵝")</f>
        <v>貓狗企鵝</v>
      </c>
      <c r="J2985" t="str">
        <f>IFERROR(__xludf.DUMMYFUNCTION("IFS(
  AND(REGEXMATCH(E2985, ""台銀籌備帳戶|玉山帳戶""), REGEXMATCH(C2985, ""薪資"")), ""分潤支出"",
  AND(REGEXMATCH(E2985, ""Ben帳戶|Elsa帳戶|Ben代墊|Ariel代墊|中信銀行共用""), REGEXMATCH(F2985, ""Ben帳戶|Elsa帳戶|Ben代墊|Ariel代墊|中信銀行共用"")), ""內部轉帳(忽略)"",
  AND(E2985&lt;&gt;"""", F2985&lt;&gt;"""", N"&amp;"OT(REGEXMATCH(C2985, ""薪資""))), ""內部轉帳(忽略)"",
  REGEXMATCH(C2985, ""薪資""), ""薪資變動(不計入)"",
  REGEXMATCH(C2985, ""押金""), ""押金往來"",
  AND(E2985&lt;&gt;"""", F2985=""""), ""真實支出"",
  AND(E2985="""", F2985&lt;&gt;""""), ""真實收入"",
  TRUE, ""其他""
)"),"真實支出")</f>
        <v>真實支出</v>
      </c>
      <c r="K2985" s="270">
        <f t="shared" si="2"/>
        <v>-1050</v>
      </c>
      <c r="L2985">
        <f t="shared" si="3"/>
        <v>0</v>
      </c>
    </row>
    <row r="2986">
      <c r="A2986" s="107">
        <f>IFERROR(__xludf.DUMMYFUNCTION("""COMPUTED_VALUE"""),46011.0)</f>
        <v>46011</v>
      </c>
      <c r="B2986" t="str">
        <f>IFERROR(__xludf.DUMMYFUNCTION("""COMPUTED_VALUE"""),"懶人殿堂-南港")</f>
        <v>懶人殿堂-南港</v>
      </c>
      <c r="C2986" t="str">
        <f>IFERROR(__xludf.DUMMYFUNCTION("""COMPUTED_VALUE"""),"成本 - 固定開銷(網路代收清潔)")</f>
        <v>成本 - 固定開銷(網路代收清潔)</v>
      </c>
      <c r="D2986" s="270">
        <f>IFERROR(__xludf.DUMMYFUNCTION("""COMPUTED_VALUE"""),-1272.0)</f>
        <v>-1272</v>
      </c>
      <c r="E2986" t="str">
        <f>IFERROR(__xludf.DUMMYFUNCTION("""COMPUTED_VALUE"""),"Elsa帳戶")</f>
        <v>Elsa帳戶</v>
      </c>
      <c r="G2986" t="str">
        <f>IFERROR(__xludf.DUMMYFUNCTION("""COMPUTED_VALUE"""),"南港站挑高宅")</f>
        <v>南港站挑高宅</v>
      </c>
      <c r="H2986" s="106" t="str">
        <f t="shared" si="1"/>
        <v>2025-12</v>
      </c>
      <c r="I2986" s="271" t="str">
        <f>IFERROR(__xludf.DUMMYFUNCTION("""COMPUTED_VALUE"""),"貓狗企鵝")</f>
        <v>貓狗企鵝</v>
      </c>
      <c r="J2986" t="str">
        <f>IFERROR(__xludf.DUMMYFUNCTION("IFS(
  AND(REGEXMATCH(E2986, ""台銀籌備帳戶|玉山帳戶""), REGEXMATCH(C2986, ""薪資"")), ""分潤支出"",
  AND(REGEXMATCH(E2986, ""Ben帳戶|Elsa帳戶|Ben代墊|Ariel代墊|中信銀行共用""), REGEXMATCH(F2986, ""Ben帳戶|Elsa帳戶|Ben代墊|Ariel代墊|中信銀行共用"")), ""內部轉帳(忽略)"",
  AND(E2986&lt;&gt;"""", F2986&lt;&gt;"""", N"&amp;"OT(REGEXMATCH(C2986, ""薪資""))), ""內部轉帳(忽略)"",
  REGEXMATCH(C2986, ""薪資""), ""薪資變動(不計入)"",
  REGEXMATCH(C2986, ""押金""), ""押金往來"",
  AND(E2986&lt;&gt;"""", F2986=""""), ""真實支出"",
  AND(E2986="""", F2986&lt;&gt;""""), ""真實收入"",
  TRUE, ""其他""
)"),"真實支出")</f>
        <v>真實支出</v>
      </c>
      <c r="K2986" s="270">
        <f t="shared" si="2"/>
        <v>-1272</v>
      </c>
      <c r="L2986">
        <f t="shared" si="3"/>
        <v>0</v>
      </c>
    </row>
    <row r="2987">
      <c r="A2987" s="107">
        <f>IFERROR(__xludf.DUMMYFUNCTION("""COMPUTED_VALUE"""),46011.0)</f>
        <v>46011</v>
      </c>
      <c r="B2987" t="str">
        <f>IFERROR(__xludf.DUMMYFUNCTION("""COMPUTED_VALUE"""),"懶人殿堂-Feli老家*2")</f>
        <v>懶人殿堂-Feli老家*2</v>
      </c>
      <c r="C2987" t="str">
        <f>IFERROR(__xludf.DUMMYFUNCTION("""COMPUTED_VALUE"""),"成本 - 固定開銷(網路代收清潔)")</f>
        <v>成本 - 固定開銷(網路代收清潔)</v>
      </c>
      <c r="D2987" s="270">
        <f>IFERROR(__xludf.DUMMYFUNCTION("""COMPUTED_VALUE"""),-1820.0)</f>
        <v>-1820</v>
      </c>
      <c r="E2987" t="str">
        <f>IFERROR(__xludf.DUMMYFUNCTION("""COMPUTED_VALUE"""),"Elsa帳戶")</f>
        <v>Elsa帳戶</v>
      </c>
      <c r="G2987" t="str">
        <f>IFERROR(__xludf.DUMMYFUNCTION("""COMPUTED_VALUE"""),"中山北Feli家")</f>
        <v>中山北Feli家</v>
      </c>
      <c r="H2987" s="106" t="str">
        <f t="shared" si="1"/>
        <v>2025-12</v>
      </c>
      <c r="I2987" s="271" t="str">
        <f>IFERROR(__xludf.DUMMYFUNCTION("""COMPUTED_VALUE"""),"貓狗企鵝")</f>
        <v>貓狗企鵝</v>
      </c>
      <c r="J2987" t="str">
        <f>IFERROR(__xludf.DUMMYFUNCTION("IFS(
  AND(REGEXMATCH(E2987, ""台銀籌備帳戶|玉山帳戶""), REGEXMATCH(C2987, ""薪資"")), ""分潤支出"",
  AND(REGEXMATCH(E2987, ""Ben帳戶|Elsa帳戶|Ben代墊|Ariel代墊|中信銀行共用""), REGEXMATCH(F2987, ""Ben帳戶|Elsa帳戶|Ben代墊|Ariel代墊|中信銀行共用"")), ""內部轉帳(忽略)"",
  AND(E2987&lt;&gt;"""", F2987&lt;&gt;"""", N"&amp;"OT(REGEXMATCH(C2987, ""薪資""))), ""內部轉帳(忽略)"",
  REGEXMATCH(C2987, ""薪資""), ""薪資變動(不計入)"",
  REGEXMATCH(C2987, ""押金""), ""押金往來"",
  AND(E2987&lt;&gt;"""", F2987=""""), ""真實支出"",
  AND(E2987="""", F2987&lt;&gt;""""), ""真實收入"",
  TRUE, ""其他""
)"),"真實支出")</f>
        <v>真實支出</v>
      </c>
      <c r="K2987" s="270">
        <f t="shared" si="2"/>
        <v>-1820</v>
      </c>
      <c r="L2987">
        <f t="shared" si="3"/>
        <v>0</v>
      </c>
    </row>
    <row r="2988">
      <c r="A2988" s="107">
        <f>IFERROR(__xludf.DUMMYFUNCTION("""COMPUTED_VALUE"""),46012.0)</f>
        <v>46012</v>
      </c>
      <c r="B2988" t="str">
        <f>IFERROR(__xludf.DUMMYFUNCTION("""COMPUTED_VALUE"""),"寶琳清潔")</f>
        <v>寶琳清潔</v>
      </c>
      <c r="C2988" t="str">
        <f>IFERROR(__xludf.DUMMYFUNCTION("""COMPUTED_VALUE"""),"成本 - 固定開銷(網路代收清潔)")</f>
        <v>成本 - 固定開銷(網路代收清潔)</v>
      </c>
      <c r="D2988" s="270">
        <f>IFERROR(__xludf.DUMMYFUNCTION("""COMPUTED_VALUE"""),-1050.0)</f>
        <v>-1050</v>
      </c>
      <c r="E2988" t="str">
        <f>IFERROR(__xludf.DUMMYFUNCTION("""COMPUTED_VALUE"""),"Elsa帳戶")</f>
        <v>Elsa帳戶</v>
      </c>
      <c r="G2988" t="str">
        <f>IFERROR(__xludf.DUMMYFUNCTION("""COMPUTED_VALUE"""),"書香民生")</f>
        <v>書香民生</v>
      </c>
      <c r="H2988" s="106" t="str">
        <f t="shared" si="1"/>
        <v>2025-12</v>
      </c>
      <c r="I2988" s="271" t="str">
        <f>IFERROR(__xludf.DUMMYFUNCTION("""COMPUTED_VALUE"""),"貓狗企鵝")</f>
        <v>貓狗企鵝</v>
      </c>
      <c r="J2988" t="str">
        <f>IFERROR(__xludf.DUMMYFUNCTION("IFS(
  AND(REGEXMATCH(E2988, ""台銀籌備帳戶|玉山帳戶""), REGEXMATCH(C2988, ""薪資"")), ""分潤支出"",
  AND(REGEXMATCH(E2988, ""Ben帳戶|Elsa帳戶|Ben代墊|Ariel代墊|中信銀行共用""), REGEXMATCH(F2988, ""Ben帳戶|Elsa帳戶|Ben代墊|Ariel代墊|中信銀行共用"")), ""內部轉帳(忽略)"",
  AND(E2988&lt;&gt;"""", F2988&lt;&gt;"""", N"&amp;"OT(REGEXMATCH(C2988, ""薪資""))), ""內部轉帳(忽略)"",
  REGEXMATCH(C2988, ""薪資""), ""薪資變動(不計入)"",
  REGEXMATCH(C2988, ""押金""), ""押金往來"",
  AND(E2988&lt;&gt;"""", F2988=""""), ""真實支出"",
  AND(E2988="""", F2988&lt;&gt;""""), ""真實收入"",
  TRUE, ""其他""
)"),"真實支出")</f>
        <v>真實支出</v>
      </c>
      <c r="K2988" s="270">
        <f t="shared" si="2"/>
        <v>-1050</v>
      </c>
      <c r="L2988">
        <f t="shared" si="3"/>
        <v>0</v>
      </c>
    </row>
    <row r="2989">
      <c r="A2989" s="107">
        <f>IFERROR(__xludf.DUMMYFUNCTION("""COMPUTED_VALUE"""),45996.0)</f>
        <v>45996</v>
      </c>
      <c r="B2989" t="str">
        <f>IFERROR(__xludf.DUMMYFUNCTION("""COMPUTED_VALUE"""),"費用 - 匯費 808 (24317)")</f>
        <v>費用 - 匯費 808 (24317)</v>
      </c>
      <c r="C2989" t="str">
        <f>IFERROR(__xludf.DUMMYFUNCTION("""COMPUTED_VALUE"""),"費用 - 匯費")</f>
        <v>費用 - 匯費</v>
      </c>
      <c r="D2989" s="270">
        <f>IFERROR(__xludf.DUMMYFUNCTION("""COMPUTED_VALUE"""),-15.0)</f>
        <v>-15</v>
      </c>
      <c r="E2989" t="str">
        <f>IFERROR(__xludf.DUMMYFUNCTION("""COMPUTED_VALUE"""),"台銀籌備帳戶")</f>
        <v>台銀籌備帳戶</v>
      </c>
      <c r="H2989" s="106" t="str">
        <f t="shared" si="1"/>
        <v>2025-12</v>
      </c>
      <c r="I2989" s="271" t="str">
        <f>IFERROR(__xludf.DUMMYFUNCTION("""COMPUTED_VALUE"""),"貓狗企鵝")</f>
        <v>貓狗企鵝</v>
      </c>
      <c r="J2989" t="str">
        <f>IFERROR(__xludf.DUMMYFUNCTION("IFS(
  AND(REGEXMATCH(E2989, ""台銀籌備帳戶|玉山帳戶""), REGEXMATCH(C2989, ""薪資"")), ""分潤支出"",
  AND(REGEXMATCH(E2989, ""Ben帳戶|Elsa帳戶|Ben代墊|Ariel代墊|中信銀行共用""), REGEXMATCH(F2989, ""Ben帳戶|Elsa帳戶|Ben代墊|Ariel代墊|中信銀行共用"")), ""內部轉帳(忽略)"",
  AND(E2989&lt;&gt;"""", F2989&lt;&gt;"""", N"&amp;"OT(REGEXMATCH(C2989, ""薪資""))), ""內部轉帳(忽略)"",
  REGEXMATCH(C2989, ""薪資""), ""薪資變動(不計入)"",
  REGEXMATCH(C2989, ""押金""), ""押金往來"",
  AND(E2989&lt;&gt;"""", F2989=""""), ""真實支出"",
  AND(E2989="""", F2989&lt;&gt;""""), ""真實收入"",
  TRUE, ""其他""
)"),"真實支出")</f>
        <v>真實支出</v>
      </c>
      <c r="K2989" s="270">
        <f t="shared" si="2"/>
        <v>-15</v>
      </c>
      <c r="L2989">
        <f t="shared" si="3"/>
        <v>0</v>
      </c>
    </row>
    <row r="2990">
      <c r="A2990" s="107">
        <f>IFERROR(__xludf.DUMMYFUNCTION("""COMPUTED_VALUE"""),45996.0)</f>
        <v>45996</v>
      </c>
      <c r="B2990" t="str">
        <f>IFERROR(__xludf.DUMMYFUNCTION("""COMPUTED_VALUE"""),"冷氣補助移轉到玉山")</f>
        <v>冷氣補助移轉到玉山</v>
      </c>
      <c r="C2990" t="str">
        <f>IFERROR(__xludf.DUMMYFUNCTION("""COMPUTED_VALUE"""),"收入 - 其他")</f>
        <v>收入 - 其他</v>
      </c>
      <c r="D2990" s="270">
        <f>IFERROR(__xludf.DUMMYFUNCTION("""COMPUTED_VALUE"""),-36235.0)</f>
        <v>-36235</v>
      </c>
      <c r="E2990" t="str">
        <f>IFERROR(__xludf.DUMMYFUNCTION("""COMPUTED_VALUE"""),"台銀籌備帳戶")</f>
        <v>台銀籌備帳戶</v>
      </c>
      <c r="G2990" t="str">
        <f>IFERROR(__xludf.DUMMYFUNCTION("""COMPUTED_VALUE"""),"無法分類")</f>
        <v>無法分類</v>
      </c>
      <c r="H2990" s="106" t="str">
        <f t="shared" si="1"/>
        <v>2025-12</v>
      </c>
      <c r="I2990" s="271" t="str">
        <f>IFERROR(__xludf.DUMMYFUNCTION("""COMPUTED_VALUE"""),"貓狗企鵝")</f>
        <v>貓狗企鵝</v>
      </c>
      <c r="J2990" t="str">
        <f>IFERROR(__xludf.DUMMYFUNCTION("IFS(
  AND(REGEXMATCH(E2990, ""台銀籌備帳戶|玉山帳戶""), REGEXMATCH(C2990, ""薪資"")), ""分潤支出"",
  AND(REGEXMATCH(E2990, ""Ben帳戶|Elsa帳戶|Ben代墊|Ariel代墊|中信銀行共用""), REGEXMATCH(F2990, ""Ben帳戶|Elsa帳戶|Ben代墊|Ariel代墊|中信銀行共用"")), ""內部轉帳(忽略)"",
  AND(E2990&lt;&gt;"""", F2990&lt;&gt;"""", N"&amp;"OT(REGEXMATCH(C2990, ""薪資""))), ""內部轉帳(忽略)"",
  REGEXMATCH(C2990, ""薪資""), ""薪資變動(不計入)"",
  REGEXMATCH(C2990, ""押金""), ""押金往來"",
  AND(E2990&lt;&gt;"""", F2990=""""), ""真實支出"",
  AND(E2990="""", F2990&lt;&gt;""""), ""真實收入"",
  TRUE, ""其他""
)"),"真實支出")</f>
        <v>真實支出</v>
      </c>
      <c r="K2990" s="270">
        <f t="shared" si="2"/>
        <v>-36235</v>
      </c>
      <c r="L2990">
        <f t="shared" si="3"/>
        <v>0</v>
      </c>
    </row>
    <row r="2991">
      <c r="A2991" s="107">
        <f>IFERROR(__xludf.DUMMYFUNCTION("""COMPUTED_VALUE"""),45996.0)</f>
        <v>45996</v>
      </c>
      <c r="B2991" t="str">
        <f>IFERROR(__xludf.DUMMYFUNCTION("""COMPUTED_VALUE""")," [永春四號] 兩房")</f>
        <v> [永春四號] 兩房</v>
      </c>
      <c r="C2991" t="str">
        <f>IFERROR(__xludf.DUMMYFUNCTION("""COMPUTED_VALUE"""),"收入 - 租金")</f>
        <v>收入 - 租金</v>
      </c>
      <c r="D2991" s="270">
        <f>IFERROR(__xludf.DUMMYFUNCTION("""COMPUTED_VALUE"""),13458.0)</f>
        <v>13458</v>
      </c>
      <c r="F2991" t="str">
        <f>IFERROR(__xludf.DUMMYFUNCTION("""COMPUTED_VALUE"""),"台銀籌備帳戶")</f>
        <v>台銀籌備帳戶</v>
      </c>
      <c r="G2991" t="str">
        <f>IFERROR(__xludf.DUMMYFUNCTION("""COMPUTED_VALUE"""),"永春四號")</f>
        <v>永春四號</v>
      </c>
      <c r="H2991" s="106" t="str">
        <f t="shared" si="1"/>
        <v>2025-12</v>
      </c>
      <c r="I2991" s="271" t="str">
        <f>IFERROR(__xludf.DUMMYFUNCTION("""COMPUTED_VALUE"""),"貓狗企鵝")</f>
        <v>貓狗企鵝</v>
      </c>
      <c r="J2991" t="str">
        <f>IFERROR(__xludf.DUMMYFUNCTION("IFS(
  AND(REGEXMATCH(E2991, ""台銀籌備帳戶|玉山帳戶""), REGEXMATCH(C2991, ""薪資"")), ""分潤支出"",
  AND(REGEXMATCH(E2991, ""Ben帳戶|Elsa帳戶|Ben代墊|Ariel代墊|中信銀行共用""), REGEXMATCH(F2991, ""Ben帳戶|Elsa帳戶|Ben代墊|Ariel代墊|中信銀行共用"")), ""內部轉帳(忽略)"",
  AND(E2991&lt;&gt;"""", F2991&lt;&gt;"""", N"&amp;"OT(REGEXMATCH(C2991, ""薪資""))), ""內部轉帳(忽略)"",
  REGEXMATCH(C2991, ""薪資""), ""薪資變動(不計入)"",
  REGEXMATCH(C2991, ""押金""), ""押金往來"",
  AND(E2991&lt;&gt;"""", F2991=""""), ""真實支出"",
  AND(E2991="""", F2991&lt;&gt;""""), ""真實收入"",
  TRUE, ""其他""
)"),"真實收入")</f>
        <v>真實收入</v>
      </c>
      <c r="K2991" s="270">
        <f t="shared" si="2"/>
        <v>13458</v>
      </c>
      <c r="L2991">
        <f t="shared" si="3"/>
        <v>0</v>
      </c>
    </row>
    <row r="2992">
      <c r="A2992" s="107">
        <f>IFERROR(__xludf.DUMMYFUNCTION("""COMPUTED_VALUE"""),45996.0)</f>
        <v>45996</v>
      </c>
      <c r="B2992" t="str">
        <f>IFERROR(__xludf.DUMMYFUNCTION("""COMPUTED_VALUE"""),"[中山北娘家旁] C 月租金 後五碼:21978 (行號: 4)")</f>
        <v>[中山北娘家旁] C 月租金 後五碼:21978 (行號: 4)</v>
      </c>
      <c r="C2992" t="str">
        <f>IFERROR(__xludf.DUMMYFUNCTION("""COMPUTED_VALUE"""),"收入 - 租金")</f>
        <v>收入 - 租金</v>
      </c>
      <c r="D2992" s="270">
        <f>IFERROR(__xludf.DUMMYFUNCTION("""COMPUTED_VALUE"""),14800.0)</f>
        <v>14800</v>
      </c>
      <c r="F2992" t="str">
        <f>IFERROR(__xludf.DUMMYFUNCTION("""COMPUTED_VALUE"""),"台銀籌備帳戶")</f>
        <v>台銀籌備帳戶</v>
      </c>
      <c r="G2992" t="str">
        <f>IFERROR(__xludf.DUMMYFUNCTION("""COMPUTED_VALUE"""),"中山北娘家旁")</f>
        <v>中山北娘家旁</v>
      </c>
      <c r="H2992" s="106" t="str">
        <f t="shared" si="1"/>
        <v>2025-12</v>
      </c>
      <c r="I2992" s="271" t="str">
        <f>IFERROR(__xludf.DUMMYFUNCTION("""COMPUTED_VALUE"""),"貓狗企鵝")</f>
        <v>貓狗企鵝</v>
      </c>
      <c r="J2992" t="str">
        <f>IFERROR(__xludf.DUMMYFUNCTION("IFS(
  AND(REGEXMATCH(E2992, ""台銀籌備帳戶|玉山帳戶""), REGEXMATCH(C2992, ""薪資"")), ""分潤支出"",
  AND(REGEXMATCH(E2992, ""Ben帳戶|Elsa帳戶|Ben代墊|Ariel代墊|中信銀行共用""), REGEXMATCH(F2992, ""Ben帳戶|Elsa帳戶|Ben代墊|Ariel代墊|中信銀行共用"")), ""內部轉帳(忽略)"",
  AND(E2992&lt;&gt;"""", F2992&lt;&gt;"""", N"&amp;"OT(REGEXMATCH(C2992, ""薪資""))), ""內部轉帳(忽略)"",
  REGEXMATCH(C2992, ""薪資""), ""薪資變動(不計入)"",
  REGEXMATCH(C2992, ""押金""), ""押金往來"",
  AND(E2992&lt;&gt;"""", F2992=""""), ""真實支出"",
  AND(E2992="""", F2992&lt;&gt;""""), ""真實收入"",
  TRUE, ""其他""
)"),"真實收入")</f>
        <v>真實收入</v>
      </c>
      <c r="K2992" s="270">
        <f t="shared" si="2"/>
        <v>14800</v>
      </c>
      <c r="L2992">
        <f t="shared" si="3"/>
        <v>0</v>
      </c>
    </row>
    <row r="2993">
      <c r="A2993" s="107">
        <f>IFERROR(__xludf.DUMMYFUNCTION("""COMPUTED_VALUE"""),45998.0)</f>
        <v>45998</v>
      </c>
      <c r="B2993" t="str">
        <f>IFERROR(__xludf.DUMMYFUNCTION("""COMPUTED_VALUE"""),"[哈拉對面] D 月租金 後五碼:64267 (行號: 5)")</f>
        <v>[哈拉對面] D 月租金 後五碼:64267 (行號: 5)</v>
      </c>
      <c r="C2993" t="str">
        <f>IFERROR(__xludf.DUMMYFUNCTION("""COMPUTED_VALUE"""),"收入 - 租金")</f>
        <v>收入 - 租金</v>
      </c>
      <c r="D2993" s="270">
        <f>IFERROR(__xludf.DUMMYFUNCTION("""COMPUTED_VALUE"""),11800.0)</f>
        <v>11800</v>
      </c>
      <c r="F2993" t="str">
        <f>IFERROR(__xludf.DUMMYFUNCTION("""COMPUTED_VALUE"""),"台銀籌備帳戶")</f>
        <v>台銀籌備帳戶</v>
      </c>
      <c r="G2993" t="str">
        <f>IFERROR(__xludf.DUMMYFUNCTION("""COMPUTED_VALUE"""),"哈拉對面")</f>
        <v>哈拉對面</v>
      </c>
      <c r="H2993" s="106" t="str">
        <f t="shared" si="1"/>
        <v>2025-12</v>
      </c>
      <c r="I2993" s="271" t="str">
        <f>IFERROR(__xludf.DUMMYFUNCTION("""COMPUTED_VALUE"""),"貓狗企鵝")</f>
        <v>貓狗企鵝</v>
      </c>
      <c r="J2993" t="str">
        <f>IFERROR(__xludf.DUMMYFUNCTION("IFS(
  AND(REGEXMATCH(E2993, ""台銀籌備帳戶|玉山帳戶""), REGEXMATCH(C2993, ""薪資"")), ""分潤支出"",
  AND(REGEXMATCH(E2993, ""Ben帳戶|Elsa帳戶|Ben代墊|Ariel代墊|中信銀行共用""), REGEXMATCH(F2993, ""Ben帳戶|Elsa帳戶|Ben代墊|Ariel代墊|中信銀行共用"")), ""內部轉帳(忽略)"",
  AND(E2993&lt;&gt;"""", F2993&lt;&gt;"""", N"&amp;"OT(REGEXMATCH(C2993, ""薪資""))), ""內部轉帳(忽略)"",
  REGEXMATCH(C2993, ""薪資""), ""薪資變動(不計入)"",
  REGEXMATCH(C2993, ""押金""), ""押金往來"",
  AND(E2993&lt;&gt;"""", F2993=""""), ""真實支出"",
  AND(E2993="""", F2993&lt;&gt;""""), ""真實收入"",
  TRUE, ""其他""
)"),"真實收入")</f>
        <v>真實收入</v>
      </c>
      <c r="K2993" s="270">
        <f t="shared" si="2"/>
        <v>11800</v>
      </c>
      <c r="L2993">
        <f t="shared" si="3"/>
        <v>0</v>
      </c>
    </row>
    <row r="2994">
      <c r="A2994" s="107">
        <f>IFERROR(__xludf.DUMMYFUNCTION("""COMPUTED_VALUE"""),45998.0)</f>
        <v>45998</v>
      </c>
      <c r="B2994" t="str">
        <f>IFERROR(__xludf.DUMMYFUNCTION("""COMPUTED_VALUE"""),"李宜蓁妥妥租屋FELI C")</f>
        <v>李宜蓁妥妥租屋FELI C</v>
      </c>
      <c r="C2994" t="str">
        <f>IFERROR(__xludf.DUMMYFUNCTION("""COMPUTED_VALUE"""),"收入 - 押金")</f>
        <v>收入 - 押金</v>
      </c>
      <c r="D2994" s="270">
        <f>IFERROR(__xludf.DUMMYFUNCTION("""COMPUTED_VALUE"""),23000.0)</f>
        <v>23000</v>
      </c>
      <c r="F2994" t="str">
        <f>IFERROR(__xludf.DUMMYFUNCTION("""COMPUTED_VALUE"""),"台銀籌備帳戶")</f>
        <v>台銀籌備帳戶</v>
      </c>
      <c r="G2994" t="str">
        <f>IFERROR(__xludf.DUMMYFUNCTION("""COMPUTED_VALUE"""),"中山北Feli家")</f>
        <v>中山北Feli家</v>
      </c>
      <c r="H2994" s="106" t="str">
        <f t="shared" si="1"/>
        <v>2025-12</v>
      </c>
      <c r="I2994" s="271" t="str">
        <f>IFERROR(__xludf.DUMMYFUNCTION("""COMPUTED_VALUE"""),"貓狗企鵝")</f>
        <v>貓狗企鵝</v>
      </c>
      <c r="J2994" t="str">
        <f>IFERROR(__xludf.DUMMYFUNCTION("IFS(
  AND(REGEXMATCH(E2994, ""台銀籌備帳戶|玉山帳戶""), REGEXMATCH(C2994, ""薪資"")), ""分潤支出"",
  AND(REGEXMATCH(E2994, ""Ben帳戶|Elsa帳戶|Ben代墊|Ariel代墊|中信銀行共用""), REGEXMATCH(F2994, ""Ben帳戶|Elsa帳戶|Ben代墊|Ariel代墊|中信銀行共用"")), ""內部轉帳(忽略)"",
  AND(E2994&lt;&gt;"""", F2994&lt;&gt;"""", N"&amp;"OT(REGEXMATCH(C2994, ""薪資""))), ""內部轉帳(忽略)"",
  REGEXMATCH(C2994, ""薪資""), ""薪資變動(不計入)"",
  REGEXMATCH(C2994, ""押金""), ""押金往來"",
  AND(E2994&lt;&gt;"""", F2994=""""), ""真實支出"",
  AND(E2994="""", F2994&lt;&gt;""""), ""真實收入"",
  TRUE, ""其他""
)"),"押金往來")</f>
        <v>押金往來</v>
      </c>
      <c r="K2994">
        <f t="shared" si="2"/>
        <v>0</v>
      </c>
      <c r="L2994">
        <f t="shared" si="3"/>
        <v>0</v>
      </c>
    </row>
    <row r="2995">
      <c r="A2995" s="107">
        <f>IFERROR(__xludf.DUMMYFUNCTION("""COMPUTED_VALUE"""),46000.0)</f>
        <v>46000</v>
      </c>
      <c r="B2995" t="str">
        <f>IFERROR(__xludf.DUMMYFUNCTION("""COMPUTED_VALUE"""),"費用 - 匯費 809 (02277)")</f>
        <v>費用 - 匯費 809 (02277)</v>
      </c>
      <c r="C2995" t="str">
        <f>IFERROR(__xludf.DUMMYFUNCTION("""COMPUTED_VALUE"""),"費用 - 匯費")</f>
        <v>費用 - 匯費</v>
      </c>
      <c r="D2995" s="270">
        <f>IFERROR(__xludf.DUMMYFUNCTION("""COMPUTED_VALUE"""),-15.0)</f>
        <v>-15</v>
      </c>
      <c r="E2995" t="str">
        <f>IFERROR(__xludf.DUMMYFUNCTION("""COMPUTED_VALUE"""),"台銀籌備帳戶")</f>
        <v>台銀籌備帳戶</v>
      </c>
      <c r="H2995" s="106" t="str">
        <f t="shared" si="1"/>
        <v>2025-12</v>
      </c>
      <c r="I2995" s="271" t="str">
        <f>IFERROR(__xludf.DUMMYFUNCTION("""COMPUTED_VALUE"""),"貓狗企鵝")</f>
        <v>貓狗企鵝</v>
      </c>
      <c r="J2995" t="str">
        <f>IFERROR(__xludf.DUMMYFUNCTION("IFS(
  AND(REGEXMATCH(E2995, ""台銀籌備帳戶|玉山帳戶""), REGEXMATCH(C2995, ""薪資"")), ""分潤支出"",
  AND(REGEXMATCH(E2995, ""Ben帳戶|Elsa帳戶|Ben代墊|Ariel代墊|中信銀行共用""), REGEXMATCH(F2995, ""Ben帳戶|Elsa帳戶|Ben代墊|Ariel代墊|中信銀行共用"")), ""內部轉帳(忽略)"",
  AND(E2995&lt;&gt;"""", F2995&lt;&gt;"""", N"&amp;"OT(REGEXMATCH(C2995, ""薪資""))), ""內部轉帳(忽略)"",
  REGEXMATCH(C2995, ""薪資""), ""薪資變動(不計入)"",
  REGEXMATCH(C2995, ""押金""), ""押金往來"",
  AND(E2995&lt;&gt;"""", F2995=""""), ""真實支出"",
  AND(E2995="""", F2995&lt;&gt;""""), ""真實收入"",
  TRUE, ""其他""
)"),"真實支出")</f>
        <v>真實支出</v>
      </c>
      <c r="K2995" s="270">
        <f t="shared" si="2"/>
        <v>-15</v>
      </c>
      <c r="L2995">
        <f t="shared" si="3"/>
        <v>0</v>
      </c>
    </row>
    <row r="2996">
      <c r="A2996" s="107">
        <f>IFERROR(__xludf.DUMMYFUNCTION("""COMPUTED_VALUE"""),46000.0)</f>
        <v>46000</v>
      </c>
      <c r="B2996" t="str">
        <f>IFERROR(__xludf.DUMMYFUNCTION("""COMPUTED_VALUE"""),"天母搜狗馬桶 ' 【未分類支出】")</f>
        <v>天母搜狗馬桶 ' 【未分類支出】</v>
      </c>
      <c r="C2996" t="str">
        <f>IFERROR(__xludf.DUMMYFUNCTION("""COMPUTED_VALUE"""),"成本 - 進場前裝潢費")</f>
        <v>成本 - 進場前裝潢費</v>
      </c>
      <c r="D2996" s="270">
        <f>IFERROR(__xludf.DUMMYFUNCTION("""COMPUTED_VALUE"""),-15600.0)</f>
        <v>-15600</v>
      </c>
      <c r="E2996" t="str">
        <f>IFERROR(__xludf.DUMMYFUNCTION("""COMPUTED_VALUE"""),"台銀籌備帳戶")</f>
        <v>台銀籌備帳戶</v>
      </c>
      <c r="H2996" s="106" t="str">
        <f t="shared" si="1"/>
        <v>2025-12</v>
      </c>
      <c r="I2996" s="271" t="str">
        <f>IFERROR(__xludf.DUMMYFUNCTION("""COMPUTED_VALUE"""),"貓狗企鵝")</f>
        <v>貓狗企鵝</v>
      </c>
      <c r="J2996" t="str">
        <f>IFERROR(__xludf.DUMMYFUNCTION("IFS(
  AND(REGEXMATCH(E2996, ""台銀籌備帳戶|玉山帳戶""), REGEXMATCH(C2996, ""薪資"")), ""分潤支出"",
  AND(REGEXMATCH(E2996, ""Ben帳戶|Elsa帳戶|Ben代墊|Ariel代墊|中信銀行共用""), REGEXMATCH(F2996, ""Ben帳戶|Elsa帳戶|Ben代墊|Ariel代墊|中信銀行共用"")), ""內部轉帳(忽略)"",
  AND(E2996&lt;&gt;"""", F2996&lt;&gt;"""", N"&amp;"OT(REGEXMATCH(C2996, ""薪資""))), ""內部轉帳(忽略)"",
  REGEXMATCH(C2996, ""薪資""), ""薪資變動(不計入)"",
  REGEXMATCH(C2996, ""押金""), ""押金往來"",
  AND(E2996&lt;&gt;"""", F2996=""""), ""真實支出"",
  AND(E2996="""", F2996&lt;&gt;""""), ""真實收入"",
  TRUE, ""其他""
)"),"真實支出")</f>
        <v>真實支出</v>
      </c>
      <c r="K2996" s="270">
        <f t="shared" si="2"/>
        <v>-15600</v>
      </c>
      <c r="L2996">
        <f t="shared" si="3"/>
        <v>0</v>
      </c>
    </row>
    <row r="2997">
      <c r="A2997" s="107">
        <f>IFERROR(__xludf.DUMMYFUNCTION("""COMPUTED_VALUE"""),46001.0)</f>
        <v>46001</v>
      </c>
      <c r="B2997" t="str">
        <f>IFERROR(__xludf.DUMMYFUNCTION("""COMPUTED_VALUE"""),"費用 - 匯費 011 (17078)")</f>
        <v>費用 - 匯費 011 (17078)</v>
      </c>
      <c r="C2997" t="str">
        <f>IFERROR(__xludf.DUMMYFUNCTION("""COMPUTED_VALUE"""),"費用 - 匯費")</f>
        <v>費用 - 匯費</v>
      </c>
      <c r="D2997" s="270">
        <f>IFERROR(__xludf.DUMMYFUNCTION("""COMPUTED_VALUE"""),-15.0)</f>
        <v>-15</v>
      </c>
      <c r="E2997" t="str">
        <f>IFERROR(__xludf.DUMMYFUNCTION("""COMPUTED_VALUE"""),"台銀籌備帳戶")</f>
        <v>台銀籌備帳戶</v>
      </c>
      <c r="H2997" s="106" t="str">
        <f t="shared" si="1"/>
        <v>2025-12</v>
      </c>
      <c r="I2997" s="271" t="str">
        <f>IFERROR(__xludf.DUMMYFUNCTION("""COMPUTED_VALUE"""),"貓狗企鵝")</f>
        <v>貓狗企鵝</v>
      </c>
      <c r="J2997" t="str">
        <f>IFERROR(__xludf.DUMMYFUNCTION("IFS(
  AND(REGEXMATCH(E2997, ""台銀籌備帳戶|玉山帳戶""), REGEXMATCH(C2997, ""薪資"")), ""分潤支出"",
  AND(REGEXMATCH(E2997, ""Ben帳戶|Elsa帳戶|Ben代墊|Ariel代墊|中信銀行共用""), REGEXMATCH(F2997, ""Ben帳戶|Elsa帳戶|Ben代墊|Ariel代墊|中信銀行共用"")), ""內部轉帳(忽略)"",
  AND(E2997&lt;&gt;"""", F2997&lt;&gt;"""", N"&amp;"OT(REGEXMATCH(C2997, ""薪資""))), ""內部轉帳(忽略)"",
  REGEXMATCH(C2997, ""薪資""), ""薪資變動(不計入)"",
  REGEXMATCH(C2997, ""押金""), ""押金往來"",
  AND(E2997&lt;&gt;"""", F2997=""""), ""真實支出"",
  AND(E2997="""", F2997&lt;&gt;""""), ""真實收入"",
  TRUE, ""其他""
)"),"真實支出")</f>
        <v>真實支出</v>
      </c>
      <c r="K2997" s="270">
        <f t="shared" si="2"/>
        <v>-15</v>
      </c>
      <c r="L2997">
        <f t="shared" si="3"/>
        <v>0</v>
      </c>
    </row>
    <row r="2998">
      <c r="A2998" s="107">
        <f>IFERROR(__xludf.DUMMYFUNCTION("""COMPUTED_VALUE"""),46001.0)</f>
        <v>46001</v>
      </c>
      <c r="B2998" t="str">
        <f>IFERROR(__xludf.DUMMYFUNCTION("""COMPUTED_VALUE"""),"[書香民生] [吳高寶玉] 大租金")</f>
        <v>[書香民生] [吳高寶玉] 大租金</v>
      </c>
      <c r="C2998" t="str">
        <f>IFERROR(__xludf.DUMMYFUNCTION("""COMPUTED_VALUE"""),"成本 - 大租金")</f>
        <v>成本 - 大租金</v>
      </c>
      <c r="D2998" s="270">
        <f>IFERROR(__xludf.DUMMYFUNCTION("""COMPUTED_VALUE"""),-16667.0)</f>
        <v>-16667</v>
      </c>
      <c r="E2998" t="str">
        <f>IFERROR(__xludf.DUMMYFUNCTION("""COMPUTED_VALUE"""),"台銀籌備帳戶")</f>
        <v>台銀籌備帳戶</v>
      </c>
      <c r="G2998" t="str">
        <f>IFERROR(__xludf.DUMMYFUNCTION("""COMPUTED_VALUE"""),"書香民生")</f>
        <v>書香民生</v>
      </c>
      <c r="H2998" s="106" t="str">
        <f t="shared" si="1"/>
        <v>2025-12</v>
      </c>
      <c r="I2998" s="271" t="str">
        <f>IFERROR(__xludf.DUMMYFUNCTION("""COMPUTED_VALUE"""),"貓狗企鵝")</f>
        <v>貓狗企鵝</v>
      </c>
      <c r="J2998" t="str">
        <f>IFERROR(__xludf.DUMMYFUNCTION("IFS(
  AND(REGEXMATCH(E2998, ""台銀籌備帳戶|玉山帳戶""), REGEXMATCH(C2998, ""薪資"")), ""分潤支出"",
  AND(REGEXMATCH(E2998, ""Ben帳戶|Elsa帳戶|Ben代墊|Ariel代墊|中信銀行共用""), REGEXMATCH(F2998, ""Ben帳戶|Elsa帳戶|Ben代墊|Ariel代墊|中信銀行共用"")), ""內部轉帳(忽略)"",
  AND(E2998&lt;&gt;"""", F2998&lt;&gt;"""", N"&amp;"OT(REGEXMATCH(C2998, ""薪資""))), ""內部轉帳(忽略)"",
  REGEXMATCH(C2998, ""薪資""), ""薪資變動(不計入)"",
  REGEXMATCH(C2998, ""押金""), ""押金往來"",
  AND(E2998&lt;&gt;"""", F2998=""""), ""真實支出"",
  AND(E2998="""", F2998&lt;&gt;""""), ""真實收入"",
  TRUE, ""其他""
)"),"真實支出")</f>
        <v>真實支出</v>
      </c>
      <c r="K2998" s="270">
        <f t="shared" si="2"/>
        <v>-16667</v>
      </c>
      <c r="L2998">
        <f t="shared" si="3"/>
        <v>0</v>
      </c>
    </row>
    <row r="2999">
      <c r="A2999" s="107">
        <f>IFERROR(__xludf.DUMMYFUNCTION("""COMPUTED_VALUE"""),46003.0)</f>
        <v>46003</v>
      </c>
      <c r="B2999" t="str">
        <f>IFERROR(__xludf.DUMMYFUNCTION("""COMPUTED_VALUE"""),"龍江E")</f>
        <v>龍江E</v>
      </c>
      <c r="C2999" t="str">
        <f>IFERROR(__xludf.DUMMYFUNCTION("""COMPUTED_VALUE"""),"收入 - 租金")</f>
        <v>收入 - 租金</v>
      </c>
      <c r="D2999" s="270">
        <f>IFERROR(__xludf.DUMMYFUNCTION("""COMPUTED_VALUE"""),14097.0)</f>
        <v>14097</v>
      </c>
      <c r="F2999" t="str">
        <f>IFERROR(__xludf.DUMMYFUNCTION("""COMPUTED_VALUE"""),"台銀籌備帳戶")</f>
        <v>台銀籌備帳戶</v>
      </c>
      <c r="G2999" t="str">
        <f>IFERROR(__xludf.DUMMYFUNCTION("""COMPUTED_VALUE"""),"龍江229")</f>
        <v>龍江229</v>
      </c>
      <c r="H2999" s="106" t="str">
        <f t="shared" si="1"/>
        <v>2025-12</v>
      </c>
      <c r="I2999" s="271" t="str">
        <f>IFERROR(__xludf.DUMMYFUNCTION("""COMPUTED_VALUE"""),"貓狗企鵝")</f>
        <v>貓狗企鵝</v>
      </c>
      <c r="J2999" t="str">
        <f>IFERROR(__xludf.DUMMYFUNCTION("IFS(
  AND(REGEXMATCH(E2999, ""台銀籌備帳戶|玉山帳戶""), REGEXMATCH(C2999, ""薪資"")), ""分潤支出"",
  AND(REGEXMATCH(E2999, ""Ben帳戶|Elsa帳戶|Ben代墊|Ariel代墊|中信銀行共用""), REGEXMATCH(F2999, ""Ben帳戶|Elsa帳戶|Ben代墊|Ariel代墊|中信銀行共用"")), ""內部轉帳(忽略)"",
  AND(E2999&lt;&gt;"""", F2999&lt;&gt;"""", N"&amp;"OT(REGEXMATCH(C2999, ""薪資""))), ""內部轉帳(忽略)"",
  REGEXMATCH(C2999, ""薪資""), ""薪資變動(不計入)"",
  REGEXMATCH(C2999, ""押金""), ""押金往來"",
  AND(E2999&lt;&gt;"""", F2999=""""), ""真實支出"",
  AND(E2999="""", F2999&lt;&gt;""""), ""真實收入"",
  TRUE, ""其他""
)"),"真實收入")</f>
        <v>真實收入</v>
      </c>
      <c r="K2999" s="270">
        <f t="shared" si="2"/>
        <v>14097</v>
      </c>
      <c r="L2999">
        <f t="shared" si="3"/>
        <v>0</v>
      </c>
    </row>
    <row r="3000">
      <c r="A3000" s="107">
        <f>IFERROR(__xludf.DUMMYFUNCTION("""COMPUTED_VALUE"""),46003.0)</f>
        <v>46003</v>
      </c>
      <c r="B3000" t="str">
        <f>IFERROR(__xludf.DUMMYFUNCTION("""COMPUTED_VALUE""")," [永春四號] 兩房")</f>
        <v> [永春四號] 兩房</v>
      </c>
      <c r="C3000" t="str">
        <f>IFERROR(__xludf.DUMMYFUNCTION("""COMPUTED_VALUE"""),"收入 - 押金")</f>
        <v>收入 - 押金</v>
      </c>
      <c r="D3000" s="270">
        <f>IFERROR(__xludf.DUMMYFUNCTION("""COMPUTED_VALUE"""),59600.0)</f>
        <v>59600</v>
      </c>
      <c r="F3000" t="str">
        <f>IFERROR(__xludf.DUMMYFUNCTION("""COMPUTED_VALUE"""),"台銀籌備帳戶")</f>
        <v>台銀籌備帳戶</v>
      </c>
      <c r="G3000" t="str">
        <f>IFERROR(__xludf.DUMMYFUNCTION("""COMPUTED_VALUE"""),"永春四號")</f>
        <v>永春四號</v>
      </c>
      <c r="H3000" s="106" t="str">
        <f t="shared" si="1"/>
        <v>2025-12</v>
      </c>
      <c r="I3000" s="271" t="str">
        <f>IFERROR(__xludf.DUMMYFUNCTION("""COMPUTED_VALUE"""),"貓狗企鵝")</f>
        <v>貓狗企鵝</v>
      </c>
      <c r="J3000" t="str">
        <f>IFERROR(__xludf.DUMMYFUNCTION("IFS(
  AND(REGEXMATCH(E3000, ""台銀籌備帳戶|玉山帳戶""), REGEXMATCH(C3000, ""薪資"")), ""分潤支出"",
  AND(REGEXMATCH(E3000, ""Ben帳戶|Elsa帳戶|Ben代墊|Ariel代墊|中信銀行共用""), REGEXMATCH(F3000, ""Ben帳戶|Elsa帳戶|Ben代墊|Ariel代墊|中信銀行共用"")), ""內部轉帳(忽略)"",
  AND(E3000&lt;&gt;"""", F3000&lt;&gt;"""", N"&amp;"OT(REGEXMATCH(C3000, ""薪資""))), ""內部轉帳(忽略)"",
  REGEXMATCH(C3000, ""薪資""), ""薪資變動(不計入)"",
  REGEXMATCH(C3000, ""押金""), ""押金往來"",
  AND(E3000&lt;&gt;"""", F3000=""""), ""真實支出"",
  AND(E3000="""", F3000&lt;&gt;""""), ""真實收入"",
  TRUE, ""其他""
)"),"押金往來")</f>
        <v>押金往來</v>
      </c>
      <c r="K3000">
        <f t="shared" si="2"/>
        <v>0</v>
      </c>
      <c r="L3000">
        <f t="shared" si="3"/>
        <v>0</v>
      </c>
    </row>
    <row r="3001">
      <c r="A3001" s="107">
        <f>IFERROR(__xludf.DUMMYFUNCTION("""COMPUTED_VALUE"""),46006.0)</f>
        <v>46006</v>
      </c>
      <c r="B3001" t="str">
        <f>IFERROR(__xludf.DUMMYFUNCTION("""COMPUTED_VALUE"""),"[南港站挑高宅] [林淑華] 大租金")</f>
        <v>[南港站挑高宅] [林淑華] 大租金</v>
      </c>
      <c r="C3001" t="str">
        <f>IFERROR(__xludf.DUMMYFUNCTION("""COMPUTED_VALUE"""),"成本 - 大租金")</f>
        <v>成本 - 大租金</v>
      </c>
      <c r="D3001" s="270">
        <f>IFERROR(__xludf.DUMMYFUNCTION("""COMPUTED_VALUE"""),-18250.0)</f>
        <v>-18250</v>
      </c>
      <c r="E3001" t="str">
        <f>IFERROR(__xludf.DUMMYFUNCTION("""COMPUTED_VALUE"""),"台銀籌備帳戶")</f>
        <v>台銀籌備帳戶</v>
      </c>
      <c r="G3001" t="str">
        <f>IFERROR(__xludf.DUMMYFUNCTION("""COMPUTED_VALUE"""),"南港站挑高宅")</f>
        <v>南港站挑高宅</v>
      </c>
      <c r="H3001" s="106" t="str">
        <f t="shared" si="1"/>
        <v>2025-12</v>
      </c>
      <c r="I3001" s="271" t="str">
        <f>IFERROR(__xludf.DUMMYFUNCTION("""COMPUTED_VALUE"""),"貓狗企鵝")</f>
        <v>貓狗企鵝</v>
      </c>
      <c r="J3001" t="str">
        <f>IFERROR(__xludf.DUMMYFUNCTION("IFS(
  AND(REGEXMATCH(E3001, ""台銀籌備帳戶|玉山帳戶""), REGEXMATCH(C3001, ""薪資"")), ""分潤支出"",
  AND(REGEXMATCH(E3001, ""Ben帳戶|Elsa帳戶|Ben代墊|Ariel代墊|中信銀行共用""), REGEXMATCH(F3001, ""Ben帳戶|Elsa帳戶|Ben代墊|Ariel代墊|中信銀行共用"")), ""內部轉帳(忽略)"",
  AND(E3001&lt;&gt;"""", F3001&lt;&gt;"""", N"&amp;"OT(REGEXMATCH(C3001, ""薪資""))), ""內部轉帳(忽略)"",
  REGEXMATCH(C3001, ""薪資""), ""薪資變動(不計入)"",
  REGEXMATCH(C3001, ""押金""), ""押金往來"",
  AND(E3001&lt;&gt;"""", F3001=""""), ""真實支出"",
  AND(E3001="""", F3001&lt;&gt;""""), ""真實收入"",
  TRUE, ""其他""
)"),"真實支出")</f>
        <v>真實支出</v>
      </c>
      <c r="K3001" s="270">
        <f t="shared" si="2"/>
        <v>-18250</v>
      </c>
      <c r="L3001">
        <f t="shared" si="3"/>
        <v>0</v>
      </c>
    </row>
    <row r="3002">
      <c r="A3002" s="107">
        <f>IFERROR(__xludf.DUMMYFUNCTION("""COMPUTED_VALUE"""),46006.0)</f>
        <v>46006</v>
      </c>
      <c r="B3002" t="str">
        <f>IFERROR(__xludf.DUMMYFUNCTION("""COMPUTED_VALUE"""),"費用 - 匯費 013 (43662)")</f>
        <v>費用 - 匯費 013 (43662)</v>
      </c>
      <c r="C3002" t="str">
        <f>IFERROR(__xludf.DUMMYFUNCTION("""COMPUTED_VALUE"""),"費用 - 匯費")</f>
        <v>費用 - 匯費</v>
      </c>
      <c r="D3002" s="270">
        <f>IFERROR(__xludf.DUMMYFUNCTION("""COMPUTED_VALUE"""),-15.0)</f>
        <v>-15</v>
      </c>
      <c r="E3002" t="str">
        <f>IFERROR(__xludf.DUMMYFUNCTION("""COMPUTED_VALUE"""),"台銀籌備帳戶")</f>
        <v>台銀籌備帳戶</v>
      </c>
      <c r="H3002" s="106" t="str">
        <f t="shared" si="1"/>
        <v>2025-12</v>
      </c>
      <c r="I3002" s="271" t="str">
        <f>IFERROR(__xludf.DUMMYFUNCTION("""COMPUTED_VALUE"""),"貓狗企鵝")</f>
        <v>貓狗企鵝</v>
      </c>
      <c r="J3002" t="str">
        <f>IFERROR(__xludf.DUMMYFUNCTION("IFS(
  AND(REGEXMATCH(E3002, ""台銀籌備帳戶|玉山帳戶""), REGEXMATCH(C3002, ""薪資"")), ""分潤支出"",
  AND(REGEXMATCH(E3002, ""Ben帳戶|Elsa帳戶|Ben代墊|Ariel代墊|中信銀行共用""), REGEXMATCH(F3002, ""Ben帳戶|Elsa帳戶|Ben代墊|Ariel代墊|中信銀行共用"")), ""內部轉帳(忽略)"",
  AND(E3002&lt;&gt;"""", F3002&lt;&gt;"""", N"&amp;"OT(REGEXMATCH(C3002, ""薪資""))), ""內部轉帳(忽略)"",
  REGEXMATCH(C3002, ""薪資""), ""薪資變動(不計入)"",
  REGEXMATCH(C3002, ""押金""), ""押金往來"",
  AND(E3002&lt;&gt;"""", F3002=""""), ""真實支出"",
  AND(E3002="""", F3002&lt;&gt;""""), ""真實收入"",
  TRUE, ""其他""
)"),"真實支出")</f>
        <v>真實支出</v>
      </c>
      <c r="K3002" s="270">
        <f t="shared" si="2"/>
        <v>-15</v>
      </c>
      <c r="L3002">
        <f t="shared" si="3"/>
        <v>0</v>
      </c>
    </row>
    <row r="3003">
      <c r="A3003" s="107">
        <f>IFERROR(__xludf.DUMMYFUNCTION("""COMPUTED_VALUE"""),46006.0)</f>
        <v>46006</v>
      </c>
      <c r="B3003" t="str">
        <f>IFERROR(__xludf.DUMMYFUNCTION("""COMPUTED_VALUE"""),"[中山北娘家旁] [方彥捷] 大租金")</f>
        <v>[中山北娘家旁] [方彥捷] 大租金</v>
      </c>
      <c r="C3003" t="str">
        <f>IFERROR(__xludf.DUMMYFUNCTION("""COMPUTED_VALUE"""),"成本 - 大租金")</f>
        <v>成本 - 大租金</v>
      </c>
      <c r="D3003" s="270">
        <f>IFERROR(__xludf.DUMMYFUNCTION("""COMPUTED_VALUE"""),-11500.0)</f>
        <v>-11500</v>
      </c>
      <c r="E3003" t="str">
        <f>IFERROR(__xludf.DUMMYFUNCTION("""COMPUTED_VALUE"""),"台銀籌備帳戶")</f>
        <v>台銀籌備帳戶</v>
      </c>
      <c r="G3003" t="str">
        <f>IFERROR(__xludf.DUMMYFUNCTION("""COMPUTED_VALUE"""),"中山北娘家旁")</f>
        <v>中山北娘家旁</v>
      </c>
      <c r="H3003" s="106" t="str">
        <f t="shared" si="1"/>
        <v>2025-12</v>
      </c>
      <c r="I3003" s="271" t="str">
        <f>IFERROR(__xludf.DUMMYFUNCTION("""COMPUTED_VALUE"""),"貓狗企鵝")</f>
        <v>貓狗企鵝</v>
      </c>
      <c r="J3003" t="str">
        <f>IFERROR(__xludf.DUMMYFUNCTION("IFS(
  AND(REGEXMATCH(E3003, ""台銀籌備帳戶|玉山帳戶""), REGEXMATCH(C3003, ""薪資"")), ""分潤支出"",
  AND(REGEXMATCH(E3003, ""Ben帳戶|Elsa帳戶|Ben代墊|Ariel代墊|中信銀行共用""), REGEXMATCH(F3003, ""Ben帳戶|Elsa帳戶|Ben代墊|Ariel代墊|中信銀行共用"")), ""內部轉帳(忽略)"",
  AND(E3003&lt;&gt;"""", F3003&lt;&gt;"""", N"&amp;"OT(REGEXMATCH(C3003, ""薪資""))), ""內部轉帳(忽略)"",
  REGEXMATCH(C3003, ""薪資""), ""薪資變動(不計入)"",
  REGEXMATCH(C3003, ""押金""), ""押金往來"",
  AND(E3003&lt;&gt;"""", F3003=""""), ""真實支出"",
  AND(E3003="""", F3003&lt;&gt;""""), ""真實收入"",
  TRUE, ""其他""
)"),"真實支出")</f>
        <v>真實支出</v>
      </c>
      <c r="K3003" s="270">
        <f t="shared" si="2"/>
        <v>-11500</v>
      </c>
      <c r="L3003">
        <f t="shared" si="3"/>
        <v>0</v>
      </c>
    </row>
    <row r="3004">
      <c r="A3004" s="107">
        <f>IFERROR(__xludf.DUMMYFUNCTION("""COMPUTED_VALUE"""),46006.0)</f>
        <v>46006</v>
      </c>
      <c r="B3004" t="str">
        <f>IFERROR(__xludf.DUMMYFUNCTION("""COMPUTED_VALUE"""),"費用 - 匯費 700 (92128)")</f>
        <v>費用 - 匯費 700 (92128)</v>
      </c>
      <c r="C3004" t="str">
        <f>IFERROR(__xludf.DUMMYFUNCTION("""COMPUTED_VALUE"""),"費用 - 匯費")</f>
        <v>費用 - 匯費</v>
      </c>
      <c r="D3004" s="270">
        <f>IFERROR(__xludf.DUMMYFUNCTION("""COMPUTED_VALUE"""),-15.0)</f>
        <v>-15</v>
      </c>
      <c r="E3004" t="str">
        <f>IFERROR(__xludf.DUMMYFUNCTION("""COMPUTED_VALUE"""),"台銀籌備帳戶")</f>
        <v>台銀籌備帳戶</v>
      </c>
      <c r="H3004" s="106" t="str">
        <f t="shared" si="1"/>
        <v>2025-12</v>
      </c>
      <c r="I3004" s="271" t="str">
        <f>IFERROR(__xludf.DUMMYFUNCTION("""COMPUTED_VALUE"""),"貓狗企鵝")</f>
        <v>貓狗企鵝</v>
      </c>
      <c r="J3004" t="str">
        <f>IFERROR(__xludf.DUMMYFUNCTION("IFS(
  AND(REGEXMATCH(E3004, ""台銀籌備帳戶|玉山帳戶""), REGEXMATCH(C3004, ""薪資"")), ""分潤支出"",
  AND(REGEXMATCH(E3004, ""Ben帳戶|Elsa帳戶|Ben代墊|Ariel代墊|中信銀行共用""), REGEXMATCH(F3004, ""Ben帳戶|Elsa帳戶|Ben代墊|Ariel代墊|中信銀行共用"")), ""內部轉帳(忽略)"",
  AND(E3004&lt;&gt;"""", F3004&lt;&gt;"""", N"&amp;"OT(REGEXMATCH(C3004, ""薪資""))), ""內部轉帳(忽略)"",
  REGEXMATCH(C3004, ""薪資""), ""薪資變動(不計入)"",
  REGEXMATCH(C3004, ""押金""), ""押金往來"",
  AND(E3004&lt;&gt;"""", F3004=""""), ""真實支出"",
  AND(E3004="""", F3004&lt;&gt;""""), ""真實收入"",
  TRUE, ""其他""
)"),"真實支出")</f>
        <v>真實支出</v>
      </c>
      <c r="K3004" s="270">
        <f t="shared" si="2"/>
        <v>-15</v>
      </c>
      <c r="L3004">
        <f t="shared" si="3"/>
        <v>0</v>
      </c>
    </row>
    <row r="3005">
      <c r="A3005" s="107">
        <f>IFERROR(__xludf.DUMMYFUNCTION("""COMPUTED_VALUE"""),46006.0)</f>
        <v>46006</v>
      </c>
      <c r="B3005" t="str">
        <f>IFERROR(__xludf.DUMMYFUNCTION("""COMPUTED_VALUE"""),"[北醫醫師府] [陳俊良] 大租金")</f>
        <v>[北醫醫師府] [陳俊良] 大租金</v>
      </c>
      <c r="C3005" t="str">
        <f>IFERROR(__xludf.DUMMYFUNCTION("""COMPUTED_VALUE"""),"成本 - 大租金")</f>
        <v>成本 - 大租金</v>
      </c>
      <c r="D3005" s="270">
        <f>IFERROR(__xludf.DUMMYFUNCTION("""COMPUTED_VALUE"""),-12800.0)</f>
        <v>-12800</v>
      </c>
      <c r="E3005" t="str">
        <f>IFERROR(__xludf.DUMMYFUNCTION("""COMPUTED_VALUE"""),"台銀籌備帳戶")</f>
        <v>台銀籌備帳戶</v>
      </c>
      <c r="G3005" t="str">
        <f>IFERROR(__xludf.DUMMYFUNCTION("""COMPUTED_VALUE"""),"北醫醫師府")</f>
        <v>北醫醫師府</v>
      </c>
      <c r="H3005" s="106" t="str">
        <f t="shared" si="1"/>
        <v>2025-12</v>
      </c>
      <c r="I3005" s="271" t="str">
        <f>IFERROR(__xludf.DUMMYFUNCTION("""COMPUTED_VALUE"""),"貓狗企鵝")</f>
        <v>貓狗企鵝</v>
      </c>
      <c r="J3005" t="str">
        <f>IFERROR(__xludf.DUMMYFUNCTION("IFS(
  AND(REGEXMATCH(E3005, ""台銀籌備帳戶|玉山帳戶""), REGEXMATCH(C3005, ""薪資"")), ""分潤支出"",
  AND(REGEXMATCH(E3005, ""Ben帳戶|Elsa帳戶|Ben代墊|Ariel代墊|中信銀行共用""), REGEXMATCH(F3005, ""Ben帳戶|Elsa帳戶|Ben代墊|Ariel代墊|中信銀行共用"")), ""內部轉帳(忽略)"",
  AND(E3005&lt;&gt;"""", F3005&lt;&gt;"""", N"&amp;"OT(REGEXMATCH(C3005, ""薪資""))), ""內部轉帳(忽略)"",
  REGEXMATCH(C3005, ""薪資""), ""薪資變動(不計入)"",
  REGEXMATCH(C3005, ""押金""), ""押金往來"",
  AND(E3005&lt;&gt;"""", F3005=""""), ""真實支出"",
  AND(E3005="""", F3005&lt;&gt;""""), ""真實收入"",
  TRUE, ""其他""
)"),"真實支出")</f>
        <v>真實支出</v>
      </c>
      <c r="K3005" s="270">
        <f t="shared" si="2"/>
        <v>-12800</v>
      </c>
      <c r="L3005">
        <f t="shared" si="3"/>
        <v>0</v>
      </c>
    </row>
    <row r="3006">
      <c r="A3006" s="107">
        <f>IFERROR(__xludf.DUMMYFUNCTION("""COMPUTED_VALUE"""),46006.0)</f>
        <v>46006</v>
      </c>
      <c r="B3006" t="str">
        <f>IFERROR(__xludf.DUMMYFUNCTION("""COMPUTED_VALUE"""),"費用 - 匯費 807 (06659)")</f>
        <v>費用 - 匯費 807 (06659)</v>
      </c>
      <c r="C3006" t="str">
        <f>IFERROR(__xludf.DUMMYFUNCTION("""COMPUTED_VALUE"""),"費用 - 匯費")</f>
        <v>費用 - 匯費</v>
      </c>
      <c r="D3006" s="270">
        <f>IFERROR(__xludf.DUMMYFUNCTION("""COMPUTED_VALUE"""),-15.0)</f>
        <v>-15</v>
      </c>
      <c r="E3006" t="str">
        <f>IFERROR(__xludf.DUMMYFUNCTION("""COMPUTED_VALUE"""),"台銀籌備帳戶")</f>
        <v>台銀籌備帳戶</v>
      </c>
      <c r="H3006" s="106" t="str">
        <f t="shared" si="1"/>
        <v>2025-12</v>
      </c>
      <c r="I3006" s="271" t="str">
        <f>IFERROR(__xludf.DUMMYFUNCTION("""COMPUTED_VALUE"""),"貓狗企鵝")</f>
        <v>貓狗企鵝</v>
      </c>
      <c r="J3006" t="str">
        <f>IFERROR(__xludf.DUMMYFUNCTION("IFS(
  AND(REGEXMATCH(E3006, ""台銀籌備帳戶|玉山帳戶""), REGEXMATCH(C3006, ""薪資"")), ""分潤支出"",
  AND(REGEXMATCH(E3006, ""Ben帳戶|Elsa帳戶|Ben代墊|Ariel代墊|中信銀行共用""), REGEXMATCH(F3006, ""Ben帳戶|Elsa帳戶|Ben代墊|Ariel代墊|中信銀行共用"")), ""內部轉帳(忽略)"",
  AND(E3006&lt;&gt;"""", F3006&lt;&gt;"""", N"&amp;"OT(REGEXMATCH(C3006, ""薪資""))), ""內部轉帳(忽略)"",
  REGEXMATCH(C3006, ""薪資""), ""薪資變動(不計入)"",
  REGEXMATCH(C3006, ""押金""), ""押金往來"",
  AND(E3006&lt;&gt;"""", F3006=""""), ""真實支出"",
  AND(E3006="""", F3006&lt;&gt;""""), ""真實收入"",
  TRUE, ""其他""
)"),"真實支出")</f>
        <v>真實支出</v>
      </c>
      <c r="K3006" s="270">
        <f t="shared" si="2"/>
        <v>-15</v>
      </c>
      <c r="L3006">
        <f t="shared" si="3"/>
        <v>0</v>
      </c>
    </row>
    <row r="3007">
      <c r="A3007" s="107">
        <f>IFERROR(__xludf.DUMMYFUNCTION("""COMPUTED_VALUE"""),46006.0)</f>
        <v>46006</v>
      </c>
      <c r="B3007" t="str">
        <f>IFERROR(__xludf.DUMMYFUNCTION("""COMPUTED_VALUE"""),"[哈拉對面] [陳哲聰] 大租金")</f>
        <v>[哈拉對面] [陳哲聰] 大租金</v>
      </c>
      <c r="C3007" t="str">
        <f>IFERROR(__xludf.DUMMYFUNCTION("""COMPUTED_VALUE"""),"成本 - 大租金")</f>
        <v>成本 - 大租金</v>
      </c>
      <c r="D3007" s="270">
        <f>IFERROR(__xludf.DUMMYFUNCTION("""COMPUTED_VALUE"""),-13000.0)</f>
        <v>-13000</v>
      </c>
      <c r="E3007" t="str">
        <f>IFERROR(__xludf.DUMMYFUNCTION("""COMPUTED_VALUE"""),"台銀籌備帳戶")</f>
        <v>台銀籌備帳戶</v>
      </c>
      <c r="G3007" t="str">
        <f>IFERROR(__xludf.DUMMYFUNCTION("""COMPUTED_VALUE"""),"哈拉對面")</f>
        <v>哈拉對面</v>
      </c>
      <c r="H3007" s="106" t="str">
        <f t="shared" si="1"/>
        <v>2025-12</v>
      </c>
      <c r="I3007" s="271" t="str">
        <f>IFERROR(__xludf.DUMMYFUNCTION("""COMPUTED_VALUE"""),"貓狗企鵝")</f>
        <v>貓狗企鵝</v>
      </c>
      <c r="J3007" t="str">
        <f>IFERROR(__xludf.DUMMYFUNCTION("IFS(
  AND(REGEXMATCH(E3007, ""台銀籌備帳戶|玉山帳戶""), REGEXMATCH(C3007, ""薪資"")), ""分潤支出"",
  AND(REGEXMATCH(E3007, ""Ben帳戶|Elsa帳戶|Ben代墊|Ariel代墊|中信銀行共用""), REGEXMATCH(F3007, ""Ben帳戶|Elsa帳戶|Ben代墊|Ariel代墊|中信銀行共用"")), ""內部轉帳(忽略)"",
  AND(E3007&lt;&gt;"""", F3007&lt;&gt;"""", N"&amp;"OT(REGEXMATCH(C3007, ""薪資""))), ""內部轉帳(忽略)"",
  REGEXMATCH(C3007, ""薪資""), ""薪資變動(不計入)"",
  REGEXMATCH(C3007, ""押金""), ""押金往來"",
  AND(E3007&lt;&gt;"""", F3007=""""), ""真實支出"",
  AND(E3007="""", F3007&lt;&gt;""""), ""真實收入"",
  TRUE, ""其他""
)"),"真實支出")</f>
        <v>真實支出</v>
      </c>
      <c r="K3007" s="270">
        <f t="shared" si="2"/>
        <v>-13000</v>
      </c>
      <c r="L3007">
        <f t="shared" si="3"/>
        <v>0</v>
      </c>
    </row>
    <row r="3008">
      <c r="A3008" s="107">
        <f>IFERROR(__xludf.DUMMYFUNCTION("""COMPUTED_VALUE"""),46006.0)</f>
        <v>46006</v>
      </c>
      <c r="B3008" t="str">
        <f>IFERROR(__xludf.DUMMYFUNCTION("""COMPUTED_VALUE"""),"費用 - 匯費 053 (05202)")</f>
        <v>費用 - 匯費 053 (05202)</v>
      </c>
      <c r="C3008" t="str">
        <f>IFERROR(__xludf.DUMMYFUNCTION("""COMPUTED_VALUE"""),"費用 - 匯費")</f>
        <v>費用 - 匯費</v>
      </c>
      <c r="D3008" s="270">
        <f>IFERROR(__xludf.DUMMYFUNCTION("""COMPUTED_VALUE"""),-15.0)</f>
        <v>-15</v>
      </c>
      <c r="E3008" t="str">
        <f>IFERROR(__xludf.DUMMYFUNCTION("""COMPUTED_VALUE"""),"台銀籌備帳戶")</f>
        <v>台銀籌備帳戶</v>
      </c>
      <c r="H3008" s="106" t="str">
        <f t="shared" si="1"/>
        <v>2025-12</v>
      </c>
      <c r="I3008" s="271" t="str">
        <f>IFERROR(__xludf.DUMMYFUNCTION("""COMPUTED_VALUE"""),"貓狗企鵝")</f>
        <v>貓狗企鵝</v>
      </c>
      <c r="J3008" t="str">
        <f>IFERROR(__xludf.DUMMYFUNCTION("IFS(
  AND(REGEXMATCH(E3008, ""台銀籌備帳戶|玉山帳戶""), REGEXMATCH(C3008, ""薪資"")), ""分潤支出"",
  AND(REGEXMATCH(E3008, ""Ben帳戶|Elsa帳戶|Ben代墊|Ariel代墊|中信銀行共用""), REGEXMATCH(F3008, ""Ben帳戶|Elsa帳戶|Ben代墊|Ariel代墊|中信銀行共用"")), ""內部轉帳(忽略)"",
  AND(E3008&lt;&gt;"""", F3008&lt;&gt;"""", N"&amp;"OT(REGEXMATCH(C3008, ""薪資""))), ""內部轉帳(忽略)"",
  REGEXMATCH(C3008, ""薪資""), ""薪資變動(不計入)"",
  REGEXMATCH(C3008, ""押金""), ""押金往來"",
  AND(E3008&lt;&gt;"""", F3008=""""), ""真實支出"",
  AND(E3008="""", F3008&lt;&gt;""""), ""真實收入"",
  TRUE, ""其他""
)"),"真實支出")</f>
        <v>真實支出</v>
      </c>
      <c r="K3008" s="270">
        <f t="shared" si="2"/>
        <v>-15</v>
      </c>
      <c r="L3008">
        <f t="shared" si="3"/>
        <v>0</v>
      </c>
    </row>
    <row r="3009">
      <c r="A3009" s="107">
        <f>IFERROR(__xludf.DUMMYFUNCTION("""COMPUTED_VALUE"""),46006.0)</f>
        <v>46006</v>
      </c>
      <c r="B3009" t="str">
        <f>IFERROR(__xludf.DUMMYFUNCTION("""COMPUTED_VALUE"""),"[大湖山莊] [陳彩霞] 大租金")</f>
        <v>[大湖山莊] [陳彩霞] 大租金</v>
      </c>
      <c r="C3009" t="str">
        <f>IFERROR(__xludf.DUMMYFUNCTION("""COMPUTED_VALUE"""),"成本 - 大租金")</f>
        <v>成本 - 大租金</v>
      </c>
      <c r="D3009" s="270">
        <f>IFERROR(__xludf.DUMMYFUNCTION("""COMPUTED_VALUE"""),-19400.0)</f>
        <v>-19400</v>
      </c>
      <c r="E3009" t="str">
        <f>IFERROR(__xludf.DUMMYFUNCTION("""COMPUTED_VALUE"""),"台銀籌備帳戶")</f>
        <v>台銀籌備帳戶</v>
      </c>
      <c r="G3009" t="str">
        <f>IFERROR(__xludf.DUMMYFUNCTION("""COMPUTED_VALUE"""),"大湖山莊")</f>
        <v>大湖山莊</v>
      </c>
      <c r="H3009" s="106" t="str">
        <f t="shared" si="1"/>
        <v>2025-12</v>
      </c>
      <c r="I3009" s="271" t="str">
        <f>IFERROR(__xludf.DUMMYFUNCTION("""COMPUTED_VALUE"""),"貓狗企鵝")</f>
        <v>貓狗企鵝</v>
      </c>
      <c r="J3009" t="str">
        <f>IFERROR(__xludf.DUMMYFUNCTION("IFS(
  AND(REGEXMATCH(E3009, ""台銀籌備帳戶|玉山帳戶""), REGEXMATCH(C3009, ""薪資"")), ""分潤支出"",
  AND(REGEXMATCH(E3009, ""Ben帳戶|Elsa帳戶|Ben代墊|Ariel代墊|中信銀行共用""), REGEXMATCH(F3009, ""Ben帳戶|Elsa帳戶|Ben代墊|Ariel代墊|中信銀行共用"")), ""內部轉帳(忽略)"",
  AND(E3009&lt;&gt;"""", F3009&lt;&gt;"""", N"&amp;"OT(REGEXMATCH(C3009, ""薪資""))), ""內部轉帳(忽略)"",
  REGEXMATCH(C3009, ""薪資""), ""薪資變動(不計入)"",
  REGEXMATCH(C3009, ""押金""), ""押金往來"",
  AND(E3009&lt;&gt;"""", F3009=""""), ""真實支出"",
  AND(E3009="""", F3009&lt;&gt;""""), ""真實收入"",
  TRUE, ""其他""
)"),"真實支出")</f>
        <v>真實支出</v>
      </c>
      <c r="K3009" s="270">
        <f t="shared" si="2"/>
        <v>-19400</v>
      </c>
      <c r="L3009">
        <f t="shared" si="3"/>
        <v>0</v>
      </c>
    </row>
    <row r="3010">
      <c r="A3010" s="107">
        <f>IFERROR(__xludf.DUMMYFUNCTION("""COMPUTED_VALUE"""),46006.0)</f>
        <v>46006</v>
      </c>
      <c r="B3010" t="str">
        <f>IFERROR(__xludf.DUMMYFUNCTION("""COMPUTED_VALUE"""),"費用 - 匯費 822 (06708)")</f>
        <v>費用 - 匯費 822 (06708)</v>
      </c>
      <c r="C3010" t="str">
        <f>IFERROR(__xludf.DUMMYFUNCTION("""COMPUTED_VALUE"""),"費用 - 匯費")</f>
        <v>費用 - 匯費</v>
      </c>
      <c r="D3010" s="270">
        <f>IFERROR(__xludf.DUMMYFUNCTION("""COMPUTED_VALUE"""),-15.0)</f>
        <v>-15</v>
      </c>
      <c r="E3010" t="str">
        <f>IFERROR(__xludf.DUMMYFUNCTION("""COMPUTED_VALUE"""),"台銀籌備帳戶")</f>
        <v>台銀籌備帳戶</v>
      </c>
      <c r="H3010" s="106" t="str">
        <f t="shared" si="1"/>
        <v>2025-12</v>
      </c>
      <c r="I3010" s="271" t="str">
        <f>IFERROR(__xludf.DUMMYFUNCTION("""COMPUTED_VALUE"""),"貓狗企鵝")</f>
        <v>貓狗企鵝</v>
      </c>
      <c r="J3010" t="str">
        <f>IFERROR(__xludf.DUMMYFUNCTION("IFS(
  AND(REGEXMATCH(E3010, ""台銀籌備帳戶|玉山帳戶""), REGEXMATCH(C3010, ""薪資"")), ""分潤支出"",
  AND(REGEXMATCH(E3010, ""Ben帳戶|Elsa帳戶|Ben代墊|Ariel代墊|中信銀行共用""), REGEXMATCH(F3010, ""Ben帳戶|Elsa帳戶|Ben代墊|Ariel代墊|中信銀行共用"")), ""內部轉帳(忽略)"",
  AND(E3010&lt;&gt;"""", F3010&lt;&gt;"""", N"&amp;"OT(REGEXMATCH(C3010, ""薪資""))), ""內部轉帳(忽略)"",
  REGEXMATCH(C3010, ""薪資""), ""薪資變動(不計入)"",
  REGEXMATCH(C3010, ""押金""), ""押金往來"",
  AND(E3010&lt;&gt;"""", F3010=""""), ""真實支出"",
  AND(E3010="""", F3010&lt;&gt;""""), ""真實收入"",
  TRUE, ""其他""
)"),"真實支出")</f>
        <v>真實支出</v>
      </c>
      <c r="K3010" s="270">
        <f t="shared" si="2"/>
        <v>-15</v>
      </c>
      <c r="L3010">
        <f t="shared" si="3"/>
        <v>0</v>
      </c>
    </row>
    <row r="3011">
      <c r="A3011" s="107">
        <f>IFERROR(__xludf.DUMMYFUNCTION("""COMPUTED_VALUE"""),46006.0)</f>
        <v>46006</v>
      </c>
      <c r="B3011" t="str">
        <f>IFERROR(__xludf.DUMMYFUNCTION("""COMPUTED_VALUE"""),"[金龍帽子先生] [郭娟伶] 大租金")</f>
        <v>[金龍帽子先生] [郭娟伶] 大租金</v>
      </c>
      <c r="C3011" t="str">
        <f>IFERROR(__xludf.DUMMYFUNCTION("""COMPUTED_VALUE"""),"成本 - 大租金")</f>
        <v>成本 - 大租金</v>
      </c>
      <c r="D3011" s="270">
        <f>IFERROR(__xludf.DUMMYFUNCTION("""COMPUTED_VALUE"""),-17750.0)</f>
        <v>-17750</v>
      </c>
      <c r="E3011" t="str">
        <f>IFERROR(__xludf.DUMMYFUNCTION("""COMPUTED_VALUE"""),"台銀籌備帳戶")</f>
        <v>台銀籌備帳戶</v>
      </c>
      <c r="G3011" t="str">
        <f>IFERROR(__xludf.DUMMYFUNCTION("""COMPUTED_VALUE"""),"金龍帽子先生")</f>
        <v>金龍帽子先生</v>
      </c>
      <c r="H3011" s="106" t="str">
        <f t="shared" si="1"/>
        <v>2025-12</v>
      </c>
      <c r="I3011" s="271" t="str">
        <f>IFERROR(__xludf.DUMMYFUNCTION("""COMPUTED_VALUE"""),"貓狗企鵝")</f>
        <v>貓狗企鵝</v>
      </c>
      <c r="J3011" t="str">
        <f>IFERROR(__xludf.DUMMYFUNCTION("IFS(
  AND(REGEXMATCH(E3011, ""台銀籌備帳戶|玉山帳戶""), REGEXMATCH(C3011, ""薪資"")), ""分潤支出"",
  AND(REGEXMATCH(E3011, ""Ben帳戶|Elsa帳戶|Ben代墊|Ariel代墊|中信銀行共用""), REGEXMATCH(F3011, ""Ben帳戶|Elsa帳戶|Ben代墊|Ariel代墊|中信銀行共用"")), ""內部轉帳(忽略)"",
  AND(E3011&lt;&gt;"""", F3011&lt;&gt;"""", N"&amp;"OT(REGEXMATCH(C3011, ""薪資""))), ""內部轉帳(忽略)"",
  REGEXMATCH(C3011, ""薪資""), ""薪資變動(不計入)"",
  REGEXMATCH(C3011, ""押金""), ""押金往來"",
  AND(E3011&lt;&gt;"""", F3011=""""), ""真實支出"",
  AND(E3011="""", F3011&lt;&gt;""""), ""真實收入"",
  TRUE, ""其他""
)"),"真實支出")</f>
        <v>真實支出</v>
      </c>
      <c r="K3011" s="270">
        <f t="shared" si="2"/>
        <v>-17750</v>
      </c>
      <c r="L3011">
        <f t="shared" si="3"/>
        <v>0</v>
      </c>
    </row>
    <row r="3012">
      <c r="A3012" s="107">
        <f>IFERROR(__xludf.DUMMYFUNCTION("""COMPUTED_VALUE"""),46006.0)</f>
        <v>46006</v>
      </c>
      <c r="B3012" t="str">
        <f>IFERROR(__xludf.DUMMYFUNCTION("""COMPUTED_VALUE"""),"費用 - 匯費 013 (20652)")</f>
        <v>費用 - 匯費 013 (20652)</v>
      </c>
      <c r="C3012" t="str">
        <f>IFERROR(__xludf.DUMMYFUNCTION("""COMPUTED_VALUE"""),"費用 - 匯費")</f>
        <v>費用 - 匯費</v>
      </c>
      <c r="D3012" s="270">
        <f>IFERROR(__xludf.DUMMYFUNCTION("""COMPUTED_VALUE"""),-15.0)</f>
        <v>-15</v>
      </c>
      <c r="E3012" t="str">
        <f>IFERROR(__xludf.DUMMYFUNCTION("""COMPUTED_VALUE"""),"台銀籌備帳戶")</f>
        <v>台銀籌備帳戶</v>
      </c>
      <c r="H3012" s="106" t="str">
        <f t="shared" si="1"/>
        <v>2025-12</v>
      </c>
      <c r="I3012" s="271" t="str">
        <f>IFERROR(__xludf.DUMMYFUNCTION("""COMPUTED_VALUE"""),"貓狗企鵝")</f>
        <v>貓狗企鵝</v>
      </c>
      <c r="J3012" t="str">
        <f>IFERROR(__xludf.DUMMYFUNCTION("IFS(
  AND(REGEXMATCH(E3012, ""台銀籌備帳戶|玉山帳戶""), REGEXMATCH(C3012, ""薪資"")), ""分潤支出"",
  AND(REGEXMATCH(E3012, ""Ben帳戶|Elsa帳戶|Ben代墊|Ariel代墊|中信銀行共用""), REGEXMATCH(F3012, ""Ben帳戶|Elsa帳戶|Ben代墊|Ariel代墊|中信銀行共用"")), ""內部轉帳(忽略)"",
  AND(E3012&lt;&gt;"""", F3012&lt;&gt;"""", N"&amp;"OT(REGEXMATCH(C3012, ""薪資""))), ""內部轉帳(忽略)"",
  REGEXMATCH(C3012, ""薪資""), ""薪資變動(不計入)"",
  REGEXMATCH(C3012, ""押金""), ""押金往來"",
  AND(E3012&lt;&gt;"""", F3012=""""), ""真實支出"",
  AND(E3012="""", F3012&lt;&gt;""""), ""真實收入"",
  TRUE, ""其他""
)"),"真實支出")</f>
        <v>真實支出</v>
      </c>
      <c r="K3012" s="270">
        <f t="shared" si="2"/>
        <v>-15</v>
      </c>
      <c r="L3012">
        <f t="shared" si="3"/>
        <v>0</v>
      </c>
    </row>
    <row r="3013">
      <c r="A3013" s="107">
        <f>IFERROR(__xludf.DUMMYFUNCTION("""COMPUTED_VALUE"""),46006.0)</f>
        <v>46006</v>
      </c>
      <c r="B3013" t="str">
        <f>IFERROR(__xludf.DUMMYFUNCTION("""COMPUTED_VALUE"""),"[景安2分鐘] [王逸荃] 大租金")</f>
        <v>[景安2分鐘] [王逸荃] 大租金</v>
      </c>
      <c r="C3013" t="str">
        <f>IFERROR(__xludf.DUMMYFUNCTION("""COMPUTED_VALUE"""),"成本 - 大租金")</f>
        <v>成本 - 大租金</v>
      </c>
      <c r="D3013" s="270">
        <f>IFERROR(__xludf.DUMMYFUNCTION("""COMPUTED_VALUE"""),-12500.0)</f>
        <v>-12500</v>
      </c>
      <c r="E3013" t="str">
        <f>IFERROR(__xludf.DUMMYFUNCTION("""COMPUTED_VALUE"""),"台銀籌備帳戶")</f>
        <v>台銀籌備帳戶</v>
      </c>
      <c r="G3013" t="str">
        <f>IFERROR(__xludf.DUMMYFUNCTION("""COMPUTED_VALUE"""),"景安2分鐘")</f>
        <v>景安2分鐘</v>
      </c>
      <c r="H3013" s="106" t="str">
        <f t="shared" si="1"/>
        <v>2025-12</v>
      </c>
      <c r="I3013" s="271" t="str">
        <f>IFERROR(__xludf.DUMMYFUNCTION("""COMPUTED_VALUE"""),"貓狗企鵝")</f>
        <v>貓狗企鵝</v>
      </c>
      <c r="J3013" t="str">
        <f>IFERROR(__xludf.DUMMYFUNCTION("IFS(
  AND(REGEXMATCH(E3013, ""台銀籌備帳戶|玉山帳戶""), REGEXMATCH(C3013, ""薪資"")), ""分潤支出"",
  AND(REGEXMATCH(E3013, ""Ben帳戶|Elsa帳戶|Ben代墊|Ariel代墊|中信銀行共用""), REGEXMATCH(F3013, ""Ben帳戶|Elsa帳戶|Ben代墊|Ariel代墊|中信銀行共用"")), ""內部轉帳(忽略)"",
  AND(E3013&lt;&gt;"""", F3013&lt;&gt;"""", N"&amp;"OT(REGEXMATCH(C3013, ""薪資""))), ""內部轉帳(忽略)"",
  REGEXMATCH(C3013, ""薪資""), ""薪資變動(不計入)"",
  REGEXMATCH(C3013, ""押金""), ""押金往來"",
  AND(E3013&lt;&gt;"""", F3013=""""), ""真實支出"",
  AND(E3013="""", F3013&lt;&gt;""""), ""真實收入"",
  TRUE, ""其他""
)"),"真實支出")</f>
        <v>真實支出</v>
      </c>
      <c r="K3013" s="270">
        <f t="shared" si="2"/>
        <v>-12500</v>
      </c>
      <c r="L3013">
        <f t="shared" si="3"/>
        <v>0</v>
      </c>
    </row>
    <row r="3014">
      <c r="A3014" s="107">
        <f>IFERROR(__xludf.DUMMYFUNCTION("""COMPUTED_VALUE"""),46006.0)</f>
        <v>46006</v>
      </c>
      <c r="B3014" t="str">
        <f>IFERROR(__xludf.DUMMYFUNCTION("""COMPUTED_VALUE"""),"費用 - 匯費 052 (22609)")</f>
        <v>費用 - 匯費 052 (22609)</v>
      </c>
      <c r="C3014" t="str">
        <f>IFERROR(__xludf.DUMMYFUNCTION("""COMPUTED_VALUE"""),"費用 - 匯費")</f>
        <v>費用 - 匯費</v>
      </c>
      <c r="D3014" s="270">
        <f>IFERROR(__xludf.DUMMYFUNCTION("""COMPUTED_VALUE"""),-15.0)</f>
        <v>-15</v>
      </c>
      <c r="E3014" t="str">
        <f>IFERROR(__xludf.DUMMYFUNCTION("""COMPUTED_VALUE"""),"台銀籌備帳戶")</f>
        <v>台銀籌備帳戶</v>
      </c>
      <c r="H3014" s="106" t="str">
        <f t="shared" si="1"/>
        <v>2025-12</v>
      </c>
      <c r="I3014" s="271" t="str">
        <f>IFERROR(__xludf.DUMMYFUNCTION("""COMPUTED_VALUE"""),"貓狗企鵝")</f>
        <v>貓狗企鵝</v>
      </c>
      <c r="J3014" t="str">
        <f>IFERROR(__xludf.DUMMYFUNCTION("IFS(
  AND(REGEXMATCH(E3014, ""台銀籌備帳戶|玉山帳戶""), REGEXMATCH(C3014, ""薪資"")), ""分潤支出"",
  AND(REGEXMATCH(E3014, ""Ben帳戶|Elsa帳戶|Ben代墊|Ariel代墊|中信銀行共用""), REGEXMATCH(F3014, ""Ben帳戶|Elsa帳戶|Ben代墊|Ariel代墊|中信銀行共用"")), ""內部轉帳(忽略)"",
  AND(E3014&lt;&gt;"""", F3014&lt;&gt;"""", N"&amp;"OT(REGEXMATCH(C3014, ""薪資""))), ""內部轉帳(忽略)"",
  REGEXMATCH(C3014, ""薪資""), ""薪資變動(不計入)"",
  REGEXMATCH(C3014, ""押金""), ""押金往來"",
  AND(E3014&lt;&gt;"""", F3014=""""), ""真實支出"",
  AND(E3014="""", F3014&lt;&gt;""""), ""真實收入"",
  TRUE, ""其他""
)"),"真實支出")</f>
        <v>真實支出</v>
      </c>
      <c r="K3014" s="270">
        <f t="shared" si="2"/>
        <v>-15</v>
      </c>
      <c r="L3014">
        <f t="shared" si="3"/>
        <v>0</v>
      </c>
    </row>
    <row r="3015">
      <c r="A3015" s="107">
        <f>IFERROR(__xludf.DUMMYFUNCTION("""COMPUTED_VALUE"""),46006.0)</f>
        <v>46006</v>
      </c>
      <c r="B3015" t="str">
        <f>IFERROR(__xludf.DUMMYFUNCTION("""COMPUTED_VALUE"""),"[中山北Feli家] [陳玉蘭] 大租金")</f>
        <v>[中山北Feli家] [陳玉蘭] 大租金</v>
      </c>
      <c r="C3015" t="str">
        <f>IFERROR(__xludf.DUMMYFUNCTION("""COMPUTED_VALUE"""),"成本 - 大租金")</f>
        <v>成本 - 大租金</v>
      </c>
      <c r="D3015" s="270">
        <f>IFERROR(__xludf.DUMMYFUNCTION("""COMPUTED_VALUE"""),-18000.0)</f>
        <v>-18000</v>
      </c>
      <c r="E3015" t="str">
        <f>IFERROR(__xludf.DUMMYFUNCTION("""COMPUTED_VALUE"""),"台銀籌備帳戶")</f>
        <v>台銀籌備帳戶</v>
      </c>
      <c r="G3015" t="str">
        <f>IFERROR(__xludf.DUMMYFUNCTION("""COMPUTED_VALUE"""),"中山北Feli家")</f>
        <v>中山北Feli家</v>
      </c>
      <c r="H3015" s="106" t="str">
        <f t="shared" si="1"/>
        <v>2025-12</v>
      </c>
      <c r="I3015" s="271" t="str">
        <f>IFERROR(__xludf.DUMMYFUNCTION("""COMPUTED_VALUE"""),"貓狗企鵝")</f>
        <v>貓狗企鵝</v>
      </c>
      <c r="J3015" t="str">
        <f>IFERROR(__xludf.DUMMYFUNCTION("IFS(
  AND(REGEXMATCH(E3015, ""台銀籌備帳戶|玉山帳戶""), REGEXMATCH(C3015, ""薪資"")), ""分潤支出"",
  AND(REGEXMATCH(E3015, ""Ben帳戶|Elsa帳戶|Ben代墊|Ariel代墊|中信銀行共用""), REGEXMATCH(F3015, ""Ben帳戶|Elsa帳戶|Ben代墊|Ariel代墊|中信銀行共用"")), ""內部轉帳(忽略)"",
  AND(E3015&lt;&gt;"""", F3015&lt;&gt;"""", N"&amp;"OT(REGEXMATCH(C3015, ""薪資""))), ""內部轉帳(忽略)"",
  REGEXMATCH(C3015, ""薪資""), ""薪資變動(不計入)"",
  REGEXMATCH(C3015, ""押金""), ""押金往來"",
  AND(E3015&lt;&gt;"""", F3015=""""), ""真實支出"",
  AND(E3015="""", F3015&lt;&gt;""""), ""真實收入"",
  TRUE, ""其他""
)"),"真實支出")</f>
        <v>真實支出</v>
      </c>
      <c r="K3015" s="270">
        <f t="shared" si="2"/>
        <v>-18000</v>
      </c>
      <c r="L3015">
        <f t="shared" si="3"/>
        <v>0</v>
      </c>
    </row>
    <row r="3016">
      <c r="A3016" s="107">
        <f>IFERROR(__xludf.DUMMYFUNCTION("""COMPUTED_VALUE"""),46006.0)</f>
        <v>46006</v>
      </c>
      <c r="B3016" t="str">
        <f>IFERROR(__xludf.DUMMYFUNCTION("""COMPUTED_VALUE"""),"費用 - 匯費 700 (19509)")</f>
        <v>費用 - 匯費 700 (19509)</v>
      </c>
      <c r="C3016" t="str">
        <f>IFERROR(__xludf.DUMMYFUNCTION("""COMPUTED_VALUE"""),"費用 - 匯費")</f>
        <v>費用 - 匯費</v>
      </c>
      <c r="D3016" s="270">
        <f>IFERROR(__xludf.DUMMYFUNCTION("""COMPUTED_VALUE"""),-15.0)</f>
        <v>-15</v>
      </c>
      <c r="E3016" t="str">
        <f>IFERROR(__xludf.DUMMYFUNCTION("""COMPUTED_VALUE"""),"台銀籌備帳戶")</f>
        <v>台銀籌備帳戶</v>
      </c>
      <c r="H3016" s="106" t="str">
        <f t="shared" si="1"/>
        <v>2025-12</v>
      </c>
      <c r="I3016" s="271" t="str">
        <f>IFERROR(__xludf.DUMMYFUNCTION("""COMPUTED_VALUE"""),"貓狗企鵝")</f>
        <v>貓狗企鵝</v>
      </c>
      <c r="J3016" t="str">
        <f>IFERROR(__xludf.DUMMYFUNCTION("IFS(
  AND(REGEXMATCH(E3016, ""台銀籌備帳戶|玉山帳戶""), REGEXMATCH(C3016, ""薪資"")), ""分潤支出"",
  AND(REGEXMATCH(E3016, ""Ben帳戶|Elsa帳戶|Ben代墊|Ariel代墊|中信銀行共用""), REGEXMATCH(F3016, ""Ben帳戶|Elsa帳戶|Ben代墊|Ariel代墊|中信銀行共用"")), ""內部轉帳(忽略)"",
  AND(E3016&lt;&gt;"""", F3016&lt;&gt;"""", N"&amp;"OT(REGEXMATCH(C3016, ""薪資""))), ""內部轉帳(忽略)"",
  REGEXMATCH(C3016, ""薪資""), ""薪資變動(不計入)"",
  REGEXMATCH(C3016, ""押金""), ""押金往來"",
  AND(E3016&lt;&gt;"""", F3016=""""), ""真實支出"",
  AND(E3016="""", F3016&lt;&gt;""""), ""真實收入"",
  TRUE, ""其他""
)"),"真實支出")</f>
        <v>真實支出</v>
      </c>
      <c r="K3016" s="270">
        <f t="shared" si="2"/>
        <v>-15</v>
      </c>
      <c r="L3016">
        <f t="shared" si="3"/>
        <v>0</v>
      </c>
    </row>
    <row r="3017">
      <c r="A3017" s="107">
        <f>IFERROR(__xludf.DUMMYFUNCTION("""COMPUTED_VALUE"""),46006.0)</f>
        <v>46006</v>
      </c>
      <c r="B3017" t="str">
        <f>IFERROR(__xludf.DUMMYFUNCTION("""COMPUTED_VALUE"""),"[龍江229] [游為傑] 大租金")</f>
        <v>[龍江229] [游為傑] 大租金</v>
      </c>
      <c r="C3017" t="str">
        <f>IFERROR(__xludf.DUMMYFUNCTION("""COMPUTED_VALUE"""),"成本 - 大租金")</f>
        <v>成本 - 大租金</v>
      </c>
      <c r="D3017" s="270">
        <f>IFERROR(__xludf.DUMMYFUNCTION("""COMPUTED_VALUE"""),-13500.0)</f>
        <v>-13500</v>
      </c>
      <c r="E3017" t="str">
        <f>IFERROR(__xludf.DUMMYFUNCTION("""COMPUTED_VALUE"""),"台銀籌備帳戶")</f>
        <v>台銀籌備帳戶</v>
      </c>
      <c r="G3017" t="str">
        <f>IFERROR(__xludf.DUMMYFUNCTION("""COMPUTED_VALUE"""),"龍江229")</f>
        <v>龍江229</v>
      </c>
      <c r="H3017" s="106" t="str">
        <f t="shared" si="1"/>
        <v>2025-12</v>
      </c>
      <c r="I3017" s="271" t="str">
        <f>IFERROR(__xludf.DUMMYFUNCTION("""COMPUTED_VALUE"""),"貓狗企鵝")</f>
        <v>貓狗企鵝</v>
      </c>
      <c r="J3017" t="str">
        <f>IFERROR(__xludf.DUMMYFUNCTION("IFS(
  AND(REGEXMATCH(E3017, ""台銀籌備帳戶|玉山帳戶""), REGEXMATCH(C3017, ""薪資"")), ""分潤支出"",
  AND(REGEXMATCH(E3017, ""Ben帳戶|Elsa帳戶|Ben代墊|Ariel代墊|中信銀行共用""), REGEXMATCH(F3017, ""Ben帳戶|Elsa帳戶|Ben代墊|Ariel代墊|中信銀行共用"")), ""內部轉帳(忽略)"",
  AND(E3017&lt;&gt;"""", F3017&lt;&gt;"""", N"&amp;"OT(REGEXMATCH(C3017, ""薪資""))), ""內部轉帳(忽略)"",
  REGEXMATCH(C3017, ""薪資""), ""薪資變動(不計入)"",
  REGEXMATCH(C3017, ""押金""), ""押金往來"",
  AND(E3017&lt;&gt;"""", F3017=""""), ""真實支出"",
  AND(E3017="""", F3017&lt;&gt;""""), ""真實收入"",
  TRUE, ""其他""
)"),"真實支出")</f>
        <v>真實支出</v>
      </c>
      <c r="K3017" s="270">
        <f t="shared" si="2"/>
        <v>-13500</v>
      </c>
      <c r="L3017">
        <f t="shared" si="3"/>
        <v>0</v>
      </c>
    </row>
    <row r="3018">
      <c r="A3018" s="107">
        <f>IFERROR(__xludf.DUMMYFUNCTION("""COMPUTED_VALUE"""),46006.0)</f>
        <v>46006</v>
      </c>
      <c r="B3018" t="str">
        <f>IFERROR(__xludf.DUMMYFUNCTION("""COMPUTED_VALUE"""),"費用 - 匯費 009 (89800)")</f>
        <v>費用 - 匯費 009 (89800)</v>
      </c>
      <c r="C3018" t="str">
        <f>IFERROR(__xludf.DUMMYFUNCTION("""COMPUTED_VALUE"""),"費用 - 匯費")</f>
        <v>費用 - 匯費</v>
      </c>
      <c r="D3018" s="270">
        <f>IFERROR(__xludf.DUMMYFUNCTION("""COMPUTED_VALUE"""),-15.0)</f>
        <v>-15</v>
      </c>
      <c r="E3018" t="str">
        <f>IFERROR(__xludf.DUMMYFUNCTION("""COMPUTED_VALUE"""),"台銀籌備帳戶")</f>
        <v>台銀籌備帳戶</v>
      </c>
      <c r="H3018" s="106" t="str">
        <f t="shared" si="1"/>
        <v>2025-12</v>
      </c>
      <c r="I3018" s="271" t="str">
        <f>IFERROR(__xludf.DUMMYFUNCTION("""COMPUTED_VALUE"""),"貓狗企鵝")</f>
        <v>貓狗企鵝</v>
      </c>
      <c r="J3018" t="str">
        <f>IFERROR(__xludf.DUMMYFUNCTION("IFS(
  AND(REGEXMATCH(E3018, ""台銀籌備帳戶|玉山帳戶""), REGEXMATCH(C3018, ""薪資"")), ""分潤支出"",
  AND(REGEXMATCH(E3018, ""Ben帳戶|Elsa帳戶|Ben代墊|Ariel代墊|中信銀行共用""), REGEXMATCH(F3018, ""Ben帳戶|Elsa帳戶|Ben代墊|Ariel代墊|中信銀行共用"")), ""內部轉帳(忽略)"",
  AND(E3018&lt;&gt;"""", F3018&lt;&gt;"""", N"&amp;"OT(REGEXMATCH(C3018, ""薪資""))), ""內部轉帳(忽略)"",
  REGEXMATCH(C3018, ""薪資""), ""薪資變動(不計入)"",
  REGEXMATCH(C3018, ""押金""), ""押金往來"",
  AND(E3018&lt;&gt;"""", F3018=""""), ""真實支出"",
  AND(E3018="""", F3018&lt;&gt;""""), ""真實收入"",
  TRUE, ""其他""
)"),"真實支出")</f>
        <v>真實支出</v>
      </c>
      <c r="K3018" s="270">
        <f t="shared" si="2"/>
        <v>-15</v>
      </c>
      <c r="L3018">
        <f t="shared" si="3"/>
        <v>0</v>
      </c>
    </row>
    <row r="3019">
      <c r="A3019" s="107">
        <f>IFERROR(__xludf.DUMMYFUNCTION("""COMPUTED_VALUE"""),46006.0)</f>
        <v>46006</v>
      </c>
      <c r="B3019" t="str">
        <f>IFERROR(__xludf.DUMMYFUNCTION("""COMPUTED_VALUE"""),"北醫網路押金 ' 【未分類支出】")</f>
        <v>北醫網路押金 ' 【未分類支出】</v>
      </c>
      <c r="C3019" t="str">
        <f>IFERROR(__xludf.DUMMYFUNCTION("""COMPUTED_VALUE"""),"成本 - 固定開銷(網路代收清潔)")</f>
        <v>成本 - 固定開銷(網路代收清潔)</v>
      </c>
      <c r="D3019" s="270">
        <f>IFERROR(__xludf.DUMMYFUNCTION("""COMPUTED_VALUE"""),-5000.0)</f>
        <v>-5000</v>
      </c>
      <c r="E3019" t="str">
        <f>IFERROR(__xludf.DUMMYFUNCTION("""COMPUTED_VALUE"""),"台銀籌備帳戶")</f>
        <v>台銀籌備帳戶</v>
      </c>
      <c r="G3019" t="str">
        <f>IFERROR(__xludf.DUMMYFUNCTION("""COMPUTED_VALUE"""),"北醫醫師府")</f>
        <v>北醫醫師府</v>
      </c>
      <c r="H3019" s="106" t="str">
        <f t="shared" si="1"/>
        <v>2025-12</v>
      </c>
      <c r="I3019" s="271" t="str">
        <f>IFERROR(__xludf.DUMMYFUNCTION("""COMPUTED_VALUE"""),"貓狗企鵝")</f>
        <v>貓狗企鵝</v>
      </c>
      <c r="J3019" t="str">
        <f>IFERROR(__xludf.DUMMYFUNCTION("IFS(
  AND(REGEXMATCH(E3019, ""台銀籌備帳戶|玉山帳戶""), REGEXMATCH(C3019, ""薪資"")), ""分潤支出"",
  AND(REGEXMATCH(E3019, ""Ben帳戶|Elsa帳戶|Ben代墊|Ariel代墊|中信銀行共用""), REGEXMATCH(F3019, ""Ben帳戶|Elsa帳戶|Ben代墊|Ariel代墊|中信銀行共用"")), ""內部轉帳(忽略)"",
  AND(E3019&lt;&gt;"""", F3019&lt;&gt;"""", N"&amp;"OT(REGEXMATCH(C3019, ""薪資""))), ""內部轉帳(忽略)"",
  REGEXMATCH(C3019, ""薪資""), ""薪資變動(不計入)"",
  REGEXMATCH(C3019, ""押金""), ""押金往來"",
  AND(E3019&lt;&gt;"""", F3019=""""), ""真實支出"",
  AND(E3019="""", F3019&lt;&gt;""""), ""真實收入"",
  TRUE, ""其他""
)"),"真實支出")</f>
        <v>真實支出</v>
      </c>
      <c r="K3019" s="270">
        <f t="shared" si="2"/>
        <v>-5000</v>
      </c>
      <c r="L3019">
        <f t="shared" si="3"/>
        <v>0</v>
      </c>
    </row>
    <row r="3020">
      <c r="A3020" s="107">
        <f>IFERROR(__xludf.DUMMYFUNCTION("""COMPUTED_VALUE"""),46006.0)</f>
        <v>46006</v>
      </c>
      <c r="B3020" t="str">
        <f>IFERROR(__xludf.DUMMYFUNCTION("""COMPUTED_VALUE"""),"費用 - 匯費 009 (89800)")</f>
        <v>費用 - 匯費 009 (89800)</v>
      </c>
      <c r="C3020" t="str">
        <f>IFERROR(__xludf.DUMMYFUNCTION("""COMPUTED_VALUE"""),"費用 - 匯費")</f>
        <v>費用 - 匯費</v>
      </c>
      <c r="D3020" s="270">
        <f>IFERROR(__xludf.DUMMYFUNCTION("""COMPUTED_VALUE"""),-15.0)</f>
        <v>-15</v>
      </c>
      <c r="E3020" t="str">
        <f>IFERROR(__xludf.DUMMYFUNCTION("""COMPUTED_VALUE"""),"台銀籌備帳戶")</f>
        <v>台銀籌備帳戶</v>
      </c>
      <c r="H3020" s="106" t="str">
        <f t="shared" si="1"/>
        <v>2025-12</v>
      </c>
      <c r="I3020" s="271" t="str">
        <f>IFERROR(__xludf.DUMMYFUNCTION("""COMPUTED_VALUE"""),"貓狗企鵝")</f>
        <v>貓狗企鵝</v>
      </c>
      <c r="J3020" t="str">
        <f>IFERROR(__xludf.DUMMYFUNCTION("IFS(
  AND(REGEXMATCH(E3020, ""台銀籌備帳戶|玉山帳戶""), REGEXMATCH(C3020, ""薪資"")), ""分潤支出"",
  AND(REGEXMATCH(E3020, ""Ben帳戶|Elsa帳戶|Ben代墊|Ariel代墊|中信銀行共用""), REGEXMATCH(F3020, ""Ben帳戶|Elsa帳戶|Ben代墊|Ariel代墊|中信銀行共用"")), ""內部轉帳(忽略)"",
  AND(E3020&lt;&gt;"""", F3020&lt;&gt;"""", N"&amp;"OT(REGEXMATCH(C3020, ""薪資""))), ""內部轉帳(忽略)"",
  REGEXMATCH(C3020, ""薪資""), ""薪資變動(不計入)"",
  REGEXMATCH(C3020, ""押金""), ""押金往來"",
  AND(E3020&lt;&gt;"""", F3020=""""), ""真實支出"",
  AND(E3020="""", F3020&lt;&gt;""""), ""真實收入"",
  TRUE, ""其他""
)"),"真實支出")</f>
        <v>真實支出</v>
      </c>
      <c r="K3020" s="270">
        <f t="shared" si="2"/>
        <v>-15</v>
      </c>
      <c r="L3020">
        <f t="shared" si="3"/>
        <v>0</v>
      </c>
    </row>
    <row r="3021">
      <c r="A3021" s="107">
        <f>IFERROR(__xludf.DUMMYFUNCTION("""COMPUTED_VALUE"""),46006.0)</f>
        <v>46006</v>
      </c>
      <c r="B3021" t="str">
        <f>IFERROR(__xludf.DUMMYFUNCTION("""COMPUTED_VALUE"""),"北醫網路押金 ' 【未分類支出】")</f>
        <v>北醫網路押金 ' 【未分類支出】</v>
      </c>
      <c r="C3021" t="str">
        <f>IFERROR(__xludf.DUMMYFUNCTION("""COMPUTED_VALUE"""),"成本 - 固定開銷(網路代收清潔)")</f>
        <v>成本 - 固定開銷(網路代收清潔)</v>
      </c>
      <c r="D3021" s="270">
        <f>IFERROR(__xludf.DUMMYFUNCTION("""COMPUTED_VALUE"""),-595.0)</f>
        <v>-595</v>
      </c>
      <c r="E3021" t="str">
        <f>IFERROR(__xludf.DUMMYFUNCTION("""COMPUTED_VALUE"""),"台銀籌備帳戶")</f>
        <v>台銀籌備帳戶</v>
      </c>
      <c r="G3021" t="str">
        <f>IFERROR(__xludf.DUMMYFUNCTION("""COMPUTED_VALUE"""),"北醫醫師府")</f>
        <v>北醫醫師府</v>
      </c>
      <c r="H3021" s="106" t="str">
        <f t="shared" si="1"/>
        <v>2025-12</v>
      </c>
      <c r="I3021" s="271" t="str">
        <f>IFERROR(__xludf.DUMMYFUNCTION("""COMPUTED_VALUE"""),"貓狗企鵝")</f>
        <v>貓狗企鵝</v>
      </c>
      <c r="J3021" t="str">
        <f>IFERROR(__xludf.DUMMYFUNCTION("IFS(
  AND(REGEXMATCH(E3021, ""台銀籌備帳戶|玉山帳戶""), REGEXMATCH(C3021, ""薪資"")), ""分潤支出"",
  AND(REGEXMATCH(E3021, ""Ben帳戶|Elsa帳戶|Ben代墊|Ariel代墊|中信銀行共用""), REGEXMATCH(F3021, ""Ben帳戶|Elsa帳戶|Ben代墊|Ariel代墊|中信銀行共用"")), ""內部轉帳(忽略)"",
  AND(E3021&lt;&gt;"""", F3021&lt;&gt;"""", N"&amp;"OT(REGEXMATCH(C3021, ""薪資""))), ""內部轉帳(忽略)"",
  REGEXMATCH(C3021, ""薪資""), ""薪資變動(不計入)"",
  REGEXMATCH(C3021, ""押金""), ""押金往來"",
  AND(E3021&lt;&gt;"""", F3021=""""), ""真實支出"",
  AND(E3021="""", F3021&lt;&gt;""""), ""真實收入"",
  TRUE, ""其他""
)"),"真實支出")</f>
        <v>真實支出</v>
      </c>
      <c r="K3021" s="270">
        <f t="shared" si="2"/>
        <v>-595</v>
      </c>
      <c r="L3021">
        <f t="shared" si="3"/>
        <v>0</v>
      </c>
    </row>
    <row r="3022">
      <c r="A3022" s="107">
        <f>IFERROR(__xludf.DUMMYFUNCTION("""COMPUTED_VALUE"""),46008.0)</f>
        <v>46008</v>
      </c>
      <c r="B3022" t="str">
        <f>IFERROR(__xludf.DUMMYFUNCTION("""COMPUTED_VALUE"""),"龍江E")</f>
        <v>龍江E</v>
      </c>
      <c r="C3022" t="str">
        <f>IFERROR(__xludf.DUMMYFUNCTION("""COMPUTED_VALUE"""),"收入 - 押金")</f>
        <v>收入 - 押金</v>
      </c>
      <c r="D3022" s="270">
        <f>IFERROR(__xludf.DUMMYFUNCTION("""COMPUTED_VALUE"""),23000.0)</f>
        <v>23000</v>
      </c>
      <c r="F3022" t="str">
        <f>IFERROR(__xludf.DUMMYFUNCTION("""COMPUTED_VALUE"""),"台銀籌備帳戶")</f>
        <v>台銀籌備帳戶</v>
      </c>
      <c r="G3022" t="str">
        <f>IFERROR(__xludf.DUMMYFUNCTION("""COMPUTED_VALUE"""),"龍江229")</f>
        <v>龍江229</v>
      </c>
      <c r="H3022" s="106" t="str">
        <f t="shared" si="1"/>
        <v>2025-12</v>
      </c>
      <c r="I3022" s="271" t="str">
        <f>IFERROR(__xludf.DUMMYFUNCTION("""COMPUTED_VALUE"""),"貓狗企鵝")</f>
        <v>貓狗企鵝</v>
      </c>
      <c r="J3022" t="str">
        <f>IFERROR(__xludf.DUMMYFUNCTION("IFS(
  AND(REGEXMATCH(E3022, ""台銀籌備帳戶|玉山帳戶""), REGEXMATCH(C3022, ""薪資"")), ""分潤支出"",
  AND(REGEXMATCH(E3022, ""Ben帳戶|Elsa帳戶|Ben代墊|Ariel代墊|中信銀行共用""), REGEXMATCH(F3022, ""Ben帳戶|Elsa帳戶|Ben代墊|Ariel代墊|中信銀行共用"")), ""內部轉帳(忽略)"",
  AND(E3022&lt;&gt;"""", F3022&lt;&gt;"""", N"&amp;"OT(REGEXMATCH(C3022, ""薪資""))), ""內部轉帳(忽略)"",
  REGEXMATCH(C3022, ""薪資""), ""薪資變動(不計入)"",
  REGEXMATCH(C3022, ""押金""), ""押金往來"",
  AND(E3022&lt;&gt;"""", F3022=""""), ""真實支出"",
  AND(E3022="""", F3022&lt;&gt;""""), ""真實收入"",
  TRUE, ""其他""
)"),"押金往來")</f>
        <v>押金往來</v>
      </c>
      <c r="K3022">
        <f t="shared" si="2"/>
        <v>0</v>
      </c>
      <c r="L3022">
        <f t="shared" si="3"/>
        <v>0</v>
      </c>
    </row>
    <row r="3023">
      <c r="A3023" s="107">
        <f>IFERROR(__xludf.DUMMYFUNCTION("""COMPUTED_VALUE"""),46011.0)</f>
        <v>46011</v>
      </c>
      <c r="B3023" t="str">
        <f>IFERROR(__xludf.DUMMYFUNCTION("""COMPUTED_VALUE"""),"費用 - 匯費 011 (17078)")</f>
        <v>費用 - 匯費 011 (17078)</v>
      </c>
      <c r="C3023" t="str">
        <f>IFERROR(__xludf.DUMMYFUNCTION("""COMPUTED_VALUE"""),"費用 - 匯費")</f>
        <v>費用 - 匯費</v>
      </c>
      <c r="D3023" s="270">
        <f>IFERROR(__xludf.DUMMYFUNCTION("""COMPUTED_VALUE"""),-15.0)</f>
        <v>-15</v>
      </c>
      <c r="E3023" t="str">
        <f>IFERROR(__xludf.DUMMYFUNCTION("""COMPUTED_VALUE"""),"台銀籌備帳戶")</f>
        <v>台銀籌備帳戶</v>
      </c>
      <c r="H3023" s="106" t="str">
        <f t="shared" si="1"/>
        <v>2025-12</v>
      </c>
      <c r="I3023" s="271" t="str">
        <f>IFERROR(__xludf.DUMMYFUNCTION("""COMPUTED_VALUE"""),"貓狗企鵝")</f>
        <v>貓狗企鵝</v>
      </c>
      <c r="J3023" t="str">
        <f>IFERROR(__xludf.DUMMYFUNCTION("IFS(
  AND(REGEXMATCH(E3023, ""台銀籌備帳戶|玉山帳戶""), REGEXMATCH(C3023, ""薪資"")), ""分潤支出"",
  AND(REGEXMATCH(E3023, ""Ben帳戶|Elsa帳戶|Ben代墊|Ariel代墊|中信銀行共用""), REGEXMATCH(F3023, ""Ben帳戶|Elsa帳戶|Ben代墊|Ariel代墊|中信銀行共用"")), ""內部轉帳(忽略)"",
  AND(E3023&lt;&gt;"""", F3023&lt;&gt;"""", N"&amp;"OT(REGEXMATCH(C3023, ""薪資""))), ""內部轉帳(忽略)"",
  REGEXMATCH(C3023, ""薪資""), ""薪資變動(不計入)"",
  REGEXMATCH(C3023, ""押金""), ""押金往來"",
  AND(E3023&lt;&gt;"""", F3023=""""), ""真實支出"",
  AND(E3023="""", F3023&lt;&gt;""""), ""真實收入"",
  TRUE, ""其他""
)"),"真實支出")</f>
        <v>真實支出</v>
      </c>
      <c r="K3023" s="270">
        <f t="shared" si="2"/>
        <v>-15</v>
      </c>
      <c r="L3023">
        <f t="shared" si="3"/>
        <v>0</v>
      </c>
    </row>
    <row r="3024">
      <c r="A3024" s="107">
        <f>IFERROR(__xludf.DUMMYFUNCTION("""COMPUTED_VALUE"""),46011.0)</f>
        <v>46011</v>
      </c>
      <c r="B3024" t="str">
        <f>IFERROR(__xludf.DUMMYFUNCTION("""COMPUTED_VALUE"""),"[書香民生] [吳高寶玉] 大租金")</f>
        <v>[書香民生] [吳高寶玉] 大租金</v>
      </c>
      <c r="C3024" t="str">
        <f>IFERROR(__xludf.DUMMYFUNCTION("""COMPUTED_VALUE"""),"成本 - 大租金")</f>
        <v>成本 - 大租金</v>
      </c>
      <c r="D3024" s="270">
        <f>IFERROR(__xludf.DUMMYFUNCTION("""COMPUTED_VALUE"""),-16666.0)</f>
        <v>-16666</v>
      </c>
      <c r="E3024" t="str">
        <f>IFERROR(__xludf.DUMMYFUNCTION("""COMPUTED_VALUE"""),"台銀籌備帳戶")</f>
        <v>台銀籌備帳戶</v>
      </c>
      <c r="G3024" t="str">
        <f>IFERROR(__xludf.DUMMYFUNCTION("""COMPUTED_VALUE"""),"書香民生")</f>
        <v>書香民生</v>
      </c>
      <c r="H3024" s="106" t="str">
        <f t="shared" si="1"/>
        <v>2025-12</v>
      </c>
      <c r="I3024" s="271" t="str">
        <f>IFERROR(__xludf.DUMMYFUNCTION("""COMPUTED_VALUE"""),"貓狗企鵝")</f>
        <v>貓狗企鵝</v>
      </c>
      <c r="J3024" t="str">
        <f>IFERROR(__xludf.DUMMYFUNCTION("IFS(
  AND(REGEXMATCH(E3024, ""台銀籌備帳戶|玉山帳戶""), REGEXMATCH(C3024, ""薪資"")), ""分潤支出"",
  AND(REGEXMATCH(E3024, ""Ben帳戶|Elsa帳戶|Ben代墊|Ariel代墊|中信銀行共用""), REGEXMATCH(F3024, ""Ben帳戶|Elsa帳戶|Ben代墊|Ariel代墊|中信銀行共用"")), ""內部轉帳(忽略)"",
  AND(E3024&lt;&gt;"""", F3024&lt;&gt;"""", N"&amp;"OT(REGEXMATCH(C3024, ""薪資""))), ""內部轉帳(忽略)"",
  REGEXMATCH(C3024, ""薪資""), ""薪資變動(不計入)"",
  REGEXMATCH(C3024, ""押金""), ""押金往來"",
  AND(E3024&lt;&gt;"""", F3024=""""), ""真實支出"",
  AND(E3024="""", F3024&lt;&gt;""""), ""真實收入"",
  TRUE, ""其他""
)"),"真實支出")</f>
        <v>真實支出</v>
      </c>
      <c r="K3024" s="270">
        <f t="shared" si="2"/>
        <v>-16666</v>
      </c>
      <c r="L3024">
        <f t="shared" si="3"/>
        <v>0</v>
      </c>
    </row>
    <row r="3025">
      <c r="A3025" s="107">
        <f>IFERROR(__xludf.DUMMYFUNCTION("""COMPUTED_VALUE"""),46012.0)</f>
        <v>46012</v>
      </c>
      <c r="B3025" t="str">
        <f>IFERROR(__xludf.DUMMYFUNCTION("""COMPUTED_VALUE"""),"稅******0健****0 ' 【不明收入 後五碼:00000】 (行號: 25)")</f>
        <v>稅******0健****0 ' 【不明收入 後五碼:00000】 (行號: 25)</v>
      </c>
      <c r="C3025" t="str">
        <f>IFERROR(__xludf.DUMMYFUNCTION("""COMPUTED_VALUE"""),"收入 - 政府補助/退稅")</f>
        <v>收入 - 政府補助/退稅</v>
      </c>
      <c r="D3025" s="270">
        <f>IFERROR(__xludf.DUMMYFUNCTION("""COMPUTED_VALUE"""),2526.0)</f>
        <v>2526</v>
      </c>
      <c r="F3025" t="str">
        <f>IFERROR(__xludf.DUMMYFUNCTION("""COMPUTED_VALUE"""),"台銀籌備帳戶")</f>
        <v>台銀籌備帳戶</v>
      </c>
      <c r="H3025" s="106" t="str">
        <f t="shared" si="1"/>
        <v>2025-12</v>
      </c>
      <c r="I3025" s="271" t="str">
        <f>IFERROR(__xludf.DUMMYFUNCTION("""COMPUTED_VALUE"""),"貓狗企鵝")</f>
        <v>貓狗企鵝</v>
      </c>
      <c r="J3025" t="str">
        <f>IFERROR(__xludf.DUMMYFUNCTION("IFS(
  AND(REGEXMATCH(E3025, ""台銀籌備帳戶|玉山帳戶""), REGEXMATCH(C3025, ""薪資"")), ""分潤支出"",
  AND(REGEXMATCH(E3025, ""Ben帳戶|Elsa帳戶|Ben代墊|Ariel代墊|中信銀行共用""), REGEXMATCH(F3025, ""Ben帳戶|Elsa帳戶|Ben代墊|Ariel代墊|中信銀行共用"")), ""內部轉帳(忽略)"",
  AND(E3025&lt;&gt;"""", F3025&lt;&gt;"""", N"&amp;"OT(REGEXMATCH(C3025, ""薪資""))), ""內部轉帳(忽略)"",
  REGEXMATCH(C3025, ""薪資""), ""薪資變動(不計入)"",
  REGEXMATCH(C3025, ""押金""), ""押金往來"",
  AND(E3025&lt;&gt;"""", F3025=""""), ""真實支出"",
  AND(E3025="""", F3025&lt;&gt;""""), ""真實收入"",
  TRUE, ""其他""
)"),"真實收入")</f>
        <v>真實收入</v>
      </c>
      <c r="K3025" s="270">
        <f t="shared" si="2"/>
        <v>2526</v>
      </c>
      <c r="L3025">
        <f t="shared" si="3"/>
        <v>0</v>
      </c>
    </row>
    <row r="3026">
      <c r="A3026" s="107">
        <f>IFERROR(__xludf.DUMMYFUNCTION("""COMPUTED_VALUE"""),46013.0)</f>
        <v>46013</v>
      </c>
      <c r="B3026" t="str">
        <f>IFERROR(__xludf.DUMMYFUNCTION("""COMPUTED_VALUE"""),"垃可11月前半")</f>
        <v>垃可11月前半</v>
      </c>
      <c r="C3026" t="str">
        <f>IFERROR(__xludf.DUMMYFUNCTION("""COMPUTED_VALUE"""),"成本 - 固定開銷(網路代收清潔)")</f>
        <v>成本 - 固定開銷(網路代收清潔)</v>
      </c>
      <c r="D3026" s="270">
        <f>IFERROR(__xludf.DUMMYFUNCTION("""COMPUTED_VALUE"""),-1921.0)</f>
        <v>-1921</v>
      </c>
      <c r="E3026" t="str">
        <f>IFERROR(__xludf.DUMMYFUNCTION("""COMPUTED_VALUE"""),"Elsa帳戶")</f>
        <v>Elsa帳戶</v>
      </c>
      <c r="G3026" t="str">
        <f>IFERROR(__xludf.DUMMYFUNCTION("""COMPUTED_VALUE"""),"書香民生")</f>
        <v>書香民生</v>
      </c>
      <c r="H3026" s="106" t="str">
        <f t="shared" si="1"/>
        <v>2025-12</v>
      </c>
      <c r="I3026" s="271" t="str">
        <f>IFERROR(__xludf.DUMMYFUNCTION("""COMPUTED_VALUE"""),"貓狗企鵝")</f>
        <v>貓狗企鵝</v>
      </c>
      <c r="J3026" t="str">
        <f>IFERROR(__xludf.DUMMYFUNCTION("IFS(
  AND(REGEXMATCH(E3026, ""台銀籌備帳戶|玉山帳戶""), REGEXMATCH(C3026, ""薪資"")), ""分潤支出"",
  AND(REGEXMATCH(E3026, ""Ben帳戶|Elsa帳戶|Ben代墊|Ariel代墊|中信銀行共用""), REGEXMATCH(F3026, ""Ben帳戶|Elsa帳戶|Ben代墊|Ariel代墊|中信銀行共用"")), ""內部轉帳(忽略)"",
  AND(E3026&lt;&gt;"""", F3026&lt;&gt;"""", N"&amp;"OT(REGEXMATCH(C3026, ""薪資""))), ""內部轉帳(忽略)"",
  REGEXMATCH(C3026, ""薪資""), ""薪資變動(不計入)"",
  REGEXMATCH(C3026, ""押金""), ""押金往來"",
  AND(E3026&lt;&gt;"""", F3026=""""), ""真實支出"",
  AND(E3026="""", F3026&lt;&gt;""""), ""真實收入"",
  TRUE, ""其他""
)"),"真實支出")</f>
        <v>真實支出</v>
      </c>
      <c r="K3026" s="270">
        <f t="shared" si="2"/>
        <v>-1921</v>
      </c>
      <c r="L3026">
        <f t="shared" si="3"/>
        <v>0</v>
      </c>
    </row>
    <row r="3027">
      <c r="A3027" s="107">
        <f>IFERROR(__xludf.DUMMYFUNCTION("""COMPUTED_VALUE"""),46014.0)</f>
        <v>46014</v>
      </c>
      <c r="B3027" t="str">
        <f>IFERROR(__xludf.DUMMYFUNCTION("""COMPUTED_VALUE"""),"德行窗簾")</f>
        <v>德行窗簾</v>
      </c>
      <c r="C3027" t="str">
        <f>IFERROR(__xludf.DUMMYFUNCTION("""COMPUTED_VALUE"""),"成本 - 進場前裝潢費")</f>
        <v>成本 - 進場前裝潢費</v>
      </c>
      <c r="D3027" s="270">
        <f>IFERROR(__xludf.DUMMYFUNCTION("""COMPUTED_VALUE"""),-15975.0)</f>
        <v>-15975</v>
      </c>
      <c r="E3027" t="str">
        <f>IFERROR(__xludf.DUMMYFUNCTION("""COMPUTED_VALUE"""),"Ben帳戶")</f>
        <v>Ben帳戶</v>
      </c>
      <c r="G3027" t="str">
        <f>IFERROR(__xludf.DUMMYFUNCTION("""COMPUTED_VALUE"""),"天母搜狗")</f>
        <v>天母搜狗</v>
      </c>
      <c r="H3027" s="106" t="str">
        <f t="shared" si="1"/>
        <v>2025-12</v>
      </c>
      <c r="I3027" s="271" t="str">
        <f>IFERROR(__xludf.DUMMYFUNCTION("""COMPUTED_VALUE"""),"貓狗企鵝")</f>
        <v>貓狗企鵝</v>
      </c>
      <c r="J3027" t="str">
        <f>IFERROR(__xludf.DUMMYFUNCTION("IFS(
  AND(REGEXMATCH(E3027, ""台銀籌備帳戶|玉山帳戶""), REGEXMATCH(C3027, ""薪資"")), ""分潤支出"",
  AND(REGEXMATCH(E3027, ""Ben帳戶|Elsa帳戶|Ben代墊|Ariel代墊|中信銀行共用""), REGEXMATCH(F3027, ""Ben帳戶|Elsa帳戶|Ben代墊|Ariel代墊|中信銀行共用"")), ""內部轉帳(忽略)"",
  AND(E3027&lt;&gt;"""", F3027&lt;&gt;"""", N"&amp;"OT(REGEXMATCH(C3027, ""薪資""))), ""內部轉帳(忽略)"",
  REGEXMATCH(C3027, ""薪資""), ""薪資變動(不計入)"",
  REGEXMATCH(C3027, ""押金""), ""押金往來"",
  AND(E3027&lt;&gt;"""", F3027=""""), ""真實支出"",
  AND(E3027="""", F3027&lt;&gt;""""), ""真實收入"",
  TRUE, ""其他""
)"),"真實支出")</f>
        <v>真實支出</v>
      </c>
      <c r="K3027" s="270">
        <f t="shared" si="2"/>
        <v>-15975</v>
      </c>
      <c r="L3027">
        <f t="shared" si="3"/>
        <v>0</v>
      </c>
    </row>
    <row r="3028">
      <c r="A3028" s="107">
        <f>IFERROR(__xludf.DUMMYFUNCTION("""COMPUTED_VALUE"""),46017.0)</f>
        <v>46017</v>
      </c>
      <c r="B3028" t="str">
        <f>IFERROR(__xludf.DUMMYFUNCTION("""COMPUTED_VALUE"""),"垃圾代收代付")</f>
        <v>垃圾代收代付</v>
      </c>
      <c r="C3028" t="str">
        <f>IFERROR(__xludf.DUMMYFUNCTION("""COMPUTED_VALUE"""),"費用 - 匯費")</f>
        <v>費用 - 匯費</v>
      </c>
      <c r="D3028" s="270">
        <f>IFERROR(__xludf.DUMMYFUNCTION("""COMPUTED_VALUE"""),-1012.0)</f>
        <v>-1012</v>
      </c>
      <c r="E3028" t="str">
        <f>IFERROR(__xludf.DUMMYFUNCTION("""COMPUTED_VALUE"""),"Ben帳戶")</f>
        <v>Ben帳戶</v>
      </c>
      <c r="H3028" s="106" t="str">
        <f t="shared" si="1"/>
        <v>2025-12</v>
      </c>
      <c r="I3028" s="271" t="str">
        <f>IFERROR(__xludf.DUMMYFUNCTION("""COMPUTED_VALUE"""),"貓狗企鵝")</f>
        <v>貓狗企鵝</v>
      </c>
      <c r="J3028" t="str">
        <f>IFERROR(__xludf.DUMMYFUNCTION("IFS(
  AND(REGEXMATCH(E3028, ""台銀籌備帳戶|玉山帳戶""), REGEXMATCH(C3028, ""薪資"")), ""分潤支出"",
  AND(REGEXMATCH(E3028, ""Ben帳戶|Elsa帳戶|Ben代墊|Ariel代墊|中信銀行共用""), REGEXMATCH(F3028, ""Ben帳戶|Elsa帳戶|Ben代墊|Ariel代墊|中信銀行共用"")), ""內部轉帳(忽略)"",
  AND(E3028&lt;&gt;"""", F3028&lt;&gt;"""", N"&amp;"OT(REGEXMATCH(C3028, ""薪資""))), ""內部轉帳(忽略)"",
  REGEXMATCH(C3028, ""薪資""), ""薪資變動(不計入)"",
  REGEXMATCH(C3028, ""押金""), ""押金往來"",
  AND(E3028&lt;&gt;"""", F3028=""""), ""真實支出"",
  AND(E3028="""", F3028&lt;&gt;""""), ""真實收入"",
  TRUE, ""其他""
)"),"真實支出")</f>
        <v>真實支出</v>
      </c>
      <c r="K3028" s="270">
        <f t="shared" si="2"/>
        <v>-1012</v>
      </c>
      <c r="L3028">
        <f t="shared" si="3"/>
        <v>0</v>
      </c>
    </row>
    <row r="3029">
      <c r="A3029" s="107">
        <f>IFERROR(__xludf.DUMMYFUNCTION("""COMPUTED_VALUE"""),46017.0)</f>
        <v>46017</v>
      </c>
      <c r="B3029" t="str">
        <f>IFERROR(__xludf.DUMMYFUNCTION("""COMPUTED_VALUE"""),"大大寬頻2026/1/1-2026/3/31")</f>
        <v>大大寬頻2026/1/1-2026/3/31</v>
      </c>
      <c r="C3029" t="str">
        <f>IFERROR(__xludf.DUMMYFUNCTION("""COMPUTED_VALUE"""),"成本 - 固定開銷(網路代收清潔)")</f>
        <v>成本 - 固定開銷(網路代收清潔)</v>
      </c>
      <c r="D3029" s="270">
        <f>IFERROR(__xludf.DUMMYFUNCTION("""COMPUTED_VALUE"""),-1500.0)</f>
        <v>-1500</v>
      </c>
      <c r="E3029" t="str">
        <f>IFERROR(__xludf.DUMMYFUNCTION("""COMPUTED_VALUE"""),"Ben帳戶")</f>
        <v>Ben帳戶</v>
      </c>
      <c r="G3029" t="str">
        <f>IFERROR(__xludf.DUMMYFUNCTION("""COMPUTED_VALUE"""),"景安2分鐘")</f>
        <v>景安2分鐘</v>
      </c>
      <c r="H3029" s="106" t="str">
        <f t="shared" si="1"/>
        <v>2025-12</v>
      </c>
      <c r="I3029" s="271" t="str">
        <f>IFERROR(__xludf.DUMMYFUNCTION("""COMPUTED_VALUE"""),"貓狗企鵝")</f>
        <v>貓狗企鵝</v>
      </c>
      <c r="J3029" t="str">
        <f>IFERROR(__xludf.DUMMYFUNCTION("IFS(
  AND(REGEXMATCH(E3029, ""台銀籌備帳戶|玉山帳戶""), REGEXMATCH(C3029, ""薪資"")), ""分潤支出"",
  AND(REGEXMATCH(E3029, ""Ben帳戶|Elsa帳戶|Ben代墊|Ariel代墊|中信銀行共用""), REGEXMATCH(F3029, ""Ben帳戶|Elsa帳戶|Ben代墊|Ariel代墊|中信銀行共用"")), ""內部轉帳(忽略)"",
  AND(E3029&lt;&gt;"""", F3029&lt;&gt;"""", N"&amp;"OT(REGEXMATCH(C3029, ""薪資""))), ""內部轉帳(忽略)"",
  REGEXMATCH(C3029, ""薪資""), ""薪資變動(不計入)"",
  REGEXMATCH(C3029, ""押金""), ""押金往來"",
  AND(E3029&lt;&gt;"""", F3029=""""), ""真實支出"",
  AND(E3029="""", F3029&lt;&gt;""""), ""真實收入"",
  TRUE, ""其他""
)"),"真實支出")</f>
        <v>真實支出</v>
      </c>
      <c r="K3029" s="270">
        <f t="shared" si="2"/>
        <v>-1500</v>
      </c>
      <c r="L3029">
        <f t="shared" si="3"/>
        <v>0</v>
      </c>
    </row>
    <row r="3030">
      <c r="A3030" s="107">
        <f>IFERROR(__xludf.DUMMYFUNCTION("""COMPUTED_VALUE"""),46018.0)</f>
        <v>46018</v>
      </c>
      <c r="B3030" t="str">
        <f>IFERROR(__xludf.DUMMYFUNCTION("""COMPUTED_VALUE"""),"寶琳清潔")</f>
        <v>寶琳清潔</v>
      </c>
      <c r="C3030" t="str">
        <f>IFERROR(__xludf.DUMMYFUNCTION("""COMPUTED_VALUE"""),"成本 - 進場前裝潢費")</f>
        <v>成本 - 進場前裝潢費</v>
      </c>
      <c r="D3030" s="270">
        <f>IFERROR(__xludf.DUMMYFUNCTION("""COMPUTED_VALUE"""),-700.0)</f>
        <v>-700</v>
      </c>
      <c r="E3030" t="str">
        <f>IFERROR(__xludf.DUMMYFUNCTION("""COMPUTED_VALUE"""),"Elsa帳戶")</f>
        <v>Elsa帳戶</v>
      </c>
      <c r="G3030" t="str">
        <f>IFERROR(__xludf.DUMMYFUNCTION("""COMPUTED_VALUE"""),"天母搜狗")</f>
        <v>天母搜狗</v>
      </c>
      <c r="H3030" s="106" t="str">
        <f t="shared" si="1"/>
        <v>2025-12</v>
      </c>
      <c r="I3030" s="271" t="str">
        <f>IFERROR(__xludf.DUMMYFUNCTION("""COMPUTED_VALUE"""),"貓狗企鵝")</f>
        <v>貓狗企鵝</v>
      </c>
      <c r="J3030" t="str">
        <f>IFERROR(__xludf.DUMMYFUNCTION("IFS(
  AND(REGEXMATCH(E3030, ""台銀籌備帳戶|玉山帳戶""), REGEXMATCH(C3030, ""薪資"")), ""分潤支出"",
  AND(REGEXMATCH(E3030, ""Ben帳戶|Elsa帳戶|Ben代墊|Ariel代墊|中信銀行共用""), REGEXMATCH(F3030, ""Ben帳戶|Elsa帳戶|Ben代墊|Ariel代墊|中信銀行共用"")), ""內部轉帳(忽略)"",
  AND(E3030&lt;&gt;"""", F3030&lt;&gt;"""", N"&amp;"OT(REGEXMATCH(C3030, ""薪資""))), ""內部轉帳(忽略)"",
  REGEXMATCH(C3030, ""薪資""), ""薪資變動(不計入)"",
  REGEXMATCH(C3030, ""押金""), ""押金往來"",
  AND(E3030&lt;&gt;"""", F3030=""""), ""真實支出"",
  AND(E3030="""", F3030&lt;&gt;""""), ""真實收入"",
  TRUE, ""其他""
)"),"真實支出")</f>
        <v>真實支出</v>
      </c>
      <c r="K3030" s="270">
        <f t="shared" si="2"/>
        <v>-700</v>
      </c>
      <c r="L3030">
        <f t="shared" si="3"/>
        <v>0</v>
      </c>
    </row>
    <row r="3031">
      <c r="A3031" s="107">
        <f>IFERROR(__xludf.DUMMYFUNCTION("""COMPUTED_VALUE"""),46018.0)</f>
        <v>46018</v>
      </c>
      <c r="B3031" t="str">
        <f>IFERROR(__xludf.DUMMYFUNCTION("""COMPUTED_VALUE"""),"IKEA家俱")</f>
        <v>IKEA家俱</v>
      </c>
      <c r="C3031" t="str">
        <f>IFERROR(__xludf.DUMMYFUNCTION("""COMPUTED_VALUE"""),"成本 - 進場前裝潢費")</f>
        <v>成本 - 進場前裝潢費</v>
      </c>
      <c r="D3031" s="270">
        <f>IFERROR(__xludf.DUMMYFUNCTION("""COMPUTED_VALUE"""),-84794.0)</f>
        <v>-84794</v>
      </c>
      <c r="E3031" t="str">
        <f>IFERROR(__xludf.DUMMYFUNCTION("""COMPUTED_VALUE"""),"Elsa帳戶")</f>
        <v>Elsa帳戶</v>
      </c>
      <c r="G3031" t="str">
        <f>IFERROR(__xludf.DUMMYFUNCTION("""COMPUTED_VALUE"""),"天母搜狗")</f>
        <v>天母搜狗</v>
      </c>
      <c r="H3031" s="106" t="str">
        <f t="shared" si="1"/>
        <v>2025-12</v>
      </c>
      <c r="I3031" s="271" t="str">
        <f>IFERROR(__xludf.DUMMYFUNCTION("""COMPUTED_VALUE"""),"貓狗企鵝")</f>
        <v>貓狗企鵝</v>
      </c>
      <c r="J3031" t="str">
        <f>IFERROR(__xludf.DUMMYFUNCTION("IFS(
  AND(REGEXMATCH(E3031, ""台銀籌備帳戶|玉山帳戶""), REGEXMATCH(C3031, ""薪資"")), ""分潤支出"",
  AND(REGEXMATCH(E3031, ""Ben帳戶|Elsa帳戶|Ben代墊|Ariel代墊|中信銀行共用""), REGEXMATCH(F3031, ""Ben帳戶|Elsa帳戶|Ben代墊|Ariel代墊|中信銀行共用"")), ""內部轉帳(忽略)"",
  AND(E3031&lt;&gt;"""", F3031&lt;&gt;"""", N"&amp;"OT(REGEXMATCH(C3031, ""薪資""))), ""內部轉帳(忽略)"",
  REGEXMATCH(C3031, ""薪資""), ""薪資變動(不計入)"",
  REGEXMATCH(C3031, ""押金""), ""押金往來"",
  AND(E3031&lt;&gt;"""", F3031=""""), ""真實支出"",
  AND(E3031="""", F3031&lt;&gt;""""), ""真實收入"",
  TRUE, ""其他""
)"),"真實支出")</f>
        <v>真實支出</v>
      </c>
      <c r="K3031" s="270">
        <f t="shared" si="2"/>
        <v>-84794</v>
      </c>
      <c r="L3031">
        <f t="shared" si="3"/>
        <v>0</v>
      </c>
    </row>
    <row r="3032">
      <c r="A3032" s="107">
        <f>IFERROR(__xludf.DUMMYFUNCTION("""COMPUTED_VALUE"""),46018.0)</f>
        <v>46018</v>
      </c>
      <c r="B3032" t="str">
        <f>IFERROR(__xludf.DUMMYFUNCTION("""COMPUTED_VALUE"""),"淘寶餐桌+餐椅*3")</f>
        <v>淘寶餐桌+餐椅*3</v>
      </c>
      <c r="C3032" t="str">
        <f>IFERROR(__xludf.DUMMYFUNCTION("""COMPUTED_VALUE"""),"成本 - 進場前裝潢費")</f>
        <v>成本 - 進場前裝潢費</v>
      </c>
      <c r="D3032" s="270">
        <f>IFERROR(__xludf.DUMMYFUNCTION("""COMPUTED_VALUE"""),-6885.0)</f>
        <v>-6885</v>
      </c>
      <c r="E3032" t="str">
        <f>IFERROR(__xludf.DUMMYFUNCTION("""COMPUTED_VALUE"""),"Elsa帳戶")</f>
        <v>Elsa帳戶</v>
      </c>
      <c r="G3032" t="str">
        <f>IFERROR(__xludf.DUMMYFUNCTION("""COMPUTED_VALUE"""),"天母搜狗")</f>
        <v>天母搜狗</v>
      </c>
      <c r="H3032" s="106" t="str">
        <f t="shared" si="1"/>
        <v>2025-12</v>
      </c>
      <c r="I3032" s="271" t="str">
        <f>IFERROR(__xludf.DUMMYFUNCTION("""COMPUTED_VALUE"""),"貓狗企鵝")</f>
        <v>貓狗企鵝</v>
      </c>
      <c r="J3032" t="str">
        <f>IFERROR(__xludf.DUMMYFUNCTION("IFS(
  AND(REGEXMATCH(E3032, ""台銀籌備帳戶|玉山帳戶""), REGEXMATCH(C3032, ""薪資"")), ""分潤支出"",
  AND(REGEXMATCH(E3032, ""Ben帳戶|Elsa帳戶|Ben代墊|Ariel代墊|中信銀行共用""), REGEXMATCH(F3032, ""Ben帳戶|Elsa帳戶|Ben代墊|Ariel代墊|中信銀行共用"")), ""內部轉帳(忽略)"",
  AND(E3032&lt;&gt;"""", F3032&lt;&gt;"""", N"&amp;"OT(REGEXMATCH(C3032, ""薪資""))), ""內部轉帳(忽略)"",
  REGEXMATCH(C3032, ""薪資""), ""薪資變動(不計入)"",
  REGEXMATCH(C3032, ""押金""), ""押金往來"",
  AND(E3032&lt;&gt;"""", F3032=""""), ""真實支出"",
  AND(E3032="""", F3032&lt;&gt;""""), ""真實收入"",
  TRUE, ""其他""
)"),"真實支出")</f>
        <v>真實支出</v>
      </c>
      <c r="K3032" s="270">
        <f t="shared" si="2"/>
        <v>-6885</v>
      </c>
      <c r="L3032">
        <f t="shared" si="3"/>
        <v>0</v>
      </c>
    </row>
    <row r="3033">
      <c r="A3033" s="107">
        <f>IFERROR(__xludf.DUMMYFUNCTION("""COMPUTED_VALUE"""),46018.0)</f>
        <v>46018</v>
      </c>
      <c r="B3033" t="str">
        <f>IFERROR(__xludf.DUMMYFUNCTION("""COMPUTED_VALUE"""),"淘寶椅子*6+層架們")</f>
        <v>淘寶椅子*6+層架們</v>
      </c>
      <c r="C3033" t="str">
        <f>IFERROR(__xludf.DUMMYFUNCTION("""COMPUTED_VALUE"""),"成本 - 進場前裝潢費")</f>
        <v>成本 - 進場前裝潢費</v>
      </c>
      <c r="D3033" s="270">
        <f>IFERROR(__xludf.DUMMYFUNCTION("""COMPUTED_VALUE"""),-5687.099999999999)</f>
        <v>-5687.1</v>
      </c>
      <c r="E3033" t="str">
        <f>IFERROR(__xludf.DUMMYFUNCTION("""COMPUTED_VALUE"""),"Elsa帳戶")</f>
        <v>Elsa帳戶</v>
      </c>
      <c r="G3033" t="str">
        <f>IFERROR(__xludf.DUMMYFUNCTION("""COMPUTED_VALUE"""),"天母搜狗")</f>
        <v>天母搜狗</v>
      </c>
      <c r="H3033" s="106" t="str">
        <f t="shared" si="1"/>
        <v>2025-12</v>
      </c>
      <c r="I3033" s="271" t="str">
        <f>IFERROR(__xludf.DUMMYFUNCTION("""COMPUTED_VALUE"""),"貓狗企鵝")</f>
        <v>貓狗企鵝</v>
      </c>
      <c r="J3033" t="str">
        <f>IFERROR(__xludf.DUMMYFUNCTION("IFS(
  AND(REGEXMATCH(E3033, ""台銀籌備帳戶|玉山帳戶""), REGEXMATCH(C3033, ""薪資"")), ""分潤支出"",
  AND(REGEXMATCH(E3033, ""Ben帳戶|Elsa帳戶|Ben代墊|Ariel代墊|中信銀行共用""), REGEXMATCH(F3033, ""Ben帳戶|Elsa帳戶|Ben代墊|Ariel代墊|中信銀行共用"")), ""內部轉帳(忽略)"",
  AND(E3033&lt;&gt;"""", F3033&lt;&gt;"""", N"&amp;"OT(REGEXMATCH(C3033, ""薪資""))), ""內部轉帳(忽略)"",
  REGEXMATCH(C3033, ""薪資""), ""薪資變動(不計入)"",
  REGEXMATCH(C3033, ""押金""), ""押金往來"",
  AND(E3033&lt;&gt;"""", F3033=""""), ""真實支出"",
  AND(E3033="""", F3033&lt;&gt;""""), ""真實收入"",
  TRUE, ""其他""
)"),"真實支出")</f>
        <v>真實支出</v>
      </c>
      <c r="K3033" s="270">
        <f t="shared" si="2"/>
        <v>-5687.1</v>
      </c>
      <c r="L3033">
        <f t="shared" si="3"/>
        <v>0</v>
      </c>
    </row>
    <row r="3034">
      <c r="A3034" s="107">
        <f>IFERROR(__xludf.DUMMYFUNCTION("""COMPUTED_VALUE"""),46021.0)</f>
        <v>46021</v>
      </c>
      <c r="B3034" t="str">
        <f>IFERROR(__xludf.DUMMYFUNCTION("""COMPUTED_VALUE"""),"乾衣機8TWGD5620HW")</f>
        <v>乾衣機8TWGD5620HW</v>
      </c>
      <c r="C3034" t="str">
        <f>IFERROR(__xludf.DUMMYFUNCTION("""COMPUTED_VALUE"""),"成本 - 進場前裝潢費")</f>
        <v>成本 - 進場前裝潢費</v>
      </c>
      <c r="D3034" s="270">
        <f>IFERROR(__xludf.DUMMYFUNCTION("""COMPUTED_VALUE"""),-32850.0)</f>
        <v>-32850</v>
      </c>
      <c r="E3034" t="str">
        <f>IFERROR(__xludf.DUMMYFUNCTION("""COMPUTED_VALUE"""),"Ben帳戶")</f>
        <v>Ben帳戶</v>
      </c>
      <c r="G3034" t="str">
        <f>IFERROR(__xludf.DUMMYFUNCTION("""COMPUTED_VALUE"""),"天母搜狗")</f>
        <v>天母搜狗</v>
      </c>
      <c r="H3034" s="106" t="str">
        <f t="shared" si="1"/>
        <v>2025-12</v>
      </c>
      <c r="I3034" s="271" t="str">
        <f>IFERROR(__xludf.DUMMYFUNCTION("""COMPUTED_VALUE"""),"貓狗企鵝")</f>
        <v>貓狗企鵝</v>
      </c>
      <c r="J3034" t="str">
        <f>IFERROR(__xludf.DUMMYFUNCTION("IFS(
  AND(REGEXMATCH(E3034, ""台銀籌備帳戶|玉山帳戶""), REGEXMATCH(C3034, ""薪資"")), ""分潤支出"",
  AND(REGEXMATCH(E3034, ""Ben帳戶|Elsa帳戶|Ben代墊|Ariel代墊|中信銀行共用""), REGEXMATCH(F3034, ""Ben帳戶|Elsa帳戶|Ben代墊|Ariel代墊|中信銀行共用"")), ""內部轉帳(忽略)"",
  AND(E3034&lt;&gt;"""", F3034&lt;&gt;"""", N"&amp;"OT(REGEXMATCH(C3034, ""薪資""))), ""內部轉帳(忽略)"",
  REGEXMATCH(C3034, ""薪資""), ""薪資變動(不計入)"",
  REGEXMATCH(C3034, ""押金""), ""押金往來"",
  AND(E3034&lt;&gt;"""", F3034=""""), ""真實支出"",
  AND(E3034="""", F3034&lt;&gt;""""), ""真實收入"",
  TRUE, ""其他""
)"),"真實支出")</f>
        <v>真實支出</v>
      </c>
      <c r="K3034" s="270">
        <f t="shared" si="2"/>
        <v>-32850</v>
      </c>
      <c r="L3034">
        <f t="shared" si="3"/>
        <v>0</v>
      </c>
    </row>
    <row r="3035">
      <c r="A3035" s="107">
        <f>IFERROR(__xludf.DUMMYFUNCTION("""COMPUTED_VALUE"""),46021.0)</f>
        <v>46021</v>
      </c>
      <c r="B3035" t="str">
        <f>IFERROR(__xludf.DUMMYFUNCTION("""COMPUTED_VALUE"""),"MoMo 冰箱")</f>
        <v>MoMo 冰箱</v>
      </c>
      <c r="C3035" t="str">
        <f>IFERROR(__xludf.DUMMYFUNCTION("""COMPUTED_VALUE"""),"成本 - 進場前裝潢費")</f>
        <v>成本 - 進場前裝潢費</v>
      </c>
      <c r="D3035" s="270">
        <f>IFERROR(__xludf.DUMMYFUNCTION("""COMPUTED_VALUE"""),-14911.0)</f>
        <v>-14911</v>
      </c>
      <c r="E3035" t="str">
        <f>IFERROR(__xludf.DUMMYFUNCTION("""COMPUTED_VALUE"""),"Elsa帳戶")</f>
        <v>Elsa帳戶</v>
      </c>
      <c r="G3035" t="str">
        <f>IFERROR(__xludf.DUMMYFUNCTION("""COMPUTED_VALUE"""),"天母搜狗")</f>
        <v>天母搜狗</v>
      </c>
      <c r="H3035" s="106" t="str">
        <f t="shared" si="1"/>
        <v>2025-12</v>
      </c>
      <c r="I3035" s="271" t="str">
        <f>IFERROR(__xludf.DUMMYFUNCTION("""COMPUTED_VALUE"""),"貓狗企鵝")</f>
        <v>貓狗企鵝</v>
      </c>
      <c r="J3035" t="str">
        <f>IFERROR(__xludf.DUMMYFUNCTION("IFS(
  AND(REGEXMATCH(E3035, ""台銀籌備帳戶|玉山帳戶""), REGEXMATCH(C3035, ""薪資"")), ""分潤支出"",
  AND(REGEXMATCH(E3035, ""Ben帳戶|Elsa帳戶|Ben代墊|Ariel代墊|中信銀行共用""), REGEXMATCH(F3035, ""Ben帳戶|Elsa帳戶|Ben代墊|Ariel代墊|中信銀行共用"")), ""內部轉帳(忽略)"",
  AND(E3035&lt;&gt;"""", F3035&lt;&gt;"""", N"&amp;"OT(REGEXMATCH(C3035, ""薪資""))), ""內部轉帳(忽略)"",
  REGEXMATCH(C3035, ""薪資""), ""薪資變動(不計入)"",
  REGEXMATCH(C3035, ""押金""), ""押金往來"",
  AND(E3035&lt;&gt;"""", F3035=""""), ""真實支出"",
  AND(E3035="""", F3035&lt;&gt;""""), ""真實收入"",
  TRUE, ""其他""
)"),"真實支出")</f>
        <v>真實支出</v>
      </c>
      <c r="K3035" s="270">
        <f t="shared" si="2"/>
        <v>-14911</v>
      </c>
      <c r="L3035">
        <f t="shared" si="3"/>
        <v>0</v>
      </c>
    </row>
    <row r="3036">
      <c r="A3036" s="107">
        <f>IFERROR(__xludf.DUMMYFUNCTION("""COMPUTED_VALUE"""),46022.0)</f>
        <v>46022</v>
      </c>
      <c r="B3036" t="str">
        <f>IFERROR(__xludf.DUMMYFUNCTION("""COMPUTED_VALUE"""),"火雞款(差額)")</f>
        <v>火雞款(差額)</v>
      </c>
      <c r="C3036" t="str">
        <f>IFERROR(__xludf.DUMMYFUNCTION("""COMPUTED_VALUE"""),"成本 - 進場前裝潢費")</f>
        <v>成本 - 進場前裝潢費</v>
      </c>
      <c r="D3036" s="270">
        <f>IFERROR(__xludf.DUMMYFUNCTION("""COMPUTED_VALUE"""),4716.0)</f>
        <v>4716</v>
      </c>
      <c r="F3036" t="str">
        <f>IFERROR(__xludf.DUMMYFUNCTION("""COMPUTED_VALUE"""),"Ben帳戶")</f>
        <v>Ben帳戶</v>
      </c>
      <c r="G3036" t="str">
        <f>IFERROR(__xludf.DUMMYFUNCTION("""COMPUTED_VALUE"""),"永春四號")</f>
        <v>永春四號</v>
      </c>
      <c r="H3036" s="106" t="str">
        <f t="shared" si="1"/>
        <v>2025-12</v>
      </c>
      <c r="I3036" s="271" t="str">
        <f>IFERROR(__xludf.DUMMYFUNCTION("""COMPUTED_VALUE"""),"貓狗企鵝")</f>
        <v>貓狗企鵝</v>
      </c>
      <c r="J3036" t="str">
        <f>IFERROR(__xludf.DUMMYFUNCTION("IFS(
  AND(REGEXMATCH(E3036, ""台銀籌備帳戶|玉山帳戶""), REGEXMATCH(C3036, ""薪資"")), ""分潤支出"",
  AND(REGEXMATCH(E3036, ""Ben帳戶|Elsa帳戶|Ben代墊|Ariel代墊|中信銀行共用""), REGEXMATCH(F3036, ""Ben帳戶|Elsa帳戶|Ben代墊|Ariel代墊|中信銀行共用"")), ""內部轉帳(忽略)"",
  AND(E3036&lt;&gt;"""", F3036&lt;&gt;"""", N"&amp;"OT(REGEXMATCH(C3036, ""薪資""))), ""內部轉帳(忽略)"",
  REGEXMATCH(C3036, ""薪資""), ""薪資變動(不計入)"",
  REGEXMATCH(C3036, ""押金""), ""押金往來"",
  AND(E3036&lt;&gt;"""", F3036=""""), ""真實支出"",
  AND(E3036="""", F3036&lt;&gt;""""), ""真實收入"",
  TRUE, ""其他""
)"),"真實收入")</f>
        <v>真實收入</v>
      </c>
      <c r="K3036" s="270">
        <f t="shared" si="2"/>
        <v>4716</v>
      </c>
      <c r="L3036">
        <f t="shared" si="3"/>
        <v>0</v>
      </c>
    </row>
    <row r="3037">
      <c r="A3037" s="107">
        <f>IFERROR(__xludf.DUMMYFUNCTION("""COMPUTED_VALUE"""),46026.0)</f>
        <v>46026</v>
      </c>
      <c r="B3037" t="str">
        <f>IFERROR(__xludf.DUMMYFUNCTION("""COMPUTED_VALUE"""),"運匠運費")</f>
        <v>運匠運費</v>
      </c>
      <c r="C3037" t="str">
        <f>IFERROR(__xludf.DUMMYFUNCTION("""COMPUTED_VALUE"""),"成本 - 進場前裝潢費")</f>
        <v>成本 - 進場前裝潢費</v>
      </c>
      <c r="D3037" s="270">
        <f>IFERROR(__xludf.DUMMYFUNCTION("""COMPUTED_VALUE"""),-10000.0)</f>
        <v>-10000</v>
      </c>
      <c r="E3037" t="str">
        <f>IFERROR(__xludf.DUMMYFUNCTION("""COMPUTED_VALUE"""),"Ben帳戶")</f>
        <v>Ben帳戶</v>
      </c>
      <c r="G3037" t="str">
        <f>IFERROR(__xludf.DUMMYFUNCTION("""COMPUTED_VALUE"""),"天母搜狗")</f>
        <v>天母搜狗</v>
      </c>
      <c r="H3037" s="106" t="str">
        <f t="shared" si="1"/>
        <v>2026-01</v>
      </c>
      <c r="I3037" s="271" t="str">
        <f>IFERROR(__xludf.DUMMYFUNCTION("""COMPUTED_VALUE"""),"貓狗企鵝")</f>
        <v>貓狗企鵝</v>
      </c>
      <c r="J3037" t="str">
        <f>IFERROR(__xludf.DUMMYFUNCTION("IFS(
  AND(REGEXMATCH(E3037, ""台銀籌備帳戶|玉山帳戶""), REGEXMATCH(C3037, ""薪資"")), ""分潤支出"",
  AND(REGEXMATCH(E3037, ""Ben帳戶|Elsa帳戶|Ben代墊|Ariel代墊|中信銀行共用""), REGEXMATCH(F3037, ""Ben帳戶|Elsa帳戶|Ben代墊|Ariel代墊|中信銀行共用"")), ""內部轉帳(忽略)"",
  AND(E3037&lt;&gt;"""", F3037&lt;&gt;"""", N"&amp;"OT(REGEXMATCH(C3037, ""薪資""))), ""內部轉帳(忽略)"",
  REGEXMATCH(C3037, ""薪資""), ""薪資變動(不計入)"",
  REGEXMATCH(C3037, ""押金""), ""押金往來"",
  AND(E3037&lt;&gt;"""", F3037=""""), ""真實支出"",
  AND(E3037="""", F3037&lt;&gt;""""), ""真實收入"",
  TRUE, ""其他""
)"),"真實支出")</f>
        <v>真實支出</v>
      </c>
      <c r="K3037" s="270">
        <f t="shared" si="2"/>
        <v>-10000</v>
      </c>
      <c r="L3037">
        <f t="shared" si="3"/>
        <v>0</v>
      </c>
    </row>
    <row r="3038">
      <c r="A3038" s="107">
        <f>IFERROR(__xludf.DUMMYFUNCTION("""COMPUTED_VALUE"""),46026.0)</f>
        <v>46026</v>
      </c>
      <c r="B3038" t="str">
        <f>IFERROR(__xludf.DUMMYFUNCTION("""COMPUTED_VALUE"""),"德行水費")</f>
        <v>德行水費</v>
      </c>
      <c r="C3038" t="str">
        <f>IFERROR(__xludf.DUMMYFUNCTION("""COMPUTED_VALUE"""),"成本 - 固定開銷(網路代收清潔)")</f>
        <v>成本 - 固定開銷(網路代收清潔)</v>
      </c>
      <c r="D3038" s="270">
        <f>IFERROR(__xludf.DUMMYFUNCTION("""COMPUTED_VALUE"""),-1255.0)</f>
        <v>-1255</v>
      </c>
      <c r="E3038" t="str">
        <f>IFERROR(__xludf.DUMMYFUNCTION("""COMPUTED_VALUE"""),"Ben帳戶")</f>
        <v>Ben帳戶</v>
      </c>
      <c r="G3038" t="str">
        <f>IFERROR(__xludf.DUMMYFUNCTION("""COMPUTED_VALUE"""),"天母搜狗")</f>
        <v>天母搜狗</v>
      </c>
      <c r="H3038" s="106" t="str">
        <f t="shared" si="1"/>
        <v>2026-01</v>
      </c>
      <c r="I3038" s="271" t="str">
        <f>IFERROR(__xludf.DUMMYFUNCTION("""COMPUTED_VALUE"""),"貓狗企鵝")</f>
        <v>貓狗企鵝</v>
      </c>
      <c r="J3038" t="str">
        <f>IFERROR(__xludf.DUMMYFUNCTION("IFS(
  AND(REGEXMATCH(E3038, ""台銀籌備帳戶|玉山帳戶""), REGEXMATCH(C3038, ""薪資"")), ""分潤支出"",
  AND(REGEXMATCH(E3038, ""Ben帳戶|Elsa帳戶|Ben代墊|Ariel代墊|中信銀行共用""), REGEXMATCH(F3038, ""Ben帳戶|Elsa帳戶|Ben代墊|Ariel代墊|中信銀行共用"")), ""內部轉帳(忽略)"",
  AND(E3038&lt;&gt;"""", F3038&lt;&gt;"""", N"&amp;"OT(REGEXMATCH(C3038, ""薪資""))), ""內部轉帳(忽略)"",
  REGEXMATCH(C3038, ""薪資""), ""薪資變動(不計入)"",
  REGEXMATCH(C3038, ""押金""), ""押金往來"",
  AND(E3038&lt;&gt;"""", F3038=""""), ""真實支出"",
  AND(E3038="""", F3038&lt;&gt;""""), ""真實收入"",
  TRUE, ""其他""
)"),"真實支出")</f>
        <v>真實支出</v>
      </c>
      <c r="K3038" s="270">
        <f t="shared" si="2"/>
        <v>-1255</v>
      </c>
      <c r="L3038">
        <f t="shared" si="3"/>
        <v>0</v>
      </c>
    </row>
    <row r="3039">
      <c r="A3039" s="107">
        <f>IFERROR(__xludf.DUMMYFUNCTION("""COMPUTED_VALUE"""),46013.0)</f>
        <v>46013</v>
      </c>
      <c r="B3039" t="str">
        <f>IFERROR(__xludf.DUMMYFUNCTION("""COMPUTED_VALUE"""),"費用 - 匯費 013 (16171)")</f>
        <v>費用 - 匯費 013 (16171)</v>
      </c>
      <c r="C3039" t="str">
        <f>IFERROR(__xludf.DUMMYFUNCTION("""COMPUTED_VALUE"""),"費用 - 匯費")</f>
        <v>費用 - 匯費</v>
      </c>
      <c r="D3039" s="270">
        <f>IFERROR(__xludf.DUMMYFUNCTION("""COMPUTED_VALUE"""),-15.0)</f>
        <v>-15</v>
      </c>
      <c r="E3039" t="str">
        <f>IFERROR(__xludf.DUMMYFUNCTION("""COMPUTED_VALUE"""),"台銀籌備帳戶")</f>
        <v>台銀籌備帳戶</v>
      </c>
      <c r="H3039" s="106" t="str">
        <f t="shared" si="1"/>
        <v>2025-12</v>
      </c>
      <c r="I3039" s="271" t="str">
        <f>IFERROR(__xludf.DUMMYFUNCTION("""COMPUTED_VALUE"""),"貓狗企鵝")</f>
        <v>貓狗企鵝</v>
      </c>
      <c r="J3039" t="str">
        <f>IFERROR(__xludf.DUMMYFUNCTION("IFS(
  AND(REGEXMATCH(E3039, ""台銀籌備帳戶|玉山帳戶""), REGEXMATCH(C3039, ""薪資"")), ""分潤支出"",
  AND(REGEXMATCH(E3039, ""Ben帳戶|Elsa帳戶|Ben代墊|Ariel代墊|中信銀行共用""), REGEXMATCH(F3039, ""Ben帳戶|Elsa帳戶|Ben代墊|Ariel代墊|中信銀行共用"")), ""內部轉帳(忽略)"",
  AND(E3039&lt;&gt;"""", F3039&lt;&gt;"""", N"&amp;"OT(REGEXMATCH(C3039, ""薪資""))), ""內部轉帳(忽略)"",
  REGEXMATCH(C3039, ""薪資""), ""薪資變動(不計入)"",
  REGEXMATCH(C3039, ""押金""), ""押金往來"",
  AND(E3039&lt;&gt;"""", F3039=""""), ""真實支出"",
  AND(E3039="""", F3039&lt;&gt;""""), ""真實收入"",
  TRUE, ""其他""
)"),"真實支出")</f>
        <v>真實支出</v>
      </c>
      <c r="K3039" s="270">
        <f t="shared" si="2"/>
        <v>-15</v>
      </c>
      <c r="L3039">
        <f t="shared" si="3"/>
        <v>0</v>
      </c>
    </row>
    <row r="3040">
      <c r="A3040" s="107">
        <f>IFERROR(__xludf.DUMMYFUNCTION("""COMPUTED_VALUE"""),46013.0)</f>
        <v>46013</v>
      </c>
      <c r="B3040" t="str">
        <f>IFERROR(__xludf.DUMMYFUNCTION("""COMPUTED_VALUE"""),"大功下半年會計費 ' 【未分類支出】")</f>
        <v>大功下半年會計費 ' 【未分類支出】</v>
      </c>
      <c r="C3040" t="str">
        <f>IFERROR(__xludf.DUMMYFUNCTION("""COMPUTED_VALUE"""),"費用 - 法律會計費用")</f>
        <v>費用 - 法律會計費用</v>
      </c>
      <c r="D3040" s="270">
        <f>IFERROR(__xludf.DUMMYFUNCTION("""COMPUTED_VALUE"""),-25200.0)</f>
        <v>-25200</v>
      </c>
      <c r="E3040" t="str">
        <f>IFERROR(__xludf.DUMMYFUNCTION("""COMPUTED_VALUE"""),"台銀籌備帳戶")</f>
        <v>台銀籌備帳戶</v>
      </c>
      <c r="H3040" s="106" t="str">
        <f t="shared" si="1"/>
        <v>2025-12</v>
      </c>
      <c r="I3040" s="271" t="str">
        <f>IFERROR(__xludf.DUMMYFUNCTION("""COMPUTED_VALUE"""),"貓狗企鵝")</f>
        <v>貓狗企鵝</v>
      </c>
      <c r="J3040" t="str">
        <f>IFERROR(__xludf.DUMMYFUNCTION("IFS(
  AND(REGEXMATCH(E3040, ""台銀籌備帳戶|玉山帳戶""), REGEXMATCH(C3040, ""薪資"")), ""分潤支出"",
  AND(REGEXMATCH(E3040, ""Ben帳戶|Elsa帳戶|Ben代墊|Ariel代墊|中信銀行共用""), REGEXMATCH(F3040, ""Ben帳戶|Elsa帳戶|Ben代墊|Ariel代墊|中信銀行共用"")), ""內部轉帳(忽略)"",
  AND(E3040&lt;&gt;"""", F3040&lt;&gt;"""", N"&amp;"OT(REGEXMATCH(C3040, ""薪資""))), ""內部轉帳(忽略)"",
  REGEXMATCH(C3040, ""薪資""), ""薪資變動(不計入)"",
  REGEXMATCH(C3040, ""押金""), ""押金往來"",
  AND(E3040&lt;&gt;"""", F3040=""""), ""真實支出"",
  AND(E3040="""", F3040&lt;&gt;""""), ""真實收入"",
  TRUE, ""其他""
)"),"真實支出")</f>
        <v>真實支出</v>
      </c>
      <c r="K3040" s="270">
        <f t="shared" si="2"/>
        <v>-25200</v>
      </c>
      <c r="L3040">
        <f t="shared" si="3"/>
        <v>0</v>
      </c>
    </row>
    <row r="3041">
      <c r="A3041" s="107">
        <f>IFERROR(__xludf.DUMMYFUNCTION("""COMPUTED_VALUE"""),46015.0)</f>
        <v>46015</v>
      </c>
      <c r="B3041" t="str">
        <f>IFERROR(__xludf.DUMMYFUNCTION("""COMPUTED_VALUE"""),"費用 - 匯費 812 (86639)")</f>
        <v>費用 - 匯費 812 (86639)</v>
      </c>
      <c r="C3041" t="str">
        <f>IFERROR(__xludf.DUMMYFUNCTION("""COMPUTED_VALUE"""),"費用 - 匯費")</f>
        <v>費用 - 匯費</v>
      </c>
      <c r="D3041" s="270">
        <f>IFERROR(__xludf.DUMMYFUNCTION("""COMPUTED_VALUE"""),-15.0)</f>
        <v>-15</v>
      </c>
      <c r="E3041" t="str">
        <f>IFERROR(__xludf.DUMMYFUNCTION("""COMPUTED_VALUE"""),"台銀籌備帳戶")</f>
        <v>台銀籌備帳戶</v>
      </c>
      <c r="H3041" s="106" t="str">
        <f t="shared" si="1"/>
        <v>2025-12</v>
      </c>
      <c r="I3041" s="271" t="str">
        <f>IFERROR(__xludf.DUMMYFUNCTION("""COMPUTED_VALUE"""),"貓狗企鵝")</f>
        <v>貓狗企鵝</v>
      </c>
      <c r="J3041" t="str">
        <f>IFERROR(__xludf.DUMMYFUNCTION("IFS(
  AND(REGEXMATCH(E3041, ""台銀籌備帳戶|玉山帳戶""), REGEXMATCH(C3041, ""薪資"")), ""分潤支出"",
  AND(REGEXMATCH(E3041, ""Ben帳戶|Elsa帳戶|Ben代墊|Ariel代墊|中信銀行共用""), REGEXMATCH(F3041, ""Ben帳戶|Elsa帳戶|Ben代墊|Ariel代墊|中信銀行共用"")), ""內部轉帳(忽略)"",
  AND(E3041&lt;&gt;"""", F3041&lt;&gt;"""", N"&amp;"OT(REGEXMATCH(C3041, ""薪資""))), ""內部轉帳(忽略)"",
  REGEXMATCH(C3041, ""薪資""), ""薪資變動(不計入)"",
  REGEXMATCH(C3041, ""押金""), ""押金往來"",
  AND(E3041&lt;&gt;"""", F3041=""""), ""真實支出"",
  AND(E3041="""", F3041&lt;&gt;""""), ""真實收入"",
  TRUE, ""其他""
)"),"真實支出")</f>
        <v>真實支出</v>
      </c>
      <c r="K3041" s="270">
        <f t="shared" si="2"/>
        <v>-15</v>
      </c>
      <c r="L3041">
        <f t="shared" si="3"/>
        <v>0</v>
      </c>
    </row>
    <row r="3042">
      <c r="A3042" s="107">
        <f>IFERROR(__xludf.DUMMYFUNCTION("""COMPUTED_VALUE"""),46015.0)</f>
        <v>46015</v>
      </c>
      <c r="B3042" t="str">
        <f>IFERROR(__xludf.DUMMYFUNCTION("""COMPUTED_VALUE"""),"螢光水電永春 ' 【未分類支出】")</f>
        <v>螢光水電永春 ' 【未分類支出】</v>
      </c>
      <c r="C3042" t="str">
        <f>IFERROR(__xludf.DUMMYFUNCTION("""COMPUTED_VALUE"""),"成本 - 進場前裝潢費")</f>
        <v>成本 - 進場前裝潢費</v>
      </c>
      <c r="D3042" s="270">
        <f>IFERROR(__xludf.DUMMYFUNCTION("""COMPUTED_VALUE"""),-35595.0)</f>
        <v>-35595</v>
      </c>
      <c r="E3042" t="str">
        <f>IFERROR(__xludf.DUMMYFUNCTION("""COMPUTED_VALUE"""),"台銀籌備帳戶")</f>
        <v>台銀籌備帳戶</v>
      </c>
      <c r="H3042" s="106" t="str">
        <f t="shared" si="1"/>
        <v>2025-12</v>
      </c>
      <c r="I3042" s="271" t="str">
        <f>IFERROR(__xludf.DUMMYFUNCTION("""COMPUTED_VALUE"""),"貓狗企鵝")</f>
        <v>貓狗企鵝</v>
      </c>
      <c r="J3042" t="str">
        <f>IFERROR(__xludf.DUMMYFUNCTION("IFS(
  AND(REGEXMATCH(E3042, ""台銀籌備帳戶|玉山帳戶""), REGEXMATCH(C3042, ""薪資"")), ""分潤支出"",
  AND(REGEXMATCH(E3042, ""Ben帳戶|Elsa帳戶|Ben代墊|Ariel代墊|中信銀行共用""), REGEXMATCH(F3042, ""Ben帳戶|Elsa帳戶|Ben代墊|Ariel代墊|中信銀行共用"")), ""內部轉帳(忽略)"",
  AND(E3042&lt;&gt;"""", F3042&lt;&gt;"""", N"&amp;"OT(REGEXMATCH(C3042, ""薪資""))), ""內部轉帳(忽略)"",
  REGEXMATCH(C3042, ""薪資""), ""薪資變動(不計入)"",
  REGEXMATCH(C3042, ""押金""), ""押金往來"",
  AND(E3042&lt;&gt;"""", F3042=""""), ""真實支出"",
  AND(E3042="""", F3042&lt;&gt;""""), ""真實收入"",
  TRUE, ""其他""
)"),"真實支出")</f>
        <v>真實支出</v>
      </c>
      <c r="K3042" s="270">
        <f t="shared" si="2"/>
        <v>-35595</v>
      </c>
      <c r="L3042">
        <f t="shared" si="3"/>
        <v>0</v>
      </c>
    </row>
    <row r="3043">
      <c r="A3043" s="107">
        <f>IFERROR(__xludf.DUMMYFUNCTION("""COMPUTED_VALUE"""),46017.0)</f>
        <v>46017</v>
      </c>
      <c r="B3043" t="str">
        <f>IFERROR(__xludf.DUMMYFUNCTION("""COMPUTED_VALUE"""),"費用 - 匯費 803 (08986)")</f>
        <v>費用 - 匯費 803 (08986)</v>
      </c>
      <c r="C3043" t="str">
        <f>IFERROR(__xludf.DUMMYFUNCTION("""COMPUTED_VALUE"""),"費用 - 匯費")</f>
        <v>費用 - 匯費</v>
      </c>
      <c r="D3043" s="270">
        <f>IFERROR(__xludf.DUMMYFUNCTION("""COMPUTED_VALUE"""),-15.0)</f>
        <v>-15</v>
      </c>
      <c r="E3043" t="str">
        <f>IFERROR(__xludf.DUMMYFUNCTION("""COMPUTED_VALUE"""),"台銀籌備帳戶")</f>
        <v>台銀籌備帳戶</v>
      </c>
      <c r="H3043" s="106" t="str">
        <f t="shared" si="1"/>
        <v>2025-12</v>
      </c>
      <c r="I3043" s="271" t="str">
        <f>IFERROR(__xludf.DUMMYFUNCTION("""COMPUTED_VALUE"""),"貓狗企鵝")</f>
        <v>貓狗企鵝</v>
      </c>
      <c r="J3043" t="str">
        <f>IFERROR(__xludf.DUMMYFUNCTION("IFS(
  AND(REGEXMATCH(E3043, ""台銀籌備帳戶|玉山帳戶""), REGEXMATCH(C3043, ""薪資"")), ""分潤支出"",
  AND(REGEXMATCH(E3043, ""Ben帳戶|Elsa帳戶|Ben代墊|Ariel代墊|中信銀行共用""), REGEXMATCH(F3043, ""Ben帳戶|Elsa帳戶|Ben代墊|Ariel代墊|中信銀行共用"")), ""內部轉帳(忽略)"",
  AND(E3043&lt;&gt;"""", F3043&lt;&gt;"""", N"&amp;"OT(REGEXMATCH(C3043, ""薪資""))), ""內部轉帳(忽略)"",
  REGEXMATCH(C3043, ""薪資""), ""薪資變動(不計入)"",
  REGEXMATCH(C3043, ""押金""), ""押金往來"",
  AND(E3043&lt;&gt;"""", F3043=""""), ""真實支出"",
  AND(E3043="""", F3043&lt;&gt;""""), ""真實收入"",
  TRUE, ""其他""
)"),"真實支出")</f>
        <v>真實支出</v>
      </c>
      <c r="K3043" s="270">
        <f t="shared" si="2"/>
        <v>-15</v>
      </c>
      <c r="L3043">
        <f t="shared" si="3"/>
        <v>0</v>
      </c>
    </row>
    <row r="3044">
      <c r="A3044" s="107">
        <f>IFERROR(__xludf.DUMMYFUNCTION("""COMPUTED_VALUE"""),46017.0)</f>
        <v>46017</v>
      </c>
      <c r="B3044" t="str">
        <f>IFERROR(__xludf.DUMMYFUNCTION("""COMPUTED_VALUE"""),"哇來收垃圾代收 ' 【未分類支出】")</f>
        <v>哇來收垃圾代收 ' 【未分類支出】</v>
      </c>
      <c r="C3044" t="str">
        <f>IFERROR(__xludf.DUMMYFUNCTION("""COMPUTED_VALUE"""),"成本 - 固定開銷(網路代收清潔)")</f>
        <v>成本 - 固定開銷(網路代收清潔)</v>
      </c>
      <c r="D3044" s="270">
        <f>IFERROR(__xludf.DUMMYFUNCTION("""COMPUTED_VALUE"""),-4050.0)</f>
        <v>-4050</v>
      </c>
      <c r="E3044" t="str">
        <f>IFERROR(__xludf.DUMMYFUNCTION("""COMPUTED_VALUE"""),"台銀籌備帳戶")</f>
        <v>台銀籌備帳戶</v>
      </c>
      <c r="H3044" s="106" t="str">
        <f t="shared" si="1"/>
        <v>2025-12</v>
      </c>
      <c r="I3044" s="271" t="str">
        <f>IFERROR(__xludf.DUMMYFUNCTION("""COMPUTED_VALUE"""),"貓狗企鵝")</f>
        <v>貓狗企鵝</v>
      </c>
      <c r="J3044" t="str">
        <f>IFERROR(__xludf.DUMMYFUNCTION("IFS(
  AND(REGEXMATCH(E3044, ""台銀籌備帳戶|玉山帳戶""), REGEXMATCH(C3044, ""薪資"")), ""分潤支出"",
  AND(REGEXMATCH(E3044, ""Ben帳戶|Elsa帳戶|Ben代墊|Ariel代墊|中信銀行共用""), REGEXMATCH(F3044, ""Ben帳戶|Elsa帳戶|Ben代墊|Ariel代墊|中信銀行共用"")), ""內部轉帳(忽略)"",
  AND(E3044&lt;&gt;"""", F3044&lt;&gt;"""", N"&amp;"OT(REGEXMATCH(C3044, ""薪資""))), ""內部轉帳(忽略)"",
  REGEXMATCH(C3044, ""薪資""), ""薪資變動(不計入)"",
  REGEXMATCH(C3044, ""押金""), ""押金往來"",
  AND(E3044&lt;&gt;"""", F3044=""""), ""真實支出"",
  AND(E3044="""", F3044&lt;&gt;""""), ""真實收入"",
  TRUE, ""其他""
)"),"真實支出")</f>
        <v>真實支出</v>
      </c>
      <c r="K3044" s="270">
        <f t="shared" si="2"/>
        <v>-4050</v>
      </c>
      <c r="L3044">
        <f t="shared" si="3"/>
        <v>0</v>
      </c>
    </row>
    <row r="3045">
      <c r="A3045" s="107">
        <f>IFERROR(__xludf.DUMMYFUNCTION("""COMPUTED_VALUE"""),46018.0)</f>
        <v>46018</v>
      </c>
      <c r="B3045" t="str">
        <f>IFERROR(__xludf.DUMMYFUNCTION("""COMPUTED_VALUE"""),"[南港站挑高宅] B 月租金 後五碼:65938 (行號: 5)")</f>
        <v>[南港站挑高宅] B 月租金 後五碼:65938 (行號: 5)</v>
      </c>
      <c r="C3045" t="str">
        <f>IFERROR(__xludf.DUMMYFUNCTION("""COMPUTED_VALUE"""),"收入 - 租金")</f>
        <v>收入 - 租金</v>
      </c>
      <c r="D3045" s="270">
        <f>IFERROR(__xludf.DUMMYFUNCTION("""COMPUTED_VALUE"""),11000.0)</f>
        <v>11000</v>
      </c>
      <c r="F3045" t="str">
        <f>IFERROR(__xludf.DUMMYFUNCTION("""COMPUTED_VALUE"""),"台銀籌備帳戶")</f>
        <v>台銀籌備帳戶</v>
      </c>
      <c r="G3045" t="str">
        <f>IFERROR(__xludf.DUMMYFUNCTION("""COMPUTED_VALUE"""),"南港站挑高宅")</f>
        <v>南港站挑高宅</v>
      </c>
      <c r="H3045" s="106" t="str">
        <f t="shared" si="1"/>
        <v>2025-12</v>
      </c>
      <c r="I3045" s="271" t="str">
        <f>IFERROR(__xludf.DUMMYFUNCTION("""COMPUTED_VALUE"""),"貓狗企鵝")</f>
        <v>貓狗企鵝</v>
      </c>
      <c r="J3045" t="str">
        <f>IFERROR(__xludf.DUMMYFUNCTION("IFS(
  AND(REGEXMATCH(E3045, ""台銀籌備帳戶|玉山帳戶""), REGEXMATCH(C3045, ""薪資"")), ""分潤支出"",
  AND(REGEXMATCH(E3045, ""Ben帳戶|Elsa帳戶|Ben代墊|Ariel代墊|中信銀行共用""), REGEXMATCH(F3045, ""Ben帳戶|Elsa帳戶|Ben代墊|Ariel代墊|中信銀行共用"")), ""內部轉帳(忽略)"",
  AND(E3045&lt;&gt;"""", F3045&lt;&gt;"""", N"&amp;"OT(REGEXMATCH(C3045, ""薪資""))), ""內部轉帳(忽略)"",
  REGEXMATCH(C3045, ""薪資""), ""薪資變動(不計入)"",
  REGEXMATCH(C3045, ""押金""), ""押金往來"",
  AND(E3045&lt;&gt;"""", F3045=""""), ""真實支出"",
  AND(E3045="""", F3045&lt;&gt;""""), ""真實收入"",
  TRUE, ""其他""
)"),"真實收入")</f>
        <v>真實收入</v>
      </c>
      <c r="K3045" s="270">
        <f t="shared" si="2"/>
        <v>11000</v>
      </c>
      <c r="L3045">
        <f t="shared" si="3"/>
        <v>0</v>
      </c>
    </row>
    <row r="3046">
      <c r="A3046" s="107">
        <f>IFERROR(__xludf.DUMMYFUNCTION("""COMPUTED_VALUE"""),46022.0)</f>
        <v>46022</v>
      </c>
      <c r="B3046" t="str">
        <f>IFERROR(__xludf.DUMMYFUNCTION("""COMPUTED_VALUE"""),"[金龍帽子先生] A 月租金 後五碼:70383 (行號: 6)")</f>
        <v>[金龍帽子先生] A 月租金 後五碼:70383 (行號: 6)</v>
      </c>
      <c r="C3046" t="str">
        <f>IFERROR(__xludf.DUMMYFUNCTION("""COMPUTED_VALUE"""),"收入 - 租金")</f>
        <v>收入 - 租金</v>
      </c>
      <c r="D3046" s="270">
        <f>IFERROR(__xludf.DUMMYFUNCTION("""COMPUTED_VALUE"""),17200.0)</f>
        <v>17200</v>
      </c>
      <c r="F3046" t="str">
        <f>IFERROR(__xludf.DUMMYFUNCTION("""COMPUTED_VALUE"""),"台銀籌備帳戶")</f>
        <v>台銀籌備帳戶</v>
      </c>
      <c r="G3046" t="str">
        <f>IFERROR(__xludf.DUMMYFUNCTION("""COMPUTED_VALUE"""),"金龍帽子先生")</f>
        <v>金龍帽子先生</v>
      </c>
      <c r="H3046" s="106" t="str">
        <f t="shared" si="1"/>
        <v>2025-12</v>
      </c>
      <c r="I3046" s="271" t="str">
        <f>IFERROR(__xludf.DUMMYFUNCTION("""COMPUTED_VALUE"""),"貓狗企鵝")</f>
        <v>貓狗企鵝</v>
      </c>
      <c r="J3046" t="str">
        <f>IFERROR(__xludf.DUMMYFUNCTION("IFS(
  AND(REGEXMATCH(E3046, ""台銀籌備帳戶|玉山帳戶""), REGEXMATCH(C3046, ""薪資"")), ""分潤支出"",
  AND(REGEXMATCH(E3046, ""Ben帳戶|Elsa帳戶|Ben代墊|Ariel代墊|中信銀行共用""), REGEXMATCH(F3046, ""Ben帳戶|Elsa帳戶|Ben代墊|Ariel代墊|中信銀行共用"")), ""內部轉帳(忽略)"",
  AND(E3046&lt;&gt;"""", F3046&lt;&gt;"""", N"&amp;"OT(REGEXMATCH(C3046, ""薪資""))), ""內部轉帳(忽略)"",
  REGEXMATCH(C3046, ""薪資""), ""薪資變動(不計入)"",
  REGEXMATCH(C3046, ""押金""), ""押金往來"",
  AND(E3046&lt;&gt;"""", F3046=""""), ""真實支出"",
  AND(E3046="""", F3046&lt;&gt;""""), ""真實收入"",
  TRUE, ""其他""
)"),"真實收入")</f>
        <v>真實收入</v>
      </c>
      <c r="K3046" s="270">
        <f t="shared" si="2"/>
        <v>17200</v>
      </c>
      <c r="L3046">
        <f t="shared" si="3"/>
        <v>0</v>
      </c>
    </row>
    <row r="3047">
      <c r="A3047" s="107">
        <f>IFERROR(__xludf.DUMMYFUNCTION("""COMPUTED_VALUE"""),46022.0)</f>
        <v>46022</v>
      </c>
      <c r="B3047" t="str">
        <f>IFERROR(__xludf.DUMMYFUNCTION("""COMPUTED_VALUE"""),"[大湖山莊] C 月租金 後五碼:54655 (行號: 7)")</f>
        <v>[大湖山莊] C 月租金 後五碼:54655 (行號: 7)</v>
      </c>
      <c r="C3047" t="str">
        <f>IFERROR(__xludf.DUMMYFUNCTION("""COMPUTED_VALUE"""),"收入 - 租金")</f>
        <v>收入 - 租金</v>
      </c>
      <c r="D3047" s="270">
        <f>IFERROR(__xludf.DUMMYFUNCTION("""COMPUTED_VALUE"""),18800.0)</f>
        <v>18800</v>
      </c>
      <c r="F3047" t="str">
        <f>IFERROR(__xludf.DUMMYFUNCTION("""COMPUTED_VALUE"""),"台銀籌備帳戶")</f>
        <v>台銀籌備帳戶</v>
      </c>
      <c r="G3047" t="str">
        <f>IFERROR(__xludf.DUMMYFUNCTION("""COMPUTED_VALUE"""),"大湖山莊")</f>
        <v>大湖山莊</v>
      </c>
      <c r="H3047" s="106" t="str">
        <f t="shared" si="1"/>
        <v>2025-12</v>
      </c>
      <c r="I3047" s="271" t="str">
        <f>IFERROR(__xludf.DUMMYFUNCTION("""COMPUTED_VALUE"""),"貓狗企鵝")</f>
        <v>貓狗企鵝</v>
      </c>
      <c r="J3047" t="str">
        <f>IFERROR(__xludf.DUMMYFUNCTION("IFS(
  AND(REGEXMATCH(E3047, ""台銀籌備帳戶|玉山帳戶""), REGEXMATCH(C3047, ""薪資"")), ""分潤支出"",
  AND(REGEXMATCH(E3047, ""Ben帳戶|Elsa帳戶|Ben代墊|Ariel代墊|中信銀行共用""), REGEXMATCH(F3047, ""Ben帳戶|Elsa帳戶|Ben代墊|Ariel代墊|中信銀行共用"")), ""內部轉帳(忽略)"",
  AND(E3047&lt;&gt;"""", F3047&lt;&gt;"""", N"&amp;"OT(REGEXMATCH(C3047, ""薪資""))), ""內部轉帳(忽略)"",
  REGEXMATCH(C3047, ""薪資""), ""薪資變動(不計入)"",
  REGEXMATCH(C3047, ""押金""), ""押金往來"",
  AND(E3047&lt;&gt;"""", F3047=""""), ""真實支出"",
  AND(E3047="""", F3047&lt;&gt;""""), ""真實收入"",
  TRUE, ""其他""
)"),"真實收入")</f>
        <v>真實收入</v>
      </c>
      <c r="K3047" s="270">
        <f t="shared" si="2"/>
        <v>18800</v>
      </c>
      <c r="L3047">
        <f t="shared" si="3"/>
        <v>0</v>
      </c>
    </row>
    <row r="3048">
      <c r="A3048" s="107">
        <f>IFERROR(__xludf.DUMMYFUNCTION("""COMPUTED_VALUE"""),46022.0)</f>
        <v>46022</v>
      </c>
      <c r="B3048" t="str">
        <f>IFERROR(__xludf.DUMMYFUNCTION("""COMPUTED_VALUE"""),"費用 - 匯費 822 (30547)")</f>
        <v>費用 - 匯費 822 (30547)</v>
      </c>
      <c r="C3048" t="str">
        <f>IFERROR(__xludf.DUMMYFUNCTION("""COMPUTED_VALUE"""),"費用 - 匯費")</f>
        <v>費用 - 匯費</v>
      </c>
      <c r="D3048" s="270">
        <f>IFERROR(__xludf.DUMMYFUNCTION("""COMPUTED_VALUE"""),-15.0)</f>
        <v>-15</v>
      </c>
      <c r="E3048" t="str">
        <f>IFERROR(__xludf.DUMMYFUNCTION("""COMPUTED_VALUE"""),"台銀籌備帳戶")</f>
        <v>台銀籌備帳戶</v>
      </c>
      <c r="H3048" s="106" t="str">
        <f t="shared" si="1"/>
        <v>2025-12</v>
      </c>
      <c r="I3048" s="271" t="str">
        <f>IFERROR(__xludf.DUMMYFUNCTION("""COMPUTED_VALUE"""),"貓狗企鵝")</f>
        <v>貓狗企鵝</v>
      </c>
      <c r="J3048" t="str">
        <f>IFERROR(__xludf.DUMMYFUNCTION("IFS(
  AND(REGEXMATCH(E3048, ""台銀籌備帳戶|玉山帳戶""), REGEXMATCH(C3048, ""薪資"")), ""分潤支出"",
  AND(REGEXMATCH(E3048, ""Ben帳戶|Elsa帳戶|Ben代墊|Ariel代墊|中信銀行共用""), REGEXMATCH(F3048, ""Ben帳戶|Elsa帳戶|Ben代墊|Ariel代墊|中信銀行共用"")), ""內部轉帳(忽略)"",
  AND(E3048&lt;&gt;"""", F3048&lt;&gt;"""", N"&amp;"OT(REGEXMATCH(C3048, ""薪資""))), ""內部轉帳(忽略)"",
  REGEXMATCH(C3048, ""薪資""), ""薪資變動(不計入)"",
  REGEXMATCH(C3048, ""押金""), ""押金往來"",
  AND(E3048&lt;&gt;"""", F3048=""""), ""真實支出"",
  AND(E3048="""", F3048&lt;&gt;""""), ""真實收入"",
  TRUE, ""其他""
)"),"真實支出")</f>
        <v>真實支出</v>
      </c>
      <c r="K3048" s="270">
        <f t="shared" si="2"/>
        <v>-15</v>
      </c>
      <c r="L3048">
        <f t="shared" si="3"/>
        <v>0</v>
      </c>
    </row>
    <row r="3049">
      <c r="A3049" s="107">
        <f>IFERROR(__xludf.DUMMYFUNCTION("""COMPUTED_VALUE"""),46022.0)</f>
        <v>46022</v>
      </c>
      <c r="B3049" t="str">
        <f>IFERROR(__xludf.DUMMYFUNCTION("""COMPUTED_VALUE"""),"火雞阿德 ' 【未分類支出】")</f>
        <v>火雞阿德 ' 【未分類支出】</v>
      </c>
      <c r="C3049" t="str">
        <f>IFERROR(__xludf.DUMMYFUNCTION("""COMPUTED_VALUE"""),"費用 - 人力成本")</f>
        <v>費用 - 人力成本</v>
      </c>
      <c r="D3049" s="270">
        <f>IFERROR(__xludf.DUMMYFUNCTION("""COMPUTED_VALUE"""),-17609.0)</f>
        <v>-17609</v>
      </c>
      <c r="E3049" t="str">
        <f>IFERROR(__xludf.DUMMYFUNCTION("""COMPUTED_VALUE"""),"台銀籌備帳戶")</f>
        <v>台銀籌備帳戶</v>
      </c>
      <c r="H3049" s="106" t="str">
        <f t="shared" si="1"/>
        <v>2025-12</v>
      </c>
      <c r="I3049" s="271" t="str">
        <f>IFERROR(__xludf.DUMMYFUNCTION("""COMPUTED_VALUE"""),"貓狗企鵝")</f>
        <v>貓狗企鵝</v>
      </c>
      <c r="J3049" t="str">
        <f>IFERROR(__xludf.DUMMYFUNCTION("IFS(
  AND(REGEXMATCH(E3049, ""台銀籌備帳戶|玉山帳戶""), REGEXMATCH(C3049, ""薪資"")), ""分潤支出"",
  AND(REGEXMATCH(E3049, ""Ben帳戶|Elsa帳戶|Ben代墊|Ariel代墊|中信銀行共用""), REGEXMATCH(F3049, ""Ben帳戶|Elsa帳戶|Ben代墊|Ariel代墊|中信銀行共用"")), ""內部轉帳(忽略)"",
  AND(E3049&lt;&gt;"""", F3049&lt;&gt;"""", N"&amp;"OT(REGEXMATCH(C3049, ""薪資""))), ""內部轉帳(忽略)"",
  REGEXMATCH(C3049, ""薪資""), ""薪資變動(不計入)"",
  REGEXMATCH(C3049, ""押金""), ""押金往來"",
  AND(E3049&lt;&gt;"""", F3049=""""), ""真實支出"",
  AND(E3049="""", F3049&lt;&gt;""""), ""真實收入"",
  TRUE, ""其他""
)"),"真實支出")</f>
        <v>真實支出</v>
      </c>
      <c r="K3049" s="270">
        <f t="shared" si="2"/>
        <v>-17609</v>
      </c>
      <c r="L3049">
        <f t="shared" si="3"/>
        <v>0</v>
      </c>
    </row>
    <row r="3050">
      <c r="A3050" s="107">
        <f>IFERROR(__xludf.DUMMYFUNCTION("""COMPUTED_VALUE"""),46022.0)</f>
        <v>46022</v>
      </c>
      <c r="B3050" t="str">
        <f>IFERROR(__xludf.DUMMYFUNCTION("""COMPUTED_VALUE"""),"822A078XXXX58807 004952093' 【北醫RoomA 後五碼:58807】")</f>
        <v>822A078XXXX58807 004952093' 【北醫RoomA 後五碼:58807】</v>
      </c>
      <c r="C3050" t="str">
        <f>IFERROR(__xludf.DUMMYFUNCTION("""COMPUTED_VALUE"""),"收入 - 租金")</f>
        <v>收入 - 租金</v>
      </c>
      <c r="D3050" s="270">
        <f>IFERROR(__xludf.DUMMYFUNCTION("""COMPUTED_VALUE"""),13000.0)</f>
        <v>13000</v>
      </c>
      <c r="F3050" t="str">
        <f>IFERROR(__xludf.DUMMYFUNCTION("""COMPUTED_VALUE"""),"台銀籌備帳戶")</f>
        <v>台銀籌備帳戶</v>
      </c>
      <c r="G3050" t="str">
        <f>IFERROR(__xludf.DUMMYFUNCTION("""COMPUTED_VALUE"""),"北醫醫師府")</f>
        <v>北醫醫師府</v>
      </c>
      <c r="H3050" s="106" t="str">
        <f t="shared" si="1"/>
        <v>2025-12</v>
      </c>
      <c r="I3050" s="271" t="str">
        <f>IFERROR(__xludf.DUMMYFUNCTION("""COMPUTED_VALUE"""),"貓狗企鵝")</f>
        <v>貓狗企鵝</v>
      </c>
      <c r="J3050" t="str">
        <f>IFERROR(__xludf.DUMMYFUNCTION("IFS(
  AND(REGEXMATCH(E3050, ""台銀籌備帳戶|玉山帳戶""), REGEXMATCH(C3050, ""薪資"")), ""分潤支出"",
  AND(REGEXMATCH(E3050, ""Ben帳戶|Elsa帳戶|Ben代墊|Ariel代墊|中信銀行共用""), REGEXMATCH(F3050, ""Ben帳戶|Elsa帳戶|Ben代墊|Ariel代墊|中信銀行共用"")), ""內部轉帳(忽略)"",
  AND(E3050&lt;&gt;"""", F3050&lt;&gt;"""", N"&amp;"OT(REGEXMATCH(C3050, ""薪資""))), ""內部轉帳(忽略)"",
  REGEXMATCH(C3050, ""薪資""), ""薪資變動(不計入)"",
  REGEXMATCH(C3050, ""押金""), ""押金往來"",
  AND(E3050&lt;&gt;"""", F3050=""""), ""真實支出"",
  AND(E3050="""", F3050&lt;&gt;""""), ""真實收入"",
  TRUE, ""其他""
)"),"真實收入")</f>
        <v>真實收入</v>
      </c>
      <c r="K3050" s="270">
        <f t="shared" si="2"/>
        <v>13000</v>
      </c>
      <c r="L3050">
        <f t="shared" si="3"/>
        <v>0</v>
      </c>
    </row>
    <row r="3051">
      <c r="A3051" s="107">
        <f>IFERROR(__xludf.DUMMYFUNCTION("""COMPUTED_VALUE"""),46022.0)</f>
        <v>46022</v>
      </c>
      <c r="B3051" t="str">
        <f>IFERROR(__xludf.DUMMYFUNCTION("""COMPUTED_VALUE"""),"費用 - 匯費 012 (22931)")</f>
        <v>費用 - 匯費 012 (22931)</v>
      </c>
      <c r="C3051" t="str">
        <f>IFERROR(__xludf.DUMMYFUNCTION("""COMPUTED_VALUE"""),"費用 - 匯費")</f>
        <v>費用 - 匯費</v>
      </c>
      <c r="D3051" s="270">
        <f>IFERROR(__xludf.DUMMYFUNCTION("""COMPUTED_VALUE"""),-15.0)</f>
        <v>-15</v>
      </c>
      <c r="E3051" t="str">
        <f>IFERROR(__xludf.DUMMYFUNCTION("""COMPUTED_VALUE"""),"台銀籌備帳戶")</f>
        <v>台銀籌備帳戶</v>
      </c>
      <c r="H3051" s="106" t="str">
        <f t="shared" si="1"/>
        <v>2025-12</v>
      </c>
      <c r="I3051" s="271" t="str">
        <f>IFERROR(__xludf.DUMMYFUNCTION("""COMPUTED_VALUE"""),"貓狗企鵝")</f>
        <v>貓狗企鵝</v>
      </c>
      <c r="J3051" t="str">
        <f>IFERROR(__xludf.DUMMYFUNCTION("IFS(
  AND(REGEXMATCH(E3051, ""台銀籌備帳戶|玉山帳戶""), REGEXMATCH(C3051, ""薪資"")), ""分潤支出"",
  AND(REGEXMATCH(E3051, ""Ben帳戶|Elsa帳戶|Ben代墊|Ariel代墊|中信銀行共用""), REGEXMATCH(F3051, ""Ben帳戶|Elsa帳戶|Ben代墊|Ariel代墊|中信銀行共用"")), ""內部轉帳(忽略)"",
  AND(E3051&lt;&gt;"""", F3051&lt;&gt;"""", N"&amp;"OT(REGEXMATCH(C3051, ""薪資""))), ""內部轉帳(忽略)"",
  REGEXMATCH(C3051, ""薪資""), ""薪資變動(不計入)"",
  REGEXMATCH(C3051, ""押金""), ""押金往來"",
  AND(E3051&lt;&gt;"""", F3051=""""), ""真實支出"",
  AND(E3051="""", F3051&lt;&gt;""""), ""真實收入"",
  TRUE, ""其他""
)"),"真實支出")</f>
        <v>真實支出</v>
      </c>
      <c r="K3051" s="270">
        <f t="shared" si="2"/>
        <v>-15</v>
      </c>
      <c r="L3051">
        <f t="shared" si="3"/>
        <v>0</v>
      </c>
    </row>
    <row r="3052">
      <c r="A3052" s="107">
        <f>IFERROR(__xludf.DUMMYFUNCTION("""COMPUTED_VALUE"""),46022.0)</f>
        <v>46022</v>
      </c>
      <c r="B3052" t="str">
        <f>IFERROR(__xludf.DUMMYFUNCTION("""COMPUTED_VALUE"""),"Assari床德行 ' 【未分類支出】")</f>
        <v>Assari床德行 ' 【未分類支出】</v>
      </c>
      <c r="C3052" t="str">
        <f>IFERROR(__xludf.DUMMYFUNCTION("""COMPUTED_VALUE"""),"成本 - 進場前裝潢費")</f>
        <v>成本 - 進場前裝潢費</v>
      </c>
      <c r="D3052" s="270">
        <f>IFERROR(__xludf.DUMMYFUNCTION("""COMPUTED_VALUE"""),-45000.0)</f>
        <v>-45000</v>
      </c>
      <c r="E3052" t="str">
        <f>IFERROR(__xludf.DUMMYFUNCTION("""COMPUTED_VALUE"""),"台銀籌備帳戶")</f>
        <v>台銀籌備帳戶</v>
      </c>
      <c r="G3052" t="str">
        <f>IFERROR(__xludf.DUMMYFUNCTION("""COMPUTED_VALUE"""),"天母搜狗")</f>
        <v>天母搜狗</v>
      </c>
      <c r="H3052" s="106" t="str">
        <f t="shared" si="1"/>
        <v>2025-12</v>
      </c>
      <c r="I3052" s="271" t="str">
        <f>IFERROR(__xludf.DUMMYFUNCTION("""COMPUTED_VALUE"""),"貓狗企鵝")</f>
        <v>貓狗企鵝</v>
      </c>
      <c r="J3052" t="str">
        <f>IFERROR(__xludf.DUMMYFUNCTION("IFS(
  AND(REGEXMATCH(E3052, ""台銀籌備帳戶|玉山帳戶""), REGEXMATCH(C3052, ""薪資"")), ""分潤支出"",
  AND(REGEXMATCH(E3052, ""Ben帳戶|Elsa帳戶|Ben代墊|Ariel代墊|中信銀行共用""), REGEXMATCH(F3052, ""Ben帳戶|Elsa帳戶|Ben代墊|Ariel代墊|中信銀行共用"")), ""內部轉帳(忽略)"",
  AND(E3052&lt;&gt;"""", F3052&lt;&gt;"""", N"&amp;"OT(REGEXMATCH(C3052, ""薪資""))), ""內部轉帳(忽略)"",
  REGEXMATCH(C3052, ""薪資""), ""薪資變動(不計入)"",
  REGEXMATCH(C3052, ""押金""), ""押金往來"",
  AND(E3052&lt;&gt;"""", F3052=""""), ""真實支出"",
  AND(E3052="""", F3052&lt;&gt;""""), ""真實收入"",
  TRUE, ""其他""
)"),"真實支出")</f>
        <v>真實支出</v>
      </c>
      <c r="K3052" s="270">
        <f t="shared" si="2"/>
        <v>-45000</v>
      </c>
      <c r="L3052">
        <f t="shared" si="3"/>
        <v>0</v>
      </c>
    </row>
    <row r="3053">
      <c r="A3053" s="107">
        <f>IFERROR(__xludf.DUMMYFUNCTION("""COMPUTED_VALUE"""),46022.0)</f>
        <v>46022</v>
      </c>
      <c r="B3053" t="str">
        <f>IFERROR(__xludf.DUMMYFUNCTION("""COMPUTED_VALUE"""),"[大湖山莊] B 月租金 後五碼:94943 (行號: 11)")</f>
        <v>[大湖山莊] B 月租金 後五碼:94943 (行號: 11)</v>
      </c>
      <c r="C3053" t="str">
        <f>IFERROR(__xludf.DUMMYFUNCTION("""COMPUTED_VALUE"""),"收入 - 租金")</f>
        <v>收入 - 租金</v>
      </c>
      <c r="D3053" s="270">
        <f>IFERROR(__xludf.DUMMYFUNCTION("""COMPUTED_VALUE"""),12000.0)</f>
        <v>12000</v>
      </c>
      <c r="F3053" t="str">
        <f>IFERROR(__xludf.DUMMYFUNCTION("""COMPUTED_VALUE"""),"台銀籌備帳戶")</f>
        <v>台銀籌備帳戶</v>
      </c>
      <c r="G3053" t="str">
        <f>IFERROR(__xludf.DUMMYFUNCTION("""COMPUTED_VALUE"""),"大湖山莊")</f>
        <v>大湖山莊</v>
      </c>
      <c r="H3053" s="106" t="str">
        <f t="shared" si="1"/>
        <v>2025-12</v>
      </c>
      <c r="I3053" s="271" t="str">
        <f>IFERROR(__xludf.DUMMYFUNCTION("""COMPUTED_VALUE"""),"貓狗企鵝")</f>
        <v>貓狗企鵝</v>
      </c>
      <c r="J3053" t="str">
        <f>IFERROR(__xludf.DUMMYFUNCTION("IFS(
  AND(REGEXMATCH(E3053, ""台銀籌備帳戶|玉山帳戶""), REGEXMATCH(C3053, ""薪資"")), ""分潤支出"",
  AND(REGEXMATCH(E3053, ""Ben帳戶|Elsa帳戶|Ben代墊|Ariel代墊|中信銀行共用""), REGEXMATCH(F3053, ""Ben帳戶|Elsa帳戶|Ben代墊|Ariel代墊|中信銀行共用"")), ""內部轉帳(忽略)"",
  AND(E3053&lt;&gt;"""", F3053&lt;&gt;"""", N"&amp;"OT(REGEXMATCH(C3053, ""薪資""))), ""內部轉帳(忽略)"",
  REGEXMATCH(C3053, ""薪資""), ""薪資變動(不計入)"",
  REGEXMATCH(C3053, ""押金""), ""押金往來"",
  AND(E3053&lt;&gt;"""", F3053=""""), ""真實支出"",
  AND(E3053="""", F3053&lt;&gt;""""), ""真實收入"",
  TRUE, ""其他""
)"),"真實收入")</f>
        <v>真實收入</v>
      </c>
      <c r="K3053" s="270">
        <f t="shared" si="2"/>
        <v>12000</v>
      </c>
      <c r="L3053">
        <f t="shared" si="3"/>
        <v>0</v>
      </c>
    </row>
    <row r="3054">
      <c r="A3054" s="107">
        <f>IFERROR(__xludf.DUMMYFUNCTION("""COMPUTED_VALUE"""),46022.0)</f>
        <v>46022</v>
      </c>
      <c r="B3054" t="str">
        <f>IFERROR(__xludf.DUMMYFUNCTION("""COMPUTED_VALUE"""),"822A045XXXX30547 0NETB0001' 【不明收入 後五碼:30547】 (行號: 12)")</f>
        <v>822A045XXXX30547 0NETB0001' 【不明收入 後五碼:30547】 (行號: 12)</v>
      </c>
      <c r="D3054" s="270">
        <f>IFERROR(__xludf.DUMMYFUNCTION("""COMPUTED_VALUE"""),3900.0)</f>
        <v>3900</v>
      </c>
      <c r="F3054" t="str">
        <f>IFERROR(__xludf.DUMMYFUNCTION("""COMPUTED_VALUE"""),"台銀籌備帳戶")</f>
        <v>台銀籌備帳戶</v>
      </c>
      <c r="H3054" s="106" t="str">
        <f t="shared" si="1"/>
        <v>2025-12</v>
      </c>
      <c r="I3054" s="271" t="str">
        <f>IFERROR(__xludf.DUMMYFUNCTION("""COMPUTED_VALUE"""),"貓狗企鵝")</f>
        <v>貓狗企鵝</v>
      </c>
      <c r="J3054" t="str">
        <f>IFERROR(__xludf.DUMMYFUNCTION("IFS(
  AND(REGEXMATCH(E3054, ""台銀籌備帳戶|玉山帳戶""), REGEXMATCH(C3054, ""薪資"")), ""分潤支出"",
  AND(REGEXMATCH(E3054, ""Ben帳戶|Elsa帳戶|Ben代墊|Ariel代墊|中信銀行共用""), REGEXMATCH(F3054, ""Ben帳戶|Elsa帳戶|Ben代墊|Ariel代墊|中信銀行共用"")), ""內部轉帳(忽略)"",
  AND(E3054&lt;&gt;"""", F3054&lt;&gt;"""", N"&amp;"OT(REGEXMATCH(C3054, ""薪資""))), ""內部轉帳(忽略)"",
  REGEXMATCH(C3054, ""薪資""), ""薪資變動(不計入)"",
  REGEXMATCH(C3054, ""押金""), ""押金往來"",
  AND(E3054&lt;&gt;"""", F3054=""""), ""真實支出"",
  AND(E3054="""", F3054&lt;&gt;""""), ""真實收入"",
  TRUE, ""其他""
)"),"真實收入")</f>
        <v>真實收入</v>
      </c>
      <c r="K3054" s="270">
        <f t="shared" si="2"/>
        <v>3900</v>
      </c>
      <c r="L3054">
        <f t="shared" si="3"/>
        <v>0</v>
      </c>
    </row>
    <row r="3055">
      <c r="A3055" s="107">
        <f>IFERROR(__xludf.DUMMYFUNCTION("""COMPUTED_VALUE"""),46022.0)</f>
        <v>46022</v>
      </c>
      <c r="B3055" t="str">
        <f>IFERROR(__xludf.DUMMYFUNCTION("""COMPUTED_VALUE"""),"[南港站挑高宅] C 月租金 後五碼:15812 (行號: 13)")</f>
        <v>[南港站挑高宅] C 月租金 後五碼:15812 (行號: 13)</v>
      </c>
      <c r="C3055" t="str">
        <f>IFERROR(__xludf.DUMMYFUNCTION("""COMPUTED_VALUE"""),"收入 - 租金")</f>
        <v>收入 - 租金</v>
      </c>
      <c r="D3055" s="270">
        <f>IFERROR(__xludf.DUMMYFUNCTION("""COMPUTED_VALUE"""),15000.0)</f>
        <v>15000</v>
      </c>
      <c r="F3055" t="str">
        <f>IFERROR(__xludf.DUMMYFUNCTION("""COMPUTED_VALUE"""),"台銀籌備帳戶")</f>
        <v>台銀籌備帳戶</v>
      </c>
      <c r="G3055" t="str">
        <f>IFERROR(__xludf.DUMMYFUNCTION("""COMPUTED_VALUE"""),"南港站挑高宅")</f>
        <v>南港站挑高宅</v>
      </c>
      <c r="H3055" s="106" t="str">
        <f t="shared" si="1"/>
        <v>2025-12</v>
      </c>
      <c r="I3055" s="271" t="str">
        <f>IFERROR(__xludf.DUMMYFUNCTION("""COMPUTED_VALUE"""),"貓狗企鵝")</f>
        <v>貓狗企鵝</v>
      </c>
      <c r="J3055" t="str">
        <f>IFERROR(__xludf.DUMMYFUNCTION("IFS(
  AND(REGEXMATCH(E3055, ""台銀籌備帳戶|玉山帳戶""), REGEXMATCH(C3055, ""薪資"")), ""分潤支出"",
  AND(REGEXMATCH(E3055, ""Ben帳戶|Elsa帳戶|Ben代墊|Ariel代墊|中信銀行共用""), REGEXMATCH(F3055, ""Ben帳戶|Elsa帳戶|Ben代墊|Ariel代墊|中信銀行共用"")), ""內部轉帳(忽略)"",
  AND(E3055&lt;&gt;"""", F3055&lt;&gt;"""", N"&amp;"OT(REGEXMATCH(C3055, ""薪資""))), ""內部轉帳(忽略)"",
  REGEXMATCH(C3055, ""薪資""), ""薪資變動(不計入)"",
  REGEXMATCH(C3055, ""押金""), ""押金往來"",
  AND(E3055&lt;&gt;"""", F3055=""""), ""真實支出"",
  AND(E3055="""", F3055&lt;&gt;""""), ""真實收入"",
  TRUE, ""其他""
)"),"真實收入")</f>
        <v>真實收入</v>
      </c>
      <c r="K3055" s="270">
        <f t="shared" si="2"/>
        <v>15000</v>
      </c>
      <c r="L3055">
        <f t="shared" si="3"/>
        <v>0</v>
      </c>
    </row>
    <row r="3056">
      <c r="A3056" s="107">
        <f>IFERROR(__xludf.DUMMYFUNCTION("""COMPUTED_VALUE"""),46022.0)</f>
        <v>46022</v>
      </c>
      <c r="B3056" t="str">
        <f>IFERROR(__xludf.DUMMYFUNCTION("""COMPUTED_VALUE"""),"[南港站挑高宅] A 月租金 後五碼:15361 (行號: 14)")</f>
        <v>[南港站挑高宅] A 月租金 後五碼:15361 (行號: 14)</v>
      </c>
      <c r="C3056" t="str">
        <f>IFERROR(__xludf.DUMMYFUNCTION("""COMPUTED_VALUE"""),"收入 - 租金")</f>
        <v>收入 - 租金</v>
      </c>
      <c r="D3056" s="270">
        <f>IFERROR(__xludf.DUMMYFUNCTION("""COMPUTED_VALUE"""),13000.0)</f>
        <v>13000</v>
      </c>
      <c r="F3056" t="str">
        <f>IFERROR(__xludf.DUMMYFUNCTION("""COMPUTED_VALUE"""),"台銀籌備帳戶")</f>
        <v>台銀籌備帳戶</v>
      </c>
      <c r="G3056" t="str">
        <f>IFERROR(__xludf.DUMMYFUNCTION("""COMPUTED_VALUE"""),"南港站挑高宅")</f>
        <v>南港站挑高宅</v>
      </c>
      <c r="H3056" s="106" t="str">
        <f t="shared" si="1"/>
        <v>2025-12</v>
      </c>
      <c r="I3056" s="271" t="str">
        <f>IFERROR(__xludf.DUMMYFUNCTION("""COMPUTED_VALUE"""),"貓狗企鵝")</f>
        <v>貓狗企鵝</v>
      </c>
      <c r="J3056" t="str">
        <f>IFERROR(__xludf.DUMMYFUNCTION("IFS(
  AND(REGEXMATCH(E3056, ""台銀籌備帳戶|玉山帳戶""), REGEXMATCH(C3056, ""薪資"")), ""分潤支出"",
  AND(REGEXMATCH(E3056, ""Ben帳戶|Elsa帳戶|Ben代墊|Ariel代墊|中信銀行共用""), REGEXMATCH(F3056, ""Ben帳戶|Elsa帳戶|Ben代墊|Ariel代墊|中信銀行共用"")), ""內部轉帳(忽略)"",
  AND(E3056&lt;&gt;"""", F3056&lt;&gt;"""", N"&amp;"OT(REGEXMATCH(C3056, ""薪資""))), ""內部轉帳(忽略)"",
  REGEXMATCH(C3056, ""薪資""), ""薪資變動(不計入)"",
  REGEXMATCH(C3056, ""押金""), ""押金往來"",
  AND(E3056&lt;&gt;"""", F3056=""""), ""真實支出"",
  AND(E3056="""", F3056&lt;&gt;""""), ""真實收入"",
  TRUE, ""其他""
)"),"真實收入")</f>
        <v>真實收入</v>
      </c>
      <c r="K3056" s="270">
        <f t="shared" si="2"/>
        <v>13000</v>
      </c>
      <c r="L3056">
        <f t="shared" si="3"/>
        <v>0</v>
      </c>
    </row>
    <row r="3057">
      <c r="A3057" s="107">
        <f>IFERROR(__xludf.DUMMYFUNCTION("""COMPUTED_VALUE"""),46023.0)</f>
        <v>46023</v>
      </c>
      <c r="B3057" t="str">
        <f>IFERROR(__xludf.DUMMYFUNCTION("""COMPUTED_VALUE"""),"李宜蓁妥妥租中山北Feli家C")</f>
        <v>李宜蓁妥妥租中山北Feli家C</v>
      </c>
      <c r="C3057" t="str">
        <f>IFERROR(__xludf.DUMMYFUNCTION("""COMPUTED_VALUE"""),"收入 - 租金")</f>
        <v>收入 - 租金</v>
      </c>
      <c r="D3057" s="270">
        <f>IFERROR(__xludf.DUMMYFUNCTION("""COMPUTED_VALUE"""),11500.0)</f>
        <v>11500</v>
      </c>
      <c r="F3057" t="str">
        <f>IFERROR(__xludf.DUMMYFUNCTION("""COMPUTED_VALUE"""),"台銀籌備帳戶")</f>
        <v>台銀籌備帳戶</v>
      </c>
      <c r="G3057" t="str">
        <f>IFERROR(__xludf.DUMMYFUNCTION("""COMPUTED_VALUE"""),"中山北Feli家")</f>
        <v>中山北Feli家</v>
      </c>
      <c r="H3057" s="106" t="str">
        <f t="shared" si="1"/>
        <v>2026-01</v>
      </c>
      <c r="I3057" s="271" t="str">
        <f>IFERROR(__xludf.DUMMYFUNCTION("""COMPUTED_VALUE"""),"貓狗企鵝")</f>
        <v>貓狗企鵝</v>
      </c>
      <c r="J3057" t="str">
        <f>IFERROR(__xludf.DUMMYFUNCTION("IFS(
  AND(REGEXMATCH(E3057, ""台銀籌備帳戶|玉山帳戶""), REGEXMATCH(C3057, ""薪資"")), ""分潤支出"",
  AND(REGEXMATCH(E3057, ""Ben帳戶|Elsa帳戶|Ben代墊|Ariel代墊|中信銀行共用""), REGEXMATCH(F3057, ""Ben帳戶|Elsa帳戶|Ben代墊|Ariel代墊|中信銀行共用"")), ""內部轉帳(忽略)"",
  AND(E3057&lt;&gt;"""", F3057&lt;&gt;"""", N"&amp;"OT(REGEXMATCH(C3057, ""薪資""))), ""內部轉帳(忽略)"",
  REGEXMATCH(C3057, ""薪資""), ""薪資變動(不計入)"",
  REGEXMATCH(C3057, ""押金""), ""押金往來"",
  AND(E3057&lt;&gt;"""", F3057=""""), ""真實支出"",
  AND(E3057="""", F3057&lt;&gt;""""), ""真實收入"",
  TRUE, ""其他""
)"),"真實收入")</f>
        <v>真實收入</v>
      </c>
      <c r="K3057" s="270">
        <f t="shared" si="2"/>
        <v>11500</v>
      </c>
      <c r="L3057">
        <f t="shared" si="3"/>
        <v>0</v>
      </c>
    </row>
    <row r="3058">
      <c r="A3058" s="107">
        <f>IFERROR(__xludf.DUMMYFUNCTION("""COMPUTED_VALUE"""),46023.0)</f>
        <v>46023</v>
      </c>
      <c r="B3058" t="str">
        <f>IFERROR(__xludf.DUMMYFUNCTION("""COMPUTED_VALUE"""),"[南港站挑高宅] [林淑華] 大租金")</f>
        <v>[南港站挑高宅] [林淑華] 大租金</v>
      </c>
      <c r="C3058" t="str">
        <f>IFERROR(__xludf.DUMMYFUNCTION("""COMPUTED_VALUE"""),"成本 - 大租金")</f>
        <v>成本 - 大租金</v>
      </c>
      <c r="D3058" s="270">
        <f>IFERROR(__xludf.DUMMYFUNCTION("""COMPUTED_VALUE"""),-18250.0)</f>
        <v>-18250</v>
      </c>
      <c r="E3058" t="str">
        <f>IFERROR(__xludf.DUMMYFUNCTION("""COMPUTED_VALUE"""),"台銀籌備帳戶")</f>
        <v>台銀籌備帳戶</v>
      </c>
      <c r="G3058" t="str">
        <f>IFERROR(__xludf.DUMMYFUNCTION("""COMPUTED_VALUE"""),"南港站挑高宅")</f>
        <v>南港站挑高宅</v>
      </c>
      <c r="H3058" s="106" t="str">
        <f t="shared" si="1"/>
        <v>2026-01</v>
      </c>
      <c r="I3058" s="271" t="str">
        <f>IFERROR(__xludf.DUMMYFUNCTION("""COMPUTED_VALUE"""),"貓狗企鵝")</f>
        <v>貓狗企鵝</v>
      </c>
      <c r="J3058" t="str">
        <f>IFERROR(__xludf.DUMMYFUNCTION("IFS(
  AND(REGEXMATCH(E3058, ""台銀籌備帳戶|玉山帳戶""), REGEXMATCH(C3058, ""薪資"")), ""分潤支出"",
  AND(REGEXMATCH(E3058, ""Ben帳戶|Elsa帳戶|Ben代墊|Ariel代墊|中信銀行共用""), REGEXMATCH(F3058, ""Ben帳戶|Elsa帳戶|Ben代墊|Ariel代墊|中信銀行共用"")), ""內部轉帳(忽略)"",
  AND(E3058&lt;&gt;"""", F3058&lt;&gt;"""", N"&amp;"OT(REGEXMATCH(C3058, ""薪資""))), ""內部轉帳(忽略)"",
  REGEXMATCH(C3058, ""薪資""), ""薪資變動(不計入)"",
  REGEXMATCH(C3058, ""押金""), ""押金往來"",
  AND(E3058&lt;&gt;"""", F3058=""""), ""真實支出"",
  AND(E3058="""", F3058&lt;&gt;""""), ""真實收入"",
  TRUE, ""其他""
)"),"真實支出")</f>
        <v>真實支出</v>
      </c>
      <c r="K3058" s="270">
        <f t="shared" si="2"/>
        <v>-18250</v>
      </c>
      <c r="L3058">
        <f t="shared" si="3"/>
        <v>0</v>
      </c>
    </row>
    <row r="3059">
      <c r="A3059" s="107">
        <f>IFERROR(__xludf.DUMMYFUNCTION("""COMPUTED_VALUE"""),46023.0)</f>
        <v>46023</v>
      </c>
      <c r="B3059" t="str">
        <f>IFERROR(__xludf.DUMMYFUNCTION("""COMPUTED_VALUE"""),"[哈拉對面] B 月租金 後五碼:79539 (行號: 17)")</f>
        <v>[哈拉對面] B 月租金 後五碼:79539 (行號: 17)</v>
      </c>
      <c r="C3059" t="str">
        <f>IFERROR(__xludf.DUMMYFUNCTION("""COMPUTED_VALUE"""),"收入 - 租金")</f>
        <v>收入 - 租金</v>
      </c>
      <c r="D3059" s="270">
        <f>IFERROR(__xludf.DUMMYFUNCTION("""COMPUTED_VALUE"""),15800.0)</f>
        <v>15800</v>
      </c>
      <c r="F3059" t="str">
        <f>IFERROR(__xludf.DUMMYFUNCTION("""COMPUTED_VALUE"""),"台銀籌備帳戶")</f>
        <v>台銀籌備帳戶</v>
      </c>
      <c r="G3059" t="str">
        <f>IFERROR(__xludf.DUMMYFUNCTION("""COMPUTED_VALUE"""),"哈拉對面")</f>
        <v>哈拉對面</v>
      </c>
      <c r="H3059" s="106" t="str">
        <f t="shared" si="1"/>
        <v>2026-01</v>
      </c>
      <c r="I3059" s="271" t="str">
        <f>IFERROR(__xludf.DUMMYFUNCTION("""COMPUTED_VALUE"""),"貓狗企鵝")</f>
        <v>貓狗企鵝</v>
      </c>
      <c r="J3059" t="str">
        <f>IFERROR(__xludf.DUMMYFUNCTION("IFS(
  AND(REGEXMATCH(E3059, ""台銀籌備帳戶|玉山帳戶""), REGEXMATCH(C3059, ""薪資"")), ""分潤支出"",
  AND(REGEXMATCH(E3059, ""Ben帳戶|Elsa帳戶|Ben代墊|Ariel代墊|中信銀行共用""), REGEXMATCH(F3059, ""Ben帳戶|Elsa帳戶|Ben代墊|Ariel代墊|中信銀行共用"")), ""內部轉帳(忽略)"",
  AND(E3059&lt;&gt;"""", F3059&lt;&gt;"""", N"&amp;"OT(REGEXMATCH(C3059, ""薪資""))), ""內部轉帳(忽略)"",
  REGEXMATCH(C3059, ""薪資""), ""薪資變動(不計入)"",
  REGEXMATCH(C3059, ""押金""), ""押金往來"",
  AND(E3059&lt;&gt;"""", F3059=""""), ""真實支出"",
  AND(E3059="""", F3059&lt;&gt;""""), ""真實收入"",
  TRUE, ""其他""
)"),"真實收入")</f>
        <v>真實收入</v>
      </c>
      <c r="K3059" s="270">
        <f t="shared" si="2"/>
        <v>15800</v>
      </c>
      <c r="L3059">
        <f t="shared" si="3"/>
        <v>0</v>
      </c>
    </row>
    <row r="3060">
      <c r="A3060" s="107">
        <f>IFERROR(__xludf.DUMMYFUNCTION("""COMPUTED_VALUE"""),46023.0)</f>
        <v>46023</v>
      </c>
      <c r="B3060" t="str">
        <f>IFERROR(__xludf.DUMMYFUNCTION("""COMPUTED_VALUE"""),"費用 - 匯費 012 (84509)")</f>
        <v>費用 - 匯費 012 (84509)</v>
      </c>
      <c r="C3060" t="str">
        <f>IFERROR(__xludf.DUMMYFUNCTION("""COMPUTED_VALUE"""),"費用 - 匯費")</f>
        <v>費用 - 匯費</v>
      </c>
      <c r="D3060" s="270">
        <f>IFERROR(__xludf.DUMMYFUNCTION("""COMPUTED_VALUE"""),-15.0)</f>
        <v>-15</v>
      </c>
      <c r="E3060" t="str">
        <f>IFERROR(__xludf.DUMMYFUNCTION("""COMPUTED_VALUE"""),"台銀籌備帳戶")</f>
        <v>台銀籌備帳戶</v>
      </c>
      <c r="H3060" s="106" t="str">
        <f t="shared" si="1"/>
        <v>2026-01</v>
      </c>
      <c r="I3060" s="271" t="str">
        <f>IFERROR(__xludf.DUMMYFUNCTION("""COMPUTED_VALUE"""),"貓狗企鵝")</f>
        <v>貓狗企鵝</v>
      </c>
      <c r="J3060" t="str">
        <f>IFERROR(__xludf.DUMMYFUNCTION("IFS(
  AND(REGEXMATCH(E3060, ""台銀籌備帳戶|玉山帳戶""), REGEXMATCH(C3060, ""薪資"")), ""分潤支出"",
  AND(REGEXMATCH(E3060, ""Ben帳戶|Elsa帳戶|Ben代墊|Ariel代墊|中信銀行共用""), REGEXMATCH(F3060, ""Ben帳戶|Elsa帳戶|Ben代墊|Ariel代墊|中信銀行共用"")), ""內部轉帳(忽略)"",
  AND(E3060&lt;&gt;"""", F3060&lt;&gt;"""", N"&amp;"OT(REGEXMATCH(C3060, ""薪資""))), ""內部轉帳(忽略)"",
  REGEXMATCH(C3060, ""薪資""), ""薪資變動(不計入)"",
  REGEXMATCH(C3060, ""押金""), ""押金往來"",
  AND(E3060&lt;&gt;"""", F3060=""""), ""真實支出"",
  AND(E3060="""", F3060&lt;&gt;""""), ""真實收入"",
  TRUE, ""其他""
)"),"真實支出")</f>
        <v>真實支出</v>
      </c>
      <c r="K3060" s="270">
        <f t="shared" si="2"/>
        <v>-15</v>
      </c>
      <c r="L3060">
        <f t="shared" si="3"/>
        <v>0</v>
      </c>
    </row>
    <row r="3061">
      <c r="A3061" s="107">
        <f>IFERROR(__xludf.DUMMYFUNCTION("""COMPUTED_VALUE"""),46023.0)</f>
        <v>46023</v>
      </c>
      <c r="B3061" t="str">
        <f>IFERROR(__xludf.DUMMYFUNCTION("""COMPUTED_VALUE"""),"[永春四號] [郭宗仁] 大租金")</f>
        <v>[永春四號] [郭宗仁] 大租金</v>
      </c>
      <c r="C3061" t="str">
        <f>IFERROR(__xludf.DUMMYFUNCTION("""COMPUTED_VALUE"""),"成本 - 大租金")</f>
        <v>成本 - 大租金</v>
      </c>
      <c r="D3061" s="270">
        <f>IFERROR(__xludf.DUMMYFUNCTION("""COMPUTED_VALUE"""),-17000.0)</f>
        <v>-17000</v>
      </c>
      <c r="E3061" t="str">
        <f>IFERROR(__xludf.DUMMYFUNCTION("""COMPUTED_VALUE"""),"台銀籌備帳戶")</f>
        <v>台銀籌備帳戶</v>
      </c>
      <c r="G3061" t="str">
        <f>IFERROR(__xludf.DUMMYFUNCTION("""COMPUTED_VALUE"""),"永春四號")</f>
        <v>永春四號</v>
      </c>
      <c r="H3061" s="106" t="str">
        <f t="shared" si="1"/>
        <v>2026-01</v>
      </c>
      <c r="I3061" s="271" t="str">
        <f>IFERROR(__xludf.DUMMYFUNCTION("""COMPUTED_VALUE"""),"貓狗企鵝")</f>
        <v>貓狗企鵝</v>
      </c>
      <c r="J3061" t="str">
        <f>IFERROR(__xludf.DUMMYFUNCTION("IFS(
  AND(REGEXMATCH(E3061, ""台銀籌備帳戶|玉山帳戶""), REGEXMATCH(C3061, ""薪資"")), ""分潤支出"",
  AND(REGEXMATCH(E3061, ""Ben帳戶|Elsa帳戶|Ben代墊|Ariel代墊|中信銀行共用""), REGEXMATCH(F3061, ""Ben帳戶|Elsa帳戶|Ben代墊|Ariel代墊|中信銀行共用"")), ""內部轉帳(忽略)"",
  AND(E3061&lt;&gt;"""", F3061&lt;&gt;"""", N"&amp;"OT(REGEXMATCH(C3061, ""薪資""))), ""內部轉帳(忽略)"",
  REGEXMATCH(C3061, ""薪資""), ""薪資變動(不計入)"",
  REGEXMATCH(C3061, ""押金""), ""押金往來"",
  AND(E3061&lt;&gt;"""", F3061=""""), ""真實支出"",
  AND(E3061="""", F3061&lt;&gt;""""), ""真實收入"",
  TRUE, ""其他""
)"),"真實支出")</f>
        <v>真實支出</v>
      </c>
      <c r="K3061" s="270">
        <f t="shared" si="2"/>
        <v>-17000</v>
      </c>
      <c r="L3061">
        <f t="shared" si="3"/>
        <v>0</v>
      </c>
    </row>
    <row r="3062">
      <c r="A3062" s="107">
        <f>IFERROR(__xludf.DUMMYFUNCTION("""COMPUTED_VALUE"""),46023.0)</f>
        <v>46023</v>
      </c>
      <c r="B3062" t="str">
        <f>IFERROR(__xludf.DUMMYFUNCTION("""COMPUTED_VALUE"""),"費用 - 匯費 700 (19509)")</f>
        <v>費用 - 匯費 700 (19509)</v>
      </c>
      <c r="C3062" t="str">
        <f>IFERROR(__xludf.DUMMYFUNCTION("""COMPUTED_VALUE"""),"費用 - 匯費")</f>
        <v>費用 - 匯費</v>
      </c>
      <c r="D3062" s="270">
        <f>IFERROR(__xludf.DUMMYFUNCTION("""COMPUTED_VALUE"""),-15.0)</f>
        <v>-15</v>
      </c>
      <c r="E3062" t="str">
        <f>IFERROR(__xludf.DUMMYFUNCTION("""COMPUTED_VALUE"""),"台銀籌備帳戶")</f>
        <v>台銀籌備帳戶</v>
      </c>
      <c r="H3062" s="106" t="str">
        <f t="shared" si="1"/>
        <v>2026-01</v>
      </c>
      <c r="I3062" s="271" t="str">
        <f>IFERROR(__xludf.DUMMYFUNCTION("""COMPUTED_VALUE"""),"貓狗企鵝")</f>
        <v>貓狗企鵝</v>
      </c>
      <c r="J3062" t="str">
        <f>IFERROR(__xludf.DUMMYFUNCTION("IFS(
  AND(REGEXMATCH(E3062, ""台銀籌備帳戶|玉山帳戶""), REGEXMATCH(C3062, ""薪資"")), ""分潤支出"",
  AND(REGEXMATCH(E3062, ""Ben帳戶|Elsa帳戶|Ben代墊|Ariel代墊|中信銀行共用""), REGEXMATCH(F3062, ""Ben帳戶|Elsa帳戶|Ben代墊|Ariel代墊|中信銀行共用"")), ""內部轉帳(忽略)"",
  AND(E3062&lt;&gt;"""", F3062&lt;&gt;"""", N"&amp;"OT(REGEXMATCH(C3062, ""薪資""))), ""內部轉帳(忽略)"",
  REGEXMATCH(C3062, ""薪資""), ""薪資變動(不計入)"",
  REGEXMATCH(C3062, ""押金""), ""押金往來"",
  AND(E3062&lt;&gt;"""", F3062=""""), ""真實支出"",
  AND(E3062="""", F3062&lt;&gt;""""), ""真實收入"",
  TRUE, ""其他""
)"),"真實支出")</f>
        <v>真實支出</v>
      </c>
      <c r="K3062" s="270">
        <f t="shared" si="2"/>
        <v>-15</v>
      </c>
      <c r="L3062">
        <f t="shared" si="3"/>
        <v>0</v>
      </c>
    </row>
    <row r="3063">
      <c r="A3063" s="107">
        <f>IFERROR(__xludf.DUMMYFUNCTION("""COMPUTED_VALUE"""),46023.0)</f>
        <v>46023</v>
      </c>
      <c r="B3063" t="str">
        <f>IFERROR(__xludf.DUMMYFUNCTION("""COMPUTED_VALUE"""),"[龍江229] [游為傑] 大租金")</f>
        <v>[龍江229] [游為傑] 大租金</v>
      </c>
      <c r="C3063" t="str">
        <f>IFERROR(__xludf.DUMMYFUNCTION("""COMPUTED_VALUE"""),"成本 - 大租金")</f>
        <v>成本 - 大租金</v>
      </c>
      <c r="D3063" s="270">
        <f>IFERROR(__xludf.DUMMYFUNCTION("""COMPUTED_VALUE"""),-13500.0)</f>
        <v>-13500</v>
      </c>
      <c r="E3063" t="str">
        <f>IFERROR(__xludf.DUMMYFUNCTION("""COMPUTED_VALUE"""),"台銀籌備帳戶")</f>
        <v>台銀籌備帳戶</v>
      </c>
      <c r="G3063" t="str">
        <f>IFERROR(__xludf.DUMMYFUNCTION("""COMPUTED_VALUE"""),"龍江229")</f>
        <v>龍江229</v>
      </c>
      <c r="H3063" s="106" t="str">
        <f t="shared" si="1"/>
        <v>2026-01</v>
      </c>
      <c r="I3063" s="271" t="str">
        <f>IFERROR(__xludf.DUMMYFUNCTION("""COMPUTED_VALUE"""),"貓狗企鵝")</f>
        <v>貓狗企鵝</v>
      </c>
      <c r="J3063" t="str">
        <f>IFERROR(__xludf.DUMMYFUNCTION("IFS(
  AND(REGEXMATCH(E3063, ""台銀籌備帳戶|玉山帳戶""), REGEXMATCH(C3063, ""薪資"")), ""分潤支出"",
  AND(REGEXMATCH(E3063, ""Ben帳戶|Elsa帳戶|Ben代墊|Ariel代墊|中信銀行共用""), REGEXMATCH(F3063, ""Ben帳戶|Elsa帳戶|Ben代墊|Ariel代墊|中信銀行共用"")), ""內部轉帳(忽略)"",
  AND(E3063&lt;&gt;"""", F3063&lt;&gt;"""", N"&amp;"OT(REGEXMATCH(C3063, ""薪資""))), ""內部轉帳(忽略)"",
  REGEXMATCH(C3063, ""薪資""), ""薪資變動(不計入)"",
  REGEXMATCH(C3063, ""押金""), ""押金往來"",
  AND(E3063&lt;&gt;"""", F3063=""""), ""真實支出"",
  AND(E3063="""", F3063&lt;&gt;""""), ""真實收入"",
  TRUE, ""其他""
)"),"真實支出")</f>
        <v>真實支出</v>
      </c>
      <c r="K3063" s="270">
        <f t="shared" si="2"/>
        <v>-13500</v>
      </c>
      <c r="L3063">
        <f t="shared" si="3"/>
        <v>0</v>
      </c>
    </row>
    <row r="3064">
      <c r="A3064" s="107">
        <f>IFERROR(__xludf.DUMMYFUNCTION("""COMPUTED_VALUE"""),46023.0)</f>
        <v>46023</v>
      </c>
      <c r="B3064" t="str">
        <f>IFERROR(__xludf.DUMMYFUNCTION("""COMPUTED_VALUE"""),"費用 - 匯費 012 (74779)")</f>
        <v>費用 - 匯費 012 (74779)</v>
      </c>
      <c r="C3064" t="str">
        <f>IFERROR(__xludf.DUMMYFUNCTION("""COMPUTED_VALUE"""),"費用 - 匯費")</f>
        <v>費用 - 匯費</v>
      </c>
      <c r="D3064" s="270">
        <f>IFERROR(__xludf.DUMMYFUNCTION("""COMPUTED_VALUE"""),-15.0)</f>
        <v>-15</v>
      </c>
      <c r="E3064" t="str">
        <f>IFERROR(__xludf.DUMMYFUNCTION("""COMPUTED_VALUE"""),"台銀籌備帳戶")</f>
        <v>台銀籌備帳戶</v>
      </c>
      <c r="H3064" s="106" t="str">
        <f t="shared" si="1"/>
        <v>2026-01</v>
      </c>
      <c r="I3064" s="271" t="str">
        <f>IFERROR(__xludf.DUMMYFUNCTION("""COMPUTED_VALUE"""),"貓狗企鵝")</f>
        <v>貓狗企鵝</v>
      </c>
      <c r="J3064" t="str">
        <f>IFERROR(__xludf.DUMMYFUNCTION("IFS(
  AND(REGEXMATCH(E3064, ""台銀籌備帳戶|玉山帳戶""), REGEXMATCH(C3064, ""薪資"")), ""分潤支出"",
  AND(REGEXMATCH(E3064, ""Ben帳戶|Elsa帳戶|Ben代墊|Ariel代墊|中信銀行共用""), REGEXMATCH(F3064, ""Ben帳戶|Elsa帳戶|Ben代墊|Ariel代墊|中信銀行共用"")), ""內部轉帳(忽略)"",
  AND(E3064&lt;&gt;"""", F3064&lt;&gt;"""", N"&amp;"OT(REGEXMATCH(C3064, ""薪資""))), ""內部轉帳(忽略)"",
  REGEXMATCH(C3064, ""薪資""), ""薪資變動(不計入)"",
  REGEXMATCH(C3064, ""押金""), ""押金往來"",
  AND(E3064&lt;&gt;"""", F3064=""""), ""真實支出"",
  AND(E3064="""", F3064&lt;&gt;""""), ""真實收入"",
  TRUE, ""其他""
)"),"真實支出")</f>
        <v>真實支出</v>
      </c>
      <c r="K3064" s="270">
        <f t="shared" si="2"/>
        <v>-15</v>
      </c>
      <c r="L3064">
        <f t="shared" si="3"/>
        <v>0</v>
      </c>
    </row>
    <row r="3065">
      <c r="A3065" s="107">
        <f>IFERROR(__xludf.DUMMYFUNCTION("""COMPUTED_VALUE"""),46023.0)</f>
        <v>46023</v>
      </c>
      <c r="B3065" t="str">
        <f>IFERROR(__xludf.DUMMYFUNCTION("""COMPUTED_VALUE"""),"[市府爺爺家] [常永年] 大租金")</f>
        <v>[市府爺爺家] [常永年] 大租金</v>
      </c>
      <c r="C3065" t="str">
        <f>IFERROR(__xludf.DUMMYFUNCTION("""COMPUTED_VALUE"""),"成本 - 大租金")</f>
        <v>成本 - 大租金</v>
      </c>
      <c r="D3065" s="270">
        <f>IFERROR(__xludf.DUMMYFUNCTION("""COMPUTED_VALUE"""),-12000.0)</f>
        <v>-12000</v>
      </c>
      <c r="E3065" t="str">
        <f>IFERROR(__xludf.DUMMYFUNCTION("""COMPUTED_VALUE"""),"台銀籌備帳戶")</f>
        <v>台銀籌備帳戶</v>
      </c>
      <c r="G3065" t="str">
        <f>IFERROR(__xludf.DUMMYFUNCTION("""COMPUTED_VALUE"""),"市府爺爺家")</f>
        <v>市府爺爺家</v>
      </c>
      <c r="H3065" s="106" t="str">
        <f t="shared" si="1"/>
        <v>2026-01</v>
      </c>
      <c r="I3065" s="271" t="str">
        <f>IFERROR(__xludf.DUMMYFUNCTION("""COMPUTED_VALUE"""),"貓狗企鵝")</f>
        <v>貓狗企鵝</v>
      </c>
      <c r="J3065" t="str">
        <f>IFERROR(__xludf.DUMMYFUNCTION("IFS(
  AND(REGEXMATCH(E3065, ""台銀籌備帳戶|玉山帳戶""), REGEXMATCH(C3065, ""薪資"")), ""分潤支出"",
  AND(REGEXMATCH(E3065, ""Ben帳戶|Elsa帳戶|Ben代墊|Ariel代墊|中信銀行共用""), REGEXMATCH(F3065, ""Ben帳戶|Elsa帳戶|Ben代墊|Ariel代墊|中信銀行共用"")), ""內部轉帳(忽略)"",
  AND(E3065&lt;&gt;"""", F3065&lt;&gt;"""", N"&amp;"OT(REGEXMATCH(C3065, ""薪資""))), ""內部轉帳(忽略)"",
  REGEXMATCH(C3065, ""薪資""), ""薪資變動(不計入)"",
  REGEXMATCH(C3065, ""押金""), ""押金往來"",
  AND(E3065&lt;&gt;"""", F3065=""""), ""真實支出"",
  AND(E3065="""", F3065&lt;&gt;""""), ""真實收入"",
  TRUE, ""其他""
)"),"真實支出")</f>
        <v>真實支出</v>
      </c>
      <c r="K3065" s="270">
        <f t="shared" si="2"/>
        <v>-12000</v>
      </c>
      <c r="L3065">
        <f t="shared" si="3"/>
        <v>0</v>
      </c>
    </row>
    <row r="3066">
      <c r="A3066" s="107">
        <f>IFERROR(__xludf.DUMMYFUNCTION("""COMPUTED_VALUE"""),46023.0)</f>
        <v>46023</v>
      </c>
      <c r="B3066" t="str">
        <f>IFERROR(__xludf.DUMMYFUNCTION("""COMPUTED_VALUE"""),"費用 - 匯費 052 (22609)")</f>
        <v>費用 - 匯費 052 (22609)</v>
      </c>
      <c r="C3066" t="str">
        <f>IFERROR(__xludf.DUMMYFUNCTION("""COMPUTED_VALUE"""),"費用 - 匯費")</f>
        <v>費用 - 匯費</v>
      </c>
      <c r="D3066" s="270">
        <f>IFERROR(__xludf.DUMMYFUNCTION("""COMPUTED_VALUE"""),-15.0)</f>
        <v>-15</v>
      </c>
      <c r="E3066" t="str">
        <f>IFERROR(__xludf.DUMMYFUNCTION("""COMPUTED_VALUE"""),"台銀籌備帳戶")</f>
        <v>台銀籌備帳戶</v>
      </c>
      <c r="H3066" s="106" t="str">
        <f t="shared" si="1"/>
        <v>2026-01</v>
      </c>
      <c r="I3066" s="271" t="str">
        <f>IFERROR(__xludf.DUMMYFUNCTION("""COMPUTED_VALUE"""),"貓狗企鵝")</f>
        <v>貓狗企鵝</v>
      </c>
      <c r="J3066" t="str">
        <f>IFERROR(__xludf.DUMMYFUNCTION("IFS(
  AND(REGEXMATCH(E3066, ""台銀籌備帳戶|玉山帳戶""), REGEXMATCH(C3066, ""薪資"")), ""分潤支出"",
  AND(REGEXMATCH(E3066, ""Ben帳戶|Elsa帳戶|Ben代墊|Ariel代墊|中信銀行共用""), REGEXMATCH(F3066, ""Ben帳戶|Elsa帳戶|Ben代墊|Ariel代墊|中信銀行共用"")), ""內部轉帳(忽略)"",
  AND(E3066&lt;&gt;"""", F3066&lt;&gt;"""", N"&amp;"OT(REGEXMATCH(C3066, ""薪資""))), ""內部轉帳(忽略)"",
  REGEXMATCH(C3066, ""薪資""), ""薪資變動(不計入)"",
  REGEXMATCH(C3066, ""押金""), ""押金往來"",
  AND(E3066&lt;&gt;"""", F3066=""""), ""真實支出"",
  AND(E3066="""", F3066&lt;&gt;""""), ""真實收入"",
  TRUE, ""其他""
)"),"真實支出")</f>
        <v>真實支出</v>
      </c>
      <c r="K3066" s="270">
        <f t="shared" si="2"/>
        <v>-15</v>
      </c>
      <c r="L3066">
        <f t="shared" si="3"/>
        <v>0</v>
      </c>
    </row>
    <row r="3067">
      <c r="A3067" s="107">
        <f>IFERROR(__xludf.DUMMYFUNCTION("""COMPUTED_VALUE"""),46023.0)</f>
        <v>46023</v>
      </c>
      <c r="B3067" t="str">
        <f>IFERROR(__xludf.DUMMYFUNCTION("""COMPUTED_VALUE"""),"[中山北Feli家] [陳玉蘭] 大租金")</f>
        <v>[中山北Feli家] [陳玉蘭] 大租金</v>
      </c>
      <c r="C3067" t="str">
        <f>IFERROR(__xludf.DUMMYFUNCTION("""COMPUTED_VALUE"""),"成本 - 大租金")</f>
        <v>成本 - 大租金</v>
      </c>
      <c r="D3067" s="270">
        <f>IFERROR(__xludf.DUMMYFUNCTION("""COMPUTED_VALUE"""),-18000.0)</f>
        <v>-18000</v>
      </c>
      <c r="E3067" t="str">
        <f>IFERROR(__xludf.DUMMYFUNCTION("""COMPUTED_VALUE"""),"台銀籌備帳戶")</f>
        <v>台銀籌備帳戶</v>
      </c>
      <c r="G3067" t="str">
        <f>IFERROR(__xludf.DUMMYFUNCTION("""COMPUTED_VALUE"""),"中山北Feli家")</f>
        <v>中山北Feli家</v>
      </c>
      <c r="H3067" s="106" t="str">
        <f t="shared" si="1"/>
        <v>2026-01</v>
      </c>
      <c r="I3067" s="271" t="str">
        <f>IFERROR(__xludf.DUMMYFUNCTION("""COMPUTED_VALUE"""),"貓狗企鵝")</f>
        <v>貓狗企鵝</v>
      </c>
      <c r="J3067" t="str">
        <f>IFERROR(__xludf.DUMMYFUNCTION("IFS(
  AND(REGEXMATCH(E3067, ""台銀籌備帳戶|玉山帳戶""), REGEXMATCH(C3067, ""薪資"")), ""分潤支出"",
  AND(REGEXMATCH(E3067, ""Ben帳戶|Elsa帳戶|Ben代墊|Ariel代墊|中信銀行共用""), REGEXMATCH(F3067, ""Ben帳戶|Elsa帳戶|Ben代墊|Ariel代墊|中信銀行共用"")), ""內部轉帳(忽略)"",
  AND(E3067&lt;&gt;"""", F3067&lt;&gt;"""", N"&amp;"OT(REGEXMATCH(C3067, ""薪資""))), ""內部轉帳(忽略)"",
  REGEXMATCH(C3067, ""薪資""), ""薪資變動(不計入)"",
  REGEXMATCH(C3067, ""押金""), ""押金往來"",
  AND(E3067&lt;&gt;"""", F3067=""""), ""真實支出"",
  AND(E3067="""", F3067&lt;&gt;""""), ""真實收入"",
  TRUE, ""其他""
)"),"真實支出")</f>
        <v>真實支出</v>
      </c>
      <c r="K3067" s="270">
        <f t="shared" si="2"/>
        <v>-18000</v>
      </c>
      <c r="L3067">
        <f t="shared" si="3"/>
        <v>0</v>
      </c>
    </row>
    <row r="3068">
      <c r="A3068" s="107">
        <f>IFERROR(__xludf.DUMMYFUNCTION("""COMPUTED_VALUE"""),46023.0)</f>
        <v>46023</v>
      </c>
      <c r="B3068" t="str">
        <f>IFERROR(__xludf.DUMMYFUNCTION("""COMPUTED_VALUE"""),"費用 - 匯費 013 (20652)")</f>
        <v>費用 - 匯費 013 (20652)</v>
      </c>
      <c r="C3068" t="str">
        <f>IFERROR(__xludf.DUMMYFUNCTION("""COMPUTED_VALUE"""),"費用 - 匯費")</f>
        <v>費用 - 匯費</v>
      </c>
      <c r="D3068" s="270">
        <f>IFERROR(__xludf.DUMMYFUNCTION("""COMPUTED_VALUE"""),-15.0)</f>
        <v>-15</v>
      </c>
      <c r="E3068" t="str">
        <f>IFERROR(__xludf.DUMMYFUNCTION("""COMPUTED_VALUE"""),"台銀籌備帳戶")</f>
        <v>台銀籌備帳戶</v>
      </c>
      <c r="H3068" s="106" t="str">
        <f t="shared" si="1"/>
        <v>2026-01</v>
      </c>
      <c r="I3068" s="271" t="str">
        <f>IFERROR(__xludf.DUMMYFUNCTION("""COMPUTED_VALUE"""),"貓狗企鵝")</f>
        <v>貓狗企鵝</v>
      </c>
      <c r="J3068" t="str">
        <f>IFERROR(__xludf.DUMMYFUNCTION("IFS(
  AND(REGEXMATCH(E3068, ""台銀籌備帳戶|玉山帳戶""), REGEXMATCH(C3068, ""薪資"")), ""分潤支出"",
  AND(REGEXMATCH(E3068, ""Ben帳戶|Elsa帳戶|Ben代墊|Ariel代墊|中信銀行共用""), REGEXMATCH(F3068, ""Ben帳戶|Elsa帳戶|Ben代墊|Ariel代墊|中信銀行共用"")), ""內部轉帳(忽略)"",
  AND(E3068&lt;&gt;"""", F3068&lt;&gt;"""", N"&amp;"OT(REGEXMATCH(C3068, ""薪資""))), ""內部轉帳(忽略)"",
  REGEXMATCH(C3068, ""薪資""), ""薪資變動(不計入)"",
  REGEXMATCH(C3068, ""押金""), ""押金往來"",
  AND(E3068&lt;&gt;"""", F3068=""""), ""真實支出"",
  AND(E3068="""", F3068&lt;&gt;""""), ""真實收入"",
  TRUE, ""其他""
)"),"真實支出")</f>
        <v>真實支出</v>
      </c>
      <c r="K3068" s="270">
        <f t="shared" si="2"/>
        <v>-15</v>
      </c>
      <c r="L3068">
        <f t="shared" si="3"/>
        <v>0</v>
      </c>
    </row>
    <row r="3069">
      <c r="A3069" s="107">
        <f>IFERROR(__xludf.DUMMYFUNCTION("""COMPUTED_VALUE"""),46023.0)</f>
        <v>46023</v>
      </c>
      <c r="B3069" t="str">
        <f>IFERROR(__xludf.DUMMYFUNCTION("""COMPUTED_VALUE"""),"[景安2分鐘] [王逸荃] 大租金")</f>
        <v>[景安2分鐘] [王逸荃] 大租金</v>
      </c>
      <c r="C3069" t="str">
        <f>IFERROR(__xludf.DUMMYFUNCTION("""COMPUTED_VALUE"""),"成本 - 大租金")</f>
        <v>成本 - 大租金</v>
      </c>
      <c r="D3069" s="270">
        <f>IFERROR(__xludf.DUMMYFUNCTION("""COMPUTED_VALUE"""),-12500.0)</f>
        <v>-12500</v>
      </c>
      <c r="E3069" t="str">
        <f>IFERROR(__xludf.DUMMYFUNCTION("""COMPUTED_VALUE"""),"台銀籌備帳戶")</f>
        <v>台銀籌備帳戶</v>
      </c>
      <c r="G3069" t="str">
        <f>IFERROR(__xludf.DUMMYFUNCTION("""COMPUTED_VALUE"""),"景安2分鐘")</f>
        <v>景安2分鐘</v>
      </c>
      <c r="H3069" s="106" t="str">
        <f t="shared" si="1"/>
        <v>2026-01</v>
      </c>
      <c r="I3069" s="271" t="str">
        <f>IFERROR(__xludf.DUMMYFUNCTION("""COMPUTED_VALUE"""),"貓狗企鵝")</f>
        <v>貓狗企鵝</v>
      </c>
      <c r="J3069" t="str">
        <f>IFERROR(__xludf.DUMMYFUNCTION("IFS(
  AND(REGEXMATCH(E3069, ""台銀籌備帳戶|玉山帳戶""), REGEXMATCH(C3069, ""薪資"")), ""分潤支出"",
  AND(REGEXMATCH(E3069, ""Ben帳戶|Elsa帳戶|Ben代墊|Ariel代墊|中信銀行共用""), REGEXMATCH(F3069, ""Ben帳戶|Elsa帳戶|Ben代墊|Ariel代墊|中信銀行共用"")), ""內部轉帳(忽略)"",
  AND(E3069&lt;&gt;"""", F3069&lt;&gt;"""", N"&amp;"OT(REGEXMATCH(C3069, ""薪資""))), ""內部轉帳(忽略)"",
  REGEXMATCH(C3069, ""薪資""), ""薪資變動(不計入)"",
  REGEXMATCH(C3069, ""押金""), ""押金往來"",
  AND(E3069&lt;&gt;"""", F3069=""""), ""真實支出"",
  AND(E3069="""", F3069&lt;&gt;""""), ""真實收入"",
  TRUE, ""其他""
)"),"真實支出")</f>
        <v>真實支出</v>
      </c>
      <c r="K3069" s="270">
        <f t="shared" si="2"/>
        <v>-12500</v>
      </c>
      <c r="L3069">
        <f t="shared" si="3"/>
        <v>0</v>
      </c>
    </row>
    <row r="3070">
      <c r="A3070" s="107">
        <f>IFERROR(__xludf.DUMMYFUNCTION("""COMPUTED_VALUE"""),46023.0)</f>
        <v>46023</v>
      </c>
      <c r="B3070" t="str">
        <f>IFERROR(__xludf.DUMMYFUNCTION("""COMPUTED_VALUE"""),"費用 - 匯費 822 (06708)")</f>
        <v>費用 - 匯費 822 (06708)</v>
      </c>
      <c r="C3070" t="str">
        <f>IFERROR(__xludf.DUMMYFUNCTION("""COMPUTED_VALUE"""),"費用 - 匯費")</f>
        <v>費用 - 匯費</v>
      </c>
      <c r="D3070" s="270">
        <f>IFERROR(__xludf.DUMMYFUNCTION("""COMPUTED_VALUE"""),-15.0)</f>
        <v>-15</v>
      </c>
      <c r="E3070" t="str">
        <f>IFERROR(__xludf.DUMMYFUNCTION("""COMPUTED_VALUE"""),"台銀籌備帳戶")</f>
        <v>台銀籌備帳戶</v>
      </c>
      <c r="H3070" s="106" t="str">
        <f t="shared" si="1"/>
        <v>2026-01</v>
      </c>
      <c r="I3070" s="271" t="str">
        <f>IFERROR(__xludf.DUMMYFUNCTION("""COMPUTED_VALUE"""),"貓狗企鵝")</f>
        <v>貓狗企鵝</v>
      </c>
      <c r="J3070" t="str">
        <f>IFERROR(__xludf.DUMMYFUNCTION("IFS(
  AND(REGEXMATCH(E3070, ""台銀籌備帳戶|玉山帳戶""), REGEXMATCH(C3070, ""薪資"")), ""分潤支出"",
  AND(REGEXMATCH(E3070, ""Ben帳戶|Elsa帳戶|Ben代墊|Ariel代墊|中信銀行共用""), REGEXMATCH(F3070, ""Ben帳戶|Elsa帳戶|Ben代墊|Ariel代墊|中信銀行共用"")), ""內部轉帳(忽略)"",
  AND(E3070&lt;&gt;"""", F3070&lt;&gt;"""", N"&amp;"OT(REGEXMATCH(C3070, ""薪資""))), ""內部轉帳(忽略)"",
  REGEXMATCH(C3070, ""薪資""), ""薪資變動(不計入)"",
  REGEXMATCH(C3070, ""押金""), ""押金往來"",
  AND(E3070&lt;&gt;"""", F3070=""""), ""真實支出"",
  AND(E3070="""", F3070&lt;&gt;""""), ""真實收入"",
  TRUE, ""其他""
)"),"真實支出")</f>
        <v>真實支出</v>
      </c>
      <c r="K3070" s="270">
        <f t="shared" si="2"/>
        <v>-15</v>
      </c>
      <c r="L3070">
        <f t="shared" si="3"/>
        <v>0</v>
      </c>
    </row>
    <row r="3071">
      <c r="A3071" s="107">
        <f>IFERROR(__xludf.DUMMYFUNCTION("""COMPUTED_VALUE"""),46023.0)</f>
        <v>46023</v>
      </c>
      <c r="B3071" t="str">
        <f>IFERROR(__xludf.DUMMYFUNCTION("""COMPUTED_VALUE"""),"[金龍帽子先生] [郭娟伶] 大租金")</f>
        <v>[金龍帽子先生] [郭娟伶] 大租金</v>
      </c>
      <c r="C3071" t="str">
        <f>IFERROR(__xludf.DUMMYFUNCTION("""COMPUTED_VALUE"""),"成本 - 大租金")</f>
        <v>成本 - 大租金</v>
      </c>
      <c r="D3071" s="270">
        <f>IFERROR(__xludf.DUMMYFUNCTION("""COMPUTED_VALUE"""),-17750.0)</f>
        <v>-17750</v>
      </c>
      <c r="E3071" t="str">
        <f>IFERROR(__xludf.DUMMYFUNCTION("""COMPUTED_VALUE"""),"台銀籌備帳戶")</f>
        <v>台銀籌備帳戶</v>
      </c>
      <c r="G3071" t="str">
        <f>IFERROR(__xludf.DUMMYFUNCTION("""COMPUTED_VALUE"""),"金龍帽子先生")</f>
        <v>金龍帽子先生</v>
      </c>
      <c r="H3071" s="106" t="str">
        <f t="shared" si="1"/>
        <v>2026-01</v>
      </c>
      <c r="I3071" s="271" t="str">
        <f>IFERROR(__xludf.DUMMYFUNCTION("""COMPUTED_VALUE"""),"貓狗企鵝")</f>
        <v>貓狗企鵝</v>
      </c>
      <c r="J3071" t="str">
        <f>IFERROR(__xludf.DUMMYFUNCTION("IFS(
  AND(REGEXMATCH(E3071, ""台銀籌備帳戶|玉山帳戶""), REGEXMATCH(C3071, ""薪資"")), ""分潤支出"",
  AND(REGEXMATCH(E3071, ""Ben帳戶|Elsa帳戶|Ben代墊|Ariel代墊|中信銀行共用""), REGEXMATCH(F3071, ""Ben帳戶|Elsa帳戶|Ben代墊|Ariel代墊|中信銀行共用"")), ""內部轉帳(忽略)"",
  AND(E3071&lt;&gt;"""", F3071&lt;&gt;"""", N"&amp;"OT(REGEXMATCH(C3071, ""薪資""))), ""內部轉帳(忽略)"",
  REGEXMATCH(C3071, ""薪資""), ""薪資變動(不計入)"",
  REGEXMATCH(C3071, ""押金""), ""押金往來"",
  AND(E3071&lt;&gt;"""", F3071=""""), ""真實支出"",
  AND(E3071="""", F3071&lt;&gt;""""), ""真實收入"",
  TRUE, ""其他""
)"),"真實支出")</f>
        <v>真實支出</v>
      </c>
      <c r="K3071" s="270">
        <f t="shared" si="2"/>
        <v>-17750</v>
      </c>
      <c r="L3071">
        <f t="shared" si="3"/>
        <v>0</v>
      </c>
    </row>
    <row r="3072">
      <c r="A3072" s="107">
        <f>IFERROR(__xludf.DUMMYFUNCTION("""COMPUTED_VALUE"""),46023.0)</f>
        <v>46023</v>
      </c>
      <c r="B3072" t="str">
        <f>IFERROR(__xludf.DUMMYFUNCTION("""COMPUTED_VALUE"""),"費用 - 匯費 053 (05202)")</f>
        <v>費用 - 匯費 053 (05202)</v>
      </c>
      <c r="C3072" t="str">
        <f>IFERROR(__xludf.DUMMYFUNCTION("""COMPUTED_VALUE"""),"費用 - 匯費")</f>
        <v>費用 - 匯費</v>
      </c>
      <c r="D3072" s="270">
        <f>IFERROR(__xludf.DUMMYFUNCTION("""COMPUTED_VALUE"""),-15.0)</f>
        <v>-15</v>
      </c>
      <c r="E3072" t="str">
        <f>IFERROR(__xludf.DUMMYFUNCTION("""COMPUTED_VALUE"""),"台銀籌備帳戶")</f>
        <v>台銀籌備帳戶</v>
      </c>
      <c r="H3072" s="106" t="str">
        <f t="shared" si="1"/>
        <v>2026-01</v>
      </c>
      <c r="I3072" s="271" t="str">
        <f>IFERROR(__xludf.DUMMYFUNCTION("""COMPUTED_VALUE"""),"貓狗企鵝")</f>
        <v>貓狗企鵝</v>
      </c>
      <c r="J3072" t="str">
        <f>IFERROR(__xludf.DUMMYFUNCTION("IFS(
  AND(REGEXMATCH(E3072, ""台銀籌備帳戶|玉山帳戶""), REGEXMATCH(C3072, ""薪資"")), ""分潤支出"",
  AND(REGEXMATCH(E3072, ""Ben帳戶|Elsa帳戶|Ben代墊|Ariel代墊|中信銀行共用""), REGEXMATCH(F3072, ""Ben帳戶|Elsa帳戶|Ben代墊|Ariel代墊|中信銀行共用"")), ""內部轉帳(忽略)"",
  AND(E3072&lt;&gt;"""", F3072&lt;&gt;"""", N"&amp;"OT(REGEXMATCH(C3072, ""薪資""))), ""內部轉帳(忽略)"",
  REGEXMATCH(C3072, ""薪資""), ""薪資變動(不計入)"",
  REGEXMATCH(C3072, ""押金""), ""押金往來"",
  AND(E3072&lt;&gt;"""", F3072=""""), ""真實支出"",
  AND(E3072="""", F3072&lt;&gt;""""), ""真實收入"",
  TRUE, ""其他""
)"),"真實支出")</f>
        <v>真實支出</v>
      </c>
      <c r="K3072" s="270">
        <f t="shared" si="2"/>
        <v>-15</v>
      </c>
      <c r="L3072">
        <f t="shared" si="3"/>
        <v>0</v>
      </c>
    </row>
    <row r="3073">
      <c r="A3073" s="107">
        <f>IFERROR(__xludf.DUMMYFUNCTION("""COMPUTED_VALUE"""),46023.0)</f>
        <v>46023</v>
      </c>
      <c r="B3073" t="str">
        <f>IFERROR(__xludf.DUMMYFUNCTION("""COMPUTED_VALUE"""),"[大湖山莊] [陳彩霞] 大租金")</f>
        <v>[大湖山莊] [陳彩霞] 大租金</v>
      </c>
      <c r="C3073" t="str">
        <f>IFERROR(__xludf.DUMMYFUNCTION("""COMPUTED_VALUE"""),"成本 - 大租金")</f>
        <v>成本 - 大租金</v>
      </c>
      <c r="D3073" s="270">
        <f>IFERROR(__xludf.DUMMYFUNCTION("""COMPUTED_VALUE"""),-19400.0)</f>
        <v>-19400</v>
      </c>
      <c r="E3073" t="str">
        <f>IFERROR(__xludf.DUMMYFUNCTION("""COMPUTED_VALUE"""),"台銀籌備帳戶")</f>
        <v>台銀籌備帳戶</v>
      </c>
      <c r="G3073" t="str">
        <f>IFERROR(__xludf.DUMMYFUNCTION("""COMPUTED_VALUE"""),"大湖山莊")</f>
        <v>大湖山莊</v>
      </c>
      <c r="H3073" s="106" t="str">
        <f t="shared" si="1"/>
        <v>2026-01</v>
      </c>
      <c r="I3073" s="271" t="str">
        <f>IFERROR(__xludf.DUMMYFUNCTION("""COMPUTED_VALUE"""),"貓狗企鵝")</f>
        <v>貓狗企鵝</v>
      </c>
      <c r="J3073" t="str">
        <f>IFERROR(__xludf.DUMMYFUNCTION("IFS(
  AND(REGEXMATCH(E3073, ""台銀籌備帳戶|玉山帳戶""), REGEXMATCH(C3073, ""薪資"")), ""分潤支出"",
  AND(REGEXMATCH(E3073, ""Ben帳戶|Elsa帳戶|Ben代墊|Ariel代墊|中信銀行共用""), REGEXMATCH(F3073, ""Ben帳戶|Elsa帳戶|Ben代墊|Ariel代墊|中信銀行共用"")), ""內部轉帳(忽略)"",
  AND(E3073&lt;&gt;"""", F3073&lt;&gt;"""", N"&amp;"OT(REGEXMATCH(C3073, ""薪資""))), ""內部轉帳(忽略)"",
  REGEXMATCH(C3073, ""薪資""), ""薪資變動(不計入)"",
  REGEXMATCH(C3073, ""押金""), ""押金往來"",
  AND(E3073&lt;&gt;"""", F3073=""""), ""真實支出"",
  AND(E3073="""", F3073&lt;&gt;""""), ""真實收入"",
  TRUE, ""其他""
)"),"真實支出")</f>
        <v>真實支出</v>
      </c>
      <c r="K3073" s="270">
        <f t="shared" si="2"/>
        <v>-19400</v>
      </c>
      <c r="L3073">
        <f t="shared" si="3"/>
        <v>0</v>
      </c>
    </row>
    <row r="3074">
      <c r="A3074" s="107">
        <f>IFERROR(__xludf.DUMMYFUNCTION("""COMPUTED_VALUE"""),46023.0)</f>
        <v>46023</v>
      </c>
      <c r="B3074" t="str">
        <f>IFERROR(__xludf.DUMMYFUNCTION("""COMPUTED_VALUE"""),"費用 - 匯費 807 (06659)")</f>
        <v>費用 - 匯費 807 (06659)</v>
      </c>
      <c r="C3074" t="str">
        <f>IFERROR(__xludf.DUMMYFUNCTION("""COMPUTED_VALUE"""),"費用 - 匯費")</f>
        <v>費用 - 匯費</v>
      </c>
      <c r="D3074" s="270">
        <f>IFERROR(__xludf.DUMMYFUNCTION("""COMPUTED_VALUE"""),-15.0)</f>
        <v>-15</v>
      </c>
      <c r="E3074" t="str">
        <f>IFERROR(__xludf.DUMMYFUNCTION("""COMPUTED_VALUE"""),"台銀籌備帳戶")</f>
        <v>台銀籌備帳戶</v>
      </c>
      <c r="H3074" s="106" t="str">
        <f t="shared" si="1"/>
        <v>2026-01</v>
      </c>
      <c r="I3074" s="271" t="str">
        <f>IFERROR(__xludf.DUMMYFUNCTION("""COMPUTED_VALUE"""),"貓狗企鵝")</f>
        <v>貓狗企鵝</v>
      </c>
      <c r="J3074" t="str">
        <f>IFERROR(__xludf.DUMMYFUNCTION("IFS(
  AND(REGEXMATCH(E3074, ""台銀籌備帳戶|玉山帳戶""), REGEXMATCH(C3074, ""薪資"")), ""分潤支出"",
  AND(REGEXMATCH(E3074, ""Ben帳戶|Elsa帳戶|Ben代墊|Ariel代墊|中信銀行共用""), REGEXMATCH(F3074, ""Ben帳戶|Elsa帳戶|Ben代墊|Ariel代墊|中信銀行共用"")), ""內部轉帳(忽略)"",
  AND(E3074&lt;&gt;"""", F3074&lt;&gt;"""", N"&amp;"OT(REGEXMATCH(C3074, ""薪資""))), ""內部轉帳(忽略)"",
  REGEXMATCH(C3074, ""薪資""), ""薪資變動(不計入)"",
  REGEXMATCH(C3074, ""押金""), ""押金往來"",
  AND(E3074&lt;&gt;"""", F3074=""""), ""真實支出"",
  AND(E3074="""", F3074&lt;&gt;""""), ""真實收入"",
  TRUE, ""其他""
)"),"真實支出")</f>
        <v>真實支出</v>
      </c>
      <c r="K3074" s="270">
        <f t="shared" si="2"/>
        <v>-15</v>
      </c>
      <c r="L3074">
        <f t="shared" si="3"/>
        <v>0</v>
      </c>
    </row>
    <row r="3075">
      <c r="A3075" s="107">
        <f>IFERROR(__xludf.DUMMYFUNCTION("""COMPUTED_VALUE"""),46023.0)</f>
        <v>46023</v>
      </c>
      <c r="B3075" t="str">
        <f>IFERROR(__xludf.DUMMYFUNCTION("""COMPUTED_VALUE"""),"[哈拉對面] [陳哲聰] 大租金")</f>
        <v>[哈拉對面] [陳哲聰] 大租金</v>
      </c>
      <c r="C3075" t="str">
        <f>IFERROR(__xludf.DUMMYFUNCTION("""COMPUTED_VALUE"""),"成本 - 大租金")</f>
        <v>成本 - 大租金</v>
      </c>
      <c r="D3075" s="270">
        <f>IFERROR(__xludf.DUMMYFUNCTION("""COMPUTED_VALUE"""),-13000.0)</f>
        <v>-13000</v>
      </c>
      <c r="E3075" t="str">
        <f>IFERROR(__xludf.DUMMYFUNCTION("""COMPUTED_VALUE"""),"台銀籌備帳戶")</f>
        <v>台銀籌備帳戶</v>
      </c>
      <c r="G3075" t="str">
        <f>IFERROR(__xludf.DUMMYFUNCTION("""COMPUTED_VALUE"""),"哈拉對面")</f>
        <v>哈拉對面</v>
      </c>
      <c r="H3075" s="106" t="str">
        <f t="shared" si="1"/>
        <v>2026-01</v>
      </c>
      <c r="I3075" s="271" t="str">
        <f>IFERROR(__xludf.DUMMYFUNCTION("""COMPUTED_VALUE"""),"貓狗企鵝")</f>
        <v>貓狗企鵝</v>
      </c>
      <c r="J3075" t="str">
        <f>IFERROR(__xludf.DUMMYFUNCTION("IFS(
  AND(REGEXMATCH(E3075, ""台銀籌備帳戶|玉山帳戶""), REGEXMATCH(C3075, ""薪資"")), ""分潤支出"",
  AND(REGEXMATCH(E3075, ""Ben帳戶|Elsa帳戶|Ben代墊|Ariel代墊|中信銀行共用""), REGEXMATCH(F3075, ""Ben帳戶|Elsa帳戶|Ben代墊|Ariel代墊|中信銀行共用"")), ""內部轉帳(忽略)"",
  AND(E3075&lt;&gt;"""", F3075&lt;&gt;"""", N"&amp;"OT(REGEXMATCH(C3075, ""薪資""))), ""內部轉帳(忽略)"",
  REGEXMATCH(C3075, ""薪資""), ""薪資變動(不計入)"",
  REGEXMATCH(C3075, ""押金""), ""押金往來"",
  AND(E3075&lt;&gt;"""", F3075=""""), ""真實支出"",
  AND(E3075="""", F3075&lt;&gt;""""), ""真實收入"",
  TRUE, ""其他""
)"),"真實支出")</f>
        <v>真實支出</v>
      </c>
      <c r="K3075" s="270">
        <f t="shared" si="2"/>
        <v>-13000</v>
      </c>
      <c r="L3075">
        <f t="shared" si="3"/>
        <v>0</v>
      </c>
    </row>
    <row r="3076">
      <c r="A3076" s="107">
        <f>IFERROR(__xludf.DUMMYFUNCTION("""COMPUTED_VALUE"""),46023.0)</f>
        <v>46023</v>
      </c>
      <c r="B3076" t="str">
        <f>IFERROR(__xludf.DUMMYFUNCTION("""COMPUTED_VALUE"""),"費用 - 匯費 700 (92128)")</f>
        <v>費用 - 匯費 700 (92128)</v>
      </c>
      <c r="C3076" t="str">
        <f>IFERROR(__xludf.DUMMYFUNCTION("""COMPUTED_VALUE"""),"費用 - 匯費")</f>
        <v>費用 - 匯費</v>
      </c>
      <c r="D3076" s="270">
        <f>IFERROR(__xludf.DUMMYFUNCTION("""COMPUTED_VALUE"""),-15.0)</f>
        <v>-15</v>
      </c>
      <c r="E3076" t="str">
        <f>IFERROR(__xludf.DUMMYFUNCTION("""COMPUTED_VALUE"""),"台銀籌備帳戶")</f>
        <v>台銀籌備帳戶</v>
      </c>
      <c r="H3076" s="106" t="str">
        <f t="shared" si="1"/>
        <v>2026-01</v>
      </c>
      <c r="I3076" s="271" t="str">
        <f>IFERROR(__xludf.DUMMYFUNCTION("""COMPUTED_VALUE"""),"貓狗企鵝")</f>
        <v>貓狗企鵝</v>
      </c>
      <c r="J3076" t="str">
        <f>IFERROR(__xludf.DUMMYFUNCTION("IFS(
  AND(REGEXMATCH(E3076, ""台銀籌備帳戶|玉山帳戶""), REGEXMATCH(C3076, ""薪資"")), ""分潤支出"",
  AND(REGEXMATCH(E3076, ""Ben帳戶|Elsa帳戶|Ben代墊|Ariel代墊|中信銀行共用""), REGEXMATCH(F3076, ""Ben帳戶|Elsa帳戶|Ben代墊|Ariel代墊|中信銀行共用"")), ""內部轉帳(忽略)"",
  AND(E3076&lt;&gt;"""", F3076&lt;&gt;"""", N"&amp;"OT(REGEXMATCH(C3076, ""薪資""))), ""內部轉帳(忽略)"",
  REGEXMATCH(C3076, ""薪資""), ""薪資變動(不計入)"",
  REGEXMATCH(C3076, ""押金""), ""押金往來"",
  AND(E3076&lt;&gt;"""", F3076=""""), ""真實支出"",
  AND(E3076="""", F3076&lt;&gt;""""), ""真實收入"",
  TRUE, ""其他""
)"),"真實支出")</f>
        <v>真實支出</v>
      </c>
      <c r="K3076" s="270">
        <f t="shared" si="2"/>
        <v>-15</v>
      </c>
      <c r="L3076">
        <f t="shared" si="3"/>
        <v>0</v>
      </c>
    </row>
    <row r="3077">
      <c r="A3077" s="107">
        <f>IFERROR(__xludf.DUMMYFUNCTION("""COMPUTED_VALUE"""),46023.0)</f>
        <v>46023</v>
      </c>
      <c r="B3077" t="str">
        <f>IFERROR(__xludf.DUMMYFUNCTION("""COMPUTED_VALUE"""),"[北醫醫師府] [陳俊良] 大租金")</f>
        <v>[北醫醫師府] [陳俊良] 大租金</v>
      </c>
      <c r="C3077" t="str">
        <f>IFERROR(__xludf.DUMMYFUNCTION("""COMPUTED_VALUE"""),"成本 - 大租金")</f>
        <v>成本 - 大租金</v>
      </c>
      <c r="D3077" s="270">
        <f>IFERROR(__xludf.DUMMYFUNCTION("""COMPUTED_VALUE"""),-12800.0)</f>
        <v>-12800</v>
      </c>
      <c r="E3077" t="str">
        <f>IFERROR(__xludf.DUMMYFUNCTION("""COMPUTED_VALUE"""),"台銀籌備帳戶")</f>
        <v>台銀籌備帳戶</v>
      </c>
      <c r="G3077" t="str">
        <f>IFERROR(__xludf.DUMMYFUNCTION("""COMPUTED_VALUE"""),"北醫醫師府")</f>
        <v>北醫醫師府</v>
      </c>
      <c r="H3077" s="106" t="str">
        <f t="shared" si="1"/>
        <v>2026-01</v>
      </c>
      <c r="I3077" s="271" t="str">
        <f>IFERROR(__xludf.DUMMYFUNCTION("""COMPUTED_VALUE"""),"貓狗企鵝")</f>
        <v>貓狗企鵝</v>
      </c>
      <c r="J3077" t="str">
        <f>IFERROR(__xludf.DUMMYFUNCTION("IFS(
  AND(REGEXMATCH(E3077, ""台銀籌備帳戶|玉山帳戶""), REGEXMATCH(C3077, ""薪資"")), ""分潤支出"",
  AND(REGEXMATCH(E3077, ""Ben帳戶|Elsa帳戶|Ben代墊|Ariel代墊|中信銀行共用""), REGEXMATCH(F3077, ""Ben帳戶|Elsa帳戶|Ben代墊|Ariel代墊|中信銀行共用"")), ""內部轉帳(忽略)"",
  AND(E3077&lt;&gt;"""", F3077&lt;&gt;"""", N"&amp;"OT(REGEXMATCH(C3077, ""薪資""))), ""內部轉帳(忽略)"",
  REGEXMATCH(C3077, ""薪資""), ""薪資變動(不計入)"",
  REGEXMATCH(C3077, ""押金""), ""押金往來"",
  AND(E3077&lt;&gt;"""", F3077=""""), ""真實支出"",
  AND(E3077="""", F3077&lt;&gt;""""), ""真實收入"",
  TRUE, ""其他""
)"),"真實支出")</f>
        <v>真實支出</v>
      </c>
      <c r="K3077" s="270">
        <f t="shared" si="2"/>
        <v>-12800</v>
      </c>
      <c r="L3077">
        <f t="shared" si="3"/>
        <v>0</v>
      </c>
    </row>
    <row r="3078">
      <c r="A3078" s="107">
        <f>IFERROR(__xludf.DUMMYFUNCTION("""COMPUTED_VALUE"""),46023.0)</f>
        <v>46023</v>
      </c>
      <c r="B3078" t="str">
        <f>IFERROR(__xludf.DUMMYFUNCTION("""COMPUTED_VALUE"""),"費用 - 匯費 013 (43662)")</f>
        <v>費用 - 匯費 013 (43662)</v>
      </c>
      <c r="C3078" t="str">
        <f>IFERROR(__xludf.DUMMYFUNCTION("""COMPUTED_VALUE"""),"費用 - 匯費")</f>
        <v>費用 - 匯費</v>
      </c>
      <c r="D3078" s="270">
        <f>IFERROR(__xludf.DUMMYFUNCTION("""COMPUTED_VALUE"""),-15.0)</f>
        <v>-15</v>
      </c>
      <c r="E3078" t="str">
        <f>IFERROR(__xludf.DUMMYFUNCTION("""COMPUTED_VALUE"""),"台銀籌備帳戶")</f>
        <v>台銀籌備帳戶</v>
      </c>
      <c r="H3078" s="106" t="str">
        <f t="shared" si="1"/>
        <v>2026-01</v>
      </c>
      <c r="I3078" s="271" t="str">
        <f>IFERROR(__xludf.DUMMYFUNCTION("""COMPUTED_VALUE"""),"貓狗企鵝")</f>
        <v>貓狗企鵝</v>
      </c>
      <c r="J3078" t="str">
        <f>IFERROR(__xludf.DUMMYFUNCTION("IFS(
  AND(REGEXMATCH(E3078, ""台銀籌備帳戶|玉山帳戶""), REGEXMATCH(C3078, ""薪資"")), ""分潤支出"",
  AND(REGEXMATCH(E3078, ""Ben帳戶|Elsa帳戶|Ben代墊|Ariel代墊|中信銀行共用""), REGEXMATCH(F3078, ""Ben帳戶|Elsa帳戶|Ben代墊|Ariel代墊|中信銀行共用"")), ""內部轉帳(忽略)"",
  AND(E3078&lt;&gt;"""", F3078&lt;&gt;"""", N"&amp;"OT(REGEXMATCH(C3078, ""薪資""))), ""內部轉帳(忽略)"",
  REGEXMATCH(C3078, ""薪資""), ""薪資變動(不計入)"",
  REGEXMATCH(C3078, ""押金""), ""押金往來"",
  AND(E3078&lt;&gt;"""", F3078=""""), ""真實支出"",
  AND(E3078="""", F3078&lt;&gt;""""), ""真實收入"",
  TRUE, ""其他""
)"),"真實支出")</f>
        <v>真實支出</v>
      </c>
      <c r="K3078" s="270">
        <f t="shared" si="2"/>
        <v>-15</v>
      </c>
      <c r="L3078">
        <f t="shared" si="3"/>
        <v>0</v>
      </c>
    </row>
    <row r="3079">
      <c r="A3079" s="107">
        <f>IFERROR(__xludf.DUMMYFUNCTION("""COMPUTED_VALUE"""),46023.0)</f>
        <v>46023</v>
      </c>
      <c r="B3079" t="str">
        <f>IFERROR(__xludf.DUMMYFUNCTION("""COMPUTED_VALUE"""),"[中山北娘家旁] [方彥捷] 大租金")</f>
        <v>[中山北娘家旁] [方彥捷] 大租金</v>
      </c>
      <c r="C3079" t="str">
        <f>IFERROR(__xludf.DUMMYFUNCTION("""COMPUTED_VALUE"""),"成本 - 大租金")</f>
        <v>成本 - 大租金</v>
      </c>
      <c r="D3079" s="270">
        <f>IFERROR(__xludf.DUMMYFUNCTION("""COMPUTED_VALUE"""),-11500.0)</f>
        <v>-11500</v>
      </c>
      <c r="E3079" t="str">
        <f>IFERROR(__xludf.DUMMYFUNCTION("""COMPUTED_VALUE"""),"台銀籌備帳戶")</f>
        <v>台銀籌備帳戶</v>
      </c>
      <c r="G3079" t="str">
        <f>IFERROR(__xludf.DUMMYFUNCTION("""COMPUTED_VALUE"""),"中山北娘家旁")</f>
        <v>中山北娘家旁</v>
      </c>
      <c r="H3079" s="106" t="str">
        <f t="shared" si="1"/>
        <v>2026-01</v>
      </c>
      <c r="I3079" s="271" t="str">
        <f>IFERROR(__xludf.DUMMYFUNCTION("""COMPUTED_VALUE"""),"貓狗企鵝")</f>
        <v>貓狗企鵝</v>
      </c>
      <c r="J3079" t="str">
        <f>IFERROR(__xludf.DUMMYFUNCTION("IFS(
  AND(REGEXMATCH(E3079, ""台銀籌備帳戶|玉山帳戶""), REGEXMATCH(C3079, ""薪資"")), ""分潤支出"",
  AND(REGEXMATCH(E3079, ""Ben帳戶|Elsa帳戶|Ben代墊|Ariel代墊|中信銀行共用""), REGEXMATCH(F3079, ""Ben帳戶|Elsa帳戶|Ben代墊|Ariel代墊|中信銀行共用"")), ""內部轉帳(忽略)"",
  AND(E3079&lt;&gt;"""", F3079&lt;&gt;"""", N"&amp;"OT(REGEXMATCH(C3079, ""薪資""))), ""內部轉帳(忽略)"",
  REGEXMATCH(C3079, ""薪資""), ""薪資變動(不計入)"",
  REGEXMATCH(C3079, ""押金""), ""押金往來"",
  AND(E3079&lt;&gt;"""", F3079=""""), ""真實支出"",
  AND(E3079="""", F3079&lt;&gt;""""), ""真實收入"",
  TRUE, ""其他""
)"),"真實支出")</f>
        <v>真實支出</v>
      </c>
      <c r="K3079" s="270">
        <f t="shared" si="2"/>
        <v>-11500</v>
      </c>
      <c r="L3079">
        <f t="shared" si="3"/>
        <v>0</v>
      </c>
    </row>
    <row r="3080">
      <c r="A3080" s="107">
        <f>IFERROR(__xludf.DUMMYFUNCTION("""COMPUTED_VALUE"""),46023.0)</f>
        <v>46023</v>
      </c>
      <c r="B3080" t="str">
        <f>IFERROR(__xludf.DUMMYFUNCTION("""COMPUTED_VALUE"""),"費用 - 匯費 700 (14204)")</f>
        <v>費用 - 匯費 700 (14204)</v>
      </c>
      <c r="C3080" t="str">
        <f>IFERROR(__xludf.DUMMYFUNCTION("""COMPUTED_VALUE"""),"費用 - 匯費")</f>
        <v>費用 - 匯費</v>
      </c>
      <c r="D3080" s="270">
        <f>IFERROR(__xludf.DUMMYFUNCTION("""COMPUTED_VALUE"""),-15.0)</f>
        <v>-15</v>
      </c>
      <c r="E3080" t="str">
        <f>IFERROR(__xludf.DUMMYFUNCTION("""COMPUTED_VALUE"""),"台銀籌備帳戶")</f>
        <v>台銀籌備帳戶</v>
      </c>
      <c r="H3080" s="106" t="str">
        <f t="shared" si="1"/>
        <v>2026-01</v>
      </c>
      <c r="I3080" s="271" t="str">
        <f>IFERROR(__xludf.DUMMYFUNCTION("""COMPUTED_VALUE"""),"貓狗企鵝")</f>
        <v>貓狗企鵝</v>
      </c>
      <c r="J3080" t="str">
        <f>IFERROR(__xludf.DUMMYFUNCTION("IFS(
  AND(REGEXMATCH(E3080, ""台銀籌備帳戶|玉山帳戶""), REGEXMATCH(C3080, ""薪資"")), ""分潤支出"",
  AND(REGEXMATCH(E3080, ""Ben帳戶|Elsa帳戶|Ben代墊|Ariel代墊|中信銀行共用""), REGEXMATCH(F3080, ""Ben帳戶|Elsa帳戶|Ben代墊|Ariel代墊|中信銀行共用"")), ""內部轉帳(忽略)"",
  AND(E3080&lt;&gt;"""", F3080&lt;&gt;"""", N"&amp;"OT(REGEXMATCH(C3080, ""薪資""))), ""內部轉帳(忽略)"",
  REGEXMATCH(C3080, ""薪資""), ""薪資變動(不計入)"",
  REGEXMATCH(C3080, ""押金""), ""押金往來"",
  AND(E3080&lt;&gt;"""", F3080=""""), ""真實支出"",
  AND(E3080="""", F3080&lt;&gt;""""), ""真實收入"",
  TRUE, ""其他""
)"),"真實支出")</f>
        <v>真實支出</v>
      </c>
      <c r="K3080" s="270">
        <f t="shared" si="2"/>
        <v>-15</v>
      </c>
      <c r="L3080">
        <f t="shared" si="3"/>
        <v>0</v>
      </c>
    </row>
    <row r="3081">
      <c r="A3081" s="107">
        <f>IFERROR(__xludf.DUMMYFUNCTION("""COMPUTED_VALUE"""),46023.0)</f>
        <v>46023</v>
      </c>
      <c r="B3081" t="str">
        <f>IFERROR(__xludf.DUMMYFUNCTION("""COMPUTED_VALUE"""),"[書香民生] [吳高寶玉] 大租金")</f>
        <v>[書香民生] [吳高寶玉] 大租金</v>
      </c>
      <c r="C3081" t="str">
        <f>IFERROR(__xludf.DUMMYFUNCTION("""COMPUTED_VALUE"""),"成本 - 大租金")</f>
        <v>成本 - 大租金</v>
      </c>
      <c r="D3081" s="270">
        <f>IFERROR(__xludf.DUMMYFUNCTION("""COMPUTED_VALUE"""),-16667.0)</f>
        <v>-16667</v>
      </c>
      <c r="E3081" t="str">
        <f>IFERROR(__xludf.DUMMYFUNCTION("""COMPUTED_VALUE"""),"台銀籌備帳戶")</f>
        <v>台銀籌備帳戶</v>
      </c>
      <c r="G3081" t="str">
        <f>IFERROR(__xludf.DUMMYFUNCTION("""COMPUTED_VALUE"""),"書香民生")</f>
        <v>書香民生</v>
      </c>
      <c r="H3081" s="106" t="str">
        <f t="shared" si="1"/>
        <v>2026-01</v>
      </c>
      <c r="I3081" s="271" t="str">
        <f>IFERROR(__xludf.DUMMYFUNCTION("""COMPUTED_VALUE"""),"貓狗企鵝")</f>
        <v>貓狗企鵝</v>
      </c>
      <c r="J3081" t="str">
        <f>IFERROR(__xludf.DUMMYFUNCTION("IFS(
  AND(REGEXMATCH(E3081, ""台銀籌備帳戶|玉山帳戶""), REGEXMATCH(C3081, ""薪資"")), ""分潤支出"",
  AND(REGEXMATCH(E3081, ""Ben帳戶|Elsa帳戶|Ben代墊|Ariel代墊|中信銀行共用""), REGEXMATCH(F3081, ""Ben帳戶|Elsa帳戶|Ben代墊|Ariel代墊|中信銀行共用"")), ""內部轉帳(忽略)"",
  AND(E3081&lt;&gt;"""", F3081&lt;&gt;"""", N"&amp;"OT(REGEXMATCH(C3081, ""薪資""))), ""內部轉帳(忽略)"",
  REGEXMATCH(C3081, ""薪資""), ""薪資變動(不計入)"",
  REGEXMATCH(C3081, ""押金""), ""押金往來"",
  AND(E3081&lt;&gt;"""", F3081=""""), ""真實支出"",
  AND(E3081="""", F3081&lt;&gt;""""), ""真實收入"",
  TRUE, ""其他""
)"),"真實支出")</f>
        <v>真實支出</v>
      </c>
      <c r="K3081" s="270">
        <f t="shared" si="2"/>
        <v>-16667</v>
      </c>
      <c r="L3081">
        <f t="shared" si="3"/>
        <v>0</v>
      </c>
    </row>
    <row r="3082">
      <c r="A3082" s="107">
        <f>IFERROR(__xludf.DUMMYFUNCTION("""COMPUTED_VALUE"""),46023.0)</f>
        <v>46023</v>
      </c>
      <c r="B3082" t="str">
        <f>IFERROR(__xludf.DUMMYFUNCTION("""COMPUTED_VALUE"""),"[中山北Feli家] D 月租金 後五碼:45046 (行號: 29)")</f>
        <v>[中山北Feli家] D 月租金 後五碼:45046 (行號: 29)</v>
      </c>
      <c r="C3082" t="str">
        <f>IFERROR(__xludf.DUMMYFUNCTION("""COMPUTED_VALUE"""),"收入 - 租金")</f>
        <v>收入 - 租金</v>
      </c>
      <c r="D3082" s="270">
        <f>IFERROR(__xludf.DUMMYFUNCTION("""COMPUTED_VALUE"""),10800.0)</f>
        <v>10800</v>
      </c>
      <c r="F3082" t="str">
        <f>IFERROR(__xludf.DUMMYFUNCTION("""COMPUTED_VALUE"""),"台銀籌備帳戶")</f>
        <v>台銀籌備帳戶</v>
      </c>
      <c r="G3082" t="str">
        <f>IFERROR(__xludf.DUMMYFUNCTION("""COMPUTED_VALUE"""),"中山北Feli家")</f>
        <v>中山北Feli家</v>
      </c>
      <c r="H3082" s="106" t="str">
        <f t="shared" si="1"/>
        <v>2026-01</v>
      </c>
      <c r="I3082" s="271" t="str">
        <f>IFERROR(__xludf.DUMMYFUNCTION("""COMPUTED_VALUE"""),"貓狗企鵝")</f>
        <v>貓狗企鵝</v>
      </c>
      <c r="J3082" t="str">
        <f>IFERROR(__xludf.DUMMYFUNCTION("IFS(
  AND(REGEXMATCH(E3082, ""台銀籌備帳戶|玉山帳戶""), REGEXMATCH(C3082, ""薪資"")), ""分潤支出"",
  AND(REGEXMATCH(E3082, ""Ben帳戶|Elsa帳戶|Ben代墊|Ariel代墊|中信銀行共用""), REGEXMATCH(F3082, ""Ben帳戶|Elsa帳戶|Ben代墊|Ariel代墊|中信銀行共用"")), ""內部轉帳(忽略)"",
  AND(E3082&lt;&gt;"""", F3082&lt;&gt;"""", N"&amp;"OT(REGEXMATCH(C3082, ""薪資""))), ""內部轉帳(忽略)"",
  REGEXMATCH(C3082, ""薪資""), ""薪資變動(不計入)"",
  REGEXMATCH(C3082, ""押金""), ""押金往來"",
  AND(E3082&lt;&gt;"""", F3082=""""), ""真實支出"",
  AND(E3082="""", F3082&lt;&gt;""""), ""真實收入"",
  TRUE, ""其他""
)"),"真實收入")</f>
        <v>真實收入</v>
      </c>
      <c r="K3082" s="270">
        <f t="shared" si="2"/>
        <v>10800</v>
      </c>
      <c r="L3082">
        <f t="shared" si="3"/>
        <v>0</v>
      </c>
    </row>
    <row r="3083">
      <c r="A3083" s="107">
        <f>IFERROR(__xludf.DUMMYFUNCTION("""COMPUTED_VALUE"""),46023.0)</f>
        <v>46023</v>
      </c>
      <c r="B3083" t="str">
        <f>IFERROR(__xludf.DUMMYFUNCTION("""COMPUTED_VALUE"""),"[市府爺爺家] A 月租金 後五碼:44967 (行號: 30)")</f>
        <v>[市府爺爺家] A 月租金 後五碼:44967 (行號: 30)</v>
      </c>
      <c r="C3083" t="str">
        <f>IFERROR(__xludf.DUMMYFUNCTION("""COMPUTED_VALUE"""),"收入 - 租金")</f>
        <v>收入 - 租金</v>
      </c>
      <c r="D3083" s="270">
        <f>IFERROR(__xludf.DUMMYFUNCTION("""COMPUTED_VALUE"""),22000.0)</f>
        <v>22000</v>
      </c>
      <c r="F3083" t="str">
        <f>IFERROR(__xludf.DUMMYFUNCTION("""COMPUTED_VALUE"""),"台銀籌備帳戶")</f>
        <v>台銀籌備帳戶</v>
      </c>
      <c r="G3083" t="str">
        <f>IFERROR(__xludf.DUMMYFUNCTION("""COMPUTED_VALUE"""),"市府爺爺家")</f>
        <v>市府爺爺家</v>
      </c>
      <c r="H3083" s="106" t="str">
        <f t="shared" si="1"/>
        <v>2026-01</v>
      </c>
      <c r="I3083" s="271" t="str">
        <f>IFERROR(__xludf.DUMMYFUNCTION("""COMPUTED_VALUE"""),"貓狗企鵝")</f>
        <v>貓狗企鵝</v>
      </c>
      <c r="J3083" t="str">
        <f>IFERROR(__xludf.DUMMYFUNCTION("IFS(
  AND(REGEXMATCH(E3083, ""台銀籌備帳戶|玉山帳戶""), REGEXMATCH(C3083, ""薪資"")), ""分潤支出"",
  AND(REGEXMATCH(E3083, ""Ben帳戶|Elsa帳戶|Ben代墊|Ariel代墊|中信銀行共用""), REGEXMATCH(F3083, ""Ben帳戶|Elsa帳戶|Ben代墊|Ariel代墊|中信銀行共用"")), ""內部轉帳(忽略)"",
  AND(E3083&lt;&gt;"""", F3083&lt;&gt;"""", N"&amp;"OT(REGEXMATCH(C3083, ""薪資""))), ""內部轉帳(忽略)"",
  REGEXMATCH(C3083, ""薪資""), ""薪資變動(不計入)"",
  REGEXMATCH(C3083, ""押金""), ""押金往來"",
  AND(E3083&lt;&gt;"""", F3083=""""), ""真實支出"",
  AND(E3083="""", F3083&lt;&gt;""""), ""真實收入"",
  TRUE, ""其他""
)"),"真實收入")</f>
        <v>真實收入</v>
      </c>
      <c r="K3083" s="270">
        <f t="shared" si="2"/>
        <v>22000</v>
      </c>
      <c r="L3083">
        <f t="shared" si="3"/>
        <v>0</v>
      </c>
    </row>
    <row r="3084">
      <c r="A3084" s="107">
        <f>IFERROR(__xludf.DUMMYFUNCTION("""COMPUTED_VALUE"""),46023.0)</f>
        <v>46023</v>
      </c>
      <c r="B3084" t="str">
        <f>IFERROR(__xludf.DUMMYFUNCTION("""COMPUTED_VALUE"""),"[景安2分鐘] C 月租金 後五碼:40729 (行號: 31)")</f>
        <v>[景安2分鐘] C 月租金 後五碼:40729 (行號: 31)</v>
      </c>
      <c r="C3084" t="str">
        <f>IFERROR(__xludf.DUMMYFUNCTION("""COMPUTED_VALUE"""),"收入 - 租金")</f>
        <v>收入 - 租金</v>
      </c>
      <c r="D3084" s="270">
        <f>IFERROR(__xludf.DUMMYFUNCTION("""COMPUTED_VALUE"""),12500.0)</f>
        <v>12500</v>
      </c>
      <c r="F3084" t="str">
        <f>IFERROR(__xludf.DUMMYFUNCTION("""COMPUTED_VALUE"""),"台銀籌備帳戶")</f>
        <v>台銀籌備帳戶</v>
      </c>
      <c r="G3084" t="str">
        <f>IFERROR(__xludf.DUMMYFUNCTION("""COMPUTED_VALUE"""),"景安2分鐘")</f>
        <v>景安2分鐘</v>
      </c>
      <c r="H3084" s="106" t="str">
        <f t="shared" si="1"/>
        <v>2026-01</v>
      </c>
      <c r="I3084" s="271" t="str">
        <f>IFERROR(__xludf.DUMMYFUNCTION("""COMPUTED_VALUE"""),"貓狗企鵝")</f>
        <v>貓狗企鵝</v>
      </c>
      <c r="J3084" t="str">
        <f>IFERROR(__xludf.DUMMYFUNCTION("IFS(
  AND(REGEXMATCH(E3084, ""台銀籌備帳戶|玉山帳戶""), REGEXMATCH(C3084, ""薪資"")), ""分潤支出"",
  AND(REGEXMATCH(E3084, ""Ben帳戶|Elsa帳戶|Ben代墊|Ariel代墊|中信銀行共用""), REGEXMATCH(F3084, ""Ben帳戶|Elsa帳戶|Ben代墊|Ariel代墊|中信銀行共用"")), ""內部轉帳(忽略)"",
  AND(E3084&lt;&gt;"""", F3084&lt;&gt;"""", N"&amp;"OT(REGEXMATCH(C3084, ""薪資""))), ""內部轉帳(忽略)"",
  REGEXMATCH(C3084, ""薪資""), ""薪資變動(不計入)"",
  REGEXMATCH(C3084, ""押金""), ""押金往來"",
  AND(E3084&lt;&gt;"""", F3084=""""), ""真實支出"",
  AND(E3084="""", F3084&lt;&gt;""""), ""真實收入"",
  TRUE, ""其他""
)"),"真實收入")</f>
        <v>真實收入</v>
      </c>
      <c r="K3084" s="270">
        <f t="shared" si="2"/>
        <v>12500</v>
      </c>
      <c r="L3084">
        <f t="shared" si="3"/>
        <v>0</v>
      </c>
    </row>
    <row r="3085">
      <c r="A3085" s="107">
        <f>IFERROR(__xludf.DUMMYFUNCTION("""COMPUTED_VALUE"""),46023.0)</f>
        <v>46023</v>
      </c>
      <c r="B3085" t="str">
        <f>IFERROR(__xludf.DUMMYFUNCTION("""COMPUTED_VALUE"""),"[大湖山莊] A 月租金 後五碼:60119 (行號: 32)")</f>
        <v>[大湖山莊] A 月租金 後五碼:60119 (行號: 32)</v>
      </c>
      <c r="C3085" t="str">
        <f>IFERROR(__xludf.DUMMYFUNCTION("""COMPUTED_VALUE"""),"收入 - 租金")</f>
        <v>收入 - 租金</v>
      </c>
      <c r="D3085" s="270">
        <f>IFERROR(__xludf.DUMMYFUNCTION("""COMPUTED_VALUE"""),13000.0)</f>
        <v>13000</v>
      </c>
      <c r="F3085" t="str">
        <f>IFERROR(__xludf.DUMMYFUNCTION("""COMPUTED_VALUE"""),"台銀籌備帳戶")</f>
        <v>台銀籌備帳戶</v>
      </c>
      <c r="G3085" t="str">
        <f>IFERROR(__xludf.DUMMYFUNCTION("""COMPUTED_VALUE"""),"大湖山莊")</f>
        <v>大湖山莊</v>
      </c>
      <c r="H3085" s="106" t="str">
        <f t="shared" si="1"/>
        <v>2026-01</v>
      </c>
      <c r="I3085" s="271" t="str">
        <f>IFERROR(__xludf.DUMMYFUNCTION("""COMPUTED_VALUE"""),"貓狗企鵝")</f>
        <v>貓狗企鵝</v>
      </c>
      <c r="J3085" t="str">
        <f>IFERROR(__xludf.DUMMYFUNCTION("IFS(
  AND(REGEXMATCH(E3085, ""台銀籌備帳戶|玉山帳戶""), REGEXMATCH(C3085, ""薪資"")), ""分潤支出"",
  AND(REGEXMATCH(E3085, ""Ben帳戶|Elsa帳戶|Ben代墊|Ariel代墊|中信銀行共用""), REGEXMATCH(F3085, ""Ben帳戶|Elsa帳戶|Ben代墊|Ariel代墊|中信銀行共用"")), ""內部轉帳(忽略)"",
  AND(E3085&lt;&gt;"""", F3085&lt;&gt;"""", N"&amp;"OT(REGEXMATCH(C3085, ""薪資""))), ""內部轉帳(忽略)"",
  REGEXMATCH(C3085, ""薪資""), ""薪資變動(不計入)"",
  REGEXMATCH(C3085, ""押金""), ""押金往來"",
  AND(E3085&lt;&gt;"""", F3085=""""), ""真實支出"",
  AND(E3085="""", F3085&lt;&gt;""""), ""真實收入"",
  TRUE, ""其他""
)"),"真實收入")</f>
        <v>真實收入</v>
      </c>
      <c r="K3085" s="270">
        <f t="shared" si="2"/>
        <v>13000</v>
      </c>
      <c r="L3085">
        <f t="shared" si="3"/>
        <v>0</v>
      </c>
    </row>
    <row r="3086">
      <c r="A3086" s="107">
        <f>IFERROR(__xludf.DUMMYFUNCTION("""COMPUTED_VALUE"""),46023.0)</f>
        <v>46023</v>
      </c>
      <c r="B3086" t="str">
        <f>IFERROR(__xludf.DUMMYFUNCTION("""COMPUTED_VALUE"""),"[永春四號] D 月租金 後五碼:54267 (行號: 33)")</f>
        <v>[永春四號] D 月租金 後五碼:54267 (行號: 33)</v>
      </c>
      <c r="C3086" t="str">
        <f>IFERROR(__xludf.DUMMYFUNCTION("""COMPUTED_VALUE"""),"收入 - 租金")</f>
        <v>收入 - 租金</v>
      </c>
      <c r="D3086" s="270">
        <f>IFERROR(__xludf.DUMMYFUNCTION("""COMPUTED_VALUE"""),14300.0)</f>
        <v>14300</v>
      </c>
      <c r="F3086" t="str">
        <f>IFERROR(__xludf.DUMMYFUNCTION("""COMPUTED_VALUE"""),"台銀籌備帳戶")</f>
        <v>台銀籌備帳戶</v>
      </c>
      <c r="G3086" t="str">
        <f>IFERROR(__xludf.DUMMYFUNCTION("""COMPUTED_VALUE"""),"永春四號")</f>
        <v>永春四號</v>
      </c>
      <c r="H3086" s="106" t="str">
        <f t="shared" si="1"/>
        <v>2026-01</v>
      </c>
      <c r="I3086" s="271" t="str">
        <f>IFERROR(__xludf.DUMMYFUNCTION("""COMPUTED_VALUE"""),"貓狗企鵝")</f>
        <v>貓狗企鵝</v>
      </c>
      <c r="J3086" t="str">
        <f>IFERROR(__xludf.DUMMYFUNCTION("IFS(
  AND(REGEXMATCH(E3086, ""台銀籌備帳戶|玉山帳戶""), REGEXMATCH(C3086, ""薪資"")), ""分潤支出"",
  AND(REGEXMATCH(E3086, ""Ben帳戶|Elsa帳戶|Ben代墊|Ariel代墊|中信銀行共用""), REGEXMATCH(F3086, ""Ben帳戶|Elsa帳戶|Ben代墊|Ariel代墊|中信銀行共用"")), ""內部轉帳(忽略)"",
  AND(E3086&lt;&gt;"""", F3086&lt;&gt;"""", N"&amp;"OT(REGEXMATCH(C3086, ""薪資""))), ""內部轉帳(忽略)"",
  REGEXMATCH(C3086, ""薪資""), ""薪資變動(不計入)"",
  REGEXMATCH(C3086, ""押金""), ""押金往來"",
  AND(E3086&lt;&gt;"""", F3086=""""), ""真實支出"",
  AND(E3086="""", F3086&lt;&gt;""""), ""真實收入"",
  TRUE, ""其他""
)"),"真實收入")</f>
        <v>真實收入</v>
      </c>
      <c r="K3086" s="270">
        <f t="shared" si="2"/>
        <v>14300</v>
      </c>
      <c r="L3086">
        <f t="shared" si="3"/>
        <v>0</v>
      </c>
    </row>
    <row r="3087">
      <c r="A3087" s="107">
        <f>IFERROR(__xludf.DUMMYFUNCTION("""COMPUTED_VALUE"""),46023.0)</f>
        <v>46023</v>
      </c>
      <c r="B3087" t="str">
        <f>IFERROR(__xludf.DUMMYFUNCTION("""COMPUTED_VALUE"""),"[永春四號] B 月租金 後五碼:31402 (行號: 34)")</f>
        <v>[永春四號] B 月租金 後五碼:31402 (行號: 34)</v>
      </c>
      <c r="C3087" t="str">
        <f>IFERROR(__xludf.DUMMYFUNCTION("""COMPUTED_VALUE"""),"收入 - 租金")</f>
        <v>收入 - 租金</v>
      </c>
      <c r="D3087" s="270">
        <f>IFERROR(__xludf.DUMMYFUNCTION("""COMPUTED_VALUE"""),13500.0)</f>
        <v>13500</v>
      </c>
      <c r="F3087" t="str">
        <f>IFERROR(__xludf.DUMMYFUNCTION("""COMPUTED_VALUE"""),"台銀籌備帳戶")</f>
        <v>台銀籌備帳戶</v>
      </c>
      <c r="G3087" t="str">
        <f>IFERROR(__xludf.DUMMYFUNCTION("""COMPUTED_VALUE"""),"永春四號")</f>
        <v>永春四號</v>
      </c>
      <c r="H3087" s="106" t="str">
        <f t="shared" si="1"/>
        <v>2026-01</v>
      </c>
      <c r="I3087" s="271" t="str">
        <f>IFERROR(__xludf.DUMMYFUNCTION("""COMPUTED_VALUE"""),"貓狗企鵝")</f>
        <v>貓狗企鵝</v>
      </c>
      <c r="J3087" t="str">
        <f>IFERROR(__xludf.DUMMYFUNCTION("IFS(
  AND(REGEXMATCH(E3087, ""台銀籌備帳戶|玉山帳戶""), REGEXMATCH(C3087, ""薪資"")), ""分潤支出"",
  AND(REGEXMATCH(E3087, ""Ben帳戶|Elsa帳戶|Ben代墊|Ariel代墊|中信銀行共用""), REGEXMATCH(F3087, ""Ben帳戶|Elsa帳戶|Ben代墊|Ariel代墊|中信銀行共用"")), ""內部轉帳(忽略)"",
  AND(E3087&lt;&gt;"""", F3087&lt;&gt;"""", N"&amp;"OT(REGEXMATCH(C3087, ""薪資""))), ""內部轉帳(忽略)"",
  REGEXMATCH(C3087, ""薪資""), ""薪資變動(不計入)"",
  REGEXMATCH(C3087, ""押金""), ""押金往來"",
  AND(E3087&lt;&gt;"""", F3087=""""), ""真實支出"",
  AND(E3087="""", F3087&lt;&gt;""""), ""真實收入"",
  TRUE, ""其他""
)"),"真實收入")</f>
        <v>真實收入</v>
      </c>
      <c r="K3087" s="270">
        <f t="shared" si="2"/>
        <v>13500</v>
      </c>
      <c r="L3087">
        <f t="shared" si="3"/>
        <v>0</v>
      </c>
    </row>
    <row r="3088">
      <c r="A3088" s="107">
        <f>IFERROR(__xludf.DUMMYFUNCTION("""COMPUTED_VALUE"""),46023.0)</f>
        <v>46023</v>
      </c>
      <c r="B3088" t="str">
        <f>IFERROR(__xludf.DUMMYFUNCTION("""COMPUTED_VALUE"""),"[北醫醫師府] D 月租金 後五碼:79414 (行號: 35)")</f>
        <v>[北醫醫師府] D 月租金 後五碼:79414 (行號: 35)</v>
      </c>
      <c r="C3088" t="str">
        <f>IFERROR(__xludf.DUMMYFUNCTION("""COMPUTED_VALUE"""),"收入 - 租金")</f>
        <v>收入 - 租金</v>
      </c>
      <c r="D3088" s="270">
        <f>IFERROR(__xludf.DUMMYFUNCTION("""COMPUTED_VALUE"""),12000.0)</f>
        <v>12000</v>
      </c>
      <c r="F3088" t="str">
        <f>IFERROR(__xludf.DUMMYFUNCTION("""COMPUTED_VALUE"""),"台銀籌備帳戶")</f>
        <v>台銀籌備帳戶</v>
      </c>
      <c r="G3088" t="str">
        <f>IFERROR(__xludf.DUMMYFUNCTION("""COMPUTED_VALUE"""),"北醫醫師府")</f>
        <v>北醫醫師府</v>
      </c>
      <c r="H3088" s="106" t="str">
        <f t="shared" si="1"/>
        <v>2026-01</v>
      </c>
      <c r="I3088" s="271" t="str">
        <f>IFERROR(__xludf.DUMMYFUNCTION("""COMPUTED_VALUE"""),"貓狗企鵝")</f>
        <v>貓狗企鵝</v>
      </c>
      <c r="J3088" t="str">
        <f>IFERROR(__xludf.DUMMYFUNCTION("IFS(
  AND(REGEXMATCH(E3088, ""台銀籌備帳戶|玉山帳戶""), REGEXMATCH(C3088, ""薪資"")), ""分潤支出"",
  AND(REGEXMATCH(E3088, ""Ben帳戶|Elsa帳戶|Ben代墊|Ariel代墊|中信銀行共用""), REGEXMATCH(F3088, ""Ben帳戶|Elsa帳戶|Ben代墊|Ariel代墊|中信銀行共用"")), ""內部轉帳(忽略)"",
  AND(E3088&lt;&gt;"""", F3088&lt;&gt;"""", N"&amp;"OT(REGEXMATCH(C3088, ""薪資""))), ""內部轉帳(忽略)"",
  REGEXMATCH(C3088, ""薪資""), ""薪資變動(不計入)"",
  REGEXMATCH(C3088, ""押金""), ""押金往來"",
  AND(E3088&lt;&gt;"""", F3088=""""), ""真實支出"",
  AND(E3088="""", F3088&lt;&gt;""""), ""真實收入"",
  TRUE, ""其他""
)"),"真實收入")</f>
        <v>真實收入</v>
      </c>
      <c r="K3088" s="270">
        <f t="shared" si="2"/>
        <v>12000</v>
      </c>
      <c r="L3088">
        <f t="shared" si="3"/>
        <v>0</v>
      </c>
    </row>
    <row r="3089">
      <c r="A3089" s="107">
        <f>IFERROR(__xludf.DUMMYFUNCTION("""COMPUTED_VALUE"""),46023.0)</f>
        <v>46023</v>
      </c>
      <c r="B3089" t="str">
        <f>IFERROR(__xludf.DUMMYFUNCTION("""COMPUTED_VALUE"""),"[大湖山莊] D 月租金 後五碼:57000 (行號: 36)")</f>
        <v>[大湖山莊] D 月租金 後五碼:57000 (行號: 36)</v>
      </c>
      <c r="C3089" t="str">
        <f>IFERROR(__xludf.DUMMYFUNCTION("""COMPUTED_VALUE"""),"收入 - 租金")</f>
        <v>收入 - 租金</v>
      </c>
      <c r="D3089" s="270">
        <f>IFERROR(__xludf.DUMMYFUNCTION("""COMPUTED_VALUE"""),14300.0)</f>
        <v>14300</v>
      </c>
      <c r="F3089" t="str">
        <f>IFERROR(__xludf.DUMMYFUNCTION("""COMPUTED_VALUE"""),"台銀籌備帳戶")</f>
        <v>台銀籌備帳戶</v>
      </c>
      <c r="G3089" t="str">
        <f>IFERROR(__xludf.DUMMYFUNCTION("""COMPUTED_VALUE"""),"大湖山莊")</f>
        <v>大湖山莊</v>
      </c>
      <c r="H3089" s="106" t="str">
        <f t="shared" si="1"/>
        <v>2026-01</v>
      </c>
      <c r="I3089" s="271" t="str">
        <f>IFERROR(__xludf.DUMMYFUNCTION("""COMPUTED_VALUE"""),"貓狗企鵝")</f>
        <v>貓狗企鵝</v>
      </c>
      <c r="J3089" t="str">
        <f>IFERROR(__xludf.DUMMYFUNCTION("IFS(
  AND(REGEXMATCH(E3089, ""台銀籌備帳戶|玉山帳戶""), REGEXMATCH(C3089, ""薪資"")), ""分潤支出"",
  AND(REGEXMATCH(E3089, ""Ben帳戶|Elsa帳戶|Ben代墊|Ariel代墊|中信銀行共用""), REGEXMATCH(F3089, ""Ben帳戶|Elsa帳戶|Ben代墊|Ariel代墊|中信銀行共用"")), ""內部轉帳(忽略)"",
  AND(E3089&lt;&gt;"""", F3089&lt;&gt;"""", N"&amp;"OT(REGEXMATCH(C3089, ""薪資""))), ""內部轉帳(忽略)"",
  REGEXMATCH(C3089, ""薪資""), ""薪資變動(不計入)"",
  REGEXMATCH(C3089, ""押金""), ""押金往來"",
  AND(E3089&lt;&gt;"""", F3089=""""), ""真實支出"",
  AND(E3089="""", F3089&lt;&gt;""""), ""真實收入"",
  TRUE, ""其他""
)"),"真實收入")</f>
        <v>真實收入</v>
      </c>
      <c r="K3089" s="270">
        <f t="shared" si="2"/>
        <v>14300</v>
      </c>
      <c r="L3089">
        <f t="shared" si="3"/>
        <v>0</v>
      </c>
    </row>
    <row r="3090">
      <c r="A3090" s="107">
        <f>IFERROR(__xludf.DUMMYFUNCTION("""COMPUTED_VALUE"""),46023.0)</f>
        <v>46023</v>
      </c>
      <c r="B3090" t="str">
        <f>IFERROR(__xludf.DUMMYFUNCTION("""COMPUTED_VALUE"""),"[北醫醫師府] B 月租金 後五碼:26127 (行號: 37)")</f>
        <v>[北醫醫師府] B 月租金 後五碼:26127 (行號: 37)</v>
      </c>
      <c r="C3090" t="str">
        <f>IFERROR(__xludf.DUMMYFUNCTION("""COMPUTED_VALUE"""),"收入 - 租金")</f>
        <v>收入 - 租金</v>
      </c>
      <c r="D3090" s="270">
        <f>IFERROR(__xludf.DUMMYFUNCTION("""COMPUTED_VALUE"""),17800.0)</f>
        <v>17800</v>
      </c>
      <c r="F3090" t="str">
        <f>IFERROR(__xludf.DUMMYFUNCTION("""COMPUTED_VALUE"""),"台銀籌備帳戶")</f>
        <v>台銀籌備帳戶</v>
      </c>
      <c r="G3090" t="str">
        <f>IFERROR(__xludf.DUMMYFUNCTION("""COMPUTED_VALUE"""),"北醫醫師府")</f>
        <v>北醫醫師府</v>
      </c>
      <c r="H3090" s="106" t="str">
        <f t="shared" si="1"/>
        <v>2026-01</v>
      </c>
      <c r="I3090" s="271" t="str">
        <f>IFERROR(__xludf.DUMMYFUNCTION("""COMPUTED_VALUE"""),"貓狗企鵝")</f>
        <v>貓狗企鵝</v>
      </c>
      <c r="J3090" t="str">
        <f>IFERROR(__xludf.DUMMYFUNCTION("IFS(
  AND(REGEXMATCH(E3090, ""台銀籌備帳戶|玉山帳戶""), REGEXMATCH(C3090, ""薪資"")), ""分潤支出"",
  AND(REGEXMATCH(E3090, ""Ben帳戶|Elsa帳戶|Ben代墊|Ariel代墊|中信銀行共用""), REGEXMATCH(F3090, ""Ben帳戶|Elsa帳戶|Ben代墊|Ariel代墊|中信銀行共用"")), ""內部轉帳(忽略)"",
  AND(E3090&lt;&gt;"""", F3090&lt;&gt;"""", N"&amp;"OT(REGEXMATCH(C3090, ""薪資""))), ""內部轉帳(忽略)"",
  REGEXMATCH(C3090, ""薪資""), ""薪資變動(不計入)"",
  REGEXMATCH(C3090, ""押金""), ""押金往來"",
  AND(E3090&lt;&gt;"""", F3090=""""), ""真實支出"",
  AND(E3090="""", F3090&lt;&gt;""""), ""真實收入"",
  TRUE, ""其他""
)"),"真實收入")</f>
        <v>真實收入</v>
      </c>
      <c r="K3090" s="270">
        <f t="shared" si="2"/>
        <v>17800</v>
      </c>
      <c r="L3090">
        <f t="shared" si="3"/>
        <v>0</v>
      </c>
    </row>
    <row r="3091">
      <c r="A3091" s="107">
        <f>IFERROR(__xludf.DUMMYFUNCTION("""COMPUTED_VALUE"""),46023.0)</f>
        <v>46023</v>
      </c>
      <c r="B3091" t="str">
        <f>IFERROR(__xludf.DUMMYFUNCTION("""COMPUTED_VALUE"""),"[景安2分鐘] E 月租金 後五碼:75759 (行號: 38)")</f>
        <v>[景安2分鐘] E 月租金 後五碼:75759 (行號: 38)</v>
      </c>
      <c r="C3091" t="str">
        <f>IFERROR(__xludf.DUMMYFUNCTION("""COMPUTED_VALUE"""),"收入 - 租金")</f>
        <v>收入 - 租金</v>
      </c>
      <c r="D3091" s="270">
        <f>IFERROR(__xludf.DUMMYFUNCTION("""COMPUTED_VALUE"""),10500.0)</f>
        <v>10500</v>
      </c>
      <c r="F3091" t="str">
        <f>IFERROR(__xludf.DUMMYFUNCTION("""COMPUTED_VALUE"""),"台銀籌備帳戶")</f>
        <v>台銀籌備帳戶</v>
      </c>
      <c r="G3091" t="str">
        <f>IFERROR(__xludf.DUMMYFUNCTION("""COMPUTED_VALUE"""),"景安2分鐘")</f>
        <v>景安2分鐘</v>
      </c>
      <c r="H3091" s="106" t="str">
        <f t="shared" si="1"/>
        <v>2026-01</v>
      </c>
      <c r="I3091" s="271" t="str">
        <f>IFERROR(__xludf.DUMMYFUNCTION("""COMPUTED_VALUE"""),"貓狗企鵝")</f>
        <v>貓狗企鵝</v>
      </c>
      <c r="J3091" t="str">
        <f>IFERROR(__xludf.DUMMYFUNCTION("IFS(
  AND(REGEXMATCH(E3091, ""台銀籌備帳戶|玉山帳戶""), REGEXMATCH(C3091, ""薪資"")), ""分潤支出"",
  AND(REGEXMATCH(E3091, ""Ben帳戶|Elsa帳戶|Ben代墊|Ariel代墊|中信銀行共用""), REGEXMATCH(F3091, ""Ben帳戶|Elsa帳戶|Ben代墊|Ariel代墊|中信銀行共用"")), ""內部轉帳(忽略)"",
  AND(E3091&lt;&gt;"""", F3091&lt;&gt;"""", N"&amp;"OT(REGEXMATCH(C3091, ""薪資""))), ""內部轉帳(忽略)"",
  REGEXMATCH(C3091, ""薪資""), ""薪資變動(不計入)"",
  REGEXMATCH(C3091, ""押金""), ""押金往來"",
  AND(E3091&lt;&gt;"""", F3091=""""), ""真實支出"",
  AND(E3091="""", F3091&lt;&gt;""""), ""真實收入"",
  TRUE, ""其他""
)"),"真實收入")</f>
        <v>真實收入</v>
      </c>
      <c r="K3091" s="270">
        <f t="shared" si="2"/>
        <v>10500</v>
      </c>
      <c r="L3091">
        <f t="shared" si="3"/>
        <v>0</v>
      </c>
    </row>
    <row r="3092">
      <c r="A3092" s="107">
        <f>IFERROR(__xludf.DUMMYFUNCTION("""COMPUTED_VALUE"""),46023.0)</f>
        <v>46023</v>
      </c>
      <c r="B3092" t="str">
        <f>IFERROR(__xludf.DUMMYFUNCTION("""COMPUTED_VALUE"""),"[書香民生] A 月租金 後五碼:73611 (行號: 39)")</f>
        <v>[書香民生] A 月租金 後五碼:73611 (行號: 39)</v>
      </c>
      <c r="C3092" t="str">
        <f>IFERROR(__xludf.DUMMYFUNCTION("""COMPUTED_VALUE"""),"收入 - 租金")</f>
        <v>收入 - 租金</v>
      </c>
      <c r="D3092" s="270">
        <f>IFERROR(__xludf.DUMMYFUNCTION("""COMPUTED_VALUE"""),13300.0)</f>
        <v>13300</v>
      </c>
      <c r="F3092" t="str">
        <f>IFERROR(__xludf.DUMMYFUNCTION("""COMPUTED_VALUE"""),"台銀籌備帳戶")</f>
        <v>台銀籌備帳戶</v>
      </c>
      <c r="G3092" t="str">
        <f>IFERROR(__xludf.DUMMYFUNCTION("""COMPUTED_VALUE"""),"書香民生")</f>
        <v>書香民生</v>
      </c>
      <c r="H3092" s="106" t="str">
        <f t="shared" si="1"/>
        <v>2026-01</v>
      </c>
      <c r="I3092" s="271" t="str">
        <f>IFERROR(__xludf.DUMMYFUNCTION("""COMPUTED_VALUE"""),"貓狗企鵝")</f>
        <v>貓狗企鵝</v>
      </c>
      <c r="J3092" t="str">
        <f>IFERROR(__xludf.DUMMYFUNCTION("IFS(
  AND(REGEXMATCH(E3092, ""台銀籌備帳戶|玉山帳戶""), REGEXMATCH(C3092, ""薪資"")), ""分潤支出"",
  AND(REGEXMATCH(E3092, ""Ben帳戶|Elsa帳戶|Ben代墊|Ariel代墊|中信銀行共用""), REGEXMATCH(F3092, ""Ben帳戶|Elsa帳戶|Ben代墊|Ariel代墊|中信銀行共用"")), ""內部轉帳(忽略)"",
  AND(E3092&lt;&gt;"""", F3092&lt;&gt;"""", N"&amp;"OT(REGEXMATCH(C3092, ""薪資""))), ""內部轉帳(忽略)"",
  REGEXMATCH(C3092, ""薪資""), ""薪資變動(不計入)"",
  REGEXMATCH(C3092, ""押金""), ""押金往來"",
  AND(E3092&lt;&gt;"""", F3092=""""), ""真實支出"",
  AND(E3092="""", F3092&lt;&gt;""""), ""真實收入"",
  TRUE, ""其他""
)"),"真實收入")</f>
        <v>真實收入</v>
      </c>
      <c r="K3092" s="270">
        <f t="shared" si="2"/>
        <v>13300</v>
      </c>
      <c r="L3092">
        <f t="shared" si="3"/>
        <v>0</v>
      </c>
    </row>
    <row r="3093">
      <c r="A3093" s="107">
        <f>IFERROR(__xludf.DUMMYFUNCTION("""COMPUTED_VALUE"""),46023.0)</f>
        <v>46023</v>
      </c>
      <c r="B3093" t="str">
        <f>IFERROR(__xludf.DUMMYFUNCTION("""COMPUTED_VALUE"""),"[大湖山莊] E 月租金 後五碼:60828 (行號: 40)")</f>
        <v>[大湖山莊] E 月租金 後五碼:60828 (行號: 40)</v>
      </c>
      <c r="C3093" t="str">
        <f>IFERROR(__xludf.DUMMYFUNCTION("""COMPUTED_VALUE"""),"收入 - 租金")</f>
        <v>收入 - 租金</v>
      </c>
      <c r="D3093" s="270">
        <f>IFERROR(__xludf.DUMMYFUNCTION("""COMPUTED_VALUE"""),11500.0)</f>
        <v>11500</v>
      </c>
      <c r="F3093" t="str">
        <f>IFERROR(__xludf.DUMMYFUNCTION("""COMPUTED_VALUE"""),"台銀籌備帳戶")</f>
        <v>台銀籌備帳戶</v>
      </c>
      <c r="G3093" t="str">
        <f>IFERROR(__xludf.DUMMYFUNCTION("""COMPUTED_VALUE"""),"大湖山莊")</f>
        <v>大湖山莊</v>
      </c>
      <c r="H3093" s="106" t="str">
        <f t="shared" si="1"/>
        <v>2026-01</v>
      </c>
      <c r="I3093" s="271" t="str">
        <f>IFERROR(__xludf.DUMMYFUNCTION("""COMPUTED_VALUE"""),"貓狗企鵝")</f>
        <v>貓狗企鵝</v>
      </c>
      <c r="J3093" t="str">
        <f>IFERROR(__xludf.DUMMYFUNCTION("IFS(
  AND(REGEXMATCH(E3093, ""台銀籌備帳戶|玉山帳戶""), REGEXMATCH(C3093, ""薪資"")), ""分潤支出"",
  AND(REGEXMATCH(E3093, ""Ben帳戶|Elsa帳戶|Ben代墊|Ariel代墊|中信銀行共用""), REGEXMATCH(F3093, ""Ben帳戶|Elsa帳戶|Ben代墊|Ariel代墊|中信銀行共用"")), ""內部轉帳(忽略)"",
  AND(E3093&lt;&gt;"""", F3093&lt;&gt;"""", N"&amp;"OT(REGEXMATCH(C3093, ""薪資""))), ""內部轉帳(忽略)"",
  REGEXMATCH(C3093, ""薪資""), ""薪資變動(不計入)"",
  REGEXMATCH(C3093, ""押金""), ""押金往來"",
  AND(E3093&lt;&gt;"""", F3093=""""), ""真實支出"",
  AND(E3093="""", F3093&lt;&gt;""""), ""真實收入"",
  TRUE, ""其他""
)"),"真實收入")</f>
        <v>真實收入</v>
      </c>
      <c r="K3093" s="270">
        <f t="shared" si="2"/>
        <v>11500</v>
      </c>
      <c r="L3093">
        <f t="shared" si="3"/>
        <v>0</v>
      </c>
    </row>
    <row r="3094">
      <c r="A3094" s="107">
        <f>IFERROR(__xludf.DUMMYFUNCTION("""COMPUTED_VALUE"""),46023.0)</f>
        <v>46023</v>
      </c>
      <c r="B3094" t="str">
        <f>IFERROR(__xludf.DUMMYFUNCTION("""COMPUTED_VALUE"""),"[書香民生] G 月租金 後五碼:82950 (行號: 41)")</f>
        <v>[書香民生] G 月租金 後五碼:82950 (行號: 41)</v>
      </c>
      <c r="C3094" t="str">
        <f>IFERROR(__xludf.DUMMYFUNCTION("""COMPUTED_VALUE"""),"收入 - 租金")</f>
        <v>收入 - 租金</v>
      </c>
      <c r="D3094" s="270">
        <f>IFERROR(__xludf.DUMMYFUNCTION("""COMPUTED_VALUE"""),16800.0)</f>
        <v>16800</v>
      </c>
      <c r="F3094" t="str">
        <f>IFERROR(__xludf.DUMMYFUNCTION("""COMPUTED_VALUE"""),"台銀籌備帳戶")</f>
        <v>台銀籌備帳戶</v>
      </c>
      <c r="G3094" t="str">
        <f>IFERROR(__xludf.DUMMYFUNCTION("""COMPUTED_VALUE"""),"書香民生")</f>
        <v>書香民生</v>
      </c>
      <c r="H3094" s="106" t="str">
        <f t="shared" si="1"/>
        <v>2026-01</v>
      </c>
      <c r="I3094" s="271" t="str">
        <f>IFERROR(__xludf.DUMMYFUNCTION("""COMPUTED_VALUE"""),"貓狗企鵝")</f>
        <v>貓狗企鵝</v>
      </c>
      <c r="J3094" t="str">
        <f>IFERROR(__xludf.DUMMYFUNCTION("IFS(
  AND(REGEXMATCH(E3094, ""台銀籌備帳戶|玉山帳戶""), REGEXMATCH(C3094, ""薪資"")), ""分潤支出"",
  AND(REGEXMATCH(E3094, ""Ben帳戶|Elsa帳戶|Ben代墊|Ariel代墊|中信銀行共用""), REGEXMATCH(F3094, ""Ben帳戶|Elsa帳戶|Ben代墊|Ariel代墊|中信銀行共用"")), ""內部轉帳(忽略)"",
  AND(E3094&lt;&gt;"""", F3094&lt;&gt;"""", N"&amp;"OT(REGEXMATCH(C3094, ""薪資""))), ""內部轉帳(忽略)"",
  REGEXMATCH(C3094, ""薪資""), ""薪資變動(不計入)"",
  REGEXMATCH(C3094, ""押金""), ""押金往來"",
  AND(E3094&lt;&gt;"""", F3094=""""), ""真實支出"",
  AND(E3094="""", F3094&lt;&gt;""""), ""真實收入"",
  TRUE, ""其他""
)"),"真實收入")</f>
        <v>真實收入</v>
      </c>
      <c r="K3094" s="270">
        <f t="shared" si="2"/>
        <v>16800</v>
      </c>
      <c r="L3094">
        <f t="shared" si="3"/>
        <v>0</v>
      </c>
    </row>
    <row r="3095">
      <c r="A3095" s="107">
        <f>IFERROR(__xludf.DUMMYFUNCTION("""COMPUTED_VALUE"""),46023.0)</f>
        <v>46023</v>
      </c>
      <c r="B3095" t="str">
        <f>IFERROR(__xludf.DUMMYFUNCTION("""COMPUTED_VALUE"""),"[中山北Feli家] B 月租金 後五碼:48700/92961 (行號: 42)")</f>
        <v>[中山北Feli家] B 月租金 後五碼:48700/92961 (行號: 42)</v>
      </c>
      <c r="C3095" t="str">
        <f>IFERROR(__xludf.DUMMYFUNCTION("""COMPUTED_VALUE"""),"收入 - 租金")</f>
        <v>收入 - 租金</v>
      </c>
      <c r="D3095" s="270">
        <f>IFERROR(__xludf.DUMMYFUNCTION("""COMPUTED_VALUE"""),17500.0)</f>
        <v>17500</v>
      </c>
      <c r="F3095" t="str">
        <f>IFERROR(__xludf.DUMMYFUNCTION("""COMPUTED_VALUE"""),"台銀籌備帳戶")</f>
        <v>台銀籌備帳戶</v>
      </c>
      <c r="G3095" t="str">
        <f>IFERROR(__xludf.DUMMYFUNCTION("""COMPUTED_VALUE"""),"中山北Feli家")</f>
        <v>中山北Feli家</v>
      </c>
      <c r="H3095" s="106" t="str">
        <f t="shared" si="1"/>
        <v>2026-01</v>
      </c>
      <c r="I3095" s="271" t="str">
        <f>IFERROR(__xludf.DUMMYFUNCTION("""COMPUTED_VALUE"""),"貓狗企鵝")</f>
        <v>貓狗企鵝</v>
      </c>
      <c r="J3095" t="str">
        <f>IFERROR(__xludf.DUMMYFUNCTION("IFS(
  AND(REGEXMATCH(E3095, ""台銀籌備帳戶|玉山帳戶""), REGEXMATCH(C3095, ""薪資"")), ""分潤支出"",
  AND(REGEXMATCH(E3095, ""Ben帳戶|Elsa帳戶|Ben代墊|Ariel代墊|中信銀行共用""), REGEXMATCH(F3095, ""Ben帳戶|Elsa帳戶|Ben代墊|Ariel代墊|中信銀行共用"")), ""內部轉帳(忽略)"",
  AND(E3095&lt;&gt;"""", F3095&lt;&gt;"""", N"&amp;"OT(REGEXMATCH(C3095, ""薪資""))), ""內部轉帳(忽略)"",
  REGEXMATCH(C3095, ""薪資""), ""薪資變動(不計入)"",
  REGEXMATCH(C3095, ""押金""), ""押金往來"",
  AND(E3095&lt;&gt;"""", F3095=""""), ""真實支出"",
  AND(E3095="""", F3095&lt;&gt;""""), ""真實收入"",
  TRUE, ""其他""
)"),"真實收入")</f>
        <v>真實收入</v>
      </c>
      <c r="K3095" s="270">
        <f t="shared" si="2"/>
        <v>17500</v>
      </c>
      <c r="L3095">
        <f t="shared" si="3"/>
        <v>0</v>
      </c>
    </row>
    <row r="3096">
      <c r="A3096" s="107">
        <f>IFERROR(__xludf.DUMMYFUNCTION("""COMPUTED_VALUE"""),46023.0)</f>
        <v>46023</v>
      </c>
      <c r="B3096" t="str">
        <f>IFERROR(__xludf.DUMMYFUNCTION("""COMPUTED_VALUE"""),"[龍江229] B 月租金 後五碼:67546 (行號: 43)")</f>
        <v>[龍江229] B 月租金 後五碼:67546 (行號: 43)</v>
      </c>
      <c r="C3096" t="str">
        <f>IFERROR(__xludf.DUMMYFUNCTION("""COMPUTED_VALUE"""),"收入 - 租金")</f>
        <v>收入 - 租金</v>
      </c>
      <c r="D3096" s="270">
        <f>IFERROR(__xludf.DUMMYFUNCTION("""COMPUTED_VALUE"""),13500.0)</f>
        <v>13500</v>
      </c>
      <c r="F3096" t="str">
        <f>IFERROR(__xludf.DUMMYFUNCTION("""COMPUTED_VALUE"""),"台銀籌備帳戶")</f>
        <v>台銀籌備帳戶</v>
      </c>
      <c r="G3096" t="str">
        <f>IFERROR(__xludf.DUMMYFUNCTION("""COMPUTED_VALUE"""),"龍江229")</f>
        <v>龍江229</v>
      </c>
      <c r="H3096" s="106" t="str">
        <f t="shared" si="1"/>
        <v>2026-01</v>
      </c>
      <c r="I3096" s="271" t="str">
        <f>IFERROR(__xludf.DUMMYFUNCTION("""COMPUTED_VALUE"""),"貓狗企鵝")</f>
        <v>貓狗企鵝</v>
      </c>
      <c r="J3096" t="str">
        <f>IFERROR(__xludf.DUMMYFUNCTION("IFS(
  AND(REGEXMATCH(E3096, ""台銀籌備帳戶|玉山帳戶""), REGEXMATCH(C3096, ""薪資"")), ""分潤支出"",
  AND(REGEXMATCH(E3096, ""Ben帳戶|Elsa帳戶|Ben代墊|Ariel代墊|中信銀行共用""), REGEXMATCH(F3096, ""Ben帳戶|Elsa帳戶|Ben代墊|Ariel代墊|中信銀行共用"")), ""內部轉帳(忽略)"",
  AND(E3096&lt;&gt;"""", F3096&lt;&gt;"""", N"&amp;"OT(REGEXMATCH(C3096, ""薪資""))), ""內部轉帳(忽略)"",
  REGEXMATCH(C3096, ""薪資""), ""薪資變動(不計入)"",
  REGEXMATCH(C3096, ""押金""), ""押金往來"",
  AND(E3096&lt;&gt;"""", F3096=""""), ""真實支出"",
  AND(E3096="""", F3096&lt;&gt;""""), ""真實收入"",
  TRUE, ""其他""
)"),"真實收入")</f>
        <v>真實收入</v>
      </c>
      <c r="K3096" s="270">
        <f t="shared" si="2"/>
        <v>13500</v>
      </c>
      <c r="L3096">
        <f t="shared" si="3"/>
        <v>0</v>
      </c>
    </row>
    <row r="3097">
      <c r="A3097" s="107">
        <f>IFERROR(__xludf.DUMMYFUNCTION("""COMPUTED_VALUE"""),46023.0)</f>
        <v>46023</v>
      </c>
      <c r="B3097" t="str">
        <f>IFERROR(__xludf.DUMMYFUNCTION("""COMPUTED_VALUE"""),"[景安2分鐘] A 月租金 後五碼:74081 (行號: 44)")</f>
        <v>[景安2分鐘] A 月租金 後五碼:74081 (行號: 44)</v>
      </c>
      <c r="C3097" t="str">
        <f>IFERROR(__xludf.DUMMYFUNCTION("""COMPUTED_VALUE"""),"收入 - 租金")</f>
        <v>收入 - 租金</v>
      </c>
      <c r="D3097" s="270">
        <f>IFERROR(__xludf.DUMMYFUNCTION("""COMPUTED_VALUE"""),13800.0)</f>
        <v>13800</v>
      </c>
      <c r="F3097" t="str">
        <f>IFERROR(__xludf.DUMMYFUNCTION("""COMPUTED_VALUE"""),"台銀籌備帳戶")</f>
        <v>台銀籌備帳戶</v>
      </c>
      <c r="G3097" t="str">
        <f>IFERROR(__xludf.DUMMYFUNCTION("""COMPUTED_VALUE"""),"景安2分鐘")</f>
        <v>景安2分鐘</v>
      </c>
      <c r="H3097" s="106" t="str">
        <f t="shared" si="1"/>
        <v>2026-01</v>
      </c>
      <c r="I3097" s="271" t="str">
        <f>IFERROR(__xludf.DUMMYFUNCTION("""COMPUTED_VALUE"""),"貓狗企鵝")</f>
        <v>貓狗企鵝</v>
      </c>
      <c r="J3097" t="str">
        <f>IFERROR(__xludf.DUMMYFUNCTION("IFS(
  AND(REGEXMATCH(E3097, ""台銀籌備帳戶|玉山帳戶""), REGEXMATCH(C3097, ""薪資"")), ""分潤支出"",
  AND(REGEXMATCH(E3097, ""Ben帳戶|Elsa帳戶|Ben代墊|Ariel代墊|中信銀行共用""), REGEXMATCH(F3097, ""Ben帳戶|Elsa帳戶|Ben代墊|Ariel代墊|中信銀行共用"")), ""內部轉帳(忽略)"",
  AND(E3097&lt;&gt;"""", F3097&lt;&gt;"""", N"&amp;"OT(REGEXMATCH(C3097, ""薪資""))), ""內部轉帳(忽略)"",
  REGEXMATCH(C3097, ""薪資""), ""薪資變動(不計入)"",
  REGEXMATCH(C3097, ""押金""), ""押金往來"",
  AND(E3097&lt;&gt;"""", F3097=""""), ""真實支出"",
  AND(E3097="""", F3097&lt;&gt;""""), ""真實收入"",
  TRUE, ""其他""
)"),"真實收入")</f>
        <v>真實收入</v>
      </c>
      <c r="K3097" s="270">
        <f t="shared" si="2"/>
        <v>13800</v>
      </c>
      <c r="L3097">
        <f t="shared" si="3"/>
        <v>0</v>
      </c>
    </row>
    <row r="3098">
      <c r="A3098" s="107">
        <f>IFERROR(__xludf.DUMMYFUNCTION("""COMPUTED_VALUE"""),46023.0)</f>
        <v>46023</v>
      </c>
      <c r="B3098" t="str">
        <f>IFERROR(__xludf.DUMMYFUNCTION("""COMPUTED_VALUE"""),"[中山北娘家旁] D 月租金 後五碼:25359 (行號: 45)")</f>
        <v>[中山北娘家旁] D 月租金 後五碼:25359 (行號: 45)</v>
      </c>
      <c r="C3098" t="str">
        <f>IFERROR(__xludf.DUMMYFUNCTION("""COMPUTED_VALUE"""),"收入 - 租金")</f>
        <v>收入 - 租金</v>
      </c>
      <c r="D3098" s="270">
        <f>IFERROR(__xludf.DUMMYFUNCTION("""COMPUTED_VALUE"""),14500.0)</f>
        <v>14500</v>
      </c>
      <c r="F3098" t="str">
        <f>IFERROR(__xludf.DUMMYFUNCTION("""COMPUTED_VALUE"""),"台銀籌備帳戶")</f>
        <v>台銀籌備帳戶</v>
      </c>
      <c r="G3098" t="str">
        <f>IFERROR(__xludf.DUMMYFUNCTION("""COMPUTED_VALUE"""),"中山北娘家旁")</f>
        <v>中山北娘家旁</v>
      </c>
      <c r="H3098" s="106" t="str">
        <f t="shared" si="1"/>
        <v>2026-01</v>
      </c>
      <c r="I3098" s="271" t="str">
        <f>IFERROR(__xludf.DUMMYFUNCTION("""COMPUTED_VALUE"""),"貓狗企鵝")</f>
        <v>貓狗企鵝</v>
      </c>
      <c r="J3098" t="str">
        <f>IFERROR(__xludf.DUMMYFUNCTION("IFS(
  AND(REGEXMATCH(E3098, ""台銀籌備帳戶|玉山帳戶""), REGEXMATCH(C3098, ""薪資"")), ""分潤支出"",
  AND(REGEXMATCH(E3098, ""Ben帳戶|Elsa帳戶|Ben代墊|Ariel代墊|中信銀行共用""), REGEXMATCH(F3098, ""Ben帳戶|Elsa帳戶|Ben代墊|Ariel代墊|中信銀行共用"")), ""內部轉帳(忽略)"",
  AND(E3098&lt;&gt;"""", F3098&lt;&gt;"""", N"&amp;"OT(REGEXMATCH(C3098, ""薪資""))), ""內部轉帳(忽略)"",
  REGEXMATCH(C3098, ""薪資""), ""薪資變動(不計入)"",
  REGEXMATCH(C3098, ""押金""), ""押金往來"",
  AND(E3098&lt;&gt;"""", F3098=""""), ""真實支出"",
  AND(E3098="""", F3098&lt;&gt;""""), ""真實收入"",
  TRUE, ""其他""
)"),"真實收入")</f>
        <v>真實收入</v>
      </c>
      <c r="K3098" s="270">
        <f t="shared" si="2"/>
        <v>14500</v>
      </c>
      <c r="L3098">
        <f t="shared" si="3"/>
        <v>0</v>
      </c>
    </row>
    <row r="3099">
      <c r="A3099" s="107">
        <f>IFERROR(__xludf.DUMMYFUNCTION("""COMPUTED_VALUE"""),46023.0)</f>
        <v>46023</v>
      </c>
      <c r="B3099" t="str">
        <f>IFERROR(__xludf.DUMMYFUNCTION("""COMPUTED_VALUE""")," [北醫醫師府] E 後五碼:77237 (行號: 46)")</f>
        <v> [北醫醫師府] E 後五碼:77237 (行號: 46)</v>
      </c>
      <c r="C3099" t="str">
        <f>IFERROR(__xludf.DUMMYFUNCTION("""COMPUTED_VALUE"""),"收入 - 租金")</f>
        <v>收入 - 租金</v>
      </c>
      <c r="D3099" s="270">
        <f>IFERROR(__xludf.DUMMYFUNCTION("""COMPUTED_VALUE"""),29600.0)</f>
        <v>29600</v>
      </c>
      <c r="F3099" t="str">
        <f>IFERROR(__xludf.DUMMYFUNCTION("""COMPUTED_VALUE"""),"台銀籌備帳戶")</f>
        <v>台銀籌備帳戶</v>
      </c>
      <c r="G3099" t="str">
        <f>IFERROR(__xludf.DUMMYFUNCTION("""COMPUTED_VALUE"""),"北醫醫師府")</f>
        <v>北醫醫師府</v>
      </c>
      <c r="H3099" s="106" t="str">
        <f t="shared" si="1"/>
        <v>2026-01</v>
      </c>
      <c r="I3099" s="271" t="str">
        <f>IFERROR(__xludf.DUMMYFUNCTION("""COMPUTED_VALUE"""),"貓狗企鵝")</f>
        <v>貓狗企鵝</v>
      </c>
      <c r="J3099" t="str">
        <f>IFERROR(__xludf.DUMMYFUNCTION("IFS(
  AND(REGEXMATCH(E3099, ""台銀籌備帳戶|玉山帳戶""), REGEXMATCH(C3099, ""薪資"")), ""分潤支出"",
  AND(REGEXMATCH(E3099, ""Ben帳戶|Elsa帳戶|Ben代墊|Ariel代墊|中信銀行共用""), REGEXMATCH(F3099, ""Ben帳戶|Elsa帳戶|Ben代墊|Ariel代墊|中信銀行共用"")), ""內部轉帳(忽略)"",
  AND(E3099&lt;&gt;"""", F3099&lt;&gt;"""", N"&amp;"OT(REGEXMATCH(C3099, ""薪資""))), ""內部轉帳(忽略)"",
  REGEXMATCH(C3099, ""薪資""), ""薪資變動(不計入)"",
  REGEXMATCH(C3099, ""押金""), ""押金往來"",
  AND(E3099&lt;&gt;"""", F3099=""""), ""真實支出"",
  AND(E3099="""", F3099&lt;&gt;""""), ""真實收入"",
  TRUE, ""其他""
)"),"真實收入")</f>
        <v>真實收入</v>
      </c>
      <c r="K3099" s="270">
        <f t="shared" si="2"/>
        <v>29600</v>
      </c>
      <c r="L3099">
        <f t="shared" si="3"/>
        <v>0</v>
      </c>
    </row>
    <row r="3100">
      <c r="A3100" s="107">
        <f>IFERROR(__xludf.DUMMYFUNCTION("""COMPUTED_VALUE"""),46023.0)</f>
        <v>46023</v>
      </c>
      <c r="B3100" t="str">
        <f>IFERROR(__xludf.DUMMYFUNCTION("""COMPUTED_VALUE"""),"[中山北娘家旁] B 月租金 後五碼:38047 (行號: 47)")</f>
        <v>[中山北娘家旁] B 月租金 後五碼:38047 (行號: 47)</v>
      </c>
      <c r="C3100" t="str">
        <f>IFERROR(__xludf.DUMMYFUNCTION("""COMPUTED_VALUE"""),"收入 - 租金")</f>
        <v>收入 - 租金</v>
      </c>
      <c r="D3100" s="270">
        <f>IFERROR(__xludf.DUMMYFUNCTION("""COMPUTED_VALUE"""),12500.0)</f>
        <v>12500</v>
      </c>
      <c r="F3100" t="str">
        <f>IFERROR(__xludf.DUMMYFUNCTION("""COMPUTED_VALUE"""),"台銀籌備帳戶")</f>
        <v>台銀籌備帳戶</v>
      </c>
      <c r="G3100" t="str">
        <f>IFERROR(__xludf.DUMMYFUNCTION("""COMPUTED_VALUE"""),"中山北娘家旁")</f>
        <v>中山北娘家旁</v>
      </c>
      <c r="H3100" s="106" t="str">
        <f t="shared" si="1"/>
        <v>2026-01</v>
      </c>
      <c r="I3100" s="271" t="str">
        <f>IFERROR(__xludf.DUMMYFUNCTION("""COMPUTED_VALUE"""),"貓狗企鵝")</f>
        <v>貓狗企鵝</v>
      </c>
      <c r="J3100" t="str">
        <f>IFERROR(__xludf.DUMMYFUNCTION("IFS(
  AND(REGEXMATCH(E3100, ""台銀籌備帳戶|玉山帳戶""), REGEXMATCH(C3100, ""薪資"")), ""分潤支出"",
  AND(REGEXMATCH(E3100, ""Ben帳戶|Elsa帳戶|Ben代墊|Ariel代墊|中信銀行共用""), REGEXMATCH(F3100, ""Ben帳戶|Elsa帳戶|Ben代墊|Ariel代墊|中信銀行共用"")), ""內部轉帳(忽略)"",
  AND(E3100&lt;&gt;"""", F3100&lt;&gt;"""", N"&amp;"OT(REGEXMATCH(C3100, ""薪資""))), ""內部轉帳(忽略)"",
  REGEXMATCH(C3100, ""薪資""), ""薪資變動(不計入)"",
  REGEXMATCH(C3100, ""押金""), ""押金往來"",
  AND(E3100&lt;&gt;"""", F3100=""""), ""真實支出"",
  AND(E3100="""", F3100&lt;&gt;""""), ""真實收入"",
  TRUE, ""其他""
)"),"真實收入")</f>
        <v>真實收入</v>
      </c>
      <c r="K3100" s="270">
        <f t="shared" si="2"/>
        <v>12500</v>
      </c>
      <c r="L3100">
        <f t="shared" si="3"/>
        <v>0</v>
      </c>
    </row>
    <row r="3101">
      <c r="A3101" s="107">
        <f>IFERROR(__xludf.DUMMYFUNCTION("""COMPUTED_VALUE"""),46023.0)</f>
        <v>46023</v>
      </c>
      <c r="B3101" t="str">
        <f>IFERROR(__xludf.DUMMYFUNCTION("""COMPUTED_VALUE"""),"[中山北Feli家] E, F 月租金 後五碼:41343 (行號: 48)")</f>
        <v>[中山北Feli家] E, F 月租金 後五碼:41343 (行號: 48)</v>
      </c>
      <c r="C3101" t="str">
        <f>IFERROR(__xludf.DUMMYFUNCTION("""COMPUTED_VALUE"""),"收入 - 租金")</f>
        <v>收入 - 租金</v>
      </c>
      <c r="D3101" s="270">
        <f>IFERROR(__xludf.DUMMYFUNCTION("""COMPUTED_VALUE"""),30000.0)</f>
        <v>30000</v>
      </c>
      <c r="F3101" t="str">
        <f>IFERROR(__xludf.DUMMYFUNCTION("""COMPUTED_VALUE"""),"台銀籌備帳戶")</f>
        <v>台銀籌備帳戶</v>
      </c>
      <c r="G3101" t="str">
        <f>IFERROR(__xludf.DUMMYFUNCTION("""COMPUTED_VALUE"""),"中山北Feli家")</f>
        <v>中山北Feli家</v>
      </c>
      <c r="H3101" s="106" t="str">
        <f t="shared" si="1"/>
        <v>2026-01</v>
      </c>
      <c r="I3101" s="271" t="str">
        <f>IFERROR(__xludf.DUMMYFUNCTION("""COMPUTED_VALUE"""),"貓狗企鵝")</f>
        <v>貓狗企鵝</v>
      </c>
      <c r="J3101" t="str">
        <f>IFERROR(__xludf.DUMMYFUNCTION("IFS(
  AND(REGEXMATCH(E3101, ""台銀籌備帳戶|玉山帳戶""), REGEXMATCH(C3101, ""薪資"")), ""分潤支出"",
  AND(REGEXMATCH(E3101, ""Ben帳戶|Elsa帳戶|Ben代墊|Ariel代墊|中信銀行共用""), REGEXMATCH(F3101, ""Ben帳戶|Elsa帳戶|Ben代墊|Ariel代墊|中信銀行共用"")), ""內部轉帳(忽略)"",
  AND(E3101&lt;&gt;"""", F3101&lt;&gt;"""", N"&amp;"OT(REGEXMATCH(C3101, ""薪資""))), ""內部轉帳(忽略)"",
  REGEXMATCH(C3101, ""薪資""), ""薪資變動(不計入)"",
  REGEXMATCH(C3101, ""押金""), ""押金往來"",
  AND(E3101&lt;&gt;"""", F3101=""""), ""真實支出"",
  AND(E3101="""", F3101&lt;&gt;""""), ""真實收入"",
  TRUE, ""其他""
)"),"真實收入")</f>
        <v>真實收入</v>
      </c>
      <c r="K3101" s="270">
        <f t="shared" si="2"/>
        <v>30000</v>
      </c>
      <c r="L3101">
        <f t="shared" si="3"/>
        <v>0</v>
      </c>
    </row>
    <row r="3102">
      <c r="A3102" s="107">
        <f>IFERROR(__xludf.DUMMYFUNCTION("""COMPUTED_VALUE"""),46023.0)</f>
        <v>46023</v>
      </c>
      <c r="B3102" t="str">
        <f>IFERROR(__xludf.DUMMYFUNCTION("""COMPUTED_VALUE"""),"[北醫醫師府] C 月租金 後五碼:44027 (行號: 49)")</f>
        <v>[北醫醫師府] C 月租金 後五碼:44027 (行號: 49)</v>
      </c>
      <c r="C3102" t="str">
        <f>IFERROR(__xludf.DUMMYFUNCTION("""COMPUTED_VALUE"""),"收入 - 租金")</f>
        <v>收入 - 租金</v>
      </c>
      <c r="D3102" s="270">
        <f>IFERROR(__xludf.DUMMYFUNCTION("""COMPUTED_VALUE"""),13000.0)</f>
        <v>13000</v>
      </c>
      <c r="F3102" t="str">
        <f>IFERROR(__xludf.DUMMYFUNCTION("""COMPUTED_VALUE"""),"台銀籌備帳戶")</f>
        <v>台銀籌備帳戶</v>
      </c>
      <c r="G3102" t="str">
        <f>IFERROR(__xludf.DUMMYFUNCTION("""COMPUTED_VALUE"""),"北醫醫師府")</f>
        <v>北醫醫師府</v>
      </c>
      <c r="H3102" s="106" t="str">
        <f t="shared" si="1"/>
        <v>2026-01</v>
      </c>
      <c r="I3102" s="271" t="str">
        <f>IFERROR(__xludf.DUMMYFUNCTION("""COMPUTED_VALUE"""),"貓狗企鵝")</f>
        <v>貓狗企鵝</v>
      </c>
      <c r="J3102" t="str">
        <f>IFERROR(__xludf.DUMMYFUNCTION("IFS(
  AND(REGEXMATCH(E3102, ""台銀籌備帳戶|玉山帳戶""), REGEXMATCH(C3102, ""薪資"")), ""分潤支出"",
  AND(REGEXMATCH(E3102, ""Ben帳戶|Elsa帳戶|Ben代墊|Ariel代墊|中信銀行共用""), REGEXMATCH(F3102, ""Ben帳戶|Elsa帳戶|Ben代墊|Ariel代墊|中信銀行共用"")), ""內部轉帳(忽略)"",
  AND(E3102&lt;&gt;"""", F3102&lt;&gt;"""", N"&amp;"OT(REGEXMATCH(C3102, ""薪資""))), ""內部轉帳(忽略)"",
  REGEXMATCH(C3102, ""薪資""), ""薪資變動(不計入)"",
  REGEXMATCH(C3102, ""押金""), ""押金往來"",
  AND(E3102&lt;&gt;"""", F3102=""""), ""真實支出"",
  AND(E3102="""", F3102&lt;&gt;""""), ""真實收入"",
  TRUE, ""其他""
)"),"真實收入")</f>
        <v>真實收入</v>
      </c>
      <c r="K3102" s="270">
        <f t="shared" si="2"/>
        <v>13000</v>
      </c>
      <c r="L3102">
        <f t="shared" si="3"/>
        <v>0</v>
      </c>
    </row>
    <row r="3103">
      <c r="A3103" s="107">
        <f>IFERROR(__xludf.DUMMYFUNCTION("""COMPUTED_VALUE"""),46023.0)</f>
        <v>46023</v>
      </c>
      <c r="B3103" t="str">
        <f>IFERROR(__xludf.DUMMYFUNCTION("""COMPUTED_VALUE"""),"[書香民生] D 月租金 後五碼:67788 (行號: 50)")</f>
        <v>[書香民生] D 月租金 後五碼:67788 (行號: 50)</v>
      </c>
      <c r="C3103" t="str">
        <f>IFERROR(__xludf.DUMMYFUNCTION("""COMPUTED_VALUE"""),"收入 - 租金")</f>
        <v>收入 - 租金</v>
      </c>
      <c r="D3103" s="270">
        <f>IFERROR(__xludf.DUMMYFUNCTION("""COMPUTED_VALUE"""),17800.0)</f>
        <v>17800</v>
      </c>
      <c r="F3103" t="str">
        <f>IFERROR(__xludf.DUMMYFUNCTION("""COMPUTED_VALUE"""),"台銀籌備帳戶")</f>
        <v>台銀籌備帳戶</v>
      </c>
      <c r="G3103" t="str">
        <f>IFERROR(__xludf.DUMMYFUNCTION("""COMPUTED_VALUE"""),"書香民生")</f>
        <v>書香民生</v>
      </c>
      <c r="H3103" s="106" t="str">
        <f t="shared" si="1"/>
        <v>2026-01</v>
      </c>
      <c r="I3103" s="271" t="str">
        <f>IFERROR(__xludf.DUMMYFUNCTION("""COMPUTED_VALUE"""),"貓狗企鵝")</f>
        <v>貓狗企鵝</v>
      </c>
      <c r="J3103" t="str">
        <f>IFERROR(__xludf.DUMMYFUNCTION("IFS(
  AND(REGEXMATCH(E3103, ""台銀籌備帳戶|玉山帳戶""), REGEXMATCH(C3103, ""薪資"")), ""分潤支出"",
  AND(REGEXMATCH(E3103, ""Ben帳戶|Elsa帳戶|Ben代墊|Ariel代墊|中信銀行共用""), REGEXMATCH(F3103, ""Ben帳戶|Elsa帳戶|Ben代墊|Ariel代墊|中信銀行共用"")), ""內部轉帳(忽略)"",
  AND(E3103&lt;&gt;"""", F3103&lt;&gt;"""", N"&amp;"OT(REGEXMATCH(C3103, ""薪資""))), ""內部轉帳(忽略)"",
  REGEXMATCH(C3103, ""薪資""), ""薪資變動(不計入)"",
  REGEXMATCH(C3103, ""押金""), ""押金往來"",
  AND(E3103&lt;&gt;"""", F3103=""""), ""真實支出"",
  AND(E3103="""", F3103&lt;&gt;""""), ""真實收入"",
  TRUE, ""其他""
)"),"真實收入")</f>
        <v>真實收入</v>
      </c>
      <c r="K3103" s="270">
        <f t="shared" si="2"/>
        <v>17800</v>
      </c>
      <c r="L3103">
        <f t="shared" si="3"/>
        <v>0</v>
      </c>
    </row>
    <row r="3104">
      <c r="A3104" s="107">
        <f>IFERROR(__xludf.DUMMYFUNCTION("""COMPUTED_VALUE"""),46023.0)</f>
        <v>46023</v>
      </c>
      <c r="B3104" t="str">
        <f>IFERROR(__xludf.DUMMYFUNCTION("""COMPUTED_VALUE"""),"[景安2分鐘] B 月租金 後五碼:93469 (行號: 51)")</f>
        <v>[景安2分鐘] B 月租金 後五碼:93469 (行號: 51)</v>
      </c>
      <c r="C3104" t="str">
        <f>IFERROR(__xludf.DUMMYFUNCTION("""COMPUTED_VALUE"""),"收入 - 租金")</f>
        <v>收入 - 租金</v>
      </c>
      <c r="D3104" s="270">
        <f>IFERROR(__xludf.DUMMYFUNCTION("""COMPUTED_VALUE"""),18800.0)</f>
        <v>18800</v>
      </c>
      <c r="F3104" t="str">
        <f>IFERROR(__xludf.DUMMYFUNCTION("""COMPUTED_VALUE"""),"台銀籌備帳戶")</f>
        <v>台銀籌備帳戶</v>
      </c>
      <c r="G3104" t="str">
        <f>IFERROR(__xludf.DUMMYFUNCTION("""COMPUTED_VALUE"""),"景安2分鐘")</f>
        <v>景安2分鐘</v>
      </c>
      <c r="H3104" s="106" t="str">
        <f t="shared" si="1"/>
        <v>2026-01</v>
      </c>
      <c r="I3104" s="271" t="str">
        <f>IFERROR(__xludf.DUMMYFUNCTION("""COMPUTED_VALUE"""),"貓狗企鵝")</f>
        <v>貓狗企鵝</v>
      </c>
      <c r="J3104" t="str">
        <f>IFERROR(__xludf.DUMMYFUNCTION("IFS(
  AND(REGEXMATCH(E3104, ""台銀籌備帳戶|玉山帳戶""), REGEXMATCH(C3104, ""薪資"")), ""分潤支出"",
  AND(REGEXMATCH(E3104, ""Ben帳戶|Elsa帳戶|Ben代墊|Ariel代墊|中信銀行共用""), REGEXMATCH(F3104, ""Ben帳戶|Elsa帳戶|Ben代墊|Ariel代墊|中信銀行共用"")), ""內部轉帳(忽略)"",
  AND(E3104&lt;&gt;"""", F3104&lt;&gt;"""", N"&amp;"OT(REGEXMATCH(C3104, ""薪資""))), ""內部轉帳(忽略)"",
  REGEXMATCH(C3104, ""薪資""), ""薪資變動(不計入)"",
  REGEXMATCH(C3104, ""押金""), ""押金往來"",
  AND(E3104&lt;&gt;"""", F3104=""""), ""真實支出"",
  AND(E3104="""", F3104&lt;&gt;""""), ""真實收入"",
  TRUE, ""其他""
)"),"真實收入")</f>
        <v>真實收入</v>
      </c>
      <c r="K3104" s="270">
        <f t="shared" si="2"/>
        <v>18800</v>
      </c>
      <c r="L3104">
        <f t="shared" si="3"/>
        <v>0</v>
      </c>
    </row>
    <row r="3105">
      <c r="A3105" s="107">
        <f>IFERROR(__xludf.DUMMYFUNCTION("""COMPUTED_VALUE"""),46023.0)</f>
        <v>46023</v>
      </c>
      <c r="B3105" t="str">
        <f>IFERROR(__xludf.DUMMYFUNCTION("""COMPUTED_VALUE"""),"[書香民生] F 月租金 後五碼:47477 (行號: 52)")</f>
        <v>[書香民生] F 月租金 後五碼:47477 (行號: 52)</v>
      </c>
      <c r="C3105" t="str">
        <f>IFERROR(__xludf.DUMMYFUNCTION("""COMPUTED_VALUE"""),"收入 - 租金")</f>
        <v>收入 - 租金</v>
      </c>
      <c r="D3105" s="270">
        <f>IFERROR(__xludf.DUMMYFUNCTION("""COMPUTED_VALUE"""),15800.0)</f>
        <v>15800</v>
      </c>
      <c r="F3105" t="str">
        <f>IFERROR(__xludf.DUMMYFUNCTION("""COMPUTED_VALUE"""),"台銀籌備帳戶")</f>
        <v>台銀籌備帳戶</v>
      </c>
      <c r="G3105" t="str">
        <f>IFERROR(__xludf.DUMMYFUNCTION("""COMPUTED_VALUE"""),"書香民生")</f>
        <v>書香民生</v>
      </c>
      <c r="H3105" s="106" t="str">
        <f t="shared" si="1"/>
        <v>2026-01</v>
      </c>
      <c r="I3105" s="271" t="str">
        <f>IFERROR(__xludf.DUMMYFUNCTION("""COMPUTED_VALUE"""),"貓狗企鵝")</f>
        <v>貓狗企鵝</v>
      </c>
      <c r="J3105" t="str">
        <f>IFERROR(__xludf.DUMMYFUNCTION("IFS(
  AND(REGEXMATCH(E3105, ""台銀籌備帳戶|玉山帳戶""), REGEXMATCH(C3105, ""薪資"")), ""分潤支出"",
  AND(REGEXMATCH(E3105, ""Ben帳戶|Elsa帳戶|Ben代墊|Ariel代墊|中信銀行共用""), REGEXMATCH(F3105, ""Ben帳戶|Elsa帳戶|Ben代墊|Ariel代墊|中信銀行共用"")), ""內部轉帳(忽略)"",
  AND(E3105&lt;&gt;"""", F3105&lt;&gt;"""", N"&amp;"OT(REGEXMATCH(C3105, ""薪資""))), ""內部轉帳(忽略)"",
  REGEXMATCH(C3105, ""薪資""), ""薪資變動(不計入)"",
  REGEXMATCH(C3105, ""押金""), ""押金往來"",
  AND(E3105&lt;&gt;"""", F3105=""""), ""真實支出"",
  AND(E3105="""", F3105&lt;&gt;""""), ""真實收入"",
  TRUE, ""其他""
)"),"真實收入")</f>
        <v>真實收入</v>
      </c>
      <c r="K3105" s="270">
        <f t="shared" si="2"/>
        <v>15800</v>
      </c>
      <c r="L3105">
        <f t="shared" si="3"/>
        <v>0</v>
      </c>
    </row>
    <row r="3106">
      <c r="A3106" s="107">
        <f>IFERROR(__xludf.DUMMYFUNCTION("""COMPUTED_VALUE"""),46023.0)</f>
        <v>46023</v>
      </c>
      <c r="B3106" t="str">
        <f>IFERROR(__xludf.DUMMYFUNCTION("""COMPUTED_VALUE"""),"[書香民生] E 月租金 後五碼:41152 (行號: 53)")</f>
        <v>[書香民生] E 月租金 後五碼:41152 (行號: 53)</v>
      </c>
      <c r="C3106" t="str">
        <f>IFERROR(__xludf.DUMMYFUNCTION("""COMPUTED_VALUE"""),"收入 - 租金")</f>
        <v>收入 - 租金</v>
      </c>
      <c r="D3106" s="270">
        <f>IFERROR(__xludf.DUMMYFUNCTION("""COMPUTED_VALUE"""),17800.0)</f>
        <v>17800</v>
      </c>
      <c r="F3106" t="str">
        <f>IFERROR(__xludf.DUMMYFUNCTION("""COMPUTED_VALUE"""),"台銀籌備帳戶")</f>
        <v>台銀籌備帳戶</v>
      </c>
      <c r="G3106" t="str">
        <f>IFERROR(__xludf.DUMMYFUNCTION("""COMPUTED_VALUE"""),"書香民生")</f>
        <v>書香民生</v>
      </c>
      <c r="H3106" s="106" t="str">
        <f t="shared" si="1"/>
        <v>2026-01</v>
      </c>
      <c r="I3106" s="271" t="str">
        <f>IFERROR(__xludf.DUMMYFUNCTION("""COMPUTED_VALUE"""),"貓狗企鵝")</f>
        <v>貓狗企鵝</v>
      </c>
      <c r="J3106" t="str">
        <f>IFERROR(__xludf.DUMMYFUNCTION("IFS(
  AND(REGEXMATCH(E3106, ""台銀籌備帳戶|玉山帳戶""), REGEXMATCH(C3106, ""薪資"")), ""分潤支出"",
  AND(REGEXMATCH(E3106, ""Ben帳戶|Elsa帳戶|Ben代墊|Ariel代墊|中信銀行共用""), REGEXMATCH(F3106, ""Ben帳戶|Elsa帳戶|Ben代墊|Ariel代墊|中信銀行共用"")), ""內部轉帳(忽略)"",
  AND(E3106&lt;&gt;"""", F3106&lt;&gt;"""", N"&amp;"OT(REGEXMATCH(C3106, ""薪資""))), ""內部轉帳(忽略)"",
  REGEXMATCH(C3106, ""薪資""), ""薪資變動(不計入)"",
  REGEXMATCH(C3106, ""押金""), ""押金往來"",
  AND(E3106&lt;&gt;"""", F3106=""""), ""真實支出"",
  AND(E3106="""", F3106&lt;&gt;""""), ""真實收入"",
  TRUE, ""其他""
)"),"真實收入")</f>
        <v>真實收入</v>
      </c>
      <c r="K3106" s="270">
        <f t="shared" si="2"/>
        <v>17800</v>
      </c>
      <c r="L3106">
        <f t="shared" si="3"/>
        <v>0</v>
      </c>
    </row>
    <row r="3107">
      <c r="A3107" s="107">
        <f>IFERROR(__xludf.DUMMYFUNCTION("""COMPUTED_VALUE"""),46023.0)</f>
        <v>46023</v>
      </c>
      <c r="B3107" t="str">
        <f>IFERROR(__xludf.DUMMYFUNCTION("""COMPUTED_VALUE"""),"[龍江229] A 月租金 後五碼:88760 (行號: 54)")</f>
        <v>[龍江229] A 月租金 後五碼:88760 (行號: 54)</v>
      </c>
      <c r="C3107" t="str">
        <f>IFERROR(__xludf.DUMMYFUNCTION("""COMPUTED_VALUE"""),"收入 - 租金")</f>
        <v>收入 - 租金</v>
      </c>
      <c r="D3107" s="270">
        <f>IFERROR(__xludf.DUMMYFUNCTION("""COMPUTED_VALUE"""),11000.0)</f>
        <v>11000</v>
      </c>
      <c r="F3107" t="str">
        <f>IFERROR(__xludf.DUMMYFUNCTION("""COMPUTED_VALUE"""),"台銀籌備帳戶")</f>
        <v>台銀籌備帳戶</v>
      </c>
      <c r="G3107" t="str">
        <f>IFERROR(__xludf.DUMMYFUNCTION("""COMPUTED_VALUE"""),"龍江229")</f>
        <v>龍江229</v>
      </c>
      <c r="H3107" s="106" t="str">
        <f t="shared" si="1"/>
        <v>2026-01</v>
      </c>
      <c r="I3107" s="271" t="str">
        <f>IFERROR(__xludf.DUMMYFUNCTION("""COMPUTED_VALUE"""),"貓狗企鵝")</f>
        <v>貓狗企鵝</v>
      </c>
      <c r="J3107" t="str">
        <f>IFERROR(__xludf.DUMMYFUNCTION("IFS(
  AND(REGEXMATCH(E3107, ""台銀籌備帳戶|玉山帳戶""), REGEXMATCH(C3107, ""薪資"")), ""分潤支出"",
  AND(REGEXMATCH(E3107, ""Ben帳戶|Elsa帳戶|Ben代墊|Ariel代墊|中信銀行共用""), REGEXMATCH(F3107, ""Ben帳戶|Elsa帳戶|Ben代墊|Ariel代墊|中信銀行共用"")), ""內部轉帳(忽略)"",
  AND(E3107&lt;&gt;"""", F3107&lt;&gt;"""", N"&amp;"OT(REGEXMATCH(C3107, ""薪資""))), ""內部轉帳(忽略)"",
  REGEXMATCH(C3107, ""薪資""), ""薪資變動(不計入)"",
  REGEXMATCH(C3107, ""押金""), ""押金往來"",
  AND(E3107&lt;&gt;"""", F3107=""""), ""真實支出"",
  AND(E3107="""", F3107&lt;&gt;""""), ""真實收入"",
  TRUE, ""其他""
)"),"真實收入")</f>
        <v>真實收入</v>
      </c>
      <c r="K3107" s="270">
        <f t="shared" si="2"/>
        <v>11000</v>
      </c>
      <c r="L3107">
        <f t="shared" si="3"/>
        <v>0</v>
      </c>
    </row>
    <row r="3108">
      <c r="A3108" s="107">
        <f>IFERROR(__xludf.DUMMYFUNCTION("""COMPUTED_VALUE"""),46023.0)</f>
        <v>46023</v>
      </c>
      <c r="B3108" t="str">
        <f>IFERROR(__xludf.DUMMYFUNCTION("""COMPUTED_VALUE"""),"[中山北娘家旁] A 月租金 後五碼:86076 (行號: 56)")</f>
        <v>[中山北娘家旁] A 月租金 後五碼:86076 (行號: 56)</v>
      </c>
      <c r="C3108" t="str">
        <f>IFERROR(__xludf.DUMMYFUNCTION("""COMPUTED_VALUE"""),"收入 - 租金")</f>
        <v>收入 - 租金</v>
      </c>
      <c r="D3108" s="270">
        <f>IFERROR(__xludf.DUMMYFUNCTION("""COMPUTED_VALUE"""),12500.0)</f>
        <v>12500</v>
      </c>
      <c r="F3108" t="str">
        <f>IFERROR(__xludf.DUMMYFUNCTION("""COMPUTED_VALUE"""),"台銀籌備帳戶")</f>
        <v>台銀籌備帳戶</v>
      </c>
      <c r="G3108" t="str">
        <f>IFERROR(__xludf.DUMMYFUNCTION("""COMPUTED_VALUE"""),"中山北娘家旁")</f>
        <v>中山北娘家旁</v>
      </c>
      <c r="H3108" s="106" t="str">
        <f t="shared" si="1"/>
        <v>2026-01</v>
      </c>
      <c r="I3108" s="271" t="str">
        <f>IFERROR(__xludf.DUMMYFUNCTION("""COMPUTED_VALUE"""),"貓狗企鵝")</f>
        <v>貓狗企鵝</v>
      </c>
      <c r="J3108" t="str">
        <f>IFERROR(__xludf.DUMMYFUNCTION("IFS(
  AND(REGEXMATCH(E3108, ""台銀籌備帳戶|玉山帳戶""), REGEXMATCH(C3108, ""薪資"")), ""分潤支出"",
  AND(REGEXMATCH(E3108, ""Ben帳戶|Elsa帳戶|Ben代墊|Ariel代墊|中信銀行共用""), REGEXMATCH(F3108, ""Ben帳戶|Elsa帳戶|Ben代墊|Ariel代墊|中信銀行共用"")), ""內部轉帳(忽略)"",
  AND(E3108&lt;&gt;"""", F3108&lt;&gt;"""", N"&amp;"OT(REGEXMATCH(C3108, ""薪資""))), ""內部轉帳(忽略)"",
  REGEXMATCH(C3108, ""薪資""), ""薪資變動(不計入)"",
  REGEXMATCH(C3108, ""押金""), ""押金往來"",
  AND(E3108&lt;&gt;"""", F3108=""""), ""真實支出"",
  AND(E3108="""", F3108&lt;&gt;""""), ""真實收入"",
  TRUE, ""其他""
)"),"真實收入")</f>
        <v>真實收入</v>
      </c>
      <c r="K3108" s="270">
        <f t="shared" si="2"/>
        <v>12500</v>
      </c>
      <c r="L3108">
        <f t="shared" si="3"/>
        <v>0</v>
      </c>
    </row>
    <row r="3109">
      <c r="A3109" s="107">
        <f>IFERROR(__xludf.DUMMYFUNCTION("""COMPUTED_VALUE"""),46023.0)</f>
        <v>46023</v>
      </c>
      <c r="B3109" t="str">
        <f>IFERROR(__xludf.DUMMYFUNCTION("""COMPUTED_VALUE"""),"[大湖山莊] F 月租金 後五碼:36938 (行號: 58)")</f>
        <v>[大湖山莊] F 月租金 後五碼:36938 (行號: 58)</v>
      </c>
      <c r="C3109" t="str">
        <f>IFERROR(__xludf.DUMMYFUNCTION("""COMPUTED_VALUE"""),"收入 - 租金")</f>
        <v>收入 - 租金</v>
      </c>
      <c r="D3109" s="270">
        <f>IFERROR(__xludf.DUMMYFUNCTION("""COMPUTED_VALUE"""),18300.0)</f>
        <v>18300</v>
      </c>
      <c r="F3109" t="str">
        <f>IFERROR(__xludf.DUMMYFUNCTION("""COMPUTED_VALUE"""),"台銀籌備帳戶")</f>
        <v>台銀籌備帳戶</v>
      </c>
      <c r="G3109" t="str">
        <f>IFERROR(__xludf.DUMMYFUNCTION("""COMPUTED_VALUE"""),"大湖山莊")</f>
        <v>大湖山莊</v>
      </c>
      <c r="H3109" s="106" t="str">
        <f t="shared" si="1"/>
        <v>2026-01</v>
      </c>
      <c r="I3109" s="271" t="str">
        <f>IFERROR(__xludf.DUMMYFUNCTION("""COMPUTED_VALUE"""),"貓狗企鵝")</f>
        <v>貓狗企鵝</v>
      </c>
      <c r="J3109" t="str">
        <f>IFERROR(__xludf.DUMMYFUNCTION("IFS(
  AND(REGEXMATCH(E3109, ""台銀籌備帳戶|玉山帳戶""), REGEXMATCH(C3109, ""薪資"")), ""分潤支出"",
  AND(REGEXMATCH(E3109, ""Ben帳戶|Elsa帳戶|Ben代墊|Ariel代墊|中信銀行共用""), REGEXMATCH(F3109, ""Ben帳戶|Elsa帳戶|Ben代墊|Ariel代墊|中信銀行共用"")), ""內部轉帳(忽略)"",
  AND(E3109&lt;&gt;"""", F3109&lt;&gt;"""", N"&amp;"OT(REGEXMATCH(C3109, ""薪資""))), ""內部轉帳(忽略)"",
  REGEXMATCH(C3109, ""薪資""), ""薪資變動(不計入)"",
  REGEXMATCH(C3109, ""押金""), ""押金往來"",
  AND(E3109&lt;&gt;"""", F3109=""""), ""真實支出"",
  AND(E3109="""", F3109&lt;&gt;""""), ""真實收入"",
  TRUE, ""其他""
)"),"真實收入")</f>
        <v>真實收入</v>
      </c>
      <c r="K3109" s="270">
        <f t="shared" si="2"/>
        <v>18300</v>
      </c>
      <c r="L3109">
        <f t="shared" si="3"/>
        <v>0</v>
      </c>
    </row>
    <row r="3110">
      <c r="A3110" s="107">
        <f>IFERROR(__xludf.DUMMYFUNCTION("""COMPUTED_VALUE"""),46023.0)</f>
        <v>46023</v>
      </c>
      <c r="B3110" t="str">
        <f>IFERROR(__xludf.DUMMYFUNCTION("""COMPUTED_VALUE""")," [永春四號] 兩房 後五碼:34918 (行號: 59)")</f>
        <v> [永春四號] 兩房 後五碼:34918 (行號: 59)</v>
      </c>
      <c r="C3110" t="str">
        <f>IFERROR(__xludf.DUMMYFUNCTION("""COMPUTED_VALUE"""),"收入 - 租金")</f>
        <v>收入 - 租金</v>
      </c>
      <c r="D3110" s="270">
        <f>IFERROR(__xludf.DUMMYFUNCTION("""COMPUTED_VALUE"""),29800.0)</f>
        <v>29800</v>
      </c>
      <c r="F3110" t="str">
        <f>IFERROR(__xludf.DUMMYFUNCTION("""COMPUTED_VALUE"""),"台銀籌備帳戶")</f>
        <v>台銀籌備帳戶</v>
      </c>
      <c r="G3110" t="str">
        <f>IFERROR(__xludf.DUMMYFUNCTION("""COMPUTED_VALUE"""),"永春四號")</f>
        <v>永春四號</v>
      </c>
      <c r="H3110" s="106" t="str">
        <f t="shared" si="1"/>
        <v>2026-01</v>
      </c>
      <c r="I3110" s="271" t="str">
        <f>IFERROR(__xludf.DUMMYFUNCTION("""COMPUTED_VALUE"""),"貓狗企鵝")</f>
        <v>貓狗企鵝</v>
      </c>
      <c r="J3110" t="str">
        <f>IFERROR(__xludf.DUMMYFUNCTION("IFS(
  AND(REGEXMATCH(E3110, ""台銀籌備帳戶|玉山帳戶""), REGEXMATCH(C3110, ""薪資"")), ""分潤支出"",
  AND(REGEXMATCH(E3110, ""Ben帳戶|Elsa帳戶|Ben代墊|Ariel代墊|中信銀行共用""), REGEXMATCH(F3110, ""Ben帳戶|Elsa帳戶|Ben代墊|Ariel代墊|中信銀行共用"")), ""內部轉帳(忽略)"",
  AND(E3110&lt;&gt;"""", F3110&lt;&gt;"""", N"&amp;"OT(REGEXMATCH(C3110, ""薪資""))), ""內部轉帳(忽略)"",
  REGEXMATCH(C3110, ""薪資""), ""薪資變動(不計入)"",
  REGEXMATCH(C3110, ""押金""), ""押金往來"",
  AND(E3110&lt;&gt;"""", F3110=""""), ""真實支出"",
  AND(E3110="""", F3110&lt;&gt;""""), ""真實收入"",
  TRUE, ""其他""
)"),"真實收入")</f>
        <v>真實收入</v>
      </c>
      <c r="K3110" s="270">
        <f t="shared" si="2"/>
        <v>29800</v>
      </c>
      <c r="L3110">
        <f t="shared" si="3"/>
        <v>0</v>
      </c>
    </row>
    <row r="3111">
      <c r="A3111" s="107">
        <f>IFERROR(__xludf.DUMMYFUNCTION("""COMPUTED_VALUE"""),46023.0)</f>
        <v>46023</v>
      </c>
      <c r="B3111" t="str">
        <f>IFERROR(__xludf.DUMMYFUNCTION("""COMPUTED_VALUE"""),"[金龍帽子先生] C 月租金 後五碼:31815 (行號: 60)")</f>
        <v>[金龍帽子先生] C 月租金 後五碼:31815 (行號: 60)</v>
      </c>
      <c r="C3111" t="str">
        <f>IFERROR(__xludf.DUMMYFUNCTION("""COMPUTED_VALUE"""),"收入 - 租金")</f>
        <v>收入 - 租金</v>
      </c>
      <c r="D3111" s="270">
        <f>IFERROR(__xludf.DUMMYFUNCTION("""COMPUTED_VALUE"""),14000.0)</f>
        <v>14000</v>
      </c>
      <c r="F3111" t="str">
        <f>IFERROR(__xludf.DUMMYFUNCTION("""COMPUTED_VALUE"""),"台銀籌備帳戶")</f>
        <v>台銀籌備帳戶</v>
      </c>
      <c r="G3111" t="str">
        <f>IFERROR(__xludf.DUMMYFUNCTION("""COMPUTED_VALUE"""),"金龍帽子先生")</f>
        <v>金龍帽子先生</v>
      </c>
      <c r="H3111" s="106" t="str">
        <f t="shared" si="1"/>
        <v>2026-01</v>
      </c>
      <c r="I3111" s="271" t="str">
        <f>IFERROR(__xludf.DUMMYFUNCTION("""COMPUTED_VALUE"""),"貓狗企鵝")</f>
        <v>貓狗企鵝</v>
      </c>
      <c r="J3111" t="str">
        <f>IFERROR(__xludf.DUMMYFUNCTION("IFS(
  AND(REGEXMATCH(E3111, ""台銀籌備帳戶|玉山帳戶""), REGEXMATCH(C3111, ""薪資"")), ""分潤支出"",
  AND(REGEXMATCH(E3111, ""Ben帳戶|Elsa帳戶|Ben代墊|Ariel代墊|中信銀行共用""), REGEXMATCH(F3111, ""Ben帳戶|Elsa帳戶|Ben代墊|Ariel代墊|中信銀行共用"")), ""內部轉帳(忽略)"",
  AND(E3111&lt;&gt;"""", F3111&lt;&gt;"""", N"&amp;"OT(REGEXMATCH(C3111, ""薪資""))), ""內部轉帳(忽略)"",
  REGEXMATCH(C3111, ""薪資""), ""薪資變動(不計入)"",
  REGEXMATCH(C3111, ""押金""), ""押金往來"",
  AND(E3111&lt;&gt;"""", F3111=""""), ""真實支出"",
  AND(E3111="""", F3111&lt;&gt;""""), ""真實收入"",
  TRUE, ""其他""
)"),"真實收入")</f>
        <v>真實收入</v>
      </c>
      <c r="K3111" s="270">
        <f t="shared" si="2"/>
        <v>14000</v>
      </c>
      <c r="L3111">
        <f t="shared" si="3"/>
        <v>0</v>
      </c>
    </row>
    <row r="3112">
      <c r="A3112" s="107">
        <f>IFERROR(__xludf.DUMMYFUNCTION("""COMPUTED_VALUE"""),46023.0)</f>
        <v>46023</v>
      </c>
      <c r="B3112" t="str">
        <f>IFERROR(__xludf.DUMMYFUNCTION("""COMPUTED_VALUE"""),"[金龍帽子先生] D 月租金 後五碼:70737 (行號: 61)")</f>
        <v>[金龍帽子先生] D 月租金 後五碼:70737 (行號: 61)</v>
      </c>
      <c r="C3112" t="str">
        <f>IFERROR(__xludf.DUMMYFUNCTION("""COMPUTED_VALUE"""),"收入 - 租金")</f>
        <v>收入 - 租金</v>
      </c>
      <c r="D3112" s="270">
        <f>IFERROR(__xludf.DUMMYFUNCTION("""COMPUTED_VALUE"""),14500.0)</f>
        <v>14500</v>
      </c>
      <c r="F3112" t="str">
        <f>IFERROR(__xludf.DUMMYFUNCTION("""COMPUTED_VALUE"""),"台銀籌備帳戶")</f>
        <v>台銀籌備帳戶</v>
      </c>
      <c r="G3112" t="str">
        <f>IFERROR(__xludf.DUMMYFUNCTION("""COMPUTED_VALUE"""),"金龍帽子先生")</f>
        <v>金龍帽子先生</v>
      </c>
      <c r="H3112" s="106" t="str">
        <f t="shared" si="1"/>
        <v>2026-01</v>
      </c>
      <c r="I3112" s="271" t="str">
        <f>IFERROR(__xludf.DUMMYFUNCTION("""COMPUTED_VALUE"""),"貓狗企鵝")</f>
        <v>貓狗企鵝</v>
      </c>
      <c r="J3112" t="str">
        <f>IFERROR(__xludf.DUMMYFUNCTION("IFS(
  AND(REGEXMATCH(E3112, ""台銀籌備帳戶|玉山帳戶""), REGEXMATCH(C3112, ""薪資"")), ""分潤支出"",
  AND(REGEXMATCH(E3112, ""Ben帳戶|Elsa帳戶|Ben代墊|Ariel代墊|中信銀行共用""), REGEXMATCH(F3112, ""Ben帳戶|Elsa帳戶|Ben代墊|Ariel代墊|中信銀行共用"")), ""內部轉帳(忽略)"",
  AND(E3112&lt;&gt;"""", F3112&lt;&gt;"""", N"&amp;"OT(REGEXMATCH(C3112, ""薪資""))), ""內部轉帳(忽略)"",
  REGEXMATCH(C3112, ""薪資""), ""薪資變動(不計入)"",
  REGEXMATCH(C3112, ""押金""), ""押金往來"",
  AND(E3112&lt;&gt;"""", F3112=""""), ""真實支出"",
  AND(E3112="""", F3112&lt;&gt;""""), ""真實收入"",
  TRUE, ""其他""
)"),"真實收入")</f>
        <v>真實收入</v>
      </c>
      <c r="K3112" s="270">
        <f t="shared" si="2"/>
        <v>14500</v>
      </c>
      <c r="L3112">
        <f t="shared" si="3"/>
        <v>0</v>
      </c>
    </row>
    <row r="3113">
      <c r="A3113" s="107">
        <f>IFERROR(__xludf.DUMMYFUNCTION("""COMPUTED_VALUE"""),46023.0)</f>
        <v>46023</v>
      </c>
      <c r="B3113" t="str">
        <f>IFERROR(__xludf.DUMMYFUNCTION("""COMPUTED_VALUE"""),"[哈拉對面] C 月租金 後五碼:14482 (行號: 62)")</f>
        <v>[哈拉對面] C 月租金 後五碼:14482 (行號: 62)</v>
      </c>
      <c r="C3113" t="str">
        <f>IFERROR(__xludf.DUMMYFUNCTION("""COMPUTED_VALUE"""),"收入 - 租金")</f>
        <v>收入 - 租金</v>
      </c>
      <c r="D3113" s="270">
        <f>IFERROR(__xludf.DUMMYFUNCTION("""COMPUTED_VALUE"""),11800.0)</f>
        <v>11800</v>
      </c>
      <c r="F3113" t="str">
        <f>IFERROR(__xludf.DUMMYFUNCTION("""COMPUTED_VALUE"""),"台銀籌備帳戶")</f>
        <v>台銀籌備帳戶</v>
      </c>
      <c r="G3113" t="str">
        <f>IFERROR(__xludf.DUMMYFUNCTION("""COMPUTED_VALUE"""),"哈拉對面")</f>
        <v>哈拉對面</v>
      </c>
      <c r="H3113" s="106" t="str">
        <f t="shared" si="1"/>
        <v>2026-01</v>
      </c>
      <c r="I3113" s="271" t="str">
        <f>IFERROR(__xludf.DUMMYFUNCTION("""COMPUTED_VALUE"""),"貓狗企鵝")</f>
        <v>貓狗企鵝</v>
      </c>
      <c r="J3113" t="str">
        <f>IFERROR(__xludf.DUMMYFUNCTION("IFS(
  AND(REGEXMATCH(E3113, ""台銀籌備帳戶|玉山帳戶""), REGEXMATCH(C3113, ""薪資"")), ""分潤支出"",
  AND(REGEXMATCH(E3113, ""Ben帳戶|Elsa帳戶|Ben代墊|Ariel代墊|中信銀行共用""), REGEXMATCH(F3113, ""Ben帳戶|Elsa帳戶|Ben代墊|Ariel代墊|中信銀行共用"")), ""內部轉帳(忽略)"",
  AND(E3113&lt;&gt;"""", F3113&lt;&gt;"""", N"&amp;"OT(REGEXMATCH(C3113, ""薪資""))), ""內部轉帳(忽略)"",
  REGEXMATCH(C3113, ""薪資""), ""薪資變動(不計入)"",
  REGEXMATCH(C3113, ""押金""), ""押金往來"",
  AND(E3113&lt;&gt;"""", F3113=""""), ""真實支出"",
  AND(E3113="""", F3113&lt;&gt;""""), ""真實收入"",
  TRUE, ""其他""
)"),"真實收入")</f>
        <v>真實收入</v>
      </c>
      <c r="K3113" s="270">
        <f t="shared" si="2"/>
        <v>11800</v>
      </c>
      <c r="L3113">
        <f t="shared" si="3"/>
        <v>0</v>
      </c>
    </row>
    <row r="3114">
      <c r="A3114" s="107">
        <f>IFERROR(__xludf.DUMMYFUNCTION("""COMPUTED_VALUE"""),46023.0)</f>
        <v>46023</v>
      </c>
      <c r="B3114" t="str">
        <f>IFERROR(__xludf.DUMMYFUNCTION("""COMPUTED_VALUE"""),"[南港站挑高宅] D 月租金 後五碼:10279 (行號: 63)")</f>
        <v>[南港站挑高宅] D 月租金 後五碼:10279 (行號: 63)</v>
      </c>
      <c r="C3114" t="str">
        <f>IFERROR(__xludf.DUMMYFUNCTION("""COMPUTED_VALUE"""),"收入 - 租金")</f>
        <v>收入 - 租金</v>
      </c>
      <c r="D3114" s="270">
        <f>IFERROR(__xludf.DUMMYFUNCTION("""COMPUTED_VALUE"""),13800.0)</f>
        <v>13800</v>
      </c>
      <c r="F3114" t="str">
        <f>IFERROR(__xludf.DUMMYFUNCTION("""COMPUTED_VALUE"""),"台銀籌備帳戶")</f>
        <v>台銀籌備帳戶</v>
      </c>
      <c r="G3114" t="str">
        <f>IFERROR(__xludf.DUMMYFUNCTION("""COMPUTED_VALUE"""),"南港站挑高宅")</f>
        <v>南港站挑高宅</v>
      </c>
      <c r="H3114" s="106" t="str">
        <f t="shared" si="1"/>
        <v>2026-01</v>
      </c>
      <c r="I3114" s="271" t="str">
        <f>IFERROR(__xludf.DUMMYFUNCTION("""COMPUTED_VALUE"""),"貓狗企鵝")</f>
        <v>貓狗企鵝</v>
      </c>
      <c r="J3114" t="str">
        <f>IFERROR(__xludf.DUMMYFUNCTION("IFS(
  AND(REGEXMATCH(E3114, ""台銀籌備帳戶|玉山帳戶""), REGEXMATCH(C3114, ""薪資"")), ""分潤支出"",
  AND(REGEXMATCH(E3114, ""Ben帳戶|Elsa帳戶|Ben代墊|Ariel代墊|中信銀行共用""), REGEXMATCH(F3114, ""Ben帳戶|Elsa帳戶|Ben代墊|Ariel代墊|中信銀行共用"")), ""內部轉帳(忽略)"",
  AND(E3114&lt;&gt;"""", F3114&lt;&gt;"""", N"&amp;"OT(REGEXMATCH(C3114, ""薪資""))), ""內部轉帳(忽略)"",
  REGEXMATCH(C3114, ""薪資""), ""薪資變動(不計入)"",
  REGEXMATCH(C3114, ""押金""), ""押金往來"",
  AND(E3114&lt;&gt;"""", F3114=""""), ""真實支出"",
  AND(E3114="""", F3114&lt;&gt;""""), ""真實收入"",
  TRUE, ""其他""
)"),"真實收入")</f>
        <v>真實收入</v>
      </c>
      <c r="K3114" s="270">
        <f t="shared" si="2"/>
        <v>13800</v>
      </c>
      <c r="L3114">
        <f t="shared" si="3"/>
        <v>0</v>
      </c>
    </row>
    <row r="3115">
      <c r="A3115" s="107">
        <f>IFERROR(__xludf.DUMMYFUNCTION("""COMPUTED_VALUE"""),46023.0)</f>
        <v>46023</v>
      </c>
      <c r="B3115" t="str">
        <f>IFERROR(__xludf.DUMMYFUNCTION("""COMPUTED_VALUE"""),"[中山北Feli家] A 月租金 後五碼:51759 (行號: 64)")</f>
        <v>[中山北Feli家] A 月租金 後五碼:51759 (行號: 64)</v>
      </c>
      <c r="C3115" t="str">
        <f>IFERROR(__xludf.DUMMYFUNCTION("""COMPUTED_VALUE"""),"收入 - 租金")</f>
        <v>收入 - 租金</v>
      </c>
      <c r="D3115" s="270">
        <f>IFERROR(__xludf.DUMMYFUNCTION("""COMPUTED_VALUE"""),13200.0)</f>
        <v>13200</v>
      </c>
      <c r="F3115" t="str">
        <f>IFERROR(__xludf.DUMMYFUNCTION("""COMPUTED_VALUE"""),"台銀籌備帳戶")</f>
        <v>台銀籌備帳戶</v>
      </c>
      <c r="G3115" t="str">
        <f>IFERROR(__xludf.DUMMYFUNCTION("""COMPUTED_VALUE"""),"中山北Feli家")</f>
        <v>中山北Feli家</v>
      </c>
      <c r="H3115" s="106" t="str">
        <f t="shared" si="1"/>
        <v>2026-01</v>
      </c>
      <c r="I3115" s="271" t="str">
        <f>IFERROR(__xludf.DUMMYFUNCTION("""COMPUTED_VALUE"""),"貓狗企鵝")</f>
        <v>貓狗企鵝</v>
      </c>
      <c r="J3115" t="str">
        <f>IFERROR(__xludf.DUMMYFUNCTION("IFS(
  AND(REGEXMATCH(E3115, ""台銀籌備帳戶|玉山帳戶""), REGEXMATCH(C3115, ""薪資"")), ""分潤支出"",
  AND(REGEXMATCH(E3115, ""Ben帳戶|Elsa帳戶|Ben代墊|Ariel代墊|中信銀行共用""), REGEXMATCH(F3115, ""Ben帳戶|Elsa帳戶|Ben代墊|Ariel代墊|中信銀行共用"")), ""內部轉帳(忽略)"",
  AND(E3115&lt;&gt;"""", F3115&lt;&gt;"""", N"&amp;"OT(REGEXMATCH(C3115, ""薪資""))), ""內部轉帳(忽略)"",
  REGEXMATCH(C3115, ""薪資""), ""薪資變動(不計入)"",
  REGEXMATCH(C3115, ""押金""), ""押金往來"",
  AND(E3115&lt;&gt;"""", F3115=""""), ""真實支出"",
  AND(E3115="""", F3115&lt;&gt;""""), ""真實收入"",
  TRUE, ""其他""
)"),"真實收入")</f>
        <v>真實收入</v>
      </c>
      <c r="K3115" s="270">
        <f t="shared" si="2"/>
        <v>13200</v>
      </c>
      <c r="L3115">
        <f t="shared" si="3"/>
        <v>0</v>
      </c>
    </row>
    <row r="3116">
      <c r="A3116" s="107">
        <f>IFERROR(__xludf.DUMMYFUNCTION("""COMPUTED_VALUE"""),46023.0)</f>
        <v>46023</v>
      </c>
      <c r="B3116" t="str">
        <f>IFERROR(__xludf.DUMMYFUNCTION("""COMPUTED_VALUE"""),"[永春四號] C 月租金 後五碼:47900 (行號: 65)")</f>
        <v>[永春四號] C 月租金 後五碼:47900 (行號: 65)</v>
      </c>
      <c r="C3116" t="str">
        <f>IFERROR(__xludf.DUMMYFUNCTION("""COMPUTED_VALUE"""),"收入 - 租金")</f>
        <v>收入 - 租金</v>
      </c>
      <c r="D3116" s="270">
        <f>IFERROR(__xludf.DUMMYFUNCTION("""COMPUTED_VALUE"""),12800.0)</f>
        <v>12800</v>
      </c>
      <c r="F3116" t="str">
        <f>IFERROR(__xludf.DUMMYFUNCTION("""COMPUTED_VALUE"""),"台銀籌備帳戶")</f>
        <v>台銀籌備帳戶</v>
      </c>
      <c r="G3116" t="str">
        <f>IFERROR(__xludf.DUMMYFUNCTION("""COMPUTED_VALUE"""),"永春四號")</f>
        <v>永春四號</v>
      </c>
      <c r="H3116" s="106" t="str">
        <f t="shared" si="1"/>
        <v>2026-01</v>
      </c>
      <c r="I3116" s="271" t="str">
        <f>IFERROR(__xludf.DUMMYFUNCTION("""COMPUTED_VALUE"""),"貓狗企鵝")</f>
        <v>貓狗企鵝</v>
      </c>
      <c r="J3116" t="str">
        <f>IFERROR(__xludf.DUMMYFUNCTION("IFS(
  AND(REGEXMATCH(E3116, ""台銀籌備帳戶|玉山帳戶""), REGEXMATCH(C3116, ""薪資"")), ""分潤支出"",
  AND(REGEXMATCH(E3116, ""Ben帳戶|Elsa帳戶|Ben代墊|Ariel代墊|中信銀行共用""), REGEXMATCH(F3116, ""Ben帳戶|Elsa帳戶|Ben代墊|Ariel代墊|中信銀行共用"")), ""內部轉帳(忽略)"",
  AND(E3116&lt;&gt;"""", F3116&lt;&gt;"""", N"&amp;"OT(REGEXMATCH(C3116, ""薪資""))), ""內部轉帳(忽略)"",
  REGEXMATCH(C3116, ""薪資""), ""薪資變動(不計入)"",
  REGEXMATCH(C3116, ""押金""), ""押金往來"",
  AND(E3116&lt;&gt;"""", F3116=""""), ""真實支出"",
  AND(E3116="""", F3116&lt;&gt;""""), ""真實收入"",
  TRUE, ""其他""
)"),"真實收入")</f>
        <v>真實收入</v>
      </c>
      <c r="K3116" s="270">
        <f t="shared" si="2"/>
        <v>12800</v>
      </c>
      <c r="L3116">
        <f t="shared" si="3"/>
        <v>0</v>
      </c>
    </row>
    <row r="3117">
      <c r="A3117" s="107">
        <f>IFERROR(__xludf.DUMMYFUNCTION("""COMPUTED_VALUE"""),46023.0)</f>
        <v>46023</v>
      </c>
      <c r="B3117" t="str">
        <f>IFERROR(__xludf.DUMMYFUNCTION("""COMPUTED_VALUE"""),"[景安2分鐘] D 月租金 後五碼:60130 (行號: 66)")</f>
        <v>[景安2分鐘] D 月租金 後五碼:60130 (行號: 66)</v>
      </c>
      <c r="C3117" t="str">
        <f>IFERROR(__xludf.DUMMYFUNCTION("""COMPUTED_VALUE"""),"收入 - 租金")</f>
        <v>收入 - 租金</v>
      </c>
      <c r="D3117" s="270">
        <f>IFERROR(__xludf.DUMMYFUNCTION("""COMPUTED_VALUE"""),8600.0)</f>
        <v>8600</v>
      </c>
      <c r="F3117" t="str">
        <f>IFERROR(__xludf.DUMMYFUNCTION("""COMPUTED_VALUE"""),"台銀籌備帳戶")</f>
        <v>台銀籌備帳戶</v>
      </c>
      <c r="G3117" t="str">
        <f>IFERROR(__xludf.DUMMYFUNCTION("""COMPUTED_VALUE"""),"景安2分鐘")</f>
        <v>景安2分鐘</v>
      </c>
      <c r="H3117" s="106" t="str">
        <f t="shared" si="1"/>
        <v>2026-01</v>
      </c>
      <c r="I3117" s="271" t="str">
        <f>IFERROR(__xludf.DUMMYFUNCTION("""COMPUTED_VALUE"""),"貓狗企鵝")</f>
        <v>貓狗企鵝</v>
      </c>
      <c r="J3117" t="str">
        <f>IFERROR(__xludf.DUMMYFUNCTION("IFS(
  AND(REGEXMATCH(E3117, ""台銀籌備帳戶|玉山帳戶""), REGEXMATCH(C3117, ""薪資"")), ""分潤支出"",
  AND(REGEXMATCH(E3117, ""Ben帳戶|Elsa帳戶|Ben代墊|Ariel代墊|中信銀行共用""), REGEXMATCH(F3117, ""Ben帳戶|Elsa帳戶|Ben代墊|Ariel代墊|中信銀行共用"")), ""內部轉帳(忽略)"",
  AND(E3117&lt;&gt;"""", F3117&lt;&gt;"""", N"&amp;"OT(REGEXMATCH(C3117, ""薪資""))), ""內部轉帳(忽略)"",
  REGEXMATCH(C3117, ""薪資""), ""薪資變動(不計入)"",
  REGEXMATCH(C3117, ""押金""), ""押金往來"",
  AND(E3117&lt;&gt;"""", F3117=""""), ""真實支出"",
  AND(E3117="""", F3117&lt;&gt;""""), ""真實收入"",
  TRUE, ""其他""
)"),"真實收入")</f>
        <v>真實收入</v>
      </c>
      <c r="K3117" s="270">
        <f t="shared" si="2"/>
        <v>8600</v>
      </c>
      <c r="L3117">
        <f t="shared" si="3"/>
        <v>0</v>
      </c>
    </row>
    <row r="3118">
      <c r="A3118" s="107">
        <f>IFERROR(__xludf.DUMMYFUNCTION("""COMPUTED_VALUE"""),46024.0)</f>
        <v>46024</v>
      </c>
      <c r="B3118" t="str">
        <f>IFERROR(__xludf.DUMMYFUNCTION("""COMPUTED_VALUE"""),"[金龍帽子先生] B 月租金 後五碼:70609 (行號: 67)")</f>
        <v>[金龍帽子先生] B 月租金 後五碼:70609 (行號: 67)</v>
      </c>
      <c r="C3118" t="str">
        <f>IFERROR(__xludf.DUMMYFUNCTION("""COMPUTED_VALUE"""),"收入 - 租金")</f>
        <v>收入 - 租金</v>
      </c>
      <c r="D3118" s="270">
        <f>IFERROR(__xludf.DUMMYFUNCTION("""COMPUTED_VALUE"""),12700.0)</f>
        <v>12700</v>
      </c>
      <c r="F3118" t="str">
        <f>IFERROR(__xludf.DUMMYFUNCTION("""COMPUTED_VALUE"""),"台銀籌備帳戶")</f>
        <v>台銀籌備帳戶</v>
      </c>
      <c r="G3118" t="str">
        <f>IFERROR(__xludf.DUMMYFUNCTION("""COMPUTED_VALUE"""),"金龍帽子先生")</f>
        <v>金龍帽子先生</v>
      </c>
      <c r="H3118" s="106" t="str">
        <f t="shared" si="1"/>
        <v>2026-01</v>
      </c>
      <c r="I3118" s="271" t="str">
        <f>IFERROR(__xludf.DUMMYFUNCTION("""COMPUTED_VALUE"""),"貓狗企鵝")</f>
        <v>貓狗企鵝</v>
      </c>
      <c r="J3118" t="str">
        <f>IFERROR(__xludf.DUMMYFUNCTION("IFS(
  AND(REGEXMATCH(E3118, ""台銀籌備帳戶|玉山帳戶""), REGEXMATCH(C3118, ""薪資"")), ""分潤支出"",
  AND(REGEXMATCH(E3118, ""Ben帳戶|Elsa帳戶|Ben代墊|Ariel代墊|中信銀行共用""), REGEXMATCH(F3118, ""Ben帳戶|Elsa帳戶|Ben代墊|Ariel代墊|中信銀行共用"")), ""內部轉帳(忽略)"",
  AND(E3118&lt;&gt;"""", F3118&lt;&gt;"""", N"&amp;"OT(REGEXMATCH(C3118, ""薪資""))), ""內部轉帳(忽略)"",
  REGEXMATCH(C3118, ""薪資""), ""薪資變動(不計入)"",
  REGEXMATCH(C3118, ""押金""), ""押金往來"",
  AND(E3118&lt;&gt;"""", F3118=""""), ""真實支出"",
  AND(E3118="""", F3118&lt;&gt;""""), ""真實收入"",
  TRUE, ""其他""
)"),"真實收入")</f>
        <v>真實收入</v>
      </c>
      <c r="K3118" s="270">
        <f t="shared" si="2"/>
        <v>12700</v>
      </c>
      <c r="L3118">
        <f t="shared" si="3"/>
        <v>0</v>
      </c>
    </row>
    <row r="3119">
      <c r="A3119" s="107">
        <f>IFERROR(__xludf.DUMMYFUNCTION("""COMPUTED_VALUE"""),46024.0)</f>
        <v>46024</v>
      </c>
      <c r="B3119" t="str">
        <f>IFERROR(__xludf.DUMMYFUNCTION("""COMPUTED_VALUE"""),"[書香民生] B 月租金 後五碼:54102 (行號: 68)")</f>
        <v>[書香民生] B 月租金 後五碼:54102 (行號: 68)</v>
      </c>
      <c r="C3119" t="str">
        <f>IFERROR(__xludf.DUMMYFUNCTION("""COMPUTED_VALUE"""),"收入 - 租金")</f>
        <v>收入 - 租金</v>
      </c>
      <c r="D3119" s="270">
        <f>IFERROR(__xludf.DUMMYFUNCTION("""COMPUTED_VALUE"""),17800.0)</f>
        <v>17800</v>
      </c>
      <c r="F3119" t="str">
        <f>IFERROR(__xludf.DUMMYFUNCTION("""COMPUTED_VALUE"""),"台銀籌備帳戶")</f>
        <v>台銀籌備帳戶</v>
      </c>
      <c r="G3119" t="str">
        <f>IFERROR(__xludf.DUMMYFUNCTION("""COMPUTED_VALUE"""),"書香民生")</f>
        <v>書香民生</v>
      </c>
      <c r="H3119" s="106" t="str">
        <f t="shared" si="1"/>
        <v>2026-01</v>
      </c>
      <c r="I3119" s="271" t="str">
        <f>IFERROR(__xludf.DUMMYFUNCTION("""COMPUTED_VALUE"""),"貓狗企鵝")</f>
        <v>貓狗企鵝</v>
      </c>
      <c r="J3119" t="str">
        <f>IFERROR(__xludf.DUMMYFUNCTION("IFS(
  AND(REGEXMATCH(E3119, ""台銀籌備帳戶|玉山帳戶""), REGEXMATCH(C3119, ""薪資"")), ""分潤支出"",
  AND(REGEXMATCH(E3119, ""Ben帳戶|Elsa帳戶|Ben代墊|Ariel代墊|中信銀行共用""), REGEXMATCH(F3119, ""Ben帳戶|Elsa帳戶|Ben代墊|Ariel代墊|中信銀行共用"")), ""內部轉帳(忽略)"",
  AND(E3119&lt;&gt;"""", F3119&lt;&gt;"""", N"&amp;"OT(REGEXMATCH(C3119, ""薪資""))), ""內部轉帳(忽略)"",
  REGEXMATCH(C3119, ""薪資""), ""薪資變動(不計入)"",
  REGEXMATCH(C3119, ""押金""), ""押金往來"",
  AND(E3119&lt;&gt;"""", F3119=""""), ""真實支出"",
  AND(E3119="""", F3119&lt;&gt;""""), ""真實收入"",
  TRUE, ""其他""
)"),"真實收入")</f>
        <v>真實收入</v>
      </c>
      <c r="K3119" s="270">
        <f t="shared" si="2"/>
        <v>17800</v>
      </c>
      <c r="L3119">
        <f t="shared" si="3"/>
        <v>0</v>
      </c>
    </row>
    <row r="3120">
      <c r="A3120" s="107">
        <f>IFERROR(__xludf.DUMMYFUNCTION("""COMPUTED_VALUE"""),46024.0)</f>
        <v>46024</v>
      </c>
      <c r="B3120" t="str">
        <f>IFERROR(__xludf.DUMMYFUNCTION("""COMPUTED_VALUE"""),"[哈拉對面] D 月租金 後五碼:64267 (行號: 69)")</f>
        <v>[哈拉對面] D 月租金 後五碼:64267 (行號: 69)</v>
      </c>
      <c r="C3120" t="str">
        <f>IFERROR(__xludf.DUMMYFUNCTION("""COMPUTED_VALUE"""),"收入 - 租金")</f>
        <v>收入 - 租金</v>
      </c>
      <c r="D3120" s="270">
        <f>IFERROR(__xludf.DUMMYFUNCTION("""COMPUTED_VALUE"""),11800.0)</f>
        <v>11800</v>
      </c>
      <c r="F3120" t="str">
        <f>IFERROR(__xludf.DUMMYFUNCTION("""COMPUTED_VALUE"""),"台銀籌備帳戶")</f>
        <v>台銀籌備帳戶</v>
      </c>
      <c r="G3120" t="str">
        <f>IFERROR(__xludf.DUMMYFUNCTION("""COMPUTED_VALUE"""),"哈拉對面")</f>
        <v>哈拉對面</v>
      </c>
      <c r="H3120" s="106" t="str">
        <f t="shared" si="1"/>
        <v>2026-01</v>
      </c>
      <c r="I3120" s="271" t="str">
        <f>IFERROR(__xludf.DUMMYFUNCTION("""COMPUTED_VALUE"""),"貓狗企鵝")</f>
        <v>貓狗企鵝</v>
      </c>
      <c r="J3120" t="str">
        <f>IFERROR(__xludf.DUMMYFUNCTION("IFS(
  AND(REGEXMATCH(E3120, ""台銀籌備帳戶|玉山帳戶""), REGEXMATCH(C3120, ""薪資"")), ""分潤支出"",
  AND(REGEXMATCH(E3120, ""Ben帳戶|Elsa帳戶|Ben代墊|Ariel代墊|中信銀行共用""), REGEXMATCH(F3120, ""Ben帳戶|Elsa帳戶|Ben代墊|Ariel代墊|中信銀行共用"")), ""內部轉帳(忽略)"",
  AND(E3120&lt;&gt;"""", F3120&lt;&gt;"""", N"&amp;"OT(REGEXMATCH(C3120, ""薪資""))), ""內部轉帳(忽略)"",
  REGEXMATCH(C3120, ""薪資""), ""薪資變動(不計入)"",
  REGEXMATCH(C3120, ""押金""), ""押金往來"",
  AND(E3120&lt;&gt;"""", F3120=""""), ""真實支出"",
  AND(E3120="""", F3120&lt;&gt;""""), ""真實收入"",
  TRUE, ""其他""
)"),"真實收入")</f>
        <v>真實收入</v>
      </c>
      <c r="K3120" s="270">
        <f t="shared" si="2"/>
        <v>11800</v>
      </c>
      <c r="L3120">
        <f t="shared" si="3"/>
        <v>0</v>
      </c>
    </row>
    <row r="3121">
      <c r="A3121" s="107">
        <f>IFERROR(__xludf.DUMMYFUNCTION("""COMPUTED_VALUE"""),46024.0)</f>
        <v>46024</v>
      </c>
      <c r="B3121" t="str">
        <f>IFERROR(__xludf.DUMMYFUNCTION("""COMPUTED_VALUE"""),"[大湖山莊] G 月租金 後五碼:47500 (行號: 70)")</f>
        <v>[大湖山莊] G 月租金 後五碼:47500 (行號: 70)</v>
      </c>
      <c r="C3121" t="str">
        <f>IFERROR(__xludf.DUMMYFUNCTION("""COMPUTED_VALUE"""),"收入 - 租金")</f>
        <v>收入 - 租金</v>
      </c>
      <c r="D3121" s="270">
        <f>IFERROR(__xludf.DUMMYFUNCTION("""COMPUTED_VALUE"""),15800.0)</f>
        <v>15800</v>
      </c>
      <c r="F3121" t="str">
        <f>IFERROR(__xludf.DUMMYFUNCTION("""COMPUTED_VALUE"""),"台銀籌備帳戶")</f>
        <v>台銀籌備帳戶</v>
      </c>
      <c r="G3121" t="str">
        <f>IFERROR(__xludf.DUMMYFUNCTION("""COMPUTED_VALUE"""),"大湖山莊")</f>
        <v>大湖山莊</v>
      </c>
      <c r="H3121" s="106" t="str">
        <f t="shared" si="1"/>
        <v>2026-01</v>
      </c>
      <c r="I3121" s="271" t="str">
        <f>IFERROR(__xludf.DUMMYFUNCTION("""COMPUTED_VALUE"""),"貓狗企鵝")</f>
        <v>貓狗企鵝</v>
      </c>
      <c r="J3121" t="str">
        <f>IFERROR(__xludf.DUMMYFUNCTION("IFS(
  AND(REGEXMATCH(E3121, ""台銀籌備帳戶|玉山帳戶""), REGEXMATCH(C3121, ""薪資"")), ""分潤支出"",
  AND(REGEXMATCH(E3121, ""Ben帳戶|Elsa帳戶|Ben代墊|Ariel代墊|中信銀行共用""), REGEXMATCH(F3121, ""Ben帳戶|Elsa帳戶|Ben代墊|Ariel代墊|中信銀行共用"")), ""內部轉帳(忽略)"",
  AND(E3121&lt;&gt;"""", F3121&lt;&gt;"""", N"&amp;"OT(REGEXMATCH(C3121, ""薪資""))), ""內部轉帳(忽略)"",
  REGEXMATCH(C3121, ""薪資""), ""薪資變動(不計入)"",
  REGEXMATCH(C3121, ""押金""), ""押金往來"",
  AND(E3121&lt;&gt;"""", F3121=""""), ""真實支出"",
  AND(E3121="""", F3121&lt;&gt;""""), ""真實收入"",
  TRUE, ""其他""
)"),"真實收入")</f>
        <v>真實收入</v>
      </c>
      <c r="K3121" s="270">
        <f t="shared" si="2"/>
        <v>15800</v>
      </c>
      <c r="L3121">
        <f t="shared" si="3"/>
        <v>0</v>
      </c>
    </row>
    <row r="3122">
      <c r="A3122" s="107">
        <f>IFERROR(__xludf.DUMMYFUNCTION("""COMPUTED_VALUE"""),46024.0)</f>
        <v>46024</v>
      </c>
      <c r="B3122" t="str">
        <f>IFERROR(__xludf.DUMMYFUNCTION("""COMPUTED_VALUE"""),"[龍江229] D 月租金 後五碼:45221 (行號: 71)")</f>
        <v>[龍江229] D 月租金 後五碼:45221 (行號: 71)</v>
      </c>
      <c r="C3122" t="str">
        <f>IFERROR(__xludf.DUMMYFUNCTION("""COMPUTED_VALUE"""),"收入 - 租金")</f>
        <v>收入 - 租金</v>
      </c>
      <c r="D3122" s="270">
        <f>IFERROR(__xludf.DUMMYFUNCTION("""COMPUTED_VALUE"""),13300.0)</f>
        <v>13300</v>
      </c>
      <c r="F3122" t="str">
        <f>IFERROR(__xludf.DUMMYFUNCTION("""COMPUTED_VALUE"""),"台銀籌備帳戶")</f>
        <v>台銀籌備帳戶</v>
      </c>
      <c r="G3122" t="str">
        <f>IFERROR(__xludf.DUMMYFUNCTION("""COMPUTED_VALUE"""),"龍江229")</f>
        <v>龍江229</v>
      </c>
      <c r="H3122" s="106" t="str">
        <f t="shared" si="1"/>
        <v>2026-01</v>
      </c>
      <c r="I3122" s="271" t="str">
        <f>IFERROR(__xludf.DUMMYFUNCTION("""COMPUTED_VALUE"""),"貓狗企鵝")</f>
        <v>貓狗企鵝</v>
      </c>
      <c r="J3122" t="str">
        <f>IFERROR(__xludf.DUMMYFUNCTION("IFS(
  AND(REGEXMATCH(E3122, ""台銀籌備帳戶|玉山帳戶""), REGEXMATCH(C3122, ""薪資"")), ""分潤支出"",
  AND(REGEXMATCH(E3122, ""Ben帳戶|Elsa帳戶|Ben代墊|Ariel代墊|中信銀行共用""), REGEXMATCH(F3122, ""Ben帳戶|Elsa帳戶|Ben代墊|Ariel代墊|中信銀行共用"")), ""內部轉帳(忽略)"",
  AND(E3122&lt;&gt;"""", F3122&lt;&gt;"""", N"&amp;"OT(REGEXMATCH(C3122, ""薪資""))), ""內部轉帳(忽略)"",
  REGEXMATCH(C3122, ""薪資""), ""薪資變動(不計入)"",
  REGEXMATCH(C3122, ""押金""), ""押金往來"",
  AND(E3122&lt;&gt;"""", F3122=""""), ""真實支出"",
  AND(E3122="""", F3122&lt;&gt;""""), ""真實收入"",
  TRUE, ""其他""
)"),"真實收入")</f>
        <v>真實收入</v>
      </c>
      <c r="K3122" s="270">
        <f t="shared" si="2"/>
        <v>13300</v>
      </c>
      <c r="L3122">
        <f t="shared" si="3"/>
        <v>0</v>
      </c>
    </row>
    <row r="3123">
      <c r="A3123" s="107">
        <f>IFERROR(__xludf.DUMMYFUNCTION("""COMPUTED_VALUE"""),46025.0)</f>
        <v>46025</v>
      </c>
      <c r="B3123" t="str">
        <f>IFERROR(__xludf.DUMMYFUNCTION("""COMPUTED_VALUE"""),"[書香民生] C 月租金 後五碼:07688 (行號: 72)")</f>
        <v>[書香民生] C 月租金 後五碼:07688 (行號: 72)</v>
      </c>
      <c r="C3123" t="str">
        <f>IFERROR(__xludf.DUMMYFUNCTION("""COMPUTED_VALUE"""),"收入 - 租金")</f>
        <v>收入 - 租金</v>
      </c>
      <c r="D3123" s="270">
        <f>IFERROR(__xludf.DUMMYFUNCTION("""COMPUTED_VALUE"""),14800.0)</f>
        <v>14800</v>
      </c>
      <c r="F3123" t="str">
        <f>IFERROR(__xludf.DUMMYFUNCTION("""COMPUTED_VALUE"""),"台銀籌備帳戶")</f>
        <v>台銀籌備帳戶</v>
      </c>
      <c r="G3123" t="str">
        <f>IFERROR(__xludf.DUMMYFUNCTION("""COMPUTED_VALUE"""),"書香民生")</f>
        <v>書香民生</v>
      </c>
      <c r="H3123" s="106" t="str">
        <f t="shared" si="1"/>
        <v>2026-01</v>
      </c>
      <c r="I3123" s="271" t="str">
        <f>IFERROR(__xludf.DUMMYFUNCTION("""COMPUTED_VALUE"""),"貓狗企鵝")</f>
        <v>貓狗企鵝</v>
      </c>
      <c r="J3123" t="str">
        <f>IFERROR(__xludf.DUMMYFUNCTION("IFS(
  AND(REGEXMATCH(E3123, ""台銀籌備帳戶|玉山帳戶""), REGEXMATCH(C3123, ""薪資"")), ""分潤支出"",
  AND(REGEXMATCH(E3123, ""Ben帳戶|Elsa帳戶|Ben代墊|Ariel代墊|中信銀行共用""), REGEXMATCH(F3123, ""Ben帳戶|Elsa帳戶|Ben代墊|Ariel代墊|中信銀行共用"")), ""內部轉帳(忽略)"",
  AND(E3123&lt;&gt;"""", F3123&lt;&gt;"""", N"&amp;"OT(REGEXMATCH(C3123, ""薪資""))), ""內部轉帳(忽略)"",
  REGEXMATCH(C3123, ""薪資""), ""薪資變動(不計入)"",
  REGEXMATCH(C3123, ""押金""), ""押金往來"",
  AND(E3123&lt;&gt;"""", F3123=""""), ""真實支出"",
  AND(E3123="""", F3123&lt;&gt;""""), ""真實收入"",
  TRUE, ""其他""
)"),"真實收入")</f>
        <v>真實收入</v>
      </c>
      <c r="K3123" s="270">
        <f t="shared" si="2"/>
        <v>14800</v>
      </c>
      <c r="L3123">
        <f t="shared" si="3"/>
        <v>0</v>
      </c>
    </row>
    <row r="3124">
      <c r="A3124" s="107">
        <f>IFERROR(__xludf.DUMMYFUNCTION("""COMPUTED_VALUE"""),46025.0)</f>
        <v>46025</v>
      </c>
      <c r="B3124" t="str">
        <f>IFERROR(__xludf.DUMMYFUNCTION("""COMPUTED_VALUE"""),"[哈拉對面] A 月租金 後五碼:01039 (行號: 73)")</f>
        <v>[哈拉對面] A 月租金 後五碼:01039 (行號: 73)</v>
      </c>
      <c r="C3124" t="str">
        <f>IFERROR(__xludf.DUMMYFUNCTION("""COMPUTED_VALUE"""),"收入 - 租金")</f>
        <v>收入 - 租金</v>
      </c>
      <c r="D3124" s="270">
        <f>IFERROR(__xludf.DUMMYFUNCTION("""COMPUTED_VALUE"""),11000.0)</f>
        <v>11000</v>
      </c>
      <c r="F3124" t="str">
        <f>IFERROR(__xludf.DUMMYFUNCTION("""COMPUTED_VALUE"""),"台銀籌備帳戶")</f>
        <v>台銀籌備帳戶</v>
      </c>
      <c r="G3124" t="str">
        <f>IFERROR(__xludf.DUMMYFUNCTION("""COMPUTED_VALUE"""),"哈拉對面")</f>
        <v>哈拉對面</v>
      </c>
      <c r="H3124" s="106" t="str">
        <f t="shared" si="1"/>
        <v>2026-01</v>
      </c>
      <c r="I3124" s="271" t="str">
        <f>IFERROR(__xludf.DUMMYFUNCTION("""COMPUTED_VALUE"""),"貓狗企鵝")</f>
        <v>貓狗企鵝</v>
      </c>
      <c r="J3124" t="str">
        <f>IFERROR(__xludf.DUMMYFUNCTION("IFS(
  AND(REGEXMATCH(E3124, ""台銀籌備帳戶|玉山帳戶""), REGEXMATCH(C3124, ""薪資"")), ""分潤支出"",
  AND(REGEXMATCH(E3124, ""Ben帳戶|Elsa帳戶|Ben代墊|Ariel代墊|中信銀行共用""), REGEXMATCH(F3124, ""Ben帳戶|Elsa帳戶|Ben代墊|Ariel代墊|中信銀行共用"")), ""內部轉帳(忽略)"",
  AND(E3124&lt;&gt;"""", F3124&lt;&gt;"""", N"&amp;"OT(REGEXMATCH(C3124, ""薪資""))), ""內部轉帳(忽略)"",
  REGEXMATCH(C3124, ""薪資""), ""薪資變動(不計入)"",
  REGEXMATCH(C3124, ""押金""), ""押金往來"",
  AND(E3124&lt;&gt;"""", F3124=""""), ""真實支出"",
  AND(E3124="""", F3124&lt;&gt;""""), ""真實收入"",
  TRUE, ""其他""
)"),"真實收入")</f>
        <v>真實收入</v>
      </c>
      <c r="K3124" s="270">
        <f t="shared" si="2"/>
        <v>11000</v>
      </c>
      <c r="L3124">
        <f t="shared" si="3"/>
        <v>0</v>
      </c>
    </row>
    <row r="3125">
      <c r="A3125" s="107">
        <f>IFERROR(__xludf.DUMMYFUNCTION("""COMPUTED_VALUE"""),46027.0)</f>
        <v>46027</v>
      </c>
      <c r="B3125" t="str">
        <f>IFERROR(__xludf.DUMMYFUNCTION("""COMPUTED_VALUE"""),"費用 - 匯費 008 (02206)")</f>
        <v>費用 - 匯費 008 (02206)</v>
      </c>
      <c r="C3125" t="str">
        <f>IFERROR(__xludf.DUMMYFUNCTION("""COMPUTED_VALUE"""),"費用 - 匯費")</f>
        <v>費用 - 匯費</v>
      </c>
      <c r="D3125" s="270">
        <f>IFERROR(__xludf.DUMMYFUNCTION("""COMPUTED_VALUE"""),-15.0)</f>
        <v>-15</v>
      </c>
      <c r="E3125" t="str">
        <f>IFERROR(__xludf.DUMMYFUNCTION("""COMPUTED_VALUE"""),"台銀籌備帳戶")</f>
        <v>台銀籌備帳戶</v>
      </c>
      <c r="H3125" s="106" t="str">
        <f t="shared" si="1"/>
        <v>2026-01</v>
      </c>
      <c r="I3125" s="271" t="str">
        <f>IFERROR(__xludf.DUMMYFUNCTION("""COMPUTED_VALUE"""),"貓狗企鵝")</f>
        <v>貓狗企鵝</v>
      </c>
      <c r="J3125" t="str">
        <f>IFERROR(__xludf.DUMMYFUNCTION("IFS(
  AND(REGEXMATCH(E3125, ""台銀籌備帳戶|玉山帳戶""), REGEXMATCH(C3125, ""薪資"")), ""分潤支出"",
  AND(REGEXMATCH(E3125, ""Ben帳戶|Elsa帳戶|Ben代墊|Ariel代墊|中信銀行共用""), REGEXMATCH(F3125, ""Ben帳戶|Elsa帳戶|Ben代墊|Ariel代墊|中信銀行共用"")), ""內部轉帳(忽略)"",
  AND(E3125&lt;&gt;"""", F3125&lt;&gt;"""", N"&amp;"OT(REGEXMATCH(C3125, ""薪資""))), ""內部轉帳(忽略)"",
  REGEXMATCH(C3125, ""薪資""), ""薪資變動(不計入)"",
  REGEXMATCH(C3125, ""押金""), ""押金往來"",
  AND(E3125&lt;&gt;"""", F3125=""""), ""真實支出"",
  AND(E3125="""", F3125&lt;&gt;""""), ""真實收入"",
  TRUE, ""其他""
)"),"真實支出")</f>
        <v>真實支出</v>
      </c>
      <c r="K3125" s="270">
        <f t="shared" si="2"/>
        <v>-15</v>
      </c>
      <c r="L3125">
        <f t="shared" si="3"/>
        <v>0</v>
      </c>
    </row>
    <row r="3126">
      <c r="A3126" s="107">
        <f>IFERROR(__xludf.DUMMYFUNCTION("""COMPUTED_VALUE"""),46027.0)</f>
        <v>46027</v>
      </c>
      <c r="B3126" t="str">
        <f>IFERROR(__xludf.DUMMYFUNCTION("""COMPUTED_VALUE"""),"公會會費 ' 【未分類支出】")</f>
        <v>公會會費 ' 【未分類支出】</v>
      </c>
      <c r="C3126" t="str">
        <f>IFERROR(__xludf.DUMMYFUNCTION("""COMPUTED_VALUE"""),"費用 - 法律會計費用")</f>
        <v>費用 - 法律會計費用</v>
      </c>
      <c r="D3126" s="270">
        <f>IFERROR(__xludf.DUMMYFUNCTION("""COMPUTED_VALUE"""),-15000.0)</f>
        <v>-15000</v>
      </c>
      <c r="E3126" t="str">
        <f>IFERROR(__xludf.DUMMYFUNCTION("""COMPUTED_VALUE"""),"台銀籌備帳戶")</f>
        <v>台銀籌備帳戶</v>
      </c>
      <c r="H3126" s="106" t="str">
        <f t="shared" si="1"/>
        <v>2026-01</v>
      </c>
      <c r="I3126" s="271" t="str">
        <f>IFERROR(__xludf.DUMMYFUNCTION("""COMPUTED_VALUE"""),"貓狗企鵝")</f>
        <v>貓狗企鵝</v>
      </c>
      <c r="J3126" t="str">
        <f>IFERROR(__xludf.DUMMYFUNCTION("IFS(
  AND(REGEXMATCH(E3126, ""台銀籌備帳戶|玉山帳戶""), REGEXMATCH(C3126, ""薪資"")), ""分潤支出"",
  AND(REGEXMATCH(E3126, ""Ben帳戶|Elsa帳戶|Ben代墊|Ariel代墊|中信銀行共用""), REGEXMATCH(F3126, ""Ben帳戶|Elsa帳戶|Ben代墊|Ariel代墊|中信銀行共用"")), ""內部轉帳(忽略)"",
  AND(E3126&lt;&gt;"""", F3126&lt;&gt;"""", N"&amp;"OT(REGEXMATCH(C3126, ""薪資""))), ""內部轉帳(忽略)"",
  REGEXMATCH(C3126, ""薪資""), ""薪資變動(不計入)"",
  REGEXMATCH(C3126, ""押金""), ""押金往來"",
  AND(E3126&lt;&gt;"""", F3126=""""), ""真實支出"",
  AND(E3126="""", F3126&lt;&gt;""""), ""真實收入"",
  TRUE, ""其他""
)"),"真實支出")</f>
        <v>真實支出</v>
      </c>
      <c r="K3126" s="270">
        <f t="shared" si="2"/>
        <v>-15000</v>
      </c>
      <c r="L3126">
        <f t="shared" si="3"/>
        <v>0</v>
      </c>
    </row>
    <row r="3127">
      <c r="A3127" s="107">
        <f>IFERROR(__xludf.DUMMYFUNCTION("""COMPUTED_VALUE"""),46030.0)</f>
        <v>46030</v>
      </c>
      <c r="B3127" t="str">
        <f>IFERROR(__xludf.DUMMYFUNCTION("""COMPUTED_VALUE"""),"水電材料")</f>
        <v>水電材料</v>
      </c>
      <c r="C3127" t="str">
        <f>IFERROR(__xludf.DUMMYFUNCTION("""COMPUTED_VALUE"""),"成本 - 進場前裝潢費")</f>
        <v>成本 - 進場前裝潢費</v>
      </c>
      <c r="D3127" s="270">
        <f>IFERROR(__xludf.DUMMYFUNCTION("""COMPUTED_VALUE"""),-846.0)</f>
        <v>-846</v>
      </c>
      <c r="E3127" t="str">
        <f>IFERROR(__xludf.DUMMYFUNCTION("""COMPUTED_VALUE"""),"Elsa帳戶")</f>
        <v>Elsa帳戶</v>
      </c>
      <c r="G3127" t="str">
        <f>IFERROR(__xludf.DUMMYFUNCTION("""COMPUTED_VALUE"""),"天母搜狗")</f>
        <v>天母搜狗</v>
      </c>
      <c r="H3127" s="106" t="str">
        <f t="shared" si="1"/>
        <v>2026-01</v>
      </c>
      <c r="I3127" s="271" t="str">
        <f>IFERROR(__xludf.DUMMYFUNCTION("""COMPUTED_VALUE"""),"貓狗企鵝")</f>
        <v>貓狗企鵝</v>
      </c>
      <c r="J3127" t="str">
        <f>IFERROR(__xludf.DUMMYFUNCTION("IFS(
  AND(REGEXMATCH(E3127, ""台銀籌備帳戶|玉山帳戶""), REGEXMATCH(C3127, ""薪資"")), ""分潤支出"",
  AND(REGEXMATCH(E3127, ""Ben帳戶|Elsa帳戶|Ben代墊|Ariel代墊|中信銀行共用""), REGEXMATCH(F3127, ""Ben帳戶|Elsa帳戶|Ben代墊|Ariel代墊|中信銀行共用"")), ""內部轉帳(忽略)"",
  AND(E3127&lt;&gt;"""", F3127&lt;&gt;"""", N"&amp;"OT(REGEXMATCH(C3127, ""薪資""))), ""內部轉帳(忽略)"",
  REGEXMATCH(C3127, ""薪資""), ""薪資變動(不計入)"",
  REGEXMATCH(C3127, ""押金""), ""押金往來"",
  AND(E3127&lt;&gt;"""", F3127=""""), ""真實支出"",
  AND(E3127="""", F3127&lt;&gt;""""), ""真實收入"",
  TRUE, ""其他""
)"),"真實支出")</f>
        <v>真實支出</v>
      </c>
      <c r="K3127" s="270">
        <f t="shared" si="2"/>
        <v>-846</v>
      </c>
      <c r="L3127">
        <f t="shared" si="3"/>
        <v>0</v>
      </c>
    </row>
    <row r="3128">
      <c r="A3128" s="107">
        <f>IFERROR(__xludf.DUMMYFUNCTION("""COMPUTED_VALUE"""),46030.0)</f>
        <v>46030</v>
      </c>
      <c r="B3128" t="str">
        <f>IFERROR(__xludf.DUMMYFUNCTION("""COMPUTED_VALUE"""),"寶琳大湖清潔")</f>
        <v>寶琳大湖清潔</v>
      </c>
      <c r="C3128" t="str">
        <f>IFERROR(__xludf.DUMMYFUNCTION("""COMPUTED_VALUE"""),"成本 - 進場前裝潢費")</f>
        <v>成本 - 進場前裝潢費</v>
      </c>
      <c r="D3128" s="270">
        <f>IFERROR(__xludf.DUMMYFUNCTION("""COMPUTED_VALUE"""),-1050.0)</f>
        <v>-1050</v>
      </c>
      <c r="E3128" t="str">
        <f>IFERROR(__xludf.DUMMYFUNCTION("""COMPUTED_VALUE"""),"Elsa帳戶")</f>
        <v>Elsa帳戶</v>
      </c>
      <c r="G3128" t="str">
        <f>IFERROR(__xludf.DUMMYFUNCTION("""COMPUTED_VALUE"""),"大湖山莊")</f>
        <v>大湖山莊</v>
      </c>
      <c r="H3128" s="106" t="str">
        <f t="shared" si="1"/>
        <v>2026-01</v>
      </c>
      <c r="I3128" s="271" t="str">
        <f>IFERROR(__xludf.DUMMYFUNCTION("""COMPUTED_VALUE"""),"貓狗企鵝")</f>
        <v>貓狗企鵝</v>
      </c>
      <c r="J3128" t="str">
        <f>IFERROR(__xludf.DUMMYFUNCTION("IFS(
  AND(REGEXMATCH(E3128, ""台銀籌備帳戶|玉山帳戶""), REGEXMATCH(C3128, ""薪資"")), ""分潤支出"",
  AND(REGEXMATCH(E3128, ""Ben帳戶|Elsa帳戶|Ben代墊|Ariel代墊|中信銀行共用""), REGEXMATCH(F3128, ""Ben帳戶|Elsa帳戶|Ben代墊|Ariel代墊|中信銀行共用"")), ""內部轉帳(忽略)"",
  AND(E3128&lt;&gt;"""", F3128&lt;&gt;"""", N"&amp;"OT(REGEXMATCH(C3128, ""薪資""))), ""內部轉帳(忽略)"",
  REGEXMATCH(C3128, ""薪資""), ""薪資變動(不計入)"",
  REGEXMATCH(C3128, ""押金""), ""押金往來"",
  AND(E3128&lt;&gt;"""", F3128=""""), ""真實支出"",
  AND(E3128="""", F3128&lt;&gt;""""), ""真實收入"",
  TRUE, ""其他""
)"),"真實支出")</f>
        <v>真實支出</v>
      </c>
      <c r="K3128" s="270">
        <f t="shared" si="2"/>
        <v>-1050</v>
      </c>
      <c r="L3128">
        <f t="shared" si="3"/>
        <v>0</v>
      </c>
    </row>
    <row r="3129">
      <c r="A3129" s="107">
        <f>IFERROR(__xludf.DUMMYFUNCTION("""COMPUTED_VALUE"""),46030.0)</f>
        <v>46030</v>
      </c>
      <c r="B3129" t="str">
        <f>IFERROR(__xludf.DUMMYFUNCTION("""COMPUTED_VALUE"""),"乾衣機 安裝費")</f>
        <v>乾衣機 安裝費</v>
      </c>
      <c r="C3129" t="str">
        <f>IFERROR(__xludf.DUMMYFUNCTION("""COMPUTED_VALUE"""),"成本 - 進場前裝潢費")</f>
        <v>成本 - 進場前裝潢費</v>
      </c>
      <c r="D3129" s="270">
        <f>IFERROR(__xludf.DUMMYFUNCTION("""COMPUTED_VALUE"""),-1500.0)</f>
        <v>-1500</v>
      </c>
      <c r="E3129" t="str">
        <f>IFERROR(__xludf.DUMMYFUNCTION("""COMPUTED_VALUE"""),"Ben帳戶")</f>
        <v>Ben帳戶</v>
      </c>
      <c r="G3129" t="str">
        <f>IFERROR(__xludf.DUMMYFUNCTION("""COMPUTED_VALUE"""),"天母搜狗")</f>
        <v>天母搜狗</v>
      </c>
      <c r="H3129" s="106" t="str">
        <f t="shared" si="1"/>
        <v>2026-01</v>
      </c>
      <c r="I3129" s="271" t="str">
        <f>IFERROR(__xludf.DUMMYFUNCTION("""COMPUTED_VALUE"""),"貓狗企鵝")</f>
        <v>貓狗企鵝</v>
      </c>
      <c r="J3129" t="str">
        <f>IFERROR(__xludf.DUMMYFUNCTION("IFS(
  AND(REGEXMATCH(E3129, ""台銀籌備帳戶|玉山帳戶""), REGEXMATCH(C3129, ""薪資"")), ""分潤支出"",
  AND(REGEXMATCH(E3129, ""Ben帳戶|Elsa帳戶|Ben代墊|Ariel代墊|中信銀行共用""), REGEXMATCH(F3129, ""Ben帳戶|Elsa帳戶|Ben代墊|Ariel代墊|中信銀行共用"")), ""內部轉帳(忽略)"",
  AND(E3129&lt;&gt;"""", F3129&lt;&gt;"""", N"&amp;"OT(REGEXMATCH(C3129, ""薪資""))), ""內部轉帳(忽略)"",
  REGEXMATCH(C3129, ""薪資""), ""薪資變動(不計入)"",
  REGEXMATCH(C3129, ""押金""), ""押金往來"",
  AND(E3129&lt;&gt;"""", F3129=""""), ""真實支出"",
  AND(E3129="""", F3129&lt;&gt;""""), ""真實收入"",
  TRUE, ""其他""
)"),"真實支出")</f>
        <v>真實支出</v>
      </c>
      <c r="K3129" s="270">
        <f t="shared" si="2"/>
        <v>-1500</v>
      </c>
      <c r="L3129">
        <f t="shared" si="3"/>
        <v>0</v>
      </c>
    </row>
    <row r="3130">
      <c r="A3130" s="107">
        <f>IFERROR(__xludf.DUMMYFUNCTION("""COMPUTED_VALUE"""),46034.0)</f>
        <v>46034</v>
      </c>
      <c r="B3130" t="str">
        <f>IFERROR(__xludf.DUMMYFUNCTION("""COMPUTED_VALUE"""),"2026年1-6月+農曆年 垃圾代收費")</f>
        <v>2026年1-6月+農曆年 垃圾代收費</v>
      </c>
      <c r="C3130" t="str">
        <f>IFERROR(__xludf.DUMMYFUNCTION("""COMPUTED_VALUE"""),"成本 - 固定開銷(網路代收清潔)")</f>
        <v>成本 - 固定開銷(網路代收清潔)</v>
      </c>
      <c r="D3130" s="270">
        <f>IFERROR(__xludf.DUMMYFUNCTION("""COMPUTED_VALUE"""),-4200.0)</f>
        <v>-4200</v>
      </c>
      <c r="E3130" t="str">
        <f>IFERROR(__xludf.DUMMYFUNCTION("""COMPUTED_VALUE"""),"Elsa帳戶")</f>
        <v>Elsa帳戶</v>
      </c>
      <c r="G3130" t="str">
        <f>IFERROR(__xludf.DUMMYFUNCTION("""COMPUTED_VALUE"""),"大湖山莊")</f>
        <v>大湖山莊</v>
      </c>
      <c r="H3130" s="106" t="str">
        <f t="shared" si="1"/>
        <v>2026-01</v>
      </c>
      <c r="I3130" s="271" t="str">
        <f>IFERROR(__xludf.DUMMYFUNCTION("""COMPUTED_VALUE"""),"貓狗企鵝")</f>
        <v>貓狗企鵝</v>
      </c>
      <c r="J3130" t="str">
        <f>IFERROR(__xludf.DUMMYFUNCTION("IFS(
  AND(REGEXMATCH(E3130, ""台銀籌備帳戶|玉山帳戶""), REGEXMATCH(C3130, ""薪資"")), ""分潤支出"",
  AND(REGEXMATCH(E3130, ""Ben帳戶|Elsa帳戶|Ben代墊|Ariel代墊|中信銀行共用""), REGEXMATCH(F3130, ""Ben帳戶|Elsa帳戶|Ben代墊|Ariel代墊|中信銀行共用"")), ""內部轉帳(忽略)"",
  AND(E3130&lt;&gt;"""", F3130&lt;&gt;"""", N"&amp;"OT(REGEXMATCH(C3130, ""薪資""))), ""內部轉帳(忽略)"",
  REGEXMATCH(C3130, ""薪資""), ""薪資變動(不計入)"",
  REGEXMATCH(C3130, ""押金""), ""押金往來"",
  AND(E3130&lt;&gt;"""", F3130=""""), ""真實支出"",
  AND(E3130="""", F3130&lt;&gt;""""), ""真實收入"",
  TRUE, ""其他""
)"),"真實支出")</f>
        <v>真實支出</v>
      </c>
      <c r="K3130" s="270">
        <f t="shared" si="2"/>
        <v>-4200</v>
      </c>
      <c r="L3130">
        <f t="shared" si="3"/>
        <v>0</v>
      </c>
    </row>
    <row r="3131">
      <c r="A3131" s="107">
        <f>IFERROR(__xludf.DUMMYFUNCTION("""COMPUTED_VALUE"""),46034.0)</f>
        <v>46034</v>
      </c>
      <c r="B3131" t="str">
        <f>IFERROR(__xludf.DUMMYFUNCTION("""COMPUTED_VALUE"""),"北醫(洗水塔2000元+樓梯間1200元=2-5樓一戶分攤350元, 1F 200元)")</f>
        <v>北醫(洗水塔2000元+樓梯間1200元=2-5樓一戶分攤350元, 1F 200元)</v>
      </c>
      <c r="C3131" t="str">
        <f>IFERROR(__xludf.DUMMYFUNCTION("""COMPUTED_VALUE"""),"成本 - 固定開銷(網路代收清潔)")</f>
        <v>成本 - 固定開銷(網路代收清潔)</v>
      </c>
      <c r="D3131" s="270">
        <f>IFERROR(__xludf.DUMMYFUNCTION("""COMPUTED_VALUE"""),-350.0)</f>
        <v>-350</v>
      </c>
      <c r="E3131" t="str">
        <f>IFERROR(__xludf.DUMMYFUNCTION("""COMPUTED_VALUE"""),"Elsa帳戶")</f>
        <v>Elsa帳戶</v>
      </c>
      <c r="G3131" t="str">
        <f>IFERROR(__xludf.DUMMYFUNCTION("""COMPUTED_VALUE"""),"北醫醫師府")</f>
        <v>北醫醫師府</v>
      </c>
      <c r="H3131" s="106" t="str">
        <f t="shared" si="1"/>
        <v>2026-01</v>
      </c>
      <c r="I3131" s="271" t="str">
        <f>IFERROR(__xludf.DUMMYFUNCTION("""COMPUTED_VALUE"""),"貓狗企鵝")</f>
        <v>貓狗企鵝</v>
      </c>
      <c r="J3131" t="str">
        <f>IFERROR(__xludf.DUMMYFUNCTION("IFS(
  AND(REGEXMATCH(E3131, ""台銀籌備帳戶|玉山帳戶""), REGEXMATCH(C3131, ""薪資"")), ""分潤支出"",
  AND(REGEXMATCH(E3131, ""Ben帳戶|Elsa帳戶|Ben代墊|Ariel代墊|中信銀行共用""), REGEXMATCH(F3131, ""Ben帳戶|Elsa帳戶|Ben代墊|Ariel代墊|中信銀行共用"")), ""內部轉帳(忽略)"",
  AND(E3131&lt;&gt;"""", F3131&lt;&gt;"""", N"&amp;"OT(REGEXMATCH(C3131, ""薪資""))), ""內部轉帳(忽略)"",
  REGEXMATCH(C3131, ""薪資""), ""薪資變動(不計入)"",
  REGEXMATCH(C3131, ""押金""), ""押金往來"",
  AND(E3131&lt;&gt;"""", F3131=""""), ""真實支出"",
  AND(E3131="""", F3131&lt;&gt;""""), ""真實收入"",
  TRUE, ""其他""
)"),"真實支出")</f>
        <v>真實支出</v>
      </c>
      <c r="K3131" s="270">
        <f t="shared" si="2"/>
        <v>-350</v>
      </c>
      <c r="L3131">
        <f t="shared" si="3"/>
        <v>0</v>
      </c>
    </row>
    <row r="3132">
      <c r="A3132" s="107">
        <f>IFERROR(__xludf.DUMMYFUNCTION("""COMPUTED_VALUE"""),46035.0)</f>
        <v>46035</v>
      </c>
      <c r="B3132" t="str">
        <f>IFERROR(__xludf.DUMMYFUNCTION("""COMPUTED_VALUE"""),"人床床單*7")</f>
        <v>人床床單*7</v>
      </c>
      <c r="C3132" t="str">
        <f>IFERROR(__xludf.DUMMYFUNCTION("""COMPUTED_VALUE"""),"成本 - 進場前裝潢費")</f>
        <v>成本 - 進場前裝潢費</v>
      </c>
      <c r="D3132" s="270">
        <f>IFERROR(__xludf.DUMMYFUNCTION("""COMPUTED_VALUE"""),-1470.0)</f>
        <v>-1470</v>
      </c>
      <c r="E3132" t="str">
        <f>IFERROR(__xludf.DUMMYFUNCTION("""COMPUTED_VALUE"""),"Elsa帳戶")</f>
        <v>Elsa帳戶</v>
      </c>
      <c r="G3132" t="str">
        <f>IFERROR(__xludf.DUMMYFUNCTION("""COMPUTED_VALUE"""),"天母搜狗")</f>
        <v>天母搜狗</v>
      </c>
      <c r="H3132" s="106" t="str">
        <f t="shared" si="1"/>
        <v>2026-01</v>
      </c>
      <c r="I3132" s="271" t="str">
        <f>IFERROR(__xludf.DUMMYFUNCTION("""COMPUTED_VALUE"""),"貓狗企鵝")</f>
        <v>貓狗企鵝</v>
      </c>
      <c r="J3132" t="str">
        <f>IFERROR(__xludf.DUMMYFUNCTION("IFS(
  AND(REGEXMATCH(E3132, ""台銀籌備帳戶|玉山帳戶""), REGEXMATCH(C3132, ""薪資"")), ""分潤支出"",
  AND(REGEXMATCH(E3132, ""Ben帳戶|Elsa帳戶|Ben代墊|Ariel代墊|中信銀行共用""), REGEXMATCH(F3132, ""Ben帳戶|Elsa帳戶|Ben代墊|Ariel代墊|中信銀行共用"")), ""內部轉帳(忽略)"",
  AND(E3132&lt;&gt;"""", F3132&lt;&gt;"""", N"&amp;"OT(REGEXMATCH(C3132, ""薪資""))), ""內部轉帳(忽略)"",
  REGEXMATCH(C3132, ""薪資""), ""薪資變動(不計入)"",
  REGEXMATCH(C3132, ""押金""), ""押金往來"",
  AND(E3132&lt;&gt;"""", F3132=""""), ""真實支出"",
  AND(E3132="""", F3132&lt;&gt;""""), ""真實收入"",
  TRUE, ""其他""
)"),"真實支出")</f>
        <v>真實支出</v>
      </c>
      <c r="K3132" s="270">
        <f t="shared" si="2"/>
        <v>-1470</v>
      </c>
      <c r="L3132">
        <f t="shared" si="3"/>
        <v>0</v>
      </c>
    </row>
    <row r="3133">
      <c r="A3133" s="107">
        <f>IFERROR(__xludf.DUMMYFUNCTION("""COMPUTED_VALUE"""),46035.0)</f>
        <v>46035</v>
      </c>
      <c r="B3133" t="str">
        <f>IFERROR(__xludf.DUMMYFUNCTION("""COMPUTED_VALUE"""),"哈拉RoomD IKEA書桌")</f>
        <v>哈拉RoomD IKEA書桌</v>
      </c>
      <c r="C3133" t="str">
        <f>IFERROR(__xludf.DUMMYFUNCTION("""COMPUTED_VALUE"""),"成本 - 租後修繕")</f>
        <v>成本 - 租後修繕</v>
      </c>
      <c r="D3133" s="270">
        <f>IFERROR(__xludf.DUMMYFUNCTION("""COMPUTED_VALUE"""),-1714.0)</f>
        <v>-1714</v>
      </c>
      <c r="E3133" t="str">
        <f>IFERROR(__xludf.DUMMYFUNCTION("""COMPUTED_VALUE"""),"Elsa帳戶")</f>
        <v>Elsa帳戶</v>
      </c>
      <c r="G3133" t="str">
        <f>IFERROR(__xludf.DUMMYFUNCTION("""COMPUTED_VALUE"""),"哈拉對面")</f>
        <v>哈拉對面</v>
      </c>
      <c r="H3133" s="106" t="str">
        <f t="shared" si="1"/>
        <v>2026-01</v>
      </c>
      <c r="I3133" s="271" t="str">
        <f>IFERROR(__xludf.DUMMYFUNCTION("""COMPUTED_VALUE"""),"貓狗企鵝")</f>
        <v>貓狗企鵝</v>
      </c>
      <c r="J3133" t="str">
        <f>IFERROR(__xludf.DUMMYFUNCTION("IFS(
  AND(REGEXMATCH(E3133, ""台銀籌備帳戶|玉山帳戶""), REGEXMATCH(C3133, ""薪資"")), ""分潤支出"",
  AND(REGEXMATCH(E3133, ""Ben帳戶|Elsa帳戶|Ben代墊|Ariel代墊|中信銀行共用""), REGEXMATCH(F3133, ""Ben帳戶|Elsa帳戶|Ben代墊|Ariel代墊|中信銀行共用"")), ""內部轉帳(忽略)"",
  AND(E3133&lt;&gt;"""", F3133&lt;&gt;"""", N"&amp;"OT(REGEXMATCH(C3133, ""薪資""))), ""內部轉帳(忽略)"",
  REGEXMATCH(C3133, ""薪資""), ""薪資變動(不計入)"",
  REGEXMATCH(C3133, ""押金""), ""押金往來"",
  AND(E3133&lt;&gt;"""", F3133=""""), ""真實支出"",
  AND(E3133="""", F3133&lt;&gt;""""), ""真實收入"",
  TRUE, ""其他""
)"),"真實支出")</f>
        <v>真實支出</v>
      </c>
      <c r="K3133" s="270">
        <f t="shared" si="2"/>
        <v>-1714</v>
      </c>
      <c r="L3133">
        <f t="shared" si="3"/>
        <v>0</v>
      </c>
    </row>
    <row r="3134">
      <c r="A3134" s="107">
        <f>IFERROR(__xludf.DUMMYFUNCTION("""COMPUTED_VALUE"""),46035.0)</f>
        <v>46035</v>
      </c>
      <c r="B3134" t="str">
        <f>IFERROR(__xludf.DUMMYFUNCTION("""COMPUTED_VALUE"""),"天母搜狗收垃圾")</f>
        <v>天母搜狗收垃圾</v>
      </c>
      <c r="C3134" t="str">
        <f>IFERROR(__xludf.DUMMYFUNCTION("""COMPUTED_VALUE"""),"成本 - 進場前裝潢費")</f>
        <v>成本 - 進場前裝潢費</v>
      </c>
      <c r="D3134" s="270">
        <f>IFERROR(__xludf.DUMMYFUNCTION("""COMPUTED_VALUE"""),-500.0)</f>
        <v>-500</v>
      </c>
      <c r="E3134" t="str">
        <f>IFERROR(__xludf.DUMMYFUNCTION("""COMPUTED_VALUE"""),"Ben帳戶")</f>
        <v>Ben帳戶</v>
      </c>
      <c r="G3134" t="str">
        <f>IFERROR(__xludf.DUMMYFUNCTION("""COMPUTED_VALUE"""),"天母搜狗")</f>
        <v>天母搜狗</v>
      </c>
      <c r="H3134" s="106" t="str">
        <f t="shared" si="1"/>
        <v>2026-01</v>
      </c>
      <c r="I3134" s="271" t="str">
        <f>IFERROR(__xludf.DUMMYFUNCTION("""COMPUTED_VALUE"""),"貓狗企鵝")</f>
        <v>貓狗企鵝</v>
      </c>
      <c r="J3134" t="str">
        <f>IFERROR(__xludf.DUMMYFUNCTION("IFS(
  AND(REGEXMATCH(E3134, ""台銀籌備帳戶|玉山帳戶""), REGEXMATCH(C3134, ""薪資"")), ""分潤支出"",
  AND(REGEXMATCH(E3134, ""Ben帳戶|Elsa帳戶|Ben代墊|Ariel代墊|中信銀行共用""), REGEXMATCH(F3134, ""Ben帳戶|Elsa帳戶|Ben代墊|Ariel代墊|中信銀行共用"")), ""內部轉帳(忽略)"",
  AND(E3134&lt;&gt;"""", F3134&lt;&gt;"""", N"&amp;"OT(REGEXMATCH(C3134, ""薪資""))), ""內部轉帳(忽略)"",
  REGEXMATCH(C3134, ""薪資""), ""薪資變動(不計入)"",
  REGEXMATCH(C3134, ""押金""), ""押金往來"",
  AND(E3134&lt;&gt;"""", F3134=""""), ""真實支出"",
  AND(E3134="""", F3134&lt;&gt;""""), ""真實收入"",
  TRUE, ""其他""
)"),"真實支出")</f>
        <v>真實支出</v>
      </c>
      <c r="K3134" s="270">
        <f t="shared" si="2"/>
        <v>-500</v>
      </c>
      <c r="L3134">
        <f t="shared" si="3"/>
        <v>0</v>
      </c>
    </row>
    <row r="3135">
      <c r="A3135" s="107">
        <f>IFERROR(__xludf.DUMMYFUNCTION("""COMPUTED_VALUE"""),46036.0)</f>
        <v>46036</v>
      </c>
      <c r="B3135" t="str">
        <f>IFERROR(__xludf.DUMMYFUNCTION("""COMPUTED_VALUE"""),"天母凱擘 02/1-4/30")</f>
        <v>天母凱擘 02/1-4/30</v>
      </c>
      <c r="C3135" t="str">
        <f>IFERROR(__xludf.DUMMYFUNCTION("""COMPUTED_VALUE"""),"成本 - 固定開銷(網路代收清潔)")</f>
        <v>成本 - 固定開銷(網路代收清潔)</v>
      </c>
      <c r="D3135" s="270">
        <f>IFERROR(__xludf.DUMMYFUNCTION("""COMPUTED_VALUE"""),-2397.0)</f>
        <v>-2397</v>
      </c>
      <c r="E3135" t="str">
        <f>IFERROR(__xludf.DUMMYFUNCTION("""COMPUTED_VALUE"""),"Ben帳戶")</f>
        <v>Ben帳戶</v>
      </c>
      <c r="G3135" t="str">
        <f>IFERROR(__xludf.DUMMYFUNCTION("""COMPUTED_VALUE"""),"天母搜狗")</f>
        <v>天母搜狗</v>
      </c>
      <c r="H3135" s="106" t="str">
        <f t="shared" si="1"/>
        <v>2026-01</v>
      </c>
      <c r="I3135" s="271" t="str">
        <f>IFERROR(__xludf.DUMMYFUNCTION("""COMPUTED_VALUE"""),"貓狗企鵝")</f>
        <v>貓狗企鵝</v>
      </c>
      <c r="J3135" t="str">
        <f>IFERROR(__xludf.DUMMYFUNCTION("IFS(
  AND(REGEXMATCH(E3135, ""台銀籌備帳戶|玉山帳戶""), REGEXMATCH(C3135, ""薪資"")), ""分潤支出"",
  AND(REGEXMATCH(E3135, ""Ben帳戶|Elsa帳戶|Ben代墊|Ariel代墊|中信銀行共用""), REGEXMATCH(F3135, ""Ben帳戶|Elsa帳戶|Ben代墊|Ariel代墊|中信銀行共用"")), ""內部轉帳(忽略)"",
  AND(E3135&lt;&gt;"""", F3135&lt;&gt;"""", N"&amp;"OT(REGEXMATCH(C3135, ""薪資""))), ""內部轉帳(忽略)"",
  REGEXMATCH(C3135, ""薪資""), ""薪資變動(不計入)"",
  REGEXMATCH(C3135, ""押金""), ""押金往來"",
  AND(E3135&lt;&gt;"""", F3135=""""), ""真實支出"",
  AND(E3135="""", F3135&lt;&gt;""""), ""真實收入"",
  TRUE, ""其他""
)"),"真實支出")</f>
        <v>真實支出</v>
      </c>
      <c r="K3135" s="270">
        <f t="shared" si="2"/>
        <v>-2397</v>
      </c>
      <c r="L3135">
        <f t="shared" si="3"/>
        <v>0</v>
      </c>
    </row>
    <row r="3136">
      <c r="A3136" s="107">
        <f>IFERROR(__xludf.DUMMYFUNCTION("""COMPUTED_VALUE"""),46036.0)</f>
        <v>46036</v>
      </c>
      <c r="B3136" t="str">
        <f>IFERROR(__xludf.DUMMYFUNCTION("""COMPUTED_VALUE"""),"大湖凱擘網路")</f>
        <v>大湖凱擘網路</v>
      </c>
      <c r="C3136" t="str">
        <f>IFERROR(__xludf.DUMMYFUNCTION("""COMPUTED_VALUE"""),"成本 - 固定開銷(網路代收清潔)")</f>
        <v>成本 - 固定開銷(網路代收清潔)</v>
      </c>
      <c r="D3136" s="270">
        <f>IFERROR(__xludf.DUMMYFUNCTION("""COMPUTED_VALUE"""),-2997.0)</f>
        <v>-2997</v>
      </c>
      <c r="E3136" t="str">
        <f>IFERROR(__xludf.DUMMYFUNCTION("""COMPUTED_VALUE"""),"Ben帳戶")</f>
        <v>Ben帳戶</v>
      </c>
      <c r="G3136" t="str">
        <f>IFERROR(__xludf.DUMMYFUNCTION("""COMPUTED_VALUE"""),"大湖山莊")</f>
        <v>大湖山莊</v>
      </c>
      <c r="H3136" s="106" t="str">
        <f t="shared" si="1"/>
        <v>2026-01</v>
      </c>
      <c r="I3136" s="271" t="str">
        <f>IFERROR(__xludf.DUMMYFUNCTION("""COMPUTED_VALUE"""),"貓狗企鵝")</f>
        <v>貓狗企鵝</v>
      </c>
      <c r="J3136" t="str">
        <f>IFERROR(__xludf.DUMMYFUNCTION("IFS(
  AND(REGEXMATCH(E3136, ""台銀籌備帳戶|玉山帳戶""), REGEXMATCH(C3136, ""薪資"")), ""分潤支出"",
  AND(REGEXMATCH(E3136, ""Ben帳戶|Elsa帳戶|Ben代墊|Ariel代墊|中信銀行共用""), REGEXMATCH(F3136, ""Ben帳戶|Elsa帳戶|Ben代墊|Ariel代墊|中信銀行共用"")), ""內部轉帳(忽略)"",
  AND(E3136&lt;&gt;"""", F3136&lt;&gt;"""", N"&amp;"OT(REGEXMATCH(C3136, ""薪資""))), ""內部轉帳(忽略)"",
  REGEXMATCH(C3136, ""薪資""), ""薪資變動(不計入)"",
  REGEXMATCH(C3136, ""押金""), ""押金往來"",
  AND(E3136&lt;&gt;"""", F3136=""""), ""真實支出"",
  AND(E3136="""", F3136&lt;&gt;""""), ""真實收入"",
  TRUE, ""其他""
)"),"真實支出")</f>
        <v>真實支出</v>
      </c>
      <c r="K3136" s="270">
        <f t="shared" si="2"/>
        <v>-2997</v>
      </c>
      <c r="L3136">
        <f t="shared" si="3"/>
        <v>0</v>
      </c>
    </row>
    <row r="3137">
      <c r="A3137" s="107">
        <f>IFERROR(__xludf.DUMMYFUNCTION("""COMPUTED_VALUE"""),46036.0)</f>
        <v>46036</v>
      </c>
      <c r="B3137" t="str">
        <f>IFERROR(__xludf.DUMMYFUNCTION("""COMPUTED_VALUE"""),"天母搜狗電費")</f>
        <v>天母搜狗電費</v>
      </c>
      <c r="C3137" t="str">
        <f>IFERROR(__xludf.DUMMYFUNCTION("""COMPUTED_VALUE"""),"成本 - 進場前裝潢費")</f>
        <v>成本 - 進場前裝潢費</v>
      </c>
      <c r="D3137" s="270">
        <f>IFERROR(__xludf.DUMMYFUNCTION("""COMPUTED_VALUE"""),-228.0)</f>
        <v>-228</v>
      </c>
      <c r="E3137" t="str">
        <f>IFERROR(__xludf.DUMMYFUNCTION("""COMPUTED_VALUE"""),"Ben帳戶")</f>
        <v>Ben帳戶</v>
      </c>
      <c r="G3137" t="str">
        <f>IFERROR(__xludf.DUMMYFUNCTION("""COMPUTED_VALUE"""),"天母搜狗")</f>
        <v>天母搜狗</v>
      </c>
      <c r="H3137" s="106" t="str">
        <f t="shared" si="1"/>
        <v>2026-01</v>
      </c>
      <c r="I3137" s="271" t="str">
        <f>IFERROR(__xludf.DUMMYFUNCTION("""COMPUTED_VALUE"""),"貓狗企鵝")</f>
        <v>貓狗企鵝</v>
      </c>
      <c r="J3137" t="str">
        <f>IFERROR(__xludf.DUMMYFUNCTION("IFS(
  AND(REGEXMATCH(E3137, ""台銀籌備帳戶|玉山帳戶""), REGEXMATCH(C3137, ""薪資"")), ""分潤支出"",
  AND(REGEXMATCH(E3137, ""Ben帳戶|Elsa帳戶|Ben代墊|Ariel代墊|中信銀行共用""), REGEXMATCH(F3137, ""Ben帳戶|Elsa帳戶|Ben代墊|Ariel代墊|中信銀行共用"")), ""內部轉帳(忽略)"",
  AND(E3137&lt;&gt;"""", F3137&lt;&gt;"""", N"&amp;"OT(REGEXMATCH(C3137, ""薪資""))), ""內部轉帳(忽略)"",
  REGEXMATCH(C3137, ""薪資""), ""薪資變動(不計入)"",
  REGEXMATCH(C3137, ""押金""), ""押金往來"",
  AND(E3137&lt;&gt;"""", F3137=""""), ""真實支出"",
  AND(E3137="""", F3137&lt;&gt;""""), ""真實收入"",
  TRUE, ""其他""
)"),"真實支出")</f>
        <v>真實支出</v>
      </c>
      <c r="K3137" s="270">
        <f t="shared" si="2"/>
        <v>-228</v>
      </c>
      <c r="L3137">
        <f t="shared" si="3"/>
        <v>0</v>
      </c>
    </row>
    <row r="3138">
      <c r="A3138" s="107">
        <f>IFERROR(__xludf.DUMMYFUNCTION("""COMPUTED_VALUE"""),46037.0)</f>
        <v>46037</v>
      </c>
      <c r="B3138" t="str">
        <f>IFERROR(__xludf.DUMMYFUNCTION("""COMPUTED_VALUE"""),"懶人垃圾代收")</f>
        <v>懶人垃圾代收</v>
      </c>
      <c r="C3138" t="str">
        <f>IFERROR(__xludf.DUMMYFUNCTION("""COMPUTED_VALUE"""),"成本 - 固定開銷(網路代收清潔)")</f>
        <v>成本 - 固定開銷(網路代收清潔)</v>
      </c>
      <c r="D3138" s="270">
        <f>IFERROR(__xludf.DUMMYFUNCTION("""COMPUTED_VALUE"""),-1909.0)</f>
        <v>-1909</v>
      </c>
      <c r="E3138" t="str">
        <f>IFERROR(__xludf.DUMMYFUNCTION("""COMPUTED_VALUE"""),"Elsa帳戶")</f>
        <v>Elsa帳戶</v>
      </c>
      <c r="G3138" t="str">
        <f>IFERROR(__xludf.DUMMYFUNCTION("""COMPUTED_VALUE"""),"書香民生")</f>
        <v>書香民生</v>
      </c>
      <c r="H3138" s="106" t="str">
        <f t="shared" si="1"/>
        <v>2026-01</v>
      </c>
      <c r="I3138" s="271" t="str">
        <f>IFERROR(__xludf.DUMMYFUNCTION("""COMPUTED_VALUE"""),"貓狗企鵝")</f>
        <v>貓狗企鵝</v>
      </c>
      <c r="J3138" t="str">
        <f>IFERROR(__xludf.DUMMYFUNCTION("IFS(
  AND(REGEXMATCH(E3138, ""台銀籌備帳戶|玉山帳戶""), REGEXMATCH(C3138, ""薪資"")), ""分潤支出"",
  AND(REGEXMATCH(E3138, ""Ben帳戶|Elsa帳戶|Ben代墊|Ariel代墊|中信銀行共用""), REGEXMATCH(F3138, ""Ben帳戶|Elsa帳戶|Ben代墊|Ariel代墊|中信銀行共用"")), ""內部轉帳(忽略)"",
  AND(E3138&lt;&gt;"""", F3138&lt;&gt;"""", N"&amp;"OT(REGEXMATCH(C3138, ""薪資""))), ""內部轉帳(忽略)"",
  REGEXMATCH(C3138, ""薪資""), ""薪資變動(不計入)"",
  REGEXMATCH(C3138, ""押金""), ""押金往來"",
  AND(E3138&lt;&gt;"""", F3138=""""), ""真實支出"",
  AND(E3138="""", F3138&lt;&gt;""""), ""真實收入"",
  TRUE, ""其他""
)"),"真實支出")</f>
        <v>真實支出</v>
      </c>
      <c r="K3138" s="270">
        <f t="shared" si="2"/>
        <v>-1909</v>
      </c>
      <c r="L3138">
        <f t="shared" si="3"/>
        <v>0</v>
      </c>
    </row>
    <row r="3139">
      <c r="A3139" s="107">
        <f>IFERROR(__xludf.DUMMYFUNCTION("""COMPUTED_VALUE"""),46037.0)</f>
        <v>46037</v>
      </c>
      <c r="B3139" t="str">
        <f>IFERROR(__xludf.DUMMYFUNCTION("""COMPUTED_VALUE"""),"懶人垃圾代收")</f>
        <v>懶人垃圾代收</v>
      </c>
      <c r="C3139" t="str">
        <f>IFERROR(__xludf.DUMMYFUNCTION("""COMPUTED_VALUE"""),"成本 - 固定開銷(網路代收清潔)")</f>
        <v>成本 - 固定開銷(網路代收清潔)</v>
      </c>
      <c r="D3139" s="270">
        <f>IFERROR(__xludf.DUMMYFUNCTION("""COMPUTED_VALUE"""),-1909.0)</f>
        <v>-1909</v>
      </c>
      <c r="E3139" t="str">
        <f>IFERROR(__xludf.DUMMYFUNCTION("""COMPUTED_VALUE"""),"Elsa帳戶")</f>
        <v>Elsa帳戶</v>
      </c>
      <c r="G3139" t="str">
        <f>IFERROR(__xludf.DUMMYFUNCTION("""COMPUTED_VALUE"""),"北醫醫師府")</f>
        <v>北醫醫師府</v>
      </c>
      <c r="H3139" s="106" t="str">
        <f t="shared" si="1"/>
        <v>2026-01</v>
      </c>
      <c r="I3139" s="271" t="str">
        <f>IFERROR(__xludf.DUMMYFUNCTION("""COMPUTED_VALUE"""),"貓狗企鵝")</f>
        <v>貓狗企鵝</v>
      </c>
      <c r="J3139" t="str">
        <f>IFERROR(__xludf.DUMMYFUNCTION("IFS(
  AND(REGEXMATCH(E3139, ""台銀籌備帳戶|玉山帳戶""), REGEXMATCH(C3139, ""薪資"")), ""分潤支出"",
  AND(REGEXMATCH(E3139, ""Ben帳戶|Elsa帳戶|Ben代墊|Ariel代墊|中信銀行共用""), REGEXMATCH(F3139, ""Ben帳戶|Elsa帳戶|Ben代墊|Ariel代墊|中信銀行共用"")), ""內部轉帳(忽略)"",
  AND(E3139&lt;&gt;"""", F3139&lt;&gt;"""", N"&amp;"OT(REGEXMATCH(C3139, ""薪資""))), ""內部轉帳(忽略)"",
  REGEXMATCH(C3139, ""薪資""), ""薪資變動(不計入)"",
  REGEXMATCH(C3139, ""押金""), ""押金往來"",
  AND(E3139&lt;&gt;"""", F3139=""""), ""真實支出"",
  AND(E3139="""", F3139&lt;&gt;""""), ""真實收入"",
  TRUE, ""其他""
)"),"真實支出")</f>
        <v>真實支出</v>
      </c>
      <c r="K3139" s="270">
        <f t="shared" si="2"/>
        <v>-1909</v>
      </c>
      <c r="L3139">
        <f t="shared" si="3"/>
        <v>0</v>
      </c>
    </row>
    <row r="3140">
      <c r="A3140" s="107">
        <f>IFERROR(__xludf.DUMMYFUNCTION("""COMPUTED_VALUE"""),46037.0)</f>
        <v>46037</v>
      </c>
      <c r="B3140" t="str">
        <f>IFERROR(__xludf.DUMMYFUNCTION("""COMPUTED_VALUE"""),"金龍垃圾代收 12月1月")</f>
        <v>金龍垃圾代收 12月1月</v>
      </c>
      <c r="C3140" t="str">
        <f>IFERROR(__xludf.DUMMYFUNCTION("""COMPUTED_VALUE"""),"成本 - 固定開銷(網路代收清潔)")</f>
        <v>成本 - 固定開銷(網路代收清潔)</v>
      </c>
      <c r="D3140" s="270">
        <f>IFERROR(__xludf.DUMMYFUNCTION("""COMPUTED_VALUE"""),-800.0)</f>
        <v>-800</v>
      </c>
      <c r="E3140" t="str">
        <f>IFERROR(__xludf.DUMMYFUNCTION("""COMPUTED_VALUE"""),"Elsa帳戶")</f>
        <v>Elsa帳戶</v>
      </c>
      <c r="G3140" t="str">
        <f>IFERROR(__xludf.DUMMYFUNCTION("""COMPUTED_VALUE"""),"金龍帽子先生")</f>
        <v>金龍帽子先生</v>
      </c>
      <c r="H3140" s="106" t="str">
        <f t="shared" si="1"/>
        <v>2026-01</v>
      </c>
      <c r="I3140" s="271" t="str">
        <f>IFERROR(__xludf.DUMMYFUNCTION("""COMPUTED_VALUE"""),"貓狗企鵝")</f>
        <v>貓狗企鵝</v>
      </c>
      <c r="J3140" t="str">
        <f>IFERROR(__xludf.DUMMYFUNCTION("IFS(
  AND(REGEXMATCH(E3140, ""台銀籌備帳戶|玉山帳戶""), REGEXMATCH(C3140, ""薪資"")), ""分潤支出"",
  AND(REGEXMATCH(E3140, ""Ben帳戶|Elsa帳戶|Ben代墊|Ariel代墊|中信銀行共用""), REGEXMATCH(F3140, ""Ben帳戶|Elsa帳戶|Ben代墊|Ariel代墊|中信銀行共用"")), ""內部轉帳(忽略)"",
  AND(E3140&lt;&gt;"""", F3140&lt;&gt;"""", N"&amp;"OT(REGEXMATCH(C3140, ""薪資""))), ""內部轉帳(忽略)"",
  REGEXMATCH(C3140, ""薪資""), ""薪資變動(不計入)"",
  REGEXMATCH(C3140, ""押金""), ""押金往來"",
  AND(E3140&lt;&gt;"""", F3140=""""), ""真實支出"",
  AND(E3140="""", F3140&lt;&gt;""""), ""真實收入"",
  TRUE, ""其他""
)"),"真實支出")</f>
        <v>真實支出</v>
      </c>
      <c r="K3140" s="270">
        <f t="shared" si="2"/>
        <v>-800</v>
      </c>
      <c r="L3140">
        <f t="shared" si="3"/>
        <v>0</v>
      </c>
    </row>
    <row r="3141">
      <c r="A3141" s="107">
        <f>IFERROR(__xludf.DUMMYFUNCTION("""COMPUTED_VALUE"""),45674.0)</f>
        <v>45674</v>
      </c>
      <c r="B3141" t="str">
        <f>IFERROR(__xludf.DUMMYFUNCTION("""COMPUTED_VALUE"""),"懶人垃圾代收")</f>
        <v>懶人垃圾代收</v>
      </c>
      <c r="C3141" t="str">
        <f>IFERROR(__xludf.DUMMYFUNCTION("""COMPUTED_VALUE"""),"成本 - 固定開銷(網路代收清潔)")</f>
        <v>成本 - 固定開銷(網路代收清潔)</v>
      </c>
      <c r="D3141" s="270">
        <f>IFERROR(__xludf.DUMMYFUNCTION("""COMPUTED_VALUE"""),-1272.0)</f>
        <v>-1272</v>
      </c>
      <c r="E3141" t="str">
        <f>IFERROR(__xludf.DUMMYFUNCTION("""COMPUTED_VALUE"""),"Elsa帳戶")</f>
        <v>Elsa帳戶</v>
      </c>
      <c r="G3141" t="str">
        <f>IFERROR(__xludf.DUMMYFUNCTION("""COMPUTED_VALUE"""),"南港站挑高宅")</f>
        <v>南港站挑高宅</v>
      </c>
      <c r="H3141" s="106" t="str">
        <f t="shared" si="1"/>
        <v>2025-01</v>
      </c>
      <c r="I3141" s="271" t="str">
        <f>IFERROR(__xludf.DUMMYFUNCTION("""COMPUTED_VALUE"""),"貓狗企鵝")</f>
        <v>貓狗企鵝</v>
      </c>
      <c r="J3141" t="str">
        <f>IFERROR(__xludf.DUMMYFUNCTION("IFS(
  AND(REGEXMATCH(E3141, ""台銀籌備帳戶|玉山帳戶""), REGEXMATCH(C3141, ""薪資"")), ""分潤支出"",
  AND(REGEXMATCH(E3141, ""Ben帳戶|Elsa帳戶|Ben代墊|Ariel代墊|中信銀行共用""), REGEXMATCH(F3141, ""Ben帳戶|Elsa帳戶|Ben代墊|Ariel代墊|中信銀行共用"")), ""內部轉帳(忽略)"",
  AND(E3141&lt;&gt;"""", F3141&lt;&gt;"""", N"&amp;"OT(REGEXMATCH(C3141, ""薪資""))), ""內部轉帳(忽略)"",
  REGEXMATCH(C3141, ""薪資""), ""薪資變動(不計入)"",
  REGEXMATCH(C3141, ""押金""), ""押金往來"",
  AND(E3141&lt;&gt;"""", F3141=""""), ""真實支出"",
  AND(E3141="""", F3141&lt;&gt;""""), ""真實收入"",
  TRUE, ""其他""
)"),"真實支出")</f>
        <v>真實支出</v>
      </c>
      <c r="K3141" s="270">
        <f t="shared" si="2"/>
        <v>-1272</v>
      </c>
      <c r="L3141">
        <f t="shared" si="3"/>
        <v>0</v>
      </c>
    </row>
    <row r="3142">
      <c r="A3142" s="107">
        <f>IFERROR(__xludf.DUMMYFUNCTION("""COMPUTED_VALUE"""),45674.0)</f>
        <v>45674</v>
      </c>
      <c r="B3142" t="str">
        <f>IFERROR(__xludf.DUMMYFUNCTION("""COMPUTED_VALUE"""),"懶人垃圾代收")</f>
        <v>懶人垃圾代收</v>
      </c>
      <c r="C3142" t="str">
        <f>IFERROR(__xludf.DUMMYFUNCTION("""COMPUTED_VALUE"""),"成本 - 固定開銷(網路代收清潔)")</f>
        <v>成本 - 固定開銷(網路代收清潔)</v>
      </c>
      <c r="D3142" s="270">
        <f>IFERROR(__xludf.DUMMYFUNCTION("""COMPUTED_VALUE"""),-1820.0)</f>
        <v>-1820</v>
      </c>
      <c r="E3142" t="str">
        <f>IFERROR(__xludf.DUMMYFUNCTION("""COMPUTED_VALUE"""),"Elsa帳戶")</f>
        <v>Elsa帳戶</v>
      </c>
      <c r="G3142" t="str">
        <f>IFERROR(__xludf.DUMMYFUNCTION("""COMPUTED_VALUE"""),"中山北Feli家")</f>
        <v>中山北Feli家</v>
      </c>
      <c r="H3142" s="106" t="str">
        <f t="shared" si="1"/>
        <v>2025-01</v>
      </c>
      <c r="I3142" s="271" t="str">
        <f>IFERROR(__xludf.DUMMYFUNCTION("""COMPUTED_VALUE"""),"貓狗企鵝")</f>
        <v>貓狗企鵝</v>
      </c>
      <c r="J3142" t="str">
        <f>IFERROR(__xludf.DUMMYFUNCTION("IFS(
  AND(REGEXMATCH(E3142, ""台銀籌備帳戶|玉山帳戶""), REGEXMATCH(C3142, ""薪資"")), ""分潤支出"",
  AND(REGEXMATCH(E3142, ""Ben帳戶|Elsa帳戶|Ben代墊|Ariel代墊|中信銀行共用""), REGEXMATCH(F3142, ""Ben帳戶|Elsa帳戶|Ben代墊|Ariel代墊|中信銀行共用"")), ""內部轉帳(忽略)"",
  AND(E3142&lt;&gt;"""", F3142&lt;&gt;"""", N"&amp;"OT(REGEXMATCH(C3142, ""薪資""))), ""內部轉帳(忽略)"",
  REGEXMATCH(C3142, ""薪資""), ""薪資變動(不計入)"",
  REGEXMATCH(C3142, ""押金""), ""押金往來"",
  AND(E3142&lt;&gt;"""", F3142=""""), ""真實支出"",
  AND(E3142="""", F3142&lt;&gt;""""), ""真實收入"",
  TRUE, ""其他""
)"),"真實支出")</f>
        <v>真實支出</v>
      </c>
      <c r="K3142" s="270">
        <f t="shared" si="2"/>
        <v>-1820</v>
      </c>
      <c r="L3142">
        <f t="shared" si="3"/>
        <v>0</v>
      </c>
    </row>
    <row r="3143">
      <c r="A3143" s="107">
        <f>IFERROR(__xludf.DUMMYFUNCTION("""COMPUTED_VALUE"""),46029.0)</f>
        <v>46029</v>
      </c>
      <c r="B3143" t="str">
        <f>IFERROR(__xludf.DUMMYFUNCTION("""COMPUTED_VALUE"""),"費用 - 匯費 700 (21664)")</f>
        <v>費用 - 匯費 700 (21664)</v>
      </c>
      <c r="C3143" t="str">
        <f>IFERROR(__xludf.DUMMYFUNCTION("""COMPUTED_VALUE"""),"費用 - 匯費")</f>
        <v>費用 - 匯費</v>
      </c>
      <c r="D3143" s="270">
        <f>IFERROR(__xludf.DUMMYFUNCTION("""COMPUTED_VALUE"""),-15.0)</f>
        <v>-15</v>
      </c>
      <c r="E3143" t="str">
        <f>IFERROR(__xludf.DUMMYFUNCTION("""COMPUTED_VALUE"""),"台銀籌備帳戶")</f>
        <v>台銀籌備帳戶</v>
      </c>
      <c r="H3143" s="106" t="str">
        <f t="shared" si="1"/>
        <v>2026-01</v>
      </c>
      <c r="I3143" s="271" t="str">
        <f>IFERROR(__xludf.DUMMYFUNCTION("""COMPUTED_VALUE"""),"貓狗企鵝")</f>
        <v>貓狗企鵝</v>
      </c>
      <c r="J3143" t="str">
        <f>IFERROR(__xludf.DUMMYFUNCTION("IFS(
  AND(REGEXMATCH(E3143, ""台銀籌備帳戶|玉山帳戶""), REGEXMATCH(C3143, ""薪資"")), ""分潤支出"",
  AND(REGEXMATCH(E3143, ""Ben帳戶|Elsa帳戶|Ben代墊|Ariel代墊|中信銀行共用""), REGEXMATCH(F3143, ""Ben帳戶|Elsa帳戶|Ben代墊|Ariel代墊|中信銀行共用"")), ""內部轉帳(忽略)"",
  AND(E3143&lt;&gt;"""", F3143&lt;&gt;"""", N"&amp;"OT(REGEXMATCH(C3143, ""薪資""))), ""內部轉帳(忽略)"",
  REGEXMATCH(C3143, ""薪資""), ""薪資變動(不計入)"",
  REGEXMATCH(C3143, ""押金""), ""押金往來"",
  AND(E3143&lt;&gt;"""", F3143=""""), ""真實支出"",
  AND(E3143="""", F3143&lt;&gt;""""), ""真實收入"",
  TRUE, ""其他""
)"),"真實支出")</f>
        <v>真實支出</v>
      </c>
      <c r="K3143" s="270">
        <f t="shared" si="2"/>
        <v>-15</v>
      </c>
      <c r="L3143">
        <f t="shared" si="3"/>
        <v>0</v>
      </c>
    </row>
    <row r="3144">
      <c r="A3144" s="107">
        <f>IFERROR(__xludf.DUMMYFUNCTION("""COMPUTED_VALUE"""),46029.0)</f>
        <v>46029</v>
      </c>
      <c r="B3144" t="str">
        <f>IFERROR(__xludf.DUMMYFUNCTION("""COMPUTED_VALUE"""),"天母搜狗廚櫃 ' 【未分類支出】")</f>
        <v>天母搜狗廚櫃 ' 【未分類支出】</v>
      </c>
      <c r="C3144" t="str">
        <f>IFERROR(__xludf.DUMMYFUNCTION("""COMPUTED_VALUE"""),"成本 - 進場前裝潢費")</f>
        <v>成本 - 進場前裝潢費</v>
      </c>
      <c r="D3144" s="270">
        <f>IFERROR(__xludf.DUMMYFUNCTION("""COMPUTED_VALUE"""),-30691.0)</f>
        <v>-30691</v>
      </c>
      <c r="E3144" t="str">
        <f>IFERROR(__xludf.DUMMYFUNCTION("""COMPUTED_VALUE"""),"台銀籌備帳戶")</f>
        <v>台銀籌備帳戶</v>
      </c>
      <c r="G3144" t="str">
        <f>IFERROR(__xludf.DUMMYFUNCTION("""COMPUTED_VALUE"""),"天母搜狗")</f>
        <v>天母搜狗</v>
      </c>
      <c r="H3144" s="106" t="str">
        <f t="shared" si="1"/>
        <v>2026-01</v>
      </c>
      <c r="I3144" s="271" t="str">
        <f>IFERROR(__xludf.DUMMYFUNCTION("""COMPUTED_VALUE"""),"貓狗企鵝")</f>
        <v>貓狗企鵝</v>
      </c>
      <c r="J3144" t="str">
        <f>IFERROR(__xludf.DUMMYFUNCTION("IFS(
  AND(REGEXMATCH(E3144, ""台銀籌備帳戶|玉山帳戶""), REGEXMATCH(C3144, ""薪資"")), ""分潤支出"",
  AND(REGEXMATCH(E3144, ""Ben帳戶|Elsa帳戶|Ben代墊|Ariel代墊|中信銀行共用""), REGEXMATCH(F3144, ""Ben帳戶|Elsa帳戶|Ben代墊|Ariel代墊|中信銀行共用"")), ""內部轉帳(忽略)"",
  AND(E3144&lt;&gt;"""", F3144&lt;&gt;"""", N"&amp;"OT(REGEXMATCH(C3144, ""薪資""))), ""內部轉帳(忽略)"",
  REGEXMATCH(C3144, ""薪資""), ""薪資變動(不計入)"",
  REGEXMATCH(C3144, ""押金""), ""押金往來"",
  AND(E3144&lt;&gt;"""", F3144=""""), ""真實支出"",
  AND(E3144="""", F3144&lt;&gt;""""), ""真實收入"",
  TRUE, ""其他""
)"),"真實支出")</f>
        <v>真實支出</v>
      </c>
      <c r="K3144" s="270">
        <f t="shared" si="2"/>
        <v>-30691</v>
      </c>
      <c r="L3144">
        <f t="shared" si="3"/>
        <v>0</v>
      </c>
    </row>
    <row r="3145">
      <c r="A3145" s="107">
        <f>IFERROR(__xludf.DUMMYFUNCTION("""COMPUTED_VALUE"""),46029.0)</f>
        <v>46029</v>
      </c>
      <c r="B3145" t="str">
        <f>IFERROR(__xludf.DUMMYFUNCTION("""COMPUTED_VALUE"""),"費用 - 匯費 012 (92486)")</f>
        <v>費用 - 匯費 012 (92486)</v>
      </c>
      <c r="C3145" t="str">
        <f>IFERROR(__xludf.DUMMYFUNCTION("""COMPUTED_VALUE"""),"費用 - 匯費")</f>
        <v>費用 - 匯費</v>
      </c>
      <c r="D3145" s="270">
        <f>IFERROR(__xludf.DUMMYFUNCTION("""COMPUTED_VALUE"""),-15.0)</f>
        <v>-15</v>
      </c>
      <c r="E3145" t="str">
        <f>IFERROR(__xludf.DUMMYFUNCTION("""COMPUTED_VALUE"""),"台銀籌備帳戶")</f>
        <v>台銀籌備帳戶</v>
      </c>
      <c r="H3145" s="106" t="str">
        <f t="shared" si="1"/>
        <v>2026-01</v>
      </c>
      <c r="I3145" s="271" t="str">
        <f>IFERROR(__xludf.DUMMYFUNCTION("""COMPUTED_VALUE"""),"貓狗企鵝")</f>
        <v>貓狗企鵝</v>
      </c>
      <c r="J3145" t="str">
        <f>IFERROR(__xludf.DUMMYFUNCTION("IFS(
  AND(REGEXMATCH(E3145, ""台銀籌備帳戶|玉山帳戶""), REGEXMATCH(C3145, ""薪資"")), ""分潤支出"",
  AND(REGEXMATCH(E3145, ""Ben帳戶|Elsa帳戶|Ben代墊|Ariel代墊|中信銀行共用""), REGEXMATCH(F3145, ""Ben帳戶|Elsa帳戶|Ben代墊|Ariel代墊|中信銀行共用"")), ""內部轉帳(忽略)"",
  AND(E3145&lt;&gt;"""", F3145&lt;&gt;"""", N"&amp;"OT(REGEXMATCH(C3145, ""薪資""))), ""內部轉帳(忽略)"",
  REGEXMATCH(C3145, ""薪資""), ""薪資變動(不計入)"",
  REGEXMATCH(C3145, ""押金""), ""押金往來"",
  AND(E3145&lt;&gt;"""", F3145=""""), ""真實支出"",
  AND(E3145="""", F3145&lt;&gt;""""), ""真實收入"",
  TRUE, ""其他""
)"),"真實支出")</f>
        <v>真實支出</v>
      </c>
      <c r="K3145" s="270">
        <f t="shared" si="2"/>
        <v>-15</v>
      </c>
      <c r="L3145">
        <f t="shared" si="3"/>
        <v>0</v>
      </c>
    </row>
    <row r="3146">
      <c r="A3146" s="107">
        <f>IFERROR(__xludf.DUMMYFUNCTION("""COMPUTED_VALUE"""),46029.0)</f>
        <v>46029</v>
      </c>
      <c r="B3146" t="str">
        <f>IFERROR(__xludf.DUMMYFUNCTION("""COMPUTED_VALUE"""),"阿虎設計費 ' 【未分類支出】")</f>
        <v>阿虎設計費 ' 【未分類支出】</v>
      </c>
      <c r="C3146" t="str">
        <f>IFERROR(__xludf.DUMMYFUNCTION("""COMPUTED_VALUE"""),"費用 - Salary 薪資")</f>
        <v>費用 - Salary 薪資</v>
      </c>
      <c r="D3146" s="270">
        <f>IFERROR(__xludf.DUMMYFUNCTION("""COMPUTED_VALUE"""),-200000.0)</f>
        <v>-200000</v>
      </c>
      <c r="E3146" t="str">
        <f>IFERROR(__xludf.DUMMYFUNCTION("""COMPUTED_VALUE"""),"台銀籌備帳戶")</f>
        <v>台銀籌備帳戶</v>
      </c>
      <c r="F3146" t="str">
        <f>IFERROR(__xludf.DUMMYFUNCTION("""COMPUTED_VALUE"""),"Elsa帳戶")</f>
        <v>Elsa帳戶</v>
      </c>
      <c r="H3146" s="106" t="str">
        <f t="shared" si="1"/>
        <v>2026-01</v>
      </c>
      <c r="I3146" s="271" t="str">
        <f>IFERROR(__xludf.DUMMYFUNCTION("""COMPUTED_VALUE"""),"貓狗企鵝")</f>
        <v>貓狗企鵝</v>
      </c>
      <c r="J3146" t="str">
        <f>IFERROR(__xludf.DUMMYFUNCTION("IFS(
  AND(REGEXMATCH(E3146, ""台銀籌備帳戶|玉山帳戶""), REGEXMATCH(C3146, ""薪資"")), ""分潤支出"",
  AND(REGEXMATCH(E3146, ""Ben帳戶|Elsa帳戶|Ben代墊|Ariel代墊|中信銀行共用""), REGEXMATCH(F3146, ""Ben帳戶|Elsa帳戶|Ben代墊|Ariel代墊|中信銀行共用"")), ""內部轉帳(忽略)"",
  AND(E3146&lt;&gt;"""", F3146&lt;&gt;"""", N"&amp;"OT(REGEXMATCH(C3146, ""薪資""))), ""內部轉帳(忽略)"",
  REGEXMATCH(C3146, ""薪資""), ""薪資變動(不計入)"",
  REGEXMATCH(C3146, ""押金""), ""押金往來"",
  AND(E3146&lt;&gt;"""", F3146=""""), ""真實支出"",
  AND(E3146="""", F3146&lt;&gt;""""), ""真實收入"",
  TRUE, ""其他""
)"),"分潤支出")</f>
        <v>分潤支出</v>
      </c>
      <c r="K3146">
        <f t="shared" si="2"/>
        <v>0</v>
      </c>
      <c r="L3146">
        <f t="shared" si="3"/>
        <v>200000</v>
      </c>
    </row>
    <row r="3147">
      <c r="A3147" s="107">
        <f>IFERROR(__xludf.DUMMYFUNCTION("""COMPUTED_VALUE"""),46029.0)</f>
        <v>46029</v>
      </c>
      <c r="B3147" t="str">
        <f>IFERROR(__xludf.DUMMYFUNCTION("""COMPUTED_VALUE"""),"費用 - 匯費 012 (54627)")</f>
        <v>費用 - 匯費 012 (54627)</v>
      </c>
      <c r="C3147" t="str">
        <f>IFERROR(__xludf.DUMMYFUNCTION("""COMPUTED_VALUE"""),"費用 - 匯費")</f>
        <v>費用 - 匯費</v>
      </c>
      <c r="D3147" s="270">
        <f>IFERROR(__xludf.DUMMYFUNCTION("""COMPUTED_VALUE"""),-15.0)</f>
        <v>-15</v>
      </c>
      <c r="E3147" t="str">
        <f>IFERROR(__xludf.DUMMYFUNCTION("""COMPUTED_VALUE"""),"台銀籌備帳戶")</f>
        <v>台銀籌備帳戶</v>
      </c>
      <c r="H3147" s="106" t="str">
        <f t="shared" si="1"/>
        <v>2026-01</v>
      </c>
      <c r="I3147" s="271" t="str">
        <f>IFERROR(__xludf.DUMMYFUNCTION("""COMPUTED_VALUE"""),"貓狗企鵝")</f>
        <v>貓狗企鵝</v>
      </c>
      <c r="J3147" t="str">
        <f>IFERROR(__xludf.DUMMYFUNCTION("IFS(
  AND(REGEXMATCH(E3147, ""台銀籌備帳戶|玉山帳戶""), REGEXMATCH(C3147, ""薪資"")), ""分潤支出"",
  AND(REGEXMATCH(E3147, ""Ben帳戶|Elsa帳戶|Ben代墊|Ariel代墊|中信銀行共用""), REGEXMATCH(F3147, ""Ben帳戶|Elsa帳戶|Ben代墊|Ariel代墊|中信銀行共用"")), ""內部轉帳(忽略)"",
  AND(E3147&lt;&gt;"""", F3147&lt;&gt;"""", N"&amp;"OT(REGEXMATCH(C3147, ""薪資""))), ""內部轉帳(忽略)"",
  REGEXMATCH(C3147, ""薪資""), ""薪資變動(不計入)"",
  REGEXMATCH(C3147, ""押金""), ""押金往來"",
  AND(E3147&lt;&gt;"""", F3147=""""), ""真實支出"",
  AND(E3147="""", F3147&lt;&gt;""""), ""真實收入"",
  TRUE, ""其他""
)"),"真實支出")</f>
        <v>真實支出</v>
      </c>
      <c r="K3147" s="270">
        <f t="shared" si="2"/>
        <v>-15</v>
      </c>
      <c r="L3147">
        <f t="shared" si="3"/>
        <v>0</v>
      </c>
    </row>
    <row r="3148">
      <c r="A3148" s="107">
        <f>IFERROR(__xludf.DUMMYFUNCTION("""COMPUTED_VALUE"""),46029.0)</f>
        <v>46029</v>
      </c>
      <c r="B3148" t="str">
        <f>IFERROR(__xludf.DUMMYFUNCTION("""COMPUTED_VALUE"""),"Ben富邦代墊款 ' 【未分類支出】")</f>
        <v>Ben富邦代墊款 ' 【未分類支出】</v>
      </c>
      <c r="C3148" t="str">
        <f>IFERROR(__xludf.DUMMYFUNCTION("""COMPUTED_VALUE"""),"費用 - Salary 薪資")</f>
        <v>費用 - Salary 薪資</v>
      </c>
      <c r="D3148" s="270">
        <f>IFERROR(__xludf.DUMMYFUNCTION("""COMPUTED_VALUE"""),-200000.0)</f>
        <v>-200000</v>
      </c>
      <c r="E3148" t="str">
        <f>IFERROR(__xludf.DUMMYFUNCTION("""COMPUTED_VALUE"""),"台銀籌備帳戶")</f>
        <v>台銀籌備帳戶</v>
      </c>
      <c r="F3148" t="str">
        <f>IFERROR(__xludf.DUMMYFUNCTION("""COMPUTED_VALUE"""),"Ben帳戶")</f>
        <v>Ben帳戶</v>
      </c>
      <c r="H3148" s="106" t="str">
        <f t="shared" si="1"/>
        <v>2026-01</v>
      </c>
      <c r="I3148" s="271" t="str">
        <f>IFERROR(__xludf.DUMMYFUNCTION("""COMPUTED_VALUE"""),"貓狗企鵝")</f>
        <v>貓狗企鵝</v>
      </c>
      <c r="J3148" t="str">
        <f>IFERROR(__xludf.DUMMYFUNCTION("IFS(
  AND(REGEXMATCH(E3148, ""台銀籌備帳戶|玉山帳戶""), REGEXMATCH(C3148, ""薪資"")), ""分潤支出"",
  AND(REGEXMATCH(E3148, ""Ben帳戶|Elsa帳戶|Ben代墊|Ariel代墊|中信銀行共用""), REGEXMATCH(F3148, ""Ben帳戶|Elsa帳戶|Ben代墊|Ariel代墊|中信銀行共用"")), ""內部轉帳(忽略)"",
  AND(E3148&lt;&gt;"""", F3148&lt;&gt;"""", N"&amp;"OT(REGEXMATCH(C3148, ""薪資""))), ""內部轉帳(忽略)"",
  REGEXMATCH(C3148, ""薪資""), ""薪資變動(不計入)"",
  REGEXMATCH(C3148, ""押金""), ""押金往來"",
  AND(E3148&lt;&gt;"""", F3148=""""), ""真實支出"",
  AND(E3148="""", F3148&lt;&gt;""""), ""真實收入"",
  TRUE, ""其他""
)"),"分潤支出")</f>
        <v>分潤支出</v>
      </c>
      <c r="K3148">
        <f t="shared" si="2"/>
        <v>0</v>
      </c>
      <c r="L3148">
        <f t="shared" si="3"/>
        <v>200000</v>
      </c>
    </row>
    <row r="3149">
      <c r="A3149" s="107">
        <f>IFERROR(__xludf.DUMMYFUNCTION("""COMPUTED_VALUE"""),46029.0)</f>
        <v>46029</v>
      </c>
      <c r="B3149" t="str">
        <f>IFERROR(__xludf.DUMMYFUNCTION("""COMPUTED_VALUE"""),"[中山北娘家旁] C 月租金 後五碼:60963 (行號: 5)")</f>
        <v>[中山北娘家旁] C 月租金 後五碼:60963 (行號: 5)</v>
      </c>
      <c r="C3149" t="str">
        <f>IFERROR(__xludf.DUMMYFUNCTION("""COMPUTED_VALUE"""),"收入 - 租金")</f>
        <v>收入 - 租金</v>
      </c>
      <c r="D3149" s="270">
        <f>IFERROR(__xludf.DUMMYFUNCTION("""COMPUTED_VALUE"""),14800.0)</f>
        <v>14800</v>
      </c>
      <c r="F3149" t="str">
        <f>IFERROR(__xludf.DUMMYFUNCTION("""COMPUTED_VALUE"""),"台銀籌備帳戶")</f>
        <v>台銀籌備帳戶</v>
      </c>
      <c r="G3149" t="str">
        <f>IFERROR(__xludf.DUMMYFUNCTION("""COMPUTED_VALUE"""),"中山北娘家旁")</f>
        <v>中山北娘家旁</v>
      </c>
      <c r="H3149" s="106" t="str">
        <f t="shared" si="1"/>
        <v>2026-01</v>
      </c>
      <c r="I3149" s="271" t="str">
        <f>IFERROR(__xludf.DUMMYFUNCTION("""COMPUTED_VALUE"""),"貓狗企鵝")</f>
        <v>貓狗企鵝</v>
      </c>
      <c r="J3149" t="str">
        <f>IFERROR(__xludf.DUMMYFUNCTION("IFS(
  AND(REGEXMATCH(E3149, ""台銀籌備帳戶|玉山帳戶""), REGEXMATCH(C3149, ""薪資"")), ""分潤支出"",
  AND(REGEXMATCH(E3149, ""Ben帳戶|Elsa帳戶|Ben代墊|Ariel代墊|中信銀行共用""), REGEXMATCH(F3149, ""Ben帳戶|Elsa帳戶|Ben代墊|Ariel代墊|中信銀行共用"")), ""內部轉帳(忽略)"",
  AND(E3149&lt;&gt;"""", F3149&lt;&gt;"""", N"&amp;"OT(REGEXMATCH(C3149, ""薪資""))), ""內部轉帳(忽略)"",
  REGEXMATCH(C3149, ""薪資""), ""薪資變動(不計入)"",
  REGEXMATCH(C3149, ""押金""), ""押金往來"",
  AND(E3149&lt;&gt;"""", F3149=""""), ""真實支出"",
  AND(E3149="""", F3149&lt;&gt;""""), ""真實收入"",
  TRUE, ""其他""
)"),"真實收入")</f>
        <v>真實收入</v>
      </c>
      <c r="K3149" s="270">
        <f t="shared" si="2"/>
        <v>14800</v>
      </c>
      <c r="L3149">
        <f t="shared" si="3"/>
        <v>0</v>
      </c>
    </row>
    <row r="3150">
      <c r="A3150" s="107">
        <f>IFERROR(__xludf.DUMMYFUNCTION("""COMPUTED_VALUE"""),46029.0)</f>
        <v>46029</v>
      </c>
      <c r="B3150" t="str">
        <f>IFERROR(__xludf.DUMMYFUNCTION("""COMPUTED_VALUE"""),"[龍江229] C 月租金 後五碼:62428 (行號: 6)")</f>
        <v>[龍江229] C 月租金 後五碼:62428 (行號: 6)</v>
      </c>
      <c r="C3150" t="str">
        <f>IFERROR(__xludf.DUMMYFUNCTION("""COMPUTED_VALUE"""),"收入 - 租金")</f>
        <v>收入 - 租金</v>
      </c>
      <c r="D3150" s="270">
        <f>IFERROR(__xludf.DUMMYFUNCTION("""COMPUTED_VALUE"""),18500.0)</f>
        <v>18500</v>
      </c>
      <c r="F3150" t="str">
        <f>IFERROR(__xludf.DUMMYFUNCTION("""COMPUTED_VALUE"""),"台銀籌備帳戶")</f>
        <v>台銀籌備帳戶</v>
      </c>
      <c r="G3150" t="str">
        <f>IFERROR(__xludf.DUMMYFUNCTION("""COMPUTED_VALUE"""),"龍江229")</f>
        <v>龍江229</v>
      </c>
      <c r="H3150" s="106" t="str">
        <f t="shared" si="1"/>
        <v>2026-01</v>
      </c>
      <c r="I3150" s="271" t="str">
        <f>IFERROR(__xludf.DUMMYFUNCTION("""COMPUTED_VALUE"""),"貓狗企鵝")</f>
        <v>貓狗企鵝</v>
      </c>
      <c r="J3150" t="str">
        <f>IFERROR(__xludf.DUMMYFUNCTION("IFS(
  AND(REGEXMATCH(E3150, ""台銀籌備帳戶|玉山帳戶""), REGEXMATCH(C3150, ""薪資"")), ""分潤支出"",
  AND(REGEXMATCH(E3150, ""Ben帳戶|Elsa帳戶|Ben代墊|Ariel代墊|中信銀行共用""), REGEXMATCH(F3150, ""Ben帳戶|Elsa帳戶|Ben代墊|Ariel代墊|中信銀行共用"")), ""內部轉帳(忽略)"",
  AND(E3150&lt;&gt;"""", F3150&lt;&gt;"""", N"&amp;"OT(REGEXMATCH(C3150, ""薪資""))), ""內部轉帳(忽略)"",
  REGEXMATCH(C3150, ""薪資""), ""薪資變動(不計入)"",
  REGEXMATCH(C3150, ""押金""), ""押金往來"",
  AND(E3150&lt;&gt;"""", F3150=""""), ""真實支出"",
  AND(E3150="""", F3150&lt;&gt;""""), ""真實收入"",
  TRUE, ""其他""
)"),"真實收入")</f>
        <v>真實收入</v>
      </c>
      <c r="K3150" s="270">
        <f t="shared" si="2"/>
        <v>18500</v>
      </c>
      <c r="L3150">
        <f t="shared" si="3"/>
        <v>0</v>
      </c>
    </row>
    <row r="3151">
      <c r="A3151" s="107">
        <f>IFERROR(__xludf.DUMMYFUNCTION("""COMPUTED_VALUE"""),46030.0)</f>
        <v>46030</v>
      </c>
      <c r="B3151" t="str">
        <f>IFERROR(__xludf.DUMMYFUNCTION("""COMPUTED_VALUE"""),"[南港站挑高宅] E 月租金 後五碼:82067 (行號: 7)")</f>
        <v>[南港站挑高宅] E 月租金 後五碼:82067 (行號: 7)</v>
      </c>
      <c r="C3151" t="str">
        <f>IFERROR(__xludf.DUMMYFUNCTION("""COMPUTED_VALUE"""),"收入 - 租金")</f>
        <v>收入 - 租金</v>
      </c>
      <c r="D3151" s="270">
        <f>IFERROR(__xludf.DUMMYFUNCTION("""COMPUTED_VALUE"""),12800.0)</f>
        <v>12800</v>
      </c>
      <c r="F3151" t="str">
        <f>IFERROR(__xludf.DUMMYFUNCTION("""COMPUTED_VALUE"""),"台銀籌備帳戶")</f>
        <v>台銀籌備帳戶</v>
      </c>
      <c r="G3151" t="str">
        <f>IFERROR(__xludf.DUMMYFUNCTION("""COMPUTED_VALUE"""),"南港站挑高宅")</f>
        <v>南港站挑高宅</v>
      </c>
      <c r="H3151" s="106" t="str">
        <f t="shared" si="1"/>
        <v>2026-01</v>
      </c>
      <c r="I3151" s="271" t="str">
        <f>IFERROR(__xludf.DUMMYFUNCTION("""COMPUTED_VALUE"""),"貓狗企鵝")</f>
        <v>貓狗企鵝</v>
      </c>
      <c r="J3151" t="str">
        <f>IFERROR(__xludf.DUMMYFUNCTION("IFS(
  AND(REGEXMATCH(E3151, ""台銀籌備帳戶|玉山帳戶""), REGEXMATCH(C3151, ""薪資"")), ""分潤支出"",
  AND(REGEXMATCH(E3151, ""Ben帳戶|Elsa帳戶|Ben代墊|Ariel代墊|中信銀行共用""), REGEXMATCH(F3151, ""Ben帳戶|Elsa帳戶|Ben代墊|Ariel代墊|中信銀行共用"")), ""內部轉帳(忽略)"",
  AND(E3151&lt;&gt;"""", F3151&lt;&gt;"""", N"&amp;"OT(REGEXMATCH(C3151, ""薪資""))), ""內部轉帳(忽略)"",
  REGEXMATCH(C3151, ""薪資""), ""薪資變動(不計入)"",
  REGEXMATCH(C3151, ""押金""), ""押金往來"",
  AND(E3151&lt;&gt;"""", F3151=""""), ""真實支出"",
  AND(E3151="""", F3151&lt;&gt;""""), ""真實收入"",
  TRUE, ""其他""
)"),"真實收入")</f>
        <v>真實收入</v>
      </c>
      <c r="K3151" s="270">
        <f t="shared" si="2"/>
        <v>12800</v>
      </c>
      <c r="L3151">
        <f t="shared" si="3"/>
        <v>0</v>
      </c>
    </row>
    <row r="3152">
      <c r="A3152" s="107">
        <f>IFERROR(__xludf.DUMMYFUNCTION("""COMPUTED_VALUE"""),46031.0)</f>
        <v>46031</v>
      </c>
      <c r="B3152" t="str">
        <f>IFERROR(__xludf.DUMMYFUNCTION("""COMPUTED_VALUE"""),"費用 - 匯費 700 (14204)")</f>
        <v>費用 - 匯費 700 (14204)</v>
      </c>
      <c r="C3152" t="str">
        <f>IFERROR(__xludf.DUMMYFUNCTION("""COMPUTED_VALUE"""),"費用 - 匯費")</f>
        <v>費用 - 匯費</v>
      </c>
      <c r="D3152" s="270">
        <f>IFERROR(__xludf.DUMMYFUNCTION("""COMPUTED_VALUE"""),-15.0)</f>
        <v>-15</v>
      </c>
      <c r="E3152" t="str">
        <f>IFERROR(__xludf.DUMMYFUNCTION("""COMPUTED_VALUE"""),"台銀籌備帳戶")</f>
        <v>台銀籌備帳戶</v>
      </c>
      <c r="H3152" s="106" t="str">
        <f t="shared" si="1"/>
        <v>2026-01</v>
      </c>
      <c r="I3152" s="271" t="str">
        <f>IFERROR(__xludf.DUMMYFUNCTION("""COMPUTED_VALUE"""),"貓狗企鵝")</f>
        <v>貓狗企鵝</v>
      </c>
      <c r="J3152" t="str">
        <f>IFERROR(__xludf.DUMMYFUNCTION("IFS(
  AND(REGEXMATCH(E3152, ""台銀籌備帳戶|玉山帳戶""), REGEXMATCH(C3152, ""薪資"")), ""分潤支出"",
  AND(REGEXMATCH(E3152, ""Ben帳戶|Elsa帳戶|Ben代墊|Ariel代墊|中信銀行共用""), REGEXMATCH(F3152, ""Ben帳戶|Elsa帳戶|Ben代墊|Ariel代墊|中信銀行共用"")), ""內部轉帳(忽略)"",
  AND(E3152&lt;&gt;"""", F3152&lt;&gt;"""", N"&amp;"OT(REGEXMATCH(C3152, ""薪資""))), ""內部轉帳(忽略)"",
  REGEXMATCH(C3152, ""薪資""), ""薪資變動(不計入)"",
  REGEXMATCH(C3152, ""押金""), ""押金往來"",
  AND(E3152&lt;&gt;"""", F3152=""""), ""真實支出"",
  AND(E3152="""", F3152&lt;&gt;""""), ""真實收入"",
  TRUE, ""其他""
)"),"真實支出")</f>
        <v>真實支出</v>
      </c>
      <c r="K3152" s="270">
        <f t="shared" si="2"/>
        <v>-15</v>
      </c>
      <c r="L3152">
        <f t="shared" si="3"/>
        <v>0</v>
      </c>
    </row>
    <row r="3153">
      <c r="A3153" s="107">
        <f>IFERROR(__xludf.DUMMYFUNCTION("""COMPUTED_VALUE"""),46031.0)</f>
        <v>46031</v>
      </c>
      <c r="B3153" t="str">
        <f>IFERROR(__xludf.DUMMYFUNCTION("""COMPUTED_VALUE"""),"[書香民生] [吳高寶玉] 大租金")</f>
        <v>[書香民生] [吳高寶玉] 大租金</v>
      </c>
      <c r="C3153" t="str">
        <f>IFERROR(__xludf.DUMMYFUNCTION("""COMPUTED_VALUE"""),"成本 - 大租金")</f>
        <v>成本 - 大租金</v>
      </c>
      <c r="D3153" s="270">
        <f>IFERROR(__xludf.DUMMYFUNCTION("""COMPUTED_VALUE"""),-16667.0)</f>
        <v>-16667</v>
      </c>
      <c r="E3153" t="str">
        <f>IFERROR(__xludf.DUMMYFUNCTION("""COMPUTED_VALUE"""),"台銀籌備帳戶")</f>
        <v>台銀籌備帳戶</v>
      </c>
      <c r="G3153" t="str">
        <f>IFERROR(__xludf.DUMMYFUNCTION("""COMPUTED_VALUE"""),"書香民生")</f>
        <v>書香民生</v>
      </c>
      <c r="H3153" s="106" t="str">
        <f t="shared" si="1"/>
        <v>2026-01</v>
      </c>
      <c r="I3153" s="271" t="str">
        <f>IFERROR(__xludf.DUMMYFUNCTION("""COMPUTED_VALUE"""),"貓狗企鵝")</f>
        <v>貓狗企鵝</v>
      </c>
      <c r="J3153" t="str">
        <f>IFERROR(__xludf.DUMMYFUNCTION("IFS(
  AND(REGEXMATCH(E3153, ""台銀籌備帳戶|玉山帳戶""), REGEXMATCH(C3153, ""薪資"")), ""分潤支出"",
  AND(REGEXMATCH(E3153, ""Ben帳戶|Elsa帳戶|Ben代墊|Ariel代墊|中信銀行共用""), REGEXMATCH(F3153, ""Ben帳戶|Elsa帳戶|Ben代墊|Ariel代墊|中信銀行共用"")), ""內部轉帳(忽略)"",
  AND(E3153&lt;&gt;"""", F3153&lt;&gt;"""", N"&amp;"OT(REGEXMATCH(C3153, ""薪資""))), ""內部轉帳(忽略)"",
  REGEXMATCH(C3153, ""薪資""), ""薪資變動(不計入)"",
  REGEXMATCH(C3153, ""押金""), ""押金往來"",
  AND(E3153&lt;&gt;"""", F3153=""""), ""真實支出"",
  AND(E3153="""", F3153&lt;&gt;""""), ""真實收入"",
  TRUE, ""其他""
)"),"真實支出")</f>
        <v>真實支出</v>
      </c>
      <c r="K3153" s="270">
        <f t="shared" si="2"/>
        <v>-16667</v>
      </c>
      <c r="L3153">
        <f t="shared" si="3"/>
        <v>0</v>
      </c>
    </row>
    <row r="3154">
      <c r="A3154" s="107">
        <f>IFERROR(__xludf.DUMMYFUNCTION("""COMPUTED_VALUE"""),46034.0)</f>
        <v>46034</v>
      </c>
      <c r="B3154" t="str">
        <f>IFERROR(__xludf.DUMMYFUNCTION("""COMPUTED_VALUE"""),"費用 - 匯費 008 (00149)")</f>
        <v>費用 - 匯費 008 (00149)</v>
      </c>
      <c r="C3154" t="str">
        <f>IFERROR(__xludf.DUMMYFUNCTION("""COMPUTED_VALUE"""),"費用 - 匯費")</f>
        <v>費用 - 匯費</v>
      </c>
      <c r="D3154" s="270">
        <f>IFERROR(__xludf.DUMMYFUNCTION("""COMPUTED_VALUE"""),-15.0)</f>
        <v>-15</v>
      </c>
      <c r="E3154" t="str">
        <f>IFERROR(__xludf.DUMMYFUNCTION("""COMPUTED_VALUE"""),"台銀籌備帳戶")</f>
        <v>台銀籌備帳戶</v>
      </c>
      <c r="H3154" s="106" t="str">
        <f t="shared" si="1"/>
        <v>2026-01</v>
      </c>
      <c r="I3154" s="271" t="str">
        <f>IFERROR(__xludf.DUMMYFUNCTION("""COMPUTED_VALUE"""),"貓狗企鵝")</f>
        <v>貓狗企鵝</v>
      </c>
      <c r="J3154" t="str">
        <f>IFERROR(__xludf.DUMMYFUNCTION("IFS(
  AND(REGEXMATCH(E3154, ""台銀籌備帳戶|玉山帳戶""), REGEXMATCH(C3154, ""薪資"")), ""分潤支出"",
  AND(REGEXMATCH(E3154, ""Ben帳戶|Elsa帳戶|Ben代墊|Ariel代墊|中信銀行共用""), REGEXMATCH(F3154, ""Ben帳戶|Elsa帳戶|Ben代墊|Ariel代墊|中信銀行共用"")), ""內部轉帳(忽略)"",
  AND(E3154&lt;&gt;"""", F3154&lt;&gt;"""", N"&amp;"OT(REGEXMATCH(C3154, ""薪資""))), ""內部轉帳(忽略)"",
  REGEXMATCH(C3154, ""薪資""), ""薪資變動(不計入)"",
  REGEXMATCH(C3154, ""押金""), ""押金往來"",
  AND(E3154&lt;&gt;"""", F3154=""""), ""真實支出"",
  AND(E3154="""", F3154&lt;&gt;""""), ""真實收入"",
  TRUE, ""其他""
)"),"真實支出")</f>
        <v>真實支出</v>
      </c>
      <c r="K3154" s="270">
        <f t="shared" si="2"/>
        <v>-15</v>
      </c>
      <c r="L3154">
        <f t="shared" si="3"/>
        <v>0</v>
      </c>
    </row>
    <row r="3155">
      <c r="A3155" s="107">
        <f>IFERROR(__xludf.DUMMYFUNCTION("""COMPUTED_VALUE"""),46034.0)</f>
        <v>46034</v>
      </c>
      <c r="B3155" t="str">
        <f>IFERROR(__xludf.DUMMYFUNCTION("""COMPUTED_VALUE"""),"天母搜狗大堂師傅 ' 【未分類支出】")</f>
        <v>天母搜狗大堂師傅 ' 【未分類支出】</v>
      </c>
      <c r="C3155" t="str">
        <f>IFERROR(__xludf.DUMMYFUNCTION("""COMPUTED_VALUE"""),"成本 - 進場前裝潢費")</f>
        <v>成本 - 進場前裝潢費</v>
      </c>
      <c r="D3155" s="270">
        <f>IFERROR(__xludf.DUMMYFUNCTION("""COMPUTED_VALUE"""),-321300.0)</f>
        <v>-321300</v>
      </c>
      <c r="E3155" t="str">
        <f>IFERROR(__xludf.DUMMYFUNCTION("""COMPUTED_VALUE"""),"台銀籌備帳戶")</f>
        <v>台銀籌備帳戶</v>
      </c>
      <c r="G3155" t="str">
        <f>IFERROR(__xludf.DUMMYFUNCTION("""COMPUTED_VALUE"""),"天母搜狗")</f>
        <v>天母搜狗</v>
      </c>
      <c r="H3155" s="106" t="str">
        <f t="shared" si="1"/>
        <v>2026-01</v>
      </c>
      <c r="I3155" s="271" t="str">
        <f>IFERROR(__xludf.DUMMYFUNCTION("""COMPUTED_VALUE"""),"貓狗企鵝")</f>
        <v>貓狗企鵝</v>
      </c>
      <c r="J3155" t="str">
        <f>IFERROR(__xludf.DUMMYFUNCTION("IFS(
  AND(REGEXMATCH(E3155, ""台銀籌備帳戶|玉山帳戶""), REGEXMATCH(C3155, ""薪資"")), ""分潤支出"",
  AND(REGEXMATCH(E3155, ""Ben帳戶|Elsa帳戶|Ben代墊|Ariel代墊|中信銀行共用""), REGEXMATCH(F3155, ""Ben帳戶|Elsa帳戶|Ben代墊|Ariel代墊|中信銀行共用"")), ""內部轉帳(忽略)"",
  AND(E3155&lt;&gt;"""", F3155&lt;&gt;"""", N"&amp;"OT(REGEXMATCH(C3155, ""薪資""))), ""內部轉帳(忽略)"",
  REGEXMATCH(C3155, ""薪資""), ""薪資變動(不計入)"",
  REGEXMATCH(C3155, ""押金""), ""押金往來"",
  AND(E3155&lt;&gt;"""", F3155=""""), ""真實支出"",
  AND(E3155="""", F3155&lt;&gt;""""), ""真實收入"",
  TRUE, ""其他""
)"),"真實支出")</f>
        <v>真實支出</v>
      </c>
      <c r="K3155" s="270">
        <f t="shared" si="2"/>
        <v>-321300</v>
      </c>
      <c r="L3155">
        <f t="shared" si="3"/>
        <v>0</v>
      </c>
    </row>
    <row r="3156">
      <c r="A3156" s="107">
        <f>IFERROR(__xludf.DUMMYFUNCTION("""COMPUTED_VALUE"""),46036.0)</f>
        <v>46036</v>
      </c>
      <c r="B3156" t="str">
        <f>IFERROR(__xludf.DUMMYFUNCTION("""COMPUTED_VALUE"""),"余音潔 匯 ' 【不明收入 後五碼:00000】 (行號: 10)")</f>
        <v>余音潔 匯 ' 【不明收入 後五碼:00000】 (行號: 10)</v>
      </c>
      <c r="C3156" t="str">
        <f>IFERROR(__xludf.DUMMYFUNCTION("""COMPUTED_VALUE"""),"成本 - 進場前裝潢費")</f>
        <v>成本 - 進場前裝潢費</v>
      </c>
      <c r="D3156" s="270">
        <f>IFERROR(__xludf.DUMMYFUNCTION("""COMPUTED_VALUE"""),390000.0)</f>
        <v>390000</v>
      </c>
      <c r="F3156" t="str">
        <f>IFERROR(__xludf.DUMMYFUNCTION("""COMPUTED_VALUE"""),"台銀籌備帳戶")</f>
        <v>台銀籌備帳戶</v>
      </c>
      <c r="G3156" t="str">
        <f>IFERROR(__xludf.DUMMYFUNCTION("""COMPUTED_VALUE"""),"天母搜狗")</f>
        <v>天母搜狗</v>
      </c>
      <c r="H3156" s="106" t="str">
        <f t="shared" si="1"/>
        <v>2026-01</v>
      </c>
      <c r="I3156" s="271" t="str">
        <f>IFERROR(__xludf.DUMMYFUNCTION("""COMPUTED_VALUE"""),"貓狗企鵝")</f>
        <v>貓狗企鵝</v>
      </c>
      <c r="J3156" t="str">
        <f>IFERROR(__xludf.DUMMYFUNCTION("IFS(
  AND(REGEXMATCH(E3156, ""台銀籌備帳戶|玉山帳戶""), REGEXMATCH(C3156, ""薪資"")), ""分潤支出"",
  AND(REGEXMATCH(E3156, ""Ben帳戶|Elsa帳戶|Ben代墊|Ariel代墊|中信銀行共用""), REGEXMATCH(F3156, ""Ben帳戶|Elsa帳戶|Ben代墊|Ariel代墊|中信銀行共用"")), ""內部轉帳(忽略)"",
  AND(E3156&lt;&gt;"""", F3156&lt;&gt;"""", N"&amp;"OT(REGEXMATCH(C3156, ""薪資""))), ""內部轉帳(忽略)"",
  REGEXMATCH(C3156, ""薪資""), ""薪資變動(不計入)"",
  REGEXMATCH(C3156, ""押金""), ""押金往來"",
  AND(E3156&lt;&gt;"""", F3156=""""), ""真實支出"",
  AND(E3156="""", F3156&lt;&gt;""""), ""真實收入"",
  TRUE, ""其他""
)"),"真實收入")</f>
        <v>真實收入</v>
      </c>
      <c r="K3156" s="270">
        <f t="shared" si="2"/>
        <v>390000</v>
      </c>
      <c r="L3156">
        <f t="shared" si="3"/>
        <v>0</v>
      </c>
    </row>
    <row r="3157">
      <c r="A3157" s="107">
        <f>IFERROR(__xludf.DUMMYFUNCTION("""COMPUTED_VALUE"""),46037.0)</f>
        <v>46037</v>
      </c>
      <c r="B3157" t="str">
        <f>IFERROR(__xludf.DUMMYFUNCTION("""COMPUTED_VALUE"""),"[南港站挑高宅] [林淑華] 大租金")</f>
        <v>[南港站挑高宅] [林淑華] 大租金</v>
      </c>
      <c r="C3157" t="str">
        <f>IFERROR(__xludf.DUMMYFUNCTION("""COMPUTED_VALUE"""),"成本 - 大租金")</f>
        <v>成本 - 大租金</v>
      </c>
      <c r="D3157" s="270">
        <f>IFERROR(__xludf.DUMMYFUNCTION("""COMPUTED_VALUE"""),-18250.0)</f>
        <v>-18250</v>
      </c>
      <c r="E3157" t="str">
        <f>IFERROR(__xludf.DUMMYFUNCTION("""COMPUTED_VALUE"""),"台銀籌備帳戶")</f>
        <v>台銀籌備帳戶</v>
      </c>
      <c r="G3157" t="str">
        <f>IFERROR(__xludf.DUMMYFUNCTION("""COMPUTED_VALUE"""),"南港站挑高宅")</f>
        <v>南港站挑高宅</v>
      </c>
      <c r="H3157" s="106" t="str">
        <f t="shared" si="1"/>
        <v>2026-01</v>
      </c>
      <c r="I3157" s="271" t="str">
        <f>IFERROR(__xludf.DUMMYFUNCTION("""COMPUTED_VALUE"""),"貓狗企鵝")</f>
        <v>貓狗企鵝</v>
      </c>
      <c r="J3157" t="str">
        <f>IFERROR(__xludf.DUMMYFUNCTION("IFS(
  AND(REGEXMATCH(E3157, ""台銀籌備帳戶|玉山帳戶""), REGEXMATCH(C3157, ""薪資"")), ""分潤支出"",
  AND(REGEXMATCH(E3157, ""Ben帳戶|Elsa帳戶|Ben代墊|Ariel代墊|中信銀行共用""), REGEXMATCH(F3157, ""Ben帳戶|Elsa帳戶|Ben代墊|Ariel代墊|中信銀行共用"")), ""內部轉帳(忽略)"",
  AND(E3157&lt;&gt;"""", F3157&lt;&gt;"""", N"&amp;"OT(REGEXMATCH(C3157, ""薪資""))), ""內部轉帳(忽略)"",
  REGEXMATCH(C3157, ""薪資""), ""薪資變動(不計入)"",
  REGEXMATCH(C3157, ""押金""), ""押金往來"",
  AND(E3157&lt;&gt;"""", F3157=""""), ""真實支出"",
  AND(E3157="""", F3157&lt;&gt;""""), ""真實收入"",
  TRUE, ""其他""
)"),"真實支出")</f>
        <v>真實支出</v>
      </c>
      <c r="K3157" s="270">
        <f t="shared" si="2"/>
        <v>-18250</v>
      </c>
      <c r="L3157">
        <f t="shared" si="3"/>
        <v>0</v>
      </c>
    </row>
    <row r="3158">
      <c r="A3158" s="107">
        <f>IFERROR(__xludf.DUMMYFUNCTION("""COMPUTED_VALUE"""),46037.0)</f>
        <v>46037</v>
      </c>
      <c r="B3158" t="str">
        <f>IFERROR(__xludf.DUMMYFUNCTION("""COMPUTED_VALUE"""),"費用 - 匯費 700 (19509)")</f>
        <v>費用 - 匯費 700 (19509)</v>
      </c>
      <c r="C3158" t="str">
        <f>IFERROR(__xludf.DUMMYFUNCTION("""COMPUTED_VALUE"""),"費用 - 匯費")</f>
        <v>費用 - 匯費</v>
      </c>
      <c r="D3158" s="270">
        <f>IFERROR(__xludf.DUMMYFUNCTION("""COMPUTED_VALUE"""),-15.0)</f>
        <v>-15</v>
      </c>
      <c r="E3158" t="str">
        <f>IFERROR(__xludf.DUMMYFUNCTION("""COMPUTED_VALUE"""),"台銀籌備帳戶")</f>
        <v>台銀籌備帳戶</v>
      </c>
      <c r="H3158" s="106" t="str">
        <f t="shared" si="1"/>
        <v>2026-01</v>
      </c>
      <c r="I3158" s="271" t="str">
        <f>IFERROR(__xludf.DUMMYFUNCTION("""COMPUTED_VALUE"""),"貓狗企鵝")</f>
        <v>貓狗企鵝</v>
      </c>
      <c r="J3158" t="str">
        <f>IFERROR(__xludf.DUMMYFUNCTION("IFS(
  AND(REGEXMATCH(E3158, ""台銀籌備帳戶|玉山帳戶""), REGEXMATCH(C3158, ""薪資"")), ""分潤支出"",
  AND(REGEXMATCH(E3158, ""Ben帳戶|Elsa帳戶|Ben代墊|Ariel代墊|中信銀行共用""), REGEXMATCH(F3158, ""Ben帳戶|Elsa帳戶|Ben代墊|Ariel代墊|中信銀行共用"")), ""內部轉帳(忽略)"",
  AND(E3158&lt;&gt;"""", F3158&lt;&gt;"""", N"&amp;"OT(REGEXMATCH(C3158, ""薪資""))), ""內部轉帳(忽略)"",
  REGEXMATCH(C3158, ""薪資""), ""薪資變動(不計入)"",
  REGEXMATCH(C3158, ""押金""), ""押金往來"",
  AND(E3158&lt;&gt;"""", F3158=""""), ""真實支出"",
  AND(E3158="""", F3158&lt;&gt;""""), ""真實收入"",
  TRUE, ""其他""
)"),"真實支出")</f>
        <v>真實支出</v>
      </c>
      <c r="K3158" s="270">
        <f t="shared" si="2"/>
        <v>-15</v>
      </c>
      <c r="L3158">
        <f t="shared" si="3"/>
        <v>0</v>
      </c>
    </row>
    <row r="3159">
      <c r="A3159" s="107">
        <f>IFERROR(__xludf.DUMMYFUNCTION("""COMPUTED_VALUE"""),46037.0)</f>
        <v>46037</v>
      </c>
      <c r="B3159" t="str">
        <f>IFERROR(__xludf.DUMMYFUNCTION("""COMPUTED_VALUE"""),"[龍江229] [游為傑] 大租金")</f>
        <v>[龍江229] [游為傑] 大租金</v>
      </c>
      <c r="C3159" t="str">
        <f>IFERROR(__xludf.DUMMYFUNCTION("""COMPUTED_VALUE"""),"成本 - 大租金")</f>
        <v>成本 - 大租金</v>
      </c>
      <c r="D3159" s="270">
        <f>IFERROR(__xludf.DUMMYFUNCTION("""COMPUTED_VALUE"""),-13500.0)</f>
        <v>-13500</v>
      </c>
      <c r="E3159" t="str">
        <f>IFERROR(__xludf.DUMMYFUNCTION("""COMPUTED_VALUE"""),"台銀籌備帳戶")</f>
        <v>台銀籌備帳戶</v>
      </c>
      <c r="G3159" t="str">
        <f>IFERROR(__xludf.DUMMYFUNCTION("""COMPUTED_VALUE"""),"龍江229")</f>
        <v>龍江229</v>
      </c>
      <c r="H3159" s="106" t="str">
        <f t="shared" si="1"/>
        <v>2026-01</v>
      </c>
      <c r="I3159" s="271" t="str">
        <f>IFERROR(__xludf.DUMMYFUNCTION("""COMPUTED_VALUE"""),"貓狗企鵝")</f>
        <v>貓狗企鵝</v>
      </c>
      <c r="J3159" t="str">
        <f>IFERROR(__xludf.DUMMYFUNCTION("IFS(
  AND(REGEXMATCH(E3159, ""台銀籌備帳戶|玉山帳戶""), REGEXMATCH(C3159, ""薪資"")), ""分潤支出"",
  AND(REGEXMATCH(E3159, ""Ben帳戶|Elsa帳戶|Ben代墊|Ariel代墊|中信銀行共用""), REGEXMATCH(F3159, ""Ben帳戶|Elsa帳戶|Ben代墊|Ariel代墊|中信銀行共用"")), ""內部轉帳(忽略)"",
  AND(E3159&lt;&gt;"""", F3159&lt;&gt;"""", N"&amp;"OT(REGEXMATCH(C3159, ""薪資""))), ""內部轉帳(忽略)"",
  REGEXMATCH(C3159, ""薪資""), ""薪資變動(不計入)"",
  REGEXMATCH(C3159, ""押金""), ""押金往來"",
  AND(E3159&lt;&gt;"""", F3159=""""), ""真實支出"",
  AND(E3159="""", F3159&lt;&gt;""""), ""真實收入"",
  TRUE, ""其他""
)"),"真實支出")</f>
        <v>真實支出</v>
      </c>
      <c r="K3159" s="270">
        <f t="shared" si="2"/>
        <v>-13500</v>
      </c>
      <c r="L3159">
        <f t="shared" si="3"/>
        <v>0</v>
      </c>
    </row>
    <row r="3160">
      <c r="A3160" s="107">
        <f>IFERROR(__xludf.DUMMYFUNCTION("""COMPUTED_VALUE"""),46037.0)</f>
        <v>46037</v>
      </c>
      <c r="B3160" t="str">
        <f>IFERROR(__xludf.DUMMYFUNCTION("""COMPUTED_VALUE"""),"費用 - 匯費 052 (22609)")</f>
        <v>費用 - 匯費 052 (22609)</v>
      </c>
      <c r="C3160" t="str">
        <f>IFERROR(__xludf.DUMMYFUNCTION("""COMPUTED_VALUE"""),"費用 - 匯費")</f>
        <v>費用 - 匯費</v>
      </c>
      <c r="D3160" s="270">
        <f>IFERROR(__xludf.DUMMYFUNCTION("""COMPUTED_VALUE"""),-15.0)</f>
        <v>-15</v>
      </c>
      <c r="E3160" t="str">
        <f>IFERROR(__xludf.DUMMYFUNCTION("""COMPUTED_VALUE"""),"台銀籌備帳戶")</f>
        <v>台銀籌備帳戶</v>
      </c>
      <c r="H3160" s="106" t="str">
        <f t="shared" si="1"/>
        <v>2026-01</v>
      </c>
      <c r="I3160" s="271" t="str">
        <f>IFERROR(__xludf.DUMMYFUNCTION("""COMPUTED_VALUE"""),"貓狗企鵝")</f>
        <v>貓狗企鵝</v>
      </c>
      <c r="J3160" t="str">
        <f>IFERROR(__xludf.DUMMYFUNCTION("IFS(
  AND(REGEXMATCH(E3160, ""台銀籌備帳戶|玉山帳戶""), REGEXMATCH(C3160, ""薪資"")), ""分潤支出"",
  AND(REGEXMATCH(E3160, ""Ben帳戶|Elsa帳戶|Ben代墊|Ariel代墊|中信銀行共用""), REGEXMATCH(F3160, ""Ben帳戶|Elsa帳戶|Ben代墊|Ariel代墊|中信銀行共用"")), ""內部轉帳(忽略)"",
  AND(E3160&lt;&gt;"""", F3160&lt;&gt;"""", N"&amp;"OT(REGEXMATCH(C3160, ""薪資""))), ""內部轉帳(忽略)"",
  REGEXMATCH(C3160, ""薪資""), ""薪資變動(不計入)"",
  REGEXMATCH(C3160, ""押金""), ""押金往來"",
  AND(E3160&lt;&gt;"""", F3160=""""), ""真實支出"",
  AND(E3160="""", F3160&lt;&gt;""""), ""真實收入"",
  TRUE, ""其他""
)"),"真實支出")</f>
        <v>真實支出</v>
      </c>
      <c r="K3160" s="270">
        <f t="shared" si="2"/>
        <v>-15</v>
      </c>
      <c r="L3160">
        <f t="shared" si="3"/>
        <v>0</v>
      </c>
    </row>
    <row r="3161">
      <c r="A3161" s="107">
        <f>IFERROR(__xludf.DUMMYFUNCTION("""COMPUTED_VALUE"""),46037.0)</f>
        <v>46037</v>
      </c>
      <c r="B3161" t="str">
        <f>IFERROR(__xludf.DUMMYFUNCTION("""COMPUTED_VALUE"""),"[中山北Feli家] [陳玉蘭] 大租金")</f>
        <v>[中山北Feli家] [陳玉蘭] 大租金</v>
      </c>
      <c r="C3161" t="str">
        <f>IFERROR(__xludf.DUMMYFUNCTION("""COMPUTED_VALUE"""),"成本 - 大租金")</f>
        <v>成本 - 大租金</v>
      </c>
      <c r="D3161" s="270">
        <f>IFERROR(__xludf.DUMMYFUNCTION("""COMPUTED_VALUE"""),-18000.0)</f>
        <v>-18000</v>
      </c>
      <c r="E3161" t="str">
        <f>IFERROR(__xludf.DUMMYFUNCTION("""COMPUTED_VALUE"""),"台銀籌備帳戶")</f>
        <v>台銀籌備帳戶</v>
      </c>
      <c r="G3161" t="str">
        <f>IFERROR(__xludf.DUMMYFUNCTION("""COMPUTED_VALUE"""),"中山北Feli家")</f>
        <v>中山北Feli家</v>
      </c>
      <c r="H3161" s="106" t="str">
        <f t="shared" si="1"/>
        <v>2026-01</v>
      </c>
      <c r="I3161" s="271" t="str">
        <f>IFERROR(__xludf.DUMMYFUNCTION("""COMPUTED_VALUE"""),"貓狗企鵝")</f>
        <v>貓狗企鵝</v>
      </c>
      <c r="J3161" t="str">
        <f>IFERROR(__xludf.DUMMYFUNCTION("IFS(
  AND(REGEXMATCH(E3161, ""台銀籌備帳戶|玉山帳戶""), REGEXMATCH(C3161, ""薪資"")), ""分潤支出"",
  AND(REGEXMATCH(E3161, ""Ben帳戶|Elsa帳戶|Ben代墊|Ariel代墊|中信銀行共用""), REGEXMATCH(F3161, ""Ben帳戶|Elsa帳戶|Ben代墊|Ariel代墊|中信銀行共用"")), ""內部轉帳(忽略)"",
  AND(E3161&lt;&gt;"""", F3161&lt;&gt;"""", N"&amp;"OT(REGEXMATCH(C3161, ""薪資""))), ""內部轉帳(忽略)"",
  REGEXMATCH(C3161, ""薪資""), ""薪資變動(不計入)"",
  REGEXMATCH(C3161, ""押金""), ""押金往來"",
  AND(E3161&lt;&gt;"""", F3161=""""), ""真實支出"",
  AND(E3161="""", F3161&lt;&gt;""""), ""真實收入"",
  TRUE, ""其他""
)"),"真實支出")</f>
        <v>真實支出</v>
      </c>
      <c r="K3161" s="270">
        <f t="shared" si="2"/>
        <v>-18000</v>
      </c>
      <c r="L3161">
        <f t="shared" si="3"/>
        <v>0</v>
      </c>
    </row>
    <row r="3162">
      <c r="A3162" s="107">
        <f>IFERROR(__xludf.DUMMYFUNCTION("""COMPUTED_VALUE"""),46037.0)</f>
        <v>46037</v>
      </c>
      <c r="B3162" t="str">
        <f>IFERROR(__xludf.DUMMYFUNCTION("""COMPUTED_VALUE"""),"費用 - 匯費 013 (20652)")</f>
        <v>費用 - 匯費 013 (20652)</v>
      </c>
      <c r="C3162" t="str">
        <f>IFERROR(__xludf.DUMMYFUNCTION("""COMPUTED_VALUE"""),"費用 - 匯費")</f>
        <v>費用 - 匯費</v>
      </c>
      <c r="D3162" s="270">
        <f>IFERROR(__xludf.DUMMYFUNCTION("""COMPUTED_VALUE"""),-15.0)</f>
        <v>-15</v>
      </c>
      <c r="E3162" t="str">
        <f>IFERROR(__xludf.DUMMYFUNCTION("""COMPUTED_VALUE"""),"台銀籌備帳戶")</f>
        <v>台銀籌備帳戶</v>
      </c>
      <c r="H3162" s="106" t="str">
        <f t="shared" si="1"/>
        <v>2026-01</v>
      </c>
      <c r="I3162" s="271" t="str">
        <f>IFERROR(__xludf.DUMMYFUNCTION("""COMPUTED_VALUE"""),"貓狗企鵝")</f>
        <v>貓狗企鵝</v>
      </c>
      <c r="J3162" t="str">
        <f>IFERROR(__xludf.DUMMYFUNCTION("IFS(
  AND(REGEXMATCH(E3162, ""台銀籌備帳戶|玉山帳戶""), REGEXMATCH(C3162, ""薪資"")), ""分潤支出"",
  AND(REGEXMATCH(E3162, ""Ben帳戶|Elsa帳戶|Ben代墊|Ariel代墊|中信銀行共用""), REGEXMATCH(F3162, ""Ben帳戶|Elsa帳戶|Ben代墊|Ariel代墊|中信銀行共用"")), ""內部轉帳(忽略)"",
  AND(E3162&lt;&gt;"""", F3162&lt;&gt;"""", N"&amp;"OT(REGEXMATCH(C3162, ""薪資""))), ""內部轉帳(忽略)"",
  REGEXMATCH(C3162, ""薪資""), ""薪資變動(不計入)"",
  REGEXMATCH(C3162, ""押金""), ""押金往來"",
  AND(E3162&lt;&gt;"""", F3162=""""), ""真實支出"",
  AND(E3162="""", F3162&lt;&gt;""""), ""真實收入"",
  TRUE, ""其他""
)"),"真實支出")</f>
        <v>真實支出</v>
      </c>
      <c r="K3162" s="270">
        <f t="shared" si="2"/>
        <v>-15</v>
      </c>
      <c r="L3162">
        <f t="shared" si="3"/>
        <v>0</v>
      </c>
    </row>
    <row r="3163">
      <c r="A3163" s="107">
        <f>IFERROR(__xludf.DUMMYFUNCTION("""COMPUTED_VALUE"""),46037.0)</f>
        <v>46037</v>
      </c>
      <c r="B3163" t="str">
        <f>IFERROR(__xludf.DUMMYFUNCTION("""COMPUTED_VALUE"""),"[景安2分鐘] [王逸荃] 大租金")</f>
        <v>[景安2分鐘] [王逸荃] 大租金</v>
      </c>
      <c r="C3163" t="str">
        <f>IFERROR(__xludf.DUMMYFUNCTION("""COMPUTED_VALUE"""),"成本 - 大租金")</f>
        <v>成本 - 大租金</v>
      </c>
      <c r="D3163" s="270">
        <f>IFERROR(__xludf.DUMMYFUNCTION("""COMPUTED_VALUE"""),-12500.0)</f>
        <v>-12500</v>
      </c>
      <c r="E3163" t="str">
        <f>IFERROR(__xludf.DUMMYFUNCTION("""COMPUTED_VALUE"""),"台銀籌備帳戶")</f>
        <v>台銀籌備帳戶</v>
      </c>
      <c r="G3163" t="str">
        <f>IFERROR(__xludf.DUMMYFUNCTION("""COMPUTED_VALUE"""),"景安2分鐘")</f>
        <v>景安2分鐘</v>
      </c>
      <c r="H3163" s="106" t="str">
        <f t="shared" si="1"/>
        <v>2026-01</v>
      </c>
      <c r="I3163" s="271" t="str">
        <f>IFERROR(__xludf.DUMMYFUNCTION("""COMPUTED_VALUE"""),"貓狗企鵝")</f>
        <v>貓狗企鵝</v>
      </c>
      <c r="J3163" t="str">
        <f>IFERROR(__xludf.DUMMYFUNCTION("IFS(
  AND(REGEXMATCH(E3163, ""台銀籌備帳戶|玉山帳戶""), REGEXMATCH(C3163, ""薪資"")), ""分潤支出"",
  AND(REGEXMATCH(E3163, ""Ben帳戶|Elsa帳戶|Ben代墊|Ariel代墊|中信銀行共用""), REGEXMATCH(F3163, ""Ben帳戶|Elsa帳戶|Ben代墊|Ariel代墊|中信銀行共用"")), ""內部轉帳(忽略)"",
  AND(E3163&lt;&gt;"""", F3163&lt;&gt;"""", N"&amp;"OT(REGEXMATCH(C3163, ""薪資""))), ""內部轉帳(忽略)"",
  REGEXMATCH(C3163, ""薪資""), ""薪資變動(不計入)"",
  REGEXMATCH(C3163, ""押金""), ""押金往來"",
  AND(E3163&lt;&gt;"""", F3163=""""), ""真實支出"",
  AND(E3163="""", F3163&lt;&gt;""""), ""真實收入"",
  TRUE, ""其他""
)"),"真實支出")</f>
        <v>真實支出</v>
      </c>
      <c r="K3163" s="270">
        <f t="shared" si="2"/>
        <v>-12500</v>
      </c>
      <c r="L3163">
        <f t="shared" si="3"/>
        <v>0</v>
      </c>
    </row>
    <row r="3164">
      <c r="A3164" s="107">
        <f>IFERROR(__xludf.DUMMYFUNCTION("""COMPUTED_VALUE"""),46037.0)</f>
        <v>46037</v>
      </c>
      <c r="B3164" t="str">
        <f>IFERROR(__xludf.DUMMYFUNCTION("""COMPUTED_VALUE"""),"費用 - 匯費 822 (06708)")</f>
        <v>費用 - 匯費 822 (06708)</v>
      </c>
      <c r="C3164" t="str">
        <f>IFERROR(__xludf.DUMMYFUNCTION("""COMPUTED_VALUE"""),"費用 - 匯費")</f>
        <v>費用 - 匯費</v>
      </c>
      <c r="D3164" s="270">
        <f>IFERROR(__xludf.DUMMYFUNCTION("""COMPUTED_VALUE"""),-15.0)</f>
        <v>-15</v>
      </c>
      <c r="E3164" t="str">
        <f>IFERROR(__xludf.DUMMYFUNCTION("""COMPUTED_VALUE"""),"台銀籌備帳戶")</f>
        <v>台銀籌備帳戶</v>
      </c>
      <c r="H3164" s="106" t="str">
        <f t="shared" si="1"/>
        <v>2026-01</v>
      </c>
      <c r="I3164" s="271" t="str">
        <f>IFERROR(__xludf.DUMMYFUNCTION("""COMPUTED_VALUE"""),"貓狗企鵝")</f>
        <v>貓狗企鵝</v>
      </c>
      <c r="J3164" t="str">
        <f>IFERROR(__xludf.DUMMYFUNCTION("IFS(
  AND(REGEXMATCH(E3164, ""台銀籌備帳戶|玉山帳戶""), REGEXMATCH(C3164, ""薪資"")), ""分潤支出"",
  AND(REGEXMATCH(E3164, ""Ben帳戶|Elsa帳戶|Ben代墊|Ariel代墊|中信銀行共用""), REGEXMATCH(F3164, ""Ben帳戶|Elsa帳戶|Ben代墊|Ariel代墊|中信銀行共用"")), ""內部轉帳(忽略)"",
  AND(E3164&lt;&gt;"""", F3164&lt;&gt;"""", N"&amp;"OT(REGEXMATCH(C3164, ""薪資""))), ""內部轉帳(忽略)"",
  REGEXMATCH(C3164, ""薪資""), ""薪資變動(不計入)"",
  REGEXMATCH(C3164, ""押金""), ""押金往來"",
  AND(E3164&lt;&gt;"""", F3164=""""), ""真實支出"",
  AND(E3164="""", F3164&lt;&gt;""""), ""真實收入"",
  TRUE, ""其他""
)"),"真實支出")</f>
        <v>真實支出</v>
      </c>
      <c r="K3164" s="270">
        <f t="shared" si="2"/>
        <v>-15</v>
      </c>
      <c r="L3164">
        <f t="shared" si="3"/>
        <v>0</v>
      </c>
    </row>
    <row r="3165">
      <c r="A3165" s="107">
        <f>IFERROR(__xludf.DUMMYFUNCTION("""COMPUTED_VALUE"""),46037.0)</f>
        <v>46037</v>
      </c>
      <c r="B3165" t="str">
        <f>IFERROR(__xludf.DUMMYFUNCTION("""COMPUTED_VALUE"""),"[金龍帽子先生] [郭娟伶] 大租金")</f>
        <v>[金龍帽子先生] [郭娟伶] 大租金</v>
      </c>
      <c r="C3165" t="str">
        <f>IFERROR(__xludf.DUMMYFUNCTION("""COMPUTED_VALUE"""),"成本 - 大租金")</f>
        <v>成本 - 大租金</v>
      </c>
      <c r="D3165" s="270">
        <f>IFERROR(__xludf.DUMMYFUNCTION("""COMPUTED_VALUE"""),-17750.0)</f>
        <v>-17750</v>
      </c>
      <c r="E3165" t="str">
        <f>IFERROR(__xludf.DUMMYFUNCTION("""COMPUTED_VALUE"""),"台銀籌備帳戶")</f>
        <v>台銀籌備帳戶</v>
      </c>
      <c r="G3165" t="str">
        <f>IFERROR(__xludf.DUMMYFUNCTION("""COMPUTED_VALUE"""),"金龍帽子先生")</f>
        <v>金龍帽子先生</v>
      </c>
      <c r="H3165" s="106" t="str">
        <f t="shared" si="1"/>
        <v>2026-01</v>
      </c>
      <c r="I3165" s="271" t="str">
        <f>IFERROR(__xludf.DUMMYFUNCTION("""COMPUTED_VALUE"""),"貓狗企鵝")</f>
        <v>貓狗企鵝</v>
      </c>
      <c r="J3165" t="str">
        <f>IFERROR(__xludf.DUMMYFUNCTION("IFS(
  AND(REGEXMATCH(E3165, ""台銀籌備帳戶|玉山帳戶""), REGEXMATCH(C3165, ""薪資"")), ""分潤支出"",
  AND(REGEXMATCH(E3165, ""Ben帳戶|Elsa帳戶|Ben代墊|Ariel代墊|中信銀行共用""), REGEXMATCH(F3165, ""Ben帳戶|Elsa帳戶|Ben代墊|Ariel代墊|中信銀行共用"")), ""內部轉帳(忽略)"",
  AND(E3165&lt;&gt;"""", F3165&lt;&gt;"""", N"&amp;"OT(REGEXMATCH(C3165, ""薪資""))), ""內部轉帳(忽略)"",
  REGEXMATCH(C3165, ""薪資""), ""薪資變動(不計入)"",
  REGEXMATCH(C3165, ""押金""), ""押金往來"",
  AND(E3165&lt;&gt;"""", F3165=""""), ""真實支出"",
  AND(E3165="""", F3165&lt;&gt;""""), ""真實收入"",
  TRUE, ""其他""
)"),"真實支出")</f>
        <v>真實支出</v>
      </c>
      <c r="K3165" s="270">
        <f t="shared" si="2"/>
        <v>-17750</v>
      </c>
      <c r="L3165">
        <f t="shared" si="3"/>
        <v>0</v>
      </c>
    </row>
    <row r="3166">
      <c r="A3166" s="107">
        <f>IFERROR(__xludf.DUMMYFUNCTION("""COMPUTED_VALUE"""),46037.0)</f>
        <v>46037</v>
      </c>
      <c r="B3166" t="str">
        <f>IFERROR(__xludf.DUMMYFUNCTION("""COMPUTED_VALUE"""),"費用 - 匯費 053 (05202)")</f>
        <v>費用 - 匯費 053 (05202)</v>
      </c>
      <c r="C3166" t="str">
        <f>IFERROR(__xludf.DUMMYFUNCTION("""COMPUTED_VALUE"""),"費用 - 匯費")</f>
        <v>費用 - 匯費</v>
      </c>
      <c r="D3166" s="270">
        <f>IFERROR(__xludf.DUMMYFUNCTION("""COMPUTED_VALUE"""),-15.0)</f>
        <v>-15</v>
      </c>
      <c r="E3166" t="str">
        <f>IFERROR(__xludf.DUMMYFUNCTION("""COMPUTED_VALUE"""),"台銀籌備帳戶")</f>
        <v>台銀籌備帳戶</v>
      </c>
      <c r="H3166" s="106" t="str">
        <f t="shared" si="1"/>
        <v>2026-01</v>
      </c>
      <c r="I3166" s="271" t="str">
        <f>IFERROR(__xludf.DUMMYFUNCTION("""COMPUTED_VALUE"""),"貓狗企鵝")</f>
        <v>貓狗企鵝</v>
      </c>
      <c r="J3166" t="str">
        <f>IFERROR(__xludf.DUMMYFUNCTION("IFS(
  AND(REGEXMATCH(E3166, ""台銀籌備帳戶|玉山帳戶""), REGEXMATCH(C3166, ""薪資"")), ""分潤支出"",
  AND(REGEXMATCH(E3166, ""Ben帳戶|Elsa帳戶|Ben代墊|Ariel代墊|中信銀行共用""), REGEXMATCH(F3166, ""Ben帳戶|Elsa帳戶|Ben代墊|Ariel代墊|中信銀行共用"")), ""內部轉帳(忽略)"",
  AND(E3166&lt;&gt;"""", F3166&lt;&gt;"""", N"&amp;"OT(REGEXMATCH(C3166, ""薪資""))), ""內部轉帳(忽略)"",
  REGEXMATCH(C3166, ""薪資""), ""薪資變動(不計入)"",
  REGEXMATCH(C3166, ""押金""), ""押金往來"",
  AND(E3166&lt;&gt;"""", F3166=""""), ""真實支出"",
  AND(E3166="""", F3166&lt;&gt;""""), ""真實收入"",
  TRUE, ""其他""
)"),"真實支出")</f>
        <v>真實支出</v>
      </c>
      <c r="K3166" s="270">
        <f t="shared" si="2"/>
        <v>-15</v>
      </c>
      <c r="L3166">
        <f t="shared" si="3"/>
        <v>0</v>
      </c>
    </row>
    <row r="3167">
      <c r="A3167" s="107">
        <f>IFERROR(__xludf.DUMMYFUNCTION("""COMPUTED_VALUE"""),46037.0)</f>
        <v>46037</v>
      </c>
      <c r="B3167" t="str">
        <f>IFERROR(__xludf.DUMMYFUNCTION("""COMPUTED_VALUE"""),"[大湖山莊] [陳彩霞] 大租金")</f>
        <v>[大湖山莊] [陳彩霞] 大租金</v>
      </c>
      <c r="C3167" t="str">
        <f>IFERROR(__xludf.DUMMYFUNCTION("""COMPUTED_VALUE"""),"成本 - 大租金")</f>
        <v>成本 - 大租金</v>
      </c>
      <c r="D3167" s="270">
        <f>IFERROR(__xludf.DUMMYFUNCTION("""COMPUTED_VALUE"""),-19400.0)</f>
        <v>-19400</v>
      </c>
      <c r="E3167" t="str">
        <f>IFERROR(__xludf.DUMMYFUNCTION("""COMPUTED_VALUE"""),"台銀籌備帳戶")</f>
        <v>台銀籌備帳戶</v>
      </c>
      <c r="G3167" t="str">
        <f>IFERROR(__xludf.DUMMYFUNCTION("""COMPUTED_VALUE"""),"大湖山莊")</f>
        <v>大湖山莊</v>
      </c>
      <c r="H3167" s="106" t="str">
        <f t="shared" si="1"/>
        <v>2026-01</v>
      </c>
      <c r="I3167" s="271" t="str">
        <f>IFERROR(__xludf.DUMMYFUNCTION("""COMPUTED_VALUE"""),"貓狗企鵝")</f>
        <v>貓狗企鵝</v>
      </c>
      <c r="J3167" t="str">
        <f>IFERROR(__xludf.DUMMYFUNCTION("IFS(
  AND(REGEXMATCH(E3167, ""台銀籌備帳戶|玉山帳戶""), REGEXMATCH(C3167, ""薪資"")), ""分潤支出"",
  AND(REGEXMATCH(E3167, ""Ben帳戶|Elsa帳戶|Ben代墊|Ariel代墊|中信銀行共用""), REGEXMATCH(F3167, ""Ben帳戶|Elsa帳戶|Ben代墊|Ariel代墊|中信銀行共用"")), ""內部轉帳(忽略)"",
  AND(E3167&lt;&gt;"""", F3167&lt;&gt;"""", N"&amp;"OT(REGEXMATCH(C3167, ""薪資""))), ""內部轉帳(忽略)"",
  REGEXMATCH(C3167, ""薪資""), ""薪資變動(不計入)"",
  REGEXMATCH(C3167, ""押金""), ""押金往來"",
  AND(E3167&lt;&gt;"""", F3167=""""), ""真實支出"",
  AND(E3167="""", F3167&lt;&gt;""""), ""真實收入"",
  TRUE, ""其他""
)"),"真實支出")</f>
        <v>真實支出</v>
      </c>
      <c r="K3167" s="270">
        <f t="shared" si="2"/>
        <v>-19400</v>
      </c>
      <c r="L3167">
        <f t="shared" si="3"/>
        <v>0</v>
      </c>
    </row>
    <row r="3168">
      <c r="A3168" s="107">
        <f>IFERROR(__xludf.DUMMYFUNCTION("""COMPUTED_VALUE"""),46037.0)</f>
        <v>46037</v>
      </c>
      <c r="B3168" t="str">
        <f>IFERROR(__xludf.DUMMYFUNCTION("""COMPUTED_VALUE"""),"費用 - 匯費 807 (06659)")</f>
        <v>費用 - 匯費 807 (06659)</v>
      </c>
      <c r="C3168" t="str">
        <f>IFERROR(__xludf.DUMMYFUNCTION("""COMPUTED_VALUE"""),"費用 - 匯費")</f>
        <v>費用 - 匯費</v>
      </c>
      <c r="D3168" s="270">
        <f>IFERROR(__xludf.DUMMYFUNCTION("""COMPUTED_VALUE"""),-15.0)</f>
        <v>-15</v>
      </c>
      <c r="E3168" t="str">
        <f>IFERROR(__xludf.DUMMYFUNCTION("""COMPUTED_VALUE"""),"台銀籌備帳戶")</f>
        <v>台銀籌備帳戶</v>
      </c>
      <c r="H3168" s="106" t="str">
        <f t="shared" si="1"/>
        <v>2026-01</v>
      </c>
      <c r="I3168" s="271" t="str">
        <f>IFERROR(__xludf.DUMMYFUNCTION("""COMPUTED_VALUE"""),"貓狗企鵝")</f>
        <v>貓狗企鵝</v>
      </c>
      <c r="J3168" t="str">
        <f>IFERROR(__xludf.DUMMYFUNCTION("IFS(
  AND(REGEXMATCH(E3168, ""台銀籌備帳戶|玉山帳戶""), REGEXMATCH(C3168, ""薪資"")), ""分潤支出"",
  AND(REGEXMATCH(E3168, ""Ben帳戶|Elsa帳戶|Ben代墊|Ariel代墊|中信銀行共用""), REGEXMATCH(F3168, ""Ben帳戶|Elsa帳戶|Ben代墊|Ariel代墊|中信銀行共用"")), ""內部轉帳(忽略)"",
  AND(E3168&lt;&gt;"""", F3168&lt;&gt;"""", N"&amp;"OT(REGEXMATCH(C3168, ""薪資""))), ""內部轉帳(忽略)"",
  REGEXMATCH(C3168, ""薪資""), ""薪資變動(不計入)"",
  REGEXMATCH(C3168, ""押金""), ""押金往來"",
  AND(E3168&lt;&gt;"""", F3168=""""), ""真實支出"",
  AND(E3168="""", F3168&lt;&gt;""""), ""真實收入"",
  TRUE, ""其他""
)"),"真實支出")</f>
        <v>真實支出</v>
      </c>
      <c r="K3168" s="270">
        <f t="shared" si="2"/>
        <v>-15</v>
      </c>
      <c r="L3168">
        <f t="shared" si="3"/>
        <v>0</v>
      </c>
    </row>
    <row r="3169">
      <c r="A3169" s="107">
        <f>IFERROR(__xludf.DUMMYFUNCTION("""COMPUTED_VALUE"""),46037.0)</f>
        <v>46037</v>
      </c>
      <c r="B3169" t="str">
        <f>IFERROR(__xludf.DUMMYFUNCTION("""COMPUTED_VALUE"""),"[哈拉對面] [陳哲聰] 大租金")</f>
        <v>[哈拉對面] [陳哲聰] 大租金</v>
      </c>
      <c r="C3169" t="str">
        <f>IFERROR(__xludf.DUMMYFUNCTION("""COMPUTED_VALUE"""),"成本 - 大租金")</f>
        <v>成本 - 大租金</v>
      </c>
      <c r="D3169" s="270">
        <f>IFERROR(__xludf.DUMMYFUNCTION("""COMPUTED_VALUE"""),-13000.0)</f>
        <v>-13000</v>
      </c>
      <c r="E3169" t="str">
        <f>IFERROR(__xludf.DUMMYFUNCTION("""COMPUTED_VALUE"""),"台銀籌備帳戶")</f>
        <v>台銀籌備帳戶</v>
      </c>
      <c r="G3169" t="str">
        <f>IFERROR(__xludf.DUMMYFUNCTION("""COMPUTED_VALUE"""),"哈拉對面")</f>
        <v>哈拉對面</v>
      </c>
      <c r="H3169" s="106" t="str">
        <f t="shared" si="1"/>
        <v>2026-01</v>
      </c>
      <c r="I3169" s="271" t="str">
        <f>IFERROR(__xludf.DUMMYFUNCTION("""COMPUTED_VALUE"""),"貓狗企鵝")</f>
        <v>貓狗企鵝</v>
      </c>
      <c r="J3169" t="str">
        <f>IFERROR(__xludf.DUMMYFUNCTION("IFS(
  AND(REGEXMATCH(E3169, ""台銀籌備帳戶|玉山帳戶""), REGEXMATCH(C3169, ""薪資"")), ""分潤支出"",
  AND(REGEXMATCH(E3169, ""Ben帳戶|Elsa帳戶|Ben代墊|Ariel代墊|中信銀行共用""), REGEXMATCH(F3169, ""Ben帳戶|Elsa帳戶|Ben代墊|Ariel代墊|中信銀行共用"")), ""內部轉帳(忽略)"",
  AND(E3169&lt;&gt;"""", F3169&lt;&gt;"""", N"&amp;"OT(REGEXMATCH(C3169, ""薪資""))), ""內部轉帳(忽略)"",
  REGEXMATCH(C3169, ""薪資""), ""薪資變動(不計入)"",
  REGEXMATCH(C3169, ""押金""), ""押金往來"",
  AND(E3169&lt;&gt;"""", F3169=""""), ""真實支出"",
  AND(E3169="""", F3169&lt;&gt;""""), ""真實收入"",
  TRUE, ""其他""
)"),"真實支出")</f>
        <v>真實支出</v>
      </c>
      <c r="K3169" s="270">
        <f t="shared" si="2"/>
        <v>-13000</v>
      </c>
      <c r="L3169">
        <f t="shared" si="3"/>
        <v>0</v>
      </c>
    </row>
    <row r="3170">
      <c r="A3170" s="107">
        <f>IFERROR(__xludf.DUMMYFUNCTION("""COMPUTED_VALUE"""),46037.0)</f>
        <v>46037</v>
      </c>
      <c r="B3170" t="str">
        <f>IFERROR(__xludf.DUMMYFUNCTION("""COMPUTED_VALUE"""),"費用 - 匯費 700 (92128)")</f>
        <v>費用 - 匯費 700 (92128)</v>
      </c>
      <c r="C3170" t="str">
        <f>IFERROR(__xludf.DUMMYFUNCTION("""COMPUTED_VALUE"""),"費用 - 匯費")</f>
        <v>費用 - 匯費</v>
      </c>
      <c r="D3170" s="270">
        <f>IFERROR(__xludf.DUMMYFUNCTION("""COMPUTED_VALUE"""),-15.0)</f>
        <v>-15</v>
      </c>
      <c r="E3170" t="str">
        <f>IFERROR(__xludf.DUMMYFUNCTION("""COMPUTED_VALUE"""),"台銀籌備帳戶")</f>
        <v>台銀籌備帳戶</v>
      </c>
      <c r="H3170" s="106" t="str">
        <f t="shared" si="1"/>
        <v>2026-01</v>
      </c>
      <c r="I3170" s="271" t="str">
        <f>IFERROR(__xludf.DUMMYFUNCTION("""COMPUTED_VALUE"""),"貓狗企鵝")</f>
        <v>貓狗企鵝</v>
      </c>
      <c r="J3170" t="str">
        <f>IFERROR(__xludf.DUMMYFUNCTION("IFS(
  AND(REGEXMATCH(E3170, ""台銀籌備帳戶|玉山帳戶""), REGEXMATCH(C3170, ""薪資"")), ""分潤支出"",
  AND(REGEXMATCH(E3170, ""Ben帳戶|Elsa帳戶|Ben代墊|Ariel代墊|中信銀行共用""), REGEXMATCH(F3170, ""Ben帳戶|Elsa帳戶|Ben代墊|Ariel代墊|中信銀行共用"")), ""內部轉帳(忽略)"",
  AND(E3170&lt;&gt;"""", F3170&lt;&gt;"""", N"&amp;"OT(REGEXMATCH(C3170, ""薪資""))), ""內部轉帳(忽略)"",
  REGEXMATCH(C3170, ""薪資""), ""薪資變動(不計入)"",
  REGEXMATCH(C3170, ""押金""), ""押金往來"",
  AND(E3170&lt;&gt;"""", F3170=""""), ""真實支出"",
  AND(E3170="""", F3170&lt;&gt;""""), ""真實收入"",
  TRUE, ""其他""
)"),"真實支出")</f>
        <v>真實支出</v>
      </c>
      <c r="K3170" s="270">
        <f t="shared" si="2"/>
        <v>-15</v>
      </c>
      <c r="L3170">
        <f t="shared" si="3"/>
        <v>0</v>
      </c>
    </row>
    <row r="3171">
      <c r="A3171" s="107">
        <f>IFERROR(__xludf.DUMMYFUNCTION("""COMPUTED_VALUE"""),46037.0)</f>
        <v>46037</v>
      </c>
      <c r="B3171" t="str">
        <f>IFERROR(__xludf.DUMMYFUNCTION("""COMPUTED_VALUE"""),"[北醫醫師府] [陳俊良] 大租金")</f>
        <v>[北醫醫師府] [陳俊良] 大租金</v>
      </c>
      <c r="C3171" t="str">
        <f>IFERROR(__xludf.DUMMYFUNCTION("""COMPUTED_VALUE"""),"成本 - 大租金")</f>
        <v>成本 - 大租金</v>
      </c>
      <c r="D3171" s="270">
        <f>IFERROR(__xludf.DUMMYFUNCTION("""COMPUTED_VALUE"""),-12800.0)</f>
        <v>-12800</v>
      </c>
      <c r="E3171" t="str">
        <f>IFERROR(__xludf.DUMMYFUNCTION("""COMPUTED_VALUE"""),"台銀籌備帳戶")</f>
        <v>台銀籌備帳戶</v>
      </c>
      <c r="G3171" t="str">
        <f>IFERROR(__xludf.DUMMYFUNCTION("""COMPUTED_VALUE"""),"北醫醫師府")</f>
        <v>北醫醫師府</v>
      </c>
      <c r="H3171" s="106" t="str">
        <f t="shared" si="1"/>
        <v>2026-01</v>
      </c>
      <c r="I3171" s="271" t="str">
        <f>IFERROR(__xludf.DUMMYFUNCTION("""COMPUTED_VALUE"""),"貓狗企鵝")</f>
        <v>貓狗企鵝</v>
      </c>
      <c r="J3171" t="str">
        <f>IFERROR(__xludf.DUMMYFUNCTION("IFS(
  AND(REGEXMATCH(E3171, ""台銀籌備帳戶|玉山帳戶""), REGEXMATCH(C3171, ""薪資"")), ""分潤支出"",
  AND(REGEXMATCH(E3171, ""Ben帳戶|Elsa帳戶|Ben代墊|Ariel代墊|中信銀行共用""), REGEXMATCH(F3171, ""Ben帳戶|Elsa帳戶|Ben代墊|Ariel代墊|中信銀行共用"")), ""內部轉帳(忽略)"",
  AND(E3171&lt;&gt;"""", F3171&lt;&gt;"""", N"&amp;"OT(REGEXMATCH(C3171, ""薪資""))), ""內部轉帳(忽略)"",
  REGEXMATCH(C3171, ""薪資""), ""薪資變動(不計入)"",
  REGEXMATCH(C3171, ""押金""), ""押金往來"",
  AND(E3171&lt;&gt;"""", F3171=""""), ""真實支出"",
  AND(E3171="""", F3171&lt;&gt;""""), ""真實收入"",
  TRUE, ""其他""
)"),"真實支出")</f>
        <v>真實支出</v>
      </c>
      <c r="K3171" s="270">
        <f t="shared" si="2"/>
        <v>-12800</v>
      </c>
      <c r="L3171">
        <f t="shared" si="3"/>
        <v>0</v>
      </c>
    </row>
    <row r="3172">
      <c r="A3172" s="107">
        <f>IFERROR(__xludf.DUMMYFUNCTION("""COMPUTED_VALUE"""),46037.0)</f>
        <v>46037</v>
      </c>
      <c r="B3172" t="str">
        <f>IFERROR(__xludf.DUMMYFUNCTION("""COMPUTED_VALUE"""),"費用 - 匯費 013 (43662)")</f>
        <v>費用 - 匯費 013 (43662)</v>
      </c>
      <c r="C3172" t="str">
        <f>IFERROR(__xludf.DUMMYFUNCTION("""COMPUTED_VALUE"""),"費用 - 匯費")</f>
        <v>費用 - 匯費</v>
      </c>
      <c r="D3172" s="270">
        <f>IFERROR(__xludf.DUMMYFUNCTION("""COMPUTED_VALUE"""),-15.0)</f>
        <v>-15</v>
      </c>
      <c r="E3172" t="str">
        <f>IFERROR(__xludf.DUMMYFUNCTION("""COMPUTED_VALUE"""),"台銀籌備帳戶")</f>
        <v>台銀籌備帳戶</v>
      </c>
      <c r="H3172" s="106" t="str">
        <f t="shared" si="1"/>
        <v>2026-01</v>
      </c>
      <c r="I3172" s="271" t="str">
        <f>IFERROR(__xludf.DUMMYFUNCTION("""COMPUTED_VALUE"""),"貓狗企鵝")</f>
        <v>貓狗企鵝</v>
      </c>
      <c r="J3172" t="str">
        <f>IFERROR(__xludf.DUMMYFUNCTION("IFS(
  AND(REGEXMATCH(E3172, ""台銀籌備帳戶|玉山帳戶""), REGEXMATCH(C3172, ""薪資"")), ""分潤支出"",
  AND(REGEXMATCH(E3172, ""Ben帳戶|Elsa帳戶|Ben代墊|Ariel代墊|中信銀行共用""), REGEXMATCH(F3172, ""Ben帳戶|Elsa帳戶|Ben代墊|Ariel代墊|中信銀行共用"")), ""內部轉帳(忽略)"",
  AND(E3172&lt;&gt;"""", F3172&lt;&gt;"""", N"&amp;"OT(REGEXMATCH(C3172, ""薪資""))), ""內部轉帳(忽略)"",
  REGEXMATCH(C3172, ""薪資""), ""薪資變動(不計入)"",
  REGEXMATCH(C3172, ""押金""), ""押金往來"",
  AND(E3172&lt;&gt;"""", F3172=""""), ""真實支出"",
  AND(E3172="""", F3172&lt;&gt;""""), ""真實收入"",
  TRUE, ""其他""
)"),"真實支出")</f>
        <v>真實支出</v>
      </c>
      <c r="K3172" s="270">
        <f t="shared" si="2"/>
        <v>-15</v>
      </c>
      <c r="L3172">
        <f t="shared" si="3"/>
        <v>0</v>
      </c>
    </row>
    <row r="3173">
      <c r="A3173" s="107">
        <f>IFERROR(__xludf.DUMMYFUNCTION("""COMPUTED_VALUE"""),46037.0)</f>
        <v>46037</v>
      </c>
      <c r="B3173" t="str">
        <f>IFERROR(__xludf.DUMMYFUNCTION("""COMPUTED_VALUE"""),"[中山北娘家旁] [方彥捷] 大租金")</f>
        <v>[中山北娘家旁] [方彥捷] 大租金</v>
      </c>
      <c r="C3173" t="str">
        <f>IFERROR(__xludf.DUMMYFUNCTION("""COMPUTED_VALUE"""),"成本 - 大租金")</f>
        <v>成本 - 大租金</v>
      </c>
      <c r="D3173" s="270">
        <f>IFERROR(__xludf.DUMMYFUNCTION("""COMPUTED_VALUE"""),-11500.0)</f>
        <v>-11500</v>
      </c>
      <c r="E3173" t="str">
        <f>IFERROR(__xludf.DUMMYFUNCTION("""COMPUTED_VALUE"""),"台銀籌備帳戶")</f>
        <v>台銀籌備帳戶</v>
      </c>
      <c r="G3173" t="str">
        <f>IFERROR(__xludf.DUMMYFUNCTION("""COMPUTED_VALUE"""),"中山北娘家旁")</f>
        <v>中山北娘家旁</v>
      </c>
      <c r="H3173" s="106" t="str">
        <f t="shared" si="1"/>
        <v>2026-01</v>
      </c>
      <c r="I3173" s="271" t="str">
        <f>IFERROR(__xludf.DUMMYFUNCTION("""COMPUTED_VALUE"""),"貓狗企鵝")</f>
        <v>貓狗企鵝</v>
      </c>
      <c r="J3173" t="str">
        <f>IFERROR(__xludf.DUMMYFUNCTION("IFS(
  AND(REGEXMATCH(E3173, ""台銀籌備帳戶|玉山帳戶""), REGEXMATCH(C3173, ""薪資"")), ""分潤支出"",
  AND(REGEXMATCH(E3173, ""Ben帳戶|Elsa帳戶|Ben代墊|Ariel代墊|中信銀行共用""), REGEXMATCH(F3173, ""Ben帳戶|Elsa帳戶|Ben代墊|Ariel代墊|中信銀行共用"")), ""內部轉帳(忽略)"",
  AND(E3173&lt;&gt;"""", F3173&lt;&gt;"""", N"&amp;"OT(REGEXMATCH(C3173, ""薪資""))), ""內部轉帳(忽略)"",
  REGEXMATCH(C3173, ""薪資""), ""薪資變動(不計入)"",
  REGEXMATCH(C3173, ""押金""), ""押金往來"",
  AND(E3173&lt;&gt;"""", F3173=""""), ""真實支出"",
  AND(E3173="""", F3173&lt;&gt;""""), ""真實收入"",
  TRUE, ""其他""
)"),"真實支出")</f>
        <v>真實支出</v>
      </c>
      <c r="K3173" s="270">
        <f t="shared" si="2"/>
        <v>-11500</v>
      </c>
      <c r="L3173">
        <f t="shared" si="3"/>
        <v>0</v>
      </c>
    </row>
    <row r="3174">
      <c r="A3174" s="107">
        <f>IFERROR(__xludf.DUMMYFUNCTION("""COMPUTED_VALUE"""),46037.0)</f>
        <v>46037</v>
      </c>
      <c r="B3174" t="str">
        <f>IFERROR(__xludf.DUMMYFUNCTION("""COMPUTED_VALUE"""),"費用 - 匯費 012 (46295)")</f>
        <v>費用 - 匯費 012 (46295)</v>
      </c>
      <c r="C3174" t="str">
        <f>IFERROR(__xludf.DUMMYFUNCTION("""COMPUTED_VALUE"""),"費用 - 匯費")</f>
        <v>費用 - 匯費</v>
      </c>
      <c r="D3174" s="270">
        <f>IFERROR(__xludf.DUMMYFUNCTION("""COMPUTED_VALUE"""),-15.0)</f>
        <v>-15</v>
      </c>
      <c r="E3174" t="str">
        <f>IFERROR(__xludf.DUMMYFUNCTION("""COMPUTED_VALUE"""),"台銀籌備帳戶")</f>
        <v>台銀籌備帳戶</v>
      </c>
      <c r="H3174" s="106" t="str">
        <f t="shared" si="1"/>
        <v>2026-01</v>
      </c>
      <c r="I3174" s="271" t="str">
        <f>IFERROR(__xludf.DUMMYFUNCTION("""COMPUTED_VALUE"""),"貓狗企鵝")</f>
        <v>貓狗企鵝</v>
      </c>
      <c r="J3174" t="str">
        <f>IFERROR(__xludf.DUMMYFUNCTION("IFS(
  AND(REGEXMATCH(E3174, ""台銀籌備帳戶|玉山帳戶""), REGEXMATCH(C3174, ""薪資"")), ""分潤支出"",
  AND(REGEXMATCH(E3174, ""Ben帳戶|Elsa帳戶|Ben代墊|Ariel代墊|中信銀行共用""), REGEXMATCH(F3174, ""Ben帳戶|Elsa帳戶|Ben代墊|Ariel代墊|中信銀行共用"")), ""內部轉帳(忽略)"",
  AND(E3174&lt;&gt;"""", F3174&lt;&gt;"""", N"&amp;"OT(REGEXMATCH(C3174, ""薪資""))), ""內部轉帳(忽略)"",
  REGEXMATCH(C3174, ""薪資""), ""薪資變動(不計入)"",
  REGEXMATCH(C3174, ""押金""), ""押金往來"",
  AND(E3174&lt;&gt;"""", F3174=""""), ""真實支出"",
  AND(E3174="""", F3174&lt;&gt;""""), ""真實收入"",
  TRUE, ""其他""
)"),"真實支出")</f>
        <v>真實支出</v>
      </c>
      <c r="K3174" s="270">
        <f t="shared" si="2"/>
        <v>-15</v>
      </c>
      <c r="L3174">
        <f t="shared" si="3"/>
        <v>0</v>
      </c>
    </row>
    <row r="3175">
      <c r="A3175" s="107">
        <f>IFERROR(__xludf.DUMMYFUNCTION("""COMPUTED_VALUE"""),46037.0)</f>
        <v>46037</v>
      </c>
      <c r="B3175" t="str">
        <f>IFERROR(__xludf.DUMMYFUNCTION("""COMPUTED_VALUE"""),"[永春四號] [郭宗仁] 大租金")</f>
        <v>[永春四號] [郭宗仁] 大租金</v>
      </c>
      <c r="C3175" t="str">
        <f>IFERROR(__xludf.DUMMYFUNCTION("""COMPUTED_VALUE"""),"成本 - 大租金")</f>
        <v>成本 - 大租金</v>
      </c>
      <c r="D3175" s="270">
        <f>IFERROR(__xludf.DUMMYFUNCTION("""COMPUTED_VALUE"""),-17000.0)</f>
        <v>-17000</v>
      </c>
      <c r="E3175" t="str">
        <f>IFERROR(__xludf.DUMMYFUNCTION("""COMPUTED_VALUE"""),"台銀籌備帳戶")</f>
        <v>台銀籌備帳戶</v>
      </c>
      <c r="G3175" t="str">
        <f>IFERROR(__xludf.DUMMYFUNCTION("""COMPUTED_VALUE"""),"永春四號")</f>
        <v>永春四號</v>
      </c>
      <c r="H3175" s="106" t="str">
        <f t="shared" si="1"/>
        <v>2026-01</v>
      </c>
      <c r="I3175" s="271" t="str">
        <f>IFERROR(__xludf.DUMMYFUNCTION("""COMPUTED_VALUE"""),"貓狗企鵝")</f>
        <v>貓狗企鵝</v>
      </c>
      <c r="J3175" t="str">
        <f>IFERROR(__xludf.DUMMYFUNCTION("IFS(
  AND(REGEXMATCH(E3175, ""台銀籌備帳戶|玉山帳戶""), REGEXMATCH(C3175, ""薪資"")), ""分潤支出"",
  AND(REGEXMATCH(E3175, ""Ben帳戶|Elsa帳戶|Ben代墊|Ariel代墊|中信銀行共用""), REGEXMATCH(F3175, ""Ben帳戶|Elsa帳戶|Ben代墊|Ariel代墊|中信銀行共用"")), ""內部轉帳(忽略)"",
  AND(E3175&lt;&gt;"""", F3175&lt;&gt;"""", N"&amp;"OT(REGEXMATCH(C3175, ""薪資""))), ""內部轉帳(忽略)"",
  REGEXMATCH(C3175, ""薪資""), ""薪資變動(不計入)"",
  REGEXMATCH(C3175, ""押金""), ""押金往來"",
  AND(E3175&lt;&gt;"""", F3175=""""), ""真實支出"",
  AND(E3175="""", F3175&lt;&gt;""""), ""真實收入"",
  TRUE, ""其他""
)"),"真實支出")</f>
        <v>真實支出</v>
      </c>
      <c r="K3175" s="270">
        <f t="shared" si="2"/>
        <v>-17000</v>
      </c>
      <c r="L3175">
        <f t="shared" si="3"/>
        <v>0</v>
      </c>
    </row>
    <row r="3176">
      <c r="A3176" s="107">
        <f>IFERROR(__xludf.DUMMYFUNCTION("""COMPUTED_VALUE"""),46041.0)</f>
        <v>46041</v>
      </c>
      <c r="B3176" t="str">
        <f>IFERROR(__xludf.DUMMYFUNCTION("""COMPUTED_VALUE"""),"費用 - 匯費 812 (86639)")</f>
        <v>費用 - 匯費 812 (86639)</v>
      </c>
      <c r="C3176" t="str">
        <f>IFERROR(__xludf.DUMMYFUNCTION("""COMPUTED_VALUE"""),"費用 - 匯費")</f>
        <v>費用 - 匯費</v>
      </c>
      <c r="D3176" s="270">
        <f>IFERROR(__xludf.DUMMYFUNCTION("""COMPUTED_VALUE"""),-15.0)</f>
        <v>-15</v>
      </c>
      <c r="E3176" t="str">
        <f>IFERROR(__xludf.DUMMYFUNCTION("""COMPUTED_VALUE"""),"台銀籌備帳戶")</f>
        <v>台銀籌備帳戶</v>
      </c>
      <c r="H3176" s="106" t="str">
        <f t="shared" si="1"/>
        <v>2026-01</v>
      </c>
      <c r="I3176" s="271" t="str">
        <f>IFERROR(__xludf.DUMMYFUNCTION("""COMPUTED_VALUE"""),"貓狗企鵝")</f>
        <v>貓狗企鵝</v>
      </c>
      <c r="J3176" t="str">
        <f>IFERROR(__xludf.DUMMYFUNCTION("IFS(
  AND(REGEXMATCH(E3176, ""台銀籌備帳戶|玉山帳戶""), REGEXMATCH(C3176, ""薪資"")), ""分潤支出"",
  AND(REGEXMATCH(E3176, ""Ben帳戶|Elsa帳戶|Ben代墊|Ariel代墊|中信銀行共用""), REGEXMATCH(F3176, ""Ben帳戶|Elsa帳戶|Ben代墊|Ariel代墊|中信銀行共用"")), ""內部轉帳(忽略)"",
  AND(E3176&lt;&gt;"""", F3176&lt;&gt;"""", N"&amp;"OT(REGEXMATCH(C3176, ""薪資""))), ""內部轉帳(忽略)"",
  REGEXMATCH(C3176, ""薪資""), ""薪資變動(不計入)"",
  REGEXMATCH(C3176, ""押金""), ""押金往來"",
  AND(E3176&lt;&gt;"""", F3176=""""), ""真實支出"",
  AND(E3176="""", F3176&lt;&gt;""""), ""真實收入"",
  TRUE, ""其他""
)"),"真實支出")</f>
        <v>真實支出</v>
      </c>
      <c r="K3176" s="270">
        <f t="shared" si="2"/>
        <v>-15</v>
      </c>
      <c r="L3176">
        <f t="shared" si="3"/>
        <v>0</v>
      </c>
    </row>
    <row r="3177">
      <c r="A3177" s="107">
        <f>IFERROR(__xludf.DUMMYFUNCTION("""COMPUTED_VALUE"""),46041.0)</f>
        <v>46041</v>
      </c>
      <c r="B3177" t="str">
        <f>IFERROR(__xludf.DUMMYFUNCTION("""COMPUTED_VALUE"""),"螢光永春停水 ' 【未分類支出】")</f>
        <v>螢光永春停水 ' 【未分類支出】</v>
      </c>
      <c r="C3177" t="str">
        <f>IFERROR(__xludf.DUMMYFUNCTION("""COMPUTED_VALUE"""),"成本 - 租後修繕")</f>
        <v>成本 - 租後修繕</v>
      </c>
      <c r="D3177" s="270">
        <f>IFERROR(__xludf.DUMMYFUNCTION("""COMPUTED_VALUE"""),-3150.0)</f>
        <v>-3150</v>
      </c>
      <c r="E3177" t="str">
        <f>IFERROR(__xludf.DUMMYFUNCTION("""COMPUTED_VALUE"""),"台銀籌備帳戶")</f>
        <v>台銀籌備帳戶</v>
      </c>
      <c r="G3177" t="str">
        <f>IFERROR(__xludf.DUMMYFUNCTION("""COMPUTED_VALUE"""),"永春四號")</f>
        <v>永春四號</v>
      </c>
      <c r="H3177" s="106" t="str">
        <f t="shared" si="1"/>
        <v>2026-01</v>
      </c>
      <c r="I3177" s="271" t="str">
        <f>IFERROR(__xludf.DUMMYFUNCTION("""COMPUTED_VALUE"""),"貓狗企鵝")</f>
        <v>貓狗企鵝</v>
      </c>
      <c r="J3177" t="str">
        <f>IFERROR(__xludf.DUMMYFUNCTION("IFS(
  AND(REGEXMATCH(E3177, ""台銀籌備帳戶|玉山帳戶""), REGEXMATCH(C3177, ""薪資"")), ""分潤支出"",
  AND(REGEXMATCH(E3177, ""Ben帳戶|Elsa帳戶|Ben代墊|Ariel代墊|中信銀行共用""), REGEXMATCH(F3177, ""Ben帳戶|Elsa帳戶|Ben代墊|Ariel代墊|中信銀行共用"")), ""內部轉帳(忽略)"",
  AND(E3177&lt;&gt;"""", F3177&lt;&gt;"""", N"&amp;"OT(REGEXMATCH(C3177, ""薪資""))), ""內部轉帳(忽略)"",
  REGEXMATCH(C3177, ""薪資""), ""薪資變動(不計入)"",
  REGEXMATCH(C3177, ""押金""), ""押金往來"",
  AND(E3177&lt;&gt;"""", F3177=""""), ""真實支出"",
  AND(E3177="""", F3177&lt;&gt;""""), ""真實收入"",
  TRUE, ""其他""
)"),"真實支出")</f>
        <v>真實支出</v>
      </c>
      <c r="K3177" s="270">
        <f t="shared" si="2"/>
        <v>-3150</v>
      </c>
      <c r="L3177">
        <f t="shared" si="3"/>
        <v>0</v>
      </c>
    </row>
    <row r="3178">
      <c r="A3178" s="107">
        <f>IFERROR(__xludf.DUMMYFUNCTION("""COMPUTED_VALUE"""),46042.0)</f>
        <v>46042</v>
      </c>
      <c r="B3178" t="str">
        <f>IFERROR(__xludf.DUMMYFUNCTION("""COMPUTED_VALUE"""),"費用 - 匯費 700 (14204)")</f>
        <v>費用 - 匯費 700 (14204)</v>
      </c>
      <c r="C3178" t="str">
        <f>IFERROR(__xludf.DUMMYFUNCTION("""COMPUTED_VALUE"""),"費用 - 匯費")</f>
        <v>費用 - 匯費</v>
      </c>
      <c r="D3178" s="270">
        <f>IFERROR(__xludf.DUMMYFUNCTION("""COMPUTED_VALUE"""),-15.0)</f>
        <v>-15</v>
      </c>
      <c r="E3178" t="str">
        <f>IFERROR(__xludf.DUMMYFUNCTION("""COMPUTED_VALUE"""),"台銀籌備帳戶")</f>
        <v>台銀籌備帳戶</v>
      </c>
      <c r="H3178" s="106" t="str">
        <f t="shared" si="1"/>
        <v>2026-01</v>
      </c>
      <c r="I3178" s="271" t="str">
        <f>IFERROR(__xludf.DUMMYFUNCTION("""COMPUTED_VALUE"""),"貓狗企鵝")</f>
        <v>貓狗企鵝</v>
      </c>
      <c r="J3178" t="str">
        <f>IFERROR(__xludf.DUMMYFUNCTION("IFS(
  AND(REGEXMATCH(E3178, ""台銀籌備帳戶|玉山帳戶""), REGEXMATCH(C3178, ""薪資"")), ""分潤支出"",
  AND(REGEXMATCH(E3178, ""Ben帳戶|Elsa帳戶|Ben代墊|Ariel代墊|中信銀行共用""), REGEXMATCH(F3178, ""Ben帳戶|Elsa帳戶|Ben代墊|Ariel代墊|中信銀行共用"")), ""內部轉帳(忽略)"",
  AND(E3178&lt;&gt;"""", F3178&lt;&gt;"""", N"&amp;"OT(REGEXMATCH(C3178, ""薪資""))), ""內部轉帳(忽略)"",
  REGEXMATCH(C3178, ""薪資""), ""薪資變動(不計入)"",
  REGEXMATCH(C3178, ""押金""), ""押金往來"",
  AND(E3178&lt;&gt;"""", F3178=""""), ""真實支出"",
  AND(E3178="""", F3178&lt;&gt;""""), ""真實收入"",
  TRUE, ""其他""
)"),"真實支出")</f>
        <v>真實支出</v>
      </c>
      <c r="K3178" s="270">
        <f t="shared" si="2"/>
        <v>-15</v>
      </c>
      <c r="L3178">
        <f t="shared" si="3"/>
        <v>0</v>
      </c>
    </row>
    <row r="3179">
      <c r="A3179" s="107">
        <f>IFERROR(__xludf.DUMMYFUNCTION("""COMPUTED_VALUE"""),46042.0)</f>
        <v>46042</v>
      </c>
      <c r="B3179" t="str">
        <f>IFERROR(__xludf.DUMMYFUNCTION("""COMPUTED_VALUE"""),"[書香民生] [吳高寶玉] 大租金")</f>
        <v>[書香民生] [吳高寶玉] 大租金</v>
      </c>
      <c r="C3179" t="str">
        <f>IFERROR(__xludf.DUMMYFUNCTION("""COMPUTED_VALUE"""),"成本 - 大租金")</f>
        <v>成本 - 大租金</v>
      </c>
      <c r="D3179" s="270">
        <f>IFERROR(__xludf.DUMMYFUNCTION("""COMPUTED_VALUE"""),-16666.0)</f>
        <v>-16666</v>
      </c>
      <c r="E3179" t="str">
        <f>IFERROR(__xludf.DUMMYFUNCTION("""COMPUTED_VALUE"""),"台銀籌備帳戶")</f>
        <v>台銀籌備帳戶</v>
      </c>
      <c r="G3179" t="str">
        <f>IFERROR(__xludf.DUMMYFUNCTION("""COMPUTED_VALUE"""),"書香民生")</f>
        <v>書香民生</v>
      </c>
      <c r="H3179" s="106" t="str">
        <f t="shared" si="1"/>
        <v>2026-01</v>
      </c>
      <c r="I3179" s="271" t="str">
        <f>IFERROR(__xludf.DUMMYFUNCTION("""COMPUTED_VALUE"""),"貓狗企鵝")</f>
        <v>貓狗企鵝</v>
      </c>
      <c r="J3179" t="str">
        <f>IFERROR(__xludf.DUMMYFUNCTION("IFS(
  AND(REGEXMATCH(E3179, ""台銀籌備帳戶|玉山帳戶""), REGEXMATCH(C3179, ""薪資"")), ""分潤支出"",
  AND(REGEXMATCH(E3179, ""Ben帳戶|Elsa帳戶|Ben代墊|Ariel代墊|中信銀行共用""), REGEXMATCH(F3179, ""Ben帳戶|Elsa帳戶|Ben代墊|Ariel代墊|中信銀行共用"")), ""內部轉帳(忽略)"",
  AND(E3179&lt;&gt;"""", F3179&lt;&gt;"""", N"&amp;"OT(REGEXMATCH(C3179, ""薪資""))), ""內部轉帳(忽略)"",
  REGEXMATCH(C3179, ""薪資""), ""薪資變動(不計入)"",
  REGEXMATCH(C3179, ""押金""), ""押金往來"",
  AND(E3179&lt;&gt;"""", F3179=""""), ""真實支出"",
  AND(E3179="""", F3179&lt;&gt;""""), ""真實收入"",
  TRUE, ""其他""
)"),"真實支出")</f>
        <v>真實支出</v>
      </c>
      <c r="K3179" s="270">
        <f t="shared" si="2"/>
        <v>-16666</v>
      </c>
      <c r="L3179">
        <f t="shared" si="3"/>
        <v>0</v>
      </c>
    </row>
    <row r="3180">
      <c r="A3180" s="107">
        <f>IFERROR(__xludf.DUMMYFUNCTION("""COMPUTED_VALUE"""),46046.0)</f>
        <v>46046</v>
      </c>
      <c r="B3180" t="str">
        <f>IFERROR(__xludf.DUMMYFUNCTION("""COMPUTED_VALUE"""),"MoMo拖把")</f>
        <v>MoMo拖把</v>
      </c>
      <c r="C3180" t="str">
        <f>IFERROR(__xludf.DUMMYFUNCTION("""COMPUTED_VALUE"""),"成本 - 進場前裝潢費")</f>
        <v>成本 - 進場前裝潢費</v>
      </c>
      <c r="D3180" s="270">
        <f>IFERROR(__xludf.DUMMYFUNCTION("""COMPUTED_VALUE"""),-899.0)</f>
        <v>-899</v>
      </c>
      <c r="E3180" t="str">
        <f>IFERROR(__xludf.DUMMYFUNCTION("""COMPUTED_VALUE"""),"Elsa帳戶")</f>
        <v>Elsa帳戶</v>
      </c>
      <c r="G3180" t="str">
        <f>IFERROR(__xludf.DUMMYFUNCTION("""COMPUTED_VALUE"""),"天母搜狗")</f>
        <v>天母搜狗</v>
      </c>
      <c r="H3180" s="106" t="str">
        <f t="shared" si="1"/>
        <v>2026-01</v>
      </c>
      <c r="I3180" s="271" t="str">
        <f>IFERROR(__xludf.DUMMYFUNCTION("""COMPUTED_VALUE"""),"貓狗企鵝")</f>
        <v>貓狗企鵝</v>
      </c>
      <c r="J3180" t="str">
        <f>IFERROR(__xludf.DUMMYFUNCTION("IFS(
  AND(REGEXMATCH(E3180, ""台銀籌備帳戶|玉山帳戶""), REGEXMATCH(C3180, ""薪資"")), ""分潤支出"",
  AND(REGEXMATCH(E3180, ""Ben帳戶|Elsa帳戶|Ben代墊|Ariel代墊|中信銀行共用""), REGEXMATCH(F3180, ""Ben帳戶|Elsa帳戶|Ben代墊|Ariel代墊|中信銀行共用"")), ""內部轉帳(忽略)"",
  AND(E3180&lt;&gt;"""", F3180&lt;&gt;"""", N"&amp;"OT(REGEXMATCH(C3180, ""薪資""))), ""內部轉帳(忽略)"",
  REGEXMATCH(C3180, ""薪資""), ""薪資變動(不計入)"",
  REGEXMATCH(C3180, ""押金""), ""押金往來"",
  AND(E3180&lt;&gt;"""", F3180=""""), ""真實支出"",
  AND(E3180="""", F3180&lt;&gt;""""), ""真實收入"",
  TRUE, ""其他""
)"),"真實支出")</f>
        <v>真實支出</v>
      </c>
      <c r="K3180" s="270">
        <f t="shared" si="2"/>
        <v>-899</v>
      </c>
      <c r="L3180">
        <f t="shared" si="3"/>
        <v>0</v>
      </c>
    </row>
    <row r="3181">
      <c r="A3181" s="107">
        <f>IFERROR(__xludf.DUMMYFUNCTION("""COMPUTED_VALUE"""),46046.0)</f>
        <v>46046</v>
      </c>
      <c r="B3181" t="str">
        <f>IFERROR(__xludf.DUMMYFUNCTION("""COMPUTED_VALUE"""),"蝦皮 腳踏墊*2")</f>
        <v>蝦皮 腳踏墊*2</v>
      </c>
      <c r="C3181" t="str">
        <f>IFERROR(__xludf.DUMMYFUNCTION("""COMPUTED_VALUE"""),"成本 - 進場前裝潢費")</f>
        <v>成本 - 進場前裝潢費</v>
      </c>
      <c r="D3181" s="270">
        <f>IFERROR(__xludf.DUMMYFUNCTION("""COMPUTED_VALUE"""),-466.0)</f>
        <v>-466</v>
      </c>
      <c r="E3181" t="str">
        <f>IFERROR(__xludf.DUMMYFUNCTION("""COMPUTED_VALUE"""),"Elsa帳戶")</f>
        <v>Elsa帳戶</v>
      </c>
      <c r="G3181" t="str">
        <f>IFERROR(__xludf.DUMMYFUNCTION("""COMPUTED_VALUE"""),"天母搜狗")</f>
        <v>天母搜狗</v>
      </c>
      <c r="H3181" s="106" t="str">
        <f t="shared" si="1"/>
        <v>2026-01</v>
      </c>
      <c r="I3181" s="271" t="str">
        <f>IFERROR(__xludf.DUMMYFUNCTION("""COMPUTED_VALUE"""),"貓狗企鵝")</f>
        <v>貓狗企鵝</v>
      </c>
      <c r="J3181" t="str">
        <f>IFERROR(__xludf.DUMMYFUNCTION("IFS(
  AND(REGEXMATCH(E3181, ""台銀籌備帳戶|玉山帳戶""), REGEXMATCH(C3181, ""薪資"")), ""分潤支出"",
  AND(REGEXMATCH(E3181, ""Ben帳戶|Elsa帳戶|Ben代墊|Ariel代墊|中信銀行共用""), REGEXMATCH(F3181, ""Ben帳戶|Elsa帳戶|Ben代墊|Ariel代墊|中信銀行共用"")), ""內部轉帳(忽略)"",
  AND(E3181&lt;&gt;"""", F3181&lt;&gt;"""", N"&amp;"OT(REGEXMATCH(C3181, ""薪資""))), ""內部轉帳(忽略)"",
  REGEXMATCH(C3181, ""薪資""), ""薪資變動(不計入)"",
  REGEXMATCH(C3181, ""押金""), ""押金往來"",
  AND(E3181&lt;&gt;"""", F3181=""""), ""真實支出"",
  AND(E3181="""", F3181&lt;&gt;""""), ""真實收入"",
  TRUE, ""其他""
)"),"真實支出")</f>
        <v>真實支出</v>
      </c>
      <c r="K3181" s="270">
        <f t="shared" si="2"/>
        <v>-466</v>
      </c>
      <c r="L3181">
        <f t="shared" si="3"/>
        <v>0</v>
      </c>
    </row>
    <row r="3182">
      <c r="A3182" s="107">
        <f>IFERROR(__xludf.DUMMYFUNCTION("""COMPUTED_VALUE"""),46046.0)</f>
        <v>46046</v>
      </c>
      <c r="B3182" t="str">
        <f>IFERROR(__xludf.DUMMYFUNCTION("""COMPUTED_VALUE"""),"蝦皮 密碼盒")</f>
        <v>蝦皮 密碼盒</v>
      </c>
      <c r="C3182" t="str">
        <f>IFERROR(__xludf.DUMMYFUNCTION("""COMPUTED_VALUE"""),"成本 - 進場前裝潢費")</f>
        <v>成本 - 進場前裝潢費</v>
      </c>
      <c r="D3182" s="270">
        <f>IFERROR(__xludf.DUMMYFUNCTION("""COMPUTED_VALUE"""),-366.0)</f>
        <v>-366</v>
      </c>
      <c r="E3182" t="str">
        <f>IFERROR(__xludf.DUMMYFUNCTION("""COMPUTED_VALUE"""),"Elsa帳戶")</f>
        <v>Elsa帳戶</v>
      </c>
      <c r="G3182" t="str">
        <f>IFERROR(__xludf.DUMMYFUNCTION("""COMPUTED_VALUE"""),"天母搜狗")</f>
        <v>天母搜狗</v>
      </c>
      <c r="H3182" s="106" t="str">
        <f t="shared" si="1"/>
        <v>2026-01</v>
      </c>
      <c r="I3182" s="271" t="str">
        <f>IFERROR(__xludf.DUMMYFUNCTION("""COMPUTED_VALUE"""),"貓狗企鵝")</f>
        <v>貓狗企鵝</v>
      </c>
      <c r="J3182" t="str">
        <f>IFERROR(__xludf.DUMMYFUNCTION("IFS(
  AND(REGEXMATCH(E3182, ""台銀籌備帳戶|玉山帳戶""), REGEXMATCH(C3182, ""薪資"")), ""分潤支出"",
  AND(REGEXMATCH(E3182, ""Ben帳戶|Elsa帳戶|Ben代墊|Ariel代墊|中信銀行共用""), REGEXMATCH(F3182, ""Ben帳戶|Elsa帳戶|Ben代墊|Ariel代墊|中信銀行共用"")), ""內部轉帳(忽略)"",
  AND(E3182&lt;&gt;"""", F3182&lt;&gt;"""", N"&amp;"OT(REGEXMATCH(C3182, ""薪資""))), ""內部轉帳(忽略)"",
  REGEXMATCH(C3182, ""薪資""), ""薪資變動(不計入)"",
  REGEXMATCH(C3182, ""押金""), ""押金往來"",
  AND(E3182&lt;&gt;"""", F3182=""""), ""真實支出"",
  AND(E3182="""", F3182&lt;&gt;""""), ""真實收入"",
  TRUE, ""其他""
)"),"真實支出")</f>
        <v>真實支出</v>
      </c>
      <c r="K3182" s="270">
        <f t="shared" si="2"/>
        <v>-366</v>
      </c>
      <c r="L3182">
        <f t="shared" si="3"/>
        <v>0</v>
      </c>
    </row>
    <row r="3183">
      <c r="A3183" s="107">
        <f>IFERROR(__xludf.DUMMYFUNCTION("""COMPUTED_VALUE"""),46048.0)</f>
        <v>46048</v>
      </c>
      <c r="B3183" t="str">
        <f>IFERROR(__xludf.DUMMYFUNCTION("""COMPUTED_VALUE"""),"大湖山莊低頻噪音檢視")</f>
        <v>大湖山莊低頻噪音檢視</v>
      </c>
      <c r="C3183" t="str">
        <f>IFERROR(__xludf.DUMMYFUNCTION("""COMPUTED_VALUE"""),"成本 - 租後修繕")</f>
        <v>成本 - 租後修繕</v>
      </c>
      <c r="D3183" s="270">
        <f>IFERROR(__xludf.DUMMYFUNCTION("""COMPUTED_VALUE"""),-300.0)</f>
        <v>-300</v>
      </c>
      <c r="E3183" t="str">
        <f>IFERROR(__xludf.DUMMYFUNCTION("""COMPUTED_VALUE"""),"Ben帳戶")</f>
        <v>Ben帳戶</v>
      </c>
      <c r="G3183" t="str">
        <f>IFERROR(__xludf.DUMMYFUNCTION("""COMPUTED_VALUE"""),"大湖山莊")</f>
        <v>大湖山莊</v>
      </c>
      <c r="H3183" s="106" t="str">
        <f t="shared" si="1"/>
        <v>2026-01</v>
      </c>
      <c r="I3183" s="271" t="str">
        <f>IFERROR(__xludf.DUMMYFUNCTION("""COMPUTED_VALUE"""),"貓狗企鵝")</f>
        <v>貓狗企鵝</v>
      </c>
      <c r="J3183" t="str">
        <f>IFERROR(__xludf.DUMMYFUNCTION("IFS(
  AND(REGEXMATCH(E3183, ""台銀籌備帳戶|玉山帳戶""), REGEXMATCH(C3183, ""薪資"")), ""分潤支出"",
  AND(REGEXMATCH(E3183, ""Ben帳戶|Elsa帳戶|Ben代墊|Ariel代墊|中信銀行共用""), REGEXMATCH(F3183, ""Ben帳戶|Elsa帳戶|Ben代墊|Ariel代墊|中信銀行共用"")), ""內部轉帳(忽略)"",
  AND(E3183&lt;&gt;"""", F3183&lt;&gt;"""", N"&amp;"OT(REGEXMATCH(C3183, ""薪資""))), ""內部轉帳(忽略)"",
  REGEXMATCH(C3183, ""薪資""), ""薪資變動(不計入)"",
  REGEXMATCH(C3183, ""押金""), ""押金往來"",
  AND(E3183&lt;&gt;"""", F3183=""""), ""真實支出"",
  AND(E3183="""", F3183&lt;&gt;""""), ""真實收入"",
  TRUE, ""其他""
)"),"真實支出")</f>
        <v>真實支出</v>
      </c>
      <c r="K3183" s="270">
        <f t="shared" si="2"/>
        <v>-300</v>
      </c>
      <c r="L3183">
        <f t="shared" si="3"/>
        <v>0</v>
      </c>
    </row>
    <row r="3184">
      <c r="A3184" s="107">
        <f>IFERROR(__xludf.DUMMYFUNCTION("""COMPUTED_VALUE"""),46050.0)</f>
        <v>46050</v>
      </c>
      <c r="B3184" t="str">
        <f>IFERROR(__xludf.DUMMYFUNCTION("""COMPUTED_VALUE"""),"IKEA 茶几")</f>
        <v>IKEA 茶几</v>
      </c>
      <c r="C3184" t="str">
        <f>IFERROR(__xludf.DUMMYFUNCTION("""COMPUTED_VALUE"""),"成本 - 租後修繕")</f>
        <v>成本 - 租後修繕</v>
      </c>
      <c r="D3184" s="270">
        <f>IFERROR(__xludf.DUMMYFUNCTION("""COMPUTED_VALUE"""),-1914.0)</f>
        <v>-1914</v>
      </c>
      <c r="E3184" t="str">
        <f>IFERROR(__xludf.DUMMYFUNCTION("""COMPUTED_VALUE"""),"Elsa帳戶")</f>
        <v>Elsa帳戶</v>
      </c>
      <c r="G3184" t="str">
        <f>IFERROR(__xludf.DUMMYFUNCTION("""COMPUTED_VALUE"""),"市府爺爺家")</f>
        <v>市府爺爺家</v>
      </c>
      <c r="H3184" s="106" t="str">
        <f t="shared" si="1"/>
        <v>2026-01</v>
      </c>
      <c r="I3184" s="271" t="str">
        <f>IFERROR(__xludf.DUMMYFUNCTION("""COMPUTED_VALUE"""),"貓狗企鵝")</f>
        <v>貓狗企鵝</v>
      </c>
      <c r="J3184" t="str">
        <f>IFERROR(__xludf.DUMMYFUNCTION("IFS(
  AND(REGEXMATCH(E3184, ""台銀籌備帳戶|玉山帳戶""), REGEXMATCH(C3184, ""薪資"")), ""分潤支出"",
  AND(REGEXMATCH(E3184, ""Ben帳戶|Elsa帳戶|Ben代墊|Ariel代墊|中信銀行共用""), REGEXMATCH(F3184, ""Ben帳戶|Elsa帳戶|Ben代墊|Ariel代墊|中信銀行共用"")), ""內部轉帳(忽略)"",
  AND(E3184&lt;&gt;"""", F3184&lt;&gt;"""", N"&amp;"OT(REGEXMATCH(C3184, ""薪資""))), ""內部轉帳(忽略)"",
  REGEXMATCH(C3184, ""薪資""), ""薪資變動(不計入)"",
  REGEXMATCH(C3184, ""押金""), ""押金往來"",
  AND(E3184&lt;&gt;"""", F3184=""""), ""真實支出"",
  AND(E3184="""", F3184&lt;&gt;""""), ""真實收入"",
  TRUE, ""其他""
)"),"真實支出")</f>
        <v>真實支出</v>
      </c>
      <c r="K3184" s="270">
        <f t="shared" si="2"/>
        <v>-1914</v>
      </c>
      <c r="L3184">
        <f t="shared" si="3"/>
        <v>0</v>
      </c>
    </row>
    <row r="3185">
      <c r="A3185" s="107">
        <f>IFERROR(__xludf.DUMMYFUNCTION("""COMPUTED_VALUE"""),46050.0)</f>
        <v>46050</v>
      </c>
      <c r="B3185" t="str">
        <f>IFERROR(__xludf.DUMMYFUNCTION("""COMPUTED_VALUE"""),"12/1~2/11AI生成圖片費用")</f>
        <v>12/1~2/11AI生成圖片費用</v>
      </c>
      <c r="C3185" t="str">
        <f>IFERROR(__xludf.DUMMYFUNCTION("""COMPUTED_VALUE"""),"費用 - 辦公用品")</f>
        <v>費用 - 辦公用品</v>
      </c>
      <c r="D3185" s="270">
        <f>IFERROR(__xludf.DUMMYFUNCTION("""COMPUTED_VALUE"""),-2250.0)</f>
        <v>-2250</v>
      </c>
      <c r="E3185" t="str">
        <f>IFERROR(__xludf.DUMMYFUNCTION("""COMPUTED_VALUE"""),"Ben帳戶")</f>
        <v>Ben帳戶</v>
      </c>
      <c r="H3185" s="106" t="str">
        <f t="shared" si="1"/>
        <v>2026-01</v>
      </c>
      <c r="I3185" s="271" t="str">
        <f>IFERROR(__xludf.DUMMYFUNCTION("""COMPUTED_VALUE"""),"貓狗企鵝")</f>
        <v>貓狗企鵝</v>
      </c>
      <c r="J3185" t="str">
        <f>IFERROR(__xludf.DUMMYFUNCTION("IFS(
  AND(REGEXMATCH(E3185, ""台銀籌備帳戶|玉山帳戶""), REGEXMATCH(C3185, ""薪資"")), ""分潤支出"",
  AND(REGEXMATCH(E3185, ""Ben帳戶|Elsa帳戶|Ben代墊|Ariel代墊|中信銀行共用""), REGEXMATCH(F3185, ""Ben帳戶|Elsa帳戶|Ben代墊|Ariel代墊|中信銀行共用"")), ""內部轉帳(忽略)"",
  AND(E3185&lt;&gt;"""", F3185&lt;&gt;"""", N"&amp;"OT(REGEXMATCH(C3185, ""薪資""))), ""內部轉帳(忽略)"",
  REGEXMATCH(C3185, ""薪資""), ""薪資變動(不計入)"",
  REGEXMATCH(C3185, ""押金""), ""押金往來"",
  AND(E3185&lt;&gt;"""", F3185=""""), ""真實支出"",
  AND(E3185="""", F3185&lt;&gt;""""), ""真實收入"",
  TRUE, ""其他""
)"),"真實支出")</f>
        <v>真實支出</v>
      </c>
      <c r="K3185" s="270">
        <f t="shared" si="2"/>
        <v>-2250</v>
      </c>
      <c r="L3185">
        <f t="shared" si="3"/>
        <v>0</v>
      </c>
    </row>
    <row r="3186">
      <c r="A3186" s="107">
        <f>IFERROR(__xludf.DUMMYFUNCTION("""COMPUTED_VALUE"""),46051.0)</f>
        <v>46051</v>
      </c>
      <c r="B3186" t="str">
        <f>IFERROR(__xludf.DUMMYFUNCTION("""COMPUTED_VALUE"""),"寶琳書香清潔")</f>
        <v>寶琳書香清潔</v>
      </c>
      <c r="C3186" t="str">
        <f>IFERROR(__xludf.DUMMYFUNCTION("""COMPUTED_VALUE"""),"成本 - 固定開銷(網路代收清潔)")</f>
        <v>成本 - 固定開銷(網路代收清潔)</v>
      </c>
      <c r="D3186" s="270">
        <f>IFERROR(__xludf.DUMMYFUNCTION("""COMPUTED_VALUE"""),-1050.0)</f>
        <v>-1050</v>
      </c>
      <c r="E3186" t="str">
        <f>IFERROR(__xludf.DUMMYFUNCTION("""COMPUTED_VALUE"""),"Elsa帳戶")</f>
        <v>Elsa帳戶</v>
      </c>
      <c r="G3186" t="str">
        <f>IFERROR(__xludf.DUMMYFUNCTION("""COMPUTED_VALUE"""),"書香民生")</f>
        <v>書香民生</v>
      </c>
      <c r="H3186" s="106" t="str">
        <f t="shared" si="1"/>
        <v>2026-01</v>
      </c>
      <c r="I3186" s="271" t="str">
        <f>IFERROR(__xludf.DUMMYFUNCTION("""COMPUTED_VALUE"""),"貓狗企鵝")</f>
        <v>貓狗企鵝</v>
      </c>
      <c r="J3186" t="str">
        <f>IFERROR(__xludf.DUMMYFUNCTION("IFS(
  AND(REGEXMATCH(E3186, ""台銀籌備帳戶|玉山帳戶""), REGEXMATCH(C3186, ""薪資"")), ""分潤支出"",
  AND(REGEXMATCH(E3186, ""Ben帳戶|Elsa帳戶|Ben代墊|Ariel代墊|中信銀行共用""), REGEXMATCH(F3186, ""Ben帳戶|Elsa帳戶|Ben代墊|Ariel代墊|中信銀行共用"")), ""內部轉帳(忽略)"",
  AND(E3186&lt;&gt;"""", F3186&lt;&gt;"""", N"&amp;"OT(REGEXMATCH(C3186, ""薪資""))), ""內部轉帳(忽略)"",
  REGEXMATCH(C3186, ""薪資""), ""薪資變動(不計入)"",
  REGEXMATCH(C3186, ""押金""), ""押金往來"",
  AND(E3186&lt;&gt;"""", F3186=""""), ""真實支出"",
  AND(E3186="""", F3186&lt;&gt;""""), ""真實收入"",
  TRUE, ""其他""
)"),"真實支出")</f>
        <v>真實支出</v>
      </c>
      <c r="K3186" s="270">
        <f t="shared" si="2"/>
        <v>-1050</v>
      </c>
      <c r="L3186">
        <f t="shared" si="3"/>
        <v>0</v>
      </c>
    </row>
    <row r="3187">
      <c r="A3187" s="107">
        <f>IFERROR(__xludf.DUMMYFUNCTION("""COMPUTED_VALUE"""),46053.0)</f>
        <v>46053</v>
      </c>
      <c r="B3187" t="str">
        <f>IFERROR(__xludf.DUMMYFUNCTION("""COMPUTED_VALUE"""),"中山區垃圾代收-龍江")</f>
        <v>中山區垃圾代收-龍江</v>
      </c>
      <c r="C3187" t="str">
        <f>IFERROR(__xludf.DUMMYFUNCTION("""COMPUTED_VALUE"""),"成本 - 固定開銷(網路代收清潔)")</f>
        <v>成本 - 固定開銷(網路代收清潔)</v>
      </c>
      <c r="D3187" s="270">
        <f>IFERROR(__xludf.DUMMYFUNCTION("""COMPUTED_VALUE"""),-1200.0)</f>
        <v>-1200</v>
      </c>
      <c r="E3187" t="str">
        <f>IFERROR(__xludf.DUMMYFUNCTION("""COMPUTED_VALUE"""),"Ben帳戶")</f>
        <v>Ben帳戶</v>
      </c>
      <c r="G3187" t="str">
        <f>IFERROR(__xludf.DUMMYFUNCTION("""COMPUTED_VALUE"""),"龍江229")</f>
        <v>龍江229</v>
      </c>
      <c r="H3187" s="106" t="str">
        <f t="shared" si="1"/>
        <v>2026-01</v>
      </c>
      <c r="I3187" s="271" t="str">
        <f>IFERROR(__xludf.DUMMYFUNCTION("""COMPUTED_VALUE"""),"貓狗企鵝")</f>
        <v>貓狗企鵝</v>
      </c>
      <c r="J3187" t="str">
        <f>IFERROR(__xludf.DUMMYFUNCTION("IFS(
  AND(REGEXMATCH(E3187, ""台銀籌備帳戶|玉山帳戶""), REGEXMATCH(C3187, ""薪資"")), ""分潤支出"",
  AND(REGEXMATCH(E3187, ""Ben帳戶|Elsa帳戶|Ben代墊|Ariel代墊|中信銀行共用""), REGEXMATCH(F3187, ""Ben帳戶|Elsa帳戶|Ben代墊|Ariel代墊|中信銀行共用"")), ""內部轉帳(忽略)"",
  AND(E3187&lt;&gt;"""", F3187&lt;&gt;"""", N"&amp;"OT(REGEXMATCH(C3187, ""薪資""))), ""內部轉帳(忽略)"",
  REGEXMATCH(C3187, ""薪資""), ""薪資變動(不計入)"",
  REGEXMATCH(C3187, ""押金""), ""押金往來"",
  AND(E3187&lt;&gt;"""", F3187=""""), ""真實支出"",
  AND(E3187="""", F3187&lt;&gt;""""), ""真實收入"",
  TRUE, ""其他""
)"),"真實支出")</f>
        <v>真實支出</v>
      </c>
      <c r="K3187" s="270">
        <f t="shared" si="2"/>
        <v>-1200</v>
      </c>
      <c r="L3187">
        <f t="shared" si="3"/>
        <v>0</v>
      </c>
    </row>
    <row r="3188">
      <c r="A3188" s="107">
        <f>IFERROR(__xludf.DUMMYFUNCTION("""COMPUTED_VALUE"""),46053.0)</f>
        <v>46053</v>
      </c>
      <c r="B3188" t="str">
        <f>IFERROR(__xludf.DUMMYFUNCTION("""COMPUTED_VALUE"""),"中山區垃圾代收-娘家")</f>
        <v>中山區垃圾代收-娘家</v>
      </c>
      <c r="C3188" t="str">
        <f>IFERROR(__xludf.DUMMYFUNCTION("""COMPUTED_VALUE"""),"成本 - 固定開銷(網路代收清潔)")</f>
        <v>成本 - 固定開銷(網路代收清潔)</v>
      </c>
      <c r="D3188" s="270">
        <f>IFERROR(__xludf.DUMMYFUNCTION("""COMPUTED_VALUE"""),-1200.0)</f>
        <v>-1200</v>
      </c>
      <c r="E3188" t="str">
        <f>IFERROR(__xludf.DUMMYFUNCTION("""COMPUTED_VALUE"""),"Ben帳戶")</f>
        <v>Ben帳戶</v>
      </c>
      <c r="G3188" t="str">
        <f>IFERROR(__xludf.DUMMYFUNCTION("""COMPUTED_VALUE"""),"中山北娘家旁")</f>
        <v>中山北娘家旁</v>
      </c>
      <c r="H3188" s="106" t="str">
        <f t="shared" si="1"/>
        <v>2026-01</v>
      </c>
      <c r="I3188" s="271" t="str">
        <f>IFERROR(__xludf.DUMMYFUNCTION("""COMPUTED_VALUE"""),"貓狗企鵝")</f>
        <v>貓狗企鵝</v>
      </c>
      <c r="J3188" t="str">
        <f>IFERROR(__xludf.DUMMYFUNCTION("IFS(
  AND(REGEXMATCH(E3188, ""台銀籌備帳戶|玉山帳戶""), REGEXMATCH(C3188, ""薪資"")), ""分潤支出"",
  AND(REGEXMATCH(E3188, ""Ben帳戶|Elsa帳戶|Ben代墊|Ariel代墊|中信銀行共用""), REGEXMATCH(F3188, ""Ben帳戶|Elsa帳戶|Ben代墊|Ariel代墊|中信銀行共用"")), ""內部轉帳(忽略)"",
  AND(E3188&lt;&gt;"""", F3188&lt;&gt;"""", N"&amp;"OT(REGEXMATCH(C3188, ""薪資""))), ""內部轉帳(忽略)"",
  REGEXMATCH(C3188, ""薪資""), ""薪資變動(不計入)"",
  REGEXMATCH(C3188, ""押金""), ""押金往來"",
  AND(E3188&lt;&gt;"""", F3188=""""), ""真實支出"",
  AND(E3188="""", F3188&lt;&gt;""""), ""真實收入"",
  TRUE, ""其他""
)"),"真實支出")</f>
        <v>真實支出</v>
      </c>
      <c r="K3188" s="270">
        <f t="shared" si="2"/>
        <v>-1200</v>
      </c>
      <c r="L3188">
        <f t="shared" si="3"/>
        <v>0</v>
      </c>
    </row>
    <row r="3189">
      <c r="A3189" s="107">
        <f>IFERROR(__xludf.DUMMYFUNCTION("""COMPUTED_VALUE"""),46057.0)</f>
        <v>46057</v>
      </c>
      <c r="B3189" t="str">
        <f>IFERROR(__xludf.DUMMYFUNCTION("""COMPUTED_VALUE"""),"5F能源費")</f>
        <v>5F能源費</v>
      </c>
      <c r="C3189" t="str">
        <f>IFERROR(__xludf.DUMMYFUNCTION("""COMPUTED_VALUE"""),"成本 - 租後修繕")</f>
        <v>成本 - 租後修繕</v>
      </c>
      <c r="D3189" s="270">
        <f>IFERROR(__xludf.DUMMYFUNCTION("""COMPUTED_VALUE"""),-543.0)</f>
        <v>-543</v>
      </c>
      <c r="E3189" t="str">
        <f>IFERROR(__xludf.DUMMYFUNCTION("""COMPUTED_VALUE"""),"Elsa帳戶")</f>
        <v>Elsa帳戶</v>
      </c>
      <c r="G3189" t="str">
        <f>IFERROR(__xludf.DUMMYFUNCTION("""COMPUTED_VALUE"""),"永春四號")</f>
        <v>永春四號</v>
      </c>
      <c r="H3189" s="106" t="str">
        <f t="shared" si="1"/>
        <v>2026-02</v>
      </c>
      <c r="I3189" s="271" t="str">
        <f>IFERROR(__xludf.DUMMYFUNCTION("""COMPUTED_VALUE"""),"貓狗企鵝")</f>
        <v>貓狗企鵝</v>
      </c>
      <c r="J3189" t="str">
        <f>IFERROR(__xludf.DUMMYFUNCTION("IFS(
  AND(REGEXMATCH(E3189, ""台銀籌備帳戶|玉山帳戶""), REGEXMATCH(C3189, ""薪資"")), ""分潤支出"",
  AND(REGEXMATCH(E3189, ""Ben帳戶|Elsa帳戶|Ben代墊|Ariel代墊|中信銀行共用""), REGEXMATCH(F3189, ""Ben帳戶|Elsa帳戶|Ben代墊|Ariel代墊|中信銀行共用"")), ""內部轉帳(忽略)"",
  AND(E3189&lt;&gt;"""", F3189&lt;&gt;"""", N"&amp;"OT(REGEXMATCH(C3189, ""薪資""))), ""內部轉帳(忽略)"",
  REGEXMATCH(C3189, ""薪資""), ""薪資變動(不計入)"",
  REGEXMATCH(C3189, ""押金""), ""押金往來"",
  AND(E3189&lt;&gt;"""", F3189=""""), ""真實支出"",
  AND(E3189="""", F3189&lt;&gt;""""), ""真實收入"",
  TRUE, ""其他""
)"),"真實支出")</f>
        <v>真實支出</v>
      </c>
      <c r="K3189" s="270">
        <f t="shared" si="2"/>
        <v>-543</v>
      </c>
      <c r="L3189">
        <f t="shared" si="3"/>
        <v>0</v>
      </c>
    </row>
    <row r="3190">
      <c r="A3190" s="107">
        <f>IFERROR(__xludf.DUMMYFUNCTION("""COMPUTED_VALUE"""),46058.0)</f>
        <v>46058</v>
      </c>
      <c r="B3190" t="str">
        <f>IFERROR(__xludf.DUMMYFUNCTION("""COMPUTED_VALUE"""),"寶琳清潔")</f>
        <v>寶琳清潔</v>
      </c>
      <c r="C3190" t="str">
        <f>IFERROR(__xludf.DUMMYFUNCTION("""COMPUTED_VALUE"""),"成本 - 進場前裝潢費")</f>
        <v>成本 - 進場前裝潢費</v>
      </c>
      <c r="D3190" s="270">
        <f>IFERROR(__xludf.DUMMYFUNCTION("""COMPUTED_VALUE"""),-1050.0)</f>
        <v>-1050</v>
      </c>
      <c r="E3190" t="str">
        <f>IFERROR(__xludf.DUMMYFUNCTION("""COMPUTED_VALUE"""),"Elsa帳戶")</f>
        <v>Elsa帳戶</v>
      </c>
      <c r="G3190" t="str">
        <f>IFERROR(__xludf.DUMMYFUNCTION("""COMPUTED_VALUE"""),"天母搜狗")</f>
        <v>天母搜狗</v>
      </c>
      <c r="H3190" s="106" t="str">
        <f t="shared" si="1"/>
        <v>2026-02</v>
      </c>
      <c r="I3190" s="271" t="str">
        <f>IFERROR(__xludf.DUMMYFUNCTION("""COMPUTED_VALUE"""),"貓狗企鵝")</f>
        <v>貓狗企鵝</v>
      </c>
      <c r="J3190" t="str">
        <f>IFERROR(__xludf.DUMMYFUNCTION("IFS(
  AND(REGEXMATCH(E3190, ""台銀籌備帳戶|玉山帳戶""), REGEXMATCH(C3190, ""薪資"")), ""分潤支出"",
  AND(REGEXMATCH(E3190, ""Ben帳戶|Elsa帳戶|Ben代墊|Ariel代墊|中信銀行共用""), REGEXMATCH(F3190, ""Ben帳戶|Elsa帳戶|Ben代墊|Ariel代墊|中信銀行共用"")), ""內部轉帳(忽略)"",
  AND(E3190&lt;&gt;"""", F3190&lt;&gt;"""", N"&amp;"OT(REGEXMATCH(C3190, ""薪資""))), ""內部轉帳(忽略)"",
  REGEXMATCH(C3190, ""薪資""), ""薪資變動(不計入)"",
  REGEXMATCH(C3190, ""押金""), ""押金往來"",
  AND(E3190&lt;&gt;"""", F3190=""""), ""真實支出"",
  AND(E3190="""", F3190&lt;&gt;""""), ""真實收入"",
  TRUE, ""其他""
)"),"真實支出")</f>
        <v>真實支出</v>
      </c>
      <c r="K3190" s="270">
        <f t="shared" si="2"/>
        <v>-1050</v>
      </c>
      <c r="L3190">
        <f t="shared" si="3"/>
        <v>0</v>
      </c>
    </row>
    <row r="3191">
      <c r="A3191" s="107">
        <f>IFERROR(__xludf.DUMMYFUNCTION("""COMPUTED_VALUE"""),46058.0)</f>
        <v>46058</v>
      </c>
      <c r="B3191" t="str">
        <f>IFERROR(__xludf.DUMMYFUNCTION("""COMPUTED_VALUE"""),"IKEA禮券")</f>
        <v>IKEA禮券</v>
      </c>
      <c r="C3191" t="str">
        <f>IFERROR(__xludf.DUMMYFUNCTION("""COMPUTED_VALUE"""),"費用 - Salary 薪資")</f>
        <v>費用 - Salary 薪資</v>
      </c>
      <c r="D3191" s="270">
        <f>IFERROR(__xludf.DUMMYFUNCTION("""COMPUTED_VALUE"""),1500.0)</f>
        <v>1500</v>
      </c>
      <c r="F3191" t="str">
        <f>IFERROR(__xludf.DUMMYFUNCTION("""COMPUTED_VALUE"""),"Elsa帳戶")</f>
        <v>Elsa帳戶</v>
      </c>
      <c r="H3191" s="106" t="str">
        <f t="shared" si="1"/>
        <v>2026-02</v>
      </c>
      <c r="I3191" s="271" t="str">
        <f>IFERROR(__xludf.DUMMYFUNCTION("""COMPUTED_VALUE"""),"貓狗企鵝")</f>
        <v>貓狗企鵝</v>
      </c>
      <c r="J3191" t="str">
        <f>IFERROR(__xludf.DUMMYFUNCTION("IFS(
  AND(REGEXMATCH(E3191, ""台銀籌備帳戶|玉山帳戶""), REGEXMATCH(C3191, ""薪資"")), ""分潤支出"",
  AND(REGEXMATCH(E3191, ""Ben帳戶|Elsa帳戶|Ben代墊|Ariel代墊|中信銀行共用""), REGEXMATCH(F3191, ""Ben帳戶|Elsa帳戶|Ben代墊|Ariel代墊|中信銀行共用"")), ""內部轉帳(忽略)"",
  AND(E3191&lt;&gt;"""", F3191&lt;&gt;"""", N"&amp;"OT(REGEXMATCH(C3191, ""薪資""))), ""內部轉帳(忽略)"",
  REGEXMATCH(C3191, ""薪資""), ""薪資變動(不計入)"",
  REGEXMATCH(C3191, ""押金""), ""押金往來"",
  AND(E3191&lt;&gt;"""", F3191=""""), ""真實支出"",
  AND(E3191="""", F3191&lt;&gt;""""), ""真實收入"",
  TRUE, ""其他""
)"),"薪資變動(不計入)")</f>
        <v>薪資變動(不計入)</v>
      </c>
      <c r="K3191" s="270">
        <f t="shared" si="2"/>
        <v>1500</v>
      </c>
      <c r="L3191">
        <f t="shared" si="3"/>
        <v>0</v>
      </c>
    </row>
    <row r="3192">
      <c r="A3192" s="107">
        <f>IFERROR(__xludf.DUMMYFUNCTION("""COMPUTED_VALUE"""),46058.0)</f>
        <v>46058</v>
      </c>
      <c r="B3192" t="str">
        <f>IFERROR(__xludf.DUMMYFUNCTION("""COMPUTED_VALUE"""),"G9燈泡*6")</f>
        <v>G9燈泡*6</v>
      </c>
      <c r="C3192" t="str">
        <f>IFERROR(__xludf.DUMMYFUNCTION("""COMPUTED_VALUE"""),"成本 - 進場前裝潢費")</f>
        <v>成本 - 進場前裝潢費</v>
      </c>
      <c r="D3192" s="270">
        <f>IFERROR(__xludf.DUMMYFUNCTION("""COMPUTED_VALUE"""),-344.0)</f>
        <v>-344</v>
      </c>
      <c r="E3192" t="str">
        <f>IFERROR(__xludf.DUMMYFUNCTION("""COMPUTED_VALUE"""),"Elsa帳戶")</f>
        <v>Elsa帳戶</v>
      </c>
      <c r="G3192" t="str">
        <f>IFERROR(__xludf.DUMMYFUNCTION("""COMPUTED_VALUE"""),"天母搜狗")</f>
        <v>天母搜狗</v>
      </c>
      <c r="H3192" s="106" t="str">
        <f t="shared" si="1"/>
        <v>2026-02</v>
      </c>
      <c r="I3192" s="271" t="str">
        <f>IFERROR(__xludf.DUMMYFUNCTION("""COMPUTED_VALUE"""),"貓狗企鵝")</f>
        <v>貓狗企鵝</v>
      </c>
      <c r="J3192" t="str">
        <f>IFERROR(__xludf.DUMMYFUNCTION("IFS(
  AND(REGEXMATCH(E3192, ""台銀籌備帳戶|玉山帳戶""), REGEXMATCH(C3192, ""薪資"")), ""分潤支出"",
  AND(REGEXMATCH(E3192, ""Ben帳戶|Elsa帳戶|Ben代墊|Ariel代墊|中信銀行共用""), REGEXMATCH(F3192, ""Ben帳戶|Elsa帳戶|Ben代墊|Ariel代墊|中信銀行共用"")), ""內部轉帳(忽略)"",
  AND(E3192&lt;&gt;"""", F3192&lt;&gt;"""", N"&amp;"OT(REGEXMATCH(C3192, ""薪資""))), ""內部轉帳(忽略)"",
  REGEXMATCH(C3192, ""薪資""), ""薪資變動(不計入)"",
  REGEXMATCH(C3192, ""押金""), ""押金往來"",
  AND(E3192&lt;&gt;"""", F3192=""""), ""真實支出"",
  AND(E3192="""", F3192&lt;&gt;""""), ""真實收入"",
  TRUE, ""其他""
)"),"真實支出")</f>
        <v>真實支出</v>
      </c>
      <c r="K3192" s="270">
        <f t="shared" si="2"/>
        <v>-344</v>
      </c>
      <c r="L3192">
        <f t="shared" si="3"/>
        <v>0</v>
      </c>
    </row>
    <row r="3193">
      <c r="A3193" s="107">
        <f>IFERROR(__xludf.DUMMYFUNCTION("""COMPUTED_VALUE"""),46059.0)</f>
        <v>46059</v>
      </c>
      <c r="B3193" t="str">
        <f>IFERROR(__xludf.DUMMYFUNCTION("""COMPUTED_VALUE"""),"滅火器駐警器濾水器等等")</f>
        <v>滅火器駐警器濾水器等等</v>
      </c>
      <c r="C3193" t="str">
        <f>IFERROR(__xludf.DUMMYFUNCTION("""COMPUTED_VALUE"""),"成本 - 進場前裝潢費")</f>
        <v>成本 - 進場前裝潢費</v>
      </c>
      <c r="D3193" s="270">
        <f>IFERROR(__xludf.DUMMYFUNCTION("""COMPUTED_VALUE"""),-6108.0)</f>
        <v>-6108</v>
      </c>
      <c r="E3193" t="str">
        <f>IFERROR(__xludf.DUMMYFUNCTION("""COMPUTED_VALUE"""),"Ben帳戶")</f>
        <v>Ben帳戶</v>
      </c>
      <c r="G3193" t="str">
        <f>IFERROR(__xludf.DUMMYFUNCTION("""COMPUTED_VALUE"""),"天母搜狗")</f>
        <v>天母搜狗</v>
      </c>
      <c r="H3193" s="106" t="str">
        <f t="shared" si="1"/>
        <v>2026-02</v>
      </c>
      <c r="I3193" s="271" t="str">
        <f>IFERROR(__xludf.DUMMYFUNCTION("""COMPUTED_VALUE"""),"貓狗企鵝")</f>
        <v>貓狗企鵝</v>
      </c>
      <c r="J3193" t="str">
        <f>IFERROR(__xludf.DUMMYFUNCTION("IFS(
  AND(REGEXMATCH(E3193, ""台銀籌備帳戶|玉山帳戶""), REGEXMATCH(C3193, ""薪資"")), ""分潤支出"",
  AND(REGEXMATCH(E3193, ""Ben帳戶|Elsa帳戶|Ben代墊|Ariel代墊|中信銀行共用""), REGEXMATCH(F3193, ""Ben帳戶|Elsa帳戶|Ben代墊|Ariel代墊|中信銀行共用"")), ""內部轉帳(忽略)"",
  AND(E3193&lt;&gt;"""", F3193&lt;&gt;"""", N"&amp;"OT(REGEXMATCH(C3193, ""薪資""))), ""內部轉帳(忽略)"",
  REGEXMATCH(C3193, ""薪資""), ""薪資變動(不計入)"",
  REGEXMATCH(C3193, ""押金""), ""押金往來"",
  AND(E3193&lt;&gt;"""", F3193=""""), ""真實支出"",
  AND(E3193="""", F3193&lt;&gt;""""), ""真實收入"",
  TRUE, ""其他""
)"),"真實支出")</f>
        <v>真實支出</v>
      </c>
      <c r="K3193" s="270">
        <f t="shared" si="2"/>
        <v>-6108</v>
      </c>
      <c r="L3193">
        <f t="shared" si="3"/>
        <v>0</v>
      </c>
    </row>
    <row r="3194">
      <c r="A3194" s="107">
        <f>IFERROR(__xludf.DUMMYFUNCTION("""COMPUTED_VALUE"""),46059.0)</f>
        <v>46059</v>
      </c>
      <c r="B3194" t="str">
        <f>IFERROR(__xludf.DUMMYFUNCTION("""COMPUTED_VALUE"""),"景安油漆")</f>
        <v>景安油漆</v>
      </c>
      <c r="C3194" t="str">
        <f>IFERROR(__xludf.DUMMYFUNCTION("""COMPUTED_VALUE"""),"成本 - 租後修繕")</f>
        <v>成本 - 租後修繕</v>
      </c>
      <c r="D3194" s="270">
        <f>IFERROR(__xludf.DUMMYFUNCTION("""COMPUTED_VALUE"""),-1200.0)</f>
        <v>-1200</v>
      </c>
      <c r="E3194" t="str">
        <f>IFERROR(__xludf.DUMMYFUNCTION("""COMPUTED_VALUE"""),"Ben帳戶")</f>
        <v>Ben帳戶</v>
      </c>
      <c r="G3194" t="str">
        <f>IFERROR(__xludf.DUMMYFUNCTION("""COMPUTED_VALUE"""),"景安2分鐘")</f>
        <v>景安2分鐘</v>
      </c>
      <c r="H3194" s="106" t="str">
        <f t="shared" si="1"/>
        <v>2026-02</v>
      </c>
      <c r="I3194" s="271" t="str">
        <f>IFERROR(__xludf.DUMMYFUNCTION("""COMPUTED_VALUE"""),"貓狗企鵝")</f>
        <v>貓狗企鵝</v>
      </c>
      <c r="J3194" t="str">
        <f>IFERROR(__xludf.DUMMYFUNCTION("IFS(
  AND(REGEXMATCH(E3194, ""台銀籌備帳戶|玉山帳戶""), REGEXMATCH(C3194, ""薪資"")), ""分潤支出"",
  AND(REGEXMATCH(E3194, ""Ben帳戶|Elsa帳戶|Ben代墊|Ariel代墊|中信銀行共用""), REGEXMATCH(F3194, ""Ben帳戶|Elsa帳戶|Ben代墊|Ariel代墊|中信銀行共用"")), ""內部轉帳(忽略)"",
  AND(E3194&lt;&gt;"""", F3194&lt;&gt;"""", N"&amp;"OT(REGEXMATCH(C3194, ""薪資""))), ""內部轉帳(忽略)"",
  REGEXMATCH(C3194, ""薪資""), ""薪資變動(不計入)"",
  REGEXMATCH(C3194, ""押金""), ""押金往來"",
  AND(E3194&lt;&gt;"""", F3194=""""), ""真實支出"",
  AND(E3194="""", F3194&lt;&gt;""""), ""真實收入"",
  TRUE, ""其他""
)"),"真實支出")</f>
        <v>真實支出</v>
      </c>
      <c r="K3194" s="270">
        <f t="shared" si="2"/>
        <v>-1200</v>
      </c>
      <c r="L3194">
        <f t="shared" si="3"/>
        <v>0</v>
      </c>
    </row>
    <row r="3195">
      <c r="A3195" s="107">
        <f>IFERROR(__xludf.DUMMYFUNCTION("""COMPUTED_VALUE"""),46063.0)</f>
        <v>46063</v>
      </c>
      <c r="B3195" t="str">
        <f>IFERROR(__xludf.DUMMYFUNCTION("""COMPUTED_VALUE"""),"懶人-垃圾代收")</f>
        <v>懶人-垃圾代收</v>
      </c>
      <c r="C3195" t="str">
        <f>IFERROR(__xludf.DUMMYFUNCTION("""COMPUTED_VALUE"""),"成本 - 固定開銷(網路代收清潔)")</f>
        <v>成本 - 固定開銷(網路代收清潔)</v>
      </c>
      <c r="D3195" s="270">
        <f>IFERROR(__xludf.DUMMYFUNCTION("""COMPUTED_VALUE"""),-1909.0)</f>
        <v>-1909</v>
      </c>
      <c r="E3195" t="str">
        <f>IFERROR(__xludf.DUMMYFUNCTION("""COMPUTED_VALUE"""),"Elsa帳戶")</f>
        <v>Elsa帳戶</v>
      </c>
      <c r="G3195" t="str">
        <f>IFERROR(__xludf.DUMMYFUNCTION("""COMPUTED_VALUE"""),"書香民生")</f>
        <v>書香民生</v>
      </c>
      <c r="H3195" s="106" t="str">
        <f t="shared" si="1"/>
        <v>2026-02</v>
      </c>
      <c r="I3195" s="271" t="str">
        <f>IFERROR(__xludf.DUMMYFUNCTION("""COMPUTED_VALUE"""),"貓狗企鵝")</f>
        <v>貓狗企鵝</v>
      </c>
      <c r="J3195" t="str">
        <f>IFERROR(__xludf.DUMMYFUNCTION("IFS(
  AND(REGEXMATCH(E3195, ""台銀籌備帳戶|玉山帳戶""), REGEXMATCH(C3195, ""薪資"")), ""分潤支出"",
  AND(REGEXMATCH(E3195, ""Ben帳戶|Elsa帳戶|Ben代墊|Ariel代墊|中信銀行共用""), REGEXMATCH(F3195, ""Ben帳戶|Elsa帳戶|Ben代墊|Ariel代墊|中信銀行共用"")), ""內部轉帳(忽略)"",
  AND(E3195&lt;&gt;"""", F3195&lt;&gt;"""", N"&amp;"OT(REGEXMATCH(C3195, ""薪資""))), ""內部轉帳(忽略)"",
  REGEXMATCH(C3195, ""薪資""), ""薪資變動(不計入)"",
  REGEXMATCH(C3195, ""押金""), ""押金往來"",
  AND(E3195&lt;&gt;"""", F3195=""""), ""真實支出"",
  AND(E3195="""", F3195&lt;&gt;""""), ""真實收入"",
  TRUE, ""其他""
)"),"真實支出")</f>
        <v>真實支出</v>
      </c>
      <c r="K3195" s="270">
        <f t="shared" si="2"/>
        <v>-1909</v>
      </c>
      <c r="L3195">
        <f t="shared" si="3"/>
        <v>0</v>
      </c>
    </row>
    <row r="3196">
      <c r="A3196" s="107">
        <f>IFERROR(__xludf.DUMMYFUNCTION("""COMPUTED_VALUE"""),46063.0)</f>
        <v>46063</v>
      </c>
      <c r="B3196">
        <f>IFERROR(__xludf.DUMMYFUNCTION("""COMPUTED_VALUE"""),591.0)</f>
        <v>591</v>
      </c>
      <c r="C3196" t="str">
        <f>IFERROR(__xludf.DUMMYFUNCTION("""COMPUTED_VALUE"""),"成本 - 仲介費")</f>
        <v>成本 - 仲介費</v>
      </c>
      <c r="D3196" s="270">
        <f>IFERROR(__xludf.DUMMYFUNCTION("""COMPUTED_VALUE"""),-1289.0)</f>
        <v>-1289</v>
      </c>
      <c r="E3196" t="str">
        <f>IFERROR(__xludf.DUMMYFUNCTION("""COMPUTED_VALUE"""),"Elsa帳戶")</f>
        <v>Elsa帳戶</v>
      </c>
      <c r="G3196" t="str">
        <f>IFERROR(__xludf.DUMMYFUNCTION("""COMPUTED_VALUE"""),"天母搜狗")</f>
        <v>天母搜狗</v>
      </c>
      <c r="H3196" s="106" t="str">
        <f t="shared" si="1"/>
        <v>2026-02</v>
      </c>
      <c r="I3196" s="271" t="str">
        <f>IFERROR(__xludf.DUMMYFUNCTION("""COMPUTED_VALUE"""),"貓狗企鵝")</f>
        <v>貓狗企鵝</v>
      </c>
      <c r="J3196" t="str">
        <f>IFERROR(__xludf.DUMMYFUNCTION("IFS(
  AND(REGEXMATCH(E3196, ""台銀籌備帳戶|玉山帳戶""), REGEXMATCH(C3196, ""薪資"")), ""分潤支出"",
  AND(REGEXMATCH(E3196, ""Ben帳戶|Elsa帳戶|Ben代墊|Ariel代墊|中信銀行共用""), REGEXMATCH(F3196, ""Ben帳戶|Elsa帳戶|Ben代墊|Ariel代墊|中信銀行共用"")), ""內部轉帳(忽略)"",
  AND(E3196&lt;&gt;"""", F3196&lt;&gt;"""", N"&amp;"OT(REGEXMATCH(C3196, ""薪資""))), ""內部轉帳(忽略)"",
  REGEXMATCH(C3196, ""薪資""), ""薪資變動(不計入)"",
  REGEXMATCH(C3196, ""押金""), ""押金往來"",
  AND(E3196&lt;&gt;"""", F3196=""""), ""真實支出"",
  AND(E3196="""", F3196&lt;&gt;""""), ""真實收入"",
  TRUE, ""其他""
)"),"真實支出")</f>
        <v>真實支出</v>
      </c>
      <c r="K3196" s="270">
        <f t="shared" si="2"/>
        <v>-1289</v>
      </c>
      <c r="L3196">
        <f t="shared" si="3"/>
        <v>0</v>
      </c>
    </row>
    <row r="3197">
      <c r="A3197" s="107">
        <f>IFERROR(__xludf.DUMMYFUNCTION("""COMPUTED_VALUE"""),46063.0)</f>
        <v>46063</v>
      </c>
      <c r="B3197" t="str">
        <f>IFERROR(__xludf.DUMMYFUNCTION("""COMPUTED_VALUE"""),"小玉搬家")</f>
        <v>小玉搬家</v>
      </c>
      <c r="C3197" t="str">
        <f>IFERROR(__xludf.DUMMYFUNCTION("""COMPUTED_VALUE"""),"成本 - 進場前裝潢費")</f>
        <v>成本 - 進場前裝潢費</v>
      </c>
      <c r="D3197" s="270">
        <f>IFERROR(__xludf.DUMMYFUNCTION("""COMPUTED_VALUE"""),-1050.0)</f>
        <v>-1050</v>
      </c>
      <c r="E3197" t="str">
        <f>IFERROR(__xludf.DUMMYFUNCTION("""COMPUTED_VALUE"""),"Elsa帳戶")</f>
        <v>Elsa帳戶</v>
      </c>
      <c r="G3197" t="str">
        <f>IFERROR(__xludf.DUMMYFUNCTION("""COMPUTED_VALUE"""),"天母搜狗")</f>
        <v>天母搜狗</v>
      </c>
      <c r="H3197" s="106" t="str">
        <f t="shared" si="1"/>
        <v>2026-02</v>
      </c>
      <c r="I3197" s="271" t="str">
        <f>IFERROR(__xludf.DUMMYFUNCTION("""COMPUTED_VALUE"""),"貓狗企鵝")</f>
        <v>貓狗企鵝</v>
      </c>
      <c r="J3197" t="str">
        <f>IFERROR(__xludf.DUMMYFUNCTION("IFS(
  AND(REGEXMATCH(E3197, ""台銀籌備帳戶|玉山帳戶""), REGEXMATCH(C3197, ""薪資"")), ""分潤支出"",
  AND(REGEXMATCH(E3197, ""Ben帳戶|Elsa帳戶|Ben代墊|Ariel代墊|中信銀行共用""), REGEXMATCH(F3197, ""Ben帳戶|Elsa帳戶|Ben代墊|Ariel代墊|中信銀行共用"")), ""內部轉帳(忽略)"",
  AND(E3197&lt;&gt;"""", F3197&lt;&gt;"""", N"&amp;"OT(REGEXMATCH(C3197, ""薪資""))), ""內部轉帳(忽略)"",
  REGEXMATCH(C3197, ""薪資""), ""薪資變動(不計入)"",
  REGEXMATCH(C3197, ""押金""), ""押金往來"",
  AND(E3197&lt;&gt;"""", F3197=""""), ""真實支出"",
  AND(E3197="""", F3197&lt;&gt;""""), ""真實收入"",
  TRUE, ""其他""
)"),"真實支出")</f>
        <v>真實支出</v>
      </c>
      <c r="K3197" s="270">
        <f t="shared" si="2"/>
        <v>-1050</v>
      </c>
      <c r="L3197">
        <f t="shared" si="3"/>
        <v>0</v>
      </c>
    </row>
    <row r="3198">
      <c r="A3198" s="107">
        <f>IFERROR(__xludf.DUMMYFUNCTION("""COMPUTED_VALUE"""),46044.0)</f>
        <v>46044</v>
      </c>
      <c r="B3198" t="str">
        <f>IFERROR(__xludf.DUMMYFUNCTION("""COMPUTED_VALUE"""),"費用 - 匯費 008 (00149)")</f>
        <v>費用 - 匯費 008 (00149)</v>
      </c>
      <c r="C3198" t="str">
        <f>IFERROR(__xludf.DUMMYFUNCTION("""COMPUTED_VALUE"""),"費用 - 匯費")</f>
        <v>費用 - 匯費</v>
      </c>
      <c r="D3198" s="270">
        <f>IFERROR(__xludf.DUMMYFUNCTION("""COMPUTED_VALUE"""),-15.0)</f>
        <v>-15</v>
      </c>
      <c r="E3198" t="str">
        <f>IFERROR(__xludf.DUMMYFUNCTION("""COMPUTED_VALUE"""),"台銀籌備帳戶")</f>
        <v>台銀籌備帳戶</v>
      </c>
      <c r="H3198" s="106" t="str">
        <f t="shared" si="1"/>
        <v>2026-01</v>
      </c>
      <c r="I3198" s="271" t="str">
        <f>IFERROR(__xludf.DUMMYFUNCTION("""COMPUTED_VALUE"""),"貓狗企鵝")</f>
        <v>貓狗企鵝</v>
      </c>
      <c r="J3198" t="str">
        <f>IFERROR(__xludf.DUMMYFUNCTION("IFS(
  AND(REGEXMATCH(E3198, ""台銀籌備帳戶|玉山帳戶""), REGEXMATCH(C3198, ""薪資"")), ""分潤支出"",
  AND(REGEXMATCH(E3198, ""Ben帳戶|Elsa帳戶|Ben代墊|Ariel代墊|中信銀行共用""), REGEXMATCH(F3198, ""Ben帳戶|Elsa帳戶|Ben代墊|Ariel代墊|中信銀行共用"")), ""內部轉帳(忽略)"",
  AND(E3198&lt;&gt;"""", F3198&lt;&gt;"""", N"&amp;"OT(REGEXMATCH(C3198, ""薪資""))), ""內部轉帳(忽略)"",
  REGEXMATCH(C3198, ""薪資""), ""薪資變動(不計入)"",
  REGEXMATCH(C3198, ""押金""), ""押金往來"",
  AND(E3198&lt;&gt;"""", F3198=""""), ""真實支出"",
  AND(E3198="""", F3198&lt;&gt;""""), ""真實收入"",
  TRUE, ""其他""
)"),"真實支出")</f>
        <v>真實支出</v>
      </c>
      <c r="K3198" s="270">
        <f t="shared" si="2"/>
        <v>-15</v>
      </c>
      <c r="L3198">
        <f t="shared" si="3"/>
        <v>0</v>
      </c>
    </row>
    <row r="3199">
      <c r="A3199" s="107">
        <f>IFERROR(__xludf.DUMMYFUNCTION("""COMPUTED_VALUE"""),46044.0)</f>
        <v>46044</v>
      </c>
      <c r="B3199" t="str">
        <f>IFERROR(__xludf.DUMMYFUNCTION("""COMPUTED_VALUE"""),"大堂補油漆 【未分類支出】")</f>
        <v>大堂補油漆 【未分類支出】</v>
      </c>
      <c r="C3199" t="str">
        <f>IFERROR(__xludf.DUMMYFUNCTION("""COMPUTED_VALUE"""),"成本 - 進場前裝潢費")</f>
        <v>成本 - 進場前裝潢費</v>
      </c>
      <c r="D3199" s="270">
        <f>IFERROR(__xludf.DUMMYFUNCTION("""COMPUTED_VALUE"""),-9765.0)</f>
        <v>-9765</v>
      </c>
      <c r="E3199" t="str">
        <f>IFERROR(__xludf.DUMMYFUNCTION("""COMPUTED_VALUE"""),"台銀籌備帳戶")</f>
        <v>台銀籌備帳戶</v>
      </c>
      <c r="G3199" t="str">
        <f>IFERROR(__xludf.DUMMYFUNCTION("""COMPUTED_VALUE"""),"天母搜狗")</f>
        <v>天母搜狗</v>
      </c>
      <c r="H3199" s="106" t="str">
        <f t="shared" si="1"/>
        <v>2026-01</v>
      </c>
      <c r="I3199" s="271" t="str">
        <f>IFERROR(__xludf.DUMMYFUNCTION("""COMPUTED_VALUE"""),"貓狗企鵝")</f>
        <v>貓狗企鵝</v>
      </c>
      <c r="J3199" t="str">
        <f>IFERROR(__xludf.DUMMYFUNCTION("IFS(
  AND(REGEXMATCH(E3199, ""台銀籌備帳戶|玉山帳戶""), REGEXMATCH(C3199, ""薪資"")), ""分潤支出"",
  AND(REGEXMATCH(E3199, ""Ben帳戶|Elsa帳戶|Ben代墊|Ariel代墊|中信銀行共用""), REGEXMATCH(F3199, ""Ben帳戶|Elsa帳戶|Ben代墊|Ariel代墊|中信銀行共用"")), ""內部轉帳(忽略)"",
  AND(E3199&lt;&gt;"""", F3199&lt;&gt;"""", N"&amp;"OT(REGEXMATCH(C3199, ""薪資""))), ""內部轉帳(忽略)"",
  REGEXMATCH(C3199, ""薪資""), ""薪資變動(不計入)"",
  REGEXMATCH(C3199, ""押金""), ""押金往來"",
  AND(E3199&lt;&gt;"""", F3199=""""), ""真實支出"",
  AND(E3199="""", F3199&lt;&gt;""""), ""真實收入"",
  TRUE, ""其他""
)"),"真實支出")</f>
        <v>真實支出</v>
      </c>
      <c r="K3199" s="270">
        <f t="shared" si="2"/>
        <v>-9765</v>
      </c>
      <c r="L3199">
        <f t="shared" si="3"/>
        <v>0</v>
      </c>
    </row>
    <row r="3200">
      <c r="A3200" s="107">
        <f>IFERROR(__xludf.DUMMYFUNCTION("""COMPUTED_VALUE"""),46049.0)</f>
        <v>46049</v>
      </c>
      <c r="B3200" t="str">
        <f>IFERROR(__xludf.DUMMYFUNCTION("""COMPUTED_VALUE"""),"[大湖山莊] 【G】 後五碼:47500 (行號: 27)")</f>
        <v>[大湖山莊] 【G】 後五碼:47500 (行號: 27)</v>
      </c>
      <c r="C3200" t="str">
        <f>IFERROR(__xludf.DUMMYFUNCTION("""COMPUTED_VALUE"""),"收入 - 租金")</f>
        <v>收入 - 租金</v>
      </c>
      <c r="D3200" s="270">
        <f>IFERROR(__xludf.DUMMYFUNCTION("""COMPUTED_VALUE"""),15800.0)</f>
        <v>15800</v>
      </c>
      <c r="F3200" t="str">
        <f>IFERROR(__xludf.DUMMYFUNCTION("""COMPUTED_VALUE"""),"台銀籌備帳戶")</f>
        <v>台銀籌備帳戶</v>
      </c>
      <c r="G3200" t="str">
        <f>IFERROR(__xludf.DUMMYFUNCTION("""COMPUTED_VALUE"""),"大湖山莊")</f>
        <v>大湖山莊</v>
      </c>
      <c r="H3200" s="106" t="str">
        <f t="shared" si="1"/>
        <v>2026-01</v>
      </c>
      <c r="I3200" s="271" t="str">
        <f>IFERROR(__xludf.DUMMYFUNCTION("""COMPUTED_VALUE"""),"貓狗企鵝")</f>
        <v>貓狗企鵝</v>
      </c>
      <c r="J3200" t="str">
        <f>IFERROR(__xludf.DUMMYFUNCTION("IFS(
  AND(REGEXMATCH(E3200, ""台銀籌備帳戶|玉山帳戶""), REGEXMATCH(C3200, ""薪資"")), ""分潤支出"",
  AND(REGEXMATCH(E3200, ""Ben帳戶|Elsa帳戶|Ben代墊|Ariel代墊|中信銀行共用""), REGEXMATCH(F3200, ""Ben帳戶|Elsa帳戶|Ben代墊|Ariel代墊|中信銀行共用"")), ""內部轉帳(忽略)"",
  AND(E3200&lt;&gt;"""", F3200&lt;&gt;"""", N"&amp;"OT(REGEXMATCH(C3200, ""薪資""))), ""內部轉帳(忽略)"",
  REGEXMATCH(C3200, ""薪資""), ""薪資變動(不計入)"",
  REGEXMATCH(C3200, ""押金""), ""押金往來"",
  AND(E3200&lt;&gt;"""", F3200=""""), ""真實支出"",
  AND(E3200="""", F3200&lt;&gt;""""), ""真實收入"",
  TRUE, ""其他""
)"),"真實收入")</f>
        <v>真實收入</v>
      </c>
      <c r="K3200" s="270">
        <f t="shared" si="2"/>
        <v>15800</v>
      </c>
      <c r="L3200">
        <f t="shared" si="3"/>
        <v>0</v>
      </c>
    </row>
    <row r="3201">
      <c r="A3201" s="107">
        <f>IFERROR(__xludf.DUMMYFUNCTION("""COMPUTED_VALUE"""),46050.0)</f>
        <v>46050</v>
      </c>
      <c r="B3201" t="str">
        <f>IFERROR(__xludf.DUMMYFUNCTION("""COMPUTED_VALUE"""),"[南港站挑高宅] B 月租金 後五碼:65938 (行號: 29)")</f>
        <v>[南港站挑高宅] B 月租金 後五碼:65938 (行號: 29)</v>
      </c>
      <c r="C3201" t="str">
        <f>IFERROR(__xludf.DUMMYFUNCTION("""COMPUTED_VALUE"""),"收入 - 租金")</f>
        <v>收入 - 租金</v>
      </c>
      <c r="D3201" s="270">
        <f>IFERROR(__xludf.DUMMYFUNCTION("""COMPUTED_VALUE"""),11000.0)</f>
        <v>11000</v>
      </c>
      <c r="F3201" t="str">
        <f>IFERROR(__xludf.DUMMYFUNCTION("""COMPUTED_VALUE"""),"台銀籌備帳戶")</f>
        <v>台銀籌備帳戶</v>
      </c>
      <c r="G3201" t="str">
        <f>IFERROR(__xludf.DUMMYFUNCTION("""COMPUTED_VALUE"""),"南港站挑高宅")</f>
        <v>南港站挑高宅</v>
      </c>
      <c r="H3201" s="106" t="str">
        <f t="shared" si="1"/>
        <v>2026-01</v>
      </c>
      <c r="I3201" s="271" t="str">
        <f>IFERROR(__xludf.DUMMYFUNCTION("""COMPUTED_VALUE"""),"貓狗企鵝")</f>
        <v>貓狗企鵝</v>
      </c>
      <c r="J3201" t="str">
        <f>IFERROR(__xludf.DUMMYFUNCTION("IFS(
  AND(REGEXMATCH(E3201, ""台銀籌備帳戶|玉山帳戶""), REGEXMATCH(C3201, ""薪資"")), ""分潤支出"",
  AND(REGEXMATCH(E3201, ""Ben帳戶|Elsa帳戶|Ben代墊|Ariel代墊|中信銀行共用""), REGEXMATCH(F3201, ""Ben帳戶|Elsa帳戶|Ben代墊|Ariel代墊|中信銀行共用"")), ""內部轉帳(忽略)"",
  AND(E3201&lt;&gt;"""", F3201&lt;&gt;"""", N"&amp;"OT(REGEXMATCH(C3201, ""薪資""))), ""內部轉帳(忽略)"",
  REGEXMATCH(C3201, ""薪資""), ""薪資變動(不計入)"",
  REGEXMATCH(C3201, ""押金""), ""押金往來"",
  AND(E3201&lt;&gt;"""", F3201=""""), ""真實支出"",
  AND(E3201="""", F3201&lt;&gt;""""), ""真實收入"",
  TRUE, ""其他""
)"),"真實收入")</f>
        <v>真實收入</v>
      </c>
      <c r="K3201" s="270">
        <f t="shared" si="2"/>
        <v>11000</v>
      </c>
      <c r="L3201">
        <f t="shared" si="3"/>
        <v>0</v>
      </c>
    </row>
    <row r="3202">
      <c r="A3202" s="107">
        <f>IFERROR(__xludf.DUMMYFUNCTION("""COMPUTED_VALUE"""),46051.0)</f>
        <v>46051</v>
      </c>
      <c r="B3202" t="str">
        <f>IFERROR(__xludf.DUMMYFUNCTION("""COMPUTED_VALUE"""),"[大湖山莊] B 月租金 後五碼:94943 (行號: 30)")</f>
        <v>[大湖山莊] B 月租金 後五碼:94943 (行號: 30)</v>
      </c>
      <c r="C3202" t="str">
        <f>IFERROR(__xludf.DUMMYFUNCTION("""COMPUTED_VALUE"""),"收入 - 租金")</f>
        <v>收入 - 租金</v>
      </c>
      <c r="D3202" s="270">
        <f>IFERROR(__xludf.DUMMYFUNCTION("""COMPUTED_VALUE"""),12000.0)</f>
        <v>12000</v>
      </c>
      <c r="F3202" t="str">
        <f>IFERROR(__xludf.DUMMYFUNCTION("""COMPUTED_VALUE"""),"台銀籌備帳戶")</f>
        <v>台銀籌備帳戶</v>
      </c>
      <c r="G3202" t="str">
        <f>IFERROR(__xludf.DUMMYFUNCTION("""COMPUTED_VALUE"""),"大湖山莊")</f>
        <v>大湖山莊</v>
      </c>
      <c r="H3202" s="106" t="str">
        <f t="shared" si="1"/>
        <v>2026-01</v>
      </c>
      <c r="I3202" s="271" t="str">
        <f>IFERROR(__xludf.DUMMYFUNCTION("""COMPUTED_VALUE"""),"貓狗企鵝")</f>
        <v>貓狗企鵝</v>
      </c>
      <c r="J3202" t="str">
        <f>IFERROR(__xludf.DUMMYFUNCTION("IFS(
  AND(REGEXMATCH(E3202, ""台銀籌備帳戶|玉山帳戶""), REGEXMATCH(C3202, ""薪資"")), ""分潤支出"",
  AND(REGEXMATCH(E3202, ""Ben帳戶|Elsa帳戶|Ben代墊|Ariel代墊|中信銀行共用""), REGEXMATCH(F3202, ""Ben帳戶|Elsa帳戶|Ben代墊|Ariel代墊|中信銀行共用"")), ""內部轉帳(忽略)"",
  AND(E3202&lt;&gt;"""", F3202&lt;&gt;"""", N"&amp;"OT(REGEXMATCH(C3202, ""薪資""))), ""內部轉帳(忽略)"",
  REGEXMATCH(C3202, ""薪資""), ""薪資變動(不計入)"",
  REGEXMATCH(C3202, ""押金""), ""押金往來"",
  AND(E3202&lt;&gt;"""", F3202=""""), ""真實支出"",
  AND(E3202="""", F3202&lt;&gt;""""), ""真實收入"",
  TRUE, ""其他""
)"),"真實收入")</f>
        <v>真實收入</v>
      </c>
      <c r="K3202" s="270">
        <f t="shared" si="2"/>
        <v>12000</v>
      </c>
      <c r="L3202">
        <f t="shared" si="3"/>
        <v>0</v>
      </c>
    </row>
    <row r="3203">
      <c r="A3203" s="107">
        <f>IFERROR(__xludf.DUMMYFUNCTION("""COMPUTED_VALUE"""),46052.0)</f>
        <v>46052</v>
      </c>
      <c r="B3203" t="str">
        <f>IFERROR(__xludf.DUMMYFUNCTION("""COMPUTED_VALUE"""),"[景安2分鐘] C 月租金 後五碼:40729 (行號: 31)")</f>
        <v>[景安2分鐘] C 月租金 後五碼:40729 (行號: 31)</v>
      </c>
      <c r="C3203" t="str">
        <f>IFERROR(__xludf.DUMMYFUNCTION("""COMPUTED_VALUE"""),"收入 - 租金")</f>
        <v>收入 - 租金</v>
      </c>
      <c r="D3203" s="270">
        <f>IFERROR(__xludf.DUMMYFUNCTION("""COMPUTED_VALUE"""),12500.0)</f>
        <v>12500</v>
      </c>
      <c r="F3203" t="str">
        <f>IFERROR(__xludf.DUMMYFUNCTION("""COMPUTED_VALUE"""),"台銀籌備帳戶")</f>
        <v>台銀籌備帳戶</v>
      </c>
      <c r="G3203" t="str">
        <f>IFERROR(__xludf.DUMMYFUNCTION("""COMPUTED_VALUE"""),"景安2分鐘")</f>
        <v>景安2分鐘</v>
      </c>
      <c r="H3203" s="106" t="str">
        <f t="shared" si="1"/>
        <v>2026-01</v>
      </c>
      <c r="I3203" s="271" t="str">
        <f>IFERROR(__xludf.DUMMYFUNCTION("""COMPUTED_VALUE"""),"貓狗企鵝")</f>
        <v>貓狗企鵝</v>
      </c>
      <c r="J3203" t="str">
        <f>IFERROR(__xludf.DUMMYFUNCTION("IFS(
  AND(REGEXMATCH(E3203, ""台銀籌備帳戶|玉山帳戶""), REGEXMATCH(C3203, ""薪資"")), ""分潤支出"",
  AND(REGEXMATCH(E3203, ""Ben帳戶|Elsa帳戶|Ben代墊|Ariel代墊|中信銀行共用""), REGEXMATCH(F3203, ""Ben帳戶|Elsa帳戶|Ben代墊|Ariel代墊|中信銀行共用"")), ""內部轉帳(忽略)"",
  AND(E3203&lt;&gt;"""", F3203&lt;&gt;"""", N"&amp;"OT(REGEXMATCH(C3203, ""薪資""))), ""內部轉帳(忽略)"",
  REGEXMATCH(C3203, ""薪資""), ""薪資變動(不計入)"",
  REGEXMATCH(C3203, ""押金""), ""押金往來"",
  AND(E3203&lt;&gt;"""", F3203=""""), ""真實支出"",
  AND(E3203="""", F3203&lt;&gt;""""), ""真實收入"",
  TRUE, ""其他""
)"),"真實收入")</f>
        <v>真實收入</v>
      </c>
      <c r="K3203" s="270">
        <f t="shared" si="2"/>
        <v>12500</v>
      </c>
      <c r="L3203">
        <f t="shared" si="3"/>
        <v>0</v>
      </c>
    </row>
    <row r="3204">
      <c r="A3204" s="107">
        <f>IFERROR(__xludf.DUMMYFUNCTION("""COMPUTED_VALUE"""),46052.0)</f>
        <v>46052</v>
      </c>
      <c r="B3204" t="str">
        <f>IFERROR(__xludf.DUMMYFUNCTION("""COMPUTED_VALUE"""),"[南港站挑高宅] A 月租金 後五碼:15361 (行號: 32)")</f>
        <v>[南港站挑高宅] A 月租金 後五碼:15361 (行號: 32)</v>
      </c>
      <c r="C3204" t="str">
        <f>IFERROR(__xludf.DUMMYFUNCTION("""COMPUTED_VALUE"""),"收入 - 租金")</f>
        <v>收入 - 租金</v>
      </c>
      <c r="D3204" s="270">
        <f>IFERROR(__xludf.DUMMYFUNCTION("""COMPUTED_VALUE"""),13000.0)</f>
        <v>13000</v>
      </c>
      <c r="F3204" t="str">
        <f>IFERROR(__xludf.DUMMYFUNCTION("""COMPUTED_VALUE"""),"台銀籌備帳戶")</f>
        <v>台銀籌備帳戶</v>
      </c>
      <c r="G3204" t="str">
        <f>IFERROR(__xludf.DUMMYFUNCTION("""COMPUTED_VALUE"""),"南港站挑高宅")</f>
        <v>南港站挑高宅</v>
      </c>
      <c r="H3204" s="106" t="str">
        <f t="shared" si="1"/>
        <v>2026-01</v>
      </c>
      <c r="I3204" s="271" t="str">
        <f>IFERROR(__xludf.DUMMYFUNCTION("""COMPUTED_VALUE"""),"貓狗企鵝")</f>
        <v>貓狗企鵝</v>
      </c>
      <c r="J3204" t="str">
        <f>IFERROR(__xludf.DUMMYFUNCTION("IFS(
  AND(REGEXMATCH(E3204, ""台銀籌備帳戶|玉山帳戶""), REGEXMATCH(C3204, ""薪資"")), ""分潤支出"",
  AND(REGEXMATCH(E3204, ""Ben帳戶|Elsa帳戶|Ben代墊|Ariel代墊|中信銀行共用""), REGEXMATCH(F3204, ""Ben帳戶|Elsa帳戶|Ben代墊|Ariel代墊|中信銀行共用"")), ""內部轉帳(忽略)"",
  AND(E3204&lt;&gt;"""", F3204&lt;&gt;"""", N"&amp;"OT(REGEXMATCH(C3204, ""薪資""))), ""內部轉帳(忽略)"",
  REGEXMATCH(C3204, ""薪資""), ""薪資變動(不計入)"",
  REGEXMATCH(C3204, ""押金""), ""押金往來"",
  AND(E3204&lt;&gt;"""", F3204=""""), ""真實支出"",
  AND(E3204="""", F3204&lt;&gt;""""), ""真實收入"",
  TRUE, ""其他""
)"),"真實收入")</f>
        <v>真實收入</v>
      </c>
      <c r="K3204" s="270">
        <f t="shared" si="2"/>
        <v>13000</v>
      </c>
      <c r="L3204">
        <f t="shared" si="3"/>
        <v>0</v>
      </c>
    </row>
    <row r="3205">
      <c r="A3205" s="107">
        <f>IFERROR(__xludf.DUMMYFUNCTION("""COMPUTED_VALUE"""),46053.0)</f>
        <v>46053</v>
      </c>
      <c r="B3205" t="str">
        <f>IFERROR(__xludf.DUMMYFUNCTION("""COMPUTED_VALUE"""),"[金龍帽子先生] A 月租金 後五碼:70383 (行號: 33)")</f>
        <v>[金龍帽子先生] A 月租金 後五碼:70383 (行號: 33)</v>
      </c>
      <c r="C3205" t="str">
        <f>IFERROR(__xludf.DUMMYFUNCTION("""COMPUTED_VALUE"""),"收入 - 租金")</f>
        <v>收入 - 租金</v>
      </c>
      <c r="D3205" s="270">
        <f>IFERROR(__xludf.DUMMYFUNCTION("""COMPUTED_VALUE"""),17200.0)</f>
        <v>17200</v>
      </c>
      <c r="F3205" t="str">
        <f>IFERROR(__xludf.DUMMYFUNCTION("""COMPUTED_VALUE"""),"台銀籌備帳戶")</f>
        <v>台銀籌備帳戶</v>
      </c>
      <c r="G3205" t="str">
        <f>IFERROR(__xludf.DUMMYFUNCTION("""COMPUTED_VALUE"""),"金龍帽子先生")</f>
        <v>金龍帽子先生</v>
      </c>
      <c r="H3205" s="106" t="str">
        <f t="shared" si="1"/>
        <v>2026-01</v>
      </c>
      <c r="I3205" s="271" t="str">
        <f>IFERROR(__xludf.DUMMYFUNCTION("""COMPUTED_VALUE"""),"貓狗企鵝")</f>
        <v>貓狗企鵝</v>
      </c>
      <c r="J3205" t="str">
        <f>IFERROR(__xludf.DUMMYFUNCTION("IFS(
  AND(REGEXMATCH(E3205, ""台銀籌備帳戶|玉山帳戶""), REGEXMATCH(C3205, ""薪資"")), ""分潤支出"",
  AND(REGEXMATCH(E3205, ""Ben帳戶|Elsa帳戶|Ben代墊|Ariel代墊|中信銀行共用""), REGEXMATCH(F3205, ""Ben帳戶|Elsa帳戶|Ben代墊|Ariel代墊|中信銀行共用"")), ""內部轉帳(忽略)"",
  AND(E3205&lt;&gt;"""", F3205&lt;&gt;"""", N"&amp;"OT(REGEXMATCH(C3205, ""薪資""))), ""內部轉帳(忽略)"",
  REGEXMATCH(C3205, ""薪資""), ""薪資變動(不計入)"",
  REGEXMATCH(C3205, ""押金""), ""押金往來"",
  AND(E3205&lt;&gt;"""", F3205=""""), ""真實支出"",
  AND(E3205="""", F3205&lt;&gt;""""), ""真實收入"",
  TRUE, ""其他""
)"),"真實收入")</f>
        <v>真實收入</v>
      </c>
      <c r="K3205" s="270">
        <f t="shared" si="2"/>
        <v>17200</v>
      </c>
      <c r="L3205">
        <f t="shared" si="3"/>
        <v>0</v>
      </c>
    </row>
    <row r="3206">
      <c r="A3206" s="107">
        <f>IFERROR(__xludf.DUMMYFUNCTION("""COMPUTED_VALUE"""),46054.0)</f>
        <v>46054</v>
      </c>
      <c r="B3206" t="str">
        <f>IFERROR(__xludf.DUMMYFUNCTION("""COMPUTED_VALUE"""),"[景安2分鐘] E 月租金 後五碼:75759 (行號: 34)")</f>
        <v>[景安2分鐘] E 月租金 後五碼:75759 (行號: 34)</v>
      </c>
      <c r="C3206" t="str">
        <f>IFERROR(__xludf.DUMMYFUNCTION("""COMPUTED_VALUE"""),"收入 - 租金")</f>
        <v>收入 - 租金</v>
      </c>
      <c r="D3206" s="270">
        <f>IFERROR(__xludf.DUMMYFUNCTION("""COMPUTED_VALUE"""),10500.0)</f>
        <v>10500</v>
      </c>
      <c r="F3206" t="str">
        <f>IFERROR(__xludf.DUMMYFUNCTION("""COMPUTED_VALUE"""),"台銀籌備帳戶")</f>
        <v>台銀籌備帳戶</v>
      </c>
      <c r="G3206" t="str">
        <f>IFERROR(__xludf.DUMMYFUNCTION("""COMPUTED_VALUE"""),"景安2分鐘")</f>
        <v>景安2分鐘</v>
      </c>
      <c r="H3206" s="106" t="str">
        <f t="shared" si="1"/>
        <v>2026-02</v>
      </c>
      <c r="I3206" s="271" t="str">
        <f>IFERROR(__xludf.DUMMYFUNCTION("""COMPUTED_VALUE"""),"貓狗企鵝")</f>
        <v>貓狗企鵝</v>
      </c>
      <c r="J3206" t="str">
        <f>IFERROR(__xludf.DUMMYFUNCTION("IFS(
  AND(REGEXMATCH(E3206, ""台銀籌備帳戶|玉山帳戶""), REGEXMATCH(C3206, ""薪資"")), ""分潤支出"",
  AND(REGEXMATCH(E3206, ""Ben帳戶|Elsa帳戶|Ben代墊|Ariel代墊|中信銀行共用""), REGEXMATCH(F3206, ""Ben帳戶|Elsa帳戶|Ben代墊|Ariel代墊|中信銀行共用"")), ""內部轉帳(忽略)"",
  AND(E3206&lt;&gt;"""", F3206&lt;&gt;"""", N"&amp;"OT(REGEXMATCH(C3206, ""薪資""))), ""內部轉帳(忽略)"",
  REGEXMATCH(C3206, ""薪資""), ""薪資變動(不計入)"",
  REGEXMATCH(C3206, ""押金""), ""押金往來"",
  AND(E3206&lt;&gt;"""", F3206=""""), ""真實支出"",
  AND(E3206="""", F3206&lt;&gt;""""), ""真實收入"",
  TRUE, ""其他""
)"),"真實收入")</f>
        <v>真實收入</v>
      </c>
      <c r="K3206" s="270">
        <f t="shared" si="2"/>
        <v>10500</v>
      </c>
      <c r="L3206">
        <f t="shared" si="3"/>
        <v>0</v>
      </c>
    </row>
    <row r="3207">
      <c r="A3207" s="107">
        <f>IFERROR(__xludf.DUMMYFUNCTION("""COMPUTED_VALUE"""),46054.0)</f>
        <v>46054</v>
      </c>
      <c r="B3207" t="str">
        <f>IFERROR(__xludf.DUMMYFUNCTION("""COMPUTED_VALUE"""),"[永春四號] 兩房 月租金 後五碼:34918 (行號: 35)")</f>
        <v>[永春四號] 兩房 月租金 後五碼:34918 (行號: 35)</v>
      </c>
      <c r="C3207" t="str">
        <f>IFERROR(__xludf.DUMMYFUNCTION("""COMPUTED_VALUE"""),"收入 - 租金")</f>
        <v>收入 - 租金</v>
      </c>
      <c r="D3207" s="270">
        <f>IFERROR(__xludf.DUMMYFUNCTION("""COMPUTED_VALUE"""),29800.0)</f>
        <v>29800</v>
      </c>
      <c r="F3207" t="str">
        <f>IFERROR(__xludf.DUMMYFUNCTION("""COMPUTED_VALUE"""),"台銀籌備帳戶")</f>
        <v>台銀籌備帳戶</v>
      </c>
      <c r="G3207" t="str">
        <f>IFERROR(__xludf.DUMMYFUNCTION("""COMPUTED_VALUE"""),"永春四號")</f>
        <v>永春四號</v>
      </c>
      <c r="H3207" s="106" t="str">
        <f t="shared" si="1"/>
        <v>2026-02</v>
      </c>
      <c r="I3207" s="271" t="str">
        <f>IFERROR(__xludf.DUMMYFUNCTION("""COMPUTED_VALUE"""),"貓狗企鵝")</f>
        <v>貓狗企鵝</v>
      </c>
      <c r="J3207" t="str">
        <f>IFERROR(__xludf.DUMMYFUNCTION("IFS(
  AND(REGEXMATCH(E3207, ""台銀籌備帳戶|玉山帳戶""), REGEXMATCH(C3207, ""薪資"")), ""分潤支出"",
  AND(REGEXMATCH(E3207, ""Ben帳戶|Elsa帳戶|Ben代墊|Ariel代墊|中信銀行共用""), REGEXMATCH(F3207, ""Ben帳戶|Elsa帳戶|Ben代墊|Ariel代墊|中信銀行共用"")), ""內部轉帳(忽略)"",
  AND(E3207&lt;&gt;"""", F3207&lt;&gt;"""", N"&amp;"OT(REGEXMATCH(C3207, ""薪資""))), ""內部轉帳(忽略)"",
  REGEXMATCH(C3207, ""薪資""), ""薪資變動(不計入)"",
  REGEXMATCH(C3207, ""押金""), ""押金往來"",
  AND(E3207&lt;&gt;"""", F3207=""""), ""真實支出"",
  AND(E3207="""", F3207&lt;&gt;""""), ""真實收入"",
  TRUE, ""其他""
)"),"真實收入")</f>
        <v>真實收入</v>
      </c>
      <c r="K3207" s="270">
        <f t="shared" si="2"/>
        <v>29800</v>
      </c>
      <c r="L3207">
        <f t="shared" si="3"/>
        <v>0</v>
      </c>
    </row>
    <row r="3208">
      <c r="A3208" s="107">
        <f>IFERROR(__xludf.DUMMYFUNCTION("""COMPUTED_VALUE"""),46054.0)</f>
        <v>46054</v>
      </c>
      <c r="B3208" t="str">
        <f>IFERROR(__xludf.DUMMYFUNCTION("""COMPUTED_VALUE"""),"[南港站挑高宅] [林淑華] 大租金")</f>
        <v>[南港站挑高宅] [林淑華] 大租金</v>
      </c>
      <c r="C3208" t="str">
        <f>IFERROR(__xludf.DUMMYFUNCTION("""COMPUTED_VALUE"""),"成本 - 大租金")</f>
        <v>成本 - 大租金</v>
      </c>
      <c r="D3208" s="270">
        <f>IFERROR(__xludf.DUMMYFUNCTION("""COMPUTED_VALUE"""),-18250.0)</f>
        <v>-18250</v>
      </c>
      <c r="E3208" t="str">
        <f>IFERROR(__xludf.DUMMYFUNCTION("""COMPUTED_VALUE"""),"台銀籌備帳戶")</f>
        <v>台銀籌備帳戶</v>
      </c>
      <c r="G3208" t="str">
        <f>IFERROR(__xludf.DUMMYFUNCTION("""COMPUTED_VALUE"""),"南港站挑高宅")</f>
        <v>南港站挑高宅</v>
      </c>
      <c r="H3208" s="106" t="str">
        <f t="shared" si="1"/>
        <v>2026-02</v>
      </c>
      <c r="I3208" s="271" t="str">
        <f>IFERROR(__xludf.DUMMYFUNCTION("""COMPUTED_VALUE"""),"貓狗企鵝")</f>
        <v>貓狗企鵝</v>
      </c>
      <c r="J3208" t="str">
        <f>IFERROR(__xludf.DUMMYFUNCTION("IFS(
  AND(REGEXMATCH(E3208, ""台銀籌備帳戶|玉山帳戶""), REGEXMATCH(C3208, ""薪資"")), ""分潤支出"",
  AND(REGEXMATCH(E3208, ""Ben帳戶|Elsa帳戶|Ben代墊|Ariel代墊|中信銀行共用""), REGEXMATCH(F3208, ""Ben帳戶|Elsa帳戶|Ben代墊|Ariel代墊|中信銀行共用"")), ""內部轉帳(忽略)"",
  AND(E3208&lt;&gt;"""", F3208&lt;&gt;"""", N"&amp;"OT(REGEXMATCH(C3208, ""薪資""))), ""內部轉帳(忽略)"",
  REGEXMATCH(C3208, ""薪資""), ""薪資變動(不計入)"",
  REGEXMATCH(C3208, ""押金""), ""押金往來"",
  AND(E3208&lt;&gt;"""", F3208=""""), ""真實支出"",
  AND(E3208="""", F3208&lt;&gt;""""), ""真實收入"",
  TRUE, ""其他""
)"),"真實支出")</f>
        <v>真實支出</v>
      </c>
      <c r="K3208" s="270">
        <f t="shared" si="2"/>
        <v>-18250</v>
      </c>
      <c r="L3208">
        <f t="shared" si="3"/>
        <v>0</v>
      </c>
    </row>
    <row r="3209">
      <c r="A3209" s="107">
        <f>IFERROR(__xludf.DUMMYFUNCTION("""COMPUTED_VALUE"""),46054.0)</f>
        <v>46054</v>
      </c>
      <c r="B3209" t="str">
        <f>IFERROR(__xludf.DUMMYFUNCTION("""COMPUTED_VALUE"""),"[金龍帽子先生] B 月租金 後五碼:70609 (行號: 37)")</f>
        <v>[金龍帽子先生] B 月租金 後五碼:70609 (行號: 37)</v>
      </c>
      <c r="C3209" t="str">
        <f>IFERROR(__xludf.DUMMYFUNCTION("""COMPUTED_VALUE"""),"收入 - 租金")</f>
        <v>收入 - 租金</v>
      </c>
      <c r="D3209" s="270">
        <f>IFERROR(__xludf.DUMMYFUNCTION("""COMPUTED_VALUE"""),12700.0)</f>
        <v>12700</v>
      </c>
      <c r="F3209" t="str">
        <f>IFERROR(__xludf.DUMMYFUNCTION("""COMPUTED_VALUE"""),"台銀籌備帳戶")</f>
        <v>台銀籌備帳戶</v>
      </c>
      <c r="G3209" t="str">
        <f>IFERROR(__xludf.DUMMYFUNCTION("""COMPUTED_VALUE"""),"金龍帽子先生")</f>
        <v>金龍帽子先生</v>
      </c>
      <c r="H3209" s="106" t="str">
        <f t="shared" si="1"/>
        <v>2026-02</v>
      </c>
      <c r="I3209" s="271" t="str">
        <f>IFERROR(__xludf.DUMMYFUNCTION("""COMPUTED_VALUE"""),"貓狗企鵝")</f>
        <v>貓狗企鵝</v>
      </c>
      <c r="J3209" t="str">
        <f>IFERROR(__xludf.DUMMYFUNCTION("IFS(
  AND(REGEXMATCH(E3209, ""台銀籌備帳戶|玉山帳戶""), REGEXMATCH(C3209, ""薪資"")), ""分潤支出"",
  AND(REGEXMATCH(E3209, ""Ben帳戶|Elsa帳戶|Ben代墊|Ariel代墊|中信銀行共用""), REGEXMATCH(F3209, ""Ben帳戶|Elsa帳戶|Ben代墊|Ariel代墊|中信銀行共用"")), ""內部轉帳(忽略)"",
  AND(E3209&lt;&gt;"""", F3209&lt;&gt;"""", N"&amp;"OT(REGEXMATCH(C3209, ""薪資""))), ""內部轉帳(忽略)"",
  REGEXMATCH(C3209, ""薪資""), ""薪資變動(不計入)"",
  REGEXMATCH(C3209, ""押金""), ""押金往來"",
  AND(E3209&lt;&gt;"""", F3209=""""), ""真實支出"",
  AND(E3209="""", F3209&lt;&gt;""""), ""真實收入"",
  TRUE, ""其他""
)"),"真實收入")</f>
        <v>真實收入</v>
      </c>
      <c r="K3209" s="270">
        <f t="shared" si="2"/>
        <v>12700</v>
      </c>
      <c r="L3209">
        <f t="shared" si="3"/>
        <v>0</v>
      </c>
    </row>
    <row r="3210">
      <c r="A3210" s="107">
        <f>IFERROR(__xludf.DUMMYFUNCTION("""COMPUTED_VALUE"""),46054.0)</f>
        <v>46054</v>
      </c>
      <c r="B3210" t="str">
        <f>IFERROR(__xludf.DUMMYFUNCTION("""COMPUTED_VALUE"""),"費用 - 匯費 700 (19509)")</f>
        <v>費用 - 匯費 700 (19509)</v>
      </c>
      <c r="C3210" t="str">
        <f>IFERROR(__xludf.DUMMYFUNCTION("""COMPUTED_VALUE"""),"費用 - 匯費")</f>
        <v>費用 - 匯費</v>
      </c>
      <c r="D3210" s="270">
        <f>IFERROR(__xludf.DUMMYFUNCTION("""COMPUTED_VALUE"""),-15.0)</f>
        <v>-15</v>
      </c>
      <c r="E3210" t="str">
        <f>IFERROR(__xludf.DUMMYFUNCTION("""COMPUTED_VALUE"""),"台銀籌備帳戶")</f>
        <v>台銀籌備帳戶</v>
      </c>
      <c r="H3210" s="106" t="str">
        <f t="shared" si="1"/>
        <v>2026-02</v>
      </c>
      <c r="I3210" s="271" t="str">
        <f>IFERROR(__xludf.DUMMYFUNCTION("""COMPUTED_VALUE"""),"貓狗企鵝")</f>
        <v>貓狗企鵝</v>
      </c>
      <c r="J3210" t="str">
        <f>IFERROR(__xludf.DUMMYFUNCTION("IFS(
  AND(REGEXMATCH(E3210, ""台銀籌備帳戶|玉山帳戶""), REGEXMATCH(C3210, ""薪資"")), ""分潤支出"",
  AND(REGEXMATCH(E3210, ""Ben帳戶|Elsa帳戶|Ben代墊|Ariel代墊|中信銀行共用""), REGEXMATCH(F3210, ""Ben帳戶|Elsa帳戶|Ben代墊|Ariel代墊|中信銀行共用"")), ""內部轉帳(忽略)"",
  AND(E3210&lt;&gt;"""", F3210&lt;&gt;"""", N"&amp;"OT(REGEXMATCH(C3210, ""薪資""))), ""內部轉帳(忽略)"",
  REGEXMATCH(C3210, ""薪資""), ""薪資變動(不計入)"",
  REGEXMATCH(C3210, ""押金""), ""押金往來"",
  AND(E3210&lt;&gt;"""", F3210=""""), ""真實支出"",
  AND(E3210="""", F3210&lt;&gt;""""), ""真實收入"",
  TRUE, ""其他""
)"),"真實支出")</f>
        <v>真實支出</v>
      </c>
      <c r="K3210" s="270">
        <f t="shared" si="2"/>
        <v>-15</v>
      </c>
      <c r="L3210">
        <f t="shared" si="3"/>
        <v>0</v>
      </c>
    </row>
    <row r="3211">
      <c r="A3211" s="107">
        <f>IFERROR(__xludf.DUMMYFUNCTION("""COMPUTED_VALUE"""),46054.0)</f>
        <v>46054</v>
      </c>
      <c r="B3211" t="str">
        <f>IFERROR(__xludf.DUMMYFUNCTION("""COMPUTED_VALUE"""),"[龍江229] [游為傑] 大租金")</f>
        <v>[龍江229] [游為傑] 大租金</v>
      </c>
      <c r="C3211" t="str">
        <f>IFERROR(__xludf.DUMMYFUNCTION("""COMPUTED_VALUE"""),"成本 - 大租金")</f>
        <v>成本 - 大租金</v>
      </c>
      <c r="D3211" s="270">
        <f>IFERROR(__xludf.DUMMYFUNCTION("""COMPUTED_VALUE"""),-13500.0)</f>
        <v>-13500</v>
      </c>
      <c r="E3211" t="str">
        <f>IFERROR(__xludf.DUMMYFUNCTION("""COMPUTED_VALUE"""),"台銀籌備帳戶")</f>
        <v>台銀籌備帳戶</v>
      </c>
      <c r="G3211" t="str">
        <f>IFERROR(__xludf.DUMMYFUNCTION("""COMPUTED_VALUE"""),"龍江229")</f>
        <v>龍江229</v>
      </c>
      <c r="H3211" s="106" t="str">
        <f t="shared" si="1"/>
        <v>2026-02</v>
      </c>
      <c r="I3211" s="271" t="str">
        <f>IFERROR(__xludf.DUMMYFUNCTION("""COMPUTED_VALUE"""),"貓狗企鵝")</f>
        <v>貓狗企鵝</v>
      </c>
      <c r="J3211" t="str">
        <f>IFERROR(__xludf.DUMMYFUNCTION("IFS(
  AND(REGEXMATCH(E3211, ""台銀籌備帳戶|玉山帳戶""), REGEXMATCH(C3211, ""薪資"")), ""分潤支出"",
  AND(REGEXMATCH(E3211, ""Ben帳戶|Elsa帳戶|Ben代墊|Ariel代墊|中信銀行共用""), REGEXMATCH(F3211, ""Ben帳戶|Elsa帳戶|Ben代墊|Ariel代墊|中信銀行共用"")), ""內部轉帳(忽略)"",
  AND(E3211&lt;&gt;"""", F3211&lt;&gt;"""", N"&amp;"OT(REGEXMATCH(C3211, ""薪資""))), ""內部轉帳(忽略)"",
  REGEXMATCH(C3211, ""薪資""), ""薪資變動(不計入)"",
  REGEXMATCH(C3211, ""押金""), ""押金往來"",
  AND(E3211&lt;&gt;"""", F3211=""""), ""真實支出"",
  AND(E3211="""", F3211&lt;&gt;""""), ""真實收入"",
  TRUE, ""其他""
)"),"真實支出")</f>
        <v>真實支出</v>
      </c>
      <c r="K3211" s="270">
        <f t="shared" si="2"/>
        <v>-13500</v>
      </c>
      <c r="L3211">
        <f t="shared" si="3"/>
        <v>0</v>
      </c>
    </row>
    <row r="3212">
      <c r="A3212" s="107">
        <f>IFERROR(__xludf.DUMMYFUNCTION("""COMPUTED_VALUE"""),46054.0)</f>
        <v>46054</v>
      </c>
      <c r="B3212" t="str">
        <f>IFERROR(__xludf.DUMMYFUNCTION("""COMPUTED_VALUE"""),"費用 - 匯費 012 (74779)")</f>
        <v>費用 - 匯費 012 (74779)</v>
      </c>
      <c r="C3212" t="str">
        <f>IFERROR(__xludf.DUMMYFUNCTION("""COMPUTED_VALUE"""),"費用 - 匯費")</f>
        <v>費用 - 匯費</v>
      </c>
      <c r="D3212" s="270">
        <f>IFERROR(__xludf.DUMMYFUNCTION("""COMPUTED_VALUE"""),-15.0)</f>
        <v>-15</v>
      </c>
      <c r="E3212" t="str">
        <f>IFERROR(__xludf.DUMMYFUNCTION("""COMPUTED_VALUE"""),"台銀籌備帳戶")</f>
        <v>台銀籌備帳戶</v>
      </c>
      <c r="H3212" s="106" t="str">
        <f t="shared" si="1"/>
        <v>2026-02</v>
      </c>
      <c r="I3212" s="271" t="str">
        <f>IFERROR(__xludf.DUMMYFUNCTION("""COMPUTED_VALUE"""),"貓狗企鵝")</f>
        <v>貓狗企鵝</v>
      </c>
      <c r="J3212" t="str">
        <f>IFERROR(__xludf.DUMMYFUNCTION("IFS(
  AND(REGEXMATCH(E3212, ""台銀籌備帳戶|玉山帳戶""), REGEXMATCH(C3212, ""薪資"")), ""分潤支出"",
  AND(REGEXMATCH(E3212, ""Ben帳戶|Elsa帳戶|Ben代墊|Ariel代墊|中信銀行共用""), REGEXMATCH(F3212, ""Ben帳戶|Elsa帳戶|Ben代墊|Ariel代墊|中信銀行共用"")), ""內部轉帳(忽略)"",
  AND(E3212&lt;&gt;"""", F3212&lt;&gt;"""", N"&amp;"OT(REGEXMATCH(C3212, ""薪資""))), ""內部轉帳(忽略)"",
  REGEXMATCH(C3212, ""薪資""), ""薪資變動(不計入)"",
  REGEXMATCH(C3212, ""押金""), ""押金往來"",
  AND(E3212&lt;&gt;"""", F3212=""""), ""真實支出"",
  AND(E3212="""", F3212&lt;&gt;""""), ""真實收入"",
  TRUE, ""其他""
)"),"真實支出")</f>
        <v>真實支出</v>
      </c>
      <c r="K3212" s="270">
        <f t="shared" si="2"/>
        <v>-15</v>
      </c>
      <c r="L3212">
        <f t="shared" si="3"/>
        <v>0</v>
      </c>
    </row>
    <row r="3213">
      <c r="A3213" s="107">
        <f>IFERROR(__xludf.DUMMYFUNCTION("""COMPUTED_VALUE"""),46054.0)</f>
        <v>46054</v>
      </c>
      <c r="B3213" t="str">
        <f>IFERROR(__xludf.DUMMYFUNCTION("""COMPUTED_VALUE"""),"[市府爺爺家] [常永年] 大租金")</f>
        <v>[市府爺爺家] [常永年] 大租金</v>
      </c>
      <c r="C3213" t="str">
        <f>IFERROR(__xludf.DUMMYFUNCTION("""COMPUTED_VALUE"""),"成本 - 大租金")</f>
        <v>成本 - 大租金</v>
      </c>
      <c r="D3213" s="270">
        <f>IFERROR(__xludf.DUMMYFUNCTION("""COMPUTED_VALUE"""),-12000.0)</f>
        <v>-12000</v>
      </c>
      <c r="E3213" t="str">
        <f>IFERROR(__xludf.DUMMYFUNCTION("""COMPUTED_VALUE"""),"台銀籌備帳戶")</f>
        <v>台銀籌備帳戶</v>
      </c>
      <c r="G3213" t="str">
        <f>IFERROR(__xludf.DUMMYFUNCTION("""COMPUTED_VALUE"""),"市府爺爺家")</f>
        <v>市府爺爺家</v>
      </c>
      <c r="H3213" s="106" t="str">
        <f t="shared" si="1"/>
        <v>2026-02</v>
      </c>
      <c r="I3213" s="271" t="str">
        <f>IFERROR(__xludf.DUMMYFUNCTION("""COMPUTED_VALUE"""),"貓狗企鵝")</f>
        <v>貓狗企鵝</v>
      </c>
      <c r="J3213" t="str">
        <f>IFERROR(__xludf.DUMMYFUNCTION("IFS(
  AND(REGEXMATCH(E3213, ""台銀籌備帳戶|玉山帳戶""), REGEXMATCH(C3213, ""薪資"")), ""分潤支出"",
  AND(REGEXMATCH(E3213, ""Ben帳戶|Elsa帳戶|Ben代墊|Ariel代墊|中信銀行共用""), REGEXMATCH(F3213, ""Ben帳戶|Elsa帳戶|Ben代墊|Ariel代墊|中信銀行共用"")), ""內部轉帳(忽略)"",
  AND(E3213&lt;&gt;"""", F3213&lt;&gt;"""", N"&amp;"OT(REGEXMATCH(C3213, ""薪資""))), ""內部轉帳(忽略)"",
  REGEXMATCH(C3213, ""薪資""), ""薪資變動(不計入)"",
  REGEXMATCH(C3213, ""押金""), ""押金往來"",
  AND(E3213&lt;&gt;"""", F3213=""""), ""真實支出"",
  AND(E3213="""", F3213&lt;&gt;""""), ""真實收入"",
  TRUE, ""其他""
)"),"真實支出")</f>
        <v>真實支出</v>
      </c>
      <c r="K3213" s="270">
        <f t="shared" si="2"/>
        <v>-12000</v>
      </c>
      <c r="L3213">
        <f t="shared" si="3"/>
        <v>0</v>
      </c>
    </row>
    <row r="3214">
      <c r="A3214" s="107">
        <f>IFERROR(__xludf.DUMMYFUNCTION("""COMPUTED_VALUE"""),46054.0)</f>
        <v>46054</v>
      </c>
      <c r="B3214" t="str">
        <f>IFERROR(__xludf.DUMMYFUNCTION("""COMPUTED_VALUE"""),"費用 - 匯費 052 (22609)")</f>
        <v>費用 - 匯費 052 (22609)</v>
      </c>
      <c r="C3214" t="str">
        <f>IFERROR(__xludf.DUMMYFUNCTION("""COMPUTED_VALUE"""),"費用 - 匯費")</f>
        <v>費用 - 匯費</v>
      </c>
      <c r="D3214" s="270">
        <f>IFERROR(__xludf.DUMMYFUNCTION("""COMPUTED_VALUE"""),-15.0)</f>
        <v>-15</v>
      </c>
      <c r="E3214" t="str">
        <f>IFERROR(__xludf.DUMMYFUNCTION("""COMPUTED_VALUE"""),"台銀籌備帳戶")</f>
        <v>台銀籌備帳戶</v>
      </c>
      <c r="H3214" s="106" t="str">
        <f t="shared" si="1"/>
        <v>2026-02</v>
      </c>
      <c r="I3214" s="271" t="str">
        <f>IFERROR(__xludf.DUMMYFUNCTION("""COMPUTED_VALUE"""),"貓狗企鵝")</f>
        <v>貓狗企鵝</v>
      </c>
      <c r="J3214" t="str">
        <f>IFERROR(__xludf.DUMMYFUNCTION("IFS(
  AND(REGEXMATCH(E3214, ""台銀籌備帳戶|玉山帳戶""), REGEXMATCH(C3214, ""薪資"")), ""分潤支出"",
  AND(REGEXMATCH(E3214, ""Ben帳戶|Elsa帳戶|Ben代墊|Ariel代墊|中信銀行共用""), REGEXMATCH(F3214, ""Ben帳戶|Elsa帳戶|Ben代墊|Ariel代墊|中信銀行共用"")), ""內部轉帳(忽略)"",
  AND(E3214&lt;&gt;"""", F3214&lt;&gt;"""", N"&amp;"OT(REGEXMATCH(C3214, ""薪資""))), ""內部轉帳(忽略)"",
  REGEXMATCH(C3214, ""薪資""), ""薪資變動(不計入)"",
  REGEXMATCH(C3214, ""押金""), ""押金往來"",
  AND(E3214&lt;&gt;"""", F3214=""""), ""真實支出"",
  AND(E3214="""", F3214&lt;&gt;""""), ""真實收入"",
  TRUE, ""其他""
)"),"真實支出")</f>
        <v>真實支出</v>
      </c>
      <c r="K3214" s="270">
        <f t="shared" si="2"/>
        <v>-15</v>
      </c>
      <c r="L3214">
        <f t="shared" si="3"/>
        <v>0</v>
      </c>
    </row>
    <row r="3215">
      <c r="A3215" s="107">
        <f>IFERROR(__xludf.DUMMYFUNCTION("""COMPUTED_VALUE"""),46054.0)</f>
        <v>46054</v>
      </c>
      <c r="B3215" t="str">
        <f>IFERROR(__xludf.DUMMYFUNCTION("""COMPUTED_VALUE"""),"[中山北Feli家] [陳玉蘭] 大租金")</f>
        <v>[中山北Feli家] [陳玉蘭] 大租金</v>
      </c>
      <c r="C3215" t="str">
        <f>IFERROR(__xludf.DUMMYFUNCTION("""COMPUTED_VALUE"""),"成本 - 大租金")</f>
        <v>成本 - 大租金</v>
      </c>
      <c r="D3215" s="270">
        <f>IFERROR(__xludf.DUMMYFUNCTION("""COMPUTED_VALUE"""),-18000.0)</f>
        <v>-18000</v>
      </c>
      <c r="E3215" t="str">
        <f>IFERROR(__xludf.DUMMYFUNCTION("""COMPUTED_VALUE"""),"台銀籌備帳戶")</f>
        <v>台銀籌備帳戶</v>
      </c>
      <c r="G3215" t="str">
        <f>IFERROR(__xludf.DUMMYFUNCTION("""COMPUTED_VALUE"""),"中山北Feli家")</f>
        <v>中山北Feli家</v>
      </c>
      <c r="H3215" s="106" t="str">
        <f t="shared" si="1"/>
        <v>2026-02</v>
      </c>
      <c r="I3215" s="271" t="str">
        <f>IFERROR(__xludf.DUMMYFUNCTION("""COMPUTED_VALUE"""),"貓狗企鵝")</f>
        <v>貓狗企鵝</v>
      </c>
      <c r="J3215" t="str">
        <f>IFERROR(__xludf.DUMMYFUNCTION("IFS(
  AND(REGEXMATCH(E3215, ""台銀籌備帳戶|玉山帳戶""), REGEXMATCH(C3215, ""薪資"")), ""分潤支出"",
  AND(REGEXMATCH(E3215, ""Ben帳戶|Elsa帳戶|Ben代墊|Ariel代墊|中信銀行共用""), REGEXMATCH(F3215, ""Ben帳戶|Elsa帳戶|Ben代墊|Ariel代墊|中信銀行共用"")), ""內部轉帳(忽略)"",
  AND(E3215&lt;&gt;"""", F3215&lt;&gt;"""", N"&amp;"OT(REGEXMATCH(C3215, ""薪資""))), ""內部轉帳(忽略)"",
  REGEXMATCH(C3215, ""薪資""), ""薪資變動(不計入)"",
  REGEXMATCH(C3215, ""押金""), ""押金往來"",
  AND(E3215&lt;&gt;"""", F3215=""""), ""真實支出"",
  AND(E3215="""", F3215&lt;&gt;""""), ""真實收入"",
  TRUE, ""其他""
)"),"真實支出")</f>
        <v>真實支出</v>
      </c>
      <c r="K3215" s="270">
        <f t="shared" si="2"/>
        <v>-18000</v>
      </c>
      <c r="L3215">
        <f t="shared" si="3"/>
        <v>0</v>
      </c>
    </row>
    <row r="3216">
      <c r="A3216" s="107">
        <f>IFERROR(__xludf.DUMMYFUNCTION("""COMPUTED_VALUE"""),46054.0)</f>
        <v>46054</v>
      </c>
      <c r="B3216" t="str">
        <f>IFERROR(__xludf.DUMMYFUNCTION("""COMPUTED_VALUE"""),"費用 - 匯費 013 (20652)")</f>
        <v>費用 - 匯費 013 (20652)</v>
      </c>
      <c r="C3216" t="str">
        <f>IFERROR(__xludf.DUMMYFUNCTION("""COMPUTED_VALUE"""),"費用 - 匯費")</f>
        <v>費用 - 匯費</v>
      </c>
      <c r="D3216" s="270">
        <f>IFERROR(__xludf.DUMMYFUNCTION("""COMPUTED_VALUE"""),-15.0)</f>
        <v>-15</v>
      </c>
      <c r="E3216" t="str">
        <f>IFERROR(__xludf.DUMMYFUNCTION("""COMPUTED_VALUE"""),"台銀籌備帳戶")</f>
        <v>台銀籌備帳戶</v>
      </c>
      <c r="H3216" s="106" t="str">
        <f t="shared" si="1"/>
        <v>2026-02</v>
      </c>
      <c r="I3216" s="271" t="str">
        <f>IFERROR(__xludf.DUMMYFUNCTION("""COMPUTED_VALUE"""),"貓狗企鵝")</f>
        <v>貓狗企鵝</v>
      </c>
      <c r="J3216" t="str">
        <f>IFERROR(__xludf.DUMMYFUNCTION("IFS(
  AND(REGEXMATCH(E3216, ""台銀籌備帳戶|玉山帳戶""), REGEXMATCH(C3216, ""薪資"")), ""分潤支出"",
  AND(REGEXMATCH(E3216, ""Ben帳戶|Elsa帳戶|Ben代墊|Ariel代墊|中信銀行共用""), REGEXMATCH(F3216, ""Ben帳戶|Elsa帳戶|Ben代墊|Ariel代墊|中信銀行共用"")), ""內部轉帳(忽略)"",
  AND(E3216&lt;&gt;"""", F3216&lt;&gt;"""", N"&amp;"OT(REGEXMATCH(C3216, ""薪資""))), ""內部轉帳(忽略)"",
  REGEXMATCH(C3216, ""薪資""), ""薪資變動(不計入)"",
  REGEXMATCH(C3216, ""押金""), ""押金往來"",
  AND(E3216&lt;&gt;"""", F3216=""""), ""真實支出"",
  AND(E3216="""", F3216&lt;&gt;""""), ""真實收入"",
  TRUE, ""其他""
)"),"真實支出")</f>
        <v>真實支出</v>
      </c>
      <c r="K3216" s="270">
        <f t="shared" si="2"/>
        <v>-15</v>
      </c>
      <c r="L3216">
        <f t="shared" si="3"/>
        <v>0</v>
      </c>
    </row>
    <row r="3217">
      <c r="A3217" s="107">
        <f>IFERROR(__xludf.DUMMYFUNCTION("""COMPUTED_VALUE"""),46054.0)</f>
        <v>46054</v>
      </c>
      <c r="B3217" t="str">
        <f>IFERROR(__xludf.DUMMYFUNCTION("""COMPUTED_VALUE"""),"[景安2分鐘] [王逸荃] 大租金")</f>
        <v>[景安2分鐘] [王逸荃] 大租金</v>
      </c>
      <c r="C3217" t="str">
        <f>IFERROR(__xludf.DUMMYFUNCTION("""COMPUTED_VALUE"""),"成本 - 大租金")</f>
        <v>成本 - 大租金</v>
      </c>
      <c r="D3217" s="270">
        <f>IFERROR(__xludf.DUMMYFUNCTION("""COMPUTED_VALUE"""),-12500.0)</f>
        <v>-12500</v>
      </c>
      <c r="E3217" t="str">
        <f>IFERROR(__xludf.DUMMYFUNCTION("""COMPUTED_VALUE"""),"台銀籌備帳戶")</f>
        <v>台銀籌備帳戶</v>
      </c>
      <c r="G3217" t="str">
        <f>IFERROR(__xludf.DUMMYFUNCTION("""COMPUTED_VALUE"""),"景安2分鐘")</f>
        <v>景安2分鐘</v>
      </c>
      <c r="H3217" s="106" t="str">
        <f t="shared" si="1"/>
        <v>2026-02</v>
      </c>
      <c r="I3217" s="271" t="str">
        <f>IFERROR(__xludf.DUMMYFUNCTION("""COMPUTED_VALUE"""),"貓狗企鵝")</f>
        <v>貓狗企鵝</v>
      </c>
      <c r="J3217" t="str">
        <f>IFERROR(__xludf.DUMMYFUNCTION("IFS(
  AND(REGEXMATCH(E3217, ""台銀籌備帳戶|玉山帳戶""), REGEXMATCH(C3217, ""薪資"")), ""分潤支出"",
  AND(REGEXMATCH(E3217, ""Ben帳戶|Elsa帳戶|Ben代墊|Ariel代墊|中信銀行共用""), REGEXMATCH(F3217, ""Ben帳戶|Elsa帳戶|Ben代墊|Ariel代墊|中信銀行共用"")), ""內部轉帳(忽略)"",
  AND(E3217&lt;&gt;"""", F3217&lt;&gt;"""", N"&amp;"OT(REGEXMATCH(C3217, ""薪資""))), ""內部轉帳(忽略)"",
  REGEXMATCH(C3217, ""薪資""), ""薪資變動(不計入)"",
  REGEXMATCH(C3217, ""押金""), ""押金往來"",
  AND(E3217&lt;&gt;"""", F3217=""""), ""真實支出"",
  AND(E3217="""", F3217&lt;&gt;""""), ""真實收入"",
  TRUE, ""其他""
)"),"真實支出")</f>
        <v>真實支出</v>
      </c>
      <c r="K3217" s="270">
        <f t="shared" si="2"/>
        <v>-12500</v>
      </c>
      <c r="L3217">
        <f t="shared" si="3"/>
        <v>0</v>
      </c>
    </row>
    <row r="3218">
      <c r="A3218" s="107">
        <f>IFERROR(__xludf.DUMMYFUNCTION("""COMPUTED_VALUE"""),46054.0)</f>
        <v>46054</v>
      </c>
      <c r="B3218" t="str">
        <f>IFERROR(__xludf.DUMMYFUNCTION("""COMPUTED_VALUE"""),"費用 - 匯費 822 (06708)")</f>
        <v>費用 - 匯費 822 (06708)</v>
      </c>
      <c r="C3218" t="str">
        <f>IFERROR(__xludf.DUMMYFUNCTION("""COMPUTED_VALUE"""),"費用 - 匯費")</f>
        <v>費用 - 匯費</v>
      </c>
      <c r="D3218" s="270">
        <f>IFERROR(__xludf.DUMMYFUNCTION("""COMPUTED_VALUE"""),-15.0)</f>
        <v>-15</v>
      </c>
      <c r="E3218" t="str">
        <f>IFERROR(__xludf.DUMMYFUNCTION("""COMPUTED_VALUE"""),"台銀籌備帳戶")</f>
        <v>台銀籌備帳戶</v>
      </c>
      <c r="H3218" s="106" t="str">
        <f t="shared" si="1"/>
        <v>2026-02</v>
      </c>
      <c r="I3218" s="271" t="str">
        <f>IFERROR(__xludf.DUMMYFUNCTION("""COMPUTED_VALUE"""),"貓狗企鵝")</f>
        <v>貓狗企鵝</v>
      </c>
      <c r="J3218" t="str">
        <f>IFERROR(__xludf.DUMMYFUNCTION("IFS(
  AND(REGEXMATCH(E3218, ""台銀籌備帳戶|玉山帳戶""), REGEXMATCH(C3218, ""薪資"")), ""分潤支出"",
  AND(REGEXMATCH(E3218, ""Ben帳戶|Elsa帳戶|Ben代墊|Ariel代墊|中信銀行共用""), REGEXMATCH(F3218, ""Ben帳戶|Elsa帳戶|Ben代墊|Ariel代墊|中信銀行共用"")), ""內部轉帳(忽略)"",
  AND(E3218&lt;&gt;"""", F3218&lt;&gt;"""", N"&amp;"OT(REGEXMATCH(C3218, ""薪資""))), ""內部轉帳(忽略)"",
  REGEXMATCH(C3218, ""薪資""), ""薪資變動(不計入)"",
  REGEXMATCH(C3218, ""押金""), ""押金往來"",
  AND(E3218&lt;&gt;"""", F3218=""""), ""真實支出"",
  AND(E3218="""", F3218&lt;&gt;""""), ""真實收入"",
  TRUE, ""其他""
)"),"真實支出")</f>
        <v>真實支出</v>
      </c>
      <c r="K3218" s="270">
        <f t="shared" si="2"/>
        <v>-15</v>
      </c>
      <c r="L3218">
        <f t="shared" si="3"/>
        <v>0</v>
      </c>
    </row>
    <row r="3219">
      <c r="A3219" s="107">
        <f>IFERROR(__xludf.DUMMYFUNCTION("""COMPUTED_VALUE"""),46054.0)</f>
        <v>46054</v>
      </c>
      <c r="B3219" t="str">
        <f>IFERROR(__xludf.DUMMYFUNCTION("""COMPUTED_VALUE"""),"[金龍帽子先生] [郭娟伶] 大租金")</f>
        <v>[金龍帽子先生] [郭娟伶] 大租金</v>
      </c>
      <c r="C3219" t="str">
        <f>IFERROR(__xludf.DUMMYFUNCTION("""COMPUTED_VALUE"""),"成本 - 大租金")</f>
        <v>成本 - 大租金</v>
      </c>
      <c r="D3219" s="270">
        <f>IFERROR(__xludf.DUMMYFUNCTION("""COMPUTED_VALUE"""),-17750.0)</f>
        <v>-17750</v>
      </c>
      <c r="E3219" t="str">
        <f>IFERROR(__xludf.DUMMYFUNCTION("""COMPUTED_VALUE"""),"台銀籌備帳戶")</f>
        <v>台銀籌備帳戶</v>
      </c>
      <c r="G3219" t="str">
        <f>IFERROR(__xludf.DUMMYFUNCTION("""COMPUTED_VALUE"""),"金龍帽子先生")</f>
        <v>金龍帽子先生</v>
      </c>
      <c r="H3219" s="106" t="str">
        <f t="shared" si="1"/>
        <v>2026-02</v>
      </c>
      <c r="I3219" s="271" t="str">
        <f>IFERROR(__xludf.DUMMYFUNCTION("""COMPUTED_VALUE"""),"貓狗企鵝")</f>
        <v>貓狗企鵝</v>
      </c>
      <c r="J3219" t="str">
        <f>IFERROR(__xludf.DUMMYFUNCTION("IFS(
  AND(REGEXMATCH(E3219, ""台銀籌備帳戶|玉山帳戶""), REGEXMATCH(C3219, ""薪資"")), ""分潤支出"",
  AND(REGEXMATCH(E3219, ""Ben帳戶|Elsa帳戶|Ben代墊|Ariel代墊|中信銀行共用""), REGEXMATCH(F3219, ""Ben帳戶|Elsa帳戶|Ben代墊|Ariel代墊|中信銀行共用"")), ""內部轉帳(忽略)"",
  AND(E3219&lt;&gt;"""", F3219&lt;&gt;"""", N"&amp;"OT(REGEXMATCH(C3219, ""薪資""))), ""內部轉帳(忽略)"",
  REGEXMATCH(C3219, ""薪資""), ""薪資變動(不計入)"",
  REGEXMATCH(C3219, ""押金""), ""押金往來"",
  AND(E3219&lt;&gt;"""", F3219=""""), ""真實支出"",
  AND(E3219="""", F3219&lt;&gt;""""), ""真實收入"",
  TRUE, ""其他""
)"),"真實支出")</f>
        <v>真實支出</v>
      </c>
      <c r="K3219" s="270">
        <f t="shared" si="2"/>
        <v>-17750</v>
      </c>
      <c r="L3219">
        <f t="shared" si="3"/>
        <v>0</v>
      </c>
    </row>
    <row r="3220">
      <c r="A3220" s="107">
        <f>IFERROR(__xludf.DUMMYFUNCTION("""COMPUTED_VALUE"""),46054.0)</f>
        <v>46054</v>
      </c>
      <c r="B3220" t="str">
        <f>IFERROR(__xludf.DUMMYFUNCTION("""COMPUTED_VALUE"""),"費用 - 匯費 053 (05202)")</f>
        <v>費用 - 匯費 053 (05202)</v>
      </c>
      <c r="C3220" t="str">
        <f>IFERROR(__xludf.DUMMYFUNCTION("""COMPUTED_VALUE"""),"費用 - 匯費")</f>
        <v>費用 - 匯費</v>
      </c>
      <c r="D3220" s="270">
        <f>IFERROR(__xludf.DUMMYFUNCTION("""COMPUTED_VALUE"""),-15.0)</f>
        <v>-15</v>
      </c>
      <c r="E3220" t="str">
        <f>IFERROR(__xludf.DUMMYFUNCTION("""COMPUTED_VALUE"""),"台銀籌備帳戶")</f>
        <v>台銀籌備帳戶</v>
      </c>
      <c r="H3220" s="106" t="str">
        <f t="shared" si="1"/>
        <v>2026-02</v>
      </c>
      <c r="I3220" s="271" t="str">
        <f>IFERROR(__xludf.DUMMYFUNCTION("""COMPUTED_VALUE"""),"貓狗企鵝")</f>
        <v>貓狗企鵝</v>
      </c>
      <c r="J3220" t="str">
        <f>IFERROR(__xludf.DUMMYFUNCTION("IFS(
  AND(REGEXMATCH(E3220, ""台銀籌備帳戶|玉山帳戶""), REGEXMATCH(C3220, ""薪資"")), ""分潤支出"",
  AND(REGEXMATCH(E3220, ""Ben帳戶|Elsa帳戶|Ben代墊|Ariel代墊|中信銀行共用""), REGEXMATCH(F3220, ""Ben帳戶|Elsa帳戶|Ben代墊|Ariel代墊|中信銀行共用"")), ""內部轉帳(忽略)"",
  AND(E3220&lt;&gt;"""", F3220&lt;&gt;"""", N"&amp;"OT(REGEXMATCH(C3220, ""薪資""))), ""內部轉帳(忽略)"",
  REGEXMATCH(C3220, ""薪資""), ""薪資變動(不計入)"",
  REGEXMATCH(C3220, ""押金""), ""押金往來"",
  AND(E3220&lt;&gt;"""", F3220=""""), ""真實支出"",
  AND(E3220="""", F3220&lt;&gt;""""), ""真實收入"",
  TRUE, ""其他""
)"),"真實支出")</f>
        <v>真實支出</v>
      </c>
      <c r="K3220" s="270">
        <f t="shared" si="2"/>
        <v>-15</v>
      </c>
      <c r="L3220">
        <f t="shared" si="3"/>
        <v>0</v>
      </c>
    </row>
    <row r="3221">
      <c r="A3221" s="107">
        <f>IFERROR(__xludf.DUMMYFUNCTION("""COMPUTED_VALUE"""),46054.0)</f>
        <v>46054</v>
      </c>
      <c r="B3221" t="str">
        <f>IFERROR(__xludf.DUMMYFUNCTION("""COMPUTED_VALUE"""),"[大湖山莊] [陳彩霞] 大租金")</f>
        <v>[大湖山莊] [陳彩霞] 大租金</v>
      </c>
      <c r="C3221" t="str">
        <f>IFERROR(__xludf.DUMMYFUNCTION("""COMPUTED_VALUE"""),"成本 - 大租金")</f>
        <v>成本 - 大租金</v>
      </c>
      <c r="D3221" s="270">
        <f>IFERROR(__xludf.DUMMYFUNCTION("""COMPUTED_VALUE"""),-19400.0)</f>
        <v>-19400</v>
      </c>
      <c r="E3221" t="str">
        <f>IFERROR(__xludf.DUMMYFUNCTION("""COMPUTED_VALUE"""),"台銀籌備帳戶")</f>
        <v>台銀籌備帳戶</v>
      </c>
      <c r="G3221" t="str">
        <f>IFERROR(__xludf.DUMMYFUNCTION("""COMPUTED_VALUE"""),"大湖山莊")</f>
        <v>大湖山莊</v>
      </c>
      <c r="H3221" s="106" t="str">
        <f t="shared" si="1"/>
        <v>2026-02</v>
      </c>
      <c r="I3221" s="271" t="str">
        <f>IFERROR(__xludf.DUMMYFUNCTION("""COMPUTED_VALUE"""),"貓狗企鵝")</f>
        <v>貓狗企鵝</v>
      </c>
      <c r="J3221" t="str">
        <f>IFERROR(__xludf.DUMMYFUNCTION("IFS(
  AND(REGEXMATCH(E3221, ""台銀籌備帳戶|玉山帳戶""), REGEXMATCH(C3221, ""薪資"")), ""分潤支出"",
  AND(REGEXMATCH(E3221, ""Ben帳戶|Elsa帳戶|Ben代墊|Ariel代墊|中信銀行共用""), REGEXMATCH(F3221, ""Ben帳戶|Elsa帳戶|Ben代墊|Ariel代墊|中信銀行共用"")), ""內部轉帳(忽略)"",
  AND(E3221&lt;&gt;"""", F3221&lt;&gt;"""", N"&amp;"OT(REGEXMATCH(C3221, ""薪資""))), ""內部轉帳(忽略)"",
  REGEXMATCH(C3221, ""薪資""), ""薪資變動(不計入)"",
  REGEXMATCH(C3221, ""押金""), ""押金往來"",
  AND(E3221&lt;&gt;"""", F3221=""""), ""真實支出"",
  AND(E3221="""", F3221&lt;&gt;""""), ""真實收入"",
  TRUE, ""其他""
)"),"真實支出")</f>
        <v>真實支出</v>
      </c>
      <c r="K3221" s="270">
        <f t="shared" si="2"/>
        <v>-19400</v>
      </c>
      <c r="L3221">
        <f t="shared" si="3"/>
        <v>0</v>
      </c>
    </row>
    <row r="3222">
      <c r="A3222" s="107">
        <f>IFERROR(__xludf.DUMMYFUNCTION("""COMPUTED_VALUE"""),46054.0)</f>
        <v>46054</v>
      </c>
      <c r="B3222" t="str">
        <f>IFERROR(__xludf.DUMMYFUNCTION("""COMPUTED_VALUE"""),"費用 - 匯費 807 (06659)")</f>
        <v>費用 - 匯費 807 (06659)</v>
      </c>
      <c r="C3222" t="str">
        <f>IFERROR(__xludf.DUMMYFUNCTION("""COMPUTED_VALUE"""),"費用 - 匯費")</f>
        <v>費用 - 匯費</v>
      </c>
      <c r="D3222" s="270">
        <f>IFERROR(__xludf.DUMMYFUNCTION("""COMPUTED_VALUE"""),-15.0)</f>
        <v>-15</v>
      </c>
      <c r="E3222" t="str">
        <f>IFERROR(__xludf.DUMMYFUNCTION("""COMPUTED_VALUE"""),"台銀籌備帳戶")</f>
        <v>台銀籌備帳戶</v>
      </c>
      <c r="H3222" s="106" t="str">
        <f t="shared" si="1"/>
        <v>2026-02</v>
      </c>
      <c r="I3222" s="271" t="str">
        <f>IFERROR(__xludf.DUMMYFUNCTION("""COMPUTED_VALUE"""),"貓狗企鵝")</f>
        <v>貓狗企鵝</v>
      </c>
      <c r="J3222" t="str">
        <f>IFERROR(__xludf.DUMMYFUNCTION("IFS(
  AND(REGEXMATCH(E3222, ""台銀籌備帳戶|玉山帳戶""), REGEXMATCH(C3222, ""薪資"")), ""分潤支出"",
  AND(REGEXMATCH(E3222, ""Ben帳戶|Elsa帳戶|Ben代墊|Ariel代墊|中信銀行共用""), REGEXMATCH(F3222, ""Ben帳戶|Elsa帳戶|Ben代墊|Ariel代墊|中信銀行共用"")), ""內部轉帳(忽略)"",
  AND(E3222&lt;&gt;"""", F3222&lt;&gt;"""", N"&amp;"OT(REGEXMATCH(C3222, ""薪資""))), ""內部轉帳(忽略)"",
  REGEXMATCH(C3222, ""薪資""), ""薪資變動(不計入)"",
  REGEXMATCH(C3222, ""押金""), ""押金往來"",
  AND(E3222&lt;&gt;"""", F3222=""""), ""真實支出"",
  AND(E3222="""", F3222&lt;&gt;""""), ""真實收入"",
  TRUE, ""其他""
)"),"真實支出")</f>
        <v>真實支出</v>
      </c>
      <c r="K3222" s="270">
        <f t="shared" si="2"/>
        <v>-15</v>
      </c>
      <c r="L3222">
        <f t="shared" si="3"/>
        <v>0</v>
      </c>
    </row>
    <row r="3223">
      <c r="A3223" s="107">
        <f>IFERROR(__xludf.DUMMYFUNCTION("""COMPUTED_VALUE"""),46054.0)</f>
        <v>46054</v>
      </c>
      <c r="B3223" t="str">
        <f>IFERROR(__xludf.DUMMYFUNCTION("""COMPUTED_VALUE"""),"[哈拉對面] [陳哲聰] 大租金")</f>
        <v>[哈拉對面] [陳哲聰] 大租金</v>
      </c>
      <c r="C3223" t="str">
        <f>IFERROR(__xludf.DUMMYFUNCTION("""COMPUTED_VALUE"""),"成本 - 大租金")</f>
        <v>成本 - 大租金</v>
      </c>
      <c r="D3223" s="270">
        <f>IFERROR(__xludf.DUMMYFUNCTION("""COMPUTED_VALUE"""),-13000.0)</f>
        <v>-13000</v>
      </c>
      <c r="E3223" t="str">
        <f>IFERROR(__xludf.DUMMYFUNCTION("""COMPUTED_VALUE"""),"台銀籌備帳戶")</f>
        <v>台銀籌備帳戶</v>
      </c>
      <c r="G3223" t="str">
        <f>IFERROR(__xludf.DUMMYFUNCTION("""COMPUTED_VALUE"""),"哈拉對面")</f>
        <v>哈拉對面</v>
      </c>
      <c r="H3223" s="106" t="str">
        <f t="shared" si="1"/>
        <v>2026-02</v>
      </c>
      <c r="I3223" s="271" t="str">
        <f>IFERROR(__xludf.DUMMYFUNCTION("""COMPUTED_VALUE"""),"貓狗企鵝")</f>
        <v>貓狗企鵝</v>
      </c>
      <c r="J3223" t="str">
        <f>IFERROR(__xludf.DUMMYFUNCTION("IFS(
  AND(REGEXMATCH(E3223, ""台銀籌備帳戶|玉山帳戶""), REGEXMATCH(C3223, ""薪資"")), ""分潤支出"",
  AND(REGEXMATCH(E3223, ""Ben帳戶|Elsa帳戶|Ben代墊|Ariel代墊|中信銀行共用""), REGEXMATCH(F3223, ""Ben帳戶|Elsa帳戶|Ben代墊|Ariel代墊|中信銀行共用"")), ""內部轉帳(忽略)"",
  AND(E3223&lt;&gt;"""", F3223&lt;&gt;"""", N"&amp;"OT(REGEXMATCH(C3223, ""薪資""))), ""內部轉帳(忽略)"",
  REGEXMATCH(C3223, ""薪資""), ""薪資變動(不計入)"",
  REGEXMATCH(C3223, ""押金""), ""押金往來"",
  AND(E3223&lt;&gt;"""", F3223=""""), ""真實支出"",
  AND(E3223="""", F3223&lt;&gt;""""), ""真實收入"",
  TRUE, ""其他""
)"),"真實支出")</f>
        <v>真實支出</v>
      </c>
      <c r="K3223" s="270">
        <f t="shared" si="2"/>
        <v>-13000</v>
      </c>
      <c r="L3223">
        <f t="shared" si="3"/>
        <v>0</v>
      </c>
    </row>
    <row r="3224">
      <c r="A3224" s="107">
        <f>IFERROR(__xludf.DUMMYFUNCTION("""COMPUTED_VALUE"""),46054.0)</f>
        <v>46054</v>
      </c>
      <c r="B3224" t="str">
        <f>IFERROR(__xludf.DUMMYFUNCTION("""COMPUTED_VALUE"""),"費用 - 匯費 700 (92128)")</f>
        <v>費用 - 匯費 700 (92128)</v>
      </c>
      <c r="C3224" t="str">
        <f>IFERROR(__xludf.DUMMYFUNCTION("""COMPUTED_VALUE"""),"費用 - 匯費")</f>
        <v>費用 - 匯費</v>
      </c>
      <c r="D3224" s="270">
        <f>IFERROR(__xludf.DUMMYFUNCTION("""COMPUTED_VALUE"""),-15.0)</f>
        <v>-15</v>
      </c>
      <c r="E3224" t="str">
        <f>IFERROR(__xludf.DUMMYFUNCTION("""COMPUTED_VALUE"""),"台銀籌備帳戶")</f>
        <v>台銀籌備帳戶</v>
      </c>
      <c r="H3224" s="106" t="str">
        <f t="shared" si="1"/>
        <v>2026-02</v>
      </c>
      <c r="I3224" s="271" t="str">
        <f>IFERROR(__xludf.DUMMYFUNCTION("""COMPUTED_VALUE"""),"貓狗企鵝")</f>
        <v>貓狗企鵝</v>
      </c>
      <c r="J3224" t="str">
        <f>IFERROR(__xludf.DUMMYFUNCTION("IFS(
  AND(REGEXMATCH(E3224, ""台銀籌備帳戶|玉山帳戶""), REGEXMATCH(C3224, ""薪資"")), ""分潤支出"",
  AND(REGEXMATCH(E3224, ""Ben帳戶|Elsa帳戶|Ben代墊|Ariel代墊|中信銀行共用""), REGEXMATCH(F3224, ""Ben帳戶|Elsa帳戶|Ben代墊|Ariel代墊|中信銀行共用"")), ""內部轉帳(忽略)"",
  AND(E3224&lt;&gt;"""", F3224&lt;&gt;"""", N"&amp;"OT(REGEXMATCH(C3224, ""薪資""))), ""內部轉帳(忽略)"",
  REGEXMATCH(C3224, ""薪資""), ""薪資變動(不計入)"",
  REGEXMATCH(C3224, ""押金""), ""押金往來"",
  AND(E3224&lt;&gt;"""", F3224=""""), ""真實支出"",
  AND(E3224="""", F3224&lt;&gt;""""), ""真實收入"",
  TRUE, ""其他""
)"),"真實支出")</f>
        <v>真實支出</v>
      </c>
      <c r="K3224" s="270">
        <f t="shared" si="2"/>
        <v>-15</v>
      </c>
      <c r="L3224">
        <f t="shared" si="3"/>
        <v>0</v>
      </c>
    </row>
    <row r="3225">
      <c r="A3225" s="107">
        <f>IFERROR(__xludf.DUMMYFUNCTION("""COMPUTED_VALUE"""),46054.0)</f>
        <v>46054</v>
      </c>
      <c r="B3225" t="str">
        <f>IFERROR(__xludf.DUMMYFUNCTION("""COMPUTED_VALUE"""),"[北醫醫師府] [陳俊良] 大租金")</f>
        <v>[北醫醫師府] [陳俊良] 大租金</v>
      </c>
      <c r="C3225" t="str">
        <f>IFERROR(__xludf.DUMMYFUNCTION("""COMPUTED_VALUE"""),"成本 - 大租金")</f>
        <v>成本 - 大租金</v>
      </c>
      <c r="D3225" s="270">
        <f>IFERROR(__xludf.DUMMYFUNCTION("""COMPUTED_VALUE"""),-12800.0)</f>
        <v>-12800</v>
      </c>
      <c r="E3225" t="str">
        <f>IFERROR(__xludf.DUMMYFUNCTION("""COMPUTED_VALUE"""),"台銀籌備帳戶")</f>
        <v>台銀籌備帳戶</v>
      </c>
      <c r="G3225" t="str">
        <f>IFERROR(__xludf.DUMMYFUNCTION("""COMPUTED_VALUE"""),"北醫醫師府")</f>
        <v>北醫醫師府</v>
      </c>
      <c r="H3225" s="106" t="str">
        <f t="shared" si="1"/>
        <v>2026-02</v>
      </c>
      <c r="I3225" s="271" t="str">
        <f>IFERROR(__xludf.DUMMYFUNCTION("""COMPUTED_VALUE"""),"貓狗企鵝")</f>
        <v>貓狗企鵝</v>
      </c>
      <c r="J3225" t="str">
        <f>IFERROR(__xludf.DUMMYFUNCTION("IFS(
  AND(REGEXMATCH(E3225, ""台銀籌備帳戶|玉山帳戶""), REGEXMATCH(C3225, ""薪資"")), ""分潤支出"",
  AND(REGEXMATCH(E3225, ""Ben帳戶|Elsa帳戶|Ben代墊|Ariel代墊|中信銀行共用""), REGEXMATCH(F3225, ""Ben帳戶|Elsa帳戶|Ben代墊|Ariel代墊|中信銀行共用"")), ""內部轉帳(忽略)"",
  AND(E3225&lt;&gt;"""", F3225&lt;&gt;"""", N"&amp;"OT(REGEXMATCH(C3225, ""薪資""))), ""內部轉帳(忽略)"",
  REGEXMATCH(C3225, ""薪資""), ""薪資變動(不計入)"",
  REGEXMATCH(C3225, ""押金""), ""押金往來"",
  AND(E3225&lt;&gt;"""", F3225=""""), ""真實支出"",
  AND(E3225="""", F3225&lt;&gt;""""), ""真實收入"",
  TRUE, ""其他""
)"),"真實支出")</f>
        <v>真實支出</v>
      </c>
      <c r="K3225" s="270">
        <f t="shared" si="2"/>
        <v>-12800</v>
      </c>
      <c r="L3225">
        <f t="shared" si="3"/>
        <v>0</v>
      </c>
    </row>
    <row r="3226">
      <c r="A3226" s="107">
        <f>IFERROR(__xludf.DUMMYFUNCTION("""COMPUTED_VALUE"""),46054.0)</f>
        <v>46054</v>
      </c>
      <c r="B3226" t="str">
        <f>IFERROR(__xludf.DUMMYFUNCTION("""COMPUTED_VALUE"""),"費用 - 匯費 013 (43662)")</f>
        <v>費用 - 匯費 013 (43662)</v>
      </c>
      <c r="C3226" t="str">
        <f>IFERROR(__xludf.DUMMYFUNCTION("""COMPUTED_VALUE"""),"費用 - 匯費")</f>
        <v>費用 - 匯費</v>
      </c>
      <c r="D3226" s="270">
        <f>IFERROR(__xludf.DUMMYFUNCTION("""COMPUTED_VALUE"""),-15.0)</f>
        <v>-15</v>
      </c>
      <c r="E3226" t="str">
        <f>IFERROR(__xludf.DUMMYFUNCTION("""COMPUTED_VALUE"""),"台銀籌備帳戶")</f>
        <v>台銀籌備帳戶</v>
      </c>
      <c r="H3226" s="106" t="str">
        <f t="shared" si="1"/>
        <v>2026-02</v>
      </c>
      <c r="I3226" s="271" t="str">
        <f>IFERROR(__xludf.DUMMYFUNCTION("""COMPUTED_VALUE"""),"貓狗企鵝")</f>
        <v>貓狗企鵝</v>
      </c>
      <c r="J3226" t="str">
        <f>IFERROR(__xludf.DUMMYFUNCTION("IFS(
  AND(REGEXMATCH(E3226, ""台銀籌備帳戶|玉山帳戶""), REGEXMATCH(C3226, ""薪資"")), ""分潤支出"",
  AND(REGEXMATCH(E3226, ""Ben帳戶|Elsa帳戶|Ben代墊|Ariel代墊|中信銀行共用""), REGEXMATCH(F3226, ""Ben帳戶|Elsa帳戶|Ben代墊|Ariel代墊|中信銀行共用"")), ""內部轉帳(忽略)"",
  AND(E3226&lt;&gt;"""", F3226&lt;&gt;"""", N"&amp;"OT(REGEXMATCH(C3226, ""薪資""))), ""內部轉帳(忽略)"",
  REGEXMATCH(C3226, ""薪資""), ""薪資變動(不計入)"",
  REGEXMATCH(C3226, ""押金""), ""押金往來"",
  AND(E3226&lt;&gt;"""", F3226=""""), ""真實支出"",
  AND(E3226="""", F3226&lt;&gt;""""), ""真實收入"",
  TRUE, ""其他""
)"),"真實支出")</f>
        <v>真實支出</v>
      </c>
      <c r="K3226" s="270">
        <f t="shared" si="2"/>
        <v>-15</v>
      </c>
      <c r="L3226">
        <f t="shared" si="3"/>
        <v>0</v>
      </c>
    </row>
    <row r="3227">
      <c r="A3227" s="107">
        <f>IFERROR(__xludf.DUMMYFUNCTION("""COMPUTED_VALUE"""),46054.0)</f>
        <v>46054</v>
      </c>
      <c r="B3227" t="str">
        <f>IFERROR(__xludf.DUMMYFUNCTION("""COMPUTED_VALUE"""),"[中山北娘家旁] [方彥捷] 大租金")</f>
        <v>[中山北娘家旁] [方彥捷] 大租金</v>
      </c>
      <c r="C3227" t="str">
        <f>IFERROR(__xludf.DUMMYFUNCTION("""COMPUTED_VALUE"""),"成本 - 大租金")</f>
        <v>成本 - 大租金</v>
      </c>
      <c r="D3227" s="270">
        <f>IFERROR(__xludf.DUMMYFUNCTION("""COMPUTED_VALUE"""),-11500.0)</f>
        <v>-11500</v>
      </c>
      <c r="E3227" t="str">
        <f>IFERROR(__xludf.DUMMYFUNCTION("""COMPUTED_VALUE"""),"台銀籌備帳戶")</f>
        <v>台銀籌備帳戶</v>
      </c>
      <c r="G3227" t="str">
        <f>IFERROR(__xludf.DUMMYFUNCTION("""COMPUTED_VALUE"""),"中山北娘家旁")</f>
        <v>中山北娘家旁</v>
      </c>
      <c r="H3227" s="106" t="str">
        <f t="shared" si="1"/>
        <v>2026-02</v>
      </c>
      <c r="I3227" s="271" t="str">
        <f>IFERROR(__xludf.DUMMYFUNCTION("""COMPUTED_VALUE"""),"貓狗企鵝")</f>
        <v>貓狗企鵝</v>
      </c>
      <c r="J3227" t="str">
        <f>IFERROR(__xludf.DUMMYFUNCTION("IFS(
  AND(REGEXMATCH(E3227, ""台銀籌備帳戶|玉山帳戶""), REGEXMATCH(C3227, ""薪資"")), ""分潤支出"",
  AND(REGEXMATCH(E3227, ""Ben帳戶|Elsa帳戶|Ben代墊|Ariel代墊|中信銀行共用""), REGEXMATCH(F3227, ""Ben帳戶|Elsa帳戶|Ben代墊|Ariel代墊|中信銀行共用"")), ""內部轉帳(忽略)"",
  AND(E3227&lt;&gt;"""", F3227&lt;&gt;"""", N"&amp;"OT(REGEXMATCH(C3227, ""薪資""))), ""內部轉帳(忽略)"",
  REGEXMATCH(C3227, ""薪資""), ""薪資變動(不計入)"",
  REGEXMATCH(C3227, ""押金""), ""押金往來"",
  AND(E3227&lt;&gt;"""", F3227=""""), ""真實支出"",
  AND(E3227="""", F3227&lt;&gt;""""), ""真實收入"",
  TRUE, ""其他""
)"),"真實支出")</f>
        <v>真實支出</v>
      </c>
      <c r="K3227" s="270">
        <f t="shared" si="2"/>
        <v>-11500</v>
      </c>
      <c r="L3227">
        <f t="shared" si="3"/>
        <v>0</v>
      </c>
    </row>
    <row r="3228">
      <c r="A3228" s="107">
        <f>IFERROR(__xludf.DUMMYFUNCTION("""COMPUTED_VALUE"""),46054.0)</f>
        <v>46054</v>
      </c>
      <c r="B3228" t="str">
        <f>IFERROR(__xludf.DUMMYFUNCTION("""COMPUTED_VALUE"""),"費用 - 匯費 700 (14204)")</f>
        <v>費用 - 匯費 700 (14204)</v>
      </c>
      <c r="C3228" t="str">
        <f>IFERROR(__xludf.DUMMYFUNCTION("""COMPUTED_VALUE"""),"費用 - 匯費")</f>
        <v>費用 - 匯費</v>
      </c>
      <c r="D3228" s="270">
        <f>IFERROR(__xludf.DUMMYFUNCTION("""COMPUTED_VALUE"""),-15.0)</f>
        <v>-15</v>
      </c>
      <c r="E3228" t="str">
        <f>IFERROR(__xludf.DUMMYFUNCTION("""COMPUTED_VALUE"""),"台銀籌備帳戶")</f>
        <v>台銀籌備帳戶</v>
      </c>
      <c r="H3228" s="106" t="str">
        <f t="shared" si="1"/>
        <v>2026-02</v>
      </c>
      <c r="I3228" s="271" t="str">
        <f>IFERROR(__xludf.DUMMYFUNCTION("""COMPUTED_VALUE"""),"貓狗企鵝")</f>
        <v>貓狗企鵝</v>
      </c>
      <c r="J3228" t="str">
        <f>IFERROR(__xludf.DUMMYFUNCTION("IFS(
  AND(REGEXMATCH(E3228, ""台銀籌備帳戶|玉山帳戶""), REGEXMATCH(C3228, ""薪資"")), ""分潤支出"",
  AND(REGEXMATCH(E3228, ""Ben帳戶|Elsa帳戶|Ben代墊|Ariel代墊|中信銀行共用""), REGEXMATCH(F3228, ""Ben帳戶|Elsa帳戶|Ben代墊|Ariel代墊|中信銀行共用"")), ""內部轉帳(忽略)"",
  AND(E3228&lt;&gt;"""", F3228&lt;&gt;"""", N"&amp;"OT(REGEXMATCH(C3228, ""薪資""))), ""內部轉帳(忽略)"",
  REGEXMATCH(C3228, ""薪資""), ""薪資變動(不計入)"",
  REGEXMATCH(C3228, ""押金""), ""押金往來"",
  AND(E3228&lt;&gt;"""", F3228=""""), ""真實支出"",
  AND(E3228="""", F3228&lt;&gt;""""), ""真實收入"",
  TRUE, ""其他""
)"),"真實支出")</f>
        <v>真實支出</v>
      </c>
      <c r="K3228" s="270">
        <f t="shared" si="2"/>
        <v>-15</v>
      </c>
      <c r="L3228">
        <f t="shared" si="3"/>
        <v>0</v>
      </c>
    </row>
    <row r="3229">
      <c r="A3229" s="107">
        <f>IFERROR(__xludf.DUMMYFUNCTION("""COMPUTED_VALUE"""),46054.0)</f>
        <v>46054</v>
      </c>
      <c r="B3229" t="str">
        <f>IFERROR(__xludf.DUMMYFUNCTION("""COMPUTED_VALUE"""),"[書香民生] [吳高寶玉] 大租金")</f>
        <v>[書香民生] [吳高寶玉] 大租金</v>
      </c>
      <c r="C3229" t="str">
        <f>IFERROR(__xludf.DUMMYFUNCTION("""COMPUTED_VALUE"""),"成本 - 大租金")</f>
        <v>成本 - 大租金</v>
      </c>
      <c r="D3229" s="270">
        <f>IFERROR(__xludf.DUMMYFUNCTION("""COMPUTED_VALUE"""),-16667.0)</f>
        <v>-16667</v>
      </c>
      <c r="E3229" t="str">
        <f>IFERROR(__xludf.DUMMYFUNCTION("""COMPUTED_VALUE"""),"台銀籌備帳戶")</f>
        <v>台銀籌備帳戶</v>
      </c>
      <c r="G3229" t="str">
        <f>IFERROR(__xludf.DUMMYFUNCTION("""COMPUTED_VALUE"""),"書香民生")</f>
        <v>書香民生</v>
      </c>
      <c r="H3229" s="106" t="str">
        <f t="shared" si="1"/>
        <v>2026-02</v>
      </c>
      <c r="I3229" s="271" t="str">
        <f>IFERROR(__xludf.DUMMYFUNCTION("""COMPUTED_VALUE"""),"貓狗企鵝")</f>
        <v>貓狗企鵝</v>
      </c>
      <c r="J3229" t="str">
        <f>IFERROR(__xludf.DUMMYFUNCTION("IFS(
  AND(REGEXMATCH(E3229, ""台銀籌備帳戶|玉山帳戶""), REGEXMATCH(C3229, ""薪資"")), ""分潤支出"",
  AND(REGEXMATCH(E3229, ""Ben帳戶|Elsa帳戶|Ben代墊|Ariel代墊|中信銀行共用""), REGEXMATCH(F3229, ""Ben帳戶|Elsa帳戶|Ben代墊|Ariel代墊|中信銀行共用"")), ""內部轉帳(忽略)"",
  AND(E3229&lt;&gt;"""", F3229&lt;&gt;"""", N"&amp;"OT(REGEXMATCH(C3229, ""薪資""))), ""內部轉帳(忽略)"",
  REGEXMATCH(C3229, ""薪資""), ""薪資變動(不計入)"",
  REGEXMATCH(C3229, ""押金""), ""押金往來"",
  AND(E3229&lt;&gt;"""", F3229=""""), ""真實支出"",
  AND(E3229="""", F3229&lt;&gt;""""), ""真實收入"",
  TRUE, ""其他""
)"),"真實支出")</f>
        <v>真實支出</v>
      </c>
      <c r="K3229" s="270">
        <f t="shared" si="2"/>
        <v>-16667</v>
      </c>
      <c r="L3229">
        <f t="shared" si="3"/>
        <v>0</v>
      </c>
    </row>
    <row r="3230">
      <c r="A3230" s="107">
        <f>IFERROR(__xludf.DUMMYFUNCTION("""COMPUTED_VALUE"""),46054.0)</f>
        <v>46054</v>
      </c>
      <c r="B3230" t="str">
        <f>IFERROR(__xludf.DUMMYFUNCTION("""COMPUTED_VALUE"""),"費用 - 匯費 012 (46295)")</f>
        <v>費用 - 匯費 012 (46295)</v>
      </c>
      <c r="C3230" t="str">
        <f>IFERROR(__xludf.DUMMYFUNCTION("""COMPUTED_VALUE"""),"費用 - 匯費")</f>
        <v>費用 - 匯費</v>
      </c>
      <c r="D3230" s="270">
        <f>IFERROR(__xludf.DUMMYFUNCTION("""COMPUTED_VALUE"""),-15.0)</f>
        <v>-15</v>
      </c>
      <c r="E3230" t="str">
        <f>IFERROR(__xludf.DUMMYFUNCTION("""COMPUTED_VALUE"""),"台銀籌備帳戶")</f>
        <v>台銀籌備帳戶</v>
      </c>
      <c r="H3230" s="106" t="str">
        <f t="shared" si="1"/>
        <v>2026-02</v>
      </c>
      <c r="I3230" s="271" t="str">
        <f>IFERROR(__xludf.DUMMYFUNCTION("""COMPUTED_VALUE"""),"貓狗企鵝")</f>
        <v>貓狗企鵝</v>
      </c>
      <c r="J3230" t="str">
        <f>IFERROR(__xludf.DUMMYFUNCTION("IFS(
  AND(REGEXMATCH(E3230, ""台銀籌備帳戶|玉山帳戶""), REGEXMATCH(C3230, ""薪資"")), ""分潤支出"",
  AND(REGEXMATCH(E3230, ""Ben帳戶|Elsa帳戶|Ben代墊|Ariel代墊|中信銀行共用""), REGEXMATCH(F3230, ""Ben帳戶|Elsa帳戶|Ben代墊|Ariel代墊|中信銀行共用"")), ""內部轉帳(忽略)"",
  AND(E3230&lt;&gt;"""", F3230&lt;&gt;"""", N"&amp;"OT(REGEXMATCH(C3230, ""薪資""))), ""內部轉帳(忽略)"",
  REGEXMATCH(C3230, ""薪資""), ""薪資變動(不計入)"",
  REGEXMATCH(C3230, ""押金""), ""押金往來"",
  AND(E3230&lt;&gt;"""", F3230=""""), ""真實支出"",
  AND(E3230="""", F3230&lt;&gt;""""), ""真實收入"",
  TRUE, ""其他""
)"),"真實支出")</f>
        <v>真實支出</v>
      </c>
      <c r="K3230" s="270">
        <f t="shared" si="2"/>
        <v>-15</v>
      </c>
      <c r="L3230">
        <f t="shared" si="3"/>
        <v>0</v>
      </c>
    </row>
    <row r="3231">
      <c r="A3231" s="107">
        <f>IFERROR(__xludf.DUMMYFUNCTION("""COMPUTED_VALUE"""),46054.0)</f>
        <v>46054</v>
      </c>
      <c r="B3231" t="str">
        <f>IFERROR(__xludf.DUMMYFUNCTION("""COMPUTED_VALUE"""),"[永春四號] [郭宗仁] 大租金")</f>
        <v>[永春四號] [郭宗仁] 大租金</v>
      </c>
      <c r="C3231" t="str">
        <f>IFERROR(__xludf.DUMMYFUNCTION("""COMPUTED_VALUE"""),"成本 - 大租金")</f>
        <v>成本 - 大租金</v>
      </c>
      <c r="D3231" s="270">
        <f>IFERROR(__xludf.DUMMYFUNCTION("""COMPUTED_VALUE"""),-17000.0)</f>
        <v>-17000</v>
      </c>
      <c r="E3231" t="str">
        <f>IFERROR(__xludf.DUMMYFUNCTION("""COMPUTED_VALUE"""),"台銀籌備帳戶")</f>
        <v>台銀籌備帳戶</v>
      </c>
      <c r="G3231" t="str">
        <f>IFERROR(__xludf.DUMMYFUNCTION("""COMPUTED_VALUE"""),"永春四號")</f>
        <v>永春四號</v>
      </c>
      <c r="H3231" s="106" t="str">
        <f t="shared" si="1"/>
        <v>2026-02</v>
      </c>
      <c r="I3231" s="271" t="str">
        <f>IFERROR(__xludf.DUMMYFUNCTION("""COMPUTED_VALUE"""),"貓狗企鵝")</f>
        <v>貓狗企鵝</v>
      </c>
      <c r="J3231" t="str">
        <f>IFERROR(__xludf.DUMMYFUNCTION("IFS(
  AND(REGEXMATCH(E3231, ""台銀籌備帳戶|玉山帳戶""), REGEXMATCH(C3231, ""薪資"")), ""分潤支出"",
  AND(REGEXMATCH(E3231, ""Ben帳戶|Elsa帳戶|Ben代墊|Ariel代墊|中信銀行共用""), REGEXMATCH(F3231, ""Ben帳戶|Elsa帳戶|Ben代墊|Ariel代墊|中信銀行共用"")), ""內部轉帳(忽略)"",
  AND(E3231&lt;&gt;"""", F3231&lt;&gt;"""", N"&amp;"OT(REGEXMATCH(C3231, ""薪資""))), ""內部轉帳(忽略)"",
  REGEXMATCH(C3231, ""薪資""), ""薪資變動(不計入)"",
  REGEXMATCH(C3231, ""押金""), ""押金往來"",
  AND(E3231&lt;&gt;"""", F3231=""""), ""真實支出"",
  AND(E3231="""", F3231&lt;&gt;""""), ""真實收入"",
  TRUE, ""其他""
)"),"真實支出")</f>
        <v>真實支出</v>
      </c>
      <c r="K3231" s="270">
        <f t="shared" si="2"/>
        <v>-17000</v>
      </c>
      <c r="L3231">
        <f t="shared" si="3"/>
        <v>0</v>
      </c>
    </row>
    <row r="3232">
      <c r="A3232" s="107">
        <f>IFERROR(__xludf.DUMMYFUNCTION("""COMPUTED_VALUE"""),46054.0)</f>
        <v>46054</v>
      </c>
      <c r="B3232" t="str">
        <f>IFERROR(__xludf.DUMMYFUNCTION("""COMPUTED_VALUE"""),"[龍江229] A 月租金 後五碼:88760 (行號: 49)")</f>
        <v>[龍江229] A 月租金 後五碼:88760 (行號: 49)</v>
      </c>
      <c r="C3232" t="str">
        <f>IFERROR(__xludf.DUMMYFUNCTION("""COMPUTED_VALUE"""),"收入 - 租金")</f>
        <v>收入 - 租金</v>
      </c>
      <c r="D3232" s="270">
        <f>IFERROR(__xludf.DUMMYFUNCTION("""COMPUTED_VALUE"""),11000.0)</f>
        <v>11000</v>
      </c>
      <c r="F3232" t="str">
        <f>IFERROR(__xludf.DUMMYFUNCTION("""COMPUTED_VALUE"""),"台銀籌備帳戶")</f>
        <v>台銀籌備帳戶</v>
      </c>
      <c r="G3232" t="str">
        <f>IFERROR(__xludf.DUMMYFUNCTION("""COMPUTED_VALUE"""),"龍江229")</f>
        <v>龍江229</v>
      </c>
      <c r="H3232" s="106" t="str">
        <f t="shared" si="1"/>
        <v>2026-02</v>
      </c>
      <c r="I3232" s="271" t="str">
        <f>IFERROR(__xludf.DUMMYFUNCTION("""COMPUTED_VALUE"""),"貓狗企鵝")</f>
        <v>貓狗企鵝</v>
      </c>
      <c r="J3232" t="str">
        <f>IFERROR(__xludf.DUMMYFUNCTION("IFS(
  AND(REGEXMATCH(E3232, ""台銀籌備帳戶|玉山帳戶""), REGEXMATCH(C3232, ""薪資"")), ""分潤支出"",
  AND(REGEXMATCH(E3232, ""Ben帳戶|Elsa帳戶|Ben代墊|Ariel代墊|中信銀行共用""), REGEXMATCH(F3232, ""Ben帳戶|Elsa帳戶|Ben代墊|Ariel代墊|中信銀行共用"")), ""內部轉帳(忽略)"",
  AND(E3232&lt;&gt;"""", F3232&lt;&gt;"""", N"&amp;"OT(REGEXMATCH(C3232, ""薪資""))), ""內部轉帳(忽略)"",
  REGEXMATCH(C3232, ""薪資""), ""薪資變動(不計入)"",
  REGEXMATCH(C3232, ""押金""), ""押金往來"",
  AND(E3232&lt;&gt;"""", F3232=""""), ""真實支出"",
  AND(E3232="""", F3232&lt;&gt;""""), ""真實收入"",
  TRUE, ""其他""
)"),"真實收入")</f>
        <v>真實收入</v>
      </c>
      <c r="K3232" s="270">
        <f t="shared" si="2"/>
        <v>11000</v>
      </c>
      <c r="L3232">
        <f t="shared" si="3"/>
        <v>0</v>
      </c>
    </row>
    <row r="3233">
      <c r="A3233" s="107">
        <f>IFERROR(__xludf.DUMMYFUNCTION("""COMPUTED_VALUE"""),46054.0)</f>
        <v>46054</v>
      </c>
      <c r="B3233" t="str">
        <f>IFERROR(__xludf.DUMMYFUNCTION("""COMPUTED_VALUE"""),"[書香民生] A 月租金 後五碼:73611 (行號: 50)")</f>
        <v>[書香民生] A 月租金 後五碼:73611 (行號: 50)</v>
      </c>
      <c r="C3233" t="str">
        <f>IFERROR(__xludf.DUMMYFUNCTION("""COMPUTED_VALUE"""),"收入 - 租金")</f>
        <v>收入 - 租金</v>
      </c>
      <c r="D3233" s="270">
        <f>IFERROR(__xludf.DUMMYFUNCTION("""COMPUTED_VALUE"""),13300.0)</f>
        <v>13300</v>
      </c>
      <c r="F3233" t="str">
        <f>IFERROR(__xludf.DUMMYFUNCTION("""COMPUTED_VALUE"""),"台銀籌備帳戶")</f>
        <v>台銀籌備帳戶</v>
      </c>
      <c r="G3233" t="str">
        <f>IFERROR(__xludf.DUMMYFUNCTION("""COMPUTED_VALUE"""),"書香民生")</f>
        <v>書香民生</v>
      </c>
      <c r="H3233" s="106" t="str">
        <f t="shared" si="1"/>
        <v>2026-02</v>
      </c>
      <c r="I3233" s="271" t="str">
        <f>IFERROR(__xludf.DUMMYFUNCTION("""COMPUTED_VALUE"""),"貓狗企鵝")</f>
        <v>貓狗企鵝</v>
      </c>
      <c r="J3233" t="str">
        <f>IFERROR(__xludf.DUMMYFUNCTION("IFS(
  AND(REGEXMATCH(E3233, ""台銀籌備帳戶|玉山帳戶""), REGEXMATCH(C3233, ""薪資"")), ""分潤支出"",
  AND(REGEXMATCH(E3233, ""Ben帳戶|Elsa帳戶|Ben代墊|Ariel代墊|中信銀行共用""), REGEXMATCH(F3233, ""Ben帳戶|Elsa帳戶|Ben代墊|Ariel代墊|中信銀行共用"")), ""內部轉帳(忽略)"",
  AND(E3233&lt;&gt;"""", F3233&lt;&gt;"""", N"&amp;"OT(REGEXMATCH(C3233, ""薪資""))), ""內部轉帳(忽略)"",
  REGEXMATCH(C3233, ""薪資""), ""薪資變動(不計入)"",
  REGEXMATCH(C3233, ""押金""), ""押金往來"",
  AND(E3233&lt;&gt;"""", F3233=""""), ""真實支出"",
  AND(E3233="""", F3233&lt;&gt;""""), ""真實收入"",
  TRUE, ""其他""
)"),"真實收入")</f>
        <v>真實收入</v>
      </c>
      <c r="K3233" s="270">
        <f t="shared" si="2"/>
        <v>13300</v>
      </c>
      <c r="L3233">
        <f t="shared" si="3"/>
        <v>0</v>
      </c>
    </row>
    <row r="3234">
      <c r="A3234" s="107">
        <f>IFERROR(__xludf.DUMMYFUNCTION("""COMPUTED_VALUE"""),46054.0)</f>
        <v>46054</v>
      </c>
      <c r="B3234" t="str">
        <f>IFERROR(__xludf.DUMMYFUNCTION("""COMPUTED_VALUE"""),"[書香民生] G 月租金 後五碼:82950 (行號: 51)")</f>
        <v>[書香民生] G 月租金 後五碼:82950 (行號: 51)</v>
      </c>
      <c r="C3234" t="str">
        <f>IFERROR(__xludf.DUMMYFUNCTION("""COMPUTED_VALUE"""),"收入 - 租金")</f>
        <v>收入 - 租金</v>
      </c>
      <c r="D3234" s="270">
        <f>IFERROR(__xludf.DUMMYFUNCTION("""COMPUTED_VALUE"""),16800.0)</f>
        <v>16800</v>
      </c>
      <c r="F3234" t="str">
        <f>IFERROR(__xludf.DUMMYFUNCTION("""COMPUTED_VALUE"""),"台銀籌備帳戶")</f>
        <v>台銀籌備帳戶</v>
      </c>
      <c r="G3234" t="str">
        <f>IFERROR(__xludf.DUMMYFUNCTION("""COMPUTED_VALUE"""),"書香民生")</f>
        <v>書香民生</v>
      </c>
      <c r="H3234" s="106" t="str">
        <f t="shared" si="1"/>
        <v>2026-02</v>
      </c>
      <c r="I3234" s="271" t="str">
        <f>IFERROR(__xludf.DUMMYFUNCTION("""COMPUTED_VALUE"""),"貓狗企鵝")</f>
        <v>貓狗企鵝</v>
      </c>
      <c r="J3234" t="str">
        <f>IFERROR(__xludf.DUMMYFUNCTION("IFS(
  AND(REGEXMATCH(E3234, ""台銀籌備帳戶|玉山帳戶""), REGEXMATCH(C3234, ""薪資"")), ""分潤支出"",
  AND(REGEXMATCH(E3234, ""Ben帳戶|Elsa帳戶|Ben代墊|Ariel代墊|中信銀行共用""), REGEXMATCH(F3234, ""Ben帳戶|Elsa帳戶|Ben代墊|Ariel代墊|中信銀行共用"")), ""內部轉帳(忽略)"",
  AND(E3234&lt;&gt;"""", F3234&lt;&gt;"""", N"&amp;"OT(REGEXMATCH(C3234, ""薪資""))), ""內部轉帳(忽略)"",
  REGEXMATCH(C3234, ""薪資""), ""薪資變動(不計入)"",
  REGEXMATCH(C3234, ""押金""), ""押金往來"",
  AND(E3234&lt;&gt;"""", F3234=""""), ""真實支出"",
  AND(E3234="""", F3234&lt;&gt;""""), ""真實收入"",
  TRUE, ""其他""
)"),"真實收入")</f>
        <v>真實收入</v>
      </c>
      <c r="K3234" s="270">
        <f t="shared" si="2"/>
        <v>16800</v>
      </c>
      <c r="L3234">
        <f t="shared" si="3"/>
        <v>0</v>
      </c>
    </row>
    <row r="3235">
      <c r="A3235" s="107">
        <f>IFERROR(__xludf.DUMMYFUNCTION("""COMPUTED_VALUE"""),46054.0)</f>
        <v>46054</v>
      </c>
      <c r="B3235" t="str">
        <f>IFERROR(__xludf.DUMMYFUNCTION("""COMPUTED_VALUE"""),"[中山北Feli家] D 月租金 後五碼:45046 (行號: 52)")</f>
        <v>[中山北Feli家] D 月租金 後五碼:45046 (行號: 52)</v>
      </c>
      <c r="C3235" t="str">
        <f>IFERROR(__xludf.DUMMYFUNCTION("""COMPUTED_VALUE"""),"收入 - 租金")</f>
        <v>收入 - 租金</v>
      </c>
      <c r="D3235" s="270">
        <f>IFERROR(__xludf.DUMMYFUNCTION("""COMPUTED_VALUE"""),10800.0)</f>
        <v>10800</v>
      </c>
      <c r="F3235" t="str">
        <f>IFERROR(__xludf.DUMMYFUNCTION("""COMPUTED_VALUE"""),"台銀籌備帳戶")</f>
        <v>台銀籌備帳戶</v>
      </c>
      <c r="G3235" t="str">
        <f>IFERROR(__xludf.DUMMYFUNCTION("""COMPUTED_VALUE"""),"中山北Feli家")</f>
        <v>中山北Feli家</v>
      </c>
      <c r="H3235" s="106" t="str">
        <f t="shared" si="1"/>
        <v>2026-02</v>
      </c>
      <c r="I3235" s="271" t="str">
        <f>IFERROR(__xludf.DUMMYFUNCTION("""COMPUTED_VALUE"""),"貓狗企鵝")</f>
        <v>貓狗企鵝</v>
      </c>
      <c r="J3235" t="str">
        <f>IFERROR(__xludf.DUMMYFUNCTION("IFS(
  AND(REGEXMATCH(E3235, ""台銀籌備帳戶|玉山帳戶""), REGEXMATCH(C3235, ""薪資"")), ""分潤支出"",
  AND(REGEXMATCH(E3235, ""Ben帳戶|Elsa帳戶|Ben代墊|Ariel代墊|中信銀行共用""), REGEXMATCH(F3235, ""Ben帳戶|Elsa帳戶|Ben代墊|Ariel代墊|中信銀行共用"")), ""內部轉帳(忽略)"",
  AND(E3235&lt;&gt;"""", F3235&lt;&gt;"""", N"&amp;"OT(REGEXMATCH(C3235, ""薪資""))), ""內部轉帳(忽略)"",
  REGEXMATCH(C3235, ""薪資""), ""薪資變動(不計入)"",
  REGEXMATCH(C3235, ""押金""), ""押金往來"",
  AND(E3235&lt;&gt;"""", F3235=""""), ""真實支出"",
  AND(E3235="""", F3235&lt;&gt;""""), ""真實收入"",
  TRUE, ""其他""
)"),"真實收入")</f>
        <v>真實收入</v>
      </c>
      <c r="K3235" s="270">
        <f t="shared" si="2"/>
        <v>10800</v>
      </c>
      <c r="L3235">
        <f t="shared" si="3"/>
        <v>0</v>
      </c>
    </row>
    <row r="3236">
      <c r="A3236" s="107">
        <f>IFERROR(__xludf.DUMMYFUNCTION("""COMPUTED_VALUE"""),46054.0)</f>
        <v>46054</v>
      </c>
      <c r="B3236" t="str">
        <f>IFERROR(__xludf.DUMMYFUNCTION("""COMPUTED_VALUE"""),"[北醫醫師府] A 月租金 後五碼:58807 (行號: 53)")</f>
        <v>[北醫醫師府] A 月租金 後五碼:58807 (行號: 53)</v>
      </c>
      <c r="C3236" t="str">
        <f>IFERROR(__xludf.DUMMYFUNCTION("""COMPUTED_VALUE"""),"收入 - 租金")</f>
        <v>收入 - 租金</v>
      </c>
      <c r="D3236" s="270">
        <f>IFERROR(__xludf.DUMMYFUNCTION("""COMPUTED_VALUE"""),13000.0)</f>
        <v>13000</v>
      </c>
      <c r="F3236" t="str">
        <f>IFERROR(__xludf.DUMMYFUNCTION("""COMPUTED_VALUE"""),"台銀籌備帳戶")</f>
        <v>台銀籌備帳戶</v>
      </c>
      <c r="G3236" t="str">
        <f>IFERROR(__xludf.DUMMYFUNCTION("""COMPUTED_VALUE"""),"北醫醫師府")</f>
        <v>北醫醫師府</v>
      </c>
      <c r="H3236" s="106" t="str">
        <f t="shared" si="1"/>
        <v>2026-02</v>
      </c>
      <c r="I3236" s="271" t="str">
        <f>IFERROR(__xludf.DUMMYFUNCTION("""COMPUTED_VALUE"""),"貓狗企鵝")</f>
        <v>貓狗企鵝</v>
      </c>
      <c r="J3236" t="str">
        <f>IFERROR(__xludf.DUMMYFUNCTION("IFS(
  AND(REGEXMATCH(E3236, ""台銀籌備帳戶|玉山帳戶""), REGEXMATCH(C3236, ""薪資"")), ""分潤支出"",
  AND(REGEXMATCH(E3236, ""Ben帳戶|Elsa帳戶|Ben代墊|Ariel代墊|中信銀行共用""), REGEXMATCH(F3236, ""Ben帳戶|Elsa帳戶|Ben代墊|Ariel代墊|中信銀行共用"")), ""內部轉帳(忽略)"",
  AND(E3236&lt;&gt;"""", F3236&lt;&gt;"""", N"&amp;"OT(REGEXMATCH(C3236, ""薪資""))), ""內部轉帳(忽略)"",
  REGEXMATCH(C3236, ""薪資""), ""薪資變動(不計入)"",
  REGEXMATCH(C3236, ""押金""), ""押金往來"",
  AND(E3236&lt;&gt;"""", F3236=""""), ""真實支出"",
  AND(E3236="""", F3236&lt;&gt;""""), ""真實收入"",
  TRUE, ""其他""
)"),"真實收入")</f>
        <v>真實收入</v>
      </c>
      <c r="K3236" s="270">
        <f t="shared" si="2"/>
        <v>13000</v>
      </c>
      <c r="L3236">
        <f t="shared" si="3"/>
        <v>0</v>
      </c>
    </row>
    <row r="3237">
      <c r="A3237" s="107">
        <f>IFERROR(__xludf.DUMMYFUNCTION("""COMPUTED_VALUE"""),46054.0)</f>
        <v>46054</v>
      </c>
      <c r="B3237" t="str">
        <f>IFERROR(__xludf.DUMMYFUNCTION("""COMPUTED_VALUE"""),"[中山北Feli家] C 月租金 後五碼:24881 (行號: 54)")</f>
        <v>[中山北Feli家] C 月租金 後五碼:24881 (行號: 54)</v>
      </c>
      <c r="C3237" t="str">
        <f>IFERROR(__xludf.DUMMYFUNCTION("""COMPUTED_VALUE"""),"收入 - 租金")</f>
        <v>收入 - 租金</v>
      </c>
      <c r="D3237" s="270">
        <f>IFERROR(__xludf.DUMMYFUNCTION("""COMPUTED_VALUE"""),11500.0)</f>
        <v>11500</v>
      </c>
      <c r="F3237" t="str">
        <f>IFERROR(__xludf.DUMMYFUNCTION("""COMPUTED_VALUE"""),"台銀籌備帳戶")</f>
        <v>台銀籌備帳戶</v>
      </c>
      <c r="G3237" t="str">
        <f>IFERROR(__xludf.DUMMYFUNCTION("""COMPUTED_VALUE"""),"中山北Feli家")</f>
        <v>中山北Feli家</v>
      </c>
      <c r="H3237" s="106" t="str">
        <f t="shared" si="1"/>
        <v>2026-02</v>
      </c>
      <c r="I3237" s="271" t="str">
        <f>IFERROR(__xludf.DUMMYFUNCTION("""COMPUTED_VALUE"""),"貓狗企鵝")</f>
        <v>貓狗企鵝</v>
      </c>
      <c r="J3237" t="str">
        <f>IFERROR(__xludf.DUMMYFUNCTION("IFS(
  AND(REGEXMATCH(E3237, ""台銀籌備帳戶|玉山帳戶""), REGEXMATCH(C3237, ""薪資"")), ""分潤支出"",
  AND(REGEXMATCH(E3237, ""Ben帳戶|Elsa帳戶|Ben代墊|Ariel代墊|中信銀行共用""), REGEXMATCH(F3237, ""Ben帳戶|Elsa帳戶|Ben代墊|Ariel代墊|中信銀行共用"")), ""內部轉帳(忽略)"",
  AND(E3237&lt;&gt;"""", F3237&lt;&gt;"""", N"&amp;"OT(REGEXMATCH(C3237, ""薪資""))), ""內部轉帳(忽略)"",
  REGEXMATCH(C3237, ""薪資""), ""薪資變動(不計入)"",
  REGEXMATCH(C3237, ""押金""), ""押金往來"",
  AND(E3237&lt;&gt;"""", F3237=""""), ""真實支出"",
  AND(E3237="""", F3237&lt;&gt;""""), ""真實收入"",
  TRUE, ""其他""
)"),"真實收入")</f>
        <v>真實收入</v>
      </c>
      <c r="K3237" s="270">
        <f t="shared" si="2"/>
        <v>11500</v>
      </c>
      <c r="L3237">
        <f t="shared" si="3"/>
        <v>0</v>
      </c>
    </row>
    <row r="3238">
      <c r="A3238" s="107">
        <f>IFERROR(__xludf.DUMMYFUNCTION("""COMPUTED_VALUE"""),46054.0)</f>
        <v>46054</v>
      </c>
      <c r="B3238" t="str">
        <f>IFERROR(__xludf.DUMMYFUNCTION("""COMPUTED_VALUE"""),"[永春四號] C 月租金 後五碼:47900 (行號: 55)")</f>
        <v>[永春四號] C 月租金 後五碼:47900 (行號: 55)</v>
      </c>
      <c r="C3238" t="str">
        <f>IFERROR(__xludf.DUMMYFUNCTION("""COMPUTED_VALUE"""),"收入 - 租金")</f>
        <v>收入 - 租金</v>
      </c>
      <c r="D3238" s="270">
        <f>IFERROR(__xludf.DUMMYFUNCTION("""COMPUTED_VALUE"""),12800.0)</f>
        <v>12800</v>
      </c>
      <c r="F3238" t="str">
        <f>IFERROR(__xludf.DUMMYFUNCTION("""COMPUTED_VALUE"""),"台銀籌備帳戶")</f>
        <v>台銀籌備帳戶</v>
      </c>
      <c r="G3238" t="str">
        <f>IFERROR(__xludf.DUMMYFUNCTION("""COMPUTED_VALUE"""),"永春四號")</f>
        <v>永春四號</v>
      </c>
      <c r="H3238" s="106" t="str">
        <f t="shared" si="1"/>
        <v>2026-02</v>
      </c>
      <c r="I3238" s="271" t="str">
        <f>IFERROR(__xludf.DUMMYFUNCTION("""COMPUTED_VALUE"""),"貓狗企鵝")</f>
        <v>貓狗企鵝</v>
      </c>
      <c r="J3238" t="str">
        <f>IFERROR(__xludf.DUMMYFUNCTION("IFS(
  AND(REGEXMATCH(E3238, ""台銀籌備帳戶|玉山帳戶""), REGEXMATCH(C3238, ""薪資"")), ""分潤支出"",
  AND(REGEXMATCH(E3238, ""Ben帳戶|Elsa帳戶|Ben代墊|Ariel代墊|中信銀行共用""), REGEXMATCH(F3238, ""Ben帳戶|Elsa帳戶|Ben代墊|Ariel代墊|中信銀行共用"")), ""內部轉帳(忽略)"",
  AND(E3238&lt;&gt;"""", F3238&lt;&gt;"""", N"&amp;"OT(REGEXMATCH(C3238, ""薪資""))), ""內部轉帳(忽略)"",
  REGEXMATCH(C3238, ""薪資""), ""薪資變動(不計入)"",
  REGEXMATCH(C3238, ""押金""), ""押金往來"",
  AND(E3238&lt;&gt;"""", F3238=""""), ""真實支出"",
  AND(E3238="""", F3238&lt;&gt;""""), ""真實收入"",
  TRUE, ""其他""
)"),"真實收入")</f>
        <v>真實收入</v>
      </c>
      <c r="K3238" s="270">
        <f t="shared" si="2"/>
        <v>12800</v>
      </c>
      <c r="L3238">
        <f t="shared" si="3"/>
        <v>0</v>
      </c>
    </row>
    <row r="3239">
      <c r="A3239" s="107">
        <f>IFERROR(__xludf.DUMMYFUNCTION("""COMPUTED_VALUE"""),46054.0)</f>
        <v>46054</v>
      </c>
      <c r="B3239" t="str">
        <f>IFERROR(__xludf.DUMMYFUNCTION("""COMPUTED_VALUE"""),"[北醫醫師府] D 月租金 後五碼:79414 (行號: 56)")</f>
        <v>[北醫醫師府] D 月租金 後五碼:79414 (行號: 56)</v>
      </c>
      <c r="C3239" t="str">
        <f>IFERROR(__xludf.DUMMYFUNCTION("""COMPUTED_VALUE"""),"收入 - 租金")</f>
        <v>收入 - 租金</v>
      </c>
      <c r="D3239" s="270">
        <f>IFERROR(__xludf.DUMMYFUNCTION("""COMPUTED_VALUE"""),12000.0)</f>
        <v>12000</v>
      </c>
      <c r="F3239" t="str">
        <f>IFERROR(__xludf.DUMMYFUNCTION("""COMPUTED_VALUE"""),"台銀籌備帳戶")</f>
        <v>台銀籌備帳戶</v>
      </c>
      <c r="G3239" t="str">
        <f>IFERROR(__xludf.DUMMYFUNCTION("""COMPUTED_VALUE"""),"北醫醫師府")</f>
        <v>北醫醫師府</v>
      </c>
      <c r="H3239" s="106" t="str">
        <f t="shared" si="1"/>
        <v>2026-02</v>
      </c>
      <c r="I3239" s="271" t="str">
        <f>IFERROR(__xludf.DUMMYFUNCTION("""COMPUTED_VALUE"""),"貓狗企鵝")</f>
        <v>貓狗企鵝</v>
      </c>
      <c r="J3239" t="str">
        <f>IFERROR(__xludf.DUMMYFUNCTION("IFS(
  AND(REGEXMATCH(E3239, ""台銀籌備帳戶|玉山帳戶""), REGEXMATCH(C3239, ""薪資"")), ""分潤支出"",
  AND(REGEXMATCH(E3239, ""Ben帳戶|Elsa帳戶|Ben代墊|Ariel代墊|中信銀行共用""), REGEXMATCH(F3239, ""Ben帳戶|Elsa帳戶|Ben代墊|Ariel代墊|中信銀行共用"")), ""內部轉帳(忽略)"",
  AND(E3239&lt;&gt;"""", F3239&lt;&gt;"""", N"&amp;"OT(REGEXMATCH(C3239, ""薪資""))), ""內部轉帳(忽略)"",
  REGEXMATCH(C3239, ""薪資""), ""薪資變動(不計入)"",
  REGEXMATCH(C3239, ""押金""), ""押金往來"",
  AND(E3239&lt;&gt;"""", F3239=""""), ""真實支出"",
  AND(E3239="""", F3239&lt;&gt;""""), ""真實收入"",
  TRUE, ""其他""
)"),"真實收入")</f>
        <v>真實收入</v>
      </c>
      <c r="K3239" s="270">
        <f t="shared" si="2"/>
        <v>12000</v>
      </c>
      <c r="L3239">
        <f t="shared" si="3"/>
        <v>0</v>
      </c>
    </row>
    <row r="3240">
      <c r="A3240" s="107">
        <f>IFERROR(__xludf.DUMMYFUNCTION("""COMPUTED_VALUE"""),46054.0)</f>
        <v>46054</v>
      </c>
      <c r="B3240" t="str">
        <f>IFERROR(__xludf.DUMMYFUNCTION("""COMPUTED_VALUE"""),"[南港站挑高宅] D 月租金 後五碼:10279 (行號: 57)")</f>
        <v>[南港站挑高宅] D 月租金 後五碼:10279 (行號: 57)</v>
      </c>
      <c r="C3240" t="str">
        <f>IFERROR(__xludf.DUMMYFUNCTION("""COMPUTED_VALUE"""),"收入 - 租金")</f>
        <v>收入 - 租金</v>
      </c>
      <c r="D3240" s="270">
        <f>IFERROR(__xludf.DUMMYFUNCTION("""COMPUTED_VALUE"""),13800.0)</f>
        <v>13800</v>
      </c>
      <c r="F3240" t="str">
        <f>IFERROR(__xludf.DUMMYFUNCTION("""COMPUTED_VALUE"""),"台銀籌備帳戶")</f>
        <v>台銀籌備帳戶</v>
      </c>
      <c r="G3240" t="str">
        <f>IFERROR(__xludf.DUMMYFUNCTION("""COMPUTED_VALUE"""),"南港站挑高宅")</f>
        <v>南港站挑高宅</v>
      </c>
      <c r="H3240" s="106" t="str">
        <f t="shared" si="1"/>
        <v>2026-02</v>
      </c>
      <c r="I3240" s="271" t="str">
        <f>IFERROR(__xludf.DUMMYFUNCTION("""COMPUTED_VALUE"""),"貓狗企鵝")</f>
        <v>貓狗企鵝</v>
      </c>
      <c r="J3240" t="str">
        <f>IFERROR(__xludf.DUMMYFUNCTION("IFS(
  AND(REGEXMATCH(E3240, ""台銀籌備帳戶|玉山帳戶""), REGEXMATCH(C3240, ""薪資"")), ""分潤支出"",
  AND(REGEXMATCH(E3240, ""Ben帳戶|Elsa帳戶|Ben代墊|Ariel代墊|中信銀行共用""), REGEXMATCH(F3240, ""Ben帳戶|Elsa帳戶|Ben代墊|Ariel代墊|中信銀行共用"")), ""內部轉帳(忽略)"",
  AND(E3240&lt;&gt;"""", F3240&lt;&gt;"""", N"&amp;"OT(REGEXMATCH(C3240, ""薪資""))), ""內部轉帳(忽略)"",
  REGEXMATCH(C3240, ""薪資""), ""薪資變動(不計入)"",
  REGEXMATCH(C3240, ""押金""), ""押金往來"",
  AND(E3240&lt;&gt;"""", F3240=""""), ""真實支出"",
  AND(E3240="""", F3240&lt;&gt;""""), ""真實收入"",
  TRUE, ""其他""
)"),"真實收入")</f>
        <v>真實收入</v>
      </c>
      <c r="K3240" s="270">
        <f t="shared" si="2"/>
        <v>13800</v>
      </c>
      <c r="L3240">
        <f t="shared" si="3"/>
        <v>0</v>
      </c>
    </row>
    <row r="3241">
      <c r="A3241" s="107">
        <f>IFERROR(__xludf.DUMMYFUNCTION("""COMPUTED_VALUE"""),46054.0)</f>
        <v>46054</v>
      </c>
      <c r="B3241" t="str">
        <f>IFERROR(__xludf.DUMMYFUNCTION("""COMPUTED_VALUE"""),"[大湖山莊] A 月租金 後五碼:60119 (行號: 58)")</f>
        <v>[大湖山莊] A 月租金 後五碼:60119 (行號: 58)</v>
      </c>
      <c r="C3241" t="str">
        <f>IFERROR(__xludf.DUMMYFUNCTION("""COMPUTED_VALUE"""),"收入 - 租金")</f>
        <v>收入 - 租金</v>
      </c>
      <c r="D3241" s="270">
        <f>IFERROR(__xludf.DUMMYFUNCTION("""COMPUTED_VALUE"""),13000.0)</f>
        <v>13000</v>
      </c>
      <c r="F3241" t="str">
        <f>IFERROR(__xludf.DUMMYFUNCTION("""COMPUTED_VALUE"""),"台銀籌備帳戶")</f>
        <v>台銀籌備帳戶</v>
      </c>
      <c r="G3241" t="str">
        <f>IFERROR(__xludf.DUMMYFUNCTION("""COMPUTED_VALUE"""),"大湖山莊")</f>
        <v>大湖山莊</v>
      </c>
      <c r="H3241" s="106" t="str">
        <f t="shared" si="1"/>
        <v>2026-02</v>
      </c>
      <c r="I3241" s="271" t="str">
        <f>IFERROR(__xludf.DUMMYFUNCTION("""COMPUTED_VALUE"""),"貓狗企鵝")</f>
        <v>貓狗企鵝</v>
      </c>
      <c r="J3241" t="str">
        <f>IFERROR(__xludf.DUMMYFUNCTION("IFS(
  AND(REGEXMATCH(E3241, ""台銀籌備帳戶|玉山帳戶""), REGEXMATCH(C3241, ""薪資"")), ""分潤支出"",
  AND(REGEXMATCH(E3241, ""Ben帳戶|Elsa帳戶|Ben代墊|Ariel代墊|中信銀行共用""), REGEXMATCH(F3241, ""Ben帳戶|Elsa帳戶|Ben代墊|Ariel代墊|中信銀行共用"")), ""內部轉帳(忽略)"",
  AND(E3241&lt;&gt;"""", F3241&lt;&gt;"""", N"&amp;"OT(REGEXMATCH(C3241, ""薪資""))), ""內部轉帳(忽略)"",
  REGEXMATCH(C3241, ""薪資""), ""薪資變動(不計入)"",
  REGEXMATCH(C3241, ""押金""), ""押金往來"",
  AND(E3241&lt;&gt;"""", F3241=""""), ""真實支出"",
  AND(E3241="""", F3241&lt;&gt;""""), ""真實收入"",
  TRUE, ""其他""
)"),"真實收入")</f>
        <v>真實收入</v>
      </c>
      <c r="K3241" s="270">
        <f t="shared" si="2"/>
        <v>13000</v>
      </c>
      <c r="L3241">
        <f t="shared" si="3"/>
        <v>0</v>
      </c>
    </row>
    <row r="3242">
      <c r="A3242" s="107">
        <f>IFERROR(__xludf.DUMMYFUNCTION("""COMPUTED_VALUE"""),46054.0)</f>
        <v>46054</v>
      </c>
      <c r="B3242" t="str">
        <f>IFERROR(__xludf.DUMMYFUNCTION("""COMPUTED_VALUE"""),"[大湖山莊] F 月租金 後五碼:36938 (行號: 59)")</f>
        <v>[大湖山莊] F 月租金 後五碼:36938 (行號: 59)</v>
      </c>
      <c r="C3242" t="str">
        <f>IFERROR(__xludf.DUMMYFUNCTION("""COMPUTED_VALUE"""),"收入 - 租金")</f>
        <v>收入 - 租金</v>
      </c>
      <c r="D3242" s="270">
        <f>IFERROR(__xludf.DUMMYFUNCTION("""COMPUTED_VALUE"""),18300.0)</f>
        <v>18300</v>
      </c>
      <c r="F3242" t="str">
        <f>IFERROR(__xludf.DUMMYFUNCTION("""COMPUTED_VALUE"""),"台銀籌備帳戶")</f>
        <v>台銀籌備帳戶</v>
      </c>
      <c r="G3242" t="str">
        <f>IFERROR(__xludf.DUMMYFUNCTION("""COMPUTED_VALUE"""),"大湖山莊")</f>
        <v>大湖山莊</v>
      </c>
      <c r="H3242" s="106" t="str">
        <f t="shared" si="1"/>
        <v>2026-02</v>
      </c>
      <c r="I3242" s="271" t="str">
        <f>IFERROR(__xludf.DUMMYFUNCTION("""COMPUTED_VALUE"""),"貓狗企鵝")</f>
        <v>貓狗企鵝</v>
      </c>
      <c r="J3242" t="str">
        <f>IFERROR(__xludf.DUMMYFUNCTION("IFS(
  AND(REGEXMATCH(E3242, ""台銀籌備帳戶|玉山帳戶""), REGEXMATCH(C3242, ""薪資"")), ""分潤支出"",
  AND(REGEXMATCH(E3242, ""Ben帳戶|Elsa帳戶|Ben代墊|Ariel代墊|中信銀行共用""), REGEXMATCH(F3242, ""Ben帳戶|Elsa帳戶|Ben代墊|Ariel代墊|中信銀行共用"")), ""內部轉帳(忽略)"",
  AND(E3242&lt;&gt;"""", F3242&lt;&gt;"""", N"&amp;"OT(REGEXMATCH(C3242, ""薪資""))), ""內部轉帳(忽略)"",
  REGEXMATCH(C3242, ""薪資""), ""薪資變動(不計入)"",
  REGEXMATCH(C3242, ""押金""), ""押金往來"",
  AND(E3242&lt;&gt;"""", F3242=""""), ""真實支出"",
  AND(E3242="""", F3242&lt;&gt;""""), ""真實收入"",
  TRUE, ""其他""
)"),"真實收入")</f>
        <v>真實收入</v>
      </c>
      <c r="K3242" s="270">
        <f t="shared" si="2"/>
        <v>18300</v>
      </c>
      <c r="L3242">
        <f t="shared" si="3"/>
        <v>0</v>
      </c>
    </row>
    <row r="3243">
      <c r="A3243" s="107">
        <f>IFERROR(__xludf.DUMMYFUNCTION("""COMPUTED_VALUE"""),46054.0)</f>
        <v>46054</v>
      </c>
      <c r="B3243" t="str">
        <f>IFERROR(__xludf.DUMMYFUNCTION("""COMPUTED_VALUE"""),"[大湖山莊] C 月租金 後五碼:54655 (行號: 60)")</f>
        <v>[大湖山莊] C 月租金 後五碼:54655 (行號: 60)</v>
      </c>
      <c r="C3243" t="str">
        <f>IFERROR(__xludf.DUMMYFUNCTION("""COMPUTED_VALUE"""),"收入 - 租金")</f>
        <v>收入 - 租金</v>
      </c>
      <c r="D3243" s="270">
        <f>IFERROR(__xludf.DUMMYFUNCTION("""COMPUTED_VALUE"""),18800.0)</f>
        <v>18800</v>
      </c>
      <c r="F3243" t="str">
        <f>IFERROR(__xludf.DUMMYFUNCTION("""COMPUTED_VALUE"""),"台銀籌備帳戶")</f>
        <v>台銀籌備帳戶</v>
      </c>
      <c r="G3243" t="str">
        <f>IFERROR(__xludf.DUMMYFUNCTION("""COMPUTED_VALUE"""),"大湖山莊")</f>
        <v>大湖山莊</v>
      </c>
      <c r="H3243" s="106" t="str">
        <f t="shared" si="1"/>
        <v>2026-02</v>
      </c>
      <c r="I3243" s="271" t="str">
        <f>IFERROR(__xludf.DUMMYFUNCTION("""COMPUTED_VALUE"""),"貓狗企鵝")</f>
        <v>貓狗企鵝</v>
      </c>
      <c r="J3243" t="str">
        <f>IFERROR(__xludf.DUMMYFUNCTION("IFS(
  AND(REGEXMATCH(E3243, ""台銀籌備帳戶|玉山帳戶""), REGEXMATCH(C3243, ""薪資"")), ""分潤支出"",
  AND(REGEXMATCH(E3243, ""Ben帳戶|Elsa帳戶|Ben代墊|Ariel代墊|中信銀行共用""), REGEXMATCH(F3243, ""Ben帳戶|Elsa帳戶|Ben代墊|Ariel代墊|中信銀行共用"")), ""內部轉帳(忽略)"",
  AND(E3243&lt;&gt;"""", F3243&lt;&gt;"""", N"&amp;"OT(REGEXMATCH(C3243, ""薪資""))), ""內部轉帳(忽略)"",
  REGEXMATCH(C3243, ""薪資""), ""薪資變動(不計入)"",
  REGEXMATCH(C3243, ""押金""), ""押金往來"",
  AND(E3243&lt;&gt;"""", F3243=""""), ""真實支出"",
  AND(E3243="""", F3243&lt;&gt;""""), ""真實收入"",
  TRUE, ""其他""
)"),"真實收入")</f>
        <v>真實收入</v>
      </c>
      <c r="K3243" s="270">
        <f t="shared" si="2"/>
        <v>18800</v>
      </c>
      <c r="L3243">
        <f t="shared" si="3"/>
        <v>0</v>
      </c>
    </row>
    <row r="3244">
      <c r="A3244" s="107">
        <f>IFERROR(__xludf.DUMMYFUNCTION("""COMPUTED_VALUE"""),46054.0)</f>
        <v>46054</v>
      </c>
      <c r="B3244" t="str">
        <f>IFERROR(__xludf.DUMMYFUNCTION("""COMPUTED_VALUE"""),"[永春四號] D 月租金 後五碼:54267 (行號: 61)")</f>
        <v>[永春四號] D 月租金 後五碼:54267 (行號: 61)</v>
      </c>
      <c r="C3244" t="str">
        <f>IFERROR(__xludf.DUMMYFUNCTION("""COMPUTED_VALUE"""),"收入 - 租金")</f>
        <v>收入 - 租金</v>
      </c>
      <c r="D3244" s="270">
        <f>IFERROR(__xludf.DUMMYFUNCTION("""COMPUTED_VALUE"""),14300.0)</f>
        <v>14300</v>
      </c>
      <c r="F3244" t="str">
        <f>IFERROR(__xludf.DUMMYFUNCTION("""COMPUTED_VALUE"""),"台銀籌備帳戶")</f>
        <v>台銀籌備帳戶</v>
      </c>
      <c r="G3244" t="str">
        <f>IFERROR(__xludf.DUMMYFUNCTION("""COMPUTED_VALUE"""),"永春四號")</f>
        <v>永春四號</v>
      </c>
      <c r="H3244" s="106" t="str">
        <f t="shared" si="1"/>
        <v>2026-02</v>
      </c>
      <c r="I3244" s="271" t="str">
        <f>IFERROR(__xludf.DUMMYFUNCTION("""COMPUTED_VALUE"""),"貓狗企鵝")</f>
        <v>貓狗企鵝</v>
      </c>
      <c r="J3244" t="str">
        <f>IFERROR(__xludf.DUMMYFUNCTION("IFS(
  AND(REGEXMATCH(E3244, ""台銀籌備帳戶|玉山帳戶""), REGEXMATCH(C3244, ""薪資"")), ""分潤支出"",
  AND(REGEXMATCH(E3244, ""Ben帳戶|Elsa帳戶|Ben代墊|Ariel代墊|中信銀行共用""), REGEXMATCH(F3244, ""Ben帳戶|Elsa帳戶|Ben代墊|Ariel代墊|中信銀行共用"")), ""內部轉帳(忽略)"",
  AND(E3244&lt;&gt;"""", F3244&lt;&gt;"""", N"&amp;"OT(REGEXMATCH(C3244, ""薪資""))), ""內部轉帳(忽略)"",
  REGEXMATCH(C3244, ""薪資""), ""薪資變動(不計入)"",
  REGEXMATCH(C3244, ""押金""), ""押金往來"",
  AND(E3244&lt;&gt;"""", F3244=""""), ""真實支出"",
  AND(E3244="""", F3244&lt;&gt;""""), ""真實收入"",
  TRUE, ""其他""
)"),"真實收入")</f>
        <v>真實收入</v>
      </c>
      <c r="K3244" s="270">
        <f t="shared" si="2"/>
        <v>14300</v>
      </c>
      <c r="L3244">
        <f t="shared" si="3"/>
        <v>0</v>
      </c>
    </row>
    <row r="3245">
      <c r="A3245" s="107">
        <f>IFERROR(__xludf.DUMMYFUNCTION("""COMPUTED_VALUE"""),46054.0)</f>
        <v>46054</v>
      </c>
      <c r="B3245" t="str">
        <f>IFERROR(__xludf.DUMMYFUNCTION("""COMPUTED_VALUE"""),"[北醫醫師府] C 月租金 後五碼:44027 (行號: 62)")</f>
        <v>[北醫醫師府] C 月租金 後五碼:44027 (行號: 62)</v>
      </c>
      <c r="C3245" t="str">
        <f>IFERROR(__xludf.DUMMYFUNCTION("""COMPUTED_VALUE"""),"收入 - 租金")</f>
        <v>收入 - 租金</v>
      </c>
      <c r="D3245" s="270">
        <f>IFERROR(__xludf.DUMMYFUNCTION("""COMPUTED_VALUE"""),13000.0)</f>
        <v>13000</v>
      </c>
      <c r="F3245" t="str">
        <f>IFERROR(__xludf.DUMMYFUNCTION("""COMPUTED_VALUE"""),"台銀籌備帳戶")</f>
        <v>台銀籌備帳戶</v>
      </c>
      <c r="G3245" t="str">
        <f>IFERROR(__xludf.DUMMYFUNCTION("""COMPUTED_VALUE"""),"北醫醫師府")</f>
        <v>北醫醫師府</v>
      </c>
      <c r="H3245" s="106" t="str">
        <f t="shared" si="1"/>
        <v>2026-02</v>
      </c>
      <c r="I3245" s="271" t="str">
        <f>IFERROR(__xludf.DUMMYFUNCTION("""COMPUTED_VALUE"""),"貓狗企鵝")</f>
        <v>貓狗企鵝</v>
      </c>
      <c r="J3245" t="str">
        <f>IFERROR(__xludf.DUMMYFUNCTION("IFS(
  AND(REGEXMATCH(E3245, ""台銀籌備帳戶|玉山帳戶""), REGEXMATCH(C3245, ""薪資"")), ""分潤支出"",
  AND(REGEXMATCH(E3245, ""Ben帳戶|Elsa帳戶|Ben代墊|Ariel代墊|中信銀行共用""), REGEXMATCH(F3245, ""Ben帳戶|Elsa帳戶|Ben代墊|Ariel代墊|中信銀行共用"")), ""內部轉帳(忽略)"",
  AND(E3245&lt;&gt;"""", F3245&lt;&gt;"""", N"&amp;"OT(REGEXMATCH(C3245, ""薪資""))), ""內部轉帳(忽略)"",
  REGEXMATCH(C3245, ""薪資""), ""薪資變動(不計入)"",
  REGEXMATCH(C3245, ""押金""), ""押金往來"",
  AND(E3245&lt;&gt;"""", F3245=""""), ""真實支出"",
  AND(E3245="""", F3245&lt;&gt;""""), ""真實收入"",
  TRUE, ""其他""
)"),"真實收入")</f>
        <v>真實收入</v>
      </c>
      <c r="K3245" s="270">
        <f t="shared" si="2"/>
        <v>13000</v>
      </c>
      <c r="L3245">
        <f t="shared" si="3"/>
        <v>0</v>
      </c>
    </row>
    <row r="3246">
      <c r="A3246" s="107">
        <f>IFERROR(__xludf.DUMMYFUNCTION("""COMPUTED_VALUE"""),46054.0)</f>
        <v>46054</v>
      </c>
      <c r="B3246" t="str">
        <f>IFERROR(__xludf.DUMMYFUNCTION("""COMPUTED_VALUE"""),"[市府爺爺家] A 月租金 後五碼:44967 (行號: 63)")</f>
        <v>[市府爺爺家] A 月租金 後五碼:44967 (行號: 63)</v>
      </c>
      <c r="C3246" t="str">
        <f>IFERROR(__xludf.DUMMYFUNCTION("""COMPUTED_VALUE"""),"收入 - 租金")</f>
        <v>收入 - 租金</v>
      </c>
      <c r="D3246" s="270">
        <f>IFERROR(__xludf.DUMMYFUNCTION("""COMPUTED_VALUE"""),22000.0)</f>
        <v>22000</v>
      </c>
      <c r="F3246" t="str">
        <f>IFERROR(__xludf.DUMMYFUNCTION("""COMPUTED_VALUE"""),"台銀籌備帳戶")</f>
        <v>台銀籌備帳戶</v>
      </c>
      <c r="G3246" t="str">
        <f>IFERROR(__xludf.DUMMYFUNCTION("""COMPUTED_VALUE"""),"市府爺爺家")</f>
        <v>市府爺爺家</v>
      </c>
      <c r="H3246" s="106" t="str">
        <f t="shared" si="1"/>
        <v>2026-02</v>
      </c>
      <c r="I3246" s="271" t="str">
        <f>IFERROR(__xludf.DUMMYFUNCTION("""COMPUTED_VALUE"""),"貓狗企鵝")</f>
        <v>貓狗企鵝</v>
      </c>
      <c r="J3246" t="str">
        <f>IFERROR(__xludf.DUMMYFUNCTION("IFS(
  AND(REGEXMATCH(E3246, ""台銀籌備帳戶|玉山帳戶""), REGEXMATCH(C3246, ""薪資"")), ""分潤支出"",
  AND(REGEXMATCH(E3246, ""Ben帳戶|Elsa帳戶|Ben代墊|Ariel代墊|中信銀行共用""), REGEXMATCH(F3246, ""Ben帳戶|Elsa帳戶|Ben代墊|Ariel代墊|中信銀行共用"")), ""內部轉帳(忽略)"",
  AND(E3246&lt;&gt;"""", F3246&lt;&gt;"""", N"&amp;"OT(REGEXMATCH(C3246, ""薪資""))), ""內部轉帳(忽略)"",
  REGEXMATCH(C3246, ""薪資""), ""薪資變動(不計入)"",
  REGEXMATCH(C3246, ""押金""), ""押金往來"",
  AND(E3246&lt;&gt;"""", F3246=""""), ""真實支出"",
  AND(E3246="""", F3246&lt;&gt;""""), ""真實收入"",
  TRUE, ""其他""
)"),"真實收入")</f>
        <v>真實收入</v>
      </c>
      <c r="K3246" s="270">
        <f t="shared" si="2"/>
        <v>22000</v>
      </c>
      <c r="L3246">
        <f t="shared" si="3"/>
        <v>0</v>
      </c>
    </row>
    <row r="3247">
      <c r="A3247" s="107">
        <f>IFERROR(__xludf.DUMMYFUNCTION("""COMPUTED_VALUE"""),46054.0)</f>
        <v>46054</v>
      </c>
      <c r="B3247" t="str">
        <f>IFERROR(__xludf.DUMMYFUNCTION("""COMPUTED_VALUE"""),"[大湖山莊] E 月租金 後五碼:60828 (行號: 64)")</f>
        <v>[大湖山莊] E 月租金 後五碼:60828 (行號: 64)</v>
      </c>
      <c r="C3247" t="str">
        <f>IFERROR(__xludf.DUMMYFUNCTION("""COMPUTED_VALUE"""),"收入 - 租金")</f>
        <v>收入 - 租金</v>
      </c>
      <c r="D3247" s="270">
        <f>IFERROR(__xludf.DUMMYFUNCTION("""COMPUTED_VALUE"""),11500.0)</f>
        <v>11500</v>
      </c>
      <c r="F3247" t="str">
        <f>IFERROR(__xludf.DUMMYFUNCTION("""COMPUTED_VALUE"""),"台銀籌備帳戶")</f>
        <v>台銀籌備帳戶</v>
      </c>
      <c r="G3247" t="str">
        <f>IFERROR(__xludf.DUMMYFUNCTION("""COMPUTED_VALUE"""),"大湖山莊")</f>
        <v>大湖山莊</v>
      </c>
      <c r="H3247" s="106" t="str">
        <f t="shared" si="1"/>
        <v>2026-02</v>
      </c>
      <c r="I3247" s="271" t="str">
        <f>IFERROR(__xludf.DUMMYFUNCTION("""COMPUTED_VALUE"""),"貓狗企鵝")</f>
        <v>貓狗企鵝</v>
      </c>
      <c r="J3247" t="str">
        <f>IFERROR(__xludf.DUMMYFUNCTION("IFS(
  AND(REGEXMATCH(E3247, ""台銀籌備帳戶|玉山帳戶""), REGEXMATCH(C3247, ""薪資"")), ""分潤支出"",
  AND(REGEXMATCH(E3247, ""Ben帳戶|Elsa帳戶|Ben代墊|Ariel代墊|中信銀行共用""), REGEXMATCH(F3247, ""Ben帳戶|Elsa帳戶|Ben代墊|Ariel代墊|中信銀行共用"")), ""內部轉帳(忽略)"",
  AND(E3247&lt;&gt;"""", F3247&lt;&gt;"""", N"&amp;"OT(REGEXMATCH(C3247, ""薪資""))), ""內部轉帳(忽略)"",
  REGEXMATCH(C3247, ""薪資""), ""薪資變動(不計入)"",
  REGEXMATCH(C3247, ""押金""), ""押金往來"",
  AND(E3247&lt;&gt;"""", F3247=""""), ""真實支出"",
  AND(E3247="""", F3247&lt;&gt;""""), ""真實收入"",
  TRUE, ""其他""
)"),"真實收入")</f>
        <v>真實收入</v>
      </c>
      <c r="K3247" s="270">
        <f t="shared" si="2"/>
        <v>11500</v>
      </c>
      <c r="L3247">
        <f t="shared" si="3"/>
        <v>0</v>
      </c>
    </row>
    <row r="3248">
      <c r="A3248" s="107">
        <f>IFERROR(__xludf.DUMMYFUNCTION("""COMPUTED_VALUE"""),46054.0)</f>
        <v>46054</v>
      </c>
      <c r="B3248" t="str">
        <f>IFERROR(__xludf.DUMMYFUNCTION("""COMPUTED_VALUE"""),"[書香民生] F 月租金 後五碼:47477 (行號: 65)")</f>
        <v>[書香民生] F 月租金 後五碼:47477 (行號: 65)</v>
      </c>
      <c r="C3248" t="str">
        <f>IFERROR(__xludf.DUMMYFUNCTION("""COMPUTED_VALUE"""),"收入 - 租金")</f>
        <v>收入 - 租金</v>
      </c>
      <c r="D3248" s="270">
        <f>IFERROR(__xludf.DUMMYFUNCTION("""COMPUTED_VALUE"""),15800.0)</f>
        <v>15800</v>
      </c>
      <c r="F3248" t="str">
        <f>IFERROR(__xludf.DUMMYFUNCTION("""COMPUTED_VALUE"""),"台銀籌備帳戶")</f>
        <v>台銀籌備帳戶</v>
      </c>
      <c r="G3248" t="str">
        <f>IFERROR(__xludf.DUMMYFUNCTION("""COMPUTED_VALUE"""),"書香民生")</f>
        <v>書香民生</v>
      </c>
      <c r="H3248" s="106" t="str">
        <f t="shared" si="1"/>
        <v>2026-02</v>
      </c>
      <c r="I3248" s="271" t="str">
        <f>IFERROR(__xludf.DUMMYFUNCTION("""COMPUTED_VALUE"""),"貓狗企鵝")</f>
        <v>貓狗企鵝</v>
      </c>
      <c r="J3248" t="str">
        <f>IFERROR(__xludf.DUMMYFUNCTION("IFS(
  AND(REGEXMATCH(E3248, ""台銀籌備帳戶|玉山帳戶""), REGEXMATCH(C3248, ""薪資"")), ""分潤支出"",
  AND(REGEXMATCH(E3248, ""Ben帳戶|Elsa帳戶|Ben代墊|Ariel代墊|中信銀行共用""), REGEXMATCH(F3248, ""Ben帳戶|Elsa帳戶|Ben代墊|Ariel代墊|中信銀行共用"")), ""內部轉帳(忽略)"",
  AND(E3248&lt;&gt;"""", F3248&lt;&gt;"""", N"&amp;"OT(REGEXMATCH(C3248, ""薪資""))), ""內部轉帳(忽略)"",
  REGEXMATCH(C3248, ""薪資""), ""薪資變動(不計入)"",
  REGEXMATCH(C3248, ""押金""), ""押金往來"",
  AND(E3248&lt;&gt;"""", F3248=""""), ""真實支出"",
  AND(E3248="""", F3248&lt;&gt;""""), ""真實收入"",
  TRUE, ""其他""
)"),"真實收入")</f>
        <v>真實收入</v>
      </c>
      <c r="K3248" s="270">
        <f t="shared" si="2"/>
        <v>15800</v>
      </c>
      <c r="L3248">
        <f t="shared" si="3"/>
        <v>0</v>
      </c>
    </row>
    <row r="3249">
      <c r="A3249" s="107">
        <f>IFERROR(__xludf.DUMMYFUNCTION("""COMPUTED_VALUE"""),46054.0)</f>
        <v>46054</v>
      </c>
      <c r="B3249" t="str">
        <f>IFERROR(__xludf.DUMMYFUNCTION("""COMPUTED_VALUE"""),"[南港站挑高宅] C 月租金 後五碼:15812 (行號: 66)")</f>
        <v>[南港站挑高宅] C 月租金 後五碼:15812 (行號: 66)</v>
      </c>
      <c r="C3249" t="str">
        <f>IFERROR(__xludf.DUMMYFUNCTION("""COMPUTED_VALUE"""),"收入 - 租金")</f>
        <v>收入 - 租金</v>
      </c>
      <c r="D3249" s="270">
        <f>IFERROR(__xludf.DUMMYFUNCTION("""COMPUTED_VALUE"""),15000.0)</f>
        <v>15000</v>
      </c>
      <c r="F3249" t="str">
        <f>IFERROR(__xludf.DUMMYFUNCTION("""COMPUTED_VALUE"""),"台銀籌備帳戶")</f>
        <v>台銀籌備帳戶</v>
      </c>
      <c r="G3249" t="str">
        <f>IFERROR(__xludf.DUMMYFUNCTION("""COMPUTED_VALUE"""),"南港站挑高宅")</f>
        <v>南港站挑高宅</v>
      </c>
      <c r="H3249" s="106" t="str">
        <f t="shared" si="1"/>
        <v>2026-02</v>
      </c>
      <c r="I3249" s="271" t="str">
        <f>IFERROR(__xludf.DUMMYFUNCTION("""COMPUTED_VALUE"""),"貓狗企鵝")</f>
        <v>貓狗企鵝</v>
      </c>
      <c r="J3249" t="str">
        <f>IFERROR(__xludf.DUMMYFUNCTION("IFS(
  AND(REGEXMATCH(E3249, ""台銀籌備帳戶|玉山帳戶""), REGEXMATCH(C3249, ""薪資"")), ""分潤支出"",
  AND(REGEXMATCH(E3249, ""Ben帳戶|Elsa帳戶|Ben代墊|Ariel代墊|中信銀行共用""), REGEXMATCH(F3249, ""Ben帳戶|Elsa帳戶|Ben代墊|Ariel代墊|中信銀行共用"")), ""內部轉帳(忽略)"",
  AND(E3249&lt;&gt;"""", F3249&lt;&gt;"""", N"&amp;"OT(REGEXMATCH(C3249, ""薪資""))), ""內部轉帳(忽略)"",
  REGEXMATCH(C3249, ""薪資""), ""薪資變動(不計入)"",
  REGEXMATCH(C3249, ""押金""), ""押金往來"",
  AND(E3249&lt;&gt;"""", F3249=""""), ""真實支出"",
  AND(E3249="""", F3249&lt;&gt;""""), ""真實收入"",
  TRUE, ""其他""
)"),"真實收入")</f>
        <v>真實收入</v>
      </c>
      <c r="K3249" s="270">
        <f t="shared" si="2"/>
        <v>15000</v>
      </c>
      <c r="L3249">
        <f t="shared" si="3"/>
        <v>0</v>
      </c>
    </row>
    <row r="3250">
      <c r="A3250" s="107">
        <f>IFERROR(__xludf.DUMMYFUNCTION("""COMPUTED_VALUE"""),46054.0)</f>
        <v>46054</v>
      </c>
      <c r="B3250" t="str">
        <f>IFERROR(__xludf.DUMMYFUNCTION("""COMPUTED_VALUE"""),"[哈拉對面] B 月租金 後五碼:74678 (行號: 67)")</f>
        <v>[哈拉對面] B 月租金 後五碼:74678 (行號: 67)</v>
      </c>
      <c r="C3250" t="str">
        <f>IFERROR(__xludf.DUMMYFUNCTION("""COMPUTED_VALUE"""),"收入 - 租金")</f>
        <v>收入 - 租金</v>
      </c>
      <c r="D3250" s="270">
        <f>IFERROR(__xludf.DUMMYFUNCTION("""COMPUTED_VALUE"""),15800.0)</f>
        <v>15800</v>
      </c>
      <c r="F3250" t="str">
        <f>IFERROR(__xludf.DUMMYFUNCTION("""COMPUTED_VALUE"""),"台銀籌備帳戶")</f>
        <v>台銀籌備帳戶</v>
      </c>
      <c r="G3250" t="str">
        <f>IFERROR(__xludf.DUMMYFUNCTION("""COMPUTED_VALUE"""),"哈拉對面")</f>
        <v>哈拉對面</v>
      </c>
      <c r="H3250" s="106" t="str">
        <f t="shared" si="1"/>
        <v>2026-02</v>
      </c>
      <c r="I3250" s="271" t="str">
        <f>IFERROR(__xludf.DUMMYFUNCTION("""COMPUTED_VALUE"""),"貓狗企鵝")</f>
        <v>貓狗企鵝</v>
      </c>
      <c r="J3250" t="str">
        <f>IFERROR(__xludf.DUMMYFUNCTION("IFS(
  AND(REGEXMATCH(E3250, ""台銀籌備帳戶|玉山帳戶""), REGEXMATCH(C3250, ""薪資"")), ""分潤支出"",
  AND(REGEXMATCH(E3250, ""Ben帳戶|Elsa帳戶|Ben代墊|Ariel代墊|中信銀行共用""), REGEXMATCH(F3250, ""Ben帳戶|Elsa帳戶|Ben代墊|Ariel代墊|中信銀行共用"")), ""內部轉帳(忽略)"",
  AND(E3250&lt;&gt;"""", F3250&lt;&gt;"""", N"&amp;"OT(REGEXMATCH(C3250, ""薪資""))), ""內部轉帳(忽略)"",
  REGEXMATCH(C3250, ""薪資""), ""薪資變動(不計入)"",
  REGEXMATCH(C3250, ""押金""), ""押金往來"",
  AND(E3250&lt;&gt;"""", F3250=""""), ""真實支出"",
  AND(E3250="""", F3250&lt;&gt;""""), ""真實收入"",
  TRUE, ""其他""
)"),"真實收入")</f>
        <v>真實收入</v>
      </c>
      <c r="K3250" s="270">
        <f t="shared" si="2"/>
        <v>15800</v>
      </c>
      <c r="L3250">
        <f t="shared" si="3"/>
        <v>0</v>
      </c>
    </row>
    <row r="3251">
      <c r="A3251" s="107">
        <f>IFERROR(__xludf.DUMMYFUNCTION("""COMPUTED_VALUE"""),46054.0)</f>
        <v>46054</v>
      </c>
      <c r="B3251" t="str">
        <f>IFERROR(__xludf.DUMMYFUNCTION("""COMPUTED_VALUE"""),"[金龍帽子先生] C 月租金 後五碼:31815 (行號: 68)")</f>
        <v>[金龍帽子先生] C 月租金 後五碼:31815 (行號: 68)</v>
      </c>
      <c r="C3251" t="str">
        <f>IFERROR(__xludf.DUMMYFUNCTION("""COMPUTED_VALUE"""),"收入 - 租金")</f>
        <v>收入 - 租金</v>
      </c>
      <c r="D3251" s="270">
        <f>IFERROR(__xludf.DUMMYFUNCTION("""COMPUTED_VALUE"""),14000.0)</f>
        <v>14000</v>
      </c>
      <c r="F3251" t="str">
        <f>IFERROR(__xludf.DUMMYFUNCTION("""COMPUTED_VALUE"""),"台銀籌備帳戶")</f>
        <v>台銀籌備帳戶</v>
      </c>
      <c r="G3251" t="str">
        <f>IFERROR(__xludf.DUMMYFUNCTION("""COMPUTED_VALUE"""),"金龍帽子先生")</f>
        <v>金龍帽子先生</v>
      </c>
      <c r="H3251" s="106" t="str">
        <f t="shared" si="1"/>
        <v>2026-02</v>
      </c>
      <c r="I3251" s="271" t="str">
        <f>IFERROR(__xludf.DUMMYFUNCTION("""COMPUTED_VALUE"""),"貓狗企鵝")</f>
        <v>貓狗企鵝</v>
      </c>
      <c r="J3251" t="str">
        <f>IFERROR(__xludf.DUMMYFUNCTION("IFS(
  AND(REGEXMATCH(E3251, ""台銀籌備帳戶|玉山帳戶""), REGEXMATCH(C3251, ""薪資"")), ""分潤支出"",
  AND(REGEXMATCH(E3251, ""Ben帳戶|Elsa帳戶|Ben代墊|Ariel代墊|中信銀行共用""), REGEXMATCH(F3251, ""Ben帳戶|Elsa帳戶|Ben代墊|Ariel代墊|中信銀行共用"")), ""內部轉帳(忽略)"",
  AND(E3251&lt;&gt;"""", F3251&lt;&gt;"""", N"&amp;"OT(REGEXMATCH(C3251, ""薪資""))), ""內部轉帳(忽略)"",
  REGEXMATCH(C3251, ""薪資""), ""薪資變動(不計入)"",
  REGEXMATCH(C3251, ""押金""), ""押金往來"",
  AND(E3251&lt;&gt;"""", F3251=""""), ""真實支出"",
  AND(E3251="""", F3251&lt;&gt;""""), ""真實收入"",
  TRUE, ""其他""
)"),"真實收入")</f>
        <v>真實收入</v>
      </c>
      <c r="K3251" s="270">
        <f t="shared" si="2"/>
        <v>14000</v>
      </c>
      <c r="L3251">
        <f t="shared" si="3"/>
        <v>0</v>
      </c>
    </row>
    <row r="3252">
      <c r="A3252" s="107">
        <f>IFERROR(__xludf.DUMMYFUNCTION("""COMPUTED_VALUE"""),46054.0)</f>
        <v>46054</v>
      </c>
      <c r="B3252" t="str">
        <f>IFERROR(__xludf.DUMMYFUNCTION("""COMPUTED_VALUE"""),"[中山北Feli家] E, F 月租金 後五碼:41343 (行號: 69)")</f>
        <v>[中山北Feli家] E, F 月租金 後五碼:41343 (行號: 69)</v>
      </c>
      <c r="C3252" t="str">
        <f>IFERROR(__xludf.DUMMYFUNCTION("""COMPUTED_VALUE"""),"收入 - 租金")</f>
        <v>收入 - 租金</v>
      </c>
      <c r="D3252" s="270">
        <f>IFERROR(__xludf.DUMMYFUNCTION("""COMPUTED_VALUE"""),30000.0)</f>
        <v>30000</v>
      </c>
      <c r="F3252" t="str">
        <f>IFERROR(__xludf.DUMMYFUNCTION("""COMPUTED_VALUE"""),"台銀籌備帳戶")</f>
        <v>台銀籌備帳戶</v>
      </c>
      <c r="G3252" t="str">
        <f>IFERROR(__xludf.DUMMYFUNCTION("""COMPUTED_VALUE"""),"中山北Feli家")</f>
        <v>中山北Feli家</v>
      </c>
      <c r="H3252" s="106" t="str">
        <f t="shared" si="1"/>
        <v>2026-02</v>
      </c>
      <c r="I3252" s="271" t="str">
        <f>IFERROR(__xludf.DUMMYFUNCTION("""COMPUTED_VALUE"""),"貓狗企鵝")</f>
        <v>貓狗企鵝</v>
      </c>
      <c r="J3252" t="str">
        <f>IFERROR(__xludf.DUMMYFUNCTION("IFS(
  AND(REGEXMATCH(E3252, ""台銀籌備帳戶|玉山帳戶""), REGEXMATCH(C3252, ""薪資"")), ""分潤支出"",
  AND(REGEXMATCH(E3252, ""Ben帳戶|Elsa帳戶|Ben代墊|Ariel代墊|中信銀行共用""), REGEXMATCH(F3252, ""Ben帳戶|Elsa帳戶|Ben代墊|Ariel代墊|中信銀行共用"")), ""內部轉帳(忽略)"",
  AND(E3252&lt;&gt;"""", F3252&lt;&gt;"""", N"&amp;"OT(REGEXMATCH(C3252, ""薪資""))), ""內部轉帳(忽略)"",
  REGEXMATCH(C3252, ""薪資""), ""薪資變動(不計入)"",
  REGEXMATCH(C3252, ""押金""), ""押金往來"",
  AND(E3252&lt;&gt;"""", F3252=""""), ""真實支出"",
  AND(E3252="""", F3252&lt;&gt;""""), ""真實收入"",
  TRUE, ""其他""
)"),"真實收入")</f>
        <v>真實收入</v>
      </c>
      <c r="K3252" s="270">
        <f t="shared" si="2"/>
        <v>30000</v>
      </c>
      <c r="L3252">
        <f t="shared" si="3"/>
        <v>0</v>
      </c>
    </row>
    <row r="3253">
      <c r="A3253" s="107">
        <f>IFERROR(__xludf.DUMMYFUNCTION("""COMPUTED_VALUE"""),46054.0)</f>
        <v>46054</v>
      </c>
      <c r="B3253" t="str">
        <f>IFERROR(__xludf.DUMMYFUNCTION("""COMPUTED_VALUE"""),"[龍江229] E 月租金 後五碼:62280 (行號: 70)")</f>
        <v>[龍江229] E 月租金 後五碼:62280 (行號: 70)</v>
      </c>
      <c r="C3253" t="str">
        <f>IFERROR(__xludf.DUMMYFUNCTION("""COMPUTED_VALUE"""),"收入 - 租金")</f>
        <v>收入 - 租金</v>
      </c>
      <c r="D3253" s="270">
        <f>IFERROR(__xludf.DUMMYFUNCTION("""COMPUTED_VALUE"""),11500.0)</f>
        <v>11500</v>
      </c>
      <c r="F3253" t="str">
        <f>IFERROR(__xludf.DUMMYFUNCTION("""COMPUTED_VALUE"""),"台銀籌備帳戶")</f>
        <v>台銀籌備帳戶</v>
      </c>
      <c r="G3253" t="str">
        <f>IFERROR(__xludf.DUMMYFUNCTION("""COMPUTED_VALUE"""),"龍江229")</f>
        <v>龍江229</v>
      </c>
      <c r="H3253" s="106" t="str">
        <f t="shared" si="1"/>
        <v>2026-02</v>
      </c>
      <c r="I3253" s="271" t="str">
        <f>IFERROR(__xludf.DUMMYFUNCTION("""COMPUTED_VALUE"""),"貓狗企鵝")</f>
        <v>貓狗企鵝</v>
      </c>
      <c r="J3253" t="str">
        <f>IFERROR(__xludf.DUMMYFUNCTION("IFS(
  AND(REGEXMATCH(E3253, ""台銀籌備帳戶|玉山帳戶""), REGEXMATCH(C3253, ""薪資"")), ""分潤支出"",
  AND(REGEXMATCH(E3253, ""Ben帳戶|Elsa帳戶|Ben代墊|Ariel代墊|中信銀行共用""), REGEXMATCH(F3253, ""Ben帳戶|Elsa帳戶|Ben代墊|Ariel代墊|中信銀行共用"")), ""內部轉帳(忽略)"",
  AND(E3253&lt;&gt;"""", F3253&lt;&gt;"""", N"&amp;"OT(REGEXMATCH(C3253, ""薪資""))), ""內部轉帳(忽略)"",
  REGEXMATCH(C3253, ""薪資""), ""薪資變動(不計入)"",
  REGEXMATCH(C3253, ""押金""), ""押金往來"",
  AND(E3253&lt;&gt;"""", F3253=""""), ""真實支出"",
  AND(E3253="""", F3253&lt;&gt;""""), ""真實收入"",
  TRUE, ""其他""
)"),"真實收入")</f>
        <v>真實收入</v>
      </c>
      <c r="K3253" s="270">
        <f t="shared" si="2"/>
        <v>11500</v>
      </c>
      <c r="L3253">
        <f t="shared" si="3"/>
        <v>0</v>
      </c>
    </row>
    <row r="3254">
      <c r="A3254" s="107">
        <f>IFERROR(__xludf.DUMMYFUNCTION("""COMPUTED_VALUE"""),46054.0)</f>
        <v>46054</v>
      </c>
      <c r="B3254" t="str">
        <f>IFERROR(__xludf.DUMMYFUNCTION("""COMPUTED_VALUE"""),"[永春四號] B 月租金 後五碼:31402 (行號: 71)")</f>
        <v>[永春四號] B 月租金 後五碼:31402 (行號: 71)</v>
      </c>
      <c r="C3254" t="str">
        <f>IFERROR(__xludf.DUMMYFUNCTION("""COMPUTED_VALUE"""),"收入 - 租金")</f>
        <v>收入 - 租金</v>
      </c>
      <c r="D3254" s="270">
        <f>IFERROR(__xludf.DUMMYFUNCTION("""COMPUTED_VALUE"""),13500.0)</f>
        <v>13500</v>
      </c>
      <c r="F3254" t="str">
        <f>IFERROR(__xludf.DUMMYFUNCTION("""COMPUTED_VALUE"""),"台銀籌備帳戶")</f>
        <v>台銀籌備帳戶</v>
      </c>
      <c r="G3254" t="str">
        <f>IFERROR(__xludf.DUMMYFUNCTION("""COMPUTED_VALUE"""),"永春四號")</f>
        <v>永春四號</v>
      </c>
      <c r="H3254" s="106" t="str">
        <f t="shared" si="1"/>
        <v>2026-02</v>
      </c>
      <c r="I3254" s="271" t="str">
        <f>IFERROR(__xludf.DUMMYFUNCTION("""COMPUTED_VALUE"""),"貓狗企鵝")</f>
        <v>貓狗企鵝</v>
      </c>
      <c r="J3254" t="str">
        <f>IFERROR(__xludf.DUMMYFUNCTION("IFS(
  AND(REGEXMATCH(E3254, ""台銀籌備帳戶|玉山帳戶""), REGEXMATCH(C3254, ""薪資"")), ""分潤支出"",
  AND(REGEXMATCH(E3254, ""Ben帳戶|Elsa帳戶|Ben代墊|Ariel代墊|中信銀行共用""), REGEXMATCH(F3254, ""Ben帳戶|Elsa帳戶|Ben代墊|Ariel代墊|中信銀行共用"")), ""內部轉帳(忽略)"",
  AND(E3254&lt;&gt;"""", F3254&lt;&gt;"""", N"&amp;"OT(REGEXMATCH(C3254, ""薪資""))), ""內部轉帳(忽略)"",
  REGEXMATCH(C3254, ""薪資""), ""薪資變動(不計入)"",
  REGEXMATCH(C3254, ""押金""), ""押金往來"",
  AND(E3254&lt;&gt;"""", F3254=""""), ""真實支出"",
  AND(E3254="""", F3254&lt;&gt;""""), ""真實收入"",
  TRUE, ""其他""
)"),"真實收入")</f>
        <v>真實收入</v>
      </c>
      <c r="K3254" s="270">
        <f t="shared" si="2"/>
        <v>13500</v>
      </c>
      <c r="L3254">
        <f t="shared" si="3"/>
        <v>0</v>
      </c>
    </row>
    <row r="3255">
      <c r="A3255" s="107">
        <f>IFERROR(__xludf.DUMMYFUNCTION("""COMPUTED_VALUE"""),46054.0)</f>
        <v>46054</v>
      </c>
      <c r="B3255" t="str">
        <f>IFERROR(__xludf.DUMMYFUNCTION("""COMPUTED_VALUE"""),"[中山北娘家旁] A 月租金 後五碼:86076 (行號: 72)")</f>
        <v>[中山北娘家旁] A 月租金 後五碼:86076 (行號: 72)</v>
      </c>
      <c r="C3255" t="str">
        <f>IFERROR(__xludf.DUMMYFUNCTION("""COMPUTED_VALUE"""),"收入 - 租金")</f>
        <v>收入 - 租金</v>
      </c>
      <c r="D3255" s="270">
        <f>IFERROR(__xludf.DUMMYFUNCTION("""COMPUTED_VALUE"""),12500.0)</f>
        <v>12500</v>
      </c>
      <c r="F3255" t="str">
        <f>IFERROR(__xludf.DUMMYFUNCTION("""COMPUTED_VALUE"""),"台銀籌備帳戶")</f>
        <v>台銀籌備帳戶</v>
      </c>
      <c r="G3255" t="str">
        <f>IFERROR(__xludf.DUMMYFUNCTION("""COMPUTED_VALUE"""),"中山北娘家旁")</f>
        <v>中山北娘家旁</v>
      </c>
      <c r="H3255" s="106" t="str">
        <f t="shared" si="1"/>
        <v>2026-02</v>
      </c>
      <c r="I3255" s="271" t="str">
        <f>IFERROR(__xludf.DUMMYFUNCTION("""COMPUTED_VALUE"""),"貓狗企鵝")</f>
        <v>貓狗企鵝</v>
      </c>
      <c r="J3255" t="str">
        <f>IFERROR(__xludf.DUMMYFUNCTION("IFS(
  AND(REGEXMATCH(E3255, ""台銀籌備帳戶|玉山帳戶""), REGEXMATCH(C3255, ""薪資"")), ""分潤支出"",
  AND(REGEXMATCH(E3255, ""Ben帳戶|Elsa帳戶|Ben代墊|Ariel代墊|中信銀行共用""), REGEXMATCH(F3255, ""Ben帳戶|Elsa帳戶|Ben代墊|Ariel代墊|中信銀行共用"")), ""內部轉帳(忽略)"",
  AND(E3255&lt;&gt;"""", F3255&lt;&gt;"""", N"&amp;"OT(REGEXMATCH(C3255, ""薪資""))), ""內部轉帳(忽略)"",
  REGEXMATCH(C3255, ""薪資""), ""薪資變動(不計入)"",
  REGEXMATCH(C3255, ""押金""), ""押金往來"",
  AND(E3255&lt;&gt;"""", F3255=""""), ""真實支出"",
  AND(E3255="""", F3255&lt;&gt;""""), ""真實收入"",
  TRUE, ""其他""
)"),"真實收入")</f>
        <v>真實收入</v>
      </c>
      <c r="K3255" s="270">
        <f t="shared" si="2"/>
        <v>12500</v>
      </c>
      <c r="L3255">
        <f t="shared" si="3"/>
        <v>0</v>
      </c>
    </row>
    <row r="3256">
      <c r="A3256" s="107">
        <f>IFERROR(__xludf.DUMMYFUNCTION("""COMPUTED_VALUE"""),46054.0)</f>
        <v>46054</v>
      </c>
      <c r="B3256" t="str">
        <f>IFERROR(__xludf.DUMMYFUNCTION("""COMPUTED_VALUE"""),"[中山北娘家旁] D 月租金 後五碼:25359 (行號: 74)")</f>
        <v>[中山北娘家旁] D 月租金 後五碼:25359 (行號: 74)</v>
      </c>
      <c r="C3256" t="str">
        <f>IFERROR(__xludf.DUMMYFUNCTION("""COMPUTED_VALUE"""),"收入 - 租金")</f>
        <v>收入 - 租金</v>
      </c>
      <c r="D3256" s="270">
        <f>IFERROR(__xludf.DUMMYFUNCTION("""COMPUTED_VALUE"""),14500.0)</f>
        <v>14500</v>
      </c>
      <c r="F3256" t="str">
        <f>IFERROR(__xludf.DUMMYFUNCTION("""COMPUTED_VALUE"""),"台銀籌備帳戶")</f>
        <v>台銀籌備帳戶</v>
      </c>
      <c r="G3256" t="str">
        <f>IFERROR(__xludf.DUMMYFUNCTION("""COMPUTED_VALUE"""),"中山北娘家旁")</f>
        <v>中山北娘家旁</v>
      </c>
      <c r="H3256" s="106" t="str">
        <f t="shared" si="1"/>
        <v>2026-02</v>
      </c>
      <c r="I3256" s="271" t="str">
        <f>IFERROR(__xludf.DUMMYFUNCTION("""COMPUTED_VALUE"""),"貓狗企鵝")</f>
        <v>貓狗企鵝</v>
      </c>
      <c r="J3256" t="str">
        <f>IFERROR(__xludf.DUMMYFUNCTION("IFS(
  AND(REGEXMATCH(E3256, ""台銀籌備帳戶|玉山帳戶""), REGEXMATCH(C3256, ""薪資"")), ""分潤支出"",
  AND(REGEXMATCH(E3256, ""Ben帳戶|Elsa帳戶|Ben代墊|Ariel代墊|中信銀行共用""), REGEXMATCH(F3256, ""Ben帳戶|Elsa帳戶|Ben代墊|Ariel代墊|中信銀行共用"")), ""內部轉帳(忽略)"",
  AND(E3256&lt;&gt;"""", F3256&lt;&gt;"""", N"&amp;"OT(REGEXMATCH(C3256, ""薪資""))), ""內部轉帳(忽略)"",
  REGEXMATCH(C3256, ""薪資""), ""薪資變動(不計入)"",
  REGEXMATCH(C3256, ""押金""), ""押金往來"",
  AND(E3256&lt;&gt;"""", F3256=""""), ""真實支出"",
  AND(E3256="""", F3256&lt;&gt;""""), ""真實收入"",
  TRUE, ""其他""
)"),"真實收入")</f>
        <v>真實收入</v>
      </c>
      <c r="K3256" s="270">
        <f t="shared" si="2"/>
        <v>14500</v>
      </c>
      <c r="L3256">
        <f t="shared" si="3"/>
        <v>0</v>
      </c>
    </row>
    <row r="3257">
      <c r="A3257" s="107">
        <f>IFERROR(__xludf.DUMMYFUNCTION("""COMPUTED_VALUE"""),46054.0)</f>
        <v>46054</v>
      </c>
      <c r="B3257" t="str">
        <f>IFERROR(__xludf.DUMMYFUNCTION("""COMPUTED_VALUE"""),"[大湖山莊] D 月租金 後五碼:57000 (行號: 75)")</f>
        <v>[大湖山莊] D 月租金 後五碼:57000 (行號: 75)</v>
      </c>
      <c r="C3257" t="str">
        <f>IFERROR(__xludf.DUMMYFUNCTION("""COMPUTED_VALUE"""),"收入 - 租金")</f>
        <v>收入 - 租金</v>
      </c>
      <c r="D3257" s="270">
        <f>IFERROR(__xludf.DUMMYFUNCTION("""COMPUTED_VALUE"""),14300.0)</f>
        <v>14300</v>
      </c>
      <c r="F3257" t="str">
        <f>IFERROR(__xludf.DUMMYFUNCTION("""COMPUTED_VALUE"""),"台銀籌備帳戶")</f>
        <v>台銀籌備帳戶</v>
      </c>
      <c r="G3257" t="str">
        <f>IFERROR(__xludf.DUMMYFUNCTION("""COMPUTED_VALUE"""),"大湖山莊")</f>
        <v>大湖山莊</v>
      </c>
      <c r="H3257" s="106" t="str">
        <f t="shared" si="1"/>
        <v>2026-02</v>
      </c>
      <c r="I3257" s="271" t="str">
        <f>IFERROR(__xludf.DUMMYFUNCTION("""COMPUTED_VALUE"""),"貓狗企鵝")</f>
        <v>貓狗企鵝</v>
      </c>
      <c r="J3257" t="str">
        <f>IFERROR(__xludf.DUMMYFUNCTION("IFS(
  AND(REGEXMATCH(E3257, ""台銀籌備帳戶|玉山帳戶""), REGEXMATCH(C3257, ""薪資"")), ""分潤支出"",
  AND(REGEXMATCH(E3257, ""Ben帳戶|Elsa帳戶|Ben代墊|Ariel代墊|中信銀行共用""), REGEXMATCH(F3257, ""Ben帳戶|Elsa帳戶|Ben代墊|Ariel代墊|中信銀行共用"")), ""內部轉帳(忽略)"",
  AND(E3257&lt;&gt;"""", F3257&lt;&gt;"""", N"&amp;"OT(REGEXMATCH(C3257, ""薪資""))), ""內部轉帳(忽略)"",
  REGEXMATCH(C3257, ""薪資""), ""薪資變動(不計入)"",
  REGEXMATCH(C3257, ""押金""), ""押金往來"",
  AND(E3257&lt;&gt;"""", F3257=""""), ""真實支出"",
  AND(E3257="""", F3257&lt;&gt;""""), ""真實收入"",
  TRUE, ""其他""
)"),"真實收入")</f>
        <v>真實收入</v>
      </c>
      <c r="K3257" s="270">
        <f t="shared" si="2"/>
        <v>14300</v>
      </c>
      <c r="L3257">
        <f t="shared" si="3"/>
        <v>0</v>
      </c>
    </row>
    <row r="3258">
      <c r="A3258" s="107">
        <f>IFERROR(__xludf.DUMMYFUNCTION("""COMPUTED_VALUE"""),46054.0)</f>
        <v>46054</v>
      </c>
      <c r="B3258" t="str">
        <f>IFERROR(__xludf.DUMMYFUNCTION("""COMPUTED_VALUE"""),"[景安2分鐘] B 月租金 後五碼:93469 (行號: 76)")</f>
        <v>[景安2分鐘] B 月租金 後五碼:93469 (行號: 76)</v>
      </c>
      <c r="C3258" t="str">
        <f>IFERROR(__xludf.DUMMYFUNCTION("""COMPUTED_VALUE"""),"收入 - 租金")</f>
        <v>收入 - 租金</v>
      </c>
      <c r="D3258" s="270">
        <f>IFERROR(__xludf.DUMMYFUNCTION("""COMPUTED_VALUE"""),18800.0)</f>
        <v>18800</v>
      </c>
      <c r="F3258" t="str">
        <f>IFERROR(__xludf.DUMMYFUNCTION("""COMPUTED_VALUE"""),"台銀籌備帳戶")</f>
        <v>台銀籌備帳戶</v>
      </c>
      <c r="G3258" t="str">
        <f>IFERROR(__xludf.DUMMYFUNCTION("""COMPUTED_VALUE"""),"景安2分鐘")</f>
        <v>景安2分鐘</v>
      </c>
      <c r="H3258" s="106" t="str">
        <f t="shared" si="1"/>
        <v>2026-02</v>
      </c>
      <c r="I3258" s="271" t="str">
        <f>IFERROR(__xludf.DUMMYFUNCTION("""COMPUTED_VALUE"""),"貓狗企鵝")</f>
        <v>貓狗企鵝</v>
      </c>
      <c r="J3258" t="str">
        <f>IFERROR(__xludf.DUMMYFUNCTION("IFS(
  AND(REGEXMATCH(E3258, ""台銀籌備帳戶|玉山帳戶""), REGEXMATCH(C3258, ""薪資"")), ""分潤支出"",
  AND(REGEXMATCH(E3258, ""Ben帳戶|Elsa帳戶|Ben代墊|Ariel代墊|中信銀行共用""), REGEXMATCH(F3258, ""Ben帳戶|Elsa帳戶|Ben代墊|Ariel代墊|中信銀行共用"")), ""內部轉帳(忽略)"",
  AND(E3258&lt;&gt;"""", F3258&lt;&gt;"""", N"&amp;"OT(REGEXMATCH(C3258, ""薪資""))), ""內部轉帳(忽略)"",
  REGEXMATCH(C3258, ""薪資""), ""薪資變動(不計入)"",
  REGEXMATCH(C3258, ""押金""), ""押金往來"",
  AND(E3258&lt;&gt;"""", F3258=""""), ""真實支出"",
  AND(E3258="""", F3258&lt;&gt;""""), ""真實收入"",
  TRUE, ""其他""
)"),"真實收入")</f>
        <v>真實收入</v>
      </c>
      <c r="K3258" s="270">
        <f t="shared" si="2"/>
        <v>18800</v>
      </c>
      <c r="L3258">
        <f t="shared" si="3"/>
        <v>0</v>
      </c>
    </row>
    <row r="3259">
      <c r="A3259" s="107">
        <f>IFERROR(__xludf.DUMMYFUNCTION("""COMPUTED_VALUE"""),46054.0)</f>
        <v>46054</v>
      </c>
      <c r="B3259" t="str">
        <f>IFERROR(__xludf.DUMMYFUNCTION("""COMPUTED_VALUE"""),"[金龍帽子先生] D 月租金 後五碼:70737 (行號: 77)")</f>
        <v>[金龍帽子先生] D 月租金 後五碼:70737 (行號: 77)</v>
      </c>
      <c r="C3259" t="str">
        <f>IFERROR(__xludf.DUMMYFUNCTION("""COMPUTED_VALUE"""),"收入 - 租金")</f>
        <v>收入 - 租金</v>
      </c>
      <c r="D3259" s="270">
        <f>IFERROR(__xludf.DUMMYFUNCTION("""COMPUTED_VALUE"""),14500.0)</f>
        <v>14500</v>
      </c>
      <c r="F3259" t="str">
        <f>IFERROR(__xludf.DUMMYFUNCTION("""COMPUTED_VALUE"""),"台銀籌備帳戶")</f>
        <v>台銀籌備帳戶</v>
      </c>
      <c r="G3259" t="str">
        <f>IFERROR(__xludf.DUMMYFUNCTION("""COMPUTED_VALUE"""),"金龍帽子先生")</f>
        <v>金龍帽子先生</v>
      </c>
      <c r="H3259" s="106" t="str">
        <f t="shared" si="1"/>
        <v>2026-02</v>
      </c>
      <c r="I3259" s="271" t="str">
        <f>IFERROR(__xludf.DUMMYFUNCTION("""COMPUTED_VALUE"""),"貓狗企鵝")</f>
        <v>貓狗企鵝</v>
      </c>
      <c r="J3259" t="str">
        <f>IFERROR(__xludf.DUMMYFUNCTION("IFS(
  AND(REGEXMATCH(E3259, ""台銀籌備帳戶|玉山帳戶""), REGEXMATCH(C3259, ""薪資"")), ""分潤支出"",
  AND(REGEXMATCH(E3259, ""Ben帳戶|Elsa帳戶|Ben代墊|Ariel代墊|中信銀行共用""), REGEXMATCH(F3259, ""Ben帳戶|Elsa帳戶|Ben代墊|Ariel代墊|中信銀行共用"")), ""內部轉帳(忽略)"",
  AND(E3259&lt;&gt;"""", F3259&lt;&gt;"""", N"&amp;"OT(REGEXMATCH(C3259, ""薪資""))), ""內部轉帳(忽略)"",
  REGEXMATCH(C3259, ""薪資""), ""薪資變動(不計入)"",
  REGEXMATCH(C3259, ""押金""), ""押金往來"",
  AND(E3259&lt;&gt;"""", F3259=""""), ""真實支出"",
  AND(E3259="""", F3259&lt;&gt;""""), ""真實收入"",
  TRUE, ""其他""
)"),"真實收入")</f>
        <v>真實收入</v>
      </c>
      <c r="K3259" s="270">
        <f t="shared" si="2"/>
        <v>14500</v>
      </c>
      <c r="L3259">
        <f t="shared" si="3"/>
        <v>0</v>
      </c>
    </row>
    <row r="3260">
      <c r="A3260" s="107">
        <f>IFERROR(__xludf.DUMMYFUNCTION("""COMPUTED_VALUE"""),46054.0)</f>
        <v>46054</v>
      </c>
      <c r="B3260" t="str">
        <f>IFERROR(__xludf.DUMMYFUNCTION("""COMPUTED_VALUE"""),"[書香民生] E 月租金 後五碼:41152 (行號: 78)")</f>
        <v>[書香民生] E 月租金 後五碼:41152 (行號: 78)</v>
      </c>
      <c r="C3260" t="str">
        <f>IFERROR(__xludf.DUMMYFUNCTION("""COMPUTED_VALUE"""),"收入 - 租金")</f>
        <v>收入 - 租金</v>
      </c>
      <c r="D3260" s="270">
        <f>IFERROR(__xludf.DUMMYFUNCTION("""COMPUTED_VALUE"""),17800.0)</f>
        <v>17800</v>
      </c>
      <c r="F3260" t="str">
        <f>IFERROR(__xludf.DUMMYFUNCTION("""COMPUTED_VALUE"""),"台銀籌備帳戶")</f>
        <v>台銀籌備帳戶</v>
      </c>
      <c r="G3260" t="str">
        <f>IFERROR(__xludf.DUMMYFUNCTION("""COMPUTED_VALUE"""),"書香民生")</f>
        <v>書香民生</v>
      </c>
      <c r="H3260" s="106" t="str">
        <f t="shared" si="1"/>
        <v>2026-02</v>
      </c>
      <c r="I3260" s="271" t="str">
        <f>IFERROR(__xludf.DUMMYFUNCTION("""COMPUTED_VALUE"""),"貓狗企鵝")</f>
        <v>貓狗企鵝</v>
      </c>
      <c r="J3260" t="str">
        <f>IFERROR(__xludf.DUMMYFUNCTION("IFS(
  AND(REGEXMATCH(E3260, ""台銀籌備帳戶|玉山帳戶""), REGEXMATCH(C3260, ""薪資"")), ""分潤支出"",
  AND(REGEXMATCH(E3260, ""Ben帳戶|Elsa帳戶|Ben代墊|Ariel代墊|中信銀行共用""), REGEXMATCH(F3260, ""Ben帳戶|Elsa帳戶|Ben代墊|Ariel代墊|中信銀行共用"")), ""內部轉帳(忽略)"",
  AND(E3260&lt;&gt;"""", F3260&lt;&gt;"""", N"&amp;"OT(REGEXMATCH(C3260, ""薪資""))), ""內部轉帳(忽略)"",
  REGEXMATCH(C3260, ""薪資""), ""薪資變動(不計入)"",
  REGEXMATCH(C3260, ""押金""), ""押金往來"",
  AND(E3260&lt;&gt;"""", F3260=""""), ""真實支出"",
  AND(E3260="""", F3260&lt;&gt;""""), ""真實收入"",
  TRUE, ""其他""
)"),"真實收入")</f>
        <v>真實收入</v>
      </c>
      <c r="K3260" s="270">
        <f t="shared" si="2"/>
        <v>17800</v>
      </c>
      <c r="L3260">
        <f t="shared" si="3"/>
        <v>0</v>
      </c>
    </row>
    <row r="3261">
      <c r="A3261" s="107">
        <f>IFERROR(__xludf.DUMMYFUNCTION("""COMPUTED_VALUE"""),46054.0)</f>
        <v>46054</v>
      </c>
      <c r="B3261" t="str">
        <f>IFERROR(__xludf.DUMMYFUNCTION("""COMPUTED_VALUE"""),"[書香民生] D 月租金 後五碼:67788 (行號: 79)")</f>
        <v>[書香民生] D 月租金 後五碼:67788 (行號: 79)</v>
      </c>
      <c r="C3261" t="str">
        <f>IFERROR(__xludf.DUMMYFUNCTION("""COMPUTED_VALUE"""),"收入 - 租金")</f>
        <v>收入 - 租金</v>
      </c>
      <c r="D3261" s="270">
        <f>IFERROR(__xludf.DUMMYFUNCTION("""COMPUTED_VALUE"""),17800.0)</f>
        <v>17800</v>
      </c>
      <c r="F3261" t="str">
        <f>IFERROR(__xludf.DUMMYFUNCTION("""COMPUTED_VALUE"""),"台銀籌備帳戶")</f>
        <v>台銀籌備帳戶</v>
      </c>
      <c r="G3261" t="str">
        <f>IFERROR(__xludf.DUMMYFUNCTION("""COMPUTED_VALUE"""),"書香民生")</f>
        <v>書香民生</v>
      </c>
      <c r="H3261" s="106" t="str">
        <f t="shared" si="1"/>
        <v>2026-02</v>
      </c>
      <c r="I3261" s="271" t="str">
        <f>IFERROR(__xludf.DUMMYFUNCTION("""COMPUTED_VALUE"""),"貓狗企鵝")</f>
        <v>貓狗企鵝</v>
      </c>
      <c r="J3261" t="str">
        <f>IFERROR(__xludf.DUMMYFUNCTION("IFS(
  AND(REGEXMATCH(E3261, ""台銀籌備帳戶|玉山帳戶""), REGEXMATCH(C3261, ""薪資"")), ""分潤支出"",
  AND(REGEXMATCH(E3261, ""Ben帳戶|Elsa帳戶|Ben代墊|Ariel代墊|中信銀行共用""), REGEXMATCH(F3261, ""Ben帳戶|Elsa帳戶|Ben代墊|Ariel代墊|中信銀行共用"")), ""內部轉帳(忽略)"",
  AND(E3261&lt;&gt;"""", F3261&lt;&gt;"""", N"&amp;"OT(REGEXMATCH(C3261, ""薪資""))), ""內部轉帳(忽略)"",
  REGEXMATCH(C3261, ""薪資""), ""薪資變動(不計入)"",
  REGEXMATCH(C3261, ""押金""), ""押金往來"",
  AND(E3261&lt;&gt;"""", F3261=""""), ""真實支出"",
  AND(E3261="""", F3261&lt;&gt;""""), ""真實收入"",
  TRUE, ""其他""
)"),"真實收入")</f>
        <v>真實收入</v>
      </c>
      <c r="K3261" s="270">
        <f t="shared" si="2"/>
        <v>17800</v>
      </c>
      <c r="L3261">
        <f t="shared" si="3"/>
        <v>0</v>
      </c>
    </row>
    <row r="3262">
      <c r="A3262" s="107">
        <f>IFERROR(__xludf.DUMMYFUNCTION("""COMPUTED_VALUE"""),46054.0)</f>
        <v>46054</v>
      </c>
      <c r="B3262" t="str">
        <f>IFERROR(__xludf.DUMMYFUNCTION("""COMPUTED_VALUE"""),"[北醫醫師府] 【E】 後五碼:77237 (行號: 80)")</f>
        <v>[北醫醫師府] 【E】 後五碼:77237 (行號: 80)</v>
      </c>
      <c r="C3262" t="str">
        <f>IFERROR(__xludf.DUMMYFUNCTION("""COMPUTED_VALUE"""),"收入 - 租金")</f>
        <v>收入 - 租金</v>
      </c>
      <c r="D3262" s="270">
        <f>IFERROR(__xludf.DUMMYFUNCTION("""COMPUTED_VALUE"""),29600.0)</f>
        <v>29600</v>
      </c>
      <c r="F3262" t="str">
        <f>IFERROR(__xludf.DUMMYFUNCTION("""COMPUTED_VALUE"""),"台銀籌備帳戶")</f>
        <v>台銀籌備帳戶</v>
      </c>
      <c r="G3262" t="str">
        <f>IFERROR(__xludf.DUMMYFUNCTION("""COMPUTED_VALUE"""),"北醫醫師府")</f>
        <v>北醫醫師府</v>
      </c>
      <c r="H3262" s="106" t="str">
        <f t="shared" si="1"/>
        <v>2026-02</v>
      </c>
      <c r="I3262" s="271" t="str">
        <f>IFERROR(__xludf.DUMMYFUNCTION("""COMPUTED_VALUE"""),"貓狗企鵝")</f>
        <v>貓狗企鵝</v>
      </c>
      <c r="J3262" t="str">
        <f>IFERROR(__xludf.DUMMYFUNCTION("IFS(
  AND(REGEXMATCH(E3262, ""台銀籌備帳戶|玉山帳戶""), REGEXMATCH(C3262, ""薪資"")), ""分潤支出"",
  AND(REGEXMATCH(E3262, ""Ben帳戶|Elsa帳戶|Ben代墊|Ariel代墊|中信銀行共用""), REGEXMATCH(F3262, ""Ben帳戶|Elsa帳戶|Ben代墊|Ariel代墊|中信銀行共用"")), ""內部轉帳(忽略)"",
  AND(E3262&lt;&gt;"""", F3262&lt;&gt;"""", N"&amp;"OT(REGEXMATCH(C3262, ""薪資""))), ""內部轉帳(忽略)"",
  REGEXMATCH(C3262, ""薪資""), ""薪資變動(不計入)"",
  REGEXMATCH(C3262, ""押金""), ""押金往來"",
  AND(E3262&lt;&gt;"""", F3262=""""), ""真實支出"",
  AND(E3262="""", F3262&lt;&gt;""""), ""真實收入"",
  TRUE, ""其他""
)"),"真實收入")</f>
        <v>真實收入</v>
      </c>
      <c r="K3262" s="270">
        <f t="shared" si="2"/>
        <v>29600</v>
      </c>
      <c r="L3262">
        <f t="shared" si="3"/>
        <v>0</v>
      </c>
    </row>
    <row r="3263">
      <c r="A3263" s="107">
        <f>IFERROR(__xludf.DUMMYFUNCTION("""COMPUTED_VALUE"""),46054.0)</f>
        <v>46054</v>
      </c>
      <c r="B3263" t="str">
        <f>IFERROR(__xludf.DUMMYFUNCTION("""COMPUTED_VALUE"""),"[哈拉對面] C 月租金 後五碼:14482 (行號: 81)")</f>
        <v>[哈拉對面] C 月租金 後五碼:14482 (行號: 81)</v>
      </c>
      <c r="C3263" t="str">
        <f>IFERROR(__xludf.DUMMYFUNCTION("""COMPUTED_VALUE"""),"收入 - 租金")</f>
        <v>收入 - 租金</v>
      </c>
      <c r="D3263" s="270">
        <f>IFERROR(__xludf.DUMMYFUNCTION("""COMPUTED_VALUE"""),11800.0)</f>
        <v>11800</v>
      </c>
      <c r="F3263" t="str">
        <f>IFERROR(__xludf.DUMMYFUNCTION("""COMPUTED_VALUE"""),"台銀籌備帳戶")</f>
        <v>台銀籌備帳戶</v>
      </c>
      <c r="G3263" t="str">
        <f>IFERROR(__xludf.DUMMYFUNCTION("""COMPUTED_VALUE"""),"哈拉對面")</f>
        <v>哈拉對面</v>
      </c>
      <c r="H3263" s="106" t="str">
        <f t="shared" si="1"/>
        <v>2026-02</v>
      </c>
      <c r="I3263" s="271" t="str">
        <f>IFERROR(__xludf.DUMMYFUNCTION("""COMPUTED_VALUE"""),"貓狗企鵝")</f>
        <v>貓狗企鵝</v>
      </c>
      <c r="J3263" t="str">
        <f>IFERROR(__xludf.DUMMYFUNCTION("IFS(
  AND(REGEXMATCH(E3263, ""台銀籌備帳戶|玉山帳戶""), REGEXMATCH(C3263, ""薪資"")), ""分潤支出"",
  AND(REGEXMATCH(E3263, ""Ben帳戶|Elsa帳戶|Ben代墊|Ariel代墊|中信銀行共用""), REGEXMATCH(F3263, ""Ben帳戶|Elsa帳戶|Ben代墊|Ariel代墊|中信銀行共用"")), ""內部轉帳(忽略)"",
  AND(E3263&lt;&gt;"""", F3263&lt;&gt;"""", N"&amp;"OT(REGEXMATCH(C3263, ""薪資""))), ""內部轉帳(忽略)"",
  REGEXMATCH(C3263, ""薪資""), ""薪資變動(不計入)"",
  REGEXMATCH(C3263, ""押金""), ""押金往來"",
  AND(E3263&lt;&gt;"""", F3263=""""), ""真實支出"",
  AND(E3263="""", F3263&lt;&gt;""""), ""真實收入"",
  TRUE, ""其他""
)"),"真實收入")</f>
        <v>真實收入</v>
      </c>
      <c r="K3263" s="270">
        <f t="shared" si="2"/>
        <v>11800</v>
      </c>
      <c r="L3263">
        <f t="shared" si="3"/>
        <v>0</v>
      </c>
    </row>
    <row r="3264">
      <c r="A3264" s="107">
        <f>IFERROR(__xludf.DUMMYFUNCTION("""COMPUTED_VALUE"""),46054.0)</f>
        <v>46054</v>
      </c>
      <c r="B3264" t="str">
        <f>IFERROR(__xludf.DUMMYFUNCTION("""COMPUTED_VALUE"""),"[中山北Feli家] B 月租金 後五碼:48700/92961 (行號: 82)")</f>
        <v>[中山北Feli家] B 月租金 後五碼:48700/92961 (行號: 82)</v>
      </c>
      <c r="C3264" t="str">
        <f>IFERROR(__xludf.DUMMYFUNCTION("""COMPUTED_VALUE"""),"收入 - 租金")</f>
        <v>收入 - 租金</v>
      </c>
      <c r="D3264" s="270">
        <f>IFERROR(__xludf.DUMMYFUNCTION("""COMPUTED_VALUE"""),17500.0)</f>
        <v>17500</v>
      </c>
      <c r="F3264" t="str">
        <f>IFERROR(__xludf.DUMMYFUNCTION("""COMPUTED_VALUE"""),"台銀籌備帳戶")</f>
        <v>台銀籌備帳戶</v>
      </c>
      <c r="G3264" t="str">
        <f>IFERROR(__xludf.DUMMYFUNCTION("""COMPUTED_VALUE"""),"中山北Feli家")</f>
        <v>中山北Feli家</v>
      </c>
      <c r="H3264" s="106" t="str">
        <f t="shared" si="1"/>
        <v>2026-02</v>
      </c>
      <c r="I3264" s="271" t="str">
        <f>IFERROR(__xludf.DUMMYFUNCTION("""COMPUTED_VALUE"""),"貓狗企鵝")</f>
        <v>貓狗企鵝</v>
      </c>
      <c r="J3264" t="str">
        <f>IFERROR(__xludf.DUMMYFUNCTION("IFS(
  AND(REGEXMATCH(E3264, ""台銀籌備帳戶|玉山帳戶""), REGEXMATCH(C3264, ""薪資"")), ""分潤支出"",
  AND(REGEXMATCH(E3264, ""Ben帳戶|Elsa帳戶|Ben代墊|Ariel代墊|中信銀行共用""), REGEXMATCH(F3264, ""Ben帳戶|Elsa帳戶|Ben代墊|Ariel代墊|中信銀行共用"")), ""內部轉帳(忽略)"",
  AND(E3264&lt;&gt;"""", F3264&lt;&gt;"""", N"&amp;"OT(REGEXMATCH(C3264, ""薪資""))), ""內部轉帳(忽略)"",
  REGEXMATCH(C3264, ""薪資""), ""薪資變動(不計入)"",
  REGEXMATCH(C3264, ""押金""), ""押金往來"",
  AND(E3264&lt;&gt;"""", F3264=""""), ""真實支出"",
  AND(E3264="""", F3264&lt;&gt;""""), ""真實收入"",
  TRUE, ""其他""
)"),"真實收入")</f>
        <v>真實收入</v>
      </c>
      <c r="K3264" s="270">
        <f t="shared" si="2"/>
        <v>17500</v>
      </c>
      <c r="L3264">
        <f t="shared" si="3"/>
        <v>0</v>
      </c>
    </row>
    <row r="3265">
      <c r="A3265" s="107">
        <f>IFERROR(__xludf.DUMMYFUNCTION("""COMPUTED_VALUE"""),46054.0)</f>
        <v>46054</v>
      </c>
      <c r="B3265" t="str">
        <f>IFERROR(__xludf.DUMMYFUNCTION("""COMPUTED_VALUE"""),"[中山北娘家旁] B 月租金 後五碼:38047 (行號: 83)")</f>
        <v>[中山北娘家旁] B 月租金 後五碼:38047 (行號: 83)</v>
      </c>
      <c r="C3265" t="str">
        <f>IFERROR(__xludf.DUMMYFUNCTION("""COMPUTED_VALUE"""),"收入 - 租金")</f>
        <v>收入 - 租金</v>
      </c>
      <c r="D3265" s="270">
        <f>IFERROR(__xludf.DUMMYFUNCTION("""COMPUTED_VALUE"""),12500.0)</f>
        <v>12500</v>
      </c>
      <c r="F3265" t="str">
        <f>IFERROR(__xludf.DUMMYFUNCTION("""COMPUTED_VALUE"""),"台銀籌備帳戶")</f>
        <v>台銀籌備帳戶</v>
      </c>
      <c r="G3265" t="str">
        <f>IFERROR(__xludf.DUMMYFUNCTION("""COMPUTED_VALUE"""),"中山北娘家旁")</f>
        <v>中山北娘家旁</v>
      </c>
      <c r="H3265" s="106" t="str">
        <f t="shared" si="1"/>
        <v>2026-02</v>
      </c>
      <c r="I3265" s="271" t="str">
        <f>IFERROR(__xludf.DUMMYFUNCTION("""COMPUTED_VALUE"""),"貓狗企鵝")</f>
        <v>貓狗企鵝</v>
      </c>
      <c r="J3265" t="str">
        <f>IFERROR(__xludf.DUMMYFUNCTION("IFS(
  AND(REGEXMATCH(E3265, ""台銀籌備帳戶|玉山帳戶""), REGEXMATCH(C3265, ""薪資"")), ""分潤支出"",
  AND(REGEXMATCH(E3265, ""Ben帳戶|Elsa帳戶|Ben代墊|Ariel代墊|中信銀行共用""), REGEXMATCH(F3265, ""Ben帳戶|Elsa帳戶|Ben代墊|Ariel代墊|中信銀行共用"")), ""內部轉帳(忽略)"",
  AND(E3265&lt;&gt;"""", F3265&lt;&gt;"""", N"&amp;"OT(REGEXMATCH(C3265, ""薪資""))), ""內部轉帳(忽略)"",
  REGEXMATCH(C3265, ""薪資""), ""薪資變動(不計入)"",
  REGEXMATCH(C3265, ""押金""), ""押金往來"",
  AND(E3265&lt;&gt;"""", F3265=""""), ""真實支出"",
  AND(E3265="""", F3265&lt;&gt;""""), ""真實收入"",
  TRUE, ""其他""
)"),"真實收入")</f>
        <v>真實收入</v>
      </c>
      <c r="K3265" s="270">
        <f t="shared" si="2"/>
        <v>12500</v>
      </c>
      <c r="L3265">
        <f t="shared" si="3"/>
        <v>0</v>
      </c>
    </row>
    <row r="3266">
      <c r="A3266" s="107">
        <f>IFERROR(__xludf.DUMMYFUNCTION("""COMPUTED_VALUE"""),46054.0)</f>
        <v>46054</v>
      </c>
      <c r="B3266" t="str">
        <f>IFERROR(__xludf.DUMMYFUNCTION("""COMPUTED_VALUE""")," [龍江229] 【C】 後五碼:62428 (行號: 84)")</f>
        <v> [龍江229] 【C】 後五碼:62428 (行號: 84)</v>
      </c>
      <c r="C3266" t="str">
        <f>IFERROR(__xludf.DUMMYFUNCTION("""COMPUTED_VALUE"""),"收入 - 租金")</f>
        <v>收入 - 租金</v>
      </c>
      <c r="D3266" s="270">
        <f>IFERROR(__xludf.DUMMYFUNCTION("""COMPUTED_VALUE"""),20600.0)</f>
        <v>20600</v>
      </c>
      <c r="F3266" t="str">
        <f>IFERROR(__xludf.DUMMYFUNCTION("""COMPUTED_VALUE"""),"台銀籌備帳戶")</f>
        <v>台銀籌備帳戶</v>
      </c>
      <c r="G3266" t="str">
        <f>IFERROR(__xludf.DUMMYFUNCTION("""COMPUTED_VALUE"""),"龍江229")</f>
        <v>龍江229</v>
      </c>
      <c r="H3266" s="106" t="str">
        <f t="shared" si="1"/>
        <v>2026-02</v>
      </c>
      <c r="I3266" s="271" t="str">
        <f>IFERROR(__xludf.DUMMYFUNCTION("""COMPUTED_VALUE"""),"貓狗企鵝")</f>
        <v>貓狗企鵝</v>
      </c>
      <c r="J3266" t="str">
        <f>IFERROR(__xludf.DUMMYFUNCTION("IFS(
  AND(REGEXMATCH(E3266, ""台銀籌備帳戶|玉山帳戶""), REGEXMATCH(C3266, ""薪資"")), ""分潤支出"",
  AND(REGEXMATCH(E3266, ""Ben帳戶|Elsa帳戶|Ben代墊|Ariel代墊|中信銀行共用""), REGEXMATCH(F3266, ""Ben帳戶|Elsa帳戶|Ben代墊|Ariel代墊|中信銀行共用"")), ""內部轉帳(忽略)"",
  AND(E3266&lt;&gt;"""", F3266&lt;&gt;"""", N"&amp;"OT(REGEXMATCH(C3266, ""薪資""))), ""內部轉帳(忽略)"",
  REGEXMATCH(C3266, ""薪資""), ""薪資變動(不計入)"",
  REGEXMATCH(C3266, ""押金""), ""押金往來"",
  AND(E3266&lt;&gt;"""", F3266=""""), ""真實支出"",
  AND(E3266="""", F3266&lt;&gt;""""), ""真實收入"",
  TRUE, ""其他""
)"),"真實收入")</f>
        <v>真實收入</v>
      </c>
      <c r="K3266" s="270">
        <f t="shared" si="2"/>
        <v>20600</v>
      </c>
      <c r="L3266">
        <f t="shared" si="3"/>
        <v>0</v>
      </c>
    </row>
    <row r="3267">
      <c r="A3267" s="107">
        <f>IFERROR(__xludf.DUMMYFUNCTION("""COMPUTED_VALUE"""),46054.0)</f>
        <v>46054</v>
      </c>
      <c r="B3267" t="str">
        <f>IFERROR(__xludf.DUMMYFUNCTION("""COMPUTED_VALUE"""),"[景安2分鐘] D 月租金 後五碼:60130 (行號: 85)")</f>
        <v>[景安2分鐘] D 月租金 後五碼:60130 (行號: 85)</v>
      </c>
      <c r="C3267" t="str">
        <f>IFERROR(__xludf.DUMMYFUNCTION("""COMPUTED_VALUE"""),"收入 - 租金")</f>
        <v>收入 - 租金</v>
      </c>
      <c r="D3267" s="270">
        <f>IFERROR(__xludf.DUMMYFUNCTION("""COMPUTED_VALUE"""),8600.0)</f>
        <v>8600</v>
      </c>
      <c r="F3267" t="str">
        <f>IFERROR(__xludf.DUMMYFUNCTION("""COMPUTED_VALUE"""),"台銀籌備帳戶")</f>
        <v>台銀籌備帳戶</v>
      </c>
      <c r="G3267" t="str">
        <f>IFERROR(__xludf.DUMMYFUNCTION("""COMPUTED_VALUE"""),"景安2分鐘")</f>
        <v>景安2分鐘</v>
      </c>
      <c r="H3267" s="106" t="str">
        <f t="shared" si="1"/>
        <v>2026-02</v>
      </c>
      <c r="I3267" s="271" t="str">
        <f>IFERROR(__xludf.DUMMYFUNCTION("""COMPUTED_VALUE"""),"貓狗企鵝")</f>
        <v>貓狗企鵝</v>
      </c>
      <c r="J3267" t="str">
        <f>IFERROR(__xludf.DUMMYFUNCTION("IFS(
  AND(REGEXMATCH(E3267, ""台銀籌備帳戶|玉山帳戶""), REGEXMATCH(C3267, ""薪資"")), ""分潤支出"",
  AND(REGEXMATCH(E3267, ""Ben帳戶|Elsa帳戶|Ben代墊|Ariel代墊|中信銀行共用""), REGEXMATCH(F3267, ""Ben帳戶|Elsa帳戶|Ben代墊|Ariel代墊|中信銀行共用"")), ""內部轉帳(忽略)"",
  AND(E3267&lt;&gt;"""", F3267&lt;&gt;"""", N"&amp;"OT(REGEXMATCH(C3267, ""薪資""))), ""內部轉帳(忽略)"",
  REGEXMATCH(C3267, ""薪資""), ""薪資變動(不計入)"",
  REGEXMATCH(C3267, ""押金""), ""押金往來"",
  AND(E3267&lt;&gt;"""", F3267=""""), ""真實支出"",
  AND(E3267="""", F3267&lt;&gt;""""), ""真實收入"",
  TRUE, ""其他""
)"),"真實收入")</f>
        <v>真實收入</v>
      </c>
      <c r="K3267" s="270">
        <f t="shared" si="2"/>
        <v>8600</v>
      </c>
      <c r="L3267">
        <f t="shared" si="3"/>
        <v>0</v>
      </c>
    </row>
    <row r="3268">
      <c r="A3268" s="107">
        <f>IFERROR(__xludf.DUMMYFUNCTION("""COMPUTED_VALUE"""),46054.0)</f>
        <v>46054</v>
      </c>
      <c r="B3268" t="str">
        <f>IFERROR(__xludf.DUMMYFUNCTION("""COMPUTED_VALUE"""),"[書香民生] C 月租金 後五碼:07688 (行號: 87)")</f>
        <v>[書香民生] C 月租金 後五碼:07688 (行號: 87)</v>
      </c>
      <c r="C3268" t="str">
        <f>IFERROR(__xludf.DUMMYFUNCTION("""COMPUTED_VALUE"""),"收入 - 租金")</f>
        <v>收入 - 租金</v>
      </c>
      <c r="D3268" s="270">
        <f>IFERROR(__xludf.DUMMYFUNCTION("""COMPUTED_VALUE"""),14800.0)</f>
        <v>14800</v>
      </c>
      <c r="F3268" t="str">
        <f>IFERROR(__xludf.DUMMYFUNCTION("""COMPUTED_VALUE"""),"台銀籌備帳戶")</f>
        <v>台銀籌備帳戶</v>
      </c>
      <c r="G3268" t="str">
        <f>IFERROR(__xludf.DUMMYFUNCTION("""COMPUTED_VALUE"""),"書香民生")</f>
        <v>書香民生</v>
      </c>
      <c r="H3268" s="106" t="str">
        <f t="shared" si="1"/>
        <v>2026-02</v>
      </c>
      <c r="I3268" s="271" t="str">
        <f>IFERROR(__xludf.DUMMYFUNCTION("""COMPUTED_VALUE"""),"貓狗企鵝")</f>
        <v>貓狗企鵝</v>
      </c>
      <c r="J3268" t="str">
        <f>IFERROR(__xludf.DUMMYFUNCTION("IFS(
  AND(REGEXMATCH(E3268, ""台銀籌備帳戶|玉山帳戶""), REGEXMATCH(C3268, ""薪資"")), ""分潤支出"",
  AND(REGEXMATCH(E3268, ""Ben帳戶|Elsa帳戶|Ben代墊|Ariel代墊|中信銀行共用""), REGEXMATCH(F3268, ""Ben帳戶|Elsa帳戶|Ben代墊|Ariel代墊|中信銀行共用"")), ""內部轉帳(忽略)"",
  AND(E3268&lt;&gt;"""", F3268&lt;&gt;"""", N"&amp;"OT(REGEXMATCH(C3268, ""薪資""))), ""內部轉帳(忽略)"",
  REGEXMATCH(C3268, ""薪資""), ""薪資變動(不計入)"",
  REGEXMATCH(C3268, ""押金""), ""押金往來"",
  AND(E3268&lt;&gt;"""", F3268=""""), ""真實支出"",
  AND(E3268="""", F3268&lt;&gt;""""), ""真實收入"",
  TRUE, ""其他""
)"),"真實收入")</f>
        <v>真實收入</v>
      </c>
      <c r="K3268" s="270">
        <f t="shared" si="2"/>
        <v>14800</v>
      </c>
      <c r="L3268">
        <f t="shared" si="3"/>
        <v>0</v>
      </c>
    </row>
    <row r="3269">
      <c r="A3269" s="107">
        <f>IFERROR(__xludf.DUMMYFUNCTION("""COMPUTED_VALUE"""),46055.0)</f>
        <v>46055</v>
      </c>
      <c r="B3269" t="str">
        <f>IFERROR(__xludf.DUMMYFUNCTION("""COMPUTED_VALUE"""),"[南港站挑高宅] E 月租金 後五碼:82067 (行號: 88)")</f>
        <v>[南港站挑高宅] E 月租金 後五碼:82067 (行號: 88)</v>
      </c>
      <c r="C3269" t="str">
        <f>IFERROR(__xludf.DUMMYFUNCTION("""COMPUTED_VALUE"""),"收入 - 租金")</f>
        <v>收入 - 租金</v>
      </c>
      <c r="D3269" s="270">
        <f>IFERROR(__xludf.DUMMYFUNCTION("""COMPUTED_VALUE"""),12800.0)</f>
        <v>12800</v>
      </c>
      <c r="F3269" t="str">
        <f>IFERROR(__xludf.DUMMYFUNCTION("""COMPUTED_VALUE"""),"台銀籌備帳戶")</f>
        <v>台銀籌備帳戶</v>
      </c>
      <c r="G3269" t="str">
        <f>IFERROR(__xludf.DUMMYFUNCTION("""COMPUTED_VALUE"""),"南港站挑高宅")</f>
        <v>南港站挑高宅</v>
      </c>
      <c r="H3269" s="106" t="str">
        <f t="shared" si="1"/>
        <v>2026-02</v>
      </c>
      <c r="I3269" s="271" t="str">
        <f>IFERROR(__xludf.DUMMYFUNCTION("""COMPUTED_VALUE"""),"貓狗企鵝")</f>
        <v>貓狗企鵝</v>
      </c>
      <c r="J3269" t="str">
        <f>IFERROR(__xludf.DUMMYFUNCTION("IFS(
  AND(REGEXMATCH(E3269, ""台銀籌備帳戶|玉山帳戶""), REGEXMATCH(C3269, ""薪資"")), ""分潤支出"",
  AND(REGEXMATCH(E3269, ""Ben帳戶|Elsa帳戶|Ben代墊|Ariel代墊|中信銀行共用""), REGEXMATCH(F3269, ""Ben帳戶|Elsa帳戶|Ben代墊|Ariel代墊|中信銀行共用"")), ""內部轉帳(忽略)"",
  AND(E3269&lt;&gt;"""", F3269&lt;&gt;"""", N"&amp;"OT(REGEXMATCH(C3269, ""薪資""))), ""內部轉帳(忽略)"",
  REGEXMATCH(C3269, ""薪資""), ""薪資變動(不計入)"",
  REGEXMATCH(C3269, ""押金""), ""押金往來"",
  AND(E3269&lt;&gt;"""", F3269=""""), ""真實支出"",
  AND(E3269="""", F3269&lt;&gt;""""), ""真實收入"",
  TRUE, ""其他""
)"),"真實收入")</f>
        <v>真實收入</v>
      </c>
      <c r="K3269" s="270">
        <f t="shared" si="2"/>
        <v>12800</v>
      </c>
      <c r="L3269">
        <f t="shared" si="3"/>
        <v>0</v>
      </c>
    </row>
    <row r="3270">
      <c r="A3270" s="107">
        <f>IFERROR(__xludf.DUMMYFUNCTION("""COMPUTED_VALUE"""),46055.0)</f>
        <v>46055</v>
      </c>
      <c r="B3270" t="str">
        <f>IFERROR(__xludf.DUMMYFUNCTION("""COMPUTED_VALUE"""),"[景安2分鐘] A 月租金 後五碼:74081 (行號: 89)")</f>
        <v>[景安2分鐘] A 月租金 後五碼:74081 (行號: 89)</v>
      </c>
      <c r="C3270" t="str">
        <f>IFERROR(__xludf.DUMMYFUNCTION("""COMPUTED_VALUE"""),"收入 - 租金")</f>
        <v>收入 - 租金</v>
      </c>
      <c r="D3270" s="270">
        <f>IFERROR(__xludf.DUMMYFUNCTION("""COMPUTED_VALUE"""),13800.0)</f>
        <v>13800</v>
      </c>
      <c r="F3270" t="str">
        <f>IFERROR(__xludf.DUMMYFUNCTION("""COMPUTED_VALUE"""),"台銀籌備帳戶")</f>
        <v>台銀籌備帳戶</v>
      </c>
      <c r="G3270" t="str">
        <f>IFERROR(__xludf.DUMMYFUNCTION("""COMPUTED_VALUE"""),"景安2分鐘")</f>
        <v>景安2分鐘</v>
      </c>
      <c r="H3270" s="106" t="str">
        <f t="shared" si="1"/>
        <v>2026-02</v>
      </c>
      <c r="I3270" s="271" t="str">
        <f>IFERROR(__xludf.DUMMYFUNCTION("""COMPUTED_VALUE"""),"貓狗企鵝")</f>
        <v>貓狗企鵝</v>
      </c>
      <c r="J3270" t="str">
        <f>IFERROR(__xludf.DUMMYFUNCTION("IFS(
  AND(REGEXMATCH(E3270, ""台銀籌備帳戶|玉山帳戶""), REGEXMATCH(C3270, ""薪資"")), ""分潤支出"",
  AND(REGEXMATCH(E3270, ""Ben帳戶|Elsa帳戶|Ben代墊|Ariel代墊|中信銀行共用""), REGEXMATCH(F3270, ""Ben帳戶|Elsa帳戶|Ben代墊|Ariel代墊|中信銀行共用"")), ""內部轉帳(忽略)"",
  AND(E3270&lt;&gt;"""", F3270&lt;&gt;"""", N"&amp;"OT(REGEXMATCH(C3270, ""薪資""))), ""內部轉帳(忽略)"",
  REGEXMATCH(C3270, ""薪資""), ""薪資變動(不計入)"",
  REGEXMATCH(C3270, ""押金""), ""押金往來"",
  AND(E3270&lt;&gt;"""", F3270=""""), ""真實支出"",
  AND(E3270="""", F3270&lt;&gt;""""), ""真實收入"",
  TRUE, ""其他""
)"),"真實收入")</f>
        <v>真實收入</v>
      </c>
      <c r="K3270" s="270">
        <f t="shared" si="2"/>
        <v>13800</v>
      </c>
      <c r="L3270">
        <f t="shared" si="3"/>
        <v>0</v>
      </c>
    </row>
    <row r="3271">
      <c r="A3271" s="107">
        <f>IFERROR(__xludf.DUMMYFUNCTION("""COMPUTED_VALUE"""),46055.0)</f>
        <v>46055</v>
      </c>
      <c r="B3271" t="str">
        <f>IFERROR(__xludf.DUMMYFUNCTION("""COMPUTED_VALUE"""),"[書香民生] B 月租金 後五碼:54102 (行號: 90)")</f>
        <v>[書香民生] B 月租金 後五碼:54102 (行號: 90)</v>
      </c>
      <c r="C3271" t="str">
        <f>IFERROR(__xludf.DUMMYFUNCTION("""COMPUTED_VALUE"""),"收入 - 租金")</f>
        <v>收入 - 租金</v>
      </c>
      <c r="D3271" s="270">
        <f>IFERROR(__xludf.DUMMYFUNCTION("""COMPUTED_VALUE"""),17800.0)</f>
        <v>17800</v>
      </c>
      <c r="F3271" t="str">
        <f>IFERROR(__xludf.DUMMYFUNCTION("""COMPUTED_VALUE"""),"台銀籌備帳戶")</f>
        <v>台銀籌備帳戶</v>
      </c>
      <c r="G3271" t="str">
        <f>IFERROR(__xludf.DUMMYFUNCTION("""COMPUTED_VALUE"""),"書香民生")</f>
        <v>書香民生</v>
      </c>
      <c r="H3271" s="106" t="str">
        <f t="shared" si="1"/>
        <v>2026-02</v>
      </c>
      <c r="I3271" s="271" t="str">
        <f>IFERROR(__xludf.DUMMYFUNCTION("""COMPUTED_VALUE"""),"貓狗企鵝")</f>
        <v>貓狗企鵝</v>
      </c>
      <c r="J3271" t="str">
        <f>IFERROR(__xludf.DUMMYFUNCTION("IFS(
  AND(REGEXMATCH(E3271, ""台銀籌備帳戶|玉山帳戶""), REGEXMATCH(C3271, ""薪資"")), ""分潤支出"",
  AND(REGEXMATCH(E3271, ""Ben帳戶|Elsa帳戶|Ben代墊|Ariel代墊|中信銀行共用""), REGEXMATCH(F3271, ""Ben帳戶|Elsa帳戶|Ben代墊|Ariel代墊|中信銀行共用"")), ""內部轉帳(忽略)"",
  AND(E3271&lt;&gt;"""", F3271&lt;&gt;"""", N"&amp;"OT(REGEXMATCH(C3271, ""薪資""))), ""內部轉帳(忽略)"",
  REGEXMATCH(C3271, ""薪資""), ""薪資變動(不計入)"",
  REGEXMATCH(C3271, ""押金""), ""押金往來"",
  AND(E3271&lt;&gt;"""", F3271=""""), ""真實支出"",
  AND(E3271="""", F3271&lt;&gt;""""), ""真實收入"",
  TRUE, ""其他""
)"),"真實收入")</f>
        <v>真實收入</v>
      </c>
      <c r="K3271" s="270">
        <f t="shared" si="2"/>
        <v>17800</v>
      </c>
      <c r="L3271">
        <f t="shared" si="3"/>
        <v>0</v>
      </c>
    </row>
    <row r="3272">
      <c r="A3272" s="107">
        <f>IFERROR(__xludf.DUMMYFUNCTION("""COMPUTED_VALUE"""),46055.0)</f>
        <v>46055</v>
      </c>
      <c r="B3272" t="str">
        <f>IFERROR(__xludf.DUMMYFUNCTION("""COMPUTED_VALUE"""),"[北醫醫師府] B 月租金 後五碼:26127 (行號: 91)")</f>
        <v>[北醫醫師府] B 月租金 後五碼:26127 (行號: 91)</v>
      </c>
      <c r="C3272" t="str">
        <f>IFERROR(__xludf.DUMMYFUNCTION("""COMPUTED_VALUE"""),"收入 - 租金")</f>
        <v>收入 - 租金</v>
      </c>
      <c r="D3272" s="270">
        <f>IFERROR(__xludf.DUMMYFUNCTION("""COMPUTED_VALUE"""),17800.0)</f>
        <v>17800</v>
      </c>
      <c r="F3272" t="str">
        <f>IFERROR(__xludf.DUMMYFUNCTION("""COMPUTED_VALUE"""),"台銀籌備帳戶")</f>
        <v>台銀籌備帳戶</v>
      </c>
      <c r="G3272" t="str">
        <f>IFERROR(__xludf.DUMMYFUNCTION("""COMPUTED_VALUE"""),"北醫醫師府")</f>
        <v>北醫醫師府</v>
      </c>
      <c r="H3272" s="106" t="str">
        <f t="shared" si="1"/>
        <v>2026-02</v>
      </c>
      <c r="I3272" s="271" t="str">
        <f>IFERROR(__xludf.DUMMYFUNCTION("""COMPUTED_VALUE"""),"貓狗企鵝")</f>
        <v>貓狗企鵝</v>
      </c>
      <c r="J3272" t="str">
        <f>IFERROR(__xludf.DUMMYFUNCTION("IFS(
  AND(REGEXMATCH(E3272, ""台銀籌備帳戶|玉山帳戶""), REGEXMATCH(C3272, ""薪資"")), ""分潤支出"",
  AND(REGEXMATCH(E3272, ""Ben帳戶|Elsa帳戶|Ben代墊|Ariel代墊|中信銀行共用""), REGEXMATCH(F3272, ""Ben帳戶|Elsa帳戶|Ben代墊|Ariel代墊|中信銀行共用"")), ""內部轉帳(忽略)"",
  AND(E3272&lt;&gt;"""", F3272&lt;&gt;"""", N"&amp;"OT(REGEXMATCH(C3272, ""薪資""))), ""內部轉帳(忽略)"",
  REGEXMATCH(C3272, ""薪資""), ""薪資變動(不計入)"",
  REGEXMATCH(C3272, ""押金""), ""押金往來"",
  AND(E3272&lt;&gt;"""", F3272=""""), ""真實支出"",
  AND(E3272="""", F3272&lt;&gt;""""), ""真實收入"",
  TRUE, ""其他""
)"),"真實收入")</f>
        <v>真實收入</v>
      </c>
      <c r="K3272" s="270">
        <f t="shared" si="2"/>
        <v>17800</v>
      </c>
      <c r="L3272">
        <f t="shared" si="3"/>
        <v>0</v>
      </c>
    </row>
    <row r="3273">
      <c r="A3273" s="107">
        <f>IFERROR(__xludf.DUMMYFUNCTION("""COMPUTED_VALUE"""),46055.0)</f>
        <v>46055</v>
      </c>
      <c r="B3273" t="str">
        <f>IFERROR(__xludf.DUMMYFUNCTION("""COMPUTED_VALUE"""),"[龍江229] B 月租金 後五碼:67546 (行號: 92)")</f>
        <v>[龍江229] B 月租金 後五碼:67546 (行號: 92)</v>
      </c>
      <c r="C3273" t="str">
        <f>IFERROR(__xludf.DUMMYFUNCTION("""COMPUTED_VALUE"""),"收入 - 租金")</f>
        <v>收入 - 租金</v>
      </c>
      <c r="D3273" s="270">
        <f>IFERROR(__xludf.DUMMYFUNCTION("""COMPUTED_VALUE"""),13500.0)</f>
        <v>13500</v>
      </c>
      <c r="F3273" t="str">
        <f>IFERROR(__xludf.DUMMYFUNCTION("""COMPUTED_VALUE"""),"台銀籌備帳戶")</f>
        <v>台銀籌備帳戶</v>
      </c>
      <c r="G3273" t="str">
        <f>IFERROR(__xludf.DUMMYFUNCTION("""COMPUTED_VALUE"""),"龍江229")</f>
        <v>龍江229</v>
      </c>
      <c r="H3273" s="106" t="str">
        <f t="shared" si="1"/>
        <v>2026-02</v>
      </c>
      <c r="I3273" s="271" t="str">
        <f>IFERROR(__xludf.DUMMYFUNCTION("""COMPUTED_VALUE"""),"貓狗企鵝")</f>
        <v>貓狗企鵝</v>
      </c>
      <c r="J3273" t="str">
        <f>IFERROR(__xludf.DUMMYFUNCTION("IFS(
  AND(REGEXMATCH(E3273, ""台銀籌備帳戶|玉山帳戶""), REGEXMATCH(C3273, ""薪資"")), ""分潤支出"",
  AND(REGEXMATCH(E3273, ""Ben帳戶|Elsa帳戶|Ben代墊|Ariel代墊|中信銀行共用""), REGEXMATCH(F3273, ""Ben帳戶|Elsa帳戶|Ben代墊|Ariel代墊|中信銀行共用"")), ""內部轉帳(忽略)"",
  AND(E3273&lt;&gt;"""", F3273&lt;&gt;"""", N"&amp;"OT(REGEXMATCH(C3273, ""薪資""))), ""內部轉帳(忽略)"",
  REGEXMATCH(C3273, ""薪資""), ""薪資變動(不計入)"",
  REGEXMATCH(C3273, ""押金""), ""押金往來"",
  AND(E3273&lt;&gt;"""", F3273=""""), ""真實支出"",
  AND(E3273="""", F3273&lt;&gt;""""), ""真實收入"",
  TRUE, ""其他""
)"),"真實收入")</f>
        <v>真實收入</v>
      </c>
      <c r="K3273" s="270">
        <f t="shared" si="2"/>
        <v>13500</v>
      </c>
      <c r="L3273">
        <f t="shared" si="3"/>
        <v>0</v>
      </c>
    </row>
    <row r="3274">
      <c r="A3274" s="107">
        <f>IFERROR(__xludf.DUMMYFUNCTION("""COMPUTED_VALUE"""),46056.0)</f>
        <v>46056</v>
      </c>
      <c r="B3274" t="str">
        <f>IFERROR(__xludf.DUMMYFUNCTION("""COMPUTED_VALUE"""),"[哈拉對面] D 月租金 後五碼:64267 (行號: 93)")</f>
        <v>[哈拉對面] D 月租金 後五碼:64267 (行號: 93)</v>
      </c>
      <c r="C3274" t="str">
        <f>IFERROR(__xludf.DUMMYFUNCTION("""COMPUTED_VALUE"""),"收入 - 租金")</f>
        <v>收入 - 租金</v>
      </c>
      <c r="D3274" s="270">
        <f>IFERROR(__xludf.DUMMYFUNCTION("""COMPUTED_VALUE"""),11800.0)</f>
        <v>11800</v>
      </c>
      <c r="F3274" t="str">
        <f>IFERROR(__xludf.DUMMYFUNCTION("""COMPUTED_VALUE"""),"台銀籌備帳戶")</f>
        <v>台銀籌備帳戶</v>
      </c>
      <c r="G3274" t="str">
        <f>IFERROR(__xludf.DUMMYFUNCTION("""COMPUTED_VALUE"""),"哈拉對面")</f>
        <v>哈拉對面</v>
      </c>
      <c r="H3274" s="106" t="str">
        <f t="shared" si="1"/>
        <v>2026-02</v>
      </c>
      <c r="I3274" s="271" t="str">
        <f>IFERROR(__xludf.DUMMYFUNCTION("""COMPUTED_VALUE"""),"貓狗企鵝")</f>
        <v>貓狗企鵝</v>
      </c>
      <c r="J3274" t="str">
        <f>IFERROR(__xludf.DUMMYFUNCTION("IFS(
  AND(REGEXMATCH(E3274, ""台銀籌備帳戶|玉山帳戶""), REGEXMATCH(C3274, ""薪資"")), ""分潤支出"",
  AND(REGEXMATCH(E3274, ""Ben帳戶|Elsa帳戶|Ben代墊|Ariel代墊|中信銀行共用""), REGEXMATCH(F3274, ""Ben帳戶|Elsa帳戶|Ben代墊|Ariel代墊|中信銀行共用"")), ""內部轉帳(忽略)"",
  AND(E3274&lt;&gt;"""", F3274&lt;&gt;"""", N"&amp;"OT(REGEXMATCH(C3274, ""薪資""))), ""內部轉帳(忽略)"",
  REGEXMATCH(C3274, ""薪資""), ""薪資變動(不計入)"",
  REGEXMATCH(C3274, ""押金""), ""押金往來"",
  AND(E3274&lt;&gt;"""", F3274=""""), ""真實支出"",
  AND(E3274="""", F3274&lt;&gt;""""), ""真實收入"",
  TRUE, ""其他""
)"),"真實收入")</f>
        <v>真實收入</v>
      </c>
      <c r="K3274" s="270">
        <f t="shared" si="2"/>
        <v>11800</v>
      </c>
      <c r="L3274">
        <f t="shared" si="3"/>
        <v>0</v>
      </c>
    </row>
    <row r="3275">
      <c r="A3275" s="107">
        <f>IFERROR(__xludf.DUMMYFUNCTION("""COMPUTED_VALUE"""),46056.0)</f>
        <v>46056</v>
      </c>
      <c r="B3275" t="str">
        <f>IFERROR(__xludf.DUMMYFUNCTION("""COMPUTED_VALUE"""),"[中山北Feli家] A 月租金 後五碼:51759 (行號: 94)")</f>
        <v>[中山北Feli家] A 月租金 後五碼:51759 (行號: 94)</v>
      </c>
      <c r="C3275" t="str">
        <f>IFERROR(__xludf.DUMMYFUNCTION("""COMPUTED_VALUE"""),"收入 - 租金")</f>
        <v>收入 - 租金</v>
      </c>
      <c r="D3275" s="270">
        <f>IFERROR(__xludf.DUMMYFUNCTION("""COMPUTED_VALUE"""),13200.0)</f>
        <v>13200</v>
      </c>
      <c r="F3275" t="str">
        <f>IFERROR(__xludf.DUMMYFUNCTION("""COMPUTED_VALUE"""),"台銀籌備帳戶")</f>
        <v>台銀籌備帳戶</v>
      </c>
      <c r="G3275" t="str">
        <f>IFERROR(__xludf.DUMMYFUNCTION("""COMPUTED_VALUE"""),"中山北Feli家")</f>
        <v>中山北Feli家</v>
      </c>
      <c r="H3275" s="106" t="str">
        <f t="shared" si="1"/>
        <v>2026-02</v>
      </c>
      <c r="I3275" s="271" t="str">
        <f>IFERROR(__xludf.DUMMYFUNCTION("""COMPUTED_VALUE"""),"貓狗企鵝")</f>
        <v>貓狗企鵝</v>
      </c>
      <c r="J3275" t="str">
        <f>IFERROR(__xludf.DUMMYFUNCTION("IFS(
  AND(REGEXMATCH(E3275, ""台銀籌備帳戶|玉山帳戶""), REGEXMATCH(C3275, ""薪資"")), ""分潤支出"",
  AND(REGEXMATCH(E3275, ""Ben帳戶|Elsa帳戶|Ben代墊|Ariel代墊|中信銀行共用""), REGEXMATCH(F3275, ""Ben帳戶|Elsa帳戶|Ben代墊|Ariel代墊|中信銀行共用"")), ""內部轉帳(忽略)"",
  AND(E3275&lt;&gt;"""", F3275&lt;&gt;"""", N"&amp;"OT(REGEXMATCH(C3275, ""薪資""))), ""內部轉帳(忽略)"",
  REGEXMATCH(C3275, ""薪資""), ""薪資變動(不計入)"",
  REGEXMATCH(C3275, ""押金""), ""押金往來"",
  AND(E3275&lt;&gt;"""", F3275=""""), ""真實支出"",
  AND(E3275="""", F3275&lt;&gt;""""), ""真實收入"",
  TRUE, ""其他""
)"),"真實收入")</f>
        <v>真實收入</v>
      </c>
      <c r="K3275" s="270">
        <f t="shared" si="2"/>
        <v>13200</v>
      </c>
      <c r="L3275">
        <f t="shared" si="3"/>
        <v>0</v>
      </c>
    </row>
    <row r="3276">
      <c r="A3276" s="107">
        <f>IFERROR(__xludf.DUMMYFUNCTION("""COMPUTED_VALUE"""),46057.0)</f>
        <v>46057</v>
      </c>
      <c r="B3276" t="str">
        <f>IFERROR(__xludf.DUMMYFUNCTION("""COMPUTED_VALUE"""),"費用 - 匯費 822 (56515)")</f>
        <v>費用 - 匯費 822 (56515)</v>
      </c>
      <c r="C3276" t="str">
        <f>IFERROR(__xludf.DUMMYFUNCTION("""COMPUTED_VALUE"""),"費用 - 匯費")</f>
        <v>費用 - 匯費</v>
      </c>
      <c r="D3276" s="270">
        <f>IFERROR(__xludf.DUMMYFUNCTION("""COMPUTED_VALUE"""),-15.0)</f>
        <v>-15</v>
      </c>
      <c r="E3276" t="str">
        <f>IFERROR(__xludf.DUMMYFUNCTION("""COMPUTED_VALUE"""),"台銀籌備帳戶")</f>
        <v>台銀籌備帳戶</v>
      </c>
      <c r="H3276" s="106" t="str">
        <f t="shared" si="1"/>
        <v>2026-02</v>
      </c>
      <c r="I3276" s="271" t="str">
        <f>IFERROR(__xludf.DUMMYFUNCTION("""COMPUTED_VALUE"""),"貓狗企鵝")</f>
        <v>貓狗企鵝</v>
      </c>
      <c r="J3276" t="str">
        <f>IFERROR(__xludf.DUMMYFUNCTION("IFS(
  AND(REGEXMATCH(E3276, ""台銀籌備帳戶|玉山帳戶""), REGEXMATCH(C3276, ""薪資"")), ""分潤支出"",
  AND(REGEXMATCH(E3276, ""Ben帳戶|Elsa帳戶|Ben代墊|Ariel代墊|中信銀行共用""), REGEXMATCH(F3276, ""Ben帳戶|Elsa帳戶|Ben代墊|Ariel代墊|中信銀行共用"")), ""內部轉帳(忽略)"",
  AND(E3276&lt;&gt;"""", F3276&lt;&gt;"""", N"&amp;"OT(REGEXMATCH(C3276, ""薪資""))), ""內部轉帳(忽略)"",
  REGEXMATCH(C3276, ""薪資""), ""薪資變動(不計入)"",
  REGEXMATCH(C3276, ""押金""), ""押金往來"",
  AND(E3276&lt;&gt;"""", F3276=""""), ""真實支出"",
  AND(E3276="""", F3276&lt;&gt;""""), ""真實收入"",
  TRUE, ""其他""
)"),"真實支出")</f>
        <v>真實支出</v>
      </c>
      <c r="K3276" s="270">
        <f t="shared" si="2"/>
        <v>-15</v>
      </c>
      <c r="L3276">
        <f t="shared" si="3"/>
        <v>0</v>
      </c>
    </row>
    <row r="3277">
      <c r="A3277" s="107">
        <f>IFERROR(__xludf.DUMMYFUNCTION("""COMPUTED_VALUE"""),46057.0)</f>
        <v>46057</v>
      </c>
      <c r="B3277" t="str">
        <f>IFERROR(__xludf.DUMMYFUNCTION("""COMPUTED_VALUE"""),"天母搜狗冷氣 ")</f>
        <v>天母搜狗冷氣 </v>
      </c>
      <c r="C3277" t="str">
        <f>IFERROR(__xludf.DUMMYFUNCTION("""COMPUTED_VALUE"""),"成本 - 進場前裝潢費")</f>
        <v>成本 - 進場前裝潢費</v>
      </c>
      <c r="D3277" s="270">
        <f>IFERROR(__xludf.DUMMYFUNCTION("""COMPUTED_VALUE"""),-189900.0)</f>
        <v>-189900</v>
      </c>
      <c r="E3277" t="str">
        <f>IFERROR(__xludf.DUMMYFUNCTION("""COMPUTED_VALUE"""),"台銀籌備帳戶")</f>
        <v>台銀籌備帳戶</v>
      </c>
      <c r="G3277" t="str">
        <f>IFERROR(__xludf.DUMMYFUNCTION("""COMPUTED_VALUE"""),"天母搜狗")</f>
        <v>天母搜狗</v>
      </c>
      <c r="H3277" s="106" t="str">
        <f t="shared" si="1"/>
        <v>2026-02</v>
      </c>
      <c r="I3277" s="271" t="str">
        <f>IFERROR(__xludf.DUMMYFUNCTION("""COMPUTED_VALUE"""),"貓狗企鵝")</f>
        <v>貓狗企鵝</v>
      </c>
      <c r="J3277" t="str">
        <f>IFERROR(__xludf.DUMMYFUNCTION("IFS(
  AND(REGEXMATCH(E3277, ""台銀籌備帳戶|玉山帳戶""), REGEXMATCH(C3277, ""薪資"")), ""分潤支出"",
  AND(REGEXMATCH(E3277, ""Ben帳戶|Elsa帳戶|Ben代墊|Ariel代墊|中信銀行共用""), REGEXMATCH(F3277, ""Ben帳戶|Elsa帳戶|Ben代墊|Ariel代墊|中信銀行共用"")), ""內部轉帳(忽略)"",
  AND(E3277&lt;&gt;"""", F3277&lt;&gt;"""", N"&amp;"OT(REGEXMATCH(C3277, ""薪資""))), ""內部轉帳(忽略)"",
  REGEXMATCH(C3277, ""薪資""), ""薪資變動(不計入)"",
  REGEXMATCH(C3277, ""押金""), ""押金往來"",
  AND(E3277&lt;&gt;"""", F3277=""""), ""真實支出"",
  AND(E3277="""", F3277&lt;&gt;""""), ""真實收入"",
  TRUE, ""其他""
)"),"真實支出")</f>
        <v>真實支出</v>
      </c>
      <c r="K3277" s="270">
        <f t="shared" si="2"/>
        <v>-189900</v>
      </c>
      <c r="L3277">
        <f t="shared" si="3"/>
        <v>0</v>
      </c>
    </row>
    <row r="3278">
      <c r="A3278" s="107">
        <f>IFERROR(__xludf.DUMMYFUNCTION("""COMPUTED_VALUE"""),46057.0)</f>
        <v>46057</v>
      </c>
      <c r="B3278" t="str">
        <f>IFERROR(__xludf.DUMMYFUNCTION("""COMPUTED_VALUE"""),"費用 - 匯費 812 (86639)")</f>
        <v>費用 - 匯費 812 (86639)</v>
      </c>
      <c r="C3278" t="str">
        <f>IFERROR(__xludf.DUMMYFUNCTION("""COMPUTED_VALUE"""),"費用 - 匯費")</f>
        <v>費用 - 匯費</v>
      </c>
      <c r="D3278" s="270">
        <f>IFERROR(__xludf.DUMMYFUNCTION("""COMPUTED_VALUE"""),-15.0)</f>
        <v>-15</v>
      </c>
      <c r="E3278" t="str">
        <f>IFERROR(__xludf.DUMMYFUNCTION("""COMPUTED_VALUE"""),"台銀籌備帳戶")</f>
        <v>台銀籌備帳戶</v>
      </c>
      <c r="H3278" s="106" t="str">
        <f t="shared" si="1"/>
        <v>2026-02</v>
      </c>
      <c r="I3278" s="271" t="str">
        <f>IFERROR(__xludf.DUMMYFUNCTION("""COMPUTED_VALUE"""),"貓狗企鵝")</f>
        <v>貓狗企鵝</v>
      </c>
      <c r="J3278" t="str">
        <f>IFERROR(__xludf.DUMMYFUNCTION("IFS(
  AND(REGEXMATCH(E3278, ""台銀籌備帳戶|玉山帳戶""), REGEXMATCH(C3278, ""薪資"")), ""分潤支出"",
  AND(REGEXMATCH(E3278, ""Ben帳戶|Elsa帳戶|Ben代墊|Ariel代墊|中信銀行共用""), REGEXMATCH(F3278, ""Ben帳戶|Elsa帳戶|Ben代墊|Ariel代墊|中信銀行共用"")), ""內部轉帳(忽略)"",
  AND(E3278&lt;&gt;"""", F3278&lt;&gt;"""", N"&amp;"OT(REGEXMATCH(C3278, ""薪資""))), ""內部轉帳(忽略)"",
  REGEXMATCH(C3278, ""薪資""), ""薪資變動(不計入)"",
  REGEXMATCH(C3278, ""押金""), ""押金往來"",
  AND(E3278&lt;&gt;"""", F3278=""""), ""真實支出"",
  AND(E3278="""", F3278&lt;&gt;""""), ""真實收入"",
  TRUE, ""其他""
)"),"真實支出")</f>
        <v>真實支出</v>
      </c>
      <c r="K3278" s="270">
        <f t="shared" si="2"/>
        <v>-15</v>
      </c>
      <c r="L3278">
        <f t="shared" si="3"/>
        <v>0</v>
      </c>
    </row>
    <row r="3279">
      <c r="A3279" s="107">
        <f>IFERROR(__xludf.DUMMYFUNCTION("""COMPUTED_VALUE"""),46057.0)</f>
        <v>46057</v>
      </c>
      <c r="B3279" t="str">
        <f>IFERROR(__xludf.DUMMYFUNCTION("""COMPUTED_VALUE"""),"螢光水電天母搜狗 ")</f>
        <v>螢光水電天母搜狗 </v>
      </c>
      <c r="C3279" t="str">
        <f>IFERROR(__xludf.DUMMYFUNCTION("""COMPUTED_VALUE"""),"成本 - 進場前裝潢費")</f>
        <v>成本 - 進場前裝潢費</v>
      </c>
      <c r="D3279" s="270">
        <f>IFERROR(__xludf.DUMMYFUNCTION("""COMPUTED_VALUE"""),-121905.0)</f>
        <v>-121905</v>
      </c>
      <c r="E3279" t="str">
        <f>IFERROR(__xludf.DUMMYFUNCTION("""COMPUTED_VALUE"""),"台銀籌備帳戶")</f>
        <v>台銀籌備帳戶</v>
      </c>
      <c r="G3279" t="str">
        <f>IFERROR(__xludf.DUMMYFUNCTION("""COMPUTED_VALUE"""),"天母搜狗")</f>
        <v>天母搜狗</v>
      </c>
      <c r="H3279" s="106" t="str">
        <f t="shared" si="1"/>
        <v>2026-02</v>
      </c>
      <c r="I3279" s="271" t="str">
        <f>IFERROR(__xludf.DUMMYFUNCTION("""COMPUTED_VALUE"""),"貓狗企鵝")</f>
        <v>貓狗企鵝</v>
      </c>
      <c r="J3279" t="str">
        <f>IFERROR(__xludf.DUMMYFUNCTION("IFS(
  AND(REGEXMATCH(E3279, ""台銀籌備帳戶|玉山帳戶""), REGEXMATCH(C3279, ""薪資"")), ""分潤支出"",
  AND(REGEXMATCH(E3279, ""Ben帳戶|Elsa帳戶|Ben代墊|Ariel代墊|中信銀行共用""), REGEXMATCH(F3279, ""Ben帳戶|Elsa帳戶|Ben代墊|Ariel代墊|中信銀行共用"")), ""內部轉帳(忽略)"",
  AND(E3279&lt;&gt;"""", F3279&lt;&gt;"""", N"&amp;"OT(REGEXMATCH(C3279, ""薪資""))), ""內部轉帳(忽略)"",
  REGEXMATCH(C3279, ""薪資""), ""薪資變動(不計入)"",
  REGEXMATCH(C3279, ""押金""), ""押金往來"",
  AND(E3279&lt;&gt;"""", F3279=""""), ""真實支出"",
  AND(E3279="""", F3279&lt;&gt;""""), ""真實收入"",
  TRUE, ""其他""
)"),"真實支出")</f>
        <v>真實支出</v>
      </c>
      <c r="K3279" s="270">
        <f t="shared" si="2"/>
        <v>-121905</v>
      </c>
      <c r="L3279">
        <f t="shared" si="3"/>
        <v>0</v>
      </c>
    </row>
    <row r="3280">
      <c r="A3280" s="107">
        <f>IFERROR(__xludf.DUMMYFUNCTION("""COMPUTED_VALUE"""),46058.0)</f>
        <v>46058</v>
      </c>
      <c r="B3280" t="str">
        <f>IFERROR(__xludf.DUMMYFUNCTION("""COMPUTED_VALUE"""),"費用 - 匯費 822 (43051)")</f>
        <v>費用 - 匯費 822 (43051)</v>
      </c>
      <c r="C3280" t="str">
        <f>IFERROR(__xludf.DUMMYFUNCTION("""COMPUTED_VALUE"""),"費用 - 匯費")</f>
        <v>費用 - 匯費</v>
      </c>
      <c r="D3280" s="270">
        <f>IFERROR(__xludf.DUMMYFUNCTION("""COMPUTED_VALUE"""),-15.0)</f>
        <v>-15</v>
      </c>
      <c r="E3280" t="str">
        <f>IFERROR(__xludf.DUMMYFUNCTION("""COMPUTED_VALUE"""),"台銀籌備帳戶")</f>
        <v>台銀籌備帳戶</v>
      </c>
      <c r="H3280" s="106" t="str">
        <f t="shared" si="1"/>
        <v>2026-02</v>
      </c>
      <c r="I3280" s="271" t="str">
        <f>IFERROR(__xludf.DUMMYFUNCTION("""COMPUTED_VALUE"""),"貓狗企鵝")</f>
        <v>貓狗企鵝</v>
      </c>
      <c r="J3280" t="str">
        <f>IFERROR(__xludf.DUMMYFUNCTION("IFS(
  AND(REGEXMATCH(E3280, ""台銀籌備帳戶|玉山帳戶""), REGEXMATCH(C3280, ""薪資"")), ""分潤支出"",
  AND(REGEXMATCH(E3280, ""Ben帳戶|Elsa帳戶|Ben代墊|Ariel代墊|中信銀行共用""), REGEXMATCH(F3280, ""Ben帳戶|Elsa帳戶|Ben代墊|Ariel代墊|中信銀行共用"")), ""內部轉帳(忽略)"",
  AND(E3280&lt;&gt;"""", F3280&lt;&gt;"""", N"&amp;"OT(REGEXMATCH(C3280, ""薪資""))), ""內部轉帳(忽略)"",
  REGEXMATCH(C3280, ""薪資""), ""薪資變動(不計入)"",
  REGEXMATCH(C3280, ""押金""), ""押金往來"",
  AND(E3280&lt;&gt;"""", F3280=""""), ""真實支出"",
  AND(E3280="""", F3280&lt;&gt;""""), ""真實收入"",
  TRUE, ""其他""
)"),"真實支出")</f>
        <v>真實支出</v>
      </c>
      <c r="K3280" s="270">
        <f t="shared" si="2"/>
        <v>-15</v>
      </c>
      <c r="L3280">
        <f t="shared" si="3"/>
        <v>0</v>
      </c>
    </row>
    <row r="3281">
      <c r="A3281" s="107">
        <f>IFERROR(__xludf.DUMMYFUNCTION("""COMPUTED_VALUE"""),46058.0)</f>
        <v>46058</v>
      </c>
      <c r="B3281" t="str">
        <f>IFERROR(__xludf.DUMMYFUNCTION("""COMPUTED_VALUE"""),"Ben中信薪資 ")</f>
        <v>Ben中信薪資 </v>
      </c>
      <c r="C3281" t="str">
        <f>IFERROR(__xludf.DUMMYFUNCTION("""COMPUTED_VALUE"""),"費用 - Salary 薪資")</f>
        <v>費用 - Salary 薪資</v>
      </c>
      <c r="D3281" s="270">
        <f>IFERROR(__xludf.DUMMYFUNCTION("""COMPUTED_VALUE"""),-200000.0)</f>
        <v>-200000</v>
      </c>
      <c r="E3281" t="str">
        <f>IFERROR(__xludf.DUMMYFUNCTION("""COMPUTED_VALUE"""),"台銀籌備帳戶")</f>
        <v>台銀籌備帳戶</v>
      </c>
      <c r="F3281" t="str">
        <f>IFERROR(__xludf.DUMMYFUNCTION("""COMPUTED_VALUE"""),"Ben帳戶")</f>
        <v>Ben帳戶</v>
      </c>
      <c r="H3281" s="106" t="str">
        <f t="shared" si="1"/>
        <v>2026-02</v>
      </c>
      <c r="I3281" s="271" t="str">
        <f>IFERROR(__xludf.DUMMYFUNCTION("""COMPUTED_VALUE"""),"貓狗企鵝")</f>
        <v>貓狗企鵝</v>
      </c>
      <c r="J3281" t="str">
        <f>IFERROR(__xludf.DUMMYFUNCTION("IFS(
  AND(REGEXMATCH(E3281, ""台銀籌備帳戶|玉山帳戶""), REGEXMATCH(C3281, ""薪資"")), ""分潤支出"",
  AND(REGEXMATCH(E3281, ""Ben帳戶|Elsa帳戶|Ben代墊|Ariel代墊|中信銀行共用""), REGEXMATCH(F3281, ""Ben帳戶|Elsa帳戶|Ben代墊|Ariel代墊|中信銀行共用"")), ""內部轉帳(忽略)"",
  AND(E3281&lt;&gt;"""", F3281&lt;&gt;"""", N"&amp;"OT(REGEXMATCH(C3281, ""薪資""))), ""內部轉帳(忽略)"",
  REGEXMATCH(C3281, ""薪資""), ""薪資變動(不計入)"",
  REGEXMATCH(C3281, ""押金""), ""押金往來"",
  AND(E3281&lt;&gt;"""", F3281=""""), ""真實支出"",
  AND(E3281="""", F3281&lt;&gt;""""), ""真實收入"",
  TRUE, ""其他""
)"),"分潤支出")</f>
        <v>分潤支出</v>
      </c>
      <c r="K3281">
        <f t="shared" si="2"/>
        <v>0</v>
      </c>
      <c r="L3281">
        <f t="shared" si="3"/>
        <v>200000</v>
      </c>
    </row>
    <row r="3282">
      <c r="A3282" s="107">
        <f>IFERROR(__xludf.DUMMYFUNCTION("""COMPUTED_VALUE"""),46058.0)</f>
        <v>46058</v>
      </c>
      <c r="B3282" t="str">
        <f>IFERROR(__xludf.DUMMYFUNCTION("""COMPUTED_VALUE"""),"費用 - 匯費 012 (92486)")</f>
        <v>費用 - 匯費 012 (92486)</v>
      </c>
      <c r="C3282" t="str">
        <f>IFERROR(__xludf.DUMMYFUNCTION("""COMPUTED_VALUE"""),"費用 - 匯費")</f>
        <v>費用 - 匯費</v>
      </c>
      <c r="D3282" s="270">
        <f>IFERROR(__xludf.DUMMYFUNCTION("""COMPUTED_VALUE"""),-15.0)</f>
        <v>-15</v>
      </c>
      <c r="E3282" t="str">
        <f>IFERROR(__xludf.DUMMYFUNCTION("""COMPUTED_VALUE"""),"台銀籌備帳戶")</f>
        <v>台銀籌備帳戶</v>
      </c>
      <c r="H3282" s="106" t="str">
        <f t="shared" si="1"/>
        <v>2026-02</v>
      </c>
      <c r="I3282" s="271" t="str">
        <f>IFERROR(__xludf.DUMMYFUNCTION("""COMPUTED_VALUE"""),"貓狗企鵝")</f>
        <v>貓狗企鵝</v>
      </c>
      <c r="J3282" t="str">
        <f>IFERROR(__xludf.DUMMYFUNCTION("IFS(
  AND(REGEXMATCH(E3282, ""台銀籌備帳戶|玉山帳戶""), REGEXMATCH(C3282, ""薪資"")), ""分潤支出"",
  AND(REGEXMATCH(E3282, ""Ben帳戶|Elsa帳戶|Ben代墊|Ariel代墊|中信銀行共用""), REGEXMATCH(F3282, ""Ben帳戶|Elsa帳戶|Ben代墊|Ariel代墊|中信銀行共用"")), ""內部轉帳(忽略)"",
  AND(E3282&lt;&gt;"""", F3282&lt;&gt;"""", N"&amp;"OT(REGEXMATCH(C3282, ""薪資""))), ""內部轉帳(忽略)"",
  REGEXMATCH(C3282, ""薪資""), ""薪資變動(不計入)"",
  REGEXMATCH(C3282, ""押金""), ""押金往來"",
  AND(E3282&lt;&gt;"""", F3282=""""), ""真實支出"",
  AND(E3282="""", F3282&lt;&gt;""""), ""真實收入"",
  TRUE, ""其他""
)"),"真實支出")</f>
        <v>真實支出</v>
      </c>
      <c r="K3282" s="270">
        <f t="shared" si="2"/>
        <v>-15</v>
      </c>
      <c r="L3282">
        <f t="shared" si="3"/>
        <v>0</v>
      </c>
    </row>
    <row r="3283">
      <c r="A3283" s="107">
        <f>IFERROR(__xludf.DUMMYFUNCTION("""COMPUTED_VALUE"""),46058.0)</f>
        <v>46058</v>
      </c>
      <c r="B3283" t="str">
        <f>IFERROR(__xludf.DUMMYFUNCTION("""COMPUTED_VALUE"""),"阿虎設計費")</f>
        <v>阿虎設計費</v>
      </c>
      <c r="C3283" t="str">
        <f>IFERROR(__xludf.DUMMYFUNCTION("""COMPUTED_VALUE"""),"費用 - Salary 薪資")</f>
        <v>費用 - Salary 薪資</v>
      </c>
      <c r="D3283" s="270">
        <f>IFERROR(__xludf.DUMMYFUNCTION("""COMPUTED_VALUE"""),-200000.0)</f>
        <v>-200000</v>
      </c>
      <c r="E3283" t="str">
        <f>IFERROR(__xludf.DUMMYFUNCTION("""COMPUTED_VALUE"""),"台銀籌備帳戶")</f>
        <v>台銀籌備帳戶</v>
      </c>
      <c r="F3283" t="str">
        <f>IFERROR(__xludf.DUMMYFUNCTION("""COMPUTED_VALUE"""),"Elsa帳戶")</f>
        <v>Elsa帳戶</v>
      </c>
      <c r="H3283" s="106" t="str">
        <f t="shared" si="1"/>
        <v>2026-02</v>
      </c>
      <c r="I3283" s="271" t="str">
        <f>IFERROR(__xludf.DUMMYFUNCTION("""COMPUTED_VALUE"""),"貓狗企鵝")</f>
        <v>貓狗企鵝</v>
      </c>
      <c r="J3283" t="str">
        <f>IFERROR(__xludf.DUMMYFUNCTION("IFS(
  AND(REGEXMATCH(E3283, ""台銀籌備帳戶|玉山帳戶""), REGEXMATCH(C3283, ""薪資"")), ""分潤支出"",
  AND(REGEXMATCH(E3283, ""Ben帳戶|Elsa帳戶|Ben代墊|Ariel代墊|中信銀行共用""), REGEXMATCH(F3283, ""Ben帳戶|Elsa帳戶|Ben代墊|Ariel代墊|中信銀行共用"")), ""內部轉帳(忽略)"",
  AND(E3283&lt;&gt;"""", F3283&lt;&gt;"""", N"&amp;"OT(REGEXMATCH(C3283, ""薪資""))), ""內部轉帳(忽略)"",
  REGEXMATCH(C3283, ""薪資""), ""薪資變動(不計入)"",
  REGEXMATCH(C3283, ""押金""), ""押金往來"",
  AND(E3283&lt;&gt;"""", F3283=""""), ""真實支出"",
  AND(E3283="""", F3283&lt;&gt;""""), ""真實收入"",
  TRUE, ""其他""
)"),"分潤支出")</f>
        <v>分潤支出</v>
      </c>
      <c r="K3283">
        <f t="shared" si="2"/>
        <v>0</v>
      </c>
      <c r="L3283">
        <f t="shared" si="3"/>
        <v>200000</v>
      </c>
    </row>
    <row r="3284">
      <c r="A3284" s="107">
        <f>IFERROR(__xludf.DUMMYFUNCTION("""COMPUTED_VALUE"""),46059.0)</f>
        <v>46059</v>
      </c>
      <c r="B3284" t="str">
        <f>IFERROR(__xludf.DUMMYFUNCTION("""COMPUTED_VALUE"""),"[哈拉對面] A 月租金 後五碼:01039 (行號: 101)")</f>
        <v>[哈拉對面] A 月租金 後五碼:01039 (行號: 101)</v>
      </c>
      <c r="C3284" t="str">
        <f>IFERROR(__xludf.DUMMYFUNCTION("""COMPUTED_VALUE"""),"收入 - 租金")</f>
        <v>收入 - 租金</v>
      </c>
      <c r="D3284" s="270">
        <f>IFERROR(__xludf.DUMMYFUNCTION("""COMPUTED_VALUE"""),11000.0)</f>
        <v>11000</v>
      </c>
      <c r="F3284" t="str">
        <f>IFERROR(__xludf.DUMMYFUNCTION("""COMPUTED_VALUE"""),"台銀籌備帳戶")</f>
        <v>台銀籌備帳戶</v>
      </c>
      <c r="G3284" t="str">
        <f>IFERROR(__xludf.DUMMYFUNCTION("""COMPUTED_VALUE"""),"哈拉對面")</f>
        <v>哈拉對面</v>
      </c>
      <c r="H3284" s="106" t="str">
        <f t="shared" si="1"/>
        <v>2026-02</v>
      </c>
      <c r="I3284" s="271" t="str">
        <f>IFERROR(__xludf.DUMMYFUNCTION("""COMPUTED_VALUE"""),"貓狗企鵝")</f>
        <v>貓狗企鵝</v>
      </c>
      <c r="J3284" t="str">
        <f>IFERROR(__xludf.DUMMYFUNCTION("IFS(
  AND(REGEXMATCH(E3284, ""台銀籌備帳戶|玉山帳戶""), REGEXMATCH(C3284, ""薪資"")), ""分潤支出"",
  AND(REGEXMATCH(E3284, ""Ben帳戶|Elsa帳戶|Ben代墊|Ariel代墊|中信銀行共用""), REGEXMATCH(F3284, ""Ben帳戶|Elsa帳戶|Ben代墊|Ariel代墊|中信銀行共用"")), ""內部轉帳(忽略)"",
  AND(E3284&lt;&gt;"""", F3284&lt;&gt;"""", N"&amp;"OT(REGEXMATCH(C3284, ""薪資""))), ""內部轉帳(忽略)"",
  REGEXMATCH(C3284, ""薪資""), ""薪資變動(不計入)"",
  REGEXMATCH(C3284, ""押金""), ""押金往來"",
  AND(E3284&lt;&gt;"""", F3284=""""), ""真實支出"",
  AND(E3284="""", F3284&lt;&gt;""""), ""真實收入"",
  TRUE, ""其他""
)"),"真實收入")</f>
        <v>真實收入</v>
      </c>
      <c r="K3284" s="270">
        <f t="shared" si="2"/>
        <v>11000</v>
      </c>
      <c r="L3284">
        <f t="shared" si="3"/>
        <v>0</v>
      </c>
    </row>
    <row r="3285">
      <c r="A3285" s="107">
        <f>IFERROR(__xludf.DUMMYFUNCTION("""COMPUTED_VALUE"""),46059.0)</f>
        <v>46059</v>
      </c>
      <c r="B3285" t="str">
        <f>IFERROR(__xludf.DUMMYFUNCTION("""COMPUTED_VALUE"""),"[龍江229] D 月租金 後五碼:45221 (行號: 102)")</f>
        <v>[龍江229] D 月租金 後五碼:45221 (行號: 102)</v>
      </c>
      <c r="C3285" t="str">
        <f>IFERROR(__xludf.DUMMYFUNCTION("""COMPUTED_VALUE"""),"收入 - 租金")</f>
        <v>收入 - 租金</v>
      </c>
      <c r="D3285" s="270">
        <f>IFERROR(__xludf.DUMMYFUNCTION("""COMPUTED_VALUE"""),13300.0)</f>
        <v>13300</v>
      </c>
      <c r="F3285" t="str">
        <f>IFERROR(__xludf.DUMMYFUNCTION("""COMPUTED_VALUE"""),"台銀籌備帳戶")</f>
        <v>台銀籌備帳戶</v>
      </c>
      <c r="G3285" t="str">
        <f>IFERROR(__xludf.DUMMYFUNCTION("""COMPUTED_VALUE"""),"龍江229")</f>
        <v>龍江229</v>
      </c>
      <c r="H3285" s="106" t="str">
        <f t="shared" si="1"/>
        <v>2026-02</v>
      </c>
      <c r="I3285" s="271" t="str">
        <f>IFERROR(__xludf.DUMMYFUNCTION("""COMPUTED_VALUE"""),"貓狗企鵝")</f>
        <v>貓狗企鵝</v>
      </c>
      <c r="J3285" t="str">
        <f>IFERROR(__xludf.DUMMYFUNCTION("IFS(
  AND(REGEXMATCH(E3285, ""台銀籌備帳戶|玉山帳戶""), REGEXMATCH(C3285, ""薪資"")), ""分潤支出"",
  AND(REGEXMATCH(E3285, ""Ben帳戶|Elsa帳戶|Ben代墊|Ariel代墊|中信銀行共用""), REGEXMATCH(F3285, ""Ben帳戶|Elsa帳戶|Ben代墊|Ariel代墊|中信銀行共用"")), ""內部轉帳(忽略)"",
  AND(E3285&lt;&gt;"""", F3285&lt;&gt;"""", N"&amp;"OT(REGEXMATCH(C3285, ""薪資""))), ""內部轉帳(忽略)"",
  REGEXMATCH(C3285, ""薪資""), ""薪資變動(不計入)"",
  REGEXMATCH(C3285, ""押金""), ""押金往來"",
  AND(E3285&lt;&gt;"""", F3285=""""), ""真實支出"",
  AND(E3285="""", F3285&lt;&gt;""""), ""真實收入"",
  TRUE, ""其他""
)"),"真實收入")</f>
        <v>真實收入</v>
      </c>
      <c r="K3285" s="270">
        <f t="shared" si="2"/>
        <v>13300</v>
      </c>
      <c r="L3285">
        <f t="shared" si="3"/>
        <v>0</v>
      </c>
    </row>
    <row r="3286">
      <c r="A3286" s="107">
        <f>IFERROR(__xludf.DUMMYFUNCTION("""COMPUTED_VALUE"""),46059.0)</f>
        <v>46059</v>
      </c>
      <c r="B3286" t="str">
        <f>IFERROR(__xludf.DUMMYFUNCTION("""COMPUTED_VALUE"""),"[中山北娘家旁] C 月租金 後五碼:60963 (行號: 103)")</f>
        <v>[中山北娘家旁] C 月租金 後五碼:60963 (行號: 103)</v>
      </c>
      <c r="C3286" t="str">
        <f>IFERROR(__xludf.DUMMYFUNCTION("""COMPUTED_VALUE"""),"收入 - 租金")</f>
        <v>收入 - 租金</v>
      </c>
      <c r="D3286" s="270">
        <f>IFERROR(__xludf.DUMMYFUNCTION("""COMPUTED_VALUE"""),14800.0)</f>
        <v>14800</v>
      </c>
      <c r="F3286" t="str">
        <f>IFERROR(__xludf.DUMMYFUNCTION("""COMPUTED_VALUE"""),"台銀籌備帳戶")</f>
        <v>台銀籌備帳戶</v>
      </c>
      <c r="G3286" t="str">
        <f>IFERROR(__xludf.DUMMYFUNCTION("""COMPUTED_VALUE"""),"中山北娘家旁")</f>
        <v>中山北娘家旁</v>
      </c>
      <c r="H3286" s="106" t="str">
        <f t="shared" si="1"/>
        <v>2026-02</v>
      </c>
      <c r="I3286" s="271" t="str">
        <f>IFERROR(__xludf.DUMMYFUNCTION("""COMPUTED_VALUE"""),"貓狗企鵝")</f>
        <v>貓狗企鵝</v>
      </c>
      <c r="J3286" t="str">
        <f>IFERROR(__xludf.DUMMYFUNCTION("IFS(
  AND(REGEXMATCH(E3286, ""台銀籌備帳戶|玉山帳戶""), REGEXMATCH(C3286, ""薪資"")), ""分潤支出"",
  AND(REGEXMATCH(E3286, ""Ben帳戶|Elsa帳戶|Ben代墊|Ariel代墊|中信銀行共用""), REGEXMATCH(F3286, ""Ben帳戶|Elsa帳戶|Ben代墊|Ariel代墊|中信銀行共用"")), ""內部轉帳(忽略)"",
  AND(E3286&lt;&gt;"""", F3286&lt;&gt;"""", N"&amp;"OT(REGEXMATCH(C3286, ""薪資""))), ""內部轉帳(忽略)"",
  REGEXMATCH(C3286, ""薪資""), ""薪資變動(不計入)"",
  REGEXMATCH(C3286, ""押金""), ""押金往來"",
  AND(E3286&lt;&gt;"""", F3286=""""), ""真實支出"",
  AND(E3286="""", F3286&lt;&gt;""""), ""真實收入"",
  TRUE, ""其他""
)"),"真實收入")</f>
        <v>真實收入</v>
      </c>
      <c r="K3286" s="270">
        <f t="shared" si="2"/>
        <v>14800</v>
      </c>
      <c r="L3286">
        <f t="shared" si="3"/>
        <v>0</v>
      </c>
    </row>
    <row r="3287">
      <c r="A3287" s="107">
        <f>IFERROR(__xludf.DUMMYFUNCTION("""COMPUTED_VALUE"""),46062.0)</f>
        <v>46062</v>
      </c>
      <c r="B3287" t="str">
        <f>IFERROR(__xludf.DUMMYFUNCTION("""COMPUTED_VALUE"""),"費用 - 匯費 700 (14204)")</f>
        <v>費用 - 匯費 700 (14204)</v>
      </c>
      <c r="C3287" t="str">
        <f>IFERROR(__xludf.DUMMYFUNCTION("""COMPUTED_VALUE"""),"費用 - 匯費")</f>
        <v>費用 - 匯費</v>
      </c>
      <c r="D3287" s="270">
        <f>IFERROR(__xludf.DUMMYFUNCTION("""COMPUTED_VALUE"""),-15.0)</f>
        <v>-15</v>
      </c>
      <c r="E3287" t="str">
        <f>IFERROR(__xludf.DUMMYFUNCTION("""COMPUTED_VALUE"""),"台銀籌備帳戶")</f>
        <v>台銀籌備帳戶</v>
      </c>
      <c r="H3287" s="106" t="str">
        <f t="shared" si="1"/>
        <v>2026-02</v>
      </c>
      <c r="I3287" s="271" t="str">
        <f>IFERROR(__xludf.DUMMYFUNCTION("""COMPUTED_VALUE"""),"貓狗企鵝")</f>
        <v>貓狗企鵝</v>
      </c>
      <c r="J3287" t="str">
        <f>IFERROR(__xludf.DUMMYFUNCTION("IFS(
  AND(REGEXMATCH(E3287, ""台銀籌備帳戶|玉山帳戶""), REGEXMATCH(C3287, ""薪資"")), ""分潤支出"",
  AND(REGEXMATCH(E3287, ""Ben帳戶|Elsa帳戶|Ben代墊|Ariel代墊|中信銀行共用""), REGEXMATCH(F3287, ""Ben帳戶|Elsa帳戶|Ben代墊|Ariel代墊|中信銀行共用"")), ""內部轉帳(忽略)"",
  AND(E3287&lt;&gt;"""", F3287&lt;&gt;"""", N"&amp;"OT(REGEXMATCH(C3287, ""薪資""))), ""內部轉帳(忽略)"",
  REGEXMATCH(C3287, ""薪資""), ""薪資變動(不計入)"",
  REGEXMATCH(C3287, ""押金""), ""押金往來"",
  AND(E3287&lt;&gt;"""", F3287=""""), ""真實支出"",
  AND(E3287="""", F3287&lt;&gt;""""), ""真實收入"",
  TRUE, ""其他""
)"),"真實支出")</f>
        <v>真實支出</v>
      </c>
      <c r="K3287" s="270">
        <f t="shared" si="2"/>
        <v>-15</v>
      </c>
      <c r="L3287">
        <f t="shared" si="3"/>
        <v>0</v>
      </c>
    </row>
    <row r="3288">
      <c r="A3288" s="107">
        <f>IFERROR(__xludf.DUMMYFUNCTION("""COMPUTED_VALUE"""),46062.0)</f>
        <v>46062</v>
      </c>
      <c r="B3288" t="str">
        <f>IFERROR(__xludf.DUMMYFUNCTION("""COMPUTED_VALUE"""),"[書香民生] [吳高寶玉] 大租金")</f>
        <v>[書香民生] [吳高寶玉] 大租金</v>
      </c>
      <c r="C3288" t="str">
        <f>IFERROR(__xludf.DUMMYFUNCTION("""COMPUTED_VALUE"""),"成本 - 大租金")</f>
        <v>成本 - 大租金</v>
      </c>
      <c r="D3288" s="270">
        <f>IFERROR(__xludf.DUMMYFUNCTION("""COMPUTED_VALUE"""),-16667.0)</f>
        <v>-16667</v>
      </c>
      <c r="E3288" t="str">
        <f>IFERROR(__xludf.DUMMYFUNCTION("""COMPUTED_VALUE"""),"台銀籌備帳戶")</f>
        <v>台銀籌備帳戶</v>
      </c>
      <c r="G3288" t="str">
        <f>IFERROR(__xludf.DUMMYFUNCTION("""COMPUTED_VALUE"""),"書香民生")</f>
        <v>書香民生</v>
      </c>
      <c r="H3288" s="106" t="str">
        <f t="shared" si="1"/>
        <v>2026-02</v>
      </c>
      <c r="I3288" s="271" t="str">
        <f>IFERROR(__xludf.DUMMYFUNCTION("""COMPUTED_VALUE"""),"貓狗企鵝")</f>
        <v>貓狗企鵝</v>
      </c>
      <c r="J3288" t="str">
        <f>IFERROR(__xludf.DUMMYFUNCTION("IFS(
  AND(REGEXMATCH(E3288, ""台銀籌備帳戶|玉山帳戶""), REGEXMATCH(C3288, ""薪資"")), ""分潤支出"",
  AND(REGEXMATCH(E3288, ""Ben帳戶|Elsa帳戶|Ben代墊|Ariel代墊|中信銀行共用""), REGEXMATCH(F3288, ""Ben帳戶|Elsa帳戶|Ben代墊|Ariel代墊|中信銀行共用"")), ""內部轉帳(忽略)"",
  AND(E3288&lt;&gt;"""", F3288&lt;&gt;"""", N"&amp;"OT(REGEXMATCH(C3288, ""薪資""))), ""內部轉帳(忽略)"",
  REGEXMATCH(C3288, ""薪資""), ""薪資變動(不計入)"",
  REGEXMATCH(C3288, ""押金""), ""押金往來"",
  AND(E3288&lt;&gt;"""", F3288=""""), ""真實支出"",
  AND(E3288="""", F3288&lt;&gt;""""), ""真實收入"",
  TRUE, ""其他""
)"),"真實支出")</f>
        <v>真實支出</v>
      </c>
      <c r="K3288" s="270">
        <f t="shared" si="2"/>
        <v>-16667</v>
      </c>
      <c r="L3288">
        <f t="shared" si="3"/>
        <v>0</v>
      </c>
    </row>
    <row r="3289">
      <c r="A3289" s="107">
        <f>IFERROR(__xludf.DUMMYFUNCTION("""COMPUTED_VALUE"""),46066.0)</f>
        <v>46066</v>
      </c>
      <c r="B3289" t="str">
        <f>IFERROR(__xludf.DUMMYFUNCTION("""COMPUTED_VALUE"""),"[大湖山莊] 【G】 後五碼:47500 (行號: 27)")</f>
        <v>[大湖山莊] 【G】 後五碼:47500 (行號: 27)</v>
      </c>
      <c r="C3289" t="str">
        <f>IFERROR(__xludf.DUMMYFUNCTION("""COMPUTED_VALUE"""),"收入 - 租金")</f>
        <v>收入 - 租金</v>
      </c>
      <c r="D3289" s="270">
        <f>IFERROR(__xludf.DUMMYFUNCTION("""COMPUTED_VALUE"""),15800.0)</f>
        <v>15800</v>
      </c>
      <c r="F3289" t="str">
        <f>IFERROR(__xludf.DUMMYFUNCTION("""COMPUTED_VALUE"""),"台銀籌備帳戶")</f>
        <v>台銀籌備帳戶</v>
      </c>
      <c r="G3289" t="str">
        <f>IFERROR(__xludf.DUMMYFUNCTION("""COMPUTED_VALUE"""),"大湖山莊")</f>
        <v>大湖山莊</v>
      </c>
      <c r="H3289" s="106" t="str">
        <f t="shared" si="1"/>
        <v>2026-02</v>
      </c>
      <c r="I3289" s="271" t="str">
        <f>IFERROR(__xludf.DUMMYFUNCTION("""COMPUTED_VALUE"""),"貓狗企鵝")</f>
        <v>貓狗企鵝</v>
      </c>
      <c r="J3289" t="str">
        <f>IFERROR(__xludf.DUMMYFUNCTION("IFS(
  AND(REGEXMATCH(E3289, ""台銀籌備帳戶|玉山帳戶""), REGEXMATCH(C3289, ""薪資"")), ""分潤支出"",
  AND(REGEXMATCH(E3289, ""Ben帳戶|Elsa帳戶|Ben代墊|Ariel代墊|中信銀行共用""), REGEXMATCH(F3289, ""Ben帳戶|Elsa帳戶|Ben代墊|Ariel代墊|中信銀行共用"")), ""內部轉帳(忽略)"",
  AND(E3289&lt;&gt;"""", F3289&lt;&gt;"""", N"&amp;"OT(REGEXMATCH(C3289, ""薪資""))), ""內部轉帳(忽略)"",
  REGEXMATCH(C3289, ""薪資""), ""薪資變動(不計入)"",
  REGEXMATCH(C3289, ""押金""), ""押金往來"",
  AND(E3289&lt;&gt;"""", F3289=""""), ""真實支出"",
  AND(E3289="""", F3289&lt;&gt;""""), ""真實收入"",
  TRUE, ""其他""
)"),"真實收入")</f>
        <v>真實收入</v>
      </c>
      <c r="K3289" s="270">
        <f t="shared" si="2"/>
        <v>15800</v>
      </c>
      <c r="L3289">
        <f t="shared" si="3"/>
        <v>0</v>
      </c>
    </row>
    <row r="3290">
      <c r="A3290" s="107">
        <f>IFERROR(__xludf.DUMMYFUNCTION("""COMPUTED_VALUE"""),46058.0)</f>
        <v>46058</v>
      </c>
      <c r="B3290" t="str">
        <f>IFERROR(__xludf.DUMMYFUNCTION("""COMPUTED_VALUE"""),"IKEA南港運費")</f>
        <v>IKEA南港運費</v>
      </c>
      <c r="C3290" t="str">
        <f>IFERROR(__xludf.DUMMYFUNCTION("""COMPUTED_VALUE"""),"成本 - 租後修繕")</f>
        <v>成本 - 租後修繕</v>
      </c>
      <c r="D3290" s="270">
        <f>IFERROR(__xludf.DUMMYFUNCTION("""COMPUTED_VALUE"""),-933.0)</f>
        <v>-933</v>
      </c>
      <c r="E3290" t="str">
        <f>IFERROR(__xludf.DUMMYFUNCTION("""COMPUTED_VALUE"""),"Ben帳戶")</f>
        <v>Ben帳戶</v>
      </c>
      <c r="G3290" t="str">
        <f>IFERROR(__xludf.DUMMYFUNCTION("""COMPUTED_VALUE"""),"南港站挑高宅")</f>
        <v>南港站挑高宅</v>
      </c>
      <c r="H3290" s="106" t="str">
        <f t="shared" si="1"/>
        <v>2026-02</v>
      </c>
      <c r="I3290" s="271" t="str">
        <f>IFERROR(__xludf.DUMMYFUNCTION("""COMPUTED_VALUE"""),"貓狗企鵝")</f>
        <v>貓狗企鵝</v>
      </c>
      <c r="J3290" t="str">
        <f>IFERROR(__xludf.DUMMYFUNCTION("IFS(
  AND(REGEXMATCH(E3290, ""台銀籌備帳戶|玉山帳戶""), REGEXMATCH(C3290, ""薪資"")), ""分潤支出"",
  AND(REGEXMATCH(E3290, ""Ben帳戶|Elsa帳戶|Ben代墊|Ariel代墊|中信銀行共用""), REGEXMATCH(F3290, ""Ben帳戶|Elsa帳戶|Ben代墊|Ariel代墊|中信銀行共用"")), ""內部轉帳(忽略)"",
  AND(E3290&lt;&gt;"""", F3290&lt;&gt;"""", N"&amp;"OT(REGEXMATCH(C3290, ""薪資""))), ""內部轉帳(忽略)"",
  REGEXMATCH(C3290, ""薪資""), ""薪資變動(不計入)"",
  REGEXMATCH(C3290, ""押金""), ""押金往來"",
  AND(E3290&lt;&gt;"""", F3290=""""), ""真實支出"",
  AND(E3290="""", F3290&lt;&gt;""""), ""真實收入"",
  TRUE, ""其他""
)"),"真實支出")</f>
        <v>真實支出</v>
      </c>
      <c r="K3290" s="270">
        <f t="shared" si="2"/>
        <v>-933</v>
      </c>
      <c r="L3290">
        <f t="shared" si="3"/>
        <v>0</v>
      </c>
    </row>
    <row r="3291">
      <c r="A3291" s="107"/>
      <c r="D3291" s="270"/>
      <c r="H3291" s="106" t="str">
        <f t="shared" si="1"/>
        <v/>
      </c>
      <c r="I3291" s="271" t="str">
        <f>IFERROR(__xludf.DUMMYFUNCTION("""COMPUTED_VALUE"""),"")</f>
        <v/>
      </c>
      <c r="J3291" t="str">
        <f>IFERROR(__xludf.DUMMYFUNCTION("IFS(
  AND(REGEXMATCH(E3291, ""台銀籌備帳戶|玉山帳戶""), REGEXMATCH(C3291, ""薪資"")), ""分潤支出"",
  AND(REGEXMATCH(E3291, ""Ben帳戶|Elsa帳戶|Ben代墊|Ariel代墊|中信銀行共用""), REGEXMATCH(F3291, ""Ben帳戶|Elsa帳戶|Ben代墊|Ariel代墊|中信銀行共用"")), ""內部轉帳(忽略)"",
  AND(E3291&lt;&gt;"""", F3291&lt;&gt;"""", N"&amp;"OT(REGEXMATCH(C3291, ""薪資""))), ""內部轉帳(忽略)"",
  REGEXMATCH(C3291, ""薪資""), ""薪資變動(不計入)"",
  REGEXMATCH(C3291, ""押金""), ""押金往來"",
  AND(E3291&lt;&gt;"""", F3291=""""), ""真實支出"",
  AND(E3291="""", F3291&lt;&gt;""""), ""真實收入"",
  TRUE, ""其他""
)"),"其他")</f>
        <v>其他</v>
      </c>
      <c r="K3291" s="270" t="str">
        <f t="shared" si="2"/>
        <v/>
      </c>
      <c r="L3291">
        <f t="shared" si="3"/>
        <v>0</v>
      </c>
    </row>
    <row r="3292">
      <c r="A3292" s="107"/>
      <c r="D3292" s="270"/>
      <c r="H3292" s="106" t="str">
        <f t="shared" si="1"/>
        <v/>
      </c>
      <c r="I3292" s="271" t="str">
        <f>IFERROR(__xludf.DUMMYFUNCTION("""COMPUTED_VALUE"""),"")</f>
        <v/>
      </c>
      <c r="J3292" t="str">
        <f>IFERROR(__xludf.DUMMYFUNCTION("IFS(
  AND(REGEXMATCH(E3292, ""台銀籌備帳戶|玉山帳戶""), REGEXMATCH(C3292, ""薪資"")), ""分潤支出"",
  AND(REGEXMATCH(E3292, ""Ben帳戶|Elsa帳戶|Ben代墊|Ariel代墊|中信銀行共用""), REGEXMATCH(F3292, ""Ben帳戶|Elsa帳戶|Ben代墊|Ariel代墊|中信銀行共用"")), ""內部轉帳(忽略)"",
  AND(E3292&lt;&gt;"""", F3292&lt;&gt;"""", N"&amp;"OT(REGEXMATCH(C3292, ""薪資""))), ""內部轉帳(忽略)"",
  REGEXMATCH(C3292, ""薪資""), ""薪資變動(不計入)"",
  REGEXMATCH(C3292, ""押金""), ""押金往來"",
  AND(E3292&lt;&gt;"""", F3292=""""), ""真實支出"",
  AND(E3292="""", F3292&lt;&gt;""""), ""真實收入"",
  TRUE, ""其他""
)"),"其他")</f>
        <v>其他</v>
      </c>
      <c r="K3292" s="270" t="str">
        <f t="shared" si="2"/>
        <v/>
      </c>
      <c r="L3292">
        <f t="shared" si="3"/>
        <v>0</v>
      </c>
    </row>
    <row r="3293">
      <c r="A3293" s="107"/>
      <c r="D3293" s="270"/>
      <c r="H3293" s="106" t="str">
        <f t="shared" si="1"/>
        <v/>
      </c>
      <c r="I3293" s="271" t="str">
        <f>IFERROR(__xludf.DUMMYFUNCTION("""COMPUTED_VALUE"""),"")</f>
        <v/>
      </c>
      <c r="J3293" t="str">
        <f>IFERROR(__xludf.DUMMYFUNCTION("IFS(
  AND(REGEXMATCH(E3293, ""台銀籌備帳戶|玉山帳戶""), REGEXMATCH(C3293, ""薪資"")), ""分潤支出"",
  AND(REGEXMATCH(E3293, ""Ben帳戶|Elsa帳戶|Ben代墊|Ariel代墊|中信銀行共用""), REGEXMATCH(F3293, ""Ben帳戶|Elsa帳戶|Ben代墊|Ariel代墊|中信銀行共用"")), ""內部轉帳(忽略)"",
  AND(E3293&lt;&gt;"""", F3293&lt;&gt;"""", N"&amp;"OT(REGEXMATCH(C3293, ""薪資""))), ""內部轉帳(忽略)"",
  REGEXMATCH(C3293, ""薪資""), ""薪資變動(不計入)"",
  REGEXMATCH(C3293, ""押金""), ""押金往來"",
  AND(E3293&lt;&gt;"""", F3293=""""), ""真實支出"",
  AND(E3293="""", F3293&lt;&gt;""""), ""真實收入"",
  TRUE, ""其他""
)"),"其他")</f>
        <v>其他</v>
      </c>
      <c r="K3293" s="270" t="str">
        <f t="shared" si="2"/>
        <v/>
      </c>
      <c r="L3293">
        <f t="shared" si="3"/>
        <v>0</v>
      </c>
    </row>
    <row r="3294">
      <c r="A3294" s="107"/>
      <c r="D3294" s="270"/>
      <c r="H3294" s="106" t="str">
        <f t="shared" si="1"/>
        <v/>
      </c>
      <c r="I3294" s="271" t="str">
        <f>IFERROR(__xludf.DUMMYFUNCTION("""COMPUTED_VALUE"""),"")</f>
        <v/>
      </c>
      <c r="J3294" t="str">
        <f>IFERROR(__xludf.DUMMYFUNCTION("IFS(
  AND(REGEXMATCH(E3294, ""台銀籌備帳戶|玉山帳戶""), REGEXMATCH(C3294, ""薪資"")), ""分潤支出"",
  AND(REGEXMATCH(E3294, ""Ben帳戶|Elsa帳戶|Ben代墊|Ariel代墊|中信銀行共用""), REGEXMATCH(F3294, ""Ben帳戶|Elsa帳戶|Ben代墊|Ariel代墊|中信銀行共用"")), ""內部轉帳(忽略)"",
  AND(E3294&lt;&gt;"""", F3294&lt;&gt;"""", N"&amp;"OT(REGEXMATCH(C3294, ""薪資""))), ""內部轉帳(忽略)"",
  REGEXMATCH(C3294, ""薪資""), ""薪資變動(不計入)"",
  REGEXMATCH(C3294, ""押金""), ""押金往來"",
  AND(E3294&lt;&gt;"""", F3294=""""), ""真實支出"",
  AND(E3294="""", F3294&lt;&gt;""""), ""真實收入"",
  TRUE, ""其他""
)"),"其他")</f>
        <v>其他</v>
      </c>
      <c r="K3294" s="270" t="str">
        <f t="shared" si="2"/>
        <v/>
      </c>
      <c r="L3294">
        <f t="shared" si="3"/>
        <v>0</v>
      </c>
    </row>
    <row r="3295">
      <c r="A3295" s="107"/>
      <c r="D3295" s="270"/>
      <c r="H3295" s="106" t="str">
        <f t="shared" si="1"/>
        <v/>
      </c>
      <c r="I3295" s="271" t="str">
        <f>IFERROR(__xludf.DUMMYFUNCTION("""COMPUTED_VALUE"""),"")</f>
        <v/>
      </c>
      <c r="J3295" t="str">
        <f>IFERROR(__xludf.DUMMYFUNCTION("IFS(
  AND(REGEXMATCH(E3295, ""台銀籌備帳戶|玉山帳戶""), REGEXMATCH(C3295, ""薪資"")), ""分潤支出"",
  AND(REGEXMATCH(E3295, ""Ben帳戶|Elsa帳戶|Ben代墊|Ariel代墊|中信銀行共用""), REGEXMATCH(F3295, ""Ben帳戶|Elsa帳戶|Ben代墊|Ariel代墊|中信銀行共用"")), ""內部轉帳(忽略)"",
  AND(E3295&lt;&gt;"""", F3295&lt;&gt;"""", N"&amp;"OT(REGEXMATCH(C3295, ""薪資""))), ""內部轉帳(忽略)"",
  REGEXMATCH(C3295, ""薪資""), ""薪資變動(不計入)"",
  REGEXMATCH(C3295, ""押金""), ""押金往來"",
  AND(E3295&lt;&gt;"""", F3295=""""), ""真實支出"",
  AND(E3295="""", F3295&lt;&gt;""""), ""真實收入"",
  TRUE, ""其他""
)"),"其他")</f>
        <v>其他</v>
      </c>
      <c r="K3295" s="270" t="str">
        <f t="shared" si="2"/>
        <v/>
      </c>
      <c r="L3295">
        <f t="shared" si="3"/>
        <v>0</v>
      </c>
    </row>
    <row r="3296">
      <c r="A3296" s="107"/>
      <c r="D3296" s="270"/>
      <c r="H3296" s="106" t="str">
        <f t="shared" si="1"/>
        <v/>
      </c>
      <c r="I3296" s="271" t="str">
        <f>IFERROR(__xludf.DUMMYFUNCTION("""COMPUTED_VALUE"""),"")</f>
        <v/>
      </c>
      <c r="J3296" t="str">
        <f>IFERROR(__xludf.DUMMYFUNCTION("IFS(
  AND(REGEXMATCH(E3296, ""台銀籌備帳戶|玉山帳戶""), REGEXMATCH(C3296, ""薪資"")), ""分潤支出"",
  AND(REGEXMATCH(E3296, ""Ben帳戶|Elsa帳戶|Ben代墊|Ariel代墊|中信銀行共用""), REGEXMATCH(F3296, ""Ben帳戶|Elsa帳戶|Ben代墊|Ariel代墊|中信銀行共用"")), ""內部轉帳(忽略)"",
  AND(E3296&lt;&gt;"""", F3296&lt;&gt;"""", N"&amp;"OT(REGEXMATCH(C3296, ""薪資""))), ""內部轉帳(忽略)"",
  REGEXMATCH(C3296, ""薪資""), ""薪資變動(不計入)"",
  REGEXMATCH(C3296, ""押金""), ""押金往來"",
  AND(E3296&lt;&gt;"""", F3296=""""), ""真實支出"",
  AND(E3296="""", F3296&lt;&gt;""""), ""真實收入"",
  TRUE, ""其他""
)"),"其他")</f>
        <v>其他</v>
      </c>
      <c r="K3296" s="270" t="str">
        <f t="shared" si="2"/>
        <v/>
      </c>
      <c r="L3296">
        <f t="shared" si="3"/>
        <v>0</v>
      </c>
    </row>
    <row r="3297">
      <c r="A3297" s="107"/>
      <c r="D3297" s="270"/>
      <c r="H3297" s="106" t="str">
        <f t="shared" si="1"/>
        <v/>
      </c>
      <c r="I3297" s="271" t="str">
        <f>IFERROR(__xludf.DUMMYFUNCTION("""COMPUTED_VALUE"""),"")</f>
        <v/>
      </c>
      <c r="J3297" t="str">
        <f>IFERROR(__xludf.DUMMYFUNCTION("IFS(
  AND(REGEXMATCH(E3297, ""台銀籌備帳戶|玉山帳戶""), REGEXMATCH(C3297, ""薪資"")), ""分潤支出"",
  AND(REGEXMATCH(E3297, ""Ben帳戶|Elsa帳戶|Ben代墊|Ariel代墊|中信銀行共用""), REGEXMATCH(F3297, ""Ben帳戶|Elsa帳戶|Ben代墊|Ariel代墊|中信銀行共用"")), ""內部轉帳(忽略)"",
  AND(E3297&lt;&gt;"""", F3297&lt;&gt;"""", N"&amp;"OT(REGEXMATCH(C3297, ""薪資""))), ""內部轉帳(忽略)"",
  REGEXMATCH(C3297, ""薪資""), ""薪資變動(不計入)"",
  REGEXMATCH(C3297, ""押金""), ""押金往來"",
  AND(E3297&lt;&gt;"""", F3297=""""), ""真實支出"",
  AND(E3297="""", F3297&lt;&gt;""""), ""真實收入"",
  TRUE, ""其他""
)"),"其他")</f>
        <v>其他</v>
      </c>
      <c r="K3297" s="270" t="str">
        <f t="shared" si="2"/>
        <v/>
      </c>
      <c r="L3297">
        <f t="shared" si="3"/>
        <v>0</v>
      </c>
    </row>
    <row r="3298">
      <c r="A3298" s="107"/>
      <c r="D3298" s="270"/>
      <c r="H3298" s="106" t="str">
        <f t="shared" si="1"/>
        <v/>
      </c>
      <c r="I3298" s="271" t="str">
        <f>IFERROR(__xludf.DUMMYFUNCTION("""COMPUTED_VALUE"""),"")</f>
        <v/>
      </c>
      <c r="J3298" t="str">
        <f>IFERROR(__xludf.DUMMYFUNCTION("IFS(
  AND(REGEXMATCH(E3298, ""台銀籌備帳戶|玉山帳戶""), REGEXMATCH(C3298, ""薪資"")), ""分潤支出"",
  AND(REGEXMATCH(E3298, ""Ben帳戶|Elsa帳戶|Ben代墊|Ariel代墊|中信銀行共用""), REGEXMATCH(F3298, ""Ben帳戶|Elsa帳戶|Ben代墊|Ariel代墊|中信銀行共用"")), ""內部轉帳(忽略)"",
  AND(E3298&lt;&gt;"""", F3298&lt;&gt;"""", N"&amp;"OT(REGEXMATCH(C3298, ""薪資""))), ""內部轉帳(忽略)"",
  REGEXMATCH(C3298, ""薪資""), ""薪資變動(不計入)"",
  REGEXMATCH(C3298, ""押金""), ""押金往來"",
  AND(E3298&lt;&gt;"""", F3298=""""), ""真實支出"",
  AND(E3298="""", F3298&lt;&gt;""""), ""真實收入"",
  TRUE, ""其他""
)"),"其他")</f>
        <v>其他</v>
      </c>
      <c r="K3298" s="270" t="str">
        <f t="shared" si="2"/>
        <v/>
      </c>
      <c r="L3298">
        <f t="shared" si="3"/>
        <v>0</v>
      </c>
    </row>
    <row r="3299">
      <c r="A3299" s="107"/>
      <c r="D3299" s="270"/>
      <c r="H3299" s="106" t="str">
        <f t="shared" si="1"/>
        <v/>
      </c>
      <c r="I3299" s="271" t="str">
        <f>IFERROR(__xludf.DUMMYFUNCTION("""COMPUTED_VALUE"""),"")</f>
        <v/>
      </c>
      <c r="J3299" t="str">
        <f>IFERROR(__xludf.DUMMYFUNCTION("IFS(
  AND(REGEXMATCH(E3299, ""台銀籌備帳戶|玉山帳戶""), REGEXMATCH(C3299, ""薪資"")), ""分潤支出"",
  AND(REGEXMATCH(E3299, ""Ben帳戶|Elsa帳戶|Ben代墊|Ariel代墊|中信銀行共用""), REGEXMATCH(F3299, ""Ben帳戶|Elsa帳戶|Ben代墊|Ariel代墊|中信銀行共用"")), ""內部轉帳(忽略)"",
  AND(E3299&lt;&gt;"""", F3299&lt;&gt;"""", N"&amp;"OT(REGEXMATCH(C3299, ""薪資""))), ""內部轉帳(忽略)"",
  REGEXMATCH(C3299, ""薪資""), ""薪資變動(不計入)"",
  REGEXMATCH(C3299, ""押金""), ""押金往來"",
  AND(E3299&lt;&gt;"""", F3299=""""), ""真實支出"",
  AND(E3299="""", F3299&lt;&gt;""""), ""真實收入"",
  TRUE, ""其他""
)"),"其他")</f>
        <v>其他</v>
      </c>
      <c r="K3299" s="270" t="str">
        <f t="shared" si="2"/>
        <v/>
      </c>
      <c r="L3299">
        <f t="shared" si="3"/>
        <v>0</v>
      </c>
    </row>
    <row r="3300">
      <c r="A3300" s="107"/>
      <c r="D3300" s="270"/>
      <c r="H3300" s="106" t="str">
        <f t="shared" si="1"/>
        <v/>
      </c>
      <c r="I3300" s="271" t="str">
        <f>IFERROR(__xludf.DUMMYFUNCTION("""COMPUTED_VALUE"""),"")</f>
        <v/>
      </c>
      <c r="J3300" t="str">
        <f>IFERROR(__xludf.DUMMYFUNCTION("IFS(
  AND(REGEXMATCH(E3300, ""台銀籌備帳戶|玉山帳戶""), REGEXMATCH(C3300, ""薪資"")), ""分潤支出"",
  AND(REGEXMATCH(E3300, ""Ben帳戶|Elsa帳戶|Ben代墊|Ariel代墊|中信銀行共用""), REGEXMATCH(F3300, ""Ben帳戶|Elsa帳戶|Ben代墊|Ariel代墊|中信銀行共用"")), ""內部轉帳(忽略)"",
  AND(E3300&lt;&gt;"""", F3300&lt;&gt;"""", N"&amp;"OT(REGEXMATCH(C3300, ""薪資""))), ""內部轉帳(忽略)"",
  REGEXMATCH(C3300, ""薪資""), ""薪資變動(不計入)"",
  REGEXMATCH(C3300, ""押金""), ""押金往來"",
  AND(E3300&lt;&gt;"""", F3300=""""), ""真實支出"",
  AND(E3300="""", F3300&lt;&gt;""""), ""真實收入"",
  TRUE, ""其他""
)"),"其他")</f>
        <v>其他</v>
      </c>
      <c r="K3300" s="270" t="str">
        <f t="shared" si="2"/>
        <v/>
      </c>
      <c r="L3300">
        <f t="shared" si="3"/>
        <v>0</v>
      </c>
    </row>
    <row r="3301">
      <c r="A3301" s="107"/>
      <c r="D3301" s="270"/>
      <c r="H3301" s="106" t="str">
        <f t="shared" si="1"/>
        <v/>
      </c>
      <c r="I3301" s="271" t="str">
        <f>IFERROR(__xludf.DUMMYFUNCTION("""COMPUTED_VALUE"""),"")</f>
        <v/>
      </c>
      <c r="J3301" t="str">
        <f>IFERROR(__xludf.DUMMYFUNCTION("IFS(
  AND(REGEXMATCH(E3301, ""台銀籌備帳戶|玉山帳戶""), REGEXMATCH(C3301, ""薪資"")), ""分潤支出"",
  AND(REGEXMATCH(E3301, ""Ben帳戶|Elsa帳戶|Ben代墊|Ariel代墊|中信銀行共用""), REGEXMATCH(F3301, ""Ben帳戶|Elsa帳戶|Ben代墊|Ariel代墊|中信銀行共用"")), ""內部轉帳(忽略)"",
  AND(E3301&lt;&gt;"""", F3301&lt;&gt;"""", N"&amp;"OT(REGEXMATCH(C3301, ""薪資""))), ""內部轉帳(忽略)"",
  REGEXMATCH(C3301, ""薪資""), ""薪資變動(不計入)"",
  REGEXMATCH(C3301, ""押金""), ""押金往來"",
  AND(E3301&lt;&gt;"""", F3301=""""), ""真實支出"",
  AND(E3301="""", F3301&lt;&gt;""""), ""真實收入"",
  TRUE, ""其他""
)"),"其他")</f>
        <v>其他</v>
      </c>
      <c r="K3301" s="270" t="str">
        <f t="shared" si="2"/>
        <v/>
      </c>
      <c r="L3301">
        <f t="shared" si="3"/>
        <v>0</v>
      </c>
    </row>
    <row r="3302">
      <c r="A3302" s="107"/>
      <c r="D3302" s="270"/>
      <c r="H3302" s="106" t="str">
        <f t="shared" si="1"/>
        <v/>
      </c>
      <c r="I3302" s="271" t="str">
        <f>IFERROR(__xludf.DUMMYFUNCTION("""COMPUTED_VALUE"""),"")</f>
        <v/>
      </c>
      <c r="J3302" t="str">
        <f>IFERROR(__xludf.DUMMYFUNCTION("IFS(
  AND(REGEXMATCH(E3302, ""台銀籌備帳戶|玉山帳戶""), REGEXMATCH(C3302, ""薪資"")), ""分潤支出"",
  AND(REGEXMATCH(E3302, ""Ben帳戶|Elsa帳戶|Ben代墊|Ariel代墊|中信銀行共用""), REGEXMATCH(F3302, ""Ben帳戶|Elsa帳戶|Ben代墊|Ariel代墊|中信銀行共用"")), ""內部轉帳(忽略)"",
  AND(E3302&lt;&gt;"""", F3302&lt;&gt;"""", N"&amp;"OT(REGEXMATCH(C3302, ""薪資""))), ""內部轉帳(忽略)"",
  REGEXMATCH(C3302, ""薪資""), ""薪資變動(不計入)"",
  REGEXMATCH(C3302, ""押金""), ""押金往來"",
  AND(E3302&lt;&gt;"""", F3302=""""), ""真實支出"",
  AND(E3302="""", F3302&lt;&gt;""""), ""真實收入"",
  TRUE, ""其他""
)"),"其他")</f>
        <v>其他</v>
      </c>
      <c r="K3302" s="270" t="str">
        <f t="shared" si="2"/>
        <v/>
      </c>
      <c r="L3302">
        <f t="shared" si="3"/>
        <v>0</v>
      </c>
    </row>
    <row r="3303">
      <c r="A3303" s="107"/>
      <c r="D3303" s="270"/>
      <c r="H3303" s="106" t="str">
        <f t="shared" si="1"/>
        <v/>
      </c>
      <c r="I3303" s="271" t="str">
        <f>IFERROR(__xludf.DUMMYFUNCTION("""COMPUTED_VALUE"""),"")</f>
        <v/>
      </c>
      <c r="J3303" t="str">
        <f>IFERROR(__xludf.DUMMYFUNCTION("IFS(
  AND(REGEXMATCH(E3303, ""台銀籌備帳戶|玉山帳戶""), REGEXMATCH(C3303, ""薪資"")), ""分潤支出"",
  AND(REGEXMATCH(E3303, ""Ben帳戶|Elsa帳戶|Ben代墊|Ariel代墊|中信銀行共用""), REGEXMATCH(F3303, ""Ben帳戶|Elsa帳戶|Ben代墊|Ariel代墊|中信銀行共用"")), ""內部轉帳(忽略)"",
  AND(E3303&lt;&gt;"""", F3303&lt;&gt;"""", N"&amp;"OT(REGEXMATCH(C3303, ""薪資""))), ""內部轉帳(忽略)"",
  REGEXMATCH(C3303, ""薪資""), ""薪資變動(不計入)"",
  REGEXMATCH(C3303, ""押金""), ""押金往來"",
  AND(E3303&lt;&gt;"""", F3303=""""), ""真實支出"",
  AND(E3303="""", F3303&lt;&gt;""""), ""真實收入"",
  TRUE, ""其他""
)"),"其他")</f>
        <v>其他</v>
      </c>
      <c r="K3303" s="270" t="str">
        <f t="shared" si="2"/>
        <v/>
      </c>
      <c r="L3303">
        <f t="shared" si="3"/>
        <v>0</v>
      </c>
    </row>
    <row r="3304">
      <c r="A3304" s="107"/>
      <c r="D3304" s="270"/>
      <c r="H3304" s="106" t="str">
        <f t="shared" si="1"/>
        <v/>
      </c>
      <c r="I3304" s="271" t="str">
        <f>IFERROR(__xludf.DUMMYFUNCTION("""COMPUTED_VALUE"""),"")</f>
        <v/>
      </c>
      <c r="J3304" t="str">
        <f>IFERROR(__xludf.DUMMYFUNCTION("IFS(
  AND(REGEXMATCH(E3304, ""台銀籌備帳戶|玉山帳戶""), REGEXMATCH(C3304, ""薪資"")), ""分潤支出"",
  AND(REGEXMATCH(E3304, ""Ben帳戶|Elsa帳戶|Ben代墊|Ariel代墊|中信銀行共用""), REGEXMATCH(F3304, ""Ben帳戶|Elsa帳戶|Ben代墊|Ariel代墊|中信銀行共用"")), ""內部轉帳(忽略)"",
  AND(E3304&lt;&gt;"""", F3304&lt;&gt;"""", N"&amp;"OT(REGEXMATCH(C3304, ""薪資""))), ""內部轉帳(忽略)"",
  REGEXMATCH(C3304, ""薪資""), ""薪資變動(不計入)"",
  REGEXMATCH(C3304, ""押金""), ""押金往來"",
  AND(E3304&lt;&gt;"""", F3304=""""), ""真實支出"",
  AND(E3304="""", F3304&lt;&gt;""""), ""真實收入"",
  TRUE, ""其他""
)"),"其他")</f>
        <v>其他</v>
      </c>
      <c r="K3304" s="270" t="str">
        <f t="shared" si="2"/>
        <v/>
      </c>
      <c r="L3304">
        <f t="shared" si="3"/>
        <v>0</v>
      </c>
    </row>
    <row r="3305">
      <c r="A3305" s="107"/>
      <c r="D3305" s="270"/>
      <c r="H3305" s="106" t="str">
        <f t="shared" si="1"/>
        <v/>
      </c>
      <c r="I3305" s="271" t="str">
        <f>IFERROR(__xludf.DUMMYFUNCTION("""COMPUTED_VALUE"""),"")</f>
        <v/>
      </c>
      <c r="J3305" t="str">
        <f>IFERROR(__xludf.DUMMYFUNCTION("IFS(
  AND(REGEXMATCH(E3305, ""台銀籌備帳戶|玉山帳戶""), REGEXMATCH(C3305, ""薪資"")), ""分潤支出"",
  AND(REGEXMATCH(E3305, ""Ben帳戶|Elsa帳戶|Ben代墊|Ariel代墊|中信銀行共用""), REGEXMATCH(F3305, ""Ben帳戶|Elsa帳戶|Ben代墊|Ariel代墊|中信銀行共用"")), ""內部轉帳(忽略)"",
  AND(E3305&lt;&gt;"""", F3305&lt;&gt;"""", N"&amp;"OT(REGEXMATCH(C3305, ""薪資""))), ""內部轉帳(忽略)"",
  REGEXMATCH(C3305, ""薪資""), ""薪資變動(不計入)"",
  REGEXMATCH(C3305, ""押金""), ""押金往來"",
  AND(E3305&lt;&gt;"""", F3305=""""), ""真實支出"",
  AND(E3305="""", F3305&lt;&gt;""""), ""真實收入"",
  TRUE, ""其他""
)"),"其他")</f>
        <v>其他</v>
      </c>
      <c r="K3305" s="270" t="str">
        <f t="shared" si="2"/>
        <v/>
      </c>
      <c r="L3305">
        <f t="shared" si="3"/>
        <v>0</v>
      </c>
    </row>
    <row r="3306">
      <c r="A3306" s="107"/>
      <c r="D3306" s="270"/>
      <c r="H3306" s="106" t="str">
        <f t="shared" si="1"/>
        <v/>
      </c>
      <c r="I3306" s="271" t="str">
        <f>IFERROR(__xludf.DUMMYFUNCTION("""COMPUTED_VALUE"""),"")</f>
        <v/>
      </c>
      <c r="J3306" t="str">
        <f>IFERROR(__xludf.DUMMYFUNCTION("IFS(
  AND(REGEXMATCH(E3306, ""台銀籌備帳戶|玉山帳戶""), REGEXMATCH(C3306, ""薪資"")), ""分潤支出"",
  AND(REGEXMATCH(E3306, ""Ben帳戶|Elsa帳戶|Ben代墊|Ariel代墊|中信銀行共用""), REGEXMATCH(F3306, ""Ben帳戶|Elsa帳戶|Ben代墊|Ariel代墊|中信銀行共用"")), ""內部轉帳(忽略)"",
  AND(E3306&lt;&gt;"""", F3306&lt;&gt;"""", N"&amp;"OT(REGEXMATCH(C3306, ""薪資""))), ""內部轉帳(忽略)"",
  REGEXMATCH(C3306, ""薪資""), ""薪資變動(不計入)"",
  REGEXMATCH(C3306, ""押金""), ""押金往來"",
  AND(E3306&lt;&gt;"""", F3306=""""), ""真實支出"",
  AND(E3306="""", F3306&lt;&gt;""""), ""真實收入"",
  TRUE, ""其他""
)"),"其他")</f>
        <v>其他</v>
      </c>
      <c r="K3306" s="270" t="str">
        <f t="shared" si="2"/>
        <v/>
      </c>
      <c r="L3306">
        <f t="shared" si="3"/>
        <v>0</v>
      </c>
    </row>
    <row r="3307">
      <c r="A3307" s="107"/>
      <c r="D3307" s="270"/>
      <c r="H3307" s="106" t="str">
        <f t="shared" si="1"/>
        <v/>
      </c>
      <c r="I3307" s="271" t="str">
        <f>IFERROR(__xludf.DUMMYFUNCTION("""COMPUTED_VALUE"""),"")</f>
        <v/>
      </c>
      <c r="J3307" t="str">
        <f>IFERROR(__xludf.DUMMYFUNCTION("IFS(
  AND(REGEXMATCH(E3307, ""台銀籌備帳戶|玉山帳戶""), REGEXMATCH(C3307, ""薪資"")), ""分潤支出"",
  AND(REGEXMATCH(E3307, ""Ben帳戶|Elsa帳戶|Ben代墊|Ariel代墊|中信銀行共用""), REGEXMATCH(F3307, ""Ben帳戶|Elsa帳戶|Ben代墊|Ariel代墊|中信銀行共用"")), ""內部轉帳(忽略)"",
  AND(E3307&lt;&gt;"""", F3307&lt;&gt;"""", N"&amp;"OT(REGEXMATCH(C3307, ""薪資""))), ""內部轉帳(忽略)"",
  REGEXMATCH(C3307, ""薪資""), ""薪資變動(不計入)"",
  REGEXMATCH(C3307, ""押金""), ""押金往來"",
  AND(E3307&lt;&gt;"""", F3307=""""), ""真實支出"",
  AND(E3307="""", F3307&lt;&gt;""""), ""真實收入"",
  TRUE, ""其他""
)"),"其他")</f>
        <v>其他</v>
      </c>
      <c r="K3307" s="270" t="str">
        <f t="shared" si="2"/>
        <v/>
      </c>
      <c r="L3307">
        <f t="shared" si="3"/>
        <v>0</v>
      </c>
    </row>
    <row r="3308">
      <c r="A3308" s="107"/>
      <c r="D3308" s="270"/>
      <c r="H3308" s="106" t="str">
        <f t="shared" si="1"/>
        <v/>
      </c>
      <c r="I3308" s="271" t="str">
        <f>IFERROR(__xludf.DUMMYFUNCTION("""COMPUTED_VALUE"""),"")</f>
        <v/>
      </c>
      <c r="J3308" t="str">
        <f>IFERROR(__xludf.DUMMYFUNCTION("IFS(
  AND(REGEXMATCH(E3308, ""台銀籌備帳戶|玉山帳戶""), REGEXMATCH(C3308, ""薪資"")), ""分潤支出"",
  AND(REGEXMATCH(E3308, ""Ben帳戶|Elsa帳戶|Ben代墊|Ariel代墊|中信銀行共用""), REGEXMATCH(F3308, ""Ben帳戶|Elsa帳戶|Ben代墊|Ariel代墊|中信銀行共用"")), ""內部轉帳(忽略)"",
  AND(E3308&lt;&gt;"""", F3308&lt;&gt;"""", N"&amp;"OT(REGEXMATCH(C3308, ""薪資""))), ""內部轉帳(忽略)"",
  REGEXMATCH(C3308, ""薪資""), ""薪資變動(不計入)"",
  REGEXMATCH(C3308, ""押金""), ""押金往來"",
  AND(E3308&lt;&gt;"""", F3308=""""), ""真實支出"",
  AND(E3308="""", F3308&lt;&gt;""""), ""真實收入"",
  TRUE, ""其他""
)"),"其他")</f>
        <v>其他</v>
      </c>
      <c r="K3308" s="270" t="str">
        <f t="shared" si="2"/>
        <v/>
      </c>
      <c r="L3308">
        <f t="shared" si="3"/>
        <v>0</v>
      </c>
    </row>
    <row r="3309">
      <c r="A3309" s="107"/>
      <c r="D3309" s="270"/>
      <c r="H3309" s="106" t="str">
        <f t="shared" si="1"/>
        <v/>
      </c>
      <c r="I3309" s="271" t="str">
        <f>IFERROR(__xludf.DUMMYFUNCTION("""COMPUTED_VALUE"""),"")</f>
        <v/>
      </c>
      <c r="J3309" t="str">
        <f>IFERROR(__xludf.DUMMYFUNCTION("IFS(
  AND(REGEXMATCH(E3309, ""台銀籌備帳戶|玉山帳戶""), REGEXMATCH(C3309, ""薪資"")), ""分潤支出"",
  AND(REGEXMATCH(E3309, ""Ben帳戶|Elsa帳戶|Ben代墊|Ariel代墊|中信銀行共用""), REGEXMATCH(F3309, ""Ben帳戶|Elsa帳戶|Ben代墊|Ariel代墊|中信銀行共用"")), ""內部轉帳(忽略)"",
  AND(E3309&lt;&gt;"""", F3309&lt;&gt;"""", N"&amp;"OT(REGEXMATCH(C3309, ""薪資""))), ""內部轉帳(忽略)"",
  REGEXMATCH(C3309, ""薪資""), ""薪資變動(不計入)"",
  REGEXMATCH(C3309, ""押金""), ""押金往來"",
  AND(E3309&lt;&gt;"""", F3309=""""), ""真實支出"",
  AND(E3309="""", F3309&lt;&gt;""""), ""真實收入"",
  TRUE, ""其他""
)"),"其他")</f>
        <v>其他</v>
      </c>
      <c r="K3309" s="270" t="str">
        <f t="shared" si="2"/>
        <v/>
      </c>
      <c r="L3309">
        <f t="shared" si="3"/>
        <v>0</v>
      </c>
    </row>
    <row r="3310">
      <c r="A3310" s="107"/>
      <c r="D3310" s="270"/>
      <c r="H3310" s="106" t="str">
        <f t="shared" si="1"/>
        <v/>
      </c>
      <c r="I3310" s="271" t="str">
        <f>IFERROR(__xludf.DUMMYFUNCTION("""COMPUTED_VALUE"""),"")</f>
        <v/>
      </c>
      <c r="J3310" t="str">
        <f>IFERROR(__xludf.DUMMYFUNCTION("IFS(
  AND(REGEXMATCH(E3310, ""台銀籌備帳戶|玉山帳戶""), REGEXMATCH(C3310, ""薪資"")), ""分潤支出"",
  AND(REGEXMATCH(E3310, ""Ben帳戶|Elsa帳戶|Ben代墊|Ariel代墊|中信銀行共用""), REGEXMATCH(F3310, ""Ben帳戶|Elsa帳戶|Ben代墊|Ariel代墊|中信銀行共用"")), ""內部轉帳(忽略)"",
  AND(E3310&lt;&gt;"""", F3310&lt;&gt;"""", N"&amp;"OT(REGEXMATCH(C3310, ""薪資""))), ""內部轉帳(忽略)"",
  REGEXMATCH(C3310, ""薪資""), ""薪資變動(不計入)"",
  REGEXMATCH(C3310, ""押金""), ""押金往來"",
  AND(E3310&lt;&gt;"""", F3310=""""), ""真實支出"",
  AND(E3310="""", F3310&lt;&gt;""""), ""真實收入"",
  TRUE, ""其他""
)"),"其他")</f>
        <v>其他</v>
      </c>
      <c r="K3310" s="270" t="str">
        <f t="shared" si="2"/>
        <v/>
      </c>
      <c r="L3310">
        <f t="shared" si="3"/>
        <v>0</v>
      </c>
    </row>
    <row r="3311">
      <c r="A3311" s="107"/>
      <c r="D3311" s="270"/>
      <c r="H3311" s="106" t="str">
        <f t="shared" si="1"/>
        <v/>
      </c>
      <c r="I3311" s="271" t="str">
        <f>IFERROR(__xludf.DUMMYFUNCTION("""COMPUTED_VALUE"""),"")</f>
        <v/>
      </c>
      <c r="J3311" t="str">
        <f>IFERROR(__xludf.DUMMYFUNCTION("IFS(
  AND(REGEXMATCH(E3311, ""台銀籌備帳戶|玉山帳戶""), REGEXMATCH(C3311, ""薪資"")), ""分潤支出"",
  AND(REGEXMATCH(E3311, ""Ben帳戶|Elsa帳戶|Ben代墊|Ariel代墊|中信銀行共用""), REGEXMATCH(F3311, ""Ben帳戶|Elsa帳戶|Ben代墊|Ariel代墊|中信銀行共用"")), ""內部轉帳(忽略)"",
  AND(E3311&lt;&gt;"""", F3311&lt;&gt;"""", N"&amp;"OT(REGEXMATCH(C3311, ""薪資""))), ""內部轉帳(忽略)"",
  REGEXMATCH(C3311, ""薪資""), ""薪資變動(不計入)"",
  REGEXMATCH(C3311, ""押金""), ""押金往來"",
  AND(E3311&lt;&gt;"""", F3311=""""), ""真實支出"",
  AND(E3311="""", F3311&lt;&gt;""""), ""真實收入"",
  TRUE, ""其他""
)"),"其他")</f>
        <v>其他</v>
      </c>
      <c r="K3311" s="270" t="str">
        <f t="shared" si="2"/>
        <v/>
      </c>
      <c r="L3311">
        <f t="shared" si="3"/>
        <v>0</v>
      </c>
    </row>
    <row r="3312">
      <c r="A3312" s="107"/>
      <c r="D3312" s="270"/>
      <c r="H3312" s="106" t="str">
        <f t="shared" si="1"/>
        <v/>
      </c>
      <c r="I3312" s="271" t="str">
        <f>IFERROR(__xludf.DUMMYFUNCTION("""COMPUTED_VALUE"""),"")</f>
        <v/>
      </c>
      <c r="J3312" t="str">
        <f>IFERROR(__xludf.DUMMYFUNCTION("IFS(
  AND(REGEXMATCH(E3312, ""台銀籌備帳戶|玉山帳戶""), REGEXMATCH(C3312, ""薪資"")), ""分潤支出"",
  AND(REGEXMATCH(E3312, ""Ben帳戶|Elsa帳戶|Ben代墊|Ariel代墊|中信銀行共用""), REGEXMATCH(F3312, ""Ben帳戶|Elsa帳戶|Ben代墊|Ariel代墊|中信銀行共用"")), ""內部轉帳(忽略)"",
  AND(E3312&lt;&gt;"""", F3312&lt;&gt;"""", N"&amp;"OT(REGEXMATCH(C3312, ""薪資""))), ""內部轉帳(忽略)"",
  REGEXMATCH(C3312, ""薪資""), ""薪資變動(不計入)"",
  REGEXMATCH(C3312, ""押金""), ""押金往來"",
  AND(E3312&lt;&gt;"""", F3312=""""), ""真實支出"",
  AND(E3312="""", F3312&lt;&gt;""""), ""真實收入"",
  TRUE, ""其他""
)"),"其他")</f>
        <v>其他</v>
      </c>
      <c r="K3312" s="270" t="str">
        <f t="shared" si="2"/>
        <v/>
      </c>
      <c r="L3312">
        <f t="shared" si="3"/>
        <v>0</v>
      </c>
    </row>
    <row r="3313">
      <c r="A3313" s="107"/>
      <c r="D3313" s="270"/>
      <c r="H3313" s="106" t="str">
        <f t="shared" si="1"/>
        <v/>
      </c>
      <c r="I3313" s="271" t="str">
        <f>IFERROR(__xludf.DUMMYFUNCTION("""COMPUTED_VALUE"""),"")</f>
        <v/>
      </c>
      <c r="J3313" t="str">
        <f>IFERROR(__xludf.DUMMYFUNCTION("IFS(
  AND(REGEXMATCH(E3313, ""台銀籌備帳戶|玉山帳戶""), REGEXMATCH(C3313, ""薪資"")), ""分潤支出"",
  AND(REGEXMATCH(E3313, ""Ben帳戶|Elsa帳戶|Ben代墊|Ariel代墊|中信銀行共用""), REGEXMATCH(F3313, ""Ben帳戶|Elsa帳戶|Ben代墊|Ariel代墊|中信銀行共用"")), ""內部轉帳(忽略)"",
  AND(E3313&lt;&gt;"""", F3313&lt;&gt;"""", N"&amp;"OT(REGEXMATCH(C3313, ""薪資""))), ""內部轉帳(忽略)"",
  REGEXMATCH(C3313, ""薪資""), ""薪資變動(不計入)"",
  REGEXMATCH(C3313, ""押金""), ""押金往來"",
  AND(E3313&lt;&gt;"""", F3313=""""), ""真實支出"",
  AND(E3313="""", F3313&lt;&gt;""""), ""真實收入"",
  TRUE, ""其他""
)"),"其他")</f>
        <v>其他</v>
      </c>
      <c r="K3313" s="270" t="str">
        <f t="shared" si="2"/>
        <v/>
      </c>
      <c r="L3313">
        <f t="shared" si="3"/>
        <v>0</v>
      </c>
    </row>
    <row r="3314">
      <c r="A3314" s="107"/>
      <c r="D3314" s="270"/>
      <c r="H3314" s="106" t="str">
        <f t="shared" si="1"/>
        <v/>
      </c>
      <c r="I3314" s="271" t="str">
        <f>IFERROR(__xludf.DUMMYFUNCTION("""COMPUTED_VALUE"""),"")</f>
        <v/>
      </c>
      <c r="J3314" t="str">
        <f>IFERROR(__xludf.DUMMYFUNCTION("IFS(
  AND(REGEXMATCH(E3314, ""台銀籌備帳戶|玉山帳戶""), REGEXMATCH(C3314, ""薪資"")), ""分潤支出"",
  AND(REGEXMATCH(E3314, ""Ben帳戶|Elsa帳戶|Ben代墊|Ariel代墊|中信銀行共用""), REGEXMATCH(F3314, ""Ben帳戶|Elsa帳戶|Ben代墊|Ariel代墊|中信銀行共用"")), ""內部轉帳(忽略)"",
  AND(E3314&lt;&gt;"""", F3314&lt;&gt;"""", N"&amp;"OT(REGEXMATCH(C3314, ""薪資""))), ""內部轉帳(忽略)"",
  REGEXMATCH(C3314, ""薪資""), ""薪資變動(不計入)"",
  REGEXMATCH(C3314, ""押金""), ""押金往來"",
  AND(E3314&lt;&gt;"""", F3314=""""), ""真實支出"",
  AND(E3314="""", F3314&lt;&gt;""""), ""真實收入"",
  TRUE, ""其他""
)"),"其他")</f>
        <v>其他</v>
      </c>
      <c r="K3314" s="270" t="str">
        <f t="shared" si="2"/>
        <v/>
      </c>
      <c r="L3314">
        <f t="shared" si="3"/>
        <v>0</v>
      </c>
    </row>
    <row r="3315">
      <c r="A3315" s="107"/>
      <c r="D3315" s="270"/>
      <c r="H3315" s="106" t="str">
        <f t="shared" si="1"/>
        <v/>
      </c>
      <c r="I3315" s="271" t="str">
        <f>IFERROR(__xludf.DUMMYFUNCTION("""COMPUTED_VALUE"""),"")</f>
        <v/>
      </c>
      <c r="J3315" t="str">
        <f>IFERROR(__xludf.DUMMYFUNCTION("IFS(
  AND(REGEXMATCH(E3315, ""台銀籌備帳戶|玉山帳戶""), REGEXMATCH(C3315, ""薪資"")), ""分潤支出"",
  AND(REGEXMATCH(E3315, ""Ben帳戶|Elsa帳戶|Ben代墊|Ariel代墊|中信銀行共用""), REGEXMATCH(F3315, ""Ben帳戶|Elsa帳戶|Ben代墊|Ariel代墊|中信銀行共用"")), ""內部轉帳(忽略)"",
  AND(E3315&lt;&gt;"""", F3315&lt;&gt;"""", N"&amp;"OT(REGEXMATCH(C3315, ""薪資""))), ""內部轉帳(忽略)"",
  REGEXMATCH(C3315, ""薪資""), ""薪資變動(不計入)"",
  REGEXMATCH(C3315, ""押金""), ""押金往來"",
  AND(E3315&lt;&gt;"""", F3315=""""), ""真實支出"",
  AND(E3315="""", F3315&lt;&gt;""""), ""真實收入"",
  TRUE, ""其他""
)"),"其他")</f>
        <v>其他</v>
      </c>
      <c r="K3315" s="270" t="str">
        <f t="shared" si="2"/>
        <v/>
      </c>
      <c r="L3315">
        <f t="shared" si="3"/>
        <v>0</v>
      </c>
    </row>
    <row r="3316">
      <c r="A3316" s="107"/>
      <c r="D3316" s="270"/>
      <c r="H3316" s="106" t="str">
        <f t="shared" si="1"/>
        <v/>
      </c>
      <c r="I3316" s="271" t="str">
        <f>IFERROR(__xludf.DUMMYFUNCTION("""COMPUTED_VALUE"""),"")</f>
        <v/>
      </c>
      <c r="J3316" t="str">
        <f>IFERROR(__xludf.DUMMYFUNCTION("IFS(
  AND(REGEXMATCH(E3316, ""台銀籌備帳戶|玉山帳戶""), REGEXMATCH(C3316, ""薪資"")), ""分潤支出"",
  AND(REGEXMATCH(E3316, ""Ben帳戶|Elsa帳戶|Ben代墊|Ariel代墊|中信銀行共用""), REGEXMATCH(F3316, ""Ben帳戶|Elsa帳戶|Ben代墊|Ariel代墊|中信銀行共用"")), ""內部轉帳(忽略)"",
  AND(E3316&lt;&gt;"""", F3316&lt;&gt;"""", N"&amp;"OT(REGEXMATCH(C3316, ""薪資""))), ""內部轉帳(忽略)"",
  REGEXMATCH(C3316, ""薪資""), ""薪資變動(不計入)"",
  REGEXMATCH(C3316, ""押金""), ""押金往來"",
  AND(E3316&lt;&gt;"""", F3316=""""), ""真實支出"",
  AND(E3316="""", F3316&lt;&gt;""""), ""真實收入"",
  TRUE, ""其他""
)"),"其他")</f>
        <v>其他</v>
      </c>
      <c r="K3316" s="270" t="str">
        <f t="shared" si="2"/>
        <v/>
      </c>
      <c r="L3316">
        <f t="shared" si="3"/>
        <v>0</v>
      </c>
    </row>
    <row r="3317">
      <c r="A3317" s="107"/>
      <c r="D3317" s="270"/>
      <c r="H3317" s="106" t="str">
        <f t="shared" si="1"/>
        <v/>
      </c>
      <c r="I3317" s="271" t="str">
        <f>IFERROR(__xludf.DUMMYFUNCTION("""COMPUTED_VALUE"""),"")</f>
        <v/>
      </c>
      <c r="J3317" t="str">
        <f>IFERROR(__xludf.DUMMYFUNCTION("IFS(
  AND(REGEXMATCH(E3317, ""台銀籌備帳戶|玉山帳戶""), REGEXMATCH(C3317, ""薪資"")), ""分潤支出"",
  AND(REGEXMATCH(E3317, ""Ben帳戶|Elsa帳戶|Ben代墊|Ariel代墊|中信銀行共用""), REGEXMATCH(F3317, ""Ben帳戶|Elsa帳戶|Ben代墊|Ariel代墊|中信銀行共用"")), ""內部轉帳(忽略)"",
  AND(E3317&lt;&gt;"""", F3317&lt;&gt;"""", N"&amp;"OT(REGEXMATCH(C3317, ""薪資""))), ""內部轉帳(忽略)"",
  REGEXMATCH(C3317, ""薪資""), ""薪資變動(不計入)"",
  REGEXMATCH(C3317, ""押金""), ""押金往來"",
  AND(E3317&lt;&gt;"""", F3317=""""), ""真實支出"",
  AND(E3317="""", F3317&lt;&gt;""""), ""真實收入"",
  TRUE, ""其他""
)"),"其他")</f>
        <v>其他</v>
      </c>
      <c r="K3317" s="270" t="str">
        <f t="shared" si="2"/>
        <v/>
      </c>
      <c r="L3317">
        <f t="shared" si="3"/>
        <v>0</v>
      </c>
    </row>
    <row r="3318">
      <c r="A3318" s="107"/>
      <c r="D3318" s="270"/>
      <c r="H3318" s="106" t="str">
        <f t="shared" si="1"/>
        <v/>
      </c>
      <c r="I3318" s="271" t="str">
        <f>IFERROR(__xludf.DUMMYFUNCTION("""COMPUTED_VALUE"""),"")</f>
        <v/>
      </c>
      <c r="J3318" t="str">
        <f>IFERROR(__xludf.DUMMYFUNCTION("IFS(
  AND(REGEXMATCH(E3318, ""台銀籌備帳戶|玉山帳戶""), REGEXMATCH(C3318, ""薪資"")), ""分潤支出"",
  AND(REGEXMATCH(E3318, ""Ben帳戶|Elsa帳戶|Ben代墊|Ariel代墊|中信銀行共用""), REGEXMATCH(F3318, ""Ben帳戶|Elsa帳戶|Ben代墊|Ariel代墊|中信銀行共用"")), ""內部轉帳(忽略)"",
  AND(E3318&lt;&gt;"""", F3318&lt;&gt;"""", N"&amp;"OT(REGEXMATCH(C3318, ""薪資""))), ""內部轉帳(忽略)"",
  REGEXMATCH(C3318, ""薪資""), ""薪資變動(不計入)"",
  REGEXMATCH(C3318, ""押金""), ""押金往來"",
  AND(E3318&lt;&gt;"""", F3318=""""), ""真實支出"",
  AND(E3318="""", F3318&lt;&gt;""""), ""真實收入"",
  TRUE, ""其他""
)"),"其他")</f>
        <v>其他</v>
      </c>
      <c r="K3318" s="270" t="str">
        <f t="shared" si="2"/>
        <v/>
      </c>
      <c r="L3318">
        <f t="shared" si="3"/>
        <v>0</v>
      </c>
    </row>
    <row r="3319">
      <c r="A3319" s="107"/>
      <c r="D3319" s="270"/>
      <c r="H3319" s="106" t="str">
        <f t="shared" si="1"/>
        <v/>
      </c>
      <c r="I3319" s="271" t="str">
        <f>IFERROR(__xludf.DUMMYFUNCTION("""COMPUTED_VALUE"""),"")</f>
        <v/>
      </c>
      <c r="J3319" t="str">
        <f>IFERROR(__xludf.DUMMYFUNCTION("IFS(
  AND(REGEXMATCH(E3319, ""台銀籌備帳戶|玉山帳戶""), REGEXMATCH(C3319, ""薪資"")), ""分潤支出"",
  AND(REGEXMATCH(E3319, ""Ben帳戶|Elsa帳戶|Ben代墊|Ariel代墊|中信銀行共用""), REGEXMATCH(F3319, ""Ben帳戶|Elsa帳戶|Ben代墊|Ariel代墊|中信銀行共用"")), ""內部轉帳(忽略)"",
  AND(E3319&lt;&gt;"""", F3319&lt;&gt;"""", N"&amp;"OT(REGEXMATCH(C3319, ""薪資""))), ""內部轉帳(忽略)"",
  REGEXMATCH(C3319, ""薪資""), ""薪資變動(不計入)"",
  REGEXMATCH(C3319, ""押金""), ""押金往來"",
  AND(E3319&lt;&gt;"""", F3319=""""), ""真實支出"",
  AND(E3319="""", F3319&lt;&gt;""""), ""真實收入"",
  TRUE, ""其他""
)"),"其他")</f>
        <v>其他</v>
      </c>
      <c r="K3319" s="270" t="str">
        <f t="shared" si="2"/>
        <v/>
      </c>
      <c r="L3319">
        <f t="shared" si="3"/>
        <v>0</v>
      </c>
    </row>
    <row r="3320">
      <c r="A3320" s="107"/>
      <c r="D3320" s="270"/>
      <c r="H3320" s="106" t="str">
        <f t="shared" si="1"/>
        <v/>
      </c>
      <c r="I3320" s="271" t="str">
        <f>IFERROR(__xludf.DUMMYFUNCTION("""COMPUTED_VALUE"""),"")</f>
        <v/>
      </c>
      <c r="J3320" t="str">
        <f>IFERROR(__xludf.DUMMYFUNCTION("IFS(
  AND(REGEXMATCH(E3320, ""台銀籌備帳戶|玉山帳戶""), REGEXMATCH(C3320, ""薪資"")), ""分潤支出"",
  AND(REGEXMATCH(E3320, ""Ben帳戶|Elsa帳戶|Ben代墊|Ariel代墊|中信銀行共用""), REGEXMATCH(F3320, ""Ben帳戶|Elsa帳戶|Ben代墊|Ariel代墊|中信銀行共用"")), ""內部轉帳(忽略)"",
  AND(E3320&lt;&gt;"""", F3320&lt;&gt;"""", N"&amp;"OT(REGEXMATCH(C3320, ""薪資""))), ""內部轉帳(忽略)"",
  REGEXMATCH(C3320, ""薪資""), ""薪資變動(不計入)"",
  REGEXMATCH(C3320, ""押金""), ""押金往來"",
  AND(E3320&lt;&gt;"""", F3320=""""), ""真實支出"",
  AND(E3320="""", F3320&lt;&gt;""""), ""真實收入"",
  TRUE, ""其他""
)"),"其他")</f>
        <v>其他</v>
      </c>
      <c r="K3320" s="270" t="str">
        <f t="shared" si="2"/>
        <v/>
      </c>
      <c r="L3320">
        <f t="shared" si="3"/>
        <v>0</v>
      </c>
    </row>
    <row r="3321">
      <c r="A3321" s="107"/>
      <c r="D3321" s="270"/>
      <c r="H3321" s="106" t="str">
        <f t="shared" si="1"/>
        <v/>
      </c>
      <c r="I3321" s="271" t="str">
        <f>IFERROR(__xludf.DUMMYFUNCTION("""COMPUTED_VALUE"""),"")</f>
        <v/>
      </c>
      <c r="J3321" t="str">
        <f>IFERROR(__xludf.DUMMYFUNCTION("IFS(
  AND(REGEXMATCH(E3321, ""台銀籌備帳戶|玉山帳戶""), REGEXMATCH(C3321, ""薪資"")), ""分潤支出"",
  AND(REGEXMATCH(E3321, ""Ben帳戶|Elsa帳戶|Ben代墊|Ariel代墊|中信銀行共用""), REGEXMATCH(F3321, ""Ben帳戶|Elsa帳戶|Ben代墊|Ariel代墊|中信銀行共用"")), ""內部轉帳(忽略)"",
  AND(E3321&lt;&gt;"""", F3321&lt;&gt;"""", N"&amp;"OT(REGEXMATCH(C3321, ""薪資""))), ""內部轉帳(忽略)"",
  REGEXMATCH(C3321, ""薪資""), ""薪資變動(不計入)"",
  REGEXMATCH(C3321, ""押金""), ""押金往來"",
  AND(E3321&lt;&gt;"""", F3321=""""), ""真實支出"",
  AND(E3321="""", F3321&lt;&gt;""""), ""真實收入"",
  TRUE, ""其他""
)"),"其他")</f>
        <v>其他</v>
      </c>
      <c r="K3321" s="270" t="str">
        <f t="shared" si="2"/>
        <v/>
      </c>
      <c r="L3321">
        <f t="shared" si="3"/>
        <v>0</v>
      </c>
    </row>
    <row r="3322">
      <c r="A3322" s="107"/>
      <c r="D3322" s="270"/>
      <c r="H3322" s="106" t="str">
        <f t="shared" si="1"/>
        <v/>
      </c>
      <c r="I3322" s="271" t="str">
        <f>IFERROR(__xludf.DUMMYFUNCTION("""COMPUTED_VALUE"""),"")</f>
        <v/>
      </c>
      <c r="J3322" t="str">
        <f>IFERROR(__xludf.DUMMYFUNCTION("IFS(
  AND(REGEXMATCH(E3322, ""台銀籌備帳戶|玉山帳戶""), REGEXMATCH(C3322, ""薪資"")), ""分潤支出"",
  AND(REGEXMATCH(E3322, ""Ben帳戶|Elsa帳戶|Ben代墊|Ariel代墊|中信銀行共用""), REGEXMATCH(F3322, ""Ben帳戶|Elsa帳戶|Ben代墊|Ariel代墊|中信銀行共用"")), ""內部轉帳(忽略)"",
  AND(E3322&lt;&gt;"""", F3322&lt;&gt;"""", N"&amp;"OT(REGEXMATCH(C3322, ""薪資""))), ""內部轉帳(忽略)"",
  REGEXMATCH(C3322, ""薪資""), ""薪資變動(不計入)"",
  REGEXMATCH(C3322, ""押金""), ""押金往來"",
  AND(E3322&lt;&gt;"""", F3322=""""), ""真實支出"",
  AND(E3322="""", F3322&lt;&gt;""""), ""真實收入"",
  TRUE, ""其他""
)"),"其他")</f>
        <v>其他</v>
      </c>
      <c r="K3322" s="270" t="str">
        <f t="shared" si="2"/>
        <v/>
      </c>
      <c r="L3322">
        <f t="shared" si="3"/>
        <v>0</v>
      </c>
    </row>
    <row r="3323">
      <c r="A3323" s="107"/>
      <c r="D3323" s="270"/>
      <c r="H3323" s="106" t="str">
        <f t="shared" si="1"/>
        <v/>
      </c>
      <c r="I3323" s="271" t="str">
        <f>IFERROR(__xludf.DUMMYFUNCTION("""COMPUTED_VALUE"""),"")</f>
        <v/>
      </c>
      <c r="J3323" t="str">
        <f>IFERROR(__xludf.DUMMYFUNCTION("IFS(
  AND(REGEXMATCH(E3323, ""台銀籌備帳戶|玉山帳戶""), REGEXMATCH(C3323, ""薪資"")), ""分潤支出"",
  AND(REGEXMATCH(E3323, ""Ben帳戶|Elsa帳戶|Ben代墊|Ariel代墊|中信銀行共用""), REGEXMATCH(F3323, ""Ben帳戶|Elsa帳戶|Ben代墊|Ariel代墊|中信銀行共用"")), ""內部轉帳(忽略)"",
  AND(E3323&lt;&gt;"""", F3323&lt;&gt;"""", N"&amp;"OT(REGEXMATCH(C3323, ""薪資""))), ""內部轉帳(忽略)"",
  REGEXMATCH(C3323, ""薪資""), ""薪資變動(不計入)"",
  REGEXMATCH(C3323, ""押金""), ""押金往來"",
  AND(E3323&lt;&gt;"""", F3323=""""), ""真實支出"",
  AND(E3323="""", F3323&lt;&gt;""""), ""真實收入"",
  TRUE, ""其他""
)"),"其他")</f>
        <v>其他</v>
      </c>
      <c r="K3323" s="270" t="str">
        <f t="shared" si="2"/>
        <v/>
      </c>
      <c r="L3323">
        <f t="shared" si="3"/>
        <v>0</v>
      </c>
    </row>
    <row r="3324">
      <c r="A3324" s="107"/>
      <c r="D3324" s="270"/>
      <c r="H3324" s="106" t="str">
        <f t="shared" si="1"/>
        <v/>
      </c>
      <c r="I3324" s="271" t="str">
        <f>IFERROR(__xludf.DUMMYFUNCTION("""COMPUTED_VALUE"""),"")</f>
        <v/>
      </c>
      <c r="J3324" t="str">
        <f>IFERROR(__xludf.DUMMYFUNCTION("IFS(
  AND(REGEXMATCH(E3324, ""台銀籌備帳戶|玉山帳戶""), REGEXMATCH(C3324, ""薪資"")), ""分潤支出"",
  AND(REGEXMATCH(E3324, ""Ben帳戶|Elsa帳戶|Ben代墊|Ariel代墊|中信銀行共用""), REGEXMATCH(F3324, ""Ben帳戶|Elsa帳戶|Ben代墊|Ariel代墊|中信銀行共用"")), ""內部轉帳(忽略)"",
  AND(E3324&lt;&gt;"""", F3324&lt;&gt;"""", N"&amp;"OT(REGEXMATCH(C3324, ""薪資""))), ""內部轉帳(忽略)"",
  REGEXMATCH(C3324, ""薪資""), ""薪資變動(不計入)"",
  REGEXMATCH(C3324, ""押金""), ""押金往來"",
  AND(E3324&lt;&gt;"""", F3324=""""), ""真實支出"",
  AND(E3324="""", F3324&lt;&gt;""""), ""真實收入"",
  TRUE, ""其他""
)"),"其他")</f>
        <v>其他</v>
      </c>
      <c r="K3324" s="270" t="str">
        <f t="shared" si="2"/>
        <v/>
      </c>
      <c r="L3324">
        <f t="shared" si="3"/>
        <v>0</v>
      </c>
    </row>
    <row r="3325">
      <c r="A3325" s="107"/>
      <c r="D3325" s="270"/>
      <c r="H3325" s="106" t="str">
        <f t="shared" si="1"/>
        <v/>
      </c>
      <c r="I3325" s="271" t="str">
        <f>IFERROR(__xludf.DUMMYFUNCTION("""COMPUTED_VALUE"""),"")</f>
        <v/>
      </c>
      <c r="J3325" t="str">
        <f>IFERROR(__xludf.DUMMYFUNCTION("IFS(
  AND(REGEXMATCH(E3325, ""台銀籌備帳戶|玉山帳戶""), REGEXMATCH(C3325, ""薪資"")), ""分潤支出"",
  AND(REGEXMATCH(E3325, ""Ben帳戶|Elsa帳戶|Ben代墊|Ariel代墊|中信銀行共用""), REGEXMATCH(F3325, ""Ben帳戶|Elsa帳戶|Ben代墊|Ariel代墊|中信銀行共用"")), ""內部轉帳(忽略)"",
  AND(E3325&lt;&gt;"""", F3325&lt;&gt;"""", N"&amp;"OT(REGEXMATCH(C3325, ""薪資""))), ""內部轉帳(忽略)"",
  REGEXMATCH(C3325, ""薪資""), ""薪資變動(不計入)"",
  REGEXMATCH(C3325, ""押金""), ""押金往來"",
  AND(E3325&lt;&gt;"""", F3325=""""), ""真實支出"",
  AND(E3325="""", F3325&lt;&gt;""""), ""真實收入"",
  TRUE, ""其他""
)"),"其他")</f>
        <v>其他</v>
      </c>
      <c r="K3325" s="270" t="str">
        <f t="shared" si="2"/>
        <v/>
      </c>
      <c r="L3325">
        <f t="shared" si="3"/>
        <v>0</v>
      </c>
    </row>
    <row r="3326">
      <c r="A3326" s="107"/>
      <c r="D3326" s="270"/>
      <c r="H3326" s="106" t="str">
        <f t="shared" si="1"/>
        <v/>
      </c>
      <c r="I3326" s="271" t="str">
        <f>IFERROR(__xludf.DUMMYFUNCTION("""COMPUTED_VALUE"""),"")</f>
        <v/>
      </c>
      <c r="J3326" t="str">
        <f>IFERROR(__xludf.DUMMYFUNCTION("IFS(
  AND(REGEXMATCH(E3326, ""台銀籌備帳戶|玉山帳戶""), REGEXMATCH(C3326, ""薪資"")), ""分潤支出"",
  AND(REGEXMATCH(E3326, ""Ben帳戶|Elsa帳戶|Ben代墊|Ariel代墊|中信銀行共用""), REGEXMATCH(F3326, ""Ben帳戶|Elsa帳戶|Ben代墊|Ariel代墊|中信銀行共用"")), ""內部轉帳(忽略)"",
  AND(E3326&lt;&gt;"""", F3326&lt;&gt;"""", N"&amp;"OT(REGEXMATCH(C3326, ""薪資""))), ""內部轉帳(忽略)"",
  REGEXMATCH(C3326, ""薪資""), ""薪資變動(不計入)"",
  REGEXMATCH(C3326, ""押金""), ""押金往來"",
  AND(E3326&lt;&gt;"""", F3326=""""), ""真實支出"",
  AND(E3326="""", F3326&lt;&gt;""""), ""真實收入"",
  TRUE, ""其他""
)"),"其他")</f>
        <v>其他</v>
      </c>
      <c r="K3326" s="270" t="str">
        <f t="shared" si="2"/>
        <v/>
      </c>
      <c r="L3326">
        <f t="shared" si="3"/>
        <v>0</v>
      </c>
    </row>
    <row r="3327">
      <c r="A3327" s="107"/>
      <c r="D3327" s="270"/>
      <c r="H3327" s="106" t="str">
        <f t="shared" si="1"/>
        <v/>
      </c>
      <c r="I3327" s="271" t="str">
        <f>IFERROR(__xludf.DUMMYFUNCTION("""COMPUTED_VALUE"""),"")</f>
        <v/>
      </c>
      <c r="J3327" t="str">
        <f>IFERROR(__xludf.DUMMYFUNCTION("IFS(
  AND(REGEXMATCH(E3327, ""台銀籌備帳戶|玉山帳戶""), REGEXMATCH(C3327, ""薪資"")), ""分潤支出"",
  AND(REGEXMATCH(E3327, ""Ben帳戶|Elsa帳戶|Ben代墊|Ariel代墊|中信銀行共用""), REGEXMATCH(F3327, ""Ben帳戶|Elsa帳戶|Ben代墊|Ariel代墊|中信銀行共用"")), ""內部轉帳(忽略)"",
  AND(E3327&lt;&gt;"""", F3327&lt;&gt;"""", N"&amp;"OT(REGEXMATCH(C3327, ""薪資""))), ""內部轉帳(忽略)"",
  REGEXMATCH(C3327, ""薪資""), ""薪資變動(不計入)"",
  REGEXMATCH(C3327, ""押金""), ""押金往來"",
  AND(E3327&lt;&gt;"""", F3327=""""), ""真實支出"",
  AND(E3327="""", F3327&lt;&gt;""""), ""真實收入"",
  TRUE, ""其他""
)"),"其他")</f>
        <v>其他</v>
      </c>
      <c r="K3327" s="270" t="str">
        <f t="shared" si="2"/>
        <v/>
      </c>
      <c r="L3327">
        <f t="shared" si="3"/>
        <v>0</v>
      </c>
    </row>
    <row r="3328">
      <c r="A3328" s="107"/>
      <c r="D3328" s="270"/>
      <c r="H3328" s="106" t="str">
        <f t="shared" si="1"/>
        <v/>
      </c>
      <c r="I3328" s="271" t="str">
        <f>IFERROR(__xludf.DUMMYFUNCTION("""COMPUTED_VALUE"""),"")</f>
        <v/>
      </c>
      <c r="J3328" t="str">
        <f>IFERROR(__xludf.DUMMYFUNCTION("IFS(
  AND(REGEXMATCH(E3328, ""台銀籌備帳戶|玉山帳戶""), REGEXMATCH(C3328, ""薪資"")), ""分潤支出"",
  AND(REGEXMATCH(E3328, ""Ben帳戶|Elsa帳戶|Ben代墊|Ariel代墊|中信銀行共用""), REGEXMATCH(F3328, ""Ben帳戶|Elsa帳戶|Ben代墊|Ariel代墊|中信銀行共用"")), ""內部轉帳(忽略)"",
  AND(E3328&lt;&gt;"""", F3328&lt;&gt;"""", N"&amp;"OT(REGEXMATCH(C3328, ""薪資""))), ""內部轉帳(忽略)"",
  REGEXMATCH(C3328, ""薪資""), ""薪資變動(不計入)"",
  REGEXMATCH(C3328, ""押金""), ""押金往來"",
  AND(E3328&lt;&gt;"""", F3328=""""), ""真實支出"",
  AND(E3328="""", F3328&lt;&gt;""""), ""真實收入"",
  TRUE, ""其他""
)"),"其他")</f>
        <v>其他</v>
      </c>
      <c r="K3328" s="270" t="str">
        <f t="shared" si="2"/>
        <v/>
      </c>
      <c r="L3328">
        <f t="shared" si="3"/>
        <v>0</v>
      </c>
    </row>
    <row r="3329">
      <c r="A3329" s="107"/>
      <c r="D3329" s="270"/>
      <c r="H3329" s="106" t="str">
        <f t="shared" si="1"/>
        <v/>
      </c>
      <c r="I3329" s="271" t="str">
        <f>IFERROR(__xludf.DUMMYFUNCTION("""COMPUTED_VALUE"""),"")</f>
        <v/>
      </c>
      <c r="J3329" t="str">
        <f>IFERROR(__xludf.DUMMYFUNCTION("IFS(
  AND(REGEXMATCH(E3329, ""台銀籌備帳戶|玉山帳戶""), REGEXMATCH(C3329, ""薪資"")), ""分潤支出"",
  AND(REGEXMATCH(E3329, ""Ben帳戶|Elsa帳戶|Ben代墊|Ariel代墊|中信銀行共用""), REGEXMATCH(F3329, ""Ben帳戶|Elsa帳戶|Ben代墊|Ariel代墊|中信銀行共用"")), ""內部轉帳(忽略)"",
  AND(E3329&lt;&gt;"""", F3329&lt;&gt;"""", N"&amp;"OT(REGEXMATCH(C3329, ""薪資""))), ""內部轉帳(忽略)"",
  REGEXMATCH(C3329, ""薪資""), ""薪資變動(不計入)"",
  REGEXMATCH(C3329, ""押金""), ""押金往來"",
  AND(E3329&lt;&gt;"""", F3329=""""), ""真實支出"",
  AND(E3329="""", F3329&lt;&gt;""""), ""真實收入"",
  TRUE, ""其他""
)"),"其他")</f>
        <v>其他</v>
      </c>
      <c r="K3329" s="270" t="str">
        <f t="shared" si="2"/>
        <v/>
      </c>
      <c r="L3329">
        <f t="shared" si="3"/>
        <v>0</v>
      </c>
    </row>
    <row r="3330">
      <c r="A3330" s="107"/>
      <c r="D3330" s="270"/>
      <c r="H3330" s="106" t="str">
        <f t="shared" si="1"/>
        <v/>
      </c>
      <c r="I3330" s="271" t="str">
        <f>IFERROR(__xludf.DUMMYFUNCTION("""COMPUTED_VALUE"""),"")</f>
        <v/>
      </c>
      <c r="J3330" t="str">
        <f>IFERROR(__xludf.DUMMYFUNCTION("IFS(
  AND(REGEXMATCH(E3330, ""台銀籌備帳戶|玉山帳戶""), REGEXMATCH(C3330, ""薪資"")), ""分潤支出"",
  AND(REGEXMATCH(E3330, ""Ben帳戶|Elsa帳戶|Ben代墊|Ariel代墊|中信銀行共用""), REGEXMATCH(F3330, ""Ben帳戶|Elsa帳戶|Ben代墊|Ariel代墊|中信銀行共用"")), ""內部轉帳(忽略)"",
  AND(E3330&lt;&gt;"""", F3330&lt;&gt;"""", N"&amp;"OT(REGEXMATCH(C3330, ""薪資""))), ""內部轉帳(忽略)"",
  REGEXMATCH(C3330, ""薪資""), ""薪資變動(不計入)"",
  REGEXMATCH(C3330, ""押金""), ""押金往來"",
  AND(E3330&lt;&gt;"""", F3330=""""), ""真實支出"",
  AND(E3330="""", F3330&lt;&gt;""""), ""真實收入"",
  TRUE, ""其他""
)"),"其他")</f>
        <v>其他</v>
      </c>
      <c r="K3330" s="270" t="str">
        <f t="shared" si="2"/>
        <v/>
      </c>
      <c r="L3330">
        <f t="shared" si="3"/>
        <v>0</v>
      </c>
    </row>
    <row r="3331">
      <c r="A3331" s="107"/>
      <c r="D3331" s="270"/>
      <c r="H3331" s="106" t="str">
        <f t="shared" si="1"/>
        <v/>
      </c>
      <c r="I3331" s="271" t="str">
        <f>IFERROR(__xludf.DUMMYFUNCTION("""COMPUTED_VALUE"""),"")</f>
        <v/>
      </c>
      <c r="J3331" t="str">
        <f>IFERROR(__xludf.DUMMYFUNCTION("IFS(
  AND(REGEXMATCH(E3331, ""台銀籌備帳戶|玉山帳戶""), REGEXMATCH(C3331, ""薪資"")), ""分潤支出"",
  AND(REGEXMATCH(E3331, ""Ben帳戶|Elsa帳戶|Ben代墊|Ariel代墊|中信銀行共用""), REGEXMATCH(F3331, ""Ben帳戶|Elsa帳戶|Ben代墊|Ariel代墊|中信銀行共用"")), ""內部轉帳(忽略)"",
  AND(E3331&lt;&gt;"""", F3331&lt;&gt;"""", N"&amp;"OT(REGEXMATCH(C3331, ""薪資""))), ""內部轉帳(忽略)"",
  REGEXMATCH(C3331, ""薪資""), ""薪資變動(不計入)"",
  REGEXMATCH(C3331, ""押金""), ""押金往來"",
  AND(E3331&lt;&gt;"""", F3331=""""), ""真實支出"",
  AND(E3331="""", F3331&lt;&gt;""""), ""真實收入"",
  TRUE, ""其他""
)"),"其他")</f>
        <v>其他</v>
      </c>
      <c r="K3331" s="270" t="str">
        <f t="shared" si="2"/>
        <v/>
      </c>
      <c r="L3331">
        <f t="shared" si="3"/>
        <v>0</v>
      </c>
    </row>
    <row r="3332">
      <c r="A3332" s="107"/>
      <c r="D3332" s="270"/>
      <c r="H3332" s="106" t="str">
        <f t="shared" si="1"/>
        <v/>
      </c>
      <c r="I3332" s="271" t="str">
        <f>IFERROR(__xludf.DUMMYFUNCTION("""COMPUTED_VALUE"""),"")</f>
        <v/>
      </c>
      <c r="J3332" t="str">
        <f>IFERROR(__xludf.DUMMYFUNCTION("IFS(
  AND(REGEXMATCH(E3332, ""台銀籌備帳戶|玉山帳戶""), REGEXMATCH(C3332, ""薪資"")), ""分潤支出"",
  AND(REGEXMATCH(E3332, ""Ben帳戶|Elsa帳戶|Ben代墊|Ariel代墊|中信銀行共用""), REGEXMATCH(F3332, ""Ben帳戶|Elsa帳戶|Ben代墊|Ariel代墊|中信銀行共用"")), ""內部轉帳(忽略)"",
  AND(E3332&lt;&gt;"""", F3332&lt;&gt;"""", N"&amp;"OT(REGEXMATCH(C3332, ""薪資""))), ""內部轉帳(忽略)"",
  REGEXMATCH(C3332, ""薪資""), ""薪資變動(不計入)"",
  REGEXMATCH(C3332, ""押金""), ""押金往來"",
  AND(E3332&lt;&gt;"""", F3332=""""), ""真實支出"",
  AND(E3332="""", F3332&lt;&gt;""""), ""真實收入"",
  TRUE, ""其他""
)"),"其他")</f>
        <v>其他</v>
      </c>
      <c r="K3332" s="270" t="str">
        <f t="shared" si="2"/>
        <v/>
      </c>
      <c r="L3332">
        <f t="shared" si="3"/>
        <v>0</v>
      </c>
    </row>
    <row r="3333">
      <c r="A3333" s="107"/>
      <c r="D3333" s="270"/>
      <c r="H3333" s="106" t="str">
        <f t="shared" si="1"/>
        <v/>
      </c>
      <c r="I3333" s="271" t="str">
        <f>IFERROR(__xludf.DUMMYFUNCTION("""COMPUTED_VALUE"""),"")</f>
        <v/>
      </c>
      <c r="J3333" t="str">
        <f>IFERROR(__xludf.DUMMYFUNCTION("IFS(
  AND(REGEXMATCH(E3333, ""台銀籌備帳戶|玉山帳戶""), REGEXMATCH(C3333, ""薪資"")), ""分潤支出"",
  AND(REGEXMATCH(E3333, ""Ben帳戶|Elsa帳戶|Ben代墊|Ariel代墊|中信銀行共用""), REGEXMATCH(F3333, ""Ben帳戶|Elsa帳戶|Ben代墊|Ariel代墊|中信銀行共用"")), ""內部轉帳(忽略)"",
  AND(E3333&lt;&gt;"""", F3333&lt;&gt;"""", N"&amp;"OT(REGEXMATCH(C3333, ""薪資""))), ""內部轉帳(忽略)"",
  REGEXMATCH(C3333, ""薪資""), ""薪資變動(不計入)"",
  REGEXMATCH(C3333, ""押金""), ""押金往來"",
  AND(E3333&lt;&gt;"""", F3333=""""), ""真實支出"",
  AND(E3333="""", F3333&lt;&gt;""""), ""真實收入"",
  TRUE, ""其他""
)"),"其他")</f>
        <v>其他</v>
      </c>
      <c r="K3333" s="270" t="str">
        <f t="shared" si="2"/>
        <v/>
      </c>
      <c r="L3333">
        <f t="shared" si="3"/>
        <v>0</v>
      </c>
    </row>
    <row r="3334">
      <c r="A3334" s="107"/>
      <c r="D3334" s="270"/>
      <c r="H3334" s="106" t="str">
        <f t="shared" si="1"/>
        <v/>
      </c>
      <c r="I3334" s="271" t="str">
        <f>IFERROR(__xludf.DUMMYFUNCTION("""COMPUTED_VALUE"""),"")</f>
        <v/>
      </c>
      <c r="J3334" t="str">
        <f>IFERROR(__xludf.DUMMYFUNCTION("IFS(
  AND(REGEXMATCH(E3334, ""台銀籌備帳戶|玉山帳戶""), REGEXMATCH(C3334, ""薪資"")), ""分潤支出"",
  AND(REGEXMATCH(E3334, ""Ben帳戶|Elsa帳戶|Ben代墊|Ariel代墊|中信銀行共用""), REGEXMATCH(F3334, ""Ben帳戶|Elsa帳戶|Ben代墊|Ariel代墊|中信銀行共用"")), ""內部轉帳(忽略)"",
  AND(E3334&lt;&gt;"""", F3334&lt;&gt;"""", N"&amp;"OT(REGEXMATCH(C3334, ""薪資""))), ""內部轉帳(忽略)"",
  REGEXMATCH(C3334, ""薪資""), ""薪資變動(不計入)"",
  REGEXMATCH(C3334, ""押金""), ""押金往來"",
  AND(E3334&lt;&gt;"""", F3334=""""), ""真實支出"",
  AND(E3334="""", F3334&lt;&gt;""""), ""真實收入"",
  TRUE, ""其他""
)"),"其他")</f>
        <v>其他</v>
      </c>
      <c r="K3334" s="270" t="str">
        <f t="shared" si="2"/>
        <v/>
      </c>
      <c r="L3334">
        <f t="shared" si="3"/>
        <v>0</v>
      </c>
    </row>
    <row r="3335">
      <c r="A3335" s="107"/>
      <c r="D3335" s="270"/>
      <c r="H3335" s="106" t="str">
        <f t="shared" si="1"/>
        <v/>
      </c>
      <c r="I3335" s="271" t="str">
        <f>IFERROR(__xludf.DUMMYFUNCTION("""COMPUTED_VALUE"""),"")</f>
        <v/>
      </c>
      <c r="J3335" t="str">
        <f>IFERROR(__xludf.DUMMYFUNCTION("IFS(
  AND(REGEXMATCH(E3335, ""台銀籌備帳戶|玉山帳戶""), REGEXMATCH(C3335, ""薪資"")), ""分潤支出"",
  AND(REGEXMATCH(E3335, ""Ben帳戶|Elsa帳戶|Ben代墊|Ariel代墊|中信銀行共用""), REGEXMATCH(F3335, ""Ben帳戶|Elsa帳戶|Ben代墊|Ariel代墊|中信銀行共用"")), ""內部轉帳(忽略)"",
  AND(E3335&lt;&gt;"""", F3335&lt;&gt;"""", N"&amp;"OT(REGEXMATCH(C3335, ""薪資""))), ""內部轉帳(忽略)"",
  REGEXMATCH(C3335, ""薪資""), ""薪資變動(不計入)"",
  REGEXMATCH(C3335, ""押金""), ""押金往來"",
  AND(E3335&lt;&gt;"""", F3335=""""), ""真實支出"",
  AND(E3335="""", F3335&lt;&gt;""""), ""真實收入"",
  TRUE, ""其他""
)"),"其他")</f>
        <v>其他</v>
      </c>
      <c r="K3335" s="270" t="str">
        <f t="shared" si="2"/>
        <v/>
      </c>
      <c r="L3335">
        <f t="shared" si="3"/>
        <v>0</v>
      </c>
    </row>
    <row r="3336">
      <c r="A3336" s="107"/>
      <c r="D3336" s="270"/>
      <c r="H3336" s="106" t="str">
        <f t="shared" si="1"/>
        <v/>
      </c>
      <c r="I3336" s="271" t="str">
        <f>IFERROR(__xludf.DUMMYFUNCTION("""COMPUTED_VALUE"""),"")</f>
        <v/>
      </c>
      <c r="J3336" t="str">
        <f>IFERROR(__xludf.DUMMYFUNCTION("IFS(
  AND(REGEXMATCH(E3336, ""台銀籌備帳戶|玉山帳戶""), REGEXMATCH(C3336, ""薪資"")), ""分潤支出"",
  AND(REGEXMATCH(E3336, ""Ben帳戶|Elsa帳戶|Ben代墊|Ariel代墊|中信銀行共用""), REGEXMATCH(F3336, ""Ben帳戶|Elsa帳戶|Ben代墊|Ariel代墊|中信銀行共用"")), ""內部轉帳(忽略)"",
  AND(E3336&lt;&gt;"""", F3336&lt;&gt;"""", N"&amp;"OT(REGEXMATCH(C3336, ""薪資""))), ""內部轉帳(忽略)"",
  REGEXMATCH(C3336, ""薪資""), ""薪資變動(不計入)"",
  REGEXMATCH(C3336, ""押金""), ""押金往來"",
  AND(E3336&lt;&gt;"""", F3336=""""), ""真實支出"",
  AND(E3336="""", F3336&lt;&gt;""""), ""真實收入"",
  TRUE, ""其他""
)"),"其他")</f>
        <v>其他</v>
      </c>
      <c r="K3336" s="270" t="str">
        <f t="shared" si="2"/>
        <v/>
      </c>
      <c r="L3336">
        <f t="shared" si="3"/>
        <v>0</v>
      </c>
    </row>
    <row r="3337">
      <c r="A3337" s="107"/>
      <c r="D3337" s="270"/>
      <c r="H3337" s="106" t="str">
        <f t="shared" si="1"/>
        <v/>
      </c>
      <c r="I3337" s="271" t="str">
        <f>IFERROR(__xludf.DUMMYFUNCTION("""COMPUTED_VALUE"""),"")</f>
        <v/>
      </c>
      <c r="J3337" t="str">
        <f>IFERROR(__xludf.DUMMYFUNCTION("IFS(
  AND(REGEXMATCH(E3337, ""台銀籌備帳戶|玉山帳戶""), REGEXMATCH(C3337, ""薪資"")), ""分潤支出"",
  AND(REGEXMATCH(E3337, ""Ben帳戶|Elsa帳戶|Ben代墊|Ariel代墊|中信銀行共用""), REGEXMATCH(F3337, ""Ben帳戶|Elsa帳戶|Ben代墊|Ariel代墊|中信銀行共用"")), ""內部轉帳(忽略)"",
  AND(E3337&lt;&gt;"""", F3337&lt;&gt;"""", N"&amp;"OT(REGEXMATCH(C3337, ""薪資""))), ""內部轉帳(忽略)"",
  REGEXMATCH(C3337, ""薪資""), ""薪資變動(不計入)"",
  REGEXMATCH(C3337, ""押金""), ""押金往來"",
  AND(E3337&lt;&gt;"""", F3337=""""), ""真實支出"",
  AND(E3337="""", F3337&lt;&gt;""""), ""真實收入"",
  TRUE, ""其他""
)"),"其他")</f>
        <v>其他</v>
      </c>
      <c r="K3337" s="270" t="str">
        <f t="shared" si="2"/>
        <v/>
      </c>
      <c r="L3337">
        <f t="shared" si="3"/>
        <v>0</v>
      </c>
    </row>
    <row r="3338">
      <c r="A3338" s="107"/>
      <c r="D3338" s="270"/>
      <c r="H3338" s="106" t="str">
        <f t="shared" si="1"/>
        <v/>
      </c>
      <c r="I3338" s="271" t="str">
        <f>IFERROR(__xludf.DUMMYFUNCTION("""COMPUTED_VALUE"""),"")</f>
        <v/>
      </c>
      <c r="J3338" t="str">
        <f>IFERROR(__xludf.DUMMYFUNCTION("IFS(
  AND(REGEXMATCH(E3338, ""台銀籌備帳戶|玉山帳戶""), REGEXMATCH(C3338, ""薪資"")), ""分潤支出"",
  AND(REGEXMATCH(E3338, ""Ben帳戶|Elsa帳戶|Ben代墊|Ariel代墊|中信銀行共用""), REGEXMATCH(F3338, ""Ben帳戶|Elsa帳戶|Ben代墊|Ariel代墊|中信銀行共用"")), ""內部轉帳(忽略)"",
  AND(E3338&lt;&gt;"""", F3338&lt;&gt;"""", N"&amp;"OT(REGEXMATCH(C3338, ""薪資""))), ""內部轉帳(忽略)"",
  REGEXMATCH(C3338, ""薪資""), ""薪資變動(不計入)"",
  REGEXMATCH(C3338, ""押金""), ""押金往來"",
  AND(E3338&lt;&gt;"""", F3338=""""), ""真實支出"",
  AND(E3338="""", F3338&lt;&gt;""""), ""真實收入"",
  TRUE, ""其他""
)"),"其他")</f>
        <v>其他</v>
      </c>
      <c r="K3338" s="270" t="str">
        <f t="shared" si="2"/>
        <v/>
      </c>
      <c r="L3338">
        <f t="shared" si="3"/>
        <v>0</v>
      </c>
    </row>
    <row r="3339">
      <c r="A3339" s="107"/>
      <c r="D3339" s="270"/>
      <c r="H3339" s="106" t="str">
        <f t="shared" si="1"/>
        <v/>
      </c>
      <c r="I3339" s="271" t="str">
        <f>IFERROR(__xludf.DUMMYFUNCTION("""COMPUTED_VALUE"""),"")</f>
        <v/>
      </c>
      <c r="J3339" t="str">
        <f>IFERROR(__xludf.DUMMYFUNCTION("IFS(
  AND(REGEXMATCH(E3339, ""台銀籌備帳戶|玉山帳戶""), REGEXMATCH(C3339, ""薪資"")), ""分潤支出"",
  AND(REGEXMATCH(E3339, ""Ben帳戶|Elsa帳戶|Ben代墊|Ariel代墊|中信銀行共用""), REGEXMATCH(F3339, ""Ben帳戶|Elsa帳戶|Ben代墊|Ariel代墊|中信銀行共用"")), ""內部轉帳(忽略)"",
  AND(E3339&lt;&gt;"""", F3339&lt;&gt;"""", N"&amp;"OT(REGEXMATCH(C3339, ""薪資""))), ""內部轉帳(忽略)"",
  REGEXMATCH(C3339, ""薪資""), ""薪資變動(不計入)"",
  REGEXMATCH(C3339, ""押金""), ""押金往來"",
  AND(E3339&lt;&gt;"""", F3339=""""), ""真實支出"",
  AND(E3339="""", F3339&lt;&gt;""""), ""真實收入"",
  TRUE, ""其他""
)"),"其他")</f>
        <v>其他</v>
      </c>
      <c r="K3339" s="270" t="str">
        <f t="shared" si="2"/>
        <v/>
      </c>
      <c r="L3339">
        <f t="shared" si="3"/>
        <v>0</v>
      </c>
    </row>
    <row r="3340">
      <c r="A3340" s="107"/>
      <c r="D3340" s="270"/>
      <c r="H3340" s="106" t="str">
        <f t="shared" si="1"/>
        <v/>
      </c>
      <c r="I3340" s="271" t="str">
        <f>IFERROR(__xludf.DUMMYFUNCTION("""COMPUTED_VALUE"""),"")</f>
        <v/>
      </c>
      <c r="J3340" t="str">
        <f>IFERROR(__xludf.DUMMYFUNCTION("IFS(
  AND(REGEXMATCH(E3340, ""台銀籌備帳戶|玉山帳戶""), REGEXMATCH(C3340, ""薪資"")), ""分潤支出"",
  AND(REGEXMATCH(E3340, ""Ben帳戶|Elsa帳戶|Ben代墊|Ariel代墊|中信銀行共用""), REGEXMATCH(F3340, ""Ben帳戶|Elsa帳戶|Ben代墊|Ariel代墊|中信銀行共用"")), ""內部轉帳(忽略)"",
  AND(E3340&lt;&gt;"""", F3340&lt;&gt;"""", N"&amp;"OT(REGEXMATCH(C3340, ""薪資""))), ""內部轉帳(忽略)"",
  REGEXMATCH(C3340, ""薪資""), ""薪資變動(不計入)"",
  REGEXMATCH(C3340, ""押金""), ""押金往來"",
  AND(E3340&lt;&gt;"""", F3340=""""), ""真實支出"",
  AND(E3340="""", F3340&lt;&gt;""""), ""真實收入"",
  TRUE, ""其他""
)"),"其他")</f>
        <v>其他</v>
      </c>
      <c r="K3340" s="270" t="str">
        <f t="shared" si="2"/>
        <v/>
      </c>
      <c r="L3340">
        <f t="shared" si="3"/>
        <v>0</v>
      </c>
    </row>
    <row r="3341">
      <c r="A3341" s="107"/>
      <c r="D3341" s="270"/>
      <c r="H3341" s="106" t="str">
        <f t="shared" si="1"/>
        <v/>
      </c>
      <c r="I3341" s="271" t="str">
        <f>IFERROR(__xludf.DUMMYFUNCTION("""COMPUTED_VALUE"""),"")</f>
        <v/>
      </c>
      <c r="J3341" t="str">
        <f>IFERROR(__xludf.DUMMYFUNCTION("IFS(
  AND(REGEXMATCH(E3341, ""台銀籌備帳戶|玉山帳戶""), REGEXMATCH(C3341, ""薪資"")), ""分潤支出"",
  AND(REGEXMATCH(E3341, ""Ben帳戶|Elsa帳戶|Ben代墊|Ariel代墊|中信銀行共用""), REGEXMATCH(F3341, ""Ben帳戶|Elsa帳戶|Ben代墊|Ariel代墊|中信銀行共用"")), ""內部轉帳(忽略)"",
  AND(E3341&lt;&gt;"""", F3341&lt;&gt;"""", N"&amp;"OT(REGEXMATCH(C3341, ""薪資""))), ""內部轉帳(忽略)"",
  REGEXMATCH(C3341, ""薪資""), ""薪資變動(不計入)"",
  REGEXMATCH(C3341, ""押金""), ""押金往來"",
  AND(E3341&lt;&gt;"""", F3341=""""), ""真實支出"",
  AND(E3341="""", F3341&lt;&gt;""""), ""真實收入"",
  TRUE, ""其他""
)"),"其他")</f>
        <v>其他</v>
      </c>
      <c r="K3341" s="270" t="str">
        <f t="shared" si="2"/>
        <v/>
      </c>
      <c r="L3341">
        <f t="shared" si="3"/>
        <v>0</v>
      </c>
    </row>
    <row r="3342">
      <c r="A3342" s="107"/>
      <c r="D3342" s="270"/>
      <c r="H3342" s="106" t="str">
        <f t="shared" si="1"/>
        <v/>
      </c>
      <c r="I3342" s="271" t="str">
        <f>IFERROR(__xludf.DUMMYFUNCTION("""COMPUTED_VALUE"""),"")</f>
        <v/>
      </c>
      <c r="J3342" t="str">
        <f>IFERROR(__xludf.DUMMYFUNCTION("IFS(
  AND(REGEXMATCH(E3342, ""台銀籌備帳戶|玉山帳戶""), REGEXMATCH(C3342, ""薪資"")), ""分潤支出"",
  AND(REGEXMATCH(E3342, ""Ben帳戶|Elsa帳戶|Ben代墊|Ariel代墊|中信銀行共用""), REGEXMATCH(F3342, ""Ben帳戶|Elsa帳戶|Ben代墊|Ariel代墊|中信銀行共用"")), ""內部轉帳(忽略)"",
  AND(E3342&lt;&gt;"""", F3342&lt;&gt;"""", N"&amp;"OT(REGEXMATCH(C3342, ""薪資""))), ""內部轉帳(忽略)"",
  REGEXMATCH(C3342, ""薪資""), ""薪資變動(不計入)"",
  REGEXMATCH(C3342, ""押金""), ""押金往來"",
  AND(E3342&lt;&gt;"""", F3342=""""), ""真實支出"",
  AND(E3342="""", F3342&lt;&gt;""""), ""真實收入"",
  TRUE, ""其他""
)"),"其他")</f>
        <v>其他</v>
      </c>
      <c r="K3342" s="270" t="str">
        <f t="shared" si="2"/>
        <v/>
      </c>
      <c r="L3342">
        <f t="shared" si="3"/>
        <v>0</v>
      </c>
    </row>
    <row r="3343">
      <c r="A3343" s="107"/>
      <c r="D3343" s="270"/>
      <c r="H3343" s="106" t="str">
        <f t="shared" si="1"/>
        <v/>
      </c>
      <c r="I3343" s="271" t="str">
        <f>IFERROR(__xludf.DUMMYFUNCTION("""COMPUTED_VALUE"""),"")</f>
        <v/>
      </c>
      <c r="J3343" t="str">
        <f>IFERROR(__xludf.DUMMYFUNCTION("IFS(
  AND(REGEXMATCH(E3343, ""台銀籌備帳戶|玉山帳戶""), REGEXMATCH(C3343, ""薪資"")), ""分潤支出"",
  AND(REGEXMATCH(E3343, ""Ben帳戶|Elsa帳戶|Ben代墊|Ariel代墊|中信銀行共用""), REGEXMATCH(F3343, ""Ben帳戶|Elsa帳戶|Ben代墊|Ariel代墊|中信銀行共用"")), ""內部轉帳(忽略)"",
  AND(E3343&lt;&gt;"""", F3343&lt;&gt;"""", N"&amp;"OT(REGEXMATCH(C3343, ""薪資""))), ""內部轉帳(忽略)"",
  REGEXMATCH(C3343, ""薪資""), ""薪資變動(不計入)"",
  REGEXMATCH(C3343, ""押金""), ""押金往來"",
  AND(E3343&lt;&gt;"""", F3343=""""), ""真實支出"",
  AND(E3343="""", F3343&lt;&gt;""""), ""真實收入"",
  TRUE, ""其他""
)"),"其他")</f>
        <v>其他</v>
      </c>
      <c r="K3343" s="270" t="str">
        <f t="shared" si="2"/>
        <v/>
      </c>
      <c r="L3343">
        <f t="shared" si="3"/>
        <v>0</v>
      </c>
    </row>
    <row r="3344">
      <c r="A3344" s="107"/>
      <c r="D3344" s="270"/>
      <c r="H3344" s="106" t="str">
        <f t="shared" si="1"/>
        <v/>
      </c>
      <c r="I3344" s="271" t="str">
        <f>IFERROR(__xludf.DUMMYFUNCTION("""COMPUTED_VALUE"""),"")</f>
        <v/>
      </c>
      <c r="J3344" t="str">
        <f>IFERROR(__xludf.DUMMYFUNCTION("IFS(
  AND(REGEXMATCH(E3344, ""台銀籌備帳戶|玉山帳戶""), REGEXMATCH(C3344, ""薪資"")), ""分潤支出"",
  AND(REGEXMATCH(E3344, ""Ben帳戶|Elsa帳戶|Ben代墊|Ariel代墊|中信銀行共用""), REGEXMATCH(F3344, ""Ben帳戶|Elsa帳戶|Ben代墊|Ariel代墊|中信銀行共用"")), ""內部轉帳(忽略)"",
  AND(E3344&lt;&gt;"""", F3344&lt;&gt;"""", N"&amp;"OT(REGEXMATCH(C3344, ""薪資""))), ""內部轉帳(忽略)"",
  REGEXMATCH(C3344, ""薪資""), ""薪資變動(不計入)"",
  REGEXMATCH(C3344, ""押金""), ""押金往來"",
  AND(E3344&lt;&gt;"""", F3344=""""), ""真實支出"",
  AND(E3344="""", F3344&lt;&gt;""""), ""真實收入"",
  TRUE, ""其他""
)"),"其他")</f>
        <v>其他</v>
      </c>
      <c r="K3344" s="270" t="str">
        <f t="shared" si="2"/>
        <v/>
      </c>
      <c r="L3344">
        <f t="shared" si="3"/>
        <v>0</v>
      </c>
    </row>
    <row r="3345">
      <c r="A3345" s="107"/>
      <c r="D3345" s="270"/>
      <c r="H3345" s="106" t="str">
        <f t="shared" si="1"/>
        <v/>
      </c>
      <c r="I3345" s="271" t="str">
        <f>IFERROR(__xludf.DUMMYFUNCTION("""COMPUTED_VALUE"""),"")</f>
        <v/>
      </c>
      <c r="J3345" t="str">
        <f>IFERROR(__xludf.DUMMYFUNCTION("IFS(
  AND(REGEXMATCH(E3345, ""台銀籌備帳戶|玉山帳戶""), REGEXMATCH(C3345, ""薪資"")), ""分潤支出"",
  AND(REGEXMATCH(E3345, ""Ben帳戶|Elsa帳戶|Ben代墊|Ariel代墊|中信銀行共用""), REGEXMATCH(F3345, ""Ben帳戶|Elsa帳戶|Ben代墊|Ariel代墊|中信銀行共用"")), ""內部轉帳(忽略)"",
  AND(E3345&lt;&gt;"""", F3345&lt;&gt;"""", N"&amp;"OT(REGEXMATCH(C3345, ""薪資""))), ""內部轉帳(忽略)"",
  REGEXMATCH(C3345, ""薪資""), ""薪資變動(不計入)"",
  REGEXMATCH(C3345, ""押金""), ""押金往來"",
  AND(E3345&lt;&gt;"""", F3345=""""), ""真實支出"",
  AND(E3345="""", F3345&lt;&gt;""""), ""真實收入"",
  TRUE, ""其他""
)"),"其他")</f>
        <v>其他</v>
      </c>
      <c r="K3345" s="270" t="str">
        <f t="shared" si="2"/>
        <v/>
      </c>
      <c r="L3345">
        <f t="shared" si="3"/>
        <v>0</v>
      </c>
    </row>
    <row r="3346">
      <c r="A3346" s="107"/>
      <c r="D3346" s="270"/>
      <c r="H3346" s="106" t="str">
        <f t="shared" si="1"/>
        <v/>
      </c>
      <c r="I3346" s="271" t="str">
        <f>IFERROR(__xludf.DUMMYFUNCTION("""COMPUTED_VALUE"""),"")</f>
        <v/>
      </c>
      <c r="J3346" t="str">
        <f>IFERROR(__xludf.DUMMYFUNCTION("IFS(
  AND(REGEXMATCH(E3346, ""台銀籌備帳戶|玉山帳戶""), REGEXMATCH(C3346, ""薪資"")), ""分潤支出"",
  AND(REGEXMATCH(E3346, ""Ben帳戶|Elsa帳戶|Ben代墊|Ariel代墊|中信銀行共用""), REGEXMATCH(F3346, ""Ben帳戶|Elsa帳戶|Ben代墊|Ariel代墊|中信銀行共用"")), ""內部轉帳(忽略)"",
  AND(E3346&lt;&gt;"""", F3346&lt;&gt;"""", N"&amp;"OT(REGEXMATCH(C3346, ""薪資""))), ""內部轉帳(忽略)"",
  REGEXMATCH(C3346, ""薪資""), ""薪資變動(不計入)"",
  REGEXMATCH(C3346, ""押金""), ""押金往來"",
  AND(E3346&lt;&gt;"""", F3346=""""), ""真實支出"",
  AND(E3346="""", F3346&lt;&gt;""""), ""真實收入"",
  TRUE, ""其他""
)"),"其他")</f>
        <v>其他</v>
      </c>
      <c r="K3346" s="270" t="str">
        <f t="shared" si="2"/>
        <v/>
      </c>
      <c r="L3346">
        <f t="shared" si="3"/>
        <v>0</v>
      </c>
    </row>
    <row r="3347">
      <c r="A3347" s="107"/>
      <c r="D3347" s="270"/>
      <c r="H3347" s="106" t="str">
        <f t="shared" si="1"/>
        <v/>
      </c>
      <c r="I3347" s="271" t="str">
        <f>IFERROR(__xludf.DUMMYFUNCTION("""COMPUTED_VALUE"""),"")</f>
        <v/>
      </c>
      <c r="J3347" t="str">
        <f>IFERROR(__xludf.DUMMYFUNCTION("IFS(
  AND(REGEXMATCH(E3347, ""台銀籌備帳戶|玉山帳戶""), REGEXMATCH(C3347, ""薪資"")), ""分潤支出"",
  AND(REGEXMATCH(E3347, ""Ben帳戶|Elsa帳戶|Ben代墊|Ariel代墊|中信銀行共用""), REGEXMATCH(F3347, ""Ben帳戶|Elsa帳戶|Ben代墊|Ariel代墊|中信銀行共用"")), ""內部轉帳(忽略)"",
  AND(E3347&lt;&gt;"""", F3347&lt;&gt;"""", N"&amp;"OT(REGEXMATCH(C3347, ""薪資""))), ""內部轉帳(忽略)"",
  REGEXMATCH(C3347, ""薪資""), ""薪資變動(不計入)"",
  REGEXMATCH(C3347, ""押金""), ""押金往來"",
  AND(E3347&lt;&gt;"""", F3347=""""), ""真實支出"",
  AND(E3347="""", F3347&lt;&gt;""""), ""真實收入"",
  TRUE, ""其他""
)"),"其他")</f>
        <v>其他</v>
      </c>
      <c r="K3347" s="270" t="str">
        <f t="shared" si="2"/>
        <v/>
      </c>
      <c r="L3347">
        <f t="shared" si="3"/>
        <v>0</v>
      </c>
    </row>
    <row r="3348">
      <c r="A3348" s="107"/>
      <c r="D3348" s="270"/>
      <c r="H3348" s="106" t="str">
        <f t="shared" si="1"/>
        <v/>
      </c>
      <c r="I3348" s="271" t="str">
        <f>IFERROR(__xludf.DUMMYFUNCTION("""COMPUTED_VALUE"""),"")</f>
        <v/>
      </c>
      <c r="J3348" t="str">
        <f>IFERROR(__xludf.DUMMYFUNCTION("IFS(
  AND(REGEXMATCH(E3348, ""台銀籌備帳戶|玉山帳戶""), REGEXMATCH(C3348, ""薪資"")), ""分潤支出"",
  AND(REGEXMATCH(E3348, ""Ben帳戶|Elsa帳戶|Ben代墊|Ariel代墊|中信銀行共用""), REGEXMATCH(F3348, ""Ben帳戶|Elsa帳戶|Ben代墊|Ariel代墊|中信銀行共用"")), ""內部轉帳(忽略)"",
  AND(E3348&lt;&gt;"""", F3348&lt;&gt;"""", N"&amp;"OT(REGEXMATCH(C3348, ""薪資""))), ""內部轉帳(忽略)"",
  REGEXMATCH(C3348, ""薪資""), ""薪資變動(不計入)"",
  REGEXMATCH(C3348, ""押金""), ""押金往來"",
  AND(E3348&lt;&gt;"""", F3348=""""), ""真實支出"",
  AND(E3348="""", F3348&lt;&gt;""""), ""真實收入"",
  TRUE, ""其他""
)"),"其他")</f>
        <v>其他</v>
      </c>
      <c r="K3348" s="270" t="str">
        <f t="shared" si="2"/>
        <v/>
      </c>
      <c r="L3348">
        <f t="shared" si="3"/>
        <v>0</v>
      </c>
    </row>
    <row r="3349">
      <c r="A3349" s="107"/>
      <c r="D3349" s="270"/>
      <c r="H3349" s="106" t="str">
        <f t="shared" si="1"/>
        <v/>
      </c>
      <c r="I3349" s="271" t="str">
        <f>IFERROR(__xludf.DUMMYFUNCTION("""COMPUTED_VALUE"""),"")</f>
        <v/>
      </c>
      <c r="J3349" t="str">
        <f>IFERROR(__xludf.DUMMYFUNCTION("IFS(
  AND(REGEXMATCH(E3349, ""台銀籌備帳戶|玉山帳戶""), REGEXMATCH(C3349, ""薪資"")), ""分潤支出"",
  AND(REGEXMATCH(E3349, ""Ben帳戶|Elsa帳戶|Ben代墊|Ariel代墊|中信銀行共用""), REGEXMATCH(F3349, ""Ben帳戶|Elsa帳戶|Ben代墊|Ariel代墊|中信銀行共用"")), ""內部轉帳(忽略)"",
  AND(E3349&lt;&gt;"""", F3349&lt;&gt;"""", N"&amp;"OT(REGEXMATCH(C3349, ""薪資""))), ""內部轉帳(忽略)"",
  REGEXMATCH(C3349, ""薪資""), ""薪資變動(不計入)"",
  REGEXMATCH(C3349, ""押金""), ""押金往來"",
  AND(E3349&lt;&gt;"""", F3349=""""), ""真實支出"",
  AND(E3349="""", F3349&lt;&gt;""""), ""真實收入"",
  TRUE, ""其他""
)"),"其他")</f>
        <v>其他</v>
      </c>
      <c r="K3349" s="270" t="str">
        <f t="shared" si="2"/>
        <v/>
      </c>
      <c r="L3349">
        <f t="shared" si="3"/>
        <v>0</v>
      </c>
    </row>
    <row r="3350">
      <c r="A3350" s="107"/>
      <c r="D3350" s="270"/>
      <c r="H3350" s="106" t="str">
        <f t="shared" si="1"/>
        <v/>
      </c>
      <c r="I3350" s="271" t="str">
        <f>IFERROR(__xludf.DUMMYFUNCTION("""COMPUTED_VALUE"""),"")</f>
        <v/>
      </c>
      <c r="J3350" t="str">
        <f>IFERROR(__xludf.DUMMYFUNCTION("IFS(
  AND(REGEXMATCH(E3350, ""台銀籌備帳戶|玉山帳戶""), REGEXMATCH(C3350, ""薪資"")), ""分潤支出"",
  AND(REGEXMATCH(E3350, ""Ben帳戶|Elsa帳戶|Ben代墊|Ariel代墊|中信銀行共用""), REGEXMATCH(F3350, ""Ben帳戶|Elsa帳戶|Ben代墊|Ariel代墊|中信銀行共用"")), ""內部轉帳(忽略)"",
  AND(E3350&lt;&gt;"""", F3350&lt;&gt;"""", N"&amp;"OT(REGEXMATCH(C3350, ""薪資""))), ""內部轉帳(忽略)"",
  REGEXMATCH(C3350, ""薪資""), ""薪資變動(不計入)"",
  REGEXMATCH(C3350, ""押金""), ""押金往來"",
  AND(E3350&lt;&gt;"""", F3350=""""), ""真實支出"",
  AND(E3350="""", F3350&lt;&gt;""""), ""真實收入"",
  TRUE, ""其他""
)"),"其他")</f>
        <v>其他</v>
      </c>
      <c r="K3350" s="270" t="str">
        <f t="shared" si="2"/>
        <v/>
      </c>
      <c r="L3350">
        <f t="shared" si="3"/>
        <v>0</v>
      </c>
    </row>
    <row r="3351">
      <c r="A3351" s="107"/>
      <c r="D3351" s="270"/>
      <c r="H3351" s="106" t="str">
        <f t="shared" si="1"/>
        <v/>
      </c>
      <c r="I3351" s="271" t="str">
        <f>IFERROR(__xludf.DUMMYFUNCTION("""COMPUTED_VALUE"""),"")</f>
        <v/>
      </c>
      <c r="J3351" t="str">
        <f>IFERROR(__xludf.DUMMYFUNCTION("IFS(
  AND(REGEXMATCH(E3351, ""台銀籌備帳戶|玉山帳戶""), REGEXMATCH(C3351, ""薪資"")), ""分潤支出"",
  AND(REGEXMATCH(E3351, ""Ben帳戶|Elsa帳戶|Ben代墊|Ariel代墊|中信銀行共用""), REGEXMATCH(F3351, ""Ben帳戶|Elsa帳戶|Ben代墊|Ariel代墊|中信銀行共用"")), ""內部轉帳(忽略)"",
  AND(E3351&lt;&gt;"""", F3351&lt;&gt;"""", N"&amp;"OT(REGEXMATCH(C3351, ""薪資""))), ""內部轉帳(忽略)"",
  REGEXMATCH(C3351, ""薪資""), ""薪資變動(不計入)"",
  REGEXMATCH(C3351, ""押金""), ""押金往來"",
  AND(E3351&lt;&gt;"""", F3351=""""), ""真實支出"",
  AND(E3351="""", F3351&lt;&gt;""""), ""真實收入"",
  TRUE, ""其他""
)"),"其他")</f>
        <v>其他</v>
      </c>
      <c r="K3351" s="270" t="str">
        <f t="shared" si="2"/>
        <v/>
      </c>
      <c r="L3351">
        <f t="shared" si="3"/>
        <v>0</v>
      </c>
    </row>
    <row r="3352">
      <c r="A3352" s="107"/>
      <c r="D3352" s="270"/>
      <c r="H3352" s="106" t="str">
        <f t="shared" si="1"/>
        <v/>
      </c>
      <c r="I3352" s="271" t="str">
        <f>IFERROR(__xludf.DUMMYFUNCTION("""COMPUTED_VALUE"""),"")</f>
        <v/>
      </c>
      <c r="J3352" t="str">
        <f>IFERROR(__xludf.DUMMYFUNCTION("IFS(
  AND(REGEXMATCH(E3352, ""台銀籌備帳戶|玉山帳戶""), REGEXMATCH(C3352, ""薪資"")), ""分潤支出"",
  AND(REGEXMATCH(E3352, ""Ben帳戶|Elsa帳戶|Ben代墊|Ariel代墊|中信銀行共用""), REGEXMATCH(F3352, ""Ben帳戶|Elsa帳戶|Ben代墊|Ariel代墊|中信銀行共用"")), ""內部轉帳(忽略)"",
  AND(E3352&lt;&gt;"""", F3352&lt;&gt;"""", N"&amp;"OT(REGEXMATCH(C3352, ""薪資""))), ""內部轉帳(忽略)"",
  REGEXMATCH(C3352, ""薪資""), ""薪資變動(不計入)"",
  REGEXMATCH(C3352, ""押金""), ""押金往來"",
  AND(E3352&lt;&gt;"""", F3352=""""), ""真實支出"",
  AND(E3352="""", F3352&lt;&gt;""""), ""真實收入"",
  TRUE, ""其他""
)"),"其他")</f>
        <v>其他</v>
      </c>
      <c r="K3352" s="270" t="str">
        <f t="shared" si="2"/>
        <v/>
      </c>
      <c r="L3352">
        <f t="shared" si="3"/>
        <v>0</v>
      </c>
    </row>
    <row r="3353">
      <c r="A3353" s="107"/>
      <c r="D3353" s="270"/>
      <c r="H3353" s="106" t="str">
        <f t="shared" si="1"/>
        <v/>
      </c>
      <c r="I3353" s="271" t="str">
        <f>IFERROR(__xludf.DUMMYFUNCTION("""COMPUTED_VALUE"""),"")</f>
        <v/>
      </c>
      <c r="J3353" t="str">
        <f>IFERROR(__xludf.DUMMYFUNCTION("IFS(
  AND(REGEXMATCH(E3353, ""台銀籌備帳戶|玉山帳戶""), REGEXMATCH(C3353, ""薪資"")), ""分潤支出"",
  AND(REGEXMATCH(E3353, ""Ben帳戶|Elsa帳戶|Ben代墊|Ariel代墊|中信銀行共用""), REGEXMATCH(F3353, ""Ben帳戶|Elsa帳戶|Ben代墊|Ariel代墊|中信銀行共用"")), ""內部轉帳(忽略)"",
  AND(E3353&lt;&gt;"""", F3353&lt;&gt;"""", N"&amp;"OT(REGEXMATCH(C3353, ""薪資""))), ""內部轉帳(忽略)"",
  REGEXMATCH(C3353, ""薪資""), ""薪資變動(不計入)"",
  REGEXMATCH(C3353, ""押金""), ""押金往來"",
  AND(E3353&lt;&gt;"""", F3353=""""), ""真實支出"",
  AND(E3353="""", F3353&lt;&gt;""""), ""真實收入"",
  TRUE, ""其他""
)"),"其他")</f>
        <v>其他</v>
      </c>
      <c r="K3353" s="270" t="str">
        <f t="shared" si="2"/>
        <v/>
      </c>
      <c r="L3353">
        <f t="shared" si="3"/>
        <v>0</v>
      </c>
    </row>
    <row r="3354">
      <c r="A3354" s="107"/>
      <c r="D3354" s="270"/>
      <c r="H3354" s="106" t="str">
        <f t="shared" si="1"/>
        <v/>
      </c>
      <c r="I3354" s="271" t="str">
        <f>IFERROR(__xludf.DUMMYFUNCTION("""COMPUTED_VALUE"""),"")</f>
        <v/>
      </c>
      <c r="J3354" t="str">
        <f>IFERROR(__xludf.DUMMYFUNCTION("IFS(
  AND(REGEXMATCH(E3354, ""台銀籌備帳戶|玉山帳戶""), REGEXMATCH(C3354, ""薪資"")), ""分潤支出"",
  AND(REGEXMATCH(E3354, ""Ben帳戶|Elsa帳戶|Ben代墊|Ariel代墊|中信銀行共用""), REGEXMATCH(F3354, ""Ben帳戶|Elsa帳戶|Ben代墊|Ariel代墊|中信銀行共用"")), ""內部轉帳(忽略)"",
  AND(E3354&lt;&gt;"""", F3354&lt;&gt;"""", N"&amp;"OT(REGEXMATCH(C3354, ""薪資""))), ""內部轉帳(忽略)"",
  REGEXMATCH(C3354, ""薪資""), ""薪資變動(不計入)"",
  REGEXMATCH(C3354, ""押金""), ""押金往來"",
  AND(E3354&lt;&gt;"""", F3354=""""), ""真實支出"",
  AND(E3354="""", F3354&lt;&gt;""""), ""真實收入"",
  TRUE, ""其他""
)"),"其他")</f>
        <v>其他</v>
      </c>
      <c r="K3354" s="270" t="str">
        <f t="shared" si="2"/>
        <v/>
      </c>
      <c r="L3354">
        <f t="shared" si="3"/>
        <v>0</v>
      </c>
    </row>
    <row r="3355">
      <c r="A3355" s="107"/>
      <c r="D3355" s="270"/>
      <c r="H3355" s="106" t="str">
        <f t="shared" si="1"/>
        <v/>
      </c>
      <c r="I3355" s="271" t="str">
        <f>IFERROR(__xludf.DUMMYFUNCTION("""COMPUTED_VALUE"""),"")</f>
        <v/>
      </c>
      <c r="J3355" t="str">
        <f>IFERROR(__xludf.DUMMYFUNCTION("IFS(
  AND(REGEXMATCH(E3355, ""台銀籌備帳戶|玉山帳戶""), REGEXMATCH(C3355, ""薪資"")), ""分潤支出"",
  AND(REGEXMATCH(E3355, ""Ben帳戶|Elsa帳戶|Ben代墊|Ariel代墊|中信銀行共用""), REGEXMATCH(F3355, ""Ben帳戶|Elsa帳戶|Ben代墊|Ariel代墊|中信銀行共用"")), ""內部轉帳(忽略)"",
  AND(E3355&lt;&gt;"""", F3355&lt;&gt;"""", N"&amp;"OT(REGEXMATCH(C3355, ""薪資""))), ""內部轉帳(忽略)"",
  REGEXMATCH(C3355, ""薪資""), ""薪資變動(不計入)"",
  REGEXMATCH(C3355, ""押金""), ""押金往來"",
  AND(E3355&lt;&gt;"""", F3355=""""), ""真實支出"",
  AND(E3355="""", F3355&lt;&gt;""""), ""真實收入"",
  TRUE, ""其他""
)"),"其他")</f>
        <v>其他</v>
      </c>
      <c r="K3355" s="270" t="str">
        <f t="shared" si="2"/>
        <v/>
      </c>
      <c r="L3355">
        <f t="shared" si="3"/>
        <v>0</v>
      </c>
    </row>
    <row r="3356">
      <c r="A3356" s="107"/>
      <c r="D3356" s="270"/>
      <c r="H3356" s="106" t="str">
        <f t="shared" si="1"/>
        <v/>
      </c>
      <c r="I3356" s="271" t="str">
        <f>IFERROR(__xludf.DUMMYFUNCTION("""COMPUTED_VALUE"""),"")</f>
        <v/>
      </c>
      <c r="J3356" t="str">
        <f>IFERROR(__xludf.DUMMYFUNCTION("IFS(
  AND(REGEXMATCH(E3356, ""台銀籌備帳戶|玉山帳戶""), REGEXMATCH(C3356, ""薪資"")), ""分潤支出"",
  AND(REGEXMATCH(E3356, ""Ben帳戶|Elsa帳戶|Ben代墊|Ariel代墊|中信銀行共用""), REGEXMATCH(F3356, ""Ben帳戶|Elsa帳戶|Ben代墊|Ariel代墊|中信銀行共用"")), ""內部轉帳(忽略)"",
  AND(E3356&lt;&gt;"""", F3356&lt;&gt;"""", N"&amp;"OT(REGEXMATCH(C3356, ""薪資""))), ""內部轉帳(忽略)"",
  REGEXMATCH(C3356, ""薪資""), ""薪資變動(不計入)"",
  REGEXMATCH(C3356, ""押金""), ""押金往來"",
  AND(E3356&lt;&gt;"""", F3356=""""), ""真實支出"",
  AND(E3356="""", F3356&lt;&gt;""""), ""真實收入"",
  TRUE, ""其他""
)"),"其他")</f>
        <v>其他</v>
      </c>
      <c r="K3356" s="270" t="str">
        <f t="shared" si="2"/>
        <v/>
      </c>
      <c r="L3356">
        <f t="shared" si="3"/>
        <v>0</v>
      </c>
    </row>
    <row r="3357">
      <c r="A3357" s="107"/>
      <c r="D3357" s="270"/>
      <c r="H3357" s="106" t="str">
        <f t="shared" si="1"/>
        <v/>
      </c>
      <c r="I3357" s="271" t="str">
        <f>IFERROR(__xludf.DUMMYFUNCTION("""COMPUTED_VALUE"""),"")</f>
        <v/>
      </c>
      <c r="J3357" t="str">
        <f>IFERROR(__xludf.DUMMYFUNCTION("IFS(
  AND(REGEXMATCH(E3357, ""台銀籌備帳戶|玉山帳戶""), REGEXMATCH(C3357, ""薪資"")), ""分潤支出"",
  AND(REGEXMATCH(E3357, ""Ben帳戶|Elsa帳戶|Ben代墊|Ariel代墊|中信銀行共用""), REGEXMATCH(F3357, ""Ben帳戶|Elsa帳戶|Ben代墊|Ariel代墊|中信銀行共用"")), ""內部轉帳(忽略)"",
  AND(E3357&lt;&gt;"""", F3357&lt;&gt;"""", N"&amp;"OT(REGEXMATCH(C3357, ""薪資""))), ""內部轉帳(忽略)"",
  REGEXMATCH(C3357, ""薪資""), ""薪資變動(不計入)"",
  REGEXMATCH(C3357, ""押金""), ""押金往來"",
  AND(E3357&lt;&gt;"""", F3357=""""), ""真實支出"",
  AND(E3357="""", F3357&lt;&gt;""""), ""真實收入"",
  TRUE, ""其他""
)"),"其他")</f>
        <v>其他</v>
      </c>
      <c r="K3357" s="270" t="str">
        <f t="shared" si="2"/>
        <v/>
      </c>
      <c r="L3357">
        <f t="shared" si="3"/>
        <v>0</v>
      </c>
    </row>
    <row r="3358">
      <c r="A3358" s="107"/>
      <c r="D3358" s="270"/>
      <c r="H3358" s="106" t="str">
        <f t="shared" si="1"/>
        <v/>
      </c>
      <c r="I3358" s="271" t="str">
        <f>IFERROR(__xludf.DUMMYFUNCTION("""COMPUTED_VALUE"""),"")</f>
        <v/>
      </c>
      <c r="J3358" t="str">
        <f>IFERROR(__xludf.DUMMYFUNCTION("IFS(
  AND(REGEXMATCH(E3358, ""台銀籌備帳戶|玉山帳戶""), REGEXMATCH(C3358, ""薪資"")), ""分潤支出"",
  AND(REGEXMATCH(E3358, ""Ben帳戶|Elsa帳戶|Ben代墊|Ariel代墊|中信銀行共用""), REGEXMATCH(F3358, ""Ben帳戶|Elsa帳戶|Ben代墊|Ariel代墊|中信銀行共用"")), ""內部轉帳(忽略)"",
  AND(E3358&lt;&gt;"""", F3358&lt;&gt;"""", N"&amp;"OT(REGEXMATCH(C3358, ""薪資""))), ""內部轉帳(忽略)"",
  REGEXMATCH(C3358, ""薪資""), ""薪資變動(不計入)"",
  REGEXMATCH(C3358, ""押金""), ""押金往來"",
  AND(E3358&lt;&gt;"""", F3358=""""), ""真實支出"",
  AND(E3358="""", F3358&lt;&gt;""""), ""真實收入"",
  TRUE, ""其他""
)"),"其他")</f>
        <v>其他</v>
      </c>
      <c r="K3358" s="270" t="str">
        <f t="shared" si="2"/>
        <v/>
      </c>
      <c r="L3358">
        <f t="shared" si="3"/>
        <v>0</v>
      </c>
    </row>
    <row r="3359">
      <c r="A3359" s="107"/>
      <c r="D3359" s="270"/>
      <c r="H3359" s="106" t="str">
        <f t="shared" si="1"/>
        <v/>
      </c>
      <c r="I3359" s="271" t="str">
        <f>IFERROR(__xludf.DUMMYFUNCTION("""COMPUTED_VALUE"""),"")</f>
        <v/>
      </c>
      <c r="J3359" t="str">
        <f>IFERROR(__xludf.DUMMYFUNCTION("IFS(
  AND(REGEXMATCH(E3359, ""台銀籌備帳戶|玉山帳戶""), REGEXMATCH(C3359, ""薪資"")), ""分潤支出"",
  AND(REGEXMATCH(E3359, ""Ben帳戶|Elsa帳戶|Ben代墊|Ariel代墊|中信銀行共用""), REGEXMATCH(F3359, ""Ben帳戶|Elsa帳戶|Ben代墊|Ariel代墊|中信銀行共用"")), ""內部轉帳(忽略)"",
  AND(E3359&lt;&gt;"""", F3359&lt;&gt;"""", N"&amp;"OT(REGEXMATCH(C3359, ""薪資""))), ""內部轉帳(忽略)"",
  REGEXMATCH(C3359, ""薪資""), ""薪資變動(不計入)"",
  REGEXMATCH(C3359, ""押金""), ""押金往來"",
  AND(E3359&lt;&gt;"""", F3359=""""), ""真實支出"",
  AND(E3359="""", F3359&lt;&gt;""""), ""真實收入"",
  TRUE, ""其他""
)"),"其他")</f>
        <v>其他</v>
      </c>
      <c r="K3359" s="270" t="str">
        <f t="shared" si="2"/>
        <v/>
      </c>
      <c r="L3359">
        <f t="shared" si="3"/>
        <v>0</v>
      </c>
    </row>
    <row r="3360">
      <c r="A3360" s="107"/>
      <c r="D3360" s="270"/>
      <c r="H3360" s="106" t="str">
        <f t="shared" si="1"/>
        <v/>
      </c>
      <c r="I3360" s="271" t="str">
        <f>IFERROR(__xludf.DUMMYFUNCTION("""COMPUTED_VALUE"""),"")</f>
        <v/>
      </c>
      <c r="J3360" t="str">
        <f>IFERROR(__xludf.DUMMYFUNCTION("IFS(
  AND(REGEXMATCH(E3360, ""台銀籌備帳戶|玉山帳戶""), REGEXMATCH(C3360, ""薪資"")), ""分潤支出"",
  AND(REGEXMATCH(E3360, ""Ben帳戶|Elsa帳戶|Ben代墊|Ariel代墊|中信銀行共用""), REGEXMATCH(F3360, ""Ben帳戶|Elsa帳戶|Ben代墊|Ariel代墊|中信銀行共用"")), ""內部轉帳(忽略)"",
  AND(E3360&lt;&gt;"""", F3360&lt;&gt;"""", N"&amp;"OT(REGEXMATCH(C3360, ""薪資""))), ""內部轉帳(忽略)"",
  REGEXMATCH(C3360, ""薪資""), ""薪資變動(不計入)"",
  REGEXMATCH(C3360, ""押金""), ""押金往來"",
  AND(E3360&lt;&gt;"""", F3360=""""), ""真實支出"",
  AND(E3360="""", F3360&lt;&gt;""""), ""真實收入"",
  TRUE, ""其他""
)"),"其他")</f>
        <v>其他</v>
      </c>
      <c r="K3360" s="270" t="str">
        <f t="shared" si="2"/>
        <v/>
      </c>
      <c r="L3360">
        <f t="shared" si="3"/>
        <v>0</v>
      </c>
    </row>
    <row r="3361">
      <c r="A3361" s="107"/>
      <c r="D3361" s="270"/>
      <c r="H3361" s="106" t="str">
        <f t="shared" si="1"/>
        <v/>
      </c>
      <c r="I3361" s="271" t="str">
        <f>IFERROR(__xludf.DUMMYFUNCTION("""COMPUTED_VALUE"""),"")</f>
        <v/>
      </c>
      <c r="J3361" t="str">
        <f>IFERROR(__xludf.DUMMYFUNCTION("IFS(
  AND(REGEXMATCH(E3361, ""台銀籌備帳戶|玉山帳戶""), REGEXMATCH(C3361, ""薪資"")), ""分潤支出"",
  AND(REGEXMATCH(E3361, ""Ben帳戶|Elsa帳戶|Ben代墊|Ariel代墊|中信銀行共用""), REGEXMATCH(F3361, ""Ben帳戶|Elsa帳戶|Ben代墊|Ariel代墊|中信銀行共用"")), ""內部轉帳(忽略)"",
  AND(E3361&lt;&gt;"""", F3361&lt;&gt;"""", N"&amp;"OT(REGEXMATCH(C3361, ""薪資""))), ""內部轉帳(忽略)"",
  REGEXMATCH(C3361, ""薪資""), ""薪資變動(不計入)"",
  REGEXMATCH(C3361, ""押金""), ""押金往來"",
  AND(E3361&lt;&gt;"""", F3361=""""), ""真實支出"",
  AND(E3361="""", F3361&lt;&gt;""""), ""真實收入"",
  TRUE, ""其他""
)"),"其他")</f>
        <v>其他</v>
      </c>
      <c r="K3361" s="270" t="str">
        <f t="shared" si="2"/>
        <v/>
      </c>
      <c r="L3361">
        <f t="shared" si="3"/>
        <v>0</v>
      </c>
    </row>
    <row r="3362">
      <c r="A3362" s="107"/>
      <c r="D3362" s="270"/>
      <c r="H3362" s="106" t="str">
        <f t="shared" si="1"/>
        <v/>
      </c>
      <c r="I3362" s="271" t="str">
        <f>IFERROR(__xludf.DUMMYFUNCTION("""COMPUTED_VALUE"""),"")</f>
        <v/>
      </c>
      <c r="J3362" t="str">
        <f>IFERROR(__xludf.DUMMYFUNCTION("IFS(
  AND(REGEXMATCH(E3362, ""台銀籌備帳戶|玉山帳戶""), REGEXMATCH(C3362, ""薪資"")), ""分潤支出"",
  AND(REGEXMATCH(E3362, ""Ben帳戶|Elsa帳戶|Ben代墊|Ariel代墊|中信銀行共用""), REGEXMATCH(F3362, ""Ben帳戶|Elsa帳戶|Ben代墊|Ariel代墊|中信銀行共用"")), ""內部轉帳(忽略)"",
  AND(E3362&lt;&gt;"""", F3362&lt;&gt;"""", N"&amp;"OT(REGEXMATCH(C3362, ""薪資""))), ""內部轉帳(忽略)"",
  REGEXMATCH(C3362, ""薪資""), ""薪資變動(不計入)"",
  REGEXMATCH(C3362, ""押金""), ""押金往來"",
  AND(E3362&lt;&gt;"""", F3362=""""), ""真實支出"",
  AND(E3362="""", F3362&lt;&gt;""""), ""真實收入"",
  TRUE, ""其他""
)"),"其他")</f>
        <v>其他</v>
      </c>
      <c r="K3362" s="270" t="str">
        <f t="shared" si="2"/>
        <v/>
      </c>
      <c r="L3362">
        <f t="shared" si="3"/>
        <v>0</v>
      </c>
    </row>
    <row r="3363">
      <c r="A3363" s="107"/>
      <c r="D3363" s="270"/>
      <c r="H3363" s="106" t="str">
        <f t="shared" si="1"/>
        <v/>
      </c>
      <c r="I3363" s="271" t="str">
        <f>IFERROR(__xludf.DUMMYFUNCTION("""COMPUTED_VALUE"""),"")</f>
        <v/>
      </c>
      <c r="J3363" t="str">
        <f>IFERROR(__xludf.DUMMYFUNCTION("IFS(
  AND(REGEXMATCH(E3363, ""台銀籌備帳戶|玉山帳戶""), REGEXMATCH(C3363, ""薪資"")), ""分潤支出"",
  AND(REGEXMATCH(E3363, ""Ben帳戶|Elsa帳戶|Ben代墊|Ariel代墊|中信銀行共用""), REGEXMATCH(F3363, ""Ben帳戶|Elsa帳戶|Ben代墊|Ariel代墊|中信銀行共用"")), ""內部轉帳(忽略)"",
  AND(E3363&lt;&gt;"""", F3363&lt;&gt;"""", N"&amp;"OT(REGEXMATCH(C3363, ""薪資""))), ""內部轉帳(忽略)"",
  REGEXMATCH(C3363, ""薪資""), ""薪資變動(不計入)"",
  REGEXMATCH(C3363, ""押金""), ""押金往來"",
  AND(E3363&lt;&gt;"""", F3363=""""), ""真實支出"",
  AND(E3363="""", F3363&lt;&gt;""""), ""真實收入"",
  TRUE, ""其他""
)"),"其他")</f>
        <v>其他</v>
      </c>
      <c r="K3363" s="270" t="str">
        <f t="shared" si="2"/>
        <v/>
      </c>
      <c r="L3363">
        <f t="shared" si="3"/>
        <v>0</v>
      </c>
    </row>
    <row r="3364">
      <c r="A3364" s="107"/>
      <c r="D3364" s="270"/>
      <c r="H3364" s="106" t="str">
        <f t="shared" si="1"/>
        <v/>
      </c>
      <c r="I3364" s="271" t="str">
        <f>IFERROR(__xludf.DUMMYFUNCTION("""COMPUTED_VALUE"""),"")</f>
        <v/>
      </c>
      <c r="J3364" t="str">
        <f>IFERROR(__xludf.DUMMYFUNCTION("IFS(
  AND(REGEXMATCH(E3364, ""台銀籌備帳戶|玉山帳戶""), REGEXMATCH(C3364, ""薪資"")), ""分潤支出"",
  AND(REGEXMATCH(E3364, ""Ben帳戶|Elsa帳戶|Ben代墊|Ariel代墊|中信銀行共用""), REGEXMATCH(F3364, ""Ben帳戶|Elsa帳戶|Ben代墊|Ariel代墊|中信銀行共用"")), ""內部轉帳(忽略)"",
  AND(E3364&lt;&gt;"""", F3364&lt;&gt;"""", N"&amp;"OT(REGEXMATCH(C3364, ""薪資""))), ""內部轉帳(忽略)"",
  REGEXMATCH(C3364, ""薪資""), ""薪資變動(不計入)"",
  REGEXMATCH(C3364, ""押金""), ""押金往來"",
  AND(E3364&lt;&gt;"""", F3364=""""), ""真實支出"",
  AND(E3364="""", F3364&lt;&gt;""""), ""真實收入"",
  TRUE, ""其他""
)"),"其他")</f>
        <v>其他</v>
      </c>
      <c r="K3364" s="270" t="str">
        <f t="shared" si="2"/>
        <v/>
      </c>
      <c r="L3364">
        <f t="shared" si="3"/>
        <v>0</v>
      </c>
    </row>
    <row r="3365">
      <c r="A3365" s="107"/>
      <c r="D3365" s="270"/>
      <c r="H3365" s="106" t="str">
        <f t="shared" si="1"/>
        <v/>
      </c>
      <c r="I3365" s="271" t="str">
        <f>IFERROR(__xludf.DUMMYFUNCTION("""COMPUTED_VALUE"""),"")</f>
        <v/>
      </c>
      <c r="J3365" t="str">
        <f>IFERROR(__xludf.DUMMYFUNCTION("IFS(
  AND(REGEXMATCH(E3365, ""台銀籌備帳戶|玉山帳戶""), REGEXMATCH(C3365, ""薪資"")), ""分潤支出"",
  AND(REGEXMATCH(E3365, ""Ben帳戶|Elsa帳戶|Ben代墊|Ariel代墊|中信銀行共用""), REGEXMATCH(F3365, ""Ben帳戶|Elsa帳戶|Ben代墊|Ariel代墊|中信銀行共用"")), ""內部轉帳(忽略)"",
  AND(E3365&lt;&gt;"""", F3365&lt;&gt;"""", N"&amp;"OT(REGEXMATCH(C3365, ""薪資""))), ""內部轉帳(忽略)"",
  REGEXMATCH(C3365, ""薪資""), ""薪資變動(不計入)"",
  REGEXMATCH(C3365, ""押金""), ""押金往來"",
  AND(E3365&lt;&gt;"""", F3365=""""), ""真實支出"",
  AND(E3365="""", F3365&lt;&gt;""""), ""真實收入"",
  TRUE, ""其他""
)"),"其他")</f>
        <v>其他</v>
      </c>
      <c r="K3365" s="270" t="str">
        <f t="shared" si="2"/>
        <v/>
      </c>
      <c r="L3365">
        <f t="shared" si="3"/>
        <v>0</v>
      </c>
    </row>
    <row r="3366">
      <c r="A3366" s="107"/>
      <c r="D3366" s="270"/>
      <c r="H3366" s="106" t="str">
        <f t="shared" si="1"/>
        <v/>
      </c>
      <c r="I3366" s="271" t="str">
        <f>IFERROR(__xludf.DUMMYFUNCTION("""COMPUTED_VALUE"""),"")</f>
        <v/>
      </c>
      <c r="J3366" t="str">
        <f>IFERROR(__xludf.DUMMYFUNCTION("IFS(
  AND(REGEXMATCH(E3366, ""台銀籌備帳戶|玉山帳戶""), REGEXMATCH(C3366, ""薪資"")), ""分潤支出"",
  AND(REGEXMATCH(E3366, ""Ben帳戶|Elsa帳戶|Ben代墊|Ariel代墊|中信銀行共用""), REGEXMATCH(F3366, ""Ben帳戶|Elsa帳戶|Ben代墊|Ariel代墊|中信銀行共用"")), ""內部轉帳(忽略)"",
  AND(E3366&lt;&gt;"""", F3366&lt;&gt;"""", N"&amp;"OT(REGEXMATCH(C3366, ""薪資""))), ""內部轉帳(忽略)"",
  REGEXMATCH(C3366, ""薪資""), ""薪資變動(不計入)"",
  REGEXMATCH(C3366, ""押金""), ""押金往來"",
  AND(E3366&lt;&gt;"""", F3366=""""), ""真實支出"",
  AND(E3366="""", F3366&lt;&gt;""""), ""真實收入"",
  TRUE, ""其他""
)"),"其他")</f>
        <v>其他</v>
      </c>
      <c r="K3366" s="270" t="str">
        <f t="shared" si="2"/>
        <v/>
      </c>
      <c r="L3366">
        <f t="shared" si="3"/>
        <v>0</v>
      </c>
    </row>
    <row r="3367">
      <c r="A3367" s="107"/>
      <c r="D3367" s="270"/>
      <c r="H3367" s="106" t="str">
        <f t="shared" si="1"/>
        <v/>
      </c>
      <c r="I3367" s="271" t="str">
        <f>IFERROR(__xludf.DUMMYFUNCTION("""COMPUTED_VALUE"""),"")</f>
        <v/>
      </c>
      <c r="J3367" t="str">
        <f>IFERROR(__xludf.DUMMYFUNCTION("IFS(
  AND(REGEXMATCH(E3367, ""台銀籌備帳戶|玉山帳戶""), REGEXMATCH(C3367, ""薪資"")), ""分潤支出"",
  AND(REGEXMATCH(E3367, ""Ben帳戶|Elsa帳戶|Ben代墊|Ariel代墊|中信銀行共用""), REGEXMATCH(F3367, ""Ben帳戶|Elsa帳戶|Ben代墊|Ariel代墊|中信銀行共用"")), ""內部轉帳(忽略)"",
  AND(E3367&lt;&gt;"""", F3367&lt;&gt;"""", N"&amp;"OT(REGEXMATCH(C3367, ""薪資""))), ""內部轉帳(忽略)"",
  REGEXMATCH(C3367, ""薪資""), ""薪資變動(不計入)"",
  REGEXMATCH(C3367, ""押金""), ""押金往來"",
  AND(E3367&lt;&gt;"""", F3367=""""), ""真實支出"",
  AND(E3367="""", F3367&lt;&gt;""""), ""真實收入"",
  TRUE, ""其他""
)"),"其他")</f>
        <v>其他</v>
      </c>
      <c r="K3367" s="270" t="str">
        <f t="shared" si="2"/>
        <v/>
      </c>
      <c r="L3367">
        <f t="shared" si="3"/>
        <v>0</v>
      </c>
    </row>
    <row r="3368">
      <c r="A3368" s="107"/>
      <c r="D3368" s="270"/>
      <c r="H3368" s="106" t="str">
        <f t="shared" si="1"/>
        <v/>
      </c>
      <c r="I3368" s="271" t="str">
        <f>IFERROR(__xludf.DUMMYFUNCTION("""COMPUTED_VALUE"""),"")</f>
        <v/>
      </c>
      <c r="J3368" t="str">
        <f>IFERROR(__xludf.DUMMYFUNCTION("IFS(
  AND(REGEXMATCH(E3368, ""台銀籌備帳戶|玉山帳戶""), REGEXMATCH(C3368, ""薪資"")), ""分潤支出"",
  AND(REGEXMATCH(E3368, ""Ben帳戶|Elsa帳戶|Ben代墊|Ariel代墊|中信銀行共用""), REGEXMATCH(F3368, ""Ben帳戶|Elsa帳戶|Ben代墊|Ariel代墊|中信銀行共用"")), ""內部轉帳(忽略)"",
  AND(E3368&lt;&gt;"""", F3368&lt;&gt;"""", N"&amp;"OT(REGEXMATCH(C3368, ""薪資""))), ""內部轉帳(忽略)"",
  REGEXMATCH(C3368, ""薪資""), ""薪資變動(不計入)"",
  REGEXMATCH(C3368, ""押金""), ""押金往來"",
  AND(E3368&lt;&gt;"""", F3368=""""), ""真實支出"",
  AND(E3368="""", F3368&lt;&gt;""""), ""真實收入"",
  TRUE, ""其他""
)"),"其他")</f>
        <v>其他</v>
      </c>
      <c r="K3368" s="270" t="str">
        <f t="shared" si="2"/>
        <v/>
      </c>
      <c r="L3368">
        <f t="shared" si="3"/>
        <v>0</v>
      </c>
    </row>
    <row r="3369">
      <c r="A3369" s="107"/>
      <c r="D3369" s="270"/>
      <c r="H3369" s="106" t="str">
        <f t="shared" si="1"/>
        <v/>
      </c>
      <c r="I3369" s="271" t="str">
        <f>IFERROR(__xludf.DUMMYFUNCTION("""COMPUTED_VALUE"""),"")</f>
        <v/>
      </c>
      <c r="J3369" t="str">
        <f>IFERROR(__xludf.DUMMYFUNCTION("IFS(
  AND(REGEXMATCH(E3369, ""台銀籌備帳戶|玉山帳戶""), REGEXMATCH(C3369, ""薪資"")), ""分潤支出"",
  AND(REGEXMATCH(E3369, ""Ben帳戶|Elsa帳戶|Ben代墊|Ariel代墊|中信銀行共用""), REGEXMATCH(F3369, ""Ben帳戶|Elsa帳戶|Ben代墊|Ariel代墊|中信銀行共用"")), ""內部轉帳(忽略)"",
  AND(E3369&lt;&gt;"""", F3369&lt;&gt;"""", N"&amp;"OT(REGEXMATCH(C3369, ""薪資""))), ""內部轉帳(忽略)"",
  REGEXMATCH(C3369, ""薪資""), ""薪資變動(不計入)"",
  REGEXMATCH(C3369, ""押金""), ""押金往來"",
  AND(E3369&lt;&gt;"""", F3369=""""), ""真實支出"",
  AND(E3369="""", F3369&lt;&gt;""""), ""真實收入"",
  TRUE, ""其他""
)"),"其他")</f>
        <v>其他</v>
      </c>
      <c r="K3369" s="270" t="str">
        <f t="shared" si="2"/>
        <v/>
      </c>
      <c r="L3369">
        <f t="shared" si="3"/>
        <v>0</v>
      </c>
    </row>
    <row r="3370">
      <c r="A3370" s="107"/>
      <c r="D3370" s="270"/>
      <c r="H3370" s="106" t="str">
        <f t="shared" si="1"/>
        <v/>
      </c>
      <c r="I3370" s="271" t="str">
        <f>IFERROR(__xludf.DUMMYFUNCTION("""COMPUTED_VALUE"""),"")</f>
        <v/>
      </c>
      <c r="J3370" t="str">
        <f>IFERROR(__xludf.DUMMYFUNCTION("IFS(
  AND(REGEXMATCH(E3370, ""台銀籌備帳戶|玉山帳戶""), REGEXMATCH(C3370, ""薪資"")), ""分潤支出"",
  AND(REGEXMATCH(E3370, ""Ben帳戶|Elsa帳戶|Ben代墊|Ariel代墊|中信銀行共用""), REGEXMATCH(F3370, ""Ben帳戶|Elsa帳戶|Ben代墊|Ariel代墊|中信銀行共用"")), ""內部轉帳(忽略)"",
  AND(E3370&lt;&gt;"""", F3370&lt;&gt;"""", N"&amp;"OT(REGEXMATCH(C3370, ""薪資""))), ""內部轉帳(忽略)"",
  REGEXMATCH(C3370, ""薪資""), ""薪資變動(不計入)"",
  REGEXMATCH(C3370, ""押金""), ""押金往來"",
  AND(E3370&lt;&gt;"""", F3370=""""), ""真實支出"",
  AND(E3370="""", F3370&lt;&gt;""""), ""真實收入"",
  TRUE, ""其他""
)"),"其他")</f>
        <v>其他</v>
      </c>
      <c r="K3370" s="270" t="str">
        <f t="shared" si="2"/>
        <v/>
      </c>
      <c r="L3370">
        <f t="shared" si="3"/>
        <v>0</v>
      </c>
    </row>
    <row r="3371">
      <c r="A3371" s="107"/>
      <c r="D3371" s="270"/>
      <c r="H3371" s="106" t="str">
        <f t="shared" si="1"/>
        <v/>
      </c>
      <c r="I3371" s="271" t="str">
        <f>IFERROR(__xludf.DUMMYFUNCTION("""COMPUTED_VALUE"""),"")</f>
        <v/>
      </c>
      <c r="J3371" t="str">
        <f>IFERROR(__xludf.DUMMYFUNCTION("IFS(
  AND(REGEXMATCH(E3371, ""台銀籌備帳戶|玉山帳戶""), REGEXMATCH(C3371, ""薪資"")), ""分潤支出"",
  AND(REGEXMATCH(E3371, ""Ben帳戶|Elsa帳戶|Ben代墊|Ariel代墊|中信銀行共用""), REGEXMATCH(F3371, ""Ben帳戶|Elsa帳戶|Ben代墊|Ariel代墊|中信銀行共用"")), ""內部轉帳(忽略)"",
  AND(E3371&lt;&gt;"""", F3371&lt;&gt;"""", N"&amp;"OT(REGEXMATCH(C3371, ""薪資""))), ""內部轉帳(忽略)"",
  REGEXMATCH(C3371, ""薪資""), ""薪資變動(不計入)"",
  REGEXMATCH(C3371, ""押金""), ""押金往來"",
  AND(E3371&lt;&gt;"""", F3371=""""), ""真實支出"",
  AND(E3371="""", F3371&lt;&gt;""""), ""真實收入"",
  TRUE, ""其他""
)"),"其他")</f>
        <v>其他</v>
      </c>
      <c r="K3371" s="270" t="str">
        <f t="shared" si="2"/>
        <v/>
      </c>
      <c r="L3371">
        <f t="shared" si="3"/>
        <v>0</v>
      </c>
    </row>
    <row r="3372">
      <c r="A3372" s="107"/>
      <c r="D3372" s="270"/>
      <c r="H3372" s="106" t="str">
        <f t="shared" si="1"/>
        <v/>
      </c>
      <c r="I3372" s="271" t="str">
        <f>IFERROR(__xludf.DUMMYFUNCTION("""COMPUTED_VALUE"""),"")</f>
        <v/>
      </c>
      <c r="J3372" t="str">
        <f>IFERROR(__xludf.DUMMYFUNCTION("IFS(
  AND(REGEXMATCH(E3372, ""台銀籌備帳戶|玉山帳戶""), REGEXMATCH(C3372, ""薪資"")), ""分潤支出"",
  AND(REGEXMATCH(E3372, ""Ben帳戶|Elsa帳戶|Ben代墊|Ariel代墊|中信銀行共用""), REGEXMATCH(F3372, ""Ben帳戶|Elsa帳戶|Ben代墊|Ariel代墊|中信銀行共用"")), ""內部轉帳(忽略)"",
  AND(E3372&lt;&gt;"""", F3372&lt;&gt;"""", N"&amp;"OT(REGEXMATCH(C3372, ""薪資""))), ""內部轉帳(忽略)"",
  REGEXMATCH(C3372, ""薪資""), ""薪資變動(不計入)"",
  REGEXMATCH(C3372, ""押金""), ""押金往來"",
  AND(E3372&lt;&gt;"""", F3372=""""), ""真實支出"",
  AND(E3372="""", F3372&lt;&gt;""""), ""真實收入"",
  TRUE, ""其他""
)"),"其他")</f>
        <v>其他</v>
      </c>
      <c r="K3372" s="270" t="str">
        <f t="shared" si="2"/>
        <v/>
      </c>
      <c r="L3372">
        <f t="shared" si="3"/>
        <v>0</v>
      </c>
    </row>
    <row r="3373">
      <c r="A3373" s="107"/>
      <c r="D3373" s="270"/>
      <c r="H3373" s="106" t="str">
        <f t="shared" si="1"/>
        <v/>
      </c>
      <c r="I3373" s="271" t="str">
        <f>IFERROR(__xludf.DUMMYFUNCTION("""COMPUTED_VALUE"""),"")</f>
        <v/>
      </c>
      <c r="J3373" t="str">
        <f>IFERROR(__xludf.DUMMYFUNCTION("IFS(
  AND(REGEXMATCH(E3373, ""台銀籌備帳戶|玉山帳戶""), REGEXMATCH(C3373, ""薪資"")), ""分潤支出"",
  AND(REGEXMATCH(E3373, ""Ben帳戶|Elsa帳戶|Ben代墊|Ariel代墊|中信銀行共用""), REGEXMATCH(F3373, ""Ben帳戶|Elsa帳戶|Ben代墊|Ariel代墊|中信銀行共用"")), ""內部轉帳(忽略)"",
  AND(E3373&lt;&gt;"""", F3373&lt;&gt;"""", N"&amp;"OT(REGEXMATCH(C3373, ""薪資""))), ""內部轉帳(忽略)"",
  REGEXMATCH(C3373, ""薪資""), ""薪資變動(不計入)"",
  REGEXMATCH(C3373, ""押金""), ""押金往來"",
  AND(E3373&lt;&gt;"""", F3373=""""), ""真實支出"",
  AND(E3373="""", F3373&lt;&gt;""""), ""真實收入"",
  TRUE, ""其他""
)"),"其他")</f>
        <v>其他</v>
      </c>
      <c r="K3373" s="270" t="str">
        <f t="shared" si="2"/>
        <v/>
      </c>
      <c r="L3373">
        <f t="shared" si="3"/>
        <v>0</v>
      </c>
    </row>
    <row r="3374">
      <c r="A3374" s="107"/>
      <c r="D3374" s="270"/>
      <c r="H3374" s="106" t="str">
        <f t="shared" si="1"/>
        <v/>
      </c>
      <c r="I3374" s="271" t="str">
        <f>IFERROR(__xludf.DUMMYFUNCTION("""COMPUTED_VALUE"""),"")</f>
        <v/>
      </c>
      <c r="J3374" t="str">
        <f>IFERROR(__xludf.DUMMYFUNCTION("IFS(
  AND(REGEXMATCH(E3374, ""台銀籌備帳戶|玉山帳戶""), REGEXMATCH(C3374, ""薪資"")), ""分潤支出"",
  AND(REGEXMATCH(E3374, ""Ben帳戶|Elsa帳戶|Ben代墊|Ariel代墊|中信銀行共用""), REGEXMATCH(F3374, ""Ben帳戶|Elsa帳戶|Ben代墊|Ariel代墊|中信銀行共用"")), ""內部轉帳(忽略)"",
  AND(E3374&lt;&gt;"""", F3374&lt;&gt;"""", N"&amp;"OT(REGEXMATCH(C3374, ""薪資""))), ""內部轉帳(忽略)"",
  REGEXMATCH(C3374, ""薪資""), ""薪資變動(不計入)"",
  REGEXMATCH(C3374, ""押金""), ""押金往來"",
  AND(E3374&lt;&gt;"""", F3374=""""), ""真實支出"",
  AND(E3374="""", F3374&lt;&gt;""""), ""真實收入"",
  TRUE, ""其他""
)"),"其他")</f>
        <v>其他</v>
      </c>
      <c r="K3374" s="270" t="str">
        <f t="shared" si="2"/>
        <v/>
      </c>
      <c r="L3374">
        <f t="shared" si="3"/>
        <v>0</v>
      </c>
    </row>
    <row r="3375">
      <c r="A3375" s="107"/>
      <c r="D3375" s="270"/>
      <c r="H3375" s="106" t="str">
        <f t="shared" si="1"/>
        <v/>
      </c>
      <c r="I3375" s="271" t="str">
        <f>IFERROR(__xludf.DUMMYFUNCTION("""COMPUTED_VALUE"""),"")</f>
        <v/>
      </c>
      <c r="J3375" t="str">
        <f>IFERROR(__xludf.DUMMYFUNCTION("IFS(
  AND(REGEXMATCH(E3375, ""台銀籌備帳戶|玉山帳戶""), REGEXMATCH(C3375, ""薪資"")), ""分潤支出"",
  AND(REGEXMATCH(E3375, ""Ben帳戶|Elsa帳戶|Ben代墊|Ariel代墊|中信銀行共用""), REGEXMATCH(F3375, ""Ben帳戶|Elsa帳戶|Ben代墊|Ariel代墊|中信銀行共用"")), ""內部轉帳(忽略)"",
  AND(E3375&lt;&gt;"""", F3375&lt;&gt;"""", N"&amp;"OT(REGEXMATCH(C3375, ""薪資""))), ""內部轉帳(忽略)"",
  REGEXMATCH(C3375, ""薪資""), ""薪資變動(不計入)"",
  REGEXMATCH(C3375, ""押金""), ""押金往來"",
  AND(E3375&lt;&gt;"""", F3375=""""), ""真實支出"",
  AND(E3375="""", F3375&lt;&gt;""""), ""真實收入"",
  TRUE, ""其他""
)"),"其他")</f>
        <v>其他</v>
      </c>
      <c r="K3375" s="270" t="str">
        <f t="shared" si="2"/>
        <v/>
      </c>
      <c r="L3375">
        <f t="shared" si="3"/>
        <v>0</v>
      </c>
    </row>
    <row r="3376">
      <c r="A3376" s="107"/>
      <c r="D3376" s="270"/>
      <c r="H3376" s="106" t="str">
        <f t="shared" si="1"/>
        <v/>
      </c>
      <c r="I3376" s="271" t="str">
        <f>IFERROR(__xludf.DUMMYFUNCTION("""COMPUTED_VALUE"""),"")</f>
        <v/>
      </c>
      <c r="J3376" t="str">
        <f>IFERROR(__xludf.DUMMYFUNCTION("IFS(
  AND(REGEXMATCH(E3376, ""台銀籌備帳戶|玉山帳戶""), REGEXMATCH(C3376, ""薪資"")), ""分潤支出"",
  AND(REGEXMATCH(E3376, ""Ben帳戶|Elsa帳戶|Ben代墊|Ariel代墊|中信銀行共用""), REGEXMATCH(F3376, ""Ben帳戶|Elsa帳戶|Ben代墊|Ariel代墊|中信銀行共用"")), ""內部轉帳(忽略)"",
  AND(E3376&lt;&gt;"""", F3376&lt;&gt;"""", N"&amp;"OT(REGEXMATCH(C3376, ""薪資""))), ""內部轉帳(忽略)"",
  REGEXMATCH(C3376, ""薪資""), ""薪資變動(不計入)"",
  REGEXMATCH(C3376, ""押金""), ""押金往來"",
  AND(E3376&lt;&gt;"""", F3376=""""), ""真實支出"",
  AND(E3376="""", F3376&lt;&gt;""""), ""真實收入"",
  TRUE, ""其他""
)"),"其他")</f>
        <v>其他</v>
      </c>
      <c r="K3376" s="270" t="str">
        <f t="shared" si="2"/>
        <v/>
      </c>
      <c r="L3376">
        <f t="shared" si="3"/>
        <v>0</v>
      </c>
    </row>
    <row r="3377">
      <c r="A3377" s="107"/>
      <c r="D3377" s="270"/>
      <c r="H3377" s="106" t="str">
        <f t="shared" si="1"/>
        <v/>
      </c>
      <c r="I3377" s="271" t="str">
        <f>IFERROR(__xludf.DUMMYFUNCTION("""COMPUTED_VALUE"""),"")</f>
        <v/>
      </c>
      <c r="J3377" t="str">
        <f>IFERROR(__xludf.DUMMYFUNCTION("IFS(
  AND(REGEXMATCH(E3377, ""台銀籌備帳戶|玉山帳戶""), REGEXMATCH(C3377, ""薪資"")), ""分潤支出"",
  AND(REGEXMATCH(E3377, ""Ben帳戶|Elsa帳戶|Ben代墊|Ariel代墊|中信銀行共用""), REGEXMATCH(F3377, ""Ben帳戶|Elsa帳戶|Ben代墊|Ariel代墊|中信銀行共用"")), ""內部轉帳(忽略)"",
  AND(E3377&lt;&gt;"""", F3377&lt;&gt;"""", N"&amp;"OT(REGEXMATCH(C3377, ""薪資""))), ""內部轉帳(忽略)"",
  REGEXMATCH(C3377, ""薪資""), ""薪資變動(不計入)"",
  REGEXMATCH(C3377, ""押金""), ""押金往來"",
  AND(E3377&lt;&gt;"""", F3377=""""), ""真實支出"",
  AND(E3377="""", F3377&lt;&gt;""""), ""真實收入"",
  TRUE, ""其他""
)"),"其他")</f>
        <v>其他</v>
      </c>
      <c r="K3377" s="270" t="str">
        <f t="shared" si="2"/>
        <v/>
      </c>
      <c r="L3377">
        <f t="shared" si="3"/>
        <v>0</v>
      </c>
    </row>
    <row r="3378">
      <c r="A3378" s="107"/>
      <c r="D3378" s="270"/>
      <c r="H3378" s="106" t="str">
        <f t="shared" si="1"/>
        <v/>
      </c>
      <c r="I3378" s="271" t="str">
        <f>IFERROR(__xludf.DUMMYFUNCTION("""COMPUTED_VALUE"""),"")</f>
        <v/>
      </c>
      <c r="J3378" t="str">
        <f>IFERROR(__xludf.DUMMYFUNCTION("IFS(
  AND(REGEXMATCH(E3378, ""台銀籌備帳戶|玉山帳戶""), REGEXMATCH(C3378, ""薪資"")), ""分潤支出"",
  AND(REGEXMATCH(E3378, ""Ben帳戶|Elsa帳戶|Ben代墊|Ariel代墊|中信銀行共用""), REGEXMATCH(F3378, ""Ben帳戶|Elsa帳戶|Ben代墊|Ariel代墊|中信銀行共用"")), ""內部轉帳(忽略)"",
  AND(E3378&lt;&gt;"""", F3378&lt;&gt;"""", N"&amp;"OT(REGEXMATCH(C3378, ""薪資""))), ""內部轉帳(忽略)"",
  REGEXMATCH(C3378, ""薪資""), ""薪資變動(不計入)"",
  REGEXMATCH(C3378, ""押金""), ""押金往來"",
  AND(E3378&lt;&gt;"""", F3378=""""), ""真實支出"",
  AND(E3378="""", F3378&lt;&gt;""""), ""真實收入"",
  TRUE, ""其他""
)"),"其他")</f>
        <v>其他</v>
      </c>
      <c r="K3378" s="270" t="str">
        <f t="shared" si="2"/>
        <v/>
      </c>
      <c r="L3378">
        <f t="shared" si="3"/>
        <v>0</v>
      </c>
    </row>
    <row r="3379">
      <c r="A3379" s="107"/>
      <c r="D3379" s="270"/>
      <c r="H3379" s="106" t="str">
        <f t="shared" si="1"/>
        <v/>
      </c>
      <c r="I3379" s="271" t="str">
        <f>IFERROR(__xludf.DUMMYFUNCTION("""COMPUTED_VALUE"""),"")</f>
        <v/>
      </c>
      <c r="J3379" t="str">
        <f>IFERROR(__xludf.DUMMYFUNCTION("IFS(
  AND(REGEXMATCH(E3379, ""台銀籌備帳戶|玉山帳戶""), REGEXMATCH(C3379, ""薪資"")), ""分潤支出"",
  AND(REGEXMATCH(E3379, ""Ben帳戶|Elsa帳戶|Ben代墊|Ariel代墊|中信銀行共用""), REGEXMATCH(F3379, ""Ben帳戶|Elsa帳戶|Ben代墊|Ariel代墊|中信銀行共用"")), ""內部轉帳(忽略)"",
  AND(E3379&lt;&gt;"""", F3379&lt;&gt;"""", N"&amp;"OT(REGEXMATCH(C3379, ""薪資""))), ""內部轉帳(忽略)"",
  REGEXMATCH(C3379, ""薪資""), ""薪資變動(不計入)"",
  REGEXMATCH(C3379, ""押金""), ""押金往來"",
  AND(E3379&lt;&gt;"""", F3379=""""), ""真實支出"",
  AND(E3379="""", F3379&lt;&gt;""""), ""真實收入"",
  TRUE, ""其他""
)"),"其他")</f>
        <v>其他</v>
      </c>
      <c r="K3379" s="270" t="str">
        <f t="shared" si="2"/>
        <v/>
      </c>
      <c r="L3379">
        <f t="shared" si="3"/>
        <v>0</v>
      </c>
    </row>
    <row r="3380">
      <c r="A3380" s="107"/>
      <c r="D3380" s="270"/>
      <c r="H3380" s="106" t="str">
        <f t="shared" si="1"/>
        <v/>
      </c>
      <c r="I3380" s="271" t="str">
        <f>IFERROR(__xludf.DUMMYFUNCTION("""COMPUTED_VALUE"""),"")</f>
        <v/>
      </c>
      <c r="J3380" t="str">
        <f>IFERROR(__xludf.DUMMYFUNCTION("IFS(
  AND(REGEXMATCH(E3380, ""台銀籌備帳戶|玉山帳戶""), REGEXMATCH(C3380, ""薪資"")), ""分潤支出"",
  AND(REGEXMATCH(E3380, ""Ben帳戶|Elsa帳戶|Ben代墊|Ariel代墊|中信銀行共用""), REGEXMATCH(F3380, ""Ben帳戶|Elsa帳戶|Ben代墊|Ariel代墊|中信銀行共用"")), ""內部轉帳(忽略)"",
  AND(E3380&lt;&gt;"""", F3380&lt;&gt;"""", N"&amp;"OT(REGEXMATCH(C3380, ""薪資""))), ""內部轉帳(忽略)"",
  REGEXMATCH(C3380, ""薪資""), ""薪資變動(不計入)"",
  REGEXMATCH(C3380, ""押金""), ""押金往來"",
  AND(E3380&lt;&gt;"""", F3380=""""), ""真實支出"",
  AND(E3380="""", F3380&lt;&gt;""""), ""真實收入"",
  TRUE, ""其他""
)"),"其他")</f>
        <v>其他</v>
      </c>
      <c r="K3380" s="270" t="str">
        <f t="shared" si="2"/>
        <v/>
      </c>
      <c r="L3380">
        <f t="shared" si="3"/>
        <v>0</v>
      </c>
    </row>
    <row r="3381">
      <c r="A3381" s="107"/>
      <c r="D3381" s="270"/>
      <c r="H3381" s="106" t="str">
        <f t="shared" si="1"/>
        <v/>
      </c>
      <c r="I3381" s="271" t="str">
        <f>IFERROR(__xludf.DUMMYFUNCTION("""COMPUTED_VALUE"""),"")</f>
        <v/>
      </c>
      <c r="J3381" t="str">
        <f>IFERROR(__xludf.DUMMYFUNCTION("IFS(
  AND(REGEXMATCH(E3381, ""台銀籌備帳戶|玉山帳戶""), REGEXMATCH(C3381, ""薪資"")), ""分潤支出"",
  AND(REGEXMATCH(E3381, ""Ben帳戶|Elsa帳戶|Ben代墊|Ariel代墊|中信銀行共用""), REGEXMATCH(F3381, ""Ben帳戶|Elsa帳戶|Ben代墊|Ariel代墊|中信銀行共用"")), ""內部轉帳(忽略)"",
  AND(E3381&lt;&gt;"""", F3381&lt;&gt;"""", N"&amp;"OT(REGEXMATCH(C3381, ""薪資""))), ""內部轉帳(忽略)"",
  REGEXMATCH(C3381, ""薪資""), ""薪資變動(不計入)"",
  REGEXMATCH(C3381, ""押金""), ""押金往來"",
  AND(E3381&lt;&gt;"""", F3381=""""), ""真實支出"",
  AND(E3381="""", F3381&lt;&gt;""""), ""真實收入"",
  TRUE, ""其他""
)"),"其他")</f>
        <v>其他</v>
      </c>
      <c r="K3381" s="270" t="str">
        <f t="shared" si="2"/>
        <v/>
      </c>
      <c r="L3381">
        <f t="shared" si="3"/>
        <v>0</v>
      </c>
    </row>
    <row r="3382">
      <c r="A3382" s="107"/>
      <c r="D3382" s="270"/>
      <c r="H3382" s="106" t="str">
        <f t="shared" si="1"/>
        <v/>
      </c>
      <c r="I3382" s="271" t="str">
        <f>IFERROR(__xludf.DUMMYFUNCTION("""COMPUTED_VALUE"""),"")</f>
        <v/>
      </c>
      <c r="J3382" t="str">
        <f>IFERROR(__xludf.DUMMYFUNCTION("IFS(
  AND(REGEXMATCH(E3382, ""台銀籌備帳戶|玉山帳戶""), REGEXMATCH(C3382, ""薪資"")), ""分潤支出"",
  AND(REGEXMATCH(E3382, ""Ben帳戶|Elsa帳戶|Ben代墊|Ariel代墊|中信銀行共用""), REGEXMATCH(F3382, ""Ben帳戶|Elsa帳戶|Ben代墊|Ariel代墊|中信銀行共用"")), ""內部轉帳(忽略)"",
  AND(E3382&lt;&gt;"""", F3382&lt;&gt;"""", N"&amp;"OT(REGEXMATCH(C3382, ""薪資""))), ""內部轉帳(忽略)"",
  REGEXMATCH(C3382, ""薪資""), ""薪資變動(不計入)"",
  REGEXMATCH(C3382, ""押金""), ""押金往來"",
  AND(E3382&lt;&gt;"""", F3382=""""), ""真實支出"",
  AND(E3382="""", F3382&lt;&gt;""""), ""真實收入"",
  TRUE, ""其他""
)"),"其他")</f>
        <v>其他</v>
      </c>
      <c r="K3382" s="270" t="str">
        <f t="shared" si="2"/>
        <v/>
      </c>
      <c r="L3382">
        <f t="shared" si="3"/>
        <v>0</v>
      </c>
    </row>
    <row r="3383">
      <c r="A3383" s="107"/>
      <c r="D3383" s="270"/>
      <c r="H3383" s="106" t="str">
        <f t="shared" si="1"/>
        <v/>
      </c>
      <c r="I3383" s="271" t="str">
        <f>IFERROR(__xludf.DUMMYFUNCTION("""COMPUTED_VALUE"""),"")</f>
        <v/>
      </c>
      <c r="J3383" t="str">
        <f>IFERROR(__xludf.DUMMYFUNCTION("IFS(
  AND(REGEXMATCH(E3383, ""台銀籌備帳戶|玉山帳戶""), REGEXMATCH(C3383, ""薪資"")), ""分潤支出"",
  AND(REGEXMATCH(E3383, ""Ben帳戶|Elsa帳戶|Ben代墊|Ariel代墊|中信銀行共用""), REGEXMATCH(F3383, ""Ben帳戶|Elsa帳戶|Ben代墊|Ariel代墊|中信銀行共用"")), ""內部轉帳(忽略)"",
  AND(E3383&lt;&gt;"""", F3383&lt;&gt;"""", N"&amp;"OT(REGEXMATCH(C3383, ""薪資""))), ""內部轉帳(忽略)"",
  REGEXMATCH(C3383, ""薪資""), ""薪資變動(不計入)"",
  REGEXMATCH(C3383, ""押金""), ""押金往來"",
  AND(E3383&lt;&gt;"""", F3383=""""), ""真實支出"",
  AND(E3383="""", F3383&lt;&gt;""""), ""真實收入"",
  TRUE, ""其他""
)"),"其他")</f>
        <v>其他</v>
      </c>
      <c r="K3383" s="270" t="str">
        <f t="shared" si="2"/>
        <v/>
      </c>
      <c r="L3383">
        <f t="shared" si="3"/>
        <v>0</v>
      </c>
    </row>
    <row r="3384">
      <c r="A3384" s="107"/>
      <c r="D3384" s="270"/>
      <c r="H3384" s="106" t="str">
        <f t="shared" si="1"/>
        <v/>
      </c>
      <c r="I3384" s="271" t="str">
        <f>IFERROR(__xludf.DUMMYFUNCTION("""COMPUTED_VALUE"""),"")</f>
        <v/>
      </c>
      <c r="J3384" t="str">
        <f>IFERROR(__xludf.DUMMYFUNCTION("IFS(
  AND(REGEXMATCH(E3384, ""台銀籌備帳戶|玉山帳戶""), REGEXMATCH(C3384, ""薪資"")), ""分潤支出"",
  AND(REGEXMATCH(E3384, ""Ben帳戶|Elsa帳戶|Ben代墊|Ariel代墊|中信銀行共用""), REGEXMATCH(F3384, ""Ben帳戶|Elsa帳戶|Ben代墊|Ariel代墊|中信銀行共用"")), ""內部轉帳(忽略)"",
  AND(E3384&lt;&gt;"""", F3384&lt;&gt;"""", N"&amp;"OT(REGEXMATCH(C3384, ""薪資""))), ""內部轉帳(忽略)"",
  REGEXMATCH(C3384, ""薪資""), ""薪資變動(不計入)"",
  REGEXMATCH(C3384, ""押金""), ""押金往來"",
  AND(E3384&lt;&gt;"""", F3384=""""), ""真實支出"",
  AND(E3384="""", F3384&lt;&gt;""""), ""真實收入"",
  TRUE, ""其他""
)"),"其他")</f>
        <v>其他</v>
      </c>
      <c r="K3384" s="270" t="str">
        <f t="shared" si="2"/>
        <v/>
      </c>
      <c r="L3384">
        <f t="shared" si="3"/>
        <v>0</v>
      </c>
    </row>
    <row r="3385">
      <c r="A3385" s="107"/>
      <c r="D3385" s="270"/>
      <c r="H3385" s="106" t="str">
        <f t="shared" si="1"/>
        <v/>
      </c>
      <c r="I3385" s="271" t="str">
        <f>IFERROR(__xludf.DUMMYFUNCTION("""COMPUTED_VALUE"""),"")</f>
        <v/>
      </c>
      <c r="J3385" t="str">
        <f>IFERROR(__xludf.DUMMYFUNCTION("IFS(
  AND(REGEXMATCH(E3385, ""台銀籌備帳戶|玉山帳戶""), REGEXMATCH(C3385, ""薪資"")), ""分潤支出"",
  AND(REGEXMATCH(E3385, ""Ben帳戶|Elsa帳戶|Ben代墊|Ariel代墊|中信銀行共用""), REGEXMATCH(F3385, ""Ben帳戶|Elsa帳戶|Ben代墊|Ariel代墊|中信銀行共用"")), ""內部轉帳(忽略)"",
  AND(E3385&lt;&gt;"""", F3385&lt;&gt;"""", N"&amp;"OT(REGEXMATCH(C3385, ""薪資""))), ""內部轉帳(忽略)"",
  REGEXMATCH(C3385, ""薪資""), ""薪資變動(不計入)"",
  REGEXMATCH(C3385, ""押金""), ""押金往來"",
  AND(E3385&lt;&gt;"""", F3385=""""), ""真實支出"",
  AND(E3385="""", F3385&lt;&gt;""""), ""真實收入"",
  TRUE, ""其他""
)"),"其他")</f>
        <v>其他</v>
      </c>
      <c r="K3385" s="270" t="str">
        <f t="shared" si="2"/>
        <v/>
      </c>
      <c r="L3385">
        <f t="shared" si="3"/>
        <v>0</v>
      </c>
    </row>
    <row r="3386">
      <c r="A3386" s="107"/>
      <c r="D3386" s="270"/>
      <c r="H3386" s="106" t="str">
        <f t="shared" si="1"/>
        <v/>
      </c>
      <c r="I3386" s="271" t="str">
        <f>IFERROR(__xludf.DUMMYFUNCTION("""COMPUTED_VALUE"""),"")</f>
        <v/>
      </c>
      <c r="J3386" t="str">
        <f>IFERROR(__xludf.DUMMYFUNCTION("IFS(
  AND(REGEXMATCH(E3386, ""台銀籌備帳戶|玉山帳戶""), REGEXMATCH(C3386, ""薪資"")), ""分潤支出"",
  AND(REGEXMATCH(E3386, ""Ben帳戶|Elsa帳戶|Ben代墊|Ariel代墊|中信銀行共用""), REGEXMATCH(F3386, ""Ben帳戶|Elsa帳戶|Ben代墊|Ariel代墊|中信銀行共用"")), ""內部轉帳(忽略)"",
  AND(E3386&lt;&gt;"""", F3386&lt;&gt;"""", N"&amp;"OT(REGEXMATCH(C3386, ""薪資""))), ""內部轉帳(忽略)"",
  REGEXMATCH(C3386, ""薪資""), ""薪資變動(不計入)"",
  REGEXMATCH(C3386, ""押金""), ""押金往來"",
  AND(E3386&lt;&gt;"""", F3386=""""), ""真實支出"",
  AND(E3386="""", F3386&lt;&gt;""""), ""真實收入"",
  TRUE, ""其他""
)"),"其他")</f>
        <v>其他</v>
      </c>
      <c r="K3386" s="270" t="str">
        <f t="shared" si="2"/>
        <v/>
      </c>
      <c r="L3386">
        <f t="shared" si="3"/>
        <v>0</v>
      </c>
    </row>
    <row r="3387">
      <c r="A3387" s="107"/>
      <c r="D3387" s="270"/>
      <c r="H3387" s="106" t="str">
        <f t="shared" si="1"/>
        <v/>
      </c>
      <c r="I3387" s="271" t="str">
        <f>IFERROR(__xludf.DUMMYFUNCTION("""COMPUTED_VALUE"""),"")</f>
        <v/>
      </c>
      <c r="J3387" t="str">
        <f>IFERROR(__xludf.DUMMYFUNCTION("IFS(
  AND(REGEXMATCH(E3387, ""台銀籌備帳戶|玉山帳戶""), REGEXMATCH(C3387, ""薪資"")), ""分潤支出"",
  AND(REGEXMATCH(E3387, ""Ben帳戶|Elsa帳戶|Ben代墊|Ariel代墊|中信銀行共用""), REGEXMATCH(F3387, ""Ben帳戶|Elsa帳戶|Ben代墊|Ariel代墊|中信銀行共用"")), ""內部轉帳(忽略)"",
  AND(E3387&lt;&gt;"""", F3387&lt;&gt;"""", N"&amp;"OT(REGEXMATCH(C3387, ""薪資""))), ""內部轉帳(忽略)"",
  REGEXMATCH(C3387, ""薪資""), ""薪資變動(不計入)"",
  REGEXMATCH(C3387, ""押金""), ""押金往來"",
  AND(E3387&lt;&gt;"""", F3387=""""), ""真實支出"",
  AND(E3387="""", F3387&lt;&gt;""""), ""真實收入"",
  TRUE, ""其他""
)"),"其他")</f>
        <v>其他</v>
      </c>
      <c r="K3387" s="270" t="str">
        <f t="shared" si="2"/>
        <v/>
      </c>
      <c r="L3387">
        <f t="shared" si="3"/>
        <v>0</v>
      </c>
    </row>
    <row r="3388">
      <c r="A3388" s="107"/>
      <c r="D3388" s="270"/>
      <c r="H3388" s="106" t="str">
        <f t="shared" si="1"/>
        <v/>
      </c>
      <c r="I3388" s="271" t="str">
        <f>IFERROR(__xludf.DUMMYFUNCTION("""COMPUTED_VALUE"""),"")</f>
        <v/>
      </c>
      <c r="J3388" t="str">
        <f>IFERROR(__xludf.DUMMYFUNCTION("IFS(
  AND(REGEXMATCH(E3388, ""台銀籌備帳戶|玉山帳戶""), REGEXMATCH(C3388, ""薪資"")), ""分潤支出"",
  AND(REGEXMATCH(E3388, ""Ben帳戶|Elsa帳戶|Ben代墊|Ariel代墊|中信銀行共用""), REGEXMATCH(F3388, ""Ben帳戶|Elsa帳戶|Ben代墊|Ariel代墊|中信銀行共用"")), ""內部轉帳(忽略)"",
  AND(E3388&lt;&gt;"""", F3388&lt;&gt;"""", N"&amp;"OT(REGEXMATCH(C3388, ""薪資""))), ""內部轉帳(忽略)"",
  REGEXMATCH(C3388, ""薪資""), ""薪資變動(不計入)"",
  REGEXMATCH(C3388, ""押金""), ""押金往來"",
  AND(E3388&lt;&gt;"""", F3388=""""), ""真實支出"",
  AND(E3388="""", F3388&lt;&gt;""""), ""真實收入"",
  TRUE, ""其他""
)"),"其他")</f>
        <v>其他</v>
      </c>
      <c r="K3388" s="270" t="str">
        <f t="shared" si="2"/>
        <v/>
      </c>
      <c r="L3388">
        <f t="shared" si="3"/>
        <v>0</v>
      </c>
    </row>
    <row r="3389">
      <c r="A3389" s="107"/>
      <c r="D3389" s="270"/>
      <c r="H3389" s="106" t="str">
        <f t="shared" si="1"/>
        <v/>
      </c>
      <c r="I3389" s="271" t="str">
        <f>IFERROR(__xludf.DUMMYFUNCTION("""COMPUTED_VALUE"""),"")</f>
        <v/>
      </c>
      <c r="J3389" t="str">
        <f>IFERROR(__xludf.DUMMYFUNCTION("IFS(
  AND(REGEXMATCH(E3389, ""台銀籌備帳戶|玉山帳戶""), REGEXMATCH(C3389, ""薪資"")), ""分潤支出"",
  AND(REGEXMATCH(E3389, ""Ben帳戶|Elsa帳戶|Ben代墊|Ariel代墊|中信銀行共用""), REGEXMATCH(F3389, ""Ben帳戶|Elsa帳戶|Ben代墊|Ariel代墊|中信銀行共用"")), ""內部轉帳(忽略)"",
  AND(E3389&lt;&gt;"""", F3389&lt;&gt;"""", N"&amp;"OT(REGEXMATCH(C3389, ""薪資""))), ""內部轉帳(忽略)"",
  REGEXMATCH(C3389, ""薪資""), ""薪資變動(不計入)"",
  REGEXMATCH(C3389, ""押金""), ""押金往來"",
  AND(E3389&lt;&gt;"""", F3389=""""), ""真實支出"",
  AND(E3389="""", F3389&lt;&gt;""""), ""真實收入"",
  TRUE, ""其他""
)"),"其他")</f>
        <v>其他</v>
      </c>
      <c r="K3389" s="270" t="str">
        <f t="shared" si="2"/>
        <v/>
      </c>
      <c r="L3389">
        <f t="shared" si="3"/>
        <v>0</v>
      </c>
    </row>
    <row r="3390">
      <c r="A3390" s="107"/>
      <c r="D3390" s="270"/>
      <c r="H3390" s="106" t="str">
        <f t="shared" si="1"/>
        <v/>
      </c>
      <c r="I3390" s="271" t="str">
        <f>IFERROR(__xludf.DUMMYFUNCTION("""COMPUTED_VALUE"""),"")</f>
        <v/>
      </c>
      <c r="J3390" t="str">
        <f>IFERROR(__xludf.DUMMYFUNCTION("IFS(
  AND(REGEXMATCH(E3390, ""台銀籌備帳戶|玉山帳戶""), REGEXMATCH(C3390, ""薪資"")), ""分潤支出"",
  AND(REGEXMATCH(E3390, ""Ben帳戶|Elsa帳戶|Ben代墊|Ariel代墊|中信銀行共用""), REGEXMATCH(F3390, ""Ben帳戶|Elsa帳戶|Ben代墊|Ariel代墊|中信銀行共用"")), ""內部轉帳(忽略)"",
  AND(E3390&lt;&gt;"""", F3390&lt;&gt;"""", N"&amp;"OT(REGEXMATCH(C3390, ""薪資""))), ""內部轉帳(忽略)"",
  REGEXMATCH(C3390, ""薪資""), ""薪資變動(不計入)"",
  REGEXMATCH(C3390, ""押金""), ""押金往來"",
  AND(E3390&lt;&gt;"""", F3390=""""), ""真實支出"",
  AND(E3390="""", F3390&lt;&gt;""""), ""真實收入"",
  TRUE, ""其他""
)"),"其他")</f>
        <v>其他</v>
      </c>
      <c r="K3390" s="270" t="str">
        <f t="shared" si="2"/>
        <v/>
      </c>
      <c r="L3390">
        <f t="shared" si="3"/>
        <v>0</v>
      </c>
    </row>
    <row r="3391">
      <c r="A3391" s="107"/>
      <c r="D3391" s="270"/>
      <c r="H3391" s="106" t="str">
        <f t="shared" si="1"/>
        <v/>
      </c>
      <c r="I3391" s="271" t="str">
        <f>IFERROR(__xludf.DUMMYFUNCTION("""COMPUTED_VALUE"""),"")</f>
        <v/>
      </c>
      <c r="J3391" t="str">
        <f>IFERROR(__xludf.DUMMYFUNCTION("IFS(
  AND(REGEXMATCH(E3391, ""台銀籌備帳戶|玉山帳戶""), REGEXMATCH(C3391, ""薪資"")), ""分潤支出"",
  AND(REGEXMATCH(E3391, ""Ben帳戶|Elsa帳戶|Ben代墊|Ariel代墊|中信銀行共用""), REGEXMATCH(F3391, ""Ben帳戶|Elsa帳戶|Ben代墊|Ariel代墊|中信銀行共用"")), ""內部轉帳(忽略)"",
  AND(E3391&lt;&gt;"""", F3391&lt;&gt;"""", N"&amp;"OT(REGEXMATCH(C3391, ""薪資""))), ""內部轉帳(忽略)"",
  REGEXMATCH(C3391, ""薪資""), ""薪資變動(不計入)"",
  REGEXMATCH(C3391, ""押金""), ""押金往來"",
  AND(E3391&lt;&gt;"""", F3391=""""), ""真實支出"",
  AND(E3391="""", F3391&lt;&gt;""""), ""真實收入"",
  TRUE, ""其他""
)"),"其他")</f>
        <v>其他</v>
      </c>
      <c r="K3391" s="270" t="str">
        <f t="shared" si="2"/>
        <v/>
      </c>
      <c r="L3391">
        <f t="shared" si="3"/>
        <v>0</v>
      </c>
    </row>
    <row r="3392">
      <c r="A3392" s="107"/>
      <c r="D3392" s="270"/>
      <c r="H3392" s="106" t="str">
        <f t="shared" si="1"/>
        <v/>
      </c>
      <c r="I3392" s="271" t="str">
        <f>IFERROR(__xludf.DUMMYFUNCTION("""COMPUTED_VALUE"""),"")</f>
        <v/>
      </c>
      <c r="J3392" t="str">
        <f>IFERROR(__xludf.DUMMYFUNCTION("IFS(
  AND(REGEXMATCH(E3392, ""台銀籌備帳戶|玉山帳戶""), REGEXMATCH(C3392, ""薪資"")), ""分潤支出"",
  AND(REGEXMATCH(E3392, ""Ben帳戶|Elsa帳戶|Ben代墊|Ariel代墊|中信銀行共用""), REGEXMATCH(F3392, ""Ben帳戶|Elsa帳戶|Ben代墊|Ariel代墊|中信銀行共用"")), ""內部轉帳(忽略)"",
  AND(E3392&lt;&gt;"""", F3392&lt;&gt;"""", N"&amp;"OT(REGEXMATCH(C3392, ""薪資""))), ""內部轉帳(忽略)"",
  REGEXMATCH(C3392, ""薪資""), ""薪資變動(不計入)"",
  REGEXMATCH(C3392, ""押金""), ""押金往來"",
  AND(E3392&lt;&gt;"""", F3392=""""), ""真實支出"",
  AND(E3392="""", F3392&lt;&gt;""""), ""真實收入"",
  TRUE, ""其他""
)"),"其他")</f>
        <v>其他</v>
      </c>
      <c r="K3392" s="270" t="str">
        <f t="shared" si="2"/>
        <v/>
      </c>
      <c r="L3392">
        <f t="shared" si="3"/>
        <v>0</v>
      </c>
    </row>
    <row r="3393">
      <c r="A3393" s="107"/>
      <c r="D3393" s="270"/>
      <c r="H3393" s="106" t="str">
        <f t="shared" si="1"/>
        <v/>
      </c>
      <c r="I3393" s="271" t="str">
        <f>IFERROR(__xludf.DUMMYFUNCTION("""COMPUTED_VALUE"""),"")</f>
        <v/>
      </c>
      <c r="J3393" t="str">
        <f>IFERROR(__xludf.DUMMYFUNCTION("IFS(
  AND(REGEXMATCH(E3393, ""台銀籌備帳戶|玉山帳戶""), REGEXMATCH(C3393, ""薪資"")), ""分潤支出"",
  AND(REGEXMATCH(E3393, ""Ben帳戶|Elsa帳戶|Ben代墊|Ariel代墊|中信銀行共用""), REGEXMATCH(F3393, ""Ben帳戶|Elsa帳戶|Ben代墊|Ariel代墊|中信銀行共用"")), ""內部轉帳(忽略)"",
  AND(E3393&lt;&gt;"""", F3393&lt;&gt;"""", N"&amp;"OT(REGEXMATCH(C3393, ""薪資""))), ""內部轉帳(忽略)"",
  REGEXMATCH(C3393, ""薪資""), ""薪資變動(不計入)"",
  REGEXMATCH(C3393, ""押金""), ""押金往來"",
  AND(E3393&lt;&gt;"""", F3393=""""), ""真實支出"",
  AND(E3393="""", F3393&lt;&gt;""""), ""真實收入"",
  TRUE, ""其他""
)"),"其他")</f>
        <v>其他</v>
      </c>
      <c r="K3393" s="270" t="str">
        <f t="shared" si="2"/>
        <v/>
      </c>
      <c r="L3393">
        <f t="shared" si="3"/>
        <v>0</v>
      </c>
    </row>
    <row r="3394">
      <c r="A3394" s="107"/>
      <c r="D3394" s="270"/>
      <c r="H3394" s="106" t="str">
        <f t="shared" si="1"/>
        <v/>
      </c>
      <c r="I3394" s="271" t="str">
        <f>IFERROR(__xludf.DUMMYFUNCTION("""COMPUTED_VALUE"""),"")</f>
        <v/>
      </c>
      <c r="J3394" t="str">
        <f>IFERROR(__xludf.DUMMYFUNCTION("IFS(
  AND(REGEXMATCH(E3394, ""台銀籌備帳戶|玉山帳戶""), REGEXMATCH(C3394, ""薪資"")), ""分潤支出"",
  AND(REGEXMATCH(E3394, ""Ben帳戶|Elsa帳戶|Ben代墊|Ariel代墊|中信銀行共用""), REGEXMATCH(F3394, ""Ben帳戶|Elsa帳戶|Ben代墊|Ariel代墊|中信銀行共用"")), ""內部轉帳(忽略)"",
  AND(E3394&lt;&gt;"""", F3394&lt;&gt;"""", N"&amp;"OT(REGEXMATCH(C3394, ""薪資""))), ""內部轉帳(忽略)"",
  REGEXMATCH(C3394, ""薪資""), ""薪資變動(不計入)"",
  REGEXMATCH(C3394, ""押金""), ""押金往來"",
  AND(E3394&lt;&gt;"""", F3394=""""), ""真實支出"",
  AND(E3394="""", F3394&lt;&gt;""""), ""真實收入"",
  TRUE, ""其他""
)"),"其他")</f>
        <v>其他</v>
      </c>
      <c r="K3394" s="270" t="str">
        <f t="shared" si="2"/>
        <v/>
      </c>
      <c r="L3394">
        <f t="shared" si="3"/>
        <v>0</v>
      </c>
    </row>
    <row r="3395">
      <c r="A3395" s="107"/>
      <c r="D3395" s="270"/>
      <c r="H3395" s="106" t="str">
        <f t="shared" si="1"/>
        <v/>
      </c>
      <c r="I3395" s="271" t="str">
        <f>IFERROR(__xludf.DUMMYFUNCTION("""COMPUTED_VALUE"""),"")</f>
        <v/>
      </c>
      <c r="J3395" t="str">
        <f>IFERROR(__xludf.DUMMYFUNCTION("IFS(
  AND(REGEXMATCH(E3395, ""台銀籌備帳戶|玉山帳戶""), REGEXMATCH(C3395, ""薪資"")), ""分潤支出"",
  AND(REGEXMATCH(E3395, ""Ben帳戶|Elsa帳戶|Ben代墊|Ariel代墊|中信銀行共用""), REGEXMATCH(F3395, ""Ben帳戶|Elsa帳戶|Ben代墊|Ariel代墊|中信銀行共用"")), ""內部轉帳(忽略)"",
  AND(E3395&lt;&gt;"""", F3395&lt;&gt;"""", N"&amp;"OT(REGEXMATCH(C3395, ""薪資""))), ""內部轉帳(忽略)"",
  REGEXMATCH(C3395, ""薪資""), ""薪資變動(不計入)"",
  REGEXMATCH(C3395, ""押金""), ""押金往來"",
  AND(E3395&lt;&gt;"""", F3395=""""), ""真實支出"",
  AND(E3395="""", F3395&lt;&gt;""""), ""真實收入"",
  TRUE, ""其他""
)"),"其他")</f>
        <v>其他</v>
      </c>
      <c r="K3395" s="270" t="str">
        <f t="shared" si="2"/>
        <v/>
      </c>
      <c r="L3395">
        <f t="shared" si="3"/>
        <v>0</v>
      </c>
    </row>
    <row r="3396">
      <c r="A3396" s="107"/>
      <c r="D3396" s="270"/>
      <c r="H3396" s="106" t="str">
        <f t="shared" si="1"/>
        <v/>
      </c>
      <c r="I3396" s="271" t="str">
        <f>IFERROR(__xludf.DUMMYFUNCTION("""COMPUTED_VALUE"""),"")</f>
        <v/>
      </c>
      <c r="J3396" t="str">
        <f>IFERROR(__xludf.DUMMYFUNCTION("IFS(
  AND(REGEXMATCH(E3396, ""台銀籌備帳戶|玉山帳戶""), REGEXMATCH(C3396, ""薪資"")), ""分潤支出"",
  AND(REGEXMATCH(E3396, ""Ben帳戶|Elsa帳戶|Ben代墊|Ariel代墊|中信銀行共用""), REGEXMATCH(F3396, ""Ben帳戶|Elsa帳戶|Ben代墊|Ariel代墊|中信銀行共用"")), ""內部轉帳(忽略)"",
  AND(E3396&lt;&gt;"""", F3396&lt;&gt;"""", N"&amp;"OT(REGEXMATCH(C3396, ""薪資""))), ""內部轉帳(忽略)"",
  REGEXMATCH(C3396, ""薪資""), ""薪資變動(不計入)"",
  REGEXMATCH(C3396, ""押金""), ""押金往來"",
  AND(E3396&lt;&gt;"""", F3396=""""), ""真實支出"",
  AND(E3396="""", F3396&lt;&gt;""""), ""真實收入"",
  TRUE, ""其他""
)"),"其他")</f>
        <v>其他</v>
      </c>
      <c r="K3396" s="270" t="str">
        <f t="shared" si="2"/>
        <v/>
      </c>
      <c r="L3396">
        <f t="shared" si="3"/>
        <v>0</v>
      </c>
    </row>
    <row r="3397">
      <c r="A3397" s="107"/>
      <c r="D3397" s="270"/>
      <c r="H3397" s="106" t="str">
        <f t="shared" si="1"/>
        <v/>
      </c>
      <c r="I3397" s="271" t="str">
        <f>IFERROR(__xludf.DUMMYFUNCTION("""COMPUTED_VALUE"""),"")</f>
        <v/>
      </c>
      <c r="J3397" t="str">
        <f>IFERROR(__xludf.DUMMYFUNCTION("IFS(
  AND(REGEXMATCH(E3397, ""台銀籌備帳戶|玉山帳戶""), REGEXMATCH(C3397, ""薪資"")), ""分潤支出"",
  AND(REGEXMATCH(E3397, ""Ben帳戶|Elsa帳戶|Ben代墊|Ariel代墊|中信銀行共用""), REGEXMATCH(F3397, ""Ben帳戶|Elsa帳戶|Ben代墊|Ariel代墊|中信銀行共用"")), ""內部轉帳(忽略)"",
  AND(E3397&lt;&gt;"""", F3397&lt;&gt;"""", N"&amp;"OT(REGEXMATCH(C3397, ""薪資""))), ""內部轉帳(忽略)"",
  REGEXMATCH(C3397, ""薪資""), ""薪資變動(不計入)"",
  REGEXMATCH(C3397, ""押金""), ""押金往來"",
  AND(E3397&lt;&gt;"""", F3397=""""), ""真實支出"",
  AND(E3397="""", F3397&lt;&gt;""""), ""真實收入"",
  TRUE, ""其他""
)"),"其他")</f>
        <v>其他</v>
      </c>
      <c r="K3397" s="270" t="str">
        <f t="shared" si="2"/>
        <v/>
      </c>
      <c r="L3397">
        <f t="shared" si="3"/>
        <v>0</v>
      </c>
    </row>
    <row r="3398">
      <c r="A3398" s="107"/>
      <c r="D3398" s="270"/>
      <c r="H3398" s="106" t="str">
        <f t="shared" si="1"/>
        <v/>
      </c>
      <c r="I3398" s="271" t="str">
        <f>IFERROR(__xludf.DUMMYFUNCTION("""COMPUTED_VALUE"""),"")</f>
        <v/>
      </c>
      <c r="J3398" t="str">
        <f>IFERROR(__xludf.DUMMYFUNCTION("IFS(
  AND(REGEXMATCH(E3398, ""台銀籌備帳戶|玉山帳戶""), REGEXMATCH(C3398, ""薪資"")), ""分潤支出"",
  AND(REGEXMATCH(E3398, ""Ben帳戶|Elsa帳戶|Ben代墊|Ariel代墊|中信銀行共用""), REGEXMATCH(F3398, ""Ben帳戶|Elsa帳戶|Ben代墊|Ariel代墊|中信銀行共用"")), ""內部轉帳(忽略)"",
  AND(E3398&lt;&gt;"""", F3398&lt;&gt;"""", N"&amp;"OT(REGEXMATCH(C3398, ""薪資""))), ""內部轉帳(忽略)"",
  REGEXMATCH(C3398, ""薪資""), ""薪資變動(不計入)"",
  REGEXMATCH(C3398, ""押金""), ""押金往來"",
  AND(E3398&lt;&gt;"""", F3398=""""), ""真實支出"",
  AND(E3398="""", F3398&lt;&gt;""""), ""真實收入"",
  TRUE, ""其他""
)"),"其他")</f>
        <v>其他</v>
      </c>
      <c r="K3398" s="270" t="str">
        <f t="shared" si="2"/>
        <v/>
      </c>
      <c r="L3398">
        <f t="shared" si="3"/>
        <v>0</v>
      </c>
    </row>
    <row r="3399">
      <c r="A3399" s="107"/>
      <c r="D3399" s="270"/>
      <c r="H3399" s="106" t="str">
        <f t="shared" si="1"/>
        <v/>
      </c>
      <c r="I3399" s="271" t="str">
        <f>IFERROR(__xludf.DUMMYFUNCTION("""COMPUTED_VALUE"""),"")</f>
        <v/>
      </c>
      <c r="J3399" t="str">
        <f>IFERROR(__xludf.DUMMYFUNCTION("IFS(
  AND(REGEXMATCH(E3399, ""台銀籌備帳戶|玉山帳戶""), REGEXMATCH(C3399, ""薪資"")), ""分潤支出"",
  AND(REGEXMATCH(E3399, ""Ben帳戶|Elsa帳戶|Ben代墊|Ariel代墊|中信銀行共用""), REGEXMATCH(F3399, ""Ben帳戶|Elsa帳戶|Ben代墊|Ariel代墊|中信銀行共用"")), ""內部轉帳(忽略)"",
  AND(E3399&lt;&gt;"""", F3399&lt;&gt;"""", N"&amp;"OT(REGEXMATCH(C3399, ""薪資""))), ""內部轉帳(忽略)"",
  REGEXMATCH(C3399, ""薪資""), ""薪資變動(不計入)"",
  REGEXMATCH(C3399, ""押金""), ""押金往來"",
  AND(E3399&lt;&gt;"""", F3399=""""), ""真實支出"",
  AND(E3399="""", F3399&lt;&gt;""""), ""真實收入"",
  TRUE, ""其他""
)"),"其他")</f>
        <v>其他</v>
      </c>
      <c r="K3399" s="270" t="str">
        <f t="shared" si="2"/>
        <v/>
      </c>
      <c r="L3399">
        <f t="shared" si="3"/>
        <v>0</v>
      </c>
    </row>
    <row r="3400">
      <c r="A3400" s="107"/>
      <c r="D3400" s="270"/>
      <c r="H3400" s="106" t="str">
        <f t="shared" si="1"/>
        <v/>
      </c>
      <c r="I3400" s="271" t="str">
        <f>IFERROR(__xludf.DUMMYFUNCTION("""COMPUTED_VALUE"""),"")</f>
        <v/>
      </c>
      <c r="J3400" t="str">
        <f>IFERROR(__xludf.DUMMYFUNCTION("IFS(
  AND(REGEXMATCH(E3400, ""台銀籌備帳戶|玉山帳戶""), REGEXMATCH(C3400, ""薪資"")), ""分潤支出"",
  AND(REGEXMATCH(E3400, ""Ben帳戶|Elsa帳戶|Ben代墊|Ariel代墊|中信銀行共用""), REGEXMATCH(F3400, ""Ben帳戶|Elsa帳戶|Ben代墊|Ariel代墊|中信銀行共用"")), ""內部轉帳(忽略)"",
  AND(E3400&lt;&gt;"""", F3400&lt;&gt;"""", N"&amp;"OT(REGEXMATCH(C3400, ""薪資""))), ""內部轉帳(忽略)"",
  REGEXMATCH(C3400, ""薪資""), ""薪資變動(不計入)"",
  REGEXMATCH(C3400, ""押金""), ""押金往來"",
  AND(E3400&lt;&gt;"""", F3400=""""), ""真實支出"",
  AND(E3400="""", F3400&lt;&gt;""""), ""真實收入"",
  TRUE, ""其他""
)"),"其他")</f>
        <v>其他</v>
      </c>
      <c r="K3400" s="270" t="str">
        <f t="shared" si="2"/>
        <v/>
      </c>
      <c r="L3400">
        <f t="shared" si="3"/>
        <v>0</v>
      </c>
    </row>
    <row r="3401">
      <c r="A3401" s="107"/>
      <c r="D3401" s="270"/>
      <c r="H3401" s="106" t="str">
        <f t="shared" si="1"/>
        <v/>
      </c>
      <c r="I3401" s="271" t="str">
        <f>IFERROR(__xludf.DUMMYFUNCTION("""COMPUTED_VALUE"""),"")</f>
        <v/>
      </c>
      <c r="J3401" t="str">
        <f>IFERROR(__xludf.DUMMYFUNCTION("IFS(
  AND(REGEXMATCH(E3401, ""台銀籌備帳戶|玉山帳戶""), REGEXMATCH(C3401, ""薪資"")), ""分潤支出"",
  AND(REGEXMATCH(E3401, ""Ben帳戶|Elsa帳戶|Ben代墊|Ariel代墊|中信銀行共用""), REGEXMATCH(F3401, ""Ben帳戶|Elsa帳戶|Ben代墊|Ariel代墊|中信銀行共用"")), ""內部轉帳(忽略)"",
  AND(E3401&lt;&gt;"""", F3401&lt;&gt;"""", N"&amp;"OT(REGEXMATCH(C3401, ""薪資""))), ""內部轉帳(忽略)"",
  REGEXMATCH(C3401, ""薪資""), ""薪資變動(不計入)"",
  REGEXMATCH(C3401, ""押金""), ""押金往來"",
  AND(E3401&lt;&gt;"""", F3401=""""), ""真實支出"",
  AND(E3401="""", F3401&lt;&gt;""""), ""真實收入"",
  TRUE, ""其他""
)"),"其他")</f>
        <v>其他</v>
      </c>
      <c r="K3401" s="270" t="str">
        <f t="shared" si="2"/>
        <v/>
      </c>
      <c r="L3401">
        <f t="shared" si="3"/>
        <v>0</v>
      </c>
    </row>
    <row r="3402">
      <c r="A3402" s="107"/>
      <c r="D3402" s="270"/>
      <c r="H3402" s="106" t="str">
        <f t="shared" si="1"/>
        <v/>
      </c>
      <c r="I3402" s="271" t="str">
        <f>IFERROR(__xludf.DUMMYFUNCTION("""COMPUTED_VALUE"""),"")</f>
        <v/>
      </c>
      <c r="J3402" t="str">
        <f>IFERROR(__xludf.DUMMYFUNCTION("IFS(
  AND(REGEXMATCH(E3402, ""台銀籌備帳戶|玉山帳戶""), REGEXMATCH(C3402, ""薪資"")), ""分潤支出"",
  AND(REGEXMATCH(E3402, ""Ben帳戶|Elsa帳戶|Ben代墊|Ariel代墊|中信銀行共用""), REGEXMATCH(F3402, ""Ben帳戶|Elsa帳戶|Ben代墊|Ariel代墊|中信銀行共用"")), ""內部轉帳(忽略)"",
  AND(E3402&lt;&gt;"""", F3402&lt;&gt;"""", N"&amp;"OT(REGEXMATCH(C3402, ""薪資""))), ""內部轉帳(忽略)"",
  REGEXMATCH(C3402, ""薪資""), ""薪資變動(不計入)"",
  REGEXMATCH(C3402, ""押金""), ""押金往來"",
  AND(E3402&lt;&gt;"""", F3402=""""), ""真實支出"",
  AND(E3402="""", F3402&lt;&gt;""""), ""真實收入"",
  TRUE, ""其他""
)"),"其他")</f>
        <v>其他</v>
      </c>
      <c r="K3402" s="270" t="str">
        <f t="shared" si="2"/>
        <v/>
      </c>
      <c r="L3402">
        <f t="shared" si="3"/>
        <v>0</v>
      </c>
    </row>
    <row r="3403">
      <c r="A3403" s="107"/>
      <c r="D3403" s="270"/>
      <c r="H3403" s="106" t="str">
        <f t="shared" si="1"/>
        <v/>
      </c>
      <c r="I3403" s="271" t="str">
        <f>IFERROR(__xludf.DUMMYFUNCTION("""COMPUTED_VALUE"""),"")</f>
        <v/>
      </c>
      <c r="J3403" t="str">
        <f>IFERROR(__xludf.DUMMYFUNCTION("IFS(
  AND(REGEXMATCH(E3403, ""台銀籌備帳戶|玉山帳戶""), REGEXMATCH(C3403, ""薪資"")), ""分潤支出"",
  AND(REGEXMATCH(E3403, ""Ben帳戶|Elsa帳戶|Ben代墊|Ariel代墊|中信銀行共用""), REGEXMATCH(F3403, ""Ben帳戶|Elsa帳戶|Ben代墊|Ariel代墊|中信銀行共用"")), ""內部轉帳(忽略)"",
  AND(E3403&lt;&gt;"""", F3403&lt;&gt;"""", N"&amp;"OT(REGEXMATCH(C3403, ""薪資""))), ""內部轉帳(忽略)"",
  REGEXMATCH(C3403, ""薪資""), ""薪資變動(不計入)"",
  REGEXMATCH(C3403, ""押金""), ""押金往來"",
  AND(E3403&lt;&gt;"""", F3403=""""), ""真實支出"",
  AND(E3403="""", F3403&lt;&gt;""""), ""真實收入"",
  TRUE, ""其他""
)"),"其他")</f>
        <v>其他</v>
      </c>
      <c r="K3403" s="270" t="str">
        <f t="shared" si="2"/>
        <v/>
      </c>
      <c r="L3403">
        <f t="shared" si="3"/>
        <v>0</v>
      </c>
    </row>
    <row r="3404">
      <c r="A3404" s="107"/>
      <c r="D3404" s="270"/>
      <c r="H3404" s="106" t="str">
        <f t="shared" si="1"/>
        <v/>
      </c>
      <c r="I3404" s="271" t="str">
        <f>IFERROR(__xludf.DUMMYFUNCTION("""COMPUTED_VALUE"""),"")</f>
        <v/>
      </c>
      <c r="J3404" t="str">
        <f>IFERROR(__xludf.DUMMYFUNCTION("IFS(
  AND(REGEXMATCH(E3404, ""台銀籌備帳戶|玉山帳戶""), REGEXMATCH(C3404, ""薪資"")), ""分潤支出"",
  AND(REGEXMATCH(E3404, ""Ben帳戶|Elsa帳戶|Ben代墊|Ariel代墊|中信銀行共用""), REGEXMATCH(F3404, ""Ben帳戶|Elsa帳戶|Ben代墊|Ariel代墊|中信銀行共用"")), ""內部轉帳(忽略)"",
  AND(E3404&lt;&gt;"""", F3404&lt;&gt;"""", N"&amp;"OT(REGEXMATCH(C3404, ""薪資""))), ""內部轉帳(忽略)"",
  REGEXMATCH(C3404, ""薪資""), ""薪資變動(不計入)"",
  REGEXMATCH(C3404, ""押金""), ""押金往來"",
  AND(E3404&lt;&gt;"""", F3404=""""), ""真實支出"",
  AND(E3404="""", F3404&lt;&gt;""""), ""真實收入"",
  TRUE, ""其他""
)"),"其他")</f>
        <v>其他</v>
      </c>
      <c r="K3404" s="270" t="str">
        <f t="shared" si="2"/>
        <v/>
      </c>
      <c r="L3404">
        <f t="shared" si="3"/>
        <v>0</v>
      </c>
    </row>
    <row r="3405">
      <c r="A3405" s="107"/>
      <c r="D3405" s="270"/>
      <c r="H3405" s="106" t="str">
        <f t="shared" si="1"/>
        <v/>
      </c>
      <c r="I3405" s="271" t="str">
        <f>IFERROR(__xludf.DUMMYFUNCTION("""COMPUTED_VALUE"""),"")</f>
        <v/>
      </c>
      <c r="J3405" t="str">
        <f>IFERROR(__xludf.DUMMYFUNCTION("IFS(
  AND(REGEXMATCH(E3405, ""台銀籌備帳戶|玉山帳戶""), REGEXMATCH(C3405, ""薪資"")), ""分潤支出"",
  AND(REGEXMATCH(E3405, ""Ben帳戶|Elsa帳戶|Ben代墊|Ariel代墊|中信銀行共用""), REGEXMATCH(F3405, ""Ben帳戶|Elsa帳戶|Ben代墊|Ariel代墊|中信銀行共用"")), ""內部轉帳(忽略)"",
  AND(E3405&lt;&gt;"""", F3405&lt;&gt;"""", N"&amp;"OT(REGEXMATCH(C3405, ""薪資""))), ""內部轉帳(忽略)"",
  REGEXMATCH(C3405, ""薪資""), ""薪資變動(不計入)"",
  REGEXMATCH(C3405, ""押金""), ""押金往來"",
  AND(E3405&lt;&gt;"""", F3405=""""), ""真實支出"",
  AND(E3405="""", F3405&lt;&gt;""""), ""真實收入"",
  TRUE, ""其他""
)"),"其他")</f>
        <v>其他</v>
      </c>
      <c r="K3405" s="270" t="str">
        <f t="shared" si="2"/>
        <v/>
      </c>
      <c r="L3405">
        <f t="shared" si="3"/>
        <v>0</v>
      </c>
    </row>
    <row r="3406">
      <c r="A3406" s="107"/>
      <c r="D3406" s="270"/>
      <c r="H3406" s="106" t="str">
        <f t="shared" si="1"/>
        <v/>
      </c>
      <c r="I3406" s="271" t="str">
        <f>IFERROR(__xludf.DUMMYFUNCTION("""COMPUTED_VALUE"""),"")</f>
        <v/>
      </c>
      <c r="J3406" t="str">
        <f>IFERROR(__xludf.DUMMYFUNCTION("IFS(
  AND(REGEXMATCH(E3406, ""台銀籌備帳戶|玉山帳戶""), REGEXMATCH(C3406, ""薪資"")), ""分潤支出"",
  AND(REGEXMATCH(E3406, ""Ben帳戶|Elsa帳戶|Ben代墊|Ariel代墊|中信銀行共用""), REGEXMATCH(F3406, ""Ben帳戶|Elsa帳戶|Ben代墊|Ariel代墊|中信銀行共用"")), ""內部轉帳(忽略)"",
  AND(E3406&lt;&gt;"""", F3406&lt;&gt;"""", N"&amp;"OT(REGEXMATCH(C3406, ""薪資""))), ""內部轉帳(忽略)"",
  REGEXMATCH(C3406, ""薪資""), ""薪資變動(不計入)"",
  REGEXMATCH(C3406, ""押金""), ""押金往來"",
  AND(E3406&lt;&gt;"""", F3406=""""), ""真實支出"",
  AND(E3406="""", F3406&lt;&gt;""""), ""真實收入"",
  TRUE, ""其他""
)"),"其他")</f>
        <v>其他</v>
      </c>
      <c r="K3406" s="270" t="str">
        <f t="shared" si="2"/>
        <v/>
      </c>
      <c r="L3406">
        <f t="shared" si="3"/>
        <v>0</v>
      </c>
    </row>
    <row r="3407">
      <c r="A3407" s="107"/>
      <c r="D3407" s="270"/>
      <c r="H3407" s="106" t="str">
        <f t="shared" si="1"/>
        <v/>
      </c>
      <c r="I3407" s="271" t="str">
        <f>IFERROR(__xludf.DUMMYFUNCTION("""COMPUTED_VALUE"""),"")</f>
        <v/>
      </c>
      <c r="J3407" t="str">
        <f>IFERROR(__xludf.DUMMYFUNCTION("IFS(
  AND(REGEXMATCH(E3407, ""台銀籌備帳戶|玉山帳戶""), REGEXMATCH(C3407, ""薪資"")), ""分潤支出"",
  AND(REGEXMATCH(E3407, ""Ben帳戶|Elsa帳戶|Ben代墊|Ariel代墊|中信銀行共用""), REGEXMATCH(F3407, ""Ben帳戶|Elsa帳戶|Ben代墊|Ariel代墊|中信銀行共用"")), ""內部轉帳(忽略)"",
  AND(E3407&lt;&gt;"""", F3407&lt;&gt;"""", N"&amp;"OT(REGEXMATCH(C3407, ""薪資""))), ""內部轉帳(忽略)"",
  REGEXMATCH(C3407, ""薪資""), ""薪資變動(不計入)"",
  REGEXMATCH(C3407, ""押金""), ""押金往來"",
  AND(E3407&lt;&gt;"""", F3407=""""), ""真實支出"",
  AND(E3407="""", F3407&lt;&gt;""""), ""真實收入"",
  TRUE, ""其他""
)"),"其他")</f>
        <v>其他</v>
      </c>
      <c r="K3407" s="270" t="str">
        <f t="shared" si="2"/>
        <v/>
      </c>
      <c r="L3407">
        <f t="shared" si="3"/>
        <v>0</v>
      </c>
    </row>
    <row r="3408">
      <c r="A3408" s="107"/>
      <c r="D3408" s="270"/>
      <c r="H3408" s="106" t="str">
        <f t="shared" si="1"/>
        <v/>
      </c>
      <c r="I3408" s="271" t="str">
        <f>IFERROR(__xludf.DUMMYFUNCTION("""COMPUTED_VALUE"""),"")</f>
        <v/>
      </c>
      <c r="J3408" t="str">
        <f>IFERROR(__xludf.DUMMYFUNCTION("IFS(
  AND(REGEXMATCH(E3408, ""台銀籌備帳戶|玉山帳戶""), REGEXMATCH(C3408, ""薪資"")), ""分潤支出"",
  AND(REGEXMATCH(E3408, ""Ben帳戶|Elsa帳戶|Ben代墊|Ariel代墊|中信銀行共用""), REGEXMATCH(F3408, ""Ben帳戶|Elsa帳戶|Ben代墊|Ariel代墊|中信銀行共用"")), ""內部轉帳(忽略)"",
  AND(E3408&lt;&gt;"""", F3408&lt;&gt;"""", N"&amp;"OT(REGEXMATCH(C3408, ""薪資""))), ""內部轉帳(忽略)"",
  REGEXMATCH(C3408, ""薪資""), ""薪資變動(不計入)"",
  REGEXMATCH(C3408, ""押金""), ""押金往來"",
  AND(E3408&lt;&gt;"""", F3408=""""), ""真實支出"",
  AND(E3408="""", F3408&lt;&gt;""""), ""真實收入"",
  TRUE, ""其他""
)"),"其他")</f>
        <v>其他</v>
      </c>
      <c r="K3408" s="270" t="str">
        <f t="shared" si="2"/>
        <v/>
      </c>
      <c r="L3408">
        <f t="shared" si="3"/>
        <v>0</v>
      </c>
    </row>
    <row r="3409">
      <c r="A3409" s="107"/>
      <c r="D3409" s="270"/>
      <c r="H3409" s="106" t="str">
        <f t="shared" si="1"/>
        <v/>
      </c>
      <c r="I3409" s="271" t="str">
        <f>IFERROR(__xludf.DUMMYFUNCTION("""COMPUTED_VALUE"""),"")</f>
        <v/>
      </c>
      <c r="J3409" t="str">
        <f>IFERROR(__xludf.DUMMYFUNCTION("IFS(
  AND(REGEXMATCH(E3409, ""台銀籌備帳戶|玉山帳戶""), REGEXMATCH(C3409, ""薪資"")), ""分潤支出"",
  AND(REGEXMATCH(E3409, ""Ben帳戶|Elsa帳戶|Ben代墊|Ariel代墊|中信銀行共用""), REGEXMATCH(F3409, ""Ben帳戶|Elsa帳戶|Ben代墊|Ariel代墊|中信銀行共用"")), ""內部轉帳(忽略)"",
  AND(E3409&lt;&gt;"""", F3409&lt;&gt;"""", N"&amp;"OT(REGEXMATCH(C3409, ""薪資""))), ""內部轉帳(忽略)"",
  REGEXMATCH(C3409, ""薪資""), ""薪資變動(不計入)"",
  REGEXMATCH(C3409, ""押金""), ""押金往來"",
  AND(E3409&lt;&gt;"""", F3409=""""), ""真實支出"",
  AND(E3409="""", F3409&lt;&gt;""""), ""真實收入"",
  TRUE, ""其他""
)"),"其他")</f>
        <v>其他</v>
      </c>
      <c r="K3409" s="270" t="str">
        <f t="shared" si="2"/>
        <v/>
      </c>
      <c r="L3409">
        <f t="shared" si="3"/>
        <v>0</v>
      </c>
    </row>
    <row r="3410">
      <c r="A3410" s="107"/>
      <c r="D3410" s="270"/>
      <c r="H3410" s="106" t="str">
        <f t="shared" si="1"/>
        <v/>
      </c>
      <c r="I3410" s="271" t="str">
        <f>IFERROR(__xludf.DUMMYFUNCTION("""COMPUTED_VALUE"""),"")</f>
        <v/>
      </c>
      <c r="J3410" t="str">
        <f>IFERROR(__xludf.DUMMYFUNCTION("IFS(
  AND(REGEXMATCH(E3410, ""台銀籌備帳戶|玉山帳戶""), REGEXMATCH(C3410, ""薪資"")), ""分潤支出"",
  AND(REGEXMATCH(E3410, ""Ben帳戶|Elsa帳戶|Ben代墊|Ariel代墊|中信銀行共用""), REGEXMATCH(F3410, ""Ben帳戶|Elsa帳戶|Ben代墊|Ariel代墊|中信銀行共用"")), ""內部轉帳(忽略)"",
  AND(E3410&lt;&gt;"""", F3410&lt;&gt;"""", N"&amp;"OT(REGEXMATCH(C3410, ""薪資""))), ""內部轉帳(忽略)"",
  REGEXMATCH(C3410, ""薪資""), ""薪資變動(不計入)"",
  REGEXMATCH(C3410, ""押金""), ""押金往來"",
  AND(E3410&lt;&gt;"""", F3410=""""), ""真實支出"",
  AND(E3410="""", F3410&lt;&gt;""""), ""真實收入"",
  TRUE, ""其他""
)"),"其他")</f>
        <v>其他</v>
      </c>
      <c r="K3410" s="270" t="str">
        <f t="shared" si="2"/>
        <v/>
      </c>
      <c r="L3410">
        <f t="shared" si="3"/>
        <v>0</v>
      </c>
    </row>
    <row r="3411">
      <c r="A3411" s="107"/>
      <c r="D3411" s="270"/>
      <c r="H3411" s="106" t="str">
        <f t="shared" si="1"/>
        <v/>
      </c>
      <c r="I3411" s="271" t="str">
        <f>IFERROR(__xludf.DUMMYFUNCTION("""COMPUTED_VALUE"""),"")</f>
        <v/>
      </c>
      <c r="J3411" t="str">
        <f>IFERROR(__xludf.DUMMYFUNCTION("IFS(
  AND(REGEXMATCH(E3411, ""台銀籌備帳戶|玉山帳戶""), REGEXMATCH(C3411, ""薪資"")), ""分潤支出"",
  AND(REGEXMATCH(E3411, ""Ben帳戶|Elsa帳戶|Ben代墊|Ariel代墊|中信銀行共用""), REGEXMATCH(F3411, ""Ben帳戶|Elsa帳戶|Ben代墊|Ariel代墊|中信銀行共用"")), ""內部轉帳(忽略)"",
  AND(E3411&lt;&gt;"""", F3411&lt;&gt;"""", N"&amp;"OT(REGEXMATCH(C3411, ""薪資""))), ""內部轉帳(忽略)"",
  REGEXMATCH(C3411, ""薪資""), ""薪資變動(不計入)"",
  REGEXMATCH(C3411, ""押金""), ""押金往來"",
  AND(E3411&lt;&gt;"""", F3411=""""), ""真實支出"",
  AND(E3411="""", F3411&lt;&gt;""""), ""真實收入"",
  TRUE, ""其他""
)"),"其他")</f>
        <v>其他</v>
      </c>
      <c r="K3411" s="270" t="str">
        <f t="shared" si="2"/>
        <v/>
      </c>
      <c r="L3411">
        <f t="shared" si="3"/>
        <v>0</v>
      </c>
    </row>
    <row r="3412">
      <c r="A3412" s="107"/>
      <c r="D3412" s="270"/>
      <c r="H3412" s="106" t="str">
        <f t="shared" si="1"/>
        <v/>
      </c>
      <c r="I3412" s="271" t="str">
        <f>IFERROR(__xludf.DUMMYFUNCTION("""COMPUTED_VALUE"""),"")</f>
        <v/>
      </c>
      <c r="J3412" t="str">
        <f>IFERROR(__xludf.DUMMYFUNCTION("IFS(
  AND(REGEXMATCH(E3412, ""台銀籌備帳戶|玉山帳戶""), REGEXMATCH(C3412, ""薪資"")), ""分潤支出"",
  AND(REGEXMATCH(E3412, ""Ben帳戶|Elsa帳戶|Ben代墊|Ariel代墊|中信銀行共用""), REGEXMATCH(F3412, ""Ben帳戶|Elsa帳戶|Ben代墊|Ariel代墊|中信銀行共用"")), ""內部轉帳(忽略)"",
  AND(E3412&lt;&gt;"""", F3412&lt;&gt;"""", N"&amp;"OT(REGEXMATCH(C3412, ""薪資""))), ""內部轉帳(忽略)"",
  REGEXMATCH(C3412, ""薪資""), ""薪資變動(不計入)"",
  REGEXMATCH(C3412, ""押金""), ""押金往來"",
  AND(E3412&lt;&gt;"""", F3412=""""), ""真實支出"",
  AND(E3412="""", F3412&lt;&gt;""""), ""真實收入"",
  TRUE, ""其他""
)"),"其他")</f>
        <v>其他</v>
      </c>
      <c r="K3412" s="270" t="str">
        <f t="shared" si="2"/>
        <v/>
      </c>
      <c r="L3412">
        <f t="shared" si="3"/>
        <v>0</v>
      </c>
    </row>
    <row r="3413">
      <c r="A3413" s="107"/>
      <c r="D3413" s="270"/>
      <c r="H3413" s="106" t="str">
        <f t="shared" si="1"/>
        <v/>
      </c>
      <c r="I3413" s="271" t="str">
        <f>IFERROR(__xludf.DUMMYFUNCTION("""COMPUTED_VALUE"""),"")</f>
        <v/>
      </c>
      <c r="J3413" t="str">
        <f>IFERROR(__xludf.DUMMYFUNCTION("IFS(
  AND(REGEXMATCH(E3413, ""台銀籌備帳戶|玉山帳戶""), REGEXMATCH(C3413, ""薪資"")), ""分潤支出"",
  AND(REGEXMATCH(E3413, ""Ben帳戶|Elsa帳戶|Ben代墊|Ariel代墊|中信銀行共用""), REGEXMATCH(F3413, ""Ben帳戶|Elsa帳戶|Ben代墊|Ariel代墊|中信銀行共用"")), ""內部轉帳(忽略)"",
  AND(E3413&lt;&gt;"""", F3413&lt;&gt;"""", N"&amp;"OT(REGEXMATCH(C3413, ""薪資""))), ""內部轉帳(忽略)"",
  REGEXMATCH(C3413, ""薪資""), ""薪資變動(不計入)"",
  REGEXMATCH(C3413, ""押金""), ""押金往來"",
  AND(E3413&lt;&gt;"""", F3413=""""), ""真實支出"",
  AND(E3413="""", F3413&lt;&gt;""""), ""真實收入"",
  TRUE, ""其他""
)"),"其他")</f>
        <v>其他</v>
      </c>
      <c r="K3413" s="270" t="str">
        <f t="shared" si="2"/>
        <v/>
      </c>
      <c r="L3413">
        <f t="shared" si="3"/>
        <v>0</v>
      </c>
    </row>
    <row r="3414">
      <c r="A3414" s="107"/>
      <c r="D3414" s="270"/>
      <c r="H3414" s="106" t="str">
        <f t="shared" si="1"/>
        <v/>
      </c>
      <c r="I3414" s="271" t="str">
        <f>IFERROR(__xludf.DUMMYFUNCTION("""COMPUTED_VALUE"""),"")</f>
        <v/>
      </c>
      <c r="J3414" t="str">
        <f>IFERROR(__xludf.DUMMYFUNCTION("IFS(
  AND(REGEXMATCH(E3414, ""台銀籌備帳戶|玉山帳戶""), REGEXMATCH(C3414, ""薪資"")), ""分潤支出"",
  AND(REGEXMATCH(E3414, ""Ben帳戶|Elsa帳戶|Ben代墊|Ariel代墊|中信銀行共用""), REGEXMATCH(F3414, ""Ben帳戶|Elsa帳戶|Ben代墊|Ariel代墊|中信銀行共用"")), ""內部轉帳(忽略)"",
  AND(E3414&lt;&gt;"""", F3414&lt;&gt;"""", N"&amp;"OT(REGEXMATCH(C3414, ""薪資""))), ""內部轉帳(忽略)"",
  REGEXMATCH(C3414, ""薪資""), ""薪資變動(不計入)"",
  REGEXMATCH(C3414, ""押金""), ""押金往來"",
  AND(E3414&lt;&gt;"""", F3414=""""), ""真實支出"",
  AND(E3414="""", F3414&lt;&gt;""""), ""真實收入"",
  TRUE, ""其他""
)"),"其他")</f>
        <v>其他</v>
      </c>
      <c r="K3414" s="270" t="str">
        <f t="shared" si="2"/>
        <v/>
      </c>
      <c r="L3414">
        <f t="shared" si="3"/>
        <v>0</v>
      </c>
    </row>
    <row r="3415">
      <c r="A3415" s="107"/>
      <c r="D3415" s="270"/>
      <c r="H3415" s="106" t="str">
        <f t="shared" si="1"/>
        <v/>
      </c>
      <c r="I3415" s="271" t="str">
        <f>IFERROR(__xludf.DUMMYFUNCTION("""COMPUTED_VALUE"""),"")</f>
        <v/>
      </c>
      <c r="J3415" t="str">
        <f>IFERROR(__xludf.DUMMYFUNCTION("IFS(
  AND(REGEXMATCH(E3415, ""台銀籌備帳戶|玉山帳戶""), REGEXMATCH(C3415, ""薪資"")), ""分潤支出"",
  AND(REGEXMATCH(E3415, ""Ben帳戶|Elsa帳戶|Ben代墊|Ariel代墊|中信銀行共用""), REGEXMATCH(F3415, ""Ben帳戶|Elsa帳戶|Ben代墊|Ariel代墊|中信銀行共用"")), ""內部轉帳(忽略)"",
  AND(E3415&lt;&gt;"""", F3415&lt;&gt;"""", N"&amp;"OT(REGEXMATCH(C3415, ""薪資""))), ""內部轉帳(忽略)"",
  REGEXMATCH(C3415, ""薪資""), ""薪資變動(不計入)"",
  REGEXMATCH(C3415, ""押金""), ""押金往來"",
  AND(E3415&lt;&gt;"""", F3415=""""), ""真實支出"",
  AND(E3415="""", F3415&lt;&gt;""""), ""真實收入"",
  TRUE, ""其他""
)"),"其他")</f>
        <v>其他</v>
      </c>
      <c r="K3415" s="270" t="str">
        <f t="shared" si="2"/>
        <v/>
      </c>
      <c r="L3415">
        <f t="shared" si="3"/>
        <v>0</v>
      </c>
    </row>
    <row r="3416">
      <c r="A3416" s="107"/>
      <c r="D3416" s="270"/>
      <c r="H3416" s="106" t="str">
        <f t="shared" si="1"/>
        <v/>
      </c>
      <c r="I3416" s="271" t="str">
        <f>IFERROR(__xludf.DUMMYFUNCTION("""COMPUTED_VALUE"""),"")</f>
        <v/>
      </c>
      <c r="J3416" t="str">
        <f>IFERROR(__xludf.DUMMYFUNCTION("IFS(
  AND(REGEXMATCH(E3416, ""台銀籌備帳戶|玉山帳戶""), REGEXMATCH(C3416, ""薪資"")), ""分潤支出"",
  AND(REGEXMATCH(E3416, ""Ben帳戶|Elsa帳戶|Ben代墊|Ariel代墊|中信銀行共用""), REGEXMATCH(F3416, ""Ben帳戶|Elsa帳戶|Ben代墊|Ariel代墊|中信銀行共用"")), ""內部轉帳(忽略)"",
  AND(E3416&lt;&gt;"""", F3416&lt;&gt;"""", N"&amp;"OT(REGEXMATCH(C3416, ""薪資""))), ""內部轉帳(忽略)"",
  REGEXMATCH(C3416, ""薪資""), ""薪資變動(不計入)"",
  REGEXMATCH(C3416, ""押金""), ""押金往來"",
  AND(E3416&lt;&gt;"""", F3416=""""), ""真實支出"",
  AND(E3416="""", F3416&lt;&gt;""""), ""真實收入"",
  TRUE, ""其他""
)"),"其他")</f>
        <v>其他</v>
      </c>
      <c r="K3416" s="270" t="str">
        <f t="shared" si="2"/>
        <v/>
      </c>
      <c r="L3416">
        <f t="shared" si="3"/>
        <v>0</v>
      </c>
    </row>
    <row r="3417">
      <c r="A3417" s="107"/>
      <c r="D3417" s="270"/>
      <c r="H3417" s="106" t="str">
        <f t="shared" si="1"/>
        <v/>
      </c>
      <c r="I3417" s="271" t="str">
        <f>IFERROR(__xludf.DUMMYFUNCTION("""COMPUTED_VALUE"""),"")</f>
        <v/>
      </c>
      <c r="J3417" t="str">
        <f>IFERROR(__xludf.DUMMYFUNCTION("IFS(
  AND(REGEXMATCH(E3417, ""台銀籌備帳戶|玉山帳戶""), REGEXMATCH(C3417, ""薪資"")), ""分潤支出"",
  AND(REGEXMATCH(E3417, ""Ben帳戶|Elsa帳戶|Ben代墊|Ariel代墊|中信銀行共用""), REGEXMATCH(F3417, ""Ben帳戶|Elsa帳戶|Ben代墊|Ariel代墊|中信銀行共用"")), ""內部轉帳(忽略)"",
  AND(E3417&lt;&gt;"""", F3417&lt;&gt;"""", N"&amp;"OT(REGEXMATCH(C3417, ""薪資""))), ""內部轉帳(忽略)"",
  REGEXMATCH(C3417, ""薪資""), ""薪資變動(不計入)"",
  REGEXMATCH(C3417, ""押金""), ""押金往來"",
  AND(E3417&lt;&gt;"""", F3417=""""), ""真實支出"",
  AND(E3417="""", F3417&lt;&gt;""""), ""真實收入"",
  TRUE, ""其他""
)"),"其他")</f>
        <v>其他</v>
      </c>
      <c r="K3417" s="270" t="str">
        <f t="shared" si="2"/>
        <v/>
      </c>
      <c r="L3417">
        <f t="shared" si="3"/>
        <v>0</v>
      </c>
    </row>
    <row r="3418">
      <c r="A3418" s="107"/>
      <c r="D3418" s="270"/>
      <c r="H3418" s="106" t="str">
        <f t="shared" si="1"/>
        <v/>
      </c>
      <c r="I3418" s="271" t="str">
        <f>IFERROR(__xludf.DUMMYFUNCTION("""COMPUTED_VALUE"""),"")</f>
        <v/>
      </c>
      <c r="J3418" t="str">
        <f>IFERROR(__xludf.DUMMYFUNCTION("IFS(
  AND(REGEXMATCH(E3418, ""台銀籌備帳戶|玉山帳戶""), REGEXMATCH(C3418, ""薪資"")), ""分潤支出"",
  AND(REGEXMATCH(E3418, ""Ben帳戶|Elsa帳戶|Ben代墊|Ariel代墊|中信銀行共用""), REGEXMATCH(F3418, ""Ben帳戶|Elsa帳戶|Ben代墊|Ariel代墊|中信銀行共用"")), ""內部轉帳(忽略)"",
  AND(E3418&lt;&gt;"""", F3418&lt;&gt;"""", N"&amp;"OT(REGEXMATCH(C3418, ""薪資""))), ""內部轉帳(忽略)"",
  REGEXMATCH(C3418, ""薪資""), ""薪資變動(不計入)"",
  REGEXMATCH(C3418, ""押金""), ""押金往來"",
  AND(E3418&lt;&gt;"""", F3418=""""), ""真實支出"",
  AND(E3418="""", F3418&lt;&gt;""""), ""真實收入"",
  TRUE, ""其他""
)"),"其他")</f>
        <v>其他</v>
      </c>
      <c r="K3418" s="270" t="str">
        <f t="shared" si="2"/>
        <v/>
      </c>
      <c r="L3418">
        <f t="shared" si="3"/>
        <v>0</v>
      </c>
    </row>
    <row r="3419">
      <c r="A3419" s="107"/>
      <c r="D3419" s="270"/>
      <c r="H3419" s="106" t="str">
        <f t="shared" si="1"/>
        <v/>
      </c>
      <c r="I3419" s="271" t="str">
        <f>IFERROR(__xludf.DUMMYFUNCTION("""COMPUTED_VALUE"""),"")</f>
        <v/>
      </c>
      <c r="J3419" t="str">
        <f>IFERROR(__xludf.DUMMYFUNCTION("IFS(
  AND(REGEXMATCH(E3419, ""台銀籌備帳戶|玉山帳戶""), REGEXMATCH(C3419, ""薪資"")), ""分潤支出"",
  AND(REGEXMATCH(E3419, ""Ben帳戶|Elsa帳戶|Ben代墊|Ariel代墊|中信銀行共用""), REGEXMATCH(F3419, ""Ben帳戶|Elsa帳戶|Ben代墊|Ariel代墊|中信銀行共用"")), ""內部轉帳(忽略)"",
  AND(E3419&lt;&gt;"""", F3419&lt;&gt;"""", N"&amp;"OT(REGEXMATCH(C3419, ""薪資""))), ""內部轉帳(忽略)"",
  REGEXMATCH(C3419, ""薪資""), ""薪資變動(不計入)"",
  REGEXMATCH(C3419, ""押金""), ""押金往來"",
  AND(E3419&lt;&gt;"""", F3419=""""), ""真實支出"",
  AND(E3419="""", F3419&lt;&gt;""""), ""真實收入"",
  TRUE, ""其他""
)"),"其他")</f>
        <v>其他</v>
      </c>
      <c r="K3419" s="270" t="str">
        <f t="shared" si="2"/>
        <v/>
      </c>
      <c r="L3419">
        <f t="shared" si="3"/>
        <v>0</v>
      </c>
    </row>
    <row r="3420">
      <c r="A3420" s="107"/>
      <c r="D3420" s="270"/>
      <c r="H3420" s="106" t="str">
        <f t="shared" si="1"/>
        <v/>
      </c>
      <c r="I3420" s="271" t="str">
        <f>IFERROR(__xludf.DUMMYFUNCTION("""COMPUTED_VALUE"""),"")</f>
        <v/>
      </c>
      <c r="J3420" t="str">
        <f>IFERROR(__xludf.DUMMYFUNCTION("IFS(
  AND(REGEXMATCH(E3420, ""台銀籌備帳戶|玉山帳戶""), REGEXMATCH(C3420, ""薪資"")), ""分潤支出"",
  AND(REGEXMATCH(E3420, ""Ben帳戶|Elsa帳戶|Ben代墊|Ariel代墊|中信銀行共用""), REGEXMATCH(F3420, ""Ben帳戶|Elsa帳戶|Ben代墊|Ariel代墊|中信銀行共用"")), ""內部轉帳(忽略)"",
  AND(E3420&lt;&gt;"""", F3420&lt;&gt;"""", N"&amp;"OT(REGEXMATCH(C3420, ""薪資""))), ""內部轉帳(忽略)"",
  REGEXMATCH(C3420, ""薪資""), ""薪資變動(不計入)"",
  REGEXMATCH(C3420, ""押金""), ""押金往來"",
  AND(E3420&lt;&gt;"""", F3420=""""), ""真實支出"",
  AND(E3420="""", F3420&lt;&gt;""""), ""真實收入"",
  TRUE, ""其他""
)"),"其他")</f>
        <v>其他</v>
      </c>
      <c r="K3420" s="270" t="str">
        <f t="shared" si="2"/>
        <v/>
      </c>
      <c r="L3420">
        <f t="shared" si="3"/>
        <v>0</v>
      </c>
    </row>
    <row r="3421">
      <c r="A3421" s="107"/>
      <c r="D3421" s="270"/>
      <c r="H3421" s="106" t="str">
        <f t="shared" si="1"/>
        <v/>
      </c>
      <c r="I3421" s="271" t="str">
        <f>IFERROR(__xludf.DUMMYFUNCTION("""COMPUTED_VALUE"""),"")</f>
        <v/>
      </c>
      <c r="J3421" t="str">
        <f>IFERROR(__xludf.DUMMYFUNCTION("IFS(
  AND(REGEXMATCH(E3421, ""台銀籌備帳戶|玉山帳戶""), REGEXMATCH(C3421, ""薪資"")), ""分潤支出"",
  AND(REGEXMATCH(E3421, ""Ben帳戶|Elsa帳戶|Ben代墊|Ariel代墊|中信銀行共用""), REGEXMATCH(F3421, ""Ben帳戶|Elsa帳戶|Ben代墊|Ariel代墊|中信銀行共用"")), ""內部轉帳(忽略)"",
  AND(E3421&lt;&gt;"""", F3421&lt;&gt;"""", N"&amp;"OT(REGEXMATCH(C3421, ""薪資""))), ""內部轉帳(忽略)"",
  REGEXMATCH(C3421, ""薪資""), ""薪資變動(不計入)"",
  REGEXMATCH(C3421, ""押金""), ""押金往來"",
  AND(E3421&lt;&gt;"""", F3421=""""), ""真實支出"",
  AND(E3421="""", F3421&lt;&gt;""""), ""真實收入"",
  TRUE, ""其他""
)"),"其他")</f>
        <v>其他</v>
      </c>
      <c r="K3421" s="270" t="str">
        <f t="shared" si="2"/>
        <v/>
      </c>
      <c r="L3421">
        <f t="shared" si="3"/>
        <v>0</v>
      </c>
    </row>
    <row r="3422">
      <c r="A3422" s="107"/>
      <c r="D3422" s="270"/>
      <c r="H3422" s="106" t="str">
        <f t="shared" si="1"/>
        <v/>
      </c>
      <c r="I3422" s="271" t="str">
        <f>IFERROR(__xludf.DUMMYFUNCTION("""COMPUTED_VALUE"""),"")</f>
        <v/>
      </c>
      <c r="J3422" t="str">
        <f>IFERROR(__xludf.DUMMYFUNCTION("IFS(
  AND(REGEXMATCH(E3422, ""台銀籌備帳戶|玉山帳戶""), REGEXMATCH(C3422, ""薪資"")), ""分潤支出"",
  AND(REGEXMATCH(E3422, ""Ben帳戶|Elsa帳戶|Ben代墊|Ariel代墊|中信銀行共用""), REGEXMATCH(F3422, ""Ben帳戶|Elsa帳戶|Ben代墊|Ariel代墊|中信銀行共用"")), ""內部轉帳(忽略)"",
  AND(E3422&lt;&gt;"""", F3422&lt;&gt;"""", N"&amp;"OT(REGEXMATCH(C3422, ""薪資""))), ""內部轉帳(忽略)"",
  REGEXMATCH(C3422, ""薪資""), ""薪資變動(不計入)"",
  REGEXMATCH(C3422, ""押金""), ""押金往來"",
  AND(E3422&lt;&gt;"""", F3422=""""), ""真實支出"",
  AND(E3422="""", F3422&lt;&gt;""""), ""真實收入"",
  TRUE, ""其他""
)"),"其他")</f>
        <v>其他</v>
      </c>
      <c r="K3422" s="270" t="str">
        <f t="shared" si="2"/>
        <v/>
      </c>
      <c r="L3422">
        <f t="shared" si="3"/>
        <v>0</v>
      </c>
    </row>
    <row r="3423">
      <c r="A3423" s="107"/>
      <c r="D3423" s="270"/>
      <c r="H3423" s="106" t="str">
        <f t="shared" si="1"/>
        <v/>
      </c>
      <c r="I3423" s="271" t="str">
        <f>IFERROR(__xludf.DUMMYFUNCTION("""COMPUTED_VALUE"""),"")</f>
        <v/>
      </c>
      <c r="J3423" t="str">
        <f>IFERROR(__xludf.DUMMYFUNCTION("IFS(
  AND(REGEXMATCH(E3423, ""台銀籌備帳戶|玉山帳戶""), REGEXMATCH(C3423, ""薪資"")), ""分潤支出"",
  AND(REGEXMATCH(E3423, ""Ben帳戶|Elsa帳戶|Ben代墊|Ariel代墊|中信銀行共用""), REGEXMATCH(F3423, ""Ben帳戶|Elsa帳戶|Ben代墊|Ariel代墊|中信銀行共用"")), ""內部轉帳(忽略)"",
  AND(E3423&lt;&gt;"""", F3423&lt;&gt;"""", N"&amp;"OT(REGEXMATCH(C3423, ""薪資""))), ""內部轉帳(忽略)"",
  REGEXMATCH(C3423, ""薪資""), ""薪資變動(不計入)"",
  REGEXMATCH(C3423, ""押金""), ""押金往來"",
  AND(E3423&lt;&gt;"""", F3423=""""), ""真實支出"",
  AND(E3423="""", F3423&lt;&gt;""""), ""真實收入"",
  TRUE, ""其他""
)"),"其他")</f>
        <v>其他</v>
      </c>
      <c r="K3423" s="270" t="str">
        <f t="shared" si="2"/>
        <v/>
      </c>
      <c r="L3423">
        <f t="shared" si="3"/>
        <v>0</v>
      </c>
    </row>
    <row r="3424">
      <c r="A3424" s="107"/>
      <c r="D3424" s="270"/>
      <c r="H3424" s="106" t="str">
        <f t="shared" si="1"/>
        <v/>
      </c>
      <c r="I3424" s="271" t="str">
        <f>IFERROR(__xludf.DUMMYFUNCTION("""COMPUTED_VALUE"""),"")</f>
        <v/>
      </c>
      <c r="J3424" t="str">
        <f>IFERROR(__xludf.DUMMYFUNCTION("IFS(
  AND(REGEXMATCH(E3424, ""台銀籌備帳戶|玉山帳戶""), REGEXMATCH(C3424, ""薪資"")), ""分潤支出"",
  AND(REGEXMATCH(E3424, ""Ben帳戶|Elsa帳戶|Ben代墊|Ariel代墊|中信銀行共用""), REGEXMATCH(F3424, ""Ben帳戶|Elsa帳戶|Ben代墊|Ariel代墊|中信銀行共用"")), ""內部轉帳(忽略)"",
  AND(E3424&lt;&gt;"""", F3424&lt;&gt;"""", N"&amp;"OT(REGEXMATCH(C3424, ""薪資""))), ""內部轉帳(忽略)"",
  REGEXMATCH(C3424, ""薪資""), ""薪資變動(不計入)"",
  REGEXMATCH(C3424, ""押金""), ""押金往來"",
  AND(E3424&lt;&gt;"""", F3424=""""), ""真實支出"",
  AND(E3424="""", F3424&lt;&gt;""""), ""真實收入"",
  TRUE, ""其他""
)"),"其他")</f>
        <v>其他</v>
      </c>
      <c r="K3424" s="270" t="str">
        <f t="shared" si="2"/>
        <v/>
      </c>
      <c r="L3424">
        <f t="shared" si="3"/>
        <v>0</v>
      </c>
    </row>
    <row r="3425">
      <c r="A3425" s="107"/>
      <c r="D3425" s="270"/>
      <c r="H3425" s="106" t="str">
        <f t="shared" si="1"/>
        <v/>
      </c>
      <c r="I3425" s="271" t="str">
        <f>IFERROR(__xludf.DUMMYFUNCTION("""COMPUTED_VALUE"""),"")</f>
        <v/>
      </c>
      <c r="J3425" t="str">
        <f>IFERROR(__xludf.DUMMYFUNCTION("IFS(
  AND(REGEXMATCH(E3425, ""台銀籌備帳戶|玉山帳戶""), REGEXMATCH(C3425, ""薪資"")), ""分潤支出"",
  AND(REGEXMATCH(E3425, ""Ben帳戶|Elsa帳戶|Ben代墊|Ariel代墊|中信銀行共用""), REGEXMATCH(F3425, ""Ben帳戶|Elsa帳戶|Ben代墊|Ariel代墊|中信銀行共用"")), ""內部轉帳(忽略)"",
  AND(E3425&lt;&gt;"""", F3425&lt;&gt;"""", N"&amp;"OT(REGEXMATCH(C3425, ""薪資""))), ""內部轉帳(忽略)"",
  REGEXMATCH(C3425, ""薪資""), ""薪資變動(不計入)"",
  REGEXMATCH(C3425, ""押金""), ""押金往來"",
  AND(E3425&lt;&gt;"""", F3425=""""), ""真實支出"",
  AND(E3425="""", F3425&lt;&gt;""""), ""真實收入"",
  TRUE, ""其他""
)"),"其他")</f>
        <v>其他</v>
      </c>
      <c r="K3425" s="270" t="str">
        <f t="shared" si="2"/>
        <v/>
      </c>
      <c r="L3425">
        <f t="shared" si="3"/>
        <v>0</v>
      </c>
    </row>
    <row r="3426">
      <c r="A3426" s="107"/>
      <c r="D3426" s="270"/>
      <c r="H3426" s="106" t="str">
        <f t="shared" si="1"/>
        <v/>
      </c>
      <c r="I3426" s="271" t="str">
        <f>IFERROR(__xludf.DUMMYFUNCTION("""COMPUTED_VALUE"""),"")</f>
        <v/>
      </c>
      <c r="J3426" t="str">
        <f>IFERROR(__xludf.DUMMYFUNCTION("IFS(
  AND(REGEXMATCH(E3426, ""台銀籌備帳戶|玉山帳戶""), REGEXMATCH(C3426, ""薪資"")), ""分潤支出"",
  AND(REGEXMATCH(E3426, ""Ben帳戶|Elsa帳戶|Ben代墊|Ariel代墊|中信銀行共用""), REGEXMATCH(F3426, ""Ben帳戶|Elsa帳戶|Ben代墊|Ariel代墊|中信銀行共用"")), ""內部轉帳(忽略)"",
  AND(E3426&lt;&gt;"""", F3426&lt;&gt;"""", N"&amp;"OT(REGEXMATCH(C3426, ""薪資""))), ""內部轉帳(忽略)"",
  REGEXMATCH(C3426, ""薪資""), ""薪資變動(不計入)"",
  REGEXMATCH(C3426, ""押金""), ""押金往來"",
  AND(E3426&lt;&gt;"""", F3426=""""), ""真實支出"",
  AND(E3426="""", F3426&lt;&gt;""""), ""真實收入"",
  TRUE, ""其他""
)"),"其他")</f>
        <v>其他</v>
      </c>
      <c r="K3426" s="270" t="str">
        <f t="shared" si="2"/>
        <v/>
      </c>
      <c r="L3426">
        <f t="shared" si="3"/>
        <v>0</v>
      </c>
    </row>
    <row r="3427">
      <c r="A3427" s="107"/>
      <c r="D3427" s="270"/>
      <c r="H3427" s="106" t="str">
        <f t="shared" si="1"/>
        <v/>
      </c>
      <c r="I3427" s="271" t="str">
        <f>IFERROR(__xludf.DUMMYFUNCTION("""COMPUTED_VALUE"""),"")</f>
        <v/>
      </c>
      <c r="J3427" t="str">
        <f>IFERROR(__xludf.DUMMYFUNCTION("IFS(
  AND(REGEXMATCH(E3427, ""台銀籌備帳戶|玉山帳戶""), REGEXMATCH(C3427, ""薪資"")), ""分潤支出"",
  AND(REGEXMATCH(E3427, ""Ben帳戶|Elsa帳戶|Ben代墊|Ariel代墊|中信銀行共用""), REGEXMATCH(F3427, ""Ben帳戶|Elsa帳戶|Ben代墊|Ariel代墊|中信銀行共用"")), ""內部轉帳(忽略)"",
  AND(E3427&lt;&gt;"""", F3427&lt;&gt;"""", N"&amp;"OT(REGEXMATCH(C3427, ""薪資""))), ""內部轉帳(忽略)"",
  REGEXMATCH(C3427, ""薪資""), ""薪資變動(不計入)"",
  REGEXMATCH(C3427, ""押金""), ""押金往來"",
  AND(E3427&lt;&gt;"""", F3427=""""), ""真實支出"",
  AND(E3427="""", F3427&lt;&gt;""""), ""真實收入"",
  TRUE, ""其他""
)"),"其他")</f>
        <v>其他</v>
      </c>
      <c r="K3427" s="270" t="str">
        <f t="shared" si="2"/>
        <v/>
      </c>
      <c r="L3427">
        <f t="shared" si="3"/>
        <v>0</v>
      </c>
    </row>
    <row r="3428">
      <c r="A3428" s="107"/>
      <c r="D3428" s="270"/>
      <c r="H3428" s="106" t="str">
        <f t="shared" si="1"/>
        <v/>
      </c>
      <c r="I3428" s="271" t="str">
        <f>IFERROR(__xludf.DUMMYFUNCTION("""COMPUTED_VALUE"""),"")</f>
        <v/>
      </c>
      <c r="J3428" t="str">
        <f>IFERROR(__xludf.DUMMYFUNCTION("IFS(
  AND(REGEXMATCH(E3428, ""台銀籌備帳戶|玉山帳戶""), REGEXMATCH(C3428, ""薪資"")), ""分潤支出"",
  AND(REGEXMATCH(E3428, ""Ben帳戶|Elsa帳戶|Ben代墊|Ariel代墊|中信銀行共用""), REGEXMATCH(F3428, ""Ben帳戶|Elsa帳戶|Ben代墊|Ariel代墊|中信銀行共用"")), ""內部轉帳(忽略)"",
  AND(E3428&lt;&gt;"""", F3428&lt;&gt;"""", N"&amp;"OT(REGEXMATCH(C3428, ""薪資""))), ""內部轉帳(忽略)"",
  REGEXMATCH(C3428, ""薪資""), ""薪資變動(不計入)"",
  REGEXMATCH(C3428, ""押金""), ""押金往來"",
  AND(E3428&lt;&gt;"""", F3428=""""), ""真實支出"",
  AND(E3428="""", F3428&lt;&gt;""""), ""真實收入"",
  TRUE, ""其他""
)"),"其他")</f>
        <v>其他</v>
      </c>
      <c r="K3428" s="270" t="str">
        <f t="shared" si="2"/>
        <v/>
      </c>
      <c r="L3428">
        <f t="shared" si="3"/>
        <v>0</v>
      </c>
    </row>
    <row r="3429">
      <c r="A3429" s="107"/>
      <c r="D3429" s="270"/>
      <c r="H3429" s="106" t="str">
        <f t="shared" si="1"/>
        <v/>
      </c>
      <c r="I3429" s="271" t="str">
        <f>IFERROR(__xludf.DUMMYFUNCTION("""COMPUTED_VALUE"""),"")</f>
        <v/>
      </c>
      <c r="J3429" t="str">
        <f>IFERROR(__xludf.DUMMYFUNCTION("IFS(
  AND(REGEXMATCH(E3429, ""台銀籌備帳戶|玉山帳戶""), REGEXMATCH(C3429, ""薪資"")), ""分潤支出"",
  AND(REGEXMATCH(E3429, ""Ben帳戶|Elsa帳戶|Ben代墊|Ariel代墊|中信銀行共用""), REGEXMATCH(F3429, ""Ben帳戶|Elsa帳戶|Ben代墊|Ariel代墊|中信銀行共用"")), ""內部轉帳(忽略)"",
  AND(E3429&lt;&gt;"""", F3429&lt;&gt;"""", N"&amp;"OT(REGEXMATCH(C3429, ""薪資""))), ""內部轉帳(忽略)"",
  REGEXMATCH(C3429, ""薪資""), ""薪資變動(不計入)"",
  REGEXMATCH(C3429, ""押金""), ""押金往來"",
  AND(E3429&lt;&gt;"""", F3429=""""), ""真實支出"",
  AND(E3429="""", F3429&lt;&gt;""""), ""真實收入"",
  TRUE, ""其他""
)"),"其他")</f>
        <v>其他</v>
      </c>
      <c r="K3429" s="270" t="str">
        <f t="shared" si="2"/>
        <v/>
      </c>
      <c r="L3429">
        <f t="shared" si="3"/>
        <v>0</v>
      </c>
    </row>
    <row r="3430">
      <c r="A3430" s="107"/>
      <c r="D3430" s="270"/>
      <c r="H3430" s="106" t="str">
        <f t="shared" si="1"/>
        <v/>
      </c>
      <c r="I3430" s="271" t="str">
        <f>IFERROR(__xludf.DUMMYFUNCTION("""COMPUTED_VALUE"""),"")</f>
        <v/>
      </c>
      <c r="J3430" t="str">
        <f>IFERROR(__xludf.DUMMYFUNCTION("IFS(
  AND(REGEXMATCH(E3430, ""台銀籌備帳戶|玉山帳戶""), REGEXMATCH(C3430, ""薪資"")), ""分潤支出"",
  AND(REGEXMATCH(E3430, ""Ben帳戶|Elsa帳戶|Ben代墊|Ariel代墊|中信銀行共用""), REGEXMATCH(F3430, ""Ben帳戶|Elsa帳戶|Ben代墊|Ariel代墊|中信銀行共用"")), ""內部轉帳(忽略)"",
  AND(E3430&lt;&gt;"""", F3430&lt;&gt;"""", N"&amp;"OT(REGEXMATCH(C3430, ""薪資""))), ""內部轉帳(忽略)"",
  REGEXMATCH(C3430, ""薪資""), ""薪資變動(不計入)"",
  REGEXMATCH(C3430, ""押金""), ""押金往來"",
  AND(E3430&lt;&gt;"""", F3430=""""), ""真實支出"",
  AND(E3430="""", F3430&lt;&gt;""""), ""真實收入"",
  TRUE, ""其他""
)"),"其他")</f>
        <v>其他</v>
      </c>
      <c r="K3430" s="270" t="str">
        <f t="shared" si="2"/>
        <v/>
      </c>
      <c r="L3430">
        <f t="shared" si="3"/>
        <v>0</v>
      </c>
    </row>
    <row r="3431">
      <c r="A3431" s="107"/>
      <c r="D3431" s="270"/>
      <c r="H3431" s="106" t="str">
        <f t="shared" si="1"/>
        <v/>
      </c>
      <c r="I3431" s="271" t="str">
        <f>IFERROR(__xludf.DUMMYFUNCTION("""COMPUTED_VALUE"""),"")</f>
        <v/>
      </c>
      <c r="J3431" t="str">
        <f>IFERROR(__xludf.DUMMYFUNCTION("IFS(
  AND(REGEXMATCH(E3431, ""台銀籌備帳戶|玉山帳戶""), REGEXMATCH(C3431, ""薪資"")), ""分潤支出"",
  AND(REGEXMATCH(E3431, ""Ben帳戶|Elsa帳戶|Ben代墊|Ariel代墊|中信銀行共用""), REGEXMATCH(F3431, ""Ben帳戶|Elsa帳戶|Ben代墊|Ariel代墊|中信銀行共用"")), ""內部轉帳(忽略)"",
  AND(E3431&lt;&gt;"""", F3431&lt;&gt;"""", N"&amp;"OT(REGEXMATCH(C3431, ""薪資""))), ""內部轉帳(忽略)"",
  REGEXMATCH(C3431, ""薪資""), ""薪資變動(不計入)"",
  REGEXMATCH(C3431, ""押金""), ""押金往來"",
  AND(E3431&lt;&gt;"""", F3431=""""), ""真實支出"",
  AND(E3431="""", F3431&lt;&gt;""""), ""真實收入"",
  TRUE, ""其他""
)"),"其他")</f>
        <v>其他</v>
      </c>
      <c r="K3431" s="270" t="str">
        <f t="shared" si="2"/>
        <v/>
      </c>
      <c r="L3431">
        <f t="shared" si="3"/>
        <v>0</v>
      </c>
    </row>
    <row r="3432">
      <c r="A3432" s="107"/>
      <c r="D3432" s="270"/>
      <c r="H3432" s="106" t="str">
        <f t="shared" si="1"/>
        <v/>
      </c>
      <c r="I3432" s="271" t="str">
        <f>IFERROR(__xludf.DUMMYFUNCTION("""COMPUTED_VALUE"""),"")</f>
        <v/>
      </c>
      <c r="J3432" t="str">
        <f>IFERROR(__xludf.DUMMYFUNCTION("IFS(
  AND(REGEXMATCH(E3432, ""台銀籌備帳戶|玉山帳戶""), REGEXMATCH(C3432, ""薪資"")), ""分潤支出"",
  AND(REGEXMATCH(E3432, ""Ben帳戶|Elsa帳戶|Ben代墊|Ariel代墊|中信銀行共用""), REGEXMATCH(F3432, ""Ben帳戶|Elsa帳戶|Ben代墊|Ariel代墊|中信銀行共用"")), ""內部轉帳(忽略)"",
  AND(E3432&lt;&gt;"""", F3432&lt;&gt;"""", N"&amp;"OT(REGEXMATCH(C3432, ""薪資""))), ""內部轉帳(忽略)"",
  REGEXMATCH(C3432, ""薪資""), ""薪資變動(不計入)"",
  REGEXMATCH(C3432, ""押金""), ""押金往來"",
  AND(E3432&lt;&gt;"""", F3432=""""), ""真實支出"",
  AND(E3432="""", F3432&lt;&gt;""""), ""真實收入"",
  TRUE, ""其他""
)"),"其他")</f>
        <v>其他</v>
      </c>
      <c r="K3432" s="270" t="str">
        <f t="shared" si="2"/>
        <v/>
      </c>
      <c r="L3432">
        <f t="shared" si="3"/>
        <v>0</v>
      </c>
    </row>
    <row r="3433">
      <c r="A3433" s="107"/>
      <c r="D3433" s="270"/>
      <c r="H3433" s="106" t="str">
        <f t="shared" si="1"/>
        <v/>
      </c>
      <c r="I3433" s="271" t="str">
        <f>IFERROR(__xludf.DUMMYFUNCTION("""COMPUTED_VALUE"""),"")</f>
        <v/>
      </c>
      <c r="J3433" t="str">
        <f>IFERROR(__xludf.DUMMYFUNCTION("IFS(
  AND(REGEXMATCH(E3433, ""台銀籌備帳戶|玉山帳戶""), REGEXMATCH(C3433, ""薪資"")), ""分潤支出"",
  AND(REGEXMATCH(E3433, ""Ben帳戶|Elsa帳戶|Ben代墊|Ariel代墊|中信銀行共用""), REGEXMATCH(F3433, ""Ben帳戶|Elsa帳戶|Ben代墊|Ariel代墊|中信銀行共用"")), ""內部轉帳(忽略)"",
  AND(E3433&lt;&gt;"""", F3433&lt;&gt;"""", N"&amp;"OT(REGEXMATCH(C3433, ""薪資""))), ""內部轉帳(忽略)"",
  REGEXMATCH(C3433, ""薪資""), ""薪資變動(不計入)"",
  REGEXMATCH(C3433, ""押金""), ""押金往來"",
  AND(E3433&lt;&gt;"""", F3433=""""), ""真實支出"",
  AND(E3433="""", F3433&lt;&gt;""""), ""真實收入"",
  TRUE, ""其他""
)"),"其他")</f>
        <v>其他</v>
      </c>
      <c r="K3433" s="270" t="str">
        <f t="shared" si="2"/>
        <v/>
      </c>
      <c r="L3433">
        <f t="shared" si="3"/>
        <v>0</v>
      </c>
    </row>
    <row r="3434">
      <c r="A3434" s="107"/>
      <c r="D3434" s="270"/>
      <c r="H3434" s="106" t="str">
        <f t="shared" si="1"/>
        <v/>
      </c>
      <c r="I3434" s="271" t="str">
        <f>IFERROR(__xludf.DUMMYFUNCTION("""COMPUTED_VALUE"""),"")</f>
        <v/>
      </c>
      <c r="J3434" t="str">
        <f>IFERROR(__xludf.DUMMYFUNCTION("IFS(
  AND(REGEXMATCH(E3434, ""台銀籌備帳戶|玉山帳戶""), REGEXMATCH(C3434, ""薪資"")), ""分潤支出"",
  AND(REGEXMATCH(E3434, ""Ben帳戶|Elsa帳戶|Ben代墊|Ariel代墊|中信銀行共用""), REGEXMATCH(F3434, ""Ben帳戶|Elsa帳戶|Ben代墊|Ariel代墊|中信銀行共用"")), ""內部轉帳(忽略)"",
  AND(E3434&lt;&gt;"""", F3434&lt;&gt;"""", N"&amp;"OT(REGEXMATCH(C3434, ""薪資""))), ""內部轉帳(忽略)"",
  REGEXMATCH(C3434, ""薪資""), ""薪資變動(不計入)"",
  REGEXMATCH(C3434, ""押金""), ""押金往來"",
  AND(E3434&lt;&gt;"""", F3434=""""), ""真實支出"",
  AND(E3434="""", F3434&lt;&gt;""""), ""真實收入"",
  TRUE, ""其他""
)"),"其他")</f>
        <v>其他</v>
      </c>
      <c r="K3434" s="270" t="str">
        <f t="shared" si="2"/>
        <v/>
      </c>
      <c r="L3434">
        <f t="shared" si="3"/>
        <v>0</v>
      </c>
    </row>
    <row r="3435">
      <c r="A3435" s="107"/>
      <c r="D3435" s="270"/>
      <c r="H3435" s="106" t="str">
        <f t="shared" si="1"/>
        <v/>
      </c>
      <c r="I3435" s="271" t="str">
        <f>IFERROR(__xludf.DUMMYFUNCTION("""COMPUTED_VALUE"""),"")</f>
        <v/>
      </c>
      <c r="J3435" t="str">
        <f>IFERROR(__xludf.DUMMYFUNCTION("IFS(
  AND(REGEXMATCH(E3435, ""台銀籌備帳戶|玉山帳戶""), REGEXMATCH(C3435, ""薪資"")), ""分潤支出"",
  AND(REGEXMATCH(E3435, ""Ben帳戶|Elsa帳戶|Ben代墊|Ariel代墊|中信銀行共用""), REGEXMATCH(F3435, ""Ben帳戶|Elsa帳戶|Ben代墊|Ariel代墊|中信銀行共用"")), ""內部轉帳(忽略)"",
  AND(E3435&lt;&gt;"""", F3435&lt;&gt;"""", N"&amp;"OT(REGEXMATCH(C3435, ""薪資""))), ""內部轉帳(忽略)"",
  REGEXMATCH(C3435, ""薪資""), ""薪資變動(不計入)"",
  REGEXMATCH(C3435, ""押金""), ""押金往來"",
  AND(E3435&lt;&gt;"""", F3435=""""), ""真實支出"",
  AND(E3435="""", F3435&lt;&gt;""""), ""真實收入"",
  TRUE, ""其他""
)"),"其他")</f>
        <v>其他</v>
      </c>
      <c r="K3435" s="270" t="str">
        <f t="shared" si="2"/>
        <v/>
      </c>
      <c r="L3435">
        <f t="shared" si="3"/>
        <v>0</v>
      </c>
    </row>
    <row r="3436">
      <c r="A3436" s="107"/>
      <c r="D3436" s="270"/>
      <c r="H3436" s="106" t="str">
        <f t="shared" si="1"/>
        <v/>
      </c>
      <c r="I3436" s="271" t="str">
        <f>IFERROR(__xludf.DUMMYFUNCTION("""COMPUTED_VALUE"""),"")</f>
        <v/>
      </c>
      <c r="J3436" t="str">
        <f>IFERROR(__xludf.DUMMYFUNCTION("IFS(
  AND(REGEXMATCH(E3436, ""台銀籌備帳戶|玉山帳戶""), REGEXMATCH(C3436, ""薪資"")), ""分潤支出"",
  AND(REGEXMATCH(E3436, ""Ben帳戶|Elsa帳戶|Ben代墊|Ariel代墊|中信銀行共用""), REGEXMATCH(F3436, ""Ben帳戶|Elsa帳戶|Ben代墊|Ariel代墊|中信銀行共用"")), ""內部轉帳(忽略)"",
  AND(E3436&lt;&gt;"""", F3436&lt;&gt;"""", N"&amp;"OT(REGEXMATCH(C3436, ""薪資""))), ""內部轉帳(忽略)"",
  REGEXMATCH(C3436, ""薪資""), ""薪資變動(不計入)"",
  REGEXMATCH(C3436, ""押金""), ""押金往來"",
  AND(E3436&lt;&gt;"""", F3436=""""), ""真實支出"",
  AND(E3436="""", F3436&lt;&gt;""""), ""真實收入"",
  TRUE, ""其他""
)"),"其他")</f>
        <v>其他</v>
      </c>
      <c r="K3436" s="270" t="str">
        <f t="shared" si="2"/>
        <v/>
      </c>
      <c r="L3436">
        <f t="shared" si="3"/>
        <v>0</v>
      </c>
    </row>
    <row r="3437">
      <c r="A3437" s="107"/>
      <c r="D3437" s="270"/>
      <c r="H3437" s="106" t="str">
        <f t="shared" si="1"/>
        <v/>
      </c>
      <c r="I3437" s="271" t="str">
        <f>IFERROR(__xludf.DUMMYFUNCTION("""COMPUTED_VALUE"""),"")</f>
        <v/>
      </c>
      <c r="J3437" t="str">
        <f>IFERROR(__xludf.DUMMYFUNCTION("IFS(
  AND(REGEXMATCH(E3437, ""台銀籌備帳戶|玉山帳戶""), REGEXMATCH(C3437, ""薪資"")), ""分潤支出"",
  AND(REGEXMATCH(E3437, ""Ben帳戶|Elsa帳戶|Ben代墊|Ariel代墊|中信銀行共用""), REGEXMATCH(F3437, ""Ben帳戶|Elsa帳戶|Ben代墊|Ariel代墊|中信銀行共用"")), ""內部轉帳(忽略)"",
  AND(E3437&lt;&gt;"""", F3437&lt;&gt;"""", N"&amp;"OT(REGEXMATCH(C3437, ""薪資""))), ""內部轉帳(忽略)"",
  REGEXMATCH(C3437, ""薪資""), ""薪資變動(不計入)"",
  REGEXMATCH(C3437, ""押金""), ""押金往來"",
  AND(E3437&lt;&gt;"""", F3437=""""), ""真實支出"",
  AND(E3437="""", F3437&lt;&gt;""""), ""真實收入"",
  TRUE, ""其他""
)"),"其他")</f>
        <v>其他</v>
      </c>
      <c r="K3437" s="270" t="str">
        <f t="shared" si="2"/>
        <v/>
      </c>
      <c r="L3437">
        <f t="shared" si="3"/>
        <v>0</v>
      </c>
    </row>
    <row r="3438">
      <c r="A3438" s="107"/>
      <c r="D3438" s="270"/>
      <c r="H3438" s="106" t="str">
        <f t="shared" si="1"/>
        <v/>
      </c>
      <c r="I3438" s="271" t="str">
        <f>IFERROR(__xludf.DUMMYFUNCTION("""COMPUTED_VALUE"""),"")</f>
        <v/>
      </c>
      <c r="J3438" t="str">
        <f>IFERROR(__xludf.DUMMYFUNCTION("IFS(
  AND(REGEXMATCH(E3438, ""台銀籌備帳戶|玉山帳戶""), REGEXMATCH(C3438, ""薪資"")), ""分潤支出"",
  AND(REGEXMATCH(E3438, ""Ben帳戶|Elsa帳戶|Ben代墊|Ariel代墊|中信銀行共用""), REGEXMATCH(F3438, ""Ben帳戶|Elsa帳戶|Ben代墊|Ariel代墊|中信銀行共用"")), ""內部轉帳(忽略)"",
  AND(E3438&lt;&gt;"""", F3438&lt;&gt;"""", N"&amp;"OT(REGEXMATCH(C3438, ""薪資""))), ""內部轉帳(忽略)"",
  REGEXMATCH(C3438, ""薪資""), ""薪資變動(不計入)"",
  REGEXMATCH(C3438, ""押金""), ""押金往來"",
  AND(E3438&lt;&gt;"""", F3438=""""), ""真實支出"",
  AND(E3438="""", F3438&lt;&gt;""""), ""真實收入"",
  TRUE, ""其他""
)"),"其他")</f>
        <v>其他</v>
      </c>
      <c r="K3438" s="270" t="str">
        <f t="shared" si="2"/>
        <v/>
      </c>
      <c r="L3438">
        <f t="shared" si="3"/>
        <v>0</v>
      </c>
    </row>
    <row r="3439">
      <c r="A3439" s="107"/>
      <c r="D3439" s="270"/>
      <c r="H3439" s="106" t="str">
        <f t="shared" si="1"/>
        <v/>
      </c>
      <c r="I3439" s="271" t="str">
        <f>IFERROR(__xludf.DUMMYFUNCTION("""COMPUTED_VALUE"""),"")</f>
        <v/>
      </c>
      <c r="J3439" t="str">
        <f>IFERROR(__xludf.DUMMYFUNCTION("IFS(
  AND(REGEXMATCH(E3439, ""台銀籌備帳戶|玉山帳戶""), REGEXMATCH(C3439, ""薪資"")), ""分潤支出"",
  AND(REGEXMATCH(E3439, ""Ben帳戶|Elsa帳戶|Ben代墊|Ariel代墊|中信銀行共用""), REGEXMATCH(F3439, ""Ben帳戶|Elsa帳戶|Ben代墊|Ariel代墊|中信銀行共用"")), ""內部轉帳(忽略)"",
  AND(E3439&lt;&gt;"""", F3439&lt;&gt;"""", N"&amp;"OT(REGEXMATCH(C3439, ""薪資""))), ""內部轉帳(忽略)"",
  REGEXMATCH(C3439, ""薪資""), ""薪資變動(不計入)"",
  REGEXMATCH(C3439, ""押金""), ""押金往來"",
  AND(E3439&lt;&gt;"""", F3439=""""), ""真實支出"",
  AND(E3439="""", F3439&lt;&gt;""""), ""真實收入"",
  TRUE, ""其他""
)"),"其他")</f>
        <v>其他</v>
      </c>
      <c r="K3439" s="270" t="str">
        <f t="shared" si="2"/>
        <v/>
      </c>
      <c r="L3439">
        <f t="shared" si="3"/>
        <v>0</v>
      </c>
    </row>
    <row r="3440">
      <c r="A3440" s="107"/>
      <c r="D3440" s="270"/>
      <c r="H3440" s="106" t="str">
        <f t="shared" si="1"/>
        <v/>
      </c>
      <c r="I3440" s="271" t="str">
        <f>IFERROR(__xludf.DUMMYFUNCTION("""COMPUTED_VALUE"""),"")</f>
        <v/>
      </c>
      <c r="J3440" t="str">
        <f>IFERROR(__xludf.DUMMYFUNCTION("IFS(
  AND(REGEXMATCH(E3440, ""台銀籌備帳戶|玉山帳戶""), REGEXMATCH(C3440, ""薪資"")), ""分潤支出"",
  AND(REGEXMATCH(E3440, ""Ben帳戶|Elsa帳戶|Ben代墊|Ariel代墊|中信銀行共用""), REGEXMATCH(F3440, ""Ben帳戶|Elsa帳戶|Ben代墊|Ariel代墊|中信銀行共用"")), ""內部轉帳(忽略)"",
  AND(E3440&lt;&gt;"""", F3440&lt;&gt;"""", N"&amp;"OT(REGEXMATCH(C3440, ""薪資""))), ""內部轉帳(忽略)"",
  REGEXMATCH(C3440, ""薪資""), ""薪資變動(不計入)"",
  REGEXMATCH(C3440, ""押金""), ""押金往來"",
  AND(E3440&lt;&gt;"""", F3440=""""), ""真實支出"",
  AND(E3440="""", F3440&lt;&gt;""""), ""真實收入"",
  TRUE, ""其他""
)"),"其他")</f>
        <v>其他</v>
      </c>
      <c r="K3440" s="270" t="str">
        <f t="shared" si="2"/>
        <v/>
      </c>
      <c r="L3440">
        <f t="shared" si="3"/>
        <v>0</v>
      </c>
    </row>
    <row r="3441">
      <c r="A3441" s="107"/>
      <c r="D3441" s="270"/>
      <c r="H3441" s="106" t="str">
        <f t="shared" si="1"/>
        <v/>
      </c>
      <c r="I3441" s="271" t="str">
        <f>IFERROR(__xludf.DUMMYFUNCTION("""COMPUTED_VALUE"""),"")</f>
        <v/>
      </c>
      <c r="J3441" t="str">
        <f>IFERROR(__xludf.DUMMYFUNCTION("IFS(
  AND(REGEXMATCH(E3441, ""台銀籌備帳戶|玉山帳戶""), REGEXMATCH(C3441, ""薪資"")), ""分潤支出"",
  AND(REGEXMATCH(E3441, ""Ben帳戶|Elsa帳戶|Ben代墊|Ariel代墊|中信銀行共用""), REGEXMATCH(F3441, ""Ben帳戶|Elsa帳戶|Ben代墊|Ariel代墊|中信銀行共用"")), ""內部轉帳(忽略)"",
  AND(E3441&lt;&gt;"""", F3441&lt;&gt;"""", N"&amp;"OT(REGEXMATCH(C3441, ""薪資""))), ""內部轉帳(忽略)"",
  REGEXMATCH(C3441, ""薪資""), ""薪資變動(不計入)"",
  REGEXMATCH(C3441, ""押金""), ""押金往來"",
  AND(E3441&lt;&gt;"""", F3441=""""), ""真實支出"",
  AND(E3441="""", F3441&lt;&gt;""""), ""真實收入"",
  TRUE, ""其他""
)"),"其他")</f>
        <v>其他</v>
      </c>
      <c r="K3441" s="270" t="str">
        <f t="shared" si="2"/>
        <v/>
      </c>
      <c r="L3441">
        <f t="shared" si="3"/>
        <v>0</v>
      </c>
    </row>
    <row r="3442">
      <c r="A3442" s="107"/>
      <c r="D3442" s="270"/>
      <c r="H3442" s="106" t="str">
        <f t="shared" si="1"/>
        <v/>
      </c>
      <c r="I3442" s="271" t="str">
        <f>IFERROR(__xludf.DUMMYFUNCTION("""COMPUTED_VALUE"""),"")</f>
        <v/>
      </c>
      <c r="J3442" t="str">
        <f>IFERROR(__xludf.DUMMYFUNCTION("IFS(
  AND(REGEXMATCH(E3442, ""台銀籌備帳戶|玉山帳戶""), REGEXMATCH(C3442, ""薪資"")), ""分潤支出"",
  AND(REGEXMATCH(E3442, ""Ben帳戶|Elsa帳戶|Ben代墊|Ariel代墊|中信銀行共用""), REGEXMATCH(F3442, ""Ben帳戶|Elsa帳戶|Ben代墊|Ariel代墊|中信銀行共用"")), ""內部轉帳(忽略)"",
  AND(E3442&lt;&gt;"""", F3442&lt;&gt;"""", N"&amp;"OT(REGEXMATCH(C3442, ""薪資""))), ""內部轉帳(忽略)"",
  REGEXMATCH(C3442, ""薪資""), ""薪資變動(不計入)"",
  REGEXMATCH(C3442, ""押金""), ""押金往來"",
  AND(E3442&lt;&gt;"""", F3442=""""), ""真實支出"",
  AND(E3442="""", F3442&lt;&gt;""""), ""真實收入"",
  TRUE, ""其他""
)"),"其他")</f>
        <v>其他</v>
      </c>
      <c r="K3442" s="270" t="str">
        <f t="shared" si="2"/>
        <v/>
      </c>
      <c r="L3442">
        <f t="shared" si="3"/>
        <v>0</v>
      </c>
    </row>
    <row r="3443">
      <c r="A3443" s="107"/>
      <c r="D3443" s="270"/>
      <c r="H3443" s="106" t="str">
        <f t="shared" si="1"/>
        <v/>
      </c>
      <c r="I3443" s="271" t="str">
        <f>IFERROR(__xludf.DUMMYFUNCTION("""COMPUTED_VALUE"""),"")</f>
        <v/>
      </c>
      <c r="J3443" t="str">
        <f>IFERROR(__xludf.DUMMYFUNCTION("IFS(
  AND(REGEXMATCH(E3443, ""台銀籌備帳戶|玉山帳戶""), REGEXMATCH(C3443, ""薪資"")), ""分潤支出"",
  AND(REGEXMATCH(E3443, ""Ben帳戶|Elsa帳戶|Ben代墊|Ariel代墊|中信銀行共用""), REGEXMATCH(F3443, ""Ben帳戶|Elsa帳戶|Ben代墊|Ariel代墊|中信銀行共用"")), ""內部轉帳(忽略)"",
  AND(E3443&lt;&gt;"""", F3443&lt;&gt;"""", N"&amp;"OT(REGEXMATCH(C3443, ""薪資""))), ""內部轉帳(忽略)"",
  REGEXMATCH(C3443, ""薪資""), ""薪資變動(不計入)"",
  REGEXMATCH(C3443, ""押金""), ""押金往來"",
  AND(E3443&lt;&gt;"""", F3443=""""), ""真實支出"",
  AND(E3443="""", F3443&lt;&gt;""""), ""真實收入"",
  TRUE, ""其他""
)"),"其他")</f>
        <v>其他</v>
      </c>
      <c r="K3443" s="270" t="str">
        <f t="shared" si="2"/>
        <v/>
      </c>
      <c r="L3443">
        <f t="shared" si="3"/>
        <v>0</v>
      </c>
    </row>
    <row r="3444">
      <c r="A3444" s="107"/>
      <c r="D3444" s="270"/>
      <c r="H3444" s="106" t="str">
        <f t="shared" si="1"/>
        <v/>
      </c>
      <c r="I3444" s="271" t="str">
        <f>IFERROR(__xludf.DUMMYFUNCTION("""COMPUTED_VALUE"""),"")</f>
        <v/>
      </c>
      <c r="J3444" t="str">
        <f>IFERROR(__xludf.DUMMYFUNCTION("IFS(
  AND(REGEXMATCH(E3444, ""台銀籌備帳戶|玉山帳戶""), REGEXMATCH(C3444, ""薪資"")), ""分潤支出"",
  AND(REGEXMATCH(E3444, ""Ben帳戶|Elsa帳戶|Ben代墊|Ariel代墊|中信銀行共用""), REGEXMATCH(F3444, ""Ben帳戶|Elsa帳戶|Ben代墊|Ariel代墊|中信銀行共用"")), ""內部轉帳(忽略)"",
  AND(E3444&lt;&gt;"""", F3444&lt;&gt;"""", N"&amp;"OT(REGEXMATCH(C3444, ""薪資""))), ""內部轉帳(忽略)"",
  REGEXMATCH(C3444, ""薪資""), ""薪資變動(不計入)"",
  REGEXMATCH(C3444, ""押金""), ""押金往來"",
  AND(E3444&lt;&gt;"""", F3444=""""), ""真實支出"",
  AND(E3444="""", F3444&lt;&gt;""""), ""真實收入"",
  TRUE, ""其他""
)"),"其他")</f>
        <v>其他</v>
      </c>
      <c r="K3444" s="270" t="str">
        <f t="shared" si="2"/>
        <v/>
      </c>
      <c r="L3444">
        <f t="shared" si="3"/>
        <v>0</v>
      </c>
    </row>
    <row r="3445">
      <c r="A3445" s="107"/>
      <c r="D3445" s="270"/>
      <c r="H3445" s="106" t="str">
        <f t="shared" si="1"/>
        <v/>
      </c>
      <c r="I3445" s="271" t="str">
        <f>IFERROR(__xludf.DUMMYFUNCTION("""COMPUTED_VALUE"""),"")</f>
        <v/>
      </c>
      <c r="J3445" t="str">
        <f>IFERROR(__xludf.DUMMYFUNCTION("IFS(
  AND(REGEXMATCH(E3445, ""台銀籌備帳戶|玉山帳戶""), REGEXMATCH(C3445, ""薪資"")), ""分潤支出"",
  AND(REGEXMATCH(E3445, ""Ben帳戶|Elsa帳戶|Ben代墊|Ariel代墊|中信銀行共用""), REGEXMATCH(F3445, ""Ben帳戶|Elsa帳戶|Ben代墊|Ariel代墊|中信銀行共用"")), ""內部轉帳(忽略)"",
  AND(E3445&lt;&gt;"""", F3445&lt;&gt;"""", N"&amp;"OT(REGEXMATCH(C3445, ""薪資""))), ""內部轉帳(忽略)"",
  REGEXMATCH(C3445, ""薪資""), ""薪資變動(不計入)"",
  REGEXMATCH(C3445, ""押金""), ""押金往來"",
  AND(E3445&lt;&gt;"""", F3445=""""), ""真實支出"",
  AND(E3445="""", F3445&lt;&gt;""""), ""真實收入"",
  TRUE, ""其他""
)"),"其他")</f>
        <v>其他</v>
      </c>
      <c r="K3445" s="270" t="str">
        <f t="shared" si="2"/>
        <v/>
      </c>
      <c r="L3445">
        <f t="shared" si="3"/>
        <v>0</v>
      </c>
    </row>
    <row r="3446">
      <c r="A3446" s="107"/>
      <c r="D3446" s="270"/>
      <c r="H3446" s="106" t="str">
        <f t="shared" si="1"/>
        <v/>
      </c>
      <c r="I3446" s="271" t="str">
        <f>IFERROR(__xludf.DUMMYFUNCTION("""COMPUTED_VALUE"""),"")</f>
        <v/>
      </c>
      <c r="J3446" t="str">
        <f>IFERROR(__xludf.DUMMYFUNCTION("IFS(
  AND(REGEXMATCH(E3446, ""台銀籌備帳戶|玉山帳戶""), REGEXMATCH(C3446, ""薪資"")), ""分潤支出"",
  AND(REGEXMATCH(E3446, ""Ben帳戶|Elsa帳戶|Ben代墊|Ariel代墊|中信銀行共用""), REGEXMATCH(F3446, ""Ben帳戶|Elsa帳戶|Ben代墊|Ariel代墊|中信銀行共用"")), ""內部轉帳(忽略)"",
  AND(E3446&lt;&gt;"""", F3446&lt;&gt;"""", N"&amp;"OT(REGEXMATCH(C3446, ""薪資""))), ""內部轉帳(忽略)"",
  REGEXMATCH(C3446, ""薪資""), ""薪資變動(不計入)"",
  REGEXMATCH(C3446, ""押金""), ""押金往來"",
  AND(E3446&lt;&gt;"""", F3446=""""), ""真實支出"",
  AND(E3446="""", F3446&lt;&gt;""""), ""真實收入"",
  TRUE, ""其他""
)"),"其他")</f>
        <v>其他</v>
      </c>
      <c r="K3446" s="270" t="str">
        <f t="shared" si="2"/>
        <v/>
      </c>
      <c r="L3446">
        <f t="shared" si="3"/>
        <v>0</v>
      </c>
    </row>
    <row r="3447">
      <c r="A3447" s="107"/>
      <c r="D3447" s="270"/>
      <c r="H3447" s="106" t="str">
        <f t="shared" si="1"/>
        <v/>
      </c>
      <c r="I3447" s="271" t="str">
        <f>IFERROR(__xludf.DUMMYFUNCTION("""COMPUTED_VALUE"""),"")</f>
        <v/>
      </c>
      <c r="J3447" t="str">
        <f>IFERROR(__xludf.DUMMYFUNCTION("IFS(
  AND(REGEXMATCH(E3447, ""台銀籌備帳戶|玉山帳戶""), REGEXMATCH(C3447, ""薪資"")), ""分潤支出"",
  AND(REGEXMATCH(E3447, ""Ben帳戶|Elsa帳戶|Ben代墊|Ariel代墊|中信銀行共用""), REGEXMATCH(F3447, ""Ben帳戶|Elsa帳戶|Ben代墊|Ariel代墊|中信銀行共用"")), ""內部轉帳(忽略)"",
  AND(E3447&lt;&gt;"""", F3447&lt;&gt;"""", N"&amp;"OT(REGEXMATCH(C3447, ""薪資""))), ""內部轉帳(忽略)"",
  REGEXMATCH(C3447, ""薪資""), ""薪資變動(不計入)"",
  REGEXMATCH(C3447, ""押金""), ""押金往來"",
  AND(E3447&lt;&gt;"""", F3447=""""), ""真實支出"",
  AND(E3447="""", F3447&lt;&gt;""""), ""真實收入"",
  TRUE, ""其他""
)"),"其他")</f>
        <v>其他</v>
      </c>
      <c r="K3447" s="270" t="str">
        <f t="shared" si="2"/>
        <v/>
      </c>
      <c r="L3447">
        <f t="shared" si="3"/>
        <v>0</v>
      </c>
    </row>
    <row r="3448">
      <c r="A3448" s="107"/>
      <c r="D3448" s="270"/>
      <c r="H3448" s="106" t="str">
        <f t="shared" si="1"/>
        <v/>
      </c>
      <c r="I3448" s="271" t="str">
        <f>IFERROR(__xludf.DUMMYFUNCTION("""COMPUTED_VALUE"""),"")</f>
        <v/>
      </c>
      <c r="J3448" t="str">
        <f>IFERROR(__xludf.DUMMYFUNCTION("IFS(
  AND(REGEXMATCH(E3448, ""台銀籌備帳戶|玉山帳戶""), REGEXMATCH(C3448, ""薪資"")), ""分潤支出"",
  AND(REGEXMATCH(E3448, ""Ben帳戶|Elsa帳戶|Ben代墊|Ariel代墊|中信銀行共用""), REGEXMATCH(F3448, ""Ben帳戶|Elsa帳戶|Ben代墊|Ariel代墊|中信銀行共用"")), ""內部轉帳(忽略)"",
  AND(E3448&lt;&gt;"""", F3448&lt;&gt;"""", N"&amp;"OT(REGEXMATCH(C3448, ""薪資""))), ""內部轉帳(忽略)"",
  REGEXMATCH(C3448, ""薪資""), ""薪資變動(不計入)"",
  REGEXMATCH(C3448, ""押金""), ""押金往來"",
  AND(E3448&lt;&gt;"""", F3448=""""), ""真實支出"",
  AND(E3448="""", F3448&lt;&gt;""""), ""真實收入"",
  TRUE, ""其他""
)"),"其他")</f>
        <v>其他</v>
      </c>
      <c r="K3448" s="270" t="str">
        <f t="shared" si="2"/>
        <v/>
      </c>
      <c r="L3448">
        <f t="shared" si="3"/>
        <v>0</v>
      </c>
    </row>
    <row r="3449">
      <c r="A3449" s="107"/>
      <c r="D3449" s="270"/>
      <c r="H3449" s="106" t="str">
        <f t="shared" si="1"/>
        <v/>
      </c>
      <c r="I3449" s="271" t="str">
        <f>IFERROR(__xludf.DUMMYFUNCTION("""COMPUTED_VALUE"""),"")</f>
        <v/>
      </c>
      <c r="J3449" t="str">
        <f>IFERROR(__xludf.DUMMYFUNCTION("IFS(
  AND(REGEXMATCH(E3449, ""台銀籌備帳戶|玉山帳戶""), REGEXMATCH(C3449, ""薪資"")), ""分潤支出"",
  AND(REGEXMATCH(E3449, ""Ben帳戶|Elsa帳戶|Ben代墊|Ariel代墊|中信銀行共用""), REGEXMATCH(F3449, ""Ben帳戶|Elsa帳戶|Ben代墊|Ariel代墊|中信銀行共用"")), ""內部轉帳(忽略)"",
  AND(E3449&lt;&gt;"""", F3449&lt;&gt;"""", N"&amp;"OT(REGEXMATCH(C3449, ""薪資""))), ""內部轉帳(忽略)"",
  REGEXMATCH(C3449, ""薪資""), ""薪資變動(不計入)"",
  REGEXMATCH(C3449, ""押金""), ""押金往來"",
  AND(E3449&lt;&gt;"""", F3449=""""), ""真實支出"",
  AND(E3449="""", F3449&lt;&gt;""""), ""真實收入"",
  TRUE, ""其他""
)"),"其他")</f>
        <v>其他</v>
      </c>
      <c r="K3449" s="270" t="str">
        <f t="shared" si="2"/>
        <v/>
      </c>
      <c r="L3449">
        <f t="shared" si="3"/>
        <v>0</v>
      </c>
    </row>
    <row r="3450">
      <c r="A3450" s="107"/>
      <c r="D3450" s="270"/>
      <c r="H3450" s="106" t="str">
        <f t="shared" si="1"/>
        <v/>
      </c>
      <c r="I3450" s="271" t="str">
        <f>IFERROR(__xludf.DUMMYFUNCTION("""COMPUTED_VALUE"""),"")</f>
        <v/>
      </c>
      <c r="J3450" t="str">
        <f>IFERROR(__xludf.DUMMYFUNCTION("IFS(
  AND(REGEXMATCH(E3450, ""台銀籌備帳戶|玉山帳戶""), REGEXMATCH(C3450, ""薪資"")), ""分潤支出"",
  AND(REGEXMATCH(E3450, ""Ben帳戶|Elsa帳戶|Ben代墊|Ariel代墊|中信銀行共用""), REGEXMATCH(F3450, ""Ben帳戶|Elsa帳戶|Ben代墊|Ariel代墊|中信銀行共用"")), ""內部轉帳(忽略)"",
  AND(E3450&lt;&gt;"""", F3450&lt;&gt;"""", N"&amp;"OT(REGEXMATCH(C3450, ""薪資""))), ""內部轉帳(忽略)"",
  REGEXMATCH(C3450, ""薪資""), ""薪資變動(不計入)"",
  REGEXMATCH(C3450, ""押金""), ""押金往來"",
  AND(E3450&lt;&gt;"""", F3450=""""), ""真實支出"",
  AND(E3450="""", F3450&lt;&gt;""""), ""真實收入"",
  TRUE, ""其他""
)"),"其他")</f>
        <v>其他</v>
      </c>
      <c r="K3450" s="270" t="str">
        <f t="shared" si="2"/>
        <v/>
      </c>
      <c r="L3450">
        <f t="shared" si="3"/>
        <v>0</v>
      </c>
    </row>
    <row r="3451">
      <c r="A3451" s="107"/>
      <c r="D3451" s="270"/>
      <c r="H3451" s="106" t="str">
        <f t="shared" si="1"/>
        <v/>
      </c>
      <c r="I3451" s="271" t="str">
        <f>IFERROR(__xludf.DUMMYFUNCTION("""COMPUTED_VALUE"""),"")</f>
        <v/>
      </c>
      <c r="J3451" t="str">
        <f>IFERROR(__xludf.DUMMYFUNCTION("IFS(
  AND(REGEXMATCH(E3451, ""台銀籌備帳戶|玉山帳戶""), REGEXMATCH(C3451, ""薪資"")), ""分潤支出"",
  AND(REGEXMATCH(E3451, ""Ben帳戶|Elsa帳戶|Ben代墊|Ariel代墊|中信銀行共用""), REGEXMATCH(F3451, ""Ben帳戶|Elsa帳戶|Ben代墊|Ariel代墊|中信銀行共用"")), ""內部轉帳(忽略)"",
  AND(E3451&lt;&gt;"""", F3451&lt;&gt;"""", N"&amp;"OT(REGEXMATCH(C3451, ""薪資""))), ""內部轉帳(忽略)"",
  REGEXMATCH(C3451, ""薪資""), ""薪資變動(不計入)"",
  REGEXMATCH(C3451, ""押金""), ""押金往來"",
  AND(E3451&lt;&gt;"""", F3451=""""), ""真實支出"",
  AND(E3451="""", F3451&lt;&gt;""""), ""真實收入"",
  TRUE, ""其他""
)"),"其他")</f>
        <v>其他</v>
      </c>
      <c r="K3451" s="270" t="str">
        <f t="shared" si="2"/>
        <v/>
      </c>
      <c r="L3451">
        <f t="shared" si="3"/>
        <v>0</v>
      </c>
    </row>
    <row r="3452">
      <c r="A3452" s="107"/>
      <c r="D3452" s="270"/>
      <c r="H3452" s="106" t="str">
        <f t="shared" si="1"/>
        <v/>
      </c>
      <c r="I3452" s="271" t="str">
        <f>IFERROR(__xludf.DUMMYFUNCTION("""COMPUTED_VALUE"""),"")</f>
        <v/>
      </c>
      <c r="J3452" t="str">
        <f>IFERROR(__xludf.DUMMYFUNCTION("IFS(
  AND(REGEXMATCH(E3452, ""台銀籌備帳戶|玉山帳戶""), REGEXMATCH(C3452, ""薪資"")), ""分潤支出"",
  AND(REGEXMATCH(E3452, ""Ben帳戶|Elsa帳戶|Ben代墊|Ariel代墊|中信銀行共用""), REGEXMATCH(F3452, ""Ben帳戶|Elsa帳戶|Ben代墊|Ariel代墊|中信銀行共用"")), ""內部轉帳(忽略)"",
  AND(E3452&lt;&gt;"""", F3452&lt;&gt;"""", N"&amp;"OT(REGEXMATCH(C3452, ""薪資""))), ""內部轉帳(忽略)"",
  REGEXMATCH(C3452, ""薪資""), ""薪資變動(不計入)"",
  REGEXMATCH(C3452, ""押金""), ""押金往來"",
  AND(E3452&lt;&gt;"""", F3452=""""), ""真實支出"",
  AND(E3452="""", F3452&lt;&gt;""""), ""真實收入"",
  TRUE, ""其他""
)"),"其他")</f>
        <v>其他</v>
      </c>
      <c r="K3452" s="270" t="str">
        <f t="shared" si="2"/>
        <v/>
      </c>
      <c r="L3452">
        <f t="shared" si="3"/>
        <v>0</v>
      </c>
    </row>
    <row r="3453">
      <c r="A3453" s="107"/>
      <c r="D3453" s="270"/>
      <c r="H3453" s="106" t="str">
        <f t="shared" si="1"/>
        <v/>
      </c>
      <c r="I3453" s="271" t="str">
        <f>IFERROR(__xludf.DUMMYFUNCTION("""COMPUTED_VALUE"""),"")</f>
        <v/>
      </c>
      <c r="J3453" t="str">
        <f>IFERROR(__xludf.DUMMYFUNCTION("IFS(
  AND(REGEXMATCH(E3453, ""台銀籌備帳戶|玉山帳戶""), REGEXMATCH(C3453, ""薪資"")), ""分潤支出"",
  AND(REGEXMATCH(E3453, ""Ben帳戶|Elsa帳戶|Ben代墊|Ariel代墊|中信銀行共用""), REGEXMATCH(F3453, ""Ben帳戶|Elsa帳戶|Ben代墊|Ariel代墊|中信銀行共用"")), ""內部轉帳(忽略)"",
  AND(E3453&lt;&gt;"""", F3453&lt;&gt;"""", N"&amp;"OT(REGEXMATCH(C3453, ""薪資""))), ""內部轉帳(忽略)"",
  REGEXMATCH(C3453, ""薪資""), ""薪資變動(不計入)"",
  REGEXMATCH(C3453, ""押金""), ""押金往來"",
  AND(E3453&lt;&gt;"""", F3453=""""), ""真實支出"",
  AND(E3453="""", F3453&lt;&gt;""""), ""真實收入"",
  TRUE, ""其他""
)"),"其他")</f>
        <v>其他</v>
      </c>
      <c r="K3453" s="270" t="str">
        <f t="shared" si="2"/>
        <v/>
      </c>
      <c r="L3453">
        <f t="shared" si="3"/>
        <v>0</v>
      </c>
    </row>
    <row r="3454">
      <c r="A3454" s="107"/>
      <c r="D3454" s="270"/>
      <c r="H3454" s="106" t="str">
        <f t="shared" si="1"/>
        <v/>
      </c>
      <c r="I3454" s="271" t="str">
        <f>IFERROR(__xludf.DUMMYFUNCTION("""COMPUTED_VALUE"""),"")</f>
        <v/>
      </c>
      <c r="J3454" t="str">
        <f>IFERROR(__xludf.DUMMYFUNCTION("IFS(
  AND(REGEXMATCH(E3454, ""台銀籌備帳戶|玉山帳戶""), REGEXMATCH(C3454, ""薪資"")), ""分潤支出"",
  AND(REGEXMATCH(E3454, ""Ben帳戶|Elsa帳戶|Ben代墊|Ariel代墊|中信銀行共用""), REGEXMATCH(F3454, ""Ben帳戶|Elsa帳戶|Ben代墊|Ariel代墊|中信銀行共用"")), ""內部轉帳(忽略)"",
  AND(E3454&lt;&gt;"""", F3454&lt;&gt;"""", N"&amp;"OT(REGEXMATCH(C3454, ""薪資""))), ""內部轉帳(忽略)"",
  REGEXMATCH(C3454, ""薪資""), ""薪資變動(不計入)"",
  REGEXMATCH(C3454, ""押金""), ""押金往來"",
  AND(E3454&lt;&gt;"""", F3454=""""), ""真實支出"",
  AND(E3454="""", F3454&lt;&gt;""""), ""真實收入"",
  TRUE, ""其他""
)"),"其他")</f>
        <v>其他</v>
      </c>
      <c r="K3454" s="270" t="str">
        <f t="shared" si="2"/>
        <v/>
      </c>
      <c r="L3454">
        <f t="shared" si="3"/>
        <v>0</v>
      </c>
    </row>
    <row r="3455">
      <c r="A3455" s="107"/>
      <c r="D3455" s="270"/>
      <c r="H3455" s="106" t="str">
        <f t="shared" si="1"/>
        <v/>
      </c>
      <c r="I3455" s="271" t="str">
        <f>IFERROR(__xludf.DUMMYFUNCTION("""COMPUTED_VALUE"""),"")</f>
        <v/>
      </c>
      <c r="J3455" t="str">
        <f>IFERROR(__xludf.DUMMYFUNCTION("IFS(
  AND(REGEXMATCH(E3455, ""台銀籌備帳戶|玉山帳戶""), REGEXMATCH(C3455, ""薪資"")), ""分潤支出"",
  AND(REGEXMATCH(E3455, ""Ben帳戶|Elsa帳戶|Ben代墊|Ariel代墊|中信銀行共用""), REGEXMATCH(F3455, ""Ben帳戶|Elsa帳戶|Ben代墊|Ariel代墊|中信銀行共用"")), ""內部轉帳(忽略)"",
  AND(E3455&lt;&gt;"""", F3455&lt;&gt;"""", N"&amp;"OT(REGEXMATCH(C3455, ""薪資""))), ""內部轉帳(忽略)"",
  REGEXMATCH(C3455, ""薪資""), ""薪資變動(不計入)"",
  REGEXMATCH(C3455, ""押金""), ""押金往來"",
  AND(E3455&lt;&gt;"""", F3455=""""), ""真實支出"",
  AND(E3455="""", F3455&lt;&gt;""""), ""真實收入"",
  TRUE, ""其他""
)"),"其他")</f>
        <v>其他</v>
      </c>
      <c r="K3455" s="270" t="str">
        <f t="shared" si="2"/>
        <v/>
      </c>
      <c r="L3455">
        <f t="shared" si="3"/>
        <v>0</v>
      </c>
    </row>
    <row r="3456">
      <c r="A3456" s="107"/>
      <c r="D3456" s="270"/>
      <c r="H3456" s="106" t="str">
        <f t="shared" si="1"/>
        <v/>
      </c>
      <c r="I3456" s="271" t="str">
        <f>IFERROR(__xludf.DUMMYFUNCTION("""COMPUTED_VALUE"""),"")</f>
        <v/>
      </c>
      <c r="J3456" t="str">
        <f>IFERROR(__xludf.DUMMYFUNCTION("IFS(
  AND(REGEXMATCH(E3456, ""台銀籌備帳戶|玉山帳戶""), REGEXMATCH(C3456, ""薪資"")), ""分潤支出"",
  AND(REGEXMATCH(E3456, ""Ben帳戶|Elsa帳戶|Ben代墊|Ariel代墊|中信銀行共用""), REGEXMATCH(F3456, ""Ben帳戶|Elsa帳戶|Ben代墊|Ariel代墊|中信銀行共用"")), ""內部轉帳(忽略)"",
  AND(E3456&lt;&gt;"""", F3456&lt;&gt;"""", N"&amp;"OT(REGEXMATCH(C3456, ""薪資""))), ""內部轉帳(忽略)"",
  REGEXMATCH(C3456, ""薪資""), ""薪資變動(不計入)"",
  REGEXMATCH(C3456, ""押金""), ""押金往來"",
  AND(E3456&lt;&gt;"""", F3456=""""), ""真實支出"",
  AND(E3456="""", F3456&lt;&gt;""""), ""真實收入"",
  TRUE, ""其他""
)"),"其他")</f>
        <v>其他</v>
      </c>
      <c r="K3456" s="270" t="str">
        <f t="shared" si="2"/>
        <v/>
      </c>
      <c r="L3456">
        <f t="shared" si="3"/>
        <v>0</v>
      </c>
    </row>
    <row r="3457">
      <c r="A3457" s="107"/>
      <c r="D3457" s="270"/>
      <c r="H3457" s="106" t="str">
        <f t="shared" si="1"/>
        <v/>
      </c>
      <c r="I3457" s="271" t="str">
        <f>IFERROR(__xludf.DUMMYFUNCTION("""COMPUTED_VALUE"""),"")</f>
        <v/>
      </c>
      <c r="J3457" t="str">
        <f>IFERROR(__xludf.DUMMYFUNCTION("IFS(
  AND(REGEXMATCH(E3457, ""台銀籌備帳戶|玉山帳戶""), REGEXMATCH(C3457, ""薪資"")), ""分潤支出"",
  AND(REGEXMATCH(E3457, ""Ben帳戶|Elsa帳戶|Ben代墊|Ariel代墊|中信銀行共用""), REGEXMATCH(F3457, ""Ben帳戶|Elsa帳戶|Ben代墊|Ariel代墊|中信銀行共用"")), ""內部轉帳(忽略)"",
  AND(E3457&lt;&gt;"""", F3457&lt;&gt;"""", N"&amp;"OT(REGEXMATCH(C3457, ""薪資""))), ""內部轉帳(忽略)"",
  REGEXMATCH(C3457, ""薪資""), ""薪資變動(不計入)"",
  REGEXMATCH(C3457, ""押金""), ""押金往來"",
  AND(E3457&lt;&gt;"""", F3457=""""), ""真實支出"",
  AND(E3457="""", F3457&lt;&gt;""""), ""真實收入"",
  TRUE, ""其他""
)"),"其他")</f>
        <v>其他</v>
      </c>
      <c r="K3457" s="270" t="str">
        <f t="shared" si="2"/>
        <v/>
      </c>
      <c r="L3457">
        <f t="shared" si="3"/>
        <v>0</v>
      </c>
    </row>
    <row r="3458">
      <c r="A3458" s="107"/>
      <c r="D3458" s="270"/>
      <c r="H3458" s="106" t="str">
        <f t="shared" si="1"/>
        <v/>
      </c>
      <c r="I3458" s="271" t="str">
        <f>IFERROR(__xludf.DUMMYFUNCTION("""COMPUTED_VALUE"""),"")</f>
        <v/>
      </c>
      <c r="J3458" t="str">
        <f>IFERROR(__xludf.DUMMYFUNCTION("IFS(
  AND(REGEXMATCH(E3458, ""台銀籌備帳戶|玉山帳戶""), REGEXMATCH(C3458, ""薪資"")), ""分潤支出"",
  AND(REGEXMATCH(E3458, ""Ben帳戶|Elsa帳戶|Ben代墊|Ariel代墊|中信銀行共用""), REGEXMATCH(F3458, ""Ben帳戶|Elsa帳戶|Ben代墊|Ariel代墊|中信銀行共用"")), ""內部轉帳(忽略)"",
  AND(E3458&lt;&gt;"""", F3458&lt;&gt;"""", N"&amp;"OT(REGEXMATCH(C3458, ""薪資""))), ""內部轉帳(忽略)"",
  REGEXMATCH(C3458, ""薪資""), ""薪資變動(不計入)"",
  REGEXMATCH(C3458, ""押金""), ""押金往來"",
  AND(E3458&lt;&gt;"""", F3458=""""), ""真實支出"",
  AND(E3458="""", F3458&lt;&gt;""""), ""真實收入"",
  TRUE, ""其他""
)"),"其他")</f>
        <v>其他</v>
      </c>
      <c r="K3458" s="270" t="str">
        <f t="shared" si="2"/>
        <v/>
      </c>
      <c r="L3458">
        <f t="shared" si="3"/>
        <v>0</v>
      </c>
    </row>
    <row r="3459">
      <c r="A3459" s="107"/>
      <c r="D3459" s="270"/>
      <c r="H3459" s="106" t="str">
        <f t="shared" si="1"/>
        <v/>
      </c>
      <c r="I3459" s="271" t="str">
        <f>IFERROR(__xludf.DUMMYFUNCTION("""COMPUTED_VALUE"""),"")</f>
        <v/>
      </c>
      <c r="J3459" t="str">
        <f>IFERROR(__xludf.DUMMYFUNCTION("IFS(
  AND(REGEXMATCH(E3459, ""台銀籌備帳戶|玉山帳戶""), REGEXMATCH(C3459, ""薪資"")), ""分潤支出"",
  AND(REGEXMATCH(E3459, ""Ben帳戶|Elsa帳戶|Ben代墊|Ariel代墊|中信銀行共用""), REGEXMATCH(F3459, ""Ben帳戶|Elsa帳戶|Ben代墊|Ariel代墊|中信銀行共用"")), ""內部轉帳(忽略)"",
  AND(E3459&lt;&gt;"""", F3459&lt;&gt;"""", N"&amp;"OT(REGEXMATCH(C3459, ""薪資""))), ""內部轉帳(忽略)"",
  REGEXMATCH(C3459, ""薪資""), ""薪資變動(不計入)"",
  REGEXMATCH(C3459, ""押金""), ""押金往來"",
  AND(E3459&lt;&gt;"""", F3459=""""), ""真實支出"",
  AND(E3459="""", F3459&lt;&gt;""""), ""真實收入"",
  TRUE, ""其他""
)"),"其他")</f>
        <v>其他</v>
      </c>
      <c r="K3459" s="270" t="str">
        <f t="shared" si="2"/>
        <v/>
      </c>
      <c r="L3459">
        <f t="shared" si="3"/>
        <v>0</v>
      </c>
    </row>
    <row r="3460">
      <c r="A3460" s="107"/>
      <c r="D3460" s="270"/>
      <c r="H3460" s="106" t="str">
        <f t="shared" si="1"/>
        <v/>
      </c>
      <c r="I3460" s="271" t="str">
        <f>IFERROR(__xludf.DUMMYFUNCTION("""COMPUTED_VALUE"""),"")</f>
        <v/>
      </c>
      <c r="J3460" t="str">
        <f>IFERROR(__xludf.DUMMYFUNCTION("IFS(
  AND(REGEXMATCH(E3460, ""台銀籌備帳戶|玉山帳戶""), REGEXMATCH(C3460, ""薪資"")), ""分潤支出"",
  AND(REGEXMATCH(E3460, ""Ben帳戶|Elsa帳戶|Ben代墊|Ariel代墊|中信銀行共用""), REGEXMATCH(F3460, ""Ben帳戶|Elsa帳戶|Ben代墊|Ariel代墊|中信銀行共用"")), ""內部轉帳(忽略)"",
  AND(E3460&lt;&gt;"""", F3460&lt;&gt;"""", N"&amp;"OT(REGEXMATCH(C3460, ""薪資""))), ""內部轉帳(忽略)"",
  REGEXMATCH(C3460, ""薪資""), ""薪資變動(不計入)"",
  REGEXMATCH(C3460, ""押金""), ""押金往來"",
  AND(E3460&lt;&gt;"""", F3460=""""), ""真實支出"",
  AND(E3460="""", F3460&lt;&gt;""""), ""真實收入"",
  TRUE, ""其他""
)"),"其他")</f>
        <v>其他</v>
      </c>
      <c r="K3460" s="270" t="str">
        <f t="shared" si="2"/>
        <v/>
      </c>
      <c r="L3460">
        <f t="shared" si="3"/>
        <v>0</v>
      </c>
    </row>
    <row r="3461">
      <c r="A3461" s="107"/>
      <c r="D3461" s="270"/>
      <c r="H3461" s="106" t="str">
        <f t="shared" si="1"/>
        <v/>
      </c>
      <c r="I3461" s="271" t="str">
        <f>IFERROR(__xludf.DUMMYFUNCTION("""COMPUTED_VALUE"""),"")</f>
        <v/>
      </c>
      <c r="J3461" t="str">
        <f>IFERROR(__xludf.DUMMYFUNCTION("IFS(
  AND(REGEXMATCH(E3461, ""台銀籌備帳戶|玉山帳戶""), REGEXMATCH(C3461, ""薪資"")), ""分潤支出"",
  AND(REGEXMATCH(E3461, ""Ben帳戶|Elsa帳戶|Ben代墊|Ariel代墊|中信銀行共用""), REGEXMATCH(F3461, ""Ben帳戶|Elsa帳戶|Ben代墊|Ariel代墊|中信銀行共用"")), ""內部轉帳(忽略)"",
  AND(E3461&lt;&gt;"""", F3461&lt;&gt;"""", N"&amp;"OT(REGEXMATCH(C3461, ""薪資""))), ""內部轉帳(忽略)"",
  REGEXMATCH(C3461, ""薪資""), ""薪資變動(不計入)"",
  REGEXMATCH(C3461, ""押金""), ""押金往來"",
  AND(E3461&lt;&gt;"""", F3461=""""), ""真實支出"",
  AND(E3461="""", F3461&lt;&gt;""""), ""真實收入"",
  TRUE, ""其他""
)"),"其他")</f>
        <v>其他</v>
      </c>
      <c r="K3461" s="270" t="str">
        <f t="shared" si="2"/>
        <v/>
      </c>
      <c r="L3461">
        <f t="shared" si="3"/>
        <v>0</v>
      </c>
    </row>
    <row r="3462">
      <c r="A3462" s="107"/>
      <c r="D3462" s="270"/>
      <c r="H3462" s="106" t="str">
        <f t="shared" si="1"/>
        <v/>
      </c>
      <c r="I3462" s="271" t="str">
        <f>IFERROR(__xludf.DUMMYFUNCTION("""COMPUTED_VALUE"""),"")</f>
        <v/>
      </c>
      <c r="J3462" t="str">
        <f>IFERROR(__xludf.DUMMYFUNCTION("IFS(
  AND(REGEXMATCH(E3462, ""台銀籌備帳戶|玉山帳戶""), REGEXMATCH(C3462, ""薪資"")), ""分潤支出"",
  AND(REGEXMATCH(E3462, ""Ben帳戶|Elsa帳戶|Ben代墊|Ariel代墊|中信銀行共用""), REGEXMATCH(F3462, ""Ben帳戶|Elsa帳戶|Ben代墊|Ariel代墊|中信銀行共用"")), ""內部轉帳(忽略)"",
  AND(E3462&lt;&gt;"""", F3462&lt;&gt;"""", N"&amp;"OT(REGEXMATCH(C3462, ""薪資""))), ""內部轉帳(忽略)"",
  REGEXMATCH(C3462, ""薪資""), ""薪資變動(不計入)"",
  REGEXMATCH(C3462, ""押金""), ""押金往來"",
  AND(E3462&lt;&gt;"""", F3462=""""), ""真實支出"",
  AND(E3462="""", F3462&lt;&gt;""""), ""真實收入"",
  TRUE, ""其他""
)"),"其他")</f>
        <v>其他</v>
      </c>
      <c r="K3462" s="270" t="str">
        <f t="shared" si="2"/>
        <v/>
      </c>
      <c r="L3462">
        <f t="shared" si="3"/>
        <v>0</v>
      </c>
    </row>
    <row r="3463">
      <c r="A3463" s="107"/>
      <c r="D3463" s="270"/>
      <c r="H3463" s="106" t="str">
        <f t="shared" si="1"/>
        <v/>
      </c>
      <c r="I3463" s="271" t="str">
        <f>IFERROR(__xludf.DUMMYFUNCTION("""COMPUTED_VALUE"""),"")</f>
        <v/>
      </c>
      <c r="J3463" t="str">
        <f>IFERROR(__xludf.DUMMYFUNCTION("IFS(
  AND(REGEXMATCH(E3463, ""台銀籌備帳戶|玉山帳戶""), REGEXMATCH(C3463, ""薪資"")), ""分潤支出"",
  AND(REGEXMATCH(E3463, ""Ben帳戶|Elsa帳戶|Ben代墊|Ariel代墊|中信銀行共用""), REGEXMATCH(F3463, ""Ben帳戶|Elsa帳戶|Ben代墊|Ariel代墊|中信銀行共用"")), ""內部轉帳(忽略)"",
  AND(E3463&lt;&gt;"""", F3463&lt;&gt;"""", N"&amp;"OT(REGEXMATCH(C3463, ""薪資""))), ""內部轉帳(忽略)"",
  REGEXMATCH(C3463, ""薪資""), ""薪資變動(不計入)"",
  REGEXMATCH(C3463, ""押金""), ""押金往來"",
  AND(E3463&lt;&gt;"""", F3463=""""), ""真實支出"",
  AND(E3463="""", F3463&lt;&gt;""""), ""真實收入"",
  TRUE, ""其他""
)"),"其他")</f>
        <v>其他</v>
      </c>
      <c r="K3463" s="270" t="str">
        <f t="shared" si="2"/>
        <v/>
      </c>
      <c r="L3463">
        <f t="shared" si="3"/>
        <v>0</v>
      </c>
    </row>
    <row r="3464">
      <c r="A3464" s="107"/>
      <c r="D3464" s="270"/>
      <c r="H3464" s="106" t="str">
        <f t="shared" si="1"/>
        <v/>
      </c>
      <c r="I3464" s="271" t="str">
        <f>IFERROR(__xludf.DUMMYFUNCTION("""COMPUTED_VALUE"""),"")</f>
        <v/>
      </c>
      <c r="J3464" t="str">
        <f>IFERROR(__xludf.DUMMYFUNCTION("IFS(
  AND(REGEXMATCH(E3464, ""台銀籌備帳戶|玉山帳戶""), REGEXMATCH(C3464, ""薪資"")), ""分潤支出"",
  AND(REGEXMATCH(E3464, ""Ben帳戶|Elsa帳戶|Ben代墊|Ariel代墊|中信銀行共用""), REGEXMATCH(F3464, ""Ben帳戶|Elsa帳戶|Ben代墊|Ariel代墊|中信銀行共用"")), ""內部轉帳(忽略)"",
  AND(E3464&lt;&gt;"""", F3464&lt;&gt;"""", N"&amp;"OT(REGEXMATCH(C3464, ""薪資""))), ""內部轉帳(忽略)"",
  REGEXMATCH(C3464, ""薪資""), ""薪資變動(不計入)"",
  REGEXMATCH(C3464, ""押金""), ""押金往來"",
  AND(E3464&lt;&gt;"""", F3464=""""), ""真實支出"",
  AND(E3464="""", F3464&lt;&gt;""""), ""真實收入"",
  TRUE, ""其他""
)"),"其他")</f>
        <v>其他</v>
      </c>
      <c r="K3464" s="270" t="str">
        <f t="shared" si="2"/>
        <v/>
      </c>
      <c r="L3464">
        <f t="shared" si="3"/>
        <v>0</v>
      </c>
    </row>
    <row r="3465">
      <c r="A3465" s="107"/>
      <c r="D3465" s="270"/>
      <c r="H3465" s="106" t="str">
        <f t="shared" si="1"/>
        <v/>
      </c>
      <c r="I3465" s="271" t="str">
        <f>IFERROR(__xludf.DUMMYFUNCTION("""COMPUTED_VALUE"""),"")</f>
        <v/>
      </c>
      <c r="J3465" t="str">
        <f>IFERROR(__xludf.DUMMYFUNCTION("IFS(
  AND(REGEXMATCH(E3465, ""台銀籌備帳戶|玉山帳戶""), REGEXMATCH(C3465, ""薪資"")), ""分潤支出"",
  AND(REGEXMATCH(E3465, ""Ben帳戶|Elsa帳戶|Ben代墊|Ariel代墊|中信銀行共用""), REGEXMATCH(F3465, ""Ben帳戶|Elsa帳戶|Ben代墊|Ariel代墊|中信銀行共用"")), ""內部轉帳(忽略)"",
  AND(E3465&lt;&gt;"""", F3465&lt;&gt;"""", N"&amp;"OT(REGEXMATCH(C3465, ""薪資""))), ""內部轉帳(忽略)"",
  REGEXMATCH(C3465, ""薪資""), ""薪資變動(不計入)"",
  REGEXMATCH(C3465, ""押金""), ""押金往來"",
  AND(E3465&lt;&gt;"""", F3465=""""), ""真實支出"",
  AND(E3465="""", F3465&lt;&gt;""""), ""真實收入"",
  TRUE, ""其他""
)"),"其他")</f>
        <v>其他</v>
      </c>
      <c r="K3465" s="270" t="str">
        <f t="shared" si="2"/>
        <v/>
      </c>
      <c r="L3465">
        <f t="shared" si="3"/>
        <v>0</v>
      </c>
    </row>
    <row r="3466">
      <c r="A3466" s="107"/>
      <c r="D3466" s="270"/>
      <c r="H3466" s="106" t="str">
        <f t="shared" si="1"/>
        <v/>
      </c>
      <c r="I3466" s="271" t="str">
        <f>IFERROR(__xludf.DUMMYFUNCTION("""COMPUTED_VALUE"""),"")</f>
        <v/>
      </c>
      <c r="J3466" t="str">
        <f>IFERROR(__xludf.DUMMYFUNCTION("IFS(
  AND(REGEXMATCH(E3466, ""台銀籌備帳戶|玉山帳戶""), REGEXMATCH(C3466, ""薪資"")), ""分潤支出"",
  AND(REGEXMATCH(E3466, ""Ben帳戶|Elsa帳戶|Ben代墊|Ariel代墊|中信銀行共用""), REGEXMATCH(F3466, ""Ben帳戶|Elsa帳戶|Ben代墊|Ariel代墊|中信銀行共用"")), ""內部轉帳(忽略)"",
  AND(E3466&lt;&gt;"""", F3466&lt;&gt;"""", N"&amp;"OT(REGEXMATCH(C3466, ""薪資""))), ""內部轉帳(忽略)"",
  REGEXMATCH(C3466, ""薪資""), ""薪資變動(不計入)"",
  REGEXMATCH(C3466, ""押金""), ""押金往來"",
  AND(E3466&lt;&gt;"""", F3466=""""), ""真實支出"",
  AND(E3466="""", F3466&lt;&gt;""""), ""真實收入"",
  TRUE, ""其他""
)"),"其他")</f>
        <v>其他</v>
      </c>
      <c r="K3466" s="270" t="str">
        <f t="shared" si="2"/>
        <v/>
      </c>
      <c r="L3466">
        <f t="shared" si="3"/>
        <v>0</v>
      </c>
    </row>
    <row r="3467">
      <c r="A3467" s="107"/>
      <c r="D3467" s="270"/>
      <c r="H3467" s="106" t="str">
        <f t="shared" si="1"/>
        <v/>
      </c>
      <c r="I3467" s="271" t="str">
        <f>IFERROR(__xludf.DUMMYFUNCTION("""COMPUTED_VALUE"""),"")</f>
        <v/>
      </c>
      <c r="J3467" t="str">
        <f>IFERROR(__xludf.DUMMYFUNCTION("IFS(
  AND(REGEXMATCH(E3467, ""台銀籌備帳戶|玉山帳戶""), REGEXMATCH(C3467, ""薪資"")), ""分潤支出"",
  AND(REGEXMATCH(E3467, ""Ben帳戶|Elsa帳戶|Ben代墊|Ariel代墊|中信銀行共用""), REGEXMATCH(F3467, ""Ben帳戶|Elsa帳戶|Ben代墊|Ariel代墊|中信銀行共用"")), ""內部轉帳(忽略)"",
  AND(E3467&lt;&gt;"""", F3467&lt;&gt;"""", N"&amp;"OT(REGEXMATCH(C3467, ""薪資""))), ""內部轉帳(忽略)"",
  REGEXMATCH(C3467, ""薪資""), ""薪資變動(不計入)"",
  REGEXMATCH(C3467, ""押金""), ""押金往來"",
  AND(E3467&lt;&gt;"""", F3467=""""), ""真實支出"",
  AND(E3467="""", F3467&lt;&gt;""""), ""真實收入"",
  TRUE, ""其他""
)"),"其他")</f>
        <v>其他</v>
      </c>
      <c r="K3467" s="270" t="str">
        <f t="shared" si="2"/>
        <v/>
      </c>
      <c r="L3467">
        <f t="shared" si="3"/>
        <v>0</v>
      </c>
    </row>
    <row r="3468">
      <c r="A3468" s="107"/>
      <c r="D3468" s="270"/>
      <c r="H3468" s="106" t="str">
        <f t="shared" si="1"/>
        <v/>
      </c>
      <c r="I3468" s="271" t="str">
        <f>IFERROR(__xludf.DUMMYFUNCTION("""COMPUTED_VALUE"""),"")</f>
        <v/>
      </c>
      <c r="J3468" t="str">
        <f>IFERROR(__xludf.DUMMYFUNCTION("IFS(
  AND(REGEXMATCH(E3468, ""台銀籌備帳戶|玉山帳戶""), REGEXMATCH(C3468, ""薪資"")), ""分潤支出"",
  AND(REGEXMATCH(E3468, ""Ben帳戶|Elsa帳戶|Ben代墊|Ariel代墊|中信銀行共用""), REGEXMATCH(F3468, ""Ben帳戶|Elsa帳戶|Ben代墊|Ariel代墊|中信銀行共用"")), ""內部轉帳(忽略)"",
  AND(E3468&lt;&gt;"""", F3468&lt;&gt;"""", N"&amp;"OT(REGEXMATCH(C3468, ""薪資""))), ""內部轉帳(忽略)"",
  REGEXMATCH(C3468, ""薪資""), ""薪資變動(不計入)"",
  REGEXMATCH(C3468, ""押金""), ""押金往來"",
  AND(E3468&lt;&gt;"""", F3468=""""), ""真實支出"",
  AND(E3468="""", F3468&lt;&gt;""""), ""真實收入"",
  TRUE, ""其他""
)"),"其他")</f>
        <v>其他</v>
      </c>
      <c r="K3468" s="270" t="str">
        <f t="shared" si="2"/>
        <v/>
      </c>
      <c r="L3468">
        <f t="shared" si="3"/>
        <v>0</v>
      </c>
    </row>
    <row r="3469">
      <c r="A3469" s="107"/>
      <c r="D3469" s="270"/>
      <c r="H3469" s="106" t="str">
        <f t="shared" si="1"/>
        <v/>
      </c>
      <c r="I3469" s="271" t="str">
        <f>IFERROR(__xludf.DUMMYFUNCTION("""COMPUTED_VALUE"""),"")</f>
        <v/>
      </c>
      <c r="J3469" t="str">
        <f>IFERROR(__xludf.DUMMYFUNCTION("IFS(
  AND(REGEXMATCH(E3469, ""台銀籌備帳戶|玉山帳戶""), REGEXMATCH(C3469, ""薪資"")), ""分潤支出"",
  AND(REGEXMATCH(E3469, ""Ben帳戶|Elsa帳戶|Ben代墊|Ariel代墊|中信銀行共用""), REGEXMATCH(F3469, ""Ben帳戶|Elsa帳戶|Ben代墊|Ariel代墊|中信銀行共用"")), ""內部轉帳(忽略)"",
  AND(E3469&lt;&gt;"""", F3469&lt;&gt;"""", N"&amp;"OT(REGEXMATCH(C3469, ""薪資""))), ""內部轉帳(忽略)"",
  REGEXMATCH(C3469, ""薪資""), ""薪資變動(不計入)"",
  REGEXMATCH(C3469, ""押金""), ""押金往來"",
  AND(E3469&lt;&gt;"""", F3469=""""), ""真實支出"",
  AND(E3469="""", F3469&lt;&gt;""""), ""真實收入"",
  TRUE, ""其他""
)"),"其他")</f>
        <v>其他</v>
      </c>
      <c r="K3469" s="270" t="str">
        <f t="shared" si="2"/>
        <v/>
      </c>
      <c r="L3469">
        <f t="shared" si="3"/>
        <v>0</v>
      </c>
    </row>
    <row r="3470">
      <c r="A3470" s="107"/>
      <c r="D3470" s="270"/>
      <c r="H3470" s="106" t="str">
        <f t="shared" si="1"/>
        <v/>
      </c>
      <c r="I3470" s="271" t="str">
        <f>IFERROR(__xludf.DUMMYFUNCTION("""COMPUTED_VALUE"""),"")</f>
        <v/>
      </c>
      <c r="J3470" t="str">
        <f>IFERROR(__xludf.DUMMYFUNCTION("IFS(
  AND(REGEXMATCH(E3470, ""台銀籌備帳戶|玉山帳戶""), REGEXMATCH(C3470, ""薪資"")), ""分潤支出"",
  AND(REGEXMATCH(E3470, ""Ben帳戶|Elsa帳戶|Ben代墊|Ariel代墊|中信銀行共用""), REGEXMATCH(F3470, ""Ben帳戶|Elsa帳戶|Ben代墊|Ariel代墊|中信銀行共用"")), ""內部轉帳(忽略)"",
  AND(E3470&lt;&gt;"""", F3470&lt;&gt;"""", N"&amp;"OT(REGEXMATCH(C3470, ""薪資""))), ""內部轉帳(忽略)"",
  REGEXMATCH(C3470, ""薪資""), ""薪資變動(不計入)"",
  REGEXMATCH(C3470, ""押金""), ""押金往來"",
  AND(E3470&lt;&gt;"""", F3470=""""), ""真實支出"",
  AND(E3470="""", F3470&lt;&gt;""""), ""真實收入"",
  TRUE, ""其他""
)"),"其他")</f>
        <v>其他</v>
      </c>
      <c r="K3470" s="270" t="str">
        <f t="shared" si="2"/>
        <v/>
      </c>
      <c r="L3470">
        <f t="shared" si="3"/>
        <v>0</v>
      </c>
    </row>
    <row r="3471">
      <c r="A3471" s="107"/>
      <c r="D3471" s="270"/>
      <c r="H3471" s="106" t="str">
        <f t="shared" si="1"/>
        <v/>
      </c>
      <c r="I3471" s="271" t="str">
        <f>IFERROR(__xludf.DUMMYFUNCTION("""COMPUTED_VALUE"""),"")</f>
        <v/>
      </c>
      <c r="J3471" t="str">
        <f>IFERROR(__xludf.DUMMYFUNCTION("IFS(
  AND(REGEXMATCH(E3471, ""台銀籌備帳戶|玉山帳戶""), REGEXMATCH(C3471, ""薪資"")), ""分潤支出"",
  AND(REGEXMATCH(E3471, ""Ben帳戶|Elsa帳戶|Ben代墊|Ariel代墊|中信銀行共用""), REGEXMATCH(F3471, ""Ben帳戶|Elsa帳戶|Ben代墊|Ariel代墊|中信銀行共用"")), ""內部轉帳(忽略)"",
  AND(E3471&lt;&gt;"""", F3471&lt;&gt;"""", N"&amp;"OT(REGEXMATCH(C3471, ""薪資""))), ""內部轉帳(忽略)"",
  REGEXMATCH(C3471, ""薪資""), ""薪資變動(不計入)"",
  REGEXMATCH(C3471, ""押金""), ""押金往來"",
  AND(E3471&lt;&gt;"""", F3471=""""), ""真實支出"",
  AND(E3471="""", F3471&lt;&gt;""""), ""真實收入"",
  TRUE, ""其他""
)"),"其他")</f>
        <v>其他</v>
      </c>
      <c r="K3471" s="270" t="str">
        <f t="shared" si="2"/>
        <v/>
      </c>
      <c r="L3471">
        <f t="shared" si="3"/>
        <v>0</v>
      </c>
    </row>
    <row r="3472">
      <c r="A3472" s="107"/>
      <c r="D3472" s="270"/>
      <c r="H3472" s="106" t="str">
        <f t="shared" si="1"/>
        <v/>
      </c>
      <c r="I3472" s="271" t="str">
        <f>IFERROR(__xludf.DUMMYFUNCTION("""COMPUTED_VALUE"""),"")</f>
        <v/>
      </c>
      <c r="J3472" t="str">
        <f>IFERROR(__xludf.DUMMYFUNCTION("IFS(
  AND(REGEXMATCH(E3472, ""台銀籌備帳戶|玉山帳戶""), REGEXMATCH(C3472, ""薪資"")), ""分潤支出"",
  AND(REGEXMATCH(E3472, ""Ben帳戶|Elsa帳戶|Ben代墊|Ariel代墊|中信銀行共用""), REGEXMATCH(F3472, ""Ben帳戶|Elsa帳戶|Ben代墊|Ariel代墊|中信銀行共用"")), ""內部轉帳(忽略)"",
  AND(E3472&lt;&gt;"""", F3472&lt;&gt;"""", N"&amp;"OT(REGEXMATCH(C3472, ""薪資""))), ""內部轉帳(忽略)"",
  REGEXMATCH(C3472, ""薪資""), ""薪資變動(不計入)"",
  REGEXMATCH(C3472, ""押金""), ""押金往來"",
  AND(E3472&lt;&gt;"""", F3472=""""), ""真實支出"",
  AND(E3472="""", F3472&lt;&gt;""""), ""真實收入"",
  TRUE, ""其他""
)"),"其他")</f>
        <v>其他</v>
      </c>
      <c r="K3472" s="270" t="str">
        <f t="shared" si="2"/>
        <v/>
      </c>
      <c r="L3472">
        <f t="shared" si="3"/>
        <v>0</v>
      </c>
    </row>
    <row r="3473">
      <c r="A3473" s="107"/>
      <c r="D3473" s="270"/>
      <c r="H3473" s="106" t="str">
        <f t="shared" si="1"/>
        <v/>
      </c>
      <c r="I3473" s="271" t="str">
        <f>IFERROR(__xludf.DUMMYFUNCTION("""COMPUTED_VALUE"""),"")</f>
        <v/>
      </c>
      <c r="J3473" t="str">
        <f>IFERROR(__xludf.DUMMYFUNCTION("IFS(
  AND(REGEXMATCH(E3473, ""台銀籌備帳戶|玉山帳戶""), REGEXMATCH(C3473, ""薪資"")), ""分潤支出"",
  AND(REGEXMATCH(E3473, ""Ben帳戶|Elsa帳戶|Ben代墊|Ariel代墊|中信銀行共用""), REGEXMATCH(F3473, ""Ben帳戶|Elsa帳戶|Ben代墊|Ariel代墊|中信銀行共用"")), ""內部轉帳(忽略)"",
  AND(E3473&lt;&gt;"""", F3473&lt;&gt;"""", N"&amp;"OT(REGEXMATCH(C3473, ""薪資""))), ""內部轉帳(忽略)"",
  REGEXMATCH(C3473, ""薪資""), ""薪資變動(不計入)"",
  REGEXMATCH(C3473, ""押金""), ""押金往來"",
  AND(E3473&lt;&gt;"""", F3473=""""), ""真實支出"",
  AND(E3473="""", F3473&lt;&gt;""""), ""真實收入"",
  TRUE, ""其他""
)"),"其他")</f>
        <v>其他</v>
      </c>
      <c r="K3473" s="270" t="str">
        <f t="shared" si="2"/>
        <v/>
      </c>
      <c r="L3473">
        <f t="shared" si="3"/>
        <v>0</v>
      </c>
    </row>
    <row r="3474">
      <c r="A3474" s="107"/>
      <c r="D3474" s="270"/>
      <c r="H3474" s="106" t="str">
        <f t="shared" si="1"/>
        <v/>
      </c>
      <c r="I3474" s="271" t="str">
        <f>IFERROR(__xludf.DUMMYFUNCTION("""COMPUTED_VALUE"""),"")</f>
        <v/>
      </c>
      <c r="J3474" t="str">
        <f>IFERROR(__xludf.DUMMYFUNCTION("IFS(
  AND(REGEXMATCH(E3474, ""台銀籌備帳戶|玉山帳戶""), REGEXMATCH(C3474, ""薪資"")), ""分潤支出"",
  AND(REGEXMATCH(E3474, ""Ben帳戶|Elsa帳戶|Ben代墊|Ariel代墊|中信銀行共用""), REGEXMATCH(F3474, ""Ben帳戶|Elsa帳戶|Ben代墊|Ariel代墊|中信銀行共用"")), ""內部轉帳(忽略)"",
  AND(E3474&lt;&gt;"""", F3474&lt;&gt;"""", N"&amp;"OT(REGEXMATCH(C3474, ""薪資""))), ""內部轉帳(忽略)"",
  REGEXMATCH(C3474, ""薪資""), ""薪資變動(不計入)"",
  REGEXMATCH(C3474, ""押金""), ""押金往來"",
  AND(E3474&lt;&gt;"""", F3474=""""), ""真實支出"",
  AND(E3474="""", F3474&lt;&gt;""""), ""真實收入"",
  TRUE, ""其他""
)"),"其他")</f>
        <v>其他</v>
      </c>
      <c r="K3474" s="270" t="str">
        <f t="shared" si="2"/>
        <v/>
      </c>
      <c r="L3474">
        <f t="shared" si="3"/>
        <v>0</v>
      </c>
    </row>
    <row r="3475">
      <c r="A3475" s="107"/>
      <c r="D3475" s="270"/>
      <c r="H3475" s="106" t="str">
        <f t="shared" si="1"/>
        <v/>
      </c>
      <c r="I3475" s="271" t="str">
        <f>IFERROR(__xludf.DUMMYFUNCTION("""COMPUTED_VALUE"""),"")</f>
        <v/>
      </c>
      <c r="J3475" t="str">
        <f>IFERROR(__xludf.DUMMYFUNCTION("IFS(
  AND(REGEXMATCH(E3475, ""台銀籌備帳戶|玉山帳戶""), REGEXMATCH(C3475, ""薪資"")), ""分潤支出"",
  AND(REGEXMATCH(E3475, ""Ben帳戶|Elsa帳戶|Ben代墊|Ariel代墊|中信銀行共用""), REGEXMATCH(F3475, ""Ben帳戶|Elsa帳戶|Ben代墊|Ariel代墊|中信銀行共用"")), ""內部轉帳(忽略)"",
  AND(E3475&lt;&gt;"""", F3475&lt;&gt;"""", N"&amp;"OT(REGEXMATCH(C3475, ""薪資""))), ""內部轉帳(忽略)"",
  REGEXMATCH(C3475, ""薪資""), ""薪資變動(不計入)"",
  REGEXMATCH(C3475, ""押金""), ""押金往來"",
  AND(E3475&lt;&gt;"""", F3475=""""), ""真實支出"",
  AND(E3475="""", F3475&lt;&gt;""""), ""真實收入"",
  TRUE, ""其他""
)"),"其他")</f>
        <v>其他</v>
      </c>
      <c r="K3475" s="270" t="str">
        <f t="shared" si="2"/>
        <v/>
      </c>
      <c r="L3475">
        <f t="shared" si="3"/>
        <v>0</v>
      </c>
    </row>
    <row r="3476">
      <c r="A3476" s="107"/>
      <c r="D3476" s="270"/>
      <c r="H3476" s="106" t="str">
        <f t="shared" si="1"/>
        <v/>
      </c>
      <c r="I3476" s="271" t="str">
        <f>IFERROR(__xludf.DUMMYFUNCTION("""COMPUTED_VALUE"""),"")</f>
        <v/>
      </c>
      <c r="J3476" t="str">
        <f>IFERROR(__xludf.DUMMYFUNCTION("IFS(
  AND(REGEXMATCH(E3476, ""台銀籌備帳戶|玉山帳戶""), REGEXMATCH(C3476, ""薪資"")), ""分潤支出"",
  AND(REGEXMATCH(E3476, ""Ben帳戶|Elsa帳戶|Ben代墊|Ariel代墊|中信銀行共用""), REGEXMATCH(F3476, ""Ben帳戶|Elsa帳戶|Ben代墊|Ariel代墊|中信銀行共用"")), ""內部轉帳(忽略)"",
  AND(E3476&lt;&gt;"""", F3476&lt;&gt;"""", N"&amp;"OT(REGEXMATCH(C3476, ""薪資""))), ""內部轉帳(忽略)"",
  REGEXMATCH(C3476, ""薪資""), ""薪資變動(不計入)"",
  REGEXMATCH(C3476, ""押金""), ""押金往來"",
  AND(E3476&lt;&gt;"""", F3476=""""), ""真實支出"",
  AND(E3476="""", F3476&lt;&gt;""""), ""真實收入"",
  TRUE, ""其他""
)"),"其他")</f>
        <v>其他</v>
      </c>
      <c r="K3476" s="270" t="str">
        <f t="shared" si="2"/>
        <v/>
      </c>
      <c r="L3476">
        <f t="shared" si="3"/>
        <v>0</v>
      </c>
    </row>
    <row r="3477">
      <c r="A3477" s="107"/>
      <c r="D3477" s="270"/>
      <c r="H3477" s="106" t="str">
        <f t="shared" si="1"/>
        <v/>
      </c>
      <c r="I3477" s="271" t="str">
        <f>IFERROR(__xludf.DUMMYFUNCTION("""COMPUTED_VALUE"""),"")</f>
        <v/>
      </c>
      <c r="J3477" t="str">
        <f>IFERROR(__xludf.DUMMYFUNCTION("IFS(
  AND(REGEXMATCH(E3477, ""台銀籌備帳戶|玉山帳戶""), REGEXMATCH(C3477, ""薪資"")), ""分潤支出"",
  AND(REGEXMATCH(E3477, ""Ben帳戶|Elsa帳戶|Ben代墊|Ariel代墊|中信銀行共用""), REGEXMATCH(F3477, ""Ben帳戶|Elsa帳戶|Ben代墊|Ariel代墊|中信銀行共用"")), ""內部轉帳(忽略)"",
  AND(E3477&lt;&gt;"""", F3477&lt;&gt;"""", N"&amp;"OT(REGEXMATCH(C3477, ""薪資""))), ""內部轉帳(忽略)"",
  REGEXMATCH(C3477, ""薪資""), ""薪資變動(不計入)"",
  REGEXMATCH(C3477, ""押金""), ""押金往來"",
  AND(E3477&lt;&gt;"""", F3477=""""), ""真實支出"",
  AND(E3477="""", F3477&lt;&gt;""""), ""真實收入"",
  TRUE, ""其他""
)"),"其他")</f>
        <v>其他</v>
      </c>
      <c r="K3477" s="270" t="str">
        <f t="shared" si="2"/>
        <v/>
      </c>
      <c r="L3477">
        <f t="shared" si="3"/>
        <v>0</v>
      </c>
    </row>
    <row r="3478">
      <c r="A3478" s="107"/>
      <c r="D3478" s="270"/>
      <c r="H3478" s="106" t="str">
        <f t="shared" si="1"/>
        <v/>
      </c>
      <c r="I3478" s="271" t="str">
        <f>IFERROR(__xludf.DUMMYFUNCTION("""COMPUTED_VALUE"""),"")</f>
        <v/>
      </c>
      <c r="J3478" t="str">
        <f>IFERROR(__xludf.DUMMYFUNCTION("IFS(
  AND(REGEXMATCH(E3478, ""台銀籌備帳戶|玉山帳戶""), REGEXMATCH(C3478, ""薪資"")), ""分潤支出"",
  AND(REGEXMATCH(E3478, ""Ben帳戶|Elsa帳戶|Ben代墊|Ariel代墊|中信銀行共用""), REGEXMATCH(F3478, ""Ben帳戶|Elsa帳戶|Ben代墊|Ariel代墊|中信銀行共用"")), ""內部轉帳(忽略)"",
  AND(E3478&lt;&gt;"""", F3478&lt;&gt;"""", N"&amp;"OT(REGEXMATCH(C3478, ""薪資""))), ""內部轉帳(忽略)"",
  REGEXMATCH(C3478, ""薪資""), ""薪資變動(不計入)"",
  REGEXMATCH(C3478, ""押金""), ""押金往來"",
  AND(E3478&lt;&gt;"""", F3478=""""), ""真實支出"",
  AND(E3478="""", F3478&lt;&gt;""""), ""真實收入"",
  TRUE, ""其他""
)"),"其他")</f>
        <v>其他</v>
      </c>
      <c r="K3478" s="270" t="str">
        <f t="shared" si="2"/>
        <v/>
      </c>
      <c r="L3478">
        <f t="shared" si="3"/>
        <v>0</v>
      </c>
    </row>
    <row r="3479">
      <c r="A3479" s="107"/>
      <c r="D3479" s="270"/>
      <c r="H3479" s="106" t="str">
        <f t="shared" si="1"/>
        <v/>
      </c>
      <c r="I3479" s="271" t="str">
        <f>IFERROR(__xludf.DUMMYFUNCTION("""COMPUTED_VALUE"""),"")</f>
        <v/>
      </c>
      <c r="J3479" t="str">
        <f>IFERROR(__xludf.DUMMYFUNCTION("IFS(
  AND(REGEXMATCH(E3479, ""台銀籌備帳戶|玉山帳戶""), REGEXMATCH(C3479, ""薪資"")), ""分潤支出"",
  AND(REGEXMATCH(E3479, ""Ben帳戶|Elsa帳戶|Ben代墊|Ariel代墊|中信銀行共用""), REGEXMATCH(F3479, ""Ben帳戶|Elsa帳戶|Ben代墊|Ariel代墊|中信銀行共用"")), ""內部轉帳(忽略)"",
  AND(E3479&lt;&gt;"""", F3479&lt;&gt;"""", N"&amp;"OT(REGEXMATCH(C3479, ""薪資""))), ""內部轉帳(忽略)"",
  REGEXMATCH(C3479, ""薪資""), ""薪資變動(不計入)"",
  REGEXMATCH(C3479, ""押金""), ""押金往來"",
  AND(E3479&lt;&gt;"""", F3479=""""), ""真實支出"",
  AND(E3479="""", F3479&lt;&gt;""""), ""真實收入"",
  TRUE, ""其他""
)"),"其他")</f>
        <v>其他</v>
      </c>
      <c r="K3479" s="270" t="str">
        <f t="shared" si="2"/>
        <v/>
      </c>
      <c r="L3479">
        <f t="shared" si="3"/>
        <v>0</v>
      </c>
    </row>
    <row r="3480">
      <c r="A3480" s="107"/>
      <c r="D3480" s="270"/>
      <c r="H3480" s="106" t="str">
        <f t="shared" si="1"/>
        <v/>
      </c>
      <c r="I3480" s="271" t="str">
        <f>IFERROR(__xludf.DUMMYFUNCTION("""COMPUTED_VALUE"""),"")</f>
        <v/>
      </c>
      <c r="J3480" t="str">
        <f>IFERROR(__xludf.DUMMYFUNCTION("IFS(
  AND(REGEXMATCH(E3480, ""台銀籌備帳戶|玉山帳戶""), REGEXMATCH(C3480, ""薪資"")), ""分潤支出"",
  AND(REGEXMATCH(E3480, ""Ben帳戶|Elsa帳戶|Ben代墊|Ariel代墊|中信銀行共用""), REGEXMATCH(F3480, ""Ben帳戶|Elsa帳戶|Ben代墊|Ariel代墊|中信銀行共用"")), ""內部轉帳(忽略)"",
  AND(E3480&lt;&gt;"""", F3480&lt;&gt;"""", N"&amp;"OT(REGEXMATCH(C3480, ""薪資""))), ""內部轉帳(忽略)"",
  REGEXMATCH(C3480, ""薪資""), ""薪資變動(不計入)"",
  REGEXMATCH(C3480, ""押金""), ""押金往來"",
  AND(E3480&lt;&gt;"""", F3480=""""), ""真實支出"",
  AND(E3480="""", F3480&lt;&gt;""""), ""真實收入"",
  TRUE, ""其他""
)"),"其他")</f>
        <v>其他</v>
      </c>
      <c r="K3480" s="270" t="str">
        <f t="shared" si="2"/>
        <v/>
      </c>
      <c r="L3480">
        <f t="shared" si="3"/>
        <v>0</v>
      </c>
    </row>
    <row r="3481">
      <c r="A3481" s="107"/>
      <c r="D3481" s="270"/>
      <c r="H3481" s="106" t="str">
        <f t="shared" si="1"/>
        <v/>
      </c>
      <c r="I3481" s="271" t="str">
        <f>IFERROR(__xludf.DUMMYFUNCTION("""COMPUTED_VALUE"""),"")</f>
        <v/>
      </c>
      <c r="J3481" t="str">
        <f>IFERROR(__xludf.DUMMYFUNCTION("IFS(
  AND(REGEXMATCH(E3481, ""台銀籌備帳戶|玉山帳戶""), REGEXMATCH(C3481, ""薪資"")), ""分潤支出"",
  AND(REGEXMATCH(E3481, ""Ben帳戶|Elsa帳戶|Ben代墊|Ariel代墊|中信銀行共用""), REGEXMATCH(F3481, ""Ben帳戶|Elsa帳戶|Ben代墊|Ariel代墊|中信銀行共用"")), ""內部轉帳(忽略)"",
  AND(E3481&lt;&gt;"""", F3481&lt;&gt;"""", N"&amp;"OT(REGEXMATCH(C3481, ""薪資""))), ""內部轉帳(忽略)"",
  REGEXMATCH(C3481, ""薪資""), ""薪資變動(不計入)"",
  REGEXMATCH(C3481, ""押金""), ""押金往來"",
  AND(E3481&lt;&gt;"""", F3481=""""), ""真實支出"",
  AND(E3481="""", F3481&lt;&gt;""""), ""真實收入"",
  TRUE, ""其他""
)"),"其他")</f>
        <v>其他</v>
      </c>
      <c r="K3481" s="270" t="str">
        <f t="shared" si="2"/>
        <v/>
      </c>
      <c r="L3481">
        <f t="shared" si="3"/>
        <v>0</v>
      </c>
    </row>
    <row r="3482">
      <c r="A3482" s="107"/>
      <c r="D3482" s="270"/>
      <c r="H3482" s="106" t="str">
        <f t="shared" si="1"/>
        <v/>
      </c>
      <c r="I3482" s="271" t="str">
        <f>IFERROR(__xludf.DUMMYFUNCTION("""COMPUTED_VALUE"""),"")</f>
        <v/>
      </c>
      <c r="J3482" t="str">
        <f>IFERROR(__xludf.DUMMYFUNCTION("IFS(
  AND(REGEXMATCH(E3482, ""台銀籌備帳戶|玉山帳戶""), REGEXMATCH(C3482, ""薪資"")), ""分潤支出"",
  AND(REGEXMATCH(E3482, ""Ben帳戶|Elsa帳戶|Ben代墊|Ariel代墊|中信銀行共用""), REGEXMATCH(F3482, ""Ben帳戶|Elsa帳戶|Ben代墊|Ariel代墊|中信銀行共用"")), ""內部轉帳(忽略)"",
  AND(E3482&lt;&gt;"""", F3482&lt;&gt;"""", N"&amp;"OT(REGEXMATCH(C3482, ""薪資""))), ""內部轉帳(忽略)"",
  REGEXMATCH(C3482, ""薪資""), ""薪資變動(不計入)"",
  REGEXMATCH(C3482, ""押金""), ""押金往來"",
  AND(E3482&lt;&gt;"""", F3482=""""), ""真實支出"",
  AND(E3482="""", F3482&lt;&gt;""""), ""真實收入"",
  TRUE, ""其他""
)"),"其他")</f>
        <v>其他</v>
      </c>
      <c r="K3482" s="270" t="str">
        <f t="shared" si="2"/>
        <v/>
      </c>
      <c r="L3482">
        <f t="shared" si="3"/>
        <v>0</v>
      </c>
    </row>
    <row r="3483">
      <c r="A3483" s="107"/>
      <c r="D3483" s="270"/>
      <c r="H3483" s="106" t="str">
        <f t="shared" si="1"/>
        <v/>
      </c>
      <c r="I3483" s="271" t="str">
        <f>IFERROR(__xludf.DUMMYFUNCTION("""COMPUTED_VALUE"""),"")</f>
        <v/>
      </c>
      <c r="J3483" t="str">
        <f>IFERROR(__xludf.DUMMYFUNCTION("IFS(
  AND(REGEXMATCH(E3483, ""台銀籌備帳戶|玉山帳戶""), REGEXMATCH(C3483, ""薪資"")), ""分潤支出"",
  AND(REGEXMATCH(E3483, ""Ben帳戶|Elsa帳戶|Ben代墊|Ariel代墊|中信銀行共用""), REGEXMATCH(F3483, ""Ben帳戶|Elsa帳戶|Ben代墊|Ariel代墊|中信銀行共用"")), ""內部轉帳(忽略)"",
  AND(E3483&lt;&gt;"""", F3483&lt;&gt;"""", N"&amp;"OT(REGEXMATCH(C3483, ""薪資""))), ""內部轉帳(忽略)"",
  REGEXMATCH(C3483, ""薪資""), ""薪資變動(不計入)"",
  REGEXMATCH(C3483, ""押金""), ""押金往來"",
  AND(E3483&lt;&gt;"""", F3483=""""), ""真實支出"",
  AND(E3483="""", F3483&lt;&gt;""""), ""真實收入"",
  TRUE, ""其他""
)"),"其他")</f>
        <v>其他</v>
      </c>
      <c r="K3483" s="270" t="str">
        <f t="shared" si="2"/>
        <v/>
      </c>
      <c r="L3483">
        <f t="shared" si="3"/>
        <v>0</v>
      </c>
    </row>
    <row r="3484">
      <c r="A3484" s="107"/>
      <c r="D3484" s="270"/>
      <c r="H3484" s="106" t="str">
        <f t="shared" si="1"/>
        <v/>
      </c>
      <c r="I3484" s="271" t="str">
        <f>IFERROR(__xludf.DUMMYFUNCTION("""COMPUTED_VALUE"""),"")</f>
        <v/>
      </c>
      <c r="J3484" t="str">
        <f>IFERROR(__xludf.DUMMYFUNCTION("IFS(
  AND(REGEXMATCH(E3484, ""台銀籌備帳戶|玉山帳戶""), REGEXMATCH(C3484, ""薪資"")), ""分潤支出"",
  AND(REGEXMATCH(E3484, ""Ben帳戶|Elsa帳戶|Ben代墊|Ariel代墊|中信銀行共用""), REGEXMATCH(F3484, ""Ben帳戶|Elsa帳戶|Ben代墊|Ariel代墊|中信銀行共用"")), ""內部轉帳(忽略)"",
  AND(E3484&lt;&gt;"""", F3484&lt;&gt;"""", N"&amp;"OT(REGEXMATCH(C3484, ""薪資""))), ""內部轉帳(忽略)"",
  REGEXMATCH(C3484, ""薪資""), ""薪資變動(不計入)"",
  REGEXMATCH(C3484, ""押金""), ""押金往來"",
  AND(E3484&lt;&gt;"""", F3484=""""), ""真實支出"",
  AND(E3484="""", F3484&lt;&gt;""""), ""真實收入"",
  TRUE, ""其他""
)"),"其他")</f>
        <v>其他</v>
      </c>
      <c r="K3484" s="270" t="str">
        <f t="shared" si="2"/>
        <v/>
      </c>
      <c r="L3484">
        <f t="shared" si="3"/>
        <v>0</v>
      </c>
    </row>
    <row r="3485">
      <c r="A3485" s="107"/>
      <c r="D3485" s="270"/>
      <c r="H3485" s="106" t="str">
        <f t="shared" si="1"/>
        <v/>
      </c>
      <c r="I3485" s="271" t="str">
        <f>IFERROR(__xludf.DUMMYFUNCTION("""COMPUTED_VALUE"""),"")</f>
        <v/>
      </c>
      <c r="J3485" t="str">
        <f>IFERROR(__xludf.DUMMYFUNCTION("IFS(
  AND(REGEXMATCH(E3485, ""台銀籌備帳戶|玉山帳戶""), REGEXMATCH(C3485, ""薪資"")), ""分潤支出"",
  AND(REGEXMATCH(E3485, ""Ben帳戶|Elsa帳戶|Ben代墊|Ariel代墊|中信銀行共用""), REGEXMATCH(F3485, ""Ben帳戶|Elsa帳戶|Ben代墊|Ariel代墊|中信銀行共用"")), ""內部轉帳(忽略)"",
  AND(E3485&lt;&gt;"""", F3485&lt;&gt;"""", N"&amp;"OT(REGEXMATCH(C3485, ""薪資""))), ""內部轉帳(忽略)"",
  REGEXMATCH(C3485, ""薪資""), ""薪資變動(不計入)"",
  REGEXMATCH(C3485, ""押金""), ""押金往來"",
  AND(E3485&lt;&gt;"""", F3485=""""), ""真實支出"",
  AND(E3485="""", F3485&lt;&gt;""""), ""真實收入"",
  TRUE, ""其他""
)"),"其他")</f>
        <v>其他</v>
      </c>
      <c r="K3485" s="270" t="str">
        <f t="shared" si="2"/>
        <v/>
      </c>
      <c r="L3485">
        <f t="shared" si="3"/>
        <v>0</v>
      </c>
    </row>
    <row r="3486">
      <c r="A3486" s="107"/>
      <c r="D3486" s="270"/>
      <c r="H3486" s="106" t="str">
        <f t="shared" si="1"/>
        <v/>
      </c>
      <c r="I3486" s="271" t="str">
        <f>IFERROR(__xludf.DUMMYFUNCTION("""COMPUTED_VALUE"""),"")</f>
        <v/>
      </c>
      <c r="J3486" t="str">
        <f>IFERROR(__xludf.DUMMYFUNCTION("IFS(
  AND(REGEXMATCH(E3486, ""台銀籌備帳戶|玉山帳戶""), REGEXMATCH(C3486, ""薪資"")), ""分潤支出"",
  AND(REGEXMATCH(E3486, ""Ben帳戶|Elsa帳戶|Ben代墊|Ariel代墊|中信銀行共用""), REGEXMATCH(F3486, ""Ben帳戶|Elsa帳戶|Ben代墊|Ariel代墊|中信銀行共用"")), ""內部轉帳(忽略)"",
  AND(E3486&lt;&gt;"""", F3486&lt;&gt;"""", N"&amp;"OT(REGEXMATCH(C3486, ""薪資""))), ""內部轉帳(忽略)"",
  REGEXMATCH(C3486, ""薪資""), ""薪資變動(不計入)"",
  REGEXMATCH(C3486, ""押金""), ""押金往來"",
  AND(E3486&lt;&gt;"""", F3486=""""), ""真實支出"",
  AND(E3486="""", F3486&lt;&gt;""""), ""真實收入"",
  TRUE, ""其他""
)"),"其他")</f>
        <v>其他</v>
      </c>
      <c r="K3486" s="270" t="str">
        <f t="shared" si="2"/>
        <v/>
      </c>
      <c r="L3486">
        <f t="shared" si="3"/>
        <v>0</v>
      </c>
    </row>
    <row r="3487">
      <c r="A3487" s="107"/>
      <c r="D3487" s="270"/>
      <c r="H3487" s="106" t="str">
        <f t="shared" si="1"/>
        <v/>
      </c>
      <c r="I3487" s="271" t="str">
        <f>IFERROR(__xludf.DUMMYFUNCTION("""COMPUTED_VALUE"""),"")</f>
        <v/>
      </c>
      <c r="J3487" t="str">
        <f>IFERROR(__xludf.DUMMYFUNCTION("IFS(
  AND(REGEXMATCH(E3487, ""台銀籌備帳戶|玉山帳戶""), REGEXMATCH(C3487, ""薪資"")), ""分潤支出"",
  AND(REGEXMATCH(E3487, ""Ben帳戶|Elsa帳戶|Ben代墊|Ariel代墊|中信銀行共用""), REGEXMATCH(F3487, ""Ben帳戶|Elsa帳戶|Ben代墊|Ariel代墊|中信銀行共用"")), ""內部轉帳(忽略)"",
  AND(E3487&lt;&gt;"""", F3487&lt;&gt;"""", N"&amp;"OT(REGEXMATCH(C3487, ""薪資""))), ""內部轉帳(忽略)"",
  REGEXMATCH(C3487, ""薪資""), ""薪資變動(不計入)"",
  REGEXMATCH(C3487, ""押金""), ""押金往來"",
  AND(E3487&lt;&gt;"""", F3487=""""), ""真實支出"",
  AND(E3487="""", F3487&lt;&gt;""""), ""真實收入"",
  TRUE, ""其他""
)"),"其他")</f>
        <v>其他</v>
      </c>
      <c r="K3487" s="270" t="str">
        <f t="shared" si="2"/>
        <v/>
      </c>
      <c r="L3487">
        <f t="shared" si="3"/>
        <v>0</v>
      </c>
    </row>
    <row r="3488">
      <c r="A3488" s="107"/>
      <c r="D3488" s="270"/>
      <c r="H3488" s="106" t="str">
        <f t="shared" si="1"/>
        <v/>
      </c>
      <c r="I3488" s="271" t="str">
        <f>IFERROR(__xludf.DUMMYFUNCTION("""COMPUTED_VALUE"""),"")</f>
        <v/>
      </c>
      <c r="J3488" t="str">
        <f>IFERROR(__xludf.DUMMYFUNCTION("IFS(
  AND(REGEXMATCH(E3488, ""台銀籌備帳戶|玉山帳戶""), REGEXMATCH(C3488, ""薪資"")), ""分潤支出"",
  AND(REGEXMATCH(E3488, ""Ben帳戶|Elsa帳戶|Ben代墊|Ariel代墊|中信銀行共用""), REGEXMATCH(F3488, ""Ben帳戶|Elsa帳戶|Ben代墊|Ariel代墊|中信銀行共用"")), ""內部轉帳(忽略)"",
  AND(E3488&lt;&gt;"""", F3488&lt;&gt;"""", N"&amp;"OT(REGEXMATCH(C3488, ""薪資""))), ""內部轉帳(忽略)"",
  REGEXMATCH(C3488, ""薪資""), ""薪資變動(不計入)"",
  REGEXMATCH(C3488, ""押金""), ""押金往來"",
  AND(E3488&lt;&gt;"""", F3488=""""), ""真實支出"",
  AND(E3488="""", F3488&lt;&gt;""""), ""真實收入"",
  TRUE, ""其他""
)"),"其他")</f>
        <v>其他</v>
      </c>
      <c r="K3488" s="270" t="str">
        <f t="shared" si="2"/>
        <v/>
      </c>
      <c r="L3488">
        <f t="shared" si="3"/>
        <v>0</v>
      </c>
    </row>
    <row r="3489">
      <c r="A3489" s="107"/>
      <c r="D3489" s="270"/>
      <c r="H3489" s="106" t="str">
        <f t="shared" si="1"/>
        <v/>
      </c>
      <c r="I3489" s="271" t="str">
        <f>IFERROR(__xludf.DUMMYFUNCTION("""COMPUTED_VALUE"""),"")</f>
        <v/>
      </c>
      <c r="J3489" t="str">
        <f>IFERROR(__xludf.DUMMYFUNCTION("IFS(
  AND(REGEXMATCH(E3489, ""台銀籌備帳戶|玉山帳戶""), REGEXMATCH(C3489, ""薪資"")), ""分潤支出"",
  AND(REGEXMATCH(E3489, ""Ben帳戶|Elsa帳戶|Ben代墊|Ariel代墊|中信銀行共用""), REGEXMATCH(F3489, ""Ben帳戶|Elsa帳戶|Ben代墊|Ariel代墊|中信銀行共用"")), ""內部轉帳(忽略)"",
  AND(E3489&lt;&gt;"""", F3489&lt;&gt;"""", N"&amp;"OT(REGEXMATCH(C3489, ""薪資""))), ""內部轉帳(忽略)"",
  REGEXMATCH(C3489, ""薪資""), ""薪資變動(不計入)"",
  REGEXMATCH(C3489, ""押金""), ""押金往來"",
  AND(E3489&lt;&gt;"""", F3489=""""), ""真實支出"",
  AND(E3489="""", F3489&lt;&gt;""""), ""真實收入"",
  TRUE, ""其他""
)"),"其他")</f>
        <v>其他</v>
      </c>
      <c r="K3489" s="270" t="str">
        <f t="shared" si="2"/>
        <v/>
      </c>
      <c r="L3489">
        <f t="shared" si="3"/>
        <v>0</v>
      </c>
    </row>
    <row r="3490">
      <c r="A3490" s="107"/>
      <c r="D3490" s="270"/>
      <c r="H3490" s="106" t="str">
        <f t="shared" si="1"/>
        <v/>
      </c>
      <c r="I3490" s="271" t="str">
        <f>IFERROR(__xludf.DUMMYFUNCTION("""COMPUTED_VALUE"""),"")</f>
        <v/>
      </c>
      <c r="J3490" t="str">
        <f>IFERROR(__xludf.DUMMYFUNCTION("IFS(
  AND(REGEXMATCH(E3490, ""台銀籌備帳戶|玉山帳戶""), REGEXMATCH(C3490, ""薪資"")), ""分潤支出"",
  AND(REGEXMATCH(E3490, ""Ben帳戶|Elsa帳戶|Ben代墊|Ariel代墊|中信銀行共用""), REGEXMATCH(F3490, ""Ben帳戶|Elsa帳戶|Ben代墊|Ariel代墊|中信銀行共用"")), ""內部轉帳(忽略)"",
  AND(E3490&lt;&gt;"""", F3490&lt;&gt;"""", N"&amp;"OT(REGEXMATCH(C3490, ""薪資""))), ""內部轉帳(忽略)"",
  REGEXMATCH(C3490, ""薪資""), ""薪資變動(不計入)"",
  REGEXMATCH(C3490, ""押金""), ""押金往來"",
  AND(E3490&lt;&gt;"""", F3490=""""), ""真實支出"",
  AND(E3490="""", F3490&lt;&gt;""""), ""真實收入"",
  TRUE, ""其他""
)"),"其他")</f>
        <v>其他</v>
      </c>
      <c r="K3490" s="270" t="str">
        <f t="shared" si="2"/>
        <v/>
      </c>
      <c r="L3490">
        <f t="shared" si="3"/>
        <v>0</v>
      </c>
    </row>
    <row r="3491">
      <c r="A3491" s="107"/>
      <c r="D3491" s="270"/>
      <c r="H3491" s="106" t="str">
        <f t="shared" si="1"/>
        <v/>
      </c>
      <c r="I3491" s="271" t="str">
        <f>IFERROR(__xludf.DUMMYFUNCTION("""COMPUTED_VALUE"""),"")</f>
        <v/>
      </c>
      <c r="J3491" t="str">
        <f>IFERROR(__xludf.DUMMYFUNCTION("IFS(
  AND(REGEXMATCH(E3491, ""台銀籌備帳戶|玉山帳戶""), REGEXMATCH(C3491, ""薪資"")), ""分潤支出"",
  AND(REGEXMATCH(E3491, ""Ben帳戶|Elsa帳戶|Ben代墊|Ariel代墊|中信銀行共用""), REGEXMATCH(F3491, ""Ben帳戶|Elsa帳戶|Ben代墊|Ariel代墊|中信銀行共用"")), ""內部轉帳(忽略)"",
  AND(E3491&lt;&gt;"""", F3491&lt;&gt;"""", N"&amp;"OT(REGEXMATCH(C3491, ""薪資""))), ""內部轉帳(忽略)"",
  REGEXMATCH(C3491, ""薪資""), ""薪資變動(不計入)"",
  REGEXMATCH(C3491, ""押金""), ""押金往來"",
  AND(E3491&lt;&gt;"""", F3491=""""), ""真實支出"",
  AND(E3491="""", F3491&lt;&gt;""""), ""真實收入"",
  TRUE, ""其他""
)"),"其他")</f>
        <v>其他</v>
      </c>
      <c r="K3491" s="270" t="str">
        <f t="shared" si="2"/>
        <v/>
      </c>
      <c r="L3491">
        <f t="shared" si="3"/>
        <v>0</v>
      </c>
    </row>
    <row r="3492">
      <c r="A3492" s="107"/>
      <c r="D3492" s="270"/>
      <c r="H3492" s="106" t="str">
        <f t="shared" si="1"/>
        <v/>
      </c>
      <c r="I3492" s="271" t="str">
        <f>IFERROR(__xludf.DUMMYFUNCTION("""COMPUTED_VALUE"""),"")</f>
        <v/>
      </c>
      <c r="J3492" t="str">
        <f>IFERROR(__xludf.DUMMYFUNCTION("IFS(
  AND(REGEXMATCH(E3492, ""台銀籌備帳戶|玉山帳戶""), REGEXMATCH(C3492, ""薪資"")), ""分潤支出"",
  AND(REGEXMATCH(E3492, ""Ben帳戶|Elsa帳戶|Ben代墊|Ariel代墊|中信銀行共用""), REGEXMATCH(F3492, ""Ben帳戶|Elsa帳戶|Ben代墊|Ariel代墊|中信銀行共用"")), ""內部轉帳(忽略)"",
  AND(E3492&lt;&gt;"""", F3492&lt;&gt;"""", N"&amp;"OT(REGEXMATCH(C3492, ""薪資""))), ""內部轉帳(忽略)"",
  REGEXMATCH(C3492, ""薪資""), ""薪資變動(不計入)"",
  REGEXMATCH(C3492, ""押金""), ""押金往來"",
  AND(E3492&lt;&gt;"""", F3492=""""), ""真實支出"",
  AND(E3492="""", F3492&lt;&gt;""""), ""真實收入"",
  TRUE, ""其他""
)"),"其他")</f>
        <v>其他</v>
      </c>
      <c r="K3492" s="270" t="str">
        <f t="shared" si="2"/>
        <v/>
      </c>
      <c r="L3492">
        <f t="shared" si="3"/>
        <v>0</v>
      </c>
    </row>
    <row r="3493">
      <c r="A3493" s="107"/>
      <c r="D3493" s="270"/>
      <c r="H3493" s="106" t="str">
        <f t="shared" si="1"/>
        <v/>
      </c>
      <c r="I3493" s="271" t="str">
        <f>IFERROR(__xludf.DUMMYFUNCTION("""COMPUTED_VALUE"""),"")</f>
        <v/>
      </c>
      <c r="J3493" t="str">
        <f>IFERROR(__xludf.DUMMYFUNCTION("IFS(
  AND(REGEXMATCH(E3493, ""台銀籌備帳戶|玉山帳戶""), REGEXMATCH(C3493, ""薪資"")), ""分潤支出"",
  AND(REGEXMATCH(E3493, ""Ben帳戶|Elsa帳戶|Ben代墊|Ariel代墊|中信銀行共用""), REGEXMATCH(F3493, ""Ben帳戶|Elsa帳戶|Ben代墊|Ariel代墊|中信銀行共用"")), ""內部轉帳(忽略)"",
  AND(E3493&lt;&gt;"""", F3493&lt;&gt;"""", N"&amp;"OT(REGEXMATCH(C3493, ""薪資""))), ""內部轉帳(忽略)"",
  REGEXMATCH(C3493, ""薪資""), ""薪資變動(不計入)"",
  REGEXMATCH(C3493, ""押金""), ""押金往來"",
  AND(E3493&lt;&gt;"""", F3493=""""), ""真實支出"",
  AND(E3493="""", F3493&lt;&gt;""""), ""真實收入"",
  TRUE, ""其他""
)"),"其他")</f>
        <v>其他</v>
      </c>
      <c r="K3493" s="270" t="str">
        <f t="shared" si="2"/>
        <v/>
      </c>
      <c r="L3493">
        <f t="shared" si="3"/>
        <v>0</v>
      </c>
    </row>
    <row r="3494">
      <c r="A3494" s="107"/>
      <c r="D3494" s="270"/>
      <c r="H3494" s="106" t="str">
        <f t="shared" si="1"/>
        <v/>
      </c>
      <c r="I3494" s="271" t="str">
        <f>IFERROR(__xludf.DUMMYFUNCTION("""COMPUTED_VALUE"""),"")</f>
        <v/>
      </c>
      <c r="J3494" t="str">
        <f>IFERROR(__xludf.DUMMYFUNCTION("IFS(
  AND(REGEXMATCH(E3494, ""台銀籌備帳戶|玉山帳戶""), REGEXMATCH(C3494, ""薪資"")), ""分潤支出"",
  AND(REGEXMATCH(E3494, ""Ben帳戶|Elsa帳戶|Ben代墊|Ariel代墊|中信銀行共用""), REGEXMATCH(F3494, ""Ben帳戶|Elsa帳戶|Ben代墊|Ariel代墊|中信銀行共用"")), ""內部轉帳(忽略)"",
  AND(E3494&lt;&gt;"""", F3494&lt;&gt;"""", N"&amp;"OT(REGEXMATCH(C3494, ""薪資""))), ""內部轉帳(忽略)"",
  REGEXMATCH(C3494, ""薪資""), ""薪資變動(不計入)"",
  REGEXMATCH(C3494, ""押金""), ""押金往來"",
  AND(E3494&lt;&gt;"""", F3494=""""), ""真實支出"",
  AND(E3494="""", F3494&lt;&gt;""""), ""真實收入"",
  TRUE, ""其他""
)"),"其他")</f>
        <v>其他</v>
      </c>
      <c r="K3494" s="270" t="str">
        <f t="shared" si="2"/>
        <v/>
      </c>
      <c r="L3494">
        <f t="shared" si="3"/>
        <v>0</v>
      </c>
    </row>
    <row r="3495">
      <c r="A3495" s="107"/>
      <c r="D3495" s="270"/>
      <c r="H3495" s="106" t="str">
        <f t="shared" si="1"/>
        <v/>
      </c>
      <c r="I3495" s="271" t="str">
        <f>IFERROR(__xludf.DUMMYFUNCTION("""COMPUTED_VALUE"""),"")</f>
        <v/>
      </c>
      <c r="J3495" t="str">
        <f>IFERROR(__xludf.DUMMYFUNCTION("IFS(
  AND(REGEXMATCH(E3495, ""台銀籌備帳戶|玉山帳戶""), REGEXMATCH(C3495, ""薪資"")), ""分潤支出"",
  AND(REGEXMATCH(E3495, ""Ben帳戶|Elsa帳戶|Ben代墊|Ariel代墊|中信銀行共用""), REGEXMATCH(F3495, ""Ben帳戶|Elsa帳戶|Ben代墊|Ariel代墊|中信銀行共用"")), ""內部轉帳(忽略)"",
  AND(E3495&lt;&gt;"""", F3495&lt;&gt;"""", N"&amp;"OT(REGEXMATCH(C3495, ""薪資""))), ""內部轉帳(忽略)"",
  REGEXMATCH(C3495, ""薪資""), ""薪資變動(不計入)"",
  REGEXMATCH(C3495, ""押金""), ""押金往來"",
  AND(E3495&lt;&gt;"""", F3495=""""), ""真實支出"",
  AND(E3495="""", F3495&lt;&gt;""""), ""真實收入"",
  TRUE, ""其他""
)"),"其他")</f>
        <v>其他</v>
      </c>
      <c r="K3495" s="270" t="str">
        <f t="shared" si="2"/>
        <v/>
      </c>
      <c r="L3495">
        <f t="shared" si="3"/>
        <v>0</v>
      </c>
    </row>
    <row r="3496">
      <c r="A3496" s="107"/>
      <c r="D3496" s="270"/>
      <c r="H3496" s="106" t="str">
        <f t="shared" si="1"/>
        <v/>
      </c>
      <c r="I3496" s="271" t="str">
        <f>IFERROR(__xludf.DUMMYFUNCTION("""COMPUTED_VALUE"""),"")</f>
        <v/>
      </c>
      <c r="J3496" t="str">
        <f>IFERROR(__xludf.DUMMYFUNCTION("IFS(
  AND(REGEXMATCH(E3496, ""台銀籌備帳戶|玉山帳戶""), REGEXMATCH(C3496, ""薪資"")), ""分潤支出"",
  AND(REGEXMATCH(E3496, ""Ben帳戶|Elsa帳戶|Ben代墊|Ariel代墊|中信銀行共用""), REGEXMATCH(F3496, ""Ben帳戶|Elsa帳戶|Ben代墊|Ariel代墊|中信銀行共用"")), ""內部轉帳(忽略)"",
  AND(E3496&lt;&gt;"""", F3496&lt;&gt;"""", N"&amp;"OT(REGEXMATCH(C3496, ""薪資""))), ""內部轉帳(忽略)"",
  REGEXMATCH(C3496, ""薪資""), ""薪資變動(不計入)"",
  REGEXMATCH(C3496, ""押金""), ""押金往來"",
  AND(E3496&lt;&gt;"""", F3496=""""), ""真實支出"",
  AND(E3496="""", F3496&lt;&gt;""""), ""真實收入"",
  TRUE, ""其他""
)"),"其他")</f>
        <v>其他</v>
      </c>
      <c r="K3496" s="270" t="str">
        <f t="shared" si="2"/>
        <v/>
      </c>
      <c r="L3496">
        <f t="shared" si="3"/>
        <v>0</v>
      </c>
    </row>
    <row r="3497">
      <c r="A3497" s="107"/>
      <c r="D3497" s="270"/>
      <c r="H3497" s="106" t="str">
        <f t="shared" si="1"/>
        <v/>
      </c>
      <c r="I3497" s="271" t="str">
        <f>IFERROR(__xludf.DUMMYFUNCTION("""COMPUTED_VALUE"""),"")</f>
        <v/>
      </c>
      <c r="J3497" t="str">
        <f>IFERROR(__xludf.DUMMYFUNCTION("IFS(
  AND(REGEXMATCH(E3497, ""台銀籌備帳戶|玉山帳戶""), REGEXMATCH(C3497, ""薪資"")), ""分潤支出"",
  AND(REGEXMATCH(E3497, ""Ben帳戶|Elsa帳戶|Ben代墊|Ariel代墊|中信銀行共用""), REGEXMATCH(F3497, ""Ben帳戶|Elsa帳戶|Ben代墊|Ariel代墊|中信銀行共用"")), ""內部轉帳(忽略)"",
  AND(E3497&lt;&gt;"""", F3497&lt;&gt;"""", N"&amp;"OT(REGEXMATCH(C3497, ""薪資""))), ""內部轉帳(忽略)"",
  REGEXMATCH(C3497, ""薪資""), ""薪資變動(不計入)"",
  REGEXMATCH(C3497, ""押金""), ""押金往來"",
  AND(E3497&lt;&gt;"""", F3497=""""), ""真實支出"",
  AND(E3497="""", F3497&lt;&gt;""""), ""真實收入"",
  TRUE, ""其他""
)"),"其他")</f>
        <v>其他</v>
      </c>
      <c r="K3497" s="270" t="str">
        <f t="shared" si="2"/>
        <v/>
      </c>
      <c r="L3497">
        <f t="shared" si="3"/>
        <v>0</v>
      </c>
    </row>
    <row r="3498">
      <c r="A3498" s="107"/>
      <c r="D3498" s="270"/>
      <c r="H3498" s="106" t="str">
        <f t="shared" si="1"/>
        <v/>
      </c>
      <c r="I3498" s="271" t="str">
        <f>IFERROR(__xludf.DUMMYFUNCTION("""COMPUTED_VALUE"""),"")</f>
        <v/>
      </c>
      <c r="J3498" t="str">
        <f>IFERROR(__xludf.DUMMYFUNCTION("IFS(
  AND(REGEXMATCH(E3498, ""台銀籌備帳戶|玉山帳戶""), REGEXMATCH(C3498, ""薪資"")), ""分潤支出"",
  AND(REGEXMATCH(E3498, ""Ben帳戶|Elsa帳戶|Ben代墊|Ariel代墊|中信銀行共用""), REGEXMATCH(F3498, ""Ben帳戶|Elsa帳戶|Ben代墊|Ariel代墊|中信銀行共用"")), ""內部轉帳(忽略)"",
  AND(E3498&lt;&gt;"""", F3498&lt;&gt;"""", N"&amp;"OT(REGEXMATCH(C3498, ""薪資""))), ""內部轉帳(忽略)"",
  REGEXMATCH(C3498, ""薪資""), ""薪資變動(不計入)"",
  REGEXMATCH(C3498, ""押金""), ""押金往來"",
  AND(E3498&lt;&gt;"""", F3498=""""), ""真實支出"",
  AND(E3498="""", F3498&lt;&gt;""""), ""真實收入"",
  TRUE, ""其他""
)"),"其他")</f>
        <v>其他</v>
      </c>
      <c r="K3498" s="270" t="str">
        <f t="shared" si="2"/>
        <v/>
      </c>
      <c r="L3498">
        <f t="shared" si="3"/>
        <v>0</v>
      </c>
    </row>
    <row r="3499">
      <c r="A3499" s="107"/>
      <c r="D3499" s="270"/>
      <c r="H3499" s="106" t="str">
        <f t="shared" si="1"/>
        <v/>
      </c>
      <c r="I3499" s="271" t="str">
        <f>IFERROR(__xludf.DUMMYFUNCTION("""COMPUTED_VALUE"""),"")</f>
        <v/>
      </c>
      <c r="J3499" t="str">
        <f>IFERROR(__xludf.DUMMYFUNCTION("IFS(
  AND(REGEXMATCH(E3499, ""台銀籌備帳戶|玉山帳戶""), REGEXMATCH(C3499, ""薪資"")), ""分潤支出"",
  AND(REGEXMATCH(E3499, ""Ben帳戶|Elsa帳戶|Ben代墊|Ariel代墊|中信銀行共用""), REGEXMATCH(F3499, ""Ben帳戶|Elsa帳戶|Ben代墊|Ariel代墊|中信銀行共用"")), ""內部轉帳(忽略)"",
  AND(E3499&lt;&gt;"""", F3499&lt;&gt;"""", N"&amp;"OT(REGEXMATCH(C3499, ""薪資""))), ""內部轉帳(忽略)"",
  REGEXMATCH(C3499, ""薪資""), ""薪資變動(不計入)"",
  REGEXMATCH(C3499, ""押金""), ""押金往來"",
  AND(E3499&lt;&gt;"""", F3499=""""), ""真實支出"",
  AND(E3499="""", F3499&lt;&gt;""""), ""真實收入"",
  TRUE, ""其他""
)"),"其他")</f>
        <v>其他</v>
      </c>
      <c r="K3499" s="270" t="str">
        <f t="shared" si="2"/>
        <v/>
      </c>
      <c r="L3499">
        <f t="shared" si="3"/>
        <v>0</v>
      </c>
    </row>
    <row r="3500">
      <c r="A3500" s="107"/>
      <c r="D3500" s="270"/>
      <c r="H3500" s="106" t="str">
        <f t="shared" si="1"/>
        <v/>
      </c>
      <c r="I3500" s="271" t="str">
        <f>IFERROR(__xludf.DUMMYFUNCTION("""COMPUTED_VALUE"""),"")</f>
        <v/>
      </c>
      <c r="J3500" t="str">
        <f>IFERROR(__xludf.DUMMYFUNCTION("IFS(
  AND(REGEXMATCH(E3500, ""台銀籌備帳戶|玉山帳戶""), REGEXMATCH(C3500, ""薪資"")), ""分潤支出"",
  AND(REGEXMATCH(E3500, ""Ben帳戶|Elsa帳戶|Ben代墊|Ariel代墊|中信銀行共用""), REGEXMATCH(F3500, ""Ben帳戶|Elsa帳戶|Ben代墊|Ariel代墊|中信銀行共用"")), ""內部轉帳(忽略)"",
  AND(E3500&lt;&gt;"""", F3500&lt;&gt;"""", N"&amp;"OT(REGEXMATCH(C3500, ""薪資""))), ""內部轉帳(忽略)"",
  REGEXMATCH(C3500, ""薪資""), ""薪資變動(不計入)"",
  REGEXMATCH(C3500, ""押金""), ""押金往來"",
  AND(E3500&lt;&gt;"""", F3500=""""), ""真實支出"",
  AND(E3500="""", F3500&lt;&gt;""""), ""真實收入"",
  TRUE, ""其他""
)"),"其他")</f>
        <v>其他</v>
      </c>
      <c r="K3500" s="270" t="str">
        <f t="shared" si="2"/>
        <v/>
      </c>
      <c r="L3500">
        <f t="shared" si="3"/>
        <v>0</v>
      </c>
    </row>
    <row r="3501">
      <c r="A3501" s="107"/>
      <c r="D3501" s="270"/>
      <c r="H3501" s="106" t="str">
        <f t="shared" si="1"/>
        <v/>
      </c>
      <c r="I3501" s="271" t="str">
        <f>IFERROR(__xludf.DUMMYFUNCTION("""COMPUTED_VALUE"""),"")</f>
        <v/>
      </c>
      <c r="J3501" t="str">
        <f>IFERROR(__xludf.DUMMYFUNCTION("IFS(
  AND(REGEXMATCH(E3501, ""台銀籌備帳戶|玉山帳戶""), REGEXMATCH(C3501, ""薪資"")), ""分潤支出"",
  AND(REGEXMATCH(E3501, ""Ben帳戶|Elsa帳戶|Ben代墊|Ariel代墊|中信銀行共用""), REGEXMATCH(F3501, ""Ben帳戶|Elsa帳戶|Ben代墊|Ariel代墊|中信銀行共用"")), ""內部轉帳(忽略)"",
  AND(E3501&lt;&gt;"""", F3501&lt;&gt;"""", N"&amp;"OT(REGEXMATCH(C3501, ""薪資""))), ""內部轉帳(忽略)"",
  REGEXMATCH(C3501, ""薪資""), ""薪資變動(不計入)"",
  REGEXMATCH(C3501, ""押金""), ""押金往來"",
  AND(E3501&lt;&gt;"""", F3501=""""), ""真實支出"",
  AND(E3501="""", F3501&lt;&gt;""""), ""真實收入"",
  TRUE, ""其他""
)"),"其他")</f>
        <v>其他</v>
      </c>
      <c r="K3501" s="270" t="str">
        <f t="shared" si="2"/>
        <v/>
      </c>
      <c r="L3501">
        <f t="shared" si="3"/>
        <v>0</v>
      </c>
    </row>
    <row r="3502">
      <c r="A3502" s="107"/>
      <c r="D3502" s="270"/>
      <c r="H3502" s="106" t="str">
        <f t="shared" si="1"/>
        <v/>
      </c>
      <c r="I3502" s="271" t="str">
        <f>IFERROR(__xludf.DUMMYFUNCTION("""COMPUTED_VALUE"""),"")</f>
        <v/>
      </c>
      <c r="J3502" t="str">
        <f>IFERROR(__xludf.DUMMYFUNCTION("IFS(
  AND(REGEXMATCH(E3502, ""台銀籌備帳戶|玉山帳戶""), REGEXMATCH(C3502, ""薪資"")), ""分潤支出"",
  AND(REGEXMATCH(E3502, ""Ben帳戶|Elsa帳戶|Ben代墊|Ariel代墊|中信銀行共用""), REGEXMATCH(F3502, ""Ben帳戶|Elsa帳戶|Ben代墊|Ariel代墊|中信銀行共用"")), ""內部轉帳(忽略)"",
  AND(E3502&lt;&gt;"""", F3502&lt;&gt;"""", N"&amp;"OT(REGEXMATCH(C3502, ""薪資""))), ""內部轉帳(忽略)"",
  REGEXMATCH(C3502, ""薪資""), ""薪資變動(不計入)"",
  REGEXMATCH(C3502, ""押金""), ""押金往來"",
  AND(E3502&lt;&gt;"""", F3502=""""), ""真實支出"",
  AND(E3502="""", F3502&lt;&gt;""""), ""真實收入"",
  TRUE, ""其他""
)"),"其他")</f>
        <v>其他</v>
      </c>
      <c r="K3502" s="270" t="str">
        <f t="shared" si="2"/>
        <v/>
      </c>
      <c r="L3502">
        <f t="shared" si="3"/>
        <v>0</v>
      </c>
    </row>
    <row r="3503">
      <c r="A3503" s="107"/>
      <c r="D3503" s="270"/>
      <c r="H3503" s="106" t="str">
        <f t="shared" si="1"/>
        <v/>
      </c>
      <c r="I3503" s="271" t="str">
        <f>IFERROR(__xludf.DUMMYFUNCTION("""COMPUTED_VALUE"""),"")</f>
        <v/>
      </c>
      <c r="J3503" t="str">
        <f>IFERROR(__xludf.DUMMYFUNCTION("IFS(
  AND(REGEXMATCH(E3503, ""台銀籌備帳戶|玉山帳戶""), REGEXMATCH(C3503, ""薪資"")), ""分潤支出"",
  AND(REGEXMATCH(E3503, ""Ben帳戶|Elsa帳戶|Ben代墊|Ariel代墊|中信銀行共用""), REGEXMATCH(F3503, ""Ben帳戶|Elsa帳戶|Ben代墊|Ariel代墊|中信銀行共用"")), ""內部轉帳(忽略)"",
  AND(E3503&lt;&gt;"""", F3503&lt;&gt;"""", N"&amp;"OT(REGEXMATCH(C3503, ""薪資""))), ""內部轉帳(忽略)"",
  REGEXMATCH(C3503, ""薪資""), ""薪資變動(不計入)"",
  REGEXMATCH(C3503, ""押金""), ""押金往來"",
  AND(E3503&lt;&gt;"""", F3503=""""), ""真實支出"",
  AND(E3503="""", F3503&lt;&gt;""""), ""真實收入"",
  TRUE, ""其他""
)"),"其他")</f>
        <v>其他</v>
      </c>
      <c r="K3503" s="270" t="str">
        <f t="shared" si="2"/>
        <v/>
      </c>
      <c r="L3503">
        <f t="shared" si="3"/>
        <v>0</v>
      </c>
    </row>
    <row r="3504">
      <c r="A3504" s="107"/>
      <c r="D3504" s="270"/>
      <c r="H3504" s="106" t="str">
        <f t="shared" si="1"/>
        <v/>
      </c>
      <c r="I3504" s="271" t="str">
        <f>IFERROR(__xludf.DUMMYFUNCTION("""COMPUTED_VALUE"""),"")</f>
        <v/>
      </c>
      <c r="J3504" t="str">
        <f>IFERROR(__xludf.DUMMYFUNCTION("IFS(
  AND(REGEXMATCH(E3504, ""台銀籌備帳戶|玉山帳戶""), REGEXMATCH(C3504, ""薪資"")), ""分潤支出"",
  AND(REGEXMATCH(E3504, ""Ben帳戶|Elsa帳戶|Ben代墊|Ariel代墊|中信銀行共用""), REGEXMATCH(F3504, ""Ben帳戶|Elsa帳戶|Ben代墊|Ariel代墊|中信銀行共用"")), ""內部轉帳(忽略)"",
  AND(E3504&lt;&gt;"""", F3504&lt;&gt;"""", N"&amp;"OT(REGEXMATCH(C3504, ""薪資""))), ""內部轉帳(忽略)"",
  REGEXMATCH(C3504, ""薪資""), ""薪資變動(不計入)"",
  REGEXMATCH(C3504, ""押金""), ""押金往來"",
  AND(E3504&lt;&gt;"""", F3504=""""), ""真實支出"",
  AND(E3504="""", F3504&lt;&gt;""""), ""真實收入"",
  TRUE, ""其他""
)"),"其他")</f>
        <v>其他</v>
      </c>
      <c r="K3504" s="270" t="str">
        <f t="shared" si="2"/>
        <v/>
      </c>
      <c r="L3504">
        <f t="shared" si="3"/>
        <v>0</v>
      </c>
    </row>
    <row r="3505">
      <c r="A3505" s="107"/>
      <c r="D3505" s="270"/>
      <c r="H3505" s="106" t="str">
        <f t="shared" si="1"/>
        <v/>
      </c>
      <c r="I3505" s="271" t="str">
        <f>IFERROR(__xludf.DUMMYFUNCTION("""COMPUTED_VALUE"""),"")</f>
        <v/>
      </c>
      <c r="J3505" t="str">
        <f>IFERROR(__xludf.DUMMYFUNCTION("IFS(
  AND(REGEXMATCH(E3505, ""台銀籌備帳戶|玉山帳戶""), REGEXMATCH(C3505, ""薪資"")), ""分潤支出"",
  AND(REGEXMATCH(E3505, ""Ben帳戶|Elsa帳戶|Ben代墊|Ariel代墊|中信銀行共用""), REGEXMATCH(F3505, ""Ben帳戶|Elsa帳戶|Ben代墊|Ariel代墊|中信銀行共用"")), ""內部轉帳(忽略)"",
  AND(E3505&lt;&gt;"""", F3505&lt;&gt;"""", N"&amp;"OT(REGEXMATCH(C3505, ""薪資""))), ""內部轉帳(忽略)"",
  REGEXMATCH(C3505, ""薪資""), ""薪資變動(不計入)"",
  REGEXMATCH(C3505, ""押金""), ""押金往來"",
  AND(E3505&lt;&gt;"""", F3505=""""), ""真實支出"",
  AND(E3505="""", F3505&lt;&gt;""""), ""真實收入"",
  TRUE, ""其他""
)"),"其他")</f>
        <v>其他</v>
      </c>
      <c r="K3505" s="270" t="str">
        <f t="shared" si="2"/>
        <v/>
      </c>
      <c r="L3505">
        <f t="shared" si="3"/>
        <v>0</v>
      </c>
    </row>
    <row r="3506">
      <c r="A3506" s="107"/>
      <c r="D3506" s="270"/>
      <c r="H3506" s="106" t="str">
        <f t="shared" si="1"/>
        <v/>
      </c>
      <c r="I3506" s="271" t="str">
        <f>IFERROR(__xludf.DUMMYFUNCTION("""COMPUTED_VALUE"""),"")</f>
        <v/>
      </c>
      <c r="J3506" t="str">
        <f>IFERROR(__xludf.DUMMYFUNCTION("IFS(
  AND(REGEXMATCH(E3506, ""台銀籌備帳戶|玉山帳戶""), REGEXMATCH(C3506, ""薪資"")), ""分潤支出"",
  AND(REGEXMATCH(E3506, ""Ben帳戶|Elsa帳戶|Ben代墊|Ariel代墊|中信銀行共用""), REGEXMATCH(F3506, ""Ben帳戶|Elsa帳戶|Ben代墊|Ariel代墊|中信銀行共用"")), ""內部轉帳(忽略)"",
  AND(E3506&lt;&gt;"""", F3506&lt;&gt;"""", N"&amp;"OT(REGEXMATCH(C3506, ""薪資""))), ""內部轉帳(忽略)"",
  REGEXMATCH(C3506, ""薪資""), ""薪資變動(不計入)"",
  REGEXMATCH(C3506, ""押金""), ""押金往來"",
  AND(E3506&lt;&gt;"""", F3506=""""), ""真實支出"",
  AND(E3506="""", F3506&lt;&gt;""""), ""真實收入"",
  TRUE, ""其他""
)"),"其他")</f>
        <v>其他</v>
      </c>
      <c r="K3506" s="270" t="str">
        <f t="shared" si="2"/>
        <v/>
      </c>
      <c r="L3506">
        <f t="shared" si="3"/>
        <v>0</v>
      </c>
    </row>
    <row r="3507">
      <c r="A3507" s="107"/>
      <c r="D3507" s="270"/>
      <c r="H3507" s="106" t="str">
        <f t="shared" si="1"/>
        <v/>
      </c>
      <c r="I3507" s="271" t="str">
        <f>IFERROR(__xludf.DUMMYFUNCTION("""COMPUTED_VALUE"""),"")</f>
        <v/>
      </c>
      <c r="J3507" t="str">
        <f>IFERROR(__xludf.DUMMYFUNCTION("IFS(
  AND(REGEXMATCH(E3507, ""台銀籌備帳戶|玉山帳戶""), REGEXMATCH(C3507, ""薪資"")), ""分潤支出"",
  AND(REGEXMATCH(E3507, ""Ben帳戶|Elsa帳戶|Ben代墊|Ariel代墊|中信銀行共用""), REGEXMATCH(F3507, ""Ben帳戶|Elsa帳戶|Ben代墊|Ariel代墊|中信銀行共用"")), ""內部轉帳(忽略)"",
  AND(E3507&lt;&gt;"""", F3507&lt;&gt;"""", N"&amp;"OT(REGEXMATCH(C3507, ""薪資""))), ""內部轉帳(忽略)"",
  REGEXMATCH(C3507, ""薪資""), ""薪資變動(不計入)"",
  REGEXMATCH(C3507, ""押金""), ""押金往來"",
  AND(E3507&lt;&gt;"""", F3507=""""), ""真實支出"",
  AND(E3507="""", F3507&lt;&gt;""""), ""真實收入"",
  TRUE, ""其他""
)"),"其他")</f>
        <v>其他</v>
      </c>
      <c r="K3507" s="270" t="str">
        <f t="shared" si="2"/>
        <v/>
      </c>
      <c r="L3507">
        <f t="shared" si="3"/>
        <v>0</v>
      </c>
    </row>
    <row r="3508">
      <c r="A3508" s="107"/>
      <c r="D3508" s="270"/>
      <c r="H3508" s="106" t="str">
        <f t="shared" si="1"/>
        <v/>
      </c>
      <c r="I3508" s="271" t="str">
        <f>IFERROR(__xludf.DUMMYFUNCTION("""COMPUTED_VALUE"""),"")</f>
        <v/>
      </c>
      <c r="J3508" t="str">
        <f>IFERROR(__xludf.DUMMYFUNCTION("IFS(
  AND(REGEXMATCH(E3508, ""台銀籌備帳戶|玉山帳戶""), REGEXMATCH(C3508, ""薪資"")), ""分潤支出"",
  AND(REGEXMATCH(E3508, ""Ben帳戶|Elsa帳戶|Ben代墊|Ariel代墊|中信銀行共用""), REGEXMATCH(F3508, ""Ben帳戶|Elsa帳戶|Ben代墊|Ariel代墊|中信銀行共用"")), ""內部轉帳(忽略)"",
  AND(E3508&lt;&gt;"""", F3508&lt;&gt;"""", N"&amp;"OT(REGEXMATCH(C3508, ""薪資""))), ""內部轉帳(忽略)"",
  REGEXMATCH(C3508, ""薪資""), ""薪資變動(不計入)"",
  REGEXMATCH(C3508, ""押金""), ""押金往來"",
  AND(E3508&lt;&gt;"""", F3508=""""), ""真實支出"",
  AND(E3508="""", F3508&lt;&gt;""""), ""真實收入"",
  TRUE, ""其他""
)"),"其他")</f>
        <v>其他</v>
      </c>
      <c r="K3508" s="270" t="str">
        <f t="shared" si="2"/>
        <v/>
      </c>
      <c r="L3508">
        <f t="shared" si="3"/>
        <v>0</v>
      </c>
    </row>
    <row r="3509">
      <c r="A3509" s="107"/>
      <c r="D3509" s="270"/>
      <c r="H3509" s="106" t="str">
        <f t="shared" si="1"/>
        <v/>
      </c>
      <c r="I3509" s="271" t="str">
        <f>IFERROR(__xludf.DUMMYFUNCTION("""COMPUTED_VALUE"""),"")</f>
        <v/>
      </c>
      <c r="J3509" t="str">
        <f>IFERROR(__xludf.DUMMYFUNCTION("IFS(
  AND(REGEXMATCH(E3509, ""台銀籌備帳戶|玉山帳戶""), REGEXMATCH(C3509, ""薪資"")), ""分潤支出"",
  AND(REGEXMATCH(E3509, ""Ben帳戶|Elsa帳戶|Ben代墊|Ariel代墊|中信銀行共用""), REGEXMATCH(F3509, ""Ben帳戶|Elsa帳戶|Ben代墊|Ariel代墊|中信銀行共用"")), ""內部轉帳(忽略)"",
  AND(E3509&lt;&gt;"""", F3509&lt;&gt;"""", N"&amp;"OT(REGEXMATCH(C3509, ""薪資""))), ""內部轉帳(忽略)"",
  REGEXMATCH(C3509, ""薪資""), ""薪資變動(不計入)"",
  REGEXMATCH(C3509, ""押金""), ""押金往來"",
  AND(E3509&lt;&gt;"""", F3509=""""), ""真實支出"",
  AND(E3509="""", F3509&lt;&gt;""""), ""真實收入"",
  TRUE, ""其他""
)"),"其他")</f>
        <v>其他</v>
      </c>
      <c r="K3509" s="270" t="str">
        <f t="shared" si="2"/>
        <v/>
      </c>
      <c r="L3509">
        <f t="shared" si="3"/>
        <v>0</v>
      </c>
    </row>
    <row r="3510">
      <c r="A3510" s="107"/>
      <c r="D3510" s="270"/>
      <c r="H3510" s="106" t="str">
        <f t="shared" si="1"/>
        <v/>
      </c>
      <c r="I3510" s="271" t="str">
        <f>IFERROR(__xludf.DUMMYFUNCTION("""COMPUTED_VALUE"""),"")</f>
        <v/>
      </c>
      <c r="J3510" t="str">
        <f>IFERROR(__xludf.DUMMYFUNCTION("IFS(
  AND(REGEXMATCH(E3510, ""台銀籌備帳戶|玉山帳戶""), REGEXMATCH(C3510, ""薪資"")), ""分潤支出"",
  AND(REGEXMATCH(E3510, ""Ben帳戶|Elsa帳戶|Ben代墊|Ariel代墊|中信銀行共用""), REGEXMATCH(F3510, ""Ben帳戶|Elsa帳戶|Ben代墊|Ariel代墊|中信銀行共用"")), ""內部轉帳(忽略)"",
  AND(E3510&lt;&gt;"""", F3510&lt;&gt;"""", N"&amp;"OT(REGEXMATCH(C3510, ""薪資""))), ""內部轉帳(忽略)"",
  REGEXMATCH(C3510, ""薪資""), ""薪資變動(不計入)"",
  REGEXMATCH(C3510, ""押金""), ""押金往來"",
  AND(E3510&lt;&gt;"""", F3510=""""), ""真實支出"",
  AND(E3510="""", F3510&lt;&gt;""""), ""真實收入"",
  TRUE, ""其他""
)"),"其他")</f>
        <v>其他</v>
      </c>
      <c r="K3510" s="270" t="str">
        <f t="shared" si="2"/>
        <v/>
      </c>
      <c r="L3510">
        <f t="shared" si="3"/>
        <v>0</v>
      </c>
    </row>
    <row r="3511">
      <c r="A3511" s="107"/>
      <c r="D3511" s="270"/>
      <c r="H3511" s="106" t="str">
        <f t="shared" si="1"/>
        <v/>
      </c>
      <c r="I3511" s="271" t="str">
        <f>IFERROR(__xludf.DUMMYFUNCTION("""COMPUTED_VALUE"""),"")</f>
        <v/>
      </c>
      <c r="J3511" t="str">
        <f>IFERROR(__xludf.DUMMYFUNCTION("IFS(
  AND(REGEXMATCH(E3511, ""台銀籌備帳戶|玉山帳戶""), REGEXMATCH(C3511, ""薪資"")), ""分潤支出"",
  AND(REGEXMATCH(E3511, ""Ben帳戶|Elsa帳戶|Ben代墊|Ariel代墊|中信銀行共用""), REGEXMATCH(F3511, ""Ben帳戶|Elsa帳戶|Ben代墊|Ariel代墊|中信銀行共用"")), ""內部轉帳(忽略)"",
  AND(E3511&lt;&gt;"""", F3511&lt;&gt;"""", N"&amp;"OT(REGEXMATCH(C3511, ""薪資""))), ""內部轉帳(忽略)"",
  REGEXMATCH(C3511, ""薪資""), ""薪資變動(不計入)"",
  REGEXMATCH(C3511, ""押金""), ""押金往來"",
  AND(E3511&lt;&gt;"""", F3511=""""), ""真實支出"",
  AND(E3511="""", F3511&lt;&gt;""""), ""真實收入"",
  TRUE, ""其他""
)"),"其他")</f>
        <v>其他</v>
      </c>
      <c r="K3511" s="270" t="str">
        <f t="shared" si="2"/>
        <v/>
      </c>
      <c r="L3511">
        <f t="shared" si="3"/>
        <v>0</v>
      </c>
    </row>
    <row r="3512">
      <c r="A3512" s="107"/>
      <c r="D3512" s="270"/>
      <c r="H3512" s="106" t="str">
        <f t="shared" si="1"/>
        <v/>
      </c>
      <c r="I3512" s="271" t="str">
        <f>IFERROR(__xludf.DUMMYFUNCTION("""COMPUTED_VALUE"""),"")</f>
        <v/>
      </c>
      <c r="J3512" t="str">
        <f>IFERROR(__xludf.DUMMYFUNCTION("IFS(
  AND(REGEXMATCH(E3512, ""台銀籌備帳戶|玉山帳戶""), REGEXMATCH(C3512, ""薪資"")), ""分潤支出"",
  AND(REGEXMATCH(E3512, ""Ben帳戶|Elsa帳戶|Ben代墊|Ariel代墊|中信銀行共用""), REGEXMATCH(F3512, ""Ben帳戶|Elsa帳戶|Ben代墊|Ariel代墊|中信銀行共用"")), ""內部轉帳(忽略)"",
  AND(E3512&lt;&gt;"""", F3512&lt;&gt;"""", N"&amp;"OT(REGEXMATCH(C3512, ""薪資""))), ""內部轉帳(忽略)"",
  REGEXMATCH(C3512, ""薪資""), ""薪資變動(不計入)"",
  REGEXMATCH(C3512, ""押金""), ""押金往來"",
  AND(E3512&lt;&gt;"""", F3512=""""), ""真實支出"",
  AND(E3512="""", F3512&lt;&gt;""""), ""真實收入"",
  TRUE, ""其他""
)"),"其他")</f>
        <v>其他</v>
      </c>
      <c r="K3512" s="270" t="str">
        <f t="shared" si="2"/>
        <v/>
      </c>
      <c r="L3512">
        <f t="shared" si="3"/>
        <v>0</v>
      </c>
    </row>
    <row r="3513">
      <c r="A3513" s="107"/>
      <c r="D3513" s="270"/>
      <c r="H3513" s="106" t="str">
        <f t="shared" si="1"/>
        <v/>
      </c>
      <c r="I3513" s="271" t="str">
        <f>IFERROR(__xludf.DUMMYFUNCTION("""COMPUTED_VALUE"""),"")</f>
        <v/>
      </c>
      <c r="J3513" t="str">
        <f>IFERROR(__xludf.DUMMYFUNCTION("IFS(
  AND(REGEXMATCH(E3513, ""台銀籌備帳戶|玉山帳戶""), REGEXMATCH(C3513, ""薪資"")), ""分潤支出"",
  AND(REGEXMATCH(E3513, ""Ben帳戶|Elsa帳戶|Ben代墊|Ariel代墊|中信銀行共用""), REGEXMATCH(F3513, ""Ben帳戶|Elsa帳戶|Ben代墊|Ariel代墊|中信銀行共用"")), ""內部轉帳(忽略)"",
  AND(E3513&lt;&gt;"""", F3513&lt;&gt;"""", N"&amp;"OT(REGEXMATCH(C3513, ""薪資""))), ""內部轉帳(忽略)"",
  REGEXMATCH(C3513, ""薪資""), ""薪資變動(不計入)"",
  REGEXMATCH(C3513, ""押金""), ""押金往來"",
  AND(E3513&lt;&gt;"""", F3513=""""), ""真實支出"",
  AND(E3513="""", F3513&lt;&gt;""""), ""真實收入"",
  TRUE, ""其他""
)"),"其他")</f>
        <v>其他</v>
      </c>
      <c r="K3513" s="270" t="str">
        <f t="shared" si="2"/>
        <v/>
      </c>
      <c r="L3513">
        <f t="shared" si="3"/>
        <v>0</v>
      </c>
    </row>
    <row r="3514">
      <c r="A3514" s="107"/>
      <c r="D3514" s="270"/>
      <c r="H3514" s="106" t="str">
        <f t="shared" si="1"/>
        <v/>
      </c>
      <c r="I3514" s="271" t="str">
        <f>IFERROR(__xludf.DUMMYFUNCTION("""COMPUTED_VALUE"""),"")</f>
        <v/>
      </c>
      <c r="J3514" t="str">
        <f>IFERROR(__xludf.DUMMYFUNCTION("IFS(
  AND(REGEXMATCH(E3514, ""台銀籌備帳戶|玉山帳戶""), REGEXMATCH(C3514, ""薪資"")), ""分潤支出"",
  AND(REGEXMATCH(E3514, ""Ben帳戶|Elsa帳戶|Ben代墊|Ariel代墊|中信銀行共用""), REGEXMATCH(F3514, ""Ben帳戶|Elsa帳戶|Ben代墊|Ariel代墊|中信銀行共用"")), ""內部轉帳(忽略)"",
  AND(E3514&lt;&gt;"""", F3514&lt;&gt;"""", N"&amp;"OT(REGEXMATCH(C3514, ""薪資""))), ""內部轉帳(忽略)"",
  REGEXMATCH(C3514, ""薪資""), ""薪資變動(不計入)"",
  REGEXMATCH(C3514, ""押金""), ""押金往來"",
  AND(E3514&lt;&gt;"""", F3514=""""), ""真實支出"",
  AND(E3514="""", F3514&lt;&gt;""""), ""真實收入"",
  TRUE, ""其他""
)"),"其他")</f>
        <v>其他</v>
      </c>
      <c r="K3514" s="270" t="str">
        <f t="shared" si="2"/>
        <v/>
      </c>
      <c r="L3514">
        <f t="shared" si="3"/>
        <v>0</v>
      </c>
    </row>
    <row r="3515">
      <c r="A3515" s="107"/>
      <c r="D3515" s="270"/>
      <c r="H3515" s="106" t="str">
        <f t="shared" si="1"/>
        <v/>
      </c>
      <c r="I3515" s="271" t="str">
        <f>IFERROR(__xludf.DUMMYFUNCTION("""COMPUTED_VALUE"""),"")</f>
        <v/>
      </c>
      <c r="J3515" t="str">
        <f>IFERROR(__xludf.DUMMYFUNCTION("IFS(
  AND(REGEXMATCH(E3515, ""台銀籌備帳戶|玉山帳戶""), REGEXMATCH(C3515, ""薪資"")), ""分潤支出"",
  AND(REGEXMATCH(E3515, ""Ben帳戶|Elsa帳戶|Ben代墊|Ariel代墊|中信銀行共用""), REGEXMATCH(F3515, ""Ben帳戶|Elsa帳戶|Ben代墊|Ariel代墊|中信銀行共用"")), ""內部轉帳(忽略)"",
  AND(E3515&lt;&gt;"""", F3515&lt;&gt;"""", N"&amp;"OT(REGEXMATCH(C3515, ""薪資""))), ""內部轉帳(忽略)"",
  REGEXMATCH(C3515, ""薪資""), ""薪資變動(不計入)"",
  REGEXMATCH(C3515, ""押金""), ""押金往來"",
  AND(E3515&lt;&gt;"""", F3515=""""), ""真實支出"",
  AND(E3515="""", F3515&lt;&gt;""""), ""真實收入"",
  TRUE, ""其他""
)"),"其他")</f>
        <v>其他</v>
      </c>
      <c r="K3515" s="270" t="str">
        <f t="shared" si="2"/>
        <v/>
      </c>
      <c r="L3515">
        <f t="shared" si="3"/>
        <v>0</v>
      </c>
    </row>
    <row r="3516">
      <c r="A3516" s="107"/>
      <c r="D3516" s="270"/>
      <c r="H3516" s="106" t="str">
        <f t="shared" si="1"/>
        <v/>
      </c>
      <c r="I3516" s="271" t="str">
        <f>IFERROR(__xludf.DUMMYFUNCTION("""COMPUTED_VALUE"""),"")</f>
        <v/>
      </c>
      <c r="J3516" t="str">
        <f>IFERROR(__xludf.DUMMYFUNCTION("IFS(
  AND(REGEXMATCH(E3516, ""台銀籌備帳戶|玉山帳戶""), REGEXMATCH(C3516, ""薪資"")), ""分潤支出"",
  AND(REGEXMATCH(E3516, ""Ben帳戶|Elsa帳戶|Ben代墊|Ariel代墊|中信銀行共用""), REGEXMATCH(F3516, ""Ben帳戶|Elsa帳戶|Ben代墊|Ariel代墊|中信銀行共用"")), ""內部轉帳(忽略)"",
  AND(E3516&lt;&gt;"""", F3516&lt;&gt;"""", N"&amp;"OT(REGEXMATCH(C3516, ""薪資""))), ""內部轉帳(忽略)"",
  REGEXMATCH(C3516, ""薪資""), ""薪資變動(不計入)"",
  REGEXMATCH(C3516, ""押金""), ""押金往來"",
  AND(E3516&lt;&gt;"""", F3516=""""), ""真實支出"",
  AND(E3516="""", F3516&lt;&gt;""""), ""真實收入"",
  TRUE, ""其他""
)"),"其他")</f>
        <v>其他</v>
      </c>
      <c r="K3516" s="270" t="str">
        <f t="shared" si="2"/>
        <v/>
      </c>
      <c r="L3516">
        <f t="shared" si="3"/>
        <v>0</v>
      </c>
    </row>
    <row r="3517">
      <c r="A3517" s="107"/>
      <c r="D3517" s="270"/>
      <c r="H3517" s="106" t="str">
        <f t="shared" si="1"/>
        <v/>
      </c>
      <c r="I3517" s="271" t="str">
        <f>IFERROR(__xludf.DUMMYFUNCTION("""COMPUTED_VALUE"""),"")</f>
        <v/>
      </c>
      <c r="J3517" t="str">
        <f>IFERROR(__xludf.DUMMYFUNCTION("IFS(
  AND(REGEXMATCH(E3517, ""台銀籌備帳戶|玉山帳戶""), REGEXMATCH(C3517, ""薪資"")), ""分潤支出"",
  AND(REGEXMATCH(E3517, ""Ben帳戶|Elsa帳戶|Ben代墊|Ariel代墊|中信銀行共用""), REGEXMATCH(F3517, ""Ben帳戶|Elsa帳戶|Ben代墊|Ariel代墊|中信銀行共用"")), ""內部轉帳(忽略)"",
  AND(E3517&lt;&gt;"""", F3517&lt;&gt;"""", N"&amp;"OT(REGEXMATCH(C3517, ""薪資""))), ""內部轉帳(忽略)"",
  REGEXMATCH(C3517, ""薪資""), ""薪資變動(不計入)"",
  REGEXMATCH(C3517, ""押金""), ""押金往來"",
  AND(E3517&lt;&gt;"""", F3517=""""), ""真實支出"",
  AND(E3517="""", F3517&lt;&gt;""""), ""真實收入"",
  TRUE, ""其他""
)"),"其他")</f>
        <v>其他</v>
      </c>
      <c r="K3517" s="270" t="str">
        <f t="shared" si="2"/>
        <v/>
      </c>
      <c r="L3517">
        <f t="shared" si="3"/>
        <v>0</v>
      </c>
    </row>
    <row r="3518">
      <c r="A3518" s="107"/>
      <c r="D3518" s="270"/>
      <c r="H3518" s="106" t="str">
        <f t="shared" si="1"/>
        <v/>
      </c>
      <c r="I3518" s="271" t="str">
        <f>IFERROR(__xludf.DUMMYFUNCTION("""COMPUTED_VALUE"""),"")</f>
        <v/>
      </c>
      <c r="J3518" t="str">
        <f>IFERROR(__xludf.DUMMYFUNCTION("IFS(
  AND(REGEXMATCH(E3518, ""台銀籌備帳戶|玉山帳戶""), REGEXMATCH(C3518, ""薪資"")), ""分潤支出"",
  AND(REGEXMATCH(E3518, ""Ben帳戶|Elsa帳戶|Ben代墊|Ariel代墊|中信銀行共用""), REGEXMATCH(F3518, ""Ben帳戶|Elsa帳戶|Ben代墊|Ariel代墊|中信銀行共用"")), ""內部轉帳(忽略)"",
  AND(E3518&lt;&gt;"""", F3518&lt;&gt;"""", N"&amp;"OT(REGEXMATCH(C3518, ""薪資""))), ""內部轉帳(忽略)"",
  REGEXMATCH(C3518, ""薪資""), ""薪資變動(不計入)"",
  REGEXMATCH(C3518, ""押金""), ""押金往來"",
  AND(E3518&lt;&gt;"""", F3518=""""), ""真實支出"",
  AND(E3518="""", F3518&lt;&gt;""""), ""真實收入"",
  TRUE, ""其他""
)"),"其他")</f>
        <v>其他</v>
      </c>
      <c r="K3518" s="270" t="str">
        <f t="shared" si="2"/>
        <v/>
      </c>
      <c r="L3518">
        <f t="shared" si="3"/>
        <v>0</v>
      </c>
    </row>
    <row r="3519">
      <c r="A3519" s="107"/>
      <c r="D3519" s="270"/>
      <c r="H3519" s="106" t="str">
        <f t="shared" si="1"/>
        <v/>
      </c>
      <c r="I3519" s="271" t="str">
        <f>IFERROR(__xludf.DUMMYFUNCTION("""COMPUTED_VALUE"""),"")</f>
        <v/>
      </c>
      <c r="J3519" t="str">
        <f>IFERROR(__xludf.DUMMYFUNCTION("IFS(
  AND(REGEXMATCH(E3519, ""台銀籌備帳戶|玉山帳戶""), REGEXMATCH(C3519, ""薪資"")), ""分潤支出"",
  AND(REGEXMATCH(E3519, ""Ben帳戶|Elsa帳戶|Ben代墊|Ariel代墊|中信銀行共用""), REGEXMATCH(F3519, ""Ben帳戶|Elsa帳戶|Ben代墊|Ariel代墊|中信銀行共用"")), ""內部轉帳(忽略)"",
  AND(E3519&lt;&gt;"""", F3519&lt;&gt;"""", N"&amp;"OT(REGEXMATCH(C3519, ""薪資""))), ""內部轉帳(忽略)"",
  REGEXMATCH(C3519, ""薪資""), ""薪資變動(不計入)"",
  REGEXMATCH(C3519, ""押金""), ""押金往來"",
  AND(E3519&lt;&gt;"""", F3519=""""), ""真實支出"",
  AND(E3519="""", F3519&lt;&gt;""""), ""真實收入"",
  TRUE, ""其他""
)"),"其他")</f>
        <v>其他</v>
      </c>
      <c r="K3519" s="270" t="str">
        <f t="shared" si="2"/>
        <v/>
      </c>
      <c r="L3519">
        <f t="shared" si="3"/>
        <v>0</v>
      </c>
    </row>
    <row r="3520">
      <c r="A3520" s="107"/>
      <c r="D3520" s="270"/>
      <c r="H3520" s="106" t="str">
        <f t="shared" si="1"/>
        <v/>
      </c>
      <c r="I3520" s="271" t="str">
        <f>IFERROR(__xludf.DUMMYFUNCTION("""COMPUTED_VALUE"""),"")</f>
        <v/>
      </c>
      <c r="J3520" t="str">
        <f>IFERROR(__xludf.DUMMYFUNCTION("IFS(
  AND(REGEXMATCH(E3520, ""台銀籌備帳戶|玉山帳戶""), REGEXMATCH(C3520, ""薪資"")), ""分潤支出"",
  AND(REGEXMATCH(E3520, ""Ben帳戶|Elsa帳戶|Ben代墊|Ariel代墊|中信銀行共用""), REGEXMATCH(F3520, ""Ben帳戶|Elsa帳戶|Ben代墊|Ariel代墊|中信銀行共用"")), ""內部轉帳(忽略)"",
  AND(E3520&lt;&gt;"""", F3520&lt;&gt;"""", N"&amp;"OT(REGEXMATCH(C3520, ""薪資""))), ""內部轉帳(忽略)"",
  REGEXMATCH(C3520, ""薪資""), ""薪資變動(不計入)"",
  REGEXMATCH(C3520, ""押金""), ""押金往來"",
  AND(E3520&lt;&gt;"""", F3520=""""), ""真實支出"",
  AND(E3520="""", F3520&lt;&gt;""""), ""真實收入"",
  TRUE, ""其他""
)"),"其他")</f>
        <v>其他</v>
      </c>
      <c r="K3520" s="270" t="str">
        <f t="shared" si="2"/>
        <v/>
      </c>
      <c r="L3520">
        <f t="shared" si="3"/>
        <v>0</v>
      </c>
    </row>
    <row r="3521">
      <c r="A3521" s="107"/>
      <c r="D3521" s="270"/>
      <c r="H3521" s="106" t="str">
        <f t="shared" si="1"/>
        <v/>
      </c>
      <c r="I3521" s="271" t="str">
        <f>IFERROR(__xludf.DUMMYFUNCTION("""COMPUTED_VALUE"""),"")</f>
        <v/>
      </c>
      <c r="J3521" t="str">
        <f>IFERROR(__xludf.DUMMYFUNCTION("IFS(
  AND(REGEXMATCH(E3521, ""台銀籌備帳戶|玉山帳戶""), REGEXMATCH(C3521, ""薪資"")), ""分潤支出"",
  AND(REGEXMATCH(E3521, ""Ben帳戶|Elsa帳戶|Ben代墊|Ariel代墊|中信銀行共用""), REGEXMATCH(F3521, ""Ben帳戶|Elsa帳戶|Ben代墊|Ariel代墊|中信銀行共用"")), ""內部轉帳(忽略)"",
  AND(E3521&lt;&gt;"""", F3521&lt;&gt;"""", N"&amp;"OT(REGEXMATCH(C3521, ""薪資""))), ""內部轉帳(忽略)"",
  REGEXMATCH(C3521, ""薪資""), ""薪資變動(不計入)"",
  REGEXMATCH(C3521, ""押金""), ""押金往來"",
  AND(E3521&lt;&gt;"""", F3521=""""), ""真實支出"",
  AND(E3521="""", F3521&lt;&gt;""""), ""真實收入"",
  TRUE, ""其他""
)"),"其他")</f>
        <v>其他</v>
      </c>
      <c r="K3521" s="270" t="str">
        <f t="shared" si="2"/>
        <v/>
      </c>
      <c r="L3521">
        <f t="shared" si="3"/>
        <v>0</v>
      </c>
    </row>
    <row r="3522">
      <c r="A3522" s="107"/>
      <c r="D3522" s="270"/>
      <c r="H3522" s="106" t="str">
        <f t="shared" si="1"/>
        <v/>
      </c>
      <c r="I3522" s="271" t="str">
        <f>IFERROR(__xludf.DUMMYFUNCTION("""COMPUTED_VALUE"""),"")</f>
        <v/>
      </c>
      <c r="J3522" t="str">
        <f>IFERROR(__xludf.DUMMYFUNCTION("IFS(
  AND(REGEXMATCH(E3522, ""台銀籌備帳戶|玉山帳戶""), REGEXMATCH(C3522, ""薪資"")), ""分潤支出"",
  AND(REGEXMATCH(E3522, ""Ben帳戶|Elsa帳戶|Ben代墊|Ariel代墊|中信銀行共用""), REGEXMATCH(F3522, ""Ben帳戶|Elsa帳戶|Ben代墊|Ariel代墊|中信銀行共用"")), ""內部轉帳(忽略)"",
  AND(E3522&lt;&gt;"""", F3522&lt;&gt;"""", N"&amp;"OT(REGEXMATCH(C3522, ""薪資""))), ""內部轉帳(忽略)"",
  REGEXMATCH(C3522, ""薪資""), ""薪資變動(不計入)"",
  REGEXMATCH(C3522, ""押金""), ""押金往來"",
  AND(E3522&lt;&gt;"""", F3522=""""), ""真實支出"",
  AND(E3522="""", F3522&lt;&gt;""""), ""真實收入"",
  TRUE, ""其他""
)"),"其他")</f>
        <v>其他</v>
      </c>
      <c r="K3522" s="270" t="str">
        <f t="shared" si="2"/>
        <v/>
      </c>
      <c r="L3522">
        <f t="shared" si="3"/>
        <v>0</v>
      </c>
    </row>
    <row r="3523">
      <c r="A3523" s="107"/>
      <c r="D3523" s="270"/>
      <c r="H3523" s="106" t="str">
        <f t="shared" si="1"/>
        <v/>
      </c>
      <c r="I3523" s="271" t="str">
        <f>IFERROR(__xludf.DUMMYFUNCTION("""COMPUTED_VALUE"""),"")</f>
        <v/>
      </c>
      <c r="J3523" t="str">
        <f>IFERROR(__xludf.DUMMYFUNCTION("IFS(
  AND(REGEXMATCH(E3523, ""台銀籌備帳戶|玉山帳戶""), REGEXMATCH(C3523, ""薪資"")), ""分潤支出"",
  AND(REGEXMATCH(E3523, ""Ben帳戶|Elsa帳戶|Ben代墊|Ariel代墊|中信銀行共用""), REGEXMATCH(F3523, ""Ben帳戶|Elsa帳戶|Ben代墊|Ariel代墊|中信銀行共用"")), ""內部轉帳(忽略)"",
  AND(E3523&lt;&gt;"""", F3523&lt;&gt;"""", N"&amp;"OT(REGEXMATCH(C3523, ""薪資""))), ""內部轉帳(忽略)"",
  REGEXMATCH(C3523, ""薪資""), ""薪資變動(不計入)"",
  REGEXMATCH(C3523, ""押金""), ""押金往來"",
  AND(E3523&lt;&gt;"""", F3523=""""), ""真實支出"",
  AND(E3523="""", F3523&lt;&gt;""""), ""真實收入"",
  TRUE, ""其他""
)"),"其他")</f>
        <v>其他</v>
      </c>
      <c r="K3523" s="270" t="str">
        <f t="shared" si="2"/>
        <v/>
      </c>
      <c r="L3523">
        <f t="shared" si="3"/>
        <v>0</v>
      </c>
    </row>
    <row r="3524">
      <c r="A3524" s="107"/>
      <c r="D3524" s="270"/>
      <c r="H3524" s="106" t="str">
        <f t="shared" si="1"/>
        <v/>
      </c>
      <c r="I3524" s="271" t="str">
        <f>IFERROR(__xludf.DUMMYFUNCTION("""COMPUTED_VALUE"""),"")</f>
        <v/>
      </c>
      <c r="J3524" t="str">
        <f>IFERROR(__xludf.DUMMYFUNCTION("IFS(
  AND(REGEXMATCH(E3524, ""台銀籌備帳戶|玉山帳戶""), REGEXMATCH(C3524, ""薪資"")), ""分潤支出"",
  AND(REGEXMATCH(E3524, ""Ben帳戶|Elsa帳戶|Ben代墊|Ariel代墊|中信銀行共用""), REGEXMATCH(F3524, ""Ben帳戶|Elsa帳戶|Ben代墊|Ariel代墊|中信銀行共用"")), ""內部轉帳(忽略)"",
  AND(E3524&lt;&gt;"""", F3524&lt;&gt;"""", N"&amp;"OT(REGEXMATCH(C3524, ""薪資""))), ""內部轉帳(忽略)"",
  REGEXMATCH(C3524, ""薪資""), ""薪資變動(不計入)"",
  REGEXMATCH(C3524, ""押金""), ""押金往來"",
  AND(E3524&lt;&gt;"""", F3524=""""), ""真實支出"",
  AND(E3524="""", F3524&lt;&gt;""""), ""真實收入"",
  TRUE, ""其他""
)"),"其他")</f>
        <v>其他</v>
      </c>
      <c r="K3524" s="270" t="str">
        <f t="shared" si="2"/>
        <v/>
      </c>
      <c r="L3524">
        <f t="shared" si="3"/>
        <v>0</v>
      </c>
    </row>
    <row r="3525">
      <c r="A3525" s="107"/>
      <c r="D3525" s="270"/>
      <c r="H3525" s="106" t="str">
        <f t="shared" si="1"/>
        <v/>
      </c>
      <c r="I3525" s="271" t="str">
        <f>IFERROR(__xludf.DUMMYFUNCTION("""COMPUTED_VALUE"""),"")</f>
        <v/>
      </c>
      <c r="J3525" t="str">
        <f>IFERROR(__xludf.DUMMYFUNCTION("IFS(
  AND(REGEXMATCH(E3525, ""台銀籌備帳戶|玉山帳戶""), REGEXMATCH(C3525, ""薪資"")), ""分潤支出"",
  AND(REGEXMATCH(E3525, ""Ben帳戶|Elsa帳戶|Ben代墊|Ariel代墊|中信銀行共用""), REGEXMATCH(F3525, ""Ben帳戶|Elsa帳戶|Ben代墊|Ariel代墊|中信銀行共用"")), ""內部轉帳(忽略)"",
  AND(E3525&lt;&gt;"""", F3525&lt;&gt;"""", N"&amp;"OT(REGEXMATCH(C3525, ""薪資""))), ""內部轉帳(忽略)"",
  REGEXMATCH(C3525, ""薪資""), ""薪資變動(不計入)"",
  REGEXMATCH(C3525, ""押金""), ""押金往來"",
  AND(E3525&lt;&gt;"""", F3525=""""), ""真實支出"",
  AND(E3525="""", F3525&lt;&gt;""""), ""真實收入"",
  TRUE, ""其他""
)"),"其他")</f>
        <v>其他</v>
      </c>
      <c r="K3525" s="270" t="str">
        <f t="shared" si="2"/>
        <v/>
      </c>
      <c r="L3525">
        <f t="shared" si="3"/>
        <v>0</v>
      </c>
    </row>
    <row r="3526">
      <c r="A3526" s="107"/>
      <c r="D3526" s="270"/>
      <c r="H3526" s="106" t="str">
        <f t="shared" si="1"/>
        <v/>
      </c>
      <c r="I3526" s="271" t="str">
        <f>IFERROR(__xludf.DUMMYFUNCTION("""COMPUTED_VALUE"""),"")</f>
        <v/>
      </c>
      <c r="J3526" t="str">
        <f>IFERROR(__xludf.DUMMYFUNCTION("IFS(
  AND(REGEXMATCH(E3526, ""台銀籌備帳戶|玉山帳戶""), REGEXMATCH(C3526, ""薪資"")), ""分潤支出"",
  AND(REGEXMATCH(E3526, ""Ben帳戶|Elsa帳戶|Ben代墊|Ariel代墊|中信銀行共用""), REGEXMATCH(F3526, ""Ben帳戶|Elsa帳戶|Ben代墊|Ariel代墊|中信銀行共用"")), ""內部轉帳(忽略)"",
  AND(E3526&lt;&gt;"""", F3526&lt;&gt;"""", N"&amp;"OT(REGEXMATCH(C3526, ""薪資""))), ""內部轉帳(忽略)"",
  REGEXMATCH(C3526, ""薪資""), ""薪資變動(不計入)"",
  REGEXMATCH(C3526, ""押金""), ""押金往來"",
  AND(E3526&lt;&gt;"""", F3526=""""), ""真實支出"",
  AND(E3526="""", F3526&lt;&gt;""""), ""真實收入"",
  TRUE, ""其他""
)"),"其他")</f>
        <v>其他</v>
      </c>
      <c r="K3526" s="270" t="str">
        <f t="shared" si="2"/>
        <v/>
      </c>
      <c r="L3526">
        <f t="shared" si="3"/>
        <v>0</v>
      </c>
    </row>
    <row r="3527">
      <c r="A3527" s="107"/>
      <c r="D3527" s="270"/>
      <c r="H3527" s="106" t="str">
        <f t="shared" si="1"/>
        <v/>
      </c>
      <c r="I3527" s="271" t="str">
        <f>IFERROR(__xludf.DUMMYFUNCTION("""COMPUTED_VALUE"""),"")</f>
        <v/>
      </c>
      <c r="J3527" t="str">
        <f>IFERROR(__xludf.DUMMYFUNCTION("IFS(
  AND(REGEXMATCH(E3527, ""台銀籌備帳戶|玉山帳戶""), REGEXMATCH(C3527, ""薪資"")), ""分潤支出"",
  AND(REGEXMATCH(E3527, ""Ben帳戶|Elsa帳戶|Ben代墊|Ariel代墊|中信銀行共用""), REGEXMATCH(F3527, ""Ben帳戶|Elsa帳戶|Ben代墊|Ariel代墊|中信銀行共用"")), ""內部轉帳(忽略)"",
  AND(E3527&lt;&gt;"""", F3527&lt;&gt;"""", N"&amp;"OT(REGEXMATCH(C3527, ""薪資""))), ""內部轉帳(忽略)"",
  REGEXMATCH(C3527, ""薪資""), ""薪資變動(不計入)"",
  REGEXMATCH(C3527, ""押金""), ""押金往來"",
  AND(E3527&lt;&gt;"""", F3527=""""), ""真實支出"",
  AND(E3527="""", F3527&lt;&gt;""""), ""真實收入"",
  TRUE, ""其他""
)"),"其他")</f>
        <v>其他</v>
      </c>
      <c r="K3527" s="270" t="str">
        <f t="shared" si="2"/>
        <v/>
      </c>
      <c r="L3527">
        <f t="shared" si="3"/>
        <v>0</v>
      </c>
    </row>
    <row r="3528">
      <c r="A3528" s="107"/>
      <c r="D3528" s="270"/>
      <c r="H3528" s="106" t="str">
        <f t="shared" si="1"/>
        <v/>
      </c>
      <c r="I3528" s="271" t="str">
        <f>IFERROR(__xludf.DUMMYFUNCTION("""COMPUTED_VALUE"""),"")</f>
        <v/>
      </c>
      <c r="J3528" t="str">
        <f>IFERROR(__xludf.DUMMYFUNCTION("IFS(
  AND(REGEXMATCH(E3528, ""台銀籌備帳戶|玉山帳戶""), REGEXMATCH(C3528, ""薪資"")), ""分潤支出"",
  AND(REGEXMATCH(E3528, ""Ben帳戶|Elsa帳戶|Ben代墊|Ariel代墊|中信銀行共用""), REGEXMATCH(F3528, ""Ben帳戶|Elsa帳戶|Ben代墊|Ariel代墊|中信銀行共用"")), ""內部轉帳(忽略)"",
  AND(E3528&lt;&gt;"""", F3528&lt;&gt;"""", N"&amp;"OT(REGEXMATCH(C3528, ""薪資""))), ""內部轉帳(忽略)"",
  REGEXMATCH(C3528, ""薪資""), ""薪資變動(不計入)"",
  REGEXMATCH(C3528, ""押金""), ""押金往來"",
  AND(E3528&lt;&gt;"""", F3528=""""), ""真實支出"",
  AND(E3528="""", F3528&lt;&gt;""""), ""真實收入"",
  TRUE, ""其他""
)"),"其他")</f>
        <v>其他</v>
      </c>
      <c r="K3528" s="270" t="str">
        <f t="shared" si="2"/>
        <v/>
      </c>
      <c r="L3528">
        <f t="shared" si="3"/>
        <v>0</v>
      </c>
    </row>
    <row r="3529">
      <c r="A3529" s="107"/>
      <c r="D3529" s="270"/>
      <c r="H3529" s="106" t="str">
        <f t="shared" si="1"/>
        <v/>
      </c>
      <c r="I3529" s="271" t="str">
        <f>IFERROR(__xludf.DUMMYFUNCTION("""COMPUTED_VALUE"""),"")</f>
        <v/>
      </c>
      <c r="J3529" t="str">
        <f>IFERROR(__xludf.DUMMYFUNCTION("IFS(
  AND(REGEXMATCH(E3529, ""台銀籌備帳戶|玉山帳戶""), REGEXMATCH(C3529, ""薪資"")), ""分潤支出"",
  AND(REGEXMATCH(E3529, ""Ben帳戶|Elsa帳戶|Ben代墊|Ariel代墊|中信銀行共用""), REGEXMATCH(F3529, ""Ben帳戶|Elsa帳戶|Ben代墊|Ariel代墊|中信銀行共用"")), ""內部轉帳(忽略)"",
  AND(E3529&lt;&gt;"""", F3529&lt;&gt;"""", N"&amp;"OT(REGEXMATCH(C3529, ""薪資""))), ""內部轉帳(忽略)"",
  REGEXMATCH(C3529, ""薪資""), ""薪資變動(不計入)"",
  REGEXMATCH(C3529, ""押金""), ""押金往來"",
  AND(E3529&lt;&gt;"""", F3529=""""), ""真實支出"",
  AND(E3529="""", F3529&lt;&gt;""""), ""真實收入"",
  TRUE, ""其他""
)"),"其他")</f>
        <v>其他</v>
      </c>
      <c r="K3529" s="270" t="str">
        <f t="shared" si="2"/>
        <v/>
      </c>
      <c r="L3529">
        <f t="shared" si="3"/>
        <v>0</v>
      </c>
    </row>
    <row r="3530">
      <c r="A3530" s="107"/>
      <c r="D3530" s="270"/>
      <c r="H3530" s="106" t="str">
        <f t="shared" si="1"/>
        <v/>
      </c>
      <c r="I3530" s="271" t="str">
        <f>IFERROR(__xludf.DUMMYFUNCTION("""COMPUTED_VALUE"""),"")</f>
        <v/>
      </c>
      <c r="J3530" t="str">
        <f>IFERROR(__xludf.DUMMYFUNCTION("IFS(
  AND(REGEXMATCH(E3530, ""台銀籌備帳戶|玉山帳戶""), REGEXMATCH(C3530, ""薪資"")), ""分潤支出"",
  AND(REGEXMATCH(E3530, ""Ben帳戶|Elsa帳戶|Ben代墊|Ariel代墊|中信銀行共用""), REGEXMATCH(F3530, ""Ben帳戶|Elsa帳戶|Ben代墊|Ariel代墊|中信銀行共用"")), ""內部轉帳(忽略)"",
  AND(E3530&lt;&gt;"""", F3530&lt;&gt;"""", N"&amp;"OT(REGEXMATCH(C3530, ""薪資""))), ""內部轉帳(忽略)"",
  REGEXMATCH(C3530, ""薪資""), ""薪資變動(不計入)"",
  REGEXMATCH(C3530, ""押金""), ""押金往來"",
  AND(E3530&lt;&gt;"""", F3530=""""), ""真實支出"",
  AND(E3530="""", F3530&lt;&gt;""""), ""真實收入"",
  TRUE, ""其他""
)"),"其他")</f>
        <v>其他</v>
      </c>
      <c r="K3530" s="270" t="str">
        <f t="shared" si="2"/>
        <v/>
      </c>
      <c r="L3530">
        <f t="shared" si="3"/>
        <v>0</v>
      </c>
    </row>
    <row r="3531">
      <c r="A3531" s="107"/>
      <c r="D3531" s="270"/>
      <c r="H3531" s="106" t="str">
        <f t="shared" si="1"/>
        <v/>
      </c>
      <c r="I3531" s="271" t="str">
        <f>IFERROR(__xludf.DUMMYFUNCTION("""COMPUTED_VALUE"""),"")</f>
        <v/>
      </c>
      <c r="J3531" t="str">
        <f>IFERROR(__xludf.DUMMYFUNCTION("IFS(
  AND(REGEXMATCH(E3531, ""台銀籌備帳戶|玉山帳戶""), REGEXMATCH(C3531, ""薪資"")), ""分潤支出"",
  AND(REGEXMATCH(E3531, ""Ben帳戶|Elsa帳戶|Ben代墊|Ariel代墊|中信銀行共用""), REGEXMATCH(F3531, ""Ben帳戶|Elsa帳戶|Ben代墊|Ariel代墊|中信銀行共用"")), ""內部轉帳(忽略)"",
  AND(E3531&lt;&gt;"""", F3531&lt;&gt;"""", N"&amp;"OT(REGEXMATCH(C3531, ""薪資""))), ""內部轉帳(忽略)"",
  REGEXMATCH(C3531, ""薪資""), ""薪資變動(不計入)"",
  REGEXMATCH(C3531, ""押金""), ""押金往來"",
  AND(E3531&lt;&gt;"""", F3531=""""), ""真實支出"",
  AND(E3531="""", F3531&lt;&gt;""""), ""真實收入"",
  TRUE, ""其他""
)"),"其他")</f>
        <v>其他</v>
      </c>
      <c r="K3531" s="270" t="str">
        <f t="shared" si="2"/>
        <v/>
      </c>
      <c r="L3531">
        <f t="shared" si="3"/>
        <v>0</v>
      </c>
    </row>
    <row r="3532">
      <c r="A3532" s="107"/>
      <c r="D3532" s="270"/>
      <c r="H3532" s="106" t="str">
        <f t="shared" si="1"/>
        <v/>
      </c>
      <c r="I3532" s="271" t="str">
        <f>IFERROR(__xludf.DUMMYFUNCTION("""COMPUTED_VALUE"""),"")</f>
        <v/>
      </c>
      <c r="J3532" t="str">
        <f>IFERROR(__xludf.DUMMYFUNCTION("IFS(
  AND(REGEXMATCH(E3532, ""台銀籌備帳戶|玉山帳戶""), REGEXMATCH(C3532, ""薪資"")), ""分潤支出"",
  AND(REGEXMATCH(E3532, ""Ben帳戶|Elsa帳戶|Ben代墊|Ariel代墊|中信銀行共用""), REGEXMATCH(F3532, ""Ben帳戶|Elsa帳戶|Ben代墊|Ariel代墊|中信銀行共用"")), ""內部轉帳(忽略)"",
  AND(E3532&lt;&gt;"""", F3532&lt;&gt;"""", N"&amp;"OT(REGEXMATCH(C3532, ""薪資""))), ""內部轉帳(忽略)"",
  REGEXMATCH(C3532, ""薪資""), ""薪資變動(不計入)"",
  REGEXMATCH(C3532, ""押金""), ""押金往來"",
  AND(E3532&lt;&gt;"""", F3532=""""), ""真實支出"",
  AND(E3532="""", F3532&lt;&gt;""""), ""真實收入"",
  TRUE, ""其他""
)"),"其他")</f>
        <v>其他</v>
      </c>
      <c r="K3532" s="270" t="str">
        <f t="shared" si="2"/>
        <v/>
      </c>
      <c r="L3532">
        <f t="shared" si="3"/>
        <v>0</v>
      </c>
    </row>
    <row r="3533">
      <c r="A3533" s="107"/>
      <c r="D3533" s="270"/>
      <c r="H3533" s="106" t="str">
        <f t="shared" si="1"/>
        <v/>
      </c>
      <c r="I3533" s="271" t="str">
        <f>IFERROR(__xludf.DUMMYFUNCTION("""COMPUTED_VALUE"""),"")</f>
        <v/>
      </c>
      <c r="J3533" t="str">
        <f>IFERROR(__xludf.DUMMYFUNCTION("IFS(
  AND(REGEXMATCH(E3533, ""台銀籌備帳戶|玉山帳戶""), REGEXMATCH(C3533, ""薪資"")), ""分潤支出"",
  AND(REGEXMATCH(E3533, ""Ben帳戶|Elsa帳戶|Ben代墊|Ariel代墊|中信銀行共用""), REGEXMATCH(F3533, ""Ben帳戶|Elsa帳戶|Ben代墊|Ariel代墊|中信銀行共用"")), ""內部轉帳(忽略)"",
  AND(E3533&lt;&gt;"""", F3533&lt;&gt;"""", N"&amp;"OT(REGEXMATCH(C3533, ""薪資""))), ""內部轉帳(忽略)"",
  REGEXMATCH(C3533, ""薪資""), ""薪資變動(不計入)"",
  REGEXMATCH(C3533, ""押金""), ""押金往來"",
  AND(E3533&lt;&gt;"""", F3533=""""), ""真實支出"",
  AND(E3533="""", F3533&lt;&gt;""""), ""真實收入"",
  TRUE, ""其他""
)"),"其他")</f>
        <v>其他</v>
      </c>
      <c r="K3533" s="270" t="str">
        <f t="shared" si="2"/>
        <v/>
      </c>
      <c r="L3533">
        <f t="shared" si="3"/>
        <v>0</v>
      </c>
    </row>
    <row r="3534">
      <c r="A3534" s="107"/>
      <c r="D3534" s="270"/>
      <c r="H3534" s="106" t="str">
        <f t="shared" si="1"/>
        <v/>
      </c>
      <c r="I3534" s="271" t="str">
        <f>IFERROR(__xludf.DUMMYFUNCTION("""COMPUTED_VALUE"""),"")</f>
        <v/>
      </c>
      <c r="J3534" t="str">
        <f>IFERROR(__xludf.DUMMYFUNCTION("IFS(
  AND(REGEXMATCH(E3534, ""台銀籌備帳戶|玉山帳戶""), REGEXMATCH(C3534, ""薪資"")), ""分潤支出"",
  AND(REGEXMATCH(E3534, ""Ben帳戶|Elsa帳戶|Ben代墊|Ariel代墊|中信銀行共用""), REGEXMATCH(F3534, ""Ben帳戶|Elsa帳戶|Ben代墊|Ariel代墊|中信銀行共用"")), ""內部轉帳(忽略)"",
  AND(E3534&lt;&gt;"""", F3534&lt;&gt;"""", N"&amp;"OT(REGEXMATCH(C3534, ""薪資""))), ""內部轉帳(忽略)"",
  REGEXMATCH(C3534, ""薪資""), ""薪資變動(不計入)"",
  REGEXMATCH(C3534, ""押金""), ""押金往來"",
  AND(E3534&lt;&gt;"""", F3534=""""), ""真實支出"",
  AND(E3534="""", F3534&lt;&gt;""""), ""真實收入"",
  TRUE, ""其他""
)"),"其他")</f>
        <v>其他</v>
      </c>
      <c r="K3534" s="270" t="str">
        <f t="shared" si="2"/>
        <v/>
      </c>
      <c r="L3534">
        <f t="shared" si="3"/>
        <v>0</v>
      </c>
    </row>
    <row r="3535">
      <c r="A3535" s="107"/>
      <c r="D3535" s="270"/>
      <c r="H3535" s="106" t="str">
        <f t="shared" si="1"/>
        <v/>
      </c>
      <c r="I3535" s="271" t="str">
        <f>IFERROR(__xludf.DUMMYFUNCTION("""COMPUTED_VALUE"""),"")</f>
        <v/>
      </c>
      <c r="J3535" t="str">
        <f>IFERROR(__xludf.DUMMYFUNCTION("IFS(
  AND(REGEXMATCH(E3535, ""台銀籌備帳戶|玉山帳戶""), REGEXMATCH(C3535, ""薪資"")), ""分潤支出"",
  AND(REGEXMATCH(E3535, ""Ben帳戶|Elsa帳戶|Ben代墊|Ariel代墊|中信銀行共用""), REGEXMATCH(F3535, ""Ben帳戶|Elsa帳戶|Ben代墊|Ariel代墊|中信銀行共用"")), ""內部轉帳(忽略)"",
  AND(E3535&lt;&gt;"""", F3535&lt;&gt;"""", N"&amp;"OT(REGEXMATCH(C3535, ""薪資""))), ""內部轉帳(忽略)"",
  REGEXMATCH(C3535, ""薪資""), ""薪資變動(不計入)"",
  REGEXMATCH(C3535, ""押金""), ""押金往來"",
  AND(E3535&lt;&gt;"""", F3535=""""), ""真實支出"",
  AND(E3535="""", F3535&lt;&gt;""""), ""真實收入"",
  TRUE, ""其他""
)"),"其他")</f>
        <v>其他</v>
      </c>
      <c r="K3535" s="270" t="str">
        <f t="shared" si="2"/>
        <v/>
      </c>
      <c r="L3535">
        <f t="shared" si="3"/>
        <v>0</v>
      </c>
    </row>
    <row r="3536">
      <c r="A3536" s="107"/>
      <c r="D3536" s="270"/>
      <c r="H3536" s="106" t="str">
        <f t="shared" si="1"/>
        <v/>
      </c>
      <c r="I3536" s="271" t="str">
        <f>IFERROR(__xludf.DUMMYFUNCTION("""COMPUTED_VALUE"""),"")</f>
        <v/>
      </c>
      <c r="J3536" t="str">
        <f>IFERROR(__xludf.DUMMYFUNCTION("IFS(
  AND(REGEXMATCH(E3536, ""台銀籌備帳戶|玉山帳戶""), REGEXMATCH(C3536, ""薪資"")), ""分潤支出"",
  AND(REGEXMATCH(E3536, ""Ben帳戶|Elsa帳戶|Ben代墊|Ariel代墊|中信銀行共用""), REGEXMATCH(F3536, ""Ben帳戶|Elsa帳戶|Ben代墊|Ariel代墊|中信銀行共用"")), ""內部轉帳(忽略)"",
  AND(E3536&lt;&gt;"""", F3536&lt;&gt;"""", N"&amp;"OT(REGEXMATCH(C3536, ""薪資""))), ""內部轉帳(忽略)"",
  REGEXMATCH(C3536, ""薪資""), ""薪資變動(不計入)"",
  REGEXMATCH(C3536, ""押金""), ""押金往來"",
  AND(E3536&lt;&gt;"""", F3536=""""), ""真實支出"",
  AND(E3536="""", F3536&lt;&gt;""""), ""真實收入"",
  TRUE, ""其他""
)"),"其他")</f>
        <v>其他</v>
      </c>
      <c r="K3536" s="270" t="str">
        <f t="shared" si="2"/>
        <v/>
      </c>
      <c r="L3536">
        <f t="shared" si="3"/>
        <v>0</v>
      </c>
    </row>
    <row r="3537">
      <c r="A3537" s="107"/>
      <c r="D3537" s="270"/>
      <c r="H3537" s="106" t="str">
        <f t="shared" si="1"/>
        <v/>
      </c>
      <c r="I3537" s="271" t="str">
        <f>IFERROR(__xludf.DUMMYFUNCTION("""COMPUTED_VALUE"""),"")</f>
        <v/>
      </c>
      <c r="J3537" t="str">
        <f>IFERROR(__xludf.DUMMYFUNCTION("IFS(
  AND(REGEXMATCH(E3537, ""台銀籌備帳戶|玉山帳戶""), REGEXMATCH(C3537, ""薪資"")), ""分潤支出"",
  AND(REGEXMATCH(E3537, ""Ben帳戶|Elsa帳戶|Ben代墊|Ariel代墊|中信銀行共用""), REGEXMATCH(F3537, ""Ben帳戶|Elsa帳戶|Ben代墊|Ariel代墊|中信銀行共用"")), ""內部轉帳(忽略)"",
  AND(E3537&lt;&gt;"""", F3537&lt;&gt;"""", N"&amp;"OT(REGEXMATCH(C3537, ""薪資""))), ""內部轉帳(忽略)"",
  REGEXMATCH(C3537, ""薪資""), ""薪資變動(不計入)"",
  REGEXMATCH(C3537, ""押金""), ""押金往來"",
  AND(E3537&lt;&gt;"""", F3537=""""), ""真實支出"",
  AND(E3537="""", F3537&lt;&gt;""""), ""真實收入"",
  TRUE, ""其他""
)"),"其他")</f>
        <v>其他</v>
      </c>
      <c r="K3537" s="270" t="str">
        <f t="shared" si="2"/>
        <v/>
      </c>
      <c r="L3537">
        <f t="shared" si="3"/>
        <v>0</v>
      </c>
    </row>
    <row r="3538">
      <c r="A3538" s="107"/>
      <c r="D3538" s="270"/>
      <c r="H3538" s="106" t="str">
        <f t="shared" si="1"/>
        <v/>
      </c>
      <c r="I3538" s="271" t="str">
        <f>IFERROR(__xludf.DUMMYFUNCTION("""COMPUTED_VALUE"""),"")</f>
        <v/>
      </c>
      <c r="J3538" t="str">
        <f>IFERROR(__xludf.DUMMYFUNCTION("IFS(
  AND(REGEXMATCH(E3538, ""台銀籌備帳戶|玉山帳戶""), REGEXMATCH(C3538, ""薪資"")), ""分潤支出"",
  AND(REGEXMATCH(E3538, ""Ben帳戶|Elsa帳戶|Ben代墊|Ariel代墊|中信銀行共用""), REGEXMATCH(F3538, ""Ben帳戶|Elsa帳戶|Ben代墊|Ariel代墊|中信銀行共用"")), ""內部轉帳(忽略)"",
  AND(E3538&lt;&gt;"""", F3538&lt;&gt;"""", N"&amp;"OT(REGEXMATCH(C3538, ""薪資""))), ""內部轉帳(忽略)"",
  REGEXMATCH(C3538, ""薪資""), ""薪資變動(不計入)"",
  REGEXMATCH(C3538, ""押金""), ""押金往來"",
  AND(E3538&lt;&gt;"""", F3538=""""), ""真實支出"",
  AND(E3538="""", F3538&lt;&gt;""""), ""真實收入"",
  TRUE, ""其他""
)"),"其他")</f>
        <v>其他</v>
      </c>
      <c r="K3538" s="270" t="str">
        <f t="shared" si="2"/>
        <v/>
      </c>
      <c r="L3538">
        <f t="shared" si="3"/>
        <v>0</v>
      </c>
    </row>
    <row r="3539">
      <c r="A3539" s="107"/>
      <c r="D3539" s="270"/>
      <c r="H3539" s="106" t="str">
        <f t="shared" si="1"/>
        <v/>
      </c>
      <c r="I3539" s="271" t="str">
        <f>IFERROR(__xludf.DUMMYFUNCTION("""COMPUTED_VALUE"""),"")</f>
        <v/>
      </c>
      <c r="J3539" t="str">
        <f>IFERROR(__xludf.DUMMYFUNCTION("IFS(
  AND(REGEXMATCH(E3539, ""台銀籌備帳戶|玉山帳戶""), REGEXMATCH(C3539, ""薪資"")), ""分潤支出"",
  AND(REGEXMATCH(E3539, ""Ben帳戶|Elsa帳戶|Ben代墊|Ariel代墊|中信銀行共用""), REGEXMATCH(F3539, ""Ben帳戶|Elsa帳戶|Ben代墊|Ariel代墊|中信銀行共用"")), ""內部轉帳(忽略)"",
  AND(E3539&lt;&gt;"""", F3539&lt;&gt;"""", N"&amp;"OT(REGEXMATCH(C3539, ""薪資""))), ""內部轉帳(忽略)"",
  REGEXMATCH(C3539, ""薪資""), ""薪資變動(不計入)"",
  REGEXMATCH(C3539, ""押金""), ""押金往來"",
  AND(E3539&lt;&gt;"""", F3539=""""), ""真實支出"",
  AND(E3539="""", F3539&lt;&gt;""""), ""真實收入"",
  TRUE, ""其他""
)"),"其他")</f>
        <v>其他</v>
      </c>
      <c r="K3539" s="270" t="str">
        <f t="shared" si="2"/>
        <v/>
      </c>
      <c r="L3539">
        <f t="shared" si="3"/>
        <v>0</v>
      </c>
    </row>
    <row r="3540">
      <c r="A3540" s="107"/>
      <c r="D3540" s="270"/>
      <c r="H3540" s="106" t="str">
        <f t="shared" si="1"/>
        <v/>
      </c>
      <c r="I3540" s="271" t="str">
        <f>IFERROR(__xludf.DUMMYFUNCTION("""COMPUTED_VALUE"""),"")</f>
        <v/>
      </c>
      <c r="J3540" t="str">
        <f>IFERROR(__xludf.DUMMYFUNCTION("IFS(
  AND(REGEXMATCH(E3540, ""台銀籌備帳戶|玉山帳戶""), REGEXMATCH(C3540, ""薪資"")), ""分潤支出"",
  AND(REGEXMATCH(E3540, ""Ben帳戶|Elsa帳戶|Ben代墊|Ariel代墊|中信銀行共用""), REGEXMATCH(F3540, ""Ben帳戶|Elsa帳戶|Ben代墊|Ariel代墊|中信銀行共用"")), ""內部轉帳(忽略)"",
  AND(E3540&lt;&gt;"""", F3540&lt;&gt;"""", N"&amp;"OT(REGEXMATCH(C3540, ""薪資""))), ""內部轉帳(忽略)"",
  REGEXMATCH(C3540, ""薪資""), ""薪資變動(不計入)"",
  REGEXMATCH(C3540, ""押金""), ""押金往來"",
  AND(E3540&lt;&gt;"""", F3540=""""), ""真實支出"",
  AND(E3540="""", F3540&lt;&gt;""""), ""真實收入"",
  TRUE, ""其他""
)"),"其他")</f>
        <v>其他</v>
      </c>
      <c r="K3540" s="270" t="str">
        <f t="shared" si="2"/>
        <v/>
      </c>
      <c r="L3540">
        <f t="shared" si="3"/>
        <v>0</v>
      </c>
    </row>
    <row r="3541">
      <c r="A3541" s="107"/>
      <c r="D3541" s="270"/>
      <c r="H3541" s="106" t="str">
        <f t="shared" si="1"/>
        <v/>
      </c>
      <c r="I3541" s="271" t="str">
        <f>IFERROR(__xludf.DUMMYFUNCTION("""COMPUTED_VALUE"""),"")</f>
        <v/>
      </c>
      <c r="J3541" t="str">
        <f>IFERROR(__xludf.DUMMYFUNCTION("IFS(
  AND(REGEXMATCH(E3541, ""台銀籌備帳戶|玉山帳戶""), REGEXMATCH(C3541, ""薪資"")), ""分潤支出"",
  AND(REGEXMATCH(E3541, ""Ben帳戶|Elsa帳戶|Ben代墊|Ariel代墊|中信銀行共用""), REGEXMATCH(F3541, ""Ben帳戶|Elsa帳戶|Ben代墊|Ariel代墊|中信銀行共用"")), ""內部轉帳(忽略)"",
  AND(E3541&lt;&gt;"""", F3541&lt;&gt;"""", N"&amp;"OT(REGEXMATCH(C3541, ""薪資""))), ""內部轉帳(忽略)"",
  REGEXMATCH(C3541, ""薪資""), ""薪資變動(不計入)"",
  REGEXMATCH(C3541, ""押金""), ""押金往來"",
  AND(E3541&lt;&gt;"""", F3541=""""), ""真實支出"",
  AND(E3541="""", F3541&lt;&gt;""""), ""真實收入"",
  TRUE, ""其他""
)"),"其他")</f>
        <v>其他</v>
      </c>
      <c r="K3541" s="270" t="str">
        <f t="shared" si="2"/>
        <v/>
      </c>
      <c r="L3541">
        <f t="shared" si="3"/>
        <v>0</v>
      </c>
    </row>
    <row r="3542">
      <c r="A3542" s="107"/>
      <c r="D3542" s="270"/>
      <c r="H3542" s="106" t="str">
        <f t="shared" si="1"/>
        <v/>
      </c>
      <c r="I3542" s="271" t="str">
        <f>IFERROR(__xludf.DUMMYFUNCTION("""COMPUTED_VALUE"""),"")</f>
        <v/>
      </c>
      <c r="J3542" t="str">
        <f>IFERROR(__xludf.DUMMYFUNCTION("IFS(
  AND(REGEXMATCH(E3542, ""台銀籌備帳戶|玉山帳戶""), REGEXMATCH(C3542, ""薪資"")), ""分潤支出"",
  AND(REGEXMATCH(E3542, ""Ben帳戶|Elsa帳戶|Ben代墊|Ariel代墊|中信銀行共用""), REGEXMATCH(F3542, ""Ben帳戶|Elsa帳戶|Ben代墊|Ariel代墊|中信銀行共用"")), ""內部轉帳(忽略)"",
  AND(E3542&lt;&gt;"""", F3542&lt;&gt;"""", N"&amp;"OT(REGEXMATCH(C3542, ""薪資""))), ""內部轉帳(忽略)"",
  REGEXMATCH(C3542, ""薪資""), ""薪資變動(不計入)"",
  REGEXMATCH(C3542, ""押金""), ""押金往來"",
  AND(E3542&lt;&gt;"""", F3542=""""), ""真實支出"",
  AND(E3542="""", F3542&lt;&gt;""""), ""真實收入"",
  TRUE, ""其他""
)"),"其他")</f>
        <v>其他</v>
      </c>
      <c r="K3542" s="270" t="str">
        <f t="shared" si="2"/>
        <v/>
      </c>
      <c r="L3542">
        <f t="shared" si="3"/>
        <v>0</v>
      </c>
    </row>
    <row r="3543">
      <c r="A3543" s="107"/>
      <c r="D3543" s="270"/>
      <c r="H3543" s="106" t="str">
        <f t="shared" si="1"/>
        <v/>
      </c>
      <c r="I3543" s="271" t="str">
        <f>IFERROR(__xludf.DUMMYFUNCTION("""COMPUTED_VALUE"""),"")</f>
        <v/>
      </c>
      <c r="J3543" t="str">
        <f>IFERROR(__xludf.DUMMYFUNCTION("IFS(
  AND(REGEXMATCH(E3543, ""台銀籌備帳戶|玉山帳戶""), REGEXMATCH(C3543, ""薪資"")), ""分潤支出"",
  AND(REGEXMATCH(E3543, ""Ben帳戶|Elsa帳戶|Ben代墊|Ariel代墊|中信銀行共用""), REGEXMATCH(F3543, ""Ben帳戶|Elsa帳戶|Ben代墊|Ariel代墊|中信銀行共用"")), ""內部轉帳(忽略)"",
  AND(E3543&lt;&gt;"""", F3543&lt;&gt;"""", N"&amp;"OT(REGEXMATCH(C3543, ""薪資""))), ""內部轉帳(忽略)"",
  REGEXMATCH(C3543, ""薪資""), ""薪資變動(不計入)"",
  REGEXMATCH(C3543, ""押金""), ""押金往來"",
  AND(E3543&lt;&gt;"""", F3543=""""), ""真實支出"",
  AND(E3543="""", F3543&lt;&gt;""""), ""真實收入"",
  TRUE, ""其他""
)"),"其他")</f>
        <v>其他</v>
      </c>
      <c r="K3543" s="270" t="str">
        <f t="shared" si="2"/>
        <v/>
      </c>
      <c r="L3543">
        <f t="shared" si="3"/>
        <v>0</v>
      </c>
    </row>
    <row r="3544">
      <c r="A3544" s="107"/>
      <c r="D3544" s="270"/>
      <c r="H3544" s="106" t="str">
        <f t="shared" si="1"/>
        <v/>
      </c>
      <c r="I3544" s="271" t="str">
        <f>IFERROR(__xludf.DUMMYFUNCTION("""COMPUTED_VALUE"""),"")</f>
        <v/>
      </c>
      <c r="J3544" t="str">
        <f>IFERROR(__xludf.DUMMYFUNCTION("IFS(
  AND(REGEXMATCH(E3544, ""台銀籌備帳戶|玉山帳戶""), REGEXMATCH(C3544, ""薪資"")), ""分潤支出"",
  AND(REGEXMATCH(E3544, ""Ben帳戶|Elsa帳戶|Ben代墊|Ariel代墊|中信銀行共用""), REGEXMATCH(F3544, ""Ben帳戶|Elsa帳戶|Ben代墊|Ariel代墊|中信銀行共用"")), ""內部轉帳(忽略)"",
  AND(E3544&lt;&gt;"""", F3544&lt;&gt;"""", N"&amp;"OT(REGEXMATCH(C3544, ""薪資""))), ""內部轉帳(忽略)"",
  REGEXMATCH(C3544, ""薪資""), ""薪資變動(不計入)"",
  REGEXMATCH(C3544, ""押金""), ""押金往來"",
  AND(E3544&lt;&gt;"""", F3544=""""), ""真實支出"",
  AND(E3544="""", F3544&lt;&gt;""""), ""真實收入"",
  TRUE, ""其他""
)"),"其他")</f>
        <v>其他</v>
      </c>
      <c r="K3544" s="270" t="str">
        <f t="shared" si="2"/>
        <v/>
      </c>
      <c r="L3544">
        <f t="shared" si="3"/>
        <v>0</v>
      </c>
    </row>
    <row r="3545">
      <c r="A3545" s="107"/>
      <c r="D3545" s="270"/>
      <c r="H3545" s="106" t="str">
        <f t="shared" si="1"/>
        <v/>
      </c>
      <c r="I3545" s="271" t="str">
        <f>IFERROR(__xludf.DUMMYFUNCTION("""COMPUTED_VALUE"""),"")</f>
        <v/>
      </c>
      <c r="J3545" t="str">
        <f>IFERROR(__xludf.DUMMYFUNCTION("IFS(
  AND(REGEXMATCH(E3545, ""台銀籌備帳戶|玉山帳戶""), REGEXMATCH(C3545, ""薪資"")), ""分潤支出"",
  AND(REGEXMATCH(E3545, ""Ben帳戶|Elsa帳戶|Ben代墊|Ariel代墊|中信銀行共用""), REGEXMATCH(F3545, ""Ben帳戶|Elsa帳戶|Ben代墊|Ariel代墊|中信銀行共用"")), ""內部轉帳(忽略)"",
  AND(E3545&lt;&gt;"""", F3545&lt;&gt;"""", N"&amp;"OT(REGEXMATCH(C3545, ""薪資""))), ""內部轉帳(忽略)"",
  REGEXMATCH(C3545, ""薪資""), ""薪資變動(不計入)"",
  REGEXMATCH(C3545, ""押金""), ""押金往來"",
  AND(E3545&lt;&gt;"""", F3545=""""), ""真實支出"",
  AND(E3545="""", F3545&lt;&gt;""""), ""真實收入"",
  TRUE, ""其他""
)"),"其他")</f>
        <v>其他</v>
      </c>
      <c r="K3545" s="270" t="str">
        <f t="shared" si="2"/>
        <v/>
      </c>
      <c r="L3545">
        <f t="shared" si="3"/>
        <v>0</v>
      </c>
    </row>
    <row r="3546">
      <c r="A3546" s="107"/>
      <c r="D3546" s="270"/>
      <c r="H3546" s="106" t="str">
        <f t="shared" si="1"/>
        <v/>
      </c>
      <c r="I3546" s="271" t="str">
        <f>IFERROR(__xludf.DUMMYFUNCTION("""COMPUTED_VALUE"""),"")</f>
        <v/>
      </c>
      <c r="J3546" t="str">
        <f>IFERROR(__xludf.DUMMYFUNCTION("IFS(
  AND(REGEXMATCH(E3546, ""台銀籌備帳戶|玉山帳戶""), REGEXMATCH(C3546, ""薪資"")), ""分潤支出"",
  AND(REGEXMATCH(E3546, ""Ben帳戶|Elsa帳戶|Ben代墊|Ariel代墊|中信銀行共用""), REGEXMATCH(F3546, ""Ben帳戶|Elsa帳戶|Ben代墊|Ariel代墊|中信銀行共用"")), ""內部轉帳(忽略)"",
  AND(E3546&lt;&gt;"""", F3546&lt;&gt;"""", N"&amp;"OT(REGEXMATCH(C3546, ""薪資""))), ""內部轉帳(忽略)"",
  REGEXMATCH(C3546, ""薪資""), ""薪資變動(不計入)"",
  REGEXMATCH(C3546, ""押金""), ""押金往來"",
  AND(E3546&lt;&gt;"""", F3546=""""), ""真實支出"",
  AND(E3546="""", F3546&lt;&gt;""""), ""真實收入"",
  TRUE, ""其他""
)"),"其他")</f>
        <v>其他</v>
      </c>
      <c r="K3546" s="270" t="str">
        <f t="shared" si="2"/>
        <v/>
      </c>
      <c r="L3546">
        <f t="shared" si="3"/>
        <v>0</v>
      </c>
    </row>
    <row r="3547">
      <c r="A3547" s="107"/>
      <c r="D3547" s="270"/>
      <c r="H3547" s="106" t="str">
        <f t="shared" si="1"/>
        <v/>
      </c>
      <c r="I3547" s="271" t="str">
        <f>IFERROR(__xludf.DUMMYFUNCTION("""COMPUTED_VALUE"""),"")</f>
        <v/>
      </c>
      <c r="J3547" t="str">
        <f>IFERROR(__xludf.DUMMYFUNCTION("IFS(
  AND(REGEXMATCH(E3547, ""台銀籌備帳戶|玉山帳戶""), REGEXMATCH(C3547, ""薪資"")), ""分潤支出"",
  AND(REGEXMATCH(E3547, ""Ben帳戶|Elsa帳戶|Ben代墊|Ariel代墊|中信銀行共用""), REGEXMATCH(F3547, ""Ben帳戶|Elsa帳戶|Ben代墊|Ariel代墊|中信銀行共用"")), ""內部轉帳(忽略)"",
  AND(E3547&lt;&gt;"""", F3547&lt;&gt;"""", N"&amp;"OT(REGEXMATCH(C3547, ""薪資""))), ""內部轉帳(忽略)"",
  REGEXMATCH(C3547, ""薪資""), ""薪資變動(不計入)"",
  REGEXMATCH(C3547, ""押金""), ""押金往來"",
  AND(E3547&lt;&gt;"""", F3547=""""), ""真實支出"",
  AND(E3547="""", F3547&lt;&gt;""""), ""真實收入"",
  TRUE, ""其他""
)"),"其他")</f>
        <v>其他</v>
      </c>
      <c r="K3547" s="270" t="str">
        <f t="shared" si="2"/>
        <v/>
      </c>
      <c r="L3547">
        <f t="shared" si="3"/>
        <v>0</v>
      </c>
    </row>
    <row r="3548">
      <c r="A3548" s="107"/>
      <c r="D3548" s="270"/>
      <c r="H3548" s="106" t="str">
        <f t="shared" si="1"/>
        <v/>
      </c>
      <c r="I3548" s="271" t="str">
        <f>IFERROR(__xludf.DUMMYFUNCTION("""COMPUTED_VALUE"""),"")</f>
        <v/>
      </c>
      <c r="J3548" t="str">
        <f>IFERROR(__xludf.DUMMYFUNCTION("IFS(
  AND(REGEXMATCH(E3548, ""台銀籌備帳戶|玉山帳戶""), REGEXMATCH(C3548, ""薪資"")), ""分潤支出"",
  AND(REGEXMATCH(E3548, ""Ben帳戶|Elsa帳戶|Ben代墊|Ariel代墊|中信銀行共用""), REGEXMATCH(F3548, ""Ben帳戶|Elsa帳戶|Ben代墊|Ariel代墊|中信銀行共用"")), ""內部轉帳(忽略)"",
  AND(E3548&lt;&gt;"""", F3548&lt;&gt;"""", N"&amp;"OT(REGEXMATCH(C3548, ""薪資""))), ""內部轉帳(忽略)"",
  REGEXMATCH(C3548, ""薪資""), ""薪資變動(不計入)"",
  REGEXMATCH(C3548, ""押金""), ""押金往來"",
  AND(E3548&lt;&gt;"""", F3548=""""), ""真實支出"",
  AND(E3548="""", F3548&lt;&gt;""""), ""真實收入"",
  TRUE, ""其他""
)"),"其他")</f>
        <v>其他</v>
      </c>
      <c r="K3548" s="270" t="str">
        <f t="shared" si="2"/>
        <v/>
      </c>
      <c r="L3548">
        <f t="shared" si="3"/>
        <v>0</v>
      </c>
    </row>
    <row r="3549">
      <c r="A3549" s="107"/>
      <c r="D3549" s="270"/>
      <c r="H3549" s="106" t="str">
        <f t="shared" si="1"/>
        <v/>
      </c>
      <c r="I3549" s="271" t="str">
        <f>IFERROR(__xludf.DUMMYFUNCTION("""COMPUTED_VALUE"""),"")</f>
        <v/>
      </c>
      <c r="J3549" t="str">
        <f>IFERROR(__xludf.DUMMYFUNCTION("IFS(
  AND(REGEXMATCH(E3549, ""台銀籌備帳戶|玉山帳戶""), REGEXMATCH(C3549, ""薪資"")), ""分潤支出"",
  AND(REGEXMATCH(E3549, ""Ben帳戶|Elsa帳戶|Ben代墊|Ariel代墊|中信銀行共用""), REGEXMATCH(F3549, ""Ben帳戶|Elsa帳戶|Ben代墊|Ariel代墊|中信銀行共用"")), ""內部轉帳(忽略)"",
  AND(E3549&lt;&gt;"""", F3549&lt;&gt;"""", N"&amp;"OT(REGEXMATCH(C3549, ""薪資""))), ""內部轉帳(忽略)"",
  REGEXMATCH(C3549, ""薪資""), ""薪資變動(不計入)"",
  REGEXMATCH(C3549, ""押金""), ""押金往來"",
  AND(E3549&lt;&gt;"""", F3549=""""), ""真實支出"",
  AND(E3549="""", F3549&lt;&gt;""""), ""真實收入"",
  TRUE, ""其他""
)"),"其他")</f>
        <v>其他</v>
      </c>
      <c r="K3549" s="270" t="str">
        <f t="shared" si="2"/>
        <v/>
      </c>
      <c r="L3549">
        <f t="shared" si="3"/>
        <v>0</v>
      </c>
    </row>
    <row r="3550">
      <c r="A3550" s="107"/>
      <c r="D3550" s="270"/>
      <c r="H3550" s="106" t="str">
        <f t="shared" si="1"/>
        <v/>
      </c>
      <c r="I3550" s="271" t="str">
        <f>IFERROR(__xludf.DUMMYFUNCTION("""COMPUTED_VALUE"""),"")</f>
        <v/>
      </c>
      <c r="J3550" t="str">
        <f>IFERROR(__xludf.DUMMYFUNCTION("IFS(
  AND(REGEXMATCH(E3550, ""台銀籌備帳戶|玉山帳戶""), REGEXMATCH(C3550, ""薪資"")), ""分潤支出"",
  AND(REGEXMATCH(E3550, ""Ben帳戶|Elsa帳戶|Ben代墊|Ariel代墊|中信銀行共用""), REGEXMATCH(F3550, ""Ben帳戶|Elsa帳戶|Ben代墊|Ariel代墊|中信銀行共用"")), ""內部轉帳(忽略)"",
  AND(E3550&lt;&gt;"""", F3550&lt;&gt;"""", N"&amp;"OT(REGEXMATCH(C3550, ""薪資""))), ""內部轉帳(忽略)"",
  REGEXMATCH(C3550, ""薪資""), ""薪資變動(不計入)"",
  REGEXMATCH(C3550, ""押金""), ""押金往來"",
  AND(E3550&lt;&gt;"""", F3550=""""), ""真實支出"",
  AND(E3550="""", F3550&lt;&gt;""""), ""真實收入"",
  TRUE, ""其他""
)"),"其他")</f>
        <v>其他</v>
      </c>
      <c r="K3550" s="270" t="str">
        <f t="shared" si="2"/>
        <v/>
      </c>
      <c r="L3550">
        <f t="shared" si="3"/>
        <v>0</v>
      </c>
    </row>
    <row r="3551">
      <c r="A3551" s="107"/>
      <c r="D3551" s="270"/>
      <c r="H3551" s="106" t="str">
        <f t="shared" si="1"/>
        <v/>
      </c>
      <c r="I3551" s="271" t="str">
        <f>IFERROR(__xludf.DUMMYFUNCTION("""COMPUTED_VALUE"""),"")</f>
        <v/>
      </c>
      <c r="J3551" t="str">
        <f>IFERROR(__xludf.DUMMYFUNCTION("IFS(
  AND(REGEXMATCH(E3551, ""台銀籌備帳戶|玉山帳戶""), REGEXMATCH(C3551, ""薪資"")), ""分潤支出"",
  AND(REGEXMATCH(E3551, ""Ben帳戶|Elsa帳戶|Ben代墊|Ariel代墊|中信銀行共用""), REGEXMATCH(F3551, ""Ben帳戶|Elsa帳戶|Ben代墊|Ariel代墊|中信銀行共用"")), ""內部轉帳(忽略)"",
  AND(E3551&lt;&gt;"""", F3551&lt;&gt;"""", N"&amp;"OT(REGEXMATCH(C3551, ""薪資""))), ""內部轉帳(忽略)"",
  REGEXMATCH(C3551, ""薪資""), ""薪資變動(不計入)"",
  REGEXMATCH(C3551, ""押金""), ""押金往來"",
  AND(E3551&lt;&gt;"""", F3551=""""), ""真實支出"",
  AND(E3551="""", F3551&lt;&gt;""""), ""真實收入"",
  TRUE, ""其他""
)"),"其他")</f>
        <v>其他</v>
      </c>
      <c r="K3551" s="270" t="str">
        <f t="shared" si="2"/>
        <v/>
      </c>
      <c r="L3551">
        <f t="shared" si="3"/>
        <v>0</v>
      </c>
    </row>
    <row r="3552">
      <c r="A3552" s="107"/>
      <c r="D3552" s="270"/>
      <c r="H3552" s="106" t="str">
        <f t="shared" si="1"/>
        <v/>
      </c>
      <c r="I3552" s="271" t="str">
        <f>IFERROR(__xludf.DUMMYFUNCTION("""COMPUTED_VALUE"""),"")</f>
        <v/>
      </c>
      <c r="J3552" t="str">
        <f>IFERROR(__xludf.DUMMYFUNCTION("IFS(
  AND(REGEXMATCH(E3552, ""台銀籌備帳戶|玉山帳戶""), REGEXMATCH(C3552, ""薪資"")), ""分潤支出"",
  AND(REGEXMATCH(E3552, ""Ben帳戶|Elsa帳戶|Ben代墊|Ariel代墊|中信銀行共用""), REGEXMATCH(F3552, ""Ben帳戶|Elsa帳戶|Ben代墊|Ariel代墊|中信銀行共用"")), ""內部轉帳(忽略)"",
  AND(E3552&lt;&gt;"""", F3552&lt;&gt;"""", N"&amp;"OT(REGEXMATCH(C3552, ""薪資""))), ""內部轉帳(忽略)"",
  REGEXMATCH(C3552, ""薪資""), ""薪資變動(不計入)"",
  REGEXMATCH(C3552, ""押金""), ""押金往來"",
  AND(E3552&lt;&gt;"""", F3552=""""), ""真實支出"",
  AND(E3552="""", F3552&lt;&gt;""""), ""真實收入"",
  TRUE, ""其他""
)"),"其他")</f>
        <v>其他</v>
      </c>
      <c r="K3552" s="270" t="str">
        <f t="shared" si="2"/>
        <v/>
      </c>
      <c r="L3552">
        <f t="shared" si="3"/>
        <v>0</v>
      </c>
    </row>
    <row r="3553">
      <c r="A3553" s="107"/>
      <c r="D3553" s="270"/>
      <c r="H3553" s="106" t="str">
        <f t="shared" si="1"/>
        <v/>
      </c>
      <c r="I3553" s="271" t="str">
        <f>IFERROR(__xludf.DUMMYFUNCTION("""COMPUTED_VALUE"""),"")</f>
        <v/>
      </c>
      <c r="J3553" t="str">
        <f>IFERROR(__xludf.DUMMYFUNCTION("IFS(
  AND(REGEXMATCH(E3553, ""台銀籌備帳戶|玉山帳戶""), REGEXMATCH(C3553, ""薪資"")), ""分潤支出"",
  AND(REGEXMATCH(E3553, ""Ben帳戶|Elsa帳戶|Ben代墊|Ariel代墊|中信銀行共用""), REGEXMATCH(F3553, ""Ben帳戶|Elsa帳戶|Ben代墊|Ariel代墊|中信銀行共用"")), ""內部轉帳(忽略)"",
  AND(E3553&lt;&gt;"""", F3553&lt;&gt;"""", N"&amp;"OT(REGEXMATCH(C3553, ""薪資""))), ""內部轉帳(忽略)"",
  REGEXMATCH(C3553, ""薪資""), ""薪資變動(不計入)"",
  REGEXMATCH(C3553, ""押金""), ""押金往來"",
  AND(E3553&lt;&gt;"""", F3553=""""), ""真實支出"",
  AND(E3553="""", F3553&lt;&gt;""""), ""真實收入"",
  TRUE, ""其他""
)"),"其他")</f>
        <v>其他</v>
      </c>
      <c r="K3553" s="270" t="str">
        <f t="shared" si="2"/>
        <v/>
      </c>
      <c r="L3553">
        <f t="shared" si="3"/>
        <v>0</v>
      </c>
    </row>
    <row r="3554">
      <c r="A3554" s="107"/>
      <c r="D3554" s="270"/>
      <c r="H3554" s="106" t="str">
        <f t="shared" si="1"/>
        <v/>
      </c>
      <c r="I3554" s="271" t="str">
        <f>IFERROR(__xludf.DUMMYFUNCTION("""COMPUTED_VALUE"""),"")</f>
        <v/>
      </c>
      <c r="J3554" t="str">
        <f>IFERROR(__xludf.DUMMYFUNCTION("IFS(
  AND(REGEXMATCH(E3554, ""台銀籌備帳戶|玉山帳戶""), REGEXMATCH(C3554, ""薪資"")), ""分潤支出"",
  AND(REGEXMATCH(E3554, ""Ben帳戶|Elsa帳戶|Ben代墊|Ariel代墊|中信銀行共用""), REGEXMATCH(F3554, ""Ben帳戶|Elsa帳戶|Ben代墊|Ariel代墊|中信銀行共用"")), ""內部轉帳(忽略)"",
  AND(E3554&lt;&gt;"""", F3554&lt;&gt;"""", N"&amp;"OT(REGEXMATCH(C3554, ""薪資""))), ""內部轉帳(忽略)"",
  REGEXMATCH(C3554, ""薪資""), ""薪資變動(不計入)"",
  REGEXMATCH(C3554, ""押金""), ""押金往來"",
  AND(E3554&lt;&gt;"""", F3554=""""), ""真實支出"",
  AND(E3554="""", F3554&lt;&gt;""""), ""真實收入"",
  TRUE, ""其他""
)"),"其他")</f>
        <v>其他</v>
      </c>
      <c r="K3554" s="270" t="str">
        <f t="shared" si="2"/>
        <v/>
      </c>
      <c r="L3554">
        <f t="shared" si="3"/>
        <v>0</v>
      </c>
    </row>
    <row r="3555">
      <c r="A3555" s="107"/>
      <c r="D3555" s="270"/>
      <c r="H3555" s="106" t="str">
        <f t="shared" si="1"/>
        <v/>
      </c>
      <c r="I3555" s="271" t="str">
        <f>IFERROR(__xludf.DUMMYFUNCTION("""COMPUTED_VALUE"""),"")</f>
        <v/>
      </c>
      <c r="J3555" t="str">
        <f>IFERROR(__xludf.DUMMYFUNCTION("IFS(
  AND(REGEXMATCH(E3555, ""台銀籌備帳戶|玉山帳戶""), REGEXMATCH(C3555, ""薪資"")), ""分潤支出"",
  AND(REGEXMATCH(E3555, ""Ben帳戶|Elsa帳戶|Ben代墊|Ariel代墊|中信銀行共用""), REGEXMATCH(F3555, ""Ben帳戶|Elsa帳戶|Ben代墊|Ariel代墊|中信銀行共用"")), ""內部轉帳(忽略)"",
  AND(E3555&lt;&gt;"""", F3555&lt;&gt;"""", N"&amp;"OT(REGEXMATCH(C3555, ""薪資""))), ""內部轉帳(忽略)"",
  REGEXMATCH(C3555, ""薪資""), ""薪資變動(不計入)"",
  REGEXMATCH(C3555, ""押金""), ""押金往來"",
  AND(E3555&lt;&gt;"""", F3555=""""), ""真實支出"",
  AND(E3555="""", F3555&lt;&gt;""""), ""真實收入"",
  TRUE, ""其他""
)"),"其他")</f>
        <v>其他</v>
      </c>
      <c r="K3555" s="270" t="str">
        <f t="shared" si="2"/>
        <v/>
      </c>
      <c r="L3555">
        <f t="shared" si="3"/>
        <v>0</v>
      </c>
    </row>
    <row r="3556">
      <c r="A3556" s="107"/>
      <c r="D3556" s="270"/>
      <c r="H3556" s="106" t="str">
        <f t="shared" si="1"/>
        <v/>
      </c>
      <c r="I3556" s="271" t="str">
        <f>IFERROR(__xludf.DUMMYFUNCTION("""COMPUTED_VALUE"""),"")</f>
        <v/>
      </c>
      <c r="J3556" t="str">
        <f>IFERROR(__xludf.DUMMYFUNCTION("IFS(
  AND(REGEXMATCH(E3556, ""台銀籌備帳戶|玉山帳戶""), REGEXMATCH(C3556, ""薪資"")), ""分潤支出"",
  AND(REGEXMATCH(E3556, ""Ben帳戶|Elsa帳戶|Ben代墊|Ariel代墊|中信銀行共用""), REGEXMATCH(F3556, ""Ben帳戶|Elsa帳戶|Ben代墊|Ariel代墊|中信銀行共用"")), ""內部轉帳(忽略)"",
  AND(E3556&lt;&gt;"""", F3556&lt;&gt;"""", N"&amp;"OT(REGEXMATCH(C3556, ""薪資""))), ""內部轉帳(忽略)"",
  REGEXMATCH(C3556, ""薪資""), ""薪資變動(不計入)"",
  REGEXMATCH(C3556, ""押金""), ""押金往來"",
  AND(E3556&lt;&gt;"""", F3556=""""), ""真實支出"",
  AND(E3556="""", F3556&lt;&gt;""""), ""真實收入"",
  TRUE, ""其他""
)"),"其他")</f>
        <v>其他</v>
      </c>
      <c r="K3556" s="270" t="str">
        <f t="shared" si="2"/>
        <v/>
      </c>
      <c r="L3556">
        <f t="shared" si="3"/>
        <v>0</v>
      </c>
    </row>
    <row r="3557">
      <c r="A3557" s="107"/>
      <c r="D3557" s="270"/>
      <c r="H3557" s="106" t="str">
        <f t="shared" si="1"/>
        <v/>
      </c>
      <c r="I3557" s="271" t="str">
        <f>IFERROR(__xludf.DUMMYFUNCTION("""COMPUTED_VALUE"""),"")</f>
        <v/>
      </c>
      <c r="J3557" t="str">
        <f>IFERROR(__xludf.DUMMYFUNCTION("IFS(
  AND(REGEXMATCH(E3557, ""台銀籌備帳戶|玉山帳戶""), REGEXMATCH(C3557, ""薪資"")), ""分潤支出"",
  AND(REGEXMATCH(E3557, ""Ben帳戶|Elsa帳戶|Ben代墊|Ariel代墊|中信銀行共用""), REGEXMATCH(F3557, ""Ben帳戶|Elsa帳戶|Ben代墊|Ariel代墊|中信銀行共用"")), ""內部轉帳(忽略)"",
  AND(E3557&lt;&gt;"""", F3557&lt;&gt;"""", N"&amp;"OT(REGEXMATCH(C3557, ""薪資""))), ""內部轉帳(忽略)"",
  REGEXMATCH(C3557, ""薪資""), ""薪資變動(不計入)"",
  REGEXMATCH(C3557, ""押金""), ""押金往來"",
  AND(E3557&lt;&gt;"""", F3557=""""), ""真實支出"",
  AND(E3557="""", F3557&lt;&gt;""""), ""真實收入"",
  TRUE, ""其他""
)"),"其他")</f>
        <v>其他</v>
      </c>
      <c r="K3557" s="270" t="str">
        <f t="shared" si="2"/>
        <v/>
      </c>
      <c r="L3557">
        <f t="shared" si="3"/>
        <v>0</v>
      </c>
    </row>
    <row r="3558">
      <c r="A3558" s="107"/>
      <c r="D3558" s="270"/>
      <c r="H3558" s="106" t="str">
        <f t="shared" si="1"/>
        <v/>
      </c>
      <c r="I3558" s="271" t="str">
        <f>IFERROR(__xludf.DUMMYFUNCTION("""COMPUTED_VALUE"""),"")</f>
        <v/>
      </c>
      <c r="J3558" t="str">
        <f>IFERROR(__xludf.DUMMYFUNCTION("IFS(
  AND(REGEXMATCH(E3558, ""台銀籌備帳戶|玉山帳戶""), REGEXMATCH(C3558, ""薪資"")), ""分潤支出"",
  AND(REGEXMATCH(E3558, ""Ben帳戶|Elsa帳戶|Ben代墊|Ariel代墊|中信銀行共用""), REGEXMATCH(F3558, ""Ben帳戶|Elsa帳戶|Ben代墊|Ariel代墊|中信銀行共用"")), ""內部轉帳(忽略)"",
  AND(E3558&lt;&gt;"""", F3558&lt;&gt;"""", N"&amp;"OT(REGEXMATCH(C3558, ""薪資""))), ""內部轉帳(忽略)"",
  REGEXMATCH(C3558, ""薪資""), ""薪資變動(不計入)"",
  REGEXMATCH(C3558, ""押金""), ""押金往來"",
  AND(E3558&lt;&gt;"""", F3558=""""), ""真實支出"",
  AND(E3558="""", F3558&lt;&gt;""""), ""真實收入"",
  TRUE, ""其他""
)"),"其他")</f>
        <v>其他</v>
      </c>
      <c r="K3558" s="270" t="str">
        <f t="shared" si="2"/>
        <v/>
      </c>
      <c r="L3558">
        <f t="shared" si="3"/>
        <v>0</v>
      </c>
    </row>
    <row r="3559">
      <c r="A3559" s="107"/>
      <c r="D3559" s="270"/>
      <c r="H3559" s="106" t="str">
        <f t="shared" si="1"/>
        <v/>
      </c>
      <c r="I3559" s="271" t="str">
        <f>IFERROR(__xludf.DUMMYFUNCTION("""COMPUTED_VALUE"""),"")</f>
        <v/>
      </c>
      <c r="J3559" t="str">
        <f>IFERROR(__xludf.DUMMYFUNCTION("IFS(
  AND(REGEXMATCH(E3559, ""台銀籌備帳戶|玉山帳戶""), REGEXMATCH(C3559, ""薪資"")), ""分潤支出"",
  AND(REGEXMATCH(E3559, ""Ben帳戶|Elsa帳戶|Ben代墊|Ariel代墊|中信銀行共用""), REGEXMATCH(F3559, ""Ben帳戶|Elsa帳戶|Ben代墊|Ariel代墊|中信銀行共用"")), ""內部轉帳(忽略)"",
  AND(E3559&lt;&gt;"""", F3559&lt;&gt;"""", N"&amp;"OT(REGEXMATCH(C3559, ""薪資""))), ""內部轉帳(忽略)"",
  REGEXMATCH(C3559, ""薪資""), ""薪資變動(不計入)"",
  REGEXMATCH(C3559, ""押金""), ""押金往來"",
  AND(E3559&lt;&gt;"""", F3559=""""), ""真實支出"",
  AND(E3559="""", F3559&lt;&gt;""""), ""真實收入"",
  TRUE, ""其他""
)"),"其他")</f>
        <v>其他</v>
      </c>
      <c r="K3559" s="270" t="str">
        <f t="shared" si="2"/>
        <v/>
      </c>
      <c r="L3559">
        <f t="shared" si="3"/>
        <v>0</v>
      </c>
    </row>
    <row r="3560">
      <c r="A3560" s="107"/>
      <c r="D3560" s="270"/>
      <c r="H3560" s="106" t="str">
        <f t="shared" si="1"/>
        <v/>
      </c>
      <c r="I3560" s="271" t="str">
        <f>IFERROR(__xludf.DUMMYFUNCTION("""COMPUTED_VALUE"""),"")</f>
        <v/>
      </c>
      <c r="J3560" t="str">
        <f>IFERROR(__xludf.DUMMYFUNCTION("IFS(
  AND(REGEXMATCH(E3560, ""台銀籌備帳戶|玉山帳戶""), REGEXMATCH(C3560, ""薪資"")), ""分潤支出"",
  AND(REGEXMATCH(E3560, ""Ben帳戶|Elsa帳戶|Ben代墊|Ariel代墊|中信銀行共用""), REGEXMATCH(F3560, ""Ben帳戶|Elsa帳戶|Ben代墊|Ariel代墊|中信銀行共用"")), ""內部轉帳(忽略)"",
  AND(E3560&lt;&gt;"""", F3560&lt;&gt;"""", N"&amp;"OT(REGEXMATCH(C3560, ""薪資""))), ""內部轉帳(忽略)"",
  REGEXMATCH(C3560, ""薪資""), ""薪資變動(不計入)"",
  REGEXMATCH(C3560, ""押金""), ""押金往來"",
  AND(E3560&lt;&gt;"""", F3560=""""), ""真實支出"",
  AND(E3560="""", F3560&lt;&gt;""""), ""真實收入"",
  TRUE, ""其他""
)"),"其他")</f>
        <v>其他</v>
      </c>
      <c r="K3560" s="270" t="str">
        <f t="shared" si="2"/>
        <v/>
      </c>
      <c r="L3560">
        <f t="shared" si="3"/>
        <v>0</v>
      </c>
    </row>
    <row r="3561">
      <c r="A3561" s="107"/>
      <c r="D3561" s="270"/>
      <c r="H3561" s="106" t="str">
        <f t="shared" si="1"/>
        <v/>
      </c>
      <c r="I3561" s="271" t="str">
        <f>IFERROR(__xludf.DUMMYFUNCTION("""COMPUTED_VALUE"""),"")</f>
        <v/>
      </c>
      <c r="J3561" t="str">
        <f>IFERROR(__xludf.DUMMYFUNCTION("IFS(
  AND(REGEXMATCH(E3561, ""台銀籌備帳戶|玉山帳戶""), REGEXMATCH(C3561, ""薪資"")), ""分潤支出"",
  AND(REGEXMATCH(E3561, ""Ben帳戶|Elsa帳戶|Ben代墊|Ariel代墊|中信銀行共用""), REGEXMATCH(F3561, ""Ben帳戶|Elsa帳戶|Ben代墊|Ariel代墊|中信銀行共用"")), ""內部轉帳(忽略)"",
  AND(E3561&lt;&gt;"""", F3561&lt;&gt;"""", N"&amp;"OT(REGEXMATCH(C3561, ""薪資""))), ""內部轉帳(忽略)"",
  REGEXMATCH(C3561, ""薪資""), ""薪資變動(不計入)"",
  REGEXMATCH(C3561, ""押金""), ""押金往來"",
  AND(E3561&lt;&gt;"""", F3561=""""), ""真實支出"",
  AND(E3561="""", F3561&lt;&gt;""""), ""真實收入"",
  TRUE, ""其他""
)"),"其他")</f>
        <v>其他</v>
      </c>
      <c r="K3561" s="270" t="str">
        <f t="shared" si="2"/>
        <v/>
      </c>
      <c r="L3561">
        <f t="shared" si="3"/>
        <v>0</v>
      </c>
    </row>
    <row r="3562">
      <c r="A3562" s="107"/>
      <c r="D3562" s="270"/>
      <c r="H3562" s="106" t="str">
        <f t="shared" si="1"/>
        <v/>
      </c>
      <c r="I3562" s="271" t="str">
        <f>IFERROR(__xludf.DUMMYFUNCTION("""COMPUTED_VALUE"""),"")</f>
        <v/>
      </c>
      <c r="J3562" t="str">
        <f>IFERROR(__xludf.DUMMYFUNCTION("IFS(
  AND(REGEXMATCH(E3562, ""台銀籌備帳戶|玉山帳戶""), REGEXMATCH(C3562, ""薪資"")), ""分潤支出"",
  AND(REGEXMATCH(E3562, ""Ben帳戶|Elsa帳戶|Ben代墊|Ariel代墊|中信銀行共用""), REGEXMATCH(F3562, ""Ben帳戶|Elsa帳戶|Ben代墊|Ariel代墊|中信銀行共用"")), ""內部轉帳(忽略)"",
  AND(E3562&lt;&gt;"""", F3562&lt;&gt;"""", N"&amp;"OT(REGEXMATCH(C3562, ""薪資""))), ""內部轉帳(忽略)"",
  REGEXMATCH(C3562, ""薪資""), ""薪資變動(不計入)"",
  REGEXMATCH(C3562, ""押金""), ""押金往來"",
  AND(E3562&lt;&gt;"""", F3562=""""), ""真實支出"",
  AND(E3562="""", F3562&lt;&gt;""""), ""真實收入"",
  TRUE, ""其他""
)"),"其他")</f>
        <v>其他</v>
      </c>
      <c r="K3562" s="270" t="str">
        <f t="shared" si="2"/>
        <v/>
      </c>
      <c r="L3562">
        <f t="shared" si="3"/>
        <v>0</v>
      </c>
    </row>
    <row r="3563">
      <c r="A3563" s="107"/>
      <c r="D3563" s="270"/>
      <c r="H3563" s="106" t="str">
        <f t="shared" si="1"/>
        <v/>
      </c>
      <c r="I3563" s="271" t="str">
        <f>IFERROR(__xludf.DUMMYFUNCTION("""COMPUTED_VALUE"""),"")</f>
        <v/>
      </c>
      <c r="J3563" t="str">
        <f>IFERROR(__xludf.DUMMYFUNCTION("IFS(
  AND(REGEXMATCH(E3563, ""台銀籌備帳戶|玉山帳戶""), REGEXMATCH(C3563, ""薪資"")), ""分潤支出"",
  AND(REGEXMATCH(E3563, ""Ben帳戶|Elsa帳戶|Ben代墊|Ariel代墊|中信銀行共用""), REGEXMATCH(F3563, ""Ben帳戶|Elsa帳戶|Ben代墊|Ariel代墊|中信銀行共用"")), ""內部轉帳(忽略)"",
  AND(E3563&lt;&gt;"""", F3563&lt;&gt;"""", N"&amp;"OT(REGEXMATCH(C3563, ""薪資""))), ""內部轉帳(忽略)"",
  REGEXMATCH(C3563, ""薪資""), ""薪資變動(不計入)"",
  REGEXMATCH(C3563, ""押金""), ""押金往來"",
  AND(E3563&lt;&gt;"""", F3563=""""), ""真實支出"",
  AND(E3563="""", F3563&lt;&gt;""""), ""真實收入"",
  TRUE, ""其他""
)"),"其他")</f>
        <v>其他</v>
      </c>
      <c r="K3563" s="270" t="str">
        <f t="shared" si="2"/>
        <v/>
      </c>
      <c r="L3563">
        <f t="shared" si="3"/>
        <v>0</v>
      </c>
    </row>
    <row r="3564">
      <c r="A3564" s="107"/>
      <c r="D3564" s="270"/>
      <c r="H3564" s="106" t="str">
        <f t="shared" si="1"/>
        <v/>
      </c>
      <c r="I3564" s="271" t="str">
        <f>IFERROR(__xludf.DUMMYFUNCTION("""COMPUTED_VALUE"""),"")</f>
        <v/>
      </c>
      <c r="J3564" t="str">
        <f>IFERROR(__xludf.DUMMYFUNCTION("IFS(
  AND(REGEXMATCH(E3564, ""台銀籌備帳戶|玉山帳戶""), REGEXMATCH(C3564, ""薪資"")), ""分潤支出"",
  AND(REGEXMATCH(E3564, ""Ben帳戶|Elsa帳戶|Ben代墊|Ariel代墊|中信銀行共用""), REGEXMATCH(F3564, ""Ben帳戶|Elsa帳戶|Ben代墊|Ariel代墊|中信銀行共用"")), ""內部轉帳(忽略)"",
  AND(E3564&lt;&gt;"""", F3564&lt;&gt;"""", N"&amp;"OT(REGEXMATCH(C3564, ""薪資""))), ""內部轉帳(忽略)"",
  REGEXMATCH(C3564, ""薪資""), ""薪資變動(不計入)"",
  REGEXMATCH(C3564, ""押金""), ""押金往來"",
  AND(E3564&lt;&gt;"""", F3564=""""), ""真實支出"",
  AND(E3564="""", F3564&lt;&gt;""""), ""真實收入"",
  TRUE, ""其他""
)"),"其他")</f>
        <v>其他</v>
      </c>
      <c r="K3564" s="270" t="str">
        <f t="shared" si="2"/>
        <v/>
      </c>
      <c r="L3564">
        <f t="shared" si="3"/>
        <v>0</v>
      </c>
    </row>
    <row r="3565">
      <c r="A3565" s="107"/>
      <c r="D3565" s="270"/>
      <c r="H3565" s="106" t="str">
        <f t="shared" si="1"/>
        <v/>
      </c>
      <c r="I3565" s="271" t="str">
        <f>IFERROR(__xludf.DUMMYFUNCTION("""COMPUTED_VALUE"""),"")</f>
        <v/>
      </c>
      <c r="J3565" t="str">
        <f>IFERROR(__xludf.DUMMYFUNCTION("IFS(
  AND(REGEXMATCH(E3565, ""台銀籌備帳戶|玉山帳戶""), REGEXMATCH(C3565, ""薪資"")), ""分潤支出"",
  AND(REGEXMATCH(E3565, ""Ben帳戶|Elsa帳戶|Ben代墊|Ariel代墊|中信銀行共用""), REGEXMATCH(F3565, ""Ben帳戶|Elsa帳戶|Ben代墊|Ariel代墊|中信銀行共用"")), ""內部轉帳(忽略)"",
  AND(E3565&lt;&gt;"""", F3565&lt;&gt;"""", N"&amp;"OT(REGEXMATCH(C3565, ""薪資""))), ""內部轉帳(忽略)"",
  REGEXMATCH(C3565, ""薪資""), ""薪資變動(不計入)"",
  REGEXMATCH(C3565, ""押金""), ""押金往來"",
  AND(E3565&lt;&gt;"""", F3565=""""), ""真實支出"",
  AND(E3565="""", F3565&lt;&gt;""""), ""真實收入"",
  TRUE, ""其他""
)"),"其他")</f>
        <v>其他</v>
      </c>
      <c r="K3565" s="270" t="str">
        <f t="shared" si="2"/>
        <v/>
      </c>
      <c r="L3565">
        <f t="shared" si="3"/>
        <v>0</v>
      </c>
    </row>
    <row r="3566">
      <c r="A3566" s="107"/>
      <c r="D3566" s="270"/>
      <c r="H3566" s="106" t="str">
        <f t="shared" si="1"/>
        <v/>
      </c>
      <c r="I3566" s="271" t="str">
        <f>IFERROR(__xludf.DUMMYFUNCTION("""COMPUTED_VALUE"""),"")</f>
        <v/>
      </c>
      <c r="J3566" t="str">
        <f>IFERROR(__xludf.DUMMYFUNCTION("IFS(
  AND(REGEXMATCH(E3566, ""台銀籌備帳戶|玉山帳戶""), REGEXMATCH(C3566, ""薪資"")), ""分潤支出"",
  AND(REGEXMATCH(E3566, ""Ben帳戶|Elsa帳戶|Ben代墊|Ariel代墊|中信銀行共用""), REGEXMATCH(F3566, ""Ben帳戶|Elsa帳戶|Ben代墊|Ariel代墊|中信銀行共用"")), ""內部轉帳(忽略)"",
  AND(E3566&lt;&gt;"""", F3566&lt;&gt;"""", N"&amp;"OT(REGEXMATCH(C3566, ""薪資""))), ""內部轉帳(忽略)"",
  REGEXMATCH(C3566, ""薪資""), ""薪資變動(不計入)"",
  REGEXMATCH(C3566, ""押金""), ""押金往來"",
  AND(E3566&lt;&gt;"""", F3566=""""), ""真實支出"",
  AND(E3566="""", F3566&lt;&gt;""""), ""真實收入"",
  TRUE, ""其他""
)"),"其他")</f>
        <v>其他</v>
      </c>
      <c r="K3566" s="270" t="str">
        <f t="shared" si="2"/>
        <v/>
      </c>
      <c r="L3566">
        <f t="shared" si="3"/>
        <v>0</v>
      </c>
    </row>
    <row r="3567">
      <c r="A3567" s="107"/>
      <c r="D3567" s="270"/>
      <c r="H3567" s="106" t="str">
        <f t="shared" si="1"/>
        <v/>
      </c>
      <c r="I3567" s="271" t="str">
        <f>IFERROR(__xludf.DUMMYFUNCTION("""COMPUTED_VALUE"""),"")</f>
        <v/>
      </c>
      <c r="J3567" t="str">
        <f>IFERROR(__xludf.DUMMYFUNCTION("IFS(
  AND(REGEXMATCH(E3567, ""台銀籌備帳戶|玉山帳戶""), REGEXMATCH(C3567, ""薪資"")), ""分潤支出"",
  AND(REGEXMATCH(E3567, ""Ben帳戶|Elsa帳戶|Ben代墊|Ariel代墊|中信銀行共用""), REGEXMATCH(F3567, ""Ben帳戶|Elsa帳戶|Ben代墊|Ariel代墊|中信銀行共用"")), ""內部轉帳(忽略)"",
  AND(E3567&lt;&gt;"""", F3567&lt;&gt;"""", N"&amp;"OT(REGEXMATCH(C3567, ""薪資""))), ""內部轉帳(忽略)"",
  REGEXMATCH(C3567, ""薪資""), ""薪資變動(不計入)"",
  REGEXMATCH(C3567, ""押金""), ""押金往來"",
  AND(E3567&lt;&gt;"""", F3567=""""), ""真實支出"",
  AND(E3567="""", F3567&lt;&gt;""""), ""真實收入"",
  TRUE, ""其他""
)"),"其他")</f>
        <v>其他</v>
      </c>
      <c r="K3567" s="270" t="str">
        <f t="shared" si="2"/>
        <v/>
      </c>
      <c r="L3567">
        <f t="shared" si="3"/>
        <v>0</v>
      </c>
    </row>
    <row r="3568">
      <c r="A3568" s="107"/>
      <c r="D3568" s="270"/>
      <c r="H3568" s="106" t="str">
        <f t="shared" si="1"/>
        <v/>
      </c>
      <c r="I3568" s="271" t="str">
        <f>IFERROR(__xludf.DUMMYFUNCTION("""COMPUTED_VALUE"""),"")</f>
        <v/>
      </c>
      <c r="J3568" t="str">
        <f>IFERROR(__xludf.DUMMYFUNCTION("IFS(
  AND(REGEXMATCH(E3568, ""台銀籌備帳戶|玉山帳戶""), REGEXMATCH(C3568, ""薪資"")), ""分潤支出"",
  AND(REGEXMATCH(E3568, ""Ben帳戶|Elsa帳戶|Ben代墊|Ariel代墊|中信銀行共用""), REGEXMATCH(F3568, ""Ben帳戶|Elsa帳戶|Ben代墊|Ariel代墊|中信銀行共用"")), ""內部轉帳(忽略)"",
  AND(E3568&lt;&gt;"""", F3568&lt;&gt;"""", N"&amp;"OT(REGEXMATCH(C3568, ""薪資""))), ""內部轉帳(忽略)"",
  REGEXMATCH(C3568, ""薪資""), ""薪資變動(不計入)"",
  REGEXMATCH(C3568, ""押金""), ""押金往來"",
  AND(E3568&lt;&gt;"""", F3568=""""), ""真實支出"",
  AND(E3568="""", F3568&lt;&gt;""""), ""真實收入"",
  TRUE, ""其他""
)"),"其他")</f>
        <v>其他</v>
      </c>
      <c r="K3568" s="270" t="str">
        <f t="shared" si="2"/>
        <v/>
      </c>
      <c r="L3568">
        <f t="shared" si="3"/>
        <v>0</v>
      </c>
    </row>
    <row r="3569">
      <c r="A3569" s="107"/>
      <c r="D3569" s="270"/>
      <c r="H3569" s="106" t="str">
        <f t="shared" si="1"/>
        <v/>
      </c>
      <c r="I3569" s="271" t="str">
        <f>IFERROR(__xludf.DUMMYFUNCTION("""COMPUTED_VALUE"""),"")</f>
        <v/>
      </c>
      <c r="J3569" t="str">
        <f>IFERROR(__xludf.DUMMYFUNCTION("IFS(
  AND(REGEXMATCH(E3569, ""台銀籌備帳戶|玉山帳戶""), REGEXMATCH(C3569, ""薪資"")), ""分潤支出"",
  AND(REGEXMATCH(E3569, ""Ben帳戶|Elsa帳戶|Ben代墊|Ariel代墊|中信銀行共用""), REGEXMATCH(F3569, ""Ben帳戶|Elsa帳戶|Ben代墊|Ariel代墊|中信銀行共用"")), ""內部轉帳(忽略)"",
  AND(E3569&lt;&gt;"""", F3569&lt;&gt;"""", N"&amp;"OT(REGEXMATCH(C3569, ""薪資""))), ""內部轉帳(忽略)"",
  REGEXMATCH(C3569, ""薪資""), ""薪資變動(不計入)"",
  REGEXMATCH(C3569, ""押金""), ""押金往來"",
  AND(E3569&lt;&gt;"""", F3569=""""), ""真實支出"",
  AND(E3569="""", F3569&lt;&gt;""""), ""真實收入"",
  TRUE, ""其他""
)"),"其他")</f>
        <v>其他</v>
      </c>
      <c r="K3569" s="270" t="str">
        <f t="shared" si="2"/>
        <v/>
      </c>
      <c r="L3569">
        <f t="shared" si="3"/>
        <v>0</v>
      </c>
    </row>
    <row r="3570">
      <c r="A3570" s="107"/>
      <c r="D3570" s="270"/>
      <c r="H3570" s="106" t="str">
        <f t="shared" si="1"/>
        <v/>
      </c>
      <c r="I3570" s="271" t="str">
        <f>IFERROR(__xludf.DUMMYFUNCTION("""COMPUTED_VALUE"""),"")</f>
        <v/>
      </c>
      <c r="J3570" t="str">
        <f>IFERROR(__xludf.DUMMYFUNCTION("IFS(
  AND(REGEXMATCH(E3570, ""台銀籌備帳戶|玉山帳戶""), REGEXMATCH(C3570, ""薪資"")), ""分潤支出"",
  AND(REGEXMATCH(E3570, ""Ben帳戶|Elsa帳戶|Ben代墊|Ariel代墊|中信銀行共用""), REGEXMATCH(F3570, ""Ben帳戶|Elsa帳戶|Ben代墊|Ariel代墊|中信銀行共用"")), ""內部轉帳(忽略)"",
  AND(E3570&lt;&gt;"""", F3570&lt;&gt;"""", N"&amp;"OT(REGEXMATCH(C3570, ""薪資""))), ""內部轉帳(忽略)"",
  REGEXMATCH(C3570, ""薪資""), ""薪資變動(不計入)"",
  REGEXMATCH(C3570, ""押金""), ""押金往來"",
  AND(E3570&lt;&gt;"""", F3570=""""), ""真實支出"",
  AND(E3570="""", F3570&lt;&gt;""""), ""真實收入"",
  TRUE, ""其他""
)"),"其他")</f>
        <v>其他</v>
      </c>
      <c r="K3570" s="270" t="str">
        <f t="shared" si="2"/>
        <v/>
      </c>
      <c r="L3570">
        <f t="shared" si="3"/>
        <v>0</v>
      </c>
    </row>
    <row r="3571">
      <c r="A3571" s="107"/>
      <c r="D3571" s="270"/>
      <c r="H3571" s="106" t="str">
        <f t="shared" si="1"/>
        <v/>
      </c>
      <c r="I3571" s="271" t="str">
        <f>IFERROR(__xludf.DUMMYFUNCTION("""COMPUTED_VALUE"""),"")</f>
        <v/>
      </c>
      <c r="J3571" t="str">
        <f>IFERROR(__xludf.DUMMYFUNCTION("IFS(
  AND(REGEXMATCH(E3571, ""台銀籌備帳戶|玉山帳戶""), REGEXMATCH(C3571, ""薪資"")), ""分潤支出"",
  AND(REGEXMATCH(E3571, ""Ben帳戶|Elsa帳戶|Ben代墊|Ariel代墊|中信銀行共用""), REGEXMATCH(F3571, ""Ben帳戶|Elsa帳戶|Ben代墊|Ariel代墊|中信銀行共用"")), ""內部轉帳(忽略)"",
  AND(E3571&lt;&gt;"""", F3571&lt;&gt;"""", N"&amp;"OT(REGEXMATCH(C3571, ""薪資""))), ""內部轉帳(忽略)"",
  REGEXMATCH(C3571, ""薪資""), ""薪資變動(不計入)"",
  REGEXMATCH(C3571, ""押金""), ""押金往來"",
  AND(E3571&lt;&gt;"""", F3571=""""), ""真實支出"",
  AND(E3571="""", F3571&lt;&gt;""""), ""真實收入"",
  TRUE, ""其他""
)"),"其他")</f>
        <v>其他</v>
      </c>
      <c r="K3571" s="270" t="str">
        <f t="shared" si="2"/>
        <v/>
      </c>
      <c r="L3571">
        <f t="shared" si="3"/>
        <v>0</v>
      </c>
    </row>
    <row r="3572">
      <c r="A3572" s="107"/>
      <c r="D3572" s="270"/>
      <c r="H3572" s="106" t="str">
        <f t="shared" si="1"/>
        <v/>
      </c>
      <c r="I3572" s="271" t="str">
        <f>IFERROR(__xludf.DUMMYFUNCTION("""COMPUTED_VALUE"""),"")</f>
        <v/>
      </c>
      <c r="J3572" t="str">
        <f>IFERROR(__xludf.DUMMYFUNCTION("IFS(
  AND(REGEXMATCH(E3572, ""台銀籌備帳戶|玉山帳戶""), REGEXMATCH(C3572, ""薪資"")), ""分潤支出"",
  AND(REGEXMATCH(E3572, ""Ben帳戶|Elsa帳戶|Ben代墊|Ariel代墊|中信銀行共用""), REGEXMATCH(F3572, ""Ben帳戶|Elsa帳戶|Ben代墊|Ariel代墊|中信銀行共用"")), ""內部轉帳(忽略)"",
  AND(E3572&lt;&gt;"""", F3572&lt;&gt;"""", N"&amp;"OT(REGEXMATCH(C3572, ""薪資""))), ""內部轉帳(忽略)"",
  REGEXMATCH(C3572, ""薪資""), ""薪資變動(不計入)"",
  REGEXMATCH(C3572, ""押金""), ""押金往來"",
  AND(E3572&lt;&gt;"""", F3572=""""), ""真實支出"",
  AND(E3572="""", F3572&lt;&gt;""""), ""真實收入"",
  TRUE, ""其他""
)"),"其他")</f>
        <v>其他</v>
      </c>
      <c r="K3572" s="270" t="str">
        <f t="shared" si="2"/>
        <v/>
      </c>
      <c r="L3572">
        <f t="shared" si="3"/>
        <v>0</v>
      </c>
    </row>
    <row r="3573">
      <c r="A3573" s="107"/>
      <c r="D3573" s="270"/>
      <c r="H3573" s="106" t="str">
        <f t="shared" si="1"/>
        <v/>
      </c>
      <c r="I3573" s="271" t="str">
        <f>IFERROR(__xludf.DUMMYFUNCTION("""COMPUTED_VALUE"""),"")</f>
        <v/>
      </c>
      <c r="J3573" t="str">
        <f>IFERROR(__xludf.DUMMYFUNCTION("IFS(
  AND(REGEXMATCH(E3573, ""台銀籌備帳戶|玉山帳戶""), REGEXMATCH(C3573, ""薪資"")), ""分潤支出"",
  AND(REGEXMATCH(E3573, ""Ben帳戶|Elsa帳戶|Ben代墊|Ariel代墊|中信銀行共用""), REGEXMATCH(F3573, ""Ben帳戶|Elsa帳戶|Ben代墊|Ariel代墊|中信銀行共用"")), ""內部轉帳(忽略)"",
  AND(E3573&lt;&gt;"""", F3573&lt;&gt;"""", N"&amp;"OT(REGEXMATCH(C3573, ""薪資""))), ""內部轉帳(忽略)"",
  REGEXMATCH(C3573, ""薪資""), ""薪資變動(不計入)"",
  REGEXMATCH(C3573, ""押金""), ""押金往來"",
  AND(E3573&lt;&gt;"""", F3573=""""), ""真實支出"",
  AND(E3573="""", F3573&lt;&gt;""""), ""真實收入"",
  TRUE, ""其他""
)"),"其他")</f>
        <v>其他</v>
      </c>
      <c r="K3573" s="270" t="str">
        <f t="shared" si="2"/>
        <v/>
      </c>
      <c r="L3573">
        <f t="shared" si="3"/>
        <v>0</v>
      </c>
    </row>
    <row r="3574">
      <c r="A3574" s="107"/>
      <c r="D3574" s="270"/>
      <c r="H3574" s="106" t="str">
        <f t="shared" si="1"/>
        <v/>
      </c>
      <c r="I3574" s="271" t="str">
        <f>IFERROR(__xludf.DUMMYFUNCTION("""COMPUTED_VALUE"""),"")</f>
        <v/>
      </c>
      <c r="J3574" t="str">
        <f>IFERROR(__xludf.DUMMYFUNCTION("IFS(
  AND(REGEXMATCH(E3574, ""台銀籌備帳戶|玉山帳戶""), REGEXMATCH(C3574, ""薪資"")), ""分潤支出"",
  AND(REGEXMATCH(E3574, ""Ben帳戶|Elsa帳戶|Ben代墊|Ariel代墊|中信銀行共用""), REGEXMATCH(F3574, ""Ben帳戶|Elsa帳戶|Ben代墊|Ariel代墊|中信銀行共用"")), ""內部轉帳(忽略)"",
  AND(E3574&lt;&gt;"""", F3574&lt;&gt;"""", N"&amp;"OT(REGEXMATCH(C3574, ""薪資""))), ""內部轉帳(忽略)"",
  REGEXMATCH(C3574, ""薪資""), ""薪資變動(不計入)"",
  REGEXMATCH(C3574, ""押金""), ""押金往來"",
  AND(E3574&lt;&gt;"""", F3574=""""), ""真實支出"",
  AND(E3574="""", F3574&lt;&gt;""""), ""真實收入"",
  TRUE, ""其他""
)"),"其他")</f>
        <v>其他</v>
      </c>
      <c r="K3574" s="270" t="str">
        <f t="shared" si="2"/>
        <v/>
      </c>
      <c r="L3574">
        <f t="shared" si="3"/>
        <v>0</v>
      </c>
    </row>
    <row r="3575">
      <c r="A3575" s="107"/>
      <c r="D3575" s="270"/>
      <c r="H3575" s="106" t="str">
        <f t="shared" si="1"/>
        <v/>
      </c>
      <c r="I3575" s="271" t="str">
        <f>IFERROR(__xludf.DUMMYFUNCTION("""COMPUTED_VALUE"""),"")</f>
        <v/>
      </c>
      <c r="J3575" t="str">
        <f>IFERROR(__xludf.DUMMYFUNCTION("IFS(
  AND(REGEXMATCH(E3575, ""台銀籌備帳戶|玉山帳戶""), REGEXMATCH(C3575, ""薪資"")), ""分潤支出"",
  AND(REGEXMATCH(E3575, ""Ben帳戶|Elsa帳戶|Ben代墊|Ariel代墊|中信銀行共用""), REGEXMATCH(F3575, ""Ben帳戶|Elsa帳戶|Ben代墊|Ariel代墊|中信銀行共用"")), ""內部轉帳(忽略)"",
  AND(E3575&lt;&gt;"""", F3575&lt;&gt;"""", N"&amp;"OT(REGEXMATCH(C3575, ""薪資""))), ""內部轉帳(忽略)"",
  REGEXMATCH(C3575, ""薪資""), ""薪資變動(不計入)"",
  REGEXMATCH(C3575, ""押金""), ""押金往來"",
  AND(E3575&lt;&gt;"""", F3575=""""), ""真實支出"",
  AND(E3575="""", F3575&lt;&gt;""""), ""真實收入"",
  TRUE, ""其他""
)"),"其他")</f>
        <v>其他</v>
      </c>
      <c r="K3575" s="270" t="str">
        <f t="shared" si="2"/>
        <v/>
      </c>
      <c r="L3575">
        <f t="shared" si="3"/>
        <v>0</v>
      </c>
    </row>
    <row r="3576">
      <c r="A3576" s="107"/>
      <c r="D3576" s="270"/>
      <c r="H3576" s="106" t="str">
        <f t="shared" si="1"/>
        <v/>
      </c>
      <c r="I3576" s="271" t="str">
        <f>IFERROR(__xludf.DUMMYFUNCTION("""COMPUTED_VALUE"""),"")</f>
        <v/>
      </c>
      <c r="J3576" t="str">
        <f>IFERROR(__xludf.DUMMYFUNCTION("IFS(
  AND(REGEXMATCH(E3576, ""台銀籌備帳戶|玉山帳戶""), REGEXMATCH(C3576, ""薪資"")), ""分潤支出"",
  AND(REGEXMATCH(E3576, ""Ben帳戶|Elsa帳戶|Ben代墊|Ariel代墊|中信銀行共用""), REGEXMATCH(F3576, ""Ben帳戶|Elsa帳戶|Ben代墊|Ariel代墊|中信銀行共用"")), ""內部轉帳(忽略)"",
  AND(E3576&lt;&gt;"""", F3576&lt;&gt;"""", N"&amp;"OT(REGEXMATCH(C3576, ""薪資""))), ""內部轉帳(忽略)"",
  REGEXMATCH(C3576, ""薪資""), ""薪資變動(不計入)"",
  REGEXMATCH(C3576, ""押金""), ""押金往來"",
  AND(E3576&lt;&gt;"""", F3576=""""), ""真實支出"",
  AND(E3576="""", F3576&lt;&gt;""""), ""真實收入"",
  TRUE, ""其他""
)"),"其他")</f>
        <v>其他</v>
      </c>
      <c r="K3576" s="270" t="str">
        <f t="shared" si="2"/>
        <v/>
      </c>
      <c r="L3576">
        <f t="shared" si="3"/>
        <v>0</v>
      </c>
    </row>
    <row r="3577">
      <c r="A3577" s="107"/>
      <c r="D3577" s="270"/>
      <c r="H3577" s="106" t="str">
        <f t="shared" si="1"/>
        <v/>
      </c>
      <c r="I3577" s="271" t="str">
        <f>IFERROR(__xludf.DUMMYFUNCTION("""COMPUTED_VALUE"""),"")</f>
        <v/>
      </c>
      <c r="J3577" t="str">
        <f>IFERROR(__xludf.DUMMYFUNCTION("IFS(
  AND(REGEXMATCH(E3577, ""台銀籌備帳戶|玉山帳戶""), REGEXMATCH(C3577, ""薪資"")), ""分潤支出"",
  AND(REGEXMATCH(E3577, ""Ben帳戶|Elsa帳戶|Ben代墊|Ariel代墊|中信銀行共用""), REGEXMATCH(F3577, ""Ben帳戶|Elsa帳戶|Ben代墊|Ariel代墊|中信銀行共用"")), ""內部轉帳(忽略)"",
  AND(E3577&lt;&gt;"""", F3577&lt;&gt;"""", N"&amp;"OT(REGEXMATCH(C3577, ""薪資""))), ""內部轉帳(忽略)"",
  REGEXMATCH(C3577, ""薪資""), ""薪資變動(不計入)"",
  REGEXMATCH(C3577, ""押金""), ""押金往來"",
  AND(E3577&lt;&gt;"""", F3577=""""), ""真實支出"",
  AND(E3577="""", F3577&lt;&gt;""""), ""真實收入"",
  TRUE, ""其他""
)"),"其他")</f>
        <v>其他</v>
      </c>
      <c r="K3577" s="270" t="str">
        <f t="shared" si="2"/>
        <v/>
      </c>
      <c r="L3577">
        <f t="shared" si="3"/>
        <v>0</v>
      </c>
    </row>
    <row r="3578">
      <c r="A3578" s="107"/>
      <c r="D3578" s="270"/>
      <c r="H3578" s="106" t="str">
        <f t="shared" si="1"/>
        <v/>
      </c>
      <c r="I3578" s="271" t="str">
        <f>IFERROR(__xludf.DUMMYFUNCTION("""COMPUTED_VALUE"""),"")</f>
        <v/>
      </c>
      <c r="J3578" t="str">
        <f>IFERROR(__xludf.DUMMYFUNCTION("IFS(
  AND(REGEXMATCH(E3578, ""台銀籌備帳戶|玉山帳戶""), REGEXMATCH(C3578, ""薪資"")), ""分潤支出"",
  AND(REGEXMATCH(E3578, ""Ben帳戶|Elsa帳戶|Ben代墊|Ariel代墊|中信銀行共用""), REGEXMATCH(F3578, ""Ben帳戶|Elsa帳戶|Ben代墊|Ariel代墊|中信銀行共用"")), ""內部轉帳(忽略)"",
  AND(E3578&lt;&gt;"""", F3578&lt;&gt;"""", N"&amp;"OT(REGEXMATCH(C3578, ""薪資""))), ""內部轉帳(忽略)"",
  REGEXMATCH(C3578, ""薪資""), ""薪資變動(不計入)"",
  REGEXMATCH(C3578, ""押金""), ""押金往來"",
  AND(E3578&lt;&gt;"""", F3578=""""), ""真實支出"",
  AND(E3578="""", F3578&lt;&gt;""""), ""真實收入"",
  TRUE, ""其他""
)"),"其他")</f>
        <v>其他</v>
      </c>
      <c r="K3578" s="270" t="str">
        <f t="shared" si="2"/>
        <v/>
      </c>
      <c r="L3578">
        <f t="shared" si="3"/>
        <v>0</v>
      </c>
    </row>
    <row r="3579">
      <c r="A3579" s="107"/>
      <c r="D3579" s="270"/>
      <c r="H3579" s="106" t="str">
        <f t="shared" si="1"/>
        <v/>
      </c>
      <c r="I3579" s="271" t="str">
        <f>IFERROR(__xludf.DUMMYFUNCTION("""COMPUTED_VALUE"""),"")</f>
        <v/>
      </c>
      <c r="J3579" t="str">
        <f>IFERROR(__xludf.DUMMYFUNCTION("IFS(
  AND(REGEXMATCH(E3579, ""台銀籌備帳戶|玉山帳戶""), REGEXMATCH(C3579, ""薪資"")), ""分潤支出"",
  AND(REGEXMATCH(E3579, ""Ben帳戶|Elsa帳戶|Ben代墊|Ariel代墊|中信銀行共用""), REGEXMATCH(F3579, ""Ben帳戶|Elsa帳戶|Ben代墊|Ariel代墊|中信銀行共用"")), ""內部轉帳(忽略)"",
  AND(E3579&lt;&gt;"""", F3579&lt;&gt;"""", N"&amp;"OT(REGEXMATCH(C3579, ""薪資""))), ""內部轉帳(忽略)"",
  REGEXMATCH(C3579, ""薪資""), ""薪資變動(不計入)"",
  REGEXMATCH(C3579, ""押金""), ""押金往來"",
  AND(E3579&lt;&gt;"""", F3579=""""), ""真實支出"",
  AND(E3579="""", F3579&lt;&gt;""""), ""真實收入"",
  TRUE, ""其他""
)"),"其他")</f>
        <v>其他</v>
      </c>
      <c r="K3579" s="270" t="str">
        <f t="shared" si="2"/>
        <v/>
      </c>
      <c r="L3579">
        <f t="shared" si="3"/>
        <v>0</v>
      </c>
    </row>
    <row r="3580">
      <c r="A3580" s="107"/>
      <c r="D3580" s="270"/>
      <c r="H3580" s="106" t="str">
        <f t="shared" si="1"/>
        <v/>
      </c>
      <c r="I3580" s="271" t="str">
        <f>IFERROR(__xludf.DUMMYFUNCTION("""COMPUTED_VALUE"""),"")</f>
        <v/>
      </c>
      <c r="J3580" t="str">
        <f>IFERROR(__xludf.DUMMYFUNCTION("IFS(
  AND(REGEXMATCH(E3580, ""台銀籌備帳戶|玉山帳戶""), REGEXMATCH(C3580, ""薪資"")), ""分潤支出"",
  AND(REGEXMATCH(E3580, ""Ben帳戶|Elsa帳戶|Ben代墊|Ariel代墊|中信銀行共用""), REGEXMATCH(F3580, ""Ben帳戶|Elsa帳戶|Ben代墊|Ariel代墊|中信銀行共用"")), ""內部轉帳(忽略)"",
  AND(E3580&lt;&gt;"""", F3580&lt;&gt;"""", N"&amp;"OT(REGEXMATCH(C3580, ""薪資""))), ""內部轉帳(忽略)"",
  REGEXMATCH(C3580, ""薪資""), ""薪資變動(不計入)"",
  REGEXMATCH(C3580, ""押金""), ""押金往來"",
  AND(E3580&lt;&gt;"""", F3580=""""), ""真實支出"",
  AND(E3580="""", F3580&lt;&gt;""""), ""真實收入"",
  TRUE, ""其他""
)"),"其他")</f>
        <v>其他</v>
      </c>
      <c r="K3580" s="270" t="str">
        <f t="shared" si="2"/>
        <v/>
      </c>
      <c r="L3580">
        <f t="shared" si="3"/>
        <v>0</v>
      </c>
    </row>
    <row r="3581">
      <c r="A3581" s="107"/>
      <c r="D3581" s="270"/>
      <c r="H3581" s="106" t="str">
        <f t="shared" si="1"/>
        <v/>
      </c>
      <c r="I3581" s="271" t="str">
        <f>IFERROR(__xludf.DUMMYFUNCTION("""COMPUTED_VALUE"""),"")</f>
        <v/>
      </c>
      <c r="J3581" t="str">
        <f>IFERROR(__xludf.DUMMYFUNCTION("IFS(
  AND(REGEXMATCH(E3581, ""台銀籌備帳戶|玉山帳戶""), REGEXMATCH(C3581, ""薪資"")), ""分潤支出"",
  AND(REGEXMATCH(E3581, ""Ben帳戶|Elsa帳戶|Ben代墊|Ariel代墊|中信銀行共用""), REGEXMATCH(F3581, ""Ben帳戶|Elsa帳戶|Ben代墊|Ariel代墊|中信銀行共用"")), ""內部轉帳(忽略)"",
  AND(E3581&lt;&gt;"""", F3581&lt;&gt;"""", N"&amp;"OT(REGEXMATCH(C3581, ""薪資""))), ""內部轉帳(忽略)"",
  REGEXMATCH(C3581, ""薪資""), ""薪資變動(不計入)"",
  REGEXMATCH(C3581, ""押金""), ""押金往來"",
  AND(E3581&lt;&gt;"""", F3581=""""), ""真實支出"",
  AND(E3581="""", F3581&lt;&gt;""""), ""真實收入"",
  TRUE, ""其他""
)"),"其他")</f>
        <v>其他</v>
      </c>
      <c r="K3581" s="270" t="str">
        <f t="shared" si="2"/>
        <v/>
      </c>
      <c r="L3581">
        <f t="shared" si="3"/>
        <v>0</v>
      </c>
    </row>
    <row r="3582">
      <c r="A3582" s="107"/>
      <c r="D3582" s="270"/>
      <c r="H3582" s="106" t="str">
        <f t="shared" si="1"/>
        <v/>
      </c>
      <c r="I3582" s="271" t="str">
        <f>IFERROR(__xludf.DUMMYFUNCTION("""COMPUTED_VALUE"""),"")</f>
        <v/>
      </c>
      <c r="J3582" t="str">
        <f>IFERROR(__xludf.DUMMYFUNCTION("IFS(
  AND(REGEXMATCH(E3582, ""台銀籌備帳戶|玉山帳戶""), REGEXMATCH(C3582, ""薪資"")), ""分潤支出"",
  AND(REGEXMATCH(E3582, ""Ben帳戶|Elsa帳戶|Ben代墊|Ariel代墊|中信銀行共用""), REGEXMATCH(F3582, ""Ben帳戶|Elsa帳戶|Ben代墊|Ariel代墊|中信銀行共用"")), ""內部轉帳(忽略)"",
  AND(E3582&lt;&gt;"""", F3582&lt;&gt;"""", N"&amp;"OT(REGEXMATCH(C3582, ""薪資""))), ""內部轉帳(忽略)"",
  REGEXMATCH(C3582, ""薪資""), ""薪資變動(不計入)"",
  REGEXMATCH(C3582, ""押金""), ""押金往來"",
  AND(E3582&lt;&gt;"""", F3582=""""), ""真實支出"",
  AND(E3582="""", F3582&lt;&gt;""""), ""真實收入"",
  TRUE, ""其他""
)"),"其他")</f>
        <v>其他</v>
      </c>
      <c r="K3582" s="270" t="str">
        <f t="shared" si="2"/>
        <v/>
      </c>
      <c r="L3582">
        <f t="shared" si="3"/>
        <v>0</v>
      </c>
    </row>
    <row r="3583">
      <c r="A3583" s="107"/>
      <c r="D3583" s="270"/>
      <c r="H3583" s="106" t="str">
        <f t="shared" si="1"/>
        <v/>
      </c>
      <c r="I3583" s="271" t="str">
        <f>IFERROR(__xludf.DUMMYFUNCTION("""COMPUTED_VALUE"""),"")</f>
        <v/>
      </c>
      <c r="J3583" t="str">
        <f>IFERROR(__xludf.DUMMYFUNCTION("IFS(
  AND(REGEXMATCH(E3583, ""台銀籌備帳戶|玉山帳戶""), REGEXMATCH(C3583, ""薪資"")), ""分潤支出"",
  AND(REGEXMATCH(E3583, ""Ben帳戶|Elsa帳戶|Ben代墊|Ariel代墊|中信銀行共用""), REGEXMATCH(F3583, ""Ben帳戶|Elsa帳戶|Ben代墊|Ariel代墊|中信銀行共用"")), ""內部轉帳(忽略)"",
  AND(E3583&lt;&gt;"""", F3583&lt;&gt;"""", N"&amp;"OT(REGEXMATCH(C3583, ""薪資""))), ""內部轉帳(忽略)"",
  REGEXMATCH(C3583, ""薪資""), ""薪資變動(不計入)"",
  REGEXMATCH(C3583, ""押金""), ""押金往來"",
  AND(E3583&lt;&gt;"""", F3583=""""), ""真實支出"",
  AND(E3583="""", F3583&lt;&gt;""""), ""真實收入"",
  TRUE, ""其他""
)"),"其他")</f>
        <v>其他</v>
      </c>
      <c r="K3583" s="270" t="str">
        <f t="shared" si="2"/>
        <v/>
      </c>
      <c r="L3583">
        <f t="shared" si="3"/>
        <v>0</v>
      </c>
    </row>
    <row r="3584">
      <c r="A3584" s="107"/>
      <c r="D3584" s="270"/>
      <c r="H3584" s="106" t="str">
        <f t="shared" si="1"/>
        <v/>
      </c>
      <c r="I3584" s="271" t="str">
        <f>IFERROR(__xludf.DUMMYFUNCTION("""COMPUTED_VALUE"""),"")</f>
        <v/>
      </c>
      <c r="J3584" t="str">
        <f>IFERROR(__xludf.DUMMYFUNCTION("IFS(
  AND(REGEXMATCH(E3584, ""台銀籌備帳戶|玉山帳戶""), REGEXMATCH(C3584, ""薪資"")), ""分潤支出"",
  AND(REGEXMATCH(E3584, ""Ben帳戶|Elsa帳戶|Ben代墊|Ariel代墊|中信銀行共用""), REGEXMATCH(F3584, ""Ben帳戶|Elsa帳戶|Ben代墊|Ariel代墊|中信銀行共用"")), ""內部轉帳(忽略)"",
  AND(E3584&lt;&gt;"""", F3584&lt;&gt;"""", N"&amp;"OT(REGEXMATCH(C3584, ""薪資""))), ""內部轉帳(忽略)"",
  REGEXMATCH(C3584, ""薪資""), ""薪資變動(不計入)"",
  REGEXMATCH(C3584, ""押金""), ""押金往來"",
  AND(E3584&lt;&gt;"""", F3584=""""), ""真實支出"",
  AND(E3584="""", F3584&lt;&gt;""""), ""真實收入"",
  TRUE, ""其他""
)"),"其他")</f>
        <v>其他</v>
      </c>
      <c r="K3584" s="270" t="str">
        <f t="shared" si="2"/>
        <v/>
      </c>
      <c r="L3584">
        <f t="shared" si="3"/>
        <v>0</v>
      </c>
    </row>
    <row r="3585">
      <c r="A3585" s="107"/>
      <c r="D3585" s="270"/>
      <c r="H3585" s="106" t="str">
        <f t="shared" si="1"/>
        <v/>
      </c>
      <c r="I3585" s="271" t="str">
        <f>IFERROR(__xludf.DUMMYFUNCTION("""COMPUTED_VALUE"""),"")</f>
        <v/>
      </c>
      <c r="J3585" t="str">
        <f>IFERROR(__xludf.DUMMYFUNCTION("IFS(
  AND(REGEXMATCH(E3585, ""台銀籌備帳戶|玉山帳戶""), REGEXMATCH(C3585, ""薪資"")), ""分潤支出"",
  AND(REGEXMATCH(E3585, ""Ben帳戶|Elsa帳戶|Ben代墊|Ariel代墊|中信銀行共用""), REGEXMATCH(F3585, ""Ben帳戶|Elsa帳戶|Ben代墊|Ariel代墊|中信銀行共用"")), ""內部轉帳(忽略)"",
  AND(E3585&lt;&gt;"""", F3585&lt;&gt;"""", N"&amp;"OT(REGEXMATCH(C3585, ""薪資""))), ""內部轉帳(忽略)"",
  REGEXMATCH(C3585, ""薪資""), ""薪資變動(不計入)"",
  REGEXMATCH(C3585, ""押金""), ""押金往來"",
  AND(E3585&lt;&gt;"""", F3585=""""), ""真實支出"",
  AND(E3585="""", F3585&lt;&gt;""""), ""真實收入"",
  TRUE, ""其他""
)"),"其他")</f>
        <v>其他</v>
      </c>
      <c r="K3585" s="270" t="str">
        <f t="shared" si="2"/>
        <v/>
      </c>
      <c r="L3585">
        <f t="shared" si="3"/>
        <v>0</v>
      </c>
    </row>
    <row r="3586">
      <c r="A3586" s="107"/>
      <c r="D3586" s="270"/>
      <c r="H3586" s="106" t="str">
        <f t="shared" si="1"/>
        <v/>
      </c>
      <c r="I3586" s="271" t="str">
        <f>IFERROR(__xludf.DUMMYFUNCTION("""COMPUTED_VALUE"""),"")</f>
        <v/>
      </c>
      <c r="J3586" t="str">
        <f>IFERROR(__xludf.DUMMYFUNCTION("IFS(
  AND(REGEXMATCH(E3586, ""台銀籌備帳戶|玉山帳戶""), REGEXMATCH(C3586, ""薪資"")), ""分潤支出"",
  AND(REGEXMATCH(E3586, ""Ben帳戶|Elsa帳戶|Ben代墊|Ariel代墊|中信銀行共用""), REGEXMATCH(F3586, ""Ben帳戶|Elsa帳戶|Ben代墊|Ariel代墊|中信銀行共用"")), ""內部轉帳(忽略)"",
  AND(E3586&lt;&gt;"""", F3586&lt;&gt;"""", N"&amp;"OT(REGEXMATCH(C3586, ""薪資""))), ""內部轉帳(忽略)"",
  REGEXMATCH(C3586, ""薪資""), ""薪資變動(不計入)"",
  REGEXMATCH(C3586, ""押金""), ""押金往來"",
  AND(E3586&lt;&gt;"""", F3586=""""), ""真實支出"",
  AND(E3586="""", F3586&lt;&gt;""""), ""真實收入"",
  TRUE, ""其他""
)"),"其他")</f>
        <v>其他</v>
      </c>
      <c r="K3586" s="270" t="str">
        <f t="shared" si="2"/>
        <v/>
      </c>
      <c r="L3586">
        <f t="shared" si="3"/>
        <v>0</v>
      </c>
    </row>
    <row r="3587">
      <c r="A3587" s="107"/>
      <c r="D3587" s="270"/>
      <c r="H3587" s="106" t="str">
        <f t="shared" si="1"/>
        <v/>
      </c>
      <c r="I3587" s="271" t="str">
        <f>IFERROR(__xludf.DUMMYFUNCTION("""COMPUTED_VALUE"""),"")</f>
        <v/>
      </c>
      <c r="J3587" t="str">
        <f>IFERROR(__xludf.DUMMYFUNCTION("IFS(
  AND(REGEXMATCH(E3587, ""台銀籌備帳戶|玉山帳戶""), REGEXMATCH(C3587, ""薪資"")), ""分潤支出"",
  AND(REGEXMATCH(E3587, ""Ben帳戶|Elsa帳戶|Ben代墊|Ariel代墊|中信銀行共用""), REGEXMATCH(F3587, ""Ben帳戶|Elsa帳戶|Ben代墊|Ariel代墊|中信銀行共用"")), ""內部轉帳(忽略)"",
  AND(E3587&lt;&gt;"""", F3587&lt;&gt;"""", N"&amp;"OT(REGEXMATCH(C3587, ""薪資""))), ""內部轉帳(忽略)"",
  REGEXMATCH(C3587, ""薪資""), ""薪資變動(不計入)"",
  REGEXMATCH(C3587, ""押金""), ""押金往來"",
  AND(E3587&lt;&gt;"""", F3587=""""), ""真實支出"",
  AND(E3587="""", F3587&lt;&gt;""""), ""真實收入"",
  TRUE, ""其他""
)"),"其他")</f>
        <v>其他</v>
      </c>
      <c r="K3587" s="270" t="str">
        <f t="shared" si="2"/>
        <v/>
      </c>
      <c r="L3587">
        <f t="shared" si="3"/>
        <v>0</v>
      </c>
    </row>
    <row r="3588">
      <c r="A3588" s="107"/>
      <c r="D3588" s="270"/>
      <c r="H3588" s="106" t="str">
        <f t="shared" si="1"/>
        <v/>
      </c>
      <c r="I3588" s="271" t="str">
        <f>IFERROR(__xludf.DUMMYFUNCTION("""COMPUTED_VALUE"""),"")</f>
        <v/>
      </c>
      <c r="J3588" t="str">
        <f>IFERROR(__xludf.DUMMYFUNCTION("IFS(
  AND(REGEXMATCH(E3588, ""台銀籌備帳戶|玉山帳戶""), REGEXMATCH(C3588, ""薪資"")), ""分潤支出"",
  AND(REGEXMATCH(E3588, ""Ben帳戶|Elsa帳戶|Ben代墊|Ariel代墊|中信銀行共用""), REGEXMATCH(F3588, ""Ben帳戶|Elsa帳戶|Ben代墊|Ariel代墊|中信銀行共用"")), ""內部轉帳(忽略)"",
  AND(E3588&lt;&gt;"""", F3588&lt;&gt;"""", N"&amp;"OT(REGEXMATCH(C3588, ""薪資""))), ""內部轉帳(忽略)"",
  REGEXMATCH(C3588, ""薪資""), ""薪資變動(不計入)"",
  REGEXMATCH(C3588, ""押金""), ""押金往來"",
  AND(E3588&lt;&gt;"""", F3588=""""), ""真實支出"",
  AND(E3588="""", F3588&lt;&gt;""""), ""真實收入"",
  TRUE, ""其他""
)"),"其他")</f>
        <v>其他</v>
      </c>
      <c r="K3588" s="270" t="str">
        <f t="shared" si="2"/>
        <v/>
      </c>
      <c r="L3588">
        <f t="shared" si="3"/>
        <v>0</v>
      </c>
    </row>
    <row r="3589">
      <c r="A3589" s="107"/>
      <c r="D3589" s="270"/>
      <c r="H3589" s="106" t="str">
        <f t="shared" si="1"/>
        <v/>
      </c>
      <c r="I3589" s="271" t="str">
        <f>IFERROR(__xludf.DUMMYFUNCTION("""COMPUTED_VALUE"""),"")</f>
        <v/>
      </c>
      <c r="J3589" t="str">
        <f>IFERROR(__xludf.DUMMYFUNCTION("IFS(
  AND(REGEXMATCH(E3589, ""台銀籌備帳戶|玉山帳戶""), REGEXMATCH(C3589, ""薪資"")), ""分潤支出"",
  AND(REGEXMATCH(E3589, ""Ben帳戶|Elsa帳戶|Ben代墊|Ariel代墊|中信銀行共用""), REGEXMATCH(F3589, ""Ben帳戶|Elsa帳戶|Ben代墊|Ariel代墊|中信銀行共用"")), ""內部轉帳(忽略)"",
  AND(E3589&lt;&gt;"""", F3589&lt;&gt;"""", N"&amp;"OT(REGEXMATCH(C3589, ""薪資""))), ""內部轉帳(忽略)"",
  REGEXMATCH(C3589, ""薪資""), ""薪資變動(不計入)"",
  REGEXMATCH(C3589, ""押金""), ""押金往來"",
  AND(E3589&lt;&gt;"""", F3589=""""), ""真實支出"",
  AND(E3589="""", F3589&lt;&gt;""""), ""真實收入"",
  TRUE, ""其他""
)"),"其他")</f>
        <v>其他</v>
      </c>
      <c r="K3589" s="270" t="str">
        <f t="shared" si="2"/>
        <v/>
      </c>
      <c r="L3589">
        <f t="shared" si="3"/>
        <v>0</v>
      </c>
    </row>
    <row r="3590">
      <c r="A3590" s="107"/>
      <c r="D3590" s="270"/>
      <c r="H3590" s="106" t="str">
        <f t="shared" si="1"/>
        <v/>
      </c>
      <c r="I3590" s="271" t="str">
        <f>IFERROR(__xludf.DUMMYFUNCTION("""COMPUTED_VALUE"""),"")</f>
        <v/>
      </c>
      <c r="J3590" t="str">
        <f>IFERROR(__xludf.DUMMYFUNCTION("IFS(
  AND(REGEXMATCH(E3590, ""台銀籌備帳戶|玉山帳戶""), REGEXMATCH(C3590, ""薪資"")), ""分潤支出"",
  AND(REGEXMATCH(E3590, ""Ben帳戶|Elsa帳戶|Ben代墊|Ariel代墊|中信銀行共用""), REGEXMATCH(F3590, ""Ben帳戶|Elsa帳戶|Ben代墊|Ariel代墊|中信銀行共用"")), ""內部轉帳(忽略)"",
  AND(E3590&lt;&gt;"""", F3590&lt;&gt;"""", N"&amp;"OT(REGEXMATCH(C3590, ""薪資""))), ""內部轉帳(忽略)"",
  REGEXMATCH(C3590, ""薪資""), ""薪資變動(不計入)"",
  REGEXMATCH(C3590, ""押金""), ""押金往來"",
  AND(E3590&lt;&gt;"""", F3590=""""), ""真實支出"",
  AND(E3590="""", F3590&lt;&gt;""""), ""真實收入"",
  TRUE, ""其他""
)"),"其他")</f>
        <v>其他</v>
      </c>
      <c r="K3590" s="270" t="str">
        <f t="shared" si="2"/>
        <v/>
      </c>
      <c r="L3590">
        <f t="shared" si="3"/>
        <v>0</v>
      </c>
    </row>
    <row r="3591">
      <c r="A3591" s="107"/>
      <c r="D3591" s="270"/>
      <c r="H3591" s="106" t="str">
        <f t="shared" si="1"/>
        <v/>
      </c>
      <c r="I3591" s="271" t="str">
        <f>IFERROR(__xludf.DUMMYFUNCTION("""COMPUTED_VALUE"""),"")</f>
        <v/>
      </c>
      <c r="J3591" t="str">
        <f>IFERROR(__xludf.DUMMYFUNCTION("IFS(
  AND(REGEXMATCH(E3591, ""台銀籌備帳戶|玉山帳戶""), REGEXMATCH(C3591, ""薪資"")), ""分潤支出"",
  AND(REGEXMATCH(E3591, ""Ben帳戶|Elsa帳戶|Ben代墊|Ariel代墊|中信銀行共用""), REGEXMATCH(F3591, ""Ben帳戶|Elsa帳戶|Ben代墊|Ariel代墊|中信銀行共用"")), ""內部轉帳(忽略)"",
  AND(E3591&lt;&gt;"""", F3591&lt;&gt;"""", N"&amp;"OT(REGEXMATCH(C3591, ""薪資""))), ""內部轉帳(忽略)"",
  REGEXMATCH(C3591, ""薪資""), ""薪資變動(不計入)"",
  REGEXMATCH(C3591, ""押金""), ""押金往來"",
  AND(E3591&lt;&gt;"""", F3591=""""), ""真實支出"",
  AND(E3591="""", F3591&lt;&gt;""""), ""真實收入"",
  TRUE, ""其他""
)"),"其他")</f>
        <v>其他</v>
      </c>
      <c r="K3591" s="270" t="str">
        <f t="shared" si="2"/>
        <v/>
      </c>
      <c r="L3591">
        <f t="shared" si="3"/>
        <v>0</v>
      </c>
    </row>
    <row r="3592">
      <c r="A3592" s="107"/>
      <c r="D3592" s="270"/>
      <c r="H3592" s="106" t="str">
        <f t="shared" si="1"/>
        <v/>
      </c>
      <c r="I3592" s="271" t="str">
        <f>IFERROR(__xludf.DUMMYFUNCTION("""COMPUTED_VALUE"""),"")</f>
        <v/>
      </c>
      <c r="J3592" t="str">
        <f>IFERROR(__xludf.DUMMYFUNCTION("IFS(
  AND(REGEXMATCH(E3592, ""台銀籌備帳戶|玉山帳戶""), REGEXMATCH(C3592, ""薪資"")), ""分潤支出"",
  AND(REGEXMATCH(E3592, ""Ben帳戶|Elsa帳戶|Ben代墊|Ariel代墊|中信銀行共用""), REGEXMATCH(F3592, ""Ben帳戶|Elsa帳戶|Ben代墊|Ariel代墊|中信銀行共用"")), ""內部轉帳(忽略)"",
  AND(E3592&lt;&gt;"""", F3592&lt;&gt;"""", N"&amp;"OT(REGEXMATCH(C3592, ""薪資""))), ""內部轉帳(忽略)"",
  REGEXMATCH(C3592, ""薪資""), ""薪資變動(不計入)"",
  REGEXMATCH(C3592, ""押金""), ""押金往來"",
  AND(E3592&lt;&gt;"""", F3592=""""), ""真實支出"",
  AND(E3592="""", F3592&lt;&gt;""""), ""真實收入"",
  TRUE, ""其他""
)"),"其他")</f>
        <v>其他</v>
      </c>
      <c r="K3592" s="270" t="str">
        <f t="shared" si="2"/>
        <v/>
      </c>
      <c r="L3592">
        <f t="shared" si="3"/>
        <v>0</v>
      </c>
    </row>
    <row r="3593">
      <c r="A3593" s="107"/>
      <c r="D3593" s="270"/>
      <c r="H3593" s="106" t="str">
        <f t="shared" si="1"/>
        <v/>
      </c>
      <c r="I3593" s="271" t="str">
        <f>IFERROR(__xludf.DUMMYFUNCTION("""COMPUTED_VALUE"""),"")</f>
        <v/>
      </c>
      <c r="J3593" t="str">
        <f>IFERROR(__xludf.DUMMYFUNCTION("IFS(
  AND(REGEXMATCH(E3593, ""台銀籌備帳戶|玉山帳戶""), REGEXMATCH(C3593, ""薪資"")), ""分潤支出"",
  AND(REGEXMATCH(E3593, ""Ben帳戶|Elsa帳戶|Ben代墊|Ariel代墊|中信銀行共用""), REGEXMATCH(F3593, ""Ben帳戶|Elsa帳戶|Ben代墊|Ariel代墊|中信銀行共用"")), ""內部轉帳(忽略)"",
  AND(E3593&lt;&gt;"""", F3593&lt;&gt;"""", N"&amp;"OT(REGEXMATCH(C3593, ""薪資""))), ""內部轉帳(忽略)"",
  REGEXMATCH(C3593, ""薪資""), ""薪資變動(不計入)"",
  REGEXMATCH(C3593, ""押金""), ""押金往來"",
  AND(E3593&lt;&gt;"""", F3593=""""), ""真實支出"",
  AND(E3593="""", F3593&lt;&gt;""""), ""真實收入"",
  TRUE, ""其他""
)"),"其他")</f>
        <v>其他</v>
      </c>
      <c r="K3593" s="270" t="str">
        <f t="shared" si="2"/>
        <v/>
      </c>
      <c r="L3593">
        <f t="shared" si="3"/>
        <v>0</v>
      </c>
    </row>
    <row r="3594">
      <c r="A3594" s="107"/>
      <c r="D3594" s="270"/>
      <c r="H3594" s="106" t="str">
        <f t="shared" si="1"/>
        <v/>
      </c>
      <c r="I3594" s="271" t="str">
        <f>IFERROR(__xludf.DUMMYFUNCTION("""COMPUTED_VALUE"""),"")</f>
        <v/>
      </c>
      <c r="J3594" t="str">
        <f>IFERROR(__xludf.DUMMYFUNCTION("IFS(
  AND(REGEXMATCH(E3594, ""台銀籌備帳戶|玉山帳戶""), REGEXMATCH(C3594, ""薪資"")), ""分潤支出"",
  AND(REGEXMATCH(E3594, ""Ben帳戶|Elsa帳戶|Ben代墊|Ariel代墊|中信銀行共用""), REGEXMATCH(F3594, ""Ben帳戶|Elsa帳戶|Ben代墊|Ariel代墊|中信銀行共用"")), ""內部轉帳(忽略)"",
  AND(E3594&lt;&gt;"""", F3594&lt;&gt;"""", N"&amp;"OT(REGEXMATCH(C3594, ""薪資""))), ""內部轉帳(忽略)"",
  REGEXMATCH(C3594, ""薪資""), ""薪資變動(不計入)"",
  REGEXMATCH(C3594, ""押金""), ""押金往來"",
  AND(E3594&lt;&gt;"""", F3594=""""), ""真實支出"",
  AND(E3594="""", F3594&lt;&gt;""""), ""真實收入"",
  TRUE, ""其他""
)"),"其他")</f>
        <v>其他</v>
      </c>
      <c r="K3594" s="270" t="str">
        <f t="shared" si="2"/>
        <v/>
      </c>
      <c r="L3594">
        <f t="shared" si="3"/>
        <v>0</v>
      </c>
    </row>
    <row r="3595">
      <c r="A3595" s="107"/>
      <c r="D3595" s="270"/>
      <c r="H3595" s="106" t="str">
        <f t="shared" si="1"/>
        <v/>
      </c>
      <c r="I3595" s="271" t="str">
        <f>IFERROR(__xludf.DUMMYFUNCTION("""COMPUTED_VALUE"""),"")</f>
        <v/>
      </c>
      <c r="J3595" t="str">
        <f>IFERROR(__xludf.DUMMYFUNCTION("IFS(
  AND(REGEXMATCH(E3595, ""台銀籌備帳戶|玉山帳戶""), REGEXMATCH(C3595, ""薪資"")), ""分潤支出"",
  AND(REGEXMATCH(E3595, ""Ben帳戶|Elsa帳戶|Ben代墊|Ariel代墊|中信銀行共用""), REGEXMATCH(F3595, ""Ben帳戶|Elsa帳戶|Ben代墊|Ariel代墊|中信銀行共用"")), ""內部轉帳(忽略)"",
  AND(E3595&lt;&gt;"""", F3595&lt;&gt;"""", N"&amp;"OT(REGEXMATCH(C3595, ""薪資""))), ""內部轉帳(忽略)"",
  REGEXMATCH(C3595, ""薪資""), ""薪資變動(不計入)"",
  REGEXMATCH(C3595, ""押金""), ""押金往來"",
  AND(E3595&lt;&gt;"""", F3595=""""), ""真實支出"",
  AND(E3595="""", F3595&lt;&gt;""""), ""真實收入"",
  TRUE, ""其他""
)"),"其他")</f>
        <v>其他</v>
      </c>
      <c r="K3595" s="270" t="str">
        <f t="shared" si="2"/>
        <v/>
      </c>
      <c r="L3595">
        <f t="shared" si="3"/>
        <v>0</v>
      </c>
    </row>
    <row r="3596">
      <c r="A3596" s="107"/>
      <c r="D3596" s="270"/>
      <c r="H3596" s="106" t="str">
        <f t="shared" si="1"/>
        <v/>
      </c>
      <c r="I3596" s="271" t="str">
        <f>IFERROR(__xludf.DUMMYFUNCTION("""COMPUTED_VALUE"""),"")</f>
        <v/>
      </c>
      <c r="J3596" t="str">
        <f>IFERROR(__xludf.DUMMYFUNCTION("IFS(
  AND(REGEXMATCH(E3596, ""台銀籌備帳戶|玉山帳戶""), REGEXMATCH(C3596, ""薪資"")), ""分潤支出"",
  AND(REGEXMATCH(E3596, ""Ben帳戶|Elsa帳戶|Ben代墊|Ariel代墊|中信銀行共用""), REGEXMATCH(F3596, ""Ben帳戶|Elsa帳戶|Ben代墊|Ariel代墊|中信銀行共用"")), ""內部轉帳(忽略)"",
  AND(E3596&lt;&gt;"""", F3596&lt;&gt;"""", N"&amp;"OT(REGEXMATCH(C3596, ""薪資""))), ""內部轉帳(忽略)"",
  REGEXMATCH(C3596, ""薪資""), ""薪資變動(不計入)"",
  REGEXMATCH(C3596, ""押金""), ""押金往來"",
  AND(E3596&lt;&gt;"""", F3596=""""), ""真實支出"",
  AND(E3596="""", F3596&lt;&gt;""""), ""真實收入"",
  TRUE, ""其他""
)"),"其他")</f>
        <v>其他</v>
      </c>
      <c r="K3596" s="270" t="str">
        <f t="shared" si="2"/>
        <v/>
      </c>
      <c r="L3596">
        <f t="shared" si="3"/>
        <v>0</v>
      </c>
    </row>
    <row r="3597">
      <c r="A3597" s="107"/>
      <c r="D3597" s="270"/>
      <c r="H3597" s="106" t="str">
        <f t="shared" si="1"/>
        <v/>
      </c>
      <c r="I3597" s="271" t="str">
        <f>IFERROR(__xludf.DUMMYFUNCTION("""COMPUTED_VALUE"""),"")</f>
        <v/>
      </c>
      <c r="J3597" t="str">
        <f>IFERROR(__xludf.DUMMYFUNCTION("IFS(
  AND(REGEXMATCH(E3597, ""台銀籌備帳戶|玉山帳戶""), REGEXMATCH(C3597, ""薪資"")), ""分潤支出"",
  AND(REGEXMATCH(E3597, ""Ben帳戶|Elsa帳戶|Ben代墊|Ariel代墊|中信銀行共用""), REGEXMATCH(F3597, ""Ben帳戶|Elsa帳戶|Ben代墊|Ariel代墊|中信銀行共用"")), ""內部轉帳(忽略)"",
  AND(E3597&lt;&gt;"""", F3597&lt;&gt;"""", N"&amp;"OT(REGEXMATCH(C3597, ""薪資""))), ""內部轉帳(忽略)"",
  REGEXMATCH(C3597, ""薪資""), ""薪資變動(不計入)"",
  REGEXMATCH(C3597, ""押金""), ""押金往來"",
  AND(E3597&lt;&gt;"""", F3597=""""), ""真實支出"",
  AND(E3597="""", F3597&lt;&gt;""""), ""真實收入"",
  TRUE, ""其他""
)"),"其他")</f>
        <v>其他</v>
      </c>
      <c r="K3597" s="270" t="str">
        <f t="shared" si="2"/>
        <v/>
      </c>
      <c r="L3597">
        <f t="shared" si="3"/>
        <v>0</v>
      </c>
    </row>
    <row r="3598">
      <c r="A3598" s="107"/>
      <c r="D3598" s="270"/>
      <c r="H3598" s="106" t="str">
        <f t="shared" si="1"/>
        <v/>
      </c>
      <c r="I3598" s="271" t="str">
        <f>IFERROR(__xludf.DUMMYFUNCTION("""COMPUTED_VALUE"""),"")</f>
        <v/>
      </c>
      <c r="J3598" t="str">
        <f>IFERROR(__xludf.DUMMYFUNCTION("IFS(
  AND(REGEXMATCH(E3598, ""台銀籌備帳戶|玉山帳戶""), REGEXMATCH(C3598, ""薪資"")), ""分潤支出"",
  AND(REGEXMATCH(E3598, ""Ben帳戶|Elsa帳戶|Ben代墊|Ariel代墊|中信銀行共用""), REGEXMATCH(F3598, ""Ben帳戶|Elsa帳戶|Ben代墊|Ariel代墊|中信銀行共用"")), ""內部轉帳(忽略)"",
  AND(E3598&lt;&gt;"""", F3598&lt;&gt;"""", N"&amp;"OT(REGEXMATCH(C3598, ""薪資""))), ""內部轉帳(忽略)"",
  REGEXMATCH(C3598, ""薪資""), ""薪資變動(不計入)"",
  REGEXMATCH(C3598, ""押金""), ""押金往來"",
  AND(E3598&lt;&gt;"""", F3598=""""), ""真實支出"",
  AND(E3598="""", F3598&lt;&gt;""""), ""真實收入"",
  TRUE, ""其他""
)"),"其他")</f>
        <v>其他</v>
      </c>
      <c r="K3598" s="270" t="str">
        <f t="shared" si="2"/>
        <v/>
      </c>
      <c r="L3598">
        <f t="shared" si="3"/>
        <v>0</v>
      </c>
    </row>
    <row r="3599">
      <c r="A3599" s="107"/>
      <c r="D3599" s="270"/>
      <c r="H3599" s="106" t="str">
        <f t="shared" si="1"/>
        <v/>
      </c>
      <c r="I3599" s="271" t="str">
        <f>IFERROR(__xludf.DUMMYFUNCTION("""COMPUTED_VALUE"""),"")</f>
        <v/>
      </c>
      <c r="J3599" t="str">
        <f>IFERROR(__xludf.DUMMYFUNCTION("IFS(
  AND(REGEXMATCH(E3599, ""台銀籌備帳戶|玉山帳戶""), REGEXMATCH(C3599, ""薪資"")), ""分潤支出"",
  AND(REGEXMATCH(E3599, ""Ben帳戶|Elsa帳戶|Ben代墊|Ariel代墊|中信銀行共用""), REGEXMATCH(F3599, ""Ben帳戶|Elsa帳戶|Ben代墊|Ariel代墊|中信銀行共用"")), ""內部轉帳(忽略)"",
  AND(E3599&lt;&gt;"""", F3599&lt;&gt;"""", N"&amp;"OT(REGEXMATCH(C3599, ""薪資""))), ""內部轉帳(忽略)"",
  REGEXMATCH(C3599, ""薪資""), ""薪資變動(不計入)"",
  REGEXMATCH(C3599, ""押金""), ""押金往來"",
  AND(E3599&lt;&gt;"""", F3599=""""), ""真實支出"",
  AND(E3599="""", F3599&lt;&gt;""""), ""真實收入"",
  TRUE, ""其他""
)"),"其他")</f>
        <v>其他</v>
      </c>
      <c r="K3599" s="270" t="str">
        <f t="shared" si="2"/>
        <v/>
      </c>
      <c r="L3599">
        <f t="shared" si="3"/>
        <v>0</v>
      </c>
    </row>
    <row r="3600">
      <c r="A3600" s="107"/>
      <c r="D3600" s="270"/>
      <c r="H3600" s="106" t="str">
        <f t="shared" si="1"/>
        <v/>
      </c>
      <c r="I3600" s="271" t="str">
        <f>IFERROR(__xludf.DUMMYFUNCTION("""COMPUTED_VALUE"""),"")</f>
        <v/>
      </c>
      <c r="J3600" t="str">
        <f>IFERROR(__xludf.DUMMYFUNCTION("IFS(
  AND(REGEXMATCH(E3600, ""台銀籌備帳戶|玉山帳戶""), REGEXMATCH(C3600, ""薪資"")), ""分潤支出"",
  AND(REGEXMATCH(E3600, ""Ben帳戶|Elsa帳戶|Ben代墊|Ariel代墊|中信銀行共用""), REGEXMATCH(F3600, ""Ben帳戶|Elsa帳戶|Ben代墊|Ariel代墊|中信銀行共用"")), ""內部轉帳(忽略)"",
  AND(E3600&lt;&gt;"""", F3600&lt;&gt;"""", N"&amp;"OT(REGEXMATCH(C3600, ""薪資""))), ""內部轉帳(忽略)"",
  REGEXMATCH(C3600, ""薪資""), ""薪資變動(不計入)"",
  REGEXMATCH(C3600, ""押金""), ""押金往來"",
  AND(E3600&lt;&gt;"""", F3600=""""), ""真實支出"",
  AND(E3600="""", F3600&lt;&gt;""""), ""真實收入"",
  TRUE, ""其他""
)"),"其他")</f>
        <v>其他</v>
      </c>
      <c r="K3600" s="270" t="str">
        <f t="shared" si="2"/>
        <v/>
      </c>
      <c r="L3600">
        <f t="shared" si="3"/>
        <v>0</v>
      </c>
    </row>
    <row r="3601">
      <c r="A3601" s="107"/>
      <c r="D3601" s="270"/>
      <c r="H3601" s="106" t="str">
        <f t="shared" si="1"/>
        <v/>
      </c>
      <c r="I3601" s="271" t="str">
        <f>IFERROR(__xludf.DUMMYFUNCTION("""COMPUTED_VALUE"""),"")</f>
        <v/>
      </c>
      <c r="J3601" t="str">
        <f>IFERROR(__xludf.DUMMYFUNCTION("IFS(
  AND(REGEXMATCH(E3601, ""台銀籌備帳戶|玉山帳戶""), REGEXMATCH(C3601, ""薪資"")), ""分潤支出"",
  AND(REGEXMATCH(E3601, ""Ben帳戶|Elsa帳戶|Ben代墊|Ariel代墊|中信銀行共用""), REGEXMATCH(F3601, ""Ben帳戶|Elsa帳戶|Ben代墊|Ariel代墊|中信銀行共用"")), ""內部轉帳(忽略)"",
  AND(E3601&lt;&gt;"""", F3601&lt;&gt;"""", N"&amp;"OT(REGEXMATCH(C3601, ""薪資""))), ""內部轉帳(忽略)"",
  REGEXMATCH(C3601, ""薪資""), ""薪資變動(不計入)"",
  REGEXMATCH(C3601, ""押金""), ""押金往來"",
  AND(E3601&lt;&gt;"""", F3601=""""), ""真實支出"",
  AND(E3601="""", F3601&lt;&gt;""""), ""真實收入"",
  TRUE, ""其他""
)"),"其他")</f>
        <v>其他</v>
      </c>
      <c r="K3601" s="270" t="str">
        <f t="shared" si="2"/>
        <v/>
      </c>
      <c r="L3601">
        <f t="shared" si="3"/>
        <v>0</v>
      </c>
    </row>
    <row r="3602">
      <c r="A3602" s="107"/>
      <c r="D3602" s="270"/>
      <c r="H3602" s="106" t="str">
        <f t="shared" si="1"/>
        <v/>
      </c>
      <c r="I3602" s="271" t="str">
        <f>IFERROR(__xludf.DUMMYFUNCTION("""COMPUTED_VALUE"""),"")</f>
        <v/>
      </c>
      <c r="J3602" t="str">
        <f>IFERROR(__xludf.DUMMYFUNCTION("IFS(
  AND(REGEXMATCH(E3602, ""台銀籌備帳戶|玉山帳戶""), REGEXMATCH(C3602, ""薪資"")), ""分潤支出"",
  AND(REGEXMATCH(E3602, ""Ben帳戶|Elsa帳戶|Ben代墊|Ariel代墊|中信銀行共用""), REGEXMATCH(F3602, ""Ben帳戶|Elsa帳戶|Ben代墊|Ariel代墊|中信銀行共用"")), ""內部轉帳(忽略)"",
  AND(E3602&lt;&gt;"""", F3602&lt;&gt;"""", N"&amp;"OT(REGEXMATCH(C3602, ""薪資""))), ""內部轉帳(忽略)"",
  REGEXMATCH(C3602, ""薪資""), ""薪資變動(不計入)"",
  REGEXMATCH(C3602, ""押金""), ""押金往來"",
  AND(E3602&lt;&gt;"""", F3602=""""), ""真實支出"",
  AND(E3602="""", F3602&lt;&gt;""""), ""真實收入"",
  TRUE, ""其他""
)"),"其他")</f>
        <v>其他</v>
      </c>
      <c r="K3602" s="270" t="str">
        <f t="shared" si="2"/>
        <v/>
      </c>
      <c r="L3602">
        <f t="shared" si="3"/>
        <v>0</v>
      </c>
    </row>
    <row r="3603">
      <c r="A3603" s="107"/>
      <c r="D3603" s="270"/>
      <c r="H3603" s="106" t="str">
        <f t="shared" si="1"/>
        <v/>
      </c>
      <c r="I3603" s="271" t="str">
        <f>IFERROR(__xludf.DUMMYFUNCTION("""COMPUTED_VALUE"""),"")</f>
        <v/>
      </c>
      <c r="J3603" t="str">
        <f>IFERROR(__xludf.DUMMYFUNCTION("IFS(
  AND(REGEXMATCH(E3603, ""台銀籌備帳戶|玉山帳戶""), REGEXMATCH(C3603, ""薪資"")), ""分潤支出"",
  AND(REGEXMATCH(E3603, ""Ben帳戶|Elsa帳戶|Ben代墊|Ariel代墊|中信銀行共用""), REGEXMATCH(F3603, ""Ben帳戶|Elsa帳戶|Ben代墊|Ariel代墊|中信銀行共用"")), ""內部轉帳(忽略)"",
  AND(E3603&lt;&gt;"""", F3603&lt;&gt;"""", N"&amp;"OT(REGEXMATCH(C3603, ""薪資""))), ""內部轉帳(忽略)"",
  REGEXMATCH(C3603, ""薪資""), ""薪資變動(不計入)"",
  REGEXMATCH(C3603, ""押金""), ""押金往來"",
  AND(E3603&lt;&gt;"""", F3603=""""), ""真實支出"",
  AND(E3603="""", F3603&lt;&gt;""""), ""真實收入"",
  TRUE, ""其他""
)"),"其他")</f>
        <v>其他</v>
      </c>
      <c r="K3603" s="270" t="str">
        <f t="shared" si="2"/>
        <v/>
      </c>
      <c r="L3603">
        <f t="shared" si="3"/>
        <v>0</v>
      </c>
    </row>
    <row r="3604">
      <c r="A3604" s="107"/>
      <c r="D3604" s="270"/>
      <c r="H3604" s="106" t="str">
        <f t="shared" si="1"/>
        <v/>
      </c>
      <c r="I3604" s="271" t="str">
        <f>IFERROR(__xludf.DUMMYFUNCTION("""COMPUTED_VALUE"""),"")</f>
        <v/>
      </c>
      <c r="J3604" t="str">
        <f>IFERROR(__xludf.DUMMYFUNCTION("IFS(
  AND(REGEXMATCH(E3604, ""台銀籌備帳戶|玉山帳戶""), REGEXMATCH(C3604, ""薪資"")), ""分潤支出"",
  AND(REGEXMATCH(E3604, ""Ben帳戶|Elsa帳戶|Ben代墊|Ariel代墊|中信銀行共用""), REGEXMATCH(F3604, ""Ben帳戶|Elsa帳戶|Ben代墊|Ariel代墊|中信銀行共用"")), ""內部轉帳(忽略)"",
  AND(E3604&lt;&gt;"""", F3604&lt;&gt;"""", N"&amp;"OT(REGEXMATCH(C3604, ""薪資""))), ""內部轉帳(忽略)"",
  REGEXMATCH(C3604, ""薪資""), ""薪資變動(不計入)"",
  REGEXMATCH(C3604, ""押金""), ""押金往來"",
  AND(E3604&lt;&gt;"""", F3604=""""), ""真實支出"",
  AND(E3604="""", F3604&lt;&gt;""""), ""真實收入"",
  TRUE, ""其他""
)"),"其他")</f>
        <v>其他</v>
      </c>
      <c r="K3604" s="270" t="str">
        <f t="shared" si="2"/>
        <v/>
      </c>
      <c r="L3604">
        <f t="shared" si="3"/>
        <v>0</v>
      </c>
    </row>
    <row r="3605">
      <c r="A3605" s="107"/>
      <c r="D3605" s="270"/>
      <c r="H3605" s="106" t="str">
        <f t="shared" si="1"/>
        <v/>
      </c>
      <c r="I3605" s="271" t="str">
        <f>IFERROR(__xludf.DUMMYFUNCTION("""COMPUTED_VALUE"""),"")</f>
        <v/>
      </c>
      <c r="J3605" t="str">
        <f>IFERROR(__xludf.DUMMYFUNCTION("IFS(
  AND(REGEXMATCH(E3605, ""台銀籌備帳戶|玉山帳戶""), REGEXMATCH(C3605, ""薪資"")), ""分潤支出"",
  AND(REGEXMATCH(E3605, ""Ben帳戶|Elsa帳戶|Ben代墊|Ariel代墊|中信銀行共用""), REGEXMATCH(F3605, ""Ben帳戶|Elsa帳戶|Ben代墊|Ariel代墊|中信銀行共用"")), ""內部轉帳(忽略)"",
  AND(E3605&lt;&gt;"""", F3605&lt;&gt;"""", N"&amp;"OT(REGEXMATCH(C3605, ""薪資""))), ""內部轉帳(忽略)"",
  REGEXMATCH(C3605, ""薪資""), ""薪資變動(不計入)"",
  REGEXMATCH(C3605, ""押金""), ""押金往來"",
  AND(E3605&lt;&gt;"""", F3605=""""), ""真實支出"",
  AND(E3605="""", F3605&lt;&gt;""""), ""真實收入"",
  TRUE, ""其他""
)"),"其他")</f>
        <v>其他</v>
      </c>
      <c r="K3605" s="270" t="str">
        <f t="shared" si="2"/>
        <v/>
      </c>
      <c r="L3605">
        <f t="shared" si="3"/>
        <v>0</v>
      </c>
    </row>
    <row r="3606">
      <c r="A3606" s="107"/>
      <c r="D3606" s="270"/>
      <c r="H3606" s="106" t="str">
        <f t="shared" si="1"/>
        <v/>
      </c>
      <c r="I3606" s="271" t="str">
        <f>IFERROR(__xludf.DUMMYFUNCTION("""COMPUTED_VALUE"""),"")</f>
        <v/>
      </c>
      <c r="J3606" t="str">
        <f>IFERROR(__xludf.DUMMYFUNCTION("IFS(
  AND(REGEXMATCH(E3606, ""台銀籌備帳戶|玉山帳戶""), REGEXMATCH(C3606, ""薪資"")), ""分潤支出"",
  AND(REGEXMATCH(E3606, ""Ben帳戶|Elsa帳戶|Ben代墊|Ariel代墊|中信銀行共用""), REGEXMATCH(F3606, ""Ben帳戶|Elsa帳戶|Ben代墊|Ariel代墊|中信銀行共用"")), ""內部轉帳(忽略)"",
  AND(E3606&lt;&gt;"""", F3606&lt;&gt;"""", N"&amp;"OT(REGEXMATCH(C3606, ""薪資""))), ""內部轉帳(忽略)"",
  REGEXMATCH(C3606, ""薪資""), ""薪資變動(不計入)"",
  REGEXMATCH(C3606, ""押金""), ""押金往來"",
  AND(E3606&lt;&gt;"""", F3606=""""), ""真實支出"",
  AND(E3606="""", F3606&lt;&gt;""""), ""真實收入"",
  TRUE, ""其他""
)"),"其他")</f>
        <v>其他</v>
      </c>
      <c r="K3606" s="270" t="str">
        <f t="shared" si="2"/>
        <v/>
      </c>
      <c r="L3606">
        <f t="shared" si="3"/>
        <v>0</v>
      </c>
    </row>
    <row r="3607">
      <c r="A3607" s="107"/>
      <c r="D3607" s="270"/>
      <c r="H3607" s="106" t="str">
        <f t="shared" si="1"/>
        <v/>
      </c>
      <c r="I3607" s="271" t="str">
        <f>IFERROR(__xludf.DUMMYFUNCTION("""COMPUTED_VALUE"""),"")</f>
        <v/>
      </c>
      <c r="J3607" t="str">
        <f>IFERROR(__xludf.DUMMYFUNCTION("IFS(
  AND(REGEXMATCH(E3607, ""台銀籌備帳戶|玉山帳戶""), REGEXMATCH(C3607, ""薪資"")), ""分潤支出"",
  AND(REGEXMATCH(E3607, ""Ben帳戶|Elsa帳戶|Ben代墊|Ariel代墊|中信銀行共用""), REGEXMATCH(F3607, ""Ben帳戶|Elsa帳戶|Ben代墊|Ariel代墊|中信銀行共用"")), ""內部轉帳(忽略)"",
  AND(E3607&lt;&gt;"""", F3607&lt;&gt;"""", N"&amp;"OT(REGEXMATCH(C3607, ""薪資""))), ""內部轉帳(忽略)"",
  REGEXMATCH(C3607, ""薪資""), ""薪資變動(不計入)"",
  REGEXMATCH(C3607, ""押金""), ""押金往來"",
  AND(E3607&lt;&gt;"""", F3607=""""), ""真實支出"",
  AND(E3607="""", F3607&lt;&gt;""""), ""真實收入"",
  TRUE, ""其他""
)"),"其他")</f>
        <v>其他</v>
      </c>
      <c r="K3607" s="270" t="str">
        <f t="shared" si="2"/>
        <v/>
      </c>
      <c r="L3607">
        <f t="shared" si="3"/>
        <v>0</v>
      </c>
    </row>
    <row r="3608">
      <c r="A3608" s="107"/>
      <c r="D3608" s="270"/>
      <c r="H3608" s="106" t="str">
        <f t="shared" si="1"/>
        <v/>
      </c>
      <c r="I3608" s="271" t="str">
        <f>IFERROR(__xludf.DUMMYFUNCTION("""COMPUTED_VALUE"""),"")</f>
        <v/>
      </c>
      <c r="J3608" t="str">
        <f>IFERROR(__xludf.DUMMYFUNCTION("IFS(
  AND(REGEXMATCH(E3608, ""台銀籌備帳戶|玉山帳戶""), REGEXMATCH(C3608, ""薪資"")), ""分潤支出"",
  AND(REGEXMATCH(E3608, ""Ben帳戶|Elsa帳戶|Ben代墊|Ariel代墊|中信銀行共用""), REGEXMATCH(F3608, ""Ben帳戶|Elsa帳戶|Ben代墊|Ariel代墊|中信銀行共用"")), ""內部轉帳(忽略)"",
  AND(E3608&lt;&gt;"""", F3608&lt;&gt;"""", N"&amp;"OT(REGEXMATCH(C3608, ""薪資""))), ""內部轉帳(忽略)"",
  REGEXMATCH(C3608, ""薪資""), ""薪資變動(不計入)"",
  REGEXMATCH(C3608, ""押金""), ""押金往來"",
  AND(E3608&lt;&gt;"""", F3608=""""), ""真實支出"",
  AND(E3608="""", F3608&lt;&gt;""""), ""真實收入"",
  TRUE, ""其他""
)"),"其他")</f>
        <v>其他</v>
      </c>
      <c r="K3608" s="270" t="str">
        <f t="shared" si="2"/>
        <v/>
      </c>
      <c r="L3608">
        <f t="shared" si="3"/>
        <v>0</v>
      </c>
    </row>
    <row r="3609">
      <c r="A3609" s="107"/>
      <c r="D3609" s="270"/>
      <c r="H3609" s="106" t="str">
        <f t="shared" si="1"/>
        <v/>
      </c>
      <c r="I3609" s="271" t="str">
        <f>IFERROR(__xludf.DUMMYFUNCTION("""COMPUTED_VALUE"""),"")</f>
        <v/>
      </c>
      <c r="J3609" t="str">
        <f>IFERROR(__xludf.DUMMYFUNCTION("IFS(
  AND(REGEXMATCH(E3609, ""台銀籌備帳戶|玉山帳戶""), REGEXMATCH(C3609, ""薪資"")), ""分潤支出"",
  AND(REGEXMATCH(E3609, ""Ben帳戶|Elsa帳戶|Ben代墊|Ariel代墊|中信銀行共用""), REGEXMATCH(F3609, ""Ben帳戶|Elsa帳戶|Ben代墊|Ariel代墊|中信銀行共用"")), ""內部轉帳(忽略)"",
  AND(E3609&lt;&gt;"""", F3609&lt;&gt;"""", N"&amp;"OT(REGEXMATCH(C3609, ""薪資""))), ""內部轉帳(忽略)"",
  REGEXMATCH(C3609, ""薪資""), ""薪資變動(不計入)"",
  REGEXMATCH(C3609, ""押金""), ""押金往來"",
  AND(E3609&lt;&gt;"""", F3609=""""), ""真實支出"",
  AND(E3609="""", F3609&lt;&gt;""""), ""真實收入"",
  TRUE, ""其他""
)"),"其他")</f>
        <v>其他</v>
      </c>
      <c r="K3609" s="270" t="str">
        <f t="shared" si="2"/>
        <v/>
      </c>
      <c r="L3609">
        <f t="shared" si="3"/>
        <v>0</v>
      </c>
    </row>
    <row r="3610">
      <c r="A3610" s="107"/>
      <c r="D3610" s="270"/>
      <c r="H3610" s="106" t="str">
        <f t="shared" si="1"/>
        <v/>
      </c>
      <c r="I3610" s="271" t="str">
        <f>IFERROR(__xludf.DUMMYFUNCTION("""COMPUTED_VALUE"""),"")</f>
        <v/>
      </c>
      <c r="J3610" t="str">
        <f>IFERROR(__xludf.DUMMYFUNCTION("IFS(
  AND(REGEXMATCH(E3610, ""台銀籌備帳戶|玉山帳戶""), REGEXMATCH(C3610, ""薪資"")), ""分潤支出"",
  AND(REGEXMATCH(E3610, ""Ben帳戶|Elsa帳戶|Ben代墊|Ariel代墊|中信銀行共用""), REGEXMATCH(F3610, ""Ben帳戶|Elsa帳戶|Ben代墊|Ariel代墊|中信銀行共用"")), ""內部轉帳(忽略)"",
  AND(E3610&lt;&gt;"""", F3610&lt;&gt;"""", N"&amp;"OT(REGEXMATCH(C3610, ""薪資""))), ""內部轉帳(忽略)"",
  REGEXMATCH(C3610, ""薪資""), ""薪資變動(不計入)"",
  REGEXMATCH(C3610, ""押金""), ""押金往來"",
  AND(E3610&lt;&gt;"""", F3610=""""), ""真實支出"",
  AND(E3610="""", F3610&lt;&gt;""""), ""真實收入"",
  TRUE, ""其他""
)"),"其他")</f>
        <v>其他</v>
      </c>
      <c r="K3610" s="270" t="str">
        <f t="shared" si="2"/>
        <v/>
      </c>
      <c r="L3610">
        <f t="shared" si="3"/>
        <v>0</v>
      </c>
    </row>
    <row r="3611">
      <c r="A3611" s="107"/>
      <c r="D3611" s="270"/>
      <c r="H3611" s="106" t="str">
        <f t="shared" si="1"/>
        <v/>
      </c>
      <c r="I3611" s="271" t="str">
        <f>IFERROR(__xludf.DUMMYFUNCTION("""COMPUTED_VALUE"""),"")</f>
        <v/>
      </c>
      <c r="J3611" t="str">
        <f>IFERROR(__xludf.DUMMYFUNCTION("IFS(
  AND(REGEXMATCH(E3611, ""台銀籌備帳戶|玉山帳戶""), REGEXMATCH(C3611, ""薪資"")), ""分潤支出"",
  AND(REGEXMATCH(E3611, ""Ben帳戶|Elsa帳戶|Ben代墊|Ariel代墊|中信銀行共用""), REGEXMATCH(F3611, ""Ben帳戶|Elsa帳戶|Ben代墊|Ariel代墊|中信銀行共用"")), ""內部轉帳(忽略)"",
  AND(E3611&lt;&gt;"""", F3611&lt;&gt;"""", N"&amp;"OT(REGEXMATCH(C3611, ""薪資""))), ""內部轉帳(忽略)"",
  REGEXMATCH(C3611, ""薪資""), ""薪資變動(不計入)"",
  REGEXMATCH(C3611, ""押金""), ""押金往來"",
  AND(E3611&lt;&gt;"""", F3611=""""), ""真實支出"",
  AND(E3611="""", F3611&lt;&gt;""""), ""真實收入"",
  TRUE, ""其他""
)"),"其他")</f>
        <v>其他</v>
      </c>
      <c r="K3611" s="270" t="str">
        <f t="shared" si="2"/>
        <v/>
      </c>
      <c r="L3611">
        <f t="shared" si="3"/>
        <v>0</v>
      </c>
    </row>
    <row r="3612">
      <c r="A3612" s="107"/>
      <c r="D3612" s="270"/>
      <c r="H3612" s="106" t="str">
        <f t="shared" si="1"/>
        <v/>
      </c>
      <c r="I3612" s="271" t="str">
        <f>IFERROR(__xludf.DUMMYFUNCTION("""COMPUTED_VALUE"""),"")</f>
        <v/>
      </c>
      <c r="J3612" t="str">
        <f>IFERROR(__xludf.DUMMYFUNCTION("IFS(
  AND(REGEXMATCH(E3612, ""台銀籌備帳戶|玉山帳戶""), REGEXMATCH(C3612, ""薪資"")), ""分潤支出"",
  AND(REGEXMATCH(E3612, ""Ben帳戶|Elsa帳戶|Ben代墊|Ariel代墊|中信銀行共用""), REGEXMATCH(F3612, ""Ben帳戶|Elsa帳戶|Ben代墊|Ariel代墊|中信銀行共用"")), ""內部轉帳(忽略)"",
  AND(E3612&lt;&gt;"""", F3612&lt;&gt;"""", N"&amp;"OT(REGEXMATCH(C3612, ""薪資""))), ""內部轉帳(忽略)"",
  REGEXMATCH(C3612, ""薪資""), ""薪資變動(不計入)"",
  REGEXMATCH(C3612, ""押金""), ""押金往來"",
  AND(E3612&lt;&gt;"""", F3612=""""), ""真實支出"",
  AND(E3612="""", F3612&lt;&gt;""""), ""真實收入"",
  TRUE, ""其他""
)"),"其他")</f>
        <v>其他</v>
      </c>
      <c r="K3612" s="270" t="str">
        <f t="shared" si="2"/>
        <v/>
      </c>
      <c r="L3612">
        <f t="shared" si="3"/>
        <v>0</v>
      </c>
    </row>
    <row r="3613">
      <c r="A3613" s="107"/>
      <c r="D3613" s="270"/>
      <c r="H3613" s="106" t="str">
        <f t="shared" si="1"/>
        <v/>
      </c>
      <c r="I3613" s="271" t="str">
        <f>IFERROR(__xludf.DUMMYFUNCTION("""COMPUTED_VALUE"""),"")</f>
        <v/>
      </c>
      <c r="J3613" t="str">
        <f>IFERROR(__xludf.DUMMYFUNCTION("IFS(
  AND(REGEXMATCH(E3613, ""台銀籌備帳戶|玉山帳戶""), REGEXMATCH(C3613, ""薪資"")), ""分潤支出"",
  AND(REGEXMATCH(E3613, ""Ben帳戶|Elsa帳戶|Ben代墊|Ariel代墊|中信銀行共用""), REGEXMATCH(F3613, ""Ben帳戶|Elsa帳戶|Ben代墊|Ariel代墊|中信銀行共用"")), ""內部轉帳(忽略)"",
  AND(E3613&lt;&gt;"""", F3613&lt;&gt;"""", N"&amp;"OT(REGEXMATCH(C3613, ""薪資""))), ""內部轉帳(忽略)"",
  REGEXMATCH(C3613, ""薪資""), ""薪資變動(不計入)"",
  REGEXMATCH(C3613, ""押金""), ""押金往來"",
  AND(E3613&lt;&gt;"""", F3613=""""), ""真實支出"",
  AND(E3613="""", F3613&lt;&gt;""""), ""真實收入"",
  TRUE, ""其他""
)"),"其他")</f>
        <v>其他</v>
      </c>
      <c r="K3613" s="270" t="str">
        <f t="shared" si="2"/>
        <v/>
      </c>
      <c r="L3613">
        <f t="shared" si="3"/>
        <v>0</v>
      </c>
    </row>
    <row r="3614">
      <c r="A3614" s="107"/>
      <c r="D3614" s="270"/>
      <c r="H3614" s="106" t="str">
        <f t="shared" si="1"/>
        <v/>
      </c>
      <c r="I3614" s="271" t="str">
        <f>IFERROR(__xludf.DUMMYFUNCTION("""COMPUTED_VALUE"""),"")</f>
        <v/>
      </c>
      <c r="J3614" t="str">
        <f>IFERROR(__xludf.DUMMYFUNCTION("IFS(
  AND(REGEXMATCH(E3614, ""台銀籌備帳戶|玉山帳戶""), REGEXMATCH(C3614, ""薪資"")), ""分潤支出"",
  AND(REGEXMATCH(E3614, ""Ben帳戶|Elsa帳戶|Ben代墊|Ariel代墊|中信銀行共用""), REGEXMATCH(F3614, ""Ben帳戶|Elsa帳戶|Ben代墊|Ariel代墊|中信銀行共用"")), ""內部轉帳(忽略)"",
  AND(E3614&lt;&gt;"""", F3614&lt;&gt;"""", N"&amp;"OT(REGEXMATCH(C3614, ""薪資""))), ""內部轉帳(忽略)"",
  REGEXMATCH(C3614, ""薪資""), ""薪資變動(不計入)"",
  REGEXMATCH(C3614, ""押金""), ""押金往來"",
  AND(E3614&lt;&gt;"""", F3614=""""), ""真實支出"",
  AND(E3614="""", F3614&lt;&gt;""""), ""真實收入"",
  TRUE, ""其他""
)"),"其他")</f>
        <v>其他</v>
      </c>
      <c r="K3614" s="270" t="str">
        <f t="shared" si="2"/>
        <v/>
      </c>
      <c r="L3614">
        <f t="shared" si="3"/>
        <v>0</v>
      </c>
    </row>
    <row r="3615">
      <c r="A3615" s="107"/>
      <c r="D3615" s="270"/>
      <c r="H3615" s="106" t="str">
        <f t="shared" si="1"/>
        <v/>
      </c>
      <c r="I3615" s="271" t="str">
        <f>IFERROR(__xludf.DUMMYFUNCTION("""COMPUTED_VALUE"""),"")</f>
        <v/>
      </c>
      <c r="J3615" t="str">
        <f>IFERROR(__xludf.DUMMYFUNCTION("IFS(
  AND(REGEXMATCH(E3615, ""台銀籌備帳戶|玉山帳戶""), REGEXMATCH(C3615, ""薪資"")), ""分潤支出"",
  AND(REGEXMATCH(E3615, ""Ben帳戶|Elsa帳戶|Ben代墊|Ariel代墊|中信銀行共用""), REGEXMATCH(F3615, ""Ben帳戶|Elsa帳戶|Ben代墊|Ariel代墊|中信銀行共用"")), ""內部轉帳(忽略)"",
  AND(E3615&lt;&gt;"""", F3615&lt;&gt;"""", N"&amp;"OT(REGEXMATCH(C3615, ""薪資""))), ""內部轉帳(忽略)"",
  REGEXMATCH(C3615, ""薪資""), ""薪資變動(不計入)"",
  REGEXMATCH(C3615, ""押金""), ""押金往來"",
  AND(E3615&lt;&gt;"""", F3615=""""), ""真實支出"",
  AND(E3615="""", F3615&lt;&gt;""""), ""真實收入"",
  TRUE, ""其他""
)"),"其他")</f>
        <v>其他</v>
      </c>
      <c r="K3615" s="270" t="str">
        <f t="shared" si="2"/>
        <v/>
      </c>
      <c r="L3615">
        <f t="shared" si="3"/>
        <v>0</v>
      </c>
    </row>
    <row r="3616">
      <c r="A3616" s="107"/>
      <c r="D3616" s="270"/>
      <c r="H3616" s="106" t="str">
        <f t="shared" si="1"/>
        <v/>
      </c>
      <c r="I3616" s="271" t="str">
        <f>IFERROR(__xludf.DUMMYFUNCTION("""COMPUTED_VALUE"""),"")</f>
        <v/>
      </c>
      <c r="J3616" t="str">
        <f>IFERROR(__xludf.DUMMYFUNCTION("IFS(
  AND(REGEXMATCH(E3616, ""台銀籌備帳戶|玉山帳戶""), REGEXMATCH(C3616, ""薪資"")), ""分潤支出"",
  AND(REGEXMATCH(E3616, ""Ben帳戶|Elsa帳戶|Ben代墊|Ariel代墊|中信銀行共用""), REGEXMATCH(F3616, ""Ben帳戶|Elsa帳戶|Ben代墊|Ariel代墊|中信銀行共用"")), ""內部轉帳(忽略)"",
  AND(E3616&lt;&gt;"""", F3616&lt;&gt;"""", N"&amp;"OT(REGEXMATCH(C3616, ""薪資""))), ""內部轉帳(忽略)"",
  REGEXMATCH(C3616, ""薪資""), ""薪資變動(不計入)"",
  REGEXMATCH(C3616, ""押金""), ""押金往來"",
  AND(E3616&lt;&gt;"""", F3616=""""), ""真實支出"",
  AND(E3616="""", F3616&lt;&gt;""""), ""真實收入"",
  TRUE, ""其他""
)"),"其他")</f>
        <v>其他</v>
      </c>
      <c r="K3616" s="270" t="str">
        <f t="shared" si="2"/>
        <v/>
      </c>
      <c r="L3616">
        <f t="shared" si="3"/>
        <v>0</v>
      </c>
    </row>
    <row r="3617">
      <c r="A3617" s="107"/>
      <c r="D3617" s="270"/>
      <c r="H3617" s="106" t="str">
        <f t="shared" si="1"/>
        <v/>
      </c>
      <c r="I3617" s="271" t="str">
        <f>IFERROR(__xludf.DUMMYFUNCTION("""COMPUTED_VALUE"""),"")</f>
        <v/>
      </c>
      <c r="J3617" t="str">
        <f>IFERROR(__xludf.DUMMYFUNCTION("IFS(
  AND(REGEXMATCH(E3617, ""台銀籌備帳戶|玉山帳戶""), REGEXMATCH(C3617, ""薪資"")), ""分潤支出"",
  AND(REGEXMATCH(E3617, ""Ben帳戶|Elsa帳戶|Ben代墊|Ariel代墊|中信銀行共用""), REGEXMATCH(F3617, ""Ben帳戶|Elsa帳戶|Ben代墊|Ariel代墊|中信銀行共用"")), ""內部轉帳(忽略)"",
  AND(E3617&lt;&gt;"""", F3617&lt;&gt;"""", N"&amp;"OT(REGEXMATCH(C3617, ""薪資""))), ""內部轉帳(忽略)"",
  REGEXMATCH(C3617, ""薪資""), ""薪資變動(不計入)"",
  REGEXMATCH(C3617, ""押金""), ""押金往來"",
  AND(E3617&lt;&gt;"""", F3617=""""), ""真實支出"",
  AND(E3617="""", F3617&lt;&gt;""""), ""真實收入"",
  TRUE, ""其他""
)"),"其他")</f>
        <v>其他</v>
      </c>
      <c r="K3617" s="270" t="str">
        <f t="shared" si="2"/>
        <v/>
      </c>
      <c r="L3617">
        <f t="shared" si="3"/>
        <v>0</v>
      </c>
    </row>
    <row r="3618">
      <c r="A3618" s="107"/>
      <c r="D3618" s="270"/>
      <c r="H3618" s="106" t="str">
        <f t="shared" si="1"/>
        <v/>
      </c>
      <c r="I3618" s="271" t="str">
        <f>IFERROR(__xludf.DUMMYFUNCTION("""COMPUTED_VALUE"""),"")</f>
        <v/>
      </c>
      <c r="J3618" t="str">
        <f>IFERROR(__xludf.DUMMYFUNCTION("IFS(
  AND(REGEXMATCH(E3618, ""台銀籌備帳戶|玉山帳戶""), REGEXMATCH(C3618, ""薪資"")), ""分潤支出"",
  AND(REGEXMATCH(E3618, ""Ben帳戶|Elsa帳戶|Ben代墊|Ariel代墊|中信銀行共用""), REGEXMATCH(F3618, ""Ben帳戶|Elsa帳戶|Ben代墊|Ariel代墊|中信銀行共用"")), ""內部轉帳(忽略)"",
  AND(E3618&lt;&gt;"""", F3618&lt;&gt;"""", N"&amp;"OT(REGEXMATCH(C3618, ""薪資""))), ""內部轉帳(忽略)"",
  REGEXMATCH(C3618, ""薪資""), ""薪資變動(不計入)"",
  REGEXMATCH(C3618, ""押金""), ""押金往來"",
  AND(E3618&lt;&gt;"""", F3618=""""), ""真實支出"",
  AND(E3618="""", F3618&lt;&gt;""""), ""真實收入"",
  TRUE, ""其他""
)"),"其他")</f>
        <v>其他</v>
      </c>
      <c r="K3618" s="270" t="str">
        <f t="shared" si="2"/>
        <v/>
      </c>
      <c r="L3618">
        <f t="shared" si="3"/>
        <v>0</v>
      </c>
    </row>
    <row r="3619">
      <c r="A3619" s="107"/>
      <c r="D3619" s="270"/>
      <c r="H3619" s="106" t="str">
        <f t="shared" si="1"/>
        <v/>
      </c>
      <c r="I3619" s="271" t="str">
        <f>IFERROR(__xludf.DUMMYFUNCTION("""COMPUTED_VALUE"""),"")</f>
        <v/>
      </c>
      <c r="J3619" t="str">
        <f>IFERROR(__xludf.DUMMYFUNCTION("IFS(
  AND(REGEXMATCH(E3619, ""台銀籌備帳戶|玉山帳戶""), REGEXMATCH(C3619, ""薪資"")), ""分潤支出"",
  AND(REGEXMATCH(E3619, ""Ben帳戶|Elsa帳戶|Ben代墊|Ariel代墊|中信銀行共用""), REGEXMATCH(F3619, ""Ben帳戶|Elsa帳戶|Ben代墊|Ariel代墊|中信銀行共用"")), ""內部轉帳(忽略)"",
  AND(E3619&lt;&gt;"""", F3619&lt;&gt;"""", N"&amp;"OT(REGEXMATCH(C3619, ""薪資""))), ""內部轉帳(忽略)"",
  REGEXMATCH(C3619, ""薪資""), ""薪資變動(不計入)"",
  REGEXMATCH(C3619, ""押金""), ""押金往來"",
  AND(E3619&lt;&gt;"""", F3619=""""), ""真實支出"",
  AND(E3619="""", F3619&lt;&gt;""""), ""真實收入"",
  TRUE, ""其他""
)"),"其他")</f>
        <v>其他</v>
      </c>
      <c r="K3619" s="270" t="str">
        <f t="shared" si="2"/>
        <v/>
      </c>
      <c r="L3619">
        <f t="shared" si="3"/>
        <v>0</v>
      </c>
    </row>
    <row r="3620">
      <c r="A3620" s="107"/>
      <c r="D3620" s="270"/>
      <c r="H3620" s="106" t="str">
        <f t="shared" si="1"/>
        <v/>
      </c>
      <c r="I3620" s="271" t="str">
        <f>IFERROR(__xludf.DUMMYFUNCTION("""COMPUTED_VALUE"""),"")</f>
        <v/>
      </c>
      <c r="J3620" t="str">
        <f>IFERROR(__xludf.DUMMYFUNCTION("IFS(
  AND(REGEXMATCH(E3620, ""台銀籌備帳戶|玉山帳戶""), REGEXMATCH(C3620, ""薪資"")), ""分潤支出"",
  AND(REGEXMATCH(E3620, ""Ben帳戶|Elsa帳戶|Ben代墊|Ariel代墊|中信銀行共用""), REGEXMATCH(F3620, ""Ben帳戶|Elsa帳戶|Ben代墊|Ariel代墊|中信銀行共用"")), ""內部轉帳(忽略)"",
  AND(E3620&lt;&gt;"""", F3620&lt;&gt;"""", N"&amp;"OT(REGEXMATCH(C3620, ""薪資""))), ""內部轉帳(忽略)"",
  REGEXMATCH(C3620, ""薪資""), ""薪資變動(不計入)"",
  REGEXMATCH(C3620, ""押金""), ""押金往來"",
  AND(E3620&lt;&gt;"""", F3620=""""), ""真實支出"",
  AND(E3620="""", F3620&lt;&gt;""""), ""真實收入"",
  TRUE, ""其他""
)"),"其他")</f>
        <v>其他</v>
      </c>
      <c r="K3620" s="270" t="str">
        <f t="shared" si="2"/>
        <v/>
      </c>
      <c r="L3620">
        <f t="shared" si="3"/>
        <v>0</v>
      </c>
    </row>
    <row r="3621">
      <c r="A3621" s="107"/>
      <c r="D3621" s="270"/>
      <c r="H3621" s="106" t="str">
        <f t="shared" si="1"/>
        <v/>
      </c>
      <c r="I3621" s="271" t="str">
        <f>IFERROR(__xludf.DUMMYFUNCTION("""COMPUTED_VALUE"""),"")</f>
        <v/>
      </c>
      <c r="J3621" t="str">
        <f>IFERROR(__xludf.DUMMYFUNCTION("IFS(
  AND(REGEXMATCH(E3621, ""台銀籌備帳戶|玉山帳戶""), REGEXMATCH(C3621, ""薪資"")), ""分潤支出"",
  AND(REGEXMATCH(E3621, ""Ben帳戶|Elsa帳戶|Ben代墊|Ariel代墊|中信銀行共用""), REGEXMATCH(F3621, ""Ben帳戶|Elsa帳戶|Ben代墊|Ariel代墊|中信銀行共用"")), ""內部轉帳(忽略)"",
  AND(E3621&lt;&gt;"""", F3621&lt;&gt;"""", N"&amp;"OT(REGEXMATCH(C3621, ""薪資""))), ""內部轉帳(忽略)"",
  REGEXMATCH(C3621, ""薪資""), ""薪資變動(不計入)"",
  REGEXMATCH(C3621, ""押金""), ""押金往來"",
  AND(E3621&lt;&gt;"""", F3621=""""), ""真實支出"",
  AND(E3621="""", F3621&lt;&gt;""""), ""真實收入"",
  TRUE, ""其他""
)"),"其他")</f>
        <v>其他</v>
      </c>
      <c r="K3621" s="270" t="str">
        <f t="shared" si="2"/>
        <v/>
      </c>
      <c r="L3621">
        <f t="shared" si="3"/>
        <v>0</v>
      </c>
    </row>
    <row r="3622">
      <c r="A3622" s="107"/>
      <c r="D3622" s="270"/>
      <c r="H3622" s="106" t="str">
        <f t="shared" si="1"/>
        <v/>
      </c>
      <c r="I3622" s="271" t="str">
        <f>IFERROR(__xludf.DUMMYFUNCTION("""COMPUTED_VALUE"""),"")</f>
        <v/>
      </c>
      <c r="J3622" t="str">
        <f>IFERROR(__xludf.DUMMYFUNCTION("IFS(
  AND(REGEXMATCH(E3622, ""台銀籌備帳戶|玉山帳戶""), REGEXMATCH(C3622, ""薪資"")), ""分潤支出"",
  AND(REGEXMATCH(E3622, ""Ben帳戶|Elsa帳戶|Ben代墊|Ariel代墊|中信銀行共用""), REGEXMATCH(F3622, ""Ben帳戶|Elsa帳戶|Ben代墊|Ariel代墊|中信銀行共用"")), ""內部轉帳(忽略)"",
  AND(E3622&lt;&gt;"""", F3622&lt;&gt;"""", N"&amp;"OT(REGEXMATCH(C3622, ""薪資""))), ""內部轉帳(忽略)"",
  REGEXMATCH(C3622, ""薪資""), ""薪資變動(不計入)"",
  REGEXMATCH(C3622, ""押金""), ""押金往來"",
  AND(E3622&lt;&gt;"""", F3622=""""), ""真實支出"",
  AND(E3622="""", F3622&lt;&gt;""""), ""真實收入"",
  TRUE, ""其他""
)"),"其他")</f>
        <v>其他</v>
      </c>
      <c r="K3622" s="270" t="str">
        <f t="shared" si="2"/>
        <v/>
      </c>
      <c r="L3622">
        <f t="shared" si="3"/>
        <v>0</v>
      </c>
    </row>
    <row r="3623">
      <c r="A3623" s="107"/>
      <c r="D3623" s="270"/>
      <c r="H3623" s="106" t="str">
        <f t="shared" si="1"/>
        <v/>
      </c>
      <c r="I3623" s="271" t="str">
        <f>IFERROR(__xludf.DUMMYFUNCTION("""COMPUTED_VALUE"""),"")</f>
        <v/>
      </c>
      <c r="J3623" t="str">
        <f>IFERROR(__xludf.DUMMYFUNCTION("IFS(
  AND(REGEXMATCH(E3623, ""台銀籌備帳戶|玉山帳戶""), REGEXMATCH(C3623, ""薪資"")), ""分潤支出"",
  AND(REGEXMATCH(E3623, ""Ben帳戶|Elsa帳戶|Ben代墊|Ariel代墊|中信銀行共用""), REGEXMATCH(F3623, ""Ben帳戶|Elsa帳戶|Ben代墊|Ariel代墊|中信銀行共用"")), ""內部轉帳(忽略)"",
  AND(E3623&lt;&gt;"""", F3623&lt;&gt;"""", N"&amp;"OT(REGEXMATCH(C3623, ""薪資""))), ""內部轉帳(忽略)"",
  REGEXMATCH(C3623, ""薪資""), ""薪資變動(不計入)"",
  REGEXMATCH(C3623, ""押金""), ""押金往來"",
  AND(E3623&lt;&gt;"""", F3623=""""), ""真實支出"",
  AND(E3623="""", F3623&lt;&gt;""""), ""真實收入"",
  TRUE, ""其他""
)"),"其他")</f>
        <v>其他</v>
      </c>
      <c r="K3623" s="270" t="str">
        <f t="shared" si="2"/>
        <v/>
      </c>
      <c r="L3623">
        <f t="shared" si="3"/>
        <v>0</v>
      </c>
    </row>
    <row r="3624">
      <c r="A3624" s="107"/>
      <c r="D3624" s="270"/>
      <c r="H3624" s="106" t="str">
        <f t="shared" si="1"/>
        <v/>
      </c>
      <c r="I3624" s="271" t="str">
        <f>IFERROR(__xludf.DUMMYFUNCTION("""COMPUTED_VALUE"""),"")</f>
        <v/>
      </c>
      <c r="J3624" t="str">
        <f>IFERROR(__xludf.DUMMYFUNCTION("IFS(
  AND(REGEXMATCH(E3624, ""台銀籌備帳戶|玉山帳戶""), REGEXMATCH(C3624, ""薪資"")), ""分潤支出"",
  AND(REGEXMATCH(E3624, ""Ben帳戶|Elsa帳戶|Ben代墊|Ariel代墊|中信銀行共用""), REGEXMATCH(F3624, ""Ben帳戶|Elsa帳戶|Ben代墊|Ariel代墊|中信銀行共用"")), ""內部轉帳(忽略)"",
  AND(E3624&lt;&gt;"""", F3624&lt;&gt;"""", N"&amp;"OT(REGEXMATCH(C3624, ""薪資""))), ""內部轉帳(忽略)"",
  REGEXMATCH(C3624, ""薪資""), ""薪資變動(不計入)"",
  REGEXMATCH(C3624, ""押金""), ""押金往來"",
  AND(E3624&lt;&gt;"""", F3624=""""), ""真實支出"",
  AND(E3624="""", F3624&lt;&gt;""""), ""真實收入"",
  TRUE, ""其他""
)"),"其他")</f>
        <v>其他</v>
      </c>
      <c r="K3624" s="270" t="str">
        <f t="shared" si="2"/>
        <v/>
      </c>
      <c r="L3624">
        <f t="shared" si="3"/>
        <v>0</v>
      </c>
    </row>
    <row r="3625">
      <c r="A3625" s="107"/>
      <c r="D3625" s="270"/>
      <c r="H3625" s="106" t="str">
        <f t="shared" si="1"/>
        <v/>
      </c>
      <c r="I3625" s="271" t="str">
        <f>IFERROR(__xludf.DUMMYFUNCTION("""COMPUTED_VALUE"""),"")</f>
        <v/>
      </c>
      <c r="J3625" t="str">
        <f>IFERROR(__xludf.DUMMYFUNCTION("IFS(
  AND(REGEXMATCH(E3625, ""台銀籌備帳戶|玉山帳戶""), REGEXMATCH(C3625, ""薪資"")), ""分潤支出"",
  AND(REGEXMATCH(E3625, ""Ben帳戶|Elsa帳戶|Ben代墊|Ariel代墊|中信銀行共用""), REGEXMATCH(F3625, ""Ben帳戶|Elsa帳戶|Ben代墊|Ariel代墊|中信銀行共用"")), ""內部轉帳(忽略)"",
  AND(E3625&lt;&gt;"""", F3625&lt;&gt;"""", N"&amp;"OT(REGEXMATCH(C3625, ""薪資""))), ""內部轉帳(忽略)"",
  REGEXMATCH(C3625, ""薪資""), ""薪資變動(不計入)"",
  REGEXMATCH(C3625, ""押金""), ""押金往來"",
  AND(E3625&lt;&gt;"""", F3625=""""), ""真實支出"",
  AND(E3625="""", F3625&lt;&gt;""""), ""真實收入"",
  TRUE, ""其他""
)"),"其他")</f>
        <v>其他</v>
      </c>
      <c r="K3625" s="270" t="str">
        <f t="shared" si="2"/>
        <v/>
      </c>
      <c r="L3625">
        <f t="shared" si="3"/>
        <v>0</v>
      </c>
    </row>
    <row r="3626">
      <c r="A3626" s="107"/>
      <c r="D3626" s="270"/>
      <c r="H3626" s="106" t="str">
        <f t="shared" si="1"/>
        <v/>
      </c>
      <c r="I3626" s="271" t="str">
        <f>IFERROR(__xludf.DUMMYFUNCTION("""COMPUTED_VALUE"""),"")</f>
        <v/>
      </c>
      <c r="J3626" t="str">
        <f>IFERROR(__xludf.DUMMYFUNCTION("IFS(
  AND(REGEXMATCH(E3626, ""台銀籌備帳戶|玉山帳戶""), REGEXMATCH(C3626, ""薪資"")), ""分潤支出"",
  AND(REGEXMATCH(E3626, ""Ben帳戶|Elsa帳戶|Ben代墊|Ariel代墊|中信銀行共用""), REGEXMATCH(F3626, ""Ben帳戶|Elsa帳戶|Ben代墊|Ariel代墊|中信銀行共用"")), ""內部轉帳(忽略)"",
  AND(E3626&lt;&gt;"""", F3626&lt;&gt;"""", N"&amp;"OT(REGEXMATCH(C3626, ""薪資""))), ""內部轉帳(忽略)"",
  REGEXMATCH(C3626, ""薪資""), ""薪資變動(不計入)"",
  REGEXMATCH(C3626, ""押金""), ""押金往來"",
  AND(E3626&lt;&gt;"""", F3626=""""), ""真實支出"",
  AND(E3626="""", F3626&lt;&gt;""""), ""真實收入"",
  TRUE, ""其他""
)"),"其他")</f>
        <v>其他</v>
      </c>
      <c r="K3626" s="270" t="str">
        <f t="shared" si="2"/>
        <v/>
      </c>
      <c r="L3626">
        <f t="shared" si="3"/>
        <v>0</v>
      </c>
    </row>
    <row r="3627">
      <c r="A3627" s="107"/>
      <c r="D3627" s="270"/>
      <c r="H3627" s="106" t="str">
        <f t="shared" si="1"/>
        <v/>
      </c>
      <c r="I3627" s="271" t="str">
        <f>IFERROR(__xludf.DUMMYFUNCTION("""COMPUTED_VALUE"""),"")</f>
        <v/>
      </c>
      <c r="J3627" t="str">
        <f>IFERROR(__xludf.DUMMYFUNCTION("IFS(
  AND(REGEXMATCH(E3627, ""台銀籌備帳戶|玉山帳戶""), REGEXMATCH(C3627, ""薪資"")), ""分潤支出"",
  AND(REGEXMATCH(E3627, ""Ben帳戶|Elsa帳戶|Ben代墊|Ariel代墊|中信銀行共用""), REGEXMATCH(F3627, ""Ben帳戶|Elsa帳戶|Ben代墊|Ariel代墊|中信銀行共用"")), ""內部轉帳(忽略)"",
  AND(E3627&lt;&gt;"""", F3627&lt;&gt;"""", N"&amp;"OT(REGEXMATCH(C3627, ""薪資""))), ""內部轉帳(忽略)"",
  REGEXMATCH(C3627, ""薪資""), ""薪資變動(不計入)"",
  REGEXMATCH(C3627, ""押金""), ""押金往來"",
  AND(E3627&lt;&gt;"""", F3627=""""), ""真實支出"",
  AND(E3627="""", F3627&lt;&gt;""""), ""真實收入"",
  TRUE, ""其他""
)"),"其他")</f>
        <v>其他</v>
      </c>
      <c r="K3627" s="270" t="str">
        <f t="shared" si="2"/>
        <v/>
      </c>
      <c r="L3627">
        <f t="shared" si="3"/>
        <v>0</v>
      </c>
    </row>
    <row r="3628">
      <c r="A3628" s="107"/>
      <c r="D3628" s="270"/>
      <c r="H3628" s="106" t="str">
        <f t="shared" si="1"/>
        <v/>
      </c>
      <c r="I3628" s="271" t="str">
        <f>IFERROR(__xludf.DUMMYFUNCTION("""COMPUTED_VALUE"""),"")</f>
        <v/>
      </c>
      <c r="J3628" t="str">
        <f>IFERROR(__xludf.DUMMYFUNCTION("IFS(
  AND(REGEXMATCH(E3628, ""台銀籌備帳戶|玉山帳戶""), REGEXMATCH(C3628, ""薪資"")), ""分潤支出"",
  AND(REGEXMATCH(E3628, ""Ben帳戶|Elsa帳戶|Ben代墊|Ariel代墊|中信銀行共用""), REGEXMATCH(F3628, ""Ben帳戶|Elsa帳戶|Ben代墊|Ariel代墊|中信銀行共用"")), ""內部轉帳(忽略)"",
  AND(E3628&lt;&gt;"""", F3628&lt;&gt;"""", N"&amp;"OT(REGEXMATCH(C3628, ""薪資""))), ""內部轉帳(忽略)"",
  REGEXMATCH(C3628, ""薪資""), ""薪資變動(不計入)"",
  REGEXMATCH(C3628, ""押金""), ""押金往來"",
  AND(E3628&lt;&gt;"""", F3628=""""), ""真實支出"",
  AND(E3628="""", F3628&lt;&gt;""""), ""真實收入"",
  TRUE, ""其他""
)"),"其他")</f>
        <v>其他</v>
      </c>
      <c r="K3628" s="270" t="str">
        <f t="shared" si="2"/>
        <v/>
      </c>
      <c r="L3628">
        <f t="shared" si="3"/>
        <v>0</v>
      </c>
    </row>
    <row r="3629">
      <c r="A3629" s="107"/>
      <c r="D3629" s="270"/>
      <c r="H3629" s="106" t="str">
        <f t="shared" si="1"/>
        <v/>
      </c>
      <c r="I3629" s="271" t="str">
        <f>IFERROR(__xludf.DUMMYFUNCTION("""COMPUTED_VALUE"""),"")</f>
        <v/>
      </c>
      <c r="J3629" t="str">
        <f>IFERROR(__xludf.DUMMYFUNCTION("IFS(
  AND(REGEXMATCH(E3629, ""台銀籌備帳戶|玉山帳戶""), REGEXMATCH(C3629, ""薪資"")), ""分潤支出"",
  AND(REGEXMATCH(E3629, ""Ben帳戶|Elsa帳戶|Ben代墊|Ariel代墊|中信銀行共用""), REGEXMATCH(F3629, ""Ben帳戶|Elsa帳戶|Ben代墊|Ariel代墊|中信銀行共用"")), ""內部轉帳(忽略)"",
  AND(E3629&lt;&gt;"""", F3629&lt;&gt;"""", N"&amp;"OT(REGEXMATCH(C3629, ""薪資""))), ""內部轉帳(忽略)"",
  REGEXMATCH(C3629, ""薪資""), ""薪資變動(不計入)"",
  REGEXMATCH(C3629, ""押金""), ""押金往來"",
  AND(E3629&lt;&gt;"""", F3629=""""), ""真實支出"",
  AND(E3629="""", F3629&lt;&gt;""""), ""真實收入"",
  TRUE, ""其他""
)"),"其他")</f>
        <v>其他</v>
      </c>
      <c r="K3629" s="270" t="str">
        <f t="shared" si="2"/>
        <v/>
      </c>
      <c r="L3629">
        <f t="shared" si="3"/>
        <v>0</v>
      </c>
    </row>
    <row r="3630">
      <c r="A3630" s="107"/>
      <c r="D3630" s="270"/>
      <c r="H3630" s="106" t="str">
        <f t="shared" si="1"/>
        <v/>
      </c>
      <c r="I3630" s="271" t="str">
        <f>IFERROR(__xludf.DUMMYFUNCTION("""COMPUTED_VALUE"""),"")</f>
        <v/>
      </c>
      <c r="J3630" t="str">
        <f>IFERROR(__xludf.DUMMYFUNCTION("IFS(
  AND(REGEXMATCH(E3630, ""台銀籌備帳戶|玉山帳戶""), REGEXMATCH(C3630, ""薪資"")), ""分潤支出"",
  AND(REGEXMATCH(E3630, ""Ben帳戶|Elsa帳戶|Ben代墊|Ariel代墊|中信銀行共用""), REGEXMATCH(F3630, ""Ben帳戶|Elsa帳戶|Ben代墊|Ariel代墊|中信銀行共用"")), ""內部轉帳(忽略)"",
  AND(E3630&lt;&gt;"""", F3630&lt;&gt;"""", N"&amp;"OT(REGEXMATCH(C3630, ""薪資""))), ""內部轉帳(忽略)"",
  REGEXMATCH(C3630, ""薪資""), ""薪資變動(不計入)"",
  REGEXMATCH(C3630, ""押金""), ""押金往來"",
  AND(E3630&lt;&gt;"""", F3630=""""), ""真實支出"",
  AND(E3630="""", F3630&lt;&gt;""""), ""真實收入"",
  TRUE, ""其他""
)"),"其他")</f>
        <v>其他</v>
      </c>
      <c r="K3630" s="270" t="str">
        <f t="shared" si="2"/>
        <v/>
      </c>
      <c r="L3630">
        <f t="shared" si="3"/>
        <v>0</v>
      </c>
    </row>
    <row r="3631">
      <c r="A3631" s="107"/>
      <c r="D3631" s="270"/>
      <c r="H3631" s="106" t="str">
        <f t="shared" si="1"/>
        <v/>
      </c>
      <c r="I3631" s="271" t="str">
        <f>IFERROR(__xludf.DUMMYFUNCTION("""COMPUTED_VALUE"""),"")</f>
        <v/>
      </c>
      <c r="J3631" t="str">
        <f>IFERROR(__xludf.DUMMYFUNCTION("IFS(
  AND(REGEXMATCH(E3631, ""台銀籌備帳戶|玉山帳戶""), REGEXMATCH(C3631, ""薪資"")), ""分潤支出"",
  AND(REGEXMATCH(E3631, ""Ben帳戶|Elsa帳戶|Ben代墊|Ariel代墊|中信銀行共用""), REGEXMATCH(F3631, ""Ben帳戶|Elsa帳戶|Ben代墊|Ariel代墊|中信銀行共用"")), ""內部轉帳(忽略)"",
  AND(E3631&lt;&gt;"""", F3631&lt;&gt;"""", N"&amp;"OT(REGEXMATCH(C3631, ""薪資""))), ""內部轉帳(忽略)"",
  REGEXMATCH(C3631, ""薪資""), ""薪資變動(不計入)"",
  REGEXMATCH(C3631, ""押金""), ""押金往來"",
  AND(E3631&lt;&gt;"""", F3631=""""), ""真實支出"",
  AND(E3631="""", F3631&lt;&gt;""""), ""真實收入"",
  TRUE, ""其他""
)"),"其他")</f>
        <v>其他</v>
      </c>
      <c r="K3631" s="270" t="str">
        <f t="shared" si="2"/>
        <v/>
      </c>
      <c r="L3631">
        <f t="shared" si="3"/>
        <v>0</v>
      </c>
    </row>
    <row r="3632">
      <c r="A3632" s="107"/>
      <c r="D3632" s="270"/>
      <c r="H3632" s="106" t="str">
        <f t="shared" si="1"/>
        <v/>
      </c>
      <c r="I3632" s="271" t="str">
        <f>IFERROR(__xludf.DUMMYFUNCTION("""COMPUTED_VALUE"""),"")</f>
        <v/>
      </c>
      <c r="J3632" t="str">
        <f>IFERROR(__xludf.DUMMYFUNCTION("IFS(
  AND(REGEXMATCH(E3632, ""台銀籌備帳戶|玉山帳戶""), REGEXMATCH(C3632, ""薪資"")), ""分潤支出"",
  AND(REGEXMATCH(E3632, ""Ben帳戶|Elsa帳戶|Ben代墊|Ariel代墊|中信銀行共用""), REGEXMATCH(F3632, ""Ben帳戶|Elsa帳戶|Ben代墊|Ariel代墊|中信銀行共用"")), ""內部轉帳(忽略)"",
  AND(E3632&lt;&gt;"""", F3632&lt;&gt;"""", N"&amp;"OT(REGEXMATCH(C3632, ""薪資""))), ""內部轉帳(忽略)"",
  REGEXMATCH(C3632, ""薪資""), ""薪資變動(不計入)"",
  REGEXMATCH(C3632, ""押金""), ""押金往來"",
  AND(E3632&lt;&gt;"""", F3632=""""), ""真實支出"",
  AND(E3632="""", F3632&lt;&gt;""""), ""真實收入"",
  TRUE, ""其他""
)"),"其他")</f>
        <v>其他</v>
      </c>
      <c r="K3632" s="270" t="str">
        <f t="shared" si="2"/>
        <v/>
      </c>
      <c r="L3632">
        <f t="shared" si="3"/>
        <v>0</v>
      </c>
    </row>
    <row r="3633">
      <c r="A3633" s="107"/>
      <c r="D3633" s="270"/>
      <c r="H3633" s="106" t="str">
        <f t="shared" si="1"/>
        <v/>
      </c>
      <c r="I3633" s="271" t="str">
        <f>IFERROR(__xludf.DUMMYFUNCTION("""COMPUTED_VALUE"""),"")</f>
        <v/>
      </c>
      <c r="J3633" t="str">
        <f>IFERROR(__xludf.DUMMYFUNCTION("IFS(
  AND(REGEXMATCH(E3633, ""台銀籌備帳戶|玉山帳戶""), REGEXMATCH(C3633, ""薪資"")), ""分潤支出"",
  AND(REGEXMATCH(E3633, ""Ben帳戶|Elsa帳戶|Ben代墊|Ariel代墊|中信銀行共用""), REGEXMATCH(F3633, ""Ben帳戶|Elsa帳戶|Ben代墊|Ariel代墊|中信銀行共用"")), ""內部轉帳(忽略)"",
  AND(E3633&lt;&gt;"""", F3633&lt;&gt;"""", N"&amp;"OT(REGEXMATCH(C3633, ""薪資""))), ""內部轉帳(忽略)"",
  REGEXMATCH(C3633, ""薪資""), ""薪資變動(不計入)"",
  REGEXMATCH(C3633, ""押金""), ""押金往來"",
  AND(E3633&lt;&gt;"""", F3633=""""), ""真實支出"",
  AND(E3633="""", F3633&lt;&gt;""""), ""真實收入"",
  TRUE, ""其他""
)"),"其他")</f>
        <v>其他</v>
      </c>
      <c r="K3633" s="270" t="str">
        <f t="shared" si="2"/>
        <v/>
      </c>
      <c r="L3633">
        <f t="shared" si="3"/>
        <v>0</v>
      </c>
    </row>
    <row r="3634">
      <c r="A3634" s="107"/>
      <c r="D3634" s="270"/>
      <c r="H3634" s="106" t="str">
        <f t="shared" si="1"/>
        <v/>
      </c>
      <c r="I3634" s="271" t="str">
        <f>IFERROR(__xludf.DUMMYFUNCTION("""COMPUTED_VALUE"""),"")</f>
        <v/>
      </c>
      <c r="J3634" t="str">
        <f>IFERROR(__xludf.DUMMYFUNCTION("IFS(
  AND(REGEXMATCH(E3634, ""台銀籌備帳戶|玉山帳戶""), REGEXMATCH(C3634, ""薪資"")), ""分潤支出"",
  AND(REGEXMATCH(E3634, ""Ben帳戶|Elsa帳戶|Ben代墊|Ariel代墊|中信銀行共用""), REGEXMATCH(F3634, ""Ben帳戶|Elsa帳戶|Ben代墊|Ariel代墊|中信銀行共用"")), ""內部轉帳(忽略)"",
  AND(E3634&lt;&gt;"""", F3634&lt;&gt;"""", N"&amp;"OT(REGEXMATCH(C3634, ""薪資""))), ""內部轉帳(忽略)"",
  REGEXMATCH(C3634, ""薪資""), ""薪資變動(不計入)"",
  REGEXMATCH(C3634, ""押金""), ""押金往來"",
  AND(E3634&lt;&gt;"""", F3634=""""), ""真實支出"",
  AND(E3634="""", F3634&lt;&gt;""""), ""真實收入"",
  TRUE, ""其他""
)"),"其他")</f>
        <v>其他</v>
      </c>
      <c r="K3634" s="270" t="str">
        <f t="shared" si="2"/>
        <v/>
      </c>
      <c r="L3634">
        <f t="shared" si="3"/>
        <v>0</v>
      </c>
    </row>
    <row r="3635">
      <c r="A3635" s="107"/>
      <c r="D3635" s="270"/>
      <c r="H3635" s="106" t="str">
        <f t="shared" si="1"/>
        <v/>
      </c>
      <c r="I3635" s="271" t="str">
        <f>IFERROR(__xludf.DUMMYFUNCTION("""COMPUTED_VALUE"""),"")</f>
        <v/>
      </c>
      <c r="J3635" t="str">
        <f>IFERROR(__xludf.DUMMYFUNCTION("IFS(
  AND(REGEXMATCH(E3635, ""台銀籌備帳戶|玉山帳戶""), REGEXMATCH(C3635, ""薪資"")), ""分潤支出"",
  AND(REGEXMATCH(E3635, ""Ben帳戶|Elsa帳戶|Ben代墊|Ariel代墊|中信銀行共用""), REGEXMATCH(F3635, ""Ben帳戶|Elsa帳戶|Ben代墊|Ariel代墊|中信銀行共用"")), ""內部轉帳(忽略)"",
  AND(E3635&lt;&gt;"""", F3635&lt;&gt;"""", N"&amp;"OT(REGEXMATCH(C3635, ""薪資""))), ""內部轉帳(忽略)"",
  REGEXMATCH(C3635, ""薪資""), ""薪資變動(不計入)"",
  REGEXMATCH(C3635, ""押金""), ""押金往來"",
  AND(E3635&lt;&gt;"""", F3635=""""), ""真實支出"",
  AND(E3635="""", F3635&lt;&gt;""""), ""真實收入"",
  TRUE, ""其他""
)"),"其他")</f>
        <v>其他</v>
      </c>
      <c r="K3635" s="270" t="str">
        <f t="shared" si="2"/>
        <v/>
      </c>
      <c r="L3635">
        <f t="shared" si="3"/>
        <v>0</v>
      </c>
    </row>
    <row r="3636">
      <c r="A3636" s="107"/>
      <c r="D3636" s="270"/>
      <c r="H3636" s="106" t="str">
        <f t="shared" si="1"/>
        <v/>
      </c>
      <c r="I3636" s="271" t="str">
        <f>IFERROR(__xludf.DUMMYFUNCTION("""COMPUTED_VALUE"""),"")</f>
        <v/>
      </c>
      <c r="J3636" t="str">
        <f>IFERROR(__xludf.DUMMYFUNCTION("IFS(
  AND(REGEXMATCH(E3636, ""台銀籌備帳戶|玉山帳戶""), REGEXMATCH(C3636, ""薪資"")), ""分潤支出"",
  AND(REGEXMATCH(E3636, ""Ben帳戶|Elsa帳戶|Ben代墊|Ariel代墊|中信銀行共用""), REGEXMATCH(F3636, ""Ben帳戶|Elsa帳戶|Ben代墊|Ariel代墊|中信銀行共用"")), ""內部轉帳(忽略)"",
  AND(E3636&lt;&gt;"""", F3636&lt;&gt;"""", N"&amp;"OT(REGEXMATCH(C3636, ""薪資""))), ""內部轉帳(忽略)"",
  REGEXMATCH(C3636, ""薪資""), ""薪資變動(不計入)"",
  REGEXMATCH(C3636, ""押金""), ""押金往來"",
  AND(E3636&lt;&gt;"""", F3636=""""), ""真實支出"",
  AND(E3636="""", F3636&lt;&gt;""""), ""真實收入"",
  TRUE, ""其他""
)"),"其他")</f>
        <v>其他</v>
      </c>
      <c r="K3636" s="270" t="str">
        <f t="shared" si="2"/>
        <v/>
      </c>
      <c r="L3636">
        <f t="shared" si="3"/>
        <v>0</v>
      </c>
    </row>
    <row r="3637">
      <c r="A3637" s="107"/>
      <c r="D3637" s="270"/>
      <c r="H3637" s="106" t="str">
        <f t="shared" si="1"/>
        <v/>
      </c>
      <c r="I3637" s="271" t="str">
        <f>IFERROR(__xludf.DUMMYFUNCTION("""COMPUTED_VALUE"""),"")</f>
        <v/>
      </c>
      <c r="J3637" t="str">
        <f>IFERROR(__xludf.DUMMYFUNCTION("IFS(
  AND(REGEXMATCH(E3637, ""台銀籌備帳戶|玉山帳戶""), REGEXMATCH(C3637, ""薪資"")), ""分潤支出"",
  AND(REGEXMATCH(E3637, ""Ben帳戶|Elsa帳戶|Ben代墊|Ariel代墊|中信銀行共用""), REGEXMATCH(F3637, ""Ben帳戶|Elsa帳戶|Ben代墊|Ariel代墊|中信銀行共用"")), ""內部轉帳(忽略)"",
  AND(E3637&lt;&gt;"""", F3637&lt;&gt;"""", N"&amp;"OT(REGEXMATCH(C3637, ""薪資""))), ""內部轉帳(忽略)"",
  REGEXMATCH(C3637, ""薪資""), ""薪資變動(不計入)"",
  REGEXMATCH(C3637, ""押金""), ""押金往來"",
  AND(E3637&lt;&gt;"""", F3637=""""), ""真實支出"",
  AND(E3637="""", F3637&lt;&gt;""""), ""真實收入"",
  TRUE, ""其他""
)"),"其他")</f>
        <v>其他</v>
      </c>
      <c r="K3637" s="270" t="str">
        <f t="shared" si="2"/>
        <v/>
      </c>
      <c r="L3637">
        <f t="shared" si="3"/>
        <v>0</v>
      </c>
    </row>
    <row r="3638">
      <c r="A3638" s="107"/>
      <c r="D3638" s="270"/>
      <c r="H3638" s="106" t="str">
        <f t="shared" si="1"/>
        <v/>
      </c>
      <c r="I3638" s="271" t="str">
        <f>IFERROR(__xludf.DUMMYFUNCTION("""COMPUTED_VALUE"""),"")</f>
        <v/>
      </c>
      <c r="J3638" t="str">
        <f>IFERROR(__xludf.DUMMYFUNCTION("IFS(
  AND(REGEXMATCH(E3638, ""台銀籌備帳戶|玉山帳戶""), REGEXMATCH(C3638, ""薪資"")), ""分潤支出"",
  AND(REGEXMATCH(E3638, ""Ben帳戶|Elsa帳戶|Ben代墊|Ariel代墊|中信銀行共用""), REGEXMATCH(F3638, ""Ben帳戶|Elsa帳戶|Ben代墊|Ariel代墊|中信銀行共用"")), ""內部轉帳(忽略)"",
  AND(E3638&lt;&gt;"""", F3638&lt;&gt;"""", N"&amp;"OT(REGEXMATCH(C3638, ""薪資""))), ""內部轉帳(忽略)"",
  REGEXMATCH(C3638, ""薪資""), ""薪資變動(不計入)"",
  REGEXMATCH(C3638, ""押金""), ""押金往來"",
  AND(E3638&lt;&gt;"""", F3638=""""), ""真實支出"",
  AND(E3638="""", F3638&lt;&gt;""""), ""真實收入"",
  TRUE, ""其他""
)"),"其他")</f>
        <v>其他</v>
      </c>
      <c r="K3638" s="270" t="str">
        <f t="shared" si="2"/>
        <v/>
      </c>
      <c r="L3638">
        <f t="shared" si="3"/>
        <v>0</v>
      </c>
    </row>
    <row r="3639">
      <c r="A3639" s="107"/>
      <c r="D3639" s="270"/>
      <c r="H3639" s="106" t="str">
        <f t="shared" si="1"/>
        <v/>
      </c>
      <c r="I3639" s="271" t="str">
        <f>IFERROR(__xludf.DUMMYFUNCTION("""COMPUTED_VALUE"""),"")</f>
        <v/>
      </c>
      <c r="J3639" t="str">
        <f>IFERROR(__xludf.DUMMYFUNCTION("IFS(
  AND(REGEXMATCH(E3639, ""台銀籌備帳戶|玉山帳戶""), REGEXMATCH(C3639, ""薪資"")), ""分潤支出"",
  AND(REGEXMATCH(E3639, ""Ben帳戶|Elsa帳戶|Ben代墊|Ariel代墊|中信銀行共用""), REGEXMATCH(F3639, ""Ben帳戶|Elsa帳戶|Ben代墊|Ariel代墊|中信銀行共用"")), ""內部轉帳(忽略)"",
  AND(E3639&lt;&gt;"""", F3639&lt;&gt;"""", N"&amp;"OT(REGEXMATCH(C3639, ""薪資""))), ""內部轉帳(忽略)"",
  REGEXMATCH(C3639, ""薪資""), ""薪資變動(不計入)"",
  REGEXMATCH(C3639, ""押金""), ""押金往來"",
  AND(E3639&lt;&gt;"""", F3639=""""), ""真實支出"",
  AND(E3639="""", F3639&lt;&gt;""""), ""真實收入"",
  TRUE, ""其他""
)"),"其他")</f>
        <v>其他</v>
      </c>
      <c r="K3639" s="270" t="str">
        <f t="shared" si="2"/>
        <v/>
      </c>
      <c r="L3639">
        <f t="shared" si="3"/>
        <v>0</v>
      </c>
    </row>
    <row r="3640">
      <c r="A3640" s="107"/>
      <c r="D3640" s="270"/>
      <c r="H3640" s="106" t="str">
        <f t="shared" si="1"/>
        <v/>
      </c>
      <c r="I3640" s="271" t="str">
        <f>IFERROR(__xludf.DUMMYFUNCTION("""COMPUTED_VALUE"""),"")</f>
        <v/>
      </c>
      <c r="J3640" t="str">
        <f>IFERROR(__xludf.DUMMYFUNCTION("IFS(
  AND(REGEXMATCH(E3640, ""台銀籌備帳戶|玉山帳戶""), REGEXMATCH(C3640, ""薪資"")), ""分潤支出"",
  AND(REGEXMATCH(E3640, ""Ben帳戶|Elsa帳戶|Ben代墊|Ariel代墊|中信銀行共用""), REGEXMATCH(F3640, ""Ben帳戶|Elsa帳戶|Ben代墊|Ariel代墊|中信銀行共用"")), ""內部轉帳(忽略)"",
  AND(E3640&lt;&gt;"""", F3640&lt;&gt;"""", N"&amp;"OT(REGEXMATCH(C3640, ""薪資""))), ""內部轉帳(忽略)"",
  REGEXMATCH(C3640, ""薪資""), ""薪資變動(不計入)"",
  REGEXMATCH(C3640, ""押金""), ""押金往來"",
  AND(E3640&lt;&gt;"""", F3640=""""), ""真實支出"",
  AND(E3640="""", F3640&lt;&gt;""""), ""真實收入"",
  TRUE, ""其他""
)"),"其他")</f>
        <v>其他</v>
      </c>
      <c r="K3640" s="270" t="str">
        <f t="shared" si="2"/>
        <v/>
      </c>
      <c r="L3640">
        <f t="shared" si="3"/>
        <v>0</v>
      </c>
    </row>
    <row r="3641">
      <c r="A3641" s="107"/>
      <c r="D3641" s="270"/>
      <c r="H3641" s="106" t="str">
        <f t="shared" si="1"/>
        <v/>
      </c>
      <c r="I3641" s="271" t="str">
        <f>IFERROR(__xludf.DUMMYFUNCTION("""COMPUTED_VALUE"""),"")</f>
        <v/>
      </c>
      <c r="J3641" t="str">
        <f>IFERROR(__xludf.DUMMYFUNCTION("IFS(
  AND(REGEXMATCH(E3641, ""台銀籌備帳戶|玉山帳戶""), REGEXMATCH(C3641, ""薪資"")), ""分潤支出"",
  AND(REGEXMATCH(E3641, ""Ben帳戶|Elsa帳戶|Ben代墊|Ariel代墊|中信銀行共用""), REGEXMATCH(F3641, ""Ben帳戶|Elsa帳戶|Ben代墊|Ariel代墊|中信銀行共用"")), ""內部轉帳(忽略)"",
  AND(E3641&lt;&gt;"""", F3641&lt;&gt;"""", N"&amp;"OT(REGEXMATCH(C3641, ""薪資""))), ""內部轉帳(忽略)"",
  REGEXMATCH(C3641, ""薪資""), ""薪資變動(不計入)"",
  REGEXMATCH(C3641, ""押金""), ""押金往來"",
  AND(E3641&lt;&gt;"""", F3641=""""), ""真實支出"",
  AND(E3641="""", F3641&lt;&gt;""""), ""真實收入"",
  TRUE, ""其他""
)"),"其他")</f>
        <v>其他</v>
      </c>
      <c r="K3641" s="270" t="str">
        <f t="shared" si="2"/>
        <v/>
      </c>
      <c r="L3641">
        <f t="shared" si="3"/>
        <v>0</v>
      </c>
    </row>
    <row r="3642">
      <c r="A3642" s="107"/>
      <c r="D3642" s="270"/>
      <c r="H3642" s="106" t="str">
        <f t="shared" si="1"/>
        <v/>
      </c>
      <c r="I3642" s="271" t="str">
        <f>IFERROR(__xludf.DUMMYFUNCTION("""COMPUTED_VALUE"""),"")</f>
        <v/>
      </c>
      <c r="J3642" t="str">
        <f>IFERROR(__xludf.DUMMYFUNCTION("IFS(
  AND(REGEXMATCH(E3642, ""台銀籌備帳戶|玉山帳戶""), REGEXMATCH(C3642, ""薪資"")), ""分潤支出"",
  AND(REGEXMATCH(E3642, ""Ben帳戶|Elsa帳戶|Ben代墊|Ariel代墊|中信銀行共用""), REGEXMATCH(F3642, ""Ben帳戶|Elsa帳戶|Ben代墊|Ariel代墊|中信銀行共用"")), ""內部轉帳(忽略)"",
  AND(E3642&lt;&gt;"""", F3642&lt;&gt;"""", N"&amp;"OT(REGEXMATCH(C3642, ""薪資""))), ""內部轉帳(忽略)"",
  REGEXMATCH(C3642, ""薪資""), ""薪資變動(不計入)"",
  REGEXMATCH(C3642, ""押金""), ""押金往來"",
  AND(E3642&lt;&gt;"""", F3642=""""), ""真實支出"",
  AND(E3642="""", F3642&lt;&gt;""""), ""真實收入"",
  TRUE, ""其他""
)"),"其他")</f>
        <v>其他</v>
      </c>
      <c r="K3642" s="270" t="str">
        <f t="shared" si="2"/>
        <v/>
      </c>
      <c r="L3642">
        <f t="shared" si="3"/>
        <v>0</v>
      </c>
    </row>
    <row r="3643">
      <c r="A3643" s="107"/>
      <c r="D3643" s="270"/>
      <c r="H3643" s="106" t="str">
        <f t="shared" si="1"/>
        <v/>
      </c>
      <c r="I3643" s="271" t="str">
        <f>IFERROR(__xludf.DUMMYFUNCTION("""COMPUTED_VALUE"""),"")</f>
        <v/>
      </c>
      <c r="J3643" t="str">
        <f>IFERROR(__xludf.DUMMYFUNCTION("IFS(
  AND(REGEXMATCH(E3643, ""台銀籌備帳戶|玉山帳戶""), REGEXMATCH(C3643, ""薪資"")), ""分潤支出"",
  AND(REGEXMATCH(E3643, ""Ben帳戶|Elsa帳戶|Ben代墊|Ariel代墊|中信銀行共用""), REGEXMATCH(F3643, ""Ben帳戶|Elsa帳戶|Ben代墊|Ariel代墊|中信銀行共用"")), ""內部轉帳(忽略)"",
  AND(E3643&lt;&gt;"""", F3643&lt;&gt;"""", N"&amp;"OT(REGEXMATCH(C3643, ""薪資""))), ""內部轉帳(忽略)"",
  REGEXMATCH(C3643, ""薪資""), ""薪資變動(不計入)"",
  REGEXMATCH(C3643, ""押金""), ""押金往來"",
  AND(E3643&lt;&gt;"""", F3643=""""), ""真實支出"",
  AND(E3643="""", F3643&lt;&gt;""""), ""真實收入"",
  TRUE, ""其他""
)"),"其他")</f>
        <v>其他</v>
      </c>
      <c r="K3643" s="270" t="str">
        <f t="shared" si="2"/>
        <v/>
      </c>
      <c r="L3643">
        <f t="shared" si="3"/>
        <v>0</v>
      </c>
    </row>
    <row r="3644">
      <c r="A3644" s="107"/>
      <c r="D3644" s="270"/>
      <c r="H3644" s="106" t="str">
        <f t="shared" si="1"/>
        <v/>
      </c>
      <c r="I3644" s="271" t="str">
        <f>IFERROR(__xludf.DUMMYFUNCTION("""COMPUTED_VALUE"""),"")</f>
        <v/>
      </c>
      <c r="J3644" t="str">
        <f>IFERROR(__xludf.DUMMYFUNCTION("IFS(
  AND(REGEXMATCH(E3644, ""台銀籌備帳戶|玉山帳戶""), REGEXMATCH(C3644, ""薪資"")), ""分潤支出"",
  AND(REGEXMATCH(E3644, ""Ben帳戶|Elsa帳戶|Ben代墊|Ariel代墊|中信銀行共用""), REGEXMATCH(F3644, ""Ben帳戶|Elsa帳戶|Ben代墊|Ariel代墊|中信銀行共用"")), ""內部轉帳(忽略)"",
  AND(E3644&lt;&gt;"""", F3644&lt;&gt;"""", N"&amp;"OT(REGEXMATCH(C3644, ""薪資""))), ""內部轉帳(忽略)"",
  REGEXMATCH(C3644, ""薪資""), ""薪資變動(不計入)"",
  REGEXMATCH(C3644, ""押金""), ""押金往來"",
  AND(E3644&lt;&gt;"""", F3644=""""), ""真實支出"",
  AND(E3644="""", F3644&lt;&gt;""""), ""真實收入"",
  TRUE, ""其他""
)"),"其他")</f>
        <v>其他</v>
      </c>
      <c r="K3644" s="270" t="str">
        <f t="shared" si="2"/>
        <v/>
      </c>
      <c r="L3644">
        <f t="shared" si="3"/>
        <v>0</v>
      </c>
    </row>
    <row r="3645">
      <c r="A3645" s="107"/>
      <c r="D3645" s="270"/>
      <c r="H3645" s="106" t="str">
        <f t="shared" si="1"/>
        <v/>
      </c>
      <c r="I3645" s="271" t="str">
        <f>IFERROR(__xludf.DUMMYFUNCTION("""COMPUTED_VALUE"""),"")</f>
        <v/>
      </c>
      <c r="J3645" t="str">
        <f>IFERROR(__xludf.DUMMYFUNCTION("IFS(
  AND(REGEXMATCH(E3645, ""台銀籌備帳戶|玉山帳戶""), REGEXMATCH(C3645, ""薪資"")), ""分潤支出"",
  AND(REGEXMATCH(E3645, ""Ben帳戶|Elsa帳戶|Ben代墊|Ariel代墊|中信銀行共用""), REGEXMATCH(F3645, ""Ben帳戶|Elsa帳戶|Ben代墊|Ariel代墊|中信銀行共用"")), ""內部轉帳(忽略)"",
  AND(E3645&lt;&gt;"""", F3645&lt;&gt;"""", N"&amp;"OT(REGEXMATCH(C3645, ""薪資""))), ""內部轉帳(忽略)"",
  REGEXMATCH(C3645, ""薪資""), ""薪資變動(不計入)"",
  REGEXMATCH(C3645, ""押金""), ""押金往來"",
  AND(E3645&lt;&gt;"""", F3645=""""), ""真實支出"",
  AND(E3645="""", F3645&lt;&gt;""""), ""真實收入"",
  TRUE, ""其他""
)"),"其他")</f>
        <v>其他</v>
      </c>
      <c r="K3645" s="270" t="str">
        <f t="shared" si="2"/>
        <v/>
      </c>
      <c r="L3645">
        <f t="shared" si="3"/>
        <v>0</v>
      </c>
    </row>
    <row r="3646">
      <c r="A3646" s="107"/>
      <c r="D3646" s="270"/>
      <c r="H3646" s="106" t="str">
        <f t="shared" si="1"/>
        <v/>
      </c>
      <c r="I3646" s="271" t="str">
        <f>IFERROR(__xludf.DUMMYFUNCTION("""COMPUTED_VALUE"""),"")</f>
        <v/>
      </c>
      <c r="J3646" t="str">
        <f>IFERROR(__xludf.DUMMYFUNCTION("IFS(
  AND(REGEXMATCH(E3646, ""台銀籌備帳戶|玉山帳戶""), REGEXMATCH(C3646, ""薪資"")), ""分潤支出"",
  AND(REGEXMATCH(E3646, ""Ben帳戶|Elsa帳戶|Ben代墊|Ariel代墊|中信銀行共用""), REGEXMATCH(F3646, ""Ben帳戶|Elsa帳戶|Ben代墊|Ariel代墊|中信銀行共用"")), ""內部轉帳(忽略)"",
  AND(E3646&lt;&gt;"""", F3646&lt;&gt;"""", N"&amp;"OT(REGEXMATCH(C3646, ""薪資""))), ""內部轉帳(忽略)"",
  REGEXMATCH(C3646, ""薪資""), ""薪資變動(不計入)"",
  REGEXMATCH(C3646, ""押金""), ""押金往來"",
  AND(E3646&lt;&gt;"""", F3646=""""), ""真實支出"",
  AND(E3646="""", F3646&lt;&gt;""""), ""真實收入"",
  TRUE, ""其他""
)"),"其他")</f>
        <v>其他</v>
      </c>
      <c r="K3646" s="270" t="str">
        <f t="shared" si="2"/>
        <v/>
      </c>
      <c r="L3646">
        <f t="shared" si="3"/>
        <v>0</v>
      </c>
    </row>
    <row r="3647">
      <c r="A3647" s="107"/>
      <c r="D3647" s="270"/>
      <c r="H3647" s="106" t="str">
        <f t="shared" si="1"/>
        <v/>
      </c>
      <c r="I3647" s="271" t="str">
        <f>IFERROR(__xludf.DUMMYFUNCTION("""COMPUTED_VALUE"""),"")</f>
        <v/>
      </c>
      <c r="J3647" t="str">
        <f>IFERROR(__xludf.DUMMYFUNCTION("IFS(
  AND(REGEXMATCH(E3647, ""台銀籌備帳戶|玉山帳戶""), REGEXMATCH(C3647, ""薪資"")), ""分潤支出"",
  AND(REGEXMATCH(E3647, ""Ben帳戶|Elsa帳戶|Ben代墊|Ariel代墊|中信銀行共用""), REGEXMATCH(F3647, ""Ben帳戶|Elsa帳戶|Ben代墊|Ariel代墊|中信銀行共用"")), ""內部轉帳(忽略)"",
  AND(E3647&lt;&gt;"""", F3647&lt;&gt;"""", N"&amp;"OT(REGEXMATCH(C3647, ""薪資""))), ""內部轉帳(忽略)"",
  REGEXMATCH(C3647, ""薪資""), ""薪資變動(不計入)"",
  REGEXMATCH(C3647, ""押金""), ""押金往來"",
  AND(E3647&lt;&gt;"""", F3647=""""), ""真實支出"",
  AND(E3647="""", F3647&lt;&gt;""""), ""真實收入"",
  TRUE, ""其他""
)"),"其他")</f>
        <v>其他</v>
      </c>
      <c r="K3647" s="270" t="str">
        <f t="shared" si="2"/>
        <v/>
      </c>
      <c r="L3647">
        <f t="shared" si="3"/>
        <v>0</v>
      </c>
    </row>
    <row r="3648">
      <c r="A3648" s="107"/>
      <c r="D3648" s="270"/>
      <c r="H3648" s="106" t="str">
        <f t="shared" si="1"/>
        <v/>
      </c>
      <c r="I3648" s="271" t="str">
        <f>IFERROR(__xludf.DUMMYFUNCTION("""COMPUTED_VALUE"""),"")</f>
        <v/>
      </c>
      <c r="J3648" t="str">
        <f>IFERROR(__xludf.DUMMYFUNCTION("IFS(
  AND(REGEXMATCH(E3648, ""台銀籌備帳戶|玉山帳戶""), REGEXMATCH(C3648, ""薪資"")), ""分潤支出"",
  AND(REGEXMATCH(E3648, ""Ben帳戶|Elsa帳戶|Ben代墊|Ariel代墊|中信銀行共用""), REGEXMATCH(F3648, ""Ben帳戶|Elsa帳戶|Ben代墊|Ariel代墊|中信銀行共用"")), ""內部轉帳(忽略)"",
  AND(E3648&lt;&gt;"""", F3648&lt;&gt;"""", N"&amp;"OT(REGEXMATCH(C3648, ""薪資""))), ""內部轉帳(忽略)"",
  REGEXMATCH(C3648, ""薪資""), ""薪資變動(不計入)"",
  REGEXMATCH(C3648, ""押金""), ""押金往來"",
  AND(E3648&lt;&gt;"""", F3648=""""), ""真實支出"",
  AND(E3648="""", F3648&lt;&gt;""""), ""真實收入"",
  TRUE, ""其他""
)"),"其他")</f>
        <v>其他</v>
      </c>
      <c r="K3648" s="270" t="str">
        <f t="shared" si="2"/>
        <v/>
      </c>
      <c r="L3648">
        <f t="shared" si="3"/>
        <v>0</v>
      </c>
    </row>
    <row r="3649">
      <c r="A3649" s="107"/>
      <c r="D3649" s="270"/>
      <c r="H3649" s="106" t="str">
        <f t="shared" si="1"/>
        <v/>
      </c>
      <c r="I3649" s="271" t="str">
        <f>IFERROR(__xludf.DUMMYFUNCTION("""COMPUTED_VALUE"""),"")</f>
        <v/>
      </c>
      <c r="J3649" t="str">
        <f>IFERROR(__xludf.DUMMYFUNCTION("IFS(
  AND(REGEXMATCH(E3649, ""台銀籌備帳戶|玉山帳戶""), REGEXMATCH(C3649, ""薪資"")), ""分潤支出"",
  AND(REGEXMATCH(E3649, ""Ben帳戶|Elsa帳戶|Ben代墊|Ariel代墊|中信銀行共用""), REGEXMATCH(F3649, ""Ben帳戶|Elsa帳戶|Ben代墊|Ariel代墊|中信銀行共用"")), ""內部轉帳(忽略)"",
  AND(E3649&lt;&gt;"""", F3649&lt;&gt;"""", N"&amp;"OT(REGEXMATCH(C3649, ""薪資""))), ""內部轉帳(忽略)"",
  REGEXMATCH(C3649, ""薪資""), ""薪資變動(不計入)"",
  REGEXMATCH(C3649, ""押金""), ""押金往來"",
  AND(E3649&lt;&gt;"""", F3649=""""), ""真實支出"",
  AND(E3649="""", F3649&lt;&gt;""""), ""真實收入"",
  TRUE, ""其他""
)"),"其他")</f>
        <v>其他</v>
      </c>
      <c r="K3649" s="270" t="str">
        <f t="shared" si="2"/>
        <v/>
      </c>
      <c r="L3649">
        <f t="shared" si="3"/>
        <v>0</v>
      </c>
    </row>
    <row r="3650">
      <c r="A3650" s="107"/>
      <c r="D3650" s="270"/>
      <c r="H3650" s="106" t="str">
        <f t="shared" si="1"/>
        <v/>
      </c>
      <c r="I3650" s="271" t="str">
        <f>IFERROR(__xludf.DUMMYFUNCTION("""COMPUTED_VALUE"""),"")</f>
        <v/>
      </c>
      <c r="J3650" t="str">
        <f>IFERROR(__xludf.DUMMYFUNCTION("IFS(
  AND(REGEXMATCH(E3650, ""台銀籌備帳戶|玉山帳戶""), REGEXMATCH(C3650, ""薪資"")), ""分潤支出"",
  AND(REGEXMATCH(E3650, ""Ben帳戶|Elsa帳戶|Ben代墊|Ariel代墊|中信銀行共用""), REGEXMATCH(F3650, ""Ben帳戶|Elsa帳戶|Ben代墊|Ariel代墊|中信銀行共用"")), ""內部轉帳(忽略)"",
  AND(E3650&lt;&gt;"""", F3650&lt;&gt;"""", N"&amp;"OT(REGEXMATCH(C3650, ""薪資""))), ""內部轉帳(忽略)"",
  REGEXMATCH(C3650, ""薪資""), ""薪資變動(不計入)"",
  REGEXMATCH(C3650, ""押金""), ""押金往來"",
  AND(E3650&lt;&gt;"""", F3650=""""), ""真實支出"",
  AND(E3650="""", F3650&lt;&gt;""""), ""真實收入"",
  TRUE, ""其他""
)"),"其他")</f>
        <v>其他</v>
      </c>
      <c r="K3650" s="270" t="str">
        <f t="shared" si="2"/>
        <v/>
      </c>
      <c r="L3650">
        <f t="shared" si="3"/>
        <v>0</v>
      </c>
    </row>
    <row r="3651">
      <c r="A3651" s="107"/>
      <c r="D3651" s="270"/>
      <c r="H3651" s="106" t="str">
        <f t="shared" si="1"/>
        <v/>
      </c>
      <c r="I3651" s="271" t="str">
        <f>IFERROR(__xludf.DUMMYFUNCTION("""COMPUTED_VALUE"""),"")</f>
        <v/>
      </c>
      <c r="J3651" t="str">
        <f>IFERROR(__xludf.DUMMYFUNCTION("IFS(
  AND(REGEXMATCH(E3651, ""台銀籌備帳戶|玉山帳戶""), REGEXMATCH(C3651, ""薪資"")), ""分潤支出"",
  AND(REGEXMATCH(E3651, ""Ben帳戶|Elsa帳戶|Ben代墊|Ariel代墊|中信銀行共用""), REGEXMATCH(F3651, ""Ben帳戶|Elsa帳戶|Ben代墊|Ariel代墊|中信銀行共用"")), ""內部轉帳(忽略)"",
  AND(E3651&lt;&gt;"""", F3651&lt;&gt;"""", N"&amp;"OT(REGEXMATCH(C3651, ""薪資""))), ""內部轉帳(忽略)"",
  REGEXMATCH(C3651, ""薪資""), ""薪資變動(不計入)"",
  REGEXMATCH(C3651, ""押金""), ""押金往來"",
  AND(E3651&lt;&gt;"""", F3651=""""), ""真實支出"",
  AND(E3651="""", F3651&lt;&gt;""""), ""真實收入"",
  TRUE, ""其他""
)"),"其他")</f>
        <v>其他</v>
      </c>
      <c r="K3651" s="270" t="str">
        <f t="shared" si="2"/>
        <v/>
      </c>
      <c r="L3651">
        <f t="shared" si="3"/>
        <v>0</v>
      </c>
    </row>
    <row r="3652">
      <c r="A3652" s="107"/>
      <c r="D3652" s="270"/>
      <c r="H3652" s="106" t="str">
        <f t="shared" si="1"/>
        <v/>
      </c>
      <c r="I3652" s="271" t="str">
        <f>IFERROR(__xludf.DUMMYFUNCTION("""COMPUTED_VALUE"""),"")</f>
        <v/>
      </c>
      <c r="J3652" t="str">
        <f>IFERROR(__xludf.DUMMYFUNCTION("IFS(
  AND(REGEXMATCH(E3652, ""台銀籌備帳戶|玉山帳戶""), REGEXMATCH(C3652, ""薪資"")), ""分潤支出"",
  AND(REGEXMATCH(E3652, ""Ben帳戶|Elsa帳戶|Ben代墊|Ariel代墊|中信銀行共用""), REGEXMATCH(F3652, ""Ben帳戶|Elsa帳戶|Ben代墊|Ariel代墊|中信銀行共用"")), ""內部轉帳(忽略)"",
  AND(E3652&lt;&gt;"""", F3652&lt;&gt;"""", N"&amp;"OT(REGEXMATCH(C3652, ""薪資""))), ""內部轉帳(忽略)"",
  REGEXMATCH(C3652, ""薪資""), ""薪資變動(不計入)"",
  REGEXMATCH(C3652, ""押金""), ""押金往來"",
  AND(E3652&lt;&gt;"""", F3652=""""), ""真實支出"",
  AND(E3652="""", F3652&lt;&gt;""""), ""真實收入"",
  TRUE, ""其他""
)"),"其他")</f>
        <v>其他</v>
      </c>
      <c r="K3652" s="270" t="str">
        <f t="shared" si="2"/>
        <v/>
      </c>
      <c r="L3652">
        <f t="shared" si="3"/>
        <v>0</v>
      </c>
    </row>
    <row r="3653">
      <c r="A3653" s="107"/>
      <c r="D3653" s="270"/>
      <c r="H3653" s="106" t="str">
        <f t="shared" si="1"/>
        <v/>
      </c>
      <c r="I3653" s="271" t="str">
        <f>IFERROR(__xludf.DUMMYFUNCTION("""COMPUTED_VALUE"""),"")</f>
        <v/>
      </c>
      <c r="J3653" t="str">
        <f>IFERROR(__xludf.DUMMYFUNCTION("IFS(
  AND(REGEXMATCH(E3653, ""台銀籌備帳戶|玉山帳戶""), REGEXMATCH(C3653, ""薪資"")), ""分潤支出"",
  AND(REGEXMATCH(E3653, ""Ben帳戶|Elsa帳戶|Ben代墊|Ariel代墊|中信銀行共用""), REGEXMATCH(F3653, ""Ben帳戶|Elsa帳戶|Ben代墊|Ariel代墊|中信銀行共用"")), ""內部轉帳(忽略)"",
  AND(E3653&lt;&gt;"""", F3653&lt;&gt;"""", N"&amp;"OT(REGEXMATCH(C3653, ""薪資""))), ""內部轉帳(忽略)"",
  REGEXMATCH(C3653, ""薪資""), ""薪資變動(不計入)"",
  REGEXMATCH(C3653, ""押金""), ""押金往來"",
  AND(E3653&lt;&gt;"""", F3653=""""), ""真實支出"",
  AND(E3653="""", F3653&lt;&gt;""""), ""真實收入"",
  TRUE, ""其他""
)"),"其他")</f>
        <v>其他</v>
      </c>
      <c r="K3653" s="270" t="str">
        <f t="shared" si="2"/>
        <v/>
      </c>
      <c r="L3653">
        <f t="shared" si="3"/>
        <v>0</v>
      </c>
    </row>
    <row r="3654">
      <c r="A3654" s="107"/>
      <c r="D3654" s="270"/>
      <c r="H3654" s="106" t="str">
        <f t="shared" si="1"/>
        <v/>
      </c>
      <c r="I3654" s="271" t="str">
        <f>IFERROR(__xludf.DUMMYFUNCTION("""COMPUTED_VALUE"""),"")</f>
        <v/>
      </c>
      <c r="J3654" t="str">
        <f>IFERROR(__xludf.DUMMYFUNCTION("IFS(
  AND(REGEXMATCH(E3654, ""台銀籌備帳戶|玉山帳戶""), REGEXMATCH(C3654, ""薪資"")), ""分潤支出"",
  AND(REGEXMATCH(E3654, ""Ben帳戶|Elsa帳戶|Ben代墊|Ariel代墊|中信銀行共用""), REGEXMATCH(F3654, ""Ben帳戶|Elsa帳戶|Ben代墊|Ariel代墊|中信銀行共用"")), ""內部轉帳(忽略)"",
  AND(E3654&lt;&gt;"""", F3654&lt;&gt;"""", N"&amp;"OT(REGEXMATCH(C3654, ""薪資""))), ""內部轉帳(忽略)"",
  REGEXMATCH(C3654, ""薪資""), ""薪資變動(不計入)"",
  REGEXMATCH(C3654, ""押金""), ""押金往來"",
  AND(E3654&lt;&gt;"""", F3654=""""), ""真實支出"",
  AND(E3654="""", F3654&lt;&gt;""""), ""真實收入"",
  TRUE, ""其他""
)"),"其他")</f>
        <v>其他</v>
      </c>
      <c r="K3654" s="270" t="str">
        <f t="shared" si="2"/>
        <v/>
      </c>
      <c r="L3654">
        <f t="shared" si="3"/>
        <v>0</v>
      </c>
    </row>
    <row r="3655">
      <c r="A3655" s="107"/>
      <c r="D3655" s="270"/>
      <c r="H3655" s="106" t="str">
        <f t="shared" si="1"/>
        <v/>
      </c>
      <c r="I3655" s="271" t="str">
        <f>IFERROR(__xludf.DUMMYFUNCTION("""COMPUTED_VALUE"""),"")</f>
        <v/>
      </c>
      <c r="J3655" t="str">
        <f>IFERROR(__xludf.DUMMYFUNCTION("IFS(
  AND(REGEXMATCH(E3655, ""台銀籌備帳戶|玉山帳戶""), REGEXMATCH(C3655, ""薪資"")), ""分潤支出"",
  AND(REGEXMATCH(E3655, ""Ben帳戶|Elsa帳戶|Ben代墊|Ariel代墊|中信銀行共用""), REGEXMATCH(F3655, ""Ben帳戶|Elsa帳戶|Ben代墊|Ariel代墊|中信銀行共用"")), ""內部轉帳(忽略)"",
  AND(E3655&lt;&gt;"""", F3655&lt;&gt;"""", N"&amp;"OT(REGEXMATCH(C3655, ""薪資""))), ""內部轉帳(忽略)"",
  REGEXMATCH(C3655, ""薪資""), ""薪資變動(不計入)"",
  REGEXMATCH(C3655, ""押金""), ""押金往來"",
  AND(E3655&lt;&gt;"""", F3655=""""), ""真實支出"",
  AND(E3655="""", F3655&lt;&gt;""""), ""真實收入"",
  TRUE, ""其他""
)"),"其他")</f>
        <v>其他</v>
      </c>
      <c r="K3655" s="270" t="str">
        <f t="shared" si="2"/>
        <v/>
      </c>
      <c r="L3655">
        <f t="shared" si="3"/>
        <v>0</v>
      </c>
    </row>
    <row r="3656">
      <c r="A3656" s="107"/>
      <c r="D3656" s="270"/>
      <c r="H3656" s="106" t="str">
        <f t="shared" si="1"/>
        <v/>
      </c>
      <c r="I3656" s="271" t="str">
        <f>IFERROR(__xludf.DUMMYFUNCTION("""COMPUTED_VALUE"""),"")</f>
        <v/>
      </c>
      <c r="J3656" t="str">
        <f>IFERROR(__xludf.DUMMYFUNCTION("IFS(
  AND(REGEXMATCH(E3656, ""台銀籌備帳戶|玉山帳戶""), REGEXMATCH(C3656, ""薪資"")), ""分潤支出"",
  AND(REGEXMATCH(E3656, ""Ben帳戶|Elsa帳戶|Ben代墊|Ariel代墊|中信銀行共用""), REGEXMATCH(F3656, ""Ben帳戶|Elsa帳戶|Ben代墊|Ariel代墊|中信銀行共用"")), ""內部轉帳(忽略)"",
  AND(E3656&lt;&gt;"""", F3656&lt;&gt;"""", N"&amp;"OT(REGEXMATCH(C3656, ""薪資""))), ""內部轉帳(忽略)"",
  REGEXMATCH(C3656, ""薪資""), ""薪資變動(不計入)"",
  REGEXMATCH(C3656, ""押金""), ""押金往來"",
  AND(E3656&lt;&gt;"""", F3656=""""), ""真實支出"",
  AND(E3656="""", F3656&lt;&gt;""""), ""真實收入"",
  TRUE, ""其他""
)"),"其他")</f>
        <v>其他</v>
      </c>
      <c r="K3656" s="270" t="str">
        <f t="shared" si="2"/>
        <v/>
      </c>
      <c r="L3656">
        <f t="shared" si="3"/>
        <v>0</v>
      </c>
    </row>
    <row r="3657">
      <c r="A3657" s="107"/>
      <c r="D3657" s="270"/>
      <c r="H3657" s="106" t="str">
        <f t="shared" si="1"/>
        <v/>
      </c>
      <c r="I3657" s="271" t="str">
        <f>IFERROR(__xludf.DUMMYFUNCTION("""COMPUTED_VALUE"""),"")</f>
        <v/>
      </c>
      <c r="J3657" t="str">
        <f>IFERROR(__xludf.DUMMYFUNCTION("IFS(
  AND(REGEXMATCH(E3657, ""台銀籌備帳戶|玉山帳戶""), REGEXMATCH(C3657, ""薪資"")), ""分潤支出"",
  AND(REGEXMATCH(E3657, ""Ben帳戶|Elsa帳戶|Ben代墊|Ariel代墊|中信銀行共用""), REGEXMATCH(F3657, ""Ben帳戶|Elsa帳戶|Ben代墊|Ariel代墊|中信銀行共用"")), ""內部轉帳(忽略)"",
  AND(E3657&lt;&gt;"""", F3657&lt;&gt;"""", N"&amp;"OT(REGEXMATCH(C3657, ""薪資""))), ""內部轉帳(忽略)"",
  REGEXMATCH(C3657, ""薪資""), ""薪資變動(不計入)"",
  REGEXMATCH(C3657, ""押金""), ""押金往來"",
  AND(E3657&lt;&gt;"""", F3657=""""), ""真實支出"",
  AND(E3657="""", F3657&lt;&gt;""""), ""真實收入"",
  TRUE, ""其他""
)"),"其他")</f>
        <v>其他</v>
      </c>
      <c r="K3657" s="270" t="str">
        <f t="shared" si="2"/>
        <v/>
      </c>
      <c r="L3657">
        <f t="shared" si="3"/>
        <v>0</v>
      </c>
    </row>
    <row r="3658">
      <c r="A3658" s="107"/>
      <c r="D3658" s="270"/>
      <c r="H3658" s="106" t="str">
        <f t="shared" si="1"/>
        <v/>
      </c>
      <c r="I3658" s="271" t="str">
        <f>IFERROR(__xludf.DUMMYFUNCTION("""COMPUTED_VALUE"""),"")</f>
        <v/>
      </c>
      <c r="J3658" t="str">
        <f>IFERROR(__xludf.DUMMYFUNCTION("IFS(
  AND(REGEXMATCH(E3658, ""台銀籌備帳戶|玉山帳戶""), REGEXMATCH(C3658, ""薪資"")), ""分潤支出"",
  AND(REGEXMATCH(E3658, ""Ben帳戶|Elsa帳戶|Ben代墊|Ariel代墊|中信銀行共用""), REGEXMATCH(F3658, ""Ben帳戶|Elsa帳戶|Ben代墊|Ariel代墊|中信銀行共用"")), ""內部轉帳(忽略)"",
  AND(E3658&lt;&gt;"""", F3658&lt;&gt;"""", N"&amp;"OT(REGEXMATCH(C3658, ""薪資""))), ""內部轉帳(忽略)"",
  REGEXMATCH(C3658, ""薪資""), ""薪資變動(不計入)"",
  REGEXMATCH(C3658, ""押金""), ""押金往來"",
  AND(E3658&lt;&gt;"""", F3658=""""), ""真實支出"",
  AND(E3658="""", F3658&lt;&gt;""""), ""真實收入"",
  TRUE, ""其他""
)"),"其他")</f>
        <v>其他</v>
      </c>
      <c r="K3658" s="270" t="str">
        <f t="shared" si="2"/>
        <v/>
      </c>
      <c r="L3658">
        <f t="shared" si="3"/>
        <v>0</v>
      </c>
    </row>
    <row r="3659">
      <c r="A3659" s="107"/>
      <c r="D3659" s="270"/>
      <c r="H3659" s="106" t="str">
        <f t="shared" si="1"/>
        <v/>
      </c>
      <c r="I3659" s="271" t="str">
        <f>IFERROR(__xludf.DUMMYFUNCTION("""COMPUTED_VALUE"""),"")</f>
        <v/>
      </c>
      <c r="J3659" t="str">
        <f>IFERROR(__xludf.DUMMYFUNCTION("IFS(
  AND(REGEXMATCH(E3659, ""台銀籌備帳戶|玉山帳戶""), REGEXMATCH(C3659, ""薪資"")), ""分潤支出"",
  AND(REGEXMATCH(E3659, ""Ben帳戶|Elsa帳戶|Ben代墊|Ariel代墊|中信銀行共用""), REGEXMATCH(F3659, ""Ben帳戶|Elsa帳戶|Ben代墊|Ariel代墊|中信銀行共用"")), ""內部轉帳(忽略)"",
  AND(E3659&lt;&gt;"""", F3659&lt;&gt;"""", N"&amp;"OT(REGEXMATCH(C3659, ""薪資""))), ""內部轉帳(忽略)"",
  REGEXMATCH(C3659, ""薪資""), ""薪資變動(不計入)"",
  REGEXMATCH(C3659, ""押金""), ""押金往來"",
  AND(E3659&lt;&gt;"""", F3659=""""), ""真實支出"",
  AND(E3659="""", F3659&lt;&gt;""""), ""真實收入"",
  TRUE, ""其他""
)"),"其他")</f>
        <v>其他</v>
      </c>
      <c r="K3659" s="270" t="str">
        <f t="shared" si="2"/>
        <v/>
      </c>
      <c r="L3659">
        <f t="shared" si="3"/>
        <v>0</v>
      </c>
    </row>
    <row r="3660">
      <c r="A3660" s="107"/>
      <c r="D3660" s="270"/>
      <c r="H3660" s="106" t="str">
        <f t="shared" si="1"/>
        <v/>
      </c>
      <c r="I3660" s="271" t="str">
        <f>IFERROR(__xludf.DUMMYFUNCTION("""COMPUTED_VALUE"""),"")</f>
        <v/>
      </c>
      <c r="J3660" t="str">
        <f>IFERROR(__xludf.DUMMYFUNCTION("IFS(
  AND(REGEXMATCH(E3660, ""台銀籌備帳戶|玉山帳戶""), REGEXMATCH(C3660, ""薪資"")), ""分潤支出"",
  AND(REGEXMATCH(E3660, ""Ben帳戶|Elsa帳戶|Ben代墊|Ariel代墊|中信銀行共用""), REGEXMATCH(F3660, ""Ben帳戶|Elsa帳戶|Ben代墊|Ariel代墊|中信銀行共用"")), ""內部轉帳(忽略)"",
  AND(E3660&lt;&gt;"""", F3660&lt;&gt;"""", N"&amp;"OT(REGEXMATCH(C3660, ""薪資""))), ""內部轉帳(忽略)"",
  REGEXMATCH(C3660, ""薪資""), ""薪資變動(不計入)"",
  REGEXMATCH(C3660, ""押金""), ""押金往來"",
  AND(E3660&lt;&gt;"""", F3660=""""), ""真實支出"",
  AND(E3660="""", F3660&lt;&gt;""""), ""真實收入"",
  TRUE, ""其他""
)"),"其他")</f>
        <v>其他</v>
      </c>
      <c r="K3660" s="270" t="str">
        <f t="shared" si="2"/>
        <v/>
      </c>
      <c r="L3660">
        <f t="shared" si="3"/>
        <v>0</v>
      </c>
    </row>
    <row r="3661">
      <c r="A3661" s="107"/>
      <c r="D3661" s="270"/>
      <c r="H3661" s="106" t="str">
        <f t="shared" si="1"/>
        <v/>
      </c>
      <c r="I3661" s="271" t="str">
        <f>IFERROR(__xludf.DUMMYFUNCTION("""COMPUTED_VALUE"""),"")</f>
        <v/>
      </c>
      <c r="J3661" t="str">
        <f>IFERROR(__xludf.DUMMYFUNCTION("IFS(
  AND(REGEXMATCH(E3661, ""台銀籌備帳戶|玉山帳戶""), REGEXMATCH(C3661, ""薪資"")), ""分潤支出"",
  AND(REGEXMATCH(E3661, ""Ben帳戶|Elsa帳戶|Ben代墊|Ariel代墊|中信銀行共用""), REGEXMATCH(F3661, ""Ben帳戶|Elsa帳戶|Ben代墊|Ariel代墊|中信銀行共用"")), ""內部轉帳(忽略)"",
  AND(E3661&lt;&gt;"""", F3661&lt;&gt;"""", N"&amp;"OT(REGEXMATCH(C3661, ""薪資""))), ""內部轉帳(忽略)"",
  REGEXMATCH(C3661, ""薪資""), ""薪資變動(不計入)"",
  REGEXMATCH(C3661, ""押金""), ""押金往來"",
  AND(E3661&lt;&gt;"""", F3661=""""), ""真實支出"",
  AND(E3661="""", F3661&lt;&gt;""""), ""真實收入"",
  TRUE, ""其他""
)"),"其他")</f>
        <v>其他</v>
      </c>
      <c r="K3661" s="270" t="str">
        <f t="shared" si="2"/>
        <v/>
      </c>
      <c r="L3661">
        <f t="shared" si="3"/>
        <v>0</v>
      </c>
    </row>
    <row r="3662">
      <c r="A3662" s="107"/>
      <c r="D3662" s="270"/>
      <c r="H3662" s="106" t="str">
        <f t="shared" si="1"/>
        <v/>
      </c>
      <c r="I3662" s="271" t="str">
        <f>IFERROR(__xludf.DUMMYFUNCTION("""COMPUTED_VALUE"""),"")</f>
        <v/>
      </c>
      <c r="J3662" t="str">
        <f>IFERROR(__xludf.DUMMYFUNCTION("IFS(
  AND(REGEXMATCH(E3662, ""台銀籌備帳戶|玉山帳戶""), REGEXMATCH(C3662, ""薪資"")), ""分潤支出"",
  AND(REGEXMATCH(E3662, ""Ben帳戶|Elsa帳戶|Ben代墊|Ariel代墊|中信銀行共用""), REGEXMATCH(F3662, ""Ben帳戶|Elsa帳戶|Ben代墊|Ariel代墊|中信銀行共用"")), ""內部轉帳(忽略)"",
  AND(E3662&lt;&gt;"""", F3662&lt;&gt;"""", N"&amp;"OT(REGEXMATCH(C3662, ""薪資""))), ""內部轉帳(忽略)"",
  REGEXMATCH(C3662, ""薪資""), ""薪資變動(不計入)"",
  REGEXMATCH(C3662, ""押金""), ""押金往來"",
  AND(E3662&lt;&gt;"""", F3662=""""), ""真實支出"",
  AND(E3662="""", F3662&lt;&gt;""""), ""真實收入"",
  TRUE, ""其他""
)"),"其他")</f>
        <v>其他</v>
      </c>
      <c r="K3662" s="270" t="str">
        <f t="shared" si="2"/>
        <v/>
      </c>
      <c r="L3662">
        <f t="shared" si="3"/>
        <v>0</v>
      </c>
    </row>
    <row r="3663">
      <c r="A3663" s="107"/>
      <c r="D3663" s="270"/>
      <c r="H3663" s="106" t="str">
        <f t="shared" si="1"/>
        <v/>
      </c>
      <c r="I3663" s="271" t="str">
        <f>IFERROR(__xludf.DUMMYFUNCTION("""COMPUTED_VALUE"""),"")</f>
        <v/>
      </c>
      <c r="J3663" t="str">
        <f>IFERROR(__xludf.DUMMYFUNCTION("IFS(
  AND(REGEXMATCH(E3663, ""台銀籌備帳戶|玉山帳戶""), REGEXMATCH(C3663, ""薪資"")), ""分潤支出"",
  AND(REGEXMATCH(E3663, ""Ben帳戶|Elsa帳戶|Ben代墊|Ariel代墊|中信銀行共用""), REGEXMATCH(F3663, ""Ben帳戶|Elsa帳戶|Ben代墊|Ariel代墊|中信銀行共用"")), ""內部轉帳(忽略)"",
  AND(E3663&lt;&gt;"""", F3663&lt;&gt;"""", N"&amp;"OT(REGEXMATCH(C3663, ""薪資""))), ""內部轉帳(忽略)"",
  REGEXMATCH(C3663, ""薪資""), ""薪資變動(不計入)"",
  REGEXMATCH(C3663, ""押金""), ""押金往來"",
  AND(E3663&lt;&gt;"""", F3663=""""), ""真實支出"",
  AND(E3663="""", F3663&lt;&gt;""""), ""真實收入"",
  TRUE, ""其他""
)"),"其他")</f>
        <v>其他</v>
      </c>
      <c r="K3663" s="270" t="str">
        <f t="shared" si="2"/>
        <v/>
      </c>
      <c r="L3663">
        <f t="shared" si="3"/>
        <v>0</v>
      </c>
    </row>
    <row r="3664">
      <c r="A3664" s="107"/>
      <c r="D3664" s="270"/>
      <c r="H3664" s="106" t="str">
        <f t="shared" si="1"/>
        <v/>
      </c>
      <c r="I3664" s="271" t="str">
        <f>IFERROR(__xludf.DUMMYFUNCTION("""COMPUTED_VALUE"""),"")</f>
        <v/>
      </c>
      <c r="J3664" t="str">
        <f>IFERROR(__xludf.DUMMYFUNCTION("IFS(
  AND(REGEXMATCH(E3664, ""台銀籌備帳戶|玉山帳戶""), REGEXMATCH(C3664, ""薪資"")), ""分潤支出"",
  AND(REGEXMATCH(E3664, ""Ben帳戶|Elsa帳戶|Ben代墊|Ariel代墊|中信銀行共用""), REGEXMATCH(F3664, ""Ben帳戶|Elsa帳戶|Ben代墊|Ariel代墊|中信銀行共用"")), ""內部轉帳(忽略)"",
  AND(E3664&lt;&gt;"""", F3664&lt;&gt;"""", N"&amp;"OT(REGEXMATCH(C3664, ""薪資""))), ""內部轉帳(忽略)"",
  REGEXMATCH(C3664, ""薪資""), ""薪資變動(不計入)"",
  REGEXMATCH(C3664, ""押金""), ""押金往來"",
  AND(E3664&lt;&gt;"""", F3664=""""), ""真實支出"",
  AND(E3664="""", F3664&lt;&gt;""""), ""真實收入"",
  TRUE, ""其他""
)"),"其他")</f>
        <v>其他</v>
      </c>
      <c r="K3664" s="270" t="str">
        <f t="shared" si="2"/>
        <v/>
      </c>
      <c r="L3664">
        <f t="shared" si="3"/>
        <v>0</v>
      </c>
    </row>
    <row r="3665">
      <c r="A3665" s="107"/>
      <c r="D3665" s="270"/>
      <c r="H3665" s="106" t="str">
        <f t="shared" si="1"/>
        <v/>
      </c>
      <c r="I3665" s="271" t="str">
        <f>IFERROR(__xludf.DUMMYFUNCTION("""COMPUTED_VALUE"""),"")</f>
        <v/>
      </c>
      <c r="J3665" t="str">
        <f>IFERROR(__xludf.DUMMYFUNCTION("IFS(
  AND(REGEXMATCH(E3665, ""台銀籌備帳戶|玉山帳戶""), REGEXMATCH(C3665, ""薪資"")), ""分潤支出"",
  AND(REGEXMATCH(E3665, ""Ben帳戶|Elsa帳戶|Ben代墊|Ariel代墊|中信銀行共用""), REGEXMATCH(F3665, ""Ben帳戶|Elsa帳戶|Ben代墊|Ariel代墊|中信銀行共用"")), ""內部轉帳(忽略)"",
  AND(E3665&lt;&gt;"""", F3665&lt;&gt;"""", N"&amp;"OT(REGEXMATCH(C3665, ""薪資""))), ""內部轉帳(忽略)"",
  REGEXMATCH(C3665, ""薪資""), ""薪資變動(不計入)"",
  REGEXMATCH(C3665, ""押金""), ""押金往來"",
  AND(E3665&lt;&gt;"""", F3665=""""), ""真實支出"",
  AND(E3665="""", F3665&lt;&gt;""""), ""真實收入"",
  TRUE, ""其他""
)"),"其他")</f>
        <v>其他</v>
      </c>
      <c r="K3665" s="270" t="str">
        <f t="shared" si="2"/>
        <v/>
      </c>
      <c r="L3665">
        <f t="shared" si="3"/>
        <v>0</v>
      </c>
    </row>
    <row r="3666">
      <c r="A3666" s="107"/>
      <c r="D3666" s="270"/>
      <c r="H3666" s="106" t="str">
        <f t="shared" si="1"/>
        <v/>
      </c>
      <c r="I3666" s="271" t="str">
        <f>IFERROR(__xludf.DUMMYFUNCTION("""COMPUTED_VALUE"""),"")</f>
        <v/>
      </c>
      <c r="J3666" t="str">
        <f>IFERROR(__xludf.DUMMYFUNCTION("IFS(
  AND(REGEXMATCH(E3666, ""台銀籌備帳戶|玉山帳戶""), REGEXMATCH(C3666, ""薪資"")), ""分潤支出"",
  AND(REGEXMATCH(E3666, ""Ben帳戶|Elsa帳戶|Ben代墊|Ariel代墊|中信銀行共用""), REGEXMATCH(F3666, ""Ben帳戶|Elsa帳戶|Ben代墊|Ariel代墊|中信銀行共用"")), ""內部轉帳(忽略)"",
  AND(E3666&lt;&gt;"""", F3666&lt;&gt;"""", N"&amp;"OT(REGEXMATCH(C3666, ""薪資""))), ""內部轉帳(忽略)"",
  REGEXMATCH(C3666, ""薪資""), ""薪資變動(不計入)"",
  REGEXMATCH(C3666, ""押金""), ""押金往來"",
  AND(E3666&lt;&gt;"""", F3666=""""), ""真實支出"",
  AND(E3666="""", F3666&lt;&gt;""""), ""真實收入"",
  TRUE, ""其他""
)"),"其他")</f>
        <v>其他</v>
      </c>
      <c r="K3666" s="270" t="str">
        <f t="shared" si="2"/>
        <v/>
      </c>
      <c r="L3666">
        <f t="shared" si="3"/>
        <v>0</v>
      </c>
    </row>
    <row r="3667">
      <c r="A3667" s="107"/>
      <c r="D3667" s="270"/>
      <c r="H3667" s="106" t="str">
        <f t="shared" si="1"/>
        <v/>
      </c>
      <c r="I3667" s="271" t="str">
        <f>IFERROR(__xludf.DUMMYFUNCTION("""COMPUTED_VALUE"""),"")</f>
        <v/>
      </c>
      <c r="J3667" t="str">
        <f>IFERROR(__xludf.DUMMYFUNCTION("IFS(
  AND(REGEXMATCH(E3667, ""台銀籌備帳戶|玉山帳戶""), REGEXMATCH(C3667, ""薪資"")), ""分潤支出"",
  AND(REGEXMATCH(E3667, ""Ben帳戶|Elsa帳戶|Ben代墊|Ariel代墊|中信銀行共用""), REGEXMATCH(F3667, ""Ben帳戶|Elsa帳戶|Ben代墊|Ariel代墊|中信銀行共用"")), ""內部轉帳(忽略)"",
  AND(E3667&lt;&gt;"""", F3667&lt;&gt;"""", N"&amp;"OT(REGEXMATCH(C3667, ""薪資""))), ""內部轉帳(忽略)"",
  REGEXMATCH(C3667, ""薪資""), ""薪資變動(不計入)"",
  REGEXMATCH(C3667, ""押金""), ""押金往來"",
  AND(E3667&lt;&gt;"""", F3667=""""), ""真實支出"",
  AND(E3667="""", F3667&lt;&gt;""""), ""真實收入"",
  TRUE, ""其他""
)"),"其他")</f>
        <v>其他</v>
      </c>
      <c r="K3667" s="270" t="str">
        <f t="shared" si="2"/>
        <v/>
      </c>
      <c r="L3667">
        <f t="shared" si="3"/>
        <v>0</v>
      </c>
    </row>
    <row r="3668">
      <c r="A3668" s="107"/>
      <c r="D3668" s="270"/>
      <c r="H3668" s="106" t="str">
        <f t="shared" si="1"/>
        <v/>
      </c>
      <c r="I3668" s="271" t="str">
        <f>IFERROR(__xludf.DUMMYFUNCTION("""COMPUTED_VALUE"""),"")</f>
        <v/>
      </c>
      <c r="J3668" t="str">
        <f>IFERROR(__xludf.DUMMYFUNCTION("IFS(
  AND(REGEXMATCH(E3668, ""台銀籌備帳戶|玉山帳戶""), REGEXMATCH(C3668, ""薪資"")), ""分潤支出"",
  AND(REGEXMATCH(E3668, ""Ben帳戶|Elsa帳戶|Ben代墊|Ariel代墊|中信銀行共用""), REGEXMATCH(F3668, ""Ben帳戶|Elsa帳戶|Ben代墊|Ariel代墊|中信銀行共用"")), ""內部轉帳(忽略)"",
  AND(E3668&lt;&gt;"""", F3668&lt;&gt;"""", N"&amp;"OT(REGEXMATCH(C3668, ""薪資""))), ""內部轉帳(忽略)"",
  REGEXMATCH(C3668, ""薪資""), ""薪資變動(不計入)"",
  REGEXMATCH(C3668, ""押金""), ""押金往來"",
  AND(E3668&lt;&gt;"""", F3668=""""), ""真實支出"",
  AND(E3668="""", F3668&lt;&gt;""""), ""真實收入"",
  TRUE, ""其他""
)"),"其他")</f>
        <v>其他</v>
      </c>
      <c r="K3668" s="270" t="str">
        <f t="shared" si="2"/>
        <v/>
      </c>
      <c r="L3668">
        <f t="shared" si="3"/>
        <v>0</v>
      </c>
    </row>
    <row r="3669">
      <c r="A3669" s="107"/>
      <c r="D3669" s="270"/>
      <c r="H3669" s="106" t="str">
        <f t="shared" si="1"/>
        <v/>
      </c>
      <c r="I3669" s="271" t="str">
        <f>IFERROR(__xludf.DUMMYFUNCTION("""COMPUTED_VALUE"""),"")</f>
        <v/>
      </c>
      <c r="J3669" t="str">
        <f>IFERROR(__xludf.DUMMYFUNCTION("IFS(
  AND(REGEXMATCH(E3669, ""台銀籌備帳戶|玉山帳戶""), REGEXMATCH(C3669, ""薪資"")), ""分潤支出"",
  AND(REGEXMATCH(E3669, ""Ben帳戶|Elsa帳戶|Ben代墊|Ariel代墊|中信銀行共用""), REGEXMATCH(F3669, ""Ben帳戶|Elsa帳戶|Ben代墊|Ariel代墊|中信銀行共用"")), ""內部轉帳(忽略)"",
  AND(E3669&lt;&gt;"""", F3669&lt;&gt;"""", N"&amp;"OT(REGEXMATCH(C3669, ""薪資""))), ""內部轉帳(忽略)"",
  REGEXMATCH(C3669, ""薪資""), ""薪資變動(不計入)"",
  REGEXMATCH(C3669, ""押金""), ""押金往來"",
  AND(E3669&lt;&gt;"""", F3669=""""), ""真實支出"",
  AND(E3669="""", F3669&lt;&gt;""""), ""真實收入"",
  TRUE, ""其他""
)"),"其他")</f>
        <v>其他</v>
      </c>
      <c r="K3669" s="270" t="str">
        <f t="shared" si="2"/>
        <v/>
      </c>
      <c r="L3669">
        <f t="shared" si="3"/>
        <v>0</v>
      </c>
    </row>
    <row r="3670">
      <c r="A3670" s="107"/>
      <c r="D3670" s="270"/>
      <c r="H3670" s="106" t="str">
        <f t="shared" si="1"/>
        <v/>
      </c>
      <c r="I3670" s="271" t="str">
        <f>IFERROR(__xludf.DUMMYFUNCTION("""COMPUTED_VALUE"""),"")</f>
        <v/>
      </c>
      <c r="J3670" t="str">
        <f>IFERROR(__xludf.DUMMYFUNCTION("IFS(
  AND(REGEXMATCH(E3670, ""台銀籌備帳戶|玉山帳戶""), REGEXMATCH(C3670, ""薪資"")), ""分潤支出"",
  AND(REGEXMATCH(E3670, ""Ben帳戶|Elsa帳戶|Ben代墊|Ariel代墊|中信銀行共用""), REGEXMATCH(F3670, ""Ben帳戶|Elsa帳戶|Ben代墊|Ariel代墊|中信銀行共用"")), ""內部轉帳(忽略)"",
  AND(E3670&lt;&gt;"""", F3670&lt;&gt;"""", N"&amp;"OT(REGEXMATCH(C3670, ""薪資""))), ""內部轉帳(忽略)"",
  REGEXMATCH(C3670, ""薪資""), ""薪資變動(不計入)"",
  REGEXMATCH(C3670, ""押金""), ""押金往來"",
  AND(E3670&lt;&gt;"""", F3670=""""), ""真實支出"",
  AND(E3670="""", F3670&lt;&gt;""""), ""真實收入"",
  TRUE, ""其他""
)"),"其他")</f>
        <v>其他</v>
      </c>
      <c r="K3670" s="270" t="str">
        <f t="shared" si="2"/>
        <v/>
      </c>
      <c r="L3670">
        <f t="shared" si="3"/>
        <v>0</v>
      </c>
    </row>
    <row r="3671">
      <c r="A3671" s="107"/>
      <c r="D3671" s="270"/>
      <c r="H3671" s="106" t="str">
        <f t="shared" si="1"/>
        <v/>
      </c>
      <c r="I3671" s="271" t="str">
        <f>IFERROR(__xludf.DUMMYFUNCTION("""COMPUTED_VALUE"""),"")</f>
        <v/>
      </c>
      <c r="J3671" t="str">
        <f>IFERROR(__xludf.DUMMYFUNCTION("IFS(
  AND(REGEXMATCH(E3671, ""台銀籌備帳戶|玉山帳戶""), REGEXMATCH(C3671, ""薪資"")), ""分潤支出"",
  AND(REGEXMATCH(E3671, ""Ben帳戶|Elsa帳戶|Ben代墊|Ariel代墊|中信銀行共用""), REGEXMATCH(F3671, ""Ben帳戶|Elsa帳戶|Ben代墊|Ariel代墊|中信銀行共用"")), ""內部轉帳(忽略)"",
  AND(E3671&lt;&gt;"""", F3671&lt;&gt;"""", N"&amp;"OT(REGEXMATCH(C3671, ""薪資""))), ""內部轉帳(忽略)"",
  REGEXMATCH(C3671, ""薪資""), ""薪資變動(不計入)"",
  REGEXMATCH(C3671, ""押金""), ""押金往來"",
  AND(E3671&lt;&gt;"""", F3671=""""), ""真實支出"",
  AND(E3671="""", F3671&lt;&gt;""""), ""真實收入"",
  TRUE, ""其他""
)"),"其他")</f>
        <v>其他</v>
      </c>
      <c r="K3671" s="270" t="str">
        <f t="shared" si="2"/>
        <v/>
      </c>
      <c r="L3671">
        <f t="shared" si="3"/>
        <v>0</v>
      </c>
    </row>
    <row r="3672">
      <c r="A3672" s="107"/>
      <c r="D3672" s="270"/>
      <c r="H3672" s="106" t="str">
        <f t="shared" si="1"/>
        <v/>
      </c>
      <c r="I3672" s="271" t="str">
        <f>IFERROR(__xludf.DUMMYFUNCTION("""COMPUTED_VALUE"""),"")</f>
        <v/>
      </c>
      <c r="J3672" t="str">
        <f>IFERROR(__xludf.DUMMYFUNCTION("IFS(
  AND(REGEXMATCH(E3672, ""台銀籌備帳戶|玉山帳戶""), REGEXMATCH(C3672, ""薪資"")), ""分潤支出"",
  AND(REGEXMATCH(E3672, ""Ben帳戶|Elsa帳戶|Ben代墊|Ariel代墊|中信銀行共用""), REGEXMATCH(F3672, ""Ben帳戶|Elsa帳戶|Ben代墊|Ariel代墊|中信銀行共用"")), ""內部轉帳(忽略)"",
  AND(E3672&lt;&gt;"""", F3672&lt;&gt;"""", N"&amp;"OT(REGEXMATCH(C3672, ""薪資""))), ""內部轉帳(忽略)"",
  REGEXMATCH(C3672, ""薪資""), ""薪資變動(不計入)"",
  REGEXMATCH(C3672, ""押金""), ""押金往來"",
  AND(E3672&lt;&gt;"""", F3672=""""), ""真實支出"",
  AND(E3672="""", F3672&lt;&gt;""""), ""真實收入"",
  TRUE, ""其他""
)"),"其他")</f>
        <v>其他</v>
      </c>
      <c r="K3672" s="270" t="str">
        <f t="shared" si="2"/>
        <v/>
      </c>
      <c r="L3672">
        <f t="shared" si="3"/>
        <v>0</v>
      </c>
    </row>
    <row r="3673">
      <c r="A3673" s="107"/>
      <c r="D3673" s="270"/>
      <c r="H3673" s="106" t="str">
        <f t="shared" si="1"/>
        <v/>
      </c>
      <c r="I3673" s="271" t="str">
        <f>IFERROR(__xludf.DUMMYFUNCTION("""COMPUTED_VALUE"""),"")</f>
        <v/>
      </c>
      <c r="J3673" t="str">
        <f>IFERROR(__xludf.DUMMYFUNCTION("IFS(
  AND(REGEXMATCH(E3673, ""台銀籌備帳戶|玉山帳戶""), REGEXMATCH(C3673, ""薪資"")), ""分潤支出"",
  AND(REGEXMATCH(E3673, ""Ben帳戶|Elsa帳戶|Ben代墊|Ariel代墊|中信銀行共用""), REGEXMATCH(F3673, ""Ben帳戶|Elsa帳戶|Ben代墊|Ariel代墊|中信銀行共用"")), ""內部轉帳(忽略)"",
  AND(E3673&lt;&gt;"""", F3673&lt;&gt;"""", N"&amp;"OT(REGEXMATCH(C3673, ""薪資""))), ""內部轉帳(忽略)"",
  REGEXMATCH(C3673, ""薪資""), ""薪資變動(不計入)"",
  REGEXMATCH(C3673, ""押金""), ""押金往來"",
  AND(E3673&lt;&gt;"""", F3673=""""), ""真實支出"",
  AND(E3673="""", F3673&lt;&gt;""""), ""真實收入"",
  TRUE, ""其他""
)"),"其他")</f>
        <v>其他</v>
      </c>
      <c r="K3673" s="270" t="str">
        <f t="shared" si="2"/>
        <v/>
      </c>
      <c r="L3673">
        <f t="shared" si="3"/>
        <v>0</v>
      </c>
    </row>
    <row r="3674">
      <c r="A3674" s="107"/>
      <c r="D3674" s="270"/>
      <c r="H3674" s="106" t="str">
        <f t="shared" si="1"/>
        <v/>
      </c>
      <c r="I3674" s="271" t="str">
        <f>IFERROR(__xludf.DUMMYFUNCTION("""COMPUTED_VALUE"""),"")</f>
        <v/>
      </c>
      <c r="J3674" t="str">
        <f>IFERROR(__xludf.DUMMYFUNCTION("IFS(
  AND(REGEXMATCH(E3674, ""台銀籌備帳戶|玉山帳戶""), REGEXMATCH(C3674, ""薪資"")), ""分潤支出"",
  AND(REGEXMATCH(E3674, ""Ben帳戶|Elsa帳戶|Ben代墊|Ariel代墊|中信銀行共用""), REGEXMATCH(F3674, ""Ben帳戶|Elsa帳戶|Ben代墊|Ariel代墊|中信銀行共用"")), ""內部轉帳(忽略)"",
  AND(E3674&lt;&gt;"""", F3674&lt;&gt;"""", N"&amp;"OT(REGEXMATCH(C3674, ""薪資""))), ""內部轉帳(忽略)"",
  REGEXMATCH(C3674, ""薪資""), ""薪資變動(不計入)"",
  REGEXMATCH(C3674, ""押金""), ""押金往來"",
  AND(E3674&lt;&gt;"""", F3674=""""), ""真實支出"",
  AND(E3674="""", F3674&lt;&gt;""""), ""真實收入"",
  TRUE, ""其他""
)"),"其他")</f>
        <v>其他</v>
      </c>
      <c r="K3674" s="270" t="str">
        <f t="shared" si="2"/>
        <v/>
      </c>
      <c r="L3674">
        <f t="shared" si="3"/>
        <v>0</v>
      </c>
    </row>
    <row r="3675">
      <c r="A3675" s="107"/>
      <c r="D3675" s="270"/>
      <c r="H3675" s="106" t="str">
        <f t="shared" si="1"/>
        <v/>
      </c>
      <c r="I3675" s="271" t="str">
        <f>IFERROR(__xludf.DUMMYFUNCTION("""COMPUTED_VALUE"""),"")</f>
        <v/>
      </c>
      <c r="J3675" t="str">
        <f>IFERROR(__xludf.DUMMYFUNCTION("IFS(
  AND(REGEXMATCH(E3675, ""台銀籌備帳戶|玉山帳戶""), REGEXMATCH(C3675, ""薪資"")), ""分潤支出"",
  AND(REGEXMATCH(E3675, ""Ben帳戶|Elsa帳戶|Ben代墊|Ariel代墊|中信銀行共用""), REGEXMATCH(F3675, ""Ben帳戶|Elsa帳戶|Ben代墊|Ariel代墊|中信銀行共用"")), ""內部轉帳(忽略)"",
  AND(E3675&lt;&gt;"""", F3675&lt;&gt;"""", N"&amp;"OT(REGEXMATCH(C3675, ""薪資""))), ""內部轉帳(忽略)"",
  REGEXMATCH(C3675, ""薪資""), ""薪資變動(不計入)"",
  REGEXMATCH(C3675, ""押金""), ""押金往來"",
  AND(E3675&lt;&gt;"""", F3675=""""), ""真實支出"",
  AND(E3675="""", F3675&lt;&gt;""""), ""真實收入"",
  TRUE, ""其他""
)"),"其他")</f>
        <v>其他</v>
      </c>
      <c r="K3675" s="270" t="str">
        <f t="shared" si="2"/>
        <v/>
      </c>
      <c r="L3675">
        <f t="shared" si="3"/>
        <v>0</v>
      </c>
    </row>
    <row r="3676">
      <c r="A3676" s="107"/>
      <c r="D3676" s="270"/>
      <c r="H3676" s="106" t="str">
        <f t="shared" si="1"/>
        <v/>
      </c>
      <c r="I3676" s="271" t="str">
        <f>IFERROR(__xludf.DUMMYFUNCTION("""COMPUTED_VALUE"""),"")</f>
        <v/>
      </c>
      <c r="J3676" t="str">
        <f>IFERROR(__xludf.DUMMYFUNCTION("IFS(
  AND(REGEXMATCH(E3676, ""台銀籌備帳戶|玉山帳戶""), REGEXMATCH(C3676, ""薪資"")), ""分潤支出"",
  AND(REGEXMATCH(E3676, ""Ben帳戶|Elsa帳戶|Ben代墊|Ariel代墊|中信銀行共用""), REGEXMATCH(F3676, ""Ben帳戶|Elsa帳戶|Ben代墊|Ariel代墊|中信銀行共用"")), ""內部轉帳(忽略)"",
  AND(E3676&lt;&gt;"""", F3676&lt;&gt;"""", N"&amp;"OT(REGEXMATCH(C3676, ""薪資""))), ""內部轉帳(忽略)"",
  REGEXMATCH(C3676, ""薪資""), ""薪資變動(不計入)"",
  REGEXMATCH(C3676, ""押金""), ""押金往來"",
  AND(E3676&lt;&gt;"""", F3676=""""), ""真實支出"",
  AND(E3676="""", F3676&lt;&gt;""""), ""真實收入"",
  TRUE, ""其他""
)"),"其他")</f>
        <v>其他</v>
      </c>
      <c r="K3676" s="270" t="str">
        <f t="shared" si="2"/>
        <v/>
      </c>
      <c r="L3676">
        <f t="shared" si="3"/>
        <v>0</v>
      </c>
    </row>
    <row r="3677">
      <c r="A3677" s="107"/>
      <c r="D3677" s="270"/>
      <c r="H3677" s="106" t="str">
        <f t="shared" si="1"/>
        <v/>
      </c>
      <c r="I3677" s="271" t="str">
        <f>IFERROR(__xludf.DUMMYFUNCTION("""COMPUTED_VALUE"""),"")</f>
        <v/>
      </c>
      <c r="J3677" t="str">
        <f>IFERROR(__xludf.DUMMYFUNCTION("IFS(
  AND(REGEXMATCH(E3677, ""台銀籌備帳戶|玉山帳戶""), REGEXMATCH(C3677, ""薪資"")), ""分潤支出"",
  AND(REGEXMATCH(E3677, ""Ben帳戶|Elsa帳戶|Ben代墊|Ariel代墊|中信銀行共用""), REGEXMATCH(F3677, ""Ben帳戶|Elsa帳戶|Ben代墊|Ariel代墊|中信銀行共用"")), ""內部轉帳(忽略)"",
  AND(E3677&lt;&gt;"""", F3677&lt;&gt;"""", N"&amp;"OT(REGEXMATCH(C3677, ""薪資""))), ""內部轉帳(忽略)"",
  REGEXMATCH(C3677, ""薪資""), ""薪資變動(不計入)"",
  REGEXMATCH(C3677, ""押金""), ""押金往來"",
  AND(E3677&lt;&gt;"""", F3677=""""), ""真實支出"",
  AND(E3677="""", F3677&lt;&gt;""""), ""真實收入"",
  TRUE, ""其他""
)"),"其他")</f>
        <v>其他</v>
      </c>
      <c r="K3677" s="270" t="str">
        <f t="shared" si="2"/>
        <v/>
      </c>
      <c r="L3677">
        <f t="shared" si="3"/>
        <v>0</v>
      </c>
    </row>
    <row r="3678">
      <c r="A3678" s="107"/>
      <c r="D3678" s="270"/>
      <c r="H3678" s="106" t="str">
        <f t="shared" si="1"/>
        <v/>
      </c>
      <c r="I3678" s="271" t="str">
        <f>IFERROR(__xludf.DUMMYFUNCTION("""COMPUTED_VALUE"""),"")</f>
        <v/>
      </c>
      <c r="J3678" t="str">
        <f>IFERROR(__xludf.DUMMYFUNCTION("IFS(
  AND(REGEXMATCH(E3678, ""台銀籌備帳戶|玉山帳戶""), REGEXMATCH(C3678, ""薪資"")), ""分潤支出"",
  AND(REGEXMATCH(E3678, ""Ben帳戶|Elsa帳戶|Ben代墊|Ariel代墊|中信銀行共用""), REGEXMATCH(F3678, ""Ben帳戶|Elsa帳戶|Ben代墊|Ariel代墊|中信銀行共用"")), ""內部轉帳(忽略)"",
  AND(E3678&lt;&gt;"""", F3678&lt;&gt;"""", N"&amp;"OT(REGEXMATCH(C3678, ""薪資""))), ""內部轉帳(忽略)"",
  REGEXMATCH(C3678, ""薪資""), ""薪資變動(不計入)"",
  REGEXMATCH(C3678, ""押金""), ""押金往來"",
  AND(E3678&lt;&gt;"""", F3678=""""), ""真實支出"",
  AND(E3678="""", F3678&lt;&gt;""""), ""真實收入"",
  TRUE, ""其他""
)"),"其他")</f>
        <v>其他</v>
      </c>
      <c r="K3678" s="270" t="str">
        <f t="shared" si="2"/>
        <v/>
      </c>
      <c r="L3678">
        <f t="shared" si="3"/>
        <v>0</v>
      </c>
    </row>
    <row r="3679">
      <c r="A3679" s="107"/>
      <c r="D3679" s="270"/>
      <c r="H3679" s="106" t="str">
        <f t="shared" si="1"/>
        <v/>
      </c>
      <c r="I3679" s="271" t="str">
        <f>IFERROR(__xludf.DUMMYFUNCTION("""COMPUTED_VALUE"""),"")</f>
        <v/>
      </c>
      <c r="J3679" t="str">
        <f>IFERROR(__xludf.DUMMYFUNCTION("IFS(
  AND(REGEXMATCH(E3679, ""台銀籌備帳戶|玉山帳戶""), REGEXMATCH(C3679, ""薪資"")), ""分潤支出"",
  AND(REGEXMATCH(E3679, ""Ben帳戶|Elsa帳戶|Ben代墊|Ariel代墊|中信銀行共用""), REGEXMATCH(F3679, ""Ben帳戶|Elsa帳戶|Ben代墊|Ariel代墊|中信銀行共用"")), ""內部轉帳(忽略)"",
  AND(E3679&lt;&gt;"""", F3679&lt;&gt;"""", N"&amp;"OT(REGEXMATCH(C3679, ""薪資""))), ""內部轉帳(忽略)"",
  REGEXMATCH(C3679, ""薪資""), ""薪資變動(不計入)"",
  REGEXMATCH(C3679, ""押金""), ""押金往來"",
  AND(E3679&lt;&gt;"""", F3679=""""), ""真實支出"",
  AND(E3679="""", F3679&lt;&gt;""""), ""真實收入"",
  TRUE, ""其他""
)"),"其他")</f>
        <v>其他</v>
      </c>
      <c r="K3679" s="270" t="str">
        <f t="shared" si="2"/>
        <v/>
      </c>
      <c r="L3679">
        <f t="shared" si="3"/>
        <v>0</v>
      </c>
    </row>
    <row r="3680">
      <c r="A3680" s="107"/>
      <c r="D3680" s="270"/>
      <c r="H3680" s="106" t="str">
        <f t="shared" si="1"/>
        <v/>
      </c>
      <c r="I3680" s="271" t="str">
        <f>IFERROR(__xludf.DUMMYFUNCTION("""COMPUTED_VALUE"""),"")</f>
        <v/>
      </c>
      <c r="J3680" t="str">
        <f>IFERROR(__xludf.DUMMYFUNCTION("IFS(
  AND(REGEXMATCH(E3680, ""台銀籌備帳戶|玉山帳戶""), REGEXMATCH(C3680, ""薪資"")), ""分潤支出"",
  AND(REGEXMATCH(E3680, ""Ben帳戶|Elsa帳戶|Ben代墊|Ariel代墊|中信銀行共用""), REGEXMATCH(F3680, ""Ben帳戶|Elsa帳戶|Ben代墊|Ariel代墊|中信銀行共用"")), ""內部轉帳(忽略)"",
  AND(E3680&lt;&gt;"""", F3680&lt;&gt;"""", N"&amp;"OT(REGEXMATCH(C3680, ""薪資""))), ""內部轉帳(忽略)"",
  REGEXMATCH(C3680, ""薪資""), ""薪資變動(不計入)"",
  REGEXMATCH(C3680, ""押金""), ""押金往來"",
  AND(E3680&lt;&gt;"""", F3680=""""), ""真實支出"",
  AND(E3680="""", F3680&lt;&gt;""""), ""真實收入"",
  TRUE, ""其他""
)"),"其他")</f>
        <v>其他</v>
      </c>
      <c r="K3680" s="270" t="str">
        <f t="shared" si="2"/>
        <v/>
      </c>
      <c r="L3680">
        <f t="shared" si="3"/>
        <v>0</v>
      </c>
    </row>
    <row r="3681">
      <c r="A3681" s="107"/>
      <c r="D3681" s="270"/>
      <c r="H3681" s="106" t="str">
        <f t="shared" si="1"/>
        <v/>
      </c>
      <c r="I3681" s="271" t="str">
        <f>IFERROR(__xludf.DUMMYFUNCTION("""COMPUTED_VALUE"""),"")</f>
        <v/>
      </c>
      <c r="J3681" t="str">
        <f>IFERROR(__xludf.DUMMYFUNCTION("IFS(
  AND(REGEXMATCH(E3681, ""台銀籌備帳戶|玉山帳戶""), REGEXMATCH(C3681, ""薪資"")), ""分潤支出"",
  AND(REGEXMATCH(E3681, ""Ben帳戶|Elsa帳戶|Ben代墊|Ariel代墊|中信銀行共用""), REGEXMATCH(F3681, ""Ben帳戶|Elsa帳戶|Ben代墊|Ariel代墊|中信銀行共用"")), ""內部轉帳(忽略)"",
  AND(E3681&lt;&gt;"""", F3681&lt;&gt;"""", N"&amp;"OT(REGEXMATCH(C3681, ""薪資""))), ""內部轉帳(忽略)"",
  REGEXMATCH(C3681, ""薪資""), ""薪資變動(不計入)"",
  REGEXMATCH(C3681, ""押金""), ""押金往來"",
  AND(E3681&lt;&gt;"""", F3681=""""), ""真實支出"",
  AND(E3681="""", F3681&lt;&gt;""""), ""真實收入"",
  TRUE, ""其他""
)"),"其他")</f>
        <v>其他</v>
      </c>
      <c r="K3681" s="270" t="str">
        <f t="shared" si="2"/>
        <v/>
      </c>
      <c r="L3681">
        <f t="shared" si="3"/>
        <v>0</v>
      </c>
    </row>
    <row r="3682">
      <c r="A3682" s="107"/>
      <c r="D3682" s="270"/>
      <c r="H3682" s="106" t="str">
        <f t="shared" si="1"/>
        <v/>
      </c>
      <c r="I3682" s="271" t="str">
        <f>IFERROR(__xludf.DUMMYFUNCTION("""COMPUTED_VALUE"""),"")</f>
        <v/>
      </c>
      <c r="J3682" t="str">
        <f>IFERROR(__xludf.DUMMYFUNCTION("IFS(
  AND(REGEXMATCH(E3682, ""台銀籌備帳戶|玉山帳戶""), REGEXMATCH(C3682, ""薪資"")), ""分潤支出"",
  AND(REGEXMATCH(E3682, ""Ben帳戶|Elsa帳戶|Ben代墊|Ariel代墊|中信銀行共用""), REGEXMATCH(F3682, ""Ben帳戶|Elsa帳戶|Ben代墊|Ariel代墊|中信銀行共用"")), ""內部轉帳(忽略)"",
  AND(E3682&lt;&gt;"""", F3682&lt;&gt;"""", N"&amp;"OT(REGEXMATCH(C3682, ""薪資""))), ""內部轉帳(忽略)"",
  REGEXMATCH(C3682, ""薪資""), ""薪資變動(不計入)"",
  REGEXMATCH(C3682, ""押金""), ""押金往來"",
  AND(E3682&lt;&gt;"""", F3682=""""), ""真實支出"",
  AND(E3682="""", F3682&lt;&gt;""""), ""真實收入"",
  TRUE, ""其他""
)"),"其他")</f>
        <v>其他</v>
      </c>
      <c r="K3682" s="270" t="str">
        <f t="shared" si="2"/>
        <v/>
      </c>
      <c r="L3682">
        <f t="shared" si="3"/>
        <v>0</v>
      </c>
    </row>
    <row r="3683">
      <c r="A3683" s="107"/>
      <c r="D3683" s="270"/>
      <c r="H3683" s="106" t="str">
        <f t="shared" si="1"/>
        <v/>
      </c>
      <c r="I3683" s="271" t="str">
        <f>IFERROR(__xludf.DUMMYFUNCTION("""COMPUTED_VALUE"""),"")</f>
        <v/>
      </c>
      <c r="J3683" t="str">
        <f>IFERROR(__xludf.DUMMYFUNCTION("IFS(
  AND(REGEXMATCH(E3683, ""台銀籌備帳戶|玉山帳戶""), REGEXMATCH(C3683, ""薪資"")), ""分潤支出"",
  AND(REGEXMATCH(E3683, ""Ben帳戶|Elsa帳戶|Ben代墊|Ariel代墊|中信銀行共用""), REGEXMATCH(F3683, ""Ben帳戶|Elsa帳戶|Ben代墊|Ariel代墊|中信銀行共用"")), ""內部轉帳(忽略)"",
  AND(E3683&lt;&gt;"""", F3683&lt;&gt;"""", N"&amp;"OT(REGEXMATCH(C3683, ""薪資""))), ""內部轉帳(忽略)"",
  REGEXMATCH(C3683, ""薪資""), ""薪資變動(不計入)"",
  REGEXMATCH(C3683, ""押金""), ""押金往來"",
  AND(E3683&lt;&gt;"""", F3683=""""), ""真實支出"",
  AND(E3683="""", F3683&lt;&gt;""""), ""真實收入"",
  TRUE, ""其他""
)"),"其他")</f>
        <v>其他</v>
      </c>
      <c r="K3683" s="270" t="str">
        <f t="shared" si="2"/>
        <v/>
      </c>
      <c r="L3683">
        <f t="shared" si="3"/>
        <v>0</v>
      </c>
    </row>
    <row r="3684">
      <c r="A3684" s="107"/>
      <c r="D3684" s="270"/>
      <c r="H3684" s="106" t="str">
        <f t="shared" si="1"/>
        <v/>
      </c>
      <c r="I3684" s="271" t="str">
        <f>IFERROR(__xludf.DUMMYFUNCTION("""COMPUTED_VALUE"""),"")</f>
        <v/>
      </c>
      <c r="J3684" t="str">
        <f>IFERROR(__xludf.DUMMYFUNCTION("IFS(
  AND(REGEXMATCH(E3684, ""台銀籌備帳戶|玉山帳戶""), REGEXMATCH(C3684, ""薪資"")), ""分潤支出"",
  AND(REGEXMATCH(E3684, ""Ben帳戶|Elsa帳戶|Ben代墊|Ariel代墊|中信銀行共用""), REGEXMATCH(F3684, ""Ben帳戶|Elsa帳戶|Ben代墊|Ariel代墊|中信銀行共用"")), ""內部轉帳(忽略)"",
  AND(E3684&lt;&gt;"""", F3684&lt;&gt;"""", N"&amp;"OT(REGEXMATCH(C3684, ""薪資""))), ""內部轉帳(忽略)"",
  REGEXMATCH(C3684, ""薪資""), ""薪資變動(不計入)"",
  REGEXMATCH(C3684, ""押金""), ""押金往來"",
  AND(E3684&lt;&gt;"""", F3684=""""), ""真實支出"",
  AND(E3684="""", F3684&lt;&gt;""""), ""真實收入"",
  TRUE, ""其他""
)"),"其他")</f>
        <v>其他</v>
      </c>
      <c r="K3684" s="270" t="str">
        <f t="shared" si="2"/>
        <v/>
      </c>
      <c r="L3684">
        <f t="shared" si="3"/>
        <v>0</v>
      </c>
    </row>
    <row r="3685">
      <c r="A3685" s="107"/>
      <c r="D3685" s="270"/>
      <c r="H3685" s="106" t="str">
        <f t="shared" si="1"/>
        <v/>
      </c>
      <c r="I3685" s="271" t="str">
        <f>IFERROR(__xludf.DUMMYFUNCTION("""COMPUTED_VALUE"""),"")</f>
        <v/>
      </c>
      <c r="J3685" t="str">
        <f>IFERROR(__xludf.DUMMYFUNCTION("IFS(
  AND(REGEXMATCH(E3685, ""台銀籌備帳戶|玉山帳戶""), REGEXMATCH(C3685, ""薪資"")), ""分潤支出"",
  AND(REGEXMATCH(E3685, ""Ben帳戶|Elsa帳戶|Ben代墊|Ariel代墊|中信銀行共用""), REGEXMATCH(F3685, ""Ben帳戶|Elsa帳戶|Ben代墊|Ariel代墊|中信銀行共用"")), ""內部轉帳(忽略)"",
  AND(E3685&lt;&gt;"""", F3685&lt;&gt;"""", N"&amp;"OT(REGEXMATCH(C3685, ""薪資""))), ""內部轉帳(忽略)"",
  REGEXMATCH(C3685, ""薪資""), ""薪資變動(不計入)"",
  REGEXMATCH(C3685, ""押金""), ""押金往來"",
  AND(E3685&lt;&gt;"""", F3685=""""), ""真實支出"",
  AND(E3685="""", F3685&lt;&gt;""""), ""真實收入"",
  TRUE, ""其他""
)"),"其他")</f>
        <v>其他</v>
      </c>
      <c r="K3685" s="270" t="str">
        <f t="shared" si="2"/>
        <v/>
      </c>
      <c r="L3685">
        <f t="shared" si="3"/>
        <v>0</v>
      </c>
    </row>
    <row r="3686">
      <c r="A3686" s="107"/>
      <c r="D3686" s="270"/>
      <c r="H3686" s="106" t="str">
        <f t="shared" si="1"/>
        <v/>
      </c>
      <c r="I3686" s="271" t="str">
        <f>IFERROR(__xludf.DUMMYFUNCTION("""COMPUTED_VALUE"""),"")</f>
        <v/>
      </c>
      <c r="J3686" t="str">
        <f>IFERROR(__xludf.DUMMYFUNCTION("IFS(
  AND(REGEXMATCH(E3686, ""台銀籌備帳戶|玉山帳戶""), REGEXMATCH(C3686, ""薪資"")), ""分潤支出"",
  AND(REGEXMATCH(E3686, ""Ben帳戶|Elsa帳戶|Ben代墊|Ariel代墊|中信銀行共用""), REGEXMATCH(F3686, ""Ben帳戶|Elsa帳戶|Ben代墊|Ariel代墊|中信銀行共用"")), ""內部轉帳(忽略)"",
  AND(E3686&lt;&gt;"""", F3686&lt;&gt;"""", N"&amp;"OT(REGEXMATCH(C3686, ""薪資""))), ""內部轉帳(忽略)"",
  REGEXMATCH(C3686, ""薪資""), ""薪資變動(不計入)"",
  REGEXMATCH(C3686, ""押金""), ""押金往來"",
  AND(E3686&lt;&gt;"""", F3686=""""), ""真實支出"",
  AND(E3686="""", F3686&lt;&gt;""""), ""真實收入"",
  TRUE, ""其他""
)"),"其他")</f>
        <v>其他</v>
      </c>
      <c r="K3686" s="270" t="str">
        <f t="shared" si="2"/>
        <v/>
      </c>
      <c r="L3686">
        <f t="shared" si="3"/>
        <v>0</v>
      </c>
    </row>
    <row r="3687">
      <c r="A3687" s="107"/>
      <c r="D3687" s="270"/>
      <c r="H3687" s="106" t="str">
        <f t="shared" si="1"/>
        <v/>
      </c>
      <c r="I3687" s="271" t="str">
        <f>IFERROR(__xludf.DUMMYFUNCTION("""COMPUTED_VALUE"""),"")</f>
        <v/>
      </c>
      <c r="J3687" t="str">
        <f>IFERROR(__xludf.DUMMYFUNCTION("IFS(
  AND(REGEXMATCH(E3687, ""台銀籌備帳戶|玉山帳戶""), REGEXMATCH(C3687, ""薪資"")), ""分潤支出"",
  AND(REGEXMATCH(E3687, ""Ben帳戶|Elsa帳戶|Ben代墊|Ariel代墊|中信銀行共用""), REGEXMATCH(F3687, ""Ben帳戶|Elsa帳戶|Ben代墊|Ariel代墊|中信銀行共用"")), ""內部轉帳(忽略)"",
  AND(E3687&lt;&gt;"""", F3687&lt;&gt;"""", N"&amp;"OT(REGEXMATCH(C3687, ""薪資""))), ""內部轉帳(忽略)"",
  REGEXMATCH(C3687, ""薪資""), ""薪資變動(不計入)"",
  REGEXMATCH(C3687, ""押金""), ""押金往來"",
  AND(E3687&lt;&gt;"""", F3687=""""), ""真實支出"",
  AND(E3687="""", F3687&lt;&gt;""""), ""真實收入"",
  TRUE, ""其他""
)"),"其他")</f>
        <v>其他</v>
      </c>
      <c r="K3687" s="270" t="str">
        <f t="shared" si="2"/>
        <v/>
      </c>
      <c r="L3687">
        <f t="shared" si="3"/>
        <v>0</v>
      </c>
    </row>
    <row r="3688">
      <c r="A3688" s="107"/>
      <c r="D3688" s="270"/>
      <c r="H3688" s="106" t="str">
        <f t="shared" si="1"/>
        <v/>
      </c>
      <c r="I3688" s="271" t="str">
        <f>IFERROR(__xludf.DUMMYFUNCTION("""COMPUTED_VALUE"""),"")</f>
        <v/>
      </c>
      <c r="J3688" t="str">
        <f>IFERROR(__xludf.DUMMYFUNCTION("IFS(
  AND(REGEXMATCH(E3688, ""台銀籌備帳戶|玉山帳戶""), REGEXMATCH(C3688, ""薪資"")), ""分潤支出"",
  AND(REGEXMATCH(E3688, ""Ben帳戶|Elsa帳戶|Ben代墊|Ariel代墊|中信銀行共用""), REGEXMATCH(F3688, ""Ben帳戶|Elsa帳戶|Ben代墊|Ariel代墊|中信銀行共用"")), ""內部轉帳(忽略)"",
  AND(E3688&lt;&gt;"""", F3688&lt;&gt;"""", N"&amp;"OT(REGEXMATCH(C3688, ""薪資""))), ""內部轉帳(忽略)"",
  REGEXMATCH(C3688, ""薪資""), ""薪資變動(不計入)"",
  REGEXMATCH(C3688, ""押金""), ""押金往來"",
  AND(E3688&lt;&gt;"""", F3688=""""), ""真實支出"",
  AND(E3688="""", F3688&lt;&gt;""""), ""真實收入"",
  TRUE, ""其他""
)"),"其他")</f>
        <v>其他</v>
      </c>
      <c r="K3688" s="270" t="str">
        <f t="shared" si="2"/>
        <v/>
      </c>
      <c r="L3688">
        <f t="shared" si="3"/>
        <v>0</v>
      </c>
    </row>
    <row r="3689">
      <c r="A3689" s="107"/>
      <c r="D3689" s="270"/>
      <c r="H3689" s="106" t="str">
        <f t="shared" si="1"/>
        <v/>
      </c>
      <c r="I3689" s="271" t="str">
        <f>IFERROR(__xludf.DUMMYFUNCTION("""COMPUTED_VALUE"""),"")</f>
        <v/>
      </c>
      <c r="J3689" t="str">
        <f>IFERROR(__xludf.DUMMYFUNCTION("IFS(
  AND(REGEXMATCH(E3689, ""台銀籌備帳戶|玉山帳戶""), REGEXMATCH(C3689, ""薪資"")), ""分潤支出"",
  AND(REGEXMATCH(E3689, ""Ben帳戶|Elsa帳戶|Ben代墊|Ariel代墊|中信銀行共用""), REGEXMATCH(F3689, ""Ben帳戶|Elsa帳戶|Ben代墊|Ariel代墊|中信銀行共用"")), ""內部轉帳(忽略)"",
  AND(E3689&lt;&gt;"""", F3689&lt;&gt;"""", N"&amp;"OT(REGEXMATCH(C3689, ""薪資""))), ""內部轉帳(忽略)"",
  REGEXMATCH(C3689, ""薪資""), ""薪資變動(不計入)"",
  REGEXMATCH(C3689, ""押金""), ""押金往來"",
  AND(E3689&lt;&gt;"""", F3689=""""), ""真實支出"",
  AND(E3689="""", F3689&lt;&gt;""""), ""真實收入"",
  TRUE, ""其他""
)"),"其他")</f>
        <v>其他</v>
      </c>
      <c r="K3689" s="270" t="str">
        <f t="shared" si="2"/>
        <v/>
      </c>
      <c r="L3689">
        <f t="shared" si="3"/>
        <v>0</v>
      </c>
    </row>
    <row r="3690">
      <c r="A3690" s="107"/>
      <c r="D3690" s="270"/>
      <c r="H3690" s="106" t="str">
        <f t="shared" si="1"/>
        <v/>
      </c>
      <c r="I3690" s="271" t="str">
        <f>IFERROR(__xludf.DUMMYFUNCTION("""COMPUTED_VALUE"""),"")</f>
        <v/>
      </c>
      <c r="J3690" t="str">
        <f>IFERROR(__xludf.DUMMYFUNCTION("IFS(
  AND(REGEXMATCH(E3690, ""台銀籌備帳戶|玉山帳戶""), REGEXMATCH(C3690, ""薪資"")), ""分潤支出"",
  AND(REGEXMATCH(E3690, ""Ben帳戶|Elsa帳戶|Ben代墊|Ariel代墊|中信銀行共用""), REGEXMATCH(F3690, ""Ben帳戶|Elsa帳戶|Ben代墊|Ariel代墊|中信銀行共用"")), ""內部轉帳(忽略)"",
  AND(E3690&lt;&gt;"""", F3690&lt;&gt;"""", N"&amp;"OT(REGEXMATCH(C3690, ""薪資""))), ""內部轉帳(忽略)"",
  REGEXMATCH(C3690, ""薪資""), ""薪資變動(不計入)"",
  REGEXMATCH(C3690, ""押金""), ""押金往來"",
  AND(E3690&lt;&gt;"""", F3690=""""), ""真實支出"",
  AND(E3690="""", F3690&lt;&gt;""""), ""真實收入"",
  TRUE, ""其他""
)"),"其他")</f>
        <v>其他</v>
      </c>
      <c r="K3690" s="270" t="str">
        <f t="shared" si="2"/>
        <v/>
      </c>
      <c r="L3690">
        <f t="shared" si="3"/>
        <v>0</v>
      </c>
    </row>
    <row r="3691">
      <c r="A3691" s="107"/>
      <c r="D3691" s="270"/>
      <c r="H3691" s="106" t="str">
        <f t="shared" si="1"/>
        <v/>
      </c>
      <c r="I3691" s="271" t="str">
        <f>IFERROR(__xludf.DUMMYFUNCTION("""COMPUTED_VALUE"""),"")</f>
        <v/>
      </c>
      <c r="J3691" t="str">
        <f>IFERROR(__xludf.DUMMYFUNCTION("IFS(
  AND(REGEXMATCH(E3691, ""台銀籌備帳戶|玉山帳戶""), REGEXMATCH(C3691, ""薪資"")), ""分潤支出"",
  AND(REGEXMATCH(E3691, ""Ben帳戶|Elsa帳戶|Ben代墊|Ariel代墊|中信銀行共用""), REGEXMATCH(F3691, ""Ben帳戶|Elsa帳戶|Ben代墊|Ariel代墊|中信銀行共用"")), ""內部轉帳(忽略)"",
  AND(E3691&lt;&gt;"""", F3691&lt;&gt;"""", N"&amp;"OT(REGEXMATCH(C3691, ""薪資""))), ""內部轉帳(忽略)"",
  REGEXMATCH(C3691, ""薪資""), ""薪資變動(不計入)"",
  REGEXMATCH(C3691, ""押金""), ""押金往來"",
  AND(E3691&lt;&gt;"""", F3691=""""), ""真實支出"",
  AND(E3691="""", F3691&lt;&gt;""""), ""真實收入"",
  TRUE, ""其他""
)"),"其他")</f>
        <v>其他</v>
      </c>
      <c r="K3691" s="270" t="str">
        <f t="shared" si="2"/>
        <v/>
      </c>
      <c r="L3691">
        <f t="shared" si="3"/>
        <v>0</v>
      </c>
    </row>
    <row r="3692">
      <c r="A3692" s="107"/>
      <c r="D3692" s="270"/>
      <c r="H3692" s="106" t="str">
        <f t="shared" si="1"/>
        <v/>
      </c>
      <c r="I3692" s="271" t="str">
        <f>IFERROR(__xludf.DUMMYFUNCTION("""COMPUTED_VALUE"""),"")</f>
        <v/>
      </c>
      <c r="J3692" t="str">
        <f>IFERROR(__xludf.DUMMYFUNCTION("IFS(
  AND(REGEXMATCH(E3692, ""台銀籌備帳戶|玉山帳戶""), REGEXMATCH(C3692, ""薪資"")), ""分潤支出"",
  AND(REGEXMATCH(E3692, ""Ben帳戶|Elsa帳戶|Ben代墊|Ariel代墊|中信銀行共用""), REGEXMATCH(F3692, ""Ben帳戶|Elsa帳戶|Ben代墊|Ariel代墊|中信銀行共用"")), ""內部轉帳(忽略)"",
  AND(E3692&lt;&gt;"""", F3692&lt;&gt;"""", N"&amp;"OT(REGEXMATCH(C3692, ""薪資""))), ""內部轉帳(忽略)"",
  REGEXMATCH(C3692, ""薪資""), ""薪資變動(不計入)"",
  REGEXMATCH(C3692, ""押金""), ""押金往來"",
  AND(E3692&lt;&gt;"""", F3692=""""), ""真實支出"",
  AND(E3692="""", F3692&lt;&gt;""""), ""真實收入"",
  TRUE, ""其他""
)"),"其他")</f>
        <v>其他</v>
      </c>
      <c r="K3692" s="270" t="str">
        <f t="shared" si="2"/>
        <v/>
      </c>
      <c r="L3692">
        <f t="shared" si="3"/>
        <v>0</v>
      </c>
    </row>
    <row r="3693">
      <c r="A3693" s="107"/>
      <c r="D3693" s="270"/>
      <c r="H3693" s="106" t="str">
        <f t="shared" si="1"/>
        <v/>
      </c>
      <c r="I3693" s="271" t="str">
        <f>IFERROR(__xludf.DUMMYFUNCTION("""COMPUTED_VALUE"""),"")</f>
        <v/>
      </c>
      <c r="J3693" t="str">
        <f>IFERROR(__xludf.DUMMYFUNCTION("IFS(
  AND(REGEXMATCH(E3693, ""台銀籌備帳戶|玉山帳戶""), REGEXMATCH(C3693, ""薪資"")), ""分潤支出"",
  AND(REGEXMATCH(E3693, ""Ben帳戶|Elsa帳戶|Ben代墊|Ariel代墊|中信銀行共用""), REGEXMATCH(F3693, ""Ben帳戶|Elsa帳戶|Ben代墊|Ariel代墊|中信銀行共用"")), ""內部轉帳(忽略)"",
  AND(E3693&lt;&gt;"""", F3693&lt;&gt;"""", N"&amp;"OT(REGEXMATCH(C3693, ""薪資""))), ""內部轉帳(忽略)"",
  REGEXMATCH(C3693, ""薪資""), ""薪資變動(不計入)"",
  REGEXMATCH(C3693, ""押金""), ""押金往來"",
  AND(E3693&lt;&gt;"""", F3693=""""), ""真實支出"",
  AND(E3693="""", F3693&lt;&gt;""""), ""真實收入"",
  TRUE, ""其他""
)"),"其他")</f>
        <v>其他</v>
      </c>
      <c r="K3693" s="270" t="str">
        <f t="shared" si="2"/>
        <v/>
      </c>
      <c r="L3693">
        <f t="shared" si="3"/>
        <v>0</v>
      </c>
    </row>
    <row r="3694">
      <c r="A3694" s="107"/>
      <c r="D3694" s="270"/>
      <c r="H3694" s="106" t="str">
        <f t="shared" si="1"/>
        <v/>
      </c>
      <c r="I3694" s="271" t="str">
        <f>IFERROR(__xludf.DUMMYFUNCTION("""COMPUTED_VALUE"""),"")</f>
        <v/>
      </c>
      <c r="J3694" t="str">
        <f>IFERROR(__xludf.DUMMYFUNCTION("IFS(
  AND(REGEXMATCH(E3694, ""台銀籌備帳戶|玉山帳戶""), REGEXMATCH(C3694, ""薪資"")), ""分潤支出"",
  AND(REGEXMATCH(E3694, ""Ben帳戶|Elsa帳戶|Ben代墊|Ariel代墊|中信銀行共用""), REGEXMATCH(F3694, ""Ben帳戶|Elsa帳戶|Ben代墊|Ariel代墊|中信銀行共用"")), ""內部轉帳(忽略)"",
  AND(E3694&lt;&gt;"""", F3694&lt;&gt;"""", N"&amp;"OT(REGEXMATCH(C3694, ""薪資""))), ""內部轉帳(忽略)"",
  REGEXMATCH(C3694, ""薪資""), ""薪資變動(不計入)"",
  REGEXMATCH(C3694, ""押金""), ""押金往來"",
  AND(E3694&lt;&gt;"""", F3694=""""), ""真實支出"",
  AND(E3694="""", F3694&lt;&gt;""""), ""真實收入"",
  TRUE, ""其他""
)"),"其他")</f>
        <v>其他</v>
      </c>
      <c r="K3694" s="270" t="str">
        <f t="shared" si="2"/>
        <v/>
      </c>
      <c r="L3694">
        <f t="shared" si="3"/>
        <v>0</v>
      </c>
    </row>
    <row r="3695">
      <c r="A3695" s="107"/>
      <c r="D3695" s="270"/>
      <c r="H3695" s="106" t="str">
        <f t="shared" si="1"/>
        <v/>
      </c>
      <c r="I3695" s="271" t="str">
        <f>IFERROR(__xludf.DUMMYFUNCTION("""COMPUTED_VALUE"""),"")</f>
        <v/>
      </c>
      <c r="J3695" t="str">
        <f>IFERROR(__xludf.DUMMYFUNCTION("IFS(
  AND(REGEXMATCH(E3695, ""台銀籌備帳戶|玉山帳戶""), REGEXMATCH(C3695, ""薪資"")), ""分潤支出"",
  AND(REGEXMATCH(E3695, ""Ben帳戶|Elsa帳戶|Ben代墊|Ariel代墊|中信銀行共用""), REGEXMATCH(F3695, ""Ben帳戶|Elsa帳戶|Ben代墊|Ariel代墊|中信銀行共用"")), ""內部轉帳(忽略)"",
  AND(E3695&lt;&gt;"""", F3695&lt;&gt;"""", N"&amp;"OT(REGEXMATCH(C3695, ""薪資""))), ""內部轉帳(忽略)"",
  REGEXMATCH(C3695, ""薪資""), ""薪資變動(不計入)"",
  REGEXMATCH(C3695, ""押金""), ""押金往來"",
  AND(E3695&lt;&gt;"""", F3695=""""), ""真實支出"",
  AND(E3695="""", F3695&lt;&gt;""""), ""真實收入"",
  TRUE, ""其他""
)"),"其他")</f>
        <v>其他</v>
      </c>
      <c r="K3695" s="270" t="str">
        <f t="shared" si="2"/>
        <v/>
      </c>
      <c r="L3695">
        <f t="shared" si="3"/>
        <v>0</v>
      </c>
    </row>
    <row r="3696">
      <c r="A3696" s="107"/>
      <c r="D3696" s="270"/>
      <c r="H3696" s="106" t="str">
        <f t="shared" si="1"/>
        <v/>
      </c>
      <c r="I3696" s="271" t="str">
        <f>IFERROR(__xludf.DUMMYFUNCTION("""COMPUTED_VALUE"""),"")</f>
        <v/>
      </c>
      <c r="J3696" t="str">
        <f>IFERROR(__xludf.DUMMYFUNCTION("IFS(
  AND(REGEXMATCH(E3696, ""台銀籌備帳戶|玉山帳戶""), REGEXMATCH(C3696, ""薪資"")), ""分潤支出"",
  AND(REGEXMATCH(E3696, ""Ben帳戶|Elsa帳戶|Ben代墊|Ariel代墊|中信銀行共用""), REGEXMATCH(F3696, ""Ben帳戶|Elsa帳戶|Ben代墊|Ariel代墊|中信銀行共用"")), ""內部轉帳(忽略)"",
  AND(E3696&lt;&gt;"""", F3696&lt;&gt;"""", N"&amp;"OT(REGEXMATCH(C3696, ""薪資""))), ""內部轉帳(忽略)"",
  REGEXMATCH(C3696, ""薪資""), ""薪資變動(不計入)"",
  REGEXMATCH(C3696, ""押金""), ""押金往來"",
  AND(E3696&lt;&gt;"""", F3696=""""), ""真實支出"",
  AND(E3696="""", F3696&lt;&gt;""""), ""真實收入"",
  TRUE, ""其他""
)"),"其他")</f>
        <v>其他</v>
      </c>
      <c r="K3696" s="270" t="str">
        <f t="shared" si="2"/>
        <v/>
      </c>
      <c r="L3696">
        <f t="shared" si="3"/>
        <v>0</v>
      </c>
    </row>
    <row r="3697">
      <c r="A3697" s="107"/>
      <c r="D3697" s="270"/>
      <c r="H3697" s="106" t="str">
        <f t="shared" si="1"/>
        <v/>
      </c>
      <c r="I3697" s="271" t="str">
        <f>IFERROR(__xludf.DUMMYFUNCTION("""COMPUTED_VALUE"""),"")</f>
        <v/>
      </c>
      <c r="J3697" t="str">
        <f>IFERROR(__xludf.DUMMYFUNCTION("IFS(
  AND(REGEXMATCH(E3697, ""台銀籌備帳戶|玉山帳戶""), REGEXMATCH(C3697, ""薪資"")), ""分潤支出"",
  AND(REGEXMATCH(E3697, ""Ben帳戶|Elsa帳戶|Ben代墊|Ariel代墊|中信銀行共用""), REGEXMATCH(F3697, ""Ben帳戶|Elsa帳戶|Ben代墊|Ariel代墊|中信銀行共用"")), ""內部轉帳(忽略)"",
  AND(E3697&lt;&gt;"""", F3697&lt;&gt;"""", N"&amp;"OT(REGEXMATCH(C3697, ""薪資""))), ""內部轉帳(忽略)"",
  REGEXMATCH(C3697, ""薪資""), ""薪資變動(不計入)"",
  REGEXMATCH(C3697, ""押金""), ""押金往來"",
  AND(E3697&lt;&gt;"""", F3697=""""), ""真實支出"",
  AND(E3697="""", F3697&lt;&gt;""""), ""真實收入"",
  TRUE, ""其他""
)"),"其他")</f>
        <v>其他</v>
      </c>
      <c r="K3697" s="270" t="str">
        <f t="shared" si="2"/>
        <v/>
      </c>
      <c r="L3697">
        <f t="shared" si="3"/>
        <v>0</v>
      </c>
    </row>
    <row r="3698">
      <c r="A3698" s="107"/>
      <c r="D3698" s="270"/>
      <c r="H3698" s="106" t="str">
        <f t="shared" si="1"/>
        <v/>
      </c>
      <c r="I3698" s="271" t="str">
        <f>IFERROR(__xludf.DUMMYFUNCTION("""COMPUTED_VALUE"""),"")</f>
        <v/>
      </c>
      <c r="J3698" t="str">
        <f>IFERROR(__xludf.DUMMYFUNCTION("IFS(
  AND(REGEXMATCH(E3698, ""台銀籌備帳戶|玉山帳戶""), REGEXMATCH(C3698, ""薪資"")), ""分潤支出"",
  AND(REGEXMATCH(E3698, ""Ben帳戶|Elsa帳戶|Ben代墊|Ariel代墊|中信銀行共用""), REGEXMATCH(F3698, ""Ben帳戶|Elsa帳戶|Ben代墊|Ariel代墊|中信銀行共用"")), ""內部轉帳(忽略)"",
  AND(E3698&lt;&gt;"""", F3698&lt;&gt;"""", N"&amp;"OT(REGEXMATCH(C3698, ""薪資""))), ""內部轉帳(忽略)"",
  REGEXMATCH(C3698, ""薪資""), ""薪資變動(不計入)"",
  REGEXMATCH(C3698, ""押金""), ""押金往來"",
  AND(E3698&lt;&gt;"""", F3698=""""), ""真實支出"",
  AND(E3698="""", F3698&lt;&gt;""""), ""真實收入"",
  TRUE, ""其他""
)"),"其他")</f>
        <v>其他</v>
      </c>
      <c r="K3698" s="270" t="str">
        <f t="shared" si="2"/>
        <v/>
      </c>
      <c r="L3698">
        <f t="shared" si="3"/>
        <v>0</v>
      </c>
    </row>
    <row r="3699">
      <c r="A3699" s="107"/>
      <c r="D3699" s="270"/>
      <c r="H3699" s="106" t="str">
        <f t="shared" si="1"/>
        <v/>
      </c>
      <c r="I3699" s="271" t="str">
        <f>IFERROR(__xludf.DUMMYFUNCTION("""COMPUTED_VALUE"""),"")</f>
        <v/>
      </c>
      <c r="J3699" t="str">
        <f>IFERROR(__xludf.DUMMYFUNCTION("IFS(
  AND(REGEXMATCH(E3699, ""台銀籌備帳戶|玉山帳戶""), REGEXMATCH(C3699, ""薪資"")), ""分潤支出"",
  AND(REGEXMATCH(E3699, ""Ben帳戶|Elsa帳戶|Ben代墊|Ariel代墊|中信銀行共用""), REGEXMATCH(F3699, ""Ben帳戶|Elsa帳戶|Ben代墊|Ariel代墊|中信銀行共用"")), ""內部轉帳(忽略)"",
  AND(E3699&lt;&gt;"""", F3699&lt;&gt;"""", N"&amp;"OT(REGEXMATCH(C3699, ""薪資""))), ""內部轉帳(忽略)"",
  REGEXMATCH(C3699, ""薪資""), ""薪資變動(不計入)"",
  REGEXMATCH(C3699, ""押金""), ""押金往來"",
  AND(E3699&lt;&gt;"""", F3699=""""), ""真實支出"",
  AND(E3699="""", F3699&lt;&gt;""""), ""真實收入"",
  TRUE, ""其他""
)"),"其他")</f>
        <v>其他</v>
      </c>
      <c r="K3699" s="270" t="str">
        <f t="shared" si="2"/>
        <v/>
      </c>
      <c r="L3699">
        <f t="shared" si="3"/>
        <v>0</v>
      </c>
    </row>
    <row r="3700">
      <c r="A3700" s="107"/>
      <c r="D3700" s="270"/>
      <c r="H3700" s="106" t="str">
        <f t="shared" si="1"/>
        <v/>
      </c>
      <c r="I3700" s="271" t="str">
        <f>IFERROR(__xludf.DUMMYFUNCTION("""COMPUTED_VALUE"""),"")</f>
        <v/>
      </c>
      <c r="J3700" t="str">
        <f>IFERROR(__xludf.DUMMYFUNCTION("IFS(
  AND(REGEXMATCH(E3700, ""台銀籌備帳戶|玉山帳戶""), REGEXMATCH(C3700, ""薪資"")), ""分潤支出"",
  AND(REGEXMATCH(E3700, ""Ben帳戶|Elsa帳戶|Ben代墊|Ariel代墊|中信銀行共用""), REGEXMATCH(F3700, ""Ben帳戶|Elsa帳戶|Ben代墊|Ariel代墊|中信銀行共用"")), ""內部轉帳(忽略)"",
  AND(E3700&lt;&gt;"""", F3700&lt;&gt;"""", N"&amp;"OT(REGEXMATCH(C3700, ""薪資""))), ""內部轉帳(忽略)"",
  REGEXMATCH(C3700, ""薪資""), ""薪資變動(不計入)"",
  REGEXMATCH(C3700, ""押金""), ""押金往來"",
  AND(E3700&lt;&gt;"""", F3700=""""), ""真實支出"",
  AND(E3700="""", F3700&lt;&gt;""""), ""真實收入"",
  TRUE, ""其他""
)"),"其他")</f>
        <v>其他</v>
      </c>
      <c r="K3700" s="270" t="str">
        <f t="shared" si="2"/>
        <v/>
      </c>
      <c r="L3700">
        <f t="shared" si="3"/>
        <v>0</v>
      </c>
    </row>
    <row r="3701">
      <c r="A3701" s="107"/>
      <c r="D3701" s="270"/>
      <c r="H3701" s="106" t="str">
        <f t="shared" si="1"/>
        <v/>
      </c>
      <c r="I3701" s="271" t="str">
        <f>IFERROR(__xludf.DUMMYFUNCTION("""COMPUTED_VALUE"""),"")</f>
        <v/>
      </c>
      <c r="J3701" t="str">
        <f>IFERROR(__xludf.DUMMYFUNCTION("IFS(
  AND(REGEXMATCH(E3701, ""台銀籌備帳戶|玉山帳戶""), REGEXMATCH(C3701, ""薪資"")), ""分潤支出"",
  AND(REGEXMATCH(E3701, ""Ben帳戶|Elsa帳戶|Ben代墊|Ariel代墊|中信銀行共用""), REGEXMATCH(F3701, ""Ben帳戶|Elsa帳戶|Ben代墊|Ariel代墊|中信銀行共用"")), ""內部轉帳(忽略)"",
  AND(E3701&lt;&gt;"""", F3701&lt;&gt;"""", N"&amp;"OT(REGEXMATCH(C3701, ""薪資""))), ""內部轉帳(忽略)"",
  REGEXMATCH(C3701, ""薪資""), ""薪資變動(不計入)"",
  REGEXMATCH(C3701, ""押金""), ""押金往來"",
  AND(E3701&lt;&gt;"""", F3701=""""), ""真實支出"",
  AND(E3701="""", F3701&lt;&gt;""""), ""真實收入"",
  TRUE, ""其他""
)"),"其他")</f>
        <v>其他</v>
      </c>
      <c r="K3701" s="270" t="str">
        <f t="shared" si="2"/>
        <v/>
      </c>
      <c r="L3701">
        <f t="shared" si="3"/>
        <v>0</v>
      </c>
    </row>
    <row r="3702">
      <c r="A3702" s="107"/>
      <c r="D3702" s="270"/>
      <c r="H3702" s="106" t="str">
        <f t="shared" si="1"/>
        <v/>
      </c>
      <c r="I3702" s="271" t="str">
        <f>IFERROR(__xludf.DUMMYFUNCTION("""COMPUTED_VALUE"""),"")</f>
        <v/>
      </c>
      <c r="J3702" t="str">
        <f>IFERROR(__xludf.DUMMYFUNCTION("IFS(
  AND(REGEXMATCH(E3702, ""台銀籌備帳戶|玉山帳戶""), REGEXMATCH(C3702, ""薪資"")), ""分潤支出"",
  AND(REGEXMATCH(E3702, ""Ben帳戶|Elsa帳戶|Ben代墊|Ariel代墊|中信銀行共用""), REGEXMATCH(F3702, ""Ben帳戶|Elsa帳戶|Ben代墊|Ariel代墊|中信銀行共用"")), ""內部轉帳(忽略)"",
  AND(E3702&lt;&gt;"""", F3702&lt;&gt;"""", N"&amp;"OT(REGEXMATCH(C3702, ""薪資""))), ""內部轉帳(忽略)"",
  REGEXMATCH(C3702, ""薪資""), ""薪資變動(不計入)"",
  REGEXMATCH(C3702, ""押金""), ""押金往來"",
  AND(E3702&lt;&gt;"""", F3702=""""), ""真實支出"",
  AND(E3702="""", F3702&lt;&gt;""""), ""真實收入"",
  TRUE, ""其他""
)"),"其他")</f>
        <v>其他</v>
      </c>
      <c r="K3702" s="270" t="str">
        <f t="shared" si="2"/>
        <v/>
      </c>
      <c r="L3702">
        <f t="shared" si="3"/>
        <v>0</v>
      </c>
    </row>
    <row r="3703">
      <c r="A3703" s="107"/>
      <c r="D3703" s="270"/>
      <c r="H3703" s="106" t="str">
        <f t="shared" si="1"/>
        <v/>
      </c>
      <c r="I3703" s="271" t="str">
        <f>IFERROR(__xludf.DUMMYFUNCTION("""COMPUTED_VALUE"""),"")</f>
        <v/>
      </c>
      <c r="J3703" t="str">
        <f>IFERROR(__xludf.DUMMYFUNCTION("IFS(
  AND(REGEXMATCH(E3703, ""台銀籌備帳戶|玉山帳戶""), REGEXMATCH(C3703, ""薪資"")), ""分潤支出"",
  AND(REGEXMATCH(E3703, ""Ben帳戶|Elsa帳戶|Ben代墊|Ariel代墊|中信銀行共用""), REGEXMATCH(F3703, ""Ben帳戶|Elsa帳戶|Ben代墊|Ariel代墊|中信銀行共用"")), ""內部轉帳(忽略)"",
  AND(E3703&lt;&gt;"""", F3703&lt;&gt;"""", N"&amp;"OT(REGEXMATCH(C3703, ""薪資""))), ""內部轉帳(忽略)"",
  REGEXMATCH(C3703, ""薪資""), ""薪資變動(不計入)"",
  REGEXMATCH(C3703, ""押金""), ""押金往來"",
  AND(E3703&lt;&gt;"""", F3703=""""), ""真實支出"",
  AND(E3703="""", F3703&lt;&gt;""""), ""真實收入"",
  TRUE, ""其他""
)"),"其他")</f>
        <v>其他</v>
      </c>
      <c r="K3703" s="270" t="str">
        <f t="shared" si="2"/>
        <v/>
      </c>
      <c r="L3703">
        <f t="shared" si="3"/>
        <v>0</v>
      </c>
    </row>
    <row r="3704">
      <c r="A3704" s="107"/>
      <c r="D3704" s="270"/>
      <c r="H3704" s="106" t="str">
        <f t="shared" si="1"/>
        <v/>
      </c>
      <c r="I3704" s="271" t="str">
        <f>IFERROR(__xludf.DUMMYFUNCTION("""COMPUTED_VALUE"""),"")</f>
        <v/>
      </c>
      <c r="J3704" t="str">
        <f>IFERROR(__xludf.DUMMYFUNCTION("IFS(
  AND(REGEXMATCH(E3704, ""台銀籌備帳戶|玉山帳戶""), REGEXMATCH(C3704, ""薪資"")), ""分潤支出"",
  AND(REGEXMATCH(E3704, ""Ben帳戶|Elsa帳戶|Ben代墊|Ariel代墊|中信銀行共用""), REGEXMATCH(F3704, ""Ben帳戶|Elsa帳戶|Ben代墊|Ariel代墊|中信銀行共用"")), ""內部轉帳(忽略)"",
  AND(E3704&lt;&gt;"""", F3704&lt;&gt;"""", N"&amp;"OT(REGEXMATCH(C3704, ""薪資""))), ""內部轉帳(忽略)"",
  REGEXMATCH(C3704, ""薪資""), ""薪資變動(不計入)"",
  REGEXMATCH(C3704, ""押金""), ""押金往來"",
  AND(E3704&lt;&gt;"""", F3704=""""), ""真實支出"",
  AND(E3704="""", F3704&lt;&gt;""""), ""真實收入"",
  TRUE, ""其他""
)"),"其他")</f>
        <v>其他</v>
      </c>
      <c r="K3704" s="270" t="str">
        <f t="shared" si="2"/>
        <v/>
      </c>
      <c r="L3704">
        <f t="shared" si="3"/>
        <v>0</v>
      </c>
    </row>
    <row r="3705">
      <c r="A3705" s="107"/>
      <c r="D3705" s="270"/>
      <c r="H3705" s="106" t="str">
        <f t="shared" si="1"/>
        <v/>
      </c>
      <c r="I3705" s="271" t="str">
        <f>IFERROR(__xludf.DUMMYFUNCTION("""COMPUTED_VALUE"""),"")</f>
        <v/>
      </c>
      <c r="J3705" t="str">
        <f>IFERROR(__xludf.DUMMYFUNCTION("IFS(
  AND(REGEXMATCH(E3705, ""台銀籌備帳戶|玉山帳戶""), REGEXMATCH(C3705, ""薪資"")), ""分潤支出"",
  AND(REGEXMATCH(E3705, ""Ben帳戶|Elsa帳戶|Ben代墊|Ariel代墊|中信銀行共用""), REGEXMATCH(F3705, ""Ben帳戶|Elsa帳戶|Ben代墊|Ariel代墊|中信銀行共用"")), ""內部轉帳(忽略)"",
  AND(E3705&lt;&gt;"""", F3705&lt;&gt;"""", N"&amp;"OT(REGEXMATCH(C3705, ""薪資""))), ""內部轉帳(忽略)"",
  REGEXMATCH(C3705, ""薪資""), ""薪資變動(不計入)"",
  REGEXMATCH(C3705, ""押金""), ""押金往來"",
  AND(E3705&lt;&gt;"""", F3705=""""), ""真實支出"",
  AND(E3705="""", F3705&lt;&gt;""""), ""真實收入"",
  TRUE, ""其他""
)"),"其他")</f>
        <v>其他</v>
      </c>
      <c r="K3705" s="270" t="str">
        <f t="shared" si="2"/>
        <v/>
      </c>
      <c r="L3705">
        <f t="shared" si="3"/>
        <v>0</v>
      </c>
    </row>
    <row r="3706">
      <c r="A3706" s="107"/>
      <c r="D3706" s="270"/>
      <c r="H3706" s="106" t="str">
        <f t="shared" si="1"/>
        <v/>
      </c>
      <c r="I3706" s="271" t="str">
        <f>IFERROR(__xludf.DUMMYFUNCTION("""COMPUTED_VALUE"""),"")</f>
        <v/>
      </c>
      <c r="J3706" t="str">
        <f>IFERROR(__xludf.DUMMYFUNCTION("IFS(
  AND(REGEXMATCH(E3706, ""台銀籌備帳戶|玉山帳戶""), REGEXMATCH(C3706, ""薪資"")), ""分潤支出"",
  AND(REGEXMATCH(E3706, ""Ben帳戶|Elsa帳戶|Ben代墊|Ariel代墊|中信銀行共用""), REGEXMATCH(F3706, ""Ben帳戶|Elsa帳戶|Ben代墊|Ariel代墊|中信銀行共用"")), ""內部轉帳(忽略)"",
  AND(E3706&lt;&gt;"""", F3706&lt;&gt;"""", N"&amp;"OT(REGEXMATCH(C3706, ""薪資""))), ""內部轉帳(忽略)"",
  REGEXMATCH(C3706, ""薪資""), ""薪資變動(不計入)"",
  REGEXMATCH(C3706, ""押金""), ""押金往來"",
  AND(E3706&lt;&gt;"""", F3706=""""), ""真實支出"",
  AND(E3706="""", F3706&lt;&gt;""""), ""真實收入"",
  TRUE, ""其他""
)"),"其他")</f>
        <v>其他</v>
      </c>
      <c r="K3706" s="270" t="str">
        <f t="shared" si="2"/>
        <v/>
      </c>
      <c r="L3706">
        <f t="shared" si="3"/>
        <v>0</v>
      </c>
    </row>
    <row r="3707">
      <c r="A3707" s="107"/>
      <c r="D3707" s="270"/>
      <c r="H3707" s="106" t="str">
        <f t="shared" si="1"/>
        <v/>
      </c>
      <c r="I3707" s="271" t="str">
        <f>IFERROR(__xludf.DUMMYFUNCTION("""COMPUTED_VALUE"""),"")</f>
        <v/>
      </c>
      <c r="J3707" t="str">
        <f>IFERROR(__xludf.DUMMYFUNCTION("IFS(
  AND(REGEXMATCH(E3707, ""台銀籌備帳戶|玉山帳戶""), REGEXMATCH(C3707, ""薪資"")), ""分潤支出"",
  AND(REGEXMATCH(E3707, ""Ben帳戶|Elsa帳戶|Ben代墊|Ariel代墊|中信銀行共用""), REGEXMATCH(F3707, ""Ben帳戶|Elsa帳戶|Ben代墊|Ariel代墊|中信銀行共用"")), ""內部轉帳(忽略)"",
  AND(E3707&lt;&gt;"""", F3707&lt;&gt;"""", N"&amp;"OT(REGEXMATCH(C3707, ""薪資""))), ""內部轉帳(忽略)"",
  REGEXMATCH(C3707, ""薪資""), ""薪資變動(不計入)"",
  REGEXMATCH(C3707, ""押金""), ""押金往來"",
  AND(E3707&lt;&gt;"""", F3707=""""), ""真實支出"",
  AND(E3707="""", F3707&lt;&gt;""""), ""真實收入"",
  TRUE, ""其他""
)"),"其他")</f>
        <v>其他</v>
      </c>
      <c r="K3707" s="270" t="str">
        <f t="shared" si="2"/>
        <v/>
      </c>
      <c r="L3707">
        <f t="shared" si="3"/>
        <v>0</v>
      </c>
    </row>
    <row r="3708">
      <c r="A3708" s="107"/>
      <c r="D3708" s="270"/>
      <c r="H3708" s="106" t="str">
        <f t="shared" si="1"/>
        <v/>
      </c>
      <c r="I3708" s="271" t="str">
        <f>IFERROR(__xludf.DUMMYFUNCTION("""COMPUTED_VALUE"""),"")</f>
        <v/>
      </c>
      <c r="J3708" t="str">
        <f>IFERROR(__xludf.DUMMYFUNCTION("IFS(
  AND(REGEXMATCH(E3708, ""台銀籌備帳戶|玉山帳戶""), REGEXMATCH(C3708, ""薪資"")), ""分潤支出"",
  AND(REGEXMATCH(E3708, ""Ben帳戶|Elsa帳戶|Ben代墊|Ariel代墊|中信銀行共用""), REGEXMATCH(F3708, ""Ben帳戶|Elsa帳戶|Ben代墊|Ariel代墊|中信銀行共用"")), ""內部轉帳(忽略)"",
  AND(E3708&lt;&gt;"""", F3708&lt;&gt;"""", N"&amp;"OT(REGEXMATCH(C3708, ""薪資""))), ""內部轉帳(忽略)"",
  REGEXMATCH(C3708, ""薪資""), ""薪資變動(不計入)"",
  REGEXMATCH(C3708, ""押金""), ""押金往來"",
  AND(E3708&lt;&gt;"""", F3708=""""), ""真實支出"",
  AND(E3708="""", F3708&lt;&gt;""""), ""真實收入"",
  TRUE, ""其他""
)"),"其他")</f>
        <v>其他</v>
      </c>
      <c r="K3708" s="270" t="str">
        <f t="shared" si="2"/>
        <v/>
      </c>
      <c r="L3708">
        <f t="shared" si="3"/>
        <v>0</v>
      </c>
    </row>
    <row r="3709">
      <c r="A3709" s="107"/>
      <c r="D3709" s="270"/>
      <c r="H3709" s="106" t="str">
        <f t="shared" si="1"/>
        <v/>
      </c>
      <c r="I3709" s="271" t="str">
        <f>IFERROR(__xludf.DUMMYFUNCTION("""COMPUTED_VALUE"""),"")</f>
        <v/>
      </c>
      <c r="J3709" t="str">
        <f>IFERROR(__xludf.DUMMYFUNCTION("IFS(
  AND(REGEXMATCH(E3709, ""台銀籌備帳戶|玉山帳戶""), REGEXMATCH(C3709, ""薪資"")), ""分潤支出"",
  AND(REGEXMATCH(E3709, ""Ben帳戶|Elsa帳戶|Ben代墊|Ariel代墊|中信銀行共用""), REGEXMATCH(F3709, ""Ben帳戶|Elsa帳戶|Ben代墊|Ariel代墊|中信銀行共用"")), ""內部轉帳(忽略)"",
  AND(E3709&lt;&gt;"""", F3709&lt;&gt;"""", N"&amp;"OT(REGEXMATCH(C3709, ""薪資""))), ""內部轉帳(忽略)"",
  REGEXMATCH(C3709, ""薪資""), ""薪資變動(不計入)"",
  REGEXMATCH(C3709, ""押金""), ""押金往來"",
  AND(E3709&lt;&gt;"""", F3709=""""), ""真實支出"",
  AND(E3709="""", F3709&lt;&gt;""""), ""真實收入"",
  TRUE, ""其他""
)"),"其他")</f>
        <v>其他</v>
      </c>
      <c r="K3709" s="270" t="str">
        <f t="shared" si="2"/>
        <v/>
      </c>
      <c r="L3709">
        <f t="shared" si="3"/>
        <v>0</v>
      </c>
    </row>
    <row r="3710">
      <c r="A3710" s="107"/>
      <c r="D3710" s="270"/>
      <c r="H3710" s="106" t="str">
        <f t="shared" si="1"/>
        <v/>
      </c>
      <c r="I3710" s="271" t="str">
        <f>IFERROR(__xludf.DUMMYFUNCTION("""COMPUTED_VALUE"""),"")</f>
        <v/>
      </c>
      <c r="J3710" t="str">
        <f>IFERROR(__xludf.DUMMYFUNCTION("IFS(
  AND(REGEXMATCH(E3710, ""台銀籌備帳戶|玉山帳戶""), REGEXMATCH(C3710, ""薪資"")), ""分潤支出"",
  AND(REGEXMATCH(E3710, ""Ben帳戶|Elsa帳戶|Ben代墊|Ariel代墊|中信銀行共用""), REGEXMATCH(F3710, ""Ben帳戶|Elsa帳戶|Ben代墊|Ariel代墊|中信銀行共用"")), ""內部轉帳(忽略)"",
  AND(E3710&lt;&gt;"""", F3710&lt;&gt;"""", N"&amp;"OT(REGEXMATCH(C3710, ""薪資""))), ""內部轉帳(忽略)"",
  REGEXMATCH(C3710, ""薪資""), ""薪資變動(不計入)"",
  REGEXMATCH(C3710, ""押金""), ""押金往來"",
  AND(E3710&lt;&gt;"""", F3710=""""), ""真實支出"",
  AND(E3710="""", F3710&lt;&gt;""""), ""真實收入"",
  TRUE, ""其他""
)"),"其他")</f>
        <v>其他</v>
      </c>
      <c r="K3710" s="270" t="str">
        <f t="shared" si="2"/>
        <v/>
      </c>
      <c r="L3710">
        <f t="shared" si="3"/>
        <v>0</v>
      </c>
    </row>
    <row r="3711">
      <c r="A3711" s="107"/>
      <c r="D3711" s="270"/>
      <c r="H3711" s="106" t="str">
        <f t="shared" si="1"/>
        <v/>
      </c>
      <c r="I3711" s="271" t="str">
        <f>IFERROR(__xludf.DUMMYFUNCTION("""COMPUTED_VALUE"""),"")</f>
        <v/>
      </c>
      <c r="J3711" t="str">
        <f>IFERROR(__xludf.DUMMYFUNCTION("IFS(
  AND(REGEXMATCH(E3711, ""台銀籌備帳戶|玉山帳戶""), REGEXMATCH(C3711, ""薪資"")), ""分潤支出"",
  AND(REGEXMATCH(E3711, ""Ben帳戶|Elsa帳戶|Ben代墊|Ariel代墊|中信銀行共用""), REGEXMATCH(F3711, ""Ben帳戶|Elsa帳戶|Ben代墊|Ariel代墊|中信銀行共用"")), ""內部轉帳(忽略)"",
  AND(E3711&lt;&gt;"""", F3711&lt;&gt;"""", N"&amp;"OT(REGEXMATCH(C3711, ""薪資""))), ""內部轉帳(忽略)"",
  REGEXMATCH(C3711, ""薪資""), ""薪資變動(不計入)"",
  REGEXMATCH(C3711, ""押金""), ""押金往來"",
  AND(E3711&lt;&gt;"""", F3711=""""), ""真實支出"",
  AND(E3711="""", F3711&lt;&gt;""""), ""真實收入"",
  TRUE, ""其他""
)"),"其他")</f>
        <v>其他</v>
      </c>
      <c r="K3711" s="270" t="str">
        <f t="shared" si="2"/>
        <v/>
      </c>
      <c r="L3711">
        <f t="shared" si="3"/>
        <v>0</v>
      </c>
    </row>
    <row r="3712">
      <c r="A3712" s="107"/>
      <c r="D3712" s="270"/>
      <c r="H3712" s="106" t="str">
        <f t="shared" si="1"/>
        <v/>
      </c>
      <c r="I3712" s="271" t="str">
        <f>IFERROR(__xludf.DUMMYFUNCTION("""COMPUTED_VALUE"""),"")</f>
        <v/>
      </c>
      <c r="J3712" t="str">
        <f>IFERROR(__xludf.DUMMYFUNCTION("IFS(
  AND(REGEXMATCH(E3712, ""台銀籌備帳戶|玉山帳戶""), REGEXMATCH(C3712, ""薪資"")), ""分潤支出"",
  AND(REGEXMATCH(E3712, ""Ben帳戶|Elsa帳戶|Ben代墊|Ariel代墊|中信銀行共用""), REGEXMATCH(F3712, ""Ben帳戶|Elsa帳戶|Ben代墊|Ariel代墊|中信銀行共用"")), ""內部轉帳(忽略)"",
  AND(E3712&lt;&gt;"""", F3712&lt;&gt;"""", N"&amp;"OT(REGEXMATCH(C3712, ""薪資""))), ""內部轉帳(忽略)"",
  REGEXMATCH(C3712, ""薪資""), ""薪資變動(不計入)"",
  REGEXMATCH(C3712, ""押金""), ""押金往來"",
  AND(E3712&lt;&gt;"""", F3712=""""), ""真實支出"",
  AND(E3712="""", F3712&lt;&gt;""""), ""真實收入"",
  TRUE, ""其他""
)"),"其他")</f>
        <v>其他</v>
      </c>
      <c r="K3712" s="270" t="str">
        <f t="shared" si="2"/>
        <v/>
      </c>
      <c r="L3712">
        <f t="shared" si="3"/>
        <v>0</v>
      </c>
    </row>
    <row r="3713">
      <c r="A3713" s="107"/>
      <c r="D3713" s="270"/>
      <c r="H3713" s="106" t="str">
        <f t="shared" si="1"/>
        <v/>
      </c>
      <c r="I3713" s="271" t="str">
        <f>IFERROR(__xludf.DUMMYFUNCTION("""COMPUTED_VALUE"""),"")</f>
        <v/>
      </c>
      <c r="J3713" t="str">
        <f>IFERROR(__xludf.DUMMYFUNCTION("IFS(
  AND(REGEXMATCH(E3713, ""台銀籌備帳戶|玉山帳戶""), REGEXMATCH(C3713, ""薪資"")), ""分潤支出"",
  AND(REGEXMATCH(E3713, ""Ben帳戶|Elsa帳戶|Ben代墊|Ariel代墊|中信銀行共用""), REGEXMATCH(F3713, ""Ben帳戶|Elsa帳戶|Ben代墊|Ariel代墊|中信銀行共用"")), ""內部轉帳(忽略)"",
  AND(E3713&lt;&gt;"""", F3713&lt;&gt;"""", N"&amp;"OT(REGEXMATCH(C3713, ""薪資""))), ""內部轉帳(忽略)"",
  REGEXMATCH(C3713, ""薪資""), ""薪資變動(不計入)"",
  REGEXMATCH(C3713, ""押金""), ""押金往來"",
  AND(E3713&lt;&gt;"""", F3713=""""), ""真實支出"",
  AND(E3713="""", F3713&lt;&gt;""""), ""真實收入"",
  TRUE, ""其他""
)"),"其他")</f>
        <v>其他</v>
      </c>
      <c r="K3713" s="270" t="str">
        <f t="shared" si="2"/>
        <v/>
      </c>
      <c r="L3713">
        <f t="shared" si="3"/>
        <v>0</v>
      </c>
    </row>
    <row r="3714">
      <c r="A3714" s="107"/>
      <c r="D3714" s="270"/>
      <c r="H3714" s="106" t="str">
        <f t="shared" si="1"/>
        <v/>
      </c>
      <c r="I3714" s="271" t="str">
        <f>IFERROR(__xludf.DUMMYFUNCTION("""COMPUTED_VALUE"""),"")</f>
        <v/>
      </c>
      <c r="J3714" t="str">
        <f>IFERROR(__xludf.DUMMYFUNCTION("IFS(
  AND(REGEXMATCH(E3714, ""台銀籌備帳戶|玉山帳戶""), REGEXMATCH(C3714, ""薪資"")), ""分潤支出"",
  AND(REGEXMATCH(E3714, ""Ben帳戶|Elsa帳戶|Ben代墊|Ariel代墊|中信銀行共用""), REGEXMATCH(F3714, ""Ben帳戶|Elsa帳戶|Ben代墊|Ariel代墊|中信銀行共用"")), ""內部轉帳(忽略)"",
  AND(E3714&lt;&gt;"""", F3714&lt;&gt;"""", N"&amp;"OT(REGEXMATCH(C3714, ""薪資""))), ""內部轉帳(忽略)"",
  REGEXMATCH(C3714, ""薪資""), ""薪資變動(不計入)"",
  REGEXMATCH(C3714, ""押金""), ""押金往來"",
  AND(E3714&lt;&gt;"""", F3714=""""), ""真實支出"",
  AND(E3714="""", F3714&lt;&gt;""""), ""真實收入"",
  TRUE, ""其他""
)"),"其他")</f>
        <v>其他</v>
      </c>
      <c r="K3714" s="270" t="str">
        <f t="shared" si="2"/>
        <v/>
      </c>
      <c r="L3714">
        <f t="shared" si="3"/>
        <v>0</v>
      </c>
    </row>
    <row r="3715">
      <c r="A3715" s="107"/>
      <c r="D3715" s="270"/>
      <c r="H3715" s="106" t="str">
        <f t="shared" si="1"/>
        <v/>
      </c>
      <c r="I3715" s="271" t="str">
        <f>IFERROR(__xludf.DUMMYFUNCTION("""COMPUTED_VALUE"""),"")</f>
        <v/>
      </c>
      <c r="J3715" t="str">
        <f>IFERROR(__xludf.DUMMYFUNCTION("IFS(
  AND(REGEXMATCH(E3715, ""台銀籌備帳戶|玉山帳戶""), REGEXMATCH(C3715, ""薪資"")), ""分潤支出"",
  AND(REGEXMATCH(E3715, ""Ben帳戶|Elsa帳戶|Ben代墊|Ariel代墊|中信銀行共用""), REGEXMATCH(F3715, ""Ben帳戶|Elsa帳戶|Ben代墊|Ariel代墊|中信銀行共用"")), ""內部轉帳(忽略)"",
  AND(E3715&lt;&gt;"""", F3715&lt;&gt;"""", N"&amp;"OT(REGEXMATCH(C3715, ""薪資""))), ""內部轉帳(忽略)"",
  REGEXMATCH(C3715, ""薪資""), ""薪資變動(不計入)"",
  REGEXMATCH(C3715, ""押金""), ""押金往來"",
  AND(E3715&lt;&gt;"""", F3715=""""), ""真實支出"",
  AND(E3715="""", F3715&lt;&gt;""""), ""真實收入"",
  TRUE, ""其他""
)"),"其他")</f>
        <v>其他</v>
      </c>
      <c r="K3715" s="270" t="str">
        <f t="shared" si="2"/>
        <v/>
      </c>
      <c r="L3715">
        <f t="shared" si="3"/>
        <v>0</v>
      </c>
    </row>
    <row r="3716">
      <c r="A3716" s="107"/>
      <c r="D3716" s="270"/>
      <c r="H3716" s="106" t="str">
        <f t="shared" si="1"/>
        <v/>
      </c>
      <c r="I3716" s="271" t="str">
        <f>IFERROR(__xludf.DUMMYFUNCTION("""COMPUTED_VALUE"""),"")</f>
        <v/>
      </c>
      <c r="J3716" t="str">
        <f>IFERROR(__xludf.DUMMYFUNCTION("IFS(
  AND(REGEXMATCH(E3716, ""台銀籌備帳戶|玉山帳戶""), REGEXMATCH(C3716, ""薪資"")), ""分潤支出"",
  AND(REGEXMATCH(E3716, ""Ben帳戶|Elsa帳戶|Ben代墊|Ariel代墊|中信銀行共用""), REGEXMATCH(F3716, ""Ben帳戶|Elsa帳戶|Ben代墊|Ariel代墊|中信銀行共用"")), ""內部轉帳(忽略)"",
  AND(E3716&lt;&gt;"""", F3716&lt;&gt;"""", N"&amp;"OT(REGEXMATCH(C3716, ""薪資""))), ""內部轉帳(忽略)"",
  REGEXMATCH(C3716, ""薪資""), ""薪資變動(不計入)"",
  REGEXMATCH(C3716, ""押金""), ""押金往來"",
  AND(E3716&lt;&gt;"""", F3716=""""), ""真實支出"",
  AND(E3716="""", F3716&lt;&gt;""""), ""真實收入"",
  TRUE, ""其他""
)"),"其他")</f>
        <v>其他</v>
      </c>
      <c r="K3716" s="270" t="str">
        <f t="shared" si="2"/>
        <v/>
      </c>
      <c r="L3716">
        <f t="shared" si="3"/>
        <v>0</v>
      </c>
    </row>
    <row r="3717">
      <c r="A3717" s="107"/>
      <c r="D3717" s="270"/>
      <c r="H3717" s="106" t="str">
        <f t="shared" si="1"/>
        <v/>
      </c>
      <c r="I3717" s="271" t="str">
        <f>IFERROR(__xludf.DUMMYFUNCTION("""COMPUTED_VALUE"""),"")</f>
        <v/>
      </c>
      <c r="J3717" t="str">
        <f>IFERROR(__xludf.DUMMYFUNCTION("IFS(
  AND(REGEXMATCH(E3717, ""台銀籌備帳戶|玉山帳戶""), REGEXMATCH(C3717, ""薪資"")), ""分潤支出"",
  AND(REGEXMATCH(E3717, ""Ben帳戶|Elsa帳戶|Ben代墊|Ariel代墊|中信銀行共用""), REGEXMATCH(F3717, ""Ben帳戶|Elsa帳戶|Ben代墊|Ariel代墊|中信銀行共用"")), ""內部轉帳(忽略)"",
  AND(E3717&lt;&gt;"""", F3717&lt;&gt;"""", N"&amp;"OT(REGEXMATCH(C3717, ""薪資""))), ""內部轉帳(忽略)"",
  REGEXMATCH(C3717, ""薪資""), ""薪資變動(不計入)"",
  REGEXMATCH(C3717, ""押金""), ""押金往來"",
  AND(E3717&lt;&gt;"""", F3717=""""), ""真實支出"",
  AND(E3717="""", F3717&lt;&gt;""""), ""真實收入"",
  TRUE, ""其他""
)"),"其他")</f>
        <v>其他</v>
      </c>
      <c r="K3717" s="270" t="str">
        <f t="shared" si="2"/>
        <v/>
      </c>
      <c r="L3717">
        <f t="shared" si="3"/>
        <v>0</v>
      </c>
    </row>
    <row r="3718">
      <c r="A3718" s="107"/>
      <c r="D3718" s="270"/>
      <c r="H3718" s="106" t="str">
        <f t="shared" si="1"/>
        <v/>
      </c>
      <c r="I3718" s="271" t="str">
        <f>IFERROR(__xludf.DUMMYFUNCTION("""COMPUTED_VALUE"""),"")</f>
        <v/>
      </c>
      <c r="J3718" t="str">
        <f>IFERROR(__xludf.DUMMYFUNCTION("IFS(
  AND(REGEXMATCH(E3718, ""台銀籌備帳戶|玉山帳戶""), REGEXMATCH(C3718, ""薪資"")), ""分潤支出"",
  AND(REGEXMATCH(E3718, ""Ben帳戶|Elsa帳戶|Ben代墊|Ariel代墊|中信銀行共用""), REGEXMATCH(F3718, ""Ben帳戶|Elsa帳戶|Ben代墊|Ariel代墊|中信銀行共用"")), ""內部轉帳(忽略)"",
  AND(E3718&lt;&gt;"""", F3718&lt;&gt;"""", N"&amp;"OT(REGEXMATCH(C3718, ""薪資""))), ""內部轉帳(忽略)"",
  REGEXMATCH(C3718, ""薪資""), ""薪資變動(不計入)"",
  REGEXMATCH(C3718, ""押金""), ""押金往來"",
  AND(E3718&lt;&gt;"""", F3718=""""), ""真實支出"",
  AND(E3718="""", F3718&lt;&gt;""""), ""真實收入"",
  TRUE, ""其他""
)"),"其他")</f>
        <v>其他</v>
      </c>
      <c r="K3718" s="270" t="str">
        <f t="shared" si="2"/>
        <v/>
      </c>
      <c r="L3718">
        <f t="shared" si="3"/>
        <v>0</v>
      </c>
    </row>
    <row r="3719">
      <c r="A3719" s="107"/>
      <c r="D3719" s="270"/>
      <c r="H3719" s="106" t="str">
        <f t="shared" si="1"/>
        <v/>
      </c>
      <c r="I3719" s="271" t="str">
        <f>IFERROR(__xludf.DUMMYFUNCTION("""COMPUTED_VALUE"""),"")</f>
        <v/>
      </c>
      <c r="J3719" t="str">
        <f>IFERROR(__xludf.DUMMYFUNCTION("IFS(
  AND(REGEXMATCH(E3719, ""台銀籌備帳戶|玉山帳戶""), REGEXMATCH(C3719, ""薪資"")), ""分潤支出"",
  AND(REGEXMATCH(E3719, ""Ben帳戶|Elsa帳戶|Ben代墊|Ariel代墊|中信銀行共用""), REGEXMATCH(F3719, ""Ben帳戶|Elsa帳戶|Ben代墊|Ariel代墊|中信銀行共用"")), ""內部轉帳(忽略)"",
  AND(E3719&lt;&gt;"""", F3719&lt;&gt;"""", N"&amp;"OT(REGEXMATCH(C3719, ""薪資""))), ""內部轉帳(忽略)"",
  REGEXMATCH(C3719, ""薪資""), ""薪資變動(不計入)"",
  REGEXMATCH(C3719, ""押金""), ""押金往來"",
  AND(E3719&lt;&gt;"""", F3719=""""), ""真實支出"",
  AND(E3719="""", F3719&lt;&gt;""""), ""真實收入"",
  TRUE, ""其他""
)"),"其他")</f>
        <v>其他</v>
      </c>
      <c r="K3719" s="270" t="str">
        <f t="shared" si="2"/>
        <v/>
      </c>
      <c r="L3719">
        <f t="shared" si="3"/>
        <v>0</v>
      </c>
    </row>
    <row r="3720">
      <c r="A3720" s="107"/>
      <c r="D3720" s="270"/>
      <c r="H3720" s="106" t="str">
        <f t="shared" si="1"/>
        <v/>
      </c>
      <c r="I3720" s="271" t="str">
        <f>IFERROR(__xludf.DUMMYFUNCTION("""COMPUTED_VALUE"""),"")</f>
        <v/>
      </c>
      <c r="J3720" t="str">
        <f>IFERROR(__xludf.DUMMYFUNCTION("IFS(
  AND(REGEXMATCH(E3720, ""台銀籌備帳戶|玉山帳戶""), REGEXMATCH(C3720, ""薪資"")), ""分潤支出"",
  AND(REGEXMATCH(E3720, ""Ben帳戶|Elsa帳戶|Ben代墊|Ariel代墊|中信銀行共用""), REGEXMATCH(F3720, ""Ben帳戶|Elsa帳戶|Ben代墊|Ariel代墊|中信銀行共用"")), ""內部轉帳(忽略)"",
  AND(E3720&lt;&gt;"""", F3720&lt;&gt;"""", N"&amp;"OT(REGEXMATCH(C3720, ""薪資""))), ""內部轉帳(忽略)"",
  REGEXMATCH(C3720, ""薪資""), ""薪資變動(不計入)"",
  REGEXMATCH(C3720, ""押金""), ""押金往來"",
  AND(E3720&lt;&gt;"""", F3720=""""), ""真實支出"",
  AND(E3720="""", F3720&lt;&gt;""""), ""真實收入"",
  TRUE, ""其他""
)"),"其他")</f>
        <v>其他</v>
      </c>
      <c r="K3720" s="270" t="str">
        <f t="shared" si="2"/>
        <v/>
      </c>
      <c r="L3720">
        <f t="shared" si="3"/>
        <v>0</v>
      </c>
    </row>
    <row r="3721">
      <c r="A3721" s="107"/>
      <c r="D3721" s="270"/>
      <c r="H3721" s="106" t="str">
        <f t="shared" si="1"/>
        <v/>
      </c>
      <c r="I3721" s="271" t="str">
        <f>IFERROR(__xludf.DUMMYFUNCTION("""COMPUTED_VALUE"""),"")</f>
        <v/>
      </c>
      <c r="J3721" t="str">
        <f>IFERROR(__xludf.DUMMYFUNCTION("IFS(
  AND(REGEXMATCH(E3721, ""台銀籌備帳戶|玉山帳戶""), REGEXMATCH(C3721, ""薪資"")), ""分潤支出"",
  AND(REGEXMATCH(E3721, ""Ben帳戶|Elsa帳戶|Ben代墊|Ariel代墊|中信銀行共用""), REGEXMATCH(F3721, ""Ben帳戶|Elsa帳戶|Ben代墊|Ariel代墊|中信銀行共用"")), ""內部轉帳(忽略)"",
  AND(E3721&lt;&gt;"""", F3721&lt;&gt;"""", N"&amp;"OT(REGEXMATCH(C3721, ""薪資""))), ""內部轉帳(忽略)"",
  REGEXMATCH(C3721, ""薪資""), ""薪資變動(不計入)"",
  REGEXMATCH(C3721, ""押金""), ""押金往來"",
  AND(E3721&lt;&gt;"""", F3721=""""), ""真實支出"",
  AND(E3721="""", F3721&lt;&gt;""""), ""真實收入"",
  TRUE, ""其他""
)"),"其他")</f>
        <v>其他</v>
      </c>
      <c r="K3721" s="270" t="str">
        <f t="shared" si="2"/>
        <v/>
      </c>
      <c r="L3721">
        <f t="shared" si="3"/>
        <v>0</v>
      </c>
    </row>
    <row r="3722">
      <c r="A3722" s="107"/>
      <c r="D3722" s="270"/>
      <c r="H3722" s="106" t="str">
        <f t="shared" si="1"/>
        <v/>
      </c>
      <c r="I3722" s="271" t="str">
        <f>IFERROR(__xludf.DUMMYFUNCTION("""COMPUTED_VALUE"""),"")</f>
        <v/>
      </c>
      <c r="J3722" t="str">
        <f>IFERROR(__xludf.DUMMYFUNCTION("IFS(
  AND(REGEXMATCH(E3722, ""台銀籌備帳戶|玉山帳戶""), REGEXMATCH(C3722, ""薪資"")), ""分潤支出"",
  AND(REGEXMATCH(E3722, ""Ben帳戶|Elsa帳戶|Ben代墊|Ariel代墊|中信銀行共用""), REGEXMATCH(F3722, ""Ben帳戶|Elsa帳戶|Ben代墊|Ariel代墊|中信銀行共用"")), ""內部轉帳(忽略)"",
  AND(E3722&lt;&gt;"""", F3722&lt;&gt;"""", N"&amp;"OT(REGEXMATCH(C3722, ""薪資""))), ""內部轉帳(忽略)"",
  REGEXMATCH(C3722, ""薪資""), ""薪資變動(不計入)"",
  REGEXMATCH(C3722, ""押金""), ""押金往來"",
  AND(E3722&lt;&gt;"""", F3722=""""), ""真實支出"",
  AND(E3722="""", F3722&lt;&gt;""""), ""真實收入"",
  TRUE, ""其他""
)"),"其他")</f>
        <v>其他</v>
      </c>
      <c r="K3722" s="270" t="str">
        <f t="shared" si="2"/>
        <v/>
      </c>
      <c r="L3722">
        <f t="shared" si="3"/>
        <v>0</v>
      </c>
    </row>
    <row r="3723">
      <c r="A3723" s="107"/>
      <c r="D3723" s="270"/>
      <c r="H3723" s="106" t="str">
        <f t="shared" si="1"/>
        <v/>
      </c>
      <c r="I3723" s="271" t="str">
        <f>IFERROR(__xludf.DUMMYFUNCTION("""COMPUTED_VALUE"""),"")</f>
        <v/>
      </c>
      <c r="J3723" t="str">
        <f>IFERROR(__xludf.DUMMYFUNCTION("IFS(
  AND(REGEXMATCH(E3723, ""台銀籌備帳戶|玉山帳戶""), REGEXMATCH(C3723, ""薪資"")), ""分潤支出"",
  AND(REGEXMATCH(E3723, ""Ben帳戶|Elsa帳戶|Ben代墊|Ariel代墊|中信銀行共用""), REGEXMATCH(F3723, ""Ben帳戶|Elsa帳戶|Ben代墊|Ariel代墊|中信銀行共用"")), ""內部轉帳(忽略)"",
  AND(E3723&lt;&gt;"""", F3723&lt;&gt;"""", N"&amp;"OT(REGEXMATCH(C3723, ""薪資""))), ""內部轉帳(忽略)"",
  REGEXMATCH(C3723, ""薪資""), ""薪資變動(不計入)"",
  REGEXMATCH(C3723, ""押金""), ""押金往來"",
  AND(E3723&lt;&gt;"""", F3723=""""), ""真實支出"",
  AND(E3723="""", F3723&lt;&gt;""""), ""真實收入"",
  TRUE, ""其他""
)"),"其他")</f>
        <v>其他</v>
      </c>
      <c r="K3723" s="270" t="str">
        <f t="shared" si="2"/>
        <v/>
      </c>
      <c r="L3723">
        <f t="shared" si="3"/>
        <v>0</v>
      </c>
    </row>
    <row r="3724">
      <c r="A3724" s="107"/>
      <c r="D3724" s="270"/>
      <c r="H3724" s="106" t="str">
        <f t="shared" si="1"/>
        <v/>
      </c>
      <c r="I3724" s="271" t="str">
        <f>IFERROR(__xludf.DUMMYFUNCTION("""COMPUTED_VALUE"""),"")</f>
        <v/>
      </c>
      <c r="J3724" t="str">
        <f>IFERROR(__xludf.DUMMYFUNCTION("IFS(
  AND(REGEXMATCH(E3724, ""台銀籌備帳戶|玉山帳戶""), REGEXMATCH(C3724, ""薪資"")), ""分潤支出"",
  AND(REGEXMATCH(E3724, ""Ben帳戶|Elsa帳戶|Ben代墊|Ariel代墊|中信銀行共用""), REGEXMATCH(F3724, ""Ben帳戶|Elsa帳戶|Ben代墊|Ariel代墊|中信銀行共用"")), ""內部轉帳(忽略)"",
  AND(E3724&lt;&gt;"""", F3724&lt;&gt;"""", N"&amp;"OT(REGEXMATCH(C3724, ""薪資""))), ""內部轉帳(忽略)"",
  REGEXMATCH(C3724, ""薪資""), ""薪資變動(不計入)"",
  REGEXMATCH(C3724, ""押金""), ""押金往來"",
  AND(E3724&lt;&gt;"""", F3724=""""), ""真實支出"",
  AND(E3724="""", F3724&lt;&gt;""""), ""真實收入"",
  TRUE, ""其他""
)"),"其他")</f>
        <v>其他</v>
      </c>
      <c r="K3724" s="270" t="str">
        <f t="shared" si="2"/>
        <v/>
      </c>
      <c r="L3724">
        <f t="shared" si="3"/>
        <v>0</v>
      </c>
    </row>
    <row r="3725">
      <c r="A3725" s="107"/>
      <c r="D3725" s="270"/>
      <c r="H3725" s="106" t="str">
        <f t="shared" si="1"/>
        <v/>
      </c>
      <c r="I3725" s="271" t="str">
        <f>IFERROR(__xludf.DUMMYFUNCTION("""COMPUTED_VALUE"""),"")</f>
        <v/>
      </c>
      <c r="J3725" t="str">
        <f>IFERROR(__xludf.DUMMYFUNCTION("IFS(
  AND(REGEXMATCH(E3725, ""台銀籌備帳戶|玉山帳戶""), REGEXMATCH(C3725, ""薪資"")), ""分潤支出"",
  AND(REGEXMATCH(E3725, ""Ben帳戶|Elsa帳戶|Ben代墊|Ariel代墊|中信銀行共用""), REGEXMATCH(F3725, ""Ben帳戶|Elsa帳戶|Ben代墊|Ariel代墊|中信銀行共用"")), ""內部轉帳(忽略)"",
  AND(E3725&lt;&gt;"""", F3725&lt;&gt;"""", N"&amp;"OT(REGEXMATCH(C3725, ""薪資""))), ""內部轉帳(忽略)"",
  REGEXMATCH(C3725, ""薪資""), ""薪資變動(不計入)"",
  REGEXMATCH(C3725, ""押金""), ""押金往來"",
  AND(E3725&lt;&gt;"""", F3725=""""), ""真實支出"",
  AND(E3725="""", F3725&lt;&gt;""""), ""真實收入"",
  TRUE, ""其他""
)"),"其他")</f>
        <v>其他</v>
      </c>
      <c r="K3725" s="270" t="str">
        <f t="shared" si="2"/>
        <v/>
      </c>
      <c r="L3725">
        <f t="shared" si="3"/>
        <v>0</v>
      </c>
    </row>
    <row r="3726">
      <c r="A3726" s="107"/>
      <c r="D3726" s="270"/>
      <c r="H3726" s="106" t="str">
        <f t="shared" si="1"/>
        <v/>
      </c>
      <c r="I3726" s="271" t="str">
        <f>IFERROR(__xludf.DUMMYFUNCTION("""COMPUTED_VALUE"""),"")</f>
        <v/>
      </c>
      <c r="J3726" t="str">
        <f>IFERROR(__xludf.DUMMYFUNCTION("IFS(
  AND(REGEXMATCH(E3726, ""台銀籌備帳戶|玉山帳戶""), REGEXMATCH(C3726, ""薪資"")), ""分潤支出"",
  AND(REGEXMATCH(E3726, ""Ben帳戶|Elsa帳戶|Ben代墊|Ariel代墊|中信銀行共用""), REGEXMATCH(F3726, ""Ben帳戶|Elsa帳戶|Ben代墊|Ariel代墊|中信銀行共用"")), ""內部轉帳(忽略)"",
  AND(E3726&lt;&gt;"""", F3726&lt;&gt;"""", N"&amp;"OT(REGEXMATCH(C3726, ""薪資""))), ""內部轉帳(忽略)"",
  REGEXMATCH(C3726, ""薪資""), ""薪資變動(不計入)"",
  REGEXMATCH(C3726, ""押金""), ""押金往來"",
  AND(E3726&lt;&gt;"""", F3726=""""), ""真實支出"",
  AND(E3726="""", F3726&lt;&gt;""""), ""真實收入"",
  TRUE, ""其他""
)"),"其他")</f>
        <v>其他</v>
      </c>
      <c r="K3726" s="270" t="str">
        <f t="shared" si="2"/>
        <v/>
      </c>
      <c r="L3726">
        <f t="shared" si="3"/>
        <v>0</v>
      </c>
    </row>
    <row r="3727">
      <c r="A3727" s="107"/>
      <c r="D3727" s="270"/>
      <c r="H3727" s="106" t="str">
        <f t="shared" si="1"/>
        <v/>
      </c>
      <c r="I3727" s="271" t="str">
        <f>IFERROR(__xludf.DUMMYFUNCTION("""COMPUTED_VALUE"""),"")</f>
        <v/>
      </c>
      <c r="J3727" t="str">
        <f>IFERROR(__xludf.DUMMYFUNCTION("IFS(
  AND(REGEXMATCH(E3727, ""台銀籌備帳戶|玉山帳戶""), REGEXMATCH(C3727, ""薪資"")), ""分潤支出"",
  AND(REGEXMATCH(E3727, ""Ben帳戶|Elsa帳戶|Ben代墊|Ariel代墊|中信銀行共用""), REGEXMATCH(F3727, ""Ben帳戶|Elsa帳戶|Ben代墊|Ariel代墊|中信銀行共用"")), ""內部轉帳(忽略)"",
  AND(E3727&lt;&gt;"""", F3727&lt;&gt;"""", N"&amp;"OT(REGEXMATCH(C3727, ""薪資""))), ""內部轉帳(忽略)"",
  REGEXMATCH(C3727, ""薪資""), ""薪資變動(不計入)"",
  REGEXMATCH(C3727, ""押金""), ""押金往來"",
  AND(E3727&lt;&gt;"""", F3727=""""), ""真實支出"",
  AND(E3727="""", F3727&lt;&gt;""""), ""真實收入"",
  TRUE, ""其他""
)"),"其他")</f>
        <v>其他</v>
      </c>
      <c r="K3727" s="270" t="str">
        <f t="shared" si="2"/>
        <v/>
      </c>
      <c r="L3727">
        <f t="shared" si="3"/>
        <v>0</v>
      </c>
    </row>
    <row r="3728">
      <c r="A3728" s="107"/>
      <c r="D3728" s="270"/>
      <c r="H3728" s="106" t="str">
        <f t="shared" si="1"/>
        <v/>
      </c>
      <c r="I3728" s="271" t="str">
        <f>IFERROR(__xludf.DUMMYFUNCTION("""COMPUTED_VALUE"""),"")</f>
        <v/>
      </c>
      <c r="J3728" t="str">
        <f>IFERROR(__xludf.DUMMYFUNCTION("IFS(
  AND(REGEXMATCH(E3728, ""台銀籌備帳戶|玉山帳戶""), REGEXMATCH(C3728, ""薪資"")), ""分潤支出"",
  AND(REGEXMATCH(E3728, ""Ben帳戶|Elsa帳戶|Ben代墊|Ariel代墊|中信銀行共用""), REGEXMATCH(F3728, ""Ben帳戶|Elsa帳戶|Ben代墊|Ariel代墊|中信銀行共用"")), ""內部轉帳(忽略)"",
  AND(E3728&lt;&gt;"""", F3728&lt;&gt;"""", N"&amp;"OT(REGEXMATCH(C3728, ""薪資""))), ""內部轉帳(忽略)"",
  REGEXMATCH(C3728, ""薪資""), ""薪資變動(不計入)"",
  REGEXMATCH(C3728, ""押金""), ""押金往來"",
  AND(E3728&lt;&gt;"""", F3728=""""), ""真實支出"",
  AND(E3728="""", F3728&lt;&gt;""""), ""真實收入"",
  TRUE, ""其他""
)"),"其他")</f>
        <v>其他</v>
      </c>
      <c r="K3728" s="270" t="str">
        <f t="shared" si="2"/>
        <v/>
      </c>
      <c r="L3728">
        <f t="shared" si="3"/>
        <v>0</v>
      </c>
    </row>
    <row r="3729">
      <c r="A3729" s="107"/>
      <c r="D3729" s="270"/>
      <c r="H3729" s="106" t="str">
        <f t="shared" si="1"/>
        <v/>
      </c>
      <c r="I3729" s="271" t="str">
        <f>IFERROR(__xludf.DUMMYFUNCTION("""COMPUTED_VALUE"""),"")</f>
        <v/>
      </c>
      <c r="J3729" t="str">
        <f>IFERROR(__xludf.DUMMYFUNCTION("IFS(
  AND(REGEXMATCH(E3729, ""台銀籌備帳戶|玉山帳戶""), REGEXMATCH(C3729, ""薪資"")), ""分潤支出"",
  AND(REGEXMATCH(E3729, ""Ben帳戶|Elsa帳戶|Ben代墊|Ariel代墊|中信銀行共用""), REGEXMATCH(F3729, ""Ben帳戶|Elsa帳戶|Ben代墊|Ariel代墊|中信銀行共用"")), ""內部轉帳(忽略)"",
  AND(E3729&lt;&gt;"""", F3729&lt;&gt;"""", N"&amp;"OT(REGEXMATCH(C3729, ""薪資""))), ""內部轉帳(忽略)"",
  REGEXMATCH(C3729, ""薪資""), ""薪資變動(不計入)"",
  REGEXMATCH(C3729, ""押金""), ""押金往來"",
  AND(E3729&lt;&gt;"""", F3729=""""), ""真實支出"",
  AND(E3729="""", F3729&lt;&gt;""""), ""真實收入"",
  TRUE, ""其他""
)"),"其他")</f>
        <v>其他</v>
      </c>
      <c r="K3729" s="270" t="str">
        <f t="shared" si="2"/>
        <v/>
      </c>
      <c r="L3729">
        <f t="shared" si="3"/>
        <v>0</v>
      </c>
    </row>
    <row r="3730">
      <c r="A3730" s="107"/>
      <c r="D3730" s="270"/>
      <c r="H3730" s="106" t="str">
        <f t="shared" si="1"/>
        <v/>
      </c>
      <c r="I3730" s="271" t="str">
        <f>IFERROR(__xludf.DUMMYFUNCTION("""COMPUTED_VALUE"""),"")</f>
        <v/>
      </c>
      <c r="J3730" t="str">
        <f>IFERROR(__xludf.DUMMYFUNCTION("IFS(
  AND(REGEXMATCH(E3730, ""台銀籌備帳戶|玉山帳戶""), REGEXMATCH(C3730, ""薪資"")), ""分潤支出"",
  AND(REGEXMATCH(E3730, ""Ben帳戶|Elsa帳戶|Ben代墊|Ariel代墊|中信銀行共用""), REGEXMATCH(F3730, ""Ben帳戶|Elsa帳戶|Ben代墊|Ariel代墊|中信銀行共用"")), ""內部轉帳(忽略)"",
  AND(E3730&lt;&gt;"""", F3730&lt;&gt;"""", N"&amp;"OT(REGEXMATCH(C3730, ""薪資""))), ""內部轉帳(忽略)"",
  REGEXMATCH(C3730, ""薪資""), ""薪資變動(不計入)"",
  REGEXMATCH(C3730, ""押金""), ""押金往來"",
  AND(E3730&lt;&gt;"""", F3730=""""), ""真實支出"",
  AND(E3730="""", F3730&lt;&gt;""""), ""真實收入"",
  TRUE, ""其他""
)"),"其他")</f>
        <v>其他</v>
      </c>
      <c r="K3730" s="270" t="str">
        <f t="shared" si="2"/>
        <v/>
      </c>
      <c r="L3730">
        <f t="shared" si="3"/>
        <v>0</v>
      </c>
    </row>
    <row r="3731">
      <c r="A3731" s="107"/>
      <c r="D3731" s="270"/>
      <c r="H3731" s="106" t="str">
        <f t="shared" si="1"/>
        <v/>
      </c>
      <c r="I3731" s="271" t="str">
        <f>IFERROR(__xludf.DUMMYFUNCTION("""COMPUTED_VALUE"""),"")</f>
        <v/>
      </c>
      <c r="J3731" t="str">
        <f>IFERROR(__xludf.DUMMYFUNCTION("IFS(
  AND(REGEXMATCH(E3731, ""台銀籌備帳戶|玉山帳戶""), REGEXMATCH(C3731, ""薪資"")), ""分潤支出"",
  AND(REGEXMATCH(E3731, ""Ben帳戶|Elsa帳戶|Ben代墊|Ariel代墊|中信銀行共用""), REGEXMATCH(F3731, ""Ben帳戶|Elsa帳戶|Ben代墊|Ariel代墊|中信銀行共用"")), ""內部轉帳(忽略)"",
  AND(E3731&lt;&gt;"""", F3731&lt;&gt;"""", N"&amp;"OT(REGEXMATCH(C3731, ""薪資""))), ""內部轉帳(忽略)"",
  REGEXMATCH(C3731, ""薪資""), ""薪資變動(不計入)"",
  REGEXMATCH(C3731, ""押金""), ""押金往來"",
  AND(E3731&lt;&gt;"""", F3731=""""), ""真實支出"",
  AND(E3731="""", F3731&lt;&gt;""""), ""真實收入"",
  TRUE, ""其他""
)"),"其他")</f>
        <v>其他</v>
      </c>
      <c r="K3731" s="270" t="str">
        <f t="shared" si="2"/>
        <v/>
      </c>
      <c r="L3731">
        <f t="shared" si="3"/>
        <v>0</v>
      </c>
    </row>
    <row r="3732">
      <c r="A3732" s="107"/>
      <c r="D3732" s="270"/>
      <c r="H3732" s="106" t="str">
        <f t="shared" si="1"/>
        <v/>
      </c>
      <c r="I3732" s="271" t="str">
        <f>IFERROR(__xludf.DUMMYFUNCTION("""COMPUTED_VALUE"""),"")</f>
        <v/>
      </c>
      <c r="J3732" t="str">
        <f>IFERROR(__xludf.DUMMYFUNCTION("IFS(
  AND(REGEXMATCH(E3732, ""台銀籌備帳戶|玉山帳戶""), REGEXMATCH(C3732, ""薪資"")), ""分潤支出"",
  AND(REGEXMATCH(E3732, ""Ben帳戶|Elsa帳戶|Ben代墊|Ariel代墊|中信銀行共用""), REGEXMATCH(F3732, ""Ben帳戶|Elsa帳戶|Ben代墊|Ariel代墊|中信銀行共用"")), ""內部轉帳(忽略)"",
  AND(E3732&lt;&gt;"""", F3732&lt;&gt;"""", N"&amp;"OT(REGEXMATCH(C3732, ""薪資""))), ""內部轉帳(忽略)"",
  REGEXMATCH(C3732, ""薪資""), ""薪資變動(不計入)"",
  REGEXMATCH(C3732, ""押金""), ""押金往來"",
  AND(E3732&lt;&gt;"""", F3732=""""), ""真實支出"",
  AND(E3732="""", F3732&lt;&gt;""""), ""真實收入"",
  TRUE, ""其他""
)"),"其他")</f>
        <v>其他</v>
      </c>
      <c r="K3732" s="270" t="str">
        <f t="shared" si="2"/>
        <v/>
      </c>
      <c r="L3732">
        <f t="shared" si="3"/>
        <v>0</v>
      </c>
    </row>
    <row r="3733">
      <c r="A3733" s="107"/>
      <c r="D3733" s="270"/>
      <c r="H3733" s="106" t="str">
        <f t="shared" si="1"/>
        <v/>
      </c>
      <c r="I3733" s="271" t="str">
        <f>IFERROR(__xludf.DUMMYFUNCTION("""COMPUTED_VALUE"""),"")</f>
        <v/>
      </c>
      <c r="J3733" t="str">
        <f>IFERROR(__xludf.DUMMYFUNCTION("IFS(
  AND(REGEXMATCH(E3733, ""台銀籌備帳戶|玉山帳戶""), REGEXMATCH(C3733, ""薪資"")), ""分潤支出"",
  AND(REGEXMATCH(E3733, ""Ben帳戶|Elsa帳戶|Ben代墊|Ariel代墊|中信銀行共用""), REGEXMATCH(F3733, ""Ben帳戶|Elsa帳戶|Ben代墊|Ariel代墊|中信銀行共用"")), ""內部轉帳(忽略)"",
  AND(E3733&lt;&gt;"""", F3733&lt;&gt;"""", N"&amp;"OT(REGEXMATCH(C3733, ""薪資""))), ""內部轉帳(忽略)"",
  REGEXMATCH(C3733, ""薪資""), ""薪資變動(不計入)"",
  REGEXMATCH(C3733, ""押金""), ""押金往來"",
  AND(E3733&lt;&gt;"""", F3733=""""), ""真實支出"",
  AND(E3733="""", F3733&lt;&gt;""""), ""真實收入"",
  TRUE, ""其他""
)"),"其他")</f>
        <v>其他</v>
      </c>
      <c r="K3733" s="270" t="str">
        <f t="shared" si="2"/>
        <v/>
      </c>
      <c r="L3733">
        <f t="shared" si="3"/>
        <v>0</v>
      </c>
    </row>
    <row r="3734">
      <c r="A3734" s="107"/>
      <c r="D3734" s="270"/>
      <c r="H3734" s="106" t="str">
        <f t="shared" si="1"/>
        <v/>
      </c>
      <c r="I3734" s="271" t="str">
        <f>IFERROR(__xludf.DUMMYFUNCTION("""COMPUTED_VALUE"""),"")</f>
        <v/>
      </c>
      <c r="J3734" t="str">
        <f>IFERROR(__xludf.DUMMYFUNCTION("IFS(
  AND(REGEXMATCH(E3734, ""台銀籌備帳戶|玉山帳戶""), REGEXMATCH(C3734, ""薪資"")), ""分潤支出"",
  AND(REGEXMATCH(E3734, ""Ben帳戶|Elsa帳戶|Ben代墊|Ariel代墊|中信銀行共用""), REGEXMATCH(F3734, ""Ben帳戶|Elsa帳戶|Ben代墊|Ariel代墊|中信銀行共用"")), ""內部轉帳(忽略)"",
  AND(E3734&lt;&gt;"""", F3734&lt;&gt;"""", N"&amp;"OT(REGEXMATCH(C3734, ""薪資""))), ""內部轉帳(忽略)"",
  REGEXMATCH(C3734, ""薪資""), ""薪資變動(不計入)"",
  REGEXMATCH(C3734, ""押金""), ""押金往來"",
  AND(E3734&lt;&gt;"""", F3734=""""), ""真實支出"",
  AND(E3734="""", F3734&lt;&gt;""""), ""真實收入"",
  TRUE, ""其他""
)"),"其他")</f>
        <v>其他</v>
      </c>
      <c r="K3734" s="270" t="str">
        <f t="shared" si="2"/>
        <v/>
      </c>
      <c r="L3734">
        <f t="shared" si="3"/>
        <v>0</v>
      </c>
    </row>
    <row r="3735">
      <c r="A3735" s="107"/>
      <c r="D3735" s="270"/>
      <c r="H3735" s="106" t="str">
        <f t="shared" si="1"/>
        <v/>
      </c>
      <c r="I3735" s="271" t="str">
        <f>IFERROR(__xludf.DUMMYFUNCTION("""COMPUTED_VALUE"""),"")</f>
        <v/>
      </c>
      <c r="J3735" t="str">
        <f>IFERROR(__xludf.DUMMYFUNCTION("IFS(
  AND(REGEXMATCH(E3735, ""台銀籌備帳戶|玉山帳戶""), REGEXMATCH(C3735, ""薪資"")), ""分潤支出"",
  AND(REGEXMATCH(E3735, ""Ben帳戶|Elsa帳戶|Ben代墊|Ariel代墊|中信銀行共用""), REGEXMATCH(F3735, ""Ben帳戶|Elsa帳戶|Ben代墊|Ariel代墊|中信銀行共用"")), ""內部轉帳(忽略)"",
  AND(E3735&lt;&gt;"""", F3735&lt;&gt;"""", N"&amp;"OT(REGEXMATCH(C3735, ""薪資""))), ""內部轉帳(忽略)"",
  REGEXMATCH(C3735, ""薪資""), ""薪資變動(不計入)"",
  REGEXMATCH(C3735, ""押金""), ""押金往來"",
  AND(E3735&lt;&gt;"""", F3735=""""), ""真實支出"",
  AND(E3735="""", F3735&lt;&gt;""""), ""真實收入"",
  TRUE, ""其他""
)"),"其他")</f>
        <v>其他</v>
      </c>
      <c r="K3735" s="270" t="str">
        <f t="shared" si="2"/>
        <v/>
      </c>
      <c r="L3735">
        <f t="shared" si="3"/>
        <v>0</v>
      </c>
    </row>
    <row r="3736">
      <c r="A3736" s="107"/>
      <c r="D3736" s="270"/>
      <c r="H3736" s="106" t="str">
        <f t="shared" si="1"/>
        <v/>
      </c>
      <c r="I3736" s="271" t="str">
        <f>IFERROR(__xludf.DUMMYFUNCTION("""COMPUTED_VALUE"""),"")</f>
        <v/>
      </c>
      <c r="J3736" t="str">
        <f>IFERROR(__xludf.DUMMYFUNCTION("IFS(
  AND(REGEXMATCH(E3736, ""台銀籌備帳戶|玉山帳戶""), REGEXMATCH(C3736, ""薪資"")), ""分潤支出"",
  AND(REGEXMATCH(E3736, ""Ben帳戶|Elsa帳戶|Ben代墊|Ariel代墊|中信銀行共用""), REGEXMATCH(F3736, ""Ben帳戶|Elsa帳戶|Ben代墊|Ariel代墊|中信銀行共用"")), ""內部轉帳(忽略)"",
  AND(E3736&lt;&gt;"""", F3736&lt;&gt;"""", N"&amp;"OT(REGEXMATCH(C3736, ""薪資""))), ""內部轉帳(忽略)"",
  REGEXMATCH(C3736, ""薪資""), ""薪資變動(不計入)"",
  REGEXMATCH(C3736, ""押金""), ""押金往來"",
  AND(E3736&lt;&gt;"""", F3736=""""), ""真實支出"",
  AND(E3736="""", F3736&lt;&gt;""""), ""真實收入"",
  TRUE, ""其他""
)"),"其他")</f>
        <v>其他</v>
      </c>
      <c r="K3736" s="270" t="str">
        <f t="shared" si="2"/>
        <v/>
      </c>
      <c r="L3736">
        <f t="shared" si="3"/>
        <v>0</v>
      </c>
    </row>
    <row r="3737">
      <c r="A3737" s="107"/>
      <c r="D3737" s="270"/>
      <c r="H3737" s="106" t="str">
        <f t="shared" si="1"/>
        <v/>
      </c>
      <c r="I3737" s="271" t="str">
        <f>IFERROR(__xludf.DUMMYFUNCTION("""COMPUTED_VALUE"""),"")</f>
        <v/>
      </c>
      <c r="J3737" t="str">
        <f>IFERROR(__xludf.DUMMYFUNCTION("IFS(
  AND(REGEXMATCH(E3737, ""台銀籌備帳戶|玉山帳戶""), REGEXMATCH(C3737, ""薪資"")), ""分潤支出"",
  AND(REGEXMATCH(E3737, ""Ben帳戶|Elsa帳戶|Ben代墊|Ariel代墊|中信銀行共用""), REGEXMATCH(F3737, ""Ben帳戶|Elsa帳戶|Ben代墊|Ariel代墊|中信銀行共用"")), ""內部轉帳(忽略)"",
  AND(E3737&lt;&gt;"""", F3737&lt;&gt;"""", N"&amp;"OT(REGEXMATCH(C3737, ""薪資""))), ""內部轉帳(忽略)"",
  REGEXMATCH(C3737, ""薪資""), ""薪資變動(不計入)"",
  REGEXMATCH(C3737, ""押金""), ""押金往來"",
  AND(E3737&lt;&gt;"""", F3737=""""), ""真實支出"",
  AND(E3737="""", F3737&lt;&gt;""""), ""真實收入"",
  TRUE, ""其他""
)"),"其他")</f>
        <v>其他</v>
      </c>
      <c r="K3737" s="270" t="str">
        <f t="shared" si="2"/>
        <v/>
      </c>
      <c r="L3737">
        <f t="shared" si="3"/>
        <v>0</v>
      </c>
    </row>
    <row r="3738">
      <c r="A3738" s="107"/>
      <c r="D3738" s="270"/>
      <c r="H3738" s="106" t="str">
        <f t="shared" si="1"/>
        <v/>
      </c>
      <c r="I3738" s="271" t="str">
        <f>IFERROR(__xludf.DUMMYFUNCTION("""COMPUTED_VALUE"""),"")</f>
        <v/>
      </c>
      <c r="J3738" t="str">
        <f>IFERROR(__xludf.DUMMYFUNCTION("IFS(
  AND(REGEXMATCH(E3738, ""台銀籌備帳戶|玉山帳戶""), REGEXMATCH(C3738, ""薪資"")), ""分潤支出"",
  AND(REGEXMATCH(E3738, ""Ben帳戶|Elsa帳戶|Ben代墊|Ariel代墊|中信銀行共用""), REGEXMATCH(F3738, ""Ben帳戶|Elsa帳戶|Ben代墊|Ariel代墊|中信銀行共用"")), ""內部轉帳(忽略)"",
  AND(E3738&lt;&gt;"""", F3738&lt;&gt;"""", N"&amp;"OT(REGEXMATCH(C3738, ""薪資""))), ""內部轉帳(忽略)"",
  REGEXMATCH(C3738, ""薪資""), ""薪資變動(不計入)"",
  REGEXMATCH(C3738, ""押金""), ""押金往來"",
  AND(E3738&lt;&gt;"""", F3738=""""), ""真實支出"",
  AND(E3738="""", F3738&lt;&gt;""""), ""真實收入"",
  TRUE, ""其他""
)"),"其他")</f>
        <v>其他</v>
      </c>
      <c r="K3738" s="270" t="str">
        <f t="shared" si="2"/>
        <v/>
      </c>
      <c r="L3738">
        <f t="shared" si="3"/>
        <v>0</v>
      </c>
    </row>
    <row r="3739">
      <c r="A3739" s="107"/>
      <c r="D3739" s="270"/>
      <c r="H3739" s="106" t="str">
        <f t="shared" si="1"/>
        <v/>
      </c>
      <c r="I3739" s="271" t="str">
        <f>IFERROR(__xludf.DUMMYFUNCTION("""COMPUTED_VALUE"""),"")</f>
        <v/>
      </c>
      <c r="J3739" t="str">
        <f>IFERROR(__xludf.DUMMYFUNCTION("IFS(
  AND(REGEXMATCH(E3739, ""台銀籌備帳戶|玉山帳戶""), REGEXMATCH(C3739, ""薪資"")), ""分潤支出"",
  AND(REGEXMATCH(E3739, ""Ben帳戶|Elsa帳戶|Ben代墊|Ariel代墊|中信銀行共用""), REGEXMATCH(F3739, ""Ben帳戶|Elsa帳戶|Ben代墊|Ariel代墊|中信銀行共用"")), ""內部轉帳(忽略)"",
  AND(E3739&lt;&gt;"""", F3739&lt;&gt;"""", N"&amp;"OT(REGEXMATCH(C3739, ""薪資""))), ""內部轉帳(忽略)"",
  REGEXMATCH(C3739, ""薪資""), ""薪資變動(不計入)"",
  REGEXMATCH(C3739, ""押金""), ""押金往來"",
  AND(E3739&lt;&gt;"""", F3739=""""), ""真實支出"",
  AND(E3739="""", F3739&lt;&gt;""""), ""真實收入"",
  TRUE, ""其他""
)"),"其他")</f>
        <v>其他</v>
      </c>
      <c r="K3739" s="270" t="str">
        <f t="shared" si="2"/>
        <v/>
      </c>
      <c r="L3739">
        <f t="shared" si="3"/>
        <v>0</v>
      </c>
    </row>
    <row r="3740">
      <c r="A3740" s="107"/>
      <c r="D3740" s="270"/>
      <c r="H3740" s="106" t="str">
        <f t="shared" si="1"/>
        <v/>
      </c>
      <c r="I3740" s="271" t="str">
        <f>IFERROR(__xludf.DUMMYFUNCTION("""COMPUTED_VALUE"""),"")</f>
        <v/>
      </c>
      <c r="J3740" t="str">
        <f>IFERROR(__xludf.DUMMYFUNCTION("IFS(
  AND(REGEXMATCH(E3740, ""台銀籌備帳戶|玉山帳戶""), REGEXMATCH(C3740, ""薪資"")), ""分潤支出"",
  AND(REGEXMATCH(E3740, ""Ben帳戶|Elsa帳戶|Ben代墊|Ariel代墊|中信銀行共用""), REGEXMATCH(F3740, ""Ben帳戶|Elsa帳戶|Ben代墊|Ariel代墊|中信銀行共用"")), ""內部轉帳(忽略)"",
  AND(E3740&lt;&gt;"""", F3740&lt;&gt;"""", N"&amp;"OT(REGEXMATCH(C3740, ""薪資""))), ""內部轉帳(忽略)"",
  REGEXMATCH(C3740, ""薪資""), ""薪資變動(不計入)"",
  REGEXMATCH(C3740, ""押金""), ""押金往來"",
  AND(E3740&lt;&gt;"""", F3740=""""), ""真實支出"",
  AND(E3740="""", F3740&lt;&gt;""""), ""真實收入"",
  TRUE, ""其他""
)"),"其他")</f>
        <v>其他</v>
      </c>
      <c r="K3740" s="270" t="str">
        <f t="shared" si="2"/>
        <v/>
      </c>
      <c r="L3740">
        <f t="shared" si="3"/>
        <v>0</v>
      </c>
    </row>
    <row r="3741">
      <c r="A3741" s="107"/>
      <c r="D3741" s="270"/>
      <c r="H3741" s="106" t="str">
        <f t="shared" si="1"/>
        <v/>
      </c>
      <c r="I3741" s="271" t="str">
        <f>IFERROR(__xludf.DUMMYFUNCTION("""COMPUTED_VALUE"""),"")</f>
        <v/>
      </c>
      <c r="J3741" t="str">
        <f>IFERROR(__xludf.DUMMYFUNCTION("IFS(
  AND(REGEXMATCH(E3741, ""台銀籌備帳戶|玉山帳戶""), REGEXMATCH(C3741, ""薪資"")), ""分潤支出"",
  AND(REGEXMATCH(E3741, ""Ben帳戶|Elsa帳戶|Ben代墊|Ariel代墊|中信銀行共用""), REGEXMATCH(F3741, ""Ben帳戶|Elsa帳戶|Ben代墊|Ariel代墊|中信銀行共用"")), ""內部轉帳(忽略)"",
  AND(E3741&lt;&gt;"""", F3741&lt;&gt;"""", N"&amp;"OT(REGEXMATCH(C3741, ""薪資""))), ""內部轉帳(忽略)"",
  REGEXMATCH(C3741, ""薪資""), ""薪資變動(不計入)"",
  REGEXMATCH(C3741, ""押金""), ""押金往來"",
  AND(E3741&lt;&gt;"""", F3741=""""), ""真實支出"",
  AND(E3741="""", F3741&lt;&gt;""""), ""真實收入"",
  TRUE, ""其他""
)"),"其他")</f>
        <v>其他</v>
      </c>
      <c r="K3741" s="270" t="str">
        <f t="shared" si="2"/>
        <v/>
      </c>
      <c r="L3741">
        <f t="shared" si="3"/>
        <v>0</v>
      </c>
    </row>
    <row r="3742">
      <c r="A3742" s="107"/>
      <c r="D3742" s="270"/>
      <c r="H3742" s="106" t="str">
        <f t="shared" si="1"/>
        <v/>
      </c>
      <c r="I3742" s="271" t="str">
        <f>IFERROR(__xludf.DUMMYFUNCTION("""COMPUTED_VALUE"""),"")</f>
        <v/>
      </c>
      <c r="J3742" t="str">
        <f>IFERROR(__xludf.DUMMYFUNCTION("IFS(
  AND(REGEXMATCH(E3742, ""台銀籌備帳戶|玉山帳戶""), REGEXMATCH(C3742, ""薪資"")), ""分潤支出"",
  AND(REGEXMATCH(E3742, ""Ben帳戶|Elsa帳戶|Ben代墊|Ariel代墊|中信銀行共用""), REGEXMATCH(F3742, ""Ben帳戶|Elsa帳戶|Ben代墊|Ariel代墊|中信銀行共用"")), ""內部轉帳(忽略)"",
  AND(E3742&lt;&gt;"""", F3742&lt;&gt;"""", N"&amp;"OT(REGEXMATCH(C3742, ""薪資""))), ""內部轉帳(忽略)"",
  REGEXMATCH(C3742, ""薪資""), ""薪資變動(不計入)"",
  REGEXMATCH(C3742, ""押金""), ""押金往來"",
  AND(E3742&lt;&gt;"""", F3742=""""), ""真實支出"",
  AND(E3742="""", F3742&lt;&gt;""""), ""真實收入"",
  TRUE, ""其他""
)"),"其他")</f>
        <v>其他</v>
      </c>
      <c r="K3742" s="270" t="str">
        <f t="shared" si="2"/>
        <v/>
      </c>
      <c r="L3742">
        <f t="shared" si="3"/>
        <v>0</v>
      </c>
    </row>
    <row r="3743">
      <c r="A3743" s="107"/>
      <c r="D3743" s="270"/>
      <c r="H3743" s="106" t="str">
        <f t="shared" si="1"/>
        <v/>
      </c>
      <c r="I3743" s="271" t="str">
        <f>IFERROR(__xludf.DUMMYFUNCTION("""COMPUTED_VALUE"""),"")</f>
        <v/>
      </c>
      <c r="J3743" t="str">
        <f>IFERROR(__xludf.DUMMYFUNCTION("IFS(
  AND(REGEXMATCH(E3743, ""台銀籌備帳戶|玉山帳戶""), REGEXMATCH(C3743, ""薪資"")), ""分潤支出"",
  AND(REGEXMATCH(E3743, ""Ben帳戶|Elsa帳戶|Ben代墊|Ariel代墊|中信銀行共用""), REGEXMATCH(F3743, ""Ben帳戶|Elsa帳戶|Ben代墊|Ariel代墊|中信銀行共用"")), ""內部轉帳(忽略)"",
  AND(E3743&lt;&gt;"""", F3743&lt;&gt;"""", N"&amp;"OT(REGEXMATCH(C3743, ""薪資""))), ""內部轉帳(忽略)"",
  REGEXMATCH(C3743, ""薪資""), ""薪資變動(不計入)"",
  REGEXMATCH(C3743, ""押金""), ""押金往來"",
  AND(E3743&lt;&gt;"""", F3743=""""), ""真實支出"",
  AND(E3743="""", F3743&lt;&gt;""""), ""真實收入"",
  TRUE, ""其他""
)"),"其他")</f>
        <v>其他</v>
      </c>
      <c r="K3743" s="270" t="str">
        <f t="shared" si="2"/>
        <v/>
      </c>
      <c r="L3743">
        <f t="shared" si="3"/>
        <v>0</v>
      </c>
    </row>
    <row r="3744">
      <c r="A3744" s="107"/>
      <c r="D3744" s="270"/>
      <c r="H3744" s="106" t="str">
        <f t="shared" si="1"/>
        <v/>
      </c>
      <c r="I3744" s="271" t="str">
        <f>IFERROR(__xludf.DUMMYFUNCTION("""COMPUTED_VALUE"""),"")</f>
        <v/>
      </c>
      <c r="J3744" t="str">
        <f>IFERROR(__xludf.DUMMYFUNCTION("IFS(
  AND(REGEXMATCH(E3744, ""台銀籌備帳戶|玉山帳戶""), REGEXMATCH(C3744, ""薪資"")), ""分潤支出"",
  AND(REGEXMATCH(E3744, ""Ben帳戶|Elsa帳戶|Ben代墊|Ariel代墊|中信銀行共用""), REGEXMATCH(F3744, ""Ben帳戶|Elsa帳戶|Ben代墊|Ariel代墊|中信銀行共用"")), ""內部轉帳(忽略)"",
  AND(E3744&lt;&gt;"""", F3744&lt;&gt;"""", N"&amp;"OT(REGEXMATCH(C3744, ""薪資""))), ""內部轉帳(忽略)"",
  REGEXMATCH(C3744, ""薪資""), ""薪資變動(不計入)"",
  REGEXMATCH(C3744, ""押金""), ""押金往來"",
  AND(E3744&lt;&gt;"""", F3744=""""), ""真實支出"",
  AND(E3744="""", F3744&lt;&gt;""""), ""真實收入"",
  TRUE, ""其他""
)"),"其他")</f>
        <v>其他</v>
      </c>
      <c r="K3744" s="270" t="str">
        <f t="shared" si="2"/>
        <v/>
      </c>
      <c r="L3744">
        <f t="shared" si="3"/>
        <v>0</v>
      </c>
    </row>
    <row r="3745">
      <c r="A3745" s="107"/>
      <c r="D3745" s="270"/>
      <c r="H3745" s="106" t="str">
        <f t="shared" si="1"/>
        <v/>
      </c>
      <c r="I3745" s="271" t="str">
        <f>IFERROR(__xludf.DUMMYFUNCTION("""COMPUTED_VALUE"""),"")</f>
        <v/>
      </c>
      <c r="J3745" t="str">
        <f>IFERROR(__xludf.DUMMYFUNCTION("IFS(
  AND(REGEXMATCH(E3745, ""台銀籌備帳戶|玉山帳戶""), REGEXMATCH(C3745, ""薪資"")), ""分潤支出"",
  AND(REGEXMATCH(E3745, ""Ben帳戶|Elsa帳戶|Ben代墊|Ariel代墊|中信銀行共用""), REGEXMATCH(F3745, ""Ben帳戶|Elsa帳戶|Ben代墊|Ariel代墊|中信銀行共用"")), ""內部轉帳(忽略)"",
  AND(E3745&lt;&gt;"""", F3745&lt;&gt;"""", N"&amp;"OT(REGEXMATCH(C3745, ""薪資""))), ""內部轉帳(忽略)"",
  REGEXMATCH(C3745, ""薪資""), ""薪資變動(不計入)"",
  REGEXMATCH(C3745, ""押金""), ""押金往來"",
  AND(E3745&lt;&gt;"""", F3745=""""), ""真實支出"",
  AND(E3745="""", F3745&lt;&gt;""""), ""真實收入"",
  TRUE, ""其他""
)"),"其他")</f>
        <v>其他</v>
      </c>
      <c r="K3745" s="270" t="str">
        <f t="shared" si="2"/>
        <v/>
      </c>
      <c r="L3745">
        <f t="shared" si="3"/>
        <v>0</v>
      </c>
    </row>
    <row r="3746">
      <c r="A3746" s="107"/>
      <c r="D3746" s="270"/>
      <c r="H3746" s="106" t="str">
        <f t="shared" si="1"/>
        <v/>
      </c>
      <c r="I3746" s="271" t="str">
        <f>IFERROR(__xludf.DUMMYFUNCTION("""COMPUTED_VALUE"""),"")</f>
        <v/>
      </c>
      <c r="J3746" t="str">
        <f>IFERROR(__xludf.DUMMYFUNCTION("IFS(
  AND(REGEXMATCH(E3746, ""台銀籌備帳戶|玉山帳戶""), REGEXMATCH(C3746, ""薪資"")), ""分潤支出"",
  AND(REGEXMATCH(E3746, ""Ben帳戶|Elsa帳戶|Ben代墊|Ariel代墊|中信銀行共用""), REGEXMATCH(F3746, ""Ben帳戶|Elsa帳戶|Ben代墊|Ariel代墊|中信銀行共用"")), ""內部轉帳(忽略)"",
  AND(E3746&lt;&gt;"""", F3746&lt;&gt;"""", N"&amp;"OT(REGEXMATCH(C3746, ""薪資""))), ""內部轉帳(忽略)"",
  REGEXMATCH(C3746, ""薪資""), ""薪資變動(不計入)"",
  REGEXMATCH(C3746, ""押金""), ""押金往來"",
  AND(E3746&lt;&gt;"""", F3746=""""), ""真實支出"",
  AND(E3746="""", F3746&lt;&gt;""""), ""真實收入"",
  TRUE, ""其他""
)"),"其他")</f>
        <v>其他</v>
      </c>
      <c r="K3746" s="270" t="str">
        <f t="shared" si="2"/>
        <v/>
      </c>
      <c r="L3746">
        <f t="shared" si="3"/>
        <v>0</v>
      </c>
    </row>
    <row r="3747">
      <c r="A3747" s="107"/>
      <c r="D3747" s="270"/>
      <c r="H3747" s="106" t="str">
        <f t="shared" si="1"/>
        <v/>
      </c>
      <c r="I3747" s="271" t="str">
        <f>IFERROR(__xludf.DUMMYFUNCTION("""COMPUTED_VALUE"""),"")</f>
        <v/>
      </c>
      <c r="J3747" t="str">
        <f>IFERROR(__xludf.DUMMYFUNCTION("IFS(
  AND(REGEXMATCH(E3747, ""台銀籌備帳戶|玉山帳戶""), REGEXMATCH(C3747, ""薪資"")), ""分潤支出"",
  AND(REGEXMATCH(E3747, ""Ben帳戶|Elsa帳戶|Ben代墊|Ariel代墊|中信銀行共用""), REGEXMATCH(F3747, ""Ben帳戶|Elsa帳戶|Ben代墊|Ariel代墊|中信銀行共用"")), ""內部轉帳(忽略)"",
  AND(E3747&lt;&gt;"""", F3747&lt;&gt;"""", N"&amp;"OT(REGEXMATCH(C3747, ""薪資""))), ""內部轉帳(忽略)"",
  REGEXMATCH(C3747, ""薪資""), ""薪資變動(不計入)"",
  REGEXMATCH(C3747, ""押金""), ""押金往來"",
  AND(E3747&lt;&gt;"""", F3747=""""), ""真實支出"",
  AND(E3747="""", F3747&lt;&gt;""""), ""真實收入"",
  TRUE, ""其他""
)"),"其他")</f>
        <v>其他</v>
      </c>
      <c r="K3747" s="270" t="str">
        <f t="shared" si="2"/>
        <v/>
      </c>
      <c r="L3747">
        <f t="shared" si="3"/>
        <v>0</v>
      </c>
    </row>
    <row r="3748">
      <c r="A3748" s="107"/>
      <c r="D3748" s="270"/>
      <c r="H3748" s="106" t="str">
        <f t="shared" si="1"/>
        <v/>
      </c>
      <c r="I3748" s="271" t="str">
        <f>IFERROR(__xludf.DUMMYFUNCTION("""COMPUTED_VALUE"""),"")</f>
        <v/>
      </c>
      <c r="J3748" t="str">
        <f>IFERROR(__xludf.DUMMYFUNCTION("IFS(
  AND(REGEXMATCH(E3748, ""台銀籌備帳戶|玉山帳戶""), REGEXMATCH(C3748, ""薪資"")), ""分潤支出"",
  AND(REGEXMATCH(E3748, ""Ben帳戶|Elsa帳戶|Ben代墊|Ariel代墊|中信銀行共用""), REGEXMATCH(F3748, ""Ben帳戶|Elsa帳戶|Ben代墊|Ariel代墊|中信銀行共用"")), ""內部轉帳(忽略)"",
  AND(E3748&lt;&gt;"""", F3748&lt;&gt;"""", N"&amp;"OT(REGEXMATCH(C3748, ""薪資""))), ""內部轉帳(忽略)"",
  REGEXMATCH(C3748, ""薪資""), ""薪資變動(不計入)"",
  REGEXMATCH(C3748, ""押金""), ""押金往來"",
  AND(E3748&lt;&gt;"""", F3748=""""), ""真實支出"",
  AND(E3748="""", F3748&lt;&gt;""""), ""真實收入"",
  TRUE, ""其他""
)"),"其他")</f>
        <v>其他</v>
      </c>
      <c r="K3748" s="270" t="str">
        <f t="shared" si="2"/>
        <v/>
      </c>
      <c r="L3748">
        <f t="shared" si="3"/>
        <v>0</v>
      </c>
    </row>
    <row r="3749">
      <c r="A3749" s="107"/>
      <c r="D3749" s="270"/>
      <c r="H3749" s="106" t="str">
        <f t="shared" si="1"/>
        <v/>
      </c>
      <c r="I3749" s="271" t="str">
        <f>IFERROR(__xludf.DUMMYFUNCTION("""COMPUTED_VALUE"""),"")</f>
        <v/>
      </c>
      <c r="J3749" t="str">
        <f>IFERROR(__xludf.DUMMYFUNCTION("IFS(
  AND(REGEXMATCH(E3749, ""台銀籌備帳戶|玉山帳戶""), REGEXMATCH(C3749, ""薪資"")), ""分潤支出"",
  AND(REGEXMATCH(E3749, ""Ben帳戶|Elsa帳戶|Ben代墊|Ariel代墊|中信銀行共用""), REGEXMATCH(F3749, ""Ben帳戶|Elsa帳戶|Ben代墊|Ariel代墊|中信銀行共用"")), ""內部轉帳(忽略)"",
  AND(E3749&lt;&gt;"""", F3749&lt;&gt;"""", N"&amp;"OT(REGEXMATCH(C3749, ""薪資""))), ""內部轉帳(忽略)"",
  REGEXMATCH(C3749, ""薪資""), ""薪資變動(不計入)"",
  REGEXMATCH(C3749, ""押金""), ""押金往來"",
  AND(E3749&lt;&gt;"""", F3749=""""), ""真實支出"",
  AND(E3749="""", F3749&lt;&gt;""""), ""真實收入"",
  TRUE, ""其他""
)"),"其他")</f>
        <v>其他</v>
      </c>
      <c r="K3749" s="270" t="str">
        <f t="shared" si="2"/>
        <v/>
      </c>
      <c r="L3749">
        <f t="shared" si="3"/>
        <v>0</v>
      </c>
    </row>
    <row r="3750">
      <c r="A3750" s="107"/>
      <c r="D3750" s="270"/>
      <c r="H3750" s="106" t="str">
        <f t="shared" si="1"/>
        <v/>
      </c>
      <c r="I3750" s="271" t="str">
        <f>IFERROR(__xludf.DUMMYFUNCTION("""COMPUTED_VALUE"""),"")</f>
        <v/>
      </c>
      <c r="J3750" t="str">
        <f>IFERROR(__xludf.DUMMYFUNCTION("IFS(
  AND(REGEXMATCH(E3750, ""台銀籌備帳戶|玉山帳戶""), REGEXMATCH(C3750, ""薪資"")), ""分潤支出"",
  AND(REGEXMATCH(E3750, ""Ben帳戶|Elsa帳戶|Ben代墊|Ariel代墊|中信銀行共用""), REGEXMATCH(F3750, ""Ben帳戶|Elsa帳戶|Ben代墊|Ariel代墊|中信銀行共用"")), ""內部轉帳(忽略)"",
  AND(E3750&lt;&gt;"""", F3750&lt;&gt;"""", N"&amp;"OT(REGEXMATCH(C3750, ""薪資""))), ""內部轉帳(忽略)"",
  REGEXMATCH(C3750, ""薪資""), ""薪資變動(不計入)"",
  REGEXMATCH(C3750, ""押金""), ""押金往來"",
  AND(E3750&lt;&gt;"""", F3750=""""), ""真實支出"",
  AND(E3750="""", F3750&lt;&gt;""""), ""真實收入"",
  TRUE, ""其他""
)"),"其他")</f>
        <v>其他</v>
      </c>
      <c r="K3750" s="270" t="str">
        <f t="shared" si="2"/>
        <v/>
      </c>
      <c r="L3750">
        <f t="shared" si="3"/>
        <v>0</v>
      </c>
    </row>
    <row r="3751">
      <c r="A3751" s="107"/>
      <c r="D3751" s="270"/>
      <c r="H3751" s="106" t="str">
        <f t="shared" si="1"/>
        <v/>
      </c>
      <c r="I3751" s="271" t="str">
        <f>IFERROR(__xludf.DUMMYFUNCTION("""COMPUTED_VALUE"""),"")</f>
        <v/>
      </c>
      <c r="J3751" t="str">
        <f>IFERROR(__xludf.DUMMYFUNCTION("IFS(
  AND(REGEXMATCH(E3751, ""台銀籌備帳戶|玉山帳戶""), REGEXMATCH(C3751, ""薪資"")), ""分潤支出"",
  AND(REGEXMATCH(E3751, ""Ben帳戶|Elsa帳戶|Ben代墊|Ariel代墊|中信銀行共用""), REGEXMATCH(F3751, ""Ben帳戶|Elsa帳戶|Ben代墊|Ariel代墊|中信銀行共用"")), ""內部轉帳(忽略)"",
  AND(E3751&lt;&gt;"""", F3751&lt;&gt;"""", N"&amp;"OT(REGEXMATCH(C3751, ""薪資""))), ""內部轉帳(忽略)"",
  REGEXMATCH(C3751, ""薪資""), ""薪資變動(不計入)"",
  REGEXMATCH(C3751, ""押金""), ""押金往來"",
  AND(E3751&lt;&gt;"""", F3751=""""), ""真實支出"",
  AND(E3751="""", F3751&lt;&gt;""""), ""真實收入"",
  TRUE, ""其他""
)"),"其他")</f>
        <v>其他</v>
      </c>
      <c r="K3751" s="270" t="str">
        <f t="shared" si="2"/>
        <v/>
      </c>
      <c r="L3751">
        <f t="shared" si="3"/>
        <v>0</v>
      </c>
    </row>
    <row r="3752">
      <c r="A3752" s="107"/>
      <c r="D3752" s="270"/>
      <c r="H3752" s="106" t="str">
        <f t="shared" si="1"/>
        <v/>
      </c>
      <c r="I3752" s="271" t="str">
        <f>IFERROR(__xludf.DUMMYFUNCTION("""COMPUTED_VALUE"""),"")</f>
        <v/>
      </c>
      <c r="J3752" t="str">
        <f>IFERROR(__xludf.DUMMYFUNCTION("IFS(
  AND(REGEXMATCH(E3752, ""台銀籌備帳戶|玉山帳戶""), REGEXMATCH(C3752, ""薪資"")), ""分潤支出"",
  AND(REGEXMATCH(E3752, ""Ben帳戶|Elsa帳戶|Ben代墊|Ariel代墊|中信銀行共用""), REGEXMATCH(F3752, ""Ben帳戶|Elsa帳戶|Ben代墊|Ariel代墊|中信銀行共用"")), ""內部轉帳(忽略)"",
  AND(E3752&lt;&gt;"""", F3752&lt;&gt;"""", N"&amp;"OT(REGEXMATCH(C3752, ""薪資""))), ""內部轉帳(忽略)"",
  REGEXMATCH(C3752, ""薪資""), ""薪資變動(不計入)"",
  REGEXMATCH(C3752, ""押金""), ""押金往來"",
  AND(E3752&lt;&gt;"""", F3752=""""), ""真實支出"",
  AND(E3752="""", F3752&lt;&gt;""""), ""真實收入"",
  TRUE, ""其他""
)"),"其他")</f>
        <v>其他</v>
      </c>
      <c r="K3752" s="270" t="str">
        <f t="shared" si="2"/>
        <v/>
      </c>
      <c r="L3752">
        <f t="shared" si="3"/>
        <v>0</v>
      </c>
    </row>
    <row r="3753">
      <c r="A3753" s="107"/>
      <c r="D3753" s="270"/>
      <c r="H3753" s="106" t="str">
        <f t="shared" si="1"/>
        <v/>
      </c>
      <c r="I3753" s="271" t="str">
        <f>IFERROR(__xludf.DUMMYFUNCTION("""COMPUTED_VALUE"""),"")</f>
        <v/>
      </c>
      <c r="J3753" t="str">
        <f>IFERROR(__xludf.DUMMYFUNCTION("IFS(
  AND(REGEXMATCH(E3753, ""台銀籌備帳戶|玉山帳戶""), REGEXMATCH(C3753, ""薪資"")), ""分潤支出"",
  AND(REGEXMATCH(E3753, ""Ben帳戶|Elsa帳戶|Ben代墊|Ariel代墊|中信銀行共用""), REGEXMATCH(F3753, ""Ben帳戶|Elsa帳戶|Ben代墊|Ariel代墊|中信銀行共用"")), ""內部轉帳(忽略)"",
  AND(E3753&lt;&gt;"""", F3753&lt;&gt;"""", N"&amp;"OT(REGEXMATCH(C3753, ""薪資""))), ""內部轉帳(忽略)"",
  REGEXMATCH(C3753, ""薪資""), ""薪資變動(不計入)"",
  REGEXMATCH(C3753, ""押金""), ""押金往來"",
  AND(E3753&lt;&gt;"""", F3753=""""), ""真實支出"",
  AND(E3753="""", F3753&lt;&gt;""""), ""真實收入"",
  TRUE, ""其他""
)"),"其他")</f>
        <v>其他</v>
      </c>
      <c r="K3753" s="270" t="str">
        <f t="shared" si="2"/>
        <v/>
      </c>
      <c r="L3753">
        <f t="shared" si="3"/>
        <v>0</v>
      </c>
    </row>
    <row r="3754">
      <c r="A3754" s="107"/>
      <c r="D3754" s="270"/>
      <c r="H3754" s="106" t="str">
        <f t="shared" si="1"/>
        <v/>
      </c>
      <c r="I3754" s="271" t="str">
        <f>IFERROR(__xludf.DUMMYFUNCTION("""COMPUTED_VALUE"""),"")</f>
        <v/>
      </c>
      <c r="J3754" t="str">
        <f>IFERROR(__xludf.DUMMYFUNCTION("IFS(
  AND(REGEXMATCH(E3754, ""台銀籌備帳戶|玉山帳戶""), REGEXMATCH(C3754, ""薪資"")), ""分潤支出"",
  AND(REGEXMATCH(E3754, ""Ben帳戶|Elsa帳戶|Ben代墊|Ariel代墊|中信銀行共用""), REGEXMATCH(F3754, ""Ben帳戶|Elsa帳戶|Ben代墊|Ariel代墊|中信銀行共用"")), ""內部轉帳(忽略)"",
  AND(E3754&lt;&gt;"""", F3754&lt;&gt;"""", N"&amp;"OT(REGEXMATCH(C3754, ""薪資""))), ""內部轉帳(忽略)"",
  REGEXMATCH(C3754, ""薪資""), ""薪資變動(不計入)"",
  REGEXMATCH(C3754, ""押金""), ""押金往來"",
  AND(E3754&lt;&gt;"""", F3754=""""), ""真實支出"",
  AND(E3754="""", F3754&lt;&gt;""""), ""真實收入"",
  TRUE, ""其他""
)"),"其他")</f>
        <v>其他</v>
      </c>
      <c r="K3754" s="270" t="str">
        <f t="shared" si="2"/>
        <v/>
      </c>
      <c r="L3754">
        <f t="shared" si="3"/>
        <v>0</v>
      </c>
    </row>
    <row r="3755">
      <c r="A3755" s="107"/>
      <c r="D3755" s="270"/>
      <c r="H3755" s="106" t="str">
        <f t="shared" si="1"/>
        <v/>
      </c>
      <c r="I3755" s="271" t="str">
        <f>IFERROR(__xludf.DUMMYFUNCTION("""COMPUTED_VALUE"""),"")</f>
        <v/>
      </c>
      <c r="J3755" t="str">
        <f>IFERROR(__xludf.DUMMYFUNCTION("IFS(
  AND(REGEXMATCH(E3755, ""台銀籌備帳戶|玉山帳戶""), REGEXMATCH(C3755, ""薪資"")), ""分潤支出"",
  AND(REGEXMATCH(E3755, ""Ben帳戶|Elsa帳戶|Ben代墊|Ariel代墊|中信銀行共用""), REGEXMATCH(F3755, ""Ben帳戶|Elsa帳戶|Ben代墊|Ariel代墊|中信銀行共用"")), ""內部轉帳(忽略)"",
  AND(E3755&lt;&gt;"""", F3755&lt;&gt;"""", N"&amp;"OT(REGEXMATCH(C3755, ""薪資""))), ""內部轉帳(忽略)"",
  REGEXMATCH(C3755, ""薪資""), ""薪資變動(不計入)"",
  REGEXMATCH(C3755, ""押金""), ""押金往來"",
  AND(E3755&lt;&gt;"""", F3755=""""), ""真實支出"",
  AND(E3755="""", F3755&lt;&gt;""""), ""真實收入"",
  TRUE, ""其他""
)"),"其他")</f>
        <v>其他</v>
      </c>
      <c r="K3755" s="270" t="str">
        <f t="shared" si="2"/>
        <v/>
      </c>
      <c r="L3755">
        <f t="shared" si="3"/>
        <v>0</v>
      </c>
    </row>
    <row r="3756">
      <c r="A3756" s="107"/>
      <c r="D3756" s="270"/>
      <c r="H3756" s="106" t="str">
        <f t="shared" si="1"/>
        <v/>
      </c>
      <c r="I3756" s="271" t="str">
        <f>IFERROR(__xludf.DUMMYFUNCTION("""COMPUTED_VALUE"""),"")</f>
        <v/>
      </c>
      <c r="J3756" t="str">
        <f>IFERROR(__xludf.DUMMYFUNCTION("IFS(
  AND(REGEXMATCH(E3756, ""台銀籌備帳戶|玉山帳戶""), REGEXMATCH(C3756, ""薪資"")), ""分潤支出"",
  AND(REGEXMATCH(E3756, ""Ben帳戶|Elsa帳戶|Ben代墊|Ariel代墊|中信銀行共用""), REGEXMATCH(F3756, ""Ben帳戶|Elsa帳戶|Ben代墊|Ariel代墊|中信銀行共用"")), ""內部轉帳(忽略)"",
  AND(E3756&lt;&gt;"""", F3756&lt;&gt;"""", N"&amp;"OT(REGEXMATCH(C3756, ""薪資""))), ""內部轉帳(忽略)"",
  REGEXMATCH(C3756, ""薪資""), ""薪資變動(不計入)"",
  REGEXMATCH(C3756, ""押金""), ""押金往來"",
  AND(E3756&lt;&gt;"""", F3756=""""), ""真實支出"",
  AND(E3756="""", F3756&lt;&gt;""""), ""真實收入"",
  TRUE, ""其他""
)"),"其他")</f>
        <v>其他</v>
      </c>
      <c r="K3756" s="270" t="str">
        <f t="shared" si="2"/>
        <v/>
      </c>
      <c r="L3756">
        <f t="shared" si="3"/>
        <v>0</v>
      </c>
    </row>
    <row r="3757">
      <c r="A3757" s="107"/>
      <c r="D3757" s="270"/>
      <c r="H3757" s="106" t="str">
        <f t="shared" si="1"/>
        <v/>
      </c>
      <c r="I3757" s="271" t="str">
        <f>IFERROR(__xludf.DUMMYFUNCTION("""COMPUTED_VALUE"""),"")</f>
        <v/>
      </c>
      <c r="J3757" t="str">
        <f>IFERROR(__xludf.DUMMYFUNCTION("IFS(
  AND(REGEXMATCH(E3757, ""台銀籌備帳戶|玉山帳戶""), REGEXMATCH(C3757, ""薪資"")), ""分潤支出"",
  AND(REGEXMATCH(E3757, ""Ben帳戶|Elsa帳戶|Ben代墊|Ariel代墊|中信銀行共用""), REGEXMATCH(F3757, ""Ben帳戶|Elsa帳戶|Ben代墊|Ariel代墊|中信銀行共用"")), ""內部轉帳(忽略)"",
  AND(E3757&lt;&gt;"""", F3757&lt;&gt;"""", N"&amp;"OT(REGEXMATCH(C3757, ""薪資""))), ""內部轉帳(忽略)"",
  REGEXMATCH(C3757, ""薪資""), ""薪資變動(不計入)"",
  REGEXMATCH(C3757, ""押金""), ""押金往來"",
  AND(E3757&lt;&gt;"""", F3757=""""), ""真實支出"",
  AND(E3757="""", F3757&lt;&gt;""""), ""真實收入"",
  TRUE, ""其他""
)"),"其他")</f>
        <v>其他</v>
      </c>
      <c r="K3757" s="270" t="str">
        <f t="shared" si="2"/>
        <v/>
      </c>
      <c r="L3757">
        <f t="shared" si="3"/>
        <v>0</v>
      </c>
    </row>
    <row r="3758">
      <c r="A3758" s="107"/>
      <c r="D3758" s="270"/>
      <c r="H3758" s="106" t="str">
        <f t="shared" si="1"/>
        <v/>
      </c>
      <c r="I3758" s="271" t="str">
        <f>IFERROR(__xludf.DUMMYFUNCTION("""COMPUTED_VALUE"""),"")</f>
        <v/>
      </c>
      <c r="J3758" t="str">
        <f>IFERROR(__xludf.DUMMYFUNCTION("IFS(
  AND(REGEXMATCH(E3758, ""台銀籌備帳戶|玉山帳戶""), REGEXMATCH(C3758, ""薪資"")), ""分潤支出"",
  AND(REGEXMATCH(E3758, ""Ben帳戶|Elsa帳戶|Ben代墊|Ariel代墊|中信銀行共用""), REGEXMATCH(F3758, ""Ben帳戶|Elsa帳戶|Ben代墊|Ariel代墊|中信銀行共用"")), ""內部轉帳(忽略)"",
  AND(E3758&lt;&gt;"""", F3758&lt;&gt;"""", N"&amp;"OT(REGEXMATCH(C3758, ""薪資""))), ""內部轉帳(忽略)"",
  REGEXMATCH(C3758, ""薪資""), ""薪資變動(不計入)"",
  REGEXMATCH(C3758, ""押金""), ""押金往來"",
  AND(E3758&lt;&gt;"""", F3758=""""), ""真實支出"",
  AND(E3758="""", F3758&lt;&gt;""""), ""真實收入"",
  TRUE, ""其他""
)"),"其他")</f>
        <v>其他</v>
      </c>
      <c r="K3758" s="270" t="str">
        <f t="shared" si="2"/>
        <v/>
      </c>
      <c r="L3758">
        <f t="shared" si="3"/>
        <v>0</v>
      </c>
    </row>
    <row r="3759">
      <c r="A3759" s="107"/>
      <c r="D3759" s="270"/>
      <c r="H3759" s="106" t="str">
        <f t="shared" si="1"/>
        <v/>
      </c>
      <c r="I3759" s="271" t="str">
        <f>IFERROR(__xludf.DUMMYFUNCTION("""COMPUTED_VALUE"""),"")</f>
        <v/>
      </c>
      <c r="J3759" t="str">
        <f>IFERROR(__xludf.DUMMYFUNCTION("IFS(
  AND(REGEXMATCH(E3759, ""台銀籌備帳戶|玉山帳戶""), REGEXMATCH(C3759, ""薪資"")), ""分潤支出"",
  AND(REGEXMATCH(E3759, ""Ben帳戶|Elsa帳戶|Ben代墊|Ariel代墊|中信銀行共用""), REGEXMATCH(F3759, ""Ben帳戶|Elsa帳戶|Ben代墊|Ariel代墊|中信銀行共用"")), ""內部轉帳(忽略)"",
  AND(E3759&lt;&gt;"""", F3759&lt;&gt;"""", N"&amp;"OT(REGEXMATCH(C3759, ""薪資""))), ""內部轉帳(忽略)"",
  REGEXMATCH(C3759, ""薪資""), ""薪資變動(不計入)"",
  REGEXMATCH(C3759, ""押金""), ""押金往來"",
  AND(E3759&lt;&gt;"""", F3759=""""), ""真實支出"",
  AND(E3759="""", F3759&lt;&gt;""""), ""真實收入"",
  TRUE, ""其他""
)"),"其他")</f>
        <v>其他</v>
      </c>
      <c r="K3759" s="270" t="str">
        <f t="shared" si="2"/>
        <v/>
      </c>
      <c r="L3759">
        <f t="shared" si="3"/>
        <v>0</v>
      </c>
    </row>
    <row r="3760">
      <c r="A3760" s="107"/>
      <c r="D3760" s="270"/>
      <c r="H3760" s="106" t="str">
        <f t="shared" si="1"/>
        <v/>
      </c>
      <c r="I3760" s="271" t="str">
        <f>IFERROR(__xludf.DUMMYFUNCTION("""COMPUTED_VALUE"""),"")</f>
        <v/>
      </c>
      <c r="J3760" t="str">
        <f>IFERROR(__xludf.DUMMYFUNCTION("IFS(
  AND(REGEXMATCH(E3760, ""台銀籌備帳戶|玉山帳戶""), REGEXMATCH(C3760, ""薪資"")), ""分潤支出"",
  AND(REGEXMATCH(E3760, ""Ben帳戶|Elsa帳戶|Ben代墊|Ariel代墊|中信銀行共用""), REGEXMATCH(F3760, ""Ben帳戶|Elsa帳戶|Ben代墊|Ariel代墊|中信銀行共用"")), ""內部轉帳(忽略)"",
  AND(E3760&lt;&gt;"""", F3760&lt;&gt;"""", N"&amp;"OT(REGEXMATCH(C3760, ""薪資""))), ""內部轉帳(忽略)"",
  REGEXMATCH(C3760, ""薪資""), ""薪資變動(不計入)"",
  REGEXMATCH(C3760, ""押金""), ""押金往來"",
  AND(E3760&lt;&gt;"""", F3760=""""), ""真實支出"",
  AND(E3760="""", F3760&lt;&gt;""""), ""真實收入"",
  TRUE, ""其他""
)"),"其他")</f>
        <v>其他</v>
      </c>
      <c r="K3760" s="270" t="str">
        <f t="shared" si="2"/>
        <v/>
      </c>
      <c r="L3760">
        <f t="shared" si="3"/>
        <v>0</v>
      </c>
    </row>
    <row r="3761">
      <c r="A3761" s="107"/>
      <c r="D3761" s="270"/>
      <c r="H3761" s="106" t="str">
        <f t="shared" si="1"/>
        <v/>
      </c>
      <c r="I3761" s="271" t="str">
        <f>IFERROR(__xludf.DUMMYFUNCTION("""COMPUTED_VALUE"""),"")</f>
        <v/>
      </c>
      <c r="J3761" t="str">
        <f>IFERROR(__xludf.DUMMYFUNCTION("IFS(
  AND(REGEXMATCH(E3761, ""台銀籌備帳戶|玉山帳戶""), REGEXMATCH(C3761, ""薪資"")), ""分潤支出"",
  AND(REGEXMATCH(E3761, ""Ben帳戶|Elsa帳戶|Ben代墊|Ariel代墊|中信銀行共用""), REGEXMATCH(F3761, ""Ben帳戶|Elsa帳戶|Ben代墊|Ariel代墊|中信銀行共用"")), ""內部轉帳(忽略)"",
  AND(E3761&lt;&gt;"""", F3761&lt;&gt;"""", N"&amp;"OT(REGEXMATCH(C3761, ""薪資""))), ""內部轉帳(忽略)"",
  REGEXMATCH(C3761, ""薪資""), ""薪資變動(不計入)"",
  REGEXMATCH(C3761, ""押金""), ""押金往來"",
  AND(E3761&lt;&gt;"""", F3761=""""), ""真實支出"",
  AND(E3761="""", F3761&lt;&gt;""""), ""真實收入"",
  TRUE, ""其他""
)"),"其他")</f>
        <v>其他</v>
      </c>
      <c r="K3761" s="270" t="str">
        <f t="shared" si="2"/>
        <v/>
      </c>
      <c r="L3761">
        <f t="shared" si="3"/>
        <v>0</v>
      </c>
    </row>
    <row r="3762">
      <c r="A3762" s="107"/>
      <c r="D3762" s="270"/>
      <c r="H3762" s="106" t="str">
        <f t="shared" si="1"/>
        <v/>
      </c>
      <c r="I3762" s="271" t="str">
        <f>IFERROR(__xludf.DUMMYFUNCTION("""COMPUTED_VALUE"""),"")</f>
        <v/>
      </c>
      <c r="J3762" t="str">
        <f>IFERROR(__xludf.DUMMYFUNCTION("IFS(
  AND(REGEXMATCH(E3762, ""台銀籌備帳戶|玉山帳戶""), REGEXMATCH(C3762, ""薪資"")), ""分潤支出"",
  AND(REGEXMATCH(E3762, ""Ben帳戶|Elsa帳戶|Ben代墊|Ariel代墊|中信銀行共用""), REGEXMATCH(F3762, ""Ben帳戶|Elsa帳戶|Ben代墊|Ariel代墊|中信銀行共用"")), ""內部轉帳(忽略)"",
  AND(E3762&lt;&gt;"""", F3762&lt;&gt;"""", N"&amp;"OT(REGEXMATCH(C3762, ""薪資""))), ""內部轉帳(忽略)"",
  REGEXMATCH(C3762, ""薪資""), ""薪資變動(不計入)"",
  REGEXMATCH(C3762, ""押金""), ""押金往來"",
  AND(E3762&lt;&gt;"""", F3762=""""), ""真實支出"",
  AND(E3762="""", F3762&lt;&gt;""""), ""真實收入"",
  TRUE, ""其他""
)"),"其他")</f>
        <v>其他</v>
      </c>
      <c r="K3762" s="270" t="str">
        <f t="shared" si="2"/>
        <v/>
      </c>
      <c r="L3762">
        <f t="shared" si="3"/>
        <v>0</v>
      </c>
    </row>
    <row r="3763">
      <c r="A3763" s="107"/>
      <c r="D3763" s="270"/>
      <c r="H3763" s="106" t="str">
        <f t="shared" si="1"/>
        <v/>
      </c>
      <c r="I3763" s="271" t="str">
        <f>IFERROR(__xludf.DUMMYFUNCTION("""COMPUTED_VALUE"""),"")</f>
        <v/>
      </c>
      <c r="J3763" t="str">
        <f>IFERROR(__xludf.DUMMYFUNCTION("IFS(
  AND(REGEXMATCH(E3763, ""台銀籌備帳戶|玉山帳戶""), REGEXMATCH(C3763, ""薪資"")), ""分潤支出"",
  AND(REGEXMATCH(E3763, ""Ben帳戶|Elsa帳戶|Ben代墊|Ariel代墊|中信銀行共用""), REGEXMATCH(F3763, ""Ben帳戶|Elsa帳戶|Ben代墊|Ariel代墊|中信銀行共用"")), ""內部轉帳(忽略)"",
  AND(E3763&lt;&gt;"""", F3763&lt;&gt;"""", N"&amp;"OT(REGEXMATCH(C3763, ""薪資""))), ""內部轉帳(忽略)"",
  REGEXMATCH(C3763, ""薪資""), ""薪資變動(不計入)"",
  REGEXMATCH(C3763, ""押金""), ""押金往來"",
  AND(E3763&lt;&gt;"""", F3763=""""), ""真實支出"",
  AND(E3763="""", F3763&lt;&gt;""""), ""真實收入"",
  TRUE, ""其他""
)"),"其他")</f>
        <v>其他</v>
      </c>
      <c r="K3763" s="270" t="str">
        <f t="shared" si="2"/>
        <v/>
      </c>
      <c r="L3763">
        <f t="shared" si="3"/>
        <v>0</v>
      </c>
    </row>
    <row r="3764">
      <c r="A3764" s="107"/>
      <c r="D3764" s="270"/>
      <c r="H3764" s="106" t="str">
        <f t="shared" si="1"/>
        <v/>
      </c>
      <c r="I3764" s="271" t="str">
        <f>IFERROR(__xludf.DUMMYFUNCTION("""COMPUTED_VALUE"""),"")</f>
        <v/>
      </c>
      <c r="J3764" t="str">
        <f>IFERROR(__xludf.DUMMYFUNCTION("IFS(
  AND(REGEXMATCH(E3764, ""台銀籌備帳戶|玉山帳戶""), REGEXMATCH(C3764, ""薪資"")), ""分潤支出"",
  AND(REGEXMATCH(E3764, ""Ben帳戶|Elsa帳戶|Ben代墊|Ariel代墊|中信銀行共用""), REGEXMATCH(F3764, ""Ben帳戶|Elsa帳戶|Ben代墊|Ariel代墊|中信銀行共用"")), ""內部轉帳(忽略)"",
  AND(E3764&lt;&gt;"""", F3764&lt;&gt;"""", N"&amp;"OT(REGEXMATCH(C3764, ""薪資""))), ""內部轉帳(忽略)"",
  REGEXMATCH(C3764, ""薪資""), ""薪資變動(不計入)"",
  REGEXMATCH(C3764, ""押金""), ""押金往來"",
  AND(E3764&lt;&gt;"""", F3764=""""), ""真實支出"",
  AND(E3764="""", F3764&lt;&gt;""""), ""真實收入"",
  TRUE, ""其他""
)"),"其他")</f>
        <v>其他</v>
      </c>
      <c r="K3764" s="270" t="str">
        <f t="shared" si="2"/>
        <v/>
      </c>
      <c r="L3764">
        <f t="shared" si="3"/>
        <v>0</v>
      </c>
    </row>
    <row r="3765">
      <c r="A3765" s="107"/>
      <c r="D3765" s="270"/>
      <c r="H3765" s="106" t="str">
        <f t="shared" si="1"/>
        <v/>
      </c>
      <c r="I3765" s="271" t="str">
        <f>IFERROR(__xludf.DUMMYFUNCTION("""COMPUTED_VALUE"""),"")</f>
        <v/>
      </c>
      <c r="J3765" t="str">
        <f>IFERROR(__xludf.DUMMYFUNCTION("IFS(
  AND(REGEXMATCH(E3765, ""台銀籌備帳戶|玉山帳戶""), REGEXMATCH(C3765, ""薪資"")), ""分潤支出"",
  AND(REGEXMATCH(E3765, ""Ben帳戶|Elsa帳戶|Ben代墊|Ariel代墊|中信銀行共用""), REGEXMATCH(F3765, ""Ben帳戶|Elsa帳戶|Ben代墊|Ariel代墊|中信銀行共用"")), ""內部轉帳(忽略)"",
  AND(E3765&lt;&gt;"""", F3765&lt;&gt;"""", N"&amp;"OT(REGEXMATCH(C3765, ""薪資""))), ""內部轉帳(忽略)"",
  REGEXMATCH(C3765, ""薪資""), ""薪資變動(不計入)"",
  REGEXMATCH(C3765, ""押金""), ""押金往來"",
  AND(E3765&lt;&gt;"""", F3765=""""), ""真實支出"",
  AND(E3765="""", F3765&lt;&gt;""""), ""真實收入"",
  TRUE, ""其他""
)"),"其他")</f>
        <v>其他</v>
      </c>
      <c r="K3765" s="270" t="str">
        <f t="shared" si="2"/>
        <v/>
      </c>
      <c r="L3765">
        <f t="shared" si="3"/>
        <v>0</v>
      </c>
    </row>
    <row r="3766">
      <c r="A3766" s="107"/>
      <c r="D3766" s="270"/>
      <c r="H3766" s="106" t="str">
        <f t="shared" si="1"/>
        <v/>
      </c>
      <c r="I3766" s="271" t="str">
        <f>IFERROR(__xludf.DUMMYFUNCTION("""COMPUTED_VALUE"""),"")</f>
        <v/>
      </c>
      <c r="J3766" t="str">
        <f>IFERROR(__xludf.DUMMYFUNCTION("IFS(
  AND(REGEXMATCH(E3766, ""台銀籌備帳戶|玉山帳戶""), REGEXMATCH(C3766, ""薪資"")), ""分潤支出"",
  AND(REGEXMATCH(E3766, ""Ben帳戶|Elsa帳戶|Ben代墊|Ariel代墊|中信銀行共用""), REGEXMATCH(F3766, ""Ben帳戶|Elsa帳戶|Ben代墊|Ariel代墊|中信銀行共用"")), ""內部轉帳(忽略)"",
  AND(E3766&lt;&gt;"""", F3766&lt;&gt;"""", N"&amp;"OT(REGEXMATCH(C3766, ""薪資""))), ""內部轉帳(忽略)"",
  REGEXMATCH(C3766, ""薪資""), ""薪資變動(不計入)"",
  REGEXMATCH(C3766, ""押金""), ""押金往來"",
  AND(E3766&lt;&gt;"""", F3766=""""), ""真實支出"",
  AND(E3766="""", F3766&lt;&gt;""""), ""真實收入"",
  TRUE, ""其他""
)"),"其他")</f>
        <v>其他</v>
      </c>
      <c r="K3766" s="270" t="str">
        <f t="shared" si="2"/>
        <v/>
      </c>
      <c r="L3766">
        <f t="shared" si="3"/>
        <v>0</v>
      </c>
    </row>
    <row r="3767">
      <c r="A3767" s="107"/>
      <c r="D3767" s="270"/>
      <c r="H3767" s="106" t="str">
        <f t="shared" si="1"/>
        <v/>
      </c>
      <c r="I3767" s="271" t="str">
        <f>IFERROR(__xludf.DUMMYFUNCTION("""COMPUTED_VALUE"""),"")</f>
        <v/>
      </c>
      <c r="J3767" t="str">
        <f>IFERROR(__xludf.DUMMYFUNCTION("IFS(
  AND(REGEXMATCH(E3767, ""台銀籌備帳戶|玉山帳戶""), REGEXMATCH(C3767, ""薪資"")), ""分潤支出"",
  AND(REGEXMATCH(E3767, ""Ben帳戶|Elsa帳戶|Ben代墊|Ariel代墊|中信銀行共用""), REGEXMATCH(F3767, ""Ben帳戶|Elsa帳戶|Ben代墊|Ariel代墊|中信銀行共用"")), ""內部轉帳(忽略)"",
  AND(E3767&lt;&gt;"""", F3767&lt;&gt;"""", N"&amp;"OT(REGEXMATCH(C3767, ""薪資""))), ""內部轉帳(忽略)"",
  REGEXMATCH(C3767, ""薪資""), ""薪資變動(不計入)"",
  REGEXMATCH(C3767, ""押金""), ""押金往來"",
  AND(E3767&lt;&gt;"""", F3767=""""), ""真實支出"",
  AND(E3767="""", F3767&lt;&gt;""""), ""真實收入"",
  TRUE, ""其他""
)"),"其他")</f>
        <v>其他</v>
      </c>
      <c r="K3767" s="270" t="str">
        <f t="shared" si="2"/>
        <v/>
      </c>
      <c r="L3767">
        <f t="shared" si="3"/>
        <v>0</v>
      </c>
    </row>
    <row r="3768">
      <c r="A3768" s="107"/>
      <c r="D3768" s="270"/>
      <c r="H3768" s="106" t="str">
        <f t="shared" si="1"/>
        <v/>
      </c>
      <c r="I3768" s="271" t="str">
        <f>IFERROR(__xludf.DUMMYFUNCTION("""COMPUTED_VALUE"""),"")</f>
        <v/>
      </c>
      <c r="J3768" t="str">
        <f>IFERROR(__xludf.DUMMYFUNCTION("IFS(
  AND(REGEXMATCH(E3768, ""台銀籌備帳戶|玉山帳戶""), REGEXMATCH(C3768, ""薪資"")), ""分潤支出"",
  AND(REGEXMATCH(E3768, ""Ben帳戶|Elsa帳戶|Ben代墊|Ariel代墊|中信銀行共用""), REGEXMATCH(F3768, ""Ben帳戶|Elsa帳戶|Ben代墊|Ariel代墊|中信銀行共用"")), ""內部轉帳(忽略)"",
  AND(E3768&lt;&gt;"""", F3768&lt;&gt;"""", N"&amp;"OT(REGEXMATCH(C3768, ""薪資""))), ""內部轉帳(忽略)"",
  REGEXMATCH(C3768, ""薪資""), ""薪資變動(不計入)"",
  REGEXMATCH(C3768, ""押金""), ""押金往來"",
  AND(E3768&lt;&gt;"""", F3768=""""), ""真實支出"",
  AND(E3768="""", F3768&lt;&gt;""""), ""真實收入"",
  TRUE, ""其他""
)"),"其他")</f>
        <v>其他</v>
      </c>
      <c r="K3768" s="270" t="str">
        <f t="shared" si="2"/>
        <v/>
      </c>
      <c r="L3768">
        <f t="shared" si="3"/>
        <v>0</v>
      </c>
    </row>
    <row r="3769">
      <c r="A3769" s="107"/>
      <c r="D3769" s="270"/>
      <c r="H3769" s="106" t="str">
        <f t="shared" si="1"/>
        <v/>
      </c>
      <c r="I3769" s="271" t="str">
        <f>IFERROR(__xludf.DUMMYFUNCTION("""COMPUTED_VALUE"""),"")</f>
        <v/>
      </c>
      <c r="J3769" t="str">
        <f>IFERROR(__xludf.DUMMYFUNCTION("IFS(
  AND(REGEXMATCH(E3769, ""台銀籌備帳戶|玉山帳戶""), REGEXMATCH(C3769, ""薪資"")), ""分潤支出"",
  AND(REGEXMATCH(E3769, ""Ben帳戶|Elsa帳戶|Ben代墊|Ariel代墊|中信銀行共用""), REGEXMATCH(F3769, ""Ben帳戶|Elsa帳戶|Ben代墊|Ariel代墊|中信銀行共用"")), ""內部轉帳(忽略)"",
  AND(E3769&lt;&gt;"""", F3769&lt;&gt;"""", N"&amp;"OT(REGEXMATCH(C3769, ""薪資""))), ""內部轉帳(忽略)"",
  REGEXMATCH(C3769, ""薪資""), ""薪資變動(不計入)"",
  REGEXMATCH(C3769, ""押金""), ""押金往來"",
  AND(E3769&lt;&gt;"""", F3769=""""), ""真實支出"",
  AND(E3769="""", F3769&lt;&gt;""""), ""真實收入"",
  TRUE, ""其他""
)"),"其他")</f>
        <v>其他</v>
      </c>
      <c r="K3769" s="270" t="str">
        <f t="shared" si="2"/>
        <v/>
      </c>
      <c r="L3769">
        <f t="shared" si="3"/>
        <v>0</v>
      </c>
    </row>
    <row r="3770">
      <c r="A3770" s="107"/>
      <c r="D3770" s="270"/>
      <c r="H3770" s="106" t="str">
        <f t="shared" si="1"/>
        <v/>
      </c>
      <c r="I3770" s="271" t="str">
        <f>IFERROR(__xludf.DUMMYFUNCTION("""COMPUTED_VALUE"""),"")</f>
        <v/>
      </c>
      <c r="J3770" t="str">
        <f>IFERROR(__xludf.DUMMYFUNCTION("IFS(
  AND(REGEXMATCH(E3770, ""台銀籌備帳戶|玉山帳戶""), REGEXMATCH(C3770, ""薪資"")), ""分潤支出"",
  AND(REGEXMATCH(E3770, ""Ben帳戶|Elsa帳戶|Ben代墊|Ariel代墊|中信銀行共用""), REGEXMATCH(F3770, ""Ben帳戶|Elsa帳戶|Ben代墊|Ariel代墊|中信銀行共用"")), ""內部轉帳(忽略)"",
  AND(E3770&lt;&gt;"""", F3770&lt;&gt;"""", N"&amp;"OT(REGEXMATCH(C3770, ""薪資""))), ""內部轉帳(忽略)"",
  REGEXMATCH(C3770, ""薪資""), ""薪資變動(不計入)"",
  REGEXMATCH(C3770, ""押金""), ""押金往來"",
  AND(E3770&lt;&gt;"""", F3770=""""), ""真實支出"",
  AND(E3770="""", F3770&lt;&gt;""""), ""真實收入"",
  TRUE, ""其他""
)"),"其他")</f>
        <v>其他</v>
      </c>
      <c r="K3770" s="270" t="str">
        <f t="shared" si="2"/>
        <v/>
      </c>
      <c r="L3770">
        <f t="shared" si="3"/>
        <v>0</v>
      </c>
    </row>
    <row r="3771">
      <c r="A3771" s="107"/>
      <c r="D3771" s="270"/>
      <c r="H3771" s="106" t="str">
        <f t="shared" si="1"/>
        <v/>
      </c>
      <c r="I3771" s="271" t="str">
        <f>IFERROR(__xludf.DUMMYFUNCTION("""COMPUTED_VALUE"""),"")</f>
        <v/>
      </c>
      <c r="J3771" t="str">
        <f>IFERROR(__xludf.DUMMYFUNCTION("IFS(
  AND(REGEXMATCH(E3771, ""台銀籌備帳戶|玉山帳戶""), REGEXMATCH(C3771, ""薪資"")), ""分潤支出"",
  AND(REGEXMATCH(E3771, ""Ben帳戶|Elsa帳戶|Ben代墊|Ariel代墊|中信銀行共用""), REGEXMATCH(F3771, ""Ben帳戶|Elsa帳戶|Ben代墊|Ariel代墊|中信銀行共用"")), ""內部轉帳(忽略)"",
  AND(E3771&lt;&gt;"""", F3771&lt;&gt;"""", N"&amp;"OT(REGEXMATCH(C3771, ""薪資""))), ""內部轉帳(忽略)"",
  REGEXMATCH(C3771, ""薪資""), ""薪資變動(不計入)"",
  REGEXMATCH(C3771, ""押金""), ""押金往來"",
  AND(E3771&lt;&gt;"""", F3771=""""), ""真實支出"",
  AND(E3771="""", F3771&lt;&gt;""""), ""真實收入"",
  TRUE, ""其他""
)"),"其他")</f>
        <v>其他</v>
      </c>
      <c r="K3771" s="270" t="str">
        <f t="shared" si="2"/>
        <v/>
      </c>
      <c r="L3771">
        <f t="shared" si="3"/>
        <v>0</v>
      </c>
    </row>
    <row r="3772">
      <c r="A3772" s="107"/>
      <c r="D3772" s="270"/>
      <c r="H3772" s="106" t="str">
        <f t="shared" si="1"/>
        <v/>
      </c>
      <c r="I3772" s="271" t="str">
        <f>IFERROR(__xludf.DUMMYFUNCTION("""COMPUTED_VALUE"""),"")</f>
        <v/>
      </c>
      <c r="J3772" t="str">
        <f>IFERROR(__xludf.DUMMYFUNCTION("IFS(
  AND(REGEXMATCH(E3772, ""台銀籌備帳戶|玉山帳戶""), REGEXMATCH(C3772, ""薪資"")), ""分潤支出"",
  AND(REGEXMATCH(E3772, ""Ben帳戶|Elsa帳戶|Ben代墊|Ariel代墊|中信銀行共用""), REGEXMATCH(F3772, ""Ben帳戶|Elsa帳戶|Ben代墊|Ariel代墊|中信銀行共用"")), ""內部轉帳(忽略)"",
  AND(E3772&lt;&gt;"""", F3772&lt;&gt;"""", N"&amp;"OT(REGEXMATCH(C3772, ""薪資""))), ""內部轉帳(忽略)"",
  REGEXMATCH(C3772, ""薪資""), ""薪資變動(不計入)"",
  REGEXMATCH(C3772, ""押金""), ""押金往來"",
  AND(E3772&lt;&gt;"""", F3772=""""), ""真實支出"",
  AND(E3772="""", F3772&lt;&gt;""""), ""真實收入"",
  TRUE, ""其他""
)"),"其他")</f>
        <v>其他</v>
      </c>
      <c r="K3772" s="270" t="str">
        <f t="shared" si="2"/>
        <v/>
      </c>
      <c r="L3772">
        <f t="shared" si="3"/>
        <v>0</v>
      </c>
    </row>
    <row r="3773">
      <c r="A3773" s="107"/>
      <c r="D3773" s="270"/>
      <c r="H3773" s="106" t="str">
        <f t="shared" si="1"/>
        <v/>
      </c>
      <c r="I3773" s="271" t="str">
        <f>IFERROR(__xludf.DUMMYFUNCTION("""COMPUTED_VALUE"""),"")</f>
        <v/>
      </c>
      <c r="J3773" t="str">
        <f>IFERROR(__xludf.DUMMYFUNCTION("IFS(
  AND(REGEXMATCH(E3773, ""台銀籌備帳戶|玉山帳戶""), REGEXMATCH(C3773, ""薪資"")), ""分潤支出"",
  AND(REGEXMATCH(E3773, ""Ben帳戶|Elsa帳戶|Ben代墊|Ariel代墊|中信銀行共用""), REGEXMATCH(F3773, ""Ben帳戶|Elsa帳戶|Ben代墊|Ariel代墊|中信銀行共用"")), ""內部轉帳(忽略)"",
  AND(E3773&lt;&gt;"""", F3773&lt;&gt;"""", N"&amp;"OT(REGEXMATCH(C3773, ""薪資""))), ""內部轉帳(忽略)"",
  REGEXMATCH(C3773, ""薪資""), ""薪資變動(不計入)"",
  REGEXMATCH(C3773, ""押金""), ""押金往來"",
  AND(E3773&lt;&gt;"""", F3773=""""), ""真實支出"",
  AND(E3773="""", F3773&lt;&gt;""""), ""真實收入"",
  TRUE, ""其他""
)"),"其他")</f>
        <v>其他</v>
      </c>
      <c r="K3773" s="270" t="str">
        <f t="shared" si="2"/>
        <v/>
      </c>
      <c r="L3773">
        <f t="shared" si="3"/>
        <v>0</v>
      </c>
    </row>
    <row r="3774">
      <c r="A3774" s="107"/>
      <c r="D3774" s="270"/>
      <c r="H3774" s="106" t="str">
        <f t="shared" si="1"/>
        <v/>
      </c>
      <c r="I3774" s="271" t="str">
        <f>IFERROR(__xludf.DUMMYFUNCTION("""COMPUTED_VALUE"""),"")</f>
        <v/>
      </c>
      <c r="J3774" t="str">
        <f>IFERROR(__xludf.DUMMYFUNCTION("IFS(
  AND(REGEXMATCH(E3774, ""台銀籌備帳戶|玉山帳戶""), REGEXMATCH(C3774, ""薪資"")), ""分潤支出"",
  AND(REGEXMATCH(E3774, ""Ben帳戶|Elsa帳戶|Ben代墊|Ariel代墊|中信銀行共用""), REGEXMATCH(F3774, ""Ben帳戶|Elsa帳戶|Ben代墊|Ariel代墊|中信銀行共用"")), ""內部轉帳(忽略)"",
  AND(E3774&lt;&gt;"""", F3774&lt;&gt;"""", N"&amp;"OT(REGEXMATCH(C3774, ""薪資""))), ""內部轉帳(忽略)"",
  REGEXMATCH(C3774, ""薪資""), ""薪資變動(不計入)"",
  REGEXMATCH(C3774, ""押金""), ""押金往來"",
  AND(E3774&lt;&gt;"""", F3774=""""), ""真實支出"",
  AND(E3774="""", F3774&lt;&gt;""""), ""真實收入"",
  TRUE, ""其他""
)"),"其他")</f>
        <v>其他</v>
      </c>
      <c r="K3774" s="270" t="str">
        <f t="shared" si="2"/>
        <v/>
      </c>
      <c r="L3774">
        <f t="shared" si="3"/>
        <v>0</v>
      </c>
    </row>
    <row r="3775">
      <c r="A3775" s="107"/>
      <c r="D3775" s="270"/>
      <c r="H3775" s="106" t="str">
        <f t="shared" si="1"/>
        <v/>
      </c>
      <c r="I3775" s="271" t="str">
        <f>IFERROR(__xludf.DUMMYFUNCTION("""COMPUTED_VALUE"""),"")</f>
        <v/>
      </c>
      <c r="J3775" t="str">
        <f>IFERROR(__xludf.DUMMYFUNCTION("IFS(
  AND(REGEXMATCH(E3775, ""台銀籌備帳戶|玉山帳戶""), REGEXMATCH(C3775, ""薪資"")), ""分潤支出"",
  AND(REGEXMATCH(E3775, ""Ben帳戶|Elsa帳戶|Ben代墊|Ariel代墊|中信銀行共用""), REGEXMATCH(F3775, ""Ben帳戶|Elsa帳戶|Ben代墊|Ariel代墊|中信銀行共用"")), ""內部轉帳(忽略)"",
  AND(E3775&lt;&gt;"""", F3775&lt;&gt;"""", N"&amp;"OT(REGEXMATCH(C3775, ""薪資""))), ""內部轉帳(忽略)"",
  REGEXMATCH(C3775, ""薪資""), ""薪資變動(不計入)"",
  REGEXMATCH(C3775, ""押金""), ""押金往來"",
  AND(E3775&lt;&gt;"""", F3775=""""), ""真實支出"",
  AND(E3775="""", F3775&lt;&gt;""""), ""真實收入"",
  TRUE, ""其他""
)"),"其他")</f>
        <v>其他</v>
      </c>
      <c r="K3775" s="270" t="str">
        <f t="shared" si="2"/>
        <v/>
      </c>
      <c r="L3775">
        <f t="shared" si="3"/>
        <v>0</v>
      </c>
    </row>
    <row r="3776">
      <c r="A3776" s="107"/>
      <c r="D3776" s="270"/>
      <c r="H3776" s="106" t="str">
        <f t="shared" si="1"/>
        <v/>
      </c>
      <c r="I3776" s="271" t="str">
        <f>IFERROR(__xludf.DUMMYFUNCTION("""COMPUTED_VALUE"""),"")</f>
        <v/>
      </c>
      <c r="J3776" t="str">
        <f>IFERROR(__xludf.DUMMYFUNCTION("IFS(
  AND(REGEXMATCH(E3776, ""台銀籌備帳戶|玉山帳戶""), REGEXMATCH(C3776, ""薪資"")), ""分潤支出"",
  AND(REGEXMATCH(E3776, ""Ben帳戶|Elsa帳戶|Ben代墊|Ariel代墊|中信銀行共用""), REGEXMATCH(F3776, ""Ben帳戶|Elsa帳戶|Ben代墊|Ariel代墊|中信銀行共用"")), ""內部轉帳(忽略)"",
  AND(E3776&lt;&gt;"""", F3776&lt;&gt;"""", N"&amp;"OT(REGEXMATCH(C3776, ""薪資""))), ""內部轉帳(忽略)"",
  REGEXMATCH(C3776, ""薪資""), ""薪資變動(不計入)"",
  REGEXMATCH(C3776, ""押金""), ""押金往來"",
  AND(E3776&lt;&gt;"""", F3776=""""), ""真實支出"",
  AND(E3776="""", F3776&lt;&gt;""""), ""真實收入"",
  TRUE, ""其他""
)"),"其他")</f>
        <v>其他</v>
      </c>
      <c r="K3776" s="270" t="str">
        <f t="shared" si="2"/>
        <v/>
      </c>
      <c r="L3776">
        <f t="shared" si="3"/>
        <v>0</v>
      </c>
    </row>
    <row r="3777">
      <c r="A3777" s="107"/>
      <c r="D3777" s="270"/>
      <c r="H3777" s="106" t="str">
        <f t="shared" si="1"/>
        <v/>
      </c>
      <c r="I3777" s="271" t="str">
        <f>IFERROR(__xludf.DUMMYFUNCTION("""COMPUTED_VALUE"""),"")</f>
        <v/>
      </c>
      <c r="J3777" t="str">
        <f>IFERROR(__xludf.DUMMYFUNCTION("IFS(
  AND(REGEXMATCH(E3777, ""台銀籌備帳戶|玉山帳戶""), REGEXMATCH(C3777, ""薪資"")), ""分潤支出"",
  AND(REGEXMATCH(E3777, ""Ben帳戶|Elsa帳戶|Ben代墊|Ariel代墊|中信銀行共用""), REGEXMATCH(F3777, ""Ben帳戶|Elsa帳戶|Ben代墊|Ariel代墊|中信銀行共用"")), ""內部轉帳(忽略)"",
  AND(E3777&lt;&gt;"""", F3777&lt;&gt;"""", N"&amp;"OT(REGEXMATCH(C3777, ""薪資""))), ""內部轉帳(忽略)"",
  REGEXMATCH(C3777, ""薪資""), ""薪資變動(不計入)"",
  REGEXMATCH(C3777, ""押金""), ""押金往來"",
  AND(E3777&lt;&gt;"""", F3777=""""), ""真實支出"",
  AND(E3777="""", F3777&lt;&gt;""""), ""真實收入"",
  TRUE, ""其他""
)"),"其他")</f>
        <v>其他</v>
      </c>
      <c r="K3777" s="270" t="str">
        <f t="shared" si="2"/>
        <v/>
      </c>
      <c r="L3777">
        <f t="shared" si="3"/>
        <v>0</v>
      </c>
    </row>
    <row r="3778">
      <c r="A3778" s="107"/>
      <c r="D3778" s="270"/>
      <c r="H3778" s="106" t="str">
        <f t="shared" si="1"/>
        <v/>
      </c>
      <c r="I3778" s="271" t="str">
        <f>IFERROR(__xludf.DUMMYFUNCTION("""COMPUTED_VALUE"""),"")</f>
        <v/>
      </c>
      <c r="J3778" t="str">
        <f>IFERROR(__xludf.DUMMYFUNCTION("IFS(
  AND(REGEXMATCH(E3778, ""台銀籌備帳戶|玉山帳戶""), REGEXMATCH(C3778, ""薪資"")), ""分潤支出"",
  AND(REGEXMATCH(E3778, ""Ben帳戶|Elsa帳戶|Ben代墊|Ariel代墊|中信銀行共用""), REGEXMATCH(F3778, ""Ben帳戶|Elsa帳戶|Ben代墊|Ariel代墊|中信銀行共用"")), ""內部轉帳(忽略)"",
  AND(E3778&lt;&gt;"""", F3778&lt;&gt;"""", N"&amp;"OT(REGEXMATCH(C3778, ""薪資""))), ""內部轉帳(忽略)"",
  REGEXMATCH(C3778, ""薪資""), ""薪資變動(不計入)"",
  REGEXMATCH(C3778, ""押金""), ""押金往來"",
  AND(E3778&lt;&gt;"""", F3778=""""), ""真實支出"",
  AND(E3778="""", F3778&lt;&gt;""""), ""真實收入"",
  TRUE, ""其他""
)"),"其他")</f>
        <v>其他</v>
      </c>
      <c r="K3778" s="270" t="str">
        <f t="shared" si="2"/>
        <v/>
      </c>
      <c r="L3778">
        <f t="shared" si="3"/>
        <v>0</v>
      </c>
    </row>
    <row r="3779">
      <c r="A3779" s="107"/>
      <c r="D3779" s="270"/>
      <c r="H3779" s="106" t="str">
        <f t="shared" si="1"/>
        <v/>
      </c>
      <c r="I3779" s="271" t="str">
        <f>IFERROR(__xludf.DUMMYFUNCTION("""COMPUTED_VALUE"""),"")</f>
        <v/>
      </c>
      <c r="J3779" t="str">
        <f>IFERROR(__xludf.DUMMYFUNCTION("IFS(
  AND(REGEXMATCH(E3779, ""台銀籌備帳戶|玉山帳戶""), REGEXMATCH(C3779, ""薪資"")), ""分潤支出"",
  AND(REGEXMATCH(E3779, ""Ben帳戶|Elsa帳戶|Ben代墊|Ariel代墊|中信銀行共用""), REGEXMATCH(F3779, ""Ben帳戶|Elsa帳戶|Ben代墊|Ariel代墊|中信銀行共用"")), ""內部轉帳(忽略)"",
  AND(E3779&lt;&gt;"""", F3779&lt;&gt;"""", N"&amp;"OT(REGEXMATCH(C3779, ""薪資""))), ""內部轉帳(忽略)"",
  REGEXMATCH(C3779, ""薪資""), ""薪資變動(不計入)"",
  REGEXMATCH(C3779, ""押金""), ""押金往來"",
  AND(E3779&lt;&gt;"""", F3779=""""), ""真實支出"",
  AND(E3779="""", F3779&lt;&gt;""""), ""真實收入"",
  TRUE, ""其他""
)"),"其他")</f>
        <v>其他</v>
      </c>
      <c r="K3779" s="270" t="str">
        <f t="shared" si="2"/>
        <v/>
      </c>
      <c r="L3779">
        <f t="shared" si="3"/>
        <v>0</v>
      </c>
    </row>
    <row r="3780">
      <c r="A3780" s="107"/>
      <c r="D3780" s="270"/>
      <c r="H3780" s="106" t="str">
        <f t="shared" si="1"/>
        <v/>
      </c>
      <c r="I3780" s="271" t="str">
        <f>IFERROR(__xludf.DUMMYFUNCTION("""COMPUTED_VALUE"""),"")</f>
        <v/>
      </c>
      <c r="J3780" t="str">
        <f>IFERROR(__xludf.DUMMYFUNCTION("IFS(
  AND(REGEXMATCH(E3780, ""台銀籌備帳戶|玉山帳戶""), REGEXMATCH(C3780, ""薪資"")), ""分潤支出"",
  AND(REGEXMATCH(E3780, ""Ben帳戶|Elsa帳戶|Ben代墊|Ariel代墊|中信銀行共用""), REGEXMATCH(F3780, ""Ben帳戶|Elsa帳戶|Ben代墊|Ariel代墊|中信銀行共用"")), ""內部轉帳(忽略)"",
  AND(E3780&lt;&gt;"""", F3780&lt;&gt;"""", N"&amp;"OT(REGEXMATCH(C3780, ""薪資""))), ""內部轉帳(忽略)"",
  REGEXMATCH(C3780, ""薪資""), ""薪資變動(不計入)"",
  REGEXMATCH(C3780, ""押金""), ""押金往來"",
  AND(E3780&lt;&gt;"""", F3780=""""), ""真實支出"",
  AND(E3780="""", F3780&lt;&gt;""""), ""真實收入"",
  TRUE, ""其他""
)"),"其他")</f>
        <v>其他</v>
      </c>
      <c r="K3780" s="270" t="str">
        <f t="shared" si="2"/>
        <v/>
      </c>
      <c r="L3780">
        <f t="shared" si="3"/>
        <v>0</v>
      </c>
    </row>
    <row r="3781">
      <c r="A3781" s="107"/>
      <c r="D3781" s="270"/>
      <c r="H3781" s="106" t="str">
        <f t="shared" si="1"/>
        <v/>
      </c>
      <c r="I3781" s="271" t="str">
        <f>IFERROR(__xludf.DUMMYFUNCTION("""COMPUTED_VALUE"""),"")</f>
        <v/>
      </c>
      <c r="J3781" t="str">
        <f>IFERROR(__xludf.DUMMYFUNCTION("IFS(
  AND(REGEXMATCH(E3781, ""台銀籌備帳戶|玉山帳戶""), REGEXMATCH(C3781, ""薪資"")), ""分潤支出"",
  AND(REGEXMATCH(E3781, ""Ben帳戶|Elsa帳戶|Ben代墊|Ariel代墊|中信銀行共用""), REGEXMATCH(F3781, ""Ben帳戶|Elsa帳戶|Ben代墊|Ariel代墊|中信銀行共用"")), ""內部轉帳(忽略)"",
  AND(E3781&lt;&gt;"""", F3781&lt;&gt;"""", N"&amp;"OT(REGEXMATCH(C3781, ""薪資""))), ""內部轉帳(忽略)"",
  REGEXMATCH(C3781, ""薪資""), ""薪資變動(不計入)"",
  REGEXMATCH(C3781, ""押金""), ""押金往來"",
  AND(E3781&lt;&gt;"""", F3781=""""), ""真實支出"",
  AND(E3781="""", F3781&lt;&gt;""""), ""真實收入"",
  TRUE, ""其他""
)"),"其他")</f>
        <v>其他</v>
      </c>
      <c r="K3781" s="270" t="str">
        <f t="shared" si="2"/>
        <v/>
      </c>
      <c r="L3781">
        <f t="shared" si="3"/>
        <v>0</v>
      </c>
    </row>
    <row r="3782">
      <c r="A3782" s="107"/>
      <c r="D3782" s="270"/>
      <c r="H3782" s="106" t="str">
        <f t="shared" si="1"/>
        <v/>
      </c>
      <c r="I3782" s="271" t="str">
        <f>IFERROR(__xludf.DUMMYFUNCTION("""COMPUTED_VALUE"""),"")</f>
        <v/>
      </c>
      <c r="J3782" t="str">
        <f>IFERROR(__xludf.DUMMYFUNCTION("IFS(
  AND(REGEXMATCH(E3782, ""台銀籌備帳戶|玉山帳戶""), REGEXMATCH(C3782, ""薪資"")), ""分潤支出"",
  AND(REGEXMATCH(E3782, ""Ben帳戶|Elsa帳戶|Ben代墊|Ariel代墊|中信銀行共用""), REGEXMATCH(F3782, ""Ben帳戶|Elsa帳戶|Ben代墊|Ariel代墊|中信銀行共用"")), ""內部轉帳(忽略)"",
  AND(E3782&lt;&gt;"""", F3782&lt;&gt;"""", N"&amp;"OT(REGEXMATCH(C3782, ""薪資""))), ""內部轉帳(忽略)"",
  REGEXMATCH(C3782, ""薪資""), ""薪資變動(不計入)"",
  REGEXMATCH(C3782, ""押金""), ""押金往來"",
  AND(E3782&lt;&gt;"""", F3782=""""), ""真實支出"",
  AND(E3782="""", F3782&lt;&gt;""""), ""真實收入"",
  TRUE, ""其他""
)"),"其他")</f>
        <v>其他</v>
      </c>
      <c r="K3782" s="270" t="str">
        <f t="shared" si="2"/>
        <v/>
      </c>
      <c r="L3782">
        <f t="shared" si="3"/>
        <v>0</v>
      </c>
    </row>
    <row r="3783">
      <c r="A3783" s="107"/>
      <c r="D3783" s="270"/>
      <c r="H3783" s="106" t="str">
        <f t="shared" si="1"/>
        <v/>
      </c>
      <c r="I3783" s="271" t="str">
        <f>IFERROR(__xludf.DUMMYFUNCTION("""COMPUTED_VALUE"""),"")</f>
        <v/>
      </c>
      <c r="J3783" t="str">
        <f>IFERROR(__xludf.DUMMYFUNCTION("IFS(
  AND(REGEXMATCH(E3783, ""台銀籌備帳戶|玉山帳戶""), REGEXMATCH(C3783, ""薪資"")), ""分潤支出"",
  AND(REGEXMATCH(E3783, ""Ben帳戶|Elsa帳戶|Ben代墊|Ariel代墊|中信銀行共用""), REGEXMATCH(F3783, ""Ben帳戶|Elsa帳戶|Ben代墊|Ariel代墊|中信銀行共用"")), ""內部轉帳(忽略)"",
  AND(E3783&lt;&gt;"""", F3783&lt;&gt;"""", N"&amp;"OT(REGEXMATCH(C3783, ""薪資""))), ""內部轉帳(忽略)"",
  REGEXMATCH(C3783, ""薪資""), ""薪資變動(不計入)"",
  REGEXMATCH(C3783, ""押金""), ""押金往來"",
  AND(E3783&lt;&gt;"""", F3783=""""), ""真實支出"",
  AND(E3783="""", F3783&lt;&gt;""""), ""真實收入"",
  TRUE, ""其他""
)"),"其他")</f>
        <v>其他</v>
      </c>
      <c r="K3783" s="270" t="str">
        <f t="shared" si="2"/>
        <v/>
      </c>
      <c r="L3783">
        <f t="shared" si="3"/>
        <v>0</v>
      </c>
    </row>
    <row r="3784">
      <c r="A3784" s="107"/>
      <c r="D3784" s="270"/>
      <c r="H3784" s="106" t="str">
        <f t="shared" si="1"/>
        <v/>
      </c>
      <c r="I3784" s="271" t="str">
        <f>IFERROR(__xludf.DUMMYFUNCTION("""COMPUTED_VALUE"""),"")</f>
        <v/>
      </c>
      <c r="J3784" t="str">
        <f>IFERROR(__xludf.DUMMYFUNCTION("IFS(
  AND(REGEXMATCH(E3784, ""台銀籌備帳戶|玉山帳戶""), REGEXMATCH(C3784, ""薪資"")), ""分潤支出"",
  AND(REGEXMATCH(E3784, ""Ben帳戶|Elsa帳戶|Ben代墊|Ariel代墊|中信銀行共用""), REGEXMATCH(F3784, ""Ben帳戶|Elsa帳戶|Ben代墊|Ariel代墊|中信銀行共用"")), ""內部轉帳(忽略)"",
  AND(E3784&lt;&gt;"""", F3784&lt;&gt;"""", N"&amp;"OT(REGEXMATCH(C3784, ""薪資""))), ""內部轉帳(忽略)"",
  REGEXMATCH(C3784, ""薪資""), ""薪資變動(不計入)"",
  REGEXMATCH(C3784, ""押金""), ""押金往來"",
  AND(E3784&lt;&gt;"""", F3784=""""), ""真實支出"",
  AND(E3784="""", F3784&lt;&gt;""""), ""真實收入"",
  TRUE, ""其他""
)"),"其他")</f>
        <v>其他</v>
      </c>
      <c r="K3784" s="270" t="str">
        <f t="shared" si="2"/>
        <v/>
      </c>
      <c r="L3784">
        <f t="shared" si="3"/>
        <v>0</v>
      </c>
    </row>
    <row r="3785">
      <c r="A3785" s="107"/>
      <c r="D3785" s="270"/>
      <c r="H3785" s="106" t="str">
        <f t="shared" si="1"/>
        <v/>
      </c>
      <c r="I3785" s="271" t="str">
        <f>IFERROR(__xludf.DUMMYFUNCTION("""COMPUTED_VALUE"""),"")</f>
        <v/>
      </c>
      <c r="J3785" t="str">
        <f>IFERROR(__xludf.DUMMYFUNCTION("IFS(
  AND(REGEXMATCH(E3785, ""台銀籌備帳戶|玉山帳戶""), REGEXMATCH(C3785, ""薪資"")), ""分潤支出"",
  AND(REGEXMATCH(E3785, ""Ben帳戶|Elsa帳戶|Ben代墊|Ariel代墊|中信銀行共用""), REGEXMATCH(F3785, ""Ben帳戶|Elsa帳戶|Ben代墊|Ariel代墊|中信銀行共用"")), ""內部轉帳(忽略)"",
  AND(E3785&lt;&gt;"""", F3785&lt;&gt;"""", N"&amp;"OT(REGEXMATCH(C3785, ""薪資""))), ""內部轉帳(忽略)"",
  REGEXMATCH(C3785, ""薪資""), ""薪資變動(不計入)"",
  REGEXMATCH(C3785, ""押金""), ""押金往來"",
  AND(E3785&lt;&gt;"""", F3785=""""), ""真實支出"",
  AND(E3785="""", F3785&lt;&gt;""""), ""真實收入"",
  TRUE, ""其他""
)"),"其他")</f>
        <v>其他</v>
      </c>
      <c r="K3785" s="270" t="str">
        <f t="shared" si="2"/>
        <v/>
      </c>
      <c r="L3785">
        <f t="shared" si="3"/>
        <v>0</v>
      </c>
    </row>
    <row r="3786">
      <c r="A3786" s="107"/>
      <c r="D3786" s="270"/>
      <c r="H3786" s="106" t="str">
        <f t="shared" si="1"/>
        <v/>
      </c>
      <c r="I3786" s="271" t="str">
        <f>IFERROR(__xludf.DUMMYFUNCTION("""COMPUTED_VALUE"""),"")</f>
        <v/>
      </c>
      <c r="J3786" t="str">
        <f>IFERROR(__xludf.DUMMYFUNCTION("IFS(
  AND(REGEXMATCH(E3786, ""台銀籌備帳戶|玉山帳戶""), REGEXMATCH(C3786, ""薪資"")), ""分潤支出"",
  AND(REGEXMATCH(E3786, ""Ben帳戶|Elsa帳戶|Ben代墊|Ariel代墊|中信銀行共用""), REGEXMATCH(F3786, ""Ben帳戶|Elsa帳戶|Ben代墊|Ariel代墊|中信銀行共用"")), ""內部轉帳(忽略)"",
  AND(E3786&lt;&gt;"""", F3786&lt;&gt;"""", N"&amp;"OT(REGEXMATCH(C3786, ""薪資""))), ""內部轉帳(忽略)"",
  REGEXMATCH(C3786, ""薪資""), ""薪資變動(不計入)"",
  REGEXMATCH(C3786, ""押金""), ""押金往來"",
  AND(E3786&lt;&gt;"""", F3786=""""), ""真實支出"",
  AND(E3786="""", F3786&lt;&gt;""""), ""真實收入"",
  TRUE, ""其他""
)"),"其他")</f>
        <v>其他</v>
      </c>
      <c r="K3786" s="270" t="str">
        <f t="shared" si="2"/>
        <v/>
      </c>
      <c r="L3786">
        <f t="shared" si="3"/>
        <v>0</v>
      </c>
    </row>
    <row r="3787">
      <c r="A3787" s="107"/>
      <c r="D3787" s="270"/>
      <c r="H3787" s="106" t="str">
        <f t="shared" si="1"/>
        <v/>
      </c>
      <c r="I3787" s="271" t="str">
        <f>IFERROR(__xludf.DUMMYFUNCTION("""COMPUTED_VALUE"""),"")</f>
        <v/>
      </c>
      <c r="J3787" t="str">
        <f>IFERROR(__xludf.DUMMYFUNCTION("IFS(
  AND(REGEXMATCH(E3787, ""台銀籌備帳戶|玉山帳戶""), REGEXMATCH(C3787, ""薪資"")), ""分潤支出"",
  AND(REGEXMATCH(E3787, ""Ben帳戶|Elsa帳戶|Ben代墊|Ariel代墊|中信銀行共用""), REGEXMATCH(F3787, ""Ben帳戶|Elsa帳戶|Ben代墊|Ariel代墊|中信銀行共用"")), ""內部轉帳(忽略)"",
  AND(E3787&lt;&gt;"""", F3787&lt;&gt;"""", N"&amp;"OT(REGEXMATCH(C3787, ""薪資""))), ""內部轉帳(忽略)"",
  REGEXMATCH(C3787, ""薪資""), ""薪資變動(不計入)"",
  REGEXMATCH(C3787, ""押金""), ""押金往來"",
  AND(E3787&lt;&gt;"""", F3787=""""), ""真實支出"",
  AND(E3787="""", F3787&lt;&gt;""""), ""真實收入"",
  TRUE, ""其他""
)"),"其他")</f>
        <v>其他</v>
      </c>
      <c r="K3787" s="270" t="str">
        <f t="shared" si="2"/>
        <v/>
      </c>
      <c r="L3787">
        <f t="shared" si="3"/>
        <v>0</v>
      </c>
    </row>
    <row r="3788">
      <c r="A3788" s="107"/>
      <c r="D3788" s="270"/>
      <c r="H3788" s="106" t="str">
        <f t="shared" si="1"/>
        <v/>
      </c>
      <c r="I3788" s="271" t="str">
        <f>IFERROR(__xludf.DUMMYFUNCTION("""COMPUTED_VALUE"""),"")</f>
        <v/>
      </c>
      <c r="J3788" t="str">
        <f>IFERROR(__xludf.DUMMYFUNCTION("IFS(
  AND(REGEXMATCH(E3788, ""台銀籌備帳戶|玉山帳戶""), REGEXMATCH(C3788, ""薪資"")), ""分潤支出"",
  AND(REGEXMATCH(E3788, ""Ben帳戶|Elsa帳戶|Ben代墊|Ariel代墊|中信銀行共用""), REGEXMATCH(F3788, ""Ben帳戶|Elsa帳戶|Ben代墊|Ariel代墊|中信銀行共用"")), ""內部轉帳(忽略)"",
  AND(E3788&lt;&gt;"""", F3788&lt;&gt;"""", N"&amp;"OT(REGEXMATCH(C3788, ""薪資""))), ""內部轉帳(忽略)"",
  REGEXMATCH(C3788, ""薪資""), ""薪資變動(不計入)"",
  REGEXMATCH(C3788, ""押金""), ""押金往來"",
  AND(E3788&lt;&gt;"""", F3788=""""), ""真實支出"",
  AND(E3788="""", F3788&lt;&gt;""""), ""真實收入"",
  TRUE, ""其他""
)"),"其他")</f>
        <v>其他</v>
      </c>
      <c r="K3788" s="270" t="str">
        <f t="shared" si="2"/>
        <v/>
      </c>
      <c r="L3788">
        <f t="shared" si="3"/>
        <v>0</v>
      </c>
    </row>
    <row r="3789">
      <c r="A3789" s="107"/>
      <c r="D3789" s="270"/>
      <c r="H3789" s="106" t="str">
        <f t="shared" si="1"/>
        <v/>
      </c>
      <c r="I3789" s="271" t="str">
        <f>IFERROR(__xludf.DUMMYFUNCTION("""COMPUTED_VALUE"""),"")</f>
        <v/>
      </c>
      <c r="J3789" t="str">
        <f>IFERROR(__xludf.DUMMYFUNCTION("IFS(
  AND(REGEXMATCH(E3789, ""台銀籌備帳戶|玉山帳戶""), REGEXMATCH(C3789, ""薪資"")), ""分潤支出"",
  AND(REGEXMATCH(E3789, ""Ben帳戶|Elsa帳戶|Ben代墊|Ariel代墊|中信銀行共用""), REGEXMATCH(F3789, ""Ben帳戶|Elsa帳戶|Ben代墊|Ariel代墊|中信銀行共用"")), ""內部轉帳(忽略)"",
  AND(E3789&lt;&gt;"""", F3789&lt;&gt;"""", N"&amp;"OT(REGEXMATCH(C3789, ""薪資""))), ""內部轉帳(忽略)"",
  REGEXMATCH(C3789, ""薪資""), ""薪資變動(不計入)"",
  REGEXMATCH(C3789, ""押金""), ""押金往來"",
  AND(E3789&lt;&gt;"""", F3789=""""), ""真實支出"",
  AND(E3789="""", F3789&lt;&gt;""""), ""真實收入"",
  TRUE, ""其他""
)"),"其他")</f>
        <v>其他</v>
      </c>
      <c r="K3789" s="270" t="str">
        <f t="shared" si="2"/>
        <v/>
      </c>
      <c r="L3789">
        <f t="shared" si="3"/>
        <v>0</v>
      </c>
    </row>
    <row r="3790">
      <c r="A3790" s="107"/>
      <c r="D3790" s="270"/>
      <c r="H3790" s="106" t="str">
        <f t="shared" si="1"/>
        <v/>
      </c>
      <c r="I3790" s="271" t="str">
        <f>IFERROR(__xludf.DUMMYFUNCTION("""COMPUTED_VALUE"""),"")</f>
        <v/>
      </c>
      <c r="J3790" t="str">
        <f>IFERROR(__xludf.DUMMYFUNCTION("IFS(
  AND(REGEXMATCH(E3790, ""台銀籌備帳戶|玉山帳戶""), REGEXMATCH(C3790, ""薪資"")), ""分潤支出"",
  AND(REGEXMATCH(E3790, ""Ben帳戶|Elsa帳戶|Ben代墊|Ariel代墊|中信銀行共用""), REGEXMATCH(F3790, ""Ben帳戶|Elsa帳戶|Ben代墊|Ariel代墊|中信銀行共用"")), ""內部轉帳(忽略)"",
  AND(E3790&lt;&gt;"""", F3790&lt;&gt;"""", N"&amp;"OT(REGEXMATCH(C3790, ""薪資""))), ""內部轉帳(忽略)"",
  REGEXMATCH(C3790, ""薪資""), ""薪資變動(不計入)"",
  REGEXMATCH(C3790, ""押金""), ""押金往來"",
  AND(E3790&lt;&gt;"""", F3790=""""), ""真實支出"",
  AND(E3790="""", F3790&lt;&gt;""""), ""真實收入"",
  TRUE, ""其他""
)"),"其他")</f>
        <v>其他</v>
      </c>
      <c r="K3790" s="270" t="str">
        <f t="shared" si="2"/>
        <v/>
      </c>
      <c r="L3790">
        <f t="shared" si="3"/>
        <v>0</v>
      </c>
    </row>
    <row r="3791">
      <c r="A3791" s="107"/>
      <c r="D3791" s="270"/>
      <c r="H3791" s="106" t="str">
        <f t="shared" si="1"/>
        <v/>
      </c>
      <c r="I3791" s="271" t="str">
        <f>IFERROR(__xludf.DUMMYFUNCTION("""COMPUTED_VALUE"""),"")</f>
        <v/>
      </c>
      <c r="J3791" t="str">
        <f>IFERROR(__xludf.DUMMYFUNCTION("IFS(
  AND(REGEXMATCH(E3791, ""台銀籌備帳戶|玉山帳戶""), REGEXMATCH(C3791, ""薪資"")), ""分潤支出"",
  AND(REGEXMATCH(E3791, ""Ben帳戶|Elsa帳戶|Ben代墊|Ariel代墊|中信銀行共用""), REGEXMATCH(F3791, ""Ben帳戶|Elsa帳戶|Ben代墊|Ariel代墊|中信銀行共用"")), ""內部轉帳(忽略)"",
  AND(E3791&lt;&gt;"""", F3791&lt;&gt;"""", N"&amp;"OT(REGEXMATCH(C3791, ""薪資""))), ""內部轉帳(忽略)"",
  REGEXMATCH(C3791, ""薪資""), ""薪資變動(不計入)"",
  REGEXMATCH(C3791, ""押金""), ""押金往來"",
  AND(E3791&lt;&gt;"""", F3791=""""), ""真實支出"",
  AND(E3791="""", F3791&lt;&gt;""""), ""真實收入"",
  TRUE, ""其他""
)"),"其他")</f>
        <v>其他</v>
      </c>
      <c r="K3791" s="270" t="str">
        <f t="shared" si="2"/>
        <v/>
      </c>
      <c r="L3791">
        <f t="shared" si="3"/>
        <v>0</v>
      </c>
    </row>
    <row r="3792">
      <c r="A3792" s="107"/>
      <c r="D3792" s="270"/>
      <c r="H3792" s="106" t="str">
        <f t="shared" si="1"/>
        <v/>
      </c>
      <c r="I3792" s="271" t="str">
        <f>IFERROR(__xludf.DUMMYFUNCTION("""COMPUTED_VALUE"""),"")</f>
        <v/>
      </c>
      <c r="J3792" t="str">
        <f>IFERROR(__xludf.DUMMYFUNCTION("IFS(
  AND(REGEXMATCH(E3792, ""台銀籌備帳戶|玉山帳戶""), REGEXMATCH(C3792, ""薪資"")), ""分潤支出"",
  AND(REGEXMATCH(E3792, ""Ben帳戶|Elsa帳戶|Ben代墊|Ariel代墊|中信銀行共用""), REGEXMATCH(F3792, ""Ben帳戶|Elsa帳戶|Ben代墊|Ariel代墊|中信銀行共用"")), ""內部轉帳(忽略)"",
  AND(E3792&lt;&gt;"""", F3792&lt;&gt;"""", N"&amp;"OT(REGEXMATCH(C3792, ""薪資""))), ""內部轉帳(忽略)"",
  REGEXMATCH(C3792, ""薪資""), ""薪資變動(不計入)"",
  REGEXMATCH(C3792, ""押金""), ""押金往來"",
  AND(E3792&lt;&gt;"""", F3792=""""), ""真實支出"",
  AND(E3792="""", F3792&lt;&gt;""""), ""真實收入"",
  TRUE, ""其他""
)"),"其他")</f>
        <v>其他</v>
      </c>
      <c r="K3792" s="270" t="str">
        <f t="shared" si="2"/>
        <v/>
      </c>
      <c r="L3792">
        <f t="shared" si="3"/>
        <v>0</v>
      </c>
    </row>
    <row r="3793">
      <c r="A3793" s="107"/>
      <c r="D3793" s="270"/>
      <c r="H3793" s="106" t="str">
        <f t="shared" si="1"/>
        <v/>
      </c>
      <c r="I3793" s="271" t="str">
        <f>IFERROR(__xludf.DUMMYFUNCTION("""COMPUTED_VALUE"""),"")</f>
        <v/>
      </c>
      <c r="J3793" t="str">
        <f>IFERROR(__xludf.DUMMYFUNCTION("IFS(
  AND(REGEXMATCH(E3793, ""台銀籌備帳戶|玉山帳戶""), REGEXMATCH(C3793, ""薪資"")), ""分潤支出"",
  AND(REGEXMATCH(E3793, ""Ben帳戶|Elsa帳戶|Ben代墊|Ariel代墊|中信銀行共用""), REGEXMATCH(F3793, ""Ben帳戶|Elsa帳戶|Ben代墊|Ariel代墊|中信銀行共用"")), ""內部轉帳(忽略)"",
  AND(E3793&lt;&gt;"""", F3793&lt;&gt;"""", N"&amp;"OT(REGEXMATCH(C3793, ""薪資""))), ""內部轉帳(忽略)"",
  REGEXMATCH(C3793, ""薪資""), ""薪資變動(不計入)"",
  REGEXMATCH(C3793, ""押金""), ""押金往來"",
  AND(E3793&lt;&gt;"""", F3793=""""), ""真實支出"",
  AND(E3793="""", F3793&lt;&gt;""""), ""真實收入"",
  TRUE, ""其他""
)"),"其他")</f>
        <v>其他</v>
      </c>
      <c r="K3793" s="270" t="str">
        <f t="shared" si="2"/>
        <v/>
      </c>
      <c r="L3793">
        <f t="shared" si="3"/>
        <v>0</v>
      </c>
    </row>
    <row r="3794">
      <c r="A3794" s="107"/>
      <c r="D3794" s="270"/>
      <c r="H3794" s="106" t="str">
        <f t="shared" si="1"/>
        <v/>
      </c>
      <c r="I3794" s="271" t="str">
        <f>IFERROR(__xludf.DUMMYFUNCTION("""COMPUTED_VALUE"""),"")</f>
        <v/>
      </c>
      <c r="J3794" t="str">
        <f>IFERROR(__xludf.DUMMYFUNCTION("IFS(
  AND(REGEXMATCH(E3794, ""台銀籌備帳戶|玉山帳戶""), REGEXMATCH(C3794, ""薪資"")), ""分潤支出"",
  AND(REGEXMATCH(E3794, ""Ben帳戶|Elsa帳戶|Ben代墊|Ariel代墊|中信銀行共用""), REGEXMATCH(F3794, ""Ben帳戶|Elsa帳戶|Ben代墊|Ariel代墊|中信銀行共用"")), ""內部轉帳(忽略)"",
  AND(E3794&lt;&gt;"""", F3794&lt;&gt;"""", N"&amp;"OT(REGEXMATCH(C3794, ""薪資""))), ""內部轉帳(忽略)"",
  REGEXMATCH(C3794, ""薪資""), ""薪資變動(不計入)"",
  REGEXMATCH(C3794, ""押金""), ""押金往來"",
  AND(E3794&lt;&gt;"""", F3794=""""), ""真實支出"",
  AND(E3794="""", F3794&lt;&gt;""""), ""真實收入"",
  TRUE, ""其他""
)"),"其他")</f>
        <v>其他</v>
      </c>
      <c r="K3794" s="270" t="str">
        <f t="shared" si="2"/>
        <v/>
      </c>
      <c r="L3794">
        <f t="shared" si="3"/>
        <v>0</v>
      </c>
    </row>
    <row r="3795">
      <c r="A3795" s="107"/>
      <c r="D3795" s="270"/>
      <c r="H3795" s="106" t="str">
        <f t="shared" si="1"/>
        <v/>
      </c>
      <c r="I3795" s="271" t="str">
        <f>IFERROR(__xludf.DUMMYFUNCTION("""COMPUTED_VALUE"""),"")</f>
        <v/>
      </c>
      <c r="J3795" t="str">
        <f>IFERROR(__xludf.DUMMYFUNCTION("IFS(
  AND(REGEXMATCH(E3795, ""台銀籌備帳戶|玉山帳戶""), REGEXMATCH(C3795, ""薪資"")), ""分潤支出"",
  AND(REGEXMATCH(E3795, ""Ben帳戶|Elsa帳戶|Ben代墊|Ariel代墊|中信銀行共用""), REGEXMATCH(F3795, ""Ben帳戶|Elsa帳戶|Ben代墊|Ariel代墊|中信銀行共用"")), ""內部轉帳(忽略)"",
  AND(E3795&lt;&gt;"""", F3795&lt;&gt;"""", N"&amp;"OT(REGEXMATCH(C3795, ""薪資""))), ""內部轉帳(忽略)"",
  REGEXMATCH(C3795, ""薪資""), ""薪資變動(不計入)"",
  REGEXMATCH(C3795, ""押金""), ""押金往來"",
  AND(E3795&lt;&gt;"""", F3795=""""), ""真實支出"",
  AND(E3795="""", F3795&lt;&gt;""""), ""真實收入"",
  TRUE, ""其他""
)"),"其他")</f>
        <v>其他</v>
      </c>
      <c r="K3795" s="270" t="str">
        <f t="shared" si="2"/>
        <v/>
      </c>
      <c r="L3795">
        <f t="shared" si="3"/>
        <v>0</v>
      </c>
    </row>
    <row r="3796">
      <c r="A3796" s="107"/>
      <c r="D3796" s="270"/>
      <c r="H3796" s="106" t="str">
        <f t="shared" si="1"/>
        <v/>
      </c>
      <c r="I3796" s="271" t="str">
        <f>IFERROR(__xludf.DUMMYFUNCTION("""COMPUTED_VALUE"""),"")</f>
        <v/>
      </c>
      <c r="J3796" t="str">
        <f>IFERROR(__xludf.DUMMYFUNCTION("IFS(
  AND(REGEXMATCH(E3796, ""台銀籌備帳戶|玉山帳戶""), REGEXMATCH(C3796, ""薪資"")), ""分潤支出"",
  AND(REGEXMATCH(E3796, ""Ben帳戶|Elsa帳戶|Ben代墊|Ariel代墊|中信銀行共用""), REGEXMATCH(F3796, ""Ben帳戶|Elsa帳戶|Ben代墊|Ariel代墊|中信銀行共用"")), ""內部轉帳(忽略)"",
  AND(E3796&lt;&gt;"""", F3796&lt;&gt;"""", N"&amp;"OT(REGEXMATCH(C3796, ""薪資""))), ""內部轉帳(忽略)"",
  REGEXMATCH(C3796, ""薪資""), ""薪資變動(不計入)"",
  REGEXMATCH(C3796, ""押金""), ""押金往來"",
  AND(E3796&lt;&gt;"""", F3796=""""), ""真實支出"",
  AND(E3796="""", F3796&lt;&gt;""""), ""真實收入"",
  TRUE, ""其他""
)"),"其他")</f>
        <v>其他</v>
      </c>
      <c r="K3796" s="270" t="str">
        <f t="shared" si="2"/>
        <v/>
      </c>
      <c r="L3796">
        <f t="shared" si="3"/>
        <v>0</v>
      </c>
    </row>
    <row r="3797">
      <c r="A3797" s="107"/>
      <c r="D3797" s="270"/>
      <c r="H3797" s="106" t="str">
        <f t="shared" si="1"/>
        <v/>
      </c>
      <c r="I3797" s="271" t="str">
        <f>IFERROR(__xludf.DUMMYFUNCTION("""COMPUTED_VALUE"""),"")</f>
        <v/>
      </c>
      <c r="J3797" t="str">
        <f>IFERROR(__xludf.DUMMYFUNCTION("IFS(
  AND(REGEXMATCH(E3797, ""台銀籌備帳戶|玉山帳戶""), REGEXMATCH(C3797, ""薪資"")), ""分潤支出"",
  AND(REGEXMATCH(E3797, ""Ben帳戶|Elsa帳戶|Ben代墊|Ariel代墊|中信銀行共用""), REGEXMATCH(F3797, ""Ben帳戶|Elsa帳戶|Ben代墊|Ariel代墊|中信銀行共用"")), ""內部轉帳(忽略)"",
  AND(E3797&lt;&gt;"""", F3797&lt;&gt;"""", N"&amp;"OT(REGEXMATCH(C3797, ""薪資""))), ""內部轉帳(忽略)"",
  REGEXMATCH(C3797, ""薪資""), ""薪資變動(不計入)"",
  REGEXMATCH(C3797, ""押金""), ""押金往來"",
  AND(E3797&lt;&gt;"""", F3797=""""), ""真實支出"",
  AND(E3797="""", F3797&lt;&gt;""""), ""真實收入"",
  TRUE, ""其他""
)"),"其他")</f>
        <v>其他</v>
      </c>
      <c r="K3797" s="270" t="str">
        <f t="shared" si="2"/>
        <v/>
      </c>
      <c r="L3797">
        <f t="shared" si="3"/>
        <v>0</v>
      </c>
    </row>
    <row r="3798">
      <c r="A3798" s="107"/>
      <c r="D3798" s="270"/>
      <c r="H3798" s="106" t="str">
        <f t="shared" si="1"/>
        <v/>
      </c>
      <c r="I3798" s="271" t="str">
        <f>IFERROR(__xludf.DUMMYFUNCTION("""COMPUTED_VALUE"""),"")</f>
        <v/>
      </c>
      <c r="J3798" t="str">
        <f>IFERROR(__xludf.DUMMYFUNCTION("IFS(
  AND(REGEXMATCH(E3798, ""台銀籌備帳戶|玉山帳戶""), REGEXMATCH(C3798, ""薪資"")), ""分潤支出"",
  AND(REGEXMATCH(E3798, ""Ben帳戶|Elsa帳戶|Ben代墊|Ariel代墊|中信銀行共用""), REGEXMATCH(F3798, ""Ben帳戶|Elsa帳戶|Ben代墊|Ariel代墊|中信銀行共用"")), ""內部轉帳(忽略)"",
  AND(E3798&lt;&gt;"""", F3798&lt;&gt;"""", N"&amp;"OT(REGEXMATCH(C3798, ""薪資""))), ""內部轉帳(忽略)"",
  REGEXMATCH(C3798, ""薪資""), ""薪資變動(不計入)"",
  REGEXMATCH(C3798, ""押金""), ""押金往來"",
  AND(E3798&lt;&gt;"""", F3798=""""), ""真實支出"",
  AND(E3798="""", F3798&lt;&gt;""""), ""真實收入"",
  TRUE, ""其他""
)"),"其他")</f>
        <v>其他</v>
      </c>
      <c r="K3798" s="270" t="str">
        <f t="shared" si="2"/>
        <v/>
      </c>
      <c r="L3798">
        <f t="shared" si="3"/>
        <v>0</v>
      </c>
    </row>
    <row r="3799">
      <c r="A3799" s="107"/>
      <c r="D3799" s="270"/>
      <c r="H3799" s="106" t="str">
        <f t="shared" si="1"/>
        <v/>
      </c>
      <c r="I3799" s="271" t="str">
        <f>IFERROR(__xludf.DUMMYFUNCTION("""COMPUTED_VALUE"""),"")</f>
        <v/>
      </c>
      <c r="J3799" t="str">
        <f>IFERROR(__xludf.DUMMYFUNCTION("IFS(
  AND(REGEXMATCH(E3799, ""台銀籌備帳戶|玉山帳戶""), REGEXMATCH(C3799, ""薪資"")), ""分潤支出"",
  AND(REGEXMATCH(E3799, ""Ben帳戶|Elsa帳戶|Ben代墊|Ariel代墊|中信銀行共用""), REGEXMATCH(F3799, ""Ben帳戶|Elsa帳戶|Ben代墊|Ariel代墊|中信銀行共用"")), ""內部轉帳(忽略)"",
  AND(E3799&lt;&gt;"""", F3799&lt;&gt;"""", N"&amp;"OT(REGEXMATCH(C3799, ""薪資""))), ""內部轉帳(忽略)"",
  REGEXMATCH(C3799, ""薪資""), ""薪資變動(不計入)"",
  REGEXMATCH(C3799, ""押金""), ""押金往來"",
  AND(E3799&lt;&gt;"""", F3799=""""), ""真實支出"",
  AND(E3799="""", F3799&lt;&gt;""""), ""真實收入"",
  TRUE, ""其他""
)"),"其他")</f>
        <v>其他</v>
      </c>
      <c r="K3799" s="270" t="str">
        <f t="shared" si="2"/>
        <v/>
      </c>
      <c r="L3799">
        <f t="shared" si="3"/>
        <v>0</v>
      </c>
    </row>
    <row r="3800">
      <c r="A3800" s="107"/>
      <c r="D3800" s="270"/>
      <c r="H3800" s="106" t="str">
        <f t="shared" si="1"/>
        <v/>
      </c>
      <c r="I3800" s="271" t="str">
        <f>IFERROR(__xludf.DUMMYFUNCTION("""COMPUTED_VALUE"""),"")</f>
        <v/>
      </c>
      <c r="J3800" t="str">
        <f>IFERROR(__xludf.DUMMYFUNCTION("IFS(
  AND(REGEXMATCH(E3800, ""台銀籌備帳戶|玉山帳戶""), REGEXMATCH(C3800, ""薪資"")), ""分潤支出"",
  AND(REGEXMATCH(E3800, ""Ben帳戶|Elsa帳戶|Ben代墊|Ariel代墊|中信銀行共用""), REGEXMATCH(F3800, ""Ben帳戶|Elsa帳戶|Ben代墊|Ariel代墊|中信銀行共用"")), ""內部轉帳(忽略)"",
  AND(E3800&lt;&gt;"""", F3800&lt;&gt;"""", N"&amp;"OT(REGEXMATCH(C3800, ""薪資""))), ""內部轉帳(忽略)"",
  REGEXMATCH(C3800, ""薪資""), ""薪資變動(不計入)"",
  REGEXMATCH(C3800, ""押金""), ""押金往來"",
  AND(E3800&lt;&gt;"""", F3800=""""), ""真實支出"",
  AND(E3800="""", F3800&lt;&gt;""""), ""真實收入"",
  TRUE, ""其他""
)"),"其他")</f>
        <v>其他</v>
      </c>
      <c r="K3800" s="270" t="str">
        <f t="shared" si="2"/>
        <v/>
      </c>
      <c r="L3800">
        <f t="shared" si="3"/>
        <v>0</v>
      </c>
    </row>
    <row r="3801">
      <c r="A3801" s="107"/>
      <c r="D3801" s="270"/>
      <c r="H3801" s="106" t="str">
        <f t="shared" si="1"/>
        <v/>
      </c>
      <c r="I3801" s="271" t="str">
        <f>IFERROR(__xludf.DUMMYFUNCTION("""COMPUTED_VALUE"""),"")</f>
        <v/>
      </c>
      <c r="J3801" t="str">
        <f>IFERROR(__xludf.DUMMYFUNCTION("IFS(
  AND(REGEXMATCH(E3801, ""台銀籌備帳戶|玉山帳戶""), REGEXMATCH(C3801, ""薪資"")), ""分潤支出"",
  AND(REGEXMATCH(E3801, ""Ben帳戶|Elsa帳戶|Ben代墊|Ariel代墊|中信銀行共用""), REGEXMATCH(F3801, ""Ben帳戶|Elsa帳戶|Ben代墊|Ariel代墊|中信銀行共用"")), ""內部轉帳(忽略)"",
  AND(E3801&lt;&gt;"""", F3801&lt;&gt;"""", N"&amp;"OT(REGEXMATCH(C3801, ""薪資""))), ""內部轉帳(忽略)"",
  REGEXMATCH(C3801, ""薪資""), ""薪資變動(不計入)"",
  REGEXMATCH(C3801, ""押金""), ""押金往來"",
  AND(E3801&lt;&gt;"""", F3801=""""), ""真實支出"",
  AND(E3801="""", F3801&lt;&gt;""""), ""真實收入"",
  TRUE, ""其他""
)"),"其他")</f>
        <v>其他</v>
      </c>
      <c r="K3801" s="270" t="str">
        <f t="shared" si="2"/>
        <v/>
      </c>
      <c r="L3801">
        <f t="shared" si="3"/>
        <v>0</v>
      </c>
    </row>
    <row r="3802">
      <c r="A3802" s="107"/>
      <c r="D3802" s="270"/>
      <c r="H3802" s="106" t="str">
        <f t="shared" si="1"/>
        <v/>
      </c>
      <c r="I3802" s="271" t="str">
        <f>IFERROR(__xludf.DUMMYFUNCTION("""COMPUTED_VALUE"""),"")</f>
        <v/>
      </c>
      <c r="J3802" t="str">
        <f>IFERROR(__xludf.DUMMYFUNCTION("IFS(
  AND(REGEXMATCH(E3802, ""台銀籌備帳戶|玉山帳戶""), REGEXMATCH(C3802, ""薪資"")), ""分潤支出"",
  AND(REGEXMATCH(E3802, ""Ben帳戶|Elsa帳戶|Ben代墊|Ariel代墊|中信銀行共用""), REGEXMATCH(F3802, ""Ben帳戶|Elsa帳戶|Ben代墊|Ariel代墊|中信銀行共用"")), ""內部轉帳(忽略)"",
  AND(E3802&lt;&gt;"""", F3802&lt;&gt;"""", N"&amp;"OT(REGEXMATCH(C3802, ""薪資""))), ""內部轉帳(忽略)"",
  REGEXMATCH(C3802, ""薪資""), ""薪資變動(不計入)"",
  REGEXMATCH(C3802, ""押金""), ""押金往來"",
  AND(E3802&lt;&gt;"""", F3802=""""), ""真實支出"",
  AND(E3802="""", F3802&lt;&gt;""""), ""真實收入"",
  TRUE, ""其他""
)"),"其他")</f>
        <v>其他</v>
      </c>
      <c r="K3802" s="270" t="str">
        <f t="shared" si="2"/>
        <v/>
      </c>
      <c r="L3802">
        <f t="shared" si="3"/>
        <v>0</v>
      </c>
    </row>
    <row r="3803">
      <c r="A3803" s="107"/>
      <c r="D3803" s="270"/>
      <c r="H3803" s="106" t="str">
        <f t="shared" si="1"/>
        <v/>
      </c>
      <c r="I3803" s="271" t="str">
        <f>IFERROR(__xludf.DUMMYFUNCTION("""COMPUTED_VALUE"""),"")</f>
        <v/>
      </c>
      <c r="J3803" t="str">
        <f>IFERROR(__xludf.DUMMYFUNCTION("IFS(
  AND(REGEXMATCH(E3803, ""台銀籌備帳戶|玉山帳戶""), REGEXMATCH(C3803, ""薪資"")), ""分潤支出"",
  AND(REGEXMATCH(E3803, ""Ben帳戶|Elsa帳戶|Ben代墊|Ariel代墊|中信銀行共用""), REGEXMATCH(F3803, ""Ben帳戶|Elsa帳戶|Ben代墊|Ariel代墊|中信銀行共用"")), ""內部轉帳(忽略)"",
  AND(E3803&lt;&gt;"""", F3803&lt;&gt;"""", N"&amp;"OT(REGEXMATCH(C3803, ""薪資""))), ""內部轉帳(忽略)"",
  REGEXMATCH(C3803, ""薪資""), ""薪資變動(不計入)"",
  REGEXMATCH(C3803, ""押金""), ""押金往來"",
  AND(E3803&lt;&gt;"""", F3803=""""), ""真實支出"",
  AND(E3803="""", F3803&lt;&gt;""""), ""真實收入"",
  TRUE, ""其他""
)"),"其他")</f>
        <v>其他</v>
      </c>
      <c r="K3803" s="270" t="str">
        <f t="shared" si="2"/>
        <v/>
      </c>
      <c r="L3803">
        <f t="shared" si="3"/>
        <v>0</v>
      </c>
    </row>
    <row r="3804">
      <c r="A3804" s="107"/>
      <c r="D3804" s="270"/>
      <c r="H3804" s="106" t="str">
        <f t="shared" si="1"/>
        <v/>
      </c>
      <c r="I3804" s="271" t="str">
        <f>IFERROR(__xludf.DUMMYFUNCTION("""COMPUTED_VALUE"""),"")</f>
        <v/>
      </c>
      <c r="J3804" t="str">
        <f>IFERROR(__xludf.DUMMYFUNCTION("IFS(
  AND(REGEXMATCH(E3804, ""台銀籌備帳戶|玉山帳戶""), REGEXMATCH(C3804, ""薪資"")), ""分潤支出"",
  AND(REGEXMATCH(E3804, ""Ben帳戶|Elsa帳戶|Ben代墊|Ariel代墊|中信銀行共用""), REGEXMATCH(F3804, ""Ben帳戶|Elsa帳戶|Ben代墊|Ariel代墊|中信銀行共用"")), ""內部轉帳(忽略)"",
  AND(E3804&lt;&gt;"""", F3804&lt;&gt;"""", N"&amp;"OT(REGEXMATCH(C3804, ""薪資""))), ""內部轉帳(忽略)"",
  REGEXMATCH(C3804, ""薪資""), ""薪資變動(不計入)"",
  REGEXMATCH(C3804, ""押金""), ""押金往來"",
  AND(E3804&lt;&gt;"""", F3804=""""), ""真實支出"",
  AND(E3804="""", F3804&lt;&gt;""""), ""真實收入"",
  TRUE, ""其他""
)"),"其他")</f>
        <v>其他</v>
      </c>
      <c r="K3804" s="270" t="str">
        <f t="shared" si="2"/>
        <v/>
      </c>
      <c r="L3804">
        <f t="shared" si="3"/>
        <v>0</v>
      </c>
    </row>
    <row r="3805">
      <c r="A3805" s="107"/>
      <c r="D3805" s="270"/>
      <c r="H3805" s="106" t="str">
        <f t="shared" si="1"/>
        <v/>
      </c>
      <c r="I3805" s="271" t="str">
        <f>IFERROR(__xludf.DUMMYFUNCTION("""COMPUTED_VALUE"""),"")</f>
        <v/>
      </c>
      <c r="J3805" t="str">
        <f>IFERROR(__xludf.DUMMYFUNCTION("IFS(
  AND(REGEXMATCH(E3805, ""台銀籌備帳戶|玉山帳戶""), REGEXMATCH(C3805, ""薪資"")), ""分潤支出"",
  AND(REGEXMATCH(E3805, ""Ben帳戶|Elsa帳戶|Ben代墊|Ariel代墊|中信銀行共用""), REGEXMATCH(F3805, ""Ben帳戶|Elsa帳戶|Ben代墊|Ariel代墊|中信銀行共用"")), ""內部轉帳(忽略)"",
  AND(E3805&lt;&gt;"""", F3805&lt;&gt;"""", N"&amp;"OT(REGEXMATCH(C3805, ""薪資""))), ""內部轉帳(忽略)"",
  REGEXMATCH(C3805, ""薪資""), ""薪資變動(不計入)"",
  REGEXMATCH(C3805, ""押金""), ""押金往來"",
  AND(E3805&lt;&gt;"""", F3805=""""), ""真實支出"",
  AND(E3805="""", F3805&lt;&gt;""""), ""真實收入"",
  TRUE, ""其他""
)"),"其他")</f>
        <v>其他</v>
      </c>
      <c r="K3805" s="270" t="str">
        <f t="shared" si="2"/>
        <v/>
      </c>
      <c r="L3805">
        <f t="shared" si="3"/>
        <v>0</v>
      </c>
    </row>
    <row r="3806">
      <c r="A3806" s="107"/>
      <c r="D3806" s="270"/>
      <c r="H3806" s="106" t="str">
        <f t="shared" si="1"/>
        <v/>
      </c>
      <c r="I3806" s="271" t="str">
        <f>IFERROR(__xludf.DUMMYFUNCTION("""COMPUTED_VALUE"""),"")</f>
        <v/>
      </c>
      <c r="J3806" t="str">
        <f>IFERROR(__xludf.DUMMYFUNCTION("IFS(
  AND(REGEXMATCH(E3806, ""台銀籌備帳戶|玉山帳戶""), REGEXMATCH(C3806, ""薪資"")), ""分潤支出"",
  AND(REGEXMATCH(E3806, ""Ben帳戶|Elsa帳戶|Ben代墊|Ariel代墊|中信銀行共用""), REGEXMATCH(F3806, ""Ben帳戶|Elsa帳戶|Ben代墊|Ariel代墊|中信銀行共用"")), ""內部轉帳(忽略)"",
  AND(E3806&lt;&gt;"""", F3806&lt;&gt;"""", N"&amp;"OT(REGEXMATCH(C3806, ""薪資""))), ""內部轉帳(忽略)"",
  REGEXMATCH(C3806, ""薪資""), ""薪資變動(不計入)"",
  REGEXMATCH(C3806, ""押金""), ""押金往來"",
  AND(E3806&lt;&gt;"""", F3806=""""), ""真實支出"",
  AND(E3806="""", F3806&lt;&gt;""""), ""真實收入"",
  TRUE, ""其他""
)"),"其他")</f>
        <v>其他</v>
      </c>
      <c r="K3806" s="270" t="str">
        <f t="shared" si="2"/>
        <v/>
      </c>
      <c r="L3806">
        <f t="shared" si="3"/>
        <v>0</v>
      </c>
    </row>
    <row r="3807">
      <c r="A3807" s="107"/>
      <c r="D3807" s="270"/>
      <c r="H3807" s="106" t="str">
        <f t="shared" si="1"/>
        <v/>
      </c>
      <c r="I3807" s="271" t="str">
        <f>IFERROR(__xludf.DUMMYFUNCTION("""COMPUTED_VALUE"""),"")</f>
        <v/>
      </c>
      <c r="J3807" t="str">
        <f>IFERROR(__xludf.DUMMYFUNCTION("IFS(
  AND(REGEXMATCH(E3807, ""台銀籌備帳戶|玉山帳戶""), REGEXMATCH(C3807, ""薪資"")), ""分潤支出"",
  AND(REGEXMATCH(E3807, ""Ben帳戶|Elsa帳戶|Ben代墊|Ariel代墊|中信銀行共用""), REGEXMATCH(F3807, ""Ben帳戶|Elsa帳戶|Ben代墊|Ariel代墊|中信銀行共用"")), ""內部轉帳(忽略)"",
  AND(E3807&lt;&gt;"""", F3807&lt;&gt;"""", N"&amp;"OT(REGEXMATCH(C3807, ""薪資""))), ""內部轉帳(忽略)"",
  REGEXMATCH(C3807, ""薪資""), ""薪資變動(不計入)"",
  REGEXMATCH(C3807, ""押金""), ""押金往來"",
  AND(E3807&lt;&gt;"""", F3807=""""), ""真實支出"",
  AND(E3807="""", F3807&lt;&gt;""""), ""真實收入"",
  TRUE, ""其他""
)"),"其他")</f>
        <v>其他</v>
      </c>
      <c r="K3807" s="270" t="str">
        <f t="shared" si="2"/>
        <v/>
      </c>
      <c r="L3807">
        <f t="shared" si="3"/>
        <v>0</v>
      </c>
    </row>
    <row r="3808">
      <c r="A3808" s="107"/>
      <c r="D3808" s="270"/>
      <c r="H3808" s="106" t="str">
        <f t="shared" si="1"/>
        <v/>
      </c>
      <c r="I3808" s="271" t="str">
        <f>IFERROR(__xludf.DUMMYFUNCTION("""COMPUTED_VALUE"""),"")</f>
        <v/>
      </c>
      <c r="J3808" t="str">
        <f>IFERROR(__xludf.DUMMYFUNCTION("IFS(
  AND(REGEXMATCH(E3808, ""台銀籌備帳戶|玉山帳戶""), REGEXMATCH(C3808, ""薪資"")), ""分潤支出"",
  AND(REGEXMATCH(E3808, ""Ben帳戶|Elsa帳戶|Ben代墊|Ariel代墊|中信銀行共用""), REGEXMATCH(F3808, ""Ben帳戶|Elsa帳戶|Ben代墊|Ariel代墊|中信銀行共用"")), ""內部轉帳(忽略)"",
  AND(E3808&lt;&gt;"""", F3808&lt;&gt;"""", N"&amp;"OT(REGEXMATCH(C3808, ""薪資""))), ""內部轉帳(忽略)"",
  REGEXMATCH(C3808, ""薪資""), ""薪資變動(不計入)"",
  REGEXMATCH(C3808, ""押金""), ""押金往來"",
  AND(E3808&lt;&gt;"""", F3808=""""), ""真實支出"",
  AND(E3808="""", F3808&lt;&gt;""""), ""真實收入"",
  TRUE, ""其他""
)"),"其他")</f>
        <v>其他</v>
      </c>
      <c r="K3808" s="270" t="str">
        <f t="shared" si="2"/>
        <v/>
      </c>
      <c r="L3808">
        <f t="shared" si="3"/>
        <v>0</v>
      </c>
    </row>
    <row r="3809">
      <c r="A3809" s="107"/>
      <c r="D3809" s="270"/>
      <c r="H3809" s="106" t="str">
        <f t="shared" si="1"/>
        <v/>
      </c>
      <c r="I3809" s="271" t="str">
        <f>IFERROR(__xludf.DUMMYFUNCTION("""COMPUTED_VALUE"""),"")</f>
        <v/>
      </c>
      <c r="J3809" t="str">
        <f>IFERROR(__xludf.DUMMYFUNCTION("IFS(
  AND(REGEXMATCH(E3809, ""台銀籌備帳戶|玉山帳戶""), REGEXMATCH(C3809, ""薪資"")), ""分潤支出"",
  AND(REGEXMATCH(E3809, ""Ben帳戶|Elsa帳戶|Ben代墊|Ariel代墊|中信銀行共用""), REGEXMATCH(F3809, ""Ben帳戶|Elsa帳戶|Ben代墊|Ariel代墊|中信銀行共用"")), ""內部轉帳(忽略)"",
  AND(E3809&lt;&gt;"""", F3809&lt;&gt;"""", N"&amp;"OT(REGEXMATCH(C3809, ""薪資""))), ""內部轉帳(忽略)"",
  REGEXMATCH(C3809, ""薪資""), ""薪資變動(不計入)"",
  REGEXMATCH(C3809, ""押金""), ""押金往來"",
  AND(E3809&lt;&gt;"""", F3809=""""), ""真實支出"",
  AND(E3809="""", F3809&lt;&gt;""""), ""真實收入"",
  TRUE, ""其他""
)"),"其他")</f>
        <v>其他</v>
      </c>
      <c r="K3809" s="270" t="str">
        <f t="shared" si="2"/>
        <v/>
      </c>
      <c r="L3809">
        <f t="shared" si="3"/>
        <v>0</v>
      </c>
    </row>
    <row r="3810">
      <c r="A3810" s="107"/>
      <c r="D3810" s="270"/>
      <c r="H3810" s="106" t="str">
        <f t="shared" si="1"/>
        <v/>
      </c>
      <c r="I3810" s="271" t="str">
        <f>IFERROR(__xludf.DUMMYFUNCTION("""COMPUTED_VALUE"""),"")</f>
        <v/>
      </c>
      <c r="J3810" t="str">
        <f>IFERROR(__xludf.DUMMYFUNCTION("IFS(
  AND(REGEXMATCH(E3810, ""台銀籌備帳戶|玉山帳戶""), REGEXMATCH(C3810, ""薪資"")), ""分潤支出"",
  AND(REGEXMATCH(E3810, ""Ben帳戶|Elsa帳戶|Ben代墊|Ariel代墊|中信銀行共用""), REGEXMATCH(F3810, ""Ben帳戶|Elsa帳戶|Ben代墊|Ariel代墊|中信銀行共用"")), ""內部轉帳(忽略)"",
  AND(E3810&lt;&gt;"""", F3810&lt;&gt;"""", N"&amp;"OT(REGEXMATCH(C3810, ""薪資""))), ""內部轉帳(忽略)"",
  REGEXMATCH(C3810, ""薪資""), ""薪資變動(不計入)"",
  REGEXMATCH(C3810, ""押金""), ""押金往來"",
  AND(E3810&lt;&gt;"""", F3810=""""), ""真實支出"",
  AND(E3810="""", F3810&lt;&gt;""""), ""真實收入"",
  TRUE, ""其他""
)"),"其他")</f>
        <v>其他</v>
      </c>
      <c r="K3810" s="270" t="str">
        <f t="shared" si="2"/>
        <v/>
      </c>
      <c r="L3810">
        <f t="shared" si="3"/>
        <v>0</v>
      </c>
    </row>
    <row r="3811">
      <c r="A3811" s="107"/>
      <c r="D3811" s="270"/>
      <c r="H3811" s="106" t="str">
        <f t="shared" si="1"/>
        <v/>
      </c>
      <c r="I3811" s="271" t="str">
        <f>IFERROR(__xludf.DUMMYFUNCTION("""COMPUTED_VALUE"""),"")</f>
        <v/>
      </c>
      <c r="J3811" t="str">
        <f>IFERROR(__xludf.DUMMYFUNCTION("IFS(
  AND(REGEXMATCH(E3811, ""台銀籌備帳戶|玉山帳戶""), REGEXMATCH(C3811, ""薪資"")), ""分潤支出"",
  AND(REGEXMATCH(E3811, ""Ben帳戶|Elsa帳戶|Ben代墊|Ariel代墊|中信銀行共用""), REGEXMATCH(F3811, ""Ben帳戶|Elsa帳戶|Ben代墊|Ariel代墊|中信銀行共用"")), ""內部轉帳(忽略)"",
  AND(E3811&lt;&gt;"""", F3811&lt;&gt;"""", N"&amp;"OT(REGEXMATCH(C3811, ""薪資""))), ""內部轉帳(忽略)"",
  REGEXMATCH(C3811, ""薪資""), ""薪資變動(不計入)"",
  REGEXMATCH(C3811, ""押金""), ""押金往來"",
  AND(E3811&lt;&gt;"""", F3811=""""), ""真實支出"",
  AND(E3811="""", F3811&lt;&gt;""""), ""真實收入"",
  TRUE, ""其他""
)"),"其他")</f>
        <v>其他</v>
      </c>
      <c r="K3811" s="270" t="str">
        <f t="shared" si="2"/>
        <v/>
      </c>
      <c r="L3811">
        <f t="shared" si="3"/>
        <v>0</v>
      </c>
    </row>
    <row r="3812">
      <c r="A3812" s="107"/>
      <c r="D3812" s="270"/>
      <c r="H3812" s="106" t="str">
        <f t="shared" si="1"/>
        <v/>
      </c>
      <c r="I3812" s="271" t="str">
        <f>IFERROR(__xludf.DUMMYFUNCTION("""COMPUTED_VALUE"""),"")</f>
        <v/>
      </c>
      <c r="J3812" t="str">
        <f>IFERROR(__xludf.DUMMYFUNCTION("IFS(
  AND(REGEXMATCH(E3812, ""台銀籌備帳戶|玉山帳戶""), REGEXMATCH(C3812, ""薪資"")), ""分潤支出"",
  AND(REGEXMATCH(E3812, ""Ben帳戶|Elsa帳戶|Ben代墊|Ariel代墊|中信銀行共用""), REGEXMATCH(F3812, ""Ben帳戶|Elsa帳戶|Ben代墊|Ariel代墊|中信銀行共用"")), ""內部轉帳(忽略)"",
  AND(E3812&lt;&gt;"""", F3812&lt;&gt;"""", N"&amp;"OT(REGEXMATCH(C3812, ""薪資""))), ""內部轉帳(忽略)"",
  REGEXMATCH(C3812, ""薪資""), ""薪資變動(不計入)"",
  REGEXMATCH(C3812, ""押金""), ""押金往來"",
  AND(E3812&lt;&gt;"""", F3812=""""), ""真實支出"",
  AND(E3812="""", F3812&lt;&gt;""""), ""真實收入"",
  TRUE, ""其他""
)"),"其他")</f>
        <v>其他</v>
      </c>
      <c r="K3812" s="270" t="str">
        <f t="shared" si="2"/>
        <v/>
      </c>
      <c r="L3812">
        <f t="shared" si="3"/>
        <v>0</v>
      </c>
    </row>
    <row r="3813">
      <c r="A3813" s="107"/>
      <c r="D3813" s="270"/>
      <c r="H3813" s="106" t="str">
        <f t="shared" si="1"/>
        <v/>
      </c>
      <c r="I3813" s="271" t="str">
        <f>IFERROR(__xludf.DUMMYFUNCTION("""COMPUTED_VALUE"""),"")</f>
        <v/>
      </c>
      <c r="J3813" t="str">
        <f>IFERROR(__xludf.DUMMYFUNCTION("IFS(
  AND(REGEXMATCH(E3813, ""台銀籌備帳戶|玉山帳戶""), REGEXMATCH(C3813, ""薪資"")), ""分潤支出"",
  AND(REGEXMATCH(E3813, ""Ben帳戶|Elsa帳戶|Ben代墊|Ariel代墊|中信銀行共用""), REGEXMATCH(F3813, ""Ben帳戶|Elsa帳戶|Ben代墊|Ariel代墊|中信銀行共用"")), ""內部轉帳(忽略)"",
  AND(E3813&lt;&gt;"""", F3813&lt;&gt;"""", N"&amp;"OT(REGEXMATCH(C3813, ""薪資""))), ""內部轉帳(忽略)"",
  REGEXMATCH(C3813, ""薪資""), ""薪資變動(不計入)"",
  REGEXMATCH(C3813, ""押金""), ""押金往來"",
  AND(E3813&lt;&gt;"""", F3813=""""), ""真實支出"",
  AND(E3813="""", F3813&lt;&gt;""""), ""真實收入"",
  TRUE, ""其他""
)"),"其他")</f>
        <v>其他</v>
      </c>
      <c r="K3813" s="270" t="str">
        <f t="shared" si="2"/>
        <v/>
      </c>
      <c r="L3813">
        <f t="shared" si="3"/>
        <v>0</v>
      </c>
    </row>
    <row r="3814">
      <c r="A3814" s="107"/>
      <c r="D3814" s="270"/>
      <c r="H3814" s="106" t="str">
        <f t="shared" si="1"/>
        <v/>
      </c>
      <c r="I3814" s="271" t="str">
        <f>IFERROR(__xludf.DUMMYFUNCTION("""COMPUTED_VALUE"""),"")</f>
        <v/>
      </c>
      <c r="J3814" t="str">
        <f>IFERROR(__xludf.DUMMYFUNCTION("IFS(
  AND(REGEXMATCH(E3814, ""台銀籌備帳戶|玉山帳戶""), REGEXMATCH(C3814, ""薪資"")), ""分潤支出"",
  AND(REGEXMATCH(E3814, ""Ben帳戶|Elsa帳戶|Ben代墊|Ariel代墊|中信銀行共用""), REGEXMATCH(F3814, ""Ben帳戶|Elsa帳戶|Ben代墊|Ariel代墊|中信銀行共用"")), ""內部轉帳(忽略)"",
  AND(E3814&lt;&gt;"""", F3814&lt;&gt;"""", N"&amp;"OT(REGEXMATCH(C3814, ""薪資""))), ""內部轉帳(忽略)"",
  REGEXMATCH(C3814, ""薪資""), ""薪資變動(不計入)"",
  REGEXMATCH(C3814, ""押金""), ""押金往來"",
  AND(E3814&lt;&gt;"""", F3814=""""), ""真實支出"",
  AND(E3814="""", F3814&lt;&gt;""""), ""真實收入"",
  TRUE, ""其他""
)"),"其他")</f>
        <v>其他</v>
      </c>
      <c r="K3814" s="270" t="str">
        <f t="shared" si="2"/>
        <v/>
      </c>
      <c r="L3814">
        <f t="shared" si="3"/>
        <v>0</v>
      </c>
    </row>
    <row r="3815">
      <c r="A3815" s="107"/>
      <c r="D3815" s="270"/>
      <c r="H3815" s="106" t="str">
        <f t="shared" si="1"/>
        <v/>
      </c>
      <c r="I3815" s="271" t="str">
        <f>IFERROR(__xludf.DUMMYFUNCTION("""COMPUTED_VALUE"""),"")</f>
        <v/>
      </c>
      <c r="J3815" t="str">
        <f>IFERROR(__xludf.DUMMYFUNCTION("IFS(
  AND(REGEXMATCH(E3815, ""台銀籌備帳戶|玉山帳戶""), REGEXMATCH(C3815, ""薪資"")), ""分潤支出"",
  AND(REGEXMATCH(E3815, ""Ben帳戶|Elsa帳戶|Ben代墊|Ariel代墊|中信銀行共用""), REGEXMATCH(F3815, ""Ben帳戶|Elsa帳戶|Ben代墊|Ariel代墊|中信銀行共用"")), ""內部轉帳(忽略)"",
  AND(E3815&lt;&gt;"""", F3815&lt;&gt;"""", N"&amp;"OT(REGEXMATCH(C3815, ""薪資""))), ""內部轉帳(忽略)"",
  REGEXMATCH(C3815, ""薪資""), ""薪資變動(不計入)"",
  REGEXMATCH(C3815, ""押金""), ""押金往來"",
  AND(E3815&lt;&gt;"""", F3815=""""), ""真實支出"",
  AND(E3815="""", F3815&lt;&gt;""""), ""真實收入"",
  TRUE, ""其他""
)"),"其他")</f>
        <v>其他</v>
      </c>
      <c r="K3815" s="270" t="str">
        <f t="shared" si="2"/>
        <v/>
      </c>
      <c r="L3815">
        <f t="shared" si="3"/>
        <v>0</v>
      </c>
    </row>
    <row r="3816">
      <c r="A3816" s="107"/>
      <c r="D3816" s="270"/>
      <c r="H3816" s="106" t="str">
        <f t="shared" si="1"/>
        <v/>
      </c>
      <c r="I3816" s="271" t="str">
        <f>IFERROR(__xludf.DUMMYFUNCTION("""COMPUTED_VALUE"""),"")</f>
        <v/>
      </c>
      <c r="J3816" t="str">
        <f>IFERROR(__xludf.DUMMYFUNCTION("IFS(
  AND(REGEXMATCH(E3816, ""台銀籌備帳戶|玉山帳戶""), REGEXMATCH(C3816, ""薪資"")), ""分潤支出"",
  AND(REGEXMATCH(E3816, ""Ben帳戶|Elsa帳戶|Ben代墊|Ariel代墊|中信銀行共用""), REGEXMATCH(F3816, ""Ben帳戶|Elsa帳戶|Ben代墊|Ariel代墊|中信銀行共用"")), ""內部轉帳(忽略)"",
  AND(E3816&lt;&gt;"""", F3816&lt;&gt;"""", N"&amp;"OT(REGEXMATCH(C3816, ""薪資""))), ""內部轉帳(忽略)"",
  REGEXMATCH(C3816, ""薪資""), ""薪資變動(不計入)"",
  REGEXMATCH(C3816, ""押金""), ""押金往來"",
  AND(E3816&lt;&gt;"""", F3816=""""), ""真實支出"",
  AND(E3816="""", F3816&lt;&gt;""""), ""真實收入"",
  TRUE, ""其他""
)"),"其他")</f>
        <v>其他</v>
      </c>
      <c r="K3816" s="270" t="str">
        <f t="shared" si="2"/>
        <v/>
      </c>
      <c r="L3816">
        <f t="shared" si="3"/>
        <v>0</v>
      </c>
    </row>
    <row r="3817">
      <c r="A3817" s="107"/>
      <c r="D3817" s="270"/>
      <c r="H3817" s="106" t="str">
        <f t="shared" si="1"/>
        <v/>
      </c>
      <c r="I3817" s="271" t="str">
        <f>IFERROR(__xludf.DUMMYFUNCTION("""COMPUTED_VALUE"""),"")</f>
        <v/>
      </c>
      <c r="J3817" t="str">
        <f>IFERROR(__xludf.DUMMYFUNCTION("IFS(
  AND(REGEXMATCH(E3817, ""台銀籌備帳戶|玉山帳戶""), REGEXMATCH(C3817, ""薪資"")), ""分潤支出"",
  AND(REGEXMATCH(E3817, ""Ben帳戶|Elsa帳戶|Ben代墊|Ariel代墊|中信銀行共用""), REGEXMATCH(F3817, ""Ben帳戶|Elsa帳戶|Ben代墊|Ariel代墊|中信銀行共用"")), ""內部轉帳(忽略)"",
  AND(E3817&lt;&gt;"""", F3817&lt;&gt;"""", N"&amp;"OT(REGEXMATCH(C3817, ""薪資""))), ""內部轉帳(忽略)"",
  REGEXMATCH(C3817, ""薪資""), ""薪資變動(不計入)"",
  REGEXMATCH(C3817, ""押金""), ""押金往來"",
  AND(E3817&lt;&gt;"""", F3817=""""), ""真實支出"",
  AND(E3817="""", F3817&lt;&gt;""""), ""真實收入"",
  TRUE, ""其他""
)"),"其他")</f>
        <v>其他</v>
      </c>
      <c r="K3817" s="270" t="str">
        <f t="shared" si="2"/>
        <v/>
      </c>
      <c r="L3817">
        <f t="shared" si="3"/>
        <v>0</v>
      </c>
    </row>
    <row r="3818">
      <c r="A3818" s="107"/>
      <c r="D3818" s="270"/>
      <c r="H3818" s="106" t="str">
        <f t="shared" si="1"/>
        <v/>
      </c>
      <c r="I3818" s="271" t="str">
        <f>IFERROR(__xludf.DUMMYFUNCTION("""COMPUTED_VALUE"""),"")</f>
        <v/>
      </c>
      <c r="J3818" t="str">
        <f>IFERROR(__xludf.DUMMYFUNCTION("IFS(
  AND(REGEXMATCH(E3818, ""台銀籌備帳戶|玉山帳戶""), REGEXMATCH(C3818, ""薪資"")), ""分潤支出"",
  AND(REGEXMATCH(E3818, ""Ben帳戶|Elsa帳戶|Ben代墊|Ariel代墊|中信銀行共用""), REGEXMATCH(F3818, ""Ben帳戶|Elsa帳戶|Ben代墊|Ariel代墊|中信銀行共用"")), ""內部轉帳(忽略)"",
  AND(E3818&lt;&gt;"""", F3818&lt;&gt;"""", N"&amp;"OT(REGEXMATCH(C3818, ""薪資""))), ""內部轉帳(忽略)"",
  REGEXMATCH(C3818, ""薪資""), ""薪資變動(不計入)"",
  REGEXMATCH(C3818, ""押金""), ""押金往來"",
  AND(E3818&lt;&gt;"""", F3818=""""), ""真實支出"",
  AND(E3818="""", F3818&lt;&gt;""""), ""真實收入"",
  TRUE, ""其他""
)"),"其他")</f>
        <v>其他</v>
      </c>
      <c r="K3818" s="270" t="str">
        <f t="shared" si="2"/>
        <v/>
      </c>
      <c r="L3818">
        <f t="shared" si="3"/>
        <v>0</v>
      </c>
    </row>
    <row r="3819">
      <c r="A3819" s="107"/>
      <c r="D3819" s="270"/>
      <c r="H3819" s="106" t="str">
        <f t="shared" si="1"/>
        <v/>
      </c>
      <c r="I3819" s="271" t="str">
        <f>IFERROR(__xludf.DUMMYFUNCTION("""COMPUTED_VALUE"""),"")</f>
        <v/>
      </c>
      <c r="J3819" t="str">
        <f>IFERROR(__xludf.DUMMYFUNCTION("IFS(
  AND(REGEXMATCH(E3819, ""台銀籌備帳戶|玉山帳戶""), REGEXMATCH(C3819, ""薪資"")), ""分潤支出"",
  AND(REGEXMATCH(E3819, ""Ben帳戶|Elsa帳戶|Ben代墊|Ariel代墊|中信銀行共用""), REGEXMATCH(F3819, ""Ben帳戶|Elsa帳戶|Ben代墊|Ariel代墊|中信銀行共用"")), ""內部轉帳(忽略)"",
  AND(E3819&lt;&gt;"""", F3819&lt;&gt;"""", N"&amp;"OT(REGEXMATCH(C3819, ""薪資""))), ""內部轉帳(忽略)"",
  REGEXMATCH(C3819, ""薪資""), ""薪資變動(不計入)"",
  REGEXMATCH(C3819, ""押金""), ""押金往來"",
  AND(E3819&lt;&gt;"""", F3819=""""), ""真實支出"",
  AND(E3819="""", F3819&lt;&gt;""""), ""真實收入"",
  TRUE, ""其他""
)"),"其他")</f>
        <v>其他</v>
      </c>
      <c r="K3819" s="270" t="str">
        <f t="shared" si="2"/>
        <v/>
      </c>
      <c r="L3819">
        <f t="shared" si="3"/>
        <v>0</v>
      </c>
    </row>
    <row r="3820">
      <c r="A3820" s="107"/>
      <c r="D3820" s="270"/>
      <c r="H3820" s="106" t="str">
        <f t="shared" si="1"/>
        <v/>
      </c>
      <c r="I3820" s="271" t="str">
        <f>IFERROR(__xludf.DUMMYFUNCTION("""COMPUTED_VALUE"""),"")</f>
        <v/>
      </c>
      <c r="J3820" t="str">
        <f>IFERROR(__xludf.DUMMYFUNCTION("IFS(
  AND(REGEXMATCH(E3820, ""台銀籌備帳戶|玉山帳戶""), REGEXMATCH(C3820, ""薪資"")), ""分潤支出"",
  AND(REGEXMATCH(E3820, ""Ben帳戶|Elsa帳戶|Ben代墊|Ariel代墊|中信銀行共用""), REGEXMATCH(F3820, ""Ben帳戶|Elsa帳戶|Ben代墊|Ariel代墊|中信銀行共用"")), ""內部轉帳(忽略)"",
  AND(E3820&lt;&gt;"""", F3820&lt;&gt;"""", N"&amp;"OT(REGEXMATCH(C3820, ""薪資""))), ""內部轉帳(忽略)"",
  REGEXMATCH(C3820, ""薪資""), ""薪資變動(不計入)"",
  REGEXMATCH(C3820, ""押金""), ""押金往來"",
  AND(E3820&lt;&gt;"""", F3820=""""), ""真實支出"",
  AND(E3820="""", F3820&lt;&gt;""""), ""真實收入"",
  TRUE, ""其他""
)"),"其他")</f>
        <v>其他</v>
      </c>
      <c r="K3820" s="270" t="str">
        <f t="shared" si="2"/>
        <v/>
      </c>
      <c r="L3820">
        <f t="shared" si="3"/>
        <v>0</v>
      </c>
    </row>
    <row r="3821">
      <c r="A3821" s="107"/>
      <c r="D3821" s="270"/>
      <c r="H3821" s="106" t="str">
        <f t="shared" si="1"/>
        <v/>
      </c>
      <c r="I3821" s="271" t="str">
        <f>IFERROR(__xludf.DUMMYFUNCTION("""COMPUTED_VALUE"""),"")</f>
        <v/>
      </c>
      <c r="J3821" t="str">
        <f>IFERROR(__xludf.DUMMYFUNCTION("IFS(
  AND(REGEXMATCH(E3821, ""台銀籌備帳戶|玉山帳戶""), REGEXMATCH(C3821, ""薪資"")), ""分潤支出"",
  AND(REGEXMATCH(E3821, ""Ben帳戶|Elsa帳戶|Ben代墊|Ariel代墊|中信銀行共用""), REGEXMATCH(F3821, ""Ben帳戶|Elsa帳戶|Ben代墊|Ariel代墊|中信銀行共用"")), ""內部轉帳(忽略)"",
  AND(E3821&lt;&gt;"""", F3821&lt;&gt;"""", N"&amp;"OT(REGEXMATCH(C3821, ""薪資""))), ""內部轉帳(忽略)"",
  REGEXMATCH(C3821, ""薪資""), ""薪資變動(不計入)"",
  REGEXMATCH(C3821, ""押金""), ""押金往來"",
  AND(E3821&lt;&gt;"""", F3821=""""), ""真實支出"",
  AND(E3821="""", F3821&lt;&gt;""""), ""真實收入"",
  TRUE, ""其他""
)"),"其他")</f>
        <v>其他</v>
      </c>
      <c r="K3821" s="270" t="str">
        <f t="shared" si="2"/>
        <v/>
      </c>
      <c r="L3821">
        <f t="shared" si="3"/>
        <v>0</v>
      </c>
    </row>
    <row r="3822">
      <c r="A3822" s="107"/>
      <c r="D3822" s="270"/>
      <c r="H3822" s="106" t="str">
        <f t="shared" si="1"/>
        <v/>
      </c>
      <c r="I3822" s="271" t="str">
        <f>IFERROR(__xludf.DUMMYFUNCTION("""COMPUTED_VALUE"""),"")</f>
        <v/>
      </c>
      <c r="J3822" t="str">
        <f>IFERROR(__xludf.DUMMYFUNCTION("IFS(
  AND(REGEXMATCH(E3822, ""台銀籌備帳戶|玉山帳戶""), REGEXMATCH(C3822, ""薪資"")), ""分潤支出"",
  AND(REGEXMATCH(E3822, ""Ben帳戶|Elsa帳戶|Ben代墊|Ariel代墊|中信銀行共用""), REGEXMATCH(F3822, ""Ben帳戶|Elsa帳戶|Ben代墊|Ariel代墊|中信銀行共用"")), ""內部轉帳(忽略)"",
  AND(E3822&lt;&gt;"""", F3822&lt;&gt;"""", N"&amp;"OT(REGEXMATCH(C3822, ""薪資""))), ""內部轉帳(忽略)"",
  REGEXMATCH(C3822, ""薪資""), ""薪資變動(不計入)"",
  REGEXMATCH(C3822, ""押金""), ""押金往來"",
  AND(E3822&lt;&gt;"""", F3822=""""), ""真實支出"",
  AND(E3822="""", F3822&lt;&gt;""""), ""真實收入"",
  TRUE, ""其他""
)"),"其他")</f>
        <v>其他</v>
      </c>
      <c r="K3822" s="270" t="str">
        <f t="shared" si="2"/>
        <v/>
      </c>
      <c r="L3822">
        <f t="shared" si="3"/>
        <v>0</v>
      </c>
    </row>
    <row r="3823">
      <c r="A3823" s="107"/>
      <c r="D3823" s="270"/>
      <c r="H3823" s="106" t="str">
        <f t="shared" si="1"/>
        <v/>
      </c>
      <c r="I3823" s="271" t="str">
        <f>IFERROR(__xludf.DUMMYFUNCTION("""COMPUTED_VALUE"""),"")</f>
        <v/>
      </c>
      <c r="J3823" t="str">
        <f>IFERROR(__xludf.DUMMYFUNCTION("IFS(
  AND(REGEXMATCH(E3823, ""台銀籌備帳戶|玉山帳戶""), REGEXMATCH(C3823, ""薪資"")), ""分潤支出"",
  AND(REGEXMATCH(E3823, ""Ben帳戶|Elsa帳戶|Ben代墊|Ariel代墊|中信銀行共用""), REGEXMATCH(F3823, ""Ben帳戶|Elsa帳戶|Ben代墊|Ariel代墊|中信銀行共用"")), ""內部轉帳(忽略)"",
  AND(E3823&lt;&gt;"""", F3823&lt;&gt;"""", N"&amp;"OT(REGEXMATCH(C3823, ""薪資""))), ""內部轉帳(忽略)"",
  REGEXMATCH(C3823, ""薪資""), ""薪資變動(不計入)"",
  REGEXMATCH(C3823, ""押金""), ""押金往來"",
  AND(E3823&lt;&gt;"""", F3823=""""), ""真實支出"",
  AND(E3823="""", F3823&lt;&gt;""""), ""真實收入"",
  TRUE, ""其他""
)"),"其他")</f>
        <v>其他</v>
      </c>
      <c r="K3823" s="270" t="str">
        <f t="shared" si="2"/>
        <v/>
      </c>
      <c r="L3823">
        <f t="shared" si="3"/>
        <v>0</v>
      </c>
    </row>
    <row r="3824">
      <c r="A3824" s="107"/>
      <c r="D3824" s="270"/>
      <c r="H3824" s="106" t="str">
        <f t="shared" si="1"/>
        <v/>
      </c>
      <c r="I3824" s="271" t="str">
        <f>IFERROR(__xludf.DUMMYFUNCTION("""COMPUTED_VALUE"""),"")</f>
        <v/>
      </c>
      <c r="J3824" t="str">
        <f>IFERROR(__xludf.DUMMYFUNCTION("IFS(
  AND(REGEXMATCH(E3824, ""台銀籌備帳戶|玉山帳戶""), REGEXMATCH(C3824, ""薪資"")), ""分潤支出"",
  AND(REGEXMATCH(E3824, ""Ben帳戶|Elsa帳戶|Ben代墊|Ariel代墊|中信銀行共用""), REGEXMATCH(F3824, ""Ben帳戶|Elsa帳戶|Ben代墊|Ariel代墊|中信銀行共用"")), ""內部轉帳(忽略)"",
  AND(E3824&lt;&gt;"""", F3824&lt;&gt;"""", N"&amp;"OT(REGEXMATCH(C3824, ""薪資""))), ""內部轉帳(忽略)"",
  REGEXMATCH(C3824, ""薪資""), ""薪資變動(不計入)"",
  REGEXMATCH(C3824, ""押金""), ""押金往來"",
  AND(E3824&lt;&gt;"""", F3824=""""), ""真實支出"",
  AND(E3824="""", F3824&lt;&gt;""""), ""真實收入"",
  TRUE, ""其他""
)"),"其他")</f>
        <v>其他</v>
      </c>
      <c r="K3824" s="270" t="str">
        <f t="shared" si="2"/>
        <v/>
      </c>
      <c r="L3824">
        <f t="shared" si="3"/>
        <v>0</v>
      </c>
    </row>
    <row r="3825">
      <c r="A3825" s="107"/>
      <c r="D3825" s="270"/>
      <c r="H3825" s="106" t="str">
        <f t="shared" si="1"/>
        <v/>
      </c>
      <c r="I3825" s="271" t="str">
        <f>IFERROR(__xludf.DUMMYFUNCTION("""COMPUTED_VALUE"""),"")</f>
        <v/>
      </c>
      <c r="J3825" t="str">
        <f>IFERROR(__xludf.DUMMYFUNCTION("IFS(
  AND(REGEXMATCH(E3825, ""台銀籌備帳戶|玉山帳戶""), REGEXMATCH(C3825, ""薪資"")), ""分潤支出"",
  AND(REGEXMATCH(E3825, ""Ben帳戶|Elsa帳戶|Ben代墊|Ariel代墊|中信銀行共用""), REGEXMATCH(F3825, ""Ben帳戶|Elsa帳戶|Ben代墊|Ariel代墊|中信銀行共用"")), ""內部轉帳(忽略)"",
  AND(E3825&lt;&gt;"""", F3825&lt;&gt;"""", N"&amp;"OT(REGEXMATCH(C3825, ""薪資""))), ""內部轉帳(忽略)"",
  REGEXMATCH(C3825, ""薪資""), ""薪資變動(不計入)"",
  REGEXMATCH(C3825, ""押金""), ""押金往來"",
  AND(E3825&lt;&gt;"""", F3825=""""), ""真實支出"",
  AND(E3825="""", F3825&lt;&gt;""""), ""真實收入"",
  TRUE, ""其他""
)"),"其他")</f>
        <v>其他</v>
      </c>
      <c r="K3825" s="270" t="str">
        <f t="shared" si="2"/>
        <v/>
      </c>
      <c r="L3825">
        <f t="shared" si="3"/>
        <v>0</v>
      </c>
    </row>
    <row r="3826">
      <c r="A3826" s="107"/>
      <c r="D3826" s="270"/>
      <c r="H3826" s="106" t="str">
        <f t="shared" si="1"/>
        <v/>
      </c>
      <c r="I3826" s="271" t="str">
        <f>IFERROR(__xludf.DUMMYFUNCTION("""COMPUTED_VALUE"""),"")</f>
        <v/>
      </c>
      <c r="J3826" t="str">
        <f>IFERROR(__xludf.DUMMYFUNCTION("IFS(
  AND(REGEXMATCH(E3826, ""台銀籌備帳戶|玉山帳戶""), REGEXMATCH(C3826, ""薪資"")), ""分潤支出"",
  AND(REGEXMATCH(E3826, ""Ben帳戶|Elsa帳戶|Ben代墊|Ariel代墊|中信銀行共用""), REGEXMATCH(F3826, ""Ben帳戶|Elsa帳戶|Ben代墊|Ariel代墊|中信銀行共用"")), ""內部轉帳(忽略)"",
  AND(E3826&lt;&gt;"""", F3826&lt;&gt;"""", N"&amp;"OT(REGEXMATCH(C3826, ""薪資""))), ""內部轉帳(忽略)"",
  REGEXMATCH(C3826, ""薪資""), ""薪資變動(不計入)"",
  REGEXMATCH(C3826, ""押金""), ""押金往來"",
  AND(E3826&lt;&gt;"""", F3826=""""), ""真實支出"",
  AND(E3826="""", F3826&lt;&gt;""""), ""真實收入"",
  TRUE, ""其他""
)"),"其他")</f>
        <v>其他</v>
      </c>
      <c r="K3826" s="270" t="str">
        <f t="shared" si="2"/>
        <v/>
      </c>
      <c r="L3826">
        <f t="shared" si="3"/>
        <v>0</v>
      </c>
    </row>
    <row r="3827">
      <c r="A3827" s="107"/>
      <c r="D3827" s="270"/>
      <c r="H3827" s="106" t="str">
        <f t="shared" si="1"/>
        <v/>
      </c>
      <c r="I3827" s="271" t="str">
        <f>IFERROR(__xludf.DUMMYFUNCTION("""COMPUTED_VALUE"""),"")</f>
        <v/>
      </c>
      <c r="J3827" t="str">
        <f>IFERROR(__xludf.DUMMYFUNCTION("IFS(
  AND(REGEXMATCH(E3827, ""台銀籌備帳戶|玉山帳戶""), REGEXMATCH(C3827, ""薪資"")), ""分潤支出"",
  AND(REGEXMATCH(E3827, ""Ben帳戶|Elsa帳戶|Ben代墊|Ariel代墊|中信銀行共用""), REGEXMATCH(F3827, ""Ben帳戶|Elsa帳戶|Ben代墊|Ariel代墊|中信銀行共用"")), ""內部轉帳(忽略)"",
  AND(E3827&lt;&gt;"""", F3827&lt;&gt;"""", N"&amp;"OT(REGEXMATCH(C3827, ""薪資""))), ""內部轉帳(忽略)"",
  REGEXMATCH(C3827, ""薪資""), ""薪資變動(不計入)"",
  REGEXMATCH(C3827, ""押金""), ""押金往來"",
  AND(E3827&lt;&gt;"""", F3827=""""), ""真實支出"",
  AND(E3827="""", F3827&lt;&gt;""""), ""真實收入"",
  TRUE, ""其他""
)"),"其他")</f>
        <v>其他</v>
      </c>
      <c r="K3827" s="270" t="str">
        <f t="shared" si="2"/>
        <v/>
      </c>
      <c r="L3827">
        <f t="shared" si="3"/>
        <v>0</v>
      </c>
    </row>
    <row r="3828">
      <c r="A3828" s="107"/>
      <c r="D3828" s="270"/>
      <c r="H3828" s="106" t="str">
        <f t="shared" si="1"/>
        <v/>
      </c>
      <c r="I3828" s="271" t="str">
        <f>IFERROR(__xludf.DUMMYFUNCTION("""COMPUTED_VALUE"""),"")</f>
        <v/>
      </c>
      <c r="J3828" t="str">
        <f>IFERROR(__xludf.DUMMYFUNCTION("IFS(
  AND(REGEXMATCH(E3828, ""台銀籌備帳戶|玉山帳戶""), REGEXMATCH(C3828, ""薪資"")), ""分潤支出"",
  AND(REGEXMATCH(E3828, ""Ben帳戶|Elsa帳戶|Ben代墊|Ariel代墊|中信銀行共用""), REGEXMATCH(F3828, ""Ben帳戶|Elsa帳戶|Ben代墊|Ariel代墊|中信銀行共用"")), ""內部轉帳(忽略)"",
  AND(E3828&lt;&gt;"""", F3828&lt;&gt;"""", N"&amp;"OT(REGEXMATCH(C3828, ""薪資""))), ""內部轉帳(忽略)"",
  REGEXMATCH(C3828, ""薪資""), ""薪資變動(不計入)"",
  REGEXMATCH(C3828, ""押金""), ""押金往來"",
  AND(E3828&lt;&gt;"""", F3828=""""), ""真實支出"",
  AND(E3828="""", F3828&lt;&gt;""""), ""真實收入"",
  TRUE, ""其他""
)"),"其他")</f>
        <v>其他</v>
      </c>
      <c r="K3828" s="270" t="str">
        <f t="shared" si="2"/>
        <v/>
      </c>
      <c r="L3828">
        <f t="shared" si="3"/>
        <v>0</v>
      </c>
    </row>
    <row r="3829">
      <c r="A3829" s="107"/>
      <c r="D3829" s="270"/>
      <c r="H3829" s="106" t="str">
        <f t="shared" si="1"/>
        <v/>
      </c>
      <c r="I3829" s="271" t="str">
        <f>IFERROR(__xludf.DUMMYFUNCTION("""COMPUTED_VALUE"""),"")</f>
        <v/>
      </c>
      <c r="J3829" t="str">
        <f>IFERROR(__xludf.DUMMYFUNCTION("IFS(
  AND(REGEXMATCH(E3829, ""台銀籌備帳戶|玉山帳戶""), REGEXMATCH(C3829, ""薪資"")), ""分潤支出"",
  AND(REGEXMATCH(E3829, ""Ben帳戶|Elsa帳戶|Ben代墊|Ariel代墊|中信銀行共用""), REGEXMATCH(F3829, ""Ben帳戶|Elsa帳戶|Ben代墊|Ariel代墊|中信銀行共用"")), ""內部轉帳(忽略)"",
  AND(E3829&lt;&gt;"""", F3829&lt;&gt;"""", N"&amp;"OT(REGEXMATCH(C3829, ""薪資""))), ""內部轉帳(忽略)"",
  REGEXMATCH(C3829, ""薪資""), ""薪資變動(不計入)"",
  REGEXMATCH(C3829, ""押金""), ""押金往來"",
  AND(E3829&lt;&gt;"""", F3829=""""), ""真實支出"",
  AND(E3829="""", F3829&lt;&gt;""""), ""真實收入"",
  TRUE, ""其他""
)"),"其他")</f>
        <v>其他</v>
      </c>
      <c r="K3829" s="270" t="str">
        <f t="shared" si="2"/>
        <v/>
      </c>
      <c r="L3829">
        <f t="shared" si="3"/>
        <v>0</v>
      </c>
    </row>
    <row r="3830">
      <c r="A3830" s="107"/>
      <c r="D3830" s="270"/>
      <c r="H3830" s="106" t="str">
        <f t="shared" si="1"/>
        <v/>
      </c>
      <c r="I3830" s="271" t="str">
        <f>IFERROR(__xludf.DUMMYFUNCTION("""COMPUTED_VALUE"""),"")</f>
        <v/>
      </c>
      <c r="J3830" t="str">
        <f>IFERROR(__xludf.DUMMYFUNCTION("IFS(
  AND(REGEXMATCH(E3830, ""台銀籌備帳戶|玉山帳戶""), REGEXMATCH(C3830, ""薪資"")), ""分潤支出"",
  AND(REGEXMATCH(E3830, ""Ben帳戶|Elsa帳戶|Ben代墊|Ariel代墊|中信銀行共用""), REGEXMATCH(F3830, ""Ben帳戶|Elsa帳戶|Ben代墊|Ariel代墊|中信銀行共用"")), ""內部轉帳(忽略)"",
  AND(E3830&lt;&gt;"""", F3830&lt;&gt;"""", N"&amp;"OT(REGEXMATCH(C3830, ""薪資""))), ""內部轉帳(忽略)"",
  REGEXMATCH(C3830, ""薪資""), ""薪資變動(不計入)"",
  REGEXMATCH(C3830, ""押金""), ""押金往來"",
  AND(E3830&lt;&gt;"""", F3830=""""), ""真實支出"",
  AND(E3830="""", F3830&lt;&gt;""""), ""真實收入"",
  TRUE, ""其他""
)"),"其他")</f>
        <v>其他</v>
      </c>
      <c r="K3830" s="270" t="str">
        <f t="shared" si="2"/>
        <v/>
      </c>
      <c r="L3830">
        <f t="shared" si="3"/>
        <v>0</v>
      </c>
    </row>
    <row r="3831">
      <c r="A3831" s="107"/>
      <c r="D3831" s="270"/>
      <c r="H3831" s="106" t="str">
        <f t="shared" si="1"/>
        <v/>
      </c>
      <c r="I3831" s="271" t="str">
        <f>IFERROR(__xludf.DUMMYFUNCTION("""COMPUTED_VALUE"""),"")</f>
        <v/>
      </c>
      <c r="J3831" t="str">
        <f>IFERROR(__xludf.DUMMYFUNCTION("IFS(
  AND(REGEXMATCH(E3831, ""台銀籌備帳戶|玉山帳戶""), REGEXMATCH(C3831, ""薪資"")), ""分潤支出"",
  AND(REGEXMATCH(E3831, ""Ben帳戶|Elsa帳戶|Ben代墊|Ariel代墊|中信銀行共用""), REGEXMATCH(F3831, ""Ben帳戶|Elsa帳戶|Ben代墊|Ariel代墊|中信銀行共用"")), ""內部轉帳(忽略)"",
  AND(E3831&lt;&gt;"""", F3831&lt;&gt;"""", N"&amp;"OT(REGEXMATCH(C3831, ""薪資""))), ""內部轉帳(忽略)"",
  REGEXMATCH(C3831, ""薪資""), ""薪資變動(不計入)"",
  REGEXMATCH(C3831, ""押金""), ""押金往來"",
  AND(E3831&lt;&gt;"""", F3831=""""), ""真實支出"",
  AND(E3831="""", F3831&lt;&gt;""""), ""真實收入"",
  TRUE, ""其他""
)"),"其他")</f>
        <v>其他</v>
      </c>
      <c r="K3831" s="270" t="str">
        <f t="shared" si="2"/>
        <v/>
      </c>
      <c r="L3831">
        <f t="shared" si="3"/>
        <v>0</v>
      </c>
    </row>
    <row r="3832">
      <c r="A3832" s="107"/>
      <c r="D3832" s="270"/>
      <c r="H3832" s="106" t="str">
        <f t="shared" si="1"/>
        <v/>
      </c>
      <c r="I3832" s="271" t="str">
        <f>IFERROR(__xludf.DUMMYFUNCTION("""COMPUTED_VALUE"""),"")</f>
        <v/>
      </c>
      <c r="J3832" t="str">
        <f>IFERROR(__xludf.DUMMYFUNCTION("IFS(
  AND(REGEXMATCH(E3832, ""台銀籌備帳戶|玉山帳戶""), REGEXMATCH(C3832, ""薪資"")), ""分潤支出"",
  AND(REGEXMATCH(E3832, ""Ben帳戶|Elsa帳戶|Ben代墊|Ariel代墊|中信銀行共用""), REGEXMATCH(F3832, ""Ben帳戶|Elsa帳戶|Ben代墊|Ariel代墊|中信銀行共用"")), ""內部轉帳(忽略)"",
  AND(E3832&lt;&gt;"""", F3832&lt;&gt;"""", N"&amp;"OT(REGEXMATCH(C3832, ""薪資""))), ""內部轉帳(忽略)"",
  REGEXMATCH(C3832, ""薪資""), ""薪資變動(不計入)"",
  REGEXMATCH(C3832, ""押金""), ""押金往來"",
  AND(E3832&lt;&gt;"""", F3832=""""), ""真實支出"",
  AND(E3832="""", F3832&lt;&gt;""""), ""真實收入"",
  TRUE, ""其他""
)"),"其他")</f>
        <v>其他</v>
      </c>
      <c r="K3832" s="270" t="str">
        <f t="shared" si="2"/>
        <v/>
      </c>
      <c r="L3832">
        <f t="shared" si="3"/>
        <v>0</v>
      </c>
    </row>
    <row r="3833">
      <c r="A3833" s="107"/>
      <c r="D3833" s="270"/>
      <c r="H3833" s="106" t="str">
        <f t="shared" si="1"/>
        <v/>
      </c>
      <c r="I3833" s="271" t="str">
        <f>IFERROR(__xludf.DUMMYFUNCTION("""COMPUTED_VALUE"""),"")</f>
        <v/>
      </c>
      <c r="J3833" t="str">
        <f>IFERROR(__xludf.DUMMYFUNCTION("IFS(
  AND(REGEXMATCH(E3833, ""台銀籌備帳戶|玉山帳戶""), REGEXMATCH(C3833, ""薪資"")), ""分潤支出"",
  AND(REGEXMATCH(E3833, ""Ben帳戶|Elsa帳戶|Ben代墊|Ariel代墊|中信銀行共用""), REGEXMATCH(F3833, ""Ben帳戶|Elsa帳戶|Ben代墊|Ariel代墊|中信銀行共用"")), ""內部轉帳(忽略)"",
  AND(E3833&lt;&gt;"""", F3833&lt;&gt;"""", N"&amp;"OT(REGEXMATCH(C3833, ""薪資""))), ""內部轉帳(忽略)"",
  REGEXMATCH(C3833, ""薪資""), ""薪資變動(不計入)"",
  REGEXMATCH(C3833, ""押金""), ""押金往來"",
  AND(E3833&lt;&gt;"""", F3833=""""), ""真實支出"",
  AND(E3833="""", F3833&lt;&gt;""""), ""真實收入"",
  TRUE, ""其他""
)"),"其他")</f>
        <v>其他</v>
      </c>
      <c r="K3833" s="270" t="str">
        <f t="shared" si="2"/>
        <v/>
      </c>
      <c r="L3833">
        <f t="shared" si="3"/>
        <v>0</v>
      </c>
    </row>
    <row r="3834">
      <c r="A3834" s="107"/>
      <c r="D3834" s="270"/>
      <c r="H3834" s="106" t="str">
        <f t="shared" si="1"/>
        <v/>
      </c>
      <c r="I3834" s="271" t="str">
        <f>IFERROR(__xludf.DUMMYFUNCTION("""COMPUTED_VALUE"""),"")</f>
        <v/>
      </c>
      <c r="J3834" t="str">
        <f>IFERROR(__xludf.DUMMYFUNCTION("IFS(
  AND(REGEXMATCH(E3834, ""台銀籌備帳戶|玉山帳戶""), REGEXMATCH(C3834, ""薪資"")), ""分潤支出"",
  AND(REGEXMATCH(E3834, ""Ben帳戶|Elsa帳戶|Ben代墊|Ariel代墊|中信銀行共用""), REGEXMATCH(F3834, ""Ben帳戶|Elsa帳戶|Ben代墊|Ariel代墊|中信銀行共用"")), ""內部轉帳(忽略)"",
  AND(E3834&lt;&gt;"""", F3834&lt;&gt;"""", N"&amp;"OT(REGEXMATCH(C3834, ""薪資""))), ""內部轉帳(忽略)"",
  REGEXMATCH(C3834, ""薪資""), ""薪資變動(不計入)"",
  REGEXMATCH(C3834, ""押金""), ""押金往來"",
  AND(E3834&lt;&gt;"""", F3834=""""), ""真實支出"",
  AND(E3834="""", F3834&lt;&gt;""""), ""真實收入"",
  TRUE, ""其他""
)"),"其他")</f>
        <v>其他</v>
      </c>
      <c r="K3834" s="270" t="str">
        <f t="shared" si="2"/>
        <v/>
      </c>
      <c r="L3834">
        <f t="shared" si="3"/>
        <v>0</v>
      </c>
    </row>
    <row r="3835">
      <c r="A3835" s="107"/>
      <c r="D3835" s="270"/>
      <c r="H3835" s="106" t="str">
        <f t="shared" si="1"/>
        <v/>
      </c>
      <c r="I3835" s="271" t="str">
        <f>IFERROR(__xludf.DUMMYFUNCTION("""COMPUTED_VALUE"""),"")</f>
        <v/>
      </c>
      <c r="J3835" t="str">
        <f>IFERROR(__xludf.DUMMYFUNCTION("IFS(
  AND(REGEXMATCH(E3835, ""台銀籌備帳戶|玉山帳戶""), REGEXMATCH(C3835, ""薪資"")), ""分潤支出"",
  AND(REGEXMATCH(E3835, ""Ben帳戶|Elsa帳戶|Ben代墊|Ariel代墊|中信銀行共用""), REGEXMATCH(F3835, ""Ben帳戶|Elsa帳戶|Ben代墊|Ariel代墊|中信銀行共用"")), ""內部轉帳(忽略)"",
  AND(E3835&lt;&gt;"""", F3835&lt;&gt;"""", N"&amp;"OT(REGEXMATCH(C3835, ""薪資""))), ""內部轉帳(忽略)"",
  REGEXMATCH(C3835, ""薪資""), ""薪資變動(不計入)"",
  REGEXMATCH(C3835, ""押金""), ""押金往來"",
  AND(E3835&lt;&gt;"""", F3835=""""), ""真實支出"",
  AND(E3835="""", F3835&lt;&gt;""""), ""真實收入"",
  TRUE, ""其他""
)"),"其他")</f>
        <v>其他</v>
      </c>
      <c r="K3835" s="270" t="str">
        <f t="shared" si="2"/>
        <v/>
      </c>
      <c r="L3835">
        <f t="shared" si="3"/>
        <v>0</v>
      </c>
    </row>
    <row r="3836">
      <c r="A3836" s="107"/>
      <c r="D3836" s="270"/>
      <c r="H3836" s="106" t="str">
        <f t="shared" si="1"/>
        <v/>
      </c>
      <c r="I3836" s="271" t="str">
        <f>IFERROR(__xludf.DUMMYFUNCTION("""COMPUTED_VALUE"""),"")</f>
        <v/>
      </c>
      <c r="J3836" t="str">
        <f>IFERROR(__xludf.DUMMYFUNCTION("IFS(
  AND(REGEXMATCH(E3836, ""台銀籌備帳戶|玉山帳戶""), REGEXMATCH(C3836, ""薪資"")), ""分潤支出"",
  AND(REGEXMATCH(E3836, ""Ben帳戶|Elsa帳戶|Ben代墊|Ariel代墊|中信銀行共用""), REGEXMATCH(F3836, ""Ben帳戶|Elsa帳戶|Ben代墊|Ariel代墊|中信銀行共用"")), ""內部轉帳(忽略)"",
  AND(E3836&lt;&gt;"""", F3836&lt;&gt;"""", N"&amp;"OT(REGEXMATCH(C3836, ""薪資""))), ""內部轉帳(忽略)"",
  REGEXMATCH(C3836, ""薪資""), ""薪資變動(不計入)"",
  REGEXMATCH(C3836, ""押金""), ""押金往來"",
  AND(E3836&lt;&gt;"""", F3836=""""), ""真實支出"",
  AND(E3836="""", F3836&lt;&gt;""""), ""真實收入"",
  TRUE, ""其他""
)"),"其他")</f>
        <v>其他</v>
      </c>
      <c r="K3836" s="270" t="str">
        <f t="shared" si="2"/>
        <v/>
      </c>
      <c r="L3836">
        <f t="shared" si="3"/>
        <v>0</v>
      </c>
    </row>
    <row r="3837">
      <c r="A3837" s="107"/>
      <c r="D3837" s="270"/>
      <c r="H3837" s="106" t="str">
        <f t="shared" si="1"/>
        <v/>
      </c>
      <c r="I3837" s="271" t="str">
        <f>IFERROR(__xludf.DUMMYFUNCTION("""COMPUTED_VALUE"""),"")</f>
        <v/>
      </c>
      <c r="J3837" t="str">
        <f>IFERROR(__xludf.DUMMYFUNCTION("IFS(
  AND(REGEXMATCH(E3837, ""台銀籌備帳戶|玉山帳戶""), REGEXMATCH(C3837, ""薪資"")), ""分潤支出"",
  AND(REGEXMATCH(E3837, ""Ben帳戶|Elsa帳戶|Ben代墊|Ariel代墊|中信銀行共用""), REGEXMATCH(F3837, ""Ben帳戶|Elsa帳戶|Ben代墊|Ariel代墊|中信銀行共用"")), ""內部轉帳(忽略)"",
  AND(E3837&lt;&gt;"""", F3837&lt;&gt;"""", N"&amp;"OT(REGEXMATCH(C3837, ""薪資""))), ""內部轉帳(忽略)"",
  REGEXMATCH(C3837, ""薪資""), ""薪資變動(不計入)"",
  REGEXMATCH(C3837, ""押金""), ""押金往來"",
  AND(E3837&lt;&gt;"""", F3837=""""), ""真實支出"",
  AND(E3837="""", F3837&lt;&gt;""""), ""真實收入"",
  TRUE, ""其他""
)"),"其他")</f>
        <v>其他</v>
      </c>
      <c r="K3837" s="270" t="str">
        <f t="shared" si="2"/>
        <v/>
      </c>
      <c r="L3837">
        <f t="shared" si="3"/>
        <v>0</v>
      </c>
    </row>
    <row r="3838">
      <c r="A3838" s="107"/>
      <c r="D3838" s="270"/>
      <c r="H3838" s="106" t="str">
        <f t="shared" si="1"/>
        <v/>
      </c>
      <c r="I3838" s="271" t="str">
        <f>IFERROR(__xludf.DUMMYFUNCTION("""COMPUTED_VALUE"""),"")</f>
        <v/>
      </c>
      <c r="J3838" t="str">
        <f>IFERROR(__xludf.DUMMYFUNCTION("IFS(
  AND(REGEXMATCH(E3838, ""台銀籌備帳戶|玉山帳戶""), REGEXMATCH(C3838, ""薪資"")), ""分潤支出"",
  AND(REGEXMATCH(E3838, ""Ben帳戶|Elsa帳戶|Ben代墊|Ariel代墊|中信銀行共用""), REGEXMATCH(F3838, ""Ben帳戶|Elsa帳戶|Ben代墊|Ariel代墊|中信銀行共用"")), ""內部轉帳(忽略)"",
  AND(E3838&lt;&gt;"""", F3838&lt;&gt;"""", N"&amp;"OT(REGEXMATCH(C3838, ""薪資""))), ""內部轉帳(忽略)"",
  REGEXMATCH(C3838, ""薪資""), ""薪資變動(不計入)"",
  REGEXMATCH(C3838, ""押金""), ""押金往來"",
  AND(E3838&lt;&gt;"""", F3838=""""), ""真實支出"",
  AND(E3838="""", F3838&lt;&gt;""""), ""真實收入"",
  TRUE, ""其他""
)"),"其他")</f>
        <v>其他</v>
      </c>
      <c r="K3838" s="270" t="str">
        <f t="shared" si="2"/>
        <v/>
      </c>
      <c r="L3838">
        <f t="shared" si="3"/>
        <v>0</v>
      </c>
    </row>
    <row r="3839">
      <c r="A3839" s="107"/>
      <c r="D3839" s="270"/>
      <c r="H3839" s="106" t="str">
        <f t="shared" si="1"/>
        <v/>
      </c>
      <c r="I3839" s="271" t="str">
        <f>IFERROR(__xludf.DUMMYFUNCTION("""COMPUTED_VALUE"""),"")</f>
        <v/>
      </c>
      <c r="J3839" t="str">
        <f>IFERROR(__xludf.DUMMYFUNCTION("IFS(
  AND(REGEXMATCH(E3839, ""台銀籌備帳戶|玉山帳戶""), REGEXMATCH(C3839, ""薪資"")), ""分潤支出"",
  AND(REGEXMATCH(E3839, ""Ben帳戶|Elsa帳戶|Ben代墊|Ariel代墊|中信銀行共用""), REGEXMATCH(F3839, ""Ben帳戶|Elsa帳戶|Ben代墊|Ariel代墊|中信銀行共用"")), ""內部轉帳(忽略)"",
  AND(E3839&lt;&gt;"""", F3839&lt;&gt;"""", N"&amp;"OT(REGEXMATCH(C3839, ""薪資""))), ""內部轉帳(忽略)"",
  REGEXMATCH(C3839, ""薪資""), ""薪資變動(不計入)"",
  REGEXMATCH(C3839, ""押金""), ""押金往來"",
  AND(E3839&lt;&gt;"""", F3839=""""), ""真實支出"",
  AND(E3839="""", F3839&lt;&gt;""""), ""真實收入"",
  TRUE, ""其他""
)"),"其他")</f>
        <v>其他</v>
      </c>
      <c r="K3839" s="270" t="str">
        <f t="shared" si="2"/>
        <v/>
      </c>
      <c r="L3839">
        <f t="shared" si="3"/>
        <v>0</v>
      </c>
    </row>
    <row r="3840">
      <c r="A3840" s="107"/>
      <c r="D3840" s="270"/>
      <c r="H3840" s="106" t="str">
        <f t="shared" si="1"/>
        <v/>
      </c>
      <c r="I3840" s="271" t="str">
        <f>IFERROR(__xludf.DUMMYFUNCTION("""COMPUTED_VALUE"""),"")</f>
        <v/>
      </c>
      <c r="J3840" t="str">
        <f>IFERROR(__xludf.DUMMYFUNCTION("IFS(
  AND(REGEXMATCH(E3840, ""台銀籌備帳戶|玉山帳戶""), REGEXMATCH(C3840, ""薪資"")), ""分潤支出"",
  AND(REGEXMATCH(E3840, ""Ben帳戶|Elsa帳戶|Ben代墊|Ariel代墊|中信銀行共用""), REGEXMATCH(F3840, ""Ben帳戶|Elsa帳戶|Ben代墊|Ariel代墊|中信銀行共用"")), ""內部轉帳(忽略)"",
  AND(E3840&lt;&gt;"""", F3840&lt;&gt;"""", N"&amp;"OT(REGEXMATCH(C3840, ""薪資""))), ""內部轉帳(忽略)"",
  REGEXMATCH(C3840, ""薪資""), ""薪資變動(不計入)"",
  REGEXMATCH(C3840, ""押金""), ""押金往來"",
  AND(E3840&lt;&gt;"""", F3840=""""), ""真實支出"",
  AND(E3840="""", F3840&lt;&gt;""""), ""真實收入"",
  TRUE, ""其他""
)"),"其他")</f>
        <v>其他</v>
      </c>
      <c r="K3840" s="270" t="str">
        <f t="shared" si="2"/>
        <v/>
      </c>
      <c r="L3840">
        <f t="shared" si="3"/>
        <v>0</v>
      </c>
    </row>
    <row r="3841">
      <c r="A3841" s="107"/>
      <c r="D3841" s="270"/>
      <c r="H3841" s="106" t="str">
        <f t="shared" si="1"/>
        <v/>
      </c>
      <c r="I3841" s="271" t="str">
        <f>IFERROR(__xludf.DUMMYFUNCTION("""COMPUTED_VALUE"""),"")</f>
        <v/>
      </c>
      <c r="J3841" t="str">
        <f>IFERROR(__xludf.DUMMYFUNCTION("IFS(
  AND(REGEXMATCH(E3841, ""台銀籌備帳戶|玉山帳戶""), REGEXMATCH(C3841, ""薪資"")), ""分潤支出"",
  AND(REGEXMATCH(E3841, ""Ben帳戶|Elsa帳戶|Ben代墊|Ariel代墊|中信銀行共用""), REGEXMATCH(F3841, ""Ben帳戶|Elsa帳戶|Ben代墊|Ariel代墊|中信銀行共用"")), ""內部轉帳(忽略)"",
  AND(E3841&lt;&gt;"""", F3841&lt;&gt;"""", N"&amp;"OT(REGEXMATCH(C3841, ""薪資""))), ""內部轉帳(忽略)"",
  REGEXMATCH(C3841, ""薪資""), ""薪資變動(不計入)"",
  REGEXMATCH(C3841, ""押金""), ""押金往來"",
  AND(E3841&lt;&gt;"""", F3841=""""), ""真實支出"",
  AND(E3841="""", F3841&lt;&gt;""""), ""真實收入"",
  TRUE, ""其他""
)"),"其他")</f>
        <v>其他</v>
      </c>
      <c r="K3841" s="270" t="str">
        <f t="shared" si="2"/>
        <v/>
      </c>
      <c r="L3841">
        <f t="shared" si="3"/>
        <v>0</v>
      </c>
    </row>
    <row r="3842">
      <c r="A3842" s="107"/>
      <c r="D3842" s="270"/>
      <c r="H3842" s="106" t="str">
        <f t="shared" si="1"/>
        <v/>
      </c>
      <c r="I3842" s="271" t="str">
        <f>IFERROR(__xludf.DUMMYFUNCTION("""COMPUTED_VALUE"""),"")</f>
        <v/>
      </c>
      <c r="J3842" t="str">
        <f>IFERROR(__xludf.DUMMYFUNCTION("IFS(
  AND(REGEXMATCH(E3842, ""台銀籌備帳戶|玉山帳戶""), REGEXMATCH(C3842, ""薪資"")), ""分潤支出"",
  AND(REGEXMATCH(E3842, ""Ben帳戶|Elsa帳戶|Ben代墊|Ariel代墊|中信銀行共用""), REGEXMATCH(F3842, ""Ben帳戶|Elsa帳戶|Ben代墊|Ariel代墊|中信銀行共用"")), ""內部轉帳(忽略)"",
  AND(E3842&lt;&gt;"""", F3842&lt;&gt;"""", N"&amp;"OT(REGEXMATCH(C3842, ""薪資""))), ""內部轉帳(忽略)"",
  REGEXMATCH(C3842, ""薪資""), ""薪資變動(不計入)"",
  REGEXMATCH(C3842, ""押金""), ""押金往來"",
  AND(E3842&lt;&gt;"""", F3842=""""), ""真實支出"",
  AND(E3842="""", F3842&lt;&gt;""""), ""真實收入"",
  TRUE, ""其他""
)"),"其他")</f>
        <v>其他</v>
      </c>
      <c r="K3842" s="270" t="str">
        <f t="shared" si="2"/>
        <v/>
      </c>
      <c r="L3842">
        <f t="shared" si="3"/>
        <v>0</v>
      </c>
    </row>
    <row r="3843">
      <c r="A3843" s="107"/>
      <c r="D3843" s="270"/>
      <c r="H3843" s="106" t="str">
        <f t="shared" si="1"/>
        <v/>
      </c>
      <c r="I3843" s="271" t="str">
        <f>IFERROR(__xludf.DUMMYFUNCTION("""COMPUTED_VALUE"""),"")</f>
        <v/>
      </c>
      <c r="J3843" t="str">
        <f>IFERROR(__xludf.DUMMYFUNCTION("IFS(
  AND(REGEXMATCH(E3843, ""台銀籌備帳戶|玉山帳戶""), REGEXMATCH(C3843, ""薪資"")), ""分潤支出"",
  AND(REGEXMATCH(E3843, ""Ben帳戶|Elsa帳戶|Ben代墊|Ariel代墊|中信銀行共用""), REGEXMATCH(F3843, ""Ben帳戶|Elsa帳戶|Ben代墊|Ariel代墊|中信銀行共用"")), ""內部轉帳(忽略)"",
  AND(E3843&lt;&gt;"""", F3843&lt;&gt;"""", N"&amp;"OT(REGEXMATCH(C3843, ""薪資""))), ""內部轉帳(忽略)"",
  REGEXMATCH(C3843, ""薪資""), ""薪資變動(不計入)"",
  REGEXMATCH(C3843, ""押金""), ""押金往來"",
  AND(E3843&lt;&gt;"""", F3843=""""), ""真實支出"",
  AND(E3843="""", F3843&lt;&gt;""""), ""真實收入"",
  TRUE, ""其他""
)"),"其他")</f>
        <v>其他</v>
      </c>
      <c r="K3843" s="270" t="str">
        <f t="shared" si="2"/>
        <v/>
      </c>
      <c r="L3843">
        <f t="shared" si="3"/>
        <v>0</v>
      </c>
    </row>
    <row r="3844">
      <c r="A3844" s="107"/>
      <c r="D3844" s="270"/>
      <c r="H3844" s="106" t="str">
        <f t="shared" si="1"/>
        <v/>
      </c>
      <c r="I3844" s="271" t="str">
        <f>IFERROR(__xludf.DUMMYFUNCTION("""COMPUTED_VALUE"""),"")</f>
        <v/>
      </c>
      <c r="J3844" t="str">
        <f>IFERROR(__xludf.DUMMYFUNCTION("IFS(
  AND(REGEXMATCH(E3844, ""台銀籌備帳戶|玉山帳戶""), REGEXMATCH(C3844, ""薪資"")), ""分潤支出"",
  AND(REGEXMATCH(E3844, ""Ben帳戶|Elsa帳戶|Ben代墊|Ariel代墊|中信銀行共用""), REGEXMATCH(F3844, ""Ben帳戶|Elsa帳戶|Ben代墊|Ariel代墊|中信銀行共用"")), ""內部轉帳(忽略)"",
  AND(E3844&lt;&gt;"""", F3844&lt;&gt;"""", N"&amp;"OT(REGEXMATCH(C3844, ""薪資""))), ""內部轉帳(忽略)"",
  REGEXMATCH(C3844, ""薪資""), ""薪資變動(不計入)"",
  REGEXMATCH(C3844, ""押金""), ""押金往來"",
  AND(E3844&lt;&gt;"""", F3844=""""), ""真實支出"",
  AND(E3844="""", F3844&lt;&gt;""""), ""真實收入"",
  TRUE, ""其他""
)"),"其他")</f>
        <v>其他</v>
      </c>
      <c r="K3844" s="270" t="str">
        <f t="shared" si="2"/>
        <v/>
      </c>
      <c r="L3844">
        <f t="shared" si="3"/>
        <v>0</v>
      </c>
    </row>
    <row r="3845">
      <c r="A3845" s="107"/>
      <c r="D3845" s="270"/>
      <c r="H3845" s="106" t="str">
        <f t="shared" si="1"/>
        <v/>
      </c>
      <c r="I3845" s="271" t="str">
        <f>IFERROR(__xludf.DUMMYFUNCTION("""COMPUTED_VALUE"""),"")</f>
        <v/>
      </c>
      <c r="J3845" t="str">
        <f>IFERROR(__xludf.DUMMYFUNCTION("IFS(
  AND(REGEXMATCH(E3845, ""台銀籌備帳戶|玉山帳戶""), REGEXMATCH(C3845, ""薪資"")), ""分潤支出"",
  AND(REGEXMATCH(E3845, ""Ben帳戶|Elsa帳戶|Ben代墊|Ariel代墊|中信銀行共用""), REGEXMATCH(F3845, ""Ben帳戶|Elsa帳戶|Ben代墊|Ariel代墊|中信銀行共用"")), ""內部轉帳(忽略)"",
  AND(E3845&lt;&gt;"""", F3845&lt;&gt;"""", N"&amp;"OT(REGEXMATCH(C3845, ""薪資""))), ""內部轉帳(忽略)"",
  REGEXMATCH(C3845, ""薪資""), ""薪資變動(不計入)"",
  REGEXMATCH(C3845, ""押金""), ""押金往來"",
  AND(E3845&lt;&gt;"""", F3845=""""), ""真實支出"",
  AND(E3845="""", F3845&lt;&gt;""""), ""真實收入"",
  TRUE, ""其他""
)"),"其他")</f>
        <v>其他</v>
      </c>
      <c r="K3845" s="270" t="str">
        <f t="shared" si="2"/>
        <v/>
      </c>
      <c r="L3845">
        <f t="shared" si="3"/>
        <v>0</v>
      </c>
    </row>
    <row r="3846">
      <c r="A3846" s="107"/>
      <c r="D3846" s="270"/>
      <c r="H3846" s="106" t="str">
        <f t="shared" si="1"/>
        <v/>
      </c>
      <c r="I3846" s="271" t="str">
        <f>IFERROR(__xludf.DUMMYFUNCTION("""COMPUTED_VALUE"""),"")</f>
        <v/>
      </c>
      <c r="J3846" t="str">
        <f>IFERROR(__xludf.DUMMYFUNCTION("IFS(
  AND(REGEXMATCH(E3846, ""台銀籌備帳戶|玉山帳戶""), REGEXMATCH(C3846, ""薪資"")), ""分潤支出"",
  AND(REGEXMATCH(E3846, ""Ben帳戶|Elsa帳戶|Ben代墊|Ariel代墊|中信銀行共用""), REGEXMATCH(F3846, ""Ben帳戶|Elsa帳戶|Ben代墊|Ariel代墊|中信銀行共用"")), ""內部轉帳(忽略)"",
  AND(E3846&lt;&gt;"""", F3846&lt;&gt;"""", N"&amp;"OT(REGEXMATCH(C3846, ""薪資""))), ""內部轉帳(忽略)"",
  REGEXMATCH(C3846, ""薪資""), ""薪資變動(不計入)"",
  REGEXMATCH(C3846, ""押金""), ""押金往來"",
  AND(E3846&lt;&gt;"""", F3846=""""), ""真實支出"",
  AND(E3846="""", F3846&lt;&gt;""""), ""真實收入"",
  TRUE, ""其他""
)"),"其他")</f>
        <v>其他</v>
      </c>
      <c r="K3846" s="270" t="str">
        <f t="shared" si="2"/>
        <v/>
      </c>
      <c r="L3846">
        <f t="shared" si="3"/>
        <v>0</v>
      </c>
    </row>
    <row r="3847">
      <c r="A3847" s="107"/>
      <c r="D3847" s="270"/>
      <c r="H3847" s="106" t="str">
        <f t="shared" si="1"/>
        <v/>
      </c>
      <c r="I3847" s="271" t="str">
        <f>IFERROR(__xludf.DUMMYFUNCTION("""COMPUTED_VALUE"""),"")</f>
        <v/>
      </c>
      <c r="J3847" t="str">
        <f>IFERROR(__xludf.DUMMYFUNCTION("IFS(
  AND(REGEXMATCH(E3847, ""台銀籌備帳戶|玉山帳戶""), REGEXMATCH(C3847, ""薪資"")), ""分潤支出"",
  AND(REGEXMATCH(E3847, ""Ben帳戶|Elsa帳戶|Ben代墊|Ariel代墊|中信銀行共用""), REGEXMATCH(F3847, ""Ben帳戶|Elsa帳戶|Ben代墊|Ariel代墊|中信銀行共用"")), ""內部轉帳(忽略)"",
  AND(E3847&lt;&gt;"""", F3847&lt;&gt;"""", N"&amp;"OT(REGEXMATCH(C3847, ""薪資""))), ""內部轉帳(忽略)"",
  REGEXMATCH(C3847, ""薪資""), ""薪資變動(不計入)"",
  REGEXMATCH(C3847, ""押金""), ""押金往來"",
  AND(E3847&lt;&gt;"""", F3847=""""), ""真實支出"",
  AND(E3847="""", F3847&lt;&gt;""""), ""真實收入"",
  TRUE, ""其他""
)"),"其他")</f>
        <v>其他</v>
      </c>
      <c r="K3847" s="270" t="str">
        <f t="shared" si="2"/>
        <v/>
      </c>
      <c r="L3847">
        <f t="shared" si="3"/>
        <v>0</v>
      </c>
    </row>
    <row r="3848">
      <c r="A3848" s="107"/>
      <c r="D3848" s="270"/>
      <c r="H3848" s="106" t="str">
        <f t="shared" si="1"/>
        <v/>
      </c>
      <c r="I3848" s="271" t="str">
        <f>IFERROR(__xludf.DUMMYFUNCTION("""COMPUTED_VALUE"""),"")</f>
        <v/>
      </c>
      <c r="J3848" t="str">
        <f>IFERROR(__xludf.DUMMYFUNCTION("IFS(
  AND(REGEXMATCH(E3848, ""台銀籌備帳戶|玉山帳戶""), REGEXMATCH(C3848, ""薪資"")), ""分潤支出"",
  AND(REGEXMATCH(E3848, ""Ben帳戶|Elsa帳戶|Ben代墊|Ariel代墊|中信銀行共用""), REGEXMATCH(F3848, ""Ben帳戶|Elsa帳戶|Ben代墊|Ariel代墊|中信銀行共用"")), ""內部轉帳(忽略)"",
  AND(E3848&lt;&gt;"""", F3848&lt;&gt;"""", N"&amp;"OT(REGEXMATCH(C3848, ""薪資""))), ""內部轉帳(忽略)"",
  REGEXMATCH(C3848, ""薪資""), ""薪資變動(不計入)"",
  REGEXMATCH(C3848, ""押金""), ""押金往來"",
  AND(E3848&lt;&gt;"""", F3848=""""), ""真實支出"",
  AND(E3848="""", F3848&lt;&gt;""""), ""真實收入"",
  TRUE, ""其他""
)"),"其他")</f>
        <v>其他</v>
      </c>
      <c r="K3848" s="270" t="str">
        <f t="shared" si="2"/>
        <v/>
      </c>
      <c r="L3848">
        <f t="shared" si="3"/>
        <v>0</v>
      </c>
    </row>
    <row r="3849">
      <c r="A3849" s="107"/>
      <c r="D3849" s="270"/>
      <c r="H3849" s="106" t="str">
        <f t="shared" si="1"/>
        <v/>
      </c>
      <c r="I3849" s="271" t="str">
        <f>IFERROR(__xludf.DUMMYFUNCTION("""COMPUTED_VALUE"""),"")</f>
        <v/>
      </c>
      <c r="J3849" t="str">
        <f>IFERROR(__xludf.DUMMYFUNCTION("IFS(
  AND(REGEXMATCH(E3849, ""台銀籌備帳戶|玉山帳戶""), REGEXMATCH(C3849, ""薪資"")), ""分潤支出"",
  AND(REGEXMATCH(E3849, ""Ben帳戶|Elsa帳戶|Ben代墊|Ariel代墊|中信銀行共用""), REGEXMATCH(F3849, ""Ben帳戶|Elsa帳戶|Ben代墊|Ariel代墊|中信銀行共用"")), ""內部轉帳(忽略)"",
  AND(E3849&lt;&gt;"""", F3849&lt;&gt;"""", N"&amp;"OT(REGEXMATCH(C3849, ""薪資""))), ""內部轉帳(忽略)"",
  REGEXMATCH(C3849, ""薪資""), ""薪資變動(不計入)"",
  REGEXMATCH(C3849, ""押金""), ""押金往來"",
  AND(E3849&lt;&gt;"""", F3849=""""), ""真實支出"",
  AND(E3849="""", F3849&lt;&gt;""""), ""真實收入"",
  TRUE, ""其他""
)"),"其他")</f>
        <v>其他</v>
      </c>
      <c r="K3849" s="270" t="str">
        <f t="shared" si="2"/>
        <v/>
      </c>
      <c r="L3849">
        <f t="shared" si="3"/>
        <v>0</v>
      </c>
    </row>
    <row r="3850">
      <c r="A3850" s="107"/>
      <c r="D3850" s="270"/>
      <c r="H3850" s="106" t="str">
        <f t="shared" si="1"/>
        <v/>
      </c>
      <c r="I3850" s="271" t="str">
        <f>IFERROR(__xludf.DUMMYFUNCTION("""COMPUTED_VALUE"""),"")</f>
        <v/>
      </c>
      <c r="J3850" t="str">
        <f>IFERROR(__xludf.DUMMYFUNCTION("IFS(
  AND(REGEXMATCH(E3850, ""台銀籌備帳戶|玉山帳戶""), REGEXMATCH(C3850, ""薪資"")), ""分潤支出"",
  AND(REGEXMATCH(E3850, ""Ben帳戶|Elsa帳戶|Ben代墊|Ariel代墊|中信銀行共用""), REGEXMATCH(F3850, ""Ben帳戶|Elsa帳戶|Ben代墊|Ariel代墊|中信銀行共用"")), ""內部轉帳(忽略)"",
  AND(E3850&lt;&gt;"""", F3850&lt;&gt;"""", N"&amp;"OT(REGEXMATCH(C3850, ""薪資""))), ""內部轉帳(忽略)"",
  REGEXMATCH(C3850, ""薪資""), ""薪資變動(不計入)"",
  REGEXMATCH(C3850, ""押金""), ""押金往來"",
  AND(E3850&lt;&gt;"""", F3850=""""), ""真實支出"",
  AND(E3850="""", F3850&lt;&gt;""""), ""真實收入"",
  TRUE, ""其他""
)"),"其他")</f>
        <v>其他</v>
      </c>
      <c r="K3850" s="270" t="str">
        <f t="shared" si="2"/>
        <v/>
      </c>
      <c r="L3850">
        <f t="shared" si="3"/>
        <v>0</v>
      </c>
    </row>
    <row r="3851">
      <c r="A3851" s="107"/>
      <c r="D3851" s="270"/>
      <c r="H3851" s="106" t="str">
        <f t="shared" si="1"/>
        <v/>
      </c>
      <c r="I3851" s="271" t="str">
        <f>IFERROR(__xludf.DUMMYFUNCTION("""COMPUTED_VALUE"""),"")</f>
        <v/>
      </c>
      <c r="J3851" t="str">
        <f>IFERROR(__xludf.DUMMYFUNCTION("IFS(
  AND(REGEXMATCH(E3851, ""台銀籌備帳戶|玉山帳戶""), REGEXMATCH(C3851, ""薪資"")), ""分潤支出"",
  AND(REGEXMATCH(E3851, ""Ben帳戶|Elsa帳戶|Ben代墊|Ariel代墊|中信銀行共用""), REGEXMATCH(F3851, ""Ben帳戶|Elsa帳戶|Ben代墊|Ariel代墊|中信銀行共用"")), ""內部轉帳(忽略)"",
  AND(E3851&lt;&gt;"""", F3851&lt;&gt;"""", N"&amp;"OT(REGEXMATCH(C3851, ""薪資""))), ""內部轉帳(忽略)"",
  REGEXMATCH(C3851, ""薪資""), ""薪資變動(不計入)"",
  REGEXMATCH(C3851, ""押金""), ""押金往來"",
  AND(E3851&lt;&gt;"""", F3851=""""), ""真實支出"",
  AND(E3851="""", F3851&lt;&gt;""""), ""真實收入"",
  TRUE, ""其他""
)"),"其他")</f>
        <v>其他</v>
      </c>
      <c r="K3851" s="270" t="str">
        <f t="shared" si="2"/>
        <v/>
      </c>
      <c r="L3851">
        <f t="shared" si="3"/>
        <v>0</v>
      </c>
    </row>
    <row r="3852">
      <c r="A3852" s="107"/>
      <c r="D3852" s="270"/>
      <c r="H3852" s="106" t="str">
        <f t="shared" si="1"/>
        <v/>
      </c>
      <c r="I3852" s="271" t="str">
        <f>IFERROR(__xludf.DUMMYFUNCTION("""COMPUTED_VALUE"""),"")</f>
        <v/>
      </c>
      <c r="J3852" t="str">
        <f>IFERROR(__xludf.DUMMYFUNCTION("IFS(
  AND(REGEXMATCH(E3852, ""台銀籌備帳戶|玉山帳戶""), REGEXMATCH(C3852, ""薪資"")), ""分潤支出"",
  AND(REGEXMATCH(E3852, ""Ben帳戶|Elsa帳戶|Ben代墊|Ariel代墊|中信銀行共用""), REGEXMATCH(F3852, ""Ben帳戶|Elsa帳戶|Ben代墊|Ariel代墊|中信銀行共用"")), ""內部轉帳(忽略)"",
  AND(E3852&lt;&gt;"""", F3852&lt;&gt;"""", N"&amp;"OT(REGEXMATCH(C3852, ""薪資""))), ""內部轉帳(忽略)"",
  REGEXMATCH(C3852, ""薪資""), ""薪資變動(不計入)"",
  REGEXMATCH(C3852, ""押金""), ""押金往來"",
  AND(E3852&lt;&gt;"""", F3852=""""), ""真實支出"",
  AND(E3852="""", F3852&lt;&gt;""""), ""真實收入"",
  TRUE, ""其他""
)"),"其他")</f>
        <v>其他</v>
      </c>
      <c r="K3852" s="270" t="str">
        <f t="shared" si="2"/>
        <v/>
      </c>
      <c r="L3852">
        <f t="shared" si="3"/>
        <v>0</v>
      </c>
    </row>
    <row r="3853">
      <c r="A3853" s="107"/>
      <c r="D3853" s="270"/>
      <c r="H3853" s="106" t="str">
        <f t="shared" si="1"/>
        <v/>
      </c>
      <c r="I3853" s="271" t="str">
        <f>IFERROR(__xludf.DUMMYFUNCTION("""COMPUTED_VALUE"""),"")</f>
        <v/>
      </c>
      <c r="J3853" t="str">
        <f>IFERROR(__xludf.DUMMYFUNCTION("IFS(
  AND(REGEXMATCH(E3853, ""台銀籌備帳戶|玉山帳戶""), REGEXMATCH(C3853, ""薪資"")), ""分潤支出"",
  AND(REGEXMATCH(E3853, ""Ben帳戶|Elsa帳戶|Ben代墊|Ariel代墊|中信銀行共用""), REGEXMATCH(F3853, ""Ben帳戶|Elsa帳戶|Ben代墊|Ariel代墊|中信銀行共用"")), ""內部轉帳(忽略)"",
  AND(E3853&lt;&gt;"""", F3853&lt;&gt;"""", N"&amp;"OT(REGEXMATCH(C3853, ""薪資""))), ""內部轉帳(忽略)"",
  REGEXMATCH(C3853, ""薪資""), ""薪資變動(不計入)"",
  REGEXMATCH(C3853, ""押金""), ""押金往來"",
  AND(E3853&lt;&gt;"""", F3853=""""), ""真實支出"",
  AND(E3853="""", F3853&lt;&gt;""""), ""真實收入"",
  TRUE, ""其他""
)"),"其他")</f>
        <v>其他</v>
      </c>
      <c r="K3853" s="270" t="str">
        <f t="shared" si="2"/>
        <v/>
      </c>
      <c r="L3853">
        <f t="shared" si="3"/>
        <v>0</v>
      </c>
    </row>
    <row r="3854">
      <c r="A3854" s="107"/>
      <c r="D3854" s="270"/>
      <c r="H3854" s="106" t="str">
        <f t="shared" si="1"/>
        <v/>
      </c>
      <c r="I3854" s="271" t="str">
        <f>IFERROR(__xludf.DUMMYFUNCTION("""COMPUTED_VALUE"""),"")</f>
        <v/>
      </c>
      <c r="J3854" t="str">
        <f>IFERROR(__xludf.DUMMYFUNCTION("IFS(
  AND(REGEXMATCH(E3854, ""台銀籌備帳戶|玉山帳戶""), REGEXMATCH(C3854, ""薪資"")), ""分潤支出"",
  AND(REGEXMATCH(E3854, ""Ben帳戶|Elsa帳戶|Ben代墊|Ariel代墊|中信銀行共用""), REGEXMATCH(F3854, ""Ben帳戶|Elsa帳戶|Ben代墊|Ariel代墊|中信銀行共用"")), ""內部轉帳(忽略)"",
  AND(E3854&lt;&gt;"""", F3854&lt;&gt;"""", N"&amp;"OT(REGEXMATCH(C3854, ""薪資""))), ""內部轉帳(忽略)"",
  REGEXMATCH(C3854, ""薪資""), ""薪資變動(不計入)"",
  REGEXMATCH(C3854, ""押金""), ""押金往來"",
  AND(E3854&lt;&gt;"""", F3854=""""), ""真實支出"",
  AND(E3854="""", F3854&lt;&gt;""""), ""真實收入"",
  TRUE, ""其他""
)"),"其他")</f>
        <v>其他</v>
      </c>
      <c r="K3854" s="270" t="str">
        <f t="shared" si="2"/>
        <v/>
      </c>
      <c r="L3854">
        <f t="shared" si="3"/>
        <v>0</v>
      </c>
    </row>
    <row r="3855">
      <c r="A3855" s="107"/>
      <c r="D3855" s="270"/>
      <c r="H3855" s="106" t="str">
        <f t="shared" si="1"/>
        <v/>
      </c>
      <c r="I3855" s="271" t="str">
        <f>IFERROR(__xludf.DUMMYFUNCTION("""COMPUTED_VALUE"""),"")</f>
        <v/>
      </c>
      <c r="J3855" t="str">
        <f>IFERROR(__xludf.DUMMYFUNCTION("IFS(
  AND(REGEXMATCH(E3855, ""台銀籌備帳戶|玉山帳戶""), REGEXMATCH(C3855, ""薪資"")), ""分潤支出"",
  AND(REGEXMATCH(E3855, ""Ben帳戶|Elsa帳戶|Ben代墊|Ariel代墊|中信銀行共用""), REGEXMATCH(F3855, ""Ben帳戶|Elsa帳戶|Ben代墊|Ariel代墊|中信銀行共用"")), ""內部轉帳(忽略)"",
  AND(E3855&lt;&gt;"""", F3855&lt;&gt;"""", N"&amp;"OT(REGEXMATCH(C3855, ""薪資""))), ""內部轉帳(忽略)"",
  REGEXMATCH(C3855, ""薪資""), ""薪資變動(不計入)"",
  REGEXMATCH(C3855, ""押金""), ""押金往來"",
  AND(E3855&lt;&gt;"""", F3855=""""), ""真實支出"",
  AND(E3855="""", F3855&lt;&gt;""""), ""真實收入"",
  TRUE, ""其他""
)"),"其他")</f>
        <v>其他</v>
      </c>
      <c r="K3855" s="270" t="str">
        <f t="shared" si="2"/>
        <v/>
      </c>
      <c r="L3855">
        <f t="shared" si="3"/>
        <v>0</v>
      </c>
    </row>
    <row r="3856">
      <c r="A3856" s="107"/>
      <c r="D3856" s="270"/>
      <c r="H3856" s="106" t="str">
        <f t="shared" si="1"/>
        <v/>
      </c>
      <c r="I3856" s="271" t="str">
        <f>IFERROR(__xludf.DUMMYFUNCTION("""COMPUTED_VALUE"""),"")</f>
        <v/>
      </c>
      <c r="J3856" t="str">
        <f>IFERROR(__xludf.DUMMYFUNCTION("IFS(
  AND(REGEXMATCH(E3856, ""台銀籌備帳戶|玉山帳戶""), REGEXMATCH(C3856, ""薪資"")), ""分潤支出"",
  AND(REGEXMATCH(E3856, ""Ben帳戶|Elsa帳戶|Ben代墊|Ariel代墊|中信銀行共用""), REGEXMATCH(F3856, ""Ben帳戶|Elsa帳戶|Ben代墊|Ariel代墊|中信銀行共用"")), ""內部轉帳(忽略)"",
  AND(E3856&lt;&gt;"""", F3856&lt;&gt;"""", N"&amp;"OT(REGEXMATCH(C3856, ""薪資""))), ""內部轉帳(忽略)"",
  REGEXMATCH(C3856, ""薪資""), ""薪資變動(不計入)"",
  REGEXMATCH(C3856, ""押金""), ""押金往來"",
  AND(E3856&lt;&gt;"""", F3856=""""), ""真實支出"",
  AND(E3856="""", F3856&lt;&gt;""""), ""真實收入"",
  TRUE, ""其他""
)"),"其他")</f>
        <v>其他</v>
      </c>
      <c r="K3856" s="270" t="str">
        <f t="shared" si="2"/>
        <v/>
      </c>
      <c r="L3856">
        <f t="shared" si="3"/>
        <v>0</v>
      </c>
    </row>
    <row r="3857">
      <c r="A3857" s="107"/>
      <c r="D3857" s="270"/>
      <c r="H3857" s="106" t="str">
        <f t="shared" si="1"/>
        <v/>
      </c>
      <c r="I3857" s="271" t="str">
        <f>IFERROR(__xludf.DUMMYFUNCTION("""COMPUTED_VALUE"""),"")</f>
        <v/>
      </c>
      <c r="J3857" t="str">
        <f>IFERROR(__xludf.DUMMYFUNCTION("IFS(
  AND(REGEXMATCH(E3857, ""台銀籌備帳戶|玉山帳戶""), REGEXMATCH(C3857, ""薪資"")), ""分潤支出"",
  AND(REGEXMATCH(E3857, ""Ben帳戶|Elsa帳戶|Ben代墊|Ariel代墊|中信銀行共用""), REGEXMATCH(F3857, ""Ben帳戶|Elsa帳戶|Ben代墊|Ariel代墊|中信銀行共用"")), ""內部轉帳(忽略)"",
  AND(E3857&lt;&gt;"""", F3857&lt;&gt;"""", N"&amp;"OT(REGEXMATCH(C3857, ""薪資""))), ""內部轉帳(忽略)"",
  REGEXMATCH(C3857, ""薪資""), ""薪資變動(不計入)"",
  REGEXMATCH(C3857, ""押金""), ""押金往來"",
  AND(E3857&lt;&gt;"""", F3857=""""), ""真實支出"",
  AND(E3857="""", F3857&lt;&gt;""""), ""真實收入"",
  TRUE, ""其他""
)"),"其他")</f>
        <v>其他</v>
      </c>
      <c r="K3857" s="270" t="str">
        <f t="shared" si="2"/>
        <v/>
      </c>
      <c r="L3857">
        <f t="shared" si="3"/>
        <v>0</v>
      </c>
    </row>
    <row r="3858">
      <c r="A3858" s="107"/>
      <c r="D3858" s="270"/>
      <c r="H3858" s="106" t="str">
        <f t="shared" si="1"/>
        <v/>
      </c>
      <c r="I3858" s="271" t="str">
        <f>IFERROR(__xludf.DUMMYFUNCTION("""COMPUTED_VALUE"""),"")</f>
        <v/>
      </c>
      <c r="J3858" t="str">
        <f>IFERROR(__xludf.DUMMYFUNCTION("IFS(
  AND(REGEXMATCH(E3858, ""台銀籌備帳戶|玉山帳戶""), REGEXMATCH(C3858, ""薪資"")), ""分潤支出"",
  AND(REGEXMATCH(E3858, ""Ben帳戶|Elsa帳戶|Ben代墊|Ariel代墊|中信銀行共用""), REGEXMATCH(F3858, ""Ben帳戶|Elsa帳戶|Ben代墊|Ariel代墊|中信銀行共用"")), ""內部轉帳(忽略)"",
  AND(E3858&lt;&gt;"""", F3858&lt;&gt;"""", N"&amp;"OT(REGEXMATCH(C3858, ""薪資""))), ""內部轉帳(忽略)"",
  REGEXMATCH(C3858, ""薪資""), ""薪資變動(不計入)"",
  REGEXMATCH(C3858, ""押金""), ""押金往來"",
  AND(E3858&lt;&gt;"""", F3858=""""), ""真實支出"",
  AND(E3858="""", F3858&lt;&gt;""""), ""真實收入"",
  TRUE, ""其他""
)"),"其他")</f>
        <v>其他</v>
      </c>
      <c r="K3858" s="270" t="str">
        <f t="shared" si="2"/>
        <v/>
      </c>
      <c r="L3858">
        <f t="shared" si="3"/>
        <v>0</v>
      </c>
    </row>
    <row r="3859">
      <c r="A3859" s="107"/>
      <c r="D3859" s="270"/>
      <c r="H3859" s="106" t="str">
        <f t="shared" si="1"/>
        <v/>
      </c>
      <c r="I3859" s="271" t="str">
        <f>IFERROR(__xludf.DUMMYFUNCTION("""COMPUTED_VALUE"""),"")</f>
        <v/>
      </c>
      <c r="J3859" t="str">
        <f>IFERROR(__xludf.DUMMYFUNCTION("IFS(
  AND(REGEXMATCH(E3859, ""台銀籌備帳戶|玉山帳戶""), REGEXMATCH(C3859, ""薪資"")), ""分潤支出"",
  AND(REGEXMATCH(E3859, ""Ben帳戶|Elsa帳戶|Ben代墊|Ariel代墊|中信銀行共用""), REGEXMATCH(F3859, ""Ben帳戶|Elsa帳戶|Ben代墊|Ariel代墊|中信銀行共用"")), ""內部轉帳(忽略)"",
  AND(E3859&lt;&gt;"""", F3859&lt;&gt;"""", N"&amp;"OT(REGEXMATCH(C3859, ""薪資""))), ""內部轉帳(忽略)"",
  REGEXMATCH(C3859, ""薪資""), ""薪資變動(不計入)"",
  REGEXMATCH(C3859, ""押金""), ""押金往來"",
  AND(E3859&lt;&gt;"""", F3859=""""), ""真實支出"",
  AND(E3859="""", F3859&lt;&gt;""""), ""真實收入"",
  TRUE, ""其他""
)"),"其他")</f>
        <v>其他</v>
      </c>
      <c r="K3859" s="270" t="str">
        <f t="shared" si="2"/>
        <v/>
      </c>
      <c r="L3859">
        <f t="shared" si="3"/>
        <v>0</v>
      </c>
    </row>
    <row r="3860">
      <c r="A3860" s="107"/>
      <c r="D3860" s="270"/>
      <c r="H3860" s="106" t="str">
        <f t="shared" si="1"/>
        <v/>
      </c>
      <c r="I3860" s="271" t="str">
        <f>IFERROR(__xludf.DUMMYFUNCTION("""COMPUTED_VALUE"""),"")</f>
        <v/>
      </c>
      <c r="J3860" t="str">
        <f>IFERROR(__xludf.DUMMYFUNCTION("IFS(
  AND(REGEXMATCH(E3860, ""台銀籌備帳戶|玉山帳戶""), REGEXMATCH(C3860, ""薪資"")), ""分潤支出"",
  AND(REGEXMATCH(E3860, ""Ben帳戶|Elsa帳戶|Ben代墊|Ariel代墊|中信銀行共用""), REGEXMATCH(F3860, ""Ben帳戶|Elsa帳戶|Ben代墊|Ariel代墊|中信銀行共用"")), ""內部轉帳(忽略)"",
  AND(E3860&lt;&gt;"""", F3860&lt;&gt;"""", N"&amp;"OT(REGEXMATCH(C3860, ""薪資""))), ""內部轉帳(忽略)"",
  REGEXMATCH(C3860, ""薪資""), ""薪資變動(不計入)"",
  REGEXMATCH(C3860, ""押金""), ""押金往來"",
  AND(E3860&lt;&gt;"""", F3860=""""), ""真實支出"",
  AND(E3860="""", F3860&lt;&gt;""""), ""真實收入"",
  TRUE, ""其他""
)"),"其他")</f>
        <v>其他</v>
      </c>
      <c r="K3860" s="270" t="str">
        <f t="shared" si="2"/>
        <v/>
      </c>
      <c r="L3860">
        <f t="shared" si="3"/>
        <v>0</v>
      </c>
    </row>
    <row r="3861">
      <c r="A3861" s="107"/>
      <c r="D3861" s="270"/>
      <c r="H3861" s="106" t="str">
        <f t="shared" si="1"/>
        <v/>
      </c>
      <c r="I3861" s="271" t="str">
        <f>IFERROR(__xludf.DUMMYFUNCTION("""COMPUTED_VALUE"""),"")</f>
        <v/>
      </c>
      <c r="J3861" t="str">
        <f>IFERROR(__xludf.DUMMYFUNCTION("IFS(
  AND(REGEXMATCH(E3861, ""台銀籌備帳戶|玉山帳戶""), REGEXMATCH(C3861, ""薪資"")), ""分潤支出"",
  AND(REGEXMATCH(E3861, ""Ben帳戶|Elsa帳戶|Ben代墊|Ariel代墊|中信銀行共用""), REGEXMATCH(F3861, ""Ben帳戶|Elsa帳戶|Ben代墊|Ariel代墊|中信銀行共用"")), ""內部轉帳(忽略)"",
  AND(E3861&lt;&gt;"""", F3861&lt;&gt;"""", N"&amp;"OT(REGEXMATCH(C3861, ""薪資""))), ""內部轉帳(忽略)"",
  REGEXMATCH(C3861, ""薪資""), ""薪資變動(不計入)"",
  REGEXMATCH(C3861, ""押金""), ""押金往來"",
  AND(E3861&lt;&gt;"""", F3861=""""), ""真實支出"",
  AND(E3861="""", F3861&lt;&gt;""""), ""真實收入"",
  TRUE, ""其他""
)"),"其他")</f>
        <v>其他</v>
      </c>
      <c r="K3861" s="270" t="str">
        <f t="shared" si="2"/>
        <v/>
      </c>
      <c r="L3861">
        <f t="shared" si="3"/>
        <v>0</v>
      </c>
    </row>
    <row r="3862">
      <c r="A3862" s="107"/>
      <c r="D3862" s="270"/>
      <c r="H3862" s="106" t="str">
        <f t="shared" si="1"/>
        <v/>
      </c>
      <c r="I3862" s="271" t="str">
        <f>IFERROR(__xludf.DUMMYFUNCTION("""COMPUTED_VALUE"""),"")</f>
        <v/>
      </c>
      <c r="J3862" t="str">
        <f>IFERROR(__xludf.DUMMYFUNCTION("IFS(
  AND(REGEXMATCH(E3862, ""台銀籌備帳戶|玉山帳戶""), REGEXMATCH(C3862, ""薪資"")), ""分潤支出"",
  AND(REGEXMATCH(E3862, ""Ben帳戶|Elsa帳戶|Ben代墊|Ariel代墊|中信銀行共用""), REGEXMATCH(F3862, ""Ben帳戶|Elsa帳戶|Ben代墊|Ariel代墊|中信銀行共用"")), ""內部轉帳(忽略)"",
  AND(E3862&lt;&gt;"""", F3862&lt;&gt;"""", N"&amp;"OT(REGEXMATCH(C3862, ""薪資""))), ""內部轉帳(忽略)"",
  REGEXMATCH(C3862, ""薪資""), ""薪資變動(不計入)"",
  REGEXMATCH(C3862, ""押金""), ""押金往來"",
  AND(E3862&lt;&gt;"""", F3862=""""), ""真實支出"",
  AND(E3862="""", F3862&lt;&gt;""""), ""真實收入"",
  TRUE, ""其他""
)"),"其他")</f>
        <v>其他</v>
      </c>
      <c r="K3862" s="270" t="str">
        <f t="shared" si="2"/>
        <v/>
      </c>
      <c r="L3862">
        <f t="shared" si="3"/>
        <v>0</v>
      </c>
    </row>
    <row r="3863">
      <c r="A3863" s="107"/>
      <c r="D3863" s="270"/>
      <c r="H3863" s="106" t="str">
        <f t="shared" si="1"/>
        <v/>
      </c>
      <c r="I3863" s="271" t="str">
        <f>IFERROR(__xludf.DUMMYFUNCTION("""COMPUTED_VALUE"""),"")</f>
        <v/>
      </c>
      <c r="J3863" t="str">
        <f>IFERROR(__xludf.DUMMYFUNCTION("IFS(
  AND(REGEXMATCH(E3863, ""台銀籌備帳戶|玉山帳戶""), REGEXMATCH(C3863, ""薪資"")), ""分潤支出"",
  AND(REGEXMATCH(E3863, ""Ben帳戶|Elsa帳戶|Ben代墊|Ariel代墊|中信銀行共用""), REGEXMATCH(F3863, ""Ben帳戶|Elsa帳戶|Ben代墊|Ariel代墊|中信銀行共用"")), ""內部轉帳(忽略)"",
  AND(E3863&lt;&gt;"""", F3863&lt;&gt;"""", N"&amp;"OT(REGEXMATCH(C3863, ""薪資""))), ""內部轉帳(忽略)"",
  REGEXMATCH(C3863, ""薪資""), ""薪資變動(不計入)"",
  REGEXMATCH(C3863, ""押金""), ""押金往來"",
  AND(E3863&lt;&gt;"""", F3863=""""), ""真實支出"",
  AND(E3863="""", F3863&lt;&gt;""""), ""真實收入"",
  TRUE, ""其他""
)"),"其他")</f>
        <v>其他</v>
      </c>
      <c r="K3863" s="270" t="str">
        <f t="shared" si="2"/>
        <v/>
      </c>
      <c r="L3863">
        <f t="shared" si="3"/>
        <v>0</v>
      </c>
    </row>
    <row r="3864">
      <c r="A3864" s="107"/>
      <c r="D3864" s="270"/>
      <c r="H3864" s="106" t="str">
        <f t="shared" si="1"/>
        <v/>
      </c>
      <c r="I3864" s="271" t="str">
        <f>IFERROR(__xludf.DUMMYFUNCTION("""COMPUTED_VALUE"""),"")</f>
        <v/>
      </c>
      <c r="J3864" t="str">
        <f>IFERROR(__xludf.DUMMYFUNCTION("IFS(
  AND(REGEXMATCH(E3864, ""台銀籌備帳戶|玉山帳戶""), REGEXMATCH(C3864, ""薪資"")), ""分潤支出"",
  AND(REGEXMATCH(E3864, ""Ben帳戶|Elsa帳戶|Ben代墊|Ariel代墊|中信銀行共用""), REGEXMATCH(F3864, ""Ben帳戶|Elsa帳戶|Ben代墊|Ariel代墊|中信銀行共用"")), ""內部轉帳(忽略)"",
  AND(E3864&lt;&gt;"""", F3864&lt;&gt;"""", N"&amp;"OT(REGEXMATCH(C3864, ""薪資""))), ""內部轉帳(忽略)"",
  REGEXMATCH(C3864, ""薪資""), ""薪資變動(不計入)"",
  REGEXMATCH(C3864, ""押金""), ""押金往來"",
  AND(E3864&lt;&gt;"""", F3864=""""), ""真實支出"",
  AND(E3864="""", F3864&lt;&gt;""""), ""真實收入"",
  TRUE, ""其他""
)"),"其他")</f>
        <v>其他</v>
      </c>
      <c r="K3864" s="270" t="str">
        <f t="shared" si="2"/>
        <v/>
      </c>
      <c r="L3864">
        <f t="shared" si="3"/>
        <v>0</v>
      </c>
    </row>
    <row r="3865">
      <c r="A3865" s="107"/>
      <c r="D3865" s="270"/>
      <c r="H3865" s="106" t="str">
        <f t="shared" si="1"/>
        <v/>
      </c>
      <c r="I3865" s="271" t="str">
        <f>IFERROR(__xludf.DUMMYFUNCTION("""COMPUTED_VALUE"""),"")</f>
        <v/>
      </c>
      <c r="J3865" t="str">
        <f>IFERROR(__xludf.DUMMYFUNCTION("IFS(
  AND(REGEXMATCH(E3865, ""台銀籌備帳戶|玉山帳戶""), REGEXMATCH(C3865, ""薪資"")), ""分潤支出"",
  AND(REGEXMATCH(E3865, ""Ben帳戶|Elsa帳戶|Ben代墊|Ariel代墊|中信銀行共用""), REGEXMATCH(F3865, ""Ben帳戶|Elsa帳戶|Ben代墊|Ariel代墊|中信銀行共用"")), ""內部轉帳(忽略)"",
  AND(E3865&lt;&gt;"""", F3865&lt;&gt;"""", N"&amp;"OT(REGEXMATCH(C3865, ""薪資""))), ""內部轉帳(忽略)"",
  REGEXMATCH(C3865, ""薪資""), ""薪資變動(不計入)"",
  REGEXMATCH(C3865, ""押金""), ""押金往來"",
  AND(E3865&lt;&gt;"""", F3865=""""), ""真實支出"",
  AND(E3865="""", F3865&lt;&gt;""""), ""真實收入"",
  TRUE, ""其他""
)"),"其他")</f>
        <v>其他</v>
      </c>
      <c r="K3865" s="270" t="str">
        <f t="shared" si="2"/>
        <v/>
      </c>
      <c r="L3865">
        <f t="shared" si="3"/>
        <v>0</v>
      </c>
    </row>
    <row r="3866">
      <c r="A3866" s="107"/>
      <c r="D3866" s="270"/>
      <c r="H3866" s="106" t="str">
        <f t="shared" si="1"/>
        <v/>
      </c>
      <c r="I3866" s="271" t="str">
        <f>IFERROR(__xludf.DUMMYFUNCTION("""COMPUTED_VALUE"""),"")</f>
        <v/>
      </c>
      <c r="J3866" t="str">
        <f>IFERROR(__xludf.DUMMYFUNCTION("IFS(
  AND(REGEXMATCH(E3866, ""台銀籌備帳戶|玉山帳戶""), REGEXMATCH(C3866, ""薪資"")), ""分潤支出"",
  AND(REGEXMATCH(E3866, ""Ben帳戶|Elsa帳戶|Ben代墊|Ariel代墊|中信銀行共用""), REGEXMATCH(F3866, ""Ben帳戶|Elsa帳戶|Ben代墊|Ariel代墊|中信銀行共用"")), ""內部轉帳(忽略)"",
  AND(E3866&lt;&gt;"""", F3866&lt;&gt;"""", N"&amp;"OT(REGEXMATCH(C3866, ""薪資""))), ""內部轉帳(忽略)"",
  REGEXMATCH(C3866, ""薪資""), ""薪資變動(不計入)"",
  REGEXMATCH(C3866, ""押金""), ""押金往來"",
  AND(E3866&lt;&gt;"""", F3866=""""), ""真實支出"",
  AND(E3866="""", F3866&lt;&gt;""""), ""真實收入"",
  TRUE, ""其他""
)"),"其他")</f>
        <v>其他</v>
      </c>
      <c r="K3866" s="270" t="str">
        <f t="shared" si="2"/>
        <v/>
      </c>
      <c r="L3866">
        <f t="shared" si="3"/>
        <v>0</v>
      </c>
    </row>
    <row r="3867">
      <c r="A3867" s="107"/>
      <c r="D3867" s="270"/>
      <c r="H3867" s="106" t="str">
        <f t="shared" si="1"/>
        <v/>
      </c>
      <c r="I3867" s="271" t="str">
        <f>IFERROR(__xludf.DUMMYFUNCTION("""COMPUTED_VALUE"""),"")</f>
        <v/>
      </c>
      <c r="J3867" t="str">
        <f>IFERROR(__xludf.DUMMYFUNCTION("IFS(
  AND(REGEXMATCH(E3867, ""台銀籌備帳戶|玉山帳戶""), REGEXMATCH(C3867, ""薪資"")), ""分潤支出"",
  AND(REGEXMATCH(E3867, ""Ben帳戶|Elsa帳戶|Ben代墊|Ariel代墊|中信銀行共用""), REGEXMATCH(F3867, ""Ben帳戶|Elsa帳戶|Ben代墊|Ariel代墊|中信銀行共用"")), ""內部轉帳(忽略)"",
  AND(E3867&lt;&gt;"""", F3867&lt;&gt;"""", N"&amp;"OT(REGEXMATCH(C3867, ""薪資""))), ""內部轉帳(忽略)"",
  REGEXMATCH(C3867, ""薪資""), ""薪資變動(不計入)"",
  REGEXMATCH(C3867, ""押金""), ""押金往來"",
  AND(E3867&lt;&gt;"""", F3867=""""), ""真實支出"",
  AND(E3867="""", F3867&lt;&gt;""""), ""真實收入"",
  TRUE, ""其他""
)"),"其他")</f>
        <v>其他</v>
      </c>
      <c r="K3867" s="270" t="str">
        <f t="shared" si="2"/>
        <v/>
      </c>
      <c r="L3867">
        <f t="shared" si="3"/>
        <v>0</v>
      </c>
    </row>
    <row r="3868">
      <c r="A3868" s="107"/>
      <c r="D3868" s="270"/>
      <c r="H3868" s="106" t="str">
        <f t="shared" si="1"/>
        <v/>
      </c>
      <c r="I3868" s="271" t="str">
        <f>IFERROR(__xludf.DUMMYFUNCTION("""COMPUTED_VALUE"""),"")</f>
        <v/>
      </c>
      <c r="J3868" t="str">
        <f>IFERROR(__xludf.DUMMYFUNCTION("IFS(
  AND(REGEXMATCH(E3868, ""台銀籌備帳戶|玉山帳戶""), REGEXMATCH(C3868, ""薪資"")), ""分潤支出"",
  AND(REGEXMATCH(E3868, ""Ben帳戶|Elsa帳戶|Ben代墊|Ariel代墊|中信銀行共用""), REGEXMATCH(F3868, ""Ben帳戶|Elsa帳戶|Ben代墊|Ariel代墊|中信銀行共用"")), ""內部轉帳(忽略)"",
  AND(E3868&lt;&gt;"""", F3868&lt;&gt;"""", N"&amp;"OT(REGEXMATCH(C3868, ""薪資""))), ""內部轉帳(忽略)"",
  REGEXMATCH(C3868, ""薪資""), ""薪資變動(不計入)"",
  REGEXMATCH(C3868, ""押金""), ""押金往來"",
  AND(E3868&lt;&gt;"""", F3868=""""), ""真實支出"",
  AND(E3868="""", F3868&lt;&gt;""""), ""真實收入"",
  TRUE, ""其他""
)"),"其他")</f>
        <v>其他</v>
      </c>
      <c r="K3868" s="270" t="str">
        <f t="shared" si="2"/>
        <v/>
      </c>
      <c r="L3868">
        <f t="shared" si="3"/>
        <v>0</v>
      </c>
    </row>
    <row r="3869">
      <c r="A3869" s="107"/>
      <c r="D3869" s="270"/>
      <c r="H3869" s="106" t="str">
        <f t="shared" si="1"/>
        <v/>
      </c>
      <c r="I3869" s="271" t="str">
        <f>IFERROR(__xludf.DUMMYFUNCTION("""COMPUTED_VALUE"""),"")</f>
        <v/>
      </c>
      <c r="J3869" t="str">
        <f>IFERROR(__xludf.DUMMYFUNCTION("IFS(
  AND(REGEXMATCH(E3869, ""台銀籌備帳戶|玉山帳戶""), REGEXMATCH(C3869, ""薪資"")), ""分潤支出"",
  AND(REGEXMATCH(E3869, ""Ben帳戶|Elsa帳戶|Ben代墊|Ariel代墊|中信銀行共用""), REGEXMATCH(F3869, ""Ben帳戶|Elsa帳戶|Ben代墊|Ariel代墊|中信銀行共用"")), ""內部轉帳(忽略)"",
  AND(E3869&lt;&gt;"""", F3869&lt;&gt;"""", N"&amp;"OT(REGEXMATCH(C3869, ""薪資""))), ""內部轉帳(忽略)"",
  REGEXMATCH(C3869, ""薪資""), ""薪資變動(不計入)"",
  REGEXMATCH(C3869, ""押金""), ""押金往來"",
  AND(E3869&lt;&gt;"""", F3869=""""), ""真實支出"",
  AND(E3869="""", F3869&lt;&gt;""""), ""真實收入"",
  TRUE, ""其他""
)"),"其他")</f>
        <v>其他</v>
      </c>
      <c r="K3869" s="270" t="str">
        <f t="shared" si="2"/>
        <v/>
      </c>
      <c r="L3869">
        <f t="shared" si="3"/>
        <v>0</v>
      </c>
    </row>
    <row r="3870">
      <c r="A3870" s="107"/>
      <c r="D3870" s="270"/>
      <c r="H3870" s="106" t="str">
        <f t="shared" si="1"/>
        <v/>
      </c>
      <c r="I3870" s="271" t="str">
        <f>IFERROR(__xludf.DUMMYFUNCTION("""COMPUTED_VALUE"""),"")</f>
        <v/>
      </c>
      <c r="J3870" t="str">
        <f>IFERROR(__xludf.DUMMYFUNCTION("IFS(
  AND(REGEXMATCH(E3870, ""台銀籌備帳戶|玉山帳戶""), REGEXMATCH(C3870, ""薪資"")), ""分潤支出"",
  AND(REGEXMATCH(E3870, ""Ben帳戶|Elsa帳戶|Ben代墊|Ariel代墊|中信銀行共用""), REGEXMATCH(F3870, ""Ben帳戶|Elsa帳戶|Ben代墊|Ariel代墊|中信銀行共用"")), ""內部轉帳(忽略)"",
  AND(E3870&lt;&gt;"""", F3870&lt;&gt;"""", N"&amp;"OT(REGEXMATCH(C3870, ""薪資""))), ""內部轉帳(忽略)"",
  REGEXMATCH(C3870, ""薪資""), ""薪資變動(不計入)"",
  REGEXMATCH(C3870, ""押金""), ""押金往來"",
  AND(E3870&lt;&gt;"""", F3870=""""), ""真實支出"",
  AND(E3870="""", F3870&lt;&gt;""""), ""真實收入"",
  TRUE, ""其他""
)"),"其他")</f>
        <v>其他</v>
      </c>
      <c r="K3870" s="270" t="str">
        <f t="shared" si="2"/>
        <v/>
      </c>
      <c r="L3870">
        <f t="shared" si="3"/>
        <v>0</v>
      </c>
    </row>
    <row r="3871">
      <c r="A3871" s="107"/>
      <c r="D3871" s="270"/>
      <c r="H3871" s="106" t="str">
        <f t="shared" si="1"/>
        <v/>
      </c>
      <c r="I3871" s="271" t="str">
        <f>IFERROR(__xludf.DUMMYFUNCTION("""COMPUTED_VALUE"""),"")</f>
        <v/>
      </c>
      <c r="J3871" t="str">
        <f>IFERROR(__xludf.DUMMYFUNCTION("IFS(
  AND(REGEXMATCH(E3871, ""台銀籌備帳戶|玉山帳戶""), REGEXMATCH(C3871, ""薪資"")), ""分潤支出"",
  AND(REGEXMATCH(E3871, ""Ben帳戶|Elsa帳戶|Ben代墊|Ariel代墊|中信銀行共用""), REGEXMATCH(F3871, ""Ben帳戶|Elsa帳戶|Ben代墊|Ariel代墊|中信銀行共用"")), ""內部轉帳(忽略)"",
  AND(E3871&lt;&gt;"""", F3871&lt;&gt;"""", N"&amp;"OT(REGEXMATCH(C3871, ""薪資""))), ""內部轉帳(忽略)"",
  REGEXMATCH(C3871, ""薪資""), ""薪資變動(不計入)"",
  REGEXMATCH(C3871, ""押金""), ""押金往來"",
  AND(E3871&lt;&gt;"""", F3871=""""), ""真實支出"",
  AND(E3871="""", F3871&lt;&gt;""""), ""真實收入"",
  TRUE, ""其他""
)"),"其他")</f>
        <v>其他</v>
      </c>
      <c r="K3871" s="270" t="str">
        <f t="shared" si="2"/>
        <v/>
      </c>
      <c r="L3871">
        <f t="shared" si="3"/>
        <v>0</v>
      </c>
    </row>
    <row r="3872">
      <c r="A3872" s="107"/>
      <c r="D3872" s="270"/>
      <c r="H3872" s="106" t="str">
        <f t="shared" si="1"/>
        <v/>
      </c>
      <c r="I3872" s="271" t="str">
        <f>IFERROR(__xludf.DUMMYFUNCTION("""COMPUTED_VALUE"""),"")</f>
        <v/>
      </c>
      <c r="J3872" t="str">
        <f>IFERROR(__xludf.DUMMYFUNCTION("IFS(
  AND(REGEXMATCH(E3872, ""台銀籌備帳戶|玉山帳戶""), REGEXMATCH(C3872, ""薪資"")), ""分潤支出"",
  AND(REGEXMATCH(E3872, ""Ben帳戶|Elsa帳戶|Ben代墊|Ariel代墊|中信銀行共用""), REGEXMATCH(F3872, ""Ben帳戶|Elsa帳戶|Ben代墊|Ariel代墊|中信銀行共用"")), ""內部轉帳(忽略)"",
  AND(E3872&lt;&gt;"""", F3872&lt;&gt;"""", N"&amp;"OT(REGEXMATCH(C3872, ""薪資""))), ""內部轉帳(忽略)"",
  REGEXMATCH(C3872, ""薪資""), ""薪資變動(不計入)"",
  REGEXMATCH(C3872, ""押金""), ""押金往來"",
  AND(E3872&lt;&gt;"""", F3872=""""), ""真實支出"",
  AND(E3872="""", F3872&lt;&gt;""""), ""真實收入"",
  TRUE, ""其他""
)"),"其他")</f>
        <v>其他</v>
      </c>
      <c r="K3872" s="270" t="str">
        <f t="shared" si="2"/>
        <v/>
      </c>
      <c r="L3872">
        <f t="shared" si="3"/>
        <v>0</v>
      </c>
    </row>
    <row r="3873">
      <c r="A3873" s="107"/>
      <c r="D3873" s="270"/>
      <c r="H3873" s="106" t="str">
        <f t="shared" si="1"/>
        <v/>
      </c>
      <c r="I3873" s="271" t="str">
        <f>IFERROR(__xludf.DUMMYFUNCTION("""COMPUTED_VALUE"""),"")</f>
        <v/>
      </c>
      <c r="J3873" t="str">
        <f>IFERROR(__xludf.DUMMYFUNCTION("IFS(
  AND(REGEXMATCH(E3873, ""台銀籌備帳戶|玉山帳戶""), REGEXMATCH(C3873, ""薪資"")), ""分潤支出"",
  AND(REGEXMATCH(E3873, ""Ben帳戶|Elsa帳戶|Ben代墊|Ariel代墊|中信銀行共用""), REGEXMATCH(F3873, ""Ben帳戶|Elsa帳戶|Ben代墊|Ariel代墊|中信銀行共用"")), ""內部轉帳(忽略)"",
  AND(E3873&lt;&gt;"""", F3873&lt;&gt;"""", N"&amp;"OT(REGEXMATCH(C3873, ""薪資""))), ""內部轉帳(忽略)"",
  REGEXMATCH(C3873, ""薪資""), ""薪資變動(不計入)"",
  REGEXMATCH(C3873, ""押金""), ""押金往來"",
  AND(E3873&lt;&gt;"""", F3873=""""), ""真實支出"",
  AND(E3873="""", F3873&lt;&gt;""""), ""真實收入"",
  TRUE, ""其他""
)"),"其他")</f>
        <v>其他</v>
      </c>
      <c r="K3873" s="270" t="str">
        <f t="shared" si="2"/>
        <v/>
      </c>
      <c r="L3873">
        <f t="shared" si="3"/>
        <v>0</v>
      </c>
    </row>
    <row r="3874">
      <c r="A3874" s="107"/>
      <c r="D3874" s="270"/>
      <c r="H3874" s="106" t="str">
        <f t="shared" si="1"/>
        <v/>
      </c>
      <c r="I3874" s="271" t="str">
        <f>IFERROR(__xludf.DUMMYFUNCTION("""COMPUTED_VALUE"""),"")</f>
        <v/>
      </c>
      <c r="J3874" t="str">
        <f>IFERROR(__xludf.DUMMYFUNCTION("IFS(
  AND(REGEXMATCH(E3874, ""台銀籌備帳戶|玉山帳戶""), REGEXMATCH(C3874, ""薪資"")), ""分潤支出"",
  AND(REGEXMATCH(E3874, ""Ben帳戶|Elsa帳戶|Ben代墊|Ariel代墊|中信銀行共用""), REGEXMATCH(F3874, ""Ben帳戶|Elsa帳戶|Ben代墊|Ariel代墊|中信銀行共用"")), ""內部轉帳(忽略)"",
  AND(E3874&lt;&gt;"""", F3874&lt;&gt;"""", N"&amp;"OT(REGEXMATCH(C3874, ""薪資""))), ""內部轉帳(忽略)"",
  REGEXMATCH(C3874, ""薪資""), ""薪資變動(不計入)"",
  REGEXMATCH(C3874, ""押金""), ""押金往來"",
  AND(E3874&lt;&gt;"""", F3874=""""), ""真實支出"",
  AND(E3874="""", F3874&lt;&gt;""""), ""真實收入"",
  TRUE, ""其他""
)"),"其他")</f>
        <v>其他</v>
      </c>
      <c r="K3874" s="270" t="str">
        <f t="shared" si="2"/>
        <v/>
      </c>
      <c r="L3874">
        <f t="shared" si="3"/>
        <v>0</v>
      </c>
    </row>
    <row r="3875">
      <c r="A3875" s="107"/>
      <c r="D3875" s="270"/>
      <c r="H3875" s="106" t="str">
        <f t="shared" si="1"/>
        <v/>
      </c>
      <c r="I3875" s="271" t="str">
        <f>IFERROR(__xludf.DUMMYFUNCTION("""COMPUTED_VALUE"""),"")</f>
        <v/>
      </c>
      <c r="J3875" t="str">
        <f>IFERROR(__xludf.DUMMYFUNCTION("IFS(
  AND(REGEXMATCH(E3875, ""台銀籌備帳戶|玉山帳戶""), REGEXMATCH(C3875, ""薪資"")), ""分潤支出"",
  AND(REGEXMATCH(E3875, ""Ben帳戶|Elsa帳戶|Ben代墊|Ariel代墊|中信銀行共用""), REGEXMATCH(F3875, ""Ben帳戶|Elsa帳戶|Ben代墊|Ariel代墊|中信銀行共用"")), ""內部轉帳(忽略)"",
  AND(E3875&lt;&gt;"""", F3875&lt;&gt;"""", N"&amp;"OT(REGEXMATCH(C3875, ""薪資""))), ""內部轉帳(忽略)"",
  REGEXMATCH(C3875, ""薪資""), ""薪資變動(不計入)"",
  REGEXMATCH(C3875, ""押金""), ""押金往來"",
  AND(E3875&lt;&gt;"""", F3875=""""), ""真實支出"",
  AND(E3875="""", F3875&lt;&gt;""""), ""真實收入"",
  TRUE, ""其他""
)"),"其他")</f>
        <v>其他</v>
      </c>
      <c r="K3875" s="270" t="str">
        <f t="shared" si="2"/>
        <v/>
      </c>
      <c r="L3875">
        <f t="shared" si="3"/>
        <v>0</v>
      </c>
    </row>
    <row r="3876">
      <c r="A3876" s="107"/>
      <c r="D3876" s="270"/>
      <c r="H3876" s="106" t="str">
        <f t="shared" si="1"/>
        <v/>
      </c>
      <c r="I3876" s="271" t="str">
        <f>IFERROR(__xludf.DUMMYFUNCTION("""COMPUTED_VALUE"""),"")</f>
        <v/>
      </c>
      <c r="J3876" t="str">
        <f>IFERROR(__xludf.DUMMYFUNCTION("IFS(
  AND(REGEXMATCH(E3876, ""台銀籌備帳戶|玉山帳戶""), REGEXMATCH(C3876, ""薪資"")), ""分潤支出"",
  AND(REGEXMATCH(E3876, ""Ben帳戶|Elsa帳戶|Ben代墊|Ariel代墊|中信銀行共用""), REGEXMATCH(F3876, ""Ben帳戶|Elsa帳戶|Ben代墊|Ariel代墊|中信銀行共用"")), ""內部轉帳(忽略)"",
  AND(E3876&lt;&gt;"""", F3876&lt;&gt;"""", N"&amp;"OT(REGEXMATCH(C3876, ""薪資""))), ""內部轉帳(忽略)"",
  REGEXMATCH(C3876, ""薪資""), ""薪資變動(不計入)"",
  REGEXMATCH(C3876, ""押金""), ""押金往來"",
  AND(E3876&lt;&gt;"""", F3876=""""), ""真實支出"",
  AND(E3876="""", F3876&lt;&gt;""""), ""真實收入"",
  TRUE, ""其他""
)"),"其他")</f>
        <v>其他</v>
      </c>
      <c r="K3876" s="270" t="str">
        <f t="shared" si="2"/>
        <v/>
      </c>
      <c r="L3876">
        <f t="shared" si="3"/>
        <v>0</v>
      </c>
    </row>
    <row r="3877">
      <c r="A3877" s="107"/>
      <c r="D3877" s="270"/>
      <c r="H3877" s="106" t="str">
        <f t="shared" si="1"/>
        <v/>
      </c>
      <c r="I3877" s="271" t="str">
        <f>IFERROR(__xludf.DUMMYFUNCTION("""COMPUTED_VALUE"""),"")</f>
        <v/>
      </c>
      <c r="J3877" t="str">
        <f>IFERROR(__xludf.DUMMYFUNCTION("IFS(
  AND(REGEXMATCH(E3877, ""台銀籌備帳戶|玉山帳戶""), REGEXMATCH(C3877, ""薪資"")), ""分潤支出"",
  AND(REGEXMATCH(E3877, ""Ben帳戶|Elsa帳戶|Ben代墊|Ariel代墊|中信銀行共用""), REGEXMATCH(F3877, ""Ben帳戶|Elsa帳戶|Ben代墊|Ariel代墊|中信銀行共用"")), ""內部轉帳(忽略)"",
  AND(E3877&lt;&gt;"""", F3877&lt;&gt;"""", N"&amp;"OT(REGEXMATCH(C3877, ""薪資""))), ""內部轉帳(忽略)"",
  REGEXMATCH(C3877, ""薪資""), ""薪資變動(不計入)"",
  REGEXMATCH(C3877, ""押金""), ""押金往來"",
  AND(E3877&lt;&gt;"""", F3877=""""), ""真實支出"",
  AND(E3877="""", F3877&lt;&gt;""""), ""真實收入"",
  TRUE, ""其他""
)"),"其他")</f>
        <v>其他</v>
      </c>
      <c r="K3877" s="270" t="str">
        <f t="shared" si="2"/>
        <v/>
      </c>
      <c r="L3877">
        <f t="shared" si="3"/>
        <v>0</v>
      </c>
    </row>
    <row r="3878">
      <c r="A3878" s="107"/>
      <c r="D3878" s="270"/>
      <c r="H3878" s="106" t="str">
        <f t="shared" si="1"/>
        <v/>
      </c>
      <c r="I3878" s="271" t="str">
        <f>IFERROR(__xludf.DUMMYFUNCTION("""COMPUTED_VALUE"""),"")</f>
        <v/>
      </c>
      <c r="J3878" t="str">
        <f>IFERROR(__xludf.DUMMYFUNCTION("IFS(
  AND(REGEXMATCH(E3878, ""台銀籌備帳戶|玉山帳戶""), REGEXMATCH(C3878, ""薪資"")), ""分潤支出"",
  AND(REGEXMATCH(E3878, ""Ben帳戶|Elsa帳戶|Ben代墊|Ariel代墊|中信銀行共用""), REGEXMATCH(F3878, ""Ben帳戶|Elsa帳戶|Ben代墊|Ariel代墊|中信銀行共用"")), ""內部轉帳(忽略)"",
  AND(E3878&lt;&gt;"""", F3878&lt;&gt;"""", N"&amp;"OT(REGEXMATCH(C3878, ""薪資""))), ""內部轉帳(忽略)"",
  REGEXMATCH(C3878, ""薪資""), ""薪資變動(不計入)"",
  REGEXMATCH(C3878, ""押金""), ""押金往來"",
  AND(E3878&lt;&gt;"""", F3878=""""), ""真實支出"",
  AND(E3878="""", F3878&lt;&gt;""""), ""真實收入"",
  TRUE, ""其他""
)"),"其他")</f>
        <v>其他</v>
      </c>
      <c r="K3878" s="270" t="str">
        <f t="shared" si="2"/>
        <v/>
      </c>
      <c r="L3878">
        <f t="shared" si="3"/>
        <v>0</v>
      </c>
    </row>
    <row r="3879">
      <c r="A3879" s="107"/>
      <c r="D3879" s="270"/>
      <c r="H3879" s="106" t="str">
        <f t="shared" si="1"/>
        <v/>
      </c>
      <c r="I3879" s="271" t="str">
        <f>IFERROR(__xludf.DUMMYFUNCTION("""COMPUTED_VALUE"""),"")</f>
        <v/>
      </c>
      <c r="J3879" t="str">
        <f>IFERROR(__xludf.DUMMYFUNCTION("IFS(
  AND(REGEXMATCH(E3879, ""台銀籌備帳戶|玉山帳戶""), REGEXMATCH(C3879, ""薪資"")), ""分潤支出"",
  AND(REGEXMATCH(E3879, ""Ben帳戶|Elsa帳戶|Ben代墊|Ariel代墊|中信銀行共用""), REGEXMATCH(F3879, ""Ben帳戶|Elsa帳戶|Ben代墊|Ariel代墊|中信銀行共用"")), ""內部轉帳(忽略)"",
  AND(E3879&lt;&gt;"""", F3879&lt;&gt;"""", N"&amp;"OT(REGEXMATCH(C3879, ""薪資""))), ""內部轉帳(忽略)"",
  REGEXMATCH(C3879, ""薪資""), ""薪資變動(不計入)"",
  REGEXMATCH(C3879, ""押金""), ""押金往來"",
  AND(E3879&lt;&gt;"""", F3879=""""), ""真實支出"",
  AND(E3879="""", F3879&lt;&gt;""""), ""真實收入"",
  TRUE, ""其他""
)"),"其他")</f>
        <v>其他</v>
      </c>
      <c r="K3879" s="270" t="str">
        <f t="shared" si="2"/>
        <v/>
      </c>
      <c r="L3879">
        <f t="shared" si="3"/>
        <v>0</v>
      </c>
    </row>
    <row r="3880">
      <c r="A3880" s="107"/>
      <c r="D3880" s="270"/>
      <c r="H3880" s="106" t="str">
        <f t="shared" si="1"/>
        <v/>
      </c>
      <c r="I3880" s="271" t="str">
        <f>IFERROR(__xludf.DUMMYFUNCTION("""COMPUTED_VALUE"""),"")</f>
        <v/>
      </c>
      <c r="J3880" t="str">
        <f>IFERROR(__xludf.DUMMYFUNCTION("IFS(
  AND(REGEXMATCH(E3880, ""台銀籌備帳戶|玉山帳戶""), REGEXMATCH(C3880, ""薪資"")), ""分潤支出"",
  AND(REGEXMATCH(E3880, ""Ben帳戶|Elsa帳戶|Ben代墊|Ariel代墊|中信銀行共用""), REGEXMATCH(F3880, ""Ben帳戶|Elsa帳戶|Ben代墊|Ariel代墊|中信銀行共用"")), ""內部轉帳(忽略)"",
  AND(E3880&lt;&gt;"""", F3880&lt;&gt;"""", N"&amp;"OT(REGEXMATCH(C3880, ""薪資""))), ""內部轉帳(忽略)"",
  REGEXMATCH(C3880, ""薪資""), ""薪資變動(不計入)"",
  REGEXMATCH(C3880, ""押金""), ""押金往來"",
  AND(E3880&lt;&gt;"""", F3880=""""), ""真實支出"",
  AND(E3880="""", F3880&lt;&gt;""""), ""真實收入"",
  TRUE, ""其他""
)"),"其他")</f>
        <v>其他</v>
      </c>
      <c r="K3880" s="270" t="str">
        <f t="shared" si="2"/>
        <v/>
      </c>
      <c r="L3880">
        <f t="shared" si="3"/>
        <v>0</v>
      </c>
    </row>
    <row r="3881">
      <c r="A3881" s="107"/>
      <c r="D3881" s="270"/>
      <c r="H3881" s="106" t="str">
        <f t="shared" si="1"/>
        <v/>
      </c>
      <c r="I3881" s="271" t="str">
        <f>IFERROR(__xludf.DUMMYFUNCTION("""COMPUTED_VALUE"""),"")</f>
        <v/>
      </c>
      <c r="J3881" t="str">
        <f>IFERROR(__xludf.DUMMYFUNCTION("IFS(
  AND(REGEXMATCH(E3881, ""台銀籌備帳戶|玉山帳戶""), REGEXMATCH(C3881, ""薪資"")), ""分潤支出"",
  AND(REGEXMATCH(E3881, ""Ben帳戶|Elsa帳戶|Ben代墊|Ariel代墊|中信銀行共用""), REGEXMATCH(F3881, ""Ben帳戶|Elsa帳戶|Ben代墊|Ariel代墊|中信銀行共用"")), ""內部轉帳(忽略)"",
  AND(E3881&lt;&gt;"""", F3881&lt;&gt;"""", N"&amp;"OT(REGEXMATCH(C3881, ""薪資""))), ""內部轉帳(忽略)"",
  REGEXMATCH(C3881, ""薪資""), ""薪資變動(不計入)"",
  REGEXMATCH(C3881, ""押金""), ""押金往來"",
  AND(E3881&lt;&gt;"""", F3881=""""), ""真實支出"",
  AND(E3881="""", F3881&lt;&gt;""""), ""真實收入"",
  TRUE, ""其他""
)"),"其他")</f>
        <v>其他</v>
      </c>
      <c r="K3881" s="270" t="str">
        <f t="shared" si="2"/>
        <v/>
      </c>
      <c r="L3881">
        <f t="shared" si="3"/>
        <v>0</v>
      </c>
    </row>
    <row r="3882">
      <c r="A3882" s="107"/>
      <c r="D3882" s="270"/>
      <c r="H3882" s="106" t="str">
        <f t="shared" si="1"/>
        <v/>
      </c>
      <c r="I3882" s="271" t="str">
        <f>IFERROR(__xludf.DUMMYFUNCTION("""COMPUTED_VALUE"""),"")</f>
        <v/>
      </c>
      <c r="J3882" t="str">
        <f>IFERROR(__xludf.DUMMYFUNCTION("IFS(
  AND(REGEXMATCH(E3882, ""台銀籌備帳戶|玉山帳戶""), REGEXMATCH(C3882, ""薪資"")), ""分潤支出"",
  AND(REGEXMATCH(E3882, ""Ben帳戶|Elsa帳戶|Ben代墊|Ariel代墊|中信銀行共用""), REGEXMATCH(F3882, ""Ben帳戶|Elsa帳戶|Ben代墊|Ariel代墊|中信銀行共用"")), ""內部轉帳(忽略)"",
  AND(E3882&lt;&gt;"""", F3882&lt;&gt;"""", N"&amp;"OT(REGEXMATCH(C3882, ""薪資""))), ""內部轉帳(忽略)"",
  REGEXMATCH(C3882, ""薪資""), ""薪資變動(不計入)"",
  REGEXMATCH(C3882, ""押金""), ""押金往來"",
  AND(E3882&lt;&gt;"""", F3882=""""), ""真實支出"",
  AND(E3882="""", F3882&lt;&gt;""""), ""真實收入"",
  TRUE, ""其他""
)"),"其他")</f>
        <v>其他</v>
      </c>
      <c r="K3882" s="270" t="str">
        <f t="shared" si="2"/>
        <v/>
      </c>
      <c r="L3882">
        <f t="shared" si="3"/>
        <v>0</v>
      </c>
    </row>
    <row r="3883">
      <c r="A3883" s="107"/>
      <c r="D3883" s="270"/>
      <c r="H3883" s="106" t="str">
        <f t="shared" si="1"/>
        <v/>
      </c>
      <c r="I3883" s="271" t="str">
        <f>IFERROR(__xludf.DUMMYFUNCTION("""COMPUTED_VALUE"""),"")</f>
        <v/>
      </c>
      <c r="J3883" t="str">
        <f>IFERROR(__xludf.DUMMYFUNCTION("IFS(
  AND(REGEXMATCH(E3883, ""台銀籌備帳戶|玉山帳戶""), REGEXMATCH(C3883, ""薪資"")), ""分潤支出"",
  AND(REGEXMATCH(E3883, ""Ben帳戶|Elsa帳戶|Ben代墊|Ariel代墊|中信銀行共用""), REGEXMATCH(F3883, ""Ben帳戶|Elsa帳戶|Ben代墊|Ariel代墊|中信銀行共用"")), ""內部轉帳(忽略)"",
  AND(E3883&lt;&gt;"""", F3883&lt;&gt;"""", N"&amp;"OT(REGEXMATCH(C3883, ""薪資""))), ""內部轉帳(忽略)"",
  REGEXMATCH(C3883, ""薪資""), ""薪資變動(不計入)"",
  REGEXMATCH(C3883, ""押金""), ""押金往來"",
  AND(E3883&lt;&gt;"""", F3883=""""), ""真實支出"",
  AND(E3883="""", F3883&lt;&gt;""""), ""真實收入"",
  TRUE, ""其他""
)"),"其他")</f>
        <v>其他</v>
      </c>
      <c r="K3883" s="270" t="str">
        <f t="shared" si="2"/>
        <v/>
      </c>
      <c r="L3883">
        <f t="shared" si="3"/>
        <v>0</v>
      </c>
    </row>
    <row r="3884">
      <c r="A3884" s="107"/>
      <c r="D3884" s="270"/>
      <c r="H3884" s="106" t="str">
        <f t="shared" si="1"/>
        <v/>
      </c>
      <c r="I3884" s="271" t="str">
        <f>IFERROR(__xludf.DUMMYFUNCTION("""COMPUTED_VALUE"""),"")</f>
        <v/>
      </c>
      <c r="J3884" t="str">
        <f>IFERROR(__xludf.DUMMYFUNCTION("IFS(
  AND(REGEXMATCH(E3884, ""台銀籌備帳戶|玉山帳戶""), REGEXMATCH(C3884, ""薪資"")), ""分潤支出"",
  AND(REGEXMATCH(E3884, ""Ben帳戶|Elsa帳戶|Ben代墊|Ariel代墊|中信銀行共用""), REGEXMATCH(F3884, ""Ben帳戶|Elsa帳戶|Ben代墊|Ariel代墊|中信銀行共用"")), ""內部轉帳(忽略)"",
  AND(E3884&lt;&gt;"""", F3884&lt;&gt;"""", N"&amp;"OT(REGEXMATCH(C3884, ""薪資""))), ""內部轉帳(忽略)"",
  REGEXMATCH(C3884, ""薪資""), ""薪資變動(不計入)"",
  REGEXMATCH(C3884, ""押金""), ""押金往來"",
  AND(E3884&lt;&gt;"""", F3884=""""), ""真實支出"",
  AND(E3884="""", F3884&lt;&gt;""""), ""真實收入"",
  TRUE, ""其他""
)"),"其他")</f>
        <v>其他</v>
      </c>
      <c r="K3884" s="270" t="str">
        <f t="shared" si="2"/>
        <v/>
      </c>
      <c r="L3884">
        <f t="shared" si="3"/>
        <v>0</v>
      </c>
    </row>
    <row r="3885">
      <c r="A3885" s="107"/>
      <c r="D3885" s="270"/>
      <c r="H3885" s="106" t="str">
        <f t="shared" si="1"/>
        <v/>
      </c>
      <c r="I3885" s="271" t="str">
        <f>IFERROR(__xludf.DUMMYFUNCTION("""COMPUTED_VALUE"""),"")</f>
        <v/>
      </c>
      <c r="J3885" t="str">
        <f>IFERROR(__xludf.DUMMYFUNCTION("IFS(
  AND(REGEXMATCH(E3885, ""台銀籌備帳戶|玉山帳戶""), REGEXMATCH(C3885, ""薪資"")), ""分潤支出"",
  AND(REGEXMATCH(E3885, ""Ben帳戶|Elsa帳戶|Ben代墊|Ariel代墊|中信銀行共用""), REGEXMATCH(F3885, ""Ben帳戶|Elsa帳戶|Ben代墊|Ariel代墊|中信銀行共用"")), ""內部轉帳(忽略)"",
  AND(E3885&lt;&gt;"""", F3885&lt;&gt;"""", N"&amp;"OT(REGEXMATCH(C3885, ""薪資""))), ""內部轉帳(忽略)"",
  REGEXMATCH(C3885, ""薪資""), ""薪資變動(不計入)"",
  REGEXMATCH(C3885, ""押金""), ""押金往來"",
  AND(E3885&lt;&gt;"""", F3885=""""), ""真實支出"",
  AND(E3885="""", F3885&lt;&gt;""""), ""真實收入"",
  TRUE, ""其他""
)"),"其他")</f>
        <v>其他</v>
      </c>
      <c r="K3885" s="270" t="str">
        <f t="shared" si="2"/>
        <v/>
      </c>
      <c r="L3885">
        <f t="shared" si="3"/>
        <v>0</v>
      </c>
    </row>
    <row r="3886">
      <c r="A3886" s="107"/>
      <c r="D3886" s="270"/>
      <c r="H3886" s="106" t="str">
        <f t="shared" si="1"/>
        <v/>
      </c>
      <c r="I3886" s="271" t="str">
        <f>IFERROR(__xludf.DUMMYFUNCTION("""COMPUTED_VALUE"""),"")</f>
        <v/>
      </c>
      <c r="J3886" t="str">
        <f>IFERROR(__xludf.DUMMYFUNCTION("IFS(
  AND(REGEXMATCH(E3886, ""台銀籌備帳戶|玉山帳戶""), REGEXMATCH(C3886, ""薪資"")), ""分潤支出"",
  AND(REGEXMATCH(E3886, ""Ben帳戶|Elsa帳戶|Ben代墊|Ariel代墊|中信銀行共用""), REGEXMATCH(F3886, ""Ben帳戶|Elsa帳戶|Ben代墊|Ariel代墊|中信銀行共用"")), ""內部轉帳(忽略)"",
  AND(E3886&lt;&gt;"""", F3886&lt;&gt;"""", N"&amp;"OT(REGEXMATCH(C3886, ""薪資""))), ""內部轉帳(忽略)"",
  REGEXMATCH(C3886, ""薪資""), ""薪資變動(不計入)"",
  REGEXMATCH(C3886, ""押金""), ""押金往來"",
  AND(E3886&lt;&gt;"""", F3886=""""), ""真實支出"",
  AND(E3886="""", F3886&lt;&gt;""""), ""真實收入"",
  TRUE, ""其他""
)"),"其他")</f>
        <v>其他</v>
      </c>
      <c r="K3886" s="270" t="str">
        <f t="shared" si="2"/>
        <v/>
      </c>
      <c r="L3886">
        <f t="shared" si="3"/>
        <v>0</v>
      </c>
    </row>
    <row r="3887">
      <c r="A3887" s="107"/>
      <c r="D3887" s="270"/>
      <c r="H3887" s="106" t="str">
        <f t="shared" si="1"/>
        <v/>
      </c>
      <c r="I3887" s="271" t="str">
        <f>IFERROR(__xludf.DUMMYFUNCTION("""COMPUTED_VALUE"""),"")</f>
        <v/>
      </c>
      <c r="J3887" t="str">
        <f>IFERROR(__xludf.DUMMYFUNCTION("IFS(
  AND(REGEXMATCH(E3887, ""台銀籌備帳戶|玉山帳戶""), REGEXMATCH(C3887, ""薪資"")), ""分潤支出"",
  AND(REGEXMATCH(E3887, ""Ben帳戶|Elsa帳戶|Ben代墊|Ariel代墊|中信銀行共用""), REGEXMATCH(F3887, ""Ben帳戶|Elsa帳戶|Ben代墊|Ariel代墊|中信銀行共用"")), ""內部轉帳(忽略)"",
  AND(E3887&lt;&gt;"""", F3887&lt;&gt;"""", N"&amp;"OT(REGEXMATCH(C3887, ""薪資""))), ""內部轉帳(忽略)"",
  REGEXMATCH(C3887, ""薪資""), ""薪資變動(不計入)"",
  REGEXMATCH(C3887, ""押金""), ""押金往來"",
  AND(E3887&lt;&gt;"""", F3887=""""), ""真實支出"",
  AND(E3887="""", F3887&lt;&gt;""""), ""真實收入"",
  TRUE, ""其他""
)"),"其他")</f>
        <v>其他</v>
      </c>
      <c r="K3887" s="270" t="str">
        <f t="shared" si="2"/>
        <v/>
      </c>
      <c r="L3887">
        <f t="shared" si="3"/>
        <v>0</v>
      </c>
    </row>
    <row r="3888">
      <c r="A3888" s="107"/>
      <c r="D3888" s="270"/>
      <c r="H3888" s="106" t="str">
        <f t="shared" si="1"/>
        <v/>
      </c>
      <c r="I3888" s="271" t="str">
        <f>IFERROR(__xludf.DUMMYFUNCTION("""COMPUTED_VALUE"""),"")</f>
        <v/>
      </c>
      <c r="J3888" t="str">
        <f>IFERROR(__xludf.DUMMYFUNCTION("IFS(
  AND(REGEXMATCH(E3888, ""台銀籌備帳戶|玉山帳戶""), REGEXMATCH(C3888, ""薪資"")), ""分潤支出"",
  AND(REGEXMATCH(E3888, ""Ben帳戶|Elsa帳戶|Ben代墊|Ariel代墊|中信銀行共用""), REGEXMATCH(F3888, ""Ben帳戶|Elsa帳戶|Ben代墊|Ariel代墊|中信銀行共用"")), ""內部轉帳(忽略)"",
  AND(E3888&lt;&gt;"""", F3888&lt;&gt;"""", N"&amp;"OT(REGEXMATCH(C3888, ""薪資""))), ""內部轉帳(忽略)"",
  REGEXMATCH(C3888, ""薪資""), ""薪資變動(不計入)"",
  REGEXMATCH(C3888, ""押金""), ""押金往來"",
  AND(E3888&lt;&gt;"""", F3888=""""), ""真實支出"",
  AND(E3888="""", F3888&lt;&gt;""""), ""真實收入"",
  TRUE, ""其他""
)"),"其他")</f>
        <v>其他</v>
      </c>
      <c r="K3888" s="270" t="str">
        <f t="shared" si="2"/>
        <v/>
      </c>
      <c r="L3888">
        <f t="shared" si="3"/>
        <v>0</v>
      </c>
    </row>
    <row r="3889">
      <c r="A3889" s="107"/>
      <c r="D3889" s="270"/>
      <c r="H3889" s="106" t="str">
        <f t="shared" si="1"/>
        <v/>
      </c>
      <c r="I3889" s="271" t="str">
        <f>IFERROR(__xludf.DUMMYFUNCTION("""COMPUTED_VALUE"""),"")</f>
        <v/>
      </c>
      <c r="J3889" t="str">
        <f>IFERROR(__xludf.DUMMYFUNCTION("IFS(
  AND(REGEXMATCH(E3889, ""台銀籌備帳戶|玉山帳戶""), REGEXMATCH(C3889, ""薪資"")), ""分潤支出"",
  AND(REGEXMATCH(E3889, ""Ben帳戶|Elsa帳戶|Ben代墊|Ariel代墊|中信銀行共用""), REGEXMATCH(F3889, ""Ben帳戶|Elsa帳戶|Ben代墊|Ariel代墊|中信銀行共用"")), ""內部轉帳(忽略)"",
  AND(E3889&lt;&gt;"""", F3889&lt;&gt;"""", N"&amp;"OT(REGEXMATCH(C3889, ""薪資""))), ""內部轉帳(忽略)"",
  REGEXMATCH(C3889, ""薪資""), ""薪資變動(不計入)"",
  REGEXMATCH(C3889, ""押金""), ""押金往來"",
  AND(E3889&lt;&gt;"""", F3889=""""), ""真實支出"",
  AND(E3889="""", F3889&lt;&gt;""""), ""真實收入"",
  TRUE, ""其他""
)"),"其他")</f>
        <v>其他</v>
      </c>
      <c r="K3889" s="270" t="str">
        <f t="shared" si="2"/>
        <v/>
      </c>
      <c r="L3889">
        <f t="shared" si="3"/>
        <v>0</v>
      </c>
    </row>
    <row r="3890">
      <c r="A3890" s="107"/>
      <c r="D3890" s="270"/>
      <c r="H3890" s="106" t="str">
        <f t="shared" si="1"/>
        <v/>
      </c>
      <c r="I3890" s="271" t="str">
        <f>IFERROR(__xludf.DUMMYFUNCTION("""COMPUTED_VALUE"""),"")</f>
        <v/>
      </c>
      <c r="J3890" t="str">
        <f>IFERROR(__xludf.DUMMYFUNCTION("IFS(
  AND(REGEXMATCH(E3890, ""台銀籌備帳戶|玉山帳戶""), REGEXMATCH(C3890, ""薪資"")), ""分潤支出"",
  AND(REGEXMATCH(E3890, ""Ben帳戶|Elsa帳戶|Ben代墊|Ariel代墊|中信銀行共用""), REGEXMATCH(F3890, ""Ben帳戶|Elsa帳戶|Ben代墊|Ariel代墊|中信銀行共用"")), ""內部轉帳(忽略)"",
  AND(E3890&lt;&gt;"""", F3890&lt;&gt;"""", N"&amp;"OT(REGEXMATCH(C3890, ""薪資""))), ""內部轉帳(忽略)"",
  REGEXMATCH(C3890, ""薪資""), ""薪資變動(不計入)"",
  REGEXMATCH(C3890, ""押金""), ""押金往來"",
  AND(E3890&lt;&gt;"""", F3890=""""), ""真實支出"",
  AND(E3890="""", F3890&lt;&gt;""""), ""真實收入"",
  TRUE, ""其他""
)"),"其他")</f>
        <v>其他</v>
      </c>
      <c r="K3890" s="270" t="str">
        <f t="shared" si="2"/>
        <v/>
      </c>
      <c r="L3890">
        <f t="shared" si="3"/>
        <v>0</v>
      </c>
    </row>
    <row r="3891">
      <c r="A3891" s="107"/>
      <c r="D3891" s="270"/>
      <c r="H3891" s="106" t="str">
        <f t="shared" si="1"/>
        <v/>
      </c>
      <c r="I3891" s="271" t="str">
        <f>IFERROR(__xludf.DUMMYFUNCTION("""COMPUTED_VALUE"""),"")</f>
        <v/>
      </c>
      <c r="J3891" t="str">
        <f>IFERROR(__xludf.DUMMYFUNCTION("IFS(
  AND(REGEXMATCH(E3891, ""台銀籌備帳戶|玉山帳戶""), REGEXMATCH(C3891, ""薪資"")), ""分潤支出"",
  AND(REGEXMATCH(E3891, ""Ben帳戶|Elsa帳戶|Ben代墊|Ariel代墊|中信銀行共用""), REGEXMATCH(F3891, ""Ben帳戶|Elsa帳戶|Ben代墊|Ariel代墊|中信銀行共用"")), ""內部轉帳(忽略)"",
  AND(E3891&lt;&gt;"""", F3891&lt;&gt;"""", N"&amp;"OT(REGEXMATCH(C3891, ""薪資""))), ""內部轉帳(忽略)"",
  REGEXMATCH(C3891, ""薪資""), ""薪資變動(不計入)"",
  REGEXMATCH(C3891, ""押金""), ""押金往來"",
  AND(E3891&lt;&gt;"""", F3891=""""), ""真實支出"",
  AND(E3891="""", F3891&lt;&gt;""""), ""真實收入"",
  TRUE, ""其他""
)"),"其他")</f>
        <v>其他</v>
      </c>
      <c r="K3891" s="270" t="str">
        <f t="shared" si="2"/>
        <v/>
      </c>
      <c r="L3891">
        <f t="shared" si="3"/>
        <v>0</v>
      </c>
    </row>
    <row r="3892">
      <c r="A3892" s="107"/>
      <c r="D3892" s="270"/>
      <c r="H3892" s="106" t="str">
        <f t="shared" si="1"/>
        <v/>
      </c>
      <c r="I3892" s="271" t="str">
        <f>IFERROR(__xludf.DUMMYFUNCTION("""COMPUTED_VALUE"""),"")</f>
        <v/>
      </c>
      <c r="J3892" t="str">
        <f>IFERROR(__xludf.DUMMYFUNCTION("IFS(
  AND(REGEXMATCH(E3892, ""台銀籌備帳戶|玉山帳戶""), REGEXMATCH(C3892, ""薪資"")), ""分潤支出"",
  AND(REGEXMATCH(E3892, ""Ben帳戶|Elsa帳戶|Ben代墊|Ariel代墊|中信銀行共用""), REGEXMATCH(F3892, ""Ben帳戶|Elsa帳戶|Ben代墊|Ariel代墊|中信銀行共用"")), ""內部轉帳(忽略)"",
  AND(E3892&lt;&gt;"""", F3892&lt;&gt;"""", N"&amp;"OT(REGEXMATCH(C3892, ""薪資""))), ""內部轉帳(忽略)"",
  REGEXMATCH(C3892, ""薪資""), ""薪資變動(不計入)"",
  REGEXMATCH(C3892, ""押金""), ""押金往來"",
  AND(E3892&lt;&gt;"""", F3892=""""), ""真實支出"",
  AND(E3892="""", F3892&lt;&gt;""""), ""真實收入"",
  TRUE, ""其他""
)"),"其他")</f>
        <v>其他</v>
      </c>
      <c r="K3892" s="270" t="str">
        <f t="shared" si="2"/>
        <v/>
      </c>
      <c r="L3892">
        <f t="shared" si="3"/>
        <v>0</v>
      </c>
    </row>
    <row r="3893">
      <c r="A3893" s="107"/>
      <c r="D3893" s="270"/>
      <c r="H3893" s="106" t="str">
        <f t="shared" si="1"/>
        <v/>
      </c>
      <c r="I3893" s="271" t="str">
        <f>IFERROR(__xludf.DUMMYFUNCTION("""COMPUTED_VALUE"""),"")</f>
        <v/>
      </c>
      <c r="J3893" t="str">
        <f>IFERROR(__xludf.DUMMYFUNCTION("IFS(
  AND(REGEXMATCH(E3893, ""台銀籌備帳戶|玉山帳戶""), REGEXMATCH(C3893, ""薪資"")), ""分潤支出"",
  AND(REGEXMATCH(E3893, ""Ben帳戶|Elsa帳戶|Ben代墊|Ariel代墊|中信銀行共用""), REGEXMATCH(F3893, ""Ben帳戶|Elsa帳戶|Ben代墊|Ariel代墊|中信銀行共用"")), ""內部轉帳(忽略)"",
  AND(E3893&lt;&gt;"""", F3893&lt;&gt;"""", N"&amp;"OT(REGEXMATCH(C3893, ""薪資""))), ""內部轉帳(忽略)"",
  REGEXMATCH(C3893, ""薪資""), ""薪資變動(不計入)"",
  REGEXMATCH(C3893, ""押金""), ""押金往來"",
  AND(E3893&lt;&gt;"""", F3893=""""), ""真實支出"",
  AND(E3893="""", F3893&lt;&gt;""""), ""真實收入"",
  TRUE, ""其他""
)"),"其他")</f>
        <v>其他</v>
      </c>
      <c r="K3893" s="270" t="str">
        <f t="shared" si="2"/>
        <v/>
      </c>
      <c r="L3893">
        <f t="shared" si="3"/>
        <v>0</v>
      </c>
    </row>
    <row r="3894">
      <c r="A3894" s="107"/>
      <c r="D3894" s="270"/>
      <c r="H3894" s="106" t="str">
        <f t="shared" si="1"/>
        <v/>
      </c>
      <c r="I3894" s="271" t="str">
        <f>IFERROR(__xludf.DUMMYFUNCTION("""COMPUTED_VALUE"""),"")</f>
        <v/>
      </c>
      <c r="J3894" t="str">
        <f>IFERROR(__xludf.DUMMYFUNCTION("IFS(
  AND(REGEXMATCH(E3894, ""台銀籌備帳戶|玉山帳戶""), REGEXMATCH(C3894, ""薪資"")), ""分潤支出"",
  AND(REGEXMATCH(E3894, ""Ben帳戶|Elsa帳戶|Ben代墊|Ariel代墊|中信銀行共用""), REGEXMATCH(F3894, ""Ben帳戶|Elsa帳戶|Ben代墊|Ariel代墊|中信銀行共用"")), ""內部轉帳(忽略)"",
  AND(E3894&lt;&gt;"""", F3894&lt;&gt;"""", N"&amp;"OT(REGEXMATCH(C3894, ""薪資""))), ""內部轉帳(忽略)"",
  REGEXMATCH(C3894, ""薪資""), ""薪資變動(不計入)"",
  REGEXMATCH(C3894, ""押金""), ""押金往來"",
  AND(E3894&lt;&gt;"""", F3894=""""), ""真實支出"",
  AND(E3894="""", F3894&lt;&gt;""""), ""真實收入"",
  TRUE, ""其他""
)"),"其他")</f>
        <v>其他</v>
      </c>
      <c r="K3894" s="270" t="str">
        <f t="shared" si="2"/>
        <v/>
      </c>
      <c r="L3894">
        <f t="shared" si="3"/>
        <v>0</v>
      </c>
    </row>
    <row r="3895">
      <c r="A3895" s="107"/>
      <c r="D3895" s="270"/>
      <c r="H3895" s="106" t="str">
        <f t="shared" si="1"/>
        <v/>
      </c>
      <c r="I3895" s="271" t="str">
        <f>IFERROR(__xludf.DUMMYFUNCTION("""COMPUTED_VALUE"""),"")</f>
        <v/>
      </c>
      <c r="J3895" t="str">
        <f>IFERROR(__xludf.DUMMYFUNCTION("IFS(
  AND(REGEXMATCH(E3895, ""台銀籌備帳戶|玉山帳戶""), REGEXMATCH(C3895, ""薪資"")), ""分潤支出"",
  AND(REGEXMATCH(E3895, ""Ben帳戶|Elsa帳戶|Ben代墊|Ariel代墊|中信銀行共用""), REGEXMATCH(F3895, ""Ben帳戶|Elsa帳戶|Ben代墊|Ariel代墊|中信銀行共用"")), ""內部轉帳(忽略)"",
  AND(E3895&lt;&gt;"""", F3895&lt;&gt;"""", N"&amp;"OT(REGEXMATCH(C3895, ""薪資""))), ""內部轉帳(忽略)"",
  REGEXMATCH(C3895, ""薪資""), ""薪資變動(不計入)"",
  REGEXMATCH(C3895, ""押金""), ""押金往來"",
  AND(E3895&lt;&gt;"""", F3895=""""), ""真實支出"",
  AND(E3895="""", F3895&lt;&gt;""""), ""真實收入"",
  TRUE, ""其他""
)"),"其他")</f>
        <v>其他</v>
      </c>
      <c r="K3895" s="270" t="str">
        <f t="shared" si="2"/>
        <v/>
      </c>
      <c r="L3895">
        <f t="shared" si="3"/>
        <v>0</v>
      </c>
    </row>
    <row r="3896">
      <c r="A3896" s="107"/>
      <c r="D3896" s="270"/>
      <c r="H3896" s="106" t="str">
        <f t="shared" si="1"/>
        <v/>
      </c>
      <c r="I3896" s="271" t="str">
        <f>IFERROR(__xludf.DUMMYFUNCTION("""COMPUTED_VALUE"""),"")</f>
        <v/>
      </c>
      <c r="J3896" t="str">
        <f>IFERROR(__xludf.DUMMYFUNCTION("IFS(
  AND(REGEXMATCH(E3896, ""台銀籌備帳戶|玉山帳戶""), REGEXMATCH(C3896, ""薪資"")), ""分潤支出"",
  AND(REGEXMATCH(E3896, ""Ben帳戶|Elsa帳戶|Ben代墊|Ariel代墊|中信銀行共用""), REGEXMATCH(F3896, ""Ben帳戶|Elsa帳戶|Ben代墊|Ariel代墊|中信銀行共用"")), ""內部轉帳(忽略)"",
  AND(E3896&lt;&gt;"""", F3896&lt;&gt;"""", N"&amp;"OT(REGEXMATCH(C3896, ""薪資""))), ""內部轉帳(忽略)"",
  REGEXMATCH(C3896, ""薪資""), ""薪資變動(不計入)"",
  REGEXMATCH(C3896, ""押金""), ""押金往來"",
  AND(E3896&lt;&gt;"""", F3896=""""), ""真實支出"",
  AND(E3896="""", F3896&lt;&gt;""""), ""真實收入"",
  TRUE, ""其他""
)"),"其他")</f>
        <v>其他</v>
      </c>
      <c r="K3896" s="270" t="str">
        <f t="shared" si="2"/>
        <v/>
      </c>
      <c r="L3896">
        <f t="shared" si="3"/>
        <v>0</v>
      </c>
    </row>
    <row r="3897">
      <c r="A3897" s="107"/>
      <c r="D3897" s="270"/>
      <c r="H3897" s="106" t="str">
        <f t="shared" si="1"/>
        <v/>
      </c>
      <c r="I3897" s="271" t="str">
        <f>IFERROR(__xludf.DUMMYFUNCTION("""COMPUTED_VALUE"""),"")</f>
        <v/>
      </c>
      <c r="J3897" t="str">
        <f>IFERROR(__xludf.DUMMYFUNCTION("IFS(
  AND(REGEXMATCH(E3897, ""台銀籌備帳戶|玉山帳戶""), REGEXMATCH(C3897, ""薪資"")), ""分潤支出"",
  AND(REGEXMATCH(E3897, ""Ben帳戶|Elsa帳戶|Ben代墊|Ariel代墊|中信銀行共用""), REGEXMATCH(F3897, ""Ben帳戶|Elsa帳戶|Ben代墊|Ariel代墊|中信銀行共用"")), ""內部轉帳(忽略)"",
  AND(E3897&lt;&gt;"""", F3897&lt;&gt;"""", N"&amp;"OT(REGEXMATCH(C3897, ""薪資""))), ""內部轉帳(忽略)"",
  REGEXMATCH(C3897, ""薪資""), ""薪資變動(不計入)"",
  REGEXMATCH(C3897, ""押金""), ""押金往來"",
  AND(E3897&lt;&gt;"""", F3897=""""), ""真實支出"",
  AND(E3897="""", F3897&lt;&gt;""""), ""真實收入"",
  TRUE, ""其他""
)"),"其他")</f>
        <v>其他</v>
      </c>
      <c r="K3897" s="270" t="str">
        <f t="shared" si="2"/>
        <v/>
      </c>
      <c r="L3897">
        <f t="shared" si="3"/>
        <v>0</v>
      </c>
    </row>
    <row r="3898">
      <c r="A3898" s="107"/>
      <c r="D3898" s="270"/>
      <c r="H3898" s="106" t="str">
        <f t="shared" si="1"/>
        <v/>
      </c>
      <c r="I3898" s="271" t="str">
        <f>IFERROR(__xludf.DUMMYFUNCTION("""COMPUTED_VALUE"""),"")</f>
        <v/>
      </c>
      <c r="J3898" t="str">
        <f>IFERROR(__xludf.DUMMYFUNCTION("IFS(
  AND(REGEXMATCH(E3898, ""台銀籌備帳戶|玉山帳戶""), REGEXMATCH(C3898, ""薪資"")), ""分潤支出"",
  AND(REGEXMATCH(E3898, ""Ben帳戶|Elsa帳戶|Ben代墊|Ariel代墊|中信銀行共用""), REGEXMATCH(F3898, ""Ben帳戶|Elsa帳戶|Ben代墊|Ariel代墊|中信銀行共用"")), ""內部轉帳(忽略)"",
  AND(E3898&lt;&gt;"""", F3898&lt;&gt;"""", N"&amp;"OT(REGEXMATCH(C3898, ""薪資""))), ""內部轉帳(忽略)"",
  REGEXMATCH(C3898, ""薪資""), ""薪資變動(不計入)"",
  REGEXMATCH(C3898, ""押金""), ""押金往來"",
  AND(E3898&lt;&gt;"""", F3898=""""), ""真實支出"",
  AND(E3898="""", F3898&lt;&gt;""""), ""真實收入"",
  TRUE, ""其他""
)"),"其他")</f>
        <v>其他</v>
      </c>
      <c r="K3898" s="270" t="str">
        <f t="shared" si="2"/>
        <v/>
      </c>
      <c r="L3898">
        <f t="shared" si="3"/>
        <v>0</v>
      </c>
    </row>
    <row r="3899">
      <c r="A3899" s="107"/>
      <c r="D3899" s="270"/>
      <c r="H3899" s="106" t="str">
        <f t="shared" si="1"/>
        <v/>
      </c>
      <c r="I3899" s="271" t="str">
        <f>IFERROR(__xludf.DUMMYFUNCTION("""COMPUTED_VALUE"""),"")</f>
        <v/>
      </c>
      <c r="J3899" t="str">
        <f>IFERROR(__xludf.DUMMYFUNCTION("IFS(
  AND(REGEXMATCH(E3899, ""台銀籌備帳戶|玉山帳戶""), REGEXMATCH(C3899, ""薪資"")), ""分潤支出"",
  AND(REGEXMATCH(E3899, ""Ben帳戶|Elsa帳戶|Ben代墊|Ariel代墊|中信銀行共用""), REGEXMATCH(F3899, ""Ben帳戶|Elsa帳戶|Ben代墊|Ariel代墊|中信銀行共用"")), ""內部轉帳(忽略)"",
  AND(E3899&lt;&gt;"""", F3899&lt;&gt;"""", N"&amp;"OT(REGEXMATCH(C3899, ""薪資""))), ""內部轉帳(忽略)"",
  REGEXMATCH(C3899, ""薪資""), ""薪資變動(不計入)"",
  REGEXMATCH(C3899, ""押金""), ""押金往來"",
  AND(E3899&lt;&gt;"""", F3899=""""), ""真實支出"",
  AND(E3899="""", F3899&lt;&gt;""""), ""真實收入"",
  TRUE, ""其他""
)"),"其他")</f>
        <v>其他</v>
      </c>
      <c r="K3899" s="270" t="str">
        <f t="shared" si="2"/>
        <v/>
      </c>
      <c r="L3899">
        <f t="shared" si="3"/>
        <v>0</v>
      </c>
    </row>
    <row r="3900">
      <c r="A3900" s="107"/>
      <c r="D3900" s="270"/>
      <c r="H3900" s="106" t="str">
        <f t="shared" si="1"/>
        <v/>
      </c>
      <c r="I3900" s="271" t="str">
        <f>IFERROR(__xludf.DUMMYFUNCTION("""COMPUTED_VALUE"""),"")</f>
        <v/>
      </c>
      <c r="J3900" t="str">
        <f>IFERROR(__xludf.DUMMYFUNCTION("IFS(
  AND(REGEXMATCH(E3900, ""台銀籌備帳戶|玉山帳戶""), REGEXMATCH(C3900, ""薪資"")), ""分潤支出"",
  AND(REGEXMATCH(E3900, ""Ben帳戶|Elsa帳戶|Ben代墊|Ariel代墊|中信銀行共用""), REGEXMATCH(F3900, ""Ben帳戶|Elsa帳戶|Ben代墊|Ariel代墊|中信銀行共用"")), ""內部轉帳(忽略)"",
  AND(E3900&lt;&gt;"""", F3900&lt;&gt;"""", N"&amp;"OT(REGEXMATCH(C3900, ""薪資""))), ""內部轉帳(忽略)"",
  REGEXMATCH(C3900, ""薪資""), ""薪資變動(不計入)"",
  REGEXMATCH(C3900, ""押金""), ""押金往來"",
  AND(E3900&lt;&gt;"""", F3900=""""), ""真實支出"",
  AND(E3900="""", F3900&lt;&gt;""""), ""真實收入"",
  TRUE, ""其他""
)"),"其他")</f>
        <v>其他</v>
      </c>
      <c r="K3900" s="270" t="str">
        <f t="shared" si="2"/>
        <v/>
      </c>
      <c r="L3900">
        <f t="shared" si="3"/>
        <v>0</v>
      </c>
    </row>
    <row r="3901">
      <c r="A3901" s="107"/>
      <c r="D3901" s="270"/>
      <c r="H3901" s="106" t="str">
        <f t="shared" si="1"/>
        <v/>
      </c>
      <c r="I3901" s="271" t="str">
        <f>IFERROR(__xludf.DUMMYFUNCTION("""COMPUTED_VALUE"""),"")</f>
        <v/>
      </c>
      <c r="J3901" t="str">
        <f>IFERROR(__xludf.DUMMYFUNCTION("IFS(
  AND(REGEXMATCH(E3901, ""台銀籌備帳戶|玉山帳戶""), REGEXMATCH(C3901, ""薪資"")), ""分潤支出"",
  AND(REGEXMATCH(E3901, ""Ben帳戶|Elsa帳戶|Ben代墊|Ariel代墊|中信銀行共用""), REGEXMATCH(F3901, ""Ben帳戶|Elsa帳戶|Ben代墊|Ariel代墊|中信銀行共用"")), ""內部轉帳(忽略)"",
  AND(E3901&lt;&gt;"""", F3901&lt;&gt;"""", N"&amp;"OT(REGEXMATCH(C3901, ""薪資""))), ""內部轉帳(忽略)"",
  REGEXMATCH(C3901, ""薪資""), ""薪資變動(不計入)"",
  REGEXMATCH(C3901, ""押金""), ""押金往來"",
  AND(E3901&lt;&gt;"""", F3901=""""), ""真實支出"",
  AND(E3901="""", F3901&lt;&gt;""""), ""真實收入"",
  TRUE, ""其他""
)"),"其他")</f>
        <v>其他</v>
      </c>
      <c r="K3901" s="270" t="str">
        <f t="shared" si="2"/>
        <v/>
      </c>
      <c r="L3901">
        <f t="shared" si="3"/>
        <v>0</v>
      </c>
    </row>
    <row r="3902">
      <c r="A3902" s="107"/>
      <c r="D3902" s="270"/>
      <c r="H3902" s="106" t="str">
        <f t="shared" si="1"/>
        <v/>
      </c>
      <c r="I3902" s="271" t="str">
        <f>IFERROR(__xludf.DUMMYFUNCTION("""COMPUTED_VALUE"""),"")</f>
        <v/>
      </c>
      <c r="J3902" t="str">
        <f>IFERROR(__xludf.DUMMYFUNCTION("IFS(
  AND(REGEXMATCH(E3902, ""台銀籌備帳戶|玉山帳戶""), REGEXMATCH(C3902, ""薪資"")), ""分潤支出"",
  AND(REGEXMATCH(E3902, ""Ben帳戶|Elsa帳戶|Ben代墊|Ariel代墊|中信銀行共用""), REGEXMATCH(F3902, ""Ben帳戶|Elsa帳戶|Ben代墊|Ariel代墊|中信銀行共用"")), ""內部轉帳(忽略)"",
  AND(E3902&lt;&gt;"""", F3902&lt;&gt;"""", N"&amp;"OT(REGEXMATCH(C3902, ""薪資""))), ""內部轉帳(忽略)"",
  REGEXMATCH(C3902, ""薪資""), ""薪資變動(不計入)"",
  REGEXMATCH(C3902, ""押金""), ""押金往來"",
  AND(E3902&lt;&gt;"""", F3902=""""), ""真實支出"",
  AND(E3902="""", F3902&lt;&gt;""""), ""真實收入"",
  TRUE, ""其他""
)"),"其他")</f>
        <v>其他</v>
      </c>
      <c r="K3902" s="270" t="str">
        <f t="shared" si="2"/>
        <v/>
      </c>
      <c r="L3902">
        <f t="shared" si="3"/>
        <v>0</v>
      </c>
    </row>
    <row r="3903">
      <c r="A3903" s="107"/>
      <c r="D3903" s="270"/>
      <c r="H3903" s="106" t="str">
        <f t="shared" si="1"/>
        <v/>
      </c>
      <c r="I3903" s="271" t="str">
        <f>IFERROR(__xludf.DUMMYFUNCTION("""COMPUTED_VALUE"""),"")</f>
        <v/>
      </c>
      <c r="J3903" t="str">
        <f>IFERROR(__xludf.DUMMYFUNCTION("IFS(
  AND(REGEXMATCH(E3903, ""台銀籌備帳戶|玉山帳戶""), REGEXMATCH(C3903, ""薪資"")), ""分潤支出"",
  AND(REGEXMATCH(E3903, ""Ben帳戶|Elsa帳戶|Ben代墊|Ariel代墊|中信銀行共用""), REGEXMATCH(F3903, ""Ben帳戶|Elsa帳戶|Ben代墊|Ariel代墊|中信銀行共用"")), ""內部轉帳(忽略)"",
  AND(E3903&lt;&gt;"""", F3903&lt;&gt;"""", N"&amp;"OT(REGEXMATCH(C3903, ""薪資""))), ""內部轉帳(忽略)"",
  REGEXMATCH(C3903, ""薪資""), ""薪資變動(不計入)"",
  REGEXMATCH(C3903, ""押金""), ""押金往來"",
  AND(E3903&lt;&gt;"""", F3903=""""), ""真實支出"",
  AND(E3903="""", F3903&lt;&gt;""""), ""真實收入"",
  TRUE, ""其他""
)"),"其他")</f>
        <v>其他</v>
      </c>
      <c r="K3903" s="270" t="str">
        <f t="shared" si="2"/>
        <v/>
      </c>
      <c r="L3903">
        <f t="shared" si="3"/>
        <v>0</v>
      </c>
    </row>
    <row r="3904">
      <c r="A3904" s="107"/>
      <c r="D3904" s="270"/>
      <c r="H3904" s="106" t="str">
        <f t="shared" si="1"/>
        <v/>
      </c>
      <c r="I3904" s="271" t="str">
        <f>IFERROR(__xludf.DUMMYFUNCTION("""COMPUTED_VALUE"""),"")</f>
        <v/>
      </c>
      <c r="J3904" t="str">
        <f>IFERROR(__xludf.DUMMYFUNCTION("IFS(
  AND(REGEXMATCH(E3904, ""台銀籌備帳戶|玉山帳戶""), REGEXMATCH(C3904, ""薪資"")), ""分潤支出"",
  AND(REGEXMATCH(E3904, ""Ben帳戶|Elsa帳戶|Ben代墊|Ariel代墊|中信銀行共用""), REGEXMATCH(F3904, ""Ben帳戶|Elsa帳戶|Ben代墊|Ariel代墊|中信銀行共用"")), ""內部轉帳(忽略)"",
  AND(E3904&lt;&gt;"""", F3904&lt;&gt;"""", N"&amp;"OT(REGEXMATCH(C3904, ""薪資""))), ""內部轉帳(忽略)"",
  REGEXMATCH(C3904, ""薪資""), ""薪資變動(不計入)"",
  REGEXMATCH(C3904, ""押金""), ""押金往來"",
  AND(E3904&lt;&gt;"""", F3904=""""), ""真實支出"",
  AND(E3904="""", F3904&lt;&gt;""""), ""真實收入"",
  TRUE, ""其他""
)"),"其他")</f>
        <v>其他</v>
      </c>
      <c r="K3904" s="270" t="str">
        <f t="shared" si="2"/>
        <v/>
      </c>
      <c r="L3904">
        <f t="shared" si="3"/>
        <v>0</v>
      </c>
    </row>
    <row r="3905">
      <c r="A3905" s="107"/>
      <c r="D3905" s="270"/>
      <c r="H3905" s="106" t="str">
        <f t="shared" si="1"/>
        <v/>
      </c>
      <c r="I3905" s="271" t="str">
        <f>IFERROR(__xludf.DUMMYFUNCTION("""COMPUTED_VALUE"""),"")</f>
        <v/>
      </c>
      <c r="J3905" t="str">
        <f>IFERROR(__xludf.DUMMYFUNCTION("IFS(
  AND(REGEXMATCH(E3905, ""台銀籌備帳戶|玉山帳戶""), REGEXMATCH(C3905, ""薪資"")), ""分潤支出"",
  AND(REGEXMATCH(E3905, ""Ben帳戶|Elsa帳戶|Ben代墊|Ariel代墊|中信銀行共用""), REGEXMATCH(F3905, ""Ben帳戶|Elsa帳戶|Ben代墊|Ariel代墊|中信銀行共用"")), ""內部轉帳(忽略)"",
  AND(E3905&lt;&gt;"""", F3905&lt;&gt;"""", N"&amp;"OT(REGEXMATCH(C3905, ""薪資""))), ""內部轉帳(忽略)"",
  REGEXMATCH(C3905, ""薪資""), ""薪資變動(不計入)"",
  REGEXMATCH(C3905, ""押金""), ""押金往來"",
  AND(E3905&lt;&gt;"""", F3905=""""), ""真實支出"",
  AND(E3905="""", F3905&lt;&gt;""""), ""真實收入"",
  TRUE, ""其他""
)"),"其他")</f>
        <v>其他</v>
      </c>
      <c r="K3905" s="270" t="str">
        <f t="shared" si="2"/>
        <v/>
      </c>
      <c r="L3905">
        <f t="shared" si="3"/>
        <v>0</v>
      </c>
    </row>
    <row r="3906">
      <c r="A3906" s="107"/>
      <c r="D3906" s="270"/>
      <c r="H3906" s="106" t="str">
        <f t="shared" si="1"/>
        <v/>
      </c>
      <c r="I3906" s="271" t="str">
        <f>IFERROR(__xludf.DUMMYFUNCTION("""COMPUTED_VALUE"""),"")</f>
        <v/>
      </c>
      <c r="J3906" t="str">
        <f>IFERROR(__xludf.DUMMYFUNCTION("IFS(
  AND(REGEXMATCH(E3906, ""台銀籌備帳戶|玉山帳戶""), REGEXMATCH(C3906, ""薪資"")), ""分潤支出"",
  AND(REGEXMATCH(E3906, ""Ben帳戶|Elsa帳戶|Ben代墊|Ariel代墊|中信銀行共用""), REGEXMATCH(F3906, ""Ben帳戶|Elsa帳戶|Ben代墊|Ariel代墊|中信銀行共用"")), ""內部轉帳(忽略)"",
  AND(E3906&lt;&gt;"""", F3906&lt;&gt;"""", N"&amp;"OT(REGEXMATCH(C3906, ""薪資""))), ""內部轉帳(忽略)"",
  REGEXMATCH(C3906, ""薪資""), ""薪資變動(不計入)"",
  REGEXMATCH(C3906, ""押金""), ""押金往來"",
  AND(E3906&lt;&gt;"""", F3906=""""), ""真實支出"",
  AND(E3906="""", F3906&lt;&gt;""""), ""真實收入"",
  TRUE, ""其他""
)"),"其他")</f>
        <v>其他</v>
      </c>
      <c r="K3906" s="270" t="str">
        <f t="shared" si="2"/>
        <v/>
      </c>
      <c r="L3906">
        <f t="shared" si="3"/>
        <v>0</v>
      </c>
    </row>
    <row r="3907">
      <c r="A3907" s="107"/>
      <c r="D3907" s="270"/>
      <c r="H3907" s="106" t="str">
        <f t="shared" si="1"/>
        <v/>
      </c>
      <c r="I3907" s="271" t="str">
        <f>IFERROR(__xludf.DUMMYFUNCTION("""COMPUTED_VALUE"""),"")</f>
        <v/>
      </c>
      <c r="J3907" t="str">
        <f>IFERROR(__xludf.DUMMYFUNCTION("IFS(
  AND(REGEXMATCH(E3907, ""台銀籌備帳戶|玉山帳戶""), REGEXMATCH(C3907, ""薪資"")), ""分潤支出"",
  AND(REGEXMATCH(E3907, ""Ben帳戶|Elsa帳戶|Ben代墊|Ariel代墊|中信銀行共用""), REGEXMATCH(F3907, ""Ben帳戶|Elsa帳戶|Ben代墊|Ariel代墊|中信銀行共用"")), ""內部轉帳(忽略)"",
  AND(E3907&lt;&gt;"""", F3907&lt;&gt;"""", N"&amp;"OT(REGEXMATCH(C3907, ""薪資""))), ""內部轉帳(忽略)"",
  REGEXMATCH(C3907, ""薪資""), ""薪資變動(不計入)"",
  REGEXMATCH(C3907, ""押金""), ""押金往來"",
  AND(E3907&lt;&gt;"""", F3907=""""), ""真實支出"",
  AND(E3907="""", F3907&lt;&gt;""""), ""真實收入"",
  TRUE, ""其他""
)"),"其他")</f>
        <v>其他</v>
      </c>
      <c r="K3907" s="270" t="str">
        <f t="shared" si="2"/>
        <v/>
      </c>
      <c r="L3907">
        <f t="shared" si="3"/>
        <v>0</v>
      </c>
    </row>
    <row r="3908">
      <c r="A3908" s="107"/>
      <c r="D3908" s="270"/>
      <c r="H3908" s="106" t="str">
        <f t="shared" si="1"/>
        <v/>
      </c>
      <c r="I3908" s="271" t="str">
        <f>IFERROR(__xludf.DUMMYFUNCTION("""COMPUTED_VALUE"""),"")</f>
        <v/>
      </c>
      <c r="J3908" t="str">
        <f>IFERROR(__xludf.DUMMYFUNCTION("IFS(
  AND(REGEXMATCH(E3908, ""台銀籌備帳戶|玉山帳戶""), REGEXMATCH(C3908, ""薪資"")), ""分潤支出"",
  AND(REGEXMATCH(E3908, ""Ben帳戶|Elsa帳戶|Ben代墊|Ariel代墊|中信銀行共用""), REGEXMATCH(F3908, ""Ben帳戶|Elsa帳戶|Ben代墊|Ariel代墊|中信銀行共用"")), ""內部轉帳(忽略)"",
  AND(E3908&lt;&gt;"""", F3908&lt;&gt;"""", N"&amp;"OT(REGEXMATCH(C3908, ""薪資""))), ""內部轉帳(忽略)"",
  REGEXMATCH(C3908, ""薪資""), ""薪資變動(不計入)"",
  REGEXMATCH(C3908, ""押金""), ""押金往來"",
  AND(E3908&lt;&gt;"""", F3908=""""), ""真實支出"",
  AND(E3908="""", F3908&lt;&gt;""""), ""真實收入"",
  TRUE, ""其他""
)"),"其他")</f>
        <v>其他</v>
      </c>
      <c r="K3908" s="270" t="str">
        <f t="shared" si="2"/>
        <v/>
      </c>
      <c r="L3908">
        <f t="shared" si="3"/>
        <v>0</v>
      </c>
    </row>
    <row r="3909">
      <c r="A3909" s="107"/>
      <c r="D3909" s="270"/>
      <c r="H3909" s="106" t="str">
        <f t="shared" si="1"/>
        <v/>
      </c>
      <c r="I3909" s="271" t="str">
        <f>IFERROR(__xludf.DUMMYFUNCTION("""COMPUTED_VALUE"""),"")</f>
        <v/>
      </c>
      <c r="J3909" t="str">
        <f>IFERROR(__xludf.DUMMYFUNCTION("IFS(
  AND(REGEXMATCH(E3909, ""台銀籌備帳戶|玉山帳戶""), REGEXMATCH(C3909, ""薪資"")), ""分潤支出"",
  AND(REGEXMATCH(E3909, ""Ben帳戶|Elsa帳戶|Ben代墊|Ariel代墊|中信銀行共用""), REGEXMATCH(F3909, ""Ben帳戶|Elsa帳戶|Ben代墊|Ariel代墊|中信銀行共用"")), ""內部轉帳(忽略)"",
  AND(E3909&lt;&gt;"""", F3909&lt;&gt;"""", N"&amp;"OT(REGEXMATCH(C3909, ""薪資""))), ""內部轉帳(忽略)"",
  REGEXMATCH(C3909, ""薪資""), ""薪資變動(不計入)"",
  REGEXMATCH(C3909, ""押金""), ""押金往來"",
  AND(E3909&lt;&gt;"""", F3909=""""), ""真實支出"",
  AND(E3909="""", F3909&lt;&gt;""""), ""真實收入"",
  TRUE, ""其他""
)"),"其他")</f>
        <v>其他</v>
      </c>
      <c r="K3909" s="270" t="str">
        <f t="shared" si="2"/>
        <v/>
      </c>
      <c r="L3909">
        <f t="shared" si="3"/>
        <v>0</v>
      </c>
    </row>
    <row r="3910">
      <c r="A3910" s="107"/>
      <c r="D3910" s="270"/>
      <c r="H3910" s="106" t="str">
        <f t="shared" si="1"/>
        <v/>
      </c>
      <c r="I3910" s="271" t="str">
        <f>IFERROR(__xludf.DUMMYFUNCTION("""COMPUTED_VALUE"""),"")</f>
        <v/>
      </c>
      <c r="J3910" t="str">
        <f>IFERROR(__xludf.DUMMYFUNCTION("IFS(
  AND(REGEXMATCH(E3910, ""台銀籌備帳戶|玉山帳戶""), REGEXMATCH(C3910, ""薪資"")), ""分潤支出"",
  AND(REGEXMATCH(E3910, ""Ben帳戶|Elsa帳戶|Ben代墊|Ariel代墊|中信銀行共用""), REGEXMATCH(F3910, ""Ben帳戶|Elsa帳戶|Ben代墊|Ariel代墊|中信銀行共用"")), ""內部轉帳(忽略)"",
  AND(E3910&lt;&gt;"""", F3910&lt;&gt;"""", N"&amp;"OT(REGEXMATCH(C3910, ""薪資""))), ""內部轉帳(忽略)"",
  REGEXMATCH(C3910, ""薪資""), ""薪資變動(不計入)"",
  REGEXMATCH(C3910, ""押金""), ""押金往來"",
  AND(E3910&lt;&gt;"""", F3910=""""), ""真實支出"",
  AND(E3910="""", F3910&lt;&gt;""""), ""真實收入"",
  TRUE, ""其他""
)"),"其他")</f>
        <v>其他</v>
      </c>
      <c r="K3910" s="270" t="str">
        <f t="shared" si="2"/>
        <v/>
      </c>
      <c r="L3910">
        <f t="shared" si="3"/>
        <v>0</v>
      </c>
    </row>
    <row r="3911">
      <c r="A3911" s="107"/>
      <c r="D3911" s="270"/>
      <c r="H3911" s="106" t="str">
        <f t="shared" si="1"/>
        <v/>
      </c>
      <c r="I3911" s="271" t="str">
        <f>IFERROR(__xludf.DUMMYFUNCTION("""COMPUTED_VALUE"""),"")</f>
        <v/>
      </c>
      <c r="J3911" t="str">
        <f>IFERROR(__xludf.DUMMYFUNCTION("IFS(
  AND(REGEXMATCH(E3911, ""台銀籌備帳戶|玉山帳戶""), REGEXMATCH(C3911, ""薪資"")), ""分潤支出"",
  AND(REGEXMATCH(E3911, ""Ben帳戶|Elsa帳戶|Ben代墊|Ariel代墊|中信銀行共用""), REGEXMATCH(F3911, ""Ben帳戶|Elsa帳戶|Ben代墊|Ariel代墊|中信銀行共用"")), ""內部轉帳(忽略)"",
  AND(E3911&lt;&gt;"""", F3911&lt;&gt;"""", N"&amp;"OT(REGEXMATCH(C3911, ""薪資""))), ""內部轉帳(忽略)"",
  REGEXMATCH(C3911, ""薪資""), ""薪資變動(不計入)"",
  REGEXMATCH(C3911, ""押金""), ""押金往來"",
  AND(E3911&lt;&gt;"""", F3911=""""), ""真實支出"",
  AND(E3911="""", F3911&lt;&gt;""""), ""真實收入"",
  TRUE, ""其他""
)"),"其他")</f>
        <v>其他</v>
      </c>
      <c r="K3911" s="270" t="str">
        <f t="shared" si="2"/>
        <v/>
      </c>
      <c r="L3911">
        <f t="shared" si="3"/>
        <v>0</v>
      </c>
    </row>
    <row r="3912">
      <c r="A3912" s="107"/>
      <c r="D3912" s="270"/>
      <c r="H3912" s="106" t="str">
        <f t="shared" si="1"/>
        <v/>
      </c>
      <c r="I3912" s="271" t="str">
        <f>IFERROR(__xludf.DUMMYFUNCTION("""COMPUTED_VALUE"""),"")</f>
        <v/>
      </c>
      <c r="J3912" t="str">
        <f>IFERROR(__xludf.DUMMYFUNCTION("IFS(
  AND(REGEXMATCH(E3912, ""台銀籌備帳戶|玉山帳戶""), REGEXMATCH(C3912, ""薪資"")), ""分潤支出"",
  AND(REGEXMATCH(E3912, ""Ben帳戶|Elsa帳戶|Ben代墊|Ariel代墊|中信銀行共用""), REGEXMATCH(F3912, ""Ben帳戶|Elsa帳戶|Ben代墊|Ariel代墊|中信銀行共用"")), ""內部轉帳(忽略)"",
  AND(E3912&lt;&gt;"""", F3912&lt;&gt;"""", N"&amp;"OT(REGEXMATCH(C3912, ""薪資""))), ""內部轉帳(忽略)"",
  REGEXMATCH(C3912, ""薪資""), ""薪資變動(不計入)"",
  REGEXMATCH(C3912, ""押金""), ""押金往來"",
  AND(E3912&lt;&gt;"""", F3912=""""), ""真實支出"",
  AND(E3912="""", F3912&lt;&gt;""""), ""真實收入"",
  TRUE, ""其他""
)"),"其他")</f>
        <v>其他</v>
      </c>
      <c r="K3912" s="270" t="str">
        <f t="shared" si="2"/>
        <v/>
      </c>
      <c r="L3912">
        <f t="shared" si="3"/>
        <v>0</v>
      </c>
    </row>
    <row r="3913">
      <c r="A3913" s="107"/>
      <c r="D3913" s="270"/>
      <c r="H3913" s="106" t="str">
        <f t="shared" si="1"/>
        <v/>
      </c>
      <c r="I3913" s="271" t="str">
        <f>IFERROR(__xludf.DUMMYFUNCTION("""COMPUTED_VALUE"""),"")</f>
        <v/>
      </c>
      <c r="J3913" t="str">
        <f>IFERROR(__xludf.DUMMYFUNCTION("IFS(
  AND(REGEXMATCH(E3913, ""台銀籌備帳戶|玉山帳戶""), REGEXMATCH(C3913, ""薪資"")), ""分潤支出"",
  AND(REGEXMATCH(E3913, ""Ben帳戶|Elsa帳戶|Ben代墊|Ariel代墊|中信銀行共用""), REGEXMATCH(F3913, ""Ben帳戶|Elsa帳戶|Ben代墊|Ariel代墊|中信銀行共用"")), ""內部轉帳(忽略)"",
  AND(E3913&lt;&gt;"""", F3913&lt;&gt;"""", N"&amp;"OT(REGEXMATCH(C3913, ""薪資""))), ""內部轉帳(忽略)"",
  REGEXMATCH(C3913, ""薪資""), ""薪資變動(不計入)"",
  REGEXMATCH(C3913, ""押金""), ""押金往來"",
  AND(E3913&lt;&gt;"""", F3913=""""), ""真實支出"",
  AND(E3913="""", F3913&lt;&gt;""""), ""真實收入"",
  TRUE, ""其他""
)"),"其他")</f>
        <v>其他</v>
      </c>
      <c r="K3913" s="270" t="str">
        <f t="shared" si="2"/>
        <v/>
      </c>
      <c r="L3913">
        <f t="shared" si="3"/>
        <v>0</v>
      </c>
    </row>
    <row r="3914">
      <c r="A3914" s="107"/>
      <c r="D3914" s="270"/>
      <c r="H3914" s="106" t="str">
        <f t="shared" si="1"/>
        <v/>
      </c>
      <c r="I3914" s="271" t="str">
        <f>IFERROR(__xludf.DUMMYFUNCTION("""COMPUTED_VALUE"""),"")</f>
        <v/>
      </c>
      <c r="J3914" t="str">
        <f>IFERROR(__xludf.DUMMYFUNCTION("IFS(
  AND(REGEXMATCH(E3914, ""台銀籌備帳戶|玉山帳戶""), REGEXMATCH(C3914, ""薪資"")), ""分潤支出"",
  AND(REGEXMATCH(E3914, ""Ben帳戶|Elsa帳戶|Ben代墊|Ariel代墊|中信銀行共用""), REGEXMATCH(F3914, ""Ben帳戶|Elsa帳戶|Ben代墊|Ariel代墊|中信銀行共用"")), ""內部轉帳(忽略)"",
  AND(E3914&lt;&gt;"""", F3914&lt;&gt;"""", N"&amp;"OT(REGEXMATCH(C3914, ""薪資""))), ""內部轉帳(忽略)"",
  REGEXMATCH(C3914, ""薪資""), ""薪資變動(不計入)"",
  REGEXMATCH(C3914, ""押金""), ""押金往來"",
  AND(E3914&lt;&gt;"""", F3914=""""), ""真實支出"",
  AND(E3914="""", F3914&lt;&gt;""""), ""真實收入"",
  TRUE, ""其他""
)"),"其他")</f>
        <v>其他</v>
      </c>
      <c r="K3914" s="270" t="str">
        <f t="shared" si="2"/>
        <v/>
      </c>
      <c r="L3914">
        <f t="shared" si="3"/>
        <v>0</v>
      </c>
    </row>
    <row r="3915">
      <c r="A3915" s="107"/>
      <c r="D3915" s="270"/>
      <c r="H3915" s="106" t="str">
        <f t="shared" si="1"/>
        <v/>
      </c>
      <c r="I3915" s="271" t="str">
        <f>IFERROR(__xludf.DUMMYFUNCTION("""COMPUTED_VALUE"""),"")</f>
        <v/>
      </c>
      <c r="J3915" t="str">
        <f>IFERROR(__xludf.DUMMYFUNCTION("IFS(
  AND(REGEXMATCH(E3915, ""台銀籌備帳戶|玉山帳戶""), REGEXMATCH(C3915, ""薪資"")), ""分潤支出"",
  AND(REGEXMATCH(E3915, ""Ben帳戶|Elsa帳戶|Ben代墊|Ariel代墊|中信銀行共用""), REGEXMATCH(F3915, ""Ben帳戶|Elsa帳戶|Ben代墊|Ariel代墊|中信銀行共用"")), ""內部轉帳(忽略)"",
  AND(E3915&lt;&gt;"""", F3915&lt;&gt;"""", N"&amp;"OT(REGEXMATCH(C3915, ""薪資""))), ""內部轉帳(忽略)"",
  REGEXMATCH(C3915, ""薪資""), ""薪資變動(不計入)"",
  REGEXMATCH(C3915, ""押金""), ""押金往來"",
  AND(E3915&lt;&gt;"""", F3915=""""), ""真實支出"",
  AND(E3915="""", F3915&lt;&gt;""""), ""真實收入"",
  TRUE, ""其他""
)"),"其他")</f>
        <v>其他</v>
      </c>
      <c r="K3915" s="270" t="str">
        <f t="shared" si="2"/>
        <v/>
      </c>
      <c r="L3915">
        <f t="shared" si="3"/>
        <v>0</v>
      </c>
    </row>
    <row r="3916">
      <c r="A3916" s="107"/>
      <c r="D3916" s="270"/>
      <c r="H3916" s="106" t="str">
        <f t="shared" si="1"/>
        <v/>
      </c>
      <c r="I3916" s="271" t="str">
        <f>IFERROR(__xludf.DUMMYFUNCTION("""COMPUTED_VALUE"""),"")</f>
        <v/>
      </c>
      <c r="J3916" t="str">
        <f>IFERROR(__xludf.DUMMYFUNCTION("IFS(
  AND(REGEXMATCH(E3916, ""台銀籌備帳戶|玉山帳戶""), REGEXMATCH(C3916, ""薪資"")), ""分潤支出"",
  AND(REGEXMATCH(E3916, ""Ben帳戶|Elsa帳戶|Ben代墊|Ariel代墊|中信銀行共用""), REGEXMATCH(F3916, ""Ben帳戶|Elsa帳戶|Ben代墊|Ariel代墊|中信銀行共用"")), ""內部轉帳(忽略)"",
  AND(E3916&lt;&gt;"""", F3916&lt;&gt;"""", N"&amp;"OT(REGEXMATCH(C3916, ""薪資""))), ""內部轉帳(忽略)"",
  REGEXMATCH(C3916, ""薪資""), ""薪資變動(不計入)"",
  REGEXMATCH(C3916, ""押金""), ""押金往來"",
  AND(E3916&lt;&gt;"""", F3916=""""), ""真實支出"",
  AND(E3916="""", F3916&lt;&gt;""""), ""真實收入"",
  TRUE, ""其他""
)"),"其他")</f>
        <v>其他</v>
      </c>
      <c r="K3916" s="270" t="str">
        <f t="shared" si="2"/>
        <v/>
      </c>
      <c r="L3916">
        <f t="shared" si="3"/>
        <v>0</v>
      </c>
    </row>
    <row r="3917">
      <c r="A3917" s="107"/>
      <c r="D3917" s="270"/>
      <c r="H3917" s="106" t="str">
        <f t="shared" si="1"/>
        <v/>
      </c>
      <c r="I3917" s="271" t="str">
        <f>IFERROR(__xludf.DUMMYFUNCTION("""COMPUTED_VALUE"""),"")</f>
        <v/>
      </c>
      <c r="J3917" t="str">
        <f>IFERROR(__xludf.DUMMYFUNCTION("IFS(
  AND(REGEXMATCH(E3917, ""台銀籌備帳戶|玉山帳戶""), REGEXMATCH(C3917, ""薪資"")), ""分潤支出"",
  AND(REGEXMATCH(E3917, ""Ben帳戶|Elsa帳戶|Ben代墊|Ariel代墊|中信銀行共用""), REGEXMATCH(F3917, ""Ben帳戶|Elsa帳戶|Ben代墊|Ariel代墊|中信銀行共用"")), ""內部轉帳(忽略)"",
  AND(E3917&lt;&gt;"""", F3917&lt;&gt;"""", N"&amp;"OT(REGEXMATCH(C3917, ""薪資""))), ""內部轉帳(忽略)"",
  REGEXMATCH(C3917, ""薪資""), ""薪資變動(不計入)"",
  REGEXMATCH(C3917, ""押金""), ""押金往來"",
  AND(E3917&lt;&gt;"""", F3917=""""), ""真實支出"",
  AND(E3917="""", F3917&lt;&gt;""""), ""真實收入"",
  TRUE, ""其他""
)"),"其他")</f>
        <v>其他</v>
      </c>
      <c r="K3917" s="270" t="str">
        <f t="shared" si="2"/>
        <v/>
      </c>
      <c r="L3917">
        <f t="shared" si="3"/>
        <v>0</v>
      </c>
    </row>
    <row r="3918">
      <c r="A3918" s="107"/>
      <c r="D3918" s="270"/>
      <c r="H3918" s="106" t="str">
        <f t="shared" si="1"/>
        <v/>
      </c>
      <c r="I3918" s="271" t="str">
        <f>IFERROR(__xludf.DUMMYFUNCTION("""COMPUTED_VALUE"""),"")</f>
        <v/>
      </c>
      <c r="J3918" t="str">
        <f>IFERROR(__xludf.DUMMYFUNCTION("IFS(
  AND(REGEXMATCH(E3918, ""台銀籌備帳戶|玉山帳戶""), REGEXMATCH(C3918, ""薪資"")), ""分潤支出"",
  AND(REGEXMATCH(E3918, ""Ben帳戶|Elsa帳戶|Ben代墊|Ariel代墊|中信銀行共用""), REGEXMATCH(F3918, ""Ben帳戶|Elsa帳戶|Ben代墊|Ariel代墊|中信銀行共用"")), ""內部轉帳(忽略)"",
  AND(E3918&lt;&gt;"""", F3918&lt;&gt;"""", N"&amp;"OT(REGEXMATCH(C3918, ""薪資""))), ""內部轉帳(忽略)"",
  REGEXMATCH(C3918, ""薪資""), ""薪資變動(不計入)"",
  REGEXMATCH(C3918, ""押金""), ""押金往來"",
  AND(E3918&lt;&gt;"""", F3918=""""), ""真實支出"",
  AND(E3918="""", F3918&lt;&gt;""""), ""真實收入"",
  TRUE, ""其他""
)"),"其他")</f>
        <v>其他</v>
      </c>
      <c r="K3918" s="270" t="str">
        <f t="shared" si="2"/>
        <v/>
      </c>
      <c r="L3918">
        <f t="shared" si="3"/>
        <v>0</v>
      </c>
    </row>
    <row r="3919">
      <c r="A3919" s="107"/>
      <c r="D3919" s="270"/>
      <c r="H3919" s="106" t="str">
        <f t="shared" si="1"/>
        <v/>
      </c>
      <c r="I3919" s="271" t="str">
        <f>IFERROR(__xludf.DUMMYFUNCTION("""COMPUTED_VALUE"""),"")</f>
        <v/>
      </c>
      <c r="J3919" t="str">
        <f>IFERROR(__xludf.DUMMYFUNCTION("IFS(
  AND(REGEXMATCH(E3919, ""台銀籌備帳戶|玉山帳戶""), REGEXMATCH(C3919, ""薪資"")), ""分潤支出"",
  AND(REGEXMATCH(E3919, ""Ben帳戶|Elsa帳戶|Ben代墊|Ariel代墊|中信銀行共用""), REGEXMATCH(F3919, ""Ben帳戶|Elsa帳戶|Ben代墊|Ariel代墊|中信銀行共用"")), ""內部轉帳(忽略)"",
  AND(E3919&lt;&gt;"""", F3919&lt;&gt;"""", N"&amp;"OT(REGEXMATCH(C3919, ""薪資""))), ""內部轉帳(忽略)"",
  REGEXMATCH(C3919, ""薪資""), ""薪資變動(不計入)"",
  REGEXMATCH(C3919, ""押金""), ""押金往來"",
  AND(E3919&lt;&gt;"""", F3919=""""), ""真實支出"",
  AND(E3919="""", F3919&lt;&gt;""""), ""真實收入"",
  TRUE, ""其他""
)"),"其他")</f>
        <v>其他</v>
      </c>
      <c r="K3919" s="270" t="str">
        <f t="shared" si="2"/>
        <v/>
      </c>
      <c r="L3919">
        <f t="shared" si="3"/>
        <v>0</v>
      </c>
    </row>
    <row r="3920">
      <c r="A3920" s="107"/>
      <c r="D3920" s="270"/>
      <c r="H3920" s="106" t="str">
        <f t="shared" si="1"/>
        <v/>
      </c>
      <c r="I3920" s="271" t="str">
        <f>IFERROR(__xludf.DUMMYFUNCTION("""COMPUTED_VALUE"""),"")</f>
        <v/>
      </c>
      <c r="J3920" t="str">
        <f>IFERROR(__xludf.DUMMYFUNCTION("IFS(
  AND(REGEXMATCH(E3920, ""台銀籌備帳戶|玉山帳戶""), REGEXMATCH(C3920, ""薪資"")), ""分潤支出"",
  AND(REGEXMATCH(E3920, ""Ben帳戶|Elsa帳戶|Ben代墊|Ariel代墊|中信銀行共用""), REGEXMATCH(F3920, ""Ben帳戶|Elsa帳戶|Ben代墊|Ariel代墊|中信銀行共用"")), ""內部轉帳(忽略)"",
  AND(E3920&lt;&gt;"""", F3920&lt;&gt;"""", N"&amp;"OT(REGEXMATCH(C3920, ""薪資""))), ""內部轉帳(忽略)"",
  REGEXMATCH(C3920, ""薪資""), ""薪資變動(不計入)"",
  REGEXMATCH(C3920, ""押金""), ""押金往來"",
  AND(E3920&lt;&gt;"""", F3920=""""), ""真實支出"",
  AND(E3920="""", F3920&lt;&gt;""""), ""真實收入"",
  TRUE, ""其他""
)"),"其他")</f>
        <v>其他</v>
      </c>
      <c r="K3920" s="270" t="str">
        <f t="shared" si="2"/>
        <v/>
      </c>
      <c r="L3920">
        <f t="shared" si="3"/>
        <v>0</v>
      </c>
    </row>
    <row r="3921">
      <c r="A3921" s="107"/>
      <c r="D3921" s="270"/>
      <c r="H3921" s="106" t="str">
        <f t="shared" si="1"/>
        <v/>
      </c>
      <c r="I3921" s="271" t="str">
        <f>IFERROR(__xludf.DUMMYFUNCTION("""COMPUTED_VALUE"""),"")</f>
        <v/>
      </c>
      <c r="J3921" t="str">
        <f>IFERROR(__xludf.DUMMYFUNCTION("IFS(
  AND(REGEXMATCH(E3921, ""台銀籌備帳戶|玉山帳戶""), REGEXMATCH(C3921, ""薪資"")), ""分潤支出"",
  AND(REGEXMATCH(E3921, ""Ben帳戶|Elsa帳戶|Ben代墊|Ariel代墊|中信銀行共用""), REGEXMATCH(F3921, ""Ben帳戶|Elsa帳戶|Ben代墊|Ariel代墊|中信銀行共用"")), ""內部轉帳(忽略)"",
  AND(E3921&lt;&gt;"""", F3921&lt;&gt;"""", N"&amp;"OT(REGEXMATCH(C3921, ""薪資""))), ""內部轉帳(忽略)"",
  REGEXMATCH(C3921, ""薪資""), ""薪資變動(不計入)"",
  REGEXMATCH(C3921, ""押金""), ""押金往來"",
  AND(E3921&lt;&gt;"""", F3921=""""), ""真實支出"",
  AND(E3921="""", F3921&lt;&gt;""""), ""真實收入"",
  TRUE, ""其他""
)"),"其他")</f>
        <v>其他</v>
      </c>
      <c r="K3921" s="270" t="str">
        <f t="shared" si="2"/>
        <v/>
      </c>
      <c r="L3921">
        <f t="shared" si="3"/>
        <v>0</v>
      </c>
    </row>
    <row r="3922">
      <c r="A3922" s="107"/>
      <c r="D3922" s="270"/>
      <c r="H3922" s="106" t="str">
        <f t="shared" si="1"/>
        <v/>
      </c>
      <c r="I3922" s="271" t="str">
        <f>IFERROR(__xludf.DUMMYFUNCTION("""COMPUTED_VALUE"""),"")</f>
        <v/>
      </c>
      <c r="J3922" t="str">
        <f>IFERROR(__xludf.DUMMYFUNCTION("IFS(
  AND(REGEXMATCH(E3922, ""台銀籌備帳戶|玉山帳戶""), REGEXMATCH(C3922, ""薪資"")), ""分潤支出"",
  AND(REGEXMATCH(E3922, ""Ben帳戶|Elsa帳戶|Ben代墊|Ariel代墊|中信銀行共用""), REGEXMATCH(F3922, ""Ben帳戶|Elsa帳戶|Ben代墊|Ariel代墊|中信銀行共用"")), ""內部轉帳(忽略)"",
  AND(E3922&lt;&gt;"""", F3922&lt;&gt;"""", N"&amp;"OT(REGEXMATCH(C3922, ""薪資""))), ""內部轉帳(忽略)"",
  REGEXMATCH(C3922, ""薪資""), ""薪資變動(不計入)"",
  REGEXMATCH(C3922, ""押金""), ""押金往來"",
  AND(E3922&lt;&gt;"""", F3922=""""), ""真實支出"",
  AND(E3922="""", F3922&lt;&gt;""""), ""真實收入"",
  TRUE, ""其他""
)"),"其他")</f>
        <v>其他</v>
      </c>
      <c r="K3922" s="270" t="str">
        <f t="shared" si="2"/>
        <v/>
      </c>
      <c r="L3922">
        <f t="shared" si="3"/>
        <v>0</v>
      </c>
    </row>
    <row r="3923">
      <c r="A3923" s="107"/>
      <c r="D3923" s="270"/>
      <c r="H3923" s="106" t="str">
        <f t="shared" si="1"/>
        <v/>
      </c>
      <c r="I3923" s="271" t="str">
        <f>IFERROR(__xludf.DUMMYFUNCTION("""COMPUTED_VALUE"""),"")</f>
        <v/>
      </c>
      <c r="J3923" t="str">
        <f>IFERROR(__xludf.DUMMYFUNCTION("IFS(
  AND(REGEXMATCH(E3923, ""台銀籌備帳戶|玉山帳戶""), REGEXMATCH(C3923, ""薪資"")), ""分潤支出"",
  AND(REGEXMATCH(E3923, ""Ben帳戶|Elsa帳戶|Ben代墊|Ariel代墊|中信銀行共用""), REGEXMATCH(F3923, ""Ben帳戶|Elsa帳戶|Ben代墊|Ariel代墊|中信銀行共用"")), ""內部轉帳(忽略)"",
  AND(E3923&lt;&gt;"""", F3923&lt;&gt;"""", N"&amp;"OT(REGEXMATCH(C3923, ""薪資""))), ""內部轉帳(忽略)"",
  REGEXMATCH(C3923, ""薪資""), ""薪資變動(不計入)"",
  REGEXMATCH(C3923, ""押金""), ""押金往來"",
  AND(E3923&lt;&gt;"""", F3923=""""), ""真實支出"",
  AND(E3923="""", F3923&lt;&gt;""""), ""真實收入"",
  TRUE, ""其他""
)"),"其他")</f>
        <v>其他</v>
      </c>
      <c r="K3923" s="270" t="str">
        <f t="shared" si="2"/>
        <v/>
      </c>
      <c r="L3923">
        <f t="shared" si="3"/>
        <v>0</v>
      </c>
    </row>
    <row r="3924">
      <c r="A3924" s="107"/>
      <c r="D3924" s="270"/>
      <c r="H3924" s="106" t="str">
        <f t="shared" si="1"/>
        <v/>
      </c>
      <c r="I3924" s="271" t="str">
        <f>IFERROR(__xludf.DUMMYFUNCTION("""COMPUTED_VALUE"""),"")</f>
        <v/>
      </c>
      <c r="J3924" t="str">
        <f>IFERROR(__xludf.DUMMYFUNCTION("IFS(
  AND(REGEXMATCH(E3924, ""台銀籌備帳戶|玉山帳戶""), REGEXMATCH(C3924, ""薪資"")), ""分潤支出"",
  AND(REGEXMATCH(E3924, ""Ben帳戶|Elsa帳戶|Ben代墊|Ariel代墊|中信銀行共用""), REGEXMATCH(F3924, ""Ben帳戶|Elsa帳戶|Ben代墊|Ariel代墊|中信銀行共用"")), ""內部轉帳(忽略)"",
  AND(E3924&lt;&gt;"""", F3924&lt;&gt;"""", N"&amp;"OT(REGEXMATCH(C3924, ""薪資""))), ""內部轉帳(忽略)"",
  REGEXMATCH(C3924, ""薪資""), ""薪資變動(不計入)"",
  REGEXMATCH(C3924, ""押金""), ""押金往來"",
  AND(E3924&lt;&gt;"""", F3924=""""), ""真實支出"",
  AND(E3924="""", F3924&lt;&gt;""""), ""真實收入"",
  TRUE, ""其他""
)"),"其他")</f>
        <v>其他</v>
      </c>
      <c r="K3924" s="270" t="str">
        <f t="shared" si="2"/>
        <v/>
      </c>
      <c r="L3924">
        <f t="shared" si="3"/>
        <v>0</v>
      </c>
    </row>
    <row r="3925">
      <c r="A3925" s="107"/>
      <c r="D3925" s="270"/>
      <c r="H3925" s="106" t="str">
        <f t="shared" si="1"/>
        <v/>
      </c>
      <c r="I3925" s="271" t="str">
        <f>IFERROR(__xludf.DUMMYFUNCTION("""COMPUTED_VALUE"""),"")</f>
        <v/>
      </c>
      <c r="J3925" t="str">
        <f>IFERROR(__xludf.DUMMYFUNCTION("IFS(
  AND(REGEXMATCH(E3925, ""台銀籌備帳戶|玉山帳戶""), REGEXMATCH(C3925, ""薪資"")), ""分潤支出"",
  AND(REGEXMATCH(E3925, ""Ben帳戶|Elsa帳戶|Ben代墊|Ariel代墊|中信銀行共用""), REGEXMATCH(F3925, ""Ben帳戶|Elsa帳戶|Ben代墊|Ariel代墊|中信銀行共用"")), ""內部轉帳(忽略)"",
  AND(E3925&lt;&gt;"""", F3925&lt;&gt;"""", N"&amp;"OT(REGEXMATCH(C3925, ""薪資""))), ""內部轉帳(忽略)"",
  REGEXMATCH(C3925, ""薪資""), ""薪資變動(不計入)"",
  REGEXMATCH(C3925, ""押金""), ""押金往來"",
  AND(E3925&lt;&gt;"""", F3925=""""), ""真實支出"",
  AND(E3925="""", F3925&lt;&gt;""""), ""真實收入"",
  TRUE, ""其他""
)"),"其他")</f>
        <v>其他</v>
      </c>
      <c r="K3925" s="270" t="str">
        <f t="shared" si="2"/>
        <v/>
      </c>
      <c r="L3925">
        <f t="shared" si="3"/>
        <v>0</v>
      </c>
    </row>
    <row r="3926">
      <c r="A3926" s="107"/>
      <c r="D3926" s="270"/>
      <c r="H3926" s="106" t="str">
        <f t="shared" si="1"/>
        <v/>
      </c>
      <c r="I3926" s="271" t="str">
        <f>IFERROR(__xludf.DUMMYFUNCTION("""COMPUTED_VALUE"""),"")</f>
        <v/>
      </c>
      <c r="J3926" t="str">
        <f>IFERROR(__xludf.DUMMYFUNCTION("IFS(
  AND(REGEXMATCH(E3926, ""台銀籌備帳戶|玉山帳戶""), REGEXMATCH(C3926, ""薪資"")), ""分潤支出"",
  AND(REGEXMATCH(E3926, ""Ben帳戶|Elsa帳戶|Ben代墊|Ariel代墊|中信銀行共用""), REGEXMATCH(F3926, ""Ben帳戶|Elsa帳戶|Ben代墊|Ariel代墊|中信銀行共用"")), ""內部轉帳(忽略)"",
  AND(E3926&lt;&gt;"""", F3926&lt;&gt;"""", N"&amp;"OT(REGEXMATCH(C3926, ""薪資""))), ""內部轉帳(忽略)"",
  REGEXMATCH(C3926, ""薪資""), ""薪資變動(不計入)"",
  REGEXMATCH(C3926, ""押金""), ""押金往來"",
  AND(E3926&lt;&gt;"""", F3926=""""), ""真實支出"",
  AND(E3926="""", F3926&lt;&gt;""""), ""真實收入"",
  TRUE, ""其他""
)"),"其他")</f>
        <v>其他</v>
      </c>
      <c r="K3926" s="270" t="str">
        <f t="shared" si="2"/>
        <v/>
      </c>
      <c r="L3926">
        <f t="shared" si="3"/>
        <v>0</v>
      </c>
    </row>
    <row r="3927">
      <c r="A3927" s="107"/>
      <c r="D3927" s="270"/>
      <c r="H3927" s="106" t="str">
        <f t="shared" si="1"/>
        <v/>
      </c>
      <c r="I3927" s="271" t="str">
        <f>IFERROR(__xludf.DUMMYFUNCTION("""COMPUTED_VALUE"""),"")</f>
        <v/>
      </c>
      <c r="J3927" t="str">
        <f>IFERROR(__xludf.DUMMYFUNCTION("IFS(
  AND(REGEXMATCH(E3927, ""台銀籌備帳戶|玉山帳戶""), REGEXMATCH(C3927, ""薪資"")), ""分潤支出"",
  AND(REGEXMATCH(E3927, ""Ben帳戶|Elsa帳戶|Ben代墊|Ariel代墊|中信銀行共用""), REGEXMATCH(F3927, ""Ben帳戶|Elsa帳戶|Ben代墊|Ariel代墊|中信銀行共用"")), ""內部轉帳(忽略)"",
  AND(E3927&lt;&gt;"""", F3927&lt;&gt;"""", N"&amp;"OT(REGEXMATCH(C3927, ""薪資""))), ""內部轉帳(忽略)"",
  REGEXMATCH(C3927, ""薪資""), ""薪資變動(不計入)"",
  REGEXMATCH(C3927, ""押金""), ""押金往來"",
  AND(E3927&lt;&gt;"""", F3927=""""), ""真實支出"",
  AND(E3927="""", F3927&lt;&gt;""""), ""真實收入"",
  TRUE, ""其他""
)"),"其他")</f>
        <v>其他</v>
      </c>
      <c r="K3927" s="270" t="str">
        <f t="shared" si="2"/>
        <v/>
      </c>
      <c r="L3927">
        <f t="shared" si="3"/>
        <v>0</v>
      </c>
    </row>
    <row r="3928">
      <c r="A3928" s="107"/>
      <c r="D3928" s="270"/>
      <c r="H3928" s="106" t="str">
        <f t="shared" si="1"/>
        <v/>
      </c>
      <c r="I3928" s="271" t="str">
        <f>IFERROR(__xludf.DUMMYFUNCTION("""COMPUTED_VALUE"""),"")</f>
        <v/>
      </c>
      <c r="J3928" t="str">
        <f>IFERROR(__xludf.DUMMYFUNCTION("IFS(
  AND(REGEXMATCH(E3928, ""台銀籌備帳戶|玉山帳戶""), REGEXMATCH(C3928, ""薪資"")), ""分潤支出"",
  AND(REGEXMATCH(E3928, ""Ben帳戶|Elsa帳戶|Ben代墊|Ariel代墊|中信銀行共用""), REGEXMATCH(F3928, ""Ben帳戶|Elsa帳戶|Ben代墊|Ariel代墊|中信銀行共用"")), ""內部轉帳(忽略)"",
  AND(E3928&lt;&gt;"""", F3928&lt;&gt;"""", N"&amp;"OT(REGEXMATCH(C3928, ""薪資""))), ""內部轉帳(忽略)"",
  REGEXMATCH(C3928, ""薪資""), ""薪資變動(不計入)"",
  REGEXMATCH(C3928, ""押金""), ""押金往來"",
  AND(E3928&lt;&gt;"""", F3928=""""), ""真實支出"",
  AND(E3928="""", F3928&lt;&gt;""""), ""真實收入"",
  TRUE, ""其他""
)"),"其他")</f>
        <v>其他</v>
      </c>
      <c r="K3928" s="270" t="str">
        <f t="shared" si="2"/>
        <v/>
      </c>
      <c r="L3928">
        <f t="shared" si="3"/>
        <v>0</v>
      </c>
    </row>
    <row r="3929">
      <c r="A3929" s="107"/>
      <c r="D3929" s="270"/>
      <c r="H3929" s="106" t="str">
        <f t="shared" si="1"/>
        <v/>
      </c>
      <c r="I3929" s="271" t="str">
        <f>IFERROR(__xludf.DUMMYFUNCTION("""COMPUTED_VALUE"""),"")</f>
        <v/>
      </c>
      <c r="J3929" t="str">
        <f>IFERROR(__xludf.DUMMYFUNCTION("IFS(
  AND(REGEXMATCH(E3929, ""台銀籌備帳戶|玉山帳戶""), REGEXMATCH(C3929, ""薪資"")), ""分潤支出"",
  AND(REGEXMATCH(E3929, ""Ben帳戶|Elsa帳戶|Ben代墊|Ariel代墊|中信銀行共用""), REGEXMATCH(F3929, ""Ben帳戶|Elsa帳戶|Ben代墊|Ariel代墊|中信銀行共用"")), ""內部轉帳(忽略)"",
  AND(E3929&lt;&gt;"""", F3929&lt;&gt;"""", N"&amp;"OT(REGEXMATCH(C3929, ""薪資""))), ""內部轉帳(忽略)"",
  REGEXMATCH(C3929, ""薪資""), ""薪資變動(不計入)"",
  REGEXMATCH(C3929, ""押金""), ""押金往來"",
  AND(E3929&lt;&gt;"""", F3929=""""), ""真實支出"",
  AND(E3929="""", F3929&lt;&gt;""""), ""真實收入"",
  TRUE, ""其他""
)"),"其他")</f>
        <v>其他</v>
      </c>
      <c r="K3929" s="270" t="str">
        <f t="shared" si="2"/>
        <v/>
      </c>
      <c r="L3929">
        <f t="shared" si="3"/>
        <v>0</v>
      </c>
    </row>
    <row r="3930">
      <c r="A3930" s="107"/>
      <c r="D3930" s="270"/>
      <c r="H3930" s="106" t="str">
        <f t="shared" si="1"/>
        <v/>
      </c>
      <c r="I3930" s="271" t="str">
        <f>IFERROR(__xludf.DUMMYFUNCTION("""COMPUTED_VALUE"""),"")</f>
        <v/>
      </c>
      <c r="J3930" t="str">
        <f>IFERROR(__xludf.DUMMYFUNCTION("IFS(
  AND(REGEXMATCH(E3930, ""台銀籌備帳戶|玉山帳戶""), REGEXMATCH(C3930, ""薪資"")), ""分潤支出"",
  AND(REGEXMATCH(E3930, ""Ben帳戶|Elsa帳戶|Ben代墊|Ariel代墊|中信銀行共用""), REGEXMATCH(F3930, ""Ben帳戶|Elsa帳戶|Ben代墊|Ariel代墊|中信銀行共用"")), ""內部轉帳(忽略)"",
  AND(E3930&lt;&gt;"""", F3930&lt;&gt;"""", N"&amp;"OT(REGEXMATCH(C3930, ""薪資""))), ""內部轉帳(忽略)"",
  REGEXMATCH(C3930, ""薪資""), ""薪資變動(不計入)"",
  REGEXMATCH(C3930, ""押金""), ""押金往來"",
  AND(E3930&lt;&gt;"""", F3930=""""), ""真實支出"",
  AND(E3930="""", F3930&lt;&gt;""""), ""真實收入"",
  TRUE, ""其他""
)"),"其他")</f>
        <v>其他</v>
      </c>
      <c r="K3930" s="270" t="str">
        <f t="shared" si="2"/>
        <v/>
      </c>
      <c r="L3930">
        <f t="shared" si="3"/>
        <v>0</v>
      </c>
    </row>
    <row r="3931">
      <c r="A3931" s="107"/>
      <c r="D3931" s="270"/>
      <c r="H3931" s="106" t="str">
        <f t="shared" si="1"/>
        <v/>
      </c>
      <c r="I3931" s="271" t="str">
        <f>IFERROR(__xludf.DUMMYFUNCTION("""COMPUTED_VALUE"""),"")</f>
        <v/>
      </c>
      <c r="J3931" t="str">
        <f>IFERROR(__xludf.DUMMYFUNCTION("IFS(
  AND(REGEXMATCH(E3931, ""台銀籌備帳戶|玉山帳戶""), REGEXMATCH(C3931, ""薪資"")), ""分潤支出"",
  AND(REGEXMATCH(E3931, ""Ben帳戶|Elsa帳戶|Ben代墊|Ariel代墊|中信銀行共用""), REGEXMATCH(F3931, ""Ben帳戶|Elsa帳戶|Ben代墊|Ariel代墊|中信銀行共用"")), ""內部轉帳(忽略)"",
  AND(E3931&lt;&gt;"""", F3931&lt;&gt;"""", N"&amp;"OT(REGEXMATCH(C3931, ""薪資""))), ""內部轉帳(忽略)"",
  REGEXMATCH(C3931, ""薪資""), ""薪資變動(不計入)"",
  REGEXMATCH(C3931, ""押金""), ""押金往來"",
  AND(E3931&lt;&gt;"""", F3931=""""), ""真實支出"",
  AND(E3931="""", F3931&lt;&gt;""""), ""真實收入"",
  TRUE, ""其他""
)"),"其他")</f>
        <v>其他</v>
      </c>
      <c r="K3931" s="270" t="str">
        <f t="shared" si="2"/>
        <v/>
      </c>
      <c r="L3931">
        <f t="shared" si="3"/>
        <v>0</v>
      </c>
    </row>
    <row r="3932">
      <c r="A3932" s="107"/>
      <c r="D3932" s="270"/>
      <c r="H3932" s="106" t="str">
        <f t="shared" si="1"/>
        <v/>
      </c>
      <c r="I3932" s="271" t="str">
        <f>IFERROR(__xludf.DUMMYFUNCTION("""COMPUTED_VALUE"""),"")</f>
        <v/>
      </c>
      <c r="J3932" t="str">
        <f>IFERROR(__xludf.DUMMYFUNCTION("IFS(
  AND(REGEXMATCH(E3932, ""台銀籌備帳戶|玉山帳戶""), REGEXMATCH(C3932, ""薪資"")), ""分潤支出"",
  AND(REGEXMATCH(E3932, ""Ben帳戶|Elsa帳戶|Ben代墊|Ariel代墊|中信銀行共用""), REGEXMATCH(F3932, ""Ben帳戶|Elsa帳戶|Ben代墊|Ariel代墊|中信銀行共用"")), ""內部轉帳(忽略)"",
  AND(E3932&lt;&gt;"""", F3932&lt;&gt;"""", N"&amp;"OT(REGEXMATCH(C3932, ""薪資""))), ""內部轉帳(忽略)"",
  REGEXMATCH(C3932, ""薪資""), ""薪資變動(不計入)"",
  REGEXMATCH(C3932, ""押金""), ""押金往來"",
  AND(E3932&lt;&gt;"""", F3932=""""), ""真實支出"",
  AND(E3932="""", F3932&lt;&gt;""""), ""真實收入"",
  TRUE, ""其他""
)"),"其他")</f>
        <v>其他</v>
      </c>
      <c r="K3932" s="270" t="str">
        <f t="shared" si="2"/>
        <v/>
      </c>
      <c r="L3932">
        <f t="shared" si="3"/>
        <v>0</v>
      </c>
    </row>
    <row r="3933">
      <c r="A3933" s="107"/>
      <c r="D3933" s="270"/>
      <c r="H3933" s="106" t="str">
        <f t="shared" si="1"/>
        <v/>
      </c>
      <c r="I3933" s="271" t="str">
        <f>IFERROR(__xludf.DUMMYFUNCTION("""COMPUTED_VALUE"""),"")</f>
        <v/>
      </c>
      <c r="J3933" t="str">
        <f>IFERROR(__xludf.DUMMYFUNCTION("IFS(
  AND(REGEXMATCH(E3933, ""台銀籌備帳戶|玉山帳戶""), REGEXMATCH(C3933, ""薪資"")), ""分潤支出"",
  AND(REGEXMATCH(E3933, ""Ben帳戶|Elsa帳戶|Ben代墊|Ariel代墊|中信銀行共用""), REGEXMATCH(F3933, ""Ben帳戶|Elsa帳戶|Ben代墊|Ariel代墊|中信銀行共用"")), ""內部轉帳(忽略)"",
  AND(E3933&lt;&gt;"""", F3933&lt;&gt;"""", N"&amp;"OT(REGEXMATCH(C3933, ""薪資""))), ""內部轉帳(忽略)"",
  REGEXMATCH(C3933, ""薪資""), ""薪資變動(不計入)"",
  REGEXMATCH(C3933, ""押金""), ""押金往來"",
  AND(E3933&lt;&gt;"""", F3933=""""), ""真實支出"",
  AND(E3933="""", F3933&lt;&gt;""""), ""真實收入"",
  TRUE, ""其他""
)"),"其他")</f>
        <v>其他</v>
      </c>
      <c r="K3933" s="270" t="str">
        <f t="shared" si="2"/>
        <v/>
      </c>
      <c r="L3933">
        <f t="shared" si="3"/>
        <v>0</v>
      </c>
    </row>
    <row r="3934">
      <c r="A3934" s="107"/>
      <c r="D3934" s="270"/>
      <c r="H3934" s="106" t="str">
        <f t="shared" si="1"/>
        <v/>
      </c>
      <c r="I3934" s="271" t="str">
        <f>IFERROR(__xludf.DUMMYFUNCTION("""COMPUTED_VALUE"""),"")</f>
        <v/>
      </c>
      <c r="J3934" t="str">
        <f>IFERROR(__xludf.DUMMYFUNCTION("IFS(
  AND(REGEXMATCH(E3934, ""台銀籌備帳戶|玉山帳戶""), REGEXMATCH(C3934, ""薪資"")), ""分潤支出"",
  AND(REGEXMATCH(E3934, ""Ben帳戶|Elsa帳戶|Ben代墊|Ariel代墊|中信銀行共用""), REGEXMATCH(F3934, ""Ben帳戶|Elsa帳戶|Ben代墊|Ariel代墊|中信銀行共用"")), ""內部轉帳(忽略)"",
  AND(E3934&lt;&gt;"""", F3934&lt;&gt;"""", N"&amp;"OT(REGEXMATCH(C3934, ""薪資""))), ""內部轉帳(忽略)"",
  REGEXMATCH(C3934, ""薪資""), ""薪資變動(不計入)"",
  REGEXMATCH(C3934, ""押金""), ""押金往來"",
  AND(E3934&lt;&gt;"""", F3934=""""), ""真實支出"",
  AND(E3934="""", F3934&lt;&gt;""""), ""真實收入"",
  TRUE, ""其他""
)"),"其他")</f>
        <v>其他</v>
      </c>
      <c r="K3934" s="270" t="str">
        <f t="shared" si="2"/>
        <v/>
      </c>
      <c r="L3934">
        <f t="shared" si="3"/>
        <v>0</v>
      </c>
    </row>
    <row r="3935">
      <c r="A3935" s="107"/>
      <c r="D3935" s="270"/>
      <c r="H3935" s="106" t="str">
        <f t="shared" si="1"/>
        <v/>
      </c>
      <c r="I3935" s="271" t="str">
        <f>IFERROR(__xludf.DUMMYFUNCTION("""COMPUTED_VALUE"""),"")</f>
        <v/>
      </c>
      <c r="J3935" t="str">
        <f>IFERROR(__xludf.DUMMYFUNCTION("IFS(
  AND(REGEXMATCH(E3935, ""台銀籌備帳戶|玉山帳戶""), REGEXMATCH(C3935, ""薪資"")), ""分潤支出"",
  AND(REGEXMATCH(E3935, ""Ben帳戶|Elsa帳戶|Ben代墊|Ariel代墊|中信銀行共用""), REGEXMATCH(F3935, ""Ben帳戶|Elsa帳戶|Ben代墊|Ariel代墊|中信銀行共用"")), ""內部轉帳(忽略)"",
  AND(E3935&lt;&gt;"""", F3935&lt;&gt;"""", N"&amp;"OT(REGEXMATCH(C3935, ""薪資""))), ""內部轉帳(忽略)"",
  REGEXMATCH(C3935, ""薪資""), ""薪資變動(不計入)"",
  REGEXMATCH(C3935, ""押金""), ""押金往來"",
  AND(E3935&lt;&gt;"""", F3935=""""), ""真實支出"",
  AND(E3935="""", F3935&lt;&gt;""""), ""真實收入"",
  TRUE, ""其他""
)"),"其他")</f>
        <v>其他</v>
      </c>
      <c r="K3935" s="270" t="str">
        <f t="shared" si="2"/>
        <v/>
      </c>
      <c r="L3935">
        <f t="shared" si="3"/>
        <v>0</v>
      </c>
    </row>
    <row r="3936">
      <c r="A3936" s="107"/>
      <c r="D3936" s="270"/>
      <c r="H3936" s="106" t="str">
        <f t="shared" si="1"/>
        <v/>
      </c>
      <c r="I3936" s="271" t="str">
        <f>IFERROR(__xludf.DUMMYFUNCTION("""COMPUTED_VALUE"""),"")</f>
        <v/>
      </c>
      <c r="J3936" t="str">
        <f>IFERROR(__xludf.DUMMYFUNCTION("IFS(
  AND(REGEXMATCH(E3936, ""台銀籌備帳戶|玉山帳戶""), REGEXMATCH(C3936, ""薪資"")), ""分潤支出"",
  AND(REGEXMATCH(E3936, ""Ben帳戶|Elsa帳戶|Ben代墊|Ariel代墊|中信銀行共用""), REGEXMATCH(F3936, ""Ben帳戶|Elsa帳戶|Ben代墊|Ariel代墊|中信銀行共用"")), ""內部轉帳(忽略)"",
  AND(E3936&lt;&gt;"""", F3936&lt;&gt;"""", N"&amp;"OT(REGEXMATCH(C3936, ""薪資""))), ""內部轉帳(忽略)"",
  REGEXMATCH(C3936, ""薪資""), ""薪資變動(不計入)"",
  REGEXMATCH(C3936, ""押金""), ""押金往來"",
  AND(E3936&lt;&gt;"""", F3936=""""), ""真實支出"",
  AND(E3936="""", F3936&lt;&gt;""""), ""真實收入"",
  TRUE, ""其他""
)"),"其他")</f>
        <v>其他</v>
      </c>
      <c r="K3936" s="270" t="str">
        <f t="shared" si="2"/>
        <v/>
      </c>
      <c r="L3936">
        <f t="shared" si="3"/>
        <v>0</v>
      </c>
    </row>
    <row r="3937">
      <c r="A3937" s="107"/>
      <c r="D3937" s="270"/>
      <c r="H3937" s="106" t="str">
        <f t="shared" si="1"/>
        <v/>
      </c>
      <c r="I3937" s="271" t="str">
        <f>IFERROR(__xludf.DUMMYFUNCTION("""COMPUTED_VALUE"""),"")</f>
        <v/>
      </c>
      <c r="J3937" t="str">
        <f>IFERROR(__xludf.DUMMYFUNCTION("IFS(
  AND(REGEXMATCH(E3937, ""台銀籌備帳戶|玉山帳戶""), REGEXMATCH(C3937, ""薪資"")), ""分潤支出"",
  AND(REGEXMATCH(E3937, ""Ben帳戶|Elsa帳戶|Ben代墊|Ariel代墊|中信銀行共用""), REGEXMATCH(F3937, ""Ben帳戶|Elsa帳戶|Ben代墊|Ariel代墊|中信銀行共用"")), ""內部轉帳(忽略)"",
  AND(E3937&lt;&gt;"""", F3937&lt;&gt;"""", N"&amp;"OT(REGEXMATCH(C3937, ""薪資""))), ""內部轉帳(忽略)"",
  REGEXMATCH(C3937, ""薪資""), ""薪資變動(不計入)"",
  REGEXMATCH(C3937, ""押金""), ""押金往來"",
  AND(E3937&lt;&gt;"""", F3937=""""), ""真實支出"",
  AND(E3937="""", F3937&lt;&gt;""""), ""真實收入"",
  TRUE, ""其他""
)"),"其他")</f>
        <v>其他</v>
      </c>
      <c r="K3937" s="270" t="str">
        <f t="shared" si="2"/>
        <v/>
      </c>
      <c r="L3937">
        <f t="shared" si="3"/>
        <v>0</v>
      </c>
    </row>
    <row r="3938">
      <c r="A3938" s="107"/>
      <c r="D3938" s="270"/>
      <c r="H3938" s="106" t="str">
        <f t="shared" si="1"/>
        <v/>
      </c>
      <c r="I3938" s="271" t="str">
        <f>IFERROR(__xludf.DUMMYFUNCTION("""COMPUTED_VALUE"""),"")</f>
        <v/>
      </c>
      <c r="J3938" t="str">
        <f>IFERROR(__xludf.DUMMYFUNCTION("IFS(
  AND(REGEXMATCH(E3938, ""台銀籌備帳戶|玉山帳戶""), REGEXMATCH(C3938, ""薪資"")), ""分潤支出"",
  AND(REGEXMATCH(E3938, ""Ben帳戶|Elsa帳戶|Ben代墊|Ariel代墊|中信銀行共用""), REGEXMATCH(F3938, ""Ben帳戶|Elsa帳戶|Ben代墊|Ariel代墊|中信銀行共用"")), ""內部轉帳(忽略)"",
  AND(E3938&lt;&gt;"""", F3938&lt;&gt;"""", N"&amp;"OT(REGEXMATCH(C3938, ""薪資""))), ""內部轉帳(忽略)"",
  REGEXMATCH(C3938, ""薪資""), ""薪資變動(不計入)"",
  REGEXMATCH(C3938, ""押金""), ""押金往來"",
  AND(E3938&lt;&gt;"""", F3938=""""), ""真實支出"",
  AND(E3938="""", F3938&lt;&gt;""""), ""真實收入"",
  TRUE, ""其他""
)"),"其他")</f>
        <v>其他</v>
      </c>
      <c r="K3938" s="270" t="str">
        <f t="shared" si="2"/>
        <v/>
      </c>
      <c r="L3938">
        <f t="shared" si="3"/>
        <v>0</v>
      </c>
    </row>
    <row r="3939">
      <c r="A3939" s="107"/>
      <c r="D3939" s="270"/>
      <c r="H3939" s="106" t="str">
        <f t="shared" si="1"/>
        <v/>
      </c>
      <c r="I3939" s="271" t="str">
        <f>IFERROR(__xludf.DUMMYFUNCTION("""COMPUTED_VALUE"""),"")</f>
        <v/>
      </c>
      <c r="J3939" t="str">
        <f>IFERROR(__xludf.DUMMYFUNCTION("IFS(
  AND(REGEXMATCH(E3939, ""台銀籌備帳戶|玉山帳戶""), REGEXMATCH(C3939, ""薪資"")), ""分潤支出"",
  AND(REGEXMATCH(E3939, ""Ben帳戶|Elsa帳戶|Ben代墊|Ariel代墊|中信銀行共用""), REGEXMATCH(F3939, ""Ben帳戶|Elsa帳戶|Ben代墊|Ariel代墊|中信銀行共用"")), ""內部轉帳(忽略)"",
  AND(E3939&lt;&gt;"""", F3939&lt;&gt;"""", N"&amp;"OT(REGEXMATCH(C3939, ""薪資""))), ""內部轉帳(忽略)"",
  REGEXMATCH(C3939, ""薪資""), ""薪資變動(不計入)"",
  REGEXMATCH(C3939, ""押金""), ""押金往來"",
  AND(E3939&lt;&gt;"""", F3939=""""), ""真實支出"",
  AND(E3939="""", F3939&lt;&gt;""""), ""真實收入"",
  TRUE, ""其他""
)"),"其他")</f>
        <v>其他</v>
      </c>
      <c r="K3939" s="270" t="str">
        <f t="shared" si="2"/>
        <v/>
      </c>
      <c r="L3939">
        <f t="shared" si="3"/>
        <v>0</v>
      </c>
    </row>
    <row r="3940">
      <c r="A3940" s="107"/>
      <c r="D3940" s="270"/>
      <c r="H3940" s="106" t="str">
        <f t="shared" si="1"/>
        <v/>
      </c>
      <c r="I3940" s="271" t="str">
        <f>IFERROR(__xludf.DUMMYFUNCTION("""COMPUTED_VALUE"""),"")</f>
        <v/>
      </c>
      <c r="J3940" t="str">
        <f>IFERROR(__xludf.DUMMYFUNCTION("IFS(
  AND(REGEXMATCH(E3940, ""台銀籌備帳戶|玉山帳戶""), REGEXMATCH(C3940, ""薪資"")), ""分潤支出"",
  AND(REGEXMATCH(E3940, ""Ben帳戶|Elsa帳戶|Ben代墊|Ariel代墊|中信銀行共用""), REGEXMATCH(F3940, ""Ben帳戶|Elsa帳戶|Ben代墊|Ariel代墊|中信銀行共用"")), ""內部轉帳(忽略)"",
  AND(E3940&lt;&gt;"""", F3940&lt;&gt;"""", N"&amp;"OT(REGEXMATCH(C3940, ""薪資""))), ""內部轉帳(忽略)"",
  REGEXMATCH(C3940, ""薪資""), ""薪資變動(不計入)"",
  REGEXMATCH(C3940, ""押金""), ""押金往來"",
  AND(E3940&lt;&gt;"""", F3940=""""), ""真實支出"",
  AND(E3940="""", F3940&lt;&gt;""""), ""真實收入"",
  TRUE, ""其他""
)"),"其他")</f>
        <v>其他</v>
      </c>
      <c r="K3940" s="270" t="str">
        <f t="shared" si="2"/>
        <v/>
      </c>
      <c r="L3940">
        <f t="shared" si="3"/>
        <v>0</v>
      </c>
    </row>
    <row r="3941">
      <c r="A3941" s="107"/>
      <c r="D3941" s="270"/>
      <c r="H3941" s="106" t="str">
        <f t="shared" si="1"/>
        <v/>
      </c>
      <c r="I3941" s="271" t="str">
        <f>IFERROR(__xludf.DUMMYFUNCTION("""COMPUTED_VALUE"""),"")</f>
        <v/>
      </c>
      <c r="J3941" t="str">
        <f>IFERROR(__xludf.DUMMYFUNCTION("IFS(
  AND(REGEXMATCH(E3941, ""台銀籌備帳戶|玉山帳戶""), REGEXMATCH(C3941, ""薪資"")), ""分潤支出"",
  AND(REGEXMATCH(E3941, ""Ben帳戶|Elsa帳戶|Ben代墊|Ariel代墊|中信銀行共用""), REGEXMATCH(F3941, ""Ben帳戶|Elsa帳戶|Ben代墊|Ariel代墊|中信銀行共用"")), ""內部轉帳(忽略)"",
  AND(E3941&lt;&gt;"""", F3941&lt;&gt;"""", N"&amp;"OT(REGEXMATCH(C3941, ""薪資""))), ""內部轉帳(忽略)"",
  REGEXMATCH(C3941, ""薪資""), ""薪資變動(不計入)"",
  REGEXMATCH(C3941, ""押金""), ""押金往來"",
  AND(E3941&lt;&gt;"""", F3941=""""), ""真實支出"",
  AND(E3941="""", F3941&lt;&gt;""""), ""真實收入"",
  TRUE, ""其他""
)"),"其他")</f>
        <v>其他</v>
      </c>
      <c r="K3941" s="270" t="str">
        <f t="shared" si="2"/>
        <v/>
      </c>
      <c r="L3941">
        <f t="shared" si="3"/>
        <v>0</v>
      </c>
    </row>
    <row r="3942">
      <c r="A3942" s="107"/>
      <c r="D3942" s="270"/>
      <c r="H3942" s="106" t="str">
        <f t="shared" si="1"/>
        <v/>
      </c>
      <c r="I3942" s="271" t="str">
        <f>IFERROR(__xludf.DUMMYFUNCTION("""COMPUTED_VALUE"""),"")</f>
        <v/>
      </c>
      <c r="J3942" t="str">
        <f>IFERROR(__xludf.DUMMYFUNCTION("IFS(
  AND(REGEXMATCH(E3942, ""台銀籌備帳戶|玉山帳戶""), REGEXMATCH(C3942, ""薪資"")), ""分潤支出"",
  AND(REGEXMATCH(E3942, ""Ben帳戶|Elsa帳戶|Ben代墊|Ariel代墊|中信銀行共用""), REGEXMATCH(F3942, ""Ben帳戶|Elsa帳戶|Ben代墊|Ariel代墊|中信銀行共用"")), ""內部轉帳(忽略)"",
  AND(E3942&lt;&gt;"""", F3942&lt;&gt;"""", N"&amp;"OT(REGEXMATCH(C3942, ""薪資""))), ""內部轉帳(忽略)"",
  REGEXMATCH(C3942, ""薪資""), ""薪資變動(不計入)"",
  REGEXMATCH(C3942, ""押金""), ""押金往來"",
  AND(E3942&lt;&gt;"""", F3942=""""), ""真實支出"",
  AND(E3942="""", F3942&lt;&gt;""""), ""真實收入"",
  TRUE, ""其他""
)"),"其他")</f>
        <v>其他</v>
      </c>
      <c r="K3942" s="270" t="str">
        <f t="shared" si="2"/>
        <v/>
      </c>
      <c r="L3942">
        <f t="shared" si="3"/>
        <v>0</v>
      </c>
    </row>
    <row r="3943">
      <c r="A3943" s="107"/>
      <c r="D3943" s="270"/>
      <c r="H3943" s="106" t="str">
        <f t="shared" si="1"/>
        <v/>
      </c>
      <c r="I3943" s="271" t="str">
        <f>IFERROR(__xludf.DUMMYFUNCTION("""COMPUTED_VALUE"""),"")</f>
        <v/>
      </c>
      <c r="J3943" t="str">
        <f>IFERROR(__xludf.DUMMYFUNCTION("IFS(
  AND(REGEXMATCH(E3943, ""台銀籌備帳戶|玉山帳戶""), REGEXMATCH(C3943, ""薪資"")), ""分潤支出"",
  AND(REGEXMATCH(E3943, ""Ben帳戶|Elsa帳戶|Ben代墊|Ariel代墊|中信銀行共用""), REGEXMATCH(F3943, ""Ben帳戶|Elsa帳戶|Ben代墊|Ariel代墊|中信銀行共用"")), ""內部轉帳(忽略)"",
  AND(E3943&lt;&gt;"""", F3943&lt;&gt;"""", N"&amp;"OT(REGEXMATCH(C3943, ""薪資""))), ""內部轉帳(忽略)"",
  REGEXMATCH(C3943, ""薪資""), ""薪資變動(不計入)"",
  REGEXMATCH(C3943, ""押金""), ""押金往來"",
  AND(E3943&lt;&gt;"""", F3943=""""), ""真實支出"",
  AND(E3943="""", F3943&lt;&gt;""""), ""真實收入"",
  TRUE, ""其他""
)"),"其他")</f>
        <v>其他</v>
      </c>
      <c r="K3943" s="270" t="str">
        <f t="shared" si="2"/>
        <v/>
      </c>
      <c r="L3943">
        <f t="shared" si="3"/>
        <v>0</v>
      </c>
    </row>
    <row r="3944">
      <c r="A3944" s="107"/>
      <c r="D3944" s="270"/>
      <c r="H3944" s="106" t="str">
        <f t="shared" si="1"/>
        <v/>
      </c>
      <c r="I3944" s="271" t="str">
        <f>IFERROR(__xludf.DUMMYFUNCTION("""COMPUTED_VALUE"""),"")</f>
        <v/>
      </c>
      <c r="J3944" t="str">
        <f>IFERROR(__xludf.DUMMYFUNCTION("IFS(
  AND(REGEXMATCH(E3944, ""台銀籌備帳戶|玉山帳戶""), REGEXMATCH(C3944, ""薪資"")), ""分潤支出"",
  AND(REGEXMATCH(E3944, ""Ben帳戶|Elsa帳戶|Ben代墊|Ariel代墊|中信銀行共用""), REGEXMATCH(F3944, ""Ben帳戶|Elsa帳戶|Ben代墊|Ariel代墊|中信銀行共用"")), ""內部轉帳(忽略)"",
  AND(E3944&lt;&gt;"""", F3944&lt;&gt;"""", N"&amp;"OT(REGEXMATCH(C3944, ""薪資""))), ""內部轉帳(忽略)"",
  REGEXMATCH(C3944, ""薪資""), ""薪資變動(不計入)"",
  REGEXMATCH(C3944, ""押金""), ""押金往來"",
  AND(E3944&lt;&gt;"""", F3944=""""), ""真實支出"",
  AND(E3944="""", F3944&lt;&gt;""""), ""真實收入"",
  TRUE, ""其他""
)"),"其他")</f>
        <v>其他</v>
      </c>
      <c r="K3944" s="270" t="str">
        <f t="shared" si="2"/>
        <v/>
      </c>
      <c r="L3944">
        <f t="shared" si="3"/>
        <v>0</v>
      </c>
    </row>
    <row r="3945">
      <c r="A3945" s="107"/>
      <c r="D3945" s="270"/>
      <c r="H3945" s="106" t="str">
        <f t="shared" si="1"/>
        <v/>
      </c>
      <c r="I3945" s="271" t="str">
        <f>IFERROR(__xludf.DUMMYFUNCTION("""COMPUTED_VALUE"""),"")</f>
        <v/>
      </c>
      <c r="J3945" t="str">
        <f>IFERROR(__xludf.DUMMYFUNCTION("IFS(
  AND(REGEXMATCH(E3945, ""台銀籌備帳戶|玉山帳戶""), REGEXMATCH(C3945, ""薪資"")), ""分潤支出"",
  AND(REGEXMATCH(E3945, ""Ben帳戶|Elsa帳戶|Ben代墊|Ariel代墊|中信銀行共用""), REGEXMATCH(F3945, ""Ben帳戶|Elsa帳戶|Ben代墊|Ariel代墊|中信銀行共用"")), ""內部轉帳(忽略)"",
  AND(E3945&lt;&gt;"""", F3945&lt;&gt;"""", N"&amp;"OT(REGEXMATCH(C3945, ""薪資""))), ""內部轉帳(忽略)"",
  REGEXMATCH(C3945, ""薪資""), ""薪資變動(不計入)"",
  REGEXMATCH(C3945, ""押金""), ""押金往來"",
  AND(E3945&lt;&gt;"""", F3945=""""), ""真實支出"",
  AND(E3945="""", F3945&lt;&gt;""""), ""真實收入"",
  TRUE, ""其他""
)"),"其他")</f>
        <v>其他</v>
      </c>
      <c r="K3945" s="270" t="str">
        <f t="shared" si="2"/>
        <v/>
      </c>
      <c r="L3945">
        <f t="shared" si="3"/>
        <v>0</v>
      </c>
    </row>
    <row r="3946">
      <c r="A3946" s="107"/>
      <c r="D3946" s="270"/>
      <c r="H3946" s="106" t="str">
        <f t="shared" si="1"/>
        <v/>
      </c>
      <c r="I3946" s="271" t="str">
        <f>IFERROR(__xludf.DUMMYFUNCTION("""COMPUTED_VALUE"""),"")</f>
        <v/>
      </c>
      <c r="J3946" t="str">
        <f>IFERROR(__xludf.DUMMYFUNCTION("IFS(
  AND(REGEXMATCH(E3946, ""台銀籌備帳戶|玉山帳戶""), REGEXMATCH(C3946, ""薪資"")), ""分潤支出"",
  AND(REGEXMATCH(E3946, ""Ben帳戶|Elsa帳戶|Ben代墊|Ariel代墊|中信銀行共用""), REGEXMATCH(F3946, ""Ben帳戶|Elsa帳戶|Ben代墊|Ariel代墊|中信銀行共用"")), ""內部轉帳(忽略)"",
  AND(E3946&lt;&gt;"""", F3946&lt;&gt;"""", N"&amp;"OT(REGEXMATCH(C3946, ""薪資""))), ""內部轉帳(忽略)"",
  REGEXMATCH(C3946, ""薪資""), ""薪資變動(不計入)"",
  REGEXMATCH(C3946, ""押金""), ""押金往來"",
  AND(E3946&lt;&gt;"""", F3946=""""), ""真實支出"",
  AND(E3946="""", F3946&lt;&gt;""""), ""真實收入"",
  TRUE, ""其他""
)"),"其他")</f>
        <v>其他</v>
      </c>
      <c r="K3946" s="270" t="str">
        <f t="shared" si="2"/>
        <v/>
      </c>
      <c r="L3946">
        <f t="shared" si="3"/>
        <v>0</v>
      </c>
    </row>
    <row r="3947">
      <c r="A3947" s="107"/>
      <c r="D3947" s="270"/>
      <c r="H3947" s="106" t="str">
        <f t="shared" si="1"/>
        <v/>
      </c>
      <c r="I3947" s="271" t="str">
        <f>IFERROR(__xludf.DUMMYFUNCTION("""COMPUTED_VALUE"""),"")</f>
        <v/>
      </c>
      <c r="J3947" t="str">
        <f>IFERROR(__xludf.DUMMYFUNCTION("IFS(
  AND(REGEXMATCH(E3947, ""台銀籌備帳戶|玉山帳戶""), REGEXMATCH(C3947, ""薪資"")), ""分潤支出"",
  AND(REGEXMATCH(E3947, ""Ben帳戶|Elsa帳戶|Ben代墊|Ariel代墊|中信銀行共用""), REGEXMATCH(F3947, ""Ben帳戶|Elsa帳戶|Ben代墊|Ariel代墊|中信銀行共用"")), ""內部轉帳(忽略)"",
  AND(E3947&lt;&gt;"""", F3947&lt;&gt;"""", N"&amp;"OT(REGEXMATCH(C3947, ""薪資""))), ""內部轉帳(忽略)"",
  REGEXMATCH(C3947, ""薪資""), ""薪資變動(不計入)"",
  REGEXMATCH(C3947, ""押金""), ""押金往來"",
  AND(E3947&lt;&gt;"""", F3947=""""), ""真實支出"",
  AND(E3947="""", F3947&lt;&gt;""""), ""真實收入"",
  TRUE, ""其他""
)"),"其他")</f>
        <v>其他</v>
      </c>
      <c r="K3947" s="270" t="str">
        <f t="shared" si="2"/>
        <v/>
      </c>
      <c r="L3947">
        <f t="shared" si="3"/>
        <v>0</v>
      </c>
    </row>
    <row r="3948">
      <c r="A3948" s="107"/>
      <c r="D3948" s="270"/>
      <c r="H3948" s="106" t="str">
        <f t="shared" si="1"/>
        <v/>
      </c>
      <c r="I3948" s="271" t="str">
        <f>IFERROR(__xludf.DUMMYFUNCTION("""COMPUTED_VALUE"""),"")</f>
        <v/>
      </c>
      <c r="J3948" t="str">
        <f>IFERROR(__xludf.DUMMYFUNCTION("IFS(
  AND(REGEXMATCH(E3948, ""台銀籌備帳戶|玉山帳戶""), REGEXMATCH(C3948, ""薪資"")), ""分潤支出"",
  AND(REGEXMATCH(E3948, ""Ben帳戶|Elsa帳戶|Ben代墊|Ariel代墊|中信銀行共用""), REGEXMATCH(F3948, ""Ben帳戶|Elsa帳戶|Ben代墊|Ariel代墊|中信銀行共用"")), ""內部轉帳(忽略)"",
  AND(E3948&lt;&gt;"""", F3948&lt;&gt;"""", N"&amp;"OT(REGEXMATCH(C3948, ""薪資""))), ""內部轉帳(忽略)"",
  REGEXMATCH(C3948, ""薪資""), ""薪資變動(不計入)"",
  REGEXMATCH(C3948, ""押金""), ""押金往來"",
  AND(E3948&lt;&gt;"""", F3948=""""), ""真實支出"",
  AND(E3948="""", F3948&lt;&gt;""""), ""真實收入"",
  TRUE, ""其他""
)"),"其他")</f>
        <v>其他</v>
      </c>
      <c r="K3948" s="270" t="str">
        <f t="shared" si="2"/>
        <v/>
      </c>
      <c r="L3948">
        <f t="shared" si="3"/>
        <v>0</v>
      </c>
    </row>
    <row r="3949">
      <c r="A3949" s="107"/>
      <c r="D3949" s="270"/>
      <c r="H3949" s="106" t="str">
        <f t="shared" si="1"/>
        <v/>
      </c>
      <c r="I3949" s="271" t="str">
        <f>IFERROR(__xludf.DUMMYFUNCTION("""COMPUTED_VALUE"""),"")</f>
        <v/>
      </c>
      <c r="J3949" t="str">
        <f>IFERROR(__xludf.DUMMYFUNCTION("IFS(
  AND(REGEXMATCH(E3949, ""台銀籌備帳戶|玉山帳戶""), REGEXMATCH(C3949, ""薪資"")), ""分潤支出"",
  AND(REGEXMATCH(E3949, ""Ben帳戶|Elsa帳戶|Ben代墊|Ariel代墊|中信銀行共用""), REGEXMATCH(F3949, ""Ben帳戶|Elsa帳戶|Ben代墊|Ariel代墊|中信銀行共用"")), ""內部轉帳(忽略)"",
  AND(E3949&lt;&gt;"""", F3949&lt;&gt;"""", N"&amp;"OT(REGEXMATCH(C3949, ""薪資""))), ""內部轉帳(忽略)"",
  REGEXMATCH(C3949, ""薪資""), ""薪資變動(不計入)"",
  REGEXMATCH(C3949, ""押金""), ""押金往來"",
  AND(E3949&lt;&gt;"""", F3949=""""), ""真實支出"",
  AND(E3949="""", F3949&lt;&gt;""""), ""真實收入"",
  TRUE, ""其他""
)"),"其他")</f>
        <v>其他</v>
      </c>
      <c r="K3949" s="270" t="str">
        <f t="shared" si="2"/>
        <v/>
      </c>
      <c r="L3949">
        <f t="shared" si="3"/>
        <v>0</v>
      </c>
    </row>
    <row r="3950">
      <c r="A3950" s="107"/>
      <c r="D3950" s="270"/>
      <c r="H3950" s="106" t="str">
        <f t="shared" si="1"/>
        <v/>
      </c>
      <c r="I3950" s="271" t="str">
        <f>IFERROR(__xludf.DUMMYFUNCTION("""COMPUTED_VALUE"""),"")</f>
        <v/>
      </c>
      <c r="J3950" t="str">
        <f>IFERROR(__xludf.DUMMYFUNCTION("IFS(
  AND(REGEXMATCH(E3950, ""台銀籌備帳戶|玉山帳戶""), REGEXMATCH(C3950, ""薪資"")), ""分潤支出"",
  AND(REGEXMATCH(E3950, ""Ben帳戶|Elsa帳戶|Ben代墊|Ariel代墊|中信銀行共用""), REGEXMATCH(F3950, ""Ben帳戶|Elsa帳戶|Ben代墊|Ariel代墊|中信銀行共用"")), ""內部轉帳(忽略)"",
  AND(E3950&lt;&gt;"""", F3950&lt;&gt;"""", N"&amp;"OT(REGEXMATCH(C3950, ""薪資""))), ""內部轉帳(忽略)"",
  REGEXMATCH(C3950, ""薪資""), ""薪資變動(不計入)"",
  REGEXMATCH(C3950, ""押金""), ""押金往來"",
  AND(E3950&lt;&gt;"""", F3950=""""), ""真實支出"",
  AND(E3950="""", F3950&lt;&gt;""""), ""真實收入"",
  TRUE, ""其他""
)"),"其他")</f>
        <v>其他</v>
      </c>
      <c r="K3950" s="270" t="str">
        <f t="shared" si="2"/>
        <v/>
      </c>
      <c r="L3950">
        <f t="shared" si="3"/>
        <v>0</v>
      </c>
    </row>
    <row r="3951">
      <c r="A3951" s="107"/>
      <c r="D3951" s="270"/>
      <c r="H3951" s="106" t="str">
        <f t="shared" si="1"/>
        <v/>
      </c>
      <c r="I3951" s="271" t="str">
        <f>IFERROR(__xludf.DUMMYFUNCTION("""COMPUTED_VALUE"""),"")</f>
        <v/>
      </c>
      <c r="J3951" t="str">
        <f>IFERROR(__xludf.DUMMYFUNCTION("IFS(
  AND(REGEXMATCH(E3951, ""台銀籌備帳戶|玉山帳戶""), REGEXMATCH(C3951, ""薪資"")), ""分潤支出"",
  AND(REGEXMATCH(E3951, ""Ben帳戶|Elsa帳戶|Ben代墊|Ariel代墊|中信銀行共用""), REGEXMATCH(F3951, ""Ben帳戶|Elsa帳戶|Ben代墊|Ariel代墊|中信銀行共用"")), ""內部轉帳(忽略)"",
  AND(E3951&lt;&gt;"""", F3951&lt;&gt;"""", N"&amp;"OT(REGEXMATCH(C3951, ""薪資""))), ""內部轉帳(忽略)"",
  REGEXMATCH(C3951, ""薪資""), ""薪資變動(不計入)"",
  REGEXMATCH(C3951, ""押金""), ""押金往來"",
  AND(E3951&lt;&gt;"""", F3951=""""), ""真實支出"",
  AND(E3951="""", F3951&lt;&gt;""""), ""真實收入"",
  TRUE, ""其他""
)"),"其他")</f>
        <v>其他</v>
      </c>
      <c r="K3951" s="270" t="str">
        <f t="shared" si="2"/>
        <v/>
      </c>
      <c r="L3951">
        <f t="shared" si="3"/>
        <v>0</v>
      </c>
    </row>
    <row r="3952">
      <c r="A3952" s="107"/>
      <c r="D3952" s="270"/>
      <c r="H3952" s="106" t="str">
        <f t="shared" si="1"/>
        <v/>
      </c>
      <c r="I3952" s="271" t="str">
        <f>IFERROR(__xludf.DUMMYFUNCTION("""COMPUTED_VALUE"""),"")</f>
        <v/>
      </c>
      <c r="J3952" t="str">
        <f>IFERROR(__xludf.DUMMYFUNCTION("IFS(
  AND(REGEXMATCH(E3952, ""台銀籌備帳戶|玉山帳戶""), REGEXMATCH(C3952, ""薪資"")), ""分潤支出"",
  AND(REGEXMATCH(E3952, ""Ben帳戶|Elsa帳戶|Ben代墊|Ariel代墊|中信銀行共用""), REGEXMATCH(F3952, ""Ben帳戶|Elsa帳戶|Ben代墊|Ariel代墊|中信銀行共用"")), ""內部轉帳(忽略)"",
  AND(E3952&lt;&gt;"""", F3952&lt;&gt;"""", N"&amp;"OT(REGEXMATCH(C3952, ""薪資""))), ""內部轉帳(忽略)"",
  REGEXMATCH(C3952, ""薪資""), ""薪資變動(不計入)"",
  REGEXMATCH(C3952, ""押金""), ""押金往來"",
  AND(E3952&lt;&gt;"""", F3952=""""), ""真實支出"",
  AND(E3952="""", F3952&lt;&gt;""""), ""真實收入"",
  TRUE, ""其他""
)"),"其他")</f>
        <v>其他</v>
      </c>
      <c r="K3952" s="270" t="str">
        <f t="shared" si="2"/>
        <v/>
      </c>
      <c r="L3952">
        <f t="shared" si="3"/>
        <v>0</v>
      </c>
    </row>
    <row r="3953">
      <c r="A3953" s="107"/>
      <c r="D3953" s="270"/>
      <c r="H3953" s="106" t="str">
        <f t="shared" si="1"/>
        <v/>
      </c>
      <c r="I3953" s="271" t="str">
        <f>IFERROR(__xludf.DUMMYFUNCTION("""COMPUTED_VALUE"""),"")</f>
        <v/>
      </c>
      <c r="J3953" t="str">
        <f>IFERROR(__xludf.DUMMYFUNCTION("IFS(
  AND(REGEXMATCH(E3953, ""台銀籌備帳戶|玉山帳戶""), REGEXMATCH(C3953, ""薪資"")), ""分潤支出"",
  AND(REGEXMATCH(E3953, ""Ben帳戶|Elsa帳戶|Ben代墊|Ariel代墊|中信銀行共用""), REGEXMATCH(F3953, ""Ben帳戶|Elsa帳戶|Ben代墊|Ariel代墊|中信銀行共用"")), ""內部轉帳(忽略)"",
  AND(E3953&lt;&gt;"""", F3953&lt;&gt;"""", N"&amp;"OT(REGEXMATCH(C3953, ""薪資""))), ""內部轉帳(忽略)"",
  REGEXMATCH(C3953, ""薪資""), ""薪資變動(不計入)"",
  REGEXMATCH(C3953, ""押金""), ""押金往來"",
  AND(E3953&lt;&gt;"""", F3953=""""), ""真實支出"",
  AND(E3953="""", F3953&lt;&gt;""""), ""真實收入"",
  TRUE, ""其他""
)"),"其他")</f>
        <v>其他</v>
      </c>
      <c r="K3953" s="270" t="str">
        <f t="shared" si="2"/>
        <v/>
      </c>
      <c r="L3953">
        <f t="shared" si="3"/>
        <v>0</v>
      </c>
    </row>
    <row r="3954">
      <c r="A3954" s="107"/>
      <c r="D3954" s="270"/>
      <c r="H3954" s="106" t="str">
        <f t="shared" si="1"/>
        <v/>
      </c>
      <c r="I3954" s="271" t="str">
        <f>IFERROR(__xludf.DUMMYFUNCTION("""COMPUTED_VALUE"""),"")</f>
        <v/>
      </c>
      <c r="J3954" t="str">
        <f>IFERROR(__xludf.DUMMYFUNCTION("IFS(
  AND(REGEXMATCH(E3954, ""台銀籌備帳戶|玉山帳戶""), REGEXMATCH(C3954, ""薪資"")), ""分潤支出"",
  AND(REGEXMATCH(E3954, ""Ben帳戶|Elsa帳戶|Ben代墊|Ariel代墊|中信銀行共用""), REGEXMATCH(F3954, ""Ben帳戶|Elsa帳戶|Ben代墊|Ariel代墊|中信銀行共用"")), ""內部轉帳(忽略)"",
  AND(E3954&lt;&gt;"""", F3954&lt;&gt;"""", N"&amp;"OT(REGEXMATCH(C3954, ""薪資""))), ""內部轉帳(忽略)"",
  REGEXMATCH(C3954, ""薪資""), ""薪資變動(不計入)"",
  REGEXMATCH(C3954, ""押金""), ""押金往來"",
  AND(E3954&lt;&gt;"""", F3954=""""), ""真實支出"",
  AND(E3954="""", F3954&lt;&gt;""""), ""真實收入"",
  TRUE, ""其他""
)"),"其他")</f>
        <v>其他</v>
      </c>
      <c r="K3954" s="270" t="str">
        <f t="shared" si="2"/>
        <v/>
      </c>
      <c r="L3954">
        <f t="shared" si="3"/>
        <v>0</v>
      </c>
    </row>
    <row r="3955">
      <c r="A3955" s="107"/>
      <c r="D3955" s="270"/>
      <c r="H3955" s="106" t="str">
        <f t="shared" si="1"/>
        <v/>
      </c>
      <c r="I3955" s="271" t="str">
        <f>IFERROR(__xludf.DUMMYFUNCTION("""COMPUTED_VALUE"""),"")</f>
        <v/>
      </c>
      <c r="J3955" t="str">
        <f>IFERROR(__xludf.DUMMYFUNCTION("IFS(
  AND(REGEXMATCH(E3955, ""台銀籌備帳戶|玉山帳戶""), REGEXMATCH(C3955, ""薪資"")), ""分潤支出"",
  AND(REGEXMATCH(E3955, ""Ben帳戶|Elsa帳戶|Ben代墊|Ariel代墊|中信銀行共用""), REGEXMATCH(F3955, ""Ben帳戶|Elsa帳戶|Ben代墊|Ariel代墊|中信銀行共用"")), ""內部轉帳(忽略)"",
  AND(E3955&lt;&gt;"""", F3955&lt;&gt;"""", N"&amp;"OT(REGEXMATCH(C3955, ""薪資""))), ""內部轉帳(忽略)"",
  REGEXMATCH(C3955, ""薪資""), ""薪資變動(不計入)"",
  REGEXMATCH(C3955, ""押金""), ""押金往來"",
  AND(E3955&lt;&gt;"""", F3955=""""), ""真實支出"",
  AND(E3955="""", F3955&lt;&gt;""""), ""真實收入"",
  TRUE, ""其他""
)"),"其他")</f>
        <v>其他</v>
      </c>
      <c r="K3955" s="270" t="str">
        <f t="shared" si="2"/>
        <v/>
      </c>
      <c r="L3955">
        <f t="shared" si="3"/>
        <v>0</v>
      </c>
    </row>
    <row r="3956">
      <c r="A3956" s="107"/>
      <c r="D3956" s="270"/>
      <c r="H3956" s="106" t="str">
        <f t="shared" si="1"/>
        <v/>
      </c>
      <c r="I3956" s="271" t="str">
        <f>IFERROR(__xludf.DUMMYFUNCTION("""COMPUTED_VALUE"""),"")</f>
        <v/>
      </c>
      <c r="J3956" t="str">
        <f>IFERROR(__xludf.DUMMYFUNCTION("IFS(
  AND(REGEXMATCH(E3956, ""台銀籌備帳戶|玉山帳戶""), REGEXMATCH(C3956, ""薪資"")), ""分潤支出"",
  AND(REGEXMATCH(E3956, ""Ben帳戶|Elsa帳戶|Ben代墊|Ariel代墊|中信銀行共用""), REGEXMATCH(F3956, ""Ben帳戶|Elsa帳戶|Ben代墊|Ariel代墊|中信銀行共用"")), ""內部轉帳(忽略)"",
  AND(E3956&lt;&gt;"""", F3956&lt;&gt;"""", N"&amp;"OT(REGEXMATCH(C3956, ""薪資""))), ""內部轉帳(忽略)"",
  REGEXMATCH(C3956, ""薪資""), ""薪資變動(不計入)"",
  REGEXMATCH(C3956, ""押金""), ""押金往來"",
  AND(E3956&lt;&gt;"""", F3956=""""), ""真實支出"",
  AND(E3956="""", F3956&lt;&gt;""""), ""真實收入"",
  TRUE, ""其他""
)"),"其他")</f>
        <v>其他</v>
      </c>
      <c r="K3956" s="270" t="str">
        <f t="shared" si="2"/>
        <v/>
      </c>
      <c r="L3956">
        <f t="shared" si="3"/>
        <v>0</v>
      </c>
    </row>
    <row r="3957">
      <c r="A3957" s="107"/>
      <c r="D3957" s="270"/>
      <c r="H3957" s="106" t="str">
        <f t="shared" si="1"/>
        <v/>
      </c>
      <c r="I3957" s="271" t="str">
        <f>IFERROR(__xludf.DUMMYFUNCTION("""COMPUTED_VALUE"""),"")</f>
        <v/>
      </c>
      <c r="J3957" t="str">
        <f>IFERROR(__xludf.DUMMYFUNCTION("IFS(
  AND(REGEXMATCH(E3957, ""台銀籌備帳戶|玉山帳戶""), REGEXMATCH(C3957, ""薪資"")), ""分潤支出"",
  AND(REGEXMATCH(E3957, ""Ben帳戶|Elsa帳戶|Ben代墊|Ariel代墊|中信銀行共用""), REGEXMATCH(F3957, ""Ben帳戶|Elsa帳戶|Ben代墊|Ariel代墊|中信銀行共用"")), ""內部轉帳(忽略)"",
  AND(E3957&lt;&gt;"""", F3957&lt;&gt;"""", N"&amp;"OT(REGEXMATCH(C3957, ""薪資""))), ""內部轉帳(忽略)"",
  REGEXMATCH(C3957, ""薪資""), ""薪資變動(不計入)"",
  REGEXMATCH(C3957, ""押金""), ""押金往來"",
  AND(E3957&lt;&gt;"""", F3957=""""), ""真實支出"",
  AND(E3957="""", F3957&lt;&gt;""""), ""真實收入"",
  TRUE, ""其他""
)"),"其他")</f>
        <v>其他</v>
      </c>
      <c r="K3957" s="270" t="str">
        <f t="shared" si="2"/>
        <v/>
      </c>
      <c r="L3957">
        <f t="shared" si="3"/>
        <v>0</v>
      </c>
    </row>
    <row r="3958">
      <c r="A3958" s="107"/>
      <c r="D3958" s="270"/>
      <c r="H3958" s="106" t="str">
        <f t="shared" si="1"/>
        <v/>
      </c>
      <c r="I3958" s="271" t="str">
        <f>IFERROR(__xludf.DUMMYFUNCTION("""COMPUTED_VALUE"""),"")</f>
        <v/>
      </c>
      <c r="J3958" t="str">
        <f>IFERROR(__xludf.DUMMYFUNCTION("IFS(
  AND(REGEXMATCH(E3958, ""台銀籌備帳戶|玉山帳戶""), REGEXMATCH(C3958, ""薪資"")), ""分潤支出"",
  AND(REGEXMATCH(E3958, ""Ben帳戶|Elsa帳戶|Ben代墊|Ariel代墊|中信銀行共用""), REGEXMATCH(F3958, ""Ben帳戶|Elsa帳戶|Ben代墊|Ariel代墊|中信銀行共用"")), ""內部轉帳(忽略)"",
  AND(E3958&lt;&gt;"""", F3958&lt;&gt;"""", N"&amp;"OT(REGEXMATCH(C3958, ""薪資""))), ""內部轉帳(忽略)"",
  REGEXMATCH(C3958, ""薪資""), ""薪資變動(不計入)"",
  REGEXMATCH(C3958, ""押金""), ""押金往來"",
  AND(E3958&lt;&gt;"""", F3958=""""), ""真實支出"",
  AND(E3958="""", F3958&lt;&gt;""""), ""真實收入"",
  TRUE, ""其他""
)"),"其他")</f>
        <v>其他</v>
      </c>
      <c r="K3958" s="270" t="str">
        <f t="shared" si="2"/>
        <v/>
      </c>
      <c r="L3958">
        <f t="shared" si="3"/>
        <v>0</v>
      </c>
    </row>
    <row r="3959">
      <c r="A3959" s="107"/>
      <c r="D3959" s="270"/>
      <c r="H3959" s="106" t="str">
        <f t="shared" si="1"/>
        <v/>
      </c>
      <c r="I3959" s="271" t="str">
        <f>IFERROR(__xludf.DUMMYFUNCTION("""COMPUTED_VALUE"""),"")</f>
        <v/>
      </c>
      <c r="J3959" t="str">
        <f>IFERROR(__xludf.DUMMYFUNCTION("IFS(
  AND(REGEXMATCH(E3959, ""台銀籌備帳戶|玉山帳戶""), REGEXMATCH(C3959, ""薪資"")), ""分潤支出"",
  AND(REGEXMATCH(E3959, ""Ben帳戶|Elsa帳戶|Ben代墊|Ariel代墊|中信銀行共用""), REGEXMATCH(F3959, ""Ben帳戶|Elsa帳戶|Ben代墊|Ariel代墊|中信銀行共用"")), ""內部轉帳(忽略)"",
  AND(E3959&lt;&gt;"""", F3959&lt;&gt;"""", N"&amp;"OT(REGEXMATCH(C3959, ""薪資""))), ""內部轉帳(忽略)"",
  REGEXMATCH(C3959, ""薪資""), ""薪資變動(不計入)"",
  REGEXMATCH(C3959, ""押金""), ""押金往來"",
  AND(E3959&lt;&gt;"""", F3959=""""), ""真實支出"",
  AND(E3959="""", F3959&lt;&gt;""""), ""真實收入"",
  TRUE, ""其他""
)"),"其他")</f>
        <v>其他</v>
      </c>
      <c r="K3959" s="270" t="str">
        <f t="shared" si="2"/>
        <v/>
      </c>
      <c r="L3959">
        <f t="shared" si="3"/>
        <v>0</v>
      </c>
    </row>
    <row r="3960">
      <c r="A3960" s="107"/>
      <c r="D3960" s="270"/>
      <c r="H3960" s="106" t="str">
        <f t="shared" si="1"/>
        <v/>
      </c>
      <c r="I3960" s="271" t="str">
        <f>IFERROR(__xludf.DUMMYFUNCTION("""COMPUTED_VALUE"""),"")</f>
        <v/>
      </c>
      <c r="J3960" t="str">
        <f>IFERROR(__xludf.DUMMYFUNCTION("IFS(
  AND(REGEXMATCH(E3960, ""台銀籌備帳戶|玉山帳戶""), REGEXMATCH(C3960, ""薪資"")), ""分潤支出"",
  AND(REGEXMATCH(E3960, ""Ben帳戶|Elsa帳戶|Ben代墊|Ariel代墊|中信銀行共用""), REGEXMATCH(F3960, ""Ben帳戶|Elsa帳戶|Ben代墊|Ariel代墊|中信銀行共用"")), ""內部轉帳(忽略)"",
  AND(E3960&lt;&gt;"""", F3960&lt;&gt;"""", N"&amp;"OT(REGEXMATCH(C3960, ""薪資""))), ""內部轉帳(忽略)"",
  REGEXMATCH(C3960, ""薪資""), ""薪資變動(不計入)"",
  REGEXMATCH(C3960, ""押金""), ""押金往來"",
  AND(E3960&lt;&gt;"""", F3960=""""), ""真實支出"",
  AND(E3960="""", F3960&lt;&gt;""""), ""真實收入"",
  TRUE, ""其他""
)"),"其他")</f>
        <v>其他</v>
      </c>
      <c r="K3960" s="270" t="str">
        <f t="shared" si="2"/>
        <v/>
      </c>
      <c r="L3960">
        <f t="shared" si="3"/>
        <v>0</v>
      </c>
    </row>
    <row r="3961">
      <c r="A3961" s="107"/>
      <c r="D3961" s="270"/>
      <c r="H3961" s="106" t="str">
        <f t="shared" si="1"/>
        <v/>
      </c>
      <c r="I3961" s="271" t="str">
        <f>IFERROR(__xludf.DUMMYFUNCTION("""COMPUTED_VALUE"""),"")</f>
        <v/>
      </c>
      <c r="J3961" t="str">
        <f>IFERROR(__xludf.DUMMYFUNCTION("IFS(
  AND(REGEXMATCH(E3961, ""台銀籌備帳戶|玉山帳戶""), REGEXMATCH(C3961, ""薪資"")), ""分潤支出"",
  AND(REGEXMATCH(E3961, ""Ben帳戶|Elsa帳戶|Ben代墊|Ariel代墊|中信銀行共用""), REGEXMATCH(F3961, ""Ben帳戶|Elsa帳戶|Ben代墊|Ariel代墊|中信銀行共用"")), ""內部轉帳(忽略)"",
  AND(E3961&lt;&gt;"""", F3961&lt;&gt;"""", N"&amp;"OT(REGEXMATCH(C3961, ""薪資""))), ""內部轉帳(忽略)"",
  REGEXMATCH(C3961, ""薪資""), ""薪資變動(不計入)"",
  REGEXMATCH(C3961, ""押金""), ""押金往來"",
  AND(E3961&lt;&gt;"""", F3961=""""), ""真實支出"",
  AND(E3961="""", F3961&lt;&gt;""""), ""真實收入"",
  TRUE, ""其他""
)"),"其他")</f>
        <v>其他</v>
      </c>
      <c r="K3961" s="270" t="str">
        <f t="shared" si="2"/>
        <v/>
      </c>
      <c r="L3961">
        <f t="shared" si="3"/>
        <v>0</v>
      </c>
    </row>
    <row r="3962">
      <c r="A3962" s="107"/>
      <c r="D3962" s="270"/>
      <c r="H3962" s="106" t="str">
        <f t="shared" si="1"/>
        <v/>
      </c>
      <c r="I3962" s="271" t="str">
        <f>IFERROR(__xludf.DUMMYFUNCTION("""COMPUTED_VALUE"""),"")</f>
        <v/>
      </c>
      <c r="J3962" t="str">
        <f>IFERROR(__xludf.DUMMYFUNCTION("IFS(
  AND(REGEXMATCH(E3962, ""台銀籌備帳戶|玉山帳戶""), REGEXMATCH(C3962, ""薪資"")), ""分潤支出"",
  AND(REGEXMATCH(E3962, ""Ben帳戶|Elsa帳戶|Ben代墊|Ariel代墊|中信銀行共用""), REGEXMATCH(F3962, ""Ben帳戶|Elsa帳戶|Ben代墊|Ariel代墊|中信銀行共用"")), ""內部轉帳(忽略)"",
  AND(E3962&lt;&gt;"""", F3962&lt;&gt;"""", N"&amp;"OT(REGEXMATCH(C3962, ""薪資""))), ""內部轉帳(忽略)"",
  REGEXMATCH(C3962, ""薪資""), ""薪資變動(不計入)"",
  REGEXMATCH(C3962, ""押金""), ""押金往來"",
  AND(E3962&lt;&gt;"""", F3962=""""), ""真實支出"",
  AND(E3962="""", F3962&lt;&gt;""""), ""真實收入"",
  TRUE, ""其他""
)"),"其他")</f>
        <v>其他</v>
      </c>
      <c r="K3962" s="270" t="str">
        <f t="shared" si="2"/>
        <v/>
      </c>
      <c r="L3962">
        <f t="shared" si="3"/>
        <v>0</v>
      </c>
    </row>
    <row r="3963">
      <c r="A3963" s="107"/>
      <c r="D3963" s="270"/>
      <c r="H3963" s="106" t="str">
        <f t="shared" si="1"/>
        <v/>
      </c>
      <c r="I3963" s="271" t="str">
        <f>IFERROR(__xludf.DUMMYFUNCTION("""COMPUTED_VALUE"""),"")</f>
        <v/>
      </c>
      <c r="J3963" t="str">
        <f>IFERROR(__xludf.DUMMYFUNCTION("IFS(
  AND(REGEXMATCH(E3963, ""台銀籌備帳戶|玉山帳戶""), REGEXMATCH(C3963, ""薪資"")), ""分潤支出"",
  AND(REGEXMATCH(E3963, ""Ben帳戶|Elsa帳戶|Ben代墊|Ariel代墊|中信銀行共用""), REGEXMATCH(F3963, ""Ben帳戶|Elsa帳戶|Ben代墊|Ariel代墊|中信銀行共用"")), ""內部轉帳(忽略)"",
  AND(E3963&lt;&gt;"""", F3963&lt;&gt;"""", N"&amp;"OT(REGEXMATCH(C3963, ""薪資""))), ""內部轉帳(忽略)"",
  REGEXMATCH(C3963, ""薪資""), ""薪資變動(不計入)"",
  REGEXMATCH(C3963, ""押金""), ""押金往來"",
  AND(E3963&lt;&gt;"""", F3963=""""), ""真實支出"",
  AND(E3963="""", F3963&lt;&gt;""""), ""真實收入"",
  TRUE, ""其他""
)"),"其他")</f>
        <v>其他</v>
      </c>
      <c r="K3963" s="270" t="str">
        <f t="shared" si="2"/>
        <v/>
      </c>
      <c r="L3963">
        <f t="shared" si="3"/>
        <v>0</v>
      </c>
    </row>
    <row r="3964">
      <c r="A3964" s="107"/>
      <c r="D3964" s="270"/>
      <c r="H3964" s="106" t="str">
        <f t="shared" si="1"/>
        <v/>
      </c>
      <c r="I3964" s="271" t="str">
        <f>IFERROR(__xludf.DUMMYFUNCTION("""COMPUTED_VALUE"""),"")</f>
        <v/>
      </c>
      <c r="J3964" t="str">
        <f>IFERROR(__xludf.DUMMYFUNCTION("IFS(
  AND(REGEXMATCH(E3964, ""台銀籌備帳戶|玉山帳戶""), REGEXMATCH(C3964, ""薪資"")), ""分潤支出"",
  AND(REGEXMATCH(E3964, ""Ben帳戶|Elsa帳戶|Ben代墊|Ariel代墊|中信銀行共用""), REGEXMATCH(F3964, ""Ben帳戶|Elsa帳戶|Ben代墊|Ariel代墊|中信銀行共用"")), ""內部轉帳(忽略)"",
  AND(E3964&lt;&gt;"""", F3964&lt;&gt;"""", N"&amp;"OT(REGEXMATCH(C3964, ""薪資""))), ""內部轉帳(忽略)"",
  REGEXMATCH(C3964, ""薪資""), ""薪資變動(不計入)"",
  REGEXMATCH(C3964, ""押金""), ""押金往來"",
  AND(E3964&lt;&gt;"""", F3964=""""), ""真實支出"",
  AND(E3964="""", F3964&lt;&gt;""""), ""真實收入"",
  TRUE, ""其他""
)"),"其他")</f>
        <v>其他</v>
      </c>
      <c r="K3964" s="270" t="str">
        <f t="shared" si="2"/>
        <v/>
      </c>
      <c r="L3964">
        <f t="shared" si="3"/>
        <v>0</v>
      </c>
    </row>
    <row r="3965">
      <c r="A3965" s="107"/>
      <c r="D3965" s="270"/>
      <c r="H3965" s="106" t="str">
        <f t="shared" si="1"/>
        <v/>
      </c>
      <c r="I3965" s="271" t="str">
        <f>IFERROR(__xludf.DUMMYFUNCTION("""COMPUTED_VALUE"""),"")</f>
        <v/>
      </c>
      <c r="J3965" t="str">
        <f>IFERROR(__xludf.DUMMYFUNCTION("IFS(
  AND(REGEXMATCH(E3965, ""台銀籌備帳戶|玉山帳戶""), REGEXMATCH(C3965, ""薪資"")), ""分潤支出"",
  AND(REGEXMATCH(E3965, ""Ben帳戶|Elsa帳戶|Ben代墊|Ariel代墊|中信銀行共用""), REGEXMATCH(F3965, ""Ben帳戶|Elsa帳戶|Ben代墊|Ariel代墊|中信銀行共用"")), ""內部轉帳(忽略)"",
  AND(E3965&lt;&gt;"""", F3965&lt;&gt;"""", N"&amp;"OT(REGEXMATCH(C3965, ""薪資""))), ""內部轉帳(忽略)"",
  REGEXMATCH(C3965, ""薪資""), ""薪資變動(不計入)"",
  REGEXMATCH(C3965, ""押金""), ""押金往來"",
  AND(E3965&lt;&gt;"""", F3965=""""), ""真實支出"",
  AND(E3965="""", F3965&lt;&gt;""""), ""真實收入"",
  TRUE, ""其他""
)"),"其他")</f>
        <v>其他</v>
      </c>
      <c r="K3965" s="270" t="str">
        <f t="shared" si="2"/>
        <v/>
      </c>
      <c r="L3965">
        <f t="shared" si="3"/>
        <v>0</v>
      </c>
    </row>
    <row r="3966">
      <c r="A3966" s="107"/>
      <c r="D3966" s="270"/>
      <c r="H3966" s="106" t="str">
        <f t="shared" si="1"/>
        <v/>
      </c>
      <c r="I3966" s="271" t="str">
        <f>IFERROR(__xludf.DUMMYFUNCTION("""COMPUTED_VALUE"""),"")</f>
        <v/>
      </c>
      <c r="J3966" t="str">
        <f>IFERROR(__xludf.DUMMYFUNCTION("IFS(
  AND(REGEXMATCH(E3966, ""台銀籌備帳戶|玉山帳戶""), REGEXMATCH(C3966, ""薪資"")), ""分潤支出"",
  AND(REGEXMATCH(E3966, ""Ben帳戶|Elsa帳戶|Ben代墊|Ariel代墊|中信銀行共用""), REGEXMATCH(F3966, ""Ben帳戶|Elsa帳戶|Ben代墊|Ariel代墊|中信銀行共用"")), ""內部轉帳(忽略)"",
  AND(E3966&lt;&gt;"""", F3966&lt;&gt;"""", N"&amp;"OT(REGEXMATCH(C3966, ""薪資""))), ""內部轉帳(忽略)"",
  REGEXMATCH(C3966, ""薪資""), ""薪資變動(不計入)"",
  REGEXMATCH(C3966, ""押金""), ""押金往來"",
  AND(E3966&lt;&gt;"""", F3966=""""), ""真實支出"",
  AND(E3966="""", F3966&lt;&gt;""""), ""真實收入"",
  TRUE, ""其他""
)"),"其他")</f>
        <v>其他</v>
      </c>
      <c r="K3966" s="270" t="str">
        <f t="shared" si="2"/>
        <v/>
      </c>
      <c r="L3966">
        <f t="shared" si="3"/>
        <v>0</v>
      </c>
    </row>
    <row r="3967">
      <c r="A3967" s="107"/>
      <c r="D3967" s="270"/>
      <c r="H3967" s="106" t="str">
        <f t="shared" si="1"/>
        <v/>
      </c>
      <c r="I3967" s="271" t="str">
        <f>IFERROR(__xludf.DUMMYFUNCTION("""COMPUTED_VALUE"""),"")</f>
        <v/>
      </c>
      <c r="J3967" t="str">
        <f>IFERROR(__xludf.DUMMYFUNCTION("IFS(
  AND(REGEXMATCH(E3967, ""台銀籌備帳戶|玉山帳戶""), REGEXMATCH(C3967, ""薪資"")), ""分潤支出"",
  AND(REGEXMATCH(E3967, ""Ben帳戶|Elsa帳戶|Ben代墊|Ariel代墊|中信銀行共用""), REGEXMATCH(F3967, ""Ben帳戶|Elsa帳戶|Ben代墊|Ariel代墊|中信銀行共用"")), ""內部轉帳(忽略)"",
  AND(E3967&lt;&gt;"""", F3967&lt;&gt;"""", N"&amp;"OT(REGEXMATCH(C3967, ""薪資""))), ""內部轉帳(忽略)"",
  REGEXMATCH(C3967, ""薪資""), ""薪資變動(不計入)"",
  REGEXMATCH(C3967, ""押金""), ""押金往來"",
  AND(E3967&lt;&gt;"""", F3967=""""), ""真實支出"",
  AND(E3967="""", F3967&lt;&gt;""""), ""真實收入"",
  TRUE, ""其他""
)"),"其他")</f>
        <v>其他</v>
      </c>
      <c r="K3967" s="270" t="str">
        <f t="shared" si="2"/>
        <v/>
      </c>
      <c r="L3967">
        <f t="shared" si="3"/>
        <v>0</v>
      </c>
    </row>
    <row r="3968">
      <c r="A3968" s="107"/>
      <c r="D3968" s="270"/>
      <c r="H3968" s="106" t="str">
        <f t="shared" si="1"/>
        <v/>
      </c>
      <c r="I3968" s="271" t="str">
        <f>IFERROR(__xludf.DUMMYFUNCTION("""COMPUTED_VALUE"""),"")</f>
        <v/>
      </c>
      <c r="J3968" t="str">
        <f>IFERROR(__xludf.DUMMYFUNCTION("IFS(
  AND(REGEXMATCH(E3968, ""台銀籌備帳戶|玉山帳戶""), REGEXMATCH(C3968, ""薪資"")), ""分潤支出"",
  AND(REGEXMATCH(E3968, ""Ben帳戶|Elsa帳戶|Ben代墊|Ariel代墊|中信銀行共用""), REGEXMATCH(F3968, ""Ben帳戶|Elsa帳戶|Ben代墊|Ariel代墊|中信銀行共用"")), ""內部轉帳(忽略)"",
  AND(E3968&lt;&gt;"""", F3968&lt;&gt;"""", N"&amp;"OT(REGEXMATCH(C3968, ""薪資""))), ""內部轉帳(忽略)"",
  REGEXMATCH(C3968, ""薪資""), ""薪資變動(不計入)"",
  REGEXMATCH(C3968, ""押金""), ""押金往來"",
  AND(E3968&lt;&gt;"""", F3968=""""), ""真實支出"",
  AND(E3968="""", F3968&lt;&gt;""""), ""真實收入"",
  TRUE, ""其他""
)"),"其他")</f>
        <v>其他</v>
      </c>
      <c r="K3968" s="270" t="str">
        <f t="shared" si="2"/>
        <v/>
      </c>
      <c r="L3968">
        <f t="shared" si="3"/>
        <v>0</v>
      </c>
    </row>
    <row r="3969">
      <c r="A3969" s="107"/>
      <c r="D3969" s="270"/>
      <c r="H3969" s="106" t="str">
        <f t="shared" si="1"/>
        <v/>
      </c>
      <c r="I3969" s="271" t="str">
        <f>IFERROR(__xludf.DUMMYFUNCTION("""COMPUTED_VALUE"""),"")</f>
        <v/>
      </c>
      <c r="J3969" t="str">
        <f>IFERROR(__xludf.DUMMYFUNCTION("IFS(
  AND(REGEXMATCH(E3969, ""台銀籌備帳戶|玉山帳戶""), REGEXMATCH(C3969, ""薪資"")), ""分潤支出"",
  AND(REGEXMATCH(E3969, ""Ben帳戶|Elsa帳戶|Ben代墊|Ariel代墊|中信銀行共用""), REGEXMATCH(F3969, ""Ben帳戶|Elsa帳戶|Ben代墊|Ariel代墊|中信銀行共用"")), ""內部轉帳(忽略)"",
  AND(E3969&lt;&gt;"""", F3969&lt;&gt;"""", N"&amp;"OT(REGEXMATCH(C3969, ""薪資""))), ""內部轉帳(忽略)"",
  REGEXMATCH(C3969, ""薪資""), ""薪資變動(不計入)"",
  REGEXMATCH(C3969, ""押金""), ""押金往來"",
  AND(E3969&lt;&gt;"""", F3969=""""), ""真實支出"",
  AND(E3969="""", F3969&lt;&gt;""""), ""真實收入"",
  TRUE, ""其他""
)"),"其他")</f>
        <v>其他</v>
      </c>
      <c r="K3969" s="270" t="str">
        <f t="shared" si="2"/>
        <v/>
      </c>
      <c r="L3969">
        <f t="shared" si="3"/>
        <v>0</v>
      </c>
    </row>
    <row r="3970">
      <c r="A3970" s="107"/>
      <c r="D3970" s="270"/>
      <c r="H3970" s="106" t="str">
        <f t="shared" si="1"/>
        <v/>
      </c>
      <c r="I3970" s="271" t="str">
        <f>IFERROR(__xludf.DUMMYFUNCTION("""COMPUTED_VALUE"""),"")</f>
        <v/>
      </c>
      <c r="J3970" t="str">
        <f>IFERROR(__xludf.DUMMYFUNCTION("IFS(
  AND(REGEXMATCH(E3970, ""台銀籌備帳戶|玉山帳戶""), REGEXMATCH(C3970, ""薪資"")), ""分潤支出"",
  AND(REGEXMATCH(E3970, ""Ben帳戶|Elsa帳戶|Ben代墊|Ariel代墊|中信銀行共用""), REGEXMATCH(F3970, ""Ben帳戶|Elsa帳戶|Ben代墊|Ariel代墊|中信銀行共用"")), ""內部轉帳(忽略)"",
  AND(E3970&lt;&gt;"""", F3970&lt;&gt;"""", N"&amp;"OT(REGEXMATCH(C3970, ""薪資""))), ""內部轉帳(忽略)"",
  REGEXMATCH(C3970, ""薪資""), ""薪資變動(不計入)"",
  REGEXMATCH(C3970, ""押金""), ""押金往來"",
  AND(E3970&lt;&gt;"""", F3970=""""), ""真實支出"",
  AND(E3970="""", F3970&lt;&gt;""""), ""真實收入"",
  TRUE, ""其他""
)"),"其他")</f>
        <v>其他</v>
      </c>
      <c r="K3970" s="270" t="str">
        <f t="shared" si="2"/>
        <v/>
      </c>
      <c r="L3970">
        <f t="shared" si="3"/>
        <v>0</v>
      </c>
    </row>
    <row r="3971">
      <c r="A3971" s="107"/>
      <c r="D3971" s="270"/>
      <c r="H3971" s="106" t="str">
        <f t="shared" si="1"/>
        <v/>
      </c>
      <c r="I3971" s="271" t="str">
        <f>IFERROR(__xludf.DUMMYFUNCTION("""COMPUTED_VALUE"""),"")</f>
        <v/>
      </c>
      <c r="J3971" t="str">
        <f>IFERROR(__xludf.DUMMYFUNCTION("IFS(
  AND(REGEXMATCH(E3971, ""台銀籌備帳戶|玉山帳戶""), REGEXMATCH(C3971, ""薪資"")), ""分潤支出"",
  AND(REGEXMATCH(E3971, ""Ben帳戶|Elsa帳戶|Ben代墊|Ariel代墊|中信銀行共用""), REGEXMATCH(F3971, ""Ben帳戶|Elsa帳戶|Ben代墊|Ariel代墊|中信銀行共用"")), ""內部轉帳(忽略)"",
  AND(E3971&lt;&gt;"""", F3971&lt;&gt;"""", N"&amp;"OT(REGEXMATCH(C3971, ""薪資""))), ""內部轉帳(忽略)"",
  REGEXMATCH(C3971, ""薪資""), ""薪資變動(不計入)"",
  REGEXMATCH(C3971, ""押金""), ""押金往來"",
  AND(E3971&lt;&gt;"""", F3971=""""), ""真實支出"",
  AND(E3971="""", F3971&lt;&gt;""""), ""真實收入"",
  TRUE, ""其他""
)"),"其他")</f>
        <v>其他</v>
      </c>
      <c r="K3971" s="270" t="str">
        <f t="shared" si="2"/>
        <v/>
      </c>
      <c r="L3971">
        <f t="shared" si="3"/>
        <v>0</v>
      </c>
    </row>
    <row r="3972">
      <c r="A3972" s="107"/>
      <c r="D3972" s="270"/>
      <c r="H3972" s="106" t="str">
        <f t="shared" si="1"/>
        <v/>
      </c>
      <c r="I3972" s="271" t="str">
        <f>IFERROR(__xludf.DUMMYFUNCTION("""COMPUTED_VALUE"""),"")</f>
        <v/>
      </c>
      <c r="J3972" t="str">
        <f>IFERROR(__xludf.DUMMYFUNCTION("IFS(
  AND(REGEXMATCH(E3972, ""台銀籌備帳戶|玉山帳戶""), REGEXMATCH(C3972, ""薪資"")), ""分潤支出"",
  AND(REGEXMATCH(E3972, ""Ben帳戶|Elsa帳戶|Ben代墊|Ariel代墊|中信銀行共用""), REGEXMATCH(F3972, ""Ben帳戶|Elsa帳戶|Ben代墊|Ariel代墊|中信銀行共用"")), ""內部轉帳(忽略)"",
  AND(E3972&lt;&gt;"""", F3972&lt;&gt;"""", N"&amp;"OT(REGEXMATCH(C3972, ""薪資""))), ""內部轉帳(忽略)"",
  REGEXMATCH(C3972, ""薪資""), ""薪資變動(不計入)"",
  REGEXMATCH(C3972, ""押金""), ""押金往來"",
  AND(E3972&lt;&gt;"""", F3972=""""), ""真實支出"",
  AND(E3972="""", F3972&lt;&gt;""""), ""真實收入"",
  TRUE, ""其他""
)"),"其他")</f>
        <v>其他</v>
      </c>
      <c r="K3972" s="270" t="str">
        <f t="shared" si="2"/>
        <v/>
      </c>
      <c r="L3972">
        <f t="shared" si="3"/>
        <v>0</v>
      </c>
    </row>
    <row r="3973">
      <c r="A3973" s="107"/>
      <c r="D3973" s="270"/>
      <c r="H3973" s="106" t="str">
        <f t="shared" si="1"/>
        <v/>
      </c>
      <c r="I3973" s="271" t="str">
        <f>IFERROR(__xludf.DUMMYFUNCTION("""COMPUTED_VALUE"""),"")</f>
        <v/>
      </c>
      <c r="J3973" t="str">
        <f>IFERROR(__xludf.DUMMYFUNCTION("IFS(
  AND(REGEXMATCH(E3973, ""台銀籌備帳戶|玉山帳戶""), REGEXMATCH(C3973, ""薪資"")), ""分潤支出"",
  AND(REGEXMATCH(E3973, ""Ben帳戶|Elsa帳戶|Ben代墊|Ariel代墊|中信銀行共用""), REGEXMATCH(F3973, ""Ben帳戶|Elsa帳戶|Ben代墊|Ariel代墊|中信銀行共用"")), ""內部轉帳(忽略)"",
  AND(E3973&lt;&gt;"""", F3973&lt;&gt;"""", N"&amp;"OT(REGEXMATCH(C3973, ""薪資""))), ""內部轉帳(忽略)"",
  REGEXMATCH(C3973, ""薪資""), ""薪資變動(不計入)"",
  REGEXMATCH(C3973, ""押金""), ""押金往來"",
  AND(E3973&lt;&gt;"""", F3973=""""), ""真實支出"",
  AND(E3973="""", F3973&lt;&gt;""""), ""真實收入"",
  TRUE, ""其他""
)"),"其他")</f>
        <v>其他</v>
      </c>
      <c r="K3973" s="270" t="str">
        <f t="shared" si="2"/>
        <v/>
      </c>
      <c r="L3973">
        <f t="shared" si="3"/>
        <v>0</v>
      </c>
    </row>
    <row r="3974">
      <c r="A3974" s="107"/>
      <c r="D3974" s="270"/>
      <c r="H3974" s="106" t="str">
        <f t="shared" si="1"/>
        <v/>
      </c>
      <c r="I3974" s="271" t="str">
        <f>IFERROR(__xludf.DUMMYFUNCTION("""COMPUTED_VALUE"""),"")</f>
        <v/>
      </c>
      <c r="J3974" t="str">
        <f>IFERROR(__xludf.DUMMYFUNCTION("IFS(
  AND(REGEXMATCH(E3974, ""台銀籌備帳戶|玉山帳戶""), REGEXMATCH(C3974, ""薪資"")), ""分潤支出"",
  AND(REGEXMATCH(E3974, ""Ben帳戶|Elsa帳戶|Ben代墊|Ariel代墊|中信銀行共用""), REGEXMATCH(F3974, ""Ben帳戶|Elsa帳戶|Ben代墊|Ariel代墊|中信銀行共用"")), ""內部轉帳(忽略)"",
  AND(E3974&lt;&gt;"""", F3974&lt;&gt;"""", N"&amp;"OT(REGEXMATCH(C3974, ""薪資""))), ""內部轉帳(忽略)"",
  REGEXMATCH(C3974, ""薪資""), ""薪資變動(不計入)"",
  REGEXMATCH(C3974, ""押金""), ""押金往來"",
  AND(E3974&lt;&gt;"""", F3974=""""), ""真實支出"",
  AND(E3974="""", F3974&lt;&gt;""""), ""真實收入"",
  TRUE, ""其他""
)"),"其他")</f>
        <v>其他</v>
      </c>
      <c r="K3974" s="270" t="str">
        <f t="shared" si="2"/>
        <v/>
      </c>
      <c r="L3974">
        <f t="shared" si="3"/>
        <v>0</v>
      </c>
    </row>
    <row r="3975">
      <c r="A3975" s="107"/>
      <c r="D3975" s="270"/>
      <c r="H3975" s="106" t="str">
        <f t="shared" si="1"/>
        <v/>
      </c>
      <c r="I3975" s="271" t="str">
        <f>IFERROR(__xludf.DUMMYFUNCTION("""COMPUTED_VALUE"""),"")</f>
        <v/>
      </c>
      <c r="J3975" t="str">
        <f>IFERROR(__xludf.DUMMYFUNCTION("IFS(
  AND(REGEXMATCH(E3975, ""台銀籌備帳戶|玉山帳戶""), REGEXMATCH(C3975, ""薪資"")), ""分潤支出"",
  AND(REGEXMATCH(E3975, ""Ben帳戶|Elsa帳戶|Ben代墊|Ariel代墊|中信銀行共用""), REGEXMATCH(F3975, ""Ben帳戶|Elsa帳戶|Ben代墊|Ariel代墊|中信銀行共用"")), ""內部轉帳(忽略)"",
  AND(E3975&lt;&gt;"""", F3975&lt;&gt;"""", N"&amp;"OT(REGEXMATCH(C3975, ""薪資""))), ""內部轉帳(忽略)"",
  REGEXMATCH(C3975, ""薪資""), ""薪資變動(不計入)"",
  REGEXMATCH(C3975, ""押金""), ""押金往來"",
  AND(E3975&lt;&gt;"""", F3975=""""), ""真實支出"",
  AND(E3975="""", F3975&lt;&gt;""""), ""真實收入"",
  TRUE, ""其他""
)"),"其他")</f>
        <v>其他</v>
      </c>
      <c r="K3975" s="270" t="str">
        <f t="shared" si="2"/>
        <v/>
      </c>
      <c r="L3975">
        <f t="shared" si="3"/>
        <v>0</v>
      </c>
    </row>
    <row r="3976">
      <c r="A3976" s="107"/>
      <c r="D3976" s="270"/>
      <c r="H3976" s="106" t="str">
        <f t="shared" si="1"/>
        <v/>
      </c>
      <c r="I3976" s="271" t="str">
        <f>IFERROR(__xludf.DUMMYFUNCTION("""COMPUTED_VALUE"""),"")</f>
        <v/>
      </c>
      <c r="J3976" t="str">
        <f>IFERROR(__xludf.DUMMYFUNCTION("IFS(
  AND(REGEXMATCH(E3976, ""台銀籌備帳戶|玉山帳戶""), REGEXMATCH(C3976, ""薪資"")), ""分潤支出"",
  AND(REGEXMATCH(E3976, ""Ben帳戶|Elsa帳戶|Ben代墊|Ariel代墊|中信銀行共用""), REGEXMATCH(F3976, ""Ben帳戶|Elsa帳戶|Ben代墊|Ariel代墊|中信銀行共用"")), ""內部轉帳(忽略)"",
  AND(E3976&lt;&gt;"""", F3976&lt;&gt;"""", N"&amp;"OT(REGEXMATCH(C3976, ""薪資""))), ""內部轉帳(忽略)"",
  REGEXMATCH(C3976, ""薪資""), ""薪資變動(不計入)"",
  REGEXMATCH(C3976, ""押金""), ""押金往來"",
  AND(E3976&lt;&gt;"""", F3976=""""), ""真實支出"",
  AND(E3976="""", F3976&lt;&gt;""""), ""真實收入"",
  TRUE, ""其他""
)"),"其他")</f>
        <v>其他</v>
      </c>
      <c r="K3976" s="270" t="str">
        <f t="shared" si="2"/>
        <v/>
      </c>
      <c r="L3976">
        <f t="shared" si="3"/>
        <v>0</v>
      </c>
    </row>
    <row r="3977">
      <c r="A3977" s="107"/>
      <c r="D3977" s="270"/>
      <c r="H3977" s="106" t="str">
        <f t="shared" si="1"/>
        <v/>
      </c>
      <c r="I3977" s="271" t="str">
        <f>IFERROR(__xludf.DUMMYFUNCTION("""COMPUTED_VALUE"""),"")</f>
        <v/>
      </c>
      <c r="J3977" t="str">
        <f>IFERROR(__xludf.DUMMYFUNCTION("IFS(
  AND(REGEXMATCH(E3977, ""台銀籌備帳戶|玉山帳戶""), REGEXMATCH(C3977, ""薪資"")), ""分潤支出"",
  AND(REGEXMATCH(E3977, ""Ben帳戶|Elsa帳戶|Ben代墊|Ariel代墊|中信銀行共用""), REGEXMATCH(F3977, ""Ben帳戶|Elsa帳戶|Ben代墊|Ariel代墊|中信銀行共用"")), ""內部轉帳(忽略)"",
  AND(E3977&lt;&gt;"""", F3977&lt;&gt;"""", N"&amp;"OT(REGEXMATCH(C3977, ""薪資""))), ""內部轉帳(忽略)"",
  REGEXMATCH(C3977, ""薪資""), ""薪資變動(不計入)"",
  REGEXMATCH(C3977, ""押金""), ""押金往來"",
  AND(E3977&lt;&gt;"""", F3977=""""), ""真實支出"",
  AND(E3977="""", F3977&lt;&gt;""""), ""真實收入"",
  TRUE, ""其他""
)"),"其他")</f>
        <v>其他</v>
      </c>
      <c r="K3977" s="270" t="str">
        <f t="shared" si="2"/>
        <v/>
      </c>
      <c r="L3977">
        <f t="shared" si="3"/>
        <v>0</v>
      </c>
    </row>
    <row r="3978">
      <c r="A3978" s="107"/>
      <c r="D3978" s="270"/>
      <c r="H3978" s="106" t="str">
        <f t="shared" si="1"/>
        <v/>
      </c>
      <c r="I3978" s="271" t="str">
        <f>IFERROR(__xludf.DUMMYFUNCTION("""COMPUTED_VALUE"""),"")</f>
        <v/>
      </c>
      <c r="J3978" t="str">
        <f>IFERROR(__xludf.DUMMYFUNCTION("IFS(
  AND(REGEXMATCH(E3978, ""台銀籌備帳戶|玉山帳戶""), REGEXMATCH(C3978, ""薪資"")), ""分潤支出"",
  AND(REGEXMATCH(E3978, ""Ben帳戶|Elsa帳戶|Ben代墊|Ariel代墊|中信銀行共用""), REGEXMATCH(F3978, ""Ben帳戶|Elsa帳戶|Ben代墊|Ariel代墊|中信銀行共用"")), ""內部轉帳(忽略)"",
  AND(E3978&lt;&gt;"""", F3978&lt;&gt;"""", N"&amp;"OT(REGEXMATCH(C3978, ""薪資""))), ""內部轉帳(忽略)"",
  REGEXMATCH(C3978, ""薪資""), ""薪資變動(不計入)"",
  REGEXMATCH(C3978, ""押金""), ""押金往來"",
  AND(E3978&lt;&gt;"""", F3978=""""), ""真實支出"",
  AND(E3978="""", F3978&lt;&gt;""""), ""真實收入"",
  TRUE, ""其他""
)"),"其他")</f>
        <v>其他</v>
      </c>
      <c r="K3978" s="270" t="str">
        <f t="shared" si="2"/>
        <v/>
      </c>
      <c r="L3978">
        <f t="shared" si="3"/>
        <v>0</v>
      </c>
    </row>
    <row r="3979">
      <c r="A3979" s="107">
        <f>IFERROR(__xludf.DUMMYFUNCTION("""COMPUTED_VALUE"""),45047.0)</f>
        <v>45047</v>
      </c>
      <c r="B3979" t="str">
        <f>IFERROR(__xludf.DUMMYFUNCTION("""COMPUTED_VALUE"""),"籌備處戶初始化")</f>
        <v>籌備處戶初始化</v>
      </c>
      <c r="C3979" t="str">
        <f>IFERROR(__xludf.DUMMYFUNCTION("""COMPUTED_VALUE"""),"收入 - 其他")</f>
        <v>收入 - 其他</v>
      </c>
      <c r="D3979" s="270">
        <f>IFERROR(__xludf.DUMMYFUNCTION("""COMPUTED_VALUE"""),-1101000.0)</f>
        <v>-1101000</v>
      </c>
      <c r="E3979" t="str">
        <f>IFERROR(__xludf.DUMMYFUNCTION("""COMPUTED_VALUE"""),"Ben代墊")</f>
        <v>Ben代墊</v>
      </c>
      <c r="F3979" t="str">
        <f>IFERROR(__xludf.DUMMYFUNCTION("""COMPUTED_VALUE"""),"台銀籌備帳戶")</f>
        <v>台銀籌備帳戶</v>
      </c>
      <c r="H3979" s="106" t="str">
        <f t="shared" si="1"/>
        <v>2023-05</v>
      </c>
      <c r="I3979" s="271" t="str">
        <f>IFERROR(__xludf.DUMMYFUNCTION("""COMPUTED_VALUE"""),"鯰魚大大")</f>
        <v>鯰魚大大</v>
      </c>
      <c r="J3979" t="str">
        <f>IFERROR(__xludf.DUMMYFUNCTION("IFS(
  AND(REGEXMATCH(E3979, ""台銀籌備帳戶|玉山帳戶""), REGEXMATCH(C3979, ""薪資"")), ""分潤支出"",
  AND(REGEXMATCH(E3979, ""Ben帳戶|Elsa帳戶|Ben代墊|Ariel代墊|中信銀行共用""), REGEXMATCH(F3979, ""Ben帳戶|Elsa帳戶|Ben代墊|Ariel代墊|中信銀行共用"")), ""內部轉帳(忽略)"",
  AND(E3979&lt;&gt;"""", F3979&lt;&gt;"""", N"&amp;"OT(REGEXMATCH(C3979, ""薪資""))), ""內部轉帳(忽略)"",
  REGEXMATCH(C3979, ""薪資""), ""薪資變動(不計入)"",
  REGEXMATCH(C3979, ""押金""), ""押金往來"",
  AND(E3979&lt;&gt;"""", F3979=""""), ""真實支出"",
  AND(E3979="""", F3979&lt;&gt;""""), ""真實收入"",
  TRUE, ""其他""
)"),"內部轉帳(忽略)")</f>
        <v>內部轉帳(忽略)</v>
      </c>
      <c r="K3979">
        <f t="shared" si="2"/>
        <v>0</v>
      </c>
      <c r="L3979">
        <f t="shared" si="3"/>
        <v>0</v>
      </c>
    </row>
    <row r="3980">
      <c r="A3980" s="107">
        <f>IFERROR(__xludf.DUMMYFUNCTION("""COMPUTED_VALUE"""),45078.0)</f>
        <v>45078</v>
      </c>
      <c r="B3980" t="str">
        <f>IFERROR(__xludf.DUMMYFUNCTION("""COMPUTED_VALUE"""),"【Brother】無線雙面多功能雷射複合機-DCP-L2540DW")</f>
        <v>【Brother】無線雙面多功能雷射複合機-DCP-L2540DW</v>
      </c>
      <c r="C3980" t="str">
        <f>IFERROR(__xludf.DUMMYFUNCTION("""COMPUTED_VALUE"""),"費用 - 辦公用品")</f>
        <v>費用 - 辦公用品</v>
      </c>
      <c r="D3980" s="270">
        <f>IFERROR(__xludf.DUMMYFUNCTION("""COMPUTED_VALUE"""),-6290.0)</f>
        <v>-6290</v>
      </c>
      <c r="E3980" t="str">
        <f>IFERROR(__xludf.DUMMYFUNCTION("""COMPUTED_VALUE"""),"Ben代墊")</f>
        <v>Ben代墊</v>
      </c>
      <c r="H3980" s="106" t="str">
        <f t="shared" si="1"/>
        <v>2023-06</v>
      </c>
      <c r="I3980" s="271" t="str">
        <f>IFERROR(__xludf.DUMMYFUNCTION("""COMPUTED_VALUE"""),"鯰魚大大")</f>
        <v>鯰魚大大</v>
      </c>
      <c r="J3980" t="str">
        <f>IFERROR(__xludf.DUMMYFUNCTION("IFS(
  AND(REGEXMATCH(E3980, ""台銀籌備帳戶|玉山帳戶""), REGEXMATCH(C3980, ""薪資"")), ""分潤支出"",
  AND(REGEXMATCH(E3980, ""Ben帳戶|Elsa帳戶|Ben代墊|Ariel代墊|中信銀行共用""), REGEXMATCH(F3980, ""Ben帳戶|Elsa帳戶|Ben代墊|Ariel代墊|中信銀行共用"")), ""內部轉帳(忽略)"",
  AND(E3980&lt;&gt;"""", F3980&lt;&gt;"""", N"&amp;"OT(REGEXMATCH(C3980, ""薪資""))), ""內部轉帳(忽略)"",
  REGEXMATCH(C3980, ""薪資""), ""薪資變動(不計入)"",
  REGEXMATCH(C3980, ""押金""), ""押金往來"",
  AND(E3980&lt;&gt;"""", F3980=""""), ""真實支出"",
  AND(E3980="""", F3980&lt;&gt;""""), ""真實收入"",
  TRUE, ""其他""
)"),"真實支出")</f>
        <v>真實支出</v>
      </c>
      <c r="K3980" s="270">
        <f t="shared" si="2"/>
        <v>-6290</v>
      </c>
      <c r="L3980">
        <f t="shared" si="3"/>
        <v>0</v>
      </c>
    </row>
    <row r="3981">
      <c r="A3981" s="107">
        <f>IFERROR(__xludf.DUMMYFUNCTION("""COMPUTED_VALUE"""),45073.0)</f>
        <v>45073</v>
      </c>
      <c r="B3981" t="str">
        <f>IFERROR(__xludf.DUMMYFUNCTION("""COMPUTED_VALUE"""),"廠商餐聚with趙老闆")</f>
        <v>廠商餐聚with趙老闆</v>
      </c>
      <c r="C3981" t="str">
        <f>IFERROR(__xludf.DUMMYFUNCTION("""COMPUTED_VALUE"""),"費用 - 餐飲")</f>
        <v>費用 - 餐飲</v>
      </c>
      <c r="D3981" s="270">
        <f>IFERROR(__xludf.DUMMYFUNCTION("""COMPUTED_VALUE"""),-2040.0)</f>
        <v>-2040</v>
      </c>
      <c r="E3981" t="str">
        <f>IFERROR(__xludf.DUMMYFUNCTION("""COMPUTED_VALUE"""),"Ben代墊")</f>
        <v>Ben代墊</v>
      </c>
      <c r="H3981" s="106" t="str">
        <f t="shared" si="1"/>
        <v>2023-05</v>
      </c>
      <c r="I3981" s="271" t="str">
        <f>IFERROR(__xludf.DUMMYFUNCTION("""COMPUTED_VALUE"""),"鯰魚大大")</f>
        <v>鯰魚大大</v>
      </c>
      <c r="J3981" t="str">
        <f>IFERROR(__xludf.DUMMYFUNCTION("IFS(
  AND(REGEXMATCH(E3981, ""台銀籌備帳戶|玉山帳戶""), REGEXMATCH(C3981, ""薪資"")), ""分潤支出"",
  AND(REGEXMATCH(E3981, ""Ben帳戶|Elsa帳戶|Ben代墊|Ariel代墊|中信銀行共用""), REGEXMATCH(F3981, ""Ben帳戶|Elsa帳戶|Ben代墊|Ariel代墊|中信銀行共用"")), ""內部轉帳(忽略)"",
  AND(E3981&lt;&gt;"""", F3981&lt;&gt;"""", N"&amp;"OT(REGEXMATCH(C3981, ""薪資""))), ""內部轉帳(忽略)"",
  REGEXMATCH(C3981, ""薪資""), ""薪資變動(不計入)"",
  REGEXMATCH(C3981, ""押金""), ""押金往來"",
  AND(E3981&lt;&gt;"""", F3981=""""), ""真實支出"",
  AND(E3981="""", F3981&lt;&gt;""""), ""真實收入"",
  TRUE, ""其他""
)"),"真實支出")</f>
        <v>真實支出</v>
      </c>
      <c r="K3981" s="270">
        <f t="shared" si="2"/>
        <v>-2040</v>
      </c>
      <c r="L3981">
        <f t="shared" si="3"/>
        <v>0</v>
      </c>
    </row>
    <row r="3982">
      <c r="A3982" s="107">
        <f>IFERROR(__xludf.DUMMYFUNCTION("""COMPUTED_VALUE"""),45073.0)</f>
        <v>45073</v>
      </c>
      <c r="B3982" t="str">
        <f>IFERROR(__xludf.DUMMYFUNCTION("""COMPUTED_VALUE"""),"辦公室租金")</f>
        <v>辦公室租金</v>
      </c>
      <c r="C3982" t="str">
        <f>IFERROR(__xludf.DUMMYFUNCTION("""COMPUTED_VALUE"""),"費用 - 辦公用品")</f>
        <v>費用 - 辦公用品</v>
      </c>
      <c r="D3982" s="270">
        <f>IFERROR(__xludf.DUMMYFUNCTION("""COMPUTED_VALUE"""),-32400.0)</f>
        <v>-32400</v>
      </c>
      <c r="E3982" t="str">
        <f>IFERROR(__xludf.DUMMYFUNCTION("""COMPUTED_VALUE"""),"Ben代墊")</f>
        <v>Ben代墊</v>
      </c>
      <c r="H3982" s="106" t="str">
        <f t="shared" si="1"/>
        <v>2023-05</v>
      </c>
      <c r="I3982" s="271" t="str">
        <f>IFERROR(__xludf.DUMMYFUNCTION("""COMPUTED_VALUE"""),"鯰魚大大")</f>
        <v>鯰魚大大</v>
      </c>
      <c r="J3982" t="str">
        <f>IFERROR(__xludf.DUMMYFUNCTION("IFS(
  AND(REGEXMATCH(E3982, ""台銀籌備帳戶|玉山帳戶""), REGEXMATCH(C3982, ""薪資"")), ""分潤支出"",
  AND(REGEXMATCH(E3982, ""Ben帳戶|Elsa帳戶|Ben代墊|Ariel代墊|中信銀行共用""), REGEXMATCH(F3982, ""Ben帳戶|Elsa帳戶|Ben代墊|Ariel代墊|中信銀行共用"")), ""內部轉帳(忽略)"",
  AND(E3982&lt;&gt;"""", F3982&lt;&gt;"""", N"&amp;"OT(REGEXMATCH(C3982, ""薪資""))), ""內部轉帳(忽略)"",
  REGEXMATCH(C3982, ""薪資""), ""薪資變動(不計入)"",
  REGEXMATCH(C3982, ""押金""), ""押金往來"",
  AND(E3982&lt;&gt;"""", F3982=""""), ""真實支出"",
  AND(E3982="""", F3982&lt;&gt;""""), ""真實收入"",
  TRUE, ""其他""
)"),"真實支出")</f>
        <v>真實支出</v>
      </c>
      <c r="K3982" s="270">
        <f t="shared" si="2"/>
        <v>-32400</v>
      </c>
      <c r="L3982">
        <f t="shared" si="3"/>
        <v>0</v>
      </c>
    </row>
    <row r="3983">
      <c r="A3983" s="107">
        <f>IFERROR(__xludf.DUMMYFUNCTION("""COMPUTED_VALUE"""),45080.0)</f>
        <v>45080</v>
      </c>
      <c r="B3983" t="str">
        <f>IFERROR(__xludf.DUMMYFUNCTION("""COMPUTED_VALUE"""),"辦公用電腦")</f>
        <v>辦公用電腦</v>
      </c>
      <c r="C3983" t="str">
        <f>IFERROR(__xludf.DUMMYFUNCTION("""COMPUTED_VALUE"""),"費用 - 辦公用品")</f>
        <v>費用 - 辦公用品</v>
      </c>
      <c r="D3983" s="270">
        <f>IFERROR(__xludf.DUMMYFUNCTION("""COMPUTED_VALUE"""),-26553.0)</f>
        <v>-26553</v>
      </c>
      <c r="E3983" t="str">
        <f>IFERROR(__xludf.DUMMYFUNCTION("""COMPUTED_VALUE"""),"Ben代墊")</f>
        <v>Ben代墊</v>
      </c>
      <c r="H3983" s="106" t="str">
        <f t="shared" si="1"/>
        <v>2023-06</v>
      </c>
      <c r="I3983" s="271" t="str">
        <f>IFERROR(__xludf.DUMMYFUNCTION("""COMPUTED_VALUE"""),"鯰魚大大")</f>
        <v>鯰魚大大</v>
      </c>
      <c r="J3983" t="str">
        <f>IFERROR(__xludf.DUMMYFUNCTION("IFS(
  AND(REGEXMATCH(E3983, ""台銀籌備帳戶|玉山帳戶""), REGEXMATCH(C3983, ""薪資"")), ""分潤支出"",
  AND(REGEXMATCH(E3983, ""Ben帳戶|Elsa帳戶|Ben代墊|Ariel代墊|中信銀行共用""), REGEXMATCH(F3983, ""Ben帳戶|Elsa帳戶|Ben代墊|Ariel代墊|中信銀行共用"")), ""內部轉帳(忽略)"",
  AND(E3983&lt;&gt;"""", F3983&lt;&gt;"""", N"&amp;"OT(REGEXMATCH(C3983, ""薪資""))), ""內部轉帳(忽略)"",
  REGEXMATCH(C3983, ""薪資""), ""薪資變動(不計入)"",
  REGEXMATCH(C3983, ""押金""), ""押金往來"",
  AND(E3983&lt;&gt;"""", F3983=""""), ""真實支出"",
  AND(E3983="""", F3983&lt;&gt;""""), ""真實收入"",
  TRUE, ""其他""
)"),"真實支出")</f>
        <v>真實支出</v>
      </c>
      <c r="K3983" s="270">
        <f t="shared" si="2"/>
        <v>-26553</v>
      </c>
      <c r="L3983">
        <f t="shared" si="3"/>
        <v>0</v>
      </c>
    </row>
    <row r="3984">
      <c r="A3984" s="107">
        <f>IFERROR(__xludf.DUMMYFUNCTION("""COMPUTED_VALUE"""),45084.0)</f>
        <v>45084</v>
      </c>
      <c r="B3984" t="str">
        <f>IFERROR(__xludf.DUMMYFUNCTION("""COMPUTED_VALUE"""),"營業保證金")</f>
        <v>營業保證金</v>
      </c>
      <c r="C3984" t="str">
        <f>IFERROR(__xludf.DUMMYFUNCTION("""COMPUTED_VALUE"""),"費用 - 稅金")</f>
        <v>費用 - 稅金</v>
      </c>
      <c r="D3984" s="270">
        <f>IFERROR(__xludf.DUMMYFUNCTION("""COMPUTED_VALUE"""),-150000.0)</f>
        <v>-150000</v>
      </c>
      <c r="E3984" t="str">
        <f>IFERROR(__xludf.DUMMYFUNCTION("""COMPUTED_VALUE"""),"Ben代墊")</f>
        <v>Ben代墊</v>
      </c>
      <c r="H3984" s="106" t="str">
        <f t="shared" si="1"/>
        <v>2023-06</v>
      </c>
      <c r="I3984" s="271" t="str">
        <f>IFERROR(__xludf.DUMMYFUNCTION("""COMPUTED_VALUE"""),"鯰魚大大")</f>
        <v>鯰魚大大</v>
      </c>
      <c r="J3984" t="str">
        <f>IFERROR(__xludf.DUMMYFUNCTION("IFS(
  AND(REGEXMATCH(E3984, ""台銀籌備帳戶|玉山帳戶""), REGEXMATCH(C3984, ""薪資"")), ""分潤支出"",
  AND(REGEXMATCH(E3984, ""Ben帳戶|Elsa帳戶|Ben代墊|Ariel代墊|中信銀行共用""), REGEXMATCH(F3984, ""Ben帳戶|Elsa帳戶|Ben代墊|Ariel代墊|中信銀行共用"")), ""內部轉帳(忽略)"",
  AND(E3984&lt;&gt;"""", F3984&lt;&gt;"""", N"&amp;"OT(REGEXMATCH(C3984, ""薪資""))), ""內部轉帳(忽略)"",
  REGEXMATCH(C3984, ""薪資""), ""薪資變動(不計入)"",
  REGEXMATCH(C3984, ""押金""), ""押金往來"",
  AND(E3984&lt;&gt;"""", F3984=""""), ""真實支出"",
  AND(E3984="""", F3984&lt;&gt;""""), ""真實收入"",
  TRUE, ""其他""
)"),"真實支出")</f>
        <v>真實支出</v>
      </c>
      <c r="K3984" s="270">
        <f t="shared" si="2"/>
        <v>-150000</v>
      </c>
      <c r="L3984">
        <f t="shared" si="3"/>
        <v>0</v>
      </c>
    </row>
    <row r="3985">
      <c r="A3985" s="107">
        <f>IFERROR(__xludf.DUMMYFUNCTION("""COMPUTED_VALUE"""),45084.0)</f>
        <v>45084</v>
      </c>
      <c r="B3985" t="str">
        <f>IFERROR(__xludf.DUMMYFUNCTION("""COMPUTED_VALUE"""),"會費")</f>
        <v>會費</v>
      </c>
      <c r="C3985" t="str">
        <f>IFERROR(__xludf.DUMMYFUNCTION("""COMPUTED_VALUE"""),"費用 - 稅金")</f>
        <v>費用 - 稅金</v>
      </c>
      <c r="D3985" s="270">
        <f>IFERROR(__xludf.DUMMYFUNCTION("""COMPUTED_VALUE"""),-15000.0)</f>
        <v>-15000</v>
      </c>
      <c r="E3985" t="str">
        <f>IFERROR(__xludf.DUMMYFUNCTION("""COMPUTED_VALUE"""),"Ben代墊")</f>
        <v>Ben代墊</v>
      </c>
      <c r="H3985" s="106" t="str">
        <f t="shared" si="1"/>
        <v>2023-06</v>
      </c>
      <c r="I3985" s="271" t="str">
        <f>IFERROR(__xludf.DUMMYFUNCTION("""COMPUTED_VALUE"""),"鯰魚大大")</f>
        <v>鯰魚大大</v>
      </c>
      <c r="J3985" t="str">
        <f>IFERROR(__xludf.DUMMYFUNCTION("IFS(
  AND(REGEXMATCH(E3985, ""台銀籌備帳戶|玉山帳戶""), REGEXMATCH(C3985, ""薪資"")), ""分潤支出"",
  AND(REGEXMATCH(E3985, ""Ben帳戶|Elsa帳戶|Ben代墊|Ariel代墊|中信銀行共用""), REGEXMATCH(F3985, ""Ben帳戶|Elsa帳戶|Ben代墊|Ariel代墊|中信銀行共用"")), ""內部轉帳(忽略)"",
  AND(E3985&lt;&gt;"""", F3985&lt;&gt;"""", N"&amp;"OT(REGEXMATCH(C3985, ""薪資""))), ""內部轉帳(忽略)"",
  REGEXMATCH(C3985, ""薪資""), ""薪資變動(不計入)"",
  REGEXMATCH(C3985, ""押金""), ""押金往來"",
  AND(E3985&lt;&gt;"""", F3985=""""), ""真實支出"",
  AND(E3985="""", F3985&lt;&gt;""""), ""真實收入"",
  TRUE, ""其他""
)"),"真實支出")</f>
        <v>真實支出</v>
      </c>
      <c r="K3985" s="270">
        <f t="shared" si="2"/>
        <v>-15000</v>
      </c>
      <c r="L3985">
        <f t="shared" si="3"/>
        <v>0</v>
      </c>
    </row>
    <row r="3986">
      <c r="A3986" s="107">
        <f>IFERROR(__xludf.DUMMYFUNCTION("""COMPUTED_VALUE"""),45190.0)</f>
        <v>45190</v>
      </c>
      <c r="B3986" t="str">
        <f>IFERROR(__xludf.DUMMYFUNCTION("""COMPUTED_VALUE"""),"簽約2押 內湖秘境")</f>
        <v>簽約2押 內湖秘境</v>
      </c>
      <c r="C3986" t="str">
        <f>IFERROR(__xludf.DUMMYFUNCTION("""COMPUTED_VALUE"""),"成本 - 對屋主押金")</f>
        <v>成本 - 對屋主押金</v>
      </c>
      <c r="D3986" s="270">
        <f>IFERROR(__xludf.DUMMYFUNCTION("""COMPUTED_VALUE"""),-90000.0)</f>
        <v>-90000</v>
      </c>
      <c r="E3986" t="str">
        <f>IFERROR(__xludf.DUMMYFUNCTION("""COMPUTED_VALUE"""),"Ben代墊")</f>
        <v>Ben代墊</v>
      </c>
      <c r="G3986" t="str">
        <f>IFERROR(__xludf.DUMMYFUNCTION("""COMPUTED_VALUE"""),"內湖秘境")</f>
        <v>內湖秘境</v>
      </c>
      <c r="H3986" s="106" t="str">
        <f t="shared" si="1"/>
        <v>2023-09</v>
      </c>
      <c r="I3986" s="271" t="str">
        <f>IFERROR(__xludf.DUMMYFUNCTION("""COMPUTED_VALUE"""),"鯰魚大大")</f>
        <v>鯰魚大大</v>
      </c>
      <c r="J3986" t="str">
        <f>IFERROR(__xludf.DUMMYFUNCTION("IFS(
  AND(REGEXMATCH(E3986, ""台銀籌備帳戶|玉山帳戶""), REGEXMATCH(C3986, ""薪資"")), ""分潤支出"",
  AND(REGEXMATCH(E3986, ""Ben帳戶|Elsa帳戶|Ben代墊|Ariel代墊|中信銀行共用""), REGEXMATCH(F3986, ""Ben帳戶|Elsa帳戶|Ben代墊|Ariel代墊|中信銀行共用"")), ""內部轉帳(忽略)"",
  AND(E3986&lt;&gt;"""", F3986&lt;&gt;"""", N"&amp;"OT(REGEXMATCH(C3986, ""薪資""))), ""內部轉帳(忽略)"",
  REGEXMATCH(C3986, ""薪資""), ""薪資變動(不計入)"",
  REGEXMATCH(C3986, ""押金""), ""押金往來"",
  AND(E3986&lt;&gt;"""", F3986=""""), ""真實支出"",
  AND(E3986="""", F3986&lt;&gt;""""), ""真實收入"",
  TRUE, ""其他""
)"),"押金往來")</f>
        <v>押金往來</v>
      </c>
      <c r="K3986">
        <f t="shared" si="2"/>
        <v>0</v>
      </c>
      <c r="L3986">
        <f t="shared" si="3"/>
        <v>0</v>
      </c>
    </row>
    <row r="3987">
      <c r="A3987" s="107">
        <f>IFERROR(__xludf.DUMMYFUNCTION("""COMPUTED_VALUE"""),45190.0)</f>
        <v>45190</v>
      </c>
      <c r="B3987" t="str">
        <f>IFERROR(__xludf.DUMMYFUNCTION("""COMPUTED_VALUE"""),"仲介費 Eddie Lee")</f>
        <v>仲介費 Eddie Lee</v>
      </c>
      <c r="C3987" t="str">
        <f>IFERROR(__xludf.DUMMYFUNCTION("""COMPUTED_VALUE"""),"成本 - 仲介費")</f>
        <v>成本 - 仲介費</v>
      </c>
      <c r="D3987" s="270">
        <f>IFERROR(__xludf.DUMMYFUNCTION("""COMPUTED_VALUE"""),-45000.0)</f>
        <v>-45000</v>
      </c>
      <c r="E3987" t="str">
        <f>IFERROR(__xludf.DUMMYFUNCTION("""COMPUTED_VALUE"""),"Ben代墊")</f>
        <v>Ben代墊</v>
      </c>
      <c r="G3987" t="str">
        <f>IFERROR(__xludf.DUMMYFUNCTION("""COMPUTED_VALUE"""),"內湖秘境")</f>
        <v>內湖秘境</v>
      </c>
      <c r="H3987" s="106" t="str">
        <f t="shared" si="1"/>
        <v>2023-09</v>
      </c>
      <c r="I3987" s="271" t="str">
        <f>IFERROR(__xludf.DUMMYFUNCTION("""COMPUTED_VALUE"""),"鯰魚大大")</f>
        <v>鯰魚大大</v>
      </c>
      <c r="J3987" t="str">
        <f>IFERROR(__xludf.DUMMYFUNCTION("IFS(
  AND(REGEXMATCH(E3987, ""台銀籌備帳戶|玉山帳戶""), REGEXMATCH(C3987, ""薪資"")), ""分潤支出"",
  AND(REGEXMATCH(E3987, ""Ben帳戶|Elsa帳戶|Ben代墊|Ariel代墊|中信銀行共用""), REGEXMATCH(F3987, ""Ben帳戶|Elsa帳戶|Ben代墊|Ariel代墊|中信銀行共用"")), ""內部轉帳(忽略)"",
  AND(E3987&lt;&gt;"""", F3987&lt;&gt;"""", N"&amp;"OT(REGEXMATCH(C3987, ""薪資""))), ""內部轉帳(忽略)"",
  REGEXMATCH(C3987, ""薪資""), ""薪資變動(不計入)"",
  REGEXMATCH(C3987, ""押金""), ""押金往來"",
  AND(E3987&lt;&gt;"""", F3987=""""), ""真實支出"",
  AND(E3987="""", F3987&lt;&gt;""""), ""真實收入"",
  TRUE, ""其他""
)"),"真實支出")</f>
        <v>真實支出</v>
      </c>
      <c r="K3987" s="270">
        <f t="shared" si="2"/>
        <v>-45000</v>
      </c>
      <c r="L3987">
        <f t="shared" si="3"/>
        <v>0</v>
      </c>
    </row>
    <row r="3988">
      <c r="A3988" s="107">
        <f>IFERROR(__xludf.DUMMYFUNCTION("""COMPUTED_VALUE"""),45190.0)</f>
        <v>45190</v>
      </c>
      <c r="B3988" t="str">
        <f>IFERROR(__xludf.DUMMYFUNCTION("""COMPUTED_VALUE"""),"公證費 武公證人")</f>
        <v>公證費 武公證人</v>
      </c>
      <c r="C3988" t="str">
        <f>IFERROR(__xludf.DUMMYFUNCTION("""COMPUTED_VALUE"""),"成本 - 公證費")</f>
        <v>成本 - 公證費</v>
      </c>
      <c r="D3988" s="270">
        <f>IFERROR(__xludf.DUMMYFUNCTION("""COMPUTED_VALUE"""),-7500.0)</f>
        <v>-7500</v>
      </c>
      <c r="E3988" t="str">
        <f>IFERROR(__xludf.DUMMYFUNCTION("""COMPUTED_VALUE"""),"Ben代墊")</f>
        <v>Ben代墊</v>
      </c>
      <c r="G3988" t="str">
        <f>IFERROR(__xludf.DUMMYFUNCTION("""COMPUTED_VALUE"""),"內湖秘境")</f>
        <v>內湖秘境</v>
      </c>
      <c r="H3988" s="106" t="str">
        <f t="shared" si="1"/>
        <v>2023-09</v>
      </c>
      <c r="I3988" s="271" t="str">
        <f>IFERROR(__xludf.DUMMYFUNCTION("""COMPUTED_VALUE"""),"鯰魚大大")</f>
        <v>鯰魚大大</v>
      </c>
      <c r="J3988" t="str">
        <f>IFERROR(__xludf.DUMMYFUNCTION("IFS(
  AND(REGEXMATCH(E3988, ""台銀籌備帳戶|玉山帳戶""), REGEXMATCH(C3988, ""薪資"")), ""分潤支出"",
  AND(REGEXMATCH(E3988, ""Ben帳戶|Elsa帳戶|Ben代墊|Ariel代墊|中信銀行共用""), REGEXMATCH(F3988, ""Ben帳戶|Elsa帳戶|Ben代墊|Ariel代墊|中信銀行共用"")), ""內部轉帳(忽略)"",
  AND(E3988&lt;&gt;"""", F3988&lt;&gt;"""", N"&amp;"OT(REGEXMATCH(C3988, ""薪資""))), ""內部轉帳(忽略)"",
  REGEXMATCH(C3988, ""薪資""), ""薪資變動(不計入)"",
  REGEXMATCH(C3988, ""押金""), ""押金往來"",
  AND(E3988&lt;&gt;"""", F3988=""""), ""真實支出"",
  AND(E3988="""", F3988&lt;&gt;""""), ""真實收入"",
  TRUE, ""其他""
)"),"真實支出")</f>
        <v>真實支出</v>
      </c>
      <c r="K3988" s="270">
        <f t="shared" si="2"/>
        <v>-7500</v>
      </c>
      <c r="L3988">
        <f t="shared" si="3"/>
        <v>0</v>
      </c>
    </row>
    <row r="3989">
      <c r="A3989" s="107">
        <f>IFERROR(__xludf.DUMMYFUNCTION("""COMPUTED_VALUE"""),45201.0)</f>
        <v>45201</v>
      </c>
      <c r="B3989" t="str">
        <f>IFERROR(__xludf.DUMMYFUNCTION("""COMPUTED_VALUE"""),"內湖路拆除櫃體 廖大哥")</f>
        <v>內湖路拆除櫃體 廖大哥</v>
      </c>
      <c r="C3989" t="str">
        <f>IFERROR(__xludf.DUMMYFUNCTION("""COMPUTED_VALUE"""),"成本 - 進場前裝潢費")</f>
        <v>成本 - 進場前裝潢費</v>
      </c>
      <c r="D3989" s="270">
        <f>IFERROR(__xludf.DUMMYFUNCTION("""COMPUTED_VALUE"""),-18000.0)</f>
        <v>-18000</v>
      </c>
      <c r="E3989" t="str">
        <f>IFERROR(__xludf.DUMMYFUNCTION("""COMPUTED_VALUE"""),"Ben代墊")</f>
        <v>Ben代墊</v>
      </c>
      <c r="G3989" t="str">
        <f>IFERROR(__xludf.DUMMYFUNCTION("""COMPUTED_VALUE"""),"內湖秘境")</f>
        <v>內湖秘境</v>
      </c>
      <c r="H3989" s="106" t="str">
        <f t="shared" si="1"/>
        <v>2023-10</v>
      </c>
      <c r="I3989" s="271" t="str">
        <f>IFERROR(__xludf.DUMMYFUNCTION("""COMPUTED_VALUE"""),"鯰魚大大")</f>
        <v>鯰魚大大</v>
      </c>
      <c r="J3989" t="str">
        <f>IFERROR(__xludf.DUMMYFUNCTION("IFS(
  AND(REGEXMATCH(E3989, ""台銀籌備帳戶|玉山帳戶""), REGEXMATCH(C3989, ""薪資"")), ""分潤支出"",
  AND(REGEXMATCH(E3989, ""Ben帳戶|Elsa帳戶|Ben代墊|Ariel代墊|中信銀行共用""), REGEXMATCH(F3989, ""Ben帳戶|Elsa帳戶|Ben代墊|Ariel代墊|中信銀行共用"")), ""內部轉帳(忽略)"",
  AND(E3989&lt;&gt;"""", F3989&lt;&gt;"""", N"&amp;"OT(REGEXMATCH(C3989, ""薪資""))), ""內部轉帳(忽略)"",
  REGEXMATCH(C3989, ""薪資""), ""薪資變動(不計入)"",
  REGEXMATCH(C3989, ""押金""), ""押金往來"",
  AND(E3989&lt;&gt;"""", F3989=""""), ""真實支出"",
  AND(E3989="""", F3989&lt;&gt;""""), ""真實收入"",
  TRUE, ""其他""
)"),"真實支出")</f>
        <v>真實支出</v>
      </c>
      <c r="K3989" s="270">
        <f t="shared" si="2"/>
        <v>-18000</v>
      </c>
      <c r="L3989">
        <f t="shared" si="3"/>
        <v>0</v>
      </c>
    </row>
    <row r="3990">
      <c r="A3990" s="107">
        <f>IFERROR(__xludf.DUMMYFUNCTION("""COMPUTED_VALUE"""),45204.0)</f>
        <v>45204</v>
      </c>
      <c r="B3990" t="str">
        <f>IFERROR(__xludf.DUMMYFUNCTION("""COMPUTED_VALUE"""),"燈具_軌道燈+軌道_ Joya Led")</f>
        <v>燈具_軌道燈+軌道_ Joya Led</v>
      </c>
      <c r="C3990" t="str">
        <f>IFERROR(__xludf.DUMMYFUNCTION("""COMPUTED_VALUE"""),"成本 - 進場前裝潢費")</f>
        <v>成本 - 進場前裝潢費</v>
      </c>
      <c r="D3990" s="270">
        <f>IFERROR(__xludf.DUMMYFUNCTION("""COMPUTED_VALUE"""),-14394.0)</f>
        <v>-14394</v>
      </c>
      <c r="E3990" t="str">
        <f>IFERROR(__xludf.DUMMYFUNCTION("""COMPUTED_VALUE"""),"Ariel代墊")</f>
        <v>Ariel代墊</v>
      </c>
      <c r="G3990" t="str">
        <f>IFERROR(__xludf.DUMMYFUNCTION("""COMPUTED_VALUE"""),"內湖秘境")</f>
        <v>內湖秘境</v>
      </c>
      <c r="H3990" s="106" t="str">
        <f t="shared" si="1"/>
        <v>2023-10</v>
      </c>
      <c r="I3990" s="271" t="str">
        <f>IFERROR(__xludf.DUMMYFUNCTION("""COMPUTED_VALUE"""),"鯰魚大大")</f>
        <v>鯰魚大大</v>
      </c>
      <c r="J3990" t="str">
        <f>IFERROR(__xludf.DUMMYFUNCTION("IFS(
  AND(REGEXMATCH(E3990, ""台銀籌備帳戶|玉山帳戶""), REGEXMATCH(C3990, ""薪資"")), ""分潤支出"",
  AND(REGEXMATCH(E3990, ""Ben帳戶|Elsa帳戶|Ben代墊|Ariel代墊|中信銀行共用""), REGEXMATCH(F3990, ""Ben帳戶|Elsa帳戶|Ben代墊|Ariel代墊|中信銀行共用"")), ""內部轉帳(忽略)"",
  AND(E3990&lt;&gt;"""", F3990&lt;&gt;"""", N"&amp;"OT(REGEXMATCH(C3990, ""薪資""))), ""內部轉帳(忽略)"",
  REGEXMATCH(C3990, ""薪資""), ""薪資變動(不計入)"",
  REGEXMATCH(C3990, ""押金""), ""押金往來"",
  AND(E3990&lt;&gt;"""", F3990=""""), ""真實支出"",
  AND(E3990="""", F3990&lt;&gt;""""), ""真實收入"",
  TRUE, ""其他""
)"),"真實支出")</f>
        <v>真實支出</v>
      </c>
      <c r="K3990" s="270">
        <f t="shared" si="2"/>
        <v>-14394</v>
      </c>
      <c r="L3990">
        <f t="shared" si="3"/>
        <v>0</v>
      </c>
    </row>
    <row r="3991">
      <c r="A3991" s="107">
        <f>IFERROR(__xludf.DUMMYFUNCTION("""COMPUTED_VALUE"""),45209.0)</f>
        <v>45209</v>
      </c>
      <c r="B3991" t="str">
        <f>IFERROR(__xludf.DUMMYFUNCTION("""COMPUTED_VALUE"""),"衣櫃 書桌 櫃子(Ikea)")</f>
        <v>衣櫃 書桌 櫃子(Ikea)</v>
      </c>
      <c r="C3991" t="str">
        <f>IFERROR(__xludf.DUMMYFUNCTION("""COMPUTED_VALUE"""),"成本 - 進場前裝潢費")</f>
        <v>成本 - 進場前裝潢費</v>
      </c>
      <c r="D3991" s="270">
        <f>IFERROR(__xludf.DUMMYFUNCTION("""COMPUTED_VALUE"""),-63446.0)</f>
        <v>-63446</v>
      </c>
      <c r="E3991" t="str">
        <f>IFERROR(__xludf.DUMMYFUNCTION("""COMPUTED_VALUE"""),"Ariel代墊")</f>
        <v>Ariel代墊</v>
      </c>
      <c r="G3991" t="str">
        <f>IFERROR(__xludf.DUMMYFUNCTION("""COMPUTED_VALUE"""),"內湖秘境")</f>
        <v>內湖秘境</v>
      </c>
      <c r="H3991" s="106" t="str">
        <f t="shared" si="1"/>
        <v>2023-10</v>
      </c>
      <c r="I3991" s="271" t="str">
        <f>IFERROR(__xludf.DUMMYFUNCTION("""COMPUTED_VALUE"""),"鯰魚大大")</f>
        <v>鯰魚大大</v>
      </c>
      <c r="J3991" t="str">
        <f>IFERROR(__xludf.DUMMYFUNCTION("IFS(
  AND(REGEXMATCH(E3991, ""台銀籌備帳戶|玉山帳戶""), REGEXMATCH(C3991, ""薪資"")), ""分潤支出"",
  AND(REGEXMATCH(E3991, ""Ben帳戶|Elsa帳戶|Ben代墊|Ariel代墊|中信銀行共用""), REGEXMATCH(F3991, ""Ben帳戶|Elsa帳戶|Ben代墊|Ariel代墊|中信銀行共用"")), ""內部轉帳(忽略)"",
  AND(E3991&lt;&gt;"""", F3991&lt;&gt;"""", N"&amp;"OT(REGEXMATCH(C3991, ""薪資""))), ""內部轉帳(忽略)"",
  REGEXMATCH(C3991, ""薪資""), ""薪資變動(不計入)"",
  REGEXMATCH(C3991, ""押金""), ""押金往來"",
  AND(E3991&lt;&gt;"""", F3991=""""), ""真實支出"",
  AND(E3991="""", F3991&lt;&gt;""""), ""真實收入"",
  TRUE, ""其他""
)"),"真實支出")</f>
        <v>真實支出</v>
      </c>
      <c r="K3991" s="270">
        <f t="shared" si="2"/>
        <v>-63446</v>
      </c>
      <c r="L3991">
        <f t="shared" si="3"/>
        <v>0</v>
      </c>
    </row>
    <row r="3992">
      <c r="A3992" s="107">
        <f>IFERROR(__xludf.DUMMYFUNCTION("""COMPUTED_VALUE"""),45205.0)</f>
        <v>45205</v>
      </c>
      <c r="B3992" t="str">
        <f>IFERROR(__xludf.DUMMYFUNCTION("""COMPUTED_VALUE"""),"油漆 呂師父Rek 訂金 30000")</f>
        <v>油漆 呂師父Rek 訂金 30000</v>
      </c>
      <c r="C3992" t="str">
        <f>IFERROR(__xludf.DUMMYFUNCTION("""COMPUTED_VALUE"""),"成本 - 進場前裝潢費")</f>
        <v>成本 - 進場前裝潢費</v>
      </c>
      <c r="D3992" s="270">
        <f>IFERROR(__xludf.DUMMYFUNCTION("""COMPUTED_VALUE"""),-30000.0)</f>
        <v>-30000</v>
      </c>
      <c r="E3992" t="str">
        <f>IFERROR(__xludf.DUMMYFUNCTION("""COMPUTED_VALUE"""),"Ben代墊")</f>
        <v>Ben代墊</v>
      </c>
      <c r="G3992" t="str">
        <f>IFERROR(__xludf.DUMMYFUNCTION("""COMPUTED_VALUE"""),"內湖秘境")</f>
        <v>內湖秘境</v>
      </c>
      <c r="H3992" s="106" t="str">
        <f t="shared" si="1"/>
        <v>2023-10</v>
      </c>
      <c r="I3992" s="271" t="str">
        <f>IFERROR(__xludf.DUMMYFUNCTION("""COMPUTED_VALUE"""),"鯰魚大大")</f>
        <v>鯰魚大大</v>
      </c>
      <c r="J3992" t="str">
        <f>IFERROR(__xludf.DUMMYFUNCTION("IFS(
  AND(REGEXMATCH(E3992, ""台銀籌備帳戶|玉山帳戶""), REGEXMATCH(C3992, ""薪資"")), ""分潤支出"",
  AND(REGEXMATCH(E3992, ""Ben帳戶|Elsa帳戶|Ben代墊|Ariel代墊|中信銀行共用""), REGEXMATCH(F3992, ""Ben帳戶|Elsa帳戶|Ben代墊|Ariel代墊|中信銀行共用"")), ""內部轉帳(忽略)"",
  AND(E3992&lt;&gt;"""", F3992&lt;&gt;"""", N"&amp;"OT(REGEXMATCH(C3992, ""薪資""))), ""內部轉帳(忽略)"",
  REGEXMATCH(C3992, ""薪資""), ""薪資變動(不計入)"",
  REGEXMATCH(C3992, ""押金""), ""押金往來"",
  AND(E3992&lt;&gt;"""", F3992=""""), ""真實支出"",
  AND(E3992="""", F3992&lt;&gt;""""), ""真實收入"",
  TRUE, ""其他""
)"),"真實支出")</f>
        <v>真實支出</v>
      </c>
      <c r="K3992" s="270">
        <f t="shared" si="2"/>
        <v>-30000</v>
      </c>
      <c r="L3992">
        <f t="shared" si="3"/>
        <v>0</v>
      </c>
    </row>
    <row r="3993">
      <c r="A3993" s="107">
        <f>IFERROR(__xludf.DUMMYFUNCTION("""COMPUTED_VALUE"""),45210.0)</f>
        <v>45210</v>
      </c>
      <c r="B3993" t="str">
        <f>IFERROR(__xludf.DUMMYFUNCTION("""COMPUTED_VALUE"""),"床墊床架床頭板 (Assari)")</f>
        <v>床墊床架床頭板 (Assari)</v>
      </c>
      <c r="C3993" t="str">
        <f>IFERROR(__xludf.DUMMYFUNCTION("""COMPUTED_VALUE"""),"成本 - 進場前裝潢費")</f>
        <v>成本 - 進場前裝潢費</v>
      </c>
      <c r="D3993" s="270">
        <f>IFERROR(__xludf.DUMMYFUNCTION("""COMPUTED_VALUE"""),-61974.0)</f>
        <v>-61974</v>
      </c>
      <c r="E3993" t="str">
        <f>IFERROR(__xludf.DUMMYFUNCTION("""COMPUTED_VALUE"""),"Ariel代墊")</f>
        <v>Ariel代墊</v>
      </c>
      <c r="G3993" t="str">
        <f>IFERROR(__xludf.DUMMYFUNCTION("""COMPUTED_VALUE"""),"內湖秘境")</f>
        <v>內湖秘境</v>
      </c>
      <c r="H3993" s="106" t="str">
        <f t="shared" si="1"/>
        <v>2023-10</v>
      </c>
      <c r="I3993" s="271" t="str">
        <f>IFERROR(__xludf.DUMMYFUNCTION("""COMPUTED_VALUE"""),"鯰魚大大")</f>
        <v>鯰魚大大</v>
      </c>
      <c r="J3993" t="str">
        <f>IFERROR(__xludf.DUMMYFUNCTION("IFS(
  AND(REGEXMATCH(E3993, ""台銀籌備帳戶|玉山帳戶""), REGEXMATCH(C3993, ""薪資"")), ""分潤支出"",
  AND(REGEXMATCH(E3993, ""Ben帳戶|Elsa帳戶|Ben代墊|Ariel代墊|中信銀行共用""), REGEXMATCH(F3993, ""Ben帳戶|Elsa帳戶|Ben代墊|Ariel代墊|中信銀行共用"")), ""內部轉帳(忽略)"",
  AND(E3993&lt;&gt;"""", F3993&lt;&gt;"""", N"&amp;"OT(REGEXMATCH(C3993, ""薪資""))), ""內部轉帳(忽略)"",
  REGEXMATCH(C3993, ""薪資""), ""薪資變動(不計入)"",
  REGEXMATCH(C3993, ""押金""), ""押金往來"",
  AND(E3993&lt;&gt;"""", F3993=""""), ""真實支出"",
  AND(E3993="""", F3993&lt;&gt;""""), ""真實收入"",
  TRUE, ""其他""
)"),"真實支出")</f>
        <v>真實支出</v>
      </c>
      <c r="K3993" s="270">
        <f t="shared" si="2"/>
        <v>-61974</v>
      </c>
      <c r="L3993">
        <f t="shared" si="3"/>
        <v>0</v>
      </c>
    </row>
    <row r="3994">
      <c r="A3994" s="107">
        <f>IFERROR(__xludf.DUMMYFUNCTION("""COMPUTED_VALUE"""),45209.0)</f>
        <v>45209</v>
      </c>
      <c r="B3994" t="str">
        <f>IFERROR(__xludf.DUMMYFUNCTION("""COMPUTED_VALUE"""),"IKEA_軟裝(花瓶+夜燈)")</f>
        <v>IKEA_軟裝(花瓶+夜燈)</v>
      </c>
      <c r="C3994" t="str">
        <f>IFERROR(__xludf.DUMMYFUNCTION("""COMPUTED_VALUE"""),"成本 - 進場前裝潢費")</f>
        <v>成本 - 進場前裝潢費</v>
      </c>
      <c r="D3994" s="270">
        <f>IFERROR(__xludf.DUMMYFUNCTION("""COMPUTED_VALUE"""),-268.0)</f>
        <v>-268</v>
      </c>
      <c r="E3994" t="str">
        <f>IFERROR(__xludf.DUMMYFUNCTION("""COMPUTED_VALUE"""),"Ariel代墊")</f>
        <v>Ariel代墊</v>
      </c>
      <c r="G3994" t="str">
        <f>IFERROR(__xludf.DUMMYFUNCTION("""COMPUTED_VALUE"""),"內湖秘境")</f>
        <v>內湖秘境</v>
      </c>
      <c r="H3994" s="106" t="str">
        <f t="shared" si="1"/>
        <v>2023-10</v>
      </c>
      <c r="I3994" s="271" t="str">
        <f>IFERROR(__xludf.DUMMYFUNCTION("""COMPUTED_VALUE"""),"鯰魚大大")</f>
        <v>鯰魚大大</v>
      </c>
      <c r="J3994" t="str">
        <f>IFERROR(__xludf.DUMMYFUNCTION("IFS(
  AND(REGEXMATCH(E3994, ""台銀籌備帳戶|玉山帳戶""), REGEXMATCH(C3994, ""薪資"")), ""分潤支出"",
  AND(REGEXMATCH(E3994, ""Ben帳戶|Elsa帳戶|Ben代墊|Ariel代墊|中信銀行共用""), REGEXMATCH(F3994, ""Ben帳戶|Elsa帳戶|Ben代墊|Ariel代墊|中信銀行共用"")), ""內部轉帳(忽略)"",
  AND(E3994&lt;&gt;"""", F3994&lt;&gt;"""", N"&amp;"OT(REGEXMATCH(C3994, ""薪資""))), ""內部轉帳(忽略)"",
  REGEXMATCH(C3994, ""薪資""), ""薪資變動(不計入)"",
  REGEXMATCH(C3994, ""押金""), ""押金往來"",
  AND(E3994&lt;&gt;"""", F3994=""""), ""真實支出"",
  AND(E3994="""", F3994&lt;&gt;""""), ""真實收入"",
  TRUE, ""其他""
)"),"真實支出")</f>
        <v>真實支出</v>
      </c>
      <c r="K3994" s="270">
        <f t="shared" si="2"/>
        <v>-268</v>
      </c>
      <c r="L3994">
        <f t="shared" si="3"/>
        <v>0</v>
      </c>
    </row>
    <row r="3995">
      <c r="A3995" s="107">
        <f>IFERROR(__xludf.DUMMYFUNCTION("""COMPUTED_VALUE"""),45205.0)</f>
        <v>45205</v>
      </c>
      <c r="B3995" t="str">
        <f>IFERROR(__xludf.DUMMYFUNCTION("""COMPUTED_VALUE"""),"送禮_Caffaina餅乾禮盒")</f>
        <v>送禮_Caffaina餅乾禮盒</v>
      </c>
      <c r="C3995" t="str">
        <f>IFERROR(__xludf.DUMMYFUNCTION("""COMPUTED_VALUE"""),"費用 - 餐飲")</f>
        <v>費用 - 餐飲</v>
      </c>
      <c r="D3995" s="270">
        <f>IFERROR(__xludf.DUMMYFUNCTION("""COMPUTED_VALUE"""),-765.0)</f>
        <v>-765</v>
      </c>
      <c r="E3995" t="str">
        <f>IFERROR(__xludf.DUMMYFUNCTION("""COMPUTED_VALUE"""),"Ariel代墊")</f>
        <v>Ariel代墊</v>
      </c>
      <c r="G3995" t="str">
        <f>IFERROR(__xludf.DUMMYFUNCTION("""COMPUTED_VALUE"""),"內湖秘境")</f>
        <v>內湖秘境</v>
      </c>
      <c r="H3995" s="106" t="str">
        <f t="shared" si="1"/>
        <v>2023-10</v>
      </c>
      <c r="I3995" s="271" t="str">
        <f>IFERROR(__xludf.DUMMYFUNCTION("""COMPUTED_VALUE"""),"鯰魚大大")</f>
        <v>鯰魚大大</v>
      </c>
      <c r="J3995" t="str">
        <f>IFERROR(__xludf.DUMMYFUNCTION("IFS(
  AND(REGEXMATCH(E3995, ""台銀籌備帳戶|玉山帳戶""), REGEXMATCH(C3995, ""薪資"")), ""分潤支出"",
  AND(REGEXMATCH(E3995, ""Ben帳戶|Elsa帳戶|Ben代墊|Ariel代墊|中信銀行共用""), REGEXMATCH(F3995, ""Ben帳戶|Elsa帳戶|Ben代墊|Ariel代墊|中信銀行共用"")), ""內部轉帳(忽略)"",
  AND(E3995&lt;&gt;"""", F3995&lt;&gt;"""", N"&amp;"OT(REGEXMATCH(C3995, ""薪資""))), ""內部轉帳(忽略)"",
  REGEXMATCH(C3995, ""薪資""), ""薪資變動(不計入)"",
  REGEXMATCH(C3995, ""押金""), ""押金往來"",
  AND(E3995&lt;&gt;"""", F3995=""""), ""真實支出"",
  AND(E3995="""", F3995&lt;&gt;""""), ""真實收入"",
  TRUE, ""其他""
)"),"真實支出")</f>
        <v>真實支出</v>
      </c>
      <c r="K3995" s="270">
        <f t="shared" si="2"/>
        <v>-765</v>
      </c>
      <c r="L3995">
        <f t="shared" si="3"/>
        <v>0</v>
      </c>
    </row>
    <row r="3996">
      <c r="A3996" s="107">
        <f>IFERROR(__xludf.DUMMYFUNCTION("""COMPUTED_VALUE"""),45196.0)</f>
        <v>45196</v>
      </c>
      <c r="B3996" t="str">
        <f>IFERROR(__xludf.DUMMYFUNCTION("""COMPUTED_VALUE"""),"送禮_Caffaina餅乾禮盒")</f>
        <v>送禮_Caffaina餅乾禮盒</v>
      </c>
      <c r="C3996" t="str">
        <f>IFERROR(__xludf.DUMMYFUNCTION("""COMPUTED_VALUE"""),"費用 - 餐飲")</f>
        <v>費用 - 餐飲</v>
      </c>
      <c r="D3996" s="270">
        <f>IFERROR(__xludf.DUMMYFUNCTION("""COMPUTED_VALUE"""),-810.0)</f>
        <v>-810</v>
      </c>
      <c r="E3996" t="str">
        <f>IFERROR(__xludf.DUMMYFUNCTION("""COMPUTED_VALUE"""),"Ariel代墊")</f>
        <v>Ariel代墊</v>
      </c>
      <c r="G3996" t="str">
        <f>IFERROR(__xludf.DUMMYFUNCTION("""COMPUTED_VALUE"""),"內湖秘境")</f>
        <v>內湖秘境</v>
      </c>
      <c r="H3996" s="106" t="str">
        <f t="shared" si="1"/>
        <v>2023-09</v>
      </c>
      <c r="I3996" s="271" t="str">
        <f>IFERROR(__xludf.DUMMYFUNCTION("""COMPUTED_VALUE"""),"鯰魚大大")</f>
        <v>鯰魚大大</v>
      </c>
      <c r="J3996" t="str">
        <f>IFERROR(__xludf.DUMMYFUNCTION("IFS(
  AND(REGEXMATCH(E3996, ""台銀籌備帳戶|玉山帳戶""), REGEXMATCH(C3996, ""薪資"")), ""分潤支出"",
  AND(REGEXMATCH(E3996, ""Ben帳戶|Elsa帳戶|Ben代墊|Ariel代墊|中信銀行共用""), REGEXMATCH(F3996, ""Ben帳戶|Elsa帳戶|Ben代墊|Ariel代墊|中信銀行共用"")), ""內部轉帳(忽略)"",
  AND(E3996&lt;&gt;"""", F3996&lt;&gt;"""", N"&amp;"OT(REGEXMATCH(C3996, ""薪資""))), ""內部轉帳(忽略)"",
  REGEXMATCH(C3996, ""薪資""), ""薪資變動(不計入)"",
  REGEXMATCH(C3996, ""押金""), ""押金往來"",
  AND(E3996&lt;&gt;"""", F3996=""""), ""真實支出"",
  AND(E3996="""", F3996&lt;&gt;""""), ""真實收入"",
  TRUE, ""其他""
)"),"真實支出")</f>
        <v>真實支出</v>
      </c>
      <c r="K3996" s="270">
        <f t="shared" si="2"/>
        <v>-810</v>
      </c>
      <c r="L3996">
        <f t="shared" si="3"/>
        <v>0</v>
      </c>
    </row>
    <row r="3997">
      <c r="A3997" s="107">
        <f>IFERROR(__xludf.DUMMYFUNCTION("""COMPUTED_VALUE"""),45198.0)</f>
        <v>45198</v>
      </c>
      <c r="B3997" t="str">
        <f>IFERROR(__xludf.DUMMYFUNCTION("""COMPUTED_VALUE"""),"送禮_Caffaina餅乾禮盒")</f>
        <v>送禮_Caffaina餅乾禮盒</v>
      </c>
      <c r="C3997" t="str">
        <f>IFERROR(__xludf.DUMMYFUNCTION("""COMPUTED_VALUE"""),"費用 - 餐飲")</f>
        <v>費用 - 餐飲</v>
      </c>
      <c r="D3997" s="270">
        <f>IFERROR(__xludf.DUMMYFUNCTION("""COMPUTED_VALUE"""),-1890.0)</f>
        <v>-1890</v>
      </c>
      <c r="E3997" t="str">
        <f>IFERROR(__xludf.DUMMYFUNCTION("""COMPUTED_VALUE"""),"Ariel代墊")</f>
        <v>Ariel代墊</v>
      </c>
      <c r="G3997" t="str">
        <f>IFERROR(__xludf.DUMMYFUNCTION("""COMPUTED_VALUE"""),"內湖秘境")</f>
        <v>內湖秘境</v>
      </c>
      <c r="H3997" s="106" t="str">
        <f t="shared" si="1"/>
        <v>2023-09</v>
      </c>
      <c r="I3997" s="271" t="str">
        <f>IFERROR(__xludf.DUMMYFUNCTION("""COMPUTED_VALUE"""),"鯰魚大大")</f>
        <v>鯰魚大大</v>
      </c>
      <c r="J3997" t="str">
        <f>IFERROR(__xludf.DUMMYFUNCTION("IFS(
  AND(REGEXMATCH(E3997, ""台銀籌備帳戶|玉山帳戶""), REGEXMATCH(C3997, ""薪資"")), ""分潤支出"",
  AND(REGEXMATCH(E3997, ""Ben帳戶|Elsa帳戶|Ben代墊|Ariel代墊|中信銀行共用""), REGEXMATCH(F3997, ""Ben帳戶|Elsa帳戶|Ben代墊|Ariel代墊|中信銀行共用"")), ""內部轉帳(忽略)"",
  AND(E3997&lt;&gt;"""", F3997&lt;&gt;"""", N"&amp;"OT(REGEXMATCH(C3997, ""薪資""))), ""內部轉帳(忽略)"",
  REGEXMATCH(C3997, ""薪資""), ""薪資變動(不計入)"",
  REGEXMATCH(C3997, ""押金""), ""押金往來"",
  AND(E3997&lt;&gt;"""", F3997=""""), ""真實支出"",
  AND(E3997="""", F3997&lt;&gt;""""), ""真實收入"",
  TRUE, ""其他""
)"),"真實支出")</f>
        <v>真實支出</v>
      </c>
      <c r="K3997" s="270">
        <f t="shared" si="2"/>
        <v>-1890</v>
      </c>
      <c r="L3997">
        <f t="shared" si="3"/>
        <v>0</v>
      </c>
    </row>
    <row r="3998">
      <c r="A3998" s="107">
        <f>IFERROR(__xludf.DUMMYFUNCTION("""COMPUTED_VALUE"""),45192.0)</f>
        <v>45192</v>
      </c>
      <c r="B3998" t="str">
        <f>IFERROR(__xludf.DUMMYFUNCTION("""COMPUTED_VALUE"""),"餐敘with Ariel (BeApe)")</f>
        <v>餐敘with Ariel (BeApe)</v>
      </c>
      <c r="C3998" t="str">
        <f>IFERROR(__xludf.DUMMYFUNCTION("""COMPUTED_VALUE"""),"費用 - 餐飲")</f>
        <v>費用 - 餐飲</v>
      </c>
      <c r="D3998" s="270">
        <f>IFERROR(__xludf.DUMMYFUNCTION("""COMPUTED_VALUE"""),-4807.0)</f>
        <v>-4807</v>
      </c>
      <c r="E3998" t="str">
        <f>IFERROR(__xludf.DUMMYFUNCTION("""COMPUTED_VALUE"""),"Ben代墊")</f>
        <v>Ben代墊</v>
      </c>
      <c r="G3998" t="str">
        <f>IFERROR(__xludf.DUMMYFUNCTION("""COMPUTED_VALUE"""),"內湖秘境")</f>
        <v>內湖秘境</v>
      </c>
      <c r="H3998" s="106" t="str">
        <f t="shared" si="1"/>
        <v>2023-09</v>
      </c>
      <c r="I3998" s="271" t="str">
        <f>IFERROR(__xludf.DUMMYFUNCTION("""COMPUTED_VALUE"""),"鯰魚大大")</f>
        <v>鯰魚大大</v>
      </c>
      <c r="J3998" t="str">
        <f>IFERROR(__xludf.DUMMYFUNCTION("IFS(
  AND(REGEXMATCH(E3998, ""台銀籌備帳戶|玉山帳戶""), REGEXMATCH(C3998, ""薪資"")), ""分潤支出"",
  AND(REGEXMATCH(E3998, ""Ben帳戶|Elsa帳戶|Ben代墊|Ariel代墊|中信銀行共用""), REGEXMATCH(F3998, ""Ben帳戶|Elsa帳戶|Ben代墊|Ariel代墊|中信銀行共用"")), ""內部轉帳(忽略)"",
  AND(E3998&lt;&gt;"""", F3998&lt;&gt;"""", N"&amp;"OT(REGEXMATCH(C3998, ""薪資""))), ""內部轉帳(忽略)"",
  REGEXMATCH(C3998, ""薪資""), ""薪資變動(不計入)"",
  REGEXMATCH(C3998, ""押金""), ""押金往來"",
  AND(E3998&lt;&gt;"""", F3998=""""), ""真實支出"",
  AND(E3998="""", F3998&lt;&gt;""""), ""真實收入"",
  TRUE, ""其他""
)"),"真實支出")</f>
        <v>真實支出</v>
      </c>
      <c r="K3998" s="270">
        <f t="shared" si="2"/>
        <v>-4807</v>
      </c>
      <c r="L3998">
        <f t="shared" si="3"/>
        <v>0</v>
      </c>
    </row>
    <row r="3999">
      <c r="A3999" s="107">
        <f>IFERROR(__xludf.DUMMYFUNCTION("""COMPUTED_VALUE"""),45210.0)</f>
        <v>45210</v>
      </c>
      <c r="B3999" t="str">
        <f>IFERROR(__xludf.DUMMYFUNCTION("""COMPUTED_VALUE"""),"餐敘with Ariel (爭鮮)")</f>
        <v>餐敘with Ariel (爭鮮)</v>
      </c>
      <c r="C3999" t="str">
        <f>IFERROR(__xludf.DUMMYFUNCTION("""COMPUTED_VALUE"""),"費用 - 餐飲")</f>
        <v>費用 - 餐飲</v>
      </c>
      <c r="D3999" s="270">
        <f>IFERROR(__xludf.DUMMYFUNCTION("""COMPUTED_VALUE"""),-240.0)</f>
        <v>-240</v>
      </c>
      <c r="E3999" t="str">
        <f>IFERROR(__xludf.DUMMYFUNCTION("""COMPUTED_VALUE"""),"Ariel代墊")</f>
        <v>Ariel代墊</v>
      </c>
      <c r="G3999" t="str">
        <f>IFERROR(__xludf.DUMMYFUNCTION("""COMPUTED_VALUE"""),"內湖秘境")</f>
        <v>內湖秘境</v>
      </c>
      <c r="H3999" s="106" t="str">
        <f t="shared" si="1"/>
        <v>2023-10</v>
      </c>
      <c r="I3999" s="271" t="str">
        <f>IFERROR(__xludf.DUMMYFUNCTION("""COMPUTED_VALUE"""),"鯰魚大大")</f>
        <v>鯰魚大大</v>
      </c>
      <c r="J3999" t="str">
        <f>IFERROR(__xludf.DUMMYFUNCTION("IFS(
  AND(REGEXMATCH(E3999, ""台銀籌備帳戶|玉山帳戶""), REGEXMATCH(C3999, ""薪資"")), ""分潤支出"",
  AND(REGEXMATCH(E3999, ""Ben帳戶|Elsa帳戶|Ben代墊|Ariel代墊|中信銀行共用""), REGEXMATCH(F3999, ""Ben帳戶|Elsa帳戶|Ben代墊|Ariel代墊|中信銀行共用"")), ""內部轉帳(忽略)"",
  AND(E3999&lt;&gt;"""", F3999&lt;&gt;"""", N"&amp;"OT(REGEXMATCH(C3999, ""薪資""))), ""內部轉帳(忽略)"",
  REGEXMATCH(C3999, ""薪資""), ""薪資變動(不計入)"",
  REGEXMATCH(C3999, ""押金""), ""押金往來"",
  AND(E3999&lt;&gt;"""", F3999=""""), ""真實支出"",
  AND(E3999="""", F3999&lt;&gt;""""), ""真實收入"",
  TRUE, ""其他""
)"),"真實支出")</f>
        <v>真實支出</v>
      </c>
      <c r="K3999" s="270">
        <f t="shared" si="2"/>
        <v>-240</v>
      </c>
      <c r="L3999">
        <f t="shared" si="3"/>
        <v>0</v>
      </c>
    </row>
    <row r="4000">
      <c r="A4000" s="107">
        <f>IFERROR(__xludf.DUMMYFUNCTION("""COMPUTED_VALUE"""),45196.0)</f>
        <v>45196</v>
      </c>
      <c r="B4000" t="str">
        <f>IFERROR(__xludf.DUMMYFUNCTION("""COMPUTED_VALUE"""),"送禮_Ice Up 樂罐冰淇淋")</f>
        <v>送禮_Ice Up 樂罐冰淇淋</v>
      </c>
      <c r="C4000" t="str">
        <f>IFERROR(__xludf.DUMMYFUNCTION("""COMPUTED_VALUE"""),"費用 - 餐飲")</f>
        <v>費用 - 餐飲</v>
      </c>
      <c r="D4000" s="270">
        <f>IFERROR(__xludf.DUMMYFUNCTION("""COMPUTED_VALUE"""),-1998.0)</f>
        <v>-1998</v>
      </c>
      <c r="E4000" t="str">
        <f>IFERROR(__xludf.DUMMYFUNCTION("""COMPUTED_VALUE"""),"Ariel代墊")</f>
        <v>Ariel代墊</v>
      </c>
      <c r="G4000" t="str">
        <f>IFERROR(__xludf.DUMMYFUNCTION("""COMPUTED_VALUE"""),"內湖秘境")</f>
        <v>內湖秘境</v>
      </c>
      <c r="H4000" s="106" t="str">
        <f t="shared" si="1"/>
        <v>2023-09</v>
      </c>
      <c r="I4000" s="271" t="str">
        <f>IFERROR(__xludf.DUMMYFUNCTION("""COMPUTED_VALUE"""),"鯰魚大大")</f>
        <v>鯰魚大大</v>
      </c>
      <c r="J4000" t="str">
        <f>IFERROR(__xludf.DUMMYFUNCTION("IFS(
  AND(REGEXMATCH(E4000, ""台銀籌備帳戶|玉山帳戶""), REGEXMATCH(C4000, ""薪資"")), ""分潤支出"",
  AND(REGEXMATCH(E4000, ""Ben帳戶|Elsa帳戶|Ben代墊|Ariel代墊|中信銀行共用""), REGEXMATCH(F4000, ""Ben帳戶|Elsa帳戶|Ben代墊|Ariel代墊|中信銀行共用"")), ""內部轉帳(忽略)"",
  AND(E4000&lt;&gt;"""", F4000&lt;&gt;"""", N"&amp;"OT(REGEXMATCH(C4000, ""薪資""))), ""內部轉帳(忽略)"",
  REGEXMATCH(C4000, ""薪資""), ""薪資變動(不計入)"",
  REGEXMATCH(C4000, ""押金""), ""押金往來"",
  AND(E4000&lt;&gt;"""", F4000=""""), ""真實支出"",
  AND(E4000="""", F4000&lt;&gt;""""), ""真實收入"",
  TRUE, ""其他""
)"),"真實支出")</f>
        <v>真實支出</v>
      </c>
      <c r="K4000" s="270">
        <f t="shared" si="2"/>
        <v>-1998</v>
      </c>
      <c r="L4000">
        <f t="shared" si="3"/>
        <v>0</v>
      </c>
    </row>
    <row r="4001">
      <c r="A4001" s="107">
        <f>IFERROR(__xludf.DUMMYFUNCTION("""COMPUTED_VALUE"""),45204.0)</f>
        <v>45204</v>
      </c>
      <c r="B4001" t="str">
        <f>IFERROR(__xludf.DUMMYFUNCTION("""COMPUTED_VALUE"""),"燈具_LED崁燈_Joya Led")</f>
        <v>燈具_LED崁燈_Joya Led</v>
      </c>
      <c r="C4001" t="str">
        <f>IFERROR(__xludf.DUMMYFUNCTION("""COMPUTED_VALUE"""),"成本 - 進場前裝潢費")</f>
        <v>成本 - 進場前裝潢費</v>
      </c>
      <c r="D4001" s="270">
        <f>IFERROR(__xludf.DUMMYFUNCTION("""COMPUTED_VALUE"""),-3010.0)</f>
        <v>-3010</v>
      </c>
      <c r="E4001" t="str">
        <f>IFERROR(__xludf.DUMMYFUNCTION("""COMPUTED_VALUE"""),"Ariel代墊")</f>
        <v>Ariel代墊</v>
      </c>
      <c r="G4001" t="str">
        <f>IFERROR(__xludf.DUMMYFUNCTION("""COMPUTED_VALUE"""),"內湖秘境")</f>
        <v>內湖秘境</v>
      </c>
      <c r="H4001" s="106" t="str">
        <f t="shared" si="1"/>
        <v>2023-10</v>
      </c>
      <c r="I4001" s="271" t="str">
        <f>IFERROR(__xludf.DUMMYFUNCTION("""COMPUTED_VALUE"""),"鯰魚大大")</f>
        <v>鯰魚大大</v>
      </c>
      <c r="J4001" t="str">
        <f>IFERROR(__xludf.DUMMYFUNCTION("IFS(
  AND(REGEXMATCH(E4001, ""台銀籌備帳戶|玉山帳戶""), REGEXMATCH(C4001, ""薪資"")), ""分潤支出"",
  AND(REGEXMATCH(E4001, ""Ben帳戶|Elsa帳戶|Ben代墊|Ariel代墊|中信銀行共用""), REGEXMATCH(F4001, ""Ben帳戶|Elsa帳戶|Ben代墊|Ariel代墊|中信銀行共用"")), ""內部轉帳(忽略)"",
  AND(E4001&lt;&gt;"""", F4001&lt;&gt;"""", N"&amp;"OT(REGEXMATCH(C4001, ""薪資""))), ""內部轉帳(忽略)"",
  REGEXMATCH(C4001, ""薪資""), ""薪資變動(不計入)"",
  REGEXMATCH(C4001, ""押金""), ""押金往來"",
  AND(E4001&lt;&gt;"""", F4001=""""), ""真實支出"",
  AND(E4001="""", F4001&lt;&gt;""""), ""真實收入"",
  TRUE, ""其他""
)"),"真實支出")</f>
        <v>真實支出</v>
      </c>
      <c r="K4001" s="270">
        <f t="shared" si="2"/>
        <v>-3010</v>
      </c>
      <c r="L4001">
        <f t="shared" si="3"/>
        <v>0</v>
      </c>
    </row>
    <row r="4002">
      <c r="A4002" s="107">
        <f>IFERROR(__xludf.DUMMYFUNCTION("""COMPUTED_VALUE"""),45211.0)</f>
        <v>45211</v>
      </c>
      <c r="B4002" t="str">
        <f>IFERROR(__xludf.DUMMYFUNCTION("""COMPUTED_VALUE"""),"廁所輕鋼架天花板塑膠片")</f>
        <v>廁所輕鋼架天花板塑膠片</v>
      </c>
      <c r="C4002" t="str">
        <f>IFERROR(__xludf.DUMMYFUNCTION("""COMPUTED_VALUE"""),"成本 - 進場前裝潢費")</f>
        <v>成本 - 進場前裝潢費</v>
      </c>
      <c r="D4002" s="270">
        <f>IFERROR(__xludf.DUMMYFUNCTION("""COMPUTED_VALUE"""),-3272.0)</f>
        <v>-3272</v>
      </c>
      <c r="E4002" t="str">
        <f>IFERROR(__xludf.DUMMYFUNCTION("""COMPUTED_VALUE"""),"Ariel代墊")</f>
        <v>Ariel代墊</v>
      </c>
      <c r="G4002" t="str">
        <f>IFERROR(__xludf.DUMMYFUNCTION("""COMPUTED_VALUE"""),"內湖秘境")</f>
        <v>內湖秘境</v>
      </c>
      <c r="H4002" s="106" t="str">
        <f t="shared" si="1"/>
        <v>2023-10</v>
      </c>
      <c r="I4002" s="271" t="str">
        <f>IFERROR(__xludf.DUMMYFUNCTION("""COMPUTED_VALUE"""),"鯰魚大大")</f>
        <v>鯰魚大大</v>
      </c>
      <c r="J4002" t="str">
        <f>IFERROR(__xludf.DUMMYFUNCTION("IFS(
  AND(REGEXMATCH(E4002, ""台銀籌備帳戶|玉山帳戶""), REGEXMATCH(C4002, ""薪資"")), ""分潤支出"",
  AND(REGEXMATCH(E4002, ""Ben帳戶|Elsa帳戶|Ben代墊|Ariel代墊|中信銀行共用""), REGEXMATCH(F4002, ""Ben帳戶|Elsa帳戶|Ben代墊|Ariel代墊|中信銀行共用"")), ""內部轉帳(忽略)"",
  AND(E4002&lt;&gt;"""", F4002&lt;&gt;"""", N"&amp;"OT(REGEXMATCH(C4002, ""薪資""))), ""內部轉帳(忽略)"",
  REGEXMATCH(C4002, ""薪資""), ""薪資變動(不計入)"",
  REGEXMATCH(C4002, ""押金""), ""押金往來"",
  AND(E4002&lt;&gt;"""", F4002=""""), ""真實支出"",
  AND(E4002="""", F4002&lt;&gt;""""), ""真實收入"",
  TRUE, ""其他""
)"),"真實支出")</f>
        <v>真實支出</v>
      </c>
      <c r="K4002" s="270">
        <f t="shared" si="2"/>
        <v>-3272</v>
      </c>
      <c r="L4002">
        <f t="shared" si="3"/>
        <v>0</v>
      </c>
    </row>
    <row r="4003">
      <c r="A4003" s="107">
        <f>IFERROR(__xludf.DUMMYFUNCTION("""COMPUTED_VALUE"""),45211.0)</f>
        <v>45211</v>
      </c>
      <c r="B4003" t="str">
        <f>IFERROR(__xludf.DUMMYFUNCTION("""COMPUTED_VALUE"""),"蝦皮_房間椅子")</f>
        <v>蝦皮_房間椅子</v>
      </c>
      <c r="C4003" t="str">
        <f>IFERROR(__xludf.DUMMYFUNCTION("""COMPUTED_VALUE"""),"成本 - 進場前裝潢費")</f>
        <v>成本 - 進場前裝潢費</v>
      </c>
      <c r="D4003" s="270">
        <f>IFERROR(__xludf.DUMMYFUNCTION("""COMPUTED_VALUE"""),-11203.0)</f>
        <v>-11203</v>
      </c>
      <c r="E4003" t="str">
        <f>IFERROR(__xludf.DUMMYFUNCTION("""COMPUTED_VALUE"""),"Ariel代墊")</f>
        <v>Ariel代墊</v>
      </c>
      <c r="G4003" t="str">
        <f>IFERROR(__xludf.DUMMYFUNCTION("""COMPUTED_VALUE"""),"內湖秘境")</f>
        <v>內湖秘境</v>
      </c>
      <c r="H4003" s="106" t="str">
        <f t="shared" si="1"/>
        <v>2023-10</v>
      </c>
      <c r="I4003" s="271" t="str">
        <f>IFERROR(__xludf.DUMMYFUNCTION("""COMPUTED_VALUE"""),"鯰魚大大")</f>
        <v>鯰魚大大</v>
      </c>
      <c r="J4003" t="str">
        <f>IFERROR(__xludf.DUMMYFUNCTION("IFS(
  AND(REGEXMATCH(E4003, ""台銀籌備帳戶|玉山帳戶""), REGEXMATCH(C4003, ""薪資"")), ""分潤支出"",
  AND(REGEXMATCH(E4003, ""Ben帳戶|Elsa帳戶|Ben代墊|Ariel代墊|中信銀行共用""), REGEXMATCH(F4003, ""Ben帳戶|Elsa帳戶|Ben代墊|Ariel代墊|中信銀行共用"")), ""內部轉帳(忽略)"",
  AND(E4003&lt;&gt;"""", F4003&lt;&gt;"""", N"&amp;"OT(REGEXMATCH(C4003, ""薪資""))), ""內部轉帳(忽略)"",
  REGEXMATCH(C4003, ""薪資""), ""薪資變動(不計入)"",
  REGEXMATCH(C4003, ""押金""), ""押金往來"",
  AND(E4003&lt;&gt;"""", F4003=""""), ""真實支出"",
  AND(E4003="""", F4003&lt;&gt;""""), ""真實收入"",
  TRUE, ""其他""
)"),"真實支出")</f>
        <v>真實支出</v>
      </c>
      <c r="K4003" s="270">
        <f t="shared" si="2"/>
        <v>-11203</v>
      </c>
      <c r="L4003">
        <f t="shared" si="3"/>
        <v>0</v>
      </c>
    </row>
    <row r="4004">
      <c r="A4004" s="107">
        <f>IFERROR(__xludf.DUMMYFUNCTION("""COMPUTED_VALUE"""),45211.0)</f>
        <v>45211</v>
      </c>
      <c r="B4004" t="str">
        <f>IFERROR(__xludf.DUMMYFUNCTION("""COMPUTED_VALUE"""),"蝦皮_臥榻*3 餐椅*8")</f>
        <v>蝦皮_臥榻*3 餐椅*8</v>
      </c>
      <c r="C4004" t="str">
        <f>IFERROR(__xludf.DUMMYFUNCTION("""COMPUTED_VALUE"""),"成本 - 進場前裝潢費")</f>
        <v>成本 - 進場前裝潢費</v>
      </c>
      <c r="D4004" s="270">
        <f>IFERROR(__xludf.DUMMYFUNCTION("""COMPUTED_VALUE"""),-16131.0)</f>
        <v>-16131</v>
      </c>
      <c r="E4004" t="str">
        <f>IFERROR(__xludf.DUMMYFUNCTION("""COMPUTED_VALUE"""),"Ariel代墊")</f>
        <v>Ariel代墊</v>
      </c>
      <c r="G4004" t="str">
        <f>IFERROR(__xludf.DUMMYFUNCTION("""COMPUTED_VALUE"""),"內湖秘境")</f>
        <v>內湖秘境</v>
      </c>
      <c r="H4004" s="106" t="str">
        <f t="shared" si="1"/>
        <v>2023-10</v>
      </c>
      <c r="I4004" s="271" t="str">
        <f>IFERROR(__xludf.DUMMYFUNCTION("""COMPUTED_VALUE"""),"鯰魚大大")</f>
        <v>鯰魚大大</v>
      </c>
      <c r="J4004" t="str">
        <f>IFERROR(__xludf.DUMMYFUNCTION("IFS(
  AND(REGEXMATCH(E4004, ""台銀籌備帳戶|玉山帳戶""), REGEXMATCH(C4004, ""薪資"")), ""分潤支出"",
  AND(REGEXMATCH(E4004, ""Ben帳戶|Elsa帳戶|Ben代墊|Ariel代墊|中信銀行共用""), REGEXMATCH(F4004, ""Ben帳戶|Elsa帳戶|Ben代墊|Ariel代墊|中信銀行共用"")), ""內部轉帳(忽略)"",
  AND(E4004&lt;&gt;"""", F4004&lt;&gt;"""", N"&amp;"OT(REGEXMATCH(C4004, ""薪資""))), ""內部轉帳(忽略)"",
  REGEXMATCH(C4004, ""薪資""), ""薪資變動(不計入)"",
  REGEXMATCH(C4004, ""押金""), ""押金往來"",
  AND(E4004&lt;&gt;"""", F4004=""""), ""真實支出"",
  AND(E4004="""", F4004&lt;&gt;""""), ""真實收入"",
  TRUE, ""其他""
)"),"真實支出")</f>
        <v>真實支出</v>
      </c>
      <c r="K4004" s="270">
        <f t="shared" si="2"/>
        <v>-16131</v>
      </c>
      <c r="L4004">
        <f t="shared" si="3"/>
        <v>0</v>
      </c>
    </row>
    <row r="4005">
      <c r="A4005" s="107">
        <f>IFERROR(__xludf.DUMMYFUNCTION("""COMPUTED_VALUE"""),45211.0)</f>
        <v>45211</v>
      </c>
      <c r="B4005" t="str">
        <f>IFERROR(__xludf.DUMMYFUNCTION("""COMPUTED_VALUE"""),"蝦皮_浴室 壁架")</f>
        <v>蝦皮_浴室 壁架</v>
      </c>
      <c r="C4005" t="str">
        <f>IFERROR(__xludf.DUMMYFUNCTION("""COMPUTED_VALUE"""),"成本 - 進場前裝潢費")</f>
        <v>成本 - 進場前裝潢費</v>
      </c>
      <c r="D4005" s="270">
        <f>IFERROR(__xludf.DUMMYFUNCTION("""COMPUTED_VALUE"""),-2810.0)</f>
        <v>-2810</v>
      </c>
      <c r="E4005" t="str">
        <f>IFERROR(__xludf.DUMMYFUNCTION("""COMPUTED_VALUE"""),"Ariel代墊")</f>
        <v>Ariel代墊</v>
      </c>
      <c r="G4005" t="str">
        <f>IFERROR(__xludf.DUMMYFUNCTION("""COMPUTED_VALUE"""),"內湖秘境")</f>
        <v>內湖秘境</v>
      </c>
      <c r="H4005" s="106" t="str">
        <f t="shared" si="1"/>
        <v>2023-10</v>
      </c>
      <c r="I4005" s="271" t="str">
        <f>IFERROR(__xludf.DUMMYFUNCTION("""COMPUTED_VALUE"""),"鯰魚大大")</f>
        <v>鯰魚大大</v>
      </c>
      <c r="J4005" t="str">
        <f>IFERROR(__xludf.DUMMYFUNCTION("IFS(
  AND(REGEXMATCH(E4005, ""台銀籌備帳戶|玉山帳戶""), REGEXMATCH(C4005, ""薪資"")), ""分潤支出"",
  AND(REGEXMATCH(E4005, ""Ben帳戶|Elsa帳戶|Ben代墊|Ariel代墊|中信銀行共用""), REGEXMATCH(F4005, ""Ben帳戶|Elsa帳戶|Ben代墊|Ariel代墊|中信銀行共用"")), ""內部轉帳(忽略)"",
  AND(E4005&lt;&gt;"""", F4005&lt;&gt;"""", N"&amp;"OT(REGEXMATCH(C4005, ""薪資""))), ""內部轉帳(忽略)"",
  REGEXMATCH(C4005, ""薪資""), ""薪資變動(不計入)"",
  REGEXMATCH(C4005, ""押金""), ""押金往來"",
  AND(E4005&lt;&gt;"""", F4005=""""), ""真實支出"",
  AND(E4005="""", F4005&lt;&gt;""""), ""真實收入"",
  TRUE, ""其他""
)"),"真實支出")</f>
        <v>真實支出</v>
      </c>
      <c r="K4005" s="270">
        <f t="shared" si="2"/>
        <v>-2810</v>
      </c>
      <c r="L4005">
        <f t="shared" si="3"/>
        <v>0</v>
      </c>
    </row>
    <row r="4006">
      <c r="A4006" s="107">
        <f>IFERROR(__xludf.DUMMYFUNCTION("""COMPUTED_VALUE"""),45212.0)</f>
        <v>45212</v>
      </c>
      <c r="B4006" t="str">
        <f>IFERROR(__xludf.DUMMYFUNCTION("""COMPUTED_VALUE"""),"蝦皮_壁燈盒*3")</f>
        <v>蝦皮_壁燈盒*3</v>
      </c>
      <c r="C4006" t="str">
        <f>IFERROR(__xludf.DUMMYFUNCTION("""COMPUTED_VALUE"""),"成本 - 進場前裝潢費")</f>
        <v>成本 - 進場前裝潢費</v>
      </c>
      <c r="D4006" s="270">
        <f>IFERROR(__xludf.DUMMYFUNCTION("""COMPUTED_VALUE"""),-990.0)</f>
        <v>-990</v>
      </c>
      <c r="E4006" t="str">
        <f>IFERROR(__xludf.DUMMYFUNCTION("""COMPUTED_VALUE"""),"Ariel代墊")</f>
        <v>Ariel代墊</v>
      </c>
      <c r="G4006" t="str">
        <f>IFERROR(__xludf.DUMMYFUNCTION("""COMPUTED_VALUE"""),"內湖秘境")</f>
        <v>內湖秘境</v>
      </c>
      <c r="H4006" s="106" t="str">
        <f t="shared" si="1"/>
        <v>2023-10</v>
      </c>
      <c r="I4006" s="271" t="str">
        <f>IFERROR(__xludf.DUMMYFUNCTION("""COMPUTED_VALUE"""),"鯰魚大大")</f>
        <v>鯰魚大大</v>
      </c>
      <c r="J4006" t="str">
        <f>IFERROR(__xludf.DUMMYFUNCTION("IFS(
  AND(REGEXMATCH(E4006, ""台銀籌備帳戶|玉山帳戶""), REGEXMATCH(C4006, ""薪資"")), ""分潤支出"",
  AND(REGEXMATCH(E4006, ""Ben帳戶|Elsa帳戶|Ben代墊|Ariel代墊|中信銀行共用""), REGEXMATCH(F4006, ""Ben帳戶|Elsa帳戶|Ben代墊|Ariel代墊|中信銀行共用"")), ""內部轉帳(忽略)"",
  AND(E4006&lt;&gt;"""", F4006&lt;&gt;"""", N"&amp;"OT(REGEXMATCH(C4006, ""薪資""))), ""內部轉帳(忽略)"",
  REGEXMATCH(C4006, ""薪資""), ""薪資變動(不計入)"",
  REGEXMATCH(C4006, ""押金""), ""押金往來"",
  AND(E4006&lt;&gt;"""", F4006=""""), ""真實支出"",
  AND(E4006="""", F4006&lt;&gt;""""), ""真實收入"",
  TRUE, ""其他""
)"),"真實支出")</f>
        <v>真實支出</v>
      </c>
      <c r="K4006" s="270">
        <f t="shared" si="2"/>
        <v>-990</v>
      </c>
      <c r="L4006">
        <f t="shared" si="3"/>
        <v>0</v>
      </c>
    </row>
    <row r="4007">
      <c r="A4007" s="107">
        <f>IFERROR(__xludf.DUMMYFUNCTION("""COMPUTED_VALUE"""),45218.0)</f>
        <v>45218</v>
      </c>
      <c r="B4007" t="str">
        <f>IFERROR(__xludf.DUMMYFUNCTION("""COMPUTED_VALUE"""),"輕隔間 阿聖 內湖")</f>
        <v>輕隔間 阿聖 內湖</v>
      </c>
      <c r="C4007" t="str">
        <f>IFERROR(__xludf.DUMMYFUNCTION("""COMPUTED_VALUE"""),"成本 - 進場前裝潢費")</f>
        <v>成本 - 進場前裝潢費</v>
      </c>
      <c r="D4007" s="270">
        <f>IFERROR(__xludf.DUMMYFUNCTION("""COMPUTED_VALUE"""),-144375.0)</f>
        <v>-144375</v>
      </c>
      <c r="E4007" t="str">
        <f>IFERROR(__xludf.DUMMYFUNCTION("""COMPUTED_VALUE"""),"Ben代墊")</f>
        <v>Ben代墊</v>
      </c>
      <c r="G4007" t="str">
        <f>IFERROR(__xludf.DUMMYFUNCTION("""COMPUTED_VALUE"""),"內湖秘境")</f>
        <v>內湖秘境</v>
      </c>
      <c r="H4007" s="106" t="str">
        <f t="shared" si="1"/>
        <v>2023-10</v>
      </c>
      <c r="I4007" s="271" t="str">
        <f>IFERROR(__xludf.DUMMYFUNCTION("""COMPUTED_VALUE"""),"鯰魚大大")</f>
        <v>鯰魚大大</v>
      </c>
      <c r="J4007" t="str">
        <f>IFERROR(__xludf.DUMMYFUNCTION("IFS(
  AND(REGEXMATCH(E4007, ""台銀籌備帳戶|玉山帳戶""), REGEXMATCH(C4007, ""薪資"")), ""分潤支出"",
  AND(REGEXMATCH(E4007, ""Ben帳戶|Elsa帳戶|Ben代墊|Ariel代墊|中信銀行共用""), REGEXMATCH(F4007, ""Ben帳戶|Elsa帳戶|Ben代墊|Ariel代墊|中信銀行共用"")), ""內部轉帳(忽略)"",
  AND(E4007&lt;&gt;"""", F4007&lt;&gt;"""", N"&amp;"OT(REGEXMATCH(C4007, ""薪資""))), ""內部轉帳(忽略)"",
  REGEXMATCH(C4007, ""薪資""), ""薪資變動(不計入)"",
  REGEXMATCH(C4007, ""押金""), ""押金往來"",
  AND(E4007&lt;&gt;"""", F4007=""""), ""真實支出"",
  AND(E4007="""", F4007&lt;&gt;""""), ""真實收入"",
  TRUE, ""其他""
)"),"真實支出")</f>
        <v>真實支出</v>
      </c>
      <c r="K4007" s="270">
        <f t="shared" si="2"/>
        <v>-144375</v>
      </c>
      <c r="L4007">
        <f t="shared" si="3"/>
        <v>0</v>
      </c>
    </row>
    <row r="4008">
      <c r="A4008" s="107">
        <f>IFERROR(__xludf.DUMMYFUNCTION("""COMPUTED_VALUE"""),45213.0)</f>
        <v>45213</v>
      </c>
      <c r="B4008" t="str">
        <f>IFERROR(__xludf.DUMMYFUNCTION("""COMPUTED_VALUE"""),"油漆 內湖 呂師父")</f>
        <v>油漆 內湖 呂師父</v>
      </c>
      <c r="C4008" t="str">
        <f>IFERROR(__xludf.DUMMYFUNCTION("""COMPUTED_VALUE"""),"成本 - 進場前裝潢費")</f>
        <v>成本 - 進場前裝潢費</v>
      </c>
      <c r="D4008" s="270">
        <f>IFERROR(__xludf.DUMMYFUNCTION("""COMPUTED_VALUE"""),-69600.0)</f>
        <v>-69600</v>
      </c>
      <c r="E4008" t="str">
        <f>IFERROR(__xludf.DUMMYFUNCTION("""COMPUTED_VALUE"""),"Ben代墊")</f>
        <v>Ben代墊</v>
      </c>
      <c r="G4008" t="str">
        <f>IFERROR(__xludf.DUMMYFUNCTION("""COMPUTED_VALUE"""),"內湖秘境")</f>
        <v>內湖秘境</v>
      </c>
      <c r="H4008" s="106" t="str">
        <f t="shared" si="1"/>
        <v>2023-10</v>
      </c>
      <c r="I4008" s="271" t="str">
        <f>IFERROR(__xludf.DUMMYFUNCTION("""COMPUTED_VALUE"""),"鯰魚大大")</f>
        <v>鯰魚大大</v>
      </c>
      <c r="J4008" t="str">
        <f>IFERROR(__xludf.DUMMYFUNCTION("IFS(
  AND(REGEXMATCH(E4008, ""台銀籌備帳戶|玉山帳戶""), REGEXMATCH(C4008, ""薪資"")), ""分潤支出"",
  AND(REGEXMATCH(E4008, ""Ben帳戶|Elsa帳戶|Ben代墊|Ariel代墊|中信銀行共用""), REGEXMATCH(F4008, ""Ben帳戶|Elsa帳戶|Ben代墊|Ariel代墊|中信銀行共用"")), ""內部轉帳(忽略)"",
  AND(E4008&lt;&gt;"""", F4008&lt;&gt;"""", N"&amp;"OT(REGEXMATCH(C4008, ""薪資""))), ""內部轉帳(忽略)"",
  REGEXMATCH(C4008, ""薪資""), ""薪資變動(不計入)"",
  REGEXMATCH(C4008, ""押金""), ""押金往來"",
  AND(E4008&lt;&gt;"""", F4008=""""), ""真實支出"",
  AND(E4008="""", F4008&lt;&gt;""""), ""真實收入"",
  TRUE, ""其他""
)"),"真實支出")</f>
        <v>真實支出</v>
      </c>
      <c r="K4008" s="270">
        <f t="shared" si="2"/>
        <v>-69600</v>
      </c>
      <c r="L4008">
        <f t="shared" si="3"/>
        <v>0</v>
      </c>
    </row>
    <row r="4009">
      <c r="A4009" s="107">
        <f>IFERROR(__xludf.DUMMYFUNCTION("""COMPUTED_VALUE"""),45218.0)</f>
        <v>45218</v>
      </c>
      <c r="B4009" t="str">
        <f>IFERROR(__xludf.DUMMYFUNCTION("""COMPUTED_VALUE"""),"內湖 冷氣 楊師父")</f>
        <v>內湖 冷氣 楊師父</v>
      </c>
      <c r="C4009" t="str">
        <f>IFERROR(__xludf.DUMMYFUNCTION("""COMPUTED_VALUE"""),"成本 - 進場前裝潢費")</f>
        <v>成本 - 進場前裝潢費</v>
      </c>
      <c r="D4009" s="270">
        <f>IFERROR(__xludf.DUMMYFUNCTION("""COMPUTED_VALUE"""),-74500.0)</f>
        <v>-74500</v>
      </c>
      <c r="E4009" t="str">
        <f>IFERROR(__xludf.DUMMYFUNCTION("""COMPUTED_VALUE"""),"Ben代墊")</f>
        <v>Ben代墊</v>
      </c>
      <c r="G4009" t="str">
        <f>IFERROR(__xludf.DUMMYFUNCTION("""COMPUTED_VALUE"""),"內湖秘境")</f>
        <v>內湖秘境</v>
      </c>
      <c r="H4009" s="106" t="str">
        <f t="shared" si="1"/>
        <v>2023-10</v>
      </c>
      <c r="I4009" s="271" t="str">
        <f>IFERROR(__xludf.DUMMYFUNCTION("""COMPUTED_VALUE"""),"鯰魚大大")</f>
        <v>鯰魚大大</v>
      </c>
      <c r="J4009" t="str">
        <f>IFERROR(__xludf.DUMMYFUNCTION("IFS(
  AND(REGEXMATCH(E4009, ""台銀籌備帳戶|玉山帳戶""), REGEXMATCH(C4009, ""薪資"")), ""分潤支出"",
  AND(REGEXMATCH(E4009, ""Ben帳戶|Elsa帳戶|Ben代墊|Ariel代墊|中信銀行共用""), REGEXMATCH(F4009, ""Ben帳戶|Elsa帳戶|Ben代墊|Ariel代墊|中信銀行共用"")), ""內部轉帳(忽略)"",
  AND(E4009&lt;&gt;"""", F4009&lt;&gt;"""", N"&amp;"OT(REGEXMATCH(C4009, ""薪資""))), ""內部轉帳(忽略)"",
  REGEXMATCH(C4009, ""薪資""), ""薪資變動(不計入)"",
  REGEXMATCH(C4009, ""押金""), ""押金往來"",
  AND(E4009&lt;&gt;"""", F4009=""""), ""真實支出"",
  AND(E4009="""", F4009&lt;&gt;""""), ""真實收入"",
  TRUE, ""其他""
)"),"真實支出")</f>
        <v>真實支出</v>
      </c>
      <c r="K4009" s="270">
        <f t="shared" si="2"/>
        <v>-74500</v>
      </c>
      <c r="L4009">
        <f t="shared" si="3"/>
        <v>0</v>
      </c>
    </row>
    <row r="4010">
      <c r="A4010" s="107">
        <f>IFERROR(__xludf.DUMMYFUNCTION("""COMPUTED_VALUE"""),45218.0)</f>
        <v>45218</v>
      </c>
      <c r="B4010" t="str">
        <f>IFERROR(__xludf.DUMMYFUNCTION("""COMPUTED_VALUE"""),"3M 濾水器")</f>
        <v>3M 濾水器</v>
      </c>
      <c r="C4010" t="str">
        <f>IFERROR(__xludf.DUMMYFUNCTION("""COMPUTED_VALUE"""),"成本 - 進場前裝潢費")</f>
        <v>成本 - 進場前裝潢費</v>
      </c>
      <c r="D4010" s="270">
        <f>IFERROR(__xludf.DUMMYFUNCTION("""COMPUTED_VALUE"""),-3990.0)</f>
        <v>-3990</v>
      </c>
      <c r="E4010" t="str">
        <f>IFERROR(__xludf.DUMMYFUNCTION("""COMPUTED_VALUE"""),"Ben代墊")</f>
        <v>Ben代墊</v>
      </c>
      <c r="G4010" t="str">
        <f>IFERROR(__xludf.DUMMYFUNCTION("""COMPUTED_VALUE"""),"內湖秘境")</f>
        <v>內湖秘境</v>
      </c>
      <c r="H4010" s="106" t="str">
        <f t="shared" si="1"/>
        <v>2023-10</v>
      </c>
      <c r="I4010" s="271" t="str">
        <f>IFERROR(__xludf.DUMMYFUNCTION("""COMPUTED_VALUE"""),"鯰魚大大")</f>
        <v>鯰魚大大</v>
      </c>
      <c r="J4010" t="str">
        <f>IFERROR(__xludf.DUMMYFUNCTION("IFS(
  AND(REGEXMATCH(E4010, ""台銀籌備帳戶|玉山帳戶""), REGEXMATCH(C4010, ""薪資"")), ""分潤支出"",
  AND(REGEXMATCH(E4010, ""Ben帳戶|Elsa帳戶|Ben代墊|Ariel代墊|中信銀行共用""), REGEXMATCH(F4010, ""Ben帳戶|Elsa帳戶|Ben代墊|Ariel代墊|中信銀行共用"")), ""內部轉帳(忽略)"",
  AND(E4010&lt;&gt;"""", F4010&lt;&gt;"""", N"&amp;"OT(REGEXMATCH(C4010, ""薪資""))), ""內部轉帳(忽略)"",
  REGEXMATCH(C4010, ""薪資""), ""薪資變動(不計入)"",
  REGEXMATCH(C4010, ""押金""), ""押金往來"",
  AND(E4010&lt;&gt;"""", F4010=""""), ""真實支出"",
  AND(E4010="""", F4010&lt;&gt;""""), ""真實收入"",
  TRUE, ""其他""
)"),"真實支出")</f>
        <v>真實支出</v>
      </c>
      <c r="K4010" s="270">
        <f t="shared" si="2"/>
        <v>-3990</v>
      </c>
      <c r="L4010">
        <f t="shared" si="3"/>
        <v>0</v>
      </c>
    </row>
    <row r="4011">
      <c r="A4011" s="107">
        <f>IFERROR(__xludf.DUMMYFUNCTION("""COMPUTED_VALUE"""),45222.0)</f>
        <v>45222</v>
      </c>
      <c r="B4011" t="str">
        <f>IFERROR(__xludf.DUMMYFUNCTION("""COMPUTED_VALUE"""),"MOMO 洗衣機*2")</f>
        <v>MOMO 洗衣機*2</v>
      </c>
      <c r="C4011" t="str">
        <f>IFERROR(__xludf.DUMMYFUNCTION("""COMPUTED_VALUE"""),"成本 - 進場前裝潢費")</f>
        <v>成本 - 進場前裝潢費</v>
      </c>
      <c r="D4011" s="270">
        <f>IFERROR(__xludf.DUMMYFUNCTION("""COMPUTED_VALUE"""),-10198.0)</f>
        <v>-10198</v>
      </c>
      <c r="E4011" t="str">
        <f>IFERROR(__xludf.DUMMYFUNCTION("""COMPUTED_VALUE"""),"Ben代墊")</f>
        <v>Ben代墊</v>
      </c>
      <c r="G4011" t="str">
        <f>IFERROR(__xludf.DUMMYFUNCTION("""COMPUTED_VALUE"""),"內湖秘境")</f>
        <v>內湖秘境</v>
      </c>
      <c r="H4011" s="106" t="str">
        <f t="shared" si="1"/>
        <v>2023-10</v>
      </c>
      <c r="I4011" s="271" t="str">
        <f>IFERROR(__xludf.DUMMYFUNCTION("""COMPUTED_VALUE"""),"鯰魚大大")</f>
        <v>鯰魚大大</v>
      </c>
      <c r="J4011" t="str">
        <f>IFERROR(__xludf.DUMMYFUNCTION("IFS(
  AND(REGEXMATCH(E4011, ""台銀籌備帳戶|玉山帳戶""), REGEXMATCH(C4011, ""薪資"")), ""分潤支出"",
  AND(REGEXMATCH(E4011, ""Ben帳戶|Elsa帳戶|Ben代墊|Ariel代墊|中信銀行共用""), REGEXMATCH(F4011, ""Ben帳戶|Elsa帳戶|Ben代墊|Ariel代墊|中信銀行共用"")), ""內部轉帳(忽略)"",
  AND(E4011&lt;&gt;"""", F4011&lt;&gt;"""", N"&amp;"OT(REGEXMATCH(C4011, ""薪資""))), ""內部轉帳(忽略)"",
  REGEXMATCH(C4011, ""薪資""), ""薪資變動(不計入)"",
  REGEXMATCH(C4011, ""押金""), ""押金往來"",
  AND(E4011&lt;&gt;"""", F4011=""""), ""真實支出"",
  AND(E4011="""", F4011&lt;&gt;""""), ""真實收入"",
  TRUE, ""其他""
)"),"真實支出")</f>
        <v>真實支出</v>
      </c>
      <c r="K4011" s="270">
        <f t="shared" si="2"/>
        <v>-10198</v>
      </c>
      <c r="L4011">
        <f t="shared" si="3"/>
        <v>0</v>
      </c>
    </row>
    <row r="4012">
      <c r="A4012" s="107">
        <f>IFERROR(__xludf.DUMMYFUNCTION("""COMPUTED_VALUE"""),45212.0)</f>
        <v>45212</v>
      </c>
      <c r="B4012" t="str">
        <f>IFERROR(__xludf.DUMMYFUNCTION("""COMPUTED_VALUE"""),"配鎖 刻印")</f>
        <v>配鎖 刻印</v>
      </c>
      <c r="C4012" t="str">
        <f>IFERROR(__xludf.DUMMYFUNCTION("""COMPUTED_VALUE"""),"費用 - 辦公用品")</f>
        <v>費用 - 辦公用品</v>
      </c>
      <c r="D4012" s="270">
        <f>IFERROR(__xludf.DUMMYFUNCTION("""COMPUTED_VALUE"""),-1050.0)</f>
        <v>-1050</v>
      </c>
      <c r="E4012" t="str">
        <f>IFERROR(__xludf.DUMMYFUNCTION("""COMPUTED_VALUE"""),"Ben代墊")</f>
        <v>Ben代墊</v>
      </c>
      <c r="G4012" t="str">
        <f>IFERROR(__xludf.DUMMYFUNCTION("""COMPUTED_VALUE"""),"內湖秘境")</f>
        <v>內湖秘境</v>
      </c>
      <c r="H4012" s="106" t="str">
        <f t="shared" si="1"/>
        <v>2023-10</v>
      </c>
      <c r="I4012" s="271" t="str">
        <f>IFERROR(__xludf.DUMMYFUNCTION("""COMPUTED_VALUE"""),"鯰魚大大")</f>
        <v>鯰魚大大</v>
      </c>
      <c r="J4012" t="str">
        <f>IFERROR(__xludf.DUMMYFUNCTION("IFS(
  AND(REGEXMATCH(E4012, ""台銀籌備帳戶|玉山帳戶""), REGEXMATCH(C4012, ""薪資"")), ""分潤支出"",
  AND(REGEXMATCH(E4012, ""Ben帳戶|Elsa帳戶|Ben代墊|Ariel代墊|中信銀行共用""), REGEXMATCH(F4012, ""Ben帳戶|Elsa帳戶|Ben代墊|Ariel代墊|中信銀行共用"")), ""內部轉帳(忽略)"",
  AND(E4012&lt;&gt;"""", F4012&lt;&gt;"""", N"&amp;"OT(REGEXMATCH(C4012, ""薪資""))), ""內部轉帳(忽略)"",
  REGEXMATCH(C4012, ""薪資""), ""薪資變動(不計入)"",
  REGEXMATCH(C4012, ""押金""), ""押金往來"",
  AND(E4012&lt;&gt;"""", F4012=""""), ""真實支出"",
  AND(E4012="""", F4012&lt;&gt;""""), ""真實收入"",
  TRUE, ""其他""
)"),"真實支出")</f>
        <v>真實支出</v>
      </c>
      <c r="K4012" s="270">
        <f t="shared" si="2"/>
        <v>-1050</v>
      </c>
      <c r="L4012">
        <f t="shared" si="3"/>
        <v>0</v>
      </c>
    </row>
    <row r="4013">
      <c r="A4013" s="107">
        <f>IFERROR(__xludf.DUMMYFUNCTION("""COMPUTED_VALUE"""),45217.0)</f>
        <v>45217</v>
      </c>
      <c r="B4013" t="str">
        <f>IFERROR(__xludf.DUMMYFUNCTION("""COMPUTED_VALUE"""),"ikea車馬費")</f>
        <v>ikea車馬費</v>
      </c>
      <c r="C4013" t="str">
        <f>IFERROR(__xludf.DUMMYFUNCTION("""COMPUTED_VALUE"""),"成本 - 進場前裝潢費")</f>
        <v>成本 - 進場前裝潢費</v>
      </c>
      <c r="D4013" s="270">
        <f>IFERROR(__xludf.DUMMYFUNCTION("""COMPUTED_VALUE"""),-500.0)</f>
        <v>-500</v>
      </c>
      <c r="E4013" t="str">
        <f>IFERROR(__xludf.DUMMYFUNCTION("""COMPUTED_VALUE"""),"Ariel代墊")</f>
        <v>Ariel代墊</v>
      </c>
      <c r="G4013" t="str">
        <f>IFERROR(__xludf.DUMMYFUNCTION("""COMPUTED_VALUE"""),"內湖秘境")</f>
        <v>內湖秘境</v>
      </c>
      <c r="H4013" s="106" t="str">
        <f t="shared" si="1"/>
        <v>2023-10</v>
      </c>
      <c r="I4013" s="271" t="str">
        <f>IFERROR(__xludf.DUMMYFUNCTION("""COMPUTED_VALUE"""),"鯰魚大大")</f>
        <v>鯰魚大大</v>
      </c>
      <c r="J4013" t="str">
        <f>IFERROR(__xludf.DUMMYFUNCTION("IFS(
  AND(REGEXMATCH(E4013, ""台銀籌備帳戶|玉山帳戶""), REGEXMATCH(C4013, ""薪資"")), ""分潤支出"",
  AND(REGEXMATCH(E4013, ""Ben帳戶|Elsa帳戶|Ben代墊|Ariel代墊|中信銀行共用""), REGEXMATCH(F4013, ""Ben帳戶|Elsa帳戶|Ben代墊|Ariel代墊|中信銀行共用"")), ""內部轉帳(忽略)"",
  AND(E4013&lt;&gt;"""", F4013&lt;&gt;"""", N"&amp;"OT(REGEXMATCH(C4013, ""薪資""))), ""內部轉帳(忽略)"",
  REGEXMATCH(C4013, ""薪資""), ""薪資變動(不計入)"",
  REGEXMATCH(C4013, ""押金""), ""押金往來"",
  AND(E4013&lt;&gt;"""", F4013=""""), ""真實支出"",
  AND(E4013="""", F4013&lt;&gt;""""), ""真實收入"",
  TRUE, ""其他""
)"),"真實支出")</f>
        <v>真實支出</v>
      </c>
      <c r="K4013" s="270">
        <f t="shared" si="2"/>
        <v>-500</v>
      </c>
      <c r="L4013">
        <f t="shared" si="3"/>
        <v>0</v>
      </c>
    </row>
    <row r="4014">
      <c r="A4014" s="107">
        <f>IFERROR(__xludf.DUMMYFUNCTION("""COMPUTED_VALUE"""),45224.0)</f>
        <v>45224</v>
      </c>
      <c r="B4014" t="str">
        <f>IFERROR(__xludf.DUMMYFUNCTION("""COMPUTED_VALUE"""),"ikea(窗簾組)")</f>
        <v>ikea(窗簾組)</v>
      </c>
      <c r="C4014" t="str">
        <f>IFERROR(__xludf.DUMMYFUNCTION("""COMPUTED_VALUE"""),"成本 - 進場前裝潢費")</f>
        <v>成本 - 進場前裝潢費</v>
      </c>
      <c r="D4014" s="270">
        <f>IFERROR(__xludf.DUMMYFUNCTION("""COMPUTED_VALUE"""),-2456.0)</f>
        <v>-2456</v>
      </c>
      <c r="E4014" t="str">
        <f>IFERROR(__xludf.DUMMYFUNCTION("""COMPUTED_VALUE"""),"Ben代墊")</f>
        <v>Ben代墊</v>
      </c>
      <c r="G4014" t="str">
        <f>IFERROR(__xludf.DUMMYFUNCTION("""COMPUTED_VALUE"""),"內湖秘境")</f>
        <v>內湖秘境</v>
      </c>
      <c r="H4014" s="106" t="str">
        <f t="shared" si="1"/>
        <v>2023-10</v>
      </c>
      <c r="I4014" s="271" t="str">
        <f>IFERROR(__xludf.DUMMYFUNCTION("""COMPUTED_VALUE"""),"鯰魚大大")</f>
        <v>鯰魚大大</v>
      </c>
      <c r="J4014" t="str">
        <f>IFERROR(__xludf.DUMMYFUNCTION("IFS(
  AND(REGEXMATCH(E4014, ""台銀籌備帳戶|玉山帳戶""), REGEXMATCH(C4014, ""薪資"")), ""分潤支出"",
  AND(REGEXMATCH(E4014, ""Ben帳戶|Elsa帳戶|Ben代墊|Ariel代墊|中信銀行共用""), REGEXMATCH(F4014, ""Ben帳戶|Elsa帳戶|Ben代墊|Ariel代墊|中信銀行共用"")), ""內部轉帳(忽略)"",
  AND(E4014&lt;&gt;"""", F4014&lt;&gt;"""", N"&amp;"OT(REGEXMATCH(C4014, ""薪資""))), ""內部轉帳(忽略)"",
  REGEXMATCH(C4014, ""薪資""), ""薪資變動(不計入)"",
  REGEXMATCH(C4014, ""押金""), ""押金往來"",
  AND(E4014&lt;&gt;"""", F4014=""""), ""真實支出"",
  AND(E4014="""", F4014&lt;&gt;""""), ""真實收入"",
  TRUE, ""其他""
)"),"真實支出")</f>
        <v>真實支出</v>
      </c>
      <c r="K4014" s="270">
        <f t="shared" si="2"/>
        <v>-2456</v>
      </c>
      <c r="L4014">
        <f t="shared" si="3"/>
        <v>0</v>
      </c>
    </row>
    <row r="4015">
      <c r="A4015" s="107">
        <f>IFERROR(__xludf.DUMMYFUNCTION("""COMPUTED_VALUE"""),45211.0)</f>
        <v>45211</v>
      </c>
      <c r="B4015" t="str">
        <f>IFERROR(__xludf.DUMMYFUNCTION("""COMPUTED_VALUE"""),"搬運費___Assari 床組勞務費+搬上樓費用")</f>
        <v>搬運費___Assari 床組勞務費+搬上樓費用</v>
      </c>
      <c r="C4015" t="str">
        <f>IFERROR(__xludf.DUMMYFUNCTION("""COMPUTED_VALUE"""),"成本 - 進場前裝潢費")</f>
        <v>成本 - 進場前裝潢費</v>
      </c>
      <c r="D4015" s="270">
        <f>IFERROR(__xludf.DUMMYFUNCTION("""COMPUTED_VALUE"""),-14400.0)</f>
        <v>-14400</v>
      </c>
      <c r="E4015" t="str">
        <f>IFERROR(__xludf.DUMMYFUNCTION("""COMPUTED_VALUE"""),"Ariel代墊")</f>
        <v>Ariel代墊</v>
      </c>
      <c r="G4015" t="str">
        <f>IFERROR(__xludf.DUMMYFUNCTION("""COMPUTED_VALUE"""),"內湖秘境")</f>
        <v>內湖秘境</v>
      </c>
      <c r="H4015" s="106" t="str">
        <f t="shared" si="1"/>
        <v>2023-10</v>
      </c>
      <c r="I4015" s="271" t="str">
        <f>IFERROR(__xludf.DUMMYFUNCTION("""COMPUTED_VALUE"""),"鯰魚大大")</f>
        <v>鯰魚大大</v>
      </c>
      <c r="J4015" t="str">
        <f>IFERROR(__xludf.DUMMYFUNCTION("IFS(
  AND(REGEXMATCH(E4015, ""台銀籌備帳戶|玉山帳戶""), REGEXMATCH(C4015, ""薪資"")), ""分潤支出"",
  AND(REGEXMATCH(E4015, ""Ben帳戶|Elsa帳戶|Ben代墊|Ariel代墊|中信銀行共用""), REGEXMATCH(F4015, ""Ben帳戶|Elsa帳戶|Ben代墊|Ariel代墊|中信銀行共用"")), ""內部轉帳(忽略)"",
  AND(E4015&lt;&gt;"""", F4015&lt;&gt;"""", N"&amp;"OT(REGEXMATCH(C4015, ""薪資""))), ""內部轉帳(忽略)"",
  REGEXMATCH(C4015, ""薪資""), ""薪資變動(不計入)"",
  REGEXMATCH(C4015, ""押金""), ""押金往來"",
  AND(E4015&lt;&gt;"""", F4015=""""), ""真實支出"",
  AND(E4015="""", F4015&lt;&gt;""""), ""真實收入"",
  TRUE, ""其他""
)"),"真實支出")</f>
        <v>真實支出</v>
      </c>
      <c r="K4015" s="270">
        <f t="shared" si="2"/>
        <v>-14400</v>
      </c>
      <c r="L4015">
        <f t="shared" si="3"/>
        <v>0</v>
      </c>
    </row>
    <row r="4016">
      <c r="A4016" s="107">
        <f>IFERROR(__xludf.DUMMYFUNCTION("""COMPUTED_VALUE"""),45212.0)</f>
        <v>45212</v>
      </c>
      <c r="B4016" t="str">
        <f>IFERROR(__xludf.DUMMYFUNCTION("""COMPUTED_VALUE"""),"搬運費__鞋櫃 搬上樓費用")</f>
        <v>搬運費__鞋櫃 搬上樓費用</v>
      </c>
      <c r="C4016" t="str">
        <f>IFERROR(__xludf.DUMMYFUNCTION("""COMPUTED_VALUE"""),"成本 - 進場前裝潢費")</f>
        <v>成本 - 進場前裝潢費</v>
      </c>
      <c r="D4016" s="270">
        <f>IFERROR(__xludf.DUMMYFUNCTION("""COMPUTED_VALUE"""),-1800.0)</f>
        <v>-1800</v>
      </c>
      <c r="E4016" t="str">
        <f>IFERROR(__xludf.DUMMYFUNCTION("""COMPUTED_VALUE"""),"Ariel代墊")</f>
        <v>Ariel代墊</v>
      </c>
      <c r="G4016" t="str">
        <f>IFERROR(__xludf.DUMMYFUNCTION("""COMPUTED_VALUE"""),"內湖秘境")</f>
        <v>內湖秘境</v>
      </c>
      <c r="H4016" s="106" t="str">
        <f t="shared" si="1"/>
        <v>2023-10</v>
      </c>
      <c r="I4016" s="271" t="str">
        <f>IFERROR(__xludf.DUMMYFUNCTION("""COMPUTED_VALUE"""),"鯰魚大大")</f>
        <v>鯰魚大大</v>
      </c>
      <c r="J4016" t="str">
        <f>IFERROR(__xludf.DUMMYFUNCTION("IFS(
  AND(REGEXMATCH(E4016, ""台銀籌備帳戶|玉山帳戶""), REGEXMATCH(C4016, ""薪資"")), ""分潤支出"",
  AND(REGEXMATCH(E4016, ""Ben帳戶|Elsa帳戶|Ben代墊|Ariel代墊|中信銀行共用""), REGEXMATCH(F4016, ""Ben帳戶|Elsa帳戶|Ben代墊|Ariel代墊|中信銀行共用"")), ""內部轉帳(忽略)"",
  AND(E4016&lt;&gt;"""", F4016&lt;&gt;"""", N"&amp;"OT(REGEXMATCH(C4016, ""薪資""))), ""內部轉帳(忽略)"",
  REGEXMATCH(C4016, ""薪資""), ""薪資變動(不計入)"",
  REGEXMATCH(C4016, ""押金""), ""押金往來"",
  AND(E4016&lt;&gt;"""", F4016=""""), ""真實支出"",
  AND(E4016="""", F4016&lt;&gt;""""), ""真實收入"",
  TRUE, ""其他""
)"),"真實支出")</f>
        <v>真實支出</v>
      </c>
      <c r="K4016" s="270">
        <f t="shared" si="2"/>
        <v>-1800</v>
      </c>
      <c r="L4016">
        <f t="shared" si="3"/>
        <v>0</v>
      </c>
    </row>
    <row r="4017">
      <c r="A4017" s="107">
        <f>IFERROR(__xludf.DUMMYFUNCTION("""COMPUTED_VALUE"""),45212.0)</f>
        <v>45212</v>
      </c>
      <c r="B4017" t="str">
        <f>IFERROR(__xludf.DUMMYFUNCTION("""COMPUTED_VALUE"""),"搬運費__洗衣機搬運費")</f>
        <v>搬運費__洗衣機搬運費</v>
      </c>
      <c r="C4017" t="str">
        <f>IFERROR(__xludf.DUMMYFUNCTION("""COMPUTED_VALUE"""),"成本 - 進場前裝潢費")</f>
        <v>成本 - 進場前裝潢費</v>
      </c>
      <c r="D4017" s="270">
        <f>IFERROR(__xludf.DUMMYFUNCTION("""COMPUTED_VALUE"""),-100.0)</f>
        <v>-100</v>
      </c>
      <c r="E4017" t="str">
        <f>IFERROR(__xludf.DUMMYFUNCTION("""COMPUTED_VALUE"""),"Ariel代墊")</f>
        <v>Ariel代墊</v>
      </c>
      <c r="G4017" t="str">
        <f>IFERROR(__xludf.DUMMYFUNCTION("""COMPUTED_VALUE"""),"內湖秘境")</f>
        <v>內湖秘境</v>
      </c>
      <c r="H4017" s="106" t="str">
        <f t="shared" si="1"/>
        <v>2023-10</v>
      </c>
      <c r="I4017" s="271" t="str">
        <f>IFERROR(__xludf.DUMMYFUNCTION("""COMPUTED_VALUE"""),"鯰魚大大")</f>
        <v>鯰魚大大</v>
      </c>
      <c r="J4017" t="str">
        <f>IFERROR(__xludf.DUMMYFUNCTION("IFS(
  AND(REGEXMATCH(E4017, ""台銀籌備帳戶|玉山帳戶""), REGEXMATCH(C4017, ""薪資"")), ""分潤支出"",
  AND(REGEXMATCH(E4017, ""Ben帳戶|Elsa帳戶|Ben代墊|Ariel代墊|中信銀行共用""), REGEXMATCH(F4017, ""Ben帳戶|Elsa帳戶|Ben代墊|Ariel代墊|中信銀行共用"")), ""內部轉帳(忽略)"",
  AND(E4017&lt;&gt;"""", F4017&lt;&gt;"""", N"&amp;"OT(REGEXMATCH(C4017, ""薪資""))), ""內部轉帳(忽略)"",
  REGEXMATCH(C4017, ""薪資""), ""薪資變動(不計入)"",
  REGEXMATCH(C4017, ""押金""), ""押金往來"",
  AND(E4017&lt;&gt;"""", F4017=""""), ""真實支出"",
  AND(E4017="""", F4017&lt;&gt;""""), ""真實收入"",
  TRUE, ""其他""
)"),"真實支出")</f>
        <v>真實支出</v>
      </c>
      <c r="K4017" s="270">
        <f t="shared" si="2"/>
        <v>-100</v>
      </c>
      <c r="L4017">
        <f t="shared" si="3"/>
        <v>0</v>
      </c>
    </row>
    <row r="4018">
      <c r="A4018" s="107">
        <f>IFERROR(__xludf.DUMMYFUNCTION("""COMPUTED_VALUE"""),45212.0)</f>
        <v>45212</v>
      </c>
      <c r="B4018" t="str">
        <f>IFERROR(__xludf.DUMMYFUNCTION("""COMPUTED_VALUE"""),"搬運費__冰箱搬運費")</f>
        <v>搬運費__冰箱搬運費</v>
      </c>
      <c r="C4018" t="str">
        <f>IFERROR(__xludf.DUMMYFUNCTION("""COMPUTED_VALUE"""),"成本 - 進場前裝潢費")</f>
        <v>成本 - 進場前裝潢費</v>
      </c>
      <c r="D4018" s="270">
        <f>IFERROR(__xludf.DUMMYFUNCTION("""COMPUTED_VALUE"""),-500.0)</f>
        <v>-500</v>
      </c>
      <c r="E4018" t="str">
        <f>IFERROR(__xludf.DUMMYFUNCTION("""COMPUTED_VALUE"""),"Ariel代墊")</f>
        <v>Ariel代墊</v>
      </c>
      <c r="G4018" t="str">
        <f>IFERROR(__xludf.DUMMYFUNCTION("""COMPUTED_VALUE"""),"內湖秘境")</f>
        <v>內湖秘境</v>
      </c>
      <c r="H4018" s="106" t="str">
        <f t="shared" si="1"/>
        <v>2023-10</v>
      </c>
      <c r="I4018" s="271" t="str">
        <f>IFERROR(__xludf.DUMMYFUNCTION("""COMPUTED_VALUE"""),"鯰魚大大")</f>
        <v>鯰魚大大</v>
      </c>
      <c r="J4018" t="str">
        <f>IFERROR(__xludf.DUMMYFUNCTION("IFS(
  AND(REGEXMATCH(E4018, ""台銀籌備帳戶|玉山帳戶""), REGEXMATCH(C4018, ""薪資"")), ""分潤支出"",
  AND(REGEXMATCH(E4018, ""Ben帳戶|Elsa帳戶|Ben代墊|Ariel代墊|中信銀行共用""), REGEXMATCH(F4018, ""Ben帳戶|Elsa帳戶|Ben代墊|Ariel代墊|中信銀行共用"")), ""內部轉帳(忽略)"",
  AND(E4018&lt;&gt;"""", F4018&lt;&gt;"""", N"&amp;"OT(REGEXMATCH(C4018, ""薪資""))), ""內部轉帳(忽略)"",
  REGEXMATCH(C4018, ""薪資""), ""薪資變動(不計入)"",
  REGEXMATCH(C4018, ""押金""), ""押金往來"",
  AND(E4018&lt;&gt;"""", F4018=""""), ""真實支出"",
  AND(E4018="""", F4018&lt;&gt;""""), ""真實收入"",
  TRUE, ""其他""
)"),"真實支出")</f>
        <v>真實支出</v>
      </c>
      <c r="K4018" s="270">
        <f t="shared" si="2"/>
        <v>-500</v>
      </c>
      <c r="L4018">
        <f t="shared" si="3"/>
        <v>0</v>
      </c>
    </row>
    <row r="4019">
      <c r="A4019" s="107">
        <f>IFERROR(__xludf.DUMMYFUNCTION("""COMPUTED_VALUE"""),45199.0)</f>
        <v>45199</v>
      </c>
      <c r="B4019" t="str">
        <f>IFERROR(__xludf.DUMMYFUNCTION("""COMPUTED_VALUE"""),"蝦皮_洞洞板(大*2)")</f>
        <v>蝦皮_洞洞板(大*2)</v>
      </c>
      <c r="C4019" t="str">
        <f>IFERROR(__xludf.DUMMYFUNCTION("""COMPUTED_VALUE"""),"成本 - 進場前裝潢費")</f>
        <v>成本 - 進場前裝潢費</v>
      </c>
      <c r="D4019" s="270">
        <f>IFERROR(__xludf.DUMMYFUNCTION("""COMPUTED_VALUE"""),-5318.0)</f>
        <v>-5318</v>
      </c>
      <c r="E4019" t="str">
        <f>IFERROR(__xludf.DUMMYFUNCTION("""COMPUTED_VALUE"""),"Ariel代墊")</f>
        <v>Ariel代墊</v>
      </c>
      <c r="G4019" t="str">
        <f>IFERROR(__xludf.DUMMYFUNCTION("""COMPUTED_VALUE"""),"內湖秘境")</f>
        <v>內湖秘境</v>
      </c>
      <c r="H4019" s="106" t="str">
        <f t="shared" si="1"/>
        <v>2023-09</v>
      </c>
      <c r="I4019" s="271" t="str">
        <f>IFERROR(__xludf.DUMMYFUNCTION("""COMPUTED_VALUE"""),"鯰魚大大")</f>
        <v>鯰魚大大</v>
      </c>
      <c r="J4019" t="str">
        <f>IFERROR(__xludf.DUMMYFUNCTION("IFS(
  AND(REGEXMATCH(E4019, ""台銀籌備帳戶|玉山帳戶""), REGEXMATCH(C4019, ""薪資"")), ""分潤支出"",
  AND(REGEXMATCH(E4019, ""Ben帳戶|Elsa帳戶|Ben代墊|Ariel代墊|中信銀行共用""), REGEXMATCH(F4019, ""Ben帳戶|Elsa帳戶|Ben代墊|Ariel代墊|中信銀行共用"")), ""內部轉帳(忽略)"",
  AND(E4019&lt;&gt;"""", F4019&lt;&gt;"""", N"&amp;"OT(REGEXMATCH(C4019, ""薪資""))), ""內部轉帳(忽略)"",
  REGEXMATCH(C4019, ""薪資""), ""薪資變動(不計入)"",
  REGEXMATCH(C4019, ""押金""), ""押金往來"",
  AND(E4019&lt;&gt;"""", F4019=""""), ""真實支出"",
  AND(E4019="""", F4019&lt;&gt;""""), ""真實收入"",
  TRUE, ""其他""
)"),"真實支出")</f>
        <v>真實支出</v>
      </c>
      <c r="K4019" s="270">
        <f t="shared" si="2"/>
        <v>-5318</v>
      </c>
      <c r="L4019">
        <f t="shared" si="3"/>
        <v>0</v>
      </c>
    </row>
    <row r="4020">
      <c r="A4020" s="107">
        <f>IFERROR(__xludf.DUMMYFUNCTION("""COMPUTED_VALUE"""),45225.0)</f>
        <v>45225</v>
      </c>
      <c r="B4020" t="str">
        <f>IFERROR(__xludf.DUMMYFUNCTION("""COMPUTED_VALUE"""),"MOMO 冰箱 *2")</f>
        <v>MOMO 冰箱 *2</v>
      </c>
      <c r="C4020" t="str">
        <f>IFERROR(__xludf.DUMMYFUNCTION("""COMPUTED_VALUE"""),"成本 - 進場前裝潢費")</f>
        <v>成本 - 進場前裝潢費</v>
      </c>
      <c r="D4020" s="270">
        <f>IFERROR(__xludf.DUMMYFUNCTION("""COMPUTED_VALUE"""),-30420.0)</f>
        <v>-30420</v>
      </c>
      <c r="E4020" t="str">
        <f>IFERROR(__xludf.DUMMYFUNCTION("""COMPUTED_VALUE"""),"Ben代墊")</f>
        <v>Ben代墊</v>
      </c>
      <c r="G4020" t="str">
        <f>IFERROR(__xludf.DUMMYFUNCTION("""COMPUTED_VALUE"""),"內湖秘境")</f>
        <v>內湖秘境</v>
      </c>
      <c r="H4020" s="106" t="str">
        <f t="shared" si="1"/>
        <v>2023-10</v>
      </c>
      <c r="I4020" s="271" t="str">
        <f>IFERROR(__xludf.DUMMYFUNCTION("""COMPUTED_VALUE"""),"鯰魚大大")</f>
        <v>鯰魚大大</v>
      </c>
      <c r="J4020" t="str">
        <f>IFERROR(__xludf.DUMMYFUNCTION("IFS(
  AND(REGEXMATCH(E4020, ""台銀籌備帳戶|玉山帳戶""), REGEXMATCH(C4020, ""薪資"")), ""分潤支出"",
  AND(REGEXMATCH(E4020, ""Ben帳戶|Elsa帳戶|Ben代墊|Ariel代墊|中信銀行共用""), REGEXMATCH(F4020, ""Ben帳戶|Elsa帳戶|Ben代墊|Ariel代墊|中信銀行共用"")), ""內部轉帳(忽略)"",
  AND(E4020&lt;&gt;"""", F4020&lt;&gt;"""", N"&amp;"OT(REGEXMATCH(C4020, ""薪資""))), ""內部轉帳(忽略)"",
  REGEXMATCH(C4020, ""薪資""), ""薪資變動(不計入)"",
  REGEXMATCH(C4020, ""押金""), ""押金往來"",
  AND(E4020&lt;&gt;"""", F4020=""""), ""真實支出"",
  AND(E4020="""", F4020&lt;&gt;""""), ""真實收入"",
  TRUE, ""其他""
)"),"真實支出")</f>
        <v>真實支出</v>
      </c>
      <c r="K4020" s="270">
        <f t="shared" si="2"/>
        <v>-30420</v>
      </c>
      <c r="L4020">
        <f t="shared" si="3"/>
        <v>0</v>
      </c>
    </row>
    <row r="4021">
      <c r="A4021" s="107">
        <f>IFERROR(__xludf.DUMMYFUNCTION("""COMPUTED_VALUE"""),45221.0)</f>
        <v>45221</v>
      </c>
      <c r="B4021" t="str">
        <f>IFERROR(__xludf.DUMMYFUNCTION("""COMPUTED_VALUE"""),"蝦皮_淋浴蓮蓬頭+花灑組(頂加)")</f>
        <v>蝦皮_淋浴蓮蓬頭+花灑組(頂加)</v>
      </c>
      <c r="C4021" t="str">
        <f>IFERROR(__xludf.DUMMYFUNCTION("""COMPUTED_VALUE"""),"成本 - 進場前裝潢費")</f>
        <v>成本 - 進場前裝潢費</v>
      </c>
      <c r="D4021" s="270">
        <f>IFERROR(__xludf.DUMMYFUNCTION("""COMPUTED_VALUE"""),-1509.0)</f>
        <v>-1509</v>
      </c>
      <c r="E4021" t="str">
        <f>IFERROR(__xludf.DUMMYFUNCTION("""COMPUTED_VALUE"""),"Ariel代墊")</f>
        <v>Ariel代墊</v>
      </c>
      <c r="G4021" t="str">
        <f>IFERROR(__xludf.DUMMYFUNCTION("""COMPUTED_VALUE"""),"內湖秘境")</f>
        <v>內湖秘境</v>
      </c>
      <c r="H4021" s="106" t="str">
        <f t="shared" si="1"/>
        <v>2023-10</v>
      </c>
      <c r="I4021" s="271" t="str">
        <f>IFERROR(__xludf.DUMMYFUNCTION("""COMPUTED_VALUE"""),"鯰魚大大")</f>
        <v>鯰魚大大</v>
      </c>
      <c r="J4021" t="str">
        <f>IFERROR(__xludf.DUMMYFUNCTION("IFS(
  AND(REGEXMATCH(E4021, ""台銀籌備帳戶|玉山帳戶""), REGEXMATCH(C4021, ""薪資"")), ""分潤支出"",
  AND(REGEXMATCH(E4021, ""Ben帳戶|Elsa帳戶|Ben代墊|Ariel代墊|中信銀行共用""), REGEXMATCH(F4021, ""Ben帳戶|Elsa帳戶|Ben代墊|Ariel代墊|中信銀行共用"")), ""內部轉帳(忽略)"",
  AND(E4021&lt;&gt;"""", F4021&lt;&gt;"""", N"&amp;"OT(REGEXMATCH(C4021, ""薪資""))), ""內部轉帳(忽略)"",
  REGEXMATCH(C4021, ""薪資""), ""薪資變動(不計入)"",
  REGEXMATCH(C4021, ""押金""), ""押金往來"",
  AND(E4021&lt;&gt;"""", F4021=""""), ""真實支出"",
  AND(E4021="""", F4021&lt;&gt;""""), ""真實收入"",
  TRUE, ""其他""
)"),"真實支出")</f>
        <v>真實支出</v>
      </c>
      <c r="K4021" s="270">
        <f t="shared" si="2"/>
        <v>-1509</v>
      </c>
      <c r="L4021">
        <f t="shared" si="3"/>
        <v>0</v>
      </c>
    </row>
    <row r="4022">
      <c r="A4022" s="107">
        <f>IFERROR(__xludf.DUMMYFUNCTION("""COMPUTED_VALUE"""),45221.0)</f>
        <v>45221</v>
      </c>
      <c r="B4022" t="str">
        <f>IFERROR(__xludf.DUMMYFUNCTION("""COMPUTED_VALUE"""),"蝦皮_乾溼分離(頂加)")</f>
        <v>蝦皮_乾溼分離(頂加)</v>
      </c>
      <c r="C4022" t="str">
        <f>IFERROR(__xludf.DUMMYFUNCTION("""COMPUTED_VALUE"""),"成本 - 進場前裝潢費")</f>
        <v>成本 - 進場前裝潢費</v>
      </c>
      <c r="D4022" s="270">
        <f>IFERROR(__xludf.DUMMYFUNCTION("""COMPUTED_VALUE"""),-535.0)</f>
        <v>-535</v>
      </c>
      <c r="E4022" t="str">
        <f>IFERROR(__xludf.DUMMYFUNCTION("""COMPUTED_VALUE"""),"Ariel代墊")</f>
        <v>Ariel代墊</v>
      </c>
      <c r="G4022" t="str">
        <f>IFERROR(__xludf.DUMMYFUNCTION("""COMPUTED_VALUE"""),"內湖秘境")</f>
        <v>內湖秘境</v>
      </c>
      <c r="H4022" s="106" t="str">
        <f t="shared" si="1"/>
        <v>2023-10</v>
      </c>
      <c r="I4022" s="271" t="str">
        <f>IFERROR(__xludf.DUMMYFUNCTION("""COMPUTED_VALUE"""),"鯰魚大大")</f>
        <v>鯰魚大大</v>
      </c>
      <c r="J4022" t="str">
        <f>IFERROR(__xludf.DUMMYFUNCTION("IFS(
  AND(REGEXMATCH(E4022, ""台銀籌備帳戶|玉山帳戶""), REGEXMATCH(C4022, ""薪資"")), ""分潤支出"",
  AND(REGEXMATCH(E4022, ""Ben帳戶|Elsa帳戶|Ben代墊|Ariel代墊|中信銀行共用""), REGEXMATCH(F4022, ""Ben帳戶|Elsa帳戶|Ben代墊|Ariel代墊|中信銀行共用"")), ""內部轉帳(忽略)"",
  AND(E4022&lt;&gt;"""", F4022&lt;&gt;"""", N"&amp;"OT(REGEXMATCH(C4022, ""薪資""))), ""內部轉帳(忽略)"",
  REGEXMATCH(C4022, ""薪資""), ""薪資變動(不計入)"",
  REGEXMATCH(C4022, ""押金""), ""押金往來"",
  AND(E4022&lt;&gt;"""", F4022=""""), ""真實支出"",
  AND(E4022="""", F4022&lt;&gt;""""), ""真實收入"",
  TRUE, ""其他""
)"),"真實支出")</f>
        <v>真實支出</v>
      </c>
      <c r="K4022" s="270">
        <f t="shared" si="2"/>
        <v>-535</v>
      </c>
      <c r="L4022">
        <f t="shared" si="3"/>
        <v>0</v>
      </c>
    </row>
    <row r="4023">
      <c r="A4023" s="107">
        <f>IFERROR(__xludf.DUMMYFUNCTION("""COMPUTED_VALUE"""),45222.0)</f>
        <v>45222</v>
      </c>
      <c r="B4023" t="str">
        <f>IFERROR(__xludf.DUMMYFUNCTION("""COMPUTED_VALUE"""),"蝦皮_軟裝裝飾品")</f>
        <v>蝦皮_軟裝裝飾品</v>
      </c>
      <c r="C4023" t="str">
        <f>IFERROR(__xludf.DUMMYFUNCTION("""COMPUTED_VALUE"""),"成本 - 進場前裝潢費")</f>
        <v>成本 - 進場前裝潢費</v>
      </c>
      <c r="D4023" s="270">
        <f>IFERROR(__xludf.DUMMYFUNCTION("""COMPUTED_VALUE"""),-1959.0)</f>
        <v>-1959</v>
      </c>
      <c r="E4023" t="str">
        <f>IFERROR(__xludf.DUMMYFUNCTION("""COMPUTED_VALUE"""),"Ariel代墊")</f>
        <v>Ariel代墊</v>
      </c>
      <c r="G4023" t="str">
        <f>IFERROR(__xludf.DUMMYFUNCTION("""COMPUTED_VALUE"""),"內湖秘境")</f>
        <v>內湖秘境</v>
      </c>
      <c r="H4023" s="106" t="str">
        <f t="shared" si="1"/>
        <v>2023-10</v>
      </c>
      <c r="I4023" s="271" t="str">
        <f>IFERROR(__xludf.DUMMYFUNCTION("""COMPUTED_VALUE"""),"鯰魚大大")</f>
        <v>鯰魚大大</v>
      </c>
      <c r="J4023" t="str">
        <f>IFERROR(__xludf.DUMMYFUNCTION("IFS(
  AND(REGEXMATCH(E4023, ""台銀籌備帳戶|玉山帳戶""), REGEXMATCH(C4023, ""薪資"")), ""分潤支出"",
  AND(REGEXMATCH(E4023, ""Ben帳戶|Elsa帳戶|Ben代墊|Ariel代墊|中信銀行共用""), REGEXMATCH(F4023, ""Ben帳戶|Elsa帳戶|Ben代墊|Ariel代墊|中信銀行共用"")), ""內部轉帳(忽略)"",
  AND(E4023&lt;&gt;"""", F4023&lt;&gt;"""", N"&amp;"OT(REGEXMATCH(C4023, ""薪資""))), ""內部轉帳(忽略)"",
  REGEXMATCH(C4023, ""薪資""), ""薪資變動(不計入)"",
  REGEXMATCH(C4023, ""押金""), ""押金往來"",
  AND(E4023&lt;&gt;"""", F4023=""""), ""真實支出"",
  AND(E4023="""", F4023&lt;&gt;""""), ""真實收入"",
  TRUE, ""其他""
)"),"真實支出")</f>
        <v>真實支出</v>
      </c>
      <c r="K4023" s="270">
        <f t="shared" si="2"/>
        <v>-1959</v>
      </c>
      <c r="L4023">
        <f t="shared" si="3"/>
        <v>0</v>
      </c>
    </row>
    <row r="4024">
      <c r="A4024" s="107">
        <f>IFERROR(__xludf.DUMMYFUNCTION("""COMPUTED_VALUE"""),45223.0)</f>
        <v>45223</v>
      </c>
      <c r="B4024" t="str">
        <f>IFERROR(__xludf.DUMMYFUNCTION("""COMPUTED_VALUE"""),"蝦皮_床包被套枕套組*2")</f>
        <v>蝦皮_床包被套枕套組*2</v>
      </c>
      <c r="C4024" t="str">
        <f>IFERROR(__xludf.DUMMYFUNCTION("""COMPUTED_VALUE"""),"成本 - 進場前裝潢費")</f>
        <v>成本 - 進場前裝潢費</v>
      </c>
      <c r="D4024" s="270">
        <f>IFERROR(__xludf.DUMMYFUNCTION("""COMPUTED_VALUE"""),-1978.0)</f>
        <v>-1978</v>
      </c>
      <c r="E4024" t="str">
        <f>IFERROR(__xludf.DUMMYFUNCTION("""COMPUTED_VALUE"""),"Ariel代墊")</f>
        <v>Ariel代墊</v>
      </c>
      <c r="G4024" t="str">
        <f>IFERROR(__xludf.DUMMYFUNCTION("""COMPUTED_VALUE"""),"內湖秘境")</f>
        <v>內湖秘境</v>
      </c>
      <c r="H4024" s="106" t="str">
        <f t="shared" si="1"/>
        <v>2023-10</v>
      </c>
      <c r="I4024" s="271" t="str">
        <f>IFERROR(__xludf.DUMMYFUNCTION("""COMPUTED_VALUE"""),"鯰魚大大")</f>
        <v>鯰魚大大</v>
      </c>
      <c r="J4024" t="str">
        <f>IFERROR(__xludf.DUMMYFUNCTION("IFS(
  AND(REGEXMATCH(E4024, ""台銀籌備帳戶|玉山帳戶""), REGEXMATCH(C4024, ""薪資"")), ""分潤支出"",
  AND(REGEXMATCH(E4024, ""Ben帳戶|Elsa帳戶|Ben代墊|Ariel代墊|中信銀行共用""), REGEXMATCH(F4024, ""Ben帳戶|Elsa帳戶|Ben代墊|Ariel代墊|中信銀行共用"")), ""內部轉帳(忽略)"",
  AND(E4024&lt;&gt;"""", F4024&lt;&gt;"""", N"&amp;"OT(REGEXMATCH(C4024, ""薪資""))), ""內部轉帳(忽略)"",
  REGEXMATCH(C4024, ""薪資""), ""薪資變動(不計入)"",
  REGEXMATCH(C4024, ""押金""), ""押金往來"",
  AND(E4024&lt;&gt;"""", F4024=""""), ""真實支出"",
  AND(E4024="""", F4024&lt;&gt;""""), ""真實收入"",
  TRUE, ""其他""
)"),"真實支出")</f>
        <v>真實支出</v>
      </c>
      <c r="K4024" s="270">
        <f t="shared" si="2"/>
        <v>-1978</v>
      </c>
      <c r="L4024">
        <f t="shared" si="3"/>
        <v>0</v>
      </c>
    </row>
    <row r="4025">
      <c r="A4025" s="107">
        <f>IFERROR(__xludf.DUMMYFUNCTION("""COMPUTED_VALUE"""),45221.0)</f>
        <v>45221</v>
      </c>
      <c r="B4025" t="str">
        <f>IFERROR(__xludf.DUMMYFUNCTION("""COMPUTED_VALUE"""),"蝦皮_抱枕套")</f>
        <v>蝦皮_抱枕套</v>
      </c>
      <c r="C4025" t="str">
        <f>IFERROR(__xludf.DUMMYFUNCTION("""COMPUTED_VALUE"""),"成本 - 進場前裝潢費")</f>
        <v>成本 - 進場前裝潢費</v>
      </c>
      <c r="D4025" s="270">
        <f>IFERROR(__xludf.DUMMYFUNCTION("""COMPUTED_VALUE"""),-336.0)</f>
        <v>-336</v>
      </c>
      <c r="E4025" t="str">
        <f>IFERROR(__xludf.DUMMYFUNCTION("""COMPUTED_VALUE"""),"Ariel代墊")</f>
        <v>Ariel代墊</v>
      </c>
      <c r="G4025" t="str">
        <f>IFERROR(__xludf.DUMMYFUNCTION("""COMPUTED_VALUE"""),"內湖秘境")</f>
        <v>內湖秘境</v>
      </c>
      <c r="H4025" s="106" t="str">
        <f t="shared" si="1"/>
        <v>2023-10</v>
      </c>
      <c r="I4025" s="271" t="str">
        <f>IFERROR(__xludf.DUMMYFUNCTION("""COMPUTED_VALUE"""),"鯰魚大大")</f>
        <v>鯰魚大大</v>
      </c>
      <c r="J4025" t="str">
        <f>IFERROR(__xludf.DUMMYFUNCTION("IFS(
  AND(REGEXMATCH(E4025, ""台銀籌備帳戶|玉山帳戶""), REGEXMATCH(C4025, ""薪資"")), ""分潤支出"",
  AND(REGEXMATCH(E4025, ""Ben帳戶|Elsa帳戶|Ben代墊|Ariel代墊|中信銀行共用""), REGEXMATCH(F4025, ""Ben帳戶|Elsa帳戶|Ben代墊|Ariel代墊|中信銀行共用"")), ""內部轉帳(忽略)"",
  AND(E4025&lt;&gt;"""", F4025&lt;&gt;"""", N"&amp;"OT(REGEXMATCH(C4025, ""薪資""))), ""內部轉帳(忽略)"",
  REGEXMATCH(C4025, ""薪資""), ""薪資變動(不計入)"",
  REGEXMATCH(C4025, ""押金""), ""押金往來"",
  AND(E4025&lt;&gt;"""", F4025=""""), ""真實支出"",
  AND(E4025="""", F4025&lt;&gt;""""), ""真實收入"",
  TRUE, ""其他""
)"),"真實支出")</f>
        <v>真實支出</v>
      </c>
      <c r="K4025" s="270">
        <f t="shared" si="2"/>
        <v>-336</v>
      </c>
      <c r="L4025">
        <f t="shared" si="3"/>
        <v>0</v>
      </c>
    </row>
    <row r="4026">
      <c r="A4026" s="107">
        <f>IFERROR(__xludf.DUMMYFUNCTION("""COMPUTED_VALUE"""),45221.0)</f>
        <v>45221</v>
      </c>
      <c r="B4026" t="str">
        <f>IFERROR(__xludf.DUMMYFUNCTION("""COMPUTED_VALUE"""),"蝦皮_棉被*2")</f>
        <v>蝦皮_棉被*2</v>
      </c>
      <c r="C4026" t="str">
        <f>IFERROR(__xludf.DUMMYFUNCTION("""COMPUTED_VALUE"""),"成本 - 進場前裝潢費")</f>
        <v>成本 - 進場前裝潢費</v>
      </c>
      <c r="D4026" s="270">
        <f>IFERROR(__xludf.DUMMYFUNCTION("""COMPUTED_VALUE"""),-1330.0)</f>
        <v>-1330</v>
      </c>
      <c r="E4026" t="str">
        <f>IFERROR(__xludf.DUMMYFUNCTION("""COMPUTED_VALUE"""),"Ariel代墊")</f>
        <v>Ariel代墊</v>
      </c>
      <c r="G4026" t="str">
        <f>IFERROR(__xludf.DUMMYFUNCTION("""COMPUTED_VALUE"""),"內湖秘境")</f>
        <v>內湖秘境</v>
      </c>
      <c r="H4026" s="106" t="str">
        <f t="shared" si="1"/>
        <v>2023-10</v>
      </c>
      <c r="I4026" s="271" t="str">
        <f>IFERROR(__xludf.DUMMYFUNCTION("""COMPUTED_VALUE"""),"鯰魚大大")</f>
        <v>鯰魚大大</v>
      </c>
      <c r="J4026" t="str">
        <f>IFERROR(__xludf.DUMMYFUNCTION("IFS(
  AND(REGEXMATCH(E4026, ""台銀籌備帳戶|玉山帳戶""), REGEXMATCH(C4026, ""薪資"")), ""分潤支出"",
  AND(REGEXMATCH(E4026, ""Ben帳戶|Elsa帳戶|Ben代墊|Ariel代墊|中信銀行共用""), REGEXMATCH(F4026, ""Ben帳戶|Elsa帳戶|Ben代墊|Ariel代墊|中信銀行共用"")), ""內部轉帳(忽略)"",
  AND(E4026&lt;&gt;"""", F4026&lt;&gt;"""", N"&amp;"OT(REGEXMATCH(C4026, ""薪資""))), ""內部轉帳(忽略)"",
  REGEXMATCH(C4026, ""薪資""), ""薪資變動(不計入)"",
  REGEXMATCH(C4026, ""押金""), ""押金往來"",
  AND(E4026&lt;&gt;"""", F4026=""""), ""真實支出"",
  AND(E4026="""", F4026&lt;&gt;""""), ""真實收入"",
  TRUE, ""其他""
)"),"真實支出")</f>
        <v>真實支出</v>
      </c>
      <c r="K4026" s="270">
        <f t="shared" si="2"/>
        <v>-1330</v>
      </c>
      <c r="L4026">
        <f t="shared" si="3"/>
        <v>0</v>
      </c>
    </row>
    <row r="4027">
      <c r="A4027" s="107">
        <f>IFERROR(__xludf.DUMMYFUNCTION("""COMPUTED_VALUE"""),45221.0)</f>
        <v>45221</v>
      </c>
      <c r="B4027" t="str">
        <f>IFERROR(__xludf.DUMMYFUNCTION("""COMPUTED_VALUE"""),"蝦皮_抱枕套")</f>
        <v>蝦皮_抱枕套</v>
      </c>
      <c r="C4027" t="str">
        <f>IFERROR(__xludf.DUMMYFUNCTION("""COMPUTED_VALUE"""),"成本 - 進場前裝潢費")</f>
        <v>成本 - 進場前裝潢費</v>
      </c>
      <c r="D4027" s="270">
        <f>IFERROR(__xludf.DUMMYFUNCTION("""COMPUTED_VALUE"""),-1445.0)</f>
        <v>-1445</v>
      </c>
      <c r="E4027" t="str">
        <f>IFERROR(__xludf.DUMMYFUNCTION("""COMPUTED_VALUE"""),"Ariel代墊")</f>
        <v>Ariel代墊</v>
      </c>
      <c r="G4027" t="str">
        <f>IFERROR(__xludf.DUMMYFUNCTION("""COMPUTED_VALUE"""),"內湖秘境")</f>
        <v>內湖秘境</v>
      </c>
      <c r="H4027" s="106" t="str">
        <f t="shared" si="1"/>
        <v>2023-10</v>
      </c>
      <c r="I4027" s="271" t="str">
        <f>IFERROR(__xludf.DUMMYFUNCTION("""COMPUTED_VALUE"""),"鯰魚大大")</f>
        <v>鯰魚大大</v>
      </c>
      <c r="J4027" t="str">
        <f>IFERROR(__xludf.DUMMYFUNCTION("IFS(
  AND(REGEXMATCH(E4027, ""台銀籌備帳戶|玉山帳戶""), REGEXMATCH(C4027, ""薪資"")), ""分潤支出"",
  AND(REGEXMATCH(E4027, ""Ben帳戶|Elsa帳戶|Ben代墊|Ariel代墊|中信銀行共用""), REGEXMATCH(F4027, ""Ben帳戶|Elsa帳戶|Ben代墊|Ariel代墊|中信銀行共用"")), ""內部轉帳(忽略)"",
  AND(E4027&lt;&gt;"""", F4027&lt;&gt;"""", N"&amp;"OT(REGEXMATCH(C4027, ""薪資""))), ""內部轉帳(忽略)"",
  REGEXMATCH(C4027, ""薪資""), ""薪資變動(不計入)"",
  REGEXMATCH(C4027, ""押金""), ""押金往來"",
  AND(E4027&lt;&gt;"""", F4027=""""), ""真實支出"",
  AND(E4027="""", F4027&lt;&gt;""""), ""真實收入"",
  TRUE, ""其他""
)"),"真實支出")</f>
        <v>真實支出</v>
      </c>
      <c r="K4027" s="270">
        <f t="shared" si="2"/>
        <v>-1445</v>
      </c>
      <c r="L4027">
        <f t="shared" si="3"/>
        <v>0</v>
      </c>
    </row>
    <row r="4028">
      <c r="A4028" s="107">
        <f>IFERROR(__xludf.DUMMYFUNCTION("""COMPUTED_VALUE"""),45219.0)</f>
        <v>45219</v>
      </c>
      <c r="B4028" t="str">
        <f>IFERROR(__xludf.DUMMYFUNCTION("""COMPUTED_VALUE"""),"蝦皮_保潔墊*7")</f>
        <v>蝦皮_保潔墊*7</v>
      </c>
      <c r="C4028" t="str">
        <f>IFERROR(__xludf.DUMMYFUNCTION("""COMPUTED_VALUE"""),"成本 - 進場前裝潢費")</f>
        <v>成本 - 進場前裝潢費</v>
      </c>
      <c r="D4028" s="270">
        <f>IFERROR(__xludf.DUMMYFUNCTION("""COMPUTED_VALUE"""),-2053.0)</f>
        <v>-2053</v>
      </c>
      <c r="E4028" t="str">
        <f>IFERROR(__xludf.DUMMYFUNCTION("""COMPUTED_VALUE"""),"Ariel代墊")</f>
        <v>Ariel代墊</v>
      </c>
      <c r="G4028" t="str">
        <f>IFERROR(__xludf.DUMMYFUNCTION("""COMPUTED_VALUE"""),"內湖秘境")</f>
        <v>內湖秘境</v>
      </c>
      <c r="H4028" s="106" t="str">
        <f t="shared" si="1"/>
        <v>2023-10</v>
      </c>
      <c r="I4028" s="271" t="str">
        <f>IFERROR(__xludf.DUMMYFUNCTION("""COMPUTED_VALUE"""),"鯰魚大大")</f>
        <v>鯰魚大大</v>
      </c>
      <c r="J4028" t="str">
        <f>IFERROR(__xludf.DUMMYFUNCTION("IFS(
  AND(REGEXMATCH(E4028, ""台銀籌備帳戶|玉山帳戶""), REGEXMATCH(C4028, ""薪資"")), ""分潤支出"",
  AND(REGEXMATCH(E4028, ""Ben帳戶|Elsa帳戶|Ben代墊|Ariel代墊|中信銀行共用""), REGEXMATCH(F4028, ""Ben帳戶|Elsa帳戶|Ben代墊|Ariel代墊|中信銀行共用"")), ""內部轉帳(忽略)"",
  AND(E4028&lt;&gt;"""", F4028&lt;&gt;"""", N"&amp;"OT(REGEXMATCH(C4028, ""薪資""))), ""內部轉帳(忽略)"",
  REGEXMATCH(C4028, ""薪資""), ""薪資變動(不計入)"",
  REGEXMATCH(C4028, ""押金""), ""押金往來"",
  AND(E4028&lt;&gt;"""", F4028=""""), ""真實支出"",
  AND(E4028="""", F4028&lt;&gt;""""), ""真實收入"",
  TRUE, ""其他""
)"),"真實支出")</f>
        <v>真實支出</v>
      </c>
      <c r="K4028" s="270">
        <f t="shared" si="2"/>
        <v>-2053</v>
      </c>
      <c r="L4028">
        <f t="shared" si="3"/>
        <v>0</v>
      </c>
    </row>
    <row r="4029">
      <c r="A4029" s="107">
        <f>IFERROR(__xludf.DUMMYFUNCTION("""COMPUTED_VALUE"""),45218.0)</f>
        <v>45218</v>
      </c>
      <c r="B4029" t="str">
        <f>IFERROR(__xludf.DUMMYFUNCTION("""COMPUTED_VALUE"""),"蝦皮_洗手台水龍頭")</f>
        <v>蝦皮_洗手台水龍頭</v>
      </c>
      <c r="C4029" t="str">
        <f>IFERROR(__xludf.DUMMYFUNCTION("""COMPUTED_VALUE"""),"成本 - 進場前裝潢費")</f>
        <v>成本 - 進場前裝潢費</v>
      </c>
      <c r="D4029" s="270">
        <f>IFERROR(__xludf.DUMMYFUNCTION("""COMPUTED_VALUE"""),-652.0)</f>
        <v>-652</v>
      </c>
      <c r="E4029" t="str">
        <f>IFERROR(__xludf.DUMMYFUNCTION("""COMPUTED_VALUE"""),"Ariel代墊")</f>
        <v>Ariel代墊</v>
      </c>
      <c r="G4029" t="str">
        <f>IFERROR(__xludf.DUMMYFUNCTION("""COMPUTED_VALUE"""),"內湖秘境")</f>
        <v>內湖秘境</v>
      </c>
      <c r="H4029" s="106" t="str">
        <f t="shared" si="1"/>
        <v>2023-10</v>
      </c>
      <c r="I4029" s="271" t="str">
        <f>IFERROR(__xludf.DUMMYFUNCTION("""COMPUTED_VALUE"""),"鯰魚大大")</f>
        <v>鯰魚大大</v>
      </c>
      <c r="J4029" t="str">
        <f>IFERROR(__xludf.DUMMYFUNCTION("IFS(
  AND(REGEXMATCH(E4029, ""台銀籌備帳戶|玉山帳戶""), REGEXMATCH(C4029, ""薪資"")), ""分潤支出"",
  AND(REGEXMATCH(E4029, ""Ben帳戶|Elsa帳戶|Ben代墊|Ariel代墊|中信銀行共用""), REGEXMATCH(F4029, ""Ben帳戶|Elsa帳戶|Ben代墊|Ariel代墊|中信銀行共用"")), ""內部轉帳(忽略)"",
  AND(E4029&lt;&gt;"""", F4029&lt;&gt;"""", N"&amp;"OT(REGEXMATCH(C4029, ""薪資""))), ""內部轉帳(忽略)"",
  REGEXMATCH(C4029, ""薪資""), ""薪資變動(不計入)"",
  REGEXMATCH(C4029, ""押金""), ""押金往來"",
  AND(E4029&lt;&gt;"""", F4029=""""), ""真實支出"",
  AND(E4029="""", F4029&lt;&gt;""""), ""真實收入"",
  TRUE, ""其他""
)"),"真實支出")</f>
        <v>真實支出</v>
      </c>
      <c r="K4029" s="270">
        <f t="shared" si="2"/>
        <v>-652</v>
      </c>
      <c r="L4029">
        <f t="shared" si="3"/>
        <v>0</v>
      </c>
    </row>
    <row r="4030">
      <c r="A4030" s="107">
        <f>IFERROR(__xludf.DUMMYFUNCTION("""COMPUTED_VALUE"""),45215.0)</f>
        <v>45215</v>
      </c>
      <c r="B4030" t="str">
        <f>IFERROR(__xludf.DUMMYFUNCTION("""COMPUTED_VALUE"""),"蝦皮_5F廁所鏡前燈")</f>
        <v>蝦皮_5F廁所鏡前燈</v>
      </c>
      <c r="C4030" t="str">
        <f>IFERROR(__xludf.DUMMYFUNCTION("""COMPUTED_VALUE"""),"成本 - 進場前裝潢費")</f>
        <v>成本 - 進場前裝潢費</v>
      </c>
      <c r="D4030" s="270">
        <f>IFERROR(__xludf.DUMMYFUNCTION("""COMPUTED_VALUE"""),-800.0)</f>
        <v>-800</v>
      </c>
      <c r="E4030" t="str">
        <f>IFERROR(__xludf.DUMMYFUNCTION("""COMPUTED_VALUE"""),"Ariel代墊")</f>
        <v>Ariel代墊</v>
      </c>
      <c r="G4030" t="str">
        <f>IFERROR(__xludf.DUMMYFUNCTION("""COMPUTED_VALUE"""),"內湖秘境")</f>
        <v>內湖秘境</v>
      </c>
      <c r="H4030" s="106" t="str">
        <f t="shared" si="1"/>
        <v>2023-10</v>
      </c>
      <c r="I4030" s="271" t="str">
        <f>IFERROR(__xludf.DUMMYFUNCTION("""COMPUTED_VALUE"""),"鯰魚大大")</f>
        <v>鯰魚大大</v>
      </c>
      <c r="J4030" t="str">
        <f>IFERROR(__xludf.DUMMYFUNCTION("IFS(
  AND(REGEXMATCH(E4030, ""台銀籌備帳戶|玉山帳戶""), REGEXMATCH(C4030, ""薪資"")), ""分潤支出"",
  AND(REGEXMATCH(E4030, ""Ben帳戶|Elsa帳戶|Ben代墊|Ariel代墊|中信銀行共用""), REGEXMATCH(F4030, ""Ben帳戶|Elsa帳戶|Ben代墊|Ariel代墊|中信銀行共用"")), ""內部轉帳(忽略)"",
  AND(E4030&lt;&gt;"""", F4030&lt;&gt;"""", N"&amp;"OT(REGEXMATCH(C4030, ""薪資""))), ""內部轉帳(忽略)"",
  REGEXMATCH(C4030, ""薪資""), ""薪資變動(不計入)"",
  REGEXMATCH(C4030, ""押金""), ""押金往來"",
  AND(E4030&lt;&gt;"""", F4030=""""), ""真實支出"",
  AND(E4030="""", F4030&lt;&gt;""""), ""真實收入"",
  TRUE, ""其他""
)"),"真實支出")</f>
        <v>真實支出</v>
      </c>
      <c r="K4030" s="270">
        <f t="shared" si="2"/>
        <v>-800</v>
      </c>
      <c r="L4030">
        <f t="shared" si="3"/>
        <v>0</v>
      </c>
    </row>
    <row r="4031">
      <c r="A4031" s="107">
        <f>IFERROR(__xludf.DUMMYFUNCTION("""COMPUTED_VALUE"""),45216.0)</f>
        <v>45216</v>
      </c>
      <c r="B4031" t="str">
        <f>IFERROR(__xludf.DUMMYFUNCTION("""COMPUTED_VALUE"""),"蝦皮_地墊 垃圾桶 ")</f>
        <v>蝦皮_地墊 垃圾桶 </v>
      </c>
      <c r="C4031" t="str">
        <f>IFERROR(__xludf.DUMMYFUNCTION("""COMPUTED_VALUE"""),"成本 - 進場前裝潢費")</f>
        <v>成本 - 進場前裝潢費</v>
      </c>
      <c r="D4031" s="270">
        <f>IFERROR(__xludf.DUMMYFUNCTION("""COMPUTED_VALUE"""),-769.0)</f>
        <v>-769</v>
      </c>
      <c r="E4031" t="str">
        <f>IFERROR(__xludf.DUMMYFUNCTION("""COMPUTED_VALUE"""),"Ariel代墊")</f>
        <v>Ariel代墊</v>
      </c>
      <c r="G4031" t="str">
        <f>IFERROR(__xludf.DUMMYFUNCTION("""COMPUTED_VALUE"""),"內湖秘境")</f>
        <v>內湖秘境</v>
      </c>
      <c r="H4031" s="106" t="str">
        <f t="shared" si="1"/>
        <v>2023-10</v>
      </c>
      <c r="I4031" s="271" t="str">
        <f>IFERROR(__xludf.DUMMYFUNCTION("""COMPUTED_VALUE"""),"鯰魚大大")</f>
        <v>鯰魚大大</v>
      </c>
      <c r="J4031" t="str">
        <f>IFERROR(__xludf.DUMMYFUNCTION("IFS(
  AND(REGEXMATCH(E4031, ""台銀籌備帳戶|玉山帳戶""), REGEXMATCH(C4031, ""薪資"")), ""分潤支出"",
  AND(REGEXMATCH(E4031, ""Ben帳戶|Elsa帳戶|Ben代墊|Ariel代墊|中信銀行共用""), REGEXMATCH(F4031, ""Ben帳戶|Elsa帳戶|Ben代墊|Ariel代墊|中信銀行共用"")), ""內部轉帳(忽略)"",
  AND(E4031&lt;&gt;"""", F4031&lt;&gt;"""", N"&amp;"OT(REGEXMATCH(C4031, ""薪資""))), ""內部轉帳(忽略)"",
  REGEXMATCH(C4031, ""薪資""), ""薪資變動(不計入)"",
  REGEXMATCH(C4031, ""押金""), ""押金往來"",
  AND(E4031&lt;&gt;"""", F4031=""""), ""真實支出"",
  AND(E4031="""", F4031&lt;&gt;""""), ""真實收入"",
  TRUE, ""其他""
)"),"真實支出")</f>
        <v>真實支出</v>
      </c>
      <c r="K4031" s="270">
        <f t="shared" si="2"/>
        <v>-769</v>
      </c>
      <c r="L4031">
        <f t="shared" si="3"/>
        <v>0</v>
      </c>
    </row>
    <row r="4032">
      <c r="A4032" s="107">
        <f>IFERROR(__xludf.DUMMYFUNCTION("""COMPUTED_VALUE"""),45216.0)</f>
        <v>45216</v>
      </c>
      <c r="B4032" t="str">
        <f>IFERROR(__xludf.DUMMYFUNCTION("""COMPUTED_VALUE"""),"蝦皮_馬桶噴槍")</f>
        <v>蝦皮_馬桶噴槍</v>
      </c>
      <c r="C4032" t="str">
        <f>IFERROR(__xludf.DUMMYFUNCTION("""COMPUTED_VALUE"""),"成本 - 進場前裝潢費")</f>
        <v>成本 - 進場前裝潢費</v>
      </c>
      <c r="D4032" s="270">
        <f>IFERROR(__xludf.DUMMYFUNCTION("""COMPUTED_VALUE"""),-583.0)</f>
        <v>-583</v>
      </c>
      <c r="E4032" t="str">
        <f>IFERROR(__xludf.DUMMYFUNCTION("""COMPUTED_VALUE"""),"Ariel代墊")</f>
        <v>Ariel代墊</v>
      </c>
      <c r="G4032" t="str">
        <f>IFERROR(__xludf.DUMMYFUNCTION("""COMPUTED_VALUE"""),"內湖秘境")</f>
        <v>內湖秘境</v>
      </c>
      <c r="H4032" s="106" t="str">
        <f t="shared" si="1"/>
        <v>2023-10</v>
      </c>
      <c r="I4032" s="271" t="str">
        <f>IFERROR(__xludf.DUMMYFUNCTION("""COMPUTED_VALUE"""),"鯰魚大大")</f>
        <v>鯰魚大大</v>
      </c>
      <c r="J4032" t="str">
        <f>IFERROR(__xludf.DUMMYFUNCTION("IFS(
  AND(REGEXMATCH(E4032, ""台銀籌備帳戶|玉山帳戶""), REGEXMATCH(C4032, ""薪資"")), ""分潤支出"",
  AND(REGEXMATCH(E4032, ""Ben帳戶|Elsa帳戶|Ben代墊|Ariel代墊|中信銀行共用""), REGEXMATCH(F4032, ""Ben帳戶|Elsa帳戶|Ben代墊|Ariel代墊|中信銀行共用"")), ""內部轉帳(忽略)"",
  AND(E4032&lt;&gt;"""", F4032&lt;&gt;"""", N"&amp;"OT(REGEXMATCH(C4032, ""薪資""))), ""內部轉帳(忽略)"",
  REGEXMATCH(C4032, ""薪資""), ""薪資變動(不計入)"",
  REGEXMATCH(C4032, ""押金""), ""押金往來"",
  AND(E4032&lt;&gt;"""", F4032=""""), ""真實支出"",
  AND(E4032="""", F4032&lt;&gt;""""), ""真實收入"",
  TRUE, ""其他""
)"),"真實支出")</f>
        <v>真實支出</v>
      </c>
      <c r="K4032" s="270">
        <f t="shared" si="2"/>
        <v>-583</v>
      </c>
      <c r="L4032">
        <f t="shared" si="3"/>
        <v>0</v>
      </c>
    </row>
    <row r="4033">
      <c r="A4033" s="107">
        <f>IFERROR(__xludf.DUMMYFUNCTION("""COMPUTED_VALUE"""),45216.0)</f>
        <v>45216</v>
      </c>
      <c r="B4033" t="str">
        <f>IFERROR(__xludf.DUMMYFUNCTION("""COMPUTED_VALUE"""),"蝦皮_乾溼分離條(5F)+壁貼")</f>
        <v>蝦皮_乾溼分離條(5F)+壁貼</v>
      </c>
      <c r="C4033" t="str">
        <f>IFERROR(__xludf.DUMMYFUNCTION("""COMPUTED_VALUE"""),"成本 - 進場前裝潢費")</f>
        <v>成本 - 進場前裝潢費</v>
      </c>
      <c r="D4033" s="270">
        <f>IFERROR(__xludf.DUMMYFUNCTION("""COMPUTED_VALUE"""),-1754.0)</f>
        <v>-1754</v>
      </c>
      <c r="E4033" t="str">
        <f>IFERROR(__xludf.DUMMYFUNCTION("""COMPUTED_VALUE"""),"Ariel代墊")</f>
        <v>Ariel代墊</v>
      </c>
      <c r="G4033" t="str">
        <f>IFERROR(__xludf.DUMMYFUNCTION("""COMPUTED_VALUE"""),"內湖秘境")</f>
        <v>內湖秘境</v>
      </c>
      <c r="H4033" s="106" t="str">
        <f t="shared" si="1"/>
        <v>2023-10</v>
      </c>
      <c r="I4033" s="271" t="str">
        <f>IFERROR(__xludf.DUMMYFUNCTION("""COMPUTED_VALUE"""),"鯰魚大大")</f>
        <v>鯰魚大大</v>
      </c>
      <c r="J4033" t="str">
        <f>IFERROR(__xludf.DUMMYFUNCTION("IFS(
  AND(REGEXMATCH(E4033, ""台銀籌備帳戶|玉山帳戶""), REGEXMATCH(C4033, ""薪資"")), ""分潤支出"",
  AND(REGEXMATCH(E4033, ""Ben帳戶|Elsa帳戶|Ben代墊|Ariel代墊|中信銀行共用""), REGEXMATCH(F4033, ""Ben帳戶|Elsa帳戶|Ben代墊|Ariel代墊|中信銀行共用"")), ""內部轉帳(忽略)"",
  AND(E4033&lt;&gt;"""", F4033&lt;&gt;"""", N"&amp;"OT(REGEXMATCH(C4033, ""薪資""))), ""內部轉帳(忽略)"",
  REGEXMATCH(C4033, ""薪資""), ""薪資變動(不計入)"",
  REGEXMATCH(C4033, ""押金""), ""押金往來"",
  AND(E4033&lt;&gt;"""", F4033=""""), ""真實支出"",
  AND(E4033="""", F4033&lt;&gt;""""), ""真實收入"",
  TRUE, ""其他""
)"),"真實支出")</f>
        <v>真實支出</v>
      </c>
      <c r="K4033" s="270">
        <f t="shared" si="2"/>
        <v>-1754</v>
      </c>
      <c r="L4033">
        <f t="shared" si="3"/>
        <v>0</v>
      </c>
    </row>
    <row r="4034">
      <c r="A4034" s="107">
        <f>IFERROR(__xludf.DUMMYFUNCTION("""COMPUTED_VALUE"""),45215.0)</f>
        <v>45215</v>
      </c>
      <c r="B4034" t="str">
        <f>IFERROR(__xludf.DUMMYFUNCTION("""COMPUTED_VALUE"""),"蝦皮_吸頂燈")</f>
        <v>蝦皮_吸頂燈</v>
      </c>
      <c r="C4034" t="str">
        <f>IFERROR(__xludf.DUMMYFUNCTION("""COMPUTED_VALUE"""),"成本 - 進場前裝潢費")</f>
        <v>成本 - 進場前裝潢費</v>
      </c>
      <c r="D4034" s="270">
        <f>IFERROR(__xludf.DUMMYFUNCTION("""COMPUTED_VALUE"""),-910.0)</f>
        <v>-910</v>
      </c>
      <c r="E4034" t="str">
        <f>IFERROR(__xludf.DUMMYFUNCTION("""COMPUTED_VALUE"""),"Ariel代墊")</f>
        <v>Ariel代墊</v>
      </c>
      <c r="G4034" t="str">
        <f>IFERROR(__xludf.DUMMYFUNCTION("""COMPUTED_VALUE"""),"內湖秘境")</f>
        <v>內湖秘境</v>
      </c>
      <c r="H4034" s="106" t="str">
        <f t="shared" si="1"/>
        <v>2023-10</v>
      </c>
      <c r="I4034" s="271" t="str">
        <f>IFERROR(__xludf.DUMMYFUNCTION("""COMPUTED_VALUE"""),"鯰魚大大")</f>
        <v>鯰魚大大</v>
      </c>
      <c r="J4034" t="str">
        <f>IFERROR(__xludf.DUMMYFUNCTION("IFS(
  AND(REGEXMATCH(E4034, ""台銀籌備帳戶|玉山帳戶""), REGEXMATCH(C4034, ""薪資"")), ""分潤支出"",
  AND(REGEXMATCH(E4034, ""Ben帳戶|Elsa帳戶|Ben代墊|Ariel代墊|中信銀行共用""), REGEXMATCH(F4034, ""Ben帳戶|Elsa帳戶|Ben代墊|Ariel代墊|中信銀行共用"")), ""內部轉帳(忽略)"",
  AND(E4034&lt;&gt;"""", F4034&lt;&gt;"""", N"&amp;"OT(REGEXMATCH(C4034, ""薪資""))), ""內部轉帳(忽略)"",
  REGEXMATCH(C4034, ""薪資""), ""薪資變動(不計入)"",
  REGEXMATCH(C4034, ""押金""), ""押金往來"",
  AND(E4034&lt;&gt;"""", F4034=""""), ""真實支出"",
  AND(E4034="""", F4034&lt;&gt;""""), ""真實收入"",
  TRUE, ""其他""
)"),"真實支出")</f>
        <v>真實支出</v>
      </c>
      <c r="K4034" s="270">
        <f t="shared" si="2"/>
        <v>-910</v>
      </c>
      <c r="L4034">
        <f t="shared" si="3"/>
        <v>0</v>
      </c>
    </row>
    <row r="4035">
      <c r="A4035" s="107">
        <f>IFERROR(__xludf.DUMMYFUNCTION("""COMPUTED_VALUE"""),45213.0)</f>
        <v>45213</v>
      </c>
      <c r="B4035" t="str">
        <f>IFERROR(__xludf.DUMMYFUNCTION("""COMPUTED_VALUE"""),"蝦皮_軟裝(植物)")</f>
        <v>蝦皮_軟裝(植物)</v>
      </c>
      <c r="C4035" t="str">
        <f>IFERROR(__xludf.DUMMYFUNCTION("""COMPUTED_VALUE"""),"成本 - 進場前裝潢費")</f>
        <v>成本 - 進場前裝潢費</v>
      </c>
      <c r="D4035" s="270">
        <f>IFERROR(__xludf.DUMMYFUNCTION("""COMPUTED_VALUE"""),-1594.0)</f>
        <v>-1594</v>
      </c>
      <c r="E4035" t="str">
        <f>IFERROR(__xludf.DUMMYFUNCTION("""COMPUTED_VALUE"""),"Ariel代墊")</f>
        <v>Ariel代墊</v>
      </c>
      <c r="G4035" t="str">
        <f>IFERROR(__xludf.DUMMYFUNCTION("""COMPUTED_VALUE"""),"內湖秘境")</f>
        <v>內湖秘境</v>
      </c>
      <c r="H4035" s="106" t="str">
        <f t="shared" si="1"/>
        <v>2023-10</v>
      </c>
      <c r="I4035" s="271" t="str">
        <f>IFERROR(__xludf.DUMMYFUNCTION("""COMPUTED_VALUE"""),"鯰魚大大")</f>
        <v>鯰魚大大</v>
      </c>
      <c r="J4035" t="str">
        <f>IFERROR(__xludf.DUMMYFUNCTION("IFS(
  AND(REGEXMATCH(E4035, ""台銀籌備帳戶|玉山帳戶""), REGEXMATCH(C4035, ""薪資"")), ""分潤支出"",
  AND(REGEXMATCH(E4035, ""Ben帳戶|Elsa帳戶|Ben代墊|Ariel代墊|中信銀行共用""), REGEXMATCH(F4035, ""Ben帳戶|Elsa帳戶|Ben代墊|Ariel代墊|中信銀行共用"")), ""內部轉帳(忽略)"",
  AND(E4035&lt;&gt;"""", F4035&lt;&gt;"""", N"&amp;"OT(REGEXMATCH(C4035, ""薪資""))), ""內部轉帳(忽略)"",
  REGEXMATCH(C4035, ""薪資""), ""薪資變動(不計入)"",
  REGEXMATCH(C4035, ""押金""), ""押金往來"",
  AND(E4035&lt;&gt;"""", F4035=""""), ""真實支出"",
  AND(E4035="""", F4035&lt;&gt;""""), ""真實收入"",
  TRUE, ""其他""
)"),"真實支出")</f>
        <v>真實支出</v>
      </c>
      <c r="K4035" s="270">
        <f t="shared" si="2"/>
        <v>-1594</v>
      </c>
      <c r="L4035">
        <f t="shared" si="3"/>
        <v>0</v>
      </c>
    </row>
    <row r="4036">
      <c r="A4036" s="107">
        <f>IFERROR(__xludf.DUMMYFUNCTION("""COMPUTED_VALUE"""),45216.0)</f>
        <v>45216</v>
      </c>
      <c r="B4036" t="str">
        <f>IFERROR(__xludf.DUMMYFUNCTION("""COMPUTED_VALUE"""),"蝦皮_洞洞板(小*3)")</f>
        <v>蝦皮_洞洞板(小*3)</v>
      </c>
      <c r="C4036" t="str">
        <f>IFERROR(__xludf.DUMMYFUNCTION("""COMPUTED_VALUE"""),"成本 - 進場前裝潢費")</f>
        <v>成本 - 進場前裝潢費</v>
      </c>
      <c r="D4036" s="270">
        <f>IFERROR(__xludf.DUMMYFUNCTION("""COMPUTED_VALUE"""),-2364.0)</f>
        <v>-2364</v>
      </c>
      <c r="E4036" t="str">
        <f>IFERROR(__xludf.DUMMYFUNCTION("""COMPUTED_VALUE"""),"Ariel代墊")</f>
        <v>Ariel代墊</v>
      </c>
      <c r="G4036" t="str">
        <f>IFERROR(__xludf.DUMMYFUNCTION("""COMPUTED_VALUE"""),"內湖秘境")</f>
        <v>內湖秘境</v>
      </c>
      <c r="H4036" s="106" t="str">
        <f t="shared" si="1"/>
        <v>2023-10</v>
      </c>
      <c r="I4036" s="271" t="str">
        <f>IFERROR(__xludf.DUMMYFUNCTION("""COMPUTED_VALUE"""),"鯰魚大大")</f>
        <v>鯰魚大大</v>
      </c>
      <c r="J4036" t="str">
        <f>IFERROR(__xludf.DUMMYFUNCTION("IFS(
  AND(REGEXMATCH(E4036, ""台銀籌備帳戶|玉山帳戶""), REGEXMATCH(C4036, ""薪資"")), ""分潤支出"",
  AND(REGEXMATCH(E4036, ""Ben帳戶|Elsa帳戶|Ben代墊|Ariel代墊|中信銀行共用""), REGEXMATCH(F4036, ""Ben帳戶|Elsa帳戶|Ben代墊|Ariel代墊|中信銀行共用"")), ""內部轉帳(忽略)"",
  AND(E4036&lt;&gt;"""", F4036&lt;&gt;"""", N"&amp;"OT(REGEXMATCH(C4036, ""薪資""))), ""內部轉帳(忽略)"",
  REGEXMATCH(C4036, ""薪資""), ""薪資變動(不計入)"",
  REGEXMATCH(C4036, ""押金""), ""押金往來"",
  AND(E4036&lt;&gt;"""", F4036=""""), ""真實支出"",
  AND(E4036="""", F4036&lt;&gt;""""), ""真實收入"",
  TRUE, ""其他""
)"),"真實支出")</f>
        <v>真實支出</v>
      </c>
      <c r="K4036" s="270">
        <f t="shared" si="2"/>
        <v>-2364</v>
      </c>
      <c r="L4036">
        <f t="shared" si="3"/>
        <v>0</v>
      </c>
    </row>
    <row r="4037">
      <c r="A4037" s="107">
        <f>IFERROR(__xludf.DUMMYFUNCTION("""COMPUTED_VALUE"""),45227.0)</f>
        <v>45227</v>
      </c>
      <c r="B4037" t="str">
        <f>IFERROR(__xludf.DUMMYFUNCTION("""COMPUTED_VALUE"""),"內湖 鑰匙 七串")</f>
        <v>內湖 鑰匙 七串</v>
      </c>
      <c r="C4037" t="str">
        <f>IFERROR(__xludf.DUMMYFUNCTION("""COMPUTED_VALUE"""),"成本 - 進場前裝潢費")</f>
        <v>成本 - 進場前裝潢費</v>
      </c>
      <c r="D4037" s="270">
        <f>IFERROR(__xludf.DUMMYFUNCTION("""COMPUTED_VALUE"""),-1260.0)</f>
        <v>-1260</v>
      </c>
      <c r="E4037" t="str">
        <f>IFERROR(__xludf.DUMMYFUNCTION("""COMPUTED_VALUE"""),"Ben代墊")</f>
        <v>Ben代墊</v>
      </c>
      <c r="G4037" t="str">
        <f>IFERROR(__xludf.DUMMYFUNCTION("""COMPUTED_VALUE"""),"內湖秘境")</f>
        <v>內湖秘境</v>
      </c>
      <c r="H4037" s="106" t="str">
        <f t="shared" si="1"/>
        <v>2023-10</v>
      </c>
      <c r="I4037" s="271" t="str">
        <f>IFERROR(__xludf.DUMMYFUNCTION("""COMPUTED_VALUE"""),"鯰魚大大")</f>
        <v>鯰魚大大</v>
      </c>
      <c r="J4037" t="str">
        <f>IFERROR(__xludf.DUMMYFUNCTION("IFS(
  AND(REGEXMATCH(E4037, ""台銀籌備帳戶|玉山帳戶""), REGEXMATCH(C4037, ""薪資"")), ""分潤支出"",
  AND(REGEXMATCH(E4037, ""Ben帳戶|Elsa帳戶|Ben代墊|Ariel代墊|中信銀行共用""), REGEXMATCH(F4037, ""Ben帳戶|Elsa帳戶|Ben代墊|Ariel代墊|中信銀行共用"")), ""內部轉帳(忽略)"",
  AND(E4037&lt;&gt;"""", F4037&lt;&gt;"""", N"&amp;"OT(REGEXMATCH(C4037, ""薪資""))), ""內部轉帳(忽略)"",
  REGEXMATCH(C4037, ""薪資""), ""薪資變動(不計入)"",
  REGEXMATCH(C4037, ""押金""), ""押金往來"",
  AND(E4037&lt;&gt;"""", F4037=""""), ""真實支出"",
  AND(E4037="""", F4037&lt;&gt;""""), ""真實收入"",
  TRUE, ""其他""
)"),"真實支出")</f>
        <v>真實支出</v>
      </c>
      <c r="K4037" s="270">
        <f t="shared" si="2"/>
        <v>-1260</v>
      </c>
      <c r="L4037">
        <f t="shared" si="3"/>
        <v>0</v>
      </c>
    </row>
    <row r="4038">
      <c r="A4038" s="107">
        <f>IFERROR(__xludf.DUMMYFUNCTION("""COMPUTED_VALUE"""),45232.0)</f>
        <v>45232</v>
      </c>
      <c r="B4038" t="str">
        <f>IFERROR(__xludf.DUMMYFUNCTION("""COMPUTED_VALUE"""),"內湖 窗簾 巧巧")</f>
        <v>內湖 窗簾 巧巧</v>
      </c>
      <c r="C4038" t="str">
        <f>IFERROR(__xludf.DUMMYFUNCTION("""COMPUTED_VALUE"""),"成本 - 進場前裝潢費")</f>
        <v>成本 - 進場前裝潢費</v>
      </c>
      <c r="D4038" s="270">
        <f>IFERROR(__xludf.DUMMYFUNCTION("""COMPUTED_VALUE"""),-45675.0)</f>
        <v>-45675</v>
      </c>
      <c r="E4038" t="str">
        <f>IFERROR(__xludf.DUMMYFUNCTION("""COMPUTED_VALUE"""),"Ben代墊")</f>
        <v>Ben代墊</v>
      </c>
      <c r="G4038" t="str">
        <f>IFERROR(__xludf.DUMMYFUNCTION("""COMPUTED_VALUE"""),"內湖秘境")</f>
        <v>內湖秘境</v>
      </c>
      <c r="H4038" s="106" t="str">
        <f t="shared" si="1"/>
        <v>2023-11</v>
      </c>
      <c r="I4038" s="271" t="str">
        <f>IFERROR(__xludf.DUMMYFUNCTION("""COMPUTED_VALUE"""),"鯰魚大大")</f>
        <v>鯰魚大大</v>
      </c>
      <c r="J4038" t="str">
        <f>IFERROR(__xludf.DUMMYFUNCTION("IFS(
  AND(REGEXMATCH(E4038, ""台銀籌備帳戶|玉山帳戶""), REGEXMATCH(C4038, ""薪資"")), ""分潤支出"",
  AND(REGEXMATCH(E4038, ""Ben帳戶|Elsa帳戶|Ben代墊|Ariel代墊|中信銀行共用""), REGEXMATCH(F4038, ""Ben帳戶|Elsa帳戶|Ben代墊|Ariel代墊|中信銀行共用"")), ""內部轉帳(忽略)"",
  AND(E4038&lt;&gt;"""", F4038&lt;&gt;"""", N"&amp;"OT(REGEXMATCH(C4038, ""薪資""))), ""內部轉帳(忽略)"",
  REGEXMATCH(C4038, ""薪資""), ""薪資變動(不計入)"",
  REGEXMATCH(C4038, ""押金""), ""押金往來"",
  AND(E4038&lt;&gt;"""", F4038=""""), ""真實支出"",
  AND(E4038="""", F4038&lt;&gt;""""), ""真實收入"",
  TRUE, ""其他""
)"),"真實支出")</f>
        <v>真實支出</v>
      </c>
      <c r="K4038" s="270">
        <f t="shared" si="2"/>
        <v>-45675</v>
      </c>
      <c r="L4038">
        <f t="shared" si="3"/>
        <v>0</v>
      </c>
    </row>
    <row r="4039">
      <c r="A4039" s="107">
        <f>IFERROR(__xludf.DUMMYFUNCTION("""COMPUTED_VALUE"""),45233.0)</f>
        <v>45233</v>
      </c>
      <c r="B4039" t="str">
        <f>IFERROR(__xludf.DUMMYFUNCTION("""COMPUTED_VALUE"""),"內湖 地板")</f>
        <v>內湖 地板</v>
      </c>
      <c r="C4039" t="str">
        <f>IFERROR(__xludf.DUMMYFUNCTION("""COMPUTED_VALUE"""),"成本 - 進場前裝潢費")</f>
        <v>成本 - 進場前裝潢費</v>
      </c>
      <c r="D4039" s="270">
        <f>IFERROR(__xludf.DUMMYFUNCTION("""COMPUTED_VALUE"""),-49760.0)</f>
        <v>-49760</v>
      </c>
      <c r="E4039" t="str">
        <f>IFERROR(__xludf.DUMMYFUNCTION("""COMPUTED_VALUE"""),"Ben代墊")</f>
        <v>Ben代墊</v>
      </c>
      <c r="G4039" t="str">
        <f>IFERROR(__xludf.DUMMYFUNCTION("""COMPUTED_VALUE"""),"內湖秘境")</f>
        <v>內湖秘境</v>
      </c>
      <c r="H4039" s="106" t="str">
        <f t="shared" si="1"/>
        <v>2023-11</v>
      </c>
      <c r="I4039" s="271" t="str">
        <f>IFERROR(__xludf.DUMMYFUNCTION("""COMPUTED_VALUE"""),"鯰魚大大")</f>
        <v>鯰魚大大</v>
      </c>
      <c r="J4039" t="str">
        <f>IFERROR(__xludf.DUMMYFUNCTION("IFS(
  AND(REGEXMATCH(E4039, ""台銀籌備帳戶|玉山帳戶""), REGEXMATCH(C4039, ""薪資"")), ""分潤支出"",
  AND(REGEXMATCH(E4039, ""Ben帳戶|Elsa帳戶|Ben代墊|Ariel代墊|中信銀行共用""), REGEXMATCH(F4039, ""Ben帳戶|Elsa帳戶|Ben代墊|Ariel代墊|中信銀行共用"")), ""內部轉帳(忽略)"",
  AND(E4039&lt;&gt;"""", F4039&lt;&gt;"""", N"&amp;"OT(REGEXMATCH(C4039, ""薪資""))), ""內部轉帳(忽略)"",
  REGEXMATCH(C4039, ""薪資""), ""薪資變動(不計入)"",
  REGEXMATCH(C4039, ""押金""), ""押金往來"",
  AND(E4039&lt;&gt;"""", F4039=""""), ""真實支出"",
  AND(E4039="""", F4039&lt;&gt;""""), ""真實收入"",
  TRUE, ""其他""
)"),"真實支出")</f>
        <v>真實支出</v>
      </c>
      <c r="K4039" s="270">
        <f t="shared" si="2"/>
        <v>-49760</v>
      </c>
      <c r="L4039">
        <f t="shared" si="3"/>
        <v>0</v>
      </c>
    </row>
    <row r="4040">
      <c r="A4040" s="107">
        <f>IFERROR(__xludf.DUMMYFUNCTION("""COMPUTED_VALUE"""),45239.0)</f>
        <v>45239</v>
      </c>
      <c r="B4040" t="str">
        <f>IFERROR(__xludf.DUMMYFUNCTION("""COMPUTED_VALUE"""),"內湖 水電")</f>
        <v>內湖 水電</v>
      </c>
      <c r="C4040" t="str">
        <f>IFERROR(__xludf.DUMMYFUNCTION("""COMPUTED_VALUE"""),"成本 - 進場前裝潢費")</f>
        <v>成本 - 進場前裝潢費</v>
      </c>
      <c r="D4040" s="270">
        <f>IFERROR(__xludf.DUMMYFUNCTION("""COMPUTED_VALUE"""),-81000.0)</f>
        <v>-81000</v>
      </c>
      <c r="E4040" t="str">
        <f>IFERROR(__xludf.DUMMYFUNCTION("""COMPUTED_VALUE"""),"Ben代墊")</f>
        <v>Ben代墊</v>
      </c>
      <c r="G4040" t="str">
        <f>IFERROR(__xludf.DUMMYFUNCTION("""COMPUTED_VALUE"""),"內湖秘境")</f>
        <v>內湖秘境</v>
      </c>
      <c r="H4040" s="106" t="str">
        <f t="shared" si="1"/>
        <v>2023-11</v>
      </c>
      <c r="I4040" s="271" t="str">
        <f>IFERROR(__xludf.DUMMYFUNCTION("""COMPUTED_VALUE"""),"鯰魚大大")</f>
        <v>鯰魚大大</v>
      </c>
      <c r="J4040" t="str">
        <f>IFERROR(__xludf.DUMMYFUNCTION("IFS(
  AND(REGEXMATCH(E4040, ""台銀籌備帳戶|玉山帳戶""), REGEXMATCH(C4040, ""薪資"")), ""分潤支出"",
  AND(REGEXMATCH(E4040, ""Ben帳戶|Elsa帳戶|Ben代墊|Ariel代墊|中信銀行共用""), REGEXMATCH(F4040, ""Ben帳戶|Elsa帳戶|Ben代墊|Ariel代墊|中信銀行共用"")), ""內部轉帳(忽略)"",
  AND(E4040&lt;&gt;"""", F4040&lt;&gt;"""", N"&amp;"OT(REGEXMATCH(C4040, ""薪資""))), ""內部轉帳(忽略)"",
  REGEXMATCH(C4040, ""薪資""), ""薪資變動(不計入)"",
  REGEXMATCH(C4040, ""押金""), ""押金往來"",
  AND(E4040&lt;&gt;"""", F4040=""""), ""真實支出"",
  AND(E4040="""", F4040&lt;&gt;""""), ""真實收入"",
  TRUE, ""其他""
)"),"真實支出")</f>
        <v>真實支出</v>
      </c>
      <c r="K4040" s="270">
        <f t="shared" si="2"/>
        <v>-81000</v>
      </c>
      <c r="L4040">
        <f t="shared" si="3"/>
        <v>0</v>
      </c>
    </row>
    <row r="4041">
      <c r="A4041" s="107">
        <f>IFERROR(__xludf.DUMMYFUNCTION("""COMPUTED_VALUE"""),45239.0)</f>
        <v>45239</v>
      </c>
      <c r="B4041" t="str">
        <f>IFERROR(__xludf.DUMMYFUNCTION("""COMPUTED_VALUE"""),"沖帳")</f>
        <v>沖帳</v>
      </c>
      <c r="C4041" t="str">
        <f>IFERROR(__xludf.DUMMYFUNCTION("""COMPUTED_VALUE"""),"收入 - 其他")</f>
        <v>收入 - 其他</v>
      </c>
      <c r="D4041" s="270">
        <f>IFERROR(__xludf.DUMMYFUNCTION("""COMPUTED_VALUE"""),500000.0)</f>
        <v>500000</v>
      </c>
      <c r="E4041" t="str">
        <f>IFERROR(__xludf.DUMMYFUNCTION("""COMPUTED_VALUE"""),"Ben代墊")</f>
        <v>Ben代墊</v>
      </c>
      <c r="F4041" t="str">
        <f>IFERROR(__xludf.DUMMYFUNCTION("""COMPUTED_VALUE"""),"玉山帳戶")</f>
        <v>玉山帳戶</v>
      </c>
      <c r="H4041" s="106" t="str">
        <f t="shared" si="1"/>
        <v>2023-11</v>
      </c>
      <c r="I4041" s="271" t="str">
        <f>IFERROR(__xludf.DUMMYFUNCTION("""COMPUTED_VALUE"""),"鯰魚大大")</f>
        <v>鯰魚大大</v>
      </c>
      <c r="J4041" t="str">
        <f>IFERROR(__xludf.DUMMYFUNCTION("IFS(
  AND(REGEXMATCH(E4041, ""台銀籌備帳戶|玉山帳戶""), REGEXMATCH(C4041, ""薪資"")), ""分潤支出"",
  AND(REGEXMATCH(E4041, ""Ben帳戶|Elsa帳戶|Ben代墊|Ariel代墊|中信銀行共用""), REGEXMATCH(F4041, ""Ben帳戶|Elsa帳戶|Ben代墊|Ariel代墊|中信銀行共用"")), ""內部轉帳(忽略)"",
  AND(E4041&lt;&gt;"""", F4041&lt;&gt;"""", N"&amp;"OT(REGEXMATCH(C4041, ""薪資""))), ""內部轉帳(忽略)"",
  REGEXMATCH(C4041, ""薪資""), ""薪資變動(不計入)"",
  REGEXMATCH(C4041, ""押金""), ""押金往來"",
  AND(E4041&lt;&gt;"""", F4041=""""), ""真實支出"",
  AND(E4041="""", F4041&lt;&gt;""""), ""真實收入"",
  TRUE, ""其他""
)"),"內部轉帳(忽略)")</f>
        <v>內部轉帳(忽略)</v>
      </c>
      <c r="K4041">
        <f t="shared" si="2"/>
        <v>0</v>
      </c>
      <c r="L4041">
        <f t="shared" si="3"/>
        <v>0</v>
      </c>
    </row>
    <row r="4042">
      <c r="A4042" s="107">
        <f>IFERROR(__xludf.DUMMYFUNCTION("""COMPUTED_VALUE"""),45239.0)</f>
        <v>45239</v>
      </c>
      <c r="B4042" t="str">
        <f>IFERROR(__xludf.DUMMYFUNCTION("""COMPUTED_VALUE"""),"沖帳")</f>
        <v>沖帳</v>
      </c>
      <c r="C4042" t="str">
        <f>IFERROR(__xludf.DUMMYFUNCTION("""COMPUTED_VALUE"""),"收入 - 其他")</f>
        <v>收入 - 其他</v>
      </c>
      <c r="D4042" s="270">
        <f>IFERROR(__xludf.DUMMYFUNCTION("""COMPUTED_VALUE"""),500000.0)</f>
        <v>500000</v>
      </c>
      <c r="E4042" t="str">
        <f>IFERROR(__xludf.DUMMYFUNCTION("""COMPUTED_VALUE"""),"Ben代墊")</f>
        <v>Ben代墊</v>
      </c>
      <c r="F4042" t="str">
        <f>IFERROR(__xludf.DUMMYFUNCTION("""COMPUTED_VALUE"""),"Ben代墊")</f>
        <v>Ben代墊</v>
      </c>
      <c r="H4042" s="106" t="str">
        <f t="shared" si="1"/>
        <v>2023-11</v>
      </c>
      <c r="I4042" s="271" t="str">
        <f>IFERROR(__xludf.DUMMYFUNCTION("""COMPUTED_VALUE"""),"鯰魚大大")</f>
        <v>鯰魚大大</v>
      </c>
      <c r="J4042" t="str">
        <f>IFERROR(__xludf.DUMMYFUNCTION("IFS(
  AND(REGEXMATCH(E4042, ""台銀籌備帳戶|玉山帳戶""), REGEXMATCH(C4042, ""薪資"")), ""分潤支出"",
  AND(REGEXMATCH(E4042, ""Ben帳戶|Elsa帳戶|Ben代墊|Ariel代墊|中信銀行共用""), REGEXMATCH(F4042, ""Ben帳戶|Elsa帳戶|Ben代墊|Ariel代墊|中信銀行共用"")), ""內部轉帳(忽略)"",
  AND(E4042&lt;&gt;"""", F4042&lt;&gt;"""", N"&amp;"OT(REGEXMATCH(C4042, ""薪資""))), ""內部轉帳(忽略)"",
  REGEXMATCH(C4042, ""薪資""), ""薪資變動(不計入)"",
  REGEXMATCH(C4042, ""押金""), ""押金往來"",
  AND(E4042&lt;&gt;"""", F4042=""""), ""真實支出"",
  AND(E4042="""", F4042&lt;&gt;""""), ""真實收入"",
  TRUE, ""其他""
)"),"內部轉帳(忽略)")</f>
        <v>內部轉帳(忽略)</v>
      </c>
      <c r="K4042">
        <f t="shared" si="2"/>
        <v>0</v>
      </c>
      <c r="L4042">
        <f t="shared" si="3"/>
        <v>0</v>
      </c>
    </row>
    <row r="4043">
      <c r="A4043" s="107">
        <f>IFERROR(__xludf.DUMMYFUNCTION("""COMPUTED_VALUE"""),45239.0)</f>
        <v>45239</v>
      </c>
      <c r="B4043" t="str">
        <f>IFERROR(__xludf.DUMMYFUNCTION("""COMPUTED_VALUE"""),"沖帳")</f>
        <v>沖帳</v>
      </c>
      <c r="C4043" t="str">
        <f>IFERROR(__xludf.DUMMYFUNCTION("""COMPUTED_VALUE"""),"收入 - 其他")</f>
        <v>收入 - 其他</v>
      </c>
      <c r="D4043" s="270">
        <f>IFERROR(__xludf.DUMMYFUNCTION("""COMPUTED_VALUE"""),101000.0)</f>
        <v>101000</v>
      </c>
      <c r="E4043" t="str">
        <f>IFERROR(__xludf.DUMMYFUNCTION("""COMPUTED_VALUE"""),"Ben代墊")</f>
        <v>Ben代墊</v>
      </c>
      <c r="F4043" t="str">
        <f>IFERROR(__xludf.DUMMYFUNCTION("""COMPUTED_VALUE"""),"Ben代墊")</f>
        <v>Ben代墊</v>
      </c>
      <c r="H4043" s="106" t="str">
        <f t="shared" si="1"/>
        <v>2023-11</v>
      </c>
      <c r="I4043" s="271" t="str">
        <f>IFERROR(__xludf.DUMMYFUNCTION("""COMPUTED_VALUE"""),"鯰魚大大")</f>
        <v>鯰魚大大</v>
      </c>
      <c r="J4043" t="str">
        <f>IFERROR(__xludf.DUMMYFUNCTION("IFS(
  AND(REGEXMATCH(E4043, ""台銀籌備帳戶|玉山帳戶""), REGEXMATCH(C4043, ""薪資"")), ""分潤支出"",
  AND(REGEXMATCH(E4043, ""Ben帳戶|Elsa帳戶|Ben代墊|Ariel代墊|中信銀行共用""), REGEXMATCH(F4043, ""Ben帳戶|Elsa帳戶|Ben代墊|Ariel代墊|中信銀行共用"")), ""內部轉帳(忽略)"",
  AND(E4043&lt;&gt;"""", F4043&lt;&gt;"""", N"&amp;"OT(REGEXMATCH(C4043, ""薪資""))), ""內部轉帳(忽略)"",
  REGEXMATCH(C4043, ""薪資""), ""薪資變動(不計入)"",
  REGEXMATCH(C4043, ""押金""), ""押金往來"",
  AND(E4043&lt;&gt;"""", F4043=""""), ""真實支出"",
  AND(E4043="""", F4043&lt;&gt;""""), ""真實收入"",
  TRUE, ""其他""
)"),"內部轉帳(忽略)")</f>
        <v>內部轉帳(忽略)</v>
      </c>
      <c r="K4043">
        <f t="shared" si="2"/>
        <v>0</v>
      </c>
      <c r="L4043">
        <f t="shared" si="3"/>
        <v>0</v>
      </c>
    </row>
    <row r="4044">
      <c r="A4044" s="107">
        <f>IFERROR(__xludf.DUMMYFUNCTION("""COMPUTED_VALUE"""),45240.0)</f>
        <v>45240</v>
      </c>
      <c r="B4044" t="str">
        <f>IFERROR(__xludf.DUMMYFUNCTION("""COMPUTED_VALUE"""),"內湖 定金 D")</f>
        <v>內湖 定金 D</v>
      </c>
      <c r="C4044" t="str">
        <f>IFERROR(__xludf.DUMMYFUNCTION("""COMPUTED_VALUE"""),"收入 - 租金")</f>
        <v>收入 - 租金</v>
      </c>
      <c r="D4044" s="270">
        <f>IFERROR(__xludf.DUMMYFUNCTION("""COMPUTED_VALUE"""),8000.0)</f>
        <v>8000</v>
      </c>
      <c r="F4044" t="str">
        <f>IFERROR(__xludf.DUMMYFUNCTION("""COMPUTED_VALUE"""),"Ben代墊")</f>
        <v>Ben代墊</v>
      </c>
      <c r="G4044" t="str">
        <f>IFERROR(__xludf.DUMMYFUNCTION("""COMPUTED_VALUE"""),"內湖秘境")</f>
        <v>內湖秘境</v>
      </c>
      <c r="H4044" s="106" t="str">
        <f t="shared" si="1"/>
        <v>2023-11</v>
      </c>
      <c r="I4044" s="271" t="str">
        <f>IFERROR(__xludf.DUMMYFUNCTION("""COMPUTED_VALUE"""),"鯰魚大大")</f>
        <v>鯰魚大大</v>
      </c>
      <c r="J4044" t="str">
        <f>IFERROR(__xludf.DUMMYFUNCTION("IFS(
  AND(REGEXMATCH(E4044, ""台銀籌備帳戶|玉山帳戶""), REGEXMATCH(C4044, ""薪資"")), ""分潤支出"",
  AND(REGEXMATCH(E4044, ""Ben帳戶|Elsa帳戶|Ben代墊|Ariel代墊|中信銀行共用""), REGEXMATCH(F4044, ""Ben帳戶|Elsa帳戶|Ben代墊|Ariel代墊|中信銀行共用"")), ""內部轉帳(忽略)"",
  AND(E4044&lt;&gt;"""", F4044&lt;&gt;"""", N"&amp;"OT(REGEXMATCH(C4044, ""薪資""))), ""內部轉帳(忽略)"",
  REGEXMATCH(C4044, ""薪資""), ""薪資變動(不計入)"",
  REGEXMATCH(C4044, ""押金""), ""押金往來"",
  AND(E4044&lt;&gt;"""", F4044=""""), ""真實支出"",
  AND(E4044="""", F4044&lt;&gt;""""), ""真實收入"",
  TRUE, ""其他""
)"),"真實收入")</f>
        <v>真實收入</v>
      </c>
      <c r="K4044" s="270">
        <f t="shared" si="2"/>
        <v>8000</v>
      </c>
      <c r="L4044">
        <f t="shared" si="3"/>
        <v>0</v>
      </c>
    </row>
    <row r="4045">
      <c r="A4045" s="107">
        <f>IFERROR(__xludf.DUMMYFUNCTION("""COMPUTED_VALUE"""),45241.0)</f>
        <v>45241</v>
      </c>
      <c r="B4045" t="str">
        <f>IFERROR(__xludf.DUMMYFUNCTION("""COMPUTED_VALUE"""),"內湖 定金 B")</f>
        <v>內湖 定金 B</v>
      </c>
      <c r="C4045" t="str">
        <f>IFERROR(__xludf.DUMMYFUNCTION("""COMPUTED_VALUE"""),"收入 - 租金")</f>
        <v>收入 - 租金</v>
      </c>
      <c r="D4045" s="270">
        <f>IFERROR(__xludf.DUMMYFUNCTION("""COMPUTED_VALUE"""),8000.0)</f>
        <v>8000</v>
      </c>
      <c r="F4045" t="str">
        <f>IFERROR(__xludf.DUMMYFUNCTION("""COMPUTED_VALUE"""),"Ben代墊")</f>
        <v>Ben代墊</v>
      </c>
      <c r="G4045" t="str">
        <f>IFERROR(__xludf.DUMMYFUNCTION("""COMPUTED_VALUE"""),"內湖秘境")</f>
        <v>內湖秘境</v>
      </c>
      <c r="H4045" s="106" t="str">
        <f t="shared" si="1"/>
        <v>2023-11</v>
      </c>
      <c r="I4045" s="271" t="str">
        <f>IFERROR(__xludf.DUMMYFUNCTION("""COMPUTED_VALUE"""),"鯰魚大大")</f>
        <v>鯰魚大大</v>
      </c>
      <c r="J4045" t="str">
        <f>IFERROR(__xludf.DUMMYFUNCTION("IFS(
  AND(REGEXMATCH(E4045, ""台銀籌備帳戶|玉山帳戶""), REGEXMATCH(C4045, ""薪資"")), ""分潤支出"",
  AND(REGEXMATCH(E4045, ""Ben帳戶|Elsa帳戶|Ben代墊|Ariel代墊|中信銀行共用""), REGEXMATCH(F4045, ""Ben帳戶|Elsa帳戶|Ben代墊|Ariel代墊|中信銀行共用"")), ""內部轉帳(忽略)"",
  AND(E4045&lt;&gt;"""", F4045&lt;&gt;"""", N"&amp;"OT(REGEXMATCH(C4045, ""薪資""))), ""內部轉帳(忽略)"",
  REGEXMATCH(C4045, ""薪資""), ""薪資變動(不計入)"",
  REGEXMATCH(C4045, ""押金""), ""押金往來"",
  AND(E4045&lt;&gt;"""", F4045=""""), ""真實支出"",
  AND(E4045="""", F4045&lt;&gt;""""), ""真實收入"",
  TRUE, ""其他""
)"),"真實收入")</f>
        <v>真實收入</v>
      </c>
      <c r="K4045" s="270">
        <f t="shared" si="2"/>
        <v>8000</v>
      </c>
      <c r="L4045">
        <f t="shared" si="3"/>
        <v>0</v>
      </c>
    </row>
    <row r="4046">
      <c r="A4046" s="107">
        <f>IFERROR(__xludf.DUMMYFUNCTION("""COMPUTED_VALUE"""),45241.0)</f>
        <v>45241</v>
      </c>
      <c r="B4046" t="str">
        <f>IFERROR(__xludf.DUMMYFUNCTION("""COMPUTED_VALUE"""),"內湖 定金 E")</f>
        <v>內湖 定金 E</v>
      </c>
      <c r="C4046" t="str">
        <f>IFERROR(__xludf.DUMMYFUNCTION("""COMPUTED_VALUE"""),"收入 - 租金")</f>
        <v>收入 - 租金</v>
      </c>
      <c r="D4046" s="270">
        <f>IFERROR(__xludf.DUMMYFUNCTION("""COMPUTED_VALUE"""),8000.0)</f>
        <v>8000</v>
      </c>
      <c r="F4046" t="str">
        <f>IFERROR(__xludf.DUMMYFUNCTION("""COMPUTED_VALUE"""),"Ben代墊")</f>
        <v>Ben代墊</v>
      </c>
      <c r="G4046" t="str">
        <f>IFERROR(__xludf.DUMMYFUNCTION("""COMPUTED_VALUE"""),"內湖秘境")</f>
        <v>內湖秘境</v>
      </c>
      <c r="H4046" s="106" t="str">
        <f t="shared" si="1"/>
        <v>2023-11</v>
      </c>
      <c r="I4046" s="271" t="str">
        <f>IFERROR(__xludf.DUMMYFUNCTION("""COMPUTED_VALUE"""),"鯰魚大大")</f>
        <v>鯰魚大大</v>
      </c>
      <c r="J4046" t="str">
        <f>IFERROR(__xludf.DUMMYFUNCTION("IFS(
  AND(REGEXMATCH(E4046, ""台銀籌備帳戶|玉山帳戶""), REGEXMATCH(C4046, ""薪資"")), ""分潤支出"",
  AND(REGEXMATCH(E4046, ""Ben帳戶|Elsa帳戶|Ben代墊|Ariel代墊|中信銀行共用""), REGEXMATCH(F4046, ""Ben帳戶|Elsa帳戶|Ben代墊|Ariel代墊|中信銀行共用"")), ""內部轉帳(忽略)"",
  AND(E4046&lt;&gt;"""", F4046&lt;&gt;"""", N"&amp;"OT(REGEXMATCH(C4046, ""薪資""))), ""內部轉帳(忽略)"",
  REGEXMATCH(C4046, ""薪資""), ""薪資變動(不計入)"",
  REGEXMATCH(C4046, ""押金""), ""押金往來"",
  AND(E4046&lt;&gt;"""", F4046=""""), ""真實支出"",
  AND(E4046="""", F4046&lt;&gt;""""), ""真實收入"",
  TRUE, ""其他""
)"),"真實收入")</f>
        <v>真實收入</v>
      </c>
      <c r="K4046" s="270">
        <f t="shared" si="2"/>
        <v>8000</v>
      </c>
      <c r="L4046">
        <f t="shared" si="3"/>
        <v>0</v>
      </c>
    </row>
    <row r="4047">
      <c r="A4047" s="107">
        <f>IFERROR(__xludf.DUMMYFUNCTION("""COMPUTED_VALUE"""),45243.0)</f>
        <v>45243</v>
      </c>
      <c r="B4047" t="str">
        <f>IFERROR(__xludf.DUMMYFUNCTION("""COMPUTED_VALUE"""),"內湖 簽約 D (6個月)")</f>
        <v>內湖 簽約 D (6個月)</v>
      </c>
      <c r="C4047" t="str">
        <f>IFERROR(__xludf.DUMMYFUNCTION("""COMPUTED_VALUE"""),"收入 - 租金")</f>
        <v>收入 - 租金</v>
      </c>
      <c r="D4047" s="270">
        <f>IFERROR(__xludf.DUMMYFUNCTION("""COMPUTED_VALUE"""),26400.0)</f>
        <v>26400</v>
      </c>
      <c r="F4047" t="str">
        <f>IFERROR(__xludf.DUMMYFUNCTION("""COMPUTED_VALUE"""),"玉山帳戶")</f>
        <v>玉山帳戶</v>
      </c>
      <c r="G4047" t="str">
        <f>IFERROR(__xludf.DUMMYFUNCTION("""COMPUTED_VALUE"""),"內湖秘境")</f>
        <v>內湖秘境</v>
      </c>
      <c r="H4047" s="106" t="str">
        <f t="shared" si="1"/>
        <v>2023-11</v>
      </c>
      <c r="I4047" s="271" t="str">
        <f>IFERROR(__xludf.DUMMYFUNCTION("""COMPUTED_VALUE"""),"鯰魚大大")</f>
        <v>鯰魚大大</v>
      </c>
      <c r="J4047" t="str">
        <f>IFERROR(__xludf.DUMMYFUNCTION("IFS(
  AND(REGEXMATCH(E4047, ""台銀籌備帳戶|玉山帳戶""), REGEXMATCH(C4047, ""薪資"")), ""分潤支出"",
  AND(REGEXMATCH(E4047, ""Ben帳戶|Elsa帳戶|Ben代墊|Ariel代墊|中信銀行共用""), REGEXMATCH(F4047, ""Ben帳戶|Elsa帳戶|Ben代墊|Ariel代墊|中信銀行共用"")), ""內部轉帳(忽略)"",
  AND(E4047&lt;&gt;"""", F4047&lt;&gt;"""", N"&amp;"OT(REGEXMATCH(C4047, ""薪資""))), ""內部轉帳(忽略)"",
  REGEXMATCH(C4047, ""薪資""), ""薪資變動(不計入)"",
  REGEXMATCH(C4047, ""押金""), ""押金往來"",
  AND(E4047&lt;&gt;"""", F4047=""""), ""真實支出"",
  AND(E4047="""", F4047&lt;&gt;""""), ""真實收入"",
  TRUE, ""其他""
)"),"真實收入")</f>
        <v>真實收入</v>
      </c>
      <c r="K4047" s="270">
        <f t="shared" si="2"/>
        <v>26400</v>
      </c>
      <c r="L4047">
        <f t="shared" si="3"/>
        <v>0</v>
      </c>
    </row>
    <row r="4048">
      <c r="A4048" s="107">
        <f>IFERROR(__xludf.DUMMYFUNCTION("""COMPUTED_VALUE"""),45243.0)</f>
        <v>45243</v>
      </c>
      <c r="B4048" t="str">
        <f>IFERROR(__xludf.DUMMYFUNCTION("""COMPUTED_VALUE"""),"內湖 簽約 D (6個月)")</f>
        <v>內湖 簽約 D (6個月)</v>
      </c>
      <c r="C4048" t="str">
        <f>IFERROR(__xludf.DUMMYFUNCTION("""COMPUTED_VALUE"""),"收入 - 租金")</f>
        <v>收入 - 租金</v>
      </c>
      <c r="D4048" s="270">
        <f>IFERROR(__xludf.DUMMYFUNCTION("""COMPUTED_VALUE"""),71200.0)</f>
        <v>71200</v>
      </c>
      <c r="F4048" t="str">
        <f>IFERROR(__xludf.DUMMYFUNCTION("""COMPUTED_VALUE"""),"玉山帳戶")</f>
        <v>玉山帳戶</v>
      </c>
      <c r="G4048" t="str">
        <f>IFERROR(__xludf.DUMMYFUNCTION("""COMPUTED_VALUE"""),"內湖秘境")</f>
        <v>內湖秘境</v>
      </c>
      <c r="H4048" s="106" t="str">
        <f t="shared" si="1"/>
        <v>2023-11</v>
      </c>
      <c r="I4048" s="271" t="str">
        <f>IFERROR(__xludf.DUMMYFUNCTION("""COMPUTED_VALUE"""),"鯰魚大大")</f>
        <v>鯰魚大大</v>
      </c>
      <c r="J4048" t="str">
        <f>IFERROR(__xludf.DUMMYFUNCTION("IFS(
  AND(REGEXMATCH(E4048, ""台銀籌備帳戶|玉山帳戶""), REGEXMATCH(C4048, ""薪資"")), ""分潤支出"",
  AND(REGEXMATCH(E4048, ""Ben帳戶|Elsa帳戶|Ben代墊|Ariel代墊|中信銀行共用""), REGEXMATCH(F4048, ""Ben帳戶|Elsa帳戶|Ben代墊|Ariel代墊|中信銀行共用"")), ""內部轉帳(忽略)"",
  AND(E4048&lt;&gt;"""", F4048&lt;&gt;"""", N"&amp;"OT(REGEXMATCH(C4048, ""薪資""))), ""內部轉帳(忽略)"",
  REGEXMATCH(C4048, ""薪資""), ""薪資變動(不計入)"",
  REGEXMATCH(C4048, ""押金""), ""押金往來"",
  AND(E4048&lt;&gt;"""", F4048=""""), ""真實支出"",
  AND(E4048="""", F4048&lt;&gt;""""), ""真實收入"",
  TRUE, ""其他""
)"),"真實收入")</f>
        <v>真實收入</v>
      </c>
      <c r="K4048" s="270">
        <f t="shared" si="2"/>
        <v>71200</v>
      </c>
      <c r="L4048">
        <f t="shared" si="3"/>
        <v>0</v>
      </c>
    </row>
    <row r="4049">
      <c r="A4049" s="107">
        <f>IFERROR(__xludf.DUMMYFUNCTION("""COMPUTED_VALUE"""),45244.0)</f>
        <v>45244</v>
      </c>
      <c r="B4049" t="str">
        <f>IFERROR(__xludf.DUMMYFUNCTION("""COMPUTED_VALUE"""),"內湖 定金 G")</f>
        <v>內湖 定金 G</v>
      </c>
      <c r="C4049" t="str">
        <f>IFERROR(__xludf.DUMMYFUNCTION("""COMPUTED_VALUE"""),"收入 - 租金")</f>
        <v>收入 - 租金</v>
      </c>
      <c r="D4049" s="270">
        <f>IFERROR(__xludf.DUMMYFUNCTION("""COMPUTED_VALUE"""),8000.0)</f>
        <v>8000</v>
      </c>
      <c r="F4049" t="str">
        <f>IFERROR(__xludf.DUMMYFUNCTION("""COMPUTED_VALUE"""),"玉山帳戶")</f>
        <v>玉山帳戶</v>
      </c>
      <c r="G4049" t="str">
        <f>IFERROR(__xludf.DUMMYFUNCTION("""COMPUTED_VALUE"""),"內湖秘境")</f>
        <v>內湖秘境</v>
      </c>
      <c r="H4049" s="106" t="str">
        <f t="shared" si="1"/>
        <v>2023-11</v>
      </c>
      <c r="I4049" s="271" t="str">
        <f>IFERROR(__xludf.DUMMYFUNCTION("""COMPUTED_VALUE"""),"鯰魚大大")</f>
        <v>鯰魚大大</v>
      </c>
      <c r="J4049" t="str">
        <f>IFERROR(__xludf.DUMMYFUNCTION("IFS(
  AND(REGEXMATCH(E4049, ""台銀籌備帳戶|玉山帳戶""), REGEXMATCH(C4049, ""薪資"")), ""分潤支出"",
  AND(REGEXMATCH(E4049, ""Ben帳戶|Elsa帳戶|Ben代墊|Ariel代墊|中信銀行共用""), REGEXMATCH(F4049, ""Ben帳戶|Elsa帳戶|Ben代墊|Ariel代墊|中信銀行共用"")), ""內部轉帳(忽略)"",
  AND(E4049&lt;&gt;"""", F4049&lt;&gt;"""", N"&amp;"OT(REGEXMATCH(C4049, ""薪資""))), ""內部轉帳(忽略)"",
  REGEXMATCH(C4049, ""薪資""), ""薪資變動(不計入)"",
  REGEXMATCH(C4049, ""押金""), ""押金往來"",
  AND(E4049&lt;&gt;"""", F4049=""""), ""真實支出"",
  AND(E4049="""", F4049&lt;&gt;""""), ""真實收入"",
  TRUE, ""其他""
)"),"真實收入")</f>
        <v>真實收入</v>
      </c>
      <c r="K4049" s="270">
        <f t="shared" si="2"/>
        <v>8000</v>
      </c>
      <c r="L4049">
        <f t="shared" si="3"/>
        <v>0</v>
      </c>
    </row>
    <row r="4050">
      <c r="A4050" s="107">
        <f>IFERROR(__xludf.DUMMYFUNCTION("""COMPUTED_VALUE"""),45245.0)</f>
        <v>45245</v>
      </c>
      <c r="B4050" t="str">
        <f>IFERROR(__xludf.DUMMYFUNCTION("""COMPUTED_VALUE"""),"內湖 定金 C")</f>
        <v>內湖 定金 C</v>
      </c>
      <c r="C4050" t="str">
        <f>IFERROR(__xludf.DUMMYFUNCTION("""COMPUTED_VALUE"""),"收入 - 租金")</f>
        <v>收入 - 租金</v>
      </c>
      <c r="D4050" s="270">
        <f>IFERROR(__xludf.DUMMYFUNCTION("""COMPUTED_VALUE"""),8000.0)</f>
        <v>8000</v>
      </c>
      <c r="F4050" t="str">
        <f>IFERROR(__xludf.DUMMYFUNCTION("""COMPUTED_VALUE"""),"玉山帳戶")</f>
        <v>玉山帳戶</v>
      </c>
      <c r="G4050" t="str">
        <f>IFERROR(__xludf.DUMMYFUNCTION("""COMPUTED_VALUE"""),"內湖秘境")</f>
        <v>內湖秘境</v>
      </c>
      <c r="H4050" s="106" t="str">
        <f t="shared" si="1"/>
        <v>2023-11</v>
      </c>
      <c r="I4050" s="271" t="str">
        <f>IFERROR(__xludf.DUMMYFUNCTION("""COMPUTED_VALUE"""),"鯰魚大大")</f>
        <v>鯰魚大大</v>
      </c>
      <c r="J4050" t="str">
        <f>IFERROR(__xludf.DUMMYFUNCTION("IFS(
  AND(REGEXMATCH(E4050, ""台銀籌備帳戶|玉山帳戶""), REGEXMATCH(C4050, ""薪資"")), ""分潤支出"",
  AND(REGEXMATCH(E4050, ""Ben帳戶|Elsa帳戶|Ben代墊|Ariel代墊|中信銀行共用""), REGEXMATCH(F4050, ""Ben帳戶|Elsa帳戶|Ben代墊|Ariel代墊|中信銀行共用"")), ""內部轉帳(忽略)"",
  AND(E4050&lt;&gt;"""", F4050&lt;&gt;"""", N"&amp;"OT(REGEXMATCH(C4050, ""薪資""))), ""內部轉帳(忽略)"",
  REGEXMATCH(C4050, ""薪資""), ""薪資變動(不計入)"",
  REGEXMATCH(C4050, ""押金""), ""押金往來"",
  AND(E4050&lt;&gt;"""", F4050=""""), ""真實支出"",
  AND(E4050="""", F4050&lt;&gt;""""), ""真實收入"",
  TRUE, ""其他""
)"),"真實收入")</f>
        <v>真實收入</v>
      </c>
      <c r="K4050" s="270">
        <f t="shared" si="2"/>
        <v>8000</v>
      </c>
      <c r="L4050">
        <f t="shared" si="3"/>
        <v>0</v>
      </c>
    </row>
    <row r="4051">
      <c r="A4051" s="107">
        <f>IFERROR(__xludf.DUMMYFUNCTION("""COMPUTED_VALUE"""),45245.0)</f>
        <v>45245</v>
      </c>
      <c r="B4051" t="str">
        <f>IFERROR(__xludf.DUMMYFUNCTION("""COMPUTED_VALUE"""),"內湖 定金 F")</f>
        <v>內湖 定金 F</v>
      </c>
      <c r="C4051" t="str">
        <f>IFERROR(__xludf.DUMMYFUNCTION("""COMPUTED_VALUE"""),"收入 - 租金")</f>
        <v>收入 - 租金</v>
      </c>
      <c r="D4051" s="270">
        <f>IFERROR(__xludf.DUMMYFUNCTION("""COMPUTED_VALUE"""),8000.0)</f>
        <v>8000</v>
      </c>
      <c r="F4051" t="str">
        <f>IFERROR(__xludf.DUMMYFUNCTION("""COMPUTED_VALUE"""),"Ben代墊")</f>
        <v>Ben代墊</v>
      </c>
      <c r="G4051" t="str">
        <f>IFERROR(__xludf.DUMMYFUNCTION("""COMPUTED_VALUE"""),"內湖秘境")</f>
        <v>內湖秘境</v>
      </c>
      <c r="H4051" s="106" t="str">
        <f t="shared" si="1"/>
        <v>2023-11</v>
      </c>
      <c r="I4051" s="271" t="str">
        <f>IFERROR(__xludf.DUMMYFUNCTION("""COMPUTED_VALUE"""),"鯰魚大大")</f>
        <v>鯰魚大大</v>
      </c>
      <c r="J4051" t="str">
        <f>IFERROR(__xludf.DUMMYFUNCTION("IFS(
  AND(REGEXMATCH(E4051, ""台銀籌備帳戶|玉山帳戶""), REGEXMATCH(C4051, ""薪資"")), ""分潤支出"",
  AND(REGEXMATCH(E4051, ""Ben帳戶|Elsa帳戶|Ben代墊|Ariel代墊|中信銀行共用""), REGEXMATCH(F4051, ""Ben帳戶|Elsa帳戶|Ben代墊|Ariel代墊|中信銀行共用"")), ""內部轉帳(忽略)"",
  AND(E4051&lt;&gt;"""", F4051&lt;&gt;"""", N"&amp;"OT(REGEXMATCH(C4051, ""薪資""))), ""內部轉帳(忽略)"",
  REGEXMATCH(C4051, ""薪資""), ""薪資變動(不計入)"",
  REGEXMATCH(C4051, ""押金""), ""押金往來"",
  AND(E4051&lt;&gt;"""", F4051=""""), ""真實支出"",
  AND(E4051="""", F4051&lt;&gt;""""), ""真實收入"",
  TRUE, ""其他""
)"),"真實收入")</f>
        <v>真實收入</v>
      </c>
      <c r="K4051" s="270">
        <f t="shared" si="2"/>
        <v>8000</v>
      </c>
      <c r="L4051">
        <f t="shared" si="3"/>
        <v>0</v>
      </c>
    </row>
    <row r="4052">
      <c r="A4052" s="107">
        <f>IFERROR(__xludf.DUMMYFUNCTION("""COMPUTED_VALUE"""),45245.0)</f>
        <v>45245</v>
      </c>
      <c r="B4052" t="str">
        <f>IFERROR(__xludf.DUMMYFUNCTION("""COMPUTED_VALUE"""),"內湖 簽約 E (12個月)")</f>
        <v>內湖 簽約 E (12個月)</v>
      </c>
      <c r="C4052" t="str">
        <f>IFERROR(__xludf.DUMMYFUNCTION("""COMPUTED_VALUE"""),"收入 - 租金")</f>
        <v>收入 - 租金</v>
      </c>
      <c r="D4052" s="270">
        <f>IFERROR(__xludf.DUMMYFUNCTION("""COMPUTED_VALUE"""),26000.0)</f>
        <v>26000</v>
      </c>
      <c r="F4052" t="str">
        <f>IFERROR(__xludf.DUMMYFUNCTION("""COMPUTED_VALUE"""),"玉山帳戶")</f>
        <v>玉山帳戶</v>
      </c>
      <c r="G4052" t="str">
        <f>IFERROR(__xludf.DUMMYFUNCTION("""COMPUTED_VALUE"""),"內湖秘境")</f>
        <v>內湖秘境</v>
      </c>
      <c r="H4052" s="106" t="str">
        <f t="shared" si="1"/>
        <v>2023-11</v>
      </c>
      <c r="I4052" s="271" t="str">
        <f>IFERROR(__xludf.DUMMYFUNCTION("""COMPUTED_VALUE"""),"鯰魚大大")</f>
        <v>鯰魚大大</v>
      </c>
      <c r="J4052" t="str">
        <f>IFERROR(__xludf.DUMMYFUNCTION("IFS(
  AND(REGEXMATCH(E4052, ""台銀籌備帳戶|玉山帳戶""), REGEXMATCH(C4052, ""薪資"")), ""分潤支出"",
  AND(REGEXMATCH(E4052, ""Ben帳戶|Elsa帳戶|Ben代墊|Ariel代墊|中信銀行共用""), REGEXMATCH(F4052, ""Ben帳戶|Elsa帳戶|Ben代墊|Ariel代墊|中信銀行共用"")), ""內部轉帳(忽略)"",
  AND(E4052&lt;&gt;"""", F4052&lt;&gt;"""", N"&amp;"OT(REGEXMATCH(C4052, ""薪資""))), ""內部轉帳(忽略)"",
  REGEXMATCH(C4052, ""薪資""), ""薪資變動(不計入)"",
  REGEXMATCH(C4052, ""押金""), ""押金往來"",
  AND(E4052&lt;&gt;"""", F4052=""""), ""真實支出"",
  AND(E4052="""", F4052&lt;&gt;""""), ""真實收入"",
  TRUE, ""其他""
)"),"真實收入")</f>
        <v>真實收入</v>
      </c>
      <c r="K4052" s="270">
        <f t="shared" si="2"/>
        <v>26000</v>
      </c>
      <c r="L4052">
        <f t="shared" si="3"/>
        <v>0</v>
      </c>
    </row>
    <row r="4053">
      <c r="A4053" s="107">
        <f>IFERROR(__xludf.DUMMYFUNCTION("""COMPUTED_VALUE"""),45245.0)</f>
        <v>45245</v>
      </c>
      <c r="B4053" t="str">
        <f>IFERROR(__xludf.DUMMYFUNCTION("""COMPUTED_VALUE"""),"內湖 簽約 E (12個月)")</f>
        <v>內湖 簽約 E (12個月)</v>
      </c>
      <c r="C4053" t="str">
        <f>IFERROR(__xludf.DUMMYFUNCTION("""COMPUTED_VALUE"""),"收入 - 租金")</f>
        <v>收入 - 租金</v>
      </c>
      <c r="D4053" s="270">
        <f>IFERROR(__xludf.DUMMYFUNCTION("""COMPUTED_VALUE"""),148000.0)</f>
        <v>148000</v>
      </c>
      <c r="F4053" t="str">
        <f>IFERROR(__xludf.DUMMYFUNCTION("""COMPUTED_VALUE"""),"玉山帳戶")</f>
        <v>玉山帳戶</v>
      </c>
      <c r="G4053" t="str">
        <f>IFERROR(__xludf.DUMMYFUNCTION("""COMPUTED_VALUE"""),"內湖秘境")</f>
        <v>內湖秘境</v>
      </c>
      <c r="H4053" s="106" t="str">
        <f t="shared" si="1"/>
        <v>2023-11</v>
      </c>
      <c r="I4053" s="271" t="str">
        <f>IFERROR(__xludf.DUMMYFUNCTION("""COMPUTED_VALUE"""),"鯰魚大大")</f>
        <v>鯰魚大大</v>
      </c>
      <c r="J4053" t="str">
        <f>IFERROR(__xludf.DUMMYFUNCTION("IFS(
  AND(REGEXMATCH(E4053, ""台銀籌備帳戶|玉山帳戶""), REGEXMATCH(C4053, ""薪資"")), ""分潤支出"",
  AND(REGEXMATCH(E4053, ""Ben帳戶|Elsa帳戶|Ben代墊|Ariel代墊|中信銀行共用""), REGEXMATCH(F4053, ""Ben帳戶|Elsa帳戶|Ben代墊|Ariel代墊|中信銀行共用"")), ""內部轉帳(忽略)"",
  AND(E4053&lt;&gt;"""", F4053&lt;&gt;"""", N"&amp;"OT(REGEXMATCH(C4053, ""薪資""))), ""內部轉帳(忽略)"",
  REGEXMATCH(C4053, ""薪資""), ""薪資變動(不計入)"",
  REGEXMATCH(C4053, ""押金""), ""押金往來"",
  AND(E4053&lt;&gt;"""", F4053=""""), ""真實支出"",
  AND(E4053="""", F4053&lt;&gt;""""), ""真實收入"",
  TRUE, ""其他""
)"),"真實收入")</f>
        <v>真實收入</v>
      </c>
      <c r="K4053" s="270">
        <f t="shared" si="2"/>
        <v>148000</v>
      </c>
      <c r="L4053">
        <f t="shared" si="3"/>
        <v>0</v>
      </c>
    </row>
    <row r="4054">
      <c r="A4054" s="107">
        <f>IFERROR(__xludf.DUMMYFUNCTION("""COMPUTED_VALUE"""),45246.0)</f>
        <v>45246</v>
      </c>
      <c r="B4054" t="str">
        <f>IFERROR(__xludf.DUMMYFUNCTION("""COMPUTED_VALUE"""),"內湖 簽約 B")</f>
        <v>內湖 簽約 B</v>
      </c>
      <c r="C4054" t="str">
        <f>IFERROR(__xludf.DUMMYFUNCTION("""COMPUTED_VALUE"""),"收入 - 租金")</f>
        <v>收入 - 租金</v>
      </c>
      <c r="D4054" s="270">
        <f>IFERROR(__xludf.DUMMYFUNCTION("""COMPUTED_VALUE"""),25600.0)</f>
        <v>25600</v>
      </c>
      <c r="F4054" t="str">
        <f>IFERROR(__xludf.DUMMYFUNCTION("""COMPUTED_VALUE"""),"玉山帳戶")</f>
        <v>玉山帳戶</v>
      </c>
      <c r="G4054" t="str">
        <f>IFERROR(__xludf.DUMMYFUNCTION("""COMPUTED_VALUE"""),"內湖秘境")</f>
        <v>內湖秘境</v>
      </c>
      <c r="H4054" s="106" t="str">
        <f t="shared" si="1"/>
        <v>2023-11</v>
      </c>
      <c r="I4054" s="271" t="str">
        <f>IFERROR(__xludf.DUMMYFUNCTION("""COMPUTED_VALUE"""),"鯰魚大大")</f>
        <v>鯰魚大大</v>
      </c>
      <c r="J4054" t="str">
        <f>IFERROR(__xludf.DUMMYFUNCTION("IFS(
  AND(REGEXMATCH(E4054, ""台銀籌備帳戶|玉山帳戶""), REGEXMATCH(C4054, ""薪資"")), ""分潤支出"",
  AND(REGEXMATCH(E4054, ""Ben帳戶|Elsa帳戶|Ben代墊|Ariel代墊|中信銀行共用""), REGEXMATCH(F4054, ""Ben帳戶|Elsa帳戶|Ben代墊|Ariel代墊|中信銀行共用"")), ""內部轉帳(忽略)"",
  AND(E4054&lt;&gt;"""", F4054&lt;&gt;"""", N"&amp;"OT(REGEXMATCH(C4054, ""薪資""))), ""內部轉帳(忽略)"",
  REGEXMATCH(C4054, ""薪資""), ""薪資變動(不計入)"",
  REGEXMATCH(C4054, ""押金""), ""押金往來"",
  AND(E4054&lt;&gt;"""", F4054=""""), ""真實支出"",
  AND(E4054="""", F4054&lt;&gt;""""), ""真實收入"",
  TRUE, ""其他""
)"),"真實收入")</f>
        <v>真實收入</v>
      </c>
      <c r="K4054" s="270">
        <f t="shared" si="2"/>
        <v>25600</v>
      </c>
      <c r="L4054">
        <f t="shared" si="3"/>
        <v>0</v>
      </c>
    </row>
    <row r="4055">
      <c r="A4055" s="107">
        <f>IFERROR(__xludf.DUMMYFUNCTION("""COMPUTED_VALUE"""),45246.0)</f>
        <v>45246</v>
      </c>
      <c r="B4055" t="str">
        <f>IFERROR(__xludf.DUMMYFUNCTION("""COMPUTED_VALUE"""),"內湖 簽約 B")</f>
        <v>內湖 簽約 B</v>
      </c>
      <c r="C4055" t="str">
        <f>IFERROR(__xludf.DUMMYFUNCTION("""COMPUTED_VALUE"""),"收入 - 租金")</f>
        <v>收入 - 租金</v>
      </c>
      <c r="D4055" s="270">
        <f>IFERROR(__xludf.DUMMYFUNCTION("""COMPUTED_VALUE"""),4800.0)</f>
        <v>4800</v>
      </c>
      <c r="F4055" t="str">
        <f>IFERROR(__xludf.DUMMYFUNCTION("""COMPUTED_VALUE"""),"玉山帳戶")</f>
        <v>玉山帳戶</v>
      </c>
      <c r="G4055" t="str">
        <f>IFERROR(__xludf.DUMMYFUNCTION("""COMPUTED_VALUE"""),"內湖秘境")</f>
        <v>內湖秘境</v>
      </c>
      <c r="H4055" s="106" t="str">
        <f t="shared" si="1"/>
        <v>2023-11</v>
      </c>
      <c r="I4055" s="271" t="str">
        <f>IFERROR(__xludf.DUMMYFUNCTION("""COMPUTED_VALUE"""),"鯰魚大大")</f>
        <v>鯰魚大大</v>
      </c>
      <c r="J4055" t="str">
        <f>IFERROR(__xludf.DUMMYFUNCTION("IFS(
  AND(REGEXMATCH(E4055, ""台銀籌備帳戶|玉山帳戶""), REGEXMATCH(C4055, ""薪資"")), ""分潤支出"",
  AND(REGEXMATCH(E4055, ""Ben帳戶|Elsa帳戶|Ben代墊|Ariel代墊|中信銀行共用""), REGEXMATCH(F4055, ""Ben帳戶|Elsa帳戶|Ben代墊|Ariel代墊|中信銀行共用"")), ""內部轉帳(忽略)"",
  AND(E4055&lt;&gt;"""", F4055&lt;&gt;"""", N"&amp;"OT(REGEXMATCH(C4055, ""薪資""))), ""內部轉帳(忽略)"",
  REGEXMATCH(C4055, ""薪資""), ""薪資變動(不計入)"",
  REGEXMATCH(C4055, ""押金""), ""押金往來"",
  AND(E4055&lt;&gt;"""", F4055=""""), ""真實支出"",
  AND(E4055="""", F4055&lt;&gt;""""), ""真實收入"",
  TRUE, ""其他""
)"),"真實收入")</f>
        <v>真實收入</v>
      </c>
      <c r="K4055" s="270">
        <f t="shared" si="2"/>
        <v>4800</v>
      </c>
      <c r="L4055">
        <f t="shared" si="3"/>
        <v>0</v>
      </c>
    </row>
    <row r="4056">
      <c r="A4056" s="107">
        <f>IFERROR(__xludf.DUMMYFUNCTION("""COMPUTED_VALUE"""),45255.0)</f>
        <v>45255</v>
      </c>
      <c r="B4056" t="str">
        <f>IFERROR(__xludf.DUMMYFUNCTION("""COMPUTED_VALUE"""),"內湖 定金 A")</f>
        <v>內湖 定金 A</v>
      </c>
      <c r="C4056" t="str">
        <f>IFERROR(__xludf.DUMMYFUNCTION("""COMPUTED_VALUE"""),"收入 - 租金")</f>
        <v>收入 - 租金</v>
      </c>
      <c r="D4056" s="270">
        <f>IFERROR(__xludf.DUMMYFUNCTION("""COMPUTED_VALUE"""),8000.0)</f>
        <v>8000</v>
      </c>
      <c r="F4056" t="str">
        <f>IFERROR(__xludf.DUMMYFUNCTION("""COMPUTED_VALUE"""),"Ben代墊")</f>
        <v>Ben代墊</v>
      </c>
      <c r="G4056" t="str">
        <f>IFERROR(__xludf.DUMMYFUNCTION("""COMPUTED_VALUE"""),"內湖秘境")</f>
        <v>內湖秘境</v>
      </c>
      <c r="H4056" s="106" t="str">
        <f t="shared" si="1"/>
        <v>2023-11</v>
      </c>
      <c r="I4056" s="271" t="str">
        <f>IFERROR(__xludf.DUMMYFUNCTION("""COMPUTED_VALUE"""),"鯰魚大大")</f>
        <v>鯰魚大大</v>
      </c>
      <c r="J4056" t="str">
        <f>IFERROR(__xludf.DUMMYFUNCTION("IFS(
  AND(REGEXMATCH(E4056, ""台銀籌備帳戶|玉山帳戶""), REGEXMATCH(C4056, ""薪資"")), ""分潤支出"",
  AND(REGEXMATCH(E4056, ""Ben帳戶|Elsa帳戶|Ben代墊|Ariel代墊|中信銀行共用""), REGEXMATCH(F4056, ""Ben帳戶|Elsa帳戶|Ben代墊|Ariel代墊|中信銀行共用"")), ""內部轉帳(忽略)"",
  AND(E4056&lt;&gt;"""", F4056&lt;&gt;"""", N"&amp;"OT(REGEXMATCH(C4056, ""薪資""))), ""內部轉帳(忽略)"",
  REGEXMATCH(C4056, ""薪資""), ""薪資變動(不計入)"",
  REGEXMATCH(C4056, ""押金""), ""押金往來"",
  AND(E4056&lt;&gt;"""", F4056=""""), ""真實支出"",
  AND(E4056="""", F4056&lt;&gt;""""), ""真實收入"",
  TRUE, ""其他""
)"),"真實收入")</f>
        <v>真實收入</v>
      </c>
      <c r="K4056" s="270">
        <f t="shared" si="2"/>
        <v>8000</v>
      </c>
      <c r="L4056">
        <f t="shared" si="3"/>
        <v>0</v>
      </c>
    </row>
    <row r="4057">
      <c r="A4057" s="107">
        <f>IFERROR(__xludf.DUMMYFUNCTION("""COMPUTED_VALUE"""),45254.0)</f>
        <v>45254</v>
      </c>
      <c r="B4057" t="str">
        <f>IFERROR(__xludf.DUMMYFUNCTION("""COMPUTED_VALUE"""),"內湖 網路 ")</f>
        <v>內湖 網路 </v>
      </c>
      <c r="C4057" t="str">
        <f>IFERROR(__xludf.DUMMYFUNCTION("""COMPUTED_VALUE"""),"成本 - 固定開銷(網路代收清潔)")</f>
        <v>成本 - 固定開銷(網路代收清潔)</v>
      </c>
      <c r="D4057" s="270">
        <f>IFERROR(__xludf.DUMMYFUNCTION("""COMPUTED_VALUE"""),-2967.0)</f>
        <v>-2967</v>
      </c>
      <c r="E4057" t="str">
        <f>IFERROR(__xludf.DUMMYFUNCTION("""COMPUTED_VALUE"""),"Ben代墊")</f>
        <v>Ben代墊</v>
      </c>
      <c r="G4057" t="str">
        <f>IFERROR(__xludf.DUMMYFUNCTION("""COMPUTED_VALUE"""),"內湖秘境")</f>
        <v>內湖秘境</v>
      </c>
      <c r="H4057" s="106" t="str">
        <f t="shared" si="1"/>
        <v>2023-11</v>
      </c>
      <c r="I4057" s="271" t="str">
        <f>IFERROR(__xludf.DUMMYFUNCTION("""COMPUTED_VALUE"""),"鯰魚大大")</f>
        <v>鯰魚大大</v>
      </c>
      <c r="J4057" t="str">
        <f>IFERROR(__xludf.DUMMYFUNCTION("IFS(
  AND(REGEXMATCH(E4057, ""台銀籌備帳戶|玉山帳戶""), REGEXMATCH(C4057, ""薪資"")), ""分潤支出"",
  AND(REGEXMATCH(E4057, ""Ben帳戶|Elsa帳戶|Ben代墊|Ariel代墊|中信銀行共用""), REGEXMATCH(F4057, ""Ben帳戶|Elsa帳戶|Ben代墊|Ariel代墊|中信銀行共用"")), ""內部轉帳(忽略)"",
  AND(E4057&lt;&gt;"""", F4057&lt;&gt;"""", N"&amp;"OT(REGEXMATCH(C4057, ""薪資""))), ""內部轉帳(忽略)"",
  REGEXMATCH(C4057, ""薪資""), ""薪資變動(不計入)"",
  REGEXMATCH(C4057, ""押金""), ""押金往來"",
  AND(E4057&lt;&gt;"""", F4057=""""), ""真實支出"",
  AND(E4057="""", F4057&lt;&gt;""""), ""真實收入"",
  TRUE, ""其他""
)"),"真實支出")</f>
        <v>真實支出</v>
      </c>
      <c r="K4057" s="270">
        <f t="shared" si="2"/>
        <v>-2967</v>
      </c>
      <c r="L4057">
        <f t="shared" si="3"/>
        <v>0</v>
      </c>
    </row>
    <row r="4058">
      <c r="A4058" s="107">
        <f>IFERROR(__xludf.DUMMYFUNCTION("""COMPUTED_VALUE"""),45250.0)</f>
        <v>45250</v>
      </c>
      <c r="B4058" t="str">
        <f>IFERROR(__xludf.DUMMYFUNCTION("""COMPUTED_VALUE"""),"內湖G")</f>
        <v>內湖G</v>
      </c>
      <c r="C4058" t="str">
        <f>IFERROR(__xludf.DUMMYFUNCTION("""COMPUTED_VALUE"""),"收入 - 租金")</f>
        <v>收入 - 租金</v>
      </c>
      <c r="D4058" s="270">
        <f>IFERROR(__xludf.DUMMYFUNCTION("""COMPUTED_VALUE"""),25200.0)</f>
        <v>25200</v>
      </c>
      <c r="F4058" t="str">
        <f>IFERROR(__xludf.DUMMYFUNCTION("""COMPUTED_VALUE"""),"玉山帳戶")</f>
        <v>玉山帳戶</v>
      </c>
      <c r="G4058" t="str">
        <f>IFERROR(__xludf.DUMMYFUNCTION("""COMPUTED_VALUE"""),"內湖秘境")</f>
        <v>內湖秘境</v>
      </c>
      <c r="H4058" s="106" t="str">
        <f t="shared" si="1"/>
        <v>2023-11</v>
      </c>
      <c r="I4058" s="271" t="str">
        <f>IFERROR(__xludf.DUMMYFUNCTION("""COMPUTED_VALUE"""),"鯰魚大大")</f>
        <v>鯰魚大大</v>
      </c>
      <c r="J4058" t="str">
        <f>IFERROR(__xludf.DUMMYFUNCTION("IFS(
  AND(REGEXMATCH(E4058, ""台銀籌備帳戶|玉山帳戶""), REGEXMATCH(C4058, ""薪資"")), ""分潤支出"",
  AND(REGEXMATCH(E4058, ""Ben帳戶|Elsa帳戶|Ben代墊|Ariel代墊|中信銀行共用""), REGEXMATCH(F4058, ""Ben帳戶|Elsa帳戶|Ben代墊|Ariel代墊|中信銀行共用"")), ""內部轉帳(忽略)"",
  AND(E4058&lt;&gt;"""", F4058&lt;&gt;"""", N"&amp;"OT(REGEXMATCH(C4058, ""薪資""))), ""內部轉帳(忽略)"",
  REGEXMATCH(C4058, ""薪資""), ""薪資變動(不計入)"",
  REGEXMATCH(C4058, ""押金""), ""押金往來"",
  AND(E4058&lt;&gt;"""", F4058=""""), ""真實支出"",
  AND(E4058="""", F4058&lt;&gt;""""), ""真實收入"",
  TRUE, ""其他""
)"),"真實收入")</f>
        <v>真實收入</v>
      </c>
      <c r="K4058" s="270">
        <f t="shared" si="2"/>
        <v>25200</v>
      </c>
      <c r="L4058">
        <f t="shared" si="3"/>
        <v>0</v>
      </c>
    </row>
    <row r="4059">
      <c r="A4059" s="107">
        <f>IFERROR(__xludf.DUMMYFUNCTION("""COMPUTED_VALUE"""),45250.0)</f>
        <v>45250</v>
      </c>
      <c r="B4059" t="str">
        <f>IFERROR(__xludf.DUMMYFUNCTION("""COMPUTED_VALUE"""),"內湖G")</f>
        <v>內湖G</v>
      </c>
      <c r="C4059" t="str">
        <f>IFERROR(__xludf.DUMMYFUNCTION("""COMPUTED_VALUE"""),"收入 - 租金")</f>
        <v>收入 - 租金</v>
      </c>
      <c r="D4059" s="270">
        <f>IFERROR(__xludf.DUMMYFUNCTION("""COMPUTED_VALUE"""),4600.0)</f>
        <v>4600</v>
      </c>
      <c r="F4059" t="str">
        <f>IFERROR(__xludf.DUMMYFUNCTION("""COMPUTED_VALUE"""),"玉山帳戶")</f>
        <v>玉山帳戶</v>
      </c>
      <c r="G4059" t="str">
        <f>IFERROR(__xludf.DUMMYFUNCTION("""COMPUTED_VALUE"""),"內湖秘境")</f>
        <v>內湖秘境</v>
      </c>
      <c r="H4059" s="106" t="str">
        <f t="shared" si="1"/>
        <v>2023-11</v>
      </c>
      <c r="I4059" s="271" t="str">
        <f>IFERROR(__xludf.DUMMYFUNCTION("""COMPUTED_VALUE"""),"鯰魚大大")</f>
        <v>鯰魚大大</v>
      </c>
      <c r="J4059" t="str">
        <f>IFERROR(__xludf.DUMMYFUNCTION("IFS(
  AND(REGEXMATCH(E4059, ""台銀籌備帳戶|玉山帳戶""), REGEXMATCH(C4059, ""薪資"")), ""分潤支出"",
  AND(REGEXMATCH(E4059, ""Ben帳戶|Elsa帳戶|Ben代墊|Ariel代墊|中信銀行共用""), REGEXMATCH(F4059, ""Ben帳戶|Elsa帳戶|Ben代墊|Ariel代墊|中信銀行共用"")), ""內部轉帳(忽略)"",
  AND(E4059&lt;&gt;"""", F4059&lt;&gt;"""", N"&amp;"OT(REGEXMATCH(C4059, ""薪資""))), ""內部轉帳(忽略)"",
  REGEXMATCH(C4059, ""薪資""), ""薪資變動(不計入)"",
  REGEXMATCH(C4059, ""押金""), ""押金往來"",
  AND(E4059&lt;&gt;"""", F4059=""""), ""真實支出"",
  AND(E4059="""", F4059&lt;&gt;""""), ""真實收入"",
  TRUE, ""其他""
)"),"真實收入")</f>
        <v>真實收入</v>
      </c>
      <c r="K4059" s="270">
        <f t="shared" si="2"/>
        <v>4600</v>
      </c>
      <c r="L4059">
        <f t="shared" si="3"/>
        <v>0</v>
      </c>
    </row>
    <row r="4060">
      <c r="A4060" s="107">
        <f>IFERROR(__xludf.DUMMYFUNCTION("""COMPUTED_VALUE"""),45250.0)</f>
        <v>45250</v>
      </c>
      <c r="B4060" t="str">
        <f>IFERROR(__xludf.DUMMYFUNCTION("""COMPUTED_VALUE"""),"內湖C")</f>
        <v>內湖C</v>
      </c>
      <c r="C4060" t="str">
        <f>IFERROR(__xludf.DUMMYFUNCTION("""COMPUTED_VALUE"""),"收入 - 租金")</f>
        <v>收入 - 租金</v>
      </c>
      <c r="D4060" s="270">
        <f>IFERROR(__xludf.DUMMYFUNCTION("""COMPUTED_VALUE"""),29600.0)</f>
        <v>29600</v>
      </c>
      <c r="F4060" t="str">
        <f>IFERROR(__xludf.DUMMYFUNCTION("""COMPUTED_VALUE"""),"玉山帳戶")</f>
        <v>玉山帳戶</v>
      </c>
      <c r="G4060" t="str">
        <f>IFERROR(__xludf.DUMMYFUNCTION("""COMPUTED_VALUE"""),"內湖秘境")</f>
        <v>內湖秘境</v>
      </c>
      <c r="H4060" s="106" t="str">
        <f t="shared" si="1"/>
        <v>2023-11</v>
      </c>
      <c r="I4060" s="271" t="str">
        <f>IFERROR(__xludf.DUMMYFUNCTION("""COMPUTED_VALUE"""),"鯰魚大大")</f>
        <v>鯰魚大大</v>
      </c>
      <c r="J4060" t="str">
        <f>IFERROR(__xludf.DUMMYFUNCTION("IFS(
  AND(REGEXMATCH(E4060, ""台銀籌備帳戶|玉山帳戶""), REGEXMATCH(C4060, ""薪資"")), ""分潤支出"",
  AND(REGEXMATCH(E4060, ""Ben帳戶|Elsa帳戶|Ben代墊|Ariel代墊|中信銀行共用""), REGEXMATCH(F4060, ""Ben帳戶|Elsa帳戶|Ben代墊|Ariel代墊|中信銀行共用"")), ""內部轉帳(忽略)"",
  AND(E4060&lt;&gt;"""", F4060&lt;&gt;"""", N"&amp;"OT(REGEXMATCH(C4060, ""薪資""))), ""內部轉帳(忽略)"",
  REGEXMATCH(C4060, ""薪資""), ""薪資變動(不計入)"",
  REGEXMATCH(C4060, ""押金""), ""押金往來"",
  AND(E4060&lt;&gt;"""", F4060=""""), ""真實支出"",
  AND(E4060="""", F4060&lt;&gt;""""), ""真實收入"",
  TRUE, ""其他""
)"),"真實收入")</f>
        <v>真實收入</v>
      </c>
      <c r="K4060" s="270">
        <f t="shared" si="2"/>
        <v>29600</v>
      </c>
      <c r="L4060">
        <f t="shared" si="3"/>
        <v>0</v>
      </c>
    </row>
    <row r="4061">
      <c r="A4061" s="107">
        <f>IFERROR(__xludf.DUMMYFUNCTION("""COMPUTED_VALUE"""),45250.0)</f>
        <v>45250</v>
      </c>
      <c r="B4061" t="str">
        <f>IFERROR(__xludf.DUMMYFUNCTION("""COMPUTED_VALUE"""),"內湖C")</f>
        <v>內湖C</v>
      </c>
      <c r="C4061" t="str">
        <f>IFERROR(__xludf.DUMMYFUNCTION("""COMPUTED_VALUE"""),"收入 - 租金")</f>
        <v>收入 - 租金</v>
      </c>
      <c r="D4061" s="270">
        <f>IFERROR(__xludf.DUMMYFUNCTION("""COMPUTED_VALUE"""),6800.0)</f>
        <v>6800</v>
      </c>
      <c r="F4061" t="str">
        <f>IFERROR(__xludf.DUMMYFUNCTION("""COMPUTED_VALUE"""),"玉山帳戶")</f>
        <v>玉山帳戶</v>
      </c>
      <c r="G4061" t="str">
        <f>IFERROR(__xludf.DUMMYFUNCTION("""COMPUTED_VALUE"""),"內湖秘境")</f>
        <v>內湖秘境</v>
      </c>
      <c r="H4061" s="106" t="str">
        <f t="shared" si="1"/>
        <v>2023-11</v>
      </c>
      <c r="I4061" s="271" t="str">
        <f>IFERROR(__xludf.DUMMYFUNCTION("""COMPUTED_VALUE"""),"鯰魚大大")</f>
        <v>鯰魚大大</v>
      </c>
      <c r="J4061" t="str">
        <f>IFERROR(__xludf.DUMMYFUNCTION("IFS(
  AND(REGEXMATCH(E4061, ""台銀籌備帳戶|玉山帳戶""), REGEXMATCH(C4061, ""薪資"")), ""分潤支出"",
  AND(REGEXMATCH(E4061, ""Ben帳戶|Elsa帳戶|Ben代墊|Ariel代墊|中信銀行共用""), REGEXMATCH(F4061, ""Ben帳戶|Elsa帳戶|Ben代墊|Ariel代墊|中信銀行共用"")), ""內部轉帳(忽略)"",
  AND(E4061&lt;&gt;"""", F4061&lt;&gt;"""", N"&amp;"OT(REGEXMATCH(C4061, ""薪資""))), ""內部轉帳(忽略)"",
  REGEXMATCH(C4061, ""薪資""), ""薪資變動(不計入)"",
  REGEXMATCH(C4061, ""押金""), ""押金往來"",
  AND(E4061&lt;&gt;"""", F4061=""""), ""真實支出"",
  AND(E4061="""", F4061&lt;&gt;""""), ""真實收入"",
  TRUE, ""其他""
)"),"真實收入")</f>
        <v>真實收入</v>
      </c>
      <c r="K4061" s="270">
        <f t="shared" si="2"/>
        <v>6800</v>
      </c>
      <c r="L4061">
        <f t="shared" si="3"/>
        <v>0</v>
      </c>
    </row>
    <row r="4062">
      <c r="A4062" s="107">
        <f>IFERROR(__xludf.DUMMYFUNCTION("""COMPUTED_VALUE"""),45250.0)</f>
        <v>45250</v>
      </c>
      <c r="B4062" t="str">
        <f>IFERROR(__xludf.DUMMYFUNCTION("""COMPUTED_VALUE"""),"內湖F")</f>
        <v>內湖F</v>
      </c>
      <c r="C4062" t="str">
        <f>IFERROR(__xludf.DUMMYFUNCTION("""COMPUTED_VALUE"""),"收入 - 租金")</f>
        <v>收入 - 租金</v>
      </c>
      <c r="D4062" s="270">
        <f>IFERROR(__xludf.DUMMYFUNCTION("""COMPUTED_VALUE"""),25600.0)</f>
        <v>25600</v>
      </c>
      <c r="F4062" t="str">
        <f>IFERROR(__xludf.DUMMYFUNCTION("""COMPUTED_VALUE"""),"玉山帳戶")</f>
        <v>玉山帳戶</v>
      </c>
      <c r="G4062" t="str">
        <f>IFERROR(__xludf.DUMMYFUNCTION("""COMPUTED_VALUE"""),"內湖秘境")</f>
        <v>內湖秘境</v>
      </c>
      <c r="H4062" s="106" t="str">
        <f t="shared" si="1"/>
        <v>2023-11</v>
      </c>
      <c r="I4062" s="271" t="str">
        <f>IFERROR(__xludf.DUMMYFUNCTION("""COMPUTED_VALUE"""),"鯰魚大大")</f>
        <v>鯰魚大大</v>
      </c>
      <c r="J4062" t="str">
        <f>IFERROR(__xludf.DUMMYFUNCTION("IFS(
  AND(REGEXMATCH(E4062, ""台銀籌備帳戶|玉山帳戶""), REGEXMATCH(C4062, ""薪資"")), ""分潤支出"",
  AND(REGEXMATCH(E4062, ""Ben帳戶|Elsa帳戶|Ben代墊|Ariel代墊|中信銀行共用""), REGEXMATCH(F4062, ""Ben帳戶|Elsa帳戶|Ben代墊|Ariel代墊|中信銀行共用"")), ""內部轉帳(忽略)"",
  AND(E4062&lt;&gt;"""", F4062&lt;&gt;"""", N"&amp;"OT(REGEXMATCH(C4062, ""薪資""))), ""內部轉帳(忽略)"",
  REGEXMATCH(C4062, ""薪資""), ""薪資變動(不計入)"",
  REGEXMATCH(C4062, ""押金""), ""押金往來"",
  AND(E4062&lt;&gt;"""", F4062=""""), ""真實支出"",
  AND(E4062="""", F4062&lt;&gt;""""), ""真實收入"",
  TRUE, ""其他""
)"),"真實收入")</f>
        <v>真實收入</v>
      </c>
      <c r="K4062" s="270">
        <f t="shared" si="2"/>
        <v>25600</v>
      </c>
      <c r="L4062">
        <f t="shared" si="3"/>
        <v>0</v>
      </c>
    </row>
    <row r="4063">
      <c r="A4063" s="107">
        <f>IFERROR(__xludf.DUMMYFUNCTION("""COMPUTED_VALUE"""),45250.0)</f>
        <v>45250</v>
      </c>
      <c r="B4063" t="str">
        <f>IFERROR(__xludf.DUMMYFUNCTION("""COMPUTED_VALUE"""),"內湖F")</f>
        <v>內湖F</v>
      </c>
      <c r="C4063" t="str">
        <f>IFERROR(__xludf.DUMMYFUNCTION("""COMPUTED_VALUE"""),"收入 - 租金")</f>
        <v>收入 - 租金</v>
      </c>
      <c r="D4063" s="270">
        <f>IFERROR(__xludf.DUMMYFUNCTION("""COMPUTED_VALUE"""),4800.0)</f>
        <v>4800</v>
      </c>
      <c r="F4063" t="str">
        <f>IFERROR(__xludf.DUMMYFUNCTION("""COMPUTED_VALUE"""),"玉山帳戶")</f>
        <v>玉山帳戶</v>
      </c>
      <c r="G4063" t="str">
        <f>IFERROR(__xludf.DUMMYFUNCTION("""COMPUTED_VALUE"""),"內湖秘境")</f>
        <v>內湖秘境</v>
      </c>
      <c r="H4063" s="106" t="str">
        <f t="shared" si="1"/>
        <v>2023-11</v>
      </c>
      <c r="I4063" s="271" t="str">
        <f>IFERROR(__xludf.DUMMYFUNCTION("""COMPUTED_VALUE"""),"鯰魚大大")</f>
        <v>鯰魚大大</v>
      </c>
      <c r="J4063" t="str">
        <f>IFERROR(__xludf.DUMMYFUNCTION("IFS(
  AND(REGEXMATCH(E4063, ""台銀籌備帳戶|玉山帳戶""), REGEXMATCH(C4063, ""薪資"")), ""分潤支出"",
  AND(REGEXMATCH(E4063, ""Ben帳戶|Elsa帳戶|Ben代墊|Ariel代墊|中信銀行共用""), REGEXMATCH(F4063, ""Ben帳戶|Elsa帳戶|Ben代墊|Ariel代墊|中信銀行共用"")), ""內部轉帳(忽略)"",
  AND(E4063&lt;&gt;"""", F4063&lt;&gt;"""", N"&amp;"OT(REGEXMATCH(C4063, ""薪資""))), ""內部轉帳(忽略)"",
  REGEXMATCH(C4063, ""薪資""), ""薪資變動(不計入)"",
  REGEXMATCH(C4063, ""押金""), ""押金往來"",
  AND(E4063&lt;&gt;"""", F4063=""""), ""真實支出"",
  AND(E4063="""", F4063&lt;&gt;""""), ""真實收入"",
  TRUE, ""其他""
)"),"真實收入")</f>
        <v>真實收入</v>
      </c>
      <c r="K4063" s="270">
        <f t="shared" si="2"/>
        <v>4800</v>
      </c>
      <c r="L4063">
        <f t="shared" si="3"/>
        <v>0</v>
      </c>
    </row>
    <row r="4064">
      <c r="A4064" s="107">
        <f>IFERROR(__xludf.DUMMYFUNCTION("""COMPUTED_VALUE"""),45254.0)</f>
        <v>45254</v>
      </c>
      <c r="B4064" t="str">
        <f>IFERROR(__xludf.DUMMYFUNCTION("""COMPUTED_VALUE"""),"內湖垃圾代收阿萬")</f>
        <v>內湖垃圾代收阿萬</v>
      </c>
      <c r="C4064" t="str">
        <f>IFERROR(__xludf.DUMMYFUNCTION("""COMPUTED_VALUE"""),"成本 - 固定開銷(網路代收清潔)")</f>
        <v>成本 - 固定開銷(網路代收清潔)</v>
      </c>
      <c r="D4064" s="270">
        <f>IFERROR(__xludf.DUMMYFUNCTION("""COMPUTED_VALUE"""),-3215.0)</f>
        <v>-3215</v>
      </c>
      <c r="E4064" t="str">
        <f>IFERROR(__xludf.DUMMYFUNCTION("""COMPUTED_VALUE"""),"玉山帳戶")</f>
        <v>玉山帳戶</v>
      </c>
      <c r="G4064" t="str">
        <f>IFERROR(__xludf.DUMMYFUNCTION("""COMPUTED_VALUE"""),"內湖秘境")</f>
        <v>內湖秘境</v>
      </c>
      <c r="H4064" s="106" t="str">
        <f t="shared" si="1"/>
        <v>2023-11</v>
      </c>
      <c r="I4064" s="271" t="str">
        <f>IFERROR(__xludf.DUMMYFUNCTION("""COMPUTED_VALUE"""),"鯰魚大大")</f>
        <v>鯰魚大大</v>
      </c>
      <c r="J4064" t="str">
        <f>IFERROR(__xludf.DUMMYFUNCTION("IFS(
  AND(REGEXMATCH(E4064, ""台銀籌備帳戶|玉山帳戶""), REGEXMATCH(C4064, ""薪資"")), ""分潤支出"",
  AND(REGEXMATCH(E4064, ""Ben帳戶|Elsa帳戶|Ben代墊|Ariel代墊|中信銀行共用""), REGEXMATCH(F4064, ""Ben帳戶|Elsa帳戶|Ben代墊|Ariel代墊|中信銀行共用"")), ""內部轉帳(忽略)"",
  AND(E4064&lt;&gt;"""", F4064&lt;&gt;"""", N"&amp;"OT(REGEXMATCH(C4064, ""薪資""))), ""內部轉帳(忽略)"",
  REGEXMATCH(C4064, ""薪資""), ""薪資變動(不計入)"",
  REGEXMATCH(C4064, ""押金""), ""押金往來"",
  AND(E4064&lt;&gt;"""", F4064=""""), ""真實支出"",
  AND(E4064="""", F4064&lt;&gt;""""), ""真實收入"",
  TRUE, ""其他""
)"),"真實支出")</f>
        <v>真實支出</v>
      </c>
      <c r="K4064" s="270">
        <f t="shared" si="2"/>
        <v>-3215</v>
      </c>
      <c r="L4064">
        <f t="shared" si="3"/>
        <v>0</v>
      </c>
    </row>
    <row r="4065">
      <c r="A4065" s="107">
        <f>IFERROR(__xludf.DUMMYFUNCTION("""COMPUTED_VALUE"""),45260.0)</f>
        <v>45260</v>
      </c>
      <c r="B4065" t="str">
        <f>IFERROR(__xludf.DUMMYFUNCTION("""COMPUTED_VALUE"""),"內湖B")</f>
        <v>內湖B</v>
      </c>
      <c r="C4065" t="str">
        <f>IFERROR(__xludf.DUMMYFUNCTION("""COMPUTED_VALUE"""),"收入 - 租金")</f>
        <v>收入 - 租金</v>
      </c>
      <c r="D4065" s="270">
        <f>IFERROR(__xludf.DUMMYFUNCTION("""COMPUTED_VALUE"""),6400.0)</f>
        <v>6400</v>
      </c>
      <c r="F4065" t="str">
        <f>IFERROR(__xludf.DUMMYFUNCTION("""COMPUTED_VALUE"""),"玉山帳戶")</f>
        <v>玉山帳戶</v>
      </c>
      <c r="G4065" t="str">
        <f>IFERROR(__xludf.DUMMYFUNCTION("""COMPUTED_VALUE"""),"內湖秘境")</f>
        <v>內湖秘境</v>
      </c>
      <c r="H4065" s="106" t="str">
        <f t="shared" si="1"/>
        <v>2023-11</v>
      </c>
      <c r="I4065" s="271" t="str">
        <f>IFERROR(__xludf.DUMMYFUNCTION("""COMPUTED_VALUE"""),"鯰魚大大")</f>
        <v>鯰魚大大</v>
      </c>
      <c r="J4065" t="str">
        <f>IFERROR(__xludf.DUMMYFUNCTION("IFS(
  AND(REGEXMATCH(E4065, ""台銀籌備帳戶|玉山帳戶""), REGEXMATCH(C4065, ""薪資"")), ""分潤支出"",
  AND(REGEXMATCH(E4065, ""Ben帳戶|Elsa帳戶|Ben代墊|Ariel代墊|中信銀行共用""), REGEXMATCH(F4065, ""Ben帳戶|Elsa帳戶|Ben代墊|Ariel代墊|中信銀行共用"")), ""內部轉帳(忽略)"",
  AND(E4065&lt;&gt;"""", F4065&lt;&gt;"""", N"&amp;"OT(REGEXMATCH(C4065, ""薪資""))), ""內部轉帳(忽略)"",
  REGEXMATCH(C4065, ""薪資""), ""薪資變動(不計入)"",
  REGEXMATCH(C4065, ""押金""), ""押金往來"",
  AND(E4065&lt;&gt;"""", F4065=""""), ""真實支出"",
  AND(E4065="""", F4065&lt;&gt;""""), ""真實收入"",
  TRUE, ""其他""
)"),"真實收入")</f>
        <v>真實收入</v>
      </c>
      <c r="K4065" s="270">
        <f t="shared" si="2"/>
        <v>6400</v>
      </c>
      <c r="L4065">
        <f t="shared" si="3"/>
        <v>0</v>
      </c>
    </row>
    <row r="4066">
      <c r="A4066" s="107">
        <f>IFERROR(__xludf.DUMMYFUNCTION("""COMPUTED_VALUE"""),45261.0)</f>
        <v>45261</v>
      </c>
      <c r="B4066" t="str">
        <f>IFERROR(__xludf.DUMMYFUNCTION("""COMPUTED_VALUE"""),"內湖路一段周姐")</f>
        <v>內湖路一段周姐</v>
      </c>
      <c r="C4066" t="str">
        <f>IFERROR(__xludf.DUMMYFUNCTION("""COMPUTED_VALUE"""),"成本 - 大租金")</f>
        <v>成本 - 大租金</v>
      </c>
      <c r="D4066" s="270">
        <f>IFERROR(__xludf.DUMMYFUNCTION("""COMPUTED_VALUE"""),-45015.0)</f>
        <v>-45015</v>
      </c>
      <c r="E4066" t="str">
        <f>IFERROR(__xludf.DUMMYFUNCTION("""COMPUTED_VALUE"""),"玉山帳戶")</f>
        <v>玉山帳戶</v>
      </c>
      <c r="G4066" t="str">
        <f>IFERROR(__xludf.DUMMYFUNCTION("""COMPUTED_VALUE"""),"內湖秘境")</f>
        <v>內湖秘境</v>
      </c>
      <c r="H4066" s="106" t="str">
        <f t="shared" si="1"/>
        <v>2023-12</v>
      </c>
      <c r="I4066" s="271" t="str">
        <f>IFERROR(__xludf.DUMMYFUNCTION("""COMPUTED_VALUE"""),"鯰魚大大")</f>
        <v>鯰魚大大</v>
      </c>
      <c r="J4066" t="str">
        <f>IFERROR(__xludf.DUMMYFUNCTION("IFS(
  AND(REGEXMATCH(E4066, ""台銀籌備帳戶|玉山帳戶""), REGEXMATCH(C4066, ""薪資"")), ""分潤支出"",
  AND(REGEXMATCH(E4066, ""Ben帳戶|Elsa帳戶|Ben代墊|Ariel代墊|中信銀行共用""), REGEXMATCH(F4066, ""Ben帳戶|Elsa帳戶|Ben代墊|Ariel代墊|中信銀行共用"")), ""內部轉帳(忽略)"",
  AND(E4066&lt;&gt;"""", F4066&lt;&gt;"""", N"&amp;"OT(REGEXMATCH(C4066, ""薪資""))), ""內部轉帳(忽略)"",
  REGEXMATCH(C4066, ""薪資""), ""薪資變動(不計入)"",
  REGEXMATCH(C4066, ""押金""), ""押金往來"",
  AND(E4066&lt;&gt;"""", F4066=""""), ""真實支出"",
  AND(E4066="""", F4066&lt;&gt;""""), ""真實收入"",
  TRUE, ""其他""
)"),"真實支出")</f>
        <v>真實支出</v>
      </c>
      <c r="K4066" s="270">
        <f t="shared" si="2"/>
        <v>-45015</v>
      </c>
      <c r="L4066">
        <f t="shared" si="3"/>
        <v>0</v>
      </c>
    </row>
    <row r="4067">
      <c r="A4067" s="107">
        <f>IFERROR(__xludf.DUMMYFUNCTION("""COMPUTED_VALUE"""),45262.0)</f>
        <v>45262</v>
      </c>
      <c r="B4067" t="str">
        <f>IFERROR(__xludf.DUMMYFUNCTION("""COMPUTED_VALUE"""),"內湖A")</f>
        <v>內湖A</v>
      </c>
      <c r="C4067" t="str">
        <f>IFERROR(__xludf.DUMMYFUNCTION("""COMPUTED_VALUE"""),"收入 - 租金")</f>
        <v>收入 - 租金</v>
      </c>
      <c r="D4067" s="270">
        <f>IFERROR(__xludf.DUMMYFUNCTION("""COMPUTED_VALUE"""),24000.0)</f>
        <v>24000</v>
      </c>
      <c r="F4067" t="str">
        <f>IFERROR(__xludf.DUMMYFUNCTION("""COMPUTED_VALUE"""),"玉山帳戶")</f>
        <v>玉山帳戶</v>
      </c>
      <c r="G4067" t="str">
        <f>IFERROR(__xludf.DUMMYFUNCTION("""COMPUTED_VALUE"""),"內湖秘境")</f>
        <v>內湖秘境</v>
      </c>
      <c r="H4067" s="106" t="str">
        <f t="shared" si="1"/>
        <v>2023-12</v>
      </c>
      <c r="I4067" s="271" t="str">
        <f>IFERROR(__xludf.DUMMYFUNCTION("""COMPUTED_VALUE"""),"鯰魚大大")</f>
        <v>鯰魚大大</v>
      </c>
      <c r="J4067" t="str">
        <f>IFERROR(__xludf.DUMMYFUNCTION("IFS(
  AND(REGEXMATCH(E4067, ""台銀籌備帳戶|玉山帳戶""), REGEXMATCH(C4067, ""薪資"")), ""分潤支出"",
  AND(REGEXMATCH(E4067, ""Ben帳戶|Elsa帳戶|Ben代墊|Ariel代墊|中信銀行共用""), REGEXMATCH(F4067, ""Ben帳戶|Elsa帳戶|Ben代墊|Ariel代墊|中信銀行共用"")), ""內部轉帳(忽略)"",
  AND(E4067&lt;&gt;"""", F4067&lt;&gt;"""", N"&amp;"OT(REGEXMATCH(C4067, ""薪資""))), ""內部轉帳(忽略)"",
  REGEXMATCH(C4067, ""薪資""), ""薪資變動(不計入)"",
  REGEXMATCH(C4067, ""押金""), ""押金往來"",
  AND(E4067&lt;&gt;"""", F4067=""""), ""真實支出"",
  AND(E4067="""", F4067&lt;&gt;""""), ""真實收入"",
  TRUE, ""其他""
)"),"真實收入")</f>
        <v>真實收入</v>
      </c>
      <c r="K4067" s="270">
        <f t="shared" si="2"/>
        <v>24000</v>
      </c>
      <c r="L4067">
        <f t="shared" si="3"/>
        <v>0</v>
      </c>
    </row>
    <row r="4068">
      <c r="A4068" s="107">
        <f>IFERROR(__xludf.DUMMYFUNCTION("""COMPUTED_VALUE"""),45262.0)</f>
        <v>45262</v>
      </c>
      <c r="B4068" t="str">
        <f>IFERROR(__xludf.DUMMYFUNCTION("""COMPUTED_VALUE"""),"內湖A")</f>
        <v>內湖A</v>
      </c>
      <c r="C4068" t="str">
        <f>IFERROR(__xludf.DUMMYFUNCTION("""COMPUTED_VALUE"""),"收入 - 租金")</f>
        <v>收入 - 租金</v>
      </c>
      <c r="D4068" s="270">
        <f>IFERROR(__xludf.DUMMYFUNCTION("""COMPUTED_VALUE"""),0.0)</f>
        <v>0</v>
      </c>
      <c r="F4068" t="str">
        <f>IFERROR(__xludf.DUMMYFUNCTION("""COMPUTED_VALUE"""),"玉山帳戶")</f>
        <v>玉山帳戶</v>
      </c>
      <c r="G4068" t="str">
        <f>IFERROR(__xludf.DUMMYFUNCTION("""COMPUTED_VALUE"""),"內湖秘境")</f>
        <v>內湖秘境</v>
      </c>
      <c r="H4068" s="106" t="str">
        <f t="shared" si="1"/>
        <v>2023-12</v>
      </c>
      <c r="I4068" s="271" t="str">
        <f>IFERROR(__xludf.DUMMYFUNCTION("""COMPUTED_VALUE"""),"鯰魚大大")</f>
        <v>鯰魚大大</v>
      </c>
      <c r="J4068" t="str">
        <f>IFERROR(__xludf.DUMMYFUNCTION("IFS(
  AND(REGEXMATCH(E4068, ""台銀籌備帳戶|玉山帳戶""), REGEXMATCH(C4068, ""薪資"")), ""分潤支出"",
  AND(REGEXMATCH(E4068, ""Ben帳戶|Elsa帳戶|Ben代墊|Ariel代墊|中信銀行共用""), REGEXMATCH(F4068, ""Ben帳戶|Elsa帳戶|Ben代墊|Ariel代墊|中信銀行共用"")), ""內部轉帳(忽略)"",
  AND(E4068&lt;&gt;"""", F4068&lt;&gt;"""", N"&amp;"OT(REGEXMATCH(C4068, ""薪資""))), ""內部轉帳(忽略)"",
  REGEXMATCH(C4068, ""薪資""), ""薪資變動(不計入)"",
  REGEXMATCH(C4068, ""押金""), ""押金往來"",
  AND(E4068&lt;&gt;"""", F4068=""""), ""真實支出"",
  AND(E4068="""", F4068&lt;&gt;""""), ""真實收入"",
  TRUE, ""其他""
)"),"真實收入")</f>
        <v>真實收入</v>
      </c>
      <c r="K4068" s="270">
        <f t="shared" si="2"/>
        <v>0</v>
      </c>
      <c r="L4068">
        <f t="shared" si="3"/>
        <v>0</v>
      </c>
    </row>
    <row r="4069">
      <c r="A4069" s="107">
        <f>IFERROR(__xludf.DUMMYFUNCTION("""COMPUTED_VALUE"""),45262.0)</f>
        <v>45262</v>
      </c>
      <c r="B4069" t="str">
        <f>IFERROR(__xludf.DUMMYFUNCTION("""COMPUTED_VALUE"""),"內湖A")</f>
        <v>內湖A</v>
      </c>
      <c r="C4069" t="str">
        <f>IFERROR(__xludf.DUMMYFUNCTION("""COMPUTED_VALUE"""),"收入 - 租金")</f>
        <v>收入 - 租金</v>
      </c>
      <c r="D4069" s="270">
        <f>IFERROR(__xludf.DUMMYFUNCTION("""COMPUTED_VALUE"""),4000.0)</f>
        <v>4000</v>
      </c>
      <c r="F4069" t="str">
        <f>IFERROR(__xludf.DUMMYFUNCTION("""COMPUTED_VALUE"""),"玉山帳戶")</f>
        <v>玉山帳戶</v>
      </c>
      <c r="G4069" t="str">
        <f>IFERROR(__xludf.DUMMYFUNCTION("""COMPUTED_VALUE"""),"內湖秘境")</f>
        <v>內湖秘境</v>
      </c>
      <c r="H4069" s="106" t="str">
        <f t="shared" si="1"/>
        <v>2023-12</v>
      </c>
      <c r="I4069" s="271" t="str">
        <f>IFERROR(__xludf.DUMMYFUNCTION("""COMPUTED_VALUE"""),"鯰魚大大")</f>
        <v>鯰魚大大</v>
      </c>
      <c r="J4069" t="str">
        <f>IFERROR(__xludf.DUMMYFUNCTION("IFS(
  AND(REGEXMATCH(E4069, ""台銀籌備帳戶|玉山帳戶""), REGEXMATCH(C4069, ""薪資"")), ""分潤支出"",
  AND(REGEXMATCH(E4069, ""Ben帳戶|Elsa帳戶|Ben代墊|Ariel代墊|中信銀行共用""), REGEXMATCH(F4069, ""Ben帳戶|Elsa帳戶|Ben代墊|Ariel代墊|中信銀行共用"")), ""內部轉帳(忽略)"",
  AND(E4069&lt;&gt;"""", F4069&lt;&gt;"""", N"&amp;"OT(REGEXMATCH(C4069, ""薪資""))), ""內部轉帳(忽略)"",
  REGEXMATCH(C4069, ""薪資""), ""薪資變動(不計入)"",
  REGEXMATCH(C4069, ""押金""), ""押金往來"",
  AND(E4069&lt;&gt;"""", F4069=""""), ""真實支出"",
  AND(E4069="""", F4069&lt;&gt;""""), ""真實收入"",
  TRUE, ""其他""
)"),"真實收入")</f>
        <v>真實收入</v>
      </c>
      <c r="K4069" s="270">
        <f t="shared" si="2"/>
        <v>4000</v>
      </c>
      <c r="L4069">
        <f t="shared" si="3"/>
        <v>0</v>
      </c>
    </row>
    <row r="4070">
      <c r="A4070" s="107">
        <f>IFERROR(__xludf.DUMMYFUNCTION("""COMPUTED_VALUE"""),45265.0)</f>
        <v>45265</v>
      </c>
      <c r="B4070" t="str">
        <f>IFERROR(__xludf.DUMMYFUNCTION("""COMPUTED_VALUE"""),"和豐A")</f>
        <v>和豐A</v>
      </c>
      <c r="C4070" t="str">
        <f>IFERROR(__xludf.DUMMYFUNCTION("""COMPUTED_VALUE"""),"收入 - 租金")</f>
        <v>收入 - 租金</v>
      </c>
      <c r="D4070" s="270">
        <f>IFERROR(__xludf.DUMMYFUNCTION("""COMPUTED_VALUE"""),31600.0)</f>
        <v>31600</v>
      </c>
      <c r="F4070" t="str">
        <f>IFERROR(__xludf.DUMMYFUNCTION("""COMPUTED_VALUE"""),"玉山帳戶")</f>
        <v>玉山帳戶</v>
      </c>
      <c r="G4070" t="str">
        <f>IFERROR(__xludf.DUMMYFUNCTION("""COMPUTED_VALUE"""),"內湖秘境")</f>
        <v>內湖秘境</v>
      </c>
      <c r="H4070" s="106" t="str">
        <f t="shared" si="1"/>
        <v>2023-12</v>
      </c>
      <c r="I4070" s="271" t="str">
        <f>IFERROR(__xludf.DUMMYFUNCTION("""COMPUTED_VALUE"""),"鯰魚大大")</f>
        <v>鯰魚大大</v>
      </c>
      <c r="J4070" t="str">
        <f>IFERROR(__xludf.DUMMYFUNCTION("IFS(
  AND(REGEXMATCH(E4070, ""台銀籌備帳戶|玉山帳戶""), REGEXMATCH(C4070, ""薪資"")), ""分潤支出"",
  AND(REGEXMATCH(E4070, ""Ben帳戶|Elsa帳戶|Ben代墊|Ariel代墊|中信銀行共用""), REGEXMATCH(F4070, ""Ben帳戶|Elsa帳戶|Ben代墊|Ariel代墊|中信銀行共用"")), ""內部轉帳(忽略)"",
  AND(E4070&lt;&gt;"""", F4070&lt;&gt;"""", N"&amp;"OT(REGEXMATCH(C4070, ""薪資""))), ""內部轉帳(忽略)"",
  REGEXMATCH(C4070, ""薪資""), ""薪資變動(不計入)"",
  REGEXMATCH(C4070, ""押金""), ""押金往來"",
  AND(E4070&lt;&gt;"""", F4070=""""), ""真實支出"",
  AND(E4070="""", F4070&lt;&gt;""""), ""真實收入"",
  TRUE, ""其他""
)"),"真實收入")</f>
        <v>真實收入</v>
      </c>
      <c r="K4070" s="270">
        <f t="shared" si="2"/>
        <v>31600</v>
      </c>
      <c r="L4070">
        <f t="shared" si="3"/>
        <v>0</v>
      </c>
    </row>
    <row r="4071">
      <c r="A4071" s="107">
        <f>IFERROR(__xludf.DUMMYFUNCTION("""COMPUTED_VALUE"""),45265.0)</f>
        <v>45265</v>
      </c>
      <c r="B4071" t="str">
        <f>IFERROR(__xludf.DUMMYFUNCTION("""COMPUTED_VALUE"""),"和豐A")</f>
        <v>和豐A</v>
      </c>
      <c r="C4071" t="str">
        <f>IFERROR(__xludf.DUMMYFUNCTION("""COMPUTED_VALUE"""),"收入 - 租金")</f>
        <v>收入 - 租金</v>
      </c>
      <c r="D4071" s="270">
        <f>IFERROR(__xludf.DUMMYFUNCTION("""COMPUTED_VALUE"""),7800.0)</f>
        <v>7800</v>
      </c>
      <c r="F4071" t="str">
        <f>IFERROR(__xludf.DUMMYFUNCTION("""COMPUTED_VALUE"""),"玉山帳戶")</f>
        <v>玉山帳戶</v>
      </c>
      <c r="G4071" t="str">
        <f>IFERROR(__xludf.DUMMYFUNCTION("""COMPUTED_VALUE"""),"內湖秘境")</f>
        <v>內湖秘境</v>
      </c>
      <c r="H4071" s="106" t="str">
        <f t="shared" si="1"/>
        <v>2023-12</v>
      </c>
      <c r="I4071" s="271" t="str">
        <f>IFERROR(__xludf.DUMMYFUNCTION("""COMPUTED_VALUE"""),"鯰魚大大")</f>
        <v>鯰魚大大</v>
      </c>
      <c r="J4071" t="str">
        <f>IFERROR(__xludf.DUMMYFUNCTION("IFS(
  AND(REGEXMATCH(E4071, ""台銀籌備帳戶|玉山帳戶""), REGEXMATCH(C4071, ""薪資"")), ""分潤支出"",
  AND(REGEXMATCH(E4071, ""Ben帳戶|Elsa帳戶|Ben代墊|Ariel代墊|中信銀行共用""), REGEXMATCH(F4071, ""Ben帳戶|Elsa帳戶|Ben代墊|Ariel代墊|中信銀行共用"")), ""內部轉帳(忽略)"",
  AND(E4071&lt;&gt;"""", F4071&lt;&gt;"""", N"&amp;"OT(REGEXMATCH(C4071, ""薪資""))), ""內部轉帳(忽略)"",
  REGEXMATCH(C4071, ""薪資""), ""薪資變動(不計入)"",
  REGEXMATCH(C4071, ""押金""), ""押金往來"",
  AND(E4071&lt;&gt;"""", F4071=""""), ""真實支出"",
  AND(E4071="""", F4071&lt;&gt;""""), ""真實收入"",
  TRUE, ""其他""
)"),"真實收入")</f>
        <v>真實收入</v>
      </c>
      <c r="K4071" s="270">
        <f t="shared" si="2"/>
        <v>7800</v>
      </c>
      <c r="L4071">
        <f t="shared" si="3"/>
        <v>0</v>
      </c>
    </row>
    <row r="4072">
      <c r="A4072" s="107">
        <f>IFERROR(__xludf.DUMMYFUNCTION("""COMPUTED_VALUE"""),45292.0)</f>
        <v>45292</v>
      </c>
      <c r="B4072" t="str">
        <f>IFERROR(__xludf.DUMMYFUNCTION("""COMPUTED_VALUE"""),"Totto")</f>
        <v>Totto</v>
      </c>
      <c r="C4072" t="str">
        <f>IFERROR(__xludf.DUMMYFUNCTION("""COMPUTED_VALUE"""),"收入 - 租金")</f>
        <v>收入 - 租金</v>
      </c>
      <c r="D4072" s="270">
        <f>IFERROR(__xludf.DUMMYFUNCTION("""COMPUTED_VALUE"""),13000.0)</f>
        <v>13000</v>
      </c>
      <c r="F4072" t="str">
        <f>IFERROR(__xludf.DUMMYFUNCTION("""COMPUTED_VALUE"""),"中信銀行共用")</f>
        <v>中信銀行共用</v>
      </c>
      <c r="G4072" t="str">
        <f>IFERROR(__xludf.DUMMYFUNCTION("""COMPUTED_VALUE"""),"士林和豐")</f>
        <v>士林和豐</v>
      </c>
      <c r="H4072" s="106" t="str">
        <f t="shared" si="1"/>
        <v>2024-01</v>
      </c>
      <c r="I4072" s="271" t="str">
        <f>IFERROR(__xludf.DUMMYFUNCTION("""COMPUTED_VALUE"""),"鯰魚大大")</f>
        <v>鯰魚大大</v>
      </c>
      <c r="J4072" t="str">
        <f>IFERROR(__xludf.DUMMYFUNCTION("IFS(
  AND(REGEXMATCH(E4072, ""台銀籌備帳戶|玉山帳戶""), REGEXMATCH(C4072, ""薪資"")), ""分潤支出"",
  AND(REGEXMATCH(E4072, ""Ben帳戶|Elsa帳戶|Ben代墊|Ariel代墊|中信銀行共用""), REGEXMATCH(F4072, ""Ben帳戶|Elsa帳戶|Ben代墊|Ariel代墊|中信銀行共用"")), ""內部轉帳(忽略)"",
  AND(E4072&lt;&gt;"""", F4072&lt;&gt;"""", N"&amp;"OT(REGEXMATCH(C4072, ""薪資""))), ""內部轉帳(忽略)"",
  REGEXMATCH(C4072, ""薪資""), ""薪資變動(不計入)"",
  REGEXMATCH(C4072, ""押金""), ""押金往來"",
  AND(E4072&lt;&gt;"""", F4072=""""), ""真實支出"",
  AND(E4072="""", F4072&lt;&gt;""""), ""真實收入"",
  TRUE, ""其他""
)"),"真實收入")</f>
        <v>真實收入</v>
      </c>
      <c r="K4072" s="270">
        <f t="shared" si="2"/>
        <v>13000</v>
      </c>
      <c r="L4072">
        <f t="shared" si="3"/>
        <v>0</v>
      </c>
    </row>
    <row r="4073">
      <c r="A4073" s="107">
        <f>IFERROR(__xludf.DUMMYFUNCTION("""COMPUTED_VALUE"""),45292.0)</f>
        <v>45292</v>
      </c>
      <c r="B4073" t="str">
        <f>IFERROR(__xludf.DUMMYFUNCTION("""COMPUTED_VALUE"""),"梁譯心")</f>
        <v>梁譯心</v>
      </c>
      <c r="C4073" t="str">
        <f>IFERROR(__xludf.DUMMYFUNCTION("""COMPUTED_VALUE"""),"收入 - 租金")</f>
        <v>收入 - 租金</v>
      </c>
      <c r="D4073" s="270">
        <f>IFERROR(__xludf.DUMMYFUNCTION("""COMPUTED_VALUE"""),11000.0)</f>
        <v>11000</v>
      </c>
      <c r="F4073" t="str">
        <f>IFERROR(__xludf.DUMMYFUNCTION("""COMPUTED_VALUE"""),"中信銀行共用")</f>
        <v>中信銀行共用</v>
      </c>
      <c r="G4073" t="str">
        <f>IFERROR(__xludf.DUMMYFUNCTION("""COMPUTED_VALUE"""),"士林和豐")</f>
        <v>士林和豐</v>
      </c>
      <c r="H4073" s="106" t="str">
        <f t="shared" si="1"/>
        <v>2024-01</v>
      </c>
      <c r="I4073" s="271" t="str">
        <f>IFERROR(__xludf.DUMMYFUNCTION("""COMPUTED_VALUE"""),"鯰魚大大")</f>
        <v>鯰魚大大</v>
      </c>
      <c r="J4073" t="str">
        <f>IFERROR(__xludf.DUMMYFUNCTION("IFS(
  AND(REGEXMATCH(E4073, ""台銀籌備帳戶|玉山帳戶""), REGEXMATCH(C4073, ""薪資"")), ""分潤支出"",
  AND(REGEXMATCH(E4073, ""Ben帳戶|Elsa帳戶|Ben代墊|Ariel代墊|中信銀行共用""), REGEXMATCH(F4073, ""Ben帳戶|Elsa帳戶|Ben代墊|Ariel代墊|中信銀行共用"")), ""內部轉帳(忽略)"",
  AND(E4073&lt;&gt;"""", F4073&lt;&gt;"""", N"&amp;"OT(REGEXMATCH(C4073, ""薪資""))), ""內部轉帳(忽略)"",
  REGEXMATCH(C4073, ""薪資""), ""薪資變動(不計入)"",
  REGEXMATCH(C4073, ""押金""), ""押金往來"",
  AND(E4073&lt;&gt;"""", F4073=""""), ""真實支出"",
  AND(E4073="""", F4073&lt;&gt;""""), ""真實收入"",
  TRUE, ""其他""
)"),"真實收入")</f>
        <v>真實收入</v>
      </c>
      <c r="K4073" s="270">
        <f t="shared" si="2"/>
        <v>11000</v>
      </c>
      <c r="L4073">
        <f t="shared" si="3"/>
        <v>0</v>
      </c>
    </row>
    <row r="4074">
      <c r="A4074" s="107">
        <f>IFERROR(__xludf.DUMMYFUNCTION("""COMPUTED_VALUE"""),45292.0)</f>
        <v>45292</v>
      </c>
      <c r="B4074" t="str">
        <f>IFERROR(__xludf.DUMMYFUNCTION("""COMPUTED_VALUE"""),"曹淑宜")</f>
        <v>曹淑宜</v>
      </c>
      <c r="C4074" t="str">
        <f>IFERROR(__xludf.DUMMYFUNCTION("""COMPUTED_VALUE"""),"收入 - 租金")</f>
        <v>收入 - 租金</v>
      </c>
      <c r="D4074" s="270">
        <f>IFERROR(__xludf.DUMMYFUNCTION("""COMPUTED_VALUE"""),12500.0)</f>
        <v>12500</v>
      </c>
      <c r="F4074" t="str">
        <f>IFERROR(__xludf.DUMMYFUNCTION("""COMPUTED_VALUE"""),"中信銀行共用")</f>
        <v>中信銀行共用</v>
      </c>
      <c r="G4074" t="str">
        <f>IFERROR(__xludf.DUMMYFUNCTION("""COMPUTED_VALUE"""),"士林和豐")</f>
        <v>士林和豐</v>
      </c>
      <c r="H4074" s="106" t="str">
        <f t="shared" si="1"/>
        <v>2024-01</v>
      </c>
      <c r="I4074" s="271" t="str">
        <f>IFERROR(__xludf.DUMMYFUNCTION("""COMPUTED_VALUE"""),"鯰魚大大")</f>
        <v>鯰魚大大</v>
      </c>
      <c r="J4074" t="str">
        <f>IFERROR(__xludf.DUMMYFUNCTION("IFS(
  AND(REGEXMATCH(E4074, ""台銀籌備帳戶|玉山帳戶""), REGEXMATCH(C4074, ""薪資"")), ""分潤支出"",
  AND(REGEXMATCH(E4074, ""Ben帳戶|Elsa帳戶|Ben代墊|Ariel代墊|中信銀行共用""), REGEXMATCH(F4074, ""Ben帳戶|Elsa帳戶|Ben代墊|Ariel代墊|中信銀行共用"")), ""內部轉帳(忽略)"",
  AND(E4074&lt;&gt;"""", F4074&lt;&gt;"""", N"&amp;"OT(REGEXMATCH(C4074, ""薪資""))), ""內部轉帳(忽略)"",
  REGEXMATCH(C4074, ""薪資""), ""薪資變動(不計入)"",
  REGEXMATCH(C4074, ""押金""), ""押金往來"",
  AND(E4074&lt;&gt;"""", F4074=""""), ""真實支出"",
  AND(E4074="""", F4074&lt;&gt;""""), ""真實收入"",
  TRUE, ""其他""
)"),"真實收入")</f>
        <v>真實收入</v>
      </c>
      <c r="K4074" s="270">
        <f t="shared" si="2"/>
        <v>12500</v>
      </c>
      <c r="L4074">
        <f t="shared" si="3"/>
        <v>0</v>
      </c>
    </row>
    <row r="4075">
      <c r="A4075" s="107">
        <f>IFERROR(__xludf.DUMMYFUNCTION("""COMPUTED_VALUE"""),45272.0)</f>
        <v>45272</v>
      </c>
      <c r="B4075" t="str">
        <f>IFERROR(__xludf.DUMMYFUNCTION("""COMPUTED_VALUE"""),"退貨物稅")</f>
        <v>退貨物稅</v>
      </c>
      <c r="C4075" t="str">
        <f>IFERROR(__xludf.DUMMYFUNCTION("""COMPUTED_VALUE"""),"收入 - 政府補助/退稅")</f>
        <v>收入 - 政府補助/退稅</v>
      </c>
      <c r="D4075" s="270">
        <f>IFERROR(__xludf.DUMMYFUNCTION("""COMPUTED_VALUE"""),1200.0)</f>
        <v>1200</v>
      </c>
      <c r="F4075" t="str">
        <f>IFERROR(__xludf.DUMMYFUNCTION("""COMPUTED_VALUE"""),"玉山帳戶")</f>
        <v>玉山帳戶</v>
      </c>
      <c r="H4075" s="106" t="str">
        <f t="shared" si="1"/>
        <v>2023-12</v>
      </c>
      <c r="I4075" s="271" t="str">
        <f>IFERROR(__xludf.DUMMYFUNCTION("""COMPUTED_VALUE"""),"鯰魚大大")</f>
        <v>鯰魚大大</v>
      </c>
      <c r="J4075" t="str">
        <f>IFERROR(__xludf.DUMMYFUNCTION("IFS(
  AND(REGEXMATCH(E4075, ""台銀籌備帳戶|玉山帳戶""), REGEXMATCH(C4075, ""薪資"")), ""分潤支出"",
  AND(REGEXMATCH(E4075, ""Ben帳戶|Elsa帳戶|Ben代墊|Ariel代墊|中信銀行共用""), REGEXMATCH(F4075, ""Ben帳戶|Elsa帳戶|Ben代墊|Ariel代墊|中信銀行共用"")), ""內部轉帳(忽略)"",
  AND(E4075&lt;&gt;"""", F4075&lt;&gt;"""", N"&amp;"OT(REGEXMATCH(C4075, ""薪資""))), ""內部轉帳(忽略)"",
  REGEXMATCH(C4075, ""薪資""), ""薪資變動(不計入)"",
  REGEXMATCH(C4075, ""押金""), ""押金往來"",
  AND(E4075&lt;&gt;"""", F4075=""""), ""真實支出"",
  AND(E4075="""", F4075&lt;&gt;""""), ""真實收入"",
  TRUE, ""其他""
)"),"真實收入")</f>
        <v>真實收入</v>
      </c>
      <c r="K4075" s="270">
        <f t="shared" si="2"/>
        <v>1200</v>
      </c>
      <c r="L4075">
        <f t="shared" si="3"/>
        <v>0</v>
      </c>
    </row>
    <row r="4076">
      <c r="A4076" s="107">
        <f>IFERROR(__xludf.DUMMYFUNCTION("""COMPUTED_VALUE"""),45272.0)</f>
        <v>45272</v>
      </c>
      <c r="B4076" t="str">
        <f>IFERROR(__xludf.DUMMYFUNCTION("""COMPUTED_VALUE"""),"退貨物稅")</f>
        <v>退貨物稅</v>
      </c>
      <c r="C4076" t="str">
        <f>IFERROR(__xludf.DUMMYFUNCTION("""COMPUTED_VALUE"""),"收入 - 政府補助/退稅")</f>
        <v>收入 - 政府補助/退稅</v>
      </c>
      <c r="D4076" s="270">
        <f>IFERROR(__xludf.DUMMYFUNCTION("""COMPUTED_VALUE"""),1200.0)</f>
        <v>1200</v>
      </c>
      <c r="F4076" t="str">
        <f>IFERROR(__xludf.DUMMYFUNCTION("""COMPUTED_VALUE"""),"玉山帳戶")</f>
        <v>玉山帳戶</v>
      </c>
      <c r="H4076" s="106" t="str">
        <f t="shared" si="1"/>
        <v>2023-12</v>
      </c>
      <c r="I4076" s="271" t="str">
        <f>IFERROR(__xludf.DUMMYFUNCTION("""COMPUTED_VALUE"""),"鯰魚大大")</f>
        <v>鯰魚大大</v>
      </c>
      <c r="J4076" t="str">
        <f>IFERROR(__xludf.DUMMYFUNCTION("IFS(
  AND(REGEXMATCH(E4076, ""台銀籌備帳戶|玉山帳戶""), REGEXMATCH(C4076, ""薪資"")), ""分潤支出"",
  AND(REGEXMATCH(E4076, ""Ben帳戶|Elsa帳戶|Ben代墊|Ariel代墊|中信銀行共用""), REGEXMATCH(F4076, ""Ben帳戶|Elsa帳戶|Ben代墊|Ariel代墊|中信銀行共用"")), ""內部轉帳(忽略)"",
  AND(E4076&lt;&gt;"""", F4076&lt;&gt;"""", N"&amp;"OT(REGEXMATCH(C4076, ""薪資""))), ""內部轉帳(忽略)"",
  REGEXMATCH(C4076, ""薪資""), ""薪資變動(不計入)"",
  REGEXMATCH(C4076, ""押金""), ""押金往來"",
  AND(E4076&lt;&gt;"""", F4076=""""), ""真實支出"",
  AND(E4076="""", F4076&lt;&gt;""""), ""真實收入"",
  TRUE, ""其他""
)"),"真實收入")</f>
        <v>真實收入</v>
      </c>
      <c r="K4076" s="270">
        <f t="shared" si="2"/>
        <v>1200</v>
      </c>
      <c r="L4076">
        <f t="shared" si="3"/>
        <v>0</v>
      </c>
    </row>
    <row r="4077">
      <c r="A4077" s="107">
        <f>IFERROR(__xludf.DUMMYFUNCTION("""COMPUTED_VALUE"""),45273.0)</f>
        <v>45273</v>
      </c>
      <c r="B4077" t="str">
        <f>IFERROR(__xludf.DUMMYFUNCTION("""COMPUTED_VALUE"""),"宜佳工程行")</f>
        <v>宜佳工程行</v>
      </c>
      <c r="C4077" t="str">
        <f>IFERROR(__xludf.DUMMYFUNCTION("""COMPUTED_VALUE"""),"成本 - 進場前裝潢費")</f>
        <v>成本 - 進場前裝潢費</v>
      </c>
      <c r="D4077" s="270">
        <f>IFERROR(__xludf.DUMMYFUNCTION("""COMPUTED_VALUE"""),-63325.0)</f>
        <v>-63325</v>
      </c>
      <c r="E4077" t="str">
        <f>IFERROR(__xludf.DUMMYFUNCTION("""COMPUTED_VALUE"""),"玉山帳戶")</f>
        <v>玉山帳戶</v>
      </c>
      <c r="H4077" s="106" t="str">
        <f t="shared" si="1"/>
        <v>2023-12</v>
      </c>
      <c r="I4077" s="271" t="str">
        <f>IFERROR(__xludf.DUMMYFUNCTION("""COMPUTED_VALUE"""),"鯰魚大大")</f>
        <v>鯰魚大大</v>
      </c>
      <c r="J4077" t="str">
        <f>IFERROR(__xludf.DUMMYFUNCTION("IFS(
  AND(REGEXMATCH(E4077, ""台銀籌備帳戶|玉山帳戶""), REGEXMATCH(C4077, ""薪資"")), ""分潤支出"",
  AND(REGEXMATCH(E4077, ""Ben帳戶|Elsa帳戶|Ben代墊|Ariel代墊|中信銀行共用""), REGEXMATCH(F4077, ""Ben帳戶|Elsa帳戶|Ben代墊|Ariel代墊|中信銀行共用"")), ""內部轉帳(忽略)"",
  AND(E4077&lt;&gt;"""", F4077&lt;&gt;"""", N"&amp;"OT(REGEXMATCH(C4077, ""薪資""))), ""內部轉帳(忽略)"",
  REGEXMATCH(C4077, ""薪資""), ""薪資變動(不計入)"",
  REGEXMATCH(C4077, ""押金""), ""押金往來"",
  AND(E4077&lt;&gt;"""", F4077=""""), ""真實支出"",
  AND(E4077="""", F4077&lt;&gt;""""), ""真實收入"",
  TRUE, ""其他""
)"),"真實支出")</f>
        <v>真實支出</v>
      </c>
      <c r="K4077" s="270">
        <f t="shared" si="2"/>
        <v>-63325</v>
      </c>
      <c r="L4077">
        <f t="shared" si="3"/>
        <v>0</v>
      </c>
    </row>
    <row r="4078">
      <c r="A4078" s="107">
        <f>IFERROR(__xludf.DUMMYFUNCTION("""COMPUTED_VALUE"""),45274.0)</f>
        <v>45274</v>
      </c>
      <c r="B4078" t="str">
        <f>IFERROR(__xludf.DUMMYFUNCTION("""COMPUTED_VALUE"""),"宜佳工程行")</f>
        <v>宜佳工程行</v>
      </c>
      <c r="C4078" t="str">
        <f>IFERROR(__xludf.DUMMYFUNCTION("""COMPUTED_VALUE"""),"成本 - 進場前裝潢費")</f>
        <v>成本 - 進場前裝潢費</v>
      </c>
      <c r="D4078" s="270">
        <f>IFERROR(__xludf.DUMMYFUNCTION("""COMPUTED_VALUE"""),63310.0)</f>
        <v>63310</v>
      </c>
      <c r="F4078" t="str">
        <f>IFERROR(__xludf.DUMMYFUNCTION("""COMPUTED_VALUE"""),"玉山帳戶")</f>
        <v>玉山帳戶</v>
      </c>
      <c r="H4078" s="106" t="str">
        <f t="shared" si="1"/>
        <v>2023-12</v>
      </c>
      <c r="I4078" s="271" t="str">
        <f>IFERROR(__xludf.DUMMYFUNCTION("""COMPUTED_VALUE"""),"鯰魚大大")</f>
        <v>鯰魚大大</v>
      </c>
      <c r="J4078" t="str">
        <f>IFERROR(__xludf.DUMMYFUNCTION("IFS(
  AND(REGEXMATCH(E4078, ""台銀籌備帳戶|玉山帳戶""), REGEXMATCH(C4078, ""薪資"")), ""分潤支出"",
  AND(REGEXMATCH(E4078, ""Ben帳戶|Elsa帳戶|Ben代墊|Ariel代墊|中信銀行共用""), REGEXMATCH(F4078, ""Ben帳戶|Elsa帳戶|Ben代墊|Ariel代墊|中信銀行共用"")), ""內部轉帳(忽略)"",
  AND(E4078&lt;&gt;"""", F4078&lt;&gt;"""", N"&amp;"OT(REGEXMATCH(C4078, ""薪資""))), ""內部轉帳(忽略)"",
  REGEXMATCH(C4078, ""薪資""), ""薪資變動(不計入)"",
  REGEXMATCH(C4078, ""押金""), ""押金往來"",
  AND(E4078&lt;&gt;"""", F4078=""""), ""真實支出"",
  AND(E4078="""", F4078&lt;&gt;""""), ""真實收入"",
  TRUE, ""其他""
)"),"真實收入")</f>
        <v>真實收入</v>
      </c>
      <c r="K4078" s="270">
        <f t="shared" si="2"/>
        <v>63310</v>
      </c>
      <c r="L4078">
        <f t="shared" si="3"/>
        <v>0</v>
      </c>
    </row>
    <row r="4079">
      <c r="A4079" s="107">
        <f>IFERROR(__xludf.DUMMYFUNCTION("""COMPUTED_VALUE"""),45281.0)</f>
        <v>45281</v>
      </c>
      <c r="B4079" t="str">
        <f>IFERROR(__xludf.DUMMYFUNCTION("""COMPUTED_VALUE"""),"利息")</f>
        <v>利息</v>
      </c>
      <c r="C4079" t="str">
        <f>IFERROR(__xludf.DUMMYFUNCTION("""COMPUTED_VALUE"""),"收入 - 政府補助/退稅")</f>
        <v>收入 - 政府補助/退稅</v>
      </c>
      <c r="D4079" s="270">
        <f>IFERROR(__xludf.DUMMYFUNCTION("""COMPUTED_VALUE"""),501.0)</f>
        <v>501</v>
      </c>
      <c r="F4079" t="str">
        <f>IFERROR(__xludf.DUMMYFUNCTION("""COMPUTED_VALUE"""),"玉山帳戶")</f>
        <v>玉山帳戶</v>
      </c>
      <c r="H4079" s="106" t="str">
        <f t="shared" si="1"/>
        <v>2023-12</v>
      </c>
      <c r="I4079" s="271" t="str">
        <f>IFERROR(__xludf.DUMMYFUNCTION("""COMPUTED_VALUE"""),"鯰魚大大")</f>
        <v>鯰魚大大</v>
      </c>
      <c r="J4079" t="str">
        <f>IFERROR(__xludf.DUMMYFUNCTION("IFS(
  AND(REGEXMATCH(E4079, ""台銀籌備帳戶|玉山帳戶""), REGEXMATCH(C4079, ""薪資"")), ""分潤支出"",
  AND(REGEXMATCH(E4079, ""Ben帳戶|Elsa帳戶|Ben代墊|Ariel代墊|中信銀行共用""), REGEXMATCH(F4079, ""Ben帳戶|Elsa帳戶|Ben代墊|Ariel代墊|中信銀行共用"")), ""內部轉帳(忽略)"",
  AND(E4079&lt;&gt;"""", F4079&lt;&gt;"""", N"&amp;"OT(REGEXMATCH(C4079, ""薪資""))), ""內部轉帳(忽略)"",
  REGEXMATCH(C4079, ""薪資""), ""薪資變動(不計入)"",
  REGEXMATCH(C4079, ""押金""), ""押金往來"",
  AND(E4079&lt;&gt;"""", F4079=""""), ""真實支出"",
  AND(E4079="""", F4079&lt;&gt;""""), ""真實收入"",
  TRUE, ""其他""
)"),"真實收入")</f>
        <v>真實收入</v>
      </c>
      <c r="K4079" s="270">
        <f t="shared" si="2"/>
        <v>501</v>
      </c>
      <c r="L4079">
        <f t="shared" si="3"/>
        <v>0</v>
      </c>
    </row>
    <row r="4080">
      <c r="A4080" s="107">
        <f>IFERROR(__xludf.DUMMYFUNCTION("""COMPUTED_VALUE"""),45289.0)</f>
        <v>45289</v>
      </c>
      <c r="B4080" t="str">
        <f>IFERROR(__xludf.DUMMYFUNCTION("""COMPUTED_VALUE"""),"油漆呂 內湖")</f>
        <v>油漆呂 內湖</v>
      </c>
      <c r="C4080" t="str">
        <f>IFERROR(__xludf.DUMMYFUNCTION("""COMPUTED_VALUE"""),"成本 - 進場前裝潢費")</f>
        <v>成本 - 進場前裝潢費</v>
      </c>
      <c r="D4080" s="270">
        <f>IFERROR(__xludf.DUMMYFUNCTION("""COMPUTED_VALUE"""),-19015.0)</f>
        <v>-19015</v>
      </c>
      <c r="E4080" t="str">
        <f>IFERROR(__xludf.DUMMYFUNCTION("""COMPUTED_VALUE"""),"玉山帳戶")</f>
        <v>玉山帳戶</v>
      </c>
      <c r="G4080" t="str">
        <f>IFERROR(__xludf.DUMMYFUNCTION("""COMPUTED_VALUE"""),"內湖秘境")</f>
        <v>內湖秘境</v>
      </c>
      <c r="H4080" s="106" t="str">
        <f t="shared" si="1"/>
        <v>2023-12</v>
      </c>
      <c r="I4080" s="271" t="str">
        <f>IFERROR(__xludf.DUMMYFUNCTION("""COMPUTED_VALUE"""),"鯰魚大大")</f>
        <v>鯰魚大大</v>
      </c>
      <c r="J4080" t="str">
        <f>IFERROR(__xludf.DUMMYFUNCTION("IFS(
  AND(REGEXMATCH(E4080, ""台銀籌備帳戶|玉山帳戶""), REGEXMATCH(C4080, ""薪資"")), ""分潤支出"",
  AND(REGEXMATCH(E4080, ""Ben帳戶|Elsa帳戶|Ben代墊|Ariel代墊|中信銀行共用""), REGEXMATCH(F4080, ""Ben帳戶|Elsa帳戶|Ben代墊|Ariel代墊|中信銀行共用"")), ""內部轉帳(忽略)"",
  AND(E4080&lt;&gt;"""", F4080&lt;&gt;"""", N"&amp;"OT(REGEXMATCH(C4080, ""薪資""))), ""內部轉帳(忽略)"",
  REGEXMATCH(C4080, ""薪資""), ""薪資變動(不計入)"",
  REGEXMATCH(C4080, ""押金""), ""押金往來"",
  AND(E4080&lt;&gt;"""", F4080=""""), ""真實支出"",
  AND(E4080="""", F4080&lt;&gt;""""), ""真實收入"",
  TRUE, ""其他""
)"),"真實支出")</f>
        <v>真實支出</v>
      </c>
      <c r="K4080" s="270">
        <f t="shared" si="2"/>
        <v>-19015</v>
      </c>
      <c r="L4080">
        <f t="shared" si="3"/>
        <v>0</v>
      </c>
    </row>
    <row r="4081">
      <c r="A4081" s="107">
        <f>IFERROR(__xludf.DUMMYFUNCTION("""COMPUTED_VALUE"""),45291.0)</f>
        <v>45291</v>
      </c>
      <c r="B4081" t="str">
        <f>IFERROR(__xludf.DUMMYFUNCTION("""COMPUTED_VALUE"""),"巫思予")</f>
        <v>巫思予</v>
      </c>
      <c r="C4081" t="str">
        <f>IFERROR(__xludf.DUMMYFUNCTION("""COMPUTED_VALUE"""),"收入 - 租金")</f>
        <v>收入 - 租金</v>
      </c>
      <c r="D4081" s="270">
        <f>IFERROR(__xludf.DUMMYFUNCTION("""COMPUTED_VALUE"""),15400.0)</f>
        <v>15400</v>
      </c>
      <c r="F4081" t="str">
        <f>IFERROR(__xludf.DUMMYFUNCTION("""COMPUTED_VALUE"""),"玉山帳戶")</f>
        <v>玉山帳戶</v>
      </c>
      <c r="G4081" t="str">
        <f>IFERROR(__xludf.DUMMYFUNCTION("""COMPUTED_VALUE"""),"士林和豐")</f>
        <v>士林和豐</v>
      </c>
      <c r="H4081" s="106" t="str">
        <f t="shared" si="1"/>
        <v>2023-12</v>
      </c>
      <c r="I4081" s="271" t="str">
        <f>IFERROR(__xludf.DUMMYFUNCTION("""COMPUTED_VALUE"""),"鯰魚大大")</f>
        <v>鯰魚大大</v>
      </c>
      <c r="J4081" t="str">
        <f>IFERROR(__xludf.DUMMYFUNCTION("IFS(
  AND(REGEXMATCH(E4081, ""台銀籌備帳戶|玉山帳戶""), REGEXMATCH(C4081, ""薪資"")), ""分潤支出"",
  AND(REGEXMATCH(E4081, ""Ben帳戶|Elsa帳戶|Ben代墊|Ariel代墊|中信銀行共用""), REGEXMATCH(F4081, ""Ben帳戶|Elsa帳戶|Ben代墊|Ariel代墊|中信銀行共用"")), ""內部轉帳(忽略)"",
  AND(E4081&lt;&gt;"""", F4081&lt;&gt;"""", N"&amp;"OT(REGEXMATCH(C4081, ""薪資""))), ""內部轉帳(忽略)"",
  REGEXMATCH(C4081, ""薪資""), ""薪資變動(不計入)"",
  REGEXMATCH(C4081, ""押金""), ""押金往來"",
  AND(E4081&lt;&gt;"""", F4081=""""), ""真實支出"",
  AND(E4081="""", F4081&lt;&gt;""""), ""真實收入"",
  TRUE, ""其他""
)"),"真實收入")</f>
        <v>真實收入</v>
      </c>
      <c r="K4081" s="270">
        <f t="shared" si="2"/>
        <v>15400</v>
      </c>
      <c r="L4081">
        <f t="shared" si="3"/>
        <v>0</v>
      </c>
    </row>
    <row r="4082">
      <c r="A4082" s="107">
        <f>IFERROR(__xludf.DUMMYFUNCTION("""COMPUTED_VALUE"""),45291.0)</f>
        <v>45291</v>
      </c>
      <c r="B4082" t="str">
        <f>IFERROR(__xludf.DUMMYFUNCTION("""COMPUTED_VALUE"""),"Ｃ號房黃詩穎１月內湖租金")</f>
        <v>Ｃ號房黃詩穎１月內湖租金</v>
      </c>
      <c r="C4082" t="str">
        <f>IFERROR(__xludf.DUMMYFUNCTION("""COMPUTED_VALUE"""),"收入 - 租金")</f>
        <v>收入 - 租金</v>
      </c>
      <c r="D4082" s="270">
        <f>IFERROR(__xludf.DUMMYFUNCTION("""COMPUTED_VALUE"""),14800.0)</f>
        <v>14800</v>
      </c>
      <c r="F4082" t="str">
        <f>IFERROR(__xludf.DUMMYFUNCTION("""COMPUTED_VALUE"""),"玉山帳戶")</f>
        <v>玉山帳戶</v>
      </c>
      <c r="G4082" t="str">
        <f>IFERROR(__xludf.DUMMYFUNCTION("""COMPUTED_VALUE"""),"內湖秘境")</f>
        <v>內湖秘境</v>
      </c>
      <c r="H4082" s="106" t="str">
        <f t="shared" si="1"/>
        <v>2023-12</v>
      </c>
      <c r="I4082" s="271" t="str">
        <f>IFERROR(__xludf.DUMMYFUNCTION("""COMPUTED_VALUE"""),"鯰魚大大")</f>
        <v>鯰魚大大</v>
      </c>
      <c r="J4082" t="str">
        <f>IFERROR(__xludf.DUMMYFUNCTION("IFS(
  AND(REGEXMATCH(E4082, ""台銀籌備帳戶|玉山帳戶""), REGEXMATCH(C4082, ""薪資"")), ""分潤支出"",
  AND(REGEXMATCH(E4082, ""Ben帳戶|Elsa帳戶|Ben代墊|Ariel代墊|中信銀行共用""), REGEXMATCH(F4082, ""Ben帳戶|Elsa帳戶|Ben代墊|Ariel代墊|中信銀行共用"")), ""內部轉帳(忽略)"",
  AND(E4082&lt;&gt;"""", F4082&lt;&gt;"""", N"&amp;"OT(REGEXMATCH(C4082, ""薪資""))), ""內部轉帳(忽略)"",
  REGEXMATCH(C4082, ""薪資""), ""薪資變動(不計入)"",
  REGEXMATCH(C4082, ""押金""), ""押金往來"",
  AND(E4082&lt;&gt;"""", F4082=""""), ""真實支出"",
  AND(E4082="""", F4082&lt;&gt;""""), ""真實收入"",
  TRUE, ""其他""
)"),"真實收入")</f>
        <v>真實收入</v>
      </c>
      <c r="K4082" s="270">
        <f t="shared" si="2"/>
        <v>14800</v>
      </c>
      <c r="L4082">
        <f t="shared" si="3"/>
        <v>0</v>
      </c>
    </row>
    <row r="4083">
      <c r="A4083" s="107">
        <f>IFERROR(__xludf.DUMMYFUNCTION("""COMPUTED_VALUE"""),45292.0)</f>
        <v>45292</v>
      </c>
      <c r="B4083" t="str">
        <f>IFERROR(__xludf.DUMMYFUNCTION("""COMPUTED_VALUE"""),"004/0000046004254059")</f>
        <v>004/0000046004254059</v>
      </c>
      <c r="C4083" t="str">
        <f>IFERROR(__xludf.DUMMYFUNCTION("""COMPUTED_VALUE"""),"收入 - 租金")</f>
        <v>收入 - 租金</v>
      </c>
      <c r="D4083" s="270">
        <f>IFERROR(__xludf.DUMMYFUNCTION("""COMPUTED_VALUE"""),12800.0)</f>
        <v>12800</v>
      </c>
      <c r="F4083" t="str">
        <f>IFERROR(__xludf.DUMMYFUNCTION("""COMPUTED_VALUE"""),"玉山帳戶")</f>
        <v>玉山帳戶</v>
      </c>
      <c r="G4083" t="str">
        <f>IFERROR(__xludf.DUMMYFUNCTION("""COMPUTED_VALUE"""),"內湖秘境")</f>
        <v>內湖秘境</v>
      </c>
      <c r="H4083" s="106" t="str">
        <f t="shared" si="1"/>
        <v>2024-01</v>
      </c>
      <c r="I4083" s="271" t="str">
        <f>IFERROR(__xludf.DUMMYFUNCTION("""COMPUTED_VALUE"""),"鯰魚大大")</f>
        <v>鯰魚大大</v>
      </c>
      <c r="J4083" t="str">
        <f>IFERROR(__xludf.DUMMYFUNCTION("IFS(
  AND(REGEXMATCH(E4083, ""台銀籌備帳戶|玉山帳戶""), REGEXMATCH(C4083, ""薪資"")), ""分潤支出"",
  AND(REGEXMATCH(E4083, ""Ben帳戶|Elsa帳戶|Ben代墊|Ariel代墊|中信銀行共用""), REGEXMATCH(F4083, ""Ben帳戶|Elsa帳戶|Ben代墊|Ariel代墊|中信銀行共用"")), ""內部轉帳(忽略)"",
  AND(E4083&lt;&gt;"""", F4083&lt;&gt;"""", N"&amp;"OT(REGEXMATCH(C4083, ""薪資""))), ""內部轉帳(忽略)"",
  REGEXMATCH(C4083, ""薪資""), ""薪資變動(不計入)"",
  REGEXMATCH(C4083, ""押金""), ""押金往來"",
  AND(E4083&lt;&gt;"""", F4083=""""), ""真實支出"",
  AND(E4083="""", F4083&lt;&gt;""""), ""真實收入"",
  TRUE, ""其他""
)"),"真實收入")</f>
        <v>真實收入</v>
      </c>
      <c r="K4083" s="270">
        <f t="shared" si="2"/>
        <v>12800</v>
      </c>
      <c r="L4083">
        <f t="shared" si="3"/>
        <v>0</v>
      </c>
    </row>
    <row r="4084">
      <c r="A4084" s="107">
        <f>IFERROR(__xludf.DUMMYFUNCTION("""COMPUTED_VALUE"""),45292.0)</f>
        <v>45292</v>
      </c>
      <c r="B4084" t="str">
        <f>IFERROR(__xludf.DUMMYFUNCTION("""COMPUTED_VALUE"""),"017/0000005564009984")</f>
        <v>017/0000005564009984</v>
      </c>
      <c r="C4084" t="str">
        <f>IFERROR(__xludf.DUMMYFUNCTION("""COMPUTED_VALUE"""),"收入 - 租金")</f>
        <v>收入 - 租金</v>
      </c>
      <c r="D4084" s="270">
        <f>IFERROR(__xludf.DUMMYFUNCTION("""COMPUTED_VALUE"""),12600.0)</f>
        <v>12600</v>
      </c>
      <c r="F4084" t="str">
        <f>IFERROR(__xludf.DUMMYFUNCTION("""COMPUTED_VALUE"""),"玉山帳戶")</f>
        <v>玉山帳戶</v>
      </c>
      <c r="G4084" t="str">
        <f>IFERROR(__xludf.DUMMYFUNCTION("""COMPUTED_VALUE"""),"內湖秘境")</f>
        <v>內湖秘境</v>
      </c>
      <c r="H4084" s="106" t="str">
        <f t="shared" si="1"/>
        <v>2024-01</v>
      </c>
      <c r="I4084" s="271" t="str">
        <f>IFERROR(__xludf.DUMMYFUNCTION("""COMPUTED_VALUE"""),"鯰魚大大")</f>
        <v>鯰魚大大</v>
      </c>
      <c r="J4084" t="str">
        <f>IFERROR(__xludf.DUMMYFUNCTION("IFS(
  AND(REGEXMATCH(E4084, ""台銀籌備帳戶|玉山帳戶""), REGEXMATCH(C4084, ""薪資"")), ""分潤支出"",
  AND(REGEXMATCH(E4084, ""Ben帳戶|Elsa帳戶|Ben代墊|Ariel代墊|中信銀行共用""), REGEXMATCH(F4084, ""Ben帳戶|Elsa帳戶|Ben代墊|Ariel代墊|中信銀行共用"")), ""內部轉帳(忽略)"",
  AND(E4084&lt;&gt;"""", F4084&lt;&gt;"""", N"&amp;"OT(REGEXMATCH(C4084, ""薪資""))), ""內部轉帳(忽略)"",
  REGEXMATCH(C4084, ""薪資""), ""薪資變動(不計入)"",
  REGEXMATCH(C4084, ""押金""), ""押金往來"",
  AND(E4084&lt;&gt;"""", F4084=""""), ""真實支出"",
  AND(E4084="""", F4084&lt;&gt;""""), ""真實收入"",
  TRUE, ""其他""
)"),"真實收入")</f>
        <v>真實收入</v>
      </c>
      <c r="K4084" s="270">
        <f t="shared" si="2"/>
        <v>12600</v>
      </c>
      <c r="L4084">
        <f t="shared" si="3"/>
        <v>0</v>
      </c>
    </row>
    <row r="4085">
      <c r="A4085" s="107">
        <f>IFERROR(__xludf.DUMMYFUNCTION("""COMPUTED_VALUE"""),45292.0)</f>
        <v>45292</v>
      </c>
      <c r="B4085" t="str">
        <f>IFERROR(__xludf.DUMMYFUNCTION("""COMPUTED_VALUE"""),"017/0000000702218127")</f>
        <v>017/0000000702218127</v>
      </c>
      <c r="C4085" t="str">
        <f>IFERROR(__xludf.DUMMYFUNCTION("""COMPUTED_VALUE"""),"收入 - 租金")</f>
        <v>收入 - 租金</v>
      </c>
      <c r="D4085" s="270">
        <f>IFERROR(__xludf.DUMMYFUNCTION("""COMPUTED_VALUE"""),12000.0)</f>
        <v>12000</v>
      </c>
      <c r="F4085" t="str">
        <f>IFERROR(__xludf.DUMMYFUNCTION("""COMPUTED_VALUE"""),"玉山帳戶")</f>
        <v>玉山帳戶</v>
      </c>
      <c r="G4085" t="str">
        <f>IFERROR(__xludf.DUMMYFUNCTION("""COMPUTED_VALUE"""),"內湖秘境")</f>
        <v>內湖秘境</v>
      </c>
      <c r="H4085" s="106" t="str">
        <f t="shared" si="1"/>
        <v>2024-01</v>
      </c>
      <c r="I4085" s="271" t="str">
        <f>IFERROR(__xludf.DUMMYFUNCTION("""COMPUTED_VALUE"""),"鯰魚大大")</f>
        <v>鯰魚大大</v>
      </c>
      <c r="J4085" t="str">
        <f>IFERROR(__xludf.DUMMYFUNCTION("IFS(
  AND(REGEXMATCH(E4085, ""台銀籌備帳戶|玉山帳戶""), REGEXMATCH(C4085, ""薪資"")), ""分潤支出"",
  AND(REGEXMATCH(E4085, ""Ben帳戶|Elsa帳戶|Ben代墊|Ariel代墊|中信銀行共用""), REGEXMATCH(F4085, ""Ben帳戶|Elsa帳戶|Ben代墊|Ariel代墊|中信銀行共用"")), ""內部轉帳(忽略)"",
  AND(E4085&lt;&gt;"""", F4085&lt;&gt;"""", N"&amp;"OT(REGEXMATCH(C4085, ""薪資""))), ""內部轉帳(忽略)"",
  REGEXMATCH(C4085, ""薪資""), ""薪資變動(不計入)"",
  REGEXMATCH(C4085, ""押金""), ""押金往來"",
  AND(E4085&lt;&gt;"""", F4085=""""), ""真實支出"",
  AND(E4085="""", F4085&lt;&gt;""""), ""真實收入"",
  TRUE, ""其他""
)"),"真實收入")</f>
        <v>真實收入</v>
      </c>
      <c r="K4085" s="270">
        <f t="shared" si="2"/>
        <v>12000</v>
      </c>
      <c r="L4085">
        <f t="shared" si="3"/>
        <v>0</v>
      </c>
    </row>
    <row r="4086">
      <c r="A4086" s="107">
        <f>IFERROR(__xludf.DUMMYFUNCTION("""COMPUTED_VALUE"""),45292.0)</f>
        <v>45292</v>
      </c>
      <c r="B4086" t="str">
        <f>IFERROR(__xludf.DUMMYFUNCTION("""COMPUTED_VALUE"""),"004/0000046004254059")</f>
        <v>004/0000046004254059</v>
      </c>
      <c r="C4086" t="str">
        <f>IFERROR(__xludf.DUMMYFUNCTION("""COMPUTED_VALUE"""),"收入 - 租金")</f>
        <v>收入 - 租金</v>
      </c>
      <c r="D4086" s="270">
        <f>IFERROR(__xludf.DUMMYFUNCTION("""COMPUTED_VALUE"""),2390.0)</f>
        <v>2390</v>
      </c>
      <c r="F4086" t="str">
        <f>IFERROR(__xludf.DUMMYFUNCTION("""COMPUTED_VALUE"""),"玉山帳戶")</f>
        <v>玉山帳戶</v>
      </c>
      <c r="G4086" t="str">
        <f>IFERROR(__xludf.DUMMYFUNCTION("""COMPUTED_VALUE"""),"內湖秘境")</f>
        <v>內湖秘境</v>
      </c>
      <c r="H4086" s="106" t="str">
        <f t="shared" si="1"/>
        <v>2024-01</v>
      </c>
      <c r="I4086" s="271" t="str">
        <f>IFERROR(__xludf.DUMMYFUNCTION("""COMPUTED_VALUE"""),"鯰魚大大")</f>
        <v>鯰魚大大</v>
      </c>
      <c r="J4086" t="str">
        <f>IFERROR(__xludf.DUMMYFUNCTION("IFS(
  AND(REGEXMATCH(E4086, ""台銀籌備帳戶|玉山帳戶""), REGEXMATCH(C4086, ""薪資"")), ""分潤支出"",
  AND(REGEXMATCH(E4086, ""Ben帳戶|Elsa帳戶|Ben代墊|Ariel代墊|中信銀行共用""), REGEXMATCH(F4086, ""Ben帳戶|Elsa帳戶|Ben代墊|Ariel代墊|中信銀行共用"")), ""內部轉帳(忽略)"",
  AND(E4086&lt;&gt;"""", F4086&lt;&gt;"""", N"&amp;"OT(REGEXMATCH(C4086, ""薪資""))), ""內部轉帳(忽略)"",
  REGEXMATCH(C4086, ""薪資""), ""薪資變動(不計入)"",
  REGEXMATCH(C4086, ""押金""), ""押金往來"",
  AND(E4086&lt;&gt;"""", F4086=""""), ""真實支出"",
  AND(E4086="""", F4086&lt;&gt;""""), ""真實收入"",
  TRUE, ""其他""
)"),"真實收入")</f>
        <v>真實收入</v>
      </c>
      <c r="K4086" s="270">
        <f t="shared" si="2"/>
        <v>2390</v>
      </c>
      <c r="L4086">
        <f t="shared" si="3"/>
        <v>0</v>
      </c>
    </row>
    <row r="4087">
      <c r="A4087" s="107">
        <f>IFERROR(__xludf.DUMMYFUNCTION("""COMPUTED_VALUE"""),45292.0)</f>
        <v>45292</v>
      </c>
      <c r="B4087" t="str">
        <f>IFERROR(__xludf.DUMMYFUNCTION("""COMPUTED_VALUE"""),"004/0000147004415215")</f>
        <v>004/0000147004415215</v>
      </c>
      <c r="C4087" t="str">
        <f>IFERROR(__xludf.DUMMYFUNCTION("""COMPUTED_VALUE"""),"收入 - 租金")</f>
        <v>收入 - 租金</v>
      </c>
      <c r="D4087" s="270">
        <f>IFERROR(__xludf.DUMMYFUNCTION("""COMPUTED_VALUE"""),12800.0)</f>
        <v>12800</v>
      </c>
      <c r="F4087" t="str">
        <f>IFERROR(__xludf.DUMMYFUNCTION("""COMPUTED_VALUE"""),"玉山帳戶")</f>
        <v>玉山帳戶</v>
      </c>
      <c r="G4087" t="str">
        <f>IFERROR(__xludf.DUMMYFUNCTION("""COMPUTED_VALUE"""),"內湖秘境")</f>
        <v>內湖秘境</v>
      </c>
      <c r="H4087" s="106" t="str">
        <f t="shared" si="1"/>
        <v>2024-01</v>
      </c>
      <c r="I4087" s="271" t="str">
        <f>IFERROR(__xludf.DUMMYFUNCTION("""COMPUTED_VALUE"""),"鯰魚大大")</f>
        <v>鯰魚大大</v>
      </c>
      <c r="J4087" t="str">
        <f>IFERROR(__xludf.DUMMYFUNCTION("IFS(
  AND(REGEXMATCH(E4087, ""台銀籌備帳戶|玉山帳戶""), REGEXMATCH(C4087, ""薪資"")), ""分潤支出"",
  AND(REGEXMATCH(E4087, ""Ben帳戶|Elsa帳戶|Ben代墊|Ariel代墊|中信銀行共用""), REGEXMATCH(F4087, ""Ben帳戶|Elsa帳戶|Ben代墊|Ariel代墊|中信銀行共用"")), ""內部轉帳(忽略)"",
  AND(E4087&lt;&gt;"""", F4087&lt;&gt;"""", N"&amp;"OT(REGEXMATCH(C4087, ""薪資""))), ""內部轉帳(忽略)"",
  REGEXMATCH(C4087, ""薪資""), ""薪資變動(不計入)"",
  REGEXMATCH(C4087, ""押金""), ""押金往來"",
  AND(E4087&lt;&gt;"""", F4087=""""), ""真實支出"",
  AND(E4087="""", F4087&lt;&gt;""""), ""真實收入"",
  TRUE, ""其他""
)"),"真實收入")</f>
        <v>真實收入</v>
      </c>
      <c r="K4087" s="270">
        <f t="shared" si="2"/>
        <v>12800</v>
      </c>
      <c r="L4087">
        <f t="shared" si="3"/>
        <v>0</v>
      </c>
    </row>
    <row r="4088">
      <c r="A4088" s="107">
        <f>IFERROR(__xludf.DUMMYFUNCTION("""COMPUTED_VALUE"""),45293.0)</f>
        <v>45293</v>
      </c>
      <c r="B4088" t="str">
        <f>IFERROR(__xludf.DUMMYFUNCTION("""COMPUTED_VALUE"""),"鯰魚")</f>
        <v>鯰魚</v>
      </c>
      <c r="C4088" t="str">
        <f>IFERROR(__xludf.DUMMYFUNCTION("""COMPUTED_VALUE"""),"費用 - Salary 薪資")</f>
        <v>費用 - Salary 薪資</v>
      </c>
      <c r="D4088" s="270">
        <f>IFERROR(__xludf.DUMMYFUNCTION("""COMPUTED_VALUE"""),-20000.0)</f>
        <v>-20000</v>
      </c>
      <c r="E4088" t="str">
        <f>IFERROR(__xludf.DUMMYFUNCTION("""COMPUTED_VALUE"""),"玉山帳戶")</f>
        <v>玉山帳戶</v>
      </c>
      <c r="F4088" t="str">
        <f>IFERROR(__xludf.DUMMYFUNCTION("""COMPUTED_VALUE"""),"Ariel代墊")</f>
        <v>Ariel代墊</v>
      </c>
      <c r="H4088" s="106" t="str">
        <f t="shared" si="1"/>
        <v>2024-01</v>
      </c>
      <c r="I4088" s="271" t="str">
        <f>IFERROR(__xludf.DUMMYFUNCTION("""COMPUTED_VALUE"""),"鯰魚大大")</f>
        <v>鯰魚大大</v>
      </c>
      <c r="J4088" t="str">
        <f>IFERROR(__xludf.DUMMYFUNCTION("IFS(
  AND(REGEXMATCH(E4088, ""台銀籌備帳戶|玉山帳戶""), REGEXMATCH(C4088, ""薪資"")), ""分潤支出"",
  AND(REGEXMATCH(E4088, ""Ben帳戶|Elsa帳戶|Ben代墊|Ariel代墊|中信銀行共用""), REGEXMATCH(F4088, ""Ben帳戶|Elsa帳戶|Ben代墊|Ariel代墊|中信銀行共用"")), ""內部轉帳(忽略)"",
  AND(E4088&lt;&gt;"""", F4088&lt;&gt;"""", N"&amp;"OT(REGEXMATCH(C4088, ""薪資""))), ""內部轉帳(忽略)"",
  REGEXMATCH(C4088, ""薪資""), ""薪資變動(不計入)"",
  REGEXMATCH(C4088, ""押金""), ""押金往來"",
  AND(E4088&lt;&gt;"""", F4088=""""), ""真實支出"",
  AND(E4088="""", F4088&lt;&gt;""""), ""真實收入"",
  TRUE, ""其他""
)"),"分潤支出")</f>
        <v>分潤支出</v>
      </c>
      <c r="K4088">
        <f t="shared" si="2"/>
        <v>0</v>
      </c>
      <c r="L4088">
        <f t="shared" si="3"/>
        <v>20000</v>
      </c>
    </row>
    <row r="4089">
      <c r="A4089" s="107">
        <f>IFERROR(__xludf.DUMMYFUNCTION("""COMPUTED_VALUE"""),45293.0)</f>
        <v>45293</v>
      </c>
      <c r="B4089" t="str">
        <f>IFERROR(__xludf.DUMMYFUNCTION("""COMPUTED_VALUE"""),"周姐")</f>
        <v>周姐</v>
      </c>
      <c r="C4089" t="str">
        <f>IFERROR(__xludf.DUMMYFUNCTION("""COMPUTED_VALUE"""),"成本 - 大租金")</f>
        <v>成本 - 大租金</v>
      </c>
      <c r="D4089" s="270">
        <f>IFERROR(__xludf.DUMMYFUNCTION("""COMPUTED_VALUE"""),-45015.0)</f>
        <v>-45015</v>
      </c>
      <c r="E4089" t="str">
        <f>IFERROR(__xludf.DUMMYFUNCTION("""COMPUTED_VALUE"""),"玉山帳戶")</f>
        <v>玉山帳戶</v>
      </c>
      <c r="G4089" t="str">
        <f>IFERROR(__xludf.DUMMYFUNCTION("""COMPUTED_VALUE"""),"內湖秘境")</f>
        <v>內湖秘境</v>
      </c>
      <c r="H4089" s="106" t="str">
        <f t="shared" si="1"/>
        <v>2024-01</v>
      </c>
      <c r="I4089" s="271" t="str">
        <f>IFERROR(__xludf.DUMMYFUNCTION("""COMPUTED_VALUE"""),"鯰魚大大")</f>
        <v>鯰魚大大</v>
      </c>
      <c r="J4089" t="str">
        <f>IFERROR(__xludf.DUMMYFUNCTION("IFS(
  AND(REGEXMATCH(E4089, ""台銀籌備帳戶|玉山帳戶""), REGEXMATCH(C4089, ""薪資"")), ""分潤支出"",
  AND(REGEXMATCH(E4089, ""Ben帳戶|Elsa帳戶|Ben代墊|Ariel代墊|中信銀行共用""), REGEXMATCH(F4089, ""Ben帳戶|Elsa帳戶|Ben代墊|Ariel代墊|中信銀行共用"")), ""內部轉帳(忽略)"",
  AND(E4089&lt;&gt;"""", F4089&lt;&gt;"""", N"&amp;"OT(REGEXMATCH(C4089, ""薪資""))), ""內部轉帳(忽略)"",
  REGEXMATCH(C4089, ""薪資""), ""薪資變動(不計入)"",
  REGEXMATCH(C4089, ""押金""), ""押金往來"",
  AND(E4089&lt;&gt;"""", F4089=""""), ""真實支出"",
  AND(E4089="""", F4089&lt;&gt;""""), ""真實收入"",
  TRUE, ""其他""
)"),"真實支出")</f>
        <v>真實支出</v>
      </c>
      <c r="K4089" s="270">
        <f t="shared" si="2"/>
        <v>-45015</v>
      </c>
      <c r="L4089">
        <f t="shared" si="3"/>
        <v>0</v>
      </c>
    </row>
    <row r="4090">
      <c r="A4090" s="107">
        <f>IFERROR(__xludf.DUMMYFUNCTION("""COMPUTED_VALUE"""),45190.0)</f>
        <v>45190</v>
      </c>
      <c r="B4090" t="str">
        <f>IFERROR(__xludf.DUMMYFUNCTION("""COMPUTED_VALUE"""),"簽約一租 內湖秘境")</f>
        <v>簽約一租 內湖秘境</v>
      </c>
      <c r="C4090" t="str">
        <f>IFERROR(__xludf.DUMMYFUNCTION("""COMPUTED_VALUE"""),"成本 - 大租金")</f>
        <v>成本 - 大租金</v>
      </c>
      <c r="D4090" s="270">
        <f>IFERROR(__xludf.DUMMYFUNCTION("""COMPUTED_VALUE"""),-45000.0)</f>
        <v>-45000</v>
      </c>
      <c r="E4090" t="str">
        <f>IFERROR(__xludf.DUMMYFUNCTION("""COMPUTED_VALUE"""),"Ben代墊")</f>
        <v>Ben代墊</v>
      </c>
      <c r="G4090" t="str">
        <f>IFERROR(__xludf.DUMMYFUNCTION("""COMPUTED_VALUE"""),"內湖秘境")</f>
        <v>內湖秘境</v>
      </c>
      <c r="H4090" s="106" t="str">
        <f t="shared" si="1"/>
        <v>2023-09</v>
      </c>
      <c r="I4090" s="271" t="str">
        <f>IFERROR(__xludf.DUMMYFUNCTION("""COMPUTED_VALUE"""),"鯰魚大大")</f>
        <v>鯰魚大大</v>
      </c>
      <c r="J4090" t="str">
        <f>IFERROR(__xludf.DUMMYFUNCTION("IFS(
  AND(REGEXMATCH(E4090, ""台銀籌備帳戶|玉山帳戶""), REGEXMATCH(C4090, ""薪資"")), ""分潤支出"",
  AND(REGEXMATCH(E4090, ""Ben帳戶|Elsa帳戶|Ben代墊|Ariel代墊|中信銀行共用""), REGEXMATCH(F4090, ""Ben帳戶|Elsa帳戶|Ben代墊|Ariel代墊|中信銀行共用"")), ""內部轉帳(忽略)"",
  AND(E4090&lt;&gt;"""", F4090&lt;&gt;"""", N"&amp;"OT(REGEXMATCH(C4090, ""薪資""))), ""內部轉帳(忽略)"",
  REGEXMATCH(C4090, ""薪資""), ""薪資變動(不計入)"",
  REGEXMATCH(C4090, ""押金""), ""押金往來"",
  AND(E4090&lt;&gt;"""", F4090=""""), ""真實支出"",
  AND(E4090="""", F4090&lt;&gt;""""), ""真實收入"",
  TRUE, ""其他""
)"),"真實支出")</f>
        <v>真實支出</v>
      </c>
      <c r="K4090" s="270">
        <f t="shared" si="2"/>
        <v>-45000</v>
      </c>
      <c r="L4090">
        <f t="shared" si="3"/>
        <v>0</v>
      </c>
    </row>
    <row r="4091">
      <c r="A4091" s="107">
        <f>IFERROR(__xludf.DUMMYFUNCTION("""COMPUTED_VALUE"""),45304.0)</f>
        <v>45304</v>
      </c>
      <c r="B4091" t="str">
        <f>IFERROR(__xludf.DUMMYFUNCTION("""COMPUTED_VALUE"""),"妥妥租公會費")</f>
        <v>妥妥租公會費</v>
      </c>
      <c r="C4091" t="str">
        <f>IFERROR(__xludf.DUMMYFUNCTION("""COMPUTED_VALUE"""),"費用 - 法律會計費用")</f>
        <v>費用 - 法律會計費用</v>
      </c>
      <c r="D4091" s="270">
        <f>IFERROR(__xludf.DUMMYFUNCTION("""COMPUTED_VALUE"""),-15015.0)</f>
        <v>-15015</v>
      </c>
      <c r="E4091" t="str">
        <f>IFERROR(__xludf.DUMMYFUNCTION("""COMPUTED_VALUE"""),"玉山帳戶")</f>
        <v>玉山帳戶</v>
      </c>
      <c r="H4091" s="106" t="str">
        <f t="shared" si="1"/>
        <v>2024-01</v>
      </c>
      <c r="I4091" s="271" t="str">
        <f>IFERROR(__xludf.DUMMYFUNCTION("""COMPUTED_VALUE"""),"鯰魚大大")</f>
        <v>鯰魚大大</v>
      </c>
      <c r="J4091" t="str">
        <f>IFERROR(__xludf.DUMMYFUNCTION("IFS(
  AND(REGEXMATCH(E4091, ""台銀籌備帳戶|玉山帳戶""), REGEXMATCH(C4091, ""薪資"")), ""分潤支出"",
  AND(REGEXMATCH(E4091, ""Ben帳戶|Elsa帳戶|Ben代墊|Ariel代墊|中信銀行共用""), REGEXMATCH(F4091, ""Ben帳戶|Elsa帳戶|Ben代墊|Ariel代墊|中信銀行共用"")), ""內部轉帳(忽略)"",
  AND(E4091&lt;&gt;"""", F4091&lt;&gt;"""", N"&amp;"OT(REGEXMATCH(C4091, ""薪資""))), ""內部轉帳(忽略)"",
  REGEXMATCH(C4091, ""薪資""), ""薪資變動(不計入)"",
  REGEXMATCH(C4091, ""押金""), ""押金往來"",
  AND(E4091&lt;&gt;"""", F4091=""""), ""真實支出"",
  AND(E4091="""", F4091&lt;&gt;""""), ""真實收入"",
  TRUE, ""其他""
)"),"真實支出")</f>
        <v>真實支出</v>
      </c>
      <c r="K4091" s="270">
        <f t="shared" si="2"/>
        <v>-15015</v>
      </c>
      <c r="L4091">
        <f t="shared" si="3"/>
        <v>0</v>
      </c>
    </row>
    <row r="4092">
      <c r="A4092" s="107">
        <f>IFERROR(__xludf.DUMMYFUNCTION("""COMPUTED_VALUE"""),45321.0)</f>
        <v>45321</v>
      </c>
      <c r="B4092" t="str">
        <f>IFERROR(__xludf.DUMMYFUNCTION("""COMPUTED_VALUE"""),"內湖秘境F陳俊宇")</f>
        <v>內湖秘境F陳俊宇</v>
      </c>
      <c r="C4092" t="str">
        <f>IFERROR(__xludf.DUMMYFUNCTION("""COMPUTED_VALUE"""),"收入 - 租金")</f>
        <v>收入 - 租金</v>
      </c>
      <c r="D4092" s="270">
        <f>IFERROR(__xludf.DUMMYFUNCTION("""COMPUTED_VALUE"""),11443.0)</f>
        <v>11443</v>
      </c>
      <c r="F4092" t="str">
        <f>IFERROR(__xludf.DUMMYFUNCTION("""COMPUTED_VALUE"""),"玉山帳戶")</f>
        <v>玉山帳戶</v>
      </c>
      <c r="G4092" t="str">
        <f>IFERROR(__xludf.DUMMYFUNCTION("""COMPUTED_VALUE"""),"內湖秘境")</f>
        <v>內湖秘境</v>
      </c>
      <c r="H4092" s="106" t="str">
        <f t="shared" si="1"/>
        <v>2024-01</v>
      </c>
      <c r="I4092" s="271" t="str">
        <f>IFERROR(__xludf.DUMMYFUNCTION("""COMPUTED_VALUE"""),"鯰魚大大")</f>
        <v>鯰魚大大</v>
      </c>
      <c r="J4092" t="str">
        <f>IFERROR(__xludf.DUMMYFUNCTION("IFS(
  AND(REGEXMATCH(E4092, ""台銀籌備帳戶|玉山帳戶""), REGEXMATCH(C4092, ""薪資"")), ""分潤支出"",
  AND(REGEXMATCH(E4092, ""Ben帳戶|Elsa帳戶|Ben代墊|Ariel代墊|中信銀行共用""), REGEXMATCH(F4092, ""Ben帳戶|Elsa帳戶|Ben代墊|Ariel代墊|中信銀行共用"")), ""內部轉帳(忽略)"",
  AND(E4092&lt;&gt;"""", F4092&lt;&gt;"""", N"&amp;"OT(REGEXMATCH(C4092, ""薪資""))), ""內部轉帳(忽略)"",
  REGEXMATCH(C4092, ""薪資""), ""薪資變動(不計入)"",
  REGEXMATCH(C4092, ""押金""), ""押金往來"",
  AND(E4092&lt;&gt;"""", F4092=""""), ""真實支出"",
  AND(E4092="""", F4092&lt;&gt;""""), ""真實收入"",
  TRUE, ""其他""
)"),"真實收入")</f>
        <v>真實收入</v>
      </c>
      <c r="K4092" s="270">
        <f t="shared" si="2"/>
        <v>11443</v>
      </c>
      <c r="L4092">
        <f t="shared" si="3"/>
        <v>0</v>
      </c>
    </row>
    <row r="4093">
      <c r="A4093" s="107">
        <f>IFERROR(__xludf.DUMMYFUNCTION("""COMPUTED_VALUE"""),45322.0)</f>
        <v>45322</v>
      </c>
      <c r="B4093" t="str">
        <f>IFERROR(__xludf.DUMMYFUNCTION("""COMPUTED_VALUE"""),"內湖秘境C黃詩穎")</f>
        <v>內湖秘境C黃詩穎</v>
      </c>
      <c r="C4093" t="str">
        <f>IFERROR(__xludf.DUMMYFUNCTION("""COMPUTED_VALUE"""),"收入 - 租金")</f>
        <v>收入 - 租金</v>
      </c>
      <c r="D4093" s="270">
        <f>IFERROR(__xludf.DUMMYFUNCTION("""COMPUTED_VALUE"""),14800.0)</f>
        <v>14800</v>
      </c>
      <c r="F4093" t="str">
        <f>IFERROR(__xludf.DUMMYFUNCTION("""COMPUTED_VALUE"""),"玉山帳戶")</f>
        <v>玉山帳戶</v>
      </c>
      <c r="G4093" t="str">
        <f>IFERROR(__xludf.DUMMYFUNCTION("""COMPUTED_VALUE"""),"內湖秘境")</f>
        <v>內湖秘境</v>
      </c>
      <c r="H4093" s="106" t="str">
        <f t="shared" si="1"/>
        <v>2024-01</v>
      </c>
      <c r="I4093" s="271" t="str">
        <f>IFERROR(__xludf.DUMMYFUNCTION("""COMPUTED_VALUE"""),"鯰魚大大")</f>
        <v>鯰魚大大</v>
      </c>
      <c r="J4093" t="str">
        <f>IFERROR(__xludf.DUMMYFUNCTION("IFS(
  AND(REGEXMATCH(E4093, ""台銀籌備帳戶|玉山帳戶""), REGEXMATCH(C4093, ""薪資"")), ""分潤支出"",
  AND(REGEXMATCH(E4093, ""Ben帳戶|Elsa帳戶|Ben代墊|Ariel代墊|中信銀行共用""), REGEXMATCH(F4093, ""Ben帳戶|Elsa帳戶|Ben代墊|Ariel代墊|中信銀行共用"")), ""內部轉帳(忽略)"",
  AND(E4093&lt;&gt;"""", F4093&lt;&gt;"""", N"&amp;"OT(REGEXMATCH(C4093, ""薪資""))), ""內部轉帳(忽略)"",
  REGEXMATCH(C4093, ""薪資""), ""薪資變動(不計入)"",
  REGEXMATCH(C4093, ""押金""), ""押金往來"",
  AND(E4093&lt;&gt;"""", F4093=""""), ""真實支出"",
  AND(E4093="""", F4093&lt;&gt;""""), ""真實收入"",
  TRUE, ""其他""
)"),"真實收入")</f>
        <v>真實收入</v>
      </c>
      <c r="K4093" s="270">
        <f t="shared" si="2"/>
        <v>14800</v>
      </c>
      <c r="L4093">
        <f t="shared" si="3"/>
        <v>0</v>
      </c>
    </row>
    <row r="4094">
      <c r="A4094" s="107">
        <f>IFERROR(__xludf.DUMMYFUNCTION("""COMPUTED_VALUE"""),45323.0)</f>
        <v>45323</v>
      </c>
      <c r="B4094" t="str">
        <f>IFERROR(__xludf.DUMMYFUNCTION("""COMPUTED_VALUE"""),"鯰魚")</f>
        <v>鯰魚</v>
      </c>
      <c r="C4094" t="str">
        <f>IFERROR(__xludf.DUMMYFUNCTION("""COMPUTED_VALUE"""),"費用 - Salary 薪資")</f>
        <v>費用 - Salary 薪資</v>
      </c>
      <c r="D4094" s="270">
        <f>IFERROR(__xludf.DUMMYFUNCTION("""COMPUTED_VALUE"""),-20000.0)</f>
        <v>-20000</v>
      </c>
      <c r="E4094" t="str">
        <f>IFERROR(__xludf.DUMMYFUNCTION("""COMPUTED_VALUE"""),"玉山帳戶")</f>
        <v>玉山帳戶</v>
      </c>
      <c r="F4094" t="str">
        <f>IFERROR(__xludf.DUMMYFUNCTION("""COMPUTED_VALUE"""),"Ariel代墊")</f>
        <v>Ariel代墊</v>
      </c>
      <c r="G4094" t="str">
        <f>IFERROR(__xludf.DUMMYFUNCTION("""COMPUTED_VALUE"""),"內湖秘境")</f>
        <v>內湖秘境</v>
      </c>
      <c r="H4094" s="106" t="str">
        <f t="shared" si="1"/>
        <v>2024-02</v>
      </c>
      <c r="I4094" s="271" t="str">
        <f>IFERROR(__xludf.DUMMYFUNCTION("""COMPUTED_VALUE"""),"鯰魚大大")</f>
        <v>鯰魚大大</v>
      </c>
      <c r="J4094" t="str">
        <f>IFERROR(__xludf.DUMMYFUNCTION("IFS(
  AND(REGEXMATCH(E4094, ""台銀籌備帳戶|玉山帳戶""), REGEXMATCH(C4094, ""薪資"")), ""分潤支出"",
  AND(REGEXMATCH(E4094, ""Ben帳戶|Elsa帳戶|Ben代墊|Ariel代墊|中信銀行共用""), REGEXMATCH(F4094, ""Ben帳戶|Elsa帳戶|Ben代墊|Ariel代墊|中信銀行共用"")), ""內部轉帳(忽略)"",
  AND(E4094&lt;&gt;"""", F4094&lt;&gt;"""", N"&amp;"OT(REGEXMATCH(C4094, ""薪資""))), ""內部轉帳(忽略)"",
  REGEXMATCH(C4094, ""薪資""), ""薪資變動(不計入)"",
  REGEXMATCH(C4094, ""押金""), ""押金往來"",
  AND(E4094&lt;&gt;"""", F4094=""""), ""真實支出"",
  AND(E4094="""", F4094&lt;&gt;""""), ""真實收入"",
  TRUE, ""其他""
)"),"分潤支出")</f>
        <v>分潤支出</v>
      </c>
      <c r="K4094">
        <f t="shared" si="2"/>
        <v>0</v>
      </c>
      <c r="L4094">
        <f t="shared" si="3"/>
        <v>20000</v>
      </c>
    </row>
    <row r="4095">
      <c r="A4095" s="107">
        <f>IFERROR(__xludf.DUMMYFUNCTION("""COMPUTED_VALUE"""),45323.0)</f>
        <v>45323</v>
      </c>
      <c r="B4095" t="str">
        <f>IFERROR(__xludf.DUMMYFUNCTION("""COMPUTED_VALUE"""),"內湖路一段周姐")</f>
        <v>內湖路一段周姐</v>
      </c>
      <c r="C4095" t="str">
        <f>IFERROR(__xludf.DUMMYFUNCTION("""COMPUTED_VALUE"""),"成本 - 大租金")</f>
        <v>成本 - 大租金</v>
      </c>
      <c r="D4095" s="270">
        <f>IFERROR(__xludf.DUMMYFUNCTION("""COMPUTED_VALUE"""),-45015.0)</f>
        <v>-45015</v>
      </c>
      <c r="E4095" t="str">
        <f>IFERROR(__xludf.DUMMYFUNCTION("""COMPUTED_VALUE"""),"玉山帳戶")</f>
        <v>玉山帳戶</v>
      </c>
      <c r="G4095" t="str">
        <f>IFERROR(__xludf.DUMMYFUNCTION("""COMPUTED_VALUE"""),"內湖秘境")</f>
        <v>內湖秘境</v>
      </c>
      <c r="H4095" s="106" t="str">
        <f t="shared" si="1"/>
        <v>2024-02</v>
      </c>
      <c r="I4095" s="271" t="str">
        <f>IFERROR(__xludf.DUMMYFUNCTION("""COMPUTED_VALUE"""),"鯰魚大大")</f>
        <v>鯰魚大大</v>
      </c>
      <c r="J4095" t="str">
        <f>IFERROR(__xludf.DUMMYFUNCTION("IFS(
  AND(REGEXMATCH(E4095, ""台銀籌備帳戶|玉山帳戶""), REGEXMATCH(C4095, ""薪資"")), ""分潤支出"",
  AND(REGEXMATCH(E4095, ""Ben帳戶|Elsa帳戶|Ben代墊|Ariel代墊|中信銀行共用""), REGEXMATCH(F4095, ""Ben帳戶|Elsa帳戶|Ben代墊|Ariel代墊|中信銀行共用"")), ""內部轉帳(忽略)"",
  AND(E4095&lt;&gt;"""", F4095&lt;&gt;"""", N"&amp;"OT(REGEXMATCH(C4095, ""薪資""))), ""內部轉帳(忽略)"",
  REGEXMATCH(C4095, ""薪資""), ""薪資變動(不計入)"",
  REGEXMATCH(C4095, ""押金""), ""押金往來"",
  AND(E4095&lt;&gt;"""", F4095=""""), ""真實支出"",
  AND(E4095="""", F4095&lt;&gt;""""), ""真實收入"",
  TRUE, ""其他""
)"),"真實支出")</f>
        <v>真實支出</v>
      </c>
      <c r="K4095" s="270">
        <f t="shared" si="2"/>
        <v>-45015</v>
      </c>
      <c r="L4095">
        <f t="shared" si="3"/>
        <v>0</v>
      </c>
    </row>
    <row r="4096">
      <c r="A4096" s="107">
        <f>IFERROR(__xludf.DUMMYFUNCTION("""COMPUTED_VALUE"""),45323.0)</f>
        <v>45323</v>
      </c>
      <c r="B4096" t="str">
        <f>IFERROR(__xludf.DUMMYFUNCTION("""COMPUTED_VALUE"""),"中信銀行")</f>
        <v>中信銀行</v>
      </c>
      <c r="C4096" t="str">
        <f>IFERROR(__xludf.DUMMYFUNCTION("""COMPUTED_VALUE"""),"收入 - 其他")</f>
        <v>收入 - 其他</v>
      </c>
      <c r="D4096" s="270">
        <f>IFERROR(__xludf.DUMMYFUNCTION("""COMPUTED_VALUE"""),-30015.0)</f>
        <v>-30015</v>
      </c>
      <c r="E4096" t="str">
        <f>IFERROR(__xludf.DUMMYFUNCTION("""COMPUTED_VALUE"""),"玉山帳戶")</f>
        <v>玉山帳戶</v>
      </c>
      <c r="H4096" s="106" t="str">
        <f t="shared" si="1"/>
        <v>2024-02</v>
      </c>
      <c r="I4096" s="271" t="str">
        <f>IFERROR(__xludf.DUMMYFUNCTION("""COMPUTED_VALUE"""),"鯰魚大大")</f>
        <v>鯰魚大大</v>
      </c>
      <c r="J4096" t="str">
        <f>IFERROR(__xludf.DUMMYFUNCTION("IFS(
  AND(REGEXMATCH(E4096, ""台銀籌備帳戶|玉山帳戶""), REGEXMATCH(C4096, ""薪資"")), ""分潤支出"",
  AND(REGEXMATCH(E4096, ""Ben帳戶|Elsa帳戶|Ben代墊|Ariel代墊|中信銀行共用""), REGEXMATCH(F4096, ""Ben帳戶|Elsa帳戶|Ben代墊|Ariel代墊|中信銀行共用"")), ""內部轉帳(忽略)"",
  AND(E4096&lt;&gt;"""", F4096&lt;&gt;"""", N"&amp;"OT(REGEXMATCH(C4096, ""薪資""))), ""內部轉帳(忽略)"",
  REGEXMATCH(C4096, ""薪資""), ""薪資變動(不計入)"",
  REGEXMATCH(C4096, ""押金""), ""押金往來"",
  AND(E4096&lt;&gt;"""", F4096=""""), ""真實支出"",
  AND(E4096="""", F4096&lt;&gt;""""), ""真實收入"",
  TRUE, ""其他""
)"),"真實支出")</f>
        <v>真實支出</v>
      </c>
      <c r="K4096" s="270">
        <f t="shared" si="2"/>
        <v>-30015</v>
      </c>
      <c r="L4096">
        <f t="shared" si="3"/>
        <v>0</v>
      </c>
    </row>
    <row r="4097">
      <c r="A4097" s="107">
        <f>IFERROR(__xludf.DUMMYFUNCTION("""COMPUTED_VALUE"""),45323.0)</f>
        <v>45323</v>
      </c>
      <c r="B4097" t="str">
        <f>IFERROR(__xludf.DUMMYFUNCTION("""COMPUTED_VALUE"""),"內湖秘境G徐若洹")</f>
        <v>內湖秘境G徐若洹</v>
      </c>
      <c r="C4097" t="str">
        <f>IFERROR(__xludf.DUMMYFUNCTION("""COMPUTED_VALUE"""),"收入 - 租金")</f>
        <v>收入 - 租金</v>
      </c>
      <c r="D4097" s="270">
        <f>IFERROR(__xludf.DUMMYFUNCTION("""COMPUTED_VALUE"""),12600.0)</f>
        <v>12600</v>
      </c>
      <c r="F4097" t="str">
        <f>IFERROR(__xludf.DUMMYFUNCTION("""COMPUTED_VALUE"""),"玉山帳戶")</f>
        <v>玉山帳戶</v>
      </c>
      <c r="G4097" t="str">
        <f>IFERROR(__xludf.DUMMYFUNCTION("""COMPUTED_VALUE"""),"內湖秘境")</f>
        <v>內湖秘境</v>
      </c>
      <c r="H4097" s="106" t="str">
        <f t="shared" si="1"/>
        <v>2024-02</v>
      </c>
      <c r="I4097" s="271" t="str">
        <f>IFERROR(__xludf.DUMMYFUNCTION("""COMPUTED_VALUE"""),"鯰魚大大")</f>
        <v>鯰魚大大</v>
      </c>
      <c r="J4097" t="str">
        <f>IFERROR(__xludf.DUMMYFUNCTION("IFS(
  AND(REGEXMATCH(E4097, ""台銀籌備帳戶|玉山帳戶""), REGEXMATCH(C4097, ""薪資"")), ""分潤支出"",
  AND(REGEXMATCH(E4097, ""Ben帳戶|Elsa帳戶|Ben代墊|Ariel代墊|中信銀行共用""), REGEXMATCH(F4097, ""Ben帳戶|Elsa帳戶|Ben代墊|Ariel代墊|中信銀行共用"")), ""內部轉帳(忽略)"",
  AND(E4097&lt;&gt;"""", F4097&lt;&gt;"""", N"&amp;"OT(REGEXMATCH(C4097, ""薪資""))), ""內部轉帳(忽略)"",
  REGEXMATCH(C4097, ""薪資""), ""薪資變動(不計入)"",
  REGEXMATCH(C4097, ""押金""), ""押金往來"",
  AND(E4097&lt;&gt;"""", F4097=""""), ""真實支出"",
  AND(E4097="""", F4097&lt;&gt;""""), ""真實收入"",
  TRUE, ""其他""
)"),"真實收入")</f>
        <v>真實收入</v>
      </c>
      <c r="K4097" s="270">
        <f t="shared" si="2"/>
        <v>12600</v>
      </c>
      <c r="L4097">
        <f t="shared" si="3"/>
        <v>0</v>
      </c>
    </row>
    <row r="4098">
      <c r="A4098" s="107">
        <f>IFERROR(__xludf.DUMMYFUNCTION("""COMPUTED_VALUE"""),45323.0)</f>
        <v>45323</v>
      </c>
      <c r="B4098" t="str">
        <f>IFERROR(__xludf.DUMMYFUNCTION("""COMPUTED_VALUE"""),"內湖方羽53041")</f>
        <v>內湖方羽53041</v>
      </c>
      <c r="C4098" t="str">
        <f>IFERROR(__xludf.DUMMYFUNCTION("""COMPUTED_VALUE"""),"收入 - 租金")</f>
        <v>收入 - 租金</v>
      </c>
      <c r="D4098" s="270">
        <f>IFERROR(__xludf.DUMMYFUNCTION("""COMPUTED_VALUE"""),12800.0)</f>
        <v>12800</v>
      </c>
      <c r="F4098" t="str">
        <f>IFERROR(__xludf.DUMMYFUNCTION("""COMPUTED_VALUE"""),"玉山帳戶")</f>
        <v>玉山帳戶</v>
      </c>
      <c r="G4098" t="str">
        <f>IFERROR(__xludf.DUMMYFUNCTION("""COMPUTED_VALUE"""),"內湖秘境")</f>
        <v>內湖秘境</v>
      </c>
      <c r="H4098" s="106" t="str">
        <f t="shared" si="1"/>
        <v>2024-02</v>
      </c>
      <c r="I4098" s="271" t="str">
        <f>IFERROR(__xludf.DUMMYFUNCTION("""COMPUTED_VALUE"""),"鯰魚大大")</f>
        <v>鯰魚大大</v>
      </c>
      <c r="J4098" t="str">
        <f>IFERROR(__xludf.DUMMYFUNCTION("IFS(
  AND(REGEXMATCH(E4098, ""台銀籌備帳戶|玉山帳戶""), REGEXMATCH(C4098, ""薪資"")), ""分潤支出"",
  AND(REGEXMATCH(E4098, ""Ben帳戶|Elsa帳戶|Ben代墊|Ariel代墊|中信銀行共用""), REGEXMATCH(F4098, ""Ben帳戶|Elsa帳戶|Ben代墊|Ariel代墊|中信銀行共用"")), ""內部轉帳(忽略)"",
  AND(E4098&lt;&gt;"""", F4098&lt;&gt;"""", N"&amp;"OT(REGEXMATCH(C4098, ""薪資""))), ""內部轉帳(忽略)"",
  REGEXMATCH(C4098, ""薪資""), ""薪資變動(不計入)"",
  REGEXMATCH(C4098, ""押金""), ""押金往來"",
  AND(E4098&lt;&gt;"""", F4098=""""), ""真實支出"",
  AND(E4098="""", F4098&lt;&gt;""""), ""真實收入"",
  TRUE, ""其他""
)"),"真實收入")</f>
        <v>真實收入</v>
      </c>
      <c r="K4098" s="270">
        <f t="shared" si="2"/>
        <v>12800</v>
      </c>
      <c r="L4098">
        <f t="shared" si="3"/>
        <v>0</v>
      </c>
    </row>
    <row r="4099">
      <c r="A4099" s="107">
        <f>IFERROR(__xludf.DUMMYFUNCTION("""COMPUTED_VALUE"""),45323.0)</f>
        <v>45323</v>
      </c>
      <c r="B4099" t="str">
        <f>IFERROR(__xludf.DUMMYFUNCTION("""COMPUTED_VALUE"""),"內湖秘境A陳玟涵")</f>
        <v>內湖秘境A陳玟涵</v>
      </c>
      <c r="C4099" t="str">
        <f>IFERROR(__xludf.DUMMYFUNCTION("""COMPUTED_VALUE"""),"收入 - 租金")</f>
        <v>收入 - 租金</v>
      </c>
      <c r="D4099" s="270">
        <f>IFERROR(__xludf.DUMMYFUNCTION("""COMPUTED_VALUE"""),12000.0)</f>
        <v>12000</v>
      </c>
      <c r="F4099" t="str">
        <f>IFERROR(__xludf.DUMMYFUNCTION("""COMPUTED_VALUE"""),"玉山帳戶")</f>
        <v>玉山帳戶</v>
      </c>
      <c r="G4099" t="str">
        <f>IFERROR(__xludf.DUMMYFUNCTION("""COMPUTED_VALUE"""),"內湖秘境")</f>
        <v>內湖秘境</v>
      </c>
      <c r="H4099" s="106" t="str">
        <f t="shared" si="1"/>
        <v>2024-02</v>
      </c>
      <c r="I4099" s="271" t="str">
        <f>IFERROR(__xludf.DUMMYFUNCTION("""COMPUTED_VALUE"""),"鯰魚大大")</f>
        <v>鯰魚大大</v>
      </c>
      <c r="J4099" t="str">
        <f>IFERROR(__xludf.DUMMYFUNCTION("IFS(
  AND(REGEXMATCH(E4099, ""台銀籌備帳戶|玉山帳戶""), REGEXMATCH(C4099, ""薪資"")), ""分潤支出"",
  AND(REGEXMATCH(E4099, ""Ben帳戶|Elsa帳戶|Ben代墊|Ariel代墊|中信銀行共用""), REGEXMATCH(F4099, ""Ben帳戶|Elsa帳戶|Ben代墊|Ariel代墊|中信銀行共用"")), ""內部轉帳(忽略)"",
  AND(E4099&lt;&gt;"""", F4099&lt;&gt;"""", N"&amp;"OT(REGEXMATCH(C4099, ""薪資""))), ""內部轉帳(忽略)"",
  REGEXMATCH(C4099, ""薪資""), ""薪資變動(不計入)"",
  REGEXMATCH(C4099, ""押金""), ""押金往來"",
  AND(E4099&lt;&gt;"""", F4099=""""), ""真實支出"",
  AND(E4099="""", F4099&lt;&gt;""""), ""真實收入"",
  TRUE, ""其他""
)"),"真實收入")</f>
        <v>真實收入</v>
      </c>
      <c r="K4099" s="270">
        <f t="shared" si="2"/>
        <v>12000</v>
      </c>
      <c r="L4099">
        <f t="shared" si="3"/>
        <v>0</v>
      </c>
    </row>
    <row r="4100">
      <c r="A4100" s="107">
        <f>IFERROR(__xludf.DUMMYFUNCTION("""COMPUTED_VALUE"""),45323.0)</f>
        <v>45323</v>
      </c>
      <c r="B4100" t="str">
        <f>IFERROR(__xludf.DUMMYFUNCTION("""COMPUTED_VALUE"""),"士林和豐A巫思予")</f>
        <v>士林和豐A巫思予</v>
      </c>
      <c r="C4100" t="str">
        <f>IFERROR(__xludf.DUMMYFUNCTION("""COMPUTED_VALUE"""),"收入 - 租金")</f>
        <v>收入 - 租金</v>
      </c>
      <c r="D4100" s="270">
        <f>IFERROR(__xludf.DUMMYFUNCTION("""COMPUTED_VALUE"""),15800.0)</f>
        <v>15800</v>
      </c>
      <c r="F4100" t="str">
        <f>IFERROR(__xludf.DUMMYFUNCTION("""COMPUTED_VALUE"""),"玉山帳戶")</f>
        <v>玉山帳戶</v>
      </c>
      <c r="G4100" t="str">
        <f>IFERROR(__xludf.DUMMYFUNCTION("""COMPUTED_VALUE"""),"士林和豐")</f>
        <v>士林和豐</v>
      </c>
      <c r="H4100" s="106" t="str">
        <f t="shared" si="1"/>
        <v>2024-02</v>
      </c>
      <c r="I4100" s="271" t="str">
        <f>IFERROR(__xludf.DUMMYFUNCTION("""COMPUTED_VALUE"""),"鯰魚大大")</f>
        <v>鯰魚大大</v>
      </c>
      <c r="J4100" t="str">
        <f>IFERROR(__xludf.DUMMYFUNCTION("IFS(
  AND(REGEXMATCH(E4100, ""台銀籌備帳戶|玉山帳戶""), REGEXMATCH(C4100, ""薪資"")), ""分潤支出"",
  AND(REGEXMATCH(E4100, ""Ben帳戶|Elsa帳戶|Ben代墊|Ariel代墊|中信銀行共用""), REGEXMATCH(F4100, ""Ben帳戶|Elsa帳戶|Ben代墊|Ariel代墊|中信銀行共用"")), ""內部轉帳(忽略)"",
  AND(E4100&lt;&gt;"""", F4100&lt;&gt;"""", N"&amp;"OT(REGEXMATCH(C4100, ""薪資""))), ""內部轉帳(忽略)"",
  REGEXMATCH(C4100, ""薪資""), ""薪資變動(不計入)"",
  REGEXMATCH(C4100, ""押金""), ""押金往來"",
  AND(E4100&lt;&gt;"""", F4100=""""), ""真實支出"",
  AND(E4100="""", F4100&lt;&gt;""""), ""真實收入"",
  TRUE, ""其他""
)"),"真實收入")</f>
        <v>真實收入</v>
      </c>
      <c r="K4100" s="270">
        <f t="shared" si="2"/>
        <v>15800</v>
      </c>
      <c r="L4100">
        <f t="shared" si="3"/>
        <v>0</v>
      </c>
    </row>
    <row r="4101">
      <c r="A4101" s="107">
        <f>IFERROR(__xludf.DUMMYFUNCTION("""COMPUTED_VALUE"""),45341.0)</f>
        <v>45341</v>
      </c>
      <c r="B4101" t="str">
        <f>IFERROR(__xludf.DUMMYFUNCTION("""COMPUTED_VALUE"""),"凱擘網路費(1季)")</f>
        <v>凱擘網路費(1季)</v>
      </c>
      <c r="C4101" t="str">
        <f>IFERROR(__xludf.DUMMYFUNCTION("""COMPUTED_VALUE"""),"成本 - 固定開銷(網路代收清潔)")</f>
        <v>成本 - 固定開銷(網路代收清潔)</v>
      </c>
      <c r="D4101" s="270">
        <f>IFERROR(__xludf.DUMMYFUNCTION("""COMPUTED_VALUE"""),-2697.0)</f>
        <v>-2697</v>
      </c>
      <c r="E4101" t="str">
        <f>IFERROR(__xludf.DUMMYFUNCTION("""COMPUTED_VALUE"""),"Ben代墊")</f>
        <v>Ben代墊</v>
      </c>
      <c r="G4101" t="str">
        <f>IFERROR(__xludf.DUMMYFUNCTION("""COMPUTED_VALUE"""),"內湖秘境")</f>
        <v>內湖秘境</v>
      </c>
      <c r="H4101" s="106" t="str">
        <f t="shared" si="1"/>
        <v>2024-02</v>
      </c>
      <c r="I4101" s="271" t="str">
        <f>IFERROR(__xludf.DUMMYFUNCTION("""COMPUTED_VALUE"""),"鯰魚大大")</f>
        <v>鯰魚大大</v>
      </c>
      <c r="J4101" t="str">
        <f>IFERROR(__xludf.DUMMYFUNCTION("IFS(
  AND(REGEXMATCH(E4101, ""台銀籌備帳戶|玉山帳戶""), REGEXMATCH(C4101, ""薪資"")), ""分潤支出"",
  AND(REGEXMATCH(E4101, ""Ben帳戶|Elsa帳戶|Ben代墊|Ariel代墊|中信銀行共用""), REGEXMATCH(F4101, ""Ben帳戶|Elsa帳戶|Ben代墊|Ariel代墊|中信銀行共用"")), ""內部轉帳(忽略)"",
  AND(E4101&lt;&gt;"""", F4101&lt;&gt;"""", N"&amp;"OT(REGEXMATCH(C4101, ""薪資""))), ""內部轉帳(忽略)"",
  REGEXMATCH(C4101, ""薪資""), ""薪資變動(不計入)"",
  REGEXMATCH(C4101, ""押金""), ""押金往來"",
  AND(E4101&lt;&gt;"""", F4101=""""), ""真實支出"",
  AND(E4101="""", F4101&lt;&gt;""""), ""真實收入"",
  TRUE, ""其他""
)"),"真實支出")</f>
        <v>真實支出</v>
      </c>
      <c r="K4101" s="270">
        <f t="shared" si="2"/>
        <v>-2697</v>
      </c>
      <c r="L4101">
        <f t="shared" si="3"/>
        <v>0</v>
      </c>
    </row>
    <row r="4102">
      <c r="A4102" s="107">
        <f>IFERROR(__xludf.DUMMYFUNCTION("""COMPUTED_VALUE"""),45351.0)</f>
        <v>45351</v>
      </c>
      <c r="B4102" t="str">
        <f>IFERROR(__xludf.DUMMYFUNCTION("""COMPUTED_VALUE"""),"士林和豐A巫思予")</f>
        <v>士林和豐A巫思予</v>
      </c>
      <c r="C4102" t="str">
        <f>IFERROR(__xludf.DUMMYFUNCTION("""COMPUTED_VALUE"""),"收入 - 租金")</f>
        <v>收入 - 租金</v>
      </c>
      <c r="D4102" s="270">
        <f>IFERROR(__xludf.DUMMYFUNCTION("""COMPUTED_VALUE"""),15800.0)</f>
        <v>15800</v>
      </c>
      <c r="F4102" t="str">
        <f>IFERROR(__xludf.DUMMYFUNCTION("""COMPUTED_VALUE"""),"玉山帳戶")</f>
        <v>玉山帳戶</v>
      </c>
      <c r="G4102" t="str">
        <f>IFERROR(__xludf.DUMMYFUNCTION("""COMPUTED_VALUE"""),"士林和豐")</f>
        <v>士林和豐</v>
      </c>
      <c r="H4102" s="106" t="str">
        <f t="shared" si="1"/>
        <v>2024-02</v>
      </c>
      <c r="I4102" s="271" t="str">
        <f>IFERROR(__xludf.DUMMYFUNCTION("""COMPUTED_VALUE"""),"鯰魚大大")</f>
        <v>鯰魚大大</v>
      </c>
      <c r="J4102" t="str">
        <f>IFERROR(__xludf.DUMMYFUNCTION("IFS(
  AND(REGEXMATCH(E4102, ""台銀籌備帳戶|玉山帳戶""), REGEXMATCH(C4102, ""薪資"")), ""分潤支出"",
  AND(REGEXMATCH(E4102, ""Ben帳戶|Elsa帳戶|Ben代墊|Ariel代墊|中信銀行共用""), REGEXMATCH(F4102, ""Ben帳戶|Elsa帳戶|Ben代墊|Ariel代墊|中信銀行共用"")), ""內部轉帳(忽略)"",
  AND(E4102&lt;&gt;"""", F4102&lt;&gt;"""", N"&amp;"OT(REGEXMATCH(C4102, ""薪資""))), ""內部轉帳(忽略)"",
  REGEXMATCH(C4102, ""薪資""), ""薪資變動(不計入)"",
  REGEXMATCH(C4102, ""押金""), ""押金往來"",
  AND(E4102&lt;&gt;"""", F4102=""""), ""真實支出"",
  AND(E4102="""", F4102&lt;&gt;""""), ""真實收入"",
  TRUE, ""其他""
)"),"真實收入")</f>
        <v>真實收入</v>
      </c>
      <c r="K4102" s="270">
        <f t="shared" si="2"/>
        <v>15800</v>
      </c>
      <c r="L4102">
        <f t="shared" si="3"/>
        <v>0</v>
      </c>
    </row>
    <row r="4103">
      <c r="A4103" s="107">
        <f>IFERROR(__xludf.DUMMYFUNCTION("""COMPUTED_VALUE"""),45352.0)</f>
        <v>45352</v>
      </c>
      <c r="B4103" t="str">
        <f>IFERROR(__xludf.DUMMYFUNCTION("""COMPUTED_VALUE"""),"鯰魚")</f>
        <v>鯰魚</v>
      </c>
      <c r="C4103" t="str">
        <f>IFERROR(__xludf.DUMMYFUNCTION("""COMPUTED_VALUE"""),"費用 - Salary 薪資")</f>
        <v>費用 - Salary 薪資</v>
      </c>
      <c r="D4103" s="270">
        <f>IFERROR(__xludf.DUMMYFUNCTION("""COMPUTED_VALUE"""),-20000.0)</f>
        <v>-20000</v>
      </c>
      <c r="E4103" t="str">
        <f>IFERROR(__xludf.DUMMYFUNCTION("""COMPUTED_VALUE"""),"玉山帳戶")</f>
        <v>玉山帳戶</v>
      </c>
      <c r="F4103" t="str">
        <f>IFERROR(__xludf.DUMMYFUNCTION("""COMPUTED_VALUE"""),"Ariel代墊")</f>
        <v>Ariel代墊</v>
      </c>
      <c r="H4103" s="106" t="str">
        <f t="shared" si="1"/>
        <v>2024-03</v>
      </c>
      <c r="I4103" s="271" t="str">
        <f>IFERROR(__xludf.DUMMYFUNCTION("""COMPUTED_VALUE"""),"鯰魚大大")</f>
        <v>鯰魚大大</v>
      </c>
      <c r="J4103" t="str">
        <f>IFERROR(__xludf.DUMMYFUNCTION("IFS(
  AND(REGEXMATCH(E4103, ""台銀籌備帳戶|玉山帳戶""), REGEXMATCH(C4103, ""薪資"")), ""分潤支出"",
  AND(REGEXMATCH(E4103, ""Ben帳戶|Elsa帳戶|Ben代墊|Ariel代墊|中信銀行共用""), REGEXMATCH(F4103, ""Ben帳戶|Elsa帳戶|Ben代墊|Ariel代墊|中信銀行共用"")), ""內部轉帳(忽略)"",
  AND(E4103&lt;&gt;"""", F4103&lt;&gt;"""", N"&amp;"OT(REGEXMATCH(C4103, ""薪資""))), ""內部轉帳(忽略)"",
  REGEXMATCH(C4103, ""薪資""), ""薪資變動(不計入)"",
  REGEXMATCH(C4103, ""押金""), ""押金往來"",
  AND(E4103&lt;&gt;"""", F4103=""""), ""真實支出"",
  AND(E4103="""", F4103&lt;&gt;""""), ""真實收入"",
  TRUE, ""其他""
)"),"分潤支出")</f>
        <v>分潤支出</v>
      </c>
      <c r="K4103">
        <f t="shared" si="2"/>
        <v>0</v>
      </c>
      <c r="L4103">
        <f t="shared" si="3"/>
        <v>20000</v>
      </c>
    </row>
    <row r="4104">
      <c r="A4104" s="107">
        <f>IFERROR(__xludf.DUMMYFUNCTION("""COMPUTED_VALUE"""),45352.0)</f>
        <v>45352</v>
      </c>
      <c r="B4104" t="str">
        <f>IFERROR(__xludf.DUMMYFUNCTION("""COMPUTED_VALUE"""),"內湖路一段周姐")</f>
        <v>內湖路一段周姐</v>
      </c>
      <c r="C4104" t="str">
        <f>IFERROR(__xludf.DUMMYFUNCTION("""COMPUTED_VALUE"""),"成本 - 大租金")</f>
        <v>成本 - 大租金</v>
      </c>
      <c r="D4104" s="270">
        <f>IFERROR(__xludf.DUMMYFUNCTION("""COMPUTED_VALUE"""),-45015.0)</f>
        <v>-45015</v>
      </c>
      <c r="E4104" t="str">
        <f>IFERROR(__xludf.DUMMYFUNCTION("""COMPUTED_VALUE"""),"玉山帳戶")</f>
        <v>玉山帳戶</v>
      </c>
      <c r="G4104" t="str">
        <f>IFERROR(__xludf.DUMMYFUNCTION("""COMPUTED_VALUE"""),"內湖秘境")</f>
        <v>內湖秘境</v>
      </c>
      <c r="H4104" s="106" t="str">
        <f t="shared" si="1"/>
        <v>2024-03</v>
      </c>
      <c r="I4104" s="271" t="str">
        <f>IFERROR(__xludf.DUMMYFUNCTION("""COMPUTED_VALUE"""),"鯰魚大大")</f>
        <v>鯰魚大大</v>
      </c>
      <c r="J4104" t="str">
        <f>IFERROR(__xludf.DUMMYFUNCTION("IFS(
  AND(REGEXMATCH(E4104, ""台銀籌備帳戶|玉山帳戶""), REGEXMATCH(C4104, ""薪資"")), ""分潤支出"",
  AND(REGEXMATCH(E4104, ""Ben帳戶|Elsa帳戶|Ben代墊|Ariel代墊|中信銀行共用""), REGEXMATCH(F4104, ""Ben帳戶|Elsa帳戶|Ben代墊|Ariel代墊|中信銀行共用"")), ""內部轉帳(忽略)"",
  AND(E4104&lt;&gt;"""", F4104&lt;&gt;"""", N"&amp;"OT(REGEXMATCH(C4104, ""薪資""))), ""內部轉帳(忽略)"",
  REGEXMATCH(C4104, ""薪資""), ""薪資變動(不計入)"",
  REGEXMATCH(C4104, ""押金""), ""押金往來"",
  AND(E4104&lt;&gt;"""", F4104=""""), ""真實支出"",
  AND(E4104="""", F4104&lt;&gt;""""), ""真實收入"",
  TRUE, ""其他""
)"),"真實支出")</f>
        <v>真實支出</v>
      </c>
      <c r="K4104" s="270">
        <f t="shared" si="2"/>
        <v>-45015</v>
      </c>
      <c r="L4104">
        <f t="shared" si="3"/>
        <v>0</v>
      </c>
    </row>
    <row r="4105">
      <c r="A4105" s="107">
        <f>IFERROR(__xludf.DUMMYFUNCTION("""COMPUTED_VALUE"""),45352.0)</f>
        <v>45352</v>
      </c>
      <c r="B4105" t="str">
        <f>IFERROR(__xludf.DUMMYFUNCTION("""COMPUTED_VALUE"""),"中信銀行")</f>
        <v>中信銀行</v>
      </c>
      <c r="C4105" t="str">
        <f>IFERROR(__xludf.DUMMYFUNCTION("""COMPUTED_VALUE"""),"費用 - Salary 薪資")</f>
        <v>費用 - Salary 薪資</v>
      </c>
      <c r="D4105" s="270">
        <f>IFERROR(__xludf.DUMMYFUNCTION("""COMPUTED_VALUE"""),-30015.0)</f>
        <v>-30015</v>
      </c>
      <c r="E4105" t="str">
        <f>IFERROR(__xludf.DUMMYFUNCTION("""COMPUTED_VALUE"""),"玉山帳戶")</f>
        <v>玉山帳戶</v>
      </c>
      <c r="F4105" t="str">
        <f>IFERROR(__xludf.DUMMYFUNCTION("""COMPUTED_VALUE"""),"中信銀行共用")</f>
        <v>中信銀行共用</v>
      </c>
      <c r="H4105" s="106" t="str">
        <f t="shared" si="1"/>
        <v>2024-03</v>
      </c>
      <c r="I4105" s="271" t="str">
        <f>IFERROR(__xludf.DUMMYFUNCTION("""COMPUTED_VALUE"""),"鯰魚大大")</f>
        <v>鯰魚大大</v>
      </c>
      <c r="J4105" t="str">
        <f>IFERROR(__xludf.DUMMYFUNCTION("IFS(
  AND(REGEXMATCH(E4105, ""台銀籌備帳戶|玉山帳戶""), REGEXMATCH(C4105, ""薪資"")), ""分潤支出"",
  AND(REGEXMATCH(E4105, ""Ben帳戶|Elsa帳戶|Ben代墊|Ariel代墊|中信銀行共用""), REGEXMATCH(F4105, ""Ben帳戶|Elsa帳戶|Ben代墊|Ariel代墊|中信銀行共用"")), ""內部轉帳(忽略)"",
  AND(E4105&lt;&gt;"""", F4105&lt;&gt;"""", N"&amp;"OT(REGEXMATCH(C4105, ""薪資""))), ""內部轉帳(忽略)"",
  REGEXMATCH(C4105, ""薪資""), ""薪資變動(不計入)"",
  REGEXMATCH(C4105, ""押金""), ""押金往來"",
  AND(E4105&lt;&gt;"""", F4105=""""), ""真實支出"",
  AND(E4105="""", F4105&lt;&gt;""""), ""真實收入"",
  TRUE, ""其他""
)"),"分潤支出")</f>
        <v>分潤支出</v>
      </c>
      <c r="K4105">
        <f t="shared" si="2"/>
        <v>0</v>
      </c>
      <c r="L4105">
        <f t="shared" si="3"/>
        <v>30015</v>
      </c>
    </row>
    <row r="4106">
      <c r="A4106" s="107">
        <f>IFERROR(__xludf.DUMMYFUNCTION("""COMPUTED_VALUE"""),45352.0)</f>
        <v>45352</v>
      </c>
      <c r="B4106" t="str">
        <f>IFERROR(__xludf.DUMMYFUNCTION("""COMPUTED_VALUE"""),"內湖秘境B李方羽")</f>
        <v>內湖秘境B李方羽</v>
      </c>
      <c r="C4106" t="str">
        <f>IFERROR(__xludf.DUMMYFUNCTION("""COMPUTED_VALUE"""),"收入 - 租金")</f>
        <v>收入 - 租金</v>
      </c>
      <c r="D4106" s="270">
        <f>IFERROR(__xludf.DUMMYFUNCTION("""COMPUTED_VALUE"""),12800.0)</f>
        <v>12800</v>
      </c>
      <c r="F4106" t="str">
        <f>IFERROR(__xludf.DUMMYFUNCTION("""COMPUTED_VALUE"""),"玉山帳戶")</f>
        <v>玉山帳戶</v>
      </c>
      <c r="G4106" t="str">
        <f>IFERROR(__xludf.DUMMYFUNCTION("""COMPUTED_VALUE"""),"內湖秘境")</f>
        <v>內湖秘境</v>
      </c>
      <c r="H4106" s="106" t="str">
        <f t="shared" si="1"/>
        <v>2024-03</v>
      </c>
      <c r="I4106" s="271" t="str">
        <f>IFERROR(__xludf.DUMMYFUNCTION("""COMPUTED_VALUE"""),"鯰魚大大")</f>
        <v>鯰魚大大</v>
      </c>
      <c r="J4106" t="str">
        <f>IFERROR(__xludf.DUMMYFUNCTION("IFS(
  AND(REGEXMATCH(E4106, ""台銀籌備帳戶|玉山帳戶""), REGEXMATCH(C4106, ""薪資"")), ""分潤支出"",
  AND(REGEXMATCH(E4106, ""Ben帳戶|Elsa帳戶|Ben代墊|Ariel代墊|中信銀行共用""), REGEXMATCH(F4106, ""Ben帳戶|Elsa帳戶|Ben代墊|Ariel代墊|中信銀行共用"")), ""內部轉帳(忽略)"",
  AND(E4106&lt;&gt;"""", F4106&lt;&gt;"""", N"&amp;"OT(REGEXMATCH(C4106, ""薪資""))), ""內部轉帳(忽略)"",
  REGEXMATCH(C4106, ""薪資""), ""薪資變動(不計入)"",
  REGEXMATCH(C4106, ""押金""), ""押金往來"",
  AND(E4106&lt;&gt;"""", F4106=""""), ""真實支出"",
  AND(E4106="""", F4106&lt;&gt;""""), ""真實收入"",
  TRUE, ""其他""
)"),"真實收入")</f>
        <v>真實收入</v>
      </c>
      <c r="K4106" s="270">
        <f t="shared" si="2"/>
        <v>12800</v>
      </c>
      <c r="L4106">
        <f t="shared" si="3"/>
        <v>0</v>
      </c>
    </row>
    <row r="4107">
      <c r="A4107" s="107">
        <f>IFERROR(__xludf.DUMMYFUNCTION("""COMPUTED_VALUE"""),45352.0)</f>
        <v>45352</v>
      </c>
      <c r="B4107" t="str">
        <f>IFERROR(__xludf.DUMMYFUNCTION("""COMPUTED_VALUE"""),"內湖秘境C黃詩穎")</f>
        <v>內湖秘境C黃詩穎</v>
      </c>
      <c r="C4107" t="str">
        <f>IFERROR(__xludf.DUMMYFUNCTION("""COMPUTED_VALUE"""),"收入 - 租金")</f>
        <v>收入 - 租金</v>
      </c>
      <c r="D4107" s="270">
        <f>IFERROR(__xludf.DUMMYFUNCTION("""COMPUTED_VALUE"""),14030.0)</f>
        <v>14030</v>
      </c>
      <c r="F4107" t="str">
        <f>IFERROR(__xludf.DUMMYFUNCTION("""COMPUTED_VALUE"""),"玉山帳戶")</f>
        <v>玉山帳戶</v>
      </c>
      <c r="G4107" t="str">
        <f>IFERROR(__xludf.DUMMYFUNCTION("""COMPUTED_VALUE"""),"內湖秘境")</f>
        <v>內湖秘境</v>
      </c>
      <c r="H4107" s="106" t="str">
        <f t="shared" si="1"/>
        <v>2024-03</v>
      </c>
      <c r="I4107" s="271" t="str">
        <f>IFERROR(__xludf.DUMMYFUNCTION("""COMPUTED_VALUE"""),"鯰魚大大")</f>
        <v>鯰魚大大</v>
      </c>
      <c r="J4107" t="str">
        <f>IFERROR(__xludf.DUMMYFUNCTION("IFS(
  AND(REGEXMATCH(E4107, ""台銀籌備帳戶|玉山帳戶""), REGEXMATCH(C4107, ""薪資"")), ""分潤支出"",
  AND(REGEXMATCH(E4107, ""Ben帳戶|Elsa帳戶|Ben代墊|Ariel代墊|中信銀行共用""), REGEXMATCH(F4107, ""Ben帳戶|Elsa帳戶|Ben代墊|Ariel代墊|中信銀行共用"")), ""內部轉帳(忽略)"",
  AND(E4107&lt;&gt;"""", F4107&lt;&gt;"""", N"&amp;"OT(REGEXMATCH(C4107, ""薪資""))), ""內部轉帳(忽略)"",
  REGEXMATCH(C4107, ""薪資""), ""薪資變動(不計入)"",
  REGEXMATCH(C4107, ""押金""), ""押金往來"",
  AND(E4107&lt;&gt;"""", F4107=""""), ""真實支出"",
  AND(E4107="""", F4107&lt;&gt;""""), ""真實收入"",
  TRUE, ""其他""
)"),"真實收入")</f>
        <v>真實收入</v>
      </c>
      <c r="K4107" s="270">
        <f t="shared" si="2"/>
        <v>14030</v>
      </c>
      <c r="L4107">
        <f t="shared" si="3"/>
        <v>0</v>
      </c>
    </row>
    <row r="4108">
      <c r="A4108" s="107">
        <f>IFERROR(__xludf.DUMMYFUNCTION("""COMPUTED_VALUE"""),45352.0)</f>
        <v>45352</v>
      </c>
      <c r="B4108" t="str">
        <f>IFERROR(__xludf.DUMMYFUNCTION("""COMPUTED_VALUE"""),"內湖秘境G徐若洹")</f>
        <v>內湖秘境G徐若洹</v>
      </c>
      <c r="C4108" t="str">
        <f>IFERROR(__xludf.DUMMYFUNCTION("""COMPUTED_VALUE"""),"收入 - 租金")</f>
        <v>收入 - 租金</v>
      </c>
      <c r="D4108" s="270">
        <f>IFERROR(__xludf.DUMMYFUNCTION("""COMPUTED_VALUE"""),12600.0)</f>
        <v>12600</v>
      </c>
      <c r="F4108" t="str">
        <f>IFERROR(__xludf.DUMMYFUNCTION("""COMPUTED_VALUE"""),"玉山帳戶")</f>
        <v>玉山帳戶</v>
      </c>
      <c r="G4108" t="str">
        <f>IFERROR(__xludf.DUMMYFUNCTION("""COMPUTED_VALUE"""),"內湖秘境")</f>
        <v>內湖秘境</v>
      </c>
      <c r="H4108" s="106" t="str">
        <f t="shared" si="1"/>
        <v>2024-03</v>
      </c>
      <c r="I4108" s="271" t="str">
        <f>IFERROR(__xludf.DUMMYFUNCTION("""COMPUTED_VALUE"""),"鯰魚大大")</f>
        <v>鯰魚大大</v>
      </c>
      <c r="J4108" t="str">
        <f>IFERROR(__xludf.DUMMYFUNCTION("IFS(
  AND(REGEXMATCH(E4108, ""台銀籌備帳戶|玉山帳戶""), REGEXMATCH(C4108, ""薪資"")), ""分潤支出"",
  AND(REGEXMATCH(E4108, ""Ben帳戶|Elsa帳戶|Ben代墊|Ariel代墊|中信銀行共用""), REGEXMATCH(F4108, ""Ben帳戶|Elsa帳戶|Ben代墊|Ariel代墊|中信銀行共用"")), ""內部轉帳(忽略)"",
  AND(E4108&lt;&gt;"""", F4108&lt;&gt;"""", N"&amp;"OT(REGEXMATCH(C4108, ""薪資""))), ""內部轉帳(忽略)"",
  REGEXMATCH(C4108, ""薪資""), ""薪資變動(不計入)"",
  REGEXMATCH(C4108, ""押金""), ""押金往來"",
  AND(E4108&lt;&gt;"""", F4108=""""), ""真實支出"",
  AND(E4108="""", F4108&lt;&gt;""""), ""真實收入"",
  TRUE, ""其他""
)"),"真實收入")</f>
        <v>真實收入</v>
      </c>
      <c r="K4108" s="270">
        <f t="shared" si="2"/>
        <v>12600</v>
      </c>
      <c r="L4108">
        <f t="shared" si="3"/>
        <v>0</v>
      </c>
    </row>
    <row r="4109">
      <c r="A4109" s="107">
        <f>IFERROR(__xludf.DUMMYFUNCTION("""COMPUTED_VALUE"""),45352.0)</f>
        <v>45352</v>
      </c>
      <c r="B4109" t="str">
        <f>IFERROR(__xludf.DUMMYFUNCTION("""COMPUTED_VALUE"""),"內湖秘境A陳玟涵")</f>
        <v>內湖秘境A陳玟涵</v>
      </c>
      <c r="C4109" t="str">
        <f>IFERROR(__xludf.DUMMYFUNCTION("""COMPUTED_VALUE"""),"收入 - 租金")</f>
        <v>收入 - 租金</v>
      </c>
      <c r="D4109" s="270">
        <f>IFERROR(__xludf.DUMMYFUNCTION("""COMPUTED_VALUE"""),12000.0)</f>
        <v>12000</v>
      </c>
      <c r="F4109" t="str">
        <f>IFERROR(__xludf.DUMMYFUNCTION("""COMPUTED_VALUE"""),"玉山帳戶")</f>
        <v>玉山帳戶</v>
      </c>
      <c r="G4109" t="str">
        <f>IFERROR(__xludf.DUMMYFUNCTION("""COMPUTED_VALUE"""),"內湖秘境")</f>
        <v>內湖秘境</v>
      </c>
      <c r="H4109" s="106" t="str">
        <f t="shared" si="1"/>
        <v>2024-03</v>
      </c>
      <c r="I4109" s="271" t="str">
        <f>IFERROR(__xludf.DUMMYFUNCTION("""COMPUTED_VALUE"""),"鯰魚大大")</f>
        <v>鯰魚大大</v>
      </c>
      <c r="J4109" t="str">
        <f>IFERROR(__xludf.DUMMYFUNCTION("IFS(
  AND(REGEXMATCH(E4109, ""台銀籌備帳戶|玉山帳戶""), REGEXMATCH(C4109, ""薪資"")), ""分潤支出"",
  AND(REGEXMATCH(E4109, ""Ben帳戶|Elsa帳戶|Ben代墊|Ariel代墊|中信銀行共用""), REGEXMATCH(F4109, ""Ben帳戶|Elsa帳戶|Ben代墊|Ariel代墊|中信銀行共用"")), ""內部轉帳(忽略)"",
  AND(E4109&lt;&gt;"""", F4109&lt;&gt;"""", N"&amp;"OT(REGEXMATCH(C4109, ""薪資""))), ""內部轉帳(忽略)"",
  REGEXMATCH(C4109, ""薪資""), ""薪資變動(不計入)"",
  REGEXMATCH(C4109, ""押金""), ""押金往來"",
  AND(E4109&lt;&gt;"""", F4109=""""), ""真實支出"",
  AND(E4109="""", F4109&lt;&gt;""""), ""真實收入"",
  TRUE, ""其他""
)"),"真實收入")</f>
        <v>真實收入</v>
      </c>
      <c r="K4109" s="270">
        <f t="shared" si="2"/>
        <v>12000</v>
      </c>
      <c r="L4109">
        <f t="shared" si="3"/>
        <v>0</v>
      </c>
    </row>
    <row r="4110">
      <c r="A4110" s="107">
        <f>IFERROR(__xludf.DUMMYFUNCTION("""COMPUTED_VALUE"""),45355.0)</f>
        <v>45355</v>
      </c>
      <c r="B4110" t="str">
        <f>IFERROR(__xludf.DUMMYFUNCTION("""COMPUTED_VALUE"""),"內湖秘境F陳俊宇")</f>
        <v>內湖秘境F陳俊宇</v>
      </c>
      <c r="C4110" t="str">
        <f>IFERROR(__xludf.DUMMYFUNCTION("""COMPUTED_VALUE"""),"收入 - 租金")</f>
        <v>收入 - 租金</v>
      </c>
      <c r="D4110" s="270">
        <f>IFERROR(__xludf.DUMMYFUNCTION("""COMPUTED_VALUE"""),12300.0)</f>
        <v>12300</v>
      </c>
      <c r="F4110" t="str">
        <f>IFERROR(__xludf.DUMMYFUNCTION("""COMPUTED_VALUE"""),"玉山帳戶")</f>
        <v>玉山帳戶</v>
      </c>
      <c r="G4110" t="str">
        <f>IFERROR(__xludf.DUMMYFUNCTION("""COMPUTED_VALUE"""),"內湖秘境")</f>
        <v>內湖秘境</v>
      </c>
      <c r="H4110" s="106" t="str">
        <f t="shared" si="1"/>
        <v>2024-03</v>
      </c>
      <c r="I4110" s="271" t="str">
        <f>IFERROR(__xludf.DUMMYFUNCTION("""COMPUTED_VALUE"""),"鯰魚大大")</f>
        <v>鯰魚大大</v>
      </c>
      <c r="J4110" t="str">
        <f>IFERROR(__xludf.DUMMYFUNCTION("IFS(
  AND(REGEXMATCH(E4110, ""台銀籌備帳戶|玉山帳戶""), REGEXMATCH(C4110, ""薪資"")), ""分潤支出"",
  AND(REGEXMATCH(E4110, ""Ben帳戶|Elsa帳戶|Ben代墊|Ariel代墊|中信銀行共用""), REGEXMATCH(F4110, ""Ben帳戶|Elsa帳戶|Ben代墊|Ariel代墊|中信銀行共用"")), ""內部轉帳(忽略)"",
  AND(E4110&lt;&gt;"""", F4110&lt;&gt;"""", N"&amp;"OT(REGEXMATCH(C4110, ""薪資""))), ""內部轉帳(忽略)"",
  REGEXMATCH(C4110, ""薪資""), ""薪資變動(不計入)"",
  REGEXMATCH(C4110, ""押金""), ""押金往來"",
  AND(E4110&lt;&gt;"""", F4110=""""), ""真實支出"",
  AND(E4110="""", F4110&lt;&gt;""""), ""真實收入"",
  TRUE, ""其他""
)"),"真實收入")</f>
        <v>真實收入</v>
      </c>
      <c r="K4110" s="270">
        <f t="shared" si="2"/>
        <v>12300</v>
      </c>
      <c r="L4110">
        <f t="shared" si="3"/>
        <v>0</v>
      </c>
    </row>
    <row r="4111">
      <c r="A4111" s="107">
        <f>IFERROR(__xludf.DUMMYFUNCTION("""COMPUTED_VALUE"""),45356.0)</f>
        <v>45356</v>
      </c>
      <c r="B4111" t="str">
        <f>IFERROR(__xludf.DUMMYFUNCTION("""COMPUTED_VALUE"""),"強波器")</f>
        <v>強波器</v>
      </c>
      <c r="C4111" t="str">
        <f>IFERROR(__xludf.DUMMYFUNCTION("""COMPUTED_VALUE"""),"成本 - 租後修繕")</f>
        <v>成本 - 租後修繕</v>
      </c>
      <c r="D4111" s="270">
        <f>IFERROR(__xludf.DUMMYFUNCTION("""COMPUTED_VALUE"""),-859.0)</f>
        <v>-859</v>
      </c>
      <c r="E4111" t="str">
        <f>IFERROR(__xludf.DUMMYFUNCTION("""COMPUTED_VALUE"""),"Ben代墊")</f>
        <v>Ben代墊</v>
      </c>
      <c r="G4111" t="str">
        <f>IFERROR(__xludf.DUMMYFUNCTION("""COMPUTED_VALUE"""),"內湖秘境")</f>
        <v>內湖秘境</v>
      </c>
      <c r="H4111" s="106" t="str">
        <f t="shared" si="1"/>
        <v>2024-03</v>
      </c>
      <c r="I4111" s="271" t="str">
        <f>IFERROR(__xludf.DUMMYFUNCTION("""COMPUTED_VALUE"""),"鯰魚大大")</f>
        <v>鯰魚大大</v>
      </c>
      <c r="J4111" t="str">
        <f>IFERROR(__xludf.DUMMYFUNCTION("IFS(
  AND(REGEXMATCH(E4111, ""台銀籌備帳戶|玉山帳戶""), REGEXMATCH(C4111, ""薪資"")), ""分潤支出"",
  AND(REGEXMATCH(E4111, ""Ben帳戶|Elsa帳戶|Ben代墊|Ariel代墊|中信銀行共用""), REGEXMATCH(F4111, ""Ben帳戶|Elsa帳戶|Ben代墊|Ariel代墊|中信銀行共用"")), ""內部轉帳(忽略)"",
  AND(E4111&lt;&gt;"""", F4111&lt;&gt;"""", N"&amp;"OT(REGEXMATCH(C4111, ""薪資""))), ""內部轉帳(忽略)"",
  REGEXMATCH(C4111, ""薪資""), ""薪資變動(不計入)"",
  REGEXMATCH(C4111, ""押金""), ""押金往來"",
  AND(E4111&lt;&gt;"""", F4111=""""), ""真實支出"",
  AND(E4111="""", F4111&lt;&gt;""""), ""真實收入"",
  TRUE, ""其他""
)"),"真實支出")</f>
        <v>真實支出</v>
      </c>
      <c r="K4111" s="270">
        <f t="shared" si="2"/>
        <v>-859</v>
      </c>
      <c r="L4111">
        <f t="shared" si="3"/>
        <v>0</v>
      </c>
    </row>
    <row r="4112">
      <c r="A4112" s="107">
        <f>IFERROR(__xludf.DUMMYFUNCTION("""COMPUTED_VALUE"""),45360.0)</f>
        <v>45360</v>
      </c>
      <c r="B4112" t="str">
        <f>IFERROR(__xludf.DUMMYFUNCTION("""COMPUTED_VALUE"""),"和豐 洗衣機更換")</f>
        <v>和豐 洗衣機更換</v>
      </c>
      <c r="C4112" t="str">
        <f>IFERROR(__xludf.DUMMYFUNCTION("""COMPUTED_VALUE"""),"成本 - 租後修繕")</f>
        <v>成本 - 租後修繕</v>
      </c>
      <c r="D4112" s="270">
        <f>IFERROR(__xludf.DUMMYFUNCTION("""COMPUTED_VALUE"""),-6821.0)</f>
        <v>-6821</v>
      </c>
      <c r="E4112" t="str">
        <f>IFERROR(__xludf.DUMMYFUNCTION("""COMPUTED_VALUE"""),"Ariel代墊")</f>
        <v>Ariel代墊</v>
      </c>
      <c r="G4112" t="str">
        <f>IFERROR(__xludf.DUMMYFUNCTION("""COMPUTED_VALUE"""),"士林和豐")</f>
        <v>士林和豐</v>
      </c>
      <c r="H4112" s="106" t="str">
        <f t="shared" si="1"/>
        <v>2024-03</v>
      </c>
      <c r="I4112" s="271" t="str">
        <f>IFERROR(__xludf.DUMMYFUNCTION("""COMPUTED_VALUE"""),"鯰魚大大")</f>
        <v>鯰魚大大</v>
      </c>
      <c r="J4112" t="str">
        <f>IFERROR(__xludf.DUMMYFUNCTION("IFS(
  AND(REGEXMATCH(E4112, ""台銀籌備帳戶|玉山帳戶""), REGEXMATCH(C4112, ""薪資"")), ""分潤支出"",
  AND(REGEXMATCH(E4112, ""Ben帳戶|Elsa帳戶|Ben代墊|Ariel代墊|中信銀行共用""), REGEXMATCH(F4112, ""Ben帳戶|Elsa帳戶|Ben代墊|Ariel代墊|中信銀行共用"")), ""內部轉帳(忽略)"",
  AND(E4112&lt;&gt;"""", F4112&lt;&gt;"""", N"&amp;"OT(REGEXMATCH(C4112, ""薪資""))), ""內部轉帳(忽略)"",
  REGEXMATCH(C4112, ""薪資""), ""薪資變動(不計入)"",
  REGEXMATCH(C4112, ""押金""), ""押金往來"",
  AND(E4112&lt;&gt;"""", F4112=""""), ""真實支出"",
  AND(E4112="""", F4112&lt;&gt;""""), ""真實收入"",
  TRUE, ""其他""
)"),"真實支出")</f>
        <v>真實支出</v>
      </c>
      <c r="K4112" s="270">
        <f t="shared" si="2"/>
        <v>-6821</v>
      </c>
      <c r="L4112">
        <f t="shared" si="3"/>
        <v>0</v>
      </c>
    </row>
    <row r="4113">
      <c r="A4113" s="107">
        <f>IFERROR(__xludf.DUMMYFUNCTION("""COMPUTED_VALUE"""),45261.0)</f>
        <v>45261</v>
      </c>
      <c r="B4113" t="str">
        <f>IFERROR(__xludf.DUMMYFUNCTION("""COMPUTED_VALUE"""),"內湖秘境_清潔費2023/12月")</f>
        <v>內湖秘境_清潔費2023/12月</v>
      </c>
      <c r="C4113" t="str">
        <f>IFERROR(__xludf.DUMMYFUNCTION("""COMPUTED_VALUE"""),"成本 - 固定開銷(網路代收清潔)")</f>
        <v>成本 - 固定開銷(網路代收清潔)</v>
      </c>
      <c r="D4113" s="270">
        <f>IFERROR(__xludf.DUMMYFUNCTION("""COMPUTED_VALUE"""),-1050.0)</f>
        <v>-1050</v>
      </c>
      <c r="E4113" t="str">
        <f>IFERROR(__xludf.DUMMYFUNCTION("""COMPUTED_VALUE"""),"Ariel代墊")</f>
        <v>Ariel代墊</v>
      </c>
      <c r="G4113" t="str">
        <f>IFERROR(__xludf.DUMMYFUNCTION("""COMPUTED_VALUE"""),"內湖秘境")</f>
        <v>內湖秘境</v>
      </c>
      <c r="H4113" s="106" t="str">
        <f t="shared" si="1"/>
        <v>2023-12</v>
      </c>
      <c r="I4113" s="271" t="str">
        <f>IFERROR(__xludf.DUMMYFUNCTION("""COMPUTED_VALUE"""),"鯰魚大大")</f>
        <v>鯰魚大大</v>
      </c>
      <c r="J4113" t="str">
        <f>IFERROR(__xludf.DUMMYFUNCTION("IFS(
  AND(REGEXMATCH(E4113, ""台銀籌備帳戶|玉山帳戶""), REGEXMATCH(C4113, ""薪資"")), ""分潤支出"",
  AND(REGEXMATCH(E4113, ""Ben帳戶|Elsa帳戶|Ben代墊|Ariel代墊|中信銀行共用""), REGEXMATCH(F4113, ""Ben帳戶|Elsa帳戶|Ben代墊|Ariel代墊|中信銀行共用"")), ""內部轉帳(忽略)"",
  AND(E4113&lt;&gt;"""", F4113&lt;&gt;"""", N"&amp;"OT(REGEXMATCH(C4113, ""薪資""))), ""內部轉帳(忽略)"",
  REGEXMATCH(C4113, ""薪資""), ""薪資變動(不計入)"",
  REGEXMATCH(C4113, ""押金""), ""押金往來"",
  AND(E4113&lt;&gt;"""", F4113=""""), ""真實支出"",
  AND(E4113="""", F4113&lt;&gt;""""), ""真實收入"",
  TRUE, ""其他""
)"),"真實支出")</f>
        <v>真實支出</v>
      </c>
      <c r="K4113" s="270">
        <f t="shared" si="2"/>
        <v>-1050</v>
      </c>
      <c r="L4113">
        <f t="shared" si="3"/>
        <v>0</v>
      </c>
    </row>
    <row r="4114">
      <c r="A4114" s="107">
        <f>IFERROR(__xludf.DUMMYFUNCTION("""COMPUTED_VALUE"""),45292.0)</f>
        <v>45292</v>
      </c>
      <c r="B4114" t="str">
        <f>IFERROR(__xludf.DUMMYFUNCTION("""COMPUTED_VALUE"""),"內湖秘境_清潔費2024/1月")</f>
        <v>內湖秘境_清潔費2024/1月</v>
      </c>
      <c r="C4114" t="str">
        <f>IFERROR(__xludf.DUMMYFUNCTION("""COMPUTED_VALUE"""),"成本 - 固定開銷(網路代收清潔)")</f>
        <v>成本 - 固定開銷(網路代收清潔)</v>
      </c>
      <c r="D4114" s="270">
        <f>IFERROR(__xludf.DUMMYFUNCTION("""COMPUTED_VALUE"""),-1050.0)</f>
        <v>-1050</v>
      </c>
      <c r="E4114" t="str">
        <f>IFERROR(__xludf.DUMMYFUNCTION("""COMPUTED_VALUE"""),"Ariel代墊")</f>
        <v>Ariel代墊</v>
      </c>
      <c r="G4114" t="str">
        <f>IFERROR(__xludf.DUMMYFUNCTION("""COMPUTED_VALUE"""),"內湖秘境")</f>
        <v>內湖秘境</v>
      </c>
      <c r="H4114" s="106" t="str">
        <f t="shared" si="1"/>
        <v>2024-01</v>
      </c>
      <c r="I4114" s="271" t="str">
        <f>IFERROR(__xludf.DUMMYFUNCTION("""COMPUTED_VALUE"""),"鯰魚大大")</f>
        <v>鯰魚大大</v>
      </c>
      <c r="J4114" t="str">
        <f>IFERROR(__xludf.DUMMYFUNCTION("IFS(
  AND(REGEXMATCH(E4114, ""台銀籌備帳戶|玉山帳戶""), REGEXMATCH(C4114, ""薪資"")), ""分潤支出"",
  AND(REGEXMATCH(E4114, ""Ben帳戶|Elsa帳戶|Ben代墊|Ariel代墊|中信銀行共用""), REGEXMATCH(F4114, ""Ben帳戶|Elsa帳戶|Ben代墊|Ariel代墊|中信銀行共用"")), ""內部轉帳(忽略)"",
  AND(E4114&lt;&gt;"""", F4114&lt;&gt;"""", N"&amp;"OT(REGEXMATCH(C4114, ""薪資""))), ""內部轉帳(忽略)"",
  REGEXMATCH(C4114, ""薪資""), ""薪資變動(不計入)"",
  REGEXMATCH(C4114, ""押金""), ""押金往來"",
  AND(E4114&lt;&gt;"""", F4114=""""), ""真實支出"",
  AND(E4114="""", F4114&lt;&gt;""""), ""真實收入"",
  TRUE, ""其他""
)"),"真實支出")</f>
        <v>真實支出</v>
      </c>
      <c r="K4114" s="270">
        <f t="shared" si="2"/>
        <v>-1050</v>
      </c>
      <c r="L4114">
        <f t="shared" si="3"/>
        <v>0</v>
      </c>
    </row>
    <row r="4115">
      <c r="A4115" s="107">
        <f>IFERROR(__xludf.DUMMYFUNCTION("""COMPUTED_VALUE"""),45323.0)</f>
        <v>45323</v>
      </c>
      <c r="B4115" t="str">
        <f>IFERROR(__xludf.DUMMYFUNCTION("""COMPUTED_VALUE"""),"內湖秘境_清潔費2024/2月")</f>
        <v>內湖秘境_清潔費2024/2月</v>
      </c>
      <c r="C4115" t="str">
        <f>IFERROR(__xludf.DUMMYFUNCTION("""COMPUTED_VALUE"""),"成本 - 固定開銷(網路代收清潔)")</f>
        <v>成本 - 固定開銷(網路代收清潔)</v>
      </c>
      <c r="D4115" s="270">
        <f>IFERROR(__xludf.DUMMYFUNCTION("""COMPUTED_VALUE"""),-1050.0)</f>
        <v>-1050</v>
      </c>
      <c r="E4115" t="str">
        <f>IFERROR(__xludf.DUMMYFUNCTION("""COMPUTED_VALUE"""),"Ariel代墊")</f>
        <v>Ariel代墊</v>
      </c>
      <c r="G4115" t="str">
        <f>IFERROR(__xludf.DUMMYFUNCTION("""COMPUTED_VALUE"""),"內湖秘境")</f>
        <v>內湖秘境</v>
      </c>
      <c r="H4115" s="106" t="str">
        <f t="shared" si="1"/>
        <v>2024-02</v>
      </c>
      <c r="I4115" s="271" t="str">
        <f>IFERROR(__xludf.DUMMYFUNCTION("""COMPUTED_VALUE"""),"鯰魚大大")</f>
        <v>鯰魚大大</v>
      </c>
      <c r="J4115" t="str">
        <f>IFERROR(__xludf.DUMMYFUNCTION("IFS(
  AND(REGEXMATCH(E4115, ""台銀籌備帳戶|玉山帳戶""), REGEXMATCH(C4115, ""薪資"")), ""分潤支出"",
  AND(REGEXMATCH(E4115, ""Ben帳戶|Elsa帳戶|Ben代墊|Ariel代墊|中信銀行共用""), REGEXMATCH(F4115, ""Ben帳戶|Elsa帳戶|Ben代墊|Ariel代墊|中信銀行共用"")), ""內部轉帳(忽略)"",
  AND(E4115&lt;&gt;"""", F4115&lt;&gt;"""", N"&amp;"OT(REGEXMATCH(C4115, ""薪資""))), ""內部轉帳(忽略)"",
  REGEXMATCH(C4115, ""薪資""), ""薪資變動(不計入)"",
  REGEXMATCH(C4115, ""押金""), ""押金往來"",
  AND(E4115&lt;&gt;"""", F4115=""""), ""真實支出"",
  AND(E4115="""", F4115&lt;&gt;""""), ""真實收入"",
  TRUE, ""其他""
)"),"真實支出")</f>
        <v>真實支出</v>
      </c>
      <c r="K4115" s="270">
        <f t="shared" si="2"/>
        <v>-1050</v>
      </c>
      <c r="L4115">
        <f t="shared" si="3"/>
        <v>0</v>
      </c>
    </row>
    <row r="4116">
      <c r="A4116" s="107">
        <f>IFERROR(__xludf.DUMMYFUNCTION("""COMPUTED_VALUE"""),45379.0)</f>
        <v>45379</v>
      </c>
      <c r="B4116" t="str">
        <f>IFERROR(__xludf.DUMMYFUNCTION("""COMPUTED_VALUE"""),"劍潭 換三個門")</f>
        <v>劍潭 換三個門</v>
      </c>
      <c r="C4116" t="str">
        <f>IFERROR(__xludf.DUMMYFUNCTION("""COMPUTED_VALUE"""),"成本 - 租後修繕")</f>
        <v>成本 - 租後修繕</v>
      </c>
      <c r="D4116" s="270">
        <f>IFERROR(__xludf.DUMMYFUNCTION("""COMPUTED_VALUE"""),-10500.0)</f>
        <v>-10500</v>
      </c>
      <c r="E4116" t="str">
        <f>IFERROR(__xludf.DUMMYFUNCTION("""COMPUTED_VALUE"""),"Ben代墊")</f>
        <v>Ben代墊</v>
      </c>
      <c r="G4116" t="str">
        <f>IFERROR(__xludf.DUMMYFUNCTION("""COMPUTED_VALUE"""),"士林和豐")</f>
        <v>士林和豐</v>
      </c>
      <c r="H4116" s="106" t="str">
        <f t="shared" si="1"/>
        <v>2024-03</v>
      </c>
      <c r="I4116" s="271" t="str">
        <f>IFERROR(__xludf.DUMMYFUNCTION("""COMPUTED_VALUE"""),"鯰魚大大")</f>
        <v>鯰魚大大</v>
      </c>
      <c r="J4116" t="str">
        <f>IFERROR(__xludf.DUMMYFUNCTION("IFS(
  AND(REGEXMATCH(E4116, ""台銀籌備帳戶|玉山帳戶""), REGEXMATCH(C4116, ""薪資"")), ""分潤支出"",
  AND(REGEXMATCH(E4116, ""Ben帳戶|Elsa帳戶|Ben代墊|Ariel代墊|中信銀行共用""), REGEXMATCH(F4116, ""Ben帳戶|Elsa帳戶|Ben代墊|Ariel代墊|中信銀行共用"")), ""內部轉帳(忽略)"",
  AND(E4116&lt;&gt;"""", F4116&lt;&gt;"""", N"&amp;"OT(REGEXMATCH(C4116, ""薪資""))), ""內部轉帳(忽略)"",
  REGEXMATCH(C4116, ""薪資""), ""薪資變動(不計入)"",
  REGEXMATCH(C4116, ""押金""), ""押金往來"",
  AND(E4116&lt;&gt;"""", F4116=""""), ""真實支出"",
  AND(E4116="""", F4116&lt;&gt;""""), ""真實收入"",
  TRUE, ""其他""
)"),"真實支出")</f>
        <v>真實支出</v>
      </c>
      <c r="K4116" s="270">
        <f t="shared" si="2"/>
        <v>-10500</v>
      </c>
      <c r="L4116">
        <f t="shared" si="3"/>
        <v>0</v>
      </c>
    </row>
    <row r="4117">
      <c r="A4117" s="107">
        <f>IFERROR(__xludf.DUMMYFUNCTION("""COMPUTED_VALUE"""),45381.0)</f>
        <v>45381</v>
      </c>
      <c r="B4117" t="str">
        <f>IFERROR(__xludf.DUMMYFUNCTION("""COMPUTED_VALUE"""),"椅子跟地毯")</f>
        <v>椅子跟地毯</v>
      </c>
      <c r="C4117" t="str">
        <f>IFERROR(__xludf.DUMMYFUNCTION("""COMPUTED_VALUE"""),"成本 - 租後修繕")</f>
        <v>成本 - 租後修繕</v>
      </c>
      <c r="D4117" s="270">
        <f>IFERROR(__xludf.DUMMYFUNCTION("""COMPUTED_VALUE"""),-4874.0)</f>
        <v>-4874</v>
      </c>
      <c r="E4117" t="str">
        <f>IFERROR(__xludf.DUMMYFUNCTION("""COMPUTED_VALUE"""),"Ben代墊")</f>
        <v>Ben代墊</v>
      </c>
      <c r="G4117" t="str">
        <f>IFERROR(__xludf.DUMMYFUNCTION("""COMPUTED_VALUE"""),"內湖秘境")</f>
        <v>內湖秘境</v>
      </c>
      <c r="H4117" s="106" t="str">
        <f t="shared" si="1"/>
        <v>2024-03</v>
      </c>
      <c r="I4117" s="271" t="str">
        <f>IFERROR(__xludf.DUMMYFUNCTION("""COMPUTED_VALUE"""),"鯰魚大大")</f>
        <v>鯰魚大大</v>
      </c>
      <c r="J4117" t="str">
        <f>IFERROR(__xludf.DUMMYFUNCTION("IFS(
  AND(REGEXMATCH(E4117, ""台銀籌備帳戶|玉山帳戶""), REGEXMATCH(C4117, ""薪資"")), ""分潤支出"",
  AND(REGEXMATCH(E4117, ""Ben帳戶|Elsa帳戶|Ben代墊|Ariel代墊|中信銀行共用""), REGEXMATCH(F4117, ""Ben帳戶|Elsa帳戶|Ben代墊|Ariel代墊|中信銀行共用"")), ""內部轉帳(忽略)"",
  AND(E4117&lt;&gt;"""", F4117&lt;&gt;"""", N"&amp;"OT(REGEXMATCH(C4117, ""薪資""))), ""內部轉帳(忽略)"",
  REGEXMATCH(C4117, ""薪資""), ""薪資變動(不計入)"",
  REGEXMATCH(C4117, ""押金""), ""押金往來"",
  AND(E4117&lt;&gt;"""", F4117=""""), ""真實支出"",
  AND(E4117="""", F4117&lt;&gt;""""), ""真實收入"",
  TRUE, ""其他""
)"),"真實支出")</f>
        <v>真實支出</v>
      </c>
      <c r="K4117" s="270">
        <f t="shared" si="2"/>
        <v>-4874</v>
      </c>
      <c r="L4117">
        <f t="shared" si="3"/>
        <v>0</v>
      </c>
    </row>
    <row r="4118">
      <c r="A4118" s="107">
        <f>IFERROR(__xludf.DUMMYFUNCTION("""COMPUTED_VALUE"""),45382.0)</f>
        <v>45382</v>
      </c>
      <c r="B4118" t="str">
        <f>IFERROR(__xludf.DUMMYFUNCTION("""COMPUTED_VALUE"""),"內湖秘境_清潔費2024/3月")</f>
        <v>內湖秘境_清潔費2024/3月</v>
      </c>
      <c r="C4118" t="str">
        <f>IFERROR(__xludf.DUMMYFUNCTION("""COMPUTED_VALUE"""),"成本 - 固定開銷(網路代收清潔)")</f>
        <v>成本 - 固定開銷(網路代收清潔)</v>
      </c>
      <c r="D4118" s="270">
        <f>IFERROR(__xludf.DUMMYFUNCTION("""COMPUTED_VALUE"""),-1050.0)</f>
        <v>-1050</v>
      </c>
      <c r="E4118" t="str">
        <f>IFERROR(__xludf.DUMMYFUNCTION("""COMPUTED_VALUE"""),"Ariel代墊")</f>
        <v>Ariel代墊</v>
      </c>
      <c r="G4118" t="str">
        <f>IFERROR(__xludf.DUMMYFUNCTION("""COMPUTED_VALUE"""),"內湖秘境")</f>
        <v>內湖秘境</v>
      </c>
      <c r="H4118" s="106" t="str">
        <f t="shared" si="1"/>
        <v>2024-03</v>
      </c>
      <c r="I4118" s="271" t="str">
        <f>IFERROR(__xludf.DUMMYFUNCTION("""COMPUTED_VALUE"""),"鯰魚大大")</f>
        <v>鯰魚大大</v>
      </c>
      <c r="J4118" t="str">
        <f>IFERROR(__xludf.DUMMYFUNCTION("IFS(
  AND(REGEXMATCH(E4118, ""台銀籌備帳戶|玉山帳戶""), REGEXMATCH(C4118, ""薪資"")), ""分潤支出"",
  AND(REGEXMATCH(E4118, ""Ben帳戶|Elsa帳戶|Ben代墊|Ariel代墊|中信銀行共用""), REGEXMATCH(F4118, ""Ben帳戶|Elsa帳戶|Ben代墊|Ariel代墊|中信銀行共用"")), ""內部轉帳(忽略)"",
  AND(E4118&lt;&gt;"""", F4118&lt;&gt;"""", N"&amp;"OT(REGEXMATCH(C4118, ""薪資""))), ""內部轉帳(忽略)"",
  REGEXMATCH(C4118, ""薪資""), ""薪資變動(不計入)"",
  REGEXMATCH(C4118, ""押金""), ""押金往來"",
  AND(E4118&lt;&gt;"""", F4118=""""), ""真實支出"",
  AND(E4118="""", F4118&lt;&gt;""""), ""真實收入"",
  TRUE, ""其他""
)"),"真實支出")</f>
        <v>真實支出</v>
      </c>
      <c r="K4118" s="270">
        <f t="shared" si="2"/>
        <v>-1050</v>
      </c>
      <c r="L4118">
        <f t="shared" si="3"/>
        <v>0</v>
      </c>
    </row>
    <row r="4119">
      <c r="A4119" s="107">
        <f>IFERROR(__xludf.DUMMYFUNCTION("""COMPUTED_VALUE"""),45383.0)</f>
        <v>45383</v>
      </c>
      <c r="B4119" t="str">
        <f>IFERROR(__xludf.DUMMYFUNCTION("""COMPUTED_VALUE"""),"士林和豐A巫思予")</f>
        <v>士林和豐A巫思予</v>
      </c>
      <c r="C4119" t="str">
        <f>IFERROR(__xludf.DUMMYFUNCTION("""COMPUTED_VALUE"""),"收入 - 租金")</f>
        <v>收入 - 租金</v>
      </c>
      <c r="D4119" s="270">
        <f>IFERROR(__xludf.DUMMYFUNCTION("""COMPUTED_VALUE"""),15800.0)</f>
        <v>15800</v>
      </c>
      <c r="F4119" t="str">
        <f>IFERROR(__xludf.DUMMYFUNCTION("""COMPUTED_VALUE"""),"玉山帳戶")</f>
        <v>玉山帳戶</v>
      </c>
      <c r="G4119" t="str">
        <f>IFERROR(__xludf.DUMMYFUNCTION("""COMPUTED_VALUE"""),"士林和豐")</f>
        <v>士林和豐</v>
      </c>
      <c r="H4119" s="106" t="str">
        <f t="shared" si="1"/>
        <v>2024-04</v>
      </c>
      <c r="I4119" s="271" t="str">
        <f>IFERROR(__xludf.DUMMYFUNCTION("""COMPUTED_VALUE"""),"鯰魚大大")</f>
        <v>鯰魚大大</v>
      </c>
      <c r="J4119" t="str">
        <f>IFERROR(__xludf.DUMMYFUNCTION("IFS(
  AND(REGEXMATCH(E4119, ""台銀籌備帳戶|玉山帳戶""), REGEXMATCH(C4119, ""薪資"")), ""分潤支出"",
  AND(REGEXMATCH(E4119, ""Ben帳戶|Elsa帳戶|Ben代墊|Ariel代墊|中信銀行共用""), REGEXMATCH(F4119, ""Ben帳戶|Elsa帳戶|Ben代墊|Ariel代墊|中信銀行共用"")), ""內部轉帳(忽略)"",
  AND(E4119&lt;&gt;"""", F4119&lt;&gt;"""", N"&amp;"OT(REGEXMATCH(C4119, ""薪資""))), ""內部轉帳(忽略)"",
  REGEXMATCH(C4119, ""薪資""), ""薪資變動(不計入)"",
  REGEXMATCH(C4119, ""押金""), ""押金往來"",
  AND(E4119&lt;&gt;"""", F4119=""""), ""真實支出"",
  AND(E4119="""", F4119&lt;&gt;""""), ""真實收入"",
  TRUE, ""其他""
)"),"真實收入")</f>
        <v>真實收入</v>
      </c>
      <c r="K4119" s="270">
        <f t="shared" si="2"/>
        <v>15800</v>
      </c>
      <c r="L4119">
        <f t="shared" si="3"/>
        <v>0</v>
      </c>
    </row>
    <row r="4120">
      <c r="A4120" s="107">
        <f>IFERROR(__xludf.DUMMYFUNCTION("""COMPUTED_VALUE"""),45383.0)</f>
        <v>45383</v>
      </c>
      <c r="B4120" t="str">
        <f>IFERROR(__xludf.DUMMYFUNCTION("""COMPUTED_VALUE"""),"內湖")</f>
        <v>內湖</v>
      </c>
      <c r="C4120" t="str">
        <f>IFERROR(__xludf.DUMMYFUNCTION("""COMPUTED_VALUE"""),"費用 - Salary 薪資")</f>
        <v>費用 - Salary 薪資</v>
      </c>
      <c r="D4120" s="270">
        <f>IFERROR(__xludf.DUMMYFUNCTION("""COMPUTED_VALUE"""),-20000.0)</f>
        <v>-20000</v>
      </c>
      <c r="E4120" t="str">
        <f>IFERROR(__xludf.DUMMYFUNCTION("""COMPUTED_VALUE"""),"玉山帳戶")</f>
        <v>玉山帳戶</v>
      </c>
      <c r="F4120" t="str">
        <f>IFERROR(__xludf.DUMMYFUNCTION("""COMPUTED_VALUE"""),"Ariel代墊")</f>
        <v>Ariel代墊</v>
      </c>
      <c r="H4120" s="106" t="str">
        <f t="shared" si="1"/>
        <v>2024-04</v>
      </c>
      <c r="I4120" s="271" t="str">
        <f>IFERROR(__xludf.DUMMYFUNCTION("""COMPUTED_VALUE"""),"鯰魚大大")</f>
        <v>鯰魚大大</v>
      </c>
      <c r="J4120" t="str">
        <f>IFERROR(__xludf.DUMMYFUNCTION("IFS(
  AND(REGEXMATCH(E4120, ""台銀籌備帳戶|玉山帳戶""), REGEXMATCH(C4120, ""薪資"")), ""分潤支出"",
  AND(REGEXMATCH(E4120, ""Ben帳戶|Elsa帳戶|Ben代墊|Ariel代墊|中信銀行共用""), REGEXMATCH(F4120, ""Ben帳戶|Elsa帳戶|Ben代墊|Ariel代墊|中信銀行共用"")), ""內部轉帳(忽略)"",
  AND(E4120&lt;&gt;"""", F4120&lt;&gt;"""", N"&amp;"OT(REGEXMATCH(C4120, ""薪資""))), ""內部轉帳(忽略)"",
  REGEXMATCH(C4120, ""薪資""), ""薪資變動(不計入)"",
  REGEXMATCH(C4120, ""押金""), ""押金往來"",
  AND(E4120&lt;&gt;"""", F4120=""""), ""真實支出"",
  AND(E4120="""", F4120&lt;&gt;""""), ""真實收入"",
  TRUE, ""其他""
)"),"分潤支出")</f>
        <v>分潤支出</v>
      </c>
      <c r="K4120">
        <f t="shared" si="2"/>
        <v>0</v>
      </c>
      <c r="L4120">
        <f t="shared" si="3"/>
        <v>20000</v>
      </c>
    </row>
    <row r="4121">
      <c r="A4121" s="107">
        <f>IFERROR(__xludf.DUMMYFUNCTION("""COMPUTED_VALUE"""),45383.0)</f>
        <v>45383</v>
      </c>
      <c r="B4121" t="str">
        <f>IFERROR(__xludf.DUMMYFUNCTION("""COMPUTED_VALUE"""),"內湖路一段周姐")</f>
        <v>內湖路一段周姐</v>
      </c>
      <c r="C4121" t="str">
        <f>IFERROR(__xludf.DUMMYFUNCTION("""COMPUTED_VALUE"""),"成本 - 大租金")</f>
        <v>成本 - 大租金</v>
      </c>
      <c r="D4121" s="270">
        <f>IFERROR(__xludf.DUMMYFUNCTION("""COMPUTED_VALUE"""),-45015.0)</f>
        <v>-45015</v>
      </c>
      <c r="E4121" t="str">
        <f>IFERROR(__xludf.DUMMYFUNCTION("""COMPUTED_VALUE"""),"玉山帳戶")</f>
        <v>玉山帳戶</v>
      </c>
      <c r="G4121" t="str">
        <f>IFERROR(__xludf.DUMMYFUNCTION("""COMPUTED_VALUE"""),"內湖秘境")</f>
        <v>內湖秘境</v>
      </c>
      <c r="H4121" s="106" t="str">
        <f t="shared" si="1"/>
        <v>2024-04</v>
      </c>
      <c r="I4121" s="271" t="str">
        <f>IFERROR(__xludf.DUMMYFUNCTION("""COMPUTED_VALUE"""),"鯰魚大大")</f>
        <v>鯰魚大大</v>
      </c>
      <c r="J4121" t="str">
        <f>IFERROR(__xludf.DUMMYFUNCTION("IFS(
  AND(REGEXMATCH(E4121, ""台銀籌備帳戶|玉山帳戶""), REGEXMATCH(C4121, ""薪資"")), ""分潤支出"",
  AND(REGEXMATCH(E4121, ""Ben帳戶|Elsa帳戶|Ben代墊|Ariel代墊|中信銀行共用""), REGEXMATCH(F4121, ""Ben帳戶|Elsa帳戶|Ben代墊|Ariel代墊|中信銀行共用"")), ""內部轉帳(忽略)"",
  AND(E4121&lt;&gt;"""", F4121&lt;&gt;"""", N"&amp;"OT(REGEXMATCH(C4121, ""薪資""))), ""內部轉帳(忽略)"",
  REGEXMATCH(C4121, ""薪資""), ""薪資變動(不計入)"",
  REGEXMATCH(C4121, ""押金""), ""押金往來"",
  AND(E4121&lt;&gt;"""", F4121=""""), ""真實支出"",
  AND(E4121="""", F4121&lt;&gt;""""), ""真實收入"",
  TRUE, ""其他""
)"),"真實支出")</f>
        <v>真實支出</v>
      </c>
      <c r="K4121" s="270">
        <f t="shared" si="2"/>
        <v>-45015</v>
      </c>
      <c r="L4121">
        <f t="shared" si="3"/>
        <v>0</v>
      </c>
    </row>
    <row r="4122">
      <c r="A4122" s="107">
        <f>IFERROR(__xludf.DUMMYFUNCTION("""COMPUTED_VALUE"""),45383.0)</f>
        <v>45383</v>
      </c>
      <c r="B4122" t="str">
        <f>IFERROR(__xludf.DUMMYFUNCTION("""COMPUTED_VALUE"""),"中信銀行")</f>
        <v>中信銀行</v>
      </c>
      <c r="C4122" t="str">
        <f>IFERROR(__xludf.DUMMYFUNCTION("""COMPUTED_VALUE"""),"費用 - Salary 薪資")</f>
        <v>費用 - Salary 薪資</v>
      </c>
      <c r="D4122" s="270">
        <f>IFERROR(__xludf.DUMMYFUNCTION("""COMPUTED_VALUE"""),-30015.0)</f>
        <v>-30015</v>
      </c>
      <c r="E4122" t="str">
        <f>IFERROR(__xludf.DUMMYFUNCTION("""COMPUTED_VALUE"""),"玉山帳戶")</f>
        <v>玉山帳戶</v>
      </c>
      <c r="F4122" t="str">
        <f>IFERROR(__xludf.DUMMYFUNCTION("""COMPUTED_VALUE"""),"中信銀行共用")</f>
        <v>中信銀行共用</v>
      </c>
      <c r="H4122" s="106" t="str">
        <f t="shared" si="1"/>
        <v>2024-04</v>
      </c>
      <c r="I4122" s="271" t="str">
        <f>IFERROR(__xludf.DUMMYFUNCTION("""COMPUTED_VALUE"""),"鯰魚大大")</f>
        <v>鯰魚大大</v>
      </c>
      <c r="J4122" t="str">
        <f>IFERROR(__xludf.DUMMYFUNCTION("IFS(
  AND(REGEXMATCH(E4122, ""台銀籌備帳戶|玉山帳戶""), REGEXMATCH(C4122, ""薪資"")), ""分潤支出"",
  AND(REGEXMATCH(E4122, ""Ben帳戶|Elsa帳戶|Ben代墊|Ariel代墊|中信銀行共用""), REGEXMATCH(F4122, ""Ben帳戶|Elsa帳戶|Ben代墊|Ariel代墊|中信銀行共用"")), ""內部轉帳(忽略)"",
  AND(E4122&lt;&gt;"""", F4122&lt;&gt;"""", N"&amp;"OT(REGEXMATCH(C4122, ""薪資""))), ""內部轉帳(忽略)"",
  REGEXMATCH(C4122, ""薪資""), ""薪資變動(不計入)"",
  REGEXMATCH(C4122, ""押金""), ""押金往來"",
  AND(E4122&lt;&gt;"""", F4122=""""), ""真實支出"",
  AND(E4122="""", F4122&lt;&gt;""""), ""真實收入"",
  TRUE, ""其他""
)"),"分潤支出")</f>
        <v>分潤支出</v>
      </c>
      <c r="K4122">
        <f t="shared" si="2"/>
        <v>0</v>
      </c>
      <c r="L4122">
        <f t="shared" si="3"/>
        <v>30015</v>
      </c>
    </row>
    <row r="4123">
      <c r="A4123" s="107">
        <f>IFERROR(__xludf.DUMMYFUNCTION("""COMPUTED_VALUE"""),45383.0)</f>
        <v>45383</v>
      </c>
      <c r="B4123" t="str">
        <f>IFERROR(__xludf.DUMMYFUNCTION("""COMPUTED_VALUE"""),"內湖秘境G徐若洹")</f>
        <v>內湖秘境G徐若洹</v>
      </c>
      <c r="C4123" t="str">
        <f>IFERROR(__xludf.DUMMYFUNCTION("""COMPUTED_VALUE"""),"收入 - 租金")</f>
        <v>收入 - 租金</v>
      </c>
      <c r="D4123" s="270">
        <f>IFERROR(__xludf.DUMMYFUNCTION("""COMPUTED_VALUE"""),12600.0)</f>
        <v>12600</v>
      </c>
      <c r="F4123" t="str">
        <f>IFERROR(__xludf.DUMMYFUNCTION("""COMPUTED_VALUE"""),"玉山帳戶")</f>
        <v>玉山帳戶</v>
      </c>
      <c r="G4123" t="str">
        <f>IFERROR(__xludf.DUMMYFUNCTION("""COMPUTED_VALUE"""),"內湖秘境")</f>
        <v>內湖秘境</v>
      </c>
      <c r="H4123" s="106" t="str">
        <f t="shared" si="1"/>
        <v>2024-04</v>
      </c>
      <c r="I4123" s="271" t="str">
        <f>IFERROR(__xludf.DUMMYFUNCTION("""COMPUTED_VALUE"""),"鯰魚大大")</f>
        <v>鯰魚大大</v>
      </c>
      <c r="J4123" t="str">
        <f>IFERROR(__xludf.DUMMYFUNCTION("IFS(
  AND(REGEXMATCH(E4123, ""台銀籌備帳戶|玉山帳戶""), REGEXMATCH(C4123, ""薪資"")), ""分潤支出"",
  AND(REGEXMATCH(E4123, ""Ben帳戶|Elsa帳戶|Ben代墊|Ariel代墊|中信銀行共用""), REGEXMATCH(F4123, ""Ben帳戶|Elsa帳戶|Ben代墊|Ariel代墊|中信銀行共用"")), ""內部轉帳(忽略)"",
  AND(E4123&lt;&gt;"""", F4123&lt;&gt;"""", N"&amp;"OT(REGEXMATCH(C4123, ""薪資""))), ""內部轉帳(忽略)"",
  REGEXMATCH(C4123, ""薪資""), ""薪資變動(不計入)"",
  REGEXMATCH(C4123, ""押金""), ""押金往來"",
  AND(E4123&lt;&gt;"""", F4123=""""), ""真實支出"",
  AND(E4123="""", F4123&lt;&gt;""""), ""真實收入"",
  TRUE, ""其他""
)"),"真實收入")</f>
        <v>真實收入</v>
      </c>
      <c r="K4123" s="270">
        <f t="shared" si="2"/>
        <v>12600</v>
      </c>
      <c r="L4123">
        <f t="shared" si="3"/>
        <v>0</v>
      </c>
    </row>
    <row r="4124">
      <c r="A4124" s="107">
        <f>IFERROR(__xludf.DUMMYFUNCTION("""COMPUTED_VALUE"""),45383.0)</f>
        <v>45383</v>
      </c>
      <c r="B4124" t="str">
        <f>IFERROR(__xludf.DUMMYFUNCTION("""COMPUTED_VALUE"""),"內湖秘境C黃詩穎")</f>
        <v>內湖秘境C黃詩穎</v>
      </c>
      <c r="C4124" t="str">
        <f>IFERROR(__xludf.DUMMYFUNCTION("""COMPUTED_VALUE"""),"收入 - 租金")</f>
        <v>收入 - 租金</v>
      </c>
      <c r="D4124" s="270">
        <f>IFERROR(__xludf.DUMMYFUNCTION("""COMPUTED_VALUE"""),14800.0)</f>
        <v>14800</v>
      </c>
      <c r="F4124" t="str">
        <f>IFERROR(__xludf.DUMMYFUNCTION("""COMPUTED_VALUE"""),"玉山帳戶")</f>
        <v>玉山帳戶</v>
      </c>
      <c r="G4124" t="str">
        <f>IFERROR(__xludf.DUMMYFUNCTION("""COMPUTED_VALUE"""),"內湖秘境")</f>
        <v>內湖秘境</v>
      </c>
      <c r="H4124" s="106" t="str">
        <f t="shared" si="1"/>
        <v>2024-04</v>
      </c>
      <c r="I4124" s="271" t="str">
        <f>IFERROR(__xludf.DUMMYFUNCTION("""COMPUTED_VALUE"""),"鯰魚大大")</f>
        <v>鯰魚大大</v>
      </c>
      <c r="J4124" t="str">
        <f>IFERROR(__xludf.DUMMYFUNCTION("IFS(
  AND(REGEXMATCH(E4124, ""台銀籌備帳戶|玉山帳戶""), REGEXMATCH(C4124, ""薪資"")), ""分潤支出"",
  AND(REGEXMATCH(E4124, ""Ben帳戶|Elsa帳戶|Ben代墊|Ariel代墊|中信銀行共用""), REGEXMATCH(F4124, ""Ben帳戶|Elsa帳戶|Ben代墊|Ariel代墊|中信銀行共用"")), ""內部轉帳(忽略)"",
  AND(E4124&lt;&gt;"""", F4124&lt;&gt;"""", N"&amp;"OT(REGEXMATCH(C4124, ""薪資""))), ""內部轉帳(忽略)"",
  REGEXMATCH(C4124, ""薪資""), ""薪資變動(不計入)"",
  REGEXMATCH(C4124, ""押金""), ""押金往來"",
  AND(E4124&lt;&gt;"""", F4124=""""), ""真實支出"",
  AND(E4124="""", F4124&lt;&gt;""""), ""真實收入"",
  TRUE, ""其他""
)"),"真實收入")</f>
        <v>真實收入</v>
      </c>
      <c r="K4124" s="270">
        <f t="shared" si="2"/>
        <v>14800</v>
      </c>
      <c r="L4124">
        <f t="shared" si="3"/>
        <v>0</v>
      </c>
    </row>
    <row r="4125">
      <c r="A4125" s="107">
        <f>IFERROR(__xludf.DUMMYFUNCTION("""COMPUTED_VALUE"""),45383.0)</f>
        <v>45383</v>
      </c>
      <c r="B4125" t="str">
        <f>IFERROR(__xludf.DUMMYFUNCTION("""COMPUTED_VALUE"""),"內湖秘境B李方羽")</f>
        <v>內湖秘境B李方羽</v>
      </c>
      <c r="C4125" t="str">
        <f>IFERROR(__xludf.DUMMYFUNCTION("""COMPUTED_VALUE"""),"收入 - 租金")</f>
        <v>收入 - 租金</v>
      </c>
      <c r="D4125" s="270">
        <f>IFERROR(__xludf.DUMMYFUNCTION("""COMPUTED_VALUE"""),12800.0)</f>
        <v>12800</v>
      </c>
      <c r="F4125" t="str">
        <f>IFERROR(__xludf.DUMMYFUNCTION("""COMPUTED_VALUE"""),"玉山帳戶")</f>
        <v>玉山帳戶</v>
      </c>
      <c r="G4125" t="str">
        <f>IFERROR(__xludf.DUMMYFUNCTION("""COMPUTED_VALUE"""),"內湖秘境")</f>
        <v>內湖秘境</v>
      </c>
      <c r="H4125" s="106" t="str">
        <f t="shared" si="1"/>
        <v>2024-04</v>
      </c>
      <c r="I4125" s="271" t="str">
        <f>IFERROR(__xludf.DUMMYFUNCTION("""COMPUTED_VALUE"""),"鯰魚大大")</f>
        <v>鯰魚大大</v>
      </c>
      <c r="J4125" t="str">
        <f>IFERROR(__xludf.DUMMYFUNCTION("IFS(
  AND(REGEXMATCH(E4125, ""台銀籌備帳戶|玉山帳戶""), REGEXMATCH(C4125, ""薪資"")), ""分潤支出"",
  AND(REGEXMATCH(E4125, ""Ben帳戶|Elsa帳戶|Ben代墊|Ariel代墊|中信銀行共用""), REGEXMATCH(F4125, ""Ben帳戶|Elsa帳戶|Ben代墊|Ariel代墊|中信銀行共用"")), ""內部轉帳(忽略)"",
  AND(E4125&lt;&gt;"""", F4125&lt;&gt;"""", N"&amp;"OT(REGEXMATCH(C4125, ""薪資""))), ""內部轉帳(忽略)"",
  REGEXMATCH(C4125, ""薪資""), ""薪資變動(不計入)"",
  REGEXMATCH(C4125, ""押金""), ""押金往來"",
  AND(E4125&lt;&gt;"""", F4125=""""), ""真實支出"",
  AND(E4125="""", F4125&lt;&gt;""""), ""真實收入"",
  TRUE, ""其他""
)"),"真實收入")</f>
        <v>真實收入</v>
      </c>
      <c r="K4125" s="270">
        <f t="shared" si="2"/>
        <v>12800</v>
      </c>
      <c r="L4125">
        <f t="shared" si="3"/>
        <v>0</v>
      </c>
    </row>
    <row r="4126">
      <c r="A4126" s="107">
        <f>IFERROR(__xludf.DUMMYFUNCTION("""COMPUTED_VALUE"""),45383.0)</f>
        <v>45383</v>
      </c>
      <c r="B4126" t="str">
        <f>IFERROR(__xludf.DUMMYFUNCTION("""COMPUTED_VALUE"""),"內湖秘境A陳玟涵")</f>
        <v>內湖秘境A陳玟涵</v>
      </c>
      <c r="C4126" t="str">
        <f>IFERROR(__xludf.DUMMYFUNCTION("""COMPUTED_VALUE"""),"收入 - 租金")</f>
        <v>收入 - 租金</v>
      </c>
      <c r="D4126" s="270">
        <f>IFERROR(__xludf.DUMMYFUNCTION("""COMPUTED_VALUE"""),12000.0)</f>
        <v>12000</v>
      </c>
      <c r="F4126" t="str">
        <f>IFERROR(__xludf.DUMMYFUNCTION("""COMPUTED_VALUE"""),"玉山帳戶")</f>
        <v>玉山帳戶</v>
      </c>
      <c r="G4126" t="str">
        <f>IFERROR(__xludf.DUMMYFUNCTION("""COMPUTED_VALUE"""),"內湖秘境")</f>
        <v>內湖秘境</v>
      </c>
      <c r="H4126" s="106" t="str">
        <f t="shared" si="1"/>
        <v>2024-04</v>
      </c>
      <c r="I4126" s="271" t="str">
        <f>IFERROR(__xludf.DUMMYFUNCTION("""COMPUTED_VALUE"""),"鯰魚大大")</f>
        <v>鯰魚大大</v>
      </c>
      <c r="J4126" t="str">
        <f>IFERROR(__xludf.DUMMYFUNCTION("IFS(
  AND(REGEXMATCH(E4126, ""台銀籌備帳戶|玉山帳戶""), REGEXMATCH(C4126, ""薪資"")), ""分潤支出"",
  AND(REGEXMATCH(E4126, ""Ben帳戶|Elsa帳戶|Ben代墊|Ariel代墊|中信銀行共用""), REGEXMATCH(F4126, ""Ben帳戶|Elsa帳戶|Ben代墊|Ariel代墊|中信銀行共用"")), ""內部轉帳(忽略)"",
  AND(E4126&lt;&gt;"""", F4126&lt;&gt;"""", N"&amp;"OT(REGEXMATCH(C4126, ""薪資""))), ""內部轉帳(忽略)"",
  REGEXMATCH(C4126, ""薪資""), ""薪資變動(不計入)"",
  REGEXMATCH(C4126, ""押金""), ""押金往來"",
  AND(E4126&lt;&gt;"""", F4126=""""), ""真實支出"",
  AND(E4126="""", F4126&lt;&gt;""""), ""真實收入"",
  TRUE, ""其他""
)"),"真實收入")</f>
        <v>真實收入</v>
      </c>
      <c r="K4126" s="270">
        <f t="shared" si="2"/>
        <v>12000</v>
      </c>
      <c r="L4126">
        <f t="shared" si="3"/>
        <v>0</v>
      </c>
    </row>
    <row r="4127">
      <c r="A4127" s="107">
        <f>IFERROR(__xludf.DUMMYFUNCTION("""COMPUTED_VALUE"""),45384.0)</f>
        <v>45384</v>
      </c>
      <c r="B4127" t="str">
        <f>IFERROR(__xludf.DUMMYFUNCTION("""COMPUTED_VALUE"""),"內湖秘境F陳俊宇")</f>
        <v>內湖秘境F陳俊宇</v>
      </c>
      <c r="C4127" t="str">
        <f>IFERROR(__xludf.DUMMYFUNCTION("""COMPUTED_VALUE"""),"收入 - 租金")</f>
        <v>收入 - 租金</v>
      </c>
      <c r="D4127" s="270">
        <f>IFERROR(__xludf.DUMMYFUNCTION("""COMPUTED_VALUE"""),12300.0)</f>
        <v>12300</v>
      </c>
      <c r="F4127" t="str">
        <f>IFERROR(__xludf.DUMMYFUNCTION("""COMPUTED_VALUE"""),"玉山帳戶")</f>
        <v>玉山帳戶</v>
      </c>
      <c r="G4127" t="str">
        <f>IFERROR(__xludf.DUMMYFUNCTION("""COMPUTED_VALUE"""),"內湖秘境")</f>
        <v>內湖秘境</v>
      </c>
      <c r="H4127" s="106" t="str">
        <f t="shared" si="1"/>
        <v>2024-04</v>
      </c>
      <c r="I4127" s="271" t="str">
        <f>IFERROR(__xludf.DUMMYFUNCTION("""COMPUTED_VALUE"""),"鯰魚大大")</f>
        <v>鯰魚大大</v>
      </c>
      <c r="J4127" t="str">
        <f>IFERROR(__xludf.DUMMYFUNCTION("IFS(
  AND(REGEXMATCH(E4127, ""台銀籌備帳戶|玉山帳戶""), REGEXMATCH(C4127, ""薪資"")), ""分潤支出"",
  AND(REGEXMATCH(E4127, ""Ben帳戶|Elsa帳戶|Ben代墊|Ariel代墊|中信銀行共用""), REGEXMATCH(F4127, ""Ben帳戶|Elsa帳戶|Ben代墊|Ariel代墊|中信銀行共用"")), ""內部轉帳(忽略)"",
  AND(E4127&lt;&gt;"""", F4127&lt;&gt;"""", N"&amp;"OT(REGEXMATCH(C4127, ""薪資""))), ""內部轉帳(忽略)"",
  REGEXMATCH(C4127, ""薪資""), ""薪資變動(不計入)"",
  REGEXMATCH(C4127, ""押金""), ""押金往來"",
  AND(E4127&lt;&gt;"""", F4127=""""), ""真實支出"",
  AND(E4127="""", F4127&lt;&gt;""""), ""真實收入"",
  TRUE, ""其他""
)"),"真實收入")</f>
        <v>真實收入</v>
      </c>
      <c r="K4127" s="270">
        <f t="shared" si="2"/>
        <v>12300</v>
      </c>
      <c r="L4127">
        <f t="shared" si="3"/>
        <v>0</v>
      </c>
    </row>
    <row r="4128">
      <c r="A4128" s="107">
        <f>IFERROR(__xludf.DUMMYFUNCTION("""COMPUTED_VALUE"""),45412.0)</f>
        <v>45412</v>
      </c>
      <c r="B4128" t="str">
        <f>IFERROR(__xludf.DUMMYFUNCTION("""COMPUTED_VALUE"""),"內湖秘境C黃詩穎")</f>
        <v>內湖秘境C黃詩穎</v>
      </c>
      <c r="C4128" t="str">
        <f>IFERROR(__xludf.DUMMYFUNCTION("""COMPUTED_VALUE"""),"收入 - 租金")</f>
        <v>收入 - 租金</v>
      </c>
      <c r="D4128" s="270">
        <f>IFERROR(__xludf.DUMMYFUNCTION("""COMPUTED_VALUE"""),14800.0)</f>
        <v>14800</v>
      </c>
      <c r="F4128" t="str">
        <f>IFERROR(__xludf.DUMMYFUNCTION("""COMPUTED_VALUE"""),"玉山帳戶")</f>
        <v>玉山帳戶</v>
      </c>
      <c r="G4128" t="str">
        <f>IFERROR(__xludf.DUMMYFUNCTION("""COMPUTED_VALUE"""),"內湖秘境")</f>
        <v>內湖秘境</v>
      </c>
      <c r="H4128" s="106" t="str">
        <f t="shared" si="1"/>
        <v>2024-04</v>
      </c>
      <c r="I4128" s="271" t="str">
        <f>IFERROR(__xludf.DUMMYFUNCTION("""COMPUTED_VALUE"""),"鯰魚大大")</f>
        <v>鯰魚大大</v>
      </c>
      <c r="J4128" t="str">
        <f>IFERROR(__xludf.DUMMYFUNCTION("IFS(
  AND(REGEXMATCH(E4128, ""台銀籌備帳戶|玉山帳戶""), REGEXMATCH(C4128, ""薪資"")), ""分潤支出"",
  AND(REGEXMATCH(E4128, ""Ben帳戶|Elsa帳戶|Ben代墊|Ariel代墊|中信銀行共用""), REGEXMATCH(F4128, ""Ben帳戶|Elsa帳戶|Ben代墊|Ariel代墊|中信銀行共用"")), ""內部轉帳(忽略)"",
  AND(E4128&lt;&gt;"""", F4128&lt;&gt;"""", N"&amp;"OT(REGEXMATCH(C4128, ""薪資""))), ""內部轉帳(忽略)"",
  REGEXMATCH(C4128, ""薪資""), ""薪資變動(不計入)"",
  REGEXMATCH(C4128, ""押金""), ""押金往來"",
  AND(E4128&lt;&gt;"""", F4128=""""), ""真實支出"",
  AND(E4128="""", F4128&lt;&gt;""""), ""真實收入"",
  TRUE, ""其他""
)"),"真實收入")</f>
        <v>真實收入</v>
      </c>
      <c r="K4128" s="270">
        <f t="shared" si="2"/>
        <v>14800</v>
      </c>
      <c r="L4128">
        <f t="shared" si="3"/>
        <v>0</v>
      </c>
    </row>
    <row r="4129">
      <c r="A4129" s="107">
        <f>IFERROR(__xludf.DUMMYFUNCTION("""COMPUTED_VALUE"""),45412.0)</f>
        <v>45412</v>
      </c>
      <c r="B4129" t="str">
        <f>IFERROR(__xludf.DUMMYFUNCTION("""COMPUTED_VALUE"""),"士林和豐A巫思予")</f>
        <v>士林和豐A巫思予</v>
      </c>
      <c r="C4129" t="str">
        <f>IFERROR(__xludf.DUMMYFUNCTION("""COMPUTED_VALUE"""),"收入 - 租金")</f>
        <v>收入 - 租金</v>
      </c>
      <c r="D4129" s="270">
        <f>IFERROR(__xludf.DUMMYFUNCTION("""COMPUTED_VALUE"""),15800.0)</f>
        <v>15800</v>
      </c>
      <c r="F4129" t="str">
        <f>IFERROR(__xludf.DUMMYFUNCTION("""COMPUTED_VALUE"""),"玉山帳戶")</f>
        <v>玉山帳戶</v>
      </c>
      <c r="G4129" t="str">
        <f>IFERROR(__xludf.DUMMYFUNCTION("""COMPUTED_VALUE"""),"士林和豐")</f>
        <v>士林和豐</v>
      </c>
      <c r="H4129" s="106" t="str">
        <f t="shared" si="1"/>
        <v>2024-04</v>
      </c>
      <c r="I4129" s="271" t="str">
        <f>IFERROR(__xludf.DUMMYFUNCTION("""COMPUTED_VALUE"""),"鯰魚大大")</f>
        <v>鯰魚大大</v>
      </c>
      <c r="J4129" t="str">
        <f>IFERROR(__xludf.DUMMYFUNCTION("IFS(
  AND(REGEXMATCH(E4129, ""台銀籌備帳戶|玉山帳戶""), REGEXMATCH(C4129, ""薪資"")), ""分潤支出"",
  AND(REGEXMATCH(E4129, ""Ben帳戶|Elsa帳戶|Ben代墊|Ariel代墊|中信銀行共用""), REGEXMATCH(F4129, ""Ben帳戶|Elsa帳戶|Ben代墊|Ariel代墊|中信銀行共用"")), ""內部轉帳(忽略)"",
  AND(E4129&lt;&gt;"""", F4129&lt;&gt;"""", N"&amp;"OT(REGEXMATCH(C4129, ""薪資""))), ""內部轉帳(忽略)"",
  REGEXMATCH(C4129, ""薪資""), ""薪資變動(不計入)"",
  REGEXMATCH(C4129, ""押金""), ""押金往來"",
  AND(E4129&lt;&gt;"""", F4129=""""), ""真實支出"",
  AND(E4129="""", F4129&lt;&gt;""""), ""真實收入"",
  TRUE, ""其他""
)"),"真實收入")</f>
        <v>真實收入</v>
      </c>
      <c r="K4129" s="270">
        <f t="shared" si="2"/>
        <v>15800</v>
      </c>
      <c r="L4129">
        <f t="shared" si="3"/>
        <v>0</v>
      </c>
    </row>
    <row r="4130">
      <c r="A4130" s="107">
        <f>IFERROR(__xludf.DUMMYFUNCTION("""COMPUTED_VALUE"""),45414.0)</f>
        <v>45414</v>
      </c>
      <c r="B4130" t="str">
        <f>IFERROR(__xludf.DUMMYFUNCTION("""COMPUTED_VALUE"""),"內湖秘境G徐若洹")</f>
        <v>內湖秘境G徐若洹</v>
      </c>
      <c r="C4130" t="str">
        <f>IFERROR(__xludf.DUMMYFUNCTION("""COMPUTED_VALUE"""),"收入 - 租金")</f>
        <v>收入 - 租金</v>
      </c>
      <c r="D4130" s="270">
        <f>IFERROR(__xludf.DUMMYFUNCTION("""COMPUTED_VALUE"""),12600.0)</f>
        <v>12600</v>
      </c>
      <c r="F4130" t="str">
        <f>IFERROR(__xludf.DUMMYFUNCTION("""COMPUTED_VALUE"""),"玉山帳戶")</f>
        <v>玉山帳戶</v>
      </c>
      <c r="G4130" t="str">
        <f>IFERROR(__xludf.DUMMYFUNCTION("""COMPUTED_VALUE"""),"內湖秘境")</f>
        <v>內湖秘境</v>
      </c>
      <c r="H4130" s="106" t="str">
        <f t="shared" si="1"/>
        <v>2024-05</v>
      </c>
      <c r="I4130" s="271" t="str">
        <f>IFERROR(__xludf.DUMMYFUNCTION("""COMPUTED_VALUE"""),"鯰魚大大")</f>
        <v>鯰魚大大</v>
      </c>
      <c r="J4130" t="str">
        <f>IFERROR(__xludf.DUMMYFUNCTION("IFS(
  AND(REGEXMATCH(E4130, ""台銀籌備帳戶|玉山帳戶""), REGEXMATCH(C4130, ""薪資"")), ""分潤支出"",
  AND(REGEXMATCH(E4130, ""Ben帳戶|Elsa帳戶|Ben代墊|Ariel代墊|中信銀行共用""), REGEXMATCH(F4130, ""Ben帳戶|Elsa帳戶|Ben代墊|Ariel代墊|中信銀行共用"")), ""內部轉帳(忽略)"",
  AND(E4130&lt;&gt;"""", F4130&lt;&gt;"""", N"&amp;"OT(REGEXMATCH(C4130, ""薪資""))), ""內部轉帳(忽略)"",
  REGEXMATCH(C4130, ""薪資""), ""薪資變動(不計入)"",
  REGEXMATCH(C4130, ""押金""), ""押金往來"",
  AND(E4130&lt;&gt;"""", F4130=""""), ""真實支出"",
  AND(E4130="""", F4130&lt;&gt;""""), ""真實收入"",
  TRUE, ""其他""
)"),"真實收入")</f>
        <v>真實收入</v>
      </c>
      <c r="K4130" s="270">
        <f t="shared" si="2"/>
        <v>12600</v>
      </c>
      <c r="L4130">
        <f t="shared" si="3"/>
        <v>0</v>
      </c>
    </row>
    <row r="4131">
      <c r="A4131" s="107">
        <f>IFERROR(__xludf.DUMMYFUNCTION("""COMPUTED_VALUE"""),45414.0)</f>
        <v>45414</v>
      </c>
      <c r="B4131" t="str">
        <f>IFERROR(__xludf.DUMMYFUNCTION("""COMPUTED_VALUE"""),"內湖秘境B李方羽")</f>
        <v>內湖秘境B李方羽</v>
      </c>
      <c r="C4131" t="str">
        <f>IFERROR(__xludf.DUMMYFUNCTION("""COMPUTED_VALUE"""),"收入 - 租金")</f>
        <v>收入 - 租金</v>
      </c>
      <c r="D4131" s="270">
        <f>IFERROR(__xludf.DUMMYFUNCTION("""COMPUTED_VALUE"""),12800.0)</f>
        <v>12800</v>
      </c>
      <c r="F4131" t="str">
        <f>IFERROR(__xludf.DUMMYFUNCTION("""COMPUTED_VALUE"""),"玉山帳戶")</f>
        <v>玉山帳戶</v>
      </c>
      <c r="G4131" t="str">
        <f>IFERROR(__xludf.DUMMYFUNCTION("""COMPUTED_VALUE"""),"內湖秘境")</f>
        <v>內湖秘境</v>
      </c>
      <c r="H4131" s="106" t="str">
        <f t="shared" si="1"/>
        <v>2024-05</v>
      </c>
      <c r="I4131" s="271" t="str">
        <f>IFERROR(__xludf.DUMMYFUNCTION("""COMPUTED_VALUE"""),"鯰魚大大")</f>
        <v>鯰魚大大</v>
      </c>
      <c r="J4131" t="str">
        <f>IFERROR(__xludf.DUMMYFUNCTION("IFS(
  AND(REGEXMATCH(E4131, ""台銀籌備帳戶|玉山帳戶""), REGEXMATCH(C4131, ""薪資"")), ""分潤支出"",
  AND(REGEXMATCH(E4131, ""Ben帳戶|Elsa帳戶|Ben代墊|Ariel代墊|中信銀行共用""), REGEXMATCH(F4131, ""Ben帳戶|Elsa帳戶|Ben代墊|Ariel代墊|中信銀行共用"")), ""內部轉帳(忽略)"",
  AND(E4131&lt;&gt;"""", F4131&lt;&gt;"""", N"&amp;"OT(REGEXMATCH(C4131, ""薪資""))), ""內部轉帳(忽略)"",
  REGEXMATCH(C4131, ""薪資""), ""薪資變動(不計入)"",
  REGEXMATCH(C4131, ""押金""), ""押金往來"",
  AND(E4131&lt;&gt;"""", F4131=""""), ""真實支出"",
  AND(E4131="""", F4131&lt;&gt;""""), ""真實收入"",
  TRUE, ""其他""
)"),"真實收入")</f>
        <v>真實收入</v>
      </c>
      <c r="K4131" s="270">
        <f t="shared" si="2"/>
        <v>12800</v>
      </c>
      <c r="L4131">
        <f t="shared" si="3"/>
        <v>0</v>
      </c>
    </row>
    <row r="4132">
      <c r="A4132" s="107">
        <f>IFERROR(__xludf.DUMMYFUNCTION("""COMPUTED_VALUE"""),45414.0)</f>
        <v>45414</v>
      </c>
      <c r="B4132" t="str">
        <f>IFERROR(__xludf.DUMMYFUNCTION("""COMPUTED_VALUE"""),"內湖秘境A陳玟涵")</f>
        <v>內湖秘境A陳玟涵</v>
      </c>
      <c r="C4132" t="str">
        <f>IFERROR(__xludf.DUMMYFUNCTION("""COMPUTED_VALUE"""),"收入 - 租金")</f>
        <v>收入 - 租金</v>
      </c>
      <c r="D4132" s="270">
        <f>IFERROR(__xludf.DUMMYFUNCTION("""COMPUTED_VALUE"""),12000.0)</f>
        <v>12000</v>
      </c>
      <c r="F4132" t="str">
        <f>IFERROR(__xludf.DUMMYFUNCTION("""COMPUTED_VALUE"""),"玉山帳戶")</f>
        <v>玉山帳戶</v>
      </c>
      <c r="G4132" t="str">
        <f>IFERROR(__xludf.DUMMYFUNCTION("""COMPUTED_VALUE"""),"內湖秘境")</f>
        <v>內湖秘境</v>
      </c>
      <c r="H4132" s="106" t="str">
        <f t="shared" si="1"/>
        <v>2024-05</v>
      </c>
      <c r="I4132" s="271" t="str">
        <f>IFERROR(__xludf.DUMMYFUNCTION("""COMPUTED_VALUE"""),"鯰魚大大")</f>
        <v>鯰魚大大</v>
      </c>
      <c r="J4132" t="str">
        <f>IFERROR(__xludf.DUMMYFUNCTION("IFS(
  AND(REGEXMATCH(E4132, ""台銀籌備帳戶|玉山帳戶""), REGEXMATCH(C4132, ""薪資"")), ""分潤支出"",
  AND(REGEXMATCH(E4132, ""Ben帳戶|Elsa帳戶|Ben代墊|Ariel代墊|中信銀行共用""), REGEXMATCH(F4132, ""Ben帳戶|Elsa帳戶|Ben代墊|Ariel代墊|中信銀行共用"")), ""內部轉帳(忽略)"",
  AND(E4132&lt;&gt;"""", F4132&lt;&gt;"""", N"&amp;"OT(REGEXMATCH(C4132, ""薪資""))), ""內部轉帳(忽略)"",
  REGEXMATCH(C4132, ""薪資""), ""薪資變動(不計入)"",
  REGEXMATCH(C4132, ""押金""), ""押金往來"",
  AND(E4132&lt;&gt;"""", F4132=""""), ""真實支出"",
  AND(E4132="""", F4132&lt;&gt;""""), ""真實收入"",
  TRUE, ""其他""
)"),"真實收入")</f>
        <v>真實收入</v>
      </c>
      <c r="K4132" s="270">
        <f t="shared" si="2"/>
        <v>12000</v>
      </c>
      <c r="L4132">
        <f t="shared" si="3"/>
        <v>0</v>
      </c>
    </row>
    <row r="4133">
      <c r="A4133" s="107">
        <f>IFERROR(__xludf.DUMMYFUNCTION("""COMPUTED_VALUE"""),45414.0)</f>
        <v>45414</v>
      </c>
      <c r="B4133" t="str">
        <f>IFERROR(__xludf.DUMMYFUNCTION("""COMPUTED_VALUE"""),"內湖")</f>
        <v>內湖</v>
      </c>
      <c r="C4133" t="str">
        <f>IFERROR(__xludf.DUMMYFUNCTION("""COMPUTED_VALUE"""),"費用 - Salary 薪資")</f>
        <v>費用 - Salary 薪資</v>
      </c>
      <c r="D4133" s="270">
        <f>IFERROR(__xludf.DUMMYFUNCTION("""COMPUTED_VALUE"""),-20000.0)</f>
        <v>-20000</v>
      </c>
      <c r="E4133" t="str">
        <f>IFERROR(__xludf.DUMMYFUNCTION("""COMPUTED_VALUE"""),"玉山帳戶")</f>
        <v>玉山帳戶</v>
      </c>
      <c r="F4133" t="str">
        <f>IFERROR(__xludf.DUMMYFUNCTION("""COMPUTED_VALUE"""),"Ariel代墊")</f>
        <v>Ariel代墊</v>
      </c>
      <c r="H4133" s="106" t="str">
        <f t="shared" si="1"/>
        <v>2024-05</v>
      </c>
      <c r="I4133" s="271" t="str">
        <f>IFERROR(__xludf.DUMMYFUNCTION("""COMPUTED_VALUE"""),"鯰魚大大")</f>
        <v>鯰魚大大</v>
      </c>
      <c r="J4133" t="str">
        <f>IFERROR(__xludf.DUMMYFUNCTION("IFS(
  AND(REGEXMATCH(E4133, ""台銀籌備帳戶|玉山帳戶""), REGEXMATCH(C4133, ""薪資"")), ""分潤支出"",
  AND(REGEXMATCH(E4133, ""Ben帳戶|Elsa帳戶|Ben代墊|Ariel代墊|中信銀行共用""), REGEXMATCH(F4133, ""Ben帳戶|Elsa帳戶|Ben代墊|Ariel代墊|中信銀行共用"")), ""內部轉帳(忽略)"",
  AND(E4133&lt;&gt;"""", F4133&lt;&gt;"""", N"&amp;"OT(REGEXMATCH(C4133, ""薪資""))), ""內部轉帳(忽略)"",
  REGEXMATCH(C4133, ""薪資""), ""薪資變動(不計入)"",
  REGEXMATCH(C4133, ""押金""), ""押金往來"",
  AND(E4133&lt;&gt;"""", F4133=""""), ""真實支出"",
  AND(E4133="""", F4133&lt;&gt;""""), ""真實收入"",
  TRUE, ""其他""
)"),"分潤支出")</f>
        <v>分潤支出</v>
      </c>
      <c r="K4133">
        <f t="shared" si="2"/>
        <v>0</v>
      </c>
      <c r="L4133">
        <f t="shared" si="3"/>
        <v>20000</v>
      </c>
    </row>
    <row r="4134">
      <c r="A4134" s="107">
        <f>IFERROR(__xludf.DUMMYFUNCTION("""COMPUTED_VALUE"""),45414.0)</f>
        <v>45414</v>
      </c>
      <c r="B4134" t="str">
        <f>IFERROR(__xludf.DUMMYFUNCTION("""COMPUTED_VALUE"""),"內湖路一段周姐")</f>
        <v>內湖路一段周姐</v>
      </c>
      <c r="C4134" t="str">
        <f>IFERROR(__xludf.DUMMYFUNCTION("""COMPUTED_VALUE"""),"成本 - 大租金")</f>
        <v>成本 - 大租金</v>
      </c>
      <c r="D4134" s="270">
        <f>IFERROR(__xludf.DUMMYFUNCTION("""COMPUTED_VALUE"""),-45015.0)</f>
        <v>-45015</v>
      </c>
      <c r="E4134" t="str">
        <f>IFERROR(__xludf.DUMMYFUNCTION("""COMPUTED_VALUE"""),"玉山帳戶")</f>
        <v>玉山帳戶</v>
      </c>
      <c r="G4134" t="str">
        <f>IFERROR(__xludf.DUMMYFUNCTION("""COMPUTED_VALUE"""),"內湖秘境")</f>
        <v>內湖秘境</v>
      </c>
      <c r="H4134" s="106" t="str">
        <f t="shared" si="1"/>
        <v>2024-05</v>
      </c>
      <c r="I4134" s="271" t="str">
        <f>IFERROR(__xludf.DUMMYFUNCTION("""COMPUTED_VALUE"""),"鯰魚大大")</f>
        <v>鯰魚大大</v>
      </c>
      <c r="J4134" t="str">
        <f>IFERROR(__xludf.DUMMYFUNCTION("IFS(
  AND(REGEXMATCH(E4134, ""台銀籌備帳戶|玉山帳戶""), REGEXMATCH(C4134, ""薪資"")), ""分潤支出"",
  AND(REGEXMATCH(E4134, ""Ben帳戶|Elsa帳戶|Ben代墊|Ariel代墊|中信銀行共用""), REGEXMATCH(F4134, ""Ben帳戶|Elsa帳戶|Ben代墊|Ariel代墊|中信銀行共用"")), ""內部轉帳(忽略)"",
  AND(E4134&lt;&gt;"""", F4134&lt;&gt;"""", N"&amp;"OT(REGEXMATCH(C4134, ""薪資""))), ""內部轉帳(忽略)"",
  REGEXMATCH(C4134, ""薪資""), ""薪資變動(不計入)"",
  REGEXMATCH(C4134, ""押金""), ""押金往來"",
  AND(E4134&lt;&gt;"""", F4134=""""), ""真實支出"",
  AND(E4134="""", F4134&lt;&gt;""""), ""真實收入"",
  TRUE, ""其他""
)"),"真實支出")</f>
        <v>真實支出</v>
      </c>
      <c r="K4134" s="270">
        <f t="shared" si="2"/>
        <v>-45015</v>
      </c>
      <c r="L4134">
        <f t="shared" si="3"/>
        <v>0</v>
      </c>
    </row>
    <row r="4135">
      <c r="A4135" s="107">
        <f>IFERROR(__xludf.DUMMYFUNCTION("""COMPUTED_VALUE"""),45414.0)</f>
        <v>45414</v>
      </c>
      <c r="B4135" t="str">
        <f>IFERROR(__xludf.DUMMYFUNCTION("""COMPUTED_VALUE"""),"中信銀行")</f>
        <v>中信銀行</v>
      </c>
      <c r="C4135" t="str">
        <f>IFERROR(__xludf.DUMMYFUNCTION("""COMPUTED_VALUE"""),"費用 - Salary 薪資")</f>
        <v>費用 - Salary 薪資</v>
      </c>
      <c r="D4135" s="270">
        <f>IFERROR(__xludf.DUMMYFUNCTION("""COMPUTED_VALUE"""),-30015.0)</f>
        <v>-30015</v>
      </c>
      <c r="E4135" t="str">
        <f>IFERROR(__xludf.DUMMYFUNCTION("""COMPUTED_VALUE"""),"玉山帳戶")</f>
        <v>玉山帳戶</v>
      </c>
      <c r="F4135" t="str">
        <f>IFERROR(__xludf.DUMMYFUNCTION("""COMPUTED_VALUE"""),"中信銀行共用")</f>
        <v>中信銀行共用</v>
      </c>
      <c r="H4135" s="106" t="str">
        <f t="shared" si="1"/>
        <v>2024-05</v>
      </c>
      <c r="I4135" s="271" t="str">
        <f>IFERROR(__xludf.DUMMYFUNCTION("""COMPUTED_VALUE"""),"鯰魚大大")</f>
        <v>鯰魚大大</v>
      </c>
      <c r="J4135" t="str">
        <f>IFERROR(__xludf.DUMMYFUNCTION("IFS(
  AND(REGEXMATCH(E4135, ""台銀籌備帳戶|玉山帳戶""), REGEXMATCH(C4135, ""薪資"")), ""分潤支出"",
  AND(REGEXMATCH(E4135, ""Ben帳戶|Elsa帳戶|Ben代墊|Ariel代墊|中信銀行共用""), REGEXMATCH(F4135, ""Ben帳戶|Elsa帳戶|Ben代墊|Ariel代墊|中信銀行共用"")), ""內部轉帳(忽略)"",
  AND(E4135&lt;&gt;"""", F4135&lt;&gt;"""", N"&amp;"OT(REGEXMATCH(C4135, ""薪資""))), ""內部轉帳(忽略)"",
  REGEXMATCH(C4135, ""薪資""), ""薪資變動(不計入)"",
  REGEXMATCH(C4135, ""押金""), ""押金往來"",
  AND(E4135&lt;&gt;"""", F4135=""""), ""真實支出"",
  AND(E4135="""", F4135&lt;&gt;""""), ""真實收入"",
  TRUE, ""其他""
)"),"分潤支出")</f>
        <v>分潤支出</v>
      </c>
      <c r="K4135">
        <f t="shared" si="2"/>
        <v>0</v>
      </c>
      <c r="L4135">
        <f t="shared" si="3"/>
        <v>30015</v>
      </c>
    </row>
    <row r="4136">
      <c r="A4136" s="107">
        <f>IFERROR(__xludf.DUMMYFUNCTION("""COMPUTED_VALUE"""),45414.0)</f>
        <v>45414</v>
      </c>
      <c r="B4136" t="str">
        <f>IFERROR(__xludf.DUMMYFUNCTION("""COMPUTED_VALUE"""),"內湖秘境F陳俊宇")</f>
        <v>內湖秘境F陳俊宇</v>
      </c>
      <c r="C4136" t="str">
        <f>IFERROR(__xludf.DUMMYFUNCTION("""COMPUTED_VALUE"""),"收入 - 租金")</f>
        <v>收入 - 租金</v>
      </c>
      <c r="D4136" s="270">
        <f>IFERROR(__xludf.DUMMYFUNCTION("""COMPUTED_VALUE"""),12300.0)</f>
        <v>12300</v>
      </c>
      <c r="F4136" t="str">
        <f>IFERROR(__xludf.DUMMYFUNCTION("""COMPUTED_VALUE"""),"玉山帳戶")</f>
        <v>玉山帳戶</v>
      </c>
      <c r="G4136" t="str">
        <f>IFERROR(__xludf.DUMMYFUNCTION("""COMPUTED_VALUE"""),"內湖秘境")</f>
        <v>內湖秘境</v>
      </c>
      <c r="H4136" s="106" t="str">
        <f t="shared" si="1"/>
        <v>2024-05</v>
      </c>
      <c r="I4136" s="271" t="str">
        <f>IFERROR(__xludf.DUMMYFUNCTION("""COMPUTED_VALUE"""),"鯰魚大大")</f>
        <v>鯰魚大大</v>
      </c>
      <c r="J4136" t="str">
        <f>IFERROR(__xludf.DUMMYFUNCTION("IFS(
  AND(REGEXMATCH(E4136, ""台銀籌備帳戶|玉山帳戶""), REGEXMATCH(C4136, ""薪資"")), ""分潤支出"",
  AND(REGEXMATCH(E4136, ""Ben帳戶|Elsa帳戶|Ben代墊|Ariel代墊|中信銀行共用""), REGEXMATCH(F4136, ""Ben帳戶|Elsa帳戶|Ben代墊|Ariel代墊|中信銀行共用"")), ""內部轉帳(忽略)"",
  AND(E4136&lt;&gt;"""", F4136&lt;&gt;"""", N"&amp;"OT(REGEXMATCH(C4136, ""薪資""))), ""內部轉帳(忽略)"",
  REGEXMATCH(C4136, ""薪資""), ""薪資變動(不計入)"",
  REGEXMATCH(C4136, ""押金""), ""押金往來"",
  AND(E4136&lt;&gt;"""", F4136=""""), ""真實支出"",
  AND(E4136="""", F4136&lt;&gt;""""), ""真實收入"",
  TRUE, ""其他""
)"),"真實收入")</f>
        <v>真實收入</v>
      </c>
      <c r="K4136" s="270">
        <f t="shared" si="2"/>
        <v>12300</v>
      </c>
      <c r="L4136">
        <f t="shared" si="3"/>
        <v>0</v>
      </c>
    </row>
    <row r="4137">
      <c r="A4137" s="107">
        <f>IFERROR(__xludf.DUMMYFUNCTION("""COMPUTED_VALUE"""),45414.0)</f>
        <v>45414</v>
      </c>
      <c r="B4137" t="str">
        <f>IFERROR(__xludf.DUMMYFUNCTION("""COMPUTED_VALUE"""),"內湖秘境	D	王敏誠")</f>
        <v>內湖秘境	D	王敏誠</v>
      </c>
      <c r="C4137" t="str">
        <f>IFERROR(__xludf.DUMMYFUNCTION("""COMPUTED_VALUE"""),"收入 - 租金")</f>
        <v>收入 - 租金</v>
      </c>
      <c r="D4137" s="270">
        <f>IFERROR(__xludf.DUMMYFUNCTION("""COMPUTED_VALUE"""),79200.0)</f>
        <v>79200</v>
      </c>
      <c r="F4137" t="str">
        <f>IFERROR(__xludf.DUMMYFUNCTION("""COMPUTED_VALUE"""),"玉山帳戶")</f>
        <v>玉山帳戶</v>
      </c>
      <c r="G4137" t="str">
        <f>IFERROR(__xludf.DUMMYFUNCTION("""COMPUTED_VALUE"""),"內湖秘境")</f>
        <v>內湖秘境</v>
      </c>
      <c r="H4137" s="106" t="str">
        <f t="shared" si="1"/>
        <v>2024-05</v>
      </c>
      <c r="I4137" s="271" t="str">
        <f>IFERROR(__xludf.DUMMYFUNCTION("""COMPUTED_VALUE"""),"鯰魚大大")</f>
        <v>鯰魚大大</v>
      </c>
      <c r="J4137" t="str">
        <f>IFERROR(__xludf.DUMMYFUNCTION("IFS(
  AND(REGEXMATCH(E4137, ""台銀籌備帳戶|玉山帳戶""), REGEXMATCH(C4137, ""薪資"")), ""分潤支出"",
  AND(REGEXMATCH(E4137, ""Ben帳戶|Elsa帳戶|Ben代墊|Ariel代墊|中信銀行共用""), REGEXMATCH(F4137, ""Ben帳戶|Elsa帳戶|Ben代墊|Ariel代墊|中信銀行共用"")), ""內部轉帳(忽略)"",
  AND(E4137&lt;&gt;"""", F4137&lt;&gt;"""", N"&amp;"OT(REGEXMATCH(C4137, ""薪資""))), ""內部轉帳(忽略)"",
  REGEXMATCH(C4137, ""薪資""), ""薪資變動(不計入)"",
  REGEXMATCH(C4137, ""押金""), ""押金往來"",
  AND(E4137&lt;&gt;"""", F4137=""""), ""真實支出"",
  AND(E4137="""", F4137&lt;&gt;""""), ""真實收入"",
  TRUE, ""其他""
)"),"真實收入")</f>
        <v>真實收入</v>
      </c>
      <c r="K4137" s="270">
        <f t="shared" si="2"/>
        <v>79200</v>
      </c>
      <c r="L4137">
        <f t="shared" si="3"/>
        <v>0</v>
      </c>
    </row>
    <row r="4138">
      <c r="A4138" s="107">
        <f>IFERROR(__xludf.DUMMYFUNCTION("""COMPUTED_VALUE"""),45426.0)</f>
        <v>45426</v>
      </c>
      <c r="B4138" t="str">
        <f>IFERROR(__xludf.DUMMYFUNCTION("""COMPUTED_VALUE"""),"內湖網路")</f>
        <v>內湖網路</v>
      </c>
      <c r="C4138" t="str">
        <f>IFERROR(__xludf.DUMMYFUNCTION("""COMPUTED_VALUE"""),"成本 - 固定開銷(網路代收清潔)")</f>
        <v>成本 - 固定開銷(網路代收清潔)</v>
      </c>
      <c r="D4138" s="270">
        <f>IFERROR(__xludf.DUMMYFUNCTION("""COMPUTED_VALUE"""),-2697.0)</f>
        <v>-2697</v>
      </c>
      <c r="E4138" t="str">
        <f>IFERROR(__xludf.DUMMYFUNCTION("""COMPUTED_VALUE"""),"Ben代墊")</f>
        <v>Ben代墊</v>
      </c>
      <c r="G4138" t="str">
        <f>IFERROR(__xludf.DUMMYFUNCTION("""COMPUTED_VALUE"""),"內湖秘境")</f>
        <v>內湖秘境</v>
      </c>
      <c r="H4138" s="106" t="str">
        <f t="shared" si="1"/>
        <v>2024-05</v>
      </c>
      <c r="I4138" s="271" t="str">
        <f>IFERROR(__xludf.DUMMYFUNCTION("""COMPUTED_VALUE"""),"鯰魚大大")</f>
        <v>鯰魚大大</v>
      </c>
      <c r="J4138" t="str">
        <f>IFERROR(__xludf.DUMMYFUNCTION("IFS(
  AND(REGEXMATCH(E4138, ""台銀籌備帳戶|玉山帳戶""), REGEXMATCH(C4138, ""薪資"")), ""分潤支出"",
  AND(REGEXMATCH(E4138, ""Ben帳戶|Elsa帳戶|Ben代墊|Ariel代墊|中信銀行共用""), REGEXMATCH(F4138, ""Ben帳戶|Elsa帳戶|Ben代墊|Ariel代墊|中信銀行共用"")), ""內部轉帳(忽略)"",
  AND(E4138&lt;&gt;"""", F4138&lt;&gt;"""", N"&amp;"OT(REGEXMATCH(C4138, ""薪資""))), ""內部轉帳(忽略)"",
  REGEXMATCH(C4138, ""薪資""), ""薪資變動(不計入)"",
  REGEXMATCH(C4138, ""押金""), ""押金往來"",
  AND(E4138&lt;&gt;"""", F4138=""""), ""真實支出"",
  AND(E4138="""", F4138&lt;&gt;""""), ""真實收入"",
  TRUE, ""其他""
)"),"真實支出")</f>
        <v>真實支出</v>
      </c>
      <c r="K4138" s="270">
        <f t="shared" si="2"/>
        <v>-2697</v>
      </c>
      <c r="L4138">
        <f t="shared" si="3"/>
        <v>0</v>
      </c>
    </row>
    <row r="4139">
      <c r="A4139" s="107">
        <f>IFERROR(__xludf.DUMMYFUNCTION("""COMPUTED_VALUE"""),45440.0)</f>
        <v>45440</v>
      </c>
      <c r="B4139" t="str">
        <f>IFERROR(__xludf.DUMMYFUNCTION("""COMPUTED_VALUE"""),"士林和豐B郭昱慧")</f>
        <v>士林和豐B郭昱慧</v>
      </c>
      <c r="C4139" t="str">
        <f>IFERROR(__xludf.DUMMYFUNCTION("""COMPUTED_VALUE"""),"收入 - 租金")</f>
        <v>收入 - 租金</v>
      </c>
      <c r="D4139" s="270">
        <f>IFERROR(__xludf.DUMMYFUNCTION("""COMPUTED_VALUE"""),10000.0)</f>
        <v>10000</v>
      </c>
      <c r="F4139" t="str">
        <f>IFERROR(__xludf.DUMMYFUNCTION("""COMPUTED_VALUE"""),"玉山帳戶")</f>
        <v>玉山帳戶</v>
      </c>
      <c r="G4139" t="str">
        <f>IFERROR(__xludf.DUMMYFUNCTION("""COMPUTED_VALUE"""),"士林和豐")</f>
        <v>士林和豐</v>
      </c>
      <c r="H4139" s="106" t="str">
        <f t="shared" si="1"/>
        <v>2024-05</v>
      </c>
      <c r="I4139" s="271" t="str">
        <f>IFERROR(__xludf.DUMMYFUNCTION("""COMPUTED_VALUE"""),"鯰魚大大")</f>
        <v>鯰魚大大</v>
      </c>
      <c r="J4139" t="str">
        <f>IFERROR(__xludf.DUMMYFUNCTION("IFS(
  AND(REGEXMATCH(E4139, ""台銀籌備帳戶|玉山帳戶""), REGEXMATCH(C4139, ""薪資"")), ""分潤支出"",
  AND(REGEXMATCH(E4139, ""Ben帳戶|Elsa帳戶|Ben代墊|Ariel代墊|中信銀行共用""), REGEXMATCH(F4139, ""Ben帳戶|Elsa帳戶|Ben代墊|Ariel代墊|中信銀行共用"")), ""內部轉帳(忽略)"",
  AND(E4139&lt;&gt;"""", F4139&lt;&gt;"""", N"&amp;"OT(REGEXMATCH(C4139, ""薪資""))), ""內部轉帳(忽略)"",
  REGEXMATCH(C4139, ""薪資""), ""薪資變動(不計入)"",
  REGEXMATCH(C4139, ""押金""), ""押金往來"",
  AND(E4139&lt;&gt;"""", F4139=""""), ""真實支出"",
  AND(E4139="""", F4139&lt;&gt;""""), ""真實收入"",
  TRUE, ""其他""
)"),"真實收入")</f>
        <v>真實收入</v>
      </c>
      <c r="K4139" s="270">
        <f t="shared" si="2"/>
        <v>10000</v>
      </c>
      <c r="L4139">
        <f t="shared" si="3"/>
        <v>0</v>
      </c>
    </row>
    <row r="4140">
      <c r="A4140" s="107">
        <f>IFERROR(__xludf.DUMMYFUNCTION("""COMPUTED_VALUE"""),45442.0)</f>
        <v>45442</v>
      </c>
      <c r="B4140" t="str">
        <f>IFERROR(__xludf.DUMMYFUNCTION("""COMPUTED_VALUE"""),"士林和豐B郭昱慧")</f>
        <v>士林和豐B郭昱慧</v>
      </c>
      <c r="C4140" t="str">
        <f>IFERROR(__xludf.DUMMYFUNCTION("""COMPUTED_VALUE"""),"收入 - 租金")</f>
        <v>收入 - 租金</v>
      </c>
      <c r="D4140" s="270">
        <f>IFERROR(__xludf.DUMMYFUNCTION("""COMPUTED_VALUE"""),25833.0)</f>
        <v>25833</v>
      </c>
      <c r="F4140" t="str">
        <f>IFERROR(__xludf.DUMMYFUNCTION("""COMPUTED_VALUE"""),"玉山帳戶")</f>
        <v>玉山帳戶</v>
      </c>
      <c r="G4140" t="str">
        <f>IFERROR(__xludf.DUMMYFUNCTION("""COMPUTED_VALUE"""),"士林和豐")</f>
        <v>士林和豐</v>
      </c>
      <c r="H4140" s="106" t="str">
        <f t="shared" si="1"/>
        <v>2024-05</v>
      </c>
      <c r="I4140" s="271" t="str">
        <f>IFERROR(__xludf.DUMMYFUNCTION("""COMPUTED_VALUE"""),"鯰魚大大")</f>
        <v>鯰魚大大</v>
      </c>
      <c r="J4140" t="str">
        <f>IFERROR(__xludf.DUMMYFUNCTION("IFS(
  AND(REGEXMATCH(E4140, ""台銀籌備帳戶|玉山帳戶""), REGEXMATCH(C4140, ""薪資"")), ""分潤支出"",
  AND(REGEXMATCH(E4140, ""Ben帳戶|Elsa帳戶|Ben代墊|Ariel代墊|中信銀行共用""), REGEXMATCH(F4140, ""Ben帳戶|Elsa帳戶|Ben代墊|Ariel代墊|中信銀行共用"")), ""內部轉帳(忽略)"",
  AND(E4140&lt;&gt;"""", F4140&lt;&gt;"""", N"&amp;"OT(REGEXMATCH(C4140, ""薪資""))), ""內部轉帳(忽略)"",
  REGEXMATCH(C4140, ""薪資""), ""薪資變動(不計入)"",
  REGEXMATCH(C4140, ""押金""), ""押金往來"",
  AND(E4140&lt;&gt;"""", F4140=""""), ""真實支出"",
  AND(E4140="""", F4140&lt;&gt;""""), ""真實收入"",
  TRUE, ""其他""
)"),"真實收入")</f>
        <v>真實收入</v>
      </c>
      <c r="K4140" s="270">
        <f t="shared" si="2"/>
        <v>25833</v>
      </c>
      <c r="L4140">
        <f t="shared" si="3"/>
        <v>0</v>
      </c>
    </row>
    <row r="4141">
      <c r="A4141" s="107">
        <f>IFERROR(__xludf.DUMMYFUNCTION("""COMPUTED_VALUE"""),45443.0)</f>
        <v>45443</v>
      </c>
      <c r="B4141" t="str">
        <f>IFERROR(__xludf.DUMMYFUNCTION("""COMPUTED_VALUE"""),"士林和豐A巫思予")</f>
        <v>士林和豐A巫思予</v>
      </c>
      <c r="C4141" t="str">
        <f>IFERROR(__xludf.DUMMYFUNCTION("""COMPUTED_VALUE"""),"收入 - 租金")</f>
        <v>收入 - 租金</v>
      </c>
      <c r="D4141" s="270">
        <f>IFERROR(__xludf.DUMMYFUNCTION("""COMPUTED_VALUE"""),15600.0)</f>
        <v>15600</v>
      </c>
      <c r="F4141" t="str">
        <f>IFERROR(__xludf.DUMMYFUNCTION("""COMPUTED_VALUE"""),"玉山帳戶")</f>
        <v>玉山帳戶</v>
      </c>
      <c r="G4141" t="str">
        <f>IFERROR(__xludf.DUMMYFUNCTION("""COMPUTED_VALUE"""),"士林和豐")</f>
        <v>士林和豐</v>
      </c>
      <c r="H4141" s="106" t="str">
        <f t="shared" si="1"/>
        <v>2024-05</v>
      </c>
      <c r="I4141" s="271" t="str">
        <f>IFERROR(__xludf.DUMMYFUNCTION("""COMPUTED_VALUE"""),"鯰魚大大")</f>
        <v>鯰魚大大</v>
      </c>
      <c r="J4141" t="str">
        <f>IFERROR(__xludf.DUMMYFUNCTION("IFS(
  AND(REGEXMATCH(E4141, ""台銀籌備帳戶|玉山帳戶""), REGEXMATCH(C4141, ""薪資"")), ""分潤支出"",
  AND(REGEXMATCH(E4141, ""Ben帳戶|Elsa帳戶|Ben代墊|Ariel代墊|中信銀行共用""), REGEXMATCH(F4141, ""Ben帳戶|Elsa帳戶|Ben代墊|Ariel代墊|中信銀行共用"")), ""內部轉帳(忽略)"",
  AND(E4141&lt;&gt;"""", F4141&lt;&gt;"""", N"&amp;"OT(REGEXMATCH(C4141, ""薪資""))), ""內部轉帳(忽略)"",
  REGEXMATCH(C4141, ""薪資""), ""薪資變動(不計入)"",
  REGEXMATCH(C4141, ""押金""), ""押金往來"",
  AND(E4141&lt;&gt;"""", F4141=""""), ""真實支出"",
  AND(E4141="""", F4141&lt;&gt;""""), ""真實收入"",
  TRUE, ""其他""
)"),"真實收入")</f>
        <v>真實收入</v>
      </c>
      <c r="K4141" s="270">
        <f t="shared" si="2"/>
        <v>15600</v>
      </c>
      <c r="L4141">
        <f t="shared" si="3"/>
        <v>0</v>
      </c>
    </row>
    <row r="4142">
      <c r="A4142" s="107">
        <f>IFERROR(__xludf.DUMMYFUNCTION("""COMPUTED_VALUE"""),45443.0)</f>
        <v>45443</v>
      </c>
      <c r="B4142" t="str">
        <f>IFERROR(__xludf.DUMMYFUNCTION("""COMPUTED_VALUE"""),"士林和豐C李宛宸")</f>
        <v>士林和豐C李宛宸</v>
      </c>
      <c r="C4142" t="str">
        <f>IFERROR(__xludf.DUMMYFUNCTION("""COMPUTED_VALUE"""),"收入 - 租金")</f>
        <v>收入 - 租金</v>
      </c>
      <c r="D4142" s="270">
        <f>IFERROR(__xludf.DUMMYFUNCTION("""COMPUTED_VALUE"""),10000.0)</f>
        <v>10000</v>
      </c>
      <c r="F4142" t="str">
        <f>IFERROR(__xludf.DUMMYFUNCTION("""COMPUTED_VALUE"""),"玉山帳戶")</f>
        <v>玉山帳戶</v>
      </c>
      <c r="G4142" t="str">
        <f>IFERROR(__xludf.DUMMYFUNCTION("""COMPUTED_VALUE"""),"士林和豐")</f>
        <v>士林和豐</v>
      </c>
      <c r="H4142" s="106" t="str">
        <f t="shared" si="1"/>
        <v>2024-05</v>
      </c>
      <c r="I4142" s="271" t="str">
        <f>IFERROR(__xludf.DUMMYFUNCTION("""COMPUTED_VALUE"""),"鯰魚大大")</f>
        <v>鯰魚大大</v>
      </c>
      <c r="J4142" t="str">
        <f>IFERROR(__xludf.DUMMYFUNCTION("IFS(
  AND(REGEXMATCH(E4142, ""台銀籌備帳戶|玉山帳戶""), REGEXMATCH(C4142, ""薪資"")), ""分潤支出"",
  AND(REGEXMATCH(E4142, ""Ben帳戶|Elsa帳戶|Ben代墊|Ariel代墊|中信銀行共用""), REGEXMATCH(F4142, ""Ben帳戶|Elsa帳戶|Ben代墊|Ariel代墊|中信銀行共用"")), ""內部轉帳(忽略)"",
  AND(E4142&lt;&gt;"""", F4142&lt;&gt;"""", N"&amp;"OT(REGEXMATCH(C4142, ""薪資""))), ""內部轉帳(忽略)"",
  REGEXMATCH(C4142, ""薪資""), ""薪資變動(不計入)"",
  REGEXMATCH(C4142, ""押金""), ""押金往來"",
  AND(E4142&lt;&gt;"""", F4142=""""), ""真實支出"",
  AND(E4142="""", F4142&lt;&gt;""""), ""真實收入"",
  TRUE, ""其他""
)"),"真實收入")</f>
        <v>真實收入</v>
      </c>
      <c r="K4142" s="270">
        <f t="shared" si="2"/>
        <v>10000</v>
      </c>
      <c r="L4142">
        <f t="shared" si="3"/>
        <v>0</v>
      </c>
    </row>
    <row r="4143">
      <c r="A4143" s="107">
        <f>IFERROR(__xludf.DUMMYFUNCTION("""COMPUTED_VALUE"""),45444.0)</f>
        <v>45444</v>
      </c>
      <c r="B4143" t="str">
        <f>IFERROR(__xludf.DUMMYFUNCTION("""COMPUTED_VALUE"""),"內湖秘境B李方羽")</f>
        <v>內湖秘境B李方羽</v>
      </c>
      <c r="C4143" t="str">
        <f>IFERROR(__xludf.DUMMYFUNCTION("""COMPUTED_VALUE"""),"收入 - 租金")</f>
        <v>收入 - 租金</v>
      </c>
      <c r="D4143" s="270">
        <f>IFERROR(__xludf.DUMMYFUNCTION("""COMPUTED_VALUE"""),12800.0)</f>
        <v>12800</v>
      </c>
      <c r="F4143" t="str">
        <f>IFERROR(__xludf.DUMMYFUNCTION("""COMPUTED_VALUE"""),"玉山帳戶")</f>
        <v>玉山帳戶</v>
      </c>
      <c r="G4143" t="str">
        <f>IFERROR(__xludf.DUMMYFUNCTION("""COMPUTED_VALUE"""),"內湖秘境")</f>
        <v>內湖秘境</v>
      </c>
      <c r="H4143" s="106" t="str">
        <f t="shared" si="1"/>
        <v>2024-06</v>
      </c>
      <c r="I4143" s="271" t="str">
        <f>IFERROR(__xludf.DUMMYFUNCTION("""COMPUTED_VALUE"""),"鯰魚大大")</f>
        <v>鯰魚大大</v>
      </c>
      <c r="J4143" t="str">
        <f>IFERROR(__xludf.DUMMYFUNCTION("IFS(
  AND(REGEXMATCH(E4143, ""台銀籌備帳戶|玉山帳戶""), REGEXMATCH(C4143, ""薪資"")), ""分潤支出"",
  AND(REGEXMATCH(E4143, ""Ben帳戶|Elsa帳戶|Ben代墊|Ariel代墊|中信銀行共用""), REGEXMATCH(F4143, ""Ben帳戶|Elsa帳戶|Ben代墊|Ariel代墊|中信銀行共用"")), ""內部轉帳(忽略)"",
  AND(E4143&lt;&gt;"""", F4143&lt;&gt;"""", N"&amp;"OT(REGEXMATCH(C4143, ""薪資""))), ""內部轉帳(忽略)"",
  REGEXMATCH(C4143, ""薪資""), ""薪資變動(不計入)"",
  REGEXMATCH(C4143, ""押金""), ""押金往來"",
  AND(E4143&lt;&gt;"""", F4143=""""), ""真實支出"",
  AND(E4143="""", F4143&lt;&gt;""""), ""真實收入"",
  TRUE, ""其他""
)"),"真實收入")</f>
        <v>真實收入</v>
      </c>
      <c r="K4143" s="270">
        <f t="shared" si="2"/>
        <v>12800</v>
      </c>
      <c r="L4143">
        <f t="shared" si="3"/>
        <v>0</v>
      </c>
    </row>
    <row r="4144">
      <c r="A4144" s="107">
        <f>IFERROR(__xludf.DUMMYFUNCTION("""COMPUTED_VALUE"""),45444.0)</f>
        <v>45444</v>
      </c>
      <c r="B4144" t="str">
        <f>IFERROR(__xludf.DUMMYFUNCTION("""COMPUTED_VALUE"""),"內湖秘境G徐若洹")</f>
        <v>內湖秘境G徐若洹</v>
      </c>
      <c r="C4144" t="str">
        <f>IFERROR(__xludf.DUMMYFUNCTION("""COMPUTED_VALUE"""),"收入 - 租金")</f>
        <v>收入 - 租金</v>
      </c>
      <c r="D4144" s="270">
        <f>IFERROR(__xludf.DUMMYFUNCTION("""COMPUTED_VALUE"""),12600.0)</f>
        <v>12600</v>
      </c>
      <c r="F4144" t="str">
        <f>IFERROR(__xludf.DUMMYFUNCTION("""COMPUTED_VALUE"""),"玉山帳戶")</f>
        <v>玉山帳戶</v>
      </c>
      <c r="G4144" t="str">
        <f>IFERROR(__xludf.DUMMYFUNCTION("""COMPUTED_VALUE"""),"內湖秘境")</f>
        <v>內湖秘境</v>
      </c>
      <c r="H4144" s="106" t="str">
        <f t="shared" si="1"/>
        <v>2024-06</v>
      </c>
      <c r="I4144" s="271" t="str">
        <f>IFERROR(__xludf.DUMMYFUNCTION("""COMPUTED_VALUE"""),"鯰魚大大")</f>
        <v>鯰魚大大</v>
      </c>
      <c r="J4144" t="str">
        <f>IFERROR(__xludf.DUMMYFUNCTION("IFS(
  AND(REGEXMATCH(E4144, ""台銀籌備帳戶|玉山帳戶""), REGEXMATCH(C4144, ""薪資"")), ""分潤支出"",
  AND(REGEXMATCH(E4144, ""Ben帳戶|Elsa帳戶|Ben代墊|Ariel代墊|中信銀行共用""), REGEXMATCH(F4144, ""Ben帳戶|Elsa帳戶|Ben代墊|Ariel代墊|中信銀行共用"")), ""內部轉帳(忽略)"",
  AND(E4144&lt;&gt;"""", F4144&lt;&gt;"""", N"&amp;"OT(REGEXMATCH(C4144, ""薪資""))), ""內部轉帳(忽略)"",
  REGEXMATCH(C4144, ""薪資""), ""薪資變動(不計入)"",
  REGEXMATCH(C4144, ""押金""), ""押金往來"",
  AND(E4144&lt;&gt;"""", F4144=""""), ""真實支出"",
  AND(E4144="""", F4144&lt;&gt;""""), ""真實收入"",
  TRUE, ""其他""
)"),"真實收入")</f>
        <v>真實收入</v>
      </c>
      <c r="K4144" s="270">
        <f t="shared" si="2"/>
        <v>12600</v>
      </c>
      <c r="L4144">
        <f t="shared" si="3"/>
        <v>0</v>
      </c>
    </row>
    <row r="4145">
      <c r="A4145" s="107">
        <f>IFERROR(__xludf.DUMMYFUNCTION("""COMPUTED_VALUE"""),45445.0)</f>
        <v>45445</v>
      </c>
      <c r="B4145" t="str">
        <f>IFERROR(__xludf.DUMMYFUNCTION("""COMPUTED_VALUE"""),"內湖秘境A陳玟涵")</f>
        <v>內湖秘境A陳玟涵</v>
      </c>
      <c r="C4145" t="str">
        <f>IFERROR(__xludf.DUMMYFUNCTION("""COMPUTED_VALUE"""),"收入 - 租金")</f>
        <v>收入 - 租金</v>
      </c>
      <c r="D4145" s="270">
        <f>IFERROR(__xludf.DUMMYFUNCTION("""COMPUTED_VALUE"""),12000.0)</f>
        <v>12000</v>
      </c>
      <c r="F4145" t="str">
        <f>IFERROR(__xludf.DUMMYFUNCTION("""COMPUTED_VALUE"""),"玉山帳戶")</f>
        <v>玉山帳戶</v>
      </c>
      <c r="G4145" t="str">
        <f>IFERROR(__xludf.DUMMYFUNCTION("""COMPUTED_VALUE"""),"內湖秘境")</f>
        <v>內湖秘境</v>
      </c>
      <c r="H4145" s="106" t="str">
        <f t="shared" si="1"/>
        <v>2024-06</v>
      </c>
      <c r="I4145" s="271" t="str">
        <f>IFERROR(__xludf.DUMMYFUNCTION("""COMPUTED_VALUE"""),"鯰魚大大")</f>
        <v>鯰魚大大</v>
      </c>
      <c r="J4145" t="str">
        <f>IFERROR(__xludf.DUMMYFUNCTION("IFS(
  AND(REGEXMATCH(E4145, ""台銀籌備帳戶|玉山帳戶""), REGEXMATCH(C4145, ""薪資"")), ""分潤支出"",
  AND(REGEXMATCH(E4145, ""Ben帳戶|Elsa帳戶|Ben代墊|Ariel代墊|中信銀行共用""), REGEXMATCH(F4145, ""Ben帳戶|Elsa帳戶|Ben代墊|Ariel代墊|中信銀行共用"")), ""內部轉帳(忽略)"",
  AND(E4145&lt;&gt;"""", F4145&lt;&gt;"""", N"&amp;"OT(REGEXMATCH(C4145, ""薪資""))), ""內部轉帳(忽略)"",
  REGEXMATCH(C4145, ""薪資""), ""薪資變動(不計入)"",
  REGEXMATCH(C4145, ""押金""), ""押金往來"",
  AND(E4145&lt;&gt;"""", F4145=""""), ""真實支出"",
  AND(E4145="""", F4145&lt;&gt;""""), ""真實收入"",
  TRUE, ""其他""
)"),"真實收入")</f>
        <v>真實收入</v>
      </c>
      <c r="K4145" s="270">
        <f t="shared" si="2"/>
        <v>12000</v>
      </c>
      <c r="L4145">
        <f t="shared" si="3"/>
        <v>0</v>
      </c>
    </row>
    <row r="4146">
      <c r="A4146" s="107">
        <f>IFERROR(__xludf.DUMMYFUNCTION("""COMPUTED_VALUE"""),45445.0)</f>
        <v>45445</v>
      </c>
      <c r="B4146" t="str">
        <f>IFERROR(__xludf.DUMMYFUNCTION("""COMPUTED_VALUE"""),"士林和豐C李宛宸")</f>
        <v>士林和豐C李宛宸</v>
      </c>
      <c r="C4146" t="str">
        <f>IFERROR(__xludf.DUMMYFUNCTION("""COMPUTED_VALUE"""),"收入 - 租金")</f>
        <v>收入 - 租金</v>
      </c>
      <c r="D4146" s="270">
        <f>IFERROR(__xludf.DUMMYFUNCTION("""COMPUTED_VALUE"""),19000.0)</f>
        <v>19000</v>
      </c>
      <c r="F4146" t="str">
        <f>IFERROR(__xludf.DUMMYFUNCTION("""COMPUTED_VALUE"""),"玉山帳戶")</f>
        <v>玉山帳戶</v>
      </c>
      <c r="G4146" t="str">
        <f>IFERROR(__xludf.DUMMYFUNCTION("""COMPUTED_VALUE"""),"士林和豐")</f>
        <v>士林和豐</v>
      </c>
      <c r="H4146" s="106" t="str">
        <f t="shared" si="1"/>
        <v>2024-06</v>
      </c>
      <c r="I4146" s="271" t="str">
        <f>IFERROR(__xludf.DUMMYFUNCTION("""COMPUTED_VALUE"""),"鯰魚大大")</f>
        <v>鯰魚大大</v>
      </c>
      <c r="J4146" t="str">
        <f>IFERROR(__xludf.DUMMYFUNCTION("IFS(
  AND(REGEXMATCH(E4146, ""台銀籌備帳戶|玉山帳戶""), REGEXMATCH(C4146, ""薪資"")), ""分潤支出"",
  AND(REGEXMATCH(E4146, ""Ben帳戶|Elsa帳戶|Ben代墊|Ariel代墊|中信銀行共用""), REGEXMATCH(F4146, ""Ben帳戶|Elsa帳戶|Ben代墊|Ariel代墊|中信銀行共用"")), ""內部轉帳(忽略)"",
  AND(E4146&lt;&gt;"""", F4146&lt;&gt;"""", N"&amp;"OT(REGEXMATCH(C4146, ""薪資""))), ""內部轉帳(忽略)"",
  REGEXMATCH(C4146, ""薪資""), ""薪資變動(不計入)"",
  REGEXMATCH(C4146, ""押金""), ""押金往來"",
  AND(E4146&lt;&gt;"""", F4146=""""), ""真實支出"",
  AND(E4146="""", F4146&lt;&gt;""""), ""真實收入"",
  TRUE, ""其他""
)"),"真實收入")</f>
        <v>真實收入</v>
      </c>
      <c r="K4146" s="270">
        <f t="shared" si="2"/>
        <v>19000</v>
      </c>
      <c r="L4146">
        <f t="shared" si="3"/>
        <v>0</v>
      </c>
    </row>
    <row r="4147">
      <c r="A4147" s="107">
        <f>IFERROR(__xludf.DUMMYFUNCTION("""COMPUTED_VALUE"""),45445.0)</f>
        <v>45445</v>
      </c>
      <c r="B4147" t="str">
        <f>IFERROR(__xludf.DUMMYFUNCTION("""COMPUTED_VALUE"""),"內湖秘境C黃詩穎")</f>
        <v>內湖秘境C黃詩穎</v>
      </c>
      <c r="C4147" t="str">
        <f>IFERROR(__xludf.DUMMYFUNCTION("""COMPUTED_VALUE"""),"收入 - 租金")</f>
        <v>收入 - 租金</v>
      </c>
      <c r="D4147" s="270">
        <f>IFERROR(__xludf.DUMMYFUNCTION("""COMPUTED_VALUE"""),14800.0)</f>
        <v>14800</v>
      </c>
      <c r="F4147" t="str">
        <f>IFERROR(__xludf.DUMMYFUNCTION("""COMPUTED_VALUE"""),"玉山帳戶")</f>
        <v>玉山帳戶</v>
      </c>
      <c r="G4147" t="str">
        <f>IFERROR(__xludf.DUMMYFUNCTION("""COMPUTED_VALUE"""),"內湖秘境")</f>
        <v>內湖秘境</v>
      </c>
      <c r="H4147" s="106" t="str">
        <f t="shared" si="1"/>
        <v>2024-06</v>
      </c>
      <c r="I4147" s="271" t="str">
        <f>IFERROR(__xludf.DUMMYFUNCTION("""COMPUTED_VALUE"""),"鯰魚大大")</f>
        <v>鯰魚大大</v>
      </c>
      <c r="J4147" t="str">
        <f>IFERROR(__xludf.DUMMYFUNCTION("IFS(
  AND(REGEXMATCH(E4147, ""台銀籌備帳戶|玉山帳戶""), REGEXMATCH(C4147, ""薪資"")), ""分潤支出"",
  AND(REGEXMATCH(E4147, ""Ben帳戶|Elsa帳戶|Ben代墊|Ariel代墊|中信銀行共用""), REGEXMATCH(F4147, ""Ben帳戶|Elsa帳戶|Ben代墊|Ariel代墊|中信銀行共用"")), ""內部轉帳(忽略)"",
  AND(E4147&lt;&gt;"""", F4147&lt;&gt;"""", N"&amp;"OT(REGEXMATCH(C4147, ""薪資""))), ""內部轉帳(忽略)"",
  REGEXMATCH(C4147, ""薪資""), ""薪資變動(不計入)"",
  REGEXMATCH(C4147, ""押金""), ""押金往來"",
  AND(E4147&lt;&gt;"""", F4147=""""), ""真實支出"",
  AND(E4147="""", F4147&lt;&gt;""""), ""真實收入"",
  TRUE, ""其他""
)"),"真實收入")</f>
        <v>真實收入</v>
      </c>
      <c r="K4147" s="270">
        <f t="shared" si="2"/>
        <v>14800</v>
      </c>
      <c r="L4147">
        <f t="shared" si="3"/>
        <v>0</v>
      </c>
    </row>
    <row r="4148">
      <c r="A4148" s="107">
        <f>IFERROR(__xludf.DUMMYFUNCTION("""COMPUTED_VALUE"""),45417.0)</f>
        <v>45417</v>
      </c>
      <c r="B4148" t="str">
        <f>IFERROR(__xludf.DUMMYFUNCTION("""COMPUTED_VALUE"""),"內湖秘境_清潔費2024/ 4-5月")</f>
        <v>內湖秘境_清潔費2024/ 4-5月</v>
      </c>
      <c r="C4148" t="str">
        <f>IFERROR(__xludf.DUMMYFUNCTION("""COMPUTED_VALUE"""),"成本 - 固定開銷(網路代收清潔)")</f>
        <v>成本 - 固定開銷(網路代收清潔)</v>
      </c>
      <c r="D4148" s="270">
        <f>IFERROR(__xludf.DUMMYFUNCTION("""COMPUTED_VALUE"""),-1050.0)</f>
        <v>-1050</v>
      </c>
      <c r="E4148" t="str">
        <f>IFERROR(__xludf.DUMMYFUNCTION("""COMPUTED_VALUE"""),"Ariel代墊")</f>
        <v>Ariel代墊</v>
      </c>
      <c r="G4148" t="str">
        <f>IFERROR(__xludf.DUMMYFUNCTION("""COMPUTED_VALUE"""),"內湖秘境")</f>
        <v>內湖秘境</v>
      </c>
      <c r="H4148" s="106" t="str">
        <f t="shared" si="1"/>
        <v>2024-05</v>
      </c>
      <c r="I4148" s="271" t="str">
        <f>IFERROR(__xludf.DUMMYFUNCTION("""COMPUTED_VALUE"""),"鯰魚大大")</f>
        <v>鯰魚大大</v>
      </c>
      <c r="J4148" t="str">
        <f>IFERROR(__xludf.DUMMYFUNCTION("IFS(
  AND(REGEXMATCH(E4148, ""台銀籌備帳戶|玉山帳戶""), REGEXMATCH(C4148, ""薪資"")), ""分潤支出"",
  AND(REGEXMATCH(E4148, ""Ben帳戶|Elsa帳戶|Ben代墊|Ariel代墊|中信銀行共用""), REGEXMATCH(F4148, ""Ben帳戶|Elsa帳戶|Ben代墊|Ariel代墊|中信銀行共用"")), ""內部轉帳(忽略)"",
  AND(E4148&lt;&gt;"""", F4148&lt;&gt;"""", N"&amp;"OT(REGEXMATCH(C4148, ""薪資""))), ""內部轉帳(忽略)"",
  REGEXMATCH(C4148, ""薪資""), ""薪資變動(不計入)"",
  REGEXMATCH(C4148, ""押金""), ""押金往來"",
  AND(E4148&lt;&gt;"""", F4148=""""), ""真實支出"",
  AND(E4148="""", F4148&lt;&gt;""""), ""真實收入"",
  TRUE, ""其他""
)"),"真實支出")</f>
        <v>真實支出</v>
      </c>
      <c r="K4148" s="270">
        <f t="shared" si="2"/>
        <v>-1050</v>
      </c>
      <c r="L4148">
        <f t="shared" si="3"/>
        <v>0</v>
      </c>
    </row>
    <row r="4149">
      <c r="A4149" s="107">
        <f>IFERROR(__xludf.DUMMYFUNCTION("""COMPUTED_VALUE"""),45446.0)</f>
        <v>45446</v>
      </c>
      <c r="B4149" t="str">
        <f>IFERROR(__xludf.DUMMYFUNCTION("""COMPUTED_VALUE"""),"內湖秘境_清潔費2024/ 6月")</f>
        <v>內湖秘境_清潔費2024/ 6月</v>
      </c>
      <c r="C4149" t="str">
        <f>IFERROR(__xludf.DUMMYFUNCTION("""COMPUTED_VALUE"""),"成本 - 固定開銷(網路代收清潔)")</f>
        <v>成本 - 固定開銷(網路代收清潔)</v>
      </c>
      <c r="D4149" s="270">
        <f>IFERROR(__xludf.DUMMYFUNCTION("""COMPUTED_VALUE"""),-1050.0)</f>
        <v>-1050</v>
      </c>
      <c r="E4149" t="str">
        <f>IFERROR(__xludf.DUMMYFUNCTION("""COMPUTED_VALUE"""),"Ariel代墊")</f>
        <v>Ariel代墊</v>
      </c>
      <c r="G4149" t="str">
        <f>IFERROR(__xludf.DUMMYFUNCTION("""COMPUTED_VALUE"""),"內湖秘境")</f>
        <v>內湖秘境</v>
      </c>
      <c r="H4149" s="106" t="str">
        <f t="shared" si="1"/>
        <v>2024-06</v>
      </c>
      <c r="I4149" s="271" t="str">
        <f>IFERROR(__xludf.DUMMYFUNCTION("""COMPUTED_VALUE"""),"鯰魚大大")</f>
        <v>鯰魚大大</v>
      </c>
      <c r="J4149" t="str">
        <f>IFERROR(__xludf.DUMMYFUNCTION("IFS(
  AND(REGEXMATCH(E4149, ""台銀籌備帳戶|玉山帳戶""), REGEXMATCH(C4149, ""薪資"")), ""分潤支出"",
  AND(REGEXMATCH(E4149, ""Ben帳戶|Elsa帳戶|Ben代墊|Ariel代墊|中信銀行共用""), REGEXMATCH(F4149, ""Ben帳戶|Elsa帳戶|Ben代墊|Ariel代墊|中信銀行共用"")), ""內部轉帳(忽略)"",
  AND(E4149&lt;&gt;"""", F4149&lt;&gt;"""", N"&amp;"OT(REGEXMATCH(C4149, ""薪資""))), ""內部轉帳(忽略)"",
  REGEXMATCH(C4149, ""薪資""), ""薪資變動(不計入)"",
  REGEXMATCH(C4149, ""押金""), ""押金往來"",
  AND(E4149&lt;&gt;"""", F4149=""""), ""真實支出"",
  AND(E4149="""", F4149&lt;&gt;""""), ""真實收入"",
  TRUE, ""其他""
)"),"真實支出")</f>
        <v>真實支出</v>
      </c>
      <c r="K4149" s="270">
        <f t="shared" si="2"/>
        <v>-1050</v>
      </c>
      <c r="L4149">
        <f t="shared" si="3"/>
        <v>0</v>
      </c>
    </row>
    <row r="4150">
      <c r="A4150" s="107">
        <f>IFERROR(__xludf.DUMMYFUNCTION("""COMPUTED_VALUE"""),45446.0)</f>
        <v>45446</v>
      </c>
      <c r="B4150" t="str">
        <f>IFERROR(__xludf.DUMMYFUNCTION("""COMPUTED_VALUE"""),"內湖秘境F陳俊宇")</f>
        <v>內湖秘境F陳俊宇</v>
      </c>
      <c r="C4150" t="str">
        <f>IFERROR(__xludf.DUMMYFUNCTION("""COMPUTED_VALUE"""),"收入 - 租金")</f>
        <v>收入 - 租金</v>
      </c>
      <c r="D4150" s="270">
        <f>IFERROR(__xludf.DUMMYFUNCTION("""COMPUTED_VALUE"""),12500.0)</f>
        <v>12500</v>
      </c>
      <c r="F4150" t="str">
        <f>IFERROR(__xludf.DUMMYFUNCTION("""COMPUTED_VALUE"""),"玉山帳戶")</f>
        <v>玉山帳戶</v>
      </c>
      <c r="G4150" t="str">
        <f>IFERROR(__xludf.DUMMYFUNCTION("""COMPUTED_VALUE"""),"內湖秘境")</f>
        <v>內湖秘境</v>
      </c>
      <c r="H4150" s="106" t="str">
        <f t="shared" si="1"/>
        <v>2024-06</v>
      </c>
      <c r="I4150" s="271" t="str">
        <f>IFERROR(__xludf.DUMMYFUNCTION("""COMPUTED_VALUE"""),"鯰魚大大")</f>
        <v>鯰魚大大</v>
      </c>
      <c r="J4150" t="str">
        <f>IFERROR(__xludf.DUMMYFUNCTION("IFS(
  AND(REGEXMATCH(E4150, ""台銀籌備帳戶|玉山帳戶""), REGEXMATCH(C4150, ""薪資"")), ""分潤支出"",
  AND(REGEXMATCH(E4150, ""Ben帳戶|Elsa帳戶|Ben代墊|Ariel代墊|中信銀行共用""), REGEXMATCH(F4150, ""Ben帳戶|Elsa帳戶|Ben代墊|Ariel代墊|中信銀行共用"")), ""內部轉帳(忽略)"",
  AND(E4150&lt;&gt;"""", F4150&lt;&gt;"""", N"&amp;"OT(REGEXMATCH(C4150, ""薪資""))), ""內部轉帳(忽略)"",
  REGEXMATCH(C4150, ""薪資""), ""薪資變動(不計入)"",
  REGEXMATCH(C4150, ""押金""), ""押金往來"",
  AND(E4150&lt;&gt;"""", F4150=""""), ""真實支出"",
  AND(E4150="""", F4150&lt;&gt;""""), ""真實收入"",
  TRUE, ""其他""
)"),"真實收入")</f>
        <v>真實收入</v>
      </c>
      <c r="K4150" s="270">
        <f t="shared" si="2"/>
        <v>12500</v>
      </c>
      <c r="L4150">
        <f t="shared" si="3"/>
        <v>0</v>
      </c>
    </row>
    <row r="4151">
      <c r="A4151" s="107">
        <f>IFERROR(__xludf.DUMMYFUNCTION("""COMPUTED_VALUE"""),45446.0)</f>
        <v>45446</v>
      </c>
      <c r="B4151" t="str">
        <f>IFERROR(__xludf.DUMMYFUNCTION("""COMPUTED_VALUE"""),"鯰魚")</f>
        <v>鯰魚</v>
      </c>
      <c r="C4151" t="str">
        <f>IFERROR(__xludf.DUMMYFUNCTION("""COMPUTED_VALUE"""),"費用 - Salary 薪資")</f>
        <v>費用 - Salary 薪資</v>
      </c>
      <c r="D4151" s="270">
        <f>IFERROR(__xludf.DUMMYFUNCTION("""COMPUTED_VALUE"""),-20000.0)</f>
        <v>-20000</v>
      </c>
      <c r="E4151" t="str">
        <f>IFERROR(__xludf.DUMMYFUNCTION("""COMPUTED_VALUE"""),"玉山帳戶")</f>
        <v>玉山帳戶</v>
      </c>
      <c r="F4151" t="str">
        <f>IFERROR(__xludf.DUMMYFUNCTION("""COMPUTED_VALUE"""),"Ariel代墊")</f>
        <v>Ariel代墊</v>
      </c>
      <c r="H4151" s="106" t="str">
        <f t="shared" si="1"/>
        <v>2024-06</v>
      </c>
      <c r="I4151" s="271" t="str">
        <f>IFERROR(__xludf.DUMMYFUNCTION("""COMPUTED_VALUE"""),"鯰魚大大")</f>
        <v>鯰魚大大</v>
      </c>
      <c r="J4151" t="str">
        <f>IFERROR(__xludf.DUMMYFUNCTION("IFS(
  AND(REGEXMATCH(E4151, ""台銀籌備帳戶|玉山帳戶""), REGEXMATCH(C4151, ""薪資"")), ""分潤支出"",
  AND(REGEXMATCH(E4151, ""Ben帳戶|Elsa帳戶|Ben代墊|Ariel代墊|中信銀行共用""), REGEXMATCH(F4151, ""Ben帳戶|Elsa帳戶|Ben代墊|Ariel代墊|中信銀行共用"")), ""內部轉帳(忽略)"",
  AND(E4151&lt;&gt;"""", F4151&lt;&gt;"""", N"&amp;"OT(REGEXMATCH(C4151, ""薪資""))), ""內部轉帳(忽略)"",
  REGEXMATCH(C4151, ""薪資""), ""薪資變動(不計入)"",
  REGEXMATCH(C4151, ""押金""), ""押金往來"",
  AND(E4151&lt;&gt;"""", F4151=""""), ""真實支出"",
  AND(E4151="""", F4151&lt;&gt;""""), ""真實收入"",
  TRUE, ""其他""
)"),"分潤支出")</f>
        <v>分潤支出</v>
      </c>
      <c r="K4151">
        <f t="shared" si="2"/>
        <v>0</v>
      </c>
      <c r="L4151">
        <f t="shared" si="3"/>
        <v>20000</v>
      </c>
    </row>
    <row r="4152">
      <c r="A4152" s="107">
        <f>IFERROR(__xludf.DUMMYFUNCTION("""COMPUTED_VALUE"""),45446.0)</f>
        <v>45446</v>
      </c>
      <c r="B4152" t="str">
        <f>IFERROR(__xludf.DUMMYFUNCTION("""COMPUTED_VALUE"""),"內湖路一段周姐")</f>
        <v>內湖路一段周姐</v>
      </c>
      <c r="C4152" t="str">
        <f>IFERROR(__xludf.DUMMYFUNCTION("""COMPUTED_VALUE"""),"成本 - 大租金")</f>
        <v>成本 - 大租金</v>
      </c>
      <c r="D4152" s="270">
        <f>IFERROR(__xludf.DUMMYFUNCTION("""COMPUTED_VALUE"""),-45015.0)</f>
        <v>-45015</v>
      </c>
      <c r="E4152" t="str">
        <f>IFERROR(__xludf.DUMMYFUNCTION("""COMPUTED_VALUE"""),"玉山帳戶")</f>
        <v>玉山帳戶</v>
      </c>
      <c r="G4152" t="str">
        <f>IFERROR(__xludf.DUMMYFUNCTION("""COMPUTED_VALUE"""),"內湖秘境")</f>
        <v>內湖秘境</v>
      </c>
      <c r="H4152" s="106" t="str">
        <f t="shared" si="1"/>
        <v>2024-06</v>
      </c>
      <c r="I4152" s="271" t="str">
        <f>IFERROR(__xludf.DUMMYFUNCTION("""COMPUTED_VALUE"""),"鯰魚大大")</f>
        <v>鯰魚大大</v>
      </c>
      <c r="J4152" t="str">
        <f>IFERROR(__xludf.DUMMYFUNCTION("IFS(
  AND(REGEXMATCH(E4152, ""台銀籌備帳戶|玉山帳戶""), REGEXMATCH(C4152, ""薪資"")), ""分潤支出"",
  AND(REGEXMATCH(E4152, ""Ben帳戶|Elsa帳戶|Ben代墊|Ariel代墊|中信銀行共用""), REGEXMATCH(F4152, ""Ben帳戶|Elsa帳戶|Ben代墊|Ariel代墊|中信銀行共用"")), ""內部轉帳(忽略)"",
  AND(E4152&lt;&gt;"""", F4152&lt;&gt;"""", N"&amp;"OT(REGEXMATCH(C4152, ""薪資""))), ""內部轉帳(忽略)"",
  REGEXMATCH(C4152, ""薪資""), ""薪資變動(不計入)"",
  REGEXMATCH(C4152, ""押金""), ""押金往來"",
  AND(E4152&lt;&gt;"""", F4152=""""), ""真實支出"",
  AND(E4152="""", F4152&lt;&gt;""""), ""真實收入"",
  TRUE, ""其他""
)"),"真實支出")</f>
        <v>真實支出</v>
      </c>
      <c r="K4152" s="270">
        <f t="shared" si="2"/>
        <v>-45015</v>
      </c>
      <c r="L4152">
        <f t="shared" si="3"/>
        <v>0</v>
      </c>
    </row>
    <row r="4153">
      <c r="A4153" s="107">
        <f>IFERROR(__xludf.DUMMYFUNCTION("""COMPUTED_VALUE"""),45446.0)</f>
        <v>45446</v>
      </c>
      <c r="B4153" t="str">
        <f>IFERROR(__xludf.DUMMYFUNCTION("""COMPUTED_VALUE"""),"中信銀行")</f>
        <v>中信銀行</v>
      </c>
      <c r="C4153" t="str">
        <f>IFERROR(__xludf.DUMMYFUNCTION("""COMPUTED_VALUE"""),"費用 - Salary 薪資")</f>
        <v>費用 - Salary 薪資</v>
      </c>
      <c r="D4153" s="270">
        <f>IFERROR(__xludf.DUMMYFUNCTION("""COMPUTED_VALUE"""),-30015.0)</f>
        <v>-30015</v>
      </c>
      <c r="E4153" t="str">
        <f>IFERROR(__xludf.DUMMYFUNCTION("""COMPUTED_VALUE"""),"玉山帳戶")</f>
        <v>玉山帳戶</v>
      </c>
      <c r="F4153" t="str">
        <f>IFERROR(__xludf.DUMMYFUNCTION("""COMPUTED_VALUE"""),"中信銀行共用")</f>
        <v>中信銀行共用</v>
      </c>
      <c r="H4153" s="106" t="str">
        <f t="shared" si="1"/>
        <v>2024-06</v>
      </c>
      <c r="I4153" s="271" t="str">
        <f>IFERROR(__xludf.DUMMYFUNCTION("""COMPUTED_VALUE"""),"鯰魚大大")</f>
        <v>鯰魚大大</v>
      </c>
      <c r="J4153" t="str">
        <f>IFERROR(__xludf.DUMMYFUNCTION("IFS(
  AND(REGEXMATCH(E4153, ""台銀籌備帳戶|玉山帳戶""), REGEXMATCH(C4153, ""薪資"")), ""分潤支出"",
  AND(REGEXMATCH(E4153, ""Ben帳戶|Elsa帳戶|Ben代墊|Ariel代墊|中信銀行共用""), REGEXMATCH(F4153, ""Ben帳戶|Elsa帳戶|Ben代墊|Ariel代墊|中信銀行共用"")), ""內部轉帳(忽略)"",
  AND(E4153&lt;&gt;"""", F4153&lt;&gt;"""", N"&amp;"OT(REGEXMATCH(C4153, ""薪資""))), ""內部轉帳(忽略)"",
  REGEXMATCH(C4153, ""薪資""), ""薪資變動(不計入)"",
  REGEXMATCH(C4153, ""押金""), ""押金往來"",
  AND(E4153&lt;&gt;"""", F4153=""""), ""真實支出"",
  AND(E4153="""", F4153&lt;&gt;""""), ""真實收入"",
  TRUE, ""其他""
)"),"分潤支出")</f>
        <v>分潤支出</v>
      </c>
      <c r="K4153">
        <f t="shared" si="2"/>
        <v>0</v>
      </c>
      <c r="L4153">
        <f t="shared" si="3"/>
        <v>30015</v>
      </c>
    </row>
    <row r="4154">
      <c r="A4154" s="107">
        <f>IFERROR(__xludf.DUMMYFUNCTION("""COMPUTED_VALUE"""),45456.0)</f>
        <v>45456</v>
      </c>
      <c r="B4154" t="str">
        <f>IFERROR(__xludf.DUMMYFUNCTION("""COMPUTED_VALUE"""),"退押 內湖秘境F陳俊宇")</f>
        <v>退押 內湖秘境F陳俊宇</v>
      </c>
      <c r="C4154" t="str">
        <f>IFERROR(__xludf.DUMMYFUNCTION("""COMPUTED_VALUE"""),"收入 - 租金")</f>
        <v>收入 - 租金</v>
      </c>
      <c r="D4154" s="270">
        <f>IFERROR(__xludf.DUMMYFUNCTION("""COMPUTED_VALUE"""),-10300.0)</f>
        <v>-10300</v>
      </c>
      <c r="E4154" t="str">
        <f>IFERROR(__xludf.DUMMYFUNCTION("""COMPUTED_VALUE"""),"Ben代墊")</f>
        <v>Ben代墊</v>
      </c>
      <c r="G4154" t="str">
        <f>IFERROR(__xludf.DUMMYFUNCTION("""COMPUTED_VALUE"""),"內湖秘境")</f>
        <v>內湖秘境</v>
      </c>
      <c r="H4154" s="106" t="str">
        <f t="shared" si="1"/>
        <v>2024-06</v>
      </c>
      <c r="I4154" s="271" t="str">
        <f>IFERROR(__xludf.DUMMYFUNCTION("""COMPUTED_VALUE"""),"鯰魚大大")</f>
        <v>鯰魚大大</v>
      </c>
      <c r="J4154" t="str">
        <f>IFERROR(__xludf.DUMMYFUNCTION("IFS(
  AND(REGEXMATCH(E4154, ""台銀籌備帳戶|玉山帳戶""), REGEXMATCH(C4154, ""薪資"")), ""分潤支出"",
  AND(REGEXMATCH(E4154, ""Ben帳戶|Elsa帳戶|Ben代墊|Ariel代墊|中信銀行共用""), REGEXMATCH(F4154, ""Ben帳戶|Elsa帳戶|Ben代墊|Ariel代墊|中信銀行共用"")), ""內部轉帳(忽略)"",
  AND(E4154&lt;&gt;"""", F4154&lt;&gt;"""", N"&amp;"OT(REGEXMATCH(C4154, ""薪資""))), ""內部轉帳(忽略)"",
  REGEXMATCH(C4154, ""薪資""), ""薪資變動(不計入)"",
  REGEXMATCH(C4154, ""押金""), ""押金往來"",
  AND(E4154&lt;&gt;"""", F4154=""""), ""真實支出"",
  AND(E4154="""", F4154&lt;&gt;""""), ""真實收入"",
  TRUE, ""其他""
)"),"真實支出")</f>
        <v>真實支出</v>
      </c>
      <c r="K4154" s="270">
        <f t="shared" si="2"/>
        <v>-10300</v>
      </c>
      <c r="L4154">
        <f t="shared" si="3"/>
        <v>0</v>
      </c>
    </row>
    <row r="4155">
      <c r="A4155" s="107">
        <f>IFERROR(__xludf.DUMMYFUNCTION("""COMPUTED_VALUE"""),45456.0)</f>
        <v>45456</v>
      </c>
      <c r="B4155" t="str">
        <f>IFERROR(__xludf.DUMMYFUNCTION("""COMPUTED_VALUE"""),"內湖秘境F Shadow 定金")</f>
        <v>內湖秘境F Shadow 定金</v>
      </c>
      <c r="C4155" t="str">
        <f>IFERROR(__xludf.DUMMYFUNCTION("""COMPUTED_VALUE"""),"收入 - 租金")</f>
        <v>收入 - 租金</v>
      </c>
      <c r="D4155" s="270">
        <f>IFERROR(__xludf.DUMMYFUNCTION("""COMPUTED_VALUE"""),10000.0)</f>
        <v>10000</v>
      </c>
      <c r="F4155" t="str">
        <f>IFERROR(__xludf.DUMMYFUNCTION("""COMPUTED_VALUE"""),"玉山帳戶")</f>
        <v>玉山帳戶</v>
      </c>
      <c r="G4155" t="str">
        <f>IFERROR(__xludf.DUMMYFUNCTION("""COMPUTED_VALUE"""),"內湖秘境")</f>
        <v>內湖秘境</v>
      </c>
      <c r="H4155" s="106" t="str">
        <f t="shared" si="1"/>
        <v>2024-06</v>
      </c>
      <c r="I4155" s="271" t="str">
        <f>IFERROR(__xludf.DUMMYFUNCTION("""COMPUTED_VALUE"""),"鯰魚大大")</f>
        <v>鯰魚大大</v>
      </c>
      <c r="J4155" t="str">
        <f>IFERROR(__xludf.DUMMYFUNCTION("IFS(
  AND(REGEXMATCH(E4155, ""台銀籌備帳戶|玉山帳戶""), REGEXMATCH(C4155, ""薪資"")), ""分潤支出"",
  AND(REGEXMATCH(E4155, ""Ben帳戶|Elsa帳戶|Ben代墊|Ariel代墊|中信銀行共用""), REGEXMATCH(F4155, ""Ben帳戶|Elsa帳戶|Ben代墊|Ariel代墊|中信銀行共用"")), ""內部轉帳(忽略)"",
  AND(E4155&lt;&gt;"""", F4155&lt;&gt;"""", N"&amp;"OT(REGEXMATCH(C4155, ""薪資""))), ""內部轉帳(忽略)"",
  REGEXMATCH(C4155, ""薪資""), ""薪資變動(不計入)"",
  REGEXMATCH(C4155, ""押金""), ""押金往來"",
  AND(E4155&lt;&gt;"""", F4155=""""), ""真實支出"",
  AND(E4155="""", F4155&lt;&gt;""""), ""真實收入"",
  TRUE, ""其他""
)"),"真實收入")</f>
        <v>真實收入</v>
      </c>
      <c r="K4155" s="270">
        <f t="shared" si="2"/>
        <v>10000</v>
      </c>
      <c r="L4155">
        <f t="shared" si="3"/>
        <v>0</v>
      </c>
    </row>
    <row r="4156">
      <c r="A4156" s="107">
        <f>IFERROR(__xludf.DUMMYFUNCTION("""COMPUTED_VALUE"""),45463.0)</f>
        <v>45463</v>
      </c>
      <c r="B4156" t="str">
        <f>IFERROR(__xludf.DUMMYFUNCTION("""COMPUTED_VALUE"""),"內湖秘境F Shadow 押金+首租")</f>
        <v>內湖秘境F Shadow 押金+首租</v>
      </c>
      <c r="C4156" t="str">
        <f>IFERROR(__xludf.DUMMYFUNCTION("""COMPUTED_VALUE"""),"收入 - 租金")</f>
        <v>收入 - 租金</v>
      </c>
      <c r="D4156" s="270">
        <f>IFERROR(__xludf.DUMMYFUNCTION("""COMPUTED_VALUE"""),30500.0)</f>
        <v>30500</v>
      </c>
      <c r="F4156" t="str">
        <f>IFERROR(__xludf.DUMMYFUNCTION("""COMPUTED_VALUE"""),"玉山帳戶")</f>
        <v>玉山帳戶</v>
      </c>
      <c r="G4156" t="str">
        <f>IFERROR(__xludf.DUMMYFUNCTION("""COMPUTED_VALUE"""),"內湖秘境")</f>
        <v>內湖秘境</v>
      </c>
      <c r="H4156" s="106" t="str">
        <f t="shared" si="1"/>
        <v>2024-06</v>
      </c>
      <c r="I4156" s="271" t="str">
        <f>IFERROR(__xludf.DUMMYFUNCTION("""COMPUTED_VALUE"""),"鯰魚大大")</f>
        <v>鯰魚大大</v>
      </c>
      <c r="J4156" t="str">
        <f>IFERROR(__xludf.DUMMYFUNCTION("IFS(
  AND(REGEXMATCH(E4156, ""台銀籌備帳戶|玉山帳戶""), REGEXMATCH(C4156, ""薪資"")), ""分潤支出"",
  AND(REGEXMATCH(E4156, ""Ben帳戶|Elsa帳戶|Ben代墊|Ariel代墊|中信銀行共用""), REGEXMATCH(F4156, ""Ben帳戶|Elsa帳戶|Ben代墊|Ariel代墊|中信銀行共用"")), ""內部轉帳(忽略)"",
  AND(E4156&lt;&gt;"""", F4156&lt;&gt;"""", N"&amp;"OT(REGEXMATCH(C4156, ""薪資""))), ""內部轉帳(忽略)"",
  REGEXMATCH(C4156, ""薪資""), ""薪資變動(不計入)"",
  REGEXMATCH(C4156, ""押金""), ""押金往來"",
  AND(E4156&lt;&gt;"""", F4156=""""), ""真實支出"",
  AND(E4156="""", F4156&lt;&gt;""""), ""真實收入"",
  TRUE, ""其他""
)"),"真實收入")</f>
        <v>真實收入</v>
      </c>
      <c r="K4156" s="270">
        <f t="shared" si="2"/>
        <v>30500</v>
      </c>
      <c r="L4156">
        <f t="shared" si="3"/>
        <v>0</v>
      </c>
    </row>
    <row r="4157">
      <c r="A4157" s="107">
        <f>IFERROR(__xludf.DUMMYFUNCTION("""COMPUTED_VALUE"""),45464.0)</f>
        <v>45464</v>
      </c>
      <c r="B4157" t="str">
        <f>IFERROR(__xludf.DUMMYFUNCTION("""COMPUTED_VALUE"""),"利息")</f>
        <v>利息</v>
      </c>
      <c r="C4157" t="str">
        <f>IFERROR(__xludf.DUMMYFUNCTION("""COMPUTED_VALUE"""),"收入 - 政府補助/退稅")</f>
        <v>收入 - 政府補助/退稅</v>
      </c>
      <c r="D4157" s="270">
        <f>IFERROR(__xludf.DUMMYFUNCTION("""COMPUTED_VALUE"""),2648.0)</f>
        <v>2648</v>
      </c>
      <c r="F4157" t="str">
        <f>IFERROR(__xludf.DUMMYFUNCTION("""COMPUTED_VALUE"""),"玉山帳戶")</f>
        <v>玉山帳戶</v>
      </c>
      <c r="H4157" s="106" t="str">
        <f t="shared" si="1"/>
        <v>2024-06</v>
      </c>
      <c r="I4157" s="271" t="str">
        <f>IFERROR(__xludf.DUMMYFUNCTION("""COMPUTED_VALUE"""),"鯰魚大大")</f>
        <v>鯰魚大大</v>
      </c>
      <c r="J4157" t="str">
        <f>IFERROR(__xludf.DUMMYFUNCTION("IFS(
  AND(REGEXMATCH(E4157, ""台銀籌備帳戶|玉山帳戶""), REGEXMATCH(C4157, ""薪資"")), ""分潤支出"",
  AND(REGEXMATCH(E4157, ""Ben帳戶|Elsa帳戶|Ben代墊|Ariel代墊|中信銀行共用""), REGEXMATCH(F4157, ""Ben帳戶|Elsa帳戶|Ben代墊|Ariel代墊|中信銀行共用"")), ""內部轉帳(忽略)"",
  AND(E4157&lt;&gt;"""", F4157&lt;&gt;"""", N"&amp;"OT(REGEXMATCH(C4157, ""薪資""))), ""內部轉帳(忽略)"",
  REGEXMATCH(C4157, ""薪資""), ""薪資變動(不計入)"",
  REGEXMATCH(C4157, ""押金""), ""押金往來"",
  AND(E4157&lt;&gt;"""", F4157=""""), ""真實支出"",
  AND(E4157="""", F4157&lt;&gt;""""), ""真實收入"",
  TRUE, ""其他""
)"),"真實收入")</f>
        <v>真實收入</v>
      </c>
      <c r="K4157" s="270">
        <f t="shared" si="2"/>
        <v>2648</v>
      </c>
      <c r="L4157">
        <f t="shared" si="3"/>
        <v>0</v>
      </c>
    </row>
    <row r="4158">
      <c r="A4158" s="107">
        <f>IFERROR(__xludf.DUMMYFUNCTION("""COMPUTED_VALUE"""),45474.0)</f>
        <v>45474</v>
      </c>
      <c r="B4158" t="str">
        <f>IFERROR(__xludf.DUMMYFUNCTION("""COMPUTED_VALUE"""),"內湖秘境C黃詩穎")</f>
        <v>內湖秘境C黃詩穎</v>
      </c>
      <c r="C4158" t="str">
        <f>IFERROR(__xludf.DUMMYFUNCTION("""COMPUTED_VALUE"""),"收入 - 租金")</f>
        <v>收入 - 租金</v>
      </c>
      <c r="D4158" s="270">
        <f>IFERROR(__xludf.DUMMYFUNCTION("""COMPUTED_VALUE"""),14800.0)</f>
        <v>14800</v>
      </c>
      <c r="F4158" t="str">
        <f>IFERROR(__xludf.DUMMYFUNCTION("""COMPUTED_VALUE"""),"玉山帳戶")</f>
        <v>玉山帳戶</v>
      </c>
      <c r="G4158" t="str">
        <f>IFERROR(__xludf.DUMMYFUNCTION("""COMPUTED_VALUE"""),"內湖秘境")</f>
        <v>內湖秘境</v>
      </c>
      <c r="H4158" s="106" t="str">
        <f t="shared" si="1"/>
        <v>2024-07</v>
      </c>
      <c r="I4158" s="271" t="str">
        <f>IFERROR(__xludf.DUMMYFUNCTION("""COMPUTED_VALUE"""),"鯰魚大大")</f>
        <v>鯰魚大大</v>
      </c>
      <c r="J4158" t="str">
        <f>IFERROR(__xludf.DUMMYFUNCTION("IFS(
  AND(REGEXMATCH(E4158, ""台銀籌備帳戶|玉山帳戶""), REGEXMATCH(C4158, ""薪資"")), ""分潤支出"",
  AND(REGEXMATCH(E4158, ""Ben帳戶|Elsa帳戶|Ben代墊|Ariel代墊|中信銀行共用""), REGEXMATCH(F4158, ""Ben帳戶|Elsa帳戶|Ben代墊|Ariel代墊|中信銀行共用"")), ""內部轉帳(忽略)"",
  AND(E4158&lt;&gt;"""", F4158&lt;&gt;"""", N"&amp;"OT(REGEXMATCH(C4158, ""薪資""))), ""內部轉帳(忽略)"",
  REGEXMATCH(C4158, ""薪資""), ""薪資變動(不計入)"",
  REGEXMATCH(C4158, ""押金""), ""押金往來"",
  AND(E4158&lt;&gt;"""", F4158=""""), ""真實支出"",
  AND(E4158="""", F4158&lt;&gt;""""), ""真實收入"",
  TRUE, ""其他""
)"),"真實收入")</f>
        <v>真實收入</v>
      </c>
      <c r="K4158" s="270">
        <f t="shared" si="2"/>
        <v>14800</v>
      </c>
      <c r="L4158">
        <f t="shared" si="3"/>
        <v>0</v>
      </c>
    </row>
    <row r="4159">
      <c r="A4159" s="107">
        <f>IFERROR(__xludf.DUMMYFUNCTION("""COMPUTED_VALUE"""),45474.0)</f>
        <v>45474</v>
      </c>
      <c r="B4159" t="str">
        <f>IFERROR(__xludf.DUMMYFUNCTION("""COMPUTED_VALUE"""),"內湖路一段周姐")</f>
        <v>內湖路一段周姐</v>
      </c>
      <c r="C4159" t="str">
        <f>IFERROR(__xludf.DUMMYFUNCTION("""COMPUTED_VALUE"""),"成本 - 大租金")</f>
        <v>成本 - 大租金</v>
      </c>
      <c r="D4159" s="270">
        <f>IFERROR(__xludf.DUMMYFUNCTION("""COMPUTED_VALUE"""),-45015.0)</f>
        <v>-45015</v>
      </c>
      <c r="E4159" t="str">
        <f>IFERROR(__xludf.DUMMYFUNCTION("""COMPUTED_VALUE"""),"玉山帳戶")</f>
        <v>玉山帳戶</v>
      </c>
      <c r="G4159" t="str">
        <f>IFERROR(__xludf.DUMMYFUNCTION("""COMPUTED_VALUE"""),"內湖秘境")</f>
        <v>內湖秘境</v>
      </c>
      <c r="H4159" s="106" t="str">
        <f t="shared" si="1"/>
        <v>2024-07</v>
      </c>
      <c r="I4159" s="271" t="str">
        <f>IFERROR(__xludf.DUMMYFUNCTION("""COMPUTED_VALUE"""),"鯰魚大大")</f>
        <v>鯰魚大大</v>
      </c>
      <c r="J4159" t="str">
        <f>IFERROR(__xludf.DUMMYFUNCTION("IFS(
  AND(REGEXMATCH(E4159, ""台銀籌備帳戶|玉山帳戶""), REGEXMATCH(C4159, ""薪資"")), ""分潤支出"",
  AND(REGEXMATCH(E4159, ""Ben帳戶|Elsa帳戶|Ben代墊|Ariel代墊|中信銀行共用""), REGEXMATCH(F4159, ""Ben帳戶|Elsa帳戶|Ben代墊|Ariel代墊|中信銀行共用"")), ""內部轉帳(忽略)"",
  AND(E4159&lt;&gt;"""", F4159&lt;&gt;"""", N"&amp;"OT(REGEXMATCH(C4159, ""薪資""))), ""內部轉帳(忽略)"",
  REGEXMATCH(C4159, ""薪資""), ""薪資變動(不計入)"",
  REGEXMATCH(C4159, ""押金""), ""押金往來"",
  AND(E4159&lt;&gt;"""", F4159=""""), ""真實支出"",
  AND(E4159="""", F4159&lt;&gt;""""), ""真實收入"",
  TRUE, ""其他""
)"),"真實支出")</f>
        <v>真實支出</v>
      </c>
      <c r="K4159" s="270">
        <f t="shared" si="2"/>
        <v>-45015</v>
      </c>
      <c r="L4159">
        <f t="shared" si="3"/>
        <v>0</v>
      </c>
    </row>
    <row r="4160">
      <c r="A4160" s="107">
        <f>IFERROR(__xludf.DUMMYFUNCTION("""COMPUTED_VALUE"""),45474.0)</f>
        <v>45474</v>
      </c>
      <c r="B4160" t="str">
        <f>IFERROR(__xludf.DUMMYFUNCTION("""COMPUTED_VALUE"""),"和豐大房租")</f>
        <v>和豐大房租</v>
      </c>
      <c r="C4160" t="str">
        <f>IFERROR(__xludf.DUMMYFUNCTION("""COMPUTED_VALUE"""),"成本 - 大租金")</f>
        <v>成本 - 大租金</v>
      </c>
      <c r="D4160" s="270">
        <f>IFERROR(__xludf.DUMMYFUNCTION("""COMPUTED_VALUE"""),-14415.0)</f>
        <v>-14415</v>
      </c>
      <c r="E4160" t="str">
        <f>IFERROR(__xludf.DUMMYFUNCTION("""COMPUTED_VALUE"""),"玉山帳戶")</f>
        <v>玉山帳戶</v>
      </c>
      <c r="G4160" t="str">
        <f>IFERROR(__xludf.DUMMYFUNCTION("""COMPUTED_VALUE"""),"士林和豐")</f>
        <v>士林和豐</v>
      </c>
      <c r="H4160" s="106" t="str">
        <f t="shared" si="1"/>
        <v>2024-07</v>
      </c>
      <c r="I4160" s="271" t="str">
        <f>IFERROR(__xludf.DUMMYFUNCTION("""COMPUTED_VALUE"""),"鯰魚大大")</f>
        <v>鯰魚大大</v>
      </c>
      <c r="J4160" t="str">
        <f>IFERROR(__xludf.DUMMYFUNCTION("IFS(
  AND(REGEXMATCH(E4160, ""台銀籌備帳戶|玉山帳戶""), REGEXMATCH(C4160, ""薪資"")), ""分潤支出"",
  AND(REGEXMATCH(E4160, ""Ben帳戶|Elsa帳戶|Ben代墊|Ariel代墊|中信銀行共用""), REGEXMATCH(F4160, ""Ben帳戶|Elsa帳戶|Ben代墊|Ariel代墊|中信銀行共用"")), ""內部轉帳(忽略)"",
  AND(E4160&lt;&gt;"""", F4160&lt;&gt;"""", N"&amp;"OT(REGEXMATCH(C4160, ""薪資""))), ""內部轉帳(忽略)"",
  REGEXMATCH(C4160, ""薪資""), ""薪資變動(不計入)"",
  REGEXMATCH(C4160, ""押金""), ""押金往來"",
  AND(E4160&lt;&gt;"""", F4160=""""), ""真實支出"",
  AND(E4160="""", F4160&lt;&gt;""""), ""真實收入"",
  TRUE, ""其他""
)"),"真實支出")</f>
        <v>真實支出</v>
      </c>
      <c r="K4160" s="270">
        <f t="shared" si="2"/>
        <v>-14415</v>
      </c>
      <c r="L4160">
        <f t="shared" si="3"/>
        <v>0</v>
      </c>
    </row>
    <row r="4161">
      <c r="A4161" s="107">
        <f>IFERROR(__xludf.DUMMYFUNCTION("""COMPUTED_VALUE"""),45474.0)</f>
        <v>45474</v>
      </c>
      <c r="B4161" t="str">
        <f>IFERROR(__xludf.DUMMYFUNCTION("""COMPUTED_VALUE"""),"家庭帳戶")</f>
        <v>家庭帳戶</v>
      </c>
      <c r="C4161" t="str">
        <f>IFERROR(__xludf.DUMMYFUNCTION("""COMPUTED_VALUE"""),"費用 - Salary 薪資")</f>
        <v>費用 - Salary 薪資</v>
      </c>
      <c r="D4161" s="270">
        <f>IFERROR(__xludf.DUMMYFUNCTION("""COMPUTED_VALUE"""),-50015.0)</f>
        <v>-50015</v>
      </c>
      <c r="E4161" t="str">
        <f>IFERROR(__xludf.DUMMYFUNCTION("""COMPUTED_VALUE"""),"玉山帳戶")</f>
        <v>玉山帳戶</v>
      </c>
      <c r="F4161" t="str">
        <f>IFERROR(__xludf.DUMMYFUNCTION("""COMPUTED_VALUE"""),"中信銀行共用")</f>
        <v>中信銀行共用</v>
      </c>
      <c r="H4161" s="106" t="str">
        <f t="shared" si="1"/>
        <v>2024-07</v>
      </c>
      <c r="I4161" s="271" t="str">
        <f>IFERROR(__xludf.DUMMYFUNCTION("""COMPUTED_VALUE"""),"鯰魚大大")</f>
        <v>鯰魚大大</v>
      </c>
      <c r="J4161" t="str">
        <f>IFERROR(__xludf.DUMMYFUNCTION("IFS(
  AND(REGEXMATCH(E4161, ""台銀籌備帳戶|玉山帳戶""), REGEXMATCH(C4161, ""薪資"")), ""分潤支出"",
  AND(REGEXMATCH(E4161, ""Ben帳戶|Elsa帳戶|Ben代墊|Ariel代墊|中信銀行共用""), REGEXMATCH(F4161, ""Ben帳戶|Elsa帳戶|Ben代墊|Ariel代墊|中信銀行共用"")), ""內部轉帳(忽略)"",
  AND(E4161&lt;&gt;"""", F4161&lt;&gt;"""", N"&amp;"OT(REGEXMATCH(C4161, ""薪資""))), ""內部轉帳(忽略)"",
  REGEXMATCH(C4161, ""薪資""), ""薪資變動(不計入)"",
  REGEXMATCH(C4161, ""押金""), ""押金往來"",
  AND(E4161&lt;&gt;"""", F4161=""""), ""真實支出"",
  AND(E4161="""", F4161&lt;&gt;""""), ""真實收入"",
  TRUE, ""其他""
)"),"分潤支出")</f>
        <v>分潤支出</v>
      </c>
      <c r="K4161">
        <f t="shared" si="2"/>
        <v>0</v>
      </c>
      <c r="L4161">
        <f t="shared" si="3"/>
        <v>50015</v>
      </c>
    </row>
    <row r="4162">
      <c r="A4162" s="107">
        <f>IFERROR(__xludf.DUMMYFUNCTION("""COMPUTED_VALUE"""),45474.0)</f>
        <v>45474</v>
      </c>
      <c r="B4162" t="str">
        <f>IFERROR(__xludf.DUMMYFUNCTION("""COMPUTED_VALUE"""),"士林和豐A巫思予")</f>
        <v>士林和豐A巫思予</v>
      </c>
      <c r="C4162" t="str">
        <f>IFERROR(__xludf.DUMMYFUNCTION("""COMPUTED_VALUE"""),"收入 - 租金")</f>
        <v>收入 - 租金</v>
      </c>
      <c r="D4162" s="270">
        <f>IFERROR(__xludf.DUMMYFUNCTION("""COMPUTED_VALUE"""),15800.0)</f>
        <v>15800</v>
      </c>
      <c r="F4162" t="str">
        <f>IFERROR(__xludf.DUMMYFUNCTION("""COMPUTED_VALUE"""),"玉山帳戶")</f>
        <v>玉山帳戶</v>
      </c>
      <c r="G4162" t="str">
        <f>IFERROR(__xludf.DUMMYFUNCTION("""COMPUTED_VALUE"""),"士林和豐")</f>
        <v>士林和豐</v>
      </c>
      <c r="H4162" s="106" t="str">
        <f t="shared" si="1"/>
        <v>2024-07</v>
      </c>
      <c r="I4162" s="271" t="str">
        <f>IFERROR(__xludf.DUMMYFUNCTION("""COMPUTED_VALUE"""),"鯰魚大大")</f>
        <v>鯰魚大大</v>
      </c>
      <c r="J4162" t="str">
        <f>IFERROR(__xludf.DUMMYFUNCTION("IFS(
  AND(REGEXMATCH(E4162, ""台銀籌備帳戶|玉山帳戶""), REGEXMATCH(C4162, ""薪資"")), ""分潤支出"",
  AND(REGEXMATCH(E4162, ""Ben帳戶|Elsa帳戶|Ben代墊|Ariel代墊|中信銀行共用""), REGEXMATCH(F4162, ""Ben帳戶|Elsa帳戶|Ben代墊|Ariel代墊|中信銀行共用"")), ""內部轉帳(忽略)"",
  AND(E4162&lt;&gt;"""", F4162&lt;&gt;"""", N"&amp;"OT(REGEXMATCH(C4162, ""薪資""))), ""內部轉帳(忽略)"",
  REGEXMATCH(C4162, ""薪資""), ""薪資變動(不計入)"",
  REGEXMATCH(C4162, ""押金""), ""押金往來"",
  AND(E4162&lt;&gt;"""", F4162=""""), ""真實支出"",
  AND(E4162="""", F4162&lt;&gt;""""), ""真實收入"",
  TRUE, ""其他""
)"),"真實收入")</f>
        <v>真實收入</v>
      </c>
      <c r="K4162" s="270">
        <f t="shared" si="2"/>
        <v>15800</v>
      </c>
      <c r="L4162">
        <f t="shared" si="3"/>
        <v>0</v>
      </c>
    </row>
    <row r="4163">
      <c r="A4163" s="107">
        <f>IFERROR(__xludf.DUMMYFUNCTION("""COMPUTED_VALUE"""),45474.0)</f>
        <v>45474</v>
      </c>
      <c r="B4163" t="str">
        <f>IFERROR(__xludf.DUMMYFUNCTION("""COMPUTED_VALUE"""),"內湖秘境B李方羽")</f>
        <v>內湖秘境B李方羽</v>
      </c>
      <c r="C4163" t="str">
        <f>IFERROR(__xludf.DUMMYFUNCTION("""COMPUTED_VALUE"""),"收入 - 租金")</f>
        <v>收入 - 租金</v>
      </c>
      <c r="D4163" s="270">
        <f>IFERROR(__xludf.DUMMYFUNCTION("""COMPUTED_VALUE"""),12800.0)</f>
        <v>12800</v>
      </c>
      <c r="F4163" t="str">
        <f>IFERROR(__xludf.DUMMYFUNCTION("""COMPUTED_VALUE"""),"玉山帳戶")</f>
        <v>玉山帳戶</v>
      </c>
      <c r="G4163" t="str">
        <f>IFERROR(__xludf.DUMMYFUNCTION("""COMPUTED_VALUE"""),"內湖秘境")</f>
        <v>內湖秘境</v>
      </c>
      <c r="H4163" s="106" t="str">
        <f t="shared" si="1"/>
        <v>2024-07</v>
      </c>
      <c r="I4163" s="271" t="str">
        <f>IFERROR(__xludf.DUMMYFUNCTION("""COMPUTED_VALUE"""),"鯰魚大大")</f>
        <v>鯰魚大大</v>
      </c>
      <c r="J4163" t="str">
        <f>IFERROR(__xludf.DUMMYFUNCTION("IFS(
  AND(REGEXMATCH(E4163, ""台銀籌備帳戶|玉山帳戶""), REGEXMATCH(C4163, ""薪資"")), ""分潤支出"",
  AND(REGEXMATCH(E4163, ""Ben帳戶|Elsa帳戶|Ben代墊|Ariel代墊|中信銀行共用""), REGEXMATCH(F4163, ""Ben帳戶|Elsa帳戶|Ben代墊|Ariel代墊|中信銀行共用"")), ""內部轉帳(忽略)"",
  AND(E4163&lt;&gt;"""", F4163&lt;&gt;"""", N"&amp;"OT(REGEXMATCH(C4163, ""薪資""))), ""內部轉帳(忽略)"",
  REGEXMATCH(C4163, ""薪資""), ""薪資變動(不計入)"",
  REGEXMATCH(C4163, ""押金""), ""押金往來"",
  AND(E4163&lt;&gt;"""", F4163=""""), ""真實支出"",
  AND(E4163="""", F4163&lt;&gt;""""), ""真實收入"",
  TRUE, ""其他""
)"),"真實收入")</f>
        <v>真實收入</v>
      </c>
      <c r="K4163" s="270">
        <f t="shared" si="2"/>
        <v>12800</v>
      </c>
      <c r="L4163">
        <f t="shared" si="3"/>
        <v>0</v>
      </c>
    </row>
    <row r="4164">
      <c r="A4164" s="107">
        <f>IFERROR(__xludf.DUMMYFUNCTION("""COMPUTED_VALUE"""),45474.0)</f>
        <v>45474</v>
      </c>
      <c r="B4164" t="str">
        <f>IFERROR(__xludf.DUMMYFUNCTION("""COMPUTED_VALUE"""),"內湖秘境G徐若洹")</f>
        <v>內湖秘境G徐若洹</v>
      </c>
      <c r="C4164" t="str">
        <f>IFERROR(__xludf.DUMMYFUNCTION("""COMPUTED_VALUE"""),"收入 - 租金")</f>
        <v>收入 - 租金</v>
      </c>
      <c r="D4164" s="270">
        <f>IFERROR(__xludf.DUMMYFUNCTION("""COMPUTED_VALUE"""),12100.0)</f>
        <v>12100</v>
      </c>
      <c r="F4164" t="str">
        <f>IFERROR(__xludf.DUMMYFUNCTION("""COMPUTED_VALUE"""),"玉山帳戶")</f>
        <v>玉山帳戶</v>
      </c>
      <c r="G4164" t="str">
        <f>IFERROR(__xludf.DUMMYFUNCTION("""COMPUTED_VALUE"""),"內湖秘境")</f>
        <v>內湖秘境</v>
      </c>
      <c r="H4164" s="106" t="str">
        <f t="shared" si="1"/>
        <v>2024-07</v>
      </c>
      <c r="I4164" s="271" t="str">
        <f>IFERROR(__xludf.DUMMYFUNCTION("""COMPUTED_VALUE"""),"鯰魚大大")</f>
        <v>鯰魚大大</v>
      </c>
      <c r="J4164" t="str">
        <f>IFERROR(__xludf.DUMMYFUNCTION("IFS(
  AND(REGEXMATCH(E4164, ""台銀籌備帳戶|玉山帳戶""), REGEXMATCH(C4164, ""薪資"")), ""分潤支出"",
  AND(REGEXMATCH(E4164, ""Ben帳戶|Elsa帳戶|Ben代墊|Ariel代墊|中信銀行共用""), REGEXMATCH(F4164, ""Ben帳戶|Elsa帳戶|Ben代墊|Ariel代墊|中信銀行共用"")), ""內部轉帳(忽略)"",
  AND(E4164&lt;&gt;"""", F4164&lt;&gt;"""", N"&amp;"OT(REGEXMATCH(C4164, ""薪資""))), ""內部轉帳(忽略)"",
  REGEXMATCH(C4164, ""薪資""), ""薪資變動(不計入)"",
  REGEXMATCH(C4164, ""押金""), ""押金往來"",
  AND(E4164&lt;&gt;"""", F4164=""""), ""真實支出"",
  AND(E4164="""", F4164&lt;&gt;""""), ""真實收入"",
  TRUE, ""其他""
)"),"真實收入")</f>
        <v>真實收入</v>
      </c>
      <c r="K4164" s="270">
        <f t="shared" si="2"/>
        <v>12100</v>
      </c>
      <c r="L4164">
        <f t="shared" si="3"/>
        <v>0</v>
      </c>
    </row>
    <row r="4165">
      <c r="A4165" s="107">
        <f>IFERROR(__xludf.DUMMYFUNCTION("""COMPUTED_VALUE"""),45474.0)</f>
        <v>45474</v>
      </c>
      <c r="B4165" t="str">
        <f>IFERROR(__xludf.DUMMYFUNCTION("""COMPUTED_VALUE"""),"士林和豐C李宛宸")</f>
        <v>士林和豐C李宛宸</v>
      </c>
      <c r="C4165" t="str">
        <f>IFERROR(__xludf.DUMMYFUNCTION("""COMPUTED_VALUE"""),"收入 - 租金")</f>
        <v>收入 - 租金</v>
      </c>
      <c r="D4165" s="270">
        <f>IFERROR(__xludf.DUMMYFUNCTION("""COMPUTED_VALUE"""),13100.0)</f>
        <v>13100</v>
      </c>
      <c r="F4165" t="str">
        <f>IFERROR(__xludf.DUMMYFUNCTION("""COMPUTED_VALUE"""),"玉山帳戶")</f>
        <v>玉山帳戶</v>
      </c>
      <c r="G4165" t="str">
        <f>IFERROR(__xludf.DUMMYFUNCTION("""COMPUTED_VALUE"""),"士林和豐")</f>
        <v>士林和豐</v>
      </c>
      <c r="H4165" s="106" t="str">
        <f t="shared" si="1"/>
        <v>2024-07</v>
      </c>
      <c r="I4165" s="271" t="str">
        <f>IFERROR(__xludf.DUMMYFUNCTION("""COMPUTED_VALUE"""),"鯰魚大大")</f>
        <v>鯰魚大大</v>
      </c>
      <c r="J4165" t="str">
        <f>IFERROR(__xludf.DUMMYFUNCTION("IFS(
  AND(REGEXMATCH(E4165, ""台銀籌備帳戶|玉山帳戶""), REGEXMATCH(C4165, ""薪資"")), ""分潤支出"",
  AND(REGEXMATCH(E4165, ""Ben帳戶|Elsa帳戶|Ben代墊|Ariel代墊|中信銀行共用""), REGEXMATCH(F4165, ""Ben帳戶|Elsa帳戶|Ben代墊|Ariel代墊|中信銀行共用"")), ""內部轉帳(忽略)"",
  AND(E4165&lt;&gt;"""", F4165&lt;&gt;"""", N"&amp;"OT(REGEXMATCH(C4165, ""薪資""))), ""內部轉帳(忽略)"",
  REGEXMATCH(C4165, ""薪資""), ""薪資變動(不計入)"",
  REGEXMATCH(C4165, ""押金""), ""押金往來"",
  AND(E4165&lt;&gt;"""", F4165=""""), ""真實支出"",
  AND(E4165="""", F4165&lt;&gt;""""), ""真實收入"",
  TRUE, ""其他""
)"),"真實收入")</f>
        <v>真實收入</v>
      </c>
      <c r="K4165" s="270">
        <f t="shared" si="2"/>
        <v>13100</v>
      </c>
      <c r="L4165">
        <f t="shared" si="3"/>
        <v>0</v>
      </c>
    </row>
    <row r="4166">
      <c r="A4166" s="107">
        <f>IFERROR(__xludf.DUMMYFUNCTION("""COMPUTED_VALUE"""),45474.0)</f>
        <v>45474</v>
      </c>
      <c r="B4166" t="str">
        <f>IFERROR(__xludf.DUMMYFUNCTION("""COMPUTED_VALUE"""),"內湖秘境A陳玟涵")</f>
        <v>內湖秘境A陳玟涵</v>
      </c>
      <c r="C4166" t="str">
        <f>IFERROR(__xludf.DUMMYFUNCTION("""COMPUTED_VALUE"""),"收入 - 租金")</f>
        <v>收入 - 租金</v>
      </c>
      <c r="D4166" s="270">
        <f>IFERROR(__xludf.DUMMYFUNCTION("""COMPUTED_VALUE"""),12000.0)</f>
        <v>12000</v>
      </c>
      <c r="F4166" t="str">
        <f>IFERROR(__xludf.DUMMYFUNCTION("""COMPUTED_VALUE"""),"玉山帳戶")</f>
        <v>玉山帳戶</v>
      </c>
      <c r="G4166" t="str">
        <f>IFERROR(__xludf.DUMMYFUNCTION("""COMPUTED_VALUE"""),"內湖秘境")</f>
        <v>內湖秘境</v>
      </c>
      <c r="H4166" s="106" t="str">
        <f t="shared" si="1"/>
        <v>2024-07</v>
      </c>
      <c r="I4166" s="271" t="str">
        <f>IFERROR(__xludf.DUMMYFUNCTION("""COMPUTED_VALUE"""),"鯰魚大大")</f>
        <v>鯰魚大大</v>
      </c>
      <c r="J4166" t="str">
        <f>IFERROR(__xludf.DUMMYFUNCTION("IFS(
  AND(REGEXMATCH(E4166, ""台銀籌備帳戶|玉山帳戶""), REGEXMATCH(C4166, ""薪資"")), ""分潤支出"",
  AND(REGEXMATCH(E4166, ""Ben帳戶|Elsa帳戶|Ben代墊|Ariel代墊|中信銀行共用""), REGEXMATCH(F4166, ""Ben帳戶|Elsa帳戶|Ben代墊|Ariel代墊|中信銀行共用"")), ""內部轉帳(忽略)"",
  AND(E4166&lt;&gt;"""", F4166&lt;&gt;"""", N"&amp;"OT(REGEXMATCH(C4166, ""薪資""))), ""內部轉帳(忽略)"",
  REGEXMATCH(C4166, ""薪資""), ""薪資變動(不計入)"",
  REGEXMATCH(C4166, ""押金""), ""押金往來"",
  AND(E4166&lt;&gt;"""", F4166=""""), ""真實支出"",
  AND(E4166="""", F4166&lt;&gt;""""), ""真實收入"",
  TRUE, ""其他""
)"),"真實收入")</f>
        <v>真實收入</v>
      </c>
      <c r="K4166" s="270">
        <f t="shared" si="2"/>
        <v>12000</v>
      </c>
      <c r="L4166">
        <f t="shared" si="3"/>
        <v>0</v>
      </c>
    </row>
    <row r="4167">
      <c r="A4167" s="107">
        <f>IFERROR(__xludf.DUMMYFUNCTION("""COMPUTED_VALUE"""),45475.0)</f>
        <v>45475</v>
      </c>
      <c r="B4167" t="str">
        <f>IFERROR(__xludf.DUMMYFUNCTION("""COMPUTED_VALUE"""),"士林和豐B郭昱慧")</f>
        <v>士林和豐B郭昱慧</v>
      </c>
      <c r="C4167" t="str">
        <f>IFERROR(__xludf.DUMMYFUNCTION("""COMPUTED_VALUE"""),"收入 - 租金")</f>
        <v>收入 - 租金</v>
      </c>
      <c r="D4167" s="270">
        <f>IFERROR(__xludf.DUMMYFUNCTION("""COMPUTED_VALUE"""),14100.0)</f>
        <v>14100</v>
      </c>
      <c r="F4167" t="str">
        <f>IFERROR(__xludf.DUMMYFUNCTION("""COMPUTED_VALUE"""),"玉山帳戶")</f>
        <v>玉山帳戶</v>
      </c>
      <c r="G4167" t="str">
        <f>IFERROR(__xludf.DUMMYFUNCTION("""COMPUTED_VALUE"""),"士林和豐")</f>
        <v>士林和豐</v>
      </c>
      <c r="H4167" s="106" t="str">
        <f t="shared" si="1"/>
        <v>2024-07</v>
      </c>
      <c r="I4167" s="271" t="str">
        <f>IFERROR(__xludf.DUMMYFUNCTION("""COMPUTED_VALUE"""),"鯰魚大大")</f>
        <v>鯰魚大大</v>
      </c>
      <c r="J4167" t="str">
        <f>IFERROR(__xludf.DUMMYFUNCTION("IFS(
  AND(REGEXMATCH(E4167, ""台銀籌備帳戶|玉山帳戶""), REGEXMATCH(C4167, ""薪資"")), ""分潤支出"",
  AND(REGEXMATCH(E4167, ""Ben帳戶|Elsa帳戶|Ben代墊|Ariel代墊|中信銀行共用""), REGEXMATCH(F4167, ""Ben帳戶|Elsa帳戶|Ben代墊|Ariel代墊|中信銀行共用"")), ""內部轉帳(忽略)"",
  AND(E4167&lt;&gt;"""", F4167&lt;&gt;"""", N"&amp;"OT(REGEXMATCH(C4167, ""薪資""))), ""內部轉帳(忽略)"",
  REGEXMATCH(C4167, ""薪資""), ""薪資變動(不計入)"",
  REGEXMATCH(C4167, ""押金""), ""押金往來"",
  AND(E4167&lt;&gt;"""", F4167=""""), ""真實支出"",
  AND(E4167="""", F4167&lt;&gt;""""), ""真實收入"",
  TRUE, ""其他""
)"),"真實收入")</f>
        <v>真實收入</v>
      </c>
      <c r="K4167" s="270">
        <f t="shared" si="2"/>
        <v>14100</v>
      </c>
      <c r="L4167">
        <f t="shared" si="3"/>
        <v>0</v>
      </c>
    </row>
    <row r="4168">
      <c r="A4168" s="107">
        <f>IFERROR(__xludf.DUMMYFUNCTION("""COMPUTED_VALUE"""),45490.0)</f>
        <v>45490</v>
      </c>
      <c r="B4168" t="str">
        <f>IFERROR(__xludf.DUMMYFUNCTION("""COMPUTED_VALUE"""),"劍潭網路")</f>
        <v>劍潭網路</v>
      </c>
      <c r="C4168" t="str">
        <f>IFERROR(__xludf.DUMMYFUNCTION("""COMPUTED_VALUE"""),"成本 - 固定開銷(網路代收清潔)")</f>
        <v>成本 - 固定開銷(網路代收清潔)</v>
      </c>
      <c r="D4168" s="270">
        <f>IFERROR(__xludf.DUMMYFUNCTION("""COMPUTED_VALUE"""),-1197.0)</f>
        <v>-1197</v>
      </c>
      <c r="E4168" t="str">
        <f>IFERROR(__xludf.DUMMYFUNCTION("""COMPUTED_VALUE"""),"Ben代墊")</f>
        <v>Ben代墊</v>
      </c>
      <c r="G4168" t="str">
        <f>IFERROR(__xludf.DUMMYFUNCTION("""COMPUTED_VALUE"""),"士林和豐")</f>
        <v>士林和豐</v>
      </c>
      <c r="H4168" s="106" t="str">
        <f t="shared" si="1"/>
        <v>2024-07</v>
      </c>
      <c r="I4168" s="271" t="str">
        <f>IFERROR(__xludf.DUMMYFUNCTION("""COMPUTED_VALUE"""),"鯰魚大大")</f>
        <v>鯰魚大大</v>
      </c>
      <c r="J4168" t="str">
        <f>IFERROR(__xludf.DUMMYFUNCTION("IFS(
  AND(REGEXMATCH(E4168, ""台銀籌備帳戶|玉山帳戶""), REGEXMATCH(C4168, ""薪資"")), ""分潤支出"",
  AND(REGEXMATCH(E4168, ""Ben帳戶|Elsa帳戶|Ben代墊|Ariel代墊|中信銀行共用""), REGEXMATCH(F4168, ""Ben帳戶|Elsa帳戶|Ben代墊|Ariel代墊|中信銀行共用"")), ""內部轉帳(忽略)"",
  AND(E4168&lt;&gt;"""", F4168&lt;&gt;"""", N"&amp;"OT(REGEXMATCH(C4168, ""薪資""))), ""內部轉帳(忽略)"",
  REGEXMATCH(C4168, ""薪資""), ""薪資變動(不計入)"",
  REGEXMATCH(C4168, ""押金""), ""押金往來"",
  AND(E4168&lt;&gt;"""", F4168=""""), ""真實支出"",
  AND(E4168="""", F4168&lt;&gt;""""), ""真實收入"",
  TRUE, ""其他""
)"),"真實支出")</f>
        <v>真實支出</v>
      </c>
      <c r="K4168" s="270">
        <f t="shared" si="2"/>
        <v>-1197</v>
      </c>
      <c r="L4168">
        <f t="shared" si="3"/>
        <v>0</v>
      </c>
    </row>
    <row r="4169">
      <c r="A4169" s="107">
        <f>IFERROR(__xludf.DUMMYFUNCTION("""COMPUTED_VALUE"""),45490.0)</f>
        <v>45490</v>
      </c>
      <c r="B4169" t="str">
        <f>IFERROR(__xludf.DUMMYFUNCTION("""COMPUTED_VALUE"""),"內湖網路")</f>
        <v>內湖網路</v>
      </c>
      <c r="C4169" t="str">
        <f>IFERROR(__xludf.DUMMYFUNCTION("""COMPUTED_VALUE"""),"成本 - 固定開銷(網路代收清潔)")</f>
        <v>成本 - 固定開銷(網路代收清潔)</v>
      </c>
      <c r="D4169" s="270">
        <f>IFERROR(__xludf.DUMMYFUNCTION("""COMPUTED_VALUE"""),-2947.0)</f>
        <v>-2947</v>
      </c>
      <c r="E4169" t="str">
        <f>IFERROR(__xludf.DUMMYFUNCTION("""COMPUTED_VALUE"""),"Ben代墊")</f>
        <v>Ben代墊</v>
      </c>
      <c r="G4169" t="str">
        <f>IFERROR(__xludf.DUMMYFUNCTION("""COMPUTED_VALUE"""),"內湖秘境")</f>
        <v>內湖秘境</v>
      </c>
      <c r="H4169" s="106" t="str">
        <f t="shared" si="1"/>
        <v>2024-07</v>
      </c>
      <c r="I4169" s="271" t="str">
        <f>IFERROR(__xludf.DUMMYFUNCTION("""COMPUTED_VALUE"""),"鯰魚大大")</f>
        <v>鯰魚大大</v>
      </c>
      <c r="J4169" t="str">
        <f>IFERROR(__xludf.DUMMYFUNCTION("IFS(
  AND(REGEXMATCH(E4169, ""台銀籌備帳戶|玉山帳戶""), REGEXMATCH(C4169, ""薪資"")), ""分潤支出"",
  AND(REGEXMATCH(E4169, ""Ben帳戶|Elsa帳戶|Ben代墊|Ariel代墊|中信銀行共用""), REGEXMATCH(F4169, ""Ben帳戶|Elsa帳戶|Ben代墊|Ariel代墊|中信銀行共用"")), ""內部轉帳(忽略)"",
  AND(E4169&lt;&gt;"""", F4169&lt;&gt;"""", N"&amp;"OT(REGEXMATCH(C4169, ""薪資""))), ""內部轉帳(忽略)"",
  REGEXMATCH(C4169, ""薪資""), ""薪資變動(不計入)"",
  REGEXMATCH(C4169, ""押金""), ""押金往來"",
  AND(E4169&lt;&gt;"""", F4169=""""), ""真實支出"",
  AND(E4169="""", F4169&lt;&gt;""""), ""真實收入"",
  TRUE, ""其他""
)"),"真實支出")</f>
        <v>真實支出</v>
      </c>
      <c r="K4169" s="270">
        <f t="shared" si="2"/>
        <v>-2947</v>
      </c>
      <c r="L4169">
        <f t="shared" si="3"/>
        <v>0</v>
      </c>
    </row>
    <row r="4170">
      <c r="A4170" s="107">
        <f>IFERROR(__xludf.DUMMYFUNCTION("""COMPUTED_VALUE"""),45490.0)</f>
        <v>45490</v>
      </c>
      <c r="B4170" t="str">
        <f>IFERROR(__xludf.DUMMYFUNCTION("""COMPUTED_VALUE"""),"內湖收垃圾(6個月*400)")</f>
        <v>內湖收垃圾(6個月*400)</v>
      </c>
      <c r="C4170" t="str">
        <f>IFERROR(__xludf.DUMMYFUNCTION("""COMPUTED_VALUE"""),"成本 - 固定開銷(網路代收清潔)")</f>
        <v>成本 - 固定開銷(網路代收清潔)</v>
      </c>
      <c r="D4170" s="270">
        <f>IFERROR(__xludf.DUMMYFUNCTION("""COMPUTED_VALUE"""),-2400.0)</f>
        <v>-2400</v>
      </c>
      <c r="E4170" t="str">
        <f>IFERROR(__xludf.DUMMYFUNCTION("""COMPUTED_VALUE"""),"Ariel代墊")</f>
        <v>Ariel代墊</v>
      </c>
      <c r="G4170" t="str">
        <f>IFERROR(__xludf.DUMMYFUNCTION("""COMPUTED_VALUE"""),"內湖秘境")</f>
        <v>內湖秘境</v>
      </c>
      <c r="H4170" s="106" t="str">
        <f t="shared" si="1"/>
        <v>2024-07</v>
      </c>
      <c r="I4170" s="271" t="str">
        <f>IFERROR(__xludf.DUMMYFUNCTION("""COMPUTED_VALUE"""),"鯰魚大大")</f>
        <v>鯰魚大大</v>
      </c>
      <c r="J4170" t="str">
        <f>IFERROR(__xludf.DUMMYFUNCTION("IFS(
  AND(REGEXMATCH(E4170, ""台銀籌備帳戶|玉山帳戶""), REGEXMATCH(C4170, ""薪資"")), ""分潤支出"",
  AND(REGEXMATCH(E4170, ""Ben帳戶|Elsa帳戶|Ben代墊|Ariel代墊|中信銀行共用""), REGEXMATCH(F4170, ""Ben帳戶|Elsa帳戶|Ben代墊|Ariel代墊|中信銀行共用"")), ""內部轉帳(忽略)"",
  AND(E4170&lt;&gt;"""", F4170&lt;&gt;"""", N"&amp;"OT(REGEXMATCH(C4170, ""薪資""))), ""內部轉帳(忽略)"",
  REGEXMATCH(C4170, ""薪資""), ""薪資變動(不計入)"",
  REGEXMATCH(C4170, ""押金""), ""押金往來"",
  AND(E4170&lt;&gt;"""", F4170=""""), ""真實支出"",
  AND(E4170="""", F4170&lt;&gt;""""), ""真實收入"",
  TRUE, ""其他""
)"),"真實支出")</f>
        <v>真實支出</v>
      </c>
      <c r="K4170" s="270">
        <f t="shared" si="2"/>
        <v>-2400</v>
      </c>
      <c r="L4170">
        <f t="shared" si="3"/>
        <v>0</v>
      </c>
    </row>
    <row r="4171">
      <c r="A4171" s="107">
        <f>IFERROR(__xludf.DUMMYFUNCTION("""COMPUTED_VALUE"""),45500.0)</f>
        <v>45500</v>
      </c>
      <c r="B4171" t="str">
        <f>IFERROR(__xludf.DUMMYFUNCTION("""COMPUTED_VALUE"""),"內湖秘境_清潔費2024/ 6月")</f>
        <v>內湖秘境_清潔費2024/ 6月</v>
      </c>
      <c r="C4171" t="str">
        <f>IFERROR(__xludf.DUMMYFUNCTION("""COMPUTED_VALUE"""),"成本 - 固定開銷(網路代收清潔)")</f>
        <v>成本 - 固定開銷(網路代收清潔)</v>
      </c>
      <c r="D4171" s="270">
        <f>IFERROR(__xludf.DUMMYFUNCTION("""COMPUTED_VALUE"""),-1733.0)</f>
        <v>-1733</v>
      </c>
      <c r="E4171" t="str">
        <f>IFERROR(__xludf.DUMMYFUNCTION("""COMPUTED_VALUE"""),"Ariel代墊")</f>
        <v>Ariel代墊</v>
      </c>
      <c r="G4171" t="str">
        <f>IFERROR(__xludf.DUMMYFUNCTION("""COMPUTED_VALUE"""),"內湖秘境")</f>
        <v>內湖秘境</v>
      </c>
      <c r="H4171" s="106" t="str">
        <f t="shared" si="1"/>
        <v>2024-07</v>
      </c>
      <c r="I4171" s="271" t="str">
        <f>IFERROR(__xludf.DUMMYFUNCTION("""COMPUTED_VALUE"""),"鯰魚大大")</f>
        <v>鯰魚大大</v>
      </c>
      <c r="J4171" t="str">
        <f>IFERROR(__xludf.DUMMYFUNCTION("IFS(
  AND(REGEXMATCH(E4171, ""台銀籌備帳戶|玉山帳戶""), REGEXMATCH(C4171, ""薪資"")), ""分潤支出"",
  AND(REGEXMATCH(E4171, ""Ben帳戶|Elsa帳戶|Ben代墊|Ariel代墊|中信銀行共用""), REGEXMATCH(F4171, ""Ben帳戶|Elsa帳戶|Ben代墊|Ariel代墊|中信銀行共用"")), ""內部轉帳(忽略)"",
  AND(E4171&lt;&gt;"""", F4171&lt;&gt;"""", N"&amp;"OT(REGEXMATCH(C4171, ""薪資""))), ""內部轉帳(忽略)"",
  REGEXMATCH(C4171, ""薪資""), ""薪資變動(不計入)"",
  REGEXMATCH(C4171, ""押金""), ""押金往來"",
  AND(E4171&lt;&gt;"""", F4171=""""), ""真實支出"",
  AND(E4171="""", F4171&lt;&gt;""""), ""真實收入"",
  TRUE, ""其他""
)"),"真實支出")</f>
        <v>真實支出</v>
      </c>
      <c r="K4171" s="270">
        <f t="shared" si="2"/>
        <v>-1733</v>
      </c>
      <c r="L4171">
        <f t="shared" si="3"/>
        <v>0</v>
      </c>
    </row>
    <row r="4172">
      <c r="A4172" s="107">
        <f>IFERROR(__xludf.DUMMYFUNCTION("""COMPUTED_VALUE"""),45488.0)</f>
        <v>45488</v>
      </c>
      <c r="B4172" t="str">
        <f>IFERROR(__xludf.DUMMYFUNCTION("""COMPUTED_VALUE"""),"和豐大房租")</f>
        <v>和豐大房租</v>
      </c>
      <c r="C4172" t="str">
        <f>IFERROR(__xludf.DUMMYFUNCTION("""COMPUTED_VALUE"""),"成本 - 大租金")</f>
        <v>成本 - 大租金</v>
      </c>
      <c r="D4172" s="270">
        <f>IFERROR(__xludf.DUMMYFUNCTION("""COMPUTED_VALUE"""),-14415.0)</f>
        <v>-14415</v>
      </c>
      <c r="E4172" t="str">
        <f>IFERROR(__xludf.DUMMYFUNCTION("""COMPUTED_VALUE"""),"玉山帳戶")</f>
        <v>玉山帳戶</v>
      </c>
      <c r="G4172" t="str">
        <f>IFERROR(__xludf.DUMMYFUNCTION("""COMPUTED_VALUE"""),"士林和豐")</f>
        <v>士林和豐</v>
      </c>
      <c r="H4172" s="106" t="str">
        <f t="shared" si="1"/>
        <v>2024-07</v>
      </c>
      <c r="I4172" s="271" t="str">
        <f>IFERROR(__xludf.DUMMYFUNCTION("""COMPUTED_VALUE"""),"鯰魚大大")</f>
        <v>鯰魚大大</v>
      </c>
      <c r="J4172" t="str">
        <f>IFERROR(__xludf.DUMMYFUNCTION("IFS(
  AND(REGEXMATCH(E4172, ""台銀籌備帳戶|玉山帳戶""), REGEXMATCH(C4172, ""薪資"")), ""分潤支出"",
  AND(REGEXMATCH(E4172, ""Ben帳戶|Elsa帳戶|Ben代墊|Ariel代墊|中信銀行共用""), REGEXMATCH(F4172, ""Ben帳戶|Elsa帳戶|Ben代墊|Ariel代墊|中信銀行共用"")), ""內部轉帳(忽略)"",
  AND(E4172&lt;&gt;"""", F4172&lt;&gt;"""", N"&amp;"OT(REGEXMATCH(C4172, ""薪資""))), ""內部轉帳(忽略)"",
  REGEXMATCH(C4172, ""薪資""), ""薪資變動(不計入)"",
  REGEXMATCH(C4172, ""押金""), ""押金往來"",
  AND(E4172&lt;&gt;"""", F4172=""""), ""真實支出"",
  AND(E4172="""", F4172&lt;&gt;""""), ""真實收入"",
  TRUE, ""其他""
)"),"真實支出")</f>
        <v>真實支出</v>
      </c>
      <c r="K4172" s="270">
        <f t="shared" si="2"/>
        <v>-14415</v>
      </c>
      <c r="L4172">
        <f t="shared" si="3"/>
        <v>0</v>
      </c>
    </row>
    <row r="4173">
      <c r="A4173" s="107">
        <f>IFERROR(__xludf.DUMMYFUNCTION("""COMPUTED_VALUE"""),45504.0)</f>
        <v>45504</v>
      </c>
      <c r="B4173" t="str">
        <f>IFERROR(__xludf.DUMMYFUNCTION("""COMPUTED_VALUE"""),"內湖秘境C黃詩穎")</f>
        <v>內湖秘境C黃詩穎</v>
      </c>
      <c r="C4173" t="str">
        <f>IFERROR(__xludf.DUMMYFUNCTION("""COMPUTED_VALUE"""),"收入 - 租金")</f>
        <v>收入 - 租金</v>
      </c>
      <c r="D4173" s="270">
        <f>IFERROR(__xludf.DUMMYFUNCTION("""COMPUTED_VALUE"""),14800.0)</f>
        <v>14800</v>
      </c>
      <c r="F4173" t="str">
        <f>IFERROR(__xludf.DUMMYFUNCTION("""COMPUTED_VALUE"""),"玉山帳戶")</f>
        <v>玉山帳戶</v>
      </c>
      <c r="G4173" t="str">
        <f>IFERROR(__xludf.DUMMYFUNCTION("""COMPUTED_VALUE"""),"內湖秘境")</f>
        <v>內湖秘境</v>
      </c>
      <c r="H4173" s="106" t="str">
        <f t="shared" si="1"/>
        <v>2024-07</v>
      </c>
      <c r="I4173" s="271" t="str">
        <f>IFERROR(__xludf.DUMMYFUNCTION("""COMPUTED_VALUE"""),"鯰魚大大")</f>
        <v>鯰魚大大</v>
      </c>
      <c r="J4173" t="str">
        <f>IFERROR(__xludf.DUMMYFUNCTION("IFS(
  AND(REGEXMATCH(E4173, ""台銀籌備帳戶|玉山帳戶""), REGEXMATCH(C4173, ""薪資"")), ""分潤支出"",
  AND(REGEXMATCH(E4173, ""Ben帳戶|Elsa帳戶|Ben代墊|Ariel代墊|中信銀行共用""), REGEXMATCH(F4173, ""Ben帳戶|Elsa帳戶|Ben代墊|Ariel代墊|中信銀行共用"")), ""內部轉帳(忽略)"",
  AND(E4173&lt;&gt;"""", F4173&lt;&gt;"""", N"&amp;"OT(REGEXMATCH(C4173, ""薪資""))), ""內部轉帳(忽略)"",
  REGEXMATCH(C4173, ""薪資""), ""薪資變動(不計入)"",
  REGEXMATCH(C4173, ""押金""), ""押金往來"",
  AND(E4173&lt;&gt;"""", F4173=""""), ""真實支出"",
  AND(E4173="""", F4173&lt;&gt;""""), ""真實收入"",
  TRUE, ""其他""
)"),"真實收入")</f>
        <v>真實收入</v>
      </c>
      <c r="K4173" s="270">
        <f t="shared" si="2"/>
        <v>14800</v>
      </c>
      <c r="L4173">
        <f t="shared" si="3"/>
        <v>0</v>
      </c>
    </row>
    <row r="4174">
      <c r="A4174" s="107">
        <f>IFERROR(__xludf.DUMMYFUNCTION("""COMPUTED_VALUE"""),45505.0)</f>
        <v>45505</v>
      </c>
      <c r="B4174" t="str">
        <f>IFERROR(__xludf.DUMMYFUNCTION("""COMPUTED_VALUE"""),"內湖路一段周姐")</f>
        <v>內湖路一段周姐</v>
      </c>
      <c r="C4174" t="str">
        <f>IFERROR(__xludf.DUMMYFUNCTION("""COMPUTED_VALUE"""),"成本 - 大租金")</f>
        <v>成本 - 大租金</v>
      </c>
      <c r="D4174" s="270">
        <f>IFERROR(__xludf.DUMMYFUNCTION("""COMPUTED_VALUE"""),-45015.0)</f>
        <v>-45015</v>
      </c>
      <c r="E4174" t="str">
        <f>IFERROR(__xludf.DUMMYFUNCTION("""COMPUTED_VALUE"""),"玉山帳戶")</f>
        <v>玉山帳戶</v>
      </c>
      <c r="G4174" t="str">
        <f>IFERROR(__xludf.DUMMYFUNCTION("""COMPUTED_VALUE"""),"內湖秘境")</f>
        <v>內湖秘境</v>
      </c>
      <c r="H4174" s="106" t="str">
        <f t="shared" si="1"/>
        <v>2024-08</v>
      </c>
      <c r="I4174" s="271" t="str">
        <f>IFERROR(__xludf.DUMMYFUNCTION("""COMPUTED_VALUE"""),"鯰魚大大")</f>
        <v>鯰魚大大</v>
      </c>
      <c r="J4174" t="str">
        <f>IFERROR(__xludf.DUMMYFUNCTION("IFS(
  AND(REGEXMATCH(E4174, ""台銀籌備帳戶|玉山帳戶""), REGEXMATCH(C4174, ""薪資"")), ""分潤支出"",
  AND(REGEXMATCH(E4174, ""Ben帳戶|Elsa帳戶|Ben代墊|Ariel代墊|中信銀行共用""), REGEXMATCH(F4174, ""Ben帳戶|Elsa帳戶|Ben代墊|Ariel代墊|中信銀行共用"")), ""內部轉帳(忽略)"",
  AND(E4174&lt;&gt;"""", F4174&lt;&gt;"""", N"&amp;"OT(REGEXMATCH(C4174, ""薪資""))), ""內部轉帳(忽略)"",
  REGEXMATCH(C4174, ""薪資""), ""薪資變動(不計入)"",
  REGEXMATCH(C4174, ""押金""), ""押金往來"",
  AND(E4174&lt;&gt;"""", F4174=""""), ""真實支出"",
  AND(E4174="""", F4174&lt;&gt;""""), ""真實收入"",
  TRUE, ""其他""
)"),"真實支出")</f>
        <v>真實支出</v>
      </c>
      <c r="K4174" s="270">
        <f t="shared" si="2"/>
        <v>-45015</v>
      </c>
      <c r="L4174">
        <f t="shared" si="3"/>
        <v>0</v>
      </c>
    </row>
    <row r="4175">
      <c r="A4175" s="107">
        <f>IFERROR(__xludf.DUMMYFUNCTION("""COMPUTED_VALUE"""),45505.0)</f>
        <v>45505</v>
      </c>
      <c r="B4175" t="str">
        <f>IFERROR(__xludf.DUMMYFUNCTION("""COMPUTED_VALUE"""),"和豐大房租")</f>
        <v>和豐大房租</v>
      </c>
      <c r="C4175" t="str">
        <f>IFERROR(__xludf.DUMMYFUNCTION("""COMPUTED_VALUE"""),"成本 - 大租金")</f>
        <v>成本 - 大租金</v>
      </c>
      <c r="D4175" s="270">
        <f>IFERROR(__xludf.DUMMYFUNCTION("""COMPUTED_VALUE"""),-14415.0)</f>
        <v>-14415</v>
      </c>
      <c r="E4175" t="str">
        <f>IFERROR(__xludf.DUMMYFUNCTION("""COMPUTED_VALUE"""),"玉山帳戶")</f>
        <v>玉山帳戶</v>
      </c>
      <c r="G4175" t="str">
        <f>IFERROR(__xludf.DUMMYFUNCTION("""COMPUTED_VALUE"""),"士林和豐")</f>
        <v>士林和豐</v>
      </c>
      <c r="H4175" s="106" t="str">
        <f t="shared" si="1"/>
        <v>2024-08</v>
      </c>
      <c r="I4175" s="271" t="str">
        <f>IFERROR(__xludf.DUMMYFUNCTION("""COMPUTED_VALUE"""),"鯰魚大大")</f>
        <v>鯰魚大大</v>
      </c>
      <c r="J4175" t="str">
        <f>IFERROR(__xludf.DUMMYFUNCTION("IFS(
  AND(REGEXMATCH(E4175, ""台銀籌備帳戶|玉山帳戶""), REGEXMATCH(C4175, ""薪資"")), ""分潤支出"",
  AND(REGEXMATCH(E4175, ""Ben帳戶|Elsa帳戶|Ben代墊|Ariel代墊|中信銀行共用""), REGEXMATCH(F4175, ""Ben帳戶|Elsa帳戶|Ben代墊|Ariel代墊|中信銀行共用"")), ""內部轉帳(忽略)"",
  AND(E4175&lt;&gt;"""", F4175&lt;&gt;"""", N"&amp;"OT(REGEXMATCH(C4175, ""薪資""))), ""內部轉帳(忽略)"",
  REGEXMATCH(C4175, ""薪資""), ""薪資變動(不計入)"",
  REGEXMATCH(C4175, ""押金""), ""押金往來"",
  AND(E4175&lt;&gt;"""", F4175=""""), ""真實支出"",
  AND(E4175="""", F4175&lt;&gt;""""), ""真實收入"",
  TRUE, ""其他""
)"),"真實支出")</f>
        <v>真實支出</v>
      </c>
      <c r="K4175" s="270">
        <f t="shared" si="2"/>
        <v>-14415</v>
      </c>
      <c r="L4175">
        <f t="shared" si="3"/>
        <v>0</v>
      </c>
    </row>
    <row r="4176">
      <c r="A4176" s="107">
        <f>IFERROR(__xludf.DUMMYFUNCTION("""COMPUTED_VALUE"""),45505.0)</f>
        <v>45505</v>
      </c>
      <c r="B4176" t="str">
        <f>IFERROR(__xludf.DUMMYFUNCTION("""COMPUTED_VALUE"""),"家庭帳戶")</f>
        <v>家庭帳戶</v>
      </c>
      <c r="C4176" t="str">
        <f>IFERROR(__xludf.DUMMYFUNCTION("""COMPUTED_VALUE"""),"費用 - Salary 薪資")</f>
        <v>費用 - Salary 薪資</v>
      </c>
      <c r="D4176" s="270">
        <f>IFERROR(__xludf.DUMMYFUNCTION("""COMPUTED_VALUE"""),-50015.0)</f>
        <v>-50015</v>
      </c>
      <c r="E4176" t="str">
        <f>IFERROR(__xludf.DUMMYFUNCTION("""COMPUTED_VALUE"""),"玉山帳戶")</f>
        <v>玉山帳戶</v>
      </c>
      <c r="F4176" t="str">
        <f>IFERROR(__xludf.DUMMYFUNCTION("""COMPUTED_VALUE"""),"中信銀行共用")</f>
        <v>中信銀行共用</v>
      </c>
      <c r="H4176" s="106" t="str">
        <f t="shared" si="1"/>
        <v>2024-08</v>
      </c>
      <c r="I4176" s="271" t="str">
        <f>IFERROR(__xludf.DUMMYFUNCTION("""COMPUTED_VALUE"""),"鯰魚大大")</f>
        <v>鯰魚大大</v>
      </c>
      <c r="J4176" t="str">
        <f>IFERROR(__xludf.DUMMYFUNCTION("IFS(
  AND(REGEXMATCH(E4176, ""台銀籌備帳戶|玉山帳戶""), REGEXMATCH(C4176, ""薪資"")), ""分潤支出"",
  AND(REGEXMATCH(E4176, ""Ben帳戶|Elsa帳戶|Ben代墊|Ariel代墊|中信銀行共用""), REGEXMATCH(F4176, ""Ben帳戶|Elsa帳戶|Ben代墊|Ariel代墊|中信銀行共用"")), ""內部轉帳(忽略)"",
  AND(E4176&lt;&gt;"""", F4176&lt;&gt;"""", N"&amp;"OT(REGEXMATCH(C4176, ""薪資""))), ""內部轉帳(忽略)"",
  REGEXMATCH(C4176, ""薪資""), ""薪資變動(不計入)"",
  REGEXMATCH(C4176, ""押金""), ""押金往來"",
  AND(E4176&lt;&gt;"""", F4176=""""), ""真實支出"",
  AND(E4176="""", F4176&lt;&gt;""""), ""真實收入"",
  TRUE, ""其他""
)"),"分潤支出")</f>
        <v>分潤支出</v>
      </c>
      <c r="K4176">
        <f t="shared" si="2"/>
        <v>0</v>
      </c>
      <c r="L4176">
        <f t="shared" si="3"/>
        <v>50015</v>
      </c>
    </row>
    <row r="4177">
      <c r="A4177" s="107">
        <f>IFERROR(__xludf.DUMMYFUNCTION("""COMPUTED_VALUE"""),45505.0)</f>
        <v>45505</v>
      </c>
      <c r="B4177" t="str">
        <f>IFERROR(__xludf.DUMMYFUNCTION("""COMPUTED_VALUE"""),"內湖秘境G徐若洹")</f>
        <v>內湖秘境G徐若洹</v>
      </c>
      <c r="C4177" t="str">
        <f>IFERROR(__xludf.DUMMYFUNCTION("""COMPUTED_VALUE"""),"收入 - 租金")</f>
        <v>收入 - 租金</v>
      </c>
      <c r="D4177" s="270">
        <f>IFERROR(__xludf.DUMMYFUNCTION("""COMPUTED_VALUE"""),12100.0)</f>
        <v>12100</v>
      </c>
      <c r="F4177" t="str">
        <f>IFERROR(__xludf.DUMMYFUNCTION("""COMPUTED_VALUE"""),"玉山帳戶")</f>
        <v>玉山帳戶</v>
      </c>
      <c r="G4177" t="str">
        <f>IFERROR(__xludf.DUMMYFUNCTION("""COMPUTED_VALUE"""),"內湖秘境")</f>
        <v>內湖秘境</v>
      </c>
      <c r="H4177" s="106" t="str">
        <f t="shared" si="1"/>
        <v>2024-08</v>
      </c>
      <c r="I4177" s="271" t="str">
        <f>IFERROR(__xludf.DUMMYFUNCTION("""COMPUTED_VALUE"""),"鯰魚大大")</f>
        <v>鯰魚大大</v>
      </c>
      <c r="J4177" t="str">
        <f>IFERROR(__xludf.DUMMYFUNCTION("IFS(
  AND(REGEXMATCH(E4177, ""台銀籌備帳戶|玉山帳戶""), REGEXMATCH(C4177, ""薪資"")), ""分潤支出"",
  AND(REGEXMATCH(E4177, ""Ben帳戶|Elsa帳戶|Ben代墊|Ariel代墊|中信銀行共用""), REGEXMATCH(F4177, ""Ben帳戶|Elsa帳戶|Ben代墊|Ariel代墊|中信銀行共用"")), ""內部轉帳(忽略)"",
  AND(E4177&lt;&gt;"""", F4177&lt;&gt;"""", N"&amp;"OT(REGEXMATCH(C4177, ""薪資""))), ""內部轉帳(忽略)"",
  REGEXMATCH(C4177, ""薪資""), ""薪資變動(不計入)"",
  REGEXMATCH(C4177, ""押金""), ""押金往來"",
  AND(E4177&lt;&gt;"""", F4177=""""), ""真實支出"",
  AND(E4177="""", F4177&lt;&gt;""""), ""真實收入"",
  TRUE, ""其他""
)"),"真實收入")</f>
        <v>真實收入</v>
      </c>
      <c r="K4177" s="270">
        <f t="shared" si="2"/>
        <v>12100</v>
      </c>
      <c r="L4177">
        <f t="shared" si="3"/>
        <v>0</v>
      </c>
    </row>
    <row r="4178">
      <c r="A4178" s="107">
        <f>IFERROR(__xludf.DUMMYFUNCTION("""COMPUTED_VALUE"""),45505.0)</f>
        <v>45505</v>
      </c>
      <c r="B4178" t="str">
        <f>IFERROR(__xludf.DUMMYFUNCTION("""COMPUTED_VALUE"""),"內湖秘境B李方羽")</f>
        <v>內湖秘境B李方羽</v>
      </c>
      <c r="C4178" t="str">
        <f>IFERROR(__xludf.DUMMYFUNCTION("""COMPUTED_VALUE"""),"收入 - 租金")</f>
        <v>收入 - 租金</v>
      </c>
      <c r="D4178" s="270">
        <f>IFERROR(__xludf.DUMMYFUNCTION("""COMPUTED_VALUE"""),12800.0)</f>
        <v>12800</v>
      </c>
      <c r="F4178" t="str">
        <f>IFERROR(__xludf.DUMMYFUNCTION("""COMPUTED_VALUE"""),"玉山帳戶")</f>
        <v>玉山帳戶</v>
      </c>
      <c r="G4178" t="str">
        <f>IFERROR(__xludf.DUMMYFUNCTION("""COMPUTED_VALUE"""),"內湖秘境")</f>
        <v>內湖秘境</v>
      </c>
      <c r="H4178" s="106" t="str">
        <f t="shared" si="1"/>
        <v>2024-08</v>
      </c>
      <c r="I4178" s="271" t="str">
        <f>IFERROR(__xludf.DUMMYFUNCTION("""COMPUTED_VALUE"""),"鯰魚大大")</f>
        <v>鯰魚大大</v>
      </c>
      <c r="J4178" t="str">
        <f>IFERROR(__xludf.DUMMYFUNCTION("IFS(
  AND(REGEXMATCH(E4178, ""台銀籌備帳戶|玉山帳戶""), REGEXMATCH(C4178, ""薪資"")), ""分潤支出"",
  AND(REGEXMATCH(E4178, ""Ben帳戶|Elsa帳戶|Ben代墊|Ariel代墊|中信銀行共用""), REGEXMATCH(F4178, ""Ben帳戶|Elsa帳戶|Ben代墊|Ariel代墊|中信銀行共用"")), ""內部轉帳(忽略)"",
  AND(E4178&lt;&gt;"""", F4178&lt;&gt;"""", N"&amp;"OT(REGEXMATCH(C4178, ""薪資""))), ""內部轉帳(忽略)"",
  REGEXMATCH(C4178, ""薪資""), ""薪資變動(不計入)"",
  REGEXMATCH(C4178, ""押金""), ""押金往來"",
  AND(E4178&lt;&gt;"""", F4178=""""), ""真實支出"",
  AND(E4178="""", F4178&lt;&gt;""""), ""真實收入"",
  TRUE, ""其他""
)"),"真實收入")</f>
        <v>真實收入</v>
      </c>
      <c r="K4178" s="270">
        <f t="shared" si="2"/>
        <v>12800</v>
      </c>
      <c r="L4178">
        <f t="shared" si="3"/>
        <v>0</v>
      </c>
    </row>
    <row r="4179">
      <c r="A4179" s="107">
        <f>IFERROR(__xludf.DUMMYFUNCTION("""COMPUTED_VALUE"""),45505.0)</f>
        <v>45505</v>
      </c>
      <c r="B4179" t="str">
        <f>IFERROR(__xludf.DUMMYFUNCTION("""COMPUTED_VALUE"""),"士林和豐C李宛宸")</f>
        <v>士林和豐C李宛宸</v>
      </c>
      <c r="C4179" t="str">
        <f>IFERROR(__xludf.DUMMYFUNCTION("""COMPUTED_VALUE"""),"收入 - 租金")</f>
        <v>收入 - 租金</v>
      </c>
      <c r="D4179" s="270">
        <f>IFERROR(__xludf.DUMMYFUNCTION("""COMPUTED_VALUE"""),13100.0)</f>
        <v>13100</v>
      </c>
      <c r="F4179" t="str">
        <f>IFERROR(__xludf.DUMMYFUNCTION("""COMPUTED_VALUE"""),"玉山帳戶")</f>
        <v>玉山帳戶</v>
      </c>
      <c r="G4179" t="str">
        <f>IFERROR(__xludf.DUMMYFUNCTION("""COMPUTED_VALUE"""),"士林和豐")</f>
        <v>士林和豐</v>
      </c>
      <c r="H4179" s="106" t="str">
        <f t="shared" si="1"/>
        <v>2024-08</v>
      </c>
      <c r="I4179" s="271" t="str">
        <f>IFERROR(__xludf.DUMMYFUNCTION("""COMPUTED_VALUE"""),"鯰魚大大")</f>
        <v>鯰魚大大</v>
      </c>
      <c r="J4179" t="str">
        <f>IFERROR(__xludf.DUMMYFUNCTION("IFS(
  AND(REGEXMATCH(E4179, ""台銀籌備帳戶|玉山帳戶""), REGEXMATCH(C4179, ""薪資"")), ""分潤支出"",
  AND(REGEXMATCH(E4179, ""Ben帳戶|Elsa帳戶|Ben代墊|Ariel代墊|中信銀行共用""), REGEXMATCH(F4179, ""Ben帳戶|Elsa帳戶|Ben代墊|Ariel代墊|中信銀行共用"")), ""內部轉帳(忽略)"",
  AND(E4179&lt;&gt;"""", F4179&lt;&gt;"""", N"&amp;"OT(REGEXMATCH(C4179, ""薪資""))), ""內部轉帳(忽略)"",
  REGEXMATCH(C4179, ""薪資""), ""薪資變動(不計入)"",
  REGEXMATCH(C4179, ""押金""), ""押金往來"",
  AND(E4179&lt;&gt;"""", F4179=""""), ""真實支出"",
  AND(E4179="""", F4179&lt;&gt;""""), ""真實收入"",
  TRUE, ""其他""
)"),"真實收入")</f>
        <v>真實收入</v>
      </c>
      <c r="K4179" s="270">
        <f t="shared" si="2"/>
        <v>13100</v>
      </c>
      <c r="L4179">
        <f t="shared" si="3"/>
        <v>0</v>
      </c>
    </row>
    <row r="4180">
      <c r="A4180" s="107">
        <f>IFERROR(__xludf.DUMMYFUNCTION("""COMPUTED_VALUE"""),45505.0)</f>
        <v>45505</v>
      </c>
      <c r="B4180" t="str">
        <f>IFERROR(__xludf.DUMMYFUNCTION("""COMPUTED_VALUE"""),"士林和豐A巫思予")</f>
        <v>士林和豐A巫思予</v>
      </c>
      <c r="C4180" t="str">
        <f>IFERROR(__xludf.DUMMYFUNCTION("""COMPUTED_VALUE"""),"收入 - 租金")</f>
        <v>收入 - 租金</v>
      </c>
      <c r="D4180" s="270">
        <f>IFERROR(__xludf.DUMMYFUNCTION("""COMPUTED_VALUE"""),15800.0)</f>
        <v>15800</v>
      </c>
      <c r="F4180" t="str">
        <f>IFERROR(__xludf.DUMMYFUNCTION("""COMPUTED_VALUE"""),"玉山帳戶")</f>
        <v>玉山帳戶</v>
      </c>
      <c r="G4180" t="str">
        <f>IFERROR(__xludf.DUMMYFUNCTION("""COMPUTED_VALUE"""),"士林和豐")</f>
        <v>士林和豐</v>
      </c>
      <c r="H4180" s="106" t="str">
        <f t="shared" si="1"/>
        <v>2024-08</v>
      </c>
      <c r="I4180" s="271" t="str">
        <f>IFERROR(__xludf.DUMMYFUNCTION("""COMPUTED_VALUE"""),"鯰魚大大")</f>
        <v>鯰魚大大</v>
      </c>
      <c r="J4180" t="str">
        <f>IFERROR(__xludf.DUMMYFUNCTION("IFS(
  AND(REGEXMATCH(E4180, ""台銀籌備帳戶|玉山帳戶""), REGEXMATCH(C4180, ""薪資"")), ""分潤支出"",
  AND(REGEXMATCH(E4180, ""Ben帳戶|Elsa帳戶|Ben代墊|Ariel代墊|中信銀行共用""), REGEXMATCH(F4180, ""Ben帳戶|Elsa帳戶|Ben代墊|Ariel代墊|中信銀行共用"")), ""內部轉帳(忽略)"",
  AND(E4180&lt;&gt;"""", F4180&lt;&gt;"""", N"&amp;"OT(REGEXMATCH(C4180, ""薪資""))), ""內部轉帳(忽略)"",
  REGEXMATCH(C4180, ""薪資""), ""薪資變動(不計入)"",
  REGEXMATCH(C4180, ""押金""), ""押金往來"",
  AND(E4180&lt;&gt;"""", F4180=""""), ""真實支出"",
  AND(E4180="""", F4180&lt;&gt;""""), ""真實收入"",
  TRUE, ""其他""
)"),"真實收入")</f>
        <v>真實收入</v>
      </c>
      <c r="K4180" s="270">
        <f t="shared" si="2"/>
        <v>15800</v>
      </c>
      <c r="L4180">
        <f t="shared" si="3"/>
        <v>0</v>
      </c>
    </row>
    <row r="4181">
      <c r="A4181" s="107">
        <f>IFERROR(__xludf.DUMMYFUNCTION("""COMPUTED_VALUE"""),45505.0)</f>
        <v>45505</v>
      </c>
      <c r="B4181" t="str">
        <f>IFERROR(__xludf.DUMMYFUNCTION("""COMPUTED_VALUE"""),"內湖秘境A陳玟涵")</f>
        <v>內湖秘境A陳玟涵</v>
      </c>
      <c r="C4181" t="str">
        <f>IFERROR(__xludf.DUMMYFUNCTION("""COMPUTED_VALUE"""),"收入 - 租金")</f>
        <v>收入 - 租金</v>
      </c>
      <c r="D4181" s="270">
        <f>IFERROR(__xludf.DUMMYFUNCTION("""COMPUTED_VALUE"""),12000.0)</f>
        <v>12000</v>
      </c>
      <c r="F4181" t="str">
        <f>IFERROR(__xludf.DUMMYFUNCTION("""COMPUTED_VALUE"""),"玉山帳戶")</f>
        <v>玉山帳戶</v>
      </c>
      <c r="G4181" t="str">
        <f>IFERROR(__xludf.DUMMYFUNCTION("""COMPUTED_VALUE"""),"內湖秘境")</f>
        <v>內湖秘境</v>
      </c>
      <c r="H4181" s="106" t="str">
        <f t="shared" si="1"/>
        <v>2024-08</v>
      </c>
      <c r="I4181" s="271" t="str">
        <f>IFERROR(__xludf.DUMMYFUNCTION("""COMPUTED_VALUE"""),"鯰魚大大")</f>
        <v>鯰魚大大</v>
      </c>
      <c r="J4181" t="str">
        <f>IFERROR(__xludf.DUMMYFUNCTION("IFS(
  AND(REGEXMATCH(E4181, ""台銀籌備帳戶|玉山帳戶""), REGEXMATCH(C4181, ""薪資"")), ""分潤支出"",
  AND(REGEXMATCH(E4181, ""Ben帳戶|Elsa帳戶|Ben代墊|Ariel代墊|中信銀行共用""), REGEXMATCH(F4181, ""Ben帳戶|Elsa帳戶|Ben代墊|Ariel代墊|中信銀行共用"")), ""內部轉帳(忽略)"",
  AND(E4181&lt;&gt;"""", F4181&lt;&gt;"""", N"&amp;"OT(REGEXMATCH(C4181, ""薪資""))), ""內部轉帳(忽略)"",
  REGEXMATCH(C4181, ""薪資""), ""薪資變動(不計入)"",
  REGEXMATCH(C4181, ""押金""), ""押金往來"",
  AND(E4181&lt;&gt;"""", F4181=""""), ""真實支出"",
  AND(E4181="""", F4181&lt;&gt;""""), ""真實收入"",
  TRUE, ""其他""
)"),"真實收入")</f>
        <v>真實收入</v>
      </c>
      <c r="K4181" s="270">
        <f t="shared" si="2"/>
        <v>12000</v>
      </c>
      <c r="L4181">
        <f t="shared" si="3"/>
        <v>0</v>
      </c>
    </row>
    <row r="4182">
      <c r="A4182" s="107">
        <f>IFERROR(__xludf.DUMMYFUNCTION("""COMPUTED_VALUE"""),45505.0)</f>
        <v>45505</v>
      </c>
      <c r="B4182" t="str">
        <f>IFERROR(__xludf.DUMMYFUNCTION("""COMPUTED_VALUE"""),"士林和豐B郭昱慧")</f>
        <v>士林和豐B郭昱慧</v>
      </c>
      <c r="C4182" t="str">
        <f>IFERROR(__xludf.DUMMYFUNCTION("""COMPUTED_VALUE"""),"收入 - 租金")</f>
        <v>收入 - 租金</v>
      </c>
      <c r="D4182" s="270">
        <f>IFERROR(__xludf.DUMMYFUNCTION("""COMPUTED_VALUE"""),14100.0)</f>
        <v>14100</v>
      </c>
      <c r="F4182" t="str">
        <f>IFERROR(__xludf.DUMMYFUNCTION("""COMPUTED_VALUE"""),"玉山帳戶")</f>
        <v>玉山帳戶</v>
      </c>
      <c r="G4182" t="str">
        <f>IFERROR(__xludf.DUMMYFUNCTION("""COMPUTED_VALUE"""),"士林和豐")</f>
        <v>士林和豐</v>
      </c>
      <c r="H4182" s="106" t="str">
        <f t="shared" si="1"/>
        <v>2024-08</v>
      </c>
      <c r="I4182" s="271" t="str">
        <f>IFERROR(__xludf.DUMMYFUNCTION("""COMPUTED_VALUE"""),"鯰魚大大")</f>
        <v>鯰魚大大</v>
      </c>
      <c r="J4182" t="str">
        <f>IFERROR(__xludf.DUMMYFUNCTION("IFS(
  AND(REGEXMATCH(E4182, ""台銀籌備帳戶|玉山帳戶""), REGEXMATCH(C4182, ""薪資"")), ""分潤支出"",
  AND(REGEXMATCH(E4182, ""Ben帳戶|Elsa帳戶|Ben代墊|Ariel代墊|中信銀行共用""), REGEXMATCH(F4182, ""Ben帳戶|Elsa帳戶|Ben代墊|Ariel代墊|中信銀行共用"")), ""內部轉帳(忽略)"",
  AND(E4182&lt;&gt;"""", F4182&lt;&gt;"""", N"&amp;"OT(REGEXMATCH(C4182, ""薪資""))), ""內部轉帳(忽略)"",
  REGEXMATCH(C4182, ""薪資""), ""薪資變動(不計入)"",
  REGEXMATCH(C4182, ""押金""), ""押金往來"",
  AND(E4182&lt;&gt;"""", F4182=""""), ""真實支出"",
  AND(E4182="""", F4182&lt;&gt;""""), ""真實收入"",
  TRUE, ""其他""
)"),"真實收入")</f>
        <v>真實收入</v>
      </c>
      <c r="K4182" s="270">
        <f t="shared" si="2"/>
        <v>14100</v>
      </c>
      <c r="L4182">
        <f t="shared" si="3"/>
        <v>0</v>
      </c>
    </row>
    <row r="4183">
      <c r="A4183" s="107">
        <f>IFERROR(__xludf.DUMMYFUNCTION("""COMPUTED_VALUE"""),45512.0)</f>
        <v>45512</v>
      </c>
      <c r="B4183" t="str">
        <f>IFERROR(__xludf.DUMMYFUNCTION("""COMPUTED_VALUE"""),"採訪文的贈送禮物")</f>
        <v>採訪文的贈送禮物</v>
      </c>
      <c r="C4183" t="str">
        <f>IFERROR(__xludf.DUMMYFUNCTION("""COMPUTED_VALUE"""),"費用 - 餐飲")</f>
        <v>費用 - 餐飲</v>
      </c>
      <c r="D4183" s="270">
        <f>IFERROR(__xludf.DUMMYFUNCTION("""COMPUTED_VALUE"""),-830.0)</f>
        <v>-830</v>
      </c>
      <c r="E4183" t="str">
        <f>IFERROR(__xludf.DUMMYFUNCTION("""COMPUTED_VALUE"""),"Ben代墊")</f>
        <v>Ben代墊</v>
      </c>
      <c r="G4183" t="str">
        <f>IFERROR(__xludf.DUMMYFUNCTION("""COMPUTED_VALUE"""),"內湖秘境")</f>
        <v>內湖秘境</v>
      </c>
      <c r="H4183" s="106" t="str">
        <f t="shared" si="1"/>
        <v>2024-08</v>
      </c>
      <c r="I4183" s="271" t="str">
        <f>IFERROR(__xludf.DUMMYFUNCTION("""COMPUTED_VALUE"""),"鯰魚大大")</f>
        <v>鯰魚大大</v>
      </c>
      <c r="J4183" t="str">
        <f>IFERROR(__xludf.DUMMYFUNCTION("IFS(
  AND(REGEXMATCH(E4183, ""台銀籌備帳戶|玉山帳戶""), REGEXMATCH(C4183, ""薪資"")), ""分潤支出"",
  AND(REGEXMATCH(E4183, ""Ben帳戶|Elsa帳戶|Ben代墊|Ariel代墊|中信銀行共用""), REGEXMATCH(F4183, ""Ben帳戶|Elsa帳戶|Ben代墊|Ariel代墊|中信銀行共用"")), ""內部轉帳(忽略)"",
  AND(E4183&lt;&gt;"""", F4183&lt;&gt;"""", N"&amp;"OT(REGEXMATCH(C4183, ""薪資""))), ""內部轉帳(忽略)"",
  REGEXMATCH(C4183, ""薪資""), ""薪資變動(不計入)"",
  REGEXMATCH(C4183, ""押金""), ""押金往來"",
  AND(E4183&lt;&gt;"""", F4183=""""), ""真實支出"",
  AND(E4183="""", F4183&lt;&gt;""""), ""真實收入"",
  TRUE, ""其他""
)"),"真實支出")</f>
        <v>真實支出</v>
      </c>
      <c r="K4183" s="270">
        <f t="shared" si="2"/>
        <v>-830</v>
      </c>
      <c r="L4183">
        <f t="shared" si="3"/>
        <v>0</v>
      </c>
    </row>
    <row r="4184">
      <c r="A4184" s="107">
        <f>IFERROR(__xludf.DUMMYFUNCTION("""COMPUTED_VALUE"""),45531.0)</f>
        <v>45531</v>
      </c>
      <c r="B4184" t="str">
        <f>IFERROR(__xludf.DUMMYFUNCTION("""COMPUTED_VALUE"""),"網路")</f>
        <v>網路</v>
      </c>
      <c r="C4184" t="str">
        <f>IFERROR(__xludf.DUMMYFUNCTION("""COMPUTED_VALUE"""),"成本 - 固定開銷(網路代收清潔)")</f>
        <v>成本 - 固定開銷(網路代收清潔)</v>
      </c>
      <c r="D4184" s="270">
        <f>IFERROR(__xludf.DUMMYFUNCTION("""COMPUTED_VALUE"""),-2697.0)</f>
        <v>-2697</v>
      </c>
      <c r="E4184" t="str">
        <f>IFERROR(__xludf.DUMMYFUNCTION("""COMPUTED_VALUE"""),"Ben代墊")</f>
        <v>Ben代墊</v>
      </c>
      <c r="G4184" t="str">
        <f>IFERROR(__xludf.DUMMYFUNCTION("""COMPUTED_VALUE"""),"內湖秘境")</f>
        <v>內湖秘境</v>
      </c>
      <c r="H4184" s="106" t="str">
        <f t="shared" si="1"/>
        <v>2024-08</v>
      </c>
      <c r="I4184" s="271" t="str">
        <f>IFERROR(__xludf.DUMMYFUNCTION("""COMPUTED_VALUE"""),"鯰魚大大")</f>
        <v>鯰魚大大</v>
      </c>
      <c r="J4184" t="str">
        <f>IFERROR(__xludf.DUMMYFUNCTION("IFS(
  AND(REGEXMATCH(E4184, ""台銀籌備帳戶|玉山帳戶""), REGEXMATCH(C4184, ""薪資"")), ""分潤支出"",
  AND(REGEXMATCH(E4184, ""Ben帳戶|Elsa帳戶|Ben代墊|Ariel代墊|中信銀行共用""), REGEXMATCH(F4184, ""Ben帳戶|Elsa帳戶|Ben代墊|Ariel代墊|中信銀行共用"")), ""內部轉帳(忽略)"",
  AND(E4184&lt;&gt;"""", F4184&lt;&gt;"""", N"&amp;"OT(REGEXMATCH(C4184, ""薪資""))), ""內部轉帳(忽略)"",
  REGEXMATCH(C4184, ""薪資""), ""薪資變動(不計入)"",
  REGEXMATCH(C4184, ""押金""), ""押金往來"",
  AND(E4184&lt;&gt;"""", F4184=""""), ""真實支出"",
  AND(E4184="""", F4184&lt;&gt;""""), ""真實收入"",
  TRUE, ""其他""
)"),"真實支出")</f>
        <v>真實支出</v>
      </c>
      <c r="K4184" s="270">
        <f t="shared" si="2"/>
        <v>-2697</v>
      </c>
      <c r="L4184">
        <f t="shared" si="3"/>
        <v>0</v>
      </c>
    </row>
    <row r="4185">
      <c r="A4185" s="107">
        <f>IFERROR(__xludf.DUMMYFUNCTION("""COMPUTED_VALUE"""),45509.0)</f>
        <v>45509</v>
      </c>
      <c r="B4185" t="str">
        <f>IFERROR(__xludf.DUMMYFUNCTION("""COMPUTED_VALUE"""),"內湖秘境F楊芯岳")</f>
        <v>內湖秘境F楊芯岳</v>
      </c>
      <c r="C4185" t="str">
        <f>IFERROR(__xludf.DUMMYFUNCTION("""COMPUTED_VALUE"""),"收入 - 租金")</f>
        <v>收入 - 租金</v>
      </c>
      <c r="D4185" s="270">
        <f>IFERROR(__xludf.DUMMYFUNCTION("""COMPUTED_VALUE"""),10000.0)</f>
        <v>10000</v>
      </c>
      <c r="F4185" t="str">
        <f>IFERROR(__xludf.DUMMYFUNCTION("""COMPUTED_VALUE"""),"玉山帳戶")</f>
        <v>玉山帳戶</v>
      </c>
      <c r="G4185" t="str">
        <f>IFERROR(__xludf.DUMMYFUNCTION("""COMPUTED_VALUE"""),"內湖秘境")</f>
        <v>內湖秘境</v>
      </c>
      <c r="H4185" s="106" t="str">
        <f t="shared" si="1"/>
        <v>2024-08</v>
      </c>
      <c r="I4185" s="271" t="str">
        <f>IFERROR(__xludf.DUMMYFUNCTION("""COMPUTED_VALUE"""),"鯰魚大大")</f>
        <v>鯰魚大大</v>
      </c>
      <c r="J4185" t="str">
        <f>IFERROR(__xludf.DUMMYFUNCTION("IFS(
  AND(REGEXMATCH(E4185, ""台銀籌備帳戶|玉山帳戶""), REGEXMATCH(C4185, ""薪資"")), ""分潤支出"",
  AND(REGEXMATCH(E4185, ""Ben帳戶|Elsa帳戶|Ben代墊|Ariel代墊|中信銀行共用""), REGEXMATCH(F4185, ""Ben帳戶|Elsa帳戶|Ben代墊|Ariel代墊|中信銀行共用"")), ""內部轉帳(忽略)"",
  AND(E4185&lt;&gt;"""", F4185&lt;&gt;"""", N"&amp;"OT(REGEXMATCH(C4185, ""薪資""))), ""內部轉帳(忽略)"",
  REGEXMATCH(C4185, ""薪資""), ""薪資變動(不計入)"",
  REGEXMATCH(C4185, ""押金""), ""押金往來"",
  AND(E4185&lt;&gt;"""", F4185=""""), ""真實支出"",
  AND(E4185="""", F4185&lt;&gt;""""), ""真實收入"",
  TRUE, ""其他""
)"),"真實收入")</f>
        <v>真實收入</v>
      </c>
      <c r="K4185" s="270">
        <f t="shared" si="2"/>
        <v>10000</v>
      </c>
      <c r="L4185">
        <f t="shared" si="3"/>
        <v>0</v>
      </c>
    </row>
    <row r="4186">
      <c r="A4186" s="107">
        <f>IFERROR(__xludf.DUMMYFUNCTION("""COMPUTED_VALUE"""),45509.0)</f>
        <v>45509</v>
      </c>
      <c r="B4186" t="str">
        <f>IFERROR(__xludf.DUMMYFUNCTION("""COMPUTED_VALUE"""),"內湖秘境F楊芯岳")</f>
        <v>內湖秘境F楊芯岳</v>
      </c>
      <c r="C4186" t="str">
        <f>IFERROR(__xludf.DUMMYFUNCTION("""COMPUTED_VALUE"""),"收入 - 租金")</f>
        <v>收入 - 租金</v>
      </c>
      <c r="D4186" s="270">
        <f>IFERROR(__xludf.DUMMYFUNCTION("""COMPUTED_VALUE"""),3500.0)</f>
        <v>3500</v>
      </c>
      <c r="F4186" t="str">
        <f>IFERROR(__xludf.DUMMYFUNCTION("""COMPUTED_VALUE"""),"玉山帳戶")</f>
        <v>玉山帳戶</v>
      </c>
      <c r="G4186" t="str">
        <f>IFERROR(__xludf.DUMMYFUNCTION("""COMPUTED_VALUE"""),"內湖秘境")</f>
        <v>內湖秘境</v>
      </c>
      <c r="H4186" s="106" t="str">
        <f t="shared" si="1"/>
        <v>2024-08</v>
      </c>
      <c r="I4186" s="271" t="str">
        <f>IFERROR(__xludf.DUMMYFUNCTION("""COMPUTED_VALUE"""),"鯰魚大大")</f>
        <v>鯰魚大大</v>
      </c>
      <c r="J4186" t="str">
        <f>IFERROR(__xludf.DUMMYFUNCTION("IFS(
  AND(REGEXMATCH(E4186, ""台銀籌備帳戶|玉山帳戶""), REGEXMATCH(C4186, ""薪資"")), ""分潤支出"",
  AND(REGEXMATCH(E4186, ""Ben帳戶|Elsa帳戶|Ben代墊|Ariel代墊|中信銀行共用""), REGEXMATCH(F4186, ""Ben帳戶|Elsa帳戶|Ben代墊|Ariel代墊|中信銀行共用"")), ""內部轉帳(忽略)"",
  AND(E4186&lt;&gt;"""", F4186&lt;&gt;"""", N"&amp;"OT(REGEXMATCH(C4186, ""薪資""))), ""內部轉帳(忽略)"",
  REGEXMATCH(C4186, ""薪資""), ""薪資變動(不計入)"",
  REGEXMATCH(C4186, ""押金""), ""押金往來"",
  AND(E4186&lt;&gt;"""", F4186=""""), ""真實支出"",
  AND(E4186="""", F4186&lt;&gt;""""), ""真實收入"",
  TRUE, ""其他""
)"),"真實收入")</f>
        <v>真實收入</v>
      </c>
      <c r="K4186" s="270">
        <f t="shared" si="2"/>
        <v>3500</v>
      </c>
      <c r="L4186">
        <f t="shared" si="3"/>
        <v>0</v>
      </c>
    </row>
    <row r="4187">
      <c r="A4187" s="107">
        <f>IFERROR(__xludf.DUMMYFUNCTION("""COMPUTED_VALUE"""),45519.0)</f>
        <v>45519</v>
      </c>
      <c r="B4187" t="str">
        <f>IFERROR(__xludf.DUMMYFUNCTION("""COMPUTED_VALUE"""),"和豐大房租")</f>
        <v>和豐大房租</v>
      </c>
      <c r="C4187" t="str">
        <f>IFERROR(__xludf.DUMMYFUNCTION("""COMPUTED_VALUE"""),"成本 - 大租金")</f>
        <v>成本 - 大租金</v>
      </c>
      <c r="D4187" s="270">
        <f>IFERROR(__xludf.DUMMYFUNCTION("""COMPUTED_VALUE"""),-14415.0)</f>
        <v>-14415</v>
      </c>
      <c r="E4187" t="str">
        <f>IFERROR(__xludf.DUMMYFUNCTION("""COMPUTED_VALUE"""),"玉山帳戶")</f>
        <v>玉山帳戶</v>
      </c>
      <c r="G4187" t="str">
        <f>IFERROR(__xludf.DUMMYFUNCTION("""COMPUTED_VALUE"""),"士林和豐")</f>
        <v>士林和豐</v>
      </c>
      <c r="H4187" s="106" t="str">
        <f t="shared" si="1"/>
        <v>2024-08</v>
      </c>
      <c r="I4187" s="271" t="str">
        <f>IFERROR(__xludf.DUMMYFUNCTION("""COMPUTED_VALUE"""),"鯰魚大大")</f>
        <v>鯰魚大大</v>
      </c>
      <c r="J4187" t="str">
        <f>IFERROR(__xludf.DUMMYFUNCTION("IFS(
  AND(REGEXMATCH(E4187, ""台銀籌備帳戶|玉山帳戶""), REGEXMATCH(C4187, ""薪資"")), ""分潤支出"",
  AND(REGEXMATCH(E4187, ""Ben帳戶|Elsa帳戶|Ben代墊|Ariel代墊|中信銀行共用""), REGEXMATCH(F4187, ""Ben帳戶|Elsa帳戶|Ben代墊|Ariel代墊|中信銀行共用"")), ""內部轉帳(忽略)"",
  AND(E4187&lt;&gt;"""", F4187&lt;&gt;"""", N"&amp;"OT(REGEXMATCH(C4187, ""薪資""))), ""內部轉帳(忽略)"",
  REGEXMATCH(C4187, ""薪資""), ""薪資變動(不計入)"",
  REGEXMATCH(C4187, ""押金""), ""押金往來"",
  AND(E4187&lt;&gt;"""", F4187=""""), ""真實支出"",
  AND(E4187="""", F4187&lt;&gt;""""), ""真實收入"",
  TRUE, ""其他""
)"),"真實支出")</f>
        <v>真實支出</v>
      </c>
      <c r="K4187" s="270">
        <f t="shared" si="2"/>
        <v>-14415</v>
      </c>
      <c r="L4187">
        <f t="shared" si="3"/>
        <v>0</v>
      </c>
    </row>
    <row r="4188">
      <c r="A4188" s="107">
        <f>IFERROR(__xludf.DUMMYFUNCTION("""COMPUTED_VALUE"""),45534.0)</f>
        <v>45534</v>
      </c>
      <c r="B4188" t="str">
        <f>IFERROR(__xludf.DUMMYFUNCTION("""COMPUTED_VALUE"""),"士林和豐A巫思予")</f>
        <v>士林和豐A巫思予</v>
      </c>
      <c r="C4188" t="str">
        <f>IFERROR(__xludf.DUMMYFUNCTION("""COMPUTED_VALUE"""),"收入 - 租金")</f>
        <v>收入 - 租金</v>
      </c>
      <c r="D4188" s="270">
        <f>IFERROR(__xludf.DUMMYFUNCTION("""COMPUTED_VALUE"""),15800.0)</f>
        <v>15800</v>
      </c>
      <c r="F4188" t="str">
        <f>IFERROR(__xludf.DUMMYFUNCTION("""COMPUTED_VALUE"""),"玉山帳戶")</f>
        <v>玉山帳戶</v>
      </c>
      <c r="G4188" t="str">
        <f>IFERROR(__xludf.DUMMYFUNCTION("""COMPUTED_VALUE"""),"士林和豐")</f>
        <v>士林和豐</v>
      </c>
      <c r="H4188" s="106" t="str">
        <f t="shared" si="1"/>
        <v>2024-08</v>
      </c>
      <c r="I4188" s="271" t="str">
        <f>IFERROR(__xludf.DUMMYFUNCTION("""COMPUTED_VALUE"""),"鯰魚大大")</f>
        <v>鯰魚大大</v>
      </c>
      <c r="J4188" t="str">
        <f>IFERROR(__xludf.DUMMYFUNCTION("IFS(
  AND(REGEXMATCH(E4188, ""台銀籌備帳戶|玉山帳戶""), REGEXMATCH(C4188, ""薪資"")), ""分潤支出"",
  AND(REGEXMATCH(E4188, ""Ben帳戶|Elsa帳戶|Ben代墊|Ariel代墊|中信銀行共用""), REGEXMATCH(F4188, ""Ben帳戶|Elsa帳戶|Ben代墊|Ariel代墊|中信銀行共用"")), ""內部轉帳(忽略)"",
  AND(E4188&lt;&gt;"""", F4188&lt;&gt;"""", N"&amp;"OT(REGEXMATCH(C4188, ""薪資""))), ""內部轉帳(忽略)"",
  REGEXMATCH(C4188, ""薪資""), ""薪資變動(不計入)"",
  REGEXMATCH(C4188, ""押金""), ""押金往來"",
  AND(E4188&lt;&gt;"""", F4188=""""), ""真實支出"",
  AND(E4188="""", F4188&lt;&gt;""""), ""真實收入"",
  TRUE, ""其他""
)"),"真實收入")</f>
        <v>真實收入</v>
      </c>
      <c r="K4188" s="270">
        <f t="shared" si="2"/>
        <v>15800</v>
      </c>
      <c r="L4188">
        <f t="shared" si="3"/>
        <v>0</v>
      </c>
    </row>
    <row r="4189">
      <c r="A4189" s="107">
        <f>IFERROR(__xludf.DUMMYFUNCTION("""COMPUTED_VALUE"""),45537.0)</f>
        <v>45537</v>
      </c>
      <c r="B4189" t="str">
        <f>IFERROR(__xludf.DUMMYFUNCTION("""COMPUTED_VALUE"""),"內湖秘境C黃詩穎")</f>
        <v>內湖秘境C黃詩穎</v>
      </c>
      <c r="C4189" t="str">
        <f>IFERROR(__xludf.DUMMYFUNCTION("""COMPUTED_VALUE"""),"收入 - 租金")</f>
        <v>收入 - 租金</v>
      </c>
      <c r="D4189" s="270">
        <f>IFERROR(__xludf.DUMMYFUNCTION("""COMPUTED_VALUE"""),14800.0)</f>
        <v>14800</v>
      </c>
      <c r="F4189" t="str">
        <f>IFERROR(__xludf.DUMMYFUNCTION("""COMPUTED_VALUE"""),"玉山帳戶")</f>
        <v>玉山帳戶</v>
      </c>
      <c r="G4189" t="str">
        <f>IFERROR(__xludf.DUMMYFUNCTION("""COMPUTED_VALUE"""),"內湖秘境")</f>
        <v>內湖秘境</v>
      </c>
      <c r="H4189" s="106" t="str">
        <f t="shared" si="1"/>
        <v>2024-09</v>
      </c>
      <c r="I4189" s="271" t="str">
        <f>IFERROR(__xludf.DUMMYFUNCTION("""COMPUTED_VALUE"""),"鯰魚大大")</f>
        <v>鯰魚大大</v>
      </c>
      <c r="J4189" t="str">
        <f>IFERROR(__xludf.DUMMYFUNCTION("IFS(
  AND(REGEXMATCH(E4189, ""台銀籌備帳戶|玉山帳戶""), REGEXMATCH(C4189, ""薪資"")), ""分潤支出"",
  AND(REGEXMATCH(E4189, ""Ben帳戶|Elsa帳戶|Ben代墊|Ariel代墊|中信銀行共用""), REGEXMATCH(F4189, ""Ben帳戶|Elsa帳戶|Ben代墊|Ariel代墊|中信銀行共用"")), ""內部轉帳(忽略)"",
  AND(E4189&lt;&gt;"""", F4189&lt;&gt;"""", N"&amp;"OT(REGEXMATCH(C4189, ""薪資""))), ""內部轉帳(忽略)"",
  REGEXMATCH(C4189, ""薪資""), ""薪資變動(不計入)"",
  REGEXMATCH(C4189, ""押金""), ""押金往來"",
  AND(E4189&lt;&gt;"""", F4189=""""), ""真實支出"",
  AND(E4189="""", F4189&lt;&gt;""""), ""真實收入"",
  TRUE, ""其他""
)"),"真實收入")</f>
        <v>真實收入</v>
      </c>
      <c r="K4189" s="270">
        <f t="shared" si="2"/>
        <v>14800</v>
      </c>
      <c r="L4189">
        <f t="shared" si="3"/>
        <v>0</v>
      </c>
    </row>
    <row r="4190">
      <c r="A4190" s="107">
        <f>IFERROR(__xludf.DUMMYFUNCTION("""COMPUTED_VALUE"""),45537.0)</f>
        <v>45537</v>
      </c>
      <c r="B4190" t="str">
        <f>IFERROR(__xludf.DUMMYFUNCTION("""COMPUTED_VALUE"""),"內湖秘境G徐若洹")</f>
        <v>內湖秘境G徐若洹</v>
      </c>
      <c r="C4190" t="str">
        <f>IFERROR(__xludf.DUMMYFUNCTION("""COMPUTED_VALUE"""),"收入 - 租金")</f>
        <v>收入 - 租金</v>
      </c>
      <c r="D4190" s="270">
        <f>IFERROR(__xludf.DUMMYFUNCTION("""COMPUTED_VALUE"""),12100.0)</f>
        <v>12100</v>
      </c>
      <c r="F4190" t="str">
        <f>IFERROR(__xludf.DUMMYFUNCTION("""COMPUTED_VALUE"""),"玉山帳戶")</f>
        <v>玉山帳戶</v>
      </c>
      <c r="G4190" t="str">
        <f>IFERROR(__xludf.DUMMYFUNCTION("""COMPUTED_VALUE"""),"內湖秘境")</f>
        <v>內湖秘境</v>
      </c>
      <c r="H4190" s="106" t="str">
        <f t="shared" si="1"/>
        <v>2024-09</v>
      </c>
      <c r="I4190" s="271" t="str">
        <f>IFERROR(__xludf.DUMMYFUNCTION("""COMPUTED_VALUE"""),"鯰魚大大")</f>
        <v>鯰魚大大</v>
      </c>
      <c r="J4190" t="str">
        <f>IFERROR(__xludf.DUMMYFUNCTION("IFS(
  AND(REGEXMATCH(E4190, ""台銀籌備帳戶|玉山帳戶""), REGEXMATCH(C4190, ""薪資"")), ""分潤支出"",
  AND(REGEXMATCH(E4190, ""Ben帳戶|Elsa帳戶|Ben代墊|Ariel代墊|中信銀行共用""), REGEXMATCH(F4190, ""Ben帳戶|Elsa帳戶|Ben代墊|Ariel代墊|中信銀行共用"")), ""內部轉帳(忽略)"",
  AND(E4190&lt;&gt;"""", F4190&lt;&gt;"""", N"&amp;"OT(REGEXMATCH(C4190, ""薪資""))), ""內部轉帳(忽略)"",
  REGEXMATCH(C4190, ""薪資""), ""薪資變動(不計入)"",
  REGEXMATCH(C4190, ""押金""), ""押金往來"",
  AND(E4190&lt;&gt;"""", F4190=""""), ""真實支出"",
  AND(E4190="""", F4190&lt;&gt;""""), ""真實收入"",
  TRUE, ""其他""
)"),"真實收入")</f>
        <v>真實收入</v>
      </c>
      <c r="K4190" s="270">
        <f t="shared" si="2"/>
        <v>12100</v>
      </c>
      <c r="L4190">
        <f t="shared" si="3"/>
        <v>0</v>
      </c>
    </row>
    <row r="4191">
      <c r="A4191" s="107">
        <f>IFERROR(__xludf.DUMMYFUNCTION("""COMPUTED_VALUE"""),45537.0)</f>
        <v>45537</v>
      </c>
      <c r="B4191" t="str">
        <f>IFERROR(__xludf.DUMMYFUNCTION("""COMPUTED_VALUE"""),"內湖秘境B李方羽")</f>
        <v>內湖秘境B李方羽</v>
      </c>
      <c r="C4191" t="str">
        <f>IFERROR(__xludf.DUMMYFUNCTION("""COMPUTED_VALUE"""),"收入 - 租金")</f>
        <v>收入 - 租金</v>
      </c>
      <c r="D4191" s="270">
        <f>IFERROR(__xludf.DUMMYFUNCTION("""COMPUTED_VALUE"""),12800.0)</f>
        <v>12800</v>
      </c>
      <c r="F4191" t="str">
        <f>IFERROR(__xludf.DUMMYFUNCTION("""COMPUTED_VALUE"""),"玉山帳戶")</f>
        <v>玉山帳戶</v>
      </c>
      <c r="G4191" t="str">
        <f>IFERROR(__xludf.DUMMYFUNCTION("""COMPUTED_VALUE"""),"內湖秘境")</f>
        <v>內湖秘境</v>
      </c>
      <c r="H4191" s="106" t="str">
        <f t="shared" si="1"/>
        <v>2024-09</v>
      </c>
      <c r="I4191" s="271" t="str">
        <f>IFERROR(__xludf.DUMMYFUNCTION("""COMPUTED_VALUE"""),"鯰魚大大")</f>
        <v>鯰魚大大</v>
      </c>
      <c r="J4191" t="str">
        <f>IFERROR(__xludf.DUMMYFUNCTION("IFS(
  AND(REGEXMATCH(E4191, ""台銀籌備帳戶|玉山帳戶""), REGEXMATCH(C4191, ""薪資"")), ""分潤支出"",
  AND(REGEXMATCH(E4191, ""Ben帳戶|Elsa帳戶|Ben代墊|Ariel代墊|中信銀行共用""), REGEXMATCH(F4191, ""Ben帳戶|Elsa帳戶|Ben代墊|Ariel代墊|中信銀行共用"")), ""內部轉帳(忽略)"",
  AND(E4191&lt;&gt;"""", F4191&lt;&gt;"""", N"&amp;"OT(REGEXMATCH(C4191, ""薪資""))), ""內部轉帳(忽略)"",
  REGEXMATCH(C4191, ""薪資""), ""薪資變動(不計入)"",
  REGEXMATCH(C4191, ""押金""), ""押金往來"",
  AND(E4191&lt;&gt;"""", F4191=""""), ""真實支出"",
  AND(E4191="""", F4191&lt;&gt;""""), ""真實收入"",
  TRUE, ""其他""
)"),"真實收入")</f>
        <v>真實收入</v>
      </c>
      <c r="K4191" s="270">
        <f t="shared" si="2"/>
        <v>12800</v>
      </c>
      <c r="L4191">
        <f t="shared" si="3"/>
        <v>0</v>
      </c>
    </row>
    <row r="4192">
      <c r="A4192" s="107">
        <f>IFERROR(__xludf.DUMMYFUNCTION("""COMPUTED_VALUE"""),45537.0)</f>
        <v>45537</v>
      </c>
      <c r="B4192" t="str">
        <f>IFERROR(__xludf.DUMMYFUNCTION("""COMPUTED_VALUE"""),"內湖秘境A陳玟涵")</f>
        <v>內湖秘境A陳玟涵</v>
      </c>
      <c r="C4192" t="str">
        <f>IFERROR(__xludf.DUMMYFUNCTION("""COMPUTED_VALUE"""),"收入 - 租金")</f>
        <v>收入 - 租金</v>
      </c>
      <c r="D4192" s="270">
        <f>IFERROR(__xludf.DUMMYFUNCTION("""COMPUTED_VALUE"""),12000.0)</f>
        <v>12000</v>
      </c>
      <c r="F4192" t="str">
        <f>IFERROR(__xludf.DUMMYFUNCTION("""COMPUTED_VALUE"""),"玉山帳戶")</f>
        <v>玉山帳戶</v>
      </c>
      <c r="G4192" t="str">
        <f>IFERROR(__xludf.DUMMYFUNCTION("""COMPUTED_VALUE"""),"內湖秘境")</f>
        <v>內湖秘境</v>
      </c>
      <c r="H4192" s="106" t="str">
        <f t="shared" si="1"/>
        <v>2024-09</v>
      </c>
      <c r="I4192" s="271" t="str">
        <f>IFERROR(__xludf.DUMMYFUNCTION("""COMPUTED_VALUE"""),"鯰魚大大")</f>
        <v>鯰魚大大</v>
      </c>
      <c r="J4192" t="str">
        <f>IFERROR(__xludf.DUMMYFUNCTION("IFS(
  AND(REGEXMATCH(E4192, ""台銀籌備帳戶|玉山帳戶""), REGEXMATCH(C4192, ""薪資"")), ""分潤支出"",
  AND(REGEXMATCH(E4192, ""Ben帳戶|Elsa帳戶|Ben代墊|Ariel代墊|中信銀行共用""), REGEXMATCH(F4192, ""Ben帳戶|Elsa帳戶|Ben代墊|Ariel代墊|中信銀行共用"")), ""內部轉帳(忽略)"",
  AND(E4192&lt;&gt;"""", F4192&lt;&gt;"""", N"&amp;"OT(REGEXMATCH(C4192, ""薪資""))), ""內部轉帳(忽略)"",
  REGEXMATCH(C4192, ""薪資""), ""薪資變動(不計入)"",
  REGEXMATCH(C4192, ""押金""), ""押金往來"",
  AND(E4192&lt;&gt;"""", F4192=""""), ""真實支出"",
  AND(E4192="""", F4192&lt;&gt;""""), ""真實收入"",
  TRUE, ""其他""
)"),"真實收入")</f>
        <v>真實收入</v>
      </c>
      <c r="K4192" s="270">
        <f t="shared" si="2"/>
        <v>12000</v>
      </c>
      <c r="L4192">
        <f t="shared" si="3"/>
        <v>0</v>
      </c>
    </row>
    <row r="4193">
      <c r="A4193" s="107">
        <f>IFERROR(__xludf.DUMMYFUNCTION("""COMPUTED_VALUE"""),45537.0)</f>
        <v>45537</v>
      </c>
      <c r="B4193" t="str">
        <f>IFERROR(__xludf.DUMMYFUNCTION("""COMPUTED_VALUE"""),"士林和豐C李宛宸")</f>
        <v>士林和豐C李宛宸</v>
      </c>
      <c r="C4193" t="str">
        <f>IFERROR(__xludf.DUMMYFUNCTION("""COMPUTED_VALUE"""),"收入 - 租金")</f>
        <v>收入 - 租金</v>
      </c>
      <c r="D4193" s="270">
        <f>IFERROR(__xludf.DUMMYFUNCTION("""COMPUTED_VALUE"""),13100.0)</f>
        <v>13100</v>
      </c>
      <c r="F4193" t="str">
        <f>IFERROR(__xludf.DUMMYFUNCTION("""COMPUTED_VALUE"""),"玉山帳戶")</f>
        <v>玉山帳戶</v>
      </c>
      <c r="G4193" t="str">
        <f>IFERROR(__xludf.DUMMYFUNCTION("""COMPUTED_VALUE"""),"士林和豐")</f>
        <v>士林和豐</v>
      </c>
      <c r="H4193" s="106" t="str">
        <f t="shared" si="1"/>
        <v>2024-09</v>
      </c>
      <c r="I4193" s="271" t="str">
        <f>IFERROR(__xludf.DUMMYFUNCTION("""COMPUTED_VALUE"""),"鯰魚大大")</f>
        <v>鯰魚大大</v>
      </c>
      <c r="J4193" t="str">
        <f>IFERROR(__xludf.DUMMYFUNCTION("IFS(
  AND(REGEXMATCH(E4193, ""台銀籌備帳戶|玉山帳戶""), REGEXMATCH(C4193, ""薪資"")), ""分潤支出"",
  AND(REGEXMATCH(E4193, ""Ben帳戶|Elsa帳戶|Ben代墊|Ariel代墊|中信銀行共用""), REGEXMATCH(F4193, ""Ben帳戶|Elsa帳戶|Ben代墊|Ariel代墊|中信銀行共用"")), ""內部轉帳(忽略)"",
  AND(E4193&lt;&gt;"""", F4193&lt;&gt;"""", N"&amp;"OT(REGEXMATCH(C4193, ""薪資""))), ""內部轉帳(忽略)"",
  REGEXMATCH(C4193, ""薪資""), ""薪資變動(不計入)"",
  REGEXMATCH(C4193, ""押金""), ""押金往來"",
  AND(E4193&lt;&gt;"""", F4193=""""), ""真實支出"",
  AND(E4193="""", F4193&lt;&gt;""""), ""真實收入"",
  TRUE, ""其他""
)"),"真實收入")</f>
        <v>真實收入</v>
      </c>
      <c r="K4193" s="270">
        <f t="shared" si="2"/>
        <v>13100</v>
      </c>
      <c r="L4193">
        <f t="shared" si="3"/>
        <v>0</v>
      </c>
    </row>
    <row r="4194">
      <c r="A4194" s="107">
        <f>IFERROR(__xludf.DUMMYFUNCTION("""COMPUTED_VALUE"""),45537.0)</f>
        <v>45537</v>
      </c>
      <c r="B4194" t="str">
        <f>IFERROR(__xludf.DUMMYFUNCTION("""COMPUTED_VALUE"""),"士林和豐B郭昱慧")</f>
        <v>士林和豐B郭昱慧</v>
      </c>
      <c r="C4194" t="str">
        <f>IFERROR(__xludf.DUMMYFUNCTION("""COMPUTED_VALUE"""),"收入 - 租金")</f>
        <v>收入 - 租金</v>
      </c>
      <c r="D4194" s="270">
        <f>IFERROR(__xludf.DUMMYFUNCTION("""COMPUTED_VALUE"""),13500.0)</f>
        <v>13500</v>
      </c>
      <c r="F4194" t="str">
        <f>IFERROR(__xludf.DUMMYFUNCTION("""COMPUTED_VALUE"""),"玉山帳戶")</f>
        <v>玉山帳戶</v>
      </c>
      <c r="G4194" t="str">
        <f>IFERROR(__xludf.DUMMYFUNCTION("""COMPUTED_VALUE"""),"士林和豐")</f>
        <v>士林和豐</v>
      </c>
      <c r="H4194" s="106" t="str">
        <f t="shared" si="1"/>
        <v>2024-09</v>
      </c>
      <c r="I4194" s="271" t="str">
        <f>IFERROR(__xludf.DUMMYFUNCTION("""COMPUTED_VALUE"""),"鯰魚大大")</f>
        <v>鯰魚大大</v>
      </c>
      <c r="J4194" t="str">
        <f>IFERROR(__xludf.DUMMYFUNCTION("IFS(
  AND(REGEXMATCH(E4194, ""台銀籌備帳戶|玉山帳戶""), REGEXMATCH(C4194, ""薪資"")), ""分潤支出"",
  AND(REGEXMATCH(E4194, ""Ben帳戶|Elsa帳戶|Ben代墊|Ariel代墊|中信銀行共用""), REGEXMATCH(F4194, ""Ben帳戶|Elsa帳戶|Ben代墊|Ariel代墊|中信銀行共用"")), ""內部轉帳(忽略)"",
  AND(E4194&lt;&gt;"""", F4194&lt;&gt;"""", N"&amp;"OT(REGEXMATCH(C4194, ""薪資""))), ""內部轉帳(忽略)"",
  REGEXMATCH(C4194, ""薪資""), ""薪資變動(不計入)"",
  REGEXMATCH(C4194, ""押金""), ""押金往來"",
  AND(E4194&lt;&gt;"""", F4194=""""), ""真實支出"",
  AND(E4194="""", F4194&lt;&gt;""""), ""真實收入"",
  TRUE, ""其他""
)"),"真實收入")</f>
        <v>真實收入</v>
      </c>
      <c r="K4194" s="270">
        <f t="shared" si="2"/>
        <v>13500</v>
      </c>
      <c r="L4194">
        <f t="shared" si="3"/>
        <v>0</v>
      </c>
    </row>
    <row r="4195">
      <c r="A4195" s="107">
        <f>IFERROR(__xludf.DUMMYFUNCTION("""COMPUTED_VALUE"""),45537.0)</f>
        <v>45537</v>
      </c>
      <c r="B4195" t="str">
        <f>IFERROR(__xludf.DUMMYFUNCTION("""COMPUTED_VALUE"""),"內湖秘境F楊芯岳")</f>
        <v>內湖秘境F楊芯岳</v>
      </c>
      <c r="C4195" t="str">
        <f>IFERROR(__xludf.DUMMYFUNCTION("""COMPUTED_VALUE"""),"收入 - 租金")</f>
        <v>收入 - 租金</v>
      </c>
      <c r="D4195" s="270">
        <f>IFERROR(__xludf.DUMMYFUNCTION("""COMPUTED_VALUE"""),10000.0)</f>
        <v>10000</v>
      </c>
      <c r="F4195" t="str">
        <f>IFERROR(__xludf.DUMMYFUNCTION("""COMPUTED_VALUE"""),"玉山帳戶")</f>
        <v>玉山帳戶</v>
      </c>
      <c r="G4195" t="str">
        <f>IFERROR(__xludf.DUMMYFUNCTION("""COMPUTED_VALUE"""),"內湖秘境")</f>
        <v>內湖秘境</v>
      </c>
      <c r="H4195" s="106" t="str">
        <f t="shared" si="1"/>
        <v>2024-09</v>
      </c>
      <c r="I4195" s="271" t="str">
        <f>IFERROR(__xludf.DUMMYFUNCTION("""COMPUTED_VALUE"""),"鯰魚大大")</f>
        <v>鯰魚大大</v>
      </c>
      <c r="J4195" t="str">
        <f>IFERROR(__xludf.DUMMYFUNCTION("IFS(
  AND(REGEXMATCH(E4195, ""台銀籌備帳戶|玉山帳戶""), REGEXMATCH(C4195, ""薪資"")), ""分潤支出"",
  AND(REGEXMATCH(E4195, ""Ben帳戶|Elsa帳戶|Ben代墊|Ariel代墊|中信銀行共用""), REGEXMATCH(F4195, ""Ben帳戶|Elsa帳戶|Ben代墊|Ariel代墊|中信銀行共用"")), ""內部轉帳(忽略)"",
  AND(E4195&lt;&gt;"""", F4195&lt;&gt;"""", N"&amp;"OT(REGEXMATCH(C4195, ""薪資""))), ""內部轉帳(忽略)"",
  REGEXMATCH(C4195, ""薪資""), ""薪資變動(不計入)"",
  REGEXMATCH(C4195, ""押金""), ""押金往來"",
  AND(E4195&lt;&gt;"""", F4195=""""), ""真實支出"",
  AND(E4195="""", F4195&lt;&gt;""""), ""真實收入"",
  TRUE, ""其他""
)"),"真實收入")</f>
        <v>真實收入</v>
      </c>
      <c r="K4195" s="270">
        <f t="shared" si="2"/>
        <v>10000</v>
      </c>
      <c r="L4195">
        <f t="shared" si="3"/>
        <v>0</v>
      </c>
    </row>
    <row r="4196">
      <c r="A4196" s="107">
        <f>IFERROR(__xludf.DUMMYFUNCTION("""COMPUTED_VALUE"""),45537.0)</f>
        <v>45537</v>
      </c>
      <c r="B4196" t="str">
        <f>IFERROR(__xludf.DUMMYFUNCTION("""COMPUTED_VALUE"""),"內湖秘境F楊芯岳")</f>
        <v>內湖秘境F楊芯岳</v>
      </c>
      <c r="C4196" t="str">
        <f>IFERROR(__xludf.DUMMYFUNCTION("""COMPUTED_VALUE"""),"收入 - 租金")</f>
        <v>收入 - 租金</v>
      </c>
      <c r="D4196" s="270">
        <f>IFERROR(__xludf.DUMMYFUNCTION("""COMPUTED_VALUE"""),3500.0)</f>
        <v>3500</v>
      </c>
      <c r="F4196" t="str">
        <f>IFERROR(__xludf.DUMMYFUNCTION("""COMPUTED_VALUE"""),"玉山帳戶")</f>
        <v>玉山帳戶</v>
      </c>
      <c r="G4196" t="str">
        <f>IFERROR(__xludf.DUMMYFUNCTION("""COMPUTED_VALUE"""),"內湖秘境")</f>
        <v>內湖秘境</v>
      </c>
      <c r="H4196" s="106" t="str">
        <f t="shared" si="1"/>
        <v>2024-09</v>
      </c>
      <c r="I4196" s="271" t="str">
        <f>IFERROR(__xludf.DUMMYFUNCTION("""COMPUTED_VALUE"""),"鯰魚大大")</f>
        <v>鯰魚大大</v>
      </c>
      <c r="J4196" t="str">
        <f>IFERROR(__xludf.DUMMYFUNCTION("IFS(
  AND(REGEXMATCH(E4196, ""台銀籌備帳戶|玉山帳戶""), REGEXMATCH(C4196, ""薪資"")), ""分潤支出"",
  AND(REGEXMATCH(E4196, ""Ben帳戶|Elsa帳戶|Ben代墊|Ariel代墊|中信銀行共用""), REGEXMATCH(F4196, ""Ben帳戶|Elsa帳戶|Ben代墊|Ariel代墊|中信銀行共用"")), ""內部轉帳(忽略)"",
  AND(E4196&lt;&gt;"""", F4196&lt;&gt;"""", N"&amp;"OT(REGEXMATCH(C4196, ""薪資""))), ""內部轉帳(忽略)"",
  REGEXMATCH(C4196, ""薪資""), ""薪資變動(不計入)"",
  REGEXMATCH(C4196, ""押金""), ""押金往來"",
  AND(E4196&lt;&gt;"""", F4196=""""), ""真實支出"",
  AND(E4196="""", F4196&lt;&gt;""""), ""真實收入"",
  TRUE, ""其他""
)"),"真實收入")</f>
        <v>真實收入</v>
      </c>
      <c r="K4196" s="270">
        <f t="shared" si="2"/>
        <v>3500</v>
      </c>
      <c r="L4196">
        <f t="shared" si="3"/>
        <v>0</v>
      </c>
    </row>
    <row r="4197">
      <c r="A4197" s="107">
        <f>IFERROR(__xludf.DUMMYFUNCTION("""COMPUTED_VALUE"""),45537.0)</f>
        <v>45537</v>
      </c>
      <c r="B4197" t="str">
        <f>IFERROR(__xludf.DUMMYFUNCTION("""COMPUTED_VALUE"""),"內湖路一段周姐")</f>
        <v>內湖路一段周姐</v>
      </c>
      <c r="C4197" t="str">
        <f>IFERROR(__xludf.DUMMYFUNCTION("""COMPUTED_VALUE"""),"成本 - 大租金")</f>
        <v>成本 - 大租金</v>
      </c>
      <c r="D4197" s="270">
        <f>IFERROR(__xludf.DUMMYFUNCTION("""COMPUTED_VALUE"""),-45015.0)</f>
        <v>-45015</v>
      </c>
      <c r="E4197" t="str">
        <f>IFERROR(__xludf.DUMMYFUNCTION("""COMPUTED_VALUE"""),"玉山帳戶")</f>
        <v>玉山帳戶</v>
      </c>
      <c r="G4197" t="str">
        <f>IFERROR(__xludf.DUMMYFUNCTION("""COMPUTED_VALUE"""),"內湖秘境")</f>
        <v>內湖秘境</v>
      </c>
      <c r="H4197" s="106" t="str">
        <f t="shared" si="1"/>
        <v>2024-09</v>
      </c>
      <c r="I4197" s="271" t="str">
        <f>IFERROR(__xludf.DUMMYFUNCTION("""COMPUTED_VALUE"""),"鯰魚大大")</f>
        <v>鯰魚大大</v>
      </c>
      <c r="J4197" t="str">
        <f>IFERROR(__xludf.DUMMYFUNCTION("IFS(
  AND(REGEXMATCH(E4197, ""台銀籌備帳戶|玉山帳戶""), REGEXMATCH(C4197, ""薪資"")), ""分潤支出"",
  AND(REGEXMATCH(E4197, ""Ben帳戶|Elsa帳戶|Ben代墊|Ariel代墊|中信銀行共用""), REGEXMATCH(F4197, ""Ben帳戶|Elsa帳戶|Ben代墊|Ariel代墊|中信銀行共用"")), ""內部轉帳(忽略)"",
  AND(E4197&lt;&gt;"""", F4197&lt;&gt;"""", N"&amp;"OT(REGEXMATCH(C4197, ""薪資""))), ""內部轉帳(忽略)"",
  REGEXMATCH(C4197, ""薪資""), ""薪資變動(不計入)"",
  REGEXMATCH(C4197, ""押金""), ""押金往來"",
  AND(E4197&lt;&gt;"""", F4197=""""), ""真實支出"",
  AND(E4197="""", F4197&lt;&gt;""""), ""真實收入"",
  TRUE, ""其他""
)"),"真實支出")</f>
        <v>真實支出</v>
      </c>
      <c r="K4197" s="270">
        <f t="shared" si="2"/>
        <v>-45015</v>
      </c>
      <c r="L4197">
        <f t="shared" si="3"/>
        <v>0</v>
      </c>
    </row>
    <row r="4198">
      <c r="A4198" s="107">
        <f>IFERROR(__xludf.DUMMYFUNCTION("""COMPUTED_VALUE"""),45537.0)</f>
        <v>45537</v>
      </c>
      <c r="B4198" t="str">
        <f>IFERROR(__xludf.DUMMYFUNCTION("""COMPUTED_VALUE"""),"和豐大房租")</f>
        <v>和豐大房租</v>
      </c>
      <c r="C4198" t="str">
        <f>IFERROR(__xludf.DUMMYFUNCTION("""COMPUTED_VALUE"""),"成本 - 大租金")</f>
        <v>成本 - 大租金</v>
      </c>
      <c r="D4198" s="270">
        <f>IFERROR(__xludf.DUMMYFUNCTION("""COMPUTED_VALUE"""),-14415.0)</f>
        <v>-14415</v>
      </c>
      <c r="E4198" t="str">
        <f>IFERROR(__xludf.DUMMYFUNCTION("""COMPUTED_VALUE"""),"玉山帳戶")</f>
        <v>玉山帳戶</v>
      </c>
      <c r="G4198" t="str">
        <f>IFERROR(__xludf.DUMMYFUNCTION("""COMPUTED_VALUE"""),"士林和豐")</f>
        <v>士林和豐</v>
      </c>
      <c r="H4198" s="106" t="str">
        <f t="shared" si="1"/>
        <v>2024-09</v>
      </c>
      <c r="I4198" s="271" t="str">
        <f>IFERROR(__xludf.DUMMYFUNCTION("""COMPUTED_VALUE"""),"鯰魚大大")</f>
        <v>鯰魚大大</v>
      </c>
      <c r="J4198" t="str">
        <f>IFERROR(__xludf.DUMMYFUNCTION("IFS(
  AND(REGEXMATCH(E4198, ""台銀籌備帳戶|玉山帳戶""), REGEXMATCH(C4198, ""薪資"")), ""分潤支出"",
  AND(REGEXMATCH(E4198, ""Ben帳戶|Elsa帳戶|Ben代墊|Ariel代墊|中信銀行共用""), REGEXMATCH(F4198, ""Ben帳戶|Elsa帳戶|Ben代墊|Ariel代墊|中信銀行共用"")), ""內部轉帳(忽略)"",
  AND(E4198&lt;&gt;"""", F4198&lt;&gt;"""", N"&amp;"OT(REGEXMATCH(C4198, ""薪資""))), ""內部轉帳(忽略)"",
  REGEXMATCH(C4198, ""薪資""), ""薪資變動(不計入)"",
  REGEXMATCH(C4198, ""押金""), ""押金往來"",
  AND(E4198&lt;&gt;"""", F4198=""""), ""真實支出"",
  AND(E4198="""", F4198&lt;&gt;""""), ""真實收入"",
  TRUE, ""其他""
)"),"真實支出")</f>
        <v>真實支出</v>
      </c>
      <c r="K4198" s="270">
        <f t="shared" si="2"/>
        <v>-14415</v>
      </c>
      <c r="L4198">
        <f t="shared" si="3"/>
        <v>0</v>
      </c>
    </row>
    <row r="4199">
      <c r="A4199" s="107">
        <f>IFERROR(__xludf.DUMMYFUNCTION("""COMPUTED_VALUE"""),45537.0)</f>
        <v>45537</v>
      </c>
      <c r="B4199" t="str">
        <f>IFERROR(__xludf.DUMMYFUNCTION("""COMPUTED_VALUE"""),"家庭帳戶")</f>
        <v>家庭帳戶</v>
      </c>
      <c r="C4199" t="str">
        <f>IFERROR(__xludf.DUMMYFUNCTION("""COMPUTED_VALUE"""),"費用 - Salary 薪資")</f>
        <v>費用 - Salary 薪資</v>
      </c>
      <c r="D4199" s="270">
        <f>IFERROR(__xludf.DUMMYFUNCTION("""COMPUTED_VALUE"""),-50015.0)</f>
        <v>-50015</v>
      </c>
      <c r="E4199" t="str">
        <f>IFERROR(__xludf.DUMMYFUNCTION("""COMPUTED_VALUE"""),"玉山帳戶")</f>
        <v>玉山帳戶</v>
      </c>
      <c r="F4199" t="str">
        <f>IFERROR(__xludf.DUMMYFUNCTION("""COMPUTED_VALUE"""),"中信銀行共用")</f>
        <v>中信銀行共用</v>
      </c>
      <c r="H4199" s="106" t="str">
        <f t="shared" si="1"/>
        <v>2024-09</v>
      </c>
      <c r="I4199" s="271" t="str">
        <f>IFERROR(__xludf.DUMMYFUNCTION("""COMPUTED_VALUE"""),"鯰魚大大")</f>
        <v>鯰魚大大</v>
      </c>
      <c r="J4199" t="str">
        <f>IFERROR(__xludf.DUMMYFUNCTION("IFS(
  AND(REGEXMATCH(E4199, ""台銀籌備帳戶|玉山帳戶""), REGEXMATCH(C4199, ""薪資"")), ""分潤支出"",
  AND(REGEXMATCH(E4199, ""Ben帳戶|Elsa帳戶|Ben代墊|Ariel代墊|中信銀行共用""), REGEXMATCH(F4199, ""Ben帳戶|Elsa帳戶|Ben代墊|Ariel代墊|中信銀行共用"")), ""內部轉帳(忽略)"",
  AND(E4199&lt;&gt;"""", F4199&lt;&gt;"""", N"&amp;"OT(REGEXMATCH(C4199, ""薪資""))), ""內部轉帳(忽略)"",
  REGEXMATCH(C4199, ""薪資""), ""薪資變動(不計入)"",
  REGEXMATCH(C4199, ""押金""), ""押金往來"",
  AND(E4199&lt;&gt;"""", F4199=""""), ""真實支出"",
  AND(E4199="""", F4199&lt;&gt;""""), ""真實收入"",
  TRUE, ""其他""
)"),"分潤支出")</f>
        <v>分潤支出</v>
      </c>
      <c r="K4199">
        <f t="shared" si="2"/>
        <v>0</v>
      </c>
      <c r="L4199">
        <f t="shared" si="3"/>
        <v>50015</v>
      </c>
    </row>
    <row r="4200">
      <c r="A4200" s="107">
        <f>IFERROR(__xludf.DUMMYFUNCTION("""COMPUTED_VALUE"""),45563.0)</f>
        <v>45563</v>
      </c>
      <c r="B4200" t="str">
        <f>IFERROR(__xludf.DUMMYFUNCTION("""COMPUTED_VALUE"""),"行天宮夏野良栗 第1期租金")</f>
        <v>行天宮夏野良栗 第1期租金</v>
      </c>
      <c r="C4200" t="str">
        <f>IFERROR(__xludf.DUMMYFUNCTION("""COMPUTED_VALUE"""),"成本 - 大租金")</f>
        <v>成本 - 大租金</v>
      </c>
      <c r="D4200" s="270">
        <f>IFERROR(__xludf.DUMMYFUNCTION("""COMPUTED_VALUE"""),-19900.0)</f>
        <v>-19900</v>
      </c>
      <c r="E4200" t="str">
        <f>IFERROR(__xludf.DUMMYFUNCTION("""COMPUTED_VALUE"""),"Ben代墊")</f>
        <v>Ben代墊</v>
      </c>
      <c r="G4200" t="str">
        <f>IFERROR(__xludf.DUMMYFUNCTION("""COMPUTED_VALUE"""),"行天宮夏野良栗")</f>
        <v>行天宮夏野良栗</v>
      </c>
      <c r="H4200" s="106" t="str">
        <f t="shared" si="1"/>
        <v>2024-09</v>
      </c>
      <c r="I4200" s="271" t="str">
        <f>IFERROR(__xludf.DUMMYFUNCTION("""COMPUTED_VALUE"""),"鯰魚大大")</f>
        <v>鯰魚大大</v>
      </c>
      <c r="J4200" t="str">
        <f>IFERROR(__xludf.DUMMYFUNCTION("IFS(
  AND(REGEXMATCH(E4200, ""台銀籌備帳戶|玉山帳戶""), REGEXMATCH(C4200, ""薪資"")), ""分潤支出"",
  AND(REGEXMATCH(E4200, ""Ben帳戶|Elsa帳戶|Ben代墊|Ariel代墊|中信銀行共用""), REGEXMATCH(F4200, ""Ben帳戶|Elsa帳戶|Ben代墊|Ariel代墊|中信銀行共用"")), ""內部轉帳(忽略)"",
  AND(E4200&lt;&gt;"""", F4200&lt;&gt;"""", N"&amp;"OT(REGEXMATCH(C4200, ""薪資""))), ""內部轉帳(忽略)"",
  REGEXMATCH(C4200, ""薪資""), ""薪資變動(不計入)"",
  REGEXMATCH(C4200, ""押金""), ""押金往來"",
  AND(E4200&lt;&gt;"""", F4200=""""), ""真實支出"",
  AND(E4200="""", F4200&lt;&gt;""""), ""真實收入"",
  TRUE, ""其他""
)"),"真實支出")</f>
        <v>真實支出</v>
      </c>
      <c r="K4200" s="270">
        <f t="shared" si="2"/>
        <v>-19900</v>
      </c>
      <c r="L4200">
        <f t="shared" si="3"/>
        <v>0</v>
      </c>
    </row>
    <row r="4201">
      <c r="A4201" s="107">
        <f>IFERROR(__xludf.DUMMYFUNCTION("""COMPUTED_VALUE"""),45563.0)</f>
        <v>45563</v>
      </c>
      <c r="B4201" t="str">
        <f>IFERROR(__xludf.DUMMYFUNCTION("""COMPUTED_VALUE"""),"行天宮夏野良栗 第2期租金")</f>
        <v>行天宮夏野良栗 第2期租金</v>
      </c>
      <c r="C4201" t="str">
        <f>IFERROR(__xludf.DUMMYFUNCTION("""COMPUTED_VALUE"""),"成本 - 大租金")</f>
        <v>成本 - 大租金</v>
      </c>
      <c r="D4201" s="270">
        <f>IFERROR(__xludf.DUMMYFUNCTION("""COMPUTED_VALUE"""),-19900.0)</f>
        <v>-19900</v>
      </c>
      <c r="E4201" t="str">
        <f>IFERROR(__xludf.DUMMYFUNCTION("""COMPUTED_VALUE"""),"Ben代墊")</f>
        <v>Ben代墊</v>
      </c>
      <c r="G4201" t="str">
        <f>IFERROR(__xludf.DUMMYFUNCTION("""COMPUTED_VALUE"""),"行天宮夏野良栗")</f>
        <v>行天宮夏野良栗</v>
      </c>
      <c r="H4201" s="106" t="str">
        <f t="shared" si="1"/>
        <v>2024-09</v>
      </c>
      <c r="I4201" s="271" t="str">
        <f>IFERROR(__xludf.DUMMYFUNCTION("""COMPUTED_VALUE"""),"鯰魚大大")</f>
        <v>鯰魚大大</v>
      </c>
      <c r="J4201" t="str">
        <f>IFERROR(__xludf.DUMMYFUNCTION("IFS(
  AND(REGEXMATCH(E4201, ""台銀籌備帳戶|玉山帳戶""), REGEXMATCH(C4201, ""薪資"")), ""分潤支出"",
  AND(REGEXMATCH(E4201, ""Ben帳戶|Elsa帳戶|Ben代墊|Ariel代墊|中信銀行共用""), REGEXMATCH(F4201, ""Ben帳戶|Elsa帳戶|Ben代墊|Ariel代墊|中信銀行共用"")), ""內部轉帳(忽略)"",
  AND(E4201&lt;&gt;"""", F4201&lt;&gt;"""", N"&amp;"OT(REGEXMATCH(C4201, ""薪資""))), ""內部轉帳(忽略)"",
  REGEXMATCH(C4201, ""薪資""), ""薪資變動(不計入)"",
  REGEXMATCH(C4201, ""押金""), ""押金往來"",
  AND(E4201&lt;&gt;"""", F4201=""""), ""真實支出"",
  AND(E4201="""", F4201&lt;&gt;""""), ""真實收入"",
  TRUE, ""其他""
)"),"真實支出")</f>
        <v>真實支出</v>
      </c>
      <c r="K4201" s="270">
        <f t="shared" si="2"/>
        <v>-19900</v>
      </c>
      <c r="L4201">
        <f t="shared" si="3"/>
        <v>0</v>
      </c>
    </row>
    <row r="4202">
      <c r="A4202" s="107">
        <f>IFERROR(__xludf.DUMMYFUNCTION("""COMPUTED_VALUE"""),45563.0)</f>
        <v>45563</v>
      </c>
      <c r="B4202" t="str">
        <f>IFERROR(__xludf.DUMMYFUNCTION("""COMPUTED_VALUE"""),"行天宮夏野良栗 2押")</f>
        <v>行天宮夏野良栗 2押</v>
      </c>
      <c r="C4202" t="str">
        <f>IFERROR(__xludf.DUMMYFUNCTION("""COMPUTED_VALUE"""),"成本 - 對屋主押金")</f>
        <v>成本 - 對屋主押金</v>
      </c>
      <c r="D4202" s="270">
        <f>IFERROR(__xludf.DUMMYFUNCTION("""COMPUTED_VALUE"""),-79600.0)</f>
        <v>-79600</v>
      </c>
      <c r="E4202" t="str">
        <f>IFERROR(__xludf.DUMMYFUNCTION("""COMPUTED_VALUE"""),"Ben代墊")</f>
        <v>Ben代墊</v>
      </c>
      <c r="G4202" t="str">
        <f>IFERROR(__xludf.DUMMYFUNCTION("""COMPUTED_VALUE"""),"行天宮夏野良栗")</f>
        <v>行天宮夏野良栗</v>
      </c>
      <c r="H4202" s="106" t="str">
        <f t="shared" si="1"/>
        <v>2024-09</v>
      </c>
      <c r="I4202" s="271" t="str">
        <f>IFERROR(__xludf.DUMMYFUNCTION("""COMPUTED_VALUE"""),"鯰魚大大")</f>
        <v>鯰魚大大</v>
      </c>
      <c r="J4202" t="str">
        <f>IFERROR(__xludf.DUMMYFUNCTION("IFS(
  AND(REGEXMATCH(E4202, ""台銀籌備帳戶|玉山帳戶""), REGEXMATCH(C4202, ""薪資"")), ""分潤支出"",
  AND(REGEXMATCH(E4202, ""Ben帳戶|Elsa帳戶|Ben代墊|Ariel代墊|中信銀行共用""), REGEXMATCH(F4202, ""Ben帳戶|Elsa帳戶|Ben代墊|Ariel代墊|中信銀行共用"")), ""內部轉帳(忽略)"",
  AND(E4202&lt;&gt;"""", F4202&lt;&gt;"""", N"&amp;"OT(REGEXMATCH(C4202, ""薪資""))), ""內部轉帳(忽略)"",
  REGEXMATCH(C4202, ""薪資""), ""薪資變動(不計入)"",
  REGEXMATCH(C4202, ""押金""), ""押金往來"",
  AND(E4202&lt;&gt;"""", F4202=""""), ""真實支出"",
  AND(E4202="""", F4202&lt;&gt;""""), ""真實收入"",
  TRUE, ""其他""
)"),"押金往來")</f>
        <v>押金往來</v>
      </c>
      <c r="K4202">
        <f t="shared" si="2"/>
        <v>0</v>
      </c>
      <c r="L4202">
        <f t="shared" si="3"/>
        <v>0</v>
      </c>
    </row>
    <row r="4203">
      <c r="A4203" s="107">
        <f>IFERROR(__xludf.DUMMYFUNCTION("""COMPUTED_VALUE"""),45563.0)</f>
        <v>45563</v>
      </c>
      <c r="B4203" t="str">
        <f>IFERROR(__xludf.DUMMYFUNCTION("""COMPUTED_VALUE"""),"公證費")</f>
        <v>公證費</v>
      </c>
      <c r="C4203" t="str">
        <f>IFERROR(__xludf.DUMMYFUNCTION("""COMPUTED_VALUE"""),"成本 - 公證費")</f>
        <v>成本 - 公證費</v>
      </c>
      <c r="D4203" s="270">
        <f>IFERROR(__xludf.DUMMYFUNCTION("""COMPUTED_VALUE"""),-3750.0)</f>
        <v>-3750</v>
      </c>
      <c r="E4203" t="str">
        <f>IFERROR(__xludf.DUMMYFUNCTION("""COMPUTED_VALUE"""),"Ariel代墊")</f>
        <v>Ariel代墊</v>
      </c>
      <c r="G4203" t="str">
        <f>IFERROR(__xludf.DUMMYFUNCTION("""COMPUTED_VALUE"""),"行天宮夏野良栗")</f>
        <v>行天宮夏野良栗</v>
      </c>
      <c r="H4203" s="106" t="str">
        <f t="shared" si="1"/>
        <v>2024-09</v>
      </c>
      <c r="I4203" s="271" t="str">
        <f>IFERROR(__xludf.DUMMYFUNCTION("""COMPUTED_VALUE"""),"鯰魚大大")</f>
        <v>鯰魚大大</v>
      </c>
      <c r="J4203" t="str">
        <f>IFERROR(__xludf.DUMMYFUNCTION("IFS(
  AND(REGEXMATCH(E4203, ""台銀籌備帳戶|玉山帳戶""), REGEXMATCH(C4203, ""薪資"")), ""分潤支出"",
  AND(REGEXMATCH(E4203, ""Ben帳戶|Elsa帳戶|Ben代墊|Ariel代墊|中信銀行共用""), REGEXMATCH(F4203, ""Ben帳戶|Elsa帳戶|Ben代墊|Ariel代墊|中信銀行共用"")), ""內部轉帳(忽略)"",
  AND(E4203&lt;&gt;"""", F4203&lt;&gt;"""", N"&amp;"OT(REGEXMATCH(C4203, ""薪資""))), ""內部轉帳(忽略)"",
  REGEXMATCH(C4203, ""薪資""), ""薪資變動(不計入)"",
  REGEXMATCH(C4203, ""押金""), ""押金往來"",
  AND(E4203&lt;&gt;"""", F4203=""""), ""真實支出"",
  AND(E4203="""", F4203&lt;&gt;""""), ""真實收入"",
  TRUE, ""其他""
)"),"真實支出")</f>
        <v>真實支出</v>
      </c>
      <c r="K4203" s="270">
        <f t="shared" si="2"/>
        <v>-3750</v>
      </c>
      <c r="L4203">
        <f t="shared" si="3"/>
        <v>0</v>
      </c>
    </row>
    <row r="4204">
      <c r="A4204" s="107">
        <f>IFERROR(__xludf.DUMMYFUNCTION("""COMPUTED_VALUE"""),45563.0)</f>
        <v>45563</v>
      </c>
      <c r="B4204" t="str">
        <f>IFERROR(__xludf.DUMMYFUNCTION("""COMPUTED_VALUE"""),"行天宮夏野良栗 Vivi媽清潔費")</f>
        <v>行天宮夏野良栗 Vivi媽清潔費</v>
      </c>
      <c r="C4204" t="str">
        <f>IFERROR(__xludf.DUMMYFUNCTION("""COMPUTED_VALUE"""),"成本 - 大租金")</f>
        <v>成本 - 大租金</v>
      </c>
      <c r="D4204" s="270">
        <f>IFERROR(__xludf.DUMMYFUNCTION("""COMPUTED_VALUE"""),-97200.0)</f>
        <v>-97200</v>
      </c>
      <c r="E4204" t="str">
        <f>IFERROR(__xludf.DUMMYFUNCTION("""COMPUTED_VALUE"""),"Ben代墊")</f>
        <v>Ben代墊</v>
      </c>
      <c r="G4204" t="str">
        <f>IFERROR(__xludf.DUMMYFUNCTION("""COMPUTED_VALUE"""),"行天宮夏野良栗")</f>
        <v>行天宮夏野良栗</v>
      </c>
      <c r="H4204" s="106" t="str">
        <f t="shared" si="1"/>
        <v>2024-09</v>
      </c>
      <c r="I4204" s="271" t="str">
        <f>IFERROR(__xludf.DUMMYFUNCTION("""COMPUTED_VALUE"""),"鯰魚大大")</f>
        <v>鯰魚大大</v>
      </c>
      <c r="J4204" t="str">
        <f>IFERROR(__xludf.DUMMYFUNCTION("IFS(
  AND(REGEXMATCH(E4204, ""台銀籌備帳戶|玉山帳戶""), REGEXMATCH(C4204, ""薪資"")), ""分潤支出"",
  AND(REGEXMATCH(E4204, ""Ben帳戶|Elsa帳戶|Ben代墊|Ariel代墊|中信銀行共用""), REGEXMATCH(F4204, ""Ben帳戶|Elsa帳戶|Ben代墊|Ariel代墊|中信銀行共用"")), ""內部轉帳(忽略)"",
  AND(E4204&lt;&gt;"""", F4204&lt;&gt;"""", N"&amp;"OT(REGEXMATCH(C4204, ""薪資""))), ""內部轉帳(忽略)"",
  REGEXMATCH(C4204, ""薪資""), ""薪資變動(不計入)"",
  REGEXMATCH(C4204, ""押金""), ""押金往來"",
  AND(E4204&lt;&gt;"""", F4204=""""), ""真實支出"",
  AND(E4204="""", F4204&lt;&gt;""""), ""真實收入"",
  TRUE, ""其他""
)"),"真實支出")</f>
        <v>真實支出</v>
      </c>
      <c r="K4204" s="270">
        <f t="shared" si="2"/>
        <v>-97200</v>
      </c>
      <c r="L4204">
        <f t="shared" si="3"/>
        <v>0</v>
      </c>
    </row>
    <row r="4205">
      <c r="A4205" s="107">
        <f>IFERROR(__xludf.DUMMYFUNCTION("""COMPUTED_VALUE"""),45563.0)</f>
        <v>45563</v>
      </c>
      <c r="B4205" t="str">
        <f>IFERROR(__xludf.DUMMYFUNCTION("""COMPUTED_VALUE"""),"代墊款")</f>
        <v>代墊款</v>
      </c>
      <c r="C4205" t="str">
        <f>IFERROR(__xludf.DUMMYFUNCTION("""COMPUTED_VALUE"""),"費用 - Salary 薪資")</f>
        <v>費用 - Salary 薪資</v>
      </c>
      <c r="D4205" s="270">
        <f>IFERROR(__xludf.DUMMYFUNCTION("""COMPUTED_VALUE"""),0.0)</f>
        <v>0</v>
      </c>
      <c r="E4205" t="str">
        <f>IFERROR(__xludf.DUMMYFUNCTION("""COMPUTED_VALUE"""),"玉山帳戶")</f>
        <v>玉山帳戶</v>
      </c>
      <c r="F4205" t="str">
        <f>IFERROR(__xludf.DUMMYFUNCTION("""COMPUTED_VALUE"""),"Ben代墊")</f>
        <v>Ben代墊</v>
      </c>
      <c r="H4205" s="106" t="str">
        <f t="shared" si="1"/>
        <v>2024-09</v>
      </c>
      <c r="I4205" s="271" t="str">
        <f>IFERROR(__xludf.DUMMYFUNCTION("""COMPUTED_VALUE"""),"鯰魚大大")</f>
        <v>鯰魚大大</v>
      </c>
      <c r="J4205" t="str">
        <f>IFERROR(__xludf.DUMMYFUNCTION("IFS(
  AND(REGEXMATCH(E4205, ""台銀籌備帳戶|玉山帳戶""), REGEXMATCH(C4205, ""薪資"")), ""分潤支出"",
  AND(REGEXMATCH(E4205, ""Ben帳戶|Elsa帳戶|Ben代墊|Ariel代墊|中信銀行共用""), REGEXMATCH(F4205, ""Ben帳戶|Elsa帳戶|Ben代墊|Ariel代墊|中信銀行共用"")), ""內部轉帳(忽略)"",
  AND(E4205&lt;&gt;"""", F4205&lt;&gt;"""", N"&amp;"OT(REGEXMATCH(C4205, ""薪資""))), ""內部轉帳(忽略)"",
  REGEXMATCH(C4205, ""薪資""), ""薪資變動(不計入)"",
  REGEXMATCH(C4205, ""押金""), ""押金往來"",
  AND(E4205&lt;&gt;"""", F4205=""""), ""真實支出"",
  AND(E4205="""", F4205&lt;&gt;""""), ""真實收入"",
  TRUE, ""其他""
)"),"分潤支出")</f>
        <v>分潤支出</v>
      </c>
      <c r="K4205">
        <f t="shared" si="2"/>
        <v>0</v>
      </c>
      <c r="L4205">
        <f t="shared" si="3"/>
        <v>0</v>
      </c>
    </row>
    <row r="4206">
      <c r="A4206" s="107">
        <f>IFERROR(__xludf.DUMMYFUNCTION("""COMPUTED_VALUE"""),45533.0)</f>
        <v>45533</v>
      </c>
      <c r="B4206" t="str">
        <f>IFERROR(__xludf.DUMMYFUNCTION("""COMPUTED_VALUE"""),"內湖清潔費8月")</f>
        <v>內湖清潔費8月</v>
      </c>
      <c r="C4206" t="str">
        <f>IFERROR(__xludf.DUMMYFUNCTION("""COMPUTED_VALUE"""),"成本 - 固定開銷(網路代收清潔)")</f>
        <v>成本 - 固定開銷(網路代收清潔)</v>
      </c>
      <c r="D4206" s="270">
        <f>IFERROR(__xludf.DUMMYFUNCTION("""COMPUTED_VALUE"""),-1155.0)</f>
        <v>-1155</v>
      </c>
      <c r="E4206" t="str">
        <f>IFERROR(__xludf.DUMMYFUNCTION("""COMPUTED_VALUE"""),"Ariel代墊")</f>
        <v>Ariel代墊</v>
      </c>
      <c r="G4206" t="str">
        <f>IFERROR(__xludf.DUMMYFUNCTION("""COMPUTED_VALUE"""),"內湖秘境")</f>
        <v>內湖秘境</v>
      </c>
      <c r="H4206" s="106" t="str">
        <f t="shared" si="1"/>
        <v>2024-08</v>
      </c>
      <c r="I4206" s="271" t="str">
        <f>IFERROR(__xludf.DUMMYFUNCTION("""COMPUTED_VALUE"""),"鯰魚大大")</f>
        <v>鯰魚大大</v>
      </c>
      <c r="J4206" t="str">
        <f>IFERROR(__xludf.DUMMYFUNCTION("IFS(
  AND(REGEXMATCH(E4206, ""台銀籌備帳戶|玉山帳戶""), REGEXMATCH(C4206, ""薪資"")), ""分潤支出"",
  AND(REGEXMATCH(E4206, ""Ben帳戶|Elsa帳戶|Ben代墊|Ariel代墊|中信銀行共用""), REGEXMATCH(F4206, ""Ben帳戶|Elsa帳戶|Ben代墊|Ariel代墊|中信銀行共用"")), ""內部轉帳(忽略)"",
  AND(E4206&lt;&gt;"""", F4206&lt;&gt;"""", N"&amp;"OT(REGEXMATCH(C4206, ""薪資""))), ""內部轉帳(忽略)"",
  REGEXMATCH(C4206, ""薪資""), ""薪資變動(不計入)"",
  REGEXMATCH(C4206, ""押金""), ""押金往來"",
  AND(E4206&lt;&gt;"""", F4206=""""), ""真實支出"",
  AND(E4206="""", F4206&lt;&gt;""""), ""真實收入"",
  TRUE, ""其他""
)"),"真實支出")</f>
        <v>真實支出</v>
      </c>
      <c r="K4206" s="270">
        <f t="shared" si="2"/>
        <v>-1155</v>
      </c>
      <c r="L4206">
        <f t="shared" si="3"/>
        <v>0</v>
      </c>
    </row>
    <row r="4207">
      <c r="A4207" s="107">
        <f>IFERROR(__xludf.DUMMYFUNCTION("""COMPUTED_VALUE"""),45563.0)</f>
        <v>45563</v>
      </c>
      <c r="B4207" t="str">
        <f>IFERROR(__xludf.DUMMYFUNCTION("""COMPUTED_VALUE"""),"淘寶窗簾")</f>
        <v>淘寶窗簾</v>
      </c>
      <c r="C4207" t="str">
        <f>IFERROR(__xludf.DUMMYFUNCTION("""COMPUTED_VALUE"""),"成本 - 進場前裝潢費")</f>
        <v>成本 - 進場前裝潢費</v>
      </c>
      <c r="D4207" s="270">
        <f>IFERROR(__xludf.DUMMYFUNCTION("""COMPUTED_VALUE"""),-4275.0)</f>
        <v>-4275</v>
      </c>
      <c r="E4207" t="str">
        <f>IFERROR(__xludf.DUMMYFUNCTION("""COMPUTED_VALUE"""),"Ben代墊")</f>
        <v>Ben代墊</v>
      </c>
      <c r="G4207" t="str">
        <f>IFERROR(__xludf.DUMMYFUNCTION("""COMPUTED_VALUE"""),"行天宮夏野良栗")</f>
        <v>行天宮夏野良栗</v>
      </c>
      <c r="H4207" s="106" t="str">
        <f t="shared" si="1"/>
        <v>2024-09</v>
      </c>
      <c r="I4207" s="271" t="str">
        <f>IFERROR(__xludf.DUMMYFUNCTION("""COMPUTED_VALUE"""),"鯰魚大大")</f>
        <v>鯰魚大大</v>
      </c>
      <c r="J4207" t="str">
        <f>IFERROR(__xludf.DUMMYFUNCTION("IFS(
  AND(REGEXMATCH(E4207, ""台銀籌備帳戶|玉山帳戶""), REGEXMATCH(C4207, ""薪資"")), ""分潤支出"",
  AND(REGEXMATCH(E4207, ""Ben帳戶|Elsa帳戶|Ben代墊|Ariel代墊|中信銀行共用""), REGEXMATCH(F4207, ""Ben帳戶|Elsa帳戶|Ben代墊|Ariel代墊|中信銀行共用"")), ""內部轉帳(忽略)"",
  AND(E4207&lt;&gt;"""", F4207&lt;&gt;"""", N"&amp;"OT(REGEXMATCH(C4207, ""薪資""))), ""內部轉帳(忽略)"",
  REGEXMATCH(C4207, ""薪資""), ""薪資變動(不計入)"",
  REGEXMATCH(C4207, ""押金""), ""押金往來"",
  AND(E4207&lt;&gt;"""", F4207=""""), ""真實支出"",
  AND(E4207="""", F4207&lt;&gt;""""), ""真實收入"",
  TRUE, ""其他""
)"),"真實支出")</f>
        <v>真實支出</v>
      </c>
      <c r="K4207" s="270">
        <f t="shared" si="2"/>
        <v>-4275</v>
      </c>
      <c r="L4207">
        <f t="shared" si="3"/>
        <v>0</v>
      </c>
    </row>
    <row r="4208">
      <c r="A4208" s="107">
        <f>IFERROR(__xludf.DUMMYFUNCTION("""COMPUTED_VALUE"""),45565.0)</f>
        <v>45565</v>
      </c>
      <c r="B4208" t="str">
        <f>IFERROR(__xludf.DUMMYFUNCTION("""COMPUTED_VALUE"""),"內湖清潔費 9月")</f>
        <v>內湖清潔費 9月</v>
      </c>
      <c r="C4208" t="str">
        <f>IFERROR(__xludf.DUMMYFUNCTION("""COMPUTED_VALUE"""),"成本 - 固定開銷(網路代收清潔)")</f>
        <v>成本 - 固定開銷(網路代收清潔)</v>
      </c>
      <c r="D4208" s="270">
        <f>IFERROR(__xludf.DUMMYFUNCTION("""COMPUTED_VALUE"""),-1733.0)</f>
        <v>-1733</v>
      </c>
      <c r="E4208" t="str">
        <f>IFERROR(__xludf.DUMMYFUNCTION("""COMPUTED_VALUE"""),"Ariel代墊")</f>
        <v>Ariel代墊</v>
      </c>
      <c r="G4208" t="str">
        <f>IFERROR(__xludf.DUMMYFUNCTION("""COMPUTED_VALUE"""),"內湖秘境")</f>
        <v>內湖秘境</v>
      </c>
      <c r="H4208" s="106" t="str">
        <f t="shared" si="1"/>
        <v>2024-09</v>
      </c>
      <c r="I4208" s="271" t="str">
        <f>IFERROR(__xludf.DUMMYFUNCTION("""COMPUTED_VALUE"""),"鯰魚大大")</f>
        <v>鯰魚大大</v>
      </c>
      <c r="J4208" t="str">
        <f>IFERROR(__xludf.DUMMYFUNCTION("IFS(
  AND(REGEXMATCH(E4208, ""台銀籌備帳戶|玉山帳戶""), REGEXMATCH(C4208, ""薪資"")), ""分潤支出"",
  AND(REGEXMATCH(E4208, ""Ben帳戶|Elsa帳戶|Ben代墊|Ariel代墊|中信銀行共用""), REGEXMATCH(F4208, ""Ben帳戶|Elsa帳戶|Ben代墊|Ariel代墊|中信銀行共用"")), ""內部轉帳(忽略)"",
  AND(E4208&lt;&gt;"""", F4208&lt;&gt;"""", N"&amp;"OT(REGEXMATCH(C4208, ""薪資""))), ""內部轉帳(忽略)"",
  REGEXMATCH(C4208, ""薪資""), ""薪資變動(不計入)"",
  REGEXMATCH(C4208, ""押金""), ""押金往來"",
  AND(E4208&lt;&gt;"""", F4208=""""), ""真實支出"",
  AND(E4208="""", F4208&lt;&gt;""""), ""真實收入"",
  TRUE, ""其他""
)"),"真實支出")</f>
        <v>真實支出</v>
      </c>
      <c r="K4208" s="270">
        <f t="shared" si="2"/>
        <v>-1733</v>
      </c>
      <c r="L4208">
        <f t="shared" si="3"/>
        <v>0</v>
      </c>
    </row>
    <row r="4209">
      <c r="A4209" s="107">
        <f>IFERROR(__xludf.DUMMYFUNCTION("""COMPUTED_VALUE"""),45567.0)</f>
        <v>45567</v>
      </c>
      <c r="B4209" t="str">
        <f>IFERROR(__xludf.DUMMYFUNCTION("""COMPUTED_VALUE"""),"蝦皮_國際牌星光開關")</f>
        <v>蝦皮_國際牌星光開關</v>
      </c>
      <c r="C4209" t="str">
        <f>IFERROR(__xludf.DUMMYFUNCTION("""COMPUTED_VALUE"""),"成本 - 進場前裝潢費")</f>
        <v>成本 - 進場前裝潢費</v>
      </c>
      <c r="D4209" s="270">
        <f>IFERROR(__xludf.DUMMYFUNCTION("""COMPUTED_VALUE"""),-1975.0)</f>
        <v>-1975</v>
      </c>
      <c r="E4209" t="str">
        <f>IFERROR(__xludf.DUMMYFUNCTION("""COMPUTED_VALUE"""),"Ariel代墊")</f>
        <v>Ariel代墊</v>
      </c>
      <c r="G4209" t="str">
        <f>IFERROR(__xludf.DUMMYFUNCTION("""COMPUTED_VALUE"""),"行天宮夏野良栗")</f>
        <v>行天宮夏野良栗</v>
      </c>
      <c r="H4209" s="106" t="str">
        <f t="shared" si="1"/>
        <v>2024-10</v>
      </c>
      <c r="I4209" s="271" t="str">
        <f>IFERROR(__xludf.DUMMYFUNCTION("""COMPUTED_VALUE"""),"鯰魚大大")</f>
        <v>鯰魚大大</v>
      </c>
      <c r="J4209" t="str">
        <f>IFERROR(__xludf.DUMMYFUNCTION("IFS(
  AND(REGEXMATCH(E4209, ""台銀籌備帳戶|玉山帳戶""), REGEXMATCH(C4209, ""薪資"")), ""分潤支出"",
  AND(REGEXMATCH(E4209, ""Ben帳戶|Elsa帳戶|Ben代墊|Ariel代墊|中信銀行共用""), REGEXMATCH(F4209, ""Ben帳戶|Elsa帳戶|Ben代墊|Ariel代墊|中信銀行共用"")), ""內部轉帳(忽略)"",
  AND(E4209&lt;&gt;"""", F4209&lt;&gt;"""", N"&amp;"OT(REGEXMATCH(C4209, ""薪資""))), ""內部轉帳(忽略)"",
  REGEXMATCH(C4209, ""薪資""), ""薪資變動(不計入)"",
  REGEXMATCH(C4209, ""押金""), ""押金往來"",
  AND(E4209&lt;&gt;"""", F4209=""""), ""真實支出"",
  AND(E4209="""", F4209&lt;&gt;""""), ""真實收入"",
  TRUE, ""其他""
)"),"真實支出")</f>
        <v>真實支出</v>
      </c>
      <c r="K4209" s="270">
        <f t="shared" si="2"/>
        <v>-1975</v>
      </c>
      <c r="L4209">
        <f t="shared" si="3"/>
        <v>0</v>
      </c>
    </row>
    <row r="4210">
      <c r="A4210" s="107">
        <f>IFERROR(__xludf.DUMMYFUNCTION("""COMPUTED_VALUE"""),45566.0)</f>
        <v>45566</v>
      </c>
      <c r="B4210" t="str">
        <f>IFERROR(__xludf.DUMMYFUNCTION("""COMPUTED_VALUE"""),"和豐_北都網路")</f>
        <v>和豐_北都網路</v>
      </c>
      <c r="C4210" t="str">
        <f>IFERROR(__xludf.DUMMYFUNCTION("""COMPUTED_VALUE"""),"成本 - 固定開銷(網路代收清潔)")</f>
        <v>成本 - 固定開銷(網路代收清潔)</v>
      </c>
      <c r="D4210" s="270">
        <f>IFERROR(__xludf.DUMMYFUNCTION("""COMPUTED_VALUE"""),-1196.0)</f>
        <v>-1196</v>
      </c>
      <c r="E4210" t="str">
        <f>IFERROR(__xludf.DUMMYFUNCTION("""COMPUTED_VALUE"""),"Ariel代墊")</f>
        <v>Ariel代墊</v>
      </c>
      <c r="G4210" t="str">
        <f>IFERROR(__xludf.DUMMYFUNCTION("""COMPUTED_VALUE"""),"士林和豐")</f>
        <v>士林和豐</v>
      </c>
      <c r="H4210" s="106" t="str">
        <f t="shared" si="1"/>
        <v>2024-10</v>
      </c>
      <c r="I4210" s="271" t="str">
        <f>IFERROR(__xludf.DUMMYFUNCTION("""COMPUTED_VALUE"""),"鯰魚大大")</f>
        <v>鯰魚大大</v>
      </c>
      <c r="J4210" t="str">
        <f>IFERROR(__xludf.DUMMYFUNCTION("IFS(
  AND(REGEXMATCH(E4210, ""台銀籌備帳戶|玉山帳戶""), REGEXMATCH(C4210, ""薪資"")), ""分潤支出"",
  AND(REGEXMATCH(E4210, ""Ben帳戶|Elsa帳戶|Ben代墊|Ariel代墊|中信銀行共用""), REGEXMATCH(F4210, ""Ben帳戶|Elsa帳戶|Ben代墊|Ariel代墊|中信銀行共用"")), ""內部轉帳(忽略)"",
  AND(E4210&lt;&gt;"""", F4210&lt;&gt;"""", N"&amp;"OT(REGEXMATCH(C4210, ""薪資""))), ""內部轉帳(忽略)"",
  REGEXMATCH(C4210, ""薪資""), ""薪資變動(不計入)"",
  REGEXMATCH(C4210, ""押金""), ""押金往來"",
  AND(E4210&lt;&gt;"""", F4210=""""), ""真實支出"",
  AND(E4210="""", F4210&lt;&gt;""""), ""真實收入"",
  TRUE, ""其他""
)"),"真實支出")</f>
        <v>真實支出</v>
      </c>
      <c r="K4210" s="270">
        <f t="shared" si="2"/>
        <v>-1196</v>
      </c>
      <c r="L4210">
        <f t="shared" si="3"/>
        <v>0</v>
      </c>
    </row>
    <row r="4211">
      <c r="A4211" s="107">
        <f>IFERROR(__xludf.DUMMYFUNCTION("""COMPUTED_VALUE"""),45551.0)</f>
        <v>45551</v>
      </c>
      <c r="B4211" t="str">
        <f>IFERROR(__xludf.DUMMYFUNCTION("""COMPUTED_VALUE"""),"和豐大房租")</f>
        <v>和豐大房租</v>
      </c>
      <c r="C4211" t="str">
        <f>IFERROR(__xludf.DUMMYFUNCTION("""COMPUTED_VALUE"""),"成本 - 大租金")</f>
        <v>成本 - 大租金</v>
      </c>
      <c r="D4211" s="270">
        <f>IFERROR(__xludf.DUMMYFUNCTION("""COMPUTED_VALUE"""),-14415.0)</f>
        <v>-14415</v>
      </c>
      <c r="E4211" t="str">
        <f>IFERROR(__xludf.DUMMYFUNCTION("""COMPUTED_VALUE"""),"玉山帳戶")</f>
        <v>玉山帳戶</v>
      </c>
      <c r="G4211" t="str">
        <f>IFERROR(__xludf.DUMMYFUNCTION("""COMPUTED_VALUE"""),"士林和豐")</f>
        <v>士林和豐</v>
      </c>
      <c r="H4211" s="106" t="str">
        <f t="shared" si="1"/>
        <v>2024-09</v>
      </c>
      <c r="I4211" s="271" t="str">
        <f>IFERROR(__xludf.DUMMYFUNCTION("""COMPUTED_VALUE"""),"鯰魚大大")</f>
        <v>鯰魚大大</v>
      </c>
      <c r="J4211" t="str">
        <f>IFERROR(__xludf.DUMMYFUNCTION("IFS(
  AND(REGEXMATCH(E4211, ""台銀籌備帳戶|玉山帳戶""), REGEXMATCH(C4211, ""薪資"")), ""分潤支出"",
  AND(REGEXMATCH(E4211, ""Ben帳戶|Elsa帳戶|Ben代墊|Ariel代墊|中信銀行共用""), REGEXMATCH(F4211, ""Ben帳戶|Elsa帳戶|Ben代墊|Ariel代墊|中信銀行共用"")), ""內部轉帳(忽略)"",
  AND(E4211&lt;&gt;"""", F4211&lt;&gt;"""", N"&amp;"OT(REGEXMATCH(C4211, ""薪資""))), ""內部轉帳(忽略)"",
  REGEXMATCH(C4211, ""薪資""), ""薪資變動(不計入)"",
  REGEXMATCH(C4211, ""押金""), ""押金往來"",
  AND(E4211&lt;&gt;"""", F4211=""""), ""真實支出"",
  AND(E4211="""", F4211&lt;&gt;""""), ""真實收入"",
  TRUE, ""其他""
)"),"真實支出")</f>
        <v>真實支出</v>
      </c>
      <c r="K4211" s="270">
        <f t="shared" si="2"/>
        <v>-14415</v>
      </c>
      <c r="L4211">
        <f t="shared" si="3"/>
        <v>0</v>
      </c>
    </row>
    <row r="4212">
      <c r="A4212" s="107">
        <f>IFERROR(__xludf.DUMMYFUNCTION("""COMPUTED_VALUE"""),45565.0)</f>
        <v>45565</v>
      </c>
      <c r="B4212" t="str">
        <f>IFERROR(__xludf.DUMMYFUNCTION("""COMPUTED_VALUE"""),"中信銀行")</f>
        <v>中信銀行</v>
      </c>
      <c r="C4212" t="str">
        <f>IFERROR(__xludf.DUMMYFUNCTION("""COMPUTED_VALUE"""),"費用 - Salary 薪資")</f>
        <v>費用 - Salary 薪資</v>
      </c>
      <c r="D4212" s="270">
        <f>IFERROR(__xludf.DUMMYFUNCTION("""COMPUTED_VALUE"""),-208615.0)</f>
        <v>-208615</v>
      </c>
      <c r="E4212" t="str">
        <f>IFERROR(__xludf.DUMMYFUNCTION("""COMPUTED_VALUE"""),"玉山帳戶")</f>
        <v>玉山帳戶</v>
      </c>
      <c r="F4212" t="str">
        <f>IFERROR(__xludf.DUMMYFUNCTION("""COMPUTED_VALUE"""),"Ben代墊")</f>
        <v>Ben代墊</v>
      </c>
      <c r="H4212" s="106" t="str">
        <f t="shared" si="1"/>
        <v>2024-09</v>
      </c>
      <c r="I4212" s="271" t="str">
        <f>IFERROR(__xludf.DUMMYFUNCTION("""COMPUTED_VALUE"""),"鯰魚大大")</f>
        <v>鯰魚大大</v>
      </c>
      <c r="J4212" t="str">
        <f>IFERROR(__xludf.DUMMYFUNCTION("IFS(
  AND(REGEXMATCH(E4212, ""台銀籌備帳戶|玉山帳戶""), REGEXMATCH(C4212, ""薪資"")), ""分潤支出"",
  AND(REGEXMATCH(E4212, ""Ben帳戶|Elsa帳戶|Ben代墊|Ariel代墊|中信銀行共用""), REGEXMATCH(F4212, ""Ben帳戶|Elsa帳戶|Ben代墊|Ariel代墊|中信銀行共用"")), ""內部轉帳(忽略)"",
  AND(E4212&lt;&gt;"""", F4212&lt;&gt;"""", N"&amp;"OT(REGEXMATCH(C4212, ""薪資""))), ""內部轉帳(忽略)"",
  REGEXMATCH(C4212, ""薪資""), ""薪資變動(不計入)"",
  REGEXMATCH(C4212, ""押金""), ""押金往來"",
  AND(E4212&lt;&gt;"""", F4212=""""), ""真實支出"",
  AND(E4212="""", F4212&lt;&gt;""""), ""真實收入"",
  TRUE, ""其他""
)"),"分潤支出")</f>
        <v>分潤支出</v>
      </c>
      <c r="K4212">
        <f t="shared" si="2"/>
        <v>0</v>
      </c>
      <c r="L4212">
        <f t="shared" si="3"/>
        <v>208615</v>
      </c>
    </row>
    <row r="4213">
      <c r="A4213" s="107">
        <f>IFERROR(__xludf.DUMMYFUNCTION("""COMPUTED_VALUE"""),45565.0)</f>
        <v>45565</v>
      </c>
      <c r="B4213" t="str">
        <f>IFERROR(__xludf.DUMMYFUNCTION("""COMPUTED_VALUE"""),"內湖秘境C黃詩穎")</f>
        <v>內湖秘境C黃詩穎</v>
      </c>
      <c r="C4213" t="str">
        <f>IFERROR(__xludf.DUMMYFUNCTION("""COMPUTED_VALUE"""),"收入 - 租金")</f>
        <v>收入 - 租金</v>
      </c>
      <c r="D4213" s="270">
        <f>IFERROR(__xludf.DUMMYFUNCTION("""COMPUTED_VALUE"""),14800.0)</f>
        <v>14800</v>
      </c>
      <c r="F4213" t="str">
        <f>IFERROR(__xludf.DUMMYFUNCTION("""COMPUTED_VALUE"""),"玉山帳戶")</f>
        <v>玉山帳戶</v>
      </c>
      <c r="G4213" t="str">
        <f>IFERROR(__xludf.DUMMYFUNCTION("""COMPUTED_VALUE"""),"內湖秘境")</f>
        <v>內湖秘境</v>
      </c>
      <c r="H4213" s="106" t="str">
        <f t="shared" si="1"/>
        <v>2024-09</v>
      </c>
      <c r="I4213" s="271" t="str">
        <f>IFERROR(__xludf.DUMMYFUNCTION("""COMPUTED_VALUE"""),"鯰魚大大")</f>
        <v>鯰魚大大</v>
      </c>
      <c r="J4213" t="str">
        <f>IFERROR(__xludf.DUMMYFUNCTION("IFS(
  AND(REGEXMATCH(E4213, ""台銀籌備帳戶|玉山帳戶""), REGEXMATCH(C4213, ""薪資"")), ""分潤支出"",
  AND(REGEXMATCH(E4213, ""Ben帳戶|Elsa帳戶|Ben代墊|Ariel代墊|中信銀行共用""), REGEXMATCH(F4213, ""Ben帳戶|Elsa帳戶|Ben代墊|Ariel代墊|中信銀行共用"")), ""內部轉帳(忽略)"",
  AND(E4213&lt;&gt;"""", F4213&lt;&gt;"""", N"&amp;"OT(REGEXMATCH(C4213, ""薪資""))), ""內部轉帳(忽略)"",
  REGEXMATCH(C4213, ""薪資""), ""薪資變動(不計入)"",
  REGEXMATCH(C4213, ""押金""), ""押金往來"",
  AND(E4213&lt;&gt;"""", F4213=""""), ""真實支出"",
  AND(E4213="""", F4213&lt;&gt;""""), ""真實收入"",
  TRUE, ""其他""
)"),"真實收入")</f>
        <v>真實收入</v>
      </c>
      <c r="K4213" s="270">
        <f t="shared" si="2"/>
        <v>14800</v>
      </c>
      <c r="L4213">
        <f t="shared" si="3"/>
        <v>0</v>
      </c>
    </row>
    <row r="4214">
      <c r="A4214" s="107">
        <f>IFERROR(__xludf.DUMMYFUNCTION("""COMPUTED_VALUE"""),45566.0)</f>
        <v>45566</v>
      </c>
      <c r="B4214" t="str">
        <f>IFERROR(__xludf.DUMMYFUNCTION("""COMPUTED_VALUE"""),"內湖路一段周姐")</f>
        <v>內湖路一段周姐</v>
      </c>
      <c r="C4214" t="str">
        <f>IFERROR(__xludf.DUMMYFUNCTION("""COMPUTED_VALUE"""),"成本 - 大租金")</f>
        <v>成本 - 大租金</v>
      </c>
      <c r="D4214" s="270">
        <f>IFERROR(__xludf.DUMMYFUNCTION("""COMPUTED_VALUE"""),-45015.0)</f>
        <v>-45015</v>
      </c>
      <c r="E4214" t="str">
        <f>IFERROR(__xludf.DUMMYFUNCTION("""COMPUTED_VALUE"""),"玉山帳戶")</f>
        <v>玉山帳戶</v>
      </c>
      <c r="G4214" t="str">
        <f>IFERROR(__xludf.DUMMYFUNCTION("""COMPUTED_VALUE"""),"內湖秘境")</f>
        <v>內湖秘境</v>
      </c>
      <c r="H4214" s="106" t="str">
        <f t="shared" si="1"/>
        <v>2024-10</v>
      </c>
      <c r="I4214" s="271" t="str">
        <f>IFERROR(__xludf.DUMMYFUNCTION("""COMPUTED_VALUE"""),"鯰魚大大")</f>
        <v>鯰魚大大</v>
      </c>
      <c r="J4214" t="str">
        <f>IFERROR(__xludf.DUMMYFUNCTION("IFS(
  AND(REGEXMATCH(E4214, ""台銀籌備帳戶|玉山帳戶""), REGEXMATCH(C4214, ""薪資"")), ""分潤支出"",
  AND(REGEXMATCH(E4214, ""Ben帳戶|Elsa帳戶|Ben代墊|Ariel代墊|中信銀行共用""), REGEXMATCH(F4214, ""Ben帳戶|Elsa帳戶|Ben代墊|Ariel代墊|中信銀行共用"")), ""內部轉帳(忽略)"",
  AND(E4214&lt;&gt;"""", F4214&lt;&gt;"""", N"&amp;"OT(REGEXMATCH(C4214, ""薪資""))), ""內部轉帳(忽略)"",
  REGEXMATCH(C4214, ""薪資""), ""薪資變動(不計入)"",
  REGEXMATCH(C4214, ""押金""), ""押金往來"",
  AND(E4214&lt;&gt;"""", F4214=""""), ""真實支出"",
  AND(E4214="""", F4214&lt;&gt;""""), ""真實收入"",
  TRUE, ""其他""
)"),"真實支出")</f>
        <v>真實支出</v>
      </c>
      <c r="K4214" s="270">
        <f t="shared" si="2"/>
        <v>-45015</v>
      </c>
      <c r="L4214">
        <f t="shared" si="3"/>
        <v>0</v>
      </c>
    </row>
    <row r="4215">
      <c r="A4215" s="107">
        <f>IFERROR(__xludf.DUMMYFUNCTION("""COMPUTED_VALUE"""),45566.0)</f>
        <v>45566</v>
      </c>
      <c r="B4215" t="str">
        <f>IFERROR(__xludf.DUMMYFUNCTION("""COMPUTED_VALUE"""),"和豐大房租")</f>
        <v>和豐大房租</v>
      </c>
      <c r="C4215" t="str">
        <f>IFERROR(__xludf.DUMMYFUNCTION("""COMPUTED_VALUE"""),"成本 - 大租金")</f>
        <v>成本 - 大租金</v>
      </c>
      <c r="D4215" s="270">
        <f>IFERROR(__xludf.DUMMYFUNCTION("""COMPUTED_VALUE"""),-14415.0)</f>
        <v>-14415</v>
      </c>
      <c r="E4215" t="str">
        <f>IFERROR(__xludf.DUMMYFUNCTION("""COMPUTED_VALUE"""),"玉山帳戶")</f>
        <v>玉山帳戶</v>
      </c>
      <c r="G4215" t="str">
        <f>IFERROR(__xludf.DUMMYFUNCTION("""COMPUTED_VALUE"""),"士林和豐")</f>
        <v>士林和豐</v>
      </c>
      <c r="H4215" s="106" t="str">
        <f t="shared" si="1"/>
        <v>2024-10</v>
      </c>
      <c r="I4215" s="271" t="str">
        <f>IFERROR(__xludf.DUMMYFUNCTION("""COMPUTED_VALUE"""),"鯰魚大大")</f>
        <v>鯰魚大大</v>
      </c>
      <c r="J4215" t="str">
        <f>IFERROR(__xludf.DUMMYFUNCTION("IFS(
  AND(REGEXMATCH(E4215, ""台銀籌備帳戶|玉山帳戶""), REGEXMATCH(C4215, ""薪資"")), ""分潤支出"",
  AND(REGEXMATCH(E4215, ""Ben帳戶|Elsa帳戶|Ben代墊|Ariel代墊|中信銀行共用""), REGEXMATCH(F4215, ""Ben帳戶|Elsa帳戶|Ben代墊|Ariel代墊|中信銀行共用"")), ""內部轉帳(忽略)"",
  AND(E4215&lt;&gt;"""", F4215&lt;&gt;"""", N"&amp;"OT(REGEXMATCH(C4215, ""薪資""))), ""內部轉帳(忽略)"",
  REGEXMATCH(C4215, ""薪資""), ""薪資變動(不計入)"",
  REGEXMATCH(C4215, ""押金""), ""押金往來"",
  AND(E4215&lt;&gt;"""", F4215=""""), ""真實支出"",
  AND(E4215="""", F4215&lt;&gt;""""), ""真實收入"",
  TRUE, ""其他""
)"),"真實支出")</f>
        <v>真實支出</v>
      </c>
      <c r="K4215" s="270">
        <f t="shared" si="2"/>
        <v>-14415</v>
      </c>
      <c r="L4215">
        <f t="shared" si="3"/>
        <v>0</v>
      </c>
    </row>
    <row r="4216">
      <c r="A4216" s="107">
        <f>IFERROR(__xludf.DUMMYFUNCTION("""COMPUTED_VALUE"""),45566.0)</f>
        <v>45566</v>
      </c>
      <c r="B4216" t="str">
        <f>IFERROR(__xludf.DUMMYFUNCTION("""COMPUTED_VALUE"""),"家庭帳戶")</f>
        <v>家庭帳戶</v>
      </c>
      <c r="C4216" t="str">
        <f>IFERROR(__xludf.DUMMYFUNCTION("""COMPUTED_VALUE"""),"費用 - Salary 薪資")</f>
        <v>費用 - Salary 薪資</v>
      </c>
      <c r="D4216" s="270">
        <f>IFERROR(__xludf.DUMMYFUNCTION("""COMPUTED_VALUE"""),-50015.0)</f>
        <v>-50015</v>
      </c>
      <c r="E4216" t="str">
        <f>IFERROR(__xludf.DUMMYFUNCTION("""COMPUTED_VALUE"""),"玉山帳戶")</f>
        <v>玉山帳戶</v>
      </c>
      <c r="F4216" t="str">
        <f>IFERROR(__xludf.DUMMYFUNCTION("""COMPUTED_VALUE"""),"中信銀行共用")</f>
        <v>中信銀行共用</v>
      </c>
      <c r="H4216" s="106" t="str">
        <f t="shared" si="1"/>
        <v>2024-10</v>
      </c>
      <c r="I4216" s="271" t="str">
        <f>IFERROR(__xludf.DUMMYFUNCTION("""COMPUTED_VALUE"""),"鯰魚大大")</f>
        <v>鯰魚大大</v>
      </c>
      <c r="J4216" t="str">
        <f>IFERROR(__xludf.DUMMYFUNCTION("IFS(
  AND(REGEXMATCH(E4216, ""台銀籌備帳戶|玉山帳戶""), REGEXMATCH(C4216, ""薪資"")), ""分潤支出"",
  AND(REGEXMATCH(E4216, ""Ben帳戶|Elsa帳戶|Ben代墊|Ariel代墊|中信銀行共用""), REGEXMATCH(F4216, ""Ben帳戶|Elsa帳戶|Ben代墊|Ariel代墊|中信銀行共用"")), ""內部轉帳(忽略)"",
  AND(E4216&lt;&gt;"""", F4216&lt;&gt;"""", N"&amp;"OT(REGEXMATCH(C4216, ""薪資""))), ""內部轉帳(忽略)"",
  REGEXMATCH(C4216, ""薪資""), ""薪資變動(不計入)"",
  REGEXMATCH(C4216, ""押金""), ""押金往來"",
  AND(E4216&lt;&gt;"""", F4216=""""), ""真實支出"",
  AND(E4216="""", F4216&lt;&gt;""""), ""真實收入"",
  TRUE, ""其他""
)"),"分潤支出")</f>
        <v>分潤支出</v>
      </c>
      <c r="K4216">
        <f t="shared" si="2"/>
        <v>0</v>
      </c>
      <c r="L4216">
        <f t="shared" si="3"/>
        <v>50015</v>
      </c>
    </row>
    <row r="4217">
      <c r="A4217" s="107">
        <f>IFERROR(__xludf.DUMMYFUNCTION("""COMPUTED_VALUE"""),45566.0)</f>
        <v>45566</v>
      </c>
      <c r="B4217" t="str">
        <f>IFERROR(__xludf.DUMMYFUNCTION("""COMPUTED_VALUE"""),"內湖秘境G徐若洹")</f>
        <v>內湖秘境G徐若洹</v>
      </c>
      <c r="C4217" t="str">
        <f>IFERROR(__xludf.DUMMYFUNCTION("""COMPUTED_VALUE"""),"收入 - 租金")</f>
        <v>收入 - 租金</v>
      </c>
      <c r="D4217" s="270">
        <f>IFERROR(__xludf.DUMMYFUNCTION("""COMPUTED_VALUE"""),12100.0)</f>
        <v>12100</v>
      </c>
      <c r="F4217" t="str">
        <f>IFERROR(__xludf.DUMMYFUNCTION("""COMPUTED_VALUE"""),"玉山帳戶")</f>
        <v>玉山帳戶</v>
      </c>
      <c r="G4217" t="str">
        <f>IFERROR(__xludf.DUMMYFUNCTION("""COMPUTED_VALUE"""),"內湖秘境")</f>
        <v>內湖秘境</v>
      </c>
      <c r="H4217" s="106" t="str">
        <f t="shared" si="1"/>
        <v>2024-10</v>
      </c>
      <c r="I4217" s="271" t="str">
        <f>IFERROR(__xludf.DUMMYFUNCTION("""COMPUTED_VALUE"""),"鯰魚大大")</f>
        <v>鯰魚大大</v>
      </c>
      <c r="J4217" t="str">
        <f>IFERROR(__xludf.DUMMYFUNCTION("IFS(
  AND(REGEXMATCH(E4217, ""台銀籌備帳戶|玉山帳戶""), REGEXMATCH(C4217, ""薪資"")), ""分潤支出"",
  AND(REGEXMATCH(E4217, ""Ben帳戶|Elsa帳戶|Ben代墊|Ariel代墊|中信銀行共用""), REGEXMATCH(F4217, ""Ben帳戶|Elsa帳戶|Ben代墊|Ariel代墊|中信銀行共用"")), ""內部轉帳(忽略)"",
  AND(E4217&lt;&gt;"""", F4217&lt;&gt;"""", N"&amp;"OT(REGEXMATCH(C4217, ""薪資""))), ""內部轉帳(忽略)"",
  REGEXMATCH(C4217, ""薪資""), ""薪資變動(不計入)"",
  REGEXMATCH(C4217, ""押金""), ""押金往來"",
  AND(E4217&lt;&gt;"""", F4217=""""), ""真實支出"",
  AND(E4217="""", F4217&lt;&gt;""""), ""真實收入"",
  TRUE, ""其他""
)"),"真實收入")</f>
        <v>真實收入</v>
      </c>
      <c r="K4217" s="270">
        <f t="shared" si="2"/>
        <v>12100</v>
      </c>
      <c r="L4217">
        <f t="shared" si="3"/>
        <v>0</v>
      </c>
    </row>
    <row r="4218">
      <c r="A4218" s="107">
        <f>IFERROR(__xludf.DUMMYFUNCTION("""COMPUTED_VALUE"""),45566.0)</f>
        <v>45566</v>
      </c>
      <c r="B4218" t="str">
        <f>IFERROR(__xludf.DUMMYFUNCTION("""COMPUTED_VALUE"""),"內湖秘境B李方羽")</f>
        <v>內湖秘境B李方羽</v>
      </c>
      <c r="C4218" t="str">
        <f>IFERROR(__xludf.DUMMYFUNCTION("""COMPUTED_VALUE"""),"收入 - 租金")</f>
        <v>收入 - 租金</v>
      </c>
      <c r="D4218" s="270">
        <f>IFERROR(__xludf.DUMMYFUNCTION("""COMPUTED_VALUE"""),12800.0)</f>
        <v>12800</v>
      </c>
      <c r="F4218" t="str">
        <f>IFERROR(__xludf.DUMMYFUNCTION("""COMPUTED_VALUE"""),"玉山帳戶")</f>
        <v>玉山帳戶</v>
      </c>
      <c r="G4218" t="str">
        <f>IFERROR(__xludf.DUMMYFUNCTION("""COMPUTED_VALUE"""),"內湖秘境")</f>
        <v>內湖秘境</v>
      </c>
      <c r="H4218" s="106" t="str">
        <f t="shared" si="1"/>
        <v>2024-10</v>
      </c>
      <c r="I4218" s="271" t="str">
        <f>IFERROR(__xludf.DUMMYFUNCTION("""COMPUTED_VALUE"""),"鯰魚大大")</f>
        <v>鯰魚大大</v>
      </c>
      <c r="J4218" t="str">
        <f>IFERROR(__xludf.DUMMYFUNCTION("IFS(
  AND(REGEXMATCH(E4218, ""台銀籌備帳戶|玉山帳戶""), REGEXMATCH(C4218, ""薪資"")), ""分潤支出"",
  AND(REGEXMATCH(E4218, ""Ben帳戶|Elsa帳戶|Ben代墊|Ariel代墊|中信銀行共用""), REGEXMATCH(F4218, ""Ben帳戶|Elsa帳戶|Ben代墊|Ariel代墊|中信銀行共用"")), ""內部轉帳(忽略)"",
  AND(E4218&lt;&gt;"""", F4218&lt;&gt;"""", N"&amp;"OT(REGEXMATCH(C4218, ""薪資""))), ""內部轉帳(忽略)"",
  REGEXMATCH(C4218, ""薪資""), ""薪資變動(不計入)"",
  REGEXMATCH(C4218, ""押金""), ""押金往來"",
  AND(E4218&lt;&gt;"""", F4218=""""), ""真實支出"",
  AND(E4218="""", F4218&lt;&gt;""""), ""真實收入"",
  TRUE, ""其他""
)"),"真實收入")</f>
        <v>真實收入</v>
      </c>
      <c r="K4218" s="270">
        <f t="shared" si="2"/>
        <v>12800</v>
      </c>
      <c r="L4218">
        <f t="shared" si="3"/>
        <v>0</v>
      </c>
    </row>
    <row r="4219">
      <c r="A4219" s="107">
        <f>IFERROR(__xludf.DUMMYFUNCTION("""COMPUTED_VALUE"""),45566.0)</f>
        <v>45566</v>
      </c>
      <c r="B4219" t="str">
        <f>IFERROR(__xludf.DUMMYFUNCTION("""COMPUTED_VALUE"""),"士林和豐A巫思予")</f>
        <v>士林和豐A巫思予</v>
      </c>
      <c r="C4219" t="str">
        <f>IFERROR(__xludf.DUMMYFUNCTION("""COMPUTED_VALUE"""),"收入 - 租金")</f>
        <v>收入 - 租金</v>
      </c>
      <c r="D4219" s="270">
        <f>IFERROR(__xludf.DUMMYFUNCTION("""COMPUTED_VALUE"""),15800.0)</f>
        <v>15800</v>
      </c>
      <c r="F4219" t="str">
        <f>IFERROR(__xludf.DUMMYFUNCTION("""COMPUTED_VALUE"""),"玉山帳戶")</f>
        <v>玉山帳戶</v>
      </c>
      <c r="G4219" t="str">
        <f>IFERROR(__xludf.DUMMYFUNCTION("""COMPUTED_VALUE"""),"士林和豐")</f>
        <v>士林和豐</v>
      </c>
      <c r="H4219" s="106" t="str">
        <f t="shared" si="1"/>
        <v>2024-10</v>
      </c>
      <c r="I4219" s="271" t="str">
        <f>IFERROR(__xludf.DUMMYFUNCTION("""COMPUTED_VALUE"""),"鯰魚大大")</f>
        <v>鯰魚大大</v>
      </c>
      <c r="J4219" t="str">
        <f>IFERROR(__xludf.DUMMYFUNCTION("IFS(
  AND(REGEXMATCH(E4219, ""台銀籌備帳戶|玉山帳戶""), REGEXMATCH(C4219, ""薪資"")), ""分潤支出"",
  AND(REGEXMATCH(E4219, ""Ben帳戶|Elsa帳戶|Ben代墊|Ariel代墊|中信銀行共用""), REGEXMATCH(F4219, ""Ben帳戶|Elsa帳戶|Ben代墊|Ariel代墊|中信銀行共用"")), ""內部轉帳(忽略)"",
  AND(E4219&lt;&gt;"""", F4219&lt;&gt;"""", N"&amp;"OT(REGEXMATCH(C4219, ""薪資""))), ""內部轉帳(忽略)"",
  REGEXMATCH(C4219, ""薪資""), ""薪資變動(不計入)"",
  REGEXMATCH(C4219, ""押金""), ""押金往來"",
  AND(E4219&lt;&gt;"""", F4219=""""), ""真實支出"",
  AND(E4219="""", F4219&lt;&gt;""""), ""真實收入"",
  TRUE, ""其他""
)"),"真實收入")</f>
        <v>真實收入</v>
      </c>
      <c r="K4219" s="270">
        <f t="shared" si="2"/>
        <v>15800</v>
      </c>
      <c r="L4219">
        <f t="shared" si="3"/>
        <v>0</v>
      </c>
    </row>
    <row r="4220">
      <c r="A4220" s="107">
        <f>IFERROR(__xludf.DUMMYFUNCTION("""COMPUTED_VALUE"""),45566.0)</f>
        <v>45566</v>
      </c>
      <c r="B4220" t="str">
        <f>IFERROR(__xludf.DUMMYFUNCTION("""COMPUTED_VALUE"""),"士林和豐C李宛宸")</f>
        <v>士林和豐C李宛宸</v>
      </c>
      <c r="C4220" t="str">
        <f>IFERROR(__xludf.DUMMYFUNCTION("""COMPUTED_VALUE"""),"收入 - 租金")</f>
        <v>收入 - 租金</v>
      </c>
      <c r="D4220" s="270">
        <f>IFERROR(__xludf.DUMMYFUNCTION("""COMPUTED_VALUE"""),13100.0)</f>
        <v>13100</v>
      </c>
      <c r="F4220" t="str">
        <f>IFERROR(__xludf.DUMMYFUNCTION("""COMPUTED_VALUE"""),"玉山帳戶")</f>
        <v>玉山帳戶</v>
      </c>
      <c r="G4220" t="str">
        <f>IFERROR(__xludf.DUMMYFUNCTION("""COMPUTED_VALUE"""),"士林和豐")</f>
        <v>士林和豐</v>
      </c>
      <c r="H4220" s="106" t="str">
        <f t="shared" si="1"/>
        <v>2024-10</v>
      </c>
      <c r="I4220" s="271" t="str">
        <f>IFERROR(__xludf.DUMMYFUNCTION("""COMPUTED_VALUE"""),"鯰魚大大")</f>
        <v>鯰魚大大</v>
      </c>
      <c r="J4220" t="str">
        <f>IFERROR(__xludf.DUMMYFUNCTION("IFS(
  AND(REGEXMATCH(E4220, ""台銀籌備帳戶|玉山帳戶""), REGEXMATCH(C4220, ""薪資"")), ""分潤支出"",
  AND(REGEXMATCH(E4220, ""Ben帳戶|Elsa帳戶|Ben代墊|Ariel代墊|中信銀行共用""), REGEXMATCH(F4220, ""Ben帳戶|Elsa帳戶|Ben代墊|Ariel代墊|中信銀行共用"")), ""內部轉帳(忽略)"",
  AND(E4220&lt;&gt;"""", F4220&lt;&gt;"""", N"&amp;"OT(REGEXMATCH(C4220, ""薪資""))), ""內部轉帳(忽略)"",
  REGEXMATCH(C4220, ""薪資""), ""薪資變動(不計入)"",
  REGEXMATCH(C4220, ""押金""), ""押金往來"",
  AND(E4220&lt;&gt;"""", F4220=""""), ""真實支出"",
  AND(E4220="""", F4220&lt;&gt;""""), ""真實收入"",
  TRUE, ""其他""
)"),"真實收入")</f>
        <v>真實收入</v>
      </c>
      <c r="K4220" s="270">
        <f t="shared" si="2"/>
        <v>13100</v>
      </c>
      <c r="L4220">
        <f t="shared" si="3"/>
        <v>0</v>
      </c>
    </row>
    <row r="4221">
      <c r="A4221" s="107">
        <f>IFERROR(__xludf.DUMMYFUNCTION("""COMPUTED_VALUE"""),45566.0)</f>
        <v>45566</v>
      </c>
      <c r="B4221" t="str">
        <f>IFERROR(__xludf.DUMMYFUNCTION("""COMPUTED_VALUE"""),"內湖秘境F楊芯岳")</f>
        <v>內湖秘境F楊芯岳</v>
      </c>
      <c r="C4221" t="str">
        <f>IFERROR(__xludf.DUMMYFUNCTION("""COMPUTED_VALUE"""),"收入 - 租金")</f>
        <v>收入 - 租金</v>
      </c>
      <c r="D4221" s="270">
        <f>IFERROR(__xludf.DUMMYFUNCTION("""COMPUTED_VALUE"""),10000.0)</f>
        <v>10000</v>
      </c>
      <c r="F4221" t="str">
        <f>IFERROR(__xludf.DUMMYFUNCTION("""COMPUTED_VALUE"""),"玉山帳戶")</f>
        <v>玉山帳戶</v>
      </c>
      <c r="G4221" t="str">
        <f>IFERROR(__xludf.DUMMYFUNCTION("""COMPUTED_VALUE"""),"內湖秘境")</f>
        <v>內湖秘境</v>
      </c>
      <c r="H4221" s="106" t="str">
        <f t="shared" si="1"/>
        <v>2024-10</v>
      </c>
      <c r="I4221" s="271" t="str">
        <f>IFERROR(__xludf.DUMMYFUNCTION("""COMPUTED_VALUE"""),"鯰魚大大")</f>
        <v>鯰魚大大</v>
      </c>
      <c r="J4221" t="str">
        <f>IFERROR(__xludf.DUMMYFUNCTION("IFS(
  AND(REGEXMATCH(E4221, ""台銀籌備帳戶|玉山帳戶""), REGEXMATCH(C4221, ""薪資"")), ""分潤支出"",
  AND(REGEXMATCH(E4221, ""Ben帳戶|Elsa帳戶|Ben代墊|Ariel代墊|中信銀行共用""), REGEXMATCH(F4221, ""Ben帳戶|Elsa帳戶|Ben代墊|Ariel代墊|中信銀行共用"")), ""內部轉帳(忽略)"",
  AND(E4221&lt;&gt;"""", F4221&lt;&gt;"""", N"&amp;"OT(REGEXMATCH(C4221, ""薪資""))), ""內部轉帳(忽略)"",
  REGEXMATCH(C4221, ""薪資""), ""薪資變動(不計入)"",
  REGEXMATCH(C4221, ""押金""), ""押金往來"",
  AND(E4221&lt;&gt;"""", F4221=""""), ""真實支出"",
  AND(E4221="""", F4221&lt;&gt;""""), ""真實收入"",
  TRUE, ""其他""
)"),"真實收入")</f>
        <v>真實收入</v>
      </c>
      <c r="K4221" s="270">
        <f t="shared" si="2"/>
        <v>10000</v>
      </c>
      <c r="L4221">
        <f t="shared" si="3"/>
        <v>0</v>
      </c>
    </row>
    <row r="4222">
      <c r="A4222" s="107">
        <f>IFERROR(__xludf.DUMMYFUNCTION("""COMPUTED_VALUE"""),45566.0)</f>
        <v>45566</v>
      </c>
      <c r="B4222" t="str">
        <f>IFERROR(__xludf.DUMMYFUNCTION("""COMPUTED_VALUE"""),"內湖秘境F楊芯岳")</f>
        <v>內湖秘境F楊芯岳</v>
      </c>
      <c r="C4222" t="str">
        <f>IFERROR(__xludf.DUMMYFUNCTION("""COMPUTED_VALUE"""),"收入 - 租金")</f>
        <v>收入 - 租金</v>
      </c>
      <c r="D4222" s="270">
        <f>IFERROR(__xludf.DUMMYFUNCTION("""COMPUTED_VALUE"""),3500.0)</f>
        <v>3500</v>
      </c>
      <c r="F4222" t="str">
        <f>IFERROR(__xludf.DUMMYFUNCTION("""COMPUTED_VALUE"""),"玉山帳戶")</f>
        <v>玉山帳戶</v>
      </c>
      <c r="G4222" t="str">
        <f>IFERROR(__xludf.DUMMYFUNCTION("""COMPUTED_VALUE"""),"內湖秘境")</f>
        <v>內湖秘境</v>
      </c>
      <c r="H4222" s="106" t="str">
        <f t="shared" si="1"/>
        <v>2024-10</v>
      </c>
      <c r="I4222" s="271" t="str">
        <f>IFERROR(__xludf.DUMMYFUNCTION("""COMPUTED_VALUE"""),"鯰魚大大")</f>
        <v>鯰魚大大</v>
      </c>
      <c r="J4222" t="str">
        <f>IFERROR(__xludf.DUMMYFUNCTION("IFS(
  AND(REGEXMATCH(E4222, ""台銀籌備帳戶|玉山帳戶""), REGEXMATCH(C4222, ""薪資"")), ""分潤支出"",
  AND(REGEXMATCH(E4222, ""Ben帳戶|Elsa帳戶|Ben代墊|Ariel代墊|中信銀行共用""), REGEXMATCH(F4222, ""Ben帳戶|Elsa帳戶|Ben代墊|Ariel代墊|中信銀行共用"")), ""內部轉帳(忽略)"",
  AND(E4222&lt;&gt;"""", F4222&lt;&gt;"""", N"&amp;"OT(REGEXMATCH(C4222, ""薪資""))), ""內部轉帳(忽略)"",
  REGEXMATCH(C4222, ""薪資""), ""薪資變動(不計入)"",
  REGEXMATCH(C4222, ""押金""), ""押金往來"",
  AND(E4222&lt;&gt;"""", F4222=""""), ""真實支出"",
  AND(E4222="""", F4222&lt;&gt;""""), ""真實收入"",
  TRUE, ""其他""
)"),"真實收入")</f>
        <v>真實收入</v>
      </c>
      <c r="K4222" s="270">
        <f t="shared" si="2"/>
        <v>3500</v>
      </c>
      <c r="L4222">
        <f t="shared" si="3"/>
        <v>0</v>
      </c>
    </row>
    <row r="4223">
      <c r="A4223" s="107">
        <f>IFERROR(__xludf.DUMMYFUNCTION("""COMPUTED_VALUE"""),45566.0)</f>
        <v>45566</v>
      </c>
      <c r="B4223" t="str">
        <f>IFERROR(__xludf.DUMMYFUNCTION("""COMPUTED_VALUE"""),"士林和豐B郭昱慧")</f>
        <v>士林和豐B郭昱慧</v>
      </c>
      <c r="C4223" t="str">
        <f>IFERROR(__xludf.DUMMYFUNCTION("""COMPUTED_VALUE"""),"收入 - 租金")</f>
        <v>收入 - 租金</v>
      </c>
      <c r="D4223" s="270">
        <f>IFERROR(__xludf.DUMMYFUNCTION("""COMPUTED_VALUE"""),14100.0)</f>
        <v>14100</v>
      </c>
      <c r="F4223" t="str">
        <f>IFERROR(__xludf.DUMMYFUNCTION("""COMPUTED_VALUE"""),"玉山帳戶")</f>
        <v>玉山帳戶</v>
      </c>
      <c r="G4223" t="str">
        <f>IFERROR(__xludf.DUMMYFUNCTION("""COMPUTED_VALUE"""),"士林和豐")</f>
        <v>士林和豐</v>
      </c>
      <c r="H4223" s="106" t="str">
        <f t="shared" si="1"/>
        <v>2024-10</v>
      </c>
      <c r="I4223" s="271" t="str">
        <f>IFERROR(__xludf.DUMMYFUNCTION("""COMPUTED_VALUE"""),"鯰魚大大")</f>
        <v>鯰魚大大</v>
      </c>
      <c r="J4223" t="str">
        <f>IFERROR(__xludf.DUMMYFUNCTION("IFS(
  AND(REGEXMATCH(E4223, ""台銀籌備帳戶|玉山帳戶""), REGEXMATCH(C4223, ""薪資"")), ""分潤支出"",
  AND(REGEXMATCH(E4223, ""Ben帳戶|Elsa帳戶|Ben代墊|Ariel代墊|中信銀行共用""), REGEXMATCH(F4223, ""Ben帳戶|Elsa帳戶|Ben代墊|Ariel代墊|中信銀行共用"")), ""內部轉帳(忽略)"",
  AND(E4223&lt;&gt;"""", F4223&lt;&gt;"""", N"&amp;"OT(REGEXMATCH(C4223, ""薪資""))), ""內部轉帳(忽略)"",
  REGEXMATCH(C4223, ""薪資""), ""薪資變動(不計入)"",
  REGEXMATCH(C4223, ""押金""), ""押金往來"",
  AND(E4223&lt;&gt;"""", F4223=""""), ""真實支出"",
  AND(E4223="""", F4223&lt;&gt;""""), ""真實收入"",
  TRUE, ""其他""
)"),"真實收入")</f>
        <v>真實收入</v>
      </c>
      <c r="K4223" s="270">
        <f t="shared" si="2"/>
        <v>14100</v>
      </c>
      <c r="L4223">
        <f t="shared" si="3"/>
        <v>0</v>
      </c>
    </row>
    <row r="4224">
      <c r="A4224" s="107">
        <f>IFERROR(__xludf.DUMMYFUNCTION("""COMPUTED_VALUE"""),45566.0)</f>
        <v>45566</v>
      </c>
      <c r="B4224" t="str">
        <f>IFERROR(__xludf.DUMMYFUNCTION("""COMPUTED_VALUE"""),"內湖秘境A陳玟涵")</f>
        <v>內湖秘境A陳玟涵</v>
      </c>
      <c r="C4224" t="str">
        <f>IFERROR(__xludf.DUMMYFUNCTION("""COMPUTED_VALUE"""),"收入 - 租金")</f>
        <v>收入 - 租金</v>
      </c>
      <c r="D4224" s="270">
        <f>IFERROR(__xludf.DUMMYFUNCTION("""COMPUTED_VALUE"""),12000.0)</f>
        <v>12000</v>
      </c>
      <c r="F4224" t="str">
        <f>IFERROR(__xludf.DUMMYFUNCTION("""COMPUTED_VALUE"""),"玉山帳戶")</f>
        <v>玉山帳戶</v>
      </c>
      <c r="G4224" t="str">
        <f>IFERROR(__xludf.DUMMYFUNCTION("""COMPUTED_VALUE"""),"內湖秘境")</f>
        <v>內湖秘境</v>
      </c>
      <c r="H4224" s="106" t="str">
        <f t="shared" si="1"/>
        <v>2024-10</v>
      </c>
      <c r="I4224" s="271" t="str">
        <f>IFERROR(__xludf.DUMMYFUNCTION("""COMPUTED_VALUE"""),"鯰魚大大")</f>
        <v>鯰魚大大</v>
      </c>
      <c r="J4224" t="str">
        <f>IFERROR(__xludf.DUMMYFUNCTION("IFS(
  AND(REGEXMATCH(E4224, ""台銀籌備帳戶|玉山帳戶""), REGEXMATCH(C4224, ""薪資"")), ""分潤支出"",
  AND(REGEXMATCH(E4224, ""Ben帳戶|Elsa帳戶|Ben代墊|Ariel代墊|中信銀行共用""), REGEXMATCH(F4224, ""Ben帳戶|Elsa帳戶|Ben代墊|Ariel代墊|中信銀行共用"")), ""內部轉帳(忽略)"",
  AND(E4224&lt;&gt;"""", F4224&lt;&gt;"""", N"&amp;"OT(REGEXMATCH(C4224, ""薪資""))), ""內部轉帳(忽略)"",
  REGEXMATCH(C4224, ""薪資""), ""薪資變動(不計入)"",
  REGEXMATCH(C4224, ""押金""), ""押金往來"",
  AND(E4224&lt;&gt;"""", F4224=""""), ""真實支出"",
  AND(E4224="""", F4224&lt;&gt;""""), ""真實收入"",
  TRUE, ""其他""
)"),"真實收入")</f>
        <v>真實收入</v>
      </c>
      <c r="K4224" s="270">
        <f t="shared" si="2"/>
        <v>12000</v>
      </c>
      <c r="L4224">
        <f t="shared" si="3"/>
        <v>0</v>
      </c>
    </row>
    <row r="4225">
      <c r="A4225" s="107">
        <f>IFERROR(__xludf.DUMMYFUNCTION("""COMPUTED_VALUE"""),45566.0)</f>
        <v>45566</v>
      </c>
      <c r="B4225" t="str">
        <f>IFERROR(__xludf.DUMMYFUNCTION("""COMPUTED_VALUE"""),"小宜(2月～10月)")</f>
        <v>小宜(2月～10月)</v>
      </c>
      <c r="C4225" t="str">
        <f>IFERROR(__xludf.DUMMYFUNCTION("""COMPUTED_VALUE"""),"收入 - 租金")</f>
        <v>收入 - 租金</v>
      </c>
      <c r="D4225" s="270">
        <f>IFERROR(__xludf.DUMMYFUNCTION("""COMPUTED_VALUE"""),112500.0)</f>
        <v>112500</v>
      </c>
      <c r="F4225" t="str">
        <f>IFERROR(__xludf.DUMMYFUNCTION("""COMPUTED_VALUE"""),"中信銀行共用")</f>
        <v>中信銀行共用</v>
      </c>
      <c r="G4225" t="str">
        <f>IFERROR(__xludf.DUMMYFUNCTION("""COMPUTED_VALUE"""),"士林和豐")</f>
        <v>士林和豐</v>
      </c>
      <c r="H4225" s="106" t="str">
        <f t="shared" si="1"/>
        <v>2024-10</v>
      </c>
      <c r="I4225" s="271" t="str">
        <f>IFERROR(__xludf.DUMMYFUNCTION("""COMPUTED_VALUE"""),"鯰魚大大")</f>
        <v>鯰魚大大</v>
      </c>
      <c r="J4225" t="str">
        <f>IFERROR(__xludf.DUMMYFUNCTION("IFS(
  AND(REGEXMATCH(E4225, ""台銀籌備帳戶|玉山帳戶""), REGEXMATCH(C4225, ""薪資"")), ""分潤支出"",
  AND(REGEXMATCH(E4225, ""Ben帳戶|Elsa帳戶|Ben代墊|Ariel代墊|中信銀行共用""), REGEXMATCH(F4225, ""Ben帳戶|Elsa帳戶|Ben代墊|Ariel代墊|中信銀行共用"")), ""內部轉帳(忽略)"",
  AND(E4225&lt;&gt;"""", F4225&lt;&gt;"""", N"&amp;"OT(REGEXMATCH(C4225, ""薪資""))), ""內部轉帳(忽略)"",
  REGEXMATCH(C4225, ""薪資""), ""薪資變動(不計入)"",
  REGEXMATCH(C4225, ""押金""), ""押金往來"",
  AND(E4225&lt;&gt;"""", F4225=""""), ""真實支出"",
  AND(E4225="""", F4225&lt;&gt;""""), ""真實收入"",
  TRUE, ""其他""
)"),"真實收入")</f>
        <v>真實收入</v>
      </c>
      <c r="K4225" s="270">
        <f t="shared" si="2"/>
        <v>112500</v>
      </c>
      <c r="L4225">
        <f t="shared" si="3"/>
        <v>0</v>
      </c>
    </row>
    <row r="4226">
      <c r="A4226" s="107">
        <f>IFERROR(__xludf.DUMMYFUNCTION("""COMPUTED_VALUE"""),45568.0)</f>
        <v>45568</v>
      </c>
      <c r="B4226" t="str">
        <f>IFERROR(__xludf.DUMMYFUNCTION("""COMPUTED_VALUE"""),"夏野良栗 燈具")</f>
        <v>夏野良栗 燈具</v>
      </c>
      <c r="C4226" t="str">
        <f>IFERROR(__xludf.DUMMYFUNCTION("""COMPUTED_VALUE"""),"成本 - 進場前裝潢費")</f>
        <v>成本 - 進場前裝潢費</v>
      </c>
      <c r="D4226" s="270">
        <f>IFERROR(__xludf.DUMMYFUNCTION("""COMPUTED_VALUE"""),-6130.0)</f>
        <v>-6130</v>
      </c>
      <c r="E4226" t="str">
        <f>IFERROR(__xludf.DUMMYFUNCTION("""COMPUTED_VALUE"""),"Ariel代墊")</f>
        <v>Ariel代墊</v>
      </c>
      <c r="G4226" t="str">
        <f>IFERROR(__xludf.DUMMYFUNCTION("""COMPUTED_VALUE"""),"行天宮夏野良栗")</f>
        <v>行天宮夏野良栗</v>
      </c>
      <c r="H4226" s="106" t="str">
        <f t="shared" si="1"/>
        <v>2024-10</v>
      </c>
      <c r="I4226" s="271" t="str">
        <f>IFERROR(__xludf.DUMMYFUNCTION("""COMPUTED_VALUE"""),"鯰魚大大")</f>
        <v>鯰魚大大</v>
      </c>
      <c r="J4226" t="str">
        <f>IFERROR(__xludf.DUMMYFUNCTION("IFS(
  AND(REGEXMATCH(E4226, ""台銀籌備帳戶|玉山帳戶""), REGEXMATCH(C4226, ""薪資"")), ""分潤支出"",
  AND(REGEXMATCH(E4226, ""Ben帳戶|Elsa帳戶|Ben代墊|Ariel代墊|中信銀行共用""), REGEXMATCH(F4226, ""Ben帳戶|Elsa帳戶|Ben代墊|Ariel代墊|中信銀行共用"")), ""內部轉帳(忽略)"",
  AND(E4226&lt;&gt;"""", F4226&lt;&gt;"""", N"&amp;"OT(REGEXMATCH(C4226, ""薪資""))), ""內部轉帳(忽略)"",
  REGEXMATCH(C4226, ""薪資""), ""薪資變動(不計入)"",
  REGEXMATCH(C4226, ""押金""), ""押金往來"",
  AND(E4226&lt;&gt;"""", F4226=""""), ""真實支出"",
  AND(E4226="""", F4226&lt;&gt;""""), ""真實收入"",
  TRUE, ""其他""
)"),"真實支出")</f>
        <v>真實支出</v>
      </c>
      <c r="K4226" s="270">
        <f t="shared" si="2"/>
        <v>-6130</v>
      </c>
      <c r="L4226">
        <f t="shared" si="3"/>
        <v>0</v>
      </c>
    </row>
    <row r="4227">
      <c r="A4227" s="107">
        <f>IFERROR(__xludf.DUMMYFUNCTION("""COMPUTED_VALUE"""),45567.0)</f>
        <v>45567</v>
      </c>
      <c r="B4227" t="str">
        <f>IFERROR(__xludf.DUMMYFUNCTION("""COMPUTED_VALUE"""),"夏野良栗_開關插座")</f>
        <v>夏野良栗_開關插座</v>
      </c>
      <c r="C4227" t="str">
        <f>IFERROR(__xludf.DUMMYFUNCTION("""COMPUTED_VALUE"""),"成本 - 進場前裝潢費")</f>
        <v>成本 - 進場前裝潢費</v>
      </c>
      <c r="D4227" s="270">
        <f>IFERROR(__xludf.DUMMYFUNCTION("""COMPUTED_VALUE"""),-1975.0)</f>
        <v>-1975</v>
      </c>
      <c r="E4227" t="str">
        <f>IFERROR(__xludf.DUMMYFUNCTION("""COMPUTED_VALUE"""),"Ariel代墊")</f>
        <v>Ariel代墊</v>
      </c>
      <c r="G4227" t="str">
        <f>IFERROR(__xludf.DUMMYFUNCTION("""COMPUTED_VALUE"""),"行天宮夏野良栗")</f>
        <v>行天宮夏野良栗</v>
      </c>
      <c r="H4227" s="106" t="str">
        <f t="shared" si="1"/>
        <v>2024-10</v>
      </c>
      <c r="I4227" s="271" t="str">
        <f>IFERROR(__xludf.DUMMYFUNCTION("""COMPUTED_VALUE"""),"鯰魚大大")</f>
        <v>鯰魚大大</v>
      </c>
      <c r="J4227" t="str">
        <f>IFERROR(__xludf.DUMMYFUNCTION("IFS(
  AND(REGEXMATCH(E4227, ""台銀籌備帳戶|玉山帳戶""), REGEXMATCH(C4227, ""薪資"")), ""分潤支出"",
  AND(REGEXMATCH(E4227, ""Ben帳戶|Elsa帳戶|Ben代墊|Ariel代墊|中信銀行共用""), REGEXMATCH(F4227, ""Ben帳戶|Elsa帳戶|Ben代墊|Ariel代墊|中信銀行共用"")), ""內部轉帳(忽略)"",
  AND(E4227&lt;&gt;"""", F4227&lt;&gt;"""", N"&amp;"OT(REGEXMATCH(C4227, ""薪資""))), ""內部轉帳(忽略)"",
  REGEXMATCH(C4227, ""薪資""), ""薪資變動(不計入)"",
  REGEXMATCH(C4227, ""押金""), ""押金往來"",
  AND(E4227&lt;&gt;"""", F4227=""""), ""真實支出"",
  AND(E4227="""", F4227&lt;&gt;""""), ""真實收入"",
  TRUE, ""其他""
)"),"真實支出")</f>
        <v>真實支出</v>
      </c>
      <c r="K4227" s="270">
        <f t="shared" si="2"/>
        <v>-1975</v>
      </c>
      <c r="L4227">
        <f t="shared" si="3"/>
        <v>0</v>
      </c>
    </row>
    <row r="4228">
      <c r="A4228" s="107">
        <f>IFERROR(__xludf.DUMMYFUNCTION("""COMPUTED_VALUE"""),45570.0)</f>
        <v>45570</v>
      </c>
      <c r="B4228" t="str">
        <f>IFERROR(__xludf.DUMMYFUNCTION("""COMPUTED_VALUE"""),"夏野良栗_淘寶吊燈")</f>
        <v>夏野良栗_淘寶吊燈</v>
      </c>
      <c r="C4228" t="str">
        <f>IFERROR(__xludf.DUMMYFUNCTION("""COMPUTED_VALUE"""),"成本 - 進場前裝潢費")</f>
        <v>成本 - 進場前裝潢費</v>
      </c>
      <c r="D4228" s="270">
        <f>IFERROR(__xludf.DUMMYFUNCTION("""COMPUTED_VALUE"""),-973.3849999999999)</f>
        <v>-973.385</v>
      </c>
      <c r="E4228" t="str">
        <f>IFERROR(__xludf.DUMMYFUNCTION("""COMPUTED_VALUE"""),"Ariel代墊")</f>
        <v>Ariel代墊</v>
      </c>
      <c r="G4228" t="str">
        <f>IFERROR(__xludf.DUMMYFUNCTION("""COMPUTED_VALUE"""),"行天宮夏野良栗")</f>
        <v>行天宮夏野良栗</v>
      </c>
      <c r="H4228" s="106" t="str">
        <f t="shared" si="1"/>
        <v>2024-10</v>
      </c>
      <c r="I4228" s="271" t="str">
        <f>IFERROR(__xludf.DUMMYFUNCTION("""COMPUTED_VALUE"""),"鯰魚大大")</f>
        <v>鯰魚大大</v>
      </c>
      <c r="J4228" t="str">
        <f>IFERROR(__xludf.DUMMYFUNCTION("IFS(
  AND(REGEXMATCH(E4228, ""台銀籌備帳戶|玉山帳戶""), REGEXMATCH(C4228, ""薪資"")), ""分潤支出"",
  AND(REGEXMATCH(E4228, ""Ben帳戶|Elsa帳戶|Ben代墊|Ariel代墊|中信銀行共用""), REGEXMATCH(F4228, ""Ben帳戶|Elsa帳戶|Ben代墊|Ariel代墊|中信銀行共用"")), ""內部轉帳(忽略)"",
  AND(E4228&lt;&gt;"""", F4228&lt;&gt;"""", N"&amp;"OT(REGEXMATCH(C4228, ""薪資""))), ""內部轉帳(忽略)"",
  REGEXMATCH(C4228, ""薪資""), ""薪資變動(不計入)"",
  REGEXMATCH(C4228, ""押金""), ""押金往來"",
  AND(E4228&lt;&gt;"""", F4228=""""), ""真實支出"",
  AND(E4228="""", F4228&lt;&gt;""""), ""真實收入"",
  TRUE, ""其他""
)"),"真實支出")</f>
        <v>真實支出</v>
      </c>
      <c r="K4228" s="270">
        <f t="shared" si="2"/>
        <v>-973.385</v>
      </c>
      <c r="L4228">
        <f t="shared" si="3"/>
        <v>0</v>
      </c>
    </row>
    <row r="4229">
      <c r="A4229" s="107">
        <f>IFERROR(__xludf.DUMMYFUNCTION("""COMPUTED_VALUE"""),45578.0)</f>
        <v>45578</v>
      </c>
      <c r="B4229" t="str">
        <f>IFERROR(__xludf.DUMMYFUNCTION("""COMPUTED_VALUE"""),"夏野良栗_IKEA")</f>
        <v>夏野良栗_IKEA</v>
      </c>
      <c r="C4229" t="str">
        <f>IFERROR(__xludf.DUMMYFUNCTION("""COMPUTED_VALUE"""),"成本 - 進場前裝潢費")</f>
        <v>成本 - 進場前裝潢費</v>
      </c>
      <c r="D4229" s="270">
        <f>IFERROR(__xludf.DUMMYFUNCTION("""COMPUTED_VALUE"""),-40445.0)</f>
        <v>-40445</v>
      </c>
      <c r="E4229" t="str">
        <f>IFERROR(__xludf.DUMMYFUNCTION("""COMPUTED_VALUE"""),"Ben代墊")</f>
        <v>Ben代墊</v>
      </c>
      <c r="G4229" t="str">
        <f>IFERROR(__xludf.DUMMYFUNCTION("""COMPUTED_VALUE"""),"行天宮夏野良栗")</f>
        <v>行天宮夏野良栗</v>
      </c>
      <c r="H4229" s="106" t="str">
        <f t="shared" si="1"/>
        <v>2024-10</v>
      </c>
      <c r="I4229" s="271" t="str">
        <f>IFERROR(__xludf.DUMMYFUNCTION("""COMPUTED_VALUE"""),"鯰魚大大")</f>
        <v>鯰魚大大</v>
      </c>
      <c r="J4229" t="str">
        <f>IFERROR(__xludf.DUMMYFUNCTION("IFS(
  AND(REGEXMATCH(E4229, ""台銀籌備帳戶|玉山帳戶""), REGEXMATCH(C4229, ""薪資"")), ""分潤支出"",
  AND(REGEXMATCH(E4229, ""Ben帳戶|Elsa帳戶|Ben代墊|Ariel代墊|中信銀行共用""), REGEXMATCH(F4229, ""Ben帳戶|Elsa帳戶|Ben代墊|Ariel代墊|中信銀行共用"")), ""內部轉帳(忽略)"",
  AND(E4229&lt;&gt;"""", F4229&lt;&gt;"""", N"&amp;"OT(REGEXMATCH(C4229, ""薪資""))), ""內部轉帳(忽略)"",
  REGEXMATCH(C4229, ""薪資""), ""薪資變動(不計入)"",
  REGEXMATCH(C4229, ""押金""), ""押金往來"",
  AND(E4229&lt;&gt;"""", F4229=""""), ""真實支出"",
  AND(E4229="""", F4229&lt;&gt;""""), ""真實收入"",
  TRUE, ""其他""
)"),"真實支出")</f>
        <v>真實支出</v>
      </c>
      <c r="K4229" s="270">
        <f t="shared" si="2"/>
        <v>-40445</v>
      </c>
      <c r="L4229">
        <f t="shared" si="3"/>
        <v>0</v>
      </c>
    </row>
    <row r="4230">
      <c r="A4230" s="107">
        <f>IFERROR(__xludf.DUMMYFUNCTION("""COMPUTED_VALUE"""),45574.0)</f>
        <v>45574</v>
      </c>
      <c r="B4230" t="str">
        <f>IFERROR(__xludf.DUMMYFUNCTION("""COMPUTED_VALUE"""),"夏野良栗_淘寶軟裝")</f>
        <v>夏野良栗_淘寶軟裝</v>
      </c>
      <c r="C4230" t="str">
        <f>IFERROR(__xludf.DUMMYFUNCTION("""COMPUTED_VALUE"""),"成本 - 進場前裝潢費")</f>
        <v>成本 - 進場前裝潢費</v>
      </c>
      <c r="D4230" s="270">
        <f>IFERROR(__xludf.DUMMYFUNCTION("""COMPUTED_VALUE"""),-9841.0)</f>
        <v>-9841</v>
      </c>
      <c r="E4230" t="str">
        <f>IFERROR(__xludf.DUMMYFUNCTION("""COMPUTED_VALUE"""),"Ariel代墊")</f>
        <v>Ariel代墊</v>
      </c>
      <c r="G4230" t="str">
        <f>IFERROR(__xludf.DUMMYFUNCTION("""COMPUTED_VALUE"""),"行天宮夏野良栗")</f>
        <v>行天宮夏野良栗</v>
      </c>
      <c r="H4230" s="106" t="str">
        <f t="shared" si="1"/>
        <v>2024-10</v>
      </c>
      <c r="I4230" s="271" t="str">
        <f>IFERROR(__xludf.DUMMYFUNCTION("""COMPUTED_VALUE"""),"鯰魚大大")</f>
        <v>鯰魚大大</v>
      </c>
      <c r="J4230" t="str">
        <f>IFERROR(__xludf.DUMMYFUNCTION("IFS(
  AND(REGEXMATCH(E4230, ""台銀籌備帳戶|玉山帳戶""), REGEXMATCH(C4230, ""薪資"")), ""分潤支出"",
  AND(REGEXMATCH(E4230, ""Ben帳戶|Elsa帳戶|Ben代墊|Ariel代墊|中信銀行共用""), REGEXMATCH(F4230, ""Ben帳戶|Elsa帳戶|Ben代墊|Ariel代墊|中信銀行共用"")), ""內部轉帳(忽略)"",
  AND(E4230&lt;&gt;"""", F4230&lt;&gt;"""", N"&amp;"OT(REGEXMATCH(C4230, ""薪資""))), ""內部轉帳(忽略)"",
  REGEXMATCH(C4230, ""薪資""), ""薪資變動(不計入)"",
  REGEXMATCH(C4230, ""押金""), ""押金往來"",
  AND(E4230&lt;&gt;"""", F4230=""""), ""真實支出"",
  AND(E4230="""", F4230&lt;&gt;""""), ""真實收入"",
  TRUE, ""其他""
)"),"真實支出")</f>
        <v>真實支出</v>
      </c>
      <c r="K4230" s="270">
        <f t="shared" si="2"/>
        <v>-9841</v>
      </c>
      <c r="L4230">
        <f t="shared" si="3"/>
        <v>0</v>
      </c>
    </row>
    <row r="4231">
      <c r="A4231" s="107">
        <f>IFERROR(__xludf.DUMMYFUNCTION("""COMPUTED_VALUE"""),45572.0)</f>
        <v>45572</v>
      </c>
      <c r="B4231" t="str">
        <f>IFERROR(__xludf.DUMMYFUNCTION("""COMPUTED_VALUE"""),"夏野良栗_淘寶椅子")</f>
        <v>夏野良栗_淘寶椅子</v>
      </c>
      <c r="C4231" t="str">
        <f>IFERROR(__xludf.DUMMYFUNCTION("""COMPUTED_VALUE"""),"成本 - 進場前裝潢費")</f>
        <v>成本 - 進場前裝潢費</v>
      </c>
      <c r="D4231" s="270">
        <f>IFERROR(__xludf.DUMMYFUNCTION("""COMPUTED_VALUE"""),-11237.0)</f>
        <v>-11237</v>
      </c>
      <c r="E4231" t="str">
        <f>IFERROR(__xludf.DUMMYFUNCTION("""COMPUTED_VALUE"""),"Ariel代墊")</f>
        <v>Ariel代墊</v>
      </c>
      <c r="G4231" t="str">
        <f>IFERROR(__xludf.DUMMYFUNCTION("""COMPUTED_VALUE"""),"行天宮夏野良栗")</f>
        <v>行天宮夏野良栗</v>
      </c>
      <c r="H4231" s="106" t="str">
        <f t="shared" si="1"/>
        <v>2024-10</v>
      </c>
      <c r="I4231" s="271" t="str">
        <f>IFERROR(__xludf.DUMMYFUNCTION("""COMPUTED_VALUE"""),"鯰魚大大")</f>
        <v>鯰魚大大</v>
      </c>
      <c r="J4231" t="str">
        <f>IFERROR(__xludf.DUMMYFUNCTION("IFS(
  AND(REGEXMATCH(E4231, ""台銀籌備帳戶|玉山帳戶""), REGEXMATCH(C4231, ""薪資"")), ""分潤支出"",
  AND(REGEXMATCH(E4231, ""Ben帳戶|Elsa帳戶|Ben代墊|Ariel代墊|中信銀行共用""), REGEXMATCH(F4231, ""Ben帳戶|Elsa帳戶|Ben代墊|Ariel代墊|中信銀行共用"")), ""內部轉帳(忽略)"",
  AND(E4231&lt;&gt;"""", F4231&lt;&gt;"""", N"&amp;"OT(REGEXMATCH(C4231, ""薪資""))), ""內部轉帳(忽略)"",
  REGEXMATCH(C4231, ""薪資""), ""薪資變動(不計入)"",
  REGEXMATCH(C4231, ""押金""), ""押金往來"",
  AND(E4231&lt;&gt;"""", F4231=""""), ""真實支出"",
  AND(E4231="""", F4231&lt;&gt;""""), ""真實收入"",
  TRUE, ""其他""
)"),"真實支出")</f>
        <v>真實支出</v>
      </c>
      <c r="K4231" s="270">
        <f t="shared" si="2"/>
        <v>-11237</v>
      </c>
      <c r="L4231">
        <f t="shared" si="3"/>
        <v>0</v>
      </c>
    </row>
    <row r="4232">
      <c r="A4232" s="107">
        <f>IFERROR(__xludf.DUMMYFUNCTION("""COMPUTED_VALUE"""),45574.0)</f>
        <v>45574</v>
      </c>
      <c r="B4232" t="str">
        <f>IFERROR(__xludf.DUMMYFUNCTION("""COMPUTED_VALUE"""),"夏野良栗_淘寶軟裝")</f>
        <v>夏野良栗_淘寶軟裝</v>
      </c>
      <c r="C4232" t="str">
        <f>IFERROR(__xludf.DUMMYFUNCTION("""COMPUTED_VALUE"""),"成本 - 進場前裝潢費")</f>
        <v>成本 - 進場前裝潢費</v>
      </c>
      <c r="D4232" s="270">
        <f>IFERROR(__xludf.DUMMYFUNCTION("""COMPUTED_VALUE"""),-2254.0)</f>
        <v>-2254</v>
      </c>
      <c r="E4232" t="str">
        <f>IFERROR(__xludf.DUMMYFUNCTION("""COMPUTED_VALUE"""),"Ariel代墊")</f>
        <v>Ariel代墊</v>
      </c>
      <c r="G4232" t="str">
        <f>IFERROR(__xludf.DUMMYFUNCTION("""COMPUTED_VALUE"""),"行天宮夏野良栗")</f>
        <v>行天宮夏野良栗</v>
      </c>
      <c r="H4232" s="106" t="str">
        <f t="shared" si="1"/>
        <v>2024-10</v>
      </c>
      <c r="I4232" s="271" t="str">
        <f>IFERROR(__xludf.DUMMYFUNCTION("""COMPUTED_VALUE"""),"鯰魚大大")</f>
        <v>鯰魚大大</v>
      </c>
      <c r="J4232" t="str">
        <f>IFERROR(__xludf.DUMMYFUNCTION("IFS(
  AND(REGEXMATCH(E4232, ""台銀籌備帳戶|玉山帳戶""), REGEXMATCH(C4232, ""薪資"")), ""分潤支出"",
  AND(REGEXMATCH(E4232, ""Ben帳戶|Elsa帳戶|Ben代墊|Ariel代墊|中信銀行共用""), REGEXMATCH(F4232, ""Ben帳戶|Elsa帳戶|Ben代墊|Ariel代墊|中信銀行共用"")), ""內部轉帳(忽略)"",
  AND(E4232&lt;&gt;"""", F4232&lt;&gt;"""", N"&amp;"OT(REGEXMATCH(C4232, ""薪資""))), ""內部轉帳(忽略)"",
  REGEXMATCH(C4232, ""薪資""), ""薪資變動(不計入)"",
  REGEXMATCH(C4232, ""押金""), ""押金往來"",
  AND(E4232&lt;&gt;"""", F4232=""""), ""真實支出"",
  AND(E4232="""", F4232&lt;&gt;""""), ""真實收入"",
  TRUE, ""其他""
)"),"真實支出")</f>
        <v>真實支出</v>
      </c>
      <c r="K4232" s="270">
        <f t="shared" si="2"/>
        <v>-2254</v>
      </c>
      <c r="L4232">
        <f t="shared" si="3"/>
        <v>0</v>
      </c>
    </row>
    <row r="4233">
      <c r="A4233" s="107">
        <f>IFERROR(__xludf.DUMMYFUNCTION("""COMPUTED_VALUE"""),45578.0)</f>
        <v>45578</v>
      </c>
      <c r="B4233" t="str">
        <f>IFERROR(__xludf.DUMMYFUNCTION("""COMPUTED_VALUE"""),"夏野良栗_保潔墊")</f>
        <v>夏野良栗_保潔墊</v>
      </c>
      <c r="C4233" t="str">
        <f>IFERROR(__xludf.DUMMYFUNCTION("""COMPUTED_VALUE"""),"成本 - 進場前裝潢費")</f>
        <v>成本 - 進場前裝潢費</v>
      </c>
      <c r="D4233" s="270">
        <f>IFERROR(__xludf.DUMMYFUNCTION("""COMPUTED_VALUE"""),-1140.0)</f>
        <v>-1140</v>
      </c>
      <c r="E4233" t="str">
        <f>IFERROR(__xludf.DUMMYFUNCTION("""COMPUTED_VALUE"""),"Ariel代墊")</f>
        <v>Ariel代墊</v>
      </c>
      <c r="G4233" t="str">
        <f>IFERROR(__xludf.DUMMYFUNCTION("""COMPUTED_VALUE"""),"行天宮夏野良栗")</f>
        <v>行天宮夏野良栗</v>
      </c>
      <c r="H4233" s="106" t="str">
        <f t="shared" si="1"/>
        <v>2024-10</v>
      </c>
      <c r="I4233" s="271" t="str">
        <f>IFERROR(__xludf.DUMMYFUNCTION("""COMPUTED_VALUE"""),"鯰魚大大")</f>
        <v>鯰魚大大</v>
      </c>
      <c r="J4233" t="str">
        <f>IFERROR(__xludf.DUMMYFUNCTION("IFS(
  AND(REGEXMATCH(E4233, ""台銀籌備帳戶|玉山帳戶""), REGEXMATCH(C4233, ""薪資"")), ""分潤支出"",
  AND(REGEXMATCH(E4233, ""Ben帳戶|Elsa帳戶|Ben代墊|Ariel代墊|中信銀行共用""), REGEXMATCH(F4233, ""Ben帳戶|Elsa帳戶|Ben代墊|Ariel代墊|中信銀行共用"")), ""內部轉帳(忽略)"",
  AND(E4233&lt;&gt;"""", F4233&lt;&gt;"""", N"&amp;"OT(REGEXMATCH(C4233, ""薪資""))), ""內部轉帳(忽略)"",
  REGEXMATCH(C4233, ""薪資""), ""薪資變動(不計入)"",
  REGEXMATCH(C4233, ""押金""), ""押金往來"",
  AND(E4233&lt;&gt;"""", F4233=""""), ""真實支出"",
  AND(E4233="""", F4233&lt;&gt;""""), ""真實收入"",
  TRUE, ""其他""
)"),"真實支出")</f>
        <v>真實支出</v>
      </c>
      <c r="K4233" s="270">
        <f t="shared" si="2"/>
        <v>-1140</v>
      </c>
      <c r="L4233">
        <f t="shared" si="3"/>
        <v>0</v>
      </c>
    </row>
    <row r="4234">
      <c r="A4234" s="107">
        <f>IFERROR(__xludf.DUMMYFUNCTION("""COMPUTED_VALUE"""),45578.0)</f>
        <v>45578</v>
      </c>
      <c r="B4234" t="str">
        <f>IFERROR(__xludf.DUMMYFUNCTION("""COMPUTED_VALUE"""),"夏野良栗_滅火器")</f>
        <v>夏野良栗_滅火器</v>
      </c>
      <c r="C4234" t="str">
        <f>IFERROR(__xludf.DUMMYFUNCTION("""COMPUTED_VALUE"""),"成本 - 進場前裝潢費")</f>
        <v>成本 - 進場前裝潢費</v>
      </c>
      <c r="D4234" s="270">
        <f>IFERROR(__xludf.DUMMYFUNCTION("""COMPUTED_VALUE"""),-1288.0)</f>
        <v>-1288</v>
      </c>
      <c r="E4234" t="str">
        <f>IFERROR(__xludf.DUMMYFUNCTION("""COMPUTED_VALUE"""),"Ariel代墊")</f>
        <v>Ariel代墊</v>
      </c>
      <c r="G4234" t="str">
        <f>IFERROR(__xludf.DUMMYFUNCTION("""COMPUTED_VALUE"""),"行天宮夏野良栗")</f>
        <v>行天宮夏野良栗</v>
      </c>
      <c r="H4234" s="106" t="str">
        <f t="shared" si="1"/>
        <v>2024-10</v>
      </c>
      <c r="I4234" s="271" t="str">
        <f>IFERROR(__xludf.DUMMYFUNCTION("""COMPUTED_VALUE"""),"鯰魚大大")</f>
        <v>鯰魚大大</v>
      </c>
      <c r="J4234" t="str">
        <f>IFERROR(__xludf.DUMMYFUNCTION("IFS(
  AND(REGEXMATCH(E4234, ""台銀籌備帳戶|玉山帳戶""), REGEXMATCH(C4234, ""薪資"")), ""分潤支出"",
  AND(REGEXMATCH(E4234, ""Ben帳戶|Elsa帳戶|Ben代墊|Ariel代墊|中信銀行共用""), REGEXMATCH(F4234, ""Ben帳戶|Elsa帳戶|Ben代墊|Ariel代墊|中信銀行共用"")), ""內部轉帳(忽略)"",
  AND(E4234&lt;&gt;"""", F4234&lt;&gt;"""", N"&amp;"OT(REGEXMATCH(C4234, ""薪資""))), ""內部轉帳(忽略)"",
  REGEXMATCH(C4234, ""薪資""), ""薪資變動(不計入)"",
  REGEXMATCH(C4234, ""押金""), ""押金往來"",
  AND(E4234&lt;&gt;"""", F4234=""""), ""真實支出"",
  AND(E4234="""", F4234&lt;&gt;""""), ""真實收入"",
  TRUE, ""其他""
)"),"真實支出")</f>
        <v>真實支出</v>
      </c>
      <c r="K4234" s="270">
        <f t="shared" si="2"/>
        <v>-1288</v>
      </c>
      <c r="L4234">
        <f t="shared" si="3"/>
        <v>0</v>
      </c>
    </row>
    <row r="4235">
      <c r="A4235" s="107">
        <f>IFERROR(__xludf.DUMMYFUNCTION("""COMPUTED_VALUE"""),45578.0)</f>
        <v>45578</v>
      </c>
      <c r="B4235" t="str">
        <f>IFERROR(__xludf.DUMMYFUNCTION("""COMPUTED_VALUE"""),"夏野良栗_淘寶軟裝")</f>
        <v>夏野良栗_淘寶軟裝</v>
      </c>
      <c r="C4235" t="str">
        <f>IFERROR(__xludf.DUMMYFUNCTION("""COMPUTED_VALUE"""),"成本 - 進場前裝潢費")</f>
        <v>成本 - 進場前裝潢費</v>
      </c>
      <c r="D4235" s="270">
        <f>IFERROR(__xludf.DUMMYFUNCTION("""COMPUTED_VALUE"""),-135.0)</f>
        <v>-135</v>
      </c>
      <c r="E4235" t="str">
        <f>IFERROR(__xludf.DUMMYFUNCTION("""COMPUTED_VALUE"""),"Ariel代墊")</f>
        <v>Ariel代墊</v>
      </c>
      <c r="G4235" t="str">
        <f>IFERROR(__xludf.DUMMYFUNCTION("""COMPUTED_VALUE"""),"行天宮夏野良栗")</f>
        <v>行天宮夏野良栗</v>
      </c>
      <c r="H4235" s="106" t="str">
        <f t="shared" si="1"/>
        <v>2024-10</v>
      </c>
      <c r="I4235" s="271" t="str">
        <f>IFERROR(__xludf.DUMMYFUNCTION("""COMPUTED_VALUE"""),"鯰魚大大")</f>
        <v>鯰魚大大</v>
      </c>
      <c r="J4235" t="str">
        <f>IFERROR(__xludf.DUMMYFUNCTION("IFS(
  AND(REGEXMATCH(E4235, ""台銀籌備帳戶|玉山帳戶""), REGEXMATCH(C4235, ""薪資"")), ""分潤支出"",
  AND(REGEXMATCH(E4235, ""Ben帳戶|Elsa帳戶|Ben代墊|Ariel代墊|中信銀行共用""), REGEXMATCH(F4235, ""Ben帳戶|Elsa帳戶|Ben代墊|Ariel代墊|中信銀行共用"")), ""內部轉帳(忽略)"",
  AND(E4235&lt;&gt;"""", F4235&lt;&gt;"""", N"&amp;"OT(REGEXMATCH(C4235, ""薪資""))), ""內部轉帳(忽略)"",
  REGEXMATCH(C4235, ""薪資""), ""薪資變動(不計入)"",
  REGEXMATCH(C4235, ""押金""), ""押金往來"",
  AND(E4235&lt;&gt;"""", F4235=""""), ""真實支出"",
  AND(E4235="""", F4235&lt;&gt;""""), ""真實收入"",
  TRUE, ""其他""
)"),"真實支出")</f>
        <v>真實支出</v>
      </c>
      <c r="K4235" s="270">
        <f t="shared" si="2"/>
        <v>-135</v>
      </c>
      <c r="L4235">
        <f t="shared" si="3"/>
        <v>0</v>
      </c>
    </row>
    <row r="4236">
      <c r="A4236" s="107">
        <f>IFERROR(__xludf.DUMMYFUNCTION("""COMPUTED_VALUE"""),45578.0)</f>
        <v>45578</v>
      </c>
      <c r="B4236" t="str">
        <f>IFERROR(__xludf.DUMMYFUNCTION("""COMPUTED_VALUE"""),"夏野良栗_淘寶軟裝")</f>
        <v>夏野良栗_淘寶軟裝</v>
      </c>
      <c r="C4236" t="str">
        <f>IFERROR(__xludf.DUMMYFUNCTION("""COMPUTED_VALUE"""),"成本 - 進場前裝潢費")</f>
        <v>成本 - 進場前裝潢費</v>
      </c>
      <c r="D4236" s="270">
        <f>IFERROR(__xludf.DUMMYFUNCTION("""COMPUTED_VALUE"""),-2787.0)</f>
        <v>-2787</v>
      </c>
      <c r="E4236" t="str">
        <f>IFERROR(__xludf.DUMMYFUNCTION("""COMPUTED_VALUE"""),"Ariel代墊")</f>
        <v>Ariel代墊</v>
      </c>
      <c r="G4236" t="str">
        <f>IFERROR(__xludf.DUMMYFUNCTION("""COMPUTED_VALUE"""),"行天宮夏野良栗")</f>
        <v>行天宮夏野良栗</v>
      </c>
      <c r="H4236" s="106" t="str">
        <f t="shared" si="1"/>
        <v>2024-10</v>
      </c>
      <c r="I4236" s="271" t="str">
        <f>IFERROR(__xludf.DUMMYFUNCTION("""COMPUTED_VALUE"""),"鯰魚大大")</f>
        <v>鯰魚大大</v>
      </c>
      <c r="J4236" t="str">
        <f>IFERROR(__xludf.DUMMYFUNCTION("IFS(
  AND(REGEXMATCH(E4236, ""台銀籌備帳戶|玉山帳戶""), REGEXMATCH(C4236, ""薪資"")), ""分潤支出"",
  AND(REGEXMATCH(E4236, ""Ben帳戶|Elsa帳戶|Ben代墊|Ariel代墊|中信銀行共用""), REGEXMATCH(F4236, ""Ben帳戶|Elsa帳戶|Ben代墊|Ariel代墊|中信銀行共用"")), ""內部轉帳(忽略)"",
  AND(E4236&lt;&gt;"""", F4236&lt;&gt;"""", N"&amp;"OT(REGEXMATCH(C4236, ""薪資""))), ""內部轉帳(忽略)"",
  REGEXMATCH(C4236, ""薪資""), ""薪資變動(不計入)"",
  REGEXMATCH(C4236, ""押金""), ""押金往來"",
  AND(E4236&lt;&gt;"""", F4236=""""), ""真實支出"",
  AND(E4236="""", F4236&lt;&gt;""""), ""真實收入"",
  TRUE, ""其他""
)"),"真實支出")</f>
        <v>真實支出</v>
      </c>
      <c r="K4236" s="270">
        <f t="shared" si="2"/>
        <v>-2787</v>
      </c>
      <c r="L4236">
        <f t="shared" si="3"/>
        <v>0</v>
      </c>
    </row>
    <row r="4237">
      <c r="A4237" s="107">
        <f>IFERROR(__xludf.DUMMYFUNCTION("""COMPUTED_VALUE"""),45578.0)</f>
        <v>45578</v>
      </c>
      <c r="B4237" t="str">
        <f>IFERROR(__xludf.DUMMYFUNCTION("""COMPUTED_VALUE"""),"夏野良栗_淘寶軟裝")</f>
        <v>夏野良栗_淘寶軟裝</v>
      </c>
      <c r="C4237" t="str">
        <f>IFERROR(__xludf.DUMMYFUNCTION("""COMPUTED_VALUE"""),"成本 - 進場前裝潢費")</f>
        <v>成本 - 進場前裝潢費</v>
      </c>
      <c r="D4237" s="270">
        <f>IFERROR(__xludf.DUMMYFUNCTION("""COMPUTED_VALUE"""),-2759.0)</f>
        <v>-2759</v>
      </c>
      <c r="E4237" t="str">
        <f>IFERROR(__xludf.DUMMYFUNCTION("""COMPUTED_VALUE"""),"Ben代墊")</f>
        <v>Ben代墊</v>
      </c>
      <c r="G4237" t="str">
        <f>IFERROR(__xludf.DUMMYFUNCTION("""COMPUTED_VALUE"""),"行天宮夏野良栗")</f>
        <v>行天宮夏野良栗</v>
      </c>
      <c r="H4237" s="106" t="str">
        <f t="shared" si="1"/>
        <v>2024-10</v>
      </c>
      <c r="I4237" s="271" t="str">
        <f>IFERROR(__xludf.DUMMYFUNCTION("""COMPUTED_VALUE"""),"鯰魚大大")</f>
        <v>鯰魚大大</v>
      </c>
      <c r="J4237" t="str">
        <f>IFERROR(__xludf.DUMMYFUNCTION("IFS(
  AND(REGEXMATCH(E4237, ""台銀籌備帳戶|玉山帳戶""), REGEXMATCH(C4237, ""薪資"")), ""分潤支出"",
  AND(REGEXMATCH(E4237, ""Ben帳戶|Elsa帳戶|Ben代墊|Ariel代墊|中信銀行共用""), REGEXMATCH(F4237, ""Ben帳戶|Elsa帳戶|Ben代墊|Ariel代墊|中信銀行共用"")), ""內部轉帳(忽略)"",
  AND(E4237&lt;&gt;"""", F4237&lt;&gt;"""", N"&amp;"OT(REGEXMATCH(C4237, ""薪資""))), ""內部轉帳(忽略)"",
  REGEXMATCH(C4237, ""薪資""), ""薪資變動(不計入)"",
  REGEXMATCH(C4237, ""押金""), ""押金往來"",
  AND(E4237&lt;&gt;"""", F4237=""""), ""真實支出"",
  AND(E4237="""", F4237&lt;&gt;""""), ""真實收入"",
  TRUE, ""其他""
)"),"真實支出")</f>
        <v>真實支出</v>
      </c>
      <c r="K4237" s="270">
        <f t="shared" si="2"/>
        <v>-2759</v>
      </c>
      <c r="L4237">
        <f t="shared" si="3"/>
        <v>0</v>
      </c>
    </row>
    <row r="4238">
      <c r="A4238" s="107">
        <f>IFERROR(__xludf.DUMMYFUNCTION("""COMPUTED_VALUE"""),45580.0)</f>
        <v>45580</v>
      </c>
      <c r="B4238" t="str">
        <f>IFERROR(__xludf.DUMMYFUNCTION("""COMPUTED_VALUE"""),"夏野良栗_冰箱*2 洗衣機*2")</f>
        <v>夏野良栗_冰箱*2 洗衣機*2</v>
      </c>
      <c r="C4238" t="str">
        <f>IFERROR(__xludf.DUMMYFUNCTION("""COMPUTED_VALUE"""),"成本 - 進場前裝潢費")</f>
        <v>成本 - 進場前裝潢費</v>
      </c>
      <c r="D4238" s="270">
        <f>IFERROR(__xludf.DUMMYFUNCTION("""COMPUTED_VALUE"""),-35200.0)</f>
        <v>-35200</v>
      </c>
      <c r="E4238" t="str">
        <f>IFERROR(__xludf.DUMMYFUNCTION("""COMPUTED_VALUE"""),"Ben代墊")</f>
        <v>Ben代墊</v>
      </c>
      <c r="G4238" t="str">
        <f>IFERROR(__xludf.DUMMYFUNCTION("""COMPUTED_VALUE"""),"行天宮夏野良栗")</f>
        <v>行天宮夏野良栗</v>
      </c>
      <c r="H4238" s="106" t="str">
        <f t="shared" si="1"/>
        <v>2024-10</v>
      </c>
      <c r="I4238" s="271" t="str">
        <f>IFERROR(__xludf.DUMMYFUNCTION("""COMPUTED_VALUE"""),"鯰魚大大")</f>
        <v>鯰魚大大</v>
      </c>
      <c r="J4238" t="str">
        <f>IFERROR(__xludf.DUMMYFUNCTION("IFS(
  AND(REGEXMATCH(E4238, ""台銀籌備帳戶|玉山帳戶""), REGEXMATCH(C4238, ""薪資"")), ""分潤支出"",
  AND(REGEXMATCH(E4238, ""Ben帳戶|Elsa帳戶|Ben代墊|Ariel代墊|中信銀行共用""), REGEXMATCH(F4238, ""Ben帳戶|Elsa帳戶|Ben代墊|Ariel代墊|中信銀行共用"")), ""內部轉帳(忽略)"",
  AND(E4238&lt;&gt;"""", F4238&lt;&gt;"""", N"&amp;"OT(REGEXMATCH(C4238, ""薪資""))), ""內部轉帳(忽略)"",
  REGEXMATCH(C4238, ""薪資""), ""薪資變動(不計入)"",
  REGEXMATCH(C4238, ""押金""), ""押金往來"",
  AND(E4238&lt;&gt;"""", F4238=""""), ""真實支出"",
  AND(E4238="""", F4238&lt;&gt;""""), ""真實收入"",
  TRUE, ""其他""
)"),"真實支出")</f>
        <v>真實支出</v>
      </c>
      <c r="K4238" s="270">
        <f t="shared" si="2"/>
        <v>-35200</v>
      </c>
      <c r="L4238">
        <f t="shared" si="3"/>
        <v>0</v>
      </c>
    </row>
    <row r="4239">
      <c r="A4239" s="107">
        <f>IFERROR(__xludf.DUMMYFUNCTION("""COMPUTED_VALUE"""),45580.0)</f>
        <v>45580</v>
      </c>
      <c r="B4239" t="str">
        <f>IFERROR(__xludf.DUMMYFUNCTION("""COMPUTED_VALUE"""),"窗簾桿 全身鏡")</f>
        <v>窗簾桿 全身鏡</v>
      </c>
      <c r="C4239" t="str">
        <f>IFERROR(__xludf.DUMMYFUNCTION("""COMPUTED_VALUE"""),"成本 - 進場前裝潢費")</f>
        <v>成本 - 進場前裝潢費</v>
      </c>
      <c r="D4239" s="270">
        <f>IFERROR(__xludf.DUMMYFUNCTION("""COMPUTED_VALUE"""),-3195.0)</f>
        <v>-3195</v>
      </c>
      <c r="E4239" t="str">
        <f>IFERROR(__xludf.DUMMYFUNCTION("""COMPUTED_VALUE"""),"Ben代墊")</f>
        <v>Ben代墊</v>
      </c>
      <c r="G4239" t="str">
        <f>IFERROR(__xludf.DUMMYFUNCTION("""COMPUTED_VALUE"""),"行天宮夏野良栗")</f>
        <v>行天宮夏野良栗</v>
      </c>
      <c r="H4239" s="106" t="str">
        <f t="shared" si="1"/>
        <v>2024-10</v>
      </c>
      <c r="I4239" s="271" t="str">
        <f>IFERROR(__xludf.DUMMYFUNCTION("""COMPUTED_VALUE"""),"鯰魚大大")</f>
        <v>鯰魚大大</v>
      </c>
      <c r="J4239" t="str">
        <f>IFERROR(__xludf.DUMMYFUNCTION("IFS(
  AND(REGEXMATCH(E4239, ""台銀籌備帳戶|玉山帳戶""), REGEXMATCH(C4239, ""薪資"")), ""分潤支出"",
  AND(REGEXMATCH(E4239, ""Ben帳戶|Elsa帳戶|Ben代墊|Ariel代墊|中信銀行共用""), REGEXMATCH(F4239, ""Ben帳戶|Elsa帳戶|Ben代墊|Ariel代墊|中信銀行共用"")), ""內部轉帳(忽略)"",
  AND(E4239&lt;&gt;"""", F4239&lt;&gt;"""", N"&amp;"OT(REGEXMATCH(C4239, ""薪資""))), ""內部轉帳(忽略)"",
  REGEXMATCH(C4239, ""薪資""), ""薪資變動(不計入)"",
  REGEXMATCH(C4239, ""押金""), ""押金往來"",
  AND(E4239&lt;&gt;"""", F4239=""""), ""真實支出"",
  AND(E4239="""", F4239&lt;&gt;""""), ""真實收入"",
  TRUE, ""其他""
)"),"真實支出")</f>
        <v>真實支出</v>
      </c>
      <c r="K4239" s="270">
        <f t="shared" si="2"/>
        <v>-3195</v>
      </c>
      <c r="L4239">
        <f t="shared" si="3"/>
        <v>0</v>
      </c>
    </row>
    <row r="4240">
      <c r="A4240" s="107">
        <f>IFERROR(__xludf.DUMMYFUNCTION("""COMPUTED_VALUE"""),45581.0)</f>
        <v>45581</v>
      </c>
      <c r="B4240" t="str">
        <f>IFERROR(__xludf.DUMMYFUNCTION("""COMPUTED_VALUE"""),"住警器*4")</f>
        <v>住警器*4</v>
      </c>
      <c r="C4240" t="str">
        <f>IFERROR(__xludf.DUMMYFUNCTION("""COMPUTED_VALUE"""),"成本 - 進場前裝潢費")</f>
        <v>成本 - 進場前裝潢費</v>
      </c>
      <c r="D4240" s="270">
        <f>IFERROR(__xludf.DUMMYFUNCTION("""COMPUTED_VALUE"""),-1440.0)</f>
        <v>-1440</v>
      </c>
      <c r="E4240" t="str">
        <f>IFERROR(__xludf.DUMMYFUNCTION("""COMPUTED_VALUE"""),"Ben代墊")</f>
        <v>Ben代墊</v>
      </c>
      <c r="G4240" t="str">
        <f>IFERROR(__xludf.DUMMYFUNCTION("""COMPUTED_VALUE"""),"行天宮夏野良栗")</f>
        <v>行天宮夏野良栗</v>
      </c>
      <c r="H4240" s="106" t="str">
        <f t="shared" si="1"/>
        <v>2024-10</v>
      </c>
      <c r="I4240" s="271" t="str">
        <f>IFERROR(__xludf.DUMMYFUNCTION("""COMPUTED_VALUE"""),"鯰魚大大")</f>
        <v>鯰魚大大</v>
      </c>
      <c r="J4240" t="str">
        <f>IFERROR(__xludf.DUMMYFUNCTION("IFS(
  AND(REGEXMATCH(E4240, ""台銀籌備帳戶|玉山帳戶""), REGEXMATCH(C4240, ""薪資"")), ""分潤支出"",
  AND(REGEXMATCH(E4240, ""Ben帳戶|Elsa帳戶|Ben代墊|Ariel代墊|中信銀行共用""), REGEXMATCH(F4240, ""Ben帳戶|Elsa帳戶|Ben代墊|Ariel代墊|中信銀行共用"")), ""內部轉帳(忽略)"",
  AND(E4240&lt;&gt;"""", F4240&lt;&gt;"""", N"&amp;"OT(REGEXMATCH(C4240, ""薪資""))), ""內部轉帳(忽略)"",
  REGEXMATCH(C4240, ""薪資""), ""薪資變動(不計入)"",
  REGEXMATCH(C4240, ""押金""), ""押金往來"",
  AND(E4240&lt;&gt;"""", F4240=""""), ""真實支出"",
  AND(E4240="""", F4240&lt;&gt;""""), ""真實收入"",
  TRUE, ""其他""
)"),"真實支出")</f>
        <v>真實支出</v>
      </c>
      <c r="K4240" s="270">
        <f t="shared" si="2"/>
        <v>-1440</v>
      </c>
      <c r="L4240">
        <f t="shared" si="3"/>
        <v>0</v>
      </c>
    </row>
    <row r="4241">
      <c r="A4241" s="107">
        <f>IFERROR(__xludf.DUMMYFUNCTION("""COMPUTED_VALUE"""),45580.0)</f>
        <v>45580</v>
      </c>
      <c r="B4241" t="str">
        <f>IFERROR(__xludf.DUMMYFUNCTION("""COMPUTED_VALUE"""),"夏野良栗_鞋櫃")</f>
        <v>夏野良栗_鞋櫃</v>
      </c>
      <c r="C4241" t="str">
        <f>IFERROR(__xludf.DUMMYFUNCTION("""COMPUTED_VALUE"""),"成本 - 進場前裝潢費")</f>
        <v>成本 - 進場前裝潢費</v>
      </c>
      <c r="D4241" s="270">
        <f>IFERROR(__xludf.DUMMYFUNCTION("""COMPUTED_VALUE"""),-8505.0)</f>
        <v>-8505</v>
      </c>
      <c r="E4241" t="str">
        <f>IFERROR(__xludf.DUMMYFUNCTION("""COMPUTED_VALUE"""),"Ariel代墊")</f>
        <v>Ariel代墊</v>
      </c>
      <c r="G4241" t="str">
        <f>IFERROR(__xludf.DUMMYFUNCTION("""COMPUTED_VALUE"""),"行天宮夏野良栗")</f>
        <v>行天宮夏野良栗</v>
      </c>
      <c r="H4241" s="106" t="str">
        <f t="shared" si="1"/>
        <v>2024-10</v>
      </c>
      <c r="I4241" s="271" t="str">
        <f>IFERROR(__xludf.DUMMYFUNCTION("""COMPUTED_VALUE"""),"鯰魚大大")</f>
        <v>鯰魚大大</v>
      </c>
      <c r="J4241" t="str">
        <f>IFERROR(__xludf.DUMMYFUNCTION("IFS(
  AND(REGEXMATCH(E4241, ""台銀籌備帳戶|玉山帳戶""), REGEXMATCH(C4241, ""薪資"")), ""分潤支出"",
  AND(REGEXMATCH(E4241, ""Ben帳戶|Elsa帳戶|Ben代墊|Ariel代墊|中信銀行共用""), REGEXMATCH(F4241, ""Ben帳戶|Elsa帳戶|Ben代墊|Ariel代墊|中信銀行共用"")), ""內部轉帳(忽略)"",
  AND(E4241&lt;&gt;"""", F4241&lt;&gt;"""", N"&amp;"OT(REGEXMATCH(C4241, ""薪資""))), ""內部轉帳(忽略)"",
  REGEXMATCH(C4241, ""薪資""), ""薪資變動(不計入)"",
  REGEXMATCH(C4241, ""押金""), ""押金往來"",
  AND(E4241&lt;&gt;"""", F4241=""""), ""真實支出"",
  AND(E4241="""", F4241&lt;&gt;""""), ""真實收入"",
  TRUE, ""其他""
)"),"真實支出")</f>
        <v>真實支出</v>
      </c>
      <c r="K4241" s="270">
        <f t="shared" si="2"/>
        <v>-8505</v>
      </c>
      <c r="L4241">
        <f t="shared" si="3"/>
        <v>0</v>
      </c>
    </row>
    <row r="4242">
      <c r="A4242" s="107">
        <f>IFERROR(__xludf.DUMMYFUNCTION("""COMPUTED_VALUE"""),45579.0)</f>
        <v>45579</v>
      </c>
      <c r="B4242" t="str">
        <f>IFERROR(__xludf.DUMMYFUNCTION("""COMPUTED_VALUE"""),"夏野良栗_地板")</f>
        <v>夏野良栗_地板</v>
      </c>
      <c r="C4242" t="str">
        <f>IFERROR(__xludf.DUMMYFUNCTION("""COMPUTED_VALUE"""),"成本 - 進場前裝潢費")</f>
        <v>成本 - 進場前裝潢費</v>
      </c>
      <c r="D4242" s="270">
        <f>IFERROR(__xludf.DUMMYFUNCTION("""COMPUTED_VALUE"""),-22890.0)</f>
        <v>-22890</v>
      </c>
      <c r="E4242" t="str">
        <f>IFERROR(__xludf.DUMMYFUNCTION("""COMPUTED_VALUE"""),"Ben代墊")</f>
        <v>Ben代墊</v>
      </c>
      <c r="G4242" t="str">
        <f>IFERROR(__xludf.DUMMYFUNCTION("""COMPUTED_VALUE"""),"行天宮夏野良栗")</f>
        <v>行天宮夏野良栗</v>
      </c>
      <c r="H4242" s="106" t="str">
        <f t="shared" si="1"/>
        <v>2024-10</v>
      </c>
      <c r="I4242" s="271" t="str">
        <f>IFERROR(__xludf.DUMMYFUNCTION("""COMPUTED_VALUE"""),"鯰魚大大")</f>
        <v>鯰魚大大</v>
      </c>
      <c r="J4242" t="str">
        <f>IFERROR(__xludf.DUMMYFUNCTION("IFS(
  AND(REGEXMATCH(E4242, ""台銀籌備帳戶|玉山帳戶""), REGEXMATCH(C4242, ""薪資"")), ""分潤支出"",
  AND(REGEXMATCH(E4242, ""Ben帳戶|Elsa帳戶|Ben代墊|Ariel代墊|中信銀行共用""), REGEXMATCH(F4242, ""Ben帳戶|Elsa帳戶|Ben代墊|Ariel代墊|中信銀行共用"")), ""內部轉帳(忽略)"",
  AND(E4242&lt;&gt;"""", F4242&lt;&gt;"""", N"&amp;"OT(REGEXMATCH(C4242, ""薪資""))), ""內部轉帳(忽略)"",
  REGEXMATCH(C4242, ""薪資""), ""薪資變動(不計入)"",
  REGEXMATCH(C4242, ""押金""), ""押金往來"",
  AND(E4242&lt;&gt;"""", F4242=""""), ""真實支出"",
  AND(E4242="""", F4242&lt;&gt;""""), ""真實收入"",
  TRUE, ""其他""
)"),"真實支出")</f>
        <v>真實支出</v>
      </c>
      <c r="K4242" s="270">
        <f t="shared" si="2"/>
        <v>-22890</v>
      </c>
      <c r="L4242">
        <f t="shared" si="3"/>
        <v>0</v>
      </c>
    </row>
    <row r="4243">
      <c r="A4243" s="107">
        <f>IFERROR(__xludf.DUMMYFUNCTION("""COMPUTED_VALUE"""),45582.0)</f>
        <v>45582</v>
      </c>
      <c r="B4243" t="str">
        <f>IFERROR(__xludf.DUMMYFUNCTION("""COMPUTED_VALUE"""),"濾水器*2")</f>
        <v>濾水器*2</v>
      </c>
      <c r="C4243" t="str">
        <f>IFERROR(__xludf.DUMMYFUNCTION("""COMPUTED_VALUE"""),"成本 - 進場前裝潢費")</f>
        <v>成本 - 進場前裝潢費</v>
      </c>
      <c r="D4243" s="270">
        <f>IFERROR(__xludf.DUMMYFUNCTION("""COMPUTED_VALUE"""),-3580.0)</f>
        <v>-3580</v>
      </c>
      <c r="E4243" t="str">
        <f>IFERROR(__xludf.DUMMYFUNCTION("""COMPUTED_VALUE"""),"Ben代墊")</f>
        <v>Ben代墊</v>
      </c>
      <c r="G4243" t="str">
        <f>IFERROR(__xludf.DUMMYFUNCTION("""COMPUTED_VALUE"""),"行天宮夏野良栗")</f>
        <v>行天宮夏野良栗</v>
      </c>
      <c r="H4243" s="106" t="str">
        <f t="shared" si="1"/>
        <v>2024-10</v>
      </c>
      <c r="I4243" s="271" t="str">
        <f>IFERROR(__xludf.DUMMYFUNCTION("""COMPUTED_VALUE"""),"鯰魚大大")</f>
        <v>鯰魚大大</v>
      </c>
      <c r="J4243" t="str">
        <f>IFERROR(__xludf.DUMMYFUNCTION("IFS(
  AND(REGEXMATCH(E4243, ""台銀籌備帳戶|玉山帳戶""), REGEXMATCH(C4243, ""薪資"")), ""分潤支出"",
  AND(REGEXMATCH(E4243, ""Ben帳戶|Elsa帳戶|Ben代墊|Ariel代墊|中信銀行共用""), REGEXMATCH(F4243, ""Ben帳戶|Elsa帳戶|Ben代墊|Ariel代墊|中信銀行共用"")), ""內部轉帳(忽略)"",
  AND(E4243&lt;&gt;"""", F4243&lt;&gt;"""", N"&amp;"OT(REGEXMATCH(C4243, ""薪資""))), ""內部轉帳(忽略)"",
  REGEXMATCH(C4243, ""薪資""), ""薪資變動(不計入)"",
  REGEXMATCH(C4243, ""押金""), ""押金往來"",
  AND(E4243&lt;&gt;"""", F4243=""""), ""真實支出"",
  AND(E4243="""", F4243&lt;&gt;""""), ""真實收入"",
  TRUE, ""其他""
)"),"真實支出")</f>
        <v>真實支出</v>
      </c>
      <c r="K4243" s="270">
        <f t="shared" si="2"/>
        <v>-3580</v>
      </c>
      <c r="L4243">
        <f t="shared" si="3"/>
        <v>0</v>
      </c>
    </row>
    <row r="4244">
      <c r="A4244" s="107">
        <f>IFERROR(__xludf.DUMMYFUNCTION("""COMPUTED_VALUE"""),45581.0)</f>
        <v>45581</v>
      </c>
      <c r="B4244" t="str">
        <f>IFERROR(__xludf.DUMMYFUNCTION("""COMPUTED_VALUE"""),"夏野良栗_軌道燈條")</f>
        <v>夏野良栗_軌道燈條</v>
      </c>
      <c r="C4244" t="str">
        <f>IFERROR(__xludf.DUMMYFUNCTION("""COMPUTED_VALUE"""),"成本 - 進場前裝潢費")</f>
        <v>成本 - 進場前裝潢費</v>
      </c>
      <c r="D4244" s="270">
        <f>IFERROR(__xludf.DUMMYFUNCTION("""COMPUTED_VALUE"""),-1024.0)</f>
        <v>-1024</v>
      </c>
      <c r="E4244" t="str">
        <f>IFERROR(__xludf.DUMMYFUNCTION("""COMPUTED_VALUE"""),"Ariel代墊")</f>
        <v>Ariel代墊</v>
      </c>
      <c r="G4244" t="str">
        <f>IFERROR(__xludf.DUMMYFUNCTION("""COMPUTED_VALUE"""),"行天宮夏野良栗")</f>
        <v>行天宮夏野良栗</v>
      </c>
      <c r="H4244" s="106" t="str">
        <f t="shared" si="1"/>
        <v>2024-10</v>
      </c>
      <c r="I4244" s="271" t="str">
        <f>IFERROR(__xludf.DUMMYFUNCTION("""COMPUTED_VALUE"""),"鯰魚大大")</f>
        <v>鯰魚大大</v>
      </c>
      <c r="J4244" t="str">
        <f>IFERROR(__xludf.DUMMYFUNCTION("IFS(
  AND(REGEXMATCH(E4244, ""台銀籌備帳戶|玉山帳戶""), REGEXMATCH(C4244, ""薪資"")), ""分潤支出"",
  AND(REGEXMATCH(E4244, ""Ben帳戶|Elsa帳戶|Ben代墊|Ariel代墊|中信銀行共用""), REGEXMATCH(F4244, ""Ben帳戶|Elsa帳戶|Ben代墊|Ariel代墊|中信銀行共用"")), ""內部轉帳(忽略)"",
  AND(E4244&lt;&gt;"""", F4244&lt;&gt;"""", N"&amp;"OT(REGEXMATCH(C4244, ""薪資""))), ""內部轉帳(忽略)"",
  REGEXMATCH(C4244, ""薪資""), ""薪資變動(不計入)"",
  REGEXMATCH(C4244, ""押金""), ""押金往來"",
  AND(E4244&lt;&gt;"""", F4244=""""), ""真實支出"",
  AND(E4244="""", F4244&lt;&gt;""""), ""真實收入"",
  TRUE, ""其他""
)"),"真實支出")</f>
        <v>真實支出</v>
      </c>
      <c r="K4244" s="270">
        <f t="shared" si="2"/>
        <v>-1024</v>
      </c>
      <c r="L4244">
        <f t="shared" si="3"/>
        <v>0</v>
      </c>
    </row>
    <row r="4245">
      <c r="A4245" s="107">
        <f>IFERROR(__xludf.DUMMYFUNCTION("""COMPUTED_VALUE"""),45582.0)</f>
        <v>45582</v>
      </c>
      <c r="B4245" t="str">
        <f>IFERROR(__xludf.DUMMYFUNCTION("""COMPUTED_VALUE"""),"弟弟工資跟網路安裝費￼")</f>
        <v>弟弟工資跟網路安裝費￼</v>
      </c>
      <c r="C4245" t="str">
        <f>IFERROR(__xludf.DUMMYFUNCTION("""COMPUTED_VALUE"""),"成本 - 進場前裝潢費")</f>
        <v>成本 - 進場前裝潢費</v>
      </c>
      <c r="D4245" s="270">
        <f>IFERROR(__xludf.DUMMYFUNCTION("""COMPUTED_VALUE"""),-11500.0)</f>
        <v>-11500</v>
      </c>
      <c r="E4245" t="str">
        <f>IFERROR(__xludf.DUMMYFUNCTION("""COMPUTED_VALUE"""),"Ben代墊")</f>
        <v>Ben代墊</v>
      </c>
      <c r="G4245" t="str">
        <f>IFERROR(__xludf.DUMMYFUNCTION("""COMPUTED_VALUE"""),"行天宮夏野良栗")</f>
        <v>行天宮夏野良栗</v>
      </c>
      <c r="H4245" s="106" t="str">
        <f t="shared" si="1"/>
        <v>2024-10</v>
      </c>
      <c r="I4245" s="271" t="str">
        <f>IFERROR(__xludf.DUMMYFUNCTION("""COMPUTED_VALUE"""),"鯰魚大大")</f>
        <v>鯰魚大大</v>
      </c>
      <c r="J4245" t="str">
        <f>IFERROR(__xludf.DUMMYFUNCTION("IFS(
  AND(REGEXMATCH(E4245, ""台銀籌備帳戶|玉山帳戶""), REGEXMATCH(C4245, ""薪資"")), ""分潤支出"",
  AND(REGEXMATCH(E4245, ""Ben帳戶|Elsa帳戶|Ben代墊|Ariel代墊|中信銀行共用""), REGEXMATCH(F4245, ""Ben帳戶|Elsa帳戶|Ben代墊|Ariel代墊|中信銀行共用"")), ""內部轉帳(忽略)"",
  AND(E4245&lt;&gt;"""", F4245&lt;&gt;"""", N"&amp;"OT(REGEXMATCH(C4245, ""薪資""))), ""內部轉帳(忽略)"",
  REGEXMATCH(C4245, ""薪資""), ""薪資變動(不計入)"",
  REGEXMATCH(C4245, ""押金""), ""押金往來"",
  AND(E4245&lt;&gt;"""", F4245=""""), ""真實支出"",
  AND(E4245="""", F4245&lt;&gt;""""), ""真實收入"",
  TRUE, ""其他""
)"),"真實支出")</f>
        <v>真實支出</v>
      </c>
      <c r="K4245" s="270">
        <f t="shared" si="2"/>
        <v>-11500</v>
      </c>
      <c r="L4245">
        <f t="shared" si="3"/>
        <v>0</v>
      </c>
    </row>
    <row r="4246">
      <c r="A4246" s="107">
        <f>IFERROR(__xludf.DUMMYFUNCTION("""COMPUTED_VALUE"""),45582.0)</f>
        <v>45582</v>
      </c>
      <c r="B4246" t="str">
        <f>IFERROR(__xludf.DUMMYFUNCTION("""COMPUTED_VALUE"""),"搬運費")</f>
        <v>搬運費</v>
      </c>
      <c r="C4246" t="str">
        <f>IFERROR(__xludf.DUMMYFUNCTION("""COMPUTED_VALUE"""),"成本 - 進場前裝潢費")</f>
        <v>成本 - 進場前裝潢費</v>
      </c>
      <c r="D4246" s="270">
        <f>IFERROR(__xludf.DUMMYFUNCTION("""COMPUTED_VALUE"""),-2000.0)</f>
        <v>-2000</v>
      </c>
      <c r="E4246" t="str">
        <f>IFERROR(__xludf.DUMMYFUNCTION("""COMPUTED_VALUE"""),"Ben代墊")</f>
        <v>Ben代墊</v>
      </c>
      <c r="G4246" t="str">
        <f>IFERROR(__xludf.DUMMYFUNCTION("""COMPUTED_VALUE"""),"行天宮夏野良栗")</f>
        <v>行天宮夏野良栗</v>
      </c>
      <c r="H4246" s="106" t="str">
        <f t="shared" si="1"/>
        <v>2024-10</v>
      </c>
      <c r="I4246" s="271" t="str">
        <f>IFERROR(__xludf.DUMMYFUNCTION("""COMPUTED_VALUE"""),"鯰魚大大")</f>
        <v>鯰魚大大</v>
      </c>
      <c r="J4246" t="str">
        <f>IFERROR(__xludf.DUMMYFUNCTION("IFS(
  AND(REGEXMATCH(E4246, ""台銀籌備帳戶|玉山帳戶""), REGEXMATCH(C4246, ""薪資"")), ""分潤支出"",
  AND(REGEXMATCH(E4246, ""Ben帳戶|Elsa帳戶|Ben代墊|Ariel代墊|中信銀行共用""), REGEXMATCH(F4246, ""Ben帳戶|Elsa帳戶|Ben代墊|Ariel代墊|中信銀行共用"")), ""內部轉帳(忽略)"",
  AND(E4246&lt;&gt;"""", F4246&lt;&gt;"""", N"&amp;"OT(REGEXMATCH(C4246, ""薪資""))), ""內部轉帳(忽略)"",
  REGEXMATCH(C4246, ""薪資""), ""薪資變動(不計入)"",
  REGEXMATCH(C4246, ""押金""), ""押金往來"",
  AND(E4246&lt;&gt;"""", F4246=""""), ""真實支出"",
  AND(E4246="""", F4246&lt;&gt;""""), ""真實收入"",
  TRUE, ""其他""
)"),"真實支出")</f>
        <v>真實支出</v>
      </c>
      <c r="K4246" s="270">
        <f t="shared" si="2"/>
        <v>-2000</v>
      </c>
      <c r="L4246">
        <f t="shared" si="3"/>
        <v>0</v>
      </c>
    </row>
    <row r="4247">
      <c r="A4247" s="107">
        <f>IFERROR(__xludf.DUMMYFUNCTION("""COMPUTED_VALUE"""),45583.0)</f>
        <v>45583</v>
      </c>
      <c r="B4247" t="str">
        <f>IFERROR(__xludf.DUMMYFUNCTION("""COMPUTED_VALUE"""),"夏野良栗_床勞務加搬運")</f>
        <v>夏野良栗_床勞務加搬運</v>
      </c>
      <c r="C4247" t="str">
        <f>IFERROR(__xludf.DUMMYFUNCTION("""COMPUTED_VALUE"""),"成本 - 進場前裝潢費")</f>
        <v>成本 - 進場前裝潢費</v>
      </c>
      <c r="D4247" s="270">
        <f>IFERROR(__xludf.DUMMYFUNCTION("""COMPUTED_VALUE"""),-4300.0)</f>
        <v>-4300</v>
      </c>
      <c r="E4247" t="str">
        <f>IFERROR(__xludf.DUMMYFUNCTION("""COMPUTED_VALUE"""),"Ariel代墊")</f>
        <v>Ariel代墊</v>
      </c>
      <c r="G4247" t="str">
        <f>IFERROR(__xludf.DUMMYFUNCTION("""COMPUTED_VALUE"""),"行天宮夏野良栗")</f>
        <v>行天宮夏野良栗</v>
      </c>
      <c r="H4247" s="106" t="str">
        <f t="shared" si="1"/>
        <v>2024-10</v>
      </c>
      <c r="I4247" s="271" t="str">
        <f>IFERROR(__xludf.DUMMYFUNCTION("""COMPUTED_VALUE"""),"鯰魚大大")</f>
        <v>鯰魚大大</v>
      </c>
      <c r="J4247" t="str">
        <f>IFERROR(__xludf.DUMMYFUNCTION("IFS(
  AND(REGEXMATCH(E4247, ""台銀籌備帳戶|玉山帳戶""), REGEXMATCH(C4247, ""薪資"")), ""分潤支出"",
  AND(REGEXMATCH(E4247, ""Ben帳戶|Elsa帳戶|Ben代墊|Ariel代墊|中信銀行共用""), REGEXMATCH(F4247, ""Ben帳戶|Elsa帳戶|Ben代墊|Ariel代墊|中信銀行共用"")), ""內部轉帳(忽略)"",
  AND(E4247&lt;&gt;"""", F4247&lt;&gt;"""", N"&amp;"OT(REGEXMATCH(C4247, ""薪資""))), ""內部轉帳(忽略)"",
  REGEXMATCH(C4247, ""薪資""), ""薪資變動(不計入)"",
  REGEXMATCH(C4247, ""押金""), ""押金往來"",
  AND(E4247&lt;&gt;"""", F4247=""""), ""真實支出"",
  AND(E4247="""", F4247&lt;&gt;""""), ""真實收入"",
  TRUE, ""其他""
)"),"真實支出")</f>
        <v>真實支出</v>
      </c>
      <c r="K4247" s="270">
        <f t="shared" si="2"/>
        <v>-4300</v>
      </c>
      <c r="L4247">
        <f t="shared" si="3"/>
        <v>0</v>
      </c>
    </row>
    <row r="4248">
      <c r="A4248" s="107">
        <f>IFERROR(__xludf.DUMMYFUNCTION("""COMPUTED_VALUE"""),45589.0)</f>
        <v>45589</v>
      </c>
      <c r="B4248" t="str">
        <f>IFERROR(__xludf.DUMMYFUNCTION("""COMPUTED_VALUE"""),"打鑰匙")</f>
        <v>打鑰匙</v>
      </c>
      <c r="C4248" t="str">
        <f>IFERROR(__xludf.DUMMYFUNCTION("""COMPUTED_VALUE"""),"成本 - 進場前裝潢費")</f>
        <v>成本 - 進場前裝潢費</v>
      </c>
      <c r="D4248" s="270">
        <f>IFERROR(__xludf.DUMMYFUNCTION("""COMPUTED_VALUE"""),-1440.0)</f>
        <v>-1440</v>
      </c>
      <c r="E4248" t="str">
        <f>IFERROR(__xludf.DUMMYFUNCTION("""COMPUTED_VALUE"""),"Ben代墊")</f>
        <v>Ben代墊</v>
      </c>
      <c r="G4248" t="str">
        <f>IFERROR(__xludf.DUMMYFUNCTION("""COMPUTED_VALUE"""),"行天宮夏野良栗")</f>
        <v>行天宮夏野良栗</v>
      </c>
      <c r="H4248" s="106" t="str">
        <f t="shared" si="1"/>
        <v>2024-10</v>
      </c>
      <c r="I4248" s="271" t="str">
        <f>IFERROR(__xludf.DUMMYFUNCTION("""COMPUTED_VALUE"""),"鯰魚大大")</f>
        <v>鯰魚大大</v>
      </c>
      <c r="J4248" t="str">
        <f>IFERROR(__xludf.DUMMYFUNCTION("IFS(
  AND(REGEXMATCH(E4248, ""台銀籌備帳戶|玉山帳戶""), REGEXMATCH(C4248, ""薪資"")), ""分潤支出"",
  AND(REGEXMATCH(E4248, ""Ben帳戶|Elsa帳戶|Ben代墊|Ariel代墊|中信銀行共用""), REGEXMATCH(F4248, ""Ben帳戶|Elsa帳戶|Ben代墊|Ariel代墊|中信銀行共用"")), ""內部轉帳(忽略)"",
  AND(E4248&lt;&gt;"""", F4248&lt;&gt;"""", N"&amp;"OT(REGEXMATCH(C4248, ""薪資""))), ""內部轉帳(忽略)"",
  REGEXMATCH(C4248, ""薪資""), ""薪資變動(不計入)"",
  REGEXMATCH(C4248, ""押金""), ""押金往來"",
  AND(E4248&lt;&gt;"""", F4248=""""), ""真實支出"",
  AND(E4248="""", F4248&lt;&gt;""""), ""真實收入"",
  TRUE, ""其他""
)"),"真實支出")</f>
        <v>真實支出</v>
      </c>
      <c r="K4248" s="270">
        <f t="shared" si="2"/>
        <v>-1440</v>
      </c>
      <c r="L4248">
        <f t="shared" si="3"/>
        <v>0</v>
      </c>
    </row>
    <row r="4249">
      <c r="A4249" s="107">
        <f>IFERROR(__xludf.DUMMYFUNCTION("""COMPUTED_VALUE"""),45590.0)</f>
        <v>45590</v>
      </c>
      <c r="B4249" t="str">
        <f>IFERROR(__xludf.DUMMYFUNCTION("""COMPUTED_VALUE"""),"夏野良栗_吸塵器*2 拖把*2")</f>
        <v>夏野良栗_吸塵器*2 拖把*2</v>
      </c>
      <c r="C4249" t="str">
        <f>IFERROR(__xludf.DUMMYFUNCTION("""COMPUTED_VALUE"""),"成本 - 進場前裝潢費")</f>
        <v>成本 - 進場前裝潢費</v>
      </c>
      <c r="D4249" s="270">
        <f>IFERROR(__xludf.DUMMYFUNCTION("""COMPUTED_VALUE"""),-2276.0)</f>
        <v>-2276</v>
      </c>
      <c r="E4249" t="str">
        <f>IFERROR(__xludf.DUMMYFUNCTION("""COMPUTED_VALUE"""),"Ariel代墊")</f>
        <v>Ariel代墊</v>
      </c>
      <c r="G4249" t="str">
        <f>IFERROR(__xludf.DUMMYFUNCTION("""COMPUTED_VALUE"""),"行天宮夏野良栗")</f>
        <v>行天宮夏野良栗</v>
      </c>
      <c r="H4249" s="106" t="str">
        <f t="shared" si="1"/>
        <v>2024-10</v>
      </c>
      <c r="I4249" s="271" t="str">
        <f>IFERROR(__xludf.DUMMYFUNCTION("""COMPUTED_VALUE"""),"鯰魚大大")</f>
        <v>鯰魚大大</v>
      </c>
      <c r="J4249" t="str">
        <f>IFERROR(__xludf.DUMMYFUNCTION("IFS(
  AND(REGEXMATCH(E4249, ""台銀籌備帳戶|玉山帳戶""), REGEXMATCH(C4249, ""薪資"")), ""分潤支出"",
  AND(REGEXMATCH(E4249, ""Ben帳戶|Elsa帳戶|Ben代墊|Ariel代墊|中信銀行共用""), REGEXMATCH(F4249, ""Ben帳戶|Elsa帳戶|Ben代墊|Ariel代墊|中信銀行共用"")), ""內部轉帳(忽略)"",
  AND(E4249&lt;&gt;"""", F4249&lt;&gt;"""", N"&amp;"OT(REGEXMATCH(C4249, ""薪資""))), ""內部轉帳(忽略)"",
  REGEXMATCH(C4249, ""薪資""), ""薪資變動(不計入)"",
  REGEXMATCH(C4249, ""押金""), ""押金往來"",
  AND(E4249&lt;&gt;"""", F4249=""""), ""真實支出"",
  AND(E4249="""", F4249&lt;&gt;""""), ""真實收入"",
  TRUE, ""其他""
)"),"真實支出")</f>
        <v>真實支出</v>
      </c>
      <c r="K4249" s="270">
        <f t="shared" si="2"/>
        <v>-2276</v>
      </c>
      <c r="L4249">
        <f t="shared" si="3"/>
        <v>0</v>
      </c>
    </row>
    <row r="4250">
      <c r="A4250" s="107">
        <f>IFERROR(__xludf.DUMMYFUNCTION("""COMPUTED_VALUE"""),45591.0)</f>
        <v>45591</v>
      </c>
      <c r="B4250" t="str">
        <f>IFERROR(__xludf.DUMMYFUNCTION("""COMPUTED_VALUE"""),"夏野良栗_吸塵器")</f>
        <v>夏野良栗_吸塵器</v>
      </c>
      <c r="C4250" t="str">
        <f>IFERROR(__xludf.DUMMYFUNCTION("""COMPUTED_VALUE"""),"成本 - 進場前裝潢費")</f>
        <v>成本 - 進場前裝潢費</v>
      </c>
      <c r="D4250" s="270">
        <f>IFERROR(__xludf.DUMMYFUNCTION("""COMPUTED_VALUE"""),-1500.0)</f>
        <v>-1500</v>
      </c>
      <c r="E4250" t="str">
        <f>IFERROR(__xludf.DUMMYFUNCTION("""COMPUTED_VALUE"""),"Ariel代墊")</f>
        <v>Ariel代墊</v>
      </c>
      <c r="G4250" t="str">
        <f>IFERROR(__xludf.DUMMYFUNCTION("""COMPUTED_VALUE"""),"行天宮夏野良栗")</f>
        <v>行天宮夏野良栗</v>
      </c>
      <c r="H4250" s="106" t="str">
        <f t="shared" si="1"/>
        <v>2024-10</v>
      </c>
      <c r="I4250" s="271" t="str">
        <f>IFERROR(__xludf.DUMMYFUNCTION("""COMPUTED_VALUE"""),"鯰魚大大")</f>
        <v>鯰魚大大</v>
      </c>
      <c r="J4250" t="str">
        <f>IFERROR(__xludf.DUMMYFUNCTION("IFS(
  AND(REGEXMATCH(E4250, ""台銀籌備帳戶|玉山帳戶""), REGEXMATCH(C4250, ""薪資"")), ""分潤支出"",
  AND(REGEXMATCH(E4250, ""Ben帳戶|Elsa帳戶|Ben代墊|Ariel代墊|中信銀行共用""), REGEXMATCH(F4250, ""Ben帳戶|Elsa帳戶|Ben代墊|Ariel代墊|中信銀行共用"")), ""內部轉帳(忽略)"",
  AND(E4250&lt;&gt;"""", F4250&lt;&gt;"""", N"&amp;"OT(REGEXMATCH(C4250, ""薪資""))), ""內部轉帳(忽略)"",
  REGEXMATCH(C4250, ""薪資""), ""薪資變動(不計入)"",
  REGEXMATCH(C4250, ""押金""), ""押金往來"",
  AND(E4250&lt;&gt;"""", F4250=""""), ""真實支出"",
  AND(E4250="""", F4250&lt;&gt;""""), ""真實收入"",
  TRUE, ""其他""
)"),"真實支出")</f>
        <v>真實支出</v>
      </c>
      <c r="K4250" s="270">
        <f t="shared" si="2"/>
        <v>-1500</v>
      </c>
      <c r="L4250">
        <f t="shared" si="3"/>
        <v>0</v>
      </c>
    </row>
    <row r="4251">
      <c r="A4251" s="107">
        <f>IFERROR(__xludf.DUMMYFUNCTION("""COMPUTED_VALUE"""),45591.0)</f>
        <v>45591</v>
      </c>
      <c r="B4251" t="str">
        <f>IFERROR(__xludf.DUMMYFUNCTION("""COMPUTED_VALUE"""),"夏野良栗_打掃")</f>
        <v>夏野良栗_打掃</v>
      </c>
      <c r="C4251" t="str">
        <f>IFERROR(__xludf.DUMMYFUNCTION("""COMPUTED_VALUE"""),"成本 - 進場前裝潢費")</f>
        <v>成本 - 進場前裝潢費</v>
      </c>
      <c r="D4251" s="270">
        <f>IFERROR(__xludf.DUMMYFUNCTION("""COMPUTED_VALUE"""),-1225.0)</f>
        <v>-1225</v>
      </c>
      <c r="E4251" t="str">
        <f>IFERROR(__xludf.DUMMYFUNCTION("""COMPUTED_VALUE"""),"Ariel代墊")</f>
        <v>Ariel代墊</v>
      </c>
      <c r="G4251" t="str">
        <f>IFERROR(__xludf.DUMMYFUNCTION("""COMPUTED_VALUE"""),"行天宮夏野良栗")</f>
        <v>行天宮夏野良栗</v>
      </c>
      <c r="H4251" s="106" t="str">
        <f t="shared" si="1"/>
        <v>2024-10</v>
      </c>
      <c r="I4251" s="271" t="str">
        <f>IFERROR(__xludf.DUMMYFUNCTION("""COMPUTED_VALUE"""),"鯰魚大大")</f>
        <v>鯰魚大大</v>
      </c>
      <c r="J4251" t="str">
        <f>IFERROR(__xludf.DUMMYFUNCTION("IFS(
  AND(REGEXMATCH(E4251, ""台銀籌備帳戶|玉山帳戶""), REGEXMATCH(C4251, ""薪資"")), ""分潤支出"",
  AND(REGEXMATCH(E4251, ""Ben帳戶|Elsa帳戶|Ben代墊|Ariel代墊|中信銀行共用""), REGEXMATCH(F4251, ""Ben帳戶|Elsa帳戶|Ben代墊|Ariel代墊|中信銀行共用"")), ""內部轉帳(忽略)"",
  AND(E4251&lt;&gt;"""", F4251&lt;&gt;"""", N"&amp;"OT(REGEXMATCH(C4251, ""薪資""))), ""內部轉帳(忽略)"",
  REGEXMATCH(C4251, ""薪資""), ""薪資變動(不計入)"",
  REGEXMATCH(C4251, ""押金""), ""押金往來"",
  AND(E4251&lt;&gt;"""", F4251=""""), ""真實支出"",
  AND(E4251="""", F4251&lt;&gt;""""), ""真實收入"",
  TRUE, ""其他""
)"),"真實支出")</f>
        <v>真實支出</v>
      </c>
      <c r="K4251" s="270">
        <f t="shared" si="2"/>
        <v>-1225</v>
      </c>
      <c r="L4251">
        <f t="shared" si="3"/>
        <v>0</v>
      </c>
    </row>
    <row r="4252">
      <c r="A4252" s="107">
        <f>IFERROR(__xludf.DUMMYFUNCTION("""COMPUTED_VALUE"""),45591.0)</f>
        <v>45591</v>
      </c>
      <c r="B4252" t="str">
        <f>IFERROR(__xludf.DUMMYFUNCTION("""COMPUTED_VALUE"""),"除濕機 Tris")</f>
        <v>除濕機 Tris</v>
      </c>
      <c r="C4252" t="str">
        <f>IFERROR(__xludf.DUMMYFUNCTION("""COMPUTED_VALUE"""),"成本 - 租後修繕")</f>
        <v>成本 - 租後修繕</v>
      </c>
      <c r="D4252" s="270">
        <f>IFERROR(__xludf.DUMMYFUNCTION("""COMPUTED_VALUE"""),-3552.0)</f>
        <v>-3552</v>
      </c>
      <c r="E4252" t="str">
        <f>IFERROR(__xludf.DUMMYFUNCTION("""COMPUTED_VALUE"""),"Ben代墊")</f>
        <v>Ben代墊</v>
      </c>
      <c r="G4252" t="str">
        <f>IFERROR(__xludf.DUMMYFUNCTION("""COMPUTED_VALUE"""),"內湖秘境")</f>
        <v>內湖秘境</v>
      </c>
      <c r="H4252" s="106" t="str">
        <f t="shared" si="1"/>
        <v>2024-10</v>
      </c>
      <c r="I4252" s="271" t="str">
        <f>IFERROR(__xludf.DUMMYFUNCTION("""COMPUTED_VALUE"""),"鯰魚大大")</f>
        <v>鯰魚大大</v>
      </c>
      <c r="J4252" t="str">
        <f>IFERROR(__xludf.DUMMYFUNCTION("IFS(
  AND(REGEXMATCH(E4252, ""台銀籌備帳戶|玉山帳戶""), REGEXMATCH(C4252, ""薪資"")), ""分潤支出"",
  AND(REGEXMATCH(E4252, ""Ben帳戶|Elsa帳戶|Ben代墊|Ariel代墊|中信銀行共用""), REGEXMATCH(F4252, ""Ben帳戶|Elsa帳戶|Ben代墊|Ariel代墊|中信銀行共用"")), ""內部轉帳(忽略)"",
  AND(E4252&lt;&gt;"""", F4252&lt;&gt;"""", N"&amp;"OT(REGEXMATCH(C4252, ""薪資""))), ""內部轉帳(忽略)"",
  REGEXMATCH(C4252, ""薪資""), ""薪資變動(不計入)"",
  REGEXMATCH(C4252, ""押金""), ""押金往來"",
  AND(E4252&lt;&gt;"""", F4252=""""), ""真實支出"",
  AND(E4252="""", F4252&lt;&gt;""""), ""真實收入"",
  TRUE, ""其他""
)"),"真實支出")</f>
        <v>真實支出</v>
      </c>
      <c r="K4252" s="270">
        <f t="shared" si="2"/>
        <v>-3552</v>
      </c>
      <c r="L4252">
        <f t="shared" si="3"/>
        <v>0</v>
      </c>
    </row>
    <row r="4253">
      <c r="A4253" s="107">
        <f>IFERROR(__xludf.DUMMYFUNCTION("""COMPUTED_VALUE"""),45576.0)</f>
        <v>45576</v>
      </c>
      <c r="B4253" t="str">
        <f>IFERROR(__xludf.DUMMYFUNCTION("""COMPUTED_VALUE"""),"行天宮床")</f>
        <v>行天宮床</v>
      </c>
      <c r="C4253" t="str">
        <f>IFERROR(__xludf.DUMMYFUNCTION("""COMPUTED_VALUE"""),"成本 - 進場前裝潢費")</f>
        <v>成本 - 進場前裝潢費</v>
      </c>
      <c r="D4253" s="270">
        <f>IFERROR(__xludf.DUMMYFUNCTION("""COMPUTED_VALUE"""),-45415.0)</f>
        <v>-45415</v>
      </c>
      <c r="E4253" t="str">
        <f>IFERROR(__xludf.DUMMYFUNCTION("""COMPUTED_VALUE"""),"玉山帳戶")</f>
        <v>玉山帳戶</v>
      </c>
      <c r="G4253" t="str">
        <f>IFERROR(__xludf.DUMMYFUNCTION("""COMPUTED_VALUE"""),"行天宮夏野良栗")</f>
        <v>行天宮夏野良栗</v>
      </c>
      <c r="H4253" s="106" t="str">
        <f t="shared" si="1"/>
        <v>2024-10</v>
      </c>
      <c r="I4253" s="271" t="str">
        <f>IFERROR(__xludf.DUMMYFUNCTION("""COMPUTED_VALUE"""),"鯰魚大大")</f>
        <v>鯰魚大大</v>
      </c>
      <c r="J4253" t="str">
        <f>IFERROR(__xludf.DUMMYFUNCTION("IFS(
  AND(REGEXMATCH(E4253, ""台銀籌備帳戶|玉山帳戶""), REGEXMATCH(C4253, ""薪資"")), ""分潤支出"",
  AND(REGEXMATCH(E4253, ""Ben帳戶|Elsa帳戶|Ben代墊|Ariel代墊|中信銀行共用""), REGEXMATCH(F4253, ""Ben帳戶|Elsa帳戶|Ben代墊|Ariel代墊|中信銀行共用"")), ""內部轉帳(忽略)"",
  AND(E4253&lt;&gt;"""", F4253&lt;&gt;"""", N"&amp;"OT(REGEXMATCH(C4253, ""薪資""))), ""內部轉帳(忽略)"",
  REGEXMATCH(C4253, ""薪資""), ""薪資變動(不計入)"",
  REGEXMATCH(C4253, ""押金""), ""押金往來"",
  AND(E4253&lt;&gt;"""", F4253=""""), ""真實支出"",
  AND(E4253="""", F4253&lt;&gt;""""), ""真實收入"",
  TRUE, ""其他""
)"),"真實支出")</f>
        <v>真實支出</v>
      </c>
      <c r="K4253" s="270">
        <f t="shared" si="2"/>
        <v>-45415</v>
      </c>
      <c r="L4253">
        <f t="shared" si="3"/>
        <v>0</v>
      </c>
    </row>
    <row r="4254">
      <c r="A4254" s="107">
        <f>IFERROR(__xludf.DUMMYFUNCTION("""COMPUTED_VALUE"""),45579.0)</f>
        <v>45579</v>
      </c>
      <c r="B4254" t="str">
        <f>IFERROR(__xludf.DUMMYFUNCTION("""COMPUTED_VALUE"""),"內湖熱水器螢光水電")</f>
        <v>內湖熱水器螢光水電</v>
      </c>
      <c r="C4254" t="str">
        <f>IFERROR(__xludf.DUMMYFUNCTION("""COMPUTED_VALUE"""),"成本 - 租後修繕")</f>
        <v>成本 - 租後修繕</v>
      </c>
      <c r="D4254" s="270">
        <f>IFERROR(__xludf.DUMMYFUNCTION("""COMPUTED_VALUE"""),-17655.0)</f>
        <v>-17655</v>
      </c>
      <c r="E4254" t="str">
        <f>IFERROR(__xludf.DUMMYFUNCTION("""COMPUTED_VALUE"""),"玉山帳戶")</f>
        <v>玉山帳戶</v>
      </c>
      <c r="G4254" t="str">
        <f>IFERROR(__xludf.DUMMYFUNCTION("""COMPUTED_VALUE"""),"內湖秘境")</f>
        <v>內湖秘境</v>
      </c>
      <c r="H4254" s="106" t="str">
        <f t="shared" si="1"/>
        <v>2024-10</v>
      </c>
      <c r="I4254" s="271" t="str">
        <f>IFERROR(__xludf.DUMMYFUNCTION("""COMPUTED_VALUE"""),"鯰魚大大")</f>
        <v>鯰魚大大</v>
      </c>
      <c r="J4254" t="str">
        <f>IFERROR(__xludf.DUMMYFUNCTION("IFS(
  AND(REGEXMATCH(E4254, ""台銀籌備帳戶|玉山帳戶""), REGEXMATCH(C4254, ""薪資"")), ""分潤支出"",
  AND(REGEXMATCH(E4254, ""Ben帳戶|Elsa帳戶|Ben代墊|Ariel代墊|中信銀行共用""), REGEXMATCH(F4254, ""Ben帳戶|Elsa帳戶|Ben代墊|Ariel代墊|中信銀行共用"")), ""內部轉帳(忽略)"",
  AND(E4254&lt;&gt;"""", F4254&lt;&gt;"""", N"&amp;"OT(REGEXMATCH(C4254, ""薪資""))), ""內部轉帳(忽略)"",
  REGEXMATCH(C4254, ""薪資""), ""薪資變動(不計入)"",
  REGEXMATCH(C4254, ""押金""), ""押金往來"",
  AND(E4254&lt;&gt;"""", F4254=""""), ""真實支出"",
  AND(E4254="""", F4254&lt;&gt;""""), ""真實收入"",
  TRUE, ""其他""
)"),"真實支出")</f>
        <v>真實支出</v>
      </c>
      <c r="K4254" s="270">
        <f t="shared" si="2"/>
        <v>-17655</v>
      </c>
      <c r="L4254">
        <f t="shared" si="3"/>
        <v>0</v>
      </c>
    </row>
    <row r="4255">
      <c r="A4255" s="107">
        <f>IFERROR(__xludf.DUMMYFUNCTION("""COMPUTED_VALUE"""),45579.0)</f>
        <v>45579</v>
      </c>
      <c r="B4255" t="str">
        <f>IFERROR(__xludf.DUMMYFUNCTION("""COMPUTED_VALUE"""),"良栗地板巧巧")</f>
        <v>良栗地板巧巧</v>
      </c>
      <c r="C4255" t="str">
        <f>IFERROR(__xludf.DUMMYFUNCTION("""COMPUTED_VALUE"""),"成本 - 進場前裝潢費")</f>
        <v>成本 - 進場前裝潢費</v>
      </c>
      <c r="D4255" s="270">
        <f>IFERROR(__xludf.DUMMYFUNCTION("""COMPUTED_VALUE"""),-22905.0)</f>
        <v>-22905</v>
      </c>
      <c r="E4255" t="str">
        <f>IFERROR(__xludf.DUMMYFUNCTION("""COMPUTED_VALUE"""),"玉山帳戶")</f>
        <v>玉山帳戶</v>
      </c>
      <c r="G4255" t="str">
        <f>IFERROR(__xludf.DUMMYFUNCTION("""COMPUTED_VALUE"""),"行天宮夏野良栗")</f>
        <v>行天宮夏野良栗</v>
      </c>
      <c r="H4255" s="106" t="str">
        <f t="shared" si="1"/>
        <v>2024-10</v>
      </c>
      <c r="I4255" s="271" t="str">
        <f>IFERROR(__xludf.DUMMYFUNCTION("""COMPUTED_VALUE"""),"鯰魚大大")</f>
        <v>鯰魚大大</v>
      </c>
      <c r="J4255" t="str">
        <f>IFERROR(__xludf.DUMMYFUNCTION("IFS(
  AND(REGEXMATCH(E4255, ""台銀籌備帳戶|玉山帳戶""), REGEXMATCH(C4255, ""薪資"")), ""分潤支出"",
  AND(REGEXMATCH(E4255, ""Ben帳戶|Elsa帳戶|Ben代墊|Ariel代墊|中信銀行共用""), REGEXMATCH(F4255, ""Ben帳戶|Elsa帳戶|Ben代墊|Ariel代墊|中信銀行共用"")), ""內部轉帳(忽略)"",
  AND(E4255&lt;&gt;"""", F4255&lt;&gt;"""", N"&amp;"OT(REGEXMATCH(C4255, ""薪資""))), ""內部轉帳(忽略)"",
  REGEXMATCH(C4255, ""薪資""), ""薪資變動(不計入)"",
  REGEXMATCH(C4255, ""押金""), ""押金往來"",
  AND(E4255&lt;&gt;"""", F4255=""""), ""真實支出"",
  AND(E4255="""", F4255&lt;&gt;""""), ""真實收入"",
  TRUE, ""其他""
)"),"真實支出")</f>
        <v>真實支出</v>
      </c>
      <c r="K4255" s="270">
        <f t="shared" si="2"/>
        <v>-22905</v>
      </c>
      <c r="L4255">
        <f t="shared" si="3"/>
        <v>0</v>
      </c>
    </row>
    <row r="4256">
      <c r="A4256" s="107">
        <f>IFERROR(__xludf.DUMMYFUNCTION("""COMPUTED_VALUE"""),45580.0)</f>
        <v>45580</v>
      </c>
      <c r="B4256" t="str">
        <f>IFERROR(__xludf.DUMMYFUNCTION("""COMPUTED_VALUE"""),"和豐大房租")</f>
        <v>和豐大房租</v>
      </c>
      <c r="C4256" t="str">
        <f>IFERROR(__xludf.DUMMYFUNCTION("""COMPUTED_VALUE"""),"成本 - 大租金")</f>
        <v>成本 - 大租金</v>
      </c>
      <c r="D4256" s="270">
        <f>IFERROR(__xludf.DUMMYFUNCTION("""COMPUTED_VALUE"""),-14415.0)</f>
        <v>-14415</v>
      </c>
      <c r="E4256" t="str">
        <f>IFERROR(__xludf.DUMMYFUNCTION("""COMPUTED_VALUE"""),"玉山帳戶")</f>
        <v>玉山帳戶</v>
      </c>
      <c r="G4256" t="str">
        <f>IFERROR(__xludf.DUMMYFUNCTION("""COMPUTED_VALUE"""),"士林和豐")</f>
        <v>士林和豐</v>
      </c>
      <c r="H4256" s="106" t="str">
        <f t="shared" si="1"/>
        <v>2024-10</v>
      </c>
      <c r="I4256" s="271" t="str">
        <f>IFERROR(__xludf.DUMMYFUNCTION("""COMPUTED_VALUE"""),"鯰魚大大")</f>
        <v>鯰魚大大</v>
      </c>
      <c r="J4256" t="str">
        <f>IFERROR(__xludf.DUMMYFUNCTION("IFS(
  AND(REGEXMATCH(E4256, ""台銀籌備帳戶|玉山帳戶""), REGEXMATCH(C4256, ""薪資"")), ""分潤支出"",
  AND(REGEXMATCH(E4256, ""Ben帳戶|Elsa帳戶|Ben代墊|Ariel代墊|中信銀行共用""), REGEXMATCH(F4256, ""Ben帳戶|Elsa帳戶|Ben代墊|Ariel代墊|中信銀行共用"")), ""內部轉帳(忽略)"",
  AND(E4256&lt;&gt;"""", F4256&lt;&gt;"""", N"&amp;"OT(REGEXMATCH(C4256, ""薪資""))), ""內部轉帳(忽略)"",
  REGEXMATCH(C4256, ""薪資""), ""薪資變動(不計入)"",
  REGEXMATCH(C4256, ""押金""), ""押金往來"",
  AND(E4256&lt;&gt;"""", F4256=""""), ""真實支出"",
  AND(E4256="""", F4256&lt;&gt;""""), ""真實收入"",
  TRUE, ""其他""
)"),"真實支出")</f>
        <v>真實支出</v>
      </c>
      <c r="K4256" s="270">
        <f t="shared" si="2"/>
        <v>-14415</v>
      </c>
      <c r="L4256">
        <f t="shared" si="3"/>
        <v>0</v>
      </c>
    </row>
    <row r="4257">
      <c r="A4257" s="107">
        <f>IFERROR(__xludf.DUMMYFUNCTION("""COMPUTED_VALUE"""),45580.0)</f>
        <v>45580</v>
      </c>
      <c r="B4257" t="str">
        <f>IFERROR(__xludf.DUMMYFUNCTION("""COMPUTED_VALUE"""),"新生排水管")</f>
        <v>新生排水管</v>
      </c>
      <c r="C4257" t="str">
        <f>IFERROR(__xludf.DUMMYFUNCTION("""COMPUTED_VALUE"""),"費用 - 辦公用品")</f>
        <v>費用 - 辦公用品</v>
      </c>
      <c r="D4257" s="270">
        <f>IFERROR(__xludf.DUMMYFUNCTION("""COMPUTED_VALUE"""),-3540.0)</f>
        <v>-3540</v>
      </c>
      <c r="E4257" t="str">
        <f>IFERROR(__xludf.DUMMYFUNCTION("""COMPUTED_VALUE"""),"玉山帳戶")</f>
        <v>玉山帳戶</v>
      </c>
      <c r="H4257" s="106" t="str">
        <f t="shared" si="1"/>
        <v>2024-10</v>
      </c>
      <c r="I4257" s="271" t="str">
        <f>IFERROR(__xludf.DUMMYFUNCTION("""COMPUTED_VALUE"""),"鯰魚大大")</f>
        <v>鯰魚大大</v>
      </c>
      <c r="J4257" t="str">
        <f>IFERROR(__xludf.DUMMYFUNCTION("IFS(
  AND(REGEXMATCH(E4257, ""台銀籌備帳戶|玉山帳戶""), REGEXMATCH(C4257, ""薪資"")), ""分潤支出"",
  AND(REGEXMATCH(E4257, ""Ben帳戶|Elsa帳戶|Ben代墊|Ariel代墊|中信銀行共用""), REGEXMATCH(F4257, ""Ben帳戶|Elsa帳戶|Ben代墊|Ariel代墊|中信銀行共用"")), ""內部轉帳(忽略)"",
  AND(E4257&lt;&gt;"""", F4257&lt;&gt;"""", N"&amp;"OT(REGEXMATCH(C4257, ""薪資""))), ""內部轉帳(忽略)"",
  REGEXMATCH(C4257, ""薪資""), ""薪資變動(不計入)"",
  REGEXMATCH(C4257, ""押金""), ""押金往來"",
  AND(E4257&lt;&gt;"""", F4257=""""), ""真實支出"",
  AND(E4257="""", F4257&lt;&gt;""""), ""真實收入"",
  TRUE, ""其他""
)"),"真實支出")</f>
        <v>真實支出</v>
      </c>
      <c r="K4257" s="270">
        <f t="shared" si="2"/>
        <v>-3540</v>
      </c>
      <c r="L4257">
        <f t="shared" si="3"/>
        <v>0</v>
      </c>
    </row>
    <row r="4258">
      <c r="A4258" s="107">
        <f>IFERROR(__xludf.DUMMYFUNCTION("""COMPUTED_VALUE"""),45586.0)</f>
        <v>45586</v>
      </c>
      <c r="B4258" t="str">
        <f>IFERROR(__xludf.DUMMYFUNCTION("""COMPUTED_VALUE"""),"內湖秘境E鄧又慈")</f>
        <v>內湖秘境E鄧又慈</v>
      </c>
      <c r="C4258" t="str">
        <f>IFERROR(__xludf.DUMMYFUNCTION("""COMPUTED_VALUE"""),"收入 - 租金")</f>
        <v>收入 - 租金</v>
      </c>
      <c r="D4258" s="270">
        <f>IFERROR(__xludf.DUMMYFUNCTION("""COMPUTED_VALUE"""),14500.0)</f>
        <v>14500</v>
      </c>
      <c r="F4258" t="str">
        <f>IFERROR(__xludf.DUMMYFUNCTION("""COMPUTED_VALUE"""),"玉山帳戶")</f>
        <v>玉山帳戶</v>
      </c>
      <c r="G4258" t="str">
        <f>IFERROR(__xludf.DUMMYFUNCTION("""COMPUTED_VALUE"""),"內湖秘境")</f>
        <v>內湖秘境</v>
      </c>
      <c r="H4258" s="106" t="str">
        <f t="shared" si="1"/>
        <v>2024-10</v>
      </c>
      <c r="I4258" s="271" t="str">
        <f>IFERROR(__xludf.DUMMYFUNCTION("""COMPUTED_VALUE"""),"鯰魚大大")</f>
        <v>鯰魚大大</v>
      </c>
      <c r="J4258" t="str">
        <f>IFERROR(__xludf.DUMMYFUNCTION("IFS(
  AND(REGEXMATCH(E4258, ""台銀籌備帳戶|玉山帳戶""), REGEXMATCH(C4258, ""薪資"")), ""分潤支出"",
  AND(REGEXMATCH(E4258, ""Ben帳戶|Elsa帳戶|Ben代墊|Ariel代墊|中信銀行共用""), REGEXMATCH(F4258, ""Ben帳戶|Elsa帳戶|Ben代墊|Ariel代墊|中信銀行共用"")), ""內部轉帳(忽略)"",
  AND(E4258&lt;&gt;"""", F4258&lt;&gt;"""", N"&amp;"OT(REGEXMATCH(C4258, ""薪資""))), ""內部轉帳(忽略)"",
  REGEXMATCH(C4258, ""薪資""), ""薪資變動(不計入)"",
  REGEXMATCH(C4258, ""押金""), ""押金往來"",
  AND(E4258&lt;&gt;"""", F4258=""""), ""真實支出"",
  AND(E4258="""", F4258&lt;&gt;""""), ""真實收入"",
  TRUE, ""其他""
)"),"真實收入")</f>
        <v>真實收入</v>
      </c>
      <c r="K4258" s="270">
        <f t="shared" si="2"/>
        <v>14500</v>
      </c>
      <c r="L4258">
        <f t="shared" si="3"/>
        <v>0</v>
      </c>
    </row>
    <row r="4259">
      <c r="A4259" s="107">
        <f>IFERROR(__xludf.DUMMYFUNCTION("""COMPUTED_VALUE"""),45594.0)</f>
        <v>45594</v>
      </c>
      <c r="B4259" t="str">
        <f>IFERROR(__xludf.DUMMYFUNCTION("""COMPUTED_VALUE"""),"夏野輕隔間黃董")</f>
        <v>夏野輕隔間黃董</v>
      </c>
      <c r="C4259" t="str">
        <f>IFERROR(__xludf.DUMMYFUNCTION("""COMPUTED_VALUE"""),"成本 - 進場前裝潢費")</f>
        <v>成本 - 進場前裝潢費</v>
      </c>
      <c r="D4259" s="270">
        <f>IFERROR(__xludf.DUMMYFUNCTION("""COMPUTED_VALUE"""),-67635.0)</f>
        <v>-67635</v>
      </c>
      <c r="E4259" t="str">
        <f>IFERROR(__xludf.DUMMYFUNCTION("""COMPUTED_VALUE"""),"玉山帳戶")</f>
        <v>玉山帳戶</v>
      </c>
      <c r="G4259" t="str">
        <f>IFERROR(__xludf.DUMMYFUNCTION("""COMPUTED_VALUE"""),"行天宮夏野良栗")</f>
        <v>行天宮夏野良栗</v>
      </c>
      <c r="H4259" s="106" t="str">
        <f t="shared" si="1"/>
        <v>2024-10</v>
      </c>
      <c r="I4259" s="271" t="str">
        <f>IFERROR(__xludf.DUMMYFUNCTION("""COMPUTED_VALUE"""),"鯰魚大大")</f>
        <v>鯰魚大大</v>
      </c>
      <c r="J4259" t="str">
        <f>IFERROR(__xludf.DUMMYFUNCTION("IFS(
  AND(REGEXMATCH(E4259, ""台銀籌備帳戶|玉山帳戶""), REGEXMATCH(C4259, ""薪資"")), ""分潤支出"",
  AND(REGEXMATCH(E4259, ""Ben帳戶|Elsa帳戶|Ben代墊|Ariel代墊|中信銀行共用""), REGEXMATCH(F4259, ""Ben帳戶|Elsa帳戶|Ben代墊|Ariel代墊|中信銀行共用"")), ""內部轉帳(忽略)"",
  AND(E4259&lt;&gt;"""", F4259&lt;&gt;"""", N"&amp;"OT(REGEXMATCH(C4259, ""薪資""))), ""內部轉帳(忽略)"",
  REGEXMATCH(C4259, ""薪資""), ""薪資變動(不計入)"",
  REGEXMATCH(C4259, ""押金""), ""押金往來"",
  AND(E4259&lt;&gt;"""", F4259=""""), ""真實支出"",
  AND(E4259="""", F4259&lt;&gt;""""), ""真實收入"",
  TRUE, ""其他""
)"),"真實支出")</f>
        <v>真實支出</v>
      </c>
      <c r="K4259" s="270">
        <f t="shared" si="2"/>
        <v>-67635</v>
      </c>
      <c r="L4259">
        <f t="shared" si="3"/>
        <v>0</v>
      </c>
    </row>
    <row r="4260">
      <c r="A4260" s="107">
        <f>IFERROR(__xludf.DUMMYFUNCTION("""COMPUTED_VALUE"""),45594.0)</f>
        <v>45594</v>
      </c>
      <c r="B4260" t="str">
        <f>IFERROR(__xludf.DUMMYFUNCTION("""COMPUTED_VALUE"""),"夏野水電雄")</f>
        <v>夏野水電雄</v>
      </c>
      <c r="C4260" t="str">
        <f>IFERROR(__xludf.DUMMYFUNCTION("""COMPUTED_VALUE"""),"成本 - 進場前裝潢費")</f>
        <v>成本 - 進場前裝潢費</v>
      </c>
      <c r="D4260" s="270">
        <f>IFERROR(__xludf.DUMMYFUNCTION("""COMPUTED_VALUE"""),-32880.0)</f>
        <v>-32880</v>
      </c>
      <c r="E4260" t="str">
        <f>IFERROR(__xludf.DUMMYFUNCTION("""COMPUTED_VALUE"""),"玉山帳戶")</f>
        <v>玉山帳戶</v>
      </c>
      <c r="G4260" t="str">
        <f>IFERROR(__xludf.DUMMYFUNCTION("""COMPUTED_VALUE"""),"行天宮夏野良栗")</f>
        <v>行天宮夏野良栗</v>
      </c>
      <c r="H4260" s="106" t="str">
        <f t="shared" si="1"/>
        <v>2024-10</v>
      </c>
      <c r="I4260" s="271" t="str">
        <f>IFERROR(__xludf.DUMMYFUNCTION("""COMPUTED_VALUE"""),"鯰魚大大")</f>
        <v>鯰魚大大</v>
      </c>
      <c r="J4260" t="str">
        <f>IFERROR(__xludf.DUMMYFUNCTION("IFS(
  AND(REGEXMATCH(E4260, ""台銀籌備帳戶|玉山帳戶""), REGEXMATCH(C4260, ""薪資"")), ""分潤支出"",
  AND(REGEXMATCH(E4260, ""Ben帳戶|Elsa帳戶|Ben代墊|Ariel代墊|中信銀行共用""), REGEXMATCH(F4260, ""Ben帳戶|Elsa帳戶|Ben代墊|Ariel代墊|中信銀行共用"")), ""內部轉帳(忽略)"",
  AND(E4260&lt;&gt;"""", F4260&lt;&gt;"""", N"&amp;"OT(REGEXMATCH(C4260, ""薪資""))), ""內部轉帳(忽略)"",
  REGEXMATCH(C4260, ""薪資""), ""薪資變動(不計入)"",
  REGEXMATCH(C4260, ""押金""), ""押金往來"",
  AND(E4260&lt;&gt;"""", F4260=""""), ""真實支出"",
  AND(E4260="""", F4260&lt;&gt;""""), ""真實收入"",
  TRUE, ""其他""
)"),"真實支出")</f>
        <v>真實支出</v>
      </c>
      <c r="K4260" s="270">
        <f t="shared" si="2"/>
        <v>-32880</v>
      </c>
      <c r="L4260">
        <f t="shared" si="3"/>
        <v>0</v>
      </c>
    </row>
    <row r="4261">
      <c r="A4261" s="107">
        <f>IFERROR(__xludf.DUMMYFUNCTION("""COMPUTED_VALUE"""),45594.0)</f>
        <v>45594</v>
      </c>
      <c r="B4261" t="str">
        <f>IFERROR(__xludf.DUMMYFUNCTION("""COMPUTED_VALUE"""),"退稅")</f>
        <v>退稅</v>
      </c>
      <c r="C4261" t="str">
        <f>IFERROR(__xludf.DUMMYFUNCTION("""COMPUTED_VALUE"""),"收入 - 政府補助/退稅")</f>
        <v>收入 - 政府補助/退稅</v>
      </c>
      <c r="D4261" s="270">
        <f>IFERROR(__xludf.DUMMYFUNCTION("""COMPUTED_VALUE"""),1600.0)</f>
        <v>1600</v>
      </c>
      <c r="F4261" t="str">
        <f>IFERROR(__xludf.DUMMYFUNCTION("""COMPUTED_VALUE"""),"玉山帳戶")</f>
        <v>玉山帳戶</v>
      </c>
      <c r="G4261" t="str">
        <f>IFERROR(__xludf.DUMMYFUNCTION("""COMPUTED_VALUE"""),"行天宮夏野良栗")</f>
        <v>行天宮夏野良栗</v>
      </c>
      <c r="H4261" s="106" t="str">
        <f t="shared" si="1"/>
        <v>2024-10</v>
      </c>
      <c r="I4261" s="271" t="str">
        <f>IFERROR(__xludf.DUMMYFUNCTION("""COMPUTED_VALUE"""),"鯰魚大大")</f>
        <v>鯰魚大大</v>
      </c>
      <c r="J4261" t="str">
        <f>IFERROR(__xludf.DUMMYFUNCTION("IFS(
  AND(REGEXMATCH(E4261, ""台銀籌備帳戶|玉山帳戶""), REGEXMATCH(C4261, ""薪資"")), ""分潤支出"",
  AND(REGEXMATCH(E4261, ""Ben帳戶|Elsa帳戶|Ben代墊|Ariel代墊|中信銀行共用""), REGEXMATCH(F4261, ""Ben帳戶|Elsa帳戶|Ben代墊|Ariel代墊|中信銀行共用"")), ""內部轉帳(忽略)"",
  AND(E4261&lt;&gt;"""", F4261&lt;&gt;"""", N"&amp;"OT(REGEXMATCH(C4261, ""薪資""))), ""內部轉帳(忽略)"",
  REGEXMATCH(C4261, ""薪資""), ""薪資變動(不計入)"",
  REGEXMATCH(C4261, ""押金""), ""押金往來"",
  AND(E4261&lt;&gt;"""", F4261=""""), ""真實支出"",
  AND(E4261="""", F4261&lt;&gt;""""), ""真實收入"",
  TRUE, ""其他""
)"),"真實收入")</f>
        <v>真實收入</v>
      </c>
      <c r="K4261" s="270">
        <f t="shared" si="2"/>
        <v>1600</v>
      </c>
      <c r="L4261">
        <f t="shared" si="3"/>
        <v>0</v>
      </c>
    </row>
    <row r="4262">
      <c r="A4262" s="107">
        <f>IFERROR(__xludf.DUMMYFUNCTION("""COMPUTED_VALUE"""),45596.0)</f>
        <v>45596</v>
      </c>
      <c r="B4262" t="str">
        <f>IFERROR(__xludf.DUMMYFUNCTION("""COMPUTED_VALUE"""),"內湖秘境C黃詩穎")</f>
        <v>內湖秘境C黃詩穎</v>
      </c>
      <c r="C4262" t="str">
        <f>IFERROR(__xludf.DUMMYFUNCTION("""COMPUTED_VALUE"""),"收入 - 租金")</f>
        <v>收入 - 租金</v>
      </c>
      <c r="D4262" s="270">
        <f>IFERROR(__xludf.DUMMYFUNCTION("""COMPUTED_VALUE"""),14800.0)</f>
        <v>14800</v>
      </c>
      <c r="F4262" t="str">
        <f>IFERROR(__xludf.DUMMYFUNCTION("""COMPUTED_VALUE"""),"玉山帳戶")</f>
        <v>玉山帳戶</v>
      </c>
      <c r="G4262" t="str">
        <f>IFERROR(__xludf.DUMMYFUNCTION("""COMPUTED_VALUE"""),"內湖秘境")</f>
        <v>內湖秘境</v>
      </c>
      <c r="H4262" s="106" t="str">
        <f t="shared" si="1"/>
        <v>2024-10</v>
      </c>
      <c r="I4262" s="271" t="str">
        <f>IFERROR(__xludf.DUMMYFUNCTION("""COMPUTED_VALUE"""),"鯰魚大大")</f>
        <v>鯰魚大大</v>
      </c>
      <c r="J4262" t="str">
        <f>IFERROR(__xludf.DUMMYFUNCTION("IFS(
  AND(REGEXMATCH(E4262, ""台銀籌備帳戶|玉山帳戶""), REGEXMATCH(C4262, ""薪資"")), ""分潤支出"",
  AND(REGEXMATCH(E4262, ""Ben帳戶|Elsa帳戶|Ben代墊|Ariel代墊|中信銀行共用""), REGEXMATCH(F4262, ""Ben帳戶|Elsa帳戶|Ben代墊|Ariel代墊|中信銀行共用"")), ""內部轉帳(忽略)"",
  AND(E4262&lt;&gt;"""", F4262&lt;&gt;"""", N"&amp;"OT(REGEXMATCH(C4262, ""薪資""))), ""內部轉帳(忽略)"",
  REGEXMATCH(C4262, ""薪資""), ""薪資變動(不計入)"",
  REGEXMATCH(C4262, ""押金""), ""押金往來"",
  AND(E4262&lt;&gt;"""", F4262=""""), ""真實支出"",
  AND(E4262="""", F4262&lt;&gt;""""), ""真實收入"",
  TRUE, ""其他""
)"),"真實收入")</f>
        <v>真實收入</v>
      </c>
      <c r="K4262" s="270">
        <f t="shared" si="2"/>
        <v>14800</v>
      </c>
      <c r="L4262">
        <f t="shared" si="3"/>
        <v>0</v>
      </c>
    </row>
    <row r="4263">
      <c r="A4263" s="107">
        <f>IFERROR(__xludf.DUMMYFUNCTION("""COMPUTED_VALUE"""),45597.0)</f>
        <v>45597</v>
      </c>
      <c r="B4263" t="str">
        <f>IFERROR(__xludf.DUMMYFUNCTION("""COMPUTED_VALUE"""),"內湖路一段周姐")</f>
        <v>內湖路一段周姐</v>
      </c>
      <c r="C4263" t="str">
        <f>IFERROR(__xludf.DUMMYFUNCTION("""COMPUTED_VALUE"""),"成本 - 大租金")</f>
        <v>成本 - 大租金</v>
      </c>
      <c r="D4263" s="270">
        <f>IFERROR(__xludf.DUMMYFUNCTION("""COMPUTED_VALUE"""),-45015.0)</f>
        <v>-45015</v>
      </c>
      <c r="E4263" t="str">
        <f>IFERROR(__xludf.DUMMYFUNCTION("""COMPUTED_VALUE"""),"玉山帳戶")</f>
        <v>玉山帳戶</v>
      </c>
      <c r="G4263" t="str">
        <f>IFERROR(__xludf.DUMMYFUNCTION("""COMPUTED_VALUE"""),"內湖秘境")</f>
        <v>內湖秘境</v>
      </c>
      <c r="H4263" s="106" t="str">
        <f t="shared" si="1"/>
        <v>2024-11</v>
      </c>
      <c r="I4263" s="271" t="str">
        <f>IFERROR(__xludf.DUMMYFUNCTION("""COMPUTED_VALUE"""),"鯰魚大大")</f>
        <v>鯰魚大大</v>
      </c>
      <c r="J4263" t="str">
        <f>IFERROR(__xludf.DUMMYFUNCTION("IFS(
  AND(REGEXMATCH(E4263, ""台銀籌備帳戶|玉山帳戶""), REGEXMATCH(C4263, ""薪資"")), ""分潤支出"",
  AND(REGEXMATCH(E4263, ""Ben帳戶|Elsa帳戶|Ben代墊|Ariel代墊|中信銀行共用""), REGEXMATCH(F4263, ""Ben帳戶|Elsa帳戶|Ben代墊|Ariel代墊|中信銀行共用"")), ""內部轉帳(忽略)"",
  AND(E4263&lt;&gt;"""", F4263&lt;&gt;"""", N"&amp;"OT(REGEXMATCH(C4263, ""薪資""))), ""內部轉帳(忽略)"",
  REGEXMATCH(C4263, ""薪資""), ""薪資變動(不計入)"",
  REGEXMATCH(C4263, ""押金""), ""押金往來"",
  AND(E4263&lt;&gt;"""", F4263=""""), ""真實支出"",
  AND(E4263="""", F4263&lt;&gt;""""), ""真實收入"",
  TRUE, ""其他""
)"),"真實支出")</f>
        <v>真實支出</v>
      </c>
      <c r="K4263" s="270">
        <f t="shared" si="2"/>
        <v>-45015</v>
      </c>
      <c r="L4263">
        <f t="shared" si="3"/>
        <v>0</v>
      </c>
    </row>
    <row r="4264">
      <c r="A4264" s="107">
        <f>IFERROR(__xludf.DUMMYFUNCTION("""COMPUTED_VALUE"""),45597.0)</f>
        <v>45597</v>
      </c>
      <c r="B4264" t="str">
        <f>IFERROR(__xludf.DUMMYFUNCTION("""COMPUTED_VALUE"""),"和豐大房租")</f>
        <v>和豐大房租</v>
      </c>
      <c r="C4264" t="str">
        <f>IFERROR(__xludf.DUMMYFUNCTION("""COMPUTED_VALUE"""),"成本 - 大租金")</f>
        <v>成本 - 大租金</v>
      </c>
      <c r="D4264" s="270">
        <f>IFERROR(__xludf.DUMMYFUNCTION("""COMPUTED_VALUE"""),-14415.0)</f>
        <v>-14415</v>
      </c>
      <c r="E4264" t="str">
        <f>IFERROR(__xludf.DUMMYFUNCTION("""COMPUTED_VALUE"""),"玉山帳戶")</f>
        <v>玉山帳戶</v>
      </c>
      <c r="G4264" t="str">
        <f>IFERROR(__xludf.DUMMYFUNCTION("""COMPUTED_VALUE"""),"士林和豐")</f>
        <v>士林和豐</v>
      </c>
      <c r="H4264" s="106" t="str">
        <f t="shared" si="1"/>
        <v>2024-11</v>
      </c>
      <c r="I4264" s="271" t="str">
        <f>IFERROR(__xludf.DUMMYFUNCTION("""COMPUTED_VALUE"""),"鯰魚大大")</f>
        <v>鯰魚大大</v>
      </c>
      <c r="J4264" t="str">
        <f>IFERROR(__xludf.DUMMYFUNCTION("IFS(
  AND(REGEXMATCH(E4264, ""台銀籌備帳戶|玉山帳戶""), REGEXMATCH(C4264, ""薪資"")), ""分潤支出"",
  AND(REGEXMATCH(E4264, ""Ben帳戶|Elsa帳戶|Ben代墊|Ariel代墊|中信銀行共用""), REGEXMATCH(F4264, ""Ben帳戶|Elsa帳戶|Ben代墊|Ariel代墊|中信銀行共用"")), ""內部轉帳(忽略)"",
  AND(E4264&lt;&gt;"""", F4264&lt;&gt;"""", N"&amp;"OT(REGEXMATCH(C4264, ""薪資""))), ""內部轉帳(忽略)"",
  REGEXMATCH(C4264, ""薪資""), ""薪資變動(不計入)"",
  REGEXMATCH(C4264, ""押金""), ""押金往來"",
  AND(E4264&lt;&gt;"""", F4264=""""), ""真實支出"",
  AND(E4264="""", F4264&lt;&gt;""""), ""真實收入"",
  TRUE, ""其他""
)"),"真實支出")</f>
        <v>真實支出</v>
      </c>
      <c r="K4264" s="270">
        <f t="shared" si="2"/>
        <v>-14415</v>
      </c>
      <c r="L4264">
        <f t="shared" si="3"/>
        <v>0</v>
      </c>
    </row>
    <row r="4265">
      <c r="A4265" s="107">
        <f>IFERROR(__xludf.DUMMYFUNCTION("""COMPUTED_VALUE"""),45597.0)</f>
        <v>45597</v>
      </c>
      <c r="B4265" t="str">
        <f>IFERROR(__xludf.DUMMYFUNCTION("""COMPUTED_VALUE"""),"家庭帳戶")</f>
        <v>家庭帳戶</v>
      </c>
      <c r="C4265" t="str">
        <f>IFERROR(__xludf.DUMMYFUNCTION("""COMPUTED_VALUE"""),"費用 - Salary 薪資")</f>
        <v>費用 - Salary 薪資</v>
      </c>
      <c r="D4265" s="270">
        <f>IFERROR(__xludf.DUMMYFUNCTION("""COMPUTED_VALUE"""),-50015.0)</f>
        <v>-50015</v>
      </c>
      <c r="E4265" t="str">
        <f>IFERROR(__xludf.DUMMYFUNCTION("""COMPUTED_VALUE"""),"玉山帳戶")</f>
        <v>玉山帳戶</v>
      </c>
      <c r="F4265" t="str">
        <f>IFERROR(__xludf.DUMMYFUNCTION("""COMPUTED_VALUE"""),"中信銀行共用")</f>
        <v>中信銀行共用</v>
      </c>
      <c r="H4265" s="106" t="str">
        <f t="shared" si="1"/>
        <v>2024-11</v>
      </c>
      <c r="I4265" s="271" t="str">
        <f>IFERROR(__xludf.DUMMYFUNCTION("""COMPUTED_VALUE"""),"鯰魚大大")</f>
        <v>鯰魚大大</v>
      </c>
      <c r="J4265" t="str">
        <f>IFERROR(__xludf.DUMMYFUNCTION("IFS(
  AND(REGEXMATCH(E4265, ""台銀籌備帳戶|玉山帳戶""), REGEXMATCH(C4265, ""薪資"")), ""分潤支出"",
  AND(REGEXMATCH(E4265, ""Ben帳戶|Elsa帳戶|Ben代墊|Ariel代墊|中信銀行共用""), REGEXMATCH(F4265, ""Ben帳戶|Elsa帳戶|Ben代墊|Ariel代墊|中信銀行共用"")), ""內部轉帳(忽略)"",
  AND(E4265&lt;&gt;"""", F4265&lt;&gt;"""", N"&amp;"OT(REGEXMATCH(C4265, ""薪資""))), ""內部轉帳(忽略)"",
  REGEXMATCH(C4265, ""薪資""), ""薪資變動(不計入)"",
  REGEXMATCH(C4265, ""押金""), ""押金往來"",
  AND(E4265&lt;&gt;"""", F4265=""""), ""真實支出"",
  AND(E4265="""", F4265&lt;&gt;""""), ""真實收入"",
  TRUE, ""其他""
)"),"分潤支出")</f>
        <v>分潤支出</v>
      </c>
      <c r="K4265">
        <f t="shared" si="2"/>
        <v>0</v>
      </c>
      <c r="L4265">
        <f t="shared" si="3"/>
        <v>50015</v>
      </c>
    </row>
    <row r="4266">
      <c r="A4266" s="107">
        <f>IFERROR(__xludf.DUMMYFUNCTION("""COMPUTED_VALUE"""),45597.0)</f>
        <v>45597</v>
      </c>
      <c r="B4266" t="str">
        <f>IFERROR(__xludf.DUMMYFUNCTION("""COMPUTED_VALUE"""),"士林和豐A巫思予")</f>
        <v>士林和豐A巫思予</v>
      </c>
      <c r="C4266" t="str">
        <f>IFERROR(__xludf.DUMMYFUNCTION("""COMPUTED_VALUE"""),"收入 - 租金")</f>
        <v>收入 - 租金</v>
      </c>
      <c r="D4266" s="270">
        <f>IFERROR(__xludf.DUMMYFUNCTION("""COMPUTED_VALUE"""),15800.0)</f>
        <v>15800</v>
      </c>
      <c r="F4266" t="str">
        <f>IFERROR(__xludf.DUMMYFUNCTION("""COMPUTED_VALUE"""),"玉山帳戶")</f>
        <v>玉山帳戶</v>
      </c>
      <c r="G4266" t="str">
        <f>IFERROR(__xludf.DUMMYFUNCTION("""COMPUTED_VALUE"""),"士林和豐")</f>
        <v>士林和豐</v>
      </c>
      <c r="H4266" s="106" t="str">
        <f t="shared" si="1"/>
        <v>2024-11</v>
      </c>
      <c r="I4266" s="271" t="str">
        <f>IFERROR(__xludf.DUMMYFUNCTION("""COMPUTED_VALUE"""),"鯰魚大大")</f>
        <v>鯰魚大大</v>
      </c>
      <c r="J4266" t="str">
        <f>IFERROR(__xludf.DUMMYFUNCTION("IFS(
  AND(REGEXMATCH(E4266, ""台銀籌備帳戶|玉山帳戶""), REGEXMATCH(C4266, ""薪資"")), ""分潤支出"",
  AND(REGEXMATCH(E4266, ""Ben帳戶|Elsa帳戶|Ben代墊|Ariel代墊|中信銀行共用""), REGEXMATCH(F4266, ""Ben帳戶|Elsa帳戶|Ben代墊|Ariel代墊|中信銀行共用"")), ""內部轉帳(忽略)"",
  AND(E4266&lt;&gt;"""", F4266&lt;&gt;"""", N"&amp;"OT(REGEXMATCH(C4266, ""薪資""))), ""內部轉帳(忽略)"",
  REGEXMATCH(C4266, ""薪資""), ""薪資變動(不計入)"",
  REGEXMATCH(C4266, ""押金""), ""押金往來"",
  AND(E4266&lt;&gt;"""", F4266=""""), ""真實支出"",
  AND(E4266="""", F4266&lt;&gt;""""), ""真實收入"",
  TRUE, ""其他""
)"),"真實收入")</f>
        <v>真實收入</v>
      </c>
      <c r="K4266" s="270">
        <f t="shared" si="2"/>
        <v>15800</v>
      </c>
      <c r="L4266">
        <f t="shared" si="3"/>
        <v>0</v>
      </c>
    </row>
    <row r="4267">
      <c r="A4267" s="107">
        <f>IFERROR(__xludf.DUMMYFUNCTION("""COMPUTED_VALUE"""),45597.0)</f>
        <v>45597</v>
      </c>
      <c r="B4267" t="str">
        <f>IFERROR(__xludf.DUMMYFUNCTION("""COMPUTED_VALUE"""),"內湖秘境G徐若洹")</f>
        <v>內湖秘境G徐若洹</v>
      </c>
      <c r="C4267" t="str">
        <f>IFERROR(__xludf.DUMMYFUNCTION("""COMPUTED_VALUE"""),"收入 - 租金")</f>
        <v>收入 - 租金</v>
      </c>
      <c r="D4267" s="270">
        <f>IFERROR(__xludf.DUMMYFUNCTION("""COMPUTED_VALUE"""),12100.0)</f>
        <v>12100</v>
      </c>
      <c r="F4267" t="str">
        <f>IFERROR(__xludf.DUMMYFUNCTION("""COMPUTED_VALUE"""),"玉山帳戶")</f>
        <v>玉山帳戶</v>
      </c>
      <c r="G4267" t="str">
        <f>IFERROR(__xludf.DUMMYFUNCTION("""COMPUTED_VALUE"""),"內湖秘境")</f>
        <v>內湖秘境</v>
      </c>
      <c r="H4267" s="106" t="str">
        <f t="shared" si="1"/>
        <v>2024-11</v>
      </c>
      <c r="I4267" s="271" t="str">
        <f>IFERROR(__xludf.DUMMYFUNCTION("""COMPUTED_VALUE"""),"鯰魚大大")</f>
        <v>鯰魚大大</v>
      </c>
      <c r="J4267" t="str">
        <f>IFERROR(__xludf.DUMMYFUNCTION("IFS(
  AND(REGEXMATCH(E4267, ""台銀籌備帳戶|玉山帳戶""), REGEXMATCH(C4267, ""薪資"")), ""分潤支出"",
  AND(REGEXMATCH(E4267, ""Ben帳戶|Elsa帳戶|Ben代墊|Ariel代墊|中信銀行共用""), REGEXMATCH(F4267, ""Ben帳戶|Elsa帳戶|Ben代墊|Ariel代墊|中信銀行共用"")), ""內部轉帳(忽略)"",
  AND(E4267&lt;&gt;"""", F4267&lt;&gt;"""", N"&amp;"OT(REGEXMATCH(C4267, ""薪資""))), ""內部轉帳(忽略)"",
  REGEXMATCH(C4267, ""薪資""), ""薪資變動(不計入)"",
  REGEXMATCH(C4267, ""押金""), ""押金往來"",
  AND(E4267&lt;&gt;"""", F4267=""""), ""真實支出"",
  AND(E4267="""", F4267&lt;&gt;""""), ""真實收入"",
  TRUE, ""其他""
)"),"真實收入")</f>
        <v>真實收入</v>
      </c>
      <c r="K4267" s="270">
        <f t="shared" si="2"/>
        <v>12100</v>
      </c>
      <c r="L4267">
        <f t="shared" si="3"/>
        <v>0</v>
      </c>
    </row>
    <row r="4268">
      <c r="A4268" s="107">
        <f>IFERROR(__xludf.DUMMYFUNCTION("""COMPUTED_VALUE"""),45597.0)</f>
        <v>45597</v>
      </c>
      <c r="B4268" t="str">
        <f>IFERROR(__xludf.DUMMYFUNCTION("""COMPUTED_VALUE"""),"內湖秘境	D	王敏誠")</f>
        <v>內湖秘境	D	王敏誠</v>
      </c>
      <c r="C4268" t="str">
        <f>IFERROR(__xludf.DUMMYFUNCTION("""COMPUTED_VALUE"""),"收入 - 租金")</f>
        <v>收入 - 租金</v>
      </c>
      <c r="D4268" s="270">
        <f>IFERROR(__xludf.DUMMYFUNCTION("""COMPUTED_VALUE"""),50000.0)</f>
        <v>50000</v>
      </c>
      <c r="F4268" t="str">
        <f>IFERROR(__xludf.DUMMYFUNCTION("""COMPUTED_VALUE"""),"玉山帳戶")</f>
        <v>玉山帳戶</v>
      </c>
      <c r="G4268" t="str">
        <f>IFERROR(__xludf.DUMMYFUNCTION("""COMPUTED_VALUE"""),"內湖秘境")</f>
        <v>內湖秘境</v>
      </c>
      <c r="H4268" s="106" t="str">
        <f t="shared" si="1"/>
        <v>2024-11</v>
      </c>
      <c r="I4268" s="271" t="str">
        <f>IFERROR(__xludf.DUMMYFUNCTION("""COMPUTED_VALUE"""),"鯰魚大大")</f>
        <v>鯰魚大大</v>
      </c>
      <c r="J4268" t="str">
        <f>IFERROR(__xludf.DUMMYFUNCTION("IFS(
  AND(REGEXMATCH(E4268, ""台銀籌備帳戶|玉山帳戶""), REGEXMATCH(C4268, ""薪資"")), ""分潤支出"",
  AND(REGEXMATCH(E4268, ""Ben帳戶|Elsa帳戶|Ben代墊|Ariel代墊|中信銀行共用""), REGEXMATCH(F4268, ""Ben帳戶|Elsa帳戶|Ben代墊|Ariel代墊|中信銀行共用"")), ""內部轉帳(忽略)"",
  AND(E4268&lt;&gt;"""", F4268&lt;&gt;"""", N"&amp;"OT(REGEXMATCH(C4268, ""薪資""))), ""內部轉帳(忽略)"",
  REGEXMATCH(C4268, ""薪資""), ""薪資變動(不計入)"",
  REGEXMATCH(C4268, ""押金""), ""押金往來"",
  AND(E4268&lt;&gt;"""", F4268=""""), ""真實支出"",
  AND(E4268="""", F4268&lt;&gt;""""), ""真實收入"",
  TRUE, ""其他""
)"),"真實收入")</f>
        <v>真實收入</v>
      </c>
      <c r="K4268" s="270">
        <f t="shared" si="2"/>
        <v>50000</v>
      </c>
      <c r="L4268">
        <f t="shared" si="3"/>
        <v>0</v>
      </c>
    </row>
    <row r="4269">
      <c r="A4269" s="107">
        <f>IFERROR(__xludf.DUMMYFUNCTION("""COMPUTED_VALUE"""),45597.0)</f>
        <v>45597</v>
      </c>
      <c r="B4269" t="str">
        <f>IFERROR(__xludf.DUMMYFUNCTION("""COMPUTED_VALUE"""),"內湖秘境	D	王敏誠")</f>
        <v>內湖秘境	D	王敏誠</v>
      </c>
      <c r="C4269" t="str">
        <f>IFERROR(__xludf.DUMMYFUNCTION("""COMPUTED_VALUE"""),"收入 - 租金")</f>
        <v>收入 - 租金</v>
      </c>
      <c r="D4269" s="270">
        <f>IFERROR(__xludf.DUMMYFUNCTION("""COMPUTED_VALUE"""),29200.0)</f>
        <v>29200</v>
      </c>
      <c r="F4269" t="str">
        <f>IFERROR(__xludf.DUMMYFUNCTION("""COMPUTED_VALUE"""),"玉山帳戶")</f>
        <v>玉山帳戶</v>
      </c>
      <c r="G4269" t="str">
        <f>IFERROR(__xludf.DUMMYFUNCTION("""COMPUTED_VALUE"""),"內湖秘境")</f>
        <v>內湖秘境</v>
      </c>
      <c r="H4269" s="106" t="str">
        <f t="shared" si="1"/>
        <v>2024-11</v>
      </c>
      <c r="I4269" s="271" t="str">
        <f>IFERROR(__xludf.DUMMYFUNCTION("""COMPUTED_VALUE"""),"鯰魚大大")</f>
        <v>鯰魚大大</v>
      </c>
      <c r="J4269" t="str">
        <f>IFERROR(__xludf.DUMMYFUNCTION("IFS(
  AND(REGEXMATCH(E4269, ""台銀籌備帳戶|玉山帳戶""), REGEXMATCH(C4269, ""薪資"")), ""分潤支出"",
  AND(REGEXMATCH(E4269, ""Ben帳戶|Elsa帳戶|Ben代墊|Ariel代墊|中信銀行共用""), REGEXMATCH(F4269, ""Ben帳戶|Elsa帳戶|Ben代墊|Ariel代墊|中信銀行共用"")), ""內部轉帳(忽略)"",
  AND(E4269&lt;&gt;"""", F4269&lt;&gt;"""", N"&amp;"OT(REGEXMATCH(C4269, ""薪資""))), ""內部轉帳(忽略)"",
  REGEXMATCH(C4269, ""薪資""), ""薪資變動(不計入)"",
  REGEXMATCH(C4269, ""押金""), ""押金往來"",
  AND(E4269&lt;&gt;"""", F4269=""""), ""真實支出"",
  AND(E4269="""", F4269&lt;&gt;""""), ""真實收入"",
  TRUE, ""其他""
)"),"真實收入")</f>
        <v>真實收入</v>
      </c>
      <c r="K4269" s="270">
        <f t="shared" si="2"/>
        <v>29200</v>
      </c>
      <c r="L4269">
        <f t="shared" si="3"/>
        <v>0</v>
      </c>
    </row>
    <row r="4270">
      <c r="A4270" s="107">
        <f>IFERROR(__xludf.DUMMYFUNCTION("""COMPUTED_VALUE"""),45597.0)</f>
        <v>45597</v>
      </c>
      <c r="B4270" t="str">
        <f>IFERROR(__xludf.DUMMYFUNCTION("""COMPUTED_VALUE"""),"士林和豐C李宛宸")</f>
        <v>士林和豐C李宛宸</v>
      </c>
      <c r="C4270" t="str">
        <f>IFERROR(__xludf.DUMMYFUNCTION("""COMPUTED_VALUE"""),"收入 - 租金")</f>
        <v>收入 - 租金</v>
      </c>
      <c r="D4270" s="270">
        <f>IFERROR(__xludf.DUMMYFUNCTION("""COMPUTED_VALUE"""),13100.0)</f>
        <v>13100</v>
      </c>
      <c r="F4270" t="str">
        <f>IFERROR(__xludf.DUMMYFUNCTION("""COMPUTED_VALUE"""),"玉山帳戶")</f>
        <v>玉山帳戶</v>
      </c>
      <c r="G4270" t="str">
        <f>IFERROR(__xludf.DUMMYFUNCTION("""COMPUTED_VALUE"""),"士林和豐")</f>
        <v>士林和豐</v>
      </c>
      <c r="H4270" s="106" t="str">
        <f t="shared" si="1"/>
        <v>2024-11</v>
      </c>
      <c r="I4270" s="271" t="str">
        <f>IFERROR(__xludf.DUMMYFUNCTION("""COMPUTED_VALUE"""),"鯰魚大大")</f>
        <v>鯰魚大大</v>
      </c>
      <c r="J4270" t="str">
        <f>IFERROR(__xludf.DUMMYFUNCTION("IFS(
  AND(REGEXMATCH(E4270, ""台銀籌備帳戶|玉山帳戶""), REGEXMATCH(C4270, ""薪資"")), ""分潤支出"",
  AND(REGEXMATCH(E4270, ""Ben帳戶|Elsa帳戶|Ben代墊|Ariel代墊|中信銀行共用""), REGEXMATCH(F4270, ""Ben帳戶|Elsa帳戶|Ben代墊|Ariel代墊|中信銀行共用"")), ""內部轉帳(忽略)"",
  AND(E4270&lt;&gt;"""", F4270&lt;&gt;"""", N"&amp;"OT(REGEXMATCH(C4270, ""薪資""))), ""內部轉帳(忽略)"",
  REGEXMATCH(C4270, ""薪資""), ""薪資變動(不計入)"",
  REGEXMATCH(C4270, ""押金""), ""押金往來"",
  AND(E4270&lt;&gt;"""", F4270=""""), ""真實支出"",
  AND(E4270="""", F4270&lt;&gt;""""), ""真實收入"",
  TRUE, ""其他""
)"),"真實收入")</f>
        <v>真實收入</v>
      </c>
      <c r="K4270" s="270">
        <f t="shared" si="2"/>
        <v>13100</v>
      </c>
      <c r="L4270">
        <f t="shared" si="3"/>
        <v>0</v>
      </c>
    </row>
    <row r="4271">
      <c r="A4271" s="107">
        <f>IFERROR(__xludf.DUMMYFUNCTION("""COMPUTED_VALUE"""),45597.0)</f>
        <v>45597</v>
      </c>
      <c r="B4271" t="str">
        <f>IFERROR(__xludf.DUMMYFUNCTION("""COMPUTED_VALUE"""),"內湖秘境B李方羽")</f>
        <v>內湖秘境B李方羽</v>
      </c>
      <c r="C4271" t="str">
        <f>IFERROR(__xludf.DUMMYFUNCTION("""COMPUTED_VALUE"""),"收入 - 租金")</f>
        <v>收入 - 租金</v>
      </c>
      <c r="D4271" s="270">
        <f>IFERROR(__xludf.DUMMYFUNCTION("""COMPUTED_VALUE"""),6400.0)</f>
        <v>6400</v>
      </c>
      <c r="F4271" t="str">
        <f>IFERROR(__xludf.DUMMYFUNCTION("""COMPUTED_VALUE"""),"玉山帳戶")</f>
        <v>玉山帳戶</v>
      </c>
      <c r="G4271" t="str">
        <f>IFERROR(__xludf.DUMMYFUNCTION("""COMPUTED_VALUE"""),"內湖秘境")</f>
        <v>內湖秘境</v>
      </c>
      <c r="H4271" s="106" t="str">
        <f t="shared" si="1"/>
        <v>2024-11</v>
      </c>
      <c r="I4271" s="271" t="str">
        <f>IFERROR(__xludf.DUMMYFUNCTION("""COMPUTED_VALUE"""),"鯰魚大大")</f>
        <v>鯰魚大大</v>
      </c>
      <c r="J4271" t="str">
        <f>IFERROR(__xludf.DUMMYFUNCTION("IFS(
  AND(REGEXMATCH(E4271, ""台銀籌備帳戶|玉山帳戶""), REGEXMATCH(C4271, ""薪資"")), ""分潤支出"",
  AND(REGEXMATCH(E4271, ""Ben帳戶|Elsa帳戶|Ben代墊|Ariel代墊|中信銀行共用""), REGEXMATCH(F4271, ""Ben帳戶|Elsa帳戶|Ben代墊|Ariel代墊|中信銀行共用"")), ""內部轉帳(忽略)"",
  AND(E4271&lt;&gt;"""", F4271&lt;&gt;"""", N"&amp;"OT(REGEXMATCH(C4271, ""薪資""))), ""內部轉帳(忽略)"",
  REGEXMATCH(C4271, ""薪資""), ""薪資變動(不計入)"",
  REGEXMATCH(C4271, ""押金""), ""押金往來"",
  AND(E4271&lt;&gt;"""", F4271=""""), ""真實支出"",
  AND(E4271="""", F4271&lt;&gt;""""), ""真實收入"",
  TRUE, ""其他""
)"),"真實收入")</f>
        <v>真實收入</v>
      </c>
      <c r="K4271" s="270">
        <f t="shared" si="2"/>
        <v>6400</v>
      </c>
      <c r="L4271">
        <f t="shared" si="3"/>
        <v>0</v>
      </c>
    </row>
    <row r="4272">
      <c r="A4272" s="107">
        <f>IFERROR(__xludf.DUMMYFUNCTION("""COMPUTED_VALUE"""),45597.0)</f>
        <v>45597</v>
      </c>
      <c r="B4272" t="str">
        <f>IFERROR(__xludf.DUMMYFUNCTION("""COMPUTED_VALUE"""),"士林和豐B郭昱慧")</f>
        <v>士林和豐B郭昱慧</v>
      </c>
      <c r="C4272" t="str">
        <f>IFERROR(__xludf.DUMMYFUNCTION("""COMPUTED_VALUE"""),"收入 - 租金")</f>
        <v>收入 - 租金</v>
      </c>
      <c r="D4272" s="270">
        <f>IFERROR(__xludf.DUMMYFUNCTION("""COMPUTED_VALUE"""),14100.0)</f>
        <v>14100</v>
      </c>
      <c r="F4272" t="str">
        <f>IFERROR(__xludf.DUMMYFUNCTION("""COMPUTED_VALUE"""),"玉山帳戶")</f>
        <v>玉山帳戶</v>
      </c>
      <c r="G4272" t="str">
        <f>IFERROR(__xludf.DUMMYFUNCTION("""COMPUTED_VALUE"""),"士林和豐")</f>
        <v>士林和豐</v>
      </c>
      <c r="H4272" s="106" t="str">
        <f t="shared" si="1"/>
        <v>2024-11</v>
      </c>
      <c r="I4272" s="271" t="str">
        <f>IFERROR(__xludf.DUMMYFUNCTION("""COMPUTED_VALUE"""),"鯰魚大大")</f>
        <v>鯰魚大大</v>
      </c>
      <c r="J4272" t="str">
        <f>IFERROR(__xludf.DUMMYFUNCTION("IFS(
  AND(REGEXMATCH(E4272, ""台銀籌備帳戶|玉山帳戶""), REGEXMATCH(C4272, ""薪資"")), ""分潤支出"",
  AND(REGEXMATCH(E4272, ""Ben帳戶|Elsa帳戶|Ben代墊|Ariel代墊|中信銀行共用""), REGEXMATCH(F4272, ""Ben帳戶|Elsa帳戶|Ben代墊|Ariel代墊|中信銀行共用"")), ""內部轉帳(忽略)"",
  AND(E4272&lt;&gt;"""", F4272&lt;&gt;"""", N"&amp;"OT(REGEXMATCH(C4272, ""薪資""))), ""內部轉帳(忽略)"",
  REGEXMATCH(C4272, ""薪資""), ""薪資變動(不計入)"",
  REGEXMATCH(C4272, ""押金""), ""押金往來"",
  AND(E4272&lt;&gt;"""", F4272=""""), ""真實支出"",
  AND(E4272="""", F4272&lt;&gt;""""), ""真實收入"",
  TRUE, ""其他""
)"),"真實收入")</f>
        <v>真實收入</v>
      </c>
      <c r="K4272" s="270">
        <f t="shared" si="2"/>
        <v>14100</v>
      </c>
      <c r="L4272">
        <f t="shared" si="3"/>
        <v>0</v>
      </c>
    </row>
    <row r="4273">
      <c r="A4273" s="107">
        <f>IFERROR(__xludf.DUMMYFUNCTION("""COMPUTED_VALUE"""),45600.0)</f>
        <v>45600</v>
      </c>
      <c r="B4273" t="str">
        <f>IFERROR(__xludf.DUMMYFUNCTION("""COMPUTED_VALUE"""),"內湖秘境A陳玟涵")</f>
        <v>內湖秘境A陳玟涵</v>
      </c>
      <c r="C4273" t="str">
        <f>IFERROR(__xludf.DUMMYFUNCTION("""COMPUTED_VALUE"""),"收入 - 租金")</f>
        <v>收入 - 租金</v>
      </c>
      <c r="D4273" s="270">
        <f>IFERROR(__xludf.DUMMYFUNCTION("""COMPUTED_VALUE"""),12000.0)</f>
        <v>12000</v>
      </c>
      <c r="F4273" t="str">
        <f>IFERROR(__xludf.DUMMYFUNCTION("""COMPUTED_VALUE"""),"玉山帳戶")</f>
        <v>玉山帳戶</v>
      </c>
      <c r="G4273" t="str">
        <f>IFERROR(__xludf.DUMMYFUNCTION("""COMPUTED_VALUE"""),"內湖秘境")</f>
        <v>內湖秘境</v>
      </c>
      <c r="H4273" s="106" t="str">
        <f t="shared" si="1"/>
        <v>2024-11</v>
      </c>
      <c r="I4273" s="271" t="str">
        <f>IFERROR(__xludf.DUMMYFUNCTION("""COMPUTED_VALUE"""),"鯰魚大大")</f>
        <v>鯰魚大大</v>
      </c>
      <c r="J4273" t="str">
        <f>IFERROR(__xludf.DUMMYFUNCTION("IFS(
  AND(REGEXMATCH(E4273, ""台銀籌備帳戶|玉山帳戶""), REGEXMATCH(C4273, ""薪資"")), ""分潤支出"",
  AND(REGEXMATCH(E4273, ""Ben帳戶|Elsa帳戶|Ben代墊|Ariel代墊|中信銀行共用""), REGEXMATCH(F4273, ""Ben帳戶|Elsa帳戶|Ben代墊|Ariel代墊|中信銀行共用"")), ""內部轉帳(忽略)"",
  AND(E4273&lt;&gt;"""", F4273&lt;&gt;"""", N"&amp;"OT(REGEXMATCH(C4273, ""薪資""))), ""內部轉帳(忽略)"",
  REGEXMATCH(C4273, ""薪資""), ""薪資變動(不計入)"",
  REGEXMATCH(C4273, ""押金""), ""押金往來"",
  AND(E4273&lt;&gt;"""", F4273=""""), ""真實支出"",
  AND(E4273="""", F4273&lt;&gt;""""), ""真實收入"",
  TRUE, ""其他""
)"),"真實收入")</f>
        <v>真實收入</v>
      </c>
      <c r="K4273" s="270">
        <f t="shared" si="2"/>
        <v>12000</v>
      </c>
      <c r="L4273">
        <f t="shared" si="3"/>
        <v>0</v>
      </c>
    </row>
    <row r="4274">
      <c r="A4274" s="107">
        <f>IFERROR(__xludf.DUMMYFUNCTION("""COMPUTED_VALUE"""),45600.0)</f>
        <v>45600</v>
      </c>
      <c r="B4274" t="str">
        <f>IFERROR(__xludf.DUMMYFUNCTION("""COMPUTED_VALUE"""),"內湖秘境F楊芯岳")</f>
        <v>內湖秘境F楊芯岳</v>
      </c>
      <c r="C4274" t="str">
        <f>IFERROR(__xludf.DUMMYFUNCTION("""COMPUTED_VALUE"""),"收入 - 租金")</f>
        <v>收入 - 租金</v>
      </c>
      <c r="D4274" s="270">
        <f>IFERROR(__xludf.DUMMYFUNCTION("""COMPUTED_VALUE"""),10000.0)</f>
        <v>10000</v>
      </c>
      <c r="F4274" t="str">
        <f>IFERROR(__xludf.DUMMYFUNCTION("""COMPUTED_VALUE"""),"玉山帳戶")</f>
        <v>玉山帳戶</v>
      </c>
      <c r="G4274" t="str">
        <f>IFERROR(__xludf.DUMMYFUNCTION("""COMPUTED_VALUE"""),"內湖秘境")</f>
        <v>內湖秘境</v>
      </c>
      <c r="H4274" s="106" t="str">
        <f t="shared" si="1"/>
        <v>2024-11</v>
      </c>
      <c r="I4274" s="271" t="str">
        <f>IFERROR(__xludf.DUMMYFUNCTION("""COMPUTED_VALUE"""),"鯰魚大大")</f>
        <v>鯰魚大大</v>
      </c>
      <c r="J4274" t="str">
        <f>IFERROR(__xludf.DUMMYFUNCTION("IFS(
  AND(REGEXMATCH(E4274, ""台銀籌備帳戶|玉山帳戶""), REGEXMATCH(C4274, ""薪資"")), ""分潤支出"",
  AND(REGEXMATCH(E4274, ""Ben帳戶|Elsa帳戶|Ben代墊|Ariel代墊|中信銀行共用""), REGEXMATCH(F4274, ""Ben帳戶|Elsa帳戶|Ben代墊|Ariel代墊|中信銀行共用"")), ""內部轉帳(忽略)"",
  AND(E4274&lt;&gt;"""", F4274&lt;&gt;"""", N"&amp;"OT(REGEXMATCH(C4274, ""薪資""))), ""內部轉帳(忽略)"",
  REGEXMATCH(C4274, ""薪資""), ""薪資變動(不計入)"",
  REGEXMATCH(C4274, ""押金""), ""押金往來"",
  AND(E4274&lt;&gt;"""", F4274=""""), ""真實支出"",
  AND(E4274="""", F4274&lt;&gt;""""), ""真實收入"",
  TRUE, ""其他""
)"),"真實收入")</f>
        <v>真實收入</v>
      </c>
      <c r="K4274" s="270">
        <f t="shared" si="2"/>
        <v>10000</v>
      </c>
      <c r="L4274">
        <f t="shared" si="3"/>
        <v>0</v>
      </c>
    </row>
    <row r="4275">
      <c r="A4275" s="107">
        <f>IFERROR(__xludf.DUMMYFUNCTION("""COMPUTED_VALUE"""),45600.0)</f>
        <v>45600</v>
      </c>
      <c r="B4275" t="str">
        <f>IFERROR(__xludf.DUMMYFUNCTION("""COMPUTED_VALUE"""),"內湖秘境F楊芯岳")</f>
        <v>內湖秘境F楊芯岳</v>
      </c>
      <c r="C4275" t="str">
        <f>IFERROR(__xludf.DUMMYFUNCTION("""COMPUTED_VALUE"""),"收入 - 租金")</f>
        <v>收入 - 租金</v>
      </c>
      <c r="D4275" s="270">
        <f>IFERROR(__xludf.DUMMYFUNCTION("""COMPUTED_VALUE"""),3500.0)</f>
        <v>3500</v>
      </c>
      <c r="F4275" t="str">
        <f>IFERROR(__xludf.DUMMYFUNCTION("""COMPUTED_VALUE"""),"玉山帳戶")</f>
        <v>玉山帳戶</v>
      </c>
      <c r="G4275" t="str">
        <f>IFERROR(__xludf.DUMMYFUNCTION("""COMPUTED_VALUE"""),"內湖秘境")</f>
        <v>內湖秘境</v>
      </c>
      <c r="H4275" s="106" t="str">
        <f t="shared" si="1"/>
        <v>2024-11</v>
      </c>
      <c r="I4275" s="271" t="str">
        <f>IFERROR(__xludf.DUMMYFUNCTION("""COMPUTED_VALUE"""),"鯰魚大大")</f>
        <v>鯰魚大大</v>
      </c>
      <c r="J4275" t="str">
        <f>IFERROR(__xludf.DUMMYFUNCTION("IFS(
  AND(REGEXMATCH(E4275, ""台銀籌備帳戶|玉山帳戶""), REGEXMATCH(C4275, ""薪資"")), ""分潤支出"",
  AND(REGEXMATCH(E4275, ""Ben帳戶|Elsa帳戶|Ben代墊|Ariel代墊|中信銀行共用""), REGEXMATCH(F4275, ""Ben帳戶|Elsa帳戶|Ben代墊|Ariel代墊|中信銀行共用"")), ""內部轉帳(忽略)"",
  AND(E4275&lt;&gt;"""", F4275&lt;&gt;"""", N"&amp;"OT(REGEXMATCH(C4275, ""薪資""))), ""內部轉帳(忽略)"",
  REGEXMATCH(C4275, ""薪資""), ""薪資變動(不計入)"",
  REGEXMATCH(C4275, ""押金""), ""押金往來"",
  AND(E4275&lt;&gt;"""", F4275=""""), ""真實支出"",
  AND(E4275="""", F4275&lt;&gt;""""), ""真實收入"",
  TRUE, ""其他""
)"),"真實收入")</f>
        <v>真實收入</v>
      </c>
      <c r="K4275" s="270">
        <f t="shared" si="2"/>
        <v>3500</v>
      </c>
      <c r="L4275">
        <f t="shared" si="3"/>
        <v>0</v>
      </c>
    </row>
    <row r="4276">
      <c r="A4276" s="107">
        <f>IFERROR(__xludf.DUMMYFUNCTION("""COMPUTED_VALUE"""),45595.0)</f>
        <v>45595</v>
      </c>
      <c r="B4276" t="str">
        <f>IFERROR(__xludf.DUMMYFUNCTION("""COMPUTED_VALUE"""),"小宜")</f>
        <v>小宜</v>
      </c>
      <c r="C4276" t="str">
        <f>IFERROR(__xludf.DUMMYFUNCTION("""COMPUTED_VALUE"""),"收入 - 租金")</f>
        <v>收入 - 租金</v>
      </c>
      <c r="D4276" s="270">
        <f>IFERROR(__xludf.DUMMYFUNCTION("""COMPUTED_VALUE"""),12500.0)</f>
        <v>12500</v>
      </c>
      <c r="F4276" t="str">
        <f>IFERROR(__xludf.DUMMYFUNCTION("""COMPUTED_VALUE"""),"中信銀行共用")</f>
        <v>中信銀行共用</v>
      </c>
      <c r="G4276" t="str">
        <f>IFERROR(__xludf.DUMMYFUNCTION("""COMPUTED_VALUE"""),"士林和豐")</f>
        <v>士林和豐</v>
      </c>
      <c r="H4276" s="106" t="str">
        <f t="shared" si="1"/>
        <v>2024-10</v>
      </c>
      <c r="I4276" s="271" t="str">
        <f>IFERROR(__xludf.DUMMYFUNCTION("""COMPUTED_VALUE"""),"鯰魚大大")</f>
        <v>鯰魚大大</v>
      </c>
      <c r="J4276" t="str">
        <f>IFERROR(__xludf.DUMMYFUNCTION("IFS(
  AND(REGEXMATCH(E4276, ""台銀籌備帳戶|玉山帳戶""), REGEXMATCH(C4276, ""薪資"")), ""分潤支出"",
  AND(REGEXMATCH(E4276, ""Ben帳戶|Elsa帳戶|Ben代墊|Ariel代墊|中信銀行共用""), REGEXMATCH(F4276, ""Ben帳戶|Elsa帳戶|Ben代墊|Ariel代墊|中信銀行共用"")), ""內部轉帳(忽略)"",
  AND(E4276&lt;&gt;"""", F4276&lt;&gt;"""", N"&amp;"OT(REGEXMATCH(C4276, ""薪資""))), ""內部轉帳(忽略)"",
  REGEXMATCH(C4276, ""薪資""), ""薪資變動(不計入)"",
  REGEXMATCH(C4276, ""押金""), ""押金往來"",
  AND(E4276&lt;&gt;"""", F4276=""""), ""真實支出"",
  AND(E4276="""", F4276&lt;&gt;""""), ""真實收入"",
  TRUE, ""其他""
)"),"真實收入")</f>
        <v>真實收入</v>
      </c>
      <c r="K4276" s="270">
        <f t="shared" si="2"/>
        <v>12500</v>
      </c>
      <c r="L4276">
        <f t="shared" si="3"/>
        <v>0</v>
      </c>
    </row>
    <row r="4277">
      <c r="A4277" s="107">
        <f>IFERROR(__xludf.DUMMYFUNCTION("""COMPUTED_VALUE"""),45604.0)</f>
        <v>45604</v>
      </c>
      <c r="B4277" t="str">
        <f>IFERROR(__xludf.DUMMYFUNCTION("""COMPUTED_VALUE"""),"夏野_淘寶集運")</f>
        <v>夏野_淘寶集運</v>
      </c>
      <c r="C4277" t="str">
        <f>IFERROR(__xludf.DUMMYFUNCTION("""COMPUTED_VALUE"""),"成本 - 進場前裝潢費")</f>
        <v>成本 - 進場前裝潢費</v>
      </c>
      <c r="D4277" s="270">
        <f>IFERROR(__xludf.DUMMYFUNCTION("""COMPUTED_VALUE"""),-14198.0)</f>
        <v>-14198</v>
      </c>
      <c r="E4277" t="str">
        <f>IFERROR(__xludf.DUMMYFUNCTION("""COMPUTED_VALUE"""),"Ariel代墊")</f>
        <v>Ariel代墊</v>
      </c>
      <c r="G4277" t="str">
        <f>IFERROR(__xludf.DUMMYFUNCTION("""COMPUTED_VALUE"""),"行天宮夏野良栗")</f>
        <v>行天宮夏野良栗</v>
      </c>
      <c r="H4277" s="106" t="str">
        <f t="shared" si="1"/>
        <v>2024-11</v>
      </c>
      <c r="I4277" s="271" t="str">
        <f>IFERROR(__xludf.DUMMYFUNCTION("""COMPUTED_VALUE"""),"鯰魚大大")</f>
        <v>鯰魚大大</v>
      </c>
      <c r="J4277" t="str">
        <f>IFERROR(__xludf.DUMMYFUNCTION("IFS(
  AND(REGEXMATCH(E4277, ""台銀籌備帳戶|玉山帳戶""), REGEXMATCH(C4277, ""薪資"")), ""分潤支出"",
  AND(REGEXMATCH(E4277, ""Ben帳戶|Elsa帳戶|Ben代墊|Ariel代墊|中信銀行共用""), REGEXMATCH(F4277, ""Ben帳戶|Elsa帳戶|Ben代墊|Ariel代墊|中信銀行共用"")), ""內部轉帳(忽略)"",
  AND(E4277&lt;&gt;"""", F4277&lt;&gt;"""", N"&amp;"OT(REGEXMATCH(C4277, ""薪資""))), ""內部轉帳(忽略)"",
  REGEXMATCH(C4277, ""薪資""), ""薪資變動(不計入)"",
  REGEXMATCH(C4277, ""押金""), ""押金往來"",
  AND(E4277&lt;&gt;"""", F4277=""""), ""真實支出"",
  AND(E4277="""", F4277&lt;&gt;""""), ""真實收入"",
  TRUE, ""其他""
)"),"真實支出")</f>
        <v>真實支出</v>
      </c>
      <c r="K4277" s="270">
        <f t="shared" si="2"/>
        <v>-14198</v>
      </c>
      <c r="L4277">
        <f t="shared" si="3"/>
        <v>0</v>
      </c>
    </row>
    <row r="4278">
      <c r="A4278" s="107">
        <f>IFERROR(__xludf.DUMMYFUNCTION("""COMPUTED_VALUE"""),45605.0)</f>
        <v>45605</v>
      </c>
      <c r="B4278" t="str">
        <f>IFERROR(__xludf.DUMMYFUNCTION("""COMPUTED_VALUE"""),"內湖清潔費 10月")</f>
        <v>內湖清潔費 10月</v>
      </c>
      <c r="C4278" t="str">
        <f>IFERROR(__xludf.DUMMYFUNCTION("""COMPUTED_VALUE"""),"成本 - 固定開銷(網路代收清潔)")</f>
        <v>成本 - 固定開銷(網路代收清潔)</v>
      </c>
      <c r="D4278" s="270">
        <f>IFERROR(__xludf.DUMMYFUNCTION("""COMPUTED_VALUE"""),-1155.0)</f>
        <v>-1155</v>
      </c>
      <c r="E4278" t="str">
        <f>IFERROR(__xludf.DUMMYFUNCTION("""COMPUTED_VALUE"""),"Ariel代墊")</f>
        <v>Ariel代墊</v>
      </c>
      <c r="G4278" t="str">
        <f>IFERROR(__xludf.DUMMYFUNCTION("""COMPUTED_VALUE"""),"內湖秘境")</f>
        <v>內湖秘境</v>
      </c>
      <c r="H4278" s="106" t="str">
        <f t="shared" si="1"/>
        <v>2024-11</v>
      </c>
      <c r="I4278" s="271" t="str">
        <f>IFERROR(__xludf.DUMMYFUNCTION("""COMPUTED_VALUE"""),"鯰魚大大")</f>
        <v>鯰魚大大</v>
      </c>
      <c r="J4278" t="str">
        <f>IFERROR(__xludf.DUMMYFUNCTION("IFS(
  AND(REGEXMATCH(E4278, ""台銀籌備帳戶|玉山帳戶""), REGEXMATCH(C4278, ""薪資"")), ""分潤支出"",
  AND(REGEXMATCH(E4278, ""Ben帳戶|Elsa帳戶|Ben代墊|Ariel代墊|中信銀行共用""), REGEXMATCH(F4278, ""Ben帳戶|Elsa帳戶|Ben代墊|Ariel代墊|中信銀行共用"")), ""內部轉帳(忽略)"",
  AND(E4278&lt;&gt;"""", F4278&lt;&gt;"""", N"&amp;"OT(REGEXMATCH(C4278, ""薪資""))), ""內部轉帳(忽略)"",
  REGEXMATCH(C4278, ""薪資""), ""薪資變動(不計入)"",
  REGEXMATCH(C4278, ""押金""), ""押金往來"",
  AND(E4278&lt;&gt;"""", F4278=""""), ""真實支出"",
  AND(E4278="""", F4278&lt;&gt;""""), ""真實收入"",
  TRUE, ""其他""
)"),"真實支出")</f>
        <v>真實支出</v>
      </c>
      <c r="K4278" s="270">
        <f t="shared" si="2"/>
        <v>-1155</v>
      </c>
      <c r="L4278">
        <f t="shared" si="3"/>
        <v>0</v>
      </c>
    </row>
    <row r="4279">
      <c r="A4279" s="107">
        <f>IFERROR(__xludf.DUMMYFUNCTION("""COMPUTED_VALUE"""),45605.0)</f>
        <v>45605</v>
      </c>
      <c r="B4279" t="str">
        <f>IFERROR(__xludf.DUMMYFUNCTION("""COMPUTED_VALUE"""),"591*2")</f>
        <v>591*2</v>
      </c>
      <c r="C4279" t="str">
        <f>IFERROR(__xludf.DUMMYFUNCTION("""COMPUTED_VALUE"""),"成本 - 仲介費")</f>
        <v>成本 - 仲介費</v>
      </c>
      <c r="D4279" s="270">
        <f>IFERROR(__xludf.DUMMYFUNCTION("""COMPUTED_VALUE"""),-2578.0)</f>
        <v>-2578</v>
      </c>
      <c r="E4279" t="str">
        <f>IFERROR(__xludf.DUMMYFUNCTION("""COMPUTED_VALUE"""),"Ben代墊")</f>
        <v>Ben代墊</v>
      </c>
      <c r="G4279" t="str">
        <f>IFERROR(__xludf.DUMMYFUNCTION("""COMPUTED_VALUE"""),"行天宮夏野良栗")</f>
        <v>行天宮夏野良栗</v>
      </c>
      <c r="H4279" s="106" t="str">
        <f t="shared" si="1"/>
        <v>2024-11</v>
      </c>
      <c r="I4279" s="271" t="str">
        <f>IFERROR(__xludf.DUMMYFUNCTION("""COMPUTED_VALUE"""),"鯰魚大大")</f>
        <v>鯰魚大大</v>
      </c>
      <c r="J4279" t="str">
        <f>IFERROR(__xludf.DUMMYFUNCTION("IFS(
  AND(REGEXMATCH(E4279, ""台銀籌備帳戶|玉山帳戶""), REGEXMATCH(C4279, ""薪資"")), ""分潤支出"",
  AND(REGEXMATCH(E4279, ""Ben帳戶|Elsa帳戶|Ben代墊|Ariel代墊|中信銀行共用""), REGEXMATCH(F4279, ""Ben帳戶|Elsa帳戶|Ben代墊|Ariel代墊|中信銀行共用"")), ""內部轉帳(忽略)"",
  AND(E4279&lt;&gt;"""", F4279&lt;&gt;"""", N"&amp;"OT(REGEXMATCH(C4279, ""薪資""))), ""內部轉帳(忽略)"",
  REGEXMATCH(C4279, ""薪資""), ""薪資變動(不計入)"",
  REGEXMATCH(C4279, ""押金""), ""押金往來"",
  AND(E4279&lt;&gt;"""", F4279=""""), ""真實支出"",
  AND(E4279="""", F4279&lt;&gt;""""), ""真實收入"",
  TRUE, ""其他""
)"),"真實支出")</f>
        <v>真實支出</v>
      </c>
      <c r="K4279" s="270">
        <f t="shared" si="2"/>
        <v>-2578</v>
      </c>
      <c r="L4279">
        <f t="shared" si="3"/>
        <v>0</v>
      </c>
    </row>
    <row r="4280">
      <c r="A4280" s="107">
        <f>IFERROR(__xludf.DUMMYFUNCTION("""COMPUTED_VALUE"""),45615.0)</f>
        <v>45615</v>
      </c>
      <c r="B4280" t="str">
        <f>IFERROR(__xludf.DUMMYFUNCTION("""COMPUTED_VALUE"""),"網路")</f>
        <v>網路</v>
      </c>
      <c r="C4280" t="str">
        <f>IFERROR(__xludf.DUMMYFUNCTION("""COMPUTED_VALUE"""),"成本 - 固定開銷(網路代收清潔)")</f>
        <v>成本 - 固定開銷(網路代收清潔)</v>
      </c>
      <c r="D4280" s="270">
        <f>IFERROR(__xludf.DUMMYFUNCTION("""COMPUTED_VALUE"""),-2697.0)</f>
        <v>-2697</v>
      </c>
      <c r="E4280" t="str">
        <f>IFERROR(__xludf.DUMMYFUNCTION("""COMPUTED_VALUE"""),"Ben代墊")</f>
        <v>Ben代墊</v>
      </c>
      <c r="G4280" t="str">
        <f>IFERROR(__xludf.DUMMYFUNCTION("""COMPUTED_VALUE"""),"內湖秘境")</f>
        <v>內湖秘境</v>
      </c>
      <c r="H4280" s="106" t="str">
        <f t="shared" si="1"/>
        <v>2024-11</v>
      </c>
      <c r="I4280" s="271" t="str">
        <f>IFERROR(__xludf.DUMMYFUNCTION("""COMPUTED_VALUE"""),"鯰魚大大")</f>
        <v>鯰魚大大</v>
      </c>
      <c r="J4280" t="str">
        <f>IFERROR(__xludf.DUMMYFUNCTION("IFS(
  AND(REGEXMATCH(E4280, ""台銀籌備帳戶|玉山帳戶""), REGEXMATCH(C4280, ""薪資"")), ""分潤支出"",
  AND(REGEXMATCH(E4280, ""Ben帳戶|Elsa帳戶|Ben代墊|Ariel代墊|中信銀行共用""), REGEXMATCH(F4280, ""Ben帳戶|Elsa帳戶|Ben代墊|Ariel代墊|中信銀行共用"")), ""內部轉帳(忽略)"",
  AND(E4280&lt;&gt;"""", F4280&lt;&gt;"""", N"&amp;"OT(REGEXMATCH(C4280, ""薪資""))), ""內部轉帳(忽略)"",
  REGEXMATCH(C4280, ""薪資""), ""薪資變動(不計入)"",
  REGEXMATCH(C4280, ""押金""), ""押金往來"",
  AND(E4280&lt;&gt;"""", F4280=""""), ""真實支出"",
  AND(E4280="""", F4280&lt;&gt;""""), ""真實收入"",
  TRUE, ""其他""
)"),"真實支出")</f>
        <v>真實支出</v>
      </c>
      <c r="K4280" s="270">
        <f t="shared" si="2"/>
        <v>-2697</v>
      </c>
      <c r="L4280">
        <f t="shared" si="3"/>
        <v>0</v>
      </c>
    </row>
    <row r="4281">
      <c r="A4281" s="107">
        <f>IFERROR(__xludf.DUMMYFUNCTION("""COMPUTED_VALUE"""),45603.0)</f>
        <v>45603</v>
      </c>
      <c r="B4281" t="str">
        <f>IFERROR(__xludf.DUMMYFUNCTION("""COMPUTED_VALUE"""),"夏野油漆")</f>
        <v>夏野油漆</v>
      </c>
      <c r="C4281" t="str">
        <f>IFERROR(__xludf.DUMMYFUNCTION("""COMPUTED_VALUE"""),"成本 - 進場前裝潢費")</f>
        <v>成本 - 進場前裝潢費</v>
      </c>
      <c r="D4281" s="270">
        <f>IFERROR(__xludf.DUMMYFUNCTION("""COMPUTED_VALUE"""),-36000.0)</f>
        <v>-36000</v>
      </c>
      <c r="E4281" t="str">
        <f>IFERROR(__xludf.DUMMYFUNCTION("""COMPUTED_VALUE"""),"玉山帳戶")</f>
        <v>玉山帳戶</v>
      </c>
      <c r="G4281" t="str">
        <f>IFERROR(__xludf.DUMMYFUNCTION("""COMPUTED_VALUE"""),"行天宮夏野良栗")</f>
        <v>行天宮夏野良栗</v>
      </c>
      <c r="H4281" s="106" t="str">
        <f t="shared" si="1"/>
        <v>2024-11</v>
      </c>
      <c r="I4281" s="271" t="str">
        <f>IFERROR(__xludf.DUMMYFUNCTION("""COMPUTED_VALUE"""),"鯰魚大大")</f>
        <v>鯰魚大大</v>
      </c>
      <c r="J4281" t="str">
        <f>IFERROR(__xludf.DUMMYFUNCTION("IFS(
  AND(REGEXMATCH(E4281, ""台銀籌備帳戶|玉山帳戶""), REGEXMATCH(C4281, ""薪資"")), ""分潤支出"",
  AND(REGEXMATCH(E4281, ""Ben帳戶|Elsa帳戶|Ben代墊|Ariel代墊|中信銀行共用""), REGEXMATCH(F4281, ""Ben帳戶|Elsa帳戶|Ben代墊|Ariel代墊|中信銀行共用"")), ""內部轉帳(忽略)"",
  AND(E4281&lt;&gt;"""", F4281&lt;&gt;"""", N"&amp;"OT(REGEXMATCH(C4281, ""薪資""))), ""內部轉帳(忽略)"",
  REGEXMATCH(C4281, ""薪資""), ""薪資變動(不計入)"",
  REGEXMATCH(C4281, ""押金""), ""押金往來"",
  AND(E4281&lt;&gt;"""", F4281=""""), ""真實支出"",
  AND(E4281="""", F4281&lt;&gt;""""), ""真實收入"",
  TRUE, ""其他""
)"),"真實支出")</f>
        <v>真實支出</v>
      </c>
      <c r="K4281" s="270">
        <f t="shared" si="2"/>
        <v>-36000</v>
      </c>
      <c r="L4281">
        <f t="shared" si="3"/>
        <v>0</v>
      </c>
    </row>
    <row r="4282">
      <c r="A4282" s="107">
        <f>IFERROR(__xludf.DUMMYFUNCTION("""COMPUTED_VALUE"""),45603.0)</f>
        <v>45603</v>
      </c>
      <c r="B4282" t="str">
        <f>IFERROR(__xludf.DUMMYFUNCTION("""COMPUTED_VALUE"""),"夏野油漆")</f>
        <v>夏野油漆</v>
      </c>
      <c r="C4282" t="str">
        <f>IFERROR(__xludf.DUMMYFUNCTION("""COMPUTED_VALUE"""),"成本 - 進場前裝潢費")</f>
        <v>成本 - 進場前裝潢費</v>
      </c>
      <c r="D4282" s="270">
        <f>IFERROR(__xludf.DUMMYFUNCTION("""COMPUTED_VALUE"""),-2850.0)</f>
        <v>-2850</v>
      </c>
      <c r="E4282" t="str">
        <f>IFERROR(__xludf.DUMMYFUNCTION("""COMPUTED_VALUE"""),"玉山帳戶")</f>
        <v>玉山帳戶</v>
      </c>
      <c r="G4282" t="str">
        <f>IFERROR(__xludf.DUMMYFUNCTION("""COMPUTED_VALUE"""),"行天宮夏野良栗")</f>
        <v>行天宮夏野良栗</v>
      </c>
      <c r="H4282" s="106" t="str">
        <f t="shared" si="1"/>
        <v>2024-11</v>
      </c>
      <c r="I4282" s="271" t="str">
        <f>IFERROR(__xludf.DUMMYFUNCTION("""COMPUTED_VALUE"""),"鯰魚大大")</f>
        <v>鯰魚大大</v>
      </c>
      <c r="J4282" t="str">
        <f>IFERROR(__xludf.DUMMYFUNCTION("IFS(
  AND(REGEXMATCH(E4282, ""台銀籌備帳戶|玉山帳戶""), REGEXMATCH(C4282, ""薪資"")), ""分潤支出"",
  AND(REGEXMATCH(E4282, ""Ben帳戶|Elsa帳戶|Ben代墊|Ariel代墊|中信銀行共用""), REGEXMATCH(F4282, ""Ben帳戶|Elsa帳戶|Ben代墊|Ariel代墊|中信銀行共用"")), ""內部轉帳(忽略)"",
  AND(E4282&lt;&gt;"""", F4282&lt;&gt;"""", N"&amp;"OT(REGEXMATCH(C4282, ""薪資""))), ""內部轉帳(忽略)"",
  REGEXMATCH(C4282, ""薪資""), ""薪資變動(不計入)"",
  REGEXMATCH(C4282, ""押金""), ""押金往來"",
  AND(E4282&lt;&gt;"""", F4282=""""), ""真實支出"",
  AND(E4282="""", F4282&lt;&gt;""""), ""真實收入"",
  TRUE, ""其他""
)"),"真實支出")</f>
        <v>真實支出</v>
      </c>
      <c r="K4282" s="270">
        <f t="shared" si="2"/>
        <v>-2850</v>
      </c>
      <c r="L4282">
        <f t="shared" si="3"/>
        <v>0</v>
      </c>
    </row>
    <row r="4283">
      <c r="A4283" s="107">
        <f>IFERROR(__xludf.DUMMYFUNCTION("""COMPUTED_VALUE"""),45607.0)</f>
        <v>45607</v>
      </c>
      <c r="B4283" t="str">
        <f>IFERROR(__xludf.DUMMYFUNCTION("""COMPUTED_VALUE"""),"行天宮隔間窗")</f>
        <v>行天宮隔間窗</v>
      </c>
      <c r="C4283" t="str">
        <f>IFERROR(__xludf.DUMMYFUNCTION("""COMPUTED_VALUE"""),"成本 - 進場前裝潢費")</f>
        <v>成本 - 進場前裝潢費</v>
      </c>
      <c r="D4283" s="270">
        <f>IFERROR(__xludf.DUMMYFUNCTION("""COMPUTED_VALUE"""),-9450.0)</f>
        <v>-9450</v>
      </c>
      <c r="E4283" t="str">
        <f>IFERROR(__xludf.DUMMYFUNCTION("""COMPUTED_VALUE"""),"玉山帳戶")</f>
        <v>玉山帳戶</v>
      </c>
      <c r="G4283" t="str">
        <f>IFERROR(__xludf.DUMMYFUNCTION("""COMPUTED_VALUE"""),"行天宮夏野良栗")</f>
        <v>行天宮夏野良栗</v>
      </c>
      <c r="H4283" s="106" t="str">
        <f t="shared" si="1"/>
        <v>2024-11</v>
      </c>
      <c r="I4283" s="271" t="str">
        <f>IFERROR(__xludf.DUMMYFUNCTION("""COMPUTED_VALUE"""),"鯰魚大大")</f>
        <v>鯰魚大大</v>
      </c>
      <c r="J4283" t="str">
        <f>IFERROR(__xludf.DUMMYFUNCTION("IFS(
  AND(REGEXMATCH(E4283, ""台銀籌備帳戶|玉山帳戶""), REGEXMATCH(C4283, ""薪資"")), ""分潤支出"",
  AND(REGEXMATCH(E4283, ""Ben帳戶|Elsa帳戶|Ben代墊|Ariel代墊|中信銀行共用""), REGEXMATCH(F4283, ""Ben帳戶|Elsa帳戶|Ben代墊|Ariel代墊|中信銀行共用"")), ""內部轉帳(忽略)"",
  AND(E4283&lt;&gt;"""", F4283&lt;&gt;"""", N"&amp;"OT(REGEXMATCH(C4283, ""薪資""))), ""內部轉帳(忽略)"",
  REGEXMATCH(C4283, ""薪資""), ""薪資變動(不計入)"",
  REGEXMATCH(C4283, ""押金""), ""押金往來"",
  AND(E4283&lt;&gt;"""", F4283=""""), ""真實支出"",
  AND(E4283="""", F4283&lt;&gt;""""), ""真實收入"",
  TRUE, ""其他""
)"),"真實支出")</f>
        <v>真實支出</v>
      </c>
      <c r="K4283" s="270">
        <f t="shared" si="2"/>
        <v>-9450</v>
      </c>
      <c r="L4283">
        <f t="shared" si="3"/>
        <v>0</v>
      </c>
    </row>
    <row r="4284">
      <c r="A4284" s="107">
        <f>IFERROR(__xludf.DUMMYFUNCTION("""COMPUTED_VALUE"""),45607.0)</f>
        <v>45607</v>
      </c>
      <c r="B4284" t="str">
        <f>IFERROR(__xludf.DUMMYFUNCTION("""COMPUTED_VALUE"""),"夏野A 首租")</f>
        <v>夏野A 首租</v>
      </c>
      <c r="C4284" t="str">
        <f>IFERROR(__xludf.DUMMYFUNCTION("""COMPUTED_VALUE"""),"收入 - 租金")</f>
        <v>收入 - 租金</v>
      </c>
      <c r="D4284" s="270">
        <f>IFERROR(__xludf.DUMMYFUNCTION("""COMPUTED_VALUE"""),7100.0)</f>
        <v>7100</v>
      </c>
      <c r="F4284" t="str">
        <f>IFERROR(__xludf.DUMMYFUNCTION("""COMPUTED_VALUE"""),"玉山帳戶")</f>
        <v>玉山帳戶</v>
      </c>
      <c r="G4284" t="str">
        <f>IFERROR(__xludf.DUMMYFUNCTION("""COMPUTED_VALUE"""),"行天宮夏野良栗")</f>
        <v>行天宮夏野良栗</v>
      </c>
      <c r="H4284" s="106" t="str">
        <f t="shared" si="1"/>
        <v>2024-11</v>
      </c>
      <c r="I4284" s="271" t="str">
        <f>IFERROR(__xludf.DUMMYFUNCTION("""COMPUTED_VALUE"""),"鯰魚大大")</f>
        <v>鯰魚大大</v>
      </c>
      <c r="J4284" t="str">
        <f>IFERROR(__xludf.DUMMYFUNCTION("IFS(
  AND(REGEXMATCH(E4284, ""台銀籌備帳戶|玉山帳戶""), REGEXMATCH(C4284, ""薪資"")), ""分潤支出"",
  AND(REGEXMATCH(E4284, ""Ben帳戶|Elsa帳戶|Ben代墊|Ariel代墊|中信銀行共用""), REGEXMATCH(F4284, ""Ben帳戶|Elsa帳戶|Ben代墊|Ariel代墊|中信銀行共用"")), ""內部轉帳(忽略)"",
  AND(E4284&lt;&gt;"""", F4284&lt;&gt;"""", N"&amp;"OT(REGEXMATCH(C4284, ""薪資""))), ""內部轉帳(忽略)"",
  REGEXMATCH(C4284, ""薪資""), ""薪資變動(不計入)"",
  REGEXMATCH(C4284, ""押金""), ""押金往來"",
  AND(E4284&lt;&gt;"""", F4284=""""), ""真實支出"",
  AND(E4284="""", F4284&lt;&gt;""""), ""真實收入"",
  TRUE, ""其他""
)"),"真實收入")</f>
        <v>真實收入</v>
      </c>
      <c r="K4284" s="270">
        <f t="shared" si="2"/>
        <v>7100</v>
      </c>
      <c r="L4284">
        <f t="shared" si="3"/>
        <v>0</v>
      </c>
    </row>
    <row r="4285">
      <c r="A4285" s="107">
        <f>IFERROR(__xludf.DUMMYFUNCTION("""COMPUTED_VALUE"""),45608.0)</f>
        <v>45608</v>
      </c>
      <c r="B4285" t="str">
        <f>IFERROR(__xludf.DUMMYFUNCTION("""COMPUTED_VALUE"""),"行天宮夏野良栗A鄒欣穎")</f>
        <v>行天宮夏野良栗A鄒欣穎</v>
      </c>
      <c r="C4285" t="str">
        <f>IFERROR(__xludf.DUMMYFUNCTION("""COMPUTED_VALUE"""),"收入 - 押金")</f>
        <v>收入 - 押金</v>
      </c>
      <c r="D4285" s="270">
        <f>IFERROR(__xludf.DUMMYFUNCTION("""COMPUTED_VALUE"""),28400.0)</f>
        <v>28400</v>
      </c>
      <c r="F4285" t="str">
        <f>IFERROR(__xludf.DUMMYFUNCTION("""COMPUTED_VALUE"""),"玉山帳戶")</f>
        <v>玉山帳戶</v>
      </c>
      <c r="G4285" t="str">
        <f>IFERROR(__xludf.DUMMYFUNCTION("""COMPUTED_VALUE"""),"行天宮夏野良栗")</f>
        <v>行天宮夏野良栗</v>
      </c>
      <c r="H4285" s="106" t="str">
        <f t="shared" si="1"/>
        <v>2024-11</v>
      </c>
      <c r="I4285" s="271" t="str">
        <f>IFERROR(__xludf.DUMMYFUNCTION("""COMPUTED_VALUE"""),"鯰魚大大")</f>
        <v>鯰魚大大</v>
      </c>
      <c r="J4285" t="str">
        <f>IFERROR(__xludf.DUMMYFUNCTION("IFS(
  AND(REGEXMATCH(E4285, ""台銀籌備帳戶|玉山帳戶""), REGEXMATCH(C4285, ""薪資"")), ""分潤支出"",
  AND(REGEXMATCH(E4285, ""Ben帳戶|Elsa帳戶|Ben代墊|Ariel代墊|中信銀行共用""), REGEXMATCH(F4285, ""Ben帳戶|Elsa帳戶|Ben代墊|Ariel代墊|中信銀行共用"")), ""內部轉帳(忽略)"",
  AND(E4285&lt;&gt;"""", F4285&lt;&gt;"""", N"&amp;"OT(REGEXMATCH(C4285, ""薪資""))), ""內部轉帳(忽略)"",
  REGEXMATCH(C4285, ""薪資""), ""薪資變動(不計入)"",
  REGEXMATCH(C4285, ""押金""), ""押金往來"",
  AND(E4285&lt;&gt;"""", F4285=""""), ""真實支出"",
  AND(E4285="""", F4285&lt;&gt;""""), ""真實收入"",
  TRUE, ""其他""
)"),"押金往來")</f>
        <v>押金往來</v>
      </c>
      <c r="K4285">
        <f t="shared" si="2"/>
        <v>0</v>
      </c>
      <c r="L4285">
        <f t="shared" si="3"/>
        <v>0</v>
      </c>
    </row>
    <row r="4286">
      <c r="A4286" s="107">
        <f>IFERROR(__xludf.DUMMYFUNCTION("""COMPUTED_VALUE"""),45610.0)</f>
        <v>45610</v>
      </c>
      <c r="B4286" t="str">
        <f>IFERROR(__xludf.DUMMYFUNCTION("""COMPUTED_VALUE"""),"夏野櫥櫃")</f>
        <v>夏野櫥櫃</v>
      </c>
      <c r="C4286" t="str">
        <f>IFERROR(__xludf.DUMMYFUNCTION("""COMPUTED_VALUE"""),"成本 - 進場前裝潢費")</f>
        <v>成本 - 進場前裝潢費</v>
      </c>
      <c r="D4286" s="270">
        <f>IFERROR(__xludf.DUMMYFUNCTION("""COMPUTED_VALUE"""),-11880.0)</f>
        <v>-11880</v>
      </c>
      <c r="E4286" t="str">
        <f>IFERROR(__xludf.DUMMYFUNCTION("""COMPUTED_VALUE"""),"玉山帳戶")</f>
        <v>玉山帳戶</v>
      </c>
      <c r="G4286" t="str">
        <f>IFERROR(__xludf.DUMMYFUNCTION("""COMPUTED_VALUE"""),"行天宮夏野良栗")</f>
        <v>行天宮夏野良栗</v>
      </c>
      <c r="H4286" s="106" t="str">
        <f t="shared" si="1"/>
        <v>2024-11</v>
      </c>
      <c r="I4286" s="271" t="str">
        <f>IFERROR(__xludf.DUMMYFUNCTION("""COMPUTED_VALUE"""),"鯰魚大大")</f>
        <v>鯰魚大大</v>
      </c>
      <c r="J4286" t="str">
        <f>IFERROR(__xludf.DUMMYFUNCTION("IFS(
  AND(REGEXMATCH(E4286, ""台銀籌備帳戶|玉山帳戶""), REGEXMATCH(C4286, ""薪資"")), ""分潤支出"",
  AND(REGEXMATCH(E4286, ""Ben帳戶|Elsa帳戶|Ben代墊|Ariel代墊|中信銀行共用""), REGEXMATCH(F4286, ""Ben帳戶|Elsa帳戶|Ben代墊|Ariel代墊|中信銀行共用"")), ""內部轉帳(忽略)"",
  AND(E4286&lt;&gt;"""", F4286&lt;&gt;"""", N"&amp;"OT(REGEXMATCH(C4286, ""薪資""))), ""內部轉帳(忽略)"",
  REGEXMATCH(C4286, ""薪資""), ""薪資變動(不計入)"",
  REGEXMATCH(C4286, ""押金""), ""押金往來"",
  AND(E4286&lt;&gt;"""", F4286=""""), ""真實支出"",
  AND(E4286="""", F4286&lt;&gt;""""), ""真實收入"",
  TRUE, ""其他""
)"),"真實支出")</f>
        <v>真實支出</v>
      </c>
      <c r="K4286" s="270">
        <f t="shared" si="2"/>
        <v>-11880</v>
      </c>
      <c r="L4286">
        <f t="shared" si="3"/>
        <v>0</v>
      </c>
    </row>
    <row r="4287">
      <c r="A4287" s="107">
        <f>IFERROR(__xludf.DUMMYFUNCTION("""COMPUTED_VALUE"""),45610.0)</f>
        <v>45610</v>
      </c>
      <c r="B4287" t="str">
        <f>IFERROR(__xludf.DUMMYFUNCTION("""COMPUTED_VALUE"""),"行天宮夏野良栗B楊珺媁")</f>
        <v>行天宮夏野良栗B楊珺媁</v>
      </c>
      <c r="C4287" t="str">
        <f>IFERROR(__xludf.DUMMYFUNCTION("""COMPUTED_VALUE"""),"收入 - 租金")</f>
        <v>收入 - 租金</v>
      </c>
      <c r="D4287" s="270">
        <f>IFERROR(__xludf.DUMMYFUNCTION("""COMPUTED_VALUE"""),6533.0)</f>
        <v>6533</v>
      </c>
      <c r="F4287" t="str">
        <f>IFERROR(__xludf.DUMMYFUNCTION("""COMPUTED_VALUE"""),"玉山帳戶")</f>
        <v>玉山帳戶</v>
      </c>
      <c r="G4287" t="str">
        <f>IFERROR(__xludf.DUMMYFUNCTION("""COMPUTED_VALUE"""),"行天宮夏野良栗")</f>
        <v>行天宮夏野良栗</v>
      </c>
      <c r="H4287" s="106" t="str">
        <f t="shared" si="1"/>
        <v>2024-11</v>
      </c>
      <c r="I4287" s="271" t="str">
        <f>IFERROR(__xludf.DUMMYFUNCTION("""COMPUTED_VALUE"""),"鯰魚大大")</f>
        <v>鯰魚大大</v>
      </c>
      <c r="J4287" t="str">
        <f>IFERROR(__xludf.DUMMYFUNCTION("IFS(
  AND(REGEXMATCH(E4287, ""台銀籌備帳戶|玉山帳戶""), REGEXMATCH(C4287, ""薪資"")), ""分潤支出"",
  AND(REGEXMATCH(E4287, ""Ben帳戶|Elsa帳戶|Ben代墊|Ariel代墊|中信銀行共用""), REGEXMATCH(F4287, ""Ben帳戶|Elsa帳戶|Ben代墊|Ariel代墊|中信銀行共用"")), ""內部轉帳(忽略)"",
  AND(E4287&lt;&gt;"""", F4287&lt;&gt;"""", N"&amp;"OT(REGEXMATCH(C4287, ""薪資""))), ""內部轉帳(忽略)"",
  REGEXMATCH(C4287, ""薪資""), ""薪資變動(不計入)"",
  REGEXMATCH(C4287, ""押金""), ""押金往來"",
  AND(E4287&lt;&gt;"""", F4287=""""), ""真實支出"",
  AND(E4287="""", F4287&lt;&gt;""""), ""真實收入"",
  TRUE, ""其他""
)"),"真實收入")</f>
        <v>真實收入</v>
      </c>
      <c r="K4287" s="270">
        <f t="shared" si="2"/>
        <v>6533</v>
      </c>
      <c r="L4287">
        <f t="shared" si="3"/>
        <v>0</v>
      </c>
    </row>
    <row r="4288">
      <c r="A4288" s="107">
        <f>IFERROR(__xludf.DUMMYFUNCTION("""COMPUTED_VALUE"""),45610.0)</f>
        <v>45610</v>
      </c>
      <c r="B4288" t="str">
        <f>IFERROR(__xludf.DUMMYFUNCTION("""COMPUTED_VALUE"""),"行天宮夏野良栗C黃伊妍")</f>
        <v>行天宮夏野良栗C黃伊妍</v>
      </c>
      <c r="C4288" t="str">
        <f>IFERROR(__xludf.DUMMYFUNCTION("""COMPUTED_VALUE"""),"收入 - 押金")</f>
        <v>收入 - 押金</v>
      </c>
      <c r="D4288" s="270">
        <f>IFERROR(__xludf.DUMMYFUNCTION("""COMPUTED_VALUE"""),11000.0)</f>
        <v>11000</v>
      </c>
      <c r="F4288" t="str">
        <f>IFERROR(__xludf.DUMMYFUNCTION("""COMPUTED_VALUE"""),"玉山帳戶")</f>
        <v>玉山帳戶</v>
      </c>
      <c r="G4288" t="str">
        <f>IFERROR(__xludf.DUMMYFUNCTION("""COMPUTED_VALUE"""),"行天宮夏野良栗")</f>
        <v>行天宮夏野良栗</v>
      </c>
      <c r="H4288" s="106" t="str">
        <f t="shared" si="1"/>
        <v>2024-11</v>
      </c>
      <c r="I4288" s="271" t="str">
        <f>IFERROR(__xludf.DUMMYFUNCTION("""COMPUTED_VALUE"""),"鯰魚大大")</f>
        <v>鯰魚大大</v>
      </c>
      <c r="J4288" t="str">
        <f>IFERROR(__xludf.DUMMYFUNCTION("IFS(
  AND(REGEXMATCH(E4288, ""台銀籌備帳戶|玉山帳戶""), REGEXMATCH(C4288, ""薪資"")), ""分潤支出"",
  AND(REGEXMATCH(E4288, ""Ben帳戶|Elsa帳戶|Ben代墊|Ariel代墊|中信銀行共用""), REGEXMATCH(F4288, ""Ben帳戶|Elsa帳戶|Ben代墊|Ariel代墊|中信銀行共用"")), ""內部轉帳(忽略)"",
  AND(E4288&lt;&gt;"""", F4288&lt;&gt;"""", N"&amp;"OT(REGEXMATCH(C4288, ""薪資""))), ""內部轉帳(忽略)"",
  REGEXMATCH(C4288, ""薪資""), ""薪資變動(不計入)"",
  REGEXMATCH(C4288, ""押金""), ""押金往來"",
  AND(E4288&lt;&gt;"""", F4288=""""), ""真實支出"",
  AND(E4288="""", F4288&lt;&gt;""""), ""真實收入"",
  TRUE, ""其他""
)"),"押金往來")</f>
        <v>押金往來</v>
      </c>
      <c r="K4288">
        <f t="shared" si="2"/>
        <v>0</v>
      </c>
      <c r="L4288">
        <f t="shared" si="3"/>
        <v>0</v>
      </c>
    </row>
    <row r="4289">
      <c r="A4289" s="107">
        <f>IFERROR(__xludf.DUMMYFUNCTION("""COMPUTED_VALUE"""),45611.0)</f>
        <v>45611</v>
      </c>
      <c r="B4289" t="str">
        <f>IFERROR(__xludf.DUMMYFUNCTION("""COMPUTED_VALUE"""),"和豐大房租")</f>
        <v>和豐大房租</v>
      </c>
      <c r="C4289" t="str">
        <f>IFERROR(__xludf.DUMMYFUNCTION("""COMPUTED_VALUE"""),"成本 - 大租金")</f>
        <v>成本 - 大租金</v>
      </c>
      <c r="D4289" s="270">
        <f>IFERROR(__xludf.DUMMYFUNCTION("""COMPUTED_VALUE"""),-14415.0)</f>
        <v>-14415</v>
      </c>
      <c r="E4289" t="str">
        <f>IFERROR(__xludf.DUMMYFUNCTION("""COMPUTED_VALUE"""),"玉山帳戶")</f>
        <v>玉山帳戶</v>
      </c>
      <c r="G4289" t="str">
        <f>IFERROR(__xludf.DUMMYFUNCTION("""COMPUTED_VALUE"""),"士林和豐")</f>
        <v>士林和豐</v>
      </c>
      <c r="H4289" s="106" t="str">
        <f t="shared" si="1"/>
        <v>2024-11</v>
      </c>
      <c r="I4289" s="271" t="str">
        <f>IFERROR(__xludf.DUMMYFUNCTION("""COMPUTED_VALUE"""),"鯰魚大大")</f>
        <v>鯰魚大大</v>
      </c>
      <c r="J4289" t="str">
        <f>IFERROR(__xludf.DUMMYFUNCTION("IFS(
  AND(REGEXMATCH(E4289, ""台銀籌備帳戶|玉山帳戶""), REGEXMATCH(C4289, ""薪資"")), ""分潤支出"",
  AND(REGEXMATCH(E4289, ""Ben帳戶|Elsa帳戶|Ben代墊|Ariel代墊|中信銀行共用""), REGEXMATCH(F4289, ""Ben帳戶|Elsa帳戶|Ben代墊|Ariel代墊|中信銀行共用"")), ""內部轉帳(忽略)"",
  AND(E4289&lt;&gt;"""", F4289&lt;&gt;"""", N"&amp;"OT(REGEXMATCH(C4289, ""薪資""))), ""內部轉帳(忽略)"",
  REGEXMATCH(C4289, ""薪資""), ""薪資變動(不計入)"",
  REGEXMATCH(C4289, ""押金""), ""押金往來"",
  AND(E4289&lt;&gt;"""", F4289=""""), ""真實支出"",
  AND(E4289="""", F4289&lt;&gt;""""), ""真實收入"",
  TRUE, ""其他""
)"),"真實支出")</f>
        <v>真實支出</v>
      </c>
      <c r="K4289" s="270">
        <f t="shared" si="2"/>
        <v>-14415</v>
      </c>
      <c r="L4289">
        <f t="shared" si="3"/>
        <v>0</v>
      </c>
    </row>
    <row r="4290">
      <c r="A4290" s="107">
        <f>IFERROR(__xludf.DUMMYFUNCTION("""COMPUTED_VALUE"""),45614.0)</f>
        <v>45614</v>
      </c>
      <c r="B4290" t="str">
        <f>IFERROR(__xludf.DUMMYFUNCTION("""COMPUTED_VALUE"""),"行天宮夏野良栗B楊珺媁")</f>
        <v>行天宮夏野良栗B楊珺媁</v>
      </c>
      <c r="C4290" t="str">
        <f>IFERROR(__xludf.DUMMYFUNCTION("""COMPUTED_VALUE"""),"收入 - 押金")</f>
        <v>收入 - 押金</v>
      </c>
      <c r="D4290" s="270">
        <f>IFERROR(__xludf.DUMMYFUNCTION("""COMPUTED_VALUE"""),28000.0)</f>
        <v>28000</v>
      </c>
      <c r="F4290" t="str">
        <f>IFERROR(__xludf.DUMMYFUNCTION("""COMPUTED_VALUE"""),"玉山帳戶")</f>
        <v>玉山帳戶</v>
      </c>
      <c r="G4290" t="str">
        <f>IFERROR(__xludf.DUMMYFUNCTION("""COMPUTED_VALUE"""),"行天宮夏野良栗")</f>
        <v>行天宮夏野良栗</v>
      </c>
      <c r="H4290" s="106" t="str">
        <f t="shared" si="1"/>
        <v>2024-11</v>
      </c>
      <c r="I4290" s="271" t="str">
        <f>IFERROR(__xludf.DUMMYFUNCTION("""COMPUTED_VALUE"""),"鯰魚大大")</f>
        <v>鯰魚大大</v>
      </c>
      <c r="J4290" t="str">
        <f>IFERROR(__xludf.DUMMYFUNCTION("IFS(
  AND(REGEXMATCH(E4290, ""台銀籌備帳戶|玉山帳戶""), REGEXMATCH(C4290, ""薪資"")), ""分潤支出"",
  AND(REGEXMATCH(E4290, ""Ben帳戶|Elsa帳戶|Ben代墊|Ariel代墊|中信銀行共用""), REGEXMATCH(F4290, ""Ben帳戶|Elsa帳戶|Ben代墊|Ariel代墊|中信銀行共用"")), ""內部轉帳(忽略)"",
  AND(E4290&lt;&gt;"""", F4290&lt;&gt;"""", N"&amp;"OT(REGEXMATCH(C4290, ""薪資""))), ""內部轉帳(忽略)"",
  REGEXMATCH(C4290, ""薪資""), ""薪資變動(不計入)"",
  REGEXMATCH(C4290, ""押金""), ""押金往來"",
  AND(E4290&lt;&gt;"""", F4290=""""), ""真實支出"",
  AND(E4290="""", F4290&lt;&gt;""""), ""真實收入"",
  TRUE, ""其他""
)"),"押金往來")</f>
        <v>押金往來</v>
      </c>
      <c r="K4290">
        <f t="shared" si="2"/>
        <v>0</v>
      </c>
      <c r="L4290">
        <f t="shared" si="3"/>
        <v>0</v>
      </c>
    </row>
    <row r="4291">
      <c r="A4291" s="107">
        <f>IFERROR(__xludf.DUMMYFUNCTION("""COMPUTED_VALUE"""),45614.0)</f>
        <v>45614</v>
      </c>
      <c r="B4291" t="str">
        <f>IFERROR(__xludf.DUMMYFUNCTION("""COMPUTED_VALUE"""),"行天宮夏野良栗C黃伊妍")</f>
        <v>行天宮夏野良栗C黃伊妍</v>
      </c>
      <c r="C4291" t="str">
        <f>IFERROR(__xludf.DUMMYFUNCTION("""COMPUTED_VALUE"""),"收入 - 押金")</f>
        <v>收入 - 押金</v>
      </c>
      <c r="D4291" s="270">
        <f>IFERROR(__xludf.DUMMYFUNCTION("""COMPUTED_VALUE"""),11000.0)</f>
        <v>11000</v>
      </c>
      <c r="F4291" t="str">
        <f>IFERROR(__xludf.DUMMYFUNCTION("""COMPUTED_VALUE"""),"玉山帳戶")</f>
        <v>玉山帳戶</v>
      </c>
      <c r="G4291" t="str">
        <f>IFERROR(__xludf.DUMMYFUNCTION("""COMPUTED_VALUE"""),"行天宮夏野良栗")</f>
        <v>行天宮夏野良栗</v>
      </c>
      <c r="H4291" s="106" t="str">
        <f t="shared" si="1"/>
        <v>2024-11</v>
      </c>
      <c r="I4291" s="271" t="str">
        <f>IFERROR(__xludf.DUMMYFUNCTION("""COMPUTED_VALUE"""),"鯰魚大大")</f>
        <v>鯰魚大大</v>
      </c>
      <c r="J4291" t="str">
        <f>IFERROR(__xludf.DUMMYFUNCTION("IFS(
  AND(REGEXMATCH(E4291, ""台銀籌備帳戶|玉山帳戶""), REGEXMATCH(C4291, ""薪資"")), ""分潤支出"",
  AND(REGEXMATCH(E4291, ""Ben帳戶|Elsa帳戶|Ben代墊|Ariel代墊|中信銀行共用""), REGEXMATCH(F4291, ""Ben帳戶|Elsa帳戶|Ben代墊|Ariel代墊|中信銀行共用"")), ""內部轉帳(忽略)"",
  AND(E4291&lt;&gt;"""", F4291&lt;&gt;"""", N"&amp;"OT(REGEXMATCH(C4291, ""薪資""))), ""內部轉帳(忽略)"",
  REGEXMATCH(C4291, ""薪資""), ""薪資變動(不計入)"",
  REGEXMATCH(C4291, ""押金""), ""押金往來"",
  AND(E4291&lt;&gt;"""", F4291=""""), ""真實支出"",
  AND(E4291="""", F4291&lt;&gt;""""), ""真實收入"",
  TRUE, ""其他""
)"),"押金往來")</f>
        <v>押金往來</v>
      </c>
      <c r="K4291">
        <f t="shared" si="2"/>
        <v>0</v>
      </c>
      <c r="L4291">
        <f t="shared" si="3"/>
        <v>0</v>
      </c>
    </row>
    <row r="4292">
      <c r="A4292" s="107">
        <f>IFERROR(__xludf.DUMMYFUNCTION("""COMPUTED_VALUE"""),45614.0)</f>
        <v>45614</v>
      </c>
      <c r="B4292" t="str">
        <f>IFERROR(__xludf.DUMMYFUNCTION("""COMPUTED_VALUE"""),"行天宮夏野良栗C黃伊妍")</f>
        <v>行天宮夏野良栗C黃伊妍</v>
      </c>
      <c r="C4292" t="str">
        <f>IFERROR(__xludf.DUMMYFUNCTION("""COMPUTED_VALUE"""),"收入 - 租金")</f>
        <v>收入 - 租金</v>
      </c>
      <c r="D4292" s="270">
        <f>IFERROR(__xludf.DUMMYFUNCTION("""COMPUTED_VALUE"""),5133.0)</f>
        <v>5133</v>
      </c>
      <c r="F4292" t="str">
        <f>IFERROR(__xludf.DUMMYFUNCTION("""COMPUTED_VALUE"""),"玉山帳戶")</f>
        <v>玉山帳戶</v>
      </c>
      <c r="G4292" t="str">
        <f>IFERROR(__xludf.DUMMYFUNCTION("""COMPUTED_VALUE"""),"行天宮夏野良栗")</f>
        <v>行天宮夏野良栗</v>
      </c>
      <c r="H4292" s="106" t="str">
        <f t="shared" si="1"/>
        <v>2024-11</v>
      </c>
      <c r="I4292" s="271" t="str">
        <f>IFERROR(__xludf.DUMMYFUNCTION("""COMPUTED_VALUE"""),"鯰魚大大")</f>
        <v>鯰魚大大</v>
      </c>
      <c r="J4292" t="str">
        <f>IFERROR(__xludf.DUMMYFUNCTION("IFS(
  AND(REGEXMATCH(E4292, ""台銀籌備帳戶|玉山帳戶""), REGEXMATCH(C4292, ""薪資"")), ""分潤支出"",
  AND(REGEXMATCH(E4292, ""Ben帳戶|Elsa帳戶|Ben代墊|Ariel代墊|中信銀行共用""), REGEXMATCH(F4292, ""Ben帳戶|Elsa帳戶|Ben代墊|Ariel代墊|中信銀行共用"")), ""內部轉帳(忽略)"",
  AND(E4292&lt;&gt;"""", F4292&lt;&gt;"""", N"&amp;"OT(REGEXMATCH(C4292, ""薪資""))), ""內部轉帳(忽略)"",
  REGEXMATCH(C4292, ""薪資""), ""薪資變動(不計入)"",
  REGEXMATCH(C4292, ""押金""), ""押金往來"",
  AND(E4292&lt;&gt;"""", F4292=""""), ""真實支出"",
  AND(E4292="""", F4292&lt;&gt;""""), ""真實收入"",
  TRUE, ""其他""
)"),"真實收入")</f>
        <v>真實收入</v>
      </c>
      <c r="K4292" s="270">
        <f t="shared" si="2"/>
        <v>5133</v>
      </c>
      <c r="L4292">
        <f t="shared" si="3"/>
        <v>0</v>
      </c>
    </row>
    <row r="4293">
      <c r="A4293" s="107">
        <f>IFERROR(__xludf.DUMMYFUNCTION("""COMPUTED_VALUE"""),45614.0)</f>
        <v>45614</v>
      </c>
      <c r="B4293" t="str">
        <f>IFERROR(__xludf.DUMMYFUNCTION("""COMPUTED_VALUE"""),"內湖秘境B劉桀綸")</f>
        <v>內湖秘境B劉桀綸</v>
      </c>
      <c r="C4293" t="str">
        <f>IFERROR(__xludf.DUMMYFUNCTION("""COMPUTED_VALUE"""),"收入 - 租金")</f>
        <v>收入 - 租金</v>
      </c>
      <c r="D4293" s="270">
        <f>IFERROR(__xludf.DUMMYFUNCTION("""COMPUTED_VALUE"""),12300.0)</f>
        <v>12300</v>
      </c>
      <c r="F4293" t="str">
        <f>IFERROR(__xludf.DUMMYFUNCTION("""COMPUTED_VALUE"""),"玉山帳戶")</f>
        <v>玉山帳戶</v>
      </c>
      <c r="G4293" t="str">
        <f>IFERROR(__xludf.DUMMYFUNCTION("""COMPUTED_VALUE"""),"內湖秘境")</f>
        <v>內湖秘境</v>
      </c>
      <c r="H4293" s="106" t="str">
        <f t="shared" si="1"/>
        <v>2024-11</v>
      </c>
      <c r="I4293" s="271" t="str">
        <f>IFERROR(__xludf.DUMMYFUNCTION("""COMPUTED_VALUE"""),"鯰魚大大")</f>
        <v>鯰魚大大</v>
      </c>
      <c r="J4293" t="str">
        <f>IFERROR(__xludf.DUMMYFUNCTION("IFS(
  AND(REGEXMATCH(E4293, ""台銀籌備帳戶|玉山帳戶""), REGEXMATCH(C4293, ""薪資"")), ""分潤支出"",
  AND(REGEXMATCH(E4293, ""Ben帳戶|Elsa帳戶|Ben代墊|Ariel代墊|中信銀行共用""), REGEXMATCH(F4293, ""Ben帳戶|Elsa帳戶|Ben代墊|Ariel代墊|中信銀行共用"")), ""內部轉帳(忽略)"",
  AND(E4293&lt;&gt;"""", F4293&lt;&gt;"""", N"&amp;"OT(REGEXMATCH(C4293, ""薪資""))), ""內部轉帳(忽略)"",
  REGEXMATCH(C4293, ""薪資""), ""薪資變動(不計入)"",
  REGEXMATCH(C4293, ""押金""), ""押金往來"",
  AND(E4293&lt;&gt;"""", F4293=""""), ""真實支出"",
  AND(E4293="""", F4293&lt;&gt;""""), ""真實收入"",
  TRUE, ""其他""
)"),"真實收入")</f>
        <v>真實收入</v>
      </c>
      <c r="K4293" s="270">
        <f t="shared" si="2"/>
        <v>12300</v>
      </c>
      <c r="L4293">
        <f t="shared" si="3"/>
        <v>0</v>
      </c>
    </row>
    <row r="4294">
      <c r="A4294" s="107">
        <f>IFERROR(__xludf.DUMMYFUNCTION("""COMPUTED_VALUE"""),45615.0)</f>
        <v>45615</v>
      </c>
      <c r="B4294" t="str">
        <f>IFERROR(__xludf.DUMMYFUNCTION("""COMPUTED_VALUE"""),"夏野冷氣")</f>
        <v>夏野冷氣</v>
      </c>
      <c r="C4294" t="str">
        <f>IFERROR(__xludf.DUMMYFUNCTION("""COMPUTED_VALUE"""),"成本 - 進場前裝潢費")</f>
        <v>成本 - 進場前裝潢費</v>
      </c>
      <c r="D4294" s="270">
        <f>IFERROR(__xludf.DUMMYFUNCTION("""COMPUTED_VALUE"""),-24515.0)</f>
        <v>-24515</v>
      </c>
      <c r="E4294" t="str">
        <f>IFERROR(__xludf.DUMMYFUNCTION("""COMPUTED_VALUE"""),"玉山帳戶")</f>
        <v>玉山帳戶</v>
      </c>
      <c r="G4294" t="str">
        <f>IFERROR(__xludf.DUMMYFUNCTION("""COMPUTED_VALUE"""),"行天宮夏野良栗")</f>
        <v>行天宮夏野良栗</v>
      </c>
      <c r="H4294" s="106" t="str">
        <f t="shared" si="1"/>
        <v>2024-11</v>
      </c>
      <c r="I4294" s="271" t="str">
        <f>IFERROR(__xludf.DUMMYFUNCTION("""COMPUTED_VALUE"""),"鯰魚大大")</f>
        <v>鯰魚大大</v>
      </c>
      <c r="J4294" t="str">
        <f>IFERROR(__xludf.DUMMYFUNCTION("IFS(
  AND(REGEXMATCH(E4294, ""台銀籌備帳戶|玉山帳戶""), REGEXMATCH(C4294, ""薪資"")), ""分潤支出"",
  AND(REGEXMATCH(E4294, ""Ben帳戶|Elsa帳戶|Ben代墊|Ariel代墊|中信銀行共用""), REGEXMATCH(F4294, ""Ben帳戶|Elsa帳戶|Ben代墊|Ariel代墊|中信銀行共用"")), ""內部轉帳(忽略)"",
  AND(E4294&lt;&gt;"""", F4294&lt;&gt;"""", N"&amp;"OT(REGEXMATCH(C4294, ""薪資""))), ""內部轉帳(忽略)"",
  REGEXMATCH(C4294, ""薪資""), ""薪資變動(不計入)"",
  REGEXMATCH(C4294, ""押金""), ""押金往來"",
  AND(E4294&lt;&gt;"""", F4294=""""), ""真實支出"",
  AND(E4294="""", F4294&lt;&gt;""""), ""真實收入"",
  TRUE, ""其他""
)"),"真實支出")</f>
        <v>真實支出</v>
      </c>
      <c r="K4294" s="270">
        <f t="shared" si="2"/>
        <v>-24515</v>
      </c>
      <c r="L4294">
        <f t="shared" si="3"/>
        <v>0</v>
      </c>
    </row>
    <row r="4295">
      <c r="A4295" s="107">
        <f>IFERROR(__xludf.DUMMYFUNCTION("""COMPUTED_VALUE"""),45618.0)</f>
        <v>45618</v>
      </c>
      <c r="B4295" t="str">
        <f>IFERROR(__xludf.DUMMYFUNCTION("""COMPUTED_VALUE"""),"行天宮夏野良栗E, F張宏祺")</f>
        <v>行天宮夏野良栗E, F張宏祺</v>
      </c>
      <c r="C4295" t="str">
        <f>IFERROR(__xludf.DUMMYFUNCTION("""COMPUTED_VALUE"""),"收入 - 租金")</f>
        <v>收入 - 租金</v>
      </c>
      <c r="D4295" s="270">
        <f>IFERROR(__xludf.DUMMYFUNCTION("""COMPUTED_VALUE"""),31800.0)</f>
        <v>31800</v>
      </c>
      <c r="F4295" t="str">
        <f>IFERROR(__xludf.DUMMYFUNCTION("""COMPUTED_VALUE"""),"玉山帳戶")</f>
        <v>玉山帳戶</v>
      </c>
      <c r="G4295" t="str">
        <f>IFERROR(__xludf.DUMMYFUNCTION("""COMPUTED_VALUE"""),"行天宮夏野良栗")</f>
        <v>行天宮夏野良栗</v>
      </c>
      <c r="H4295" s="106" t="str">
        <f t="shared" si="1"/>
        <v>2024-11</v>
      </c>
      <c r="I4295" s="271" t="str">
        <f>IFERROR(__xludf.DUMMYFUNCTION("""COMPUTED_VALUE"""),"鯰魚大大")</f>
        <v>鯰魚大大</v>
      </c>
      <c r="J4295" t="str">
        <f>IFERROR(__xludf.DUMMYFUNCTION("IFS(
  AND(REGEXMATCH(E4295, ""台銀籌備帳戶|玉山帳戶""), REGEXMATCH(C4295, ""薪資"")), ""分潤支出"",
  AND(REGEXMATCH(E4295, ""Ben帳戶|Elsa帳戶|Ben代墊|Ariel代墊|中信銀行共用""), REGEXMATCH(F4295, ""Ben帳戶|Elsa帳戶|Ben代墊|Ariel代墊|中信銀行共用"")), ""內部轉帳(忽略)"",
  AND(E4295&lt;&gt;"""", F4295&lt;&gt;"""", N"&amp;"OT(REGEXMATCH(C4295, ""薪資""))), ""內部轉帳(忽略)"",
  REGEXMATCH(C4295, ""薪資""), ""薪資變動(不計入)"",
  REGEXMATCH(C4295, ""押金""), ""押金往來"",
  AND(E4295&lt;&gt;"""", F4295=""""), ""真實支出"",
  AND(E4295="""", F4295&lt;&gt;""""), ""真實收入"",
  TRUE, ""其他""
)"),"真實收入")</f>
        <v>真實收入</v>
      </c>
      <c r="K4295" s="270">
        <f t="shared" si="2"/>
        <v>31800</v>
      </c>
      <c r="L4295">
        <f t="shared" si="3"/>
        <v>0</v>
      </c>
    </row>
    <row r="4296">
      <c r="A4296" s="107">
        <f>IFERROR(__xludf.DUMMYFUNCTION("""COMPUTED_VALUE"""),45621.0)</f>
        <v>45621</v>
      </c>
      <c r="B4296" t="str">
        <f>IFERROR(__xludf.DUMMYFUNCTION("""COMPUTED_VALUE"""),"內湖秘境B劉桀綸")</f>
        <v>內湖秘境B劉桀綸</v>
      </c>
      <c r="C4296" t="str">
        <f>IFERROR(__xludf.DUMMYFUNCTION("""COMPUTED_VALUE"""),"收入 - 押金")</f>
        <v>收入 - 押金</v>
      </c>
      <c r="D4296" s="270">
        <f>IFERROR(__xludf.DUMMYFUNCTION("""COMPUTED_VALUE"""),24600.0)</f>
        <v>24600</v>
      </c>
      <c r="F4296" t="str">
        <f>IFERROR(__xludf.DUMMYFUNCTION("""COMPUTED_VALUE"""),"玉山帳戶")</f>
        <v>玉山帳戶</v>
      </c>
      <c r="G4296" t="str">
        <f>IFERROR(__xludf.DUMMYFUNCTION("""COMPUTED_VALUE"""),"內湖秘境")</f>
        <v>內湖秘境</v>
      </c>
      <c r="H4296" s="106" t="str">
        <f t="shared" si="1"/>
        <v>2024-11</v>
      </c>
      <c r="I4296" s="271" t="str">
        <f>IFERROR(__xludf.DUMMYFUNCTION("""COMPUTED_VALUE"""),"鯰魚大大")</f>
        <v>鯰魚大大</v>
      </c>
      <c r="J4296" t="str">
        <f>IFERROR(__xludf.DUMMYFUNCTION("IFS(
  AND(REGEXMATCH(E4296, ""台銀籌備帳戶|玉山帳戶""), REGEXMATCH(C4296, ""薪資"")), ""分潤支出"",
  AND(REGEXMATCH(E4296, ""Ben帳戶|Elsa帳戶|Ben代墊|Ariel代墊|中信銀行共用""), REGEXMATCH(F4296, ""Ben帳戶|Elsa帳戶|Ben代墊|Ariel代墊|中信銀行共用"")), ""內部轉帳(忽略)"",
  AND(E4296&lt;&gt;"""", F4296&lt;&gt;"""", N"&amp;"OT(REGEXMATCH(C4296, ""薪資""))), ""內部轉帳(忽略)"",
  REGEXMATCH(C4296, ""薪資""), ""薪資變動(不計入)"",
  REGEXMATCH(C4296, ""押金""), ""押金往來"",
  AND(E4296&lt;&gt;"""", F4296=""""), ""真實支出"",
  AND(E4296="""", F4296&lt;&gt;""""), ""真實收入"",
  TRUE, ""其他""
)"),"押金往來")</f>
        <v>押金往來</v>
      </c>
      <c r="K4296">
        <f t="shared" si="2"/>
        <v>0</v>
      </c>
      <c r="L4296">
        <f t="shared" si="3"/>
        <v>0</v>
      </c>
    </row>
    <row r="4297">
      <c r="A4297" s="107">
        <f>IFERROR(__xludf.DUMMYFUNCTION("""COMPUTED_VALUE"""),45622.0)</f>
        <v>45622</v>
      </c>
      <c r="B4297" t="str">
        <f>IFERROR(__xludf.DUMMYFUNCTION("""COMPUTED_VALUE"""),"財團法人中衛發展中心")</f>
        <v>財團法人中衛發展中心</v>
      </c>
      <c r="C4297" t="str">
        <f>IFERROR(__xludf.DUMMYFUNCTION("""COMPUTED_VALUE"""),"收入 - 政府補助/退稅")</f>
        <v>收入 - 政府補助/退稅</v>
      </c>
      <c r="D4297" s="270">
        <f>IFERROR(__xludf.DUMMYFUNCTION("""COMPUTED_VALUE"""),6000.0)</f>
        <v>6000</v>
      </c>
      <c r="F4297" t="str">
        <f>IFERROR(__xludf.DUMMYFUNCTION("""COMPUTED_VALUE"""),"玉山帳戶")</f>
        <v>玉山帳戶</v>
      </c>
      <c r="G4297" t="str">
        <f>IFERROR(__xludf.DUMMYFUNCTION("""COMPUTED_VALUE"""),"行天宮夏野良栗")</f>
        <v>行天宮夏野良栗</v>
      </c>
      <c r="H4297" s="106" t="str">
        <f t="shared" si="1"/>
        <v>2024-11</v>
      </c>
      <c r="I4297" s="271" t="str">
        <f>IFERROR(__xludf.DUMMYFUNCTION("""COMPUTED_VALUE"""),"鯰魚大大")</f>
        <v>鯰魚大大</v>
      </c>
      <c r="J4297" t="str">
        <f>IFERROR(__xludf.DUMMYFUNCTION("IFS(
  AND(REGEXMATCH(E4297, ""台銀籌備帳戶|玉山帳戶""), REGEXMATCH(C4297, ""薪資"")), ""分潤支出"",
  AND(REGEXMATCH(E4297, ""Ben帳戶|Elsa帳戶|Ben代墊|Ariel代墊|中信銀行共用""), REGEXMATCH(F4297, ""Ben帳戶|Elsa帳戶|Ben代墊|Ariel代墊|中信銀行共用"")), ""內部轉帳(忽略)"",
  AND(E4297&lt;&gt;"""", F4297&lt;&gt;"""", N"&amp;"OT(REGEXMATCH(C4297, ""薪資""))), ""內部轉帳(忽略)"",
  REGEXMATCH(C4297, ""薪資""), ""薪資變動(不計入)"",
  REGEXMATCH(C4297, ""押金""), ""押金往來"",
  AND(E4297&lt;&gt;"""", F4297=""""), ""真實支出"",
  AND(E4297="""", F4297&lt;&gt;""""), ""真實收入"",
  TRUE, ""其他""
)"),"真實收入")</f>
        <v>真實收入</v>
      </c>
      <c r="K4297" s="270">
        <f t="shared" si="2"/>
        <v>6000</v>
      </c>
      <c r="L4297">
        <f t="shared" si="3"/>
        <v>0</v>
      </c>
    </row>
    <row r="4298">
      <c r="A4298" s="107">
        <f>IFERROR(__xludf.DUMMYFUNCTION("""COMPUTED_VALUE"""),45624.0)</f>
        <v>45624</v>
      </c>
      <c r="B4298" t="str">
        <f>IFERROR(__xludf.DUMMYFUNCTION("""COMPUTED_VALUE"""),"行天宮夏野良栗E, F張宏祺")</f>
        <v>行天宮夏野良栗E, F張宏祺</v>
      </c>
      <c r="C4298" t="str">
        <f>IFERROR(__xludf.DUMMYFUNCTION("""COMPUTED_VALUE"""),"收入 - 押金")</f>
        <v>收入 - 押金</v>
      </c>
      <c r="D4298" s="270">
        <f>IFERROR(__xludf.DUMMYFUNCTION("""COMPUTED_VALUE"""),31800.0)</f>
        <v>31800</v>
      </c>
      <c r="F4298" t="str">
        <f>IFERROR(__xludf.DUMMYFUNCTION("""COMPUTED_VALUE"""),"玉山帳戶")</f>
        <v>玉山帳戶</v>
      </c>
      <c r="G4298" t="str">
        <f>IFERROR(__xludf.DUMMYFUNCTION("""COMPUTED_VALUE"""),"行天宮夏野良栗")</f>
        <v>行天宮夏野良栗</v>
      </c>
      <c r="H4298" s="106" t="str">
        <f t="shared" si="1"/>
        <v>2024-11</v>
      </c>
      <c r="I4298" s="271" t="str">
        <f>IFERROR(__xludf.DUMMYFUNCTION("""COMPUTED_VALUE"""),"鯰魚大大")</f>
        <v>鯰魚大大</v>
      </c>
      <c r="J4298" t="str">
        <f>IFERROR(__xludf.DUMMYFUNCTION("IFS(
  AND(REGEXMATCH(E4298, ""台銀籌備帳戶|玉山帳戶""), REGEXMATCH(C4298, ""薪資"")), ""分潤支出"",
  AND(REGEXMATCH(E4298, ""Ben帳戶|Elsa帳戶|Ben代墊|Ariel代墊|中信銀行共用""), REGEXMATCH(F4298, ""Ben帳戶|Elsa帳戶|Ben代墊|Ariel代墊|中信銀行共用"")), ""內部轉帳(忽略)"",
  AND(E4298&lt;&gt;"""", F4298&lt;&gt;"""", N"&amp;"OT(REGEXMATCH(C4298, ""薪資""))), ""內部轉帳(忽略)"",
  REGEXMATCH(C4298, ""薪資""), ""薪資變動(不計入)"",
  REGEXMATCH(C4298, ""押金""), ""押金往來"",
  AND(E4298&lt;&gt;"""", F4298=""""), ""真實支出"",
  AND(E4298="""", F4298&lt;&gt;""""), ""真實收入"",
  TRUE, ""其他""
)"),"押金往來")</f>
        <v>押金往來</v>
      </c>
      <c r="K4298">
        <f t="shared" si="2"/>
        <v>0</v>
      </c>
      <c r="L4298">
        <f t="shared" si="3"/>
        <v>0</v>
      </c>
    </row>
    <row r="4299">
      <c r="A4299" s="107">
        <f>IFERROR(__xludf.DUMMYFUNCTION("""COMPUTED_VALUE"""),45624.0)</f>
        <v>45624</v>
      </c>
      <c r="B4299" t="str">
        <f>IFERROR(__xludf.DUMMYFUNCTION("""COMPUTED_VALUE"""),"行天宮夏野良栗E, F張宏祺")</f>
        <v>行天宮夏野良栗E, F張宏祺</v>
      </c>
      <c r="C4299" t="str">
        <f>IFERROR(__xludf.DUMMYFUNCTION("""COMPUTED_VALUE"""),"收入 - 押金")</f>
        <v>收入 - 押金</v>
      </c>
      <c r="D4299" s="270">
        <f>IFERROR(__xludf.DUMMYFUNCTION("""COMPUTED_VALUE"""),31800.0)</f>
        <v>31800</v>
      </c>
      <c r="F4299" t="str">
        <f>IFERROR(__xludf.DUMMYFUNCTION("""COMPUTED_VALUE"""),"玉山帳戶")</f>
        <v>玉山帳戶</v>
      </c>
      <c r="G4299" t="str">
        <f>IFERROR(__xludf.DUMMYFUNCTION("""COMPUTED_VALUE"""),"行天宮夏野良栗")</f>
        <v>行天宮夏野良栗</v>
      </c>
      <c r="H4299" s="106" t="str">
        <f t="shared" si="1"/>
        <v>2024-11</v>
      </c>
      <c r="I4299" s="271" t="str">
        <f>IFERROR(__xludf.DUMMYFUNCTION("""COMPUTED_VALUE"""),"鯰魚大大")</f>
        <v>鯰魚大大</v>
      </c>
      <c r="J4299" t="str">
        <f>IFERROR(__xludf.DUMMYFUNCTION("IFS(
  AND(REGEXMATCH(E4299, ""台銀籌備帳戶|玉山帳戶""), REGEXMATCH(C4299, ""薪資"")), ""分潤支出"",
  AND(REGEXMATCH(E4299, ""Ben帳戶|Elsa帳戶|Ben代墊|Ariel代墊|中信銀行共用""), REGEXMATCH(F4299, ""Ben帳戶|Elsa帳戶|Ben代墊|Ariel代墊|中信銀行共用"")), ""內部轉帳(忽略)"",
  AND(E4299&lt;&gt;"""", F4299&lt;&gt;"""", N"&amp;"OT(REGEXMATCH(C4299, ""薪資""))), ""內部轉帳(忽略)"",
  REGEXMATCH(C4299, ""薪資""), ""薪資變動(不計入)"",
  REGEXMATCH(C4299, ""押金""), ""押金往來"",
  AND(E4299&lt;&gt;"""", F4299=""""), ""真實支出"",
  AND(E4299="""", F4299&lt;&gt;""""), ""真實收入"",
  TRUE, ""其他""
)"),"押金往來")</f>
        <v>押金往來</v>
      </c>
      <c r="K4299">
        <f t="shared" si="2"/>
        <v>0</v>
      </c>
      <c r="L4299">
        <f t="shared" si="3"/>
        <v>0</v>
      </c>
    </row>
    <row r="4300">
      <c r="A4300" s="107">
        <f>IFERROR(__xludf.DUMMYFUNCTION("""COMPUTED_VALUE"""),45625.0)</f>
        <v>45625</v>
      </c>
      <c r="B4300" t="str">
        <f>IFERROR(__xludf.DUMMYFUNCTION("""COMPUTED_VALUE"""),"夏野螢光水電")</f>
        <v>夏野螢光水電</v>
      </c>
      <c r="C4300" t="str">
        <f>IFERROR(__xludf.DUMMYFUNCTION("""COMPUTED_VALUE"""),"成本 - 進場前裝潢費")</f>
        <v>成本 - 進場前裝潢費</v>
      </c>
      <c r="D4300" s="270">
        <f>IFERROR(__xludf.DUMMYFUNCTION("""COMPUTED_VALUE"""),-31095.0)</f>
        <v>-31095</v>
      </c>
      <c r="E4300" t="str">
        <f>IFERROR(__xludf.DUMMYFUNCTION("""COMPUTED_VALUE"""),"玉山帳戶")</f>
        <v>玉山帳戶</v>
      </c>
      <c r="G4300" t="str">
        <f>IFERROR(__xludf.DUMMYFUNCTION("""COMPUTED_VALUE"""),"行天宮夏野良栗")</f>
        <v>行天宮夏野良栗</v>
      </c>
      <c r="H4300" s="106" t="str">
        <f t="shared" si="1"/>
        <v>2024-11</v>
      </c>
      <c r="I4300" s="271" t="str">
        <f>IFERROR(__xludf.DUMMYFUNCTION("""COMPUTED_VALUE"""),"鯰魚大大")</f>
        <v>鯰魚大大</v>
      </c>
      <c r="J4300" t="str">
        <f>IFERROR(__xludf.DUMMYFUNCTION("IFS(
  AND(REGEXMATCH(E4300, ""台銀籌備帳戶|玉山帳戶""), REGEXMATCH(C4300, ""薪資"")), ""分潤支出"",
  AND(REGEXMATCH(E4300, ""Ben帳戶|Elsa帳戶|Ben代墊|Ariel代墊|中信銀行共用""), REGEXMATCH(F4300, ""Ben帳戶|Elsa帳戶|Ben代墊|Ariel代墊|中信銀行共用"")), ""內部轉帳(忽略)"",
  AND(E4300&lt;&gt;"""", F4300&lt;&gt;"""", N"&amp;"OT(REGEXMATCH(C4300, ""薪資""))), ""內部轉帳(忽略)"",
  REGEXMATCH(C4300, ""薪資""), ""薪資變動(不計入)"",
  REGEXMATCH(C4300, ""押金""), ""押金往來"",
  AND(E4300&lt;&gt;"""", F4300=""""), ""真實支出"",
  AND(E4300="""", F4300&lt;&gt;""""), ""真實收入"",
  TRUE, ""其他""
)"),"真實支出")</f>
        <v>真實支出</v>
      </c>
      <c r="K4300" s="270">
        <f t="shared" si="2"/>
        <v>-31095</v>
      </c>
      <c r="L4300">
        <f t="shared" si="3"/>
        <v>0</v>
      </c>
    </row>
    <row r="4301">
      <c r="A4301" s="107">
        <f>IFERROR(__xludf.DUMMYFUNCTION("""COMPUTED_VALUE"""),45628.0)</f>
        <v>45628</v>
      </c>
      <c r="B4301" t="str">
        <f>IFERROR(__xludf.DUMMYFUNCTION("""COMPUTED_VALUE"""),"內湖秘境C黃詩穎")</f>
        <v>內湖秘境C黃詩穎</v>
      </c>
      <c r="C4301" t="str">
        <f>IFERROR(__xludf.DUMMYFUNCTION("""COMPUTED_VALUE"""),"收入 - 租金")</f>
        <v>收入 - 租金</v>
      </c>
      <c r="D4301" s="270">
        <f>IFERROR(__xludf.DUMMYFUNCTION("""COMPUTED_VALUE"""),14800.0)</f>
        <v>14800</v>
      </c>
      <c r="F4301" t="str">
        <f>IFERROR(__xludf.DUMMYFUNCTION("""COMPUTED_VALUE"""),"玉山帳戶")</f>
        <v>玉山帳戶</v>
      </c>
      <c r="G4301" t="str">
        <f>IFERROR(__xludf.DUMMYFUNCTION("""COMPUTED_VALUE"""),"內湖秘境")</f>
        <v>內湖秘境</v>
      </c>
      <c r="H4301" s="106" t="str">
        <f t="shared" si="1"/>
        <v>2024-12</v>
      </c>
      <c r="I4301" s="271" t="str">
        <f>IFERROR(__xludf.DUMMYFUNCTION("""COMPUTED_VALUE"""),"鯰魚大大")</f>
        <v>鯰魚大大</v>
      </c>
      <c r="J4301" t="str">
        <f>IFERROR(__xludf.DUMMYFUNCTION("IFS(
  AND(REGEXMATCH(E4301, ""台銀籌備帳戶|玉山帳戶""), REGEXMATCH(C4301, ""薪資"")), ""分潤支出"",
  AND(REGEXMATCH(E4301, ""Ben帳戶|Elsa帳戶|Ben代墊|Ariel代墊|中信銀行共用""), REGEXMATCH(F4301, ""Ben帳戶|Elsa帳戶|Ben代墊|Ariel代墊|中信銀行共用"")), ""內部轉帳(忽略)"",
  AND(E4301&lt;&gt;"""", F4301&lt;&gt;"""", N"&amp;"OT(REGEXMATCH(C4301, ""薪資""))), ""內部轉帳(忽略)"",
  REGEXMATCH(C4301, ""薪資""), ""薪資變動(不計入)"",
  REGEXMATCH(C4301, ""押金""), ""押金往來"",
  AND(E4301&lt;&gt;"""", F4301=""""), ""真實支出"",
  AND(E4301="""", F4301&lt;&gt;""""), ""真實收入"",
  TRUE, ""其他""
)"),"真實收入")</f>
        <v>真實收入</v>
      </c>
      <c r="K4301" s="270">
        <f t="shared" si="2"/>
        <v>14800</v>
      </c>
      <c r="L4301">
        <f t="shared" si="3"/>
        <v>0</v>
      </c>
    </row>
    <row r="4302">
      <c r="A4302" s="107">
        <f>IFERROR(__xludf.DUMMYFUNCTION("""COMPUTED_VALUE"""),45628.0)</f>
        <v>45628</v>
      </c>
      <c r="B4302" t="str">
        <f>IFERROR(__xludf.DUMMYFUNCTION("""COMPUTED_VALUE"""),"內湖秘境G徐若洹")</f>
        <v>內湖秘境G徐若洹</v>
      </c>
      <c r="C4302" t="str">
        <f>IFERROR(__xludf.DUMMYFUNCTION("""COMPUTED_VALUE"""),"收入 - 租金")</f>
        <v>收入 - 租金</v>
      </c>
      <c r="D4302" s="270">
        <f>IFERROR(__xludf.DUMMYFUNCTION("""COMPUTED_VALUE"""),12100.0)</f>
        <v>12100</v>
      </c>
      <c r="F4302" t="str">
        <f>IFERROR(__xludf.DUMMYFUNCTION("""COMPUTED_VALUE"""),"玉山帳戶")</f>
        <v>玉山帳戶</v>
      </c>
      <c r="G4302" t="str">
        <f>IFERROR(__xludf.DUMMYFUNCTION("""COMPUTED_VALUE"""),"內湖秘境")</f>
        <v>內湖秘境</v>
      </c>
      <c r="H4302" s="106" t="str">
        <f t="shared" si="1"/>
        <v>2024-12</v>
      </c>
      <c r="I4302" s="271" t="str">
        <f>IFERROR(__xludf.DUMMYFUNCTION("""COMPUTED_VALUE"""),"鯰魚大大")</f>
        <v>鯰魚大大</v>
      </c>
      <c r="J4302" t="str">
        <f>IFERROR(__xludf.DUMMYFUNCTION("IFS(
  AND(REGEXMATCH(E4302, ""台銀籌備帳戶|玉山帳戶""), REGEXMATCH(C4302, ""薪資"")), ""分潤支出"",
  AND(REGEXMATCH(E4302, ""Ben帳戶|Elsa帳戶|Ben代墊|Ariel代墊|中信銀行共用""), REGEXMATCH(F4302, ""Ben帳戶|Elsa帳戶|Ben代墊|Ariel代墊|中信銀行共用"")), ""內部轉帳(忽略)"",
  AND(E4302&lt;&gt;"""", F4302&lt;&gt;"""", N"&amp;"OT(REGEXMATCH(C4302, ""薪資""))), ""內部轉帳(忽略)"",
  REGEXMATCH(C4302, ""薪資""), ""薪資變動(不計入)"",
  REGEXMATCH(C4302, ""押金""), ""押金往來"",
  AND(E4302&lt;&gt;"""", F4302=""""), ""真實支出"",
  AND(E4302="""", F4302&lt;&gt;""""), ""真實收入"",
  TRUE, ""其他""
)"),"真實收入")</f>
        <v>真實收入</v>
      </c>
      <c r="K4302" s="270">
        <f t="shared" si="2"/>
        <v>12100</v>
      </c>
      <c r="L4302">
        <f t="shared" si="3"/>
        <v>0</v>
      </c>
    </row>
    <row r="4303">
      <c r="A4303" s="107">
        <f>IFERROR(__xludf.DUMMYFUNCTION("""COMPUTED_VALUE"""),45628.0)</f>
        <v>45628</v>
      </c>
      <c r="B4303" t="str">
        <f>IFERROR(__xludf.DUMMYFUNCTION("""COMPUTED_VALUE"""),"士林和豐C李宛宸")</f>
        <v>士林和豐C李宛宸</v>
      </c>
      <c r="C4303" t="str">
        <f>IFERROR(__xludf.DUMMYFUNCTION("""COMPUTED_VALUE"""),"收入 - 租金")</f>
        <v>收入 - 租金</v>
      </c>
      <c r="D4303" s="270">
        <f>IFERROR(__xludf.DUMMYFUNCTION("""COMPUTED_VALUE"""),13100.0)</f>
        <v>13100</v>
      </c>
      <c r="F4303" t="str">
        <f>IFERROR(__xludf.DUMMYFUNCTION("""COMPUTED_VALUE"""),"玉山帳戶")</f>
        <v>玉山帳戶</v>
      </c>
      <c r="G4303" t="str">
        <f>IFERROR(__xludf.DUMMYFUNCTION("""COMPUTED_VALUE"""),"士林和豐")</f>
        <v>士林和豐</v>
      </c>
      <c r="H4303" s="106" t="str">
        <f t="shared" si="1"/>
        <v>2024-12</v>
      </c>
      <c r="I4303" s="271" t="str">
        <f>IFERROR(__xludf.DUMMYFUNCTION("""COMPUTED_VALUE"""),"鯰魚大大")</f>
        <v>鯰魚大大</v>
      </c>
      <c r="J4303" t="str">
        <f>IFERROR(__xludf.DUMMYFUNCTION("IFS(
  AND(REGEXMATCH(E4303, ""台銀籌備帳戶|玉山帳戶""), REGEXMATCH(C4303, ""薪資"")), ""分潤支出"",
  AND(REGEXMATCH(E4303, ""Ben帳戶|Elsa帳戶|Ben代墊|Ariel代墊|中信銀行共用""), REGEXMATCH(F4303, ""Ben帳戶|Elsa帳戶|Ben代墊|Ariel代墊|中信銀行共用"")), ""內部轉帳(忽略)"",
  AND(E4303&lt;&gt;"""", F4303&lt;&gt;"""", N"&amp;"OT(REGEXMATCH(C4303, ""薪資""))), ""內部轉帳(忽略)"",
  REGEXMATCH(C4303, ""薪資""), ""薪資變動(不計入)"",
  REGEXMATCH(C4303, ""押金""), ""押金往來"",
  AND(E4303&lt;&gt;"""", F4303=""""), ""真實支出"",
  AND(E4303="""", F4303&lt;&gt;""""), ""真實收入"",
  TRUE, ""其他""
)"),"真實收入")</f>
        <v>真實收入</v>
      </c>
      <c r="K4303" s="270">
        <f t="shared" si="2"/>
        <v>13100</v>
      </c>
      <c r="L4303">
        <f t="shared" si="3"/>
        <v>0</v>
      </c>
    </row>
    <row r="4304">
      <c r="A4304" s="107">
        <f>IFERROR(__xludf.DUMMYFUNCTION("""COMPUTED_VALUE"""),45628.0)</f>
        <v>45628</v>
      </c>
      <c r="B4304" t="str">
        <f>IFERROR(__xludf.DUMMYFUNCTION("""COMPUTED_VALUE"""),"內湖秘境A陳玟涵")</f>
        <v>內湖秘境A陳玟涵</v>
      </c>
      <c r="C4304" t="str">
        <f>IFERROR(__xludf.DUMMYFUNCTION("""COMPUTED_VALUE"""),"收入 - 租金")</f>
        <v>收入 - 租金</v>
      </c>
      <c r="D4304" s="270">
        <f>IFERROR(__xludf.DUMMYFUNCTION("""COMPUTED_VALUE"""),6039.0)</f>
        <v>6039</v>
      </c>
      <c r="F4304" t="str">
        <f>IFERROR(__xludf.DUMMYFUNCTION("""COMPUTED_VALUE"""),"玉山帳戶")</f>
        <v>玉山帳戶</v>
      </c>
      <c r="G4304" t="str">
        <f>IFERROR(__xludf.DUMMYFUNCTION("""COMPUTED_VALUE"""),"內湖秘境")</f>
        <v>內湖秘境</v>
      </c>
      <c r="H4304" s="106" t="str">
        <f t="shared" si="1"/>
        <v>2024-12</v>
      </c>
      <c r="I4304" s="271" t="str">
        <f>IFERROR(__xludf.DUMMYFUNCTION("""COMPUTED_VALUE"""),"鯰魚大大")</f>
        <v>鯰魚大大</v>
      </c>
      <c r="J4304" t="str">
        <f>IFERROR(__xludf.DUMMYFUNCTION("IFS(
  AND(REGEXMATCH(E4304, ""台銀籌備帳戶|玉山帳戶""), REGEXMATCH(C4304, ""薪資"")), ""分潤支出"",
  AND(REGEXMATCH(E4304, ""Ben帳戶|Elsa帳戶|Ben代墊|Ariel代墊|中信銀行共用""), REGEXMATCH(F4304, ""Ben帳戶|Elsa帳戶|Ben代墊|Ariel代墊|中信銀行共用"")), ""內部轉帳(忽略)"",
  AND(E4304&lt;&gt;"""", F4304&lt;&gt;"""", N"&amp;"OT(REGEXMATCH(C4304, ""薪資""))), ""內部轉帳(忽略)"",
  REGEXMATCH(C4304, ""薪資""), ""薪資變動(不計入)"",
  REGEXMATCH(C4304, ""押金""), ""押金往來"",
  AND(E4304&lt;&gt;"""", F4304=""""), ""真實支出"",
  AND(E4304="""", F4304&lt;&gt;""""), ""真實收入"",
  TRUE, ""其他""
)"),"真實收入")</f>
        <v>真實收入</v>
      </c>
      <c r="K4304" s="270">
        <f t="shared" si="2"/>
        <v>6039</v>
      </c>
      <c r="L4304">
        <f t="shared" si="3"/>
        <v>0</v>
      </c>
    </row>
    <row r="4305">
      <c r="A4305" s="107">
        <f>IFERROR(__xludf.DUMMYFUNCTION("""COMPUTED_VALUE"""),45628.0)</f>
        <v>45628</v>
      </c>
      <c r="B4305" t="str">
        <f>IFERROR(__xludf.DUMMYFUNCTION("""COMPUTED_VALUE"""),"行天宮夏野良栗B楊珺媁")</f>
        <v>行天宮夏野良栗B楊珺媁</v>
      </c>
      <c r="C4305" t="str">
        <f>IFERROR(__xludf.DUMMYFUNCTION("""COMPUTED_VALUE"""),"收入 - 租金")</f>
        <v>收入 - 租金</v>
      </c>
      <c r="D4305" s="270">
        <f>IFERROR(__xludf.DUMMYFUNCTION("""COMPUTED_VALUE"""),14000.0)</f>
        <v>14000</v>
      </c>
      <c r="F4305" t="str">
        <f>IFERROR(__xludf.DUMMYFUNCTION("""COMPUTED_VALUE"""),"玉山帳戶")</f>
        <v>玉山帳戶</v>
      </c>
      <c r="G4305" t="str">
        <f>IFERROR(__xludf.DUMMYFUNCTION("""COMPUTED_VALUE"""),"行天宮夏野良栗")</f>
        <v>行天宮夏野良栗</v>
      </c>
      <c r="H4305" s="106" t="str">
        <f t="shared" si="1"/>
        <v>2024-12</v>
      </c>
      <c r="I4305" s="271" t="str">
        <f>IFERROR(__xludf.DUMMYFUNCTION("""COMPUTED_VALUE"""),"鯰魚大大")</f>
        <v>鯰魚大大</v>
      </c>
      <c r="J4305" t="str">
        <f>IFERROR(__xludf.DUMMYFUNCTION("IFS(
  AND(REGEXMATCH(E4305, ""台銀籌備帳戶|玉山帳戶""), REGEXMATCH(C4305, ""薪資"")), ""分潤支出"",
  AND(REGEXMATCH(E4305, ""Ben帳戶|Elsa帳戶|Ben代墊|Ariel代墊|中信銀行共用""), REGEXMATCH(F4305, ""Ben帳戶|Elsa帳戶|Ben代墊|Ariel代墊|中信銀行共用"")), ""內部轉帳(忽略)"",
  AND(E4305&lt;&gt;"""", F4305&lt;&gt;"""", N"&amp;"OT(REGEXMATCH(C4305, ""薪資""))), ""內部轉帳(忽略)"",
  REGEXMATCH(C4305, ""薪資""), ""薪資變動(不計入)"",
  REGEXMATCH(C4305, ""押金""), ""押金往來"",
  AND(E4305&lt;&gt;"""", F4305=""""), ""真實支出"",
  AND(E4305="""", F4305&lt;&gt;""""), ""真實收入"",
  TRUE, ""其他""
)"),"真實收入")</f>
        <v>真實收入</v>
      </c>
      <c r="K4305" s="270">
        <f t="shared" si="2"/>
        <v>14000</v>
      </c>
      <c r="L4305">
        <f t="shared" si="3"/>
        <v>0</v>
      </c>
    </row>
    <row r="4306">
      <c r="A4306" s="107">
        <f>IFERROR(__xludf.DUMMYFUNCTION("""COMPUTED_VALUE"""),45628.0)</f>
        <v>45628</v>
      </c>
      <c r="B4306" t="str">
        <f>IFERROR(__xludf.DUMMYFUNCTION("""COMPUTED_VALUE"""),"行天宮夏野良栗C黃伊妍")</f>
        <v>行天宮夏野良栗C黃伊妍</v>
      </c>
      <c r="C4306" t="str">
        <f>IFERROR(__xludf.DUMMYFUNCTION("""COMPUTED_VALUE"""),"收入 - 租金")</f>
        <v>收入 - 租金</v>
      </c>
      <c r="D4306" s="270">
        <f>IFERROR(__xludf.DUMMYFUNCTION("""COMPUTED_VALUE"""),10000.0)</f>
        <v>10000</v>
      </c>
      <c r="F4306" t="str">
        <f>IFERROR(__xludf.DUMMYFUNCTION("""COMPUTED_VALUE"""),"玉山帳戶")</f>
        <v>玉山帳戶</v>
      </c>
      <c r="G4306" t="str">
        <f>IFERROR(__xludf.DUMMYFUNCTION("""COMPUTED_VALUE"""),"行天宮夏野良栗")</f>
        <v>行天宮夏野良栗</v>
      </c>
      <c r="H4306" s="106" t="str">
        <f t="shared" si="1"/>
        <v>2024-12</v>
      </c>
      <c r="I4306" s="271" t="str">
        <f>IFERROR(__xludf.DUMMYFUNCTION("""COMPUTED_VALUE"""),"鯰魚大大")</f>
        <v>鯰魚大大</v>
      </c>
      <c r="J4306" t="str">
        <f>IFERROR(__xludf.DUMMYFUNCTION("IFS(
  AND(REGEXMATCH(E4306, ""台銀籌備帳戶|玉山帳戶""), REGEXMATCH(C4306, ""薪資"")), ""分潤支出"",
  AND(REGEXMATCH(E4306, ""Ben帳戶|Elsa帳戶|Ben代墊|Ariel代墊|中信銀行共用""), REGEXMATCH(F4306, ""Ben帳戶|Elsa帳戶|Ben代墊|Ariel代墊|中信銀行共用"")), ""內部轉帳(忽略)"",
  AND(E4306&lt;&gt;"""", F4306&lt;&gt;"""", N"&amp;"OT(REGEXMATCH(C4306, ""薪資""))), ""內部轉帳(忽略)"",
  REGEXMATCH(C4306, ""薪資""), ""薪資變動(不計入)"",
  REGEXMATCH(C4306, ""押金""), ""押金往來"",
  AND(E4306&lt;&gt;"""", F4306=""""), ""真實支出"",
  AND(E4306="""", F4306&lt;&gt;""""), ""真實收入"",
  TRUE, ""其他""
)"),"真實收入")</f>
        <v>真實收入</v>
      </c>
      <c r="K4306" s="270">
        <f t="shared" si="2"/>
        <v>10000</v>
      </c>
      <c r="L4306">
        <f t="shared" si="3"/>
        <v>0</v>
      </c>
    </row>
    <row r="4307">
      <c r="A4307" s="107">
        <f>IFERROR(__xludf.DUMMYFUNCTION("""COMPUTED_VALUE"""),45628.0)</f>
        <v>45628</v>
      </c>
      <c r="B4307" t="str">
        <f>IFERROR(__xludf.DUMMYFUNCTION("""COMPUTED_VALUE"""),"行天宮夏野良栗C黃伊妍")</f>
        <v>行天宮夏野良栗C黃伊妍</v>
      </c>
      <c r="C4307" t="str">
        <f>IFERROR(__xludf.DUMMYFUNCTION("""COMPUTED_VALUE"""),"收入 - 租金")</f>
        <v>收入 - 租金</v>
      </c>
      <c r="D4307" s="270">
        <f>IFERROR(__xludf.DUMMYFUNCTION("""COMPUTED_VALUE"""),1000.0)</f>
        <v>1000</v>
      </c>
      <c r="F4307" t="str">
        <f>IFERROR(__xludf.DUMMYFUNCTION("""COMPUTED_VALUE"""),"玉山帳戶")</f>
        <v>玉山帳戶</v>
      </c>
      <c r="G4307" t="str">
        <f>IFERROR(__xludf.DUMMYFUNCTION("""COMPUTED_VALUE"""),"行天宮夏野良栗")</f>
        <v>行天宮夏野良栗</v>
      </c>
      <c r="H4307" s="106" t="str">
        <f t="shared" si="1"/>
        <v>2024-12</v>
      </c>
      <c r="I4307" s="271" t="str">
        <f>IFERROR(__xludf.DUMMYFUNCTION("""COMPUTED_VALUE"""),"鯰魚大大")</f>
        <v>鯰魚大大</v>
      </c>
      <c r="J4307" t="str">
        <f>IFERROR(__xludf.DUMMYFUNCTION("IFS(
  AND(REGEXMATCH(E4307, ""台銀籌備帳戶|玉山帳戶""), REGEXMATCH(C4307, ""薪資"")), ""分潤支出"",
  AND(REGEXMATCH(E4307, ""Ben帳戶|Elsa帳戶|Ben代墊|Ariel代墊|中信銀行共用""), REGEXMATCH(F4307, ""Ben帳戶|Elsa帳戶|Ben代墊|Ariel代墊|中信銀行共用"")), ""內部轉帳(忽略)"",
  AND(E4307&lt;&gt;"""", F4307&lt;&gt;"""", N"&amp;"OT(REGEXMATCH(C4307, ""薪資""))), ""內部轉帳(忽略)"",
  REGEXMATCH(C4307, ""薪資""), ""薪資變動(不計入)"",
  REGEXMATCH(C4307, ""押金""), ""押金往來"",
  AND(E4307&lt;&gt;"""", F4307=""""), ""真實支出"",
  AND(E4307="""", F4307&lt;&gt;""""), ""真實收入"",
  TRUE, ""其他""
)"),"真實收入")</f>
        <v>真實收入</v>
      </c>
      <c r="K4307" s="270">
        <f t="shared" si="2"/>
        <v>1000</v>
      </c>
      <c r="L4307">
        <f t="shared" si="3"/>
        <v>0</v>
      </c>
    </row>
    <row r="4308">
      <c r="A4308" s="107">
        <f>IFERROR(__xludf.DUMMYFUNCTION("""COMPUTED_VALUE"""),45628.0)</f>
        <v>45628</v>
      </c>
      <c r="B4308" t="str">
        <f>IFERROR(__xludf.DUMMYFUNCTION("""COMPUTED_VALUE"""),"和豐大房租")</f>
        <v>和豐大房租</v>
      </c>
      <c r="C4308" t="str">
        <f>IFERROR(__xludf.DUMMYFUNCTION("""COMPUTED_VALUE"""),"成本 - 大租金")</f>
        <v>成本 - 大租金</v>
      </c>
      <c r="D4308" s="270">
        <f>IFERROR(__xludf.DUMMYFUNCTION("""COMPUTED_VALUE"""),-14415.0)</f>
        <v>-14415</v>
      </c>
      <c r="E4308" t="str">
        <f>IFERROR(__xludf.DUMMYFUNCTION("""COMPUTED_VALUE"""),"玉山帳戶")</f>
        <v>玉山帳戶</v>
      </c>
      <c r="G4308" t="str">
        <f>IFERROR(__xludf.DUMMYFUNCTION("""COMPUTED_VALUE"""),"士林和豐")</f>
        <v>士林和豐</v>
      </c>
      <c r="H4308" s="106" t="str">
        <f t="shared" si="1"/>
        <v>2024-12</v>
      </c>
      <c r="I4308" s="271" t="str">
        <f>IFERROR(__xludf.DUMMYFUNCTION("""COMPUTED_VALUE"""),"鯰魚大大")</f>
        <v>鯰魚大大</v>
      </c>
      <c r="J4308" t="str">
        <f>IFERROR(__xludf.DUMMYFUNCTION("IFS(
  AND(REGEXMATCH(E4308, ""台銀籌備帳戶|玉山帳戶""), REGEXMATCH(C4308, ""薪資"")), ""分潤支出"",
  AND(REGEXMATCH(E4308, ""Ben帳戶|Elsa帳戶|Ben代墊|Ariel代墊|中信銀行共用""), REGEXMATCH(F4308, ""Ben帳戶|Elsa帳戶|Ben代墊|Ariel代墊|中信銀行共用"")), ""內部轉帳(忽略)"",
  AND(E4308&lt;&gt;"""", F4308&lt;&gt;"""", N"&amp;"OT(REGEXMATCH(C4308, ""薪資""))), ""內部轉帳(忽略)"",
  REGEXMATCH(C4308, ""薪資""), ""薪資變動(不計入)"",
  REGEXMATCH(C4308, ""押金""), ""押金往來"",
  AND(E4308&lt;&gt;"""", F4308=""""), ""真實支出"",
  AND(E4308="""", F4308&lt;&gt;""""), ""真實收入"",
  TRUE, ""其他""
)"),"真實支出")</f>
        <v>真實支出</v>
      </c>
      <c r="K4308" s="270">
        <f t="shared" si="2"/>
        <v>-14415</v>
      </c>
      <c r="L4308">
        <f t="shared" si="3"/>
        <v>0</v>
      </c>
    </row>
    <row r="4309">
      <c r="A4309" s="107">
        <f>IFERROR(__xludf.DUMMYFUNCTION("""COMPUTED_VALUE"""),45628.0)</f>
        <v>45628</v>
      </c>
      <c r="B4309" t="str">
        <f>IFERROR(__xludf.DUMMYFUNCTION("""COMPUTED_VALUE"""),"家庭帳戶")</f>
        <v>家庭帳戶</v>
      </c>
      <c r="C4309" t="str">
        <f>IFERROR(__xludf.DUMMYFUNCTION("""COMPUTED_VALUE"""),"費用 - Salary 薪資")</f>
        <v>費用 - Salary 薪資</v>
      </c>
      <c r="D4309" s="270">
        <f>IFERROR(__xludf.DUMMYFUNCTION("""COMPUTED_VALUE"""),-50015.0)</f>
        <v>-50015</v>
      </c>
      <c r="E4309" t="str">
        <f>IFERROR(__xludf.DUMMYFUNCTION("""COMPUTED_VALUE"""),"玉山帳戶")</f>
        <v>玉山帳戶</v>
      </c>
      <c r="F4309" t="str">
        <f>IFERROR(__xludf.DUMMYFUNCTION("""COMPUTED_VALUE"""),"中信銀行共用")</f>
        <v>中信銀行共用</v>
      </c>
      <c r="H4309" s="106" t="str">
        <f t="shared" si="1"/>
        <v>2024-12</v>
      </c>
      <c r="I4309" s="271" t="str">
        <f>IFERROR(__xludf.DUMMYFUNCTION("""COMPUTED_VALUE"""),"鯰魚大大")</f>
        <v>鯰魚大大</v>
      </c>
      <c r="J4309" t="str">
        <f>IFERROR(__xludf.DUMMYFUNCTION("IFS(
  AND(REGEXMATCH(E4309, ""台銀籌備帳戶|玉山帳戶""), REGEXMATCH(C4309, ""薪資"")), ""分潤支出"",
  AND(REGEXMATCH(E4309, ""Ben帳戶|Elsa帳戶|Ben代墊|Ariel代墊|中信銀行共用""), REGEXMATCH(F4309, ""Ben帳戶|Elsa帳戶|Ben代墊|Ariel代墊|中信銀行共用"")), ""內部轉帳(忽略)"",
  AND(E4309&lt;&gt;"""", F4309&lt;&gt;"""", N"&amp;"OT(REGEXMATCH(C4309, ""薪資""))), ""內部轉帳(忽略)"",
  REGEXMATCH(C4309, ""薪資""), ""薪資變動(不計入)"",
  REGEXMATCH(C4309, ""押金""), ""押金往來"",
  AND(E4309&lt;&gt;"""", F4309=""""), ""真實支出"",
  AND(E4309="""", F4309&lt;&gt;""""), ""真實收入"",
  TRUE, ""其他""
)"),"分潤支出")</f>
        <v>分潤支出</v>
      </c>
      <c r="K4309">
        <f t="shared" si="2"/>
        <v>0</v>
      </c>
      <c r="L4309">
        <f t="shared" si="3"/>
        <v>50015</v>
      </c>
    </row>
    <row r="4310">
      <c r="A4310" s="107">
        <f>IFERROR(__xludf.DUMMYFUNCTION("""COMPUTED_VALUE"""),45628.0)</f>
        <v>45628</v>
      </c>
      <c r="B4310" t="str">
        <f>IFERROR(__xludf.DUMMYFUNCTION("""COMPUTED_VALUE"""),"內湖秘境F楊芯岳")</f>
        <v>內湖秘境F楊芯岳</v>
      </c>
      <c r="C4310" t="str">
        <f>IFERROR(__xludf.DUMMYFUNCTION("""COMPUTED_VALUE"""),"收入 - 租金")</f>
        <v>收入 - 租金</v>
      </c>
      <c r="D4310" s="270">
        <f>IFERROR(__xludf.DUMMYFUNCTION("""COMPUTED_VALUE"""),10000.0)</f>
        <v>10000</v>
      </c>
      <c r="F4310" t="str">
        <f>IFERROR(__xludf.DUMMYFUNCTION("""COMPUTED_VALUE"""),"玉山帳戶")</f>
        <v>玉山帳戶</v>
      </c>
      <c r="G4310" t="str">
        <f>IFERROR(__xludf.DUMMYFUNCTION("""COMPUTED_VALUE"""),"內湖秘境")</f>
        <v>內湖秘境</v>
      </c>
      <c r="H4310" s="106" t="str">
        <f t="shared" si="1"/>
        <v>2024-12</v>
      </c>
      <c r="I4310" s="271" t="str">
        <f>IFERROR(__xludf.DUMMYFUNCTION("""COMPUTED_VALUE"""),"鯰魚大大")</f>
        <v>鯰魚大大</v>
      </c>
      <c r="J4310" t="str">
        <f>IFERROR(__xludf.DUMMYFUNCTION("IFS(
  AND(REGEXMATCH(E4310, ""台銀籌備帳戶|玉山帳戶""), REGEXMATCH(C4310, ""薪資"")), ""分潤支出"",
  AND(REGEXMATCH(E4310, ""Ben帳戶|Elsa帳戶|Ben代墊|Ariel代墊|中信銀行共用""), REGEXMATCH(F4310, ""Ben帳戶|Elsa帳戶|Ben代墊|Ariel代墊|中信銀行共用"")), ""內部轉帳(忽略)"",
  AND(E4310&lt;&gt;"""", F4310&lt;&gt;"""", N"&amp;"OT(REGEXMATCH(C4310, ""薪資""))), ""內部轉帳(忽略)"",
  REGEXMATCH(C4310, ""薪資""), ""薪資變動(不計入)"",
  REGEXMATCH(C4310, ""押金""), ""押金往來"",
  AND(E4310&lt;&gt;"""", F4310=""""), ""真實支出"",
  AND(E4310="""", F4310&lt;&gt;""""), ""真實收入"",
  TRUE, ""其他""
)"),"真實收入")</f>
        <v>真實收入</v>
      </c>
      <c r="K4310" s="270">
        <f t="shared" si="2"/>
        <v>10000</v>
      </c>
      <c r="L4310">
        <f t="shared" si="3"/>
        <v>0</v>
      </c>
    </row>
    <row r="4311">
      <c r="A4311" s="107">
        <f>IFERROR(__xludf.DUMMYFUNCTION("""COMPUTED_VALUE"""),45628.0)</f>
        <v>45628</v>
      </c>
      <c r="B4311" t="str">
        <f>IFERROR(__xludf.DUMMYFUNCTION("""COMPUTED_VALUE"""),"內湖秘境F楊芯岳")</f>
        <v>內湖秘境F楊芯岳</v>
      </c>
      <c r="C4311" t="str">
        <f>IFERROR(__xludf.DUMMYFUNCTION("""COMPUTED_VALUE"""),"收入 - 租金")</f>
        <v>收入 - 租金</v>
      </c>
      <c r="D4311" s="270">
        <f>IFERROR(__xludf.DUMMYFUNCTION("""COMPUTED_VALUE"""),3500.0)</f>
        <v>3500</v>
      </c>
      <c r="F4311" t="str">
        <f>IFERROR(__xludf.DUMMYFUNCTION("""COMPUTED_VALUE"""),"玉山帳戶")</f>
        <v>玉山帳戶</v>
      </c>
      <c r="G4311" t="str">
        <f>IFERROR(__xludf.DUMMYFUNCTION("""COMPUTED_VALUE"""),"內湖秘境")</f>
        <v>內湖秘境</v>
      </c>
      <c r="H4311" s="106" t="str">
        <f t="shared" si="1"/>
        <v>2024-12</v>
      </c>
      <c r="I4311" s="271" t="str">
        <f>IFERROR(__xludf.DUMMYFUNCTION("""COMPUTED_VALUE"""),"鯰魚大大")</f>
        <v>鯰魚大大</v>
      </c>
      <c r="J4311" t="str">
        <f>IFERROR(__xludf.DUMMYFUNCTION("IFS(
  AND(REGEXMATCH(E4311, ""台銀籌備帳戶|玉山帳戶""), REGEXMATCH(C4311, ""薪資"")), ""分潤支出"",
  AND(REGEXMATCH(E4311, ""Ben帳戶|Elsa帳戶|Ben代墊|Ariel代墊|中信銀行共用""), REGEXMATCH(F4311, ""Ben帳戶|Elsa帳戶|Ben代墊|Ariel代墊|中信銀行共用"")), ""內部轉帳(忽略)"",
  AND(E4311&lt;&gt;"""", F4311&lt;&gt;"""", N"&amp;"OT(REGEXMATCH(C4311, ""薪資""))), ""內部轉帳(忽略)"",
  REGEXMATCH(C4311, ""薪資""), ""薪資變動(不計入)"",
  REGEXMATCH(C4311, ""押金""), ""押金往來"",
  AND(E4311&lt;&gt;"""", F4311=""""), ""真實支出"",
  AND(E4311="""", F4311&lt;&gt;""""), ""真實收入"",
  TRUE, ""其他""
)"),"真實收入")</f>
        <v>真實收入</v>
      </c>
      <c r="K4311" s="270">
        <f t="shared" si="2"/>
        <v>3500</v>
      </c>
      <c r="L4311">
        <f t="shared" si="3"/>
        <v>0</v>
      </c>
    </row>
    <row r="4312">
      <c r="A4312" s="107">
        <f>IFERROR(__xludf.DUMMYFUNCTION("""COMPUTED_VALUE"""),45628.0)</f>
        <v>45628</v>
      </c>
      <c r="B4312" t="str">
        <f>IFERROR(__xludf.DUMMYFUNCTION("""COMPUTED_VALUE"""),"士林和豐B郭昱慧")</f>
        <v>士林和豐B郭昱慧</v>
      </c>
      <c r="C4312" t="str">
        <f>IFERROR(__xludf.DUMMYFUNCTION("""COMPUTED_VALUE"""),"收入 - 租金")</f>
        <v>收入 - 租金</v>
      </c>
      <c r="D4312" s="270">
        <f>IFERROR(__xludf.DUMMYFUNCTION("""COMPUTED_VALUE"""),14100.0)</f>
        <v>14100</v>
      </c>
      <c r="F4312" t="str">
        <f>IFERROR(__xludf.DUMMYFUNCTION("""COMPUTED_VALUE"""),"玉山帳戶")</f>
        <v>玉山帳戶</v>
      </c>
      <c r="G4312" t="str">
        <f>IFERROR(__xludf.DUMMYFUNCTION("""COMPUTED_VALUE"""),"士林和豐")</f>
        <v>士林和豐</v>
      </c>
      <c r="H4312" s="106" t="str">
        <f t="shared" si="1"/>
        <v>2024-12</v>
      </c>
      <c r="I4312" s="271" t="str">
        <f>IFERROR(__xludf.DUMMYFUNCTION("""COMPUTED_VALUE"""),"鯰魚大大")</f>
        <v>鯰魚大大</v>
      </c>
      <c r="J4312" t="str">
        <f>IFERROR(__xludf.DUMMYFUNCTION("IFS(
  AND(REGEXMATCH(E4312, ""台銀籌備帳戶|玉山帳戶""), REGEXMATCH(C4312, ""薪資"")), ""分潤支出"",
  AND(REGEXMATCH(E4312, ""Ben帳戶|Elsa帳戶|Ben代墊|Ariel代墊|中信銀行共用""), REGEXMATCH(F4312, ""Ben帳戶|Elsa帳戶|Ben代墊|Ariel代墊|中信銀行共用"")), ""內部轉帳(忽略)"",
  AND(E4312&lt;&gt;"""", F4312&lt;&gt;"""", N"&amp;"OT(REGEXMATCH(C4312, ""薪資""))), ""內部轉帳(忽略)"",
  REGEXMATCH(C4312, ""薪資""), ""薪資變動(不計入)"",
  REGEXMATCH(C4312, ""押金""), ""押金往來"",
  AND(E4312&lt;&gt;"""", F4312=""""), ""真實支出"",
  AND(E4312="""", F4312&lt;&gt;""""), ""真實收入"",
  TRUE, ""其他""
)"),"真實收入")</f>
        <v>真實收入</v>
      </c>
      <c r="K4312" s="270">
        <f t="shared" si="2"/>
        <v>14100</v>
      </c>
      <c r="L4312">
        <f t="shared" si="3"/>
        <v>0</v>
      </c>
    </row>
    <row r="4313">
      <c r="A4313" s="107">
        <f>IFERROR(__xludf.DUMMYFUNCTION("""COMPUTED_VALUE"""),45629.0)</f>
        <v>45629</v>
      </c>
      <c r="B4313" t="str">
        <f>IFERROR(__xludf.DUMMYFUNCTION("""COMPUTED_VALUE"""),"微波爐")</f>
        <v>微波爐</v>
      </c>
      <c r="C4313" t="str">
        <f>IFERROR(__xludf.DUMMYFUNCTION("""COMPUTED_VALUE"""),"成本 - 進場前裝潢費")</f>
        <v>成本 - 進場前裝潢費</v>
      </c>
      <c r="D4313" s="270">
        <f>IFERROR(__xludf.DUMMYFUNCTION("""COMPUTED_VALUE"""),-1799.0)</f>
        <v>-1799</v>
      </c>
      <c r="E4313" t="str">
        <f>IFERROR(__xludf.DUMMYFUNCTION("""COMPUTED_VALUE"""),"Ariel代墊")</f>
        <v>Ariel代墊</v>
      </c>
      <c r="G4313" t="str">
        <f>IFERROR(__xludf.DUMMYFUNCTION("""COMPUTED_VALUE"""),"行天宮夏野良栗")</f>
        <v>行天宮夏野良栗</v>
      </c>
      <c r="H4313" s="106" t="str">
        <f t="shared" si="1"/>
        <v>2024-12</v>
      </c>
      <c r="I4313" s="271" t="str">
        <f>IFERROR(__xludf.DUMMYFUNCTION("""COMPUTED_VALUE"""),"鯰魚大大")</f>
        <v>鯰魚大大</v>
      </c>
      <c r="J4313" t="str">
        <f>IFERROR(__xludf.DUMMYFUNCTION("IFS(
  AND(REGEXMATCH(E4313, ""台銀籌備帳戶|玉山帳戶""), REGEXMATCH(C4313, ""薪資"")), ""分潤支出"",
  AND(REGEXMATCH(E4313, ""Ben帳戶|Elsa帳戶|Ben代墊|Ariel代墊|中信銀行共用""), REGEXMATCH(F4313, ""Ben帳戶|Elsa帳戶|Ben代墊|Ariel代墊|中信銀行共用"")), ""內部轉帳(忽略)"",
  AND(E4313&lt;&gt;"""", F4313&lt;&gt;"""", N"&amp;"OT(REGEXMATCH(C4313, ""薪資""))), ""內部轉帳(忽略)"",
  REGEXMATCH(C4313, ""薪資""), ""薪資變動(不計入)"",
  REGEXMATCH(C4313, ""押金""), ""押金往來"",
  AND(E4313&lt;&gt;"""", F4313=""""), ""真實支出"",
  AND(E4313="""", F4313&lt;&gt;""""), ""真實收入"",
  TRUE, ""其他""
)"),"真實支出")</f>
        <v>真實支出</v>
      </c>
      <c r="K4313" s="270">
        <f t="shared" si="2"/>
        <v>-1799</v>
      </c>
      <c r="L4313">
        <f t="shared" si="3"/>
        <v>0</v>
      </c>
    </row>
    <row r="4314">
      <c r="A4314" s="107">
        <f>IFERROR(__xludf.DUMMYFUNCTION("""COMPUTED_VALUE"""),45629.0)</f>
        <v>45629</v>
      </c>
      <c r="B4314" t="str">
        <f>IFERROR(__xludf.DUMMYFUNCTION("""COMPUTED_VALUE"""),"劍潭套房A591")</f>
        <v>劍潭套房A591</v>
      </c>
      <c r="C4314" t="str">
        <f>IFERROR(__xludf.DUMMYFUNCTION("""COMPUTED_VALUE"""),"成本 - 仲介費")</f>
        <v>成本 - 仲介費</v>
      </c>
      <c r="D4314" s="270">
        <f>IFERROR(__xludf.DUMMYFUNCTION("""COMPUTED_VALUE"""),-1289.0)</f>
        <v>-1289</v>
      </c>
      <c r="E4314" t="str">
        <f>IFERROR(__xludf.DUMMYFUNCTION("""COMPUTED_VALUE"""),"Ben代墊")</f>
        <v>Ben代墊</v>
      </c>
      <c r="G4314" t="str">
        <f>IFERROR(__xludf.DUMMYFUNCTION("""COMPUTED_VALUE"""),"士林和豐")</f>
        <v>士林和豐</v>
      </c>
      <c r="H4314" s="106" t="str">
        <f t="shared" si="1"/>
        <v>2024-12</v>
      </c>
      <c r="I4314" s="271" t="str">
        <f>IFERROR(__xludf.DUMMYFUNCTION("""COMPUTED_VALUE"""),"鯰魚大大")</f>
        <v>鯰魚大大</v>
      </c>
      <c r="J4314" t="str">
        <f>IFERROR(__xludf.DUMMYFUNCTION("IFS(
  AND(REGEXMATCH(E4314, ""台銀籌備帳戶|玉山帳戶""), REGEXMATCH(C4314, ""薪資"")), ""分潤支出"",
  AND(REGEXMATCH(E4314, ""Ben帳戶|Elsa帳戶|Ben代墊|Ariel代墊|中信銀行共用""), REGEXMATCH(F4314, ""Ben帳戶|Elsa帳戶|Ben代墊|Ariel代墊|中信銀行共用"")), ""內部轉帳(忽略)"",
  AND(E4314&lt;&gt;"""", F4314&lt;&gt;"""", N"&amp;"OT(REGEXMATCH(C4314, ""薪資""))), ""內部轉帳(忽略)"",
  REGEXMATCH(C4314, ""薪資""), ""薪資變動(不計入)"",
  REGEXMATCH(C4314, ""押金""), ""押金往來"",
  AND(E4314&lt;&gt;"""", F4314=""""), ""真實支出"",
  AND(E4314="""", F4314&lt;&gt;""""), ""真實收入"",
  TRUE, ""其他""
)"),"真實支出")</f>
        <v>真實支出</v>
      </c>
      <c r="K4314" s="270">
        <f t="shared" si="2"/>
        <v>-1289</v>
      </c>
      <c r="L4314">
        <f t="shared" si="3"/>
        <v>0</v>
      </c>
    </row>
    <row r="4315">
      <c r="A4315" s="107">
        <f>IFERROR(__xludf.DUMMYFUNCTION("""COMPUTED_VALUE"""),45629.0)</f>
        <v>45629</v>
      </c>
      <c r="B4315" t="str">
        <f>IFERROR(__xludf.DUMMYFUNCTION("""COMPUTED_VALUE"""),"內湖秘境E591")</f>
        <v>內湖秘境E591</v>
      </c>
      <c r="C4315" t="str">
        <f>IFERROR(__xludf.DUMMYFUNCTION("""COMPUTED_VALUE"""),"成本 - 仲介費")</f>
        <v>成本 - 仲介費</v>
      </c>
      <c r="D4315" s="270">
        <f>IFERROR(__xludf.DUMMYFUNCTION("""COMPUTED_VALUE"""),-1289.0)</f>
        <v>-1289</v>
      </c>
      <c r="E4315" t="str">
        <f>IFERROR(__xludf.DUMMYFUNCTION("""COMPUTED_VALUE"""),"Ben代墊")</f>
        <v>Ben代墊</v>
      </c>
      <c r="G4315" t="str">
        <f>IFERROR(__xludf.DUMMYFUNCTION("""COMPUTED_VALUE"""),"內湖秘境")</f>
        <v>內湖秘境</v>
      </c>
      <c r="H4315" s="106" t="str">
        <f t="shared" si="1"/>
        <v>2024-12</v>
      </c>
      <c r="I4315" s="271" t="str">
        <f>IFERROR(__xludf.DUMMYFUNCTION("""COMPUTED_VALUE"""),"鯰魚大大")</f>
        <v>鯰魚大大</v>
      </c>
      <c r="J4315" t="str">
        <f>IFERROR(__xludf.DUMMYFUNCTION("IFS(
  AND(REGEXMATCH(E4315, ""台銀籌備帳戶|玉山帳戶""), REGEXMATCH(C4315, ""薪資"")), ""分潤支出"",
  AND(REGEXMATCH(E4315, ""Ben帳戶|Elsa帳戶|Ben代墊|Ariel代墊|中信銀行共用""), REGEXMATCH(F4315, ""Ben帳戶|Elsa帳戶|Ben代墊|Ariel代墊|中信銀行共用"")), ""內部轉帳(忽略)"",
  AND(E4315&lt;&gt;"""", F4315&lt;&gt;"""", N"&amp;"OT(REGEXMATCH(C4315, ""薪資""))), ""內部轉帳(忽略)"",
  REGEXMATCH(C4315, ""薪資""), ""薪資變動(不計入)"",
  REGEXMATCH(C4315, ""押金""), ""押金往來"",
  AND(E4315&lt;&gt;"""", F4315=""""), ""真實支出"",
  AND(E4315="""", F4315&lt;&gt;""""), ""真實收入"",
  TRUE, ""其他""
)"),"真實支出")</f>
        <v>真實支出</v>
      </c>
      <c r="K4315" s="270">
        <f t="shared" si="2"/>
        <v>-1289</v>
      </c>
      <c r="L4315">
        <f t="shared" si="3"/>
        <v>0</v>
      </c>
    </row>
    <row r="4316">
      <c r="A4316" s="107">
        <f>IFERROR(__xludf.DUMMYFUNCTION("""COMPUTED_VALUE"""),45629.0)</f>
        <v>45629</v>
      </c>
      <c r="B4316" t="str">
        <f>IFERROR(__xludf.DUMMYFUNCTION("""COMPUTED_VALUE"""),"行天宮夏野良栗A鄒欣穎")</f>
        <v>行天宮夏野良栗A鄒欣穎</v>
      </c>
      <c r="C4316" t="str">
        <f>IFERROR(__xludf.DUMMYFUNCTION("""COMPUTED_VALUE"""),"收入 - 租金")</f>
        <v>收入 - 租金</v>
      </c>
      <c r="D4316" s="270">
        <f>IFERROR(__xludf.DUMMYFUNCTION("""COMPUTED_VALUE"""),14200.0)</f>
        <v>14200</v>
      </c>
      <c r="F4316" t="str">
        <f>IFERROR(__xludf.DUMMYFUNCTION("""COMPUTED_VALUE"""),"玉山帳戶")</f>
        <v>玉山帳戶</v>
      </c>
      <c r="G4316" t="str">
        <f>IFERROR(__xludf.DUMMYFUNCTION("""COMPUTED_VALUE"""),"行天宮夏野良栗")</f>
        <v>行天宮夏野良栗</v>
      </c>
      <c r="H4316" s="106" t="str">
        <f t="shared" si="1"/>
        <v>2024-12</v>
      </c>
      <c r="I4316" s="271" t="str">
        <f>IFERROR(__xludf.DUMMYFUNCTION("""COMPUTED_VALUE"""),"鯰魚大大")</f>
        <v>鯰魚大大</v>
      </c>
      <c r="J4316" t="str">
        <f>IFERROR(__xludf.DUMMYFUNCTION("IFS(
  AND(REGEXMATCH(E4316, ""台銀籌備帳戶|玉山帳戶""), REGEXMATCH(C4316, ""薪資"")), ""分潤支出"",
  AND(REGEXMATCH(E4316, ""Ben帳戶|Elsa帳戶|Ben代墊|Ariel代墊|中信銀行共用""), REGEXMATCH(F4316, ""Ben帳戶|Elsa帳戶|Ben代墊|Ariel代墊|中信銀行共用"")), ""內部轉帳(忽略)"",
  AND(E4316&lt;&gt;"""", F4316&lt;&gt;"""", N"&amp;"OT(REGEXMATCH(C4316, ""薪資""))), ""內部轉帳(忽略)"",
  REGEXMATCH(C4316, ""薪資""), ""薪資變動(不計入)"",
  REGEXMATCH(C4316, ""押金""), ""押金往來"",
  AND(E4316&lt;&gt;"""", F4316=""""), ""真實支出"",
  AND(E4316="""", F4316&lt;&gt;""""), ""真實收入"",
  TRUE, ""其他""
)"),"真實收入")</f>
        <v>真實收入</v>
      </c>
      <c r="K4316" s="270">
        <f t="shared" si="2"/>
        <v>14200</v>
      </c>
      <c r="L4316">
        <f t="shared" si="3"/>
        <v>0</v>
      </c>
    </row>
    <row r="4317">
      <c r="A4317" s="107">
        <f>IFERROR(__xludf.DUMMYFUNCTION("""COMPUTED_VALUE"""),45629.0)</f>
        <v>45629</v>
      </c>
      <c r="B4317" t="str">
        <f>IFERROR(__xludf.DUMMYFUNCTION("""COMPUTED_VALUE"""),"內湖周姐大租金")</f>
        <v>內湖周姐大租金</v>
      </c>
      <c r="C4317" t="str">
        <f>IFERROR(__xludf.DUMMYFUNCTION("""COMPUTED_VALUE"""),"成本 - 大租金")</f>
        <v>成本 - 大租金</v>
      </c>
      <c r="D4317" s="270">
        <f>IFERROR(__xludf.DUMMYFUNCTION("""COMPUTED_VALUE"""),-45015.0)</f>
        <v>-45015</v>
      </c>
      <c r="E4317" t="str">
        <f>IFERROR(__xludf.DUMMYFUNCTION("""COMPUTED_VALUE"""),"玉山帳戶")</f>
        <v>玉山帳戶</v>
      </c>
      <c r="G4317" t="str">
        <f>IFERROR(__xludf.DUMMYFUNCTION("""COMPUTED_VALUE"""),"內湖秘境")</f>
        <v>內湖秘境</v>
      </c>
      <c r="H4317" s="106" t="str">
        <f t="shared" si="1"/>
        <v>2024-12</v>
      </c>
      <c r="I4317" s="271" t="str">
        <f>IFERROR(__xludf.DUMMYFUNCTION("""COMPUTED_VALUE"""),"鯰魚大大")</f>
        <v>鯰魚大大</v>
      </c>
      <c r="J4317" t="str">
        <f>IFERROR(__xludf.DUMMYFUNCTION("IFS(
  AND(REGEXMATCH(E4317, ""台銀籌備帳戶|玉山帳戶""), REGEXMATCH(C4317, ""薪資"")), ""分潤支出"",
  AND(REGEXMATCH(E4317, ""Ben帳戶|Elsa帳戶|Ben代墊|Ariel代墊|中信銀行共用""), REGEXMATCH(F4317, ""Ben帳戶|Elsa帳戶|Ben代墊|Ariel代墊|中信銀行共用"")), ""內部轉帳(忽略)"",
  AND(E4317&lt;&gt;"""", F4317&lt;&gt;"""", N"&amp;"OT(REGEXMATCH(C4317, ""薪資""))), ""內部轉帳(忽略)"",
  REGEXMATCH(C4317, ""薪資""), ""薪資變動(不計入)"",
  REGEXMATCH(C4317, ""押金""), ""押金往來"",
  AND(E4317&lt;&gt;"""", F4317=""""), ""真實支出"",
  AND(E4317="""", F4317&lt;&gt;""""), ""真實收入"",
  TRUE, ""其他""
)"),"真實支出")</f>
        <v>真實支出</v>
      </c>
      <c r="K4317" s="270">
        <f t="shared" si="2"/>
        <v>-45015</v>
      </c>
      <c r="L4317">
        <f t="shared" si="3"/>
        <v>0</v>
      </c>
    </row>
    <row r="4318">
      <c r="A4318" s="107">
        <f>IFERROR(__xludf.DUMMYFUNCTION("""COMPUTED_VALUE"""),45629.0)</f>
        <v>45629</v>
      </c>
      <c r="B4318" t="str">
        <f>IFERROR(__xludf.DUMMYFUNCTION("""COMPUTED_VALUE"""),"夏野D 首租")</f>
        <v>夏野D 首租</v>
      </c>
      <c r="C4318" t="str">
        <f>IFERROR(__xludf.DUMMYFUNCTION("""COMPUTED_VALUE"""),"收入 - 租金")</f>
        <v>收入 - 租金</v>
      </c>
      <c r="D4318" s="270">
        <f>IFERROR(__xludf.DUMMYFUNCTION("""COMPUTED_VALUE"""),8671.0)</f>
        <v>8671</v>
      </c>
      <c r="F4318" t="str">
        <f>IFERROR(__xludf.DUMMYFUNCTION("""COMPUTED_VALUE"""),"Ben代墊")</f>
        <v>Ben代墊</v>
      </c>
      <c r="G4318" t="str">
        <f>IFERROR(__xludf.DUMMYFUNCTION("""COMPUTED_VALUE"""),"行天宮夏野良栗")</f>
        <v>行天宮夏野良栗</v>
      </c>
      <c r="H4318" s="106" t="str">
        <f t="shared" si="1"/>
        <v>2024-12</v>
      </c>
      <c r="I4318" s="271" t="str">
        <f>IFERROR(__xludf.DUMMYFUNCTION("""COMPUTED_VALUE"""),"鯰魚大大")</f>
        <v>鯰魚大大</v>
      </c>
      <c r="J4318" t="str">
        <f>IFERROR(__xludf.DUMMYFUNCTION("IFS(
  AND(REGEXMATCH(E4318, ""台銀籌備帳戶|玉山帳戶""), REGEXMATCH(C4318, ""薪資"")), ""分潤支出"",
  AND(REGEXMATCH(E4318, ""Ben帳戶|Elsa帳戶|Ben代墊|Ariel代墊|中信銀行共用""), REGEXMATCH(F4318, ""Ben帳戶|Elsa帳戶|Ben代墊|Ariel代墊|中信銀行共用"")), ""內部轉帳(忽略)"",
  AND(E4318&lt;&gt;"""", F4318&lt;&gt;"""", N"&amp;"OT(REGEXMATCH(C4318, ""薪資""))), ""內部轉帳(忽略)"",
  REGEXMATCH(C4318, ""薪資""), ""薪資變動(不計入)"",
  REGEXMATCH(C4318, ""押金""), ""押金往來"",
  AND(E4318&lt;&gt;"""", F4318=""""), ""真實支出"",
  AND(E4318="""", F4318&lt;&gt;""""), ""真實收入"",
  TRUE, ""其他""
)"),"真實收入")</f>
        <v>真實收入</v>
      </c>
      <c r="K4318" s="270">
        <f t="shared" si="2"/>
        <v>8671</v>
      </c>
      <c r="L4318">
        <f t="shared" si="3"/>
        <v>0</v>
      </c>
    </row>
    <row r="4319">
      <c r="A4319" s="107">
        <f>IFERROR(__xludf.DUMMYFUNCTION("""COMPUTED_VALUE"""),45629.0)</f>
        <v>45629</v>
      </c>
      <c r="B4319" t="str">
        <f>IFERROR(__xludf.DUMMYFUNCTION("""COMPUTED_VALUE"""),"夏野D 二押")</f>
        <v>夏野D 二押</v>
      </c>
      <c r="C4319" t="str">
        <f>IFERROR(__xludf.DUMMYFUNCTION("""COMPUTED_VALUE"""),"收入 - 押金")</f>
        <v>收入 - 押金</v>
      </c>
      <c r="D4319" s="270">
        <f>IFERROR(__xludf.DUMMYFUNCTION("""COMPUTED_VALUE"""),22400.0)</f>
        <v>22400</v>
      </c>
      <c r="F4319" t="str">
        <f>IFERROR(__xludf.DUMMYFUNCTION("""COMPUTED_VALUE"""),"Ben代墊")</f>
        <v>Ben代墊</v>
      </c>
      <c r="G4319" t="str">
        <f>IFERROR(__xludf.DUMMYFUNCTION("""COMPUTED_VALUE"""),"行天宮夏野良栗")</f>
        <v>行天宮夏野良栗</v>
      </c>
      <c r="H4319" s="106" t="str">
        <f t="shared" si="1"/>
        <v>2024-12</v>
      </c>
      <c r="I4319" s="271" t="str">
        <f>IFERROR(__xludf.DUMMYFUNCTION("""COMPUTED_VALUE"""),"鯰魚大大")</f>
        <v>鯰魚大大</v>
      </c>
      <c r="J4319" t="str">
        <f>IFERROR(__xludf.DUMMYFUNCTION("IFS(
  AND(REGEXMATCH(E4319, ""台銀籌備帳戶|玉山帳戶""), REGEXMATCH(C4319, ""薪資"")), ""分潤支出"",
  AND(REGEXMATCH(E4319, ""Ben帳戶|Elsa帳戶|Ben代墊|Ariel代墊|中信銀行共用""), REGEXMATCH(F4319, ""Ben帳戶|Elsa帳戶|Ben代墊|Ariel代墊|中信銀行共用"")), ""內部轉帳(忽略)"",
  AND(E4319&lt;&gt;"""", F4319&lt;&gt;"""", N"&amp;"OT(REGEXMATCH(C4319, ""薪資""))), ""內部轉帳(忽略)"",
  REGEXMATCH(C4319, ""薪資""), ""薪資變動(不計入)"",
  REGEXMATCH(C4319, ""押金""), ""押金往來"",
  AND(E4319&lt;&gt;"""", F4319=""""), ""真實支出"",
  AND(E4319="""", F4319&lt;&gt;""""), ""真實收入"",
  TRUE, ""其他""
)"),"押金往來")</f>
        <v>押金往來</v>
      </c>
      <c r="K4319">
        <f t="shared" si="2"/>
        <v>0</v>
      </c>
      <c r="L4319">
        <f t="shared" si="3"/>
        <v>0</v>
      </c>
    </row>
    <row r="4320">
      <c r="A4320" s="107">
        <f>IFERROR(__xludf.DUMMYFUNCTION("""COMPUTED_VALUE"""),45635.0)</f>
        <v>45635</v>
      </c>
      <c r="B4320" t="str">
        <f>IFERROR(__xludf.DUMMYFUNCTION("""COMPUTED_VALUE"""),"垃圾代收垃可")</f>
        <v>垃圾代收垃可</v>
      </c>
      <c r="C4320" t="str">
        <f>IFERROR(__xludf.DUMMYFUNCTION("""COMPUTED_VALUE"""),"成本 - 固定開銷(網路代收清潔)")</f>
        <v>成本 - 固定開銷(網路代收清潔)</v>
      </c>
      <c r="D4320" s="270">
        <f>IFERROR(__xludf.DUMMYFUNCTION("""COMPUTED_VALUE"""),-700.0)</f>
        <v>-700</v>
      </c>
      <c r="E4320" t="str">
        <f>IFERROR(__xludf.DUMMYFUNCTION("""COMPUTED_VALUE"""),"Ben代墊")</f>
        <v>Ben代墊</v>
      </c>
      <c r="H4320" s="106" t="str">
        <f t="shared" si="1"/>
        <v>2024-12</v>
      </c>
      <c r="I4320" s="271" t="str">
        <f>IFERROR(__xludf.DUMMYFUNCTION("""COMPUTED_VALUE"""),"鯰魚大大")</f>
        <v>鯰魚大大</v>
      </c>
      <c r="J4320" t="str">
        <f>IFERROR(__xludf.DUMMYFUNCTION("IFS(
  AND(REGEXMATCH(E4320, ""台銀籌備帳戶|玉山帳戶""), REGEXMATCH(C4320, ""薪資"")), ""分潤支出"",
  AND(REGEXMATCH(E4320, ""Ben帳戶|Elsa帳戶|Ben代墊|Ariel代墊|中信銀行共用""), REGEXMATCH(F4320, ""Ben帳戶|Elsa帳戶|Ben代墊|Ariel代墊|中信銀行共用"")), ""內部轉帳(忽略)"",
  AND(E4320&lt;&gt;"""", F4320&lt;&gt;"""", N"&amp;"OT(REGEXMATCH(C4320, ""薪資""))), ""內部轉帳(忽略)"",
  REGEXMATCH(C4320, ""薪資""), ""薪資變動(不計入)"",
  REGEXMATCH(C4320, ""押金""), ""押金往來"",
  AND(E4320&lt;&gt;"""", F4320=""""), ""真實支出"",
  AND(E4320="""", F4320&lt;&gt;""""), ""真實收入"",
  TRUE, ""其他""
)"),"真實支出")</f>
        <v>真實支出</v>
      </c>
      <c r="K4320" s="270">
        <f t="shared" si="2"/>
        <v>-700</v>
      </c>
      <c r="L4320">
        <f t="shared" si="3"/>
        <v>0</v>
      </c>
    </row>
    <row r="4321">
      <c r="A4321" s="107">
        <f>IFERROR(__xludf.DUMMYFUNCTION("""COMPUTED_VALUE"""),45638.0)</f>
        <v>45638</v>
      </c>
      <c r="B4321" t="str">
        <f>IFERROR(__xludf.DUMMYFUNCTION("""COMPUTED_VALUE"""),"內湖B房李方羽 退租退押金")</f>
        <v>內湖B房李方羽 退租退押金</v>
      </c>
      <c r="C4321" t="str">
        <f>IFERROR(__xludf.DUMMYFUNCTION("""COMPUTED_VALUE"""),"收入 - 押金")</f>
        <v>收入 - 押金</v>
      </c>
      <c r="D4321" s="270">
        <f>IFERROR(__xludf.DUMMYFUNCTION("""COMPUTED_VALUE"""),-24600.0)</f>
        <v>-24600</v>
      </c>
      <c r="E4321" t="str">
        <f>IFERROR(__xludf.DUMMYFUNCTION("""COMPUTED_VALUE"""),"Ariel代墊")</f>
        <v>Ariel代墊</v>
      </c>
      <c r="G4321" t="str">
        <f>IFERROR(__xludf.DUMMYFUNCTION("""COMPUTED_VALUE"""),"內湖秘境")</f>
        <v>內湖秘境</v>
      </c>
      <c r="H4321" s="106" t="str">
        <f t="shared" si="1"/>
        <v>2024-12</v>
      </c>
      <c r="I4321" s="271" t="str">
        <f>IFERROR(__xludf.DUMMYFUNCTION("""COMPUTED_VALUE"""),"鯰魚大大")</f>
        <v>鯰魚大大</v>
      </c>
      <c r="J4321" t="str">
        <f>IFERROR(__xludf.DUMMYFUNCTION("IFS(
  AND(REGEXMATCH(E4321, ""台銀籌備帳戶|玉山帳戶""), REGEXMATCH(C4321, ""薪資"")), ""分潤支出"",
  AND(REGEXMATCH(E4321, ""Ben帳戶|Elsa帳戶|Ben代墊|Ariel代墊|中信銀行共用""), REGEXMATCH(F4321, ""Ben帳戶|Elsa帳戶|Ben代墊|Ariel代墊|中信銀行共用"")), ""內部轉帳(忽略)"",
  AND(E4321&lt;&gt;"""", F4321&lt;&gt;"""", N"&amp;"OT(REGEXMATCH(C4321, ""薪資""))), ""內部轉帳(忽略)"",
  REGEXMATCH(C4321, ""薪資""), ""薪資變動(不計入)"",
  REGEXMATCH(C4321, ""押金""), ""押金往來"",
  AND(E4321&lt;&gt;"""", F4321=""""), ""真實支出"",
  AND(E4321="""", F4321&lt;&gt;""""), ""真實收入"",
  TRUE, ""其他""
)"),"押金往來")</f>
        <v>押金往來</v>
      </c>
      <c r="K4321">
        <f t="shared" si="2"/>
        <v>0</v>
      </c>
      <c r="L4321">
        <f t="shared" si="3"/>
        <v>0</v>
      </c>
    </row>
    <row r="4322">
      <c r="A4322" s="107">
        <f>IFERROR(__xludf.DUMMYFUNCTION("""COMPUTED_VALUE"""),45638.0)</f>
        <v>45638</v>
      </c>
      <c r="B4322" t="str">
        <f>IFERROR(__xludf.DUMMYFUNCTION("""COMPUTED_VALUE"""),"內湖清潔費11月")</f>
        <v>內湖清潔費11月</v>
      </c>
      <c r="C4322" t="str">
        <f>IFERROR(__xludf.DUMMYFUNCTION("""COMPUTED_VALUE"""),"成本 - 固定開銷(網路代收清潔)")</f>
        <v>成本 - 固定開銷(網路代收清潔)</v>
      </c>
      <c r="D4322" s="270">
        <f>IFERROR(__xludf.DUMMYFUNCTION("""COMPUTED_VALUE"""),-1050.0)</f>
        <v>-1050</v>
      </c>
      <c r="E4322" t="str">
        <f>IFERROR(__xludf.DUMMYFUNCTION("""COMPUTED_VALUE"""),"Ariel代墊")</f>
        <v>Ariel代墊</v>
      </c>
      <c r="G4322" t="str">
        <f>IFERROR(__xludf.DUMMYFUNCTION("""COMPUTED_VALUE"""),"內湖秘境")</f>
        <v>內湖秘境</v>
      </c>
      <c r="H4322" s="106" t="str">
        <f t="shared" si="1"/>
        <v>2024-12</v>
      </c>
      <c r="I4322" s="271" t="str">
        <f>IFERROR(__xludf.DUMMYFUNCTION("""COMPUTED_VALUE"""),"鯰魚大大")</f>
        <v>鯰魚大大</v>
      </c>
      <c r="J4322" t="str">
        <f>IFERROR(__xludf.DUMMYFUNCTION("IFS(
  AND(REGEXMATCH(E4322, ""台銀籌備帳戶|玉山帳戶""), REGEXMATCH(C4322, ""薪資"")), ""分潤支出"",
  AND(REGEXMATCH(E4322, ""Ben帳戶|Elsa帳戶|Ben代墊|Ariel代墊|中信銀行共用""), REGEXMATCH(F4322, ""Ben帳戶|Elsa帳戶|Ben代墊|Ariel代墊|中信銀行共用"")), ""內部轉帳(忽略)"",
  AND(E4322&lt;&gt;"""", F4322&lt;&gt;"""", N"&amp;"OT(REGEXMATCH(C4322, ""薪資""))), ""內部轉帳(忽略)"",
  REGEXMATCH(C4322, ""薪資""), ""薪資變動(不計入)"",
  REGEXMATCH(C4322, ""押金""), ""押金往來"",
  AND(E4322&lt;&gt;"""", F4322=""""), ""真實支出"",
  AND(E4322="""", F4322&lt;&gt;""""), ""真實收入"",
  TRUE, ""其他""
)"),"真實支出")</f>
        <v>真實支出</v>
      </c>
      <c r="K4322" s="270">
        <f t="shared" si="2"/>
        <v>-1050</v>
      </c>
      <c r="L4322">
        <f t="shared" si="3"/>
        <v>0</v>
      </c>
    </row>
    <row r="4323">
      <c r="A4323" s="107">
        <f>IFERROR(__xludf.DUMMYFUNCTION("""COMPUTED_VALUE"""),45638.0)</f>
        <v>45638</v>
      </c>
      <c r="B4323" t="str">
        <f>IFERROR(__xludf.DUMMYFUNCTION("""COMPUTED_VALUE"""),"行天宮軟裝搬運")</f>
        <v>行天宮軟裝搬運</v>
      </c>
      <c r="C4323" t="str">
        <f>IFERROR(__xludf.DUMMYFUNCTION("""COMPUTED_VALUE"""),"成本 - 進場前裝潢費")</f>
        <v>成本 - 進場前裝潢費</v>
      </c>
      <c r="D4323" s="270">
        <f>IFERROR(__xludf.DUMMYFUNCTION("""COMPUTED_VALUE"""),-1155.0)</f>
        <v>-1155</v>
      </c>
      <c r="E4323" t="str">
        <f>IFERROR(__xludf.DUMMYFUNCTION("""COMPUTED_VALUE"""),"Ariel代墊")</f>
        <v>Ariel代墊</v>
      </c>
      <c r="G4323" t="str">
        <f>IFERROR(__xludf.DUMMYFUNCTION("""COMPUTED_VALUE"""),"行天宮夏野良栗")</f>
        <v>行天宮夏野良栗</v>
      </c>
      <c r="H4323" s="106" t="str">
        <f t="shared" si="1"/>
        <v>2024-12</v>
      </c>
      <c r="I4323" s="271" t="str">
        <f>IFERROR(__xludf.DUMMYFUNCTION("""COMPUTED_VALUE"""),"鯰魚大大")</f>
        <v>鯰魚大大</v>
      </c>
      <c r="J4323" t="str">
        <f>IFERROR(__xludf.DUMMYFUNCTION("IFS(
  AND(REGEXMATCH(E4323, ""台銀籌備帳戶|玉山帳戶""), REGEXMATCH(C4323, ""薪資"")), ""分潤支出"",
  AND(REGEXMATCH(E4323, ""Ben帳戶|Elsa帳戶|Ben代墊|Ariel代墊|中信銀行共用""), REGEXMATCH(F4323, ""Ben帳戶|Elsa帳戶|Ben代墊|Ariel代墊|中信銀行共用"")), ""內部轉帳(忽略)"",
  AND(E4323&lt;&gt;"""", F4323&lt;&gt;"""", N"&amp;"OT(REGEXMATCH(C4323, ""薪資""))), ""內部轉帳(忽略)"",
  REGEXMATCH(C4323, ""薪資""), ""薪資變動(不計入)"",
  REGEXMATCH(C4323, ""押金""), ""押金往來"",
  AND(E4323&lt;&gt;"""", F4323=""""), ""真實支出"",
  AND(E4323="""", F4323&lt;&gt;""""), ""真實收入"",
  TRUE, ""其他""
)"),"真實支出")</f>
        <v>真實支出</v>
      </c>
      <c r="K4323" s="270">
        <f t="shared" si="2"/>
        <v>-1155</v>
      </c>
      <c r="L4323">
        <f t="shared" si="3"/>
        <v>0</v>
      </c>
    </row>
    <row r="4324">
      <c r="A4324" s="107">
        <f>IFERROR(__xludf.DUMMYFUNCTION("""COMPUTED_VALUE"""),45638.0)</f>
        <v>45638</v>
      </c>
      <c r="B4324" t="str">
        <f>IFERROR(__xludf.DUMMYFUNCTION("""COMPUTED_VALUE"""),"代墊款")</f>
        <v>代墊款</v>
      </c>
      <c r="C4324" t="str">
        <f>IFERROR(__xludf.DUMMYFUNCTION("""COMPUTED_VALUE"""),"費用 - Salary 薪資")</f>
        <v>費用 - Salary 薪資</v>
      </c>
      <c r="D4324" s="270">
        <f>IFERROR(__xludf.DUMMYFUNCTION("""COMPUTED_VALUE"""),-20000.0)</f>
        <v>-20000</v>
      </c>
      <c r="E4324" t="str">
        <f>IFERROR(__xludf.DUMMYFUNCTION("""COMPUTED_VALUE"""),"Ben代墊")</f>
        <v>Ben代墊</v>
      </c>
      <c r="F4324" t="str">
        <f>IFERROR(__xludf.DUMMYFUNCTION("""COMPUTED_VALUE"""),"Ariel代墊")</f>
        <v>Ariel代墊</v>
      </c>
      <c r="H4324" s="106" t="str">
        <f t="shared" si="1"/>
        <v>2024-12</v>
      </c>
      <c r="I4324" s="271" t="str">
        <f>IFERROR(__xludf.DUMMYFUNCTION("""COMPUTED_VALUE"""),"鯰魚大大")</f>
        <v>鯰魚大大</v>
      </c>
      <c r="J4324" t="str">
        <f>IFERROR(__xludf.DUMMYFUNCTION("IFS(
  AND(REGEXMATCH(E4324, ""台銀籌備帳戶|玉山帳戶""), REGEXMATCH(C4324, ""薪資"")), ""分潤支出"",
  AND(REGEXMATCH(E4324, ""Ben帳戶|Elsa帳戶|Ben代墊|Ariel代墊|中信銀行共用""), REGEXMATCH(F4324, ""Ben帳戶|Elsa帳戶|Ben代墊|Ariel代墊|中信銀行共用"")), ""內部轉帳(忽略)"",
  AND(E4324&lt;&gt;"""", F4324&lt;&gt;"""", N"&amp;"OT(REGEXMATCH(C4324, ""薪資""))), ""內部轉帳(忽略)"",
  REGEXMATCH(C4324, ""薪資""), ""薪資變動(不計入)"",
  REGEXMATCH(C4324, ""押金""), ""押金往來"",
  AND(E4324&lt;&gt;"""", F4324=""""), ""真實支出"",
  AND(E4324="""", F4324&lt;&gt;""""), ""真實收入"",
  TRUE, ""其他""
)"),"內部轉帳(忽略)")</f>
        <v>內部轉帳(忽略)</v>
      </c>
      <c r="K4324">
        <f t="shared" si="2"/>
        <v>0</v>
      </c>
      <c r="L4324">
        <f t="shared" si="3"/>
        <v>0</v>
      </c>
    </row>
    <row r="4325">
      <c r="A4325" s="107">
        <f>IFERROR(__xludf.DUMMYFUNCTION("""COMPUTED_VALUE"""),45641.0)</f>
        <v>45641</v>
      </c>
      <c r="B4325" t="str">
        <f>IFERROR(__xludf.DUMMYFUNCTION("""COMPUTED_VALUE"""),"電費")</f>
        <v>電費</v>
      </c>
      <c r="C4325" t="str">
        <f>IFERROR(__xludf.DUMMYFUNCTION("""COMPUTED_VALUE"""),"成本 - 固定開銷(網路代收清潔)")</f>
        <v>成本 - 固定開銷(網路代收清潔)</v>
      </c>
      <c r="D4325" s="270">
        <f>IFERROR(__xludf.DUMMYFUNCTION("""COMPUTED_VALUE"""),-427.0)</f>
        <v>-427</v>
      </c>
      <c r="E4325" t="str">
        <f>IFERROR(__xludf.DUMMYFUNCTION("""COMPUTED_VALUE"""),"Ben代墊")</f>
        <v>Ben代墊</v>
      </c>
      <c r="G4325" t="str">
        <f>IFERROR(__xludf.DUMMYFUNCTION("""COMPUTED_VALUE"""),"行天宮夏野良栗")</f>
        <v>行天宮夏野良栗</v>
      </c>
      <c r="H4325" s="106" t="str">
        <f t="shared" si="1"/>
        <v>2024-12</v>
      </c>
      <c r="I4325" s="271" t="str">
        <f>IFERROR(__xludf.DUMMYFUNCTION("""COMPUTED_VALUE"""),"鯰魚大大")</f>
        <v>鯰魚大大</v>
      </c>
      <c r="J4325" t="str">
        <f>IFERROR(__xludf.DUMMYFUNCTION("IFS(
  AND(REGEXMATCH(E4325, ""台銀籌備帳戶|玉山帳戶""), REGEXMATCH(C4325, ""薪資"")), ""分潤支出"",
  AND(REGEXMATCH(E4325, ""Ben帳戶|Elsa帳戶|Ben代墊|Ariel代墊|中信銀行共用""), REGEXMATCH(F4325, ""Ben帳戶|Elsa帳戶|Ben代墊|Ariel代墊|中信銀行共用"")), ""內部轉帳(忽略)"",
  AND(E4325&lt;&gt;"""", F4325&lt;&gt;"""", N"&amp;"OT(REGEXMATCH(C4325, ""薪資""))), ""內部轉帳(忽略)"",
  REGEXMATCH(C4325, ""薪資""), ""薪資變動(不計入)"",
  REGEXMATCH(C4325, ""押金""), ""押金往來"",
  AND(E4325&lt;&gt;"""", F4325=""""), ""真實支出"",
  AND(E4325="""", F4325&lt;&gt;""""), ""真實收入"",
  TRUE, ""其他""
)"),"真實支出")</f>
        <v>真實支出</v>
      </c>
      <c r="K4325" s="270">
        <f t="shared" si="2"/>
        <v>-427</v>
      </c>
      <c r="L4325">
        <f t="shared" si="3"/>
        <v>0</v>
      </c>
    </row>
    <row r="4326">
      <c r="A4326" s="107">
        <f>IFERROR(__xludf.DUMMYFUNCTION("""COMPUTED_VALUE"""),45659.0)</f>
        <v>45659</v>
      </c>
      <c r="B4326" t="str">
        <f>IFERROR(__xludf.DUMMYFUNCTION("""COMPUTED_VALUE"""),"內湖水電瓦斯")</f>
        <v>內湖水電瓦斯</v>
      </c>
      <c r="C4326" t="str">
        <f>IFERROR(__xludf.DUMMYFUNCTION("""COMPUTED_VALUE"""),"成本 - 固定開銷(網路代收清潔)")</f>
        <v>成本 - 固定開銷(網路代收清潔)</v>
      </c>
      <c r="D4326" s="270">
        <f>IFERROR(__xludf.DUMMYFUNCTION("""COMPUTED_VALUE"""),-552.0)</f>
        <v>-552</v>
      </c>
      <c r="E4326" t="str">
        <f>IFERROR(__xludf.DUMMYFUNCTION("""COMPUTED_VALUE"""),"Ben代墊")</f>
        <v>Ben代墊</v>
      </c>
      <c r="G4326" t="str">
        <f>IFERROR(__xludf.DUMMYFUNCTION("""COMPUTED_VALUE"""),"內湖秘境")</f>
        <v>內湖秘境</v>
      </c>
      <c r="H4326" s="106" t="str">
        <f t="shared" si="1"/>
        <v>2025-01</v>
      </c>
      <c r="I4326" s="271" t="str">
        <f>IFERROR(__xludf.DUMMYFUNCTION("""COMPUTED_VALUE"""),"鯰魚大大")</f>
        <v>鯰魚大大</v>
      </c>
      <c r="J4326" t="str">
        <f>IFERROR(__xludf.DUMMYFUNCTION("IFS(
  AND(REGEXMATCH(E4326, ""台銀籌備帳戶|玉山帳戶""), REGEXMATCH(C4326, ""薪資"")), ""分潤支出"",
  AND(REGEXMATCH(E4326, ""Ben帳戶|Elsa帳戶|Ben代墊|Ariel代墊|中信銀行共用""), REGEXMATCH(F4326, ""Ben帳戶|Elsa帳戶|Ben代墊|Ariel代墊|中信銀行共用"")), ""內部轉帳(忽略)"",
  AND(E4326&lt;&gt;"""", F4326&lt;&gt;"""", N"&amp;"OT(REGEXMATCH(C4326, ""薪資""))), ""內部轉帳(忽略)"",
  REGEXMATCH(C4326, ""薪資""), ""薪資變動(不計入)"",
  REGEXMATCH(C4326, ""押金""), ""押金往來"",
  AND(E4326&lt;&gt;"""", F4326=""""), ""真實支出"",
  AND(E4326="""", F4326&lt;&gt;""""), ""真實收入"",
  TRUE, ""其他""
)"),"真實支出")</f>
        <v>真實支出</v>
      </c>
      <c r="K4326" s="270">
        <f t="shared" si="2"/>
        <v>-552</v>
      </c>
      <c r="L4326">
        <f t="shared" si="3"/>
        <v>0</v>
      </c>
    </row>
    <row r="4327">
      <c r="A4327" s="107">
        <f>IFERROR(__xludf.DUMMYFUNCTION("""COMPUTED_VALUE"""),45633.0)</f>
        <v>45633</v>
      </c>
      <c r="B4327" t="str">
        <f>IFERROR(__xludf.DUMMYFUNCTION("""COMPUTED_VALUE"""),"內湖秘境E林芷妤")</f>
        <v>內湖秘境E林芷妤</v>
      </c>
      <c r="C4327" t="str">
        <f>IFERROR(__xludf.DUMMYFUNCTION("""COMPUTED_VALUE"""),"收入 - 租金")</f>
        <v>收入 - 租金</v>
      </c>
      <c r="D4327" s="270">
        <f>IFERROR(__xludf.DUMMYFUNCTION("""COMPUTED_VALUE"""),5265.0)</f>
        <v>5265</v>
      </c>
      <c r="F4327" t="str">
        <f>IFERROR(__xludf.DUMMYFUNCTION("""COMPUTED_VALUE"""),"玉山帳戶")</f>
        <v>玉山帳戶</v>
      </c>
      <c r="G4327" t="str">
        <f>IFERROR(__xludf.DUMMYFUNCTION("""COMPUTED_VALUE"""),"內湖秘境")</f>
        <v>內湖秘境</v>
      </c>
      <c r="H4327" s="106" t="str">
        <f t="shared" si="1"/>
        <v>2024-12</v>
      </c>
      <c r="I4327" s="271" t="str">
        <f>IFERROR(__xludf.DUMMYFUNCTION("""COMPUTED_VALUE"""),"鯰魚大大")</f>
        <v>鯰魚大大</v>
      </c>
      <c r="J4327" t="str">
        <f>IFERROR(__xludf.DUMMYFUNCTION("IFS(
  AND(REGEXMATCH(E4327, ""台銀籌備帳戶|玉山帳戶""), REGEXMATCH(C4327, ""薪資"")), ""分潤支出"",
  AND(REGEXMATCH(E4327, ""Ben帳戶|Elsa帳戶|Ben代墊|Ariel代墊|中信銀行共用""), REGEXMATCH(F4327, ""Ben帳戶|Elsa帳戶|Ben代墊|Ariel代墊|中信銀行共用"")), ""內部轉帳(忽略)"",
  AND(E4327&lt;&gt;"""", F4327&lt;&gt;"""", N"&amp;"OT(REGEXMATCH(C4327, ""薪資""))), ""內部轉帳(忽略)"",
  REGEXMATCH(C4327, ""薪資""), ""薪資變動(不計入)"",
  REGEXMATCH(C4327, ""押金""), ""押金往來"",
  AND(E4327&lt;&gt;"""", F4327=""""), ""真實支出"",
  AND(E4327="""", F4327&lt;&gt;""""), ""真實收入"",
  TRUE, ""其他""
)"),"真實收入")</f>
        <v>真實收入</v>
      </c>
      <c r="K4327" s="270">
        <f t="shared" si="2"/>
        <v>5265</v>
      </c>
      <c r="L4327">
        <f t="shared" si="3"/>
        <v>0</v>
      </c>
    </row>
    <row r="4328">
      <c r="A4328" s="107">
        <f>IFERROR(__xludf.DUMMYFUNCTION("""COMPUTED_VALUE"""),45633.0)</f>
        <v>45633</v>
      </c>
      <c r="B4328" t="str">
        <f>IFERROR(__xludf.DUMMYFUNCTION("""COMPUTED_VALUE"""),"士林和豐A許瑜芳")</f>
        <v>士林和豐A許瑜芳</v>
      </c>
      <c r="C4328" t="str">
        <f>IFERROR(__xludf.DUMMYFUNCTION("""COMPUTED_VALUE"""),"收入 - 租金")</f>
        <v>收入 - 租金</v>
      </c>
      <c r="D4328" s="270">
        <f>IFERROR(__xludf.DUMMYFUNCTION("""COMPUTED_VALUE"""),6919.0)</f>
        <v>6919</v>
      </c>
      <c r="F4328" t="str">
        <f>IFERROR(__xludf.DUMMYFUNCTION("""COMPUTED_VALUE"""),"玉山帳戶")</f>
        <v>玉山帳戶</v>
      </c>
      <c r="G4328" t="str">
        <f>IFERROR(__xludf.DUMMYFUNCTION("""COMPUTED_VALUE"""),"士林和豐")</f>
        <v>士林和豐</v>
      </c>
      <c r="H4328" s="106" t="str">
        <f t="shared" si="1"/>
        <v>2024-12</v>
      </c>
      <c r="I4328" s="271" t="str">
        <f>IFERROR(__xludf.DUMMYFUNCTION("""COMPUTED_VALUE"""),"鯰魚大大")</f>
        <v>鯰魚大大</v>
      </c>
      <c r="J4328" t="str">
        <f>IFERROR(__xludf.DUMMYFUNCTION("IFS(
  AND(REGEXMATCH(E4328, ""台銀籌備帳戶|玉山帳戶""), REGEXMATCH(C4328, ""薪資"")), ""分潤支出"",
  AND(REGEXMATCH(E4328, ""Ben帳戶|Elsa帳戶|Ben代墊|Ariel代墊|中信銀行共用""), REGEXMATCH(F4328, ""Ben帳戶|Elsa帳戶|Ben代墊|Ariel代墊|中信銀行共用"")), ""內部轉帳(忽略)"",
  AND(E4328&lt;&gt;"""", F4328&lt;&gt;"""", N"&amp;"OT(REGEXMATCH(C4328, ""薪資""))), ""內部轉帳(忽略)"",
  REGEXMATCH(C4328, ""薪資""), ""薪資變動(不計入)"",
  REGEXMATCH(C4328, ""押金""), ""押金往來"",
  AND(E4328&lt;&gt;"""", F4328=""""), ""真實支出"",
  AND(E4328="""", F4328&lt;&gt;""""), ""真實收入"",
  TRUE, ""其他""
)"),"真實收入")</f>
        <v>真實收入</v>
      </c>
      <c r="K4328" s="270">
        <f t="shared" si="2"/>
        <v>6919</v>
      </c>
      <c r="L4328">
        <f t="shared" si="3"/>
        <v>0</v>
      </c>
    </row>
    <row r="4329">
      <c r="A4329" s="107">
        <f>IFERROR(__xludf.DUMMYFUNCTION("""COMPUTED_VALUE"""),45635.0)</f>
        <v>45635</v>
      </c>
      <c r="B4329" t="str">
        <f>IFERROR(__xludf.DUMMYFUNCTION("""COMPUTED_VALUE"""),"士林和豐A許瑜芳 押金")</f>
        <v>士林和豐A許瑜芳 押金</v>
      </c>
      <c r="C4329" t="str">
        <f>IFERROR(__xludf.DUMMYFUNCTION("""COMPUTED_VALUE"""),"收入 - 押金")</f>
        <v>收入 - 押金</v>
      </c>
      <c r="D4329" s="270">
        <f>IFERROR(__xludf.DUMMYFUNCTION("""COMPUTED_VALUE"""),39000.0)</f>
        <v>39000</v>
      </c>
      <c r="F4329" t="str">
        <f>IFERROR(__xludf.DUMMYFUNCTION("""COMPUTED_VALUE"""),"玉山帳戶")</f>
        <v>玉山帳戶</v>
      </c>
      <c r="G4329" t="str">
        <f>IFERROR(__xludf.DUMMYFUNCTION("""COMPUTED_VALUE"""),"士林和豐")</f>
        <v>士林和豐</v>
      </c>
      <c r="H4329" s="106" t="str">
        <f t="shared" si="1"/>
        <v>2024-12</v>
      </c>
      <c r="I4329" s="271" t="str">
        <f>IFERROR(__xludf.DUMMYFUNCTION("""COMPUTED_VALUE"""),"鯰魚大大")</f>
        <v>鯰魚大大</v>
      </c>
      <c r="J4329" t="str">
        <f>IFERROR(__xludf.DUMMYFUNCTION("IFS(
  AND(REGEXMATCH(E4329, ""台銀籌備帳戶|玉山帳戶""), REGEXMATCH(C4329, ""薪資"")), ""分潤支出"",
  AND(REGEXMATCH(E4329, ""Ben帳戶|Elsa帳戶|Ben代墊|Ariel代墊|中信銀行共用""), REGEXMATCH(F4329, ""Ben帳戶|Elsa帳戶|Ben代墊|Ariel代墊|中信銀行共用"")), ""內部轉帳(忽略)"",
  AND(E4329&lt;&gt;"""", F4329&lt;&gt;"""", N"&amp;"OT(REGEXMATCH(C4329, ""薪資""))), ""內部轉帳(忽略)"",
  REGEXMATCH(C4329, ""薪資""), ""薪資變動(不計入)"",
  REGEXMATCH(C4329, ""押金""), ""押金往來"",
  AND(E4329&lt;&gt;"""", F4329=""""), ""真實支出"",
  AND(E4329="""", F4329&lt;&gt;""""), ""真實收入"",
  TRUE, ""其他""
)"),"押金往來")</f>
        <v>押金往來</v>
      </c>
      <c r="K4329">
        <f t="shared" si="2"/>
        <v>0</v>
      </c>
      <c r="L4329">
        <f t="shared" si="3"/>
        <v>0</v>
      </c>
    </row>
    <row r="4330">
      <c r="A4330" s="107">
        <f>IFERROR(__xludf.DUMMYFUNCTION("""COMPUTED_VALUE"""),45638.0)</f>
        <v>45638</v>
      </c>
      <c r="B4330" t="str">
        <f>IFERROR(__xludf.DUMMYFUNCTION("""COMPUTED_VALUE"""),"Ben代墊款")</f>
        <v>Ben代墊款</v>
      </c>
      <c r="C4330" t="str">
        <f>IFERROR(__xludf.DUMMYFUNCTION("""COMPUTED_VALUE"""),"費用 - Salary 薪資")</f>
        <v>費用 - Salary 薪資</v>
      </c>
      <c r="D4330" s="270">
        <f>IFERROR(__xludf.DUMMYFUNCTION("""COMPUTED_VALUE"""),-100015.0)</f>
        <v>-100015</v>
      </c>
      <c r="E4330" t="str">
        <f>IFERROR(__xludf.DUMMYFUNCTION("""COMPUTED_VALUE"""),"玉山帳戶")</f>
        <v>玉山帳戶</v>
      </c>
      <c r="F4330" t="str">
        <f>IFERROR(__xludf.DUMMYFUNCTION("""COMPUTED_VALUE"""),"Ben代墊")</f>
        <v>Ben代墊</v>
      </c>
      <c r="H4330" s="106" t="str">
        <f t="shared" si="1"/>
        <v>2024-12</v>
      </c>
      <c r="I4330" s="271" t="str">
        <f>IFERROR(__xludf.DUMMYFUNCTION("""COMPUTED_VALUE"""),"鯰魚大大")</f>
        <v>鯰魚大大</v>
      </c>
      <c r="J4330" t="str">
        <f>IFERROR(__xludf.DUMMYFUNCTION("IFS(
  AND(REGEXMATCH(E4330, ""台銀籌備帳戶|玉山帳戶""), REGEXMATCH(C4330, ""薪資"")), ""分潤支出"",
  AND(REGEXMATCH(E4330, ""Ben帳戶|Elsa帳戶|Ben代墊|Ariel代墊|中信銀行共用""), REGEXMATCH(F4330, ""Ben帳戶|Elsa帳戶|Ben代墊|Ariel代墊|中信銀行共用"")), ""內部轉帳(忽略)"",
  AND(E4330&lt;&gt;"""", F4330&lt;&gt;"""", N"&amp;"OT(REGEXMATCH(C4330, ""薪資""))), ""內部轉帳(忽略)"",
  REGEXMATCH(C4330, ""薪資""), ""薪資變動(不計入)"",
  REGEXMATCH(C4330, ""押金""), ""押金往來"",
  AND(E4330&lt;&gt;"""", F4330=""""), ""真實支出"",
  AND(E4330="""", F4330&lt;&gt;""""), ""真實收入"",
  TRUE, ""其他""
)"),"分潤支出")</f>
        <v>分潤支出</v>
      </c>
      <c r="K4330">
        <f t="shared" si="2"/>
        <v>0</v>
      </c>
      <c r="L4330">
        <f t="shared" si="3"/>
        <v>100015</v>
      </c>
    </row>
    <row r="4331">
      <c r="A4331" s="107">
        <f>IFERROR(__xludf.DUMMYFUNCTION("""COMPUTED_VALUE"""),45638.0)</f>
        <v>45638</v>
      </c>
      <c r="B4331" t="str">
        <f>IFERROR(__xludf.DUMMYFUNCTION("""COMPUTED_VALUE"""),"鯰魚代墊款")</f>
        <v>鯰魚代墊款</v>
      </c>
      <c r="C4331" t="str">
        <f>IFERROR(__xludf.DUMMYFUNCTION("""COMPUTED_VALUE"""),"費用 - Salary 薪資")</f>
        <v>費用 - Salary 薪資</v>
      </c>
      <c r="D4331" s="270">
        <f>IFERROR(__xludf.DUMMYFUNCTION("""COMPUTED_VALUE"""),-100000.0)</f>
        <v>-100000</v>
      </c>
      <c r="E4331" t="str">
        <f>IFERROR(__xludf.DUMMYFUNCTION("""COMPUTED_VALUE"""),"玉山帳戶")</f>
        <v>玉山帳戶</v>
      </c>
      <c r="F4331" t="str">
        <f>IFERROR(__xludf.DUMMYFUNCTION("""COMPUTED_VALUE"""),"Ariel代墊")</f>
        <v>Ariel代墊</v>
      </c>
      <c r="H4331" s="106" t="str">
        <f t="shared" si="1"/>
        <v>2024-12</v>
      </c>
      <c r="I4331" s="271" t="str">
        <f>IFERROR(__xludf.DUMMYFUNCTION("""COMPUTED_VALUE"""),"鯰魚大大")</f>
        <v>鯰魚大大</v>
      </c>
      <c r="J4331" t="str">
        <f>IFERROR(__xludf.DUMMYFUNCTION("IFS(
  AND(REGEXMATCH(E4331, ""台銀籌備帳戶|玉山帳戶""), REGEXMATCH(C4331, ""薪資"")), ""分潤支出"",
  AND(REGEXMATCH(E4331, ""Ben帳戶|Elsa帳戶|Ben代墊|Ariel代墊|中信銀行共用""), REGEXMATCH(F4331, ""Ben帳戶|Elsa帳戶|Ben代墊|Ariel代墊|中信銀行共用"")), ""內部轉帳(忽略)"",
  AND(E4331&lt;&gt;"""", F4331&lt;&gt;"""", N"&amp;"OT(REGEXMATCH(C4331, ""薪資""))), ""內部轉帳(忽略)"",
  REGEXMATCH(C4331, ""薪資""), ""薪資變動(不計入)"",
  REGEXMATCH(C4331, ""押金""), ""押金往來"",
  AND(E4331&lt;&gt;"""", F4331=""""), ""真實支出"",
  AND(E4331="""", F4331&lt;&gt;""""), ""真實收入"",
  TRUE, ""其他""
)"),"分潤支出")</f>
        <v>分潤支出</v>
      </c>
      <c r="K4331">
        <f t="shared" si="2"/>
        <v>0</v>
      </c>
      <c r="L4331">
        <f t="shared" si="3"/>
        <v>100000</v>
      </c>
    </row>
    <row r="4332">
      <c r="A4332" s="107">
        <f>IFERROR(__xludf.DUMMYFUNCTION("""COMPUTED_VALUE"""),45638.0)</f>
        <v>45638</v>
      </c>
      <c r="B4332" t="str">
        <f>IFERROR(__xludf.DUMMYFUNCTION("""COMPUTED_VALUE"""),"內湖E退押金")</f>
        <v>內湖E退押金</v>
      </c>
      <c r="C4332" t="str">
        <f>IFERROR(__xludf.DUMMYFUNCTION("""COMPUTED_VALUE"""),"收入 - 押金")</f>
        <v>收入 - 押金</v>
      </c>
      <c r="D4332" s="270">
        <f>IFERROR(__xludf.DUMMYFUNCTION("""COMPUTED_VALUE"""),-17999.0)</f>
        <v>-17999</v>
      </c>
      <c r="E4332" t="str">
        <f>IFERROR(__xludf.DUMMYFUNCTION("""COMPUTED_VALUE"""),"玉山帳戶")</f>
        <v>玉山帳戶</v>
      </c>
      <c r="G4332" t="str">
        <f>IFERROR(__xludf.DUMMYFUNCTION("""COMPUTED_VALUE"""),"內湖秘境")</f>
        <v>內湖秘境</v>
      </c>
      <c r="H4332" s="106" t="str">
        <f t="shared" si="1"/>
        <v>2024-12</v>
      </c>
      <c r="I4332" s="271" t="str">
        <f>IFERROR(__xludf.DUMMYFUNCTION("""COMPUTED_VALUE"""),"鯰魚大大")</f>
        <v>鯰魚大大</v>
      </c>
      <c r="J4332" t="str">
        <f>IFERROR(__xludf.DUMMYFUNCTION("IFS(
  AND(REGEXMATCH(E4332, ""台銀籌備帳戶|玉山帳戶""), REGEXMATCH(C4332, ""薪資"")), ""分潤支出"",
  AND(REGEXMATCH(E4332, ""Ben帳戶|Elsa帳戶|Ben代墊|Ariel代墊|中信銀行共用""), REGEXMATCH(F4332, ""Ben帳戶|Elsa帳戶|Ben代墊|Ariel代墊|中信銀行共用"")), ""內部轉帳(忽略)"",
  AND(E4332&lt;&gt;"""", F4332&lt;&gt;"""", N"&amp;"OT(REGEXMATCH(C4332, ""薪資""))), ""內部轉帳(忽略)"",
  REGEXMATCH(C4332, ""薪資""), ""薪資變動(不計入)"",
  REGEXMATCH(C4332, ""押金""), ""押金往來"",
  AND(E4332&lt;&gt;"""", F4332=""""), ""真實支出"",
  AND(E4332="""", F4332&lt;&gt;""""), ""真實收入"",
  TRUE, ""其他""
)"),"押金往來")</f>
        <v>押金往來</v>
      </c>
      <c r="K4332">
        <f t="shared" si="2"/>
        <v>0</v>
      </c>
      <c r="L4332">
        <f t="shared" si="3"/>
        <v>0</v>
      </c>
    </row>
    <row r="4333">
      <c r="A4333" s="107">
        <f>IFERROR(__xludf.DUMMYFUNCTION("""COMPUTED_VALUE"""),45641.0)</f>
        <v>45641</v>
      </c>
      <c r="B4333" t="str">
        <f>IFERROR(__xludf.DUMMYFUNCTION("""COMPUTED_VALUE"""),"內湖秘境E林芷妤")</f>
        <v>內湖秘境E林芷妤</v>
      </c>
      <c r="C4333" t="str">
        <f>IFERROR(__xludf.DUMMYFUNCTION("""COMPUTED_VALUE"""),"收入 - 押金")</f>
        <v>收入 - 押金</v>
      </c>
      <c r="D4333" s="270">
        <f>IFERROR(__xludf.DUMMYFUNCTION("""COMPUTED_VALUE"""),27200.0)</f>
        <v>27200</v>
      </c>
      <c r="F4333" t="str">
        <f>IFERROR(__xludf.DUMMYFUNCTION("""COMPUTED_VALUE"""),"玉山帳戶")</f>
        <v>玉山帳戶</v>
      </c>
      <c r="G4333" t="str">
        <f>IFERROR(__xludf.DUMMYFUNCTION("""COMPUTED_VALUE"""),"內湖秘境")</f>
        <v>內湖秘境</v>
      </c>
      <c r="H4333" s="106" t="str">
        <f t="shared" si="1"/>
        <v>2024-12</v>
      </c>
      <c r="I4333" s="271" t="str">
        <f>IFERROR(__xludf.DUMMYFUNCTION("""COMPUTED_VALUE"""),"鯰魚大大")</f>
        <v>鯰魚大大</v>
      </c>
      <c r="J4333" t="str">
        <f>IFERROR(__xludf.DUMMYFUNCTION("IFS(
  AND(REGEXMATCH(E4333, ""台銀籌備帳戶|玉山帳戶""), REGEXMATCH(C4333, ""薪資"")), ""分潤支出"",
  AND(REGEXMATCH(E4333, ""Ben帳戶|Elsa帳戶|Ben代墊|Ariel代墊|中信銀行共用""), REGEXMATCH(F4333, ""Ben帳戶|Elsa帳戶|Ben代墊|Ariel代墊|中信銀行共用"")), ""內部轉帳(忽略)"",
  AND(E4333&lt;&gt;"""", F4333&lt;&gt;"""", N"&amp;"OT(REGEXMATCH(C4333, ""薪資""))), ""內部轉帳(忽略)"",
  REGEXMATCH(C4333, ""薪資""), ""薪資變動(不計入)"",
  REGEXMATCH(C4333, ""押金""), ""押金往來"",
  AND(E4333&lt;&gt;"""", F4333=""""), ""真實支出"",
  AND(E4333="""", F4333&lt;&gt;""""), ""真實收入"",
  TRUE, ""其他""
)"),"押金往來")</f>
        <v>押金往來</v>
      </c>
      <c r="K4333">
        <f t="shared" si="2"/>
        <v>0</v>
      </c>
      <c r="L4333">
        <f t="shared" si="3"/>
        <v>0</v>
      </c>
    </row>
    <row r="4334">
      <c r="A4334" s="107">
        <f>IFERROR(__xludf.DUMMYFUNCTION("""COMPUTED_VALUE"""),45642.0)</f>
        <v>45642</v>
      </c>
      <c r="B4334" t="str">
        <f>IFERROR(__xludf.DUMMYFUNCTION("""COMPUTED_VALUE"""),"和豐大房租")</f>
        <v>和豐大房租</v>
      </c>
      <c r="C4334" t="str">
        <f>IFERROR(__xludf.DUMMYFUNCTION("""COMPUTED_VALUE"""),"成本 - 大租金")</f>
        <v>成本 - 大租金</v>
      </c>
      <c r="D4334" s="270">
        <f>IFERROR(__xludf.DUMMYFUNCTION("""COMPUTED_VALUE"""),-14415.0)</f>
        <v>-14415</v>
      </c>
      <c r="E4334" t="str">
        <f>IFERROR(__xludf.DUMMYFUNCTION("""COMPUTED_VALUE"""),"玉山帳戶")</f>
        <v>玉山帳戶</v>
      </c>
      <c r="G4334" t="str">
        <f>IFERROR(__xludf.DUMMYFUNCTION("""COMPUTED_VALUE"""),"士林和豐")</f>
        <v>士林和豐</v>
      </c>
      <c r="H4334" s="106" t="str">
        <f t="shared" si="1"/>
        <v>2024-12</v>
      </c>
      <c r="I4334" s="271" t="str">
        <f>IFERROR(__xludf.DUMMYFUNCTION("""COMPUTED_VALUE"""),"鯰魚大大")</f>
        <v>鯰魚大大</v>
      </c>
      <c r="J4334" t="str">
        <f>IFERROR(__xludf.DUMMYFUNCTION("IFS(
  AND(REGEXMATCH(E4334, ""台銀籌備帳戶|玉山帳戶""), REGEXMATCH(C4334, ""薪資"")), ""分潤支出"",
  AND(REGEXMATCH(E4334, ""Ben帳戶|Elsa帳戶|Ben代墊|Ariel代墊|中信銀行共用""), REGEXMATCH(F4334, ""Ben帳戶|Elsa帳戶|Ben代墊|Ariel代墊|中信銀行共用"")), ""內部轉帳(忽略)"",
  AND(E4334&lt;&gt;"""", F4334&lt;&gt;"""", N"&amp;"OT(REGEXMATCH(C4334, ""薪資""))), ""內部轉帳(忽略)"",
  REGEXMATCH(C4334, ""薪資""), ""薪資變動(不計入)"",
  REGEXMATCH(C4334, ""押金""), ""押金往來"",
  AND(E4334&lt;&gt;"""", F4334=""""), ""真實支出"",
  AND(E4334="""", F4334&lt;&gt;""""), ""真實收入"",
  TRUE, ""其他""
)"),"真實支出")</f>
        <v>真實支出</v>
      </c>
      <c r="K4334" s="270">
        <f t="shared" si="2"/>
        <v>-14415</v>
      </c>
      <c r="L4334">
        <f t="shared" si="3"/>
        <v>0</v>
      </c>
    </row>
    <row r="4335">
      <c r="A4335" s="107">
        <f>IFERROR(__xludf.DUMMYFUNCTION("""COMPUTED_VALUE"""),45647.0)</f>
        <v>45647</v>
      </c>
      <c r="B4335" t="str">
        <f>IFERROR(__xludf.DUMMYFUNCTION("""COMPUTED_VALUE"""),"利息")</f>
        <v>利息</v>
      </c>
      <c r="C4335" t="str">
        <f>IFERROR(__xludf.DUMMYFUNCTION("""COMPUTED_VALUE"""),"收入 - 政府補助/退稅")</f>
        <v>收入 - 政府補助/退稅</v>
      </c>
      <c r="D4335" s="270">
        <f>IFERROR(__xludf.DUMMYFUNCTION("""COMPUTED_VALUE"""),2744.0)</f>
        <v>2744</v>
      </c>
      <c r="F4335" t="str">
        <f>IFERROR(__xludf.DUMMYFUNCTION("""COMPUTED_VALUE"""),"玉山帳戶")</f>
        <v>玉山帳戶</v>
      </c>
      <c r="H4335" s="106" t="str">
        <f t="shared" si="1"/>
        <v>2024-12</v>
      </c>
      <c r="I4335" s="271" t="str">
        <f>IFERROR(__xludf.DUMMYFUNCTION("""COMPUTED_VALUE"""),"鯰魚大大")</f>
        <v>鯰魚大大</v>
      </c>
      <c r="J4335" t="str">
        <f>IFERROR(__xludf.DUMMYFUNCTION("IFS(
  AND(REGEXMATCH(E4335, ""台銀籌備帳戶|玉山帳戶""), REGEXMATCH(C4335, ""薪資"")), ""分潤支出"",
  AND(REGEXMATCH(E4335, ""Ben帳戶|Elsa帳戶|Ben代墊|Ariel代墊|中信銀行共用""), REGEXMATCH(F4335, ""Ben帳戶|Elsa帳戶|Ben代墊|Ariel代墊|中信銀行共用"")), ""內部轉帳(忽略)"",
  AND(E4335&lt;&gt;"""", F4335&lt;&gt;"""", N"&amp;"OT(REGEXMATCH(C4335, ""薪資""))), ""內部轉帳(忽略)"",
  REGEXMATCH(C4335, ""薪資""), ""薪資變動(不計入)"",
  REGEXMATCH(C4335, ""押金""), ""押金往來"",
  AND(E4335&lt;&gt;"""", F4335=""""), ""真實支出"",
  AND(E4335="""", F4335&lt;&gt;""""), ""真實收入"",
  TRUE, ""其他""
)"),"真實收入")</f>
        <v>真實收入</v>
      </c>
      <c r="K4335" s="270">
        <f t="shared" si="2"/>
        <v>2744</v>
      </c>
      <c r="L4335">
        <f t="shared" si="3"/>
        <v>0</v>
      </c>
    </row>
    <row r="4336">
      <c r="A4336" s="107">
        <f>IFERROR(__xludf.DUMMYFUNCTION("""COMPUTED_VALUE"""),45657.0)</f>
        <v>45657</v>
      </c>
      <c r="B4336" t="str">
        <f>IFERROR(__xludf.DUMMYFUNCTION("""COMPUTED_VALUE"""),"內湖秘境C黃詩穎")</f>
        <v>內湖秘境C黃詩穎</v>
      </c>
      <c r="C4336" t="str">
        <f>IFERROR(__xludf.DUMMYFUNCTION("""COMPUTED_VALUE"""),"收入 - 租金")</f>
        <v>收入 - 租金</v>
      </c>
      <c r="D4336" s="270">
        <f>IFERROR(__xludf.DUMMYFUNCTION("""COMPUTED_VALUE"""),14800.0)</f>
        <v>14800</v>
      </c>
      <c r="F4336" t="str">
        <f>IFERROR(__xludf.DUMMYFUNCTION("""COMPUTED_VALUE"""),"玉山帳戶")</f>
        <v>玉山帳戶</v>
      </c>
      <c r="G4336" t="str">
        <f>IFERROR(__xludf.DUMMYFUNCTION("""COMPUTED_VALUE"""),"內湖秘境")</f>
        <v>內湖秘境</v>
      </c>
      <c r="H4336" s="106" t="str">
        <f t="shared" si="1"/>
        <v>2024-12</v>
      </c>
      <c r="I4336" s="271" t="str">
        <f>IFERROR(__xludf.DUMMYFUNCTION("""COMPUTED_VALUE"""),"鯰魚大大")</f>
        <v>鯰魚大大</v>
      </c>
      <c r="J4336" t="str">
        <f>IFERROR(__xludf.DUMMYFUNCTION("IFS(
  AND(REGEXMATCH(E4336, ""台銀籌備帳戶|玉山帳戶""), REGEXMATCH(C4336, ""薪資"")), ""分潤支出"",
  AND(REGEXMATCH(E4336, ""Ben帳戶|Elsa帳戶|Ben代墊|Ariel代墊|中信銀行共用""), REGEXMATCH(F4336, ""Ben帳戶|Elsa帳戶|Ben代墊|Ariel代墊|中信銀行共用"")), ""內部轉帳(忽略)"",
  AND(E4336&lt;&gt;"""", F4336&lt;&gt;"""", N"&amp;"OT(REGEXMATCH(C4336, ""薪資""))), ""內部轉帳(忽略)"",
  REGEXMATCH(C4336, ""薪資""), ""薪資變動(不計入)"",
  REGEXMATCH(C4336, ""押金""), ""押金往來"",
  AND(E4336&lt;&gt;"""", F4336=""""), ""真實支出"",
  AND(E4336="""", F4336&lt;&gt;""""), ""真實收入"",
  TRUE, ""其他""
)"),"真實收入")</f>
        <v>真實收入</v>
      </c>
      <c r="K4336" s="270">
        <f t="shared" si="2"/>
        <v>14800</v>
      </c>
      <c r="L4336">
        <f t="shared" si="3"/>
        <v>0</v>
      </c>
    </row>
    <row r="4337">
      <c r="A4337" s="107">
        <f>IFERROR(__xludf.DUMMYFUNCTION("""COMPUTED_VALUE"""),45657.0)</f>
        <v>45657</v>
      </c>
      <c r="B4337" t="str">
        <f>IFERROR(__xludf.DUMMYFUNCTION("""COMPUTED_VALUE"""),"民生東毛拆除")</f>
        <v>民生東毛拆除</v>
      </c>
      <c r="C4337" t="str">
        <f>IFERROR(__xludf.DUMMYFUNCTION("""COMPUTED_VALUE"""),"成本 - 進場前裝潢費")</f>
        <v>成本 - 進場前裝潢費</v>
      </c>
      <c r="D4337" s="270">
        <f>IFERROR(__xludf.DUMMYFUNCTION("""COMPUTED_VALUE"""),-57765.0)</f>
        <v>-57765</v>
      </c>
      <c r="E4337" t="str">
        <f>IFERROR(__xludf.DUMMYFUNCTION("""COMPUTED_VALUE"""),"玉山帳戶")</f>
        <v>玉山帳戶</v>
      </c>
      <c r="F4337" t="str">
        <f>IFERROR(__xludf.DUMMYFUNCTION("""COMPUTED_VALUE"""),"Ben代墊")</f>
        <v>Ben代墊</v>
      </c>
      <c r="G4337" t="str">
        <f>IFERROR(__xludf.DUMMYFUNCTION("""COMPUTED_VALUE"""),"民生東二樓")</f>
        <v>民生東二樓</v>
      </c>
      <c r="H4337" s="106" t="str">
        <f t="shared" si="1"/>
        <v>2024-12</v>
      </c>
      <c r="I4337" s="271" t="str">
        <f>IFERROR(__xludf.DUMMYFUNCTION("""COMPUTED_VALUE"""),"鯰魚大大")</f>
        <v>鯰魚大大</v>
      </c>
      <c r="J4337" t="str">
        <f>IFERROR(__xludf.DUMMYFUNCTION("IFS(
  AND(REGEXMATCH(E4337, ""台銀籌備帳戶|玉山帳戶""), REGEXMATCH(C4337, ""薪資"")), ""分潤支出"",
  AND(REGEXMATCH(E4337, ""Ben帳戶|Elsa帳戶|Ben代墊|Ariel代墊|中信銀行共用""), REGEXMATCH(F4337, ""Ben帳戶|Elsa帳戶|Ben代墊|Ariel代墊|中信銀行共用"")), ""內部轉帳(忽略)"",
  AND(E4337&lt;&gt;"""", F4337&lt;&gt;"""", N"&amp;"OT(REGEXMATCH(C4337, ""薪資""))), ""內部轉帳(忽略)"",
  REGEXMATCH(C4337, ""薪資""), ""薪資變動(不計入)"",
  REGEXMATCH(C4337, ""押金""), ""押金往來"",
  AND(E4337&lt;&gt;"""", F4337=""""), ""真實支出"",
  AND(E4337="""", F4337&lt;&gt;""""), ""真實收入"",
  TRUE, ""其他""
)"),"內部轉帳(忽略)")</f>
        <v>內部轉帳(忽略)</v>
      </c>
      <c r="K4337">
        <f t="shared" si="2"/>
        <v>0</v>
      </c>
      <c r="L4337">
        <f t="shared" si="3"/>
        <v>0</v>
      </c>
    </row>
    <row r="4338">
      <c r="A4338" s="107">
        <f>IFERROR(__xludf.DUMMYFUNCTION("""COMPUTED_VALUE"""),45657.0)</f>
        <v>45657</v>
      </c>
      <c r="B4338" t="str">
        <f>IFERROR(__xludf.DUMMYFUNCTION("""COMPUTED_VALUE"""),"行天宮夏野良栗D江仲元")</f>
        <v>行天宮夏野良栗D江仲元</v>
      </c>
      <c r="C4338" t="str">
        <f>IFERROR(__xludf.DUMMYFUNCTION("""COMPUTED_VALUE"""),"收入 - 租金")</f>
        <v>收入 - 租金</v>
      </c>
      <c r="D4338" s="270">
        <f>IFERROR(__xludf.DUMMYFUNCTION("""COMPUTED_VALUE"""),11200.0)</f>
        <v>11200</v>
      </c>
      <c r="F4338" t="str">
        <f>IFERROR(__xludf.DUMMYFUNCTION("""COMPUTED_VALUE"""),"玉山帳戶")</f>
        <v>玉山帳戶</v>
      </c>
      <c r="G4338" t="str">
        <f>IFERROR(__xludf.DUMMYFUNCTION("""COMPUTED_VALUE"""),"行天宮夏野良栗")</f>
        <v>行天宮夏野良栗</v>
      </c>
      <c r="H4338" s="106" t="str">
        <f t="shared" si="1"/>
        <v>2024-12</v>
      </c>
      <c r="I4338" s="271" t="str">
        <f>IFERROR(__xludf.DUMMYFUNCTION("""COMPUTED_VALUE"""),"鯰魚大大")</f>
        <v>鯰魚大大</v>
      </c>
      <c r="J4338" t="str">
        <f>IFERROR(__xludf.DUMMYFUNCTION("IFS(
  AND(REGEXMATCH(E4338, ""台銀籌備帳戶|玉山帳戶""), REGEXMATCH(C4338, ""薪資"")), ""分潤支出"",
  AND(REGEXMATCH(E4338, ""Ben帳戶|Elsa帳戶|Ben代墊|Ariel代墊|中信銀行共用""), REGEXMATCH(F4338, ""Ben帳戶|Elsa帳戶|Ben代墊|Ariel代墊|中信銀行共用"")), ""內部轉帳(忽略)"",
  AND(E4338&lt;&gt;"""", F4338&lt;&gt;"""", N"&amp;"OT(REGEXMATCH(C4338, ""薪資""))), ""內部轉帳(忽略)"",
  REGEXMATCH(C4338, ""薪資""), ""薪資變動(不計入)"",
  REGEXMATCH(C4338, ""押金""), ""押金往來"",
  AND(E4338&lt;&gt;"""", F4338=""""), ""真實支出"",
  AND(E4338="""", F4338&lt;&gt;""""), ""真實收入"",
  TRUE, ""其他""
)"),"真實收入")</f>
        <v>真實收入</v>
      </c>
      <c r="K4338" s="270">
        <f t="shared" si="2"/>
        <v>11200</v>
      </c>
      <c r="L4338">
        <f t="shared" si="3"/>
        <v>0</v>
      </c>
    </row>
    <row r="4339">
      <c r="A4339" s="107">
        <f>IFERROR(__xludf.DUMMYFUNCTION("""COMPUTED_VALUE"""),45657.0)</f>
        <v>45657</v>
      </c>
      <c r="B4339" t="str">
        <f>IFERROR(__xludf.DUMMYFUNCTION("""COMPUTED_VALUE"""),"行天宮夏野良栗B楊珺媁")</f>
        <v>行天宮夏野良栗B楊珺媁</v>
      </c>
      <c r="C4339" t="str">
        <f>IFERROR(__xludf.DUMMYFUNCTION("""COMPUTED_VALUE"""),"收入 - 租金")</f>
        <v>收入 - 租金</v>
      </c>
      <c r="D4339" s="270">
        <f>IFERROR(__xludf.DUMMYFUNCTION("""COMPUTED_VALUE"""),14000.0)</f>
        <v>14000</v>
      </c>
      <c r="F4339" t="str">
        <f>IFERROR(__xludf.DUMMYFUNCTION("""COMPUTED_VALUE"""),"玉山帳戶")</f>
        <v>玉山帳戶</v>
      </c>
      <c r="G4339" t="str">
        <f>IFERROR(__xludf.DUMMYFUNCTION("""COMPUTED_VALUE"""),"行天宮夏野良栗")</f>
        <v>行天宮夏野良栗</v>
      </c>
      <c r="H4339" s="106" t="str">
        <f t="shared" si="1"/>
        <v>2024-12</v>
      </c>
      <c r="I4339" s="271" t="str">
        <f>IFERROR(__xludf.DUMMYFUNCTION("""COMPUTED_VALUE"""),"鯰魚大大")</f>
        <v>鯰魚大大</v>
      </c>
      <c r="J4339" t="str">
        <f>IFERROR(__xludf.DUMMYFUNCTION("IFS(
  AND(REGEXMATCH(E4339, ""台銀籌備帳戶|玉山帳戶""), REGEXMATCH(C4339, ""薪資"")), ""分潤支出"",
  AND(REGEXMATCH(E4339, ""Ben帳戶|Elsa帳戶|Ben代墊|Ariel代墊|中信銀行共用""), REGEXMATCH(F4339, ""Ben帳戶|Elsa帳戶|Ben代墊|Ariel代墊|中信銀行共用"")), ""內部轉帳(忽略)"",
  AND(E4339&lt;&gt;"""", F4339&lt;&gt;"""", N"&amp;"OT(REGEXMATCH(C4339, ""薪資""))), ""內部轉帳(忽略)"",
  REGEXMATCH(C4339, ""薪資""), ""薪資變動(不計入)"",
  REGEXMATCH(C4339, ""押金""), ""押金往來"",
  AND(E4339&lt;&gt;"""", F4339=""""), ""真實支出"",
  AND(E4339="""", F4339&lt;&gt;""""), ""真實收入"",
  TRUE, ""其他""
)"),"真實收入")</f>
        <v>真實收入</v>
      </c>
      <c r="K4339" s="270">
        <f t="shared" si="2"/>
        <v>14000</v>
      </c>
      <c r="L4339">
        <f t="shared" si="3"/>
        <v>0</v>
      </c>
    </row>
    <row r="4340">
      <c r="A4340" s="107">
        <f>IFERROR(__xludf.DUMMYFUNCTION("""COMPUTED_VALUE"""),45658.0)</f>
        <v>45658</v>
      </c>
      <c r="B4340" t="str">
        <f>IFERROR(__xludf.DUMMYFUNCTION("""COMPUTED_VALUE"""),"內湖秘境B劉桀綸")</f>
        <v>內湖秘境B劉桀綸</v>
      </c>
      <c r="C4340" t="str">
        <f>IFERROR(__xludf.DUMMYFUNCTION("""COMPUTED_VALUE"""),"收入 - 租金")</f>
        <v>收入 - 租金</v>
      </c>
      <c r="D4340" s="270">
        <f>IFERROR(__xludf.DUMMYFUNCTION("""COMPUTED_VALUE"""),12300.0)</f>
        <v>12300</v>
      </c>
      <c r="F4340" t="str">
        <f>IFERROR(__xludf.DUMMYFUNCTION("""COMPUTED_VALUE"""),"玉山帳戶")</f>
        <v>玉山帳戶</v>
      </c>
      <c r="G4340" t="str">
        <f>IFERROR(__xludf.DUMMYFUNCTION("""COMPUTED_VALUE"""),"內湖秘境")</f>
        <v>內湖秘境</v>
      </c>
      <c r="H4340" s="106" t="str">
        <f t="shared" si="1"/>
        <v>2025-01</v>
      </c>
      <c r="I4340" s="271" t="str">
        <f>IFERROR(__xludf.DUMMYFUNCTION("""COMPUTED_VALUE"""),"鯰魚大大")</f>
        <v>鯰魚大大</v>
      </c>
      <c r="J4340" t="str">
        <f>IFERROR(__xludf.DUMMYFUNCTION("IFS(
  AND(REGEXMATCH(E4340, ""台銀籌備帳戶|玉山帳戶""), REGEXMATCH(C4340, ""薪資"")), ""分潤支出"",
  AND(REGEXMATCH(E4340, ""Ben帳戶|Elsa帳戶|Ben代墊|Ariel代墊|中信銀行共用""), REGEXMATCH(F4340, ""Ben帳戶|Elsa帳戶|Ben代墊|Ariel代墊|中信銀行共用"")), ""內部轉帳(忽略)"",
  AND(E4340&lt;&gt;"""", F4340&lt;&gt;"""", N"&amp;"OT(REGEXMATCH(C4340, ""薪資""))), ""內部轉帳(忽略)"",
  REGEXMATCH(C4340, ""薪資""), ""薪資變動(不計入)"",
  REGEXMATCH(C4340, ""押金""), ""押金往來"",
  AND(E4340&lt;&gt;"""", F4340=""""), ""真實支出"",
  AND(E4340="""", F4340&lt;&gt;""""), ""真實收入"",
  TRUE, ""其他""
)"),"真實收入")</f>
        <v>真實收入</v>
      </c>
      <c r="K4340" s="270">
        <f t="shared" si="2"/>
        <v>12300</v>
      </c>
      <c r="L4340">
        <f t="shared" si="3"/>
        <v>0</v>
      </c>
    </row>
    <row r="4341">
      <c r="A4341" s="107">
        <f>IFERROR(__xludf.DUMMYFUNCTION("""COMPUTED_VALUE"""),45658.0)</f>
        <v>45658</v>
      </c>
      <c r="B4341" t="str">
        <f>IFERROR(__xludf.DUMMYFUNCTION("""COMPUTED_VALUE"""),"內湖秘境F楊芯岳")</f>
        <v>內湖秘境F楊芯岳</v>
      </c>
      <c r="C4341" t="str">
        <f>IFERROR(__xludf.DUMMYFUNCTION("""COMPUTED_VALUE"""),"收入 - 租金")</f>
        <v>收入 - 租金</v>
      </c>
      <c r="D4341" s="270">
        <f>IFERROR(__xludf.DUMMYFUNCTION("""COMPUTED_VALUE"""),13500.0)</f>
        <v>13500</v>
      </c>
      <c r="F4341" t="str">
        <f>IFERROR(__xludf.DUMMYFUNCTION("""COMPUTED_VALUE"""),"玉山帳戶")</f>
        <v>玉山帳戶</v>
      </c>
      <c r="G4341" t="str">
        <f>IFERROR(__xludf.DUMMYFUNCTION("""COMPUTED_VALUE"""),"內湖秘境")</f>
        <v>內湖秘境</v>
      </c>
      <c r="H4341" s="106" t="str">
        <f t="shared" si="1"/>
        <v>2025-01</v>
      </c>
      <c r="I4341" s="271" t="str">
        <f>IFERROR(__xludf.DUMMYFUNCTION("""COMPUTED_VALUE"""),"鯰魚大大")</f>
        <v>鯰魚大大</v>
      </c>
      <c r="J4341" t="str">
        <f>IFERROR(__xludf.DUMMYFUNCTION("IFS(
  AND(REGEXMATCH(E4341, ""台銀籌備帳戶|玉山帳戶""), REGEXMATCH(C4341, ""薪資"")), ""分潤支出"",
  AND(REGEXMATCH(E4341, ""Ben帳戶|Elsa帳戶|Ben代墊|Ariel代墊|中信銀行共用""), REGEXMATCH(F4341, ""Ben帳戶|Elsa帳戶|Ben代墊|Ariel代墊|中信銀行共用"")), ""內部轉帳(忽略)"",
  AND(E4341&lt;&gt;"""", F4341&lt;&gt;"""", N"&amp;"OT(REGEXMATCH(C4341, ""薪資""))), ""內部轉帳(忽略)"",
  REGEXMATCH(C4341, ""薪資""), ""薪資變動(不計入)"",
  REGEXMATCH(C4341, ""押金""), ""押金往來"",
  AND(E4341&lt;&gt;"""", F4341=""""), ""真實支出"",
  AND(E4341="""", F4341&lt;&gt;""""), ""真實收入"",
  TRUE, ""其他""
)"),"真實收入")</f>
        <v>真實收入</v>
      </c>
      <c r="K4341" s="270">
        <f t="shared" si="2"/>
        <v>13500</v>
      </c>
      <c r="L4341">
        <f t="shared" si="3"/>
        <v>0</v>
      </c>
    </row>
    <row r="4342">
      <c r="A4342" s="107">
        <f>IFERROR(__xludf.DUMMYFUNCTION("""COMPUTED_VALUE"""),45658.0)</f>
        <v>45658</v>
      </c>
      <c r="B4342" t="str">
        <f>IFERROR(__xludf.DUMMYFUNCTION("""COMPUTED_VALUE"""),"士林和豐C李宛宸")</f>
        <v>士林和豐C李宛宸</v>
      </c>
      <c r="C4342" t="str">
        <f>IFERROR(__xludf.DUMMYFUNCTION("""COMPUTED_VALUE"""),"收入 - 租金")</f>
        <v>收入 - 租金</v>
      </c>
      <c r="D4342" s="270">
        <f>IFERROR(__xludf.DUMMYFUNCTION("""COMPUTED_VALUE"""),13100.0)</f>
        <v>13100</v>
      </c>
      <c r="F4342" t="str">
        <f>IFERROR(__xludf.DUMMYFUNCTION("""COMPUTED_VALUE"""),"玉山帳戶")</f>
        <v>玉山帳戶</v>
      </c>
      <c r="G4342" t="str">
        <f>IFERROR(__xludf.DUMMYFUNCTION("""COMPUTED_VALUE"""),"士林和豐")</f>
        <v>士林和豐</v>
      </c>
      <c r="H4342" s="106" t="str">
        <f t="shared" si="1"/>
        <v>2025-01</v>
      </c>
      <c r="I4342" s="271" t="str">
        <f>IFERROR(__xludf.DUMMYFUNCTION("""COMPUTED_VALUE"""),"鯰魚大大")</f>
        <v>鯰魚大大</v>
      </c>
      <c r="J4342" t="str">
        <f>IFERROR(__xludf.DUMMYFUNCTION("IFS(
  AND(REGEXMATCH(E4342, ""台銀籌備帳戶|玉山帳戶""), REGEXMATCH(C4342, ""薪資"")), ""分潤支出"",
  AND(REGEXMATCH(E4342, ""Ben帳戶|Elsa帳戶|Ben代墊|Ariel代墊|中信銀行共用""), REGEXMATCH(F4342, ""Ben帳戶|Elsa帳戶|Ben代墊|Ariel代墊|中信銀行共用"")), ""內部轉帳(忽略)"",
  AND(E4342&lt;&gt;"""", F4342&lt;&gt;"""", N"&amp;"OT(REGEXMATCH(C4342, ""薪資""))), ""內部轉帳(忽略)"",
  REGEXMATCH(C4342, ""薪資""), ""薪資變動(不計入)"",
  REGEXMATCH(C4342, ""押金""), ""押金往來"",
  AND(E4342&lt;&gt;"""", F4342=""""), ""真實支出"",
  AND(E4342="""", F4342&lt;&gt;""""), ""真實收入"",
  TRUE, ""其他""
)"),"真實收入")</f>
        <v>真實收入</v>
      </c>
      <c r="K4342" s="270">
        <f t="shared" si="2"/>
        <v>13100</v>
      </c>
      <c r="L4342">
        <f t="shared" si="3"/>
        <v>0</v>
      </c>
    </row>
    <row r="4343">
      <c r="A4343" s="107">
        <f>IFERROR(__xludf.DUMMYFUNCTION("""COMPUTED_VALUE"""),45658.0)</f>
        <v>45658</v>
      </c>
      <c r="B4343" t="str">
        <f>IFERROR(__xludf.DUMMYFUNCTION("""COMPUTED_VALUE"""),"內湖秘境G徐若洹")</f>
        <v>內湖秘境G徐若洹</v>
      </c>
      <c r="C4343" t="str">
        <f>IFERROR(__xludf.DUMMYFUNCTION("""COMPUTED_VALUE"""),"收入 - 租金")</f>
        <v>收入 - 租金</v>
      </c>
      <c r="D4343" s="270">
        <f>IFERROR(__xludf.DUMMYFUNCTION("""COMPUTED_VALUE"""),8500.0)</f>
        <v>8500</v>
      </c>
      <c r="F4343" t="str">
        <f>IFERROR(__xludf.DUMMYFUNCTION("""COMPUTED_VALUE"""),"玉山帳戶")</f>
        <v>玉山帳戶</v>
      </c>
      <c r="G4343" t="str">
        <f>IFERROR(__xludf.DUMMYFUNCTION("""COMPUTED_VALUE"""),"內湖秘境")</f>
        <v>內湖秘境</v>
      </c>
      <c r="H4343" s="106" t="str">
        <f t="shared" si="1"/>
        <v>2025-01</v>
      </c>
      <c r="I4343" s="271" t="str">
        <f>IFERROR(__xludf.DUMMYFUNCTION("""COMPUTED_VALUE"""),"鯰魚大大")</f>
        <v>鯰魚大大</v>
      </c>
      <c r="J4343" t="str">
        <f>IFERROR(__xludf.DUMMYFUNCTION("IFS(
  AND(REGEXMATCH(E4343, ""台銀籌備帳戶|玉山帳戶""), REGEXMATCH(C4343, ""薪資"")), ""分潤支出"",
  AND(REGEXMATCH(E4343, ""Ben帳戶|Elsa帳戶|Ben代墊|Ariel代墊|中信銀行共用""), REGEXMATCH(F4343, ""Ben帳戶|Elsa帳戶|Ben代墊|Ariel代墊|中信銀行共用"")), ""內部轉帳(忽略)"",
  AND(E4343&lt;&gt;"""", F4343&lt;&gt;"""", N"&amp;"OT(REGEXMATCH(C4343, ""薪資""))), ""內部轉帳(忽略)"",
  REGEXMATCH(C4343, ""薪資""), ""薪資變動(不計入)"",
  REGEXMATCH(C4343, ""押金""), ""押金往來"",
  AND(E4343&lt;&gt;"""", F4343=""""), ""真實支出"",
  AND(E4343="""", F4343&lt;&gt;""""), ""真實收入"",
  TRUE, ""其他""
)"),"真實收入")</f>
        <v>真實收入</v>
      </c>
      <c r="K4343" s="270">
        <f t="shared" si="2"/>
        <v>8500</v>
      </c>
      <c r="L4343">
        <f t="shared" si="3"/>
        <v>0</v>
      </c>
    </row>
    <row r="4344">
      <c r="A4344" s="107">
        <f>IFERROR(__xludf.DUMMYFUNCTION("""COMPUTED_VALUE"""),45658.0)</f>
        <v>45658</v>
      </c>
      <c r="B4344" t="str">
        <f>IFERROR(__xludf.DUMMYFUNCTION("""COMPUTED_VALUE"""),"內湖秘境G徐若洹")</f>
        <v>內湖秘境G徐若洹</v>
      </c>
      <c r="C4344" t="str">
        <f>IFERROR(__xludf.DUMMYFUNCTION("""COMPUTED_VALUE"""),"收入 - 租金")</f>
        <v>收入 - 租金</v>
      </c>
      <c r="D4344" s="270">
        <f>IFERROR(__xludf.DUMMYFUNCTION("""COMPUTED_VALUE"""),3600.0)</f>
        <v>3600</v>
      </c>
      <c r="F4344" t="str">
        <f>IFERROR(__xludf.DUMMYFUNCTION("""COMPUTED_VALUE"""),"玉山帳戶")</f>
        <v>玉山帳戶</v>
      </c>
      <c r="G4344" t="str">
        <f>IFERROR(__xludf.DUMMYFUNCTION("""COMPUTED_VALUE"""),"內湖秘境")</f>
        <v>內湖秘境</v>
      </c>
      <c r="H4344" s="106" t="str">
        <f t="shared" si="1"/>
        <v>2025-01</v>
      </c>
      <c r="I4344" s="271" t="str">
        <f>IFERROR(__xludf.DUMMYFUNCTION("""COMPUTED_VALUE"""),"鯰魚大大")</f>
        <v>鯰魚大大</v>
      </c>
      <c r="J4344" t="str">
        <f>IFERROR(__xludf.DUMMYFUNCTION("IFS(
  AND(REGEXMATCH(E4344, ""台銀籌備帳戶|玉山帳戶""), REGEXMATCH(C4344, ""薪資"")), ""分潤支出"",
  AND(REGEXMATCH(E4344, ""Ben帳戶|Elsa帳戶|Ben代墊|Ariel代墊|中信銀行共用""), REGEXMATCH(F4344, ""Ben帳戶|Elsa帳戶|Ben代墊|Ariel代墊|中信銀行共用"")), ""內部轉帳(忽略)"",
  AND(E4344&lt;&gt;"""", F4344&lt;&gt;"""", N"&amp;"OT(REGEXMATCH(C4344, ""薪資""))), ""內部轉帳(忽略)"",
  REGEXMATCH(C4344, ""薪資""), ""薪資變動(不計入)"",
  REGEXMATCH(C4344, ""押金""), ""押金往來"",
  AND(E4344&lt;&gt;"""", F4344=""""), ""真實支出"",
  AND(E4344="""", F4344&lt;&gt;""""), ""真實收入"",
  TRUE, ""其他""
)"),"真實收入")</f>
        <v>真實收入</v>
      </c>
      <c r="K4344" s="270">
        <f t="shared" si="2"/>
        <v>3600</v>
      </c>
      <c r="L4344">
        <f t="shared" si="3"/>
        <v>0</v>
      </c>
    </row>
    <row r="4345">
      <c r="A4345" s="107">
        <f>IFERROR(__xludf.DUMMYFUNCTION("""COMPUTED_VALUE"""),45658.0)</f>
        <v>45658</v>
      </c>
      <c r="B4345" t="str">
        <f>IFERROR(__xludf.DUMMYFUNCTION("""COMPUTED_VALUE"""),"內湖秘境A陳玟涵")</f>
        <v>內湖秘境A陳玟涵</v>
      </c>
      <c r="C4345" t="str">
        <f>IFERROR(__xludf.DUMMYFUNCTION("""COMPUTED_VALUE"""),"收入 - 租金")</f>
        <v>收入 - 租金</v>
      </c>
      <c r="D4345" s="270">
        <f>IFERROR(__xludf.DUMMYFUNCTION("""COMPUTED_VALUE"""),11700.0)</f>
        <v>11700</v>
      </c>
      <c r="F4345" t="str">
        <f>IFERROR(__xludf.DUMMYFUNCTION("""COMPUTED_VALUE"""),"玉山帳戶")</f>
        <v>玉山帳戶</v>
      </c>
      <c r="G4345" t="str">
        <f>IFERROR(__xludf.DUMMYFUNCTION("""COMPUTED_VALUE"""),"內湖秘境")</f>
        <v>內湖秘境</v>
      </c>
      <c r="H4345" s="106" t="str">
        <f t="shared" si="1"/>
        <v>2025-01</v>
      </c>
      <c r="I4345" s="271" t="str">
        <f>IFERROR(__xludf.DUMMYFUNCTION("""COMPUTED_VALUE"""),"鯰魚大大")</f>
        <v>鯰魚大大</v>
      </c>
      <c r="J4345" t="str">
        <f>IFERROR(__xludf.DUMMYFUNCTION("IFS(
  AND(REGEXMATCH(E4345, ""台銀籌備帳戶|玉山帳戶""), REGEXMATCH(C4345, ""薪資"")), ""分潤支出"",
  AND(REGEXMATCH(E4345, ""Ben帳戶|Elsa帳戶|Ben代墊|Ariel代墊|中信銀行共用""), REGEXMATCH(F4345, ""Ben帳戶|Elsa帳戶|Ben代墊|Ariel代墊|中信銀行共用"")), ""內部轉帳(忽略)"",
  AND(E4345&lt;&gt;"""", F4345&lt;&gt;"""", N"&amp;"OT(REGEXMATCH(C4345, ""薪資""))), ""內部轉帳(忽略)"",
  REGEXMATCH(C4345, ""薪資""), ""薪資變動(不計入)"",
  REGEXMATCH(C4345, ""押金""), ""押金往來"",
  AND(E4345&lt;&gt;"""", F4345=""""), ""真實支出"",
  AND(E4345="""", F4345&lt;&gt;""""), ""真實收入"",
  TRUE, ""其他""
)"),"真實收入")</f>
        <v>真實收入</v>
      </c>
      <c r="K4345" s="270">
        <f t="shared" si="2"/>
        <v>11700</v>
      </c>
      <c r="L4345">
        <f t="shared" si="3"/>
        <v>0</v>
      </c>
    </row>
    <row r="4346">
      <c r="A4346" s="107">
        <f>IFERROR(__xludf.DUMMYFUNCTION("""COMPUTED_VALUE"""),45658.0)</f>
        <v>45658</v>
      </c>
      <c r="B4346" t="str">
        <f>IFERROR(__xludf.DUMMYFUNCTION("""COMPUTED_VALUE"""),"內湖秘境E林芷妤")</f>
        <v>內湖秘境E林芷妤</v>
      </c>
      <c r="C4346" t="str">
        <f>IFERROR(__xludf.DUMMYFUNCTION("""COMPUTED_VALUE"""),"收入 - 租金")</f>
        <v>收入 - 租金</v>
      </c>
      <c r="D4346" s="270">
        <f>IFERROR(__xludf.DUMMYFUNCTION("""COMPUTED_VALUE"""),13600.0)</f>
        <v>13600</v>
      </c>
      <c r="F4346" t="str">
        <f>IFERROR(__xludf.DUMMYFUNCTION("""COMPUTED_VALUE"""),"玉山帳戶")</f>
        <v>玉山帳戶</v>
      </c>
      <c r="G4346" t="str">
        <f>IFERROR(__xludf.DUMMYFUNCTION("""COMPUTED_VALUE"""),"內湖秘境")</f>
        <v>內湖秘境</v>
      </c>
      <c r="H4346" s="106" t="str">
        <f t="shared" si="1"/>
        <v>2025-01</v>
      </c>
      <c r="I4346" s="271" t="str">
        <f>IFERROR(__xludf.DUMMYFUNCTION("""COMPUTED_VALUE"""),"鯰魚大大")</f>
        <v>鯰魚大大</v>
      </c>
      <c r="J4346" t="str">
        <f>IFERROR(__xludf.DUMMYFUNCTION("IFS(
  AND(REGEXMATCH(E4346, ""台銀籌備帳戶|玉山帳戶""), REGEXMATCH(C4346, ""薪資"")), ""分潤支出"",
  AND(REGEXMATCH(E4346, ""Ben帳戶|Elsa帳戶|Ben代墊|Ariel代墊|中信銀行共用""), REGEXMATCH(F4346, ""Ben帳戶|Elsa帳戶|Ben代墊|Ariel代墊|中信銀行共用"")), ""內部轉帳(忽略)"",
  AND(E4346&lt;&gt;"""", F4346&lt;&gt;"""", N"&amp;"OT(REGEXMATCH(C4346, ""薪資""))), ""內部轉帳(忽略)"",
  REGEXMATCH(C4346, ""薪資""), ""薪資變動(不計入)"",
  REGEXMATCH(C4346, ""押金""), ""押金往來"",
  AND(E4346&lt;&gt;"""", F4346=""""), ""真實支出"",
  AND(E4346="""", F4346&lt;&gt;""""), ""真實收入"",
  TRUE, ""其他""
)"),"真實收入")</f>
        <v>真實收入</v>
      </c>
      <c r="K4346" s="270">
        <f t="shared" si="2"/>
        <v>13600</v>
      </c>
      <c r="L4346">
        <f t="shared" si="3"/>
        <v>0</v>
      </c>
    </row>
    <row r="4347">
      <c r="A4347" s="107">
        <f>IFERROR(__xludf.DUMMYFUNCTION("""COMPUTED_VALUE"""),45658.0)</f>
        <v>45658</v>
      </c>
      <c r="B4347" t="str">
        <f>IFERROR(__xludf.DUMMYFUNCTION("""COMPUTED_VALUE"""),"行天宮夏野良栗C黃伊妍")</f>
        <v>行天宮夏野良栗C黃伊妍</v>
      </c>
      <c r="C4347" t="str">
        <f>IFERROR(__xludf.DUMMYFUNCTION("""COMPUTED_VALUE"""),"收入 - 租金")</f>
        <v>收入 - 租金</v>
      </c>
      <c r="D4347" s="270">
        <f>IFERROR(__xludf.DUMMYFUNCTION("""COMPUTED_VALUE"""),11000.0)</f>
        <v>11000</v>
      </c>
      <c r="F4347" t="str">
        <f>IFERROR(__xludf.DUMMYFUNCTION("""COMPUTED_VALUE"""),"玉山帳戶")</f>
        <v>玉山帳戶</v>
      </c>
      <c r="G4347" t="str">
        <f>IFERROR(__xludf.DUMMYFUNCTION("""COMPUTED_VALUE"""),"行天宮夏野良栗")</f>
        <v>行天宮夏野良栗</v>
      </c>
      <c r="H4347" s="106" t="str">
        <f t="shared" si="1"/>
        <v>2025-01</v>
      </c>
      <c r="I4347" s="271" t="str">
        <f>IFERROR(__xludf.DUMMYFUNCTION("""COMPUTED_VALUE"""),"鯰魚大大")</f>
        <v>鯰魚大大</v>
      </c>
      <c r="J4347" t="str">
        <f>IFERROR(__xludf.DUMMYFUNCTION("IFS(
  AND(REGEXMATCH(E4347, ""台銀籌備帳戶|玉山帳戶""), REGEXMATCH(C4347, ""薪資"")), ""分潤支出"",
  AND(REGEXMATCH(E4347, ""Ben帳戶|Elsa帳戶|Ben代墊|Ariel代墊|中信銀行共用""), REGEXMATCH(F4347, ""Ben帳戶|Elsa帳戶|Ben代墊|Ariel代墊|中信銀行共用"")), ""內部轉帳(忽略)"",
  AND(E4347&lt;&gt;"""", F4347&lt;&gt;"""", N"&amp;"OT(REGEXMATCH(C4347, ""薪資""))), ""內部轉帳(忽略)"",
  REGEXMATCH(C4347, ""薪資""), ""薪資變動(不計入)"",
  REGEXMATCH(C4347, ""押金""), ""押金往來"",
  AND(E4347&lt;&gt;"""", F4347=""""), ""真實支出"",
  AND(E4347="""", F4347&lt;&gt;""""), ""真實收入"",
  TRUE, ""其他""
)"),"真實收入")</f>
        <v>真實收入</v>
      </c>
      <c r="K4347" s="270">
        <f t="shared" si="2"/>
        <v>11000</v>
      </c>
      <c r="L4347">
        <f t="shared" si="3"/>
        <v>0</v>
      </c>
    </row>
    <row r="4348">
      <c r="A4348" s="107">
        <f>IFERROR(__xludf.DUMMYFUNCTION("""COMPUTED_VALUE"""),45659.0)</f>
        <v>45659</v>
      </c>
      <c r="B4348" t="str">
        <f>IFERROR(__xludf.DUMMYFUNCTION("""COMPUTED_VALUE"""),"行天宮夏野良栗A鄒欣穎")</f>
        <v>行天宮夏野良栗A鄒欣穎</v>
      </c>
      <c r="C4348" t="str">
        <f>IFERROR(__xludf.DUMMYFUNCTION("""COMPUTED_VALUE"""),"收入 - 租金")</f>
        <v>收入 - 租金</v>
      </c>
      <c r="D4348" s="270">
        <f>IFERROR(__xludf.DUMMYFUNCTION("""COMPUTED_VALUE"""),14200.0)</f>
        <v>14200</v>
      </c>
      <c r="F4348" t="str">
        <f>IFERROR(__xludf.DUMMYFUNCTION("""COMPUTED_VALUE"""),"玉山帳戶")</f>
        <v>玉山帳戶</v>
      </c>
      <c r="G4348" t="str">
        <f>IFERROR(__xludf.DUMMYFUNCTION("""COMPUTED_VALUE"""),"行天宮夏野良栗")</f>
        <v>行天宮夏野良栗</v>
      </c>
      <c r="H4348" s="106" t="str">
        <f t="shared" si="1"/>
        <v>2025-01</v>
      </c>
      <c r="I4348" s="271" t="str">
        <f>IFERROR(__xludf.DUMMYFUNCTION("""COMPUTED_VALUE"""),"鯰魚大大")</f>
        <v>鯰魚大大</v>
      </c>
      <c r="J4348" t="str">
        <f>IFERROR(__xludf.DUMMYFUNCTION("IFS(
  AND(REGEXMATCH(E4348, ""台銀籌備帳戶|玉山帳戶""), REGEXMATCH(C4348, ""薪資"")), ""分潤支出"",
  AND(REGEXMATCH(E4348, ""Ben帳戶|Elsa帳戶|Ben代墊|Ariel代墊|中信銀行共用""), REGEXMATCH(F4348, ""Ben帳戶|Elsa帳戶|Ben代墊|Ariel代墊|中信銀行共用"")), ""內部轉帳(忽略)"",
  AND(E4348&lt;&gt;"""", F4348&lt;&gt;"""", N"&amp;"OT(REGEXMATCH(C4348, ""薪資""))), ""內部轉帳(忽略)"",
  REGEXMATCH(C4348, ""薪資""), ""薪資變動(不計入)"",
  REGEXMATCH(C4348, ""押金""), ""押金往來"",
  AND(E4348&lt;&gt;"""", F4348=""""), ""真實支出"",
  AND(E4348="""", F4348&lt;&gt;""""), ""真實收入"",
  TRUE, ""其他""
)"),"真實收入")</f>
        <v>真實收入</v>
      </c>
      <c r="K4348" s="270">
        <f t="shared" si="2"/>
        <v>14200</v>
      </c>
      <c r="L4348">
        <f t="shared" si="3"/>
        <v>0</v>
      </c>
    </row>
    <row r="4349">
      <c r="A4349" s="107">
        <f>IFERROR(__xludf.DUMMYFUNCTION("""COMPUTED_VALUE"""),45659.0)</f>
        <v>45659</v>
      </c>
      <c r="B4349" t="str">
        <f>IFERROR(__xludf.DUMMYFUNCTION("""COMPUTED_VALUE"""),"內湖周姐大租金")</f>
        <v>內湖周姐大租金</v>
      </c>
      <c r="C4349" t="str">
        <f>IFERROR(__xludf.DUMMYFUNCTION("""COMPUTED_VALUE"""),"成本 - 大租金")</f>
        <v>成本 - 大租金</v>
      </c>
      <c r="D4349" s="270">
        <f>IFERROR(__xludf.DUMMYFUNCTION("""COMPUTED_VALUE"""),-45015.0)</f>
        <v>-45015</v>
      </c>
      <c r="E4349" t="str">
        <f>IFERROR(__xludf.DUMMYFUNCTION("""COMPUTED_VALUE"""),"玉山帳戶")</f>
        <v>玉山帳戶</v>
      </c>
      <c r="G4349" t="str">
        <f>IFERROR(__xludf.DUMMYFUNCTION("""COMPUTED_VALUE"""),"內湖秘境")</f>
        <v>內湖秘境</v>
      </c>
      <c r="H4349" s="106" t="str">
        <f t="shared" si="1"/>
        <v>2025-01</v>
      </c>
      <c r="I4349" s="271" t="str">
        <f>IFERROR(__xludf.DUMMYFUNCTION("""COMPUTED_VALUE"""),"鯰魚大大")</f>
        <v>鯰魚大大</v>
      </c>
      <c r="J4349" t="str">
        <f>IFERROR(__xludf.DUMMYFUNCTION("IFS(
  AND(REGEXMATCH(E4349, ""台銀籌備帳戶|玉山帳戶""), REGEXMATCH(C4349, ""薪資"")), ""分潤支出"",
  AND(REGEXMATCH(E4349, ""Ben帳戶|Elsa帳戶|Ben代墊|Ariel代墊|中信銀行共用""), REGEXMATCH(F4349, ""Ben帳戶|Elsa帳戶|Ben代墊|Ariel代墊|中信銀行共用"")), ""內部轉帳(忽略)"",
  AND(E4349&lt;&gt;"""", F4349&lt;&gt;"""", N"&amp;"OT(REGEXMATCH(C4349, ""薪資""))), ""內部轉帳(忽略)"",
  REGEXMATCH(C4349, ""薪資""), ""薪資變動(不計入)"",
  REGEXMATCH(C4349, ""押金""), ""押金往來"",
  AND(E4349&lt;&gt;"""", F4349=""""), ""真實支出"",
  AND(E4349="""", F4349&lt;&gt;""""), ""真實收入"",
  TRUE, ""其他""
)"),"真實支出")</f>
        <v>真實支出</v>
      </c>
      <c r="K4349" s="270">
        <f t="shared" si="2"/>
        <v>-45015</v>
      </c>
      <c r="L4349">
        <f t="shared" si="3"/>
        <v>0</v>
      </c>
    </row>
    <row r="4350">
      <c r="A4350" s="107">
        <f>IFERROR(__xludf.DUMMYFUNCTION("""COMPUTED_VALUE"""),45659.0)</f>
        <v>45659</v>
      </c>
      <c r="B4350" t="str">
        <f>IFERROR(__xludf.DUMMYFUNCTION("""COMPUTED_VALUE"""),"士林和豐第一期")</f>
        <v>士林和豐第一期</v>
      </c>
      <c r="C4350" t="str">
        <f>IFERROR(__xludf.DUMMYFUNCTION("""COMPUTED_VALUE"""),"成本 - 大租金")</f>
        <v>成本 - 大租金</v>
      </c>
      <c r="D4350" s="270">
        <f>IFERROR(__xludf.DUMMYFUNCTION("""COMPUTED_VALUE"""),-14415.0)</f>
        <v>-14415</v>
      </c>
      <c r="E4350" t="str">
        <f>IFERROR(__xludf.DUMMYFUNCTION("""COMPUTED_VALUE"""),"玉山帳戶")</f>
        <v>玉山帳戶</v>
      </c>
      <c r="G4350" t="str">
        <f>IFERROR(__xludf.DUMMYFUNCTION("""COMPUTED_VALUE"""),"士林和豐")</f>
        <v>士林和豐</v>
      </c>
      <c r="H4350" s="106" t="str">
        <f t="shared" si="1"/>
        <v>2025-01</v>
      </c>
      <c r="I4350" s="271" t="str">
        <f>IFERROR(__xludf.DUMMYFUNCTION("""COMPUTED_VALUE"""),"鯰魚大大")</f>
        <v>鯰魚大大</v>
      </c>
      <c r="J4350" t="str">
        <f>IFERROR(__xludf.DUMMYFUNCTION("IFS(
  AND(REGEXMATCH(E4350, ""台銀籌備帳戶|玉山帳戶""), REGEXMATCH(C4350, ""薪資"")), ""分潤支出"",
  AND(REGEXMATCH(E4350, ""Ben帳戶|Elsa帳戶|Ben代墊|Ariel代墊|中信銀行共用""), REGEXMATCH(F4350, ""Ben帳戶|Elsa帳戶|Ben代墊|Ariel代墊|中信銀行共用"")), ""內部轉帳(忽略)"",
  AND(E4350&lt;&gt;"""", F4350&lt;&gt;"""", N"&amp;"OT(REGEXMATCH(C4350, ""薪資""))), ""內部轉帳(忽略)"",
  REGEXMATCH(C4350, ""薪資""), ""薪資變動(不計入)"",
  REGEXMATCH(C4350, ""押金""), ""押金往來"",
  AND(E4350&lt;&gt;"""", F4350=""""), ""真實支出"",
  AND(E4350="""", F4350&lt;&gt;""""), ""真實收入"",
  TRUE, ""其他""
)"),"真實支出")</f>
        <v>真實支出</v>
      </c>
      <c r="K4350" s="270">
        <f t="shared" si="2"/>
        <v>-14415</v>
      </c>
      <c r="L4350">
        <f t="shared" si="3"/>
        <v>0</v>
      </c>
    </row>
    <row r="4351">
      <c r="A4351" s="107">
        <f>IFERROR(__xludf.DUMMYFUNCTION("""COMPUTED_VALUE"""),45659.0)</f>
        <v>45659</v>
      </c>
      <c r="B4351" t="str">
        <f>IFERROR(__xludf.DUMMYFUNCTION("""COMPUTED_VALUE"""),"民生東鐵工")</f>
        <v>民生東鐵工</v>
      </c>
      <c r="C4351" t="str">
        <f>IFERROR(__xludf.DUMMYFUNCTION("""COMPUTED_VALUE"""),"成本 - 進場前裝潢費")</f>
        <v>成本 - 進場前裝潢費</v>
      </c>
      <c r="D4351" s="270">
        <f>IFERROR(__xludf.DUMMYFUNCTION("""COMPUTED_VALUE"""),-18015.0)</f>
        <v>-18015</v>
      </c>
      <c r="E4351" t="str">
        <f>IFERROR(__xludf.DUMMYFUNCTION("""COMPUTED_VALUE"""),"玉山帳戶")</f>
        <v>玉山帳戶</v>
      </c>
      <c r="F4351" t="str">
        <f>IFERROR(__xludf.DUMMYFUNCTION("""COMPUTED_VALUE"""),"Ben代墊")</f>
        <v>Ben代墊</v>
      </c>
      <c r="G4351" t="str">
        <f>IFERROR(__xludf.DUMMYFUNCTION("""COMPUTED_VALUE"""),"民生東二樓")</f>
        <v>民生東二樓</v>
      </c>
      <c r="H4351" s="106" t="str">
        <f t="shared" si="1"/>
        <v>2025-01</v>
      </c>
      <c r="I4351" s="271" t="str">
        <f>IFERROR(__xludf.DUMMYFUNCTION("""COMPUTED_VALUE"""),"鯰魚大大")</f>
        <v>鯰魚大大</v>
      </c>
      <c r="J4351" t="str">
        <f>IFERROR(__xludf.DUMMYFUNCTION("IFS(
  AND(REGEXMATCH(E4351, ""台銀籌備帳戶|玉山帳戶""), REGEXMATCH(C4351, ""薪資"")), ""分潤支出"",
  AND(REGEXMATCH(E4351, ""Ben帳戶|Elsa帳戶|Ben代墊|Ariel代墊|中信銀行共用""), REGEXMATCH(F4351, ""Ben帳戶|Elsa帳戶|Ben代墊|Ariel代墊|中信銀行共用"")), ""內部轉帳(忽略)"",
  AND(E4351&lt;&gt;"""", F4351&lt;&gt;"""", N"&amp;"OT(REGEXMATCH(C4351, ""薪資""))), ""內部轉帳(忽略)"",
  REGEXMATCH(C4351, ""薪資""), ""薪資變動(不計入)"",
  REGEXMATCH(C4351, ""押金""), ""押金往來"",
  AND(E4351&lt;&gt;"""", F4351=""""), ""真實支出"",
  AND(E4351="""", F4351&lt;&gt;""""), ""真實收入"",
  TRUE, ""其他""
)"),"內部轉帳(忽略)")</f>
        <v>內部轉帳(忽略)</v>
      </c>
      <c r="K4351">
        <f t="shared" si="2"/>
        <v>0</v>
      </c>
      <c r="L4351">
        <f t="shared" si="3"/>
        <v>0</v>
      </c>
    </row>
    <row r="4352">
      <c r="A4352" s="107">
        <f>IFERROR(__xludf.DUMMYFUNCTION("""COMPUTED_VALUE"""),45660.0)</f>
        <v>45660</v>
      </c>
      <c r="B4352" t="str">
        <f>IFERROR(__xludf.DUMMYFUNCTION("""COMPUTED_VALUE"""),"垃可")</f>
        <v>垃可</v>
      </c>
      <c r="C4352" t="str">
        <f>IFERROR(__xludf.DUMMYFUNCTION("""COMPUTED_VALUE"""),"成本 - 固定開銷(網路代收清潔)")</f>
        <v>成本 - 固定開銷(網路代收清潔)</v>
      </c>
      <c r="D4352" s="270">
        <f>IFERROR(__xludf.DUMMYFUNCTION("""COMPUTED_VALUE"""),-900.0)</f>
        <v>-900</v>
      </c>
      <c r="E4352" t="str">
        <f>IFERROR(__xludf.DUMMYFUNCTION("""COMPUTED_VALUE"""),"Ben代墊")</f>
        <v>Ben代墊</v>
      </c>
      <c r="H4352" s="106" t="str">
        <f t="shared" si="1"/>
        <v>2025-01</v>
      </c>
      <c r="I4352" s="271" t="str">
        <f>IFERROR(__xludf.DUMMYFUNCTION("""COMPUTED_VALUE"""),"鯰魚大大")</f>
        <v>鯰魚大大</v>
      </c>
      <c r="J4352" t="str">
        <f>IFERROR(__xludf.DUMMYFUNCTION("IFS(
  AND(REGEXMATCH(E4352, ""台銀籌備帳戶|玉山帳戶""), REGEXMATCH(C4352, ""薪資"")), ""分潤支出"",
  AND(REGEXMATCH(E4352, ""Ben帳戶|Elsa帳戶|Ben代墊|Ariel代墊|中信銀行共用""), REGEXMATCH(F4352, ""Ben帳戶|Elsa帳戶|Ben代墊|Ariel代墊|中信銀行共用"")), ""內部轉帳(忽略)"",
  AND(E4352&lt;&gt;"""", F4352&lt;&gt;"""", N"&amp;"OT(REGEXMATCH(C4352, ""薪資""))), ""內部轉帳(忽略)"",
  REGEXMATCH(C4352, ""薪資""), ""薪資變動(不計入)"",
  REGEXMATCH(C4352, ""押金""), ""押金往來"",
  AND(E4352&lt;&gt;"""", F4352=""""), ""真實支出"",
  AND(E4352="""", F4352&lt;&gt;""""), ""真實收入"",
  TRUE, ""其他""
)"),"真實支出")</f>
        <v>真實支出</v>
      </c>
      <c r="K4352" s="270">
        <f t="shared" si="2"/>
        <v>-900</v>
      </c>
      <c r="L4352">
        <f t="shared" si="3"/>
        <v>0</v>
      </c>
    </row>
    <row r="4353">
      <c r="A4353" s="107">
        <f>IFERROR(__xludf.DUMMYFUNCTION("""COMPUTED_VALUE"""),45659.0)</f>
        <v>45659</v>
      </c>
      <c r="B4353" t="str">
        <f>IFERROR(__xludf.DUMMYFUNCTION("""COMPUTED_VALUE"""),"行天宮夏野良栗E, F張宏祺")</f>
        <v>行天宮夏野良栗E, F張宏祺</v>
      </c>
      <c r="C4353" t="str">
        <f>IFERROR(__xludf.DUMMYFUNCTION("""COMPUTED_VALUE"""),"收入 - 租金")</f>
        <v>收入 - 租金</v>
      </c>
      <c r="D4353" s="270">
        <f>IFERROR(__xludf.DUMMYFUNCTION("""COMPUTED_VALUE"""),31800.0)</f>
        <v>31800</v>
      </c>
      <c r="F4353" t="str">
        <f>IFERROR(__xludf.DUMMYFUNCTION("""COMPUTED_VALUE"""),"玉山帳戶")</f>
        <v>玉山帳戶</v>
      </c>
      <c r="G4353" t="str">
        <f>IFERROR(__xludf.DUMMYFUNCTION("""COMPUTED_VALUE"""),"行天宮夏野良栗")</f>
        <v>行天宮夏野良栗</v>
      </c>
      <c r="H4353" s="106" t="str">
        <f t="shared" si="1"/>
        <v>2025-01</v>
      </c>
      <c r="I4353" s="271" t="str">
        <f>IFERROR(__xludf.DUMMYFUNCTION("""COMPUTED_VALUE"""),"鯰魚大大")</f>
        <v>鯰魚大大</v>
      </c>
      <c r="J4353" t="str">
        <f>IFERROR(__xludf.DUMMYFUNCTION("IFS(
  AND(REGEXMATCH(E4353, ""台銀籌備帳戶|玉山帳戶""), REGEXMATCH(C4353, ""薪資"")), ""分潤支出"",
  AND(REGEXMATCH(E4353, ""Ben帳戶|Elsa帳戶|Ben代墊|Ariel代墊|中信銀行共用""), REGEXMATCH(F4353, ""Ben帳戶|Elsa帳戶|Ben代墊|Ariel代墊|中信銀行共用"")), ""內部轉帳(忽略)"",
  AND(E4353&lt;&gt;"""", F4353&lt;&gt;"""", N"&amp;"OT(REGEXMATCH(C4353, ""薪資""))), ""內部轉帳(忽略)"",
  REGEXMATCH(C4353, ""薪資""), ""薪資變動(不計入)"",
  REGEXMATCH(C4353, ""押金""), ""押金往來"",
  AND(E4353&lt;&gt;"""", F4353=""""), ""真實支出"",
  AND(E4353="""", F4353&lt;&gt;""""), ""真實收入"",
  TRUE, ""其他""
)"),"真實收入")</f>
        <v>真實收入</v>
      </c>
      <c r="K4353" s="270">
        <f t="shared" si="2"/>
        <v>31800</v>
      </c>
      <c r="L4353">
        <f t="shared" si="3"/>
        <v>0</v>
      </c>
    </row>
    <row r="4354">
      <c r="A4354" s="107">
        <f>IFERROR(__xludf.DUMMYFUNCTION("""COMPUTED_VALUE"""),45659.0)</f>
        <v>45659</v>
      </c>
      <c r="B4354" t="str">
        <f>IFERROR(__xludf.DUMMYFUNCTION("""COMPUTED_VALUE"""),"士林和豐B郭昱慧")</f>
        <v>士林和豐B郭昱慧</v>
      </c>
      <c r="C4354" t="str">
        <f>IFERROR(__xludf.DUMMYFUNCTION("""COMPUTED_VALUE"""),"收入 - 租金")</f>
        <v>收入 - 租金</v>
      </c>
      <c r="D4354" s="270">
        <f>IFERROR(__xludf.DUMMYFUNCTION("""COMPUTED_VALUE"""),14100.0)</f>
        <v>14100</v>
      </c>
      <c r="F4354" t="str">
        <f>IFERROR(__xludf.DUMMYFUNCTION("""COMPUTED_VALUE"""),"玉山帳戶")</f>
        <v>玉山帳戶</v>
      </c>
      <c r="G4354" t="str">
        <f>IFERROR(__xludf.DUMMYFUNCTION("""COMPUTED_VALUE"""),"士林和豐")</f>
        <v>士林和豐</v>
      </c>
      <c r="H4354" s="106" t="str">
        <f t="shared" si="1"/>
        <v>2025-01</v>
      </c>
      <c r="I4354" s="271" t="str">
        <f>IFERROR(__xludf.DUMMYFUNCTION("""COMPUTED_VALUE"""),"鯰魚大大")</f>
        <v>鯰魚大大</v>
      </c>
      <c r="J4354" t="str">
        <f>IFERROR(__xludf.DUMMYFUNCTION("IFS(
  AND(REGEXMATCH(E4354, ""台銀籌備帳戶|玉山帳戶""), REGEXMATCH(C4354, ""薪資"")), ""分潤支出"",
  AND(REGEXMATCH(E4354, ""Ben帳戶|Elsa帳戶|Ben代墊|Ariel代墊|中信銀行共用""), REGEXMATCH(F4354, ""Ben帳戶|Elsa帳戶|Ben代墊|Ariel代墊|中信銀行共用"")), ""內部轉帳(忽略)"",
  AND(E4354&lt;&gt;"""", F4354&lt;&gt;"""", N"&amp;"OT(REGEXMATCH(C4354, ""薪資""))), ""內部轉帳(忽略)"",
  REGEXMATCH(C4354, ""薪資""), ""薪資變動(不計入)"",
  REGEXMATCH(C4354, ""押金""), ""押金往來"",
  AND(E4354&lt;&gt;"""", F4354=""""), ""真實支出"",
  AND(E4354="""", F4354&lt;&gt;""""), ""真實收入"",
  TRUE, ""其他""
)"),"真實收入")</f>
        <v>真實收入</v>
      </c>
      <c r="K4354" s="270">
        <f t="shared" si="2"/>
        <v>14100</v>
      </c>
      <c r="L4354">
        <f t="shared" si="3"/>
        <v>0</v>
      </c>
    </row>
    <row r="4355">
      <c r="A4355" s="107">
        <f>IFERROR(__xludf.DUMMYFUNCTION("""COMPUTED_VALUE"""),45659.0)</f>
        <v>45659</v>
      </c>
      <c r="B4355" t="str">
        <f>IFERROR(__xludf.DUMMYFUNCTION("""COMPUTED_VALUE"""),"士林和豐A許瑜芳")</f>
        <v>士林和豐A許瑜芳</v>
      </c>
      <c r="C4355" t="str">
        <f>IFERROR(__xludf.DUMMYFUNCTION("""COMPUTED_VALUE"""),"收入 - 租金")</f>
        <v>收入 - 租金</v>
      </c>
      <c r="D4355" s="270">
        <f>IFERROR(__xludf.DUMMYFUNCTION("""COMPUTED_VALUE"""),19500.0)</f>
        <v>19500</v>
      </c>
      <c r="F4355" t="str">
        <f>IFERROR(__xludf.DUMMYFUNCTION("""COMPUTED_VALUE"""),"玉山帳戶")</f>
        <v>玉山帳戶</v>
      </c>
      <c r="G4355" t="str">
        <f>IFERROR(__xludf.DUMMYFUNCTION("""COMPUTED_VALUE"""),"士林和豐")</f>
        <v>士林和豐</v>
      </c>
      <c r="H4355" s="106" t="str">
        <f t="shared" si="1"/>
        <v>2025-01</v>
      </c>
      <c r="I4355" s="271" t="str">
        <f>IFERROR(__xludf.DUMMYFUNCTION("""COMPUTED_VALUE"""),"鯰魚大大")</f>
        <v>鯰魚大大</v>
      </c>
      <c r="J4355" t="str">
        <f>IFERROR(__xludf.DUMMYFUNCTION("IFS(
  AND(REGEXMATCH(E4355, ""台銀籌備帳戶|玉山帳戶""), REGEXMATCH(C4355, ""薪資"")), ""分潤支出"",
  AND(REGEXMATCH(E4355, ""Ben帳戶|Elsa帳戶|Ben代墊|Ariel代墊|中信銀行共用""), REGEXMATCH(F4355, ""Ben帳戶|Elsa帳戶|Ben代墊|Ariel代墊|中信銀行共用"")), ""內部轉帳(忽略)"",
  AND(E4355&lt;&gt;"""", F4355&lt;&gt;"""", N"&amp;"OT(REGEXMATCH(C4355, ""薪資""))), ""內部轉帳(忽略)"",
  REGEXMATCH(C4355, ""薪資""), ""薪資變動(不計入)"",
  REGEXMATCH(C4355, ""押金""), ""押金往來"",
  AND(E4355&lt;&gt;"""", F4355=""""), ""真實支出"",
  AND(E4355="""", F4355&lt;&gt;""""), ""真實收入"",
  TRUE, ""其他""
)"),"真實收入")</f>
        <v>真實收入</v>
      </c>
      <c r="K4355" s="270">
        <f t="shared" si="2"/>
        <v>19500</v>
      </c>
      <c r="L4355">
        <f t="shared" si="3"/>
        <v>0</v>
      </c>
    </row>
    <row r="4356">
      <c r="A4356" s="107">
        <f>IFERROR(__xludf.DUMMYFUNCTION("""COMPUTED_VALUE"""),45670.0)</f>
        <v>45670</v>
      </c>
      <c r="B4356" t="str">
        <f>IFERROR(__xludf.DUMMYFUNCTION("""COMPUTED_VALUE"""),"螢光水電民生東")</f>
        <v>螢光水電民生東</v>
      </c>
      <c r="C4356" t="str">
        <f>IFERROR(__xludf.DUMMYFUNCTION("""COMPUTED_VALUE"""),"成本 - 進場前裝潢費")</f>
        <v>成本 - 進場前裝潢費</v>
      </c>
      <c r="D4356" s="270">
        <f>IFERROR(__xludf.DUMMYFUNCTION("""COMPUTED_VALUE"""),-84435.0)</f>
        <v>-84435</v>
      </c>
      <c r="E4356" t="str">
        <f>IFERROR(__xludf.DUMMYFUNCTION("""COMPUTED_VALUE"""),"玉山帳戶")</f>
        <v>玉山帳戶</v>
      </c>
      <c r="F4356" t="str">
        <f>IFERROR(__xludf.DUMMYFUNCTION("""COMPUTED_VALUE"""),"Ben代墊")</f>
        <v>Ben代墊</v>
      </c>
      <c r="G4356" t="str">
        <f>IFERROR(__xludf.DUMMYFUNCTION("""COMPUTED_VALUE"""),"民生東二樓")</f>
        <v>民生東二樓</v>
      </c>
      <c r="H4356" s="106" t="str">
        <f t="shared" si="1"/>
        <v>2025-01</v>
      </c>
      <c r="I4356" s="271" t="str">
        <f>IFERROR(__xludf.DUMMYFUNCTION("""COMPUTED_VALUE"""),"鯰魚大大")</f>
        <v>鯰魚大大</v>
      </c>
      <c r="J4356" t="str">
        <f>IFERROR(__xludf.DUMMYFUNCTION("IFS(
  AND(REGEXMATCH(E4356, ""台銀籌備帳戶|玉山帳戶""), REGEXMATCH(C4356, ""薪資"")), ""分潤支出"",
  AND(REGEXMATCH(E4356, ""Ben帳戶|Elsa帳戶|Ben代墊|Ariel代墊|中信銀行共用""), REGEXMATCH(F4356, ""Ben帳戶|Elsa帳戶|Ben代墊|Ariel代墊|中信銀行共用"")), ""內部轉帳(忽略)"",
  AND(E4356&lt;&gt;"""", F4356&lt;&gt;"""", N"&amp;"OT(REGEXMATCH(C4356, ""薪資""))), ""內部轉帳(忽略)"",
  REGEXMATCH(C4356, ""薪資""), ""薪資變動(不計入)"",
  REGEXMATCH(C4356, ""押金""), ""押金往來"",
  AND(E4356&lt;&gt;"""", F4356=""""), ""真實支出"",
  AND(E4356="""", F4356&lt;&gt;""""), ""真實收入"",
  TRUE, ""其他""
)"),"內部轉帳(忽略)")</f>
        <v>內部轉帳(忽略)</v>
      </c>
      <c r="K4356">
        <f t="shared" si="2"/>
        <v>0</v>
      </c>
      <c r="L4356">
        <f t="shared" si="3"/>
        <v>0</v>
      </c>
    </row>
    <row r="4357">
      <c r="A4357" s="107">
        <f>IFERROR(__xludf.DUMMYFUNCTION("""COMPUTED_VALUE"""),45671.0)</f>
        <v>45671</v>
      </c>
      <c r="B4357" t="str">
        <f>IFERROR(__xludf.DUMMYFUNCTION("""COMPUTED_VALUE"""),"玻璃蔡師傅民生東")</f>
        <v>玻璃蔡師傅民生東</v>
      </c>
      <c r="C4357" t="str">
        <f>IFERROR(__xludf.DUMMYFUNCTION("""COMPUTED_VALUE"""),"成本 - 進場前裝潢費")</f>
        <v>成本 - 進場前裝潢費</v>
      </c>
      <c r="D4357" s="270">
        <f>IFERROR(__xludf.DUMMYFUNCTION("""COMPUTED_VALUE"""),-73015.0)</f>
        <v>-73015</v>
      </c>
      <c r="E4357" t="str">
        <f>IFERROR(__xludf.DUMMYFUNCTION("""COMPUTED_VALUE"""),"玉山帳戶")</f>
        <v>玉山帳戶</v>
      </c>
      <c r="F4357" t="str">
        <f>IFERROR(__xludf.DUMMYFUNCTION("""COMPUTED_VALUE"""),"Ben代墊")</f>
        <v>Ben代墊</v>
      </c>
      <c r="G4357" t="str">
        <f>IFERROR(__xludf.DUMMYFUNCTION("""COMPUTED_VALUE"""),"民生東二樓")</f>
        <v>民生東二樓</v>
      </c>
      <c r="H4357" s="106" t="str">
        <f t="shared" si="1"/>
        <v>2025-01</v>
      </c>
      <c r="I4357" s="271" t="str">
        <f>IFERROR(__xludf.DUMMYFUNCTION("""COMPUTED_VALUE"""),"鯰魚大大")</f>
        <v>鯰魚大大</v>
      </c>
      <c r="J4357" t="str">
        <f>IFERROR(__xludf.DUMMYFUNCTION("IFS(
  AND(REGEXMATCH(E4357, ""台銀籌備帳戶|玉山帳戶""), REGEXMATCH(C4357, ""薪資"")), ""分潤支出"",
  AND(REGEXMATCH(E4357, ""Ben帳戶|Elsa帳戶|Ben代墊|Ariel代墊|中信銀行共用""), REGEXMATCH(F4357, ""Ben帳戶|Elsa帳戶|Ben代墊|Ariel代墊|中信銀行共用"")), ""內部轉帳(忽略)"",
  AND(E4357&lt;&gt;"""", F4357&lt;&gt;"""", N"&amp;"OT(REGEXMATCH(C4357, ""薪資""))), ""內部轉帳(忽略)"",
  REGEXMATCH(C4357, ""薪資""), ""薪資變動(不計入)"",
  REGEXMATCH(C4357, ""押金""), ""押金往來"",
  AND(E4357&lt;&gt;"""", F4357=""""), ""真實支出"",
  AND(E4357="""", F4357&lt;&gt;""""), ""真實收入"",
  TRUE, ""其他""
)"),"內部轉帳(忽略)")</f>
        <v>內部轉帳(忽略)</v>
      </c>
      <c r="K4357">
        <f t="shared" si="2"/>
        <v>0</v>
      </c>
      <c r="L4357">
        <f t="shared" si="3"/>
        <v>0</v>
      </c>
    </row>
    <row r="4358">
      <c r="A4358" s="107">
        <f>IFERROR(__xludf.DUMMYFUNCTION("""COMPUTED_VALUE"""),45672.0)</f>
        <v>45672</v>
      </c>
      <c r="B4358" t="str">
        <f>IFERROR(__xludf.DUMMYFUNCTION("""COMPUTED_VALUE"""),"[士林和豐] [楊政偉] 大租金")</f>
        <v>[士林和豐] [楊政偉] 大租金</v>
      </c>
      <c r="C4358" t="str">
        <f>IFERROR(__xludf.DUMMYFUNCTION("""COMPUTED_VALUE"""),"成本 - 大租金")</f>
        <v>成本 - 大租金</v>
      </c>
      <c r="D4358" s="270">
        <f>IFERROR(__xludf.DUMMYFUNCTION("""COMPUTED_VALUE"""),-14415.0)</f>
        <v>-14415</v>
      </c>
      <c r="E4358" t="str">
        <f>IFERROR(__xludf.DUMMYFUNCTION("""COMPUTED_VALUE"""),"玉山帳戶")</f>
        <v>玉山帳戶</v>
      </c>
      <c r="G4358" t="str">
        <f>IFERROR(__xludf.DUMMYFUNCTION("""COMPUTED_VALUE"""),"士林和豐")</f>
        <v>士林和豐</v>
      </c>
      <c r="H4358" s="106" t="str">
        <f t="shared" si="1"/>
        <v>2025-01</v>
      </c>
      <c r="I4358" s="271" t="str">
        <f>IFERROR(__xludf.DUMMYFUNCTION("""COMPUTED_VALUE"""),"鯰魚大大")</f>
        <v>鯰魚大大</v>
      </c>
      <c r="J4358" t="str">
        <f>IFERROR(__xludf.DUMMYFUNCTION("IFS(
  AND(REGEXMATCH(E4358, ""台銀籌備帳戶|玉山帳戶""), REGEXMATCH(C4358, ""薪資"")), ""分潤支出"",
  AND(REGEXMATCH(E4358, ""Ben帳戶|Elsa帳戶|Ben代墊|Ariel代墊|中信銀行共用""), REGEXMATCH(F4358, ""Ben帳戶|Elsa帳戶|Ben代墊|Ariel代墊|中信銀行共用"")), ""內部轉帳(忽略)"",
  AND(E4358&lt;&gt;"""", F4358&lt;&gt;"""", N"&amp;"OT(REGEXMATCH(C4358, ""薪資""))), ""內部轉帳(忽略)"",
  REGEXMATCH(C4358, ""薪資""), ""薪資變動(不計入)"",
  REGEXMATCH(C4358, ""押金""), ""押金往來"",
  AND(E4358&lt;&gt;"""", F4358=""""), ""真實支出"",
  AND(E4358="""", F4358&lt;&gt;""""), ""真實收入"",
  TRUE, ""其他""
)"),"真實支出")</f>
        <v>真實支出</v>
      </c>
      <c r="K4358" s="270">
        <f t="shared" si="2"/>
        <v>-14415</v>
      </c>
      <c r="L4358">
        <f t="shared" si="3"/>
        <v>0</v>
      </c>
    </row>
    <row r="4359">
      <c r="A4359" s="107">
        <f>IFERROR(__xludf.DUMMYFUNCTION("""COMPUTED_VALUE"""),45672.0)</f>
        <v>45672</v>
      </c>
      <c r="B4359" t="str">
        <f>IFERROR(__xludf.DUMMYFUNCTION("""COMPUTED_VALUE"""),"民生玻璃含稅")</f>
        <v>民生玻璃含稅</v>
      </c>
      <c r="C4359" t="str">
        <f>IFERROR(__xludf.DUMMYFUNCTION("""COMPUTED_VALUE"""),"成本 - 進場前裝潢費")</f>
        <v>成本 - 進場前裝潢費</v>
      </c>
      <c r="D4359" s="270">
        <f>IFERROR(__xludf.DUMMYFUNCTION("""COMPUTED_VALUE"""),-3665.0)</f>
        <v>-3665</v>
      </c>
      <c r="E4359" t="str">
        <f>IFERROR(__xludf.DUMMYFUNCTION("""COMPUTED_VALUE"""),"玉山帳戶")</f>
        <v>玉山帳戶</v>
      </c>
      <c r="F4359" t="str">
        <f>IFERROR(__xludf.DUMMYFUNCTION("""COMPUTED_VALUE"""),"Ben代墊")</f>
        <v>Ben代墊</v>
      </c>
      <c r="G4359" t="str">
        <f>IFERROR(__xludf.DUMMYFUNCTION("""COMPUTED_VALUE"""),"民生東二樓")</f>
        <v>民生東二樓</v>
      </c>
      <c r="H4359" s="106" t="str">
        <f t="shared" si="1"/>
        <v>2025-01</v>
      </c>
      <c r="I4359" s="271" t="str">
        <f>IFERROR(__xludf.DUMMYFUNCTION("""COMPUTED_VALUE"""),"鯰魚大大")</f>
        <v>鯰魚大大</v>
      </c>
      <c r="J4359" t="str">
        <f>IFERROR(__xludf.DUMMYFUNCTION("IFS(
  AND(REGEXMATCH(E4359, ""台銀籌備帳戶|玉山帳戶""), REGEXMATCH(C4359, ""薪資"")), ""分潤支出"",
  AND(REGEXMATCH(E4359, ""Ben帳戶|Elsa帳戶|Ben代墊|Ariel代墊|中信銀行共用""), REGEXMATCH(F4359, ""Ben帳戶|Elsa帳戶|Ben代墊|Ariel代墊|中信銀行共用"")), ""內部轉帳(忽略)"",
  AND(E4359&lt;&gt;"""", F4359&lt;&gt;"""", N"&amp;"OT(REGEXMATCH(C4359, ""薪資""))), ""內部轉帳(忽略)"",
  REGEXMATCH(C4359, ""薪資""), ""薪資變動(不計入)"",
  REGEXMATCH(C4359, ""押金""), ""押金往來"",
  AND(E4359&lt;&gt;"""", F4359=""""), ""真實支出"",
  AND(E4359="""", F4359&lt;&gt;""""), ""真實收入"",
  TRUE, ""其他""
)"),"內部轉帳(忽略)")</f>
        <v>內部轉帳(忽略)</v>
      </c>
      <c r="K4359">
        <f t="shared" si="2"/>
        <v>0</v>
      </c>
      <c r="L4359">
        <f t="shared" si="3"/>
        <v>0</v>
      </c>
    </row>
    <row r="4360">
      <c r="A4360" s="107">
        <f>IFERROR(__xludf.DUMMYFUNCTION("""COMPUTED_VALUE"""),45678.0)</f>
        <v>45678</v>
      </c>
      <c r="B4360" t="str">
        <f>IFERROR(__xludf.DUMMYFUNCTION("""COMPUTED_VALUE"""),"劍潭水電Peter 巫巫")</f>
        <v>劍潭水電Peter 巫巫</v>
      </c>
      <c r="C4360" t="str">
        <f>IFERROR(__xludf.DUMMYFUNCTION("""COMPUTED_VALUE"""),"收入 - 押金")</f>
        <v>收入 - 押金</v>
      </c>
      <c r="D4360" s="270">
        <f>IFERROR(__xludf.DUMMYFUNCTION("""COMPUTED_VALUE"""),-1158.0)</f>
        <v>-1158</v>
      </c>
      <c r="E4360" t="str">
        <f>IFERROR(__xludf.DUMMYFUNCTION("""COMPUTED_VALUE"""),"Ben代墊")</f>
        <v>Ben代墊</v>
      </c>
      <c r="G4360" t="str">
        <f>IFERROR(__xludf.DUMMYFUNCTION("""COMPUTED_VALUE"""),"士林和豐")</f>
        <v>士林和豐</v>
      </c>
      <c r="H4360" s="106" t="str">
        <f t="shared" si="1"/>
        <v>2025-01</v>
      </c>
      <c r="I4360" s="271" t="str">
        <f>IFERROR(__xludf.DUMMYFUNCTION("""COMPUTED_VALUE"""),"鯰魚大大")</f>
        <v>鯰魚大大</v>
      </c>
      <c r="J4360" t="str">
        <f>IFERROR(__xludf.DUMMYFUNCTION("IFS(
  AND(REGEXMATCH(E4360, ""台銀籌備帳戶|玉山帳戶""), REGEXMATCH(C4360, ""薪資"")), ""分潤支出"",
  AND(REGEXMATCH(E4360, ""Ben帳戶|Elsa帳戶|Ben代墊|Ariel代墊|中信銀行共用""), REGEXMATCH(F4360, ""Ben帳戶|Elsa帳戶|Ben代墊|Ariel代墊|中信銀行共用"")), ""內部轉帳(忽略)"",
  AND(E4360&lt;&gt;"""", F4360&lt;&gt;"""", N"&amp;"OT(REGEXMATCH(C4360, ""薪資""))), ""內部轉帳(忽略)"",
  REGEXMATCH(C4360, ""薪資""), ""薪資變動(不計入)"",
  REGEXMATCH(C4360, ""押金""), ""押金往來"",
  AND(E4360&lt;&gt;"""", F4360=""""), ""真實支出"",
  AND(E4360="""", F4360&lt;&gt;""""), ""真實收入"",
  TRUE, ""其他""
)"),"押金往來")</f>
        <v>押金往來</v>
      </c>
      <c r="K4360">
        <f t="shared" si="2"/>
        <v>0</v>
      </c>
      <c r="L4360">
        <f t="shared" si="3"/>
        <v>0</v>
      </c>
    </row>
    <row r="4361">
      <c r="A4361" s="107">
        <f>IFERROR(__xludf.DUMMYFUNCTION("""COMPUTED_VALUE"""),45679.0)</f>
        <v>45679</v>
      </c>
      <c r="B4361" t="str">
        <f>IFERROR(__xludf.DUMMYFUNCTION("""COMPUTED_VALUE"""),"費用 - 匯費 對方行:700 後五碼:78267")</f>
        <v>費用 - 匯費 對方行:700 後五碼:78267</v>
      </c>
      <c r="C4361" t="str">
        <f>IFERROR(__xludf.DUMMYFUNCTION("""COMPUTED_VALUE"""),"費用 - 匯費")</f>
        <v>費用 - 匯費</v>
      </c>
      <c r="D4361" s="270">
        <f>IFERROR(__xludf.DUMMYFUNCTION("""COMPUTED_VALUE"""),-15.0)</f>
        <v>-15</v>
      </c>
      <c r="E4361" t="str">
        <f>IFERROR(__xludf.DUMMYFUNCTION("""COMPUTED_VALUE"""),"玉山帳戶")</f>
        <v>玉山帳戶</v>
      </c>
      <c r="H4361" s="106" t="str">
        <f t="shared" si="1"/>
        <v>2025-01</v>
      </c>
      <c r="I4361" s="271" t="str">
        <f>IFERROR(__xludf.DUMMYFUNCTION("""COMPUTED_VALUE"""),"鯰魚大大")</f>
        <v>鯰魚大大</v>
      </c>
      <c r="J4361" t="str">
        <f>IFERROR(__xludf.DUMMYFUNCTION("IFS(
  AND(REGEXMATCH(E4361, ""台銀籌備帳戶|玉山帳戶""), REGEXMATCH(C4361, ""薪資"")), ""分潤支出"",
  AND(REGEXMATCH(E4361, ""Ben帳戶|Elsa帳戶|Ben代墊|Ariel代墊|中信銀行共用""), REGEXMATCH(F4361, ""Ben帳戶|Elsa帳戶|Ben代墊|Ariel代墊|中信銀行共用"")), ""內部轉帳(忽略)"",
  AND(E4361&lt;&gt;"""", F4361&lt;&gt;"""", N"&amp;"OT(REGEXMATCH(C4361, ""薪資""))), ""內部轉帳(忽略)"",
  REGEXMATCH(C4361, ""薪資""), ""薪資變動(不計入)"",
  REGEXMATCH(C4361, ""押金""), ""押金往來"",
  AND(E4361&lt;&gt;"""", F4361=""""), ""真實支出"",
  AND(E4361="""", F4361&lt;&gt;""""), ""真實收入"",
  TRUE, ""其他""
)"),"真實支出")</f>
        <v>真實支出</v>
      </c>
      <c r="K4361" s="270">
        <f t="shared" si="2"/>
        <v>-15</v>
      </c>
      <c r="L4361">
        <f t="shared" si="3"/>
        <v>0</v>
      </c>
    </row>
    <row r="4362">
      <c r="A4362" s="107">
        <f>IFERROR(__xludf.DUMMYFUNCTION("""COMPUTED_VALUE"""),45679.0)</f>
        <v>45679</v>
      </c>
      <c r="B4362" t="str">
        <f>IFERROR(__xludf.DUMMYFUNCTION("""COMPUTED_VALUE"""),"民生東鐵工 【未分類支出】")</f>
        <v>民生東鐵工 【未分類支出】</v>
      </c>
      <c r="C4362" t="str">
        <f>IFERROR(__xludf.DUMMYFUNCTION("""COMPUTED_VALUE"""),"成本 - 進場前裝潢費")</f>
        <v>成本 - 進場前裝潢費</v>
      </c>
      <c r="D4362" s="270">
        <f>IFERROR(__xludf.DUMMYFUNCTION("""COMPUTED_VALUE"""),-19800.0)</f>
        <v>-19800</v>
      </c>
      <c r="E4362" t="str">
        <f>IFERROR(__xludf.DUMMYFUNCTION("""COMPUTED_VALUE"""),"玉山帳戶")</f>
        <v>玉山帳戶</v>
      </c>
      <c r="G4362" t="str">
        <f>IFERROR(__xludf.DUMMYFUNCTION("""COMPUTED_VALUE"""),"民生東二樓")</f>
        <v>民生東二樓</v>
      </c>
      <c r="H4362" s="106" t="str">
        <f t="shared" si="1"/>
        <v>2025-01</v>
      </c>
      <c r="I4362" s="271" t="str">
        <f>IFERROR(__xludf.DUMMYFUNCTION("""COMPUTED_VALUE"""),"鯰魚大大")</f>
        <v>鯰魚大大</v>
      </c>
      <c r="J4362" t="str">
        <f>IFERROR(__xludf.DUMMYFUNCTION("IFS(
  AND(REGEXMATCH(E4362, ""台銀籌備帳戶|玉山帳戶""), REGEXMATCH(C4362, ""薪資"")), ""分潤支出"",
  AND(REGEXMATCH(E4362, ""Ben帳戶|Elsa帳戶|Ben代墊|Ariel代墊|中信銀行共用""), REGEXMATCH(F4362, ""Ben帳戶|Elsa帳戶|Ben代墊|Ariel代墊|中信銀行共用"")), ""內部轉帳(忽略)"",
  AND(E4362&lt;&gt;"""", F4362&lt;&gt;"""", N"&amp;"OT(REGEXMATCH(C4362, ""薪資""))), ""內部轉帳(忽略)"",
  REGEXMATCH(C4362, ""薪資""), ""薪資變動(不計入)"",
  REGEXMATCH(C4362, ""押金""), ""押金往來"",
  AND(E4362&lt;&gt;"""", F4362=""""), ""真實支出"",
  AND(E4362="""", F4362&lt;&gt;""""), ""真實收入"",
  TRUE, ""其他""
)"),"真實支出")</f>
        <v>真實支出</v>
      </c>
      <c r="K4362" s="270">
        <f t="shared" si="2"/>
        <v>-19800</v>
      </c>
      <c r="L4362">
        <f t="shared" si="3"/>
        <v>0</v>
      </c>
    </row>
    <row r="4363">
      <c r="A4363" s="107">
        <f>IFERROR(__xludf.DUMMYFUNCTION("""COMPUTED_VALUE"""),45691.0)</f>
        <v>45691</v>
      </c>
      <c r="B4363" t="str">
        <f>IFERROR(__xludf.DUMMYFUNCTION("""COMPUTED_VALUE"""),"費用 - 匯費 對方行:007 後五碼:02618")</f>
        <v>費用 - 匯費 對方行:007 後五碼:02618</v>
      </c>
      <c r="C4363" t="str">
        <f>IFERROR(__xludf.DUMMYFUNCTION("""COMPUTED_VALUE"""),"費用 - 匯費")</f>
        <v>費用 - 匯費</v>
      </c>
      <c r="D4363" s="270">
        <f>IFERROR(__xludf.DUMMYFUNCTION("""COMPUTED_VALUE"""),-15.0)</f>
        <v>-15</v>
      </c>
      <c r="E4363" t="str">
        <f>IFERROR(__xludf.DUMMYFUNCTION("""COMPUTED_VALUE"""),"玉山帳戶")</f>
        <v>玉山帳戶</v>
      </c>
      <c r="H4363" s="106" t="str">
        <f t="shared" si="1"/>
        <v>2025-02</v>
      </c>
      <c r="I4363" s="271" t="str">
        <f>IFERROR(__xludf.DUMMYFUNCTION("""COMPUTED_VALUE"""),"鯰魚大大")</f>
        <v>鯰魚大大</v>
      </c>
      <c r="J4363" t="str">
        <f>IFERROR(__xludf.DUMMYFUNCTION("IFS(
  AND(REGEXMATCH(E4363, ""台銀籌備帳戶|玉山帳戶""), REGEXMATCH(C4363, ""薪資"")), ""分潤支出"",
  AND(REGEXMATCH(E4363, ""Ben帳戶|Elsa帳戶|Ben代墊|Ariel代墊|中信銀行共用""), REGEXMATCH(F4363, ""Ben帳戶|Elsa帳戶|Ben代墊|Ariel代墊|中信銀行共用"")), ""內部轉帳(忽略)"",
  AND(E4363&lt;&gt;"""", F4363&lt;&gt;"""", N"&amp;"OT(REGEXMATCH(C4363, ""薪資""))), ""內部轉帳(忽略)"",
  REGEXMATCH(C4363, ""薪資""), ""薪資變動(不計入)"",
  REGEXMATCH(C4363, ""押金""), ""押金往來"",
  AND(E4363&lt;&gt;"""", F4363=""""), ""真實支出"",
  AND(E4363="""", F4363&lt;&gt;""""), ""真實收入"",
  TRUE, ""其他""
)"),"真實支出")</f>
        <v>真實支出</v>
      </c>
      <c r="K4363" s="270">
        <f t="shared" si="2"/>
        <v>-15</v>
      </c>
      <c r="L4363">
        <f t="shared" si="3"/>
        <v>0</v>
      </c>
    </row>
    <row r="4364">
      <c r="A4364" s="107">
        <f>IFERROR(__xludf.DUMMYFUNCTION("""COMPUTED_VALUE"""),45691.0)</f>
        <v>45691</v>
      </c>
      <c r="B4364" t="str">
        <f>IFERROR(__xludf.DUMMYFUNCTION("""COMPUTED_VALUE"""),"民生地板忠哥 【未分類支出】")</f>
        <v>民生地板忠哥 【未分類支出】</v>
      </c>
      <c r="C4364" t="str">
        <f>IFERROR(__xludf.DUMMYFUNCTION("""COMPUTED_VALUE"""),"成本 - 進場前裝潢費")</f>
        <v>成本 - 進場前裝潢費</v>
      </c>
      <c r="D4364" s="270">
        <f>IFERROR(__xludf.DUMMYFUNCTION("""COMPUTED_VALUE"""),-35700.0)</f>
        <v>-35700</v>
      </c>
      <c r="E4364" t="str">
        <f>IFERROR(__xludf.DUMMYFUNCTION("""COMPUTED_VALUE"""),"玉山帳戶")</f>
        <v>玉山帳戶</v>
      </c>
      <c r="G4364" t="str">
        <f>IFERROR(__xludf.DUMMYFUNCTION("""COMPUTED_VALUE"""),"民生東二樓")</f>
        <v>民生東二樓</v>
      </c>
      <c r="H4364" s="106" t="str">
        <f t="shared" si="1"/>
        <v>2025-02</v>
      </c>
      <c r="I4364" s="271" t="str">
        <f>IFERROR(__xludf.DUMMYFUNCTION("""COMPUTED_VALUE"""),"鯰魚大大")</f>
        <v>鯰魚大大</v>
      </c>
      <c r="J4364" t="str">
        <f>IFERROR(__xludf.DUMMYFUNCTION("IFS(
  AND(REGEXMATCH(E4364, ""台銀籌備帳戶|玉山帳戶""), REGEXMATCH(C4364, ""薪資"")), ""分潤支出"",
  AND(REGEXMATCH(E4364, ""Ben帳戶|Elsa帳戶|Ben代墊|Ariel代墊|中信銀行共用""), REGEXMATCH(F4364, ""Ben帳戶|Elsa帳戶|Ben代墊|Ariel代墊|中信銀行共用"")), ""內部轉帳(忽略)"",
  AND(E4364&lt;&gt;"""", F4364&lt;&gt;"""", N"&amp;"OT(REGEXMATCH(C4364, ""薪資""))), ""內部轉帳(忽略)"",
  REGEXMATCH(C4364, ""薪資""), ""薪資變動(不計入)"",
  REGEXMATCH(C4364, ""押金""), ""押金往來"",
  AND(E4364&lt;&gt;"""", F4364=""""), ""真實支出"",
  AND(E4364="""", F4364&lt;&gt;""""), ""真實收入"",
  TRUE, ""其他""
)"),"真實支出")</f>
        <v>真實支出</v>
      </c>
      <c r="K4364" s="270">
        <f t="shared" si="2"/>
        <v>-35700</v>
      </c>
      <c r="L4364">
        <f t="shared" si="3"/>
        <v>0</v>
      </c>
    </row>
    <row r="4365">
      <c r="A4365" s="107">
        <f>IFERROR(__xludf.DUMMYFUNCTION("""COMPUTED_VALUE"""),45691.0)</f>
        <v>45691</v>
      </c>
      <c r="B4365" t="str">
        <f>IFERROR(__xludf.DUMMYFUNCTION("""COMPUTED_VALUE"""),"費用 - 匯費 對方行:822 後五碼:56515")</f>
        <v>費用 - 匯費 對方行:822 後五碼:56515</v>
      </c>
      <c r="C4365" t="str">
        <f>IFERROR(__xludf.DUMMYFUNCTION("""COMPUTED_VALUE"""),"費用 - 匯費")</f>
        <v>費用 - 匯費</v>
      </c>
      <c r="D4365" s="270">
        <f>IFERROR(__xludf.DUMMYFUNCTION("""COMPUTED_VALUE"""),-15.0)</f>
        <v>-15</v>
      </c>
      <c r="E4365" t="str">
        <f>IFERROR(__xludf.DUMMYFUNCTION("""COMPUTED_VALUE"""),"玉山帳戶")</f>
        <v>玉山帳戶</v>
      </c>
      <c r="H4365" s="106" t="str">
        <f t="shared" si="1"/>
        <v>2025-02</v>
      </c>
      <c r="I4365" s="271" t="str">
        <f>IFERROR(__xludf.DUMMYFUNCTION("""COMPUTED_VALUE"""),"鯰魚大大")</f>
        <v>鯰魚大大</v>
      </c>
      <c r="J4365" t="str">
        <f>IFERROR(__xludf.DUMMYFUNCTION("IFS(
  AND(REGEXMATCH(E4365, ""台銀籌備帳戶|玉山帳戶""), REGEXMATCH(C4365, ""薪資"")), ""分潤支出"",
  AND(REGEXMATCH(E4365, ""Ben帳戶|Elsa帳戶|Ben代墊|Ariel代墊|中信銀行共用""), REGEXMATCH(F4365, ""Ben帳戶|Elsa帳戶|Ben代墊|Ariel代墊|中信銀行共用"")), ""內部轉帳(忽略)"",
  AND(E4365&lt;&gt;"""", F4365&lt;&gt;"""", N"&amp;"OT(REGEXMATCH(C4365, ""薪資""))), ""內部轉帳(忽略)"",
  REGEXMATCH(C4365, ""薪資""), ""薪資變動(不計入)"",
  REGEXMATCH(C4365, ""押金""), ""押金往來"",
  AND(E4365&lt;&gt;"""", F4365=""""), ""真實支出"",
  AND(E4365="""", F4365&lt;&gt;""""), ""真實收入"",
  TRUE, ""其他""
)"),"真實支出")</f>
        <v>真實支出</v>
      </c>
      <c r="K4365" s="270">
        <f t="shared" si="2"/>
        <v>-15</v>
      </c>
      <c r="L4365">
        <f t="shared" si="3"/>
        <v>0</v>
      </c>
    </row>
    <row r="4366">
      <c r="A4366" s="107">
        <f>IFERROR(__xludf.DUMMYFUNCTION("""COMPUTED_VALUE"""),45691.0)</f>
        <v>45691</v>
      </c>
      <c r="B4366" t="str">
        <f>IFERROR(__xludf.DUMMYFUNCTION("""COMPUTED_VALUE"""),"劍潭冷氣清洗 【未分類支出】")</f>
        <v>劍潭冷氣清洗 【未分類支出】</v>
      </c>
      <c r="C4366" t="str">
        <f>IFERROR(__xludf.DUMMYFUNCTION("""COMPUTED_VALUE"""),"成本 - 租後修繕")</f>
        <v>成本 - 租後修繕</v>
      </c>
      <c r="D4366" s="270">
        <f>IFERROR(__xludf.DUMMYFUNCTION("""COMPUTED_VALUE"""),-2500.0)</f>
        <v>-2500</v>
      </c>
      <c r="E4366" t="str">
        <f>IFERROR(__xludf.DUMMYFUNCTION("""COMPUTED_VALUE"""),"玉山帳戶")</f>
        <v>玉山帳戶</v>
      </c>
      <c r="G4366" t="str">
        <f>IFERROR(__xludf.DUMMYFUNCTION("""COMPUTED_VALUE"""),"內湖秘境")</f>
        <v>內湖秘境</v>
      </c>
      <c r="H4366" s="106" t="str">
        <f t="shared" si="1"/>
        <v>2025-02</v>
      </c>
      <c r="I4366" s="271" t="str">
        <f>IFERROR(__xludf.DUMMYFUNCTION("""COMPUTED_VALUE"""),"鯰魚大大")</f>
        <v>鯰魚大大</v>
      </c>
      <c r="J4366" t="str">
        <f>IFERROR(__xludf.DUMMYFUNCTION("IFS(
  AND(REGEXMATCH(E4366, ""台銀籌備帳戶|玉山帳戶""), REGEXMATCH(C4366, ""薪資"")), ""分潤支出"",
  AND(REGEXMATCH(E4366, ""Ben帳戶|Elsa帳戶|Ben代墊|Ariel代墊|中信銀行共用""), REGEXMATCH(F4366, ""Ben帳戶|Elsa帳戶|Ben代墊|Ariel代墊|中信銀行共用"")), ""內部轉帳(忽略)"",
  AND(E4366&lt;&gt;"""", F4366&lt;&gt;"""", N"&amp;"OT(REGEXMATCH(C4366, ""薪資""))), ""內部轉帳(忽略)"",
  REGEXMATCH(C4366, ""薪資""), ""薪資變動(不計入)"",
  REGEXMATCH(C4366, ""押金""), ""押金往來"",
  AND(E4366&lt;&gt;"""", F4366=""""), ""真實支出"",
  AND(E4366="""", F4366&lt;&gt;""""), ""真實收入"",
  TRUE, ""其他""
)"),"真實支出")</f>
        <v>真實支出</v>
      </c>
      <c r="K4366" s="270">
        <f t="shared" si="2"/>
        <v>-2500</v>
      </c>
      <c r="L4366">
        <f t="shared" si="3"/>
        <v>0</v>
      </c>
    </row>
    <row r="4367">
      <c r="A4367" s="107">
        <f>IFERROR(__xludf.DUMMYFUNCTION("""COMPUTED_VALUE"""),45691.0)</f>
        <v>45691</v>
      </c>
      <c r="B4367" t="str">
        <f>IFERROR(__xludf.DUMMYFUNCTION("""COMPUTED_VALUE"""),"[行天宮夏野良栗] D [江仲元] 月租金")</f>
        <v>[行天宮夏野良栗] D [江仲元] 月租金</v>
      </c>
      <c r="C4367" t="str">
        <f>IFERROR(__xludf.DUMMYFUNCTION("""COMPUTED_VALUE"""),"收入 - 租金")</f>
        <v>收入 - 租金</v>
      </c>
      <c r="D4367" s="270">
        <f>IFERROR(__xludf.DUMMYFUNCTION("""COMPUTED_VALUE"""),11200.0)</f>
        <v>11200</v>
      </c>
      <c r="F4367" t="str">
        <f>IFERROR(__xludf.DUMMYFUNCTION("""COMPUTED_VALUE"""),"玉山帳戶")</f>
        <v>玉山帳戶</v>
      </c>
      <c r="G4367" t="str">
        <f>IFERROR(__xludf.DUMMYFUNCTION("""COMPUTED_VALUE"""),"行天宮夏野良栗")</f>
        <v>行天宮夏野良栗</v>
      </c>
      <c r="H4367" s="106" t="str">
        <f t="shared" si="1"/>
        <v>2025-02</v>
      </c>
      <c r="I4367" s="271" t="str">
        <f>IFERROR(__xludf.DUMMYFUNCTION("""COMPUTED_VALUE"""),"鯰魚大大")</f>
        <v>鯰魚大大</v>
      </c>
      <c r="J4367" t="str">
        <f>IFERROR(__xludf.DUMMYFUNCTION("IFS(
  AND(REGEXMATCH(E4367, ""台銀籌備帳戶|玉山帳戶""), REGEXMATCH(C4367, ""薪資"")), ""分潤支出"",
  AND(REGEXMATCH(E4367, ""Ben帳戶|Elsa帳戶|Ben代墊|Ariel代墊|中信銀行共用""), REGEXMATCH(F4367, ""Ben帳戶|Elsa帳戶|Ben代墊|Ariel代墊|中信銀行共用"")), ""內部轉帳(忽略)"",
  AND(E4367&lt;&gt;"""", F4367&lt;&gt;"""", N"&amp;"OT(REGEXMATCH(C4367, ""薪資""))), ""內部轉帳(忽略)"",
  REGEXMATCH(C4367, ""薪資""), ""薪資變動(不計入)"",
  REGEXMATCH(C4367, ""押金""), ""押金往來"",
  AND(E4367&lt;&gt;"""", F4367=""""), ""真實支出"",
  AND(E4367="""", F4367&lt;&gt;""""), ""真實收入"",
  TRUE, ""其他""
)"),"真實收入")</f>
        <v>真實收入</v>
      </c>
      <c r="K4367" s="270">
        <f t="shared" si="2"/>
        <v>11200</v>
      </c>
      <c r="L4367">
        <f t="shared" si="3"/>
        <v>0</v>
      </c>
    </row>
    <row r="4368">
      <c r="A4368" s="107">
        <f>IFERROR(__xludf.DUMMYFUNCTION("""COMPUTED_VALUE"""),45691.0)</f>
        <v>45691</v>
      </c>
      <c r="B4368" t="str">
        <f>IFERROR(__xludf.DUMMYFUNCTION("""COMPUTED_VALUE"""),"[士林和豐] A [許瑜芳, 黃俞安] 月租金")</f>
        <v>[士林和豐] A [許瑜芳, 黃俞安] 月租金</v>
      </c>
      <c r="C4368" t="str">
        <f>IFERROR(__xludf.DUMMYFUNCTION("""COMPUTED_VALUE"""),"收入 - 租金")</f>
        <v>收入 - 租金</v>
      </c>
      <c r="D4368" s="270">
        <f>IFERROR(__xludf.DUMMYFUNCTION("""COMPUTED_VALUE"""),19500.0)</f>
        <v>19500</v>
      </c>
      <c r="F4368" t="str">
        <f>IFERROR(__xludf.DUMMYFUNCTION("""COMPUTED_VALUE"""),"玉山帳戶")</f>
        <v>玉山帳戶</v>
      </c>
      <c r="G4368" t="str">
        <f>IFERROR(__xludf.DUMMYFUNCTION("""COMPUTED_VALUE"""),"士林和豐")</f>
        <v>士林和豐</v>
      </c>
      <c r="H4368" s="106" t="str">
        <f t="shared" si="1"/>
        <v>2025-02</v>
      </c>
      <c r="I4368" s="271" t="str">
        <f>IFERROR(__xludf.DUMMYFUNCTION("""COMPUTED_VALUE"""),"鯰魚大大")</f>
        <v>鯰魚大大</v>
      </c>
      <c r="J4368" t="str">
        <f>IFERROR(__xludf.DUMMYFUNCTION("IFS(
  AND(REGEXMATCH(E4368, ""台銀籌備帳戶|玉山帳戶""), REGEXMATCH(C4368, ""薪資"")), ""分潤支出"",
  AND(REGEXMATCH(E4368, ""Ben帳戶|Elsa帳戶|Ben代墊|Ariel代墊|中信銀行共用""), REGEXMATCH(F4368, ""Ben帳戶|Elsa帳戶|Ben代墊|Ariel代墊|中信銀行共用"")), ""內部轉帳(忽略)"",
  AND(E4368&lt;&gt;"""", F4368&lt;&gt;"""", N"&amp;"OT(REGEXMATCH(C4368, ""薪資""))), ""內部轉帳(忽略)"",
  REGEXMATCH(C4368, ""薪資""), ""薪資變動(不計入)"",
  REGEXMATCH(C4368, ""押金""), ""押金往來"",
  AND(E4368&lt;&gt;"""", F4368=""""), ""真實支出"",
  AND(E4368="""", F4368&lt;&gt;""""), ""真實收入"",
  TRUE, ""其他""
)"),"真實收入")</f>
        <v>真實收入</v>
      </c>
      <c r="K4368" s="270">
        <f t="shared" si="2"/>
        <v>19500</v>
      </c>
      <c r="L4368">
        <f t="shared" si="3"/>
        <v>0</v>
      </c>
    </row>
    <row r="4369">
      <c r="A4369" s="107">
        <f>IFERROR(__xludf.DUMMYFUNCTION("""COMPUTED_VALUE"""),45691.0)</f>
        <v>45691</v>
      </c>
      <c r="B4369" t="str">
        <f>IFERROR(__xludf.DUMMYFUNCTION("""COMPUTED_VALUE"""),"[行天宮夏野良栗] B [楊珺媁] 月租金")</f>
        <v>[行天宮夏野良栗] B [楊珺媁] 月租金</v>
      </c>
      <c r="C4369" t="str">
        <f>IFERROR(__xludf.DUMMYFUNCTION("""COMPUTED_VALUE"""),"收入 - 租金")</f>
        <v>收入 - 租金</v>
      </c>
      <c r="D4369" s="270">
        <f>IFERROR(__xludf.DUMMYFUNCTION("""COMPUTED_VALUE"""),14000.0)</f>
        <v>14000</v>
      </c>
      <c r="F4369" t="str">
        <f>IFERROR(__xludf.DUMMYFUNCTION("""COMPUTED_VALUE"""),"玉山帳戶")</f>
        <v>玉山帳戶</v>
      </c>
      <c r="G4369" t="str">
        <f>IFERROR(__xludf.DUMMYFUNCTION("""COMPUTED_VALUE"""),"行天宮夏野良栗")</f>
        <v>行天宮夏野良栗</v>
      </c>
      <c r="H4369" s="106" t="str">
        <f t="shared" si="1"/>
        <v>2025-02</v>
      </c>
      <c r="I4369" s="271" t="str">
        <f>IFERROR(__xludf.DUMMYFUNCTION("""COMPUTED_VALUE"""),"鯰魚大大")</f>
        <v>鯰魚大大</v>
      </c>
      <c r="J4369" t="str">
        <f>IFERROR(__xludf.DUMMYFUNCTION("IFS(
  AND(REGEXMATCH(E4369, ""台銀籌備帳戶|玉山帳戶""), REGEXMATCH(C4369, ""薪資"")), ""分潤支出"",
  AND(REGEXMATCH(E4369, ""Ben帳戶|Elsa帳戶|Ben代墊|Ariel代墊|中信銀行共用""), REGEXMATCH(F4369, ""Ben帳戶|Elsa帳戶|Ben代墊|Ariel代墊|中信銀行共用"")), ""內部轉帳(忽略)"",
  AND(E4369&lt;&gt;"""", F4369&lt;&gt;"""", N"&amp;"OT(REGEXMATCH(C4369, ""薪資""))), ""內部轉帳(忽略)"",
  REGEXMATCH(C4369, ""薪資""), ""薪資變動(不計入)"",
  REGEXMATCH(C4369, ""押金""), ""押金往來"",
  AND(E4369&lt;&gt;"""", F4369=""""), ""真實支出"",
  AND(E4369="""", F4369&lt;&gt;""""), ""真實收入"",
  TRUE, ""其他""
)"),"真實收入")</f>
        <v>真實收入</v>
      </c>
      <c r="K4369" s="270">
        <f t="shared" si="2"/>
        <v>14000</v>
      </c>
      <c r="L4369">
        <f t="shared" si="3"/>
        <v>0</v>
      </c>
    </row>
    <row r="4370">
      <c r="A4370" s="107">
        <f>IFERROR(__xludf.DUMMYFUNCTION("""COMPUTED_VALUE"""),45691.0)</f>
        <v>45691</v>
      </c>
      <c r="B4370" t="str">
        <f>IFERROR(__xludf.DUMMYFUNCTION("""COMPUTED_VALUE"""),"[內湖秘境] G [徐若洹] 月租金")</f>
        <v>[內湖秘境] G [徐若洹] 月租金</v>
      </c>
      <c r="C4370" t="str">
        <f>IFERROR(__xludf.DUMMYFUNCTION("""COMPUTED_VALUE"""),"收入 - 租金")</f>
        <v>收入 - 租金</v>
      </c>
      <c r="D4370" s="270">
        <f>IFERROR(__xludf.DUMMYFUNCTION("""COMPUTED_VALUE"""),12100.0)</f>
        <v>12100</v>
      </c>
      <c r="F4370" t="str">
        <f>IFERROR(__xludf.DUMMYFUNCTION("""COMPUTED_VALUE"""),"玉山帳戶")</f>
        <v>玉山帳戶</v>
      </c>
      <c r="G4370" t="str">
        <f>IFERROR(__xludf.DUMMYFUNCTION("""COMPUTED_VALUE"""),"內湖秘境")</f>
        <v>內湖秘境</v>
      </c>
      <c r="H4370" s="106" t="str">
        <f t="shared" si="1"/>
        <v>2025-02</v>
      </c>
      <c r="I4370" s="271" t="str">
        <f>IFERROR(__xludf.DUMMYFUNCTION("""COMPUTED_VALUE"""),"鯰魚大大")</f>
        <v>鯰魚大大</v>
      </c>
      <c r="J4370" t="str">
        <f>IFERROR(__xludf.DUMMYFUNCTION("IFS(
  AND(REGEXMATCH(E4370, ""台銀籌備帳戶|玉山帳戶""), REGEXMATCH(C4370, ""薪資"")), ""分潤支出"",
  AND(REGEXMATCH(E4370, ""Ben帳戶|Elsa帳戶|Ben代墊|Ariel代墊|中信銀行共用""), REGEXMATCH(F4370, ""Ben帳戶|Elsa帳戶|Ben代墊|Ariel代墊|中信銀行共用"")), ""內部轉帳(忽略)"",
  AND(E4370&lt;&gt;"""", F4370&lt;&gt;"""", N"&amp;"OT(REGEXMATCH(C4370, ""薪資""))), ""內部轉帳(忽略)"",
  REGEXMATCH(C4370, ""薪資""), ""薪資變動(不計入)"",
  REGEXMATCH(C4370, ""押金""), ""押金往來"",
  AND(E4370&lt;&gt;"""", F4370=""""), ""真實支出"",
  AND(E4370="""", F4370&lt;&gt;""""), ""真實收入"",
  TRUE, ""其他""
)"),"真實收入")</f>
        <v>真實收入</v>
      </c>
      <c r="K4370" s="270">
        <f t="shared" si="2"/>
        <v>12100</v>
      </c>
      <c r="L4370">
        <f t="shared" si="3"/>
        <v>0</v>
      </c>
    </row>
    <row r="4371">
      <c r="A4371" s="107">
        <f>IFERROR(__xludf.DUMMYFUNCTION("""COMPUTED_VALUE"""),45691.0)</f>
        <v>45691</v>
      </c>
      <c r="B4371" t="str">
        <f>IFERROR(__xludf.DUMMYFUNCTION("""COMPUTED_VALUE"""),"[內湖秘境] C [黃詩穎] 月租金")</f>
        <v>[內湖秘境] C [黃詩穎] 月租金</v>
      </c>
      <c r="C4371" t="str">
        <f>IFERROR(__xludf.DUMMYFUNCTION("""COMPUTED_VALUE"""),"收入 - 租金")</f>
        <v>收入 - 租金</v>
      </c>
      <c r="D4371" s="270">
        <f>IFERROR(__xludf.DUMMYFUNCTION("""COMPUTED_VALUE"""),14800.0)</f>
        <v>14800</v>
      </c>
      <c r="F4371" t="str">
        <f>IFERROR(__xludf.DUMMYFUNCTION("""COMPUTED_VALUE"""),"玉山帳戶")</f>
        <v>玉山帳戶</v>
      </c>
      <c r="G4371" t="str">
        <f>IFERROR(__xludf.DUMMYFUNCTION("""COMPUTED_VALUE"""),"內湖秘境")</f>
        <v>內湖秘境</v>
      </c>
      <c r="H4371" s="106" t="str">
        <f t="shared" si="1"/>
        <v>2025-02</v>
      </c>
      <c r="I4371" s="271" t="str">
        <f>IFERROR(__xludf.DUMMYFUNCTION("""COMPUTED_VALUE"""),"鯰魚大大")</f>
        <v>鯰魚大大</v>
      </c>
      <c r="J4371" t="str">
        <f>IFERROR(__xludf.DUMMYFUNCTION("IFS(
  AND(REGEXMATCH(E4371, ""台銀籌備帳戶|玉山帳戶""), REGEXMATCH(C4371, ""薪資"")), ""分潤支出"",
  AND(REGEXMATCH(E4371, ""Ben帳戶|Elsa帳戶|Ben代墊|Ariel代墊|中信銀行共用""), REGEXMATCH(F4371, ""Ben帳戶|Elsa帳戶|Ben代墊|Ariel代墊|中信銀行共用"")), ""內部轉帳(忽略)"",
  AND(E4371&lt;&gt;"""", F4371&lt;&gt;"""", N"&amp;"OT(REGEXMATCH(C4371, ""薪資""))), ""內部轉帳(忽略)"",
  REGEXMATCH(C4371, ""薪資""), ""薪資變動(不計入)"",
  REGEXMATCH(C4371, ""押金""), ""押金往來"",
  AND(E4371&lt;&gt;"""", F4371=""""), ""真實支出"",
  AND(E4371="""", F4371&lt;&gt;""""), ""真實收入"",
  TRUE, ""其他""
)"),"真實收入")</f>
        <v>真實收入</v>
      </c>
      <c r="K4371" s="270">
        <f t="shared" si="2"/>
        <v>14800</v>
      </c>
      <c r="L4371">
        <f t="shared" si="3"/>
        <v>0</v>
      </c>
    </row>
    <row r="4372">
      <c r="A4372" s="107">
        <f>IFERROR(__xludf.DUMMYFUNCTION("""COMPUTED_VALUE"""),45691.0)</f>
        <v>45691</v>
      </c>
      <c r="B4372" t="str">
        <f>IFERROR(__xludf.DUMMYFUNCTION("""COMPUTED_VALUE"""),"[士林和豐] C [李宛宸] 月租金")</f>
        <v>[士林和豐] C [李宛宸] 月租金</v>
      </c>
      <c r="C4372" t="str">
        <f>IFERROR(__xludf.DUMMYFUNCTION("""COMPUTED_VALUE"""),"收入 - 租金")</f>
        <v>收入 - 租金</v>
      </c>
      <c r="D4372" s="270">
        <f>IFERROR(__xludf.DUMMYFUNCTION("""COMPUTED_VALUE"""),13100.0)</f>
        <v>13100</v>
      </c>
      <c r="F4372" t="str">
        <f>IFERROR(__xludf.DUMMYFUNCTION("""COMPUTED_VALUE"""),"玉山帳戶")</f>
        <v>玉山帳戶</v>
      </c>
      <c r="G4372" t="str">
        <f>IFERROR(__xludf.DUMMYFUNCTION("""COMPUTED_VALUE"""),"士林和豐")</f>
        <v>士林和豐</v>
      </c>
      <c r="H4372" s="106" t="str">
        <f t="shared" si="1"/>
        <v>2025-02</v>
      </c>
      <c r="I4372" s="271" t="str">
        <f>IFERROR(__xludf.DUMMYFUNCTION("""COMPUTED_VALUE"""),"鯰魚大大")</f>
        <v>鯰魚大大</v>
      </c>
      <c r="J4372" t="str">
        <f>IFERROR(__xludf.DUMMYFUNCTION("IFS(
  AND(REGEXMATCH(E4372, ""台銀籌備帳戶|玉山帳戶""), REGEXMATCH(C4372, ""薪資"")), ""分潤支出"",
  AND(REGEXMATCH(E4372, ""Ben帳戶|Elsa帳戶|Ben代墊|Ariel代墊|中信銀行共用""), REGEXMATCH(F4372, ""Ben帳戶|Elsa帳戶|Ben代墊|Ariel代墊|中信銀行共用"")), ""內部轉帳(忽略)"",
  AND(E4372&lt;&gt;"""", F4372&lt;&gt;"""", N"&amp;"OT(REGEXMATCH(C4372, ""薪資""))), ""內部轉帳(忽略)"",
  REGEXMATCH(C4372, ""薪資""), ""薪資變動(不計入)"",
  REGEXMATCH(C4372, ""押金""), ""押金往來"",
  AND(E4372&lt;&gt;"""", F4372=""""), ""真實支出"",
  AND(E4372="""", F4372&lt;&gt;""""), ""真實收入"",
  TRUE, ""其他""
)"),"真實收入")</f>
        <v>真實收入</v>
      </c>
      <c r="K4372" s="270">
        <f t="shared" si="2"/>
        <v>13100</v>
      </c>
      <c r="L4372">
        <f t="shared" si="3"/>
        <v>0</v>
      </c>
    </row>
    <row r="4373">
      <c r="A4373" s="107">
        <f>IFERROR(__xludf.DUMMYFUNCTION("""COMPUTED_VALUE"""),45691.0)</f>
        <v>45691</v>
      </c>
      <c r="B4373" t="str">
        <f>IFERROR(__xludf.DUMMYFUNCTION("""COMPUTED_VALUE"""),"[內湖秘境] B [劉桀綸] 月租金")</f>
        <v>[內湖秘境] B [劉桀綸] 月租金</v>
      </c>
      <c r="C4373" t="str">
        <f>IFERROR(__xludf.DUMMYFUNCTION("""COMPUTED_VALUE"""),"收入 - 租金")</f>
        <v>收入 - 租金</v>
      </c>
      <c r="D4373" s="270">
        <f>IFERROR(__xludf.DUMMYFUNCTION("""COMPUTED_VALUE"""),12300.0)</f>
        <v>12300</v>
      </c>
      <c r="F4373" t="str">
        <f>IFERROR(__xludf.DUMMYFUNCTION("""COMPUTED_VALUE"""),"玉山帳戶")</f>
        <v>玉山帳戶</v>
      </c>
      <c r="G4373" t="str">
        <f>IFERROR(__xludf.DUMMYFUNCTION("""COMPUTED_VALUE"""),"內湖秘境")</f>
        <v>內湖秘境</v>
      </c>
      <c r="H4373" s="106" t="str">
        <f t="shared" si="1"/>
        <v>2025-02</v>
      </c>
      <c r="I4373" s="271" t="str">
        <f>IFERROR(__xludf.DUMMYFUNCTION("""COMPUTED_VALUE"""),"鯰魚大大")</f>
        <v>鯰魚大大</v>
      </c>
      <c r="J4373" t="str">
        <f>IFERROR(__xludf.DUMMYFUNCTION("IFS(
  AND(REGEXMATCH(E4373, ""台銀籌備帳戶|玉山帳戶""), REGEXMATCH(C4373, ""薪資"")), ""分潤支出"",
  AND(REGEXMATCH(E4373, ""Ben帳戶|Elsa帳戶|Ben代墊|Ariel代墊|中信銀行共用""), REGEXMATCH(F4373, ""Ben帳戶|Elsa帳戶|Ben代墊|Ariel代墊|中信銀行共用"")), ""內部轉帳(忽略)"",
  AND(E4373&lt;&gt;"""", F4373&lt;&gt;"""", N"&amp;"OT(REGEXMATCH(C4373, ""薪資""))), ""內部轉帳(忽略)"",
  REGEXMATCH(C4373, ""薪資""), ""薪資變動(不計入)"",
  REGEXMATCH(C4373, ""押金""), ""押金往來"",
  AND(E4373&lt;&gt;"""", F4373=""""), ""真實支出"",
  AND(E4373="""", F4373&lt;&gt;""""), ""真實收入"",
  TRUE, ""其他""
)"),"真實收入")</f>
        <v>真實收入</v>
      </c>
      <c r="K4373" s="270">
        <f t="shared" si="2"/>
        <v>12300</v>
      </c>
      <c r="L4373">
        <f t="shared" si="3"/>
        <v>0</v>
      </c>
    </row>
    <row r="4374">
      <c r="A4374" s="107">
        <f>IFERROR(__xludf.DUMMYFUNCTION("""COMPUTED_VALUE"""),45691.0)</f>
        <v>45691</v>
      </c>
      <c r="B4374" t="str">
        <f>IFERROR(__xludf.DUMMYFUNCTION("""COMPUTED_VALUE"""),"內湖秘境A陳玟涵")</f>
        <v>內湖秘境A陳玟涵</v>
      </c>
      <c r="C4374" t="str">
        <f>IFERROR(__xludf.DUMMYFUNCTION("""COMPUTED_VALUE"""),"收入 - 租金")</f>
        <v>收入 - 租金</v>
      </c>
      <c r="D4374" s="270">
        <f>IFERROR(__xludf.DUMMYFUNCTION("""COMPUTED_VALUE"""),11700.0)</f>
        <v>11700</v>
      </c>
      <c r="F4374" t="str">
        <f>IFERROR(__xludf.DUMMYFUNCTION("""COMPUTED_VALUE"""),"玉山帳戶")</f>
        <v>玉山帳戶</v>
      </c>
      <c r="G4374" t="str">
        <f>IFERROR(__xludf.DUMMYFUNCTION("""COMPUTED_VALUE"""),"內湖秘境")</f>
        <v>內湖秘境</v>
      </c>
      <c r="H4374" s="106" t="str">
        <f t="shared" si="1"/>
        <v>2025-02</v>
      </c>
      <c r="I4374" s="271" t="str">
        <f>IFERROR(__xludf.DUMMYFUNCTION("""COMPUTED_VALUE"""),"鯰魚大大")</f>
        <v>鯰魚大大</v>
      </c>
      <c r="J4374" t="str">
        <f>IFERROR(__xludf.DUMMYFUNCTION("IFS(
  AND(REGEXMATCH(E4374, ""台銀籌備帳戶|玉山帳戶""), REGEXMATCH(C4374, ""薪資"")), ""分潤支出"",
  AND(REGEXMATCH(E4374, ""Ben帳戶|Elsa帳戶|Ben代墊|Ariel代墊|中信銀行共用""), REGEXMATCH(F4374, ""Ben帳戶|Elsa帳戶|Ben代墊|Ariel代墊|中信銀行共用"")), ""內部轉帳(忽略)"",
  AND(E4374&lt;&gt;"""", F4374&lt;&gt;"""", N"&amp;"OT(REGEXMATCH(C4374, ""薪資""))), ""內部轉帳(忽略)"",
  REGEXMATCH(C4374, ""薪資""), ""薪資變動(不計入)"",
  REGEXMATCH(C4374, ""押金""), ""押金往來"",
  AND(E4374&lt;&gt;"""", F4374=""""), ""真實支出"",
  AND(E4374="""", F4374&lt;&gt;""""), ""真實收入"",
  TRUE, ""其他""
)"),"真實收入")</f>
        <v>真實收入</v>
      </c>
      <c r="K4374" s="270">
        <f t="shared" si="2"/>
        <v>11700</v>
      </c>
      <c r="L4374">
        <f t="shared" si="3"/>
        <v>0</v>
      </c>
    </row>
    <row r="4375">
      <c r="A4375" s="107">
        <f>IFERROR(__xludf.DUMMYFUNCTION("""COMPUTED_VALUE"""),45691.0)</f>
        <v>45691</v>
      </c>
      <c r="B4375" t="str">
        <f>IFERROR(__xludf.DUMMYFUNCTION("""COMPUTED_VALUE"""),"[內湖秘境] E [林芷妤] 月租金")</f>
        <v>[內湖秘境] E [林芷妤] 月租金</v>
      </c>
      <c r="C4375" t="str">
        <f>IFERROR(__xludf.DUMMYFUNCTION("""COMPUTED_VALUE"""),"收入 - 租金")</f>
        <v>收入 - 租金</v>
      </c>
      <c r="D4375" s="270">
        <f>IFERROR(__xludf.DUMMYFUNCTION("""COMPUTED_VALUE"""),13600.0)</f>
        <v>13600</v>
      </c>
      <c r="F4375" t="str">
        <f>IFERROR(__xludf.DUMMYFUNCTION("""COMPUTED_VALUE"""),"玉山帳戶")</f>
        <v>玉山帳戶</v>
      </c>
      <c r="G4375" t="str">
        <f>IFERROR(__xludf.DUMMYFUNCTION("""COMPUTED_VALUE"""),"內湖秘境")</f>
        <v>內湖秘境</v>
      </c>
      <c r="H4375" s="106" t="str">
        <f t="shared" si="1"/>
        <v>2025-02</v>
      </c>
      <c r="I4375" s="271" t="str">
        <f>IFERROR(__xludf.DUMMYFUNCTION("""COMPUTED_VALUE"""),"鯰魚大大")</f>
        <v>鯰魚大大</v>
      </c>
      <c r="J4375" t="str">
        <f>IFERROR(__xludf.DUMMYFUNCTION("IFS(
  AND(REGEXMATCH(E4375, ""台銀籌備帳戶|玉山帳戶""), REGEXMATCH(C4375, ""薪資"")), ""分潤支出"",
  AND(REGEXMATCH(E4375, ""Ben帳戶|Elsa帳戶|Ben代墊|Ariel代墊|中信銀行共用""), REGEXMATCH(F4375, ""Ben帳戶|Elsa帳戶|Ben代墊|Ariel代墊|中信銀行共用"")), ""內部轉帳(忽略)"",
  AND(E4375&lt;&gt;"""", F4375&lt;&gt;"""", N"&amp;"OT(REGEXMATCH(C4375, ""薪資""))), ""內部轉帳(忽略)"",
  REGEXMATCH(C4375, ""薪資""), ""薪資變動(不計入)"",
  REGEXMATCH(C4375, ""押金""), ""押金往來"",
  AND(E4375&lt;&gt;"""", F4375=""""), ""真實支出"",
  AND(E4375="""", F4375&lt;&gt;""""), ""真實收入"",
  TRUE, ""其他""
)"),"真實收入")</f>
        <v>真實收入</v>
      </c>
      <c r="K4375" s="270">
        <f t="shared" si="2"/>
        <v>13600</v>
      </c>
      <c r="L4375">
        <f t="shared" si="3"/>
        <v>0</v>
      </c>
    </row>
    <row r="4376">
      <c r="A4376" s="107">
        <f>IFERROR(__xludf.DUMMYFUNCTION("""COMPUTED_VALUE"""),45691.0)</f>
        <v>45691</v>
      </c>
      <c r="B4376" t="str">
        <f>IFERROR(__xludf.DUMMYFUNCTION("""COMPUTED_VALUE"""),"[士林和豐] B [郭昱慧] 月租金")</f>
        <v>[士林和豐] B [郭昱慧] 月租金</v>
      </c>
      <c r="C4376" t="str">
        <f>IFERROR(__xludf.DUMMYFUNCTION("""COMPUTED_VALUE"""),"收入 - 租金")</f>
        <v>收入 - 租金</v>
      </c>
      <c r="D4376" s="270">
        <f>IFERROR(__xludf.DUMMYFUNCTION("""COMPUTED_VALUE"""),14100.0)</f>
        <v>14100</v>
      </c>
      <c r="F4376" t="str">
        <f>IFERROR(__xludf.DUMMYFUNCTION("""COMPUTED_VALUE"""),"玉山帳戶")</f>
        <v>玉山帳戶</v>
      </c>
      <c r="G4376" t="str">
        <f>IFERROR(__xludf.DUMMYFUNCTION("""COMPUTED_VALUE"""),"士林和豐")</f>
        <v>士林和豐</v>
      </c>
      <c r="H4376" s="106" t="str">
        <f t="shared" si="1"/>
        <v>2025-02</v>
      </c>
      <c r="I4376" s="271" t="str">
        <f>IFERROR(__xludf.DUMMYFUNCTION("""COMPUTED_VALUE"""),"鯰魚大大")</f>
        <v>鯰魚大大</v>
      </c>
      <c r="J4376" t="str">
        <f>IFERROR(__xludf.DUMMYFUNCTION("IFS(
  AND(REGEXMATCH(E4376, ""台銀籌備帳戶|玉山帳戶""), REGEXMATCH(C4376, ""薪資"")), ""分潤支出"",
  AND(REGEXMATCH(E4376, ""Ben帳戶|Elsa帳戶|Ben代墊|Ariel代墊|中信銀行共用""), REGEXMATCH(F4376, ""Ben帳戶|Elsa帳戶|Ben代墊|Ariel代墊|中信銀行共用"")), ""內部轉帳(忽略)"",
  AND(E4376&lt;&gt;"""", F4376&lt;&gt;"""", N"&amp;"OT(REGEXMATCH(C4376, ""薪資""))), ""內部轉帳(忽略)"",
  REGEXMATCH(C4376, ""薪資""), ""薪資變動(不計入)"",
  REGEXMATCH(C4376, ""押金""), ""押金往來"",
  AND(E4376&lt;&gt;"""", F4376=""""), ""真實支出"",
  AND(E4376="""", F4376&lt;&gt;""""), ""真實收入"",
  TRUE, ""其他""
)"),"真實收入")</f>
        <v>真實收入</v>
      </c>
      <c r="K4376" s="270">
        <f t="shared" si="2"/>
        <v>14100</v>
      </c>
      <c r="L4376">
        <f t="shared" si="3"/>
        <v>0</v>
      </c>
    </row>
    <row r="4377">
      <c r="A4377" s="107">
        <f>IFERROR(__xludf.DUMMYFUNCTION("""COMPUTED_VALUE"""),45691.0)</f>
        <v>45691</v>
      </c>
      <c r="B4377" t="str">
        <f>IFERROR(__xludf.DUMMYFUNCTION("""COMPUTED_VALUE"""),"[內湖秘境] F [楊芯岳] 月租金")</f>
        <v>[內湖秘境] F [楊芯岳] 月租金</v>
      </c>
      <c r="C4377" t="str">
        <f>IFERROR(__xludf.DUMMYFUNCTION("""COMPUTED_VALUE"""),"收入 - 租金")</f>
        <v>收入 - 租金</v>
      </c>
      <c r="D4377" s="270">
        <f>IFERROR(__xludf.DUMMYFUNCTION("""COMPUTED_VALUE"""),13500.0)</f>
        <v>13500</v>
      </c>
      <c r="F4377" t="str">
        <f>IFERROR(__xludf.DUMMYFUNCTION("""COMPUTED_VALUE"""),"玉山帳戶")</f>
        <v>玉山帳戶</v>
      </c>
      <c r="G4377" t="str">
        <f>IFERROR(__xludf.DUMMYFUNCTION("""COMPUTED_VALUE"""),"內湖秘境")</f>
        <v>內湖秘境</v>
      </c>
      <c r="H4377" s="106" t="str">
        <f t="shared" si="1"/>
        <v>2025-02</v>
      </c>
      <c r="I4377" s="271" t="str">
        <f>IFERROR(__xludf.DUMMYFUNCTION("""COMPUTED_VALUE"""),"鯰魚大大")</f>
        <v>鯰魚大大</v>
      </c>
      <c r="J4377" t="str">
        <f>IFERROR(__xludf.DUMMYFUNCTION("IFS(
  AND(REGEXMATCH(E4377, ""台銀籌備帳戶|玉山帳戶""), REGEXMATCH(C4377, ""薪資"")), ""分潤支出"",
  AND(REGEXMATCH(E4377, ""Ben帳戶|Elsa帳戶|Ben代墊|Ariel代墊|中信銀行共用""), REGEXMATCH(F4377, ""Ben帳戶|Elsa帳戶|Ben代墊|Ariel代墊|中信銀行共用"")), ""內部轉帳(忽略)"",
  AND(E4377&lt;&gt;"""", F4377&lt;&gt;"""", N"&amp;"OT(REGEXMATCH(C4377, ""薪資""))), ""內部轉帳(忽略)"",
  REGEXMATCH(C4377, ""薪資""), ""薪資變動(不計入)"",
  REGEXMATCH(C4377, ""押金""), ""押金往來"",
  AND(E4377&lt;&gt;"""", F4377=""""), ""真實支出"",
  AND(E4377="""", F4377&lt;&gt;""""), ""真實收入"",
  TRUE, ""其他""
)"),"真實收入")</f>
        <v>真實收入</v>
      </c>
      <c r="K4377" s="270">
        <f t="shared" si="2"/>
        <v>13500</v>
      </c>
      <c r="L4377">
        <f t="shared" si="3"/>
        <v>0</v>
      </c>
    </row>
    <row r="4378">
      <c r="A4378" s="107">
        <f>IFERROR(__xludf.DUMMYFUNCTION("""COMPUTED_VALUE"""),45691.0)</f>
        <v>45691</v>
      </c>
      <c r="B4378" t="str">
        <f>IFERROR(__xludf.DUMMYFUNCTION("""COMPUTED_VALUE"""),"[行天宮夏野良栗] A [鄒欣穎] 月租金")</f>
        <v>[行天宮夏野良栗] A [鄒欣穎] 月租金</v>
      </c>
      <c r="C4378" t="str">
        <f>IFERROR(__xludf.DUMMYFUNCTION("""COMPUTED_VALUE"""),"收入 - 租金")</f>
        <v>收入 - 租金</v>
      </c>
      <c r="D4378" s="270">
        <f>IFERROR(__xludf.DUMMYFUNCTION("""COMPUTED_VALUE"""),14200.0)</f>
        <v>14200</v>
      </c>
      <c r="F4378" t="str">
        <f>IFERROR(__xludf.DUMMYFUNCTION("""COMPUTED_VALUE"""),"玉山帳戶")</f>
        <v>玉山帳戶</v>
      </c>
      <c r="G4378" t="str">
        <f>IFERROR(__xludf.DUMMYFUNCTION("""COMPUTED_VALUE"""),"行天宮夏野良栗")</f>
        <v>行天宮夏野良栗</v>
      </c>
      <c r="H4378" s="106" t="str">
        <f t="shared" si="1"/>
        <v>2025-02</v>
      </c>
      <c r="I4378" s="271" t="str">
        <f>IFERROR(__xludf.DUMMYFUNCTION("""COMPUTED_VALUE"""),"鯰魚大大")</f>
        <v>鯰魚大大</v>
      </c>
      <c r="J4378" t="str">
        <f>IFERROR(__xludf.DUMMYFUNCTION("IFS(
  AND(REGEXMATCH(E4378, ""台銀籌備帳戶|玉山帳戶""), REGEXMATCH(C4378, ""薪資"")), ""分潤支出"",
  AND(REGEXMATCH(E4378, ""Ben帳戶|Elsa帳戶|Ben代墊|Ariel代墊|中信銀行共用""), REGEXMATCH(F4378, ""Ben帳戶|Elsa帳戶|Ben代墊|Ariel代墊|中信銀行共用"")), ""內部轉帳(忽略)"",
  AND(E4378&lt;&gt;"""", F4378&lt;&gt;"""", N"&amp;"OT(REGEXMATCH(C4378, ""薪資""))), ""內部轉帳(忽略)"",
  REGEXMATCH(C4378, ""薪資""), ""薪資變動(不計入)"",
  REGEXMATCH(C4378, ""押金""), ""押金往來"",
  AND(E4378&lt;&gt;"""", F4378=""""), ""真實支出"",
  AND(E4378="""", F4378&lt;&gt;""""), ""真實收入"",
  TRUE, ""其他""
)"),"真實收入")</f>
        <v>真實收入</v>
      </c>
      <c r="K4378" s="270">
        <f t="shared" si="2"/>
        <v>14200</v>
      </c>
      <c r="L4378">
        <f t="shared" si="3"/>
        <v>0</v>
      </c>
    </row>
    <row r="4379">
      <c r="A4379" s="107">
        <f>IFERROR(__xludf.DUMMYFUNCTION("""COMPUTED_VALUE"""),45691.0)</f>
        <v>45691</v>
      </c>
      <c r="B4379" t="str">
        <f>IFERROR(__xludf.DUMMYFUNCTION("""COMPUTED_VALUE"""),"費用 - 匯費 對方行:013 後五碼:78744")</f>
        <v>費用 - 匯費 對方行:013 後五碼:78744</v>
      </c>
      <c r="C4379" t="str">
        <f>IFERROR(__xludf.DUMMYFUNCTION("""COMPUTED_VALUE"""),"費用 - 匯費")</f>
        <v>費用 - 匯費</v>
      </c>
      <c r="D4379" s="270">
        <f>IFERROR(__xludf.DUMMYFUNCTION("""COMPUTED_VALUE"""),-15.0)</f>
        <v>-15</v>
      </c>
      <c r="E4379" t="str">
        <f>IFERROR(__xludf.DUMMYFUNCTION("""COMPUTED_VALUE"""),"玉山帳戶")</f>
        <v>玉山帳戶</v>
      </c>
      <c r="H4379" s="106" t="str">
        <f t="shared" si="1"/>
        <v>2025-02</v>
      </c>
      <c r="I4379" s="271" t="str">
        <f>IFERROR(__xludf.DUMMYFUNCTION("""COMPUTED_VALUE"""),"鯰魚大大")</f>
        <v>鯰魚大大</v>
      </c>
      <c r="J4379" t="str">
        <f>IFERROR(__xludf.DUMMYFUNCTION("IFS(
  AND(REGEXMATCH(E4379, ""台銀籌備帳戶|玉山帳戶""), REGEXMATCH(C4379, ""薪資"")), ""分潤支出"",
  AND(REGEXMATCH(E4379, ""Ben帳戶|Elsa帳戶|Ben代墊|Ariel代墊|中信銀行共用""), REGEXMATCH(F4379, ""Ben帳戶|Elsa帳戶|Ben代墊|Ariel代墊|中信銀行共用"")), ""內部轉帳(忽略)"",
  AND(E4379&lt;&gt;"""", F4379&lt;&gt;"""", N"&amp;"OT(REGEXMATCH(C4379, ""薪資""))), ""內部轉帳(忽略)"",
  REGEXMATCH(C4379, ""薪資""), ""薪資變動(不計入)"",
  REGEXMATCH(C4379, ""押金""), ""押金往來"",
  AND(E4379&lt;&gt;"""", F4379=""""), ""真實支出"",
  AND(E4379="""", F4379&lt;&gt;""""), ""真實收入"",
  TRUE, ""其他""
)"),"真實支出")</f>
        <v>真實支出</v>
      </c>
      <c r="K4379" s="270">
        <f t="shared" si="2"/>
        <v>-15</v>
      </c>
      <c r="L4379">
        <f t="shared" si="3"/>
        <v>0</v>
      </c>
    </row>
    <row r="4380">
      <c r="A4380" s="107">
        <f>IFERROR(__xludf.DUMMYFUNCTION("""COMPUTED_VALUE"""),45691.0)</f>
        <v>45691</v>
      </c>
      <c r="B4380" t="str">
        <f>IFERROR(__xludf.DUMMYFUNCTION("""COMPUTED_VALUE"""),"[士林和豐] [楊政偉] 大租金")</f>
        <v>[士林和豐] [楊政偉] 大租金</v>
      </c>
      <c r="C4380" t="str">
        <f>IFERROR(__xludf.DUMMYFUNCTION("""COMPUTED_VALUE"""),"成本 - 大租金")</f>
        <v>成本 - 大租金</v>
      </c>
      <c r="D4380" s="270">
        <f>IFERROR(__xludf.DUMMYFUNCTION("""COMPUTED_VALUE"""),-14400.0)</f>
        <v>-14400</v>
      </c>
      <c r="E4380" t="str">
        <f>IFERROR(__xludf.DUMMYFUNCTION("""COMPUTED_VALUE"""),"玉山帳戶")</f>
        <v>玉山帳戶</v>
      </c>
      <c r="G4380" t="str">
        <f>IFERROR(__xludf.DUMMYFUNCTION("""COMPUTED_VALUE"""),"士林和豐")</f>
        <v>士林和豐</v>
      </c>
      <c r="H4380" s="106" t="str">
        <f t="shared" si="1"/>
        <v>2025-02</v>
      </c>
      <c r="I4380" s="271" t="str">
        <f>IFERROR(__xludf.DUMMYFUNCTION("""COMPUTED_VALUE"""),"鯰魚大大")</f>
        <v>鯰魚大大</v>
      </c>
      <c r="J4380" t="str">
        <f>IFERROR(__xludf.DUMMYFUNCTION("IFS(
  AND(REGEXMATCH(E4380, ""台銀籌備帳戶|玉山帳戶""), REGEXMATCH(C4380, ""薪資"")), ""分潤支出"",
  AND(REGEXMATCH(E4380, ""Ben帳戶|Elsa帳戶|Ben代墊|Ariel代墊|中信銀行共用""), REGEXMATCH(F4380, ""Ben帳戶|Elsa帳戶|Ben代墊|Ariel代墊|中信銀行共用"")), ""內部轉帳(忽略)"",
  AND(E4380&lt;&gt;"""", F4380&lt;&gt;"""", N"&amp;"OT(REGEXMATCH(C4380, ""薪資""))), ""內部轉帳(忽略)"",
  REGEXMATCH(C4380, ""薪資""), ""薪資變動(不計入)"",
  REGEXMATCH(C4380, ""押金""), ""押金往來"",
  AND(E4380&lt;&gt;"""", F4380=""""), ""真實支出"",
  AND(E4380="""", F4380&lt;&gt;""""), ""真實收入"",
  TRUE, ""其他""
)"),"真實支出")</f>
        <v>真實支出</v>
      </c>
      <c r="K4380" s="270">
        <f t="shared" si="2"/>
        <v>-14400</v>
      </c>
      <c r="L4380">
        <f t="shared" si="3"/>
        <v>0</v>
      </c>
    </row>
    <row r="4381">
      <c r="A4381" s="107">
        <f>IFERROR(__xludf.DUMMYFUNCTION("""COMPUTED_VALUE"""),45691.0)</f>
        <v>45691</v>
      </c>
      <c r="B4381" t="str">
        <f>IFERROR(__xludf.DUMMYFUNCTION("""COMPUTED_VALUE"""),"費用 - 匯費 對方行:012 後五碼:68447")</f>
        <v>費用 - 匯費 對方行:012 後五碼:68447</v>
      </c>
      <c r="C4381" t="str">
        <f>IFERROR(__xludf.DUMMYFUNCTION("""COMPUTED_VALUE"""),"費用 - 匯費")</f>
        <v>費用 - 匯費</v>
      </c>
      <c r="D4381" s="270">
        <f>IFERROR(__xludf.DUMMYFUNCTION("""COMPUTED_VALUE"""),-15.0)</f>
        <v>-15</v>
      </c>
      <c r="E4381" t="str">
        <f>IFERROR(__xludf.DUMMYFUNCTION("""COMPUTED_VALUE"""),"玉山帳戶")</f>
        <v>玉山帳戶</v>
      </c>
      <c r="H4381" s="106" t="str">
        <f t="shared" si="1"/>
        <v>2025-02</v>
      </c>
      <c r="I4381" s="271" t="str">
        <f>IFERROR(__xludf.DUMMYFUNCTION("""COMPUTED_VALUE"""),"鯰魚大大")</f>
        <v>鯰魚大大</v>
      </c>
      <c r="J4381" t="str">
        <f>IFERROR(__xludf.DUMMYFUNCTION("IFS(
  AND(REGEXMATCH(E4381, ""台銀籌備帳戶|玉山帳戶""), REGEXMATCH(C4381, ""薪資"")), ""分潤支出"",
  AND(REGEXMATCH(E4381, ""Ben帳戶|Elsa帳戶|Ben代墊|Ariel代墊|中信銀行共用""), REGEXMATCH(F4381, ""Ben帳戶|Elsa帳戶|Ben代墊|Ariel代墊|中信銀行共用"")), ""內部轉帳(忽略)"",
  AND(E4381&lt;&gt;"""", F4381&lt;&gt;"""", N"&amp;"OT(REGEXMATCH(C4381, ""薪資""))), ""內部轉帳(忽略)"",
  REGEXMATCH(C4381, ""薪資""), ""薪資變動(不計入)"",
  REGEXMATCH(C4381, ""押金""), ""押金往來"",
  AND(E4381&lt;&gt;"""", F4381=""""), ""真實支出"",
  AND(E4381="""", F4381&lt;&gt;""""), ""真實收入"",
  TRUE, ""其他""
)"),"真實支出")</f>
        <v>真實支出</v>
      </c>
      <c r="K4381" s="270">
        <f t="shared" si="2"/>
        <v>-15</v>
      </c>
      <c r="L4381">
        <f t="shared" si="3"/>
        <v>0</v>
      </c>
    </row>
    <row r="4382">
      <c r="A4382" s="107">
        <f>IFERROR(__xludf.DUMMYFUNCTION("""COMPUTED_VALUE"""),45691.0)</f>
        <v>45691</v>
      </c>
      <c r="B4382" t="str">
        <f>IFERROR(__xludf.DUMMYFUNCTION("""COMPUTED_VALUE"""),"[行天宮夏野良栗] [沈蕙萱] 大租金")</f>
        <v>[行天宮夏野良栗] [沈蕙萱] 大租金</v>
      </c>
      <c r="C4382" t="str">
        <f>IFERROR(__xludf.DUMMYFUNCTION("""COMPUTED_VALUE"""),"成本 - 大租金")</f>
        <v>成本 - 大租金</v>
      </c>
      <c r="D4382" s="270">
        <f>IFERROR(__xludf.DUMMYFUNCTION("""COMPUTED_VALUE"""),-19900.0)</f>
        <v>-19900</v>
      </c>
      <c r="E4382" t="str">
        <f>IFERROR(__xludf.DUMMYFUNCTION("""COMPUTED_VALUE"""),"玉山帳戶")</f>
        <v>玉山帳戶</v>
      </c>
      <c r="G4382" t="str">
        <f>IFERROR(__xludf.DUMMYFUNCTION("""COMPUTED_VALUE"""),"行天宮夏野良栗")</f>
        <v>行天宮夏野良栗</v>
      </c>
      <c r="H4382" s="106" t="str">
        <f t="shared" si="1"/>
        <v>2025-02</v>
      </c>
      <c r="I4382" s="271" t="str">
        <f>IFERROR(__xludf.DUMMYFUNCTION("""COMPUTED_VALUE"""),"鯰魚大大")</f>
        <v>鯰魚大大</v>
      </c>
      <c r="J4382" t="str">
        <f>IFERROR(__xludf.DUMMYFUNCTION("IFS(
  AND(REGEXMATCH(E4382, ""台銀籌備帳戶|玉山帳戶""), REGEXMATCH(C4382, ""薪資"")), ""分潤支出"",
  AND(REGEXMATCH(E4382, ""Ben帳戶|Elsa帳戶|Ben代墊|Ariel代墊|中信銀行共用""), REGEXMATCH(F4382, ""Ben帳戶|Elsa帳戶|Ben代墊|Ariel代墊|中信銀行共用"")), ""內部轉帳(忽略)"",
  AND(E4382&lt;&gt;"""", F4382&lt;&gt;"""", N"&amp;"OT(REGEXMATCH(C4382, ""薪資""))), ""內部轉帳(忽略)"",
  REGEXMATCH(C4382, ""薪資""), ""薪資變動(不計入)"",
  REGEXMATCH(C4382, ""押金""), ""押金往來"",
  AND(E4382&lt;&gt;"""", F4382=""""), ""真實支出"",
  AND(E4382="""", F4382&lt;&gt;""""), ""真實收入"",
  TRUE, ""其他""
)"),"真實支出")</f>
        <v>真實支出</v>
      </c>
      <c r="K4382" s="270">
        <f t="shared" si="2"/>
        <v>-19900</v>
      </c>
      <c r="L4382">
        <f t="shared" si="3"/>
        <v>0</v>
      </c>
    </row>
    <row r="4383">
      <c r="A4383" s="107">
        <f>IFERROR(__xludf.DUMMYFUNCTION("""COMPUTED_VALUE"""),45691.0)</f>
        <v>45691</v>
      </c>
      <c r="B4383" t="str">
        <f>IFERROR(__xludf.DUMMYFUNCTION("""COMPUTED_VALUE"""),"費用 - 匯費 對方行:700 後五碼:84843")</f>
        <v>費用 - 匯費 對方行:700 後五碼:84843</v>
      </c>
      <c r="C4383" t="str">
        <f>IFERROR(__xludf.DUMMYFUNCTION("""COMPUTED_VALUE"""),"費用 - 匯費")</f>
        <v>費用 - 匯費</v>
      </c>
      <c r="D4383" s="270">
        <f>IFERROR(__xludf.DUMMYFUNCTION("""COMPUTED_VALUE"""),-15.0)</f>
        <v>-15</v>
      </c>
      <c r="E4383" t="str">
        <f>IFERROR(__xludf.DUMMYFUNCTION("""COMPUTED_VALUE"""),"玉山帳戶")</f>
        <v>玉山帳戶</v>
      </c>
      <c r="H4383" s="106" t="str">
        <f t="shared" si="1"/>
        <v>2025-02</v>
      </c>
      <c r="I4383" s="271" t="str">
        <f>IFERROR(__xludf.DUMMYFUNCTION("""COMPUTED_VALUE"""),"鯰魚大大")</f>
        <v>鯰魚大大</v>
      </c>
      <c r="J4383" t="str">
        <f>IFERROR(__xludf.DUMMYFUNCTION("IFS(
  AND(REGEXMATCH(E4383, ""台銀籌備帳戶|玉山帳戶""), REGEXMATCH(C4383, ""薪資"")), ""分潤支出"",
  AND(REGEXMATCH(E4383, ""Ben帳戶|Elsa帳戶|Ben代墊|Ariel代墊|中信銀行共用""), REGEXMATCH(F4383, ""Ben帳戶|Elsa帳戶|Ben代墊|Ariel代墊|中信銀行共用"")), ""內部轉帳(忽略)"",
  AND(E4383&lt;&gt;"""", F4383&lt;&gt;"""", N"&amp;"OT(REGEXMATCH(C4383, ""薪資""))), ""內部轉帳(忽略)"",
  REGEXMATCH(C4383, ""薪資""), ""薪資變動(不計入)"",
  REGEXMATCH(C4383, ""押金""), ""押金往來"",
  AND(E4383&lt;&gt;"""", F4383=""""), ""真實支出"",
  AND(E4383="""", F4383&lt;&gt;""""), ""真實收入"",
  TRUE, ""其他""
)"),"真實支出")</f>
        <v>真實支出</v>
      </c>
      <c r="K4383" s="270">
        <f t="shared" si="2"/>
        <v>-15</v>
      </c>
      <c r="L4383">
        <f t="shared" si="3"/>
        <v>0</v>
      </c>
    </row>
    <row r="4384">
      <c r="A4384" s="107">
        <f>IFERROR(__xludf.DUMMYFUNCTION("""COMPUTED_VALUE"""),45691.0)</f>
        <v>45691</v>
      </c>
      <c r="B4384" t="str">
        <f>IFERROR(__xludf.DUMMYFUNCTION("""COMPUTED_VALUE"""),"[內湖秘境] [周佳慧] 大租金")</f>
        <v>[內湖秘境] [周佳慧] 大租金</v>
      </c>
      <c r="C4384" t="str">
        <f>IFERROR(__xludf.DUMMYFUNCTION("""COMPUTED_VALUE"""),"成本 - 大租金")</f>
        <v>成本 - 大租金</v>
      </c>
      <c r="D4384" s="270">
        <f>IFERROR(__xludf.DUMMYFUNCTION("""COMPUTED_VALUE"""),-15000.0)</f>
        <v>-15000</v>
      </c>
      <c r="E4384" t="str">
        <f>IFERROR(__xludf.DUMMYFUNCTION("""COMPUTED_VALUE"""),"玉山帳戶")</f>
        <v>玉山帳戶</v>
      </c>
      <c r="G4384" t="str">
        <f>IFERROR(__xludf.DUMMYFUNCTION("""COMPUTED_VALUE"""),"內湖秘境")</f>
        <v>內湖秘境</v>
      </c>
      <c r="H4384" s="106" t="str">
        <f t="shared" si="1"/>
        <v>2025-02</v>
      </c>
      <c r="I4384" s="271" t="str">
        <f>IFERROR(__xludf.DUMMYFUNCTION("""COMPUTED_VALUE"""),"鯰魚大大")</f>
        <v>鯰魚大大</v>
      </c>
      <c r="J4384" t="str">
        <f>IFERROR(__xludf.DUMMYFUNCTION("IFS(
  AND(REGEXMATCH(E4384, ""台銀籌備帳戶|玉山帳戶""), REGEXMATCH(C4384, ""薪資"")), ""分潤支出"",
  AND(REGEXMATCH(E4384, ""Ben帳戶|Elsa帳戶|Ben代墊|Ariel代墊|中信銀行共用""), REGEXMATCH(F4384, ""Ben帳戶|Elsa帳戶|Ben代墊|Ariel代墊|中信銀行共用"")), ""內部轉帳(忽略)"",
  AND(E4384&lt;&gt;"""", F4384&lt;&gt;"""", N"&amp;"OT(REGEXMATCH(C4384, ""薪資""))), ""內部轉帳(忽略)"",
  REGEXMATCH(C4384, ""薪資""), ""薪資變動(不計入)"",
  REGEXMATCH(C4384, ""押金""), ""押金往來"",
  AND(E4384&lt;&gt;"""", F4384=""""), ""真實支出"",
  AND(E4384="""", F4384&lt;&gt;""""), ""真實收入"",
  TRUE, ""其他""
)"),"真實支出")</f>
        <v>真實支出</v>
      </c>
      <c r="K4384" s="270">
        <f t="shared" si="2"/>
        <v>-15000</v>
      </c>
      <c r="L4384">
        <f t="shared" si="3"/>
        <v>0</v>
      </c>
    </row>
    <row r="4385">
      <c r="A4385" s="107">
        <f>IFERROR(__xludf.DUMMYFUNCTION("""COMPUTED_VALUE"""),45691.0)</f>
        <v>45691</v>
      </c>
      <c r="B4385" t="str">
        <f>IFERROR(__xludf.DUMMYFUNCTION("""COMPUTED_VALUE"""),"費用 - 匯費 對方行:012 後五碼:53048")</f>
        <v>費用 - 匯費 對方行:012 後五碼:53048</v>
      </c>
      <c r="C4385" t="str">
        <f>IFERROR(__xludf.DUMMYFUNCTION("""COMPUTED_VALUE"""),"費用 - 匯費")</f>
        <v>費用 - 匯費</v>
      </c>
      <c r="D4385" s="270">
        <f>IFERROR(__xludf.DUMMYFUNCTION("""COMPUTED_VALUE"""),-15.0)</f>
        <v>-15</v>
      </c>
      <c r="E4385" t="str">
        <f>IFERROR(__xludf.DUMMYFUNCTION("""COMPUTED_VALUE"""),"玉山帳戶")</f>
        <v>玉山帳戶</v>
      </c>
      <c r="H4385" s="106" t="str">
        <f t="shared" si="1"/>
        <v>2025-02</v>
      </c>
      <c r="I4385" s="271" t="str">
        <f>IFERROR(__xludf.DUMMYFUNCTION("""COMPUTED_VALUE"""),"鯰魚大大")</f>
        <v>鯰魚大大</v>
      </c>
      <c r="J4385" t="str">
        <f>IFERROR(__xludf.DUMMYFUNCTION("IFS(
  AND(REGEXMATCH(E4385, ""台銀籌備帳戶|玉山帳戶""), REGEXMATCH(C4385, ""薪資"")), ""分潤支出"",
  AND(REGEXMATCH(E4385, ""Ben帳戶|Elsa帳戶|Ben代墊|Ariel代墊|中信銀行共用""), REGEXMATCH(F4385, ""Ben帳戶|Elsa帳戶|Ben代墊|Ariel代墊|中信銀行共用"")), ""內部轉帳(忽略)"",
  AND(E4385&lt;&gt;"""", F4385&lt;&gt;"""", N"&amp;"OT(REGEXMATCH(C4385, ""薪資""))), ""內部轉帳(忽略)"",
  REGEXMATCH(C4385, ""薪資""), ""薪資變動(不計入)"",
  REGEXMATCH(C4385, ""押金""), ""押金往來"",
  AND(E4385&lt;&gt;"""", F4385=""""), ""真實支出"",
  AND(E4385="""", F4385&lt;&gt;""""), ""真實收入"",
  TRUE, ""其他""
)"),"真實支出")</f>
        <v>真實支出</v>
      </c>
      <c r="K4385" s="270">
        <f t="shared" si="2"/>
        <v>-15</v>
      </c>
      <c r="L4385">
        <f t="shared" si="3"/>
        <v>0</v>
      </c>
    </row>
    <row r="4386">
      <c r="A4386" s="107">
        <f>IFERROR(__xludf.DUMMYFUNCTION("""COMPUTED_VALUE"""),45691.0)</f>
        <v>45691</v>
      </c>
      <c r="B4386" t="str">
        <f>IFERROR(__xludf.DUMMYFUNCTION("""COMPUTED_VALUE"""),"[內湖秘境] [周佳慧] 大租金")</f>
        <v>[內湖秘境] [周佳慧] 大租金</v>
      </c>
      <c r="C4386" t="str">
        <f>IFERROR(__xludf.DUMMYFUNCTION("""COMPUTED_VALUE"""),"成本 - 大租金")</f>
        <v>成本 - 大租金</v>
      </c>
      <c r="D4386" s="270">
        <f>IFERROR(__xludf.DUMMYFUNCTION("""COMPUTED_VALUE"""),-15000.0)</f>
        <v>-15000</v>
      </c>
      <c r="E4386" t="str">
        <f>IFERROR(__xludf.DUMMYFUNCTION("""COMPUTED_VALUE"""),"玉山帳戶")</f>
        <v>玉山帳戶</v>
      </c>
      <c r="G4386" t="str">
        <f>IFERROR(__xludf.DUMMYFUNCTION("""COMPUTED_VALUE"""),"內湖秘境")</f>
        <v>內湖秘境</v>
      </c>
      <c r="H4386" s="106" t="str">
        <f t="shared" si="1"/>
        <v>2025-02</v>
      </c>
      <c r="I4386" s="271" t="str">
        <f>IFERROR(__xludf.DUMMYFUNCTION("""COMPUTED_VALUE"""),"鯰魚大大")</f>
        <v>鯰魚大大</v>
      </c>
      <c r="J4386" t="str">
        <f>IFERROR(__xludf.DUMMYFUNCTION("IFS(
  AND(REGEXMATCH(E4386, ""台銀籌備帳戶|玉山帳戶""), REGEXMATCH(C4386, ""薪資"")), ""分潤支出"",
  AND(REGEXMATCH(E4386, ""Ben帳戶|Elsa帳戶|Ben代墊|Ariel代墊|中信銀行共用""), REGEXMATCH(F4386, ""Ben帳戶|Elsa帳戶|Ben代墊|Ariel代墊|中信銀行共用"")), ""內部轉帳(忽略)"",
  AND(E4386&lt;&gt;"""", F4386&lt;&gt;"""", N"&amp;"OT(REGEXMATCH(C4386, ""薪資""))), ""內部轉帳(忽略)"",
  REGEXMATCH(C4386, ""薪資""), ""薪資變動(不計入)"",
  REGEXMATCH(C4386, ""押金""), ""押金往來"",
  AND(E4386&lt;&gt;"""", F4386=""""), ""真實支出"",
  AND(E4386="""", F4386&lt;&gt;""""), ""真實收入"",
  TRUE, ""其他""
)"),"真實支出")</f>
        <v>真實支出</v>
      </c>
      <c r="K4386" s="270">
        <f t="shared" si="2"/>
        <v>-15000</v>
      </c>
      <c r="L4386">
        <f t="shared" si="3"/>
        <v>0</v>
      </c>
    </row>
    <row r="4387">
      <c r="A4387" s="107">
        <f>IFERROR(__xludf.DUMMYFUNCTION("""COMPUTED_VALUE"""),45691.0)</f>
        <v>45691</v>
      </c>
      <c r="B4387" t="str">
        <f>IFERROR(__xludf.DUMMYFUNCTION("""COMPUTED_VALUE"""),"費用 - 匯費 對方行:810 後五碼:77212")</f>
        <v>費用 - 匯費 對方行:810 後五碼:77212</v>
      </c>
      <c r="C4387" t="str">
        <f>IFERROR(__xludf.DUMMYFUNCTION("""COMPUTED_VALUE"""),"費用 - 匯費")</f>
        <v>費用 - 匯費</v>
      </c>
      <c r="D4387" s="270">
        <f>IFERROR(__xludf.DUMMYFUNCTION("""COMPUTED_VALUE"""),-15.0)</f>
        <v>-15</v>
      </c>
      <c r="E4387" t="str">
        <f>IFERROR(__xludf.DUMMYFUNCTION("""COMPUTED_VALUE"""),"玉山帳戶")</f>
        <v>玉山帳戶</v>
      </c>
      <c r="H4387" s="106" t="str">
        <f t="shared" si="1"/>
        <v>2025-02</v>
      </c>
      <c r="I4387" s="271" t="str">
        <f>IFERROR(__xludf.DUMMYFUNCTION("""COMPUTED_VALUE"""),"鯰魚大大")</f>
        <v>鯰魚大大</v>
      </c>
      <c r="J4387" t="str">
        <f>IFERROR(__xludf.DUMMYFUNCTION("IFS(
  AND(REGEXMATCH(E4387, ""台銀籌備帳戶|玉山帳戶""), REGEXMATCH(C4387, ""薪資"")), ""分潤支出"",
  AND(REGEXMATCH(E4387, ""Ben帳戶|Elsa帳戶|Ben代墊|Ariel代墊|中信銀行共用""), REGEXMATCH(F4387, ""Ben帳戶|Elsa帳戶|Ben代墊|Ariel代墊|中信銀行共用"")), ""內部轉帳(忽略)"",
  AND(E4387&lt;&gt;"""", F4387&lt;&gt;"""", N"&amp;"OT(REGEXMATCH(C4387, ""薪資""))), ""內部轉帳(忽略)"",
  REGEXMATCH(C4387, ""薪資""), ""薪資變動(不計入)"",
  REGEXMATCH(C4387, ""押金""), ""押金往來"",
  AND(E4387&lt;&gt;"""", F4387=""""), ""真實支出"",
  AND(E4387="""", F4387&lt;&gt;""""), ""真實收入"",
  TRUE, ""其他""
)"),"真實支出")</f>
        <v>真實支出</v>
      </c>
      <c r="K4387" s="270">
        <f t="shared" si="2"/>
        <v>-15</v>
      </c>
      <c r="L4387">
        <f t="shared" si="3"/>
        <v>0</v>
      </c>
    </row>
    <row r="4388">
      <c r="A4388" s="107">
        <f>IFERROR(__xludf.DUMMYFUNCTION("""COMPUTED_VALUE"""),45691.0)</f>
        <v>45691</v>
      </c>
      <c r="B4388" t="str">
        <f>IFERROR(__xludf.DUMMYFUNCTION("""COMPUTED_VALUE"""),"[內湖秘境] [周佳慧] 大租金")</f>
        <v>[內湖秘境] [周佳慧] 大租金</v>
      </c>
      <c r="C4388" t="str">
        <f>IFERROR(__xludf.DUMMYFUNCTION("""COMPUTED_VALUE"""),"成本 - 大租金")</f>
        <v>成本 - 大租金</v>
      </c>
      <c r="D4388" s="270">
        <f>IFERROR(__xludf.DUMMYFUNCTION("""COMPUTED_VALUE"""),-15000.0)</f>
        <v>-15000</v>
      </c>
      <c r="E4388" t="str">
        <f>IFERROR(__xludf.DUMMYFUNCTION("""COMPUTED_VALUE"""),"玉山帳戶")</f>
        <v>玉山帳戶</v>
      </c>
      <c r="G4388" t="str">
        <f>IFERROR(__xludf.DUMMYFUNCTION("""COMPUTED_VALUE"""),"內湖秘境")</f>
        <v>內湖秘境</v>
      </c>
      <c r="H4388" s="106" t="str">
        <f t="shared" si="1"/>
        <v>2025-02</v>
      </c>
      <c r="I4388" s="271" t="str">
        <f>IFERROR(__xludf.DUMMYFUNCTION("""COMPUTED_VALUE"""),"鯰魚大大")</f>
        <v>鯰魚大大</v>
      </c>
      <c r="J4388" t="str">
        <f>IFERROR(__xludf.DUMMYFUNCTION("IFS(
  AND(REGEXMATCH(E4388, ""台銀籌備帳戶|玉山帳戶""), REGEXMATCH(C4388, ""薪資"")), ""分潤支出"",
  AND(REGEXMATCH(E4388, ""Ben帳戶|Elsa帳戶|Ben代墊|Ariel代墊|中信銀行共用""), REGEXMATCH(F4388, ""Ben帳戶|Elsa帳戶|Ben代墊|Ariel代墊|中信銀行共用"")), ""內部轉帳(忽略)"",
  AND(E4388&lt;&gt;"""", F4388&lt;&gt;"""", N"&amp;"OT(REGEXMATCH(C4388, ""薪資""))), ""內部轉帳(忽略)"",
  REGEXMATCH(C4388, ""薪資""), ""薪資變動(不計入)"",
  REGEXMATCH(C4388, ""押金""), ""押金往來"",
  AND(E4388&lt;&gt;"""", F4388=""""), ""真實支出"",
  AND(E4388="""", F4388&lt;&gt;""""), ""真實收入"",
  TRUE, ""其他""
)"),"真實支出")</f>
        <v>真實支出</v>
      </c>
      <c r="K4388" s="270">
        <f t="shared" si="2"/>
        <v>-15000</v>
      </c>
      <c r="L4388">
        <f t="shared" si="3"/>
        <v>0</v>
      </c>
    </row>
    <row r="4389">
      <c r="A4389" s="107">
        <f>IFERROR(__xludf.DUMMYFUNCTION("""COMPUTED_VALUE"""),45691.0)</f>
        <v>45691</v>
      </c>
      <c r="B4389" t="str">
        <f>IFERROR(__xludf.DUMMYFUNCTION("""COMPUTED_VALUE"""),"[行天宮夏野良栗] E [張宏祺, 謝宗穎] 月租金")</f>
        <v>[行天宮夏野良栗] E [張宏祺, 謝宗穎] 月租金</v>
      </c>
      <c r="C4389" t="str">
        <f>IFERROR(__xludf.DUMMYFUNCTION("""COMPUTED_VALUE"""),"收入 - 租金")</f>
        <v>收入 - 租金</v>
      </c>
      <c r="D4389" s="270">
        <f>IFERROR(__xludf.DUMMYFUNCTION("""COMPUTED_VALUE"""),31800.0)</f>
        <v>31800</v>
      </c>
      <c r="F4389" t="str">
        <f>IFERROR(__xludf.DUMMYFUNCTION("""COMPUTED_VALUE"""),"玉山帳戶")</f>
        <v>玉山帳戶</v>
      </c>
      <c r="G4389" t="str">
        <f>IFERROR(__xludf.DUMMYFUNCTION("""COMPUTED_VALUE"""),"行天宮夏野良栗")</f>
        <v>行天宮夏野良栗</v>
      </c>
      <c r="H4389" s="106" t="str">
        <f t="shared" si="1"/>
        <v>2025-02</v>
      </c>
      <c r="I4389" s="271" t="str">
        <f>IFERROR(__xludf.DUMMYFUNCTION("""COMPUTED_VALUE"""),"鯰魚大大")</f>
        <v>鯰魚大大</v>
      </c>
      <c r="J4389" t="str">
        <f>IFERROR(__xludf.DUMMYFUNCTION("IFS(
  AND(REGEXMATCH(E4389, ""台銀籌備帳戶|玉山帳戶""), REGEXMATCH(C4389, ""薪資"")), ""分潤支出"",
  AND(REGEXMATCH(E4389, ""Ben帳戶|Elsa帳戶|Ben代墊|Ariel代墊|中信銀行共用""), REGEXMATCH(F4389, ""Ben帳戶|Elsa帳戶|Ben代墊|Ariel代墊|中信銀行共用"")), ""內部轉帳(忽略)"",
  AND(E4389&lt;&gt;"""", F4389&lt;&gt;"""", N"&amp;"OT(REGEXMATCH(C4389, ""薪資""))), ""內部轉帳(忽略)"",
  REGEXMATCH(C4389, ""薪資""), ""薪資變動(不計入)"",
  REGEXMATCH(C4389, ""押金""), ""押金往來"",
  AND(E4389&lt;&gt;"""", F4389=""""), ""真實支出"",
  AND(E4389="""", F4389&lt;&gt;""""), ""真實收入"",
  TRUE, ""其他""
)"),"真實收入")</f>
        <v>真實收入</v>
      </c>
      <c r="K4389" s="270">
        <f t="shared" si="2"/>
        <v>31800</v>
      </c>
      <c r="L4389">
        <f t="shared" si="3"/>
        <v>0</v>
      </c>
    </row>
    <row r="4390">
      <c r="A4390" s="107">
        <f>IFERROR(__xludf.DUMMYFUNCTION("""COMPUTED_VALUE"""),45691.0)</f>
        <v>45691</v>
      </c>
      <c r="B4390" t="str">
        <f>IFERROR(__xludf.DUMMYFUNCTION("""COMPUTED_VALUE"""),"[行天宮夏野良栗] C [黃伊妍] 月租金")</f>
        <v>[行天宮夏野良栗] C [黃伊妍] 月租金</v>
      </c>
      <c r="C4390" t="str">
        <f>IFERROR(__xludf.DUMMYFUNCTION("""COMPUTED_VALUE"""),"收入 - 租金")</f>
        <v>收入 - 租金</v>
      </c>
      <c r="D4390" s="270">
        <f>IFERROR(__xludf.DUMMYFUNCTION("""COMPUTED_VALUE"""),11000.0)</f>
        <v>11000</v>
      </c>
      <c r="F4390" t="str">
        <f>IFERROR(__xludf.DUMMYFUNCTION("""COMPUTED_VALUE"""),"玉山帳戶")</f>
        <v>玉山帳戶</v>
      </c>
      <c r="G4390" t="str">
        <f>IFERROR(__xludf.DUMMYFUNCTION("""COMPUTED_VALUE"""),"行天宮夏野良栗")</f>
        <v>行天宮夏野良栗</v>
      </c>
      <c r="H4390" s="106" t="str">
        <f t="shared" si="1"/>
        <v>2025-02</v>
      </c>
      <c r="I4390" s="271" t="str">
        <f>IFERROR(__xludf.DUMMYFUNCTION("""COMPUTED_VALUE"""),"鯰魚大大")</f>
        <v>鯰魚大大</v>
      </c>
      <c r="J4390" t="str">
        <f>IFERROR(__xludf.DUMMYFUNCTION("IFS(
  AND(REGEXMATCH(E4390, ""台銀籌備帳戶|玉山帳戶""), REGEXMATCH(C4390, ""薪資"")), ""分潤支出"",
  AND(REGEXMATCH(E4390, ""Ben帳戶|Elsa帳戶|Ben代墊|Ariel代墊|中信銀行共用""), REGEXMATCH(F4390, ""Ben帳戶|Elsa帳戶|Ben代墊|Ariel代墊|中信銀行共用"")), ""內部轉帳(忽略)"",
  AND(E4390&lt;&gt;"""", F4390&lt;&gt;"""", N"&amp;"OT(REGEXMATCH(C4390, ""薪資""))), ""內部轉帳(忽略)"",
  REGEXMATCH(C4390, ""薪資""), ""薪資變動(不計入)"",
  REGEXMATCH(C4390, ""押金""), ""押金往來"",
  AND(E4390&lt;&gt;"""", F4390=""""), ""真實支出"",
  AND(E4390="""", F4390&lt;&gt;""""), ""真實收入"",
  TRUE, ""其他""
)"),"真實收入")</f>
        <v>真實收入</v>
      </c>
      <c r="K4390" s="270">
        <f t="shared" si="2"/>
        <v>11000</v>
      </c>
      <c r="L4390">
        <f t="shared" si="3"/>
        <v>0</v>
      </c>
    </row>
    <row r="4391">
      <c r="A4391" s="107">
        <f>IFERROR(__xludf.DUMMYFUNCTION("""COMPUTED_VALUE"""),45750.0)</f>
        <v>45750</v>
      </c>
      <c r="B4391" t="str">
        <f>IFERROR(__xludf.DUMMYFUNCTION("""COMPUTED_VALUE"""),"垃可")</f>
        <v>垃可</v>
      </c>
      <c r="C4391" t="str">
        <f>IFERROR(__xludf.DUMMYFUNCTION("""COMPUTED_VALUE"""),"成本 - 固定開銷(網路代收清潔)")</f>
        <v>成本 - 固定開銷(網路代收清潔)</v>
      </c>
      <c r="D4391" s="270">
        <f>IFERROR(__xludf.DUMMYFUNCTION("""COMPUTED_VALUE"""),-768.0)</f>
        <v>-768</v>
      </c>
      <c r="E4391" t="str">
        <f>IFERROR(__xludf.DUMMYFUNCTION("""COMPUTED_VALUE"""),"Ben代墊")</f>
        <v>Ben代墊</v>
      </c>
      <c r="H4391" s="106" t="str">
        <f t="shared" si="1"/>
        <v>2025-04</v>
      </c>
      <c r="I4391" s="271" t="str">
        <f>IFERROR(__xludf.DUMMYFUNCTION("""COMPUTED_VALUE"""),"鯰魚大大")</f>
        <v>鯰魚大大</v>
      </c>
      <c r="J4391" t="str">
        <f>IFERROR(__xludf.DUMMYFUNCTION("IFS(
  AND(REGEXMATCH(E4391, ""台銀籌備帳戶|玉山帳戶""), REGEXMATCH(C4391, ""薪資"")), ""分潤支出"",
  AND(REGEXMATCH(E4391, ""Ben帳戶|Elsa帳戶|Ben代墊|Ariel代墊|中信銀行共用""), REGEXMATCH(F4391, ""Ben帳戶|Elsa帳戶|Ben代墊|Ariel代墊|中信銀行共用"")), ""內部轉帳(忽略)"",
  AND(E4391&lt;&gt;"""", F4391&lt;&gt;"""", N"&amp;"OT(REGEXMATCH(C4391, ""薪資""))), ""內部轉帳(忽略)"",
  REGEXMATCH(C4391, ""薪資""), ""薪資變動(不計入)"",
  REGEXMATCH(C4391, ""押金""), ""押金往來"",
  AND(E4391&lt;&gt;"""", F4391=""""), ""真實支出"",
  AND(E4391="""", F4391&lt;&gt;""""), ""真實收入"",
  TRUE, ""其他""
)"),"真實支出")</f>
        <v>真實支出</v>
      </c>
      <c r="K4391" s="270">
        <f t="shared" si="2"/>
        <v>-768</v>
      </c>
      <c r="L4391">
        <f t="shared" si="3"/>
        <v>0</v>
      </c>
    </row>
    <row r="4392">
      <c r="A4392" s="107">
        <f>IFERROR(__xludf.DUMMYFUNCTION("""COMPUTED_VALUE"""),45705.0)</f>
        <v>45705</v>
      </c>
      <c r="B4392" t="str">
        <f>IFERROR(__xludf.DUMMYFUNCTION("""COMPUTED_VALUE"""),"費用 - 匯費 對方行:013 後五碼:78744 (行號: 2)")</f>
        <v>費用 - 匯費 對方行:013 後五碼:78744 (行號: 2)</v>
      </c>
      <c r="C4392" t="str">
        <f>IFERROR(__xludf.DUMMYFUNCTION("""COMPUTED_VALUE"""),"費用 - 匯費")</f>
        <v>費用 - 匯費</v>
      </c>
      <c r="D4392" s="270">
        <f>IFERROR(__xludf.DUMMYFUNCTION("""COMPUTED_VALUE"""),-15.0)</f>
        <v>-15</v>
      </c>
      <c r="E4392" t="str">
        <f>IFERROR(__xludf.DUMMYFUNCTION("""COMPUTED_VALUE"""),"玉山帳戶")</f>
        <v>玉山帳戶</v>
      </c>
      <c r="H4392" s="106" t="str">
        <f t="shared" si="1"/>
        <v>2025-02</v>
      </c>
      <c r="I4392" s="271" t="str">
        <f>IFERROR(__xludf.DUMMYFUNCTION("""COMPUTED_VALUE"""),"鯰魚大大")</f>
        <v>鯰魚大大</v>
      </c>
      <c r="J4392" t="str">
        <f>IFERROR(__xludf.DUMMYFUNCTION("IFS(
  AND(REGEXMATCH(E4392, ""台銀籌備帳戶|玉山帳戶""), REGEXMATCH(C4392, ""薪資"")), ""分潤支出"",
  AND(REGEXMATCH(E4392, ""Ben帳戶|Elsa帳戶|Ben代墊|Ariel代墊|中信銀行共用""), REGEXMATCH(F4392, ""Ben帳戶|Elsa帳戶|Ben代墊|Ariel代墊|中信銀行共用"")), ""內部轉帳(忽略)"",
  AND(E4392&lt;&gt;"""", F4392&lt;&gt;"""", N"&amp;"OT(REGEXMATCH(C4392, ""薪資""))), ""內部轉帳(忽略)"",
  REGEXMATCH(C4392, ""薪資""), ""薪資變動(不計入)"",
  REGEXMATCH(C4392, ""押金""), ""押金往來"",
  AND(E4392&lt;&gt;"""", F4392=""""), ""真實支出"",
  AND(E4392="""", F4392&lt;&gt;""""), ""真實收入"",
  TRUE, ""其他""
)"),"真實支出")</f>
        <v>真實支出</v>
      </c>
      <c r="K4392" s="270">
        <f t="shared" si="2"/>
        <v>-15</v>
      </c>
      <c r="L4392">
        <f t="shared" si="3"/>
        <v>0</v>
      </c>
    </row>
    <row r="4393">
      <c r="A4393" s="107">
        <f>IFERROR(__xludf.DUMMYFUNCTION("""COMPUTED_VALUE"""),45705.0)</f>
        <v>45705</v>
      </c>
      <c r="B4393" t="str">
        <f>IFERROR(__xludf.DUMMYFUNCTION("""COMPUTED_VALUE"""),"[士林和豐] [楊政偉] 大租金")</f>
        <v>[士林和豐] [楊政偉] 大租金</v>
      </c>
      <c r="C4393" t="str">
        <f>IFERROR(__xludf.DUMMYFUNCTION("""COMPUTED_VALUE"""),"成本 - 大租金")</f>
        <v>成本 - 大租金</v>
      </c>
      <c r="D4393" s="270">
        <f>IFERROR(__xludf.DUMMYFUNCTION("""COMPUTED_VALUE"""),-14400.0)</f>
        <v>-14400</v>
      </c>
      <c r="E4393" t="str">
        <f>IFERROR(__xludf.DUMMYFUNCTION("""COMPUTED_VALUE"""),"玉山帳戶")</f>
        <v>玉山帳戶</v>
      </c>
      <c r="G4393" t="str">
        <f>IFERROR(__xludf.DUMMYFUNCTION("""COMPUTED_VALUE"""),"士林和豐")</f>
        <v>士林和豐</v>
      </c>
      <c r="H4393" s="106" t="str">
        <f t="shared" si="1"/>
        <v>2025-02</v>
      </c>
      <c r="I4393" s="271" t="str">
        <f>IFERROR(__xludf.DUMMYFUNCTION("""COMPUTED_VALUE"""),"鯰魚大大")</f>
        <v>鯰魚大大</v>
      </c>
      <c r="J4393" t="str">
        <f>IFERROR(__xludf.DUMMYFUNCTION("IFS(
  AND(REGEXMATCH(E4393, ""台銀籌備帳戶|玉山帳戶""), REGEXMATCH(C4393, ""薪資"")), ""分潤支出"",
  AND(REGEXMATCH(E4393, ""Ben帳戶|Elsa帳戶|Ben代墊|Ariel代墊|中信銀行共用""), REGEXMATCH(F4393, ""Ben帳戶|Elsa帳戶|Ben代墊|Ariel代墊|中信銀行共用"")), ""內部轉帳(忽略)"",
  AND(E4393&lt;&gt;"""", F4393&lt;&gt;"""", N"&amp;"OT(REGEXMATCH(C4393, ""薪資""))), ""內部轉帳(忽略)"",
  REGEXMATCH(C4393, ""薪資""), ""薪資變動(不計入)"",
  REGEXMATCH(C4393, ""押金""), ""押金往來"",
  AND(E4393&lt;&gt;"""", F4393=""""), ""真實支出"",
  AND(E4393="""", F4393&lt;&gt;""""), ""真實收入"",
  TRUE, ""其他""
)"),"真實支出")</f>
        <v>真實支出</v>
      </c>
      <c r="K4393" s="270">
        <f t="shared" si="2"/>
        <v>-14400</v>
      </c>
      <c r="L4393">
        <f t="shared" si="3"/>
        <v>0</v>
      </c>
    </row>
    <row r="4394">
      <c r="A4394" s="107">
        <f>IFERROR(__xludf.DUMMYFUNCTION("""COMPUTED_VALUE"""),45705.0)</f>
        <v>45705</v>
      </c>
      <c r="B4394" t="str">
        <f>IFERROR(__xludf.DUMMYFUNCTION("""COMPUTED_VALUE"""),"費用 - 匯費 對方行:012 後五碼:68447 (行號: 3)")</f>
        <v>費用 - 匯費 對方行:012 後五碼:68447 (行號: 3)</v>
      </c>
      <c r="C4394" t="str">
        <f>IFERROR(__xludf.DUMMYFUNCTION("""COMPUTED_VALUE"""),"費用 - 匯費")</f>
        <v>費用 - 匯費</v>
      </c>
      <c r="D4394" s="270">
        <f>IFERROR(__xludf.DUMMYFUNCTION("""COMPUTED_VALUE"""),-15.0)</f>
        <v>-15</v>
      </c>
      <c r="E4394" t="str">
        <f>IFERROR(__xludf.DUMMYFUNCTION("""COMPUTED_VALUE"""),"玉山帳戶")</f>
        <v>玉山帳戶</v>
      </c>
      <c r="H4394" s="106" t="str">
        <f t="shared" si="1"/>
        <v>2025-02</v>
      </c>
      <c r="I4394" s="271" t="str">
        <f>IFERROR(__xludf.DUMMYFUNCTION("""COMPUTED_VALUE"""),"鯰魚大大")</f>
        <v>鯰魚大大</v>
      </c>
      <c r="J4394" t="str">
        <f>IFERROR(__xludf.DUMMYFUNCTION("IFS(
  AND(REGEXMATCH(E4394, ""台銀籌備帳戶|玉山帳戶""), REGEXMATCH(C4394, ""薪資"")), ""分潤支出"",
  AND(REGEXMATCH(E4394, ""Ben帳戶|Elsa帳戶|Ben代墊|Ariel代墊|中信銀行共用""), REGEXMATCH(F4394, ""Ben帳戶|Elsa帳戶|Ben代墊|Ariel代墊|中信銀行共用"")), ""內部轉帳(忽略)"",
  AND(E4394&lt;&gt;"""", F4394&lt;&gt;"""", N"&amp;"OT(REGEXMATCH(C4394, ""薪資""))), ""內部轉帳(忽略)"",
  REGEXMATCH(C4394, ""薪資""), ""薪資變動(不計入)"",
  REGEXMATCH(C4394, ""押金""), ""押金往來"",
  AND(E4394&lt;&gt;"""", F4394=""""), ""真實支出"",
  AND(E4394="""", F4394&lt;&gt;""""), ""真實收入"",
  TRUE, ""其他""
)"),"真實支出")</f>
        <v>真實支出</v>
      </c>
      <c r="K4394" s="270">
        <f t="shared" si="2"/>
        <v>-15</v>
      </c>
      <c r="L4394">
        <f t="shared" si="3"/>
        <v>0</v>
      </c>
    </row>
    <row r="4395">
      <c r="A4395" s="107">
        <f>IFERROR(__xludf.DUMMYFUNCTION("""COMPUTED_VALUE"""),45705.0)</f>
        <v>45705</v>
      </c>
      <c r="B4395" t="str">
        <f>IFERROR(__xludf.DUMMYFUNCTION("""COMPUTED_VALUE"""),"[行天宮夏野良栗] [沈蕙萱] 大租金")</f>
        <v>[行天宮夏野良栗] [沈蕙萱] 大租金</v>
      </c>
      <c r="C4395" t="str">
        <f>IFERROR(__xludf.DUMMYFUNCTION("""COMPUTED_VALUE"""),"成本 - 大租金")</f>
        <v>成本 - 大租金</v>
      </c>
      <c r="D4395" s="270">
        <f>IFERROR(__xludf.DUMMYFUNCTION("""COMPUTED_VALUE"""),-19900.0)</f>
        <v>-19900</v>
      </c>
      <c r="E4395" t="str">
        <f>IFERROR(__xludf.DUMMYFUNCTION("""COMPUTED_VALUE"""),"玉山帳戶")</f>
        <v>玉山帳戶</v>
      </c>
      <c r="G4395" t="str">
        <f>IFERROR(__xludf.DUMMYFUNCTION("""COMPUTED_VALUE"""),"行天宮夏野良栗")</f>
        <v>行天宮夏野良栗</v>
      </c>
      <c r="H4395" s="106" t="str">
        <f t="shared" si="1"/>
        <v>2025-02</v>
      </c>
      <c r="I4395" s="271" t="str">
        <f>IFERROR(__xludf.DUMMYFUNCTION("""COMPUTED_VALUE"""),"鯰魚大大")</f>
        <v>鯰魚大大</v>
      </c>
      <c r="J4395" t="str">
        <f>IFERROR(__xludf.DUMMYFUNCTION("IFS(
  AND(REGEXMATCH(E4395, ""台銀籌備帳戶|玉山帳戶""), REGEXMATCH(C4395, ""薪資"")), ""分潤支出"",
  AND(REGEXMATCH(E4395, ""Ben帳戶|Elsa帳戶|Ben代墊|Ariel代墊|中信銀行共用""), REGEXMATCH(F4395, ""Ben帳戶|Elsa帳戶|Ben代墊|Ariel代墊|中信銀行共用"")), ""內部轉帳(忽略)"",
  AND(E4395&lt;&gt;"""", F4395&lt;&gt;"""", N"&amp;"OT(REGEXMATCH(C4395, ""薪資""))), ""內部轉帳(忽略)"",
  REGEXMATCH(C4395, ""薪資""), ""薪資變動(不計入)"",
  REGEXMATCH(C4395, ""押金""), ""押金往來"",
  AND(E4395&lt;&gt;"""", F4395=""""), ""真實支出"",
  AND(E4395="""", F4395&lt;&gt;""""), ""真實收入"",
  TRUE, ""其他""
)"),"真實支出")</f>
        <v>真實支出</v>
      </c>
      <c r="K4395" s="270">
        <f t="shared" si="2"/>
        <v>-19900</v>
      </c>
      <c r="L4395">
        <f t="shared" si="3"/>
        <v>0</v>
      </c>
    </row>
    <row r="4396">
      <c r="A4396" s="107">
        <f>IFERROR(__xludf.DUMMYFUNCTION("""COMPUTED_VALUE"""),45713.0)</f>
        <v>45713</v>
      </c>
      <c r="B4396" t="str">
        <f>IFERROR(__xludf.DUMMYFUNCTION("""COMPUTED_VALUE"""),"[士林和豐] A [許瑜芳, 黃俞安] 月租金 (行號: 4)")</f>
        <v>[士林和豐] A [許瑜芳, 黃俞安] 月租金 (行號: 4)</v>
      </c>
      <c r="C4396" t="str">
        <f>IFERROR(__xludf.DUMMYFUNCTION("""COMPUTED_VALUE"""),"收入 - 租金")</f>
        <v>收入 - 租金</v>
      </c>
      <c r="D4396" s="270">
        <f>IFERROR(__xludf.DUMMYFUNCTION("""COMPUTED_VALUE"""),19500.0)</f>
        <v>19500</v>
      </c>
      <c r="F4396" t="str">
        <f>IFERROR(__xludf.DUMMYFUNCTION("""COMPUTED_VALUE"""),"玉山帳戶")</f>
        <v>玉山帳戶</v>
      </c>
      <c r="G4396" t="str">
        <f>IFERROR(__xludf.DUMMYFUNCTION("""COMPUTED_VALUE"""),"士林和豐")</f>
        <v>士林和豐</v>
      </c>
      <c r="H4396" s="106" t="str">
        <f t="shared" si="1"/>
        <v>2025-02</v>
      </c>
      <c r="I4396" s="271" t="str">
        <f>IFERROR(__xludf.DUMMYFUNCTION("""COMPUTED_VALUE"""),"鯰魚大大")</f>
        <v>鯰魚大大</v>
      </c>
      <c r="J4396" t="str">
        <f>IFERROR(__xludf.DUMMYFUNCTION("IFS(
  AND(REGEXMATCH(E4396, ""台銀籌備帳戶|玉山帳戶""), REGEXMATCH(C4396, ""薪資"")), ""分潤支出"",
  AND(REGEXMATCH(E4396, ""Ben帳戶|Elsa帳戶|Ben代墊|Ariel代墊|中信銀行共用""), REGEXMATCH(F4396, ""Ben帳戶|Elsa帳戶|Ben代墊|Ariel代墊|中信銀行共用"")), ""內部轉帳(忽略)"",
  AND(E4396&lt;&gt;"""", F4396&lt;&gt;"""", N"&amp;"OT(REGEXMATCH(C4396, ""薪資""))), ""內部轉帳(忽略)"",
  REGEXMATCH(C4396, ""薪資""), ""薪資變動(不計入)"",
  REGEXMATCH(C4396, ""押金""), ""押金往來"",
  AND(E4396&lt;&gt;"""", F4396=""""), ""真實支出"",
  AND(E4396="""", F4396&lt;&gt;""""), ""真實收入"",
  TRUE, ""其他""
)"),"真實收入")</f>
        <v>真實收入</v>
      </c>
      <c r="K4396" s="270">
        <f t="shared" si="2"/>
        <v>19500</v>
      </c>
      <c r="L4396">
        <f t="shared" si="3"/>
        <v>0</v>
      </c>
    </row>
    <row r="4397">
      <c r="A4397" s="107">
        <f>IFERROR(__xludf.DUMMYFUNCTION("""COMPUTED_VALUE"""),45719.0)</f>
        <v>45719</v>
      </c>
      <c r="B4397" t="str">
        <f>IFERROR(__xludf.DUMMYFUNCTION("""COMPUTED_VALUE"""),"[行天宮夏野良栗] B [楊珺媁] 月租金 (行號: 5)")</f>
        <v>[行天宮夏野良栗] B [楊珺媁] 月租金 (行號: 5)</v>
      </c>
      <c r="C4397" t="str">
        <f>IFERROR(__xludf.DUMMYFUNCTION("""COMPUTED_VALUE"""),"收入 - 租金")</f>
        <v>收入 - 租金</v>
      </c>
      <c r="D4397" s="270">
        <f>IFERROR(__xludf.DUMMYFUNCTION("""COMPUTED_VALUE"""),14000.0)</f>
        <v>14000</v>
      </c>
      <c r="F4397" t="str">
        <f>IFERROR(__xludf.DUMMYFUNCTION("""COMPUTED_VALUE"""),"玉山帳戶")</f>
        <v>玉山帳戶</v>
      </c>
      <c r="G4397" t="str">
        <f>IFERROR(__xludf.DUMMYFUNCTION("""COMPUTED_VALUE"""),"行天宮夏野良栗")</f>
        <v>行天宮夏野良栗</v>
      </c>
      <c r="H4397" s="106" t="str">
        <f t="shared" si="1"/>
        <v>2025-03</v>
      </c>
      <c r="I4397" s="271" t="str">
        <f>IFERROR(__xludf.DUMMYFUNCTION("""COMPUTED_VALUE"""),"鯰魚大大")</f>
        <v>鯰魚大大</v>
      </c>
      <c r="J4397" t="str">
        <f>IFERROR(__xludf.DUMMYFUNCTION("IFS(
  AND(REGEXMATCH(E4397, ""台銀籌備帳戶|玉山帳戶""), REGEXMATCH(C4397, ""薪資"")), ""分潤支出"",
  AND(REGEXMATCH(E4397, ""Ben帳戶|Elsa帳戶|Ben代墊|Ariel代墊|中信銀行共用""), REGEXMATCH(F4397, ""Ben帳戶|Elsa帳戶|Ben代墊|Ariel代墊|中信銀行共用"")), ""內部轉帳(忽略)"",
  AND(E4397&lt;&gt;"""", F4397&lt;&gt;"""", N"&amp;"OT(REGEXMATCH(C4397, ""薪資""))), ""內部轉帳(忽略)"",
  REGEXMATCH(C4397, ""薪資""), ""薪資變動(不計入)"",
  REGEXMATCH(C4397, ""押金""), ""押金往來"",
  AND(E4397&lt;&gt;"""", F4397=""""), ""真實支出"",
  AND(E4397="""", F4397&lt;&gt;""""), ""真實收入"",
  TRUE, ""其他""
)"),"真實收入")</f>
        <v>真實收入</v>
      </c>
      <c r="K4397" s="270">
        <f t="shared" si="2"/>
        <v>14000</v>
      </c>
      <c r="L4397">
        <f t="shared" si="3"/>
        <v>0</v>
      </c>
    </row>
    <row r="4398">
      <c r="A4398" s="107">
        <f>IFERROR(__xludf.DUMMYFUNCTION("""COMPUTED_VALUE"""),45719.0)</f>
        <v>45719</v>
      </c>
      <c r="B4398" t="str">
        <f>IFERROR(__xludf.DUMMYFUNCTION("""COMPUTED_VALUE"""),"[內湖秘境] G [徐若洹] 月租金 (行號: 6)")</f>
        <v>[內湖秘境] G [徐若洹] 月租金 (行號: 6)</v>
      </c>
      <c r="C4398" t="str">
        <f>IFERROR(__xludf.DUMMYFUNCTION("""COMPUTED_VALUE"""),"收入 - 租金")</f>
        <v>收入 - 租金</v>
      </c>
      <c r="D4398" s="270">
        <f>IFERROR(__xludf.DUMMYFUNCTION("""COMPUTED_VALUE"""),12100.0)</f>
        <v>12100</v>
      </c>
      <c r="F4398" t="str">
        <f>IFERROR(__xludf.DUMMYFUNCTION("""COMPUTED_VALUE"""),"玉山帳戶")</f>
        <v>玉山帳戶</v>
      </c>
      <c r="G4398" t="str">
        <f>IFERROR(__xludf.DUMMYFUNCTION("""COMPUTED_VALUE"""),"內湖秘境")</f>
        <v>內湖秘境</v>
      </c>
      <c r="H4398" s="106" t="str">
        <f t="shared" si="1"/>
        <v>2025-03</v>
      </c>
      <c r="I4398" s="271" t="str">
        <f>IFERROR(__xludf.DUMMYFUNCTION("""COMPUTED_VALUE"""),"鯰魚大大")</f>
        <v>鯰魚大大</v>
      </c>
      <c r="J4398" t="str">
        <f>IFERROR(__xludf.DUMMYFUNCTION("IFS(
  AND(REGEXMATCH(E4398, ""台銀籌備帳戶|玉山帳戶""), REGEXMATCH(C4398, ""薪資"")), ""分潤支出"",
  AND(REGEXMATCH(E4398, ""Ben帳戶|Elsa帳戶|Ben代墊|Ariel代墊|中信銀行共用""), REGEXMATCH(F4398, ""Ben帳戶|Elsa帳戶|Ben代墊|Ariel代墊|中信銀行共用"")), ""內部轉帳(忽略)"",
  AND(E4398&lt;&gt;"""", F4398&lt;&gt;"""", N"&amp;"OT(REGEXMATCH(C4398, ""薪資""))), ""內部轉帳(忽略)"",
  REGEXMATCH(C4398, ""薪資""), ""薪資變動(不計入)"",
  REGEXMATCH(C4398, ""押金""), ""押金往來"",
  AND(E4398&lt;&gt;"""", F4398=""""), ""真實支出"",
  AND(E4398="""", F4398&lt;&gt;""""), ""真實收入"",
  TRUE, ""其他""
)"),"真實收入")</f>
        <v>真實收入</v>
      </c>
      <c r="K4398" s="270">
        <f t="shared" si="2"/>
        <v>12100</v>
      </c>
      <c r="L4398">
        <f t="shared" si="3"/>
        <v>0</v>
      </c>
    </row>
    <row r="4399">
      <c r="A4399" s="107">
        <f>IFERROR(__xludf.DUMMYFUNCTION("""COMPUTED_VALUE"""),45719.0)</f>
        <v>45719</v>
      </c>
      <c r="B4399" t="str">
        <f>IFERROR(__xludf.DUMMYFUNCTION("""COMPUTED_VALUE"""),"[行天宮夏野良栗] D [江仲元] 月租金 (行號: 7)")</f>
        <v>[行天宮夏野良栗] D [江仲元] 月租金 (行號: 7)</v>
      </c>
      <c r="C4399" t="str">
        <f>IFERROR(__xludf.DUMMYFUNCTION("""COMPUTED_VALUE"""),"收入 - 租金")</f>
        <v>收入 - 租金</v>
      </c>
      <c r="D4399" s="270">
        <f>IFERROR(__xludf.DUMMYFUNCTION("""COMPUTED_VALUE"""),11200.0)</f>
        <v>11200</v>
      </c>
      <c r="F4399" t="str">
        <f>IFERROR(__xludf.DUMMYFUNCTION("""COMPUTED_VALUE"""),"玉山帳戶")</f>
        <v>玉山帳戶</v>
      </c>
      <c r="G4399" t="str">
        <f>IFERROR(__xludf.DUMMYFUNCTION("""COMPUTED_VALUE"""),"行天宮夏野良栗")</f>
        <v>行天宮夏野良栗</v>
      </c>
      <c r="H4399" s="106" t="str">
        <f t="shared" si="1"/>
        <v>2025-03</v>
      </c>
      <c r="I4399" s="271" t="str">
        <f>IFERROR(__xludf.DUMMYFUNCTION("""COMPUTED_VALUE"""),"鯰魚大大")</f>
        <v>鯰魚大大</v>
      </c>
      <c r="J4399" t="str">
        <f>IFERROR(__xludf.DUMMYFUNCTION("IFS(
  AND(REGEXMATCH(E4399, ""台銀籌備帳戶|玉山帳戶""), REGEXMATCH(C4399, ""薪資"")), ""分潤支出"",
  AND(REGEXMATCH(E4399, ""Ben帳戶|Elsa帳戶|Ben代墊|Ariel代墊|中信銀行共用""), REGEXMATCH(F4399, ""Ben帳戶|Elsa帳戶|Ben代墊|Ariel代墊|中信銀行共用"")), ""內部轉帳(忽略)"",
  AND(E4399&lt;&gt;"""", F4399&lt;&gt;"""", N"&amp;"OT(REGEXMATCH(C4399, ""薪資""))), ""內部轉帳(忽略)"",
  REGEXMATCH(C4399, ""薪資""), ""薪資變動(不計入)"",
  REGEXMATCH(C4399, ""押金""), ""押金往來"",
  AND(E4399&lt;&gt;"""", F4399=""""), ""真實支出"",
  AND(E4399="""", F4399&lt;&gt;""""), ""真實收入"",
  TRUE, ""其他""
)"),"真實收入")</f>
        <v>真實收入</v>
      </c>
      <c r="K4399" s="270">
        <f t="shared" si="2"/>
        <v>11200</v>
      </c>
      <c r="L4399">
        <f t="shared" si="3"/>
        <v>0</v>
      </c>
    </row>
    <row r="4400">
      <c r="A4400" s="107">
        <f>IFERROR(__xludf.DUMMYFUNCTION("""COMPUTED_VALUE"""),45719.0)</f>
        <v>45719</v>
      </c>
      <c r="B4400" t="str">
        <f>IFERROR(__xludf.DUMMYFUNCTION("""COMPUTED_VALUE"""),"[士林和豐] C [李宛宸] 月租金 (行號: 8)")</f>
        <v>[士林和豐] C [李宛宸] 月租金 (行號: 8)</v>
      </c>
      <c r="C4400" t="str">
        <f>IFERROR(__xludf.DUMMYFUNCTION("""COMPUTED_VALUE"""),"收入 - 租金")</f>
        <v>收入 - 租金</v>
      </c>
      <c r="D4400" s="270">
        <f>IFERROR(__xludf.DUMMYFUNCTION("""COMPUTED_VALUE"""),13100.0)</f>
        <v>13100</v>
      </c>
      <c r="F4400" t="str">
        <f>IFERROR(__xludf.DUMMYFUNCTION("""COMPUTED_VALUE"""),"玉山帳戶")</f>
        <v>玉山帳戶</v>
      </c>
      <c r="G4400" t="str">
        <f>IFERROR(__xludf.DUMMYFUNCTION("""COMPUTED_VALUE"""),"士林和豐")</f>
        <v>士林和豐</v>
      </c>
      <c r="H4400" s="106" t="str">
        <f t="shared" si="1"/>
        <v>2025-03</v>
      </c>
      <c r="I4400" s="271" t="str">
        <f>IFERROR(__xludf.DUMMYFUNCTION("""COMPUTED_VALUE"""),"鯰魚大大")</f>
        <v>鯰魚大大</v>
      </c>
      <c r="J4400" t="str">
        <f>IFERROR(__xludf.DUMMYFUNCTION("IFS(
  AND(REGEXMATCH(E4400, ""台銀籌備帳戶|玉山帳戶""), REGEXMATCH(C4400, ""薪資"")), ""分潤支出"",
  AND(REGEXMATCH(E4400, ""Ben帳戶|Elsa帳戶|Ben代墊|Ariel代墊|中信銀行共用""), REGEXMATCH(F4400, ""Ben帳戶|Elsa帳戶|Ben代墊|Ariel代墊|中信銀行共用"")), ""內部轉帳(忽略)"",
  AND(E4400&lt;&gt;"""", F4400&lt;&gt;"""", N"&amp;"OT(REGEXMATCH(C4400, ""薪資""))), ""內部轉帳(忽略)"",
  REGEXMATCH(C4400, ""薪資""), ""薪資變動(不計入)"",
  REGEXMATCH(C4400, ""押金""), ""押金往來"",
  AND(E4400&lt;&gt;"""", F4400=""""), ""真實支出"",
  AND(E4400="""", F4400&lt;&gt;""""), ""真實收入"",
  TRUE, ""其他""
)"),"真實收入")</f>
        <v>真實收入</v>
      </c>
      <c r="K4400" s="270">
        <f t="shared" si="2"/>
        <v>13100</v>
      </c>
      <c r="L4400">
        <f t="shared" si="3"/>
        <v>0</v>
      </c>
    </row>
    <row r="4401">
      <c r="A4401" s="107">
        <f>IFERROR(__xludf.DUMMYFUNCTION("""COMPUTED_VALUE"""),45719.0)</f>
        <v>45719</v>
      </c>
      <c r="B4401" t="str">
        <f>IFERROR(__xludf.DUMMYFUNCTION("""COMPUTED_VALUE"""),"[內湖秘境] A [陳玟涵] 月租金 (行號: 9)")</f>
        <v>[內湖秘境] A [陳玟涵] 月租金 (行號: 9)</v>
      </c>
      <c r="C4401" t="str">
        <f>IFERROR(__xludf.DUMMYFUNCTION("""COMPUTED_VALUE"""),"收入 - 租金")</f>
        <v>收入 - 租金</v>
      </c>
      <c r="D4401" s="270">
        <f>IFERROR(__xludf.DUMMYFUNCTION("""COMPUTED_VALUE"""),11700.0)</f>
        <v>11700</v>
      </c>
      <c r="F4401" t="str">
        <f>IFERROR(__xludf.DUMMYFUNCTION("""COMPUTED_VALUE"""),"玉山帳戶")</f>
        <v>玉山帳戶</v>
      </c>
      <c r="G4401" t="str">
        <f>IFERROR(__xludf.DUMMYFUNCTION("""COMPUTED_VALUE"""),"內湖秘境")</f>
        <v>內湖秘境</v>
      </c>
      <c r="H4401" s="106" t="str">
        <f t="shared" si="1"/>
        <v>2025-03</v>
      </c>
      <c r="I4401" s="271" t="str">
        <f>IFERROR(__xludf.DUMMYFUNCTION("""COMPUTED_VALUE"""),"鯰魚大大")</f>
        <v>鯰魚大大</v>
      </c>
      <c r="J4401" t="str">
        <f>IFERROR(__xludf.DUMMYFUNCTION("IFS(
  AND(REGEXMATCH(E4401, ""台銀籌備帳戶|玉山帳戶""), REGEXMATCH(C4401, ""薪資"")), ""分潤支出"",
  AND(REGEXMATCH(E4401, ""Ben帳戶|Elsa帳戶|Ben代墊|Ariel代墊|中信銀行共用""), REGEXMATCH(F4401, ""Ben帳戶|Elsa帳戶|Ben代墊|Ariel代墊|中信銀行共用"")), ""內部轉帳(忽略)"",
  AND(E4401&lt;&gt;"""", F4401&lt;&gt;"""", N"&amp;"OT(REGEXMATCH(C4401, ""薪資""))), ""內部轉帳(忽略)"",
  REGEXMATCH(C4401, ""薪資""), ""薪資變動(不計入)"",
  REGEXMATCH(C4401, ""押金""), ""押金往來"",
  AND(E4401&lt;&gt;"""", F4401=""""), ""真實支出"",
  AND(E4401="""", F4401&lt;&gt;""""), ""真實收入"",
  TRUE, ""其他""
)"),"真實收入")</f>
        <v>真實收入</v>
      </c>
      <c r="K4401" s="270">
        <f t="shared" si="2"/>
        <v>11700</v>
      </c>
      <c r="L4401">
        <f t="shared" si="3"/>
        <v>0</v>
      </c>
    </row>
    <row r="4402">
      <c r="A4402" s="107">
        <f>IFERROR(__xludf.DUMMYFUNCTION("""COMPUTED_VALUE"""),45719.0)</f>
        <v>45719</v>
      </c>
      <c r="B4402" t="str">
        <f>IFERROR(__xludf.DUMMYFUNCTION("""COMPUTED_VALUE"""),"[內湖秘境] B [劉桀綸] 月租金 (行號: 10)")</f>
        <v>[內湖秘境] B [劉桀綸] 月租金 (行號: 10)</v>
      </c>
      <c r="C4402" t="str">
        <f>IFERROR(__xludf.DUMMYFUNCTION("""COMPUTED_VALUE"""),"收入 - 租金")</f>
        <v>收入 - 租金</v>
      </c>
      <c r="D4402" s="270">
        <f>IFERROR(__xludf.DUMMYFUNCTION("""COMPUTED_VALUE"""),12300.0)</f>
        <v>12300</v>
      </c>
      <c r="F4402" t="str">
        <f>IFERROR(__xludf.DUMMYFUNCTION("""COMPUTED_VALUE"""),"玉山帳戶")</f>
        <v>玉山帳戶</v>
      </c>
      <c r="G4402" t="str">
        <f>IFERROR(__xludf.DUMMYFUNCTION("""COMPUTED_VALUE"""),"內湖秘境")</f>
        <v>內湖秘境</v>
      </c>
      <c r="H4402" s="106" t="str">
        <f t="shared" si="1"/>
        <v>2025-03</v>
      </c>
      <c r="I4402" s="271" t="str">
        <f>IFERROR(__xludf.DUMMYFUNCTION("""COMPUTED_VALUE"""),"鯰魚大大")</f>
        <v>鯰魚大大</v>
      </c>
      <c r="J4402" t="str">
        <f>IFERROR(__xludf.DUMMYFUNCTION("IFS(
  AND(REGEXMATCH(E4402, ""台銀籌備帳戶|玉山帳戶""), REGEXMATCH(C4402, ""薪資"")), ""分潤支出"",
  AND(REGEXMATCH(E4402, ""Ben帳戶|Elsa帳戶|Ben代墊|Ariel代墊|中信銀行共用""), REGEXMATCH(F4402, ""Ben帳戶|Elsa帳戶|Ben代墊|Ariel代墊|中信銀行共用"")), ""內部轉帳(忽略)"",
  AND(E4402&lt;&gt;"""", F4402&lt;&gt;"""", N"&amp;"OT(REGEXMATCH(C4402, ""薪資""))), ""內部轉帳(忽略)"",
  REGEXMATCH(C4402, ""薪資""), ""薪資變動(不計入)"",
  REGEXMATCH(C4402, ""押金""), ""押金往來"",
  AND(E4402&lt;&gt;"""", F4402=""""), ""真實支出"",
  AND(E4402="""", F4402&lt;&gt;""""), ""真實收入"",
  TRUE, ""其他""
)"),"真實收入")</f>
        <v>真實收入</v>
      </c>
      <c r="K4402" s="270">
        <f t="shared" si="2"/>
        <v>12300</v>
      </c>
      <c r="L4402">
        <f t="shared" si="3"/>
        <v>0</v>
      </c>
    </row>
    <row r="4403">
      <c r="A4403" s="107">
        <f>IFERROR(__xludf.DUMMYFUNCTION("""COMPUTED_VALUE"""),45719.0)</f>
        <v>45719</v>
      </c>
      <c r="B4403" t="str">
        <f>IFERROR(__xludf.DUMMYFUNCTION("""COMPUTED_VALUE"""),"[內湖秘境] C [黃詩穎] 月租金 (行號: 11)")</f>
        <v>[內湖秘境] C [黃詩穎] 月租金 (行號: 11)</v>
      </c>
      <c r="C4403" t="str">
        <f>IFERROR(__xludf.DUMMYFUNCTION("""COMPUTED_VALUE"""),"收入 - 租金")</f>
        <v>收入 - 租金</v>
      </c>
      <c r="D4403" s="270">
        <f>IFERROR(__xludf.DUMMYFUNCTION("""COMPUTED_VALUE"""),14800.0)</f>
        <v>14800</v>
      </c>
      <c r="F4403" t="str">
        <f>IFERROR(__xludf.DUMMYFUNCTION("""COMPUTED_VALUE"""),"玉山帳戶")</f>
        <v>玉山帳戶</v>
      </c>
      <c r="G4403" t="str">
        <f>IFERROR(__xludf.DUMMYFUNCTION("""COMPUTED_VALUE"""),"內湖秘境")</f>
        <v>內湖秘境</v>
      </c>
      <c r="H4403" s="106" t="str">
        <f t="shared" si="1"/>
        <v>2025-03</v>
      </c>
      <c r="I4403" s="271" t="str">
        <f>IFERROR(__xludf.DUMMYFUNCTION("""COMPUTED_VALUE"""),"鯰魚大大")</f>
        <v>鯰魚大大</v>
      </c>
      <c r="J4403" t="str">
        <f>IFERROR(__xludf.DUMMYFUNCTION("IFS(
  AND(REGEXMATCH(E4403, ""台銀籌備帳戶|玉山帳戶""), REGEXMATCH(C4403, ""薪資"")), ""分潤支出"",
  AND(REGEXMATCH(E4403, ""Ben帳戶|Elsa帳戶|Ben代墊|Ariel代墊|中信銀行共用""), REGEXMATCH(F4403, ""Ben帳戶|Elsa帳戶|Ben代墊|Ariel代墊|中信銀行共用"")), ""內部轉帳(忽略)"",
  AND(E4403&lt;&gt;"""", F4403&lt;&gt;"""", N"&amp;"OT(REGEXMATCH(C4403, ""薪資""))), ""內部轉帳(忽略)"",
  REGEXMATCH(C4403, ""薪資""), ""薪資變動(不計入)"",
  REGEXMATCH(C4403, ""押金""), ""押金往來"",
  AND(E4403&lt;&gt;"""", F4403=""""), ""真實支出"",
  AND(E4403="""", F4403&lt;&gt;""""), ""真實收入"",
  TRUE, ""其他""
)"),"真實收入")</f>
        <v>真實收入</v>
      </c>
      <c r="K4403" s="270">
        <f t="shared" si="2"/>
        <v>14800</v>
      </c>
      <c r="L4403">
        <f t="shared" si="3"/>
        <v>0</v>
      </c>
    </row>
    <row r="4404">
      <c r="A4404" s="107">
        <f>IFERROR(__xludf.DUMMYFUNCTION("""COMPUTED_VALUE"""),45719.0)</f>
        <v>45719</v>
      </c>
      <c r="B4404" t="str">
        <f>IFERROR(__xludf.DUMMYFUNCTION("""COMPUTED_VALUE"""),"[士林和豐] B [郭昱慧] 月租金 (行號: 12)")</f>
        <v>[士林和豐] B [郭昱慧] 月租金 (行號: 12)</v>
      </c>
      <c r="C4404" t="str">
        <f>IFERROR(__xludf.DUMMYFUNCTION("""COMPUTED_VALUE"""),"收入 - 租金")</f>
        <v>收入 - 租金</v>
      </c>
      <c r="D4404" s="270">
        <f>IFERROR(__xludf.DUMMYFUNCTION("""COMPUTED_VALUE"""),14100.0)</f>
        <v>14100</v>
      </c>
      <c r="F4404" t="str">
        <f>IFERROR(__xludf.DUMMYFUNCTION("""COMPUTED_VALUE"""),"玉山帳戶")</f>
        <v>玉山帳戶</v>
      </c>
      <c r="G4404" t="str">
        <f>IFERROR(__xludf.DUMMYFUNCTION("""COMPUTED_VALUE"""),"士林和豐")</f>
        <v>士林和豐</v>
      </c>
      <c r="H4404" s="106" t="str">
        <f t="shared" si="1"/>
        <v>2025-03</v>
      </c>
      <c r="I4404" s="271" t="str">
        <f>IFERROR(__xludf.DUMMYFUNCTION("""COMPUTED_VALUE"""),"鯰魚大大")</f>
        <v>鯰魚大大</v>
      </c>
      <c r="J4404" t="str">
        <f>IFERROR(__xludf.DUMMYFUNCTION("IFS(
  AND(REGEXMATCH(E4404, ""台銀籌備帳戶|玉山帳戶""), REGEXMATCH(C4404, ""薪資"")), ""分潤支出"",
  AND(REGEXMATCH(E4404, ""Ben帳戶|Elsa帳戶|Ben代墊|Ariel代墊|中信銀行共用""), REGEXMATCH(F4404, ""Ben帳戶|Elsa帳戶|Ben代墊|Ariel代墊|中信銀行共用"")), ""內部轉帳(忽略)"",
  AND(E4404&lt;&gt;"""", F4404&lt;&gt;"""", N"&amp;"OT(REGEXMATCH(C4404, ""薪資""))), ""內部轉帳(忽略)"",
  REGEXMATCH(C4404, ""薪資""), ""薪資變動(不計入)"",
  REGEXMATCH(C4404, ""押金""), ""押金往來"",
  AND(E4404&lt;&gt;"""", F4404=""""), ""真實支出"",
  AND(E4404="""", F4404&lt;&gt;""""), ""真實收入"",
  TRUE, ""其他""
)"),"真實收入")</f>
        <v>真實收入</v>
      </c>
      <c r="K4404" s="270">
        <f t="shared" si="2"/>
        <v>14100</v>
      </c>
      <c r="L4404">
        <f t="shared" si="3"/>
        <v>0</v>
      </c>
    </row>
    <row r="4405">
      <c r="A4405" s="107">
        <f>IFERROR(__xludf.DUMMYFUNCTION("""COMPUTED_VALUE"""),45719.0)</f>
        <v>45719</v>
      </c>
      <c r="B4405" t="str">
        <f>IFERROR(__xludf.DUMMYFUNCTION("""COMPUTED_VALUE"""),"[行天宮夏野良栗] C [黃伊妍] 月租金 (行號: 13)")</f>
        <v>[行天宮夏野良栗] C [黃伊妍] 月租金 (行號: 13)</v>
      </c>
      <c r="C4405" t="str">
        <f>IFERROR(__xludf.DUMMYFUNCTION("""COMPUTED_VALUE"""),"收入 - 租金")</f>
        <v>收入 - 租金</v>
      </c>
      <c r="D4405" s="270">
        <f>IFERROR(__xludf.DUMMYFUNCTION("""COMPUTED_VALUE"""),11000.0)</f>
        <v>11000</v>
      </c>
      <c r="F4405" t="str">
        <f>IFERROR(__xludf.DUMMYFUNCTION("""COMPUTED_VALUE"""),"玉山帳戶")</f>
        <v>玉山帳戶</v>
      </c>
      <c r="G4405" t="str">
        <f>IFERROR(__xludf.DUMMYFUNCTION("""COMPUTED_VALUE"""),"行天宮夏野良栗")</f>
        <v>行天宮夏野良栗</v>
      </c>
      <c r="H4405" s="106" t="str">
        <f t="shared" si="1"/>
        <v>2025-03</v>
      </c>
      <c r="I4405" s="271" t="str">
        <f>IFERROR(__xludf.DUMMYFUNCTION("""COMPUTED_VALUE"""),"鯰魚大大")</f>
        <v>鯰魚大大</v>
      </c>
      <c r="J4405" t="str">
        <f>IFERROR(__xludf.DUMMYFUNCTION("IFS(
  AND(REGEXMATCH(E4405, ""台銀籌備帳戶|玉山帳戶""), REGEXMATCH(C4405, ""薪資"")), ""分潤支出"",
  AND(REGEXMATCH(E4405, ""Ben帳戶|Elsa帳戶|Ben代墊|Ariel代墊|中信銀行共用""), REGEXMATCH(F4405, ""Ben帳戶|Elsa帳戶|Ben代墊|Ariel代墊|中信銀行共用"")), ""內部轉帳(忽略)"",
  AND(E4405&lt;&gt;"""", F4405&lt;&gt;"""", N"&amp;"OT(REGEXMATCH(C4405, ""薪資""))), ""內部轉帳(忽略)"",
  REGEXMATCH(C4405, ""薪資""), ""薪資變動(不計入)"",
  REGEXMATCH(C4405, ""押金""), ""押金往來"",
  AND(E4405&lt;&gt;"""", F4405=""""), ""真實支出"",
  AND(E4405="""", F4405&lt;&gt;""""), ""真實收入"",
  TRUE, ""其他""
)"),"真實收入")</f>
        <v>真實收入</v>
      </c>
      <c r="K4405" s="270">
        <f t="shared" si="2"/>
        <v>11000</v>
      </c>
      <c r="L4405">
        <f t="shared" si="3"/>
        <v>0</v>
      </c>
    </row>
    <row r="4406">
      <c r="A4406" s="107">
        <f>IFERROR(__xludf.DUMMYFUNCTION("""COMPUTED_VALUE"""),45719.0)</f>
        <v>45719</v>
      </c>
      <c r="B4406" t="str">
        <f>IFERROR(__xludf.DUMMYFUNCTION("""COMPUTED_VALUE"""),"[內湖秘境] E [林芷妤] 月租金 (行號: 14)")</f>
        <v>[內湖秘境] E [林芷妤] 月租金 (行號: 14)</v>
      </c>
      <c r="C4406" t="str">
        <f>IFERROR(__xludf.DUMMYFUNCTION("""COMPUTED_VALUE"""),"收入 - 租金")</f>
        <v>收入 - 租金</v>
      </c>
      <c r="D4406" s="270">
        <f>IFERROR(__xludf.DUMMYFUNCTION("""COMPUTED_VALUE"""),13600.0)</f>
        <v>13600</v>
      </c>
      <c r="F4406" t="str">
        <f>IFERROR(__xludf.DUMMYFUNCTION("""COMPUTED_VALUE"""),"玉山帳戶")</f>
        <v>玉山帳戶</v>
      </c>
      <c r="G4406" t="str">
        <f>IFERROR(__xludf.DUMMYFUNCTION("""COMPUTED_VALUE"""),"內湖秘境")</f>
        <v>內湖秘境</v>
      </c>
      <c r="H4406" s="106" t="str">
        <f t="shared" si="1"/>
        <v>2025-03</v>
      </c>
      <c r="I4406" s="271" t="str">
        <f>IFERROR(__xludf.DUMMYFUNCTION("""COMPUTED_VALUE"""),"鯰魚大大")</f>
        <v>鯰魚大大</v>
      </c>
      <c r="J4406" t="str">
        <f>IFERROR(__xludf.DUMMYFUNCTION("IFS(
  AND(REGEXMATCH(E4406, ""台銀籌備帳戶|玉山帳戶""), REGEXMATCH(C4406, ""薪資"")), ""分潤支出"",
  AND(REGEXMATCH(E4406, ""Ben帳戶|Elsa帳戶|Ben代墊|Ariel代墊|中信銀行共用""), REGEXMATCH(F4406, ""Ben帳戶|Elsa帳戶|Ben代墊|Ariel代墊|中信銀行共用"")), ""內部轉帳(忽略)"",
  AND(E4406&lt;&gt;"""", F4406&lt;&gt;"""", N"&amp;"OT(REGEXMATCH(C4406, ""薪資""))), ""內部轉帳(忽略)"",
  REGEXMATCH(C4406, ""薪資""), ""薪資變動(不計入)"",
  REGEXMATCH(C4406, ""押金""), ""押金往來"",
  AND(E4406&lt;&gt;"""", F4406=""""), ""真實支出"",
  AND(E4406="""", F4406&lt;&gt;""""), ""真實收入"",
  TRUE, ""其他""
)"),"真實收入")</f>
        <v>真實收入</v>
      </c>
      <c r="K4406" s="270">
        <f t="shared" si="2"/>
        <v>13600</v>
      </c>
      <c r="L4406">
        <f t="shared" si="3"/>
        <v>0</v>
      </c>
    </row>
    <row r="4407">
      <c r="A4407" s="107">
        <f>IFERROR(__xludf.DUMMYFUNCTION("""COMPUTED_VALUE"""),45719.0)</f>
        <v>45719</v>
      </c>
      <c r="B4407" t="str">
        <f>IFERROR(__xludf.DUMMYFUNCTION("""COMPUTED_VALUE"""),"[行天宮夏野良栗] E [張宏祺, 謝宗穎] 月租金 (行號: 15)")</f>
        <v>[行天宮夏野良栗] E [張宏祺, 謝宗穎] 月租金 (行號: 15)</v>
      </c>
      <c r="C4407" t="str">
        <f>IFERROR(__xludf.DUMMYFUNCTION("""COMPUTED_VALUE"""),"收入 - 租金")</f>
        <v>收入 - 租金</v>
      </c>
      <c r="D4407" s="270">
        <f>IFERROR(__xludf.DUMMYFUNCTION("""COMPUTED_VALUE"""),31800.0)</f>
        <v>31800</v>
      </c>
      <c r="F4407" t="str">
        <f>IFERROR(__xludf.DUMMYFUNCTION("""COMPUTED_VALUE"""),"玉山帳戶")</f>
        <v>玉山帳戶</v>
      </c>
      <c r="G4407" t="str">
        <f>IFERROR(__xludf.DUMMYFUNCTION("""COMPUTED_VALUE"""),"行天宮夏野良栗")</f>
        <v>行天宮夏野良栗</v>
      </c>
      <c r="H4407" s="106" t="str">
        <f t="shared" si="1"/>
        <v>2025-03</v>
      </c>
      <c r="I4407" s="271" t="str">
        <f>IFERROR(__xludf.DUMMYFUNCTION("""COMPUTED_VALUE"""),"鯰魚大大")</f>
        <v>鯰魚大大</v>
      </c>
      <c r="J4407" t="str">
        <f>IFERROR(__xludf.DUMMYFUNCTION("IFS(
  AND(REGEXMATCH(E4407, ""台銀籌備帳戶|玉山帳戶""), REGEXMATCH(C4407, ""薪資"")), ""分潤支出"",
  AND(REGEXMATCH(E4407, ""Ben帳戶|Elsa帳戶|Ben代墊|Ariel代墊|中信銀行共用""), REGEXMATCH(F4407, ""Ben帳戶|Elsa帳戶|Ben代墊|Ariel代墊|中信銀行共用"")), ""內部轉帳(忽略)"",
  AND(E4407&lt;&gt;"""", F4407&lt;&gt;"""", N"&amp;"OT(REGEXMATCH(C4407, ""薪資""))), ""內部轉帳(忽略)"",
  REGEXMATCH(C4407, ""薪資""), ""薪資變動(不計入)"",
  REGEXMATCH(C4407, ""押金""), ""押金往來"",
  AND(E4407&lt;&gt;"""", F4407=""""), ""真實支出"",
  AND(E4407="""", F4407&lt;&gt;""""), ""真實收入"",
  TRUE, ""其他""
)"),"真實收入")</f>
        <v>真實收入</v>
      </c>
      <c r="K4407" s="270">
        <f t="shared" si="2"/>
        <v>31800</v>
      </c>
      <c r="L4407">
        <f t="shared" si="3"/>
        <v>0</v>
      </c>
    </row>
    <row r="4408">
      <c r="A4408" s="107">
        <f>IFERROR(__xludf.DUMMYFUNCTION("""COMPUTED_VALUE"""),45719.0)</f>
        <v>45719</v>
      </c>
      <c r="B4408" t="str">
        <f>IFERROR(__xludf.DUMMYFUNCTION("""COMPUTED_VALUE"""),"[行天宮夏野良栗] A [鄒欣穎] 月租金 (行號: 16)")</f>
        <v>[行天宮夏野良栗] A [鄒欣穎] 月租金 (行號: 16)</v>
      </c>
      <c r="C4408" t="str">
        <f>IFERROR(__xludf.DUMMYFUNCTION("""COMPUTED_VALUE"""),"收入 - 租金")</f>
        <v>收入 - 租金</v>
      </c>
      <c r="D4408" s="270">
        <f>IFERROR(__xludf.DUMMYFUNCTION("""COMPUTED_VALUE"""),14200.0)</f>
        <v>14200</v>
      </c>
      <c r="F4408" t="str">
        <f>IFERROR(__xludf.DUMMYFUNCTION("""COMPUTED_VALUE"""),"玉山帳戶")</f>
        <v>玉山帳戶</v>
      </c>
      <c r="G4408" t="str">
        <f>IFERROR(__xludf.DUMMYFUNCTION("""COMPUTED_VALUE"""),"行天宮夏野良栗")</f>
        <v>行天宮夏野良栗</v>
      </c>
      <c r="H4408" s="106" t="str">
        <f t="shared" si="1"/>
        <v>2025-03</v>
      </c>
      <c r="I4408" s="271" t="str">
        <f>IFERROR(__xludf.DUMMYFUNCTION("""COMPUTED_VALUE"""),"鯰魚大大")</f>
        <v>鯰魚大大</v>
      </c>
      <c r="J4408" t="str">
        <f>IFERROR(__xludf.DUMMYFUNCTION("IFS(
  AND(REGEXMATCH(E4408, ""台銀籌備帳戶|玉山帳戶""), REGEXMATCH(C4408, ""薪資"")), ""分潤支出"",
  AND(REGEXMATCH(E4408, ""Ben帳戶|Elsa帳戶|Ben代墊|Ariel代墊|中信銀行共用""), REGEXMATCH(F4408, ""Ben帳戶|Elsa帳戶|Ben代墊|Ariel代墊|中信銀行共用"")), ""內部轉帳(忽略)"",
  AND(E4408&lt;&gt;"""", F4408&lt;&gt;"""", N"&amp;"OT(REGEXMATCH(C4408, ""薪資""))), ""內部轉帳(忽略)"",
  REGEXMATCH(C4408, ""薪資""), ""薪資變動(不計入)"",
  REGEXMATCH(C4408, ""押金""), ""押金往來"",
  AND(E4408&lt;&gt;"""", F4408=""""), ""真實支出"",
  AND(E4408="""", F4408&lt;&gt;""""), ""真實收入"",
  TRUE, ""其他""
)"),"真實收入")</f>
        <v>真實收入</v>
      </c>
      <c r="K4408" s="270">
        <f t="shared" si="2"/>
        <v>14200</v>
      </c>
      <c r="L4408">
        <f t="shared" si="3"/>
        <v>0</v>
      </c>
    </row>
    <row r="4409">
      <c r="A4409" s="107">
        <f>IFERROR(__xludf.DUMMYFUNCTION("""COMPUTED_VALUE"""),45719.0)</f>
        <v>45719</v>
      </c>
      <c r="B4409" t="str">
        <f>IFERROR(__xludf.DUMMYFUNCTION("""COMPUTED_VALUE"""),"[內湖秘境] F [楊芯岳] 月租金 (行號: 17)")</f>
        <v>[內湖秘境] F [楊芯岳] 月租金 (行號: 17)</v>
      </c>
      <c r="C4409" t="str">
        <f>IFERROR(__xludf.DUMMYFUNCTION("""COMPUTED_VALUE"""),"收入 - 租金")</f>
        <v>收入 - 租金</v>
      </c>
      <c r="D4409" s="270">
        <f>IFERROR(__xludf.DUMMYFUNCTION("""COMPUTED_VALUE"""),13500.0)</f>
        <v>13500</v>
      </c>
      <c r="F4409" t="str">
        <f>IFERROR(__xludf.DUMMYFUNCTION("""COMPUTED_VALUE"""),"玉山帳戶")</f>
        <v>玉山帳戶</v>
      </c>
      <c r="G4409" t="str">
        <f>IFERROR(__xludf.DUMMYFUNCTION("""COMPUTED_VALUE"""),"內湖秘境")</f>
        <v>內湖秘境</v>
      </c>
      <c r="H4409" s="106" t="str">
        <f t="shared" si="1"/>
        <v>2025-03</v>
      </c>
      <c r="I4409" s="271" t="str">
        <f>IFERROR(__xludf.DUMMYFUNCTION("""COMPUTED_VALUE"""),"鯰魚大大")</f>
        <v>鯰魚大大</v>
      </c>
      <c r="J4409" t="str">
        <f>IFERROR(__xludf.DUMMYFUNCTION("IFS(
  AND(REGEXMATCH(E4409, ""台銀籌備帳戶|玉山帳戶""), REGEXMATCH(C4409, ""薪資"")), ""分潤支出"",
  AND(REGEXMATCH(E4409, ""Ben帳戶|Elsa帳戶|Ben代墊|Ariel代墊|中信銀行共用""), REGEXMATCH(F4409, ""Ben帳戶|Elsa帳戶|Ben代墊|Ariel代墊|中信銀行共用"")), ""內部轉帳(忽略)"",
  AND(E4409&lt;&gt;"""", F4409&lt;&gt;"""", N"&amp;"OT(REGEXMATCH(C4409, ""薪資""))), ""內部轉帳(忽略)"",
  REGEXMATCH(C4409, ""薪資""), ""薪資變動(不計入)"",
  REGEXMATCH(C4409, ""押金""), ""押金往來"",
  AND(E4409&lt;&gt;"""", F4409=""""), ""真實支出"",
  AND(E4409="""", F4409&lt;&gt;""""), ""真實收入"",
  TRUE, ""其他""
)"),"真實收入")</f>
        <v>真實收入</v>
      </c>
      <c r="K4409" s="270">
        <f t="shared" si="2"/>
        <v>13500</v>
      </c>
      <c r="L4409">
        <f t="shared" si="3"/>
        <v>0</v>
      </c>
    </row>
    <row r="4410">
      <c r="A4410" s="107">
        <f>IFERROR(__xludf.DUMMYFUNCTION("""COMPUTED_VALUE"""),45719.0)</f>
        <v>45719</v>
      </c>
      <c r="B4410" t="str">
        <f>IFERROR(__xludf.DUMMYFUNCTION("""COMPUTED_VALUE"""),"費用 - 匯費 對方行:013 後五碼:78744 (行號: 2)")</f>
        <v>費用 - 匯費 對方行:013 後五碼:78744 (行號: 2)</v>
      </c>
      <c r="C4410" t="str">
        <f>IFERROR(__xludf.DUMMYFUNCTION("""COMPUTED_VALUE"""),"費用 - 匯費")</f>
        <v>費用 - 匯費</v>
      </c>
      <c r="D4410" s="270">
        <f>IFERROR(__xludf.DUMMYFUNCTION("""COMPUTED_VALUE"""),-15.0)</f>
        <v>-15</v>
      </c>
      <c r="E4410" t="str">
        <f>IFERROR(__xludf.DUMMYFUNCTION("""COMPUTED_VALUE"""),"玉山帳戶")</f>
        <v>玉山帳戶</v>
      </c>
      <c r="H4410" s="106" t="str">
        <f t="shared" si="1"/>
        <v>2025-03</v>
      </c>
      <c r="I4410" s="271" t="str">
        <f>IFERROR(__xludf.DUMMYFUNCTION("""COMPUTED_VALUE"""),"鯰魚大大")</f>
        <v>鯰魚大大</v>
      </c>
      <c r="J4410" t="str">
        <f>IFERROR(__xludf.DUMMYFUNCTION("IFS(
  AND(REGEXMATCH(E4410, ""台銀籌備帳戶|玉山帳戶""), REGEXMATCH(C4410, ""薪資"")), ""分潤支出"",
  AND(REGEXMATCH(E4410, ""Ben帳戶|Elsa帳戶|Ben代墊|Ariel代墊|中信銀行共用""), REGEXMATCH(F4410, ""Ben帳戶|Elsa帳戶|Ben代墊|Ariel代墊|中信銀行共用"")), ""內部轉帳(忽略)"",
  AND(E4410&lt;&gt;"""", F4410&lt;&gt;"""", N"&amp;"OT(REGEXMATCH(C4410, ""薪資""))), ""內部轉帳(忽略)"",
  REGEXMATCH(C4410, ""薪資""), ""薪資變動(不計入)"",
  REGEXMATCH(C4410, ""押金""), ""押金往來"",
  AND(E4410&lt;&gt;"""", F4410=""""), ""真實支出"",
  AND(E4410="""", F4410&lt;&gt;""""), ""真實收入"",
  TRUE, ""其他""
)"),"真實支出")</f>
        <v>真實支出</v>
      </c>
      <c r="K4410" s="270">
        <f t="shared" si="2"/>
        <v>-15</v>
      </c>
      <c r="L4410">
        <f t="shared" si="3"/>
        <v>0</v>
      </c>
    </row>
    <row r="4411">
      <c r="A4411" s="107">
        <f>IFERROR(__xludf.DUMMYFUNCTION("""COMPUTED_VALUE"""),45719.0)</f>
        <v>45719</v>
      </c>
      <c r="B4411" t="str">
        <f>IFERROR(__xludf.DUMMYFUNCTION("""COMPUTED_VALUE"""),"[士林和豐] [楊政偉] 大租金")</f>
        <v>[士林和豐] [楊政偉] 大租金</v>
      </c>
      <c r="C4411" t="str">
        <f>IFERROR(__xludf.DUMMYFUNCTION("""COMPUTED_VALUE"""),"成本 - 大租金")</f>
        <v>成本 - 大租金</v>
      </c>
      <c r="D4411" s="270">
        <f>IFERROR(__xludf.DUMMYFUNCTION("""COMPUTED_VALUE"""),-14400.0)</f>
        <v>-14400</v>
      </c>
      <c r="E4411" t="str">
        <f>IFERROR(__xludf.DUMMYFUNCTION("""COMPUTED_VALUE"""),"玉山帳戶")</f>
        <v>玉山帳戶</v>
      </c>
      <c r="G4411" t="str">
        <f>IFERROR(__xludf.DUMMYFUNCTION("""COMPUTED_VALUE"""),"士林和豐")</f>
        <v>士林和豐</v>
      </c>
      <c r="H4411" s="106" t="str">
        <f t="shared" si="1"/>
        <v>2025-03</v>
      </c>
      <c r="I4411" s="271" t="str">
        <f>IFERROR(__xludf.DUMMYFUNCTION("""COMPUTED_VALUE"""),"鯰魚大大")</f>
        <v>鯰魚大大</v>
      </c>
      <c r="J4411" t="str">
        <f>IFERROR(__xludf.DUMMYFUNCTION("IFS(
  AND(REGEXMATCH(E4411, ""台銀籌備帳戶|玉山帳戶""), REGEXMATCH(C4411, ""薪資"")), ""分潤支出"",
  AND(REGEXMATCH(E4411, ""Ben帳戶|Elsa帳戶|Ben代墊|Ariel代墊|中信銀行共用""), REGEXMATCH(F4411, ""Ben帳戶|Elsa帳戶|Ben代墊|Ariel代墊|中信銀行共用"")), ""內部轉帳(忽略)"",
  AND(E4411&lt;&gt;"""", F4411&lt;&gt;"""", N"&amp;"OT(REGEXMATCH(C4411, ""薪資""))), ""內部轉帳(忽略)"",
  REGEXMATCH(C4411, ""薪資""), ""薪資變動(不計入)"",
  REGEXMATCH(C4411, ""押金""), ""押金往來"",
  AND(E4411&lt;&gt;"""", F4411=""""), ""真實支出"",
  AND(E4411="""", F4411&lt;&gt;""""), ""真實收入"",
  TRUE, ""其他""
)"),"真實支出")</f>
        <v>真實支出</v>
      </c>
      <c r="K4411" s="270">
        <f t="shared" si="2"/>
        <v>-14400</v>
      </c>
      <c r="L4411">
        <f t="shared" si="3"/>
        <v>0</v>
      </c>
    </row>
    <row r="4412">
      <c r="A4412" s="107">
        <f>IFERROR(__xludf.DUMMYFUNCTION("""COMPUTED_VALUE"""),45719.0)</f>
        <v>45719</v>
      </c>
      <c r="B4412" t="str">
        <f>IFERROR(__xludf.DUMMYFUNCTION("""COMPUTED_VALUE"""),"費用 - 匯費 對方行:012 後五碼:68447 (行號: 3)")</f>
        <v>費用 - 匯費 對方行:012 後五碼:68447 (行號: 3)</v>
      </c>
      <c r="C4412" t="str">
        <f>IFERROR(__xludf.DUMMYFUNCTION("""COMPUTED_VALUE"""),"費用 - 匯費")</f>
        <v>費用 - 匯費</v>
      </c>
      <c r="D4412" s="270">
        <f>IFERROR(__xludf.DUMMYFUNCTION("""COMPUTED_VALUE"""),-15.0)</f>
        <v>-15</v>
      </c>
      <c r="E4412" t="str">
        <f>IFERROR(__xludf.DUMMYFUNCTION("""COMPUTED_VALUE"""),"玉山帳戶")</f>
        <v>玉山帳戶</v>
      </c>
      <c r="H4412" s="106" t="str">
        <f t="shared" si="1"/>
        <v>2025-03</v>
      </c>
      <c r="I4412" s="271" t="str">
        <f>IFERROR(__xludf.DUMMYFUNCTION("""COMPUTED_VALUE"""),"鯰魚大大")</f>
        <v>鯰魚大大</v>
      </c>
      <c r="J4412" t="str">
        <f>IFERROR(__xludf.DUMMYFUNCTION("IFS(
  AND(REGEXMATCH(E4412, ""台銀籌備帳戶|玉山帳戶""), REGEXMATCH(C4412, ""薪資"")), ""分潤支出"",
  AND(REGEXMATCH(E4412, ""Ben帳戶|Elsa帳戶|Ben代墊|Ariel代墊|中信銀行共用""), REGEXMATCH(F4412, ""Ben帳戶|Elsa帳戶|Ben代墊|Ariel代墊|中信銀行共用"")), ""內部轉帳(忽略)"",
  AND(E4412&lt;&gt;"""", F4412&lt;&gt;"""", N"&amp;"OT(REGEXMATCH(C4412, ""薪資""))), ""內部轉帳(忽略)"",
  REGEXMATCH(C4412, ""薪資""), ""薪資變動(不計入)"",
  REGEXMATCH(C4412, ""押金""), ""押金往來"",
  AND(E4412&lt;&gt;"""", F4412=""""), ""真實支出"",
  AND(E4412="""", F4412&lt;&gt;""""), ""真實收入"",
  TRUE, ""其他""
)"),"真實支出")</f>
        <v>真實支出</v>
      </c>
      <c r="K4412" s="270">
        <f t="shared" si="2"/>
        <v>-15</v>
      </c>
      <c r="L4412">
        <f t="shared" si="3"/>
        <v>0</v>
      </c>
    </row>
    <row r="4413">
      <c r="A4413" s="107">
        <f>IFERROR(__xludf.DUMMYFUNCTION("""COMPUTED_VALUE"""),45719.0)</f>
        <v>45719</v>
      </c>
      <c r="B4413" t="str">
        <f>IFERROR(__xludf.DUMMYFUNCTION("""COMPUTED_VALUE"""),"[行天宮夏野良栗] [沈蕙萱] 大租金")</f>
        <v>[行天宮夏野良栗] [沈蕙萱] 大租金</v>
      </c>
      <c r="C4413" t="str">
        <f>IFERROR(__xludf.DUMMYFUNCTION("""COMPUTED_VALUE"""),"成本 - 大租金")</f>
        <v>成本 - 大租金</v>
      </c>
      <c r="D4413" s="270">
        <f>IFERROR(__xludf.DUMMYFUNCTION("""COMPUTED_VALUE"""),-19900.0)</f>
        <v>-19900</v>
      </c>
      <c r="E4413" t="str">
        <f>IFERROR(__xludf.DUMMYFUNCTION("""COMPUTED_VALUE"""),"玉山帳戶")</f>
        <v>玉山帳戶</v>
      </c>
      <c r="G4413" t="str">
        <f>IFERROR(__xludf.DUMMYFUNCTION("""COMPUTED_VALUE"""),"行天宮夏野良栗")</f>
        <v>行天宮夏野良栗</v>
      </c>
      <c r="H4413" s="106" t="str">
        <f t="shared" si="1"/>
        <v>2025-03</v>
      </c>
      <c r="I4413" s="271" t="str">
        <f>IFERROR(__xludf.DUMMYFUNCTION("""COMPUTED_VALUE"""),"鯰魚大大")</f>
        <v>鯰魚大大</v>
      </c>
      <c r="J4413" t="str">
        <f>IFERROR(__xludf.DUMMYFUNCTION("IFS(
  AND(REGEXMATCH(E4413, ""台銀籌備帳戶|玉山帳戶""), REGEXMATCH(C4413, ""薪資"")), ""分潤支出"",
  AND(REGEXMATCH(E4413, ""Ben帳戶|Elsa帳戶|Ben代墊|Ariel代墊|中信銀行共用""), REGEXMATCH(F4413, ""Ben帳戶|Elsa帳戶|Ben代墊|Ariel代墊|中信銀行共用"")), ""內部轉帳(忽略)"",
  AND(E4413&lt;&gt;"""", F4413&lt;&gt;"""", N"&amp;"OT(REGEXMATCH(C4413, ""薪資""))), ""內部轉帳(忽略)"",
  REGEXMATCH(C4413, ""薪資""), ""薪資變動(不計入)"",
  REGEXMATCH(C4413, ""押金""), ""押金往來"",
  AND(E4413&lt;&gt;"""", F4413=""""), ""真實支出"",
  AND(E4413="""", F4413&lt;&gt;""""), ""真實收入"",
  TRUE, ""其他""
)"),"真實支出")</f>
        <v>真實支出</v>
      </c>
      <c r="K4413" s="270">
        <f t="shared" si="2"/>
        <v>-19900</v>
      </c>
      <c r="L4413">
        <f t="shared" si="3"/>
        <v>0</v>
      </c>
    </row>
    <row r="4414">
      <c r="A4414" s="107">
        <f>IFERROR(__xludf.DUMMYFUNCTION("""COMPUTED_VALUE"""),45719.0)</f>
        <v>45719</v>
      </c>
      <c r="B4414" t="str">
        <f>IFERROR(__xludf.DUMMYFUNCTION("""COMPUTED_VALUE"""),"費用 - 匯費 對方行:700 後五碼:84843 (行號: 4)")</f>
        <v>費用 - 匯費 對方行:700 後五碼:84843 (行號: 4)</v>
      </c>
      <c r="C4414" t="str">
        <f>IFERROR(__xludf.DUMMYFUNCTION("""COMPUTED_VALUE"""),"費用 - 匯費")</f>
        <v>費用 - 匯費</v>
      </c>
      <c r="D4414" s="270">
        <f>IFERROR(__xludf.DUMMYFUNCTION("""COMPUTED_VALUE"""),-15.0)</f>
        <v>-15</v>
      </c>
      <c r="E4414" t="str">
        <f>IFERROR(__xludf.DUMMYFUNCTION("""COMPUTED_VALUE"""),"玉山帳戶")</f>
        <v>玉山帳戶</v>
      </c>
      <c r="H4414" s="106" t="str">
        <f t="shared" si="1"/>
        <v>2025-03</v>
      </c>
      <c r="I4414" s="271" t="str">
        <f>IFERROR(__xludf.DUMMYFUNCTION("""COMPUTED_VALUE"""),"鯰魚大大")</f>
        <v>鯰魚大大</v>
      </c>
      <c r="J4414" t="str">
        <f>IFERROR(__xludf.DUMMYFUNCTION("IFS(
  AND(REGEXMATCH(E4414, ""台銀籌備帳戶|玉山帳戶""), REGEXMATCH(C4414, ""薪資"")), ""分潤支出"",
  AND(REGEXMATCH(E4414, ""Ben帳戶|Elsa帳戶|Ben代墊|Ariel代墊|中信銀行共用""), REGEXMATCH(F4414, ""Ben帳戶|Elsa帳戶|Ben代墊|Ariel代墊|中信銀行共用"")), ""內部轉帳(忽略)"",
  AND(E4414&lt;&gt;"""", F4414&lt;&gt;"""", N"&amp;"OT(REGEXMATCH(C4414, ""薪資""))), ""內部轉帳(忽略)"",
  REGEXMATCH(C4414, ""薪資""), ""薪資變動(不計入)"",
  REGEXMATCH(C4414, ""押金""), ""押金往來"",
  AND(E4414&lt;&gt;"""", F4414=""""), ""真實支出"",
  AND(E4414="""", F4414&lt;&gt;""""), ""真實收入"",
  TRUE, ""其他""
)"),"真實支出")</f>
        <v>真實支出</v>
      </c>
      <c r="K4414" s="270">
        <f t="shared" si="2"/>
        <v>-15</v>
      </c>
      <c r="L4414">
        <f t="shared" si="3"/>
        <v>0</v>
      </c>
    </row>
    <row r="4415">
      <c r="A4415" s="107">
        <f>IFERROR(__xludf.DUMMYFUNCTION("""COMPUTED_VALUE"""),45719.0)</f>
        <v>45719</v>
      </c>
      <c r="B4415" t="str">
        <f>IFERROR(__xludf.DUMMYFUNCTION("""COMPUTED_VALUE"""),"[內湖秘境] [周佳慧] 大租金")</f>
        <v>[內湖秘境] [周佳慧] 大租金</v>
      </c>
      <c r="C4415" t="str">
        <f>IFERROR(__xludf.DUMMYFUNCTION("""COMPUTED_VALUE"""),"成本 - 大租金")</f>
        <v>成本 - 大租金</v>
      </c>
      <c r="D4415" s="270">
        <f>IFERROR(__xludf.DUMMYFUNCTION("""COMPUTED_VALUE"""),-15000.0)</f>
        <v>-15000</v>
      </c>
      <c r="E4415" t="str">
        <f>IFERROR(__xludf.DUMMYFUNCTION("""COMPUTED_VALUE"""),"玉山帳戶")</f>
        <v>玉山帳戶</v>
      </c>
      <c r="G4415" t="str">
        <f>IFERROR(__xludf.DUMMYFUNCTION("""COMPUTED_VALUE"""),"內湖秘境")</f>
        <v>內湖秘境</v>
      </c>
      <c r="H4415" s="106" t="str">
        <f t="shared" si="1"/>
        <v>2025-03</v>
      </c>
      <c r="I4415" s="271" t="str">
        <f>IFERROR(__xludf.DUMMYFUNCTION("""COMPUTED_VALUE"""),"鯰魚大大")</f>
        <v>鯰魚大大</v>
      </c>
      <c r="J4415" t="str">
        <f>IFERROR(__xludf.DUMMYFUNCTION("IFS(
  AND(REGEXMATCH(E4415, ""台銀籌備帳戶|玉山帳戶""), REGEXMATCH(C4415, ""薪資"")), ""分潤支出"",
  AND(REGEXMATCH(E4415, ""Ben帳戶|Elsa帳戶|Ben代墊|Ariel代墊|中信銀行共用""), REGEXMATCH(F4415, ""Ben帳戶|Elsa帳戶|Ben代墊|Ariel代墊|中信銀行共用"")), ""內部轉帳(忽略)"",
  AND(E4415&lt;&gt;"""", F4415&lt;&gt;"""", N"&amp;"OT(REGEXMATCH(C4415, ""薪資""))), ""內部轉帳(忽略)"",
  REGEXMATCH(C4415, ""薪資""), ""薪資變動(不計入)"",
  REGEXMATCH(C4415, ""押金""), ""押金往來"",
  AND(E4415&lt;&gt;"""", F4415=""""), ""真實支出"",
  AND(E4415="""", F4415&lt;&gt;""""), ""真實收入"",
  TRUE, ""其他""
)"),"真實支出")</f>
        <v>真實支出</v>
      </c>
      <c r="K4415" s="270">
        <f t="shared" si="2"/>
        <v>-15000</v>
      </c>
      <c r="L4415">
        <f t="shared" si="3"/>
        <v>0</v>
      </c>
    </row>
    <row r="4416">
      <c r="A4416" s="107">
        <f>IFERROR(__xludf.DUMMYFUNCTION("""COMPUTED_VALUE"""),45719.0)</f>
        <v>45719</v>
      </c>
      <c r="B4416" t="str">
        <f>IFERROR(__xludf.DUMMYFUNCTION("""COMPUTED_VALUE"""),"費用 - 匯費 對方行:012 後五碼:53048 (行號: 5)")</f>
        <v>費用 - 匯費 對方行:012 後五碼:53048 (行號: 5)</v>
      </c>
      <c r="C4416" t="str">
        <f>IFERROR(__xludf.DUMMYFUNCTION("""COMPUTED_VALUE"""),"費用 - 匯費")</f>
        <v>費用 - 匯費</v>
      </c>
      <c r="D4416" s="270">
        <f>IFERROR(__xludf.DUMMYFUNCTION("""COMPUTED_VALUE"""),-15.0)</f>
        <v>-15</v>
      </c>
      <c r="E4416" t="str">
        <f>IFERROR(__xludf.DUMMYFUNCTION("""COMPUTED_VALUE"""),"玉山帳戶")</f>
        <v>玉山帳戶</v>
      </c>
      <c r="H4416" s="106" t="str">
        <f t="shared" si="1"/>
        <v>2025-03</v>
      </c>
      <c r="I4416" s="271" t="str">
        <f>IFERROR(__xludf.DUMMYFUNCTION("""COMPUTED_VALUE"""),"鯰魚大大")</f>
        <v>鯰魚大大</v>
      </c>
      <c r="J4416" t="str">
        <f>IFERROR(__xludf.DUMMYFUNCTION("IFS(
  AND(REGEXMATCH(E4416, ""台銀籌備帳戶|玉山帳戶""), REGEXMATCH(C4416, ""薪資"")), ""分潤支出"",
  AND(REGEXMATCH(E4416, ""Ben帳戶|Elsa帳戶|Ben代墊|Ariel代墊|中信銀行共用""), REGEXMATCH(F4416, ""Ben帳戶|Elsa帳戶|Ben代墊|Ariel代墊|中信銀行共用"")), ""內部轉帳(忽略)"",
  AND(E4416&lt;&gt;"""", F4416&lt;&gt;"""", N"&amp;"OT(REGEXMATCH(C4416, ""薪資""))), ""內部轉帳(忽略)"",
  REGEXMATCH(C4416, ""薪資""), ""薪資變動(不計入)"",
  REGEXMATCH(C4416, ""押金""), ""押金往來"",
  AND(E4416&lt;&gt;"""", F4416=""""), ""真實支出"",
  AND(E4416="""", F4416&lt;&gt;""""), ""真實收入"",
  TRUE, ""其他""
)"),"真實支出")</f>
        <v>真實支出</v>
      </c>
      <c r="K4416" s="270">
        <f t="shared" si="2"/>
        <v>-15</v>
      </c>
      <c r="L4416">
        <f t="shared" si="3"/>
        <v>0</v>
      </c>
    </row>
    <row r="4417">
      <c r="A4417" s="107">
        <f>IFERROR(__xludf.DUMMYFUNCTION("""COMPUTED_VALUE"""),45719.0)</f>
        <v>45719</v>
      </c>
      <c r="B4417" t="str">
        <f>IFERROR(__xludf.DUMMYFUNCTION("""COMPUTED_VALUE"""),"[內湖秘境] [周佳慧] 大租金")</f>
        <v>[內湖秘境] [周佳慧] 大租金</v>
      </c>
      <c r="C4417" t="str">
        <f>IFERROR(__xludf.DUMMYFUNCTION("""COMPUTED_VALUE"""),"成本 - 大租金")</f>
        <v>成本 - 大租金</v>
      </c>
      <c r="D4417" s="270">
        <f>IFERROR(__xludf.DUMMYFUNCTION("""COMPUTED_VALUE"""),-15000.0)</f>
        <v>-15000</v>
      </c>
      <c r="E4417" t="str">
        <f>IFERROR(__xludf.DUMMYFUNCTION("""COMPUTED_VALUE"""),"玉山帳戶")</f>
        <v>玉山帳戶</v>
      </c>
      <c r="G4417" t="str">
        <f>IFERROR(__xludf.DUMMYFUNCTION("""COMPUTED_VALUE"""),"內湖秘境")</f>
        <v>內湖秘境</v>
      </c>
      <c r="H4417" s="106" t="str">
        <f t="shared" si="1"/>
        <v>2025-03</v>
      </c>
      <c r="I4417" s="271" t="str">
        <f>IFERROR(__xludf.DUMMYFUNCTION("""COMPUTED_VALUE"""),"鯰魚大大")</f>
        <v>鯰魚大大</v>
      </c>
      <c r="J4417" t="str">
        <f>IFERROR(__xludf.DUMMYFUNCTION("IFS(
  AND(REGEXMATCH(E4417, ""台銀籌備帳戶|玉山帳戶""), REGEXMATCH(C4417, ""薪資"")), ""分潤支出"",
  AND(REGEXMATCH(E4417, ""Ben帳戶|Elsa帳戶|Ben代墊|Ariel代墊|中信銀行共用""), REGEXMATCH(F4417, ""Ben帳戶|Elsa帳戶|Ben代墊|Ariel代墊|中信銀行共用"")), ""內部轉帳(忽略)"",
  AND(E4417&lt;&gt;"""", F4417&lt;&gt;"""", N"&amp;"OT(REGEXMATCH(C4417, ""薪資""))), ""內部轉帳(忽略)"",
  REGEXMATCH(C4417, ""薪資""), ""薪資變動(不計入)"",
  REGEXMATCH(C4417, ""押金""), ""押金往來"",
  AND(E4417&lt;&gt;"""", F4417=""""), ""真實支出"",
  AND(E4417="""", F4417&lt;&gt;""""), ""真實收入"",
  TRUE, ""其他""
)"),"真實支出")</f>
        <v>真實支出</v>
      </c>
      <c r="K4417" s="270">
        <f t="shared" si="2"/>
        <v>-15000</v>
      </c>
      <c r="L4417">
        <f t="shared" si="3"/>
        <v>0</v>
      </c>
    </row>
    <row r="4418">
      <c r="A4418" s="107">
        <f>IFERROR(__xludf.DUMMYFUNCTION("""COMPUTED_VALUE"""),45719.0)</f>
        <v>45719</v>
      </c>
      <c r="B4418" t="str">
        <f>IFERROR(__xludf.DUMMYFUNCTION("""COMPUTED_VALUE"""),"費用 - 匯費 對方行:810 後五碼:77212 (行號: 6)")</f>
        <v>費用 - 匯費 對方行:810 後五碼:77212 (行號: 6)</v>
      </c>
      <c r="C4418" t="str">
        <f>IFERROR(__xludf.DUMMYFUNCTION("""COMPUTED_VALUE"""),"費用 - 匯費")</f>
        <v>費用 - 匯費</v>
      </c>
      <c r="D4418" s="270">
        <f>IFERROR(__xludf.DUMMYFUNCTION("""COMPUTED_VALUE"""),-15.0)</f>
        <v>-15</v>
      </c>
      <c r="E4418" t="str">
        <f>IFERROR(__xludf.DUMMYFUNCTION("""COMPUTED_VALUE"""),"玉山帳戶")</f>
        <v>玉山帳戶</v>
      </c>
      <c r="H4418" s="106" t="str">
        <f t="shared" si="1"/>
        <v>2025-03</v>
      </c>
      <c r="I4418" s="271" t="str">
        <f>IFERROR(__xludf.DUMMYFUNCTION("""COMPUTED_VALUE"""),"鯰魚大大")</f>
        <v>鯰魚大大</v>
      </c>
      <c r="J4418" t="str">
        <f>IFERROR(__xludf.DUMMYFUNCTION("IFS(
  AND(REGEXMATCH(E4418, ""台銀籌備帳戶|玉山帳戶""), REGEXMATCH(C4418, ""薪資"")), ""分潤支出"",
  AND(REGEXMATCH(E4418, ""Ben帳戶|Elsa帳戶|Ben代墊|Ariel代墊|中信銀行共用""), REGEXMATCH(F4418, ""Ben帳戶|Elsa帳戶|Ben代墊|Ariel代墊|中信銀行共用"")), ""內部轉帳(忽略)"",
  AND(E4418&lt;&gt;"""", F4418&lt;&gt;"""", N"&amp;"OT(REGEXMATCH(C4418, ""薪資""))), ""內部轉帳(忽略)"",
  REGEXMATCH(C4418, ""薪資""), ""薪資變動(不計入)"",
  REGEXMATCH(C4418, ""押金""), ""押金往來"",
  AND(E4418&lt;&gt;"""", F4418=""""), ""真實支出"",
  AND(E4418="""", F4418&lt;&gt;""""), ""真實收入"",
  TRUE, ""其他""
)"),"真實支出")</f>
        <v>真實支出</v>
      </c>
      <c r="K4418" s="270">
        <f t="shared" si="2"/>
        <v>-15</v>
      </c>
      <c r="L4418">
        <f t="shared" si="3"/>
        <v>0</v>
      </c>
    </row>
    <row r="4419">
      <c r="A4419" s="107">
        <f>IFERROR(__xludf.DUMMYFUNCTION("""COMPUTED_VALUE"""),45719.0)</f>
        <v>45719</v>
      </c>
      <c r="B4419" t="str">
        <f>IFERROR(__xludf.DUMMYFUNCTION("""COMPUTED_VALUE"""),"[內湖秘境] [周佳慧] 大租金")</f>
        <v>[內湖秘境] [周佳慧] 大租金</v>
      </c>
      <c r="C4419" t="str">
        <f>IFERROR(__xludf.DUMMYFUNCTION("""COMPUTED_VALUE"""),"成本 - 大租金")</f>
        <v>成本 - 大租金</v>
      </c>
      <c r="D4419" s="270">
        <f>IFERROR(__xludf.DUMMYFUNCTION("""COMPUTED_VALUE"""),-15000.0)</f>
        <v>-15000</v>
      </c>
      <c r="E4419" t="str">
        <f>IFERROR(__xludf.DUMMYFUNCTION("""COMPUTED_VALUE"""),"玉山帳戶")</f>
        <v>玉山帳戶</v>
      </c>
      <c r="G4419" t="str">
        <f>IFERROR(__xludf.DUMMYFUNCTION("""COMPUTED_VALUE"""),"內湖秘境")</f>
        <v>內湖秘境</v>
      </c>
      <c r="H4419" s="106" t="str">
        <f t="shared" si="1"/>
        <v>2025-03</v>
      </c>
      <c r="I4419" s="271" t="str">
        <f>IFERROR(__xludf.DUMMYFUNCTION("""COMPUTED_VALUE"""),"鯰魚大大")</f>
        <v>鯰魚大大</v>
      </c>
      <c r="J4419" t="str">
        <f>IFERROR(__xludf.DUMMYFUNCTION("IFS(
  AND(REGEXMATCH(E4419, ""台銀籌備帳戶|玉山帳戶""), REGEXMATCH(C4419, ""薪資"")), ""分潤支出"",
  AND(REGEXMATCH(E4419, ""Ben帳戶|Elsa帳戶|Ben代墊|Ariel代墊|中信銀行共用""), REGEXMATCH(F4419, ""Ben帳戶|Elsa帳戶|Ben代墊|Ariel代墊|中信銀行共用"")), ""內部轉帳(忽略)"",
  AND(E4419&lt;&gt;"""", F4419&lt;&gt;"""", N"&amp;"OT(REGEXMATCH(C4419, ""薪資""))), ""內部轉帳(忽略)"",
  REGEXMATCH(C4419, ""薪資""), ""薪資變動(不計入)"",
  REGEXMATCH(C4419, ""押金""), ""押金往來"",
  AND(E4419&lt;&gt;"""", F4419=""""), ""真實支出"",
  AND(E4419="""", F4419&lt;&gt;""""), ""真實收入"",
  TRUE, ""其他""
)"),"真實支出")</f>
        <v>真實支出</v>
      </c>
      <c r="K4419" s="270">
        <f t="shared" si="2"/>
        <v>-15000</v>
      </c>
      <c r="L4419">
        <f t="shared" si="3"/>
        <v>0</v>
      </c>
    </row>
    <row r="4420">
      <c r="A4420" s="107">
        <f>IFERROR(__xludf.DUMMYFUNCTION("""COMPUTED_VALUE"""),45723.0)</f>
        <v>45723</v>
      </c>
      <c r="B4420" t="str">
        <f>IFERROR(__xludf.DUMMYFUNCTION("""COMPUTED_VALUE"""),"費用 - 匯費 對方行:822 後五碼:33337 (行號: 7)")</f>
        <v>費用 - 匯費 對方行:822 後五碼:33337 (行號: 7)</v>
      </c>
      <c r="C4420" t="str">
        <f>IFERROR(__xludf.DUMMYFUNCTION("""COMPUTED_VALUE"""),"費用 - 匯費")</f>
        <v>費用 - 匯費</v>
      </c>
      <c r="D4420" s="270">
        <f>IFERROR(__xludf.DUMMYFUNCTION("""COMPUTED_VALUE"""),-15.0)</f>
        <v>-15</v>
      </c>
      <c r="E4420" t="str">
        <f>IFERROR(__xludf.DUMMYFUNCTION("""COMPUTED_VALUE"""),"玉山帳戶")</f>
        <v>玉山帳戶</v>
      </c>
      <c r="H4420" s="106" t="str">
        <f t="shared" si="1"/>
        <v>2025-03</v>
      </c>
      <c r="I4420" s="271" t="str">
        <f>IFERROR(__xludf.DUMMYFUNCTION("""COMPUTED_VALUE"""),"鯰魚大大")</f>
        <v>鯰魚大大</v>
      </c>
      <c r="J4420" t="str">
        <f>IFERROR(__xludf.DUMMYFUNCTION("IFS(
  AND(REGEXMATCH(E4420, ""台銀籌備帳戶|玉山帳戶""), REGEXMATCH(C4420, ""薪資"")), ""分潤支出"",
  AND(REGEXMATCH(E4420, ""Ben帳戶|Elsa帳戶|Ben代墊|Ariel代墊|中信銀行共用""), REGEXMATCH(F4420, ""Ben帳戶|Elsa帳戶|Ben代墊|Ariel代墊|中信銀行共用"")), ""內部轉帳(忽略)"",
  AND(E4420&lt;&gt;"""", F4420&lt;&gt;"""", N"&amp;"OT(REGEXMATCH(C4420, ""薪資""))), ""內部轉帳(忽略)"",
  REGEXMATCH(C4420, ""薪資""), ""薪資變動(不計入)"",
  REGEXMATCH(C4420, ""押金""), ""押金往來"",
  AND(E4420&lt;&gt;"""", F4420=""""), ""真實支出"",
  AND(E4420="""", F4420&lt;&gt;""""), ""真實收入"",
  TRUE, ""其他""
)"),"真實支出")</f>
        <v>真實支出</v>
      </c>
      <c r="K4420" s="270">
        <f t="shared" si="2"/>
        <v>-15</v>
      </c>
      <c r="L4420">
        <f t="shared" si="3"/>
        <v>0</v>
      </c>
    </row>
    <row r="4421">
      <c r="A4421" s="107">
        <f>IFERROR(__xludf.DUMMYFUNCTION("""COMPUTED_VALUE"""),45723.0)</f>
        <v>45723</v>
      </c>
      <c r="B4421" t="str">
        <f>IFERROR(__xludf.DUMMYFUNCTION("""COMPUTED_VALUE"""),"代墊款 【未分類支出】")</f>
        <v>代墊款 【未分類支出】</v>
      </c>
      <c r="C4421" t="str">
        <f>IFERROR(__xludf.DUMMYFUNCTION("""COMPUTED_VALUE"""),"費用 - Salary 薪資")</f>
        <v>費用 - Salary 薪資</v>
      </c>
      <c r="D4421" s="270">
        <f>IFERROR(__xludf.DUMMYFUNCTION("""COMPUTED_VALUE"""),-100000.0)</f>
        <v>-100000</v>
      </c>
      <c r="E4421" t="str">
        <f>IFERROR(__xludf.DUMMYFUNCTION("""COMPUTED_VALUE"""),"玉山帳戶")</f>
        <v>玉山帳戶</v>
      </c>
      <c r="F4421" t="str">
        <f>IFERROR(__xludf.DUMMYFUNCTION("""COMPUTED_VALUE"""),"Ariel代墊")</f>
        <v>Ariel代墊</v>
      </c>
      <c r="H4421" s="106" t="str">
        <f t="shared" si="1"/>
        <v>2025-03</v>
      </c>
      <c r="I4421" s="271" t="str">
        <f>IFERROR(__xludf.DUMMYFUNCTION("""COMPUTED_VALUE"""),"鯰魚大大")</f>
        <v>鯰魚大大</v>
      </c>
      <c r="J4421" t="str">
        <f>IFERROR(__xludf.DUMMYFUNCTION("IFS(
  AND(REGEXMATCH(E4421, ""台銀籌備帳戶|玉山帳戶""), REGEXMATCH(C4421, ""薪資"")), ""分潤支出"",
  AND(REGEXMATCH(E4421, ""Ben帳戶|Elsa帳戶|Ben代墊|Ariel代墊|中信銀行共用""), REGEXMATCH(F4421, ""Ben帳戶|Elsa帳戶|Ben代墊|Ariel代墊|中信銀行共用"")), ""內部轉帳(忽略)"",
  AND(E4421&lt;&gt;"""", F4421&lt;&gt;"""", N"&amp;"OT(REGEXMATCH(C4421, ""薪資""))), ""內部轉帳(忽略)"",
  REGEXMATCH(C4421, ""薪資""), ""薪資變動(不計入)"",
  REGEXMATCH(C4421, ""押金""), ""押金往來"",
  AND(E4421&lt;&gt;"""", F4421=""""), ""真實支出"",
  AND(E4421="""", F4421&lt;&gt;""""), ""真實收入"",
  TRUE, ""其他""
)"),"分潤支出")</f>
        <v>分潤支出</v>
      </c>
      <c r="K4421">
        <f t="shared" si="2"/>
        <v>0</v>
      </c>
      <c r="L4421">
        <f t="shared" si="3"/>
        <v>100000</v>
      </c>
    </row>
    <row r="4422">
      <c r="A4422" s="107">
        <f>IFERROR(__xludf.DUMMYFUNCTION("""COMPUTED_VALUE"""),45733.0)</f>
        <v>45733</v>
      </c>
      <c r="B4422" t="str">
        <f>IFERROR(__xludf.DUMMYFUNCTION("""COMPUTED_VALUE"""),"費用 - 匯費 對方行:013 後五碼:78744 (行號: 8)")</f>
        <v>費用 - 匯費 對方行:013 後五碼:78744 (行號: 8)</v>
      </c>
      <c r="C4422" t="str">
        <f>IFERROR(__xludf.DUMMYFUNCTION("""COMPUTED_VALUE"""),"費用 - 匯費")</f>
        <v>費用 - 匯費</v>
      </c>
      <c r="D4422" s="270">
        <f>IFERROR(__xludf.DUMMYFUNCTION("""COMPUTED_VALUE"""),-15.0)</f>
        <v>-15</v>
      </c>
      <c r="E4422" t="str">
        <f>IFERROR(__xludf.DUMMYFUNCTION("""COMPUTED_VALUE"""),"玉山帳戶")</f>
        <v>玉山帳戶</v>
      </c>
      <c r="H4422" s="106" t="str">
        <f t="shared" si="1"/>
        <v>2025-03</v>
      </c>
      <c r="I4422" s="271" t="str">
        <f>IFERROR(__xludf.DUMMYFUNCTION("""COMPUTED_VALUE"""),"鯰魚大大")</f>
        <v>鯰魚大大</v>
      </c>
      <c r="J4422" t="str">
        <f>IFERROR(__xludf.DUMMYFUNCTION("IFS(
  AND(REGEXMATCH(E4422, ""台銀籌備帳戶|玉山帳戶""), REGEXMATCH(C4422, ""薪資"")), ""分潤支出"",
  AND(REGEXMATCH(E4422, ""Ben帳戶|Elsa帳戶|Ben代墊|Ariel代墊|中信銀行共用""), REGEXMATCH(F4422, ""Ben帳戶|Elsa帳戶|Ben代墊|Ariel代墊|中信銀行共用"")), ""內部轉帳(忽略)"",
  AND(E4422&lt;&gt;"""", F4422&lt;&gt;"""", N"&amp;"OT(REGEXMATCH(C4422, ""薪資""))), ""內部轉帳(忽略)"",
  REGEXMATCH(C4422, ""薪資""), ""薪資變動(不計入)"",
  REGEXMATCH(C4422, ""押金""), ""押金往來"",
  AND(E4422&lt;&gt;"""", F4422=""""), ""真實支出"",
  AND(E4422="""", F4422&lt;&gt;""""), ""真實收入"",
  TRUE, ""其他""
)"),"真實支出")</f>
        <v>真實支出</v>
      </c>
      <c r="K4422" s="270">
        <f t="shared" si="2"/>
        <v>-15</v>
      </c>
      <c r="L4422">
        <f t="shared" si="3"/>
        <v>0</v>
      </c>
    </row>
    <row r="4423">
      <c r="A4423" s="107">
        <f>IFERROR(__xludf.DUMMYFUNCTION("""COMPUTED_VALUE"""),45733.0)</f>
        <v>45733</v>
      </c>
      <c r="B4423" t="str">
        <f>IFERROR(__xludf.DUMMYFUNCTION("""COMPUTED_VALUE"""),"[士林和豐] [楊政偉] 大租金")</f>
        <v>[士林和豐] [楊政偉] 大租金</v>
      </c>
      <c r="C4423" t="str">
        <f>IFERROR(__xludf.DUMMYFUNCTION("""COMPUTED_VALUE"""),"成本 - 大租金")</f>
        <v>成本 - 大租金</v>
      </c>
      <c r="D4423" s="270">
        <f>IFERROR(__xludf.DUMMYFUNCTION("""COMPUTED_VALUE"""),-14400.0)</f>
        <v>-14400</v>
      </c>
      <c r="E4423" t="str">
        <f>IFERROR(__xludf.DUMMYFUNCTION("""COMPUTED_VALUE"""),"玉山帳戶")</f>
        <v>玉山帳戶</v>
      </c>
      <c r="G4423" t="str">
        <f>IFERROR(__xludf.DUMMYFUNCTION("""COMPUTED_VALUE"""),"士林和豐")</f>
        <v>士林和豐</v>
      </c>
      <c r="H4423" s="106" t="str">
        <f t="shared" si="1"/>
        <v>2025-03</v>
      </c>
      <c r="I4423" s="271" t="str">
        <f>IFERROR(__xludf.DUMMYFUNCTION("""COMPUTED_VALUE"""),"鯰魚大大")</f>
        <v>鯰魚大大</v>
      </c>
      <c r="J4423" t="str">
        <f>IFERROR(__xludf.DUMMYFUNCTION("IFS(
  AND(REGEXMATCH(E4423, ""台銀籌備帳戶|玉山帳戶""), REGEXMATCH(C4423, ""薪資"")), ""分潤支出"",
  AND(REGEXMATCH(E4423, ""Ben帳戶|Elsa帳戶|Ben代墊|Ariel代墊|中信銀行共用""), REGEXMATCH(F4423, ""Ben帳戶|Elsa帳戶|Ben代墊|Ariel代墊|中信銀行共用"")), ""內部轉帳(忽略)"",
  AND(E4423&lt;&gt;"""", F4423&lt;&gt;"""", N"&amp;"OT(REGEXMATCH(C4423, ""薪資""))), ""內部轉帳(忽略)"",
  REGEXMATCH(C4423, ""薪資""), ""薪資變動(不計入)"",
  REGEXMATCH(C4423, ""押金""), ""押金往來"",
  AND(E4423&lt;&gt;"""", F4423=""""), ""真實支出"",
  AND(E4423="""", F4423&lt;&gt;""""), ""真實收入"",
  TRUE, ""其他""
)"),"真實支出")</f>
        <v>真實支出</v>
      </c>
      <c r="K4423" s="270">
        <f t="shared" si="2"/>
        <v>-14400</v>
      </c>
      <c r="L4423">
        <f t="shared" si="3"/>
        <v>0</v>
      </c>
    </row>
    <row r="4424">
      <c r="A4424" s="107">
        <f>IFERROR(__xludf.DUMMYFUNCTION("""COMPUTED_VALUE"""),45733.0)</f>
        <v>45733</v>
      </c>
      <c r="B4424" t="str">
        <f>IFERROR(__xludf.DUMMYFUNCTION("""COMPUTED_VALUE"""),"費用 - 匯費 對方行:012 後五碼:68447 (行號: 9)")</f>
        <v>費用 - 匯費 對方行:012 後五碼:68447 (行號: 9)</v>
      </c>
      <c r="C4424" t="str">
        <f>IFERROR(__xludf.DUMMYFUNCTION("""COMPUTED_VALUE"""),"費用 - 匯費")</f>
        <v>費用 - 匯費</v>
      </c>
      <c r="D4424" s="270">
        <f>IFERROR(__xludf.DUMMYFUNCTION("""COMPUTED_VALUE"""),-15.0)</f>
        <v>-15</v>
      </c>
      <c r="E4424" t="str">
        <f>IFERROR(__xludf.DUMMYFUNCTION("""COMPUTED_VALUE"""),"玉山帳戶")</f>
        <v>玉山帳戶</v>
      </c>
      <c r="H4424" s="106" t="str">
        <f t="shared" si="1"/>
        <v>2025-03</v>
      </c>
      <c r="I4424" s="271" t="str">
        <f>IFERROR(__xludf.DUMMYFUNCTION("""COMPUTED_VALUE"""),"鯰魚大大")</f>
        <v>鯰魚大大</v>
      </c>
      <c r="J4424" t="str">
        <f>IFERROR(__xludf.DUMMYFUNCTION("IFS(
  AND(REGEXMATCH(E4424, ""台銀籌備帳戶|玉山帳戶""), REGEXMATCH(C4424, ""薪資"")), ""分潤支出"",
  AND(REGEXMATCH(E4424, ""Ben帳戶|Elsa帳戶|Ben代墊|Ariel代墊|中信銀行共用""), REGEXMATCH(F4424, ""Ben帳戶|Elsa帳戶|Ben代墊|Ariel代墊|中信銀行共用"")), ""內部轉帳(忽略)"",
  AND(E4424&lt;&gt;"""", F4424&lt;&gt;"""", N"&amp;"OT(REGEXMATCH(C4424, ""薪資""))), ""內部轉帳(忽略)"",
  REGEXMATCH(C4424, ""薪資""), ""薪資變動(不計入)"",
  REGEXMATCH(C4424, ""押金""), ""押金往來"",
  AND(E4424&lt;&gt;"""", F4424=""""), ""真實支出"",
  AND(E4424="""", F4424&lt;&gt;""""), ""真實收入"",
  TRUE, ""其他""
)"),"真實支出")</f>
        <v>真實支出</v>
      </c>
      <c r="K4424" s="270">
        <f t="shared" si="2"/>
        <v>-15</v>
      </c>
      <c r="L4424">
        <f t="shared" si="3"/>
        <v>0</v>
      </c>
    </row>
    <row r="4425">
      <c r="A4425" s="107">
        <f>IFERROR(__xludf.DUMMYFUNCTION("""COMPUTED_VALUE"""),45733.0)</f>
        <v>45733</v>
      </c>
      <c r="B4425" t="str">
        <f>IFERROR(__xludf.DUMMYFUNCTION("""COMPUTED_VALUE"""),"[行天宮夏野良栗] [沈蕙萱] 大租金")</f>
        <v>[行天宮夏野良栗] [沈蕙萱] 大租金</v>
      </c>
      <c r="C4425" t="str">
        <f>IFERROR(__xludf.DUMMYFUNCTION("""COMPUTED_VALUE"""),"成本 - 大租金")</f>
        <v>成本 - 大租金</v>
      </c>
      <c r="D4425" s="270">
        <f>IFERROR(__xludf.DUMMYFUNCTION("""COMPUTED_VALUE"""),-19900.0)</f>
        <v>-19900</v>
      </c>
      <c r="E4425" t="str">
        <f>IFERROR(__xludf.DUMMYFUNCTION("""COMPUTED_VALUE"""),"玉山帳戶")</f>
        <v>玉山帳戶</v>
      </c>
      <c r="G4425" t="str">
        <f>IFERROR(__xludf.DUMMYFUNCTION("""COMPUTED_VALUE"""),"行天宮夏野良栗")</f>
        <v>行天宮夏野良栗</v>
      </c>
      <c r="H4425" s="106" t="str">
        <f t="shared" si="1"/>
        <v>2025-03</v>
      </c>
      <c r="I4425" s="271" t="str">
        <f>IFERROR(__xludf.DUMMYFUNCTION("""COMPUTED_VALUE"""),"鯰魚大大")</f>
        <v>鯰魚大大</v>
      </c>
      <c r="J4425" t="str">
        <f>IFERROR(__xludf.DUMMYFUNCTION("IFS(
  AND(REGEXMATCH(E4425, ""台銀籌備帳戶|玉山帳戶""), REGEXMATCH(C4425, ""薪資"")), ""分潤支出"",
  AND(REGEXMATCH(E4425, ""Ben帳戶|Elsa帳戶|Ben代墊|Ariel代墊|中信銀行共用""), REGEXMATCH(F4425, ""Ben帳戶|Elsa帳戶|Ben代墊|Ariel代墊|中信銀行共用"")), ""內部轉帳(忽略)"",
  AND(E4425&lt;&gt;"""", F4425&lt;&gt;"""", N"&amp;"OT(REGEXMATCH(C4425, ""薪資""))), ""內部轉帳(忽略)"",
  REGEXMATCH(C4425, ""薪資""), ""薪資變動(不計入)"",
  REGEXMATCH(C4425, ""押金""), ""押金往來"",
  AND(E4425&lt;&gt;"""", F4425=""""), ""真實支出"",
  AND(E4425="""", F4425&lt;&gt;""""), ""真實收入"",
  TRUE, ""其他""
)"),"真實支出")</f>
        <v>真實支出</v>
      </c>
      <c r="K4425" s="270">
        <f t="shared" si="2"/>
        <v>-19900</v>
      </c>
      <c r="L4425">
        <f t="shared" si="3"/>
        <v>0</v>
      </c>
    </row>
    <row r="4426">
      <c r="A4426" s="107">
        <f>IFERROR(__xludf.DUMMYFUNCTION("""COMPUTED_VALUE"""),45748.0)</f>
        <v>45748</v>
      </c>
      <c r="B4426" t="str">
        <f>IFERROR(__xludf.DUMMYFUNCTION("""COMPUTED_VALUE"""),"費用 - 匯費 對方行:013 後五碼:78744 (行號: 11)")</f>
        <v>費用 - 匯費 對方行:013 後五碼:78744 (行號: 11)</v>
      </c>
      <c r="C4426" t="str">
        <f>IFERROR(__xludf.DUMMYFUNCTION("""COMPUTED_VALUE"""),"費用 - 匯費")</f>
        <v>費用 - 匯費</v>
      </c>
      <c r="D4426" s="270">
        <f>IFERROR(__xludf.DUMMYFUNCTION("""COMPUTED_VALUE"""),-15.0)</f>
        <v>-15</v>
      </c>
      <c r="E4426" t="str">
        <f>IFERROR(__xludf.DUMMYFUNCTION("""COMPUTED_VALUE"""),"玉山帳戶")</f>
        <v>玉山帳戶</v>
      </c>
      <c r="H4426" s="106" t="str">
        <f t="shared" si="1"/>
        <v>2025-04</v>
      </c>
      <c r="I4426" s="271" t="str">
        <f>IFERROR(__xludf.DUMMYFUNCTION("""COMPUTED_VALUE"""),"鯰魚大大")</f>
        <v>鯰魚大大</v>
      </c>
      <c r="J4426" t="str">
        <f>IFERROR(__xludf.DUMMYFUNCTION("IFS(
  AND(REGEXMATCH(E4426, ""台銀籌備帳戶|玉山帳戶""), REGEXMATCH(C4426, ""薪資"")), ""分潤支出"",
  AND(REGEXMATCH(E4426, ""Ben帳戶|Elsa帳戶|Ben代墊|Ariel代墊|中信銀行共用""), REGEXMATCH(F4426, ""Ben帳戶|Elsa帳戶|Ben代墊|Ariel代墊|中信銀行共用"")), ""內部轉帳(忽略)"",
  AND(E4426&lt;&gt;"""", F4426&lt;&gt;"""", N"&amp;"OT(REGEXMATCH(C4426, ""薪資""))), ""內部轉帳(忽略)"",
  REGEXMATCH(C4426, ""薪資""), ""薪資變動(不計入)"",
  REGEXMATCH(C4426, ""押金""), ""押金往來"",
  AND(E4426&lt;&gt;"""", F4426=""""), ""真實支出"",
  AND(E4426="""", F4426&lt;&gt;""""), ""真實收入"",
  TRUE, ""其他""
)"),"真實支出")</f>
        <v>真實支出</v>
      </c>
      <c r="K4426" s="270">
        <f t="shared" si="2"/>
        <v>-15</v>
      </c>
      <c r="L4426">
        <f t="shared" si="3"/>
        <v>0</v>
      </c>
    </row>
    <row r="4427">
      <c r="A4427" s="107">
        <f>IFERROR(__xludf.DUMMYFUNCTION("""COMPUTED_VALUE"""),45748.0)</f>
        <v>45748</v>
      </c>
      <c r="B4427" t="str">
        <f>IFERROR(__xludf.DUMMYFUNCTION("""COMPUTED_VALUE"""),"[士林和豐] [楊政偉] 大租金")</f>
        <v>[士林和豐] [楊政偉] 大租金</v>
      </c>
      <c r="C4427" t="str">
        <f>IFERROR(__xludf.DUMMYFUNCTION("""COMPUTED_VALUE"""),"成本 - 大租金")</f>
        <v>成本 - 大租金</v>
      </c>
      <c r="D4427" s="270">
        <f>IFERROR(__xludf.DUMMYFUNCTION("""COMPUTED_VALUE"""),-14400.0)</f>
        <v>-14400</v>
      </c>
      <c r="E4427" t="str">
        <f>IFERROR(__xludf.DUMMYFUNCTION("""COMPUTED_VALUE"""),"玉山帳戶")</f>
        <v>玉山帳戶</v>
      </c>
      <c r="G4427" t="str">
        <f>IFERROR(__xludf.DUMMYFUNCTION("""COMPUTED_VALUE"""),"士林和豐")</f>
        <v>士林和豐</v>
      </c>
      <c r="H4427" s="106" t="str">
        <f t="shared" si="1"/>
        <v>2025-04</v>
      </c>
      <c r="I4427" s="271" t="str">
        <f>IFERROR(__xludf.DUMMYFUNCTION("""COMPUTED_VALUE"""),"鯰魚大大")</f>
        <v>鯰魚大大</v>
      </c>
      <c r="J4427" t="str">
        <f>IFERROR(__xludf.DUMMYFUNCTION("IFS(
  AND(REGEXMATCH(E4427, ""台銀籌備帳戶|玉山帳戶""), REGEXMATCH(C4427, ""薪資"")), ""分潤支出"",
  AND(REGEXMATCH(E4427, ""Ben帳戶|Elsa帳戶|Ben代墊|Ariel代墊|中信銀行共用""), REGEXMATCH(F4427, ""Ben帳戶|Elsa帳戶|Ben代墊|Ariel代墊|中信銀行共用"")), ""內部轉帳(忽略)"",
  AND(E4427&lt;&gt;"""", F4427&lt;&gt;"""", N"&amp;"OT(REGEXMATCH(C4427, ""薪資""))), ""內部轉帳(忽略)"",
  REGEXMATCH(C4427, ""薪資""), ""薪資變動(不計入)"",
  REGEXMATCH(C4427, ""押金""), ""押金往來"",
  AND(E4427&lt;&gt;"""", F4427=""""), ""真實支出"",
  AND(E4427="""", F4427&lt;&gt;""""), ""真實收入"",
  TRUE, ""其他""
)"),"真實支出")</f>
        <v>真實支出</v>
      </c>
      <c r="K4427" s="270">
        <f t="shared" si="2"/>
        <v>-14400</v>
      </c>
      <c r="L4427">
        <f t="shared" si="3"/>
        <v>0</v>
      </c>
    </row>
    <row r="4428">
      <c r="A4428" s="107">
        <f>IFERROR(__xludf.DUMMYFUNCTION("""COMPUTED_VALUE"""),45748.0)</f>
        <v>45748</v>
      </c>
      <c r="B4428" t="str">
        <f>IFERROR(__xludf.DUMMYFUNCTION("""COMPUTED_VALUE"""),"費用 - 匯費 對方行:012 後五碼:68447 (行號: 12)")</f>
        <v>費用 - 匯費 對方行:012 後五碼:68447 (行號: 12)</v>
      </c>
      <c r="C4428" t="str">
        <f>IFERROR(__xludf.DUMMYFUNCTION("""COMPUTED_VALUE"""),"費用 - 匯費")</f>
        <v>費用 - 匯費</v>
      </c>
      <c r="D4428" s="270">
        <f>IFERROR(__xludf.DUMMYFUNCTION("""COMPUTED_VALUE"""),-15.0)</f>
        <v>-15</v>
      </c>
      <c r="E4428" t="str">
        <f>IFERROR(__xludf.DUMMYFUNCTION("""COMPUTED_VALUE"""),"玉山帳戶")</f>
        <v>玉山帳戶</v>
      </c>
      <c r="H4428" s="106" t="str">
        <f t="shared" si="1"/>
        <v>2025-04</v>
      </c>
      <c r="I4428" s="271" t="str">
        <f>IFERROR(__xludf.DUMMYFUNCTION("""COMPUTED_VALUE"""),"鯰魚大大")</f>
        <v>鯰魚大大</v>
      </c>
      <c r="J4428" t="str">
        <f>IFERROR(__xludf.DUMMYFUNCTION("IFS(
  AND(REGEXMATCH(E4428, ""台銀籌備帳戶|玉山帳戶""), REGEXMATCH(C4428, ""薪資"")), ""分潤支出"",
  AND(REGEXMATCH(E4428, ""Ben帳戶|Elsa帳戶|Ben代墊|Ariel代墊|中信銀行共用""), REGEXMATCH(F4428, ""Ben帳戶|Elsa帳戶|Ben代墊|Ariel代墊|中信銀行共用"")), ""內部轉帳(忽略)"",
  AND(E4428&lt;&gt;"""", F4428&lt;&gt;"""", N"&amp;"OT(REGEXMATCH(C4428, ""薪資""))), ""內部轉帳(忽略)"",
  REGEXMATCH(C4428, ""薪資""), ""薪資變動(不計入)"",
  REGEXMATCH(C4428, ""押金""), ""押金往來"",
  AND(E4428&lt;&gt;"""", F4428=""""), ""真實支出"",
  AND(E4428="""", F4428&lt;&gt;""""), ""真實收入"",
  TRUE, ""其他""
)"),"真實支出")</f>
        <v>真實支出</v>
      </c>
      <c r="K4428" s="270">
        <f t="shared" si="2"/>
        <v>-15</v>
      </c>
      <c r="L4428">
        <f t="shared" si="3"/>
        <v>0</v>
      </c>
    </row>
    <row r="4429">
      <c r="A4429" s="107">
        <f>IFERROR(__xludf.DUMMYFUNCTION("""COMPUTED_VALUE"""),45748.0)</f>
        <v>45748</v>
      </c>
      <c r="B4429" t="str">
        <f>IFERROR(__xludf.DUMMYFUNCTION("""COMPUTED_VALUE"""),"[行天宮夏野良栗] [沈蕙萱] 大租金")</f>
        <v>[行天宮夏野良栗] [沈蕙萱] 大租金</v>
      </c>
      <c r="C4429" t="str">
        <f>IFERROR(__xludf.DUMMYFUNCTION("""COMPUTED_VALUE"""),"成本 - 大租金")</f>
        <v>成本 - 大租金</v>
      </c>
      <c r="D4429" s="270">
        <f>IFERROR(__xludf.DUMMYFUNCTION("""COMPUTED_VALUE"""),-19900.0)</f>
        <v>-19900</v>
      </c>
      <c r="E4429" t="str">
        <f>IFERROR(__xludf.DUMMYFUNCTION("""COMPUTED_VALUE"""),"玉山帳戶")</f>
        <v>玉山帳戶</v>
      </c>
      <c r="G4429" t="str">
        <f>IFERROR(__xludf.DUMMYFUNCTION("""COMPUTED_VALUE"""),"行天宮夏野良栗")</f>
        <v>行天宮夏野良栗</v>
      </c>
      <c r="H4429" s="106" t="str">
        <f t="shared" si="1"/>
        <v>2025-04</v>
      </c>
      <c r="I4429" s="271" t="str">
        <f>IFERROR(__xludf.DUMMYFUNCTION("""COMPUTED_VALUE"""),"鯰魚大大")</f>
        <v>鯰魚大大</v>
      </c>
      <c r="J4429" t="str">
        <f>IFERROR(__xludf.DUMMYFUNCTION("IFS(
  AND(REGEXMATCH(E4429, ""台銀籌備帳戶|玉山帳戶""), REGEXMATCH(C4429, ""薪資"")), ""分潤支出"",
  AND(REGEXMATCH(E4429, ""Ben帳戶|Elsa帳戶|Ben代墊|Ariel代墊|中信銀行共用""), REGEXMATCH(F4429, ""Ben帳戶|Elsa帳戶|Ben代墊|Ariel代墊|中信銀行共用"")), ""內部轉帳(忽略)"",
  AND(E4429&lt;&gt;"""", F4429&lt;&gt;"""", N"&amp;"OT(REGEXMATCH(C4429, ""薪資""))), ""內部轉帳(忽略)"",
  REGEXMATCH(C4429, ""薪資""), ""薪資變動(不計入)"",
  REGEXMATCH(C4429, ""押金""), ""押金往來"",
  AND(E4429&lt;&gt;"""", F4429=""""), ""真實支出"",
  AND(E4429="""", F4429&lt;&gt;""""), ""真實收入"",
  TRUE, ""其他""
)"),"真實支出")</f>
        <v>真實支出</v>
      </c>
      <c r="K4429" s="270">
        <f t="shared" si="2"/>
        <v>-19900</v>
      </c>
      <c r="L4429">
        <f t="shared" si="3"/>
        <v>0</v>
      </c>
    </row>
    <row r="4430">
      <c r="A4430" s="107">
        <f>IFERROR(__xludf.DUMMYFUNCTION("""COMPUTED_VALUE"""),45748.0)</f>
        <v>45748</v>
      </c>
      <c r="B4430" t="str">
        <f>IFERROR(__xludf.DUMMYFUNCTION("""COMPUTED_VALUE"""),"費用 - 匯費 對方行:012 後五碼:53048 (行號: 13)")</f>
        <v>費用 - 匯費 對方行:012 後五碼:53048 (行號: 13)</v>
      </c>
      <c r="C4430" t="str">
        <f>IFERROR(__xludf.DUMMYFUNCTION("""COMPUTED_VALUE"""),"費用 - 匯費")</f>
        <v>費用 - 匯費</v>
      </c>
      <c r="D4430" s="270">
        <f>IFERROR(__xludf.DUMMYFUNCTION("""COMPUTED_VALUE"""),-15.0)</f>
        <v>-15</v>
      </c>
      <c r="E4430" t="str">
        <f>IFERROR(__xludf.DUMMYFUNCTION("""COMPUTED_VALUE"""),"玉山帳戶")</f>
        <v>玉山帳戶</v>
      </c>
      <c r="H4430" s="106" t="str">
        <f t="shared" si="1"/>
        <v>2025-04</v>
      </c>
      <c r="I4430" s="271" t="str">
        <f>IFERROR(__xludf.DUMMYFUNCTION("""COMPUTED_VALUE"""),"鯰魚大大")</f>
        <v>鯰魚大大</v>
      </c>
      <c r="J4430" t="str">
        <f>IFERROR(__xludf.DUMMYFUNCTION("IFS(
  AND(REGEXMATCH(E4430, ""台銀籌備帳戶|玉山帳戶""), REGEXMATCH(C4430, ""薪資"")), ""分潤支出"",
  AND(REGEXMATCH(E4430, ""Ben帳戶|Elsa帳戶|Ben代墊|Ariel代墊|中信銀行共用""), REGEXMATCH(F4430, ""Ben帳戶|Elsa帳戶|Ben代墊|Ariel代墊|中信銀行共用"")), ""內部轉帳(忽略)"",
  AND(E4430&lt;&gt;"""", F4430&lt;&gt;"""", N"&amp;"OT(REGEXMATCH(C4430, ""薪資""))), ""內部轉帳(忽略)"",
  REGEXMATCH(C4430, ""薪資""), ""薪資變動(不計入)"",
  REGEXMATCH(C4430, ""押金""), ""押金往來"",
  AND(E4430&lt;&gt;"""", F4430=""""), ""真實支出"",
  AND(E4430="""", F4430&lt;&gt;""""), ""真實收入"",
  TRUE, ""其他""
)"),"真實支出")</f>
        <v>真實支出</v>
      </c>
      <c r="K4430" s="270">
        <f t="shared" si="2"/>
        <v>-15</v>
      </c>
      <c r="L4430">
        <f t="shared" si="3"/>
        <v>0</v>
      </c>
    </row>
    <row r="4431">
      <c r="A4431" s="107">
        <f>IFERROR(__xludf.DUMMYFUNCTION("""COMPUTED_VALUE"""),45748.0)</f>
        <v>45748</v>
      </c>
      <c r="B4431" t="str">
        <f>IFERROR(__xludf.DUMMYFUNCTION("""COMPUTED_VALUE"""),"[內湖秘境] [周佳慧] 大租金")</f>
        <v>[內湖秘境] [周佳慧] 大租金</v>
      </c>
      <c r="C4431" t="str">
        <f>IFERROR(__xludf.DUMMYFUNCTION("""COMPUTED_VALUE"""),"成本 - 大租金")</f>
        <v>成本 - 大租金</v>
      </c>
      <c r="D4431" s="270">
        <f>IFERROR(__xludf.DUMMYFUNCTION("""COMPUTED_VALUE"""),-15000.0)</f>
        <v>-15000</v>
      </c>
      <c r="E4431" t="str">
        <f>IFERROR(__xludf.DUMMYFUNCTION("""COMPUTED_VALUE"""),"玉山帳戶")</f>
        <v>玉山帳戶</v>
      </c>
      <c r="G4431" t="str">
        <f>IFERROR(__xludf.DUMMYFUNCTION("""COMPUTED_VALUE"""),"內湖秘境")</f>
        <v>內湖秘境</v>
      </c>
      <c r="H4431" s="106" t="str">
        <f t="shared" si="1"/>
        <v>2025-04</v>
      </c>
      <c r="I4431" s="271" t="str">
        <f>IFERROR(__xludf.DUMMYFUNCTION("""COMPUTED_VALUE"""),"鯰魚大大")</f>
        <v>鯰魚大大</v>
      </c>
      <c r="J4431" t="str">
        <f>IFERROR(__xludf.DUMMYFUNCTION("IFS(
  AND(REGEXMATCH(E4431, ""台銀籌備帳戶|玉山帳戶""), REGEXMATCH(C4431, ""薪資"")), ""分潤支出"",
  AND(REGEXMATCH(E4431, ""Ben帳戶|Elsa帳戶|Ben代墊|Ariel代墊|中信銀行共用""), REGEXMATCH(F4431, ""Ben帳戶|Elsa帳戶|Ben代墊|Ariel代墊|中信銀行共用"")), ""內部轉帳(忽略)"",
  AND(E4431&lt;&gt;"""", F4431&lt;&gt;"""", N"&amp;"OT(REGEXMATCH(C4431, ""薪資""))), ""內部轉帳(忽略)"",
  REGEXMATCH(C4431, ""薪資""), ""薪資變動(不計入)"",
  REGEXMATCH(C4431, ""押金""), ""押金往來"",
  AND(E4431&lt;&gt;"""", F4431=""""), ""真實支出"",
  AND(E4431="""", F4431&lt;&gt;""""), ""真實收入"",
  TRUE, ""其他""
)"),"真實支出")</f>
        <v>真實支出</v>
      </c>
      <c r="K4431" s="270">
        <f t="shared" si="2"/>
        <v>-15000</v>
      </c>
      <c r="L4431">
        <f t="shared" si="3"/>
        <v>0</v>
      </c>
    </row>
    <row r="4432">
      <c r="A4432" s="107">
        <f>IFERROR(__xludf.DUMMYFUNCTION("""COMPUTED_VALUE"""),45749.0)</f>
        <v>45749</v>
      </c>
      <c r="B4432" t="str">
        <f>IFERROR(__xludf.DUMMYFUNCTION("""COMPUTED_VALUE"""),"費用 - 匯費 對方行:700 後五碼:84843 (行號: 22)")</f>
        <v>費用 - 匯費 對方行:700 後五碼:84843 (行號: 22)</v>
      </c>
      <c r="C4432" t="str">
        <f>IFERROR(__xludf.DUMMYFUNCTION("""COMPUTED_VALUE"""),"費用 - 匯費")</f>
        <v>費用 - 匯費</v>
      </c>
      <c r="D4432" s="270">
        <f>IFERROR(__xludf.DUMMYFUNCTION("""COMPUTED_VALUE"""),-15.0)</f>
        <v>-15</v>
      </c>
      <c r="E4432" t="str">
        <f>IFERROR(__xludf.DUMMYFUNCTION("""COMPUTED_VALUE"""),"玉山帳戶")</f>
        <v>玉山帳戶</v>
      </c>
      <c r="H4432" s="106" t="str">
        <f t="shared" si="1"/>
        <v>2025-04</v>
      </c>
      <c r="I4432" s="271" t="str">
        <f>IFERROR(__xludf.DUMMYFUNCTION("""COMPUTED_VALUE"""),"鯰魚大大")</f>
        <v>鯰魚大大</v>
      </c>
      <c r="J4432" t="str">
        <f>IFERROR(__xludf.DUMMYFUNCTION("IFS(
  AND(REGEXMATCH(E4432, ""台銀籌備帳戶|玉山帳戶""), REGEXMATCH(C4432, ""薪資"")), ""分潤支出"",
  AND(REGEXMATCH(E4432, ""Ben帳戶|Elsa帳戶|Ben代墊|Ariel代墊|中信銀行共用""), REGEXMATCH(F4432, ""Ben帳戶|Elsa帳戶|Ben代墊|Ariel代墊|中信銀行共用"")), ""內部轉帳(忽略)"",
  AND(E4432&lt;&gt;"""", F4432&lt;&gt;"""", N"&amp;"OT(REGEXMATCH(C4432, ""薪資""))), ""內部轉帳(忽略)"",
  REGEXMATCH(C4432, ""薪資""), ""薪資變動(不計入)"",
  REGEXMATCH(C4432, ""押金""), ""押金往來"",
  AND(E4432&lt;&gt;"""", F4432=""""), ""真實支出"",
  AND(E4432="""", F4432&lt;&gt;""""), ""真實收入"",
  TRUE, ""其他""
)"),"真實支出")</f>
        <v>真實支出</v>
      </c>
      <c r="K4432" s="270">
        <f t="shared" si="2"/>
        <v>-15</v>
      </c>
      <c r="L4432">
        <f t="shared" si="3"/>
        <v>0</v>
      </c>
    </row>
    <row r="4433">
      <c r="A4433" s="107">
        <f>IFERROR(__xludf.DUMMYFUNCTION("""COMPUTED_VALUE"""),45749.0)</f>
        <v>45749</v>
      </c>
      <c r="B4433" t="str">
        <f>IFERROR(__xludf.DUMMYFUNCTION("""COMPUTED_VALUE"""),"[內湖秘境] [周佳慧] 大租金")</f>
        <v>[內湖秘境] [周佳慧] 大租金</v>
      </c>
      <c r="C4433" t="str">
        <f>IFERROR(__xludf.DUMMYFUNCTION("""COMPUTED_VALUE"""),"成本 - 大租金")</f>
        <v>成本 - 大租金</v>
      </c>
      <c r="D4433" s="270">
        <f>IFERROR(__xludf.DUMMYFUNCTION("""COMPUTED_VALUE"""),-15000.0)</f>
        <v>-15000</v>
      </c>
      <c r="E4433" t="str">
        <f>IFERROR(__xludf.DUMMYFUNCTION("""COMPUTED_VALUE"""),"玉山帳戶")</f>
        <v>玉山帳戶</v>
      </c>
      <c r="G4433" t="str">
        <f>IFERROR(__xludf.DUMMYFUNCTION("""COMPUTED_VALUE"""),"內湖秘境")</f>
        <v>內湖秘境</v>
      </c>
      <c r="H4433" s="106" t="str">
        <f t="shared" si="1"/>
        <v>2025-04</v>
      </c>
      <c r="I4433" s="271" t="str">
        <f>IFERROR(__xludf.DUMMYFUNCTION("""COMPUTED_VALUE"""),"鯰魚大大")</f>
        <v>鯰魚大大</v>
      </c>
      <c r="J4433" t="str">
        <f>IFERROR(__xludf.DUMMYFUNCTION("IFS(
  AND(REGEXMATCH(E4433, ""台銀籌備帳戶|玉山帳戶""), REGEXMATCH(C4433, ""薪資"")), ""分潤支出"",
  AND(REGEXMATCH(E4433, ""Ben帳戶|Elsa帳戶|Ben代墊|Ariel代墊|中信銀行共用""), REGEXMATCH(F4433, ""Ben帳戶|Elsa帳戶|Ben代墊|Ariel代墊|中信銀行共用"")), ""內部轉帳(忽略)"",
  AND(E4433&lt;&gt;"""", F4433&lt;&gt;"""", N"&amp;"OT(REGEXMATCH(C4433, ""薪資""))), ""內部轉帳(忽略)"",
  REGEXMATCH(C4433, ""薪資""), ""薪資變動(不計入)"",
  REGEXMATCH(C4433, ""押金""), ""押金往來"",
  AND(E4433&lt;&gt;"""", F4433=""""), ""真實支出"",
  AND(E4433="""", F4433&lt;&gt;""""), ""真實收入"",
  TRUE, ""其他""
)"),"真實支出")</f>
        <v>真實支出</v>
      </c>
      <c r="K4433" s="270">
        <f t="shared" si="2"/>
        <v>-15000</v>
      </c>
      <c r="L4433">
        <f t="shared" si="3"/>
        <v>0</v>
      </c>
    </row>
    <row r="4434">
      <c r="A4434" s="107">
        <f>IFERROR(__xludf.DUMMYFUNCTION("""COMPUTED_VALUE"""),45747.0)</f>
        <v>45747</v>
      </c>
      <c r="B4434" t="str">
        <f>IFERROR(__xludf.DUMMYFUNCTION("""COMPUTED_VALUE"""),"[行天宮夏野良栗] B [楊珺媁] 月租金 (行號: 10)")</f>
        <v>[行天宮夏野良栗] B [楊珺媁] 月租金 (行號: 10)</v>
      </c>
      <c r="C4434" t="str">
        <f>IFERROR(__xludf.DUMMYFUNCTION("""COMPUTED_VALUE"""),"收入 - 租金")</f>
        <v>收入 - 租金</v>
      </c>
      <c r="D4434" s="270">
        <f>IFERROR(__xludf.DUMMYFUNCTION("""COMPUTED_VALUE"""),14000.0)</f>
        <v>14000</v>
      </c>
      <c r="F4434" t="str">
        <f>IFERROR(__xludf.DUMMYFUNCTION("""COMPUTED_VALUE"""),"玉山帳戶")</f>
        <v>玉山帳戶</v>
      </c>
      <c r="G4434" t="str">
        <f>IFERROR(__xludf.DUMMYFUNCTION("""COMPUTED_VALUE"""),"行天宮夏野良栗")</f>
        <v>行天宮夏野良栗</v>
      </c>
      <c r="H4434" s="106" t="str">
        <f t="shared" si="1"/>
        <v>2025-03</v>
      </c>
      <c r="I4434" s="271" t="str">
        <f>IFERROR(__xludf.DUMMYFUNCTION("""COMPUTED_VALUE"""),"鯰魚大大")</f>
        <v>鯰魚大大</v>
      </c>
      <c r="J4434" t="str">
        <f>IFERROR(__xludf.DUMMYFUNCTION("IFS(
  AND(REGEXMATCH(E4434, ""台銀籌備帳戶|玉山帳戶""), REGEXMATCH(C4434, ""薪資"")), ""分潤支出"",
  AND(REGEXMATCH(E4434, ""Ben帳戶|Elsa帳戶|Ben代墊|Ariel代墊|中信銀行共用""), REGEXMATCH(F4434, ""Ben帳戶|Elsa帳戶|Ben代墊|Ariel代墊|中信銀行共用"")), ""內部轉帳(忽略)"",
  AND(E4434&lt;&gt;"""", F4434&lt;&gt;"""", N"&amp;"OT(REGEXMATCH(C4434, ""薪資""))), ""內部轉帳(忽略)"",
  REGEXMATCH(C4434, ""薪資""), ""薪資變動(不計入)"",
  REGEXMATCH(C4434, ""押金""), ""押金往來"",
  AND(E4434&lt;&gt;"""", F4434=""""), ""真實支出"",
  AND(E4434="""", F4434&lt;&gt;""""), ""真實收入"",
  TRUE, ""其他""
)"),"真實收入")</f>
        <v>真實收入</v>
      </c>
      <c r="K4434" s="270">
        <f t="shared" si="2"/>
        <v>14000</v>
      </c>
      <c r="L4434">
        <f t="shared" si="3"/>
        <v>0</v>
      </c>
    </row>
    <row r="4435">
      <c r="A4435" s="107">
        <f>IFERROR(__xludf.DUMMYFUNCTION("""COMPUTED_VALUE"""),45748.0)</f>
        <v>45748</v>
      </c>
      <c r="B4435" t="str">
        <f>IFERROR(__xludf.DUMMYFUNCTION("""COMPUTED_VALUE"""),"[內湖秘境] G [徐若洹] 月租金 (行號: 14)")</f>
        <v>[內湖秘境] G [徐若洹] 月租金 (行號: 14)</v>
      </c>
      <c r="C4435" t="str">
        <f>IFERROR(__xludf.DUMMYFUNCTION("""COMPUTED_VALUE"""),"收入 - 租金")</f>
        <v>收入 - 租金</v>
      </c>
      <c r="D4435" s="270">
        <f>IFERROR(__xludf.DUMMYFUNCTION("""COMPUTED_VALUE"""),12100.0)</f>
        <v>12100</v>
      </c>
      <c r="F4435" t="str">
        <f>IFERROR(__xludf.DUMMYFUNCTION("""COMPUTED_VALUE"""),"玉山帳戶")</f>
        <v>玉山帳戶</v>
      </c>
      <c r="G4435" t="str">
        <f>IFERROR(__xludf.DUMMYFUNCTION("""COMPUTED_VALUE"""),"內湖秘境")</f>
        <v>內湖秘境</v>
      </c>
      <c r="H4435" s="106" t="str">
        <f t="shared" si="1"/>
        <v>2025-04</v>
      </c>
      <c r="I4435" s="271" t="str">
        <f>IFERROR(__xludf.DUMMYFUNCTION("""COMPUTED_VALUE"""),"鯰魚大大")</f>
        <v>鯰魚大大</v>
      </c>
      <c r="J4435" t="str">
        <f>IFERROR(__xludf.DUMMYFUNCTION("IFS(
  AND(REGEXMATCH(E4435, ""台銀籌備帳戶|玉山帳戶""), REGEXMATCH(C4435, ""薪資"")), ""分潤支出"",
  AND(REGEXMATCH(E4435, ""Ben帳戶|Elsa帳戶|Ben代墊|Ariel代墊|中信銀行共用""), REGEXMATCH(F4435, ""Ben帳戶|Elsa帳戶|Ben代墊|Ariel代墊|中信銀行共用"")), ""內部轉帳(忽略)"",
  AND(E4435&lt;&gt;"""", F4435&lt;&gt;"""", N"&amp;"OT(REGEXMATCH(C4435, ""薪資""))), ""內部轉帳(忽略)"",
  REGEXMATCH(C4435, ""薪資""), ""薪資變動(不計入)"",
  REGEXMATCH(C4435, ""押金""), ""押金往來"",
  AND(E4435&lt;&gt;"""", F4435=""""), ""真實支出"",
  AND(E4435="""", F4435&lt;&gt;""""), ""真實收入"",
  TRUE, ""其他""
)"),"真實收入")</f>
        <v>真實收入</v>
      </c>
      <c r="K4435" s="270">
        <f t="shared" si="2"/>
        <v>12100</v>
      </c>
      <c r="L4435">
        <f t="shared" si="3"/>
        <v>0</v>
      </c>
    </row>
    <row r="4436">
      <c r="A4436" s="107">
        <f>IFERROR(__xludf.DUMMYFUNCTION("""COMPUTED_VALUE"""),45748.0)</f>
        <v>45748</v>
      </c>
      <c r="B4436" t="str">
        <f>IFERROR(__xludf.DUMMYFUNCTION("""COMPUTED_VALUE"""),"[內湖秘境] B [劉桀綸] 月租金 (行號: 15)")</f>
        <v>[內湖秘境] B [劉桀綸] 月租金 (行號: 15)</v>
      </c>
      <c r="C4436" t="str">
        <f>IFERROR(__xludf.DUMMYFUNCTION("""COMPUTED_VALUE"""),"收入 - 租金")</f>
        <v>收入 - 租金</v>
      </c>
      <c r="D4436" s="270">
        <f>IFERROR(__xludf.DUMMYFUNCTION("""COMPUTED_VALUE"""),12300.0)</f>
        <v>12300</v>
      </c>
      <c r="F4436" t="str">
        <f>IFERROR(__xludf.DUMMYFUNCTION("""COMPUTED_VALUE"""),"玉山帳戶")</f>
        <v>玉山帳戶</v>
      </c>
      <c r="G4436" t="str">
        <f>IFERROR(__xludf.DUMMYFUNCTION("""COMPUTED_VALUE"""),"內湖秘境")</f>
        <v>內湖秘境</v>
      </c>
      <c r="H4436" s="106" t="str">
        <f t="shared" si="1"/>
        <v>2025-04</v>
      </c>
      <c r="I4436" s="271" t="str">
        <f>IFERROR(__xludf.DUMMYFUNCTION("""COMPUTED_VALUE"""),"鯰魚大大")</f>
        <v>鯰魚大大</v>
      </c>
      <c r="J4436" t="str">
        <f>IFERROR(__xludf.DUMMYFUNCTION("IFS(
  AND(REGEXMATCH(E4436, ""台銀籌備帳戶|玉山帳戶""), REGEXMATCH(C4436, ""薪資"")), ""分潤支出"",
  AND(REGEXMATCH(E4436, ""Ben帳戶|Elsa帳戶|Ben代墊|Ariel代墊|中信銀行共用""), REGEXMATCH(F4436, ""Ben帳戶|Elsa帳戶|Ben代墊|Ariel代墊|中信銀行共用"")), ""內部轉帳(忽略)"",
  AND(E4436&lt;&gt;"""", F4436&lt;&gt;"""", N"&amp;"OT(REGEXMATCH(C4436, ""薪資""))), ""內部轉帳(忽略)"",
  REGEXMATCH(C4436, ""薪資""), ""薪資變動(不計入)"",
  REGEXMATCH(C4436, ""押金""), ""押金往來"",
  AND(E4436&lt;&gt;"""", F4436=""""), ""真實支出"",
  AND(E4436="""", F4436&lt;&gt;""""), ""真實收入"",
  TRUE, ""其他""
)"),"真實收入")</f>
        <v>真實收入</v>
      </c>
      <c r="K4436" s="270">
        <f t="shared" si="2"/>
        <v>12300</v>
      </c>
      <c r="L4436">
        <f t="shared" si="3"/>
        <v>0</v>
      </c>
    </row>
    <row r="4437">
      <c r="A4437" s="107">
        <f>IFERROR(__xludf.DUMMYFUNCTION("""COMPUTED_VALUE"""),45748.0)</f>
        <v>45748</v>
      </c>
      <c r="B4437" t="str">
        <f>IFERROR(__xludf.DUMMYFUNCTION("""COMPUTED_VALUE"""),"[士林和豐] C [李宛宸] 月租金 (行號: 16)")</f>
        <v>[士林和豐] C [李宛宸] 月租金 (行號: 16)</v>
      </c>
      <c r="C4437" t="str">
        <f>IFERROR(__xludf.DUMMYFUNCTION("""COMPUTED_VALUE"""),"收入 - 租金")</f>
        <v>收入 - 租金</v>
      </c>
      <c r="D4437" s="270">
        <f>IFERROR(__xludf.DUMMYFUNCTION("""COMPUTED_VALUE"""),13100.0)</f>
        <v>13100</v>
      </c>
      <c r="F4437" t="str">
        <f>IFERROR(__xludf.DUMMYFUNCTION("""COMPUTED_VALUE"""),"玉山帳戶")</f>
        <v>玉山帳戶</v>
      </c>
      <c r="G4437" t="str">
        <f>IFERROR(__xludf.DUMMYFUNCTION("""COMPUTED_VALUE"""),"士林和豐")</f>
        <v>士林和豐</v>
      </c>
      <c r="H4437" s="106" t="str">
        <f t="shared" si="1"/>
        <v>2025-04</v>
      </c>
      <c r="I4437" s="271" t="str">
        <f>IFERROR(__xludf.DUMMYFUNCTION("""COMPUTED_VALUE"""),"鯰魚大大")</f>
        <v>鯰魚大大</v>
      </c>
      <c r="J4437" t="str">
        <f>IFERROR(__xludf.DUMMYFUNCTION("IFS(
  AND(REGEXMATCH(E4437, ""台銀籌備帳戶|玉山帳戶""), REGEXMATCH(C4437, ""薪資"")), ""分潤支出"",
  AND(REGEXMATCH(E4437, ""Ben帳戶|Elsa帳戶|Ben代墊|Ariel代墊|中信銀行共用""), REGEXMATCH(F4437, ""Ben帳戶|Elsa帳戶|Ben代墊|Ariel代墊|中信銀行共用"")), ""內部轉帳(忽略)"",
  AND(E4437&lt;&gt;"""", F4437&lt;&gt;"""", N"&amp;"OT(REGEXMATCH(C4437, ""薪資""))), ""內部轉帳(忽略)"",
  REGEXMATCH(C4437, ""薪資""), ""薪資變動(不計入)"",
  REGEXMATCH(C4437, ""押金""), ""押金往來"",
  AND(E4437&lt;&gt;"""", F4437=""""), ""真實支出"",
  AND(E4437="""", F4437&lt;&gt;""""), ""真實收入"",
  TRUE, ""其他""
)"),"真實收入")</f>
        <v>真實收入</v>
      </c>
      <c r="K4437" s="270">
        <f t="shared" si="2"/>
        <v>13100</v>
      </c>
      <c r="L4437">
        <f t="shared" si="3"/>
        <v>0</v>
      </c>
    </row>
    <row r="4438">
      <c r="A4438" s="107">
        <f>IFERROR(__xludf.DUMMYFUNCTION("""COMPUTED_VALUE"""),45748.0)</f>
        <v>45748</v>
      </c>
      <c r="B4438" t="str">
        <f>IFERROR(__xludf.DUMMYFUNCTION("""COMPUTED_VALUE"""),"[內湖秘境] C [黃詩穎] 月租金 (行號: 17)")</f>
        <v>[內湖秘境] C [黃詩穎] 月租金 (行號: 17)</v>
      </c>
      <c r="C4438" t="str">
        <f>IFERROR(__xludf.DUMMYFUNCTION("""COMPUTED_VALUE"""),"收入 - 租金")</f>
        <v>收入 - 租金</v>
      </c>
      <c r="D4438" s="270">
        <f>IFERROR(__xludf.DUMMYFUNCTION("""COMPUTED_VALUE"""),14800.0)</f>
        <v>14800</v>
      </c>
      <c r="F4438" t="str">
        <f>IFERROR(__xludf.DUMMYFUNCTION("""COMPUTED_VALUE"""),"玉山帳戶")</f>
        <v>玉山帳戶</v>
      </c>
      <c r="G4438" t="str">
        <f>IFERROR(__xludf.DUMMYFUNCTION("""COMPUTED_VALUE"""),"內湖秘境")</f>
        <v>內湖秘境</v>
      </c>
      <c r="H4438" s="106" t="str">
        <f t="shared" si="1"/>
        <v>2025-04</v>
      </c>
      <c r="I4438" s="271" t="str">
        <f>IFERROR(__xludf.DUMMYFUNCTION("""COMPUTED_VALUE"""),"鯰魚大大")</f>
        <v>鯰魚大大</v>
      </c>
      <c r="J4438" t="str">
        <f>IFERROR(__xludf.DUMMYFUNCTION("IFS(
  AND(REGEXMATCH(E4438, ""台銀籌備帳戶|玉山帳戶""), REGEXMATCH(C4438, ""薪資"")), ""分潤支出"",
  AND(REGEXMATCH(E4438, ""Ben帳戶|Elsa帳戶|Ben代墊|Ariel代墊|中信銀行共用""), REGEXMATCH(F4438, ""Ben帳戶|Elsa帳戶|Ben代墊|Ariel代墊|中信銀行共用"")), ""內部轉帳(忽略)"",
  AND(E4438&lt;&gt;"""", F4438&lt;&gt;"""", N"&amp;"OT(REGEXMATCH(C4438, ""薪資""))), ""內部轉帳(忽略)"",
  REGEXMATCH(C4438, ""薪資""), ""薪資變動(不計入)"",
  REGEXMATCH(C4438, ""押金""), ""押金往來"",
  AND(E4438&lt;&gt;"""", F4438=""""), ""真實支出"",
  AND(E4438="""", F4438&lt;&gt;""""), ""真實收入"",
  TRUE, ""其他""
)"),"真實收入")</f>
        <v>真實收入</v>
      </c>
      <c r="K4438" s="270">
        <f t="shared" si="2"/>
        <v>14800</v>
      </c>
      <c r="L4438">
        <f t="shared" si="3"/>
        <v>0</v>
      </c>
    </row>
    <row r="4439">
      <c r="A4439" s="107">
        <f>IFERROR(__xludf.DUMMYFUNCTION("""COMPUTED_VALUE"""),45748.0)</f>
        <v>45748</v>
      </c>
      <c r="B4439" t="str">
        <f>IFERROR(__xludf.DUMMYFUNCTION("""COMPUTED_VALUE"""),"[內湖秘境] E [林芷妤] 月租金 (行號: 18)")</f>
        <v>[內湖秘境] E [林芷妤] 月租金 (行號: 18)</v>
      </c>
      <c r="C4439" t="str">
        <f>IFERROR(__xludf.DUMMYFUNCTION("""COMPUTED_VALUE"""),"收入 - 租金")</f>
        <v>收入 - 租金</v>
      </c>
      <c r="D4439" s="270">
        <f>IFERROR(__xludf.DUMMYFUNCTION("""COMPUTED_VALUE"""),13600.0)</f>
        <v>13600</v>
      </c>
      <c r="F4439" t="str">
        <f>IFERROR(__xludf.DUMMYFUNCTION("""COMPUTED_VALUE"""),"玉山帳戶")</f>
        <v>玉山帳戶</v>
      </c>
      <c r="G4439" t="str">
        <f>IFERROR(__xludf.DUMMYFUNCTION("""COMPUTED_VALUE"""),"內湖秘境")</f>
        <v>內湖秘境</v>
      </c>
      <c r="H4439" s="106" t="str">
        <f t="shared" si="1"/>
        <v>2025-04</v>
      </c>
      <c r="I4439" s="271" t="str">
        <f>IFERROR(__xludf.DUMMYFUNCTION("""COMPUTED_VALUE"""),"鯰魚大大")</f>
        <v>鯰魚大大</v>
      </c>
      <c r="J4439" t="str">
        <f>IFERROR(__xludf.DUMMYFUNCTION("IFS(
  AND(REGEXMATCH(E4439, ""台銀籌備帳戶|玉山帳戶""), REGEXMATCH(C4439, ""薪資"")), ""分潤支出"",
  AND(REGEXMATCH(E4439, ""Ben帳戶|Elsa帳戶|Ben代墊|Ariel代墊|中信銀行共用""), REGEXMATCH(F4439, ""Ben帳戶|Elsa帳戶|Ben代墊|Ariel代墊|中信銀行共用"")), ""內部轉帳(忽略)"",
  AND(E4439&lt;&gt;"""", F4439&lt;&gt;"""", N"&amp;"OT(REGEXMATCH(C4439, ""薪資""))), ""內部轉帳(忽略)"",
  REGEXMATCH(C4439, ""薪資""), ""薪資變動(不計入)"",
  REGEXMATCH(C4439, ""押金""), ""押金往來"",
  AND(E4439&lt;&gt;"""", F4439=""""), ""真實支出"",
  AND(E4439="""", F4439&lt;&gt;""""), ""真實收入"",
  TRUE, ""其他""
)"),"真實收入")</f>
        <v>真實收入</v>
      </c>
      <c r="K4439" s="270">
        <f t="shared" si="2"/>
        <v>13600</v>
      </c>
      <c r="L4439">
        <f t="shared" si="3"/>
        <v>0</v>
      </c>
    </row>
    <row r="4440">
      <c r="A4440" s="107">
        <f>IFERROR(__xludf.DUMMYFUNCTION("""COMPUTED_VALUE"""),45748.0)</f>
        <v>45748</v>
      </c>
      <c r="B4440" t="str">
        <f>IFERROR(__xludf.DUMMYFUNCTION("""COMPUTED_VALUE"""),"[行天宮夏野良栗] D [江仲元] 月租金 (行號: 19)")</f>
        <v>[行天宮夏野良栗] D [江仲元] 月租金 (行號: 19)</v>
      </c>
      <c r="C4440" t="str">
        <f>IFERROR(__xludf.DUMMYFUNCTION("""COMPUTED_VALUE"""),"收入 - 租金")</f>
        <v>收入 - 租金</v>
      </c>
      <c r="D4440" s="270">
        <f>IFERROR(__xludf.DUMMYFUNCTION("""COMPUTED_VALUE"""),11200.0)</f>
        <v>11200</v>
      </c>
      <c r="F4440" t="str">
        <f>IFERROR(__xludf.DUMMYFUNCTION("""COMPUTED_VALUE"""),"玉山帳戶")</f>
        <v>玉山帳戶</v>
      </c>
      <c r="G4440" t="str">
        <f>IFERROR(__xludf.DUMMYFUNCTION("""COMPUTED_VALUE"""),"行天宮夏野良栗")</f>
        <v>行天宮夏野良栗</v>
      </c>
      <c r="H4440" s="106" t="str">
        <f t="shared" si="1"/>
        <v>2025-04</v>
      </c>
      <c r="I4440" s="271" t="str">
        <f>IFERROR(__xludf.DUMMYFUNCTION("""COMPUTED_VALUE"""),"鯰魚大大")</f>
        <v>鯰魚大大</v>
      </c>
      <c r="J4440" t="str">
        <f>IFERROR(__xludf.DUMMYFUNCTION("IFS(
  AND(REGEXMATCH(E4440, ""台銀籌備帳戶|玉山帳戶""), REGEXMATCH(C4440, ""薪資"")), ""分潤支出"",
  AND(REGEXMATCH(E4440, ""Ben帳戶|Elsa帳戶|Ben代墊|Ariel代墊|中信銀行共用""), REGEXMATCH(F4440, ""Ben帳戶|Elsa帳戶|Ben代墊|Ariel代墊|中信銀行共用"")), ""內部轉帳(忽略)"",
  AND(E4440&lt;&gt;"""", F4440&lt;&gt;"""", N"&amp;"OT(REGEXMATCH(C4440, ""薪資""))), ""內部轉帳(忽略)"",
  REGEXMATCH(C4440, ""薪資""), ""薪資變動(不計入)"",
  REGEXMATCH(C4440, ""押金""), ""押金往來"",
  AND(E4440&lt;&gt;"""", F4440=""""), ""真實支出"",
  AND(E4440="""", F4440&lt;&gt;""""), ""真實收入"",
  TRUE, ""其他""
)"),"真實收入")</f>
        <v>真實收入</v>
      </c>
      <c r="K4440" s="270">
        <f t="shared" si="2"/>
        <v>11200</v>
      </c>
      <c r="L4440">
        <f t="shared" si="3"/>
        <v>0</v>
      </c>
    </row>
    <row r="4441">
      <c r="A4441" s="107">
        <f>IFERROR(__xludf.DUMMYFUNCTION("""COMPUTED_VALUE"""),45748.0)</f>
        <v>45748</v>
      </c>
      <c r="B4441" t="str">
        <f>IFERROR(__xludf.DUMMYFUNCTION("""COMPUTED_VALUE"""),"[士林和豐] B [郭昱慧] 月租金 (行號: 20)")</f>
        <v>[士林和豐] B [郭昱慧] 月租金 (行號: 20)</v>
      </c>
      <c r="C4441" t="str">
        <f>IFERROR(__xludf.DUMMYFUNCTION("""COMPUTED_VALUE"""),"收入 - 租金")</f>
        <v>收入 - 租金</v>
      </c>
      <c r="D4441" s="270">
        <f>IFERROR(__xludf.DUMMYFUNCTION("""COMPUTED_VALUE"""),14100.0)</f>
        <v>14100</v>
      </c>
      <c r="F4441" t="str">
        <f>IFERROR(__xludf.DUMMYFUNCTION("""COMPUTED_VALUE"""),"玉山帳戶")</f>
        <v>玉山帳戶</v>
      </c>
      <c r="G4441" t="str">
        <f>IFERROR(__xludf.DUMMYFUNCTION("""COMPUTED_VALUE"""),"士林和豐")</f>
        <v>士林和豐</v>
      </c>
      <c r="H4441" s="106" t="str">
        <f t="shared" si="1"/>
        <v>2025-04</v>
      </c>
      <c r="I4441" s="271" t="str">
        <f>IFERROR(__xludf.DUMMYFUNCTION("""COMPUTED_VALUE"""),"鯰魚大大")</f>
        <v>鯰魚大大</v>
      </c>
      <c r="J4441" t="str">
        <f>IFERROR(__xludf.DUMMYFUNCTION("IFS(
  AND(REGEXMATCH(E4441, ""台銀籌備帳戶|玉山帳戶""), REGEXMATCH(C4441, ""薪資"")), ""分潤支出"",
  AND(REGEXMATCH(E4441, ""Ben帳戶|Elsa帳戶|Ben代墊|Ariel代墊|中信銀行共用""), REGEXMATCH(F4441, ""Ben帳戶|Elsa帳戶|Ben代墊|Ariel代墊|中信銀行共用"")), ""內部轉帳(忽略)"",
  AND(E4441&lt;&gt;"""", F4441&lt;&gt;"""", N"&amp;"OT(REGEXMATCH(C4441, ""薪資""))), ""內部轉帳(忽略)"",
  REGEXMATCH(C4441, ""薪資""), ""薪資變動(不計入)"",
  REGEXMATCH(C4441, ""押金""), ""押金往來"",
  AND(E4441&lt;&gt;"""", F4441=""""), ""真實支出"",
  AND(E4441="""", F4441&lt;&gt;""""), ""真實收入"",
  TRUE, ""其他""
)"),"真實收入")</f>
        <v>真實收入</v>
      </c>
      <c r="K4441" s="270">
        <f t="shared" si="2"/>
        <v>14100</v>
      </c>
      <c r="L4441">
        <f t="shared" si="3"/>
        <v>0</v>
      </c>
    </row>
    <row r="4442">
      <c r="A4442" s="107">
        <f>IFERROR(__xludf.DUMMYFUNCTION("""COMPUTED_VALUE"""),45749.0)</f>
        <v>45749</v>
      </c>
      <c r="B4442" t="str">
        <f>IFERROR(__xludf.DUMMYFUNCTION("""COMPUTED_VALUE"""),"[行天宮夏野良栗] E [張宏祺, 謝宗穎] 月租金 (行號: 21)")</f>
        <v>[行天宮夏野良栗] E [張宏祺, 謝宗穎] 月租金 (行號: 21)</v>
      </c>
      <c r="C4442" t="str">
        <f>IFERROR(__xludf.DUMMYFUNCTION("""COMPUTED_VALUE"""),"收入 - 租金")</f>
        <v>收入 - 租金</v>
      </c>
      <c r="D4442" s="270">
        <f>IFERROR(__xludf.DUMMYFUNCTION("""COMPUTED_VALUE"""),31800.0)</f>
        <v>31800</v>
      </c>
      <c r="F4442" t="str">
        <f>IFERROR(__xludf.DUMMYFUNCTION("""COMPUTED_VALUE"""),"玉山帳戶")</f>
        <v>玉山帳戶</v>
      </c>
      <c r="G4442" t="str">
        <f>IFERROR(__xludf.DUMMYFUNCTION("""COMPUTED_VALUE"""),"行天宮夏野良栗")</f>
        <v>行天宮夏野良栗</v>
      </c>
      <c r="H4442" s="106" t="str">
        <f t="shared" si="1"/>
        <v>2025-04</v>
      </c>
      <c r="I4442" s="271" t="str">
        <f>IFERROR(__xludf.DUMMYFUNCTION("""COMPUTED_VALUE"""),"鯰魚大大")</f>
        <v>鯰魚大大</v>
      </c>
      <c r="J4442" t="str">
        <f>IFERROR(__xludf.DUMMYFUNCTION("IFS(
  AND(REGEXMATCH(E4442, ""台銀籌備帳戶|玉山帳戶""), REGEXMATCH(C4442, ""薪資"")), ""分潤支出"",
  AND(REGEXMATCH(E4442, ""Ben帳戶|Elsa帳戶|Ben代墊|Ariel代墊|中信銀行共用""), REGEXMATCH(F4442, ""Ben帳戶|Elsa帳戶|Ben代墊|Ariel代墊|中信銀行共用"")), ""內部轉帳(忽略)"",
  AND(E4442&lt;&gt;"""", F4442&lt;&gt;"""", N"&amp;"OT(REGEXMATCH(C4442, ""薪資""))), ""內部轉帳(忽略)"",
  REGEXMATCH(C4442, ""薪資""), ""薪資變動(不計入)"",
  REGEXMATCH(C4442, ""押金""), ""押金往來"",
  AND(E4442&lt;&gt;"""", F4442=""""), ""真實支出"",
  AND(E4442="""", F4442&lt;&gt;""""), ""真實收入"",
  TRUE, ""其他""
)"),"真實收入")</f>
        <v>真實收入</v>
      </c>
      <c r="K4442" s="270">
        <f t="shared" si="2"/>
        <v>31800</v>
      </c>
      <c r="L4442">
        <f t="shared" si="3"/>
        <v>0</v>
      </c>
    </row>
    <row r="4443">
      <c r="A4443" s="107">
        <f>IFERROR(__xludf.DUMMYFUNCTION("""COMPUTED_VALUE"""),45749.0)</f>
        <v>45749</v>
      </c>
      <c r="B4443" t="str">
        <f>IFERROR(__xludf.DUMMYFUNCTION("""COMPUTED_VALUE"""),"[士林和豐] A [許瑜芳, 黃俞安] 月租金 (行號: 23)")</f>
        <v>[士林和豐] A [許瑜芳, 黃俞安] 月租金 (行號: 23)</v>
      </c>
      <c r="C4443" t="str">
        <f>IFERROR(__xludf.DUMMYFUNCTION("""COMPUTED_VALUE"""),"收入 - 租金")</f>
        <v>收入 - 租金</v>
      </c>
      <c r="D4443" s="270">
        <f>IFERROR(__xludf.DUMMYFUNCTION("""COMPUTED_VALUE"""),19500.0)</f>
        <v>19500</v>
      </c>
      <c r="F4443" t="str">
        <f>IFERROR(__xludf.DUMMYFUNCTION("""COMPUTED_VALUE"""),"玉山帳戶")</f>
        <v>玉山帳戶</v>
      </c>
      <c r="G4443" t="str">
        <f>IFERROR(__xludf.DUMMYFUNCTION("""COMPUTED_VALUE"""),"士林和豐")</f>
        <v>士林和豐</v>
      </c>
      <c r="H4443" s="106" t="str">
        <f t="shared" si="1"/>
        <v>2025-04</v>
      </c>
      <c r="I4443" s="271" t="str">
        <f>IFERROR(__xludf.DUMMYFUNCTION("""COMPUTED_VALUE"""),"鯰魚大大")</f>
        <v>鯰魚大大</v>
      </c>
      <c r="J4443" t="str">
        <f>IFERROR(__xludf.DUMMYFUNCTION("IFS(
  AND(REGEXMATCH(E4443, ""台銀籌備帳戶|玉山帳戶""), REGEXMATCH(C4443, ""薪資"")), ""分潤支出"",
  AND(REGEXMATCH(E4443, ""Ben帳戶|Elsa帳戶|Ben代墊|Ariel代墊|中信銀行共用""), REGEXMATCH(F4443, ""Ben帳戶|Elsa帳戶|Ben代墊|Ariel代墊|中信銀行共用"")), ""內部轉帳(忽略)"",
  AND(E4443&lt;&gt;"""", F4443&lt;&gt;"""", N"&amp;"OT(REGEXMATCH(C4443, ""薪資""))), ""內部轉帳(忽略)"",
  REGEXMATCH(C4443, ""薪資""), ""薪資變動(不計入)"",
  REGEXMATCH(C4443, ""押金""), ""押金往來"",
  AND(E4443&lt;&gt;"""", F4443=""""), ""真實支出"",
  AND(E4443="""", F4443&lt;&gt;""""), ""真實收入"",
  TRUE, ""其他""
)"),"真實收入")</f>
        <v>真實收入</v>
      </c>
      <c r="K4443" s="270">
        <f t="shared" si="2"/>
        <v>19500</v>
      </c>
      <c r="L4443">
        <f t="shared" si="3"/>
        <v>0</v>
      </c>
    </row>
    <row r="4444">
      <c r="A4444" s="107">
        <f>IFERROR(__xludf.DUMMYFUNCTION("""COMPUTED_VALUE"""),45749.0)</f>
        <v>45749</v>
      </c>
      <c r="B4444" t="str">
        <f>IFERROR(__xludf.DUMMYFUNCTION("""COMPUTED_VALUE"""),"[內湖秘境] A [陳玟涵] 月租金 (行號: 24)")</f>
        <v>[內湖秘境] A [陳玟涵] 月租金 (行號: 24)</v>
      </c>
      <c r="C4444" t="str">
        <f>IFERROR(__xludf.DUMMYFUNCTION("""COMPUTED_VALUE"""),"收入 - 租金")</f>
        <v>收入 - 租金</v>
      </c>
      <c r="D4444" s="270">
        <f>IFERROR(__xludf.DUMMYFUNCTION("""COMPUTED_VALUE"""),11700.0)</f>
        <v>11700</v>
      </c>
      <c r="F4444" t="str">
        <f>IFERROR(__xludf.DUMMYFUNCTION("""COMPUTED_VALUE"""),"玉山帳戶")</f>
        <v>玉山帳戶</v>
      </c>
      <c r="G4444" t="str">
        <f>IFERROR(__xludf.DUMMYFUNCTION("""COMPUTED_VALUE"""),"內湖秘境")</f>
        <v>內湖秘境</v>
      </c>
      <c r="H4444" s="106" t="str">
        <f t="shared" si="1"/>
        <v>2025-04</v>
      </c>
      <c r="I4444" s="271" t="str">
        <f>IFERROR(__xludf.DUMMYFUNCTION("""COMPUTED_VALUE"""),"鯰魚大大")</f>
        <v>鯰魚大大</v>
      </c>
      <c r="J4444" t="str">
        <f>IFERROR(__xludf.DUMMYFUNCTION("IFS(
  AND(REGEXMATCH(E4444, ""台銀籌備帳戶|玉山帳戶""), REGEXMATCH(C4444, ""薪資"")), ""分潤支出"",
  AND(REGEXMATCH(E4444, ""Ben帳戶|Elsa帳戶|Ben代墊|Ariel代墊|中信銀行共用""), REGEXMATCH(F4444, ""Ben帳戶|Elsa帳戶|Ben代墊|Ariel代墊|中信銀行共用"")), ""內部轉帳(忽略)"",
  AND(E4444&lt;&gt;"""", F4444&lt;&gt;"""", N"&amp;"OT(REGEXMATCH(C4444, ""薪資""))), ""內部轉帳(忽略)"",
  REGEXMATCH(C4444, ""薪資""), ""薪資變動(不計入)"",
  REGEXMATCH(C4444, ""押金""), ""押金往來"",
  AND(E4444&lt;&gt;"""", F4444=""""), ""真實支出"",
  AND(E4444="""", F4444&lt;&gt;""""), ""真實收入"",
  TRUE, ""其他""
)"),"真實收入")</f>
        <v>真實收入</v>
      </c>
      <c r="K4444" s="270">
        <f t="shared" si="2"/>
        <v>11700</v>
      </c>
      <c r="L4444">
        <f t="shared" si="3"/>
        <v>0</v>
      </c>
    </row>
    <row r="4445">
      <c r="A4445" s="107">
        <f>IFERROR(__xludf.DUMMYFUNCTION("""COMPUTED_VALUE"""),45749.0)</f>
        <v>45749</v>
      </c>
      <c r="B4445" t="str">
        <f>IFERROR(__xludf.DUMMYFUNCTION("""COMPUTED_VALUE"""),"[行天宮夏野良栗] C [黃伊妍] 月租金 (行號: 25)")</f>
        <v>[行天宮夏野良栗] C [黃伊妍] 月租金 (行號: 25)</v>
      </c>
      <c r="C4445" t="str">
        <f>IFERROR(__xludf.DUMMYFUNCTION("""COMPUTED_VALUE"""),"收入 - 租金")</f>
        <v>收入 - 租金</v>
      </c>
      <c r="D4445" s="270">
        <f>IFERROR(__xludf.DUMMYFUNCTION("""COMPUTED_VALUE"""),11000.0)</f>
        <v>11000</v>
      </c>
      <c r="F4445" t="str">
        <f>IFERROR(__xludf.DUMMYFUNCTION("""COMPUTED_VALUE"""),"玉山帳戶")</f>
        <v>玉山帳戶</v>
      </c>
      <c r="G4445" t="str">
        <f>IFERROR(__xludf.DUMMYFUNCTION("""COMPUTED_VALUE"""),"行天宮夏野良栗")</f>
        <v>行天宮夏野良栗</v>
      </c>
      <c r="H4445" s="106" t="str">
        <f t="shared" si="1"/>
        <v>2025-04</v>
      </c>
      <c r="I4445" s="271" t="str">
        <f>IFERROR(__xludf.DUMMYFUNCTION("""COMPUTED_VALUE"""),"鯰魚大大")</f>
        <v>鯰魚大大</v>
      </c>
      <c r="J4445" t="str">
        <f>IFERROR(__xludf.DUMMYFUNCTION("IFS(
  AND(REGEXMATCH(E4445, ""台銀籌備帳戶|玉山帳戶""), REGEXMATCH(C4445, ""薪資"")), ""分潤支出"",
  AND(REGEXMATCH(E4445, ""Ben帳戶|Elsa帳戶|Ben代墊|Ariel代墊|中信銀行共用""), REGEXMATCH(F4445, ""Ben帳戶|Elsa帳戶|Ben代墊|Ariel代墊|中信銀行共用"")), ""內部轉帳(忽略)"",
  AND(E4445&lt;&gt;"""", F4445&lt;&gt;"""", N"&amp;"OT(REGEXMATCH(C4445, ""薪資""))), ""內部轉帳(忽略)"",
  REGEXMATCH(C4445, ""薪資""), ""薪資變動(不計入)"",
  REGEXMATCH(C4445, ""押金""), ""押金往來"",
  AND(E4445&lt;&gt;"""", F4445=""""), ""真實支出"",
  AND(E4445="""", F4445&lt;&gt;""""), ""真實收入"",
  TRUE, ""其他""
)"),"真實收入")</f>
        <v>真實收入</v>
      </c>
      <c r="K4445" s="270">
        <f t="shared" si="2"/>
        <v>11000</v>
      </c>
      <c r="L4445">
        <f t="shared" si="3"/>
        <v>0</v>
      </c>
    </row>
    <row r="4446">
      <c r="A4446" s="107">
        <f>IFERROR(__xludf.DUMMYFUNCTION("""COMPUTED_VALUE"""),45749.0)</f>
        <v>45749</v>
      </c>
      <c r="B4446" t="str">
        <f>IFERROR(__xludf.DUMMYFUNCTION("""COMPUTED_VALUE"""),"[行天宮夏野良栗] A [鄒欣穎] 月租金 (行號: 26)")</f>
        <v>[行天宮夏野良栗] A [鄒欣穎] 月租金 (行號: 26)</v>
      </c>
      <c r="C4446" t="str">
        <f>IFERROR(__xludf.DUMMYFUNCTION("""COMPUTED_VALUE"""),"收入 - 租金")</f>
        <v>收入 - 租金</v>
      </c>
      <c r="D4446" s="270">
        <f>IFERROR(__xludf.DUMMYFUNCTION("""COMPUTED_VALUE"""),14200.0)</f>
        <v>14200</v>
      </c>
      <c r="F4446" t="str">
        <f>IFERROR(__xludf.DUMMYFUNCTION("""COMPUTED_VALUE"""),"玉山帳戶")</f>
        <v>玉山帳戶</v>
      </c>
      <c r="G4446" t="str">
        <f>IFERROR(__xludf.DUMMYFUNCTION("""COMPUTED_VALUE"""),"行天宮夏野良栗")</f>
        <v>行天宮夏野良栗</v>
      </c>
      <c r="H4446" s="106" t="str">
        <f t="shared" si="1"/>
        <v>2025-04</v>
      </c>
      <c r="I4446" s="271" t="str">
        <f>IFERROR(__xludf.DUMMYFUNCTION("""COMPUTED_VALUE"""),"鯰魚大大")</f>
        <v>鯰魚大大</v>
      </c>
      <c r="J4446" t="str">
        <f>IFERROR(__xludf.DUMMYFUNCTION("IFS(
  AND(REGEXMATCH(E4446, ""台銀籌備帳戶|玉山帳戶""), REGEXMATCH(C4446, ""薪資"")), ""分潤支出"",
  AND(REGEXMATCH(E4446, ""Ben帳戶|Elsa帳戶|Ben代墊|Ariel代墊|中信銀行共用""), REGEXMATCH(F4446, ""Ben帳戶|Elsa帳戶|Ben代墊|Ariel代墊|中信銀行共用"")), ""內部轉帳(忽略)"",
  AND(E4446&lt;&gt;"""", F4446&lt;&gt;"""", N"&amp;"OT(REGEXMATCH(C4446, ""薪資""))), ""內部轉帳(忽略)"",
  REGEXMATCH(C4446, ""薪資""), ""薪資變動(不計入)"",
  REGEXMATCH(C4446, ""押金""), ""押金往來"",
  AND(E4446&lt;&gt;"""", F4446=""""), ""真實支出"",
  AND(E4446="""", F4446&lt;&gt;""""), ""真實收入"",
  TRUE, ""其他""
)"),"真實收入")</f>
        <v>真實收入</v>
      </c>
      <c r="K4446" s="270">
        <f t="shared" si="2"/>
        <v>14200</v>
      </c>
      <c r="L4446">
        <f t="shared" si="3"/>
        <v>0</v>
      </c>
    </row>
    <row r="4447">
      <c r="A4447" s="107">
        <f>IFERROR(__xludf.DUMMYFUNCTION("""COMPUTED_VALUE"""),45749.0)</f>
        <v>45749</v>
      </c>
      <c r="B4447" t="str">
        <f>IFERROR(__xludf.DUMMYFUNCTION("""COMPUTED_VALUE"""),"[內湖秘境] F [楊芯岳] 月租金 (行號: 27)")</f>
        <v>[內湖秘境] F [楊芯岳] 月租金 (行號: 27)</v>
      </c>
      <c r="C4447" t="str">
        <f>IFERROR(__xludf.DUMMYFUNCTION("""COMPUTED_VALUE"""),"收入 - 租金")</f>
        <v>收入 - 租金</v>
      </c>
      <c r="D4447" s="270">
        <f>IFERROR(__xludf.DUMMYFUNCTION("""COMPUTED_VALUE"""),13500.0)</f>
        <v>13500</v>
      </c>
      <c r="F4447" t="str">
        <f>IFERROR(__xludf.DUMMYFUNCTION("""COMPUTED_VALUE"""),"玉山帳戶")</f>
        <v>玉山帳戶</v>
      </c>
      <c r="G4447" t="str">
        <f>IFERROR(__xludf.DUMMYFUNCTION("""COMPUTED_VALUE"""),"內湖秘境")</f>
        <v>內湖秘境</v>
      </c>
      <c r="H4447" s="106" t="str">
        <f t="shared" si="1"/>
        <v>2025-04</v>
      </c>
      <c r="I4447" s="271" t="str">
        <f>IFERROR(__xludf.DUMMYFUNCTION("""COMPUTED_VALUE"""),"鯰魚大大")</f>
        <v>鯰魚大大</v>
      </c>
      <c r="J4447" t="str">
        <f>IFERROR(__xludf.DUMMYFUNCTION("IFS(
  AND(REGEXMATCH(E4447, ""台銀籌備帳戶|玉山帳戶""), REGEXMATCH(C4447, ""薪資"")), ""分潤支出"",
  AND(REGEXMATCH(E4447, ""Ben帳戶|Elsa帳戶|Ben代墊|Ariel代墊|中信銀行共用""), REGEXMATCH(F4447, ""Ben帳戶|Elsa帳戶|Ben代墊|Ariel代墊|中信銀行共用"")), ""內部轉帳(忽略)"",
  AND(E4447&lt;&gt;"""", F4447&lt;&gt;"""", N"&amp;"OT(REGEXMATCH(C4447, ""薪資""))), ""內部轉帳(忽略)"",
  REGEXMATCH(C4447, ""薪資""), ""薪資變動(不計入)"",
  REGEXMATCH(C4447, ""押金""), ""押金往來"",
  AND(E4447&lt;&gt;"""", F4447=""""), ""真實支出"",
  AND(E4447="""", F4447&lt;&gt;""""), ""真實收入"",
  TRUE, ""其他""
)"),"真實收入")</f>
        <v>真實收入</v>
      </c>
      <c r="K4447" s="270">
        <f t="shared" si="2"/>
        <v>13500</v>
      </c>
      <c r="L4447">
        <f t="shared" si="3"/>
        <v>0</v>
      </c>
    </row>
    <row r="4448">
      <c r="A4448" s="107">
        <f>IFERROR(__xludf.DUMMYFUNCTION("""COMPUTED_VALUE"""),45723.0)</f>
        <v>45723</v>
      </c>
      <c r="B4448" t="str">
        <f>IFERROR(__xludf.DUMMYFUNCTION("""COMPUTED_VALUE"""),"代墊款 【未分類支出】")</f>
        <v>代墊款 【未分類支出】</v>
      </c>
      <c r="C4448" t="str">
        <f>IFERROR(__xludf.DUMMYFUNCTION("""COMPUTED_VALUE"""),"費用 - Salary 薪資")</f>
        <v>費用 - Salary 薪資</v>
      </c>
      <c r="D4448" s="270">
        <f>IFERROR(__xludf.DUMMYFUNCTION("""COMPUTED_VALUE"""),-100000.0)</f>
        <v>-100000</v>
      </c>
      <c r="E4448" t="str">
        <f>IFERROR(__xludf.DUMMYFUNCTION("""COMPUTED_VALUE"""),"玉山帳戶")</f>
        <v>玉山帳戶</v>
      </c>
      <c r="F4448" t="str">
        <f>IFERROR(__xludf.DUMMYFUNCTION("""COMPUTED_VALUE"""),"Ben代墊")</f>
        <v>Ben代墊</v>
      </c>
      <c r="H4448" s="106" t="str">
        <f t="shared" si="1"/>
        <v>2025-03</v>
      </c>
      <c r="I4448" s="271" t="str">
        <f>IFERROR(__xludf.DUMMYFUNCTION("""COMPUTED_VALUE"""),"鯰魚大大")</f>
        <v>鯰魚大大</v>
      </c>
      <c r="J4448" t="str">
        <f>IFERROR(__xludf.DUMMYFUNCTION("IFS(
  AND(REGEXMATCH(E4448, ""台銀籌備帳戶|玉山帳戶""), REGEXMATCH(C4448, ""薪資"")), ""分潤支出"",
  AND(REGEXMATCH(E4448, ""Ben帳戶|Elsa帳戶|Ben代墊|Ariel代墊|中信銀行共用""), REGEXMATCH(F4448, ""Ben帳戶|Elsa帳戶|Ben代墊|Ariel代墊|中信銀行共用"")), ""內部轉帳(忽略)"",
  AND(E4448&lt;&gt;"""", F4448&lt;&gt;"""", N"&amp;"OT(REGEXMATCH(C4448, ""薪資""))), ""內部轉帳(忽略)"",
  REGEXMATCH(C4448, ""薪資""), ""薪資變動(不計入)"",
  REGEXMATCH(C4448, ""押金""), ""押金往來"",
  AND(E4448&lt;&gt;"""", F4448=""""), ""真實支出"",
  AND(E4448="""", F4448&lt;&gt;""""), ""真實收入"",
  TRUE, ""其他""
)"),"分潤支出")</f>
        <v>分潤支出</v>
      </c>
      <c r="K4448">
        <f t="shared" si="2"/>
        <v>0</v>
      </c>
      <c r="L4448">
        <f t="shared" si="3"/>
        <v>100000</v>
      </c>
    </row>
    <row r="4449">
      <c r="A4449" s="107">
        <f>IFERROR(__xludf.DUMMYFUNCTION("""COMPUTED_VALUE"""),45754.0)</f>
        <v>45754</v>
      </c>
      <c r="B4449" t="str">
        <f>IFERROR(__xludf.DUMMYFUNCTION("""COMPUTED_VALUE"""),"垃可")</f>
        <v>垃可</v>
      </c>
      <c r="C4449" t="str">
        <f>IFERROR(__xludf.DUMMYFUNCTION("""COMPUTED_VALUE"""),"成本 - 固定開銷(網路代收清潔)")</f>
        <v>成本 - 固定開銷(網路代收清潔)</v>
      </c>
      <c r="D4449" s="270">
        <f>IFERROR(__xludf.DUMMYFUNCTION("""COMPUTED_VALUE"""),-900.0)</f>
        <v>-900</v>
      </c>
      <c r="E4449" t="str">
        <f>IFERROR(__xludf.DUMMYFUNCTION("""COMPUTED_VALUE"""),"Ben代墊")</f>
        <v>Ben代墊</v>
      </c>
      <c r="G4449" t="str">
        <f>IFERROR(__xludf.DUMMYFUNCTION("""COMPUTED_VALUE"""),"行天宮夏野良栗")</f>
        <v>行天宮夏野良栗</v>
      </c>
      <c r="H4449" s="106" t="str">
        <f t="shared" si="1"/>
        <v>2025-04</v>
      </c>
      <c r="I4449" s="271" t="str">
        <f>IFERROR(__xludf.DUMMYFUNCTION("""COMPUTED_VALUE"""),"鯰魚大大")</f>
        <v>鯰魚大大</v>
      </c>
      <c r="J4449" t="str">
        <f>IFERROR(__xludf.DUMMYFUNCTION("IFS(
  AND(REGEXMATCH(E4449, ""台銀籌備帳戶|玉山帳戶""), REGEXMATCH(C4449, ""薪資"")), ""分潤支出"",
  AND(REGEXMATCH(E4449, ""Ben帳戶|Elsa帳戶|Ben代墊|Ariel代墊|中信銀行共用""), REGEXMATCH(F4449, ""Ben帳戶|Elsa帳戶|Ben代墊|Ariel代墊|中信銀行共用"")), ""內部轉帳(忽略)"",
  AND(E4449&lt;&gt;"""", F4449&lt;&gt;"""", N"&amp;"OT(REGEXMATCH(C4449, ""薪資""))), ""內部轉帳(忽略)"",
  REGEXMATCH(C4449, ""薪資""), ""薪資變動(不計入)"",
  REGEXMATCH(C4449, ""押金""), ""押金往來"",
  AND(E4449&lt;&gt;"""", F4449=""""), ""真實支出"",
  AND(E4449="""", F4449&lt;&gt;""""), ""真實收入"",
  TRUE, ""其他""
)"),"真實支出")</f>
        <v>真實支出</v>
      </c>
      <c r="K4449" s="270">
        <f t="shared" si="2"/>
        <v>-900</v>
      </c>
      <c r="L4449">
        <f t="shared" si="3"/>
        <v>0</v>
      </c>
    </row>
    <row r="4450">
      <c r="A4450" s="107">
        <f>IFERROR(__xludf.DUMMYFUNCTION("""COMPUTED_VALUE"""),45754.0)</f>
        <v>45754</v>
      </c>
      <c r="B4450" t="str">
        <f>IFERROR(__xludf.DUMMYFUNCTION("""COMPUTED_VALUE"""),"費用 - 匯費 對方行:810 後五碼:77212 (行號: 2)")</f>
        <v>費用 - 匯費 對方行:810 後五碼:77212 (行號: 2)</v>
      </c>
      <c r="C4450" t="str">
        <f>IFERROR(__xludf.DUMMYFUNCTION("""COMPUTED_VALUE"""),"費用 - 匯費")</f>
        <v>費用 - 匯費</v>
      </c>
      <c r="D4450" s="270">
        <f>IFERROR(__xludf.DUMMYFUNCTION("""COMPUTED_VALUE"""),-15.0)</f>
        <v>-15</v>
      </c>
      <c r="E4450" t="str">
        <f>IFERROR(__xludf.DUMMYFUNCTION("""COMPUTED_VALUE"""),"玉山帳戶")</f>
        <v>玉山帳戶</v>
      </c>
      <c r="H4450" s="106" t="str">
        <f t="shared" si="1"/>
        <v>2025-04</v>
      </c>
      <c r="I4450" s="271" t="str">
        <f>IFERROR(__xludf.DUMMYFUNCTION("""COMPUTED_VALUE"""),"鯰魚大大")</f>
        <v>鯰魚大大</v>
      </c>
      <c r="J4450" t="str">
        <f>IFERROR(__xludf.DUMMYFUNCTION("IFS(
  AND(REGEXMATCH(E4450, ""台銀籌備帳戶|玉山帳戶""), REGEXMATCH(C4450, ""薪資"")), ""分潤支出"",
  AND(REGEXMATCH(E4450, ""Ben帳戶|Elsa帳戶|Ben代墊|Ariel代墊|中信銀行共用""), REGEXMATCH(F4450, ""Ben帳戶|Elsa帳戶|Ben代墊|Ariel代墊|中信銀行共用"")), ""內部轉帳(忽略)"",
  AND(E4450&lt;&gt;"""", F4450&lt;&gt;"""", N"&amp;"OT(REGEXMATCH(C4450, ""薪資""))), ""內部轉帳(忽略)"",
  REGEXMATCH(C4450, ""薪資""), ""薪資變動(不計入)"",
  REGEXMATCH(C4450, ""押金""), ""押金往來"",
  AND(E4450&lt;&gt;"""", F4450=""""), ""真實支出"",
  AND(E4450="""", F4450&lt;&gt;""""), ""真實收入"",
  TRUE, ""其他""
)"),"真實支出")</f>
        <v>真實支出</v>
      </c>
      <c r="K4450" s="270">
        <f t="shared" si="2"/>
        <v>-15</v>
      </c>
      <c r="L4450">
        <f t="shared" si="3"/>
        <v>0</v>
      </c>
    </row>
    <row r="4451">
      <c r="A4451" s="107">
        <f>IFERROR(__xludf.DUMMYFUNCTION("""COMPUTED_VALUE"""),45754.0)</f>
        <v>45754</v>
      </c>
      <c r="B4451" t="str">
        <f>IFERROR(__xludf.DUMMYFUNCTION("""COMPUTED_VALUE"""),"[內湖秘境] [周佳慧] 大租金")</f>
        <v>[內湖秘境] [周佳慧] 大租金</v>
      </c>
      <c r="C4451" t="str">
        <f>IFERROR(__xludf.DUMMYFUNCTION("""COMPUTED_VALUE"""),"成本 - 大租金")</f>
        <v>成本 - 大租金</v>
      </c>
      <c r="D4451" s="270">
        <f>IFERROR(__xludf.DUMMYFUNCTION("""COMPUTED_VALUE"""),-15000.0)</f>
        <v>-15000</v>
      </c>
      <c r="E4451" t="str">
        <f>IFERROR(__xludf.DUMMYFUNCTION("""COMPUTED_VALUE"""),"玉山帳戶")</f>
        <v>玉山帳戶</v>
      </c>
      <c r="G4451" t="str">
        <f>IFERROR(__xludf.DUMMYFUNCTION("""COMPUTED_VALUE"""),"內湖秘境")</f>
        <v>內湖秘境</v>
      </c>
      <c r="H4451" s="106" t="str">
        <f t="shared" si="1"/>
        <v>2025-04</v>
      </c>
      <c r="I4451" s="271" t="str">
        <f>IFERROR(__xludf.DUMMYFUNCTION("""COMPUTED_VALUE"""),"鯰魚大大")</f>
        <v>鯰魚大大</v>
      </c>
      <c r="J4451" t="str">
        <f>IFERROR(__xludf.DUMMYFUNCTION("IFS(
  AND(REGEXMATCH(E4451, ""台銀籌備帳戶|玉山帳戶""), REGEXMATCH(C4451, ""薪資"")), ""分潤支出"",
  AND(REGEXMATCH(E4451, ""Ben帳戶|Elsa帳戶|Ben代墊|Ariel代墊|中信銀行共用""), REGEXMATCH(F4451, ""Ben帳戶|Elsa帳戶|Ben代墊|Ariel代墊|中信銀行共用"")), ""內部轉帳(忽略)"",
  AND(E4451&lt;&gt;"""", F4451&lt;&gt;"""", N"&amp;"OT(REGEXMATCH(C4451, ""薪資""))), ""內部轉帳(忽略)"",
  REGEXMATCH(C4451, ""薪資""), ""薪資變動(不計入)"",
  REGEXMATCH(C4451, ""押金""), ""押金往來"",
  AND(E4451&lt;&gt;"""", F4451=""""), ""真實支出"",
  AND(E4451="""", F4451&lt;&gt;""""), ""真實收入"",
  TRUE, ""其他""
)"),"真實支出")</f>
        <v>真實支出</v>
      </c>
      <c r="K4451" s="270">
        <f t="shared" si="2"/>
        <v>-15000</v>
      </c>
      <c r="L4451">
        <f t="shared" si="3"/>
        <v>0</v>
      </c>
    </row>
    <row r="4452">
      <c r="A4452" s="107">
        <f>IFERROR(__xludf.DUMMYFUNCTION("""COMPUTED_VALUE"""),45754.0)</f>
        <v>45754</v>
      </c>
      <c r="B4452" t="str">
        <f>IFERROR(__xludf.DUMMYFUNCTION("""COMPUTED_VALUE"""),"費用 - 匯費 對方行:822 後五碼:33337 (行號: 3)")</f>
        <v>費用 - 匯費 對方行:822 後五碼:33337 (行號: 3)</v>
      </c>
      <c r="C4452" t="str">
        <f>IFERROR(__xludf.DUMMYFUNCTION("""COMPUTED_VALUE"""),"費用 - 匯費")</f>
        <v>費用 - 匯費</v>
      </c>
      <c r="D4452" s="270">
        <f>IFERROR(__xludf.DUMMYFUNCTION("""COMPUTED_VALUE"""),-15.0)</f>
        <v>-15</v>
      </c>
      <c r="E4452" t="str">
        <f>IFERROR(__xludf.DUMMYFUNCTION("""COMPUTED_VALUE"""),"玉山帳戶")</f>
        <v>玉山帳戶</v>
      </c>
      <c r="H4452" s="106" t="str">
        <f t="shared" si="1"/>
        <v>2025-04</v>
      </c>
      <c r="I4452" s="271" t="str">
        <f>IFERROR(__xludf.DUMMYFUNCTION("""COMPUTED_VALUE"""),"鯰魚大大")</f>
        <v>鯰魚大大</v>
      </c>
      <c r="J4452" t="str">
        <f>IFERROR(__xludf.DUMMYFUNCTION("IFS(
  AND(REGEXMATCH(E4452, ""台銀籌備帳戶|玉山帳戶""), REGEXMATCH(C4452, ""薪資"")), ""分潤支出"",
  AND(REGEXMATCH(E4452, ""Ben帳戶|Elsa帳戶|Ben代墊|Ariel代墊|中信銀行共用""), REGEXMATCH(F4452, ""Ben帳戶|Elsa帳戶|Ben代墊|Ariel代墊|中信銀行共用"")), ""內部轉帳(忽略)"",
  AND(E4452&lt;&gt;"""", F4452&lt;&gt;"""", N"&amp;"OT(REGEXMATCH(C4452, ""薪資""))), ""內部轉帳(忽略)"",
  REGEXMATCH(C4452, ""薪資""), ""薪資變動(不計入)"",
  REGEXMATCH(C4452, ""押金""), ""押金往來"",
  AND(E4452&lt;&gt;"""", F4452=""""), ""真實支出"",
  AND(E4452="""", F4452&lt;&gt;""""), ""真實收入"",
  TRUE, ""其他""
)"),"真實支出")</f>
        <v>真實支出</v>
      </c>
      <c r="K4452" s="270">
        <f t="shared" si="2"/>
        <v>-15</v>
      </c>
      <c r="L4452">
        <f t="shared" si="3"/>
        <v>0</v>
      </c>
    </row>
    <row r="4453">
      <c r="A4453" s="107">
        <f>IFERROR(__xludf.DUMMYFUNCTION("""COMPUTED_VALUE"""),45754.0)</f>
        <v>45754</v>
      </c>
      <c r="B4453" t="str">
        <f>IFERROR(__xludf.DUMMYFUNCTION("""COMPUTED_VALUE"""),"代墊款 【未分類支出】")</f>
        <v>代墊款 【未分類支出】</v>
      </c>
      <c r="C4453" t="str">
        <f>IFERROR(__xludf.DUMMYFUNCTION("""COMPUTED_VALUE"""),"費用 - Salary 薪資")</f>
        <v>費用 - Salary 薪資</v>
      </c>
      <c r="D4453" s="270">
        <f>IFERROR(__xludf.DUMMYFUNCTION("""COMPUTED_VALUE"""),-100000.0)</f>
        <v>-100000</v>
      </c>
      <c r="E4453" t="str">
        <f>IFERROR(__xludf.DUMMYFUNCTION("""COMPUTED_VALUE"""),"玉山帳戶")</f>
        <v>玉山帳戶</v>
      </c>
      <c r="F4453" t="str">
        <f>IFERROR(__xludf.DUMMYFUNCTION("""COMPUTED_VALUE"""),"Ariel代墊")</f>
        <v>Ariel代墊</v>
      </c>
      <c r="H4453" s="106" t="str">
        <f t="shared" si="1"/>
        <v>2025-04</v>
      </c>
      <c r="I4453" s="271" t="str">
        <f>IFERROR(__xludf.DUMMYFUNCTION("""COMPUTED_VALUE"""),"鯰魚大大")</f>
        <v>鯰魚大大</v>
      </c>
      <c r="J4453" t="str">
        <f>IFERROR(__xludf.DUMMYFUNCTION("IFS(
  AND(REGEXMATCH(E4453, ""台銀籌備帳戶|玉山帳戶""), REGEXMATCH(C4453, ""薪資"")), ""分潤支出"",
  AND(REGEXMATCH(E4453, ""Ben帳戶|Elsa帳戶|Ben代墊|Ariel代墊|中信銀行共用""), REGEXMATCH(F4453, ""Ben帳戶|Elsa帳戶|Ben代墊|Ariel代墊|中信銀行共用"")), ""內部轉帳(忽略)"",
  AND(E4453&lt;&gt;"""", F4453&lt;&gt;"""", N"&amp;"OT(REGEXMATCH(C4453, ""薪資""))), ""內部轉帳(忽略)"",
  REGEXMATCH(C4453, ""薪資""), ""薪資變動(不計入)"",
  REGEXMATCH(C4453, ""押金""), ""押金往來"",
  AND(E4453&lt;&gt;"""", F4453=""""), ""真實支出"",
  AND(E4453="""", F4453&lt;&gt;""""), ""真實收入"",
  TRUE, ""其他""
)"),"分潤支出")</f>
        <v>分潤支出</v>
      </c>
      <c r="K4453">
        <f t="shared" si="2"/>
        <v>0</v>
      </c>
      <c r="L4453">
        <f t="shared" si="3"/>
        <v>100000</v>
      </c>
    </row>
    <row r="4454">
      <c r="A4454" s="107">
        <f>IFERROR(__xludf.DUMMYFUNCTION("""COMPUTED_VALUE"""),45762.0)</f>
        <v>45762</v>
      </c>
      <c r="B4454" t="str">
        <f>IFERROR(__xludf.DUMMYFUNCTION("""COMPUTED_VALUE"""),"費用 - 匯費 對方行:013 後五碼:78744 (行號: 4)")</f>
        <v>費用 - 匯費 對方行:013 後五碼:78744 (行號: 4)</v>
      </c>
      <c r="C4454" t="str">
        <f>IFERROR(__xludf.DUMMYFUNCTION("""COMPUTED_VALUE"""),"費用 - 匯費")</f>
        <v>費用 - 匯費</v>
      </c>
      <c r="D4454" s="270">
        <f>IFERROR(__xludf.DUMMYFUNCTION("""COMPUTED_VALUE"""),-15.0)</f>
        <v>-15</v>
      </c>
      <c r="E4454" t="str">
        <f>IFERROR(__xludf.DUMMYFUNCTION("""COMPUTED_VALUE"""),"玉山帳戶")</f>
        <v>玉山帳戶</v>
      </c>
      <c r="H4454" s="106" t="str">
        <f t="shared" si="1"/>
        <v>2025-04</v>
      </c>
      <c r="I4454" s="271" t="str">
        <f>IFERROR(__xludf.DUMMYFUNCTION("""COMPUTED_VALUE"""),"鯰魚大大")</f>
        <v>鯰魚大大</v>
      </c>
      <c r="J4454" t="str">
        <f>IFERROR(__xludf.DUMMYFUNCTION("IFS(
  AND(REGEXMATCH(E4454, ""台銀籌備帳戶|玉山帳戶""), REGEXMATCH(C4454, ""薪資"")), ""分潤支出"",
  AND(REGEXMATCH(E4454, ""Ben帳戶|Elsa帳戶|Ben代墊|Ariel代墊|中信銀行共用""), REGEXMATCH(F4454, ""Ben帳戶|Elsa帳戶|Ben代墊|Ariel代墊|中信銀行共用"")), ""內部轉帳(忽略)"",
  AND(E4454&lt;&gt;"""", F4454&lt;&gt;"""", N"&amp;"OT(REGEXMATCH(C4454, ""薪資""))), ""內部轉帳(忽略)"",
  REGEXMATCH(C4454, ""薪資""), ""薪資變動(不計入)"",
  REGEXMATCH(C4454, ""押金""), ""押金往來"",
  AND(E4454&lt;&gt;"""", F4454=""""), ""真實支出"",
  AND(E4454="""", F4454&lt;&gt;""""), ""真實收入"",
  TRUE, ""其他""
)"),"真實支出")</f>
        <v>真實支出</v>
      </c>
      <c r="K4454" s="270">
        <f t="shared" si="2"/>
        <v>-15</v>
      </c>
      <c r="L4454">
        <f t="shared" si="3"/>
        <v>0</v>
      </c>
    </row>
    <row r="4455">
      <c r="A4455" s="107">
        <f>IFERROR(__xludf.DUMMYFUNCTION("""COMPUTED_VALUE"""),45762.0)</f>
        <v>45762</v>
      </c>
      <c r="B4455" t="str">
        <f>IFERROR(__xludf.DUMMYFUNCTION("""COMPUTED_VALUE"""),"[士林和豐] [楊政偉] 大租金")</f>
        <v>[士林和豐] [楊政偉] 大租金</v>
      </c>
      <c r="C4455" t="str">
        <f>IFERROR(__xludf.DUMMYFUNCTION("""COMPUTED_VALUE"""),"成本 - 大租金")</f>
        <v>成本 - 大租金</v>
      </c>
      <c r="D4455" s="270">
        <f>IFERROR(__xludf.DUMMYFUNCTION("""COMPUTED_VALUE"""),-14400.0)</f>
        <v>-14400</v>
      </c>
      <c r="E4455" t="str">
        <f>IFERROR(__xludf.DUMMYFUNCTION("""COMPUTED_VALUE"""),"玉山帳戶")</f>
        <v>玉山帳戶</v>
      </c>
      <c r="G4455" t="str">
        <f>IFERROR(__xludf.DUMMYFUNCTION("""COMPUTED_VALUE"""),"士林和豐")</f>
        <v>士林和豐</v>
      </c>
      <c r="H4455" s="106" t="str">
        <f t="shared" si="1"/>
        <v>2025-04</v>
      </c>
      <c r="I4455" s="271" t="str">
        <f>IFERROR(__xludf.DUMMYFUNCTION("""COMPUTED_VALUE"""),"鯰魚大大")</f>
        <v>鯰魚大大</v>
      </c>
      <c r="J4455" t="str">
        <f>IFERROR(__xludf.DUMMYFUNCTION("IFS(
  AND(REGEXMATCH(E4455, ""台銀籌備帳戶|玉山帳戶""), REGEXMATCH(C4455, ""薪資"")), ""分潤支出"",
  AND(REGEXMATCH(E4455, ""Ben帳戶|Elsa帳戶|Ben代墊|Ariel代墊|中信銀行共用""), REGEXMATCH(F4455, ""Ben帳戶|Elsa帳戶|Ben代墊|Ariel代墊|中信銀行共用"")), ""內部轉帳(忽略)"",
  AND(E4455&lt;&gt;"""", F4455&lt;&gt;"""", N"&amp;"OT(REGEXMATCH(C4455, ""薪資""))), ""內部轉帳(忽略)"",
  REGEXMATCH(C4455, ""薪資""), ""薪資變動(不計入)"",
  REGEXMATCH(C4455, ""押金""), ""押金往來"",
  AND(E4455&lt;&gt;"""", F4455=""""), ""真實支出"",
  AND(E4455="""", F4455&lt;&gt;""""), ""真實收入"",
  TRUE, ""其他""
)"),"真實支出")</f>
        <v>真實支出</v>
      </c>
      <c r="K4455" s="270">
        <f t="shared" si="2"/>
        <v>-14400</v>
      </c>
      <c r="L4455">
        <f t="shared" si="3"/>
        <v>0</v>
      </c>
    </row>
    <row r="4456">
      <c r="A4456" s="107">
        <f>IFERROR(__xludf.DUMMYFUNCTION("""COMPUTED_VALUE"""),45762.0)</f>
        <v>45762</v>
      </c>
      <c r="B4456" t="str">
        <f>IFERROR(__xludf.DUMMYFUNCTION("""COMPUTED_VALUE"""),"費用 - 匯費 對方行:012 後五碼:68447 (行號: 5)")</f>
        <v>費用 - 匯費 對方行:012 後五碼:68447 (行號: 5)</v>
      </c>
      <c r="C4456" t="str">
        <f>IFERROR(__xludf.DUMMYFUNCTION("""COMPUTED_VALUE"""),"費用 - 匯費")</f>
        <v>費用 - 匯費</v>
      </c>
      <c r="D4456" s="270">
        <f>IFERROR(__xludf.DUMMYFUNCTION("""COMPUTED_VALUE"""),-15.0)</f>
        <v>-15</v>
      </c>
      <c r="E4456" t="str">
        <f>IFERROR(__xludf.DUMMYFUNCTION("""COMPUTED_VALUE"""),"玉山帳戶")</f>
        <v>玉山帳戶</v>
      </c>
      <c r="H4456" s="106" t="str">
        <f t="shared" si="1"/>
        <v>2025-04</v>
      </c>
      <c r="I4456" s="271" t="str">
        <f>IFERROR(__xludf.DUMMYFUNCTION("""COMPUTED_VALUE"""),"鯰魚大大")</f>
        <v>鯰魚大大</v>
      </c>
      <c r="J4456" t="str">
        <f>IFERROR(__xludf.DUMMYFUNCTION("IFS(
  AND(REGEXMATCH(E4456, ""台銀籌備帳戶|玉山帳戶""), REGEXMATCH(C4456, ""薪資"")), ""分潤支出"",
  AND(REGEXMATCH(E4456, ""Ben帳戶|Elsa帳戶|Ben代墊|Ariel代墊|中信銀行共用""), REGEXMATCH(F4456, ""Ben帳戶|Elsa帳戶|Ben代墊|Ariel代墊|中信銀行共用"")), ""內部轉帳(忽略)"",
  AND(E4456&lt;&gt;"""", F4456&lt;&gt;"""", N"&amp;"OT(REGEXMATCH(C4456, ""薪資""))), ""內部轉帳(忽略)"",
  REGEXMATCH(C4456, ""薪資""), ""薪資變動(不計入)"",
  REGEXMATCH(C4456, ""押金""), ""押金往來"",
  AND(E4456&lt;&gt;"""", F4456=""""), ""真實支出"",
  AND(E4456="""", F4456&lt;&gt;""""), ""真實收入"",
  TRUE, ""其他""
)"),"真實支出")</f>
        <v>真實支出</v>
      </c>
      <c r="K4456" s="270">
        <f t="shared" si="2"/>
        <v>-15</v>
      </c>
      <c r="L4456">
        <f t="shared" si="3"/>
        <v>0</v>
      </c>
    </row>
    <row r="4457">
      <c r="A4457" s="107">
        <f>IFERROR(__xludf.DUMMYFUNCTION("""COMPUTED_VALUE"""),45762.0)</f>
        <v>45762</v>
      </c>
      <c r="B4457" t="str">
        <f>IFERROR(__xludf.DUMMYFUNCTION("""COMPUTED_VALUE"""),"[行天宮夏野良栗] [沈蕙萱] 大租金")</f>
        <v>[行天宮夏野良栗] [沈蕙萱] 大租金</v>
      </c>
      <c r="C4457" t="str">
        <f>IFERROR(__xludf.DUMMYFUNCTION("""COMPUTED_VALUE"""),"成本 - 大租金")</f>
        <v>成本 - 大租金</v>
      </c>
      <c r="D4457" s="270">
        <f>IFERROR(__xludf.DUMMYFUNCTION("""COMPUTED_VALUE"""),-19900.0)</f>
        <v>-19900</v>
      </c>
      <c r="E4457" t="str">
        <f>IFERROR(__xludf.DUMMYFUNCTION("""COMPUTED_VALUE"""),"玉山帳戶")</f>
        <v>玉山帳戶</v>
      </c>
      <c r="G4457" t="str">
        <f>IFERROR(__xludf.DUMMYFUNCTION("""COMPUTED_VALUE"""),"行天宮夏野良栗")</f>
        <v>行天宮夏野良栗</v>
      </c>
      <c r="H4457" s="106" t="str">
        <f t="shared" si="1"/>
        <v>2025-04</v>
      </c>
      <c r="I4457" s="271" t="str">
        <f>IFERROR(__xludf.DUMMYFUNCTION("""COMPUTED_VALUE"""),"鯰魚大大")</f>
        <v>鯰魚大大</v>
      </c>
      <c r="J4457" t="str">
        <f>IFERROR(__xludf.DUMMYFUNCTION("IFS(
  AND(REGEXMATCH(E4457, ""台銀籌備帳戶|玉山帳戶""), REGEXMATCH(C4457, ""薪資"")), ""分潤支出"",
  AND(REGEXMATCH(E4457, ""Ben帳戶|Elsa帳戶|Ben代墊|Ariel代墊|中信銀行共用""), REGEXMATCH(F4457, ""Ben帳戶|Elsa帳戶|Ben代墊|Ariel代墊|中信銀行共用"")), ""內部轉帳(忽略)"",
  AND(E4457&lt;&gt;"""", F4457&lt;&gt;"""", N"&amp;"OT(REGEXMATCH(C4457, ""薪資""))), ""內部轉帳(忽略)"",
  REGEXMATCH(C4457, ""薪資""), ""薪資變動(不計入)"",
  REGEXMATCH(C4457, ""押金""), ""押金往來"",
  AND(E4457&lt;&gt;"""", F4457=""""), ""真實支出"",
  AND(E4457="""", F4457&lt;&gt;""""), ""真實收入"",
  TRUE, ""其他""
)"),"真實支出")</f>
        <v>真實支出</v>
      </c>
      <c r="K4457" s="270">
        <f t="shared" si="2"/>
        <v>-19900</v>
      </c>
      <c r="L4457">
        <f t="shared" si="3"/>
        <v>0</v>
      </c>
    </row>
    <row r="4458">
      <c r="A4458" s="107">
        <f>IFERROR(__xludf.DUMMYFUNCTION("""COMPUTED_VALUE"""),45779.0)</f>
        <v>45779</v>
      </c>
      <c r="B4458" t="str">
        <f>IFERROR(__xludf.DUMMYFUNCTION("""COMPUTED_VALUE"""),"費用 - 匯費 對方行:013 後五碼:78744 (行號: 21)")</f>
        <v>費用 - 匯費 對方行:013 後五碼:78744 (行號: 21)</v>
      </c>
      <c r="C4458" t="str">
        <f>IFERROR(__xludf.DUMMYFUNCTION("""COMPUTED_VALUE"""),"費用 - 匯費")</f>
        <v>費用 - 匯費</v>
      </c>
      <c r="D4458" s="270">
        <f>IFERROR(__xludf.DUMMYFUNCTION("""COMPUTED_VALUE"""),-15.0)</f>
        <v>-15</v>
      </c>
      <c r="E4458" t="str">
        <f>IFERROR(__xludf.DUMMYFUNCTION("""COMPUTED_VALUE"""),"玉山帳戶")</f>
        <v>玉山帳戶</v>
      </c>
      <c r="H4458" s="106" t="str">
        <f t="shared" si="1"/>
        <v>2025-05</v>
      </c>
      <c r="I4458" s="271" t="str">
        <f>IFERROR(__xludf.DUMMYFUNCTION("""COMPUTED_VALUE"""),"鯰魚大大")</f>
        <v>鯰魚大大</v>
      </c>
      <c r="J4458" t="str">
        <f>IFERROR(__xludf.DUMMYFUNCTION("IFS(
  AND(REGEXMATCH(E4458, ""台銀籌備帳戶|玉山帳戶""), REGEXMATCH(C4458, ""薪資"")), ""分潤支出"",
  AND(REGEXMATCH(E4458, ""Ben帳戶|Elsa帳戶|Ben代墊|Ariel代墊|中信銀行共用""), REGEXMATCH(F4458, ""Ben帳戶|Elsa帳戶|Ben代墊|Ariel代墊|中信銀行共用"")), ""內部轉帳(忽略)"",
  AND(E4458&lt;&gt;"""", F4458&lt;&gt;"""", N"&amp;"OT(REGEXMATCH(C4458, ""薪資""))), ""內部轉帳(忽略)"",
  REGEXMATCH(C4458, ""薪資""), ""薪資變動(不計入)"",
  REGEXMATCH(C4458, ""押金""), ""押金往來"",
  AND(E4458&lt;&gt;"""", F4458=""""), ""真實支出"",
  AND(E4458="""", F4458&lt;&gt;""""), ""真實收入"",
  TRUE, ""其他""
)"),"真實支出")</f>
        <v>真實支出</v>
      </c>
      <c r="K4458" s="270">
        <f t="shared" si="2"/>
        <v>-15</v>
      </c>
      <c r="L4458">
        <f t="shared" si="3"/>
        <v>0</v>
      </c>
    </row>
    <row r="4459">
      <c r="A4459" s="107">
        <f>IFERROR(__xludf.DUMMYFUNCTION("""COMPUTED_VALUE"""),45779.0)</f>
        <v>45779</v>
      </c>
      <c r="B4459" t="str">
        <f>IFERROR(__xludf.DUMMYFUNCTION("""COMPUTED_VALUE"""),"[士林和豐] [楊政偉] 大租金")</f>
        <v>[士林和豐] [楊政偉] 大租金</v>
      </c>
      <c r="C4459" t="str">
        <f>IFERROR(__xludf.DUMMYFUNCTION("""COMPUTED_VALUE"""),"成本 - 大租金")</f>
        <v>成本 - 大租金</v>
      </c>
      <c r="D4459" s="270">
        <f>IFERROR(__xludf.DUMMYFUNCTION("""COMPUTED_VALUE"""),-14400.0)</f>
        <v>-14400</v>
      </c>
      <c r="E4459" t="str">
        <f>IFERROR(__xludf.DUMMYFUNCTION("""COMPUTED_VALUE"""),"玉山帳戶")</f>
        <v>玉山帳戶</v>
      </c>
      <c r="G4459" t="str">
        <f>IFERROR(__xludf.DUMMYFUNCTION("""COMPUTED_VALUE"""),"士林和豐")</f>
        <v>士林和豐</v>
      </c>
      <c r="H4459" s="106" t="str">
        <f t="shared" si="1"/>
        <v>2025-05</v>
      </c>
      <c r="I4459" s="271" t="str">
        <f>IFERROR(__xludf.DUMMYFUNCTION("""COMPUTED_VALUE"""),"鯰魚大大")</f>
        <v>鯰魚大大</v>
      </c>
      <c r="J4459" t="str">
        <f>IFERROR(__xludf.DUMMYFUNCTION("IFS(
  AND(REGEXMATCH(E4459, ""台銀籌備帳戶|玉山帳戶""), REGEXMATCH(C4459, ""薪資"")), ""分潤支出"",
  AND(REGEXMATCH(E4459, ""Ben帳戶|Elsa帳戶|Ben代墊|Ariel代墊|中信銀行共用""), REGEXMATCH(F4459, ""Ben帳戶|Elsa帳戶|Ben代墊|Ariel代墊|中信銀行共用"")), ""內部轉帳(忽略)"",
  AND(E4459&lt;&gt;"""", F4459&lt;&gt;"""", N"&amp;"OT(REGEXMATCH(C4459, ""薪資""))), ""內部轉帳(忽略)"",
  REGEXMATCH(C4459, ""薪資""), ""薪資變動(不計入)"",
  REGEXMATCH(C4459, ""押金""), ""押金往來"",
  AND(E4459&lt;&gt;"""", F4459=""""), ""真實支出"",
  AND(E4459="""", F4459&lt;&gt;""""), ""真實收入"",
  TRUE, ""其他""
)"),"真實支出")</f>
        <v>真實支出</v>
      </c>
      <c r="K4459" s="270">
        <f t="shared" si="2"/>
        <v>-14400</v>
      </c>
      <c r="L4459">
        <f t="shared" si="3"/>
        <v>0</v>
      </c>
    </row>
    <row r="4460">
      <c r="A4460" s="107">
        <f>IFERROR(__xludf.DUMMYFUNCTION("""COMPUTED_VALUE"""),45779.0)</f>
        <v>45779</v>
      </c>
      <c r="B4460" t="str">
        <f>IFERROR(__xludf.DUMMYFUNCTION("""COMPUTED_VALUE"""),"費用 - 匯費 對方行:012 後五碼:68447 (行號: 22)")</f>
        <v>費用 - 匯費 對方行:012 後五碼:68447 (行號: 22)</v>
      </c>
      <c r="C4460" t="str">
        <f>IFERROR(__xludf.DUMMYFUNCTION("""COMPUTED_VALUE"""),"費用 - 匯費")</f>
        <v>費用 - 匯費</v>
      </c>
      <c r="D4460" s="270">
        <f>IFERROR(__xludf.DUMMYFUNCTION("""COMPUTED_VALUE"""),-15.0)</f>
        <v>-15</v>
      </c>
      <c r="E4460" t="str">
        <f>IFERROR(__xludf.DUMMYFUNCTION("""COMPUTED_VALUE"""),"玉山帳戶")</f>
        <v>玉山帳戶</v>
      </c>
      <c r="H4460" s="106" t="str">
        <f t="shared" si="1"/>
        <v>2025-05</v>
      </c>
      <c r="I4460" s="271" t="str">
        <f>IFERROR(__xludf.DUMMYFUNCTION("""COMPUTED_VALUE"""),"鯰魚大大")</f>
        <v>鯰魚大大</v>
      </c>
      <c r="J4460" t="str">
        <f>IFERROR(__xludf.DUMMYFUNCTION("IFS(
  AND(REGEXMATCH(E4460, ""台銀籌備帳戶|玉山帳戶""), REGEXMATCH(C4460, ""薪資"")), ""分潤支出"",
  AND(REGEXMATCH(E4460, ""Ben帳戶|Elsa帳戶|Ben代墊|Ariel代墊|中信銀行共用""), REGEXMATCH(F4460, ""Ben帳戶|Elsa帳戶|Ben代墊|Ariel代墊|中信銀行共用"")), ""內部轉帳(忽略)"",
  AND(E4460&lt;&gt;"""", F4460&lt;&gt;"""", N"&amp;"OT(REGEXMATCH(C4460, ""薪資""))), ""內部轉帳(忽略)"",
  REGEXMATCH(C4460, ""薪資""), ""薪資變動(不計入)"",
  REGEXMATCH(C4460, ""押金""), ""押金往來"",
  AND(E4460&lt;&gt;"""", F4460=""""), ""真實支出"",
  AND(E4460="""", F4460&lt;&gt;""""), ""真實收入"",
  TRUE, ""其他""
)"),"真實支出")</f>
        <v>真實支出</v>
      </c>
      <c r="K4460" s="270">
        <f t="shared" si="2"/>
        <v>-15</v>
      </c>
      <c r="L4460">
        <f t="shared" si="3"/>
        <v>0</v>
      </c>
    </row>
    <row r="4461">
      <c r="A4461" s="107">
        <f>IFERROR(__xludf.DUMMYFUNCTION("""COMPUTED_VALUE"""),45779.0)</f>
        <v>45779</v>
      </c>
      <c r="B4461" t="str">
        <f>IFERROR(__xludf.DUMMYFUNCTION("""COMPUTED_VALUE"""),"[行天宮夏野良栗] [沈蕙萱] 大租金")</f>
        <v>[行天宮夏野良栗] [沈蕙萱] 大租金</v>
      </c>
      <c r="C4461" t="str">
        <f>IFERROR(__xludf.DUMMYFUNCTION("""COMPUTED_VALUE"""),"成本 - 大租金")</f>
        <v>成本 - 大租金</v>
      </c>
      <c r="D4461" s="270">
        <f>IFERROR(__xludf.DUMMYFUNCTION("""COMPUTED_VALUE"""),-19900.0)</f>
        <v>-19900</v>
      </c>
      <c r="E4461" t="str">
        <f>IFERROR(__xludf.DUMMYFUNCTION("""COMPUTED_VALUE"""),"玉山帳戶")</f>
        <v>玉山帳戶</v>
      </c>
      <c r="G4461" t="str">
        <f>IFERROR(__xludf.DUMMYFUNCTION("""COMPUTED_VALUE"""),"行天宮夏野良栗")</f>
        <v>行天宮夏野良栗</v>
      </c>
      <c r="H4461" s="106" t="str">
        <f t="shared" si="1"/>
        <v>2025-05</v>
      </c>
      <c r="I4461" s="271" t="str">
        <f>IFERROR(__xludf.DUMMYFUNCTION("""COMPUTED_VALUE"""),"鯰魚大大")</f>
        <v>鯰魚大大</v>
      </c>
      <c r="J4461" t="str">
        <f>IFERROR(__xludf.DUMMYFUNCTION("IFS(
  AND(REGEXMATCH(E4461, ""台銀籌備帳戶|玉山帳戶""), REGEXMATCH(C4461, ""薪資"")), ""分潤支出"",
  AND(REGEXMATCH(E4461, ""Ben帳戶|Elsa帳戶|Ben代墊|Ariel代墊|中信銀行共用""), REGEXMATCH(F4461, ""Ben帳戶|Elsa帳戶|Ben代墊|Ariel代墊|中信銀行共用"")), ""內部轉帳(忽略)"",
  AND(E4461&lt;&gt;"""", F4461&lt;&gt;"""", N"&amp;"OT(REGEXMATCH(C4461, ""薪資""))), ""內部轉帳(忽略)"",
  REGEXMATCH(C4461, ""薪資""), ""薪資變動(不計入)"",
  REGEXMATCH(C4461, ""押金""), ""押金往來"",
  AND(E4461&lt;&gt;"""", F4461=""""), ""真實支出"",
  AND(E4461="""", F4461&lt;&gt;""""), ""真實收入"",
  TRUE, ""其他""
)"),"真實支出")</f>
        <v>真實支出</v>
      </c>
      <c r="K4461" s="270">
        <f t="shared" si="2"/>
        <v>-19900</v>
      </c>
      <c r="L4461">
        <f t="shared" si="3"/>
        <v>0</v>
      </c>
    </row>
    <row r="4462">
      <c r="A4462" s="107">
        <f>IFERROR(__xludf.DUMMYFUNCTION("""COMPUTED_VALUE"""),45779.0)</f>
        <v>45779</v>
      </c>
      <c r="B4462" t="str">
        <f>IFERROR(__xludf.DUMMYFUNCTION("""COMPUTED_VALUE"""),"費用 - 匯費 對方行:012 後五碼:53048 (行號: 23)")</f>
        <v>費用 - 匯費 對方行:012 後五碼:53048 (行號: 23)</v>
      </c>
      <c r="C4462" t="str">
        <f>IFERROR(__xludf.DUMMYFUNCTION("""COMPUTED_VALUE"""),"費用 - 匯費")</f>
        <v>費用 - 匯費</v>
      </c>
      <c r="D4462" s="270">
        <f>IFERROR(__xludf.DUMMYFUNCTION("""COMPUTED_VALUE"""),-15.0)</f>
        <v>-15</v>
      </c>
      <c r="E4462" t="str">
        <f>IFERROR(__xludf.DUMMYFUNCTION("""COMPUTED_VALUE"""),"玉山帳戶")</f>
        <v>玉山帳戶</v>
      </c>
      <c r="H4462" s="106" t="str">
        <f t="shared" si="1"/>
        <v>2025-05</v>
      </c>
      <c r="I4462" s="271" t="str">
        <f>IFERROR(__xludf.DUMMYFUNCTION("""COMPUTED_VALUE"""),"鯰魚大大")</f>
        <v>鯰魚大大</v>
      </c>
      <c r="J4462" t="str">
        <f>IFERROR(__xludf.DUMMYFUNCTION("IFS(
  AND(REGEXMATCH(E4462, ""台銀籌備帳戶|玉山帳戶""), REGEXMATCH(C4462, ""薪資"")), ""分潤支出"",
  AND(REGEXMATCH(E4462, ""Ben帳戶|Elsa帳戶|Ben代墊|Ariel代墊|中信銀行共用""), REGEXMATCH(F4462, ""Ben帳戶|Elsa帳戶|Ben代墊|Ariel代墊|中信銀行共用"")), ""內部轉帳(忽略)"",
  AND(E4462&lt;&gt;"""", F4462&lt;&gt;"""", N"&amp;"OT(REGEXMATCH(C4462, ""薪資""))), ""內部轉帳(忽略)"",
  REGEXMATCH(C4462, ""薪資""), ""薪資變動(不計入)"",
  REGEXMATCH(C4462, ""押金""), ""押金往來"",
  AND(E4462&lt;&gt;"""", F4462=""""), ""真實支出"",
  AND(E4462="""", F4462&lt;&gt;""""), ""真實收入"",
  TRUE, ""其他""
)"),"真實支出")</f>
        <v>真實支出</v>
      </c>
      <c r="K4462" s="270">
        <f t="shared" si="2"/>
        <v>-15</v>
      </c>
      <c r="L4462">
        <f t="shared" si="3"/>
        <v>0</v>
      </c>
    </row>
    <row r="4463">
      <c r="A4463" s="107">
        <f>IFERROR(__xludf.DUMMYFUNCTION("""COMPUTED_VALUE"""),45779.0)</f>
        <v>45779</v>
      </c>
      <c r="B4463" t="str">
        <f>IFERROR(__xludf.DUMMYFUNCTION("""COMPUTED_VALUE"""),"[內湖秘境] [周佳慧] 大租金")</f>
        <v>[內湖秘境] [周佳慧] 大租金</v>
      </c>
      <c r="C4463" t="str">
        <f>IFERROR(__xludf.DUMMYFUNCTION("""COMPUTED_VALUE"""),"成本 - 大租金")</f>
        <v>成本 - 大租金</v>
      </c>
      <c r="D4463" s="270">
        <f>IFERROR(__xludf.DUMMYFUNCTION("""COMPUTED_VALUE"""),-15000.0)</f>
        <v>-15000</v>
      </c>
      <c r="E4463" t="str">
        <f>IFERROR(__xludf.DUMMYFUNCTION("""COMPUTED_VALUE"""),"玉山帳戶")</f>
        <v>玉山帳戶</v>
      </c>
      <c r="G4463" t="str">
        <f>IFERROR(__xludf.DUMMYFUNCTION("""COMPUTED_VALUE"""),"內湖秘境")</f>
        <v>內湖秘境</v>
      </c>
      <c r="H4463" s="106" t="str">
        <f t="shared" si="1"/>
        <v>2025-05</v>
      </c>
      <c r="I4463" s="271" t="str">
        <f>IFERROR(__xludf.DUMMYFUNCTION("""COMPUTED_VALUE"""),"鯰魚大大")</f>
        <v>鯰魚大大</v>
      </c>
      <c r="J4463" t="str">
        <f>IFERROR(__xludf.DUMMYFUNCTION("IFS(
  AND(REGEXMATCH(E4463, ""台銀籌備帳戶|玉山帳戶""), REGEXMATCH(C4463, ""薪資"")), ""分潤支出"",
  AND(REGEXMATCH(E4463, ""Ben帳戶|Elsa帳戶|Ben代墊|Ariel代墊|中信銀行共用""), REGEXMATCH(F4463, ""Ben帳戶|Elsa帳戶|Ben代墊|Ariel代墊|中信銀行共用"")), ""內部轉帳(忽略)"",
  AND(E4463&lt;&gt;"""", F4463&lt;&gt;"""", N"&amp;"OT(REGEXMATCH(C4463, ""薪資""))), ""內部轉帳(忽略)"",
  REGEXMATCH(C4463, ""薪資""), ""薪資變動(不計入)"",
  REGEXMATCH(C4463, ""押金""), ""押金往來"",
  AND(E4463&lt;&gt;"""", F4463=""""), ""真實支出"",
  AND(E4463="""", F4463&lt;&gt;""""), ""真實收入"",
  TRUE, ""其他""
)"),"真實支出")</f>
        <v>真實支出</v>
      </c>
      <c r="K4463" s="270">
        <f t="shared" si="2"/>
        <v>-15000</v>
      </c>
      <c r="L4463">
        <f t="shared" si="3"/>
        <v>0</v>
      </c>
    </row>
    <row r="4464">
      <c r="A4464" s="107">
        <f>IFERROR(__xludf.DUMMYFUNCTION("""COMPUTED_VALUE"""),45779.0)</f>
        <v>45779</v>
      </c>
      <c r="B4464" t="str">
        <f>IFERROR(__xludf.DUMMYFUNCTION("""COMPUTED_VALUE"""),"費用 - 匯費 對方行:700 後五碼:84843 (行號: 24)")</f>
        <v>費用 - 匯費 對方行:700 後五碼:84843 (行號: 24)</v>
      </c>
      <c r="C4464" t="str">
        <f>IFERROR(__xludf.DUMMYFUNCTION("""COMPUTED_VALUE"""),"費用 - 匯費")</f>
        <v>費用 - 匯費</v>
      </c>
      <c r="D4464" s="270">
        <f>IFERROR(__xludf.DUMMYFUNCTION("""COMPUTED_VALUE"""),-15.0)</f>
        <v>-15</v>
      </c>
      <c r="E4464" t="str">
        <f>IFERROR(__xludf.DUMMYFUNCTION("""COMPUTED_VALUE"""),"玉山帳戶")</f>
        <v>玉山帳戶</v>
      </c>
      <c r="H4464" s="106" t="str">
        <f t="shared" si="1"/>
        <v>2025-05</v>
      </c>
      <c r="I4464" s="271" t="str">
        <f>IFERROR(__xludf.DUMMYFUNCTION("""COMPUTED_VALUE"""),"鯰魚大大")</f>
        <v>鯰魚大大</v>
      </c>
      <c r="J4464" t="str">
        <f>IFERROR(__xludf.DUMMYFUNCTION("IFS(
  AND(REGEXMATCH(E4464, ""台銀籌備帳戶|玉山帳戶""), REGEXMATCH(C4464, ""薪資"")), ""分潤支出"",
  AND(REGEXMATCH(E4464, ""Ben帳戶|Elsa帳戶|Ben代墊|Ariel代墊|中信銀行共用""), REGEXMATCH(F4464, ""Ben帳戶|Elsa帳戶|Ben代墊|Ariel代墊|中信銀行共用"")), ""內部轉帳(忽略)"",
  AND(E4464&lt;&gt;"""", F4464&lt;&gt;"""", N"&amp;"OT(REGEXMATCH(C4464, ""薪資""))), ""內部轉帳(忽略)"",
  REGEXMATCH(C4464, ""薪資""), ""薪資變動(不計入)"",
  REGEXMATCH(C4464, ""押金""), ""押金往來"",
  AND(E4464&lt;&gt;"""", F4464=""""), ""真實支出"",
  AND(E4464="""", F4464&lt;&gt;""""), ""真實收入"",
  TRUE, ""其他""
)"),"真實支出")</f>
        <v>真實支出</v>
      </c>
      <c r="K4464" s="270">
        <f t="shared" si="2"/>
        <v>-15</v>
      </c>
      <c r="L4464">
        <f t="shared" si="3"/>
        <v>0</v>
      </c>
    </row>
    <row r="4465">
      <c r="A4465" s="107">
        <f>IFERROR(__xludf.DUMMYFUNCTION("""COMPUTED_VALUE"""),45779.0)</f>
        <v>45779</v>
      </c>
      <c r="B4465" t="str">
        <f>IFERROR(__xludf.DUMMYFUNCTION("""COMPUTED_VALUE"""),"[內湖秘境] [周佳慧] 大租金")</f>
        <v>[內湖秘境] [周佳慧] 大租金</v>
      </c>
      <c r="C4465" t="str">
        <f>IFERROR(__xludf.DUMMYFUNCTION("""COMPUTED_VALUE"""),"成本 - 大租金")</f>
        <v>成本 - 大租金</v>
      </c>
      <c r="D4465" s="270">
        <f>IFERROR(__xludf.DUMMYFUNCTION("""COMPUTED_VALUE"""),-15000.0)</f>
        <v>-15000</v>
      </c>
      <c r="E4465" t="str">
        <f>IFERROR(__xludf.DUMMYFUNCTION("""COMPUTED_VALUE"""),"玉山帳戶")</f>
        <v>玉山帳戶</v>
      </c>
      <c r="G4465" t="str">
        <f>IFERROR(__xludf.DUMMYFUNCTION("""COMPUTED_VALUE"""),"內湖秘境")</f>
        <v>內湖秘境</v>
      </c>
      <c r="H4465" s="106" t="str">
        <f t="shared" si="1"/>
        <v>2025-05</v>
      </c>
      <c r="I4465" s="271" t="str">
        <f>IFERROR(__xludf.DUMMYFUNCTION("""COMPUTED_VALUE"""),"鯰魚大大")</f>
        <v>鯰魚大大</v>
      </c>
      <c r="J4465" t="str">
        <f>IFERROR(__xludf.DUMMYFUNCTION("IFS(
  AND(REGEXMATCH(E4465, ""台銀籌備帳戶|玉山帳戶""), REGEXMATCH(C4465, ""薪資"")), ""分潤支出"",
  AND(REGEXMATCH(E4465, ""Ben帳戶|Elsa帳戶|Ben代墊|Ariel代墊|中信銀行共用""), REGEXMATCH(F4465, ""Ben帳戶|Elsa帳戶|Ben代墊|Ariel代墊|中信銀行共用"")), ""內部轉帳(忽略)"",
  AND(E4465&lt;&gt;"""", F4465&lt;&gt;"""", N"&amp;"OT(REGEXMATCH(C4465, ""薪資""))), ""內部轉帳(忽略)"",
  REGEXMATCH(C4465, ""薪資""), ""薪資變動(不計入)"",
  REGEXMATCH(C4465, ""押金""), ""押金往來"",
  AND(E4465&lt;&gt;"""", F4465=""""), ""真實支出"",
  AND(E4465="""", F4465&lt;&gt;""""), ""真實收入"",
  TRUE, ""其他""
)"),"真實支出")</f>
        <v>真實支出</v>
      </c>
      <c r="K4465" s="270">
        <f t="shared" si="2"/>
        <v>-15000</v>
      </c>
      <c r="L4465">
        <f t="shared" si="3"/>
        <v>0</v>
      </c>
    </row>
    <row r="4466">
      <c r="A4466" s="107">
        <f>IFERROR(__xludf.DUMMYFUNCTION("""COMPUTED_VALUE"""),45782.0)</f>
        <v>45782</v>
      </c>
      <c r="B4466" t="str">
        <f>IFERROR(__xludf.DUMMYFUNCTION("""COMPUTED_VALUE"""),"費用 - 匯費 對方行:810 後五碼:77212 (行號: 26)")</f>
        <v>費用 - 匯費 對方行:810 後五碼:77212 (行號: 26)</v>
      </c>
      <c r="C4466" t="str">
        <f>IFERROR(__xludf.DUMMYFUNCTION("""COMPUTED_VALUE"""),"費用 - 匯費")</f>
        <v>費用 - 匯費</v>
      </c>
      <c r="D4466" s="270">
        <f>IFERROR(__xludf.DUMMYFUNCTION("""COMPUTED_VALUE"""),-15.0)</f>
        <v>-15</v>
      </c>
      <c r="E4466" t="str">
        <f>IFERROR(__xludf.DUMMYFUNCTION("""COMPUTED_VALUE"""),"玉山帳戶")</f>
        <v>玉山帳戶</v>
      </c>
      <c r="H4466" s="106" t="str">
        <f t="shared" si="1"/>
        <v>2025-05</v>
      </c>
      <c r="I4466" s="271" t="str">
        <f>IFERROR(__xludf.DUMMYFUNCTION("""COMPUTED_VALUE"""),"鯰魚大大")</f>
        <v>鯰魚大大</v>
      </c>
      <c r="J4466" t="str">
        <f>IFERROR(__xludf.DUMMYFUNCTION("IFS(
  AND(REGEXMATCH(E4466, ""台銀籌備帳戶|玉山帳戶""), REGEXMATCH(C4466, ""薪資"")), ""分潤支出"",
  AND(REGEXMATCH(E4466, ""Ben帳戶|Elsa帳戶|Ben代墊|Ariel代墊|中信銀行共用""), REGEXMATCH(F4466, ""Ben帳戶|Elsa帳戶|Ben代墊|Ariel代墊|中信銀行共用"")), ""內部轉帳(忽略)"",
  AND(E4466&lt;&gt;"""", F4466&lt;&gt;"""", N"&amp;"OT(REGEXMATCH(C4466, ""薪資""))), ""內部轉帳(忽略)"",
  REGEXMATCH(C4466, ""薪資""), ""薪資變動(不計入)"",
  REGEXMATCH(C4466, ""押金""), ""押金往來"",
  AND(E4466&lt;&gt;"""", F4466=""""), ""真實支出"",
  AND(E4466="""", F4466&lt;&gt;""""), ""真實收入"",
  TRUE, ""其他""
)"),"真實支出")</f>
        <v>真實支出</v>
      </c>
      <c r="K4466" s="270">
        <f t="shared" si="2"/>
        <v>-15</v>
      </c>
      <c r="L4466">
        <f t="shared" si="3"/>
        <v>0</v>
      </c>
    </row>
    <row r="4467">
      <c r="A4467" s="107">
        <f>IFERROR(__xludf.DUMMYFUNCTION("""COMPUTED_VALUE"""),45782.0)</f>
        <v>45782</v>
      </c>
      <c r="B4467" t="str">
        <f>IFERROR(__xludf.DUMMYFUNCTION("""COMPUTED_VALUE"""),"[內湖秘境] [周佳慧] 大租金")</f>
        <v>[內湖秘境] [周佳慧] 大租金</v>
      </c>
      <c r="C4467" t="str">
        <f>IFERROR(__xludf.DUMMYFUNCTION("""COMPUTED_VALUE"""),"成本 - 大租金")</f>
        <v>成本 - 大租金</v>
      </c>
      <c r="D4467" s="270">
        <f>IFERROR(__xludf.DUMMYFUNCTION("""COMPUTED_VALUE"""),-15000.0)</f>
        <v>-15000</v>
      </c>
      <c r="E4467" t="str">
        <f>IFERROR(__xludf.DUMMYFUNCTION("""COMPUTED_VALUE"""),"玉山帳戶")</f>
        <v>玉山帳戶</v>
      </c>
      <c r="G4467" t="str">
        <f>IFERROR(__xludf.DUMMYFUNCTION("""COMPUTED_VALUE"""),"內湖秘境")</f>
        <v>內湖秘境</v>
      </c>
      <c r="H4467" s="106" t="str">
        <f t="shared" si="1"/>
        <v>2025-05</v>
      </c>
      <c r="I4467" s="271" t="str">
        <f>IFERROR(__xludf.DUMMYFUNCTION("""COMPUTED_VALUE"""),"鯰魚大大")</f>
        <v>鯰魚大大</v>
      </c>
      <c r="J4467" t="str">
        <f>IFERROR(__xludf.DUMMYFUNCTION("IFS(
  AND(REGEXMATCH(E4467, ""台銀籌備帳戶|玉山帳戶""), REGEXMATCH(C4467, ""薪資"")), ""分潤支出"",
  AND(REGEXMATCH(E4467, ""Ben帳戶|Elsa帳戶|Ben代墊|Ariel代墊|中信銀行共用""), REGEXMATCH(F4467, ""Ben帳戶|Elsa帳戶|Ben代墊|Ariel代墊|中信銀行共用"")), ""內部轉帳(忽略)"",
  AND(E4467&lt;&gt;"""", F4467&lt;&gt;"""", N"&amp;"OT(REGEXMATCH(C4467, ""薪資""))), ""內部轉帳(忽略)"",
  REGEXMATCH(C4467, ""薪資""), ""薪資變動(不計入)"",
  REGEXMATCH(C4467, ""押金""), ""押金往來"",
  AND(E4467&lt;&gt;"""", F4467=""""), ""真實支出"",
  AND(E4467="""", F4467&lt;&gt;""""), ""真實收入"",
  TRUE, ""其他""
)"),"真實支出")</f>
        <v>真實支出</v>
      </c>
      <c r="K4467" s="270">
        <f t="shared" si="2"/>
        <v>-15000</v>
      </c>
      <c r="L4467">
        <f t="shared" si="3"/>
        <v>0</v>
      </c>
    </row>
    <row r="4468">
      <c r="A4468" s="107">
        <f>IFERROR(__xludf.DUMMYFUNCTION("""COMPUTED_VALUE"""),45782.0)</f>
        <v>45782</v>
      </c>
      <c r="B4468" t="str">
        <f>IFERROR(__xludf.DUMMYFUNCTION("""COMPUTED_VALUE"""),"費用 - 匯費 對方行:822 後五碼:33337 (行號: 27)")</f>
        <v>費用 - 匯費 對方行:822 後五碼:33337 (行號: 27)</v>
      </c>
      <c r="C4468" t="str">
        <f>IFERROR(__xludf.DUMMYFUNCTION("""COMPUTED_VALUE"""),"費用 - 匯費")</f>
        <v>費用 - 匯費</v>
      </c>
      <c r="D4468" s="270">
        <f>IFERROR(__xludf.DUMMYFUNCTION("""COMPUTED_VALUE"""),-15.0)</f>
        <v>-15</v>
      </c>
      <c r="E4468" t="str">
        <f>IFERROR(__xludf.DUMMYFUNCTION("""COMPUTED_VALUE"""),"玉山帳戶")</f>
        <v>玉山帳戶</v>
      </c>
      <c r="H4468" s="106" t="str">
        <f t="shared" si="1"/>
        <v>2025-05</v>
      </c>
      <c r="I4468" s="271" t="str">
        <f>IFERROR(__xludf.DUMMYFUNCTION("""COMPUTED_VALUE"""),"鯰魚大大")</f>
        <v>鯰魚大大</v>
      </c>
      <c r="J4468" t="str">
        <f>IFERROR(__xludf.DUMMYFUNCTION("IFS(
  AND(REGEXMATCH(E4468, ""台銀籌備帳戶|玉山帳戶""), REGEXMATCH(C4468, ""薪資"")), ""分潤支出"",
  AND(REGEXMATCH(E4468, ""Ben帳戶|Elsa帳戶|Ben代墊|Ariel代墊|中信銀行共用""), REGEXMATCH(F4468, ""Ben帳戶|Elsa帳戶|Ben代墊|Ariel代墊|中信銀行共用"")), ""內部轉帳(忽略)"",
  AND(E4468&lt;&gt;"""", F4468&lt;&gt;"""", N"&amp;"OT(REGEXMATCH(C4468, ""薪資""))), ""內部轉帳(忽略)"",
  REGEXMATCH(C4468, ""薪資""), ""薪資變動(不計入)"",
  REGEXMATCH(C4468, ""押金""), ""押金往來"",
  AND(E4468&lt;&gt;"""", F4468=""""), ""真實支出"",
  AND(E4468="""", F4468&lt;&gt;""""), ""真實收入"",
  TRUE, ""其他""
)"),"真實支出")</f>
        <v>真實支出</v>
      </c>
      <c r="K4468" s="270">
        <f t="shared" si="2"/>
        <v>-15</v>
      </c>
      <c r="L4468">
        <f t="shared" si="3"/>
        <v>0</v>
      </c>
    </row>
    <row r="4469">
      <c r="A4469" s="107">
        <f>IFERROR(__xludf.DUMMYFUNCTION("""COMPUTED_VALUE"""),45782.0)</f>
        <v>45782</v>
      </c>
      <c r="B4469" t="str">
        <f>IFERROR(__xludf.DUMMYFUNCTION("""COMPUTED_VALUE"""),"代墊款 【未分類支出】")</f>
        <v>代墊款 【未分類支出】</v>
      </c>
      <c r="C4469" t="str">
        <f>IFERROR(__xludf.DUMMYFUNCTION("""COMPUTED_VALUE"""),"費用 - Salary 薪資")</f>
        <v>費用 - Salary 薪資</v>
      </c>
      <c r="D4469" s="270">
        <f>IFERROR(__xludf.DUMMYFUNCTION("""COMPUTED_VALUE"""),-100000.0)</f>
        <v>-100000</v>
      </c>
      <c r="E4469" t="str">
        <f>IFERROR(__xludf.DUMMYFUNCTION("""COMPUTED_VALUE"""),"玉山帳戶")</f>
        <v>玉山帳戶</v>
      </c>
      <c r="F4469" t="str">
        <f>IFERROR(__xludf.DUMMYFUNCTION("""COMPUTED_VALUE"""),"Ben代墊")</f>
        <v>Ben代墊</v>
      </c>
      <c r="H4469" s="106" t="str">
        <f t="shared" si="1"/>
        <v>2025-05</v>
      </c>
      <c r="I4469" s="271" t="str">
        <f>IFERROR(__xludf.DUMMYFUNCTION("""COMPUTED_VALUE"""),"鯰魚大大")</f>
        <v>鯰魚大大</v>
      </c>
      <c r="J4469" t="str">
        <f>IFERROR(__xludf.DUMMYFUNCTION("IFS(
  AND(REGEXMATCH(E4469, ""台銀籌備帳戶|玉山帳戶""), REGEXMATCH(C4469, ""薪資"")), ""分潤支出"",
  AND(REGEXMATCH(E4469, ""Ben帳戶|Elsa帳戶|Ben代墊|Ariel代墊|中信銀行共用""), REGEXMATCH(F4469, ""Ben帳戶|Elsa帳戶|Ben代墊|Ariel代墊|中信銀行共用"")), ""內部轉帳(忽略)"",
  AND(E4469&lt;&gt;"""", F4469&lt;&gt;"""", N"&amp;"OT(REGEXMATCH(C4469, ""薪資""))), ""內部轉帳(忽略)"",
  REGEXMATCH(C4469, ""薪資""), ""薪資變動(不計入)"",
  REGEXMATCH(C4469, ""押金""), ""押金往來"",
  AND(E4469&lt;&gt;"""", F4469=""""), ""真實支出"",
  AND(E4469="""", F4469&lt;&gt;""""), ""真實收入"",
  TRUE, ""其他""
)"),"分潤支出")</f>
        <v>分潤支出</v>
      </c>
      <c r="K4469">
        <f t="shared" si="2"/>
        <v>0</v>
      </c>
      <c r="L4469">
        <f t="shared" si="3"/>
        <v>100000</v>
      </c>
    </row>
    <row r="4470">
      <c r="A4470" s="107">
        <f>IFERROR(__xludf.DUMMYFUNCTION("""COMPUTED_VALUE"""),45777.0)</f>
        <v>45777</v>
      </c>
      <c r="B4470" t="str">
        <f>IFERROR(__xludf.DUMMYFUNCTION("""COMPUTED_VALUE"""),"[士林和豐] A [許瑜芳, 黃俞安] 月租金 (行號: 6)")</f>
        <v>[士林和豐] A [許瑜芳, 黃俞安] 月租金 (行號: 6)</v>
      </c>
      <c r="C4470" t="str">
        <f>IFERROR(__xludf.DUMMYFUNCTION("""COMPUTED_VALUE"""),"收入 - 租金")</f>
        <v>收入 - 租金</v>
      </c>
      <c r="D4470" s="270">
        <f>IFERROR(__xludf.DUMMYFUNCTION("""COMPUTED_VALUE"""),19500.0)</f>
        <v>19500</v>
      </c>
      <c r="F4470" t="str">
        <f>IFERROR(__xludf.DUMMYFUNCTION("""COMPUTED_VALUE"""),"玉山帳戶")</f>
        <v>玉山帳戶</v>
      </c>
      <c r="G4470" t="str">
        <f>IFERROR(__xludf.DUMMYFUNCTION("""COMPUTED_VALUE"""),"士林和豐")</f>
        <v>士林和豐</v>
      </c>
      <c r="H4470" s="106" t="str">
        <f t="shared" si="1"/>
        <v>2025-04</v>
      </c>
      <c r="I4470" s="271" t="str">
        <f>IFERROR(__xludf.DUMMYFUNCTION("""COMPUTED_VALUE"""),"鯰魚大大")</f>
        <v>鯰魚大大</v>
      </c>
      <c r="J4470" t="str">
        <f>IFERROR(__xludf.DUMMYFUNCTION("IFS(
  AND(REGEXMATCH(E4470, ""台銀籌備帳戶|玉山帳戶""), REGEXMATCH(C4470, ""薪資"")), ""分潤支出"",
  AND(REGEXMATCH(E4470, ""Ben帳戶|Elsa帳戶|Ben代墊|Ariel代墊|中信銀行共用""), REGEXMATCH(F4470, ""Ben帳戶|Elsa帳戶|Ben代墊|Ariel代墊|中信銀行共用"")), ""內部轉帳(忽略)"",
  AND(E4470&lt;&gt;"""", F4470&lt;&gt;"""", N"&amp;"OT(REGEXMATCH(C4470, ""薪資""))), ""內部轉帳(忽略)"",
  REGEXMATCH(C4470, ""薪資""), ""薪資變動(不計入)"",
  REGEXMATCH(C4470, ""押金""), ""押金往來"",
  AND(E4470&lt;&gt;"""", F4470=""""), ""真實支出"",
  AND(E4470="""", F4470&lt;&gt;""""), ""真實收入"",
  TRUE, ""其他""
)"),"真實收入")</f>
        <v>真實收入</v>
      </c>
      <c r="K4470" s="270">
        <f t="shared" si="2"/>
        <v>19500</v>
      </c>
      <c r="L4470">
        <f t="shared" si="3"/>
        <v>0</v>
      </c>
    </row>
    <row r="4471">
      <c r="A4471" s="107">
        <f>IFERROR(__xludf.DUMMYFUNCTION("""COMPUTED_VALUE"""),45777.0)</f>
        <v>45777</v>
      </c>
      <c r="B4471" t="str">
        <f>IFERROR(__xludf.DUMMYFUNCTION("""COMPUTED_VALUE"""),"[行天宮夏野良栗] B [楊珺媁] 月租金 (行號: 7)")</f>
        <v>[行天宮夏野良栗] B [楊珺媁] 月租金 (行號: 7)</v>
      </c>
      <c r="C4471" t="str">
        <f>IFERROR(__xludf.DUMMYFUNCTION("""COMPUTED_VALUE"""),"收入 - 租金")</f>
        <v>收入 - 租金</v>
      </c>
      <c r="D4471" s="270">
        <f>IFERROR(__xludf.DUMMYFUNCTION("""COMPUTED_VALUE"""),14000.0)</f>
        <v>14000</v>
      </c>
      <c r="F4471" t="str">
        <f>IFERROR(__xludf.DUMMYFUNCTION("""COMPUTED_VALUE"""),"玉山帳戶")</f>
        <v>玉山帳戶</v>
      </c>
      <c r="G4471" t="str">
        <f>IFERROR(__xludf.DUMMYFUNCTION("""COMPUTED_VALUE"""),"行天宮夏野良栗")</f>
        <v>行天宮夏野良栗</v>
      </c>
      <c r="H4471" s="106" t="str">
        <f t="shared" si="1"/>
        <v>2025-04</v>
      </c>
      <c r="I4471" s="271" t="str">
        <f>IFERROR(__xludf.DUMMYFUNCTION("""COMPUTED_VALUE"""),"鯰魚大大")</f>
        <v>鯰魚大大</v>
      </c>
      <c r="J4471" t="str">
        <f>IFERROR(__xludf.DUMMYFUNCTION("IFS(
  AND(REGEXMATCH(E4471, ""台銀籌備帳戶|玉山帳戶""), REGEXMATCH(C4471, ""薪資"")), ""分潤支出"",
  AND(REGEXMATCH(E4471, ""Ben帳戶|Elsa帳戶|Ben代墊|Ariel代墊|中信銀行共用""), REGEXMATCH(F4471, ""Ben帳戶|Elsa帳戶|Ben代墊|Ariel代墊|中信銀行共用"")), ""內部轉帳(忽略)"",
  AND(E4471&lt;&gt;"""", F4471&lt;&gt;"""", N"&amp;"OT(REGEXMATCH(C4471, ""薪資""))), ""內部轉帳(忽略)"",
  REGEXMATCH(C4471, ""薪資""), ""薪資變動(不計入)"",
  REGEXMATCH(C4471, ""押金""), ""押金往來"",
  AND(E4471&lt;&gt;"""", F4471=""""), ""真實支出"",
  AND(E4471="""", F4471&lt;&gt;""""), ""真實收入"",
  TRUE, ""其他""
)"),"真實收入")</f>
        <v>真實收入</v>
      </c>
      <c r="K4471" s="270">
        <f t="shared" si="2"/>
        <v>14000</v>
      </c>
      <c r="L4471">
        <f t="shared" si="3"/>
        <v>0</v>
      </c>
    </row>
    <row r="4472">
      <c r="A4472" s="107">
        <f>IFERROR(__xludf.DUMMYFUNCTION("""COMPUTED_VALUE"""),45779.0)</f>
        <v>45779</v>
      </c>
      <c r="B4472" t="str">
        <f>IFERROR(__xludf.DUMMYFUNCTION("""COMPUTED_VALUE"""),"[內湖秘境] C [黃詩穎] 月租金 (行號: 8)")</f>
        <v>[內湖秘境] C [黃詩穎] 月租金 (行號: 8)</v>
      </c>
      <c r="C4472" t="str">
        <f>IFERROR(__xludf.DUMMYFUNCTION("""COMPUTED_VALUE"""),"收入 - 租金")</f>
        <v>收入 - 租金</v>
      </c>
      <c r="D4472" s="270">
        <f>IFERROR(__xludf.DUMMYFUNCTION("""COMPUTED_VALUE"""),14800.0)</f>
        <v>14800</v>
      </c>
      <c r="F4472" t="str">
        <f>IFERROR(__xludf.DUMMYFUNCTION("""COMPUTED_VALUE"""),"玉山帳戶")</f>
        <v>玉山帳戶</v>
      </c>
      <c r="G4472" t="str">
        <f>IFERROR(__xludf.DUMMYFUNCTION("""COMPUTED_VALUE"""),"內湖秘境")</f>
        <v>內湖秘境</v>
      </c>
      <c r="H4472" s="106" t="str">
        <f t="shared" si="1"/>
        <v>2025-05</v>
      </c>
      <c r="I4472" s="271" t="str">
        <f>IFERROR(__xludf.DUMMYFUNCTION("""COMPUTED_VALUE"""),"鯰魚大大")</f>
        <v>鯰魚大大</v>
      </c>
      <c r="J4472" t="str">
        <f>IFERROR(__xludf.DUMMYFUNCTION("IFS(
  AND(REGEXMATCH(E4472, ""台銀籌備帳戶|玉山帳戶""), REGEXMATCH(C4472, ""薪資"")), ""分潤支出"",
  AND(REGEXMATCH(E4472, ""Ben帳戶|Elsa帳戶|Ben代墊|Ariel代墊|中信銀行共用""), REGEXMATCH(F4472, ""Ben帳戶|Elsa帳戶|Ben代墊|Ariel代墊|中信銀行共用"")), ""內部轉帳(忽略)"",
  AND(E4472&lt;&gt;"""", F4472&lt;&gt;"""", N"&amp;"OT(REGEXMATCH(C4472, ""薪資""))), ""內部轉帳(忽略)"",
  REGEXMATCH(C4472, ""薪資""), ""薪資變動(不計入)"",
  REGEXMATCH(C4472, ""押金""), ""押金往來"",
  AND(E4472&lt;&gt;"""", F4472=""""), ""真實支出"",
  AND(E4472="""", F4472&lt;&gt;""""), ""真實收入"",
  TRUE, ""其他""
)"),"真實收入")</f>
        <v>真實收入</v>
      </c>
      <c r="K4472" s="270">
        <f t="shared" si="2"/>
        <v>14800</v>
      </c>
      <c r="L4472">
        <f t="shared" si="3"/>
        <v>0</v>
      </c>
    </row>
    <row r="4473">
      <c r="A4473" s="107">
        <f>IFERROR(__xludf.DUMMYFUNCTION("""COMPUTED_VALUE"""),45779.0)</f>
        <v>45779</v>
      </c>
      <c r="B4473" t="str">
        <f>IFERROR(__xludf.DUMMYFUNCTION("""COMPUTED_VALUE"""),"[內湖秘境] B [劉桀綸] 月租金 (行號: 9)")</f>
        <v>[內湖秘境] B [劉桀綸] 月租金 (行號: 9)</v>
      </c>
      <c r="C4473" t="str">
        <f>IFERROR(__xludf.DUMMYFUNCTION("""COMPUTED_VALUE"""),"收入 - 租金")</f>
        <v>收入 - 租金</v>
      </c>
      <c r="D4473" s="270">
        <f>IFERROR(__xludf.DUMMYFUNCTION("""COMPUTED_VALUE"""),12300.0)</f>
        <v>12300</v>
      </c>
      <c r="F4473" t="str">
        <f>IFERROR(__xludf.DUMMYFUNCTION("""COMPUTED_VALUE"""),"玉山帳戶")</f>
        <v>玉山帳戶</v>
      </c>
      <c r="G4473" t="str">
        <f>IFERROR(__xludf.DUMMYFUNCTION("""COMPUTED_VALUE"""),"內湖秘境")</f>
        <v>內湖秘境</v>
      </c>
      <c r="H4473" s="106" t="str">
        <f t="shared" si="1"/>
        <v>2025-05</v>
      </c>
      <c r="I4473" s="271" t="str">
        <f>IFERROR(__xludf.DUMMYFUNCTION("""COMPUTED_VALUE"""),"鯰魚大大")</f>
        <v>鯰魚大大</v>
      </c>
      <c r="J4473" t="str">
        <f>IFERROR(__xludf.DUMMYFUNCTION("IFS(
  AND(REGEXMATCH(E4473, ""台銀籌備帳戶|玉山帳戶""), REGEXMATCH(C4473, ""薪資"")), ""分潤支出"",
  AND(REGEXMATCH(E4473, ""Ben帳戶|Elsa帳戶|Ben代墊|Ariel代墊|中信銀行共用""), REGEXMATCH(F4473, ""Ben帳戶|Elsa帳戶|Ben代墊|Ariel代墊|中信銀行共用"")), ""內部轉帳(忽略)"",
  AND(E4473&lt;&gt;"""", F4473&lt;&gt;"""", N"&amp;"OT(REGEXMATCH(C4473, ""薪資""))), ""內部轉帳(忽略)"",
  REGEXMATCH(C4473, ""薪資""), ""薪資變動(不計入)"",
  REGEXMATCH(C4473, ""押金""), ""押金往來"",
  AND(E4473&lt;&gt;"""", F4473=""""), ""真實支出"",
  AND(E4473="""", F4473&lt;&gt;""""), ""真實收入"",
  TRUE, ""其他""
)"),"真實收入")</f>
        <v>真實收入</v>
      </c>
      <c r="K4473" s="270">
        <f t="shared" si="2"/>
        <v>12300</v>
      </c>
      <c r="L4473">
        <f t="shared" si="3"/>
        <v>0</v>
      </c>
    </row>
    <row r="4474">
      <c r="A4474" s="107">
        <f>IFERROR(__xludf.DUMMYFUNCTION("""COMPUTED_VALUE"""),45779.0)</f>
        <v>45779</v>
      </c>
      <c r="B4474" t="str">
        <f>IFERROR(__xludf.DUMMYFUNCTION("""COMPUTED_VALUE"""),"[內湖秘境] G [徐若洹] 月租金 (行號: 10)")</f>
        <v>[內湖秘境] G [徐若洹] 月租金 (行號: 10)</v>
      </c>
      <c r="C4474" t="str">
        <f>IFERROR(__xludf.DUMMYFUNCTION("""COMPUTED_VALUE"""),"收入 - 租金")</f>
        <v>收入 - 租金</v>
      </c>
      <c r="D4474" s="270">
        <f>IFERROR(__xludf.DUMMYFUNCTION("""COMPUTED_VALUE"""),12100.0)</f>
        <v>12100</v>
      </c>
      <c r="F4474" t="str">
        <f>IFERROR(__xludf.DUMMYFUNCTION("""COMPUTED_VALUE"""),"玉山帳戶")</f>
        <v>玉山帳戶</v>
      </c>
      <c r="G4474" t="str">
        <f>IFERROR(__xludf.DUMMYFUNCTION("""COMPUTED_VALUE"""),"內湖秘境")</f>
        <v>內湖秘境</v>
      </c>
      <c r="H4474" s="106" t="str">
        <f t="shared" si="1"/>
        <v>2025-05</v>
      </c>
      <c r="I4474" s="271" t="str">
        <f>IFERROR(__xludf.DUMMYFUNCTION("""COMPUTED_VALUE"""),"鯰魚大大")</f>
        <v>鯰魚大大</v>
      </c>
      <c r="J4474" t="str">
        <f>IFERROR(__xludf.DUMMYFUNCTION("IFS(
  AND(REGEXMATCH(E4474, ""台銀籌備帳戶|玉山帳戶""), REGEXMATCH(C4474, ""薪資"")), ""分潤支出"",
  AND(REGEXMATCH(E4474, ""Ben帳戶|Elsa帳戶|Ben代墊|Ariel代墊|中信銀行共用""), REGEXMATCH(F4474, ""Ben帳戶|Elsa帳戶|Ben代墊|Ariel代墊|中信銀行共用"")), ""內部轉帳(忽略)"",
  AND(E4474&lt;&gt;"""", F4474&lt;&gt;"""", N"&amp;"OT(REGEXMATCH(C4474, ""薪資""))), ""內部轉帳(忽略)"",
  REGEXMATCH(C4474, ""薪資""), ""薪資變動(不計入)"",
  REGEXMATCH(C4474, ""押金""), ""押金往來"",
  AND(E4474&lt;&gt;"""", F4474=""""), ""真實支出"",
  AND(E4474="""", F4474&lt;&gt;""""), ""真實收入"",
  TRUE, ""其他""
)"),"真實收入")</f>
        <v>真實收入</v>
      </c>
      <c r="K4474" s="270">
        <f t="shared" si="2"/>
        <v>12100</v>
      </c>
      <c r="L4474">
        <f t="shared" si="3"/>
        <v>0</v>
      </c>
    </row>
    <row r="4475">
      <c r="A4475" s="107">
        <f>IFERROR(__xludf.DUMMYFUNCTION("""COMPUTED_VALUE"""),45779.0)</f>
        <v>45779</v>
      </c>
      <c r="B4475" t="str">
        <f>IFERROR(__xludf.DUMMYFUNCTION("""COMPUTED_VALUE"""),"[行天宮夏野良栗] D [江仲元] 月租金 (行號: 11)")</f>
        <v>[行天宮夏野良栗] D [江仲元] 月租金 (行號: 11)</v>
      </c>
      <c r="C4475" t="str">
        <f>IFERROR(__xludf.DUMMYFUNCTION("""COMPUTED_VALUE"""),"收入 - 租金")</f>
        <v>收入 - 租金</v>
      </c>
      <c r="D4475" s="270">
        <f>IFERROR(__xludf.DUMMYFUNCTION("""COMPUTED_VALUE"""),11200.0)</f>
        <v>11200</v>
      </c>
      <c r="F4475" t="str">
        <f>IFERROR(__xludf.DUMMYFUNCTION("""COMPUTED_VALUE"""),"玉山帳戶")</f>
        <v>玉山帳戶</v>
      </c>
      <c r="G4475" t="str">
        <f>IFERROR(__xludf.DUMMYFUNCTION("""COMPUTED_VALUE"""),"行天宮夏野良栗")</f>
        <v>行天宮夏野良栗</v>
      </c>
      <c r="H4475" s="106" t="str">
        <f t="shared" si="1"/>
        <v>2025-05</v>
      </c>
      <c r="I4475" s="271" t="str">
        <f>IFERROR(__xludf.DUMMYFUNCTION("""COMPUTED_VALUE"""),"鯰魚大大")</f>
        <v>鯰魚大大</v>
      </c>
      <c r="J4475" t="str">
        <f>IFERROR(__xludf.DUMMYFUNCTION("IFS(
  AND(REGEXMATCH(E4475, ""台銀籌備帳戶|玉山帳戶""), REGEXMATCH(C4475, ""薪資"")), ""分潤支出"",
  AND(REGEXMATCH(E4475, ""Ben帳戶|Elsa帳戶|Ben代墊|Ariel代墊|中信銀行共用""), REGEXMATCH(F4475, ""Ben帳戶|Elsa帳戶|Ben代墊|Ariel代墊|中信銀行共用"")), ""內部轉帳(忽略)"",
  AND(E4475&lt;&gt;"""", F4475&lt;&gt;"""", N"&amp;"OT(REGEXMATCH(C4475, ""薪資""))), ""內部轉帳(忽略)"",
  REGEXMATCH(C4475, ""薪資""), ""薪資變動(不計入)"",
  REGEXMATCH(C4475, ""押金""), ""押金往來"",
  AND(E4475&lt;&gt;"""", F4475=""""), ""真實支出"",
  AND(E4475="""", F4475&lt;&gt;""""), ""真實收入"",
  TRUE, ""其他""
)"),"真實收入")</f>
        <v>真實收入</v>
      </c>
      <c r="K4475" s="270">
        <f t="shared" si="2"/>
        <v>11200</v>
      </c>
      <c r="L4475">
        <f t="shared" si="3"/>
        <v>0</v>
      </c>
    </row>
    <row r="4476">
      <c r="A4476" s="107">
        <f>IFERROR(__xludf.DUMMYFUNCTION("""COMPUTED_VALUE"""),45779.0)</f>
        <v>45779</v>
      </c>
      <c r="B4476" t="str">
        <f>IFERROR(__xludf.DUMMYFUNCTION("""COMPUTED_VALUE"""),"[內湖秘境] A [陳玟涵] 月租金 (行號: 12)")</f>
        <v>[內湖秘境] A [陳玟涵] 月租金 (行號: 12)</v>
      </c>
      <c r="C4476" t="str">
        <f>IFERROR(__xludf.DUMMYFUNCTION("""COMPUTED_VALUE"""),"收入 - 租金")</f>
        <v>收入 - 租金</v>
      </c>
      <c r="D4476" s="270">
        <f>IFERROR(__xludf.DUMMYFUNCTION("""COMPUTED_VALUE"""),11700.0)</f>
        <v>11700</v>
      </c>
      <c r="F4476" t="str">
        <f>IFERROR(__xludf.DUMMYFUNCTION("""COMPUTED_VALUE"""),"玉山帳戶")</f>
        <v>玉山帳戶</v>
      </c>
      <c r="G4476" t="str">
        <f>IFERROR(__xludf.DUMMYFUNCTION("""COMPUTED_VALUE"""),"內湖秘境")</f>
        <v>內湖秘境</v>
      </c>
      <c r="H4476" s="106" t="str">
        <f t="shared" si="1"/>
        <v>2025-05</v>
      </c>
      <c r="I4476" s="271" t="str">
        <f>IFERROR(__xludf.DUMMYFUNCTION("""COMPUTED_VALUE"""),"鯰魚大大")</f>
        <v>鯰魚大大</v>
      </c>
      <c r="J4476" t="str">
        <f>IFERROR(__xludf.DUMMYFUNCTION("IFS(
  AND(REGEXMATCH(E4476, ""台銀籌備帳戶|玉山帳戶""), REGEXMATCH(C4476, ""薪資"")), ""分潤支出"",
  AND(REGEXMATCH(E4476, ""Ben帳戶|Elsa帳戶|Ben代墊|Ariel代墊|中信銀行共用""), REGEXMATCH(F4476, ""Ben帳戶|Elsa帳戶|Ben代墊|Ariel代墊|中信銀行共用"")), ""內部轉帳(忽略)"",
  AND(E4476&lt;&gt;"""", F4476&lt;&gt;"""", N"&amp;"OT(REGEXMATCH(C4476, ""薪資""))), ""內部轉帳(忽略)"",
  REGEXMATCH(C4476, ""薪資""), ""薪資變動(不計入)"",
  REGEXMATCH(C4476, ""押金""), ""押金往來"",
  AND(E4476&lt;&gt;"""", F4476=""""), ""真實支出"",
  AND(E4476="""", F4476&lt;&gt;""""), ""真實收入"",
  TRUE, ""其他""
)"),"真實收入")</f>
        <v>真實收入</v>
      </c>
      <c r="K4476" s="270">
        <f t="shared" si="2"/>
        <v>11700</v>
      </c>
      <c r="L4476">
        <f t="shared" si="3"/>
        <v>0</v>
      </c>
    </row>
    <row r="4477">
      <c r="A4477" s="107">
        <f>IFERROR(__xludf.DUMMYFUNCTION("""COMPUTED_VALUE"""),45779.0)</f>
        <v>45779</v>
      </c>
      <c r="B4477" t="str">
        <f>IFERROR(__xludf.DUMMYFUNCTION("""COMPUTED_VALUE"""),"[士林和豐] C [李宛宸] 月租金 (行號: 13)")</f>
        <v>[士林和豐] C [李宛宸] 月租金 (行號: 13)</v>
      </c>
      <c r="C4477" t="str">
        <f>IFERROR(__xludf.DUMMYFUNCTION("""COMPUTED_VALUE"""),"收入 - 租金")</f>
        <v>收入 - 租金</v>
      </c>
      <c r="D4477" s="270">
        <f>IFERROR(__xludf.DUMMYFUNCTION("""COMPUTED_VALUE"""),13100.0)</f>
        <v>13100</v>
      </c>
      <c r="F4477" t="str">
        <f>IFERROR(__xludf.DUMMYFUNCTION("""COMPUTED_VALUE"""),"玉山帳戶")</f>
        <v>玉山帳戶</v>
      </c>
      <c r="G4477" t="str">
        <f>IFERROR(__xludf.DUMMYFUNCTION("""COMPUTED_VALUE"""),"士林和豐")</f>
        <v>士林和豐</v>
      </c>
      <c r="H4477" s="106" t="str">
        <f t="shared" si="1"/>
        <v>2025-05</v>
      </c>
      <c r="I4477" s="271" t="str">
        <f>IFERROR(__xludf.DUMMYFUNCTION("""COMPUTED_VALUE"""),"鯰魚大大")</f>
        <v>鯰魚大大</v>
      </c>
      <c r="J4477" t="str">
        <f>IFERROR(__xludf.DUMMYFUNCTION("IFS(
  AND(REGEXMATCH(E4477, ""台銀籌備帳戶|玉山帳戶""), REGEXMATCH(C4477, ""薪資"")), ""分潤支出"",
  AND(REGEXMATCH(E4477, ""Ben帳戶|Elsa帳戶|Ben代墊|Ariel代墊|中信銀行共用""), REGEXMATCH(F4477, ""Ben帳戶|Elsa帳戶|Ben代墊|Ariel代墊|中信銀行共用"")), ""內部轉帳(忽略)"",
  AND(E4477&lt;&gt;"""", F4477&lt;&gt;"""", N"&amp;"OT(REGEXMATCH(C4477, ""薪資""))), ""內部轉帳(忽略)"",
  REGEXMATCH(C4477, ""薪資""), ""薪資變動(不計入)"",
  REGEXMATCH(C4477, ""押金""), ""押金往來"",
  AND(E4477&lt;&gt;"""", F4477=""""), ""真實支出"",
  AND(E4477="""", F4477&lt;&gt;""""), ""真實收入"",
  TRUE, ""其他""
)"),"真實收入")</f>
        <v>真實收入</v>
      </c>
      <c r="K4477" s="270">
        <f t="shared" si="2"/>
        <v>13100</v>
      </c>
      <c r="L4477">
        <f t="shared" si="3"/>
        <v>0</v>
      </c>
    </row>
    <row r="4478">
      <c r="A4478" s="107">
        <f>IFERROR(__xludf.DUMMYFUNCTION("""COMPUTED_VALUE"""),45779.0)</f>
        <v>45779</v>
      </c>
      <c r="B4478" t="str">
        <f>IFERROR(__xludf.DUMMYFUNCTION("""COMPUTED_VALUE"""),"[行天宮夏野良栗] E [張宏祺, 謝宗穎] 月租金 (行號: 14)")</f>
        <v>[行天宮夏野良栗] E [張宏祺, 謝宗穎] 月租金 (行號: 14)</v>
      </c>
      <c r="C4478" t="str">
        <f>IFERROR(__xludf.DUMMYFUNCTION("""COMPUTED_VALUE"""),"收入 - 租金")</f>
        <v>收入 - 租金</v>
      </c>
      <c r="D4478" s="270">
        <f>IFERROR(__xludf.DUMMYFUNCTION("""COMPUTED_VALUE"""),31800.0)</f>
        <v>31800</v>
      </c>
      <c r="F4478" t="str">
        <f>IFERROR(__xludf.DUMMYFUNCTION("""COMPUTED_VALUE"""),"玉山帳戶")</f>
        <v>玉山帳戶</v>
      </c>
      <c r="G4478" t="str">
        <f>IFERROR(__xludf.DUMMYFUNCTION("""COMPUTED_VALUE"""),"行天宮夏野良栗")</f>
        <v>行天宮夏野良栗</v>
      </c>
      <c r="H4478" s="106" t="str">
        <f t="shared" si="1"/>
        <v>2025-05</v>
      </c>
      <c r="I4478" s="271" t="str">
        <f>IFERROR(__xludf.DUMMYFUNCTION("""COMPUTED_VALUE"""),"鯰魚大大")</f>
        <v>鯰魚大大</v>
      </c>
      <c r="J4478" t="str">
        <f>IFERROR(__xludf.DUMMYFUNCTION("IFS(
  AND(REGEXMATCH(E4478, ""台銀籌備帳戶|玉山帳戶""), REGEXMATCH(C4478, ""薪資"")), ""分潤支出"",
  AND(REGEXMATCH(E4478, ""Ben帳戶|Elsa帳戶|Ben代墊|Ariel代墊|中信銀行共用""), REGEXMATCH(F4478, ""Ben帳戶|Elsa帳戶|Ben代墊|Ariel代墊|中信銀行共用"")), ""內部轉帳(忽略)"",
  AND(E4478&lt;&gt;"""", F4478&lt;&gt;"""", N"&amp;"OT(REGEXMATCH(C4478, ""薪資""))), ""內部轉帳(忽略)"",
  REGEXMATCH(C4478, ""薪資""), ""薪資變動(不計入)"",
  REGEXMATCH(C4478, ""押金""), ""押金往來"",
  AND(E4478&lt;&gt;"""", F4478=""""), ""真實支出"",
  AND(E4478="""", F4478&lt;&gt;""""), ""真實收入"",
  TRUE, ""其他""
)"),"真實收入")</f>
        <v>真實收入</v>
      </c>
      <c r="K4478" s="270">
        <f t="shared" si="2"/>
        <v>31800</v>
      </c>
      <c r="L4478">
        <f t="shared" si="3"/>
        <v>0</v>
      </c>
    </row>
    <row r="4479">
      <c r="A4479" s="107">
        <f>IFERROR(__xludf.DUMMYFUNCTION("""COMPUTED_VALUE"""),45779.0)</f>
        <v>45779</v>
      </c>
      <c r="B4479" t="str">
        <f>IFERROR(__xludf.DUMMYFUNCTION("""COMPUTED_VALUE"""),"[內湖秘境] E [林芷妤] 月租金 (行號: 15)")</f>
        <v>[內湖秘境] E [林芷妤] 月租金 (行號: 15)</v>
      </c>
      <c r="C4479" t="str">
        <f>IFERROR(__xludf.DUMMYFUNCTION("""COMPUTED_VALUE"""),"收入 - 租金")</f>
        <v>收入 - 租金</v>
      </c>
      <c r="D4479" s="270">
        <f>IFERROR(__xludf.DUMMYFUNCTION("""COMPUTED_VALUE"""),13600.0)</f>
        <v>13600</v>
      </c>
      <c r="F4479" t="str">
        <f>IFERROR(__xludf.DUMMYFUNCTION("""COMPUTED_VALUE"""),"玉山帳戶")</f>
        <v>玉山帳戶</v>
      </c>
      <c r="G4479" t="str">
        <f>IFERROR(__xludf.DUMMYFUNCTION("""COMPUTED_VALUE"""),"內湖秘境")</f>
        <v>內湖秘境</v>
      </c>
      <c r="H4479" s="106" t="str">
        <f t="shared" si="1"/>
        <v>2025-05</v>
      </c>
      <c r="I4479" s="271" t="str">
        <f>IFERROR(__xludf.DUMMYFUNCTION("""COMPUTED_VALUE"""),"鯰魚大大")</f>
        <v>鯰魚大大</v>
      </c>
      <c r="J4479" t="str">
        <f>IFERROR(__xludf.DUMMYFUNCTION("IFS(
  AND(REGEXMATCH(E4479, ""台銀籌備帳戶|玉山帳戶""), REGEXMATCH(C4479, ""薪資"")), ""分潤支出"",
  AND(REGEXMATCH(E4479, ""Ben帳戶|Elsa帳戶|Ben代墊|Ariel代墊|中信銀行共用""), REGEXMATCH(F4479, ""Ben帳戶|Elsa帳戶|Ben代墊|Ariel代墊|中信銀行共用"")), ""內部轉帳(忽略)"",
  AND(E4479&lt;&gt;"""", F4479&lt;&gt;"""", N"&amp;"OT(REGEXMATCH(C4479, ""薪資""))), ""內部轉帳(忽略)"",
  REGEXMATCH(C4479, ""薪資""), ""薪資變動(不計入)"",
  REGEXMATCH(C4479, ""押金""), ""押金往來"",
  AND(E4479&lt;&gt;"""", F4479=""""), ""真實支出"",
  AND(E4479="""", F4479&lt;&gt;""""), ""真實收入"",
  TRUE, ""其他""
)"),"真實收入")</f>
        <v>真實收入</v>
      </c>
      <c r="K4479" s="270">
        <f t="shared" si="2"/>
        <v>13600</v>
      </c>
      <c r="L4479">
        <f t="shared" si="3"/>
        <v>0</v>
      </c>
    </row>
    <row r="4480">
      <c r="A4480" s="107">
        <f>IFERROR(__xludf.DUMMYFUNCTION("""COMPUTED_VALUE"""),45779.0)</f>
        <v>45779</v>
      </c>
      <c r="B4480" t="str">
        <f>IFERROR(__xludf.DUMMYFUNCTION("""COMPUTED_VALUE"""),"[內湖秘境] F [楊芯岳] 月租金 (行號: 16)")</f>
        <v>[內湖秘境] F [楊芯岳] 月租金 (行號: 16)</v>
      </c>
      <c r="C4480" t="str">
        <f>IFERROR(__xludf.DUMMYFUNCTION("""COMPUTED_VALUE"""),"收入 - 租金")</f>
        <v>收入 - 租金</v>
      </c>
      <c r="D4480" s="270">
        <f>IFERROR(__xludf.DUMMYFUNCTION("""COMPUTED_VALUE"""),13500.0)</f>
        <v>13500</v>
      </c>
      <c r="F4480" t="str">
        <f>IFERROR(__xludf.DUMMYFUNCTION("""COMPUTED_VALUE"""),"玉山帳戶")</f>
        <v>玉山帳戶</v>
      </c>
      <c r="G4480" t="str">
        <f>IFERROR(__xludf.DUMMYFUNCTION("""COMPUTED_VALUE"""),"內湖秘境")</f>
        <v>內湖秘境</v>
      </c>
      <c r="H4480" s="106" t="str">
        <f t="shared" si="1"/>
        <v>2025-05</v>
      </c>
      <c r="I4480" s="271" t="str">
        <f>IFERROR(__xludf.DUMMYFUNCTION("""COMPUTED_VALUE"""),"鯰魚大大")</f>
        <v>鯰魚大大</v>
      </c>
      <c r="J4480" t="str">
        <f>IFERROR(__xludf.DUMMYFUNCTION("IFS(
  AND(REGEXMATCH(E4480, ""台銀籌備帳戶|玉山帳戶""), REGEXMATCH(C4480, ""薪資"")), ""分潤支出"",
  AND(REGEXMATCH(E4480, ""Ben帳戶|Elsa帳戶|Ben代墊|Ariel代墊|中信銀行共用""), REGEXMATCH(F4480, ""Ben帳戶|Elsa帳戶|Ben代墊|Ariel代墊|中信銀行共用"")), ""內部轉帳(忽略)"",
  AND(E4480&lt;&gt;"""", F4480&lt;&gt;"""", N"&amp;"OT(REGEXMATCH(C4480, ""薪資""))), ""內部轉帳(忽略)"",
  REGEXMATCH(C4480, ""薪資""), ""薪資變動(不計入)"",
  REGEXMATCH(C4480, ""押金""), ""押金往來"",
  AND(E4480&lt;&gt;"""", F4480=""""), ""真實支出"",
  AND(E4480="""", F4480&lt;&gt;""""), ""真實收入"",
  TRUE, ""其他""
)"),"真實收入")</f>
        <v>真實收入</v>
      </c>
      <c r="K4480" s="270">
        <f t="shared" si="2"/>
        <v>13500</v>
      </c>
      <c r="L4480">
        <f t="shared" si="3"/>
        <v>0</v>
      </c>
    </row>
    <row r="4481">
      <c r="A4481" s="107">
        <f>IFERROR(__xludf.DUMMYFUNCTION("""COMPUTED_VALUE"""),45779.0)</f>
        <v>45779</v>
      </c>
      <c r="B4481" t="str">
        <f>IFERROR(__xludf.DUMMYFUNCTION("""COMPUTED_VALUE"""),"[行天宮夏野良栗] A [鄒欣穎] 月租金 (行號: 17)")</f>
        <v>[行天宮夏野良栗] A [鄒欣穎] 月租金 (行號: 17)</v>
      </c>
      <c r="C4481" t="str">
        <f>IFERROR(__xludf.DUMMYFUNCTION("""COMPUTED_VALUE"""),"收入 - 租金")</f>
        <v>收入 - 租金</v>
      </c>
      <c r="D4481" s="270">
        <f>IFERROR(__xludf.DUMMYFUNCTION("""COMPUTED_VALUE"""),14200.0)</f>
        <v>14200</v>
      </c>
      <c r="F4481" t="str">
        <f>IFERROR(__xludf.DUMMYFUNCTION("""COMPUTED_VALUE"""),"玉山帳戶")</f>
        <v>玉山帳戶</v>
      </c>
      <c r="G4481" t="str">
        <f>IFERROR(__xludf.DUMMYFUNCTION("""COMPUTED_VALUE"""),"行天宮夏野良栗")</f>
        <v>行天宮夏野良栗</v>
      </c>
      <c r="H4481" s="106" t="str">
        <f t="shared" si="1"/>
        <v>2025-05</v>
      </c>
      <c r="I4481" s="271" t="str">
        <f>IFERROR(__xludf.DUMMYFUNCTION("""COMPUTED_VALUE"""),"鯰魚大大")</f>
        <v>鯰魚大大</v>
      </c>
      <c r="J4481" t="str">
        <f>IFERROR(__xludf.DUMMYFUNCTION("IFS(
  AND(REGEXMATCH(E4481, ""台銀籌備帳戶|玉山帳戶""), REGEXMATCH(C4481, ""薪資"")), ""分潤支出"",
  AND(REGEXMATCH(E4481, ""Ben帳戶|Elsa帳戶|Ben代墊|Ariel代墊|中信銀行共用""), REGEXMATCH(F4481, ""Ben帳戶|Elsa帳戶|Ben代墊|Ariel代墊|中信銀行共用"")), ""內部轉帳(忽略)"",
  AND(E4481&lt;&gt;"""", F4481&lt;&gt;"""", N"&amp;"OT(REGEXMATCH(C4481, ""薪資""))), ""內部轉帳(忽略)"",
  REGEXMATCH(C4481, ""薪資""), ""薪資變動(不計入)"",
  REGEXMATCH(C4481, ""押金""), ""押金往來"",
  AND(E4481&lt;&gt;"""", F4481=""""), ""真實支出"",
  AND(E4481="""", F4481&lt;&gt;""""), ""真實收入"",
  TRUE, ""其他""
)"),"真實收入")</f>
        <v>真實收入</v>
      </c>
      <c r="K4481" s="270">
        <f t="shared" si="2"/>
        <v>14200</v>
      </c>
      <c r="L4481">
        <f t="shared" si="3"/>
        <v>0</v>
      </c>
    </row>
    <row r="4482">
      <c r="A4482" s="107">
        <f>IFERROR(__xludf.DUMMYFUNCTION("""COMPUTED_VALUE"""),45779.0)</f>
        <v>45779</v>
      </c>
      <c r="B4482" t="str">
        <f>IFERROR(__xludf.DUMMYFUNCTION("""COMPUTED_VALUE"""),"[內湖秘境] D [王敏誠] 合約 CR00016 (行號: 18, 19)")</f>
        <v>[內湖秘境] D [王敏誠] 合約 CR00016 (行號: 18, 19)</v>
      </c>
      <c r="C4482" t="str">
        <f>IFERROR(__xludf.DUMMYFUNCTION("""COMPUTED_VALUE"""),"收入 - 租金")</f>
        <v>收入 - 租金</v>
      </c>
      <c r="D4482" s="270">
        <f>IFERROR(__xludf.DUMMYFUNCTION("""COMPUTED_VALUE"""),79200.0)</f>
        <v>79200</v>
      </c>
      <c r="F4482" t="str">
        <f>IFERROR(__xludf.DUMMYFUNCTION("""COMPUTED_VALUE"""),"玉山帳戶")</f>
        <v>玉山帳戶</v>
      </c>
      <c r="G4482" t="str">
        <f>IFERROR(__xludf.DUMMYFUNCTION("""COMPUTED_VALUE"""),"內湖秘境")</f>
        <v>內湖秘境</v>
      </c>
      <c r="H4482" s="106" t="str">
        <f t="shared" si="1"/>
        <v>2025-05</v>
      </c>
      <c r="I4482" s="271" t="str">
        <f>IFERROR(__xludf.DUMMYFUNCTION("""COMPUTED_VALUE"""),"鯰魚大大")</f>
        <v>鯰魚大大</v>
      </c>
      <c r="J4482" t="str">
        <f>IFERROR(__xludf.DUMMYFUNCTION("IFS(
  AND(REGEXMATCH(E4482, ""台銀籌備帳戶|玉山帳戶""), REGEXMATCH(C4482, ""薪資"")), ""分潤支出"",
  AND(REGEXMATCH(E4482, ""Ben帳戶|Elsa帳戶|Ben代墊|Ariel代墊|中信銀行共用""), REGEXMATCH(F4482, ""Ben帳戶|Elsa帳戶|Ben代墊|Ariel代墊|中信銀行共用"")), ""內部轉帳(忽略)"",
  AND(E4482&lt;&gt;"""", F4482&lt;&gt;"""", N"&amp;"OT(REGEXMATCH(C4482, ""薪資""))), ""內部轉帳(忽略)"",
  REGEXMATCH(C4482, ""薪資""), ""薪資變動(不計入)"",
  REGEXMATCH(C4482, ""押金""), ""押金往來"",
  AND(E4482&lt;&gt;"""", F4482=""""), ""真實支出"",
  AND(E4482="""", F4482&lt;&gt;""""), ""真實收入"",
  TRUE, ""其他""
)"),"真實收入")</f>
        <v>真實收入</v>
      </c>
      <c r="K4482" s="270">
        <f t="shared" si="2"/>
        <v>79200</v>
      </c>
      <c r="L4482">
        <f t="shared" si="3"/>
        <v>0</v>
      </c>
    </row>
    <row r="4483">
      <c r="A4483" s="107">
        <f>IFERROR(__xludf.DUMMYFUNCTION("""COMPUTED_VALUE"""),45779.0)</f>
        <v>45779</v>
      </c>
      <c r="B4483" t="str">
        <f>IFERROR(__xludf.DUMMYFUNCTION("""COMPUTED_VALUE"""),"[士林和豐] B [郭昱慧] 月租金 (行號: 20)")</f>
        <v>[士林和豐] B [郭昱慧] 月租金 (行號: 20)</v>
      </c>
      <c r="C4483" t="str">
        <f>IFERROR(__xludf.DUMMYFUNCTION("""COMPUTED_VALUE"""),"收入 - 租金")</f>
        <v>收入 - 租金</v>
      </c>
      <c r="D4483" s="270">
        <f>IFERROR(__xludf.DUMMYFUNCTION("""COMPUTED_VALUE"""),14100.0)</f>
        <v>14100</v>
      </c>
      <c r="F4483" t="str">
        <f>IFERROR(__xludf.DUMMYFUNCTION("""COMPUTED_VALUE"""),"玉山帳戶")</f>
        <v>玉山帳戶</v>
      </c>
      <c r="G4483" t="str">
        <f>IFERROR(__xludf.DUMMYFUNCTION("""COMPUTED_VALUE"""),"士林和豐")</f>
        <v>士林和豐</v>
      </c>
      <c r="H4483" s="106" t="str">
        <f t="shared" si="1"/>
        <v>2025-05</v>
      </c>
      <c r="I4483" s="271" t="str">
        <f>IFERROR(__xludf.DUMMYFUNCTION("""COMPUTED_VALUE"""),"鯰魚大大")</f>
        <v>鯰魚大大</v>
      </c>
      <c r="J4483" t="str">
        <f>IFERROR(__xludf.DUMMYFUNCTION("IFS(
  AND(REGEXMATCH(E4483, ""台銀籌備帳戶|玉山帳戶""), REGEXMATCH(C4483, ""薪資"")), ""分潤支出"",
  AND(REGEXMATCH(E4483, ""Ben帳戶|Elsa帳戶|Ben代墊|Ariel代墊|中信銀行共用""), REGEXMATCH(F4483, ""Ben帳戶|Elsa帳戶|Ben代墊|Ariel代墊|中信銀行共用"")), ""內部轉帳(忽略)"",
  AND(E4483&lt;&gt;"""", F4483&lt;&gt;"""", N"&amp;"OT(REGEXMATCH(C4483, ""薪資""))), ""內部轉帳(忽略)"",
  REGEXMATCH(C4483, ""薪資""), ""薪資變動(不計入)"",
  REGEXMATCH(C4483, ""押金""), ""押金往來"",
  AND(E4483&lt;&gt;"""", F4483=""""), ""真實支出"",
  AND(E4483="""", F4483&lt;&gt;""""), ""真實收入"",
  TRUE, ""其他""
)"),"真實收入")</f>
        <v>真實收入</v>
      </c>
      <c r="K4483" s="270">
        <f t="shared" si="2"/>
        <v>14100</v>
      </c>
      <c r="L4483">
        <f t="shared" si="3"/>
        <v>0</v>
      </c>
    </row>
    <row r="4484">
      <c r="A4484" s="107">
        <f>IFERROR(__xludf.DUMMYFUNCTION("""COMPUTED_VALUE"""),45779.0)</f>
        <v>45779</v>
      </c>
      <c r="B4484" t="str">
        <f>IFERROR(__xludf.DUMMYFUNCTION("""COMPUTED_VALUE"""),"[行天宮夏野良栗] C [黃伊妍] 月租金 (行號: 25)")</f>
        <v>[行天宮夏野良栗] C [黃伊妍] 月租金 (行號: 25)</v>
      </c>
      <c r="C4484" t="str">
        <f>IFERROR(__xludf.DUMMYFUNCTION("""COMPUTED_VALUE"""),"收入 - 租金")</f>
        <v>收入 - 租金</v>
      </c>
      <c r="D4484" s="270">
        <f>IFERROR(__xludf.DUMMYFUNCTION("""COMPUTED_VALUE"""),11000.0)</f>
        <v>11000</v>
      </c>
      <c r="F4484" t="str">
        <f>IFERROR(__xludf.DUMMYFUNCTION("""COMPUTED_VALUE"""),"玉山帳戶")</f>
        <v>玉山帳戶</v>
      </c>
      <c r="G4484" t="str">
        <f>IFERROR(__xludf.DUMMYFUNCTION("""COMPUTED_VALUE"""),"行天宮夏野良栗")</f>
        <v>行天宮夏野良栗</v>
      </c>
      <c r="H4484" s="106" t="str">
        <f t="shared" si="1"/>
        <v>2025-05</v>
      </c>
      <c r="I4484" s="271" t="str">
        <f>IFERROR(__xludf.DUMMYFUNCTION("""COMPUTED_VALUE"""),"鯰魚大大")</f>
        <v>鯰魚大大</v>
      </c>
      <c r="J4484" t="str">
        <f>IFERROR(__xludf.DUMMYFUNCTION("IFS(
  AND(REGEXMATCH(E4484, ""台銀籌備帳戶|玉山帳戶""), REGEXMATCH(C4484, ""薪資"")), ""分潤支出"",
  AND(REGEXMATCH(E4484, ""Ben帳戶|Elsa帳戶|Ben代墊|Ariel代墊|中信銀行共用""), REGEXMATCH(F4484, ""Ben帳戶|Elsa帳戶|Ben代墊|Ariel代墊|中信銀行共用"")), ""內部轉帳(忽略)"",
  AND(E4484&lt;&gt;"""", F4484&lt;&gt;"""", N"&amp;"OT(REGEXMATCH(C4484, ""薪資""))), ""內部轉帳(忽略)"",
  REGEXMATCH(C4484, ""薪資""), ""薪資變動(不計入)"",
  REGEXMATCH(C4484, ""押金""), ""押金往來"",
  AND(E4484&lt;&gt;"""", F4484=""""), ""真實支出"",
  AND(E4484="""", F4484&lt;&gt;""""), ""真實收入"",
  TRUE, ""其他""
)"),"真實收入")</f>
        <v>真實收入</v>
      </c>
      <c r="K4484" s="270">
        <f t="shared" si="2"/>
        <v>11000</v>
      </c>
      <c r="L4484">
        <f t="shared" si="3"/>
        <v>0</v>
      </c>
    </row>
    <row r="4485">
      <c r="A4485" s="107">
        <f>IFERROR(__xludf.DUMMYFUNCTION("""COMPUTED_VALUE"""),45782.0)</f>
        <v>45782</v>
      </c>
      <c r="B4485" t="str">
        <f>IFERROR(__xludf.DUMMYFUNCTION("""COMPUTED_VALUE"""),"內湖CityLink 7月租金")</f>
        <v>內湖CityLink 7月租金</v>
      </c>
      <c r="C4485" t="str">
        <f>IFERROR(__xludf.DUMMYFUNCTION("""COMPUTED_VALUE"""),"成本 - 大租金")</f>
        <v>成本 - 大租金</v>
      </c>
      <c r="D4485" s="270">
        <f>IFERROR(__xludf.DUMMYFUNCTION("""COMPUTED_VALUE"""),-33000.0)</f>
        <v>-33000</v>
      </c>
      <c r="E4485" t="str">
        <f>IFERROR(__xludf.DUMMYFUNCTION("""COMPUTED_VALUE"""),"Ben代墊")</f>
        <v>Ben代墊</v>
      </c>
      <c r="G4485" t="str">
        <f>IFERROR(__xludf.DUMMYFUNCTION("""COMPUTED_VALUE"""),"內湖CityLink")</f>
        <v>內湖CityLink</v>
      </c>
      <c r="H4485" s="106" t="str">
        <f t="shared" si="1"/>
        <v>2025-05</v>
      </c>
      <c r="I4485" s="271" t="str">
        <f>IFERROR(__xludf.DUMMYFUNCTION("""COMPUTED_VALUE"""),"鯰魚大大")</f>
        <v>鯰魚大大</v>
      </c>
      <c r="J4485" t="str">
        <f>IFERROR(__xludf.DUMMYFUNCTION("IFS(
  AND(REGEXMATCH(E4485, ""台銀籌備帳戶|玉山帳戶""), REGEXMATCH(C4485, ""薪資"")), ""分潤支出"",
  AND(REGEXMATCH(E4485, ""Ben帳戶|Elsa帳戶|Ben代墊|Ariel代墊|中信銀行共用""), REGEXMATCH(F4485, ""Ben帳戶|Elsa帳戶|Ben代墊|Ariel代墊|中信銀行共用"")), ""內部轉帳(忽略)"",
  AND(E4485&lt;&gt;"""", F4485&lt;&gt;"""", N"&amp;"OT(REGEXMATCH(C4485, ""薪資""))), ""內部轉帳(忽略)"",
  REGEXMATCH(C4485, ""薪資""), ""薪資變動(不計入)"",
  REGEXMATCH(C4485, ""押金""), ""押金往來"",
  AND(E4485&lt;&gt;"""", F4485=""""), ""真實支出"",
  AND(E4485="""", F4485&lt;&gt;""""), ""真實收入"",
  TRUE, ""其他""
)"),"真實支出")</f>
        <v>真實支出</v>
      </c>
      <c r="K4485" s="270">
        <f t="shared" si="2"/>
        <v>-33000</v>
      </c>
      <c r="L4485">
        <f t="shared" si="3"/>
        <v>0</v>
      </c>
    </row>
    <row r="4486">
      <c r="A4486" s="107">
        <f>IFERROR(__xludf.DUMMYFUNCTION("""COMPUTED_VALUE"""),45782.0)</f>
        <v>45782</v>
      </c>
      <c r="B4486" t="str">
        <f>IFERROR(__xludf.DUMMYFUNCTION("""COMPUTED_VALUE"""),"內湖CityLink 公證費")</f>
        <v>內湖CityLink 公證費</v>
      </c>
      <c r="C4486" t="str">
        <f>IFERROR(__xludf.DUMMYFUNCTION("""COMPUTED_VALUE"""),"成本 - 公證費")</f>
        <v>成本 - 公證費</v>
      </c>
      <c r="D4486" s="270">
        <f>IFERROR(__xludf.DUMMYFUNCTION("""COMPUTED_VALUE"""),-7200.0)</f>
        <v>-7200</v>
      </c>
      <c r="E4486" t="str">
        <f>IFERROR(__xludf.DUMMYFUNCTION("""COMPUTED_VALUE"""),"Ben代墊")</f>
        <v>Ben代墊</v>
      </c>
      <c r="G4486" t="str">
        <f>IFERROR(__xludf.DUMMYFUNCTION("""COMPUTED_VALUE"""),"內湖CityLink")</f>
        <v>內湖CityLink</v>
      </c>
      <c r="H4486" s="106" t="str">
        <f t="shared" si="1"/>
        <v>2025-05</v>
      </c>
      <c r="I4486" s="271" t="str">
        <f>IFERROR(__xludf.DUMMYFUNCTION("""COMPUTED_VALUE"""),"鯰魚大大")</f>
        <v>鯰魚大大</v>
      </c>
      <c r="J4486" t="str">
        <f>IFERROR(__xludf.DUMMYFUNCTION("IFS(
  AND(REGEXMATCH(E4486, ""台銀籌備帳戶|玉山帳戶""), REGEXMATCH(C4486, ""薪資"")), ""分潤支出"",
  AND(REGEXMATCH(E4486, ""Ben帳戶|Elsa帳戶|Ben代墊|Ariel代墊|中信銀行共用""), REGEXMATCH(F4486, ""Ben帳戶|Elsa帳戶|Ben代墊|Ariel代墊|中信銀行共用"")), ""內部轉帳(忽略)"",
  AND(E4486&lt;&gt;"""", F4486&lt;&gt;"""", N"&amp;"OT(REGEXMATCH(C4486, ""薪資""))), ""內部轉帳(忽略)"",
  REGEXMATCH(C4486, ""薪資""), ""薪資變動(不計入)"",
  REGEXMATCH(C4486, ""押金""), ""押金往來"",
  AND(E4486&lt;&gt;"""", F4486=""""), ""真實支出"",
  AND(E4486="""", F4486&lt;&gt;""""), ""真實收入"",
  TRUE, ""其他""
)"),"真實支出")</f>
        <v>真實支出</v>
      </c>
      <c r="K4486" s="270">
        <f t="shared" si="2"/>
        <v>-7200</v>
      </c>
      <c r="L4486">
        <f t="shared" si="3"/>
        <v>0</v>
      </c>
    </row>
    <row r="4487">
      <c r="A4487" s="107">
        <f>IFERROR(__xludf.DUMMYFUNCTION("""COMPUTED_VALUE"""),45785.0)</f>
        <v>45785</v>
      </c>
      <c r="B4487" t="str">
        <f>IFERROR(__xludf.DUMMYFUNCTION("""COMPUTED_VALUE"""),"垃可")</f>
        <v>垃可</v>
      </c>
      <c r="C4487" t="str">
        <f>IFERROR(__xludf.DUMMYFUNCTION("""COMPUTED_VALUE"""),"成本 - 固定開銷(網路代收清潔)")</f>
        <v>成本 - 固定開銷(網路代收清潔)</v>
      </c>
      <c r="D4487" s="270">
        <f>IFERROR(__xludf.DUMMYFUNCTION("""COMPUTED_VALUE"""),-900.0)</f>
        <v>-900</v>
      </c>
      <c r="E4487" t="str">
        <f>IFERROR(__xludf.DUMMYFUNCTION("""COMPUTED_VALUE"""),"Ben代墊")</f>
        <v>Ben代墊</v>
      </c>
      <c r="H4487" s="106" t="str">
        <f t="shared" si="1"/>
        <v>2025-05</v>
      </c>
      <c r="I4487" s="271" t="str">
        <f>IFERROR(__xludf.DUMMYFUNCTION("""COMPUTED_VALUE"""),"鯰魚大大")</f>
        <v>鯰魚大大</v>
      </c>
      <c r="J4487" t="str">
        <f>IFERROR(__xludf.DUMMYFUNCTION("IFS(
  AND(REGEXMATCH(E4487, ""台銀籌備帳戶|玉山帳戶""), REGEXMATCH(C4487, ""薪資"")), ""分潤支出"",
  AND(REGEXMATCH(E4487, ""Ben帳戶|Elsa帳戶|Ben代墊|Ariel代墊|中信銀行共用""), REGEXMATCH(F4487, ""Ben帳戶|Elsa帳戶|Ben代墊|Ariel代墊|中信銀行共用"")), ""內部轉帳(忽略)"",
  AND(E4487&lt;&gt;"""", F4487&lt;&gt;"""", N"&amp;"OT(REGEXMATCH(C4487, ""薪資""))), ""內部轉帳(忽略)"",
  REGEXMATCH(C4487, ""薪資""), ""薪資變動(不計入)"",
  REGEXMATCH(C4487, ""押金""), ""押金往來"",
  AND(E4487&lt;&gt;"""", F4487=""""), ""真實支出"",
  AND(E4487="""", F4487&lt;&gt;""""), ""真實收入"",
  TRUE, ""其他""
)"),"真實支出")</f>
        <v>真實支出</v>
      </c>
      <c r="K4487" s="270">
        <f t="shared" si="2"/>
        <v>-900</v>
      </c>
      <c r="L4487">
        <f t="shared" si="3"/>
        <v>0</v>
      </c>
    </row>
    <row r="4488">
      <c r="A4488" s="107">
        <f>IFERROR(__xludf.DUMMYFUNCTION("""COMPUTED_VALUE"""),45782.0)</f>
        <v>45782</v>
      </c>
      <c r="B4488" t="str">
        <f>IFERROR(__xludf.DUMMYFUNCTION("""COMPUTED_VALUE"""),"內湖CityLink 大押金")</f>
        <v>內湖CityLink 大押金</v>
      </c>
      <c r="C4488" t="str">
        <f>IFERROR(__xludf.DUMMYFUNCTION("""COMPUTED_VALUE"""),"成本 - 對屋主押金")</f>
        <v>成本 - 對屋主押金</v>
      </c>
      <c r="D4488" s="270">
        <f>IFERROR(__xludf.DUMMYFUNCTION("""COMPUTED_VALUE"""),-66000.0)</f>
        <v>-66000</v>
      </c>
      <c r="E4488" t="str">
        <f>IFERROR(__xludf.DUMMYFUNCTION("""COMPUTED_VALUE"""),"Ben代墊")</f>
        <v>Ben代墊</v>
      </c>
      <c r="G4488" t="str">
        <f>IFERROR(__xludf.DUMMYFUNCTION("""COMPUTED_VALUE"""),"內湖CityLink")</f>
        <v>內湖CityLink</v>
      </c>
      <c r="H4488" s="106" t="str">
        <f t="shared" si="1"/>
        <v>2025-05</v>
      </c>
      <c r="I4488" s="271" t="str">
        <f>IFERROR(__xludf.DUMMYFUNCTION("""COMPUTED_VALUE"""),"鯰魚大大")</f>
        <v>鯰魚大大</v>
      </c>
      <c r="J4488" t="str">
        <f>IFERROR(__xludf.DUMMYFUNCTION("IFS(
  AND(REGEXMATCH(E4488, ""台銀籌備帳戶|玉山帳戶""), REGEXMATCH(C4488, ""薪資"")), ""分潤支出"",
  AND(REGEXMATCH(E4488, ""Ben帳戶|Elsa帳戶|Ben代墊|Ariel代墊|中信銀行共用""), REGEXMATCH(F4488, ""Ben帳戶|Elsa帳戶|Ben代墊|Ariel代墊|中信銀行共用"")), ""內部轉帳(忽略)"",
  AND(E4488&lt;&gt;"""", F4488&lt;&gt;"""", N"&amp;"OT(REGEXMATCH(C4488, ""薪資""))), ""內部轉帳(忽略)"",
  REGEXMATCH(C4488, ""薪資""), ""薪資變動(不計入)"",
  REGEXMATCH(C4488, ""押金""), ""押金往來"",
  AND(E4488&lt;&gt;"""", F4488=""""), ""真實支出"",
  AND(E4488="""", F4488&lt;&gt;""""), ""真實收入"",
  TRUE, ""其他""
)"),"押金往來")</f>
        <v>押金往來</v>
      </c>
      <c r="K4488">
        <f t="shared" si="2"/>
        <v>0</v>
      </c>
      <c r="L4488">
        <f t="shared" si="3"/>
        <v>0</v>
      </c>
    </row>
    <row r="4489">
      <c r="A4489" s="107">
        <f>IFERROR(__xludf.DUMMYFUNCTION("""COMPUTED_VALUE"""),45788.0)</f>
        <v>45788</v>
      </c>
      <c r="B4489" t="str">
        <f>IFERROR(__xludf.DUMMYFUNCTION("""COMPUTED_VALUE"""),"[內湖CityLink] 燈具JOYALD")</f>
        <v>[內湖CityLink] 燈具JOYALD</v>
      </c>
      <c r="C4489" t="str">
        <f>IFERROR(__xludf.DUMMYFUNCTION("""COMPUTED_VALUE"""),"成本 - 進場前裝潢費")</f>
        <v>成本 - 進場前裝潢費</v>
      </c>
      <c r="D4489" s="270">
        <f>IFERROR(__xludf.DUMMYFUNCTION("""COMPUTED_VALUE"""),-2890.0)</f>
        <v>-2890</v>
      </c>
      <c r="E4489" t="str">
        <f>IFERROR(__xludf.DUMMYFUNCTION("""COMPUTED_VALUE"""),"Ariel代墊")</f>
        <v>Ariel代墊</v>
      </c>
      <c r="G4489" t="str">
        <f>IFERROR(__xludf.DUMMYFUNCTION("""COMPUTED_VALUE"""),"內湖CityLink")</f>
        <v>內湖CityLink</v>
      </c>
      <c r="H4489" s="106" t="str">
        <f t="shared" si="1"/>
        <v>2025-05</v>
      </c>
      <c r="I4489" s="271" t="str">
        <f>IFERROR(__xludf.DUMMYFUNCTION("""COMPUTED_VALUE"""),"鯰魚大大")</f>
        <v>鯰魚大大</v>
      </c>
      <c r="J4489" t="str">
        <f>IFERROR(__xludf.DUMMYFUNCTION("IFS(
  AND(REGEXMATCH(E4489, ""台銀籌備帳戶|玉山帳戶""), REGEXMATCH(C4489, ""薪資"")), ""分潤支出"",
  AND(REGEXMATCH(E4489, ""Ben帳戶|Elsa帳戶|Ben代墊|Ariel代墊|中信銀行共用""), REGEXMATCH(F4489, ""Ben帳戶|Elsa帳戶|Ben代墊|Ariel代墊|中信銀行共用"")), ""內部轉帳(忽略)"",
  AND(E4489&lt;&gt;"""", F4489&lt;&gt;"""", N"&amp;"OT(REGEXMATCH(C4489, ""薪資""))), ""內部轉帳(忽略)"",
  REGEXMATCH(C4489, ""薪資""), ""薪資變動(不計入)"",
  REGEXMATCH(C4489, ""押金""), ""押金往來"",
  AND(E4489&lt;&gt;"""", F4489=""""), ""真實支出"",
  AND(E4489="""", F4489&lt;&gt;""""), ""真實收入"",
  TRUE, ""其他""
)"),"真實支出")</f>
        <v>真實支出</v>
      </c>
      <c r="K4489" s="270">
        <f t="shared" si="2"/>
        <v>-2890</v>
      </c>
      <c r="L4489">
        <f t="shared" si="3"/>
        <v>0</v>
      </c>
    </row>
    <row r="4490">
      <c r="A4490" s="107">
        <f>IFERROR(__xludf.DUMMYFUNCTION("""COMPUTED_VALUE"""),45788.0)</f>
        <v>45788</v>
      </c>
      <c r="B4490" t="str">
        <f>IFERROR(__xludf.DUMMYFUNCTION("""COMPUTED_VALUE"""),"[內湖CityLink] 淘寶")</f>
        <v>[內湖CityLink] 淘寶</v>
      </c>
      <c r="C4490" t="str">
        <f>IFERROR(__xludf.DUMMYFUNCTION("""COMPUTED_VALUE"""),"成本 - 進場前裝潢費")</f>
        <v>成本 - 進場前裝潢費</v>
      </c>
      <c r="D4490" s="270">
        <f>IFERROR(__xludf.DUMMYFUNCTION("""COMPUTED_VALUE"""),-12242.0)</f>
        <v>-12242</v>
      </c>
      <c r="E4490" t="str">
        <f>IFERROR(__xludf.DUMMYFUNCTION("""COMPUTED_VALUE"""),"Ariel代墊")</f>
        <v>Ariel代墊</v>
      </c>
      <c r="G4490" t="str">
        <f>IFERROR(__xludf.DUMMYFUNCTION("""COMPUTED_VALUE"""),"內湖CityLink")</f>
        <v>內湖CityLink</v>
      </c>
      <c r="H4490" s="106" t="str">
        <f t="shared" si="1"/>
        <v>2025-05</v>
      </c>
      <c r="I4490" s="271" t="str">
        <f>IFERROR(__xludf.DUMMYFUNCTION("""COMPUTED_VALUE"""),"鯰魚大大")</f>
        <v>鯰魚大大</v>
      </c>
      <c r="J4490" t="str">
        <f>IFERROR(__xludf.DUMMYFUNCTION("IFS(
  AND(REGEXMATCH(E4490, ""台銀籌備帳戶|玉山帳戶""), REGEXMATCH(C4490, ""薪資"")), ""分潤支出"",
  AND(REGEXMATCH(E4490, ""Ben帳戶|Elsa帳戶|Ben代墊|Ariel代墊|中信銀行共用""), REGEXMATCH(F4490, ""Ben帳戶|Elsa帳戶|Ben代墊|Ariel代墊|中信銀行共用"")), ""內部轉帳(忽略)"",
  AND(E4490&lt;&gt;"""", F4490&lt;&gt;"""", N"&amp;"OT(REGEXMATCH(C4490, ""薪資""))), ""內部轉帳(忽略)"",
  REGEXMATCH(C4490, ""薪資""), ""薪資變動(不計入)"",
  REGEXMATCH(C4490, ""押金""), ""押金往來"",
  AND(E4490&lt;&gt;"""", F4490=""""), ""真實支出"",
  AND(E4490="""", F4490&lt;&gt;""""), ""真實收入"",
  TRUE, ""其他""
)"),"真實支出")</f>
        <v>真實支出</v>
      </c>
      <c r="K4490" s="270">
        <f t="shared" si="2"/>
        <v>-12242</v>
      </c>
      <c r="L4490">
        <f t="shared" si="3"/>
        <v>0</v>
      </c>
    </row>
    <row r="4491">
      <c r="A4491" s="107">
        <f>IFERROR(__xludf.DUMMYFUNCTION("""COMPUTED_VALUE"""),45791.0)</f>
        <v>45791</v>
      </c>
      <c r="B4491" t="str">
        <f>IFERROR(__xludf.DUMMYFUNCTION("""COMPUTED_VALUE"""),"[內湖CityLink] HO好生活_餐桌&amp; 矮鞋櫃")</f>
        <v>[內湖CityLink] HO好生活_餐桌&amp; 矮鞋櫃</v>
      </c>
      <c r="C4491" t="str">
        <f>IFERROR(__xludf.DUMMYFUNCTION("""COMPUTED_VALUE"""),"成本 - 進場前裝潢費")</f>
        <v>成本 - 進場前裝潢費</v>
      </c>
      <c r="D4491" s="270">
        <f>IFERROR(__xludf.DUMMYFUNCTION("""COMPUTED_VALUE"""),-12179.0)</f>
        <v>-12179</v>
      </c>
      <c r="E4491" t="str">
        <f>IFERROR(__xludf.DUMMYFUNCTION("""COMPUTED_VALUE"""),"Ariel代墊")</f>
        <v>Ariel代墊</v>
      </c>
      <c r="G4491" t="str">
        <f>IFERROR(__xludf.DUMMYFUNCTION("""COMPUTED_VALUE"""),"內湖CityLink")</f>
        <v>內湖CityLink</v>
      </c>
      <c r="H4491" s="106" t="str">
        <f t="shared" si="1"/>
        <v>2025-05</v>
      </c>
      <c r="I4491" s="271" t="str">
        <f>IFERROR(__xludf.DUMMYFUNCTION("""COMPUTED_VALUE"""),"鯰魚大大")</f>
        <v>鯰魚大大</v>
      </c>
      <c r="J4491" t="str">
        <f>IFERROR(__xludf.DUMMYFUNCTION("IFS(
  AND(REGEXMATCH(E4491, ""台銀籌備帳戶|玉山帳戶""), REGEXMATCH(C4491, ""薪資"")), ""分潤支出"",
  AND(REGEXMATCH(E4491, ""Ben帳戶|Elsa帳戶|Ben代墊|Ariel代墊|中信銀行共用""), REGEXMATCH(F4491, ""Ben帳戶|Elsa帳戶|Ben代墊|Ariel代墊|中信銀行共用"")), ""內部轉帳(忽略)"",
  AND(E4491&lt;&gt;"""", F4491&lt;&gt;"""", N"&amp;"OT(REGEXMATCH(C4491, ""薪資""))), ""內部轉帳(忽略)"",
  REGEXMATCH(C4491, ""薪資""), ""薪資變動(不計入)"",
  REGEXMATCH(C4491, ""押金""), ""押金往來"",
  AND(E4491&lt;&gt;"""", F4491=""""), ""真實支出"",
  AND(E4491="""", F4491&lt;&gt;""""), ""真實收入"",
  TRUE, ""其他""
)"),"真實支出")</f>
        <v>真實支出</v>
      </c>
      <c r="K4491" s="270">
        <f t="shared" si="2"/>
        <v>-12179</v>
      </c>
      <c r="L4491">
        <f t="shared" si="3"/>
        <v>0</v>
      </c>
    </row>
    <row r="4492">
      <c r="A4492" s="107">
        <f>IFERROR(__xludf.DUMMYFUNCTION("""COMPUTED_VALUE"""),45791.0)</f>
        <v>45791</v>
      </c>
      <c r="B4492" t="str">
        <f>IFERROR(__xludf.DUMMYFUNCTION("""COMPUTED_VALUE"""),"[內湖CityLink] 淘寶")</f>
        <v>[內湖CityLink] 淘寶</v>
      </c>
      <c r="C4492" t="str">
        <f>IFERROR(__xludf.DUMMYFUNCTION("""COMPUTED_VALUE"""),"成本 - 進場前裝潢費")</f>
        <v>成本 - 進場前裝潢費</v>
      </c>
      <c r="D4492" s="270">
        <f>IFERROR(__xludf.DUMMYFUNCTION("""COMPUTED_VALUE"""),-13486.0)</f>
        <v>-13486</v>
      </c>
      <c r="E4492" t="str">
        <f>IFERROR(__xludf.DUMMYFUNCTION("""COMPUTED_VALUE"""),"Ariel代墊")</f>
        <v>Ariel代墊</v>
      </c>
      <c r="G4492" t="str">
        <f>IFERROR(__xludf.DUMMYFUNCTION("""COMPUTED_VALUE"""),"內湖CityLink")</f>
        <v>內湖CityLink</v>
      </c>
      <c r="H4492" s="106" t="str">
        <f t="shared" si="1"/>
        <v>2025-05</v>
      </c>
      <c r="I4492" s="271" t="str">
        <f>IFERROR(__xludf.DUMMYFUNCTION("""COMPUTED_VALUE"""),"鯰魚大大")</f>
        <v>鯰魚大大</v>
      </c>
      <c r="J4492" t="str">
        <f>IFERROR(__xludf.DUMMYFUNCTION("IFS(
  AND(REGEXMATCH(E4492, ""台銀籌備帳戶|玉山帳戶""), REGEXMATCH(C4492, ""薪資"")), ""分潤支出"",
  AND(REGEXMATCH(E4492, ""Ben帳戶|Elsa帳戶|Ben代墊|Ariel代墊|中信銀行共用""), REGEXMATCH(F4492, ""Ben帳戶|Elsa帳戶|Ben代墊|Ariel代墊|中信銀行共用"")), ""內部轉帳(忽略)"",
  AND(E4492&lt;&gt;"""", F4492&lt;&gt;"""", N"&amp;"OT(REGEXMATCH(C4492, ""薪資""))), ""內部轉帳(忽略)"",
  REGEXMATCH(C4492, ""薪資""), ""薪資變動(不計入)"",
  REGEXMATCH(C4492, ""押金""), ""押金往來"",
  AND(E4492&lt;&gt;"""", F4492=""""), ""真實支出"",
  AND(E4492="""", F4492&lt;&gt;""""), ""真實收入"",
  TRUE, ""其他""
)"),"真實支出")</f>
        <v>真實支出</v>
      </c>
      <c r="K4492" s="270">
        <f t="shared" si="2"/>
        <v>-13486</v>
      </c>
      <c r="L4492">
        <f t="shared" si="3"/>
        <v>0</v>
      </c>
    </row>
    <row r="4493">
      <c r="A4493" s="107">
        <f>IFERROR(__xludf.DUMMYFUNCTION("""COMPUTED_VALUE"""),45791.0)</f>
        <v>45791</v>
      </c>
      <c r="B4493" t="str">
        <f>IFERROR(__xludf.DUMMYFUNCTION("""COMPUTED_VALUE"""),"[內湖CityLink] 淘寶")</f>
        <v>[內湖CityLink] 淘寶</v>
      </c>
      <c r="C4493" t="str">
        <f>IFERROR(__xludf.DUMMYFUNCTION("""COMPUTED_VALUE"""),"成本 - 進場前裝潢費")</f>
        <v>成本 - 進場前裝潢費</v>
      </c>
      <c r="D4493" s="270">
        <f>IFERROR(__xludf.DUMMYFUNCTION("""COMPUTED_VALUE"""),-5131.0)</f>
        <v>-5131</v>
      </c>
      <c r="E4493" t="str">
        <f>IFERROR(__xludf.DUMMYFUNCTION("""COMPUTED_VALUE"""),"Ariel代墊")</f>
        <v>Ariel代墊</v>
      </c>
      <c r="G4493" t="str">
        <f>IFERROR(__xludf.DUMMYFUNCTION("""COMPUTED_VALUE"""),"內湖CityLink")</f>
        <v>內湖CityLink</v>
      </c>
      <c r="H4493" s="106" t="str">
        <f t="shared" si="1"/>
        <v>2025-05</v>
      </c>
      <c r="I4493" s="271" t="str">
        <f>IFERROR(__xludf.DUMMYFUNCTION("""COMPUTED_VALUE"""),"鯰魚大大")</f>
        <v>鯰魚大大</v>
      </c>
      <c r="J4493" t="str">
        <f>IFERROR(__xludf.DUMMYFUNCTION("IFS(
  AND(REGEXMATCH(E4493, ""台銀籌備帳戶|玉山帳戶""), REGEXMATCH(C4493, ""薪資"")), ""分潤支出"",
  AND(REGEXMATCH(E4493, ""Ben帳戶|Elsa帳戶|Ben代墊|Ariel代墊|中信銀行共用""), REGEXMATCH(F4493, ""Ben帳戶|Elsa帳戶|Ben代墊|Ariel代墊|中信銀行共用"")), ""內部轉帳(忽略)"",
  AND(E4493&lt;&gt;"""", F4493&lt;&gt;"""", N"&amp;"OT(REGEXMATCH(C4493, ""薪資""))), ""內部轉帳(忽略)"",
  REGEXMATCH(C4493, ""薪資""), ""薪資變動(不計入)"",
  REGEXMATCH(C4493, ""押金""), ""押金往來"",
  AND(E4493&lt;&gt;"""", F4493=""""), ""真實支出"",
  AND(E4493="""", F4493&lt;&gt;""""), ""真實收入"",
  TRUE, ""其他""
)"),"真實支出")</f>
        <v>真實支出</v>
      </c>
      <c r="K4493" s="270">
        <f t="shared" si="2"/>
        <v>-5131</v>
      </c>
      <c r="L4493">
        <f t="shared" si="3"/>
        <v>0</v>
      </c>
    </row>
    <row r="4494">
      <c r="A4494" s="107">
        <f>IFERROR(__xludf.DUMMYFUNCTION("""COMPUTED_VALUE"""),45794.0)</f>
        <v>45794</v>
      </c>
      <c r="B4494" t="str">
        <f>IFERROR(__xludf.DUMMYFUNCTION("""COMPUTED_VALUE"""),"[內湖CityLink] 淘寶_把手")</f>
        <v>[內湖CityLink] 淘寶_把手</v>
      </c>
      <c r="C4494" t="str">
        <f>IFERROR(__xludf.DUMMYFUNCTION("""COMPUTED_VALUE"""),"成本 - 進場前裝潢費")</f>
        <v>成本 - 進場前裝潢費</v>
      </c>
      <c r="D4494" s="270">
        <f>IFERROR(__xludf.DUMMYFUNCTION("""COMPUTED_VALUE"""),-674.0)</f>
        <v>-674</v>
      </c>
      <c r="E4494" t="str">
        <f>IFERROR(__xludf.DUMMYFUNCTION("""COMPUTED_VALUE"""),"Ariel代墊")</f>
        <v>Ariel代墊</v>
      </c>
      <c r="G4494" t="str">
        <f>IFERROR(__xludf.DUMMYFUNCTION("""COMPUTED_VALUE"""),"內湖CityLink")</f>
        <v>內湖CityLink</v>
      </c>
      <c r="H4494" s="106" t="str">
        <f t="shared" si="1"/>
        <v>2025-05</v>
      </c>
      <c r="I4494" s="271" t="str">
        <f>IFERROR(__xludf.DUMMYFUNCTION("""COMPUTED_VALUE"""),"鯰魚大大")</f>
        <v>鯰魚大大</v>
      </c>
      <c r="J4494" t="str">
        <f>IFERROR(__xludf.DUMMYFUNCTION("IFS(
  AND(REGEXMATCH(E4494, ""台銀籌備帳戶|玉山帳戶""), REGEXMATCH(C4494, ""薪資"")), ""分潤支出"",
  AND(REGEXMATCH(E4494, ""Ben帳戶|Elsa帳戶|Ben代墊|Ariel代墊|中信銀行共用""), REGEXMATCH(F4494, ""Ben帳戶|Elsa帳戶|Ben代墊|Ariel代墊|中信銀行共用"")), ""內部轉帳(忽略)"",
  AND(E4494&lt;&gt;"""", F4494&lt;&gt;"""", N"&amp;"OT(REGEXMATCH(C4494, ""薪資""))), ""內部轉帳(忽略)"",
  REGEXMATCH(C4494, ""薪資""), ""薪資變動(不計入)"",
  REGEXMATCH(C4494, ""押金""), ""押金往來"",
  AND(E4494&lt;&gt;"""", F4494=""""), ""真實支出"",
  AND(E4494="""", F4494&lt;&gt;""""), ""真實收入"",
  TRUE, ""其他""
)"),"真實支出")</f>
        <v>真實支出</v>
      </c>
      <c r="K4494" s="270">
        <f t="shared" si="2"/>
        <v>-674</v>
      </c>
      <c r="L4494">
        <f t="shared" si="3"/>
        <v>0</v>
      </c>
    </row>
    <row r="4495">
      <c r="A4495" s="107">
        <f>IFERROR(__xludf.DUMMYFUNCTION("""COMPUTED_VALUE"""),45797.0)</f>
        <v>45797</v>
      </c>
      <c r="B4495" t="str">
        <f>IFERROR(__xludf.DUMMYFUNCTION("""COMPUTED_VALUE"""),"[內湖CityLink] 淘寶_收納盒")</f>
        <v>[內湖CityLink] 淘寶_收納盒</v>
      </c>
      <c r="C4495" t="str">
        <f>IFERROR(__xludf.DUMMYFUNCTION("""COMPUTED_VALUE"""),"成本 - 進場前裝潢費")</f>
        <v>成本 - 進場前裝潢費</v>
      </c>
      <c r="D4495" s="270">
        <f>IFERROR(__xludf.DUMMYFUNCTION("""COMPUTED_VALUE"""),-641.0)</f>
        <v>-641</v>
      </c>
      <c r="E4495" t="str">
        <f>IFERROR(__xludf.DUMMYFUNCTION("""COMPUTED_VALUE"""),"Ariel代墊")</f>
        <v>Ariel代墊</v>
      </c>
      <c r="G4495" t="str">
        <f>IFERROR(__xludf.DUMMYFUNCTION("""COMPUTED_VALUE"""),"內湖CityLink")</f>
        <v>內湖CityLink</v>
      </c>
      <c r="H4495" s="106" t="str">
        <f t="shared" si="1"/>
        <v>2025-05</v>
      </c>
      <c r="I4495" s="271" t="str">
        <f>IFERROR(__xludf.DUMMYFUNCTION("""COMPUTED_VALUE"""),"鯰魚大大")</f>
        <v>鯰魚大大</v>
      </c>
      <c r="J4495" t="str">
        <f>IFERROR(__xludf.DUMMYFUNCTION("IFS(
  AND(REGEXMATCH(E4495, ""台銀籌備帳戶|玉山帳戶""), REGEXMATCH(C4495, ""薪資"")), ""分潤支出"",
  AND(REGEXMATCH(E4495, ""Ben帳戶|Elsa帳戶|Ben代墊|Ariel代墊|中信銀行共用""), REGEXMATCH(F4495, ""Ben帳戶|Elsa帳戶|Ben代墊|Ariel代墊|中信銀行共用"")), ""內部轉帳(忽略)"",
  AND(E4495&lt;&gt;"""", F4495&lt;&gt;"""", N"&amp;"OT(REGEXMATCH(C4495, ""薪資""))), ""內部轉帳(忽略)"",
  REGEXMATCH(C4495, ""薪資""), ""薪資變動(不計入)"",
  REGEXMATCH(C4495, ""押金""), ""押金往來"",
  AND(E4495&lt;&gt;"""", F4495=""""), ""真實支出"",
  AND(E4495="""", F4495&lt;&gt;""""), ""真實收入"",
  TRUE, ""其他""
)"),"真實支出")</f>
        <v>真實支出</v>
      </c>
      <c r="K4495" s="270">
        <f t="shared" si="2"/>
        <v>-641</v>
      </c>
      <c r="L4495">
        <f t="shared" si="3"/>
        <v>0</v>
      </c>
    </row>
    <row r="4496">
      <c r="A4496" s="107">
        <f>IFERROR(__xludf.DUMMYFUNCTION("""COMPUTED_VALUE"""),45797.0)</f>
        <v>45797</v>
      </c>
      <c r="B4496" t="str">
        <f>IFERROR(__xludf.DUMMYFUNCTION("""COMPUTED_VALUE"""),"[內湖CityLink] Ikea家具")</f>
        <v>[內湖CityLink] Ikea家具</v>
      </c>
      <c r="C4496" t="str">
        <f>IFERROR(__xludf.DUMMYFUNCTION("""COMPUTED_VALUE"""),"成本 - 進場前裝潢費")</f>
        <v>成本 - 進場前裝潢費</v>
      </c>
      <c r="D4496" s="270">
        <f>IFERROR(__xludf.DUMMYFUNCTION("""COMPUTED_VALUE"""),-44614.0)</f>
        <v>-44614</v>
      </c>
      <c r="E4496" t="str">
        <f>IFERROR(__xludf.DUMMYFUNCTION("""COMPUTED_VALUE"""),"Ben代墊")</f>
        <v>Ben代墊</v>
      </c>
      <c r="G4496" t="str">
        <f>IFERROR(__xludf.DUMMYFUNCTION("""COMPUTED_VALUE"""),"內湖CityLink")</f>
        <v>內湖CityLink</v>
      </c>
      <c r="H4496" s="106" t="str">
        <f t="shared" si="1"/>
        <v>2025-05</v>
      </c>
      <c r="I4496" s="271" t="str">
        <f>IFERROR(__xludf.DUMMYFUNCTION("""COMPUTED_VALUE"""),"鯰魚大大")</f>
        <v>鯰魚大大</v>
      </c>
      <c r="J4496" t="str">
        <f>IFERROR(__xludf.DUMMYFUNCTION("IFS(
  AND(REGEXMATCH(E4496, ""台銀籌備帳戶|玉山帳戶""), REGEXMATCH(C4496, ""薪資"")), ""分潤支出"",
  AND(REGEXMATCH(E4496, ""Ben帳戶|Elsa帳戶|Ben代墊|Ariel代墊|中信銀行共用""), REGEXMATCH(F4496, ""Ben帳戶|Elsa帳戶|Ben代墊|Ariel代墊|中信銀行共用"")), ""內部轉帳(忽略)"",
  AND(E4496&lt;&gt;"""", F4496&lt;&gt;"""", N"&amp;"OT(REGEXMATCH(C4496, ""薪資""))), ""內部轉帳(忽略)"",
  REGEXMATCH(C4496, ""薪資""), ""薪資變動(不計入)"",
  REGEXMATCH(C4496, ""押金""), ""押金往來"",
  AND(E4496&lt;&gt;"""", F4496=""""), ""真實支出"",
  AND(E4496="""", F4496&lt;&gt;""""), ""真實收入"",
  TRUE, ""其他""
)"),"真實支出")</f>
        <v>真實支出</v>
      </c>
      <c r="K4496" s="270">
        <f t="shared" si="2"/>
        <v>-44614</v>
      </c>
      <c r="L4496">
        <f t="shared" si="3"/>
        <v>0</v>
      </c>
    </row>
    <row r="4497">
      <c r="A4497" s="107">
        <f>IFERROR(__xludf.DUMMYFUNCTION("""COMPUTED_VALUE"""),45797.0)</f>
        <v>45797</v>
      </c>
      <c r="B4497" t="str">
        <f>IFERROR(__xludf.DUMMYFUNCTION("""COMPUTED_VALUE"""),"[內湖CityLink] 鞋櫃_固的")</f>
        <v>[內湖CityLink] 鞋櫃_固的</v>
      </c>
      <c r="C4497" t="str">
        <f>IFERROR(__xludf.DUMMYFUNCTION("""COMPUTED_VALUE"""),"成本 - 進場前裝潢費")</f>
        <v>成本 - 進場前裝潢費</v>
      </c>
      <c r="D4497" s="270">
        <f>IFERROR(__xludf.DUMMYFUNCTION("""COMPUTED_VALUE"""),-6405.0)</f>
        <v>-6405</v>
      </c>
      <c r="E4497" t="str">
        <f>IFERROR(__xludf.DUMMYFUNCTION("""COMPUTED_VALUE"""),"Ariel代墊")</f>
        <v>Ariel代墊</v>
      </c>
      <c r="G4497" t="str">
        <f>IFERROR(__xludf.DUMMYFUNCTION("""COMPUTED_VALUE"""),"內湖CityLink")</f>
        <v>內湖CityLink</v>
      </c>
      <c r="H4497" s="106" t="str">
        <f t="shared" si="1"/>
        <v>2025-05</v>
      </c>
      <c r="I4497" s="271" t="str">
        <f>IFERROR(__xludf.DUMMYFUNCTION("""COMPUTED_VALUE"""),"鯰魚大大")</f>
        <v>鯰魚大大</v>
      </c>
      <c r="J4497" t="str">
        <f>IFERROR(__xludf.DUMMYFUNCTION("IFS(
  AND(REGEXMATCH(E4497, ""台銀籌備帳戶|玉山帳戶""), REGEXMATCH(C4497, ""薪資"")), ""分潤支出"",
  AND(REGEXMATCH(E4497, ""Ben帳戶|Elsa帳戶|Ben代墊|Ariel代墊|中信銀行共用""), REGEXMATCH(F4497, ""Ben帳戶|Elsa帳戶|Ben代墊|Ariel代墊|中信銀行共用"")), ""內部轉帳(忽略)"",
  AND(E4497&lt;&gt;"""", F4497&lt;&gt;"""", N"&amp;"OT(REGEXMATCH(C4497, ""薪資""))), ""內部轉帳(忽略)"",
  REGEXMATCH(C4497, ""薪資""), ""薪資變動(不計入)"",
  REGEXMATCH(C4497, ""押金""), ""押金往來"",
  AND(E4497&lt;&gt;"""", F4497=""""), ""真實支出"",
  AND(E4497="""", F4497&lt;&gt;""""), ""真實收入"",
  TRUE, ""其他""
)"),"真實支出")</f>
        <v>真實支出</v>
      </c>
      <c r="K4497" s="270">
        <f t="shared" si="2"/>
        <v>-6405</v>
      </c>
      <c r="L4497">
        <f t="shared" si="3"/>
        <v>0</v>
      </c>
    </row>
    <row r="4498">
      <c r="A4498" s="107">
        <f>IFERROR(__xludf.DUMMYFUNCTION("""COMPUTED_VALUE"""),45803.0)</f>
        <v>45803</v>
      </c>
      <c r="B4498" t="str">
        <f>IFERROR(__xludf.DUMMYFUNCTION("""COMPUTED_VALUE"""),"[內湖CityLink] 冰箱兩台_momo")</f>
        <v>[內湖CityLink] 冰箱兩台_momo</v>
      </c>
      <c r="C4498" t="str">
        <f>IFERROR(__xludf.DUMMYFUNCTION("""COMPUTED_VALUE"""),"成本 - 進場前裝潢費")</f>
        <v>成本 - 進場前裝潢費</v>
      </c>
      <c r="D4498" s="270">
        <f>IFERROR(__xludf.DUMMYFUNCTION("""COMPUTED_VALUE"""),-18689.0)</f>
        <v>-18689</v>
      </c>
      <c r="E4498" t="str">
        <f>IFERROR(__xludf.DUMMYFUNCTION("""COMPUTED_VALUE"""),"Ariel代墊")</f>
        <v>Ariel代墊</v>
      </c>
      <c r="G4498" t="str">
        <f>IFERROR(__xludf.DUMMYFUNCTION("""COMPUTED_VALUE"""),"內湖CityLink")</f>
        <v>內湖CityLink</v>
      </c>
      <c r="H4498" s="106" t="str">
        <f t="shared" si="1"/>
        <v>2025-05</v>
      </c>
      <c r="I4498" s="271" t="str">
        <f>IFERROR(__xludf.DUMMYFUNCTION("""COMPUTED_VALUE"""),"鯰魚大大")</f>
        <v>鯰魚大大</v>
      </c>
      <c r="J4498" t="str">
        <f>IFERROR(__xludf.DUMMYFUNCTION("IFS(
  AND(REGEXMATCH(E4498, ""台銀籌備帳戶|玉山帳戶""), REGEXMATCH(C4498, ""薪資"")), ""分潤支出"",
  AND(REGEXMATCH(E4498, ""Ben帳戶|Elsa帳戶|Ben代墊|Ariel代墊|中信銀行共用""), REGEXMATCH(F4498, ""Ben帳戶|Elsa帳戶|Ben代墊|Ariel代墊|中信銀行共用"")), ""內部轉帳(忽略)"",
  AND(E4498&lt;&gt;"""", F4498&lt;&gt;"""", N"&amp;"OT(REGEXMATCH(C4498, ""薪資""))), ""內部轉帳(忽略)"",
  REGEXMATCH(C4498, ""薪資""), ""薪資變動(不計入)"",
  REGEXMATCH(C4498, ""押金""), ""押金往來"",
  AND(E4498&lt;&gt;"""", F4498=""""), ""真實支出"",
  AND(E4498="""", F4498&lt;&gt;""""), ""真實收入"",
  TRUE, ""其他""
)"),"真實支出")</f>
        <v>真實支出</v>
      </c>
      <c r="K4498" s="270">
        <f t="shared" si="2"/>
        <v>-18689</v>
      </c>
      <c r="L4498">
        <f t="shared" si="3"/>
        <v>0</v>
      </c>
    </row>
    <row r="4499">
      <c r="A4499" s="107">
        <f>IFERROR(__xludf.DUMMYFUNCTION("""COMPUTED_VALUE"""),45803.0)</f>
        <v>45803</v>
      </c>
      <c r="B4499" t="str">
        <f>IFERROR(__xludf.DUMMYFUNCTION("""COMPUTED_VALUE"""),"[內湖CityLink] 洗衣機兩台_momo")</f>
        <v>[內湖CityLink] 洗衣機兩台_momo</v>
      </c>
      <c r="C4499" t="str">
        <f>IFERROR(__xludf.DUMMYFUNCTION("""COMPUTED_VALUE"""),"成本 - 進場前裝潢費")</f>
        <v>成本 - 進場前裝潢費</v>
      </c>
      <c r="D4499" s="270">
        <f>IFERROR(__xludf.DUMMYFUNCTION("""COMPUTED_VALUE"""),-17998.0)</f>
        <v>-17998</v>
      </c>
      <c r="E4499" t="str">
        <f>IFERROR(__xludf.DUMMYFUNCTION("""COMPUTED_VALUE"""),"Ariel代墊")</f>
        <v>Ariel代墊</v>
      </c>
      <c r="G4499" t="str">
        <f>IFERROR(__xludf.DUMMYFUNCTION("""COMPUTED_VALUE"""),"內湖CityLink")</f>
        <v>內湖CityLink</v>
      </c>
      <c r="H4499" s="106" t="str">
        <f t="shared" si="1"/>
        <v>2025-05</v>
      </c>
      <c r="I4499" s="271" t="str">
        <f>IFERROR(__xludf.DUMMYFUNCTION("""COMPUTED_VALUE"""),"鯰魚大大")</f>
        <v>鯰魚大大</v>
      </c>
      <c r="J4499" t="str">
        <f>IFERROR(__xludf.DUMMYFUNCTION("IFS(
  AND(REGEXMATCH(E4499, ""台銀籌備帳戶|玉山帳戶""), REGEXMATCH(C4499, ""薪資"")), ""分潤支出"",
  AND(REGEXMATCH(E4499, ""Ben帳戶|Elsa帳戶|Ben代墊|Ariel代墊|中信銀行共用""), REGEXMATCH(F4499, ""Ben帳戶|Elsa帳戶|Ben代墊|Ariel代墊|中信銀行共用"")), ""內部轉帳(忽略)"",
  AND(E4499&lt;&gt;"""", F4499&lt;&gt;"""", N"&amp;"OT(REGEXMATCH(C4499, ""薪資""))), ""內部轉帳(忽略)"",
  REGEXMATCH(C4499, ""薪資""), ""薪資變動(不計入)"",
  REGEXMATCH(C4499, ""押金""), ""押金往來"",
  AND(E4499&lt;&gt;"""", F4499=""""), ""真實支出"",
  AND(E4499="""", F4499&lt;&gt;""""), ""真實收入"",
  TRUE, ""其他""
)"),"真實支出")</f>
        <v>真實支出</v>
      </c>
      <c r="K4499" s="270">
        <f t="shared" si="2"/>
        <v>-17998</v>
      </c>
      <c r="L4499">
        <f t="shared" si="3"/>
        <v>0</v>
      </c>
    </row>
    <row r="4500">
      <c r="A4500" s="107">
        <f>IFERROR(__xludf.DUMMYFUNCTION("""COMPUTED_VALUE"""),45803.0)</f>
        <v>45803</v>
      </c>
      <c r="B4500" t="str">
        <f>IFERROR(__xludf.DUMMYFUNCTION("""COMPUTED_VALUE"""),"[內湖CityLink] 吸塵器_momo")</f>
        <v>[內湖CityLink] 吸塵器_momo</v>
      </c>
      <c r="C4500" t="str">
        <f>IFERROR(__xludf.DUMMYFUNCTION("""COMPUTED_VALUE"""),"成本 - 進場前裝潢費")</f>
        <v>成本 - 進場前裝潢費</v>
      </c>
      <c r="D4500" s="270">
        <f>IFERROR(__xludf.DUMMYFUNCTION("""COMPUTED_VALUE"""),-889.0)</f>
        <v>-889</v>
      </c>
      <c r="E4500" t="str">
        <f>IFERROR(__xludf.DUMMYFUNCTION("""COMPUTED_VALUE"""),"Ariel代墊")</f>
        <v>Ariel代墊</v>
      </c>
      <c r="G4500" t="str">
        <f>IFERROR(__xludf.DUMMYFUNCTION("""COMPUTED_VALUE"""),"內湖CityLink")</f>
        <v>內湖CityLink</v>
      </c>
      <c r="H4500" s="106" t="str">
        <f t="shared" si="1"/>
        <v>2025-05</v>
      </c>
      <c r="I4500" s="271" t="str">
        <f>IFERROR(__xludf.DUMMYFUNCTION("""COMPUTED_VALUE"""),"鯰魚大大")</f>
        <v>鯰魚大大</v>
      </c>
      <c r="J4500" t="str">
        <f>IFERROR(__xludf.DUMMYFUNCTION("IFS(
  AND(REGEXMATCH(E4500, ""台銀籌備帳戶|玉山帳戶""), REGEXMATCH(C4500, ""薪資"")), ""分潤支出"",
  AND(REGEXMATCH(E4500, ""Ben帳戶|Elsa帳戶|Ben代墊|Ariel代墊|中信銀行共用""), REGEXMATCH(F4500, ""Ben帳戶|Elsa帳戶|Ben代墊|Ariel代墊|中信銀行共用"")), ""內部轉帳(忽略)"",
  AND(E4500&lt;&gt;"""", F4500&lt;&gt;"""", N"&amp;"OT(REGEXMATCH(C4500, ""薪資""))), ""內部轉帳(忽略)"",
  REGEXMATCH(C4500, ""薪資""), ""薪資變動(不計入)"",
  REGEXMATCH(C4500, ""押金""), ""押金往來"",
  AND(E4500&lt;&gt;"""", F4500=""""), ""真實支出"",
  AND(E4500="""", F4500&lt;&gt;""""), ""真實收入"",
  TRUE, ""其他""
)"),"真實支出")</f>
        <v>真實支出</v>
      </c>
      <c r="K4500" s="270">
        <f t="shared" si="2"/>
        <v>-889</v>
      </c>
      <c r="L4500">
        <f t="shared" si="3"/>
        <v>0</v>
      </c>
    </row>
    <row r="4501">
      <c r="A4501" s="107">
        <f>IFERROR(__xludf.DUMMYFUNCTION("""COMPUTED_VALUE"""),45790.0)</f>
        <v>45790</v>
      </c>
      <c r="B4501" t="str">
        <f>IFERROR(__xludf.DUMMYFUNCTION("""COMPUTED_VALUE"""),"費用 - 匯費 對方行:004 後五碼:10749 (行號: 2)")</f>
        <v>費用 - 匯費 對方行:004 後五碼:10749 (行號: 2)</v>
      </c>
      <c r="C4501" t="str">
        <f>IFERROR(__xludf.DUMMYFUNCTION("""COMPUTED_VALUE"""),"費用 - 匯費")</f>
        <v>費用 - 匯費</v>
      </c>
      <c r="D4501" s="270">
        <f>IFERROR(__xludf.DUMMYFUNCTION("""COMPUTED_VALUE"""),-15.0)</f>
        <v>-15</v>
      </c>
      <c r="E4501" t="str">
        <f>IFERROR(__xludf.DUMMYFUNCTION("""COMPUTED_VALUE"""),"玉山帳戶")</f>
        <v>玉山帳戶</v>
      </c>
      <c r="G4501" t="str">
        <f>IFERROR(__xludf.DUMMYFUNCTION("""COMPUTED_VALUE"""),"內湖CityLink")</f>
        <v>內湖CityLink</v>
      </c>
      <c r="H4501" s="106" t="str">
        <f t="shared" si="1"/>
        <v>2025-05</v>
      </c>
      <c r="I4501" s="271" t="str">
        <f>IFERROR(__xludf.DUMMYFUNCTION("""COMPUTED_VALUE"""),"鯰魚大大")</f>
        <v>鯰魚大大</v>
      </c>
      <c r="J4501" t="str">
        <f>IFERROR(__xludf.DUMMYFUNCTION("IFS(
  AND(REGEXMATCH(E4501, ""台銀籌備帳戶|玉山帳戶""), REGEXMATCH(C4501, ""薪資"")), ""分潤支出"",
  AND(REGEXMATCH(E4501, ""Ben帳戶|Elsa帳戶|Ben代墊|Ariel代墊|中信銀行共用""), REGEXMATCH(F4501, ""Ben帳戶|Elsa帳戶|Ben代墊|Ariel代墊|中信銀行共用"")), ""內部轉帳(忽略)"",
  AND(E4501&lt;&gt;"""", F4501&lt;&gt;"""", N"&amp;"OT(REGEXMATCH(C4501, ""薪資""))), ""內部轉帳(忽略)"",
  REGEXMATCH(C4501, ""薪資""), ""薪資變動(不計入)"",
  REGEXMATCH(C4501, ""押金""), ""押金往來"",
  AND(E4501&lt;&gt;"""", F4501=""""), ""真實支出"",
  AND(E4501="""", F4501&lt;&gt;""""), ""真實收入"",
  TRUE, ""其他""
)"),"真實支出")</f>
        <v>真實支出</v>
      </c>
      <c r="K4501" s="270">
        <f t="shared" si="2"/>
        <v>-15</v>
      </c>
      <c r="L4501">
        <f t="shared" si="3"/>
        <v>0</v>
      </c>
    </row>
    <row r="4502">
      <c r="A4502" s="107">
        <f>IFERROR(__xludf.DUMMYFUNCTION("""COMPUTED_VALUE"""),45790.0)</f>
        <v>45790</v>
      </c>
      <c r="B4502" t="str">
        <f>IFERROR(__xludf.DUMMYFUNCTION("""COMPUTED_VALUE"""),"內湖Citylink冷氣 【未分類支出】")</f>
        <v>內湖Citylink冷氣 【未分類支出】</v>
      </c>
      <c r="C4502" t="str">
        <f>IFERROR(__xludf.DUMMYFUNCTION("""COMPUTED_VALUE"""),"成本 - 進場前裝潢費")</f>
        <v>成本 - 進場前裝潢費</v>
      </c>
      <c r="D4502" s="270">
        <f>IFERROR(__xludf.DUMMYFUNCTION("""COMPUTED_VALUE"""),-119600.0)</f>
        <v>-119600</v>
      </c>
      <c r="E4502" t="str">
        <f>IFERROR(__xludf.DUMMYFUNCTION("""COMPUTED_VALUE"""),"玉山帳戶")</f>
        <v>玉山帳戶</v>
      </c>
      <c r="G4502" t="str">
        <f>IFERROR(__xludf.DUMMYFUNCTION("""COMPUTED_VALUE"""),"內湖CityLink")</f>
        <v>內湖CityLink</v>
      </c>
      <c r="H4502" s="106" t="str">
        <f t="shared" si="1"/>
        <v>2025-05</v>
      </c>
      <c r="I4502" s="271" t="str">
        <f>IFERROR(__xludf.DUMMYFUNCTION("""COMPUTED_VALUE"""),"鯰魚大大")</f>
        <v>鯰魚大大</v>
      </c>
      <c r="J4502" t="str">
        <f>IFERROR(__xludf.DUMMYFUNCTION("IFS(
  AND(REGEXMATCH(E4502, ""台銀籌備帳戶|玉山帳戶""), REGEXMATCH(C4502, ""薪資"")), ""分潤支出"",
  AND(REGEXMATCH(E4502, ""Ben帳戶|Elsa帳戶|Ben代墊|Ariel代墊|中信銀行共用""), REGEXMATCH(F4502, ""Ben帳戶|Elsa帳戶|Ben代墊|Ariel代墊|中信銀行共用"")), ""內部轉帳(忽略)"",
  AND(E4502&lt;&gt;"""", F4502&lt;&gt;"""", N"&amp;"OT(REGEXMATCH(C4502, ""薪資""))), ""內部轉帳(忽略)"",
  REGEXMATCH(C4502, ""薪資""), ""薪資變動(不計入)"",
  REGEXMATCH(C4502, ""押金""), ""押金往來"",
  AND(E4502&lt;&gt;"""", F4502=""""), ""真實支出"",
  AND(E4502="""", F4502&lt;&gt;""""), ""真實收入"",
  TRUE, ""其他""
)"),"真實支出")</f>
        <v>真實支出</v>
      </c>
      <c r="K4502" s="270">
        <f t="shared" si="2"/>
        <v>-119600</v>
      </c>
      <c r="L4502">
        <f t="shared" si="3"/>
        <v>0</v>
      </c>
    </row>
    <row r="4503">
      <c r="A4503" s="107">
        <f>IFERROR(__xludf.DUMMYFUNCTION("""COMPUTED_VALUE"""),45790.0)</f>
        <v>45790</v>
      </c>
      <c r="B4503" t="str">
        <f>IFERROR(__xludf.DUMMYFUNCTION("""COMPUTED_VALUE"""),"費用 - 匯費 對方行:822 後五碼:43124 (行號: 3)")</f>
        <v>費用 - 匯費 對方行:822 後五碼:43124 (行號: 3)</v>
      </c>
      <c r="C4503" t="str">
        <f>IFERROR(__xludf.DUMMYFUNCTION("""COMPUTED_VALUE"""),"費用 - 匯費")</f>
        <v>費用 - 匯費</v>
      </c>
      <c r="D4503" s="270">
        <f>IFERROR(__xludf.DUMMYFUNCTION("""COMPUTED_VALUE"""),-15.0)</f>
        <v>-15</v>
      </c>
      <c r="E4503" t="str">
        <f>IFERROR(__xludf.DUMMYFUNCTION("""COMPUTED_VALUE"""),"玉山帳戶")</f>
        <v>玉山帳戶</v>
      </c>
      <c r="G4503" t="str">
        <f>IFERROR(__xludf.DUMMYFUNCTION("""COMPUTED_VALUE"""),"內湖CityLink")</f>
        <v>內湖CityLink</v>
      </c>
      <c r="H4503" s="106" t="str">
        <f t="shared" si="1"/>
        <v>2025-05</v>
      </c>
      <c r="I4503" s="271" t="str">
        <f>IFERROR(__xludf.DUMMYFUNCTION("""COMPUTED_VALUE"""),"鯰魚大大")</f>
        <v>鯰魚大大</v>
      </c>
      <c r="J4503" t="str">
        <f>IFERROR(__xludf.DUMMYFUNCTION("IFS(
  AND(REGEXMATCH(E4503, ""台銀籌備帳戶|玉山帳戶""), REGEXMATCH(C4503, ""薪資"")), ""分潤支出"",
  AND(REGEXMATCH(E4503, ""Ben帳戶|Elsa帳戶|Ben代墊|Ariel代墊|中信銀行共用""), REGEXMATCH(F4503, ""Ben帳戶|Elsa帳戶|Ben代墊|Ariel代墊|中信銀行共用"")), ""內部轉帳(忽略)"",
  AND(E4503&lt;&gt;"""", F4503&lt;&gt;"""", N"&amp;"OT(REGEXMATCH(C4503, ""薪資""))), ""內部轉帳(忽略)"",
  REGEXMATCH(C4503, ""薪資""), ""薪資變動(不計入)"",
  REGEXMATCH(C4503, ""押金""), ""押金往來"",
  AND(E4503&lt;&gt;"""", F4503=""""), ""真實支出"",
  AND(E4503="""", F4503&lt;&gt;""""), ""真實收入"",
  TRUE, ""其他""
)"),"真實支出")</f>
        <v>真實支出</v>
      </c>
      <c r="K4503" s="270">
        <f t="shared" si="2"/>
        <v>-15</v>
      </c>
      <c r="L4503">
        <f t="shared" si="3"/>
        <v>0</v>
      </c>
    </row>
    <row r="4504">
      <c r="A4504" s="107">
        <f>IFERROR(__xludf.DUMMYFUNCTION("""COMPUTED_VALUE"""),45790.0)</f>
        <v>45790</v>
      </c>
      <c r="B4504" t="str">
        <f>IFERROR(__xludf.DUMMYFUNCTION("""COMPUTED_VALUE"""),"內湖Citylink廖拆除 【未分類支出】")</f>
        <v>內湖Citylink廖拆除 【未分類支出】</v>
      </c>
      <c r="C4504" t="str">
        <f>IFERROR(__xludf.DUMMYFUNCTION("""COMPUTED_VALUE"""),"成本 - 進場前裝潢費")</f>
        <v>成本 - 進場前裝潢費</v>
      </c>
      <c r="D4504" s="270">
        <f>IFERROR(__xludf.DUMMYFUNCTION("""COMPUTED_VALUE"""),-41475.0)</f>
        <v>-41475</v>
      </c>
      <c r="E4504" t="str">
        <f>IFERROR(__xludf.DUMMYFUNCTION("""COMPUTED_VALUE"""),"玉山帳戶")</f>
        <v>玉山帳戶</v>
      </c>
      <c r="G4504" t="str">
        <f>IFERROR(__xludf.DUMMYFUNCTION("""COMPUTED_VALUE"""),"內湖CityLink")</f>
        <v>內湖CityLink</v>
      </c>
      <c r="H4504" s="106" t="str">
        <f t="shared" si="1"/>
        <v>2025-05</v>
      </c>
      <c r="I4504" s="271" t="str">
        <f>IFERROR(__xludf.DUMMYFUNCTION("""COMPUTED_VALUE"""),"鯰魚大大")</f>
        <v>鯰魚大大</v>
      </c>
      <c r="J4504" t="str">
        <f>IFERROR(__xludf.DUMMYFUNCTION("IFS(
  AND(REGEXMATCH(E4504, ""台銀籌備帳戶|玉山帳戶""), REGEXMATCH(C4504, ""薪資"")), ""分潤支出"",
  AND(REGEXMATCH(E4504, ""Ben帳戶|Elsa帳戶|Ben代墊|Ariel代墊|中信銀行共用""), REGEXMATCH(F4504, ""Ben帳戶|Elsa帳戶|Ben代墊|Ariel代墊|中信銀行共用"")), ""內部轉帳(忽略)"",
  AND(E4504&lt;&gt;"""", F4504&lt;&gt;"""", N"&amp;"OT(REGEXMATCH(C4504, ""薪資""))), ""內部轉帳(忽略)"",
  REGEXMATCH(C4504, ""薪資""), ""薪資變動(不計入)"",
  REGEXMATCH(C4504, ""押金""), ""押金往來"",
  AND(E4504&lt;&gt;"""", F4504=""""), ""真實支出"",
  AND(E4504="""", F4504&lt;&gt;""""), ""真實收入"",
  TRUE, ""其他""
)"),"真實支出")</f>
        <v>真實支出</v>
      </c>
      <c r="K4504" s="270">
        <f t="shared" si="2"/>
        <v>-41475</v>
      </c>
      <c r="L4504">
        <f t="shared" si="3"/>
        <v>0</v>
      </c>
    </row>
    <row r="4505">
      <c r="A4505" s="107">
        <f>IFERROR(__xludf.DUMMYFUNCTION("""COMPUTED_VALUE"""),45792.0)</f>
        <v>45792</v>
      </c>
      <c r="B4505" t="str">
        <f>IFERROR(__xludf.DUMMYFUNCTION("""COMPUTED_VALUE"""),"費用 - 匯費 對方行:013 後五碼:78744 (行號: 4)")</f>
        <v>費用 - 匯費 對方行:013 後五碼:78744 (行號: 4)</v>
      </c>
      <c r="C4505" t="str">
        <f>IFERROR(__xludf.DUMMYFUNCTION("""COMPUTED_VALUE"""),"費用 - 匯費")</f>
        <v>費用 - 匯費</v>
      </c>
      <c r="D4505" s="270">
        <f>IFERROR(__xludf.DUMMYFUNCTION("""COMPUTED_VALUE"""),-15.0)</f>
        <v>-15</v>
      </c>
      <c r="E4505" t="str">
        <f>IFERROR(__xludf.DUMMYFUNCTION("""COMPUTED_VALUE"""),"玉山帳戶")</f>
        <v>玉山帳戶</v>
      </c>
      <c r="G4505" t="str">
        <f>IFERROR(__xludf.DUMMYFUNCTION("""COMPUTED_VALUE"""),"內湖CityLink")</f>
        <v>內湖CityLink</v>
      </c>
      <c r="H4505" s="106" t="str">
        <f t="shared" si="1"/>
        <v>2025-05</v>
      </c>
      <c r="I4505" s="271" t="str">
        <f>IFERROR(__xludf.DUMMYFUNCTION("""COMPUTED_VALUE"""),"鯰魚大大")</f>
        <v>鯰魚大大</v>
      </c>
      <c r="J4505" t="str">
        <f>IFERROR(__xludf.DUMMYFUNCTION("IFS(
  AND(REGEXMATCH(E4505, ""台銀籌備帳戶|玉山帳戶""), REGEXMATCH(C4505, ""薪資"")), ""分潤支出"",
  AND(REGEXMATCH(E4505, ""Ben帳戶|Elsa帳戶|Ben代墊|Ariel代墊|中信銀行共用""), REGEXMATCH(F4505, ""Ben帳戶|Elsa帳戶|Ben代墊|Ariel代墊|中信銀行共用"")), ""內部轉帳(忽略)"",
  AND(E4505&lt;&gt;"""", F4505&lt;&gt;"""", N"&amp;"OT(REGEXMATCH(C4505, ""薪資""))), ""內部轉帳(忽略)"",
  REGEXMATCH(C4505, ""薪資""), ""薪資變動(不計入)"",
  REGEXMATCH(C4505, ""押金""), ""押金往來"",
  AND(E4505&lt;&gt;"""", F4505=""""), ""真實支出"",
  AND(E4505="""", F4505&lt;&gt;""""), ""真實收入"",
  TRUE, ""其他""
)"),"真實支出")</f>
        <v>真實支出</v>
      </c>
      <c r="K4505" s="270">
        <f t="shared" si="2"/>
        <v>-15</v>
      </c>
      <c r="L4505">
        <f t="shared" si="3"/>
        <v>0</v>
      </c>
    </row>
    <row r="4506">
      <c r="A4506" s="107">
        <f>IFERROR(__xludf.DUMMYFUNCTION("""COMPUTED_VALUE"""),45792.0)</f>
        <v>45792</v>
      </c>
      <c r="B4506" t="str">
        <f>IFERROR(__xludf.DUMMYFUNCTION("""COMPUTED_VALUE"""),"[士林和豐] [楊政偉] 大租金")</f>
        <v>[士林和豐] [楊政偉] 大租金</v>
      </c>
      <c r="C4506" t="str">
        <f>IFERROR(__xludf.DUMMYFUNCTION("""COMPUTED_VALUE"""),"成本 - 大租金")</f>
        <v>成本 - 大租金</v>
      </c>
      <c r="D4506" s="270">
        <f>IFERROR(__xludf.DUMMYFUNCTION("""COMPUTED_VALUE"""),-14400.0)</f>
        <v>-14400</v>
      </c>
      <c r="E4506" t="str">
        <f>IFERROR(__xludf.DUMMYFUNCTION("""COMPUTED_VALUE"""),"玉山帳戶")</f>
        <v>玉山帳戶</v>
      </c>
      <c r="G4506" t="str">
        <f>IFERROR(__xludf.DUMMYFUNCTION("""COMPUTED_VALUE"""),"士林和豐")</f>
        <v>士林和豐</v>
      </c>
      <c r="H4506" s="106" t="str">
        <f t="shared" si="1"/>
        <v>2025-05</v>
      </c>
      <c r="I4506" s="271" t="str">
        <f>IFERROR(__xludf.DUMMYFUNCTION("""COMPUTED_VALUE"""),"鯰魚大大")</f>
        <v>鯰魚大大</v>
      </c>
      <c r="J4506" t="str">
        <f>IFERROR(__xludf.DUMMYFUNCTION("IFS(
  AND(REGEXMATCH(E4506, ""台銀籌備帳戶|玉山帳戶""), REGEXMATCH(C4506, ""薪資"")), ""分潤支出"",
  AND(REGEXMATCH(E4506, ""Ben帳戶|Elsa帳戶|Ben代墊|Ariel代墊|中信銀行共用""), REGEXMATCH(F4506, ""Ben帳戶|Elsa帳戶|Ben代墊|Ariel代墊|中信銀行共用"")), ""內部轉帳(忽略)"",
  AND(E4506&lt;&gt;"""", F4506&lt;&gt;"""", N"&amp;"OT(REGEXMATCH(C4506, ""薪資""))), ""內部轉帳(忽略)"",
  REGEXMATCH(C4506, ""薪資""), ""薪資變動(不計入)"",
  REGEXMATCH(C4506, ""押金""), ""押金往來"",
  AND(E4506&lt;&gt;"""", F4506=""""), ""真實支出"",
  AND(E4506="""", F4506&lt;&gt;""""), ""真實收入"",
  TRUE, ""其他""
)"),"真實支出")</f>
        <v>真實支出</v>
      </c>
      <c r="K4506" s="270">
        <f t="shared" si="2"/>
        <v>-14400</v>
      </c>
      <c r="L4506">
        <f t="shared" si="3"/>
        <v>0</v>
      </c>
    </row>
    <row r="4507">
      <c r="A4507" s="107">
        <f>IFERROR(__xludf.DUMMYFUNCTION("""COMPUTED_VALUE"""),45792.0)</f>
        <v>45792</v>
      </c>
      <c r="B4507" t="str">
        <f>IFERROR(__xludf.DUMMYFUNCTION("""COMPUTED_VALUE"""),"費用 - 匯費 對方行:012 後五碼:68447 (行號: 5)")</f>
        <v>費用 - 匯費 對方行:012 後五碼:68447 (行號: 5)</v>
      </c>
      <c r="C4507" t="str">
        <f>IFERROR(__xludf.DUMMYFUNCTION("""COMPUTED_VALUE"""),"費用 - 匯費")</f>
        <v>費用 - 匯費</v>
      </c>
      <c r="D4507" s="270">
        <f>IFERROR(__xludf.DUMMYFUNCTION("""COMPUTED_VALUE"""),-15.0)</f>
        <v>-15</v>
      </c>
      <c r="E4507" t="str">
        <f>IFERROR(__xludf.DUMMYFUNCTION("""COMPUTED_VALUE"""),"玉山帳戶")</f>
        <v>玉山帳戶</v>
      </c>
      <c r="G4507" t="str">
        <f>IFERROR(__xludf.DUMMYFUNCTION("""COMPUTED_VALUE"""),"士林和豐")</f>
        <v>士林和豐</v>
      </c>
      <c r="H4507" s="106" t="str">
        <f t="shared" si="1"/>
        <v>2025-05</v>
      </c>
      <c r="I4507" s="271" t="str">
        <f>IFERROR(__xludf.DUMMYFUNCTION("""COMPUTED_VALUE"""),"鯰魚大大")</f>
        <v>鯰魚大大</v>
      </c>
      <c r="J4507" t="str">
        <f>IFERROR(__xludf.DUMMYFUNCTION("IFS(
  AND(REGEXMATCH(E4507, ""台銀籌備帳戶|玉山帳戶""), REGEXMATCH(C4507, ""薪資"")), ""分潤支出"",
  AND(REGEXMATCH(E4507, ""Ben帳戶|Elsa帳戶|Ben代墊|Ariel代墊|中信銀行共用""), REGEXMATCH(F4507, ""Ben帳戶|Elsa帳戶|Ben代墊|Ariel代墊|中信銀行共用"")), ""內部轉帳(忽略)"",
  AND(E4507&lt;&gt;"""", F4507&lt;&gt;"""", N"&amp;"OT(REGEXMATCH(C4507, ""薪資""))), ""內部轉帳(忽略)"",
  REGEXMATCH(C4507, ""薪資""), ""薪資變動(不計入)"",
  REGEXMATCH(C4507, ""押金""), ""押金往來"",
  AND(E4507&lt;&gt;"""", F4507=""""), ""真實支出"",
  AND(E4507="""", F4507&lt;&gt;""""), ""真實收入"",
  TRUE, ""其他""
)"),"真實支出")</f>
        <v>真實支出</v>
      </c>
      <c r="K4507" s="270">
        <f t="shared" si="2"/>
        <v>-15</v>
      </c>
      <c r="L4507">
        <f t="shared" si="3"/>
        <v>0</v>
      </c>
    </row>
    <row r="4508">
      <c r="A4508" s="107">
        <f>IFERROR(__xludf.DUMMYFUNCTION("""COMPUTED_VALUE"""),45792.0)</f>
        <v>45792</v>
      </c>
      <c r="B4508" t="str">
        <f>IFERROR(__xludf.DUMMYFUNCTION("""COMPUTED_VALUE"""),"[行天宮夏野良栗] [沈蕙萱] 大租金")</f>
        <v>[行天宮夏野良栗] [沈蕙萱] 大租金</v>
      </c>
      <c r="C4508" t="str">
        <f>IFERROR(__xludf.DUMMYFUNCTION("""COMPUTED_VALUE"""),"成本 - 大租金")</f>
        <v>成本 - 大租金</v>
      </c>
      <c r="D4508" s="270">
        <f>IFERROR(__xludf.DUMMYFUNCTION("""COMPUTED_VALUE"""),-19900.0)</f>
        <v>-19900</v>
      </c>
      <c r="E4508" t="str">
        <f>IFERROR(__xludf.DUMMYFUNCTION("""COMPUTED_VALUE"""),"玉山帳戶")</f>
        <v>玉山帳戶</v>
      </c>
      <c r="G4508" t="str">
        <f>IFERROR(__xludf.DUMMYFUNCTION("""COMPUTED_VALUE"""),"行天宮夏野良栗")</f>
        <v>行天宮夏野良栗</v>
      </c>
      <c r="H4508" s="106" t="str">
        <f t="shared" si="1"/>
        <v>2025-05</v>
      </c>
      <c r="I4508" s="271" t="str">
        <f>IFERROR(__xludf.DUMMYFUNCTION("""COMPUTED_VALUE"""),"鯰魚大大")</f>
        <v>鯰魚大大</v>
      </c>
      <c r="J4508" t="str">
        <f>IFERROR(__xludf.DUMMYFUNCTION("IFS(
  AND(REGEXMATCH(E4508, ""台銀籌備帳戶|玉山帳戶""), REGEXMATCH(C4508, ""薪資"")), ""分潤支出"",
  AND(REGEXMATCH(E4508, ""Ben帳戶|Elsa帳戶|Ben代墊|Ariel代墊|中信銀行共用""), REGEXMATCH(F4508, ""Ben帳戶|Elsa帳戶|Ben代墊|Ariel代墊|中信銀行共用"")), ""內部轉帳(忽略)"",
  AND(E4508&lt;&gt;"""", F4508&lt;&gt;"""", N"&amp;"OT(REGEXMATCH(C4508, ""薪資""))), ""內部轉帳(忽略)"",
  REGEXMATCH(C4508, ""薪資""), ""薪資變動(不計入)"",
  REGEXMATCH(C4508, ""押金""), ""押金往來"",
  AND(E4508&lt;&gt;"""", F4508=""""), ""真實支出"",
  AND(E4508="""", F4508&lt;&gt;""""), ""真實收入"",
  TRUE, ""其他""
)"),"真實支出")</f>
        <v>真實支出</v>
      </c>
      <c r="K4508" s="270">
        <f t="shared" si="2"/>
        <v>-19900</v>
      </c>
      <c r="L4508">
        <f t="shared" si="3"/>
        <v>0</v>
      </c>
    </row>
    <row r="4509">
      <c r="A4509" s="107">
        <f>IFERROR(__xludf.DUMMYFUNCTION("""COMPUTED_VALUE"""),45796.0)</f>
        <v>45796</v>
      </c>
      <c r="B4509" t="str">
        <f>IFERROR(__xludf.DUMMYFUNCTION("""COMPUTED_VALUE"""),"費用 - 匯費 對方行:700 後五碼:70201 (行號: 6)")</f>
        <v>費用 - 匯費 對方行:700 後五碼:70201 (行號: 6)</v>
      </c>
      <c r="C4509" t="str">
        <f>IFERROR(__xludf.DUMMYFUNCTION("""COMPUTED_VALUE"""),"費用 - 匯費")</f>
        <v>費用 - 匯費</v>
      </c>
      <c r="D4509" s="270">
        <f>IFERROR(__xludf.DUMMYFUNCTION("""COMPUTED_VALUE"""),-15.0)</f>
        <v>-15</v>
      </c>
      <c r="E4509" t="str">
        <f>IFERROR(__xludf.DUMMYFUNCTION("""COMPUTED_VALUE"""),"玉山帳戶")</f>
        <v>玉山帳戶</v>
      </c>
      <c r="H4509" s="106" t="str">
        <f t="shared" si="1"/>
        <v>2025-05</v>
      </c>
      <c r="I4509" s="271" t="str">
        <f>IFERROR(__xludf.DUMMYFUNCTION("""COMPUTED_VALUE"""),"鯰魚大大")</f>
        <v>鯰魚大大</v>
      </c>
      <c r="J4509" t="str">
        <f>IFERROR(__xludf.DUMMYFUNCTION("IFS(
  AND(REGEXMATCH(E4509, ""台銀籌備帳戶|玉山帳戶""), REGEXMATCH(C4509, ""薪資"")), ""分潤支出"",
  AND(REGEXMATCH(E4509, ""Ben帳戶|Elsa帳戶|Ben代墊|Ariel代墊|中信銀行共用""), REGEXMATCH(F4509, ""Ben帳戶|Elsa帳戶|Ben代墊|Ariel代墊|中信銀行共用"")), ""內部轉帳(忽略)"",
  AND(E4509&lt;&gt;"""", F4509&lt;&gt;"""", N"&amp;"OT(REGEXMATCH(C4509, ""薪資""))), ""內部轉帳(忽略)"",
  REGEXMATCH(C4509, ""薪資""), ""薪資變動(不計入)"",
  REGEXMATCH(C4509, ""押金""), ""押金往來"",
  AND(E4509&lt;&gt;"""", F4509=""""), ""真實支出"",
  AND(E4509="""", F4509&lt;&gt;""""), ""真實收入"",
  TRUE, ""其他""
)"),"真實支出")</f>
        <v>真實支出</v>
      </c>
      <c r="K4509" s="270">
        <f t="shared" si="2"/>
        <v>-15</v>
      </c>
      <c r="L4509">
        <f t="shared" si="3"/>
        <v>0</v>
      </c>
    </row>
    <row r="4510">
      <c r="A4510" s="107">
        <f>IFERROR(__xludf.DUMMYFUNCTION("""COMPUTED_VALUE"""),45796.0)</f>
        <v>45796</v>
      </c>
      <c r="B4510" t="str">
        <f>IFERROR(__xludf.DUMMYFUNCTION("""COMPUTED_VALUE"""),"內湖Citylink輕隔間宜佳 【未分類支出】")</f>
        <v>內湖Citylink輕隔間宜佳 【未分類支出】</v>
      </c>
      <c r="C4510" t="str">
        <f>IFERROR(__xludf.DUMMYFUNCTION("""COMPUTED_VALUE"""),"成本 - 進場前裝潢費")</f>
        <v>成本 - 進場前裝潢費</v>
      </c>
      <c r="D4510" s="270">
        <f>IFERROR(__xludf.DUMMYFUNCTION("""COMPUTED_VALUE"""),-82037.0)</f>
        <v>-82037</v>
      </c>
      <c r="E4510" t="str">
        <f>IFERROR(__xludf.DUMMYFUNCTION("""COMPUTED_VALUE"""),"玉山帳戶")</f>
        <v>玉山帳戶</v>
      </c>
      <c r="G4510" t="str">
        <f>IFERROR(__xludf.DUMMYFUNCTION("""COMPUTED_VALUE"""),"內湖CityLink")</f>
        <v>內湖CityLink</v>
      </c>
      <c r="H4510" s="106" t="str">
        <f t="shared" si="1"/>
        <v>2025-05</v>
      </c>
      <c r="I4510" s="271" t="str">
        <f>IFERROR(__xludf.DUMMYFUNCTION("""COMPUTED_VALUE"""),"鯰魚大大")</f>
        <v>鯰魚大大</v>
      </c>
      <c r="J4510" t="str">
        <f>IFERROR(__xludf.DUMMYFUNCTION("IFS(
  AND(REGEXMATCH(E4510, ""台銀籌備帳戶|玉山帳戶""), REGEXMATCH(C4510, ""薪資"")), ""分潤支出"",
  AND(REGEXMATCH(E4510, ""Ben帳戶|Elsa帳戶|Ben代墊|Ariel代墊|中信銀行共用""), REGEXMATCH(F4510, ""Ben帳戶|Elsa帳戶|Ben代墊|Ariel代墊|中信銀行共用"")), ""內部轉帳(忽略)"",
  AND(E4510&lt;&gt;"""", F4510&lt;&gt;"""", N"&amp;"OT(REGEXMATCH(C4510, ""薪資""))), ""內部轉帳(忽略)"",
  REGEXMATCH(C4510, ""薪資""), ""薪資變動(不計入)"",
  REGEXMATCH(C4510, ""押金""), ""押金往來"",
  AND(E4510&lt;&gt;"""", F4510=""""), ""真實支出"",
  AND(E4510="""", F4510&lt;&gt;""""), ""真實收入"",
  TRUE, ""其他""
)"),"真實支出")</f>
        <v>真實支出</v>
      </c>
      <c r="K4510" s="270">
        <f t="shared" si="2"/>
        <v>-82037</v>
      </c>
      <c r="L4510">
        <f t="shared" si="3"/>
        <v>0</v>
      </c>
    </row>
    <row r="4511">
      <c r="A4511" s="107">
        <f>IFERROR(__xludf.DUMMYFUNCTION("""COMPUTED_VALUE"""),45796.0)</f>
        <v>45796</v>
      </c>
      <c r="B4511" t="str">
        <f>IFERROR(__xludf.DUMMYFUNCTION("""COMPUTED_VALUE"""),"費用 - 匯費 對方行:013 後五碼:36191 (行號: 7)")</f>
        <v>費用 - 匯費 對方行:013 後五碼:36191 (行號: 7)</v>
      </c>
      <c r="C4511" t="str">
        <f>IFERROR(__xludf.DUMMYFUNCTION("""COMPUTED_VALUE"""),"費用 - 匯費")</f>
        <v>費用 - 匯費</v>
      </c>
      <c r="D4511" s="270">
        <f>IFERROR(__xludf.DUMMYFUNCTION("""COMPUTED_VALUE"""),-15.0)</f>
        <v>-15</v>
      </c>
      <c r="E4511" t="str">
        <f>IFERROR(__xludf.DUMMYFUNCTION("""COMPUTED_VALUE"""),"玉山帳戶")</f>
        <v>玉山帳戶</v>
      </c>
      <c r="H4511" s="106" t="str">
        <f t="shared" si="1"/>
        <v>2025-05</v>
      </c>
      <c r="I4511" s="271" t="str">
        <f>IFERROR(__xludf.DUMMYFUNCTION("""COMPUTED_VALUE"""),"鯰魚大大")</f>
        <v>鯰魚大大</v>
      </c>
      <c r="J4511" t="str">
        <f>IFERROR(__xludf.DUMMYFUNCTION("IFS(
  AND(REGEXMATCH(E4511, ""台銀籌備帳戶|玉山帳戶""), REGEXMATCH(C4511, ""薪資"")), ""分潤支出"",
  AND(REGEXMATCH(E4511, ""Ben帳戶|Elsa帳戶|Ben代墊|Ariel代墊|中信銀行共用""), REGEXMATCH(F4511, ""Ben帳戶|Elsa帳戶|Ben代墊|Ariel代墊|中信銀行共用"")), ""內部轉帳(忽略)"",
  AND(E4511&lt;&gt;"""", F4511&lt;&gt;"""", N"&amp;"OT(REGEXMATCH(C4511, ""薪資""))), ""內部轉帳(忽略)"",
  REGEXMATCH(C4511, ""薪資""), ""薪資變動(不計入)"",
  REGEXMATCH(C4511, ""押金""), ""押金往來"",
  AND(E4511&lt;&gt;"""", F4511=""""), ""真實支出"",
  AND(E4511="""", F4511&lt;&gt;""""), ""真實收入"",
  TRUE, ""其他""
)"),"真實支出")</f>
        <v>真實支出</v>
      </c>
      <c r="K4511" s="270">
        <f t="shared" si="2"/>
        <v>-15</v>
      </c>
      <c r="L4511">
        <f t="shared" si="3"/>
        <v>0</v>
      </c>
    </row>
    <row r="4512">
      <c r="A4512" s="107">
        <f>IFERROR(__xludf.DUMMYFUNCTION("""COMPUTED_VALUE"""),45796.0)</f>
        <v>45796</v>
      </c>
      <c r="B4512" t="str">
        <f>IFERROR(__xludf.DUMMYFUNCTION("""COMPUTED_VALUE"""),"內湖Citylink氣密窗 【未分類支出】")</f>
        <v>內湖Citylink氣密窗 【未分類支出】</v>
      </c>
      <c r="C4512" t="str">
        <f>IFERROR(__xludf.DUMMYFUNCTION("""COMPUTED_VALUE"""),"成本 - 進場前裝潢費")</f>
        <v>成本 - 進場前裝潢費</v>
      </c>
      <c r="D4512" s="270">
        <f>IFERROR(__xludf.DUMMYFUNCTION("""COMPUTED_VALUE"""),-9525.0)</f>
        <v>-9525</v>
      </c>
      <c r="E4512" t="str">
        <f>IFERROR(__xludf.DUMMYFUNCTION("""COMPUTED_VALUE"""),"玉山帳戶")</f>
        <v>玉山帳戶</v>
      </c>
      <c r="G4512" t="str">
        <f>IFERROR(__xludf.DUMMYFUNCTION("""COMPUTED_VALUE"""),"內湖CityLink")</f>
        <v>內湖CityLink</v>
      </c>
      <c r="H4512" s="106" t="str">
        <f t="shared" si="1"/>
        <v>2025-05</v>
      </c>
      <c r="I4512" s="271" t="str">
        <f>IFERROR(__xludf.DUMMYFUNCTION("""COMPUTED_VALUE"""),"鯰魚大大")</f>
        <v>鯰魚大大</v>
      </c>
      <c r="J4512" t="str">
        <f>IFERROR(__xludf.DUMMYFUNCTION("IFS(
  AND(REGEXMATCH(E4512, ""台銀籌備帳戶|玉山帳戶""), REGEXMATCH(C4512, ""薪資"")), ""分潤支出"",
  AND(REGEXMATCH(E4512, ""Ben帳戶|Elsa帳戶|Ben代墊|Ariel代墊|中信銀行共用""), REGEXMATCH(F4512, ""Ben帳戶|Elsa帳戶|Ben代墊|Ariel代墊|中信銀行共用"")), ""內部轉帳(忽略)"",
  AND(E4512&lt;&gt;"""", F4512&lt;&gt;"""", N"&amp;"OT(REGEXMATCH(C4512, ""薪資""))), ""內部轉帳(忽略)"",
  REGEXMATCH(C4512, ""薪資""), ""薪資變動(不計入)"",
  REGEXMATCH(C4512, ""押金""), ""押金往來"",
  AND(E4512&lt;&gt;"""", F4512=""""), ""真實支出"",
  AND(E4512="""", F4512&lt;&gt;""""), ""真實收入"",
  TRUE, ""其他""
)"),"真實支出")</f>
        <v>真實支出</v>
      </c>
      <c r="K4512" s="270">
        <f t="shared" si="2"/>
        <v>-9525</v>
      </c>
      <c r="L4512">
        <f t="shared" si="3"/>
        <v>0</v>
      </c>
    </row>
    <row r="4513">
      <c r="A4513" s="107">
        <f>IFERROR(__xludf.DUMMYFUNCTION("""COMPUTED_VALUE"""),45797.0)</f>
        <v>45797</v>
      </c>
      <c r="B4513" t="str">
        <f>IFERROR(__xludf.DUMMYFUNCTION("""COMPUTED_VALUE"""),"費用 - 匯費 對方行:012 後五碼:22931 (行號: 8)")</f>
        <v>費用 - 匯費 對方行:012 後五碼:22931 (行號: 8)</v>
      </c>
      <c r="C4513" t="str">
        <f>IFERROR(__xludf.DUMMYFUNCTION("""COMPUTED_VALUE"""),"費用 - 匯費")</f>
        <v>費用 - 匯費</v>
      </c>
      <c r="D4513" s="270">
        <f>IFERROR(__xludf.DUMMYFUNCTION("""COMPUTED_VALUE"""),-15.0)</f>
        <v>-15</v>
      </c>
      <c r="E4513" t="str">
        <f>IFERROR(__xludf.DUMMYFUNCTION("""COMPUTED_VALUE"""),"玉山帳戶")</f>
        <v>玉山帳戶</v>
      </c>
      <c r="H4513" s="106" t="str">
        <f t="shared" si="1"/>
        <v>2025-05</v>
      </c>
      <c r="I4513" s="271" t="str">
        <f>IFERROR(__xludf.DUMMYFUNCTION("""COMPUTED_VALUE"""),"鯰魚大大")</f>
        <v>鯰魚大大</v>
      </c>
      <c r="J4513" t="str">
        <f>IFERROR(__xludf.DUMMYFUNCTION("IFS(
  AND(REGEXMATCH(E4513, ""台銀籌備帳戶|玉山帳戶""), REGEXMATCH(C4513, ""薪資"")), ""分潤支出"",
  AND(REGEXMATCH(E4513, ""Ben帳戶|Elsa帳戶|Ben代墊|Ariel代墊|中信銀行共用""), REGEXMATCH(F4513, ""Ben帳戶|Elsa帳戶|Ben代墊|Ariel代墊|中信銀行共用"")), ""內部轉帳(忽略)"",
  AND(E4513&lt;&gt;"""", F4513&lt;&gt;"""", N"&amp;"OT(REGEXMATCH(C4513, ""薪資""))), ""內部轉帳(忽略)"",
  REGEXMATCH(C4513, ""薪資""), ""薪資變動(不計入)"",
  REGEXMATCH(C4513, ""押金""), ""押金往來"",
  AND(E4513&lt;&gt;"""", F4513=""""), ""真實支出"",
  AND(E4513="""", F4513&lt;&gt;""""), ""真實收入"",
  TRUE, ""其他""
)"),"真實支出")</f>
        <v>真實支出</v>
      </c>
      <c r="K4513" s="270">
        <f t="shared" si="2"/>
        <v>-15</v>
      </c>
      <c r="L4513">
        <f t="shared" si="3"/>
        <v>0</v>
      </c>
    </row>
    <row r="4514">
      <c r="A4514" s="107">
        <f>IFERROR(__xludf.DUMMYFUNCTION("""COMPUTED_VALUE"""),45797.0)</f>
        <v>45797</v>
      </c>
      <c r="B4514" t="str">
        <f>IFERROR(__xludf.DUMMYFUNCTION("""COMPUTED_VALUE"""),"內湖Citylink床 【未分類支出】")</f>
        <v>內湖Citylink床 【未分類支出】</v>
      </c>
      <c r="C4514" t="str">
        <f>IFERROR(__xludf.DUMMYFUNCTION("""COMPUTED_VALUE"""),"成本 - 進場前裝潢費")</f>
        <v>成本 - 進場前裝潢費</v>
      </c>
      <c r="D4514" s="270">
        <f>IFERROR(__xludf.DUMMYFUNCTION("""COMPUTED_VALUE"""),-43350.0)</f>
        <v>-43350</v>
      </c>
      <c r="E4514" t="str">
        <f>IFERROR(__xludf.DUMMYFUNCTION("""COMPUTED_VALUE"""),"玉山帳戶")</f>
        <v>玉山帳戶</v>
      </c>
      <c r="G4514" t="str">
        <f>IFERROR(__xludf.DUMMYFUNCTION("""COMPUTED_VALUE"""),"內湖CityLink")</f>
        <v>內湖CityLink</v>
      </c>
      <c r="H4514" s="106" t="str">
        <f t="shared" si="1"/>
        <v>2025-05</v>
      </c>
      <c r="I4514" s="271" t="str">
        <f>IFERROR(__xludf.DUMMYFUNCTION("""COMPUTED_VALUE"""),"鯰魚大大")</f>
        <v>鯰魚大大</v>
      </c>
      <c r="J4514" t="str">
        <f>IFERROR(__xludf.DUMMYFUNCTION("IFS(
  AND(REGEXMATCH(E4514, ""台銀籌備帳戶|玉山帳戶""), REGEXMATCH(C4514, ""薪資"")), ""分潤支出"",
  AND(REGEXMATCH(E4514, ""Ben帳戶|Elsa帳戶|Ben代墊|Ariel代墊|中信銀行共用""), REGEXMATCH(F4514, ""Ben帳戶|Elsa帳戶|Ben代墊|Ariel代墊|中信銀行共用"")), ""內部轉帳(忽略)"",
  AND(E4514&lt;&gt;"""", F4514&lt;&gt;"""", N"&amp;"OT(REGEXMATCH(C4514, ""薪資""))), ""內部轉帳(忽略)"",
  REGEXMATCH(C4514, ""薪資""), ""薪資變動(不計入)"",
  REGEXMATCH(C4514, ""押金""), ""押金往來"",
  AND(E4514&lt;&gt;"""", F4514=""""), ""真實支出"",
  AND(E4514="""", F4514&lt;&gt;""""), ""真實收入"",
  TRUE, ""其他""
)"),"真實支出")</f>
        <v>真實支出</v>
      </c>
      <c r="K4514" s="270">
        <f t="shared" si="2"/>
        <v>-43350</v>
      </c>
      <c r="L4514">
        <f t="shared" si="3"/>
        <v>0</v>
      </c>
    </row>
    <row r="4515">
      <c r="A4515" s="107">
        <f>IFERROR(__xludf.DUMMYFUNCTION("""COMPUTED_VALUE"""),45806.0)</f>
        <v>45806</v>
      </c>
      <c r="B4515" t="str">
        <f>IFERROR(__xludf.DUMMYFUNCTION("""COMPUTED_VALUE"""),"費用 - 匯費 對方行:700 後五碼:21664 (行號: 9)")</f>
        <v>費用 - 匯費 對方行:700 後五碼:21664 (行號: 9)</v>
      </c>
      <c r="C4515" t="str">
        <f>IFERROR(__xludf.DUMMYFUNCTION("""COMPUTED_VALUE"""),"費用 - 匯費")</f>
        <v>費用 - 匯費</v>
      </c>
      <c r="D4515" s="270">
        <f>IFERROR(__xludf.DUMMYFUNCTION("""COMPUTED_VALUE"""),-15.0)</f>
        <v>-15</v>
      </c>
      <c r="E4515" t="str">
        <f>IFERROR(__xludf.DUMMYFUNCTION("""COMPUTED_VALUE"""),"玉山帳戶")</f>
        <v>玉山帳戶</v>
      </c>
      <c r="H4515" s="106" t="str">
        <f t="shared" si="1"/>
        <v>2025-05</v>
      </c>
      <c r="I4515" s="271" t="str">
        <f>IFERROR(__xludf.DUMMYFUNCTION("""COMPUTED_VALUE"""),"鯰魚大大")</f>
        <v>鯰魚大大</v>
      </c>
      <c r="J4515" t="str">
        <f>IFERROR(__xludf.DUMMYFUNCTION("IFS(
  AND(REGEXMATCH(E4515, ""台銀籌備帳戶|玉山帳戶""), REGEXMATCH(C4515, ""薪資"")), ""分潤支出"",
  AND(REGEXMATCH(E4515, ""Ben帳戶|Elsa帳戶|Ben代墊|Ariel代墊|中信銀行共用""), REGEXMATCH(F4515, ""Ben帳戶|Elsa帳戶|Ben代墊|Ariel代墊|中信銀行共用"")), ""內部轉帳(忽略)"",
  AND(E4515&lt;&gt;"""", F4515&lt;&gt;"""", N"&amp;"OT(REGEXMATCH(C4515, ""薪資""))), ""內部轉帳(忽略)"",
  REGEXMATCH(C4515, ""薪資""), ""薪資變動(不計入)"",
  REGEXMATCH(C4515, ""押金""), ""押金往來"",
  AND(E4515&lt;&gt;"""", F4515=""""), ""真實支出"",
  AND(E4515="""", F4515&lt;&gt;""""), ""真實收入"",
  TRUE, ""其他""
)"),"真實支出")</f>
        <v>真實支出</v>
      </c>
      <c r="K4515" s="270">
        <f t="shared" si="2"/>
        <v>-15</v>
      </c>
      <c r="L4515">
        <f t="shared" si="3"/>
        <v>0</v>
      </c>
    </row>
    <row r="4516">
      <c r="A4516" s="107">
        <f>IFERROR(__xludf.DUMMYFUNCTION("""COMPUTED_VALUE"""),45806.0)</f>
        <v>45806</v>
      </c>
      <c r="B4516" t="str">
        <f>IFERROR(__xludf.DUMMYFUNCTION("""COMPUTED_VALUE"""),"內湖CityLink廚具 【未分類支出】")</f>
        <v>內湖CityLink廚具 【未分類支出】</v>
      </c>
      <c r="C4516" t="str">
        <f>IFERROR(__xludf.DUMMYFUNCTION("""COMPUTED_VALUE"""),"成本 - 進場前裝潢費")</f>
        <v>成本 - 進場前裝潢費</v>
      </c>
      <c r="D4516" s="270">
        <f>IFERROR(__xludf.DUMMYFUNCTION("""COMPUTED_VALUE"""),-29400.0)</f>
        <v>-29400</v>
      </c>
      <c r="E4516" t="str">
        <f>IFERROR(__xludf.DUMMYFUNCTION("""COMPUTED_VALUE"""),"玉山帳戶")</f>
        <v>玉山帳戶</v>
      </c>
      <c r="G4516" t="str">
        <f>IFERROR(__xludf.DUMMYFUNCTION("""COMPUTED_VALUE"""),"內湖CityLink")</f>
        <v>內湖CityLink</v>
      </c>
      <c r="H4516" s="106" t="str">
        <f t="shared" si="1"/>
        <v>2025-05</v>
      </c>
      <c r="I4516" s="271" t="str">
        <f>IFERROR(__xludf.DUMMYFUNCTION("""COMPUTED_VALUE"""),"鯰魚大大")</f>
        <v>鯰魚大大</v>
      </c>
      <c r="J4516" t="str">
        <f>IFERROR(__xludf.DUMMYFUNCTION("IFS(
  AND(REGEXMATCH(E4516, ""台銀籌備帳戶|玉山帳戶""), REGEXMATCH(C4516, ""薪資"")), ""分潤支出"",
  AND(REGEXMATCH(E4516, ""Ben帳戶|Elsa帳戶|Ben代墊|Ariel代墊|中信銀行共用""), REGEXMATCH(F4516, ""Ben帳戶|Elsa帳戶|Ben代墊|Ariel代墊|中信銀行共用"")), ""內部轉帳(忽略)"",
  AND(E4516&lt;&gt;"""", F4516&lt;&gt;"""", N"&amp;"OT(REGEXMATCH(C4516, ""薪資""))), ""內部轉帳(忽略)"",
  REGEXMATCH(C4516, ""薪資""), ""薪資變動(不計入)"",
  REGEXMATCH(C4516, ""押金""), ""押金往來"",
  AND(E4516&lt;&gt;"""", F4516=""""), ""真實支出"",
  AND(E4516="""", F4516&lt;&gt;""""), ""真實收入"",
  TRUE, ""其他""
)"),"真實支出")</f>
        <v>真實支出</v>
      </c>
      <c r="K4516" s="270">
        <f t="shared" si="2"/>
        <v>-29400</v>
      </c>
      <c r="L4516">
        <f t="shared" si="3"/>
        <v>0</v>
      </c>
    </row>
    <row r="4517">
      <c r="A4517" s="107">
        <f>IFERROR(__xludf.DUMMYFUNCTION("""COMPUTED_VALUE"""),45810.0)</f>
        <v>45810</v>
      </c>
      <c r="B4517" t="str">
        <f>IFERROR(__xludf.DUMMYFUNCTION("""COMPUTED_VALUE"""),"費用 - 匯費 對方行:013 後五碼:78744 (行號: 23)")</f>
        <v>費用 - 匯費 對方行:013 後五碼:78744 (行號: 23)</v>
      </c>
      <c r="C4517" t="str">
        <f>IFERROR(__xludf.DUMMYFUNCTION("""COMPUTED_VALUE"""),"費用 - 匯費")</f>
        <v>費用 - 匯費</v>
      </c>
      <c r="D4517" s="270">
        <f>IFERROR(__xludf.DUMMYFUNCTION("""COMPUTED_VALUE"""),-15.0)</f>
        <v>-15</v>
      </c>
      <c r="E4517" t="str">
        <f>IFERROR(__xludf.DUMMYFUNCTION("""COMPUTED_VALUE"""),"玉山帳戶")</f>
        <v>玉山帳戶</v>
      </c>
      <c r="H4517" s="106" t="str">
        <f t="shared" si="1"/>
        <v>2025-06</v>
      </c>
      <c r="I4517" s="271" t="str">
        <f>IFERROR(__xludf.DUMMYFUNCTION("""COMPUTED_VALUE"""),"鯰魚大大")</f>
        <v>鯰魚大大</v>
      </c>
      <c r="J4517" t="str">
        <f>IFERROR(__xludf.DUMMYFUNCTION("IFS(
  AND(REGEXMATCH(E4517, ""台銀籌備帳戶|玉山帳戶""), REGEXMATCH(C4517, ""薪資"")), ""分潤支出"",
  AND(REGEXMATCH(E4517, ""Ben帳戶|Elsa帳戶|Ben代墊|Ariel代墊|中信銀行共用""), REGEXMATCH(F4517, ""Ben帳戶|Elsa帳戶|Ben代墊|Ariel代墊|中信銀行共用"")), ""內部轉帳(忽略)"",
  AND(E4517&lt;&gt;"""", F4517&lt;&gt;"""", N"&amp;"OT(REGEXMATCH(C4517, ""薪資""))), ""內部轉帳(忽略)"",
  REGEXMATCH(C4517, ""薪資""), ""薪資變動(不計入)"",
  REGEXMATCH(C4517, ""押金""), ""押金往來"",
  AND(E4517&lt;&gt;"""", F4517=""""), ""真實支出"",
  AND(E4517="""", F4517&lt;&gt;""""), ""真實收入"",
  TRUE, ""其他""
)"),"真實支出")</f>
        <v>真實支出</v>
      </c>
      <c r="K4517" s="270">
        <f t="shared" si="2"/>
        <v>-15</v>
      </c>
      <c r="L4517">
        <f t="shared" si="3"/>
        <v>0</v>
      </c>
    </row>
    <row r="4518">
      <c r="A4518" s="107">
        <f>IFERROR(__xludf.DUMMYFUNCTION("""COMPUTED_VALUE"""),45810.0)</f>
        <v>45810</v>
      </c>
      <c r="B4518" t="str">
        <f>IFERROR(__xludf.DUMMYFUNCTION("""COMPUTED_VALUE"""),"[士林和豐] [楊政偉] 大租金")</f>
        <v>[士林和豐] [楊政偉] 大租金</v>
      </c>
      <c r="C4518" t="str">
        <f>IFERROR(__xludf.DUMMYFUNCTION("""COMPUTED_VALUE"""),"成本 - 大租金")</f>
        <v>成本 - 大租金</v>
      </c>
      <c r="D4518" s="270">
        <f>IFERROR(__xludf.DUMMYFUNCTION("""COMPUTED_VALUE"""),-14400.0)</f>
        <v>-14400</v>
      </c>
      <c r="E4518" t="str">
        <f>IFERROR(__xludf.DUMMYFUNCTION("""COMPUTED_VALUE"""),"玉山帳戶")</f>
        <v>玉山帳戶</v>
      </c>
      <c r="G4518" t="str">
        <f>IFERROR(__xludf.DUMMYFUNCTION("""COMPUTED_VALUE"""),"士林和豐")</f>
        <v>士林和豐</v>
      </c>
      <c r="H4518" s="106" t="str">
        <f t="shared" si="1"/>
        <v>2025-06</v>
      </c>
      <c r="I4518" s="271" t="str">
        <f>IFERROR(__xludf.DUMMYFUNCTION("""COMPUTED_VALUE"""),"鯰魚大大")</f>
        <v>鯰魚大大</v>
      </c>
      <c r="J4518" t="str">
        <f>IFERROR(__xludf.DUMMYFUNCTION("IFS(
  AND(REGEXMATCH(E4518, ""台銀籌備帳戶|玉山帳戶""), REGEXMATCH(C4518, ""薪資"")), ""分潤支出"",
  AND(REGEXMATCH(E4518, ""Ben帳戶|Elsa帳戶|Ben代墊|Ariel代墊|中信銀行共用""), REGEXMATCH(F4518, ""Ben帳戶|Elsa帳戶|Ben代墊|Ariel代墊|中信銀行共用"")), ""內部轉帳(忽略)"",
  AND(E4518&lt;&gt;"""", F4518&lt;&gt;"""", N"&amp;"OT(REGEXMATCH(C4518, ""薪資""))), ""內部轉帳(忽略)"",
  REGEXMATCH(C4518, ""薪資""), ""薪資變動(不計入)"",
  REGEXMATCH(C4518, ""押金""), ""押金往來"",
  AND(E4518&lt;&gt;"""", F4518=""""), ""真實支出"",
  AND(E4518="""", F4518&lt;&gt;""""), ""真實收入"",
  TRUE, ""其他""
)"),"真實支出")</f>
        <v>真實支出</v>
      </c>
      <c r="K4518" s="270">
        <f t="shared" si="2"/>
        <v>-14400</v>
      </c>
      <c r="L4518">
        <f t="shared" si="3"/>
        <v>0</v>
      </c>
    </row>
    <row r="4519">
      <c r="A4519" s="107">
        <f>IFERROR(__xludf.DUMMYFUNCTION("""COMPUTED_VALUE"""),45810.0)</f>
        <v>45810</v>
      </c>
      <c r="B4519" t="str">
        <f>IFERROR(__xludf.DUMMYFUNCTION("""COMPUTED_VALUE"""),"費用 - 匯費 對方行:012 後五碼:68447 (行號: 24)")</f>
        <v>費用 - 匯費 對方行:012 後五碼:68447 (行號: 24)</v>
      </c>
      <c r="C4519" t="str">
        <f>IFERROR(__xludf.DUMMYFUNCTION("""COMPUTED_VALUE"""),"費用 - 匯費")</f>
        <v>費用 - 匯費</v>
      </c>
      <c r="D4519" s="270">
        <f>IFERROR(__xludf.DUMMYFUNCTION("""COMPUTED_VALUE"""),-15.0)</f>
        <v>-15</v>
      </c>
      <c r="E4519" t="str">
        <f>IFERROR(__xludf.DUMMYFUNCTION("""COMPUTED_VALUE"""),"玉山帳戶")</f>
        <v>玉山帳戶</v>
      </c>
      <c r="H4519" s="106" t="str">
        <f t="shared" si="1"/>
        <v>2025-06</v>
      </c>
      <c r="I4519" s="271" t="str">
        <f>IFERROR(__xludf.DUMMYFUNCTION("""COMPUTED_VALUE"""),"鯰魚大大")</f>
        <v>鯰魚大大</v>
      </c>
      <c r="J4519" t="str">
        <f>IFERROR(__xludf.DUMMYFUNCTION("IFS(
  AND(REGEXMATCH(E4519, ""台銀籌備帳戶|玉山帳戶""), REGEXMATCH(C4519, ""薪資"")), ""分潤支出"",
  AND(REGEXMATCH(E4519, ""Ben帳戶|Elsa帳戶|Ben代墊|Ariel代墊|中信銀行共用""), REGEXMATCH(F4519, ""Ben帳戶|Elsa帳戶|Ben代墊|Ariel代墊|中信銀行共用"")), ""內部轉帳(忽略)"",
  AND(E4519&lt;&gt;"""", F4519&lt;&gt;"""", N"&amp;"OT(REGEXMATCH(C4519, ""薪資""))), ""內部轉帳(忽略)"",
  REGEXMATCH(C4519, ""薪資""), ""薪資變動(不計入)"",
  REGEXMATCH(C4519, ""押金""), ""押金往來"",
  AND(E4519&lt;&gt;"""", F4519=""""), ""真實支出"",
  AND(E4519="""", F4519&lt;&gt;""""), ""真實收入"",
  TRUE, ""其他""
)"),"真實支出")</f>
        <v>真實支出</v>
      </c>
      <c r="K4519" s="270">
        <f t="shared" si="2"/>
        <v>-15</v>
      </c>
      <c r="L4519">
        <f t="shared" si="3"/>
        <v>0</v>
      </c>
    </row>
    <row r="4520">
      <c r="A4520" s="107">
        <f>IFERROR(__xludf.DUMMYFUNCTION("""COMPUTED_VALUE"""),45810.0)</f>
        <v>45810</v>
      </c>
      <c r="B4520" t="str">
        <f>IFERROR(__xludf.DUMMYFUNCTION("""COMPUTED_VALUE"""),"[行天宮夏野良栗] [沈蕙萱] 大租金")</f>
        <v>[行天宮夏野良栗] [沈蕙萱] 大租金</v>
      </c>
      <c r="C4520" t="str">
        <f>IFERROR(__xludf.DUMMYFUNCTION("""COMPUTED_VALUE"""),"成本 - 大租金")</f>
        <v>成本 - 大租金</v>
      </c>
      <c r="D4520" s="270">
        <f>IFERROR(__xludf.DUMMYFUNCTION("""COMPUTED_VALUE"""),-19900.0)</f>
        <v>-19900</v>
      </c>
      <c r="E4520" t="str">
        <f>IFERROR(__xludf.DUMMYFUNCTION("""COMPUTED_VALUE"""),"玉山帳戶")</f>
        <v>玉山帳戶</v>
      </c>
      <c r="G4520" t="str">
        <f>IFERROR(__xludf.DUMMYFUNCTION("""COMPUTED_VALUE"""),"行天宮夏野良栗")</f>
        <v>行天宮夏野良栗</v>
      </c>
      <c r="H4520" s="106" t="str">
        <f t="shared" si="1"/>
        <v>2025-06</v>
      </c>
      <c r="I4520" s="271" t="str">
        <f>IFERROR(__xludf.DUMMYFUNCTION("""COMPUTED_VALUE"""),"鯰魚大大")</f>
        <v>鯰魚大大</v>
      </c>
      <c r="J4520" t="str">
        <f>IFERROR(__xludf.DUMMYFUNCTION("IFS(
  AND(REGEXMATCH(E4520, ""台銀籌備帳戶|玉山帳戶""), REGEXMATCH(C4520, ""薪資"")), ""分潤支出"",
  AND(REGEXMATCH(E4520, ""Ben帳戶|Elsa帳戶|Ben代墊|Ariel代墊|中信銀行共用""), REGEXMATCH(F4520, ""Ben帳戶|Elsa帳戶|Ben代墊|Ariel代墊|中信銀行共用"")), ""內部轉帳(忽略)"",
  AND(E4520&lt;&gt;"""", F4520&lt;&gt;"""", N"&amp;"OT(REGEXMATCH(C4520, ""薪資""))), ""內部轉帳(忽略)"",
  REGEXMATCH(C4520, ""薪資""), ""薪資變動(不計入)"",
  REGEXMATCH(C4520, ""押金""), ""押金往來"",
  AND(E4520&lt;&gt;"""", F4520=""""), ""真實支出"",
  AND(E4520="""", F4520&lt;&gt;""""), ""真實收入"",
  TRUE, ""其他""
)"),"真實支出")</f>
        <v>真實支出</v>
      </c>
      <c r="K4520" s="270">
        <f t="shared" si="2"/>
        <v>-19900</v>
      </c>
      <c r="L4520">
        <f t="shared" si="3"/>
        <v>0</v>
      </c>
    </row>
    <row r="4521">
      <c r="A4521" s="107">
        <f>IFERROR(__xludf.DUMMYFUNCTION("""COMPUTED_VALUE"""),45810.0)</f>
        <v>45810</v>
      </c>
      <c r="B4521" t="str">
        <f>IFERROR(__xludf.DUMMYFUNCTION("""COMPUTED_VALUE"""),"費用 - 匯費 對方行:012 後五碼:53048 (行號: 25)")</f>
        <v>費用 - 匯費 對方行:012 後五碼:53048 (行號: 25)</v>
      </c>
      <c r="C4521" t="str">
        <f>IFERROR(__xludf.DUMMYFUNCTION("""COMPUTED_VALUE"""),"費用 - 匯費")</f>
        <v>費用 - 匯費</v>
      </c>
      <c r="D4521" s="270">
        <f>IFERROR(__xludf.DUMMYFUNCTION("""COMPUTED_VALUE"""),-15.0)</f>
        <v>-15</v>
      </c>
      <c r="E4521" t="str">
        <f>IFERROR(__xludf.DUMMYFUNCTION("""COMPUTED_VALUE"""),"玉山帳戶")</f>
        <v>玉山帳戶</v>
      </c>
      <c r="H4521" s="106" t="str">
        <f t="shared" si="1"/>
        <v>2025-06</v>
      </c>
      <c r="I4521" s="271" t="str">
        <f>IFERROR(__xludf.DUMMYFUNCTION("""COMPUTED_VALUE"""),"鯰魚大大")</f>
        <v>鯰魚大大</v>
      </c>
      <c r="J4521" t="str">
        <f>IFERROR(__xludf.DUMMYFUNCTION("IFS(
  AND(REGEXMATCH(E4521, ""台銀籌備帳戶|玉山帳戶""), REGEXMATCH(C4521, ""薪資"")), ""分潤支出"",
  AND(REGEXMATCH(E4521, ""Ben帳戶|Elsa帳戶|Ben代墊|Ariel代墊|中信銀行共用""), REGEXMATCH(F4521, ""Ben帳戶|Elsa帳戶|Ben代墊|Ariel代墊|中信銀行共用"")), ""內部轉帳(忽略)"",
  AND(E4521&lt;&gt;"""", F4521&lt;&gt;"""", N"&amp;"OT(REGEXMATCH(C4521, ""薪資""))), ""內部轉帳(忽略)"",
  REGEXMATCH(C4521, ""薪資""), ""薪資變動(不計入)"",
  REGEXMATCH(C4521, ""押金""), ""押金往來"",
  AND(E4521&lt;&gt;"""", F4521=""""), ""真實支出"",
  AND(E4521="""", F4521&lt;&gt;""""), ""真實收入"",
  TRUE, ""其他""
)"),"真實支出")</f>
        <v>真實支出</v>
      </c>
      <c r="K4521" s="270">
        <f t="shared" si="2"/>
        <v>-15</v>
      </c>
      <c r="L4521">
        <f t="shared" si="3"/>
        <v>0</v>
      </c>
    </row>
    <row r="4522">
      <c r="A4522" s="107">
        <f>IFERROR(__xludf.DUMMYFUNCTION("""COMPUTED_VALUE"""),45810.0)</f>
        <v>45810</v>
      </c>
      <c r="B4522" t="str">
        <f>IFERROR(__xludf.DUMMYFUNCTION("""COMPUTED_VALUE"""),"[內湖秘境] [周佳慧] 大租金")</f>
        <v>[內湖秘境] [周佳慧] 大租金</v>
      </c>
      <c r="C4522" t="str">
        <f>IFERROR(__xludf.DUMMYFUNCTION("""COMPUTED_VALUE"""),"成本 - 大租金")</f>
        <v>成本 - 大租金</v>
      </c>
      <c r="D4522" s="270">
        <f>IFERROR(__xludf.DUMMYFUNCTION("""COMPUTED_VALUE"""),-15000.0)</f>
        <v>-15000</v>
      </c>
      <c r="E4522" t="str">
        <f>IFERROR(__xludf.DUMMYFUNCTION("""COMPUTED_VALUE"""),"玉山帳戶")</f>
        <v>玉山帳戶</v>
      </c>
      <c r="G4522" t="str">
        <f>IFERROR(__xludf.DUMMYFUNCTION("""COMPUTED_VALUE"""),"內湖秘境")</f>
        <v>內湖秘境</v>
      </c>
      <c r="H4522" s="106" t="str">
        <f t="shared" si="1"/>
        <v>2025-06</v>
      </c>
      <c r="I4522" s="271" t="str">
        <f>IFERROR(__xludf.DUMMYFUNCTION("""COMPUTED_VALUE"""),"鯰魚大大")</f>
        <v>鯰魚大大</v>
      </c>
      <c r="J4522" t="str">
        <f>IFERROR(__xludf.DUMMYFUNCTION("IFS(
  AND(REGEXMATCH(E4522, ""台銀籌備帳戶|玉山帳戶""), REGEXMATCH(C4522, ""薪資"")), ""分潤支出"",
  AND(REGEXMATCH(E4522, ""Ben帳戶|Elsa帳戶|Ben代墊|Ariel代墊|中信銀行共用""), REGEXMATCH(F4522, ""Ben帳戶|Elsa帳戶|Ben代墊|Ariel代墊|中信銀行共用"")), ""內部轉帳(忽略)"",
  AND(E4522&lt;&gt;"""", F4522&lt;&gt;"""", N"&amp;"OT(REGEXMATCH(C4522, ""薪資""))), ""內部轉帳(忽略)"",
  REGEXMATCH(C4522, ""薪資""), ""薪資變動(不計入)"",
  REGEXMATCH(C4522, ""押金""), ""押金往來"",
  AND(E4522&lt;&gt;"""", F4522=""""), ""真實支出"",
  AND(E4522="""", F4522&lt;&gt;""""), ""真實收入"",
  TRUE, ""其他""
)"),"真實支出")</f>
        <v>真實支出</v>
      </c>
      <c r="K4522" s="270">
        <f t="shared" si="2"/>
        <v>-15000</v>
      </c>
      <c r="L4522">
        <f t="shared" si="3"/>
        <v>0</v>
      </c>
    </row>
    <row r="4523">
      <c r="A4523" s="107">
        <f>IFERROR(__xludf.DUMMYFUNCTION("""COMPUTED_VALUE"""),45810.0)</f>
        <v>45810</v>
      </c>
      <c r="B4523" t="str">
        <f>IFERROR(__xludf.DUMMYFUNCTION("""COMPUTED_VALUE"""),"費用 - 匯費 對方行:700 後五碼:84843 (行號: 26)")</f>
        <v>費用 - 匯費 對方行:700 後五碼:84843 (行號: 26)</v>
      </c>
      <c r="C4523" t="str">
        <f>IFERROR(__xludf.DUMMYFUNCTION("""COMPUTED_VALUE"""),"費用 - 匯費")</f>
        <v>費用 - 匯費</v>
      </c>
      <c r="D4523" s="270">
        <f>IFERROR(__xludf.DUMMYFUNCTION("""COMPUTED_VALUE"""),-15.0)</f>
        <v>-15</v>
      </c>
      <c r="E4523" t="str">
        <f>IFERROR(__xludf.DUMMYFUNCTION("""COMPUTED_VALUE"""),"玉山帳戶")</f>
        <v>玉山帳戶</v>
      </c>
      <c r="H4523" s="106" t="str">
        <f t="shared" si="1"/>
        <v>2025-06</v>
      </c>
      <c r="I4523" s="271" t="str">
        <f>IFERROR(__xludf.DUMMYFUNCTION("""COMPUTED_VALUE"""),"鯰魚大大")</f>
        <v>鯰魚大大</v>
      </c>
      <c r="J4523" t="str">
        <f>IFERROR(__xludf.DUMMYFUNCTION("IFS(
  AND(REGEXMATCH(E4523, ""台銀籌備帳戶|玉山帳戶""), REGEXMATCH(C4523, ""薪資"")), ""分潤支出"",
  AND(REGEXMATCH(E4523, ""Ben帳戶|Elsa帳戶|Ben代墊|Ariel代墊|中信銀行共用""), REGEXMATCH(F4523, ""Ben帳戶|Elsa帳戶|Ben代墊|Ariel代墊|中信銀行共用"")), ""內部轉帳(忽略)"",
  AND(E4523&lt;&gt;"""", F4523&lt;&gt;"""", N"&amp;"OT(REGEXMATCH(C4523, ""薪資""))), ""內部轉帳(忽略)"",
  REGEXMATCH(C4523, ""薪資""), ""薪資變動(不計入)"",
  REGEXMATCH(C4523, ""押金""), ""押金往來"",
  AND(E4523&lt;&gt;"""", F4523=""""), ""真實支出"",
  AND(E4523="""", F4523&lt;&gt;""""), ""真實收入"",
  TRUE, ""其他""
)"),"真實支出")</f>
        <v>真實支出</v>
      </c>
      <c r="K4523" s="270">
        <f t="shared" si="2"/>
        <v>-15</v>
      </c>
      <c r="L4523">
        <f t="shared" si="3"/>
        <v>0</v>
      </c>
    </row>
    <row r="4524">
      <c r="A4524" s="107">
        <f>IFERROR(__xludf.DUMMYFUNCTION("""COMPUTED_VALUE"""),45810.0)</f>
        <v>45810</v>
      </c>
      <c r="B4524" t="str">
        <f>IFERROR(__xludf.DUMMYFUNCTION("""COMPUTED_VALUE"""),"[內湖秘境] [周佳慧] 大租金")</f>
        <v>[內湖秘境] [周佳慧] 大租金</v>
      </c>
      <c r="C4524" t="str">
        <f>IFERROR(__xludf.DUMMYFUNCTION("""COMPUTED_VALUE"""),"成本 - 大租金")</f>
        <v>成本 - 大租金</v>
      </c>
      <c r="D4524" s="270">
        <f>IFERROR(__xludf.DUMMYFUNCTION("""COMPUTED_VALUE"""),-15000.0)</f>
        <v>-15000</v>
      </c>
      <c r="E4524" t="str">
        <f>IFERROR(__xludf.DUMMYFUNCTION("""COMPUTED_VALUE"""),"玉山帳戶")</f>
        <v>玉山帳戶</v>
      </c>
      <c r="G4524" t="str">
        <f>IFERROR(__xludf.DUMMYFUNCTION("""COMPUTED_VALUE"""),"內湖秘境")</f>
        <v>內湖秘境</v>
      </c>
      <c r="H4524" s="106" t="str">
        <f t="shared" si="1"/>
        <v>2025-06</v>
      </c>
      <c r="I4524" s="271" t="str">
        <f>IFERROR(__xludf.DUMMYFUNCTION("""COMPUTED_VALUE"""),"鯰魚大大")</f>
        <v>鯰魚大大</v>
      </c>
      <c r="J4524" t="str">
        <f>IFERROR(__xludf.DUMMYFUNCTION("IFS(
  AND(REGEXMATCH(E4524, ""台銀籌備帳戶|玉山帳戶""), REGEXMATCH(C4524, ""薪資"")), ""分潤支出"",
  AND(REGEXMATCH(E4524, ""Ben帳戶|Elsa帳戶|Ben代墊|Ariel代墊|中信銀行共用""), REGEXMATCH(F4524, ""Ben帳戶|Elsa帳戶|Ben代墊|Ariel代墊|中信銀行共用"")), ""內部轉帳(忽略)"",
  AND(E4524&lt;&gt;"""", F4524&lt;&gt;"""", N"&amp;"OT(REGEXMATCH(C4524, ""薪資""))), ""內部轉帳(忽略)"",
  REGEXMATCH(C4524, ""薪資""), ""薪資變動(不計入)"",
  REGEXMATCH(C4524, ""押金""), ""押金往來"",
  AND(E4524&lt;&gt;"""", F4524=""""), ""真實支出"",
  AND(E4524="""", F4524&lt;&gt;""""), ""真實收入"",
  TRUE, ""其他""
)"),"真實支出")</f>
        <v>真實支出</v>
      </c>
      <c r="K4524" s="270">
        <f t="shared" si="2"/>
        <v>-15000</v>
      </c>
      <c r="L4524">
        <f t="shared" si="3"/>
        <v>0</v>
      </c>
    </row>
    <row r="4525">
      <c r="A4525" s="107">
        <f>IFERROR(__xludf.DUMMYFUNCTION("""COMPUTED_VALUE"""),45810.0)</f>
        <v>45810</v>
      </c>
      <c r="B4525" t="str">
        <f>IFERROR(__xludf.DUMMYFUNCTION("""COMPUTED_VALUE"""),"[行天宮夏野良栗] B [楊珺媁] 月租金 (行號: 10)")</f>
        <v>[行天宮夏野良栗] B [楊珺媁] 月租金 (行號: 10)</v>
      </c>
      <c r="C4525" t="str">
        <f>IFERROR(__xludf.DUMMYFUNCTION("""COMPUTED_VALUE"""),"收入 - 租金")</f>
        <v>收入 - 租金</v>
      </c>
      <c r="D4525" s="270">
        <f>IFERROR(__xludf.DUMMYFUNCTION("""COMPUTED_VALUE"""),14000.0)</f>
        <v>14000</v>
      </c>
      <c r="F4525" t="str">
        <f>IFERROR(__xludf.DUMMYFUNCTION("""COMPUTED_VALUE"""),"玉山帳戶")</f>
        <v>玉山帳戶</v>
      </c>
      <c r="G4525" t="str">
        <f>IFERROR(__xludf.DUMMYFUNCTION("""COMPUTED_VALUE"""),"行天宮夏野良栗")</f>
        <v>行天宮夏野良栗</v>
      </c>
      <c r="H4525" s="106" t="str">
        <f t="shared" si="1"/>
        <v>2025-06</v>
      </c>
      <c r="I4525" s="271" t="str">
        <f>IFERROR(__xludf.DUMMYFUNCTION("""COMPUTED_VALUE"""),"鯰魚大大")</f>
        <v>鯰魚大大</v>
      </c>
      <c r="J4525" t="str">
        <f>IFERROR(__xludf.DUMMYFUNCTION("IFS(
  AND(REGEXMATCH(E4525, ""台銀籌備帳戶|玉山帳戶""), REGEXMATCH(C4525, ""薪資"")), ""分潤支出"",
  AND(REGEXMATCH(E4525, ""Ben帳戶|Elsa帳戶|Ben代墊|Ariel代墊|中信銀行共用""), REGEXMATCH(F4525, ""Ben帳戶|Elsa帳戶|Ben代墊|Ariel代墊|中信銀行共用"")), ""內部轉帳(忽略)"",
  AND(E4525&lt;&gt;"""", F4525&lt;&gt;"""", N"&amp;"OT(REGEXMATCH(C4525, ""薪資""))), ""內部轉帳(忽略)"",
  REGEXMATCH(C4525, ""薪資""), ""薪資變動(不計入)"",
  REGEXMATCH(C4525, ""押金""), ""押金往來"",
  AND(E4525&lt;&gt;"""", F4525=""""), ""真實支出"",
  AND(E4525="""", F4525&lt;&gt;""""), ""真實收入"",
  TRUE, ""其他""
)"),"真實收入")</f>
        <v>真實收入</v>
      </c>
      <c r="K4525" s="270">
        <f t="shared" si="2"/>
        <v>14000</v>
      </c>
      <c r="L4525">
        <f t="shared" si="3"/>
        <v>0</v>
      </c>
    </row>
    <row r="4526">
      <c r="A4526" s="107">
        <f>IFERROR(__xludf.DUMMYFUNCTION("""COMPUTED_VALUE"""),45810.0)</f>
        <v>45810</v>
      </c>
      <c r="B4526" t="str">
        <f>IFERROR(__xludf.DUMMYFUNCTION("""COMPUTED_VALUE"""),"[士林和豐] A [許瑜芳, 黃俞安] 月租金 (行號: 11)")</f>
        <v>[士林和豐] A [許瑜芳, 黃俞安] 月租金 (行號: 11)</v>
      </c>
      <c r="C4526" t="str">
        <f>IFERROR(__xludf.DUMMYFUNCTION("""COMPUTED_VALUE"""),"收入 - 租金")</f>
        <v>收入 - 租金</v>
      </c>
      <c r="D4526" s="270">
        <f>IFERROR(__xludf.DUMMYFUNCTION("""COMPUTED_VALUE"""),19500.0)</f>
        <v>19500</v>
      </c>
      <c r="F4526" t="str">
        <f>IFERROR(__xludf.DUMMYFUNCTION("""COMPUTED_VALUE"""),"玉山帳戶")</f>
        <v>玉山帳戶</v>
      </c>
      <c r="G4526" t="str">
        <f>IFERROR(__xludf.DUMMYFUNCTION("""COMPUTED_VALUE"""),"士林和豐")</f>
        <v>士林和豐</v>
      </c>
      <c r="H4526" s="106" t="str">
        <f t="shared" si="1"/>
        <v>2025-06</v>
      </c>
      <c r="I4526" s="271" t="str">
        <f>IFERROR(__xludf.DUMMYFUNCTION("""COMPUTED_VALUE"""),"鯰魚大大")</f>
        <v>鯰魚大大</v>
      </c>
      <c r="J4526" t="str">
        <f>IFERROR(__xludf.DUMMYFUNCTION("IFS(
  AND(REGEXMATCH(E4526, ""台銀籌備帳戶|玉山帳戶""), REGEXMATCH(C4526, ""薪資"")), ""分潤支出"",
  AND(REGEXMATCH(E4526, ""Ben帳戶|Elsa帳戶|Ben代墊|Ariel代墊|中信銀行共用""), REGEXMATCH(F4526, ""Ben帳戶|Elsa帳戶|Ben代墊|Ariel代墊|中信銀行共用"")), ""內部轉帳(忽略)"",
  AND(E4526&lt;&gt;"""", F4526&lt;&gt;"""", N"&amp;"OT(REGEXMATCH(C4526, ""薪資""))), ""內部轉帳(忽略)"",
  REGEXMATCH(C4526, ""薪資""), ""薪資變動(不計入)"",
  REGEXMATCH(C4526, ""押金""), ""押金往來"",
  AND(E4526&lt;&gt;"""", F4526=""""), ""真實支出"",
  AND(E4526="""", F4526&lt;&gt;""""), ""真實收入"",
  TRUE, ""其他""
)"),"真實收入")</f>
        <v>真實收入</v>
      </c>
      <c r="K4526" s="270">
        <f t="shared" si="2"/>
        <v>19500</v>
      </c>
      <c r="L4526">
        <f t="shared" si="3"/>
        <v>0</v>
      </c>
    </row>
    <row r="4527">
      <c r="A4527" s="107">
        <f>IFERROR(__xludf.DUMMYFUNCTION("""COMPUTED_VALUE"""),45810.0)</f>
        <v>45810</v>
      </c>
      <c r="B4527" t="str">
        <f>IFERROR(__xludf.DUMMYFUNCTION("""COMPUTED_VALUE"""),"[內湖秘境] G [徐若洹] 月租金 (行號: 12)")</f>
        <v>[內湖秘境] G [徐若洹] 月租金 (行號: 12)</v>
      </c>
      <c r="C4527" t="str">
        <f>IFERROR(__xludf.DUMMYFUNCTION("""COMPUTED_VALUE"""),"收入 - 租金")</f>
        <v>收入 - 租金</v>
      </c>
      <c r="D4527" s="270">
        <f>IFERROR(__xludf.DUMMYFUNCTION("""COMPUTED_VALUE"""),12100.0)</f>
        <v>12100</v>
      </c>
      <c r="F4527" t="str">
        <f>IFERROR(__xludf.DUMMYFUNCTION("""COMPUTED_VALUE"""),"玉山帳戶")</f>
        <v>玉山帳戶</v>
      </c>
      <c r="G4527" t="str">
        <f>IFERROR(__xludf.DUMMYFUNCTION("""COMPUTED_VALUE"""),"內湖秘境")</f>
        <v>內湖秘境</v>
      </c>
      <c r="H4527" s="106" t="str">
        <f t="shared" si="1"/>
        <v>2025-06</v>
      </c>
      <c r="I4527" s="271" t="str">
        <f>IFERROR(__xludf.DUMMYFUNCTION("""COMPUTED_VALUE"""),"鯰魚大大")</f>
        <v>鯰魚大大</v>
      </c>
      <c r="J4527" t="str">
        <f>IFERROR(__xludf.DUMMYFUNCTION("IFS(
  AND(REGEXMATCH(E4527, ""台銀籌備帳戶|玉山帳戶""), REGEXMATCH(C4527, ""薪資"")), ""分潤支出"",
  AND(REGEXMATCH(E4527, ""Ben帳戶|Elsa帳戶|Ben代墊|Ariel代墊|中信銀行共用""), REGEXMATCH(F4527, ""Ben帳戶|Elsa帳戶|Ben代墊|Ariel代墊|中信銀行共用"")), ""內部轉帳(忽略)"",
  AND(E4527&lt;&gt;"""", F4527&lt;&gt;"""", N"&amp;"OT(REGEXMATCH(C4527, ""薪資""))), ""內部轉帳(忽略)"",
  REGEXMATCH(C4527, ""薪資""), ""薪資變動(不計入)"",
  REGEXMATCH(C4527, ""押金""), ""押金往來"",
  AND(E4527&lt;&gt;"""", F4527=""""), ""真實支出"",
  AND(E4527="""", F4527&lt;&gt;""""), ""真實收入"",
  TRUE, ""其他""
)"),"真實收入")</f>
        <v>真實收入</v>
      </c>
      <c r="K4527" s="270">
        <f t="shared" si="2"/>
        <v>12100</v>
      </c>
      <c r="L4527">
        <f t="shared" si="3"/>
        <v>0</v>
      </c>
    </row>
    <row r="4528">
      <c r="A4528" s="107">
        <f>IFERROR(__xludf.DUMMYFUNCTION("""COMPUTED_VALUE"""),45810.0)</f>
        <v>45810</v>
      </c>
      <c r="B4528" t="str">
        <f>IFERROR(__xludf.DUMMYFUNCTION("""COMPUTED_VALUE"""),"[士林和豐] C [李宛宸] 月租金 (行號: 13)")</f>
        <v>[士林和豐] C [李宛宸] 月租金 (行號: 13)</v>
      </c>
      <c r="C4528" t="str">
        <f>IFERROR(__xludf.DUMMYFUNCTION("""COMPUTED_VALUE"""),"收入 - 租金")</f>
        <v>收入 - 租金</v>
      </c>
      <c r="D4528" s="270">
        <f>IFERROR(__xludf.DUMMYFUNCTION("""COMPUTED_VALUE"""),13100.0)</f>
        <v>13100</v>
      </c>
      <c r="F4528" t="str">
        <f>IFERROR(__xludf.DUMMYFUNCTION("""COMPUTED_VALUE"""),"玉山帳戶")</f>
        <v>玉山帳戶</v>
      </c>
      <c r="G4528" t="str">
        <f>IFERROR(__xludf.DUMMYFUNCTION("""COMPUTED_VALUE"""),"士林和豐")</f>
        <v>士林和豐</v>
      </c>
      <c r="H4528" s="106" t="str">
        <f t="shared" si="1"/>
        <v>2025-06</v>
      </c>
      <c r="I4528" s="271" t="str">
        <f>IFERROR(__xludf.DUMMYFUNCTION("""COMPUTED_VALUE"""),"鯰魚大大")</f>
        <v>鯰魚大大</v>
      </c>
      <c r="J4528" t="str">
        <f>IFERROR(__xludf.DUMMYFUNCTION("IFS(
  AND(REGEXMATCH(E4528, ""台銀籌備帳戶|玉山帳戶""), REGEXMATCH(C4528, ""薪資"")), ""分潤支出"",
  AND(REGEXMATCH(E4528, ""Ben帳戶|Elsa帳戶|Ben代墊|Ariel代墊|中信銀行共用""), REGEXMATCH(F4528, ""Ben帳戶|Elsa帳戶|Ben代墊|Ariel代墊|中信銀行共用"")), ""內部轉帳(忽略)"",
  AND(E4528&lt;&gt;"""", F4528&lt;&gt;"""", N"&amp;"OT(REGEXMATCH(C4528, ""薪資""))), ""內部轉帳(忽略)"",
  REGEXMATCH(C4528, ""薪資""), ""薪資變動(不計入)"",
  REGEXMATCH(C4528, ""押金""), ""押金往來"",
  AND(E4528&lt;&gt;"""", F4528=""""), ""真實支出"",
  AND(E4528="""", F4528&lt;&gt;""""), ""真實收入"",
  TRUE, ""其他""
)"),"真實收入")</f>
        <v>真實收入</v>
      </c>
      <c r="K4528" s="270">
        <f t="shared" si="2"/>
        <v>13100</v>
      </c>
      <c r="L4528">
        <f t="shared" si="3"/>
        <v>0</v>
      </c>
    </row>
    <row r="4529">
      <c r="A4529" s="107">
        <f>IFERROR(__xludf.DUMMYFUNCTION("""COMPUTED_VALUE"""),45810.0)</f>
        <v>45810</v>
      </c>
      <c r="B4529" t="str">
        <f>IFERROR(__xludf.DUMMYFUNCTION("""COMPUTED_VALUE"""),"[士林和豐] B [郭昱慧] 月租金 (行號: 14)")</f>
        <v>[士林和豐] B [郭昱慧] 月租金 (行號: 14)</v>
      </c>
      <c r="C4529" t="str">
        <f>IFERROR(__xludf.DUMMYFUNCTION("""COMPUTED_VALUE"""),"收入 - 租金")</f>
        <v>收入 - 租金</v>
      </c>
      <c r="D4529" s="270">
        <f>IFERROR(__xludf.DUMMYFUNCTION("""COMPUTED_VALUE"""),14100.0)</f>
        <v>14100</v>
      </c>
      <c r="F4529" t="str">
        <f>IFERROR(__xludf.DUMMYFUNCTION("""COMPUTED_VALUE"""),"玉山帳戶")</f>
        <v>玉山帳戶</v>
      </c>
      <c r="G4529" t="str">
        <f>IFERROR(__xludf.DUMMYFUNCTION("""COMPUTED_VALUE"""),"士林和豐")</f>
        <v>士林和豐</v>
      </c>
      <c r="H4529" s="106" t="str">
        <f t="shared" si="1"/>
        <v>2025-06</v>
      </c>
      <c r="I4529" s="271" t="str">
        <f>IFERROR(__xludf.DUMMYFUNCTION("""COMPUTED_VALUE"""),"鯰魚大大")</f>
        <v>鯰魚大大</v>
      </c>
      <c r="J4529" t="str">
        <f>IFERROR(__xludf.DUMMYFUNCTION("IFS(
  AND(REGEXMATCH(E4529, ""台銀籌備帳戶|玉山帳戶""), REGEXMATCH(C4529, ""薪資"")), ""分潤支出"",
  AND(REGEXMATCH(E4529, ""Ben帳戶|Elsa帳戶|Ben代墊|Ariel代墊|中信銀行共用""), REGEXMATCH(F4529, ""Ben帳戶|Elsa帳戶|Ben代墊|Ariel代墊|中信銀行共用"")), ""內部轉帳(忽略)"",
  AND(E4529&lt;&gt;"""", F4529&lt;&gt;"""", N"&amp;"OT(REGEXMATCH(C4529, ""薪資""))), ""內部轉帳(忽略)"",
  REGEXMATCH(C4529, ""薪資""), ""薪資變動(不計入)"",
  REGEXMATCH(C4529, ""押金""), ""押金往來"",
  AND(E4529&lt;&gt;"""", F4529=""""), ""真實支出"",
  AND(E4529="""", F4529&lt;&gt;""""), ""真實收入"",
  TRUE, ""其他""
)"),"真實收入")</f>
        <v>真實收入</v>
      </c>
      <c r="K4529" s="270">
        <f t="shared" si="2"/>
        <v>14100</v>
      </c>
      <c r="L4529">
        <f t="shared" si="3"/>
        <v>0</v>
      </c>
    </row>
    <row r="4530">
      <c r="A4530" s="107">
        <f>IFERROR(__xludf.DUMMYFUNCTION("""COMPUTED_VALUE"""),45810.0)</f>
        <v>45810</v>
      </c>
      <c r="B4530" t="str">
        <f>IFERROR(__xludf.DUMMYFUNCTION("""COMPUTED_VALUE"""),"[內湖秘境] C [黃詩穎] 月租金 (行號: 15)")</f>
        <v>[內湖秘境] C [黃詩穎] 月租金 (行號: 15)</v>
      </c>
      <c r="C4530" t="str">
        <f>IFERROR(__xludf.DUMMYFUNCTION("""COMPUTED_VALUE"""),"收入 - 租金")</f>
        <v>收入 - 租金</v>
      </c>
      <c r="D4530" s="270">
        <f>IFERROR(__xludf.DUMMYFUNCTION("""COMPUTED_VALUE"""),14800.0)</f>
        <v>14800</v>
      </c>
      <c r="F4530" t="str">
        <f>IFERROR(__xludf.DUMMYFUNCTION("""COMPUTED_VALUE"""),"玉山帳戶")</f>
        <v>玉山帳戶</v>
      </c>
      <c r="G4530" t="str">
        <f>IFERROR(__xludf.DUMMYFUNCTION("""COMPUTED_VALUE"""),"內湖秘境")</f>
        <v>內湖秘境</v>
      </c>
      <c r="H4530" s="106" t="str">
        <f t="shared" si="1"/>
        <v>2025-06</v>
      </c>
      <c r="I4530" s="271" t="str">
        <f>IFERROR(__xludf.DUMMYFUNCTION("""COMPUTED_VALUE"""),"鯰魚大大")</f>
        <v>鯰魚大大</v>
      </c>
      <c r="J4530" t="str">
        <f>IFERROR(__xludf.DUMMYFUNCTION("IFS(
  AND(REGEXMATCH(E4530, ""台銀籌備帳戶|玉山帳戶""), REGEXMATCH(C4530, ""薪資"")), ""分潤支出"",
  AND(REGEXMATCH(E4530, ""Ben帳戶|Elsa帳戶|Ben代墊|Ariel代墊|中信銀行共用""), REGEXMATCH(F4530, ""Ben帳戶|Elsa帳戶|Ben代墊|Ariel代墊|中信銀行共用"")), ""內部轉帳(忽略)"",
  AND(E4530&lt;&gt;"""", F4530&lt;&gt;"""", N"&amp;"OT(REGEXMATCH(C4530, ""薪資""))), ""內部轉帳(忽略)"",
  REGEXMATCH(C4530, ""薪資""), ""薪資變動(不計入)"",
  REGEXMATCH(C4530, ""押金""), ""押金往來"",
  AND(E4530&lt;&gt;"""", F4530=""""), ""真實支出"",
  AND(E4530="""", F4530&lt;&gt;""""), ""真實收入"",
  TRUE, ""其他""
)"),"真實收入")</f>
        <v>真實收入</v>
      </c>
      <c r="K4530" s="270">
        <f t="shared" si="2"/>
        <v>14800</v>
      </c>
      <c r="L4530">
        <f t="shared" si="3"/>
        <v>0</v>
      </c>
    </row>
    <row r="4531">
      <c r="A4531" s="107">
        <f>IFERROR(__xludf.DUMMYFUNCTION("""COMPUTED_VALUE"""),45810.0)</f>
        <v>45810</v>
      </c>
      <c r="B4531" t="str">
        <f>IFERROR(__xludf.DUMMYFUNCTION("""COMPUTED_VALUE"""),"[行天宮夏野良栗] D [江仲元] 月租金 (行號: 16)")</f>
        <v>[行天宮夏野良栗] D [江仲元] 月租金 (行號: 16)</v>
      </c>
      <c r="C4531" t="str">
        <f>IFERROR(__xludf.DUMMYFUNCTION("""COMPUTED_VALUE"""),"收入 - 租金")</f>
        <v>收入 - 租金</v>
      </c>
      <c r="D4531" s="270">
        <f>IFERROR(__xludf.DUMMYFUNCTION("""COMPUTED_VALUE"""),11200.0)</f>
        <v>11200</v>
      </c>
      <c r="F4531" t="str">
        <f>IFERROR(__xludf.DUMMYFUNCTION("""COMPUTED_VALUE"""),"玉山帳戶")</f>
        <v>玉山帳戶</v>
      </c>
      <c r="G4531" t="str">
        <f>IFERROR(__xludf.DUMMYFUNCTION("""COMPUTED_VALUE"""),"行天宮夏野良栗")</f>
        <v>行天宮夏野良栗</v>
      </c>
      <c r="H4531" s="106" t="str">
        <f t="shared" si="1"/>
        <v>2025-06</v>
      </c>
      <c r="I4531" s="271" t="str">
        <f>IFERROR(__xludf.DUMMYFUNCTION("""COMPUTED_VALUE"""),"鯰魚大大")</f>
        <v>鯰魚大大</v>
      </c>
      <c r="J4531" t="str">
        <f>IFERROR(__xludf.DUMMYFUNCTION("IFS(
  AND(REGEXMATCH(E4531, ""台銀籌備帳戶|玉山帳戶""), REGEXMATCH(C4531, ""薪資"")), ""分潤支出"",
  AND(REGEXMATCH(E4531, ""Ben帳戶|Elsa帳戶|Ben代墊|Ariel代墊|中信銀行共用""), REGEXMATCH(F4531, ""Ben帳戶|Elsa帳戶|Ben代墊|Ariel代墊|中信銀行共用"")), ""內部轉帳(忽略)"",
  AND(E4531&lt;&gt;"""", F4531&lt;&gt;"""", N"&amp;"OT(REGEXMATCH(C4531, ""薪資""))), ""內部轉帳(忽略)"",
  REGEXMATCH(C4531, ""薪資""), ""薪資變動(不計入)"",
  REGEXMATCH(C4531, ""押金""), ""押金往來"",
  AND(E4531&lt;&gt;"""", F4531=""""), ""真實支出"",
  AND(E4531="""", F4531&lt;&gt;""""), ""真實收入"",
  TRUE, ""其他""
)"),"真實收入")</f>
        <v>真實收入</v>
      </c>
      <c r="K4531" s="270">
        <f t="shared" si="2"/>
        <v>11200</v>
      </c>
      <c r="L4531">
        <f t="shared" si="3"/>
        <v>0</v>
      </c>
    </row>
    <row r="4532">
      <c r="A4532" s="107">
        <f>IFERROR(__xludf.DUMMYFUNCTION("""COMPUTED_VALUE"""),45810.0)</f>
        <v>45810</v>
      </c>
      <c r="B4532" t="str">
        <f>IFERROR(__xludf.DUMMYFUNCTION("""COMPUTED_VALUE"""),"[行天宮夏野良栗] A [鄒欣穎] 月租金 (行號: 17)")</f>
        <v>[行天宮夏野良栗] A [鄒欣穎] 月租金 (行號: 17)</v>
      </c>
      <c r="C4532" t="str">
        <f>IFERROR(__xludf.DUMMYFUNCTION("""COMPUTED_VALUE"""),"收入 - 租金")</f>
        <v>收入 - 租金</v>
      </c>
      <c r="D4532" s="270">
        <f>IFERROR(__xludf.DUMMYFUNCTION("""COMPUTED_VALUE"""),14200.0)</f>
        <v>14200</v>
      </c>
      <c r="F4532" t="str">
        <f>IFERROR(__xludf.DUMMYFUNCTION("""COMPUTED_VALUE"""),"玉山帳戶")</f>
        <v>玉山帳戶</v>
      </c>
      <c r="G4532" t="str">
        <f>IFERROR(__xludf.DUMMYFUNCTION("""COMPUTED_VALUE"""),"行天宮夏野良栗")</f>
        <v>行天宮夏野良栗</v>
      </c>
      <c r="H4532" s="106" t="str">
        <f t="shared" si="1"/>
        <v>2025-06</v>
      </c>
      <c r="I4532" s="271" t="str">
        <f>IFERROR(__xludf.DUMMYFUNCTION("""COMPUTED_VALUE"""),"鯰魚大大")</f>
        <v>鯰魚大大</v>
      </c>
      <c r="J4532" t="str">
        <f>IFERROR(__xludf.DUMMYFUNCTION("IFS(
  AND(REGEXMATCH(E4532, ""台銀籌備帳戶|玉山帳戶""), REGEXMATCH(C4532, ""薪資"")), ""分潤支出"",
  AND(REGEXMATCH(E4532, ""Ben帳戶|Elsa帳戶|Ben代墊|Ariel代墊|中信銀行共用""), REGEXMATCH(F4532, ""Ben帳戶|Elsa帳戶|Ben代墊|Ariel代墊|中信銀行共用"")), ""內部轉帳(忽略)"",
  AND(E4532&lt;&gt;"""", F4532&lt;&gt;"""", N"&amp;"OT(REGEXMATCH(C4532, ""薪資""))), ""內部轉帳(忽略)"",
  REGEXMATCH(C4532, ""薪資""), ""薪資變動(不計入)"",
  REGEXMATCH(C4532, ""押金""), ""押金往來"",
  AND(E4532&lt;&gt;"""", F4532=""""), ""真實支出"",
  AND(E4532="""", F4532&lt;&gt;""""), ""真實收入"",
  TRUE, ""其他""
)"),"真實收入")</f>
        <v>真實收入</v>
      </c>
      <c r="K4532" s="270">
        <f t="shared" si="2"/>
        <v>14200</v>
      </c>
      <c r="L4532">
        <f t="shared" si="3"/>
        <v>0</v>
      </c>
    </row>
    <row r="4533">
      <c r="A4533" s="107">
        <f>IFERROR(__xludf.DUMMYFUNCTION("""COMPUTED_VALUE"""),45810.0)</f>
        <v>45810</v>
      </c>
      <c r="B4533" t="str">
        <f>IFERROR(__xludf.DUMMYFUNCTION("""COMPUTED_VALUE"""),"[行天宮夏野良栗] E [張宏祺, 謝宗穎] 月租金 (行號: 18)")</f>
        <v>[行天宮夏野良栗] E [張宏祺, 謝宗穎] 月租金 (行號: 18)</v>
      </c>
      <c r="C4533" t="str">
        <f>IFERROR(__xludf.DUMMYFUNCTION("""COMPUTED_VALUE"""),"收入 - 租金")</f>
        <v>收入 - 租金</v>
      </c>
      <c r="D4533" s="270">
        <f>IFERROR(__xludf.DUMMYFUNCTION("""COMPUTED_VALUE"""),31800.0)</f>
        <v>31800</v>
      </c>
      <c r="F4533" t="str">
        <f>IFERROR(__xludf.DUMMYFUNCTION("""COMPUTED_VALUE"""),"玉山帳戶")</f>
        <v>玉山帳戶</v>
      </c>
      <c r="G4533" t="str">
        <f>IFERROR(__xludf.DUMMYFUNCTION("""COMPUTED_VALUE"""),"行天宮夏野良栗")</f>
        <v>行天宮夏野良栗</v>
      </c>
      <c r="H4533" s="106" t="str">
        <f t="shared" si="1"/>
        <v>2025-06</v>
      </c>
      <c r="I4533" s="271" t="str">
        <f>IFERROR(__xludf.DUMMYFUNCTION("""COMPUTED_VALUE"""),"鯰魚大大")</f>
        <v>鯰魚大大</v>
      </c>
      <c r="J4533" t="str">
        <f>IFERROR(__xludf.DUMMYFUNCTION("IFS(
  AND(REGEXMATCH(E4533, ""台銀籌備帳戶|玉山帳戶""), REGEXMATCH(C4533, ""薪資"")), ""分潤支出"",
  AND(REGEXMATCH(E4533, ""Ben帳戶|Elsa帳戶|Ben代墊|Ariel代墊|中信銀行共用""), REGEXMATCH(F4533, ""Ben帳戶|Elsa帳戶|Ben代墊|Ariel代墊|中信銀行共用"")), ""內部轉帳(忽略)"",
  AND(E4533&lt;&gt;"""", F4533&lt;&gt;"""", N"&amp;"OT(REGEXMATCH(C4533, ""薪資""))), ""內部轉帳(忽略)"",
  REGEXMATCH(C4533, ""薪資""), ""薪資變動(不計入)"",
  REGEXMATCH(C4533, ""押金""), ""押金往來"",
  AND(E4533&lt;&gt;"""", F4533=""""), ""真實支出"",
  AND(E4533="""", F4533&lt;&gt;""""), ""真實收入"",
  TRUE, ""其他""
)"),"真實收入")</f>
        <v>真實收入</v>
      </c>
      <c r="K4533" s="270">
        <f t="shared" si="2"/>
        <v>31800</v>
      </c>
      <c r="L4533">
        <f t="shared" si="3"/>
        <v>0</v>
      </c>
    </row>
    <row r="4534">
      <c r="A4534" s="107">
        <f>IFERROR(__xludf.DUMMYFUNCTION("""COMPUTED_VALUE"""),45810.0)</f>
        <v>45810</v>
      </c>
      <c r="B4534" t="str">
        <f>IFERROR(__xludf.DUMMYFUNCTION("""COMPUTED_VALUE"""),"[內湖秘境] B [劉桀綸] 月租金 (行號: 19)")</f>
        <v>[內湖秘境] B [劉桀綸] 月租金 (行號: 19)</v>
      </c>
      <c r="C4534" t="str">
        <f>IFERROR(__xludf.DUMMYFUNCTION("""COMPUTED_VALUE"""),"收入 - 租金")</f>
        <v>收入 - 租金</v>
      </c>
      <c r="D4534" s="270">
        <f>IFERROR(__xludf.DUMMYFUNCTION("""COMPUTED_VALUE"""),12300.0)</f>
        <v>12300</v>
      </c>
      <c r="F4534" t="str">
        <f>IFERROR(__xludf.DUMMYFUNCTION("""COMPUTED_VALUE"""),"玉山帳戶")</f>
        <v>玉山帳戶</v>
      </c>
      <c r="G4534" t="str">
        <f>IFERROR(__xludf.DUMMYFUNCTION("""COMPUTED_VALUE"""),"內湖秘境")</f>
        <v>內湖秘境</v>
      </c>
      <c r="H4534" s="106" t="str">
        <f t="shared" si="1"/>
        <v>2025-06</v>
      </c>
      <c r="I4534" s="271" t="str">
        <f>IFERROR(__xludf.DUMMYFUNCTION("""COMPUTED_VALUE"""),"鯰魚大大")</f>
        <v>鯰魚大大</v>
      </c>
      <c r="J4534" t="str">
        <f>IFERROR(__xludf.DUMMYFUNCTION("IFS(
  AND(REGEXMATCH(E4534, ""台銀籌備帳戶|玉山帳戶""), REGEXMATCH(C4534, ""薪資"")), ""分潤支出"",
  AND(REGEXMATCH(E4534, ""Ben帳戶|Elsa帳戶|Ben代墊|Ariel代墊|中信銀行共用""), REGEXMATCH(F4534, ""Ben帳戶|Elsa帳戶|Ben代墊|Ariel代墊|中信銀行共用"")), ""內部轉帳(忽略)"",
  AND(E4534&lt;&gt;"""", F4534&lt;&gt;"""", N"&amp;"OT(REGEXMATCH(C4534, ""薪資""))), ""內部轉帳(忽略)"",
  REGEXMATCH(C4534, ""薪資""), ""薪資變動(不計入)"",
  REGEXMATCH(C4534, ""押金""), ""押金往來"",
  AND(E4534&lt;&gt;"""", F4534=""""), ""真實支出"",
  AND(E4534="""", F4534&lt;&gt;""""), ""真實收入"",
  TRUE, ""其他""
)"),"真實收入")</f>
        <v>真實收入</v>
      </c>
      <c r="K4534" s="270">
        <f t="shared" si="2"/>
        <v>12300</v>
      </c>
      <c r="L4534">
        <f t="shared" si="3"/>
        <v>0</v>
      </c>
    </row>
    <row r="4535">
      <c r="A4535" s="107">
        <f>IFERROR(__xludf.DUMMYFUNCTION("""COMPUTED_VALUE"""),45810.0)</f>
        <v>45810</v>
      </c>
      <c r="B4535" t="str">
        <f>IFERROR(__xludf.DUMMYFUNCTION("""COMPUTED_VALUE"""),"[內湖秘境] F [楊芯岳] 月租金 (行號: 20)")</f>
        <v>[內湖秘境] F [楊芯岳] 月租金 (行號: 20)</v>
      </c>
      <c r="C4535" t="str">
        <f>IFERROR(__xludf.DUMMYFUNCTION("""COMPUTED_VALUE"""),"收入 - 租金")</f>
        <v>收入 - 租金</v>
      </c>
      <c r="D4535" s="270">
        <f>IFERROR(__xludf.DUMMYFUNCTION("""COMPUTED_VALUE"""),13500.0)</f>
        <v>13500</v>
      </c>
      <c r="F4535" t="str">
        <f>IFERROR(__xludf.DUMMYFUNCTION("""COMPUTED_VALUE"""),"玉山帳戶")</f>
        <v>玉山帳戶</v>
      </c>
      <c r="G4535" t="str">
        <f>IFERROR(__xludf.DUMMYFUNCTION("""COMPUTED_VALUE"""),"內湖秘境")</f>
        <v>內湖秘境</v>
      </c>
      <c r="H4535" s="106" t="str">
        <f t="shared" si="1"/>
        <v>2025-06</v>
      </c>
      <c r="I4535" s="271" t="str">
        <f>IFERROR(__xludf.DUMMYFUNCTION("""COMPUTED_VALUE"""),"鯰魚大大")</f>
        <v>鯰魚大大</v>
      </c>
      <c r="J4535" t="str">
        <f>IFERROR(__xludf.DUMMYFUNCTION("IFS(
  AND(REGEXMATCH(E4535, ""台銀籌備帳戶|玉山帳戶""), REGEXMATCH(C4535, ""薪資"")), ""分潤支出"",
  AND(REGEXMATCH(E4535, ""Ben帳戶|Elsa帳戶|Ben代墊|Ariel代墊|中信銀行共用""), REGEXMATCH(F4535, ""Ben帳戶|Elsa帳戶|Ben代墊|Ariel代墊|中信銀行共用"")), ""內部轉帳(忽略)"",
  AND(E4535&lt;&gt;"""", F4535&lt;&gt;"""", N"&amp;"OT(REGEXMATCH(C4535, ""薪資""))), ""內部轉帳(忽略)"",
  REGEXMATCH(C4535, ""薪資""), ""薪資變動(不計入)"",
  REGEXMATCH(C4535, ""押金""), ""押金往來"",
  AND(E4535&lt;&gt;"""", F4535=""""), ""真實支出"",
  AND(E4535="""", F4535&lt;&gt;""""), ""真實收入"",
  TRUE, ""其他""
)"),"真實收入")</f>
        <v>真實收入</v>
      </c>
      <c r="K4535" s="270">
        <f t="shared" si="2"/>
        <v>13500</v>
      </c>
      <c r="L4535">
        <f t="shared" si="3"/>
        <v>0</v>
      </c>
    </row>
    <row r="4536">
      <c r="A4536" s="107">
        <f>IFERROR(__xludf.DUMMYFUNCTION("""COMPUTED_VALUE"""),45810.0)</f>
        <v>45810</v>
      </c>
      <c r="B4536" t="str">
        <f>IFERROR(__xludf.DUMMYFUNCTION("""COMPUTED_VALUE"""),"[內湖秘境] E [林芷妤] 月租金 (行號: 21)")</f>
        <v>[內湖秘境] E [林芷妤] 月租金 (行號: 21)</v>
      </c>
      <c r="C4536" t="str">
        <f>IFERROR(__xludf.DUMMYFUNCTION("""COMPUTED_VALUE"""),"收入 - 租金")</f>
        <v>收入 - 租金</v>
      </c>
      <c r="D4536" s="270">
        <f>IFERROR(__xludf.DUMMYFUNCTION("""COMPUTED_VALUE"""),13600.0)</f>
        <v>13600</v>
      </c>
      <c r="F4536" t="str">
        <f>IFERROR(__xludf.DUMMYFUNCTION("""COMPUTED_VALUE"""),"玉山帳戶")</f>
        <v>玉山帳戶</v>
      </c>
      <c r="G4536" t="str">
        <f>IFERROR(__xludf.DUMMYFUNCTION("""COMPUTED_VALUE"""),"內湖秘境")</f>
        <v>內湖秘境</v>
      </c>
      <c r="H4536" s="106" t="str">
        <f t="shared" si="1"/>
        <v>2025-06</v>
      </c>
      <c r="I4536" s="271" t="str">
        <f>IFERROR(__xludf.DUMMYFUNCTION("""COMPUTED_VALUE"""),"鯰魚大大")</f>
        <v>鯰魚大大</v>
      </c>
      <c r="J4536" t="str">
        <f>IFERROR(__xludf.DUMMYFUNCTION("IFS(
  AND(REGEXMATCH(E4536, ""台銀籌備帳戶|玉山帳戶""), REGEXMATCH(C4536, ""薪資"")), ""分潤支出"",
  AND(REGEXMATCH(E4536, ""Ben帳戶|Elsa帳戶|Ben代墊|Ariel代墊|中信銀行共用""), REGEXMATCH(F4536, ""Ben帳戶|Elsa帳戶|Ben代墊|Ariel代墊|中信銀行共用"")), ""內部轉帳(忽略)"",
  AND(E4536&lt;&gt;"""", F4536&lt;&gt;"""", N"&amp;"OT(REGEXMATCH(C4536, ""薪資""))), ""內部轉帳(忽略)"",
  REGEXMATCH(C4536, ""薪資""), ""薪資變動(不計入)"",
  REGEXMATCH(C4536, ""押金""), ""押金往來"",
  AND(E4536&lt;&gt;"""", F4536=""""), ""真實支出"",
  AND(E4536="""", F4536&lt;&gt;""""), ""真實收入"",
  TRUE, ""其他""
)"),"真實收入")</f>
        <v>真實收入</v>
      </c>
      <c r="K4536" s="270">
        <f t="shared" si="2"/>
        <v>13600</v>
      </c>
      <c r="L4536">
        <f t="shared" si="3"/>
        <v>0</v>
      </c>
    </row>
    <row r="4537">
      <c r="A4537" s="107">
        <f>IFERROR(__xludf.DUMMYFUNCTION("""COMPUTED_VALUE"""),45810.0)</f>
        <v>45810</v>
      </c>
      <c r="B4537" t="str">
        <f>IFERROR(__xludf.DUMMYFUNCTION("""COMPUTED_VALUE"""),"[內湖秘境] A [陳玟涵] 月租金 (行號: 22)")</f>
        <v>[內湖秘境] A [陳玟涵] 月租金 (行號: 22)</v>
      </c>
      <c r="C4537" t="str">
        <f>IFERROR(__xludf.DUMMYFUNCTION("""COMPUTED_VALUE"""),"收入 - 租金")</f>
        <v>收入 - 租金</v>
      </c>
      <c r="D4537" s="270">
        <f>IFERROR(__xludf.DUMMYFUNCTION("""COMPUTED_VALUE"""),11700.0)</f>
        <v>11700</v>
      </c>
      <c r="F4537" t="str">
        <f>IFERROR(__xludf.DUMMYFUNCTION("""COMPUTED_VALUE"""),"玉山帳戶")</f>
        <v>玉山帳戶</v>
      </c>
      <c r="G4537" t="str">
        <f>IFERROR(__xludf.DUMMYFUNCTION("""COMPUTED_VALUE"""),"內湖秘境")</f>
        <v>內湖秘境</v>
      </c>
      <c r="H4537" s="106" t="str">
        <f t="shared" si="1"/>
        <v>2025-06</v>
      </c>
      <c r="I4537" s="271" t="str">
        <f>IFERROR(__xludf.DUMMYFUNCTION("""COMPUTED_VALUE"""),"鯰魚大大")</f>
        <v>鯰魚大大</v>
      </c>
      <c r="J4537" t="str">
        <f>IFERROR(__xludf.DUMMYFUNCTION("IFS(
  AND(REGEXMATCH(E4537, ""台銀籌備帳戶|玉山帳戶""), REGEXMATCH(C4537, ""薪資"")), ""分潤支出"",
  AND(REGEXMATCH(E4537, ""Ben帳戶|Elsa帳戶|Ben代墊|Ariel代墊|中信銀行共用""), REGEXMATCH(F4537, ""Ben帳戶|Elsa帳戶|Ben代墊|Ariel代墊|中信銀行共用"")), ""內部轉帳(忽略)"",
  AND(E4537&lt;&gt;"""", F4537&lt;&gt;"""", N"&amp;"OT(REGEXMATCH(C4537, ""薪資""))), ""內部轉帳(忽略)"",
  REGEXMATCH(C4537, ""薪資""), ""薪資變動(不計入)"",
  REGEXMATCH(C4537, ""押金""), ""押金往來"",
  AND(E4537&lt;&gt;"""", F4537=""""), ""真實支出"",
  AND(E4537="""", F4537&lt;&gt;""""), ""真實收入"",
  TRUE, ""其他""
)"),"真實收入")</f>
        <v>真實收入</v>
      </c>
      <c r="K4537" s="270">
        <f t="shared" si="2"/>
        <v>11700</v>
      </c>
      <c r="L4537">
        <f t="shared" si="3"/>
        <v>0</v>
      </c>
    </row>
    <row r="4538">
      <c r="A4538" s="107">
        <f>IFERROR(__xludf.DUMMYFUNCTION("""COMPUTED_VALUE"""),45810.0)</f>
        <v>45810</v>
      </c>
      <c r="B4538" t="str">
        <f>IFERROR(__xludf.DUMMYFUNCTION("""COMPUTED_VALUE"""),"費用 - 匯費 對方行:822 後五碼:30547 (行號: 4)")</f>
        <v>費用 - 匯費 對方行:822 後五碼:30547 (行號: 4)</v>
      </c>
      <c r="C4538" t="str">
        <f>IFERROR(__xludf.DUMMYFUNCTION("""COMPUTED_VALUE"""),"費用 - 匯費")</f>
        <v>費用 - 匯費</v>
      </c>
      <c r="D4538" s="270">
        <f>IFERROR(__xludf.DUMMYFUNCTION("""COMPUTED_VALUE"""),-15.0)</f>
        <v>-15</v>
      </c>
      <c r="E4538" t="str">
        <f>IFERROR(__xludf.DUMMYFUNCTION("""COMPUTED_VALUE"""),"玉山帳戶")</f>
        <v>玉山帳戶</v>
      </c>
      <c r="H4538" s="106" t="str">
        <f t="shared" si="1"/>
        <v>2025-06</v>
      </c>
      <c r="I4538" s="271" t="str">
        <f>IFERROR(__xludf.DUMMYFUNCTION("""COMPUTED_VALUE"""),"鯰魚大大")</f>
        <v>鯰魚大大</v>
      </c>
      <c r="J4538" t="str">
        <f>IFERROR(__xludf.DUMMYFUNCTION("IFS(
  AND(REGEXMATCH(E4538, ""台銀籌備帳戶|玉山帳戶""), REGEXMATCH(C4538, ""薪資"")), ""分潤支出"",
  AND(REGEXMATCH(E4538, ""Ben帳戶|Elsa帳戶|Ben代墊|Ariel代墊|中信銀行共用""), REGEXMATCH(F4538, ""Ben帳戶|Elsa帳戶|Ben代墊|Ariel代墊|中信銀行共用"")), ""內部轉帳(忽略)"",
  AND(E4538&lt;&gt;"""", F4538&lt;&gt;"""", N"&amp;"OT(REGEXMATCH(C4538, ""薪資""))), ""內部轉帳(忽略)"",
  REGEXMATCH(C4538, ""薪資""), ""薪資變動(不計入)"",
  REGEXMATCH(C4538, ""押金""), ""押金往來"",
  AND(E4538&lt;&gt;"""", F4538=""""), ""真實支出"",
  AND(E4538="""", F4538&lt;&gt;""""), ""真實收入"",
  TRUE, ""其他""
)"),"真實支出")</f>
        <v>真實支出</v>
      </c>
      <c r="K4538" s="270">
        <f t="shared" si="2"/>
        <v>-15</v>
      </c>
      <c r="L4538">
        <f t="shared" si="3"/>
        <v>0</v>
      </c>
    </row>
    <row r="4539">
      <c r="A4539" s="107">
        <f>IFERROR(__xludf.DUMMYFUNCTION("""COMPUTED_VALUE"""),45810.0)</f>
        <v>45810</v>
      </c>
      <c r="B4539" t="str">
        <f>IFERROR(__xludf.DUMMYFUNCTION("""COMPUTED_VALUE"""),"阿德火雞內湖油漆 【未分類支出】")</f>
        <v>阿德火雞內湖油漆 【未分類支出】</v>
      </c>
      <c r="C4539" t="str">
        <f>IFERROR(__xludf.DUMMYFUNCTION("""COMPUTED_VALUE"""),"成本 - 進場前裝潢費")</f>
        <v>成本 - 進場前裝潢費</v>
      </c>
      <c r="D4539" s="270">
        <f>IFERROR(__xludf.DUMMYFUNCTION("""COMPUTED_VALUE"""),-45408.0)</f>
        <v>-45408</v>
      </c>
      <c r="E4539" t="str">
        <f>IFERROR(__xludf.DUMMYFUNCTION("""COMPUTED_VALUE"""),"玉山帳戶")</f>
        <v>玉山帳戶</v>
      </c>
      <c r="G4539" t="str">
        <f>IFERROR(__xludf.DUMMYFUNCTION("""COMPUTED_VALUE"""),"內湖CityLink")</f>
        <v>內湖CityLink</v>
      </c>
      <c r="H4539" s="106" t="str">
        <f t="shared" si="1"/>
        <v>2025-06</v>
      </c>
      <c r="I4539" s="271" t="str">
        <f>IFERROR(__xludf.DUMMYFUNCTION("""COMPUTED_VALUE"""),"鯰魚大大")</f>
        <v>鯰魚大大</v>
      </c>
      <c r="J4539" t="str">
        <f>IFERROR(__xludf.DUMMYFUNCTION("IFS(
  AND(REGEXMATCH(E4539, ""台銀籌備帳戶|玉山帳戶""), REGEXMATCH(C4539, ""薪資"")), ""分潤支出"",
  AND(REGEXMATCH(E4539, ""Ben帳戶|Elsa帳戶|Ben代墊|Ariel代墊|中信銀行共用""), REGEXMATCH(F4539, ""Ben帳戶|Elsa帳戶|Ben代墊|Ariel代墊|中信銀行共用"")), ""內部轉帳(忽略)"",
  AND(E4539&lt;&gt;"""", F4539&lt;&gt;"""", N"&amp;"OT(REGEXMATCH(C4539, ""薪資""))), ""內部轉帳(忽略)"",
  REGEXMATCH(C4539, ""薪資""), ""薪資變動(不計入)"",
  REGEXMATCH(C4539, ""押金""), ""押金往來"",
  AND(E4539&lt;&gt;"""", F4539=""""), ""真實支出"",
  AND(E4539="""", F4539&lt;&gt;""""), ""真實收入"",
  TRUE, ""其他""
)"),"真實支出")</f>
        <v>真實支出</v>
      </c>
      <c r="K4539" s="270">
        <f t="shared" si="2"/>
        <v>-45408</v>
      </c>
      <c r="L4539">
        <f t="shared" si="3"/>
        <v>0</v>
      </c>
    </row>
    <row r="4540">
      <c r="A4540" s="107">
        <f>IFERROR(__xludf.DUMMYFUNCTION("""COMPUTED_VALUE"""),45810.0)</f>
        <v>45810</v>
      </c>
      <c r="B4540" t="str">
        <f>IFERROR(__xludf.DUMMYFUNCTION("""COMPUTED_VALUE"""),"費用 - 匯費 對方行:007 後五碼:02618 (行號: 6)")</f>
        <v>費用 - 匯費 對方行:007 後五碼:02618 (行號: 6)</v>
      </c>
      <c r="C4540" t="str">
        <f>IFERROR(__xludf.DUMMYFUNCTION("""COMPUTED_VALUE"""),"費用 - 匯費")</f>
        <v>費用 - 匯費</v>
      </c>
      <c r="D4540" s="270">
        <f>IFERROR(__xludf.DUMMYFUNCTION("""COMPUTED_VALUE"""),-15.0)</f>
        <v>-15</v>
      </c>
      <c r="E4540" t="str">
        <f>IFERROR(__xludf.DUMMYFUNCTION("""COMPUTED_VALUE"""),"玉山帳戶")</f>
        <v>玉山帳戶</v>
      </c>
      <c r="H4540" s="106" t="str">
        <f t="shared" si="1"/>
        <v>2025-06</v>
      </c>
      <c r="I4540" s="271" t="str">
        <f>IFERROR(__xludf.DUMMYFUNCTION("""COMPUTED_VALUE"""),"鯰魚大大")</f>
        <v>鯰魚大大</v>
      </c>
      <c r="J4540" t="str">
        <f>IFERROR(__xludf.DUMMYFUNCTION("IFS(
  AND(REGEXMATCH(E4540, ""台銀籌備帳戶|玉山帳戶""), REGEXMATCH(C4540, ""薪資"")), ""分潤支出"",
  AND(REGEXMATCH(E4540, ""Ben帳戶|Elsa帳戶|Ben代墊|Ariel代墊|中信銀行共用""), REGEXMATCH(F4540, ""Ben帳戶|Elsa帳戶|Ben代墊|Ariel代墊|中信銀行共用"")), ""內部轉帳(忽略)"",
  AND(E4540&lt;&gt;"""", F4540&lt;&gt;"""", N"&amp;"OT(REGEXMATCH(C4540, ""薪資""))), ""內部轉帳(忽略)"",
  REGEXMATCH(C4540, ""薪資""), ""薪資變動(不計入)"",
  REGEXMATCH(C4540, ""押金""), ""押金往來"",
  AND(E4540&lt;&gt;"""", F4540=""""), ""真實支出"",
  AND(E4540="""", F4540&lt;&gt;""""), ""真實收入"",
  TRUE, ""其他""
)"),"真實支出")</f>
        <v>真實支出</v>
      </c>
      <c r="K4540" s="270">
        <f t="shared" si="2"/>
        <v>-15</v>
      </c>
      <c r="L4540">
        <f t="shared" si="3"/>
        <v>0</v>
      </c>
    </row>
    <row r="4541">
      <c r="A4541" s="107">
        <f>IFERROR(__xludf.DUMMYFUNCTION("""COMPUTED_VALUE"""),45810.0)</f>
        <v>45810</v>
      </c>
      <c r="B4541" t="str">
        <f>IFERROR(__xludf.DUMMYFUNCTION("""COMPUTED_VALUE"""),"地板忠哥內湖 【未分類支出】")</f>
        <v>地板忠哥內湖 【未分類支出】</v>
      </c>
      <c r="C4541" t="str">
        <f>IFERROR(__xludf.DUMMYFUNCTION("""COMPUTED_VALUE"""),"成本 - 進場前裝潢費")</f>
        <v>成本 - 進場前裝潢費</v>
      </c>
      <c r="D4541" s="270">
        <f>IFERROR(__xludf.DUMMYFUNCTION("""COMPUTED_VALUE"""),-32634.0)</f>
        <v>-32634</v>
      </c>
      <c r="E4541" t="str">
        <f>IFERROR(__xludf.DUMMYFUNCTION("""COMPUTED_VALUE"""),"玉山帳戶")</f>
        <v>玉山帳戶</v>
      </c>
      <c r="G4541" t="str">
        <f>IFERROR(__xludf.DUMMYFUNCTION("""COMPUTED_VALUE"""),"內湖CityLink")</f>
        <v>內湖CityLink</v>
      </c>
      <c r="H4541" s="106" t="str">
        <f t="shared" si="1"/>
        <v>2025-06</v>
      </c>
      <c r="I4541" s="271" t="str">
        <f>IFERROR(__xludf.DUMMYFUNCTION("""COMPUTED_VALUE"""),"鯰魚大大")</f>
        <v>鯰魚大大</v>
      </c>
      <c r="J4541" t="str">
        <f>IFERROR(__xludf.DUMMYFUNCTION("IFS(
  AND(REGEXMATCH(E4541, ""台銀籌備帳戶|玉山帳戶""), REGEXMATCH(C4541, ""薪資"")), ""分潤支出"",
  AND(REGEXMATCH(E4541, ""Ben帳戶|Elsa帳戶|Ben代墊|Ariel代墊|中信銀行共用""), REGEXMATCH(F4541, ""Ben帳戶|Elsa帳戶|Ben代墊|Ariel代墊|中信銀行共用"")), ""內部轉帳(忽略)"",
  AND(E4541&lt;&gt;"""", F4541&lt;&gt;"""", N"&amp;"OT(REGEXMATCH(C4541, ""薪資""))), ""內部轉帳(忽略)"",
  REGEXMATCH(C4541, ""薪資""), ""薪資變動(不計入)"",
  REGEXMATCH(C4541, ""押金""), ""押金往來"",
  AND(E4541&lt;&gt;"""", F4541=""""), ""真實支出"",
  AND(E4541="""", F4541&lt;&gt;""""), ""真實收入"",
  TRUE, ""其他""
)"),"真實支出")</f>
        <v>真實支出</v>
      </c>
      <c r="K4541" s="270">
        <f t="shared" si="2"/>
        <v>-32634</v>
      </c>
      <c r="L4541">
        <f t="shared" si="3"/>
        <v>0</v>
      </c>
    </row>
    <row r="4542">
      <c r="A4542" s="107">
        <f>IFERROR(__xludf.DUMMYFUNCTION("""COMPUTED_VALUE"""),45810.0)</f>
        <v>45810</v>
      </c>
      <c r="B4542" t="str">
        <f>IFERROR(__xludf.DUMMYFUNCTION("""COMPUTED_VALUE"""),"費用 - 匯費 對方行:822 後五碼:61657 (行號: 7)")</f>
        <v>費用 - 匯費 對方行:822 後五碼:61657 (行號: 7)</v>
      </c>
      <c r="C4542" t="str">
        <f>IFERROR(__xludf.DUMMYFUNCTION("""COMPUTED_VALUE"""),"費用 - 匯費")</f>
        <v>費用 - 匯費</v>
      </c>
      <c r="D4542" s="270">
        <f>IFERROR(__xludf.DUMMYFUNCTION("""COMPUTED_VALUE"""),-15.0)</f>
        <v>-15</v>
      </c>
      <c r="E4542" t="str">
        <f>IFERROR(__xludf.DUMMYFUNCTION("""COMPUTED_VALUE"""),"玉山帳戶")</f>
        <v>玉山帳戶</v>
      </c>
      <c r="H4542" s="106" t="str">
        <f t="shared" si="1"/>
        <v>2025-06</v>
      </c>
      <c r="I4542" s="271" t="str">
        <f>IFERROR(__xludf.DUMMYFUNCTION("""COMPUTED_VALUE"""),"鯰魚大大")</f>
        <v>鯰魚大大</v>
      </c>
      <c r="J4542" t="str">
        <f>IFERROR(__xludf.DUMMYFUNCTION("IFS(
  AND(REGEXMATCH(E4542, ""台銀籌備帳戶|玉山帳戶""), REGEXMATCH(C4542, ""薪資"")), ""分潤支出"",
  AND(REGEXMATCH(E4542, ""Ben帳戶|Elsa帳戶|Ben代墊|Ariel代墊|中信銀行共用""), REGEXMATCH(F4542, ""Ben帳戶|Elsa帳戶|Ben代墊|Ariel代墊|中信銀行共用"")), ""內部轉帳(忽略)"",
  AND(E4542&lt;&gt;"""", F4542&lt;&gt;"""", N"&amp;"OT(REGEXMATCH(C4542, ""薪資""))), ""內部轉帳(忽略)"",
  REGEXMATCH(C4542, ""薪資""), ""薪資變動(不計入)"",
  REGEXMATCH(C4542, ""押金""), ""押金往來"",
  AND(E4542&lt;&gt;"""", F4542=""""), ""真實支出"",
  AND(E4542="""", F4542&lt;&gt;""""), ""真實收入"",
  TRUE, ""其他""
)"),"真實支出")</f>
        <v>真實支出</v>
      </c>
      <c r="K4542" s="270">
        <f t="shared" si="2"/>
        <v>-15</v>
      </c>
      <c r="L4542">
        <f t="shared" si="3"/>
        <v>0</v>
      </c>
    </row>
    <row r="4543">
      <c r="A4543" s="107">
        <f>IFERROR(__xludf.DUMMYFUNCTION("""COMPUTED_VALUE"""),45810.0)</f>
        <v>45810</v>
      </c>
      <c r="B4543" t="str">
        <f>IFERROR(__xludf.DUMMYFUNCTION("""COMPUTED_VALUE"""),"劍潭套房修馬桶 【未分類支出】")</f>
        <v>劍潭套房修馬桶 【未分類支出】</v>
      </c>
      <c r="C4543" t="str">
        <f>IFERROR(__xludf.DUMMYFUNCTION("""COMPUTED_VALUE"""),"成本 - 租後修繕")</f>
        <v>成本 - 租後修繕</v>
      </c>
      <c r="D4543" s="270">
        <f>IFERROR(__xludf.DUMMYFUNCTION("""COMPUTED_VALUE"""),-545.0)</f>
        <v>-545</v>
      </c>
      <c r="E4543" t="str">
        <f>IFERROR(__xludf.DUMMYFUNCTION("""COMPUTED_VALUE"""),"玉山帳戶")</f>
        <v>玉山帳戶</v>
      </c>
      <c r="G4543" t="str">
        <f>IFERROR(__xludf.DUMMYFUNCTION("""COMPUTED_VALUE"""),"士林和豐")</f>
        <v>士林和豐</v>
      </c>
      <c r="H4543" s="106" t="str">
        <f t="shared" si="1"/>
        <v>2025-06</v>
      </c>
      <c r="I4543" s="271" t="str">
        <f>IFERROR(__xludf.DUMMYFUNCTION("""COMPUTED_VALUE"""),"鯰魚大大")</f>
        <v>鯰魚大大</v>
      </c>
      <c r="J4543" t="str">
        <f>IFERROR(__xludf.DUMMYFUNCTION("IFS(
  AND(REGEXMATCH(E4543, ""台銀籌備帳戶|玉山帳戶""), REGEXMATCH(C4543, ""薪資"")), ""分潤支出"",
  AND(REGEXMATCH(E4543, ""Ben帳戶|Elsa帳戶|Ben代墊|Ariel代墊|中信銀行共用""), REGEXMATCH(F4543, ""Ben帳戶|Elsa帳戶|Ben代墊|Ariel代墊|中信銀行共用"")), ""內部轉帳(忽略)"",
  AND(E4543&lt;&gt;"""", F4543&lt;&gt;"""", N"&amp;"OT(REGEXMATCH(C4543, ""薪資""))), ""內部轉帳(忽略)"",
  REGEXMATCH(C4543, ""薪資""), ""薪資變動(不計入)"",
  REGEXMATCH(C4543, ""押金""), ""押金往來"",
  AND(E4543&lt;&gt;"""", F4543=""""), ""真實支出"",
  AND(E4543="""", F4543&lt;&gt;""""), ""真實收入"",
  TRUE, ""其他""
)"),"真實支出")</f>
        <v>真實支出</v>
      </c>
      <c r="K4543" s="270">
        <f t="shared" si="2"/>
        <v>-545</v>
      </c>
      <c r="L4543">
        <f t="shared" si="3"/>
        <v>0</v>
      </c>
    </row>
    <row r="4544">
      <c r="A4544" s="107">
        <f>IFERROR(__xludf.DUMMYFUNCTION("""COMPUTED_VALUE"""),45811.0)</f>
        <v>45811</v>
      </c>
      <c r="B4544" t="str">
        <f>IFERROR(__xludf.DUMMYFUNCTION("""COMPUTED_VALUE"""),"費用 - 匯費 對方行:810 後五碼:77212 (行號: 8)")</f>
        <v>費用 - 匯費 對方行:810 後五碼:77212 (行號: 8)</v>
      </c>
      <c r="C4544" t="str">
        <f>IFERROR(__xludf.DUMMYFUNCTION("""COMPUTED_VALUE"""),"費用 - 匯費")</f>
        <v>費用 - 匯費</v>
      </c>
      <c r="D4544" s="270">
        <f>IFERROR(__xludf.DUMMYFUNCTION("""COMPUTED_VALUE"""),-15.0)</f>
        <v>-15</v>
      </c>
      <c r="E4544" t="str">
        <f>IFERROR(__xludf.DUMMYFUNCTION("""COMPUTED_VALUE"""),"玉山帳戶")</f>
        <v>玉山帳戶</v>
      </c>
      <c r="H4544" s="106" t="str">
        <f t="shared" si="1"/>
        <v>2025-06</v>
      </c>
      <c r="I4544" s="271" t="str">
        <f>IFERROR(__xludf.DUMMYFUNCTION("""COMPUTED_VALUE"""),"鯰魚大大")</f>
        <v>鯰魚大大</v>
      </c>
      <c r="J4544" t="str">
        <f>IFERROR(__xludf.DUMMYFUNCTION("IFS(
  AND(REGEXMATCH(E4544, ""台銀籌備帳戶|玉山帳戶""), REGEXMATCH(C4544, ""薪資"")), ""分潤支出"",
  AND(REGEXMATCH(E4544, ""Ben帳戶|Elsa帳戶|Ben代墊|Ariel代墊|中信銀行共用""), REGEXMATCH(F4544, ""Ben帳戶|Elsa帳戶|Ben代墊|Ariel代墊|中信銀行共用"")), ""內部轉帳(忽略)"",
  AND(E4544&lt;&gt;"""", F4544&lt;&gt;"""", N"&amp;"OT(REGEXMATCH(C4544, ""薪資""))), ""內部轉帳(忽略)"",
  REGEXMATCH(C4544, ""薪資""), ""薪資變動(不計入)"",
  REGEXMATCH(C4544, ""押金""), ""押金往來"",
  AND(E4544&lt;&gt;"""", F4544=""""), ""真實支出"",
  AND(E4544="""", F4544&lt;&gt;""""), ""真實收入"",
  TRUE, ""其他""
)"),"真實支出")</f>
        <v>真實支出</v>
      </c>
      <c r="K4544" s="270">
        <f t="shared" si="2"/>
        <v>-15</v>
      </c>
      <c r="L4544">
        <f t="shared" si="3"/>
        <v>0</v>
      </c>
    </row>
    <row r="4545">
      <c r="A4545" s="107">
        <f>IFERROR(__xludf.DUMMYFUNCTION("""COMPUTED_VALUE"""),45811.0)</f>
        <v>45811</v>
      </c>
      <c r="B4545" t="str">
        <f>IFERROR(__xludf.DUMMYFUNCTION("""COMPUTED_VALUE"""),"[內湖秘境] [周佳慧] 大租金")</f>
        <v>[內湖秘境] [周佳慧] 大租金</v>
      </c>
      <c r="C4545" t="str">
        <f>IFERROR(__xludf.DUMMYFUNCTION("""COMPUTED_VALUE"""),"成本 - 大租金")</f>
        <v>成本 - 大租金</v>
      </c>
      <c r="D4545" s="270">
        <f>IFERROR(__xludf.DUMMYFUNCTION("""COMPUTED_VALUE"""),-15000.0)</f>
        <v>-15000</v>
      </c>
      <c r="E4545" t="str">
        <f>IFERROR(__xludf.DUMMYFUNCTION("""COMPUTED_VALUE"""),"玉山帳戶")</f>
        <v>玉山帳戶</v>
      </c>
      <c r="G4545" t="str">
        <f>IFERROR(__xludf.DUMMYFUNCTION("""COMPUTED_VALUE"""),"內湖秘境")</f>
        <v>內湖秘境</v>
      </c>
      <c r="H4545" s="106" t="str">
        <f t="shared" si="1"/>
        <v>2025-06</v>
      </c>
      <c r="I4545" s="271" t="str">
        <f>IFERROR(__xludf.DUMMYFUNCTION("""COMPUTED_VALUE"""),"鯰魚大大")</f>
        <v>鯰魚大大</v>
      </c>
      <c r="J4545" t="str">
        <f>IFERROR(__xludf.DUMMYFUNCTION("IFS(
  AND(REGEXMATCH(E4545, ""台銀籌備帳戶|玉山帳戶""), REGEXMATCH(C4545, ""薪資"")), ""分潤支出"",
  AND(REGEXMATCH(E4545, ""Ben帳戶|Elsa帳戶|Ben代墊|Ariel代墊|中信銀行共用""), REGEXMATCH(F4545, ""Ben帳戶|Elsa帳戶|Ben代墊|Ariel代墊|中信銀行共用"")), ""內部轉帳(忽略)"",
  AND(E4545&lt;&gt;"""", F4545&lt;&gt;"""", N"&amp;"OT(REGEXMATCH(C4545, ""薪資""))), ""內部轉帳(忽略)"",
  REGEXMATCH(C4545, ""薪資""), ""薪資變動(不計入)"",
  REGEXMATCH(C4545, ""押金""), ""押金往來"",
  AND(E4545&lt;&gt;"""", F4545=""""), ""真實支出"",
  AND(E4545="""", F4545&lt;&gt;""""), ""真實收入"",
  TRUE, ""其他""
)"),"真實支出")</f>
        <v>真實支出</v>
      </c>
      <c r="K4545" s="270">
        <f t="shared" si="2"/>
        <v>-15000</v>
      </c>
      <c r="L4545">
        <f t="shared" si="3"/>
        <v>0</v>
      </c>
    </row>
    <row r="4546">
      <c r="A4546" s="107">
        <f>IFERROR(__xludf.DUMMYFUNCTION("""COMPUTED_VALUE"""),45810.0)</f>
        <v>45810</v>
      </c>
      <c r="B4546" t="str">
        <f>IFERROR(__xludf.DUMMYFUNCTION("""COMPUTED_VALUE"""),"[行天宮夏野良栗] C [黃伊妍] 月租金 (行號: 2)")</f>
        <v>[行天宮夏野良栗] C [黃伊妍] 月租金 (行號: 2)</v>
      </c>
      <c r="C4546" t="str">
        <f>IFERROR(__xludf.DUMMYFUNCTION("""COMPUTED_VALUE"""),"收入 - 租金")</f>
        <v>收入 - 租金</v>
      </c>
      <c r="D4546" s="270">
        <f>IFERROR(__xludf.DUMMYFUNCTION("""COMPUTED_VALUE"""),11000.0)</f>
        <v>11000</v>
      </c>
      <c r="F4546" t="str">
        <f>IFERROR(__xludf.DUMMYFUNCTION("""COMPUTED_VALUE"""),"玉山帳戶")</f>
        <v>玉山帳戶</v>
      </c>
      <c r="G4546" t="str">
        <f>IFERROR(__xludf.DUMMYFUNCTION("""COMPUTED_VALUE"""),"行天宮夏野良栗")</f>
        <v>行天宮夏野良栗</v>
      </c>
      <c r="H4546" s="106" t="str">
        <f t="shared" si="1"/>
        <v>2025-06</v>
      </c>
      <c r="I4546" s="271" t="str">
        <f>IFERROR(__xludf.DUMMYFUNCTION("""COMPUTED_VALUE"""),"鯰魚大大")</f>
        <v>鯰魚大大</v>
      </c>
      <c r="J4546" t="str">
        <f>IFERROR(__xludf.DUMMYFUNCTION("IFS(
  AND(REGEXMATCH(E4546, ""台銀籌備帳戶|玉山帳戶""), REGEXMATCH(C4546, ""薪資"")), ""分潤支出"",
  AND(REGEXMATCH(E4546, ""Ben帳戶|Elsa帳戶|Ben代墊|Ariel代墊|中信銀行共用""), REGEXMATCH(F4546, ""Ben帳戶|Elsa帳戶|Ben代墊|Ariel代墊|中信銀行共用"")), ""內部轉帳(忽略)"",
  AND(E4546&lt;&gt;"""", F4546&lt;&gt;"""", N"&amp;"OT(REGEXMATCH(C4546, ""薪資""))), ""內部轉帳(忽略)"",
  REGEXMATCH(C4546, ""薪資""), ""薪資變動(不計入)"",
  REGEXMATCH(C4546, ""押金""), ""押金往來"",
  AND(E4546&lt;&gt;"""", F4546=""""), ""真實支出"",
  AND(E4546="""", F4546&lt;&gt;""""), ""真實收入"",
  TRUE, ""其他""
)"),"真實收入")</f>
        <v>真實收入</v>
      </c>
      <c r="K4546" s="270">
        <f t="shared" si="2"/>
        <v>11000</v>
      </c>
      <c r="L4546">
        <f t="shared" si="3"/>
        <v>0</v>
      </c>
    </row>
    <row r="4547">
      <c r="A4547" s="107">
        <f>IFERROR(__xludf.DUMMYFUNCTION("""COMPUTED_VALUE"""),45810.0)</f>
        <v>45810</v>
      </c>
      <c r="B4547" t="str">
        <f>IFERROR(__xludf.DUMMYFUNCTION("""COMPUTED_VALUE"""),"[士林和豐] D [小宜] 月租金 (行號: 13)")</f>
        <v>[士林和豐] D [小宜] 月租金 (行號: 13)</v>
      </c>
      <c r="C4547" t="str">
        <f>IFERROR(__xludf.DUMMYFUNCTION("""COMPUTED_VALUE"""),"收入 - 租金")</f>
        <v>收入 - 租金</v>
      </c>
      <c r="D4547" s="270">
        <f>IFERROR(__xludf.DUMMYFUNCTION("""COMPUTED_VALUE"""),12500.0)</f>
        <v>12500</v>
      </c>
      <c r="F4547" t="str">
        <f>IFERROR(__xludf.DUMMYFUNCTION("""COMPUTED_VALUE"""),"玉山帳戶")</f>
        <v>玉山帳戶</v>
      </c>
      <c r="G4547" t="str">
        <f>IFERROR(__xludf.DUMMYFUNCTION("""COMPUTED_VALUE"""),"士林和豐")</f>
        <v>士林和豐</v>
      </c>
      <c r="H4547" s="106" t="str">
        <f t="shared" si="1"/>
        <v>2025-06</v>
      </c>
      <c r="I4547" s="271" t="str">
        <f>IFERROR(__xludf.DUMMYFUNCTION("""COMPUTED_VALUE"""),"鯰魚大大")</f>
        <v>鯰魚大大</v>
      </c>
      <c r="J4547" t="str">
        <f>IFERROR(__xludf.DUMMYFUNCTION("IFS(
  AND(REGEXMATCH(E4547, ""台銀籌備帳戶|玉山帳戶""), REGEXMATCH(C4547, ""薪資"")), ""分潤支出"",
  AND(REGEXMATCH(E4547, ""Ben帳戶|Elsa帳戶|Ben代墊|Ariel代墊|中信銀行共用""), REGEXMATCH(F4547, ""Ben帳戶|Elsa帳戶|Ben代墊|Ariel代墊|中信銀行共用"")), ""內部轉帳(忽略)"",
  AND(E4547&lt;&gt;"""", F4547&lt;&gt;"""", N"&amp;"OT(REGEXMATCH(C4547, ""薪資""))), ""內部轉帳(忽略)"",
  REGEXMATCH(C4547, ""薪資""), ""薪資變動(不計入)"",
  REGEXMATCH(C4547, ""押金""), ""押金往來"",
  AND(E4547&lt;&gt;"""", F4547=""""), ""真實支出"",
  AND(E4547="""", F4547&lt;&gt;""""), ""真實收入"",
  TRUE, ""其他""
)"),"真實收入")</f>
        <v>真實收入</v>
      </c>
      <c r="K4547" s="270">
        <f t="shared" si="2"/>
        <v>12500</v>
      </c>
      <c r="L4547">
        <f t="shared" si="3"/>
        <v>0</v>
      </c>
    </row>
    <row r="4548">
      <c r="A4548" s="107">
        <f>IFERROR(__xludf.DUMMYFUNCTION("""COMPUTED_VALUE"""),45810.0)</f>
        <v>45810</v>
      </c>
      <c r="B4548" t="str">
        <f>IFERROR(__xludf.DUMMYFUNCTION("""COMPUTED_VALUE"""),"臺銀 【不明收入 (行號: 3)】")</f>
        <v>臺銀 【不明收入 (行號: 3)】</v>
      </c>
      <c r="C4548" t="str">
        <f>IFERROR(__xludf.DUMMYFUNCTION("""COMPUTED_VALUE"""),"收入 - 其他")</f>
        <v>收入 - 其他</v>
      </c>
      <c r="D4548" s="270">
        <f>IFERROR(__xludf.DUMMYFUNCTION("""COMPUTED_VALUE"""),1531.0)</f>
        <v>1531</v>
      </c>
      <c r="F4548" t="str">
        <f>IFERROR(__xludf.DUMMYFUNCTION("""COMPUTED_VALUE"""),"玉山帳戶")</f>
        <v>玉山帳戶</v>
      </c>
      <c r="H4548" s="106" t="str">
        <f t="shared" si="1"/>
        <v>2025-06</v>
      </c>
      <c r="I4548" s="271" t="str">
        <f>IFERROR(__xludf.DUMMYFUNCTION("""COMPUTED_VALUE"""),"鯰魚大大")</f>
        <v>鯰魚大大</v>
      </c>
      <c r="J4548" t="str">
        <f>IFERROR(__xludf.DUMMYFUNCTION("IFS(
  AND(REGEXMATCH(E4548, ""台銀籌備帳戶|玉山帳戶""), REGEXMATCH(C4548, ""薪資"")), ""分潤支出"",
  AND(REGEXMATCH(E4548, ""Ben帳戶|Elsa帳戶|Ben代墊|Ariel代墊|中信銀行共用""), REGEXMATCH(F4548, ""Ben帳戶|Elsa帳戶|Ben代墊|Ariel代墊|中信銀行共用"")), ""內部轉帳(忽略)"",
  AND(E4548&lt;&gt;"""", F4548&lt;&gt;"""", N"&amp;"OT(REGEXMATCH(C4548, ""薪資""))), ""內部轉帳(忽略)"",
  REGEXMATCH(C4548, ""薪資""), ""薪資變動(不計入)"",
  REGEXMATCH(C4548, ""押金""), ""押金往來"",
  AND(E4548&lt;&gt;"""", F4548=""""), ""真實支出"",
  AND(E4548="""", F4548&lt;&gt;""""), ""真實收入"",
  TRUE, ""其他""
)"),"真實收入")</f>
        <v>真實收入</v>
      </c>
      <c r="K4548" s="270">
        <f t="shared" si="2"/>
        <v>1531</v>
      </c>
      <c r="L4548">
        <f t="shared" si="3"/>
        <v>0</v>
      </c>
    </row>
    <row r="4549">
      <c r="A4549" s="107">
        <f>IFERROR(__xludf.DUMMYFUNCTION("""COMPUTED_VALUE"""),45817.0)</f>
        <v>45817</v>
      </c>
      <c r="B4549" t="str">
        <f>IFERROR(__xludf.DUMMYFUNCTION("""COMPUTED_VALUE"""),"小玉搬運")</f>
        <v>小玉搬運</v>
      </c>
      <c r="C4549" t="str">
        <f>IFERROR(__xludf.DUMMYFUNCTION("""COMPUTED_VALUE"""),"成本 - 進場前裝潢費")</f>
        <v>成本 - 進場前裝潢費</v>
      </c>
      <c r="D4549" s="270">
        <f>IFERROR(__xludf.DUMMYFUNCTION("""COMPUTED_VALUE"""),-1050.0)</f>
        <v>-1050</v>
      </c>
      <c r="E4549" t="str">
        <f>IFERROR(__xludf.DUMMYFUNCTION("""COMPUTED_VALUE"""),"Ben代墊")</f>
        <v>Ben代墊</v>
      </c>
      <c r="G4549" t="str">
        <f>IFERROR(__xludf.DUMMYFUNCTION("""COMPUTED_VALUE"""),"內湖CityLink")</f>
        <v>內湖CityLink</v>
      </c>
      <c r="H4549" s="106" t="str">
        <f t="shared" si="1"/>
        <v>2025-06</v>
      </c>
      <c r="I4549" s="271" t="str">
        <f>IFERROR(__xludf.DUMMYFUNCTION("""COMPUTED_VALUE"""),"鯰魚大大")</f>
        <v>鯰魚大大</v>
      </c>
      <c r="J4549" t="str">
        <f>IFERROR(__xludf.DUMMYFUNCTION("IFS(
  AND(REGEXMATCH(E4549, ""台銀籌備帳戶|玉山帳戶""), REGEXMATCH(C4549, ""薪資"")), ""分潤支出"",
  AND(REGEXMATCH(E4549, ""Ben帳戶|Elsa帳戶|Ben代墊|Ariel代墊|中信銀行共用""), REGEXMATCH(F4549, ""Ben帳戶|Elsa帳戶|Ben代墊|Ariel代墊|中信銀行共用"")), ""內部轉帳(忽略)"",
  AND(E4549&lt;&gt;"""", F4549&lt;&gt;"""", N"&amp;"OT(REGEXMATCH(C4549, ""薪資""))), ""內部轉帳(忽略)"",
  REGEXMATCH(C4549, ""薪資""), ""薪資變動(不計入)"",
  REGEXMATCH(C4549, ""押金""), ""押金往來"",
  AND(E4549&lt;&gt;"""", F4549=""""), ""真實支出"",
  AND(E4549="""", F4549&lt;&gt;""""), ""真實收入"",
  TRUE, ""其他""
)"),"真實支出")</f>
        <v>真實支出</v>
      </c>
      <c r="K4549" s="270">
        <f t="shared" si="2"/>
        <v>-1050</v>
      </c>
      <c r="L4549">
        <f t="shared" si="3"/>
        <v>0</v>
      </c>
    </row>
    <row r="4550">
      <c r="A4550" s="107">
        <f>IFERROR(__xludf.DUMMYFUNCTION("""COMPUTED_VALUE"""),45821.0)</f>
        <v>45821</v>
      </c>
      <c r="B4550" t="str">
        <f>IFERROR(__xludf.DUMMYFUNCTION("""COMPUTED_VALUE"""),"垃可")</f>
        <v>垃可</v>
      </c>
      <c r="C4550" t="str">
        <f>IFERROR(__xludf.DUMMYFUNCTION("""COMPUTED_VALUE"""),"成本 - 固定開銷(網路代收清潔)")</f>
        <v>成本 - 固定開銷(網路代收清潔)</v>
      </c>
      <c r="D4550" s="270">
        <f>IFERROR(__xludf.DUMMYFUNCTION("""COMPUTED_VALUE"""),-900.0)</f>
        <v>-900</v>
      </c>
      <c r="E4550" t="str">
        <f>IFERROR(__xludf.DUMMYFUNCTION("""COMPUTED_VALUE"""),"Ben代墊")</f>
        <v>Ben代墊</v>
      </c>
      <c r="H4550" s="106" t="str">
        <f t="shared" si="1"/>
        <v>2025-06</v>
      </c>
      <c r="I4550" s="271" t="str">
        <f>IFERROR(__xludf.DUMMYFUNCTION("""COMPUTED_VALUE"""),"鯰魚大大")</f>
        <v>鯰魚大大</v>
      </c>
      <c r="J4550" t="str">
        <f>IFERROR(__xludf.DUMMYFUNCTION("IFS(
  AND(REGEXMATCH(E4550, ""台銀籌備帳戶|玉山帳戶""), REGEXMATCH(C4550, ""薪資"")), ""分潤支出"",
  AND(REGEXMATCH(E4550, ""Ben帳戶|Elsa帳戶|Ben代墊|Ariel代墊|中信銀行共用""), REGEXMATCH(F4550, ""Ben帳戶|Elsa帳戶|Ben代墊|Ariel代墊|中信銀行共用"")), ""內部轉帳(忽略)"",
  AND(E4550&lt;&gt;"""", F4550&lt;&gt;"""", N"&amp;"OT(REGEXMATCH(C4550, ""薪資""))), ""內部轉帳(忽略)"",
  REGEXMATCH(C4550, ""薪資""), ""薪資變動(不計入)"",
  REGEXMATCH(C4550, ""押金""), ""押金往來"",
  AND(E4550&lt;&gt;"""", F4550=""""), ""真實支出"",
  AND(E4550="""", F4550&lt;&gt;""""), ""真實收入"",
  TRUE, ""其他""
)"),"真實支出")</f>
        <v>真實支出</v>
      </c>
      <c r="K4550" s="270">
        <f t="shared" si="2"/>
        <v>-900</v>
      </c>
      <c r="L4550">
        <f t="shared" si="3"/>
        <v>0</v>
      </c>
    </row>
    <row r="4551">
      <c r="A4551" s="107">
        <f>IFERROR(__xludf.DUMMYFUNCTION("""COMPUTED_VALUE"""),45822.0)</f>
        <v>45822</v>
      </c>
      <c r="B4551" t="str">
        <f>IFERROR(__xludf.DUMMYFUNCTION("""COMPUTED_VALUE"""),"[士林和豐] 591")</f>
        <v>[士林和豐] 591</v>
      </c>
      <c r="C4551" t="str">
        <f>IFERROR(__xludf.DUMMYFUNCTION("""COMPUTED_VALUE"""),"成本 - 仲介費")</f>
        <v>成本 - 仲介費</v>
      </c>
      <c r="D4551" s="270">
        <f>IFERROR(__xludf.DUMMYFUNCTION("""COMPUTED_VALUE"""),-1289.0)</f>
        <v>-1289</v>
      </c>
      <c r="E4551" t="str">
        <f>IFERROR(__xludf.DUMMYFUNCTION("""COMPUTED_VALUE"""),"Ben代墊")</f>
        <v>Ben代墊</v>
      </c>
      <c r="G4551" t="str">
        <f>IFERROR(__xludf.DUMMYFUNCTION("""COMPUTED_VALUE"""),"士林和豐")</f>
        <v>士林和豐</v>
      </c>
      <c r="H4551" s="106" t="str">
        <f t="shared" si="1"/>
        <v>2025-06</v>
      </c>
      <c r="I4551" s="271" t="str">
        <f>IFERROR(__xludf.DUMMYFUNCTION("""COMPUTED_VALUE"""),"鯰魚大大")</f>
        <v>鯰魚大大</v>
      </c>
      <c r="J4551" t="str">
        <f>IFERROR(__xludf.DUMMYFUNCTION("IFS(
  AND(REGEXMATCH(E4551, ""台銀籌備帳戶|玉山帳戶""), REGEXMATCH(C4551, ""薪資"")), ""分潤支出"",
  AND(REGEXMATCH(E4551, ""Ben帳戶|Elsa帳戶|Ben代墊|Ariel代墊|中信銀行共用""), REGEXMATCH(F4551, ""Ben帳戶|Elsa帳戶|Ben代墊|Ariel代墊|中信銀行共用"")), ""內部轉帳(忽略)"",
  AND(E4551&lt;&gt;"""", F4551&lt;&gt;"""", N"&amp;"OT(REGEXMATCH(C4551, ""薪資""))), ""內部轉帳(忽略)"",
  REGEXMATCH(C4551, ""薪資""), ""薪資變動(不計入)"",
  REGEXMATCH(C4551, ""押金""), ""押金往來"",
  AND(E4551&lt;&gt;"""", F4551=""""), ""真實支出"",
  AND(E4551="""", F4551&lt;&gt;""""), ""真實收入"",
  TRUE, ""其他""
)"),"真實支出")</f>
        <v>真實支出</v>
      </c>
      <c r="K4551" s="270">
        <f t="shared" si="2"/>
        <v>-1289</v>
      </c>
      <c r="L4551">
        <f t="shared" si="3"/>
        <v>0</v>
      </c>
    </row>
    <row r="4552">
      <c r="A4552" s="107">
        <f>IFERROR(__xludf.DUMMYFUNCTION("""COMPUTED_VALUE"""),45824.0)</f>
        <v>45824</v>
      </c>
      <c r="B4552" t="str">
        <f>IFERROR(__xludf.DUMMYFUNCTION("""COMPUTED_VALUE"""),"小玉搬運")</f>
        <v>小玉搬運</v>
      </c>
      <c r="C4552" t="str">
        <f>IFERROR(__xludf.DUMMYFUNCTION("""COMPUTED_VALUE"""),"成本 - 進場前裝潢費")</f>
        <v>成本 - 進場前裝潢費</v>
      </c>
      <c r="D4552" s="270">
        <f>IFERROR(__xludf.DUMMYFUNCTION("""COMPUTED_VALUE"""),-1575.0)</f>
        <v>-1575</v>
      </c>
      <c r="E4552" t="str">
        <f>IFERROR(__xludf.DUMMYFUNCTION("""COMPUTED_VALUE"""),"Ben代墊")</f>
        <v>Ben代墊</v>
      </c>
      <c r="G4552" t="str">
        <f>IFERROR(__xludf.DUMMYFUNCTION("""COMPUTED_VALUE"""),"內湖CityLink")</f>
        <v>內湖CityLink</v>
      </c>
      <c r="H4552" s="106" t="str">
        <f t="shared" si="1"/>
        <v>2025-06</v>
      </c>
      <c r="I4552" s="271" t="str">
        <f>IFERROR(__xludf.DUMMYFUNCTION("""COMPUTED_VALUE"""),"鯰魚大大")</f>
        <v>鯰魚大大</v>
      </c>
      <c r="J4552" t="str">
        <f>IFERROR(__xludf.DUMMYFUNCTION("IFS(
  AND(REGEXMATCH(E4552, ""台銀籌備帳戶|玉山帳戶""), REGEXMATCH(C4552, ""薪資"")), ""分潤支出"",
  AND(REGEXMATCH(E4552, ""Ben帳戶|Elsa帳戶|Ben代墊|Ariel代墊|中信銀行共用""), REGEXMATCH(F4552, ""Ben帳戶|Elsa帳戶|Ben代墊|Ariel代墊|中信銀行共用"")), ""內部轉帳(忽略)"",
  AND(E4552&lt;&gt;"""", F4552&lt;&gt;"""", N"&amp;"OT(REGEXMATCH(C4552, ""薪資""))), ""內部轉帳(忽略)"",
  REGEXMATCH(C4552, ""薪資""), ""薪資變動(不計入)"",
  REGEXMATCH(C4552, ""押金""), ""押金往來"",
  AND(E4552&lt;&gt;"""", F4552=""""), ""真實支出"",
  AND(E4552="""", F4552&lt;&gt;""""), ""真實收入"",
  TRUE, ""其他""
)"),"真實支出")</f>
        <v>真實支出</v>
      </c>
      <c r="K4552" s="270">
        <f t="shared" si="2"/>
        <v>-1575</v>
      </c>
      <c r="L4552">
        <f t="shared" si="3"/>
        <v>0</v>
      </c>
    </row>
    <row r="4553">
      <c r="A4553" s="107">
        <f>IFERROR(__xludf.DUMMYFUNCTION("""COMPUTED_VALUE"""),45817.0)</f>
        <v>45817</v>
      </c>
      <c r="B4553" t="str">
        <f>IFERROR(__xludf.DUMMYFUNCTION("""COMPUTED_VALUE"""),"費用 - 匯費 對方行:807 後五碼:32343 (行號: 2)")</f>
        <v>費用 - 匯費 對方行:807 後五碼:32343 (行號: 2)</v>
      </c>
      <c r="C4553" t="str">
        <f>IFERROR(__xludf.DUMMYFUNCTION("""COMPUTED_VALUE"""),"費用 - 匯費")</f>
        <v>費用 - 匯費</v>
      </c>
      <c r="D4553" s="270">
        <f>IFERROR(__xludf.DUMMYFUNCTION("""COMPUTED_VALUE"""),-15.0)</f>
        <v>-15</v>
      </c>
      <c r="E4553" t="str">
        <f>IFERROR(__xludf.DUMMYFUNCTION("""COMPUTED_VALUE"""),"玉山帳戶")</f>
        <v>玉山帳戶</v>
      </c>
      <c r="H4553" s="106" t="str">
        <f t="shared" si="1"/>
        <v>2025-06</v>
      </c>
      <c r="I4553" s="271" t="str">
        <f>IFERROR(__xludf.DUMMYFUNCTION("""COMPUTED_VALUE"""),"鯰魚大大")</f>
        <v>鯰魚大大</v>
      </c>
      <c r="J4553" t="str">
        <f>IFERROR(__xludf.DUMMYFUNCTION("IFS(
  AND(REGEXMATCH(E4553, ""台銀籌備帳戶|玉山帳戶""), REGEXMATCH(C4553, ""薪資"")), ""分潤支出"",
  AND(REGEXMATCH(E4553, ""Ben帳戶|Elsa帳戶|Ben代墊|Ariel代墊|中信銀行共用""), REGEXMATCH(F4553, ""Ben帳戶|Elsa帳戶|Ben代墊|Ariel代墊|中信銀行共用"")), ""內部轉帳(忽略)"",
  AND(E4553&lt;&gt;"""", F4553&lt;&gt;"""", N"&amp;"OT(REGEXMATCH(C4553, ""薪資""))), ""內部轉帳(忽略)"",
  REGEXMATCH(C4553, ""薪資""), ""薪資變動(不計入)"",
  REGEXMATCH(C4553, ""押金""), ""押金往來"",
  AND(E4553&lt;&gt;"""", F4553=""""), ""真實支出"",
  AND(E4553="""", F4553&lt;&gt;""""), ""真實收入"",
  TRUE, ""其他""
)"),"真實支出")</f>
        <v>真實支出</v>
      </c>
      <c r="K4553" s="270">
        <f t="shared" si="2"/>
        <v>-15</v>
      </c>
      <c r="L4553">
        <f t="shared" si="3"/>
        <v>0</v>
      </c>
    </row>
    <row r="4554">
      <c r="A4554" s="107">
        <f>IFERROR(__xludf.DUMMYFUNCTION("""COMPUTED_VALUE"""),45817.0)</f>
        <v>45817</v>
      </c>
      <c r="B4554" t="str">
        <f>IFERROR(__xludf.DUMMYFUNCTION("""COMPUTED_VALUE"""),"內湖CITY水龍頭高師傅 【未分類支出】")</f>
        <v>內湖CITY水龍頭高師傅 【未分類支出】</v>
      </c>
      <c r="C4554" t="str">
        <f>IFERROR(__xludf.DUMMYFUNCTION("""COMPUTED_VALUE"""),"成本 - 進場前裝潢費")</f>
        <v>成本 - 進場前裝潢費</v>
      </c>
      <c r="D4554" s="270">
        <f>IFERROR(__xludf.DUMMYFUNCTION("""COMPUTED_VALUE"""),-595.0)</f>
        <v>-595</v>
      </c>
      <c r="E4554" t="str">
        <f>IFERROR(__xludf.DUMMYFUNCTION("""COMPUTED_VALUE"""),"玉山帳戶")</f>
        <v>玉山帳戶</v>
      </c>
      <c r="G4554" t="str">
        <f>IFERROR(__xludf.DUMMYFUNCTION("""COMPUTED_VALUE"""),"內湖CityLink")</f>
        <v>內湖CityLink</v>
      </c>
      <c r="H4554" s="106" t="str">
        <f t="shared" si="1"/>
        <v>2025-06</v>
      </c>
      <c r="I4554" s="271" t="str">
        <f>IFERROR(__xludf.DUMMYFUNCTION("""COMPUTED_VALUE"""),"鯰魚大大")</f>
        <v>鯰魚大大</v>
      </c>
      <c r="J4554" t="str">
        <f>IFERROR(__xludf.DUMMYFUNCTION("IFS(
  AND(REGEXMATCH(E4554, ""台銀籌備帳戶|玉山帳戶""), REGEXMATCH(C4554, ""薪資"")), ""分潤支出"",
  AND(REGEXMATCH(E4554, ""Ben帳戶|Elsa帳戶|Ben代墊|Ariel代墊|中信銀行共用""), REGEXMATCH(F4554, ""Ben帳戶|Elsa帳戶|Ben代墊|Ariel代墊|中信銀行共用"")), ""內部轉帳(忽略)"",
  AND(E4554&lt;&gt;"""", F4554&lt;&gt;"""", N"&amp;"OT(REGEXMATCH(C4554, ""薪資""))), ""內部轉帳(忽略)"",
  REGEXMATCH(C4554, ""薪資""), ""薪資變動(不計入)"",
  REGEXMATCH(C4554, ""押金""), ""押金往來"",
  AND(E4554&lt;&gt;"""", F4554=""""), ""真實支出"",
  AND(E4554="""", F4554&lt;&gt;""""), ""真實收入"",
  TRUE, ""其他""
)"),"真實支出")</f>
        <v>真實支出</v>
      </c>
      <c r="K4554" s="270">
        <f t="shared" si="2"/>
        <v>-595</v>
      </c>
      <c r="L4554">
        <f t="shared" si="3"/>
        <v>0</v>
      </c>
    </row>
    <row r="4555">
      <c r="A4555" s="107">
        <f>IFERROR(__xludf.DUMMYFUNCTION("""COMPUTED_VALUE"""),45819.0)</f>
        <v>45819</v>
      </c>
      <c r="B4555" t="str">
        <f>IFERROR(__xludf.DUMMYFUNCTION("""COMPUTED_VALUE"""),"費用 - 匯費 對方行:007 後五碼:19658 (行號: 3)")</f>
        <v>費用 - 匯費 對方行:007 後五碼:19658 (行號: 3)</v>
      </c>
      <c r="C4555" t="str">
        <f>IFERROR(__xludf.DUMMYFUNCTION("""COMPUTED_VALUE"""),"費用 - 匯費")</f>
        <v>費用 - 匯費</v>
      </c>
      <c r="D4555" s="270">
        <f>IFERROR(__xludf.DUMMYFUNCTION("""COMPUTED_VALUE"""),-15.0)</f>
        <v>-15</v>
      </c>
      <c r="E4555" t="str">
        <f>IFERROR(__xludf.DUMMYFUNCTION("""COMPUTED_VALUE"""),"玉山帳戶")</f>
        <v>玉山帳戶</v>
      </c>
      <c r="H4555" s="106" t="str">
        <f t="shared" si="1"/>
        <v>2025-06</v>
      </c>
      <c r="I4555" s="271" t="str">
        <f>IFERROR(__xludf.DUMMYFUNCTION("""COMPUTED_VALUE"""),"鯰魚大大")</f>
        <v>鯰魚大大</v>
      </c>
      <c r="J4555" t="str">
        <f>IFERROR(__xludf.DUMMYFUNCTION("IFS(
  AND(REGEXMATCH(E4555, ""台銀籌備帳戶|玉山帳戶""), REGEXMATCH(C4555, ""薪資"")), ""分潤支出"",
  AND(REGEXMATCH(E4555, ""Ben帳戶|Elsa帳戶|Ben代墊|Ariel代墊|中信銀行共用""), REGEXMATCH(F4555, ""Ben帳戶|Elsa帳戶|Ben代墊|Ariel代墊|中信銀行共用"")), ""內部轉帳(忽略)"",
  AND(E4555&lt;&gt;"""", F4555&lt;&gt;"""", N"&amp;"OT(REGEXMATCH(C4555, ""薪資""))), ""內部轉帳(忽略)"",
  REGEXMATCH(C4555, ""薪資""), ""薪資變動(不計入)"",
  REGEXMATCH(C4555, ""押金""), ""押金往來"",
  AND(E4555&lt;&gt;"""", F4555=""""), ""真實支出"",
  AND(E4555="""", F4555&lt;&gt;""""), ""真實收入"",
  TRUE, ""其他""
)"),"真實支出")</f>
        <v>真實支出</v>
      </c>
      <c r="K4555" s="270">
        <f t="shared" si="2"/>
        <v>-15</v>
      </c>
      <c r="L4555">
        <f t="shared" si="3"/>
        <v>0</v>
      </c>
    </row>
    <row r="4556">
      <c r="A4556" s="107">
        <f>IFERROR(__xludf.DUMMYFUNCTION("""COMPUTED_VALUE"""),45819.0)</f>
        <v>45819</v>
      </c>
      <c r="B4556" t="str">
        <f>IFERROR(__xludf.DUMMYFUNCTION("""COMPUTED_VALUE"""),"內湖CITY忠哥 【未分類支出】")</f>
        <v>內湖CITY忠哥 【未分類支出】</v>
      </c>
      <c r="C4556" t="str">
        <f>IFERROR(__xludf.DUMMYFUNCTION("""COMPUTED_VALUE"""),"成本 - 進場前裝潢費")</f>
        <v>成本 - 進場前裝潢費</v>
      </c>
      <c r="D4556" s="270">
        <f>IFERROR(__xludf.DUMMYFUNCTION("""COMPUTED_VALUE"""),-32634.0)</f>
        <v>-32634</v>
      </c>
      <c r="E4556" t="str">
        <f>IFERROR(__xludf.DUMMYFUNCTION("""COMPUTED_VALUE"""),"玉山帳戶")</f>
        <v>玉山帳戶</v>
      </c>
      <c r="G4556" t="str">
        <f>IFERROR(__xludf.DUMMYFUNCTION("""COMPUTED_VALUE"""),"內湖CityLink")</f>
        <v>內湖CityLink</v>
      </c>
      <c r="H4556" s="106" t="str">
        <f t="shared" si="1"/>
        <v>2025-06</v>
      </c>
      <c r="I4556" s="271" t="str">
        <f>IFERROR(__xludf.DUMMYFUNCTION("""COMPUTED_VALUE"""),"鯰魚大大")</f>
        <v>鯰魚大大</v>
      </c>
      <c r="J4556" t="str">
        <f>IFERROR(__xludf.DUMMYFUNCTION("IFS(
  AND(REGEXMATCH(E4556, ""台銀籌備帳戶|玉山帳戶""), REGEXMATCH(C4556, ""薪資"")), ""分潤支出"",
  AND(REGEXMATCH(E4556, ""Ben帳戶|Elsa帳戶|Ben代墊|Ariel代墊|中信銀行共用""), REGEXMATCH(F4556, ""Ben帳戶|Elsa帳戶|Ben代墊|Ariel代墊|中信銀行共用"")), ""內部轉帳(忽略)"",
  AND(E4556&lt;&gt;"""", F4556&lt;&gt;"""", N"&amp;"OT(REGEXMATCH(C4556, ""薪資""))), ""內部轉帳(忽略)"",
  REGEXMATCH(C4556, ""薪資""), ""薪資變動(不計入)"",
  REGEXMATCH(C4556, ""押金""), ""押金往來"",
  AND(E4556&lt;&gt;"""", F4556=""""), ""真實支出"",
  AND(E4556="""", F4556&lt;&gt;""""), ""真實收入"",
  TRUE, ""其他""
)"),"真實支出")</f>
        <v>真實支出</v>
      </c>
      <c r="K4556" s="270">
        <f t="shared" si="2"/>
        <v>-32634</v>
      </c>
      <c r="L4556">
        <f t="shared" si="3"/>
        <v>0</v>
      </c>
    </row>
    <row r="4557">
      <c r="A4557" s="107">
        <f>IFERROR(__xludf.DUMMYFUNCTION("""COMPUTED_VALUE"""),45821.0)</f>
        <v>45821</v>
      </c>
      <c r="B4557" t="str">
        <f>IFERROR(__xludf.DUMMYFUNCTION("""COMPUTED_VALUE"""),"費用 - 匯費 對方行:007 後五碼:52332 (行號: 5)")</f>
        <v>費用 - 匯費 對方行:007 後五碼:52332 (行號: 5)</v>
      </c>
      <c r="C4557" t="str">
        <f>IFERROR(__xludf.DUMMYFUNCTION("""COMPUTED_VALUE"""),"費用 - 匯費")</f>
        <v>費用 - 匯費</v>
      </c>
      <c r="D4557" s="270">
        <f>IFERROR(__xludf.DUMMYFUNCTION("""COMPUTED_VALUE"""),-15.0)</f>
        <v>-15</v>
      </c>
      <c r="E4557" t="str">
        <f>IFERROR(__xludf.DUMMYFUNCTION("""COMPUTED_VALUE"""),"玉山帳戶")</f>
        <v>玉山帳戶</v>
      </c>
      <c r="H4557" s="106" t="str">
        <f t="shared" si="1"/>
        <v>2025-06</v>
      </c>
      <c r="I4557" s="271" t="str">
        <f>IFERROR(__xludf.DUMMYFUNCTION("""COMPUTED_VALUE"""),"鯰魚大大")</f>
        <v>鯰魚大大</v>
      </c>
      <c r="J4557" t="str">
        <f>IFERROR(__xludf.DUMMYFUNCTION("IFS(
  AND(REGEXMATCH(E4557, ""台銀籌備帳戶|玉山帳戶""), REGEXMATCH(C4557, ""薪資"")), ""分潤支出"",
  AND(REGEXMATCH(E4557, ""Ben帳戶|Elsa帳戶|Ben代墊|Ariel代墊|中信銀行共用""), REGEXMATCH(F4557, ""Ben帳戶|Elsa帳戶|Ben代墊|Ariel代墊|中信銀行共用"")), ""內部轉帳(忽略)"",
  AND(E4557&lt;&gt;"""", F4557&lt;&gt;"""", N"&amp;"OT(REGEXMATCH(C4557, ""薪資""))), ""內部轉帳(忽略)"",
  REGEXMATCH(C4557, ""薪資""), ""薪資變動(不計入)"",
  REGEXMATCH(C4557, ""押金""), ""押金往來"",
  AND(E4557&lt;&gt;"""", F4557=""""), ""真實支出"",
  AND(E4557="""", F4557&lt;&gt;""""), ""真實收入"",
  TRUE, ""其他""
)"),"真實支出")</f>
        <v>真實支出</v>
      </c>
      <c r="K4557" s="270">
        <f t="shared" si="2"/>
        <v>-15</v>
      </c>
      <c r="L4557">
        <f t="shared" si="3"/>
        <v>0</v>
      </c>
    </row>
    <row r="4558">
      <c r="A4558" s="107">
        <f>IFERROR(__xludf.DUMMYFUNCTION("""COMPUTED_VALUE"""),45821.0)</f>
        <v>45821</v>
      </c>
      <c r="B4558" t="str">
        <f>IFERROR(__xludf.DUMMYFUNCTION("""COMPUTED_VALUE"""),"內湖Citylink宇生攝影 【未分類支出】")</f>
        <v>內湖Citylink宇生攝影 【未分類支出】</v>
      </c>
      <c r="C4558" t="str">
        <f>IFERROR(__xludf.DUMMYFUNCTION("""COMPUTED_VALUE"""),"成本 - 進場前裝潢費")</f>
        <v>成本 - 進場前裝潢費</v>
      </c>
      <c r="D4558" s="270">
        <f>IFERROR(__xludf.DUMMYFUNCTION("""COMPUTED_VALUE"""),-16438.0)</f>
        <v>-16438</v>
      </c>
      <c r="E4558" t="str">
        <f>IFERROR(__xludf.DUMMYFUNCTION("""COMPUTED_VALUE"""),"玉山帳戶")</f>
        <v>玉山帳戶</v>
      </c>
      <c r="G4558" t="str">
        <f>IFERROR(__xludf.DUMMYFUNCTION("""COMPUTED_VALUE"""),"內湖CityLink")</f>
        <v>內湖CityLink</v>
      </c>
      <c r="H4558" s="106" t="str">
        <f t="shared" si="1"/>
        <v>2025-06</v>
      </c>
      <c r="I4558" s="271" t="str">
        <f>IFERROR(__xludf.DUMMYFUNCTION("""COMPUTED_VALUE"""),"鯰魚大大")</f>
        <v>鯰魚大大</v>
      </c>
      <c r="J4558" t="str">
        <f>IFERROR(__xludf.DUMMYFUNCTION("IFS(
  AND(REGEXMATCH(E4558, ""台銀籌備帳戶|玉山帳戶""), REGEXMATCH(C4558, ""薪資"")), ""分潤支出"",
  AND(REGEXMATCH(E4558, ""Ben帳戶|Elsa帳戶|Ben代墊|Ariel代墊|中信銀行共用""), REGEXMATCH(F4558, ""Ben帳戶|Elsa帳戶|Ben代墊|Ariel代墊|中信銀行共用"")), ""內部轉帳(忽略)"",
  AND(E4558&lt;&gt;"""", F4558&lt;&gt;"""", N"&amp;"OT(REGEXMATCH(C4558, ""薪資""))), ""內部轉帳(忽略)"",
  REGEXMATCH(C4558, ""薪資""), ""薪資變動(不計入)"",
  REGEXMATCH(C4558, ""押金""), ""押金往來"",
  AND(E4558&lt;&gt;"""", F4558=""""), ""真實支出"",
  AND(E4558="""", F4558&lt;&gt;""""), ""真實收入"",
  TRUE, ""其他""
)"),"真實支出")</f>
        <v>真實支出</v>
      </c>
      <c r="K4558" s="270">
        <f t="shared" si="2"/>
        <v>-16438</v>
      </c>
      <c r="L4558">
        <f t="shared" si="3"/>
        <v>0</v>
      </c>
    </row>
    <row r="4559">
      <c r="A4559" s="107">
        <f>IFERROR(__xludf.DUMMYFUNCTION("""COMPUTED_VALUE"""),45824.0)</f>
        <v>45824</v>
      </c>
      <c r="B4559" t="str">
        <f>IFERROR(__xludf.DUMMYFUNCTION("""COMPUTED_VALUE"""),"費用 - 匯費 對方行:013 後五碼:78744 (行號: 7)")</f>
        <v>費用 - 匯費 對方行:013 後五碼:78744 (行號: 7)</v>
      </c>
      <c r="C4559" t="str">
        <f>IFERROR(__xludf.DUMMYFUNCTION("""COMPUTED_VALUE"""),"費用 - 匯費")</f>
        <v>費用 - 匯費</v>
      </c>
      <c r="D4559" s="270">
        <f>IFERROR(__xludf.DUMMYFUNCTION("""COMPUTED_VALUE"""),-15.0)</f>
        <v>-15</v>
      </c>
      <c r="E4559" t="str">
        <f>IFERROR(__xludf.DUMMYFUNCTION("""COMPUTED_VALUE"""),"玉山帳戶")</f>
        <v>玉山帳戶</v>
      </c>
      <c r="H4559" s="106" t="str">
        <f t="shared" si="1"/>
        <v>2025-06</v>
      </c>
      <c r="I4559" s="271" t="str">
        <f>IFERROR(__xludf.DUMMYFUNCTION("""COMPUTED_VALUE"""),"鯰魚大大")</f>
        <v>鯰魚大大</v>
      </c>
      <c r="J4559" t="str">
        <f>IFERROR(__xludf.DUMMYFUNCTION("IFS(
  AND(REGEXMATCH(E4559, ""台銀籌備帳戶|玉山帳戶""), REGEXMATCH(C4559, ""薪資"")), ""分潤支出"",
  AND(REGEXMATCH(E4559, ""Ben帳戶|Elsa帳戶|Ben代墊|Ariel代墊|中信銀行共用""), REGEXMATCH(F4559, ""Ben帳戶|Elsa帳戶|Ben代墊|Ariel代墊|中信銀行共用"")), ""內部轉帳(忽略)"",
  AND(E4559&lt;&gt;"""", F4559&lt;&gt;"""", N"&amp;"OT(REGEXMATCH(C4559, ""薪資""))), ""內部轉帳(忽略)"",
  REGEXMATCH(C4559, ""薪資""), ""薪資變動(不計入)"",
  REGEXMATCH(C4559, ""押金""), ""押金往來"",
  AND(E4559&lt;&gt;"""", F4559=""""), ""真實支出"",
  AND(E4559="""", F4559&lt;&gt;""""), ""真實收入"",
  TRUE, ""其他""
)"),"真實支出")</f>
        <v>真實支出</v>
      </c>
      <c r="K4559" s="270">
        <f t="shared" si="2"/>
        <v>-15</v>
      </c>
      <c r="L4559">
        <f t="shared" si="3"/>
        <v>0</v>
      </c>
    </row>
    <row r="4560">
      <c r="A4560" s="107">
        <f>IFERROR(__xludf.DUMMYFUNCTION("""COMPUTED_VALUE"""),45824.0)</f>
        <v>45824</v>
      </c>
      <c r="B4560" t="str">
        <f>IFERROR(__xludf.DUMMYFUNCTION("""COMPUTED_VALUE"""),"[士林和豐] [楊政偉] 大租金")</f>
        <v>[士林和豐] [楊政偉] 大租金</v>
      </c>
      <c r="C4560" t="str">
        <f>IFERROR(__xludf.DUMMYFUNCTION("""COMPUTED_VALUE"""),"成本 - 大租金")</f>
        <v>成本 - 大租金</v>
      </c>
      <c r="D4560" s="270">
        <f>IFERROR(__xludf.DUMMYFUNCTION("""COMPUTED_VALUE"""),-14400.0)</f>
        <v>-14400</v>
      </c>
      <c r="E4560" t="str">
        <f>IFERROR(__xludf.DUMMYFUNCTION("""COMPUTED_VALUE"""),"玉山帳戶")</f>
        <v>玉山帳戶</v>
      </c>
      <c r="G4560" t="str">
        <f>IFERROR(__xludf.DUMMYFUNCTION("""COMPUTED_VALUE"""),"士林和豐")</f>
        <v>士林和豐</v>
      </c>
      <c r="H4560" s="106" t="str">
        <f t="shared" si="1"/>
        <v>2025-06</v>
      </c>
      <c r="I4560" s="271" t="str">
        <f>IFERROR(__xludf.DUMMYFUNCTION("""COMPUTED_VALUE"""),"鯰魚大大")</f>
        <v>鯰魚大大</v>
      </c>
      <c r="J4560" t="str">
        <f>IFERROR(__xludf.DUMMYFUNCTION("IFS(
  AND(REGEXMATCH(E4560, ""台銀籌備帳戶|玉山帳戶""), REGEXMATCH(C4560, ""薪資"")), ""分潤支出"",
  AND(REGEXMATCH(E4560, ""Ben帳戶|Elsa帳戶|Ben代墊|Ariel代墊|中信銀行共用""), REGEXMATCH(F4560, ""Ben帳戶|Elsa帳戶|Ben代墊|Ariel代墊|中信銀行共用"")), ""內部轉帳(忽略)"",
  AND(E4560&lt;&gt;"""", F4560&lt;&gt;"""", N"&amp;"OT(REGEXMATCH(C4560, ""薪資""))), ""內部轉帳(忽略)"",
  REGEXMATCH(C4560, ""薪資""), ""薪資變動(不計入)"",
  REGEXMATCH(C4560, ""押金""), ""押金往來"",
  AND(E4560&lt;&gt;"""", F4560=""""), ""真實支出"",
  AND(E4560="""", F4560&lt;&gt;""""), ""真實收入"",
  TRUE, ""其他""
)"),"真實支出")</f>
        <v>真實支出</v>
      </c>
      <c r="K4560" s="270">
        <f t="shared" si="2"/>
        <v>-14400</v>
      </c>
      <c r="L4560">
        <f t="shared" si="3"/>
        <v>0</v>
      </c>
    </row>
    <row r="4561">
      <c r="A4561" s="107">
        <f>IFERROR(__xludf.DUMMYFUNCTION("""COMPUTED_VALUE"""),45824.0)</f>
        <v>45824</v>
      </c>
      <c r="B4561" t="str">
        <f>IFERROR(__xludf.DUMMYFUNCTION("""COMPUTED_VALUE"""),"費用 - 匯費 對方行:012 後五碼:68447 (行號: 8)")</f>
        <v>費用 - 匯費 對方行:012 後五碼:68447 (行號: 8)</v>
      </c>
      <c r="C4561" t="str">
        <f>IFERROR(__xludf.DUMMYFUNCTION("""COMPUTED_VALUE"""),"費用 - 匯費")</f>
        <v>費用 - 匯費</v>
      </c>
      <c r="D4561" s="270">
        <f>IFERROR(__xludf.DUMMYFUNCTION("""COMPUTED_VALUE"""),-15.0)</f>
        <v>-15</v>
      </c>
      <c r="E4561" t="str">
        <f>IFERROR(__xludf.DUMMYFUNCTION("""COMPUTED_VALUE"""),"玉山帳戶")</f>
        <v>玉山帳戶</v>
      </c>
      <c r="H4561" s="106" t="str">
        <f t="shared" si="1"/>
        <v>2025-06</v>
      </c>
      <c r="I4561" s="271" t="str">
        <f>IFERROR(__xludf.DUMMYFUNCTION("""COMPUTED_VALUE"""),"鯰魚大大")</f>
        <v>鯰魚大大</v>
      </c>
      <c r="J4561" t="str">
        <f>IFERROR(__xludf.DUMMYFUNCTION("IFS(
  AND(REGEXMATCH(E4561, ""台銀籌備帳戶|玉山帳戶""), REGEXMATCH(C4561, ""薪資"")), ""分潤支出"",
  AND(REGEXMATCH(E4561, ""Ben帳戶|Elsa帳戶|Ben代墊|Ariel代墊|中信銀行共用""), REGEXMATCH(F4561, ""Ben帳戶|Elsa帳戶|Ben代墊|Ariel代墊|中信銀行共用"")), ""內部轉帳(忽略)"",
  AND(E4561&lt;&gt;"""", F4561&lt;&gt;"""", N"&amp;"OT(REGEXMATCH(C4561, ""薪資""))), ""內部轉帳(忽略)"",
  REGEXMATCH(C4561, ""薪資""), ""薪資變動(不計入)"",
  REGEXMATCH(C4561, ""押金""), ""押金往來"",
  AND(E4561&lt;&gt;"""", F4561=""""), ""真實支出"",
  AND(E4561="""", F4561&lt;&gt;""""), ""真實收入"",
  TRUE, ""其他""
)"),"真實支出")</f>
        <v>真實支出</v>
      </c>
      <c r="K4561" s="270">
        <f t="shared" si="2"/>
        <v>-15</v>
      </c>
      <c r="L4561">
        <f t="shared" si="3"/>
        <v>0</v>
      </c>
    </row>
    <row r="4562">
      <c r="A4562" s="107">
        <f>IFERROR(__xludf.DUMMYFUNCTION("""COMPUTED_VALUE"""),45824.0)</f>
        <v>45824</v>
      </c>
      <c r="B4562" t="str">
        <f>IFERROR(__xludf.DUMMYFUNCTION("""COMPUTED_VALUE"""),"[行天宮夏野良栗] [沈蕙萱] 大租金")</f>
        <v>[行天宮夏野良栗] [沈蕙萱] 大租金</v>
      </c>
      <c r="C4562" t="str">
        <f>IFERROR(__xludf.DUMMYFUNCTION("""COMPUTED_VALUE"""),"成本 - 大租金")</f>
        <v>成本 - 大租金</v>
      </c>
      <c r="D4562" s="270">
        <f>IFERROR(__xludf.DUMMYFUNCTION("""COMPUTED_VALUE"""),-19900.0)</f>
        <v>-19900</v>
      </c>
      <c r="E4562" t="str">
        <f>IFERROR(__xludf.DUMMYFUNCTION("""COMPUTED_VALUE"""),"玉山帳戶")</f>
        <v>玉山帳戶</v>
      </c>
      <c r="G4562" t="str">
        <f>IFERROR(__xludf.DUMMYFUNCTION("""COMPUTED_VALUE"""),"行天宮夏野良栗")</f>
        <v>行天宮夏野良栗</v>
      </c>
      <c r="H4562" s="106" t="str">
        <f t="shared" si="1"/>
        <v>2025-06</v>
      </c>
      <c r="I4562" s="271" t="str">
        <f>IFERROR(__xludf.DUMMYFUNCTION("""COMPUTED_VALUE"""),"鯰魚大大")</f>
        <v>鯰魚大大</v>
      </c>
      <c r="J4562" t="str">
        <f>IFERROR(__xludf.DUMMYFUNCTION("IFS(
  AND(REGEXMATCH(E4562, ""台銀籌備帳戶|玉山帳戶""), REGEXMATCH(C4562, ""薪資"")), ""分潤支出"",
  AND(REGEXMATCH(E4562, ""Ben帳戶|Elsa帳戶|Ben代墊|Ariel代墊|中信銀行共用""), REGEXMATCH(F4562, ""Ben帳戶|Elsa帳戶|Ben代墊|Ariel代墊|中信銀行共用"")), ""內部轉帳(忽略)"",
  AND(E4562&lt;&gt;"""", F4562&lt;&gt;"""", N"&amp;"OT(REGEXMATCH(C4562, ""薪資""))), ""內部轉帳(忽略)"",
  REGEXMATCH(C4562, ""薪資""), ""薪資變動(不計入)"",
  REGEXMATCH(C4562, ""押金""), ""押金往來"",
  AND(E4562&lt;&gt;"""", F4562=""""), ""真實支出"",
  AND(E4562="""", F4562&lt;&gt;""""), ""真實收入"",
  TRUE, ""其他""
)"),"真實支出")</f>
        <v>真實支出</v>
      </c>
      <c r="K4562" s="270">
        <f t="shared" si="2"/>
        <v>-19900</v>
      </c>
      <c r="L4562">
        <f t="shared" si="3"/>
        <v>0</v>
      </c>
    </row>
    <row r="4563">
      <c r="A4563" s="107">
        <f>IFERROR(__xludf.DUMMYFUNCTION("""COMPUTED_VALUE"""),45825.0)</f>
        <v>45825</v>
      </c>
      <c r="B4563" t="str">
        <f>IFERROR(__xludf.DUMMYFUNCTION("""COMPUTED_VALUE"""),"費用 - 匯費 對方行:807 後五碼:19862 (行號: 10)")</f>
        <v>費用 - 匯費 對方行:807 後五碼:19862 (行號: 10)</v>
      </c>
      <c r="C4563" t="str">
        <f>IFERROR(__xludf.DUMMYFUNCTION("""COMPUTED_VALUE"""),"費用 - 匯費")</f>
        <v>費用 - 匯費</v>
      </c>
      <c r="D4563" s="270">
        <f>IFERROR(__xludf.DUMMYFUNCTION("""COMPUTED_VALUE"""),-15.0)</f>
        <v>-15</v>
      </c>
      <c r="E4563" t="str">
        <f>IFERROR(__xludf.DUMMYFUNCTION("""COMPUTED_VALUE"""),"玉山帳戶")</f>
        <v>玉山帳戶</v>
      </c>
      <c r="H4563" s="106" t="str">
        <f t="shared" si="1"/>
        <v>2025-06</v>
      </c>
      <c r="I4563" s="271" t="str">
        <f>IFERROR(__xludf.DUMMYFUNCTION("""COMPUTED_VALUE"""),"鯰魚大大")</f>
        <v>鯰魚大大</v>
      </c>
      <c r="J4563" t="str">
        <f>IFERROR(__xludf.DUMMYFUNCTION("IFS(
  AND(REGEXMATCH(E4563, ""台銀籌備帳戶|玉山帳戶""), REGEXMATCH(C4563, ""薪資"")), ""分潤支出"",
  AND(REGEXMATCH(E4563, ""Ben帳戶|Elsa帳戶|Ben代墊|Ariel代墊|中信銀行共用""), REGEXMATCH(F4563, ""Ben帳戶|Elsa帳戶|Ben代墊|Ariel代墊|中信銀行共用"")), ""內部轉帳(忽略)"",
  AND(E4563&lt;&gt;"""", F4563&lt;&gt;"""", N"&amp;"OT(REGEXMATCH(C4563, ""薪資""))), ""內部轉帳(忽略)"",
  REGEXMATCH(C4563, ""薪資""), ""薪資變動(不計入)"",
  REGEXMATCH(C4563, ""押金""), ""押金往來"",
  AND(E4563&lt;&gt;"""", F4563=""""), ""真實支出"",
  AND(E4563="""", F4563&lt;&gt;""""), ""真實收入"",
  TRUE, ""其他""
)"),"真實支出")</f>
        <v>真實支出</v>
      </c>
      <c r="K4563" s="270">
        <f t="shared" si="2"/>
        <v>-15</v>
      </c>
      <c r="L4563">
        <f t="shared" si="3"/>
        <v>0</v>
      </c>
    </row>
    <row r="4564">
      <c r="A4564" s="107">
        <f>IFERROR(__xludf.DUMMYFUNCTION("""COMPUTED_VALUE"""),45825.0)</f>
        <v>45825</v>
      </c>
      <c r="B4564" t="str">
        <f>IFERROR(__xludf.DUMMYFUNCTION("""COMPUTED_VALUE"""),"內湖天喜除蟲 【未分類支出】")</f>
        <v>內湖天喜除蟲 【未分類支出】</v>
      </c>
      <c r="C4564" t="str">
        <f>IFERROR(__xludf.DUMMYFUNCTION("""COMPUTED_VALUE"""),"成本 - 租後修繕")</f>
        <v>成本 - 租後修繕</v>
      </c>
      <c r="D4564" s="270">
        <f>IFERROR(__xludf.DUMMYFUNCTION("""COMPUTED_VALUE"""),-15750.0)</f>
        <v>-15750</v>
      </c>
      <c r="E4564" t="str">
        <f>IFERROR(__xludf.DUMMYFUNCTION("""COMPUTED_VALUE"""),"玉山帳戶")</f>
        <v>玉山帳戶</v>
      </c>
      <c r="G4564" t="str">
        <f>IFERROR(__xludf.DUMMYFUNCTION("""COMPUTED_VALUE"""),"內湖秘境")</f>
        <v>內湖秘境</v>
      </c>
      <c r="H4564" s="106" t="str">
        <f t="shared" si="1"/>
        <v>2025-06</v>
      </c>
      <c r="I4564" s="271" t="str">
        <f>IFERROR(__xludf.DUMMYFUNCTION("""COMPUTED_VALUE"""),"鯰魚大大")</f>
        <v>鯰魚大大</v>
      </c>
      <c r="J4564" t="str">
        <f>IFERROR(__xludf.DUMMYFUNCTION("IFS(
  AND(REGEXMATCH(E4564, ""台銀籌備帳戶|玉山帳戶""), REGEXMATCH(C4564, ""薪資"")), ""分潤支出"",
  AND(REGEXMATCH(E4564, ""Ben帳戶|Elsa帳戶|Ben代墊|Ariel代墊|中信銀行共用""), REGEXMATCH(F4564, ""Ben帳戶|Elsa帳戶|Ben代墊|Ariel代墊|中信銀行共用"")), ""內部轉帳(忽略)"",
  AND(E4564&lt;&gt;"""", F4564&lt;&gt;"""", N"&amp;"OT(REGEXMATCH(C4564, ""薪資""))), ""內部轉帳(忽略)"",
  REGEXMATCH(C4564, ""薪資""), ""薪資變動(不計入)"",
  REGEXMATCH(C4564, ""押金""), ""押金往來"",
  AND(E4564&lt;&gt;"""", F4564=""""), ""真實支出"",
  AND(E4564="""", F4564&lt;&gt;""""), ""真實收入"",
  TRUE, ""其他""
)"),"真實支出")</f>
        <v>真實支出</v>
      </c>
      <c r="K4564" s="270">
        <f t="shared" si="2"/>
        <v>-15750</v>
      </c>
      <c r="L4564">
        <f t="shared" si="3"/>
        <v>0</v>
      </c>
    </row>
    <row r="4565">
      <c r="A4565" s="107">
        <f>IFERROR(__xludf.DUMMYFUNCTION("""COMPUTED_VALUE"""),45827.0)</f>
        <v>45827</v>
      </c>
      <c r="B4565" t="str">
        <f>IFERROR(__xludf.DUMMYFUNCTION("""COMPUTED_VALUE"""),"費用 - 匯費 對方行:822 後五碼:01075 (行號: 12)")</f>
        <v>費用 - 匯費 對方行:822 後五碼:01075 (行號: 12)</v>
      </c>
      <c r="C4565" t="str">
        <f>IFERROR(__xludf.DUMMYFUNCTION("""COMPUTED_VALUE"""),"費用 - 匯費")</f>
        <v>費用 - 匯費</v>
      </c>
      <c r="D4565" s="270">
        <f>IFERROR(__xludf.DUMMYFUNCTION("""COMPUTED_VALUE"""),-15.0)</f>
        <v>-15</v>
      </c>
      <c r="E4565" t="str">
        <f>IFERROR(__xludf.DUMMYFUNCTION("""COMPUTED_VALUE"""),"玉山帳戶")</f>
        <v>玉山帳戶</v>
      </c>
      <c r="H4565" s="106" t="str">
        <f t="shared" si="1"/>
        <v>2025-06</v>
      </c>
      <c r="I4565" s="271" t="str">
        <f>IFERROR(__xludf.DUMMYFUNCTION("""COMPUTED_VALUE"""),"鯰魚大大")</f>
        <v>鯰魚大大</v>
      </c>
      <c r="J4565" t="str">
        <f>IFERROR(__xludf.DUMMYFUNCTION("IFS(
  AND(REGEXMATCH(E4565, ""台銀籌備帳戶|玉山帳戶""), REGEXMATCH(C4565, ""薪資"")), ""分潤支出"",
  AND(REGEXMATCH(E4565, ""Ben帳戶|Elsa帳戶|Ben代墊|Ariel代墊|中信銀行共用""), REGEXMATCH(F4565, ""Ben帳戶|Elsa帳戶|Ben代墊|Ariel代墊|中信銀行共用"")), ""內部轉帳(忽略)"",
  AND(E4565&lt;&gt;"""", F4565&lt;&gt;"""", N"&amp;"OT(REGEXMATCH(C4565, ""薪資""))), ""內部轉帳(忽略)"",
  REGEXMATCH(C4565, ""薪資""), ""薪資變動(不計入)"",
  REGEXMATCH(C4565, ""押金""), ""押金往來"",
  AND(E4565&lt;&gt;"""", F4565=""""), ""真實支出"",
  AND(E4565="""", F4565&lt;&gt;""""), ""真實收入"",
  TRUE, ""其他""
)"),"真實支出")</f>
        <v>真實支出</v>
      </c>
      <c r="K4565" s="270">
        <f t="shared" si="2"/>
        <v>-15</v>
      </c>
      <c r="L4565">
        <f t="shared" si="3"/>
        <v>0</v>
      </c>
    </row>
    <row r="4566">
      <c r="A4566" s="107">
        <f>IFERROR(__xludf.DUMMYFUNCTION("""COMPUTED_VALUE"""),45827.0)</f>
        <v>45827</v>
      </c>
      <c r="B4566" t="str">
        <f>IFERROR(__xludf.DUMMYFUNCTION("""COMPUTED_VALUE"""),"和豐B退押金 【未分類支出】")</f>
        <v>和豐B退押金 【未分類支出】</v>
      </c>
      <c r="C4566" t="str">
        <f>IFERROR(__xludf.DUMMYFUNCTION("""COMPUTED_VALUE"""),"收入 - 押金")</f>
        <v>收入 - 押金</v>
      </c>
      <c r="D4566" s="270">
        <f>IFERROR(__xludf.DUMMYFUNCTION("""COMPUTED_VALUE"""),-24800.0)</f>
        <v>-24800</v>
      </c>
      <c r="E4566" t="str">
        <f>IFERROR(__xludf.DUMMYFUNCTION("""COMPUTED_VALUE"""),"玉山帳戶")</f>
        <v>玉山帳戶</v>
      </c>
      <c r="G4566" t="str">
        <f>IFERROR(__xludf.DUMMYFUNCTION("""COMPUTED_VALUE"""),"士林和豐")</f>
        <v>士林和豐</v>
      </c>
      <c r="H4566" s="106" t="str">
        <f t="shared" si="1"/>
        <v>2025-06</v>
      </c>
      <c r="I4566" s="271" t="str">
        <f>IFERROR(__xludf.DUMMYFUNCTION("""COMPUTED_VALUE"""),"鯰魚大大")</f>
        <v>鯰魚大大</v>
      </c>
      <c r="J4566" t="str">
        <f>IFERROR(__xludf.DUMMYFUNCTION("IFS(
  AND(REGEXMATCH(E4566, ""台銀籌備帳戶|玉山帳戶""), REGEXMATCH(C4566, ""薪資"")), ""分潤支出"",
  AND(REGEXMATCH(E4566, ""Ben帳戶|Elsa帳戶|Ben代墊|Ariel代墊|中信銀行共用""), REGEXMATCH(F4566, ""Ben帳戶|Elsa帳戶|Ben代墊|Ariel代墊|中信銀行共用"")), ""內部轉帳(忽略)"",
  AND(E4566&lt;&gt;"""", F4566&lt;&gt;"""", N"&amp;"OT(REGEXMATCH(C4566, ""薪資""))), ""內部轉帳(忽略)"",
  REGEXMATCH(C4566, ""薪資""), ""薪資變動(不計入)"",
  REGEXMATCH(C4566, ""押金""), ""押金往來"",
  AND(E4566&lt;&gt;"""", F4566=""""), ""真實支出"",
  AND(E4566="""", F4566&lt;&gt;""""), ""真實收入"",
  TRUE, ""其他""
)"),"押金往來")</f>
        <v>押金往來</v>
      </c>
      <c r="K4566">
        <f t="shared" si="2"/>
        <v>0</v>
      </c>
      <c r="L4566">
        <f t="shared" si="3"/>
        <v>0</v>
      </c>
    </row>
    <row r="4567">
      <c r="A4567" s="107">
        <f>IFERROR(__xludf.DUMMYFUNCTION("""COMPUTED_VALUE"""),45831.0)</f>
        <v>45831</v>
      </c>
      <c r="B4567" t="str">
        <f>IFERROR(__xludf.DUMMYFUNCTION("""COMPUTED_VALUE"""),"費用 - 匯費 對方行:812 後五碼:16111 (行號: 17)")</f>
        <v>費用 - 匯費 對方行:812 後五碼:16111 (行號: 17)</v>
      </c>
      <c r="C4567" t="str">
        <f>IFERROR(__xludf.DUMMYFUNCTION("""COMPUTED_VALUE"""),"費用 - 匯費")</f>
        <v>費用 - 匯費</v>
      </c>
      <c r="D4567" s="270">
        <f>IFERROR(__xludf.DUMMYFUNCTION("""COMPUTED_VALUE"""),-15.0)</f>
        <v>-15</v>
      </c>
      <c r="E4567" t="str">
        <f>IFERROR(__xludf.DUMMYFUNCTION("""COMPUTED_VALUE"""),"玉山帳戶")</f>
        <v>玉山帳戶</v>
      </c>
      <c r="H4567" s="106" t="str">
        <f t="shared" si="1"/>
        <v>2025-06</v>
      </c>
      <c r="I4567" s="271" t="str">
        <f>IFERROR(__xludf.DUMMYFUNCTION("""COMPUTED_VALUE"""),"鯰魚大大")</f>
        <v>鯰魚大大</v>
      </c>
      <c r="J4567" t="str">
        <f>IFERROR(__xludf.DUMMYFUNCTION("IFS(
  AND(REGEXMATCH(E4567, ""台銀籌備帳戶|玉山帳戶""), REGEXMATCH(C4567, ""薪資"")), ""分潤支出"",
  AND(REGEXMATCH(E4567, ""Ben帳戶|Elsa帳戶|Ben代墊|Ariel代墊|中信銀行共用""), REGEXMATCH(F4567, ""Ben帳戶|Elsa帳戶|Ben代墊|Ariel代墊|中信銀行共用"")), ""內部轉帳(忽略)"",
  AND(E4567&lt;&gt;"""", F4567&lt;&gt;"""", N"&amp;"OT(REGEXMATCH(C4567, ""薪資""))), ""內部轉帳(忽略)"",
  REGEXMATCH(C4567, ""薪資""), ""薪資變動(不計入)"",
  REGEXMATCH(C4567, ""押金""), ""押金往來"",
  AND(E4567&lt;&gt;"""", F4567=""""), ""真實支出"",
  AND(E4567="""", F4567&lt;&gt;""""), ""真實收入"",
  TRUE, ""其他""
)"),"真實支出")</f>
        <v>真實支出</v>
      </c>
      <c r="K4567" s="270">
        <f t="shared" si="2"/>
        <v>-15</v>
      </c>
      <c r="L4567">
        <f t="shared" si="3"/>
        <v>0</v>
      </c>
    </row>
    <row r="4568">
      <c r="A4568" s="107">
        <f>IFERROR(__xludf.DUMMYFUNCTION("""COMPUTED_VALUE"""),45831.0)</f>
        <v>45831</v>
      </c>
      <c r="B4568" t="str">
        <f>IFERROR(__xludf.DUMMYFUNCTION("""COMPUTED_VALUE"""),"退和豐C多支付的租金 【未分類支出】")</f>
        <v>退和豐C多支付的租金 【未分類支出】</v>
      </c>
      <c r="C4568" t="str">
        <f>IFERROR(__xludf.DUMMYFUNCTION("""COMPUTED_VALUE"""),"收入 - 租金")</f>
        <v>收入 - 租金</v>
      </c>
      <c r="D4568" s="270">
        <f>IFERROR(__xludf.DUMMYFUNCTION("""COMPUTED_VALUE"""),0.0)</f>
        <v>0</v>
      </c>
      <c r="E4568" t="str">
        <f>IFERROR(__xludf.DUMMYFUNCTION("""COMPUTED_VALUE"""),"玉山帳戶")</f>
        <v>玉山帳戶</v>
      </c>
      <c r="G4568" t="str">
        <f>IFERROR(__xludf.DUMMYFUNCTION("""COMPUTED_VALUE"""),"士林和豐")</f>
        <v>士林和豐</v>
      </c>
      <c r="H4568" s="106" t="str">
        <f t="shared" si="1"/>
        <v>2025-06</v>
      </c>
      <c r="I4568" s="271" t="str">
        <f>IFERROR(__xludf.DUMMYFUNCTION("""COMPUTED_VALUE"""),"鯰魚大大")</f>
        <v>鯰魚大大</v>
      </c>
      <c r="J4568" t="str">
        <f>IFERROR(__xludf.DUMMYFUNCTION("IFS(
  AND(REGEXMATCH(E4568, ""台銀籌備帳戶|玉山帳戶""), REGEXMATCH(C4568, ""薪資"")), ""分潤支出"",
  AND(REGEXMATCH(E4568, ""Ben帳戶|Elsa帳戶|Ben代墊|Ariel代墊|中信銀行共用""), REGEXMATCH(F4568, ""Ben帳戶|Elsa帳戶|Ben代墊|Ariel代墊|中信銀行共用"")), ""內部轉帳(忽略)"",
  AND(E4568&lt;&gt;"""", F4568&lt;&gt;"""", N"&amp;"OT(REGEXMATCH(C4568, ""薪資""))), ""內部轉帳(忽略)"",
  REGEXMATCH(C4568, ""薪資""), ""薪資變動(不計入)"",
  REGEXMATCH(C4568, ""押金""), ""押金往來"",
  AND(E4568&lt;&gt;"""", F4568=""""), ""真實支出"",
  AND(E4568="""", F4568&lt;&gt;""""), ""真實收入"",
  TRUE, ""其他""
)"),"真實支出")</f>
        <v>真實支出</v>
      </c>
      <c r="K4568" s="270">
        <f t="shared" si="2"/>
        <v>0</v>
      </c>
      <c r="L4568">
        <f t="shared" si="3"/>
        <v>0</v>
      </c>
    </row>
    <row r="4569">
      <c r="A4569" s="107">
        <f>IFERROR(__xludf.DUMMYFUNCTION("""COMPUTED_VALUE"""),45833.0)</f>
        <v>45833</v>
      </c>
      <c r="B4569" t="str">
        <f>IFERROR(__xludf.DUMMYFUNCTION("""COMPUTED_VALUE"""),"費用 - 匯費 對方行:700 後五碼:52829 (行號: 24)")</f>
        <v>費用 - 匯費 對方行:700 後五碼:52829 (行號: 24)</v>
      </c>
      <c r="C4569" t="str">
        <f>IFERROR(__xludf.DUMMYFUNCTION("""COMPUTED_VALUE"""),"費用 - 匯費")</f>
        <v>費用 - 匯費</v>
      </c>
      <c r="D4569" s="270">
        <f>IFERROR(__xludf.DUMMYFUNCTION("""COMPUTED_VALUE"""),-15.0)</f>
        <v>-15</v>
      </c>
      <c r="E4569" t="str">
        <f>IFERROR(__xludf.DUMMYFUNCTION("""COMPUTED_VALUE"""),"玉山帳戶")</f>
        <v>玉山帳戶</v>
      </c>
      <c r="H4569" s="106" t="str">
        <f t="shared" si="1"/>
        <v>2025-06</v>
      </c>
      <c r="I4569" s="271" t="str">
        <f>IFERROR(__xludf.DUMMYFUNCTION("""COMPUTED_VALUE"""),"鯰魚大大")</f>
        <v>鯰魚大大</v>
      </c>
      <c r="J4569" t="str">
        <f>IFERROR(__xludf.DUMMYFUNCTION("IFS(
  AND(REGEXMATCH(E4569, ""台銀籌備帳戶|玉山帳戶""), REGEXMATCH(C4569, ""薪資"")), ""分潤支出"",
  AND(REGEXMATCH(E4569, ""Ben帳戶|Elsa帳戶|Ben代墊|Ariel代墊|中信銀行共用""), REGEXMATCH(F4569, ""Ben帳戶|Elsa帳戶|Ben代墊|Ariel代墊|中信銀行共用"")), ""內部轉帳(忽略)"",
  AND(E4569&lt;&gt;"""", F4569&lt;&gt;"""", N"&amp;"OT(REGEXMATCH(C4569, ""薪資""))), ""內部轉帳(忽略)"",
  REGEXMATCH(C4569, ""薪資""), ""薪資變動(不計入)"",
  REGEXMATCH(C4569, ""押金""), ""押金往來"",
  AND(E4569&lt;&gt;"""", F4569=""""), ""真實支出"",
  AND(E4569="""", F4569&lt;&gt;""""), ""真實收入"",
  TRUE, ""其他""
)"),"真實支出")</f>
        <v>真實支出</v>
      </c>
      <c r="K4569" s="270">
        <f t="shared" si="2"/>
        <v>-15</v>
      </c>
      <c r="L4569">
        <f t="shared" si="3"/>
        <v>0</v>
      </c>
    </row>
    <row r="4570">
      <c r="A4570" s="107">
        <f>IFERROR(__xludf.DUMMYFUNCTION("""COMPUTED_VALUE"""),45833.0)</f>
        <v>45833</v>
      </c>
      <c r="B4570" t="str">
        <f>IFERROR(__xludf.DUMMYFUNCTION("""COMPUTED_VALUE"""),"和豐C房退押 【未分類支出】")</f>
        <v>和豐C房退押 【未分類支出】</v>
      </c>
      <c r="C4570" t="str">
        <f>IFERROR(__xludf.DUMMYFUNCTION("""COMPUTED_VALUE"""),"收入 - 押金")</f>
        <v>收入 - 押金</v>
      </c>
      <c r="D4570" s="270">
        <f>IFERROR(__xludf.DUMMYFUNCTION("""COMPUTED_VALUE"""),-22000.0)</f>
        <v>-22000</v>
      </c>
      <c r="E4570" t="str">
        <f>IFERROR(__xludf.DUMMYFUNCTION("""COMPUTED_VALUE"""),"玉山帳戶")</f>
        <v>玉山帳戶</v>
      </c>
      <c r="G4570" t="str">
        <f>IFERROR(__xludf.DUMMYFUNCTION("""COMPUTED_VALUE"""),"士林和豐")</f>
        <v>士林和豐</v>
      </c>
      <c r="H4570" s="106" t="str">
        <f t="shared" si="1"/>
        <v>2025-06</v>
      </c>
      <c r="I4570" s="271" t="str">
        <f>IFERROR(__xludf.DUMMYFUNCTION("""COMPUTED_VALUE"""),"鯰魚大大")</f>
        <v>鯰魚大大</v>
      </c>
      <c r="J4570" t="str">
        <f>IFERROR(__xludf.DUMMYFUNCTION("IFS(
  AND(REGEXMATCH(E4570, ""台銀籌備帳戶|玉山帳戶""), REGEXMATCH(C4570, ""薪資"")), ""分潤支出"",
  AND(REGEXMATCH(E4570, ""Ben帳戶|Elsa帳戶|Ben代墊|Ariel代墊|中信銀行共用""), REGEXMATCH(F4570, ""Ben帳戶|Elsa帳戶|Ben代墊|Ariel代墊|中信銀行共用"")), ""內部轉帳(忽略)"",
  AND(E4570&lt;&gt;"""", F4570&lt;&gt;"""", N"&amp;"OT(REGEXMATCH(C4570, ""薪資""))), ""內部轉帳(忽略)"",
  REGEXMATCH(C4570, ""薪資""), ""薪資變動(不計入)"",
  REGEXMATCH(C4570, ""押金""), ""押金往來"",
  AND(E4570&lt;&gt;"""", F4570=""""), ""真實支出"",
  AND(E4570="""", F4570&lt;&gt;""""), ""真實收入"",
  TRUE, ""其他""
)"),"押金往來")</f>
        <v>押金往來</v>
      </c>
      <c r="K4570">
        <f t="shared" si="2"/>
        <v>0</v>
      </c>
      <c r="L4570">
        <f t="shared" si="3"/>
        <v>0</v>
      </c>
    </row>
    <row r="4571">
      <c r="A4571" s="107">
        <f>IFERROR(__xludf.DUMMYFUNCTION("""COMPUTED_VALUE"""),45835.0)</f>
        <v>45835</v>
      </c>
      <c r="B4571" t="str">
        <f>IFERROR(__xludf.DUMMYFUNCTION("""COMPUTED_VALUE"""),"費用 - 匯費 對方行:822 後五碼:61657 (行號: 29)")</f>
        <v>費用 - 匯費 對方行:822 後五碼:61657 (行號: 29)</v>
      </c>
      <c r="C4571" t="str">
        <f>IFERROR(__xludf.DUMMYFUNCTION("""COMPUTED_VALUE"""),"費用 - 匯費")</f>
        <v>費用 - 匯費</v>
      </c>
      <c r="D4571" s="270">
        <f>IFERROR(__xludf.DUMMYFUNCTION("""COMPUTED_VALUE"""),-15.0)</f>
        <v>-15</v>
      </c>
      <c r="E4571" t="str">
        <f>IFERROR(__xludf.DUMMYFUNCTION("""COMPUTED_VALUE"""),"玉山帳戶")</f>
        <v>玉山帳戶</v>
      </c>
      <c r="H4571" s="106" t="str">
        <f t="shared" si="1"/>
        <v>2025-06</v>
      </c>
      <c r="I4571" s="271" t="str">
        <f>IFERROR(__xludf.DUMMYFUNCTION("""COMPUTED_VALUE"""),"鯰魚大大")</f>
        <v>鯰魚大大</v>
      </c>
      <c r="J4571" t="str">
        <f>IFERROR(__xludf.DUMMYFUNCTION("IFS(
  AND(REGEXMATCH(E4571, ""台銀籌備帳戶|玉山帳戶""), REGEXMATCH(C4571, ""薪資"")), ""分潤支出"",
  AND(REGEXMATCH(E4571, ""Ben帳戶|Elsa帳戶|Ben代墊|Ariel代墊|中信銀行共用""), REGEXMATCH(F4571, ""Ben帳戶|Elsa帳戶|Ben代墊|Ariel代墊|中信銀行共用"")), ""內部轉帳(忽略)"",
  AND(E4571&lt;&gt;"""", F4571&lt;&gt;"""", N"&amp;"OT(REGEXMATCH(C4571, ""薪資""))), ""內部轉帳(忽略)"",
  REGEXMATCH(C4571, ""薪資""), ""薪資變動(不計入)"",
  REGEXMATCH(C4571, ""押金""), ""押金往來"",
  AND(E4571&lt;&gt;"""", F4571=""""), ""真實支出"",
  AND(E4571="""", F4571&lt;&gt;""""), ""真實收入"",
  TRUE, ""其他""
)"),"真實支出")</f>
        <v>真實支出</v>
      </c>
      <c r="K4571" s="270">
        <f t="shared" si="2"/>
        <v>-15</v>
      </c>
      <c r="L4571">
        <f t="shared" si="3"/>
        <v>0</v>
      </c>
    </row>
    <row r="4572">
      <c r="A4572" s="107">
        <f>IFERROR(__xludf.DUMMYFUNCTION("""COMPUTED_VALUE"""),45835.0)</f>
        <v>45835</v>
      </c>
      <c r="B4572" t="str">
        <f>IFERROR(__xludf.DUMMYFUNCTION("""COMPUTED_VALUE"""),"內湖city換排風扇 【未分類支出】")</f>
        <v>內湖city換排風扇 【未分類支出】</v>
      </c>
      <c r="C4572" t="str">
        <f>IFERROR(__xludf.DUMMYFUNCTION("""COMPUTED_VALUE"""),"成本 - 進場前裝潢費")</f>
        <v>成本 - 進場前裝潢費</v>
      </c>
      <c r="D4572" s="270">
        <f>IFERROR(__xludf.DUMMYFUNCTION("""COMPUTED_VALUE"""),-795.0)</f>
        <v>-795</v>
      </c>
      <c r="E4572" t="str">
        <f>IFERROR(__xludf.DUMMYFUNCTION("""COMPUTED_VALUE"""),"玉山帳戶")</f>
        <v>玉山帳戶</v>
      </c>
      <c r="G4572" t="str">
        <f>IFERROR(__xludf.DUMMYFUNCTION("""COMPUTED_VALUE"""),"內湖CityLink")</f>
        <v>內湖CityLink</v>
      </c>
      <c r="H4572" s="106" t="str">
        <f t="shared" si="1"/>
        <v>2025-06</v>
      </c>
      <c r="I4572" s="271" t="str">
        <f>IFERROR(__xludf.DUMMYFUNCTION("""COMPUTED_VALUE"""),"鯰魚大大")</f>
        <v>鯰魚大大</v>
      </c>
      <c r="J4572" t="str">
        <f>IFERROR(__xludf.DUMMYFUNCTION("IFS(
  AND(REGEXMATCH(E4572, ""台銀籌備帳戶|玉山帳戶""), REGEXMATCH(C4572, ""薪資"")), ""分潤支出"",
  AND(REGEXMATCH(E4572, ""Ben帳戶|Elsa帳戶|Ben代墊|Ariel代墊|中信銀行共用""), REGEXMATCH(F4572, ""Ben帳戶|Elsa帳戶|Ben代墊|Ariel代墊|中信銀行共用"")), ""內部轉帳(忽略)"",
  AND(E4572&lt;&gt;"""", F4572&lt;&gt;"""", N"&amp;"OT(REGEXMATCH(C4572, ""薪資""))), ""內部轉帳(忽略)"",
  REGEXMATCH(C4572, ""薪資""), ""薪資變動(不計入)"",
  REGEXMATCH(C4572, ""押金""), ""押金往來"",
  AND(E4572&lt;&gt;"""", F4572=""""), ""真實支出"",
  AND(E4572="""", F4572&lt;&gt;""""), ""真實收入"",
  TRUE, ""其他""
)"),"真實支出")</f>
        <v>真實支出</v>
      </c>
      <c r="K4572" s="270">
        <f t="shared" si="2"/>
        <v>-795</v>
      </c>
      <c r="L4572">
        <f t="shared" si="3"/>
        <v>0</v>
      </c>
    </row>
    <row r="4573">
      <c r="A4573" s="107">
        <f>IFERROR(__xludf.DUMMYFUNCTION("""COMPUTED_VALUE"""),45839.0)</f>
        <v>45839</v>
      </c>
      <c r="B4573" t="str">
        <f>IFERROR(__xludf.DUMMYFUNCTION("""COMPUTED_VALUE"""),"費用 - 匯費 對方行:013 後五碼:78744 (行號: 33)")</f>
        <v>費用 - 匯費 對方行:013 後五碼:78744 (行號: 33)</v>
      </c>
      <c r="C4573" t="str">
        <f>IFERROR(__xludf.DUMMYFUNCTION("""COMPUTED_VALUE"""),"費用 - 匯費")</f>
        <v>費用 - 匯費</v>
      </c>
      <c r="D4573" s="270">
        <f>IFERROR(__xludf.DUMMYFUNCTION("""COMPUTED_VALUE"""),-15.0)</f>
        <v>-15</v>
      </c>
      <c r="E4573" t="str">
        <f>IFERROR(__xludf.DUMMYFUNCTION("""COMPUTED_VALUE"""),"玉山帳戶")</f>
        <v>玉山帳戶</v>
      </c>
      <c r="H4573" s="106" t="str">
        <f t="shared" si="1"/>
        <v>2025-07</v>
      </c>
      <c r="I4573" s="271" t="str">
        <f>IFERROR(__xludf.DUMMYFUNCTION("""COMPUTED_VALUE"""),"鯰魚大大")</f>
        <v>鯰魚大大</v>
      </c>
      <c r="J4573" t="str">
        <f>IFERROR(__xludf.DUMMYFUNCTION("IFS(
  AND(REGEXMATCH(E4573, ""台銀籌備帳戶|玉山帳戶""), REGEXMATCH(C4573, ""薪資"")), ""分潤支出"",
  AND(REGEXMATCH(E4573, ""Ben帳戶|Elsa帳戶|Ben代墊|Ariel代墊|中信銀行共用""), REGEXMATCH(F4573, ""Ben帳戶|Elsa帳戶|Ben代墊|Ariel代墊|中信銀行共用"")), ""內部轉帳(忽略)"",
  AND(E4573&lt;&gt;"""", F4573&lt;&gt;"""", N"&amp;"OT(REGEXMATCH(C4573, ""薪資""))), ""內部轉帳(忽略)"",
  REGEXMATCH(C4573, ""薪資""), ""薪資變動(不計入)"",
  REGEXMATCH(C4573, ""押金""), ""押金往來"",
  AND(E4573&lt;&gt;"""", F4573=""""), ""真實支出"",
  AND(E4573="""", F4573&lt;&gt;""""), ""真實收入"",
  TRUE, ""其他""
)"),"真實支出")</f>
        <v>真實支出</v>
      </c>
      <c r="K4573" s="270">
        <f t="shared" si="2"/>
        <v>-15</v>
      </c>
      <c r="L4573">
        <f t="shared" si="3"/>
        <v>0</v>
      </c>
    </row>
    <row r="4574">
      <c r="A4574" s="107">
        <f>IFERROR(__xludf.DUMMYFUNCTION("""COMPUTED_VALUE"""),45839.0)</f>
        <v>45839</v>
      </c>
      <c r="B4574" t="str">
        <f>IFERROR(__xludf.DUMMYFUNCTION("""COMPUTED_VALUE"""),"[士林和豐] [楊政偉] 大租金")</f>
        <v>[士林和豐] [楊政偉] 大租金</v>
      </c>
      <c r="C4574" t="str">
        <f>IFERROR(__xludf.DUMMYFUNCTION("""COMPUTED_VALUE"""),"成本 - 大租金")</f>
        <v>成本 - 大租金</v>
      </c>
      <c r="D4574" s="270">
        <f>IFERROR(__xludf.DUMMYFUNCTION("""COMPUTED_VALUE"""),-14400.0)</f>
        <v>-14400</v>
      </c>
      <c r="E4574" t="str">
        <f>IFERROR(__xludf.DUMMYFUNCTION("""COMPUTED_VALUE"""),"玉山帳戶")</f>
        <v>玉山帳戶</v>
      </c>
      <c r="G4574" t="str">
        <f>IFERROR(__xludf.DUMMYFUNCTION("""COMPUTED_VALUE"""),"士林和豐")</f>
        <v>士林和豐</v>
      </c>
      <c r="H4574" s="106" t="str">
        <f t="shared" si="1"/>
        <v>2025-07</v>
      </c>
      <c r="I4574" s="271" t="str">
        <f>IFERROR(__xludf.DUMMYFUNCTION("""COMPUTED_VALUE"""),"鯰魚大大")</f>
        <v>鯰魚大大</v>
      </c>
      <c r="J4574" t="str">
        <f>IFERROR(__xludf.DUMMYFUNCTION("IFS(
  AND(REGEXMATCH(E4574, ""台銀籌備帳戶|玉山帳戶""), REGEXMATCH(C4574, ""薪資"")), ""分潤支出"",
  AND(REGEXMATCH(E4574, ""Ben帳戶|Elsa帳戶|Ben代墊|Ariel代墊|中信銀行共用""), REGEXMATCH(F4574, ""Ben帳戶|Elsa帳戶|Ben代墊|Ariel代墊|中信銀行共用"")), ""內部轉帳(忽略)"",
  AND(E4574&lt;&gt;"""", F4574&lt;&gt;"""", N"&amp;"OT(REGEXMATCH(C4574, ""薪資""))), ""內部轉帳(忽略)"",
  REGEXMATCH(C4574, ""薪資""), ""薪資變動(不計入)"",
  REGEXMATCH(C4574, ""押金""), ""押金往來"",
  AND(E4574&lt;&gt;"""", F4574=""""), ""真實支出"",
  AND(E4574="""", F4574&lt;&gt;""""), ""真實收入"",
  TRUE, ""其他""
)"),"真實支出")</f>
        <v>真實支出</v>
      </c>
      <c r="K4574" s="270">
        <f t="shared" si="2"/>
        <v>-14400</v>
      </c>
      <c r="L4574">
        <f t="shared" si="3"/>
        <v>0</v>
      </c>
    </row>
    <row r="4575">
      <c r="A4575" s="107">
        <f>IFERROR(__xludf.DUMMYFUNCTION("""COMPUTED_VALUE"""),45839.0)</f>
        <v>45839</v>
      </c>
      <c r="B4575" t="str">
        <f>IFERROR(__xludf.DUMMYFUNCTION("""COMPUTED_VALUE"""),"費用 - 匯費 對方行:012 後五碼:68447 (行號: 34)")</f>
        <v>費用 - 匯費 對方行:012 後五碼:68447 (行號: 34)</v>
      </c>
      <c r="C4575" t="str">
        <f>IFERROR(__xludf.DUMMYFUNCTION("""COMPUTED_VALUE"""),"費用 - 匯費")</f>
        <v>費用 - 匯費</v>
      </c>
      <c r="D4575" s="270">
        <f>IFERROR(__xludf.DUMMYFUNCTION("""COMPUTED_VALUE"""),-15.0)</f>
        <v>-15</v>
      </c>
      <c r="E4575" t="str">
        <f>IFERROR(__xludf.DUMMYFUNCTION("""COMPUTED_VALUE"""),"玉山帳戶")</f>
        <v>玉山帳戶</v>
      </c>
      <c r="H4575" s="106" t="str">
        <f t="shared" si="1"/>
        <v>2025-07</v>
      </c>
      <c r="I4575" s="271" t="str">
        <f>IFERROR(__xludf.DUMMYFUNCTION("""COMPUTED_VALUE"""),"鯰魚大大")</f>
        <v>鯰魚大大</v>
      </c>
      <c r="J4575" t="str">
        <f>IFERROR(__xludf.DUMMYFUNCTION("IFS(
  AND(REGEXMATCH(E4575, ""台銀籌備帳戶|玉山帳戶""), REGEXMATCH(C4575, ""薪資"")), ""分潤支出"",
  AND(REGEXMATCH(E4575, ""Ben帳戶|Elsa帳戶|Ben代墊|Ariel代墊|中信銀行共用""), REGEXMATCH(F4575, ""Ben帳戶|Elsa帳戶|Ben代墊|Ariel代墊|中信銀行共用"")), ""內部轉帳(忽略)"",
  AND(E4575&lt;&gt;"""", F4575&lt;&gt;"""", N"&amp;"OT(REGEXMATCH(C4575, ""薪資""))), ""內部轉帳(忽略)"",
  REGEXMATCH(C4575, ""薪資""), ""薪資變動(不計入)"",
  REGEXMATCH(C4575, ""押金""), ""押金往來"",
  AND(E4575&lt;&gt;"""", F4575=""""), ""真實支出"",
  AND(E4575="""", F4575&lt;&gt;""""), ""真實收入"",
  TRUE, ""其他""
)"),"真實支出")</f>
        <v>真實支出</v>
      </c>
      <c r="K4575" s="270">
        <f t="shared" si="2"/>
        <v>-15</v>
      </c>
      <c r="L4575">
        <f t="shared" si="3"/>
        <v>0</v>
      </c>
    </row>
    <row r="4576">
      <c r="A4576" s="107">
        <f>IFERROR(__xludf.DUMMYFUNCTION("""COMPUTED_VALUE"""),45839.0)</f>
        <v>45839</v>
      </c>
      <c r="B4576" t="str">
        <f>IFERROR(__xludf.DUMMYFUNCTION("""COMPUTED_VALUE"""),"[行天宮夏野良栗] [沈蕙萱] 大租金")</f>
        <v>[行天宮夏野良栗] [沈蕙萱] 大租金</v>
      </c>
      <c r="C4576" t="str">
        <f>IFERROR(__xludf.DUMMYFUNCTION("""COMPUTED_VALUE"""),"成本 - 大租金")</f>
        <v>成本 - 大租金</v>
      </c>
      <c r="D4576" s="270">
        <f>IFERROR(__xludf.DUMMYFUNCTION("""COMPUTED_VALUE"""),-19900.0)</f>
        <v>-19900</v>
      </c>
      <c r="E4576" t="str">
        <f>IFERROR(__xludf.DUMMYFUNCTION("""COMPUTED_VALUE"""),"玉山帳戶")</f>
        <v>玉山帳戶</v>
      </c>
      <c r="G4576" t="str">
        <f>IFERROR(__xludf.DUMMYFUNCTION("""COMPUTED_VALUE"""),"行天宮夏野良栗")</f>
        <v>行天宮夏野良栗</v>
      </c>
      <c r="H4576" s="106" t="str">
        <f t="shared" si="1"/>
        <v>2025-07</v>
      </c>
      <c r="I4576" s="271" t="str">
        <f>IFERROR(__xludf.DUMMYFUNCTION("""COMPUTED_VALUE"""),"鯰魚大大")</f>
        <v>鯰魚大大</v>
      </c>
      <c r="J4576" t="str">
        <f>IFERROR(__xludf.DUMMYFUNCTION("IFS(
  AND(REGEXMATCH(E4576, ""台銀籌備帳戶|玉山帳戶""), REGEXMATCH(C4576, ""薪資"")), ""分潤支出"",
  AND(REGEXMATCH(E4576, ""Ben帳戶|Elsa帳戶|Ben代墊|Ariel代墊|中信銀行共用""), REGEXMATCH(F4576, ""Ben帳戶|Elsa帳戶|Ben代墊|Ariel代墊|中信銀行共用"")), ""內部轉帳(忽略)"",
  AND(E4576&lt;&gt;"""", F4576&lt;&gt;"""", N"&amp;"OT(REGEXMATCH(C4576, ""薪資""))), ""內部轉帳(忽略)"",
  REGEXMATCH(C4576, ""薪資""), ""薪資變動(不計入)"",
  REGEXMATCH(C4576, ""押金""), ""押金往來"",
  AND(E4576&lt;&gt;"""", F4576=""""), ""真實支出"",
  AND(E4576="""", F4576&lt;&gt;""""), ""真實收入"",
  TRUE, ""其他""
)"),"真實支出")</f>
        <v>真實支出</v>
      </c>
      <c r="K4576" s="270">
        <f t="shared" si="2"/>
        <v>-19900</v>
      </c>
      <c r="L4576">
        <f t="shared" si="3"/>
        <v>0</v>
      </c>
    </row>
    <row r="4577">
      <c r="A4577" s="107">
        <f>IFERROR(__xludf.DUMMYFUNCTION("""COMPUTED_VALUE"""),45839.0)</f>
        <v>45839</v>
      </c>
      <c r="B4577" t="str">
        <f>IFERROR(__xludf.DUMMYFUNCTION("""COMPUTED_VALUE"""),"費用 - 匯費 對方行:012 後五碼:53048 (行號: 35)")</f>
        <v>費用 - 匯費 對方行:012 後五碼:53048 (行號: 35)</v>
      </c>
      <c r="C4577" t="str">
        <f>IFERROR(__xludf.DUMMYFUNCTION("""COMPUTED_VALUE"""),"費用 - 匯費")</f>
        <v>費用 - 匯費</v>
      </c>
      <c r="D4577" s="270">
        <f>IFERROR(__xludf.DUMMYFUNCTION("""COMPUTED_VALUE"""),-15.0)</f>
        <v>-15</v>
      </c>
      <c r="E4577" t="str">
        <f>IFERROR(__xludf.DUMMYFUNCTION("""COMPUTED_VALUE"""),"玉山帳戶")</f>
        <v>玉山帳戶</v>
      </c>
      <c r="H4577" s="106" t="str">
        <f t="shared" si="1"/>
        <v>2025-07</v>
      </c>
      <c r="I4577" s="271" t="str">
        <f>IFERROR(__xludf.DUMMYFUNCTION("""COMPUTED_VALUE"""),"鯰魚大大")</f>
        <v>鯰魚大大</v>
      </c>
      <c r="J4577" t="str">
        <f>IFERROR(__xludf.DUMMYFUNCTION("IFS(
  AND(REGEXMATCH(E4577, ""台銀籌備帳戶|玉山帳戶""), REGEXMATCH(C4577, ""薪資"")), ""分潤支出"",
  AND(REGEXMATCH(E4577, ""Ben帳戶|Elsa帳戶|Ben代墊|Ariel代墊|中信銀行共用""), REGEXMATCH(F4577, ""Ben帳戶|Elsa帳戶|Ben代墊|Ariel代墊|中信銀行共用"")), ""內部轉帳(忽略)"",
  AND(E4577&lt;&gt;"""", F4577&lt;&gt;"""", N"&amp;"OT(REGEXMATCH(C4577, ""薪資""))), ""內部轉帳(忽略)"",
  REGEXMATCH(C4577, ""薪資""), ""薪資變動(不計入)"",
  REGEXMATCH(C4577, ""押金""), ""押金往來"",
  AND(E4577&lt;&gt;"""", F4577=""""), ""真實支出"",
  AND(E4577="""", F4577&lt;&gt;""""), ""真實收入"",
  TRUE, ""其他""
)"),"真實支出")</f>
        <v>真實支出</v>
      </c>
      <c r="K4577" s="270">
        <f t="shared" si="2"/>
        <v>-15</v>
      </c>
      <c r="L4577">
        <f t="shared" si="3"/>
        <v>0</v>
      </c>
    </row>
    <row r="4578">
      <c r="A4578" s="107">
        <f>IFERROR(__xludf.DUMMYFUNCTION("""COMPUTED_VALUE"""),45839.0)</f>
        <v>45839</v>
      </c>
      <c r="B4578" t="str">
        <f>IFERROR(__xludf.DUMMYFUNCTION("""COMPUTED_VALUE"""),"[內湖秘境] [周佳慧] 大租金")</f>
        <v>[內湖秘境] [周佳慧] 大租金</v>
      </c>
      <c r="C4578" t="str">
        <f>IFERROR(__xludf.DUMMYFUNCTION("""COMPUTED_VALUE"""),"成本 - 大租金")</f>
        <v>成本 - 大租金</v>
      </c>
      <c r="D4578" s="270">
        <f>IFERROR(__xludf.DUMMYFUNCTION("""COMPUTED_VALUE"""),-15000.0)</f>
        <v>-15000</v>
      </c>
      <c r="E4578" t="str">
        <f>IFERROR(__xludf.DUMMYFUNCTION("""COMPUTED_VALUE"""),"玉山帳戶")</f>
        <v>玉山帳戶</v>
      </c>
      <c r="G4578" t="str">
        <f>IFERROR(__xludf.DUMMYFUNCTION("""COMPUTED_VALUE"""),"內湖秘境")</f>
        <v>內湖秘境</v>
      </c>
      <c r="H4578" s="106" t="str">
        <f t="shared" si="1"/>
        <v>2025-07</v>
      </c>
      <c r="I4578" s="271" t="str">
        <f>IFERROR(__xludf.DUMMYFUNCTION("""COMPUTED_VALUE"""),"鯰魚大大")</f>
        <v>鯰魚大大</v>
      </c>
      <c r="J4578" t="str">
        <f>IFERROR(__xludf.DUMMYFUNCTION("IFS(
  AND(REGEXMATCH(E4578, ""台銀籌備帳戶|玉山帳戶""), REGEXMATCH(C4578, ""薪資"")), ""分潤支出"",
  AND(REGEXMATCH(E4578, ""Ben帳戶|Elsa帳戶|Ben代墊|Ariel代墊|中信銀行共用""), REGEXMATCH(F4578, ""Ben帳戶|Elsa帳戶|Ben代墊|Ariel代墊|中信銀行共用"")), ""內部轉帳(忽略)"",
  AND(E4578&lt;&gt;"""", F4578&lt;&gt;"""", N"&amp;"OT(REGEXMATCH(C4578, ""薪資""))), ""內部轉帳(忽略)"",
  REGEXMATCH(C4578, ""薪資""), ""薪資變動(不計入)"",
  REGEXMATCH(C4578, ""押金""), ""押金往來"",
  AND(E4578&lt;&gt;"""", F4578=""""), ""真實支出"",
  AND(E4578="""", F4578&lt;&gt;""""), ""真實收入"",
  TRUE, ""其他""
)"),"真實支出")</f>
        <v>真實支出</v>
      </c>
      <c r="K4578" s="270">
        <f t="shared" si="2"/>
        <v>-15000</v>
      </c>
      <c r="L4578">
        <f t="shared" si="3"/>
        <v>0</v>
      </c>
    </row>
    <row r="4579">
      <c r="A4579" s="107">
        <f>IFERROR(__xludf.DUMMYFUNCTION("""COMPUTED_VALUE"""),45839.0)</f>
        <v>45839</v>
      </c>
      <c r="B4579" t="str">
        <f>IFERROR(__xludf.DUMMYFUNCTION("""COMPUTED_VALUE"""),"費用 - 匯費 對方行:004 後五碼:10749 (行號: 41)")</f>
        <v>費用 - 匯費 對方行:004 後五碼:10749 (行號: 41)</v>
      </c>
      <c r="C4579" t="str">
        <f>IFERROR(__xludf.DUMMYFUNCTION("""COMPUTED_VALUE"""),"費用 - 匯費")</f>
        <v>費用 - 匯費</v>
      </c>
      <c r="D4579" s="270">
        <f>IFERROR(__xludf.DUMMYFUNCTION("""COMPUTED_VALUE"""),-15.0)</f>
        <v>-15</v>
      </c>
      <c r="E4579" t="str">
        <f>IFERROR(__xludf.DUMMYFUNCTION("""COMPUTED_VALUE"""),"玉山帳戶")</f>
        <v>玉山帳戶</v>
      </c>
      <c r="H4579" s="106" t="str">
        <f t="shared" si="1"/>
        <v>2025-07</v>
      </c>
      <c r="I4579" s="271" t="str">
        <f>IFERROR(__xludf.DUMMYFUNCTION("""COMPUTED_VALUE"""),"鯰魚大大")</f>
        <v>鯰魚大大</v>
      </c>
      <c r="J4579" t="str">
        <f>IFERROR(__xludf.DUMMYFUNCTION("IFS(
  AND(REGEXMATCH(E4579, ""台銀籌備帳戶|玉山帳戶""), REGEXMATCH(C4579, ""薪資"")), ""分潤支出"",
  AND(REGEXMATCH(E4579, ""Ben帳戶|Elsa帳戶|Ben代墊|Ariel代墊|中信銀行共用""), REGEXMATCH(F4579, ""Ben帳戶|Elsa帳戶|Ben代墊|Ariel代墊|中信銀行共用"")), ""內部轉帳(忽略)"",
  AND(E4579&lt;&gt;"""", F4579&lt;&gt;"""", N"&amp;"OT(REGEXMATCH(C4579, ""薪資""))), ""內部轉帳(忽略)"",
  REGEXMATCH(C4579, ""薪資""), ""薪資變動(不計入)"",
  REGEXMATCH(C4579, ""押金""), ""押金往來"",
  AND(E4579&lt;&gt;"""", F4579=""""), ""真實支出"",
  AND(E4579="""", F4579&lt;&gt;""""), ""真實收入"",
  TRUE, ""其他""
)"),"真實支出")</f>
        <v>真實支出</v>
      </c>
      <c r="K4579" s="270">
        <f t="shared" si="2"/>
        <v>-15</v>
      </c>
      <c r="L4579">
        <f t="shared" si="3"/>
        <v>0</v>
      </c>
    </row>
    <row r="4580">
      <c r="A4580" s="107">
        <f>IFERROR(__xludf.DUMMYFUNCTION("""COMPUTED_VALUE"""),45839.0)</f>
        <v>45839</v>
      </c>
      <c r="B4580" t="str">
        <f>IFERROR(__xludf.DUMMYFUNCTION("""COMPUTED_VALUE"""),"火雞企鵝雜費 【未分類支出】")</f>
        <v>火雞企鵝雜費 【未分類支出】</v>
      </c>
      <c r="C4580" t="str">
        <f>IFERROR(__xludf.DUMMYFUNCTION("""COMPUTED_VALUE"""),"成本 - 進場前裝潢費")</f>
        <v>成本 - 進場前裝潢費</v>
      </c>
      <c r="D4580" s="270">
        <f>IFERROR(__xludf.DUMMYFUNCTION("""COMPUTED_VALUE"""),-20796.0)</f>
        <v>-20796</v>
      </c>
      <c r="E4580" t="str">
        <f>IFERROR(__xludf.DUMMYFUNCTION("""COMPUTED_VALUE"""),"玉山帳戶")</f>
        <v>玉山帳戶</v>
      </c>
      <c r="G4580" t="str">
        <f>IFERROR(__xludf.DUMMYFUNCTION("""COMPUTED_VALUE"""),"內湖CityLink")</f>
        <v>內湖CityLink</v>
      </c>
      <c r="H4580" s="106" t="str">
        <f t="shared" si="1"/>
        <v>2025-07</v>
      </c>
      <c r="I4580" s="271" t="str">
        <f>IFERROR(__xludf.DUMMYFUNCTION("""COMPUTED_VALUE"""),"鯰魚大大")</f>
        <v>鯰魚大大</v>
      </c>
      <c r="J4580" t="str">
        <f>IFERROR(__xludf.DUMMYFUNCTION("IFS(
  AND(REGEXMATCH(E4580, ""台銀籌備帳戶|玉山帳戶""), REGEXMATCH(C4580, ""薪資"")), ""分潤支出"",
  AND(REGEXMATCH(E4580, ""Ben帳戶|Elsa帳戶|Ben代墊|Ariel代墊|中信銀行共用""), REGEXMATCH(F4580, ""Ben帳戶|Elsa帳戶|Ben代墊|Ariel代墊|中信銀行共用"")), ""內部轉帳(忽略)"",
  AND(E4580&lt;&gt;"""", F4580&lt;&gt;"""", N"&amp;"OT(REGEXMATCH(C4580, ""薪資""))), ""內部轉帳(忽略)"",
  REGEXMATCH(C4580, ""薪資""), ""薪資變動(不計入)"",
  REGEXMATCH(C4580, ""押金""), ""押金往來"",
  AND(E4580&lt;&gt;"""", F4580=""""), ""真實支出"",
  AND(E4580="""", F4580&lt;&gt;""""), ""真實收入"",
  TRUE, ""其他""
)"),"真實支出")</f>
        <v>真實支出</v>
      </c>
      <c r="K4580" s="270">
        <f t="shared" si="2"/>
        <v>-20796</v>
      </c>
      <c r="L4580">
        <f t="shared" si="3"/>
        <v>0</v>
      </c>
    </row>
    <row r="4581">
      <c r="A4581" s="107">
        <f>IFERROR(__xludf.DUMMYFUNCTION("""COMPUTED_VALUE"""),45840.0)</f>
        <v>45840</v>
      </c>
      <c r="B4581" t="str">
        <f>IFERROR(__xludf.DUMMYFUNCTION("""COMPUTED_VALUE"""),"費用 - 匯費 對方行:700 後五碼:84843 (行號: 45)")</f>
        <v>費用 - 匯費 對方行:700 後五碼:84843 (行號: 45)</v>
      </c>
      <c r="C4581" t="str">
        <f>IFERROR(__xludf.DUMMYFUNCTION("""COMPUTED_VALUE"""),"費用 - 匯費")</f>
        <v>費用 - 匯費</v>
      </c>
      <c r="D4581" s="270">
        <f>IFERROR(__xludf.DUMMYFUNCTION("""COMPUTED_VALUE"""),-15.0)</f>
        <v>-15</v>
      </c>
      <c r="E4581" t="str">
        <f>IFERROR(__xludf.DUMMYFUNCTION("""COMPUTED_VALUE"""),"玉山帳戶")</f>
        <v>玉山帳戶</v>
      </c>
      <c r="H4581" s="106" t="str">
        <f t="shared" si="1"/>
        <v>2025-07</v>
      </c>
      <c r="I4581" s="271" t="str">
        <f>IFERROR(__xludf.DUMMYFUNCTION("""COMPUTED_VALUE"""),"鯰魚大大")</f>
        <v>鯰魚大大</v>
      </c>
      <c r="J4581" t="str">
        <f>IFERROR(__xludf.DUMMYFUNCTION("IFS(
  AND(REGEXMATCH(E4581, ""台銀籌備帳戶|玉山帳戶""), REGEXMATCH(C4581, ""薪資"")), ""分潤支出"",
  AND(REGEXMATCH(E4581, ""Ben帳戶|Elsa帳戶|Ben代墊|Ariel代墊|中信銀行共用""), REGEXMATCH(F4581, ""Ben帳戶|Elsa帳戶|Ben代墊|Ariel代墊|中信銀行共用"")), ""內部轉帳(忽略)"",
  AND(E4581&lt;&gt;"""", F4581&lt;&gt;"""", N"&amp;"OT(REGEXMATCH(C4581, ""薪資""))), ""內部轉帳(忽略)"",
  REGEXMATCH(C4581, ""薪資""), ""薪資變動(不計入)"",
  REGEXMATCH(C4581, ""押金""), ""押金往來"",
  AND(E4581&lt;&gt;"""", F4581=""""), ""真實支出"",
  AND(E4581="""", F4581&lt;&gt;""""), ""真實收入"",
  TRUE, ""其他""
)"),"真實支出")</f>
        <v>真實支出</v>
      </c>
      <c r="K4581" s="270">
        <f t="shared" si="2"/>
        <v>-15</v>
      </c>
      <c r="L4581">
        <f t="shared" si="3"/>
        <v>0</v>
      </c>
    </row>
    <row r="4582">
      <c r="A4582" s="107">
        <f>IFERROR(__xludf.DUMMYFUNCTION("""COMPUTED_VALUE"""),45840.0)</f>
        <v>45840</v>
      </c>
      <c r="B4582" t="str">
        <f>IFERROR(__xludf.DUMMYFUNCTION("""COMPUTED_VALUE"""),"[內湖秘境] [周佳慧] 大租金")</f>
        <v>[內湖秘境] [周佳慧] 大租金</v>
      </c>
      <c r="C4582" t="str">
        <f>IFERROR(__xludf.DUMMYFUNCTION("""COMPUTED_VALUE"""),"成本 - 大租金")</f>
        <v>成本 - 大租金</v>
      </c>
      <c r="D4582" s="270">
        <f>IFERROR(__xludf.DUMMYFUNCTION("""COMPUTED_VALUE"""),-15000.0)</f>
        <v>-15000</v>
      </c>
      <c r="E4582" t="str">
        <f>IFERROR(__xludf.DUMMYFUNCTION("""COMPUTED_VALUE"""),"玉山帳戶")</f>
        <v>玉山帳戶</v>
      </c>
      <c r="G4582" t="str">
        <f>IFERROR(__xludf.DUMMYFUNCTION("""COMPUTED_VALUE"""),"內湖秘境")</f>
        <v>內湖秘境</v>
      </c>
      <c r="H4582" s="106" t="str">
        <f t="shared" si="1"/>
        <v>2025-07</v>
      </c>
      <c r="I4582" s="271" t="str">
        <f>IFERROR(__xludf.DUMMYFUNCTION("""COMPUTED_VALUE"""),"鯰魚大大")</f>
        <v>鯰魚大大</v>
      </c>
      <c r="J4582" t="str">
        <f>IFERROR(__xludf.DUMMYFUNCTION("IFS(
  AND(REGEXMATCH(E4582, ""台銀籌備帳戶|玉山帳戶""), REGEXMATCH(C4582, ""薪資"")), ""分潤支出"",
  AND(REGEXMATCH(E4582, ""Ben帳戶|Elsa帳戶|Ben代墊|Ariel代墊|中信銀行共用""), REGEXMATCH(F4582, ""Ben帳戶|Elsa帳戶|Ben代墊|Ariel代墊|中信銀行共用"")), ""內部轉帳(忽略)"",
  AND(E4582&lt;&gt;"""", F4582&lt;&gt;"""", N"&amp;"OT(REGEXMATCH(C4582, ""薪資""))), ""內部轉帳(忽略)"",
  REGEXMATCH(C4582, ""薪資""), ""薪資變動(不計入)"",
  REGEXMATCH(C4582, ""押金""), ""押金往來"",
  AND(E4582&lt;&gt;"""", F4582=""""), ""真實支出"",
  AND(E4582="""", F4582&lt;&gt;""""), ""真實收入"",
  TRUE, ""其他""
)"),"真實支出")</f>
        <v>真實支出</v>
      </c>
      <c r="K4582" s="270">
        <f t="shared" si="2"/>
        <v>-15000</v>
      </c>
      <c r="L4582">
        <f t="shared" si="3"/>
        <v>0</v>
      </c>
    </row>
    <row r="4583">
      <c r="A4583" s="107">
        <f>IFERROR(__xludf.DUMMYFUNCTION("""COMPUTED_VALUE"""),45819.0)</f>
        <v>45819</v>
      </c>
      <c r="B4583" t="str">
        <f>IFERROR(__xludf.DUMMYFUNCTION("""COMPUTED_VALUE"""),"中信銀行 【不明收入 (行號: 4)】")</f>
        <v>中信銀行 【不明收入 (行號: 4)】</v>
      </c>
      <c r="C4583" t="str">
        <f>IFERROR(__xludf.DUMMYFUNCTION("""COMPUTED_VALUE"""),"收入 - 其他")</f>
        <v>收入 - 其他</v>
      </c>
      <c r="D4583" s="270">
        <f>IFERROR(__xludf.DUMMYFUNCTION("""COMPUTED_VALUE"""),32634.0)</f>
        <v>32634</v>
      </c>
      <c r="F4583" t="str">
        <f>IFERROR(__xludf.DUMMYFUNCTION("""COMPUTED_VALUE"""),"玉山帳戶")</f>
        <v>玉山帳戶</v>
      </c>
      <c r="H4583" s="106" t="str">
        <f t="shared" si="1"/>
        <v>2025-06</v>
      </c>
      <c r="I4583" s="271" t="str">
        <f>IFERROR(__xludf.DUMMYFUNCTION("""COMPUTED_VALUE"""),"鯰魚大大")</f>
        <v>鯰魚大大</v>
      </c>
      <c r="J4583" t="str">
        <f>IFERROR(__xludf.DUMMYFUNCTION("IFS(
  AND(REGEXMATCH(E4583, ""台銀籌備帳戶|玉山帳戶""), REGEXMATCH(C4583, ""薪資"")), ""分潤支出"",
  AND(REGEXMATCH(E4583, ""Ben帳戶|Elsa帳戶|Ben代墊|Ariel代墊|中信銀行共用""), REGEXMATCH(F4583, ""Ben帳戶|Elsa帳戶|Ben代墊|Ariel代墊|中信銀行共用"")), ""內部轉帳(忽略)"",
  AND(E4583&lt;&gt;"""", F4583&lt;&gt;"""", N"&amp;"OT(REGEXMATCH(C4583, ""薪資""))), ""內部轉帳(忽略)"",
  REGEXMATCH(C4583, ""薪資""), ""薪資變動(不計入)"",
  REGEXMATCH(C4583, ""押金""), ""押金往來"",
  AND(E4583&lt;&gt;"""", F4583=""""), ""真實支出"",
  AND(E4583="""", F4583&lt;&gt;""""), ""真實收入"",
  TRUE, ""其他""
)"),"真實收入")</f>
        <v>真實收入</v>
      </c>
      <c r="K4583" s="270">
        <f t="shared" si="2"/>
        <v>32634</v>
      </c>
      <c r="L4583">
        <f t="shared" si="3"/>
        <v>0</v>
      </c>
    </row>
    <row r="4584">
      <c r="A4584" s="107">
        <f>IFERROR(__xludf.DUMMYFUNCTION("""COMPUTED_VALUE"""),45821.0)</f>
        <v>45821</v>
      </c>
      <c r="B4584" t="str">
        <f>IFERROR(__xludf.DUMMYFUNCTION("""COMPUTED_VALUE"""),"一銀 【不明收入 (行號: 6)】")</f>
        <v>一銀 【不明收入 (行號: 6)】</v>
      </c>
      <c r="C4584" t="str">
        <f>IFERROR(__xludf.DUMMYFUNCTION("""COMPUTED_VALUE"""),"收入 - 其他")</f>
        <v>收入 - 其他</v>
      </c>
      <c r="D4584" s="270">
        <f>IFERROR(__xludf.DUMMYFUNCTION("""COMPUTED_VALUE"""),783.0)</f>
        <v>783</v>
      </c>
      <c r="F4584" t="str">
        <f>IFERROR(__xludf.DUMMYFUNCTION("""COMPUTED_VALUE"""),"玉山帳戶")</f>
        <v>玉山帳戶</v>
      </c>
      <c r="H4584" s="106" t="str">
        <f t="shared" si="1"/>
        <v>2025-06</v>
      </c>
      <c r="I4584" s="271" t="str">
        <f>IFERROR(__xludf.DUMMYFUNCTION("""COMPUTED_VALUE"""),"鯰魚大大")</f>
        <v>鯰魚大大</v>
      </c>
      <c r="J4584" t="str">
        <f>IFERROR(__xludf.DUMMYFUNCTION("IFS(
  AND(REGEXMATCH(E4584, ""台銀籌備帳戶|玉山帳戶""), REGEXMATCH(C4584, ""薪資"")), ""分潤支出"",
  AND(REGEXMATCH(E4584, ""Ben帳戶|Elsa帳戶|Ben代墊|Ariel代墊|中信銀行共用""), REGEXMATCH(F4584, ""Ben帳戶|Elsa帳戶|Ben代墊|Ariel代墊|中信銀行共用"")), ""內部轉帳(忽略)"",
  AND(E4584&lt;&gt;"""", F4584&lt;&gt;"""", N"&amp;"OT(REGEXMATCH(C4584, ""薪資""))), ""內部轉帳(忽略)"",
  REGEXMATCH(C4584, ""薪資""), ""薪資變動(不計入)"",
  REGEXMATCH(C4584, ""押金""), ""押金往來"",
  AND(E4584&lt;&gt;"""", F4584=""""), ""真實支出"",
  AND(E4584="""", F4584&lt;&gt;""""), ""真實收入"",
  TRUE, ""其他""
)"),"真實收入")</f>
        <v>真實收入</v>
      </c>
      <c r="K4584" s="270">
        <f t="shared" si="2"/>
        <v>783</v>
      </c>
      <c r="L4584">
        <f t="shared" si="3"/>
        <v>0</v>
      </c>
    </row>
    <row r="4585">
      <c r="A4585" s="107">
        <f>IFERROR(__xludf.DUMMYFUNCTION("""COMPUTED_VALUE"""),45825.0)</f>
        <v>45825</v>
      </c>
      <c r="B4585" t="str">
        <f>IFERROR(__xludf.DUMMYFUNCTION("""COMPUTED_VALUE"""),"不明收入")</f>
        <v>不明收入</v>
      </c>
      <c r="C4585" t="str">
        <f>IFERROR(__xludf.DUMMYFUNCTION("""COMPUTED_VALUE"""),"收入 - 其他")</f>
        <v>收入 - 其他</v>
      </c>
      <c r="D4585" s="270">
        <f>IFERROR(__xludf.DUMMYFUNCTION("""COMPUTED_VALUE"""),0.0)</f>
        <v>0</v>
      </c>
      <c r="F4585" t="str">
        <f>IFERROR(__xludf.DUMMYFUNCTION("""COMPUTED_VALUE"""),"玉山帳戶")</f>
        <v>玉山帳戶</v>
      </c>
      <c r="H4585" s="106" t="str">
        <f t="shared" si="1"/>
        <v>2025-06</v>
      </c>
      <c r="I4585" s="271" t="str">
        <f>IFERROR(__xludf.DUMMYFUNCTION("""COMPUTED_VALUE"""),"鯰魚大大")</f>
        <v>鯰魚大大</v>
      </c>
      <c r="J4585" t="str">
        <f>IFERROR(__xludf.DUMMYFUNCTION("IFS(
  AND(REGEXMATCH(E4585, ""台銀籌備帳戶|玉山帳戶""), REGEXMATCH(C4585, ""薪資"")), ""分潤支出"",
  AND(REGEXMATCH(E4585, ""Ben帳戶|Elsa帳戶|Ben代墊|Ariel代墊|中信銀行共用""), REGEXMATCH(F4585, ""Ben帳戶|Elsa帳戶|Ben代墊|Ariel代墊|中信銀行共用"")), ""內部轉帳(忽略)"",
  AND(E4585&lt;&gt;"""", F4585&lt;&gt;"""", N"&amp;"OT(REGEXMATCH(C4585, ""薪資""))), ""內部轉帳(忽略)"",
  REGEXMATCH(C4585, ""薪資""), ""薪資變動(不計入)"",
  REGEXMATCH(C4585, ""押金""), ""押金往來"",
  AND(E4585&lt;&gt;"""", F4585=""""), ""真實支出"",
  AND(E4585="""", F4585&lt;&gt;""""), ""真實收入"",
  TRUE, ""其他""
)"),"真實收入")</f>
        <v>真實收入</v>
      </c>
      <c r="K4585" s="270">
        <f t="shared" si="2"/>
        <v>0</v>
      </c>
      <c r="L4585">
        <f t="shared" si="3"/>
        <v>0</v>
      </c>
    </row>
    <row r="4586">
      <c r="A4586" s="107">
        <f>IFERROR(__xludf.DUMMYFUNCTION("""COMPUTED_VALUE"""),45831.0)</f>
        <v>45831</v>
      </c>
      <c r="B4586" t="str">
        <f>IFERROR(__xludf.DUMMYFUNCTION("""COMPUTED_VALUE"""),"9405***2 【不明收入 (行號: 15)】")</f>
        <v>9405***2 【不明收入 (行號: 15)】</v>
      </c>
      <c r="C4586" t="str">
        <f>IFERROR(__xludf.DUMMYFUNCTION("""COMPUTED_VALUE"""),"收入 - 政府補助/退稅")</f>
        <v>收入 - 政府補助/退稅</v>
      </c>
      <c r="D4586" s="270">
        <f>IFERROR(__xludf.DUMMYFUNCTION("""COMPUTED_VALUE"""),1481.0)</f>
        <v>1481</v>
      </c>
      <c r="F4586" t="str">
        <f>IFERROR(__xludf.DUMMYFUNCTION("""COMPUTED_VALUE"""),"玉山帳戶")</f>
        <v>玉山帳戶</v>
      </c>
      <c r="H4586" s="106" t="str">
        <f t="shared" si="1"/>
        <v>2025-06</v>
      </c>
      <c r="I4586" s="271" t="str">
        <f>IFERROR(__xludf.DUMMYFUNCTION("""COMPUTED_VALUE"""),"鯰魚大大")</f>
        <v>鯰魚大大</v>
      </c>
      <c r="J4586" t="str">
        <f>IFERROR(__xludf.DUMMYFUNCTION("IFS(
  AND(REGEXMATCH(E4586, ""台銀籌備帳戶|玉山帳戶""), REGEXMATCH(C4586, ""薪資"")), ""分潤支出"",
  AND(REGEXMATCH(E4586, ""Ben帳戶|Elsa帳戶|Ben代墊|Ariel代墊|中信銀行共用""), REGEXMATCH(F4586, ""Ben帳戶|Elsa帳戶|Ben代墊|Ariel代墊|中信銀行共用"")), ""內部轉帳(忽略)"",
  AND(E4586&lt;&gt;"""", F4586&lt;&gt;"""", N"&amp;"OT(REGEXMATCH(C4586, ""薪資""))), ""內部轉帳(忽略)"",
  REGEXMATCH(C4586, ""薪資""), ""薪資變動(不計入)"",
  REGEXMATCH(C4586, ""押金""), ""押金往來"",
  AND(E4586&lt;&gt;"""", F4586=""""), ""真實支出"",
  AND(E4586="""", F4586&lt;&gt;""""), ""真實收入"",
  TRUE, ""其他""
)"),"真實收入")</f>
        <v>真實收入</v>
      </c>
      <c r="K4586" s="270">
        <f t="shared" si="2"/>
        <v>1481</v>
      </c>
      <c r="L4586">
        <f t="shared" si="3"/>
        <v>0</v>
      </c>
    </row>
    <row r="4587">
      <c r="A4587" s="107">
        <f>IFERROR(__xludf.DUMMYFUNCTION("""COMPUTED_VALUE"""),45831.0)</f>
        <v>45831</v>
      </c>
      <c r="B4587" t="str">
        <f>IFERROR(__xludf.DUMMYFUNCTION("""COMPUTED_VALUE"""),"[內湖CityLink] D [綺] 押金 (行號: 13)")</f>
        <v>[內湖CityLink] D [綺] 押金 (行號: 13)</v>
      </c>
      <c r="C4587" t="str">
        <f>IFERROR(__xludf.DUMMYFUNCTION("""COMPUTED_VALUE"""),"收入 - 押金")</f>
        <v>收入 - 押金</v>
      </c>
      <c r="D4587" s="270">
        <f>IFERROR(__xludf.DUMMYFUNCTION("""COMPUTED_VALUE"""),25000.0)</f>
        <v>25000</v>
      </c>
      <c r="F4587" t="str">
        <f>IFERROR(__xludf.DUMMYFUNCTION("""COMPUTED_VALUE"""),"玉山帳戶")</f>
        <v>玉山帳戶</v>
      </c>
      <c r="G4587" t="str">
        <f>IFERROR(__xludf.DUMMYFUNCTION("""COMPUTED_VALUE"""),"內湖CityLink")</f>
        <v>內湖CityLink</v>
      </c>
      <c r="H4587" s="106" t="str">
        <f t="shared" si="1"/>
        <v>2025-06</v>
      </c>
      <c r="I4587" s="271" t="str">
        <f>IFERROR(__xludf.DUMMYFUNCTION("""COMPUTED_VALUE"""),"鯰魚大大")</f>
        <v>鯰魚大大</v>
      </c>
      <c r="J4587" t="str">
        <f>IFERROR(__xludf.DUMMYFUNCTION("IFS(
  AND(REGEXMATCH(E4587, ""台銀籌備帳戶|玉山帳戶""), REGEXMATCH(C4587, ""薪資"")), ""分潤支出"",
  AND(REGEXMATCH(E4587, ""Ben帳戶|Elsa帳戶|Ben代墊|Ariel代墊|中信銀行共用""), REGEXMATCH(F4587, ""Ben帳戶|Elsa帳戶|Ben代墊|Ariel代墊|中信銀行共用"")), ""內部轉帳(忽略)"",
  AND(E4587&lt;&gt;"""", F4587&lt;&gt;"""", N"&amp;"OT(REGEXMATCH(C4587, ""薪資""))), ""內部轉帳(忽略)"",
  REGEXMATCH(C4587, ""薪資""), ""薪資變動(不計入)"",
  REGEXMATCH(C4587, ""押金""), ""押金往來"",
  AND(E4587&lt;&gt;"""", F4587=""""), ""真實支出"",
  AND(E4587="""", F4587&lt;&gt;""""), ""真實收入"",
  TRUE, ""其他""
)"),"押金往來")</f>
        <v>押金往來</v>
      </c>
      <c r="K4587">
        <f t="shared" si="2"/>
        <v>0</v>
      </c>
      <c r="L4587">
        <f t="shared" si="3"/>
        <v>0</v>
      </c>
    </row>
    <row r="4588">
      <c r="A4588" s="107">
        <f>IFERROR(__xludf.DUMMYFUNCTION("""COMPUTED_VALUE"""),45831.0)</f>
        <v>45831</v>
      </c>
      <c r="B4588" t="str">
        <f>IFERROR(__xludf.DUMMYFUNCTION("""COMPUTED_VALUE"""),"[內湖CityLink] F [Ardian] 租金 (行號: 13)")</f>
        <v>[內湖CityLink] F [Ardian] 租金 (行號: 13)</v>
      </c>
      <c r="C4588" t="str">
        <f>IFERROR(__xludf.DUMMYFUNCTION("""COMPUTED_VALUE"""),"收入 - 租金")</f>
        <v>收入 - 租金</v>
      </c>
      <c r="D4588" s="270">
        <f>IFERROR(__xludf.DUMMYFUNCTION("""COMPUTED_VALUE"""),14630.0)</f>
        <v>14630</v>
      </c>
      <c r="F4588" t="str">
        <f>IFERROR(__xludf.DUMMYFUNCTION("""COMPUTED_VALUE"""),"玉山帳戶")</f>
        <v>玉山帳戶</v>
      </c>
      <c r="G4588" t="str">
        <f>IFERROR(__xludf.DUMMYFUNCTION("""COMPUTED_VALUE"""),"內湖CityLink")</f>
        <v>內湖CityLink</v>
      </c>
      <c r="H4588" s="106" t="str">
        <f t="shared" si="1"/>
        <v>2025-06</v>
      </c>
      <c r="I4588" s="271" t="str">
        <f>IFERROR(__xludf.DUMMYFUNCTION("""COMPUTED_VALUE"""),"鯰魚大大")</f>
        <v>鯰魚大大</v>
      </c>
      <c r="J4588" t="str">
        <f>IFERROR(__xludf.DUMMYFUNCTION("IFS(
  AND(REGEXMATCH(E4588, ""台銀籌備帳戶|玉山帳戶""), REGEXMATCH(C4588, ""薪資"")), ""分潤支出"",
  AND(REGEXMATCH(E4588, ""Ben帳戶|Elsa帳戶|Ben代墊|Ariel代墊|中信銀行共用""), REGEXMATCH(F4588, ""Ben帳戶|Elsa帳戶|Ben代墊|Ariel代墊|中信銀行共用"")), ""內部轉帳(忽略)"",
  AND(E4588&lt;&gt;"""", F4588&lt;&gt;"""", N"&amp;"OT(REGEXMATCH(C4588, ""薪資""))), ""內部轉帳(忽略)"",
  REGEXMATCH(C4588, ""薪資""), ""薪資變動(不計入)"",
  REGEXMATCH(C4588, ""押金""), ""押金往來"",
  AND(E4588&lt;&gt;"""", F4588=""""), ""真實支出"",
  AND(E4588="""", F4588&lt;&gt;""""), ""真實收入"",
  TRUE, ""其他""
)"),"真實收入")</f>
        <v>真實收入</v>
      </c>
      <c r="K4588" s="270">
        <f t="shared" si="2"/>
        <v>14630</v>
      </c>
      <c r="L4588">
        <f t="shared" si="3"/>
        <v>0</v>
      </c>
    </row>
    <row r="4589">
      <c r="A4589" s="107">
        <f>IFERROR(__xludf.DUMMYFUNCTION("""COMPUTED_VALUE"""),45831.0)</f>
        <v>45831</v>
      </c>
      <c r="B4589" t="str">
        <f>IFERROR(__xludf.DUMMYFUNCTION("""COMPUTED_VALUE"""),"[內湖CityLink] F [Ardian] 押金 (行號: 13)")</f>
        <v>[內湖CityLink] F [Ardian] 押金 (行號: 13)</v>
      </c>
      <c r="C4589" t="str">
        <f>IFERROR(__xludf.DUMMYFUNCTION("""COMPUTED_VALUE"""),"收入 - 押金")</f>
        <v>收入 - 押金</v>
      </c>
      <c r="D4589" s="270">
        <f>IFERROR(__xludf.DUMMYFUNCTION("""COMPUTED_VALUE"""),26600.0)</f>
        <v>26600</v>
      </c>
      <c r="F4589" t="str">
        <f>IFERROR(__xludf.DUMMYFUNCTION("""COMPUTED_VALUE"""),"玉山帳戶")</f>
        <v>玉山帳戶</v>
      </c>
      <c r="G4589" t="str">
        <f>IFERROR(__xludf.DUMMYFUNCTION("""COMPUTED_VALUE"""),"內湖CityLink")</f>
        <v>內湖CityLink</v>
      </c>
      <c r="H4589" s="106" t="str">
        <f t="shared" si="1"/>
        <v>2025-06</v>
      </c>
      <c r="I4589" s="271" t="str">
        <f>IFERROR(__xludf.DUMMYFUNCTION("""COMPUTED_VALUE"""),"鯰魚大大")</f>
        <v>鯰魚大大</v>
      </c>
      <c r="J4589" t="str">
        <f>IFERROR(__xludf.DUMMYFUNCTION("IFS(
  AND(REGEXMATCH(E4589, ""台銀籌備帳戶|玉山帳戶""), REGEXMATCH(C4589, ""薪資"")), ""分潤支出"",
  AND(REGEXMATCH(E4589, ""Ben帳戶|Elsa帳戶|Ben代墊|Ariel代墊|中信銀行共用""), REGEXMATCH(F4589, ""Ben帳戶|Elsa帳戶|Ben代墊|Ariel代墊|中信銀行共用"")), ""內部轉帳(忽略)"",
  AND(E4589&lt;&gt;"""", F4589&lt;&gt;"""", N"&amp;"OT(REGEXMATCH(C4589, ""薪資""))), ""內部轉帳(忽略)"",
  REGEXMATCH(C4589, ""薪資""), ""薪資變動(不計入)"",
  REGEXMATCH(C4589, ""押金""), ""押金往來"",
  AND(E4589&lt;&gt;"""", F4589=""""), ""真實支出"",
  AND(E4589="""", F4589&lt;&gt;""""), ""真實收入"",
  TRUE, ""其他""
)"),"押金往來")</f>
        <v>押金往來</v>
      </c>
      <c r="K4589">
        <f t="shared" si="2"/>
        <v>0</v>
      </c>
      <c r="L4589">
        <f t="shared" si="3"/>
        <v>0</v>
      </c>
    </row>
    <row r="4590">
      <c r="A4590" s="107">
        <f>IFERROR(__xludf.DUMMYFUNCTION("""COMPUTED_VALUE"""),45831.0)</f>
        <v>45831</v>
      </c>
      <c r="B4590" t="str">
        <f>IFERROR(__xludf.DUMMYFUNCTION("""COMPUTED_VALUE"""),"[士林和豐] B [宗霖]  (行號: 11, 14)")</f>
        <v>[士林和豐] B [宗霖]  (行號: 11, 14)</v>
      </c>
      <c r="C4590" t="str">
        <f>IFERROR(__xludf.DUMMYFUNCTION("""COMPUTED_VALUE"""),"收入 - 其他")</f>
        <v>收入 - 其他</v>
      </c>
      <c r="D4590" s="270">
        <f>IFERROR(__xludf.DUMMYFUNCTION("""COMPUTED_VALUE"""),0.0)</f>
        <v>0</v>
      </c>
      <c r="F4590" t="str">
        <f>IFERROR(__xludf.DUMMYFUNCTION("""COMPUTED_VALUE"""),"玉山帳戶")</f>
        <v>玉山帳戶</v>
      </c>
      <c r="G4590" t="str">
        <f>IFERROR(__xludf.DUMMYFUNCTION("""COMPUTED_VALUE"""),"士林和豐")</f>
        <v>士林和豐</v>
      </c>
      <c r="H4590" s="106" t="str">
        <f t="shared" si="1"/>
        <v>2025-06</v>
      </c>
      <c r="I4590" s="271" t="str">
        <f>IFERROR(__xludf.DUMMYFUNCTION("""COMPUTED_VALUE"""),"鯰魚大大")</f>
        <v>鯰魚大大</v>
      </c>
      <c r="J4590" t="str">
        <f>IFERROR(__xludf.DUMMYFUNCTION("IFS(
  AND(REGEXMATCH(E4590, ""台銀籌備帳戶|玉山帳戶""), REGEXMATCH(C4590, ""薪資"")), ""分潤支出"",
  AND(REGEXMATCH(E4590, ""Ben帳戶|Elsa帳戶|Ben代墊|Ariel代墊|中信銀行共用""), REGEXMATCH(F4590, ""Ben帳戶|Elsa帳戶|Ben代墊|Ariel代墊|中信銀行共用"")), ""內部轉帳(忽略)"",
  AND(E4590&lt;&gt;"""", F4590&lt;&gt;"""", N"&amp;"OT(REGEXMATCH(C4590, ""薪資""))), ""內部轉帳(忽略)"",
  REGEXMATCH(C4590, ""薪資""), ""薪資變動(不計入)"",
  REGEXMATCH(C4590, ""押金""), ""押金往來"",
  AND(E4590&lt;&gt;"""", F4590=""""), ""真實支出"",
  AND(E4590="""", F4590&lt;&gt;""""), ""真實收入"",
  TRUE, ""其他""
)"),"真實收入")</f>
        <v>真實收入</v>
      </c>
      <c r="K4590" s="270">
        <f t="shared" si="2"/>
        <v>0</v>
      </c>
      <c r="L4590">
        <f t="shared" si="3"/>
        <v>0</v>
      </c>
    </row>
    <row r="4591">
      <c r="A4591" s="107">
        <f>IFERROR(__xludf.DUMMYFUNCTION("""COMPUTED_VALUE"""),45832.0)</f>
        <v>45832</v>
      </c>
      <c r="B4591" t="str">
        <f>IFERROR(__xludf.DUMMYFUNCTION("""COMPUTED_VALUE"""),"[內湖CityLink] D [綺] 租金 (行號: 13)")</f>
        <v>[內湖CityLink] D [綺] 租金 (行號: 13)</v>
      </c>
      <c r="C4591" t="str">
        <f>IFERROR(__xludf.DUMMYFUNCTION("""COMPUTED_VALUE"""),"收入 - 租金")</f>
        <v>收入 - 租金</v>
      </c>
      <c r="D4591" s="270">
        <f>IFERROR(__xludf.DUMMYFUNCTION("""COMPUTED_VALUE"""),8468.0)</f>
        <v>8468</v>
      </c>
      <c r="F4591" t="str">
        <f>IFERROR(__xludf.DUMMYFUNCTION("""COMPUTED_VALUE"""),"玉山帳戶")</f>
        <v>玉山帳戶</v>
      </c>
      <c r="G4591" t="str">
        <f>IFERROR(__xludf.DUMMYFUNCTION("""COMPUTED_VALUE"""),"內湖CityLink")</f>
        <v>內湖CityLink</v>
      </c>
      <c r="H4591" s="106" t="str">
        <f t="shared" si="1"/>
        <v>2025-06</v>
      </c>
      <c r="I4591" s="271" t="str">
        <f>IFERROR(__xludf.DUMMYFUNCTION("""COMPUTED_VALUE"""),"鯰魚大大")</f>
        <v>鯰魚大大</v>
      </c>
      <c r="J4591" t="str">
        <f>IFERROR(__xludf.DUMMYFUNCTION("IFS(
  AND(REGEXMATCH(E4591, ""台銀籌備帳戶|玉山帳戶""), REGEXMATCH(C4591, ""薪資"")), ""分潤支出"",
  AND(REGEXMATCH(E4591, ""Ben帳戶|Elsa帳戶|Ben代墊|Ariel代墊|中信銀行共用""), REGEXMATCH(F4591, ""Ben帳戶|Elsa帳戶|Ben代墊|Ariel代墊|中信銀行共用"")), ""內部轉帳(忽略)"",
  AND(E4591&lt;&gt;"""", F4591&lt;&gt;"""", N"&amp;"OT(REGEXMATCH(C4591, ""薪資""))), ""內部轉帳(忽略)"",
  REGEXMATCH(C4591, ""薪資""), ""薪資變動(不計入)"",
  REGEXMATCH(C4591, ""押金""), ""押金往來"",
  AND(E4591&lt;&gt;"""", F4591=""""), ""真實支出"",
  AND(E4591="""", F4591&lt;&gt;""""), ""真實收入"",
  TRUE, ""其他""
)"),"真實收入")</f>
        <v>真實收入</v>
      </c>
      <c r="K4591" s="270">
        <f t="shared" si="2"/>
        <v>8468</v>
      </c>
      <c r="L4591">
        <f t="shared" si="3"/>
        <v>0</v>
      </c>
    </row>
    <row r="4592">
      <c r="A4592" s="107">
        <f>IFERROR(__xludf.DUMMYFUNCTION("""COMPUTED_VALUE"""),45832.0)</f>
        <v>45832</v>
      </c>
      <c r="B4592" t="str">
        <f>IFERROR(__xludf.DUMMYFUNCTION("""COMPUTED_VALUE"""),"[內湖CityLink] A [晨曦] 租金 (行號: 13)")</f>
        <v>[內湖CityLink] A [晨曦] 租金 (行號: 13)</v>
      </c>
      <c r="C4592" t="str">
        <f>IFERROR(__xludf.DUMMYFUNCTION("""COMPUTED_VALUE"""),"收入 - 租金")</f>
        <v>收入 - 租金</v>
      </c>
      <c r="D4592" s="270">
        <f>IFERROR(__xludf.DUMMYFUNCTION("""COMPUTED_VALUE"""),16280.0)</f>
        <v>16280</v>
      </c>
      <c r="F4592" t="str">
        <f>IFERROR(__xludf.DUMMYFUNCTION("""COMPUTED_VALUE"""),"玉山帳戶")</f>
        <v>玉山帳戶</v>
      </c>
      <c r="G4592" t="str">
        <f>IFERROR(__xludf.DUMMYFUNCTION("""COMPUTED_VALUE"""),"內湖CityLink")</f>
        <v>內湖CityLink</v>
      </c>
      <c r="H4592" s="106" t="str">
        <f t="shared" si="1"/>
        <v>2025-06</v>
      </c>
      <c r="I4592" s="271" t="str">
        <f>IFERROR(__xludf.DUMMYFUNCTION("""COMPUTED_VALUE"""),"鯰魚大大")</f>
        <v>鯰魚大大</v>
      </c>
      <c r="J4592" t="str">
        <f>IFERROR(__xludf.DUMMYFUNCTION("IFS(
  AND(REGEXMATCH(E4592, ""台銀籌備帳戶|玉山帳戶""), REGEXMATCH(C4592, ""薪資"")), ""分潤支出"",
  AND(REGEXMATCH(E4592, ""Ben帳戶|Elsa帳戶|Ben代墊|Ariel代墊|中信銀行共用""), REGEXMATCH(F4592, ""Ben帳戶|Elsa帳戶|Ben代墊|Ariel代墊|中信銀行共用"")), ""內部轉帳(忽略)"",
  AND(E4592&lt;&gt;"""", F4592&lt;&gt;"""", N"&amp;"OT(REGEXMATCH(C4592, ""薪資""))), ""內部轉帳(忽略)"",
  REGEXMATCH(C4592, ""薪資""), ""薪資變動(不計入)"",
  REGEXMATCH(C4592, ""押金""), ""押金往來"",
  AND(E4592&lt;&gt;"""", F4592=""""), ""真實支出"",
  AND(E4592="""", F4592&lt;&gt;""""), ""真實收入"",
  TRUE, ""其他""
)"),"真實收入")</f>
        <v>真實收入</v>
      </c>
      <c r="K4592" s="270">
        <f t="shared" si="2"/>
        <v>16280</v>
      </c>
      <c r="L4592">
        <f t="shared" si="3"/>
        <v>0</v>
      </c>
    </row>
    <row r="4593">
      <c r="A4593" s="107">
        <f>IFERROR(__xludf.DUMMYFUNCTION("""COMPUTED_VALUE"""),45832.0)</f>
        <v>45832</v>
      </c>
      <c r="B4593" t="str">
        <f>IFERROR(__xludf.DUMMYFUNCTION("""COMPUTED_VALUE"""),"[內湖CityLink] A [晨曦] 押金 (行號: 13)")</f>
        <v>[內湖CityLink] A [晨曦] 押金 (行號: 13)</v>
      </c>
      <c r="C4593" t="str">
        <f>IFERROR(__xludf.DUMMYFUNCTION("""COMPUTED_VALUE"""),"收入 - 押金")</f>
        <v>收入 - 押金</v>
      </c>
      <c r="D4593" s="270">
        <f>IFERROR(__xludf.DUMMYFUNCTION("""COMPUTED_VALUE"""),29600.0)</f>
        <v>29600</v>
      </c>
      <c r="F4593" t="str">
        <f>IFERROR(__xludf.DUMMYFUNCTION("""COMPUTED_VALUE"""),"玉山帳戶")</f>
        <v>玉山帳戶</v>
      </c>
      <c r="G4593" t="str">
        <f>IFERROR(__xludf.DUMMYFUNCTION("""COMPUTED_VALUE"""),"內湖CityLink")</f>
        <v>內湖CityLink</v>
      </c>
      <c r="H4593" s="106" t="str">
        <f t="shared" si="1"/>
        <v>2025-06</v>
      </c>
      <c r="I4593" s="271" t="str">
        <f>IFERROR(__xludf.DUMMYFUNCTION("""COMPUTED_VALUE"""),"鯰魚大大")</f>
        <v>鯰魚大大</v>
      </c>
      <c r="J4593" t="str">
        <f>IFERROR(__xludf.DUMMYFUNCTION("IFS(
  AND(REGEXMATCH(E4593, ""台銀籌備帳戶|玉山帳戶""), REGEXMATCH(C4593, ""薪資"")), ""分潤支出"",
  AND(REGEXMATCH(E4593, ""Ben帳戶|Elsa帳戶|Ben代墊|Ariel代墊|中信銀行共用""), REGEXMATCH(F4593, ""Ben帳戶|Elsa帳戶|Ben代墊|Ariel代墊|中信銀行共用"")), ""內部轉帳(忽略)"",
  AND(E4593&lt;&gt;"""", F4593&lt;&gt;"""", N"&amp;"OT(REGEXMATCH(C4593, ""薪資""))), ""內部轉帳(忽略)"",
  REGEXMATCH(C4593, ""薪資""), ""薪資變動(不計入)"",
  REGEXMATCH(C4593, ""押金""), ""押金往來"",
  AND(E4593&lt;&gt;"""", F4593=""""), ""真實支出"",
  AND(E4593="""", F4593&lt;&gt;""""), ""真實收入"",
  TRUE, ""其他""
)"),"押金往來")</f>
        <v>押金往來</v>
      </c>
      <c r="K4593">
        <f t="shared" si="2"/>
        <v>0</v>
      </c>
      <c r="L4593">
        <f t="shared" si="3"/>
        <v>0</v>
      </c>
    </row>
    <row r="4594">
      <c r="A4594" s="107">
        <f>IFERROR(__xludf.DUMMYFUNCTION("""COMPUTED_VALUE"""),45833.0)</f>
        <v>45833</v>
      </c>
      <c r="B4594" t="str">
        <f>IFERROR(__xludf.DUMMYFUNCTION("""COMPUTED_VALUE"""),"[士林和豐] B [宗霖] 押金 (行號: 11, 14)")</f>
        <v>[士林和豐] B [宗霖] 押金 (行號: 11, 14)</v>
      </c>
      <c r="C4594" t="str">
        <f>IFERROR(__xludf.DUMMYFUNCTION("""COMPUTED_VALUE"""),"收入 - 押金")</f>
        <v>收入 - 押金</v>
      </c>
      <c r="D4594" s="270">
        <f>IFERROR(__xludf.DUMMYFUNCTION("""COMPUTED_VALUE"""),27000.0)</f>
        <v>27000</v>
      </c>
      <c r="F4594" t="str">
        <f>IFERROR(__xludf.DUMMYFUNCTION("""COMPUTED_VALUE"""),"玉山帳戶")</f>
        <v>玉山帳戶</v>
      </c>
      <c r="G4594" t="str">
        <f>IFERROR(__xludf.DUMMYFUNCTION("""COMPUTED_VALUE"""),"士林和豐")</f>
        <v>士林和豐</v>
      </c>
      <c r="H4594" s="106" t="str">
        <f t="shared" si="1"/>
        <v>2025-06</v>
      </c>
      <c r="I4594" s="271" t="str">
        <f>IFERROR(__xludf.DUMMYFUNCTION("""COMPUTED_VALUE"""),"鯰魚大大")</f>
        <v>鯰魚大大</v>
      </c>
      <c r="J4594" t="str">
        <f>IFERROR(__xludf.DUMMYFUNCTION("IFS(
  AND(REGEXMATCH(E4594, ""台銀籌備帳戶|玉山帳戶""), REGEXMATCH(C4594, ""薪資"")), ""分潤支出"",
  AND(REGEXMATCH(E4594, ""Ben帳戶|Elsa帳戶|Ben代墊|Ariel代墊|中信銀行共用""), REGEXMATCH(F4594, ""Ben帳戶|Elsa帳戶|Ben代墊|Ariel代墊|中信銀行共用"")), ""內部轉帳(忽略)"",
  AND(E4594&lt;&gt;"""", F4594&lt;&gt;"""", N"&amp;"OT(REGEXMATCH(C4594, ""薪資""))), ""內部轉帳(忽略)"",
  REGEXMATCH(C4594, ""薪資""), ""薪資變動(不計入)"",
  REGEXMATCH(C4594, ""押金""), ""押金往來"",
  AND(E4594&lt;&gt;"""", F4594=""""), ""真實支出"",
  AND(E4594="""", F4594&lt;&gt;""""), ""真實收入"",
  TRUE, ""其他""
)"),"押金往來")</f>
        <v>押金往來</v>
      </c>
      <c r="K4594">
        <f t="shared" si="2"/>
        <v>0</v>
      </c>
      <c r="L4594">
        <f t="shared" si="3"/>
        <v>0</v>
      </c>
    </row>
    <row r="4595">
      <c r="A4595" s="107">
        <f>IFERROR(__xludf.DUMMYFUNCTION("""COMPUTED_VALUE"""),45833.0)</f>
        <v>45833</v>
      </c>
      <c r="B4595" t="str">
        <f>IFERROR(__xludf.DUMMYFUNCTION("""COMPUTED_VALUE"""),"綠界科技股份有限公司 【不明收入 (行號: 26)】")</f>
        <v>綠界科技股份有限公司 【不明收入 (行號: 26)】</v>
      </c>
      <c r="C4595" t="str">
        <f>IFERROR(__xludf.DUMMYFUNCTION("""COMPUTED_VALUE"""),"收入 - 其他")</f>
        <v>收入 - 其他</v>
      </c>
      <c r="D4595" s="270">
        <f>IFERROR(__xludf.DUMMYFUNCTION("""COMPUTED_VALUE"""),1.0)</f>
        <v>1</v>
      </c>
      <c r="F4595" t="str">
        <f>IFERROR(__xludf.DUMMYFUNCTION("""COMPUTED_VALUE"""),"玉山帳戶")</f>
        <v>玉山帳戶</v>
      </c>
      <c r="H4595" s="106" t="str">
        <f t="shared" si="1"/>
        <v>2025-06</v>
      </c>
      <c r="I4595" s="271" t="str">
        <f>IFERROR(__xludf.DUMMYFUNCTION("""COMPUTED_VALUE"""),"鯰魚大大")</f>
        <v>鯰魚大大</v>
      </c>
      <c r="J4595" t="str">
        <f>IFERROR(__xludf.DUMMYFUNCTION("IFS(
  AND(REGEXMATCH(E4595, ""台銀籌備帳戶|玉山帳戶""), REGEXMATCH(C4595, ""薪資"")), ""分潤支出"",
  AND(REGEXMATCH(E4595, ""Ben帳戶|Elsa帳戶|Ben代墊|Ariel代墊|中信銀行共用""), REGEXMATCH(F4595, ""Ben帳戶|Elsa帳戶|Ben代墊|Ariel代墊|中信銀行共用"")), ""內部轉帳(忽略)"",
  AND(E4595&lt;&gt;"""", F4595&lt;&gt;"""", N"&amp;"OT(REGEXMATCH(C4595, ""薪資""))), ""內部轉帳(忽略)"",
  REGEXMATCH(C4595, ""薪資""), ""薪資變動(不計入)"",
  REGEXMATCH(C4595, ""押金""), ""押金往來"",
  AND(E4595&lt;&gt;"""", F4595=""""), ""真實支出"",
  AND(E4595="""", F4595&lt;&gt;""""), ""真實收入"",
  TRUE, ""其他""
)"),"真實收入")</f>
        <v>真實收入</v>
      </c>
      <c r="K4595" s="270">
        <f t="shared" si="2"/>
        <v>1</v>
      </c>
      <c r="L4595">
        <f t="shared" si="3"/>
        <v>0</v>
      </c>
    </row>
    <row r="4596">
      <c r="A4596" s="107">
        <f>IFERROR(__xludf.DUMMYFUNCTION("""COMPUTED_VALUE"""),45834.0)</f>
        <v>45834</v>
      </c>
      <c r="B4596" t="str">
        <f>IFERROR(__xludf.DUMMYFUNCTION("""COMPUTED_VALUE"""),"[內湖CityLink] B [Olivia] 租金 (行號: 13)")</f>
        <v>[內湖CityLink] B [Olivia] 租金 (行號: 13)</v>
      </c>
      <c r="C4596" t="str">
        <f>IFERROR(__xludf.DUMMYFUNCTION("""COMPUTED_VALUE"""),"收入 - 租金")</f>
        <v>收入 - 租金</v>
      </c>
      <c r="D4596" s="270">
        <f>IFERROR(__xludf.DUMMYFUNCTION("""COMPUTED_VALUE"""),12000.0)</f>
        <v>12000</v>
      </c>
      <c r="F4596" t="str">
        <f>IFERROR(__xludf.DUMMYFUNCTION("""COMPUTED_VALUE"""),"玉山帳戶")</f>
        <v>玉山帳戶</v>
      </c>
      <c r="G4596" t="str">
        <f>IFERROR(__xludf.DUMMYFUNCTION("""COMPUTED_VALUE"""),"內湖CityLink")</f>
        <v>內湖CityLink</v>
      </c>
      <c r="H4596" s="106" t="str">
        <f t="shared" si="1"/>
        <v>2025-06</v>
      </c>
      <c r="I4596" s="271" t="str">
        <f>IFERROR(__xludf.DUMMYFUNCTION("""COMPUTED_VALUE"""),"鯰魚大大")</f>
        <v>鯰魚大大</v>
      </c>
      <c r="J4596" t="str">
        <f>IFERROR(__xludf.DUMMYFUNCTION("IFS(
  AND(REGEXMATCH(E4596, ""台銀籌備帳戶|玉山帳戶""), REGEXMATCH(C4596, ""薪資"")), ""分潤支出"",
  AND(REGEXMATCH(E4596, ""Ben帳戶|Elsa帳戶|Ben代墊|Ariel代墊|中信銀行共用""), REGEXMATCH(F4596, ""Ben帳戶|Elsa帳戶|Ben代墊|Ariel代墊|中信銀行共用"")), ""內部轉帳(忽略)"",
  AND(E4596&lt;&gt;"""", F4596&lt;&gt;"""", N"&amp;"OT(REGEXMATCH(C4596, ""薪資""))), ""內部轉帳(忽略)"",
  REGEXMATCH(C4596, ""薪資""), ""薪資變動(不計入)"",
  REGEXMATCH(C4596, ""押金""), ""押金往來"",
  AND(E4596&lt;&gt;"""", F4596=""""), ""真實支出"",
  AND(E4596="""", F4596&lt;&gt;""""), ""真實收入"",
  TRUE, ""其他""
)"),"真實收入")</f>
        <v>真實收入</v>
      </c>
      <c r="K4596" s="270">
        <f t="shared" si="2"/>
        <v>12000</v>
      </c>
      <c r="L4596">
        <f t="shared" si="3"/>
        <v>0</v>
      </c>
    </row>
    <row r="4597">
      <c r="A4597" s="107">
        <f>IFERROR(__xludf.DUMMYFUNCTION("""COMPUTED_VALUE"""),45834.0)</f>
        <v>45834</v>
      </c>
      <c r="B4597" t="str">
        <f>IFERROR(__xludf.DUMMYFUNCTION("""COMPUTED_VALUE"""),"[士林和豐] B [宗霖] 租金 (行號: 11, 14)")</f>
        <v>[士林和豐] B [宗霖] 租金 (行號: 11, 14)</v>
      </c>
      <c r="C4597" t="str">
        <f>IFERROR(__xludf.DUMMYFUNCTION("""COMPUTED_VALUE"""),"收入 - 租金")</f>
        <v>收入 - 租金</v>
      </c>
      <c r="D4597" s="270">
        <f>IFERROR(__xludf.DUMMYFUNCTION("""COMPUTED_VALUE"""),10016.0)</f>
        <v>10016</v>
      </c>
      <c r="F4597" t="str">
        <f>IFERROR(__xludf.DUMMYFUNCTION("""COMPUTED_VALUE"""),"玉山帳戶")</f>
        <v>玉山帳戶</v>
      </c>
      <c r="G4597" t="str">
        <f>IFERROR(__xludf.DUMMYFUNCTION("""COMPUTED_VALUE"""),"士林和豐")</f>
        <v>士林和豐</v>
      </c>
      <c r="H4597" s="106" t="str">
        <f t="shared" si="1"/>
        <v>2025-06</v>
      </c>
      <c r="I4597" s="271" t="str">
        <f>IFERROR(__xludf.DUMMYFUNCTION("""COMPUTED_VALUE"""),"鯰魚大大")</f>
        <v>鯰魚大大</v>
      </c>
      <c r="J4597" t="str">
        <f>IFERROR(__xludf.DUMMYFUNCTION("IFS(
  AND(REGEXMATCH(E4597, ""台銀籌備帳戶|玉山帳戶""), REGEXMATCH(C4597, ""薪資"")), ""分潤支出"",
  AND(REGEXMATCH(E4597, ""Ben帳戶|Elsa帳戶|Ben代墊|Ariel代墊|中信銀行共用""), REGEXMATCH(F4597, ""Ben帳戶|Elsa帳戶|Ben代墊|Ariel代墊|中信銀行共用"")), ""內部轉帳(忽略)"",
  AND(E4597&lt;&gt;"""", F4597&lt;&gt;"""", N"&amp;"OT(REGEXMATCH(C4597, ""薪資""))), ""內部轉帳(忽略)"",
  REGEXMATCH(C4597, ""薪資""), ""薪資變動(不計入)"",
  REGEXMATCH(C4597, ""押金""), ""押金往來"",
  AND(E4597&lt;&gt;"""", F4597=""""), ""真實支出"",
  AND(E4597="""", F4597&lt;&gt;""""), ""真實收入"",
  TRUE, ""其他""
)"),"真實收入")</f>
        <v>真實收入</v>
      </c>
      <c r="K4597" s="270">
        <f t="shared" si="2"/>
        <v>10016</v>
      </c>
      <c r="L4597">
        <f t="shared" si="3"/>
        <v>0</v>
      </c>
    </row>
    <row r="4598">
      <c r="A4598" s="107">
        <f>IFERROR(__xludf.DUMMYFUNCTION("""COMPUTED_VALUE"""),45838.0)</f>
        <v>45838</v>
      </c>
      <c r="B4598" t="str">
        <f>IFERROR(__xludf.DUMMYFUNCTION("""COMPUTED_VALUE"""),"[內湖CityLink] B [Olivia] 押金 (行號: 13)")</f>
        <v>[內湖CityLink] B [Olivia] 押金 (行號: 13)</v>
      </c>
      <c r="C4598" t="str">
        <f>IFERROR(__xludf.DUMMYFUNCTION("""COMPUTED_VALUE"""),"收入 - 押金")</f>
        <v>收入 - 押金</v>
      </c>
      <c r="D4598" s="270">
        <f>IFERROR(__xludf.DUMMYFUNCTION("""COMPUTED_VALUE"""),24000.0)</f>
        <v>24000</v>
      </c>
      <c r="F4598" t="str">
        <f>IFERROR(__xludf.DUMMYFUNCTION("""COMPUTED_VALUE"""),"玉山帳戶")</f>
        <v>玉山帳戶</v>
      </c>
      <c r="G4598" t="str">
        <f>IFERROR(__xludf.DUMMYFUNCTION("""COMPUTED_VALUE"""),"內湖CityLink")</f>
        <v>內湖CityLink</v>
      </c>
      <c r="H4598" s="106" t="str">
        <f t="shared" si="1"/>
        <v>2025-06</v>
      </c>
      <c r="I4598" s="271" t="str">
        <f>IFERROR(__xludf.DUMMYFUNCTION("""COMPUTED_VALUE"""),"鯰魚大大")</f>
        <v>鯰魚大大</v>
      </c>
      <c r="J4598" t="str">
        <f>IFERROR(__xludf.DUMMYFUNCTION("IFS(
  AND(REGEXMATCH(E4598, ""台銀籌備帳戶|玉山帳戶""), REGEXMATCH(C4598, ""薪資"")), ""分潤支出"",
  AND(REGEXMATCH(E4598, ""Ben帳戶|Elsa帳戶|Ben代墊|Ariel代墊|中信銀行共用""), REGEXMATCH(F4598, ""Ben帳戶|Elsa帳戶|Ben代墊|Ariel代墊|中信銀行共用"")), ""內部轉帳(忽略)"",
  AND(E4598&lt;&gt;"""", F4598&lt;&gt;"""", N"&amp;"OT(REGEXMATCH(C4598, ""薪資""))), ""內部轉帳(忽略)"",
  REGEXMATCH(C4598, ""薪資""), ""薪資變動(不計入)"",
  REGEXMATCH(C4598, ""押金""), ""押金往來"",
  AND(E4598&lt;&gt;"""", F4598=""""), ""真實支出"",
  AND(E4598="""", F4598&lt;&gt;""""), ""真實收入"",
  TRUE, ""其他""
)"),"押金往來")</f>
        <v>押金往來</v>
      </c>
      <c r="K4598">
        <f t="shared" si="2"/>
        <v>0</v>
      </c>
      <c r="L4598">
        <f t="shared" si="3"/>
        <v>0</v>
      </c>
    </row>
    <row r="4599">
      <c r="A4599" s="107">
        <f>IFERROR(__xludf.DUMMYFUNCTION("""COMPUTED_VALUE"""),45826.0)</f>
        <v>45826</v>
      </c>
      <c r="B4599" t="str">
        <f>IFERROR(__xludf.DUMMYFUNCTION("""COMPUTED_VALUE"""),"[士林和豐] C [敖啟恒] 押金 (行號: 11, 14)")</f>
        <v>[士林和豐] C [敖啟恒] 押金 (行號: 11, 14)</v>
      </c>
      <c r="C4599" t="str">
        <f>IFERROR(__xludf.DUMMYFUNCTION("""COMPUTED_VALUE"""),"收入 - 押金")</f>
        <v>收入 - 押金</v>
      </c>
      <c r="D4599" s="270">
        <f>IFERROR(__xludf.DUMMYFUNCTION("""COMPUTED_VALUE"""),26000.0)</f>
        <v>26000</v>
      </c>
      <c r="F4599" t="str">
        <f>IFERROR(__xludf.DUMMYFUNCTION("""COMPUTED_VALUE"""),"玉山帳戶")</f>
        <v>玉山帳戶</v>
      </c>
      <c r="G4599" t="str">
        <f>IFERROR(__xludf.DUMMYFUNCTION("""COMPUTED_VALUE"""),"士林和豐")</f>
        <v>士林和豐</v>
      </c>
      <c r="H4599" s="106" t="str">
        <f t="shared" si="1"/>
        <v>2025-06</v>
      </c>
      <c r="I4599" s="271" t="str">
        <f>IFERROR(__xludf.DUMMYFUNCTION("""COMPUTED_VALUE"""),"鯰魚大大")</f>
        <v>鯰魚大大</v>
      </c>
      <c r="J4599" t="str">
        <f>IFERROR(__xludf.DUMMYFUNCTION("IFS(
  AND(REGEXMATCH(E4599, ""台銀籌備帳戶|玉山帳戶""), REGEXMATCH(C4599, ""薪資"")), ""分潤支出"",
  AND(REGEXMATCH(E4599, ""Ben帳戶|Elsa帳戶|Ben代墊|Ariel代墊|中信銀行共用""), REGEXMATCH(F4599, ""Ben帳戶|Elsa帳戶|Ben代墊|Ariel代墊|中信銀行共用"")), ""內部轉帳(忽略)"",
  AND(E4599&lt;&gt;"""", F4599&lt;&gt;"""", N"&amp;"OT(REGEXMATCH(C4599, ""薪資""))), ""內部轉帳(忽略)"",
  REGEXMATCH(C4599, ""薪資""), ""薪資變動(不計入)"",
  REGEXMATCH(C4599, ""押金""), ""押金往來"",
  AND(E4599&lt;&gt;"""", F4599=""""), ""真實支出"",
  AND(E4599="""", F4599&lt;&gt;""""), ""真實收入"",
  TRUE, ""其他""
)"),"押金往來")</f>
        <v>押金往來</v>
      </c>
      <c r="K4599">
        <f t="shared" si="2"/>
        <v>0</v>
      </c>
      <c r="L4599">
        <f t="shared" si="3"/>
        <v>0</v>
      </c>
    </row>
    <row r="4600">
      <c r="A4600" s="107">
        <f>IFERROR(__xludf.DUMMYFUNCTION("""COMPUTED_VALUE"""),45826.0)</f>
        <v>45826</v>
      </c>
      <c r="B4600" t="str">
        <f>IFERROR(__xludf.DUMMYFUNCTION("""COMPUTED_VALUE"""),"[士林和豐] C [敖啟恒] 首月租金 (行號: 11, 14)")</f>
        <v>[士林和豐] C [敖啟恒] 首月租金 (行號: 11, 14)</v>
      </c>
      <c r="C4600" t="str">
        <f>IFERROR(__xludf.DUMMYFUNCTION("""COMPUTED_VALUE"""),"收入 - 租金")</f>
        <v>收入 - 租金</v>
      </c>
      <c r="D4600" s="270">
        <f>IFERROR(__xludf.DUMMYFUNCTION("""COMPUTED_VALUE"""),14300.0)</f>
        <v>14300</v>
      </c>
      <c r="F4600" t="str">
        <f>IFERROR(__xludf.DUMMYFUNCTION("""COMPUTED_VALUE"""),"玉山帳戶")</f>
        <v>玉山帳戶</v>
      </c>
      <c r="G4600" t="str">
        <f>IFERROR(__xludf.DUMMYFUNCTION("""COMPUTED_VALUE"""),"士林和豐")</f>
        <v>士林和豐</v>
      </c>
      <c r="H4600" s="106" t="str">
        <f t="shared" si="1"/>
        <v>2025-06</v>
      </c>
      <c r="I4600" s="271" t="str">
        <f>IFERROR(__xludf.DUMMYFUNCTION("""COMPUTED_VALUE"""),"鯰魚大大")</f>
        <v>鯰魚大大</v>
      </c>
      <c r="J4600" t="str">
        <f>IFERROR(__xludf.DUMMYFUNCTION("IFS(
  AND(REGEXMATCH(E4600, ""台銀籌備帳戶|玉山帳戶""), REGEXMATCH(C4600, ""薪資"")), ""分潤支出"",
  AND(REGEXMATCH(E4600, ""Ben帳戶|Elsa帳戶|Ben代墊|Ariel代墊|中信銀行共用""), REGEXMATCH(F4600, ""Ben帳戶|Elsa帳戶|Ben代墊|Ariel代墊|中信銀行共用"")), ""內部轉帳(忽略)"",
  AND(E4600&lt;&gt;"""", F4600&lt;&gt;"""", N"&amp;"OT(REGEXMATCH(C4600, ""薪資""))), ""內部轉帳(忽略)"",
  REGEXMATCH(C4600, ""薪資""), ""薪資變動(不計入)"",
  REGEXMATCH(C4600, ""押金""), ""押金往來"",
  AND(E4600&lt;&gt;"""", F4600=""""), ""真實支出"",
  AND(E4600="""", F4600&lt;&gt;""""), ""真實收入"",
  TRUE, ""其他""
)"),"真實收入")</f>
        <v>真實收入</v>
      </c>
      <c r="K4600" s="270">
        <f t="shared" si="2"/>
        <v>14300</v>
      </c>
      <c r="L4600">
        <f t="shared" si="3"/>
        <v>0</v>
      </c>
    </row>
    <row r="4601">
      <c r="A4601" s="107">
        <f>IFERROR(__xludf.DUMMYFUNCTION("""COMPUTED_VALUE"""),45827.0)</f>
        <v>45827</v>
      </c>
      <c r="B4601" t="str">
        <f>IFERROR(__xludf.DUMMYFUNCTION("""COMPUTED_VALUE"""),"[內湖CityLink] C [汪建豪] 押金 (行號: 13)")</f>
        <v>[內湖CityLink] C [汪建豪] 押金 (行號: 13)</v>
      </c>
      <c r="C4601" t="str">
        <f>IFERROR(__xludf.DUMMYFUNCTION("""COMPUTED_VALUE"""),"收入 - 押金")</f>
        <v>收入 - 押金</v>
      </c>
      <c r="D4601" s="270">
        <f>IFERROR(__xludf.DUMMYFUNCTION("""COMPUTED_VALUE"""),25000.0)</f>
        <v>25000</v>
      </c>
      <c r="F4601" t="str">
        <f>IFERROR(__xludf.DUMMYFUNCTION("""COMPUTED_VALUE"""),"玉山帳戶")</f>
        <v>玉山帳戶</v>
      </c>
      <c r="G4601" t="str">
        <f>IFERROR(__xludf.DUMMYFUNCTION("""COMPUTED_VALUE"""),"內湖CityLink")</f>
        <v>內湖CityLink</v>
      </c>
      <c r="H4601" s="106" t="str">
        <f t="shared" si="1"/>
        <v>2025-06</v>
      </c>
      <c r="I4601" s="271" t="str">
        <f>IFERROR(__xludf.DUMMYFUNCTION("""COMPUTED_VALUE"""),"鯰魚大大")</f>
        <v>鯰魚大大</v>
      </c>
      <c r="J4601" t="str">
        <f>IFERROR(__xludf.DUMMYFUNCTION("IFS(
  AND(REGEXMATCH(E4601, ""台銀籌備帳戶|玉山帳戶""), REGEXMATCH(C4601, ""薪資"")), ""分潤支出"",
  AND(REGEXMATCH(E4601, ""Ben帳戶|Elsa帳戶|Ben代墊|Ariel代墊|中信銀行共用""), REGEXMATCH(F4601, ""Ben帳戶|Elsa帳戶|Ben代墊|Ariel代墊|中信銀行共用"")), ""內部轉帳(忽略)"",
  AND(E4601&lt;&gt;"""", F4601&lt;&gt;"""", N"&amp;"OT(REGEXMATCH(C4601, ""薪資""))), ""內部轉帳(忽略)"",
  REGEXMATCH(C4601, ""薪資""), ""薪資變動(不計入)"",
  REGEXMATCH(C4601, ""押金""), ""押金往來"",
  AND(E4601&lt;&gt;"""", F4601=""""), ""真實支出"",
  AND(E4601="""", F4601&lt;&gt;""""), ""真實收入"",
  TRUE, ""其他""
)"),"押金往來")</f>
        <v>押金往來</v>
      </c>
      <c r="K4601">
        <f t="shared" si="2"/>
        <v>0</v>
      </c>
      <c r="L4601">
        <f t="shared" si="3"/>
        <v>0</v>
      </c>
    </row>
    <row r="4602">
      <c r="A4602" s="107">
        <f>IFERROR(__xludf.DUMMYFUNCTION("""COMPUTED_VALUE"""),45827.0)</f>
        <v>45827</v>
      </c>
      <c r="B4602" t="str">
        <f>IFERROR(__xludf.DUMMYFUNCTION("""COMPUTED_VALUE"""),"[內湖CityLink] C [汪建豪] 首月租金 (行號: 13)")</f>
        <v>[內湖CityLink] C [汪建豪] 首月租金 (行號: 13)</v>
      </c>
      <c r="C4602" t="str">
        <f>IFERROR(__xludf.DUMMYFUNCTION("""COMPUTED_VALUE"""),"收入 - 租金")</f>
        <v>收入 - 租金</v>
      </c>
      <c r="D4602" s="270">
        <f>IFERROR(__xludf.DUMMYFUNCTION("""COMPUTED_VALUE"""),6667.0)</f>
        <v>6667</v>
      </c>
      <c r="F4602" t="str">
        <f>IFERROR(__xludf.DUMMYFUNCTION("""COMPUTED_VALUE"""),"玉山帳戶")</f>
        <v>玉山帳戶</v>
      </c>
      <c r="G4602" t="str">
        <f>IFERROR(__xludf.DUMMYFUNCTION("""COMPUTED_VALUE"""),"內湖CityLink")</f>
        <v>內湖CityLink</v>
      </c>
      <c r="H4602" s="106" t="str">
        <f t="shared" si="1"/>
        <v>2025-06</v>
      </c>
      <c r="I4602" s="271" t="str">
        <f>IFERROR(__xludf.DUMMYFUNCTION("""COMPUTED_VALUE"""),"鯰魚大大")</f>
        <v>鯰魚大大</v>
      </c>
      <c r="J4602" t="str">
        <f>IFERROR(__xludf.DUMMYFUNCTION("IFS(
  AND(REGEXMATCH(E4602, ""台銀籌備帳戶|玉山帳戶""), REGEXMATCH(C4602, ""薪資"")), ""分潤支出"",
  AND(REGEXMATCH(E4602, ""Ben帳戶|Elsa帳戶|Ben代墊|Ariel代墊|中信銀行共用""), REGEXMATCH(F4602, ""Ben帳戶|Elsa帳戶|Ben代墊|Ariel代墊|中信銀行共用"")), ""內部轉帳(忽略)"",
  AND(E4602&lt;&gt;"""", F4602&lt;&gt;"""", N"&amp;"OT(REGEXMATCH(C4602, ""薪資""))), ""內部轉帳(忽略)"",
  REGEXMATCH(C4602, ""薪資""), ""薪資變動(不計入)"",
  REGEXMATCH(C4602, ""押金""), ""押金往來"",
  AND(E4602&lt;&gt;"""", F4602=""""), ""真實支出"",
  AND(E4602="""", F4602&lt;&gt;""""), ""真實收入"",
  TRUE, ""其他""
)"),"真實收入")</f>
        <v>真實收入</v>
      </c>
      <c r="K4602" s="270">
        <f t="shared" si="2"/>
        <v>6667</v>
      </c>
      <c r="L4602">
        <f t="shared" si="3"/>
        <v>0</v>
      </c>
    </row>
    <row r="4603">
      <c r="A4603" s="107">
        <f>IFERROR(__xludf.DUMMYFUNCTION("""COMPUTED_VALUE"""),45838.0)</f>
        <v>45838</v>
      </c>
      <c r="B4603" t="str">
        <f>IFERROR(__xludf.DUMMYFUNCTION("""COMPUTED_VALUE"""),"[行天宮夏野良栗] B [楊珺媁] 月租金 (行號: 30)")</f>
        <v>[行天宮夏野良栗] B [楊珺媁] 月租金 (行號: 30)</v>
      </c>
      <c r="C4603" t="str">
        <f>IFERROR(__xludf.DUMMYFUNCTION("""COMPUTED_VALUE"""),"收入 - 租金")</f>
        <v>收入 - 租金</v>
      </c>
      <c r="D4603" s="270">
        <f>IFERROR(__xludf.DUMMYFUNCTION("""COMPUTED_VALUE"""),14000.0)</f>
        <v>14000</v>
      </c>
      <c r="F4603" t="str">
        <f>IFERROR(__xludf.DUMMYFUNCTION("""COMPUTED_VALUE"""),"玉山帳戶")</f>
        <v>玉山帳戶</v>
      </c>
      <c r="G4603" t="str">
        <f>IFERROR(__xludf.DUMMYFUNCTION("""COMPUTED_VALUE"""),"行天宮夏野良栗")</f>
        <v>行天宮夏野良栗</v>
      </c>
      <c r="H4603" s="106" t="str">
        <f t="shared" si="1"/>
        <v>2025-06</v>
      </c>
      <c r="I4603" s="271" t="str">
        <f>IFERROR(__xludf.DUMMYFUNCTION("""COMPUTED_VALUE"""),"鯰魚大大")</f>
        <v>鯰魚大大</v>
      </c>
      <c r="J4603" t="str">
        <f>IFERROR(__xludf.DUMMYFUNCTION("IFS(
  AND(REGEXMATCH(E4603, ""台銀籌備帳戶|玉山帳戶""), REGEXMATCH(C4603, ""薪資"")), ""分潤支出"",
  AND(REGEXMATCH(E4603, ""Ben帳戶|Elsa帳戶|Ben代墊|Ariel代墊|中信銀行共用""), REGEXMATCH(F4603, ""Ben帳戶|Elsa帳戶|Ben代墊|Ariel代墊|中信銀行共用"")), ""內部轉帳(忽略)"",
  AND(E4603&lt;&gt;"""", F4603&lt;&gt;"""", N"&amp;"OT(REGEXMATCH(C4603, ""薪資""))), ""內部轉帳(忽略)"",
  REGEXMATCH(C4603, ""薪資""), ""薪資變動(不計入)"",
  REGEXMATCH(C4603, ""押金""), ""押金往來"",
  AND(E4603&lt;&gt;"""", F4603=""""), ""真實支出"",
  AND(E4603="""", F4603&lt;&gt;""""), ""真實收入"",
  TRUE, ""其他""
)"),"真實收入")</f>
        <v>真實收入</v>
      </c>
      <c r="K4603" s="270">
        <f t="shared" si="2"/>
        <v>14000</v>
      </c>
      <c r="L4603">
        <f t="shared" si="3"/>
        <v>0</v>
      </c>
    </row>
    <row r="4604">
      <c r="A4604" s="107">
        <f>IFERROR(__xludf.DUMMYFUNCTION("""COMPUTED_VALUE"""),45838.0)</f>
        <v>45838</v>
      </c>
      <c r="B4604" t="str">
        <f>IFERROR(__xludf.DUMMYFUNCTION("""COMPUTED_VALUE"""),"[士林和豐] A [許瑜芳, 黃俞安] 月租金 (行號: 31)")</f>
        <v>[士林和豐] A [許瑜芳, 黃俞安] 月租金 (行號: 31)</v>
      </c>
      <c r="C4604" t="str">
        <f>IFERROR(__xludf.DUMMYFUNCTION("""COMPUTED_VALUE"""),"收入 - 租金")</f>
        <v>收入 - 租金</v>
      </c>
      <c r="D4604" s="270">
        <f>IFERROR(__xludf.DUMMYFUNCTION("""COMPUTED_VALUE"""),19500.0)</f>
        <v>19500</v>
      </c>
      <c r="F4604" t="str">
        <f>IFERROR(__xludf.DUMMYFUNCTION("""COMPUTED_VALUE"""),"玉山帳戶")</f>
        <v>玉山帳戶</v>
      </c>
      <c r="G4604" t="str">
        <f>IFERROR(__xludf.DUMMYFUNCTION("""COMPUTED_VALUE"""),"士林和豐")</f>
        <v>士林和豐</v>
      </c>
      <c r="H4604" s="106" t="str">
        <f t="shared" si="1"/>
        <v>2025-06</v>
      </c>
      <c r="I4604" s="271" t="str">
        <f>IFERROR(__xludf.DUMMYFUNCTION("""COMPUTED_VALUE"""),"鯰魚大大")</f>
        <v>鯰魚大大</v>
      </c>
      <c r="J4604" t="str">
        <f>IFERROR(__xludf.DUMMYFUNCTION("IFS(
  AND(REGEXMATCH(E4604, ""台銀籌備帳戶|玉山帳戶""), REGEXMATCH(C4604, ""薪資"")), ""分潤支出"",
  AND(REGEXMATCH(E4604, ""Ben帳戶|Elsa帳戶|Ben代墊|Ariel代墊|中信銀行共用""), REGEXMATCH(F4604, ""Ben帳戶|Elsa帳戶|Ben代墊|Ariel代墊|中信銀行共用"")), ""內部轉帳(忽略)"",
  AND(E4604&lt;&gt;"""", F4604&lt;&gt;"""", N"&amp;"OT(REGEXMATCH(C4604, ""薪資""))), ""內部轉帳(忽略)"",
  REGEXMATCH(C4604, ""薪資""), ""薪資變動(不計入)"",
  REGEXMATCH(C4604, ""押金""), ""押金往來"",
  AND(E4604&lt;&gt;"""", F4604=""""), ""真實支出"",
  AND(E4604="""", F4604&lt;&gt;""""), ""真實收入"",
  TRUE, ""其他""
)"),"真實收入")</f>
        <v>真實收入</v>
      </c>
      <c r="K4604" s="270">
        <f t="shared" si="2"/>
        <v>19500</v>
      </c>
      <c r="L4604">
        <f t="shared" si="3"/>
        <v>0</v>
      </c>
    </row>
    <row r="4605">
      <c r="A4605" s="107">
        <f>IFERROR(__xludf.DUMMYFUNCTION("""COMPUTED_VALUE"""),45839.0)</f>
        <v>45839</v>
      </c>
      <c r="B4605" t="str">
        <f>IFERROR(__xludf.DUMMYFUNCTION("""COMPUTED_VALUE"""),"[內湖秘境] G [徐若洹] 月租金 (行號: 36)")</f>
        <v>[內湖秘境] G [徐若洹] 月租金 (行號: 36)</v>
      </c>
      <c r="C4605" t="str">
        <f>IFERROR(__xludf.DUMMYFUNCTION("""COMPUTED_VALUE"""),"收入 - 租金")</f>
        <v>收入 - 租金</v>
      </c>
      <c r="D4605" s="270">
        <f>IFERROR(__xludf.DUMMYFUNCTION("""COMPUTED_VALUE"""),12600.0)</f>
        <v>12600</v>
      </c>
      <c r="F4605" t="str">
        <f>IFERROR(__xludf.DUMMYFUNCTION("""COMPUTED_VALUE"""),"玉山帳戶")</f>
        <v>玉山帳戶</v>
      </c>
      <c r="G4605" t="str">
        <f>IFERROR(__xludf.DUMMYFUNCTION("""COMPUTED_VALUE"""),"內湖秘境")</f>
        <v>內湖秘境</v>
      </c>
      <c r="H4605" s="106" t="str">
        <f t="shared" si="1"/>
        <v>2025-07</v>
      </c>
      <c r="I4605" s="271" t="str">
        <f>IFERROR(__xludf.DUMMYFUNCTION("""COMPUTED_VALUE"""),"鯰魚大大")</f>
        <v>鯰魚大大</v>
      </c>
      <c r="J4605" t="str">
        <f>IFERROR(__xludf.DUMMYFUNCTION("IFS(
  AND(REGEXMATCH(E4605, ""台銀籌備帳戶|玉山帳戶""), REGEXMATCH(C4605, ""薪資"")), ""分潤支出"",
  AND(REGEXMATCH(E4605, ""Ben帳戶|Elsa帳戶|Ben代墊|Ariel代墊|中信銀行共用""), REGEXMATCH(F4605, ""Ben帳戶|Elsa帳戶|Ben代墊|Ariel代墊|中信銀行共用"")), ""內部轉帳(忽略)"",
  AND(E4605&lt;&gt;"""", F4605&lt;&gt;"""", N"&amp;"OT(REGEXMATCH(C4605, ""薪資""))), ""內部轉帳(忽略)"",
  REGEXMATCH(C4605, ""薪資""), ""薪資變動(不計入)"",
  REGEXMATCH(C4605, ""押金""), ""押金往來"",
  AND(E4605&lt;&gt;"""", F4605=""""), ""真實支出"",
  AND(E4605="""", F4605&lt;&gt;""""), ""真實收入"",
  TRUE, ""其他""
)"),"真實收入")</f>
        <v>真實收入</v>
      </c>
      <c r="K4605" s="270">
        <f t="shared" si="2"/>
        <v>12600</v>
      </c>
      <c r="L4605">
        <f t="shared" si="3"/>
        <v>0</v>
      </c>
    </row>
    <row r="4606">
      <c r="A4606" s="107">
        <f>IFERROR(__xludf.DUMMYFUNCTION("""COMPUTED_VALUE"""),45839.0)</f>
        <v>45839</v>
      </c>
      <c r="B4606" t="str">
        <f>IFERROR(__xludf.DUMMYFUNCTION("""COMPUTED_VALUE"""),"[內湖秘境] E [林芷妤] 月租金 (行號: 37)")</f>
        <v>[內湖秘境] E [林芷妤] 月租金 (行號: 37)</v>
      </c>
      <c r="C4606" t="str">
        <f>IFERROR(__xludf.DUMMYFUNCTION("""COMPUTED_VALUE"""),"收入 - 租金")</f>
        <v>收入 - 租金</v>
      </c>
      <c r="D4606" s="270">
        <f>IFERROR(__xludf.DUMMYFUNCTION("""COMPUTED_VALUE"""),13600.0)</f>
        <v>13600</v>
      </c>
      <c r="F4606" t="str">
        <f>IFERROR(__xludf.DUMMYFUNCTION("""COMPUTED_VALUE"""),"玉山帳戶")</f>
        <v>玉山帳戶</v>
      </c>
      <c r="G4606" t="str">
        <f>IFERROR(__xludf.DUMMYFUNCTION("""COMPUTED_VALUE"""),"內湖秘境")</f>
        <v>內湖秘境</v>
      </c>
      <c r="H4606" s="106" t="str">
        <f t="shared" si="1"/>
        <v>2025-07</v>
      </c>
      <c r="I4606" s="271" t="str">
        <f>IFERROR(__xludf.DUMMYFUNCTION("""COMPUTED_VALUE"""),"鯰魚大大")</f>
        <v>鯰魚大大</v>
      </c>
      <c r="J4606" t="str">
        <f>IFERROR(__xludf.DUMMYFUNCTION("IFS(
  AND(REGEXMATCH(E4606, ""台銀籌備帳戶|玉山帳戶""), REGEXMATCH(C4606, ""薪資"")), ""分潤支出"",
  AND(REGEXMATCH(E4606, ""Ben帳戶|Elsa帳戶|Ben代墊|Ariel代墊|中信銀行共用""), REGEXMATCH(F4606, ""Ben帳戶|Elsa帳戶|Ben代墊|Ariel代墊|中信銀行共用"")), ""內部轉帳(忽略)"",
  AND(E4606&lt;&gt;"""", F4606&lt;&gt;"""", N"&amp;"OT(REGEXMATCH(C4606, ""薪資""))), ""內部轉帳(忽略)"",
  REGEXMATCH(C4606, ""薪資""), ""薪資變動(不計入)"",
  REGEXMATCH(C4606, ""押金""), ""押金往來"",
  AND(E4606&lt;&gt;"""", F4606=""""), ""真實支出"",
  AND(E4606="""", F4606&lt;&gt;""""), ""真實收入"",
  TRUE, ""其他""
)"),"真實收入")</f>
        <v>真實收入</v>
      </c>
      <c r="K4606" s="270">
        <f t="shared" si="2"/>
        <v>13600</v>
      </c>
      <c r="L4606">
        <f t="shared" si="3"/>
        <v>0</v>
      </c>
    </row>
    <row r="4607">
      <c r="A4607" s="107">
        <f>IFERROR(__xludf.DUMMYFUNCTION("""COMPUTED_VALUE"""),45839.0)</f>
        <v>45839</v>
      </c>
      <c r="B4607" t="str">
        <f>IFERROR(__xludf.DUMMYFUNCTION("""COMPUTED_VALUE"""),"[行天宮夏野良栗] D [江仲元] 月租金 (行號: 38)")</f>
        <v>[行天宮夏野良栗] D [江仲元] 月租金 (行號: 38)</v>
      </c>
      <c r="C4607" t="str">
        <f>IFERROR(__xludf.DUMMYFUNCTION("""COMPUTED_VALUE"""),"收入 - 租金")</f>
        <v>收入 - 租金</v>
      </c>
      <c r="D4607" s="270">
        <f>IFERROR(__xludf.DUMMYFUNCTION("""COMPUTED_VALUE"""),11200.0)</f>
        <v>11200</v>
      </c>
      <c r="F4607" t="str">
        <f>IFERROR(__xludf.DUMMYFUNCTION("""COMPUTED_VALUE"""),"玉山帳戶")</f>
        <v>玉山帳戶</v>
      </c>
      <c r="G4607" t="str">
        <f>IFERROR(__xludf.DUMMYFUNCTION("""COMPUTED_VALUE"""),"行天宮夏野良栗")</f>
        <v>行天宮夏野良栗</v>
      </c>
      <c r="H4607" s="106" t="str">
        <f t="shared" si="1"/>
        <v>2025-07</v>
      </c>
      <c r="I4607" s="271" t="str">
        <f>IFERROR(__xludf.DUMMYFUNCTION("""COMPUTED_VALUE"""),"鯰魚大大")</f>
        <v>鯰魚大大</v>
      </c>
      <c r="J4607" t="str">
        <f>IFERROR(__xludf.DUMMYFUNCTION("IFS(
  AND(REGEXMATCH(E4607, ""台銀籌備帳戶|玉山帳戶""), REGEXMATCH(C4607, ""薪資"")), ""分潤支出"",
  AND(REGEXMATCH(E4607, ""Ben帳戶|Elsa帳戶|Ben代墊|Ariel代墊|中信銀行共用""), REGEXMATCH(F4607, ""Ben帳戶|Elsa帳戶|Ben代墊|Ariel代墊|中信銀行共用"")), ""內部轉帳(忽略)"",
  AND(E4607&lt;&gt;"""", F4607&lt;&gt;"""", N"&amp;"OT(REGEXMATCH(C4607, ""薪資""))), ""內部轉帳(忽略)"",
  REGEXMATCH(C4607, ""薪資""), ""薪資變動(不計入)"",
  REGEXMATCH(C4607, ""押金""), ""押金往來"",
  AND(E4607&lt;&gt;"""", F4607=""""), ""真實支出"",
  AND(E4607="""", F4607&lt;&gt;""""), ""真實收入"",
  TRUE, ""其他""
)"),"真實收入")</f>
        <v>真實收入</v>
      </c>
      <c r="K4607" s="270">
        <f t="shared" si="2"/>
        <v>11200</v>
      </c>
      <c r="L4607">
        <f t="shared" si="3"/>
        <v>0</v>
      </c>
    </row>
    <row r="4608">
      <c r="A4608" s="107">
        <f>IFERROR(__xludf.DUMMYFUNCTION("""COMPUTED_VALUE"""),45839.0)</f>
        <v>45839</v>
      </c>
      <c r="B4608" t="str">
        <f>IFERROR(__xludf.DUMMYFUNCTION("""COMPUTED_VALUE"""),"[內湖秘境] A [陳玟涵] 月租金 (行號: 39)")</f>
        <v>[內湖秘境] A [陳玟涵] 月租金 (行號: 39)</v>
      </c>
      <c r="C4608" t="str">
        <f>IFERROR(__xludf.DUMMYFUNCTION("""COMPUTED_VALUE"""),"收入 - 租金")</f>
        <v>收入 - 租金</v>
      </c>
      <c r="D4608" s="270">
        <f>IFERROR(__xludf.DUMMYFUNCTION("""COMPUTED_VALUE"""),11700.0)</f>
        <v>11700</v>
      </c>
      <c r="F4608" t="str">
        <f>IFERROR(__xludf.DUMMYFUNCTION("""COMPUTED_VALUE"""),"玉山帳戶")</f>
        <v>玉山帳戶</v>
      </c>
      <c r="G4608" t="str">
        <f>IFERROR(__xludf.DUMMYFUNCTION("""COMPUTED_VALUE"""),"內湖秘境")</f>
        <v>內湖秘境</v>
      </c>
      <c r="H4608" s="106" t="str">
        <f t="shared" si="1"/>
        <v>2025-07</v>
      </c>
      <c r="I4608" s="271" t="str">
        <f>IFERROR(__xludf.DUMMYFUNCTION("""COMPUTED_VALUE"""),"鯰魚大大")</f>
        <v>鯰魚大大</v>
      </c>
      <c r="J4608" t="str">
        <f>IFERROR(__xludf.DUMMYFUNCTION("IFS(
  AND(REGEXMATCH(E4608, ""台銀籌備帳戶|玉山帳戶""), REGEXMATCH(C4608, ""薪資"")), ""分潤支出"",
  AND(REGEXMATCH(E4608, ""Ben帳戶|Elsa帳戶|Ben代墊|Ariel代墊|中信銀行共用""), REGEXMATCH(F4608, ""Ben帳戶|Elsa帳戶|Ben代墊|Ariel代墊|中信銀行共用"")), ""內部轉帳(忽略)"",
  AND(E4608&lt;&gt;"""", F4608&lt;&gt;"""", N"&amp;"OT(REGEXMATCH(C4608, ""薪資""))), ""內部轉帳(忽略)"",
  REGEXMATCH(C4608, ""薪資""), ""薪資變動(不計入)"",
  REGEXMATCH(C4608, ""押金""), ""押金往來"",
  AND(E4608&lt;&gt;"""", F4608=""""), ""真實支出"",
  AND(E4608="""", F4608&lt;&gt;""""), ""真實收入"",
  TRUE, ""其他""
)"),"真實收入")</f>
        <v>真實收入</v>
      </c>
      <c r="K4608" s="270">
        <f t="shared" si="2"/>
        <v>11700</v>
      </c>
      <c r="L4608">
        <f t="shared" si="3"/>
        <v>0</v>
      </c>
    </row>
    <row r="4609">
      <c r="A4609" s="107">
        <f>IFERROR(__xludf.DUMMYFUNCTION("""COMPUTED_VALUE"""),45839.0)</f>
        <v>45839</v>
      </c>
      <c r="B4609" t="str">
        <f>IFERROR(__xludf.DUMMYFUNCTION("""COMPUTED_VALUE"""),"[內湖秘境] C [黃詩穎] 月租金 (行號: 40)")</f>
        <v>[內湖秘境] C [黃詩穎] 月租金 (行號: 40)</v>
      </c>
      <c r="C4609" t="str">
        <f>IFERROR(__xludf.DUMMYFUNCTION("""COMPUTED_VALUE"""),"收入 - 租金")</f>
        <v>收入 - 租金</v>
      </c>
      <c r="D4609" s="270">
        <f>IFERROR(__xludf.DUMMYFUNCTION("""COMPUTED_VALUE"""),14800.0)</f>
        <v>14800</v>
      </c>
      <c r="F4609" t="str">
        <f>IFERROR(__xludf.DUMMYFUNCTION("""COMPUTED_VALUE"""),"玉山帳戶")</f>
        <v>玉山帳戶</v>
      </c>
      <c r="G4609" t="str">
        <f>IFERROR(__xludf.DUMMYFUNCTION("""COMPUTED_VALUE"""),"內湖秘境")</f>
        <v>內湖秘境</v>
      </c>
      <c r="H4609" s="106" t="str">
        <f t="shared" si="1"/>
        <v>2025-07</v>
      </c>
      <c r="I4609" s="271" t="str">
        <f>IFERROR(__xludf.DUMMYFUNCTION("""COMPUTED_VALUE"""),"鯰魚大大")</f>
        <v>鯰魚大大</v>
      </c>
      <c r="J4609" t="str">
        <f>IFERROR(__xludf.DUMMYFUNCTION("IFS(
  AND(REGEXMATCH(E4609, ""台銀籌備帳戶|玉山帳戶""), REGEXMATCH(C4609, ""薪資"")), ""分潤支出"",
  AND(REGEXMATCH(E4609, ""Ben帳戶|Elsa帳戶|Ben代墊|Ariel代墊|中信銀行共用""), REGEXMATCH(F4609, ""Ben帳戶|Elsa帳戶|Ben代墊|Ariel代墊|中信銀行共用"")), ""內部轉帳(忽略)"",
  AND(E4609&lt;&gt;"""", F4609&lt;&gt;"""", N"&amp;"OT(REGEXMATCH(C4609, ""薪資""))), ""內部轉帳(忽略)"",
  REGEXMATCH(C4609, ""薪資""), ""薪資變動(不計入)"",
  REGEXMATCH(C4609, ""押金""), ""押金往來"",
  AND(E4609&lt;&gt;"""", F4609=""""), ""真實支出"",
  AND(E4609="""", F4609&lt;&gt;""""), ""真實收入"",
  TRUE, ""其他""
)"),"真實收入")</f>
        <v>真實收入</v>
      </c>
      <c r="K4609" s="270">
        <f t="shared" si="2"/>
        <v>14800</v>
      </c>
      <c r="L4609">
        <f t="shared" si="3"/>
        <v>0</v>
      </c>
    </row>
    <row r="4610">
      <c r="A4610" s="107">
        <f>IFERROR(__xludf.DUMMYFUNCTION("""COMPUTED_VALUE"""),45839.0)</f>
        <v>45839</v>
      </c>
      <c r="B4610" t="str">
        <f>IFERROR(__xludf.DUMMYFUNCTION("""COMPUTED_VALUE"""),"[內湖秘境] B [劉桀綸] 月租金 (行號: 42)")</f>
        <v>[內湖秘境] B [劉桀綸] 月租金 (行號: 42)</v>
      </c>
      <c r="C4610" t="str">
        <f>IFERROR(__xludf.DUMMYFUNCTION("""COMPUTED_VALUE"""),"收入 - 租金")</f>
        <v>收入 - 租金</v>
      </c>
      <c r="D4610" s="270">
        <f>IFERROR(__xludf.DUMMYFUNCTION("""COMPUTED_VALUE"""),12300.0)</f>
        <v>12300</v>
      </c>
      <c r="F4610" t="str">
        <f>IFERROR(__xludf.DUMMYFUNCTION("""COMPUTED_VALUE"""),"玉山帳戶")</f>
        <v>玉山帳戶</v>
      </c>
      <c r="G4610" t="str">
        <f>IFERROR(__xludf.DUMMYFUNCTION("""COMPUTED_VALUE"""),"內湖秘境")</f>
        <v>內湖秘境</v>
      </c>
      <c r="H4610" s="106" t="str">
        <f t="shared" si="1"/>
        <v>2025-07</v>
      </c>
      <c r="I4610" s="271" t="str">
        <f>IFERROR(__xludf.DUMMYFUNCTION("""COMPUTED_VALUE"""),"鯰魚大大")</f>
        <v>鯰魚大大</v>
      </c>
      <c r="J4610" t="str">
        <f>IFERROR(__xludf.DUMMYFUNCTION("IFS(
  AND(REGEXMATCH(E4610, ""台銀籌備帳戶|玉山帳戶""), REGEXMATCH(C4610, ""薪資"")), ""分潤支出"",
  AND(REGEXMATCH(E4610, ""Ben帳戶|Elsa帳戶|Ben代墊|Ariel代墊|中信銀行共用""), REGEXMATCH(F4610, ""Ben帳戶|Elsa帳戶|Ben代墊|Ariel代墊|中信銀行共用"")), ""內部轉帳(忽略)"",
  AND(E4610&lt;&gt;"""", F4610&lt;&gt;"""", N"&amp;"OT(REGEXMATCH(C4610, ""薪資""))), ""內部轉帳(忽略)"",
  REGEXMATCH(C4610, ""薪資""), ""薪資變動(不計入)"",
  REGEXMATCH(C4610, ""押金""), ""押金往來"",
  AND(E4610&lt;&gt;"""", F4610=""""), ""真實支出"",
  AND(E4610="""", F4610&lt;&gt;""""), ""真實收入"",
  TRUE, ""其他""
)"),"真實收入")</f>
        <v>真實收入</v>
      </c>
      <c r="K4610" s="270">
        <f t="shared" si="2"/>
        <v>12300</v>
      </c>
      <c r="L4610">
        <f t="shared" si="3"/>
        <v>0</v>
      </c>
    </row>
    <row r="4611">
      <c r="A4611" s="107">
        <f>IFERROR(__xludf.DUMMYFUNCTION("""COMPUTED_VALUE"""),45839.0)</f>
        <v>45839</v>
      </c>
      <c r="B4611" t="str">
        <f>IFERROR(__xludf.DUMMYFUNCTION("""COMPUTED_VALUE"""),"[行天宮夏野良栗] C [黃伊妍] 月租金 (行號: 43, 44)")</f>
        <v>[行天宮夏野良栗] C [黃伊妍] 月租金 (行號: 43, 44)</v>
      </c>
      <c r="C4611" t="str">
        <f>IFERROR(__xludf.DUMMYFUNCTION("""COMPUTED_VALUE"""),"收入 - 租金")</f>
        <v>收入 - 租金</v>
      </c>
      <c r="D4611" s="270">
        <f>IFERROR(__xludf.DUMMYFUNCTION("""COMPUTED_VALUE"""),11000.0)</f>
        <v>11000</v>
      </c>
      <c r="F4611" t="str">
        <f>IFERROR(__xludf.DUMMYFUNCTION("""COMPUTED_VALUE"""),"玉山帳戶")</f>
        <v>玉山帳戶</v>
      </c>
      <c r="G4611" t="str">
        <f>IFERROR(__xludf.DUMMYFUNCTION("""COMPUTED_VALUE"""),"行天宮夏野良栗")</f>
        <v>行天宮夏野良栗</v>
      </c>
      <c r="H4611" s="106" t="str">
        <f t="shared" si="1"/>
        <v>2025-07</v>
      </c>
      <c r="I4611" s="271" t="str">
        <f>IFERROR(__xludf.DUMMYFUNCTION("""COMPUTED_VALUE"""),"鯰魚大大")</f>
        <v>鯰魚大大</v>
      </c>
      <c r="J4611" t="str">
        <f>IFERROR(__xludf.DUMMYFUNCTION("IFS(
  AND(REGEXMATCH(E4611, ""台銀籌備帳戶|玉山帳戶""), REGEXMATCH(C4611, ""薪資"")), ""分潤支出"",
  AND(REGEXMATCH(E4611, ""Ben帳戶|Elsa帳戶|Ben代墊|Ariel代墊|中信銀行共用""), REGEXMATCH(F4611, ""Ben帳戶|Elsa帳戶|Ben代墊|Ariel代墊|中信銀行共用"")), ""內部轉帳(忽略)"",
  AND(E4611&lt;&gt;"""", F4611&lt;&gt;"""", N"&amp;"OT(REGEXMATCH(C4611, ""薪資""))), ""內部轉帳(忽略)"",
  REGEXMATCH(C4611, ""薪資""), ""薪資變動(不計入)"",
  REGEXMATCH(C4611, ""押金""), ""押金往來"",
  AND(E4611&lt;&gt;"""", F4611=""""), ""真實支出"",
  AND(E4611="""", F4611&lt;&gt;""""), ""真實收入"",
  TRUE, ""其他""
)"),"真實收入")</f>
        <v>真實收入</v>
      </c>
      <c r="K4611" s="270">
        <f t="shared" si="2"/>
        <v>11000</v>
      </c>
      <c r="L4611">
        <f t="shared" si="3"/>
        <v>0</v>
      </c>
    </row>
    <row r="4612">
      <c r="A4612" s="107">
        <f>IFERROR(__xludf.DUMMYFUNCTION("""COMPUTED_VALUE"""),45840.0)</f>
        <v>45840</v>
      </c>
      <c r="B4612" t="str">
        <f>IFERROR(__xludf.DUMMYFUNCTION("""COMPUTED_VALUE"""),"[行天宮夏野良栗] A [鄒欣穎] 月租金 (行號: 46)")</f>
        <v>[行天宮夏野良栗] A [鄒欣穎] 月租金 (行號: 46)</v>
      </c>
      <c r="C4612" t="str">
        <f>IFERROR(__xludf.DUMMYFUNCTION("""COMPUTED_VALUE"""),"收入 - 租金")</f>
        <v>收入 - 租金</v>
      </c>
      <c r="D4612" s="270">
        <f>IFERROR(__xludf.DUMMYFUNCTION("""COMPUTED_VALUE"""),14200.0)</f>
        <v>14200</v>
      </c>
      <c r="F4612" t="str">
        <f>IFERROR(__xludf.DUMMYFUNCTION("""COMPUTED_VALUE"""),"玉山帳戶")</f>
        <v>玉山帳戶</v>
      </c>
      <c r="G4612" t="str">
        <f>IFERROR(__xludf.DUMMYFUNCTION("""COMPUTED_VALUE"""),"行天宮夏野良栗")</f>
        <v>行天宮夏野良栗</v>
      </c>
      <c r="H4612" s="106" t="str">
        <f t="shared" si="1"/>
        <v>2025-07</v>
      </c>
      <c r="I4612" s="271" t="str">
        <f>IFERROR(__xludf.DUMMYFUNCTION("""COMPUTED_VALUE"""),"鯰魚大大")</f>
        <v>鯰魚大大</v>
      </c>
      <c r="J4612" t="str">
        <f>IFERROR(__xludf.DUMMYFUNCTION("IFS(
  AND(REGEXMATCH(E4612, ""台銀籌備帳戶|玉山帳戶""), REGEXMATCH(C4612, ""薪資"")), ""分潤支出"",
  AND(REGEXMATCH(E4612, ""Ben帳戶|Elsa帳戶|Ben代墊|Ariel代墊|中信銀行共用""), REGEXMATCH(F4612, ""Ben帳戶|Elsa帳戶|Ben代墊|Ariel代墊|中信銀行共用"")), ""內部轉帳(忽略)"",
  AND(E4612&lt;&gt;"""", F4612&lt;&gt;"""", N"&amp;"OT(REGEXMATCH(C4612, ""薪資""))), ""內部轉帳(忽略)"",
  REGEXMATCH(C4612, ""薪資""), ""薪資變動(不計入)"",
  REGEXMATCH(C4612, ""押金""), ""押金往來"",
  AND(E4612&lt;&gt;"""", F4612=""""), ""真實支出"",
  AND(E4612="""", F4612&lt;&gt;""""), ""真實收入"",
  TRUE, ""其他""
)"),"真實收入")</f>
        <v>真實收入</v>
      </c>
      <c r="K4612" s="270">
        <f t="shared" si="2"/>
        <v>14200</v>
      </c>
      <c r="L4612">
        <f t="shared" si="3"/>
        <v>0</v>
      </c>
    </row>
    <row r="4613">
      <c r="A4613" s="107">
        <f>IFERROR(__xludf.DUMMYFUNCTION("""COMPUTED_VALUE"""),45841.0)</f>
        <v>45841</v>
      </c>
      <c r="B4613" t="str">
        <f>IFERROR(__xludf.DUMMYFUNCTION("""COMPUTED_VALUE"""),"費用 - 匯費 對方行:810 後五碼:77212 (行號: 4)")</f>
        <v>費用 - 匯費 對方行:810 後五碼:77212 (行號: 4)</v>
      </c>
      <c r="C4613" t="str">
        <f>IFERROR(__xludf.DUMMYFUNCTION("""COMPUTED_VALUE"""),"費用 - 匯費")</f>
        <v>費用 - 匯費</v>
      </c>
      <c r="D4613" s="270">
        <f>IFERROR(__xludf.DUMMYFUNCTION("""COMPUTED_VALUE"""),-15.0)</f>
        <v>-15</v>
      </c>
      <c r="E4613" t="str">
        <f>IFERROR(__xludf.DUMMYFUNCTION("""COMPUTED_VALUE"""),"玉山帳戶")</f>
        <v>玉山帳戶</v>
      </c>
      <c r="H4613" s="106" t="str">
        <f t="shared" si="1"/>
        <v>2025-07</v>
      </c>
      <c r="I4613" s="271" t="str">
        <f>IFERROR(__xludf.DUMMYFUNCTION("""COMPUTED_VALUE"""),"鯰魚大大")</f>
        <v>鯰魚大大</v>
      </c>
      <c r="J4613" t="str">
        <f>IFERROR(__xludf.DUMMYFUNCTION("IFS(
  AND(REGEXMATCH(E4613, ""台銀籌備帳戶|玉山帳戶""), REGEXMATCH(C4613, ""薪資"")), ""分潤支出"",
  AND(REGEXMATCH(E4613, ""Ben帳戶|Elsa帳戶|Ben代墊|Ariel代墊|中信銀行共用""), REGEXMATCH(F4613, ""Ben帳戶|Elsa帳戶|Ben代墊|Ariel代墊|中信銀行共用"")), ""內部轉帳(忽略)"",
  AND(E4613&lt;&gt;"""", F4613&lt;&gt;"""", N"&amp;"OT(REGEXMATCH(C4613, ""薪資""))), ""內部轉帳(忽略)"",
  REGEXMATCH(C4613, ""薪資""), ""薪資變動(不計入)"",
  REGEXMATCH(C4613, ""押金""), ""押金往來"",
  AND(E4613&lt;&gt;"""", F4613=""""), ""真實支出"",
  AND(E4613="""", F4613&lt;&gt;""""), ""真實收入"",
  TRUE, ""其他""
)"),"真實支出")</f>
        <v>真實支出</v>
      </c>
      <c r="K4613" s="270">
        <f t="shared" si="2"/>
        <v>-15</v>
      </c>
      <c r="L4613">
        <f t="shared" si="3"/>
        <v>0</v>
      </c>
    </row>
    <row r="4614">
      <c r="A4614" s="107">
        <f>IFERROR(__xludf.DUMMYFUNCTION("""COMPUTED_VALUE"""),45841.0)</f>
        <v>45841</v>
      </c>
      <c r="B4614" t="str">
        <f>IFERROR(__xludf.DUMMYFUNCTION("""COMPUTED_VALUE"""),"[內湖秘境] [周佳慧] 大租金")</f>
        <v>[內湖秘境] [周佳慧] 大租金</v>
      </c>
      <c r="C4614" t="str">
        <f>IFERROR(__xludf.DUMMYFUNCTION("""COMPUTED_VALUE"""),"成本 - 大租金")</f>
        <v>成本 - 大租金</v>
      </c>
      <c r="D4614" s="270">
        <f>IFERROR(__xludf.DUMMYFUNCTION("""COMPUTED_VALUE"""),-15000.0)</f>
        <v>-15000</v>
      </c>
      <c r="E4614" t="str">
        <f>IFERROR(__xludf.DUMMYFUNCTION("""COMPUTED_VALUE"""),"玉山帳戶")</f>
        <v>玉山帳戶</v>
      </c>
      <c r="G4614" t="str">
        <f>IFERROR(__xludf.DUMMYFUNCTION("""COMPUTED_VALUE"""),"內湖秘境")</f>
        <v>內湖秘境</v>
      </c>
      <c r="H4614" s="106" t="str">
        <f t="shared" si="1"/>
        <v>2025-07</v>
      </c>
      <c r="I4614" s="271" t="str">
        <f>IFERROR(__xludf.DUMMYFUNCTION("""COMPUTED_VALUE"""),"鯰魚大大")</f>
        <v>鯰魚大大</v>
      </c>
      <c r="J4614" t="str">
        <f>IFERROR(__xludf.DUMMYFUNCTION("IFS(
  AND(REGEXMATCH(E4614, ""台銀籌備帳戶|玉山帳戶""), REGEXMATCH(C4614, ""薪資"")), ""分潤支出"",
  AND(REGEXMATCH(E4614, ""Ben帳戶|Elsa帳戶|Ben代墊|Ariel代墊|中信銀行共用""), REGEXMATCH(F4614, ""Ben帳戶|Elsa帳戶|Ben代墊|Ariel代墊|中信銀行共用"")), ""內部轉帳(忽略)"",
  AND(E4614&lt;&gt;"""", F4614&lt;&gt;"""", N"&amp;"OT(REGEXMATCH(C4614, ""薪資""))), ""內部轉帳(忽略)"",
  REGEXMATCH(C4614, ""薪資""), ""薪資變動(不計入)"",
  REGEXMATCH(C4614, ""押金""), ""押金往來"",
  AND(E4614&lt;&gt;"""", F4614=""""), ""真實支出"",
  AND(E4614="""", F4614&lt;&gt;""""), ""真實收入"",
  TRUE, ""其他""
)"),"真實支出")</f>
        <v>真實支出</v>
      </c>
      <c r="K4614" s="270">
        <f t="shared" si="2"/>
        <v>-15000</v>
      </c>
      <c r="L4614">
        <f t="shared" si="3"/>
        <v>0</v>
      </c>
    </row>
    <row r="4615">
      <c r="A4615" s="107">
        <f>IFERROR(__xludf.DUMMYFUNCTION("""COMPUTED_VALUE"""),45840.0)</f>
        <v>45840</v>
      </c>
      <c r="B4615" t="str">
        <f>IFERROR(__xludf.DUMMYFUNCTION("""COMPUTED_VALUE"""),"[行天宮夏野良栗] E [張宏祺, 謝宗穎] 月租金 (行號: 2)")</f>
        <v>[行天宮夏野良栗] E [張宏祺, 謝宗穎] 月租金 (行號: 2)</v>
      </c>
      <c r="C4615" t="str">
        <f>IFERROR(__xludf.DUMMYFUNCTION("""COMPUTED_VALUE"""),"收入 - 租金")</f>
        <v>收入 - 租金</v>
      </c>
      <c r="D4615" s="270">
        <f>IFERROR(__xludf.DUMMYFUNCTION("""COMPUTED_VALUE"""),31800.0)</f>
        <v>31800</v>
      </c>
      <c r="F4615" t="str">
        <f>IFERROR(__xludf.DUMMYFUNCTION("""COMPUTED_VALUE"""),"玉山帳戶")</f>
        <v>玉山帳戶</v>
      </c>
      <c r="G4615" t="str">
        <f>IFERROR(__xludf.DUMMYFUNCTION("""COMPUTED_VALUE"""),"行天宮夏野良栗")</f>
        <v>行天宮夏野良栗</v>
      </c>
      <c r="H4615" s="106" t="str">
        <f t="shared" si="1"/>
        <v>2025-07</v>
      </c>
      <c r="I4615" s="271" t="str">
        <f>IFERROR(__xludf.DUMMYFUNCTION("""COMPUTED_VALUE"""),"鯰魚大大")</f>
        <v>鯰魚大大</v>
      </c>
      <c r="J4615" t="str">
        <f>IFERROR(__xludf.DUMMYFUNCTION("IFS(
  AND(REGEXMATCH(E4615, ""台銀籌備帳戶|玉山帳戶""), REGEXMATCH(C4615, ""薪資"")), ""分潤支出"",
  AND(REGEXMATCH(E4615, ""Ben帳戶|Elsa帳戶|Ben代墊|Ariel代墊|中信銀行共用""), REGEXMATCH(F4615, ""Ben帳戶|Elsa帳戶|Ben代墊|Ariel代墊|中信銀行共用"")), ""內部轉帳(忽略)"",
  AND(E4615&lt;&gt;"""", F4615&lt;&gt;"""", N"&amp;"OT(REGEXMATCH(C4615, ""薪資""))), ""內部轉帳(忽略)"",
  REGEXMATCH(C4615, ""薪資""), ""薪資變動(不計入)"",
  REGEXMATCH(C4615, ""押金""), ""押金往來"",
  AND(E4615&lt;&gt;"""", F4615=""""), ""真實支出"",
  AND(E4615="""", F4615&lt;&gt;""""), ""真實收入"",
  TRUE, ""其他""
)"),"真實收入")</f>
        <v>真實收入</v>
      </c>
      <c r="K4615" s="270">
        <f t="shared" si="2"/>
        <v>31800</v>
      </c>
      <c r="L4615">
        <f t="shared" si="3"/>
        <v>0</v>
      </c>
    </row>
    <row r="4616">
      <c r="A4616" s="107">
        <f>IFERROR(__xludf.DUMMYFUNCTION("""COMPUTED_VALUE"""),45840.0)</f>
        <v>45840</v>
      </c>
      <c r="B4616" t="str">
        <f>IFERROR(__xludf.DUMMYFUNCTION("""COMPUTED_VALUE"""),"[內湖秘境] F [楊芯岳] 月租金 (行號: 3)")</f>
        <v>[內湖秘境] F [楊芯岳] 月租金 (行號: 3)</v>
      </c>
      <c r="C4616" t="str">
        <f>IFERROR(__xludf.DUMMYFUNCTION("""COMPUTED_VALUE"""),"收入 - 租金")</f>
        <v>收入 - 租金</v>
      </c>
      <c r="D4616" s="270">
        <f>IFERROR(__xludf.DUMMYFUNCTION("""COMPUTED_VALUE"""),13500.0)</f>
        <v>13500</v>
      </c>
      <c r="F4616" t="str">
        <f>IFERROR(__xludf.DUMMYFUNCTION("""COMPUTED_VALUE"""),"玉山帳戶")</f>
        <v>玉山帳戶</v>
      </c>
      <c r="G4616" t="str">
        <f>IFERROR(__xludf.DUMMYFUNCTION("""COMPUTED_VALUE"""),"內湖秘境")</f>
        <v>內湖秘境</v>
      </c>
      <c r="H4616" s="106" t="str">
        <f t="shared" si="1"/>
        <v>2025-07</v>
      </c>
      <c r="I4616" s="271" t="str">
        <f>IFERROR(__xludf.DUMMYFUNCTION("""COMPUTED_VALUE"""),"鯰魚大大")</f>
        <v>鯰魚大大</v>
      </c>
      <c r="J4616" t="str">
        <f>IFERROR(__xludf.DUMMYFUNCTION("IFS(
  AND(REGEXMATCH(E4616, ""台銀籌備帳戶|玉山帳戶""), REGEXMATCH(C4616, ""薪資"")), ""分潤支出"",
  AND(REGEXMATCH(E4616, ""Ben帳戶|Elsa帳戶|Ben代墊|Ariel代墊|中信銀行共用""), REGEXMATCH(F4616, ""Ben帳戶|Elsa帳戶|Ben代墊|Ariel代墊|中信銀行共用"")), ""內部轉帳(忽略)"",
  AND(E4616&lt;&gt;"""", F4616&lt;&gt;"""", N"&amp;"OT(REGEXMATCH(C4616, ""薪資""))), ""內部轉帳(忽略)"",
  REGEXMATCH(C4616, ""薪資""), ""薪資變動(不計入)"",
  REGEXMATCH(C4616, ""押金""), ""押金往來"",
  AND(E4616&lt;&gt;"""", F4616=""""), ""真實支出"",
  AND(E4616="""", F4616&lt;&gt;""""), ""真實收入"",
  TRUE, ""其他""
)"),"真實收入")</f>
        <v>真實收入</v>
      </c>
      <c r="K4616" s="270">
        <f t="shared" si="2"/>
        <v>13500</v>
      </c>
      <c r="L4616">
        <f t="shared" si="3"/>
        <v>0</v>
      </c>
    </row>
    <row r="4617">
      <c r="A4617" s="107">
        <f>IFERROR(__xludf.DUMMYFUNCTION("""COMPUTED_VALUE"""),45845.0)</f>
        <v>45845</v>
      </c>
      <c r="B4617" t="str">
        <f>IFERROR(__xludf.DUMMYFUNCTION("""COMPUTED_VALUE"""),"[內湖CityLink] E [葉英蔚] 首月租金 (行號: 2)")</f>
        <v>[內湖CityLink] E [葉英蔚] 首月租金 (行號: 2)</v>
      </c>
      <c r="C4617" t="str">
        <f>IFERROR(__xludf.DUMMYFUNCTION("""COMPUTED_VALUE"""),"收入 - 租金")</f>
        <v>收入 - 租金</v>
      </c>
      <c r="D4617" s="270">
        <f>IFERROR(__xludf.DUMMYFUNCTION("""COMPUTED_VALUE"""),10000.0)</f>
        <v>10000</v>
      </c>
      <c r="F4617" t="str">
        <f>IFERROR(__xludf.DUMMYFUNCTION("""COMPUTED_VALUE"""),"玉山帳戶")</f>
        <v>玉山帳戶</v>
      </c>
      <c r="G4617" t="str">
        <f>IFERROR(__xludf.DUMMYFUNCTION("""COMPUTED_VALUE"""),"內湖CityLink")</f>
        <v>內湖CityLink</v>
      </c>
      <c r="H4617" s="106" t="str">
        <f t="shared" si="1"/>
        <v>2025-07</v>
      </c>
      <c r="I4617" s="271" t="str">
        <f>IFERROR(__xludf.DUMMYFUNCTION("""COMPUTED_VALUE"""),"鯰魚大大")</f>
        <v>鯰魚大大</v>
      </c>
      <c r="J4617" t="str">
        <f>IFERROR(__xludf.DUMMYFUNCTION("IFS(
  AND(REGEXMATCH(E4617, ""台銀籌備帳戶|玉山帳戶""), REGEXMATCH(C4617, ""薪資"")), ""分潤支出"",
  AND(REGEXMATCH(E4617, ""Ben帳戶|Elsa帳戶|Ben代墊|Ariel代墊|中信銀行共用""), REGEXMATCH(F4617, ""Ben帳戶|Elsa帳戶|Ben代墊|Ariel代墊|中信銀行共用"")), ""內部轉帳(忽略)"",
  AND(E4617&lt;&gt;"""", F4617&lt;&gt;"""", N"&amp;"OT(REGEXMATCH(C4617, ""薪資""))), ""內部轉帳(忽略)"",
  REGEXMATCH(C4617, ""薪資""), ""薪資變動(不計入)"",
  REGEXMATCH(C4617, ""押金""), ""押金往來"",
  AND(E4617&lt;&gt;"""", F4617=""""), ""真實支出"",
  AND(E4617="""", F4617&lt;&gt;""""), ""真實收入"",
  TRUE, ""其他""
)"),"真實收入")</f>
        <v>真實收入</v>
      </c>
      <c r="K4617" s="270">
        <f t="shared" si="2"/>
        <v>10000</v>
      </c>
      <c r="L4617">
        <f t="shared" si="3"/>
        <v>0</v>
      </c>
    </row>
    <row r="4618">
      <c r="A4618" s="107">
        <f>IFERROR(__xludf.DUMMYFUNCTION("""COMPUTED_VALUE"""),45849.0)</f>
        <v>45849</v>
      </c>
      <c r="B4618" t="str">
        <f>IFERROR(__xludf.DUMMYFUNCTION("""COMPUTED_VALUE"""),"內湖CIty電費")</f>
        <v>內湖CIty電費</v>
      </c>
      <c r="C4618" t="str">
        <f>IFERROR(__xludf.DUMMYFUNCTION("""COMPUTED_VALUE"""),"成本 - 固定開銷(網路代收清潔)")</f>
        <v>成本 - 固定開銷(網路代收清潔)</v>
      </c>
      <c r="D4618" s="270">
        <f>IFERROR(__xludf.DUMMYFUNCTION("""COMPUTED_VALUE"""),-1720.0)</f>
        <v>-1720</v>
      </c>
      <c r="E4618" t="str">
        <f>IFERROR(__xludf.DUMMYFUNCTION("""COMPUTED_VALUE"""),"Ben代墊")</f>
        <v>Ben代墊</v>
      </c>
      <c r="G4618" t="str">
        <f>IFERROR(__xludf.DUMMYFUNCTION("""COMPUTED_VALUE"""),"內湖CityLink")</f>
        <v>內湖CityLink</v>
      </c>
      <c r="H4618" s="106" t="str">
        <f t="shared" si="1"/>
        <v>2025-07</v>
      </c>
      <c r="I4618" s="271" t="str">
        <f>IFERROR(__xludf.DUMMYFUNCTION("""COMPUTED_VALUE"""),"鯰魚大大")</f>
        <v>鯰魚大大</v>
      </c>
      <c r="J4618" t="str">
        <f>IFERROR(__xludf.DUMMYFUNCTION("IFS(
  AND(REGEXMATCH(E4618, ""台銀籌備帳戶|玉山帳戶""), REGEXMATCH(C4618, ""薪資"")), ""分潤支出"",
  AND(REGEXMATCH(E4618, ""Ben帳戶|Elsa帳戶|Ben代墊|Ariel代墊|中信銀行共用""), REGEXMATCH(F4618, ""Ben帳戶|Elsa帳戶|Ben代墊|Ariel代墊|中信銀行共用"")), ""內部轉帳(忽略)"",
  AND(E4618&lt;&gt;"""", F4618&lt;&gt;"""", N"&amp;"OT(REGEXMATCH(C4618, ""薪資""))), ""內部轉帳(忽略)"",
  REGEXMATCH(C4618, ""薪資""), ""薪資變動(不計入)"",
  REGEXMATCH(C4618, ""押金""), ""押金往來"",
  AND(E4618&lt;&gt;"""", F4618=""""), ""真實支出"",
  AND(E4618="""", F4618&lt;&gt;""""), ""真實收入"",
  TRUE, ""其他""
)"),"真實支出")</f>
        <v>真實支出</v>
      </c>
      <c r="K4618" s="270">
        <f t="shared" si="2"/>
        <v>-1720</v>
      </c>
      <c r="L4618">
        <f t="shared" si="3"/>
        <v>0</v>
      </c>
    </row>
    <row r="4619">
      <c r="A4619" s="107">
        <f>IFERROR(__xludf.DUMMYFUNCTION("""COMPUTED_VALUE"""),45858.0)</f>
        <v>45858</v>
      </c>
      <c r="B4619" t="str">
        <f>IFERROR(__xludf.DUMMYFUNCTION("""COMPUTED_VALUE"""),"內湖City水費")</f>
        <v>內湖City水費</v>
      </c>
      <c r="C4619" t="str">
        <f>IFERROR(__xludf.DUMMYFUNCTION("""COMPUTED_VALUE"""),"成本 - 固定開銷(網路代收清潔)")</f>
        <v>成本 - 固定開銷(網路代收清潔)</v>
      </c>
      <c r="D4619" s="270">
        <f>IFERROR(__xludf.DUMMYFUNCTION("""COMPUTED_VALUE"""),-850.0)</f>
        <v>-850</v>
      </c>
      <c r="E4619" t="str">
        <f>IFERROR(__xludf.DUMMYFUNCTION("""COMPUTED_VALUE"""),"Ben代墊")</f>
        <v>Ben代墊</v>
      </c>
      <c r="G4619" t="str">
        <f>IFERROR(__xludf.DUMMYFUNCTION("""COMPUTED_VALUE"""),"內湖CityLink")</f>
        <v>內湖CityLink</v>
      </c>
      <c r="H4619" s="106" t="str">
        <f t="shared" si="1"/>
        <v>2025-07</v>
      </c>
      <c r="I4619" s="271" t="str">
        <f>IFERROR(__xludf.DUMMYFUNCTION("""COMPUTED_VALUE"""),"鯰魚大大")</f>
        <v>鯰魚大大</v>
      </c>
      <c r="J4619" t="str">
        <f>IFERROR(__xludf.DUMMYFUNCTION("IFS(
  AND(REGEXMATCH(E4619, ""台銀籌備帳戶|玉山帳戶""), REGEXMATCH(C4619, ""薪資"")), ""分潤支出"",
  AND(REGEXMATCH(E4619, ""Ben帳戶|Elsa帳戶|Ben代墊|Ariel代墊|中信銀行共用""), REGEXMATCH(F4619, ""Ben帳戶|Elsa帳戶|Ben代墊|Ariel代墊|中信銀行共用"")), ""內部轉帳(忽略)"",
  AND(E4619&lt;&gt;"""", F4619&lt;&gt;"""", N"&amp;"OT(REGEXMATCH(C4619, ""薪資""))), ""內部轉帳(忽略)"",
  REGEXMATCH(C4619, ""薪資""), ""薪資變動(不計入)"",
  REGEXMATCH(C4619, ""押金""), ""押金往來"",
  AND(E4619&lt;&gt;"""", F4619=""""), ""真實支出"",
  AND(E4619="""", F4619&lt;&gt;""""), ""真實收入"",
  TRUE, ""其他""
)"),"真實支出")</f>
        <v>真實支出</v>
      </c>
      <c r="K4619" s="270">
        <f t="shared" si="2"/>
        <v>-850</v>
      </c>
      <c r="L4619">
        <f t="shared" si="3"/>
        <v>0</v>
      </c>
    </row>
    <row r="4620">
      <c r="A4620" s="107">
        <f>IFERROR(__xludf.DUMMYFUNCTION("""COMPUTED_VALUE"""),45863.0)</f>
        <v>45863</v>
      </c>
      <c r="B4620" t="str">
        <f>IFERROR(__xludf.DUMMYFUNCTION("""COMPUTED_VALUE"""),"垃可")</f>
        <v>垃可</v>
      </c>
      <c r="C4620" t="str">
        <f>IFERROR(__xludf.DUMMYFUNCTION("""COMPUTED_VALUE"""),"成本 - 固定開銷(網路代收清潔)")</f>
        <v>成本 - 固定開銷(網路代收清潔)</v>
      </c>
      <c r="D4620" s="270">
        <f>IFERROR(__xludf.DUMMYFUNCTION("""COMPUTED_VALUE"""),-1013.0)</f>
        <v>-1013</v>
      </c>
      <c r="E4620" t="str">
        <f>IFERROR(__xludf.DUMMYFUNCTION("""COMPUTED_VALUE"""),"Ben代墊")</f>
        <v>Ben代墊</v>
      </c>
      <c r="H4620" s="106" t="str">
        <f t="shared" si="1"/>
        <v>2025-07</v>
      </c>
      <c r="I4620" s="271" t="str">
        <f>IFERROR(__xludf.DUMMYFUNCTION("""COMPUTED_VALUE"""),"鯰魚大大")</f>
        <v>鯰魚大大</v>
      </c>
      <c r="J4620" t="str">
        <f>IFERROR(__xludf.DUMMYFUNCTION("IFS(
  AND(REGEXMATCH(E4620, ""台銀籌備帳戶|玉山帳戶""), REGEXMATCH(C4620, ""薪資"")), ""分潤支出"",
  AND(REGEXMATCH(E4620, ""Ben帳戶|Elsa帳戶|Ben代墊|Ariel代墊|中信銀行共用""), REGEXMATCH(F4620, ""Ben帳戶|Elsa帳戶|Ben代墊|Ariel代墊|中信銀行共用"")), ""內部轉帳(忽略)"",
  AND(E4620&lt;&gt;"""", F4620&lt;&gt;"""", N"&amp;"OT(REGEXMATCH(C4620, ""薪資""))), ""內部轉帳(忽略)"",
  REGEXMATCH(C4620, ""薪資""), ""薪資變動(不計入)"",
  REGEXMATCH(C4620, ""押金""), ""押金往來"",
  AND(E4620&lt;&gt;"""", F4620=""""), ""真實支出"",
  AND(E4620="""", F4620&lt;&gt;""""), ""真實收入"",
  TRUE, ""其他""
)"),"真實支出")</f>
        <v>真實支出</v>
      </c>
      <c r="K4620" s="270">
        <f t="shared" si="2"/>
        <v>-1013</v>
      </c>
      <c r="L4620">
        <f t="shared" si="3"/>
        <v>0</v>
      </c>
    </row>
    <row r="4621">
      <c r="A4621" s="107">
        <f>IFERROR(__xludf.DUMMYFUNCTION("""COMPUTED_VALUE"""),45853.0)</f>
        <v>45853</v>
      </c>
      <c r="B4621" t="str">
        <f>IFERROR(__xludf.DUMMYFUNCTION("""COMPUTED_VALUE"""),"費用 - 匯費 對方行:013 後五碼:78744 (行號: 3)")</f>
        <v>費用 - 匯費 對方行:013 後五碼:78744 (行號: 3)</v>
      </c>
      <c r="C4621" t="str">
        <f>IFERROR(__xludf.DUMMYFUNCTION("""COMPUTED_VALUE"""),"費用 - 匯費")</f>
        <v>費用 - 匯費</v>
      </c>
      <c r="D4621" s="270">
        <f>IFERROR(__xludf.DUMMYFUNCTION("""COMPUTED_VALUE"""),-15.0)</f>
        <v>-15</v>
      </c>
      <c r="E4621" t="str">
        <f>IFERROR(__xludf.DUMMYFUNCTION("""COMPUTED_VALUE"""),"玉山帳戶")</f>
        <v>玉山帳戶</v>
      </c>
      <c r="H4621" s="106" t="str">
        <f t="shared" si="1"/>
        <v>2025-07</v>
      </c>
      <c r="I4621" s="271" t="str">
        <f>IFERROR(__xludf.DUMMYFUNCTION("""COMPUTED_VALUE"""),"鯰魚大大")</f>
        <v>鯰魚大大</v>
      </c>
      <c r="J4621" t="str">
        <f>IFERROR(__xludf.DUMMYFUNCTION("IFS(
  AND(REGEXMATCH(E4621, ""台銀籌備帳戶|玉山帳戶""), REGEXMATCH(C4621, ""薪資"")), ""分潤支出"",
  AND(REGEXMATCH(E4621, ""Ben帳戶|Elsa帳戶|Ben代墊|Ariel代墊|中信銀行共用""), REGEXMATCH(F4621, ""Ben帳戶|Elsa帳戶|Ben代墊|Ariel代墊|中信銀行共用"")), ""內部轉帳(忽略)"",
  AND(E4621&lt;&gt;"""", F4621&lt;&gt;"""", N"&amp;"OT(REGEXMATCH(C4621, ""薪資""))), ""內部轉帳(忽略)"",
  REGEXMATCH(C4621, ""薪資""), ""薪資變動(不計入)"",
  REGEXMATCH(C4621, ""押金""), ""押金往來"",
  AND(E4621&lt;&gt;"""", F4621=""""), ""真實支出"",
  AND(E4621="""", F4621&lt;&gt;""""), ""真實收入"",
  TRUE, ""其他""
)"),"真實支出")</f>
        <v>真實支出</v>
      </c>
      <c r="K4621" s="270">
        <f t="shared" si="2"/>
        <v>-15</v>
      </c>
      <c r="L4621">
        <f t="shared" si="3"/>
        <v>0</v>
      </c>
    </row>
    <row r="4622">
      <c r="A4622" s="107">
        <f>IFERROR(__xludf.DUMMYFUNCTION("""COMPUTED_VALUE"""),45853.0)</f>
        <v>45853</v>
      </c>
      <c r="B4622" t="str">
        <f>IFERROR(__xludf.DUMMYFUNCTION("""COMPUTED_VALUE"""),"[士林和豐] [楊政偉] 大租金")</f>
        <v>[士林和豐] [楊政偉] 大租金</v>
      </c>
      <c r="C4622" t="str">
        <f>IFERROR(__xludf.DUMMYFUNCTION("""COMPUTED_VALUE"""),"成本 - 大租金")</f>
        <v>成本 - 大租金</v>
      </c>
      <c r="D4622" s="270">
        <f>IFERROR(__xludf.DUMMYFUNCTION("""COMPUTED_VALUE"""),-14400.0)</f>
        <v>-14400</v>
      </c>
      <c r="E4622" t="str">
        <f>IFERROR(__xludf.DUMMYFUNCTION("""COMPUTED_VALUE"""),"玉山帳戶")</f>
        <v>玉山帳戶</v>
      </c>
      <c r="G4622" t="str">
        <f>IFERROR(__xludf.DUMMYFUNCTION("""COMPUTED_VALUE"""),"士林和豐")</f>
        <v>士林和豐</v>
      </c>
      <c r="H4622" s="106" t="str">
        <f t="shared" si="1"/>
        <v>2025-07</v>
      </c>
      <c r="I4622" s="271" t="str">
        <f>IFERROR(__xludf.DUMMYFUNCTION("""COMPUTED_VALUE"""),"鯰魚大大")</f>
        <v>鯰魚大大</v>
      </c>
      <c r="J4622" t="str">
        <f>IFERROR(__xludf.DUMMYFUNCTION("IFS(
  AND(REGEXMATCH(E4622, ""台銀籌備帳戶|玉山帳戶""), REGEXMATCH(C4622, ""薪資"")), ""分潤支出"",
  AND(REGEXMATCH(E4622, ""Ben帳戶|Elsa帳戶|Ben代墊|Ariel代墊|中信銀行共用""), REGEXMATCH(F4622, ""Ben帳戶|Elsa帳戶|Ben代墊|Ariel代墊|中信銀行共用"")), ""內部轉帳(忽略)"",
  AND(E4622&lt;&gt;"""", F4622&lt;&gt;"""", N"&amp;"OT(REGEXMATCH(C4622, ""薪資""))), ""內部轉帳(忽略)"",
  REGEXMATCH(C4622, ""薪資""), ""薪資變動(不計入)"",
  REGEXMATCH(C4622, ""押金""), ""押金往來"",
  AND(E4622&lt;&gt;"""", F4622=""""), ""真實支出"",
  AND(E4622="""", F4622&lt;&gt;""""), ""真實收入"",
  TRUE, ""其他""
)"),"真實支出")</f>
        <v>真實支出</v>
      </c>
      <c r="K4622" s="270">
        <f t="shared" si="2"/>
        <v>-14400</v>
      </c>
      <c r="L4622">
        <f t="shared" si="3"/>
        <v>0</v>
      </c>
    </row>
    <row r="4623">
      <c r="A4623" s="107">
        <f>IFERROR(__xludf.DUMMYFUNCTION("""COMPUTED_VALUE"""),45853.0)</f>
        <v>45853</v>
      </c>
      <c r="B4623" t="str">
        <f>IFERROR(__xludf.DUMMYFUNCTION("""COMPUTED_VALUE"""),"費用 - 匯費 對方行:012 後五碼:68447 (行號: 4)")</f>
        <v>費用 - 匯費 對方行:012 後五碼:68447 (行號: 4)</v>
      </c>
      <c r="C4623" t="str">
        <f>IFERROR(__xludf.DUMMYFUNCTION("""COMPUTED_VALUE"""),"費用 - 匯費")</f>
        <v>費用 - 匯費</v>
      </c>
      <c r="D4623" s="270">
        <f>IFERROR(__xludf.DUMMYFUNCTION("""COMPUTED_VALUE"""),-15.0)</f>
        <v>-15</v>
      </c>
      <c r="E4623" t="str">
        <f>IFERROR(__xludf.DUMMYFUNCTION("""COMPUTED_VALUE"""),"玉山帳戶")</f>
        <v>玉山帳戶</v>
      </c>
      <c r="H4623" s="106" t="str">
        <f t="shared" si="1"/>
        <v>2025-07</v>
      </c>
      <c r="I4623" s="271" t="str">
        <f>IFERROR(__xludf.DUMMYFUNCTION("""COMPUTED_VALUE"""),"鯰魚大大")</f>
        <v>鯰魚大大</v>
      </c>
      <c r="J4623" t="str">
        <f>IFERROR(__xludf.DUMMYFUNCTION("IFS(
  AND(REGEXMATCH(E4623, ""台銀籌備帳戶|玉山帳戶""), REGEXMATCH(C4623, ""薪資"")), ""分潤支出"",
  AND(REGEXMATCH(E4623, ""Ben帳戶|Elsa帳戶|Ben代墊|Ariel代墊|中信銀行共用""), REGEXMATCH(F4623, ""Ben帳戶|Elsa帳戶|Ben代墊|Ariel代墊|中信銀行共用"")), ""內部轉帳(忽略)"",
  AND(E4623&lt;&gt;"""", F4623&lt;&gt;"""", N"&amp;"OT(REGEXMATCH(C4623, ""薪資""))), ""內部轉帳(忽略)"",
  REGEXMATCH(C4623, ""薪資""), ""薪資變動(不計入)"",
  REGEXMATCH(C4623, ""押金""), ""押金往來"",
  AND(E4623&lt;&gt;"""", F4623=""""), ""真實支出"",
  AND(E4623="""", F4623&lt;&gt;""""), ""真實收入"",
  TRUE, ""其他""
)"),"真實支出")</f>
        <v>真實支出</v>
      </c>
      <c r="K4623" s="270">
        <f t="shared" si="2"/>
        <v>-15</v>
      </c>
      <c r="L4623">
        <f t="shared" si="3"/>
        <v>0</v>
      </c>
    </row>
    <row r="4624">
      <c r="A4624" s="107">
        <f>IFERROR(__xludf.DUMMYFUNCTION("""COMPUTED_VALUE"""),45853.0)</f>
        <v>45853</v>
      </c>
      <c r="B4624" t="str">
        <f>IFERROR(__xludf.DUMMYFUNCTION("""COMPUTED_VALUE"""),"[行天宮夏野良栗] [沈蕙萱] 大租金")</f>
        <v>[行天宮夏野良栗] [沈蕙萱] 大租金</v>
      </c>
      <c r="C4624" t="str">
        <f>IFERROR(__xludf.DUMMYFUNCTION("""COMPUTED_VALUE"""),"成本 - 大租金")</f>
        <v>成本 - 大租金</v>
      </c>
      <c r="D4624" s="270">
        <f>IFERROR(__xludf.DUMMYFUNCTION("""COMPUTED_VALUE"""),-19900.0)</f>
        <v>-19900</v>
      </c>
      <c r="E4624" t="str">
        <f>IFERROR(__xludf.DUMMYFUNCTION("""COMPUTED_VALUE"""),"玉山帳戶")</f>
        <v>玉山帳戶</v>
      </c>
      <c r="G4624" t="str">
        <f>IFERROR(__xludf.DUMMYFUNCTION("""COMPUTED_VALUE"""),"行天宮夏野良栗")</f>
        <v>行天宮夏野良栗</v>
      </c>
      <c r="H4624" s="106" t="str">
        <f t="shared" si="1"/>
        <v>2025-07</v>
      </c>
      <c r="I4624" s="271" t="str">
        <f>IFERROR(__xludf.DUMMYFUNCTION("""COMPUTED_VALUE"""),"鯰魚大大")</f>
        <v>鯰魚大大</v>
      </c>
      <c r="J4624" t="str">
        <f>IFERROR(__xludf.DUMMYFUNCTION("IFS(
  AND(REGEXMATCH(E4624, ""台銀籌備帳戶|玉山帳戶""), REGEXMATCH(C4624, ""薪資"")), ""分潤支出"",
  AND(REGEXMATCH(E4624, ""Ben帳戶|Elsa帳戶|Ben代墊|Ariel代墊|中信銀行共用""), REGEXMATCH(F4624, ""Ben帳戶|Elsa帳戶|Ben代墊|Ariel代墊|中信銀行共用"")), ""內部轉帳(忽略)"",
  AND(E4624&lt;&gt;"""", F4624&lt;&gt;"""", N"&amp;"OT(REGEXMATCH(C4624, ""薪資""))), ""內部轉帳(忽略)"",
  REGEXMATCH(C4624, ""薪資""), ""薪資變動(不計入)"",
  REGEXMATCH(C4624, ""押金""), ""押金往來"",
  AND(E4624&lt;&gt;"""", F4624=""""), ""真實支出"",
  AND(E4624="""", F4624&lt;&gt;""""), ""真實收入"",
  TRUE, ""其他""
)"),"真實支出")</f>
        <v>真實支出</v>
      </c>
      <c r="K4624" s="270">
        <f t="shared" si="2"/>
        <v>-19900</v>
      </c>
      <c r="L4624">
        <f t="shared" si="3"/>
        <v>0</v>
      </c>
    </row>
    <row r="4625">
      <c r="A4625" s="107">
        <f>IFERROR(__xludf.DUMMYFUNCTION("""COMPUTED_VALUE"""),45859.0)</f>
        <v>45859</v>
      </c>
      <c r="B4625" t="str">
        <f>IFERROR(__xludf.DUMMYFUNCTION("""COMPUTED_VALUE"""),"費用 - 匯費 對方行:012 後五碼:22931 (行號: 6)")</f>
        <v>費用 - 匯費 對方行:012 後五碼:22931 (行號: 6)</v>
      </c>
      <c r="C4625" t="str">
        <f>IFERROR(__xludf.DUMMYFUNCTION("""COMPUTED_VALUE"""),"費用 - 匯費")</f>
        <v>費用 - 匯費</v>
      </c>
      <c r="D4625" s="270">
        <f>IFERROR(__xludf.DUMMYFUNCTION("""COMPUTED_VALUE"""),-15.0)</f>
        <v>-15</v>
      </c>
      <c r="E4625" t="str">
        <f>IFERROR(__xludf.DUMMYFUNCTION("""COMPUTED_VALUE"""),"玉山帳戶")</f>
        <v>玉山帳戶</v>
      </c>
      <c r="H4625" s="106" t="str">
        <f t="shared" si="1"/>
        <v>2025-07</v>
      </c>
      <c r="I4625" s="271" t="str">
        <f>IFERROR(__xludf.DUMMYFUNCTION("""COMPUTED_VALUE"""),"鯰魚大大")</f>
        <v>鯰魚大大</v>
      </c>
      <c r="J4625" t="str">
        <f>IFERROR(__xludf.DUMMYFUNCTION("IFS(
  AND(REGEXMATCH(E4625, ""台銀籌備帳戶|玉山帳戶""), REGEXMATCH(C4625, ""薪資"")), ""分潤支出"",
  AND(REGEXMATCH(E4625, ""Ben帳戶|Elsa帳戶|Ben代墊|Ariel代墊|中信銀行共用""), REGEXMATCH(F4625, ""Ben帳戶|Elsa帳戶|Ben代墊|Ariel代墊|中信銀行共用"")), ""內部轉帳(忽略)"",
  AND(E4625&lt;&gt;"""", F4625&lt;&gt;"""", N"&amp;"OT(REGEXMATCH(C4625, ""薪資""))), ""內部轉帳(忽略)"",
  REGEXMATCH(C4625, ""薪資""), ""薪資變動(不計入)"",
  REGEXMATCH(C4625, ""押金""), ""押金往來"",
  AND(E4625&lt;&gt;"""", F4625=""""), ""真實支出"",
  AND(E4625="""", F4625&lt;&gt;""""), ""真實收入"",
  TRUE, ""其他""
)"),"真實支出")</f>
        <v>真實支出</v>
      </c>
      <c r="K4625" s="270">
        <f t="shared" si="2"/>
        <v>-15</v>
      </c>
      <c r="L4625">
        <f t="shared" si="3"/>
        <v>0</v>
      </c>
    </row>
    <row r="4626">
      <c r="A4626" s="107">
        <f>IFERROR(__xludf.DUMMYFUNCTION("""COMPUTED_VALUE"""),45859.0)</f>
        <v>45859</v>
      </c>
      <c r="B4626" t="str">
        <f>IFERROR(__xludf.DUMMYFUNCTION("""COMPUTED_VALUE"""),"劍潭B床墊 【未分類支出】")</f>
        <v>劍潭B床墊 【未分類支出】</v>
      </c>
      <c r="C4626" t="str">
        <f>IFERROR(__xludf.DUMMYFUNCTION("""COMPUTED_VALUE"""),"成本 - 租後修繕")</f>
        <v>成本 - 租後修繕</v>
      </c>
      <c r="D4626" s="270">
        <f>IFERROR(__xludf.DUMMYFUNCTION("""COMPUTED_VALUE"""),-2800.0)</f>
        <v>-2800</v>
      </c>
      <c r="E4626" t="str">
        <f>IFERROR(__xludf.DUMMYFUNCTION("""COMPUTED_VALUE"""),"玉山帳戶")</f>
        <v>玉山帳戶</v>
      </c>
      <c r="G4626" t="str">
        <f>IFERROR(__xludf.DUMMYFUNCTION("""COMPUTED_VALUE"""),"士林和豐")</f>
        <v>士林和豐</v>
      </c>
      <c r="H4626" s="106" t="str">
        <f t="shared" si="1"/>
        <v>2025-07</v>
      </c>
      <c r="I4626" s="271" t="str">
        <f>IFERROR(__xludf.DUMMYFUNCTION("""COMPUTED_VALUE"""),"鯰魚大大")</f>
        <v>鯰魚大大</v>
      </c>
      <c r="J4626" t="str">
        <f>IFERROR(__xludf.DUMMYFUNCTION("IFS(
  AND(REGEXMATCH(E4626, ""台銀籌備帳戶|玉山帳戶""), REGEXMATCH(C4626, ""薪資"")), ""分潤支出"",
  AND(REGEXMATCH(E4626, ""Ben帳戶|Elsa帳戶|Ben代墊|Ariel代墊|中信銀行共用""), REGEXMATCH(F4626, ""Ben帳戶|Elsa帳戶|Ben代墊|Ariel代墊|中信銀行共用"")), ""內部轉帳(忽略)"",
  AND(E4626&lt;&gt;"""", F4626&lt;&gt;"""", N"&amp;"OT(REGEXMATCH(C4626, ""薪資""))), ""內部轉帳(忽略)"",
  REGEXMATCH(C4626, ""薪資""), ""薪資變動(不計入)"",
  REGEXMATCH(C4626, ""押金""), ""押金往來"",
  AND(E4626&lt;&gt;"""", F4626=""""), ""真實支出"",
  AND(E4626="""", F4626&lt;&gt;""""), ""真實收入"",
  TRUE, ""其他""
)"),"真實支出")</f>
        <v>真實支出</v>
      </c>
      <c r="K4626" s="270">
        <f t="shared" si="2"/>
        <v>-2800</v>
      </c>
      <c r="L4626">
        <f t="shared" si="3"/>
        <v>0</v>
      </c>
    </row>
    <row r="4627">
      <c r="A4627" s="107">
        <f>IFERROR(__xludf.DUMMYFUNCTION("""COMPUTED_VALUE"""),45861.0)</f>
        <v>45861</v>
      </c>
      <c r="B4627" t="str">
        <f>IFERROR(__xludf.DUMMYFUNCTION("""COMPUTED_VALUE"""),"費用 - 匯費 對方行:822 後五碼:43051 (行號: 7)")</f>
        <v>費用 - 匯費 對方行:822 後五碼:43051 (行號: 7)</v>
      </c>
      <c r="C4627" t="str">
        <f>IFERROR(__xludf.DUMMYFUNCTION("""COMPUTED_VALUE"""),"費用 - 匯費")</f>
        <v>費用 - 匯費</v>
      </c>
      <c r="D4627" s="270">
        <f>IFERROR(__xludf.DUMMYFUNCTION("""COMPUTED_VALUE"""),-15.0)</f>
        <v>-15</v>
      </c>
      <c r="E4627" t="str">
        <f>IFERROR(__xludf.DUMMYFUNCTION("""COMPUTED_VALUE"""),"玉山帳戶")</f>
        <v>玉山帳戶</v>
      </c>
      <c r="H4627" s="106" t="str">
        <f t="shared" si="1"/>
        <v>2025-07</v>
      </c>
      <c r="I4627" s="271" t="str">
        <f>IFERROR(__xludf.DUMMYFUNCTION("""COMPUTED_VALUE"""),"鯰魚大大")</f>
        <v>鯰魚大大</v>
      </c>
      <c r="J4627" t="str">
        <f>IFERROR(__xludf.DUMMYFUNCTION("IFS(
  AND(REGEXMATCH(E4627, ""台銀籌備帳戶|玉山帳戶""), REGEXMATCH(C4627, ""薪資"")), ""分潤支出"",
  AND(REGEXMATCH(E4627, ""Ben帳戶|Elsa帳戶|Ben代墊|Ariel代墊|中信銀行共用""), REGEXMATCH(F4627, ""Ben帳戶|Elsa帳戶|Ben代墊|Ariel代墊|中信銀行共用"")), ""內部轉帳(忽略)"",
  AND(E4627&lt;&gt;"""", F4627&lt;&gt;"""", N"&amp;"OT(REGEXMATCH(C4627, ""薪資""))), ""內部轉帳(忽略)"",
  REGEXMATCH(C4627, ""薪資""), ""薪資變動(不計入)"",
  REGEXMATCH(C4627, ""押金""), ""押金往來"",
  AND(E4627&lt;&gt;"""", F4627=""""), ""真實支出"",
  AND(E4627="""", F4627&lt;&gt;""""), ""真實收入"",
  TRUE, ""其他""
)"),"真實支出")</f>
        <v>真實支出</v>
      </c>
      <c r="K4627" s="270">
        <f t="shared" si="2"/>
        <v>-15</v>
      </c>
      <c r="L4627">
        <f t="shared" si="3"/>
        <v>0</v>
      </c>
    </row>
    <row r="4628">
      <c r="A4628" s="107">
        <f>IFERROR(__xludf.DUMMYFUNCTION("""COMPUTED_VALUE"""),45861.0)</f>
        <v>45861</v>
      </c>
      <c r="B4628" t="str">
        <f>IFERROR(__xludf.DUMMYFUNCTION("""COMPUTED_VALUE"""),"Ben代墊款 【未分類支出】")</f>
        <v>Ben代墊款 【未分類支出】</v>
      </c>
      <c r="C4628" t="str">
        <f>IFERROR(__xludf.DUMMYFUNCTION("""COMPUTED_VALUE"""),"費用 - Salary 薪資")</f>
        <v>費用 - Salary 薪資</v>
      </c>
      <c r="D4628" s="270">
        <f>IFERROR(__xludf.DUMMYFUNCTION("""COMPUTED_VALUE"""),-100000.0)</f>
        <v>-100000</v>
      </c>
      <c r="E4628" t="str">
        <f>IFERROR(__xludf.DUMMYFUNCTION("""COMPUTED_VALUE"""),"玉山帳戶")</f>
        <v>玉山帳戶</v>
      </c>
      <c r="F4628" t="str">
        <f>IFERROR(__xludf.DUMMYFUNCTION("""COMPUTED_VALUE"""),"Ben代墊")</f>
        <v>Ben代墊</v>
      </c>
      <c r="H4628" s="106" t="str">
        <f t="shared" si="1"/>
        <v>2025-07</v>
      </c>
      <c r="I4628" s="271" t="str">
        <f>IFERROR(__xludf.DUMMYFUNCTION("""COMPUTED_VALUE"""),"鯰魚大大")</f>
        <v>鯰魚大大</v>
      </c>
      <c r="J4628" t="str">
        <f>IFERROR(__xludf.DUMMYFUNCTION("IFS(
  AND(REGEXMATCH(E4628, ""台銀籌備帳戶|玉山帳戶""), REGEXMATCH(C4628, ""薪資"")), ""分潤支出"",
  AND(REGEXMATCH(E4628, ""Ben帳戶|Elsa帳戶|Ben代墊|Ariel代墊|中信銀行共用""), REGEXMATCH(F4628, ""Ben帳戶|Elsa帳戶|Ben代墊|Ariel代墊|中信銀行共用"")), ""內部轉帳(忽略)"",
  AND(E4628&lt;&gt;"""", F4628&lt;&gt;"""", N"&amp;"OT(REGEXMATCH(C4628, ""薪資""))), ""內部轉帳(忽略)"",
  REGEXMATCH(C4628, ""薪資""), ""薪資變動(不計入)"",
  REGEXMATCH(C4628, ""押金""), ""押金往來"",
  AND(E4628&lt;&gt;"""", F4628=""""), ""真實支出"",
  AND(E4628="""", F4628&lt;&gt;""""), ""真實收入"",
  TRUE, ""其他""
)"),"分潤支出")</f>
        <v>分潤支出</v>
      </c>
      <c r="K4628">
        <f t="shared" si="2"/>
        <v>0</v>
      </c>
      <c r="L4628">
        <f t="shared" si="3"/>
        <v>100000</v>
      </c>
    </row>
    <row r="4629">
      <c r="A4629" s="107">
        <f>IFERROR(__xludf.DUMMYFUNCTION("""COMPUTED_VALUE"""),45861.0)</f>
        <v>45861</v>
      </c>
      <c r="B4629" t="str">
        <f>IFERROR(__xludf.DUMMYFUNCTION("""COMPUTED_VALUE"""),"鯰魚代墊款 【未分類支出】")</f>
        <v>鯰魚代墊款 【未分類支出】</v>
      </c>
      <c r="C4629" t="str">
        <f>IFERROR(__xludf.DUMMYFUNCTION("""COMPUTED_VALUE"""),"費用 - Salary 薪資")</f>
        <v>費用 - Salary 薪資</v>
      </c>
      <c r="D4629" s="270">
        <f>IFERROR(__xludf.DUMMYFUNCTION("""COMPUTED_VALUE"""),-100000.0)</f>
        <v>-100000</v>
      </c>
      <c r="E4629" t="str">
        <f>IFERROR(__xludf.DUMMYFUNCTION("""COMPUTED_VALUE"""),"玉山帳戶")</f>
        <v>玉山帳戶</v>
      </c>
      <c r="F4629" t="str">
        <f>IFERROR(__xludf.DUMMYFUNCTION("""COMPUTED_VALUE"""),"Ariel代墊")</f>
        <v>Ariel代墊</v>
      </c>
      <c r="H4629" s="106" t="str">
        <f t="shared" si="1"/>
        <v>2025-07</v>
      </c>
      <c r="I4629" s="271" t="str">
        <f>IFERROR(__xludf.DUMMYFUNCTION("""COMPUTED_VALUE"""),"鯰魚大大")</f>
        <v>鯰魚大大</v>
      </c>
      <c r="J4629" t="str">
        <f>IFERROR(__xludf.DUMMYFUNCTION("IFS(
  AND(REGEXMATCH(E4629, ""台銀籌備帳戶|玉山帳戶""), REGEXMATCH(C4629, ""薪資"")), ""分潤支出"",
  AND(REGEXMATCH(E4629, ""Ben帳戶|Elsa帳戶|Ben代墊|Ariel代墊|中信銀行共用""), REGEXMATCH(F4629, ""Ben帳戶|Elsa帳戶|Ben代墊|Ariel代墊|中信銀行共用"")), ""內部轉帳(忽略)"",
  AND(E4629&lt;&gt;"""", F4629&lt;&gt;"""", N"&amp;"OT(REGEXMATCH(C4629, ""薪資""))), ""內部轉帳(忽略)"",
  REGEXMATCH(C4629, ""薪資""), ""薪資變動(不計入)"",
  REGEXMATCH(C4629, ""押金""), ""押金往來"",
  AND(E4629&lt;&gt;"""", F4629=""""), ""真實支出"",
  AND(E4629="""", F4629&lt;&gt;""""), ""真實收入"",
  TRUE, ""其他""
)"),"分潤支出")</f>
        <v>分潤支出</v>
      </c>
      <c r="K4629">
        <f t="shared" si="2"/>
        <v>0</v>
      </c>
      <c r="L4629">
        <f t="shared" si="3"/>
        <v>100000</v>
      </c>
    </row>
    <row r="4630">
      <c r="A4630" s="107">
        <f>IFERROR(__xludf.DUMMYFUNCTION("""COMPUTED_VALUE"""),45866.0)</f>
        <v>45866</v>
      </c>
      <c r="B4630" t="str">
        <f>IFERROR(__xludf.DUMMYFUNCTION("""COMPUTED_VALUE"""),"費用 - 匯費 對方行:812 後五碼:86639 (行號: 9)")</f>
        <v>費用 - 匯費 對方行:812 後五碼:86639 (行號: 9)</v>
      </c>
      <c r="C4630" t="str">
        <f>IFERROR(__xludf.DUMMYFUNCTION("""COMPUTED_VALUE"""),"費用 - 匯費")</f>
        <v>費用 - 匯費</v>
      </c>
      <c r="D4630" s="270">
        <f>IFERROR(__xludf.DUMMYFUNCTION("""COMPUTED_VALUE"""),-15.0)</f>
        <v>-15</v>
      </c>
      <c r="E4630" t="str">
        <f>IFERROR(__xludf.DUMMYFUNCTION("""COMPUTED_VALUE"""),"玉山帳戶")</f>
        <v>玉山帳戶</v>
      </c>
      <c r="H4630" s="106" t="str">
        <f t="shared" si="1"/>
        <v>2025-07</v>
      </c>
      <c r="I4630" s="271" t="str">
        <f>IFERROR(__xludf.DUMMYFUNCTION("""COMPUTED_VALUE"""),"鯰魚大大")</f>
        <v>鯰魚大大</v>
      </c>
      <c r="J4630" t="str">
        <f>IFERROR(__xludf.DUMMYFUNCTION("IFS(
  AND(REGEXMATCH(E4630, ""台銀籌備帳戶|玉山帳戶""), REGEXMATCH(C4630, ""薪資"")), ""分潤支出"",
  AND(REGEXMATCH(E4630, ""Ben帳戶|Elsa帳戶|Ben代墊|Ariel代墊|中信銀行共用""), REGEXMATCH(F4630, ""Ben帳戶|Elsa帳戶|Ben代墊|Ariel代墊|中信銀行共用"")), ""內部轉帳(忽略)"",
  AND(E4630&lt;&gt;"""", F4630&lt;&gt;"""", N"&amp;"OT(REGEXMATCH(C4630, ""薪資""))), ""內部轉帳(忽略)"",
  REGEXMATCH(C4630, ""薪資""), ""薪資變動(不計入)"",
  REGEXMATCH(C4630, ""押金""), ""押金往來"",
  AND(E4630&lt;&gt;"""", F4630=""""), ""真實支出"",
  AND(E4630="""", F4630&lt;&gt;""""), ""真實收入"",
  TRUE, ""其他""
)"),"真實支出")</f>
        <v>真實支出</v>
      </c>
      <c r="K4630" s="270">
        <f t="shared" si="2"/>
        <v>-15</v>
      </c>
      <c r="L4630">
        <f t="shared" si="3"/>
        <v>0</v>
      </c>
    </row>
    <row r="4631">
      <c r="A4631" s="107">
        <f>IFERROR(__xludf.DUMMYFUNCTION("""COMPUTED_VALUE"""),45866.0)</f>
        <v>45866</v>
      </c>
      <c r="B4631" t="str">
        <f>IFERROR(__xludf.DUMMYFUNCTION("""COMPUTED_VALUE"""),"螢光水電內湖City 【未分類支出】")</f>
        <v>螢光水電內湖City 【未分類支出】</v>
      </c>
      <c r="C4631" t="str">
        <f>IFERROR(__xludf.DUMMYFUNCTION("""COMPUTED_VALUE"""),"成本 - 進場前裝潢費")</f>
        <v>成本 - 進場前裝潢費</v>
      </c>
      <c r="D4631" s="270">
        <f>IFERROR(__xludf.DUMMYFUNCTION("""COMPUTED_VALUE"""),-66800.0)</f>
        <v>-66800</v>
      </c>
      <c r="E4631" t="str">
        <f>IFERROR(__xludf.DUMMYFUNCTION("""COMPUTED_VALUE"""),"玉山帳戶")</f>
        <v>玉山帳戶</v>
      </c>
      <c r="G4631" t="str">
        <f>IFERROR(__xludf.DUMMYFUNCTION("""COMPUTED_VALUE"""),"內湖CityLink")</f>
        <v>內湖CityLink</v>
      </c>
      <c r="H4631" s="106" t="str">
        <f t="shared" si="1"/>
        <v>2025-07</v>
      </c>
      <c r="I4631" s="271" t="str">
        <f>IFERROR(__xludf.DUMMYFUNCTION("""COMPUTED_VALUE"""),"鯰魚大大")</f>
        <v>鯰魚大大</v>
      </c>
      <c r="J4631" t="str">
        <f>IFERROR(__xludf.DUMMYFUNCTION("IFS(
  AND(REGEXMATCH(E4631, ""台銀籌備帳戶|玉山帳戶""), REGEXMATCH(C4631, ""薪資"")), ""分潤支出"",
  AND(REGEXMATCH(E4631, ""Ben帳戶|Elsa帳戶|Ben代墊|Ariel代墊|中信銀行共用""), REGEXMATCH(F4631, ""Ben帳戶|Elsa帳戶|Ben代墊|Ariel代墊|中信銀行共用"")), ""內部轉帳(忽略)"",
  AND(E4631&lt;&gt;"""", F4631&lt;&gt;"""", N"&amp;"OT(REGEXMATCH(C4631, ""薪資""))), ""內部轉帳(忽略)"",
  REGEXMATCH(C4631, ""薪資""), ""薪資變動(不計入)"",
  REGEXMATCH(C4631, ""押金""), ""押金往來"",
  AND(E4631&lt;&gt;"""", F4631=""""), ""真實支出"",
  AND(E4631="""", F4631&lt;&gt;""""), ""真實收入"",
  TRUE, ""其他""
)"),"真實支出")</f>
        <v>真實支出</v>
      </c>
      <c r="K4631" s="270">
        <f t="shared" si="2"/>
        <v>-66800</v>
      </c>
      <c r="L4631">
        <f t="shared" si="3"/>
        <v>0</v>
      </c>
    </row>
    <row r="4632">
      <c r="A4632" s="107">
        <f>IFERROR(__xludf.DUMMYFUNCTION("""COMPUTED_VALUE"""),45869.0)</f>
        <v>45869</v>
      </c>
      <c r="B4632" t="str">
        <f>IFERROR(__xludf.DUMMYFUNCTION("""COMPUTED_VALUE"""),"費用 - 匯費 對方行:806 後五碼:26435 (行號: 15)")</f>
        <v>費用 - 匯費 對方行:806 後五碼:26435 (行號: 15)</v>
      </c>
      <c r="C4632" t="str">
        <f>IFERROR(__xludf.DUMMYFUNCTION("""COMPUTED_VALUE"""),"費用 - 匯費")</f>
        <v>費用 - 匯費</v>
      </c>
      <c r="D4632" s="270">
        <f>IFERROR(__xludf.DUMMYFUNCTION("""COMPUTED_VALUE"""),-15.0)</f>
        <v>-15</v>
      </c>
      <c r="E4632" t="str">
        <f>IFERROR(__xludf.DUMMYFUNCTION("""COMPUTED_VALUE"""),"玉山帳戶")</f>
        <v>玉山帳戶</v>
      </c>
      <c r="H4632" s="106" t="str">
        <f t="shared" si="1"/>
        <v>2025-07</v>
      </c>
      <c r="I4632" s="271" t="str">
        <f>IFERROR(__xludf.DUMMYFUNCTION("""COMPUTED_VALUE"""),"鯰魚大大")</f>
        <v>鯰魚大大</v>
      </c>
      <c r="J4632" t="str">
        <f>IFERROR(__xludf.DUMMYFUNCTION("IFS(
  AND(REGEXMATCH(E4632, ""台銀籌備帳戶|玉山帳戶""), REGEXMATCH(C4632, ""薪資"")), ""分潤支出"",
  AND(REGEXMATCH(E4632, ""Ben帳戶|Elsa帳戶|Ben代墊|Ariel代墊|中信銀行共用""), REGEXMATCH(F4632, ""Ben帳戶|Elsa帳戶|Ben代墊|Ariel代墊|中信銀行共用"")), ""內部轉帳(忽略)"",
  AND(E4632&lt;&gt;"""", F4632&lt;&gt;"""", N"&amp;"OT(REGEXMATCH(C4632, ""薪資""))), ""內部轉帳(忽略)"",
  REGEXMATCH(C4632, ""薪資""), ""薪資變動(不計入)"",
  REGEXMATCH(C4632, ""押金""), ""押金往來"",
  AND(E4632&lt;&gt;"""", F4632=""""), ""真實支出"",
  AND(E4632="""", F4632&lt;&gt;""""), ""真實收入"",
  TRUE, ""其他""
)"),"真實支出")</f>
        <v>真實支出</v>
      </c>
      <c r="K4632" s="270">
        <f t="shared" si="2"/>
        <v>-15</v>
      </c>
      <c r="L4632">
        <f t="shared" si="3"/>
        <v>0</v>
      </c>
    </row>
    <row r="4633">
      <c r="A4633" s="107">
        <f>IFERROR(__xludf.DUMMYFUNCTION("""COMPUTED_VALUE"""),45869.0)</f>
        <v>45869</v>
      </c>
      <c r="B4633" t="str">
        <f>IFERROR(__xludf.DUMMYFUNCTION("""COMPUTED_VALUE"""),"[內湖CityLink] [周佳慧] 大租金")</f>
        <v>[內湖CityLink] [周佳慧] 大租金</v>
      </c>
      <c r="C4633" t="str">
        <f>IFERROR(__xludf.DUMMYFUNCTION("""COMPUTED_VALUE"""),"成本 - 大租金")</f>
        <v>成本 - 大租金</v>
      </c>
      <c r="D4633" s="270">
        <f>IFERROR(__xludf.DUMMYFUNCTION("""COMPUTED_VALUE"""),-10747.0)</f>
        <v>-10747</v>
      </c>
      <c r="E4633" t="str">
        <f>IFERROR(__xludf.DUMMYFUNCTION("""COMPUTED_VALUE"""),"玉山帳戶")</f>
        <v>玉山帳戶</v>
      </c>
      <c r="G4633" t="str">
        <f>IFERROR(__xludf.DUMMYFUNCTION("""COMPUTED_VALUE"""),"內湖CityLink")</f>
        <v>內湖CityLink</v>
      </c>
      <c r="H4633" s="106" t="str">
        <f t="shared" si="1"/>
        <v>2025-07</v>
      </c>
      <c r="I4633" s="271" t="str">
        <f>IFERROR(__xludf.DUMMYFUNCTION("""COMPUTED_VALUE"""),"鯰魚大大")</f>
        <v>鯰魚大大</v>
      </c>
      <c r="J4633" t="str">
        <f>IFERROR(__xludf.DUMMYFUNCTION("IFS(
  AND(REGEXMATCH(E4633, ""台銀籌備帳戶|玉山帳戶""), REGEXMATCH(C4633, ""薪資"")), ""分潤支出"",
  AND(REGEXMATCH(E4633, ""Ben帳戶|Elsa帳戶|Ben代墊|Ariel代墊|中信銀行共用""), REGEXMATCH(F4633, ""Ben帳戶|Elsa帳戶|Ben代墊|Ariel代墊|中信銀行共用"")), ""內部轉帳(忽略)"",
  AND(E4633&lt;&gt;"""", F4633&lt;&gt;"""", N"&amp;"OT(REGEXMATCH(C4633, ""薪資""))), ""內部轉帳(忽略)"",
  REGEXMATCH(C4633, ""薪資""), ""薪資變動(不計入)"",
  REGEXMATCH(C4633, ""押金""), ""押金往來"",
  AND(E4633&lt;&gt;"""", F4633=""""), ""真實支出"",
  AND(E4633="""", F4633&lt;&gt;""""), ""真實收入"",
  TRUE, ""其他""
)"),"真實支出")</f>
        <v>真實支出</v>
      </c>
      <c r="K4633" s="270">
        <f t="shared" si="2"/>
        <v>-10747</v>
      </c>
      <c r="L4633">
        <f t="shared" si="3"/>
        <v>0</v>
      </c>
    </row>
    <row r="4634">
      <c r="A4634" s="107">
        <f>IFERROR(__xludf.DUMMYFUNCTION("""COMPUTED_VALUE"""),45870.0)</f>
        <v>45870</v>
      </c>
      <c r="B4634" t="str">
        <f>IFERROR(__xludf.DUMMYFUNCTION("""COMPUTED_VALUE"""),"費用 - 匯費 對方行:013 後五碼:78744 (行號: 18)")</f>
        <v>費用 - 匯費 對方行:013 後五碼:78744 (行號: 18)</v>
      </c>
      <c r="C4634" t="str">
        <f>IFERROR(__xludf.DUMMYFUNCTION("""COMPUTED_VALUE"""),"費用 - 匯費")</f>
        <v>費用 - 匯費</v>
      </c>
      <c r="D4634" s="270">
        <f>IFERROR(__xludf.DUMMYFUNCTION("""COMPUTED_VALUE"""),-15.0)</f>
        <v>-15</v>
      </c>
      <c r="E4634" t="str">
        <f>IFERROR(__xludf.DUMMYFUNCTION("""COMPUTED_VALUE"""),"玉山帳戶")</f>
        <v>玉山帳戶</v>
      </c>
      <c r="H4634" s="106" t="str">
        <f t="shared" si="1"/>
        <v>2025-08</v>
      </c>
      <c r="I4634" s="271" t="str">
        <f>IFERROR(__xludf.DUMMYFUNCTION("""COMPUTED_VALUE"""),"鯰魚大大")</f>
        <v>鯰魚大大</v>
      </c>
      <c r="J4634" t="str">
        <f>IFERROR(__xludf.DUMMYFUNCTION("IFS(
  AND(REGEXMATCH(E4634, ""台銀籌備帳戶|玉山帳戶""), REGEXMATCH(C4634, ""薪資"")), ""分潤支出"",
  AND(REGEXMATCH(E4634, ""Ben帳戶|Elsa帳戶|Ben代墊|Ariel代墊|中信銀行共用""), REGEXMATCH(F4634, ""Ben帳戶|Elsa帳戶|Ben代墊|Ariel代墊|中信銀行共用"")), ""內部轉帳(忽略)"",
  AND(E4634&lt;&gt;"""", F4634&lt;&gt;"""", N"&amp;"OT(REGEXMATCH(C4634, ""薪資""))), ""內部轉帳(忽略)"",
  REGEXMATCH(C4634, ""薪資""), ""薪資變動(不計入)"",
  REGEXMATCH(C4634, ""押金""), ""押金往來"",
  AND(E4634&lt;&gt;"""", F4634=""""), ""真實支出"",
  AND(E4634="""", F4634&lt;&gt;""""), ""真實收入"",
  TRUE, ""其他""
)"),"真實支出")</f>
        <v>真實支出</v>
      </c>
      <c r="K4634" s="270">
        <f t="shared" si="2"/>
        <v>-15</v>
      </c>
      <c r="L4634">
        <f t="shared" si="3"/>
        <v>0</v>
      </c>
    </row>
    <row r="4635">
      <c r="A4635" s="107">
        <f>IFERROR(__xludf.DUMMYFUNCTION("""COMPUTED_VALUE"""),45870.0)</f>
        <v>45870</v>
      </c>
      <c r="B4635" t="str">
        <f>IFERROR(__xludf.DUMMYFUNCTION("""COMPUTED_VALUE"""),"[士林和豐] [楊政偉] 大租金")</f>
        <v>[士林和豐] [楊政偉] 大租金</v>
      </c>
      <c r="C4635" t="str">
        <f>IFERROR(__xludf.DUMMYFUNCTION("""COMPUTED_VALUE"""),"成本 - 大租金")</f>
        <v>成本 - 大租金</v>
      </c>
      <c r="D4635" s="270">
        <f>IFERROR(__xludf.DUMMYFUNCTION("""COMPUTED_VALUE"""),-14400.0)</f>
        <v>-14400</v>
      </c>
      <c r="E4635" t="str">
        <f>IFERROR(__xludf.DUMMYFUNCTION("""COMPUTED_VALUE"""),"玉山帳戶")</f>
        <v>玉山帳戶</v>
      </c>
      <c r="G4635" t="str">
        <f>IFERROR(__xludf.DUMMYFUNCTION("""COMPUTED_VALUE"""),"士林和豐")</f>
        <v>士林和豐</v>
      </c>
      <c r="H4635" s="106" t="str">
        <f t="shared" si="1"/>
        <v>2025-08</v>
      </c>
      <c r="I4635" s="271" t="str">
        <f>IFERROR(__xludf.DUMMYFUNCTION("""COMPUTED_VALUE"""),"鯰魚大大")</f>
        <v>鯰魚大大</v>
      </c>
      <c r="J4635" t="str">
        <f>IFERROR(__xludf.DUMMYFUNCTION("IFS(
  AND(REGEXMATCH(E4635, ""台銀籌備帳戶|玉山帳戶""), REGEXMATCH(C4635, ""薪資"")), ""分潤支出"",
  AND(REGEXMATCH(E4635, ""Ben帳戶|Elsa帳戶|Ben代墊|Ariel代墊|中信銀行共用""), REGEXMATCH(F4635, ""Ben帳戶|Elsa帳戶|Ben代墊|Ariel代墊|中信銀行共用"")), ""內部轉帳(忽略)"",
  AND(E4635&lt;&gt;"""", F4635&lt;&gt;"""", N"&amp;"OT(REGEXMATCH(C4635, ""薪資""))), ""內部轉帳(忽略)"",
  REGEXMATCH(C4635, ""薪資""), ""薪資變動(不計入)"",
  REGEXMATCH(C4635, ""押金""), ""押金往來"",
  AND(E4635&lt;&gt;"""", F4635=""""), ""真實支出"",
  AND(E4635="""", F4635&lt;&gt;""""), ""真實收入"",
  TRUE, ""其他""
)"),"真實支出")</f>
        <v>真實支出</v>
      </c>
      <c r="K4635" s="270">
        <f t="shared" si="2"/>
        <v>-14400</v>
      </c>
      <c r="L4635">
        <f t="shared" si="3"/>
        <v>0</v>
      </c>
    </row>
    <row r="4636">
      <c r="A4636" s="107">
        <f>IFERROR(__xludf.DUMMYFUNCTION("""COMPUTED_VALUE"""),45870.0)</f>
        <v>45870</v>
      </c>
      <c r="B4636" t="str">
        <f>IFERROR(__xludf.DUMMYFUNCTION("""COMPUTED_VALUE"""),"費用 - 匯費 對方行:012 後五碼:68447 (行號: 19)")</f>
        <v>費用 - 匯費 對方行:012 後五碼:68447 (行號: 19)</v>
      </c>
      <c r="C4636" t="str">
        <f>IFERROR(__xludf.DUMMYFUNCTION("""COMPUTED_VALUE"""),"費用 - 匯費")</f>
        <v>費用 - 匯費</v>
      </c>
      <c r="D4636" s="270">
        <f>IFERROR(__xludf.DUMMYFUNCTION("""COMPUTED_VALUE"""),-15.0)</f>
        <v>-15</v>
      </c>
      <c r="E4636" t="str">
        <f>IFERROR(__xludf.DUMMYFUNCTION("""COMPUTED_VALUE"""),"玉山帳戶")</f>
        <v>玉山帳戶</v>
      </c>
      <c r="H4636" s="106" t="str">
        <f t="shared" si="1"/>
        <v>2025-08</v>
      </c>
      <c r="I4636" s="271" t="str">
        <f>IFERROR(__xludf.DUMMYFUNCTION("""COMPUTED_VALUE"""),"鯰魚大大")</f>
        <v>鯰魚大大</v>
      </c>
      <c r="J4636" t="str">
        <f>IFERROR(__xludf.DUMMYFUNCTION("IFS(
  AND(REGEXMATCH(E4636, ""台銀籌備帳戶|玉山帳戶""), REGEXMATCH(C4636, ""薪資"")), ""分潤支出"",
  AND(REGEXMATCH(E4636, ""Ben帳戶|Elsa帳戶|Ben代墊|Ariel代墊|中信銀行共用""), REGEXMATCH(F4636, ""Ben帳戶|Elsa帳戶|Ben代墊|Ariel代墊|中信銀行共用"")), ""內部轉帳(忽略)"",
  AND(E4636&lt;&gt;"""", F4636&lt;&gt;"""", N"&amp;"OT(REGEXMATCH(C4636, ""薪資""))), ""內部轉帳(忽略)"",
  REGEXMATCH(C4636, ""薪資""), ""薪資變動(不計入)"",
  REGEXMATCH(C4636, ""押金""), ""押金往來"",
  AND(E4636&lt;&gt;"""", F4636=""""), ""真實支出"",
  AND(E4636="""", F4636&lt;&gt;""""), ""真實收入"",
  TRUE, ""其他""
)"),"真實支出")</f>
        <v>真實支出</v>
      </c>
      <c r="K4636" s="270">
        <f t="shared" si="2"/>
        <v>-15</v>
      </c>
      <c r="L4636">
        <f t="shared" si="3"/>
        <v>0</v>
      </c>
    </row>
    <row r="4637">
      <c r="A4637" s="107">
        <f>IFERROR(__xludf.DUMMYFUNCTION("""COMPUTED_VALUE"""),45870.0)</f>
        <v>45870</v>
      </c>
      <c r="B4637" t="str">
        <f>IFERROR(__xludf.DUMMYFUNCTION("""COMPUTED_VALUE"""),"[行天宮夏野良栗] [沈蕙萱] 大租金")</f>
        <v>[行天宮夏野良栗] [沈蕙萱] 大租金</v>
      </c>
      <c r="C4637" t="str">
        <f>IFERROR(__xludf.DUMMYFUNCTION("""COMPUTED_VALUE"""),"成本 - 大租金")</f>
        <v>成本 - 大租金</v>
      </c>
      <c r="D4637" s="270">
        <f>IFERROR(__xludf.DUMMYFUNCTION("""COMPUTED_VALUE"""),-19900.0)</f>
        <v>-19900</v>
      </c>
      <c r="E4637" t="str">
        <f>IFERROR(__xludf.DUMMYFUNCTION("""COMPUTED_VALUE"""),"玉山帳戶")</f>
        <v>玉山帳戶</v>
      </c>
      <c r="G4637" t="str">
        <f>IFERROR(__xludf.DUMMYFUNCTION("""COMPUTED_VALUE"""),"行天宮夏野良栗")</f>
        <v>行天宮夏野良栗</v>
      </c>
      <c r="H4637" s="106" t="str">
        <f t="shared" si="1"/>
        <v>2025-08</v>
      </c>
      <c r="I4637" s="271" t="str">
        <f>IFERROR(__xludf.DUMMYFUNCTION("""COMPUTED_VALUE"""),"鯰魚大大")</f>
        <v>鯰魚大大</v>
      </c>
      <c r="J4637" t="str">
        <f>IFERROR(__xludf.DUMMYFUNCTION("IFS(
  AND(REGEXMATCH(E4637, ""台銀籌備帳戶|玉山帳戶""), REGEXMATCH(C4637, ""薪資"")), ""分潤支出"",
  AND(REGEXMATCH(E4637, ""Ben帳戶|Elsa帳戶|Ben代墊|Ariel代墊|中信銀行共用""), REGEXMATCH(F4637, ""Ben帳戶|Elsa帳戶|Ben代墊|Ariel代墊|中信銀行共用"")), ""內部轉帳(忽略)"",
  AND(E4637&lt;&gt;"""", F4637&lt;&gt;"""", N"&amp;"OT(REGEXMATCH(C4637, ""薪資""))), ""內部轉帳(忽略)"",
  REGEXMATCH(C4637, ""薪資""), ""薪資變動(不計入)"",
  REGEXMATCH(C4637, ""押金""), ""押金往來"",
  AND(E4637&lt;&gt;"""", F4637=""""), ""真實支出"",
  AND(E4637="""", F4637&lt;&gt;""""), ""真實收入"",
  TRUE, ""其他""
)"),"真實支出")</f>
        <v>真實支出</v>
      </c>
      <c r="K4637" s="270">
        <f t="shared" si="2"/>
        <v>-19900</v>
      </c>
      <c r="L4637">
        <f t="shared" si="3"/>
        <v>0</v>
      </c>
    </row>
    <row r="4638">
      <c r="A4638" s="107">
        <f>IFERROR(__xludf.DUMMYFUNCTION("""COMPUTED_VALUE"""),45870.0)</f>
        <v>45870</v>
      </c>
      <c r="B4638" t="str">
        <f>IFERROR(__xludf.DUMMYFUNCTION("""COMPUTED_VALUE"""),"費用 - 匯費 對方行:012 後五碼:53048 (行號: 20)")</f>
        <v>費用 - 匯費 對方行:012 後五碼:53048 (行號: 20)</v>
      </c>
      <c r="C4638" t="str">
        <f>IFERROR(__xludf.DUMMYFUNCTION("""COMPUTED_VALUE"""),"費用 - 匯費")</f>
        <v>費用 - 匯費</v>
      </c>
      <c r="D4638" s="270">
        <f>IFERROR(__xludf.DUMMYFUNCTION("""COMPUTED_VALUE"""),-15.0)</f>
        <v>-15</v>
      </c>
      <c r="E4638" t="str">
        <f>IFERROR(__xludf.DUMMYFUNCTION("""COMPUTED_VALUE"""),"玉山帳戶")</f>
        <v>玉山帳戶</v>
      </c>
      <c r="H4638" s="106" t="str">
        <f t="shared" si="1"/>
        <v>2025-08</v>
      </c>
      <c r="I4638" s="271" t="str">
        <f>IFERROR(__xludf.DUMMYFUNCTION("""COMPUTED_VALUE"""),"鯰魚大大")</f>
        <v>鯰魚大大</v>
      </c>
      <c r="J4638" t="str">
        <f>IFERROR(__xludf.DUMMYFUNCTION("IFS(
  AND(REGEXMATCH(E4638, ""台銀籌備帳戶|玉山帳戶""), REGEXMATCH(C4638, ""薪資"")), ""分潤支出"",
  AND(REGEXMATCH(E4638, ""Ben帳戶|Elsa帳戶|Ben代墊|Ariel代墊|中信銀行共用""), REGEXMATCH(F4638, ""Ben帳戶|Elsa帳戶|Ben代墊|Ariel代墊|中信銀行共用"")), ""內部轉帳(忽略)"",
  AND(E4638&lt;&gt;"""", F4638&lt;&gt;"""", N"&amp;"OT(REGEXMATCH(C4638, ""薪資""))), ""內部轉帳(忽略)"",
  REGEXMATCH(C4638, ""薪資""), ""薪資變動(不計入)"",
  REGEXMATCH(C4638, ""押金""), ""押金往來"",
  AND(E4638&lt;&gt;"""", F4638=""""), ""真實支出"",
  AND(E4638="""", F4638&lt;&gt;""""), ""真實收入"",
  TRUE, ""其他""
)"),"真實支出")</f>
        <v>真實支出</v>
      </c>
      <c r="K4638" s="270">
        <f t="shared" si="2"/>
        <v>-15</v>
      </c>
      <c r="L4638">
        <f t="shared" si="3"/>
        <v>0</v>
      </c>
    </row>
    <row r="4639">
      <c r="A4639" s="107">
        <f>IFERROR(__xludf.DUMMYFUNCTION("""COMPUTED_VALUE"""),45870.0)</f>
        <v>45870</v>
      </c>
      <c r="B4639" t="str">
        <f>IFERROR(__xludf.DUMMYFUNCTION("""COMPUTED_VALUE"""),"[內湖秘境] [周佳慧] 大租金")</f>
        <v>[內湖秘境] [周佳慧] 大租金</v>
      </c>
      <c r="C4639" t="str">
        <f>IFERROR(__xludf.DUMMYFUNCTION("""COMPUTED_VALUE"""),"成本 - 大租金")</f>
        <v>成本 - 大租金</v>
      </c>
      <c r="D4639" s="270">
        <f>IFERROR(__xludf.DUMMYFUNCTION("""COMPUTED_VALUE"""),-15000.0)</f>
        <v>-15000</v>
      </c>
      <c r="E4639" t="str">
        <f>IFERROR(__xludf.DUMMYFUNCTION("""COMPUTED_VALUE"""),"玉山帳戶")</f>
        <v>玉山帳戶</v>
      </c>
      <c r="G4639" t="str">
        <f>IFERROR(__xludf.DUMMYFUNCTION("""COMPUTED_VALUE"""),"內湖秘境")</f>
        <v>內湖秘境</v>
      </c>
      <c r="H4639" s="106" t="str">
        <f t="shared" si="1"/>
        <v>2025-08</v>
      </c>
      <c r="I4639" s="271" t="str">
        <f>IFERROR(__xludf.DUMMYFUNCTION("""COMPUTED_VALUE"""),"鯰魚大大")</f>
        <v>鯰魚大大</v>
      </c>
      <c r="J4639" t="str">
        <f>IFERROR(__xludf.DUMMYFUNCTION("IFS(
  AND(REGEXMATCH(E4639, ""台銀籌備帳戶|玉山帳戶""), REGEXMATCH(C4639, ""薪資"")), ""分潤支出"",
  AND(REGEXMATCH(E4639, ""Ben帳戶|Elsa帳戶|Ben代墊|Ariel代墊|中信銀行共用""), REGEXMATCH(F4639, ""Ben帳戶|Elsa帳戶|Ben代墊|Ariel代墊|中信銀行共用"")), ""內部轉帳(忽略)"",
  AND(E4639&lt;&gt;"""", F4639&lt;&gt;"""", N"&amp;"OT(REGEXMATCH(C4639, ""薪資""))), ""內部轉帳(忽略)"",
  REGEXMATCH(C4639, ""薪資""), ""薪資變動(不計入)"",
  REGEXMATCH(C4639, ""押金""), ""押金往來"",
  AND(E4639&lt;&gt;"""", F4639=""""), ""真實支出"",
  AND(E4639="""", F4639&lt;&gt;""""), ""真實收入"",
  TRUE, ""其他""
)"),"真實支出")</f>
        <v>真實支出</v>
      </c>
      <c r="K4639" s="270">
        <f t="shared" si="2"/>
        <v>-15000</v>
      </c>
      <c r="L4639">
        <f t="shared" si="3"/>
        <v>0</v>
      </c>
    </row>
    <row r="4640">
      <c r="A4640" s="107">
        <f>IFERROR(__xludf.DUMMYFUNCTION("""COMPUTED_VALUE"""),45873.0)</f>
        <v>45873</v>
      </c>
      <c r="B4640" t="str">
        <f>IFERROR(__xludf.DUMMYFUNCTION("""COMPUTED_VALUE"""),"費用 - 匯費 對方行:700 後五碼:84843 (行號: 35)")</f>
        <v>費用 - 匯費 對方行:700 後五碼:84843 (行號: 35)</v>
      </c>
      <c r="C4640" t="str">
        <f>IFERROR(__xludf.DUMMYFUNCTION("""COMPUTED_VALUE"""),"費用 - 匯費")</f>
        <v>費用 - 匯費</v>
      </c>
      <c r="D4640" s="270">
        <f>IFERROR(__xludf.DUMMYFUNCTION("""COMPUTED_VALUE"""),-15.0)</f>
        <v>-15</v>
      </c>
      <c r="E4640" t="str">
        <f>IFERROR(__xludf.DUMMYFUNCTION("""COMPUTED_VALUE"""),"玉山帳戶")</f>
        <v>玉山帳戶</v>
      </c>
      <c r="H4640" s="106" t="str">
        <f t="shared" si="1"/>
        <v>2025-08</v>
      </c>
      <c r="I4640" s="271" t="str">
        <f>IFERROR(__xludf.DUMMYFUNCTION("""COMPUTED_VALUE"""),"鯰魚大大")</f>
        <v>鯰魚大大</v>
      </c>
      <c r="J4640" t="str">
        <f>IFERROR(__xludf.DUMMYFUNCTION("IFS(
  AND(REGEXMATCH(E4640, ""台銀籌備帳戶|玉山帳戶""), REGEXMATCH(C4640, ""薪資"")), ""分潤支出"",
  AND(REGEXMATCH(E4640, ""Ben帳戶|Elsa帳戶|Ben代墊|Ariel代墊|中信銀行共用""), REGEXMATCH(F4640, ""Ben帳戶|Elsa帳戶|Ben代墊|Ariel代墊|中信銀行共用"")), ""內部轉帳(忽略)"",
  AND(E4640&lt;&gt;"""", F4640&lt;&gt;"""", N"&amp;"OT(REGEXMATCH(C4640, ""薪資""))), ""內部轉帳(忽略)"",
  REGEXMATCH(C4640, ""薪資""), ""薪資變動(不計入)"",
  REGEXMATCH(C4640, ""押金""), ""押金往來"",
  AND(E4640&lt;&gt;"""", F4640=""""), ""真實支出"",
  AND(E4640="""", F4640&lt;&gt;""""), ""真實收入"",
  TRUE, ""其他""
)"),"真實支出")</f>
        <v>真實支出</v>
      </c>
      <c r="K4640" s="270">
        <f t="shared" si="2"/>
        <v>-15</v>
      </c>
      <c r="L4640">
        <f t="shared" si="3"/>
        <v>0</v>
      </c>
    </row>
    <row r="4641">
      <c r="A4641" s="107">
        <f>IFERROR(__xludf.DUMMYFUNCTION("""COMPUTED_VALUE"""),45873.0)</f>
        <v>45873</v>
      </c>
      <c r="B4641" t="str">
        <f>IFERROR(__xludf.DUMMYFUNCTION("""COMPUTED_VALUE"""),"[內湖秘境] [周佳慧] 大租金")</f>
        <v>[內湖秘境] [周佳慧] 大租金</v>
      </c>
      <c r="C4641" t="str">
        <f>IFERROR(__xludf.DUMMYFUNCTION("""COMPUTED_VALUE"""),"成本 - 大租金")</f>
        <v>成本 - 大租金</v>
      </c>
      <c r="D4641" s="270">
        <f>IFERROR(__xludf.DUMMYFUNCTION("""COMPUTED_VALUE"""),-15000.0)</f>
        <v>-15000</v>
      </c>
      <c r="E4641" t="str">
        <f>IFERROR(__xludf.DUMMYFUNCTION("""COMPUTED_VALUE"""),"玉山帳戶")</f>
        <v>玉山帳戶</v>
      </c>
      <c r="G4641" t="str">
        <f>IFERROR(__xludf.DUMMYFUNCTION("""COMPUTED_VALUE"""),"內湖秘境")</f>
        <v>內湖秘境</v>
      </c>
      <c r="H4641" s="106" t="str">
        <f t="shared" si="1"/>
        <v>2025-08</v>
      </c>
      <c r="I4641" s="271" t="str">
        <f>IFERROR(__xludf.DUMMYFUNCTION("""COMPUTED_VALUE"""),"鯰魚大大")</f>
        <v>鯰魚大大</v>
      </c>
      <c r="J4641" t="str">
        <f>IFERROR(__xludf.DUMMYFUNCTION("IFS(
  AND(REGEXMATCH(E4641, ""台銀籌備帳戶|玉山帳戶""), REGEXMATCH(C4641, ""薪資"")), ""分潤支出"",
  AND(REGEXMATCH(E4641, ""Ben帳戶|Elsa帳戶|Ben代墊|Ariel代墊|中信銀行共用""), REGEXMATCH(F4641, ""Ben帳戶|Elsa帳戶|Ben代墊|Ariel代墊|中信銀行共用"")), ""內部轉帳(忽略)"",
  AND(E4641&lt;&gt;"""", F4641&lt;&gt;"""", N"&amp;"OT(REGEXMATCH(C4641, ""薪資""))), ""內部轉帳(忽略)"",
  REGEXMATCH(C4641, ""薪資""), ""薪資變動(不計入)"",
  REGEXMATCH(C4641, ""押金""), ""押金往來"",
  AND(E4641&lt;&gt;"""", F4641=""""), ""真實支出"",
  AND(E4641="""", F4641&lt;&gt;""""), ""真實收入"",
  TRUE, ""其他""
)"),"真實支出")</f>
        <v>真實支出</v>
      </c>
      <c r="K4641" s="270">
        <f t="shared" si="2"/>
        <v>-15000</v>
      </c>
      <c r="L4641">
        <f t="shared" si="3"/>
        <v>0</v>
      </c>
    </row>
    <row r="4642">
      <c r="A4642" s="107">
        <f>IFERROR(__xludf.DUMMYFUNCTION("""COMPUTED_VALUE"""),45873.0)</f>
        <v>45873</v>
      </c>
      <c r="B4642" t="str">
        <f>IFERROR(__xludf.DUMMYFUNCTION("""COMPUTED_VALUE"""),"費用 - 匯費 對方行:810 後五碼:77212 (行號: 36)")</f>
        <v>費用 - 匯費 對方行:810 後五碼:77212 (行號: 36)</v>
      </c>
      <c r="C4642" t="str">
        <f>IFERROR(__xludf.DUMMYFUNCTION("""COMPUTED_VALUE"""),"費用 - 匯費")</f>
        <v>費用 - 匯費</v>
      </c>
      <c r="D4642" s="270">
        <f>IFERROR(__xludf.DUMMYFUNCTION("""COMPUTED_VALUE"""),-15.0)</f>
        <v>-15</v>
      </c>
      <c r="E4642" t="str">
        <f>IFERROR(__xludf.DUMMYFUNCTION("""COMPUTED_VALUE"""),"玉山帳戶")</f>
        <v>玉山帳戶</v>
      </c>
      <c r="H4642" s="106" t="str">
        <f t="shared" si="1"/>
        <v>2025-08</v>
      </c>
      <c r="I4642" s="271" t="str">
        <f>IFERROR(__xludf.DUMMYFUNCTION("""COMPUTED_VALUE"""),"鯰魚大大")</f>
        <v>鯰魚大大</v>
      </c>
      <c r="J4642" t="str">
        <f>IFERROR(__xludf.DUMMYFUNCTION("IFS(
  AND(REGEXMATCH(E4642, ""台銀籌備帳戶|玉山帳戶""), REGEXMATCH(C4642, ""薪資"")), ""分潤支出"",
  AND(REGEXMATCH(E4642, ""Ben帳戶|Elsa帳戶|Ben代墊|Ariel代墊|中信銀行共用""), REGEXMATCH(F4642, ""Ben帳戶|Elsa帳戶|Ben代墊|Ariel代墊|中信銀行共用"")), ""內部轉帳(忽略)"",
  AND(E4642&lt;&gt;"""", F4642&lt;&gt;"""", N"&amp;"OT(REGEXMATCH(C4642, ""薪資""))), ""內部轉帳(忽略)"",
  REGEXMATCH(C4642, ""薪資""), ""薪資變動(不計入)"",
  REGEXMATCH(C4642, ""押金""), ""押金往來"",
  AND(E4642&lt;&gt;"""", F4642=""""), ""真實支出"",
  AND(E4642="""", F4642&lt;&gt;""""), ""真實收入"",
  TRUE, ""其他""
)"),"真實支出")</f>
        <v>真實支出</v>
      </c>
      <c r="K4642" s="270">
        <f t="shared" si="2"/>
        <v>-15</v>
      </c>
      <c r="L4642">
        <f t="shared" si="3"/>
        <v>0</v>
      </c>
    </row>
    <row r="4643">
      <c r="A4643" s="107">
        <f>IFERROR(__xludf.DUMMYFUNCTION("""COMPUTED_VALUE"""),45873.0)</f>
        <v>45873</v>
      </c>
      <c r="B4643" t="str">
        <f>IFERROR(__xludf.DUMMYFUNCTION("""COMPUTED_VALUE"""),"[內湖秘境] [周佳慧] 大租金")</f>
        <v>[內湖秘境] [周佳慧] 大租金</v>
      </c>
      <c r="C4643" t="str">
        <f>IFERROR(__xludf.DUMMYFUNCTION("""COMPUTED_VALUE"""),"成本 - 大租金")</f>
        <v>成本 - 大租金</v>
      </c>
      <c r="D4643" s="270">
        <f>IFERROR(__xludf.DUMMYFUNCTION("""COMPUTED_VALUE"""),-15000.0)</f>
        <v>-15000</v>
      </c>
      <c r="E4643" t="str">
        <f>IFERROR(__xludf.DUMMYFUNCTION("""COMPUTED_VALUE"""),"玉山帳戶")</f>
        <v>玉山帳戶</v>
      </c>
      <c r="G4643" t="str">
        <f>IFERROR(__xludf.DUMMYFUNCTION("""COMPUTED_VALUE"""),"內湖秘境")</f>
        <v>內湖秘境</v>
      </c>
      <c r="H4643" s="106" t="str">
        <f t="shared" si="1"/>
        <v>2025-08</v>
      </c>
      <c r="I4643" s="271" t="str">
        <f>IFERROR(__xludf.DUMMYFUNCTION("""COMPUTED_VALUE"""),"鯰魚大大")</f>
        <v>鯰魚大大</v>
      </c>
      <c r="J4643" t="str">
        <f>IFERROR(__xludf.DUMMYFUNCTION("IFS(
  AND(REGEXMATCH(E4643, ""台銀籌備帳戶|玉山帳戶""), REGEXMATCH(C4643, ""薪資"")), ""分潤支出"",
  AND(REGEXMATCH(E4643, ""Ben帳戶|Elsa帳戶|Ben代墊|Ariel代墊|中信銀行共用""), REGEXMATCH(F4643, ""Ben帳戶|Elsa帳戶|Ben代墊|Ariel代墊|中信銀行共用"")), ""內部轉帳(忽略)"",
  AND(E4643&lt;&gt;"""", F4643&lt;&gt;"""", N"&amp;"OT(REGEXMATCH(C4643, ""薪資""))), ""內部轉帳(忽略)"",
  REGEXMATCH(C4643, ""薪資""), ""薪資變動(不計入)"",
  REGEXMATCH(C4643, ""押金""), ""押金往來"",
  AND(E4643&lt;&gt;"""", F4643=""""), ""真實支出"",
  AND(E4643="""", F4643&lt;&gt;""""), ""真實收入"",
  TRUE, ""其他""
)"),"真實支出")</f>
        <v>真實支出</v>
      </c>
      <c r="K4643" s="270">
        <f t="shared" si="2"/>
        <v>-15000</v>
      </c>
      <c r="L4643">
        <f t="shared" si="3"/>
        <v>0</v>
      </c>
    </row>
    <row r="4644">
      <c r="A4644" s="107">
        <f>IFERROR(__xludf.DUMMYFUNCTION("""COMPUTED_VALUE"""),45849.0)</f>
        <v>45849</v>
      </c>
      <c r="B4644" t="str">
        <f>IFERROR(__xludf.DUMMYFUNCTION("""COMPUTED_VALUE"""),"[內湖CityLink] E [葉英蔚] 押金 (行號: 2)")</f>
        <v>[內湖CityLink] E [葉英蔚] 押金 (行號: 2)</v>
      </c>
      <c r="C4644" t="str">
        <f>IFERROR(__xludf.DUMMYFUNCTION("""COMPUTED_VALUE"""),"收入 - 押金")</f>
        <v>收入 - 押金</v>
      </c>
      <c r="D4644" s="270">
        <f>IFERROR(__xludf.DUMMYFUNCTION("""COMPUTED_VALUE"""),26600.0)</f>
        <v>26600</v>
      </c>
      <c r="F4644" t="str">
        <f>IFERROR(__xludf.DUMMYFUNCTION("""COMPUTED_VALUE"""),"玉山帳戶")</f>
        <v>玉山帳戶</v>
      </c>
      <c r="G4644" t="str">
        <f>IFERROR(__xludf.DUMMYFUNCTION("""COMPUTED_VALUE"""),"內湖CityLink")</f>
        <v>內湖CityLink</v>
      </c>
      <c r="H4644" s="106" t="str">
        <f t="shared" si="1"/>
        <v>2025-07</v>
      </c>
      <c r="I4644" s="271" t="str">
        <f>IFERROR(__xludf.DUMMYFUNCTION("""COMPUTED_VALUE"""),"鯰魚大大")</f>
        <v>鯰魚大大</v>
      </c>
      <c r="J4644" t="str">
        <f>IFERROR(__xludf.DUMMYFUNCTION("IFS(
  AND(REGEXMATCH(E4644, ""台銀籌備帳戶|玉山帳戶""), REGEXMATCH(C4644, ""薪資"")), ""分潤支出"",
  AND(REGEXMATCH(E4644, ""Ben帳戶|Elsa帳戶|Ben代墊|Ariel代墊|中信銀行共用""), REGEXMATCH(F4644, ""Ben帳戶|Elsa帳戶|Ben代墊|Ariel代墊|中信銀行共用"")), ""內部轉帳(忽略)"",
  AND(E4644&lt;&gt;"""", F4644&lt;&gt;"""", N"&amp;"OT(REGEXMATCH(C4644, ""薪資""))), ""內部轉帳(忽略)"",
  REGEXMATCH(C4644, ""薪資""), ""薪資變動(不計入)"",
  REGEXMATCH(C4644, ""押金""), ""押金往來"",
  AND(E4644&lt;&gt;"""", F4644=""""), ""真實支出"",
  AND(E4644="""", F4644&lt;&gt;""""), ""真實收入"",
  TRUE, ""其他""
)"),"押金往來")</f>
        <v>押金往來</v>
      </c>
      <c r="K4644">
        <f t="shared" si="2"/>
        <v>0</v>
      </c>
      <c r="L4644">
        <f t="shared" si="3"/>
        <v>0</v>
      </c>
    </row>
    <row r="4645">
      <c r="A4645" s="107">
        <f>IFERROR(__xludf.DUMMYFUNCTION("""COMPUTED_VALUE"""),45849.0)</f>
        <v>45849</v>
      </c>
      <c r="B4645" t="str">
        <f>IFERROR(__xludf.DUMMYFUNCTION("""COMPUTED_VALUE"""),"[內湖CityLink] E [葉英蔚] 首月租金 (行號: 2)")</f>
        <v>[內湖CityLink] E [葉英蔚] 首月租金 (行號: 2)</v>
      </c>
      <c r="C4645" t="str">
        <f>IFERROR(__xludf.DUMMYFUNCTION("""COMPUTED_VALUE"""),"收入 - 租金")</f>
        <v>收入 - 租金</v>
      </c>
      <c r="D4645" s="270">
        <f>IFERROR(__xludf.DUMMYFUNCTION("""COMPUTED_VALUE"""),5874.0)</f>
        <v>5874</v>
      </c>
      <c r="F4645" t="str">
        <f>IFERROR(__xludf.DUMMYFUNCTION("""COMPUTED_VALUE"""),"玉山帳戶")</f>
        <v>玉山帳戶</v>
      </c>
      <c r="G4645" t="str">
        <f>IFERROR(__xludf.DUMMYFUNCTION("""COMPUTED_VALUE"""),"內湖CityLink")</f>
        <v>內湖CityLink</v>
      </c>
      <c r="H4645" s="106" t="str">
        <f t="shared" si="1"/>
        <v>2025-07</v>
      </c>
      <c r="I4645" s="271" t="str">
        <f>IFERROR(__xludf.DUMMYFUNCTION("""COMPUTED_VALUE"""),"鯰魚大大")</f>
        <v>鯰魚大大</v>
      </c>
      <c r="J4645" t="str">
        <f>IFERROR(__xludf.DUMMYFUNCTION("IFS(
  AND(REGEXMATCH(E4645, ""台銀籌備帳戶|玉山帳戶""), REGEXMATCH(C4645, ""薪資"")), ""分潤支出"",
  AND(REGEXMATCH(E4645, ""Ben帳戶|Elsa帳戶|Ben代墊|Ariel代墊|中信銀行共用""), REGEXMATCH(F4645, ""Ben帳戶|Elsa帳戶|Ben代墊|Ariel代墊|中信銀行共用"")), ""內部轉帳(忽略)"",
  AND(E4645&lt;&gt;"""", F4645&lt;&gt;"""", N"&amp;"OT(REGEXMATCH(C4645, ""薪資""))), ""內部轉帳(忽略)"",
  REGEXMATCH(C4645, ""薪資""), ""薪資變動(不計入)"",
  REGEXMATCH(C4645, ""押金""), ""押金往來"",
  AND(E4645&lt;&gt;"""", F4645=""""), ""真實支出"",
  AND(E4645="""", F4645&lt;&gt;""""), ""真實收入"",
  TRUE, ""其他""
)"),"真實收入")</f>
        <v>真實收入</v>
      </c>
      <c r="K4645" s="270">
        <f t="shared" si="2"/>
        <v>5874</v>
      </c>
      <c r="L4645">
        <f t="shared" si="3"/>
        <v>0</v>
      </c>
    </row>
    <row r="4646">
      <c r="A4646" s="107">
        <f>IFERROR(__xludf.DUMMYFUNCTION("""COMPUTED_VALUE"""),45856.0)</f>
        <v>45856</v>
      </c>
      <c r="B4646" t="str">
        <f>IFERROR(__xludf.DUMMYFUNCTION("""COMPUTED_VALUE"""),"[士林和豐] D [小宜] 月租金 (行號: 11)")</f>
        <v>[士林和豐] D [小宜] 月租金 (行號: 11)</v>
      </c>
      <c r="C4646" t="str">
        <f>IFERROR(__xludf.DUMMYFUNCTION("""COMPUTED_VALUE"""),"收入 - 租金")</f>
        <v>收入 - 租金</v>
      </c>
      <c r="D4646" s="270">
        <f>IFERROR(__xludf.DUMMYFUNCTION("""COMPUTED_VALUE"""),12485.0)</f>
        <v>12485</v>
      </c>
      <c r="F4646" t="str">
        <f>IFERROR(__xludf.DUMMYFUNCTION("""COMPUTED_VALUE"""),"玉山帳戶")</f>
        <v>玉山帳戶</v>
      </c>
      <c r="G4646" t="str">
        <f>IFERROR(__xludf.DUMMYFUNCTION("""COMPUTED_VALUE"""),"士林和豐")</f>
        <v>士林和豐</v>
      </c>
      <c r="H4646" s="106" t="str">
        <f t="shared" si="1"/>
        <v>2025-07</v>
      </c>
      <c r="I4646" s="271" t="str">
        <f>IFERROR(__xludf.DUMMYFUNCTION("""COMPUTED_VALUE"""),"鯰魚大大")</f>
        <v>鯰魚大大</v>
      </c>
      <c r="J4646" t="str">
        <f>IFERROR(__xludf.DUMMYFUNCTION("IFS(
  AND(REGEXMATCH(E4646, ""台銀籌備帳戶|玉山帳戶""), REGEXMATCH(C4646, ""薪資"")), ""分潤支出"",
  AND(REGEXMATCH(E4646, ""Ben帳戶|Elsa帳戶|Ben代墊|Ariel代墊|中信銀行共用""), REGEXMATCH(F4646, ""Ben帳戶|Elsa帳戶|Ben代墊|Ariel代墊|中信銀行共用"")), ""內部轉帳(忽略)"",
  AND(E4646&lt;&gt;"""", F4646&lt;&gt;"""", N"&amp;"OT(REGEXMATCH(C4646, ""薪資""))), ""內部轉帳(忽略)"",
  REGEXMATCH(C4646, ""薪資""), ""薪資變動(不計入)"",
  REGEXMATCH(C4646, ""押金""), ""押金往來"",
  AND(E4646&lt;&gt;"""", F4646=""""), ""真實支出"",
  AND(E4646="""", F4646&lt;&gt;""""), ""真實收入"",
  TRUE, ""其他""
)"),"真實收入")</f>
        <v>真實收入</v>
      </c>
      <c r="K4646" s="270">
        <f t="shared" si="2"/>
        <v>12485</v>
      </c>
      <c r="L4646">
        <f t="shared" si="3"/>
        <v>0</v>
      </c>
    </row>
    <row r="4647">
      <c r="A4647" s="107">
        <f>IFERROR(__xludf.DUMMYFUNCTION("""COMPUTED_VALUE"""),45867.0)</f>
        <v>45867</v>
      </c>
      <c r="B4647" t="str">
        <f>IFERROR(__xludf.DUMMYFUNCTION("""COMPUTED_VALUE"""),"劍潭C")</f>
        <v>劍潭C</v>
      </c>
      <c r="C4647" t="str">
        <f>IFERROR(__xludf.DUMMYFUNCTION("""COMPUTED_VALUE"""),"收入 - 租金")</f>
        <v>收入 - 租金</v>
      </c>
      <c r="D4647" s="270">
        <f>IFERROR(__xludf.DUMMYFUNCTION("""COMPUTED_VALUE"""),13000.0)</f>
        <v>13000</v>
      </c>
      <c r="F4647" t="str">
        <f>IFERROR(__xludf.DUMMYFUNCTION("""COMPUTED_VALUE"""),"玉山帳戶")</f>
        <v>玉山帳戶</v>
      </c>
      <c r="G4647" t="str">
        <f>IFERROR(__xludf.DUMMYFUNCTION("""COMPUTED_VALUE"""),"士林和豐")</f>
        <v>士林和豐</v>
      </c>
      <c r="H4647" s="106" t="str">
        <f t="shared" si="1"/>
        <v>2025-07</v>
      </c>
      <c r="I4647" s="271" t="str">
        <f>IFERROR(__xludf.DUMMYFUNCTION("""COMPUTED_VALUE"""),"鯰魚大大")</f>
        <v>鯰魚大大</v>
      </c>
      <c r="J4647" t="str">
        <f>IFERROR(__xludf.DUMMYFUNCTION("IFS(
  AND(REGEXMATCH(E4647, ""台銀籌備帳戶|玉山帳戶""), REGEXMATCH(C4647, ""薪資"")), ""分潤支出"",
  AND(REGEXMATCH(E4647, ""Ben帳戶|Elsa帳戶|Ben代墊|Ariel代墊|中信銀行共用""), REGEXMATCH(F4647, ""Ben帳戶|Elsa帳戶|Ben代墊|Ariel代墊|中信銀行共用"")), ""內部轉帳(忽略)"",
  AND(E4647&lt;&gt;"""", F4647&lt;&gt;"""", N"&amp;"OT(REGEXMATCH(C4647, ""薪資""))), ""內部轉帳(忽略)"",
  REGEXMATCH(C4647, ""薪資""), ""薪資變動(不計入)"",
  REGEXMATCH(C4647, ""押金""), ""押金往來"",
  AND(E4647&lt;&gt;"""", F4647=""""), ""真實支出"",
  AND(E4647="""", F4647&lt;&gt;""""), ""真實收入"",
  TRUE, ""其他""
)"),"真實收入")</f>
        <v>真實收入</v>
      </c>
      <c r="K4647" s="270">
        <f t="shared" si="2"/>
        <v>13000</v>
      </c>
      <c r="L4647">
        <f t="shared" si="3"/>
        <v>0</v>
      </c>
    </row>
    <row r="4648">
      <c r="A4648" s="107">
        <f>IFERROR(__xludf.DUMMYFUNCTION("""COMPUTED_VALUE"""),45868.0)</f>
        <v>45868</v>
      </c>
      <c r="B4648" t="str">
        <f>IFERROR(__xludf.DUMMYFUNCTION("""COMPUTED_VALUE"""),"臺銀 【不明收入 (行號: 14)】??")</f>
        <v>臺銀 【不明收入 (行號: 14)】??</v>
      </c>
      <c r="C4648" t="str">
        <f>IFERROR(__xludf.DUMMYFUNCTION("""COMPUTED_VALUE"""),"收入 - 其他")</f>
        <v>收入 - 其他</v>
      </c>
      <c r="D4648" s="270">
        <f>IFERROR(__xludf.DUMMYFUNCTION("""COMPUTED_VALUE"""),12500.0)</f>
        <v>12500</v>
      </c>
      <c r="F4648" t="str">
        <f>IFERROR(__xludf.DUMMYFUNCTION("""COMPUTED_VALUE"""),"玉山帳戶")</f>
        <v>玉山帳戶</v>
      </c>
      <c r="H4648" s="106" t="str">
        <f t="shared" si="1"/>
        <v>2025-07</v>
      </c>
      <c r="I4648" s="271" t="str">
        <f>IFERROR(__xludf.DUMMYFUNCTION("""COMPUTED_VALUE"""),"鯰魚大大")</f>
        <v>鯰魚大大</v>
      </c>
      <c r="J4648" t="str">
        <f>IFERROR(__xludf.DUMMYFUNCTION("IFS(
  AND(REGEXMATCH(E4648, ""台銀籌備帳戶|玉山帳戶""), REGEXMATCH(C4648, ""薪資"")), ""分潤支出"",
  AND(REGEXMATCH(E4648, ""Ben帳戶|Elsa帳戶|Ben代墊|Ariel代墊|中信銀行共用""), REGEXMATCH(F4648, ""Ben帳戶|Elsa帳戶|Ben代墊|Ariel代墊|中信銀行共用"")), ""內部轉帳(忽略)"",
  AND(E4648&lt;&gt;"""", F4648&lt;&gt;"""", N"&amp;"OT(REGEXMATCH(C4648, ""薪資""))), ""內部轉帳(忽略)"",
  REGEXMATCH(C4648, ""薪資""), ""薪資變動(不計入)"",
  REGEXMATCH(C4648, ""押金""), ""押金往來"",
  AND(E4648&lt;&gt;"""", F4648=""""), ""真實支出"",
  AND(E4648="""", F4648&lt;&gt;""""), ""真實收入"",
  TRUE, ""其他""
)"),"真實收入")</f>
        <v>真實收入</v>
      </c>
      <c r="K4648" s="270">
        <f t="shared" si="2"/>
        <v>12500</v>
      </c>
      <c r="L4648">
        <f t="shared" si="3"/>
        <v>0</v>
      </c>
    </row>
    <row r="4649">
      <c r="A4649" s="107">
        <f>IFERROR(__xludf.DUMMYFUNCTION("""COMPUTED_VALUE"""),45873.0)</f>
        <v>45873</v>
      </c>
      <c r="B4649" t="str">
        <f>IFERROR(__xludf.DUMMYFUNCTION("""COMPUTED_VALUE"""),"內湖CityB")</f>
        <v>內湖CityB</v>
      </c>
      <c r="C4649" t="str">
        <f>IFERROR(__xludf.DUMMYFUNCTION("""COMPUTED_VALUE"""),"收入 - 租金")</f>
        <v>收入 - 租金</v>
      </c>
      <c r="D4649" s="270">
        <f>IFERROR(__xludf.DUMMYFUNCTION("""COMPUTED_VALUE"""),12000.0)</f>
        <v>12000</v>
      </c>
      <c r="F4649" t="str">
        <f>IFERROR(__xludf.DUMMYFUNCTION("""COMPUTED_VALUE"""),"玉山帳戶")</f>
        <v>玉山帳戶</v>
      </c>
      <c r="G4649" t="str">
        <f>IFERROR(__xludf.DUMMYFUNCTION("""COMPUTED_VALUE"""),"內湖CityLink")</f>
        <v>內湖CityLink</v>
      </c>
      <c r="H4649" s="106" t="str">
        <f t="shared" si="1"/>
        <v>2025-08</v>
      </c>
      <c r="I4649" s="271" t="str">
        <f>IFERROR(__xludf.DUMMYFUNCTION("""COMPUTED_VALUE"""),"鯰魚大大")</f>
        <v>鯰魚大大</v>
      </c>
      <c r="J4649" t="str">
        <f>IFERROR(__xludf.DUMMYFUNCTION("IFS(
  AND(REGEXMATCH(E4649, ""台銀籌備帳戶|玉山帳戶""), REGEXMATCH(C4649, ""薪資"")), ""分潤支出"",
  AND(REGEXMATCH(E4649, ""Ben帳戶|Elsa帳戶|Ben代墊|Ariel代墊|中信銀行共用""), REGEXMATCH(F4649, ""Ben帳戶|Elsa帳戶|Ben代墊|Ariel代墊|中信銀行共用"")), ""內部轉帳(忽略)"",
  AND(E4649&lt;&gt;"""", F4649&lt;&gt;"""", N"&amp;"OT(REGEXMATCH(C4649, ""薪資""))), ""內部轉帳(忽略)"",
  REGEXMATCH(C4649, ""薪資""), ""薪資變動(不計入)"",
  REGEXMATCH(C4649, ""押金""), ""押金往來"",
  AND(E4649&lt;&gt;"""", F4649=""""), ""真實支出"",
  AND(E4649="""", F4649&lt;&gt;""""), ""真實收入"",
  TRUE, ""其他""
)"),"真實收入")</f>
        <v>真實收入</v>
      </c>
      <c r="K4649" s="270">
        <f t="shared" si="2"/>
        <v>12000</v>
      </c>
      <c r="L4649">
        <f t="shared" si="3"/>
        <v>0</v>
      </c>
    </row>
    <row r="4650">
      <c r="A4650" s="107">
        <f>IFERROR(__xludf.DUMMYFUNCTION("""COMPUTED_VALUE"""),45866.0)</f>
        <v>45866</v>
      </c>
      <c r="B4650" t="str">
        <f>IFERROR(__xludf.DUMMYFUNCTION("""COMPUTED_VALUE"""),"[內湖CityLink] D [王紹綺] 月租金 (行號: 10)")</f>
        <v>[內湖CityLink] D [王紹綺] 月租金 (行號: 10)</v>
      </c>
      <c r="C4650" t="str">
        <f>IFERROR(__xludf.DUMMYFUNCTION("""COMPUTED_VALUE"""),"收入 - 租金")</f>
        <v>收入 - 租金</v>
      </c>
      <c r="D4650" s="270">
        <f>IFERROR(__xludf.DUMMYFUNCTION("""COMPUTED_VALUE"""),12500.0)</f>
        <v>12500</v>
      </c>
      <c r="F4650" t="str">
        <f>IFERROR(__xludf.DUMMYFUNCTION("""COMPUTED_VALUE"""),"玉山帳戶")</f>
        <v>玉山帳戶</v>
      </c>
      <c r="G4650" t="str">
        <f>IFERROR(__xludf.DUMMYFUNCTION("""COMPUTED_VALUE"""),"內湖CityLink")</f>
        <v>內湖CityLink</v>
      </c>
      <c r="H4650" s="106" t="str">
        <f t="shared" si="1"/>
        <v>2025-07</v>
      </c>
      <c r="I4650" s="271" t="str">
        <f>IFERROR(__xludf.DUMMYFUNCTION("""COMPUTED_VALUE"""),"鯰魚大大")</f>
        <v>鯰魚大大</v>
      </c>
      <c r="J4650" t="str">
        <f>IFERROR(__xludf.DUMMYFUNCTION("IFS(
  AND(REGEXMATCH(E4650, ""台銀籌備帳戶|玉山帳戶""), REGEXMATCH(C4650, ""薪資"")), ""分潤支出"",
  AND(REGEXMATCH(E4650, ""Ben帳戶|Elsa帳戶|Ben代墊|Ariel代墊|中信銀行共用""), REGEXMATCH(F4650, ""Ben帳戶|Elsa帳戶|Ben代墊|Ariel代墊|中信銀行共用"")), ""內部轉帳(忽略)"",
  AND(E4650&lt;&gt;"""", F4650&lt;&gt;"""", N"&amp;"OT(REGEXMATCH(C4650, ""薪資""))), ""內部轉帳(忽略)"",
  REGEXMATCH(C4650, ""薪資""), ""薪資變動(不計入)"",
  REGEXMATCH(C4650, ""押金""), ""押金往來"",
  AND(E4650&lt;&gt;"""", F4650=""""), ""真實支出"",
  AND(E4650="""", F4650&lt;&gt;""""), ""真實收入"",
  TRUE, ""其他""
)"),"真實收入")</f>
        <v>真實收入</v>
      </c>
      <c r="K4650" s="270">
        <f t="shared" si="2"/>
        <v>12500</v>
      </c>
      <c r="L4650">
        <f t="shared" si="3"/>
        <v>0</v>
      </c>
    </row>
    <row r="4651">
      <c r="A4651" s="107">
        <f>IFERROR(__xludf.DUMMYFUNCTION("""COMPUTED_VALUE"""),45867.0)</f>
        <v>45867</v>
      </c>
      <c r="B4651" t="str">
        <f>IFERROR(__xludf.DUMMYFUNCTION("""COMPUTED_VALUE"""),"[士林和豐] B [劉宗霖] 月租金 (行號: 11)")</f>
        <v>[士林和豐] B [劉宗霖] 月租金 (行號: 11)</v>
      </c>
      <c r="C4651" t="str">
        <f>IFERROR(__xludf.DUMMYFUNCTION("""COMPUTED_VALUE"""),"收入 - 租金")</f>
        <v>收入 - 租金</v>
      </c>
      <c r="D4651" s="270">
        <f>IFERROR(__xludf.DUMMYFUNCTION("""COMPUTED_VALUE"""),13500.0)</f>
        <v>13500</v>
      </c>
      <c r="F4651" t="str">
        <f>IFERROR(__xludf.DUMMYFUNCTION("""COMPUTED_VALUE"""),"玉山帳戶")</f>
        <v>玉山帳戶</v>
      </c>
      <c r="G4651" t="str">
        <f>IFERROR(__xludf.DUMMYFUNCTION("""COMPUTED_VALUE"""),"士林和豐")</f>
        <v>士林和豐</v>
      </c>
      <c r="H4651" s="106" t="str">
        <f t="shared" si="1"/>
        <v>2025-07</v>
      </c>
      <c r="I4651" s="271" t="str">
        <f>IFERROR(__xludf.DUMMYFUNCTION("""COMPUTED_VALUE"""),"鯰魚大大")</f>
        <v>鯰魚大大</v>
      </c>
      <c r="J4651" t="str">
        <f>IFERROR(__xludf.DUMMYFUNCTION("IFS(
  AND(REGEXMATCH(E4651, ""台銀籌備帳戶|玉山帳戶""), REGEXMATCH(C4651, ""薪資"")), ""分潤支出"",
  AND(REGEXMATCH(E4651, ""Ben帳戶|Elsa帳戶|Ben代墊|Ariel代墊|中信銀行共用""), REGEXMATCH(F4651, ""Ben帳戶|Elsa帳戶|Ben代墊|Ariel代墊|中信銀行共用"")), ""內部轉帳(忽略)"",
  AND(E4651&lt;&gt;"""", F4651&lt;&gt;"""", N"&amp;"OT(REGEXMATCH(C4651, ""薪資""))), ""內部轉帳(忽略)"",
  REGEXMATCH(C4651, ""薪資""), ""薪資變動(不計入)"",
  REGEXMATCH(C4651, ""押金""), ""押金往來"",
  AND(E4651&lt;&gt;"""", F4651=""""), ""真實支出"",
  AND(E4651="""", F4651&lt;&gt;""""), ""真實收入"",
  TRUE, ""其他""
)"),"真實收入")</f>
        <v>真實收入</v>
      </c>
      <c r="K4651" s="270">
        <f t="shared" si="2"/>
        <v>13500</v>
      </c>
      <c r="L4651">
        <f t="shared" si="3"/>
        <v>0</v>
      </c>
    </row>
    <row r="4652">
      <c r="A4652" s="107">
        <f>IFERROR(__xludf.DUMMYFUNCTION("""COMPUTED_VALUE"""),45867.0)</f>
        <v>45867</v>
      </c>
      <c r="B4652" t="str">
        <f>IFERROR(__xludf.DUMMYFUNCTION("""COMPUTED_VALUE"""),"[士林和豐] A [許瑜芳, 黃俞安] 月租金 (行號: 12)")</f>
        <v>[士林和豐] A [許瑜芳, 黃俞安] 月租金 (行號: 12)</v>
      </c>
      <c r="C4652" t="str">
        <f>IFERROR(__xludf.DUMMYFUNCTION("""COMPUTED_VALUE"""),"收入 - 租金")</f>
        <v>收入 - 租金</v>
      </c>
      <c r="D4652" s="270">
        <f>IFERROR(__xludf.DUMMYFUNCTION("""COMPUTED_VALUE"""),19500.0)</f>
        <v>19500</v>
      </c>
      <c r="F4652" t="str">
        <f>IFERROR(__xludf.DUMMYFUNCTION("""COMPUTED_VALUE"""),"玉山帳戶")</f>
        <v>玉山帳戶</v>
      </c>
      <c r="G4652" t="str">
        <f>IFERROR(__xludf.DUMMYFUNCTION("""COMPUTED_VALUE"""),"士林和豐")</f>
        <v>士林和豐</v>
      </c>
      <c r="H4652" s="106" t="str">
        <f t="shared" si="1"/>
        <v>2025-07</v>
      </c>
      <c r="I4652" s="271" t="str">
        <f>IFERROR(__xludf.DUMMYFUNCTION("""COMPUTED_VALUE"""),"鯰魚大大")</f>
        <v>鯰魚大大</v>
      </c>
      <c r="J4652" t="str">
        <f>IFERROR(__xludf.DUMMYFUNCTION("IFS(
  AND(REGEXMATCH(E4652, ""台銀籌備帳戶|玉山帳戶""), REGEXMATCH(C4652, ""薪資"")), ""分潤支出"",
  AND(REGEXMATCH(E4652, ""Ben帳戶|Elsa帳戶|Ben代墊|Ariel代墊|中信銀行共用""), REGEXMATCH(F4652, ""Ben帳戶|Elsa帳戶|Ben代墊|Ariel代墊|中信銀行共用"")), ""內部轉帳(忽略)"",
  AND(E4652&lt;&gt;"""", F4652&lt;&gt;"""", N"&amp;"OT(REGEXMATCH(C4652, ""薪資""))), ""內部轉帳(忽略)"",
  REGEXMATCH(C4652, ""薪資""), ""薪資變動(不計入)"",
  REGEXMATCH(C4652, ""押金""), ""押金往來"",
  AND(E4652&lt;&gt;"""", F4652=""""), ""真實支出"",
  AND(E4652="""", F4652&lt;&gt;""""), ""真實收入"",
  TRUE, ""其他""
)"),"真實收入")</f>
        <v>真實收入</v>
      </c>
      <c r="K4652" s="270">
        <f t="shared" si="2"/>
        <v>19500</v>
      </c>
      <c r="L4652">
        <f t="shared" si="3"/>
        <v>0</v>
      </c>
    </row>
    <row r="4653">
      <c r="A4653" s="107">
        <f>IFERROR(__xludf.DUMMYFUNCTION("""COMPUTED_VALUE"""),45869.0)</f>
        <v>45869</v>
      </c>
      <c r="B4653" t="str">
        <f>IFERROR(__xludf.DUMMYFUNCTION("""COMPUTED_VALUE"""),"[行天宮夏野良栗] A [鄒欣穎] 月租金 (行號: 16)")</f>
        <v>[行天宮夏野良栗] A [鄒欣穎] 月租金 (行號: 16)</v>
      </c>
      <c r="C4653" t="str">
        <f>IFERROR(__xludf.DUMMYFUNCTION("""COMPUTED_VALUE"""),"收入 - 租金")</f>
        <v>收入 - 租金</v>
      </c>
      <c r="D4653" s="270">
        <f>IFERROR(__xludf.DUMMYFUNCTION("""COMPUTED_VALUE"""),14200.0)</f>
        <v>14200</v>
      </c>
      <c r="F4653" t="str">
        <f>IFERROR(__xludf.DUMMYFUNCTION("""COMPUTED_VALUE"""),"玉山帳戶")</f>
        <v>玉山帳戶</v>
      </c>
      <c r="G4653" t="str">
        <f>IFERROR(__xludf.DUMMYFUNCTION("""COMPUTED_VALUE"""),"行天宮夏野良栗")</f>
        <v>行天宮夏野良栗</v>
      </c>
      <c r="H4653" s="106" t="str">
        <f t="shared" si="1"/>
        <v>2025-07</v>
      </c>
      <c r="I4653" s="271" t="str">
        <f>IFERROR(__xludf.DUMMYFUNCTION("""COMPUTED_VALUE"""),"鯰魚大大")</f>
        <v>鯰魚大大</v>
      </c>
      <c r="J4653" t="str">
        <f>IFERROR(__xludf.DUMMYFUNCTION("IFS(
  AND(REGEXMATCH(E4653, ""台銀籌備帳戶|玉山帳戶""), REGEXMATCH(C4653, ""薪資"")), ""分潤支出"",
  AND(REGEXMATCH(E4653, ""Ben帳戶|Elsa帳戶|Ben代墊|Ariel代墊|中信銀行共用""), REGEXMATCH(F4653, ""Ben帳戶|Elsa帳戶|Ben代墊|Ariel代墊|中信銀行共用"")), ""內部轉帳(忽略)"",
  AND(E4653&lt;&gt;"""", F4653&lt;&gt;"""", N"&amp;"OT(REGEXMATCH(C4653, ""薪資""))), ""內部轉帳(忽略)"",
  REGEXMATCH(C4653, ""薪資""), ""薪資變動(不計入)"",
  REGEXMATCH(C4653, ""押金""), ""押金往來"",
  AND(E4653&lt;&gt;"""", F4653=""""), ""真實支出"",
  AND(E4653="""", F4653&lt;&gt;""""), ""真實收入"",
  TRUE, ""其他""
)"),"真實收入")</f>
        <v>真實收入</v>
      </c>
      <c r="K4653" s="270">
        <f t="shared" si="2"/>
        <v>14200</v>
      </c>
      <c r="L4653">
        <f t="shared" si="3"/>
        <v>0</v>
      </c>
    </row>
    <row r="4654">
      <c r="A4654" s="107">
        <f>IFERROR(__xludf.DUMMYFUNCTION("""COMPUTED_VALUE"""),45869.0)</f>
        <v>45869</v>
      </c>
      <c r="B4654" t="str">
        <f>IFERROR(__xludf.DUMMYFUNCTION("""COMPUTED_VALUE"""),"[內湖CityLink] C [汪建豪] 月租金 (行號: 17)")</f>
        <v>[內湖CityLink] C [汪建豪] 月租金 (行號: 17)</v>
      </c>
      <c r="C4654" t="str">
        <f>IFERROR(__xludf.DUMMYFUNCTION("""COMPUTED_VALUE"""),"收入 - 租金")</f>
        <v>收入 - 租金</v>
      </c>
      <c r="D4654" s="270">
        <f>IFERROR(__xludf.DUMMYFUNCTION("""COMPUTED_VALUE"""),12500.0)</f>
        <v>12500</v>
      </c>
      <c r="F4654" t="str">
        <f>IFERROR(__xludf.DUMMYFUNCTION("""COMPUTED_VALUE"""),"玉山帳戶")</f>
        <v>玉山帳戶</v>
      </c>
      <c r="G4654" t="str">
        <f>IFERROR(__xludf.DUMMYFUNCTION("""COMPUTED_VALUE"""),"內湖CityLink")</f>
        <v>內湖CityLink</v>
      </c>
      <c r="H4654" s="106" t="str">
        <f t="shared" si="1"/>
        <v>2025-07</v>
      </c>
      <c r="I4654" s="271" t="str">
        <f>IFERROR(__xludf.DUMMYFUNCTION("""COMPUTED_VALUE"""),"鯰魚大大")</f>
        <v>鯰魚大大</v>
      </c>
      <c r="J4654" t="str">
        <f>IFERROR(__xludf.DUMMYFUNCTION("IFS(
  AND(REGEXMATCH(E4654, ""台銀籌備帳戶|玉山帳戶""), REGEXMATCH(C4654, ""薪資"")), ""分潤支出"",
  AND(REGEXMATCH(E4654, ""Ben帳戶|Elsa帳戶|Ben代墊|Ariel代墊|中信銀行共用""), REGEXMATCH(F4654, ""Ben帳戶|Elsa帳戶|Ben代墊|Ariel代墊|中信銀行共用"")), ""內部轉帳(忽略)"",
  AND(E4654&lt;&gt;"""", F4654&lt;&gt;"""", N"&amp;"OT(REGEXMATCH(C4654, ""薪資""))), ""內部轉帳(忽略)"",
  REGEXMATCH(C4654, ""薪資""), ""薪資變動(不計入)"",
  REGEXMATCH(C4654, ""押金""), ""押金往來"",
  AND(E4654&lt;&gt;"""", F4654=""""), ""真實支出"",
  AND(E4654="""", F4654&lt;&gt;""""), ""真實收入"",
  TRUE, ""其他""
)"),"真實收入")</f>
        <v>真實收入</v>
      </c>
      <c r="K4654" s="270">
        <f t="shared" si="2"/>
        <v>12500</v>
      </c>
      <c r="L4654">
        <f t="shared" si="3"/>
        <v>0</v>
      </c>
    </row>
    <row r="4655">
      <c r="A4655" s="107">
        <f>IFERROR(__xludf.DUMMYFUNCTION("""COMPUTED_VALUE"""),45870.0)</f>
        <v>45870</v>
      </c>
      <c r="B4655" t="str">
        <f>IFERROR(__xludf.DUMMYFUNCTION("""COMPUTED_VALUE"""),"[行天宮夏野良栗] B [楊珺媁] 月租金 (行號: 21)")</f>
        <v>[行天宮夏野良栗] B [楊珺媁] 月租金 (行號: 21)</v>
      </c>
      <c r="C4655" t="str">
        <f>IFERROR(__xludf.DUMMYFUNCTION("""COMPUTED_VALUE"""),"收入 - 租金")</f>
        <v>收入 - 租金</v>
      </c>
      <c r="D4655" s="270">
        <f>IFERROR(__xludf.DUMMYFUNCTION("""COMPUTED_VALUE"""),14000.0)</f>
        <v>14000</v>
      </c>
      <c r="F4655" t="str">
        <f>IFERROR(__xludf.DUMMYFUNCTION("""COMPUTED_VALUE"""),"玉山帳戶")</f>
        <v>玉山帳戶</v>
      </c>
      <c r="G4655" t="str">
        <f>IFERROR(__xludf.DUMMYFUNCTION("""COMPUTED_VALUE"""),"行天宮夏野良栗")</f>
        <v>行天宮夏野良栗</v>
      </c>
      <c r="H4655" s="106" t="str">
        <f t="shared" si="1"/>
        <v>2025-08</v>
      </c>
      <c r="I4655" s="271" t="str">
        <f>IFERROR(__xludf.DUMMYFUNCTION("""COMPUTED_VALUE"""),"鯰魚大大")</f>
        <v>鯰魚大大</v>
      </c>
      <c r="J4655" t="str">
        <f>IFERROR(__xludf.DUMMYFUNCTION("IFS(
  AND(REGEXMATCH(E4655, ""台銀籌備帳戶|玉山帳戶""), REGEXMATCH(C4655, ""薪資"")), ""分潤支出"",
  AND(REGEXMATCH(E4655, ""Ben帳戶|Elsa帳戶|Ben代墊|Ariel代墊|中信銀行共用""), REGEXMATCH(F4655, ""Ben帳戶|Elsa帳戶|Ben代墊|Ariel代墊|中信銀行共用"")), ""內部轉帳(忽略)"",
  AND(E4655&lt;&gt;"""", F4655&lt;&gt;"""", N"&amp;"OT(REGEXMATCH(C4655, ""薪資""))), ""內部轉帳(忽略)"",
  REGEXMATCH(C4655, ""薪資""), ""薪資變動(不計入)"",
  REGEXMATCH(C4655, ""押金""), ""押金往來"",
  AND(E4655&lt;&gt;"""", F4655=""""), ""真實支出"",
  AND(E4655="""", F4655&lt;&gt;""""), ""真實收入"",
  TRUE, ""其他""
)"),"真實收入")</f>
        <v>真實收入</v>
      </c>
      <c r="K4655" s="270">
        <f t="shared" si="2"/>
        <v>14000</v>
      </c>
      <c r="L4655">
        <f t="shared" si="3"/>
        <v>0</v>
      </c>
    </row>
    <row r="4656">
      <c r="A4656" s="107">
        <f>IFERROR(__xludf.DUMMYFUNCTION("""COMPUTED_VALUE"""),45870.0)</f>
        <v>45870</v>
      </c>
      <c r="B4656" t="str">
        <f>IFERROR(__xludf.DUMMYFUNCTION("""COMPUTED_VALUE"""),"[行天宮夏野良栗] D [江仲元] 月租金 (行號: 22)")</f>
        <v>[行天宮夏野良栗] D [江仲元] 月租金 (行號: 22)</v>
      </c>
      <c r="C4656" t="str">
        <f>IFERROR(__xludf.DUMMYFUNCTION("""COMPUTED_VALUE"""),"收入 - 租金")</f>
        <v>收入 - 租金</v>
      </c>
      <c r="D4656" s="270">
        <f>IFERROR(__xludf.DUMMYFUNCTION("""COMPUTED_VALUE"""),11200.0)</f>
        <v>11200</v>
      </c>
      <c r="F4656" t="str">
        <f>IFERROR(__xludf.DUMMYFUNCTION("""COMPUTED_VALUE"""),"玉山帳戶")</f>
        <v>玉山帳戶</v>
      </c>
      <c r="G4656" t="str">
        <f>IFERROR(__xludf.DUMMYFUNCTION("""COMPUTED_VALUE"""),"行天宮夏野良栗")</f>
        <v>行天宮夏野良栗</v>
      </c>
      <c r="H4656" s="106" t="str">
        <f t="shared" si="1"/>
        <v>2025-08</v>
      </c>
      <c r="I4656" s="271" t="str">
        <f>IFERROR(__xludf.DUMMYFUNCTION("""COMPUTED_VALUE"""),"鯰魚大大")</f>
        <v>鯰魚大大</v>
      </c>
      <c r="J4656" t="str">
        <f>IFERROR(__xludf.DUMMYFUNCTION("IFS(
  AND(REGEXMATCH(E4656, ""台銀籌備帳戶|玉山帳戶""), REGEXMATCH(C4656, ""薪資"")), ""分潤支出"",
  AND(REGEXMATCH(E4656, ""Ben帳戶|Elsa帳戶|Ben代墊|Ariel代墊|中信銀行共用""), REGEXMATCH(F4656, ""Ben帳戶|Elsa帳戶|Ben代墊|Ariel代墊|中信銀行共用"")), ""內部轉帳(忽略)"",
  AND(E4656&lt;&gt;"""", F4656&lt;&gt;"""", N"&amp;"OT(REGEXMATCH(C4656, ""薪資""))), ""內部轉帳(忽略)"",
  REGEXMATCH(C4656, ""薪資""), ""薪資變動(不計入)"",
  REGEXMATCH(C4656, ""押金""), ""押金往來"",
  AND(E4656&lt;&gt;"""", F4656=""""), ""真實支出"",
  AND(E4656="""", F4656&lt;&gt;""""), ""真實收入"",
  TRUE, ""其他""
)"),"真實收入")</f>
        <v>真實收入</v>
      </c>
      <c r="K4656" s="270">
        <f t="shared" si="2"/>
        <v>11200</v>
      </c>
      <c r="L4656">
        <f t="shared" si="3"/>
        <v>0</v>
      </c>
    </row>
    <row r="4657">
      <c r="A4657" s="107">
        <f>IFERROR(__xludf.DUMMYFUNCTION("""COMPUTED_VALUE"""),45870.0)</f>
        <v>45870</v>
      </c>
      <c r="B4657" t="str">
        <f>IFERROR(__xludf.DUMMYFUNCTION("""COMPUTED_VALUE"""),"[內湖秘境] C [黃詩穎] 月租金 (行號: 23)")</f>
        <v>[內湖秘境] C [黃詩穎] 月租金 (行號: 23)</v>
      </c>
      <c r="C4657" t="str">
        <f>IFERROR(__xludf.DUMMYFUNCTION("""COMPUTED_VALUE"""),"收入 - 租金")</f>
        <v>收入 - 租金</v>
      </c>
      <c r="D4657" s="270">
        <f>IFERROR(__xludf.DUMMYFUNCTION("""COMPUTED_VALUE"""),14800.0)</f>
        <v>14800</v>
      </c>
      <c r="F4657" t="str">
        <f>IFERROR(__xludf.DUMMYFUNCTION("""COMPUTED_VALUE"""),"玉山帳戶")</f>
        <v>玉山帳戶</v>
      </c>
      <c r="G4657" t="str">
        <f>IFERROR(__xludf.DUMMYFUNCTION("""COMPUTED_VALUE"""),"內湖秘境")</f>
        <v>內湖秘境</v>
      </c>
      <c r="H4657" s="106" t="str">
        <f t="shared" si="1"/>
        <v>2025-08</v>
      </c>
      <c r="I4657" s="271" t="str">
        <f>IFERROR(__xludf.DUMMYFUNCTION("""COMPUTED_VALUE"""),"鯰魚大大")</f>
        <v>鯰魚大大</v>
      </c>
      <c r="J4657" t="str">
        <f>IFERROR(__xludf.DUMMYFUNCTION("IFS(
  AND(REGEXMATCH(E4657, ""台銀籌備帳戶|玉山帳戶""), REGEXMATCH(C4657, ""薪資"")), ""分潤支出"",
  AND(REGEXMATCH(E4657, ""Ben帳戶|Elsa帳戶|Ben代墊|Ariel代墊|中信銀行共用""), REGEXMATCH(F4657, ""Ben帳戶|Elsa帳戶|Ben代墊|Ariel代墊|中信銀行共用"")), ""內部轉帳(忽略)"",
  AND(E4657&lt;&gt;"""", F4657&lt;&gt;"""", N"&amp;"OT(REGEXMATCH(C4657, ""薪資""))), ""內部轉帳(忽略)"",
  REGEXMATCH(C4657, ""薪資""), ""薪資變動(不計入)"",
  REGEXMATCH(C4657, ""押金""), ""押金往來"",
  AND(E4657&lt;&gt;"""", F4657=""""), ""真實支出"",
  AND(E4657="""", F4657&lt;&gt;""""), ""真實收入"",
  TRUE, ""其他""
)"),"真實收入")</f>
        <v>真實收入</v>
      </c>
      <c r="K4657" s="270">
        <f t="shared" si="2"/>
        <v>14800</v>
      </c>
      <c r="L4657">
        <f t="shared" si="3"/>
        <v>0</v>
      </c>
    </row>
    <row r="4658">
      <c r="A4658" s="107">
        <f>IFERROR(__xludf.DUMMYFUNCTION("""COMPUTED_VALUE"""),45870.0)</f>
        <v>45870</v>
      </c>
      <c r="B4658" t="str">
        <f>IFERROR(__xludf.DUMMYFUNCTION("""COMPUTED_VALUE"""),"[內湖秘境] G [徐若洹] 月租金 (行號: 24)")</f>
        <v>[內湖秘境] G [徐若洹] 月租金 (行號: 24)</v>
      </c>
      <c r="C4658" t="str">
        <f>IFERROR(__xludf.DUMMYFUNCTION("""COMPUTED_VALUE"""),"收入 - 租金")</f>
        <v>收入 - 租金</v>
      </c>
      <c r="D4658" s="270">
        <f>IFERROR(__xludf.DUMMYFUNCTION("""COMPUTED_VALUE"""),12100.0)</f>
        <v>12100</v>
      </c>
      <c r="F4658" t="str">
        <f>IFERROR(__xludf.DUMMYFUNCTION("""COMPUTED_VALUE"""),"玉山帳戶")</f>
        <v>玉山帳戶</v>
      </c>
      <c r="G4658" t="str">
        <f>IFERROR(__xludf.DUMMYFUNCTION("""COMPUTED_VALUE"""),"內湖秘境")</f>
        <v>內湖秘境</v>
      </c>
      <c r="H4658" s="106" t="str">
        <f t="shared" si="1"/>
        <v>2025-08</v>
      </c>
      <c r="I4658" s="271" t="str">
        <f>IFERROR(__xludf.DUMMYFUNCTION("""COMPUTED_VALUE"""),"鯰魚大大")</f>
        <v>鯰魚大大</v>
      </c>
      <c r="J4658" t="str">
        <f>IFERROR(__xludf.DUMMYFUNCTION("IFS(
  AND(REGEXMATCH(E4658, ""台銀籌備帳戶|玉山帳戶""), REGEXMATCH(C4658, ""薪資"")), ""分潤支出"",
  AND(REGEXMATCH(E4658, ""Ben帳戶|Elsa帳戶|Ben代墊|Ariel代墊|中信銀行共用""), REGEXMATCH(F4658, ""Ben帳戶|Elsa帳戶|Ben代墊|Ariel代墊|中信銀行共用"")), ""內部轉帳(忽略)"",
  AND(E4658&lt;&gt;"""", F4658&lt;&gt;"""", N"&amp;"OT(REGEXMATCH(C4658, ""薪資""))), ""內部轉帳(忽略)"",
  REGEXMATCH(C4658, ""薪資""), ""薪資變動(不計入)"",
  REGEXMATCH(C4658, ""押金""), ""押金往來"",
  AND(E4658&lt;&gt;"""", F4658=""""), ""真實支出"",
  AND(E4658="""", F4658&lt;&gt;""""), ""真實收入"",
  TRUE, ""其他""
)"),"真實收入")</f>
        <v>真實收入</v>
      </c>
      <c r="K4658" s="270">
        <f t="shared" si="2"/>
        <v>12100</v>
      </c>
      <c r="L4658">
        <f t="shared" si="3"/>
        <v>0</v>
      </c>
    </row>
    <row r="4659">
      <c r="A4659" s="107">
        <f>IFERROR(__xludf.DUMMYFUNCTION("""COMPUTED_VALUE"""),45870.0)</f>
        <v>45870</v>
      </c>
      <c r="B4659" t="str">
        <f>IFERROR(__xludf.DUMMYFUNCTION("""COMPUTED_VALUE"""),"[內湖CityLink] A [陳昕湄] 月租金 (行號: 25, 26)")</f>
        <v>[內湖CityLink] A [陳昕湄] 月租金 (行號: 25, 26)</v>
      </c>
      <c r="C4659" t="str">
        <f>IFERROR(__xludf.DUMMYFUNCTION("""COMPUTED_VALUE"""),"收入 - 租金")</f>
        <v>收入 - 租金</v>
      </c>
      <c r="D4659" s="270">
        <f>IFERROR(__xludf.DUMMYFUNCTION("""COMPUTED_VALUE"""),14800.0)</f>
        <v>14800</v>
      </c>
      <c r="F4659" t="str">
        <f>IFERROR(__xludf.DUMMYFUNCTION("""COMPUTED_VALUE"""),"玉山帳戶")</f>
        <v>玉山帳戶</v>
      </c>
      <c r="G4659" t="str">
        <f>IFERROR(__xludf.DUMMYFUNCTION("""COMPUTED_VALUE"""),"內湖CityLink")</f>
        <v>內湖CityLink</v>
      </c>
      <c r="H4659" s="106" t="str">
        <f t="shared" si="1"/>
        <v>2025-08</v>
      </c>
      <c r="I4659" s="271" t="str">
        <f>IFERROR(__xludf.DUMMYFUNCTION("""COMPUTED_VALUE"""),"鯰魚大大")</f>
        <v>鯰魚大大</v>
      </c>
      <c r="J4659" t="str">
        <f>IFERROR(__xludf.DUMMYFUNCTION("IFS(
  AND(REGEXMATCH(E4659, ""台銀籌備帳戶|玉山帳戶""), REGEXMATCH(C4659, ""薪資"")), ""分潤支出"",
  AND(REGEXMATCH(E4659, ""Ben帳戶|Elsa帳戶|Ben代墊|Ariel代墊|中信銀行共用""), REGEXMATCH(F4659, ""Ben帳戶|Elsa帳戶|Ben代墊|Ariel代墊|中信銀行共用"")), ""內部轉帳(忽略)"",
  AND(E4659&lt;&gt;"""", F4659&lt;&gt;"""", N"&amp;"OT(REGEXMATCH(C4659, ""薪資""))), ""內部轉帳(忽略)"",
  REGEXMATCH(C4659, ""薪資""), ""薪資變動(不計入)"",
  REGEXMATCH(C4659, ""押金""), ""押金往來"",
  AND(E4659&lt;&gt;"""", F4659=""""), ""真實支出"",
  AND(E4659="""", F4659&lt;&gt;""""), ""真實收入"",
  TRUE, ""其他""
)"),"真實收入")</f>
        <v>真實收入</v>
      </c>
      <c r="K4659" s="270">
        <f t="shared" si="2"/>
        <v>14800</v>
      </c>
      <c r="L4659">
        <f t="shared" si="3"/>
        <v>0</v>
      </c>
    </row>
    <row r="4660">
      <c r="A4660" s="107">
        <f>IFERROR(__xludf.DUMMYFUNCTION("""COMPUTED_VALUE"""),45870.0)</f>
        <v>45870</v>
      </c>
      <c r="B4660" t="str">
        <f>IFERROR(__xludf.DUMMYFUNCTION("""COMPUTED_VALUE"""),"[內湖秘境] E [林芷妤] 月租金 (行號: 27)")</f>
        <v>[內湖秘境] E [林芷妤] 月租金 (行號: 27)</v>
      </c>
      <c r="C4660" t="str">
        <f>IFERROR(__xludf.DUMMYFUNCTION("""COMPUTED_VALUE"""),"收入 - 租金")</f>
        <v>收入 - 租金</v>
      </c>
      <c r="D4660" s="270">
        <f>IFERROR(__xludf.DUMMYFUNCTION("""COMPUTED_VALUE"""),13600.0)</f>
        <v>13600</v>
      </c>
      <c r="F4660" t="str">
        <f>IFERROR(__xludf.DUMMYFUNCTION("""COMPUTED_VALUE"""),"玉山帳戶")</f>
        <v>玉山帳戶</v>
      </c>
      <c r="G4660" t="str">
        <f>IFERROR(__xludf.DUMMYFUNCTION("""COMPUTED_VALUE"""),"內湖秘境")</f>
        <v>內湖秘境</v>
      </c>
      <c r="H4660" s="106" t="str">
        <f t="shared" si="1"/>
        <v>2025-08</v>
      </c>
      <c r="I4660" s="271" t="str">
        <f>IFERROR(__xludf.DUMMYFUNCTION("""COMPUTED_VALUE"""),"鯰魚大大")</f>
        <v>鯰魚大大</v>
      </c>
      <c r="J4660" t="str">
        <f>IFERROR(__xludf.DUMMYFUNCTION("IFS(
  AND(REGEXMATCH(E4660, ""台銀籌備帳戶|玉山帳戶""), REGEXMATCH(C4660, ""薪資"")), ""分潤支出"",
  AND(REGEXMATCH(E4660, ""Ben帳戶|Elsa帳戶|Ben代墊|Ariel代墊|中信銀行共用""), REGEXMATCH(F4660, ""Ben帳戶|Elsa帳戶|Ben代墊|Ariel代墊|中信銀行共用"")), ""內部轉帳(忽略)"",
  AND(E4660&lt;&gt;"""", F4660&lt;&gt;"""", N"&amp;"OT(REGEXMATCH(C4660, ""薪資""))), ""內部轉帳(忽略)"",
  REGEXMATCH(C4660, ""薪資""), ""薪資變動(不計入)"",
  REGEXMATCH(C4660, ""押金""), ""押金往來"",
  AND(E4660&lt;&gt;"""", F4660=""""), ""真實支出"",
  AND(E4660="""", F4660&lt;&gt;""""), ""真實收入"",
  TRUE, ""其他""
)"),"真實收入")</f>
        <v>真實收入</v>
      </c>
      <c r="K4660" s="270">
        <f t="shared" si="2"/>
        <v>13600</v>
      </c>
      <c r="L4660">
        <f t="shared" si="3"/>
        <v>0</v>
      </c>
    </row>
    <row r="4661">
      <c r="A4661" s="107">
        <f>IFERROR(__xludf.DUMMYFUNCTION("""COMPUTED_VALUE"""),45870.0)</f>
        <v>45870</v>
      </c>
      <c r="B4661" t="str">
        <f>IFERROR(__xludf.DUMMYFUNCTION("""COMPUTED_VALUE"""),"[行天宮夏野良栗] E [張宏祺, 謝宗穎] 月租金 (行號: 28)")</f>
        <v>[行天宮夏野良栗] E [張宏祺, 謝宗穎] 月租金 (行號: 28)</v>
      </c>
      <c r="C4661" t="str">
        <f>IFERROR(__xludf.DUMMYFUNCTION("""COMPUTED_VALUE"""),"收入 - 租金")</f>
        <v>收入 - 租金</v>
      </c>
      <c r="D4661" s="270">
        <f>IFERROR(__xludf.DUMMYFUNCTION("""COMPUTED_VALUE"""),31800.0)</f>
        <v>31800</v>
      </c>
      <c r="F4661" t="str">
        <f>IFERROR(__xludf.DUMMYFUNCTION("""COMPUTED_VALUE"""),"玉山帳戶")</f>
        <v>玉山帳戶</v>
      </c>
      <c r="G4661" t="str">
        <f>IFERROR(__xludf.DUMMYFUNCTION("""COMPUTED_VALUE"""),"行天宮夏野良栗")</f>
        <v>行天宮夏野良栗</v>
      </c>
      <c r="H4661" s="106" t="str">
        <f t="shared" si="1"/>
        <v>2025-08</v>
      </c>
      <c r="I4661" s="271" t="str">
        <f>IFERROR(__xludf.DUMMYFUNCTION("""COMPUTED_VALUE"""),"鯰魚大大")</f>
        <v>鯰魚大大</v>
      </c>
      <c r="J4661" t="str">
        <f>IFERROR(__xludf.DUMMYFUNCTION("IFS(
  AND(REGEXMATCH(E4661, ""台銀籌備帳戶|玉山帳戶""), REGEXMATCH(C4661, ""薪資"")), ""分潤支出"",
  AND(REGEXMATCH(E4661, ""Ben帳戶|Elsa帳戶|Ben代墊|Ariel代墊|中信銀行共用""), REGEXMATCH(F4661, ""Ben帳戶|Elsa帳戶|Ben代墊|Ariel代墊|中信銀行共用"")), ""內部轉帳(忽略)"",
  AND(E4661&lt;&gt;"""", F4661&lt;&gt;"""", N"&amp;"OT(REGEXMATCH(C4661, ""薪資""))), ""內部轉帳(忽略)"",
  REGEXMATCH(C4661, ""薪資""), ""薪資變動(不計入)"",
  REGEXMATCH(C4661, ""押金""), ""押金往來"",
  AND(E4661&lt;&gt;"""", F4661=""""), ""真實支出"",
  AND(E4661="""", F4661&lt;&gt;""""), ""真實收入"",
  TRUE, ""其他""
)"),"真實收入")</f>
        <v>真實收入</v>
      </c>
      <c r="K4661" s="270">
        <f t="shared" si="2"/>
        <v>31800</v>
      </c>
      <c r="L4661">
        <f t="shared" si="3"/>
        <v>0</v>
      </c>
    </row>
    <row r="4662">
      <c r="A4662" s="107">
        <f>IFERROR(__xludf.DUMMYFUNCTION("""COMPUTED_VALUE"""),45870.0)</f>
        <v>45870</v>
      </c>
      <c r="B4662" t="str">
        <f>IFERROR(__xludf.DUMMYFUNCTION("""COMPUTED_VALUE"""),"[內湖秘境] B [劉桀綸] 月租金 (行號: 29)")</f>
        <v>[內湖秘境] B [劉桀綸] 月租金 (行號: 29)</v>
      </c>
      <c r="C4662" t="str">
        <f>IFERROR(__xludf.DUMMYFUNCTION("""COMPUTED_VALUE"""),"收入 - 租金")</f>
        <v>收入 - 租金</v>
      </c>
      <c r="D4662" s="270">
        <f>IFERROR(__xludf.DUMMYFUNCTION("""COMPUTED_VALUE"""),12300.0)</f>
        <v>12300</v>
      </c>
      <c r="F4662" t="str">
        <f>IFERROR(__xludf.DUMMYFUNCTION("""COMPUTED_VALUE"""),"玉山帳戶")</f>
        <v>玉山帳戶</v>
      </c>
      <c r="G4662" t="str">
        <f>IFERROR(__xludf.DUMMYFUNCTION("""COMPUTED_VALUE"""),"內湖秘境")</f>
        <v>內湖秘境</v>
      </c>
      <c r="H4662" s="106" t="str">
        <f t="shared" si="1"/>
        <v>2025-08</v>
      </c>
      <c r="I4662" s="271" t="str">
        <f>IFERROR(__xludf.DUMMYFUNCTION("""COMPUTED_VALUE"""),"鯰魚大大")</f>
        <v>鯰魚大大</v>
      </c>
      <c r="J4662" t="str">
        <f>IFERROR(__xludf.DUMMYFUNCTION("IFS(
  AND(REGEXMATCH(E4662, ""台銀籌備帳戶|玉山帳戶""), REGEXMATCH(C4662, ""薪資"")), ""分潤支出"",
  AND(REGEXMATCH(E4662, ""Ben帳戶|Elsa帳戶|Ben代墊|Ariel代墊|中信銀行共用""), REGEXMATCH(F4662, ""Ben帳戶|Elsa帳戶|Ben代墊|Ariel代墊|中信銀行共用"")), ""內部轉帳(忽略)"",
  AND(E4662&lt;&gt;"""", F4662&lt;&gt;"""", N"&amp;"OT(REGEXMATCH(C4662, ""薪資""))), ""內部轉帳(忽略)"",
  REGEXMATCH(C4662, ""薪資""), ""薪資變動(不計入)"",
  REGEXMATCH(C4662, ""押金""), ""押金往來"",
  AND(E4662&lt;&gt;"""", F4662=""""), ""真實支出"",
  AND(E4662="""", F4662&lt;&gt;""""), ""真實收入"",
  TRUE, ""其他""
)"),"真實收入")</f>
        <v>真實收入</v>
      </c>
      <c r="K4662" s="270">
        <f t="shared" si="2"/>
        <v>12300</v>
      </c>
      <c r="L4662">
        <f t="shared" si="3"/>
        <v>0</v>
      </c>
    </row>
    <row r="4663">
      <c r="A4663" s="107">
        <f>IFERROR(__xludf.DUMMYFUNCTION("""COMPUTED_VALUE"""),45870.0)</f>
        <v>45870</v>
      </c>
      <c r="B4663" t="str">
        <f>IFERROR(__xludf.DUMMYFUNCTION("""COMPUTED_VALUE"""),"[內湖秘境] A [陳玟涵] 月租金 (行號: 30)")</f>
        <v>[內湖秘境] A [陳玟涵] 月租金 (行號: 30)</v>
      </c>
      <c r="C4663" t="str">
        <f>IFERROR(__xludf.DUMMYFUNCTION("""COMPUTED_VALUE"""),"收入 - 租金")</f>
        <v>收入 - 租金</v>
      </c>
      <c r="D4663" s="270">
        <f>IFERROR(__xludf.DUMMYFUNCTION("""COMPUTED_VALUE"""),11700.0)</f>
        <v>11700</v>
      </c>
      <c r="F4663" t="str">
        <f>IFERROR(__xludf.DUMMYFUNCTION("""COMPUTED_VALUE"""),"玉山帳戶")</f>
        <v>玉山帳戶</v>
      </c>
      <c r="G4663" t="str">
        <f>IFERROR(__xludf.DUMMYFUNCTION("""COMPUTED_VALUE"""),"內湖秘境")</f>
        <v>內湖秘境</v>
      </c>
      <c r="H4663" s="106" t="str">
        <f t="shared" si="1"/>
        <v>2025-08</v>
      </c>
      <c r="I4663" s="271" t="str">
        <f>IFERROR(__xludf.DUMMYFUNCTION("""COMPUTED_VALUE"""),"鯰魚大大")</f>
        <v>鯰魚大大</v>
      </c>
      <c r="J4663" t="str">
        <f>IFERROR(__xludf.DUMMYFUNCTION("IFS(
  AND(REGEXMATCH(E4663, ""台銀籌備帳戶|玉山帳戶""), REGEXMATCH(C4663, ""薪資"")), ""分潤支出"",
  AND(REGEXMATCH(E4663, ""Ben帳戶|Elsa帳戶|Ben代墊|Ariel代墊|中信銀行共用""), REGEXMATCH(F4663, ""Ben帳戶|Elsa帳戶|Ben代墊|Ariel代墊|中信銀行共用"")), ""內部轉帳(忽略)"",
  AND(E4663&lt;&gt;"""", F4663&lt;&gt;"""", N"&amp;"OT(REGEXMATCH(C4663, ""薪資""))), ""內部轉帳(忽略)"",
  REGEXMATCH(C4663, ""薪資""), ""薪資變動(不計入)"",
  REGEXMATCH(C4663, ""押金""), ""押金往來"",
  AND(E4663&lt;&gt;"""", F4663=""""), ""真實支出"",
  AND(E4663="""", F4663&lt;&gt;""""), ""真實收入"",
  TRUE, ""其他""
)"),"真實收入")</f>
        <v>真實收入</v>
      </c>
      <c r="K4663" s="270">
        <f t="shared" si="2"/>
        <v>11700</v>
      </c>
      <c r="L4663">
        <f t="shared" si="3"/>
        <v>0</v>
      </c>
    </row>
    <row r="4664">
      <c r="A4664" s="107">
        <f>IFERROR(__xludf.DUMMYFUNCTION("""COMPUTED_VALUE"""),45873.0)</f>
        <v>45873</v>
      </c>
      <c r="B4664" t="str">
        <f>IFERROR(__xludf.DUMMYFUNCTION("""COMPUTED_VALUE"""),"[內湖秘境] F [楊芯岳] 月租金 (行號: 31)")</f>
        <v>[內湖秘境] F [楊芯岳] 月租金 (行號: 31)</v>
      </c>
      <c r="C4664" t="str">
        <f>IFERROR(__xludf.DUMMYFUNCTION("""COMPUTED_VALUE"""),"收入 - 租金")</f>
        <v>收入 - 租金</v>
      </c>
      <c r="D4664" s="270">
        <f>IFERROR(__xludf.DUMMYFUNCTION("""COMPUTED_VALUE"""),13500.0)</f>
        <v>13500</v>
      </c>
      <c r="F4664" t="str">
        <f>IFERROR(__xludf.DUMMYFUNCTION("""COMPUTED_VALUE"""),"玉山帳戶")</f>
        <v>玉山帳戶</v>
      </c>
      <c r="G4664" t="str">
        <f>IFERROR(__xludf.DUMMYFUNCTION("""COMPUTED_VALUE"""),"內湖秘境")</f>
        <v>內湖秘境</v>
      </c>
      <c r="H4664" s="106" t="str">
        <f t="shared" si="1"/>
        <v>2025-08</v>
      </c>
      <c r="I4664" s="271" t="str">
        <f>IFERROR(__xludf.DUMMYFUNCTION("""COMPUTED_VALUE"""),"鯰魚大大")</f>
        <v>鯰魚大大</v>
      </c>
      <c r="J4664" t="str">
        <f>IFERROR(__xludf.DUMMYFUNCTION("IFS(
  AND(REGEXMATCH(E4664, ""台銀籌備帳戶|玉山帳戶""), REGEXMATCH(C4664, ""薪資"")), ""分潤支出"",
  AND(REGEXMATCH(E4664, ""Ben帳戶|Elsa帳戶|Ben代墊|Ariel代墊|中信銀行共用""), REGEXMATCH(F4664, ""Ben帳戶|Elsa帳戶|Ben代墊|Ariel代墊|中信銀行共用"")), ""內部轉帳(忽略)"",
  AND(E4664&lt;&gt;"""", F4664&lt;&gt;"""", N"&amp;"OT(REGEXMATCH(C4664, ""薪資""))), ""內部轉帳(忽略)"",
  REGEXMATCH(C4664, ""薪資""), ""薪資變動(不計入)"",
  REGEXMATCH(C4664, ""押金""), ""押金往來"",
  AND(E4664&lt;&gt;"""", F4664=""""), ""真實支出"",
  AND(E4664="""", F4664&lt;&gt;""""), ""真實收入"",
  TRUE, ""其他""
)"),"真實收入")</f>
        <v>真實收入</v>
      </c>
      <c r="K4664" s="270">
        <f t="shared" si="2"/>
        <v>13500</v>
      </c>
      <c r="L4664">
        <f t="shared" si="3"/>
        <v>0</v>
      </c>
    </row>
    <row r="4665">
      <c r="A4665" s="107">
        <f>IFERROR(__xludf.DUMMYFUNCTION("""COMPUTED_VALUE"""),45873.0)</f>
        <v>45873</v>
      </c>
      <c r="B4665" t="str">
        <f>IFERROR(__xludf.DUMMYFUNCTION("""COMPUTED_VALUE"""),"[行天宮夏野良栗] C [黃伊妍] 月租金 (行號: 33)")</f>
        <v>[行天宮夏野良栗] C [黃伊妍] 月租金 (行號: 33)</v>
      </c>
      <c r="C4665" t="str">
        <f>IFERROR(__xludf.DUMMYFUNCTION("""COMPUTED_VALUE"""),"收入 - 租金")</f>
        <v>收入 - 租金</v>
      </c>
      <c r="D4665" s="270">
        <f>IFERROR(__xludf.DUMMYFUNCTION("""COMPUTED_VALUE"""),11000.0)</f>
        <v>11000</v>
      </c>
      <c r="F4665" t="str">
        <f>IFERROR(__xludf.DUMMYFUNCTION("""COMPUTED_VALUE"""),"玉山帳戶")</f>
        <v>玉山帳戶</v>
      </c>
      <c r="G4665" t="str">
        <f>IFERROR(__xludf.DUMMYFUNCTION("""COMPUTED_VALUE"""),"行天宮夏野良栗")</f>
        <v>行天宮夏野良栗</v>
      </c>
      <c r="H4665" s="106" t="str">
        <f t="shared" si="1"/>
        <v>2025-08</v>
      </c>
      <c r="I4665" s="271" t="str">
        <f>IFERROR(__xludf.DUMMYFUNCTION("""COMPUTED_VALUE"""),"鯰魚大大")</f>
        <v>鯰魚大大</v>
      </c>
      <c r="J4665" t="str">
        <f>IFERROR(__xludf.DUMMYFUNCTION("IFS(
  AND(REGEXMATCH(E4665, ""台銀籌備帳戶|玉山帳戶""), REGEXMATCH(C4665, ""薪資"")), ""分潤支出"",
  AND(REGEXMATCH(E4665, ""Ben帳戶|Elsa帳戶|Ben代墊|Ariel代墊|中信銀行共用""), REGEXMATCH(F4665, ""Ben帳戶|Elsa帳戶|Ben代墊|Ariel代墊|中信銀行共用"")), ""內部轉帳(忽略)"",
  AND(E4665&lt;&gt;"""", F4665&lt;&gt;"""", N"&amp;"OT(REGEXMATCH(C4665, ""薪資""))), ""內部轉帳(忽略)"",
  REGEXMATCH(C4665, ""薪資""), ""薪資變動(不計入)"",
  REGEXMATCH(C4665, ""押金""), ""押金往來"",
  AND(E4665&lt;&gt;"""", F4665=""""), ""真實支出"",
  AND(E4665="""", F4665&lt;&gt;""""), ""真實收入"",
  TRUE, ""其他""
)"),"真實收入")</f>
        <v>真實收入</v>
      </c>
      <c r="K4665" s="270">
        <f t="shared" si="2"/>
        <v>11000</v>
      </c>
      <c r="L4665">
        <f t="shared" si="3"/>
        <v>0</v>
      </c>
    </row>
    <row r="4666">
      <c r="A4666" s="107">
        <f>IFERROR(__xludf.DUMMYFUNCTION("""COMPUTED_VALUE"""),45873.0)</f>
        <v>45873</v>
      </c>
      <c r="B4666" t="str">
        <f>IFERROR(__xludf.DUMMYFUNCTION("""COMPUTED_VALUE"""),"[內湖CityLink] F [Ardian Umam] 月租金 (行號: 34)")</f>
        <v>[內湖CityLink] F [Ardian Umam] 月租金 (行號: 34)</v>
      </c>
      <c r="C4666" t="str">
        <f>IFERROR(__xludf.DUMMYFUNCTION("""COMPUTED_VALUE"""),"收入 - 租金")</f>
        <v>收入 - 租金</v>
      </c>
      <c r="D4666" s="270">
        <f>IFERROR(__xludf.DUMMYFUNCTION("""COMPUTED_VALUE"""),13300.0)</f>
        <v>13300</v>
      </c>
      <c r="F4666" t="str">
        <f>IFERROR(__xludf.DUMMYFUNCTION("""COMPUTED_VALUE"""),"玉山帳戶")</f>
        <v>玉山帳戶</v>
      </c>
      <c r="G4666" t="str">
        <f>IFERROR(__xludf.DUMMYFUNCTION("""COMPUTED_VALUE"""),"內湖CityLink")</f>
        <v>內湖CityLink</v>
      </c>
      <c r="H4666" s="106" t="str">
        <f t="shared" si="1"/>
        <v>2025-08</v>
      </c>
      <c r="I4666" s="271" t="str">
        <f>IFERROR(__xludf.DUMMYFUNCTION("""COMPUTED_VALUE"""),"鯰魚大大")</f>
        <v>鯰魚大大</v>
      </c>
      <c r="J4666" t="str">
        <f>IFERROR(__xludf.DUMMYFUNCTION("IFS(
  AND(REGEXMATCH(E4666, ""台銀籌備帳戶|玉山帳戶""), REGEXMATCH(C4666, ""薪資"")), ""分潤支出"",
  AND(REGEXMATCH(E4666, ""Ben帳戶|Elsa帳戶|Ben代墊|Ariel代墊|中信銀行共用""), REGEXMATCH(F4666, ""Ben帳戶|Elsa帳戶|Ben代墊|Ariel代墊|中信銀行共用"")), ""內部轉帳(忽略)"",
  AND(E4666&lt;&gt;"""", F4666&lt;&gt;"""", N"&amp;"OT(REGEXMATCH(C4666, ""薪資""))), ""內部轉帳(忽略)"",
  REGEXMATCH(C4666, ""薪資""), ""薪資變動(不計入)"",
  REGEXMATCH(C4666, ""押金""), ""押金往來"",
  AND(E4666&lt;&gt;"""", F4666=""""), ""真實支出"",
  AND(E4666="""", F4666&lt;&gt;""""), ""真實收入"",
  TRUE, ""其他""
)"),"真實收入")</f>
        <v>真實收入</v>
      </c>
      <c r="K4666" s="270">
        <f t="shared" si="2"/>
        <v>13300</v>
      </c>
      <c r="L4666">
        <f t="shared" si="3"/>
        <v>0</v>
      </c>
    </row>
    <row r="4667">
      <c r="A4667" s="107">
        <f>IFERROR(__xludf.DUMMYFUNCTION("""COMPUTED_VALUE"""),45874.0)</f>
        <v>45874</v>
      </c>
      <c r="B4667" t="str">
        <f>IFERROR(__xludf.DUMMYFUNCTION("""COMPUTED_VALUE"""),"費用 - 匯費 對方行:822 後五碼:33337 (行號: 2)")</f>
        <v>費用 - 匯費 對方行:822 後五碼:33337 (行號: 2)</v>
      </c>
      <c r="C4667" t="str">
        <f>IFERROR(__xludf.DUMMYFUNCTION("""COMPUTED_VALUE"""),"費用 - 匯費")</f>
        <v>費用 - 匯費</v>
      </c>
      <c r="D4667" s="270">
        <f>IFERROR(__xludf.DUMMYFUNCTION("""COMPUTED_VALUE"""),-15.0)</f>
        <v>-15</v>
      </c>
      <c r="E4667" t="str">
        <f>IFERROR(__xludf.DUMMYFUNCTION("""COMPUTED_VALUE"""),"玉山帳戶")</f>
        <v>玉山帳戶</v>
      </c>
      <c r="H4667" s="106" t="str">
        <f t="shared" si="1"/>
        <v>2025-08</v>
      </c>
      <c r="I4667" s="271" t="str">
        <f>IFERROR(__xludf.DUMMYFUNCTION("""COMPUTED_VALUE"""),"鯰魚大大")</f>
        <v>鯰魚大大</v>
      </c>
      <c r="J4667" t="str">
        <f>IFERROR(__xludf.DUMMYFUNCTION("IFS(
  AND(REGEXMATCH(E4667, ""台銀籌備帳戶|玉山帳戶""), REGEXMATCH(C4667, ""薪資"")), ""分潤支出"",
  AND(REGEXMATCH(E4667, ""Ben帳戶|Elsa帳戶|Ben代墊|Ariel代墊|中信銀行共用""), REGEXMATCH(F4667, ""Ben帳戶|Elsa帳戶|Ben代墊|Ariel代墊|中信銀行共用"")), ""內部轉帳(忽略)"",
  AND(E4667&lt;&gt;"""", F4667&lt;&gt;"""", N"&amp;"OT(REGEXMATCH(C4667, ""薪資""))), ""內部轉帳(忽略)"",
  REGEXMATCH(C4667, ""薪資""), ""薪資變動(不計入)"",
  REGEXMATCH(C4667, ""押金""), ""押金往來"",
  AND(E4667&lt;&gt;"""", F4667=""""), ""真實支出"",
  AND(E4667="""", F4667&lt;&gt;""""), ""真實收入"",
  TRUE, ""其他""
)"),"真實支出")</f>
        <v>真實支出</v>
      </c>
      <c r="K4667" s="270">
        <f t="shared" si="2"/>
        <v>-15</v>
      </c>
      <c r="L4667">
        <f t="shared" si="3"/>
        <v>0</v>
      </c>
    </row>
    <row r="4668">
      <c r="A4668" s="107">
        <f>IFERROR(__xludf.DUMMYFUNCTION("""COMPUTED_VALUE"""),45874.0)</f>
        <v>45874</v>
      </c>
      <c r="B4668" t="str">
        <f>IFERROR(__xludf.DUMMYFUNCTION("""COMPUTED_VALUE"""),"代墊款 【未分類支出】")</f>
        <v>代墊款 【未分類支出】</v>
      </c>
      <c r="C4668" t="str">
        <f>IFERROR(__xludf.DUMMYFUNCTION("""COMPUTED_VALUE"""),"費用 - Salary 薪資")</f>
        <v>費用 - Salary 薪資</v>
      </c>
      <c r="D4668" s="270">
        <f>IFERROR(__xludf.DUMMYFUNCTION("""COMPUTED_VALUE"""),-100000.0)</f>
        <v>-100000</v>
      </c>
      <c r="E4668" t="str">
        <f>IFERROR(__xludf.DUMMYFUNCTION("""COMPUTED_VALUE"""),"玉山帳戶")</f>
        <v>玉山帳戶</v>
      </c>
      <c r="F4668" t="str">
        <f>IFERROR(__xludf.DUMMYFUNCTION("""COMPUTED_VALUE"""),"中信銀行共用")</f>
        <v>中信銀行共用</v>
      </c>
      <c r="H4668" s="106" t="str">
        <f t="shared" si="1"/>
        <v>2025-08</v>
      </c>
      <c r="I4668" s="271" t="str">
        <f>IFERROR(__xludf.DUMMYFUNCTION("""COMPUTED_VALUE"""),"鯰魚大大")</f>
        <v>鯰魚大大</v>
      </c>
      <c r="J4668" t="str">
        <f>IFERROR(__xludf.DUMMYFUNCTION("IFS(
  AND(REGEXMATCH(E4668, ""台銀籌備帳戶|玉山帳戶""), REGEXMATCH(C4668, ""薪資"")), ""分潤支出"",
  AND(REGEXMATCH(E4668, ""Ben帳戶|Elsa帳戶|Ben代墊|Ariel代墊|中信銀行共用""), REGEXMATCH(F4668, ""Ben帳戶|Elsa帳戶|Ben代墊|Ariel代墊|中信銀行共用"")), ""內部轉帳(忽略)"",
  AND(E4668&lt;&gt;"""", F4668&lt;&gt;"""", N"&amp;"OT(REGEXMATCH(C4668, ""薪資""))), ""內部轉帳(忽略)"",
  REGEXMATCH(C4668, ""薪資""), ""薪資變動(不計入)"",
  REGEXMATCH(C4668, ""押金""), ""押金往來"",
  AND(E4668&lt;&gt;"""", F4668=""""), ""真實支出"",
  AND(E4668="""", F4668&lt;&gt;""""), ""真實收入"",
  TRUE, ""其他""
)"),"分潤支出")</f>
        <v>分潤支出</v>
      </c>
      <c r="K4668">
        <f t="shared" si="2"/>
        <v>0</v>
      </c>
      <c r="L4668">
        <f t="shared" si="3"/>
        <v>100000</v>
      </c>
    </row>
    <row r="4669">
      <c r="A4669" s="107">
        <f>IFERROR(__xludf.DUMMYFUNCTION("""COMPUTED_VALUE"""),45884.0)</f>
        <v>45884</v>
      </c>
      <c r="B4669" t="str">
        <f>IFERROR(__xludf.DUMMYFUNCTION("""COMPUTED_VALUE"""),"費用 - 匯費 對方行:013 後五碼:78744 (行號: 3)")</f>
        <v>費用 - 匯費 對方行:013 後五碼:78744 (行號: 3)</v>
      </c>
      <c r="C4669" t="str">
        <f>IFERROR(__xludf.DUMMYFUNCTION("""COMPUTED_VALUE"""),"費用 - 匯費")</f>
        <v>費用 - 匯費</v>
      </c>
      <c r="D4669" s="270">
        <f>IFERROR(__xludf.DUMMYFUNCTION("""COMPUTED_VALUE"""),-15.0)</f>
        <v>-15</v>
      </c>
      <c r="E4669" t="str">
        <f>IFERROR(__xludf.DUMMYFUNCTION("""COMPUTED_VALUE"""),"玉山帳戶")</f>
        <v>玉山帳戶</v>
      </c>
      <c r="H4669" s="106" t="str">
        <f t="shared" si="1"/>
        <v>2025-08</v>
      </c>
      <c r="I4669" s="271" t="str">
        <f>IFERROR(__xludf.DUMMYFUNCTION("""COMPUTED_VALUE"""),"鯰魚大大")</f>
        <v>鯰魚大大</v>
      </c>
      <c r="J4669" t="str">
        <f>IFERROR(__xludf.DUMMYFUNCTION("IFS(
  AND(REGEXMATCH(E4669, ""台銀籌備帳戶|玉山帳戶""), REGEXMATCH(C4669, ""薪資"")), ""分潤支出"",
  AND(REGEXMATCH(E4669, ""Ben帳戶|Elsa帳戶|Ben代墊|Ariel代墊|中信銀行共用""), REGEXMATCH(F4669, ""Ben帳戶|Elsa帳戶|Ben代墊|Ariel代墊|中信銀行共用"")), ""內部轉帳(忽略)"",
  AND(E4669&lt;&gt;"""", F4669&lt;&gt;"""", N"&amp;"OT(REGEXMATCH(C4669, ""薪資""))), ""內部轉帳(忽略)"",
  REGEXMATCH(C4669, ""薪資""), ""薪資變動(不計入)"",
  REGEXMATCH(C4669, ""押金""), ""押金往來"",
  AND(E4669&lt;&gt;"""", F4669=""""), ""真實支出"",
  AND(E4669="""", F4669&lt;&gt;""""), ""真實收入"",
  TRUE, ""其他""
)"),"真實支出")</f>
        <v>真實支出</v>
      </c>
      <c r="K4669" s="270">
        <f t="shared" si="2"/>
        <v>-15</v>
      </c>
      <c r="L4669">
        <f t="shared" si="3"/>
        <v>0</v>
      </c>
    </row>
    <row r="4670">
      <c r="A4670" s="107">
        <f>IFERROR(__xludf.DUMMYFUNCTION("""COMPUTED_VALUE"""),45884.0)</f>
        <v>45884</v>
      </c>
      <c r="B4670" t="str">
        <f>IFERROR(__xludf.DUMMYFUNCTION("""COMPUTED_VALUE"""),"[士林和豐] [楊政偉] 大租金")</f>
        <v>[士林和豐] [楊政偉] 大租金</v>
      </c>
      <c r="C4670" t="str">
        <f>IFERROR(__xludf.DUMMYFUNCTION("""COMPUTED_VALUE"""),"成本 - 大租金")</f>
        <v>成本 - 大租金</v>
      </c>
      <c r="D4670" s="270">
        <f>IFERROR(__xludf.DUMMYFUNCTION("""COMPUTED_VALUE"""),-14400.0)</f>
        <v>-14400</v>
      </c>
      <c r="E4670" t="str">
        <f>IFERROR(__xludf.DUMMYFUNCTION("""COMPUTED_VALUE"""),"玉山帳戶")</f>
        <v>玉山帳戶</v>
      </c>
      <c r="G4670" t="str">
        <f>IFERROR(__xludf.DUMMYFUNCTION("""COMPUTED_VALUE"""),"士林和豐")</f>
        <v>士林和豐</v>
      </c>
      <c r="H4670" s="106" t="str">
        <f t="shared" si="1"/>
        <v>2025-08</v>
      </c>
      <c r="I4670" s="271" t="str">
        <f>IFERROR(__xludf.DUMMYFUNCTION("""COMPUTED_VALUE"""),"鯰魚大大")</f>
        <v>鯰魚大大</v>
      </c>
      <c r="J4670" t="str">
        <f>IFERROR(__xludf.DUMMYFUNCTION("IFS(
  AND(REGEXMATCH(E4670, ""台銀籌備帳戶|玉山帳戶""), REGEXMATCH(C4670, ""薪資"")), ""分潤支出"",
  AND(REGEXMATCH(E4670, ""Ben帳戶|Elsa帳戶|Ben代墊|Ariel代墊|中信銀行共用""), REGEXMATCH(F4670, ""Ben帳戶|Elsa帳戶|Ben代墊|Ariel代墊|中信銀行共用"")), ""內部轉帳(忽略)"",
  AND(E4670&lt;&gt;"""", F4670&lt;&gt;"""", N"&amp;"OT(REGEXMATCH(C4670, ""薪資""))), ""內部轉帳(忽略)"",
  REGEXMATCH(C4670, ""薪資""), ""薪資變動(不計入)"",
  REGEXMATCH(C4670, ""押金""), ""押金往來"",
  AND(E4670&lt;&gt;"""", F4670=""""), ""真實支出"",
  AND(E4670="""", F4670&lt;&gt;""""), ""真實收入"",
  TRUE, ""其他""
)"),"真實支出")</f>
        <v>真實支出</v>
      </c>
      <c r="K4670" s="270">
        <f t="shared" si="2"/>
        <v>-14400</v>
      </c>
      <c r="L4670">
        <f t="shared" si="3"/>
        <v>0</v>
      </c>
    </row>
    <row r="4671">
      <c r="A4671" s="107">
        <f>IFERROR(__xludf.DUMMYFUNCTION("""COMPUTED_VALUE"""),45884.0)</f>
        <v>45884</v>
      </c>
      <c r="B4671" t="str">
        <f>IFERROR(__xludf.DUMMYFUNCTION("""COMPUTED_VALUE"""),"費用 - 匯費 對方行:012 後五碼:68447 (行號: 4)")</f>
        <v>費用 - 匯費 對方行:012 後五碼:68447 (行號: 4)</v>
      </c>
      <c r="C4671" t="str">
        <f>IFERROR(__xludf.DUMMYFUNCTION("""COMPUTED_VALUE"""),"費用 - 匯費")</f>
        <v>費用 - 匯費</v>
      </c>
      <c r="D4671" s="270">
        <f>IFERROR(__xludf.DUMMYFUNCTION("""COMPUTED_VALUE"""),-15.0)</f>
        <v>-15</v>
      </c>
      <c r="E4671" t="str">
        <f>IFERROR(__xludf.DUMMYFUNCTION("""COMPUTED_VALUE"""),"玉山帳戶")</f>
        <v>玉山帳戶</v>
      </c>
      <c r="H4671" s="106" t="str">
        <f t="shared" si="1"/>
        <v>2025-08</v>
      </c>
      <c r="I4671" s="271" t="str">
        <f>IFERROR(__xludf.DUMMYFUNCTION("""COMPUTED_VALUE"""),"鯰魚大大")</f>
        <v>鯰魚大大</v>
      </c>
      <c r="J4671" t="str">
        <f>IFERROR(__xludf.DUMMYFUNCTION("IFS(
  AND(REGEXMATCH(E4671, ""台銀籌備帳戶|玉山帳戶""), REGEXMATCH(C4671, ""薪資"")), ""分潤支出"",
  AND(REGEXMATCH(E4671, ""Ben帳戶|Elsa帳戶|Ben代墊|Ariel代墊|中信銀行共用""), REGEXMATCH(F4671, ""Ben帳戶|Elsa帳戶|Ben代墊|Ariel代墊|中信銀行共用"")), ""內部轉帳(忽略)"",
  AND(E4671&lt;&gt;"""", F4671&lt;&gt;"""", N"&amp;"OT(REGEXMATCH(C4671, ""薪資""))), ""內部轉帳(忽略)"",
  REGEXMATCH(C4671, ""薪資""), ""薪資變動(不計入)"",
  REGEXMATCH(C4671, ""押金""), ""押金往來"",
  AND(E4671&lt;&gt;"""", F4671=""""), ""真實支出"",
  AND(E4671="""", F4671&lt;&gt;""""), ""真實收入"",
  TRUE, ""其他""
)"),"真實支出")</f>
        <v>真實支出</v>
      </c>
      <c r="K4671" s="270">
        <f t="shared" si="2"/>
        <v>-15</v>
      </c>
      <c r="L4671">
        <f t="shared" si="3"/>
        <v>0</v>
      </c>
    </row>
    <row r="4672">
      <c r="A4672" s="107">
        <f>IFERROR(__xludf.DUMMYFUNCTION("""COMPUTED_VALUE"""),45884.0)</f>
        <v>45884</v>
      </c>
      <c r="B4672" t="str">
        <f>IFERROR(__xludf.DUMMYFUNCTION("""COMPUTED_VALUE"""),"[行天宮夏野良栗] [沈蕙萱] 大租金")</f>
        <v>[行天宮夏野良栗] [沈蕙萱] 大租金</v>
      </c>
      <c r="C4672" t="str">
        <f>IFERROR(__xludf.DUMMYFUNCTION("""COMPUTED_VALUE"""),"成本 - 大租金")</f>
        <v>成本 - 大租金</v>
      </c>
      <c r="D4672" s="270">
        <f>IFERROR(__xludf.DUMMYFUNCTION("""COMPUTED_VALUE"""),-19900.0)</f>
        <v>-19900</v>
      </c>
      <c r="E4672" t="str">
        <f>IFERROR(__xludf.DUMMYFUNCTION("""COMPUTED_VALUE"""),"玉山帳戶")</f>
        <v>玉山帳戶</v>
      </c>
      <c r="G4672" t="str">
        <f>IFERROR(__xludf.DUMMYFUNCTION("""COMPUTED_VALUE"""),"行天宮夏野良栗")</f>
        <v>行天宮夏野良栗</v>
      </c>
      <c r="H4672" s="106" t="str">
        <f t="shared" si="1"/>
        <v>2025-08</v>
      </c>
      <c r="I4672" s="271" t="str">
        <f>IFERROR(__xludf.DUMMYFUNCTION("""COMPUTED_VALUE"""),"鯰魚大大")</f>
        <v>鯰魚大大</v>
      </c>
      <c r="J4672" t="str">
        <f>IFERROR(__xludf.DUMMYFUNCTION("IFS(
  AND(REGEXMATCH(E4672, ""台銀籌備帳戶|玉山帳戶""), REGEXMATCH(C4672, ""薪資"")), ""分潤支出"",
  AND(REGEXMATCH(E4672, ""Ben帳戶|Elsa帳戶|Ben代墊|Ariel代墊|中信銀行共用""), REGEXMATCH(F4672, ""Ben帳戶|Elsa帳戶|Ben代墊|Ariel代墊|中信銀行共用"")), ""內部轉帳(忽略)"",
  AND(E4672&lt;&gt;"""", F4672&lt;&gt;"""", N"&amp;"OT(REGEXMATCH(C4672, ""薪資""))), ""內部轉帳(忽略)"",
  REGEXMATCH(C4672, ""薪資""), ""薪資變動(不計入)"",
  REGEXMATCH(C4672, ""押金""), ""押金往來"",
  AND(E4672&lt;&gt;"""", F4672=""""), ""真實支出"",
  AND(E4672="""", F4672&lt;&gt;""""), ""真實收入"",
  TRUE, ""其他""
)"),"真實支出")</f>
        <v>真實支出</v>
      </c>
      <c r="K4672" s="270">
        <f t="shared" si="2"/>
        <v>-19900</v>
      </c>
      <c r="L4672">
        <f t="shared" si="3"/>
        <v>0</v>
      </c>
    </row>
    <row r="4673">
      <c r="A4673" s="107">
        <f>IFERROR(__xludf.DUMMYFUNCTION("""COMPUTED_VALUE"""),45884.0)</f>
        <v>45884</v>
      </c>
      <c r="B4673" t="str">
        <f>IFERROR(__xludf.DUMMYFUNCTION("""COMPUTED_VALUE"""),"費用 - 匯費 對方行:806 後五碼:26435 (行號: 5)")</f>
        <v>費用 - 匯費 對方行:806 後五碼:26435 (行號: 5)</v>
      </c>
      <c r="C4673" t="str">
        <f>IFERROR(__xludf.DUMMYFUNCTION("""COMPUTED_VALUE"""),"費用 - 匯費")</f>
        <v>費用 - 匯費</v>
      </c>
      <c r="D4673" s="270">
        <f>IFERROR(__xludf.DUMMYFUNCTION("""COMPUTED_VALUE"""),-15.0)</f>
        <v>-15</v>
      </c>
      <c r="E4673" t="str">
        <f>IFERROR(__xludf.DUMMYFUNCTION("""COMPUTED_VALUE"""),"玉山帳戶")</f>
        <v>玉山帳戶</v>
      </c>
      <c r="H4673" s="106" t="str">
        <f t="shared" si="1"/>
        <v>2025-08</v>
      </c>
      <c r="I4673" s="271" t="str">
        <f>IFERROR(__xludf.DUMMYFUNCTION("""COMPUTED_VALUE"""),"鯰魚大大")</f>
        <v>鯰魚大大</v>
      </c>
      <c r="J4673" t="str">
        <f>IFERROR(__xludf.DUMMYFUNCTION("IFS(
  AND(REGEXMATCH(E4673, ""台銀籌備帳戶|玉山帳戶""), REGEXMATCH(C4673, ""薪資"")), ""分潤支出"",
  AND(REGEXMATCH(E4673, ""Ben帳戶|Elsa帳戶|Ben代墊|Ariel代墊|中信銀行共用""), REGEXMATCH(F4673, ""Ben帳戶|Elsa帳戶|Ben代墊|Ariel代墊|中信銀行共用"")), ""內部轉帳(忽略)"",
  AND(E4673&lt;&gt;"""", F4673&lt;&gt;"""", N"&amp;"OT(REGEXMATCH(C4673, ""薪資""))), ""內部轉帳(忽略)"",
  REGEXMATCH(C4673, ""薪資""), ""薪資變動(不計入)"",
  REGEXMATCH(C4673, ""押金""), ""押金往來"",
  AND(E4673&lt;&gt;"""", F4673=""""), ""真實支出"",
  AND(E4673="""", F4673&lt;&gt;""""), ""真實收入"",
  TRUE, ""其他""
)"),"真實支出")</f>
        <v>真實支出</v>
      </c>
      <c r="K4673" s="270">
        <f t="shared" si="2"/>
        <v>-15</v>
      </c>
      <c r="L4673">
        <f t="shared" si="3"/>
        <v>0</v>
      </c>
    </row>
    <row r="4674">
      <c r="A4674" s="107">
        <f>IFERROR(__xludf.DUMMYFUNCTION("""COMPUTED_VALUE"""),45884.0)</f>
        <v>45884</v>
      </c>
      <c r="B4674" t="str">
        <f>IFERROR(__xludf.DUMMYFUNCTION("""COMPUTED_VALUE"""),"[內湖CityLink] [周佳慧] 大租金")</f>
        <v>[內湖CityLink] [周佳慧] 大租金</v>
      </c>
      <c r="C4674" t="str">
        <f>IFERROR(__xludf.DUMMYFUNCTION("""COMPUTED_VALUE"""),"成本 - 大租金")</f>
        <v>成本 - 大租金</v>
      </c>
      <c r="D4674" s="270">
        <f>IFERROR(__xludf.DUMMYFUNCTION("""COMPUTED_VALUE"""),-16500.0)</f>
        <v>-16500</v>
      </c>
      <c r="E4674" t="str">
        <f>IFERROR(__xludf.DUMMYFUNCTION("""COMPUTED_VALUE"""),"玉山帳戶")</f>
        <v>玉山帳戶</v>
      </c>
      <c r="G4674" t="str">
        <f>IFERROR(__xludf.DUMMYFUNCTION("""COMPUTED_VALUE"""),"內湖CityLink")</f>
        <v>內湖CityLink</v>
      </c>
      <c r="H4674" s="106" t="str">
        <f t="shared" si="1"/>
        <v>2025-08</v>
      </c>
      <c r="I4674" s="271" t="str">
        <f>IFERROR(__xludf.DUMMYFUNCTION("""COMPUTED_VALUE"""),"鯰魚大大")</f>
        <v>鯰魚大大</v>
      </c>
      <c r="J4674" t="str">
        <f>IFERROR(__xludf.DUMMYFUNCTION("IFS(
  AND(REGEXMATCH(E4674, ""台銀籌備帳戶|玉山帳戶""), REGEXMATCH(C4674, ""薪資"")), ""分潤支出"",
  AND(REGEXMATCH(E4674, ""Ben帳戶|Elsa帳戶|Ben代墊|Ariel代墊|中信銀行共用""), REGEXMATCH(F4674, ""Ben帳戶|Elsa帳戶|Ben代墊|Ariel代墊|中信銀行共用"")), ""內部轉帳(忽略)"",
  AND(E4674&lt;&gt;"""", F4674&lt;&gt;"""", N"&amp;"OT(REGEXMATCH(C4674, ""薪資""))), ""內部轉帳(忽略)"",
  REGEXMATCH(C4674, ""薪資""), ""薪資變動(不計入)"",
  REGEXMATCH(C4674, ""押金""), ""押金往來"",
  AND(E4674&lt;&gt;"""", F4674=""""), ""真實支出"",
  AND(E4674="""", F4674&lt;&gt;""""), ""真實收入"",
  TRUE, ""其他""
)"),"真實支出")</f>
        <v>真實支出</v>
      </c>
      <c r="K4674" s="270">
        <f t="shared" si="2"/>
        <v>-16500</v>
      </c>
      <c r="L4674">
        <f t="shared" si="3"/>
        <v>0</v>
      </c>
    </row>
    <row r="4675">
      <c r="A4675" s="107">
        <f>IFERROR(__xludf.DUMMYFUNCTION("""COMPUTED_VALUE"""),45887.0)</f>
        <v>45887</v>
      </c>
      <c r="B4675" t="str">
        <f>IFERROR(__xludf.DUMMYFUNCTION("""COMPUTED_VALUE"""),"費用 - 匯費 對方行:812 後五碼:86639 (行號: 6)")</f>
        <v>費用 - 匯費 對方行:812 後五碼:86639 (行號: 6)</v>
      </c>
      <c r="C4675" t="str">
        <f>IFERROR(__xludf.DUMMYFUNCTION("""COMPUTED_VALUE"""),"費用 - 匯費")</f>
        <v>費用 - 匯費</v>
      </c>
      <c r="D4675" s="270">
        <f>IFERROR(__xludf.DUMMYFUNCTION("""COMPUTED_VALUE"""),-15.0)</f>
        <v>-15</v>
      </c>
      <c r="E4675" t="str">
        <f>IFERROR(__xludf.DUMMYFUNCTION("""COMPUTED_VALUE"""),"玉山帳戶")</f>
        <v>玉山帳戶</v>
      </c>
      <c r="H4675" s="106" t="str">
        <f t="shared" si="1"/>
        <v>2025-08</v>
      </c>
      <c r="I4675" s="271" t="str">
        <f>IFERROR(__xludf.DUMMYFUNCTION("""COMPUTED_VALUE"""),"鯰魚大大")</f>
        <v>鯰魚大大</v>
      </c>
      <c r="J4675" t="str">
        <f>IFERROR(__xludf.DUMMYFUNCTION("IFS(
  AND(REGEXMATCH(E4675, ""台銀籌備帳戶|玉山帳戶""), REGEXMATCH(C4675, ""薪資"")), ""分潤支出"",
  AND(REGEXMATCH(E4675, ""Ben帳戶|Elsa帳戶|Ben代墊|Ariel代墊|中信銀行共用""), REGEXMATCH(F4675, ""Ben帳戶|Elsa帳戶|Ben代墊|Ariel代墊|中信銀行共用"")), ""內部轉帳(忽略)"",
  AND(E4675&lt;&gt;"""", F4675&lt;&gt;"""", N"&amp;"OT(REGEXMATCH(C4675, ""薪資""))), ""內部轉帳(忽略)"",
  REGEXMATCH(C4675, ""薪資""), ""薪資變動(不計入)"",
  REGEXMATCH(C4675, ""押金""), ""押金往來"",
  AND(E4675&lt;&gt;"""", F4675=""""), ""真實支出"",
  AND(E4675="""", F4675&lt;&gt;""""), ""真實收入"",
  TRUE, ""其他""
)"),"真實支出")</f>
        <v>真實支出</v>
      </c>
      <c r="K4675" s="270">
        <f t="shared" si="2"/>
        <v>-15</v>
      </c>
      <c r="L4675">
        <f t="shared" si="3"/>
        <v>0</v>
      </c>
    </row>
    <row r="4676">
      <c r="A4676" s="107">
        <f>IFERROR(__xludf.DUMMYFUNCTION("""COMPUTED_VALUE"""),45887.0)</f>
        <v>45887</v>
      </c>
      <c r="B4676" t="str">
        <f>IFERROR(__xludf.DUMMYFUNCTION("""COMPUTED_VALUE"""),"內湖cITY水電螢光 【未分類支出】")</f>
        <v>內湖cITY水電螢光 【未分類支出】</v>
      </c>
      <c r="C4676" t="str">
        <f>IFERROR(__xludf.DUMMYFUNCTION("""COMPUTED_VALUE"""),"成本 - 進場前裝潢費")</f>
        <v>成本 - 進場前裝潢費</v>
      </c>
      <c r="D4676" s="270">
        <f>IFERROR(__xludf.DUMMYFUNCTION("""COMPUTED_VALUE"""),-3340.0)</f>
        <v>-3340</v>
      </c>
      <c r="E4676" t="str">
        <f>IFERROR(__xludf.DUMMYFUNCTION("""COMPUTED_VALUE"""),"玉山帳戶")</f>
        <v>玉山帳戶</v>
      </c>
      <c r="G4676" t="str">
        <f>IFERROR(__xludf.DUMMYFUNCTION("""COMPUTED_VALUE"""),"內湖CityLink")</f>
        <v>內湖CityLink</v>
      </c>
      <c r="H4676" s="106" t="str">
        <f t="shared" si="1"/>
        <v>2025-08</v>
      </c>
      <c r="I4676" s="271" t="str">
        <f>IFERROR(__xludf.DUMMYFUNCTION("""COMPUTED_VALUE"""),"鯰魚大大")</f>
        <v>鯰魚大大</v>
      </c>
      <c r="J4676" t="str">
        <f>IFERROR(__xludf.DUMMYFUNCTION("IFS(
  AND(REGEXMATCH(E4676, ""台銀籌備帳戶|玉山帳戶""), REGEXMATCH(C4676, ""薪資"")), ""分潤支出"",
  AND(REGEXMATCH(E4676, ""Ben帳戶|Elsa帳戶|Ben代墊|Ariel代墊|中信銀行共用""), REGEXMATCH(F4676, ""Ben帳戶|Elsa帳戶|Ben代墊|Ariel代墊|中信銀行共用"")), ""內部轉帳(忽略)"",
  AND(E4676&lt;&gt;"""", F4676&lt;&gt;"""", N"&amp;"OT(REGEXMATCH(C4676, ""薪資""))), ""內部轉帳(忽略)"",
  REGEXMATCH(C4676, ""薪資""), ""薪資變動(不計入)"",
  REGEXMATCH(C4676, ""押金""), ""押金往來"",
  AND(E4676&lt;&gt;"""", F4676=""""), ""真實支出"",
  AND(E4676="""", F4676&lt;&gt;""""), ""真實收入"",
  TRUE, ""其他""
)"),"真實支出")</f>
        <v>真實支出</v>
      </c>
      <c r="K4676" s="270">
        <f t="shared" si="2"/>
        <v>-3340</v>
      </c>
      <c r="L4676">
        <f t="shared" si="3"/>
        <v>0</v>
      </c>
    </row>
    <row r="4677">
      <c r="A4677" s="107">
        <f>IFERROR(__xludf.DUMMYFUNCTION("""COMPUTED_VALUE"""),45887.0)</f>
        <v>45887</v>
      </c>
      <c r="B4677" t="str">
        <f>IFERROR(__xludf.DUMMYFUNCTION("""COMPUTED_VALUE"""),"費用 - 匯費 對方行:812 後五碼:16111 (行號: 7)")</f>
        <v>費用 - 匯費 對方行:812 後五碼:16111 (行號: 7)</v>
      </c>
      <c r="C4677" t="str">
        <f>IFERROR(__xludf.DUMMYFUNCTION("""COMPUTED_VALUE"""),"費用 - 匯費")</f>
        <v>費用 - 匯費</v>
      </c>
      <c r="D4677" s="270">
        <f>IFERROR(__xludf.DUMMYFUNCTION("""COMPUTED_VALUE"""),-15.0)</f>
        <v>-15</v>
      </c>
      <c r="E4677" t="str">
        <f>IFERROR(__xludf.DUMMYFUNCTION("""COMPUTED_VALUE"""),"玉山帳戶")</f>
        <v>玉山帳戶</v>
      </c>
      <c r="H4677" s="106" t="str">
        <f t="shared" si="1"/>
        <v>2025-08</v>
      </c>
      <c r="I4677" s="271" t="str">
        <f>IFERROR(__xludf.DUMMYFUNCTION("""COMPUTED_VALUE"""),"鯰魚大大")</f>
        <v>鯰魚大大</v>
      </c>
      <c r="J4677" t="str">
        <f>IFERROR(__xludf.DUMMYFUNCTION("IFS(
  AND(REGEXMATCH(E4677, ""台銀籌備帳戶|玉山帳戶""), REGEXMATCH(C4677, ""薪資"")), ""分潤支出"",
  AND(REGEXMATCH(E4677, ""Ben帳戶|Elsa帳戶|Ben代墊|Ariel代墊|中信銀行共用""), REGEXMATCH(F4677, ""Ben帳戶|Elsa帳戶|Ben代墊|Ariel代墊|中信銀行共用"")), ""內部轉帳(忽略)"",
  AND(E4677&lt;&gt;"""", F4677&lt;&gt;"""", N"&amp;"OT(REGEXMATCH(C4677, ""薪資""))), ""內部轉帳(忽略)"",
  REGEXMATCH(C4677, ""薪資""), ""薪資變動(不計入)"",
  REGEXMATCH(C4677, ""押金""), ""押金往來"",
  AND(E4677&lt;&gt;"""", F4677=""""), ""真實支出"",
  AND(E4677="""", F4677&lt;&gt;""""), ""真實收入"",
  TRUE, ""其他""
)"),"真實支出")</f>
        <v>真實支出</v>
      </c>
      <c r="K4677" s="270">
        <f t="shared" si="2"/>
        <v>-15</v>
      </c>
      <c r="L4677">
        <f t="shared" si="3"/>
        <v>0</v>
      </c>
    </row>
    <row r="4678">
      <c r="A4678" s="107">
        <f>IFERROR(__xludf.DUMMYFUNCTION("""COMPUTED_VALUE"""),45887.0)</f>
        <v>45887</v>
      </c>
      <c r="B4678" t="str">
        <f>IFERROR(__xludf.DUMMYFUNCTION("""COMPUTED_VALUE"""),"劍潭清潔費 【未分類支出】")</f>
        <v>劍潭清潔費 【未分類支出】</v>
      </c>
      <c r="C4678" t="str">
        <f>IFERROR(__xludf.DUMMYFUNCTION("""COMPUTED_VALUE"""),"成本 - 固定開銷(網路代收清潔)")</f>
        <v>成本 - 固定開銷(網路代收清潔)</v>
      </c>
      <c r="D4678" s="270">
        <f>IFERROR(__xludf.DUMMYFUNCTION("""COMPUTED_VALUE"""),-595.0)</f>
        <v>-595</v>
      </c>
      <c r="E4678" t="str">
        <f>IFERROR(__xludf.DUMMYFUNCTION("""COMPUTED_VALUE"""),"玉山帳戶")</f>
        <v>玉山帳戶</v>
      </c>
      <c r="G4678" t="str">
        <f>IFERROR(__xludf.DUMMYFUNCTION("""COMPUTED_VALUE"""),"士林和豐")</f>
        <v>士林和豐</v>
      </c>
      <c r="H4678" s="106" t="str">
        <f t="shared" si="1"/>
        <v>2025-08</v>
      </c>
      <c r="I4678" s="271" t="str">
        <f>IFERROR(__xludf.DUMMYFUNCTION("""COMPUTED_VALUE"""),"鯰魚大大")</f>
        <v>鯰魚大大</v>
      </c>
      <c r="J4678" t="str">
        <f>IFERROR(__xludf.DUMMYFUNCTION("IFS(
  AND(REGEXMATCH(E4678, ""台銀籌備帳戶|玉山帳戶""), REGEXMATCH(C4678, ""薪資"")), ""分潤支出"",
  AND(REGEXMATCH(E4678, ""Ben帳戶|Elsa帳戶|Ben代墊|Ariel代墊|中信銀行共用""), REGEXMATCH(F4678, ""Ben帳戶|Elsa帳戶|Ben代墊|Ariel代墊|中信銀行共用"")), ""內部轉帳(忽略)"",
  AND(E4678&lt;&gt;"""", F4678&lt;&gt;"""", N"&amp;"OT(REGEXMATCH(C4678, ""薪資""))), ""內部轉帳(忽略)"",
  REGEXMATCH(C4678, ""薪資""), ""薪資變動(不計入)"",
  REGEXMATCH(C4678, ""押金""), ""押金往來"",
  AND(E4678&lt;&gt;"""", F4678=""""), ""真實支出"",
  AND(E4678="""", F4678&lt;&gt;""""), ""真實收入"",
  TRUE, ""其他""
)"),"真實支出")</f>
        <v>真實支出</v>
      </c>
      <c r="K4678" s="270">
        <f t="shared" si="2"/>
        <v>-595</v>
      </c>
      <c r="L4678">
        <f t="shared" si="3"/>
        <v>0</v>
      </c>
    </row>
    <row r="4679">
      <c r="A4679" s="107">
        <f>IFERROR(__xludf.DUMMYFUNCTION("""COMPUTED_VALUE"""),45889.0)</f>
        <v>45889</v>
      </c>
      <c r="B4679" t="str">
        <f>IFERROR(__xludf.DUMMYFUNCTION("""COMPUTED_VALUE"""),"費用 - 匯費 對方行:822 後五碼:33337 (行號: 8)")</f>
        <v>費用 - 匯費 對方行:822 後五碼:33337 (行號: 8)</v>
      </c>
      <c r="C4679" t="str">
        <f>IFERROR(__xludf.DUMMYFUNCTION("""COMPUTED_VALUE"""),"費用 - 匯費")</f>
        <v>費用 - 匯費</v>
      </c>
      <c r="D4679" s="270">
        <f>IFERROR(__xludf.DUMMYFUNCTION("""COMPUTED_VALUE"""),-15.0)</f>
        <v>-15</v>
      </c>
      <c r="E4679" t="str">
        <f>IFERROR(__xludf.DUMMYFUNCTION("""COMPUTED_VALUE"""),"玉山帳戶")</f>
        <v>玉山帳戶</v>
      </c>
      <c r="H4679" s="106" t="str">
        <f t="shared" si="1"/>
        <v>2025-08</v>
      </c>
      <c r="I4679" s="271" t="str">
        <f>IFERROR(__xludf.DUMMYFUNCTION("""COMPUTED_VALUE"""),"鯰魚大大")</f>
        <v>鯰魚大大</v>
      </c>
      <c r="J4679" t="str">
        <f>IFERROR(__xludf.DUMMYFUNCTION("IFS(
  AND(REGEXMATCH(E4679, ""台銀籌備帳戶|玉山帳戶""), REGEXMATCH(C4679, ""薪資"")), ""分潤支出"",
  AND(REGEXMATCH(E4679, ""Ben帳戶|Elsa帳戶|Ben代墊|Ariel代墊|中信銀行共用""), REGEXMATCH(F4679, ""Ben帳戶|Elsa帳戶|Ben代墊|Ariel代墊|中信銀行共用"")), ""內部轉帳(忽略)"",
  AND(E4679&lt;&gt;"""", F4679&lt;&gt;"""", N"&amp;"OT(REGEXMATCH(C4679, ""薪資""))), ""內部轉帳(忽略)"",
  REGEXMATCH(C4679, ""薪資""), ""薪資變動(不計入)"",
  REGEXMATCH(C4679, ""押金""), ""押金往來"",
  AND(E4679&lt;&gt;"""", F4679=""""), ""真實支出"",
  AND(E4679="""", F4679&lt;&gt;""""), ""真實收入"",
  TRUE, ""其他""
)"),"真實支出")</f>
        <v>真實支出</v>
      </c>
      <c r="K4679" s="270">
        <f t="shared" si="2"/>
        <v>-15</v>
      </c>
      <c r="L4679">
        <f t="shared" si="3"/>
        <v>0</v>
      </c>
    </row>
    <row r="4680">
      <c r="A4680" s="107">
        <f>IFERROR(__xludf.DUMMYFUNCTION("""COMPUTED_VALUE"""),45889.0)</f>
        <v>45889</v>
      </c>
      <c r="B4680" t="str">
        <f>IFERROR(__xludf.DUMMYFUNCTION("""COMPUTED_VALUE"""),"To33337 【未分類支出】")</f>
        <v>To33337 【未分類支出】</v>
      </c>
      <c r="C4680" t="str">
        <f>IFERROR(__xludf.DUMMYFUNCTION("""COMPUTED_VALUE"""),"費用 - Salary 薪資")</f>
        <v>費用 - Salary 薪資</v>
      </c>
      <c r="D4680" s="270">
        <f>IFERROR(__xludf.DUMMYFUNCTION("""COMPUTED_VALUE"""),-100000.0)</f>
        <v>-100000</v>
      </c>
      <c r="E4680" t="str">
        <f>IFERROR(__xludf.DUMMYFUNCTION("""COMPUTED_VALUE"""),"玉山帳戶")</f>
        <v>玉山帳戶</v>
      </c>
      <c r="F4680" t="str">
        <f>IFERROR(__xludf.DUMMYFUNCTION("""COMPUTED_VALUE"""),"中信銀行共用")</f>
        <v>中信銀行共用</v>
      </c>
      <c r="H4680" s="106" t="str">
        <f t="shared" si="1"/>
        <v>2025-08</v>
      </c>
      <c r="I4680" s="271" t="str">
        <f>IFERROR(__xludf.DUMMYFUNCTION("""COMPUTED_VALUE"""),"鯰魚大大")</f>
        <v>鯰魚大大</v>
      </c>
      <c r="J4680" t="str">
        <f>IFERROR(__xludf.DUMMYFUNCTION("IFS(
  AND(REGEXMATCH(E4680, ""台銀籌備帳戶|玉山帳戶""), REGEXMATCH(C4680, ""薪資"")), ""分潤支出"",
  AND(REGEXMATCH(E4680, ""Ben帳戶|Elsa帳戶|Ben代墊|Ariel代墊|中信銀行共用""), REGEXMATCH(F4680, ""Ben帳戶|Elsa帳戶|Ben代墊|Ariel代墊|中信銀行共用"")), ""內部轉帳(忽略)"",
  AND(E4680&lt;&gt;"""", F4680&lt;&gt;"""", N"&amp;"OT(REGEXMATCH(C4680, ""薪資""))), ""內部轉帳(忽略)"",
  REGEXMATCH(C4680, ""薪資""), ""薪資變動(不計入)"",
  REGEXMATCH(C4680, ""押金""), ""押金往來"",
  AND(E4680&lt;&gt;"""", F4680=""""), ""真實支出"",
  AND(E4680="""", F4680&lt;&gt;""""), ""真實收入"",
  TRUE, ""其他""
)"),"分潤支出")</f>
        <v>分潤支出</v>
      </c>
      <c r="K4680">
        <f t="shared" si="2"/>
        <v>0</v>
      </c>
      <c r="L4680">
        <f t="shared" si="3"/>
        <v>100000</v>
      </c>
    </row>
    <row r="4681">
      <c r="A4681" s="107">
        <f>IFERROR(__xludf.DUMMYFUNCTION("""COMPUTED_VALUE"""),45891.0)</f>
        <v>45891</v>
      </c>
      <c r="B4681" t="str">
        <f>IFERROR(__xludf.DUMMYFUNCTION("""COMPUTED_VALUE"""),"費用 - 匯費 對方行:822 後五碼:68588 (行號: 9)")</f>
        <v>費用 - 匯費 對方行:822 後五碼:68588 (行號: 9)</v>
      </c>
      <c r="C4681" t="str">
        <f>IFERROR(__xludf.DUMMYFUNCTION("""COMPUTED_VALUE"""),"費用 - 匯費")</f>
        <v>費用 - 匯費</v>
      </c>
      <c r="D4681" s="270">
        <f>IFERROR(__xludf.DUMMYFUNCTION("""COMPUTED_VALUE"""),-15.0)</f>
        <v>-15</v>
      </c>
      <c r="E4681" t="str">
        <f>IFERROR(__xludf.DUMMYFUNCTION("""COMPUTED_VALUE"""),"玉山帳戶")</f>
        <v>玉山帳戶</v>
      </c>
      <c r="H4681" s="106" t="str">
        <f t="shared" si="1"/>
        <v>2025-08</v>
      </c>
      <c r="I4681" s="271" t="str">
        <f>IFERROR(__xludf.DUMMYFUNCTION("""COMPUTED_VALUE"""),"鯰魚大大")</f>
        <v>鯰魚大大</v>
      </c>
      <c r="J4681" t="str">
        <f>IFERROR(__xludf.DUMMYFUNCTION("IFS(
  AND(REGEXMATCH(E4681, ""台銀籌備帳戶|玉山帳戶""), REGEXMATCH(C4681, ""薪資"")), ""分潤支出"",
  AND(REGEXMATCH(E4681, ""Ben帳戶|Elsa帳戶|Ben代墊|Ariel代墊|中信銀行共用""), REGEXMATCH(F4681, ""Ben帳戶|Elsa帳戶|Ben代墊|Ariel代墊|中信銀行共用"")), ""內部轉帳(忽略)"",
  AND(E4681&lt;&gt;"""", F4681&lt;&gt;"""", N"&amp;"OT(REGEXMATCH(C4681, ""薪資""))), ""內部轉帳(忽略)"",
  REGEXMATCH(C4681, ""薪資""), ""薪資變動(不計入)"",
  REGEXMATCH(C4681, ""押金""), ""押金往來"",
  AND(E4681&lt;&gt;"""", F4681=""""), ""真實支出"",
  AND(E4681="""", F4681&lt;&gt;""""), ""真實收入"",
  TRUE, ""其他""
)"),"真實支出")</f>
        <v>真實支出</v>
      </c>
      <c r="K4681" s="270">
        <f t="shared" si="2"/>
        <v>-15</v>
      </c>
      <c r="L4681">
        <f t="shared" si="3"/>
        <v>0</v>
      </c>
    </row>
    <row r="4682">
      <c r="A4682" s="107">
        <f>IFERROR(__xludf.DUMMYFUNCTION("""COMPUTED_VALUE"""),45891.0)</f>
        <v>45891</v>
      </c>
      <c r="B4682" t="str">
        <f>IFERROR(__xludf.DUMMYFUNCTION("""COMPUTED_VALUE"""),"內湖CITY水費 【未分類支出】")</f>
        <v>內湖CITY水費 【未分類支出】</v>
      </c>
      <c r="C4682" t="str">
        <f>IFERROR(__xludf.DUMMYFUNCTION("""COMPUTED_VALUE"""),"成本 - 固定開銷(網路代收清潔)")</f>
        <v>成本 - 固定開銷(網路代收清潔)</v>
      </c>
      <c r="D4682" s="270">
        <f>IFERROR(__xludf.DUMMYFUNCTION("""COMPUTED_VALUE"""),-68.0)</f>
        <v>-68</v>
      </c>
      <c r="E4682" t="str">
        <f>IFERROR(__xludf.DUMMYFUNCTION("""COMPUTED_VALUE"""),"玉山帳戶")</f>
        <v>玉山帳戶</v>
      </c>
      <c r="G4682" t="str">
        <f>IFERROR(__xludf.DUMMYFUNCTION("""COMPUTED_VALUE"""),"內湖CityLink")</f>
        <v>內湖CityLink</v>
      </c>
      <c r="H4682" s="106" t="str">
        <f t="shared" si="1"/>
        <v>2025-08</v>
      </c>
      <c r="I4682" s="271" t="str">
        <f>IFERROR(__xludf.DUMMYFUNCTION("""COMPUTED_VALUE"""),"鯰魚大大")</f>
        <v>鯰魚大大</v>
      </c>
      <c r="J4682" t="str">
        <f>IFERROR(__xludf.DUMMYFUNCTION("IFS(
  AND(REGEXMATCH(E4682, ""台銀籌備帳戶|玉山帳戶""), REGEXMATCH(C4682, ""薪資"")), ""分潤支出"",
  AND(REGEXMATCH(E4682, ""Ben帳戶|Elsa帳戶|Ben代墊|Ariel代墊|中信銀行共用""), REGEXMATCH(F4682, ""Ben帳戶|Elsa帳戶|Ben代墊|Ariel代墊|中信銀行共用"")), ""內部轉帳(忽略)"",
  AND(E4682&lt;&gt;"""", F4682&lt;&gt;"""", N"&amp;"OT(REGEXMATCH(C4682, ""薪資""))), ""內部轉帳(忽略)"",
  REGEXMATCH(C4682, ""薪資""), ""薪資變動(不計入)"",
  REGEXMATCH(C4682, ""押金""), ""押金往來"",
  AND(E4682&lt;&gt;"""", F4682=""""), ""真實支出"",
  AND(E4682="""", F4682&lt;&gt;""""), ""真實收入"",
  TRUE, ""其他""
)"),"真實支出")</f>
        <v>真實支出</v>
      </c>
      <c r="K4682" s="270">
        <f t="shared" si="2"/>
        <v>-68</v>
      </c>
      <c r="L4682">
        <f t="shared" si="3"/>
        <v>0</v>
      </c>
    </row>
    <row r="4683">
      <c r="A4683" s="107">
        <f>IFERROR(__xludf.DUMMYFUNCTION("""COMPUTED_VALUE"""),45901.0)</f>
        <v>45901</v>
      </c>
      <c r="B4683" t="str">
        <f>IFERROR(__xludf.DUMMYFUNCTION("""COMPUTED_VALUE"""),"費用 - 匯費 對方行:013 後五碼:78744 (行號: 19)")</f>
        <v>費用 - 匯費 對方行:013 後五碼:78744 (行號: 19)</v>
      </c>
      <c r="C4683" t="str">
        <f>IFERROR(__xludf.DUMMYFUNCTION("""COMPUTED_VALUE"""),"費用 - 匯費")</f>
        <v>費用 - 匯費</v>
      </c>
      <c r="D4683" s="270">
        <f>IFERROR(__xludf.DUMMYFUNCTION("""COMPUTED_VALUE"""),-15.0)</f>
        <v>-15</v>
      </c>
      <c r="E4683" t="str">
        <f>IFERROR(__xludf.DUMMYFUNCTION("""COMPUTED_VALUE"""),"玉山帳戶")</f>
        <v>玉山帳戶</v>
      </c>
      <c r="H4683" s="106" t="str">
        <f t="shared" si="1"/>
        <v>2025-09</v>
      </c>
      <c r="I4683" s="271" t="str">
        <f>IFERROR(__xludf.DUMMYFUNCTION("""COMPUTED_VALUE"""),"鯰魚大大")</f>
        <v>鯰魚大大</v>
      </c>
      <c r="J4683" t="str">
        <f>IFERROR(__xludf.DUMMYFUNCTION("IFS(
  AND(REGEXMATCH(E4683, ""台銀籌備帳戶|玉山帳戶""), REGEXMATCH(C4683, ""薪資"")), ""分潤支出"",
  AND(REGEXMATCH(E4683, ""Ben帳戶|Elsa帳戶|Ben代墊|Ariel代墊|中信銀行共用""), REGEXMATCH(F4683, ""Ben帳戶|Elsa帳戶|Ben代墊|Ariel代墊|中信銀行共用"")), ""內部轉帳(忽略)"",
  AND(E4683&lt;&gt;"""", F4683&lt;&gt;"""", N"&amp;"OT(REGEXMATCH(C4683, ""薪資""))), ""內部轉帳(忽略)"",
  REGEXMATCH(C4683, ""薪資""), ""薪資變動(不計入)"",
  REGEXMATCH(C4683, ""押金""), ""押金往來"",
  AND(E4683&lt;&gt;"""", F4683=""""), ""真實支出"",
  AND(E4683="""", F4683&lt;&gt;""""), ""真實收入"",
  TRUE, ""其他""
)"),"真實支出")</f>
        <v>真實支出</v>
      </c>
      <c r="K4683" s="270">
        <f t="shared" si="2"/>
        <v>-15</v>
      </c>
      <c r="L4683">
        <f t="shared" si="3"/>
        <v>0</v>
      </c>
    </row>
    <row r="4684">
      <c r="A4684" s="107">
        <f>IFERROR(__xludf.DUMMYFUNCTION("""COMPUTED_VALUE"""),45901.0)</f>
        <v>45901</v>
      </c>
      <c r="B4684" t="str">
        <f>IFERROR(__xludf.DUMMYFUNCTION("""COMPUTED_VALUE"""),"[士林和豐] [楊政偉] 大租金")</f>
        <v>[士林和豐] [楊政偉] 大租金</v>
      </c>
      <c r="C4684" t="str">
        <f>IFERROR(__xludf.DUMMYFUNCTION("""COMPUTED_VALUE"""),"成本 - 大租金")</f>
        <v>成本 - 大租金</v>
      </c>
      <c r="D4684" s="270">
        <f>IFERROR(__xludf.DUMMYFUNCTION("""COMPUTED_VALUE"""),-14400.0)</f>
        <v>-14400</v>
      </c>
      <c r="E4684" t="str">
        <f>IFERROR(__xludf.DUMMYFUNCTION("""COMPUTED_VALUE"""),"玉山帳戶")</f>
        <v>玉山帳戶</v>
      </c>
      <c r="G4684" t="str">
        <f>IFERROR(__xludf.DUMMYFUNCTION("""COMPUTED_VALUE"""),"士林和豐")</f>
        <v>士林和豐</v>
      </c>
      <c r="H4684" s="106" t="str">
        <f t="shared" si="1"/>
        <v>2025-09</v>
      </c>
      <c r="I4684" s="271" t="str">
        <f>IFERROR(__xludf.DUMMYFUNCTION("""COMPUTED_VALUE"""),"鯰魚大大")</f>
        <v>鯰魚大大</v>
      </c>
      <c r="J4684" t="str">
        <f>IFERROR(__xludf.DUMMYFUNCTION("IFS(
  AND(REGEXMATCH(E4684, ""台銀籌備帳戶|玉山帳戶""), REGEXMATCH(C4684, ""薪資"")), ""分潤支出"",
  AND(REGEXMATCH(E4684, ""Ben帳戶|Elsa帳戶|Ben代墊|Ariel代墊|中信銀行共用""), REGEXMATCH(F4684, ""Ben帳戶|Elsa帳戶|Ben代墊|Ariel代墊|中信銀行共用"")), ""內部轉帳(忽略)"",
  AND(E4684&lt;&gt;"""", F4684&lt;&gt;"""", N"&amp;"OT(REGEXMATCH(C4684, ""薪資""))), ""內部轉帳(忽略)"",
  REGEXMATCH(C4684, ""薪資""), ""薪資變動(不計入)"",
  REGEXMATCH(C4684, ""押金""), ""押金往來"",
  AND(E4684&lt;&gt;"""", F4684=""""), ""真實支出"",
  AND(E4684="""", F4684&lt;&gt;""""), ""真實收入"",
  TRUE, ""其他""
)"),"真實支出")</f>
        <v>真實支出</v>
      </c>
      <c r="K4684" s="270">
        <f t="shared" si="2"/>
        <v>-14400</v>
      </c>
      <c r="L4684">
        <f t="shared" si="3"/>
        <v>0</v>
      </c>
    </row>
    <row r="4685">
      <c r="A4685" s="107">
        <f>IFERROR(__xludf.DUMMYFUNCTION("""COMPUTED_VALUE"""),45901.0)</f>
        <v>45901</v>
      </c>
      <c r="B4685" t="str">
        <f>IFERROR(__xludf.DUMMYFUNCTION("""COMPUTED_VALUE"""),"費用 - 匯費 對方行:012 後五碼:68447 (行號: 20)")</f>
        <v>費用 - 匯費 對方行:012 後五碼:68447 (行號: 20)</v>
      </c>
      <c r="C4685" t="str">
        <f>IFERROR(__xludf.DUMMYFUNCTION("""COMPUTED_VALUE"""),"費用 - 匯費")</f>
        <v>費用 - 匯費</v>
      </c>
      <c r="D4685" s="270">
        <f>IFERROR(__xludf.DUMMYFUNCTION("""COMPUTED_VALUE"""),-15.0)</f>
        <v>-15</v>
      </c>
      <c r="E4685" t="str">
        <f>IFERROR(__xludf.DUMMYFUNCTION("""COMPUTED_VALUE"""),"玉山帳戶")</f>
        <v>玉山帳戶</v>
      </c>
      <c r="H4685" s="106" t="str">
        <f t="shared" si="1"/>
        <v>2025-09</v>
      </c>
      <c r="I4685" s="271" t="str">
        <f>IFERROR(__xludf.DUMMYFUNCTION("""COMPUTED_VALUE"""),"鯰魚大大")</f>
        <v>鯰魚大大</v>
      </c>
      <c r="J4685" t="str">
        <f>IFERROR(__xludf.DUMMYFUNCTION("IFS(
  AND(REGEXMATCH(E4685, ""台銀籌備帳戶|玉山帳戶""), REGEXMATCH(C4685, ""薪資"")), ""分潤支出"",
  AND(REGEXMATCH(E4685, ""Ben帳戶|Elsa帳戶|Ben代墊|Ariel代墊|中信銀行共用""), REGEXMATCH(F4685, ""Ben帳戶|Elsa帳戶|Ben代墊|Ariel代墊|中信銀行共用"")), ""內部轉帳(忽略)"",
  AND(E4685&lt;&gt;"""", F4685&lt;&gt;"""", N"&amp;"OT(REGEXMATCH(C4685, ""薪資""))), ""內部轉帳(忽略)"",
  REGEXMATCH(C4685, ""薪資""), ""薪資變動(不計入)"",
  REGEXMATCH(C4685, ""押金""), ""押金往來"",
  AND(E4685&lt;&gt;"""", F4685=""""), ""真實支出"",
  AND(E4685="""", F4685&lt;&gt;""""), ""真實收入"",
  TRUE, ""其他""
)"),"真實支出")</f>
        <v>真實支出</v>
      </c>
      <c r="K4685" s="270">
        <f t="shared" si="2"/>
        <v>-15</v>
      </c>
      <c r="L4685">
        <f t="shared" si="3"/>
        <v>0</v>
      </c>
    </row>
    <row r="4686">
      <c r="A4686" s="107">
        <f>IFERROR(__xludf.DUMMYFUNCTION("""COMPUTED_VALUE"""),45901.0)</f>
        <v>45901</v>
      </c>
      <c r="B4686" t="str">
        <f>IFERROR(__xludf.DUMMYFUNCTION("""COMPUTED_VALUE"""),"[行天宮夏野良栗] [沈蕙萱] 大租金")</f>
        <v>[行天宮夏野良栗] [沈蕙萱] 大租金</v>
      </c>
      <c r="C4686" t="str">
        <f>IFERROR(__xludf.DUMMYFUNCTION("""COMPUTED_VALUE"""),"成本 - 大租金")</f>
        <v>成本 - 大租金</v>
      </c>
      <c r="D4686" s="270">
        <f>IFERROR(__xludf.DUMMYFUNCTION("""COMPUTED_VALUE"""),-19900.0)</f>
        <v>-19900</v>
      </c>
      <c r="E4686" t="str">
        <f>IFERROR(__xludf.DUMMYFUNCTION("""COMPUTED_VALUE"""),"玉山帳戶")</f>
        <v>玉山帳戶</v>
      </c>
      <c r="G4686" t="str">
        <f>IFERROR(__xludf.DUMMYFUNCTION("""COMPUTED_VALUE"""),"行天宮夏野良栗")</f>
        <v>行天宮夏野良栗</v>
      </c>
      <c r="H4686" s="106" t="str">
        <f t="shared" si="1"/>
        <v>2025-09</v>
      </c>
      <c r="I4686" s="271" t="str">
        <f>IFERROR(__xludf.DUMMYFUNCTION("""COMPUTED_VALUE"""),"鯰魚大大")</f>
        <v>鯰魚大大</v>
      </c>
      <c r="J4686" t="str">
        <f>IFERROR(__xludf.DUMMYFUNCTION("IFS(
  AND(REGEXMATCH(E4686, ""台銀籌備帳戶|玉山帳戶""), REGEXMATCH(C4686, ""薪資"")), ""分潤支出"",
  AND(REGEXMATCH(E4686, ""Ben帳戶|Elsa帳戶|Ben代墊|Ariel代墊|中信銀行共用""), REGEXMATCH(F4686, ""Ben帳戶|Elsa帳戶|Ben代墊|Ariel代墊|中信銀行共用"")), ""內部轉帳(忽略)"",
  AND(E4686&lt;&gt;"""", F4686&lt;&gt;"""", N"&amp;"OT(REGEXMATCH(C4686, ""薪資""))), ""內部轉帳(忽略)"",
  REGEXMATCH(C4686, ""薪資""), ""薪資變動(不計入)"",
  REGEXMATCH(C4686, ""押金""), ""押金往來"",
  AND(E4686&lt;&gt;"""", F4686=""""), ""真實支出"",
  AND(E4686="""", F4686&lt;&gt;""""), ""真實收入"",
  TRUE, ""其他""
)"),"真實支出")</f>
        <v>真實支出</v>
      </c>
      <c r="K4686" s="270">
        <f t="shared" si="2"/>
        <v>-19900</v>
      </c>
      <c r="L4686">
        <f t="shared" si="3"/>
        <v>0</v>
      </c>
    </row>
    <row r="4687">
      <c r="A4687" s="107">
        <f>IFERROR(__xludf.DUMMYFUNCTION("""COMPUTED_VALUE"""),45901.0)</f>
        <v>45901</v>
      </c>
      <c r="B4687" t="str">
        <f>IFERROR(__xludf.DUMMYFUNCTION("""COMPUTED_VALUE"""),"費用 - 匯費 對方行:012 後五碼:53048 (行號: 21)")</f>
        <v>費用 - 匯費 對方行:012 後五碼:53048 (行號: 21)</v>
      </c>
      <c r="C4687" t="str">
        <f>IFERROR(__xludf.DUMMYFUNCTION("""COMPUTED_VALUE"""),"費用 - 匯費")</f>
        <v>費用 - 匯費</v>
      </c>
      <c r="D4687" s="270">
        <f>IFERROR(__xludf.DUMMYFUNCTION("""COMPUTED_VALUE"""),-15.0)</f>
        <v>-15</v>
      </c>
      <c r="E4687" t="str">
        <f>IFERROR(__xludf.DUMMYFUNCTION("""COMPUTED_VALUE"""),"玉山帳戶")</f>
        <v>玉山帳戶</v>
      </c>
      <c r="H4687" s="106" t="str">
        <f t="shared" si="1"/>
        <v>2025-09</v>
      </c>
      <c r="I4687" s="271" t="str">
        <f>IFERROR(__xludf.DUMMYFUNCTION("""COMPUTED_VALUE"""),"鯰魚大大")</f>
        <v>鯰魚大大</v>
      </c>
      <c r="J4687" t="str">
        <f>IFERROR(__xludf.DUMMYFUNCTION("IFS(
  AND(REGEXMATCH(E4687, ""台銀籌備帳戶|玉山帳戶""), REGEXMATCH(C4687, ""薪資"")), ""分潤支出"",
  AND(REGEXMATCH(E4687, ""Ben帳戶|Elsa帳戶|Ben代墊|Ariel代墊|中信銀行共用""), REGEXMATCH(F4687, ""Ben帳戶|Elsa帳戶|Ben代墊|Ariel代墊|中信銀行共用"")), ""內部轉帳(忽略)"",
  AND(E4687&lt;&gt;"""", F4687&lt;&gt;"""", N"&amp;"OT(REGEXMATCH(C4687, ""薪資""))), ""內部轉帳(忽略)"",
  REGEXMATCH(C4687, ""薪資""), ""薪資變動(不計入)"",
  REGEXMATCH(C4687, ""押金""), ""押金往來"",
  AND(E4687&lt;&gt;"""", F4687=""""), ""真實支出"",
  AND(E4687="""", F4687&lt;&gt;""""), ""真實收入"",
  TRUE, ""其他""
)"),"真實支出")</f>
        <v>真實支出</v>
      </c>
      <c r="K4687" s="270">
        <f t="shared" si="2"/>
        <v>-15</v>
      </c>
      <c r="L4687">
        <f t="shared" si="3"/>
        <v>0</v>
      </c>
    </row>
    <row r="4688">
      <c r="A4688" s="107">
        <f>IFERROR(__xludf.DUMMYFUNCTION("""COMPUTED_VALUE"""),45901.0)</f>
        <v>45901</v>
      </c>
      <c r="B4688" t="str">
        <f>IFERROR(__xludf.DUMMYFUNCTION("""COMPUTED_VALUE"""),"[內湖秘境] [周佳慧] 大租金")</f>
        <v>[內湖秘境] [周佳慧] 大租金</v>
      </c>
      <c r="C4688" t="str">
        <f>IFERROR(__xludf.DUMMYFUNCTION("""COMPUTED_VALUE"""),"成本 - 大租金")</f>
        <v>成本 - 大租金</v>
      </c>
      <c r="D4688" s="270">
        <f>IFERROR(__xludf.DUMMYFUNCTION("""COMPUTED_VALUE"""),-15000.0)</f>
        <v>-15000</v>
      </c>
      <c r="E4688" t="str">
        <f>IFERROR(__xludf.DUMMYFUNCTION("""COMPUTED_VALUE"""),"玉山帳戶")</f>
        <v>玉山帳戶</v>
      </c>
      <c r="G4688" t="str">
        <f>IFERROR(__xludf.DUMMYFUNCTION("""COMPUTED_VALUE"""),"內湖秘境")</f>
        <v>內湖秘境</v>
      </c>
      <c r="H4688" s="106" t="str">
        <f t="shared" si="1"/>
        <v>2025-09</v>
      </c>
      <c r="I4688" s="271" t="str">
        <f>IFERROR(__xludf.DUMMYFUNCTION("""COMPUTED_VALUE"""),"鯰魚大大")</f>
        <v>鯰魚大大</v>
      </c>
      <c r="J4688" t="str">
        <f>IFERROR(__xludf.DUMMYFUNCTION("IFS(
  AND(REGEXMATCH(E4688, ""台銀籌備帳戶|玉山帳戶""), REGEXMATCH(C4688, ""薪資"")), ""分潤支出"",
  AND(REGEXMATCH(E4688, ""Ben帳戶|Elsa帳戶|Ben代墊|Ariel代墊|中信銀行共用""), REGEXMATCH(F4688, ""Ben帳戶|Elsa帳戶|Ben代墊|Ariel代墊|中信銀行共用"")), ""內部轉帳(忽略)"",
  AND(E4688&lt;&gt;"""", F4688&lt;&gt;"""", N"&amp;"OT(REGEXMATCH(C4688, ""薪資""))), ""內部轉帳(忽略)"",
  REGEXMATCH(C4688, ""薪資""), ""薪資變動(不計入)"",
  REGEXMATCH(C4688, ""押金""), ""押金往來"",
  AND(E4688&lt;&gt;"""", F4688=""""), ""真實支出"",
  AND(E4688="""", F4688&lt;&gt;""""), ""真實收入"",
  TRUE, ""其他""
)"),"真實支出")</f>
        <v>真實支出</v>
      </c>
      <c r="K4688" s="270">
        <f t="shared" si="2"/>
        <v>-15000</v>
      </c>
      <c r="L4688">
        <f t="shared" si="3"/>
        <v>0</v>
      </c>
    </row>
    <row r="4689">
      <c r="A4689" s="107">
        <f>IFERROR(__xludf.DUMMYFUNCTION("""COMPUTED_VALUE"""),45901.0)</f>
        <v>45901</v>
      </c>
      <c r="B4689" t="str">
        <f>IFERROR(__xludf.DUMMYFUNCTION("""COMPUTED_VALUE"""),"費用 - 匯費 對方行:806 後五碼:26435 (行號: 22)")</f>
        <v>費用 - 匯費 對方行:806 後五碼:26435 (行號: 22)</v>
      </c>
      <c r="C4689" t="str">
        <f>IFERROR(__xludf.DUMMYFUNCTION("""COMPUTED_VALUE"""),"費用 - 匯費")</f>
        <v>費用 - 匯費</v>
      </c>
      <c r="D4689" s="270">
        <f>IFERROR(__xludf.DUMMYFUNCTION("""COMPUTED_VALUE"""),-15.0)</f>
        <v>-15</v>
      </c>
      <c r="E4689" t="str">
        <f>IFERROR(__xludf.DUMMYFUNCTION("""COMPUTED_VALUE"""),"玉山帳戶")</f>
        <v>玉山帳戶</v>
      </c>
      <c r="H4689" s="106" t="str">
        <f t="shared" si="1"/>
        <v>2025-09</v>
      </c>
      <c r="I4689" s="271" t="str">
        <f>IFERROR(__xludf.DUMMYFUNCTION("""COMPUTED_VALUE"""),"鯰魚大大")</f>
        <v>鯰魚大大</v>
      </c>
      <c r="J4689" t="str">
        <f>IFERROR(__xludf.DUMMYFUNCTION("IFS(
  AND(REGEXMATCH(E4689, ""台銀籌備帳戶|玉山帳戶""), REGEXMATCH(C4689, ""薪資"")), ""分潤支出"",
  AND(REGEXMATCH(E4689, ""Ben帳戶|Elsa帳戶|Ben代墊|Ariel代墊|中信銀行共用""), REGEXMATCH(F4689, ""Ben帳戶|Elsa帳戶|Ben代墊|Ariel代墊|中信銀行共用"")), ""內部轉帳(忽略)"",
  AND(E4689&lt;&gt;"""", F4689&lt;&gt;"""", N"&amp;"OT(REGEXMATCH(C4689, ""薪資""))), ""內部轉帳(忽略)"",
  REGEXMATCH(C4689, ""薪資""), ""薪資變動(不計入)"",
  REGEXMATCH(C4689, ""押金""), ""押金往來"",
  AND(E4689&lt;&gt;"""", F4689=""""), ""真實支出"",
  AND(E4689="""", F4689&lt;&gt;""""), ""真實收入"",
  TRUE, ""其他""
)"),"真實支出")</f>
        <v>真實支出</v>
      </c>
      <c r="K4689" s="270">
        <f t="shared" si="2"/>
        <v>-15</v>
      </c>
      <c r="L4689">
        <f t="shared" si="3"/>
        <v>0</v>
      </c>
    </row>
    <row r="4690">
      <c r="A4690" s="107">
        <f>IFERROR(__xludf.DUMMYFUNCTION("""COMPUTED_VALUE"""),45901.0)</f>
        <v>45901</v>
      </c>
      <c r="B4690" t="str">
        <f>IFERROR(__xludf.DUMMYFUNCTION("""COMPUTED_VALUE"""),"[內湖CityLink] [周佳慧] 大租金")</f>
        <v>[內湖CityLink] [周佳慧] 大租金</v>
      </c>
      <c r="C4690" t="str">
        <f>IFERROR(__xludf.DUMMYFUNCTION("""COMPUTED_VALUE"""),"成本 - 大租金")</f>
        <v>成本 - 大租金</v>
      </c>
      <c r="D4690" s="270">
        <f>IFERROR(__xludf.DUMMYFUNCTION("""COMPUTED_VALUE"""),-16500.0)</f>
        <v>-16500</v>
      </c>
      <c r="E4690" t="str">
        <f>IFERROR(__xludf.DUMMYFUNCTION("""COMPUTED_VALUE"""),"玉山帳戶")</f>
        <v>玉山帳戶</v>
      </c>
      <c r="G4690" t="str">
        <f>IFERROR(__xludf.DUMMYFUNCTION("""COMPUTED_VALUE"""),"內湖CityLink")</f>
        <v>內湖CityLink</v>
      </c>
      <c r="H4690" s="106" t="str">
        <f t="shared" si="1"/>
        <v>2025-09</v>
      </c>
      <c r="I4690" s="271" t="str">
        <f>IFERROR(__xludf.DUMMYFUNCTION("""COMPUTED_VALUE"""),"鯰魚大大")</f>
        <v>鯰魚大大</v>
      </c>
      <c r="J4690" t="str">
        <f>IFERROR(__xludf.DUMMYFUNCTION("IFS(
  AND(REGEXMATCH(E4690, ""台銀籌備帳戶|玉山帳戶""), REGEXMATCH(C4690, ""薪資"")), ""分潤支出"",
  AND(REGEXMATCH(E4690, ""Ben帳戶|Elsa帳戶|Ben代墊|Ariel代墊|中信銀行共用""), REGEXMATCH(F4690, ""Ben帳戶|Elsa帳戶|Ben代墊|Ariel代墊|中信銀行共用"")), ""內部轉帳(忽略)"",
  AND(E4690&lt;&gt;"""", F4690&lt;&gt;"""", N"&amp;"OT(REGEXMATCH(C4690, ""薪資""))), ""內部轉帳(忽略)"",
  REGEXMATCH(C4690, ""薪資""), ""薪資變動(不計入)"",
  REGEXMATCH(C4690, ""押金""), ""押金往來"",
  AND(E4690&lt;&gt;"""", F4690=""""), ""真實支出"",
  AND(E4690="""", F4690&lt;&gt;""""), ""真實收入"",
  TRUE, ""其他""
)"),"真實支出")</f>
        <v>真實支出</v>
      </c>
      <c r="K4690" s="270">
        <f t="shared" si="2"/>
        <v>-16500</v>
      </c>
      <c r="L4690">
        <f t="shared" si="3"/>
        <v>0</v>
      </c>
    </row>
    <row r="4691">
      <c r="A4691" s="107">
        <f>IFERROR(__xludf.DUMMYFUNCTION("""COMPUTED_VALUE"""),45902.0)</f>
        <v>45902</v>
      </c>
      <c r="B4691" t="str">
        <f>IFERROR(__xludf.DUMMYFUNCTION("""COMPUTED_VALUE"""),"費用 - 匯費 對方行:700 後五碼:84843 (行號: 34)")</f>
        <v>費用 - 匯費 對方行:700 後五碼:84843 (行號: 34)</v>
      </c>
      <c r="C4691" t="str">
        <f>IFERROR(__xludf.DUMMYFUNCTION("""COMPUTED_VALUE"""),"費用 - 匯費")</f>
        <v>費用 - 匯費</v>
      </c>
      <c r="D4691" s="270">
        <f>IFERROR(__xludf.DUMMYFUNCTION("""COMPUTED_VALUE"""),-15.0)</f>
        <v>-15</v>
      </c>
      <c r="E4691" t="str">
        <f>IFERROR(__xludf.DUMMYFUNCTION("""COMPUTED_VALUE"""),"玉山帳戶")</f>
        <v>玉山帳戶</v>
      </c>
      <c r="H4691" s="106" t="str">
        <f t="shared" si="1"/>
        <v>2025-09</v>
      </c>
      <c r="I4691" s="271" t="str">
        <f>IFERROR(__xludf.DUMMYFUNCTION("""COMPUTED_VALUE"""),"鯰魚大大")</f>
        <v>鯰魚大大</v>
      </c>
      <c r="J4691" t="str">
        <f>IFERROR(__xludf.DUMMYFUNCTION("IFS(
  AND(REGEXMATCH(E4691, ""台銀籌備帳戶|玉山帳戶""), REGEXMATCH(C4691, ""薪資"")), ""分潤支出"",
  AND(REGEXMATCH(E4691, ""Ben帳戶|Elsa帳戶|Ben代墊|Ariel代墊|中信銀行共用""), REGEXMATCH(F4691, ""Ben帳戶|Elsa帳戶|Ben代墊|Ariel代墊|中信銀行共用"")), ""內部轉帳(忽略)"",
  AND(E4691&lt;&gt;"""", F4691&lt;&gt;"""", N"&amp;"OT(REGEXMATCH(C4691, ""薪資""))), ""內部轉帳(忽略)"",
  REGEXMATCH(C4691, ""薪資""), ""薪資變動(不計入)"",
  REGEXMATCH(C4691, ""押金""), ""押金往來"",
  AND(E4691&lt;&gt;"""", F4691=""""), ""真實支出"",
  AND(E4691="""", F4691&lt;&gt;""""), ""真實收入"",
  TRUE, ""其他""
)"),"真實支出")</f>
        <v>真實支出</v>
      </c>
      <c r="K4691" s="270">
        <f t="shared" si="2"/>
        <v>-15</v>
      </c>
      <c r="L4691">
        <f t="shared" si="3"/>
        <v>0</v>
      </c>
    </row>
    <row r="4692">
      <c r="A4692" s="107">
        <f>IFERROR(__xludf.DUMMYFUNCTION("""COMPUTED_VALUE"""),45902.0)</f>
        <v>45902</v>
      </c>
      <c r="B4692" t="str">
        <f>IFERROR(__xludf.DUMMYFUNCTION("""COMPUTED_VALUE"""),"[內湖秘境] [周佳慧] 大租金")</f>
        <v>[內湖秘境] [周佳慧] 大租金</v>
      </c>
      <c r="C4692" t="str">
        <f>IFERROR(__xludf.DUMMYFUNCTION("""COMPUTED_VALUE"""),"成本 - 大租金")</f>
        <v>成本 - 大租金</v>
      </c>
      <c r="D4692" s="270">
        <f>IFERROR(__xludf.DUMMYFUNCTION("""COMPUTED_VALUE"""),-15000.0)</f>
        <v>-15000</v>
      </c>
      <c r="E4692" t="str">
        <f>IFERROR(__xludf.DUMMYFUNCTION("""COMPUTED_VALUE"""),"玉山帳戶")</f>
        <v>玉山帳戶</v>
      </c>
      <c r="G4692" t="str">
        <f>IFERROR(__xludf.DUMMYFUNCTION("""COMPUTED_VALUE"""),"內湖秘境")</f>
        <v>內湖秘境</v>
      </c>
      <c r="H4692" s="106" t="str">
        <f t="shared" si="1"/>
        <v>2025-09</v>
      </c>
      <c r="I4692" s="271" t="str">
        <f>IFERROR(__xludf.DUMMYFUNCTION("""COMPUTED_VALUE"""),"鯰魚大大")</f>
        <v>鯰魚大大</v>
      </c>
      <c r="J4692" t="str">
        <f>IFERROR(__xludf.DUMMYFUNCTION("IFS(
  AND(REGEXMATCH(E4692, ""台銀籌備帳戶|玉山帳戶""), REGEXMATCH(C4692, ""薪資"")), ""分潤支出"",
  AND(REGEXMATCH(E4692, ""Ben帳戶|Elsa帳戶|Ben代墊|Ariel代墊|中信銀行共用""), REGEXMATCH(F4692, ""Ben帳戶|Elsa帳戶|Ben代墊|Ariel代墊|中信銀行共用"")), ""內部轉帳(忽略)"",
  AND(E4692&lt;&gt;"""", F4692&lt;&gt;"""", N"&amp;"OT(REGEXMATCH(C4692, ""薪資""))), ""內部轉帳(忽略)"",
  REGEXMATCH(C4692, ""薪資""), ""薪資變動(不計入)"",
  REGEXMATCH(C4692, ""押金""), ""押金往來"",
  AND(E4692&lt;&gt;"""", F4692=""""), ""真實支出"",
  AND(E4692="""", F4692&lt;&gt;""""), ""真實收入"",
  TRUE, ""其他""
)"),"真實支出")</f>
        <v>真實支出</v>
      </c>
      <c r="K4692" s="270">
        <f t="shared" si="2"/>
        <v>-15000</v>
      </c>
      <c r="L4692">
        <f t="shared" si="3"/>
        <v>0</v>
      </c>
    </row>
    <row r="4693">
      <c r="A4693" s="107">
        <f>IFERROR(__xludf.DUMMYFUNCTION("""COMPUTED_VALUE"""),45903.0)</f>
        <v>45903</v>
      </c>
      <c r="B4693" t="str">
        <f>IFERROR(__xludf.DUMMYFUNCTION("""COMPUTED_VALUE"""),"費用 - 匯費 對方行:810 後五碼:77212 (行號: 36)")</f>
        <v>費用 - 匯費 對方行:810 後五碼:77212 (行號: 36)</v>
      </c>
      <c r="C4693" t="str">
        <f>IFERROR(__xludf.DUMMYFUNCTION("""COMPUTED_VALUE"""),"費用 - 匯費")</f>
        <v>費用 - 匯費</v>
      </c>
      <c r="D4693" s="270">
        <f>IFERROR(__xludf.DUMMYFUNCTION("""COMPUTED_VALUE"""),-15.0)</f>
        <v>-15</v>
      </c>
      <c r="E4693" t="str">
        <f>IFERROR(__xludf.DUMMYFUNCTION("""COMPUTED_VALUE"""),"玉山帳戶")</f>
        <v>玉山帳戶</v>
      </c>
      <c r="H4693" s="106" t="str">
        <f t="shared" si="1"/>
        <v>2025-09</v>
      </c>
      <c r="I4693" s="271" t="str">
        <f>IFERROR(__xludf.DUMMYFUNCTION("""COMPUTED_VALUE"""),"鯰魚大大")</f>
        <v>鯰魚大大</v>
      </c>
      <c r="J4693" t="str">
        <f>IFERROR(__xludf.DUMMYFUNCTION("IFS(
  AND(REGEXMATCH(E4693, ""台銀籌備帳戶|玉山帳戶""), REGEXMATCH(C4693, ""薪資"")), ""分潤支出"",
  AND(REGEXMATCH(E4693, ""Ben帳戶|Elsa帳戶|Ben代墊|Ariel代墊|中信銀行共用""), REGEXMATCH(F4693, ""Ben帳戶|Elsa帳戶|Ben代墊|Ariel代墊|中信銀行共用"")), ""內部轉帳(忽略)"",
  AND(E4693&lt;&gt;"""", F4693&lt;&gt;"""", N"&amp;"OT(REGEXMATCH(C4693, ""薪資""))), ""內部轉帳(忽略)"",
  REGEXMATCH(C4693, ""薪資""), ""薪資變動(不計入)"",
  REGEXMATCH(C4693, ""押金""), ""押金往來"",
  AND(E4693&lt;&gt;"""", F4693=""""), ""真實支出"",
  AND(E4693="""", F4693&lt;&gt;""""), ""真實收入"",
  TRUE, ""其他""
)"),"真實支出")</f>
        <v>真實支出</v>
      </c>
      <c r="K4693" s="270">
        <f t="shared" si="2"/>
        <v>-15</v>
      </c>
      <c r="L4693">
        <f t="shared" si="3"/>
        <v>0</v>
      </c>
    </row>
    <row r="4694">
      <c r="A4694" s="107">
        <f>IFERROR(__xludf.DUMMYFUNCTION("""COMPUTED_VALUE"""),45903.0)</f>
        <v>45903</v>
      </c>
      <c r="B4694" t="str">
        <f>IFERROR(__xludf.DUMMYFUNCTION("""COMPUTED_VALUE"""),"[內湖秘境] [周佳慧] 大租金")</f>
        <v>[內湖秘境] [周佳慧] 大租金</v>
      </c>
      <c r="C4694" t="str">
        <f>IFERROR(__xludf.DUMMYFUNCTION("""COMPUTED_VALUE"""),"成本 - 大租金")</f>
        <v>成本 - 大租金</v>
      </c>
      <c r="D4694" s="270">
        <f>IFERROR(__xludf.DUMMYFUNCTION("""COMPUTED_VALUE"""),-15000.0)</f>
        <v>-15000</v>
      </c>
      <c r="E4694" t="str">
        <f>IFERROR(__xludf.DUMMYFUNCTION("""COMPUTED_VALUE"""),"玉山帳戶")</f>
        <v>玉山帳戶</v>
      </c>
      <c r="G4694" t="str">
        <f>IFERROR(__xludf.DUMMYFUNCTION("""COMPUTED_VALUE"""),"內湖秘境")</f>
        <v>內湖秘境</v>
      </c>
      <c r="H4694" s="106" t="str">
        <f t="shared" si="1"/>
        <v>2025-09</v>
      </c>
      <c r="I4694" s="271" t="str">
        <f>IFERROR(__xludf.DUMMYFUNCTION("""COMPUTED_VALUE"""),"鯰魚大大")</f>
        <v>鯰魚大大</v>
      </c>
      <c r="J4694" t="str">
        <f>IFERROR(__xludf.DUMMYFUNCTION("IFS(
  AND(REGEXMATCH(E4694, ""台銀籌備帳戶|玉山帳戶""), REGEXMATCH(C4694, ""薪資"")), ""分潤支出"",
  AND(REGEXMATCH(E4694, ""Ben帳戶|Elsa帳戶|Ben代墊|Ariel代墊|中信銀行共用""), REGEXMATCH(F4694, ""Ben帳戶|Elsa帳戶|Ben代墊|Ariel代墊|中信銀行共用"")), ""內部轉帳(忽略)"",
  AND(E4694&lt;&gt;"""", F4694&lt;&gt;"""", N"&amp;"OT(REGEXMATCH(C4694, ""薪資""))), ""內部轉帳(忽略)"",
  REGEXMATCH(C4694, ""薪資""), ""薪資變動(不計入)"",
  REGEXMATCH(C4694, ""押金""), ""押金往來"",
  AND(E4694&lt;&gt;"""", F4694=""""), ""真實支出"",
  AND(E4694="""", F4694&lt;&gt;""""), ""真實收入"",
  TRUE, ""其他""
)"),"真實支出")</f>
        <v>真實支出</v>
      </c>
      <c r="K4694" s="270">
        <f t="shared" si="2"/>
        <v>-15000</v>
      </c>
      <c r="L4694">
        <f t="shared" si="3"/>
        <v>0</v>
      </c>
    </row>
    <row r="4695">
      <c r="A4695" s="107">
        <f>IFERROR(__xludf.DUMMYFUNCTION("""COMPUTED_VALUE"""),45897.0)</f>
        <v>45897</v>
      </c>
      <c r="B4695" t="str">
        <f>IFERROR(__xludf.DUMMYFUNCTION("""COMPUTED_VALUE"""),"[士林和豐] C [敖啟恒] 月租金 (行號: 10)")</f>
        <v>[士林和豐] C [敖啟恒] 月租金 (行號: 10)</v>
      </c>
      <c r="C4695" t="str">
        <f>IFERROR(__xludf.DUMMYFUNCTION("""COMPUTED_VALUE"""),"收入 - 租金")</f>
        <v>收入 - 租金</v>
      </c>
      <c r="D4695" s="270">
        <f>IFERROR(__xludf.DUMMYFUNCTION("""COMPUTED_VALUE"""),13000.0)</f>
        <v>13000</v>
      </c>
      <c r="F4695" t="str">
        <f>IFERROR(__xludf.DUMMYFUNCTION("""COMPUTED_VALUE"""),"玉山帳戶")</f>
        <v>玉山帳戶</v>
      </c>
      <c r="G4695" t="str">
        <f>IFERROR(__xludf.DUMMYFUNCTION("""COMPUTED_VALUE"""),"士林和豐")</f>
        <v>士林和豐</v>
      </c>
      <c r="H4695" s="106" t="str">
        <f t="shared" si="1"/>
        <v>2025-08</v>
      </c>
      <c r="I4695" s="271" t="str">
        <f>IFERROR(__xludf.DUMMYFUNCTION("""COMPUTED_VALUE"""),"鯰魚大大")</f>
        <v>鯰魚大大</v>
      </c>
      <c r="J4695" t="str">
        <f>IFERROR(__xludf.DUMMYFUNCTION("IFS(
  AND(REGEXMATCH(E4695, ""台銀籌備帳戶|玉山帳戶""), REGEXMATCH(C4695, ""薪資"")), ""分潤支出"",
  AND(REGEXMATCH(E4695, ""Ben帳戶|Elsa帳戶|Ben代墊|Ariel代墊|中信銀行共用""), REGEXMATCH(F4695, ""Ben帳戶|Elsa帳戶|Ben代墊|Ariel代墊|中信銀行共用"")), ""內部轉帳(忽略)"",
  AND(E4695&lt;&gt;"""", F4695&lt;&gt;"""", N"&amp;"OT(REGEXMATCH(C4695, ""薪資""))), ""內部轉帳(忽略)"",
  REGEXMATCH(C4695, ""薪資""), ""薪資變動(不計入)"",
  REGEXMATCH(C4695, ""押金""), ""押金往來"",
  AND(E4695&lt;&gt;"""", F4695=""""), ""真實支出"",
  AND(E4695="""", F4695&lt;&gt;""""), ""真實收入"",
  TRUE, ""其他""
)"),"真實收入")</f>
        <v>真實收入</v>
      </c>
      <c r="K4695" s="270">
        <f t="shared" si="2"/>
        <v>13000</v>
      </c>
      <c r="L4695">
        <f t="shared" si="3"/>
        <v>0</v>
      </c>
    </row>
    <row r="4696">
      <c r="A4696" s="107">
        <f>IFERROR(__xludf.DUMMYFUNCTION("""COMPUTED_VALUE"""),45897.0)</f>
        <v>45897</v>
      </c>
      <c r="B4696" t="str">
        <f>IFERROR(__xludf.DUMMYFUNCTION("""COMPUTED_VALUE"""),"[內湖CityLink] D [王紹綺] 月租金 (行號: 11)")</f>
        <v>[內湖CityLink] D [王紹綺] 月租金 (行號: 11)</v>
      </c>
      <c r="C4696" t="str">
        <f>IFERROR(__xludf.DUMMYFUNCTION("""COMPUTED_VALUE"""),"收入 - 租金")</f>
        <v>收入 - 租金</v>
      </c>
      <c r="D4696" s="270">
        <f>IFERROR(__xludf.DUMMYFUNCTION("""COMPUTED_VALUE"""),12500.0)</f>
        <v>12500</v>
      </c>
      <c r="F4696" t="str">
        <f>IFERROR(__xludf.DUMMYFUNCTION("""COMPUTED_VALUE"""),"玉山帳戶")</f>
        <v>玉山帳戶</v>
      </c>
      <c r="G4696" t="str">
        <f>IFERROR(__xludf.DUMMYFUNCTION("""COMPUTED_VALUE"""),"內湖CityLink")</f>
        <v>內湖CityLink</v>
      </c>
      <c r="H4696" s="106" t="str">
        <f t="shared" si="1"/>
        <v>2025-08</v>
      </c>
      <c r="I4696" s="271" t="str">
        <f>IFERROR(__xludf.DUMMYFUNCTION("""COMPUTED_VALUE"""),"鯰魚大大")</f>
        <v>鯰魚大大</v>
      </c>
      <c r="J4696" t="str">
        <f>IFERROR(__xludf.DUMMYFUNCTION("IFS(
  AND(REGEXMATCH(E4696, ""台銀籌備帳戶|玉山帳戶""), REGEXMATCH(C4696, ""薪資"")), ""分潤支出"",
  AND(REGEXMATCH(E4696, ""Ben帳戶|Elsa帳戶|Ben代墊|Ariel代墊|中信銀行共用""), REGEXMATCH(F4696, ""Ben帳戶|Elsa帳戶|Ben代墊|Ariel代墊|中信銀行共用"")), ""內部轉帳(忽略)"",
  AND(E4696&lt;&gt;"""", F4696&lt;&gt;"""", N"&amp;"OT(REGEXMATCH(C4696, ""薪資""))), ""內部轉帳(忽略)"",
  REGEXMATCH(C4696, ""薪資""), ""薪資變動(不計入)"",
  REGEXMATCH(C4696, ""押金""), ""押金往來"",
  AND(E4696&lt;&gt;"""", F4696=""""), ""真實支出"",
  AND(E4696="""", F4696&lt;&gt;""""), ""真實收入"",
  TRUE, ""其他""
)"),"真實收入")</f>
        <v>真實收入</v>
      </c>
      <c r="K4696" s="270">
        <f t="shared" si="2"/>
        <v>12500</v>
      </c>
      <c r="L4696">
        <f t="shared" si="3"/>
        <v>0</v>
      </c>
    </row>
    <row r="4697">
      <c r="A4697" s="107">
        <f>IFERROR(__xludf.DUMMYFUNCTION("""COMPUTED_VALUE"""),45898.0)</f>
        <v>45898</v>
      </c>
      <c r="B4697" t="str">
        <f>IFERROR(__xludf.DUMMYFUNCTION("""COMPUTED_VALUE"""),"[士林和豐] A [許瑜芳, 黃俞安] 月租金 (行號: 12)")</f>
        <v>[士林和豐] A [許瑜芳, 黃俞安] 月租金 (行號: 12)</v>
      </c>
      <c r="C4697" t="str">
        <f>IFERROR(__xludf.DUMMYFUNCTION("""COMPUTED_VALUE"""),"收入 - 租金")</f>
        <v>收入 - 租金</v>
      </c>
      <c r="D4697" s="270">
        <f>IFERROR(__xludf.DUMMYFUNCTION("""COMPUTED_VALUE"""),19500.0)</f>
        <v>19500</v>
      </c>
      <c r="F4697" t="str">
        <f>IFERROR(__xludf.DUMMYFUNCTION("""COMPUTED_VALUE"""),"玉山帳戶")</f>
        <v>玉山帳戶</v>
      </c>
      <c r="G4697" t="str">
        <f>IFERROR(__xludf.DUMMYFUNCTION("""COMPUTED_VALUE"""),"士林和豐")</f>
        <v>士林和豐</v>
      </c>
      <c r="H4697" s="106" t="str">
        <f t="shared" si="1"/>
        <v>2025-08</v>
      </c>
      <c r="I4697" s="271" t="str">
        <f>IFERROR(__xludf.DUMMYFUNCTION("""COMPUTED_VALUE"""),"鯰魚大大")</f>
        <v>鯰魚大大</v>
      </c>
      <c r="J4697" t="str">
        <f>IFERROR(__xludf.DUMMYFUNCTION("IFS(
  AND(REGEXMATCH(E4697, ""台銀籌備帳戶|玉山帳戶""), REGEXMATCH(C4697, ""薪資"")), ""分潤支出"",
  AND(REGEXMATCH(E4697, ""Ben帳戶|Elsa帳戶|Ben代墊|Ariel代墊|中信銀行共用""), REGEXMATCH(F4697, ""Ben帳戶|Elsa帳戶|Ben代墊|Ariel代墊|中信銀行共用"")), ""內部轉帳(忽略)"",
  AND(E4697&lt;&gt;"""", F4697&lt;&gt;"""", N"&amp;"OT(REGEXMATCH(C4697, ""薪資""))), ""內部轉帳(忽略)"",
  REGEXMATCH(C4697, ""薪資""), ""薪資變動(不計入)"",
  REGEXMATCH(C4697, ""押金""), ""押金往來"",
  AND(E4697&lt;&gt;"""", F4697=""""), ""真實支出"",
  AND(E4697="""", F4697&lt;&gt;""""), ""真實收入"",
  TRUE, ""其他""
)"),"真實收入")</f>
        <v>真實收入</v>
      </c>
      <c r="K4697" s="270">
        <f t="shared" si="2"/>
        <v>19500</v>
      </c>
      <c r="L4697">
        <f t="shared" si="3"/>
        <v>0</v>
      </c>
    </row>
    <row r="4698">
      <c r="A4698" s="107">
        <f>IFERROR(__xludf.DUMMYFUNCTION("""COMPUTED_VALUE"""),45901.0)</f>
        <v>45901</v>
      </c>
      <c r="B4698" t="str">
        <f>IFERROR(__xludf.DUMMYFUNCTION("""COMPUTED_VALUE"""),"[士林和豐] D [小宜] 月租金 (行號: 12)")</f>
        <v>[士林和豐] D [小宜] 月租金 (行號: 12)</v>
      </c>
      <c r="C4698" t="str">
        <f>IFERROR(__xludf.DUMMYFUNCTION("""COMPUTED_VALUE"""),"收入 - 租金")</f>
        <v>收入 - 租金</v>
      </c>
      <c r="D4698" s="270">
        <f>IFERROR(__xludf.DUMMYFUNCTION("""COMPUTED_VALUE"""),12500.0)</f>
        <v>12500</v>
      </c>
      <c r="F4698" t="str">
        <f>IFERROR(__xludf.DUMMYFUNCTION("""COMPUTED_VALUE"""),"玉山帳戶")</f>
        <v>玉山帳戶</v>
      </c>
      <c r="G4698" t="str">
        <f>IFERROR(__xludf.DUMMYFUNCTION("""COMPUTED_VALUE"""),"士林和豐")</f>
        <v>士林和豐</v>
      </c>
      <c r="H4698" s="106" t="str">
        <f t="shared" si="1"/>
        <v>2025-09</v>
      </c>
      <c r="I4698" s="271" t="str">
        <f>IFERROR(__xludf.DUMMYFUNCTION("""COMPUTED_VALUE"""),"鯰魚大大")</f>
        <v>鯰魚大大</v>
      </c>
      <c r="J4698" t="str">
        <f>IFERROR(__xludf.DUMMYFUNCTION("IFS(
  AND(REGEXMATCH(E4698, ""台銀籌備帳戶|玉山帳戶""), REGEXMATCH(C4698, ""薪資"")), ""分潤支出"",
  AND(REGEXMATCH(E4698, ""Ben帳戶|Elsa帳戶|Ben代墊|Ariel代墊|中信銀行共用""), REGEXMATCH(F4698, ""Ben帳戶|Elsa帳戶|Ben代墊|Ariel代墊|中信銀行共用"")), ""內部轉帳(忽略)"",
  AND(E4698&lt;&gt;"""", F4698&lt;&gt;"""", N"&amp;"OT(REGEXMATCH(C4698, ""薪資""))), ""內部轉帳(忽略)"",
  REGEXMATCH(C4698, ""薪資""), ""薪資變動(不計入)"",
  REGEXMATCH(C4698, ""押金""), ""押金往來"",
  AND(E4698&lt;&gt;"""", F4698=""""), ""真實支出"",
  AND(E4698="""", F4698&lt;&gt;""""), ""真實收入"",
  TRUE, ""其他""
)"),"真實收入")</f>
        <v>真實收入</v>
      </c>
      <c r="K4698" s="270">
        <f t="shared" si="2"/>
        <v>12500</v>
      </c>
      <c r="L4698">
        <f t="shared" si="3"/>
        <v>0</v>
      </c>
    </row>
    <row r="4699">
      <c r="A4699" s="107">
        <f>IFERROR(__xludf.DUMMYFUNCTION("""COMPUTED_VALUE"""),45901.0)</f>
        <v>45901</v>
      </c>
      <c r="B4699" t="str">
        <f>IFERROR(__xludf.DUMMYFUNCTION("""COMPUTED_VALUE"""),"[行天宮夏野良栗] A [鄒欣穎] 月租金 (行號: 16)")</f>
        <v>[行天宮夏野良栗] A [鄒欣穎] 月租金 (行號: 16)</v>
      </c>
      <c r="C4699" t="str">
        <f>IFERROR(__xludf.DUMMYFUNCTION("""COMPUTED_VALUE"""),"收入 - 租金")</f>
        <v>收入 - 租金</v>
      </c>
      <c r="D4699" s="270">
        <f>IFERROR(__xludf.DUMMYFUNCTION("""COMPUTED_VALUE"""),14200.0)</f>
        <v>14200</v>
      </c>
      <c r="F4699" t="str">
        <f>IFERROR(__xludf.DUMMYFUNCTION("""COMPUTED_VALUE"""),"玉山帳戶")</f>
        <v>玉山帳戶</v>
      </c>
      <c r="G4699" t="str">
        <f>IFERROR(__xludf.DUMMYFUNCTION("""COMPUTED_VALUE"""),"行天宮夏野良栗")</f>
        <v>行天宮夏野良栗</v>
      </c>
      <c r="H4699" s="106" t="str">
        <f t="shared" si="1"/>
        <v>2025-09</v>
      </c>
      <c r="I4699" s="271" t="str">
        <f>IFERROR(__xludf.DUMMYFUNCTION("""COMPUTED_VALUE"""),"鯰魚大大")</f>
        <v>鯰魚大大</v>
      </c>
      <c r="J4699" t="str">
        <f>IFERROR(__xludf.DUMMYFUNCTION("IFS(
  AND(REGEXMATCH(E4699, ""台銀籌備帳戶|玉山帳戶""), REGEXMATCH(C4699, ""薪資"")), ""分潤支出"",
  AND(REGEXMATCH(E4699, ""Ben帳戶|Elsa帳戶|Ben代墊|Ariel代墊|中信銀行共用""), REGEXMATCH(F4699, ""Ben帳戶|Elsa帳戶|Ben代墊|Ariel代墊|中信銀行共用"")), ""內部轉帳(忽略)"",
  AND(E4699&lt;&gt;"""", F4699&lt;&gt;"""", N"&amp;"OT(REGEXMATCH(C4699, ""薪資""))), ""內部轉帳(忽略)"",
  REGEXMATCH(C4699, ""薪資""), ""薪資變動(不計入)"",
  REGEXMATCH(C4699, ""押金""), ""押金往來"",
  AND(E4699&lt;&gt;"""", F4699=""""), ""真實支出"",
  AND(E4699="""", F4699&lt;&gt;""""), ""真實收入"",
  TRUE, ""其他""
)"),"真實收入")</f>
        <v>真實收入</v>
      </c>
      <c r="K4699" s="270">
        <f t="shared" si="2"/>
        <v>14200</v>
      </c>
      <c r="L4699">
        <f t="shared" si="3"/>
        <v>0</v>
      </c>
    </row>
    <row r="4700">
      <c r="A4700" s="107">
        <f>IFERROR(__xludf.DUMMYFUNCTION("""COMPUTED_VALUE"""),45901.0)</f>
        <v>45901</v>
      </c>
      <c r="B4700" t="str">
        <f>IFERROR(__xludf.DUMMYFUNCTION("""COMPUTED_VALUE"""),"[行天宮夏野良栗] B [楊珺媁] 月租金 (行號: 14)")</f>
        <v>[行天宮夏野良栗] B [楊珺媁] 月租金 (行號: 14)</v>
      </c>
      <c r="C4700" t="str">
        <f>IFERROR(__xludf.DUMMYFUNCTION("""COMPUTED_VALUE"""),"收入 - 租金")</f>
        <v>收入 - 租金</v>
      </c>
      <c r="D4700" s="270">
        <f>IFERROR(__xludf.DUMMYFUNCTION("""COMPUTED_VALUE"""),14000.0)</f>
        <v>14000</v>
      </c>
      <c r="F4700" t="str">
        <f>IFERROR(__xludf.DUMMYFUNCTION("""COMPUTED_VALUE"""),"玉山帳戶")</f>
        <v>玉山帳戶</v>
      </c>
      <c r="G4700" t="str">
        <f>IFERROR(__xludf.DUMMYFUNCTION("""COMPUTED_VALUE"""),"行天宮夏野良栗")</f>
        <v>行天宮夏野良栗</v>
      </c>
      <c r="H4700" s="106" t="str">
        <f t="shared" si="1"/>
        <v>2025-09</v>
      </c>
      <c r="I4700" s="271" t="str">
        <f>IFERROR(__xludf.DUMMYFUNCTION("""COMPUTED_VALUE"""),"鯰魚大大")</f>
        <v>鯰魚大大</v>
      </c>
      <c r="J4700" t="str">
        <f>IFERROR(__xludf.DUMMYFUNCTION("IFS(
  AND(REGEXMATCH(E4700, ""台銀籌備帳戶|玉山帳戶""), REGEXMATCH(C4700, ""薪資"")), ""分潤支出"",
  AND(REGEXMATCH(E4700, ""Ben帳戶|Elsa帳戶|Ben代墊|Ariel代墊|中信銀行共用""), REGEXMATCH(F4700, ""Ben帳戶|Elsa帳戶|Ben代墊|Ariel代墊|中信銀行共用"")), ""內部轉帳(忽略)"",
  AND(E4700&lt;&gt;"""", F4700&lt;&gt;"""", N"&amp;"OT(REGEXMATCH(C4700, ""薪資""))), ""內部轉帳(忽略)"",
  REGEXMATCH(C4700, ""薪資""), ""薪資變動(不計入)"",
  REGEXMATCH(C4700, ""押金""), ""押金往來"",
  AND(E4700&lt;&gt;"""", F4700=""""), ""真實支出"",
  AND(E4700="""", F4700&lt;&gt;""""), ""真實收入"",
  TRUE, ""其他""
)"),"真實收入")</f>
        <v>真實收入</v>
      </c>
      <c r="K4700" s="270">
        <f t="shared" si="2"/>
        <v>14000</v>
      </c>
      <c r="L4700">
        <f t="shared" si="3"/>
        <v>0</v>
      </c>
    </row>
    <row r="4701">
      <c r="A4701" s="107">
        <f>IFERROR(__xludf.DUMMYFUNCTION("""COMPUTED_VALUE"""),45901.0)</f>
        <v>45901</v>
      </c>
      <c r="B4701" t="str">
        <f>IFERROR(__xludf.DUMMYFUNCTION("""COMPUTED_VALUE"""),"[士林和豐] B [劉宗霖] 月租金 (行號: 15)")</f>
        <v>[士林和豐] B [劉宗霖] 月租金 (行號: 15)</v>
      </c>
      <c r="C4701" t="str">
        <f>IFERROR(__xludf.DUMMYFUNCTION("""COMPUTED_VALUE"""),"收入 - 租金")</f>
        <v>收入 - 租金</v>
      </c>
      <c r="D4701" s="270">
        <f>IFERROR(__xludf.DUMMYFUNCTION("""COMPUTED_VALUE"""),13500.0)</f>
        <v>13500</v>
      </c>
      <c r="F4701" t="str">
        <f>IFERROR(__xludf.DUMMYFUNCTION("""COMPUTED_VALUE"""),"玉山帳戶")</f>
        <v>玉山帳戶</v>
      </c>
      <c r="G4701" t="str">
        <f>IFERROR(__xludf.DUMMYFUNCTION("""COMPUTED_VALUE"""),"士林和豐")</f>
        <v>士林和豐</v>
      </c>
      <c r="H4701" s="106" t="str">
        <f t="shared" si="1"/>
        <v>2025-09</v>
      </c>
      <c r="I4701" s="271" t="str">
        <f>IFERROR(__xludf.DUMMYFUNCTION("""COMPUTED_VALUE"""),"鯰魚大大")</f>
        <v>鯰魚大大</v>
      </c>
      <c r="J4701" t="str">
        <f>IFERROR(__xludf.DUMMYFUNCTION("IFS(
  AND(REGEXMATCH(E4701, ""台銀籌備帳戶|玉山帳戶""), REGEXMATCH(C4701, ""薪資"")), ""分潤支出"",
  AND(REGEXMATCH(E4701, ""Ben帳戶|Elsa帳戶|Ben代墊|Ariel代墊|中信銀行共用""), REGEXMATCH(F4701, ""Ben帳戶|Elsa帳戶|Ben代墊|Ariel代墊|中信銀行共用"")), ""內部轉帳(忽略)"",
  AND(E4701&lt;&gt;"""", F4701&lt;&gt;"""", N"&amp;"OT(REGEXMATCH(C4701, ""薪資""))), ""內部轉帳(忽略)"",
  REGEXMATCH(C4701, ""薪資""), ""薪資變動(不計入)"",
  REGEXMATCH(C4701, ""押金""), ""押金往來"",
  AND(E4701&lt;&gt;"""", F4701=""""), ""真實支出"",
  AND(E4701="""", F4701&lt;&gt;""""), ""真實收入"",
  TRUE, ""其他""
)"),"真實收入")</f>
        <v>真實收入</v>
      </c>
      <c r="K4701" s="270">
        <f t="shared" si="2"/>
        <v>13500</v>
      </c>
      <c r="L4701">
        <f t="shared" si="3"/>
        <v>0</v>
      </c>
    </row>
    <row r="4702">
      <c r="A4702" s="107">
        <f>IFERROR(__xludf.DUMMYFUNCTION("""COMPUTED_VALUE"""),45901.0)</f>
        <v>45901</v>
      </c>
      <c r="B4702" t="str">
        <f>IFERROR(__xludf.DUMMYFUNCTION("""COMPUTED_VALUE"""),"[內湖CityLink] A [陳昕湄] 月租金 (行號: 16, 17)")</f>
        <v>[內湖CityLink] A [陳昕湄] 月租金 (行號: 16, 17)</v>
      </c>
      <c r="C4702" t="str">
        <f>IFERROR(__xludf.DUMMYFUNCTION("""COMPUTED_VALUE"""),"收入 - 租金")</f>
        <v>收入 - 租金</v>
      </c>
      <c r="D4702" s="270">
        <f>IFERROR(__xludf.DUMMYFUNCTION("""COMPUTED_VALUE"""),14800.0)</f>
        <v>14800</v>
      </c>
      <c r="F4702" t="str">
        <f>IFERROR(__xludf.DUMMYFUNCTION("""COMPUTED_VALUE"""),"玉山帳戶")</f>
        <v>玉山帳戶</v>
      </c>
      <c r="G4702" t="str">
        <f>IFERROR(__xludf.DUMMYFUNCTION("""COMPUTED_VALUE"""),"內湖CityLink")</f>
        <v>內湖CityLink</v>
      </c>
      <c r="H4702" s="106" t="str">
        <f t="shared" si="1"/>
        <v>2025-09</v>
      </c>
      <c r="I4702" s="271" t="str">
        <f>IFERROR(__xludf.DUMMYFUNCTION("""COMPUTED_VALUE"""),"鯰魚大大")</f>
        <v>鯰魚大大</v>
      </c>
      <c r="J4702" t="str">
        <f>IFERROR(__xludf.DUMMYFUNCTION("IFS(
  AND(REGEXMATCH(E4702, ""台銀籌備帳戶|玉山帳戶""), REGEXMATCH(C4702, ""薪資"")), ""分潤支出"",
  AND(REGEXMATCH(E4702, ""Ben帳戶|Elsa帳戶|Ben代墊|Ariel代墊|中信銀行共用""), REGEXMATCH(F4702, ""Ben帳戶|Elsa帳戶|Ben代墊|Ariel代墊|中信銀行共用"")), ""內部轉帳(忽略)"",
  AND(E4702&lt;&gt;"""", F4702&lt;&gt;"""", N"&amp;"OT(REGEXMATCH(C4702, ""薪資""))), ""內部轉帳(忽略)"",
  REGEXMATCH(C4702, ""薪資""), ""薪資變動(不計入)"",
  REGEXMATCH(C4702, ""押金""), ""押金往來"",
  AND(E4702&lt;&gt;"""", F4702=""""), ""真實支出"",
  AND(E4702="""", F4702&lt;&gt;""""), ""真實收入"",
  TRUE, ""其他""
)"),"真實收入")</f>
        <v>真實收入</v>
      </c>
      <c r="K4702" s="270">
        <f t="shared" si="2"/>
        <v>14800</v>
      </c>
      <c r="L4702">
        <f t="shared" si="3"/>
        <v>0</v>
      </c>
    </row>
    <row r="4703">
      <c r="A4703" s="107">
        <f>IFERROR(__xludf.DUMMYFUNCTION("""COMPUTED_VALUE"""),45901.0)</f>
        <v>45901</v>
      </c>
      <c r="B4703" t="str">
        <f>IFERROR(__xludf.DUMMYFUNCTION("""COMPUTED_VALUE"""),"[內湖秘境] G [徐若洹] 月租金 (行號: 18)")</f>
        <v>[內湖秘境] G [徐若洹] 月租金 (行號: 18)</v>
      </c>
      <c r="C4703" t="str">
        <f>IFERROR(__xludf.DUMMYFUNCTION("""COMPUTED_VALUE"""),"收入 - 租金")</f>
        <v>收入 - 租金</v>
      </c>
      <c r="D4703" s="270">
        <f>IFERROR(__xludf.DUMMYFUNCTION("""COMPUTED_VALUE"""),12600.0)</f>
        <v>12600</v>
      </c>
      <c r="F4703" t="str">
        <f>IFERROR(__xludf.DUMMYFUNCTION("""COMPUTED_VALUE"""),"玉山帳戶")</f>
        <v>玉山帳戶</v>
      </c>
      <c r="G4703" t="str">
        <f>IFERROR(__xludf.DUMMYFUNCTION("""COMPUTED_VALUE"""),"內湖秘境")</f>
        <v>內湖秘境</v>
      </c>
      <c r="H4703" s="106" t="str">
        <f t="shared" si="1"/>
        <v>2025-09</v>
      </c>
      <c r="I4703" s="271" t="str">
        <f>IFERROR(__xludf.DUMMYFUNCTION("""COMPUTED_VALUE"""),"鯰魚大大")</f>
        <v>鯰魚大大</v>
      </c>
      <c r="J4703" t="str">
        <f>IFERROR(__xludf.DUMMYFUNCTION("IFS(
  AND(REGEXMATCH(E4703, ""台銀籌備帳戶|玉山帳戶""), REGEXMATCH(C4703, ""薪資"")), ""分潤支出"",
  AND(REGEXMATCH(E4703, ""Ben帳戶|Elsa帳戶|Ben代墊|Ariel代墊|中信銀行共用""), REGEXMATCH(F4703, ""Ben帳戶|Elsa帳戶|Ben代墊|Ariel代墊|中信銀行共用"")), ""內部轉帳(忽略)"",
  AND(E4703&lt;&gt;"""", F4703&lt;&gt;"""", N"&amp;"OT(REGEXMATCH(C4703, ""薪資""))), ""內部轉帳(忽略)"",
  REGEXMATCH(C4703, ""薪資""), ""薪資變動(不計入)"",
  REGEXMATCH(C4703, ""押金""), ""押金往來"",
  AND(E4703&lt;&gt;"""", F4703=""""), ""真實支出"",
  AND(E4703="""", F4703&lt;&gt;""""), ""真實收入"",
  TRUE, ""其他""
)"),"真實收入")</f>
        <v>真實收入</v>
      </c>
      <c r="K4703" s="270">
        <f t="shared" si="2"/>
        <v>12600</v>
      </c>
      <c r="L4703">
        <f t="shared" si="3"/>
        <v>0</v>
      </c>
    </row>
    <row r="4704">
      <c r="A4704" s="107">
        <f>IFERROR(__xludf.DUMMYFUNCTION("""COMPUTED_VALUE"""),45901.0)</f>
        <v>45901</v>
      </c>
      <c r="B4704" t="str">
        <f>IFERROR(__xludf.DUMMYFUNCTION("""COMPUTED_VALUE"""),"[內湖CityLink] E [葉英蔚] 月租金 (行號: 23)")</f>
        <v>[內湖CityLink] E [葉英蔚] 月租金 (行號: 23)</v>
      </c>
      <c r="C4704" t="str">
        <f>IFERROR(__xludf.DUMMYFUNCTION("""COMPUTED_VALUE"""),"收入 - 租金")</f>
        <v>收入 - 租金</v>
      </c>
      <c r="D4704" s="270">
        <f>IFERROR(__xludf.DUMMYFUNCTION("""COMPUTED_VALUE"""),13300.0)</f>
        <v>13300</v>
      </c>
      <c r="F4704" t="str">
        <f>IFERROR(__xludf.DUMMYFUNCTION("""COMPUTED_VALUE"""),"玉山帳戶")</f>
        <v>玉山帳戶</v>
      </c>
      <c r="G4704" t="str">
        <f>IFERROR(__xludf.DUMMYFUNCTION("""COMPUTED_VALUE"""),"內湖CityLink")</f>
        <v>內湖CityLink</v>
      </c>
      <c r="H4704" s="106" t="str">
        <f t="shared" si="1"/>
        <v>2025-09</v>
      </c>
      <c r="I4704" s="271" t="str">
        <f>IFERROR(__xludf.DUMMYFUNCTION("""COMPUTED_VALUE"""),"鯰魚大大")</f>
        <v>鯰魚大大</v>
      </c>
      <c r="J4704" t="str">
        <f>IFERROR(__xludf.DUMMYFUNCTION("IFS(
  AND(REGEXMATCH(E4704, ""台銀籌備帳戶|玉山帳戶""), REGEXMATCH(C4704, ""薪資"")), ""分潤支出"",
  AND(REGEXMATCH(E4704, ""Ben帳戶|Elsa帳戶|Ben代墊|Ariel代墊|中信銀行共用""), REGEXMATCH(F4704, ""Ben帳戶|Elsa帳戶|Ben代墊|Ariel代墊|中信銀行共用"")), ""內部轉帳(忽略)"",
  AND(E4704&lt;&gt;"""", F4704&lt;&gt;"""", N"&amp;"OT(REGEXMATCH(C4704, ""薪資""))), ""內部轉帳(忽略)"",
  REGEXMATCH(C4704, ""薪資""), ""薪資變動(不計入)"",
  REGEXMATCH(C4704, ""押金""), ""押金往來"",
  AND(E4704&lt;&gt;"""", F4704=""""), ""真實支出"",
  AND(E4704="""", F4704&lt;&gt;""""), ""真實收入"",
  TRUE, ""其他""
)"),"真實收入")</f>
        <v>真實收入</v>
      </c>
      <c r="K4704" s="270">
        <f t="shared" si="2"/>
        <v>13300</v>
      </c>
      <c r="L4704">
        <f t="shared" si="3"/>
        <v>0</v>
      </c>
    </row>
    <row r="4705">
      <c r="A4705" s="107">
        <f>IFERROR(__xludf.DUMMYFUNCTION("""COMPUTED_VALUE"""),45901.0)</f>
        <v>45901</v>
      </c>
      <c r="B4705" t="str">
        <f>IFERROR(__xludf.DUMMYFUNCTION("""COMPUTED_VALUE"""),"[行天宮夏野良栗] C [黃伊妍] 月租金 (行號: 24)")</f>
        <v>[行天宮夏野良栗] C [黃伊妍] 月租金 (行號: 24)</v>
      </c>
      <c r="C4705" t="str">
        <f>IFERROR(__xludf.DUMMYFUNCTION("""COMPUTED_VALUE"""),"收入 - 租金")</f>
        <v>收入 - 租金</v>
      </c>
      <c r="D4705" s="270">
        <f>IFERROR(__xludf.DUMMYFUNCTION("""COMPUTED_VALUE"""),11000.0)</f>
        <v>11000</v>
      </c>
      <c r="F4705" t="str">
        <f>IFERROR(__xludf.DUMMYFUNCTION("""COMPUTED_VALUE"""),"玉山帳戶")</f>
        <v>玉山帳戶</v>
      </c>
      <c r="G4705" t="str">
        <f>IFERROR(__xludf.DUMMYFUNCTION("""COMPUTED_VALUE"""),"行天宮夏野良栗")</f>
        <v>行天宮夏野良栗</v>
      </c>
      <c r="H4705" s="106" t="str">
        <f t="shared" si="1"/>
        <v>2025-09</v>
      </c>
      <c r="I4705" s="271" t="str">
        <f>IFERROR(__xludf.DUMMYFUNCTION("""COMPUTED_VALUE"""),"鯰魚大大")</f>
        <v>鯰魚大大</v>
      </c>
      <c r="J4705" t="str">
        <f>IFERROR(__xludf.DUMMYFUNCTION("IFS(
  AND(REGEXMATCH(E4705, ""台銀籌備帳戶|玉山帳戶""), REGEXMATCH(C4705, ""薪資"")), ""分潤支出"",
  AND(REGEXMATCH(E4705, ""Ben帳戶|Elsa帳戶|Ben代墊|Ariel代墊|中信銀行共用""), REGEXMATCH(F4705, ""Ben帳戶|Elsa帳戶|Ben代墊|Ariel代墊|中信銀行共用"")), ""內部轉帳(忽略)"",
  AND(E4705&lt;&gt;"""", F4705&lt;&gt;"""", N"&amp;"OT(REGEXMATCH(C4705, ""薪資""))), ""內部轉帳(忽略)"",
  REGEXMATCH(C4705, ""薪資""), ""薪資變動(不計入)"",
  REGEXMATCH(C4705, ""押金""), ""押金往來"",
  AND(E4705&lt;&gt;"""", F4705=""""), ""真實支出"",
  AND(E4705="""", F4705&lt;&gt;""""), ""真實收入"",
  TRUE, ""其他""
)"),"真實收入")</f>
        <v>真實收入</v>
      </c>
      <c r="K4705" s="270">
        <f t="shared" si="2"/>
        <v>11000</v>
      </c>
      <c r="L4705">
        <f t="shared" si="3"/>
        <v>0</v>
      </c>
    </row>
    <row r="4706">
      <c r="A4706" s="107">
        <f>IFERROR(__xludf.DUMMYFUNCTION("""COMPUTED_VALUE"""),45901.0)</f>
        <v>45901</v>
      </c>
      <c r="B4706" t="str">
        <f>IFERROR(__xludf.DUMMYFUNCTION("""COMPUTED_VALUE"""),"[行天宮夏野良栗] D [江仲元] 月租金 (行號: 25)")</f>
        <v>[行天宮夏野良栗] D [江仲元] 月租金 (行號: 25)</v>
      </c>
      <c r="C4706" t="str">
        <f>IFERROR(__xludf.DUMMYFUNCTION("""COMPUTED_VALUE"""),"收入 - 租金")</f>
        <v>收入 - 租金</v>
      </c>
      <c r="D4706" s="270">
        <f>IFERROR(__xludf.DUMMYFUNCTION("""COMPUTED_VALUE"""),11200.0)</f>
        <v>11200</v>
      </c>
      <c r="F4706" t="str">
        <f>IFERROR(__xludf.DUMMYFUNCTION("""COMPUTED_VALUE"""),"玉山帳戶")</f>
        <v>玉山帳戶</v>
      </c>
      <c r="G4706" t="str">
        <f>IFERROR(__xludf.DUMMYFUNCTION("""COMPUTED_VALUE"""),"行天宮夏野良栗")</f>
        <v>行天宮夏野良栗</v>
      </c>
      <c r="H4706" s="106" t="str">
        <f t="shared" si="1"/>
        <v>2025-09</v>
      </c>
      <c r="I4706" s="271" t="str">
        <f>IFERROR(__xludf.DUMMYFUNCTION("""COMPUTED_VALUE"""),"鯰魚大大")</f>
        <v>鯰魚大大</v>
      </c>
      <c r="J4706" t="str">
        <f>IFERROR(__xludf.DUMMYFUNCTION("IFS(
  AND(REGEXMATCH(E4706, ""台銀籌備帳戶|玉山帳戶""), REGEXMATCH(C4706, ""薪資"")), ""分潤支出"",
  AND(REGEXMATCH(E4706, ""Ben帳戶|Elsa帳戶|Ben代墊|Ariel代墊|中信銀行共用""), REGEXMATCH(F4706, ""Ben帳戶|Elsa帳戶|Ben代墊|Ariel代墊|中信銀行共用"")), ""內部轉帳(忽略)"",
  AND(E4706&lt;&gt;"""", F4706&lt;&gt;"""", N"&amp;"OT(REGEXMATCH(C4706, ""薪資""))), ""內部轉帳(忽略)"",
  REGEXMATCH(C4706, ""薪資""), ""薪資變動(不計入)"",
  REGEXMATCH(C4706, ""押金""), ""押金往來"",
  AND(E4706&lt;&gt;"""", F4706=""""), ""真實支出"",
  AND(E4706="""", F4706&lt;&gt;""""), ""真實收入"",
  TRUE, ""其他""
)"),"真實收入")</f>
        <v>真實收入</v>
      </c>
      <c r="K4706" s="270">
        <f t="shared" si="2"/>
        <v>11200</v>
      </c>
      <c r="L4706">
        <f t="shared" si="3"/>
        <v>0</v>
      </c>
    </row>
    <row r="4707">
      <c r="A4707" s="107">
        <f>IFERROR(__xludf.DUMMYFUNCTION("""COMPUTED_VALUE"""),45901.0)</f>
        <v>45901</v>
      </c>
      <c r="B4707" t="str">
        <f>IFERROR(__xludf.DUMMYFUNCTION("""COMPUTED_VALUE"""),"[內湖秘境] C [黃詩穎] 月租金 (行號: 26)")</f>
        <v>[內湖秘境] C [黃詩穎] 月租金 (行號: 26)</v>
      </c>
      <c r="C4707" t="str">
        <f>IFERROR(__xludf.DUMMYFUNCTION("""COMPUTED_VALUE"""),"收入 - 租金")</f>
        <v>收入 - 租金</v>
      </c>
      <c r="D4707" s="270">
        <f>IFERROR(__xludf.DUMMYFUNCTION("""COMPUTED_VALUE"""),14800.0)</f>
        <v>14800</v>
      </c>
      <c r="F4707" t="str">
        <f>IFERROR(__xludf.DUMMYFUNCTION("""COMPUTED_VALUE"""),"玉山帳戶")</f>
        <v>玉山帳戶</v>
      </c>
      <c r="G4707" t="str">
        <f>IFERROR(__xludf.DUMMYFUNCTION("""COMPUTED_VALUE"""),"內湖秘境")</f>
        <v>內湖秘境</v>
      </c>
      <c r="H4707" s="106" t="str">
        <f t="shared" si="1"/>
        <v>2025-09</v>
      </c>
      <c r="I4707" s="271" t="str">
        <f>IFERROR(__xludf.DUMMYFUNCTION("""COMPUTED_VALUE"""),"鯰魚大大")</f>
        <v>鯰魚大大</v>
      </c>
      <c r="J4707" t="str">
        <f>IFERROR(__xludf.DUMMYFUNCTION("IFS(
  AND(REGEXMATCH(E4707, ""台銀籌備帳戶|玉山帳戶""), REGEXMATCH(C4707, ""薪資"")), ""分潤支出"",
  AND(REGEXMATCH(E4707, ""Ben帳戶|Elsa帳戶|Ben代墊|Ariel代墊|中信銀行共用""), REGEXMATCH(F4707, ""Ben帳戶|Elsa帳戶|Ben代墊|Ariel代墊|中信銀行共用"")), ""內部轉帳(忽略)"",
  AND(E4707&lt;&gt;"""", F4707&lt;&gt;"""", N"&amp;"OT(REGEXMATCH(C4707, ""薪資""))), ""內部轉帳(忽略)"",
  REGEXMATCH(C4707, ""薪資""), ""薪資變動(不計入)"",
  REGEXMATCH(C4707, ""押金""), ""押金往來"",
  AND(E4707&lt;&gt;"""", F4707=""""), ""真實支出"",
  AND(E4707="""", F4707&lt;&gt;""""), ""真實收入"",
  TRUE, ""其他""
)"),"真實收入")</f>
        <v>真實收入</v>
      </c>
      <c r="K4707" s="270">
        <f t="shared" si="2"/>
        <v>14800</v>
      </c>
      <c r="L4707">
        <f t="shared" si="3"/>
        <v>0</v>
      </c>
    </row>
    <row r="4708">
      <c r="A4708" s="107">
        <f>IFERROR(__xludf.DUMMYFUNCTION("""COMPUTED_VALUE"""),45901.0)</f>
        <v>45901</v>
      </c>
      <c r="B4708" t="str">
        <f>IFERROR(__xludf.DUMMYFUNCTION("""COMPUTED_VALUE"""),"[內湖CityLink] C [汪建豪] 月租金 (行號: 27)")</f>
        <v>[內湖CityLink] C [汪建豪] 月租金 (行號: 27)</v>
      </c>
      <c r="C4708" t="str">
        <f>IFERROR(__xludf.DUMMYFUNCTION("""COMPUTED_VALUE"""),"收入 - 租金")</f>
        <v>收入 - 租金</v>
      </c>
      <c r="D4708" s="270">
        <f>IFERROR(__xludf.DUMMYFUNCTION("""COMPUTED_VALUE"""),12500.0)</f>
        <v>12500</v>
      </c>
      <c r="F4708" t="str">
        <f>IFERROR(__xludf.DUMMYFUNCTION("""COMPUTED_VALUE"""),"玉山帳戶")</f>
        <v>玉山帳戶</v>
      </c>
      <c r="G4708" t="str">
        <f>IFERROR(__xludf.DUMMYFUNCTION("""COMPUTED_VALUE"""),"內湖CityLink")</f>
        <v>內湖CityLink</v>
      </c>
      <c r="H4708" s="106" t="str">
        <f t="shared" si="1"/>
        <v>2025-09</v>
      </c>
      <c r="I4708" s="271" t="str">
        <f>IFERROR(__xludf.DUMMYFUNCTION("""COMPUTED_VALUE"""),"鯰魚大大")</f>
        <v>鯰魚大大</v>
      </c>
      <c r="J4708" t="str">
        <f>IFERROR(__xludf.DUMMYFUNCTION("IFS(
  AND(REGEXMATCH(E4708, ""台銀籌備帳戶|玉山帳戶""), REGEXMATCH(C4708, ""薪資"")), ""分潤支出"",
  AND(REGEXMATCH(E4708, ""Ben帳戶|Elsa帳戶|Ben代墊|Ariel代墊|中信銀行共用""), REGEXMATCH(F4708, ""Ben帳戶|Elsa帳戶|Ben代墊|Ariel代墊|中信銀行共用"")), ""內部轉帳(忽略)"",
  AND(E4708&lt;&gt;"""", F4708&lt;&gt;"""", N"&amp;"OT(REGEXMATCH(C4708, ""薪資""))), ""內部轉帳(忽略)"",
  REGEXMATCH(C4708, ""薪資""), ""薪資變動(不計入)"",
  REGEXMATCH(C4708, ""押金""), ""押金往來"",
  AND(E4708&lt;&gt;"""", F4708=""""), ""真實支出"",
  AND(E4708="""", F4708&lt;&gt;""""), ""真實收入"",
  TRUE, ""其他""
)"),"真實收入")</f>
        <v>真實收入</v>
      </c>
      <c r="K4708" s="270">
        <f t="shared" si="2"/>
        <v>12500</v>
      </c>
      <c r="L4708">
        <f t="shared" si="3"/>
        <v>0</v>
      </c>
    </row>
    <row r="4709">
      <c r="A4709" s="107">
        <f>IFERROR(__xludf.DUMMYFUNCTION("""COMPUTED_VALUE"""),45901.0)</f>
        <v>45901</v>
      </c>
      <c r="B4709" t="str">
        <f>IFERROR(__xludf.DUMMYFUNCTION("""COMPUTED_VALUE"""),"[內湖CityLink] F [Ardian Umam] 月租金 (行號: 28)")</f>
        <v>[內湖CityLink] F [Ardian Umam] 月租金 (行號: 28)</v>
      </c>
      <c r="C4709" t="str">
        <f>IFERROR(__xludf.DUMMYFUNCTION("""COMPUTED_VALUE"""),"收入 - 租金")</f>
        <v>收入 - 租金</v>
      </c>
      <c r="D4709" s="270">
        <f>IFERROR(__xludf.DUMMYFUNCTION("""COMPUTED_VALUE"""),13300.0)</f>
        <v>13300</v>
      </c>
      <c r="F4709" t="str">
        <f>IFERROR(__xludf.DUMMYFUNCTION("""COMPUTED_VALUE"""),"玉山帳戶")</f>
        <v>玉山帳戶</v>
      </c>
      <c r="G4709" t="str">
        <f>IFERROR(__xludf.DUMMYFUNCTION("""COMPUTED_VALUE"""),"內湖CityLink")</f>
        <v>內湖CityLink</v>
      </c>
      <c r="H4709" s="106" t="str">
        <f t="shared" si="1"/>
        <v>2025-09</v>
      </c>
      <c r="I4709" s="271" t="str">
        <f>IFERROR(__xludf.DUMMYFUNCTION("""COMPUTED_VALUE"""),"鯰魚大大")</f>
        <v>鯰魚大大</v>
      </c>
      <c r="J4709" t="str">
        <f>IFERROR(__xludf.DUMMYFUNCTION("IFS(
  AND(REGEXMATCH(E4709, ""台銀籌備帳戶|玉山帳戶""), REGEXMATCH(C4709, ""薪資"")), ""分潤支出"",
  AND(REGEXMATCH(E4709, ""Ben帳戶|Elsa帳戶|Ben代墊|Ariel代墊|中信銀行共用""), REGEXMATCH(F4709, ""Ben帳戶|Elsa帳戶|Ben代墊|Ariel代墊|中信銀行共用"")), ""內部轉帳(忽略)"",
  AND(E4709&lt;&gt;"""", F4709&lt;&gt;"""", N"&amp;"OT(REGEXMATCH(C4709, ""薪資""))), ""內部轉帳(忽略)"",
  REGEXMATCH(C4709, ""薪資""), ""薪資變動(不計入)"",
  REGEXMATCH(C4709, ""押金""), ""押金往來"",
  AND(E4709&lt;&gt;"""", F4709=""""), ""真實支出"",
  AND(E4709="""", F4709&lt;&gt;""""), ""真實收入"",
  TRUE, ""其他""
)"),"真實收入")</f>
        <v>真實收入</v>
      </c>
      <c r="K4709" s="270">
        <f t="shared" si="2"/>
        <v>13300</v>
      </c>
      <c r="L4709">
        <f t="shared" si="3"/>
        <v>0</v>
      </c>
    </row>
    <row r="4710">
      <c r="A4710" s="107">
        <f>IFERROR(__xludf.DUMMYFUNCTION("""COMPUTED_VALUE"""),45901.0)</f>
        <v>45901</v>
      </c>
      <c r="B4710" t="str">
        <f>IFERROR(__xludf.DUMMYFUNCTION("""COMPUTED_VALUE"""),"[內湖秘境] E [林芷妤] 月租金 (行號: 29)")</f>
        <v>[內湖秘境] E [林芷妤] 月租金 (行號: 29)</v>
      </c>
      <c r="C4710" t="str">
        <f>IFERROR(__xludf.DUMMYFUNCTION("""COMPUTED_VALUE"""),"收入 - 租金")</f>
        <v>收入 - 租金</v>
      </c>
      <c r="D4710" s="270">
        <f>IFERROR(__xludf.DUMMYFUNCTION("""COMPUTED_VALUE"""),13600.0)</f>
        <v>13600</v>
      </c>
      <c r="F4710" t="str">
        <f>IFERROR(__xludf.DUMMYFUNCTION("""COMPUTED_VALUE"""),"玉山帳戶")</f>
        <v>玉山帳戶</v>
      </c>
      <c r="G4710" t="str">
        <f>IFERROR(__xludf.DUMMYFUNCTION("""COMPUTED_VALUE"""),"內湖秘境")</f>
        <v>內湖秘境</v>
      </c>
      <c r="H4710" s="106" t="str">
        <f t="shared" si="1"/>
        <v>2025-09</v>
      </c>
      <c r="I4710" s="271" t="str">
        <f>IFERROR(__xludf.DUMMYFUNCTION("""COMPUTED_VALUE"""),"鯰魚大大")</f>
        <v>鯰魚大大</v>
      </c>
      <c r="J4710" t="str">
        <f>IFERROR(__xludf.DUMMYFUNCTION("IFS(
  AND(REGEXMATCH(E4710, ""台銀籌備帳戶|玉山帳戶""), REGEXMATCH(C4710, ""薪資"")), ""分潤支出"",
  AND(REGEXMATCH(E4710, ""Ben帳戶|Elsa帳戶|Ben代墊|Ariel代墊|中信銀行共用""), REGEXMATCH(F4710, ""Ben帳戶|Elsa帳戶|Ben代墊|Ariel代墊|中信銀行共用"")), ""內部轉帳(忽略)"",
  AND(E4710&lt;&gt;"""", F4710&lt;&gt;"""", N"&amp;"OT(REGEXMATCH(C4710, ""薪資""))), ""內部轉帳(忽略)"",
  REGEXMATCH(C4710, ""薪資""), ""薪資變動(不計入)"",
  REGEXMATCH(C4710, ""押金""), ""押金往來"",
  AND(E4710&lt;&gt;"""", F4710=""""), ""真實支出"",
  AND(E4710="""", F4710&lt;&gt;""""), ""真實收入"",
  TRUE, ""其他""
)"),"真實收入")</f>
        <v>真實收入</v>
      </c>
      <c r="K4710" s="270">
        <f t="shared" si="2"/>
        <v>13600</v>
      </c>
      <c r="L4710">
        <f t="shared" si="3"/>
        <v>0</v>
      </c>
    </row>
    <row r="4711">
      <c r="A4711" s="107">
        <f>IFERROR(__xludf.DUMMYFUNCTION("""COMPUTED_VALUE"""),45901.0)</f>
        <v>45901</v>
      </c>
      <c r="B4711" t="str">
        <f>IFERROR(__xludf.DUMMYFUNCTION("""COMPUTED_VALUE"""),"[內湖秘境] B [劉桀綸] 月租金 (行號: 30)")</f>
        <v>[內湖秘境] B [劉桀綸] 月租金 (行號: 30)</v>
      </c>
      <c r="C4711" t="str">
        <f>IFERROR(__xludf.DUMMYFUNCTION("""COMPUTED_VALUE"""),"收入 - 租金")</f>
        <v>收入 - 租金</v>
      </c>
      <c r="D4711" s="270">
        <f>IFERROR(__xludf.DUMMYFUNCTION("""COMPUTED_VALUE"""),12300.0)</f>
        <v>12300</v>
      </c>
      <c r="F4711" t="str">
        <f>IFERROR(__xludf.DUMMYFUNCTION("""COMPUTED_VALUE"""),"玉山帳戶")</f>
        <v>玉山帳戶</v>
      </c>
      <c r="G4711" t="str">
        <f>IFERROR(__xludf.DUMMYFUNCTION("""COMPUTED_VALUE"""),"內湖秘境")</f>
        <v>內湖秘境</v>
      </c>
      <c r="H4711" s="106" t="str">
        <f t="shared" si="1"/>
        <v>2025-09</v>
      </c>
      <c r="I4711" s="271" t="str">
        <f>IFERROR(__xludf.DUMMYFUNCTION("""COMPUTED_VALUE"""),"鯰魚大大")</f>
        <v>鯰魚大大</v>
      </c>
      <c r="J4711" t="str">
        <f>IFERROR(__xludf.DUMMYFUNCTION("IFS(
  AND(REGEXMATCH(E4711, ""台銀籌備帳戶|玉山帳戶""), REGEXMATCH(C4711, ""薪資"")), ""分潤支出"",
  AND(REGEXMATCH(E4711, ""Ben帳戶|Elsa帳戶|Ben代墊|Ariel代墊|中信銀行共用""), REGEXMATCH(F4711, ""Ben帳戶|Elsa帳戶|Ben代墊|Ariel代墊|中信銀行共用"")), ""內部轉帳(忽略)"",
  AND(E4711&lt;&gt;"""", F4711&lt;&gt;"""", N"&amp;"OT(REGEXMATCH(C4711, ""薪資""))), ""內部轉帳(忽略)"",
  REGEXMATCH(C4711, ""薪資""), ""薪資變動(不計入)"",
  REGEXMATCH(C4711, ""押金""), ""押金往來"",
  AND(E4711&lt;&gt;"""", F4711=""""), ""真實支出"",
  AND(E4711="""", F4711&lt;&gt;""""), ""真實收入"",
  TRUE, ""其他""
)"),"真實收入")</f>
        <v>真實收入</v>
      </c>
      <c r="K4711" s="270">
        <f t="shared" si="2"/>
        <v>12300</v>
      </c>
      <c r="L4711">
        <f t="shared" si="3"/>
        <v>0</v>
      </c>
    </row>
    <row r="4712">
      <c r="A4712" s="107">
        <f>IFERROR(__xludf.DUMMYFUNCTION("""COMPUTED_VALUE"""),45901.0)</f>
        <v>45901</v>
      </c>
      <c r="B4712" t="str">
        <f>IFERROR(__xludf.DUMMYFUNCTION("""COMPUTED_VALUE"""),"[內湖秘境] A [陳玟涵] 月租金 (行號: 31)")</f>
        <v>[內湖秘境] A [陳玟涵] 月租金 (行號: 31)</v>
      </c>
      <c r="C4712" t="str">
        <f>IFERROR(__xludf.DUMMYFUNCTION("""COMPUTED_VALUE"""),"收入 - 租金")</f>
        <v>收入 - 租金</v>
      </c>
      <c r="D4712" s="270">
        <f>IFERROR(__xludf.DUMMYFUNCTION("""COMPUTED_VALUE"""),11700.0)</f>
        <v>11700</v>
      </c>
      <c r="F4712" t="str">
        <f>IFERROR(__xludf.DUMMYFUNCTION("""COMPUTED_VALUE"""),"玉山帳戶")</f>
        <v>玉山帳戶</v>
      </c>
      <c r="G4712" t="str">
        <f>IFERROR(__xludf.DUMMYFUNCTION("""COMPUTED_VALUE"""),"內湖秘境")</f>
        <v>內湖秘境</v>
      </c>
      <c r="H4712" s="106" t="str">
        <f t="shared" si="1"/>
        <v>2025-09</v>
      </c>
      <c r="I4712" s="271" t="str">
        <f>IFERROR(__xludf.DUMMYFUNCTION("""COMPUTED_VALUE"""),"鯰魚大大")</f>
        <v>鯰魚大大</v>
      </c>
      <c r="J4712" t="str">
        <f>IFERROR(__xludf.DUMMYFUNCTION("IFS(
  AND(REGEXMATCH(E4712, ""台銀籌備帳戶|玉山帳戶""), REGEXMATCH(C4712, ""薪資"")), ""分潤支出"",
  AND(REGEXMATCH(E4712, ""Ben帳戶|Elsa帳戶|Ben代墊|Ariel代墊|中信銀行共用""), REGEXMATCH(F4712, ""Ben帳戶|Elsa帳戶|Ben代墊|Ariel代墊|中信銀行共用"")), ""內部轉帳(忽略)"",
  AND(E4712&lt;&gt;"""", F4712&lt;&gt;"""", N"&amp;"OT(REGEXMATCH(C4712, ""薪資""))), ""內部轉帳(忽略)"",
  REGEXMATCH(C4712, ""薪資""), ""薪資變動(不計入)"",
  REGEXMATCH(C4712, ""押金""), ""押金往來"",
  AND(E4712&lt;&gt;"""", F4712=""""), ""真實支出"",
  AND(E4712="""", F4712&lt;&gt;""""), ""真實收入"",
  TRUE, ""其他""
)"),"真實收入")</f>
        <v>真實收入</v>
      </c>
      <c r="K4712" s="270">
        <f t="shared" si="2"/>
        <v>11700</v>
      </c>
      <c r="L4712">
        <f t="shared" si="3"/>
        <v>0</v>
      </c>
    </row>
    <row r="4713">
      <c r="A4713" s="107">
        <f>IFERROR(__xludf.DUMMYFUNCTION("""COMPUTED_VALUE"""),45901.0)</f>
        <v>45901</v>
      </c>
      <c r="B4713" t="str">
        <f>IFERROR(__xludf.DUMMYFUNCTION("""COMPUTED_VALUE"""),"[行天宮夏野良栗] E [張宏祺, 謝宗穎] 月租金 (行號: 33)")</f>
        <v>[行天宮夏野良栗] E [張宏祺, 謝宗穎] 月租金 (行號: 33)</v>
      </c>
      <c r="C4713" t="str">
        <f>IFERROR(__xludf.DUMMYFUNCTION("""COMPUTED_VALUE"""),"收入 - 租金")</f>
        <v>收入 - 租金</v>
      </c>
      <c r="D4713" s="270">
        <f>IFERROR(__xludf.DUMMYFUNCTION("""COMPUTED_VALUE"""),31800.0)</f>
        <v>31800</v>
      </c>
      <c r="F4713" t="str">
        <f>IFERROR(__xludf.DUMMYFUNCTION("""COMPUTED_VALUE"""),"玉山帳戶")</f>
        <v>玉山帳戶</v>
      </c>
      <c r="G4713" t="str">
        <f>IFERROR(__xludf.DUMMYFUNCTION("""COMPUTED_VALUE"""),"行天宮夏野良栗")</f>
        <v>行天宮夏野良栗</v>
      </c>
      <c r="H4713" s="106" t="str">
        <f t="shared" si="1"/>
        <v>2025-09</v>
      </c>
      <c r="I4713" s="271" t="str">
        <f>IFERROR(__xludf.DUMMYFUNCTION("""COMPUTED_VALUE"""),"鯰魚大大")</f>
        <v>鯰魚大大</v>
      </c>
      <c r="J4713" t="str">
        <f>IFERROR(__xludf.DUMMYFUNCTION("IFS(
  AND(REGEXMATCH(E4713, ""台銀籌備帳戶|玉山帳戶""), REGEXMATCH(C4713, ""薪資"")), ""分潤支出"",
  AND(REGEXMATCH(E4713, ""Ben帳戶|Elsa帳戶|Ben代墊|Ariel代墊|中信銀行共用""), REGEXMATCH(F4713, ""Ben帳戶|Elsa帳戶|Ben代墊|Ariel代墊|中信銀行共用"")), ""內部轉帳(忽略)"",
  AND(E4713&lt;&gt;"""", F4713&lt;&gt;"""", N"&amp;"OT(REGEXMATCH(C4713, ""薪資""))), ""內部轉帳(忽略)"",
  REGEXMATCH(C4713, ""薪資""), ""薪資變動(不計入)"",
  REGEXMATCH(C4713, ""押金""), ""押金往來"",
  AND(E4713&lt;&gt;"""", F4713=""""), ""真實支出"",
  AND(E4713="""", F4713&lt;&gt;""""), ""真實收入"",
  TRUE, ""其他""
)"),"真實收入")</f>
        <v>真實收入</v>
      </c>
      <c r="K4713" s="270">
        <f t="shared" si="2"/>
        <v>31800</v>
      </c>
      <c r="L4713">
        <f t="shared" si="3"/>
        <v>0</v>
      </c>
    </row>
    <row r="4714">
      <c r="A4714" s="107">
        <f>IFERROR(__xludf.DUMMYFUNCTION("""COMPUTED_VALUE"""),45902.0)</f>
        <v>45902</v>
      </c>
      <c r="B4714" t="str">
        <f>IFERROR(__xludf.DUMMYFUNCTION("""COMPUTED_VALUE"""),"[內湖秘境] F [楊芯岳] 月租金 (行號: 35)")</f>
        <v>[內湖秘境] F [楊芯岳] 月租金 (行號: 35)</v>
      </c>
      <c r="C4714" t="str">
        <f>IFERROR(__xludf.DUMMYFUNCTION("""COMPUTED_VALUE"""),"收入 - 租金")</f>
        <v>收入 - 租金</v>
      </c>
      <c r="D4714" s="270">
        <f>IFERROR(__xludf.DUMMYFUNCTION("""COMPUTED_VALUE"""),13500.0)</f>
        <v>13500</v>
      </c>
      <c r="F4714" t="str">
        <f>IFERROR(__xludf.DUMMYFUNCTION("""COMPUTED_VALUE"""),"玉山帳戶")</f>
        <v>玉山帳戶</v>
      </c>
      <c r="G4714" t="str">
        <f>IFERROR(__xludf.DUMMYFUNCTION("""COMPUTED_VALUE"""),"內湖秘境")</f>
        <v>內湖秘境</v>
      </c>
      <c r="H4714" s="106" t="str">
        <f t="shared" si="1"/>
        <v>2025-09</v>
      </c>
      <c r="I4714" s="271" t="str">
        <f>IFERROR(__xludf.DUMMYFUNCTION("""COMPUTED_VALUE"""),"鯰魚大大")</f>
        <v>鯰魚大大</v>
      </c>
      <c r="J4714" t="str">
        <f>IFERROR(__xludf.DUMMYFUNCTION("IFS(
  AND(REGEXMATCH(E4714, ""台銀籌備帳戶|玉山帳戶""), REGEXMATCH(C4714, ""薪資"")), ""分潤支出"",
  AND(REGEXMATCH(E4714, ""Ben帳戶|Elsa帳戶|Ben代墊|Ariel代墊|中信銀行共用""), REGEXMATCH(F4714, ""Ben帳戶|Elsa帳戶|Ben代墊|Ariel代墊|中信銀行共用"")), ""內部轉帳(忽略)"",
  AND(E4714&lt;&gt;"""", F4714&lt;&gt;"""", N"&amp;"OT(REGEXMATCH(C4714, ""薪資""))), ""內部轉帳(忽略)"",
  REGEXMATCH(C4714, ""薪資""), ""薪資變動(不計入)"",
  REGEXMATCH(C4714, ""押金""), ""押金往來"",
  AND(E4714&lt;&gt;"""", F4714=""""), ""真實支出"",
  AND(E4714="""", F4714&lt;&gt;""""), ""真實收入"",
  TRUE, ""其他""
)"),"真實收入")</f>
        <v>真實收入</v>
      </c>
      <c r="K4714" s="270">
        <f t="shared" si="2"/>
        <v>13500</v>
      </c>
      <c r="L4714">
        <f t="shared" si="3"/>
        <v>0</v>
      </c>
    </row>
    <row r="4715">
      <c r="A4715" s="107">
        <f>IFERROR(__xludf.DUMMYFUNCTION("""COMPUTED_VALUE"""),45905.0)</f>
        <v>45905</v>
      </c>
      <c r="B4715" t="str">
        <f>IFERROR(__xludf.DUMMYFUNCTION("""COMPUTED_VALUE"""),"費用 - 匯費 對方行:822 後五碼:33337 (行號: 3)")</f>
        <v>費用 - 匯費 對方行:822 後五碼:33337 (行號: 3)</v>
      </c>
      <c r="C4715" t="str">
        <f>IFERROR(__xludf.DUMMYFUNCTION("""COMPUTED_VALUE"""),"費用 - 匯費")</f>
        <v>費用 - 匯費</v>
      </c>
      <c r="D4715" s="270">
        <f>IFERROR(__xludf.DUMMYFUNCTION("""COMPUTED_VALUE"""),-15.0)</f>
        <v>-15</v>
      </c>
      <c r="E4715" t="str">
        <f>IFERROR(__xludf.DUMMYFUNCTION("""COMPUTED_VALUE"""),"玉山帳戶")</f>
        <v>玉山帳戶</v>
      </c>
      <c r="H4715" s="106" t="str">
        <f t="shared" si="1"/>
        <v>2025-09</v>
      </c>
      <c r="I4715" s="271" t="str">
        <f>IFERROR(__xludf.DUMMYFUNCTION("""COMPUTED_VALUE"""),"鯰魚大大")</f>
        <v>鯰魚大大</v>
      </c>
      <c r="J4715" t="str">
        <f>IFERROR(__xludf.DUMMYFUNCTION("IFS(
  AND(REGEXMATCH(E4715, ""台銀籌備帳戶|玉山帳戶""), REGEXMATCH(C4715, ""薪資"")), ""分潤支出"",
  AND(REGEXMATCH(E4715, ""Ben帳戶|Elsa帳戶|Ben代墊|Ariel代墊|中信銀行共用""), REGEXMATCH(F4715, ""Ben帳戶|Elsa帳戶|Ben代墊|Ariel代墊|中信銀行共用"")), ""內部轉帳(忽略)"",
  AND(E4715&lt;&gt;"""", F4715&lt;&gt;"""", N"&amp;"OT(REGEXMATCH(C4715, ""薪資""))), ""內部轉帳(忽略)"",
  REGEXMATCH(C4715, ""薪資""), ""薪資變動(不計入)"",
  REGEXMATCH(C4715, ""押金""), ""押金往來"",
  AND(E4715&lt;&gt;"""", F4715=""""), ""真實支出"",
  AND(E4715="""", F4715&lt;&gt;""""), ""真實收入"",
  TRUE, ""其他""
)"),"真實支出")</f>
        <v>真實支出</v>
      </c>
      <c r="K4715" s="270">
        <f t="shared" si="2"/>
        <v>-15</v>
      </c>
      <c r="L4715">
        <f t="shared" si="3"/>
        <v>0</v>
      </c>
    </row>
    <row r="4716">
      <c r="A4716" s="107">
        <f>IFERROR(__xludf.DUMMYFUNCTION("""COMPUTED_VALUE"""),45905.0)</f>
        <v>45905</v>
      </c>
      <c r="B4716" t="str">
        <f>IFERROR(__xludf.DUMMYFUNCTION("""COMPUTED_VALUE"""),"代墊款 【未分類支出】")</f>
        <v>代墊款 【未分類支出】</v>
      </c>
      <c r="C4716" t="str">
        <f>IFERROR(__xludf.DUMMYFUNCTION("""COMPUTED_VALUE"""),"費用 - Salary 薪資")</f>
        <v>費用 - Salary 薪資</v>
      </c>
      <c r="D4716" s="270">
        <f>IFERROR(__xludf.DUMMYFUNCTION("""COMPUTED_VALUE"""),-100000.0)</f>
        <v>-100000</v>
      </c>
      <c r="E4716" t="str">
        <f>IFERROR(__xludf.DUMMYFUNCTION("""COMPUTED_VALUE"""),"玉山帳戶")</f>
        <v>玉山帳戶</v>
      </c>
      <c r="F4716" t="str">
        <f>IFERROR(__xludf.DUMMYFUNCTION("""COMPUTED_VALUE"""),"中信銀行共用")</f>
        <v>中信銀行共用</v>
      </c>
      <c r="H4716" s="106" t="str">
        <f t="shared" si="1"/>
        <v>2025-09</v>
      </c>
      <c r="I4716" s="271" t="str">
        <f>IFERROR(__xludf.DUMMYFUNCTION("""COMPUTED_VALUE"""),"鯰魚大大")</f>
        <v>鯰魚大大</v>
      </c>
      <c r="J4716" t="str">
        <f>IFERROR(__xludf.DUMMYFUNCTION("IFS(
  AND(REGEXMATCH(E4716, ""台銀籌備帳戶|玉山帳戶""), REGEXMATCH(C4716, ""薪資"")), ""分潤支出"",
  AND(REGEXMATCH(E4716, ""Ben帳戶|Elsa帳戶|Ben代墊|Ariel代墊|中信銀行共用""), REGEXMATCH(F4716, ""Ben帳戶|Elsa帳戶|Ben代墊|Ariel代墊|中信銀行共用"")), ""內部轉帳(忽略)"",
  AND(E4716&lt;&gt;"""", F4716&lt;&gt;"""", N"&amp;"OT(REGEXMATCH(C4716, ""薪資""))), ""內部轉帳(忽略)"",
  REGEXMATCH(C4716, ""薪資""), ""薪資變動(不計入)"",
  REGEXMATCH(C4716, ""押金""), ""押金往來"",
  AND(E4716&lt;&gt;"""", F4716=""""), ""真實支出"",
  AND(E4716="""", F4716&lt;&gt;""""), ""真實收入"",
  TRUE, ""其他""
)"),"分潤支出")</f>
        <v>分潤支出</v>
      </c>
      <c r="K4716">
        <f t="shared" si="2"/>
        <v>0</v>
      </c>
      <c r="L4716">
        <f t="shared" si="3"/>
        <v>100000</v>
      </c>
    </row>
    <row r="4717">
      <c r="A4717" s="107">
        <f>IFERROR(__xludf.DUMMYFUNCTION("""COMPUTED_VALUE"""),45904.0)</f>
        <v>45904</v>
      </c>
      <c r="B4717" t="str">
        <f>IFERROR(__xludf.DUMMYFUNCTION("""COMPUTED_VALUE"""),"[內湖CityLink] B [蔡善安] 月租金 後五碼:63589 (行號: 2)")</f>
        <v>[內湖CityLink] B [蔡善安] 月租金 後五碼:63589 (行號: 2)</v>
      </c>
      <c r="C4717" t="str">
        <f>IFERROR(__xludf.DUMMYFUNCTION("""COMPUTED_VALUE"""),"收入 - 租金")</f>
        <v>收入 - 租金</v>
      </c>
      <c r="D4717" s="270">
        <f>IFERROR(__xludf.DUMMYFUNCTION("""COMPUTED_VALUE"""),12000.0)</f>
        <v>12000</v>
      </c>
      <c r="F4717" t="str">
        <f>IFERROR(__xludf.DUMMYFUNCTION("""COMPUTED_VALUE"""),"玉山帳戶")</f>
        <v>玉山帳戶</v>
      </c>
      <c r="G4717" t="str">
        <f>IFERROR(__xludf.DUMMYFUNCTION("""COMPUTED_VALUE"""),"內湖CityLink")</f>
        <v>內湖CityLink</v>
      </c>
      <c r="H4717" s="106" t="str">
        <f t="shared" si="1"/>
        <v>2025-09</v>
      </c>
      <c r="I4717" s="271" t="str">
        <f>IFERROR(__xludf.DUMMYFUNCTION("""COMPUTED_VALUE"""),"鯰魚大大")</f>
        <v>鯰魚大大</v>
      </c>
      <c r="J4717" t="str">
        <f>IFERROR(__xludf.DUMMYFUNCTION("IFS(
  AND(REGEXMATCH(E4717, ""台銀籌備帳戶|玉山帳戶""), REGEXMATCH(C4717, ""薪資"")), ""分潤支出"",
  AND(REGEXMATCH(E4717, ""Ben帳戶|Elsa帳戶|Ben代墊|Ariel代墊|中信銀行共用""), REGEXMATCH(F4717, ""Ben帳戶|Elsa帳戶|Ben代墊|Ariel代墊|中信銀行共用"")), ""內部轉帳(忽略)"",
  AND(E4717&lt;&gt;"""", F4717&lt;&gt;"""", N"&amp;"OT(REGEXMATCH(C4717, ""薪資""))), ""內部轉帳(忽略)"",
  REGEXMATCH(C4717, ""薪資""), ""薪資變動(不計入)"",
  REGEXMATCH(C4717, ""押金""), ""押金往來"",
  AND(E4717&lt;&gt;"""", F4717=""""), ""真實支出"",
  AND(E4717="""", F4717&lt;&gt;""""), ""真實收入"",
  TRUE, ""其他""
)"),"真實收入")</f>
        <v>真實收入</v>
      </c>
      <c r="K4717" s="270">
        <f t="shared" si="2"/>
        <v>12000</v>
      </c>
      <c r="L4717">
        <f t="shared" si="3"/>
        <v>0</v>
      </c>
    </row>
    <row r="4718">
      <c r="A4718" s="107">
        <f>IFERROR(__xludf.DUMMYFUNCTION("""COMPUTED_VALUE"""),45909.0)</f>
        <v>45909</v>
      </c>
      <c r="B4718" t="str">
        <f>IFERROR(__xludf.DUMMYFUNCTION("""COMPUTED_VALUE"""),"垃可8月")</f>
        <v>垃可8月</v>
      </c>
      <c r="C4718" t="str">
        <f>IFERROR(__xludf.DUMMYFUNCTION("""COMPUTED_VALUE"""),"成本 - 固定開銷(網路代收清潔)")</f>
        <v>成本 - 固定開銷(網路代收清潔)</v>
      </c>
      <c r="D4718" s="270">
        <f>IFERROR(__xludf.DUMMYFUNCTION("""COMPUTED_VALUE"""),-1800.0)</f>
        <v>-1800</v>
      </c>
      <c r="E4718" t="str">
        <f>IFERROR(__xludf.DUMMYFUNCTION("""COMPUTED_VALUE"""),"Ben代墊")</f>
        <v>Ben代墊</v>
      </c>
      <c r="H4718" s="106" t="str">
        <f t="shared" si="1"/>
        <v>2025-09</v>
      </c>
      <c r="I4718" s="271" t="str">
        <f>IFERROR(__xludf.DUMMYFUNCTION("""COMPUTED_VALUE"""),"鯰魚大大")</f>
        <v>鯰魚大大</v>
      </c>
      <c r="J4718" t="str">
        <f>IFERROR(__xludf.DUMMYFUNCTION("IFS(
  AND(REGEXMATCH(E4718, ""台銀籌備帳戶|玉山帳戶""), REGEXMATCH(C4718, ""薪資"")), ""分潤支出"",
  AND(REGEXMATCH(E4718, ""Ben帳戶|Elsa帳戶|Ben代墊|Ariel代墊|中信銀行共用""), REGEXMATCH(F4718, ""Ben帳戶|Elsa帳戶|Ben代墊|Ariel代墊|中信銀行共用"")), ""內部轉帳(忽略)"",
  AND(E4718&lt;&gt;"""", F4718&lt;&gt;"""", N"&amp;"OT(REGEXMATCH(C4718, ""薪資""))), ""內部轉帳(忽略)"",
  REGEXMATCH(C4718, ""薪資""), ""薪資變動(不計入)"",
  REGEXMATCH(C4718, ""押金""), ""押金往來"",
  AND(E4718&lt;&gt;"""", F4718=""""), ""真實支出"",
  AND(E4718="""", F4718&lt;&gt;""""), ""真實收入"",
  TRUE, ""其他""
)"),"真實支出")</f>
        <v>真實支出</v>
      </c>
      <c r="K4718" s="270">
        <f t="shared" si="2"/>
        <v>-1800</v>
      </c>
      <c r="L4718">
        <f t="shared" si="3"/>
        <v>0</v>
      </c>
    </row>
    <row r="4719">
      <c r="A4719" s="107">
        <f>IFERROR(__xludf.DUMMYFUNCTION("""COMPUTED_VALUE"""),45912.0)</f>
        <v>45912</v>
      </c>
      <c r="B4719" t="str">
        <f>IFERROR(__xludf.DUMMYFUNCTION("""COMPUTED_VALUE"""),"支付內湖水龍頭爆掉 【未分類支出】")</f>
        <v>支付內湖水龍頭爆掉 【未分類支出】</v>
      </c>
      <c r="C4719" t="str">
        <f>IFERROR(__xludf.DUMMYFUNCTION("""COMPUTED_VALUE"""),"成本 - 租後修繕")</f>
        <v>成本 - 租後修繕</v>
      </c>
      <c r="D4719" s="270">
        <f>IFERROR(__xludf.DUMMYFUNCTION("""COMPUTED_VALUE"""),-1470.0)</f>
        <v>-1470</v>
      </c>
      <c r="E4719" t="str">
        <f>IFERROR(__xludf.DUMMYFUNCTION("""COMPUTED_VALUE"""),"玉山帳戶")</f>
        <v>玉山帳戶</v>
      </c>
      <c r="G4719" t="str">
        <f>IFERROR(__xludf.DUMMYFUNCTION("""COMPUTED_VALUE"""),"內湖秘境")</f>
        <v>內湖秘境</v>
      </c>
      <c r="H4719" s="106" t="str">
        <f t="shared" si="1"/>
        <v>2025-09</v>
      </c>
      <c r="I4719" s="271" t="str">
        <f>IFERROR(__xludf.DUMMYFUNCTION("""COMPUTED_VALUE"""),"鯰魚大大")</f>
        <v>鯰魚大大</v>
      </c>
      <c r="J4719" t="str">
        <f>IFERROR(__xludf.DUMMYFUNCTION("IFS(
  AND(REGEXMATCH(E4719, ""台銀籌備帳戶|玉山帳戶""), REGEXMATCH(C4719, ""薪資"")), ""分潤支出"",
  AND(REGEXMATCH(E4719, ""Ben帳戶|Elsa帳戶|Ben代墊|Ariel代墊|中信銀行共用""), REGEXMATCH(F4719, ""Ben帳戶|Elsa帳戶|Ben代墊|Ariel代墊|中信銀行共用"")), ""內部轉帳(忽略)"",
  AND(E4719&lt;&gt;"""", F4719&lt;&gt;"""", N"&amp;"OT(REGEXMATCH(C4719, ""薪資""))), ""內部轉帳(忽略)"",
  REGEXMATCH(C4719, ""薪資""), ""薪資變動(不計入)"",
  REGEXMATCH(C4719, ""押金""), ""押金往來"",
  AND(E4719&lt;&gt;"""", F4719=""""), ""真實支出"",
  AND(E4719="""", F4719&lt;&gt;""""), ""真實收入"",
  TRUE, ""其他""
)"),"真實支出")</f>
        <v>真實支出</v>
      </c>
      <c r="K4719" s="270">
        <f t="shared" si="2"/>
        <v>-1470</v>
      </c>
      <c r="L4719">
        <f t="shared" si="3"/>
        <v>0</v>
      </c>
    </row>
    <row r="4720">
      <c r="A4720" s="107">
        <f>IFERROR(__xludf.DUMMYFUNCTION("""COMPUTED_VALUE"""),45915.0)</f>
        <v>45915</v>
      </c>
      <c r="B4720" t="str">
        <f>IFERROR(__xludf.DUMMYFUNCTION("""COMPUTED_VALUE"""),"費用 - 匯費 對方行:013 後五碼:78744 (行號: 3)")</f>
        <v>費用 - 匯費 對方行:013 後五碼:78744 (行號: 3)</v>
      </c>
      <c r="C4720" t="str">
        <f>IFERROR(__xludf.DUMMYFUNCTION("""COMPUTED_VALUE"""),"費用 - 匯費")</f>
        <v>費用 - 匯費</v>
      </c>
      <c r="D4720" s="270">
        <f>IFERROR(__xludf.DUMMYFUNCTION("""COMPUTED_VALUE"""),-15.0)</f>
        <v>-15</v>
      </c>
      <c r="E4720" t="str">
        <f>IFERROR(__xludf.DUMMYFUNCTION("""COMPUTED_VALUE"""),"玉山帳戶")</f>
        <v>玉山帳戶</v>
      </c>
      <c r="H4720" s="106" t="str">
        <f t="shared" si="1"/>
        <v>2025-09</v>
      </c>
      <c r="I4720" s="271" t="str">
        <f>IFERROR(__xludf.DUMMYFUNCTION("""COMPUTED_VALUE"""),"鯰魚大大")</f>
        <v>鯰魚大大</v>
      </c>
      <c r="J4720" t="str">
        <f>IFERROR(__xludf.DUMMYFUNCTION("IFS(
  AND(REGEXMATCH(E4720, ""台銀籌備帳戶|玉山帳戶""), REGEXMATCH(C4720, ""薪資"")), ""分潤支出"",
  AND(REGEXMATCH(E4720, ""Ben帳戶|Elsa帳戶|Ben代墊|Ariel代墊|中信銀行共用""), REGEXMATCH(F4720, ""Ben帳戶|Elsa帳戶|Ben代墊|Ariel代墊|中信銀行共用"")), ""內部轉帳(忽略)"",
  AND(E4720&lt;&gt;"""", F4720&lt;&gt;"""", N"&amp;"OT(REGEXMATCH(C4720, ""薪資""))), ""內部轉帳(忽略)"",
  REGEXMATCH(C4720, ""薪資""), ""薪資變動(不計入)"",
  REGEXMATCH(C4720, ""押金""), ""押金往來"",
  AND(E4720&lt;&gt;"""", F4720=""""), ""真實支出"",
  AND(E4720="""", F4720&lt;&gt;""""), ""真實收入"",
  TRUE, ""其他""
)"),"真實支出")</f>
        <v>真實支出</v>
      </c>
      <c r="K4720" s="270">
        <f t="shared" si="2"/>
        <v>-15</v>
      </c>
      <c r="L4720">
        <f t="shared" si="3"/>
        <v>0</v>
      </c>
    </row>
    <row r="4721">
      <c r="A4721" s="107">
        <f>IFERROR(__xludf.DUMMYFUNCTION("""COMPUTED_VALUE"""),45915.0)</f>
        <v>45915</v>
      </c>
      <c r="B4721" t="str">
        <f>IFERROR(__xludf.DUMMYFUNCTION("""COMPUTED_VALUE"""),"[士林和豐] [楊政偉] 大租金")</f>
        <v>[士林和豐] [楊政偉] 大租金</v>
      </c>
      <c r="C4721" t="str">
        <f>IFERROR(__xludf.DUMMYFUNCTION("""COMPUTED_VALUE"""),"成本 - 大租金")</f>
        <v>成本 - 大租金</v>
      </c>
      <c r="D4721" s="270">
        <f>IFERROR(__xludf.DUMMYFUNCTION("""COMPUTED_VALUE"""),-14400.0)</f>
        <v>-14400</v>
      </c>
      <c r="E4721" t="str">
        <f>IFERROR(__xludf.DUMMYFUNCTION("""COMPUTED_VALUE"""),"玉山帳戶")</f>
        <v>玉山帳戶</v>
      </c>
      <c r="G4721" t="str">
        <f>IFERROR(__xludf.DUMMYFUNCTION("""COMPUTED_VALUE"""),"士林和豐")</f>
        <v>士林和豐</v>
      </c>
      <c r="H4721" s="106" t="str">
        <f t="shared" si="1"/>
        <v>2025-09</v>
      </c>
      <c r="I4721" s="271" t="str">
        <f>IFERROR(__xludf.DUMMYFUNCTION("""COMPUTED_VALUE"""),"鯰魚大大")</f>
        <v>鯰魚大大</v>
      </c>
      <c r="J4721" t="str">
        <f>IFERROR(__xludf.DUMMYFUNCTION("IFS(
  AND(REGEXMATCH(E4721, ""台銀籌備帳戶|玉山帳戶""), REGEXMATCH(C4721, ""薪資"")), ""分潤支出"",
  AND(REGEXMATCH(E4721, ""Ben帳戶|Elsa帳戶|Ben代墊|Ariel代墊|中信銀行共用""), REGEXMATCH(F4721, ""Ben帳戶|Elsa帳戶|Ben代墊|Ariel代墊|中信銀行共用"")), ""內部轉帳(忽略)"",
  AND(E4721&lt;&gt;"""", F4721&lt;&gt;"""", N"&amp;"OT(REGEXMATCH(C4721, ""薪資""))), ""內部轉帳(忽略)"",
  REGEXMATCH(C4721, ""薪資""), ""薪資變動(不計入)"",
  REGEXMATCH(C4721, ""押金""), ""押金往來"",
  AND(E4721&lt;&gt;"""", F4721=""""), ""真實支出"",
  AND(E4721="""", F4721&lt;&gt;""""), ""真實收入"",
  TRUE, ""其他""
)"),"真實支出")</f>
        <v>真實支出</v>
      </c>
      <c r="K4721" s="270">
        <f t="shared" si="2"/>
        <v>-14400</v>
      </c>
      <c r="L4721">
        <f t="shared" si="3"/>
        <v>0</v>
      </c>
    </row>
    <row r="4722">
      <c r="A4722" s="107">
        <f>IFERROR(__xludf.DUMMYFUNCTION("""COMPUTED_VALUE"""),45915.0)</f>
        <v>45915</v>
      </c>
      <c r="B4722" t="str">
        <f>IFERROR(__xludf.DUMMYFUNCTION("""COMPUTED_VALUE"""),"費用 - 匯費 對方行:012 後五碼:68447 (行號: 4)")</f>
        <v>費用 - 匯費 對方行:012 後五碼:68447 (行號: 4)</v>
      </c>
      <c r="C4722" t="str">
        <f>IFERROR(__xludf.DUMMYFUNCTION("""COMPUTED_VALUE"""),"費用 - 匯費")</f>
        <v>費用 - 匯費</v>
      </c>
      <c r="D4722" s="270">
        <f>IFERROR(__xludf.DUMMYFUNCTION("""COMPUTED_VALUE"""),-15.0)</f>
        <v>-15</v>
      </c>
      <c r="E4722" t="str">
        <f>IFERROR(__xludf.DUMMYFUNCTION("""COMPUTED_VALUE"""),"玉山帳戶")</f>
        <v>玉山帳戶</v>
      </c>
      <c r="H4722" s="106" t="str">
        <f t="shared" si="1"/>
        <v>2025-09</v>
      </c>
      <c r="I4722" s="271" t="str">
        <f>IFERROR(__xludf.DUMMYFUNCTION("""COMPUTED_VALUE"""),"鯰魚大大")</f>
        <v>鯰魚大大</v>
      </c>
      <c r="J4722" t="str">
        <f>IFERROR(__xludf.DUMMYFUNCTION("IFS(
  AND(REGEXMATCH(E4722, ""台銀籌備帳戶|玉山帳戶""), REGEXMATCH(C4722, ""薪資"")), ""分潤支出"",
  AND(REGEXMATCH(E4722, ""Ben帳戶|Elsa帳戶|Ben代墊|Ariel代墊|中信銀行共用""), REGEXMATCH(F4722, ""Ben帳戶|Elsa帳戶|Ben代墊|Ariel代墊|中信銀行共用"")), ""內部轉帳(忽略)"",
  AND(E4722&lt;&gt;"""", F4722&lt;&gt;"""", N"&amp;"OT(REGEXMATCH(C4722, ""薪資""))), ""內部轉帳(忽略)"",
  REGEXMATCH(C4722, ""薪資""), ""薪資變動(不計入)"",
  REGEXMATCH(C4722, ""押金""), ""押金往來"",
  AND(E4722&lt;&gt;"""", F4722=""""), ""真實支出"",
  AND(E4722="""", F4722&lt;&gt;""""), ""真實收入"",
  TRUE, ""其他""
)"),"真實支出")</f>
        <v>真實支出</v>
      </c>
      <c r="K4722" s="270">
        <f t="shared" si="2"/>
        <v>-15</v>
      </c>
      <c r="L4722">
        <f t="shared" si="3"/>
        <v>0</v>
      </c>
    </row>
    <row r="4723">
      <c r="A4723" s="107">
        <f>IFERROR(__xludf.DUMMYFUNCTION("""COMPUTED_VALUE"""),45915.0)</f>
        <v>45915</v>
      </c>
      <c r="B4723" t="str">
        <f>IFERROR(__xludf.DUMMYFUNCTION("""COMPUTED_VALUE"""),"[行天宮夏野良栗] [沈蕙萱] 大租金")</f>
        <v>[行天宮夏野良栗] [沈蕙萱] 大租金</v>
      </c>
      <c r="C4723" t="str">
        <f>IFERROR(__xludf.DUMMYFUNCTION("""COMPUTED_VALUE"""),"成本 - 大租金")</f>
        <v>成本 - 大租金</v>
      </c>
      <c r="D4723" s="270">
        <f>IFERROR(__xludf.DUMMYFUNCTION("""COMPUTED_VALUE"""),-19900.0)</f>
        <v>-19900</v>
      </c>
      <c r="E4723" t="str">
        <f>IFERROR(__xludf.DUMMYFUNCTION("""COMPUTED_VALUE"""),"玉山帳戶")</f>
        <v>玉山帳戶</v>
      </c>
      <c r="G4723" t="str">
        <f>IFERROR(__xludf.DUMMYFUNCTION("""COMPUTED_VALUE"""),"行天宮夏野良栗")</f>
        <v>行天宮夏野良栗</v>
      </c>
      <c r="H4723" s="106" t="str">
        <f t="shared" si="1"/>
        <v>2025-09</v>
      </c>
      <c r="I4723" s="271" t="str">
        <f>IFERROR(__xludf.DUMMYFUNCTION("""COMPUTED_VALUE"""),"鯰魚大大")</f>
        <v>鯰魚大大</v>
      </c>
      <c r="J4723" t="str">
        <f>IFERROR(__xludf.DUMMYFUNCTION("IFS(
  AND(REGEXMATCH(E4723, ""台銀籌備帳戶|玉山帳戶""), REGEXMATCH(C4723, ""薪資"")), ""分潤支出"",
  AND(REGEXMATCH(E4723, ""Ben帳戶|Elsa帳戶|Ben代墊|Ariel代墊|中信銀行共用""), REGEXMATCH(F4723, ""Ben帳戶|Elsa帳戶|Ben代墊|Ariel代墊|中信銀行共用"")), ""內部轉帳(忽略)"",
  AND(E4723&lt;&gt;"""", F4723&lt;&gt;"""", N"&amp;"OT(REGEXMATCH(C4723, ""薪資""))), ""內部轉帳(忽略)"",
  REGEXMATCH(C4723, ""薪資""), ""薪資變動(不計入)"",
  REGEXMATCH(C4723, ""押金""), ""押金往來"",
  AND(E4723&lt;&gt;"""", F4723=""""), ""真實支出"",
  AND(E4723="""", F4723&lt;&gt;""""), ""真實收入"",
  TRUE, ""其他""
)"),"真實支出")</f>
        <v>真實支出</v>
      </c>
      <c r="K4723" s="270">
        <f t="shared" si="2"/>
        <v>-19900</v>
      </c>
      <c r="L4723">
        <f t="shared" si="3"/>
        <v>0</v>
      </c>
    </row>
    <row r="4724">
      <c r="A4724" s="107">
        <f>IFERROR(__xludf.DUMMYFUNCTION("""COMPUTED_VALUE"""),45915.0)</f>
        <v>45915</v>
      </c>
      <c r="B4724" t="str">
        <f>IFERROR(__xludf.DUMMYFUNCTION("""COMPUTED_VALUE"""),"費用 - 匯費 對方行:806 後五碼:26435 (行號: 5)")</f>
        <v>費用 - 匯費 對方行:806 後五碼:26435 (行號: 5)</v>
      </c>
      <c r="C4724" t="str">
        <f>IFERROR(__xludf.DUMMYFUNCTION("""COMPUTED_VALUE"""),"費用 - 匯費")</f>
        <v>費用 - 匯費</v>
      </c>
      <c r="D4724" s="270">
        <f>IFERROR(__xludf.DUMMYFUNCTION("""COMPUTED_VALUE"""),-15.0)</f>
        <v>-15</v>
      </c>
      <c r="E4724" t="str">
        <f>IFERROR(__xludf.DUMMYFUNCTION("""COMPUTED_VALUE"""),"玉山帳戶")</f>
        <v>玉山帳戶</v>
      </c>
      <c r="H4724" s="106" t="str">
        <f t="shared" si="1"/>
        <v>2025-09</v>
      </c>
      <c r="I4724" s="271" t="str">
        <f>IFERROR(__xludf.DUMMYFUNCTION("""COMPUTED_VALUE"""),"鯰魚大大")</f>
        <v>鯰魚大大</v>
      </c>
      <c r="J4724" t="str">
        <f>IFERROR(__xludf.DUMMYFUNCTION("IFS(
  AND(REGEXMATCH(E4724, ""台銀籌備帳戶|玉山帳戶""), REGEXMATCH(C4724, ""薪資"")), ""分潤支出"",
  AND(REGEXMATCH(E4724, ""Ben帳戶|Elsa帳戶|Ben代墊|Ariel代墊|中信銀行共用""), REGEXMATCH(F4724, ""Ben帳戶|Elsa帳戶|Ben代墊|Ariel代墊|中信銀行共用"")), ""內部轉帳(忽略)"",
  AND(E4724&lt;&gt;"""", F4724&lt;&gt;"""", N"&amp;"OT(REGEXMATCH(C4724, ""薪資""))), ""內部轉帳(忽略)"",
  REGEXMATCH(C4724, ""薪資""), ""薪資變動(不計入)"",
  REGEXMATCH(C4724, ""押金""), ""押金往來"",
  AND(E4724&lt;&gt;"""", F4724=""""), ""真實支出"",
  AND(E4724="""", F4724&lt;&gt;""""), ""真實收入"",
  TRUE, ""其他""
)"),"真實支出")</f>
        <v>真實支出</v>
      </c>
      <c r="K4724" s="270">
        <f t="shared" si="2"/>
        <v>-15</v>
      </c>
      <c r="L4724">
        <f t="shared" si="3"/>
        <v>0</v>
      </c>
    </row>
    <row r="4725">
      <c r="A4725" s="107">
        <f>IFERROR(__xludf.DUMMYFUNCTION("""COMPUTED_VALUE"""),45915.0)</f>
        <v>45915</v>
      </c>
      <c r="B4725" t="str">
        <f>IFERROR(__xludf.DUMMYFUNCTION("""COMPUTED_VALUE"""),"[內湖CityLink] [周佳慧] 大租金")</f>
        <v>[內湖CityLink] [周佳慧] 大租金</v>
      </c>
      <c r="C4725" t="str">
        <f>IFERROR(__xludf.DUMMYFUNCTION("""COMPUTED_VALUE"""),"成本 - 大租金")</f>
        <v>成本 - 大租金</v>
      </c>
      <c r="D4725" s="270">
        <f>IFERROR(__xludf.DUMMYFUNCTION("""COMPUTED_VALUE"""),-16500.0)</f>
        <v>-16500</v>
      </c>
      <c r="E4725" t="str">
        <f>IFERROR(__xludf.DUMMYFUNCTION("""COMPUTED_VALUE"""),"玉山帳戶")</f>
        <v>玉山帳戶</v>
      </c>
      <c r="G4725" t="str">
        <f>IFERROR(__xludf.DUMMYFUNCTION("""COMPUTED_VALUE"""),"內湖CityLink")</f>
        <v>內湖CityLink</v>
      </c>
      <c r="H4725" s="106" t="str">
        <f t="shared" si="1"/>
        <v>2025-09</v>
      </c>
      <c r="I4725" s="271" t="str">
        <f>IFERROR(__xludf.DUMMYFUNCTION("""COMPUTED_VALUE"""),"鯰魚大大")</f>
        <v>鯰魚大大</v>
      </c>
      <c r="J4725" t="str">
        <f>IFERROR(__xludf.DUMMYFUNCTION("IFS(
  AND(REGEXMATCH(E4725, ""台銀籌備帳戶|玉山帳戶""), REGEXMATCH(C4725, ""薪資"")), ""分潤支出"",
  AND(REGEXMATCH(E4725, ""Ben帳戶|Elsa帳戶|Ben代墊|Ariel代墊|中信銀行共用""), REGEXMATCH(F4725, ""Ben帳戶|Elsa帳戶|Ben代墊|Ariel代墊|中信銀行共用"")), ""內部轉帳(忽略)"",
  AND(E4725&lt;&gt;"""", F4725&lt;&gt;"""", N"&amp;"OT(REGEXMATCH(C4725, ""薪資""))), ""內部轉帳(忽略)"",
  REGEXMATCH(C4725, ""薪資""), ""薪資變動(不計入)"",
  REGEXMATCH(C4725, ""押金""), ""押金往來"",
  AND(E4725&lt;&gt;"""", F4725=""""), ""真實支出"",
  AND(E4725="""", F4725&lt;&gt;""""), ""真實收入"",
  TRUE, ""其他""
)"),"真實支出")</f>
        <v>真實支出</v>
      </c>
      <c r="K4725" s="270">
        <f t="shared" si="2"/>
        <v>-16500</v>
      </c>
      <c r="L4725">
        <f t="shared" si="3"/>
        <v>0</v>
      </c>
    </row>
    <row r="4726">
      <c r="A4726" s="107">
        <f>IFERROR(__xludf.DUMMYFUNCTION("""COMPUTED_VALUE"""),45931.0)</f>
        <v>45931</v>
      </c>
      <c r="B4726" t="str">
        <f>IFERROR(__xludf.DUMMYFUNCTION("""COMPUTED_VALUE"""),"費用 - 匯費 對方行:013 後五碼:78744 (行號: 12)")</f>
        <v>費用 - 匯費 對方行:013 後五碼:78744 (行號: 12)</v>
      </c>
      <c r="C4726" t="str">
        <f>IFERROR(__xludf.DUMMYFUNCTION("""COMPUTED_VALUE"""),"費用 - 匯費")</f>
        <v>費用 - 匯費</v>
      </c>
      <c r="D4726" s="270">
        <f>IFERROR(__xludf.DUMMYFUNCTION("""COMPUTED_VALUE"""),-15.0)</f>
        <v>-15</v>
      </c>
      <c r="E4726" t="str">
        <f>IFERROR(__xludf.DUMMYFUNCTION("""COMPUTED_VALUE"""),"玉山帳戶")</f>
        <v>玉山帳戶</v>
      </c>
      <c r="H4726" s="106" t="str">
        <f t="shared" si="1"/>
        <v>2025-10</v>
      </c>
      <c r="I4726" s="271" t="str">
        <f>IFERROR(__xludf.DUMMYFUNCTION("""COMPUTED_VALUE"""),"鯰魚大大")</f>
        <v>鯰魚大大</v>
      </c>
      <c r="J4726" t="str">
        <f>IFERROR(__xludf.DUMMYFUNCTION("IFS(
  AND(REGEXMATCH(E4726, ""台銀籌備帳戶|玉山帳戶""), REGEXMATCH(C4726, ""薪資"")), ""分潤支出"",
  AND(REGEXMATCH(E4726, ""Ben帳戶|Elsa帳戶|Ben代墊|Ariel代墊|中信銀行共用""), REGEXMATCH(F4726, ""Ben帳戶|Elsa帳戶|Ben代墊|Ariel代墊|中信銀行共用"")), ""內部轉帳(忽略)"",
  AND(E4726&lt;&gt;"""", F4726&lt;&gt;"""", N"&amp;"OT(REGEXMATCH(C4726, ""薪資""))), ""內部轉帳(忽略)"",
  REGEXMATCH(C4726, ""薪資""), ""薪資變動(不計入)"",
  REGEXMATCH(C4726, ""押金""), ""押金往來"",
  AND(E4726&lt;&gt;"""", F4726=""""), ""真實支出"",
  AND(E4726="""", F4726&lt;&gt;""""), ""真實收入"",
  TRUE, ""其他""
)"),"真實支出")</f>
        <v>真實支出</v>
      </c>
      <c r="K4726" s="270">
        <f t="shared" si="2"/>
        <v>-15</v>
      </c>
      <c r="L4726">
        <f t="shared" si="3"/>
        <v>0</v>
      </c>
    </row>
    <row r="4727">
      <c r="A4727" s="107">
        <f>IFERROR(__xludf.DUMMYFUNCTION("""COMPUTED_VALUE"""),45931.0)</f>
        <v>45931</v>
      </c>
      <c r="B4727" t="str">
        <f>IFERROR(__xludf.DUMMYFUNCTION("""COMPUTED_VALUE"""),"[士林和豐] [楊政偉] 大租金")</f>
        <v>[士林和豐] [楊政偉] 大租金</v>
      </c>
      <c r="C4727" t="str">
        <f>IFERROR(__xludf.DUMMYFUNCTION("""COMPUTED_VALUE"""),"成本 - 大租金")</f>
        <v>成本 - 大租金</v>
      </c>
      <c r="D4727" s="270">
        <f>IFERROR(__xludf.DUMMYFUNCTION("""COMPUTED_VALUE"""),-14400.0)</f>
        <v>-14400</v>
      </c>
      <c r="E4727" t="str">
        <f>IFERROR(__xludf.DUMMYFUNCTION("""COMPUTED_VALUE"""),"玉山帳戶")</f>
        <v>玉山帳戶</v>
      </c>
      <c r="G4727" t="str">
        <f>IFERROR(__xludf.DUMMYFUNCTION("""COMPUTED_VALUE"""),"士林和豐")</f>
        <v>士林和豐</v>
      </c>
      <c r="H4727" s="106" t="str">
        <f t="shared" si="1"/>
        <v>2025-10</v>
      </c>
      <c r="I4727" s="271" t="str">
        <f>IFERROR(__xludf.DUMMYFUNCTION("""COMPUTED_VALUE"""),"鯰魚大大")</f>
        <v>鯰魚大大</v>
      </c>
      <c r="J4727" t="str">
        <f>IFERROR(__xludf.DUMMYFUNCTION("IFS(
  AND(REGEXMATCH(E4727, ""台銀籌備帳戶|玉山帳戶""), REGEXMATCH(C4727, ""薪資"")), ""分潤支出"",
  AND(REGEXMATCH(E4727, ""Ben帳戶|Elsa帳戶|Ben代墊|Ariel代墊|中信銀行共用""), REGEXMATCH(F4727, ""Ben帳戶|Elsa帳戶|Ben代墊|Ariel代墊|中信銀行共用"")), ""內部轉帳(忽略)"",
  AND(E4727&lt;&gt;"""", F4727&lt;&gt;"""", N"&amp;"OT(REGEXMATCH(C4727, ""薪資""))), ""內部轉帳(忽略)"",
  REGEXMATCH(C4727, ""薪資""), ""薪資變動(不計入)"",
  REGEXMATCH(C4727, ""押金""), ""押金往來"",
  AND(E4727&lt;&gt;"""", F4727=""""), ""真實支出"",
  AND(E4727="""", F4727&lt;&gt;""""), ""真實收入"",
  TRUE, ""其他""
)"),"真實支出")</f>
        <v>真實支出</v>
      </c>
      <c r="K4727" s="270">
        <f t="shared" si="2"/>
        <v>-14400</v>
      </c>
      <c r="L4727">
        <f t="shared" si="3"/>
        <v>0</v>
      </c>
    </row>
    <row r="4728">
      <c r="A4728" s="107">
        <f>IFERROR(__xludf.DUMMYFUNCTION("""COMPUTED_VALUE"""),45931.0)</f>
        <v>45931</v>
      </c>
      <c r="B4728" t="str">
        <f>IFERROR(__xludf.DUMMYFUNCTION("""COMPUTED_VALUE"""),"費用 - 匯費 對方行:012 後五碼:68447 (行號: 13)")</f>
        <v>費用 - 匯費 對方行:012 後五碼:68447 (行號: 13)</v>
      </c>
      <c r="C4728" t="str">
        <f>IFERROR(__xludf.DUMMYFUNCTION("""COMPUTED_VALUE"""),"費用 - 匯費")</f>
        <v>費用 - 匯費</v>
      </c>
      <c r="D4728" s="270">
        <f>IFERROR(__xludf.DUMMYFUNCTION("""COMPUTED_VALUE"""),-15.0)</f>
        <v>-15</v>
      </c>
      <c r="E4728" t="str">
        <f>IFERROR(__xludf.DUMMYFUNCTION("""COMPUTED_VALUE"""),"玉山帳戶")</f>
        <v>玉山帳戶</v>
      </c>
      <c r="H4728" s="106" t="str">
        <f t="shared" si="1"/>
        <v>2025-10</v>
      </c>
      <c r="I4728" s="271" t="str">
        <f>IFERROR(__xludf.DUMMYFUNCTION("""COMPUTED_VALUE"""),"鯰魚大大")</f>
        <v>鯰魚大大</v>
      </c>
      <c r="J4728" t="str">
        <f>IFERROR(__xludf.DUMMYFUNCTION("IFS(
  AND(REGEXMATCH(E4728, ""台銀籌備帳戶|玉山帳戶""), REGEXMATCH(C4728, ""薪資"")), ""分潤支出"",
  AND(REGEXMATCH(E4728, ""Ben帳戶|Elsa帳戶|Ben代墊|Ariel代墊|中信銀行共用""), REGEXMATCH(F4728, ""Ben帳戶|Elsa帳戶|Ben代墊|Ariel代墊|中信銀行共用"")), ""內部轉帳(忽略)"",
  AND(E4728&lt;&gt;"""", F4728&lt;&gt;"""", N"&amp;"OT(REGEXMATCH(C4728, ""薪資""))), ""內部轉帳(忽略)"",
  REGEXMATCH(C4728, ""薪資""), ""薪資變動(不計入)"",
  REGEXMATCH(C4728, ""押金""), ""押金往來"",
  AND(E4728&lt;&gt;"""", F4728=""""), ""真實支出"",
  AND(E4728="""", F4728&lt;&gt;""""), ""真實收入"",
  TRUE, ""其他""
)"),"真實支出")</f>
        <v>真實支出</v>
      </c>
      <c r="K4728" s="270">
        <f t="shared" si="2"/>
        <v>-15</v>
      </c>
      <c r="L4728">
        <f t="shared" si="3"/>
        <v>0</v>
      </c>
    </row>
    <row r="4729">
      <c r="A4729" s="107">
        <f>IFERROR(__xludf.DUMMYFUNCTION("""COMPUTED_VALUE"""),45931.0)</f>
        <v>45931</v>
      </c>
      <c r="B4729" t="str">
        <f>IFERROR(__xludf.DUMMYFUNCTION("""COMPUTED_VALUE"""),"[行天宮夏野良栗] [沈蕙萱] 大租金")</f>
        <v>[行天宮夏野良栗] [沈蕙萱] 大租金</v>
      </c>
      <c r="C4729" t="str">
        <f>IFERROR(__xludf.DUMMYFUNCTION("""COMPUTED_VALUE"""),"成本 - 大租金")</f>
        <v>成本 - 大租金</v>
      </c>
      <c r="D4729" s="270">
        <f>IFERROR(__xludf.DUMMYFUNCTION("""COMPUTED_VALUE"""),-19900.0)</f>
        <v>-19900</v>
      </c>
      <c r="E4729" t="str">
        <f>IFERROR(__xludf.DUMMYFUNCTION("""COMPUTED_VALUE"""),"玉山帳戶")</f>
        <v>玉山帳戶</v>
      </c>
      <c r="G4729" t="str">
        <f>IFERROR(__xludf.DUMMYFUNCTION("""COMPUTED_VALUE"""),"行天宮夏野良栗")</f>
        <v>行天宮夏野良栗</v>
      </c>
      <c r="H4729" s="106" t="str">
        <f t="shared" si="1"/>
        <v>2025-10</v>
      </c>
      <c r="I4729" s="271" t="str">
        <f>IFERROR(__xludf.DUMMYFUNCTION("""COMPUTED_VALUE"""),"鯰魚大大")</f>
        <v>鯰魚大大</v>
      </c>
      <c r="J4729" t="str">
        <f>IFERROR(__xludf.DUMMYFUNCTION("IFS(
  AND(REGEXMATCH(E4729, ""台銀籌備帳戶|玉山帳戶""), REGEXMATCH(C4729, ""薪資"")), ""分潤支出"",
  AND(REGEXMATCH(E4729, ""Ben帳戶|Elsa帳戶|Ben代墊|Ariel代墊|中信銀行共用""), REGEXMATCH(F4729, ""Ben帳戶|Elsa帳戶|Ben代墊|Ariel代墊|中信銀行共用"")), ""內部轉帳(忽略)"",
  AND(E4729&lt;&gt;"""", F4729&lt;&gt;"""", N"&amp;"OT(REGEXMATCH(C4729, ""薪資""))), ""內部轉帳(忽略)"",
  REGEXMATCH(C4729, ""薪資""), ""薪資變動(不計入)"",
  REGEXMATCH(C4729, ""押金""), ""押金往來"",
  AND(E4729&lt;&gt;"""", F4729=""""), ""真實支出"",
  AND(E4729="""", F4729&lt;&gt;""""), ""真實收入"",
  TRUE, ""其他""
)"),"真實支出")</f>
        <v>真實支出</v>
      </c>
      <c r="K4729" s="270">
        <f t="shared" si="2"/>
        <v>-19900</v>
      </c>
      <c r="L4729">
        <f t="shared" si="3"/>
        <v>0</v>
      </c>
    </row>
    <row r="4730">
      <c r="A4730" s="107">
        <f>IFERROR(__xludf.DUMMYFUNCTION("""COMPUTED_VALUE"""),45931.0)</f>
        <v>45931</v>
      </c>
      <c r="B4730" t="str">
        <f>IFERROR(__xludf.DUMMYFUNCTION("""COMPUTED_VALUE"""),"費用 - 匯費 對方行:012 後五碼:53048 (行號: 14)")</f>
        <v>費用 - 匯費 對方行:012 後五碼:53048 (行號: 14)</v>
      </c>
      <c r="C4730" t="str">
        <f>IFERROR(__xludf.DUMMYFUNCTION("""COMPUTED_VALUE"""),"費用 - 匯費")</f>
        <v>費用 - 匯費</v>
      </c>
      <c r="D4730" s="270">
        <f>IFERROR(__xludf.DUMMYFUNCTION("""COMPUTED_VALUE"""),-15.0)</f>
        <v>-15</v>
      </c>
      <c r="E4730" t="str">
        <f>IFERROR(__xludf.DUMMYFUNCTION("""COMPUTED_VALUE"""),"玉山帳戶")</f>
        <v>玉山帳戶</v>
      </c>
      <c r="H4730" s="106" t="str">
        <f t="shared" si="1"/>
        <v>2025-10</v>
      </c>
      <c r="I4730" s="271" t="str">
        <f>IFERROR(__xludf.DUMMYFUNCTION("""COMPUTED_VALUE"""),"鯰魚大大")</f>
        <v>鯰魚大大</v>
      </c>
      <c r="J4730" t="str">
        <f>IFERROR(__xludf.DUMMYFUNCTION("IFS(
  AND(REGEXMATCH(E4730, ""台銀籌備帳戶|玉山帳戶""), REGEXMATCH(C4730, ""薪資"")), ""分潤支出"",
  AND(REGEXMATCH(E4730, ""Ben帳戶|Elsa帳戶|Ben代墊|Ariel代墊|中信銀行共用""), REGEXMATCH(F4730, ""Ben帳戶|Elsa帳戶|Ben代墊|Ariel代墊|中信銀行共用"")), ""內部轉帳(忽略)"",
  AND(E4730&lt;&gt;"""", F4730&lt;&gt;"""", N"&amp;"OT(REGEXMATCH(C4730, ""薪資""))), ""內部轉帳(忽略)"",
  REGEXMATCH(C4730, ""薪資""), ""薪資變動(不計入)"",
  REGEXMATCH(C4730, ""押金""), ""押金往來"",
  AND(E4730&lt;&gt;"""", F4730=""""), ""真實支出"",
  AND(E4730="""", F4730&lt;&gt;""""), ""真實收入"",
  TRUE, ""其他""
)"),"真實支出")</f>
        <v>真實支出</v>
      </c>
      <c r="K4730" s="270">
        <f t="shared" si="2"/>
        <v>-15</v>
      </c>
      <c r="L4730">
        <f t="shared" si="3"/>
        <v>0</v>
      </c>
    </row>
    <row r="4731">
      <c r="A4731" s="107">
        <f>IFERROR(__xludf.DUMMYFUNCTION("""COMPUTED_VALUE"""),45931.0)</f>
        <v>45931</v>
      </c>
      <c r="B4731" t="str">
        <f>IFERROR(__xludf.DUMMYFUNCTION("""COMPUTED_VALUE"""),"[內湖秘境] [周佳慧] 大租金")</f>
        <v>[內湖秘境] [周佳慧] 大租金</v>
      </c>
      <c r="C4731" t="str">
        <f>IFERROR(__xludf.DUMMYFUNCTION("""COMPUTED_VALUE"""),"成本 - 大租金")</f>
        <v>成本 - 大租金</v>
      </c>
      <c r="D4731" s="270">
        <f>IFERROR(__xludf.DUMMYFUNCTION("""COMPUTED_VALUE"""),-15000.0)</f>
        <v>-15000</v>
      </c>
      <c r="E4731" t="str">
        <f>IFERROR(__xludf.DUMMYFUNCTION("""COMPUTED_VALUE"""),"玉山帳戶")</f>
        <v>玉山帳戶</v>
      </c>
      <c r="G4731" t="str">
        <f>IFERROR(__xludf.DUMMYFUNCTION("""COMPUTED_VALUE"""),"內湖秘境")</f>
        <v>內湖秘境</v>
      </c>
      <c r="H4731" s="106" t="str">
        <f t="shared" si="1"/>
        <v>2025-10</v>
      </c>
      <c r="I4731" s="271" t="str">
        <f>IFERROR(__xludf.DUMMYFUNCTION("""COMPUTED_VALUE"""),"鯰魚大大")</f>
        <v>鯰魚大大</v>
      </c>
      <c r="J4731" t="str">
        <f>IFERROR(__xludf.DUMMYFUNCTION("IFS(
  AND(REGEXMATCH(E4731, ""台銀籌備帳戶|玉山帳戶""), REGEXMATCH(C4731, ""薪資"")), ""分潤支出"",
  AND(REGEXMATCH(E4731, ""Ben帳戶|Elsa帳戶|Ben代墊|Ariel代墊|中信銀行共用""), REGEXMATCH(F4731, ""Ben帳戶|Elsa帳戶|Ben代墊|Ariel代墊|中信銀行共用"")), ""內部轉帳(忽略)"",
  AND(E4731&lt;&gt;"""", F4731&lt;&gt;"""", N"&amp;"OT(REGEXMATCH(C4731, ""薪資""))), ""內部轉帳(忽略)"",
  REGEXMATCH(C4731, ""薪資""), ""薪資變動(不計入)"",
  REGEXMATCH(C4731, ""押金""), ""押金往來"",
  AND(E4731&lt;&gt;"""", F4731=""""), ""真實支出"",
  AND(E4731="""", F4731&lt;&gt;""""), ""真實收入"",
  TRUE, ""其他""
)"),"真實支出")</f>
        <v>真實支出</v>
      </c>
      <c r="K4731" s="270">
        <f t="shared" si="2"/>
        <v>-15000</v>
      </c>
      <c r="L4731">
        <f t="shared" si="3"/>
        <v>0</v>
      </c>
    </row>
    <row r="4732">
      <c r="A4732" s="107">
        <f>IFERROR(__xludf.DUMMYFUNCTION("""COMPUTED_VALUE"""),45931.0)</f>
        <v>45931</v>
      </c>
      <c r="B4732" t="str">
        <f>IFERROR(__xludf.DUMMYFUNCTION("""COMPUTED_VALUE"""),"費用 - 匯費 對方行:806 後五碼:26435 (行號: 15)")</f>
        <v>費用 - 匯費 對方行:806 後五碼:26435 (行號: 15)</v>
      </c>
      <c r="C4732" t="str">
        <f>IFERROR(__xludf.DUMMYFUNCTION("""COMPUTED_VALUE"""),"費用 - 匯費")</f>
        <v>費用 - 匯費</v>
      </c>
      <c r="D4732" s="270">
        <f>IFERROR(__xludf.DUMMYFUNCTION("""COMPUTED_VALUE"""),-15.0)</f>
        <v>-15</v>
      </c>
      <c r="E4732" t="str">
        <f>IFERROR(__xludf.DUMMYFUNCTION("""COMPUTED_VALUE"""),"玉山帳戶")</f>
        <v>玉山帳戶</v>
      </c>
      <c r="H4732" s="106" t="str">
        <f t="shared" si="1"/>
        <v>2025-10</v>
      </c>
      <c r="I4732" s="271" t="str">
        <f>IFERROR(__xludf.DUMMYFUNCTION("""COMPUTED_VALUE"""),"鯰魚大大")</f>
        <v>鯰魚大大</v>
      </c>
      <c r="J4732" t="str">
        <f>IFERROR(__xludf.DUMMYFUNCTION("IFS(
  AND(REGEXMATCH(E4732, ""台銀籌備帳戶|玉山帳戶""), REGEXMATCH(C4732, ""薪資"")), ""分潤支出"",
  AND(REGEXMATCH(E4732, ""Ben帳戶|Elsa帳戶|Ben代墊|Ariel代墊|中信銀行共用""), REGEXMATCH(F4732, ""Ben帳戶|Elsa帳戶|Ben代墊|Ariel代墊|中信銀行共用"")), ""內部轉帳(忽略)"",
  AND(E4732&lt;&gt;"""", F4732&lt;&gt;"""", N"&amp;"OT(REGEXMATCH(C4732, ""薪資""))), ""內部轉帳(忽略)"",
  REGEXMATCH(C4732, ""薪資""), ""薪資變動(不計入)"",
  REGEXMATCH(C4732, ""押金""), ""押金往來"",
  AND(E4732&lt;&gt;"""", F4732=""""), ""真實支出"",
  AND(E4732="""", F4732&lt;&gt;""""), ""真實收入"",
  TRUE, ""其他""
)"),"真實支出")</f>
        <v>真實支出</v>
      </c>
      <c r="K4732" s="270">
        <f t="shared" si="2"/>
        <v>-15</v>
      </c>
      <c r="L4732">
        <f t="shared" si="3"/>
        <v>0</v>
      </c>
    </row>
    <row r="4733">
      <c r="A4733" s="107">
        <f>IFERROR(__xludf.DUMMYFUNCTION("""COMPUTED_VALUE"""),45931.0)</f>
        <v>45931</v>
      </c>
      <c r="B4733" t="str">
        <f>IFERROR(__xludf.DUMMYFUNCTION("""COMPUTED_VALUE"""),"[內湖CityLink] [周佳慧] 大租金")</f>
        <v>[內湖CityLink] [周佳慧] 大租金</v>
      </c>
      <c r="C4733" t="str">
        <f>IFERROR(__xludf.DUMMYFUNCTION("""COMPUTED_VALUE"""),"成本 - 大租金")</f>
        <v>成本 - 大租金</v>
      </c>
      <c r="D4733" s="270">
        <f>IFERROR(__xludf.DUMMYFUNCTION("""COMPUTED_VALUE"""),-16500.0)</f>
        <v>-16500</v>
      </c>
      <c r="E4733" t="str">
        <f>IFERROR(__xludf.DUMMYFUNCTION("""COMPUTED_VALUE"""),"玉山帳戶")</f>
        <v>玉山帳戶</v>
      </c>
      <c r="G4733" t="str">
        <f>IFERROR(__xludf.DUMMYFUNCTION("""COMPUTED_VALUE"""),"內湖CityLink")</f>
        <v>內湖CityLink</v>
      </c>
      <c r="H4733" s="106" t="str">
        <f t="shared" si="1"/>
        <v>2025-10</v>
      </c>
      <c r="I4733" s="271" t="str">
        <f>IFERROR(__xludf.DUMMYFUNCTION("""COMPUTED_VALUE"""),"鯰魚大大")</f>
        <v>鯰魚大大</v>
      </c>
      <c r="J4733" t="str">
        <f>IFERROR(__xludf.DUMMYFUNCTION("IFS(
  AND(REGEXMATCH(E4733, ""台銀籌備帳戶|玉山帳戶""), REGEXMATCH(C4733, ""薪資"")), ""分潤支出"",
  AND(REGEXMATCH(E4733, ""Ben帳戶|Elsa帳戶|Ben代墊|Ariel代墊|中信銀行共用""), REGEXMATCH(F4733, ""Ben帳戶|Elsa帳戶|Ben代墊|Ariel代墊|中信銀行共用"")), ""內部轉帳(忽略)"",
  AND(E4733&lt;&gt;"""", F4733&lt;&gt;"""", N"&amp;"OT(REGEXMATCH(C4733, ""薪資""))), ""內部轉帳(忽略)"",
  REGEXMATCH(C4733, ""薪資""), ""薪資變動(不計入)"",
  REGEXMATCH(C4733, ""押金""), ""押金往來"",
  AND(E4733&lt;&gt;"""", F4733=""""), ""真實支出"",
  AND(E4733="""", F4733&lt;&gt;""""), ""真實收入"",
  TRUE, ""其他""
)"),"真實支出")</f>
        <v>真實支出</v>
      </c>
      <c r="K4733" s="270">
        <f t="shared" si="2"/>
        <v>-16500</v>
      </c>
      <c r="L4733">
        <f t="shared" si="3"/>
        <v>0</v>
      </c>
    </row>
    <row r="4734">
      <c r="A4734" s="107">
        <f>IFERROR(__xludf.DUMMYFUNCTION("""COMPUTED_VALUE"""),45932.0)</f>
        <v>45932</v>
      </c>
      <c r="B4734" t="str">
        <f>IFERROR(__xludf.DUMMYFUNCTION("""COMPUTED_VALUE"""),"費用 - 匯費 對方行:700 後五碼:84843 (行號: 29)")</f>
        <v>費用 - 匯費 對方行:700 後五碼:84843 (行號: 29)</v>
      </c>
      <c r="C4734" t="str">
        <f>IFERROR(__xludf.DUMMYFUNCTION("""COMPUTED_VALUE"""),"費用 - 匯費")</f>
        <v>費用 - 匯費</v>
      </c>
      <c r="D4734" s="270">
        <f>IFERROR(__xludf.DUMMYFUNCTION("""COMPUTED_VALUE"""),-15.0)</f>
        <v>-15</v>
      </c>
      <c r="E4734" t="str">
        <f>IFERROR(__xludf.DUMMYFUNCTION("""COMPUTED_VALUE"""),"玉山帳戶")</f>
        <v>玉山帳戶</v>
      </c>
      <c r="H4734" s="106" t="str">
        <f t="shared" si="1"/>
        <v>2025-10</v>
      </c>
      <c r="I4734" s="271" t="str">
        <f>IFERROR(__xludf.DUMMYFUNCTION("""COMPUTED_VALUE"""),"鯰魚大大")</f>
        <v>鯰魚大大</v>
      </c>
      <c r="J4734" t="str">
        <f>IFERROR(__xludf.DUMMYFUNCTION("IFS(
  AND(REGEXMATCH(E4734, ""台銀籌備帳戶|玉山帳戶""), REGEXMATCH(C4734, ""薪資"")), ""分潤支出"",
  AND(REGEXMATCH(E4734, ""Ben帳戶|Elsa帳戶|Ben代墊|Ariel代墊|中信銀行共用""), REGEXMATCH(F4734, ""Ben帳戶|Elsa帳戶|Ben代墊|Ariel代墊|中信銀行共用"")), ""內部轉帳(忽略)"",
  AND(E4734&lt;&gt;"""", F4734&lt;&gt;"""", N"&amp;"OT(REGEXMATCH(C4734, ""薪資""))), ""內部轉帳(忽略)"",
  REGEXMATCH(C4734, ""薪資""), ""薪資變動(不計入)"",
  REGEXMATCH(C4734, ""押金""), ""押金往來"",
  AND(E4734&lt;&gt;"""", F4734=""""), ""真實支出"",
  AND(E4734="""", F4734&lt;&gt;""""), ""真實收入"",
  TRUE, ""其他""
)"),"真實支出")</f>
        <v>真實支出</v>
      </c>
      <c r="K4734" s="270">
        <f t="shared" si="2"/>
        <v>-15</v>
      </c>
      <c r="L4734">
        <f t="shared" si="3"/>
        <v>0</v>
      </c>
    </row>
    <row r="4735">
      <c r="A4735" s="107">
        <f>IFERROR(__xludf.DUMMYFUNCTION("""COMPUTED_VALUE"""),45932.0)</f>
        <v>45932</v>
      </c>
      <c r="B4735" t="str">
        <f>IFERROR(__xludf.DUMMYFUNCTION("""COMPUTED_VALUE"""),"[內湖秘境] [周佳慧] 大租金")</f>
        <v>[內湖秘境] [周佳慧] 大租金</v>
      </c>
      <c r="C4735" t="str">
        <f>IFERROR(__xludf.DUMMYFUNCTION("""COMPUTED_VALUE"""),"成本 - 大租金")</f>
        <v>成本 - 大租金</v>
      </c>
      <c r="D4735" s="270">
        <f>IFERROR(__xludf.DUMMYFUNCTION("""COMPUTED_VALUE"""),-15000.0)</f>
        <v>-15000</v>
      </c>
      <c r="E4735" t="str">
        <f>IFERROR(__xludf.DUMMYFUNCTION("""COMPUTED_VALUE"""),"玉山帳戶")</f>
        <v>玉山帳戶</v>
      </c>
      <c r="G4735" t="str">
        <f>IFERROR(__xludf.DUMMYFUNCTION("""COMPUTED_VALUE"""),"內湖秘境")</f>
        <v>內湖秘境</v>
      </c>
      <c r="H4735" s="106" t="str">
        <f t="shared" si="1"/>
        <v>2025-10</v>
      </c>
      <c r="I4735" s="271" t="str">
        <f>IFERROR(__xludf.DUMMYFUNCTION("""COMPUTED_VALUE"""),"鯰魚大大")</f>
        <v>鯰魚大大</v>
      </c>
      <c r="J4735" t="str">
        <f>IFERROR(__xludf.DUMMYFUNCTION("IFS(
  AND(REGEXMATCH(E4735, ""台銀籌備帳戶|玉山帳戶""), REGEXMATCH(C4735, ""薪資"")), ""分潤支出"",
  AND(REGEXMATCH(E4735, ""Ben帳戶|Elsa帳戶|Ben代墊|Ariel代墊|中信銀行共用""), REGEXMATCH(F4735, ""Ben帳戶|Elsa帳戶|Ben代墊|Ariel代墊|中信銀行共用"")), ""內部轉帳(忽略)"",
  AND(E4735&lt;&gt;"""", F4735&lt;&gt;"""", N"&amp;"OT(REGEXMATCH(C4735, ""薪資""))), ""內部轉帳(忽略)"",
  REGEXMATCH(C4735, ""薪資""), ""薪資變動(不計入)"",
  REGEXMATCH(C4735, ""押金""), ""押金往來"",
  AND(E4735&lt;&gt;"""", F4735=""""), ""真實支出"",
  AND(E4735="""", F4735&lt;&gt;""""), ""真實收入"",
  TRUE, ""其他""
)"),"真實支出")</f>
        <v>真實支出</v>
      </c>
      <c r="K4735" s="270">
        <f t="shared" si="2"/>
        <v>-15000</v>
      </c>
      <c r="L4735">
        <f t="shared" si="3"/>
        <v>0</v>
      </c>
    </row>
    <row r="4736">
      <c r="A4736" s="107">
        <f>IFERROR(__xludf.DUMMYFUNCTION("""COMPUTED_VALUE"""),45933.0)</f>
        <v>45933</v>
      </c>
      <c r="B4736" t="str">
        <f>IFERROR(__xludf.DUMMYFUNCTION("""COMPUTED_VALUE"""),"費用 - 匯費 對方行:810 後五碼:77212 (行號: 31)")</f>
        <v>費用 - 匯費 對方行:810 後五碼:77212 (行號: 31)</v>
      </c>
      <c r="C4736" t="str">
        <f>IFERROR(__xludf.DUMMYFUNCTION("""COMPUTED_VALUE"""),"費用 - 匯費")</f>
        <v>費用 - 匯費</v>
      </c>
      <c r="D4736" s="270">
        <f>IFERROR(__xludf.DUMMYFUNCTION("""COMPUTED_VALUE"""),-15.0)</f>
        <v>-15</v>
      </c>
      <c r="E4736" t="str">
        <f>IFERROR(__xludf.DUMMYFUNCTION("""COMPUTED_VALUE"""),"玉山帳戶")</f>
        <v>玉山帳戶</v>
      </c>
      <c r="H4736" s="106" t="str">
        <f t="shared" si="1"/>
        <v>2025-10</v>
      </c>
      <c r="I4736" s="271" t="str">
        <f>IFERROR(__xludf.DUMMYFUNCTION("""COMPUTED_VALUE"""),"鯰魚大大")</f>
        <v>鯰魚大大</v>
      </c>
      <c r="J4736" t="str">
        <f>IFERROR(__xludf.DUMMYFUNCTION("IFS(
  AND(REGEXMATCH(E4736, ""台銀籌備帳戶|玉山帳戶""), REGEXMATCH(C4736, ""薪資"")), ""分潤支出"",
  AND(REGEXMATCH(E4736, ""Ben帳戶|Elsa帳戶|Ben代墊|Ariel代墊|中信銀行共用""), REGEXMATCH(F4736, ""Ben帳戶|Elsa帳戶|Ben代墊|Ariel代墊|中信銀行共用"")), ""內部轉帳(忽略)"",
  AND(E4736&lt;&gt;"""", F4736&lt;&gt;"""", N"&amp;"OT(REGEXMATCH(C4736, ""薪資""))), ""內部轉帳(忽略)"",
  REGEXMATCH(C4736, ""薪資""), ""薪資變動(不計入)"",
  REGEXMATCH(C4736, ""押金""), ""押金往來"",
  AND(E4736&lt;&gt;"""", F4736=""""), ""真實支出"",
  AND(E4736="""", F4736&lt;&gt;""""), ""真實收入"",
  TRUE, ""其他""
)"),"真實支出")</f>
        <v>真實支出</v>
      </c>
      <c r="K4736" s="270">
        <f t="shared" si="2"/>
        <v>-15</v>
      </c>
      <c r="L4736">
        <f t="shared" si="3"/>
        <v>0</v>
      </c>
    </row>
    <row r="4737">
      <c r="A4737" s="107">
        <f>IFERROR(__xludf.DUMMYFUNCTION("""COMPUTED_VALUE"""),45933.0)</f>
        <v>45933</v>
      </c>
      <c r="B4737" t="str">
        <f>IFERROR(__xludf.DUMMYFUNCTION("""COMPUTED_VALUE"""),"[內湖秘境] [周佳慧] 大租金")</f>
        <v>[內湖秘境] [周佳慧] 大租金</v>
      </c>
      <c r="C4737" t="str">
        <f>IFERROR(__xludf.DUMMYFUNCTION("""COMPUTED_VALUE"""),"成本 - 大租金")</f>
        <v>成本 - 大租金</v>
      </c>
      <c r="D4737" s="270">
        <f>IFERROR(__xludf.DUMMYFUNCTION("""COMPUTED_VALUE"""),-15000.0)</f>
        <v>-15000</v>
      </c>
      <c r="E4737" t="str">
        <f>IFERROR(__xludf.DUMMYFUNCTION("""COMPUTED_VALUE"""),"玉山帳戶")</f>
        <v>玉山帳戶</v>
      </c>
      <c r="G4737" t="str">
        <f>IFERROR(__xludf.DUMMYFUNCTION("""COMPUTED_VALUE"""),"內湖秘境")</f>
        <v>內湖秘境</v>
      </c>
      <c r="H4737" s="106" t="str">
        <f t="shared" si="1"/>
        <v>2025-10</v>
      </c>
      <c r="I4737" s="271" t="str">
        <f>IFERROR(__xludf.DUMMYFUNCTION("""COMPUTED_VALUE"""),"鯰魚大大")</f>
        <v>鯰魚大大</v>
      </c>
      <c r="J4737" t="str">
        <f>IFERROR(__xludf.DUMMYFUNCTION("IFS(
  AND(REGEXMATCH(E4737, ""台銀籌備帳戶|玉山帳戶""), REGEXMATCH(C4737, ""薪資"")), ""分潤支出"",
  AND(REGEXMATCH(E4737, ""Ben帳戶|Elsa帳戶|Ben代墊|Ariel代墊|中信銀行共用""), REGEXMATCH(F4737, ""Ben帳戶|Elsa帳戶|Ben代墊|Ariel代墊|中信銀行共用"")), ""內部轉帳(忽略)"",
  AND(E4737&lt;&gt;"""", F4737&lt;&gt;"""", N"&amp;"OT(REGEXMATCH(C4737, ""薪資""))), ""內部轉帳(忽略)"",
  REGEXMATCH(C4737, ""薪資""), ""薪資變動(不計入)"",
  REGEXMATCH(C4737, ""押金""), ""押金往來"",
  AND(E4737&lt;&gt;"""", F4737=""""), ""真實支出"",
  AND(E4737="""", F4737&lt;&gt;""""), ""真實收入"",
  TRUE, ""其他""
)"),"真實支出")</f>
        <v>真實支出</v>
      </c>
      <c r="K4737" s="270">
        <f t="shared" si="2"/>
        <v>-15000</v>
      </c>
      <c r="L4737">
        <f t="shared" si="3"/>
        <v>0</v>
      </c>
    </row>
    <row r="4738">
      <c r="A4738" s="107">
        <f>IFERROR(__xludf.DUMMYFUNCTION("""COMPUTED_VALUE"""),45926.0)</f>
        <v>45926</v>
      </c>
      <c r="B4738" t="str">
        <f>IFERROR(__xludf.DUMMYFUNCTION("""COMPUTED_VALUE"""),"[士林和豐] C [敖啟恒] 月租金 後五碼:16111 (行號: 6)")</f>
        <v>[士林和豐] C [敖啟恒] 月租金 後五碼:16111 (行號: 6)</v>
      </c>
      <c r="C4738" t="str">
        <f>IFERROR(__xludf.DUMMYFUNCTION("""COMPUTED_VALUE"""),"收入 - 租金")</f>
        <v>收入 - 租金</v>
      </c>
      <c r="D4738" s="270">
        <f>IFERROR(__xludf.DUMMYFUNCTION("""COMPUTED_VALUE"""),13000.0)</f>
        <v>13000</v>
      </c>
      <c r="F4738" t="str">
        <f>IFERROR(__xludf.DUMMYFUNCTION("""COMPUTED_VALUE"""),"玉山帳戶")</f>
        <v>玉山帳戶</v>
      </c>
      <c r="G4738" t="str">
        <f>IFERROR(__xludf.DUMMYFUNCTION("""COMPUTED_VALUE"""),"士林和豐")</f>
        <v>士林和豐</v>
      </c>
      <c r="H4738" s="106" t="str">
        <f t="shared" si="1"/>
        <v>2025-09</v>
      </c>
      <c r="I4738" s="271" t="str">
        <f>IFERROR(__xludf.DUMMYFUNCTION("""COMPUTED_VALUE"""),"鯰魚大大")</f>
        <v>鯰魚大大</v>
      </c>
      <c r="J4738" t="str">
        <f>IFERROR(__xludf.DUMMYFUNCTION("IFS(
  AND(REGEXMATCH(E4738, ""台銀籌備帳戶|玉山帳戶""), REGEXMATCH(C4738, ""薪資"")), ""分潤支出"",
  AND(REGEXMATCH(E4738, ""Ben帳戶|Elsa帳戶|Ben代墊|Ariel代墊|中信銀行共用""), REGEXMATCH(F4738, ""Ben帳戶|Elsa帳戶|Ben代墊|Ariel代墊|中信銀行共用"")), ""內部轉帳(忽略)"",
  AND(E4738&lt;&gt;"""", F4738&lt;&gt;"""", N"&amp;"OT(REGEXMATCH(C4738, ""薪資""))), ""內部轉帳(忽略)"",
  REGEXMATCH(C4738, ""薪資""), ""薪資變動(不計入)"",
  REGEXMATCH(C4738, ""押金""), ""押金往來"",
  AND(E4738&lt;&gt;"""", F4738=""""), ""真實支出"",
  AND(E4738="""", F4738&lt;&gt;""""), ""真實收入"",
  TRUE, ""其他""
)"),"真實收入")</f>
        <v>真實收入</v>
      </c>
      <c r="K4738" s="270">
        <f t="shared" si="2"/>
        <v>13000</v>
      </c>
      <c r="L4738">
        <f t="shared" si="3"/>
        <v>0</v>
      </c>
    </row>
    <row r="4739">
      <c r="A4739" s="107">
        <f>IFERROR(__xludf.DUMMYFUNCTION("""COMPUTED_VALUE"""),45930.0)</f>
        <v>45930</v>
      </c>
      <c r="B4739" t="str">
        <f>IFERROR(__xludf.DUMMYFUNCTION("""COMPUTED_VALUE"""),"[內湖CityLink] D [王紹綺] 月租金 後五碼:23732 (行號: 7)")</f>
        <v>[內湖CityLink] D [王紹綺] 月租金 後五碼:23732 (行號: 7)</v>
      </c>
      <c r="C4739" t="str">
        <f>IFERROR(__xludf.DUMMYFUNCTION("""COMPUTED_VALUE"""),"收入 - 租金")</f>
        <v>收入 - 租金</v>
      </c>
      <c r="D4739" s="270">
        <f>IFERROR(__xludf.DUMMYFUNCTION("""COMPUTED_VALUE"""),12500.0)</f>
        <v>12500</v>
      </c>
      <c r="F4739" t="str">
        <f>IFERROR(__xludf.DUMMYFUNCTION("""COMPUTED_VALUE"""),"玉山帳戶")</f>
        <v>玉山帳戶</v>
      </c>
      <c r="G4739" t="str">
        <f>IFERROR(__xludf.DUMMYFUNCTION("""COMPUTED_VALUE"""),"內湖CityLink")</f>
        <v>內湖CityLink</v>
      </c>
      <c r="H4739" s="106" t="str">
        <f t="shared" si="1"/>
        <v>2025-09</v>
      </c>
      <c r="I4739" s="271" t="str">
        <f>IFERROR(__xludf.DUMMYFUNCTION("""COMPUTED_VALUE"""),"鯰魚大大")</f>
        <v>鯰魚大大</v>
      </c>
      <c r="J4739" t="str">
        <f>IFERROR(__xludf.DUMMYFUNCTION("IFS(
  AND(REGEXMATCH(E4739, ""台銀籌備帳戶|玉山帳戶""), REGEXMATCH(C4739, ""薪資"")), ""分潤支出"",
  AND(REGEXMATCH(E4739, ""Ben帳戶|Elsa帳戶|Ben代墊|Ariel代墊|中信銀行共用""), REGEXMATCH(F4739, ""Ben帳戶|Elsa帳戶|Ben代墊|Ariel代墊|中信銀行共用"")), ""內部轉帳(忽略)"",
  AND(E4739&lt;&gt;"""", F4739&lt;&gt;"""", N"&amp;"OT(REGEXMATCH(C4739, ""薪資""))), ""內部轉帳(忽略)"",
  REGEXMATCH(C4739, ""薪資""), ""薪資變動(不計入)"",
  REGEXMATCH(C4739, ""押金""), ""押金往來"",
  AND(E4739&lt;&gt;"""", F4739=""""), ""真實支出"",
  AND(E4739="""", F4739&lt;&gt;""""), ""真實收入"",
  TRUE, ""其他""
)"),"真實收入")</f>
        <v>真實收入</v>
      </c>
      <c r="K4739" s="270">
        <f t="shared" si="2"/>
        <v>12500</v>
      </c>
      <c r="L4739">
        <f t="shared" si="3"/>
        <v>0</v>
      </c>
    </row>
    <row r="4740">
      <c r="A4740" s="107">
        <f>IFERROR(__xludf.DUMMYFUNCTION("""COMPUTED_VALUE"""),45930.0)</f>
        <v>45930</v>
      </c>
      <c r="B4740" t="str">
        <f>IFERROR(__xludf.DUMMYFUNCTION("""COMPUTED_VALUE"""),"[士林和豐] D [曹淑宜] 月租金 後五碼:14788 (行號: 8)")</f>
        <v>[士林和豐] D [曹淑宜] 月租金 後五碼:14788 (行號: 8)</v>
      </c>
      <c r="C4740" t="str">
        <f>IFERROR(__xludf.DUMMYFUNCTION("""COMPUTED_VALUE"""),"收入 - 租金")</f>
        <v>收入 - 租金</v>
      </c>
      <c r="D4740" s="270">
        <f>IFERROR(__xludf.DUMMYFUNCTION("""COMPUTED_VALUE"""),12500.0)</f>
        <v>12500</v>
      </c>
      <c r="F4740" t="str">
        <f>IFERROR(__xludf.DUMMYFUNCTION("""COMPUTED_VALUE"""),"玉山帳戶")</f>
        <v>玉山帳戶</v>
      </c>
      <c r="G4740" t="str">
        <f>IFERROR(__xludf.DUMMYFUNCTION("""COMPUTED_VALUE"""),"士林和豐")</f>
        <v>士林和豐</v>
      </c>
      <c r="H4740" s="106" t="str">
        <f t="shared" si="1"/>
        <v>2025-09</v>
      </c>
      <c r="I4740" s="271" t="str">
        <f>IFERROR(__xludf.DUMMYFUNCTION("""COMPUTED_VALUE"""),"鯰魚大大")</f>
        <v>鯰魚大大</v>
      </c>
      <c r="J4740" t="str">
        <f>IFERROR(__xludf.DUMMYFUNCTION("IFS(
  AND(REGEXMATCH(E4740, ""台銀籌備帳戶|玉山帳戶""), REGEXMATCH(C4740, ""薪資"")), ""分潤支出"",
  AND(REGEXMATCH(E4740, ""Ben帳戶|Elsa帳戶|Ben代墊|Ariel代墊|中信銀行共用""), REGEXMATCH(F4740, ""Ben帳戶|Elsa帳戶|Ben代墊|Ariel代墊|中信銀行共用"")), ""內部轉帳(忽略)"",
  AND(E4740&lt;&gt;"""", F4740&lt;&gt;"""", N"&amp;"OT(REGEXMATCH(C4740, ""薪資""))), ""內部轉帳(忽略)"",
  REGEXMATCH(C4740, ""薪資""), ""薪資變動(不計入)"",
  REGEXMATCH(C4740, ""押金""), ""押金往來"",
  AND(E4740&lt;&gt;"""", F4740=""""), ""真實支出"",
  AND(E4740="""", F4740&lt;&gt;""""), ""真實收入"",
  TRUE, ""其他""
)"),"真實收入")</f>
        <v>真實收入</v>
      </c>
      <c r="K4740" s="270">
        <f t="shared" si="2"/>
        <v>12500</v>
      </c>
      <c r="L4740">
        <f t="shared" si="3"/>
        <v>0</v>
      </c>
    </row>
    <row r="4741">
      <c r="A4741" s="107">
        <f>IFERROR(__xludf.DUMMYFUNCTION("""COMPUTED_VALUE"""),45930.0)</f>
        <v>45930</v>
      </c>
      <c r="B4741" t="str">
        <f>IFERROR(__xludf.DUMMYFUNCTION("""COMPUTED_VALUE"""),"[士林和豐] A [許瑜芳, 黃俞安] 月租金 後五碼:57047 (行號: 9)")</f>
        <v>[士林和豐] A [許瑜芳, 黃俞安] 月租金 後五碼:57047 (行號: 9)</v>
      </c>
      <c r="C4741" t="str">
        <f>IFERROR(__xludf.DUMMYFUNCTION("""COMPUTED_VALUE"""),"收入 - 租金")</f>
        <v>收入 - 租金</v>
      </c>
      <c r="D4741" s="270">
        <f>IFERROR(__xludf.DUMMYFUNCTION("""COMPUTED_VALUE"""),19500.0)</f>
        <v>19500</v>
      </c>
      <c r="F4741" t="str">
        <f>IFERROR(__xludf.DUMMYFUNCTION("""COMPUTED_VALUE"""),"玉山帳戶")</f>
        <v>玉山帳戶</v>
      </c>
      <c r="G4741" t="str">
        <f>IFERROR(__xludf.DUMMYFUNCTION("""COMPUTED_VALUE"""),"士林和豐")</f>
        <v>士林和豐</v>
      </c>
      <c r="H4741" s="106" t="str">
        <f t="shared" si="1"/>
        <v>2025-09</v>
      </c>
      <c r="I4741" s="271" t="str">
        <f>IFERROR(__xludf.DUMMYFUNCTION("""COMPUTED_VALUE"""),"鯰魚大大")</f>
        <v>鯰魚大大</v>
      </c>
      <c r="J4741" t="str">
        <f>IFERROR(__xludf.DUMMYFUNCTION("IFS(
  AND(REGEXMATCH(E4741, ""台銀籌備帳戶|玉山帳戶""), REGEXMATCH(C4741, ""薪資"")), ""分潤支出"",
  AND(REGEXMATCH(E4741, ""Ben帳戶|Elsa帳戶|Ben代墊|Ariel代墊|中信銀行共用""), REGEXMATCH(F4741, ""Ben帳戶|Elsa帳戶|Ben代墊|Ariel代墊|中信銀行共用"")), ""內部轉帳(忽略)"",
  AND(E4741&lt;&gt;"""", F4741&lt;&gt;"""", N"&amp;"OT(REGEXMATCH(C4741, ""薪資""))), ""內部轉帳(忽略)"",
  REGEXMATCH(C4741, ""薪資""), ""薪資變動(不計入)"",
  REGEXMATCH(C4741, ""押金""), ""押金往來"",
  AND(E4741&lt;&gt;"""", F4741=""""), ""真實支出"",
  AND(E4741="""", F4741&lt;&gt;""""), ""真實收入"",
  TRUE, ""其他""
)"),"真實收入")</f>
        <v>真實收入</v>
      </c>
      <c r="K4741" s="270">
        <f t="shared" si="2"/>
        <v>19500</v>
      </c>
      <c r="L4741">
        <f t="shared" si="3"/>
        <v>0</v>
      </c>
    </row>
    <row r="4742">
      <c r="A4742" s="107">
        <f>IFERROR(__xludf.DUMMYFUNCTION("""COMPUTED_VALUE"""),45930.0)</f>
        <v>45930</v>
      </c>
      <c r="B4742" t="str">
        <f>IFERROR(__xludf.DUMMYFUNCTION("""COMPUTED_VALUE"""),"[行天宮夏野良栗] B [楊珺媁] 月租金 後五碼:73083 (行號: 10)")</f>
        <v>[行天宮夏野良栗] B [楊珺媁] 月租金 後五碼:73083 (行號: 10)</v>
      </c>
      <c r="C4742" t="str">
        <f>IFERROR(__xludf.DUMMYFUNCTION("""COMPUTED_VALUE"""),"收入 - 租金")</f>
        <v>收入 - 租金</v>
      </c>
      <c r="D4742" s="270">
        <f>IFERROR(__xludf.DUMMYFUNCTION("""COMPUTED_VALUE"""),14000.0)</f>
        <v>14000</v>
      </c>
      <c r="F4742" t="str">
        <f>IFERROR(__xludf.DUMMYFUNCTION("""COMPUTED_VALUE"""),"玉山帳戶")</f>
        <v>玉山帳戶</v>
      </c>
      <c r="G4742" t="str">
        <f>IFERROR(__xludf.DUMMYFUNCTION("""COMPUTED_VALUE"""),"行天宮夏野良栗")</f>
        <v>行天宮夏野良栗</v>
      </c>
      <c r="H4742" s="106" t="str">
        <f t="shared" si="1"/>
        <v>2025-09</v>
      </c>
      <c r="I4742" s="271" t="str">
        <f>IFERROR(__xludf.DUMMYFUNCTION("""COMPUTED_VALUE"""),"鯰魚大大")</f>
        <v>鯰魚大大</v>
      </c>
      <c r="J4742" t="str">
        <f>IFERROR(__xludf.DUMMYFUNCTION("IFS(
  AND(REGEXMATCH(E4742, ""台銀籌備帳戶|玉山帳戶""), REGEXMATCH(C4742, ""薪資"")), ""分潤支出"",
  AND(REGEXMATCH(E4742, ""Ben帳戶|Elsa帳戶|Ben代墊|Ariel代墊|中信銀行共用""), REGEXMATCH(F4742, ""Ben帳戶|Elsa帳戶|Ben代墊|Ariel代墊|中信銀行共用"")), ""內部轉帳(忽略)"",
  AND(E4742&lt;&gt;"""", F4742&lt;&gt;"""", N"&amp;"OT(REGEXMATCH(C4742, ""薪資""))), ""內部轉帳(忽略)"",
  REGEXMATCH(C4742, ""薪資""), ""薪資變動(不計入)"",
  REGEXMATCH(C4742, ""押金""), ""押金往來"",
  AND(E4742&lt;&gt;"""", F4742=""""), ""真實支出"",
  AND(E4742="""", F4742&lt;&gt;""""), ""真實收入"",
  TRUE, ""其他""
)"),"真實收入")</f>
        <v>真實收入</v>
      </c>
      <c r="K4742" s="270">
        <f t="shared" si="2"/>
        <v>14000</v>
      </c>
      <c r="L4742">
        <f t="shared" si="3"/>
        <v>0</v>
      </c>
    </row>
    <row r="4743">
      <c r="A4743" s="107">
        <f>IFERROR(__xludf.DUMMYFUNCTION("""COMPUTED_VALUE"""),45931.0)</f>
        <v>45931</v>
      </c>
      <c r="B4743" t="str">
        <f>IFERROR(__xludf.DUMMYFUNCTION("""COMPUTED_VALUE"""),"[內湖秘境] B [劉桀綸] 月租金 後五碼:80767 (行號: 11)")</f>
        <v>[內湖秘境] B [劉桀綸] 月租金 後五碼:80767 (行號: 11)</v>
      </c>
      <c r="C4743" t="str">
        <f>IFERROR(__xludf.DUMMYFUNCTION("""COMPUTED_VALUE"""),"收入 - 租金")</f>
        <v>收入 - 租金</v>
      </c>
      <c r="D4743" s="270">
        <f>IFERROR(__xludf.DUMMYFUNCTION("""COMPUTED_VALUE"""),12300.0)</f>
        <v>12300</v>
      </c>
      <c r="F4743" t="str">
        <f>IFERROR(__xludf.DUMMYFUNCTION("""COMPUTED_VALUE"""),"玉山帳戶")</f>
        <v>玉山帳戶</v>
      </c>
      <c r="G4743" t="str">
        <f>IFERROR(__xludf.DUMMYFUNCTION("""COMPUTED_VALUE"""),"內湖秘境")</f>
        <v>內湖秘境</v>
      </c>
      <c r="H4743" s="106" t="str">
        <f t="shared" si="1"/>
        <v>2025-10</v>
      </c>
      <c r="I4743" s="271" t="str">
        <f>IFERROR(__xludf.DUMMYFUNCTION("""COMPUTED_VALUE"""),"鯰魚大大")</f>
        <v>鯰魚大大</v>
      </c>
      <c r="J4743" t="str">
        <f>IFERROR(__xludf.DUMMYFUNCTION("IFS(
  AND(REGEXMATCH(E4743, ""台銀籌備帳戶|玉山帳戶""), REGEXMATCH(C4743, ""薪資"")), ""分潤支出"",
  AND(REGEXMATCH(E4743, ""Ben帳戶|Elsa帳戶|Ben代墊|Ariel代墊|中信銀行共用""), REGEXMATCH(F4743, ""Ben帳戶|Elsa帳戶|Ben代墊|Ariel代墊|中信銀行共用"")), ""內部轉帳(忽略)"",
  AND(E4743&lt;&gt;"""", F4743&lt;&gt;"""", N"&amp;"OT(REGEXMATCH(C4743, ""薪資""))), ""內部轉帳(忽略)"",
  REGEXMATCH(C4743, ""薪資""), ""薪資變動(不計入)"",
  REGEXMATCH(C4743, ""押金""), ""押金往來"",
  AND(E4743&lt;&gt;"""", F4743=""""), ""真實支出"",
  AND(E4743="""", F4743&lt;&gt;""""), ""真實收入"",
  TRUE, ""其他""
)"),"真實收入")</f>
        <v>真實收入</v>
      </c>
      <c r="K4743" s="270">
        <f t="shared" si="2"/>
        <v>12300</v>
      </c>
      <c r="L4743">
        <f t="shared" si="3"/>
        <v>0</v>
      </c>
    </row>
    <row r="4744">
      <c r="A4744" s="107">
        <f>IFERROR(__xludf.DUMMYFUNCTION("""COMPUTED_VALUE"""),45931.0)</f>
        <v>45931</v>
      </c>
      <c r="B4744" t="str">
        <f>IFERROR(__xludf.DUMMYFUNCTION("""COMPUTED_VALUE"""),"[行天宮夏野良栗] D [江仲元] 月租金 後五碼:99285 (行號: 16)")</f>
        <v>[行天宮夏野良栗] D [江仲元] 月租金 後五碼:99285 (行號: 16)</v>
      </c>
      <c r="C4744" t="str">
        <f>IFERROR(__xludf.DUMMYFUNCTION("""COMPUTED_VALUE"""),"收入 - 租金")</f>
        <v>收入 - 租金</v>
      </c>
      <c r="D4744" s="270">
        <f>IFERROR(__xludf.DUMMYFUNCTION("""COMPUTED_VALUE"""),11200.0)</f>
        <v>11200</v>
      </c>
      <c r="F4744" t="str">
        <f>IFERROR(__xludf.DUMMYFUNCTION("""COMPUTED_VALUE"""),"玉山帳戶")</f>
        <v>玉山帳戶</v>
      </c>
      <c r="G4744" t="str">
        <f>IFERROR(__xludf.DUMMYFUNCTION("""COMPUTED_VALUE"""),"行天宮夏野良栗")</f>
        <v>行天宮夏野良栗</v>
      </c>
      <c r="H4744" s="106" t="str">
        <f t="shared" si="1"/>
        <v>2025-10</v>
      </c>
      <c r="I4744" s="271" t="str">
        <f>IFERROR(__xludf.DUMMYFUNCTION("""COMPUTED_VALUE"""),"鯰魚大大")</f>
        <v>鯰魚大大</v>
      </c>
      <c r="J4744" t="str">
        <f>IFERROR(__xludf.DUMMYFUNCTION("IFS(
  AND(REGEXMATCH(E4744, ""台銀籌備帳戶|玉山帳戶""), REGEXMATCH(C4744, ""薪資"")), ""分潤支出"",
  AND(REGEXMATCH(E4744, ""Ben帳戶|Elsa帳戶|Ben代墊|Ariel代墊|中信銀行共用""), REGEXMATCH(F4744, ""Ben帳戶|Elsa帳戶|Ben代墊|Ariel代墊|中信銀行共用"")), ""內部轉帳(忽略)"",
  AND(E4744&lt;&gt;"""", F4744&lt;&gt;"""", N"&amp;"OT(REGEXMATCH(C4744, ""薪資""))), ""內部轉帳(忽略)"",
  REGEXMATCH(C4744, ""薪資""), ""薪資變動(不計入)"",
  REGEXMATCH(C4744, ""押金""), ""押金往來"",
  AND(E4744&lt;&gt;"""", F4744=""""), ""真實支出"",
  AND(E4744="""", F4744&lt;&gt;""""), ""真實收入"",
  TRUE, ""其他""
)"),"真實收入")</f>
        <v>真實收入</v>
      </c>
      <c r="K4744" s="270">
        <f t="shared" si="2"/>
        <v>11200</v>
      </c>
      <c r="L4744">
        <f t="shared" si="3"/>
        <v>0</v>
      </c>
    </row>
    <row r="4745">
      <c r="A4745" s="107">
        <f>IFERROR(__xludf.DUMMYFUNCTION("""COMPUTED_VALUE"""),45931.0)</f>
        <v>45931</v>
      </c>
      <c r="B4745" t="str">
        <f>IFERROR(__xludf.DUMMYFUNCTION("""COMPUTED_VALUE"""),"[內湖CityLink] E [葉英蔚] 月租金 後五碼:37877 (行號: 17)")</f>
        <v>[內湖CityLink] E [葉英蔚] 月租金 後五碼:37877 (行號: 17)</v>
      </c>
      <c r="C4745" t="str">
        <f>IFERROR(__xludf.DUMMYFUNCTION("""COMPUTED_VALUE"""),"收入 - 租金")</f>
        <v>收入 - 租金</v>
      </c>
      <c r="D4745" s="270">
        <f>IFERROR(__xludf.DUMMYFUNCTION("""COMPUTED_VALUE"""),13300.0)</f>
        <v>13300</v>
      </c>
      <c r="F4745" t="str">
        <f>IFERROR(__xludf.DUMMYFUNCTION("""COMPUTED_VALUE"""),"玉山帳戶")</f>
        <v>玉山帳戶</v>
      </c>
      <c r="G4745" t="str">
        <f>IFERROR(__xludf.DUMMYFUNCTION("""COMPUTED_VALUE"""),"內湖CityLink")</f>
        <v>內湖CityLink</v>
      </c>
      <c r="H4745" s="106" t="str">
        <f t="shared" si="1"/>
        <v>2025-10</v>
      </c>
      <c r="I4745" s="271" t="str">
        <f>IFERROR(__xludf.DUMMYFUNCTION("""COMPUTED_VALUE"""),"鯰魚大大")</f>
        <v>鯰魚大大</v>
      </c>
      <c r="J4745" t="str">
        <f>IFERROR(__xludf.DUMMYFUNCTION("IFS(
  AND(REGEXMATCH(E4745, ""台銀籌備帳戶|玉山帳戶""), REGEXMATCH(C4745, ""薪資"")), ""分潤支出"",
  AND(REGEXMATCH(E4745, ""Ben帳戶|Elsa帳戶|Ben代墊|Ariel代墊|中信銀行共用""), REGEXMATCH(F4745, ""Ben帳戶|Elsa帳戶|Ben代墊|Ariel代墊|中信銀行共用"")), ""內部轉帳(忽略)"",
  AND(E4745&lt;&gt;"""", F4745&lt;&gt;"""", N"&amp;"OT(REGEXMATCH(C4745, ""薪資""))), ""內部轉帳(忽略)"",
  REGEXMATCH(C4745, ""薪資""), ""薪資變動(不計入)"",
  REGEXMATCH(C4745, ""押金""), ""押金往來"",
  AND(E4745&lt;&gt;"""", F4745=""""), ""真實支出"",
  AND(E4745="""", F4745&lt;&gt;""""), ""真實收入"",
  TRUE, ""其他""
)"),"真實收入")</f>
        <v>真實收入</v>
      </c>
      <c r="K4745" s="270">
        <f t="shared" si="2"/>
        <v>13300</v>
      </c>
      <c r="L4745">
        <f t="shared" si="3"/>
        <v>0</v>
      </c>
    </row>
    <row r="4746">
      <c r="A4746" s="107">
        <f>IFERROR(__xludf.DUMMYFUNCTION("""COMPUTED_VALUE"""),45931.0)</f>
        <v>45931</v>
      </c>
      <c r="B4746" t="str">
        <f>IFERROR(__xludf.DUMMYFUNCTION("""COMPUTED_VALUE"""),"[內湖CityLink] C [汪建豪] 月租金 後五碼:23610 (行號: 18)")</f>
        <v>[內湖CityLink] C [汪建豪] 月租金 後五碼:23610 (行號: 18)</v>
      </c>
      <c r="C4746" t="str">
        <f>IFERROR(__xludf.DUMMYFUNCTION("""COMPUTED_VALUE"""),"收入 - 租金")</f>
        <v>收入 - 租金</v>
      </c>
      <c r="D4746" s="270">
        <f>IFERROR(__xludf.DUMMYFUNCTION("""COMPUTED_VALUE"""),12500.0)</f>
        <v>12500</v>
      </c>
      <c r="F4746" t="str">
        <f>IFERROR(__xludf.DUMMYFUNCTION("""COMPUTED_VALUE"""),"玉山帳戶")</f>
        <v>玉山帳戶</v>
      </c>
      <c r="G4746" t="str">
        <f>IFERROR(__xludf.DUMMYFUNCTION("""COMPUTED_VALUE"""),"內湖CityLink")</f>
        <v>內湖CityLink</v>
      </c>
      <c r="H4746" s="106" t="str">
        <f t="shared" si="1"/>
        <v>2025-10</v>
      </c>
      <c r="I4746" s="271" t="str">
        <f>IFERROR(__xludf.DUMMYFUNCTION("""COMPUTED_VALUE"""),"鯰魚大大")</f>
        <v>鯰魚大大</v>
      </c>
      <c r="J4746" t="str">
        <f>IFERROR(__xludf.DUMMYFUNCTION("IFS(
  AND(REGEXMATCH(E4746, ""台銀籌備帳戶|玉山帳戶""), REGEXMATCH(C4746, ""薪資"")), ""分潤支出"",
  AND(REGEXMATCH(E4746, ""Ben帳戶|Elsa帳戶|Ben代墊|Ariel代墊|中信銀行共用""), REGEXMATCH(F4746, ""Ben帳戶|Elsa帳戶|Ben代墊|Ariel代墊|中信銀行共用"")), ""內部轉帳(忽略)"",
  AND(E4746&lt;&gt;"""", F4746&lt;&gt;"""", N"&amp;"OT(REGEXMATCH(C4746, ""薪資""))), ""內部轉帳(忽略)"",
  REGEXMATCH(C4746, ""薪資""), ""薪資變動(不計入)"",
  REGEXMATCH(C4746, ""押金""), ""押金往來"",
  AND(E4746&lt;&gt;"""", F4746=""""), ""真實支出"",
  AND(E4746="""", F4746&lt;&gt;""""), ""真實收入"",
  TRUE, ""其他""
)"),"真實收入")</f>
        <v>真實收入</v>
      </c>
      <c r="K4746" s="270">
        <f t="shared" si="2"/>
        <v>12500</v>
      </c>
      <c r="L4746">
        <f t="shared" si="3"/>
        <v>0</v>
      </c>
    </row>
    <row r="4747">
      <c r="A4747" s="107">
        <f>IFERROR(__xludf.DUMMYFUNCTION("""COMPUTED_VALUE"""),45931.0)</f>
        <v>45931</v>
      </c>
      <c r="B4747" t="str">
        <f>IFERROR(__xludf.DUMMYFUNCTION("""COMPUTED_VALUE"""),"[內湖秘境] G [徐若洹] 月租金 後五碼:09984 (行號: 19)")</f>
        <v>[內湖秘境] G [徐若洹] 月租金 後五碼:09984 (行號: 19)</v>
      </c>
      <c r="C4747" t="str">
        <f>IFERROR(__xludf.DUMMYFUNCTION("""COMPUTED_VALUE"""),"收入 - 租金")</f>
        <v>收入 - 租金</v>
      </c>
      <c r="D4747" s="270">
        <f>IFERROR(__xludf.DUMMYFUNCTION("""COMPUTED_VALUE"""),11100.0)</f>
        <v>11100</v>
      </c>
      <c r="F4747" t="str">
        <f>IFERROR(__xludf.DUMMYFUNCTION("""COMPUTED_VALUE"""),"玉山帳戶")</f>
        <v>玉山帳戶</v>
      </c>
      <c r="G4747" t="str">
        <f>IFERROR(__xludf.DUMMYFUNCTION("""COMPUTED_VALUE"""),"內湖秘境")</f>
        <v>內湖秘境</v>
      </c>
      <c r="H4747" s="106" t="str">
        <f t="shared" si="1"/>
        <v>2025-10</v>
      </c>
      <c r="I4747" s="271" t="str">
        <f>IFERROR(__xludf.DUMMYFUNCTION("""COMPUTED_VALUE"""),"鯰魚大大")</f>
        <v>鯰魚大大</v>
      </c>
      <c r="J4747" t="str">
        <f>IFERROR(__xludf.DUMMYFUNCTION("IFS(
  AND(REGEXMATCH(E4747, ""台銀籌備帳戶|玉山帳戶""), REGEXMATCH(C4747, ""薪資"")), ""分潤支出"",
  AND(REGEXMATCH(E4747, ""Ben帳戶|Elsa帳戶|Ben代墊|Ariel代墊|中信銀行共用""), REGEXMATCH(F4747, ""Ben帳戶|Elsa帳戶|Ben代墊|Ariel代墊|中信銀行共用"")), ""內部轉帳(忽略)"",
  AND(E4747&lt;&gt;"""", F4747&lt;&gt;"""", N"&amp;"OT(REGEXMATCH(C4747, ""薪資""))), ""內部轉帳(忽略)"",
  REGEXMATCH(C4747, ""薪資""), ""薪資變動(不計入)"",
  REGEXMATCH(C4747, ""押金""), ""押金往來"",
  AND(E4747&lt;&gt;"""", F4747=""""), ""真實支出"",
  AND(E4747="""", F4747&lt;&gt;""""), ""真實收入"",
  TRUE, ""其他""
)"),"真實收入")</f>
        <v>真實收入</v>
      </c>
      <c r="K4747" s="270">
        <f t="shared" si="2"/>
        <v>11100</v>
      </c>
      <c r="L4747">
        <f t="shared" si="3"/>
        <v>0</v>
      </c>
    </row>
    <row r="4748">
      <c r="A4748" s="107">
        <f>IFERROR(__xludf.DUMMYFUNCTION("""COMPUTED_VALUE"""),45931.0)</f>
        <v>45931</v>
      </c>
      <c r="B4748" t="str">
        <f>IFERROR(__xludf.DUMMYFUNCTION("""COMPUTED_VALUE"""),"[內湖秘境] E [林芷妤] 月租金 後五碼:52052 (行號: 20)")</f>
        <v>[內湖秘境] E [林芷妤] 月租金 後五碼:52052 (行號: 20)</v>
      </c>
      <c r="C4748" t="str">
        <f>IFERROR(__xludf.DUMMYFUNCTION("""COMPUTED_VALUE"""),"收入 - 租金")</f>
        <v>收入 - 租金</v>
      </c>
      <c r="D4748" s="270">
        <f>IFERROR(__xludf.DUMMYFUNCTION("""COMPUTED_VALUE"""),13600.0)</f>
        <v>13600</v>
      </c>
      <c r="F4748" t="str">
        <f>IFERROR(__xludf.DUMMYFUNCTION("""COMPUTED_VALUE"""),"玉山帳戶")</f>
        <v>玉山帳戶</v>
      </c>
      <c r="G4748" t="str">
        <f>IFERROR(__xludf.DUMMYFUNCTION("""COMPUTED_VALUE"""),"內湖秘境")</f>
        <v>內湖秘境</v>
      </c>
      <c r="H4748" s="106" t="str">
        <f t="shared" si="1"/>
        <v>2025-10</v>
      </c>
      <c r="I4748" s="271" t="str">
        <f>IFERROR(__xludf.DUMMYFUNCTION("""COMPUTED_VALUE"""),"鯰魚大大")</f>
        <v>鯰魚大大</v>
      </c>
      <c r="J4748" t="str">
        <f>IFERROR(__xludf.DUMMYFUNCTION("IFS(
  AND(REGEXMATCH(E4748, ""台銀籌備帳戶|玉山帳戶""), REGEXMATCH(C4748, ""薪資"")), ""分潤支出"",
  AND(REGEXMATCH(E4748, ""Ben帳戶|Elsa帳戶|Ben代墊|Ariel代墊|中信銀行共用""), REGEXMATCH(F4748, ""Ben帳戶|Elsa帳戶|Ben代墊|Ariel代墊|中信銀行共用"")), ""內部轉帳(忽略)"",
  AND(E4748&lt;&gt;"""", F4748&lt;&gt;"""", N"&amp;"OT(REGEXMATCH(C4748, ""薪資""))), ""內部轉帳(忽略)"",
  REGEXMATCH(C4748, ""薪資""), ""薪資變動(不計入)"",
  REGEXMATCH(C4748, ""押金""), ""押金往來"",
  AND(E4748&lt;&gt;"""", F4748=""""), ""真實支出"",
  AND(E4748="""", F4748&lt;&gt;""""), ""真實收入"",
  TRUE, ""其他""
)"),"真實收入")</f>
        <v>真實收入</v>
      </c>
      <c r="K4748" s="270">
        <f t="shared" si="2"/>
        <v>13600</v>
      </c>
      <c r="L4748">
        <f t="shared" si="3"/>
        <v>0</v>
      </c>
    </row>
    <row r="4749">
      <c r="A4749" s="107">
        <f>IFERROR(__xludf.DUMMYFUNCTION("""COMPUTED_VALUE"""),45931.0)</f>
        <v>45931</v>
      </c>
      <c r="B4749" t="str">
        <f>IFERROR(__xludf.DUMMYFUNCTION("""COMPUTED_VALUE"""),"[內湖CityLink] A [陳昕湄] 月租金 後五碼:08344 (行號: 21, 22)")</f>
        <v>[內湖CityLink] A [陳昕湄] 月租金 後五碼:08344 (行號: 21, 22)</v>
      </c>
      <c r="C4749" t="str">
        <f>IFERROR(__xludf.DUMMYFUNCTION("""COMPUTED_VALUE"""),"收入 - 租金")</f>
        <v>收入 - 租金</v>
      </c>
      <c r="D4749" s="270">
        <f>IFERROR(__xludf.DUMMYFUNCTION("""COMPUTED_VALUE"""),14800.0)</f>
        <v>14800</v>
      </c>
      <c r="F4749" t="str">
        <f>IFERROR(__xludf.DUMMYFUNCTION("""COMPUTED_VALUE"""),"玉山帳戶")</f>
        <v>玉山帳戶</v>
      </c>
      <c r="G4749" t="str">
        <f>IFERROR(__xludf.DUMMYFUNCTION("""COMPUTED_VALUE"""),"內湖CityLink")</f>
        <v>內湖CityLink</v>
      </c>
      <c r="H4749" s="106" t="str">
        <f t="shared" si="1"/>
        <v>2025-10</v>
      </c>
      <c r="I4749" s="271" t="str">
        <f>IFERROR(__xludf.DUMMYFUNCTION("""COMPUTED_VALUE"""),"鯰魚大大")</f>
        <v>鯰魚大大</v>
      </c>
      <c r="J4749" t="str">
        <f>IFERROR(__xludf.DUMMYFUNCTION("IFS(
  AND(REGEXMATCH(E4749, ""台銀籌備帳戶|玉山帳戶""), REGEXMATCH(C4749, ""薪資"")), ""分潤支出"",
  AND(REGEXMATCH(E4749, ""Ben帳戶|Elsa帳戶|Ben代墊|Ariel代墊|中信銀行共用""), REGEXMATCH(F4749, ""Ben帳戶|Elsa帳戶|Ben代墊|Ariel代墊|中信銀行共用"")), ""內部轉帳(忽略)"",
  AND(E4749&lt;&gt;"""", F4749&lt;&gt;"""", N"&amp;"OT(REGEXMATCH(C4749, ""薪資""))), ""內部轉帳(忽略)"",
  REGEXMATCH(C4749, ""薪資""), ""薪資變動(不計入)"",
  REGEXMATCH(C4749, ""押金""), ""押金往來"",
  AND(E4749&lt;&gt;"""", F4749=""""), ""真實支出"",
  AND(E4749="""", F4749&lt;&gt;""""), ""真實收入"",
  TRUE, ""其他""
)"),"真實收入")</f>
        <v>真實收入</v>
      </c>
      <c r="K4749" s="270">
        <f t="shared" si="2"/>
        <v>14800</v>
      </c>
      <c r="L4749">
        <f t="shared" si="3"/>
        <v>0</v>
      </c>
    </row>
    <row r="4750">
      <c r="A4750" s="107">
        <f>IFERROR(__xludf.DUMMYFUNCTION("""COMPUTED_VALUE"""),45931.0)</f>
        <v>45931</v>
      </c>
      <c r="B4750" t="str">
        <f>IFERROR(__xludf.DUMMYFUNCTION("""COMPUTED_VALUE"""),"[士林和豐] B [劉宗霖] 月租金 後五碼:28793 (行號: 23)")</f>
        <v>[士林和豐] B [劉宗霖] 月租金 後五碼:28793 (行號: 23)</v>
      </c>
      <c r="C4750" t="str">
        <f>IFERROR(__xludf.DUMMYFUNCTION("""COMPUTED_VALUE"""),"收入 - 租金")</f>
        <v>收入 - 租金</v>
      </c>
      <c r="D4750" s="270">
        <f>IFERROR(__xludf.DUMMYFUNCTION("""COMPUTED_VALUE"""),13500.0)</f>
        <v>13500</v>
      </c>
      <c r="F4750" t="str">
        <f>IFERROR(__xludf.DUMMYFUNCTION("""COMPUTED_VALUE"""),"玉山帳戶")</f>
        <v>玉山帳戶</v>
      </c>
      <c r="G4750" t="str">
        <f>IFERROR(__xludf.DUMMYFUNCTION("""COMPUTED_VALUE"""),"士林和豐")</f>
        <v>士林和豐</v>
      </c>
      <c r="H4750" s="106" t="str">
        <f t="shared" si="1"/>
        <v>2025-10</v>
      </c>
      <c r="I4750" s="271" t="str">
        <f>IFERROR(__xludf.DUMMYFUNCTION("""COMPUTED_VALUE"""),"鯰魚大大")</f>
        <v>鯰魚大大</v>
      </c>
      <c r="J4750" t="str">
        <f>IFERROR(__xludf.DUMMYFUNCTION("IFS(
  AND(REGEXMATCH(E4750, ""台銀籌備帳戶|玉山帳戶""), REGEXMATCH(C4750, ""薪資"")), ""分潤支出"",
  AND(REGEXMATCH(E4750, ""Ben帳戶|Elsa帳戶|Ben代墊|Ariel代墊|中信銀行共用""), REGEXMATCH(F4750, ""Ben帳戶|Elsa帳戶|Ben代墊|Ariel代墊|中信銀行共用"")), ""內部轉帳(忽略)"",
  AND(E4750&lt;&gt;"""", F4750&lt;&gt;"""", N"&amp;"OT(REGEXMATCH(C4750, ""薪資""))), ""內部轉帳(忽略)"",
  REGEXMATCH(C4750, ""薪資""), ""薪資變動(不計入)"",
  REGEXMATCH(C4750, ""押金""), ""押金往來"",
  AND(E4750&lt;&gt;"""", F4750=""""), ""真實支出"",
  AND(E4750="""", F4750&lt;&gt;""""), ""真實收入"",
  TRUE, ""其他""
)"),"真實收入")</f>
        <v>真實收入</v>
      </c>
      <c r="K4750" s="270">
        <f t="shared" si="2"/>
        <v>13500</v>
      </c>
      <c r="L4750">
        <f t="shared" si="3"/>
        <v>0</v>
      </c>
    </row>
    <row r="4751">
      <c r="A4751" s="107">
        <f>IFERROR(__xludf.DUMMYFUNCTION("""COMPUTED_VALUE"""),45931.0)</f>
        <v>45931</v>
      </c>
      <c r="B4751" t="str">
        <f>IFERROR(__xludf.DUMMYFUNCTION("""COMPUTED_VALUE"""),"[內湖秘境] C [黃詩穎] 月租金 後五碼:53074 (行號: 24)")</f>
        <v>[內湖秘境] C [黃詩穎] 月租金 後五碼:53074 (行號: 24)</v>
      </c>
      <c r="C4751" t="str">
        <f>IFERROR(__xludf.DUMMYFUNCTION("""COMPUTED_VALUE"""),"收入 - 租金")</f>
        <v>收入 - 租金</v>
      </c>
      <c r="D4751" s="270">
        <f>IFERROR(__xludf.DUMMYFUNCTION("""COMPUTED_VALUE"""),14800.0)</f>
        <v>14800</v>
      </c>
      <c r="F4751" t="str">
        <f>IFERROR(__xludf.DUMMYFUNCTION("""COMPUTED_VALUE"""),"玉山帳戶")</f>
        <v>玉山帳戶</v>
      </c>
      <c r="G4751" t="str">
        <f>IFERROR(__xludf.DUMMYFUNCTION("""COMPUTED_VALUE"""),"內湖秘境")</f>
        <v>內湖秘境</v>
      </c>
      <c r="H4751" s="106" t="str">
        <f t="shared" si="1"/>
        <v>2025-10</v>
      </c>
      <c r="I4751" s="271" t="str">
        <f>IFERROR(__xludf.DUMMYFUNCTION("""COMPUTED_VALUE"""),"鯰魚大大")</f>
        <v>鯰魚大大</v>
      </c>
      <c r="J4751" t="str">
        <f>IFERROR(__xludf.DUMMYFUNCTION("IFS(
  AND(REGEXMATCH(E4751, ""台銀籌備帳戶|玉山帳戶""), REGEXMATCH(C4751, ""薪資"")), ""分潤支出"",
  AND(REGEXMATCH(E4751, ""Ben帳戶|Elsa帳戶|Ben代墊|Ariel代墊|中信銀行共用""), REGEXMATCH(F4751, ""Ben帳戶|Elsa帳戶|Ben代墊|Ariel代墊|中信銀行共用"")), ""內部轉帳(忽略)"",
  AND(E4751&lt;&gt;"""", F4751&lt;&gt;"""", N"&amp;"OT(REGEXMATCH(C4751, ""薪資""))), ""內部轉帳(忽略)"",
  REGEXMATCH(C4751, ""薪資""), ""薪資變動(不計入)"",
  REGEXMATCH(C4751, ""押金""), ""押金往來"",
  AND(E4751&lt;&gt;"""", F4751=""""), ""真實支出"",
  AND(E4751="""", F4751&lt;&gt;""""), ""真實收入"",
  TRUE, ""其他""
)"),"真實收入")</f>
        <v>真實收入</v>
      </c>
      <c r="K4751" s="270">
        <f t="shared" si="2"/>
        <v>14800</v>
      </c>
      <c r="L4751">
        <f t="shared" si="3"/>
        <v>0</v>
      </c>
    </row>
    <row r="4752">
      <c r="A4752" s="107">
        <f>IFERROR(__xludf.DUMMYFUNCTION("""COMPUTED_VALUE"""),45931.0)</f>
        <v>45931</v>
      </c>
      <c r="B4752" t="str">
        <f>IFERROR(__xludf.DUMMYFUNCTION("""COMPUTED_VALUE"""),"[行天宮夏野良栗] E [張宏祺, 謝宗穎] 月租金 後五碼:12345 (行號: 25)")</f>
        <v>[行天宮夏野良栗] E [張宏祺, 謝宗穎] 月租金 後五碼:12345 (行號: 25)</v>
      </c>
      <c r="C4752" t="str">
        <f>IFERROR(__xludf.DUMMYFUNCTION("""COMPUTED_VALUE"""),"收入 - 租金")</f>
        <v>收入 - 租金</v>
      </c>
      <c r="D4752" s="270">
        <f>IFERROR(__xludf.DUMMYFUNCTION("""COMPUTED_VALUE"""),31800.0)</f>
        <v>31800</v>
      </c>
      <c r="F4752" t="str">
        <f>IFERROR(__xludf.DUMMYFUNCTION("""COMPUTED_VALUE"""),"玉山帳戶")</f>
        <v>玉山帳戶</v>
      </c>
      <c r="G4752" t="str">
        <f>IFERROR(__xludf.DUMMYFUNCTION("""COMPUTED_VALUE"""),"行天宮夏野良栗")</f>
        <v>行天宮夏野良栗</v>
      </c>
      <c r="H4752" s="106" t="str">
        <f t="shared" si="1"/>
        <v>2025-10</v>
      </c>
      <c r="I4752" s="271" t="str">
        <f>IFERROR(__xludf.DUMMYFUNCTION("""COMPUTED_VALUE"""),"鯰魚大大")</f>
        <v>鯰魚大大</v>
      </c>
      <c r="J4752" t="str">
        <f>IFERROR(__xludf.DUMMYFUNCTION("IFS(
  AND(REGEXMATCH(E4752, ""台銀籌備帳戶|玉山帳戶""), REGEXMATCH(C4752, ""薪資"")), ""分潤支出"",
  AND(REGEXMATCH(E4752, ""Ben帳戶|Elsa帳戶|Ben代墊|Ariel代墊|中信銀行共用""), REGEXMATCH(F4752, ""Ben帳戶|Elsa帳戶|Ben代墊|Ariel代墊|中信銀行共用"")), ""內部轉帳(忽略)"",
  AND(E4752&lt;&gt;"""", F4752&lt;&gt;"""", N"&amp;"OT(REGEXMATCH(C4752, ""薪資""))), ""內部轉帳(忽略)"",
  REGEXMATCH(C4752, ""薪資""), ""薪資變動(不計入)"",
  REGEXMATCH(C4752, ""押金""), ""押金往來"",
  AND(E4752&lt;&gt;"""", F4752=""""), ""真實支出"",
  AND(E4752="""", F4752&lt;&gt;""""), ""真實收入"",
  TRUE, ""其他""
)"),"真實收入")</f>
        <v>真實收入</v>
      </c>
      <c r="K4752" s="270">
        <f t="shared" si="2"/>
        <v>31800</v>
      </c>
      <c r="L4752">
        <f t="shared" si="3"/>
        <v>0</v>
      </c>
    </row>
    <row r="4753">
      <c r="A4753" s="107">
        <f>IFERROR(__xludf.DUMMYFUNCTION("""COMPUTED_VALUE"""),45931.0)</f>
        <v>45931</v>
      </c>
      <c r="B4753" t="str">
        <f>IFERROR(__xludf.DUMMYFUNCTION("""COMPUTED_VALUE"""),"[內湖秘境] A [陳玟涵] 月租金 後五碼:18127 (行號: 26)")</f>
        <v>[內湖秘境] A [陳玟涵] 月租金 後五碼:18127 (行號: 26)</v>
      </c>
      <c r="C4753" t="str">
        <f>IFERROR(__xludf.DUMMYFUNCTION("""COMPUTED_VALUE"""),"收入 - 租金")</f>
        <v>收入 - 租金</v>
      </c>
      <c r="D4753" s="270">
        <f>IFERROR(__xludf.DUMMYFUNCTION("""COMPUTED_VALUE"""),11700.0)</f>
        <v>11700</v>
      </c>
      <c r="F4753" t="str">
        <f>IFERROR(__xludf.DUMMYFUNCTION("""COMPUTED_VALUE"""),"玉山帳戶")</f>
        <v>玉山帳戶</v>
      </c>
      <c r="G4753" t="str">
        <f>IFERROR(__xludf.DUMMYFUNCTION("""COMPUTED_VALUE"""),"內湖秘境")</f>
        <v>內湖秘境</v>
      </c>
      <c r="H4753" s="106" t="str">
        <f t="shared" si="1"/>
        <v>2025-10</v>
      </c>
      <c r="I4753" s="271" t="str">
        <f>IFERROR(__xludf.DUMMYFUNCTION("""COMPUTED_VALUE"""),"鯰魚大大")</f>
        <v>鯰魚大大</v>
      </c>
      <c r="J4753" t="str">
        <f>IFERROR(__xludf.DUMMYFUNCTION("IFS(
  AND(REGEXMATCH(E4753, ""台銀籌備帳戶|玉山帳戶""), REGEXMATCH(C4753, ""薪資"")), ""分潤支出"",
  AND(REGEXMATCH(E4753, ""Ben帳戶|Elsa帳戶|Ben代墊|Ariel代墊|中信銀行共用""), REGEXMATCH(F4753, ""Ben帳戶|Elsa帳戶|Ben代墊|Ariel代墊|中信銀行共用"")), ""內部轉帳(忽略)"",
  AND(E4753&lt;&gt;"""", F4753&lt;&gt;"""", N"&amp;"OT(REGEXMATCH(C4753, ""薪資""))), ""內部轉帳(忽略)"",
  REGEXMATCH(C4753, ""薪資""), ""薪資變動(不計入)"",
  REGEXMATCH(C4753, ""押金""), ""押金往來"",
  AND(E4753&lt;&gt;"""", F4753=""""), ""真實支出"",
  AND(E4753="""", F4753&lt;&gt;""""), ""真實收入"",
  TRUE, ""其他""
)"),"真實收入")</f>
        <v>真實收入</v>
      </c>
      <c r="K4753" s="270">
        <f t="shared" si="2"/>
        <v>11700</v>
      </c>
      <c r="L4753">
        <f t="shared" si="3"/>
        <v>0</v>
      </c>
    </row>
    <row r="4754">
      <c r="A4754" s="107">
        <f>IFERROR(__xludf.DUMMYFUNCTION("""COMPUTED_VALUE"""),45931.0)</f>
        <v>45931</v>
      </c>
      <c r="B4754" t="str">
        <f>IFERROR(__xludf.DUMMYFUNCTION("""COMPUTED_VALUE"""),"[行天宮夏野良栗] A [鄒欣穎] 月租金 後五碼:29450 (行號: 27)")</f>
        <v>[行天宮夏野良栗] A [鄒欣穎] 月租金 後五碼:29450 (行號: 27)</v>
      </c>
      <c r="C4754" t="str">
        <f>IFERROR(__xludf.DUMMYFUNCTION("""COMPUTED_VALUE"""),"收入 - 租金")</f>
        <v>收入 - 租金</v>
      </c>
      <c r="D4754" s="270">
        <f>IFERROR(__xludf.DUMMYFUNCTION("""COMPUTED_VALUE"""),14200.0)</f>
        <v>14200</v>
      </c>
      <c r="F4754" t="str">
        <f>IFERROR(__xludf.DUMMYFUNCTION("""COMPUTED_VALUE"""),"玉山帳戶")</f>
        <v>玉山帳戶</v>
      </c>
      <c r="G4754" t="str">
        <f>IFERROR(__xludf.DUMMYFUNCTION("""COMPUTED_VALUE"""),"行天宮夏野良栗")</f>
        <v>行天宮夏野良栗</v>
      </c>
      <c r="H4754" s="106" t="str">
        <f t="shared" si="1"/>
        <v>2025-10</v>
      </c>
      <c r="I4754" s="271" t="str">
        <f>IFERROR(__xludf.DUMMYFUNCTION("""COMPUTED_VALUE"""),"鯰魚大大")</f>
        <v>鯰魚大大</v>
      </c>
      <c r="J4754" t="str">
        <f>IFERROR(__xludf.DUMMYFUNCTION("IFS(
  AND(REGEXMATCH(E4754, ""台銀籌備帳戶|玉山帳戶""), REGEXMATCH(C4754, ""薪資"")), ""分潤支出"",
  AND(REGEXMATCH(E4754, ""Ben帳戶|Elsa帳戶|Ben代墊|Ariel代墊|中信銀行共用""), REGEXMATCH(F4754, ""Ben帳戶|Elsa帳戶|Ben代墊|Ariel代墊|中信銀行共用"")), ""內部轉帳(忽略)"",
  AND(E4754&lt;&gt;"""", F4754&lt;&gt;"""", N"&amp;"OT(REGEXMATCH(C4754, ""薪資""))), ""內部轉帳(忽略)"",
  REGEXMATCH(C4754, ""薪資""), ""薪資變動(不計入)"",
  REGEXMATCH(C4754, ""押金""), ""押金往來"",
  AND(E4754&lt;&gt;"""", F4754=""""), ""真實支出"",
  AND(E4754="""", F4754&lt;&gt;""""), ""真實收入"",
  TRUE, ""其他""
)"),"真實收入")</f>
        <v>真實收入</v>
      </c>
      <c r="K4754" s="270">
        <f t="shared" si="2"/>
        <v>14200</v>
      </c>
      <c r="L4754">
        <f t="shared" si="3"/>
        <v>0</v>
      </c>
    </row>
    <row r="4755">
      <c r="A4755" s="107">
        <f>IFERROR(__xludf.DUMMYFUNCTION("""COMPUTED_VALUE"""),45931.0)</f>
        <v>45931</v>
      </c>
      <c r="B4755" t="str">
        <f>IFERROR(__xludf.DUMMYFUNCTION("""COMPUTED_VALUE"""),"[內湖CityLink] F [Ardian Umam] 月租金 後五碼:65463 (行號: 28)")</f>
        <v>[內湖CityLink] F [Ardian Umam] 月租金 後五碼:65463 (行號: 28)</v>
      </c>
      <c r="C4755" t="str">
        <f>IFERROR(__xludf.DUMMYFUNCTION("""COMPUTED_VALUE"""),"收入 - 租金")</f>
        <v>收入 - 租金</v>
      </c>
      <c r="D4755" s="270">
        <f>IFERROR(__xludf.DUMMYFUNCTION("""COMPUTED_VALUE"""),13300.0)</f>
        <v>13300</v>
      </c>
      <c r="F4755" t="str">
        <f>IFERROR(__xludf.DUMMYFUNCTION("""COMPUTED_VALUE"""),"玉山帳戶")</f>
        <v>玉山帳戶</v>
      </c>
      <c r="G4755" t="str">
        <f>IFERROR(__xludf.DUMMYFUNCTION("""COMPUTED_VALUE"""),"內湖CityLink")</f>
        <v>內湖CityLink</v>
      </c>
      <c r="H4755" s="106" t="str">
        <f t="shared" si="1"/>
        <v>2025-10</v>
      </c>
      <c r="I4755" s="271" t="str">
        <f>IFERROR(__xludf.DUMMYFUNCTION("""COMPUTED_VALUE"""),"鯰魚大大")</f>
        <v>鯰魚大大</v>
      </c>
      <c r="J4755" t="str">
        <f>IFERROR(__xludf.DUMMYFUNCTION("IFS(
  AND(REGEXMATCH(E4755, ""台銀籌備帳戶|玉山帳戶""), REGEXMATCH(C4755, ""薪資"")), ""分潤支出"",
  AND(REGEXMATCH(E4755, ""Ben帳戶|Elsa帳戶|Ben代墊|Ariel代墊|中信銀行共用""), REGEXMATCH(F4755, ""Ben帳戶|Elsa帳戶|Ben代墊|Ariel代墊|中信銀行共用"")), ""內部轉帳(忽略)"",
  AND(E4755&lt;&gt;"""", F4755&lt;&gt;"""", N"&amp;"OT(REGEXMATCH(C4755, ""薪資""))), ""內部轉帳(忽略)"",
  REGEXMATCH(C4755, ""薪資""), ""薪資變動(不計入)"",
  REGEXMATCH(C4755, ""押金""), ""押金往來"",
  AND(E4755&lt;&gt;"""", F4755=""""), ""真實支出"",
  AND(E4755="""", F4755&lt;&gt;""""), ""真實收入"",
  TRUE, ""其他""
)"),"真實收入")</f>
        <v>真實收入</v>
      </c>
      <c r="K4755" s="270">
        <f t="shared" si="2"/>
        <v>13300</v>
      </c>
      <c r="L4755">
        <f t="shared" si="3"/>
        <v>0</v>
      </c>
    </row>
    <row r="4756">
      <c r="A4756" s="107">
        <f>IFERROR(__xludf.DUMMYFUNCTION("""COMPUTED_VALUE"""),45932.0)</f>
        <v>45932</v>
      </c>
      <c r="B4756" t="str">
        <f>IFERROR(__xludf.DUMMYFUNCTION("""COMPUTED_VALUE"""),"[內湖秘境] F [楊芯岳] 月租金 後五碼:05639 (行號: 30)")</f>
        <v>[內湖秘境] F [楊芯岳] 月租金 後五碼:05639 (行號: 30)</v>
      </c>
      <c r="C4756" t="str">
        <f>IFERROR(__xludf.DUMMYFUNCTION("""COMPUTED_VALUE"""),"收入 - 租金")</f>
        <v>收入 - 租金</v>
      </c>
      <c r="D4756" s="270">
        <f>IFERROR(__xludf.DUMMYFUNCTION("""COMPUTED_VALUE"""),13500.0)</f>
        <v>13500</v>
      </c>
      <c r="F4756" t="str">
        <f>IFERROR(__xludf.DUMMYFUNCTION("""COMPUTED_VALUE"""),"玉山帳戶")</f>
        <v>玉山帳戶</v>
      </c>
      <c r="G4756" t="str">
        <f>IFERROR(__xludf.DUMMYFUNCTION("""COMPUTED_VALUE"""),"內湖秘境")</f>
        <v>內湖秘境</v>
      </c>
      <c r="H4756" s="106" t="str">
        <f t="shared" si="1"/>
        <v>2025-10</v>
      </c>
      <c r="I4756" s="271" t="str">
        <f>IFERROR(__xludf.DUMMYFUNCTION("""COMPUTED_VALUE"""),"鯰魚大大")</f>
        <v>鯰魚大大</v>
      </c>
      <c r="J4756" t="str">
        <f>IFERROR(__xludf.DUMMYFUNCTION("IFS(
  AND(REGEXMATCH(E4756, ""台銀籌備帳戶|玉山帳戶""), REGEXMATCH(C4756, ""薪資"")), ""分潤支出"",
  AND(REGEXMATCH(E4756, ""Ben帳戶|Elsa帳戶|Ben代墊|Ariel代墊|中信銀行共用""), REGEXMATCH(F4756, ""Ben帳戶|Elsa帳戶|Ben代墊|Ariel代墊|中信銀行共用"")), ""內部轉帳(忽略)"",
  AND(E4756&lt;&gt;"""", F4756&lt;&gt;"""", N"&amp;"OT(REGEXMATCH(C4756, ""薪資""))), ""內部轉帳(忽略)"",
  REGEXMATCH(C4756, ""薪資""), ""薪資變動(不計入)"",
  REGEXMATCH(C4756, ""押金""), ""押金往來"",
  AND(E4756&lt;&gt;"""", F4756=""""), ""真實支出"",
  AND(E4756="""", F4756&lt;&gt;""""), ""真實收入"",
  TRUE, ""其他""
)"),"真實收入")</f>
        <v>真實收入</v>
      </c>
      <c r="K4756" s="270">
        <f t="shared" si="2"/>
        <v>13500</v>
      </c>
      <c r="L4756">
        <f t="shared" si="3"/>
        <v>0</v>
      </c>
    </row>
    <row r="4757">
      <c r="A4757" s="107">
        <f>IFERROR(__xludf.DUMMYFUNCTION("""COMPUTED_VALUE"""),45937.0)</f>
        <v>45937</v>
      </c>
      <c r="B4757" t="str">
        <f>IFERROR(__xludf.DUMMYFUNCTION("""COMPUTED_VALUE"""),"[內湖CityLink] B [蔡善安] 月租金 後五碼:63589 (行號: 32)")</f>
        <v>[內湖CityLink] B [蔡善安] 月租金 後五碼:63589 (行號: 32)</v>
      </c>
      <c r="C4757" t="str">
        <f>IFERROR(__xludf.DUMMYFUNCTION("""COMPUTED_VALUE"""),"收入 - 租金")</f>
        <v>收入 - 租金</v>
      </c>
      <c r="D4757" s="270">
        <f>IFERROR(__xludf.DUMMYFUNCTION("""COMPUTED_VALUE"""),12000.0)</f>
        <v>12000</v>
      </c>
      <c r="F4757" t="str">
        <f>IFERROR(__xludf.DUMMYFUNCTION("""COMPUTED_VALUE"""),"玉山帳戶")</f>
        <v>玉山帳戶</v>
      </c>
      <c r="G4757" t="str">
        <f>IFERROR(__xludf.DUMMYFUNCTION("""COMPUTED_VALUE"""),"內湖CityLink")</f>
        <v>內湖CityLink</v>
      </c>
      <c r="H4757" s="106" t="str">
        <f t="shared" si="1"/>
        <v>2025-10</v>
      </c>
      <c r="I4757" s="271" t="str">
        <f>IFERROR(__xludf.DUMMYFUNCTION("""COMPUTED_VALUE"""),"鯰魚大大")</f>
        <v>鯰魚大大</v>
      </c>
      <c r="J4757" t="str">
        <f>IFERROR(__xludf.DUMMYFUNCTION("IFS(
  AND(REGEXMATCH(E4757, ""台銀籌備帳戶|玉山帳戶""), REGEXMATCH(C4757, ""薪資"")), ""分潤支出"",
  AND(REGEXMATCH(E4757, ""Ben帳戶|Elsa帳戶|Ben代墊|Ariel代墊|中信銀行共用""), REGEXMATCH(F4757, ""Ben帳戶|Elsa帳戶|Ben代墊|Ariel代墊|中信銀行共用"")), ""內部轉帳(忽略)"",
  AND(E4757&lt;&gt;"""", F4757&lt;&gt;"""", N"&amp;"OT(REGEXMATCH(C4757, ""薪資""))), ""內部轉帳(忽略)"",
  REGEXMATCH(C4757, ""薪資""), ""薪資變動(不計入)"",
  REGEXMATCH(C4757, ""押金""), ""押金往來"",
  AND(E4757&lt;&gt;"""", F4757=""""), ""真實支出"",
  AND(E4757="""", F4757&lt;&gt;""""), ""真實收入"",
  TRUE, ""其他""
)"),"真實收入")</f>
        <v>真實收入</v>
      </c>
      <c r="K4757" s="270">
        <f t="shared" si="2"/>
        <v>12000</v>
      </c>
      <c r="L4757">
        <f t="shared" si="3"/>
        <v>0</v>
      </c>
    </row>
    <row r="4758">
      <c r="A4758" s="107">
        <f>IFERROR(__xludf.DUMMYFUNCTION("""COMPUTED_VALUE"""),45937.0)</f>
        <v>45937</v>
      </c>
      <c r="B4758" t="str">
        <f>IFERROR(__xludf.DUMMYFUNCTION("""COMPUTED_VALUE"""),"垃可")</f>
        <v>垃可</v>
      </c>
      <c r="C4758" t="str">
        <f>IFERROR(__xludf.DUMMYFUNCTION("""COMPUTED_VALUE"""),"成本 - 固定開銷(網路代收清潔)")</f>
        <v>成本 - 固定開銷(網路代收清潔)</v>
      </c>
      <c r="D4758" s="270">
        <f>IFERROR(__xludf.DUMMYFUNCTION("""COMPUTED_VALUE"""),-1800.0)</f>
        <v>-1800</v>
      </c>
      <c r="E4758" t="str">
        <f>IFERROR(__xludf.DUMMYFUNCTION("""COMPUTED_VALUE"""),"Ben代墊")</f>
        <v>Ben代墊</v>
      </c>
      <c r="H4758" s="106" t="str">
        <f t="shared" si="1"/>
        <v>2025-10</v>
      </c>
      <c r="I4758" s="271" t="str">
        <f>IFERROR(__xludf.DUMMYFUNCTION("""COMPUTED_VALUE"""),"鯰魚大大")</f>
        <v>鯰魚大大</v>
      </c>
      <c r="J4758" t="str">
        <f>IFERROR(__xludf.DUMMYFUNCTION("IFS(
  AND(REGEXMATCH(E4758, ""台銀籌備帳戶|玉山帳戶""), REGEXMATCH(C4758, ""薪資"")), ""分潤支出"",
  AND(REGEXMATCH(E4758, ""Ben帳戶|Elsa帳戶|Ben代墊|Ariel代墊|中信銀行共用""), REGEXMATCH(F4758, ""Ben帳戶|Elsa帳戶|Ben代墊|Ariel代墊|中信銀行共用"")), ""內部轉帳(忽略)"",
  AND(E4758&lt;&gt;"""", F4758&lt;&gt;"""", N"&amp;"OT(REGEXMATCH(C4758, ""薪資""))), ""內部轉帳(忽略)"",
  REGEXMATCH(C4758, ""薪資""), ""薪資變動(不計入)"",
  REGEXMATCH(C4758, ""押金""), ""押金往來"",
  AND(E4758&lt;&gt;"""", F4758=""""), ""真實支出"",
  AND(E4758="""", F4758&lt;&gt;""""), ""真實收入"",
  TRUE, ""其他""
)"),"真實支出")</f>
        <v>真實支出</v>
      </c>
      <c r="K4758" s="270">
        <f t="shared" si="2"/>
        <v>-1800</v>
      </c>
      <c r="L4758">
        <f t="shared" si="3"/>
        <v>0</v>
      </c>
    </row>
    <row r="4759">
      <c r="A4759" s="107">
        <f>IFERROR(__xludf.DUMMYFUNCTION("""COMPUTED_VALUE"""),45937.0)</f>
        <v>45937</v>
      </c>
      <c r="B4759" t="str">
        <f>IFERROR(__xludf.DUMMYFUNCTION("""COMPUTED_VALUE"""),"費用 - 匯費 對方行:822 後五碼:33337 (行號: 3)")</f>
        <v>費用 - 匯費 對方行:822 後五碼:33337 (行號: 3)</v>
      </c>
      <c r="C4759" t="str">
        <f>IFERROR(__xludf.DUMMYFUNCTION("""COMPUTED_VALUE"""),"費用 - 匯費")</f>
        <v>費用 - 匯費</v>
      </c>
      <c r="D4759" s="270">
        <f>IFERROR(__xludf.DUMMYFUNCTION("""COMPUTED_VALUE"""),-15.0)</f>
        <v>-15</v>
      </c>
      <c r="E4759" t="str">
        <f>IFERROR(__xludf.DUMMYFUNCTION("""COMPUTED_VALUE"""),"玉山帳戶")</f>
        <v>玉山帳戶</v>
      </c>
      <c r="H4759" s="106" t="str">
        <f t="shared" si="1"/>
        <v>2025-10</v>
      </c>
      <c r="I4759" s="271" t="str">
        <f>IFERROR(__xludf.DUMMYFUNCTION("""COMPUTED_VALUE"""),"鯰魚大大")</f>
        <v>鯰魚大大</v>
      </c>
      <c r="J4759" t="str">
        <f>IFERROR(__xludf.DUMMYFUNCTION("IFS(
  AND(REGEXMATCH(E4759, ""台銀籌備帳戶|玉山帳戶""), REGEXMATCH(C4759, ""薪資"")), ""分潤支出"",
  AND(REGEXMATCH(E4759, ""Ben帳戶|Elsa帳戶|Ben代墊|Ariel代墊|中信銀行共用""), REGEXMATCH(F4759, ""Ben帳戶|Elsa帳戶|Ben代墊|Ariel代墊|中信銀行共用"")), ""內部轉帳(忽略)"",
  AND(E4759&lt;&gt;"""", F4759&lt;&gt;"""", N"&amp;"OT(REGEXMATCH(C4759, ""薪資""))), ""內部轉帳(忽略)"",
  REGEXMATCH(C4759, ""薪資""), ""薪資變動(不計入)"",
  REGEXMATCH(C4759, ""押金""), ""押金往來"",
  AND(E4759&lt;&gt;"""", F4759=""""), ""真實支出"",
  AND(E4759="""", F4759&lt;&gt;""""), ""真實收入"",
  TRUE, ""其他""
)"),"真實支出")</f>
        <v>真實支出</v>
      </c>
      <c r="K4759" s="270">
        <f t="shared" si="2"/>
        <v>-15</v>
      </c>
      <c r="L4759">
        <f t="shared" si="3"/>
        <v>0</v>
      </c>
    </row>
    <row r="4760">
      <c r="A4760" s="107">
        <f>IFERROR(__xludf.DUMMYFUNCTION("""COMPUTED_VALUE"""),45937.0)</f>
        <v>45937</v>
      </c>
      <c r="B4760" t="str">
        <f>IFERROR(__xludf.DUMMYFUNCTION("""COMPUTED_VALUE"""),"代墊款 【未分類支出】")</f>
        <v>代墊款 【未分類支出】</v>
      </c>
      <c r="C4760" t="str">
        <f>IFERROR(__xludf.DUMMYFUNCTION("""COMPUTED_VALUE"""),"費用 - Salary 薪資")</f>
        <v>費用 - Salary 薪資</v>
      </c>
      <c r="D4760" s="270">
        <f>IFERROR(__xludf.DUMMYFUNCTION("""COMPUTED_VALUE"""),-100000.0)</f>
        <v>-100000</v>
      </c>
      <c r="E4760" t="str">
        <f>IFERROR(__xludf.DUMMYFUNCTION("""COMPUTED_VALUE"""),"玉山帳戶")</f>
        <v>玉山帳戶</v>
      </c>
      <c r="F4760" t="str">
        <f>IFERROR(__xludf.DUMMYFUNCTION("""COMPUTED_VALUE"""),"中信銀行共用")</f>
        <v>中信銀行共用</v>
      </c>
      <c r="H4760" s="106" t="str">
        <f t="shared" si="1"/>
        <v>2025-10</v>
      </c>
      <c r="I4760" s="271" t="str">
        <f>IFERROR(__xludf.DUMMYFUNCTION("""COMPUTED_VALUE"""),"鯰魚大大")</f>
        <v>鯰魚大大</v>
      </c>
      <c r="J4760" t="str">
        <f>IFERROR(__xludf.DUMMYFUNCTION("IFS(
  AND(REGEXMATCH(E4760, ""台銀籌備帳戶|玉山帳戶""), REGEXMATCH(C4760, ""薪資"")), ""分潤支出"",
  AND(REGEXMATCH(E4760, ""Ben帳戶|Elsa帳戶|Ben代墊|Ariel代墊|中信銀行共用""), REGEXMATCH(F4760, ""Ben帳戶|Elsa帳戶|Ben代墊|Ariel代墊|中信銀行共用"")), ""內部轉帳(忽略)"",
  AND(E4760&lt;&gt;"""", F4760&lt;&gt;"""", N"&amp;"OT(REGEXMATCH(C4760, ""薪資""))), ""內部轉帳(忽略)"",
  REGEXMATCH(C4760, ""薪資""), ""薪資變動(不計入)"",
  REGEXMATCH(C4760, ""押金""), ""押金往來"",
  AND(E4760&lt;&gt;"""", F4760=""""), ""真實支出"",
  AND(E4760="""", F4760&lt;&gt;""""), ""真實收入"",
  TRUE, ""其他""
)"),"分潤支出")</f>
        <v>分潤支出</v>
      </c>
      <c r="K4760">
        <f t="shared" si="2"/>
        <v>0</v>
      </c>
      <c r="L4760">
        <f t="shared" si="3"/>
        <v>100000</v>
      </c>
    </row>
    <row r="4761">
      <c r="A4761" s="107">
        <f>IFERROR(__xludf.DUMMYFUNCTION("""COMPUTED_VALUE"""),45937.0)</f>
        <v>45937</v>
      </c>
      <c r="B4761" t="str">
        <f>IFERROR(__xludf.DUMMYFUNCTION("""COMPUTED_VALUE"""),"[行天宮夏野良栗] C [黃伊妍] 月租金 後五碼:26146 (行號: 2)")</f>
        <v>[行天宮夏野良栗] C [黃伊妍] 月租金 後五碼:26146 (行號: 2)</v>
      </c>
      <c r="C4761" t="str">
        <f>IFERROR(__xludf.DUMMYFUNCTION("""COMPUTED_VALUE"""),"收入 - 租金")</f>
        <v>收入 - 租金</v>
      </c>
      <c r="D4761" s="270">
        <f>IFERROR(__xludf.DUMMYFUNCTION("""COMPUTED_VALUE"""),11000.0)</f>
        <v>11000</v>
      </c>
      <c r="F4761" t="str">
        <f>IFERROR(__xludf.DUMMYFUNCTION("""COMPUTED_VALUE"""),"玉山帳戶")</f>
        <v>玉山帳戶</v>
      </c>
      <c r="G4761" t="str">
        <f>IFERROR(__xludf.DUMMYFUNCTION("""COMPUTED_VALUE"""),"行天宮夏野良栗")</f>
        <v>行天宮夏野良栗</v>
      </c>
      <c r="H4761" s="106" t="str">
        <f t="shared" si="1"/>
        <v>2025-10</v>
      </c>
      <c r="I4761" s="271" t="str">
        <f>IFERROR(__xludf.DUMMYFUNCTION("""COMPUTED_VALUE"""),"鯰魚大大")</f>
        <v>鯰魚大大</v>
      </c>
      <c r="J4761" t="str">
        <f>IFERROR(__xludf.DUMMYFUNCTION("IFS(
  AND(REGEXMATCH(E4761, ""台銀籌備帳戶|玉山帳戶""), REGEXMATCH(C4761, ""薪資"")), ""分潤支出"",
  AND(REGEXMATCH(E4761, ""Ben帳戶|Elsa帳戶|Ben代墊|Ariel代墊|中信銀行共用""), REGEXMATCH(F4761, ""Ben帳戶|Elsa帳戶|Ben代墊|Ariel代墊|中信銀行共用"")), ""內部轉帳(忽略)"",
  AND(E4761&lt;&gt;"""", F4761&lt;&gt;"""", N"&amp;"OT(REGEXMATCH(C4761, ""薪資""))), ""內部轉帳(忽略)"",
  REGEXMATCH(C4761, ""薪資""), ""薪資變動(不計入)"",
  REGEXMATCH(C4761, ""押金""), ""押金往來"",
  AND(E4761&lt;&gt;"""", F4761=""""), ""真實支出"",
  AND(E4761="""", F4761&lt;&gt;""""), ""真實收入"",
  TRUE, ""其他""
)"),"真實收入")</f>
        <v>真實收入</v>
      </c>
      <c r="K4761" s="270">
        <f t="shared" si="2"/>
        <v>11000</v>
      </c>
      <c r="L4761">
        <f t="shared" si="3"/>
        <v>0</v>
      </c>
    </row>
    <row r="4762">
      <c r="A4762" s="107">
        <f>IFERROR(__xludf.DUMMYFUNCTION("""COMPUTED_VALUE"""),45840.0)</f>
        <v>45840</v>
      </c>
      <c r="B4762" t="str">
        <f>IFERROR(__xludf.DUMMYFUNCTION("""COMPUTED_VALUE"""),"[內湖CityLink] 天然氣欠費")</f>
        <v>[內湖CityLink] 天然氣欠費</v>
      </c>
      <c r="C4762" t="str">
        <f>IFERROR(__xludf.DUMMYFUNCTION("""COMPUTED_VALUE"""),"成本 - 進場前裝潢費")</f>
        <v>成本 - 進場前裝潢費</v>
      </c>
      <c r="D4762" s="270">
        <f>IFERROR(__xludf.DUMMYFUNCTION("""COMPUTED_VALUE"""),-5753.0)</f>
        <v>-5753</v>
      </c>
      <c r="E4762" t="str">
        <f>IFERROR(__xludf.DUMMYFUNCTION("""COMPUTED_VALUE"""),"Ariel代墊")</f>
        <v>Ariel代墊</v>
      </c>
      <c r="G4762" t="str">
        <f>IFERROR(__xludf.DUMMYFUNCTION("""COMPUTED_VALUE"""),"內湖CityLink")</f>
        <v>內湖CityLink</v>
      </c>
      <c r="H4762" s="106" t="str">
        <f t="shared" si="1"/>
        <v>2025-07</v>
      </c>
      <c r="I4762" s="271" t="str">
        <f>IFERROR(__xludf.DUMMYFUNCTION("""COMPUTED_VALUE"""),"鯰魚大大")</f>
        <v>鯰魚大大</v>
      </c>
      <c r="J4762" t="str">
        <f>IFERROR(__xludf.DUMMYFUNCTION("IFS(
  AND(REGEXMATCH(E4762, ""台銀籌備帳戶|玉山帳戶""), REGEXMATCH(C4762, ""薪資"")), ""分潤支出"",
  AND(REGEXMATCH(E4762, ""Ben帳戶|Elsa帳戶|Ben代墊|Ariel代墊|中信銀行共用""), REGEXMATCH(F4762, ""Ben帳戶|Elsa帳戶|Ben代墊|Ariel代墊|中信銀行共用"")), ""內部轉帳(忽略)"",
  AND(E4762&lt;&gt;"""", F4762&lt;&gt;"""", N"&amp;"OT(REGEXMATCH(C4762, ""薪資""))), ""內部轉帳(忽略)"",
  REGEXMATCH(C4762, ""薪資""), ""薪資變動(不計入)"",
  REGEXMATCH(C4762, ""押金""), ""押金往來"",
  AND(E4762&lt;&gt;"""", F4762=""""), ""真實支出"",
  AND(E4762="""", F4762&lt;&gt;""""), ""真實收入"",
  TRUE, ""其他""
)"),"真實支出")</f>
        <v>真實支出</v>
      </c>
      <c r="K4762" s="270">
        <f t="shared" si="2"/>
        <v>-5753</v>
      </c>
      <c r="L4762">
        <f t="shared" si="3"/>
        <v>0</v>
      </c>
    </row>
    <row r="4763">
      <c r="A4763" s="107">
        <f>IFERROR(__xludf.DUMMYFUNCTION("""COMPUTED_VALUE"""),45840.0)</f>
        <v>45840</v>
      </c>
      <c r="B4763" t="str">
        <f>IFERROR(__xludf.DUMMYFUNCTION("""COMPUTED_VALUE"""),"[內湖CityLink] 天然氣欠費")</f>
        <v>[內湖CityLink] 天然氣欠費</v>
      </c>
      <c r="C4763" t="str">
        <f>IFERROR(__xludf.DUMMYFUNCTION("""COMPUTED_VALUE"""),"成本 - 進場前裝潢費")</f>
        <v>成本 - 進場前裝潢費</v>
      </c>
      <c r="D4763" s="270">
        <f>IFERROR(__xludf.DUMMYFUNCTION("""COMPUTED_VALUE"""),-4895.0)</f>
        <v>-4895</v>
      </c>
      <c r="E4763" t="str">
        <f>IFERROR(__xludf.DUMMYFUNCTION("""COMPUTED_VALUE"""),"Ariel代墊")</f>
        <v>Ariel代墊</v>
      </c>
      <c r="G4763" t="str">
        <f>IFERROR(__xludf.DUMMYFUNCTION("""COMPUTED_VALUE"""),"內湖CityLink")</f>
        <v>內湖CityLink</v>
      </c>
      <c r="H4763" s="106" t="str">
        <f t="shared" si="1"/>
        <v>2025-07</v>
      </c>
      <c r="I4763" s="271" t="str">
        <f>IFERROR(__xludf.DUMMYFUNCTION("""COMPUTED_VALUE"""),"鯰魚大大")</f>
        <v>鯰魚大大</v>
      </c>
      <c r="J4763" t="str">
        <f>IFERROR(__xludf.DUMMYFUNCTION("IFS(
  AND(REGEXMATCH(E4763, ""台銀籌備帳戶|玉山帳戶""), REGEXMATCH(C4763, ""薪資"")), ""分潤支出"",
  AND(REGEXMATCH(E4763, ""Ben帳戶|Elsa帳戶|Ben代墊|Ariel代墊|中信銀行共用""), REGEXMATCH(F4763, ""Ben帳戶|Elsa帳戶|Ben代墊|Ariel代墊|中信銀行共用"")), ""內部轉帳(忽略)"",
  AND(E4763&lt;&gt;"""", F4763&lt;&gt;"""", N"&amp;"OT(REGEXMATCH(C4763, ""薪資""))), ""內部轉帳(忽略)"",
  REGEXMATCH(C4763, ""薪資""), ""薪資變動(不計入)"",
  REGEXMATCH(C4763, ""押金""), ""押金往來"",
  AND(E4763&lt;&gt;"""", F4763=""""), ""真實支出"",
  AND(E4763="""", F4763&lt;&gt;""""), ""真實收入"",
  TRUE, ""其他""
)"),"真實支出")</f>
        <v>真實支出</v>
      </c>
      <c r="K4763" s="270">
        <f t="shared" si="2"/>
        <v>-4895</v>
      </c>
      <c r="L4763">
        <f t="shared" si="3"/>
        <v>0</v>
      </c>
    </row>
    <row r="4764">
      <c r="A4764" s="107">
        <f>IFERROR(__xludf.DUMMYFUNCTION("""COMPUTED_VALUE"""),45910.0)</f>
        <v>45910</v>
      </c>
      <c r="B4764" t="str">
        <f>IFERROR(__xludf.DUMMYFUNCTION("""COMPUTED_VALUE"""),"[內湖秘境] 凱擘網路費")</f>
        <v>[內湖秘境] 凱擘網路費</v>
      </c>
      <c r="C4764" t="str">
        <f>IFERROR(__xludf.DUMMYFUNCTION("""COMPUTED_VALUE"""),"成本 - 固定開銷(網路代收清潔)")</f>
        <v>成本 - 固定開銷(網路代收清潔)</v>
      </c>
      <c r="D4764" s="270">
        <f>IFERROR(__xludf.DUMMYFUNCTION("""COMPUTED_VALUE"""),-2697.0)</f>
        <v>-2697</v>
      </c>
      <c r="E4764" t="str">
        <f>IFERROR(__xludf.DUMMYFUNCTION("""COMPUTED_VALUE"""),"Ariel代墊")</f>
        <v>Ariel代墊</v>
      </c>
      <c r="G4764" t="str">
        <f>IFERROR(__xludf.DUMMYFUNCTION("""COMPUTED_VALUE"""),"內湖秘境")</f>
        <v>內湖秘境</v>
      </c>
      <c r="H4764" s="106" t="str">
        <f t="shared" si="1"/>
        <v>2025-09</v>
      </c>
      <c r="I4764" s="271" t="str">
        <f>IFERROR(__xludf.DUMMYFUNCTION("""COMPUTED_VALUE"""),"鯰魚大大")</f>
        <v>鯰魚大大</v>
      </c>
      <c r="J4764" t="str">
        <f>IFERROR(__xludf.DUMMYFUNCTION("IFS(
  AND(REGEXMATCH(E4764, ""台銀籌備帳戶|玉山帳戶""), REGEXMATCH(C4764, ""薪資"")), ""分潤支出"",
  AND(REGEXMATCH(E4764, ""Ben帳戶|Elsa帳戶|Ben代墊|Ariel代墊|中信銀行共用""), REGEXMATCH(F4764, ""Ben帳戶|Elsa帳戶|Ben代墊|Ariel代墊|中信銀行共用"")), ""內部轉帳(忽略)"",
  AND(E4764&lt;&gt;"""", F4764&lt;&gt;"""", N"&amp;"OT(REGEXMATCH(C4764, ""薪資""))), ""內部轉帳(忽略)"",
  REGEXMATCH(C4764, ""薪資""), ""薪資變動(不計入)"",
  REGEXMATCH(C4764, ""押金""), ""押金往來"",
  AND(E4764&lt;&gt;"""", F4764=""""), ""真實支出"",
  AND(E4764="""", F4764&lt;&gt;""""), ""真實收入"",
  TRUE, ""其他""
)"),"真實支出")</f>
        <v>真實支出</v>
      </c>
      <c r="K4764" s="270">
        <f t="shared" si="2"/>
        <v>-2697</v>
      </c>
      <c r="L4764">
        <f t="shared" si="3"/>
        <v>0</v>
      </c>
    </row>
    <row r="4765">
      <c r="A4765" s="107">
        <f>IFERROR(__xludf.DUMMYFUNCTION("""COMPUTED_VALUE"""),45813.0)</f>
        <v>45813</v>
      </c>
      <c r="B4765" t="str">
        <f>IFERROR(__xludf.DUMMYFUNCTION("""COMPUTED_VALUE"""),"[士林和豐] 北都網路費")</f>
        <v>[士林和豐] 北都網路費</v>
      </c>
      <c r="C4765" t="str">
        <f>IFERROR(__xludf.DUMMYFUNCTION("""COMPUTED_VALUE"""),"成本 - 固定開銷(網路代收清潔)")</f>
        <v>成本 - 固定開銷(網路代收清潔)</v>
      </c>
      <c r="D4765" s="270">
        <f>IFERROR(__xludf.DUMMYFUNCTION("""COMPUTED_VALUE"""),-2697.0)</f>
        <v>-2697</v>
      </c>
      <c r="E4765" t="str">
        <f>IFERROR(__xludf.DUMMYFUNCTION("""COMPUTED_VALUE"""),"Ariel代墊")</f>
        <v>Ariel代墊</v>
      </c>
      <c r="G4765" t="str">
        <f>IFERROR(__xludf.DUMMYFUNCTION("""COMPUTED_VALUE"""),"士林和豐")</f>
        <v>士林和豐</v>
      </c>
      <c r="H4765" s="106" t="str">
        <f t="shared" si="1"/>
        <v>2025-06</v>
      </c>
      <c r="I4765" s="271" t="str">
        <f>IFERROR(__xludf.DUMMYFUNCTION("""COMPUTED_VALUE"""),"鯰魚大大")</f>
        <v>鯰魚大大</v>
      </c>
      <c r="J4765" t="str">
        <f>IFERROR(__xludf.DUMMYFUNCTION("IFS(
  AND(REGEXMATCH(E4765, ""台銀籌備帳戶|玉山帳戶""), REGEXMATCH(C4765, ""薪資"")), ""分潤支出"",
  AND(REGEXMATCH(E4765, ""Ben帳戶|Elsa帳戶|Ben代墊|Ariel代墊|中信銀行共用""), REGEXMATCH(F4765, ""Ben帳戶|Elsa帳戶|Ben代墊|Ariel代墊|中信銀行共用"")), ""內部轉帳(忽略)"",
  AND(E4765&lt;&gt;"""", F4765&lt;&gt;"""", N"&amp;"OT(REGEXMATCH(C4765, ""薪資""))), ""內部轉帳(忽略)"",
  REGEXMATCH(C4765, ""薪資""), ""薪資變動(不計入)"",
  REGEXMATCH(C4765, ""押金""), ""押金往來"",
  AND(E4765&lt;&gt;"""", F4765=""""), ""真實支出"",
  AND(E4765="""", F4765&lt;&gt;""""), ""真實收入"",
  TRUE, ""其他""
)"),"真實支出")</f>
        <v>真實支出</v>
      </c>
      <c r="K4765" s="270">
        <f t="shared" si="2"/>
        <v>-2697</v>
      </c>
      <c r="L4765">
        <f t="shared" si="3"/>
        <v>0</v>
      </c>
    </row>
    <row r="4766">
      <c r="A4766" s="107">
        <f>IFERROR(__xludf.DUMMYFUNCTION("""COMPUTED_VALUE"""),45861.0)</f>
        <v>45861</v>
      </c>
      <c r="B4766" t="str">
        <f>IFERROR(__xludf.DUMMYFUNCTION("""COMPUTED_VALUE"""),"[內湖秘境] 收垃圾費(2025/1~2025/12)")</f>
        <v>[內湖秘境] 收垃圾費(2025/1~2025/12)</v>
      </c>
      <c r="C4766" t="str">
        <f>IFERROR(__xludf.DUMMYFUNCTION("""COMPUTED_VALUE"""),"成本 - 固定開銷(網路代收清潔)")</f>
        <v>成本 - 固定開銷(網路代收清潔)</v>
      </c>
      <c r="D4766" s="270">
        <f>IFERROR(__xludf.DUMMYFUNCTION("""COMPUTED_VALUE"""),-4800.0)</f>
        <v>-4800</v>
      </c>
      <c r="E4766" t="str">
        <f>IFERROR(__xludf.DUMMYFUNCTION("""COMPUTED_VALUE"""),"Ariel代墊")</f>
        <v>Ariel代墊</v>
      </c>
      <c r="G4766" t="str">
        <f>IFERROR(__xludf.DUMMYFUNCTION("""COMPUTED_VALUE"""),"內湖秘境")</f>
        <v>內湖秘境</v>
      </c>
      <c r="H4766" s="106" t="str">
        <f t="shared" si="1"/>
        <v>2025-07</v>
      </c>
      <c r="I4766" s="271" t="str">
        <f>IFERROR(__xludf.DUMMYFUNCTION("""COMPUTED_VALUE"""),"鯰魚大大")</f>
        <v>鯰魚大大</v>
      </c>
      <c r="J4766" t="str">
        <f>IFERROR(__xludf.DUMMYFUNCTION("IFS(
  AND(REGEXMATCH(E4766, ""台銀籌備帳戶|玉山帳戶""), REGEXMATCH(C4766, ""薪資"")), ""分潤支出"",
  AND(REGEXMATCH(E4766, ""Ben帳戶|Elsa帳戶|Ben代墊|Ariel代墊|中信銀行共用""), REGEXMATCH(F4766, ""Ben帳戶|Elsa帳戶|Ben代墊|Ariel代墊|中信銀行共用"")), ""內部轉帳(忽略)"",
  AND(E4766&lt;&gt;"""", F4766&lt;&gt;"""", N"&amp;"OT(REGEXMATCH(C4766, ""薪資""))), ""內部轉帳(忽略)"",
  REGEXMATCH(C4766, ""薪資""), ""薪資變動(不計入)"",
  REGEXMATCH(C4766, ""押金""), ""押金往來"",
  AND(E4766&lt;&gt;"""", F4766=""""), ""真實支出"",
  AND(E4766="""", F4766&lt;&gt;""""), ""真實收入"",
  TRUE, ""其他""
)"),"真實支出")</f>
        <v>真實支出</v>
      </c>
      <c r="K4766" s="270">
        <f t="shared" si="2"/>
        <v>-4800</v>
      </c>
      <c r="L4766">
        <f t="shared" si="3"/>
        <v>0</v>
      </c>
    </row>
    <row r="4767">
      <c r="A4767" s="107">
        <f>IFERROR(__xludf.DUMMYFUNCTION("""COMPUTED_VALUE"""),45838.0)</f>
        <v>45838</v>
      </c>
      <c r="B4767" t="str">
        <f>IFERROR(__xludf.DUMMYFUNCTION("""COMPUTED_VALUE"""),"[內湖CityLink] 天然氣漏氣管線更新")</f>
        <v>[內湖CityLink] 天然氣漏氣管線更新</v>
      </c>
      <c r="C4767" t="str">
        <f>IFERROR(__xludf.DUMMYFUNCTION("""COMPUTED_VALUE"""),"成本 - 進場前裝潢費")</f>
        <v>成本 - 進場前裝潢費</v>
      </c>
      <c r="D4767" s="270">
        <f>IFERROR(__xludf.DUMMYFUNCTION("""COMPUTED_VALUE"""),-4895.0)</f>
        <v>-4895</v>
      </c>
      <c r="E4767" t="str">
        <f>IFERROR(__xludf.DUMMYFUNCTION("""COMPUTED_VALUE"""),"Ariel代墊")</f>
        <v>Ariel代墊</v>
      </c>
      <c r="H4767" s="106" t="str">
        <f t="shared" si="1"/>
        <v>2025-06</v>
      </c>
      <c r="I4767" s="271" t="str">
        <f>IFERROR(__xludf.DUMMYFUNCTION("""COMPUTED_VALUE"""),"鯰魚大大")</f>
        <v>鯰魚大大</v>
      </c>
      <c r="J4767" t="str">
        <f>IFERROR(__xludf.DUMMYFUNCTION("IFS(
  AND(REGEXMATCH(E4767, ""台銀籌備帳戶|玉山帳戶""), REGEXMATCH(C4767, ""薪資"")), ""分潤支出"",
  AND(REGEXMATCH(E4767, ""Ben帳戶|Elsa帳戶|Ben代墊|Ariel代墊|中信銀行共用""), REGEXMATCH(F4767, ""Ben帳戶|Elsa帳戶|Ben代墊|Ariel代墊|中信銀行共用"")), ""內部轉帳(忽略)"",
  AND(E4767&lt;&gt;"""", F4767&lt;&gt;"""", N"&amp;"OT(REGEXMATCH(C4767, ""薪資""))), ""內部轉帳(忽略)"",
  REGEXMATCH(C4767, ""薪資""), ""薪資變動(不計入)"",
  REGEXMATCH(C4767, ""押金""), ""押金往來"",
  AND(E4767&lt;&gt;"""", F4767=""""), ""真實支出"",
  AND(E4767="""", F4767&lt;&gt;""""), ""真實收入"",
  TRUE, ""其他""
)"),"真實支出")</f>
        <v>真實支出</v>
      </c>
      <c r="K4767" s="270">
        <f t="shared" si="2"/>
        <v>-4895</v>
      </c>
      <c r="L4767">
        <f t="shared" si="3"/>
        <v>0</v>
      </c>
    </row>
    <row r="4768">
      <c r="A4768" s="107">
        <f>IFERROR(__xludf.DUMMYFUNCTION("""COMPUTED_VALUE"""),45945.0)</f>
        <v>45945</v>
      </c>
      <c r="B4768" t="str">
        <f>IFERROR(__xludf.DUMMYFUNCTION("""COMPUTED_VALUE"""),"費用 - 匯費 對方行:013 後五碼:78744 (行號: 2)")</f>
        <v>費用 - 匯費 對方行:013 後五碼:78744 (行號: 2)</v>
      </c>
      <c r="C4768" t="str">
        <f>IFERROR(__xludf.DUMMYFUNCTION("""COMPUTED_VALUE"""),"費用 - 匯費")</f>
        <v>費用 - 匯費</v>
      </c>
      <c r="D4768" s="270">
        <f>IFERROR(__xludf.DUMMYFUNCTION("""COMPUTED_VALUE"""),-15.0)</f>
        <v>-15</v>
      </c>
      <c r="E4768" t="str">
        <f>IFERROR(__xludf.DUMMYFUNCTION("""COMPUTED_VALUE"""),"玉山帳戶")</f>
        <v>玉山帳戶</v>
      </c>
      <c r="H4768" s="106" t="str">
        <f t="shared" si="1"/>
        <v>2025-10</v>
      </c>
      <c r="I4768" s="271" t="str">
        <f>IFERROR(__xludf.DUMMYFUNCTION("""COMPUTED_VALUE"""),"鯰魚大大")</f>
        <v>鯰魚大大</v>
      </c>
      <c r="J4768" t="str">
        <f>IFERROR(__xludf.DUMMYFUNCTION("IFS(
  AND(REGEXMATCH(E4768, ""台銀籌備帳戶|玉山帳戶""), REGEXMATCH(C4768, ""薪資"")), ""分潤支出"",
  AND(REGEXMATCH(E4768, ""Ben帳戶|Elsa帳戶|Ben代墊|Ariel代墊|中信銀行共用""), REGEXMATCH(F4768, ""Ben帳戶|Elsa帳戶|Ben代墊|Ariel代墊|中信銀行共用"")), ""內部轉帳(忽略)"",
  AND(E4768&lt;&gt;"""", F4768&lt;&gt;"""", N"&amp;"OT(REGEXMATCH(C4768, ""薪資""))), ""內部轉帳(忽略)"",
  REGEXMATCH(C4768, ""薪資""), ""薪資變動(不計入)"",
  REGEXMATCH(C4768, ""押金""), ""押金往來"",
  AND(E4768&lt;&gt;"""", F4768=""""), ""真實支出"",
  AND(E4768="""", F4768&lt;&gt;""""), ""真實收入"",
  TRUE, ""其他""
)"),"真實支出")</f>
        <v>真實支出</v>
      </c>
      <c r="K4768" s="270">
        <f t="shared" si="2"/>
        <v>-15</v>
      </c>
      <c r="L4768">
        <f t="shared" si="3"/>
        <v>0</v>
      </c>
    </row>
    <row r="4769">
      <c r="A4769" s="107">
        <f>IFERROR(__xludf.DUMMYFUNCTION("""COMPUTED_VALUE"""),45945.0)</f>
        <v>45945</v>
      </c>
      <c r="B4769" t="str">
        <f>IFERROR(__xludf.DUMMYFUNCTION("""COMPUTED_VALUE"""),"[士林和豐] [楊政偉] 大租金")</f>
        <v>[士林和豐] [楊政偉] 大租金</v>
      </c>
      <c r="C4769" t="str">
        <f>IFERROR(__xludf.DUMMYFUNCTION("""COMPUTED_VALUE"""),"成本 - 大租金")</f>
        <v>成本 - 大租金</v>
      </c>
      <c r="D4769" s="270">
        <f>IFERROR(__xludf.DUMMYFUNCTION("""COMPUTED_VALUE"""),-14400.0)</f>
        <v>-14400</v>
      </c>
      <c r="E4769" t="str">
        <f>IFERROR(__xludf.DUMMYFUNCTION("""COMPUTED_VALUE"""),"玉山帳戶")</f>
        <v>玉山帳戶</v>
      </c>
      <c r="G4769" t="str">
        <f>IFERROR(__xludf.DUMMYFUNCTION("""COMPUTED_VALUE"""),"士林和豐")</f>
        <v>士林和豐</v>
      </c>
      <c r="H4769" s="106" t="str">
        <f t="shared" si="1"/>
        <v>2025-10</v>
      </c>
      <c r="I4769" s="271" t="str">
        <f>IFERROR(__xludf.DUMMYFUNCTION("""COMPUTED_VALUE"""),"鯰魚大大")</f>
        <v>鯰魚大大</v>
      </c>
      <c r="J4769" t="str">
        <f>IFERROR(__xludf.DUMMYFUNCTION("IFS(
  AND(REGEXMATCH(E4769, ""台銀籌備帳戶|玉山帳戶""), REGEXMATCH(C4769, ""薪資"")), ""分潤支出"",
  AND(REGEXMATCH(E4769, ""Ben帳戶|Elsa帳戶|Ben代墊|Ariel代墊|中信銀行共用""), REGEXMATCH(F4769, ""Ben帳戶|Elsa帳戶|Ben代墊|Ariel代墊|中信銀行共用"")), ""內部轉帳(忽略)"",
  AND(E4769&lt;&gt;"""", F4769&lt;&gt;"""", N"&amp;"OT(REGEXMATCH(C4769, ""薪資""))), ""內部轉帳(忽略)"",
  REGEXMATCH(C4769, ""薪資""), ""薪資變動(不計入)"",
  REGEXMATCH(C4769, ""押金""), ""押金往來"",
  AND(E4769&lt;&gt;"""", F4769=""""), ""真實支出"",
  AND(E4769="""", F4769&lt;&gt;""""), ""真實收入"",
  TRUE, ""其他""
)"),"真實支出")</f>
        <v>真實支出</v>
      </c>
      <c r="K4769" s="270">
        <f t="shared" si="2"/>
        <v>-14400</v>
      </c>
      <c r="L4769">
        <f t="shared" si="3"/>
        <v>0</v>
      </c>
    </row>
    <row r="4770">
      <c r="A4770" s="107">
        <f>IFERROR(__xludf.DUMMYFUNCTION("""COMPUTED_VALUE"""),45945.0)</f>
        <v>45945</v>
      </c>
      <c r="B4770" t="str">
        <f>IFERROR(__xludf.DUMMYFUNCTION("""COMPUTED_VALUE"""),"費用 - 匯費 對方行:012 後五碼:68447 (行號: 3)")</f>
        <v>費用 - 匯費 對方行:012 後五碼:68447 (行號: 3)</v>
      </c>
      <c r="C4770" t="str">
        <f>IFERROR(__xludf.DUMMYFUNCTION("""COMPUTED_VALUE"""),"費用 - 匯費")</f>
        <v>費用 - 匯費</v>
      </c>
      <c r="D4770" s="270">
        <f>IFERROR(__xludf.DUMMYFUNCTION("""COMPUTED_VALUE"""),-15.0)</f>
        <v>-15</v>
      </c>
      <c r="E4770" t="str">
        <f>IFERROR(__xludf.DUMMYFUNCTION("""COMPUTED_VALUE"""),"玉山帳戶")</f>
        <v>玉山帳戶</v>
      </c>
      <c r="H4770" s="106" t="str">
        <f t="shared" si="1"/>
        <v>2025-10</v>
      </c>
      <c r="I4770" s="271" t="str">
        <f>IFERROR(__xludf.DUMMYFUNCTION("""COMPUTED_VALUE"""),"鯰魚大大")</f>
        <v>鯰魚大大</v>
      </c>
      <c r="J4770" t="str">
        <f>IFERROR(__xludf.DUMMYFUNCTION("IFS(
  AND(REGEXMATCH(E4770, ""台銀籌備帳戶|玉山帳戶""), REGEXMATCH(C4770, ""薪資"")), ""分潤支出"",
  AND(REGEXMATCH(E4770, ""Ben帳戶|Elsa帳戶|Ben代墊|Ariel代墊|中信銀行共用""), REGEXMATCH(F4770, ""Ben帳戶|Elsa帳戶|Ben代墊|Ariel代墊|中信銀行共用"")), ""內部轉帳(忽略)"",
  AND(E4770&lt;&gt;"""", F4770&lt;&gt;"""", N"&amp;"OT(REGEXMATCH(C4770, ""薪資""))), ""內部轉帳(忽略)"",
  REGEXMATCH(C4770, ""薪資""), ""薪資變動(不計入)"",
  REGEXMATCH(C4770, ""押金""), ""押金往來"",
  AND(E4770&lt;&gt;"""", F4770=""""), ""真實支出"",
  AND(E4770="""", F4770&lt;&gt;""""), ""真實收入"",
  TRUE, ""其他""
)"),"真實支出")</f>
        <v>真實支出</v>
      </c>
      <c r="K4770" s="270">
        <f t="shared" si="2"/>
        <v>-15</v>
      </c>
      <c r="L4770">
        <f t="shared" si="3"/>
        <v>0</v>
      </c>
    </row>
    <row r="4771">
      <c r="A4771" s="107">
        <f>IFERROR(__xludf.DUMMYFUNCTION("""COMPUTED_VALUE"""),45945.0)</f>
        <v>45945</v>
      </c>
      <c r="B4771" t="str">
        <f>IFERROR(__xludf.DUMMYFUNCTION("""COMPUTED_VALUE"""),"[行天宮夏野良栗] [沈蕙萱] 大租金")</f>
        <v>[行天宮夏野良栗] [沈蕙萱] 大租金</v>
      </c>
      <c r="C4771" t="str">
        <f>IFERROR(__xludf.DUMMYFUNCTION("""COMPUTED_VALUE"""),"成本 - 大租金")</f>
        <v>成本 - 大租金</v>
      </c>
      <c r="D4771" s="270">
        <f>IFERROR(__xludf.DUMMYFUNCTION("""COMPUTED_VALUE"""),-19900.0)</f>
        <v>-19900</v>
      </c>
      <c r="E4771" t="str">
        <f>IFERROR(__xludf.DUMMYFUNCTION("""COMPUTED_VALUE"""),"玉山帳戶")</f>
        <v>玉山帳戶</v>
      </c>
      <c r="G4771" t="str">
        <f>IFERROR(__xludf.DUMMYFUNCTION("""COMPUTED_VALUE"""),"行天宮夏野良栗")</f>
        <v>行天宮夏野良栗</v>
      </c>
      <c r="H4771" s="106" t="str">
        <f t="shared" si="1"/>
        <v>2025-10</v>
      </c>
      <c r="I4771" s="271" t="str">
        <f>IFERROR(__xludf.DUMMYFUNCTION("""COMPUTED_VALUE"""),"鯰魚大大")</f>
        <v>鯰魚大大</v>
      </c>
      <c r="J4771" t="str">
        <f>IFERROR(__xludf.DUMMYFUNCTION("IFS(
  AND(REGEXMATCH(E4771, ""台銀籌備帳戶|玉山帳戶""), REGEXMATCH(C4771, ""薪資"")), ""分潤支出"",
  AND(REGEXMATCH(E4771, ""Ben帳戶|Elsa帳戶|Ben代墊|Ariel代墊|中信銀行共用""), REGEXMATCH(F4771, ""Ben帳戶|Elsa帳戶|Ben代墊|Ariel代墊|中信銀行共用"")), ""內部轉帳(忽略)"",
  AND(E4771&lt;&gt;"""", F4771&lt;&gt;"""", N"&amp;"OT(REGEXMATCH(C4771, ""薪資""))), ""內部轉帳(忽略)"",
  REGEXMATCH(C4771, ""薪資""), ""薪資變動(不計入)"",
  REGEXMATCH(C4771, ""押金""), ""押金往來"",
  AND(E4771&lt;&gt;"""", F4771=""""), ""真實支出"",
  AND(E4771="""", F4771&lt;&gt;""""), ""真實收入"",
  TRUE, ""其他""
)"),"真實支出")</f>
        <v>真實支出</v>
      </c>
      <c r="K4771" s="270">
        <f t="shared" si="2"/>
        <v>-19900</v>
      </c>
      <c r="L4771">
        <f t="shared" si="3"/>
        <v>0</v>
      </c>
    </row>
    <row r="4772">
      <c r="A4772" s="107">
        <f>IFERROR(__xludf.DUMMYFUNCTION("""COMPUTED_VALUE"""),45945.0)</f>
        <v>45945</v>
      </c>
      <c r="B4772" t="str">
        <f>IFERROR(__xludf.DUMMYFUNCTION("""COMPUTED_VALUE"""),"費用 - 匯費 對方行:806 後五碼:26435 (行號: 4)")</f>
        <v>費用 - 匯費 對方行:806 後五碼:26435 (行號: 4)</v>
      </c>
      <c r="C4772" t="str">
        <f>IFERROR(__xludf.DUMMYFUNCTION("""COMPUTED_VALUE"""),"費用 - 匯費")</f>
        <v>費用 - 匯費</v>
      </c>
      <c r="D4772" s="270">
        <f>IFERROR(__xludf.DUMMYFUNCTION("""COMPUTED_VALUE"""),-15.0)</f>
        <v>-15</v>
      </c>
      <c r="E4772" t="str">
        <f>IFERROR(__xludf.DUMMYFUNCTION("""COMPUTED_VALUE"""),"玉山帳戶")</f>
        <v>玉山帳戶</v>
      </c>
      <c r="H4772" s="106" t="str">
        <f t="shared" si="1"/>
        <v>2025-10</v>
      </c>
      <c r="I4772" s="271" t="str">
        <f>IFERROR(__xludf.DUMMYFUNCTION("""COMPUTED_VALUE"""),"鯰魚大大")</f>
        <v>鯰魚大大</v>
      </c>
      <c r="J4772" t="str">
        <f>IFERROR(__xludf.DUMMYFUNCTION("IFS(
  AND(REGEXMATCH(E4772, ""台銀籌備帳戶|玉山帳戶""), REGEXMATCH(C4772, ""薪資"")), ""分潤支出"",
  AND(REGEXMATCH(E4772, ""Ben帳戶|Elsa帳戶|Ben代墊|Ariel代墊|中信銀行共用""), REGEXMATCH(F4772, ""Ben帳戶|Elsa帳戶|Ben代墊|Ariel代墊|中信銀行共用"")), ""內部轉帳(忽略)"",
  AND(E4772&lt;&gt;"""", F4772&lt;&gt;"""", N"&amp;"OT(REGEXMATCH(C4772, ""薪資""))), ""內部轉帳(忽略)"",
  REGEXMATCH(C4772, ""薪資""), ""薪資變動(不計入)"",
  REGEXMATCH(C4772, ""押金""), ""押金往來"",
  AND(E4772&lt;&gt;"""", F4772=""""), ""真實支出"",
  AND(E4772="""", F4772&lt;&gt;""""), ""真實收入"",
  TRUE, ""其他""
)"),"真實支出")</f>
        <v>真實支出</v>
      </c>
      <c r="K4772" s="270">
        <f t="shared" si="2"/>
        <v>-15</v>
      </c>
      <c r="L4772">
        <f t="shared" si="3"/>
        <v>0</v>
      </c>
    </row>
    <row r="4773">
      <c r="A4773" s="107">
        <f>IFERROR(__xludf.DUMMYFUNCTION("""COMPUTED_VALUE"""),45945.0)</f>
        <v>45945</v>
      </c>
      <c r="B4773" t="str">
        <f>IFERROR(__xludf.DUMMYFUNCTION("""COMPUTED_VALUE"""),"[內湖CityLink] [周佳慧] 大租金")</f>
        <v>[內湖CityLink] [周佳慧] 大租金</v>
      </c>
      <c r="C4773" t="str">
        <f>IFERROR(__xludf.DUMMYFUNCTION("""COMPUTED_VALUE"""),"成本 - 大租金")</f>
        <v>成本 - 大租金</v>
      </c>
      <c r="D4773" s="270">
        <f>IFERROR(__xludf.DUMMYFUNCTION("""COMPUTED_VALUE"""),-16500.0)</f>
        <v>-16500</v>
      </c>
      <c r="E4773" t="str">
        <f>IFERROR(__xludf.DUMMYFUNCTION("""COMPUTED_VALUE"""),"玉山帳戶")</f>
        <v>玉山帳戶</v>
      </c>
      <c r="G4773" t="str">
        <f>IFERROR(__xludf.DUMMYFUNCTION("""COMPUTED_VALUE"""),"內湖CityLink")</f>
        <v>內湖CityLink</v>
      </c>
      <c r="H4773" s="106" t="str">
        <f t="shared" si="1"/>
        <v>2025-10</v>
      </c>
      <c r="I4773" s="271" t="str">
        <f>IFERROR(__xludf.DUMMYFUNCTION("""COMPUTED_VALUE"""),"鯰魚大大")</f>
        <v>鯰魚大大</v>
      </c>
      <c r="J4773" t="str">
        <f>IFERROR(__xludf.DUMMYFUNCTION("IFS(
  AND(REGEXMATCH(E4773, ""台銀籌備帳戶|玉山帳戶""), REGEXMATCH(C4773, ""薪資"")), ""分潤支出"",
  AND(REGEXMATCH(E4773, ""Ben帳戶|Elsa帳戶|Ben代墊|Ariel代墊|中信銀行共用""), REGEXMATCH(F4773, ""Ben帳戶|Elsa帳戶|Ben代墊|Ariel代墊|中信銀行共用"")), ""內部轉帳(忽略)"",
  AND(E4773&lt;&gt;"""", F4773&lt;&gt;"""", N"&amp;"OT(REGEXMATCH(C4773, ""薪資""))), ""內部轉帳(忽略)"",
  REGEXMATCH(C4773, ""薪資""), ""薪資變動(不計入)"",
  REGEXMATCH(C4773, ""押金""), ""押金往來"",
  AND(E4773&lt;&gt;"""", F4773=""""), ""真實支出"",
  AND(E4773="""", F4773&lt;&gt;""""), ""真實收入"",
  TRUE, ""其他""
)"),"真實支出")</f>
        <v>真實支出</v>
      </c>
      <c r="K4773" s="270">
        <f t="shared" si="2"/>
        <v>-16500</v>
      </c>
      <c r="L4773">
        <f t="shared" si="3"/>
        <v>0</v>
      </c>
    </row>
    <row r="4774">
      <c r="A4774" s="107">
        <f>IFERROR(__xludf.DUMMYFUNCTION("""COMPUTED_VALUE"""),45952.0)</f>
        <v>45952</v>
      </c>
      <c r="B4774" t="str">
        <f>IFERROR(__xludf.DUMMYFUNCTION("""COMPUTED_VALUE"""),"[士林和豐] C [敖啟恒] 月租金 後五碼:16111 (行號: 5)")</f>
        <v>[士林和豐] C [敖啟恒] 月租金 後五碼:16111 (行號: 5)</v>
      </c>
      <c r="C4774" t="str">
        <f>IFERROR(__xludf.DUMMYFUNCTION("""COMPUTED_VALUE"""),"收入 - 租金")</f>
        <v>收入 - 租金</v>
      </c>
      <c r="D4774" s="270">
        <f>IFERROR(__xludf.DUMMYFUNCTION("""COMPUTED_VALUE"""),13000.0)</f>
        <v>13000</v>
      </c>
      <c r="F4774" t="str">
        <f>IFERROR(__xludf.DUMMYFUNCTION("""COMPUTED_VALUE"""),"玉山帳戶")</f>
        <v>玉山帳戶</v>
      </c>
      <c r="G4774" t="str">
        <f>IFERROR(__xludf.DUMMYFUNCTION("""COMPUTED_VALUE"""),"士林和豐")</f>
        <v>士林和豐</v>
      </c>
      <c r="H4774" s="106" t="str">
        <f t="shared" si="1"/>
        <v>2025-10</v>
      </c>
      <c r="I4774" s="271" t="str">
        <f>IFERROR(__xludf.DUMMYFUNCTION("""COMPUTED_VALUE"""),"鯰魚大大")</f>
        <v>鯰魚大大</v>
      </c>
      <c r="J4774" t="str">
        <f>IFERROR(__xludf.DUMMYFUNCTION("IFS(
  AND(REGEXMATCH(E4774, ""台銀籌備帳戶|玉山帳戶""), REGEXMATCH(C4774, ""薪資"")), ""分潤支出"",
  AND(REGEXMATCH(E4774, ""Ben帳戶|Elsa帳戶|Ben代墊|Ariel代墊|中信銀行共用""), REGEXMATCH(F4774, ""Ben帳戶|Elsa帳戶|Ben代墊|Ariel代墊|中信銀行共用"")), ""內部轉帳(忽略)"",
  AND(E4774&lt;&gt;"""", F4774&lt;&gt;"""", N"&amp;"OT(REGEXMATCH(C4774, ""薪資""))), ""內部轉帳(忽略)"",
  REGEXMATCH(C4774, ""薪資""), ""薪資變動(不計入)"",
  REGEXMATCH(C4774, ""押金""), ""押金往來"",
  AND(E4774&lt;&gt;"""", F4774=""""), ""真實支出"",
  AND(E4774="""", F4774&lt;&gt;""""), ""真實收入"",
  TRUE, ""其他""
)"),"真實收入")</f>
        <v>真實收入</v>
      </c>
      <c r="K4774" s="270">
        <f t="shared" si="2"/>
        <v>13000</v>
      </c>
      <c r="L4774">
        <f t="shared" si="3"/>
        <v>0</v>
      </c>
    </row>
    <row r="4775">
      <c r="A4775" s="107">
        <f>IFERROR(__xludf.DUMMYFUNCTION("""COMPUTED_VALUE"""),45957.0)</f>
        <v>45957</v>
      </c>
      <c r="B4775" t="str">
        <f>IFERROR(__xludf.DUMMYFUNCTION("""COMPUTED_VALUE"""),"[內湖CityLink] D [王紹綺] 月租金 後五碼:23732 (行號: 6)")</f>
        <v>[內湖CityLink] D [王紹綺] 月租金 後五碼:23732 (行號: 6)</v>
      </c>
      <c r="C4775" t="str">
        <f>IFERROR(__xludf.DUMMYFUNCTION("""COMPUTED_VALUE"""),"收入 - 租金")</f>
        <v>收入 - 租金</v>
      </c>
      <c r="D4775" s="270">
        <f>IFERROR(__xludf.DUMMYFUNCTION("""COMPUTED_VALUE"""),12500.0)</f>
        <v>12500</v>
      </c>
      <c r="F4775" t="str">
        <f>IFERROR(__xludf.DUMMYFUNCTION("""COMPUTED_VALUE"""),"玉山帳戶")</f>
        <v>玉山帳戶</v>
      </c>
      <c r="G4775" t="str">
        <f>IFERROR(__xludf.DUMMYFUNCTION("""COMPUTED_VALUE"""),"內湖CityLink")</f>
        <v>內湖CityLink</v>
      </c>
      <c r="H4775" s="106" t="str">
        <f t="shared" si="1"/>
        <v>2025-10</v>
      </c>
      <c r="I4775" s="271" t="str">
        <f>IFERROR(__xludf.DUMMYFUNCTION("""COMPUTED_VALUE"""),"鯰魚大大")</f>
        <v>鯰魚大大</v>
      </c>
      <c r="J4775" t="str">
        <f>IFERROR(__xludf.DUMMYFUNCTION("IFS(
  AND(REGEXMATCH(E4775, ""台銀籌備帳戶|玉山帳戶""), REGEXMATCH(C4775, ""薪資"")), ""分潤支出"",
  AND(REGEXMATCH(E4775, ""Ben帳戶|Elsa帳戶|Ben代墊|Ariel代墊|中信銀行共用""), REGEXMATCH(F4775, ""Ben帳戶|Elsa帳戶|Ben代墊|Ariel代墊|中信銀行共用"")), ""內部轉帳(忽略)"",
  AND(E4775&lt;&gt;"""", F4775&lt;&gt;"""", N"&amp;"OT(REGEXMATCH(C4775, ""薪資""))), ""內部轉帳(忽略)"",
  REGEXMATCH(C4775, ""薪資""), ""薪資變動(不計入)"",
  REGEXMATCH(C4775, ""押金""), ""押金往來"",
  AND(E4775&lt;&gt;"""", F4775=""""), ""真實支出"",
  AND(E4775="""", F4775&lt;&gt;""""), ""真實收入"",
  TRUE, ""其他""
)"),"真實收入")</f>
        <v>真實收入</v>
      </c>
      <c r="K4775" s="270">
        <f t="shared" si="2"/>
        <v>12500</v>
      </c>
      <c r="L4775">
        <f t="shared" si="3"/>
        <v>0</v>
      </c>
    </row>
    <row r="4776">
      <c r="A4776" s="107">
        <f>IFERROR(__xludf.DUMMYFUNCTION("""COMPUTED_VALUE"""),45957.0)</f>
        <v>45957</v>
      </c>
      <c r="B4776" t="str">
        <f>IFERROR(__xludf.DUMMYFUNCTION("""COMPUTED_VALUE"""),"[士林和豐] A [許瑜芳, 黃俞安] 月租金 後五碼:57047 (行號: 7)")</f>
        <v>[士林和豐] A [許瑜芳, 黃俞安] 月租金 後五碼:57047 (行號: 7)</v>
      </c>
      <c r="C4776" t="str">
        <f>IFERROR(__xludf.DUMMYFUNCTION("""COMPUTED_VALUE"""),"收入 - 租金")</f>
        <v>收入 - 租金</v>
      </c>
      <c r="D4776" s="270">
        <f>IFERROR(__xludf.DUMMYFUNCTION("""COMPUTED_VALUE"""),19500.0)</f>
        <v>19500</v>
      </c>
      <c r="F4776" t="str">
        <f>IFERROR(__xludf.DUMMYFUNCTION("""COMPUTED_VALUE"""),"玉山帳戶")</f>
        <v>玉山帳戶</v>
      </c>
      <c r="G4776" t="str">
        <f>IFERROR(__xludf.DUMMYFUNCTION("""COMPUTED_VALUE"""),"士林和豐")</f>
        <v>士林和豐</v>
      </c>
      <c r="H4776" s="106" t="str">
        <f t="shared" si="1"/>
        <v>2025-10</v>
      </c>
      <c r="I4776" s="271" t="str">
        <f>IFERROR(__xludf.DUMMYFUNCTION("""COMPUTED_VALUE"""),"鯰魚大大")</f>
        <v>鯰魚大大</v>
      </c>
      <c r="J4776" t="str">
        <f>IFERROR(__xludf.DUMMYFUNCTION("IFS(
  AND(REGEXMATCH(E4776, ""台銀籌備帳戶|玉山帳戶""), REGEXMATCH(C4776, ""薪資"")), ""分潤支出"",
  AND(REGEXMATCH(E4776, ""Ben帳戶|Elsa帳戶|Ben代墊|Ariel代墊|中信銀行共用""), REGEXMATCH(F4776, ""Ben帳戶|Elsa帳戶|Ben代墊|Ariel代墊|中信銀行共用"")), ""內部轉帳(忽略)"",
  AND(E4776&lt;&gt;"""", F4776&lt;&gt;"""", N"&amp;"OT(REGEXMATCH(C4776, ""薪資""))), ""內部轉帳(忽略)"",
  REGEXMATCH(C4776, ""薪資""), ""薪資變動(不計入)"",
  REGEXMATCH(C4776, ""押金""), ""押金往來"",
  AND(E4776&lt;&gt;"""", F4776=""""), ""真實支出"",
  AND(E4776="""", F4776&lt;&gt;""""), ""真實收入"",
  TRUE, ""其他""
)"),"真實收入")</f>
        <v>真實收入</v>
      </c>
      <c r="K4776" s="270">
        <f t="shared" si="2"/>
        <v>19500</v>
      </c>
      <c r="L4776">
        <f t="shared" si="3"/>
        <v>0</v>
      </c>
    </row>
    <row r="4777">
      <c r="A4777" s="107">
        <f>IFERROR(__xludf.DUMMYFUNCTION("""COMPUTED_VALUE"""),45960.0)</f>
        <v>45960</v>
      </c>
      <c r="B4777" t="str">
        <f>IFERROR(__xludf.DUMMYFUNCTION("""COMPUTED_VALUE"""),"[士林和豐] D [曹淑宜] 月租金 後五碼:14788 (行號: 8)")</f>
        <v>[士林和豐] D [曹淑宜] 月租金 後五碼:14788 (行號: 8)</v>
      </c>
      <c r="C4777" t="str">
        <f>IFERROR(__xludf.DUMMYFUNCTION("""COMPUTED_VALUE"""),"收入 - 租金")</f>
        <v>收入 - 租金</v>
      </c>
      <c r="D4777" s="270">
        <f>IFERROR(__xludf.DUMMYFUNCTION("""COMPUTED_VALUE"""),12500.0)</f>
        <v>12500</v>
      </c>
      <c r="F4777" t="str">
        <f>IFERROR(__xludf.DUMMYFUNCTION("""COMPUTED_VALUE"""),"玉山帳戶")</f>
        <v>玉山帳戶</v>
      </c>
      <c r="G4777" t="str">
        <f>IFERROR(__xludf.DUMMYFUNCTION("""COMPUTED_VALUE"""),"士林和豐")</f>
        <v>士林和豐</v>
      </c>
      <c r="H4777" s="106" t="str">
        <f t="shared" si="1"/>
        <v>2025-10</v>
      </c>
      <c r="I4777" s="271" t="str">
        <f>IFERROR(__xludf.DUMMYFUNCTION("""COMPUTED_VALUE"""),"鯰魚大大")</f>
        <v>鯰魚大大</v>
      </c>
      <c r="J4777" t="str">
        <f>IFERROR(__xludf.DUMMYFUNCTION("IFS(
  AND(REGEXMATCH(E4777, ""台銀籌備帳戶|玉山帳戶""), REGEXMATCH(C4777, ""薪資"")), ""分潤支出"",
  AND(REGEXMATCH(E4777, ""Ben帳戶|Elsa帳戶|Ben代墊|Ariel代墊|中信銀行共用""), REGEXMATCH(F4777, ""Ben帳戶|Elsa帳戶|Ben代墊|Ariel代墊|中信銀行共用"")), ""內部轉帳(忽略)"",
  AND(E4777&lt;&gt;"""", F4777&lt;&gt;"""", N"&amp;"OT(REGEXMATCH(C4777, ""薪資""))), ""內部轉帳(忽略)"",
  REGEXMATCH(C4777, ""薪資""), ""薪資變動(不計入)"",
  REGEXMATCH(C4777, ""押金""), ""押金往來"",
  AND(E4777&lt;&gt;"""", F4777=""""), ""真實支出"",
  AND(E4777="""", F4777&lt;&gt;""""), ""真實收入"",
  TRUE, ""其他""
)"),"真實收入")</f>
        <v>真實收入</v>
      </c>
      <c r="K4777" s="270">
        <f t="shared" si="2"/>
        <v>12500</v>
      </c>
      <c r="L4777">
        <f t="shared" si="3"/>
        <v>0</v>
      </c>
    </row>
    <row r="4778">
      <c r="A4778" s="107">
        <f>IFERROR(__xludf.DUMMYFUNCTION("""COMPUTED_VALUE"""),45961.0)</f>
        <v>45961</v>
      </c>
      <c r="B4778" t="str">
        <f>IFERROR(__xludf.DUMMYFUNCTION("""COMPUTED_VALUE"""),"[士林和豐] B [劉宗霖] 月租金 後五碼:28793 (行號: 9)")</f>
        <v>[士林和豐] B [劉宗霖] 月租金 後五碼:28793 (行號: 9)</v>
      </c>
      <c r="C4778" t="str">
        <f>IFERROR(__xludf.DUMMYFUNCTION("""COMPUTED_VALUE"""),"收入 - 租金")</f>
        <v>收入 - 租金</v>
      </c>
      <c r="D4778" s="270">
        <f>IFERROR(__xludf.DUMMYFUNCTION("""COMPUTED_VALUE"""),13500.0)</f>
        <v>13500</v>
      </c>
      <c r="F4778" t="str">
        <f>IFERROR(__xludf.DUMMYFUNCTION("""COMPUTED_VALUE"""),"玉山帳戶")</f>
        <v>玉山帳戶</v>
      </c>
      <c r="G4778" t="str">
        <f>IFERROR(__xludf.DUMMYFUNCTION("""COMPUTED_VALUE"""),"士林和豐")</f>
        <v>士林和豐</v>
      </c>
      <c r="H4778" s="106" t="str">
        <f t="shared" si="1"/>
        <v>2025-10</v>
      </c>
      <c r="I4778" s="271" t="str">
        <f>IFERROR(__xludf.DUMMYFUNCTION("""COMPUTED_VALUE"""),"鯰魚大大")</f>
        <v>鯰魚大大</v>
      </c>
      <c r="J4778" t="str">
        <f>IFERROR(__xludf.DUMMYFUNCTION("IFS(
  AND(REGEXMATCH(E4778, ""台銀籌備帳戶|玉山帳戶""), REGEXMATCH(C4778, ""薪資"")), ""分潤支出"",
  AND(REGEXMATCH(E4778, ""Ben帳戶|Elsa帳戶|Ben代墊|Ariel代墊|中信銀行共用""), REGEXMATCH(F4778, ""Ben帳戶|Elsa帳戶|Ben代墊|Ariel代墊|中信銀行共用"")), ""內部轉帳(忽略)"",
  AND(E4778&lt;&gt;"""", F4778&lt;&gt;"""", N"&amp;"OT(REGEXMATCH(C4778, ""薪資""))), ""內部轉帳(忽略)"",
  REGEXMATCH(C4778, ""薪資""), ""薪資變動(不計入)"",
  REGEXMATCH(C4778, ""押金""), ""押金往來"",
  AND(E4778&lt;&gt;"""", F4778=""""), ""真實支出"",
  AND(E4778="""", F4778&lt;&gt;""""), ""真實收入"",
  TRUE, ""其他""
)"),"真實收入")</f>
        <v>真實收入</v>
      </c>
      <c r="K4778" s="270">
        <f t="shared" si="2"/>
        <v>13500</v>
      </c>
      <c r="L4778">
        <f t="shared" si="3"/>
        <v>0</v>
      </c>
    </row>
    <row r="4779">
      <c r="A4779" s="107">
        <f>IFERROR(__xludf.DUMMYFUNCTION("""COMPUTED_VALUE"""),45961.0)</f>
        <v>45961</v>
      </c>
      <c r="B4779" t="str">
        <f>IFERROR(__xludf.DUMMYFUNCTION("""COMPUTED_VALUE"""),"[行天宮夏野良栗] B [楊珺媁] 月租金 後五碼:73083 (行號: 10)")</f>
        <v>[行天宮夏野良栗] B [楊珺媁] 月租金 後五碼:73083 (行號: 10)</v>
      </c>
      <c r="C4779" t="str">
        <f>IFERROR(__xludf.DUMMYFUNCTION("""COMPUTED_VALUE"""),"收入 - 租金")</f>
        <v>收入 - 租金</v>
      </c>
      <c r="D4779" s="270">
        <f>IFERROR(__xludf.DUMMYFUNCTION("""COMPUTED_VALUE"""),14000.0)</f>
        <v>14000</v>
      </c>
      <c r="F4779" t="str">
        <f>IFERROR(__xludf.DUMMYFUNCTION("""COMPUTED_VALUE"""),"玉山帳戶")</f>
        <v>玉山帳戶</v>
      </c>
      <c r="G4779" t="str">
        <f>IFERROR(__xludf.DUMMYFUNCTION("""COMPUTED_VALUE"""),"行天宮夏野良栗")</f>
        <v>行天宮夏野良栗</v>
      </c>
      <c r="H4779" s="106" t="str">
        <f t="shared" si="1"/>
        <v>2025-10</v>
      </c>
      <c r="I4779" s="271" t="str">
        <f>IFERROR(__xludf.DUMMYFUNCTION("""COMPUTED_VALUE"""),"鯰魚大大")</f>
        <v>鯰魚大大</v>
      </c>
      <c r="J4779" t="str">
        <f>IFERROR(__xludf.DUMMYFUNCTION("IFS(
  AND(REGEXMATCH(E4779, ""台銀籌備帳戶|玉山帳戶""), REGEXMATCH(C4779, ""薪資"")), ""分潤支出"",
  AND(REGEXMATCH(E4779, ""Ben帳戶|Elsa帳戶|Ben代墊|Ariel代墊|中信銀行共用""), REGEXMATCH(F4779, ""Ben帳戶|Elsa帳戶|Ben代墊|Ariel代墊|中信銀行共用"")), ""內部轉帳(忽略)"",
  AND(E4779&lt;&gt;"""", F4779&lt;&gt;"""", N"&amp;"OT(REGEXMATCH(C4779, ""薪資""))), ""內部轉帳(忽略)"",
  REGEXMATCH(C4779, ""薪資""), ""薪資變動(不計入)"",
  REGEXMATCH(C4779, ""押金""), ""押金往來"",
  AND(E4779&lt;&gt;"""", F4779=""""), ""真實支出"",
  AND(E4779="""", F4779&lt;&gt;""""), ""真實收入"",
  TRUE, ""其他""
)"),"真實收入")</f>
        <v>真實收入</v>
      </c>
      <c r="K4779" s="270">
        <f t="shared" si="2"/>
        <v>14000</v>
      </c>
      <c r="L4779">
        <f t="shared" si="3"/>
        <v>0</v>
      </c>
    </row>
    <row r="4780">
      <c r="A4780" s="107">
        <f>IFERROR(__xludf.DUMMYFUNCTION("""COMPUTED_VALUE"""),45964.0)</f>
        <v>45964</v>
      </c>
      <c r="B4780" t="str">
        <f>IFERROR(__xludf.DUMMYFUNCTION("""COMPUTED_VALUE"""),"[內湖秘境] G [徐若洹] 月租金 後五碼:09984 (行號: 11)")</f>
        <v>[內湖秘境] G [徐若洹] 月租金 後五碼:09984 (行號: 11)</v>
      </c>
      <c r="C4780" t="str">
        <f>IFERROR(__xludf.DUMMYFUNCTION("""COMPUTED_VALUE"""),"收入 - 租金")</f>
        <v>收入 - 租金</v>
      </c>
      <c r="D4780" s="270">
        <f>IFERROR(__xludf.DUMMYFUNCTION("""COMPUTED_VALUE"""),12100.0)</f>
        <v>12100</v>
      </c>
      <c r="F4780" t="str">
        <f>IFERROR(__xludf.DUMMYFUNCTION("""COMPUTED_VALUE"""),"玉山帳戶")</f>
        <v>玉山帳戶</v>
      </c>
      <c r="G4780" t="str">
        <f>IFERROR(__xludf.DUMMYFUNCTION("""COMPUTED_VALUE"""),"內湖秘境")</f>
        <v>內湖秘境</v>
      </c>
      <c r="H4780" s="106" t="str">
        <f t="shared" si="1"/>
        <v>2025-11</v>
      </c>
      <c r="I4780" s="271" t="str">
        <f>IFERROR(__xludf.DUMMYFUNCTION("""COMPUTED_VALUE"""),"鯰魚大大")</f>
        <v>鯰魚大大</v>
      </c>
      <c r="J4780" t="str">
        <f>IFERROR(__xludf.DUMMYFUNCTION("IFS(
  AND(REGEXMATCH(E4780, ""台銀籌備帳戶|玉山帳戶""), REGEXMATCH(C4780, ""薪資"")), ""分潤支出"",
  AND(REGEXMATCH(E4780, ""Ben帳戶|Elsa帳戶|Ben代墊|Ariel代墊|中信銀行共用""), REGEXMATCH(F4780, ""Ben帳戶|Elsa帳戶|Ben代墊|Ariel代墊|中信銀行共用"")), ""內部轉帳(忽略)"",
  AND(E4780&lt;&gt;"""", F4780&lt;&gt;"""", N"&amp;"OT(REGEXMATCH(C4780, ""薪資""))), ""內部轉帳(忽略)"",
  REGEXMATCH(C4780, ""薪資""), ""薪資變動(不計入)"",
  REGEXMATCH(C4780, ""押金""), ""押金往來"",
  AND(E4780&lt;&gt;"""", F4780=""""), ""真實支出"",
  AND(E4780="""", F4780&lt;&gt;""""), ""真實收入"",
  TRUE, ""其他""
)"),"真實收入")</f>
        <v>真實收入</v>
      </c>
      <c r="K4780" s="270">
        <f t="shared" si="2"/>
        <v>12100</v>
      </c>
      <c r="L4780">
        <f t="shared" si="3"/>
        <v>0</v>
      </c>
    </row>
    <row r="4781">
      <c r="A4781" s="107">
        <f>IFERROR(__xludf.DUMMYFUNCTION("""COMPUTED_VALUE"""),45964.0)</f>
        <v>45964</v>
      </c>
      <c r="B4781" t="str">
        <f>IFERROR(__xludf.DUMMYFUNCTION("""COMPUTED_VALUE"""),"[行天宮夏野良栗] D [江仲元] 月租金 後五碼:99285 (行號: 12)")</f>
        <v>[行天宮夏野良栗] D [江仲元] 月租金 後五碼:99285 (行號: 12)</v>
      </c>
      <c r="C4781" t="str">
        <f>IFERROR(__xludf.DUMMYFUNCTION("""COMPUTED_VALUE"""),"收入 - 租金")</f>
        <v>收入 - 租金</v>
      </c>
      <c r="D4781" s="270">
        <f>IFERROR(__xludf.DUMMYFUNCTION("""COMPUTED_VALUE"""),11200.0)</f>
        <v>11200</v>
      </c>
      <c r="F4781" t="str">
        <f>IFERROR(__xludf.DUMMYFUNCTION("""COMPUTED_VALUE"""),"玉山帳戶")</f>
        <v>玉山帳戶</v>
      </c>
      <c r="G4781" t="str">
        <f>IFERROR(__xludf.DUMMYFUNCTION("""COMPUTED_VALUE"""),"行天宮夏野良栗")</f>
        <v>行天宮夏野良栗</v>
      </c>
      <c r="H4781" s="106" t="str">
        <f t="shared" si="1"/>
        <v>2025-11</v>
      </c>
      <c r="I4781" s="271" t="str">
        <f>IFERROR(__xludf.DUMMYFUNCTION("""COMPUTED_VALUE"""),"鯰魚大大")</f>
        <v>鯰魚大大</v>
      </c>
      <c r="J4781" t="str">
        <f>IFERROR(__xludf.DUMMYFUNCTION("IFS(
  AND(REGEXMATCH(E4781, ""台銀籌備帳戶|玉山帳戶""), REGEXMATCH(C4781, ""薪資"")), ""分潤支出"",
  AND(REGEXMATCH(E4781, ""Ben帳戶|Elsa帳戶|Ben代墊|Ariel代墊|中信銀行共用""), REGEXMATCH(F4781, ""Ben帳戶|Elsa帳戶|Ben代墊|Ariel代墊|中信銀行共用"")), ""內部轉帳(忽略)"",
  AND(E4781&lt;&gt;"""", F4781&lt;&gt;"""", N"&amp;"OT(REGEXMATCH(C4781, ""薪資""))), ""內部轉帳(忽略)"",
  REGEXMATCH(C4781, ""薪資""), ""薪資變動(不計入)"",
  REGEXMATCH(C4781, ""押金""), ""押金往來"",
  AND(E4781&lt;&gt;"""", F4781=""""), ""真實支出"",
  AND(E4781="""", F4781&lt;&gt;""""), ""真實收入"",
  TRUE, ""其他""
)"),"真實收入")</f>
        <v>真實收入</v>
      </c>
      <c r="K4781" s="270">
        <f t="shared" si="2"/>
        <v>11200</v>
      </c>
      <c r="L4781">
        <f t="shared" si="3"/>
        <v>0</v>
      </c>
    </row>
    <row r="4782">
      <c r="A4782" s="107">
        <f>IFERROR(__xludf.DUMMYFUNCTION("""COMPUTED_VALUE"""),45964.0)</f>
        <v>45964</v>
      </c>
      <c r="B4782" t="str">
        <f>IFERROR(__xludf.DUMMYFUNCTION("""COMPUTED_VALUE"""),"[內湖CityLink] E [葉英蔚] 月租金 後五碼:37877 (行號: 13)")</f>
        <v>[內湖CityLink] E [葉英蔚] 月租金 後五碼:37877 (行號: 13)</v>
      </c>
      <c r="C4782" t="str">
        <f>IFERROR(__xludf.DUMMYFUNCTION("""COMPUTED_VALUE"""),"收入 - 租金")</f>
        <v>收入 - 租金</v>
      </c>
      <c r="D4782" s="270">
        <f>IFERROR(__xludf.DUMMYFUNCTION("""COMPUTED_VALUE"""),13300.0)</f>
        <v>13300</v>
      </c>
      <c r="F4782" t="str">
        <f>IFERROR(__xludf.DUMMYFUNCTION("""COMPUTED_VALUE"""),"玉山帳戶")</f>
        <v>玉山帳戶</v>
      </c>
      <c r="G4782" t="str">
        <f>IFERROR(__xludf.DUMMYFUNCTION("""COMPUTED_VALUE"""),"內湖CityLink")</f>
        <v>內湖CityLink</v>
      </c>
      <c r="H4782" s="106" t="str">
        <f t="shared" si="1"/>
        <v>2025-11</v>
      </c>
      <c r="I4782" s="271" t="str">
        <f>IFERROR(__xludf.DUMMYFUNCTION("""COMPUTED_VALUE"""),"鯰魚大大")</f>
        <v>鯰魚大大</v>
      </c>
      <c r="J4782" t="str">
        <f>IFERROR(__xludf.DUMMYFUNCTION("IFS(
  AND(REGEXMATCH(E4782, ""台銀籌備帳戶|玉山帳戶""), REGEXMATCH(C4782, ""薪資"")), ""分潤支出"",
  AND(REGEXMATCH(E4782, ""Ben帳戶|Elsa帳戶|Ben代墊|Ariel代墊|中信銀行共用""), REGEXMATCH(F4782, ""Ben帳戶|Elsa帳戶|Ben代墊|Ariel代墊|中信銀行共用"")), ""內部轉帳(忽略)"",
  AND(E4782&lt;&gt;"""", F4782&lt;&gt;"""", N"&amp;"OT(REGEXMATCH(C4782, ""薪資""))), ""內部轉帳(忽略)"",
  REGEXMATCH(C4782, ""薪資""), ""薪資變動(不計入)"",
  REGEXMATCH(C4782, ""押金""), ""押金往來"",
  AND(E4782&lt;&gt;"""", F4782=""""), ""真實支出"",
  AND(E4782="""", F4782&lt;&gt;""""), ""真實收入"",
  TRUE, ""其他""
)"),"真實收入")</f>
        <v>真實收入</v>
      </c>
      <c r="K4782" s="270">
        <f t="shared" si="2"/>
        <v>13300</v>
      </c>
      <c r="L4782">
        <f t="shared" si="3"/>
        <v>0</v>
      </c>
    </row>
    <row r="4783">
      <c r="A4783" s="107">
        <f>IFERROR(__xludf.DUMMYFUNCTION("""COMPUTED_VALUE"""),45964.0)</f>
        <v>45964</v>
      </c>
      <c r="B4783" t="str">
        <f>IFERROR(__xludf.DUMMYFUNCTION("""COMPUTED_VALUE"""),"[內湖CityLink] A [陳昕湄] 月租金 後五碼:08344 (行號: 14, 15)")</f>
        <v>[內湖CityLink] A [陳昕湄] 月租金 後五碼:08344 (行號: 14, 15)</v>
      </c>
      <c r="C4783" t="str">
        <f>IFERROR(__xludf.DUMMYFUNCTION("""COMPUTED_VALUE"""),"收入 - 租金")</f>
        <v>收入 - 租金</v>
      </c>
      <c r="D4783" s="270">
        <f>IFERROR(__xludf.DUMMYFUNCTION("""COMPUTED_VALUE"""),14800.0)</f>
        <v>14800</v>
      </c>
      <c r="F4783" t="str">
        <f>IFERROR(__xludf.DUMMYFUNCTION("""COMPUTED_VALUE"""),"玉山帳戶")</f>
        <v>玉山帳戶</v>
      </c>
      <c r="G4783" t="str">
        <f>IFERROR(__xludf.DUMMYFUNCTION("""COMPUTED_VALUE"""),"內湖CityLink")</f>
        <v>內湖CityLink</v>
      </c>
      <c r="H4783" s="106" t="str">
        <f t="shared" si="1"/>
        <v>2025-11</v>
      </c>
      <c r="I4783" s="271" t="str">
        <f>IFERROR(__xludf.DUMMYFUNCTION("""COMPUTED_VALUE"""),"鯰魚大大")</f>
        <v>鯰魚大大</v>
      </c>
      <c r="J4783" t="str">
        <f>IFERROR(__xludf.DUMMYFUNCTION("IFS(
  AND(REGEXMATCH(E4783, ""台銀籌備帳戶|玉山帳戶""), REGEXMATCH(C4783, ""薪資"")), ""分潤支出"",
  AND(REGEXMATCH(E4783, ""Ben帳戶|Elsa帳戶|Ben代墊|Ariel代墊|中信銀行共用""), REGEXMATCH(F4783, ""Ben帳戶|Elsa帳戶|Ben代墊|Ariel代墊|中信銀行共用"")), ""內部轉帳(忽略)"",
  AND(E4783&lt;&gt;"""", F4783&lt;&gt;"""", N"&amp;"OT(REGEXMATCH(C4783, ""薪資""))), ""內部轉帳(忽略)"",
  REGEXMATCH(C4783, ""薪資""), ""薪資變動(不計入)"",
  REGEXMATCH(C4783, ""押金""), ""押金往來"",
  AND(E4783&lt;&gt;"""", F4783=""""), ""真實支出"",
  AND(E4783="""", F4783&lt;&gt;""""), ""真實收入"",
  TRUE, ""其他""
)"),"真實收入")</f>
        <v>真實收入</v>
      </c>
      <c r="K4783" s="270">
        <f t="shared" si="2"/>
        <v>14800</v>
      </c>
      <c r="L4783">
        <f t="shared" si="3"/>
        <v>0</v>
      </c>
    </row>
    <row r="4784">
      <c r="A4784" s="107">
        <f>IFERROR(__xludf.DUMMYFUNCTION("""COMPUTED_VALUE"""),45964.0)</f>
        <v>45964</v>
      </c>
      <c r="B4784" t="str">
        <f>IFERROR(__xludf.DUMMYFUNCTION("""COMPUTED_VALUE"""),"夏野a")</f>
        <v>夏野a</v>
      </c>
      <c r="C4784" t="str">
        <f>IFERROR(__xludf.DUMMYFUNCTION("""COMPUTED_VALUE"""),"收入 - 租金")</f>
        <v>收入 - 租金</v>
      </c>
      <c r="D4784" s="270">
        <f>IFERROR(__xludf.DUMMYFUNCTION("""COMPUTED_VALUE"""),14200.0)</f>
        <v>14200</v>
      </c>
      <c r="F4784" t="str">
        <f>IFERROR(__xludf.DUMMYFUNCTION("""COMPUTED_VALUE"""),"玉山帳戶")</f>
        <v>玉山帳戶</v>
      </c>
      <c r="G4784" t="str">
        <f>IFERROR(__xludf.DUMMYFUNCTION("""COMPUTED_VALUE"""),"行天宮夏野良栗")</f>
        <v>行天宮夏野良栗</v>
      </c>
      <c r="H4784" s="106" t="str">
        <f t="shared" si="1"/>
        <v>2025-11</v>
      </c>
      <c r="I4784" s="271" t="str">
        <f>IFERROR(__xludf.DUMMYFUNCTION("""COMPUTED_VALUE"""),"鯰魚大大")</f>
        <v>鯰魚大大</v>
      </c>
      <c r="J4784" t="str">
        <f>IFERROR(__xludf.DUMMYFUNCTION("IFS(
  AND(REGEXMATCH(E4784, ""台銀籌備帳戶|玉山帳戶""), REGEXMATCH(C4784, ""薪資"")), ""分潤支出"",
  AND(REGEXMATCH(E4784, ""Ben帳戶|Elsa帳戶|Ben代墊|Ariel代墊|中信銀行共用""), REGEXMATCH(F4784, ""Ben帳戶|Elsa帳戶|Ben代墊|Ariel代墊|中信銀行共用"")), ""內部轉帳(忽略)"",
  AND(E4784&lt;&gt;"""", F4784&lt;&gt;"""", N"&amp;"OT(REGEXMATCH(C4784, ""薪資""))), ""內部轉帳(忽略)"",
  REGEXMATCH(C4784, ""薪資""), ""薪資變動(不計入)"",
  REGEXMATCH(C4784, ""押金""), ""押金往來"",
  AND(E4784&lt;&gt;"""", F4784=""""), ""真實支出"",
  AND(E4784="""", F4784&lt;&gt;""""), ""真實收入"",
  TRUE, ""其他""
)"),"真實收入")</f>
        <v>真實收入</v>
      </c>
      <c r="K4784" s="270">
        <f t="shared" si="2"/>
        <v>14200</v>
      </c>
      <c r="L4784">
        <f t="shared" si="3"/>
        <v>0</v>
      </c>
    </row>
    <row r="4785">
      <c r="A4785" s="107">
        <f>IFERROR(__xludf.DUMMYFUNCTION("""COMPUTED_VALUE"""),45964.0)</f>
        <v>45964</v>
      </c>
      <c r="B4785" t="str">
        <f>IFERROR(__xludf.DUMMYFUNCTION("""COMPUTED_VALUE"""),"[內湖秘境] B [劉桀綸] 月租金 後五碼:80767 (行號: 17)")</f>
        <v>[內湖秘境] B [劉桀綸] 月租金 後五碼:80767 (行號: 17)</v>
      </c>
      <c r="C4785" t="str">
        <f>IFERROR(__xludf.DUMMYFUNCTION("""COMPUTED_VALUE"""),"收入 - 租金")</f>
        <v>收入 - 租金</v>
      </c>
      <c r="D4785" s="270">
        <f>IFERROR(__xludf.DUMMYFUNCTION("""COMPUTED_VALUE"""),12300.0)</f>
        <v>12300</v>
      </c>
      <c r="F4785" t="str">
        <f>IFERROR(__xludf.DUMMYFUNCTION("""COMPUTED_VALUE"""),"玉山帳戶")</f>
        <v>玉山帳戶</v>
      </c>
      <c r="G4785" t="str">
        <f>IFERROR(__xludf.DUMMYFUNCTION("""COMPUTED_VALUE"""),"內湖秘境")</f>
        <v>內湖秘境</v>
      </c>
      <c r="H4785" s="106" t="str">
        <f t="shared" si="1"/>
        <v>2025-11</v>
      </c>
      <c r="I4785" s="271" t="str">
        <f>IFERROR(__xludf.DUMMYFUNCTION("""COMPUTED_VALUE"""),"鯰魚大大")</f>
        <v>鯰魚大大</v>
      </c>
      <c r="J4785" t="str">
        <f>IFERROR(__xludf.DUMMYFUNCTION("IFS(
  AND(REGEXMATCH(E4785, ""台銀籌備帳戶|玉山帳戶""), REGEXMATCH(C4785, ""薪資"")), ""分潤支出"",
  AND(REGEXMATCH(E4785, ""Ben帳戶|Elsa帳戶|Ben代墊|Ariel代墊|中信銀行共用""), REGEXMATCH(F4785, ""Ben帳戶|Elsa帳戶|Ben代墊|Ariel代墊|中信銀行共用"")), ""內部轉帳(忽略)"",
  AND(E4785&lt;&gt;"""", F4785&lt;&gt;"""", N"&amp;"OT(REGEXMATCH(C4785, ""薪資""))), ""內部轉帳(忽略)"",
  REGEXMATCH(C4785, ""薪資""), ""薪資變動(不計入)"",
  REGEXMATCH(C4785, ""押金""), ""押金往來"",
  AND(E4785&lt;&gt;"""", F4785=""""), ""真實支出"",
  AND(E4785="""", F4785&lt;&gt;""""), ""真實收入"",
  TRUE, ""其他""
)"),"真實收入")</f>
        <v>真實收入</v>
      </c>
      <c r="K4785" s="270">
        <f t="shared" si="2"/>
        <v>12300</v>
      </c>
      <c r="L4785">
        <f t="shared" si="3"/>
        <v>0</v>
      </c>
    </row>
    <row r="4786">
      <c r="A4786" s="107">
        <f>IFERROR(__xludf.DUMMYFUNCTION("""COMPUTED_VALUE"""),45964.0)</f>
        <v>45964</v>
      </c>
      <c r="B4786" t="str">
        <f>IFERROR(__xludf.DUMMYFUNCTION("""COMPUTED_VALUE"""),"[內湖秘境] A [陳玟涵] 月租金 後五碼:18127 (行號: 18)")</f>
        <v>[內湖秘境] A [陳玟涵] 月租金 後五碼:18127 (行號: 18)</v>
      </c>
      <c r="C4786" t="str">
        <f>IFERROR(__xludf.DUMMYFUNCTION("""COMPUTED_VALUE"""),"收入 - 租金")</f>
        <v>收入 - 租金</v>
      </c>
      <c r="D4786" s="270">
        <f>IFERROR(__xludf.DUMMYFUNCTION("""COMPUTED_VALUE"""),11700.0)</f>
        <v>11700</v>
      </c>
      <c r="F4786" t="str">
        <f>IFERROR(__xludf.DUMMYFUNCTION("""COMPUTED_VALUE"""),"玉山帳戶")</f>
        <v>玉山帳戶</v>
      </c>
      <c r="G4786" t="str">
        <f>IFERROR(__xludf.DUMMYFUNCTION("""COMPUTED_VALUE"""),"內湖秘境")</f>
        <v>內湖秘境</v>
      </c>
      <c r="H4786" s="106" t="str">
        <f t="shared" si="1"/>
        <v>2025-11</v>
      </c>
      <c r="I4786" s="271" t="str">
        <f>IFERROR(__xludf.DUMMYFUNCTION("""COMPUTED_VALUE"""),"鯰魚大大")</f>
        <v>鯰魚大大</v>
      </c>
      <c r="J4786" t="str">
        <f>IFERROR(__xludf.DUMMYFUNCTION("IFS(
  AND(REGEXMATCH(E4786, ""台銀籌備帳戶|玉山帳戶""), REGEXMATCH(C4786, ""薪資"")), ""分潤支出"",
  AND(REGEXMATCH(E4786, ""Ben帳戶|Elsa帳戶|Ben代墊|Ariel代墊|中信銀行共用""), REGEXMATCH(F4786, ""Ben帳戶|Elsa帳戶|Ben代墊|Ariel代墊|中信銀行共用"")), ""內部轉帳(忽略)"",
  AND(E4786&lt;&gt;"""", F4786&lt;&gt;"""", N"&amp;"OT(REGEXMATCH(C4786, ""薪資""))), ""內部轉帳(忽略)"",
  REGEXMATCH(C4786, ""薪資""), ""薪資變動(不計入)"",
  REGEXMATCH(C4786, ""押金""), ""押金往來"",
  AND(E4786&lt;&gt;"""", F4786=""""), ""真實支出"",
  AND(E4786="""", F4786&lt;&gt;""""), ""真實收入"",
  TRUE, ""其他""
)"),"真實收入")</f>
        <v>真實收入</v>
      </c>
      <c r="K4786" s="270">
        <f t="shared" si="2"/>
        <v>11700</v>
      </c>
      <c r="L4786">
        <f t="shared" si="3"/>
        <v>0</v>
      </c>
    </row>
    <row r="4787">
      <c r="A4787" s="107">
        <f>IFERROR(__xludf.DUMMYFUNCTION("""COMPUTED_VALUE"""),45964.0)</f>
        <v>45964</v>
      </c>
      <c r="B4787" t="str">
        <f>IFERROR(__xludf.DUMMYFUNCTION("""COMPUTED_VALUE"""),"[內湖秘境] C [黃詩穎] 月租金 後五碼:53074 (行號: 19)")</f>
        <v>[內湖秘境] C [黃詩穎] 月租金 後五碼:53074 (行號: 19)</v>
      </c>
      <c r="C4787" t="str">
        <f>IFERROR(__xludf.DUMMYFUNCTION("""COMPUTED_VALUE"""),"收入 - 租金")</f>
        <v>收入 - 租金</v>
      </c>
      <c r="D4787" s="270">
        <f>IFERROR(__xludf.DUMMYFUNCTION("""COMPUTED_VALUE"""),14800.0)</f>
        <v>14800</v>
      </c>
      <c r="F4787" t="str">
        <f>IFERROR(__xludf.DUMMYFUNCTION("""COMPUTED_VALUE"""),"玉山帳戶")</f>
        <v>玉山帳戶</v>
      </c>
      <c r="G4787" t="str">
        <f>IFERROR(__xludf.DUMMYFUNCTION("""COMPUTED_VALUE"""),"內湖秘境")</f>
        <v>內湖秘境</v>
      </c>
      <c r="H4787" s="106" t="str">
        <f t="shared" si="1"/>
        <v>2025-11</v>
      </c>
      <c r="I4787" s="271" t="str">
        <f>IFERROR(__xludf.DUMMYFUNCTION("""COMPUTED_VALUE"""),"鯰魚大大")</f>
        <v>鯰魚大大</v>
      </c>
      <c r="J4787" t="str">
        <f>IFERROR(__xludf.DUMMYFUNCTION("IFS(
  AND(REGEXMATCH(E4787, ""台銀籌備帳戶|玉山帳戶""), REGEXMATCH(C4787, ""薪資"")), ""分潤支出"",
  AND(REGEXMATCH(E4787, ""Ben帳戶|Elsa帳戶|Ben代墊|Ariel代墊|中信銀行共用""), REGEXMATCH(F4787, ""Ben帳戶|Elsa帳戶|Ben代墊|Ariel代墊|中信銀行共用"")), ""內部轉帳(忽略)"",
  AND(E4787&lt;&gt;"""", F4787&lt;&gt;"""", N"&amp;"OT(REGEXMATCH(C4787, ""薪資""))), ""內部轉帳(忽略)"",
  REGEXMATCH(C4787, ""薪資""), ""薪資變動(不計入)"",
  REGEXMATCH(C4787, ""押金""), ""押金往來"",
  AND(E4787&lt;&gt;"""", F4787=""""), ""真實支出"",
  AND(E4787="""", F4787&lt;&gt;""""), ""真實收入"",
  TRUE, ""其他""
)"),"真實收入")</f>
        <v>真實收入</v>
      </c>
      <c r="K4787" s="270">
        <f t="shared" si="2"/>
        <v>14800</v>
      </c>
      <c r="L4787">
        <f t="shared" si="3"/>
        <v>0</v>
      </c>
    </row>
    <row r="4788">
      <c r="A4788" s="107">
        <f>IFERROR(__xludf.DUMMYFUNCTION("""COMPUTED_VALUE"""),45964.0)</f>
        <v>45964</v>
      </c>
      <c r="B4788" t="str">
        <f>IFERROR(__xludf.DUMMYFUNCTION("""COMPUTED_VALUE"""),"[內湖CityLink] C [汪建豪] 月租金 後五碼:23610 (行號: 20)")</f>
        <v>[內湖CityLink] C [汪建豪] 月租金 後五碼:23610 (行號: 20)</v>
      </c>
      <c r="C4788" t="str">
        <f>IFERROR(__xludf.DUMMYFUNCTION("""COMPUTED_VALUE"""),"收入 - 租金")</f>
        <v>收入 - 租金</v>
      </c>
      <c r="D4788" s="270">
        <f>IFERROR(__xludf.DUMMYFUNCTION("""COMPUTED_VALUE"""),12500.0)</f>
        <v>12500</v>
      </c>
      <c r="F4788" t="str">
        <f>IFERROR(__xludf.DUMMYFUNCTION("""COMPUTED_VALUE"""),"玉山帳戶")</f>
        <v>玉山帳戶</v>
      </c>
      <c r="G4788" t="str">
        <f>IFERROR(__xludf.DUMMYFUNCTION("""COMPUTED_VALUE"""),"內湖CityLink")</f>
        <v>內湖CityLink</v>
      </c>
      <c r="H4788" s="106" t="str">
        <f t="shared" si="1"/>
        <v>2025-11</v>
      </c>
      <c r="I4788" s="271" t="str">
        <f>IFERROR(__xludf.DUMMYFUNCTION("""COMPUTED_VALUE"""),"鯰魚大大")</f>
        <v>鯰魚大大</v>
      </c>
      <c r="J4788" t="str">
        <f>IFERROR(__xludf.DUMMYFUNCTION("IFS(
  AND(REGEXMATCH(E4788, ""台銀籌備帳戶|玉山帳戶""), REGEXMATCH(C4788, ""薪資"")), ""分潤支出"",
  AND(REGEXMATCH(E4788, ""Ben帳戶|Elsa帳戶|Ben代墊|Ariel代墊|中信銀行共用""), REGEXMATCH(F4788, ""Ben帳戶|Elsa帳戶|Ben代墊|Ariel代墊|中信銀行共用"")), ""內部轉帳(忽略)"",
  AND(E4788&lt;&gt;"""", F4788&lt;&gt;"""", N"&amp;"OT(REGEXMATCH(C4788, ""薪資""))), ""內部轉帳(忽略)"",
  REGEXMATCH(C4788, ""薪資""), ""薪資變動(不計入)"",
  REGEXMATCH(C4788, ""押金""), ""押金往來"",
  AND(E4788&lt;&gt;"""", F4788=""""), ""真實支出"",
  AND(E4788="""", F4788&lt;&gt;""""), ""真實收入"",
  TRUE, ""其他""
)"),"真實收入")</f>
        <v>真實收入</v>
      </c>
      <c r="K4788" s="270">
        <f t="shared" si="2"/>
        <v>12500</v>
      </c>
      <c r="L4788">
        <f t="shared" si="3"/>
        <v>0</v>
      </c>
    </row>
    <row r="4789">
      <c r="A4789" s="107">
        <f>IFERROR(__xludf.DUMMYFUNCTION("""COMPUTED_VALUE"""),45964.0)</f>
        <v>45964</v>
      </c>
      <c r="B4789" t="str">
        <f>IFERROR(__xludf.DUMMYFUNCTION("""COMPUTED_VALUE"""),"[內湖CityLink] F [Ardian Umam] 月租金 後五碼:65463 (行號: 21)")</f>
        <v>[內湖CityLink] F [Ardian Umam] 月租金 後五碼:65463 (行號: 21)</v>
      </c>
      <c r="C4789" t="str">
        <f>IFERROR(__xludf.DUMMYFUNCTION("""COMPUTED_VALUE"""),"收入 - 租金")</f>
        <v>收入 - 租金</v>
      </c>
      <c r="D4789" s="270">
        <f>IFERROR(__xludf.DUMMYFUNCTION("""COMPUTED_VALUE"""),13300.0)</f>
        <v>13300</v>
      </c>
      <c r="F4789" t="str">
        <f>IFERROR(__xludf.DUMMYFUNCTION("""COMPUTED_VALUE"""),"玉山帳戶")</f>
        <v>玉山帳戶</v>
      </c>
      <c r="G4789" t="str">
        <f>IFERROR(__xludf.DUMMYFUNCTION("""COMPUTED_VALUE"""),"內湖CityLink")</f>
        <v>內湖CityLink</v>
      </c>
      <c r="H4789" s="106" t="str">
        <f t="shared" si="1"/>
        <v>2025-11</v>
      </c>
      <c r="I4789" s="271" t="str">
        <f>IFERROR(__xludf.DUMMYFUNCTION("""COMPUTED_VALUE"""),"鯰魚大大")</f>
        <v>鯰魚大大</v>
      </c>
      <c r="J4789" t="str">
        <f>IFERROR(__xludf.DUMMYFUNCTION("IFS(
  AND(REGEXMATCH(E4789, ""台銀籌備帳戶|玉山帳戶""), REGEXMATCH(C4789, ""薪資"")), ""分潤支出"",
  AND(REGEXMATCH(E4789, ""Ben帳戶|Elsa帳戶|Ben代墊|Ariel代墊|中信銀行共用""), REGEXMATCH(F4789, ""Ben帳戶|Elsa帳戶|Ben代墊|Ariel代墊|中信銀行共用"")), ""內部轉帳(忽略)"",
  AND(E4789&lt;&gt;"""", F4789&lt;&gt;"""", N"&amp;"OT(REGEXMATCH(C4789, ""薪資""))), ""內部轉帳(忽略)"",
  REGEXMATCH(C4789, ""薪資""), ""薪資變動(不計入)"",
  REGEXMATCH(C4789, ""押金""), ""押金往來"",
  AND(E4789&lt;&gt;"""", F4789=""""), ""真實支出"",
  AND(E4789="""", F4789&lt;&gt;""""), ""真實收入"",
  TRUE, ""其他""
)"),"真實收入")</f>
        <v>真實收入</v>
      </c>
      <c r="K4789" s="270">
        <f t="shared" si="2"/>
        <v>13300</v>
      </c>
      <c r="L4789">
        <f t="shared" si="3"/>
        <v>0</v>
      </c>
    </row>
    <row r="4790">
      <c r="A4790" s="107">
        <f>IFERROR(__xludf.DUMMYFUNCTION("""COMPUTED_VALUE"""),45964.0)</f>
        <v>45964</v>
      </c>
      <c r="B4790" t="str">
        <f>IFERROR(__xludf.DUMMYFUNCTION("""COMPUTED_VALUE"""),"費用 - 匯費 對方行:013 後五碼:78744 (行號: 22)")</f>
        <v>費用 - 匯費 對方行:013 後五碼:78744 (行號: 22)</v>
      </c>
      <c r="C4790" t="str">
        <f>IFERROR(__xludf.DUMMYFUNCTION("""COMPUTED_VALUE"""),"費用 - 匯費")</f>
        <v>費用 - 匯費</v>
      </c>
      <c r="D4790" s="270">
        <f>IFERROR(__xludf.DUMMYFUNCTION("""COMPUTED_VALUE"""),-15.0)</f>
        <v>-15</v>
      </c>
      <c r="E4790" t="str">
        <f>IFERROR(__xludf.DUMMYFUNCTION("""COMPUTED_VALUE"""),"玉山帳戶")</f>
        <v>玉山帳戶</v>
      </c>
      <c r="H4790" s="106" t="str">
        <f t="shared" si="1"/>
        <v>2025-11</v>
      </c>
      <c r="I4790" s="271" t="str">
        <f>IFERROR(__xludf.DUMMYFUNCTION("""COMPUTED_VALUE"""),"鯰魚大大")</f>
        <v>鯰魚大大</v>
      </c>
      <c r="J4790" t="str">
        <f>IFERROR(__xludf.DUMMYFUNCTION("IFS(
  AND(REGEXMATCH(E4790, ""台銀籌備帳戶|玉山帳戶""), REGEXMATCH(C4790, ""薪資"")), ""分潤支出"",
  AND(REGEXMATCH(E4790, ""Ben帳戶|Elsa帳戶|Ben代墊|Ariel代墊|中信銀行共用""), REGEXMATCH(F4790, ""Ben帳戶|Elsa帳戶|Ben代墊|Ariel代墊|中信銀行共用"")), ""內部轉帳(忽略)"",
  AND(E4790&lt;&gt;"""", F4790&lt;&gt;"""", N"&amp;"OT(REGEXMATCH(C4790, ""薪資""))), ""內部轉帳(忽略)"",
  REGEXMATCH(C4790, ""薪資""), ""薪資變動(不計入)"",
  REGEXMATCH(C4790, ""押金""), ""押金往來"",
  AND(E4790&lt;&gt;"""", F4790=""""), ""真實支出"",
  AND(E4790="""", F4790&lt;&gt;""""), ""真實收入"",
  TRUE, ""其他""
)"),"真實支出")</f>
        <v>真實支出</v>
      </c>
      <c r="K4790" s="270">
        <f t="shared" si="2"/>
        <v>-15</v>
      </c>
      <c r="L4790">
        <f t="shared" si="3"/>
        <v>0</v>
      </c>
    </row>
    <row r="4791">
      <c r="A4791" s="107">
        <f>IFERROR(__xludf.DUMMYFUNCTION("""COMPUTED_VALUE"""),45964.0)</f>
        <v>45964</v>
      </c>
      <c r="B4791" t="str">
        <f>IFERROR(__xludf.DUMMYFUNCTION("""COMPUTED_VALUE"""),"[士林和豐] [楊政偉] 大租金")</f>
        <v>[士林和豐] [楊政偉] 大租金</v>
      </c>
      <c r="C4791" t="str">
        <f>IFERROR(__xludf.DUMMYFUNCTION("""COMPUTED_VALUE"""),"成本 - 大租金")</f>
        <v>成本 - 大租金</v>
      </c>
      <c r="D4791" s="270">
        <f>IFERROR(__xludf.DUMMYFUNCTION("""COMPUTED_VALUE"""),-14400.0)</f>
        <v>-14400</v>
      </c>
      <c r="E4791" t="str">
        <f>IFERROR(__xludf.DUMMYFUNCTION("""COMPUTED_VALUE"""),"玉山帳戶")</f>
        <v>玉山帳戶</v>
      </c>
      <c r="G4791" t="str">
        <f>IFERROR(__xludf.DUMMYFUNCTION("""COMPUTED_VALUE"""),"士林和豐")</f>
        <v>士林和豐</v>
      </c>
      <c r="H4791" s="106" t="str">
        <f t="shared" si="1"/>
        <v>2025-11</v>
      </c>
      <c r="I4791" s="271" t="str">
        <f>IFERROR(__xludf.DUMMYFUNCTION("""COMPUTED_VALUE"""),"鯰魚大大")</f>
        <v>鯰魚大大</v>
      </c>
      <c r="J4791" t="str">
        <f>IFERROR(__xludf.DUMMYFUNCTION("IFS(
  AND(REGEXMATCH(E4791, ""台銀籌備帳戶|玉山帳戶""), REGEXMATCH(C4791, ""薪資"")), ""分潤支出"",
  AND(REGEXMATCH(E4791, ""Ben帳戶|Elsa帳戶|Ben代墊|Ariel代墊|中信銀行共用""), REGEXMATCH(F4791, ""Ben帳戶|Elsa帳戶|Ben代墊|Ariel代墊|中信銀行共用"")), ""內部轉帳(忽略)"",
  AND(E4791&lt;&gt;"""", F4791&lt;&gt;"""", N"&amp;"OT(REGEXMATCH(C4791, ""薪資""))), ""內部轉帳(忽略)"",
  REGEXMATCH(C4791, ""薪資""), ""薪資變動(不計入)"",
  REGEXMATCH(C4791, ""押金""), ""押金往來"",
  AND(E4791&lt;&gt;"""", F4791=""""), ""真實支出"",
  AND(E4791="""", F4791&lt;&gt;""""), ""真實收入"",
  TRUE, ""其他""
)"),"真實支出")</f>
        <v>真實支出</v>
      </c>
      <c r="K4791" s="270">
        <f t="shared" si="2"/>
        <v>-14400</v>
      </c>
      <c r="L4791">
        <f t="shared" si="3"/>
        <v>0</v>
      </c>
    </row>
    <row r="4792">
      <c r="A4792" s="107">
        <f>IFERROR(__xludf.DUMMYFUNCTION("""COMPUTED_VALUE"""),45964.0)</f>
        <v>45964</v>
      </c>
      <c r="B4792" t="str">
        <f>IFERROR(__xludf.DUMMYFUNCTION("""COMPUTED_VALUE"""),"費用 - 匯費 對方行:012 後五碼:68447 (行號: 23)")</f>
        <v>費用 - 匯費 對方行:012 後五碼:68447 (行號: 23)</v>
      </c>
      <c r="C4792" t="str">
        <f>IFERROR(__xludf.DUMMYFUNCTION("""COMPUTED_VALUE"""),"費用 - 匯費")</f>
        <v>費用 - 匯費</v>
      </c>
      <c r="D4792" s="270">
        <f>IFERROR(__xludf.DUMMYFUNCTION("""COMPUTED_VALUE"""),-15.0)</f>
        <v>-15</v>
      </c>
      <c r="E4792" t="str">
        <f>IFERROR(__xludf.DUMMYFUNCTION("""COMPUTED_VALUE"""),"玉山帳戶")</f>
        <v>玉山帳戶</v>
      </c>
      <c r="H4792" s="106" t="str">
        <f t="shared" si="1"/>
        <v>2025-11</v>
      </c>
      <c r="I4792" s="271" t="str">
        <f>IFERROR(__xludf.DUMMYFUNCTION("""COMPUTED_VALUE"""),"鯰魚大大")</f>
        <v>鯰魚大大</v>
      </c>
      <c r="J4792" t="str">
        <f>IFERROR(__xludf.DUMMYFUNCTION("IFS(
  AND(REGEXMATCH(E4792, ""台銀籌備帳戶|玉山帳戶""), REGEXMATCH(C4792, ""薪資"")), ""分潤支出"",
  AND(REGEXMATCH(E4792, ""Ben帳戶|Elsa帳戶|Ben代墊|Ariel代墊|中信銀行共用""), REGEXMATCH(F4792, ""Ben帳戶|Elsa帳戶|Ben代墊|Ariel代墊|中信銀行共用"")), ""內部轉帳(忽略)"",
  AND(E4792&lt;&gt;"""", F4792&lt;&gt;"""", N"&amp;"OT(REGEXMATCH(C4792, ""薪資""))), ""內部轉帳(忽略)"",
  REGEXMATCH(C4792, ""薪資""), ""薪資變動(不計入)"",
  REGEXMATCH(C4792, ""押金""), ""押金往來"",
  AND(E4792&lt;&gt;"""", F4792=""""), ""真實支出"",
  AND(E4792="""", F4792&lt;&gt;""""), ""真實收入"",
  TRUE, ""其他""
)"),"真實支出")</f>
        <v>真實支出</v>
      </c>
      <c r="K4792" s="270">
        <f t="shared" si="2"/>
        <v>-15</v>
      </c>
      <c r="L4792">
        <f t="shared" si="3"/>
        <v>0</v>
      </c>
    </row>
    <row r="4793">
      <c r="A4793" s="107">
        <f>IFERROR(__xludf.DUMMYFUNCTION("""COMPUTED_VALUE"""),45964.0)</f>
        <v>45964</v>
      </c>
      <c r="B4793" t="str">
        <f>IFERROR(__xludf.DUMMYFUNCTION("""COMPUTED_VALUE"""),"[行天宮夏野良栗] [沈蕙萱] 大租金")</f>
        <v>[行天宮夏野良栗] [沈蕙萱] 大租金</v>
      </c>
      <c r="C4793" t="str">
        <f>IFERROR(__xludf.DUMMYFUNCTION("""COMPUTED_VALUE"""),"成本 - 大租金")</f>
        <v>成本 - 大租金</v>
      </c>
      <c r="D4793" s="270">
        <f>IFERROR(__xludf.DUMMYFUNCTION("""COMPUTED_VALUE"""),-19900.0)</f>
        <v>-19900</v>
      </c>
      <c r="E4793" t="str">
        <f>IFERROR(__xludf.DUMMYFUNCTION("""COMPUTED_VALUE"""),"玉山帳戶")</f>
        <v>玉山帳戶</v>
      </c>
      <c r="G4793" t="str">
        <f>IFERROR(__xludf.DUMMYFUNCTION("""COMPUTED_VALUE"""),"行天宮夏野良栗")</f>
        <v>行天宮夏野良栗</v>
      </c>
      <c r="H4793" s="106" t="str">
        <f t="shared" si="1"/>
        <v>2025-11</v>
      </c>
      <c r="I4793" s="271" t="str">
        <f>IFERROR(__xludf.DUMMYFUNCTION("""COMPUTED_VALUE"""),"鯰魚大大")</f>
        <v>鯰魚大大</v>
      </c>
      <c r="J4793" t="str">
        <f>IFERROR(__xludf.DUMMYFUNCTION("IFS(
  AND(REGEXMATCH(E4793, ""台銀籌備帳戶|玉山帳戶""), REGEXMATCH(C4793, ""薪資"")), ""分潤支出"",
  AND(REGEXMATCH(E4793, ""Ben帳戶|Elsa帳戶|Ben代墊|Ariel代墊|中信銀行共用""), REGEXMATCH(F4793, ""Ben帳戶|Elsa帳戶|Ben代墊|Ariel代墊|中信銀行共用"")), ""內部轉帳(忽略)"",
  AND(E4793&lt;&gt;"""", F4793&lt;&gt;"""", N"&amp;"OT(REGEXMATCH(C4793, ""薪資""))), ""內部轉帳(忽略)"",
  REGEXMATCH(C4793, ""薪資""), ""薪資變動(不計入)"",
  REGEXMATCH(C4793, ""押金""), ""押金往來"",
  AND(E4793&lt;&gt;"""", F4793=""""), ""真實支出"",
  AND(E4793="""", F4793&lt;&gt;""""), ""真實收入"",
  TRUE, ""其他""
)"),"真實支出")</f>
        <v>真實支出</v>
      </c>
      <c r="K4793" s="270">
        <f t="shared" si="2"/>
        <v>-19900</v>
      </c>
      <c r="L4793">
        <f t="shared" si="3"/>
        <v>0</v>
      </c>
    </row>
    <row r="4794">
      <c r="A4794" s="107">
        <f>IFERROR(__xludf.DUMMYFUNCTION("""COMPUTED_VALUE"""),45964.0)</f>
        <v>45964</v>
      </c>
      <c r="B4794" t="str">
        <f>IFERROR(__xludf.DUMMYFUNCTION("""COMPUTED_VALUE"""),"費用 - 匯費 對方行:700 後五碼:84843 (行號: 24)")</f>
        <v>費用 - 匯費 對方行:700 後五碼:84843 (行號: 24)</v>
      </c>
      <c r="C4794" t="str">
        <f>IFERROR(__xludf.DUMMYFUNCTION("""COMPUTED_VALUE"""),"費用 - 匯費")</f>
        <v>費用 - 匯費</v>
      </c>
      <c r="D4794" s="270">
        <f>IFERROR(__xludf.DUMMYFUNCTION("""COMPUTED_VALUE"""),-15.0)</f>
        <v>-15</v>
      </c>
      <c r="E4794" t="str">
        <f>IFERROR(__xludf.DUMMYFUNCTION("""COMPUTED_VALUE"""),"玉山帳戶")</f>
        <v>玉山帳戶</v>
      </c>
      <c r="H4794" s="106" t="str">
        <f t="shared" si="1"/>
        <v>2025-11</v>
      </c>
      <c r="I4794" s="271" t="str">
        <f>IFERROR(__xludf.DUMMYFUNCTION("""COMPUTED_VALUE"""),"鯰魚大大")</f>
        <v>鯰魚大大</v>
      </c>
      <c r="J4794" t="str">
        <f>IFERROR(__xludf.DUMMYFUNCTION("IFS(
  AND(REGEXMATCH(E4794, ""台銀籌備帳戶|玉山帳戶""), REGEXMATCH(C4794, ""薪資"")), ""分潤支出"",
  AND(REGEXMATCH(E4794, ""Ben帳戶|Elsa帳戶|Ben代墊|Ariel代墊|中信銀行共用""), REGEXMATCH(F4794, ""Ben帳戶|Elsa帳戶|Ben代墊|Ariel代墊|中信銀行共用"")), ""內部轉帳(忽略)"",
  AND(E4794&lt;&gt;"""", F4794&lt;&gt;"""", N"&amp;"OT(REGEXMATCH(C4794, ""薪資""))), ""內部轉帳(忽略)"",
  REGEXMATCH(C4794, ""薪資""), ""薪資變動(不計入)"",
  REGEXMATCH(C4794, ""押金""), ""押金往來"",
  AND(E4794&lt;&gt;"""", F4794=""""), ""真實支出"",
  AND(E4794="""", F4794&lt;&gt;""""), ""真實收入"",
  TRUE, ""其他""
)"),"真實支出")</f>
        <v>真實支出</v>
      </c>
      <c r="K4794" s="270">
        <f t="shared" si="2"/>
        <v>-15</v>
      </c>
      <c r="L4794">
        <f t="shared" si="3"/>
        <v>0</v>
      </c>
    </row>
    <row r="4795">
      <c r="A4795" s="107">
        <f>IFERROR(__xludf.DUMMYFUNCTION("""COMPUTED_VALUE"""),45964.0)</f>
        <v>45964</v>
      </c>
      <c r="B4795" t="str">
        <f>IFERROR(__xludf.DUMMYFUNCTION("""COMPUTED_VALUE"""),"[內湖秘境] [周佳慧] 大租金")</f>
        <v>[內湖秘境] [周佳慧] 大租金</v>
      </c>
      <c r="C4795" t="str">
        <f>IFERROR(__xludf.DUMMYFUNCTION("""COMPUTED_VALUE"""),"成本 - 大租金")</f>
        <v>成本 - 大租金</v>
      </c>
      <c r="D4795" s="270">
        <f>IFERROR(__xludf.DUMMYFUNCTION("""COMPUTED_VALUE"""),-15000.0)</f>
        <v>-15000</v>
      </c>
      <c r="E4795" t="str">
        <f>IFERROR(__xludf.DUMMYFUNCTION("""COMPUTED_VALUE"""),"玉山帳戶")</f>
        <v>玉山帳戶</v>
      </c>
      <c r="G4795" t="str">
        <f>IFERROR(__xludf.DUMMYFUNCTION("""COMPUTED_VALUE"""),"內湖秘境")</f>
        <v>內湖秘境</v>
      </c>
      <c r="H4795" s="106" t="str">
        <f t="shared" si="1"/>
        <v>2025-11</v>
      </c>
      <c r="I4795" s="271" t="str">
        <f>IFERROR(__xludf.DUMMYFUNCTION("""COMPUTED_VALUE"""),"鯰魚大大")</f>
        <v>鯰魚大大</v>
      </c>
      <c r="J4795" t="str">
        <f>IFERROR(__xludf.DUMMYFUNCTION("IFS(
  AND(REGEXMATCH(E4795, ""台銀籌備帳戶|玉山帳戶""), REGEXMATCH(C4795, ""薪資"")), ""分潤支出"",
  AND(REGEXMATCH(E4795, ""Ben帳戶|Elsa帳戶|Ben代墊|Ariel代墊|中信銀行共用""), REGEXMATCH(F4795, ""Ben帳戶|Elsa帳戶|Ben代墊|Ariel代墊|中信銀行共用"")), ""內部轉帳(忽略)"",
  AND(E4795&lt;&gt;"""", F4795&lt;&gt;"""", N"&amp;"OT(REGEXMATCH(C4795, ""薪資""))), ""內部轉帳(忽略)"",
  REGEXMATCH(C4795, ""薪資""), ""薪資變動(不計入)"",
  REGEXMATCH(C4795, ""押金""), ""押金往來"",
  AND(E4795&lt;&gt;"""", F4795=""""), ""真實支出"",
  AND(E4795="""", F4795&lt;&gt;""""), ""真實收入"",
  TRUE, ""其他""
)"),"真實支出")</f>
        <v>真實支出</v>
      </c>
      <c r="K4795" s="270">
        <f t="shared" si="2"/>
        <v>-15000</v>
      </c>
      <c r="L4795">
        <f t="shared" si="3"/>
        <v>0</v>
      </c>
    </row>
    <row r="4796">
      <c r="A4796" s="107">
        <f>IFERROR(__xludf.DUMMYFUNCTION("""COMPUTED_VALUE"""),45964.0)</f>
        <v>45964</v>
      </c>
      <c r="B4796" t="str">
        <f>IFERROR(__xludf.DUMMYFUNCTION("""COMPUTED_VALUE"""),"費用 - 匯費 對方行:012 後五碼:53048 (行號: 25)")</f>
        <v>費用 - 匯費 對方行:012 後五碼:53048 (行號: 25)</v>
      </c>
      <c r="C4796" t="str">
        <f>IFERROR(__xludf.DUMMYFUNCTION("""COMPUTED_VALUE"""),"費用 - 匯費")</f>
        <v>費用 - 匯費</v>
      </c>
      <c r="D4796" s="270">
        <f>IFERROR(__xludf.DUMMYFUNCTION("""COMPUTED_VALUE"""),-15.0)</f>
        <v>-15</v>
      </c>
      <c r="E4796" t="str">
        <f>IFERROR(__xludf.DUMMYFUNCTION("""COMPUTED_VALUE"""),"玉山帳戶")</f>
        <v>玉山帳戶</v>
      </c>
      <c r="H4796" s="106" t="str">
        <f t="shared" si="1"/>
        <v>2025-11</v>
      </c>
      <c r="I4796" s="271" t="str">
        <f>IFERROR(__xludf.DUMMYFUNCTION("""COMPUTED_VALUE"""),"鯰魚大大")</f>
        <v>鯰魚大大</v>
      </c>
      <c r="J4796" t="str">
        <f>IFERROR(__xludf.DUMMYFUNCTION("IFS(
  AND(REGEXMATCH(E4796, ""台銀籌備帳戶|玉山帳戶""), REGEXMATCH(C4796, ""薪資"")), ""分潤支出"",
  AND(REGEXMATCH(E4796, ""Ben帳戶|Elsa帳戶|Ben代墊|Ariel代墊|中信銀行共用""), REGEXMATCH(F4796, ""Ben帳戶|Elsa帳戶|Ben代墊|Ariel代墊|中信銀行共用"")), ""內部轉帳(忽略)"",
  AND(E4796&lt;&gt;"""", F4796&lt;&gt;"""", N"&amp;"OT(REGEXMATCH(C4796, ""薪資""))), ""內部轉帳(忽略)"",
  REGEXMATCH(C4796, ""薪資""), ""薪資變動(不計入)"",
  REGEXMATCH(C4796, ""押金""), ""押金往來"",
  AND(E4796&lt;&gt;"""", F4796=""""), ""真實支出"",
  AND(E4796="""", F4796&lt;&gt;""""), ""真實收入"",
  TRUE, ""其他""
)"),"真實支出")</f>
        <v>真實支出</v>
      </c>
      <c r="K4796" s="270">
        <f t="shared" si="2"/>
        <v>-15</v>
      </c>
      <c r="L4796">
        <f t="shared" si="3"/>
        <v>0</v>
      </c>
    </row>
    <row r="4797">
      <c r="A4797" s="107">
        <f>IFERROR(__xludf.DUMMYFUNCTION("""COMPUTED_VALUE"""),45964.0)</f>
        <v>45964</v>
      </c>
      <c r="B4797" t="str">
        <f>IFERROR(__xludf.DUMMYFUNCTION("""COMPUTED_VALUE"""),"[內湖秘境] [周佳慧] 大租金")</f>
        <v>[內湖秘境] [周佳慧] 大租金</v>
      </c>
      <c r="C4797" t="str">
        <f>IFERROR(__xludf.DUMMYFUNCTION("""COMPUTED_VALUE"""),"成本 - 大租金")</f>
        <v>成本 - 大租金</v>
      </c>
      <c r="D4797" s="270">
        <f>IFERROR(__xludf.DUMMYFUNCTION("""COMPUTED_VALUE"""),-15000.0)</f>
        <v>-15000</v>
      </c>
      <c r="E4797" t="str">
        <f>IFERROR(__xludf.DUMMYFUNCTION("""COMPUTED_VALUE"""),"玉山帳戶")</f>
        <v>玉山帳戶</v>
      </c>
      <c r="G4797" t="str">
        <f>IFERROR(__xludf.DUMMYFUNCTION("""COMPUTED_VALUE"""),"內湖秘境")</f>
        <v>內湖秘境</v>
      </c>
      <c r="H4797" s="106" t="str">
        <f t="shared" si="1"/>
        <v>2025-11</v>
      </c>
      <c r="I4797" s="271" t="str">
        <f>IFERROR(__xludf.DUMMYFUNCTION("""COMPUTED_VALUE"""),"鯰魚大大")</f>
        <v>鯰魚大大</v>
      </c>
      <c r="J4797" t="str">
        <f>IFERROR(__xludf.DUMMYFUNCTION("IFS(
  AND(REGEXMATCH(E4797, ""台銀籌備帳戶|玉山帳戶""), REGEXMATCH(C4797, ""薪資"")), ""分潤支出"",
  AND(REGEXMATCH(E4797, ""Ben帳戶|Elsa帳戶|Ben代墊|Ariel代墊|中信銀行共用""), REGEXMATCH(F4797, ""Ben帳戶|Elsa帳戶|Ben代墊|Ariel代墊|中信銀行共用"")), ""內部轉帳(忽略)"",
  AND(E4797&lt;&gt;"""", F4797&lt;&gt;"""", N"&amp;"OT(REGEXMATCH(C4797, ""薪資""))), ""內部轉帳(忽略)"",
  REGEXMATCH(C4797, ""薪資""), ""薪資變動(不計入)"",
  REGEXMATCH(C4797, ""押金""), ""押金往來"",
  AND(E4797&lt;&gt;"""", F4797=""""), ""真實支出"",
  AND(E4797="""", F4797&lt;&gt;""""), ""真實收入"",
  TRUE, ""其他""
)"),"真實支出")</f>
        <v>真實支出</v>
      </c>
      <c r="K4797" s="270">
        <f t="shared" si="2"/>
        <v>-15000</v>
      </c>
      <c r="L4797">
        <f t="shared" si="3"/>
        <v>0</v>
      </c>
    </row>
    <row r="4798">
      <c r="A4798" s="107">
        <f>IFERROR(__xludf.DUMMYFUNCTION("""COMPUTED_VALUE"""),45964.0)</f>
        <v>45964</v>
      </c>
      <c r="B4798" t="str">
        <f>IFERROR(__xludf.DUMMYFUNCTION("""COMPUTED_VALUE"""),"費用 - 匯費 對方行:810 後五碼:77212 (行號: 26)")</f>
        <v>費用 - 匯費 對方行:810 後五碼:77212 (行號: 26)</v>
      </c>
      <c r="C4798" t="str">
        <f>IFERROR(__xludf.DUMMYFUNCTION("""COMPUTED_VALUE"""),"費用 - 匯費")</f>
        <v>費用 - 匯費</v>
      </c>
      <c r="D4798" s="270">
        <f>IFERROR(__xludf.DUMMYFUNCTION("""COMPUTED_VALUE"""),-15.0)</f>
        <v>-15</v>
      </c>
      <c r="E4798" t="str">
        <f>IFERROR(__xludf.DUMMYFUNCTION("""COMPUTED_VALUE"""),"玉山帳戶")</f>
        <v>玉山帳戶</v>
      </c>
      <c r="H4798" s="106" t="str">
        <f t="shared" si="1"/>
        <v>2025-11</v>
      </c>
      <c r="I4798" s="271" t="str">
        <f>IFERROR(__xludf.DUMMYFUNCTION("""COMPUTED_VALUE"""),"鯰魚大大")</f>
        <v>鯰魚大大</v>
      </c>
      <c r="J4798" t="str">
        <f>IFERROR(__xludf.DUMMYFUNCTION("IFS(
  AND(REGEXMATCH(E4798, ""台銀籌備帳戶|玉山帳戶""), REGEXMATCH(C4798, ""薪資"")), ""分潤支出"",
  AND(REGEXMATCH(E4798, ""Ben帳戶|Elsa帳戶|Ben代墊|Ariel代墊|中信銀行共用""), REGEXMATCH(F4798, ""Ben帳戶|Elsa帳戶|Ben代墊|Ariel代墊|中信銀行共用"")), ""內部轉帳(忽略)"",
  AND(E4798&lt;&gt;"""", F4798&lt;&gt;"""", N"&amp;"OT(REGEXMATCH(C4798, ""薪資""))), ""內部轉帳(忽略)"",
  REGEXMATCH(C4798, ""薪資""), ""薪資變動(不計入)"",
  REGEXMATCH(C4798, ""押金""), ""押金往來"",
  AND(E4798&lt;&gt;"""", F4798=""""), ""真實支出"",
  AND(E4798="""", F4798&lt;&gt;""""), ""真實收入"",
  TRUE, ""其他""
)"),"真實支出")</f>
        <v>真實支出</v>
      </c>
      <c r="K4798" s="270">
        <f t="shared" si="2"/>
        <v>-15</v>
      </c>
      <c r="L4798">
        <f t="shared" si="3"/>
        <v>0</v>
      </c>
    </row>
    <row r="4799">
      <c r="A4799" s="107">
        <f>IFERROR(__xludf.DUMMYFUNCTION("""COMPUTED_VALUE"""),45964.0)</f>
        <v>45964</v>
      </c>
      <c r="B4799" t="str">
        <f>IFERROR(__xludf.DUMMYFUNCTION("""COMPUTED_VALUE"""),"[內湖秘境] [周佳慧] 大租金")</f>
        <v>[內湖秘境] [周佳慧] 大租金</v>
      </c>
      <c r="C4799" t="str">
        <f>IFERROR(__xludf.DUMMYFUNCTION("""COMPUTED_VALUE"""),"成本 - 大租金")</f>
        <v>成本 - 大租金</v>
      </c>
      <c r="D4799" s="270">
        <f>IFERROR(__xludf.DUMMYFUNCTION("""COMPUTED_VALUE"""),-15000.0)</f>
        <v>-15000</v>
      </c>
      <c r="E4799" t="str">
        <f>IFERROR(__xludf.DUMMYFUNCTION("""COMPUTED_VALUE"""),"玉山帳戶")</f>
        <v>玉山帳戶</v>
      </c>
      <c r="G4799" t="str">
        <f>IFERROR(__xludf.DUMMYFUNCTION("""COMPUTED_VALUE"""),"內湖秘境")</f>
        <v>內湖秘境</v>
      </c>
      <c r="H4799" s="106" t="str">
        <f t="shared" si="1"/>
        <v>2025-11</v>
      </c>
      <c r="I4799" s="271" t="str">
        <f>IFERROR(__xludf.DUMMYFUNCTION("""COMPUTED_VALUE"""),"鯰魚大大")</f>
        <v>鯰魚大大</v>
      </c>
      <c r="J4799" t="str">
        <f>IFERROR(__xludf.DUMMYFUNCTION("IFS(
  AND(REGEXMATCH(E4799, ""台銀籌備帳戶|玉山帳戶""), REGEXMATCH(C4799, ""薪資"")), ""分潤支出"",
  AND(REGEXMATCH(E4799, ""Ben帳戶|Elsa帳戶|Ben代墊|Ariel代墊|中信銀行共用""), REGEXMATCH(F4799, ""Ben帳戶|Elsa帳戶|Ben代墊|Ariel代墊|中信銀行共用"")), ""內部轉帳(忽略)"",
  AND(E4799&lt;&gt;"""", F4799&lt;&gt;"""", N"&amp;"OT(REGEXMATCH(C4799, ""薪資""))), ""內部轉帳(忽略)"",
  REGEXMATCH(C4799, ""薪資""), ""薪資變動(不計入)"",
  REGEXMATCH(C4799, ""押金""), ""押金往來"",
  AND(E4799&lt;&gt;"""", F4799=""""), ""真實支出"",
  AND(E4799="""", F4799&lt;&gt;""""), ""真實收入"",
  TRUE, ""其他""
)"),"真實支出")</f>
        <v>真實支出</v>
      </c>
      <c r="K4799" s="270">
        <f t="shared" si="2"/>
        <v>-15000</v>
      </c>
      <c r="L4799">
        <f t="shared" si="3"/>
        <v>0</v>
      </c>
    </row>
    <row r="4800">
      <c r="A4800" s="107">
        <f>IFERROR(__xludf.DUMMYFUNCTION("""COMPUTED_VALUE"""),45964.0)</f>
        <v>45964</v>
      </c>
      <c r="B4800" t="str">
        <f>IFERROR(__xludf.DUMMYFUNCTION("""COMPUTED_VALUE"""),"費用 - 匯費 對方行:806 後五碼:26435 (行號: 27)")</f>
        <v>費用 - 匯費 對方行:806 後五碼:26435 (行號: 27)</v>
      </c>
      <c r="C4800" t="str">
        <f>IFERROR(__xludf.DUMMYFUNCTION("""COMPUTED_VALUE"""),"費用 - 匯費")</f>
        <v>費用 - 匯費</v>
      </c>
      <c r="D4800" s="270">
        <f>IFERROR(__xludf.DUMMYFUNCTION("""COMPUTED_VALUE"""),-15.0)</f>
        <v>-15</v>
      </c>
      <c r="E4800" t="str">
        <f>IFERROR(__xludf.DUMMYFUNCTION("""COMPUTED_VALUE"""),"玉山帳戶")</f>
        <v>玉山帳戶</v>
      </c>
      <c r="H4800" s="106" t="str">
        <f t="shared" si="1"/>
        <v>2025-11</v>
      </c>
      <c r="I4800" s="271" t="str">
        <f>IFERROR(__xludf.DUMMYFUNCTION("""COMPUTED_VALUE"""),"鯰魚大大")</f>
        <v>鯰魚大大</v>
      </c>
      <c r="J4800" t="str">
        <f>IFERROR(__xludf.DUMMYFUNCTION("IFS(
  AND(REGEXMATCH(E4800, ""台銀籌備帳戶|玉山帳戶""), REGEXMATCH(C4800, ""薪資"")), ""分潤支出"",
  AND(REGEXMATCH(E4800, ""Ben帳戶|Elsa帳戶|Ben代墊|Ariel代墊|中信銀行共用""), REGEXMATCH(F4800, ""Ben帳戶|Elsa帳戶|Ben代墊|Ariel代墊|中信銀行共用"")), ""內部轉帳(忽略)"",
  AND(E4800&lt;&gt;"""", F4800&lt;&gt;"""", N"&amp;"OT(REGEXMATCH(C4800, ""薪資""))), ""內部轉帳(忽略)"",
  REGEXMATCH(C4800, ""薪資""), ""薪資變動(不計入)"",
  REGEXMATCH(C4800, ""押金""), ""押金往來"",
  AND(E4800&lt;&gt;"""", F4800=""""), ""真實支出"",
  AND(E4800="""", F4800&lt;&gt;""""), ""真實收入"",
  TRUE, ""其他""
)"),"真實支出")</f>
        <v>真實支出</v>
      </c>
      <c r="K4800" s="270">
        <f t="shared" si="2"/>
        <v>-15</v>
      </c>
      <c r="L4800">
        <f t="shared" si="3"/>
        <v>0</v>
      </c>
    </row>
    <row r="4801">
      <c r="A4801" s="107">
        <f>IFERROR(__xludf.DUMMYFUNCTION("""COMPUTED_VALUE"""),45964.0)</f>
        <v>45964</v>
      </c>
      <c r="B4801" t="str">
        <f>IFERROR(__xludf.DUMMYFUNCTION("""COMPUTED_VALUE"""),"[內湖CityLink] [周佳慧] 大租金")</f>
        <v>[內湖CityLink] [周佳慧] 大租金</v>
      </c>
      <c r="C4801" t="str">
        <f>IFERROR(__xludf.DUMMYFUNCTION("""COMPUTED_VALUE"""),"成本 - 大租金")</f>
        <v>成本 - 大租金</v>
      </c>
      <c r="D4801" s="270">
        <f>IFERROR(__xludf.DUMMYFUNCTION("""COMPUTED_VALUE"""),-16500.0)</f>
        <v>-16500</v>
      </c>
      <c r="E4801" t="str">
        <f>IFERROR(__xludf.DUMMYFUNCTION("""COMPUTED_VALUE"""),"玉山帳戶")</f>
        <v>玉山帳戶</v>
      </c>
      <c r="G4801" t="str">
        <f>IFERROR(__xludf.DUMMYFUNCTION("""COMPUTED_VALUE"""),"內湖CityLink")</f>
        <v>內湖CityLink</v>
      </c>
      <c r="H4801" s="106" t="str">
        <f t="shared" si="1"/>
        <v>2025-11</v>
      </c>
      <c r="I4801" s="271" t="str">
        <f>IFERROR(__xludf.DUMMYFUNCTION("""COMPUTED_VALUE"""),"鯰魚大大")</f>
        <v>鯰魚大大</v>
      </c>
      <c r="J4801" t="str">
        <f>IFERROR(__xludf.DUMMYFUNCTION("IFS(
  AND(REGEXMATCH(E4801, ""台銀籌備帳戶|玉山帳戶""), REGEXMATCH(C4801, ""薪資"")), ""分潤支出"",
  AND(REGEXMATCH(E4801, ""Ben帳戶|Elsa帳戶|Ben代墊|Ariel代墊|中信銀行共用""), REGEXMATCH(F4801, ""Ben帳戶|Elsa帳戶|Ben代墊|Ariel代墊|中信銀行共用"")), ""內部轉帳(忽略)"",
  AND(E4801&lt;&gt;"""", F4801&lt;&gt;"""", N"&amp;"OT(REGEXMATCH(C4801, ""薪資""))), ""內部轉帳(忽略)"",
  REGEXMATCH(C4801, ""薪資""), ""薪資變動(不計入)"",
  REGEXMATCH(C4801, ""押金""), ""押金往來"",
  AND(E4801&lt;&gt;"""", F4801=""""), ""真實支出"",
  AND(E4801="""", F4801&lt;&gt;""""), ""真實收入"",
  TRUE, ""其他""
)"),"真實支出")</f>
        <v>真實支出</v>
      </c>
      <c r="K4801" s="270">
        <f t="shared" si="2"/>
        <v>-16500</v>
      </c>
      <c r="L4801">
        <f t="shared" si="3"/>
        <v>0</v>
      </c>
    </row>
    <row r="4802">
      <c r="A4802" s="107">
        <f>IFERROR(__xludf.DUMMYFUNCTION("""COMPUTED_VALUE"""),45964.0)</f>
        <v>45964</v>
      </c>
      <c r="B4802" t="str">
        <f>IFERROR(__xludf.DUMMYFUNCTION("""COMPUTED_VALUE"""),"[內湖秘境] F [楊芯岳] 月租金 後五碼:05639 (行號: 28)")</f>
        <v>[內湖秘境] F [楊芯岳] 月租金 後五碼:05639 (行號: 28)</v>
      </c>
      <c r="C4802" t="str">
        <f>IFERROR(__xludf.DUMMYFUNCTION("""COMPUTED_VALUE"""),"收入 - 租金")</f>
        <v>收入 - 租金</v>
      </c>
      <c r="D4802" s="270">
        <f>IFERROR(__xludf.DUMMYFUNCTION("""COMPUTED_VALUE"""),13500.0)</f>
        <v>13500</v>
      </c>
      <c r="F4802" t="str">
        <f>IFERROR(__xludf.DUMMYFUNCTION("""COMPUTED_VALUE"""),"玉山帳戶")</f>
        <v>玉山帳戶</v>
      </c>
      <c r="G4802" t="str">
        <f>IFERROR(__xludf.DUMMYFUNCTION("""COMPUTED_VALUE"""),"內湖秘境")</f>
        <v>內湖秘境</v>
      </c>
      <c r="H4802" s="106" t="str">
        <f t="shared" si="1"/>
        <v>2025-11</v>
      </c>
      <c r="I4802" s="271" t="str">
        <f>IFERROR(__xludf.DUMMYFUNCTION("""COMPUTED_VALUE"""),"鯰魚大大")</f>
        <v>鯰魚大大</v>
      </c>
      <c r="J4802" t="str">
        <f>IFERROR(__xludf.DUMMYFUNCTION("IFS(
  AND(REGEXMATCH(E4802, ""台銀籌備帳戶|玉山帳戶""), REGEXMATCH(C4802, ""薪資"")), ""分潤支出"",
  AND(REGEXMATCH(E4802, ""Ben帳戶|Elsa帳戶|Ben代墊|Ariel代墊|中信銀行共用""), REGEXMATCH(F4802, ""Ben帳戶|Elsa帳戶|Ben代墊|Ariel代墊|中信銀行共用"")), ""內部轉帳(忽略)"",
  AND(E4802&lt;&gt;"""", F4802&lt;&gt;"""", N"&amp;"OT(REGEXMATCH(C4802, ""薪資""))), ""內部轉帳(忽略)"",
  REGEXMATCH(C4802, ""薪資""), ""薪資變動(不計入)"",
  REGEXMATCH(C4802, ""押金""), ""押金往來"",
  AND(E4802&lt;&gt;"""", F4802=""""), ""真實支出"",
  AND(E4802="""", F4802&lt;&gt;""""), ""真實收入"",
  TRUE, ""其他""
)"),"真實收入")</f>
        <v>真實收入</v>
      </c>
      <c r="K4802" s="270">
        <f t="shared" si="2"/>
        <v>13500</v>
      </c>
      <c r="L4802">
        <f t="shared" si="3"/>
        <v>0</v>
      </c>
    </row>
    <row r="4803">
      <c r="A4803" s="107">
        <f>IFERROR(__xludf.DUMMYFUNCTION("""COMPUTED_VALUE"""),45964.0)</f>
        <v>45964</v>
      </c>
      <c r="B4803" t="str">
        <f>IFERROR(__xludf.DUMMYFUNCTION("""COMPUTED_VALUE"""),"[行天宮夏野良栗] C [黃伊妍] 月租金 後五碼:26146 (行號: 29)")</f>
        <v>[行天宮夏野良栗] C [黃伊妍] 月租金 後五碼:26146 (行號: 29)</v>
      </c>
      <c r="C4803" t="str">
        <f>IFERROR(__xludf.DUMMYFUNCTION("""COMPUTED_VALUE"""),"收入 - 租金")</f>
        <v>收入 - 租金</v>
      </c>
      <c r="D4803" s="270">
        <f>IFERROR(__xludf.DUMMYFUNCTION("""COMPUTED_VALUE"""),11000.0)</f>
        <v>11000</v>
      </c>
      <c r="F4803" t="str">
        <f>IFERROR(__xludf.DUMMYFUNCTION("""COMPUTED_VALUE"""),"玉山帳戶")</f>
        <v>玉山帳戶</v>
      </c>
      <c r="G4803" t="str">
        <f>IFERROR(__xludf.DUMMYFUNCTION("""COMPUTED_VALUE"""),"行天宮夏野良栗")</f>
        <v>行天宮夏野良栗</v>
      </c>
      <c r="H4803" s="106" t="str">
        <f t="shared" si="1"/>
        <v>2025-11</v>
      </c>
      <c r="I4803" s="271" t="str">
        <f>IFERROR(__xludf.DUMMYFUNCTION("""COMPUTED_VALUE"""),"鯰魚大大")</f>
        <v>鯰魚大大</v>
      </c>
      <c r="J4803" t="str">
        <f>IFERROR(__xludf.DUMMYFUNCTION("IFS(
  AND(REGEXMATCH(E4803, ""台銀籌備帳戶|玉山帳戶""), REGEXMATCH(C4803, ""薪資"")), ""分潤支出"",
  AND(REGEXMATCH(E4803, ""Ben帳戶|Elsa帳戶|Ben代墊|Ariel代墊|中信銀行共用""), REGEXMATCH(F4803, ""Ben帳戶|Elsa帳戶|Ben代墊|Ariel代墊|中信銀行共用"")), ""內部轉帳(忽略)"",
  AND(E4803&lt;&gt;"""", F4803&lt;&gt;"""", N"&amp;"OT(REGEXMATCH(C4803, ""薪資""))), ""內部轉帳(忽略)"",
  REGEXMATCH(C4803, ""薪資""), ""薪資變動(不計入)"",
  REGEXMATCH(C4803, ""押金""), ""押金往來"",
  AND(E4803&lt;&gt;"""", F4803=""""), ""真實支出"",
  AND(E4803="""", F4803&lt;&gt;""""), ""真實收入"",
  TRUE, ""其他""
)"),"真實收入")</f>
        <v>真實收入</v>
      </c>
      <c r="K4803" s="270">
        <f t="shared" si="2"/>
        <v>11000</v>
      </c>
      <c r="L4803">
        <f t="shared" si="3"/>
        <v>0</v>
      </c>
    </row>
    <row r="4804">
      <c r="A4804" s="107">
        <f>IFERROR(__xludf.DUMMYFUNCTION("""COMPUTED_VALUE"""),45964.0)</f>
        <v>45964</v>
      </c>
      <c r="B4804" t="str">
        <f>IFERROR(__xludf.DUMMYFUNCTION("""COMPUTED_VALUE"""),"[內湖CityLink] B [蔡善安] 月租金 後五碼:63589 (行號: 2)")</f>
        <v>[內湖CityLink] B [蔡善安] 月租金 後五碼:63589 (行號: 2)</v>
      </c>
      <c r="C4804" t="str">
        <f>IFERROR(__xludf.DUMMYFUNCTION("""COMPUTED_VALUE"""),"收入 - 租金")</f>
        <v>收入 - 租金</v>
      </c>
      <c r="D4804" s="270">
        <f>IFERROR(__xludf.DUMMYFUNCTION("""COMPUTED_VALUE"""),12000.0)</f>
        <v>12000</v>
      </c>
      <c r="F4804" t="str">
        <f>IFERROR(__xludf.DUMMYFUNCTION("""COMPUTED_VALUE"""),"玉山帳戶")</f>
        <v>玉山帳戶</v>
      </c>
      <c r="G4804" t="str">
        <f>IFERROR(__xludf.DUMMYFUNCTION("""COMPUTED_VALUE"""),"內湖CityLink")</f>
        <v>內湖CityLink</v>
      </c>
      <c r="H4804" s="106" t="str">
        <f t="shared" si="1"/>
        <v>2025-11</v>
      </c>
      <c r="I4804" s="271" t="str">
        <f>IFERROR(__xludf.DUMMYFUNCTION("""COMPUTED_VALUE"""),"鯰魚大大")</f>
        <v>鯰魚大大</v>
      </c>
      <c r="J4804" t="str">
        <f>IFERROR(__xludf.DUMMYFUNCTION("IFS(
  AND(REGEXMATCH(E4804, ""台銀籌備帳戶|玉山帳戶""), REGEXMATCH(C4804, ""薪資"")), ""分潤支出"",
  AND(REGEXMATCH(E4804, ""Ben帳戶|Elsa帳戶|Ben代墊|Ariel代墊|中信銀行共用""), REGEXMATCH(F4804, ""Ben帳戶|Elsa帳戶|Ben代墊|Ariel代墊|中信銀行共用"")), ""內部轉帳(忽略)"",
  AND(E4804&lt;&gt;"""", F4804&lt;&gt;"""", N"&amp;"OT(REGEXMATCH(C4804, ""薪資""))), ""內部轉帳(忽略)"",
  REGEXMATCH(C4804, ""薪資""), ""薪資變動(不計入)"",
  REGEXMATCH(C4804, ""押金""), ""押金往來"",
  AND(E4804&lt;&gt;"""", F4804=""""), ""真實支出"",
  AND(E4804="""", F4804&lt;&gt;""""), ""真實收入"",
  TRUE, ""其他""
)"),"真實收入")</f>
        <v>真實收入</v>
      </c>
      <c r="K4804" s="270">
        <f t="shared" si="2"/>
        <v>12000</v>
      </c>
      <c r="L4804">
        <f t="shared" si="3"/>
        <v>0</v>
      </c>
    </row>
    <row r="4805">
      <c r="A4805" s="107">
        <f>IFERROR(__xludf.DUMMYFUNCTION("""COMPUTED_VALUE"""),45964.0)</f>
        <v>45964</v>
      </c>
      <c r="B4805" t="str">
        <f>IFERROR(__xludf.DUMMYFUNCTION("""COMPUTED_VALUE"""),"[內湖秘境] E [林芷妤] 月租金 後五碼:52052 (行號: 3)")</f>
        <v>[內湖秘境] E [林芷妤] 月租金 後五碼:52052 (行號: 3)</v>
      </c>
      <c r="C4805" t="str">
        <f>IFERROR(__xludf.DUMMYFUNCTION("""COMPUTED_VALUE"""),"收入 - 租金")</f>
        <v>收入 - 租金</v>
      </c>
      <c r="D4805" s="270">
        <f>IFERROR(__xludf.DUMMYFUNCTION("""COMPUTED_VALUE"""),13600.0)</f>
        <v>13600</v>
      </c>
      <c r="F4805" t="str">
        <f>IFERROR(__xludf.DUMMYFUNCTION("""COMPUTED_VALUE"""),"玉山帳戶")</f>
        <v>玉山帳戶</v>
      </c>
      <c r="G4805" t="str">
        <f>IFERROR(__xludf.DUMMYFUNCTION("""COMPUTED_VALUE"""),"內湖秘境")</f>
        <v>內湖秘境</v>
      </c>
      <c r="H4805" s="106" t="str">
        <f t="shared" si="1"/>
        <v>2025-11</v>
      </c>
      <c r="I4805" s="271" t="str">
        <f>IFERROR(__xludf.DUMMYFUNCTION("""COMPUTED_VALUE"""),"鯰魚大大")</f>
        <v>鯰魚大大</v>
      </c>
      <c r="J4805" t="str">
        <f>IFERROR(__xludf.DUMMYFUNCTION("IFS(
  AND(REGEXMATCH(E4805, ""台銀籌備帳戶|玉山帳戶""), REGEXMATCH(C4805, ""薪資"")), ""分潤支出"",
  AND(REGEXMATCH(E4805, ""Ben帳戶|Elsa帳戶|Ben代墊|Ariel代墊|中信銀行共用""), REGEXMATCH(F4805, ""Ben帳戶|Elsa帳戶|Ben代墊|Ariel代墊|中信銀行共用"")), ""內部轉帳(忽略)"",
  AND(E4805&lt;&gt;"""", F4805&lt;&gt;"""", N"&amp;"OT(REGEXMATCH(C4805, ""薪資""))), ""內部轉帳(忽略)"",
  REGEXMATCH(C4805, ""薪資""), ""薪資變動(不計入)"",
  REGEXMATCH(C4805, ""押金""), ""押金往來"",
  AND(E4805&lt;&gt;"""", F4805=""""), ""真實支出"",
  AND(E4805="""", F4805&lt;&gt;""""), ""真實收入"",
  TRUE, ""其他""
)"),"真實收入")</f>
        <v>真實收入</v>
      </c>
      <c r="K4805" s="270">
        <f t="shared" si="2"/>
        <v>13600</v>
      </c>
      <c r="L4805">
        <f t="shared" si="3"/>
        <v>0</v>
      </c>
    </row>
    <row r="4806">
      <c r="A4806" s="107">
        <f>IFERROR(__xludf.DUMMYFUNCTION("""COMPUTED_VALUE"""),45964.0)</f>
        <v>45964</v>
      </c>
      <c r="B4806" t="str">
        <f>IFERROR(__xludf.DUMMYFUNCTION("""COMPUTED_VALUE"""),"[行天宮夏野良栗] E [張宏祺, 謝宗穎] 月租金 後五碼:12345 (行號: 4)")</f>
        <v>[行天宮夏野良栗] E [張宏祺, 謝宗穎] 月租金 後五碼:12345 (行號: 4)</v>
      </c>
      <c r="C4806" t="str">
        <f>IFERROR(__xludf.DUMMYFUNCTION("""COMPUTED_VALUE"""),"收入 - 租金")</f>
        <v>收入 - 租金</v>
      </c>
      <c r="D4806" s="270">
        <f>IFERROR(__xludf.DUMMYFUNCTION("""COMPUTED_VALUE"""),31800.0)</f>
        <v>31800</v>
      </c>
      <c r="F4806" t="str">
        <f>IFERROR(__xludf.DUMMYFUNCTION("""COMPUTED_VALUE"""),"玉山帳戶")</f>
        <v>玉山帳戶</v>
      </c>
      <c r="G4806" t="str">
        <f>IFERROR(__xludf.DUMMYFUNCTION("""COMPUTED_VALUE"""),"行天宮夏野良栗")</f>
        <v>行天宮夏野良栗</v>
      </c>
      <c r="H4806" s="106" t="str">
        <f t="shared" si="1"/>
        <v>2025-11</v>
      </c>
      <c r="I4806" s="271" t="str">
        <f>IFERROR(__xludf.DUMMYFUNCTION("""COMPUTED_VALUE"""),"鯰魚大大")</f>
        <v>鯰魚大大</v>
      </c>
      <c r="J4806" t="str">
        <f>IFERROR(__xludf.DUMMYFUNCTION("IFS(
  AND(REGEXMATCH(E4806, ""台銀籌備帳戶|玉山帳戶""), REGEXMATCH(C4806, ""薪資"")), ""分潤支出"",
  AND(REGEXMATCH(E4806, ""Ben帳戶|Elsa帳戶|Ben代墊|Ariel代墊|中信銀行共用""), REGEXMATCH(F4806, ""Ben帳戶|Elsa帳戶|Ben代墊|Ariel代墊|中信銀行共用"")), ""內部轉帳(忽略)"",
  AND(E4806&lt;&gt;"""", F4806&lt;&gt;"""", N"&amp;"OT(REGEXMATCH(C4806, ""薪資""))), ""內部轉帳(忽略)"",
  REGEXMATCH(C4806, ""薪資""), ""薪資變動(不計入)"",
  REGEXMATCH(C4806, ""押金""), ""押金往來"",
  AND(E4806&lt;&gt;"""", F4806=""""), ""真實支出"",
  AND(E4806="""", F4806&lt;&gt;""""), ""真實收入"",
  TRUE, ""其他""
)"),"真實收入")</f>
        <v>真實收入</v>
      </c>
      <c r="K4806" s="270">
        <f t="shared" si="2"/>
        <v>31800</v>
      </c>
      <c r="L4806">
        <f t="shared" si="3"/>
        <v>0</v>
      </c>
    </row>
    <row r="4807">
      <c r="A4807" s="107">
        <f>IFERROR(__xludf.DUMMYFUNCTION("""COMPUTED_VALUE"""),45966.0)</f>
        <v>45966</v>
      </c>
      <c r="B4807" t="str">
        <f>IFERROR(__xludf.DUMMYFUNCTION("""COMPUTED_VALUE"""),"費用 - 匯費 對方行:822 後五碼:33337 (行號: 5)")</f>
        <v>費用 - 匯費 對方行:822 後五碼:33337 (行號: 5)</v>
      </c>
      <c r="C4807" t="str">
        <f>IFERROR(__xludf.DUMMYFUNCTION("""COMPUTED_VALUE"""),"費用 - 匯費")</f>
        <v>費用 - 匯費</v>
      </c>
      <c r="D4807" s="270">
        <f>IFERROR(__xludf.DUMMYFUNCTION("""COMPUTED_VALUE"""),-15.0)</f>
        <v>-15</v>
      </c>
      <c r="E4807" t="str">
        <f>IFERROR(__xludf.DUMMYFUNCTION("""COMPUTED_VALUE"""),"玉山帳戶")</f>
        <v>玉山帳戶</v>
      </c>
      <c r="H4807" s="106" t="str">
        <f t="shared" si="1"/>
        <v>2025-11</v>
      </c>
      <c r="I4807" s="271" t="str">
        <f>IFERROR(__xludf.DUMMYFUNCTION("""COMPUTED_VALUE"""),"鯰魚大大")</f>
        <v>鯰魚大大</v>
      </c>
      <c r="J4807" t="str">
        <f>IFERROR(__xludf.DUMMYFUNCTION("IFS(
  AND(REGEXMATCH(E4807, ""台銀籌備帳戶|玉山帳戶""), REGEXMATCH(C4807, ""薪資"")), ""分潤支出"",
  AND(REGEXMATCH(E4807, ""Ben帳戶|Elsa帳戶|Ben代墊|Ariel代墊|中信銀行共用""), REGEXMATCH(F4807, ""Ben帳戶|Elsa帳戶|Ben代墊|Ariel代墊|中信銀行共用"")), ""內部轉帳(忽略)"",
  AND(E4807&lt;&gt;"""", F4807&lt;&gt;"""", N"&amp;"OT(REGEXMATCH(C4807, ""薪資""))), ""內部轉帳(忽略)"",
  REGEXMATCH(C4807, ""薪資""), ""薪資變動(不計入)"",
  REGEXMATCH(C4807, ""押金""), ""押金往來"",
  AND(E4807&lt;&gt;"""", F4807=""""), ""真實支出"",
  AND(E4807="""", F4807&lt;&gt;""""), ""真實收入"",
  TRUE, ""其他""
)"),"真實支出")</f>
        <v>真實支出</v>
      </c>
      <c r="K4807" s="270">
        <f t="shared" si="2"/>
        <v>-15</v>
      </c>
      <c r="L4807">
        <f t="shared" si="3"/>
        <v>0</v>
      </c>
    </row>
    <row r="4808">
      <c r="A4808" s="107">
        <f>IFERROR(__xludf.DUMMYFUNCTION("""COMPUTED_VALUE"""),45966.0)</f>
        <v>45966</v>
      </c>
      <c r="B4808" t="str">
        <f>IFERROR(__xludf.DUMMYFUNCTION("""COMPUTED_VALUE"""),"代墊款 【未分類支出】")</f>
        <v>代墊款 【未分類支出】</v>
      </c>
      <c r="C4808" t="str">
        <f>IFERROR(__xludf.DUMMYFUNCTION("""COMPUTED_VALUE"""),"費用 - Salary 薪資")</f>
        <v>費用 - Salary 薪資</v>
      </c>
      <c r="D4808" s="270">
        <f>IFERROR(__xludf.DUMMYFUNCTION("""COMPUTED_VALUE"""),-100000.0)</f>
        <v>-100000</v>
      </c>
      <c r="E4808" t="str">
        <f>IFERROR(__xludf.DUMMYFUNCTION("""COMPUTED_VALUE"""),"玉山帳戶")</f>
        <v>玉山帳戶</v>
      </c>
      <c r="F4808" t="str">
        <f>IFERROR(__xludf.DUMMYFUNCTION("""COMPUTED_VALUE"""),"中信銀行共用")</f>
        <v>中信銀行共用</v>
      </c>
      <c r="H4808" s="106" t="str">
        <f t="shared" si="1"/>
        <v>2025-11</v>
      </c>
      <c r="I4808" s="271" t="str">
        <f>IFERROR(__xludf.DUMMYFUNCTION("""COMPUTED_VALUE"""),"鯰魚大大")</f>
        <v>鯰魚大大</v>
      </c>
      <c r="J4808" t="str">
        <f>IFERROR(__xludf.DUMMYFUNCTION("IFS(
  AND(REGEXMATCH(E4808, ""台銀籌備帳戶|玉山帳戶""), REGEXMATCH(C4808, ""薪資"")), ""分潤支出"",
  AND(REGEXMATCH(E4808, ""Ben帳戶|Elsa帳戶|Ben代墊|Ariel代墊|中信銀行共用""), REGEXMATCH(F4808, ""Ben帳戶|Elsa帳戶|Ben代墊|Ariel代墊|中信銀行共用"")), ""內部轉帳(忽略)"",
  AND(E4808&lt;&gt;"""", F4808&lt;&gt;"""", N"&amp;"OT(REGEXMATCH(C4808, ""薪資""))), ""內部轉帳(忽略)"",
  REGEXMATCH(C4808, ""薪資""), ""薪資變動(不計入)"",
  REGEXMATCH(C4808, ""押金""), ""押金往來"",
  AND(E4808&lt;&gt;"""", F4808=""""), ""真實支出"",
  AND(E4808="""", F4808&lt;&gt;""""), ""真實收入"",
  TRUE, ""其他""
)"),"分潤支出")</f>
        <v>分潤支出</v>
      </c>
      <c r="K4808">
        <f t="shared" si="2"/>
        <v>0</v>
      </c>
      <c r="L4808">
        <f t="shared" si="3"/>
        <v>100000</v>
      </c>
    </row>
    <row r="4809">
      <c r="A4809" s="107">
        <f>IFERROR(__xludf.DUMMYFUNCTION("""COMPUTED_VALUE"""),45978.0)</f>
        <v>45978</v>
      </c>
      <c r="B4809" t="str">
        <f>IFERROR(__xludf.DUMMYFUNCTION("""COMPUTED_VALUE"""),"費用 - 匯費 對方行:013 後五碼:78744 (行號: 2)")</f>
        <v>費用 - 匯費 對方行:013 後五碼:78744 (行號: 2)</v>
      </c>
      <c r="C4809" t="str">
        <f>IFERROR(__xludf.DUMMYFUNCTION("""COMPUTED_VALUE"""),"費用 - 匯費")</f>
        <v>費用 - 匯費</v>
      </c>
      <c r="D4809" s="270">
        <f>IFERROR(__xludf.DUMMYFUNCTION("""COMPUTED_VALUE"""),-15.0)</f>
        <v>-15</v>
      </c>
      <c r="E4809" t="str">
        <f>IFERROR(__xludf.DUMMYFUNCTION("""COMPUTED_VALUE"""),"玉山帳戶")</f>
        <v>玉山帳戶</v>
      </c>
      <c r="H4809" s="106" t="str">
        <f t="shared" si="1"/>
        <v>2025-11</v>
      </c>
      <c r="I4809" s="271" t="str">
        <f>IFERROR(__xludf.DUMMYFUNCTION("""COMPUTED_VALUE"""),"鯰魚大大")</f>
        <v>鯰魚大大</v>
      </c>
      <c r="J4809" t="str">
        <f>IFERROR(__xludf.DUMMYFUNCTION("IFS(
  AND(REGEXMATCH(E4809, ""台銀籌備帳戶|玉山帳戶""), REGEXMATCH(C4809, ""薪資"")), ""分潤支出"",
  AND(REGEXMATCH(E4809, ""Ben帳戶|Elsa帳戶|Ben代墊|Ariel代墊|中信銀行共用""), REGEXMATCH(F4809, ""Ben帳戶|Elsa帳戶|Ben代墊|Ariel代墊|中信銀行共用"")), ""內部轉帳(忽略)"",
  AND(E4809&lt;&gt;"""", F4809&lt;&gt;"""", N"&amp;"OT(REGEXMATCH(C4809, ""薪資""))), ""內部轉帳(忽略)"",
  REGEXMATCH(C4809, ""薪資""), ""薪資變動(不計入)"",
  REGEXMATCH(C4809, ""押金""), ""押金往來"",
  AND(E4809&lt;&gt;"""", F4809=""""), ""真實支出"",
  AND(E4809="""", F4809&lt;&gt;""""), ""真實收入"",
  TRUE, ""其他""
)"),"真實支出")</f>
        <v>真實支出</v>
      </c>
      <c r="K4809" s="270">
        <f t="shared" si="2"/>
        <v>-15</v>
      </c>
      <c r="L4809">
        <f t="shared" si="3"/>
        <v>0</v>
      </c>
    </row>
    <row r="4810">
      <c r="A4810" s="107">
        <f>IFERROR(__xludf.DUMMYFUNCTION("""COMPUTED_VALUE"""),45978.0)</f>
        <v>45978</v>
      </c>
      <c r="B4810" t="str">
        <f>IFERROR(__xludf.DUMMYFUNCTION("""COMPUTED_VALUE"""),"[士林和豐] [楊政偉] 大租金")</f>
        <v>[士林和豐] [楊政偉] 大租金</v>
      </c>
      <c r="C4810" t="str">
        <f>IFERROR(__xludf.DUMMYFUNCTION("""COMPUTED_VALUE"""),"成本 - 大租金")</f>
        <v>成本 - 大租金</v>
      </c>
      <c r="D4810" s="270">
        <f>IFERROR(__xludf.DUMMYFUNCTION("""COMPUTED_VALUE"""),-14400.0)</f>
        <v>-14400</v>
      </c>
      <c r="E4810" t="str">
        <f>IFERROR(__xludf.DUMMYFUNCTION("""COMPUTED_VALUE"""),"玉山帳戶")</f>
        <v>玉山帳戶</v>
      </c>
      <c r="G4810" t="str">
        <f>IFERROR(__xludf.DUMMYFUNCTION("""COMPUTED_VALUE"""),"士林和豐")</f>
        <v>士林和豐</v>
      </c>
      <c r="H4810" s="106" t="str">
        <f t="shared" si="1"/>
        <v>2025-11</v>
      </c>
      <c r="I4810" s="271" t="str">
        <f>IFERROR(__xludf.DUMMYFUNCTION("""COMPUTED_VALUE"""),"鯰魚大大")</f>
        <v>鯰魚大大</v>
      </c>
      <c r="J4810" t="str">
        <f>IFERROR(__xludf.DUMMYFUNCTION("IFS(
  AND(REGEXMATCH(E4810, ""台銀籌備帳戶|玉山帳戶""), REGEXMATCH(C4810, ""薪資"")), ""分潤支出"",
  AND(REGEXMATCH(E4810, ""Ben帳戶|Elsa帳戶|Ben代墊|Ariel代墊|中信銀行共用""), REGEXMATCH(F4810, ""Ben帳戶|Elsa帳戶|Ben代墊|Ariel代墊|中信銀行共用"")), ""內部轉帳(忽略)"",
  AND(E4810&lt;&gt;"""", F4810&lt;&gt;"""", N"&amp;"OT(REGEXMATCH(C4810, ""薪資""))), ""內部轉帳(忽略)"",
  REGEXMATCH(C4810, ""薪資""), ""薪資變動(不計入)"",
  REGEXMATCH(C4810, ""押金""), ""押金往來"",
  AND(E4810&lt;&gt;"""", F4810=""""), ""真實支出"",
  AND(E4810="""", F4810&lt;&gt;""""), ""真實收入"",
  TRUE, ""其他""
)"),"真實支出")</f>
        <v>真實支出</v>
      </c>
      <c r="K4810" s="270">
        <f t="shared" si="2"/>
        <v>-14400</v>
      </c>
      <c r="L4810">
        <f t="shared" si="3"/>
        <v>0</v>
      </c>
    </row>
    <row r="4811">
      <c r="A4811" s="107">
        <f>IFERROR(__xludf.DUMMYFUNCTION("""COMPUTED_VALUE"""),45978.0)</f>
        <v>45978</v>
      </c>
      <c r="B4811" t="str">
        <f>IFERROR(__xludf.DUMMYFUNCTION("""COMPUTED_VALUE"""),"費用 - 匯費 對方行:012 後五碼:68447 (行號: 3)")</f>
        <v>費用 - 匯費 對方行:012 後五碼:68447 (行號: 3)</v>
      </c>
      <c r="C4811" t="str">
        <f>IFERROR(__xludf.DUMMYFUNCTION("""COMPUTED_VALUE"""),"費用 - 匯費")</f>
        <v>費用 - 匯費</v>
      </c>
      <c r="D4811" s="270">
        <f>IFERROR(__xludf.DUMMYFUNCTION("""COMPUTED_VALUE"""),-15.0)</f>
        <v>-15</v>
      </c>
      <c r="E4811" t="str">
        <f>IFERROR(__xludf.DUMMYFUNCTION("""COMPUTED_VALUE"""),"玉山帳戶")</f>
        <v>玉山帳戶</v>
      </c>
      <c r="H4811" s="106" t="str">
        <f t="shared" si="1"/>
        <v>2025-11</v>
      </c>
      <c r="I4811" s="271" t="str">
        <f>IFERROR(__xludf.DUMMYFUNCTION("""COMPUTED_VALUE"""),"鯰魚大大")</f>
        <v>鯰魚大大</v>
      </c>
      <c r="J4811" t="str">
        <f>IFERROR(__xludf.DUMMYFUNCTION("IFS(
  AND(REGEXMATCH(E4811, ""台銀籌備帳戶|玉山帳戶""), REGEXMATCH(C4811, ""薪資"")), ""分潤支出"",
  AND(REGEXMATCH(E4811, ""Ben帳戶|Elsa帳戶|Ben代墊|Ariel代墊|中信銀行共用""), REGEXMATCH(F4811, ""Ben帳戶|Elsa帳戶|Ben代墊|Ariel代墊|中信銀行共用"")), ""內部轉帳(忽略)"",
  AND(E4811&lt;&gt;"""", F4811&lt;&gt;"""", N"&amp;"OT(REGEXMATCH(C4811, ""薪資""))), ""內部轉帳(忽略)"",
  REGEXMATCH(C4811, ""薪資""), ""薪資變動(不計入)"",
  REGEXMATCH(C4811, ""押金""), ""押金往來"",
  AND(E4811&lt;&gt;"""", F4811=""""), ""真實支出"",
  AND(E4811="""", F4811&lt;&gt;""""), ""真實收入"",
  TRUE, ""其他""
)"),"真實支出")</f>
        <v>真實支出</v>
      </c>
      <c r="K4811" s="270">
        <f t="shared" si="2"/>
        <v>-15</v>
      </c>
      <c r="L4811">
        <f t="shared" si="3"/>
        <v>0</v>
      </c>
    </row>
    <row r="4812">
      <c r="A4812" s="107">
        <f>IFERROR(__xludf.DUMMYFUNCTION("""COMPUTED_VALUE"""),45978.0)</f>
        <v>45978</v>
      </c>
      <c r="B4812" t="str">
        <f>IFERROR(__xludf.DUMMYFUNCTION("""COMPUTED_VALUE"""),"[行天宮夏野良栗] [沈蕙萱] 大租金")</f>
        <v>[行天宮夏野良栗] [沈蕙萱] 大租金</v>
      </c>
      <c r="C4812" t="str">
        <f>IFERROR(__xludf.DUMMYFUNCTION("""COMPUTED_VALUE"""),"成本 - 大租金")</f>
        <v>成本 - 大租金</v>
      </c>
      <c r="D4812" s="270">
        <f>IFERROR(__xludf.DUMMYFUNCTION("""COMPUTED_VALUE"""),-19900.0)</f>
        <v>-19900</v>
      </c>
      <c r="E4812" t="str">
        <f>IFERROR(__xludf.DUMMYFUNCTION("""COMPUTED_VALUE"""),"玉山帳戶")</f>
        <v>玉山帳戶</v>
      </c>
      <c r="G4812" t="str">
        <f>IFERROR(__xludf.DUMMYFUNCTION("""COMPUTED_VALUE"""),"行天宮夏野良栗")</f>
        <v>行天宮夏野良栗</v>
      </c>
      <c r="H4812" s="106" t="str">
        <f t="shared" si="1"/>
        <v>2025-11</v>
      </c>
      <c r="I4812" s="271" t="str">
        <f>IFERROR(__xludf.DUMMYFUNCTION("""COMPUTED_VALUE"""),"鯰魚大大")</f>
        <v>鯰魚大大</v>
      </c>
      <c r="J4812" t="str">
        <f>IFERROR(__xludf.DUMMYFUNCTION("IFS(
  AND(REGEXMATCH(E4812, ""台銀籌備帳戶|玉山帳戶""), REGEXMATCH(C4812, ""薪資"")), ""分潤支出"",
  AND(REGEXMATCH(E4812, ""Ben帳戶|Elsa帳戶|Ben代墊|Ariel代墊|中信銀行共用""), REGEXMATCH(F4812, ""Ben帳戶|Elsa帳戶|Ben代墊|Ariel代墊|中信銀行共用"")), ""內部轉帳(忽略)"",
  AND(E4812&lt;&gt;"""", F4812&lt;&gt;"""", N"&amp;"OT(REGEXMATCH(C4812, ""薪資""))), ""內部轉帳(忽略)"",
  REGEXMATCH(C4812, ""薪資""), ""薪資變動(不計入)"",
  REGEXMATCH(C4812, ""押金""), ""押金往來"",
  AND(E4812&lt;&gt;"""", F4812=""""), ""真實支出"",
  AND(E4812="""", F4812&lt;&gt;""""), ""真實收入"",
  TRUE, ""其他""
)"),"真實支出")</f>
        <v>真實支出</v>
      </c>
      <c r="K4812" s="270">
        <f t="shared" si="2"/>
        <v>-19900</v>
      </c>
      <c r="L4812">
        <f t="shared" si="3"/>
        <v>0</v>
      </c>
    </row>
    <row r="4813">
      <c r="A4813" s="107">
        <f>IFERROR(__xludf.DUMMYFUNCTION("""COMPUTED_VALUE"""),45978.0)</f>
        <v>45978</v>
      </c>
      <c r="B4813" t="str">
        <f>IFERROR(__xludf.DUMMYFUNCTION("""COMPUTED_VALUE"""),"費用 - 匯費 對方行:806 後五碼:26435 (行號: 4)")</f>
        <v>費用 - 匯費 對方行:806 後五碼:26435 (行號: 4)</v>
      </c>
      <c r="C4813" t="str">
        <f>IFERROR(__xludf.DUMMYFUNCTION("""COMPUTED_VALUE"""),"費用 - 匯費")</f>
        <v>費用 - 匯費</v>
      </c>
      <c r="D4813" s="270">
        <f>IFERROR(__xludf.DUMMYFUNCTION("""COMPUTED_VALUE"""),-15.0)</f>
        <v>-15</v>
      </c>
      <c r="E4813" t="str">
        <f>IFERROR(__xludf.DUMMYFUNCTION("""COMPUTED_VALUE"""),"玉山帳戶")</f>
        <v>玉山帳戶</v>
      </c>
      <c r="H4813" s="106" t="str">
        <f t="shared" si="1"/>
        <v>2025-11</v>
      </c>
      <c r="I4813" s="271" t="str">
        <f>IFERROR(__xludf.DUMMYFUNCTION("""COMPUTED_VALUE"""),"鯰魚大大")</f>
        <v>鯰魚大大</v>
      </c>
      <c r="J4813" t="str">
        <f>IFERROR(__xludf.DUMMYFUNCTION("IFS(
  AND(REGEXMATCH(E4813, ""台銀籌備帳戶|玉山帳戶""), REGEXMATCH(C4813, ""薪資"")), ""分潤支出"",
  AND(REGEXMATCH(E4813, ""Ben帳戶|Elsa帳戶|Ben代墊|Ariel代墊|中信銀行共用""), REGEXMATCH(F4813, ""Ben帳戶|Elsa帳戶|Ben代墊|Ariel代墊|中信銀行共用"")), ""內部轉帳(忽略)"",
  AND(E4813&lt;&gt;"""", F4813&lt;&gt;"""", N"&amp;"OT(REGEXMATCH(C4813, ""薪資""))), ""內部轉帳(忽略)"",
  REGEXMATCH(C4813, ""薪資""), ""薪資變動(不計入)"",
  REGEXMATCH(C4813, ""押金""), ""押金往來"",
  AND(E4813&lt;&gt;"""", F4813=""""), ""真實支出"",
  AND(E4813="""", F4813&lt;&gt;""""), ""真實收入"",
  TRUE, ""其他""
)"),"真實支出")</f>
        <v>真實支出</v>
      </c>
      <c r="K4813" s="270">
        <f t="shared" si="2"/>
        <v>-15</v>
      </c>
      <c r="L4813">
        <f t="shared" si="3"/>
        <v>0</v>
      </c>
    </row>
    <row r="4814">
      <c r="A4814" s="107">
        <f>IFERROR(__xludf.DUMMYFUNCTION("""COMPUTED_VALUE"""),45978.0)</f>
        <v>45978</v>
      </c>
      <c r="B4814" t="str">
        <f>IFERROR(__xludf.DUMMYFUNCTION("""COMPUTED_VALUE"""),"[內湖CityLink] [周佳慧] 大租金")</f>
        <v>[內湖CityLink] [周佳慧] 大租金</v>
      </c>
      <c r="C4814" t="str">
        <f>IFERROR(__xludf.DUMMYFUNCTION("""COMPUTED_VALUE"""),"成本 - 大租金")</f>
        <v>成本 - 大租金</v>
      </c>
      <c r="D4814" s="270">
        <f>IFERROR(__xludf.DUMMYFUNCTION("""COMPUTED_VALUE"""),-16500.0)</f>
        <v>-16500</v>
      </c>
      <c r="E4814" t="str">
        <f>IFERROR(__xludf.DUMMYFUNCTION("""COMPUTED_VALUE"""),"玉山帳戶")</f>
        <v>玉山帳戶</v>
      </c>
      <c r="G4814" t="str">
        <f>IFERROR(__xludf.DUMMYFUNCTION("""COMPUTED_VALUE"""),"內湖CityLink")</f>
        <v>內湖CityLink</v>
      </c>
      <c r="H4814" s="106" t="str">
        <f t="shared" si="1"/>
        <v>2025-11</v>
      </c>
      <c r="I4814" s="271" t="str">
        <f>IFERROR(__xludf.DUMMYFUNCTION("""COMPUTED_VALUE"""),"鯰魚大大")</f>
        <v>鯰魚大大</v>
      </c>
      <c r="J4814" t="str">
        <f>IFERROR(__xludf.DUMMYFUNCTION("IFS(
  AND(REGEXMATCH(E4814, ""台銀籌備帳戶|玉山帳戶""), REGEXMATCH(C4814, ""薪資"")), ""分潤支出"",
  AND(REGEXMATCH(E4814, ""Ben帳戶|Elsa帳戶|Ben代墊|Ariel代墊|中信銀行共用""), REGEXMATCH(F4814, ""Ben帳戶|Elsa帳戶|Ben代墊|Ariel代墊|中信銀行共用"")), ""內部轉帳(忽略)"",
  AND(E4814&lt;&gt;"""", F4814&lt;&gt;"""", N"&amp;"OT(REGEXMATCH(C4814, ""薪資""))), ""內部轉帳(忽略)"",
  REGEXMATCH(C4814, ""薪資""), ""薪資變動(不計入)"",
  REGEXMATCH(C4814, ""押金""), ""押金往來"",
  AND(E4814&lt;&gt;"""", F4814=""""), ""真實支出"",
  AND(E4814="""", F4814&lt;&gt;""""), ""真實收入"",
  TRUE, ""其他""
)"),"真實支出")</f>
        <v>真實支出</v>
      </c>
      <c r="K4814" s="270">
        <f t="shared" si="2"/>
        <v>-16500</v>
      </c>
      <c r="L4814">
        <f t="shared" si="3"/>
        <v>0</v>
      </c>
    </row>
    <row r="4815">
      <c r="A4815" s="107">
        <f>IFERROR(__xludf.DUMMYFUNCTION("""COMPUTED_VALUE"""),45981.0)</f>
        <v>45981</v>
      </c>
      <c r="B4815" t="str">
        <f>IFERROR(__xludf.DUMMYFUNCTION("""COMPUTED_VALUE"""),"[士林和豐] C [敖啟恒] 月租金 後五碼:16111 (行號: 5)")</f>
        <v>[士林和豐] C [敖啟恒] 月租金 後五碼:16111 (行號: 5)</v>
      </c>
      <c r="C4815" t="str">
        <f>IFERROR(__xludf.DUMMYFUNCTION("""COMPUTED_VALUE"""),"收入 - 租金")</f>
        <v>收入 - 租金</v>
      </c>
      <c r="D4815" s="270">
        <f>IFERROR(__xludf.DUMMYFUNCTION("""COMPUTED_VALUE"""),13000.0)</f>
        <v>13000</v>
      </c>
      <c r="F4815" t="str">
        <f>IFERROR(__xludf.DUMMYFUNCTION("""COMPUTED_VALUE"""),"玉山帳戶")</f>
        <v>玉山帳戶</v>
      </c>
      <c r="G4815" t="str">
        <f>IFERROR(__xludf.DUMMYFUNCTION("""COMPUTED_VALUE"""),"士林和豐")</f>
        <v>士林和豐</v>
      </c>
      <c r="H4815" s="106" t="str">
        <f t="shared" si="1"/>
        <v>2025-11</v>
      </c>
      <c r="I4815" s="271" t="str">
        <f>IFERROR(__xludf.DUMMYFUNCTION("""COMPUTED_VALUE"""),"鯰魚大大")</f>
        <v>鯰魚大大</v>
      </c>
      <c r="J4815" t="str">
        <f>IFERROR(__xludf.DUMMYFUNCTION("IFS(
  AND(REGEXMATCH(E4815, ""台銀籌備帳戶|玉山帳戶""), REGEXMATCH(C4815, ""薪資"")), ""分潤支出"",
  AND(REGEXMATCH(E4815, ""Ben帳戶|Elsa帳戶|Ben代墊|Ariel代墊|中信銀行共用""), REGEXMATCH(F4815, ""Ben帳戶|Elsa帳戶|Ben代墊|Ariel代墊|中信銀行共用"")), ""內部轉帳(忽略)"",
  AND(E4815&lt;&gt;"""", F4815&lt;&gt;"""", N"&amp;"OT(REGEXMATCH(C4815, ""薪資""))), ""內部轉帳(忽略)"",
  REGEXMATCH(C4815, ""薪資""), ""薪資變動(不計入)"",
  REGEXMATCH(C4815, ""押金""), ""押金往來"",
  AND(E4815&lt;&gt;"""", F4815=""""), ""真實支出"",
  AND(E4815="""", F4815&lt;&gt;""""), ""真實收入"",
  TRUE, ""其他""
)"),"真實收入")</f>
        <v>真實收入</v>
      </c>
      <c r="K4815" s="270">
        <f t="shared" si="2"/>
        <v>13000</v>
      </c>
      <c r="L4815">
        <f t="shared" si="3"/>
        <v>0</v>
      </c>
    </row>
    <row r="4816">
      <c r="A4816" s="107">
        <f>IFERROR(__xludf.DUMMYFUNCTION("""COMPUTED_VALUE"""),45986.0)</f>
        <v>45986</v>
      </c>
      <c r="B4816" t="str">
        <f>IFERROR(__xludf.DUMMYFUNCTION("""COMPUTED_VALUE"""),"小宜")</f>
        <v>小宜</v>
      </c>
      <c r="C4816" t="str">
        <f>IFERROR(__xludf.DUMMYFUNCTION("""COMPUTED_VALUE"""),"收入 - 租金")</f>
        <v>收入 - 租金</v>
      </c>
      <c r="D4816" s="270">
        <f>IFERROR(__xludf.DUMMYFUNCTION("""COMPUTED_VALUE"""),11400.0)</f>
        <v>11400</v>
      </c>
      <c r="F4816" t="str">
        <f>IFERROR(__xludf.DUMMYFUNCTION("""COMPUTED_VALUE"""),"玉山帳戶")</f>
        <v>玉山帳戶</v>
      </c>
      <c r="G4816" t="str">
        <f>IFERROR(__xludf.DUMMYFUNCTION("""COMPUTED_VALUE"""),"士林和豐")</f>
        <v>士林和豐</v>
      </c>
      <c r="H4816" s="106" t="str">
        <f t="shared" si="1"/>
        <v>2025-11</v>
      </c>
      <c r="I4816" s="271" t="str">
        <f>IFERROR(__xludf.DUMMYFUNCTION("""COMPUTED_VALUE"""),"鯰魚大大")</f>
        <v>鯰魚大大</v>
      </c>
      <c r="J4816" t="str">
        <f>IFERROR(__xludf.DUMMYFUNCTION("IFS(
  AND(REGEXMATCH(E4816, ""台銀籌備帳戶|玉山帳戶""), REGEXMATCH(C4816, ""薪資"")), ""分潤支出"",
  AND(REGEXMATCH(E4816, ""Ben帳戶|Elsa帳戶|Ben代墊|Ariel代墊|中信銀行共用""), REGEXMATCH(F4816, ""Ben帳戶|Elsa帳戶|Ben代墊|Ariel代墊|中信銀行共用"")), ""內部轉帳(忽略)"",
  AND(E4816&lt;&gt;"""", F4816&lt;&gt;"""", N"&amp;"OT(REGEXMATCH(C4816, ""薪資""))), ""內部轉帳(忽略)"",
  REGEXMATCH(C4816, ""薪資""), ""薪資變動(不計入)"",
  REGEXMATCH(C4816, ""押金""), ""押金往來"",
  AND(E4816&lt;&gt;"""", F4816=""""), ""真實支出"",
  AND(E4816="""", F4816&lt;&gt;""""), ""真實收入"",
  TRUE, ""其他""
)"),"真實收入")</f>
        <v>真實收入</v>
      </c>
      <c r="K4816" s="270">
        <f t="shared" si="2"/>
        <v>11400</v>
      </c>
      <c r="L4816">
        <f t="shared" si="3"/>
        <v>0</v>
      </c>
    </row>
    <row r="4817">
      <c r="A4817" s="107">
        <f>IFERROR(__xludf.DUMMYFUNCTION("""COMPUTED_VALUE"""),45989.0)</f>
        <v>45989</v>
      </c>
      <c r="B4817" t="str">
        <f>IFERROR(__xludf.DUMMYFUNCTION("""COMPUTED_VALUE"""),"[內湖CityLink] D [王紹綺] 月租金 後五碼:23732 (行號: 7)")</f>
        <v>[內湖CityLink] D [王紹綺] 月租金 後五碼:23732 (行號: 7)</v>
      </c>
      <c r="C4817" t="str">
        <f>IFERROR(__xludf.DUMMYFUNCTION("""COMPUTED_VALUE"""),"收入 - 租金")</f>
        <v>收入 - 租金</v>
      </c>
      <c r="D4817" s="270">
        <f>IFERROR(__xludf.DUMMYFUNCTION("""COMPUTED_VALUE"""),12500.0)</f>
        <v>12500</v>
      </c>
      <c r="F4817" t="str">
        <f>IFERROR(__xludf.DUMMYFUNCTION("""COMPUTED_VALUE"""),"玉山帳戶")</f>
        <v>玉山帳戶</v>
      </c>
      <c r="G4817" t="str">
        <f>IFERROR(__xludf.DUMMYFUNCTION("""COMPUTED_VALUE"""),"內湖CityLink")</f>
        <v>內湖CityLink</v>
      </c>
      <c r="H4817" s="106" t="str">
        <f t="shared" si="1"/>
        <v>2025-11</v>
      </c>
      <c r="I4817" s="271" t="str">
        <f>IFERROR(__xludf.DUMMYFUNCTION("""COMPUTED_VALUE"""),"鯰魚大大")</f>
        <v>鯰魚大大</v>
      </c>
      <c r="J4817" t="str">
        <f>IFERROR(__xludf.DUMMYFUNCTION("IFS(
  AND(REGEXMATCH(E4817, ""台銀籌備帳戶|玉山帳戶""), REGEXMATCH(C4817, ""薪資"")), ""分潤支出"",
  AND(REGEXMATCH(E4817, ""Ben帳戶|Elsa帳戶|Ben代墊|Ariel代墊|中信銀行共用""), REGEXMATCH(F4817, ""Ben帳戶|Elsa帳戶|Ben代墊|Ariel代墊|中信銀行共用"")), ""內部轉帳(忽略)"",
  AND(E4817&lt;&gt;"""", F4817&lt;&gt;"""", N"&amp;"OT(REGEXMATCH(C4817, ""薪資""))), ""內部轉帳(忽略)"",
  REGEXMATCH(C4817, ""薪資""), ""薪資變動(不計入)"",
  REGEXMATCH(C4817, ""押金""), ""押金往來"",
  AND(E4817&lt;&gt;"""", F4817=""""), ""真實支出"",
  AND(E4817="""", F4817&lt;&gt;""""), ""真實收入"",
  TRUE, ""其他""
)"),"真實收入")</f>
        <v>真實收入</v>
      </c>
      <c r="K4817" s="270">
        <f t="shared" si="2"/>
        <v>12500</v>
      </c>
      <c r="L4817">
        <f t="shared" si="3"/>
        <v>0</v>
      </c>
    </row>
    <row r="4818">
      <c r="A4818" s="107">
        <f>IFERROR(__xludf.DUMMYFUNCTION("""COMPUTED_VALUE"""),45992.0)</f>
        <v>45992</v>
      </c>
      <c r="B4818" t="str">
        <f>IFERROR(__xludf.DUMMYFUNCTION("""COMPUTED_VALUE"""),"[行天宮夏野良栗] B [楊珺媁] 月租金 後五碼:73083 (行號: 8)")</f>
        <v>[行天宮夏野良栗] B [楊珺媁] 月租金 後五碼:73083 (行號: 8)</v>
      </c>
      <c r="C4818" t="str">
        <f>IFERROR(__xludf.DUMMYFUNCTION("""COMPUTED_VALUE"""),"收入 - 租金")</f>
        <v>收入 - 租金</v>
      </c>
      <c r="D4818" s="270">
        <f>IFERROR(__xludf.DUMMYFUNCTION("""COMPUTED_VALUE"""),14000.0)</f>
        <v>14000</v>
      </c>
      <c r="F4818" t="str">
        <f>IFERROR(__xludf.DUMMYFUNCTION("""COMPUTED_VALUE"""),"玉山帳戶")</f>
        <v>玉山帳戶</v>
      </c>
      <c r="G4818" t="str">
        <f>IFERROR(__xludf.DUMMYFUNCTION("""COMPUTED_VALUE"""),"行天宮夏野良栗")</f>
        <v>行天宮夏野良栗</v>
      </c>
      <c r="H4818" s="106" t="str">
        <f t="shared" si="1"/>
        <v>2025-12</v>
      </c>
      <c r="I4818" s="271" t="str">
        <f>IFERROR(__xludf.DUMMYFUNCTION("""COMPUTED_VALUE"""),"鯰魚大大")</f>
        <v>鯰魚大大</v>
      </c>
      <c r="J4818" t="str">
        <f>IFERROR(__xludf.DUMMYFUNCTION("IFS(
  AND(REGEXMATCH(E4818, ""台銀籌備帳戶|玉山帳戶""), REGEXMATCH(C4818, ""薪資"")), ""分潤支出"",
  AND(REGEXMATCH(E4818, ""Ben帳戶|Elsa帳戶|Ben代墊|Ariel代墊|中信銀行共用""), REGEXMATCH(F4818, ""Ben帳戶|Elsa帳戶|Ben代墊|Ariel代墊|中信銀行共用"")), ""內部轉帳(忽略)"",
  AND(E4818&lt;&gt;"""", F4818&lt;&gt;"""", N"&amp;"OT(REGEXMATCH(C4818, ""薪資""))), ""內部轉帳(忽略)"",
  REGEXMATCH(C4818, ""薪資""), ""薪資變動(不計入)"",
  REGEXMATCH(C4818, ""押金""), ""押金往來"",
  AND(E4818&lt;&gt;"""", F4818=""""), ""真實支出"",
  AND(E4818="""", F4818&lt;&gt;""""), ""真實收入"",
  TRUE, ""其他""
)"),"真實收入")</f>
        <v>真實收入</v>
      </c>
      <c r="K4818" s="270">
        <f t="shared" si="2"/>
        <v>14000</v>
      </c>
      <c r="L4818">
        <f t="shared" si="3"/>
        <v>0</v>
      </c>
    </row>
    <row r="4819">
      <c r="A4819" s="107">
        <f>IFERROR(__xludf.DUMMYFUNCTION("""COMPUTED_VALUE"""),45992.0)</f>
        <v>45992</v>
      </c>
      <c r="B4819" t="str">
        <f>IFERROR(__xludf.DUMMYFUNCTION("""COMPUTED_VALUE"""),"[內湖秘境] G [徐若洹] 月租金 後五碼:09984 (行號: 9)")</f>
        <v>[內湖秘境] G [徐若洹] 月租金 後五碼:09984 (行號: 9)</v>
      </c>
      <c r="C4819" t="str">
        <f>IFERROR(__xludf.DUMMYFUNCTION("""COMPUTED_VALUE"""),"收入 - 租金")</f>
        <v>收入 - 租金</v>
      </c>
      <c r="D4819" s="270">
        <f>IFERROR(__xludf.DUMMYFUNCTION("""COMPUTED_VALUE"""),12100.0)</f>
        <v>12100</v>
      </c>
      <c r="F4819" t="str">
        <f>IFERROR(__xludf.DUMMYFUNCTION("""COMPUTED_VALUE"""),"玉山帳戶")</f>
        <v>玉山帳戶</v>
      </c>
      <c r="G4819" t="str">
        <f>IFERROR(__xludf.DUMMYFUNCTION("""COMPUTED_VALUE"""),"內湖秘境")</f>
        <v>內湖秘境</v>
      </c>
      <c r="H4819" s="106" t="str">
        <f t="shared" si="1"/>
        <v>2025-12</v>
      </c>
      <c r="I4819" s="271" t="str">
        <f>IFERROR(__xludf.DUMMYFUNCTION("""COMPUTED_VALUE"""),"鯰魚大大")</f>
        <v>鯰魚大大</v>
      </c>
      <c r="J4819" t="str">
        <f>IFERROR(__xludf.DUMMYFUNCTION("IFS(
  AND(REGEXMATCH(E4819, ""台銀籌備帳戶|玉山帳戶""), REGEXMATCH(C4819, ""薪資"")), ""分潤支出"",
  AND(REGEXMATCH(E4819, ""Ben帳戶|Elsa帳戶|Ben代墊|Ariel代墊|中信銀行共用""), REGEXMATCH(F4819, ""Ben帳戶|Elsa帳戶|Ben代墊|Ariel代墊|中信銀行共用"")), ""內部轉帳(忽略)"",
  AND(E4819&lt;&gt;"""", F4819&lt;&gt;"""", N"&amp;"OT(REGEXMATCH(C4819, ""薪資""))), ""內部轉帳(忽略)"",
  REGEXMATCH(C4819, ""薪資""), ""薪資變動(不計入)"",
  REGEXMATCH(C4819, ""押金""), ""押金往來"",
  AND(E4819&lt;&gt;"""", F4819=""""), ""真實支出"",
  AND(E4819="""", F4819&lt;&gt;""""), ""真實收入"",
  TRUE, ""其他""
)"),"真實收入")</f>
        <v>真實收入</v>
      </c>
      <c r="K4819" s="270">
        <f t="shared" si="2"/>
        <v>12100</v>
      </c>
      <c r="L4819">
        <f t="shared" si="3"/>
        <v>0</v>
      </c>
    </row>
    <row r="4820">
      <c r="A4820" s="107">
        <f>IFERROR(__xludf.DUMMYFUNCTION("""COMPUTED_VALUE"""),45992.0)</f>
        <v>45992</v>
      </c>
      <c r="B4820" t="str">
        <f>IFERROR(__xludf.DUMMYFUNCTION("""COMPUTED_VALUE"""),"費用 - 匯費 對方行:013 後五碼:78744 (行號: 10)")</f>
        <v>費用 - 匯費 對方行:013 後五碼:78744 (行號: 10)</v>
      </c>
      <c r="C4820" t="str">
        <f>IFERROR(__xludf.DUMMYFUNCTION("""COMPUTED_VALUE"""),"費用 - 匯費")</f>
        <v>費用 - 匯費</v>
      </c>
      <c r="D4820" s="270">
        <f>IFERROR(__xludf.DUMMYFUNCTION("""COMPUTED_VALUE"""),-15.0)</f>
        <v>-15</v>
      </c>
      <c r="E4820" t="str">
        <f>IFERROR(__xludf.DUMMYFUNCTION("""COMPUTED_VALUE"""),"玉山帳戶")</f>
        <v>玉山帳戶</v>
      </c>
      <c r="H4820" s="106" t="str">
        <f t="shared" si="1"/>
        <v>2025-12</v>
      </c>
      <c r="I4820" s="271" t="str">
        <f>IFERROR(__xludf.DUMMYFUNCTION("""COMPUTED_VALUE"""),"鯰魚大大")</f>
        <v>鯰魚大大</v>
      </c>
      <c r="J4820" t="str">
        <f>IFERROR(__xludf.DUMMYFUNCTION("IFS(
  AND(REGEXMATCH(E4820, ""台銀籌備帳戶|玉山帳戶""), REGEXMATCH(C4820, ""薪資"")), ""分潤支出"",
  AND(REGEXMATCH(E4820, ""Ben帳戶|Elsa帳戶|Ben代墊|Ariel代墊|中信銀行共用""), REGEXMATCH(F4820, ""Ben帳戶|Elsa帳戶|Ben代墊|Ariel代墊|中信銀行共用"")), ""內部轉帳(忽略)"",
  AND(E4820&lt;&gt;"""", F4820&lt;&gt;"""", N"&amp;"OT(REGEXMATCH(C4820, ""薪資""))), ""內部轉帳(忽略)"",
  REGEXMATCH(C4820, ""薪資""), ""薪資變動(不計入)"",
  REGEXMATCH(C4820, ""押金""), ""押金往來"",
  AND(E4820&lt;&gt;"""", F4820=""""), ""真實支出"",
  AND(E4820="""", F4820&lt;&gt;""""), ""真實收入"",
  TRUE, ""其他""
)"),"真實支出")</f>
        <v>真實支出</v>
      </c>
      <c r="K4820" s="270">
        <f t="shared" si="2"/>
        <v>-15</v>
      </c>
      <c r="L4820">
        <f t="shared" si="3"/>
        <v>0</v>
      </c>
    </row>
    <row r="4821">
      <c r="A4821" s="107">
        <f>IFERROR(__xludf.DUMMYFUNCTION("""COMPUTED_VALUE"""),45992.0)</f>
        <v>45992</v>
      </c>
      <c r="B4821" t="str">
        <f>IFERROR(__xludf.DUMMYFUNCTION("""COMPUTED_VALUE"""),"[士林和豐] [楊政偉] 大租金")</f>
        <v>[士林和豐] [楊政偉] 大租金</v>
      </c>
      <c r="C4821" t="str">
        <f>IFERROR(__xludf.DUMMYFUNCTION("""COMPUTED_VALUE"""),"成本 - 大租金")</f>
        <v>成本 - 大租金</v>
      </c>
      <c r="D4821" s="270">
        <f>IFERROR(__xludf.DUMMYFUNCTION("""COMPUTED_VALUE"""),-14400.0)</f>
        <v>-14400</v>
      </c>
      <c r="E4821" t="str">
        <f>IFERROR(__xludf.DUMMYFUNCTION("""COMPUTED_VALUE"""),"玉山帳戶")</f>
        <v>玉山帳戶</v>
      </c>
      <c r="G4821" t="str">
        <f>IFERROR(__xludf.DUMMYFUNCTION("""COMPUTED_VALUE"""),"士林和豐")</f>
        <v>士林和豐</v>
      </c>
      <c r="H4821" s="106" t="str">
        <f t="shared" si="1"/>
        <v>2025-12</v>
      </c>
      <c r="I4821" s="271" t="str">
        <f>IFERROR(__xludf.DUMMYFUNCTION("""COMPUTED_VALUE"""),"鯰魚大大")</f>
        <v>鯰魚大大</v>
      </c>
      <c r="J4821" t="str">
        <f>IFERROR(__xludf.DUMMYFUNCTION("IFS(
  AND(REGEXMATCH(E4821, ""台銀籌備帳戶|玉山帳戶""), REGEXMATCH(C4821, ""薪資"")), ""分潤支出"",
  AND(REGEXMATCH(E4821, ""Ben帳戶|Elsa帳戶|Ben代墊|Ariel代墊|中信銀行共用""), REGEXMATCH(F4821, ""Ben帳戶|Elsa帳戶|Ben代墊|Ariel代墊|中信銀行共用"")), ""內部轉帳(忽略)"",
  AND(E4821&lt;&gt;"""", F4821&lt;&gt;"""", N"&amp;"OT(REGEXMATCH(C4821, ""薪資""))), ""內部轉帳(忽略)"",
  REGEXMATCH(C4821, ""薪資""), ""薪資變動(不計入)"",
  REGEXMATCH(C4821, ""押金""), ""押金往來"",
  AND(E4821&lt;&gt;"""", F4821=""""), ""真實支出"",
  AND(E4821="""", F4821&lt;&gt;""""), ""真實收入"",
  TRUE, ""其他""
)"),"真實支出")</f>
        <v>真實支出</v>
      </c>
      <c r="K4821" s="270">
        <f t="shared" si="2"/>
        <v>-14400</v>
      </c>
      <c r="L4821">
        <f t="shared" si="3"/>
        <v>0</v>
      </c>
    </row>
    <row r="4822">
      <c r="A4822" s="107">
        <f>IFERROR(__xludf.DUMMYFUNCTION("""COMPUTED_VALUE"""),45992.0)</f>
        <v>45992</v>
      </c>
      <c r="B4822" t="str">
        <f>IFERROR(__xludf.DUMMYFUNCTION("""COMPUTED_VALUE"""),"費用 - 匯費 對方行:012 後五碼:68447 (行號: 11)")</f>
        <v>費用 - 匯費 對方行:012 後五碼:68447 (行號: 11)</v>
      </c>
      <c r="C4822" t="str">
        <f>IFERROR(__xludf.DUMMYFUNCTION("""COMPUTED_VALUE"""),"費用 - 匯費")</f>
        <v>費用 - 匯費</v>
      </c>
      <c r="D4822" s="270">
        <f>IFERROR(__xludf.DUMMYFUNCTION("""COMPUTED_VALUE"""),-15.0)</f>
        <v>-15</v>
      </c>
      <c r="E4822" t="str">
        <f>IFERROR(__xludf.DUMMYFUNCTION("""COMPUTED_VALUE"""),"玉山帳戶")</f>
        <v>玉山帳戶</v>
      </c>
      <c r="H4822" s="106" t="str">
        <f t="shared" si="1"/>
        <v>2025-12</v>
      </c>
      <c r="I4822" s="271" t="str">
        <f>IFERROR(__xludf.DUMMYFUNCTION("""COMPUTED_VALUE"""),"鯰魚大大")</f>
        <v>鯰魚大大</v>
      </c>
      <c r="J4822" t="str">
        <f>IFERROR(__xludf.DUMMYFUNCTION("IFS(
  AND(REGEXMATCH(E4822, ""台銀籌備帳戶|玉山帳戶""), REGEXMATCH(C4822, ""薪資"")), ""分潤支出"",
  AND(REGEXMATCH(E4822, ""Ben帳戶|Elsa帳戶|Ben代墊|Ariel代墊|中信銀行共用""), REGEXMATCH(F4822, ""Ben帳戶|Elsa帳戶|Ben代墊|Ariel代墊|中信銀行共用"")), ""內部轉帳(忽略)"",
  AND(E4822&lt;&gt;"""", F4822&lt;&gt;"""", N"&amp;"OT(REGEXMATCH(C4822, ""薪資""))), ""內部轉帳(忽略)"",
  REGEXMATCH(C4822, ""薪資""), ""薪資變動(不計入)"",
  REGEXMATCH(C4822, ""押金""), ""押金往來"",
  AND(E4822&lt;&gt;"""", F4822=""""), ""真實支出"",
  AND(E4822="""", F4822&lt;&gt;""""), ""真實收入"",
  TRUE, ""其他""
)"),"真實支出")</f>
        <v>真實支出</v>
      </c>
      <c r="K4822" s="270">
        <f t="shared" si="2"/>
        <v>-15</v>
      </c>
      <c r="L4822">
        <f t="shared" si="3"/>
        <v>0</v>
      </c>
    </row>
    <row r="4823">
      <c r="A4823" s="107">
        <f>IFERROR(__xludf.DUMMYFUNCTION("""COMPUTED_VALUE"""),45992.0)</f>
        <v>45992</v>
      </c>
      <c r="B4823" t="str">
        <f>IFERROR(__xludf.DUMMYFUNCTION("""COMPUTED_VALUE"""),"[行天宮夏野良栗] [沈蕙萱] 大租金")</f>
        <v>[行天宮夏野良栗] [沈蕙萱] 大租金</v>
      </c>
      <c r="C4823" t="str">
        <f>IFERROR(__xludf.DUMMYFUNCTION("""COMPUTED_VALUE"""),"成本 - 大租金")</f>
        <v>成本 - 大租金</v>
      </c>
      <c r="D4823" s="270">
        <f>IFERROR(__xludf.DUMMYFUNCTION("""COMPUTED_VALUE"""),-19900.0)</f>
        <v>-19900</v>
      </c>
      <c r="E4823" t="str">
        <f>IFERROR(__xludf.DUMMYFUNCTION("""COMPUTED_VALUE"""),"玉山帳戶")</f>
        <v>玉山帳戶</v>
      </c>
      <c r="G4823" t="str">
        <f>IFERROR(__xludf.DUMMYFUNCTION("""COMPUTED_VALUE"""),"行天宮夏野良栗")</f>
        <v>行天宮夏野良栗</v>
      </c>
      <c r="H4823" s="106" t="str">
        <f t="shared" si="1"/>
        <v>2025-12</v>
      </c>
      <c r="I4823" s="271" t="str">
        <f>IFERROR(__xludf.DUMMYFUNCTION("""COMPUTED_VALUE"""),"鯰魚大大")</f>
        <v>鯰魚大大</v>
      </c>
      <c r="J4823" t="str">
        <f>IFERROR(__xludf.DUMMYFUNCTION("IFS(
  AND(REGEXMATCH(E4823, ""台銀籌備帳戶|玉山帳戶""), REGEXMATCH(C4823, ""薪資"")), ""分潤支出"",
  AND(REGEXMATCH(E4823, ""Ben帳戶|Elsa帳戶|Ben代墊|Ariel代墊|中信銀行共用""), REGEXMATCH(F4823, ""Ben帳戶|Elsa帳戶|Ben代墊|Ariel代墊|中信銀行共用"")), ""內部轉帳(忽略)"",
  AND(E4823&lt;&gt;"""", F4823&lt;&gt;"""", N"&amp;"OT(REGEXMATCH(C4823, ""薪資""))), ""內部轉帳(忽略)"",
  REGEXMATCH(C4823, ""薪資""), ""薪資變動(不計入)"",
  REGEXMATCH(C4823, ""押金""), ""押金往來"",
  AND(E4823&lt;&gt;"""", F4823=""""), ""真實支出"",
  AND(E4823="""", F4823&lt;&gt;""""), ""真實收入"",
  TRUE, ""其他""
)"),"真實支出")</f>
        <v>真實支出</v>
      </c>
      <c r="K4823" s="270">
        <f t="shared" si="2"/>
        <v>-19900</v>
      </c>
      <c r="L4823">
        <f t="shared" si="3"/>
        <v>0</v>
      </c>
    </row>
    <row r="4824">
      <c r="A4824" s="107">
        <f>IFERROR(__xludf.DUMMYFUNCTION("""COMPUTED_VALUE"""),45992.0)</f>
        <v>45992</v>
      </c>
      <c r="B4824" t="str">
        <f>IFERROR(__xludf.DUMMYFUNCTION("""COMPUTED_VALUE"""),"費用 - 匯費 對方行:012 後五碼:53048 (行號: 12)")</f>
        <v>費用 - 匯費 對方行:012 後五碼:53048 (行號: 12)</v>
      </c>
      <c r="C4824" t="str">
        <f>IFERROR(__xludf.DUMMYFUNCTION("""COMPUTED_VALUE"""),"費用 - 匯費")</f>
        <v>費用 - 匯費</v>
      </c>
      <c r="D4824" s="270">
        <f>IFERROR(__xludf.DUMMYFUNCTION("""COMPUTED_VALUE"""),-15.0)</f>
        <v>-15</v>
      </c>
      <c r="E4824" t="str">
        <f>IFERROR(__xludf.DUMMYFUNCTION("""COMPUTED_VALUE"""),"玉山帳戶")</f>
        <v>玉山帳戶</v>
      </c>
      <c r="H4824" s="106" t="str">
        <f t="shared" si="1"/>
        <v>2025-12</v>
      </c>
      <c r="I4824" s="271" t="str">
        <f>IFERROR(__xludf.DUMMYFUNCTION("""COMPUTED_VALUE"""),"鯰魚大大")</f>
        <v>鯰魚大大</v>
      </c>
      <c r="J4824" t="str">
        <f>IFERROR(__xludf.DUMMYFUNCTION("IFS(
  AND(REGEXMATCH(E4824, ""台銀籌備帳戶|玉山帳戶""), REGEXMATCH(C4824, ""薪資"")), ""分潤支出"",
  AND(REGEXMATCH(E4824, ""Ben帳戶|Elsa帳戶|Ben代墊|Ariel代墊|中信銀行共用""), REGEXMATCH(F4824, ""Ben帳戶|Elsa帳戶|Ben代墊|Ariel代墊|中信銀行共用"")), ""內部轉帳(忽略)"",
  AND(E4824&lt;&gt;"""", F4824&lt;&gt;"""", N"&amp;"OT(REGEXMATCH(C4824, ""薪資""))), ""內部轉帳(忽略)"",
  REGEXMATCH(C4824, ""薪資""), ""薪資變動(不計入)"",
  REGEXMATCH(C4824, ""押金""), ""押金往來"",
  AND(E4824&lt;&gt;"""", F4824=""""), ""真實支出"",
  AND(E4824="""", F4824&lt;&gt;""""), ""真實收入"",
  TRUE, ""其他""
)"),"真實支出")</f>
        <v>真實支出</v>
      </c>
      <c r="K4824" s="270">
        <f t="shared" si="2"/>
        <v>-15</v>
      </c>
      <c r="L4824">
        <f t="shared" si="3"/>
        <v>0</v>
      </c>
    </row>
    <row r="4825">
      <c r="A4825" s="107">
        <f>IFERROR(__xludf.DUMMYFUNCTION("""COMPUTED_VALUE"""),45992.0)</f>
        <v>45992</v>
      </c>
      <c r="B4825" t="str">
        <f>IFERROR(__xludf.DUMMYFUNCTION("""COMPUTED_VALUE"""),"[內湖秘境] [周佳慧] 大租金")</f>
        <v>[內湖秘境] [周佳慧] 大租金</v>
      </c>
      <c r="C4825" t="str">
        <f>IFERROR(__xludf.DUMMYFUNCTION("""COMPUTED_VALUE"""),"成本 - 大租金")</f>
        <v>成本 - 大租金</v>
      </c>
      <c r="D4825" s="270">
        <f>IFERROR(__xludf.DUMMYFUNCTION("""COMPUTED_VALUE"""),-15000.0)</f>
        <v>-15000</v>
      </c>
      <c r="E4825" t="str">
        <f>IFERROR(__xludf.DUMMYFUNCTION("""COMPUTED_VALUE"""),"玉山帳戶")</f>
        <v>玉山帳戶</v>
      </c>
      <c r="G4825" t="str">
        <f>IFERROR(__xludf.DUMMYFUNCTION("""COMPUTED_VALUE"""),"內湖秘境")</f>
        <v>內湖秘境</v>
      </c>
      <c r="H4825" s="106" t="str">
        <f t="shared" si="1"/>
        <v>2025-12</v>
      </c>
      <c r="I4825" s="271" t="str">
        <f>IFERROR(__xludf.DUMMYFUNCTION("""COMPUTED_VALUE"""),"鯰魚大大")</f>
        <v>鯰魚大大</v>
      </c>
      <c r="J4825" t="str">
        <f>IFERROR(__xludf.DUMMYFUNCTION("IFS(
  AND(REGEXMATCH(E4825, ""台銀籌備帳戶|玉山帳戶""), REGEXMATCH(C4825, ""薪資"")), ""分潤支出"",
  AND(REGEXMATCH(E4825, ""Ben帳戶|Elsa帳戶|Ben代墊|Ariel代墊|中信銀行共用""), REGEXMATCH(F4825, ""Ben帳戶|Elsa帳戶|Ben代墊|Ariel代墊|中信銀行共用"")), ""內部轉帳(忽略)"",
  AND(E4825&lt;&gt;"""", F4825&lt;&gt;"""", N"&amp;"OT(REGEXMATCH(C4825, ""薪資""))), ""內部轉帳(忽略)"",
  REGEXMATCH(C4825, ""薪資""), ""薪資變動(不計入)"",
  REGEXMATCH(C4825, ""押金""), ""押金往來"",
  AND(E4825&lt;&gt;"""", F4825=""""), ""真實支出"",
  AND(E4825="""", F4825&lt;&gt;""""), ""真實收入"",
  TRUE, ""其他""
)"),"真實支出")</f>
        <v>真實支出</v>
      </c>
      <c r="K4825" s="270">
        <f t="shared" si="2"/>
        <v>-15000</v>
      </c>
      <c r="L4825">
        <f t="shared" si="3"/>
        <v>0</v>
      </c>
    </row>
    <row r="4826">
      <c r="A4826" s="107">
        <f>IFERROR(__xludf.DUMMYFUNCTION("""COMPUTED_VALUE"""),45992.0)</f>
        <v>45992</v>
      </c>
      <c r="B4826" t="str">
        <f>IFERROR(__xludf.DUMMYFUNCTION("""COMPUTED_VALUE"""),"費用 - 匯費 對方行:806 後五碼:26435 (行號: 13)")</f>
        <v>費用 - 匯費 對方行:806 後五碼:26435 (行號: 13)</v>
      </c>
      <c r="C4826" t="str">
        <f>IFERROR(__xludf.DUMMYFUNCTION("""COMPUTED_VALUE"""),"費用 - 匯費")</f>
        <v>費用 - 匯費</v>
      </c>
      <c r="D4826" s="270">
        <f>IFERROR(__xludf.DUMMYFUNCTION("""COMPUTED_VALUE"""),-15.0)</f>
        <v>-15</v>
      </c>
      <c r="E4826" t="str">
        <f>IFERROR(__xludf.DUMMYFUNCTION("""COMPUTED_VALUE"""),"玉山帳戶")</f>
        <v>玉山帳戶</v>
      </c>
      <c r="H4826" s="106" t="str">
        <f t="shared" si="1"/>
        <v>2025-12</v>
      </c>
      <c r="I4826" s="271" t="str">
        <f>IFERROR(__xludf.DUMMYFUNCTION("""COMPUTED_VALUE"""),"鯰魚大大")</f>
        <v>鯰魚大大</v>
      </c>
      <c r="J4826" t="str">
        <f>IFERROR(__xludf.DUMMYFUNCTION("IFS(
  AND(REGEXMATCH(E4826, ""台銀籌備帳戶|玉山帳戶""), REGEXMATCH(C4826, ""薪資"")), ""分潤支出"",
  AND(REGEXMATCH(E4826, ""Ben帳戶|Elsa帳戶|Ben代墊|Ariel代墊|中信銀行共用""), REGEXMATCH(F4826, ""Ben帳戶|Elsa帳戶|Ben代墊|Ariel代墊|中信銀行共用"")), ""內部轉帳(忽略)"",
  AND(E4826&lt;&gt;"""", F4826&lt;&gt;"""", N"&amp;"OT(REGEXMATCH(C4826, ""薪資""))), ""內部轉帳(忽略)"",
  REGEXMATCH(C4826, ""薪資""), ""薪資變動(不計入)"",
  REGEXMATCH(C4826, ""押金""), ""押金往來"",
  AND(E4826&lt;&gt;"""", F4826=""""), ""真實支出"",
  AND(E4826="""", F4826&lt;&gt;""""), ""真實收入"",
  TRUE, ""其他""
)"),"真實支出")</f>
        <v>真實支出</v>
      </c>
      <c r="K4826" s="270">
        <f t="shared" si="2"/>
        <v>-15</v>
      </c>
      <c r="L4826">
        <f t="shared" si="3"/>
        <v>0</v>
      </c>
    </row>
    <row r="4827">
      <c r="A4827" s="107">
        <f>IFERROR(__xludf.DUMMYFUNCTION("""COMPUTED_VALUE"""),45992.0)</f>
        <v>45992</v>
      </c>
      <c r="B4827" t="str">
        <f>IFERROR(__xludf.DUMMYFUNCTION("""COMPUTED_VALUE"""),"[內湖CityLink] [周佳慧] 大租金")</f>
        <v>[內湖CityLink] [周佳慧] 大租金</v>
      </c>
      <c r="C4827" t="str">
        <f>IFERROR(__xludf.DUMMYFUNCTION("""COMPUTED_VALUE"""),"成本 - 大租金")</f>
        <v>成本 - 大租金</v>
      </c>
      <c r="D4827" s="270">
        <f>IFERROR(__xludf.DUMMYFUNCTION("""COMPUTED_VALUE"""),-16500.0)</f>
        <v>-16500</v>
      </c>
      <c r="E4827" t="str">
        <f>IFERROR(__xludf.DUMMYFUNCTION("""COMPUTED_VALUE"""),"玉山帳戶")</f>
        <v>玉山帳戶</v>
      </c>
      <c r="G4827" t="str">
        <f>IFERROR(__xludf.DUMMYFUNCTION("""COMPUTED_VALUE"""),"內湖CityLink")</f>
        <v>內湖CityLink</v>
      </c>
      <c r="H4827" s="106" t="str">
        <f t="shared" si="1"/>
        <v>2025-12</v>
      </c>
      <c r="I4827" s="271" t="str">
        <f>IFERROR(__xludf.DUMMYFUNCTION("""COMPUTED_VALUE"""),"鯰魚大大")</f>
        <v>鯰魚大大</v>
      </c>
      <c r="J4827" t="str">
        <f>IFERROR(__xludf.DUMMYFUNCTION("IFS(
  AND(REGEXMATCH(E4827, ""台銀籌備帳戶|玉山帳戶""), REGEXMATCH(C4827, ""薪資"")), ""分潤支出"",
  AND(REGEXMATCH(E4827, ""Ben帳戶|Elsa帳戶|Ben代墊|Ariel代墊|中信銀行共用""), REGEXMATCH(F4827, ""Ben帳戶|Elsa帳戶|Ben代墊|Ariel代墊|中信銀行共用"")), ""內部轉帳(忽略)"",
  AND(E4827&lt;&gt;"""", F4827&lt;&gt;"""", N"&amp;"OT(REGEXMATCH(C4827, ""薪資""))), ""內部轉帳(忽略)"",
  REGEXMATCH(C4827, ""薪資""), ""薪資變動(不計入)"",
  REGEXMATCH(C4827, ""押金""), ""押金往來"",
  AND(E4827&lt;&gt;"""", F4827=""""), ""真實支出"",
  AND(E4827="""", F4827&lt;&gt;""""), ""真實收入"",
  TRUE, ""其他""
)"),"真實支出")</f>
        <v>真實支出</v>
      </c>
      <c r="K4827" s="270">
        <f t="shared" si="2"/>
        <v>-16500</v>
      </c>
      <c r="L4827">
        <f t="shared" si="3"/>
        <v>0</v>
      </c>
    </row>
    <row r="4828">
      <c r="A4828" s="107">
        <f>IFERROR(__xludf.DUMMYFUNCTION("""COMPUTED_VALUE"""),45992.0)</f>
        <v>45992</v>
      </c>
      <c r="B4828" t="str">
        <f>IFERROR(__xludf.DUMMYFUNCTION("""COMPUTED_VALUE"""),"[內湖秘境] E [林芷妤] 月租金 後五碼:52052 (行號: 14)")</f>
        <v>[內湖秘境] E [林芷妤] 月租金 後五碼:52052 (行號: 14)</v>
      </c>
      <c r="C4828" t="str">
        <f>IFERROR(__xludf.DUMMYFUNCTION("""COMPUTED_VALUE"""),"收入 - 租金")</f>
        <v>收入 - 租金</v>
      </c>
      <c r="D4828" s="270">
        <f>IFERROR(__xludf.DUMMYFUNCTION("""COMPUTED_VALUE"""),13600.0)</f>
        <v>13600</v>
      </c>
      <c r="F4828" t="str">
        <f>IFERROR(__xludf.DUMMYFUNCTION("""COMPUTED_VALUE"""),"玉山帳戶")</f>
        <v>玉山帳戶</v>
      </c>
      <c r="G4828" t="str">
        <f>IFERROR(__xludf.DUMMYFUNCTION("""COMPUTED_VALUE"""),"內湖秘境")</f>
        <v>內湖秘境</v>
      </c>
      <c r="H4828" s="106" t="str">
        <f t="shared" si="1"/>
        <v>2025-12</v>
      </c>
      <c r="I4828" s="271" t="str">
        <f>IFERROR(__xludf.DUMMYFUNCTION("""COMPUTED_VALUE"""),"鯰魚大大")</f>
        <v>鯰魚大大</v>
      </c>
      <c r="J4828" t="str">
        <f>IFERROR(__xludf.DUMMYFUNCTION("IFS(
  AND(REGEXMATCH(E4828, ""台銀籌備帳戶|玉山帳戶""), REGEXMATCH(C4828, ""薪資"")), ""分潤支出"",
  AND(REGEXMATCH(E4828, ""Ben帳戶|Elsa帳戶|Ben代墊|Ariel代墊|中信銀行共用""), REGEXMATCH(F4828, ""Ben帳戶|Elsa帳戶|Ben代墊|Ariel代墊|中信銀行共用"")), ""內部轉帳(忽略)"",
  AND(E4828&lt;&gt;"""", F4828&lt;&gt;"""", N"&amp;"OT(REGEXMATCH(C4828, ""薪資""))), ""內部轉帳(忽略)"",
  REGEXMATCH(C4828, ""薪資""), ""薪資變動(不計入)"",
  REGEXMATCH(C4828, ""押金""), ""押金往來"",
  AND(E4828&lt;&gt;"""", F4828=""""), ""真實支出"",
  AND(E4828="""", F4828&lt;&gt;""""), ""真實收入"",
  TRUE, ""其他""
)"),"真實收入")</f>
        <v>真實收入</v>
      </c>
      <c r="K4828" s="270">
        <f t="shared" si="2"/>
        <v>13600</v>
      </c>
      <c r="L4828">
        <f t="shared" si="3"/>
        <v>0</v>
      </c>
    </row>
    <row r="4829">
      <c r="A4829" s="107">
        <f>IFERROR(__xludf.DUMMYFUNCTION("""COMPUTED_VALUE"""),45992.0)</f>
        <v>45992</v>
      </c>
      <c r="B4829" t="str">
        <f>IFERROR(__xludf.DUMMYFUNCTION("""COMPUTED_VALUE"""),"[內湖CityLink] E [葉英蔚] 月租金 後五碼:37877 (行號: 15)")</f>
        <v>[內湖CityLink] E [葉英蔚] 月租金 後五碼:37877 (行號: 15)</v>
      </c>
      <c r="C4829" t="str">
        <f>IFERROR(__xludf.DUMMYFUNCTION("""COMPUTED_VALUE"""),"收入 - 租金")</f>
        <v>收入 - 租金</v>
      </c>
      <c r="D4829" s="270">
        <f>IFERROR(__xludf.DUMMYFUNCTION("""COMPUTED_VALUE"""),13300.0)</f>
        <v>13300</v>
      </c>
      <c r="F4829" t="str">
        <f>IFERROR(__xludf.DUMMYFUNCTION("""COMPUTED_VALUE"""),"玉山帳戶")</f>
        <v>玉山帳戶</v>
      </c>
      <c r="G4829" t="str">
        <f>IFERROR(__xludf.DUMMYFUNCTION("""COMPUTED_VALUE"""),"內湖CityLink")</f>
        <v>內湖CityLink</v>
      </c>
      <c r="H4829" s="106" t="str">
        <f t="shared" si="1"/>
        <v>2025-12</v>
      </c>
      <c r="I4829" s="271" t="str">
        <f>IFERROR(__xludf.DUMMYFUNCTION("""COMPUTED_VALUE"""),"鯰魚大大")</f>
        <v>鯰魚大大</v>
      </c>
      <c r="J4829" t="str">
        <f>IFERROR(__xludf.DUMMYFUNCTION("IFS(
  AND(REGEXMATCH(E4829, ""台銀籌備帳戶|玉山帳戶""), REGEXMATCH(C4829, ""薪資"")), ""分潤支出"",
  AND(REGEXMATCH(E4829, ""Ben帳戶|Elsa帳戶|Ben代墊|Ariel代墊|中信銀行共用""), REGEXMATCH(F4829, ""Ben帳戶|Elsa帳戶|Ben代墊|Ariel代墊|中信銀行共用"")), ""內部轉帳(忽略)"",
  AND(E4829&lt;&gt;"""", F4829&lt;&gt;"""", N"&amp;"OT(REGEXMATCH(C4829, ""薪資""))), ""內部轉帳(忽略)"",
  REGEXMATCH(C4829, ""薪資""), ""薪資變動(不計入)"",
  REGEXMATCH(C4829, ""押金""), ""押金往來"",
  AND(E4829&lt;&gt;"""", F4829=""""), ""真實支出"",
  AND(E4829="""", F4829&lt;&gt;""""), ""真實收入"",
  TRUE, ""其他""
)"),"真實收入")</f>
        <v>真實收入</v>
      </c>
      <c r="K4829" s="270">
        <f t="shared" si="2"/>
        <v>13300</v>
      </c>
      <c r="L4829">
        <f t="shared" si="3"/>
        <v>0</v>
      </c>
    </row>
    <row r="4830">
      <c r="A4830" s="107">
        <f>IFERROR(__xludf.DUMMYFUNCTION("""COMPUTED_VALUE"""),45992.0)</f>
        <v>45992</v>
      </c>
      <c r="B4830" t="str">
        <f>IFERROR(__xludf.DUMMYFUNCTION("""COMPUTED_VALUE"""),"[士林和豐] B [劉宗霖] 月租金 後五碼:28793 (行號: 16)")</f>
        <v>[士林和豐] B [劉宗霖] 月租金 後五碼:28793 (行號: 16)</v>
      </c>
      <c r="C4830" t="str">
        <f>IFERROR(__xludf.DUMMYFUNCTION("""COMPUTED_VALUE"""),"收入 - 租金")</f>
        <v>收入 - 租金</v>
      </c>
      <c r="D4830" s="270">
        <f>IFERROR(__xludf.DUMMYFUNCTION("""COMPUTED_VALUE"""),13500.0)</f>
        <v>13500</v>
      </c>
      <c r="F4830" t="str">
        <f>IFERROR(__xludf.DUMMYFUNCTION("""COMPUTED_VALUE"""),"玉山帳戶")</f>
        <v>玉山帳戶</v>
      </c>
      <c r="G4830" t="str">
        <f>IFERROR(__xludf.DUMMYFUNCTION("""COMPUTED_VALUE"""),"士林和豐")</f>
        <v>士林和豐</v>
      </c>
      <c r="H4830" s="106" t="str">
        <f t="shared" si="1"/>
        <v>2025-12</v>
      </c>
      <c r="I4830" s="271" t="str">
        <f>IFERROR(__xludf.DUMMYFUNCTION("""COMPUTED_VALUE"""),"鯰魚大大")</f>
        <v>鯰魚大大</v>
      </c>
      <c r="J4830" t="str">
        <f>IFERROR(__xludf.DUMMYFUNCTION("IFS(
  AND(REGEXMATCH(E4830, ""台銀籌備帳戶|玉山帳戶""), REGEXMATCH(C4830, ""薪資"")), ""分潤支出"",
  AND(REGEXMATCH(E4830, ""Ben帳戶|Elsa帳戶|Ben代墊|Ariel代墊|中信銀行共用""), REGEXMATCH(F4830, ""Ben帳戶|Elsa帳戶|Ben代墊|Ariel代墊|中信銀行共用"")), ""內部轉帳(忽略)"",
  AND(E4830&lt;&gt;"""", F4830&lt;&gt;"""", N"&amp;"OT(REGEXMATCH(C4830, ""薪資""))), ""內部轉帳(忽略)"",
  REGEXMATCH(C4830, ""薪資""), ""薪資變動(不計入)"",
  REGEXMATCH(C4830, ""押金""), ""押金往來"",
  AND(E4830&lt;&gt;"""", F4830=""""), ""真實支出"",
  AND(E4830="""", F4830&lt;&gt;""""), ""真實收入"",
  TRUE, ""其他""
)"),"真實收入")</f>
        <v>真實收入</v>
      </c>
      <c r="K4830" s="270">
        <f t="shared" si="2"/>
        <v>13500</v>
      </c>
      <c r="L4830">
        <f t="shared" si="3"/>
        <v>0</v>
      </c>
    </row>
    <row r="4831">
      <c r="A4831" s="107">
        <f>IFERROR(__xludf.DUMMYFUNCTION("""COMPUTED_VALUE"""),45992.0)</f>
        <v>45992</v>
      </c>
      <c r="B4831" t="str">
        <f>IFERROR(__xludf.DUMMYFUNCTION("""COMPUTED_VALUE"""),"[行天宮夏野良栗] D [江仲元] 月租金 後五碼:99285 (行號: 17)")</f>
        <v>[行天宮夏野良栗] D [江仲元] 月租金 後五碼:99285 (行號: 17)</v>
      </c>
      <c r="C4831" t="str">
        <f>IFERROR(__xludf.DUMMYFUNCTION("""COMPUTED_VALUE"""),"收入 - 租金")</f>
        <v>收入 - 租金</v>
      </c>
      <c r="D4831" s="270">
        <f>IFERROR(__xludf.DUMMYFUNCTION("""COMPUTED_VALUE"""),11200.0)</f>
        <v>11200</v>
      </c>
      <c r="F4831" t="str">
        <f>IFERROR(__xludf.DUMMYFUNCTION("""COMPUTED_VALUE"""),"玉山帳戶")</f>
        <v>玉山帳戶</v>
      </c>
      <c r="G4831" t="str">
        <f>IFERROR(__xludf.DUMMYFUNCTION("""COMPUTED_VALUE"""),"行天宮夏野良栗")</f>
        <v>行天宮夏野良栗</v>
      </c>
      <c r="H4831" s="106" t="str">
        <f t="shared" si="1"/>
        <v>2025-12</v>
      </c>
      <c r="I4831" s="271" t="str">
        <f>IFERROR(__xludf.DUMMYFUNCTION("""COMPUTED_VALUE"""),"鯰魚大大")</f>
        <v>鯰魚大大</v>
      </c>
      <c r="J4831" t="str">
        <f>IFERROR(__xludf.DUMMYFUNCTION("IFS(
  AND(REGEXMATCH(E4831, ""台銀籌備帳戶|玉山帳戶""), REGEXMATCH(C4831, ""薪資"")), ""分潤支出"",
  AND(REGEXMATCH(E4831, ""Ben帳戶|Elsa帳戶|Ben代墊|Ariel代墊|中信銀行共用""), REGEXMATCH(F4831, ""Ben帳戶|Elsa帳戶|Ben代墊|Ariel代墊|中信銀行共用"")), ""內部轉帳(忽略)"",
  AND(E4831&lt;&gt;"""", F4831&lt;&gt;"""", N"&amp;"OT(REGEXMATCH(C4831, ""薪資""))), ""內部轉帳(忽略)"",
  REGEXMATCH(C4831, ""薪資""), ""薪資變動(不計入)"",
  REGEXMATCH(C4831, ""押金""), ""押金往來"",
  AND(E4831&lt;&gt;"""", F4831=""""), ""真實支出"",
  AND(E4831="""", F4831&lt;&gt;""""), ""真實收入"",
  TRUE, ""其他""
)"),"真實收入")</f>
        <v>真實收入</v>
      </c>
      <c r="K4831" s="270">
        <f t="shared" si="2"/>
        <v>11200</v>
      </c>
      <c r="L4831">
        <f t="shared" si="3"/>
        <v>0</v>
      </c>
    </row>
    <row r="4832">
      <c r="A4832" s="107">
        <f>IFERROR(__xludf.DUMMYFUNCTION("""COMPUTED_VALUE"""),45992.0)</f>
        <v>45992</v>
      </c>
      <c r="B4832" t="str">
        <f>IFERROR(__xludf.DUMMYFUNCTION("""COMPUTED_VALUE"""),"[內湖秘境] F [楊芯岳] 月租金 後五碼:05639 (行號: 18)")</f>
        <v>[內湖秘境] F [楊芯岳] 月租金 後五碼:05639 (行號: 18)</v>
      </c>
      <c r="C4832" t="str">
        <f>IFERROR(__xludf.DUMMYFUNCTION("""COMPUTED_VALUE"""),"收入 - 租金")</f>
        <v>收入 - 租金</v>
      </c>
      <c r="D4832" s="270">
        <f>IFERROR(__xludf.DUMMYFUNCTION("""COMPUTED_VALUE"""),13500.0)</f>
        <v>13500</v>
      </c>
      <c r="F4832" t="str">
        <f>IFERROR(__xludf.DUMMYFUNCTION("""COMPUTED_VALUE"""),"玉山帳戶")</f>
        <v>玉山帳戶</v>
      </c>
      <c r="G4832" t="str">
        <f>IFERROR(__xludf.DUMMYFUNCTION("""COMPUTED_VALUE"""),"內湖秘境")</f>
        <v>內湖秘境</v>
      </c>
      <c r="H4832" s="106" t="str">
        <f t="shared" si="1"/>
        <v>2025-12</v>
      </c>
      <c r="I4832" s="271" t="str">
        <f>IFERROR(__xludf.DUMMYFUNCTION("""COMPUTED_VALUE"""),"鯰魚大大")</f>
        <v>鯰魚大大</v>
      </c>
      <c r="J4832" t="str">
        <f>IFERROR(__xludf.DUMMYFUNCTION("IFS(
  AND(REGEXMATCH(E4832, ""台銀籌備帳戶|玉山帳戶""), REGEXMATCH(C4832, ""薪資"")), ""分潤支出"",
  AND(REGEXMATCH(E4832, ""Ben帳戶|Elsa帳戶|Ben代墊|Ariel代墊|中信銀行共用""), REGEXMATCH(F4832, ""Ben帳戶|Elsa帳戶|Ben代墊|Ariel代墊|中信銀行共用"")), ""內部轉帳(忽略)"",
  AND(E4832&lt;&gt;"""", F4832&lt;&gt;"""", N"&amp;"OT(REGEXMATCH(C4832, ""薪資""))), ""內部轉帳(忽略)"",
  REGEXMATCH(C4832, ""薪資""), ""薪資變動(不計入)"",
  REGEXMATCH(C4832, ""押金""), ""押金往來"",
  AND(E4832&lt;&gt;"""", F4832=""""), ""真實支出"",
  AND(E4832="""", F4832&lt;&gt;""""), ""真實收入"",
  TRUE, ""其他""
)"),"真實收入")</f>
        <v>真實收入</v>
      </c>
      <c r="K4832" s="270">
        <f t="shared" si="2"/>
        <v>13500</v>
      </c>
      <c r="L4832">
        <f t="shared" si="3"/>
        <v>0</v>
      </c>
    </row>
    <row r="4833">
      <c r="A4833" s="107">
        <f>IFERROR(__xludf.DUMMYFUNCTION("""COMPUTED_VALUE"""),45992.0)</f>
        <v>45992</v>
      </c>
      <c r="B4833" t="str">
        <f>IFERROR(__xludf.DUMMYFUNCTION("""COMPUTED_VALUE"""),"[內湖CityLink] A [陳昕湄] 月租金 後五碼:08344 (行號: 19, 20)")</f>
        <v>[內湖CityLink] A [陳昕湄] 月租金 後五碼:08344 (行號: 19, 20)</v>
      </c>
      <c r="C4833" t="str">
        <f>IFERROR(__xludf.DUMMYFUNCTION("""COMPUTED_VALUE"""),"收入 - 租金")</f>
        <v>收入 - 租金</v>
      </c>
      <c r="D4833" s="270">
        <f>IFERROR(__xludf.DUMMYFUNCTION("""COMPUTED_VALUE"""),14800.0)</f>
        <v>14800</v>
      </c>
      <c r="F4833" t="str">
        <f>IFERROR(__xludf.DUMMYFUNCTION("""COMPUTED_VALUE"""),"玉山帳戶")</f>
        <v>玉山帳戶</v>
      </c>
      <c r="G4833" t="str">
        <f>IFERROR(__xludf.DUMMYFUNCTION("""COMPUTED_VALUE"""),"內湖CityLink")</f>
        <v>內湖CityLink</v>
      </c>
      <c r="H4833" s="106" t="str">
        <f t="shared" si="1"/>
        <v>2025-12</v>
      </c>
      <c r="I4833" s="271" t="str">
        <f>IFERROR(__xludf.DUMMYFUNCTION("""COMPUTED_VALUE"""),"鯰魚大大")</f>
        <v>鯰魚大大</v>
      </c>
      <c r="J4833" t="str">
        <f>IFERROR(__xludf.DUMMYFUNCTION("IFS(
  AND(REGEXMATCH(E4833, ""台銀籌備帳戶|玉山帳戶""), REGEXMATCH(C4833, ""薪資"")), ""分潤支出"",
  AND(REGEXMATCH(E4833, ""Ben帳戶|Elsa帳戶|Ben代墊|Ariel代墊|中信銀行共用""), REGEXMATCH(F4833, ""Ben帳戶|Elsa帳戶|Ben代墊|Ariel代墊|中信銀行共用"")), ""內部轉帳(忽略)"",
  AND(E4833&lt;&gt;"""", F4833&lt;&gt;"""", N"&amp;"OT(REGEXMATCH(C4833, ""薪資""))), ""內部轉帳(忽略)"",
  REGEXMATCH(C4833, ""薪資""), ""薪資變動(不計入)"",
  REGEXMATCH(C4833, ""押金""), ""押金往來"",
  AND(E4833&lt;&gt;"""", F4833=""""), ""真實支出"",
  AND(E4833="""", F4833&lt;&gt;""""), ""真實收入"",
  TRUE, ""其他""
)"),"真實收入")</f>
        <v>真實收入</v>
      </c>
      <c r="K4833" s="270">
        <f t="shared" si="2"/>
        <v>14800</v>
      </c>
      <c r="L4833">
        <f t="shared" si="3"/>
        <v>0</v>
      </c>
    </row>
    <row r="4834">
      <c r="A4834" s="107">
        <f>IFERROR(__xludf.DUMMYFUNCTION("""COMPUTED_VALUE"""),45992.0)</f>
        <v>45992</v>
      </c>
      <c r="B4834" t="str">
        <f>IFERROR(__xludf.DUMMYFUNCTION("""COMPUTED_VALUE"""),"[行天宮夏野良栗] A [鄒欣穎] 月租金 後五碼:29450 (行號: 21)")</f>
        <v>[行天宮夏野良栗] A [鄒欣穎] 月租金 後五碼:29450 (行號: 21)</v>
      </c>
      <c r="C4834" t="str">
        <f>IFERROR(__xludf.DUMMYFUNCTION("""COMPUTED_VALUE"""),"收入 - 租金")</f>
        <v>收入 - 租金</v>
      </c>
      <c r="D4834" s="270">
        <f>IFERROR(__xludf.DUMMYFUNCTION("""COMPUTED_VALUE"""),14200.0)</f>
        <v>14200</v>
      </c>
      <c r="F4834" t="str">
        <f>IFERROR(__xludf.DUMMYFUNCTION("""COMPUTED_VALUE"""),"玉山帳戶")</f>
        <v>玉山帳戶</v>
      </c>
      <c r="G4834" t="str">
        <f>IFERROR(__xludf.DUMMYFUNCTION("""COMPUTED_VALUE"""),"行天宮夏野良栗")</f>
        <v>行天宮夏野良栗</v>
      </c>
      <c r="H4834" s="106" t="str">
        <f t="shared" si="1"/>
        <v>2025-12</v>
      </c>
      <c r="I4834" s="271" t="str">
        <f>IFERROR(__xludf.DUMMYFUNCTION("""COMPUTED_VALUE"""),"鯰魚大大")</f>
        <v>鯰魚大大</v>
      </c>
      <c r="J4834" t="str">
        <f>IFERROR(__xludf.DUMMYFUNCTION("IFS(
  AND(REGEXMATCH(E4834, ""台銀籌備帳戶|玉山帳戶""), REGEXMATCH(C4834, ""薪資"")), ""分潤支出"",
  AND(REGEXMATCH(E4834, ""Ben帳戶|Elsa帳戶|Ben代墊|Ariel代墊|中信銀行共用""), REGEXMATCH(F4834, ""Ben帳戶|Elsa帳戶|Ben代墊|Ariel代墊|中信銀行共用"")), ""內部轉帳(忽略)"",
  AND(E4834&lt;&gt;"""", F4834&lt;&gt;"""", N"&amp;"OT(REGEXMATCH(C4834, ""薪資""))), ""內部轉帳(忽略)"",
  REGEXMATCH(C4834, ""薪資""), ""薪資變動(不計入)"",
  REGEXMATCH(C4834, ""押金""), ""押金往來"",
  AND(E4834&lt;&gt;"""", F4834=""""), ""真實支出"",
  AND(E4834="""", F4834&lt;&gt;""""), ""真實收入"",
  TRUE, ""其他""
)"),"真實收入")</f>
        <v>真實收入</v>
      </c>
      <c r="K4834" s="270">
        <f t="shared" si="2"/>
        <v>14200</v>
      </c>
      <c r="L4834">
        <f t="shared" si="3"/>
        <v>0</v>
      </c>
    </row>
    <row r="4835">
      <c r="A4835" s="107">
        <f>IFERROR(__xludf.DUMMYFUNCTION("""COMPUTED_VALUE"""),45992.0)</f>
        <v>45992</v>
      </c>
      <c r="B4835" t="str">
        <f>IFERROR(__xludf.DUMMYFUNCTION("""COMPUTED_VALUE"""),"[內湖秘境] A [陳玟涵] 月租金 後五碼:18127 (行號: 22)")</f>
        <v>[內湖秘境] A [陳玟涵] 月租金 後五碼:18127 (行號: 22)</v>
      </c>
      <c r="C4835" t="str">
        <f>IFERROR(__xludf.DUMMYFUNCTION("""COMPUTED_VALUE"""),"收入 - 租金")</f>
        <v>收入 - 租金</v>
      </c>
      <c r="D4835" s="270">
        <f>IFERROR(__xludf.DUMMYFUNCTION("""COMPUTED_VALUE"""),11700.0)</f>
        <v>11700</v>
      </c>
      <c r="F4835" t="str">
        <f>IFERROR(__xludf.DUMMYFUNCTION("""COMPUTED_VALUE"""),"玉山帳戶")</f>
        <v>玉山帳戶</v>
      </c>
      <c r="G4835" t="str">
        <f>IFERROR(__xludf.DUMMYFUNCTION("""COMPUTED_VALUE"""),"內湖秘境")</f>
        <v>內湖秘境</v>
      </c>
      <c r="H4835" s="106" t="str">
        <f t="shared" si="1"/>
        <v>2025-12</v>
      </c>
      <c r="I4835" s="271" t="str">
        <f>IFERROR(__xludf.DUMMYFUNCTION("""COMPUTED_VALUE"""),"鯰魚大大")</f>
        <v>鯰魚大大</v>
      </c>
      <c r="J4835" t="str">
        <f>IFERROR(__xludf.DUMMYFUNCTION("IFS(
  AND(REGEXMATCH(E4835, ""台銀籌備帳戶|玉山帳戶""), REGEXMATCH(C4835, ""薪資"")), ""分潤支出"",
  AND(REGEXMATCH(E4835, ""Ben帳戶|Elsa帳戶|Ben代墊|Ariel代墊|中信銀行共用""), REGEXMATCH(F4835, ""Ben帳戶|Elsa帳戶|Ben代墊|Ariel代墊|中信銀行共用"")), ""內部轉帳(忽略)"",
  AND(E4835&lt;&gt;"""", F4835&lt;&gt;"""", N"&amp;"OT(REGEXMATCH(C4835, ""薪資""))), ""內部轉帳(忽略)"",
  REGEXMATCH(C4835, ""薪資""), ""薪資變動(不計入)"",
  REGEXMATCH(C4835, ""押金""), ""押金往來"",
  AND(E4835&lt;&gt;"""", F4835=""""), ""真實支出"",
  AND(E4835="""", F4835&lt;&gt;""""), ""真實收入"",
  TRUE, ""其他""
)"),"真實收入")</f>
        <v>真實收入</v>
      </c>
      <c r="K4835" s="270">
        <f t="shared" si="2"/>
        <v>11700</v>
      </c>
      <c r="L4835">
        <f t="shared" si="3"/>
        <v>0</v>
      </c>
    </row>
    <row r="4836">
      <c r="A4836" s="107">
        <f>IFERROR(__xludf.DUMMYFUNCTION("""COMPUTED_VALUE"""),45992.0)</f>
        <v>45992</v>
      </c>
      <c r="B4836" t="str">
        <f>IFERROR(__xludf.DUMMYFUNCTION("""COMPUTED_VALUE"""),"[內湖CityLink] C [汪建豪] 月租金 後五碼:23610 (行號: 23)")</f>
        <v>[內湖CityLink] C [汪建豪] 月租金 後五碼:23610 (行號: 23)</v>
      </c>
      <c r="C4836" t="str">
        <f>IFERROR(__xludf.DUMMYFUNCTION("""COMPUTED_VALUE"""),"收入 - 租金")</f>
        <v>收入 - 租金</v>
      </c>
      <c r="D4836" s="270">
        <f>IFERROR(__xludf.DUMMYFUNCTION("""COMPUTED_VALUE"""),12500.0)</f>
        <v>12500</v>
      </c>
      <c r="F4836" t="str">
        <f>IFERROR(__xludf.DUMMYFUNCTION("""COMPUTED_VALUE"""),"玉山帳戶")</f>
        <v>玉山帳戶</v>
      </c>
      <c r="G4836" t="str">
        <f>IFERROR(__xludf.DUMMYFUNCTION("""COMPUTED_VALUE"""),"內湖CityLink")</f>
        <v>內湖CityLink</v>
      </c>
      <c r="H4836" s="106" t="str">
        <f t="shared" si="1"/>
        <v>2025-12</v>
      </c>
      <c r="I4836" s="271" t="str">
        <f>IFERROR(__xludf.DUMMYFUNCTION("""COMPUTED_VALUE"""),"鯰魚大大")</f>
        <v>鯰魚大大</v>
      </c>
      <c r="J4836" t="str">
        <f>IFERROR(__xludf.DUMMYFUNCTION("IFS(
  AND(REGEXMATCH(E4836, ""台銀籌備帳戶|玉山帳戶""), REGEXMATCH(C4836, ""薪資"")), ""分潤支出"",
  AND(REGEXMATCH(E4836, ""Ben帳戶|Elsa帳戶|Ben代墊|Ariel代墊|中信銀行共用""), REGEXMATCH(F4836, ""Ben帳戶|Elsa帳戶|Ben代墊|Ariel代墊|中信銀行共用"")), ""內部轉帳(忽略)"",
  AND(E4836&lt;&gt;"""", F4836&lt;&gt;"""", N"&amp;"OT(REGEXMATCH(C4836, ""薪資""))), ""內部轉帳(忽略)"",
  REGEXMATCH(C4836, ""薪資""), ""薪資變動(不計入)"",
  REGEXMATCH(C4836, ""押金""), ""押金往來"",
  AND(E4836&lt;&gt;"""", F4836=""""), ""真實支出"",
  AND(E4836="""", F4836&lt;&gt;""""), ""真實收入"",
  TRUE, ""其他""
)"),"真實收入")</f>
        <v>真實收入</v>
      </c>
      <c r="K4836" s="270">
        <f t="shared" si="2"/>
        <v>12500</v>
      </c>
      <c r="L4836">
        <f t="shared" si="3"/>
        <v>0</v>
      </c>
    </row>
    <row r="4837">
      <c r="A4837" s="107">
        <f>IFERROR(__xludf.DUMMYFUNCTION("""COMPUTED_VALUE"""),45993.0)</f>
        <v>45993</v>
      </c>
      <c r="B4837" t="str">
        <f>IFERROR(__xludf.DUMMYFUNCTION("""COMPUTED_VALUE"""),"費用 - 匯費 對方行:700 後五碼:84843 (行號: 24)")</f>
        <v>費用 - 匯費 對方行:700 後五碼:84843 (行號: 24)</v>
      </c>
      <c r="C4837" t="str">
        <f>IFERROR(__xludf.DUMMYFUNCTION("""COMPUTED_VALUE"""),"費用 - 匯費")</f>
        <v>費用 - 匯費</v>
      </c>
      <c r="D4837" s="270">
        <f>IFERROR(__xludf.DUMMYFUNCTION("""COMPUTED_VALUE"""),-15.0)</f>
        <v>-15</v>
      </c>
      <c r="E4837" t="str">
        <f>IFERROR(__xludf.DUMMYFUNCTION("""COMPUTED_VALUE"""),"玉山帳戶")</f>
        <v>玉山帳戶</v>
      </c>
      <c r="H4837" s="106" t="str">
        <f t="shared" si="1"/>
        <v>2025-12</v>
      </c>
      <c r="I4837" s="271" t="str">
        <f>IFERROR(__xludf.DUMMYFUNCTION("""COMPUTED_VALUE"""),"鯰魚大大")</f>
        <v>鯰魚大大</v>
      </c>
      <c r="J4837" t="str">
        <f>IFERROR(__xludf.DUMMYFUNCTION("IFS(
  AND(REGEXMATCH(E4837, ""台銀籌備帳戶|玉山帳戶""), REGEXMATCH(C4837, ""薪資"")), ""分潤支出"",
  AND(REGEXMATCH(E4837, ""Ben帳戶|Elsa帳戶|Ben代墊|Ariel代墊|中信銀行共用""), REGEXMATCH(F4837, ""Ben帳戶|Elsa帳戶|Ben代墊|Ariel代墊|中信銀行共用"")), ""內部轉帳(忽略)"",
  AND(E4837&lt;&gt;"""", F4837&lt;&gt;"""", N"&amp;"OT(REGEXMATCH(C4837, ""薪資""))), ""內部轉帳(忽略)"",
  REGEXMATCH(C4837, ""薪資""), ""薪資變動(不計入)"",
  REGEXMATCH(C4837, ""押金""), ""押金往來"",
  AND(E4837&lt;&gt;"""", F4837=""""), ""真實支出"",
  AND(E4837="""", F4837&lt;&gt;""""), ""真實收入"",
  TRUE, ""其他""
)"),"真實支出")</f>
        <v>真實支出</v>
      </c>
      <c r="K4837" s="270">
        <f t="shared" si="2"/>
        <v>-15</v>
      </c>
      <c r="L4837">
        <f t="shared" si="3"/>
        <v>0</v>
      </c>
    </row>
    <row r="4838">
      <c r="A4838" s="107">
        <f>IFERROR(__xludf.DUMMYFUNCTION("""COMPUTED_VALUE"""),45993.0)</f>
        <v>45993</v>
      </c>
      <c r="B4838" t="str">
        <f>IFERROR(__xludf.DUMMYFUNCTION("""COMPUTED_VALUE"""),"[內湖秘境] [周佳慧] 大租金")</f>
        <v>[內湖秘境] [周佳慧] 大租金</v>
      </c>
      <c r="C4838" t="str">
        <f>IFERROR(__xludf.DUMMYFUNCTION("""COMPUTED_VALUE"""),"成本 - 大租金")</f>
        <v>成本 - 大租金</v>
      </c>
      <c r="D4838" s="270">
        <f>IFERROR(__xludf.DUMMYFUNCTION("""COMPUTED_VALUE"""),-15000.0)</f>
        <v>-15000</v>
      </c>
      <c r="E4838" t="str">
        <f>IFERROR(__xludf.DUMMYFUNCTION("""COMPUTED_VALUE"""),"玉山帳戶")</f>
        <v>玉山帳戶</v>
      </c>
      <c r="G4838" t="str">
        <f>IFERROR(__xludf.DUMMYFUNCTION("""COMPUTED_VALUE"""),"內湖秘境")</f>
        <v>內湖秘境</v>
      </c>
      <c r="H4838" s="106" t="str">
        <f t="shared" si="1"/>
        <v>2025-12</v>
      </c>
      <c r="I4838" s="271" t="str">
        <f>IFERROR(__xludf.DUMMYFUNCTION("""COMPUTED_VALUE"""),"鯰魚大大")</f>
        <v>鯰魚大大</v>
      </c>
      <c r="J4838" t="str">
        <f>IFERROR(__xludf.DUMMYFUNCTION("IFS(
  AND(REGEXMATCH(E4838, ""台銀籌備帳戶|玉山帳戶""), REGEXMATCH(C4838, ""薪資"")), ""分潤支出"",
  AND(REGEXMATCH(E4838, ""Ben帳戶|Elsa帳戶|Ben代墊|Ariel代墊|中信銀行共用""), REGEXMATCH(F4838, ""Ben帳戶|Elsa帳戶|Ben代墊|Ariel代墊|中信銀行共用"")), ""內部轉帳(忽略)"",
  AND(E4838&lt;&gt;"""", F4838&lt;&gt;"""", N"&amp;"OT(REGEXMATCH(C4838, ""薪資""))), ""內部轉帳(忽略)"",
  REGEXMATCH(C4838, ""薪資""), ""薪資變動(不計入)"",
  REGEXMATCH(C4838, ""押金""), ""押金往來"",
  AND(E4838&lt;&gt;"""", F4838=""""), ""真實支出"",
  AND(E4838="""", F4838&lt;&gt;""""), ""真實收入"",
  TRUE, ""其他""
)"),"真實支出")</f>
        <v>真實支出</v>
      </c>
      <c r="K4838" s="270">
        <f t="shared" si="2"/>
        <v>-15000</v>
      </c>
      <c r="L4838">
        <f t="shared" si="3"/>
        <v>0</v>
      </c>
    </row>
    <row r="4839">
      <c r="A4839" s="107">
        <f>IFERROR(__xludf.DUMMYFUNCTION("""COMPUTED_VALUE"""),45993.0)</f>
        <v>45993</v>
      </c>
      <c r="B4839" t="str">
        <f>IFERROR(__xludf.DUMMYFUNCTION("""COMPUTED_VALUE""")," [內湖秘境] D [王敏誠] 合約 半年租金 後五碼:30641 ")</f>
        <v> [內湖秘境] D [王敏誠] 合約 半年租金 後五碼:30641 </v>
      </c>
      <c r="C4839" t="str">
        <f>IFERROR(__xludf.DUMMYFUNCTION("""COMPUTED_VALUE"""),"收入 - 租金")</f>
        <v>收入 - 租金</v>
      </c>
      <c r="D4839" s="270">
        <f>IFERROR(__xludf.DUMMYFUNCTION("""COMPUTED_VALUE"""),79200.0)</f>
        <v>79200</v>
      </c>
      <c r="F4839" t="str">
        <f>IFERROR(__xludf.DUMMYFUNCTION("""COMPUTED_VALUE"""),"玉山帳戶")</f>
        <v>玉山帳戶</v>
      </c>
      <c r="G4839" t="str">
        <f>IFERROR(__xludf.DUMMYFUNCTION("""COMPUTED_VALUE"""),"內湖秘境")</f>
        <v>內湖秘境</v>
      </c>
      <c r="H4839" s="106" t="str">
        <f t="shared" si="1"/>
        <v>2025-12</v>
      </c>
      <c r="I4839" s="271" t="str">
        <f>IFERROR(__xludf.DUMMYFUNCTION("""COMPUTED_VALUE"""),"鯰魚大大")</f>
        <v>鯰魚大大</v>
      </c>
      <c r="J4839" t="str">
        <f>IFERROR(__xludf.DUMMYFUNCTION("IFS(
  AND(REGEXMATCH(E4839, ""台銀籌備帳戶|玉山帳戶""), REGEXMATCH(C4839, ""薪資"")), ""分潤支出"",
  AND(REGEXMATCH(E4839, ""Ben帳戶|Elsa帳戶|Ben代墊|Ariel代墊|中信銀行共用""), REGEXMATCH(F4839, ""Ben帳戶|Elsa帳戶|Ben代墊|Ariel代墊|中信銀行共用"")), ""內部轉帳(忽略)"",
  AND(E4839&lt;&gt;"""", F4839&lt;&gt;"""", N"&amp;"OT(REGEXMATCH(C4839, ""薪資""))), ""內部轉帳(忽略)"",
  REGEXMATCH(C4839, ""薪資""), ""薪資變動(不計入)"",
  REGEXMATCH(C4839, ""押金""), ""押金往來"",
  AND(E4839&lt;&gt;"""", F4839=""""), ""真實支出"",
  AND(E4839="""", F4839&lt;&gt;""""), ""真實收入"",
  TRUE, ""其他""
)"),"真實收入")</f>
        <v>真實收入</v>
      </c>
      <c r="K4839" s="270">
        <f t="shared" si="2"/>
        <v>79200</v>
      </c>
      <c r="L4839">
        <f t="shared" si="3"/>
        <v>0</v>
      </c>
    </row>
    <row r="4840">
      <c r="A4840" s="107">
        <f>IFERROR(__xludf.DUMMYFUNCTION("""COMPUTED_VALUE"""),45993.0)</f>
        <v>45993</v>
      </c>
      <c r="B4840" t="str">
        <f>IFERROR(__xludf.DUMMYFUNCTION("""COMPUTED_VALUE"""),"國世銀 【 後五碼:90275 】內湖B定金")</f>
        <v>國世銀 【 後五碼:90275 】內湖B定金</v>
      </c>
      <c r="C4840" t="str">
        <f>IFERROR(__xludf.DUMMYFUNCTION("""COMPUTED_VALUE"""),"收入 - 定金")</f>
        <v>收入 - 定金</v>
      </c>
      <c r="D4840" s="270">
        <f>IFERROR(__xludf.DUMMYFUNCTION("""COMPUTED_VALUE"""),10000.0)</f>
        <v>10000</v>
      </c>
      <c r="F4840" t="str">
        <f>IFERROR(__xludf.DUMMYFUNCTION("""COMPUTED_VALUE"""),"玉山帳戶")</f>
        <v>玉山帳戶</v>
      </c>
      <c r="G4840" t="str">
        <f>IFERROR(__xludf.DUMMYFUNCTION("""COMPUTED_VALUE"""),"內湖秘境")</f>
        <v>內湖秘境</v>
      </c>
      <c r="H4840" s="106" t="str">
        <f t="shared" si="1"/>
        <v>2025-12</v>
      </c>
      <c r="I4840" s="271" t="str">
        <f>IFERROR(__xludf.DUMMYFUNCTION("""COMPUTED_VALUE"""),"鯰魚大大")</f>
        <v>鯰魚大大</v>
      </c>
      <c r="J4840" t="str">
        <f>IFERROR(__xludf.DUMMYFUNCTION("IFS(
  AND(REGEXMATCH(E4840, ""台銀籌備帳戶|玉山帳戶""), REGEXMATCH(C4840, ""薪資"")), ""分潤支出"",
  AND(REGEXMATCH(E4840, ""Ben帳戶|Elsa帳戶|Ben代墊|Ariel代墊|中信銀行共用""), REGEXMATCH(F4840, ""Ben帳戶|Elsa帳戶|Ben代墊|Ariel代墊|中信銀行共用"")), ""內部轉帳(忽略)"",
  AND(E4840&lt;&gt;"""", F4840&lt;&gt;"""", N"&amp;"OT(REGEXMATCH(C4840, ""薪資""))), ""內部轉帳(忽略)"",
  REGEXMATCH(C4840, ""薪資""), ""薪資變動(不計入)"",
  REGEXMATCH(C4840, ""押金""), ""押金往來"",
  AND(E4840&lt;&gt;"""", F4840=""""), ""真實支出"",
  AND(E4840="""", F4840&lt;&gt;""""), ""真實收入"",
  TRUE, ""其他""
)"),"真實收入")</f>
        <v>真實收入</v>
      </c>
      <c r="K4840" s="270">
        <f t="shared" si="2"/>
        <v>10000</v>
      </c>
      <c r="L4840">
        <f t="shared" si="3"/>
        <v>0</v>
      </c>
    </row>
    <row r="4841">
      <c r="A4841" s="107">
        <f>IFERROR(__xludf.DUMMYFUNCTION("""COMPUTED_VALUE"""),45993.0)</f>
        <v>45993</v>
      </c>
      <c r="B4841" t="str">
        <f>IFERROR(__xludf.DUMMYFUNCTION("""COMPUTED_VALUE"""),"[內湖秘境] C [黃詩穎] 月租金 後五碼:53074 (行號: 28)")</f>
        <v>[內湖秘境] C [黃詩穎] 月租金 後五碼:53074 (行號: 28)</v>
      </c>
      <c r="C4841" t="str">
        <f>IFERROR(__xludf.DUMMYFUNCTION("""COMPUTED_VALUE"""),"收入 - 租金")</f>
        <v>收入 - 租金</v>
      </c>
      <c r="D4841" s="270">
        <f>IFERROR(__xludf.DUMMYFUNCTION("""COMPUTED_VALUE"""),14800.0)</f>
        <v>14800</v>
      </c>
      <c r="F4841" t="str">
        <f>IFERROR(__xludf.DUMMYFUNCTION("""COMPUTED_VALUE"""),"玉山帳戶")</f>
        <v>玉山帳戶</v>
      </c>
      <c r="G4841" t="str">
        <f>IFERROR(__xludf.DUMMYFUNCTION("""COMPUTED_VALUE"""),"內湖秘境")</f>
        <v>內湖秘境</v>
      </c>
      <c r="H4841" s="106" t="str">
        <f t="shared" si="1"/>
        <v>2025-12</v>
      </c>
      <c r="I4841" s="271" t="str">
        <f>IFERROR(__xludf.DUMMYFUNCTION("""COMPUTED_VALUE"""),"鯰魚大大")</f>
        <v>鯰魚大大</v>
      </c>
      <c r="J4841" t="str">
        <f>IFERROR(__xludf.DUMMYFUNCTION("IFS(
  AND(REGEXMATCH(E4841, ""台銀籌備帳戶|玉山帳戶""), REGEXMATCH(C4841, ""薪資"")), ""分潤支出"",
  AND(REGEXMATCH(E4841, ""Ben帳戶|Elsa帳戶|Ben代墊|Ariel代墊|中信銀行共用""), REGEXMATCH(F4841, ""Ben帳戶|Elsa帳戶|Ben代墊|Ariel代墊|中信銀行共用"")), ""內部轉帳(忽略)"",
  AND(E4841&lt;&gt;"""", F4841&lt;&gt;"""", N"&amp;"OT(REGEXMATCH(C4841, ""薪資""))), ""內部轉帳(忽略)"",
  REGEXMATCH(C4841, ""薪資""), ""薪資變動(不計入)"",
  REGEXMATCH(C4841, ""押金""), ""押金往來"",
  AND(E4841&lt;&gt;"""", F4841=""""), ""真實支出"",
  AND(E4841="""", F4841&lt;&gt;""""), ""真實收入"",
  TRUE, ""其他""
)"),"真實收入")</f>
        <v>真實收入</v>
      </c>
      <c r="K4841" s="270">
        <f t="shared" si="2"/>
        <v>14800</v>
      </c>
      <c r="L4841">
        <f t="shared" si="3"/>
        <v>0</v>
      </c>
    </row>
    <row r="4842">
      <c r="A4842" s="107">
        <f>IFERROR(__xludf.DUMMYFUNCTION("""COMPUTED_VALUE"""),45993.0)</f>
        <v>45993</v>
      </c>
      <c r="B4842" t="str">
        <f>IFERROR(__xludf.DUMMYFUNCTION("""COMPUTED_VALUE"""),"[內湖CityLink] F [Ardian Umam] 月租金 後五碼:65463 (行號: 29)")</f>
        <v>[內湖CityLink] F [Ardian Umam] 月租金 後五碼:65463 (行號: 29)</v>
      </c>
      <c r="C4842" t="str">
        <f>IFERROR(__xludf.DUMMYFUNCTION("""COMPUTED_VALUE"""),"收入 - 租金")</f>
        <v>收入 - 租金</v>
      </c>
      <c r="D4842" s="270">
        <f>IFERROR(__xludf.DUMMYFUNCTION("""COMPUTED_VALUE"""),13300.0)</f>
        <v>13300</v>
      </c>
      <c r="F4842" t="str">
        <f>IFERROR(__xludf.DUMMYFUNCTION("""COMPUTED_VALUE"""),"玉山帳戶")</f>
        <v>玉山帳戶</v>
      </c>
      <c r="G4842" t="str">
        <f>IFERROR(__xludf.DUMMYFUNCTION("""COMPUTED_VALUE"""),"內湖CityLink")</f>
        <v>內湖CityLink</v>
      </c>
      <c r="H4842" s="106" t="str">
        <f t="shared" si="1"/>
        <v>2025-12</v>
      </c>
      <c r="I4842" s="271" t="str">
        <f>IFERROR(__xludf.DUMMYFUNCTION("""COMPUTED_VALUE"""),"鯰魚大大")</f>
        <v>鯰魚大大</v>
      </c>
      <c r="J4842" t="str">
        <f>IFERROR(__xludf.DUMMYFUNCTION("IFS(
  AND(REGEXMATCH(E4842, ""台銀籌備帳戶|玉山帳戶""), REGEXMATCH(C4842, ""薪資"")), ""分潤支出"",
  AND(REGEXMATCH(E4842, ""Ben帳戶|Elsa帳戶|Ben代墊|Ariel代墊|中信銀行共用""), REGEXMATCH(F4842, ""Ben帳戶|Elsa帳戶|Ben代墊|Ariel代墊|中信銀行共用"")), ""內部轉帳(忽略)"",
  AND(E4842&lt;&gt;"""", F4842&lt;&gt;"""", N"&amp;"OT(REGEXMATCH(C4842, ""薪資""))), ""內部轉帳(忽略)"",
  REGEXMATCH(C4842, ""薪資""), ""薪資變動(不計入)"",
  REGEXMATCH(C4842, ""押金""), ""押金往來"",
  AND(E4842&lt;&gt;"""", F4842=""""), ""真實支出"",
  AND(E4842="""", F4842&lt;&gt;""""), ""真實收入"",
  TRUE, ""其他""
)"),"真實收入")</f>
        <v>真實收入</v>
      </c>
      <c r="K4842" s="270">
        <f t="shared" si="2"/>
        <v>13300</v>
      </c>
      <c r="L4842">
        <f t="shared" si="3"/>
        <v>0</v>
      </c>
    </row>
    <row r="4843">
      <c r="A4843" s="107">
        <f>IFERROR(__xludf.DUMMYFUNCTION("""COMPUTED_VALUE"""),45994.0)</f>
        <v>45994</v>
      </c>
      <c r="B4843" t="str">
        <f>IFERROR(__xludf.DUMMYFUNCTION("""COMPUTED_VALUE"""),"費用 - 匯費 對方行:810 後五碼:77212 (行號: 30)")</f>
        <v>費用 - 匯費 對方行:810 後五碼:77212 (行號: 30)</v>
      </c>
      <c r="C4843" t="str">
        <f>IFERROR(__xludf.DUMMYFUNCTION("""COMPUTED_VALUE"""),"費用 - 匯費")</f>
        <v>費用 - 匯費</v>
      </c>
      <c r="D4843" s="270">
        <f>IFERROR(__xludf.DUMMYFUNCTION("""COMPUTED_VALUE"""),-15.0)</f>
        <v>-15</v>
      </c>
      <c r="E4843" t="str">
        <f>IFERROR(__xludf.DUMMYFUNCTION("""COMPUTED_VALUE"""),"玉山帳戶")</f>
        <v>玉山帳戶</v>
      </c>
      <c r="H4843" s="106" t="str">
        <f t="shared" si="1"/>
        <v>2025-12</v>
      </c>
      <c r="I4843" s="271" t="str">
        <f>IFERROR(__xludf.DUMMYFUNCTION("""COMPUTED_VALUE"""),"鯰魚大大")</f>
        <v>鯰魚大大</v>
      </c>
      <c r="J4843" t="str">
        <f>IFERROR(__xludf.DUMMYFUNCTION("IFS(
  AND(REGEXMATCH(E4843, ""台銀籌備帳戶|玉山帳戶""), REGEXMATCH(C4843, ""薪資"")), ""分潤支出"",
  AND(REGEXMATCH(E4843, ""Ben帳戶|Elsa帳戶|Ben代墊|Ariel代墊|中信銀行共用""), REGEXMATCH(F4843, ""Ben帳戶|Elsa帳戶|Ben代墊|Ariel代墊|中信銀行共用"")), ""內部轉帳(忽略)"",
  AND(E4843&lt;&gt;"""", F4843&lt;&gt;"""", N"&amp;"OT(REGEXMATCH(C4843, ""薪資""))), ""內部轉帳(忽略)"",
  REGEXMATCH(C4843, ""薪資""), ""薪資變動(不計入)"",
  REGEXMATCH(C4843, ""押金""), ""押金往來"",
  AND(E4843&lt;&gt;"""", F4843=""""), ""真實支出"",
  AND(E4843="""", F4843&lt;&gt;""""), ""真實收入"",
  TRUE, ""其他""
)"),"真實支出")</f>
        <v>真實支出</v>
      </c>
      <c r="K4843" s="270">
        <f t="shared" si="2"/>
        <v>-15</v>
      </c>
      <c r="L4843">
        <f t="shared" si="3"/>
        <v>0</v>
      </c>
    </row>
    <row r="4844">
      <c r="A4844" s="107">
        <f>IFERROR(__xludf.DUMMYFUNCTION("""COMPUTED_VALUE"""),45994.0)</f>
        <v>45994</v>
      </c>
      <c r="B4844" t="str">
        <f>IFERROR(__xludf.DUMMYFUNCTION("""COMPUTED_VALUE"""),"[內湖秘境] [周佳慧] 大租金")</f>
        <v>[內湖秘境] [周佳慧] 大租金</v>
      </c>
      <c r="C4844" t="str">
        <f>IFERROR(__xludf.DUMMYFUNCTION("""COMPUTED_VALUE"""),"成本 - 大租金")</f>
        <v>成本 - 大租金</v>
      </c>
      <c r="D4844" s="270">
        <f>IFERROR(__xludf.DUMMYFUNCTION("""COMPUTED_VALUE"""),-15000.0)</f>
        <v>-15000</v>
      </c>
      <c r="E4844" t="str">
        <f>IFERROR(__xludf.DUMMYFUNCTION("""COMPUTED_VALUE"""),"玉山帳戶")</f>
        <v>玉山帳戶</v>
      </c>
      <c r="G4844" t="str">
        <f>IFERROR(__xludf.DUMMYFUNCTION("""COMPUTED_VALUE"""),"內湖秘境")</f>
        <v>內湖秘境</v>
      </c>
      <c r="H4844" s="106" t="str">
        <f t="shared" si="1"/>
        <v>2025-12</v>
      </c>
      <c r="I4844" s="271" t="str">
        <f>IFERROR(__xludf.DUMMYFUNCTION("""COMPUTED_VALUE"""),"鯰魚大大")</f>
        <v>鯰魚大大</v>
      </c>
      <c r="J4844" t="str">
        <f>IFERROR(__xludf.DUMMYFUNCTION("IFS(
  AND(REGEXMATCH(E4844, ""台銀籌備帳戶|玉山帳戶""), REGEXMATCH(C4844, ""薪資"")), ""分潤支出"",
  AND(REGEXMATCH(E4844, ""Ben帳戶|Elsa帳戶|Ben代墊|Ariel代墊|中信銀行共用""), REGEXMATCH(F4844, ""Ben帳戶|Elsa帳戶|Ben代墊|Ariel代墊|中信銀行共用"")), ""內部轉帳(忽略)"",
  AND(E4844&lt;&gt;"""", F4844&lt;&gt;"""", N"&amp;"OT(REGEXMATCH(C4844, ""薪資""))), ""內部轉帳(忽略)"",
  REGEXMATCH(C4844, ""薪資""), ""薪資變動(不計入)"",
  REGEXMATCH(C4844, ""押金""), ""押金往來"",
  AND(E4844&lt;&gt;"""", F4844=""""), ""真實支出"",
  AND(E4844="""", F4844&lt;&gt;""""), ""真實收入"",
  TRUE, ""其他""
)"),"真實支出")</f>
        <v>真實支出</v>
      </c>
      <c r="K4844" s="270">
        <f t="shared" si="2"/>
        <v>-15000</v>
      </c>
      <c r="L4844">
        <f t="shared" si="3"/>
        <v>0</v>
      </c>
    </row>
    <row r="4845">
      <c r="A4845" s="107">
        <f>IFERROR(__xludf.DUMMYFUNCTION("""COMPUTED_VALUE"""),45994.0)</f>
        <v>45994</v>
      </c>
      <c r="B4845" t="str">
        <f>IFERROR(__xludf.DUMMYFUNCTION("""COMPUTED_VALUE"""),"[行天宮夏野良栗] C [黃伊妍] 月租金 後五碼:26146 (行號: 31)")</f>
        <v>[行天宮夏野良栗] C [黃伊妍] 月租金 後五碼:26146 (行號: 31)</v>
      </c>
      <c r="C4845" t="str">
        <f>IFERROR(__xludf.DUMMYFUNCTION("""COMPUTED_VALUE"""),"收入 - 租金")</f>
        <v>收入 - 租金</v>
      </c>
      <c r="D4845" s="270">
        <f>IFERROR(__xludf.DUMMYFUNCTION("""COMPUTED_VALUE"""),11000.0)</f>
        <v>11000</v>
      </c>
      <c r="F4845" t="str">
        <f>IFERROR(__xludf.DUMMYFUNCTION("""COMPUTED_VALUE"""),"玉山帳戶")</f>
        <v>玉山帳戶</v>
      </c>
      <c r="G4845" t="str">
        <f>IFERROR(__xludf.DUMMYFUNCTION("""COMPUTED_VALUE"""),"行天宮夏野良栗")</f>
        <v>行天宮夏野良栗</v>
      </c>
      <c r="H4845" s="106" t="str">
        <f t="shared" si="1"/>
        <v>2025-12</v>
      </c>
      <c r="I4845" s="271" t="str">
        <f>IFERROR(__xludf.DUMMYFUNCTION("""COMPUTED_VALUE"""),"鯰魚大大")</f>
        <v>鯰魚大大</v>
      </c>
      <c r="J4845" t="str">
        <f>IFERROR(__xludf.DUMMYFUNCTION("IFS(
  AND(REGEXMATCH(E4845, ""台銀籌備帳戶|玉山帳戶""), REGEXMATCH(C4845, ""薪資"")), ""分潤支出"",
  AND(REGEXMATCH(E4845, ""Ben帳戶|Elsa帳戶|Ben代墊|Ariel代墊|中信銀行共用""), REGEXMATCH(F4845, ""Ben帳戶|Elsa帳戶|Ben代墊|Ariel代墊|中信銀行共用"")), ""內部轉帳(忽略)"",
  AND(E4845&lt;&gt;"""", F4845&lt;&gt;"""", N"&amp;"OT(REGEXMATCH(C4845, ""薪資""))), ""內部轉帳(忽略)"",
  REGEXMATCH(C4845, ""薪資""), ""薪資變動(不計入)"",
  REGEXMATCH(C4845, ""押金""), ""押金往來"",
  AND(E4845&lt;&gt;"""", F4845=""""), ""真實支出"",
  AND(E4845="""", F4845&lt;&gt;""""), ""真實收入"",
  TRUE, ""其他""
)"),"真實收入")</f>
        <v>真實收入</v>
      </c>
      <c r="K4845" s="270">
        <f t="shared" si="2"/>
        <v>11000</v>
      </c>
      <c r="L4845">
        <f t="shared" si="3"/>
        <v>0</v>
      </c>
    </row>
    <row r="4846">
      <c r="A4846" s="107">
        <f>IFERROR(__xludf.DUMMYFUNCTION("""COMPUTED_VALUE"""),45996.0)</f>
        <v>45996</v>
      </c>
      <c r="B4846" t="str">
        <f>IFERROR(__xludf.DUMMYFUNCTION("""COMPUTED_VALUE"""),"費用 - 匯費 對方行:822 後五碼:33337 (行號: 32)")</f>
        <v>費用 - 匯費 對方行:822 後五碼:33337 (行號: 32)</v>
      </c>
      <c r="C4846" t="str">
        <f>IFERROR(__xludf.DUMMYFUNCTION("""COMPUTED_VALUE"""),"費用 - 匯費")</f>
        <v>費用 - 匯費</v>
      </c>
      <c r="D4846" s="270">
        <f>IFERROR(__xludf.DUMMYFUNCTION("""COMPUTED_VALUE"""),-15.0)</f>
        <v>-15</v>
      </c>
      <c r="E4846" t="str">
        <f>IFERROR(__xludf.DUMMYFUNCTION("""COMPUTED_VALUE"""),"玉山帳戶")</f>
        <v>玉山帳戶</v>
      </c>
      <c r="H4846" s="106" t="str">
        <f t="shared" si="1"/>
        <v>2025-12</v>
      </c>
      <c r="I4846" s="271" t="str">
        <f>IFERROR(__xludf.DUMMYFUNCTION("""COMPUTED_VALUE"""),"鯰魚大大")</f>
        <v>鯰魚大大</v>
      </c>
      <c r="J4846" t="str">
        <f>IFERROR(__xludf.DUMMYFUNCTION("IFS(
  AND(REGEXMATCH(E4846, ""台銀籌備帳戶|玉山帳戶""), REGEXMATCH(C4846, ""薪資"")), ""分潤支出"",
  AND(REGEXMATCH(E4846, ""Ben帳戶|Elsa帳戶|Ben代墊|Ariel代墊|中信銀行共用""), REGEXMATCH(F4846, ""Ben帳戶|Elsa帳戶|Ben代墊|Ariel代墊|中信銀行共用"")), ""內部轉帳(忽略)"",
  AND(E4846&lt;&gt;"""", F4846&lt;&gt;"""", N"&amp;"OT(REGEXMATCH(C4846, ""薪資""))), ""內部轉帳(忽略)"",
  REGEXMATCH(C4846, ""薪資""), ""薪資變動(不計入)"",
  REGEXMATCH(C4846, ""押金""), ""押金往來"",
  AND(E4846&lt;&gt;"""", F4846=""""), ""真實支出"",
  AND(E4846="""", F4846&lt;&gt;""""), ""真實收入"",
  TRUE, ""其他""
)"),"真實支出")</f>
        <v>真實支出</v>
      </c>
      <c r="K4846" s="270">
        <f t="shared" si="2"/>
        <v>-15</v>
      </c>
      <c r="L4846">
        <f t="shared" si="3"/>
        <v>0</v>
      </c>
    </row>
    <row r="4847">
      <c r="A4847" s="107">
        <f>IFERROR(__xludf.DUMMYFUNCTION("""COMPUTED_VALUE"""),45996.0)</f>
        <v>45996</v>
      </c>
      <c r="B4847" t="str">
        <f>IFERROR(__xludf.DUMMYFUNCTION("""COMPUTED_VALUE"""),"代墊款 【未分類支出】")</f>
        <v>代墊款 【未分類支出】</v>
      </c>
      <c r="C4847" t="str">
        <f>IFERROR(__xludf.DUMMYFUNCTION("""COMPUTED_VALUE"""),"費用 - Salary 薪資")</f>
        <v>費用 - Salary 薪資</v>
      </c>
      <c r="D4847" s="270">
        <f>IFERROR(__xludf.DUMMYFUNCTION("""COMPUTED_VALUE"""),-100000.0)</f>
        <v>-100000</v>
      </c>
      <c r="E4847" t="str">
        <f>IFERROR(__xludf.DUMMYFUNCTION("""COMPUTED_VALUE"""),"玉山帳戶")</f>
        <v>玉山帳戶</v>
      </c>
      <c r="F4847" t="str">
        <f>IFERROR(__xludf.DUMMYFUNCTION("""COMPUTED_VALUE"""),"中信銀行共用")</f>
        <v>中信銀行共用</v>
      </c>
      <c r="H4847" s="106" t="str">
        <f t="shared" si="1"/>
        <v>2025-12</v>
      </c>
      <c r="I4847" s="271" t="str">
        <f>IFERROR(__xludf.DUMMYFUNCTION("""COMPUTED_VALUE"""),"鯰魚大大")</f>
        <v>鯰魚大大</v>
      </c>
      <c r="J4847" t="str">
        <f>IFERROR(__xludf.DUMMYFUNCTION("IFS(
  AND(REGEXMATCH(E4847, ""台銀籌備帳戶|玉山帳戶""), REGEXMATCH(C4847, ""薪資"")), ""分潤支出"",
  AND(REGEXMATCH(E4847, ""Ben帳戶|Elsa帳戶|Ben代墊|Ariel代墊|中信銀行共用""), REGEXMATCH(F4847, ""Ben帳戶|Elsa帳戶|Ben代墊|Ariel代墊|中信銀行共用"")), ""內部轉帳(忽略)"",
  AND(E4847&lt;&gt;"""", F4847&lt;&gt;"""", N"&amp;"OT(REGEXMATCH(C4847, ""薪資""))), ""內部轉帳(忽略)"",
  REGEXMATCH(C4847, ""薪資""), ""薪資變動(不計入)"",
  REGEXMATCH(C4847, ""押金""), ""押金往來"",
  AND(E4847&lt;&gt;"""", F4847=""""), ""真實支出"",
  AND(E4847="""", F4847&lt;&gt;""""), ""真實收入"",
  TRUE, ""其他""
)"),"分潤支出")</f>
        <v>分潤支出</v>
      </c>
      <c r="K4847">
        <f t="shared" si="2"/>
        <v>0</v>
      </c>
      <c r="L4847">
        <f t="shared" si="3"/>
        <v>100000</v>
      </c>
    </row>
    <row r="4848">
      <c r="A4848" s="107">
        <f>IFERROR(__xludf.DUMMYFUNCTION("""COMPUTED_VALUE"""),45999.0)</f>
        <v>45999</v>
      </c>
      <c r="B4848" t="str">
        <f>IFERROR(__xludf.DUMMYFUNCTION("""COMPUTED_VALUE"""),"內湖秘境_凱擘網路費")</f>
        <v>內湖秘境_凱擘網路費</v>
      </c>
      <c r="C4848" t="str">
        <f>IFERROR(__xludf.DUMMYFUNCTION("""COMPUTED_VALUE"""),"成本 - 固定開銷(網路代收清潔)")</f>
        <v>成本 - 固定開銷(網路代收清潔)</v>
      </c>
      <c r="D4848" s="270">
        <f>IFERROR(__xludf.DUMMYFUNCTION("""COMPUTED_VALUE"""),-2697.0)</f>
        <v>-2697</v>
      </c>
      <c r="E4848" t="str">
        <f>IFERROR(__xludf.DUMMYFUNCTION("""COMPUTED_VALUE"""),"Ariel代墊")</f>
        <v>Ariel代墊</v>
      </c>
      <c r="G4848" t="str">
        <f>IFERROR(__xludf.DUMMYFUNCTION("""COMPUTED_VALUE"""),"內湖秘境")</f>
        <v>內湖秘境</v>
      </c>
      <c r="H4848" s="106" t="str">
        <f t="shared" si="1"/>
        <v>2025-12</v>
      </c>
      <c r="I4848" s="271" t="str">
        <f>IFERROR(__xludf.DUMMYFUNCTION("""COMPUTED_VALUE"""),"鯰魚大大")</f>
        <v>鯰魚大大</v>
      </c>
      <c r="J4848" t="str">
        <f>IFERROR(__xludf.DUMMYFUNCTION("IFS(
  AND(REGEXMATCH(E4848, ""台銀籌備帳戶|玉山帳戶""), REGEXMATCH(C4848, ""薪資"")), ""分潤支出"",
  AND(REGEXMATCH(E4848, ""Ben帳戶|Elsa帳戶|Ben代墊|Ariel代墊|中信銀行共用""), REGEXMATCH(F4848, ""Ben帳戶|Elsa帳戶|Ben代墊|Ariel代墊|中信銀行共用"")), ""內部轉帳(忽略)"",
  AND(E4848&lt;&gt;"""", F4848&lt;&gt;"""", N"&amp;"OT(REGEXMATCH(C4848, ""薪資""))), ""內部轉帳(忽略)"",
  REGEXMATCH(C4848, ""薪資""), ""薪資變動(不計入)"",
  REGEXMATCH(C4848, ""押金""), ""押金往來"",
  AND(E4848&lt;&gt;"""", F4848=""""), ""真實支出"",
  AND(E4848="""", F4848&lt;&gt;""""), ""真實收入"",
  TRUE, ""其他""
)"),"真實支出")</f>
        <v>真實支出</v>
      </c>
      <c r="K4848" s="270">
        <f t="shared" si="2"/>
        <v>-2697</v>
      </c>
      <c r="L4848">
        <f t="shared" si="3"/>
        <v>0</v>
      </c>
    </row>
    <row r="4849">
      <c r="A4849" s="107">
        <f>IFERROR(__xludf.DUMMYFUNCTION("""COMPUTED_VALUE"""),45999.0)</f>
        <v>45999</v>
      </c>
      <c r="B4849" t="str">
        <f>IFERROR(__xludf.DUMMYFUNCTION("""COMPUTED_VALUE"""),"士林和豐_北都網路")</f>
        <v>士林和豐_北都網路</v>
      </c>
      <c r="C4849" t="str">
        <f>IFERROR(__xludf.DUMMYFUNCTION("""COMPUTED_VALUE"""),"成本 - 固定開銷(網路代收清潔)")</f>
        <v>成本 - 固定開銷(網路代收清潔)</v>
      </c>
      <c r="D4849" s="270">
        <f>IFERROR(__xludf.DUMMYFUNCTION("""COMPUTED_VALUE"""),-1196.0)</f>
        <v>-1196</v>
      </c>
      <c r="E4849" t="str">
        <f>IFERROR(__xludf.DUMMYFUNCTION("""COMPUTED_VALUE"""),"Ariel代墊")</f>
        <v>Ariel代墊</v>
      </c>
      <c r="G4849" t="str">
        <f>IFERROR(__xludf.DUMMYFUNCTION("""COMPUTED_VALUE"""),"士林和豐")</f>
        <v>士林和豐</v>
      </c>
      <c r="H4849" s="106" t="str">
        <f t="shared" si="1"/>
        <v>2025-12</v>
      </c>
      <c r="I4849" s="271" t="str">
        <f>IFERROR(__xludf.DUMMYFUNCTION("""COMPUTED_VALUE"""),"鯰魚大大")</f>
        <v>鯰魚大大</v>
      </c>
      <c r="J4849" t="str">
        <f>IFERROR(__xludf.DUMMYFUNCTION("IFS(
  AND(REGEXMATCH(E4849, ""台銀籌備帳戶|玉山帳戶""), REGEXMATCH(C4849, ""薪資"")), ""分潤支出"",
  AND(REGEXMATCH(E4849, ""Ben帳戶|Elsa帳戶|Ben代墊|Ariel代墊|中信銀行共用""), REGEXMATCH(F4849, ""Ben帳戶|Elsa帳戶|Ben代墊|Ariel代墊|中信銀行共用"")), ""內部轉帳(忽略)"",
  AND(E4849&lt;&gt;"""", F4849&lt;&gt;"""", N"&amp;"OT(REGEXMATCH(C4849, ""薪資""))), ""內部轉帳(忽略)"",
  REGEXMATCH(C4849, ""薪資""), ""薪資變動(不計入)"",
  REGEXMATCH(C4849, ""押金""), ""押金往來"",
  AND(E4849&lt;&gt;"""", F4849=""""), ""真實支出"",
  AND(E4849="""", F4849&lt;&gt;""""), ""真實收入"",
  TRUE, ""其他""
)"),"真實支出")</f>
        <v>真實支出</v>
      </c>
      <c r="K4849" s="270">
        <f t="shared" si="2"/>
        <v>-1196</v>
      </c>
      <c r="L4849">
        <f t="shared" si="3"/>
        <v>0</v>
      </c>
    </row>
    <row r="4850">
      <c r="A4850" s="107">
        <f>IFERROR(__xludf.DUMMYFUNCTION("""COMPUTED_VALUE"""),45996.0)</f>
        <v>45996</v>
      </c>
      <c r="B4850" t="str">
        <f>IFERROR(__xludf.DUMMYFUNCTION("""COMPUTED_VALUE"""),"臺銀冷氣退稅")</f>
        <v>臺銀冷氣退稅</v>
      </c>
      <c r="C4850" t="str">
        <f>IFERROR(__xludf.DUMMYFUNCTION("""COMPUTED_VALUE"""),"收入 - 政府補助/退稅")</f>
        <v>收入 - 政府補助/退稅</v>
      </c>
      <c r="D4850" s="270">
        <f>IFERROR(__xludf.DUMMYFUNCTION("""COMPUTED_VALUE"""),36235.0)</f>
        <v>36235</v>
      </c>
      <c r="F4850" t="str">
        <f>IFERROR(__xludf.DUMMYFUNCTION("""COMPUTED_VALUE"""),"玉山帳戶")</f>
        <v>玉山帳戶</v>
      </c>
      <c r="G4850" t="str">
        <f>IFERROR(__xludf.DUMMYFUNCTION("""COMPUTED_VALUE"""),"內湖CityLink")</f>
        <v>內湖CityLink</v>
      </c>
      <c r="H4850" s="106" t="str">
        <f t="shared" si="1"/>
        <v>2025-12</v>
      </c>
      <c r="I4850" s="271" t="str">
        <f>IFERROR(__xludf.DUMMYFUNCTION("""COMPUTED_VALUE"""),"鯰魚大大")</f>
        <v>鯰魚大大</v>
      </c>
      <c r="J4850" t="str">
        <f>IFERROR(__xludf.DUMMYFUNCTION("IFS(
  AND(REGEXMATCH(E4850, ""台銀籌備帳戶|玉山帳戶""), REGEXMATCH(C4850, ""薪資"")), ""分潤支出"",
  AND(REGEXMATCH(E4850, ""Ben帳戶|Elsa帳戶|Ben代墊|Ariel代墊|中信銀行共用""), REGEXMATCH(F4850, ""Ben帳戶|Elsa帳戶|Ben代墊|Ariel代墊|中信銀行共用"")), ""內部轉帳(忽略)"",
  AND(E4850&lt;&gt;"""", F4850&lt;&gt;"""", N"&amp;"OT(REGEXMATCH(C4850, ""薪資""))), ""內部轉帳(忽略)"",
  REGEXMATCH(C4850, ""薪資""), ""薪資變動(不計入)"",
  REGEXMATCH(C4850, ""押金""), ""押金往來"",
  AND(E4850&lt;&gt;"""", F4850=""""), ""真實支出"",
  AND(E4850="""", F4850&lt;&gt;""""), ""真實收入"",
  TRUE, ""其他""
)"),"真實收入")</f>
        <v>真實收入</v>
      </c>
      <c r="K4850" s="270">
        <f t="shared" si="2"/>
        <v>36235</v>
      </c>
      <c r="L4850">
        <f t="shared" si="3"/>
        <v>0</v>
      </c>
    </row>
    <row r="4851">
      <c r="A4851" s="107">
        <f>IFERROR(__xludf.DUMMYFUNCTION("""COMPUTED_VALUE"""),45996.0)</f>
        <v>45996</v>
      </c>
      <c r="B4851" t="str">
        <f>IFERROR(__xludf.DUMMYFUNCTION("""COMPUTED_VALUE"""),"[士林和豐] A [許瑜芳, 黃俞安] 月租金 後五碼:57047 (行號: 7)")</f>
        <v>[士林和豐] A [許瑜芳, 黃俞安] 月租金 後五碼:57047 (行號: 7)</v>
      </c>
      <c r="C4851" t="str">
        <f>IFERROR(__xludf.DUMMYFUNCTION("""COMPUTED_VALUE"""),"收入 - 租金")</f>
        <v>收入 - 租金</v>
      </c>
      <c r="D4851" s="270">
        <f>IFERROR(__xludf.DUMMYFUNCTION("""COMPUTED_VALUE"""),19500.0)</f>
        <v>19500</v>
      </c>
      <c r="F4851" t="str">
        <f>IFERROR(__xludf.DUMMYFUNCTION("""COMPUTED_VALUE"""),"玉山帳戶")</f>
        <v>玉山帳戶</v>
      </c>
      <c r="G4851" t="str">
        <f>IFERROR(__xludf.DUMMYFUNCTION("""COMPUTED_VALUE"""),"士林和豐")</f>
        <v>士林和豐</v>
      </c>
      <c r="H4851" s="106" t="str">
        <f t="shared" si="1"/>
        <v>2025-12</v>
      </c>
      <c r="I4851" s="271" t="str">
        <f>IFERROR(__xludf.DUMMYFUNCTION("""COMPUTED_VALUE"""),"鯰魚大大")</f>
        <v>鯰魚大大</v>
      </c>
      <c r="J4851" t="str">
        <f>IFERROR(__xludf.DUMMYFUNCTION("IFS(
  AND(REGEXMATCH(E4851, ""台銀籌備帳戶|玉山帳戶""), REGEXMATCH(C4851, ""薪資"")), ""分潤支出"",
  AND(REGEXMATCH(E4851, ""Ben帳戶|Elsa帳戶|Ben代墊|Ariel代墊|中信銀行共用""), REGEXMATCH(F4851, ""Ben帳戶|Elsa帳戶|Ben代墊|Ariel代墊|中信銀行共用"")), ""內部轉帳(忽略)"",
  AND(E4851&lt;&gt;"""", F4851&lt;&gt;"""", N"&amp;"OT(REGEXMATCH(C4851, ""薪資""))), ""內部轉帳(忽略)"",
  REGEXMATCH(C4851, ""薪資""), ""薪資變動(不計入)"",
  REGEXMATCH(C4851, ""押金""), ""押金往來"",
  AND(E4851&lt;&gt;"""", F4851=""""), ""真實支出"",
  AND(E4851="""", F4851&lt;&gt;""""), ""真實收入"",
  TRUE, ""其他""
)"),"真實收入")</f>
        <v>真實收入</v>
      </c>
      <c r="K4851" s="270">
        <f t="shared" si="2"/>
        <v>19500</v>
      </c>
      <c r="L4851">
        <f t="shared" si="3"/>
        <v>0</v>
      </c>
    </row>
    <row r="4852">
      <c r="A4852" s="107">
        <f>IFERROR(__xludf.DUMMYFUNCTION("""COMPUTED_VALUE"""),45999.0)</f>
        <v>45999</v>
      </c>
      <c r="B4852" t="str">
        <f>IFERROR(__xludf.DUMMYFUNCTION("""COMPUTED_VALUE"""),"中華郵政 【不明收入 後五碼:16545】 (行號: 4)")</f>
        <v>中華郵政 【不明收入 後五碼:16545】 (行號: 4)</v>
      </c>
      <c r="C4852" t="str">
        <f>IFERROR(__xludf.DUMMYFUNCTION("""COMPUTED_VALUE"""),"收入 - 其他")</f>
        <v>收入 - 其他</v>
      </c>
      <c r="D4852" s="270">
        <f>IFERROR(__xludf.DUMMYFUNCTION("""COMPUTED_VALUE"""),21345.0)</f>
        <v>21345</v>
      </c>
      <c r="F4852" t="str">
        <f>IFERROR(__xludf.DUMMYFUNCTION("""COMPUTED_VALUE"""),"玉山帳戶")</f>
        <v>玉山帳戶</v>
      </c>
      <c r="H4852" s="106" t="str">
        <f t="shared" si="1"/>
        <v>2025-12</v>
      </c>
      <c r="I4852" s="271" t="str">
        <f>IFERROR(__xludf.DUMMYFUNCTION("""COMPUTED_VALUE"""),"鯰魚大大")</f>
        <v>鯰魚大大</v>
      </c>
      <c r="J4852" t="str">
        <f>IFERROR(__xludf.DUMMYFUNCTION("IFS(
  AND(REGEXMATCH(E4852, ""台銀籌備帳戶|玉山帳戶""), REGEXMATCH(C4852, ""薪資"")), ""分潤支出"",
  AND(REGEXMATCH(E4852, ""Ben帳戶|Elsa帳戶|Ben代墊|Ariel代墊|中信銀行共用""), REGEXMATCH(F4852, ""Ben帳戶|Elsa帳戶|Ben代墊|Ariel代墊|中信銀行共用"")), ""內部轉帳(忽略)"",
  AND(E4852&lt;&gt;"""", F4852&lt;&gt;"""", N"&amp;"OT(REGEXMATCH(C4852, ""薪資""))), ""內部轉帳(忽略)"",
  REGEXMATCH(C4852, ""薪資""), ""薪資變動(不計入)"",
  REGEXMATCH(C4852, ""押金""), ""押金往來"",
  AND(E4852&lt;&gt;"""", F4852=""""), ""真實支出"",
  AND(E4852="""", F4852&lt;&gt;""""), ""真實收入"",
  TRUE, ""其他""
)"),"真實收入")</f>
        <v>真實收入</v>
      </c>
      <c r="K4852" s="270">
        <f t="shared" si="2"/>
        <v>21345</v>
      </c>
      <c r="L4852">
        <f t="shared" si="3"/>
        <v>0</v>
      </c>
    </row>
    <row r="4853">
      <c r="A4853" s="107">
        <f>IFERROR(__xludf.DUMMYFUNCTION("""COMPUTED_VALUE"""),45999.0)</f>
        <v>45999</v>
      </c>
      <c r="B4853" t="str">
        <f>IFERROR(__xludf.DUMMYFUNCTION("""COMPUTED_VALUE""")," [行天宮夏野良栗] 兩房 後五碼:33215 (行號: 5)")</f>
        <v> [行天宮夏野良栗] 兩房 後五碼:33215 (行號: 5)</v>
      </c>
      <c r="C4853" t="str">
        <f>IFERROR(__xludf.DUMMYFUNCTION("""COMPUTED_VALUE"""),"收入 - 租金")</f>
        <v>收入 - 租金</v>
      </c>
      <c r="D4853" s="270">
        <f>IFERROR(__xludf.DUMMYFUNCTION("""COMPUTED_VALUE"""),9865.0)</f>
        <v>9865</v>
      </c>
      <c r="F4853" t="str">
        <f>IFERROR(__xludf.DUMMYFUNCTION("""COMPUTED_VALUE"""),"玉山帳戶")</f>
        <v>玉山帳戶</v>
      </c>
      <c r="G4853" t="str">
        <f>IFERROR(__xludf.DUMMYFUNCTION("""COMPUTED_VALUE"""),"行天宮夏野良栗")</f>
        <v>行天宮夏野良栗</v>
      </c>
      <c r="H4853" s="106" t="str">
        <f t="shared" si="1"/>
        <v>2025-12</v>
      </c>
      <c r="I4853" s="271" t="str">
        <f>IFERROR(__xludf.DUMMYFUNCTION("""COMPUTED_VALUE"""),"鯰魚大大")</f>
        <v>鯰魚大大</v>
      </c>
      <c r="J4853" t="str">
        <f>IFERROR(__xludf.DUMMYFUNCTION("IFS(
  AND(REGEXMATCH(E4853, ""台銀籌備帳戶|玉山帳戶""), REGEXMATCH(C4853, ""薪資"")), ""分潤支出"",
  AND(REGEXMATCH(E4853, ""Ben帳戶|Elsa帳戶|Ben代墊|Ariel代墊|中信銀行共用""), REGEXMATCH(F4853, ""Ben帳戶|Elsa帳戶|Ben代墊|Ariel代墊|中信銀行共用"")), ""內部轉帳(忽略)"",
  AND(E4853&lt;&gt;"""", F4853&lt;&gt;"""", N"&amp;"OT(REGEXMATCH(C4853, ""薪資""))), ""內部轉帳(忽略)"",
  REGEXMATCH(C4853, ""薪資""), ""薪資變動(不計入)"",
  REGEXMATCH(C4853, ""押金""), ""押金往來"",
  AND(E4853&lt;&gt;"""", F4853=""""), ""真實支出"",
  AND(E4853="""", F4853&lt;&gt;""""), ""真實收入"",
  TRUE, ""其他""
)"),"真實收入")</f>
        <v>真實收入</v>
      </c>
      <c r="K4853" s="270">
        <f t="shared" si="2"/>
        <v>9865</v>
      </c>
      <c r="L4853">
        <f t="shared" si="3"/>
        <v>0</v>
      </c>
    </row>
    <row r="4854">
      <c r="A4854" s="107">
        <f>IFERROR(__xludf.DUMMYFUNCTION("""COMPUTED_VALUE"""),46002.0)</f>
        <v>46002</v>
      </c>
      <c r="B4854" t="str">
        <f>IFERROR(__xludf.DUMMYFUNCTION("""COMPUTED_VALUE"""),"[內湖CityLink] B 月租金 後五碼:63589 (行號: 7)")</f>
        <v>[內湖CityLink] B 月租金 後五碼:63589 (行號: 7)</v>
      </c>
      <c r="C4854" t="str">
        <f>IFERROR(__xludf.DUMMYFUNCTION("""COMPUTED_VALUE"""),"收入 - 租金")</f>
        <v>收入 - 租金</v>
      </c>
      <c r="D4854" s="270">
        <f>IFERROR(__xludf.DUMMYFUNCTION("""COMPUTED_VALUE"""),12000.0)</f>
        <v>12000</v>
      </c>
      <c r="F4854" t="str">
        <f>IFERROR(__xludf.DUMMYFUNCTION("""COMPUTED_VALUE"""),"玉山帳戶")</f>
        <v>玉山帳戶</v>
      </c>
      <c r="G4854" t="str">
        <f>IFERROR(__xludf.DUMMYFUNCTION("""COMPUTED_VALUE"""),"內湖CityLink")</f>
        <v>內湖CityLink</v>
      </c>
      <c r="H4854" s="106" t="str">
        <f t="shared" si="1"/>
        <v>2025-12</v>
      </c>
      <c r="I4854" s="271" t="str">
        <f>IFERROR(__xludf.DUMMYFUNCTION("""COMPUTED_VALUE"""),"鯰魚大大")</f>
        <v>鯰魚大大</v>
      </c>
      <c r="J4854" t="str">
        <f>IFERROR(__xludf.DUMMYFUNCTION("IFS(
  AND(REGEXMATCH(E4854, ""台銀籌備帳戶|玉山帳戶""), REGEXMATCH(C4854, ""薪資"")), ""分潤支出"",
  AND(REGEXMATCH(E4854, ""Ben帳戶|Elsa帳戶|Ben代墊|Ariel代墊|中信銀行共用""), REGEXMATCH(F4854, ""Ben帳戶|Elsa帳戶|Ben代墊|Ariel代墊|中信銀行共用"")), ""內部轉帳(忽略)"",
  AND(E4854&lt;&gt;"""", F4854&lt;&gt;"""", N"&amp;"OT(REGEXMATCH(C4854, ""薪資""))), ""內部轉帳(忽略)"",
  REGEXMATCH(C4854, ""薪資""), ""薪資變動(不計入)"",
  REGEXMATCH(C4854, ""押金""), ""押金往來"",
  AND(E4854&lt;&gt;"""", F4854=""""), ""真實支出"",
  AND(E4854="""", F4854&lt;&gt;""""), ""真實收入"",
  TRUE, ""其他""
)"),"真實收入")</f>
        <v>真實收入</v>
      </c>
      <c r="K4854" s="270">
        <f t="shared" si="2"/>
        <v>12000</v>
      </c>
      <c r="L4854">
        <f t="shared" si="3"/>
        <v>0</v>
      </c>
    </row>
    <row r="4855">
      <c r="A4855" s="107">
        <f>IFERROR(__xludf.DUMMYFUNCTION("""COMPUTED_VALUE"""),46003.0)</f>
        <v>46003</v>
      </c>
      <c r="B4855" t="str">
        <f>IFERROR(__xludf.DUMMYFUNCTION("""COMPUTED_VALUE""")," [行天宮夏野良栗] 兩房 後五碼:33215 (行號: 5)")</f>
        <v> [行天宮夏野良栗] 兩房 後五碼:33215 (行號: 5)</v>
      </c>
      <c r="C4855" t="str">
        <f>IFERROR(__xludf.DUMMYFUNCTION("""COMPUTED_VALUE"""),"收入 - 押金")</f>
        <v>收入 - 押金</v>
      </c>
      <c r="D4855" s="270">
        <f>IFERROR(__xludf.DUMMYFUNCTION("""COMPUTED_VALUE"""),55600.0)</f>
        <v>55600</v>
      </c>
      <c r="F4855" t="str">
        <f>IFERROR(__xludf.DUMMYFUNCTION("""COMPUTED_VALUE"""),"玉山帳戶")</f>
        <v>玉山帳戶</v>
      </c>
      <c r="G4855" t="str">
        <f>IFERROR(__xludf.DUMMYFUNCTION("""COMPUTED_VALUE"""),"行天宮夏野良栗")</f>
        <v>行天宮夏野良栗</v>
      </c>
      <c r="H4855" s="106" t="str">
        <f t="shared" si="1"/>
        <v>2025-12</v>
      </c>
      <c r="I4855" s="271" t="str">
        <f>IFERROR(__xludf.DUMMYFUNCTION("""COMPUTED_VALUE"""),"鯰魚大大")</f>
        <v>鯰魚大大</v>
      </c>
      <c r="J4855" t="str">
        <f>IFERROR(__xludf.DUMMYFUNCTION("IFS(
  AND(REGEXMATCH(E4855, ""台銀籌備帳戶|玉山帳戶""), REGEXMATCH(C4855, ""薪資"")), ""分潤支出"",
  AND(REGEXMATCH(E4855, ""Ben帳戶|Elsa帳戶|Ben代墊|Ariel代墊|中信銀行共用""), REGEXMATCH(F4855, ""Ben帳戶|Elsa帳戶|Ben代墊|Ariel代墊|中信銀行共用"")), ""內部轉帳(忽略)"",
  AND(E4855&lt;&gt;"""", F4855&lt;&gt;"""", N"&amp;"OT(REGEXMATCH(C4855, ""薪資""))), ""內部轉帳(忽略)"",
  REGEXMATCH(C4855, ""薪資""), ""薪資變動(不計入)"",
  REGEXMATCH(C4855, ""押金""), ""押金往來"",
  AND(E4855&lt;&gt;"""", F4855=""""), ""真實支出"",
  AND(E4855="""", F4855&lt;&gt;""""), ""真實收入"",
  TRUE, ""其他""
)"),"押金往來")</f>
        <v>押金往來</v>
      </c>
      <c r="K4855">
        <f t="shared" si="2"/>
        <v>0</v>
      </c>
      <c r="L4855">
        <f t="shared" si="3"/>
        <v>0</v>
      </c>
    </row>
    <row r="4856">
      <c r="A4856" s="107">
        <f>IFERROR(__xludf.DUMMYFUNCTION("""COMPUTED_VALUE"""),46006.0)</f>
        <v>46006</v>
      </c>
      <c r="B4856" t="str">
        <f>IFERROR(__xludf.DUMMYFUNCTION("""COMPUTED_VALUE"""),"費用 - 匯費 012 (68447)")</f>
        <v>費用 - 匯費 012 (68447)</v>
      </c>
      <c r="C4856" t="str">
        <f>IFERROR(__xludf.DUMMYFUNCTION("""COMPUTED_VALUE"""),"費用 - 匯費")</f>
        <v>費用 - 匯費</v>
      </c>
      <c r="D4856" s="270">
        <f>IFERROR(__xludf.DUMMYFUNCTION("""COMPUTED_VALUE"""),-15.0)</f>
        <v>-15</v>
      </c>
      <c r="E4856" t="str">
        <f>IFERROR(__xludf.DUMMYFUNCTION("""COMPUTED_VALUE"""),"玉山帳戶")</f>
        <v>玉山帳戶</v>
      </c>
      <c r="H4856" s="106" t="str">
        <f t="shared" si="1"/>
        <v>2025-12</v>
      </c>
      <c r="I4856" s="271" t="str">
        <f>IFERROR(__xludf.DUMMYFUNCTION("""COMPUTED_VALUE"""),"鯰魚大大")</f>
        <v>鯰魚大大</v>
      </c>
      <c r="J4856" t="str">
        <f>IFERROR(__xludf.DUMMYFUNCTION("IFS(
  AND(REGEXMATCH(E4856, ""台銀籌備帳戶|玉山帳戶""), REGEXMATCH(C4856, ""薪資"")), ""分潤支出"",
  AND(REGEXMATCH(E4856, ""Ben帳戶|Elsa帳戶|Ben代墊|Ariel代墊|中信銀行共用""), REGEXMATCH(F4856, ""Ben帳戶|Elsa帳戶|Ben代墊|Ariel代墊|中信銀行共用"")), ""內部轉帳(忽略)"",
  AND(E4856&lt;&gt;"""", F4856&lt;&gt;"""", N"&amp;"OT(REGEXMATCH(C4856, ""薪資""))), ""內部轉帳(忽略)"",
  REGEXMATCH(C4856, ""薪資""), ""薪資變動(不計入)"",
  REGEXMATCH(C4856, ""押金""), ""押金往來"",
  AND(E4856&lt;&gt;"""", F4856=""""), ""真實支出"",
  AND(E4856="""", F4856&lt;&gt;""""), ""真實收入"",
  TRUE, ""其他""
)"),"真實支出")</f>
        <v>真實支出</v>
      </c>
      <c r="K4856" s="270">
        <f t="shared" si="2"/>
        <v>-15</v>
      </c>
      <c r="L4856">
        <f t="shared" si="3"/>
        <v>0</v>
      </c>
    </row>
    <row r="4857">
      <c r="A4857" s="107">
        <f>IFERROR(__xludf.DUMMYFUNCTION("""COMPUTED_VALUE"""),46006.0)</f>
        <v>46006</v>
      </c>
      <c r="B4857" t="str">
        <f>IFERROR(__xludf.DUMMYFUNCTION("""COMPUTED_VALUE"""),"[行天宮夏野良栗] [沈蕙萱] 大租金")</f>
        <v>[行天宮夏野良栗] [沈蕙萱] 大租金</v>
      </c>
      <c r="C4857" t="str">
        <f>IFERROR(__xludf.DUMMYFUNCTION("""COMPUTED_VALUE"""),"成本 - 大租金")</f>
        <v>成本 - 大租金</v>
      </c>
      <c r="D4857" s="270">
        <f>IFERROR(__xludf.DUMMYFUNCTION("""COMPUTED_VALUE"""),-19900.0)</f>
        <v>-19900</v>
      </c>
      <c r="E4857" t="str">
        <f>IFERROR(__xludf.DUMMYFUNCTION("""COMPUTED_VALUE"""),"玉山帳戶")</f>
        <v>玉山帳戶</v>
      </c>
      <c r="G4857" t="str">
        <f>IFERROR(__xludf.DUMMYFUNCTION("""COMPUTED_VALUE"""),"行天宮夏野良栗")</f>
        <v>行天宮夏野良栗</v>
      </c>
      <c r="H4857" s="106" t="str">
        <f t="shared" si="1"/>
        <v>2025-12</v>
      </c>
      <c r="I4857" s="271" t="str">
        <f>IFERROR(__xludf.DUMMYFUNCTION("""COMPUTED_VALUE"""),"鯰魚大大")</f>
        <v>鯰魚大大</v>
      </c>
      <c r="J4857" t="str">
        <f>IFERROR(__xludf.DUMMYFUNCTION("IFS(
  AND(REGEXMATCH(E4857, ""台銀籌備帳戶|玉山帳戶""), REGEXMATCH(C4857, ""薪資"")), ""分潤支出"",
  AND(REGEXMATCH(E4857, ""Ben帳戶|Elsa帳戶|Ben代墊|Ariel代墊|中信銀行共用""), REGEXMATCH(F4857, ""Ben帳戶|Elsa帳戶|Ben代墊|Ariel代墊|中信銀行共用"")), ""內部轉帳(忽略)"",
  AND(E4857&lt;&gt;"""", F4857&lt;&gt;"""", N"&amp;"OT(REGEXMATCH(C4857, ""薪資""))), ""內部轉帳(忽略)"",
  REGEXMATCH(C4857, ""薪資""), ""薪資變動(不計入)"",
  REGEXMATCH(C4857, ""押金""), ""押金往來"",
  AND(E4857&lt;&gt;"""", F4857=""""), ""真實支出"",
  AND(E4857="""", F4857&lt;&gt;""""), ""真實收入"",
  TRUE, ""其他""
)"),"真實支出")</f>
        <v>真實支出</v>
      </c>
      <c r="K4857" s="270">
        <f t="shared" si="2"/>
        <v>-19900</v>
      </c>
      <c r="L4857">
        <f t="shared" si="3"/>
        <v>0</v>
      </c>
    </row>
    <row r="4858">
      <c r="A4858" s="107">
        <f>IFERROR(__xludf.DUMMYFUNCTION("""COMPUTED_VALUE"""),46006.0)</f>
        <v>46006</v>
      </c>
      <c r="B4858" t="str">
        <f>IFERROR(__xludf.DUMMYFUNCTION("""COMPUTED_VALUE"""),"費用 - 匯費 013 (78744)")</f>
        <v>費用 - 匯費 013 (78744)</v>
      </c>
      <c r="C4858" t="str">
        <f>IFERROR(__xludf.DUMMYFUNCTION("""COMPUTED_VALUE"""),"費用 - 匯費")</f>
        <v>費用 - 匯費</v>
      </c>
      <c r="D4858" s="270">
        <f>IFERROR(__xludf.DUMMYFUNCTION("""COMPUTED_VALUE"""),-15.0)</f>
        <v>-15</v>
      </c>
      <c r="E4858" t="str">
        <f>IFERROR(__xludf.DUMMYFUNCTION("""COMPUTED_VALUE"""),"玉山帳戶")</f>
        <v>玉山帳戶</v>
      </c>
      <c r="H4858" s="106" t="str">
        <f t="shared" si="1"/>
        <v>2025-12</v>
      </c>
      <c r="I4858" s="271" t="str">
        <f>IFERROR(__xludf.DUMMYFUNCTION("""COMPUTED_VALUE"""),"鯰魚大大")</f>
        <v>鯰魚大大</v>
      </c>
      <c r="J4858" t="str">
        <f>IFERROR(__xludf.DUMMYFUNCTION("IFS(
  AND(REGEXMATCH(E4858, ""台銀籌備帳戶|玉山帳戶""), REGEXMATCH(C4858, ""薪資"")), ""分潤支出"",
  AND(REGEXMATCH(E4858, ""Ben帳戶|Elsa帳戶|Ben代墊|Ariel代墊|中信銀行共用""), REGEXMATCH(F4858, ""Ben帳戶|Elsa帳戶|Ben代墊|Ariel代墊|中信銀行共用"")), ""內部轉帳(忽略)"",
  AND(E4858&lt;&gt;"""", F4858&lt;&gt;"""", N"&amp;"OT(REGEXMATCH(C4858, ""薪資""))), ""內部轉帳(忽略)"",
  REGEXMATCH(C4858, ""薪資""), ""薪資變動(不計入)"",
  REGEXMATCH(C4858, ""押金""), ""押金往來"",
  AND(E4858&lt;&gt;"""", F4858=""""), ""真實支出"",
  AND(E4858="""", F4858&lt;&gt;""""), ""真實收入"",
  TRUE, ""其他""
)"),"真實支出")</f>
        <v>真實支出</v>
      </c>
      <c r="K4858" s="270">
        <f t="shared" si="2"/>
        <v>-15</v>
      </c>
      <c r="L4858">
        <f t="shared" si="3"/>
        <v>0</v>
      </c>
    </row>
    <row r="4859">
      <c r="A4859" s="107">
        <f>IFERROR(__xludf.DUMMYFUNCTION("""COMPUTED_VALUE"""),46006.0)</f>
        <v>46006</v>
      </c>
      <c r="B4859" t="str">
        <f>IFERROR(__xludf.DUMMYFUNCTION("""COMPUTED_VALUE"""),"[士林和豐] [楊政偉] 大租金")</f>
        <v>[士林和豐] [楊政偉] 大租金</v>
      </c>
      <c r="C4859" t="str">
        <f>IFERROR(__xludf.DUMMYFUNCTION("""COMPUTED_VALUE"""),"成本 - 大租金")</f>
        <v>成本 - 大租金</v>
      </c>
      <c r="D4859" s="270">
        <f>IFERROR(__xludf.DUMMYFUNCTION("""COMPUTED_VALUE"""),-14400.0)</f>
        <v>-14400</v>
      </c>
      <c r="E4859" t="str">
        <f>IFERROR(__xludf.DUMMYFUNCTION("""COMPUTED_VALUE"""),"玉山帳戶")</f>
        <v>玉山帳戶</v>
      </c>
      <c r="G4859" t="str">
        <f>IFERROR(__xludf.DUMMYFUNCTION("""COMPUTED_VALUE"""),"士林和豐")</f>
        <v>士林和豐</v>
      </c>
      <c r="H4859" s="106" t="str">
        <f t="shared" si="1"/>
        <v>2025-12</v>
      </c>
      <c r="I4859" s="271" t="str">
        <f>IFERROR(__xludf.DUMMYFUNCTION("""COMPUTED_VALUE"""),"鯰魚大大")</f>
        <v>鯰魚大大</v>
      </c>
      <c r="J4859" t="str">
        <f>IFERROR(__xludf.DUMMYFUNCTION("IFS(
  AND(REGEXMATCH(E4859, ""台銀籌備帳戶|玉山帳戶""), REGEXMATCH(C4859, ""薪資"")), ""分潤支出"",
  AND(REGEXMATCH(E4859, ""Ben帳戶|Elsa帳戶|Ben代墊|Ariel代墊|中信銀行共用""), REGEXMATCH(F4859, ""Ben帳戶|Elsa帳戶|Ben代墊|Ariel代墊|中信銀行共用"")), ""內部轉帳(忽略)"",
  AND(E4859&lt;&gt;"""", F4859&lt;&gt;"""", N"&amp;"OT(REGEXMATCH(C4859, ""薪資""))), ""內部轉帳(忽略)"",
  REGEXMATCH(C4859, ""薪資""), ""薪資變動(不計入)"",
  REGEXMATCH(C4859, ""押金""), ""押金往來"",
  AND(E4859&lt;&gt;"""", F4859=""""), ""真實支出"",
  AND(E4859="""", F4859&lt;&gt;""""), ""真實收入"",
  TRUE, ""其他""
)"),"真實支出")</f>
        <v>真實支出</v>
      </c>
      <c r="K4859" s="270">
        <f t="shared" si="2"/>
        <v>-14400</v>
      </c>
      <c r="L4859">
        <f t="shared" si="3"/>
        <v>0</v>
      </c>
    </row>
    <row r="4860">
      <c r="A4860" s="107">
        <f>IFERROR(__xludf.DUMMYFUNCTION("""COMPUTED_VALUE"""),46006.0)</f>
        <v>46006</v>
      </c>
      <c r="B4860" t="str">
        <f>IFERROR(__xludf.DUMMYFUNCTION("""COMPUTED_VALUE"""),"費用 - 匯費 806 (26435)")</f>
        <v>費用 - 匯費 806 (26435)</v>
      </c>
      <c r="C4860" t="str">
        <f>IFERROR(__xludf.DUMMYFUNCTION("""COMPUTED_VALUE"""),"費用 - 匯費")</f>
        <v>費用 - 匯費</v>
      </c>
      <c r="D4860" s="270">
        <f>IFERROR(__xludf.DUMMYFUNCTION("""COMPUTED_VALUE"""),-15.0)</f>
        <v>-15</v>
      </c>
      <c r="E4860" t="str">
        <f>IFERROR(__xludf.DUMMYFUNCTION("""COMPUTED_VALUE"""),"玉山帳戶")</f>
        <v>玉山帳戶</v>
      </c>
      <c r="H4860" s="106" t="str">
        <f t="shared" si="1"/>
        <v>2025-12</v>
      </c>
      <c r="I4860" s="271" t="str">
        <f>IFERROR(__xludf.DUMMYFUNCTION("""COMPUTED_VALUE"""),"鯰魚大大")</f>
        <v>鯰魚大大</v>
      </c>
      <c r="J4860" t="str">
        <f>IFERROR(__xludf.DUMMYFUNCTION("IFS(
  AND(REGEXMATCH(E4860, ""台銀籌備帳戶|玉山帳戶""), REGEXMATCH(C4860, ""薪資"")), ""分潤支出"",
  AND(REGEXMATCH(E4860, ""Ben帳戶|Elsa帳戶|Ben代墊|Ariel代墊|中信銀行共用""), REGEXMATCH(F4860, ""Ben帳戶|Elsa帳戶|Ben代墊|Ariel代墊|中信銀行共用"")), ""內部轉帳(忽略)"",
  AND(E4860&lt;&gt;"""", F4860&lt;&gt;"""", N"&amp;"OT(REGEXMATCH(C4860, ""薪資""))), ""內部轉帳(忽略)"",
  REGEXMATCH(C4860, ""薪資""), ""薪資變動(不計入)"",
  REGEXMATCH(C4860, ""押金""), ""押金往來"",
  AND(E4860&lt;&gt;"""", F4860=""""), ""真實支出"",
  AND(E4860="""", F4860&lt;&gt;""""), ""真實收入"",
  TRUE, ""其他""
)"),"真實支出")</f>
        <v>真實支出</v>
      </c>
      <c r="K4860" s="270">
        <f t="shared" si="2"/>
        <v>-15</v>
      </c>
      <c r="L4860">
        <f t="shared" si="3"/>
        <v>0</v>
      </c>
    </row>
    <row r="4861">
      <c r="A4861" s="107">
        <f>IFERROR(__xludf.DUMMYFUNCTION("""COMPUTED_VALUE"""),46006.0)</f>
        <v>46006</v>
      </c>
      <c r="B4861" t="str">
        <f>IFERROR(__xludf.DUMMYFUNCTION("""COMPUTED_VALUE"""),"[內湖CityLink] [周佳慧] 大租金")</f>
        <v>[內湖CityLink] [周佳慧] 大租金</v>
      </c>
      <c r="C4861" t="str">
        <f>IFERROR(__xludf.DUMMYFUNCTION("""COMPUTED_VALUE"""),"成本 - 大租金")</f>
        <v>成本 - 大租金</v>
      </c>
      <c r="D4861" s="270">
        <f>IFERROR(__xludf.DUMMYFUNCTION("""COMPUTED_VALUE"""),-16500.0)</f>
        <v>-16500</v>
      </c>
      <c r="E4861" t="str">
        <f>IFERROR(__xludf.DUMMYFUNCTION("""COMPUTED_VALUE"""),"玉山帳戶")</f>
        <v>玉山帳戶</v>
      </c>
      <c r="G4861" t="str">
        <f>IFERROR(__xludf.DUMMYFUNCTION("""COMPUTED_VALUE"""),"內湖CityLink")</f>
        <v>內湖CityLink</v>
      </c>
      <c r="H4861" s="106" t="str">
        <f t="shared" si="1"/>
        <v>2025-12</v>
      </c>
      <c r="I4861" s="271" t="str">
        <f>IFERROR(__xludf.DUMMYFUNCTION("""COMPUTED_VALUE"""),"鯰魚大大")</f>
        <v>鯰魚大大</v>
      </c>
      <c r="J4861" t="str">
        <f>IFERROR(__xludf.DUMMYFUNCTION("IFS(
  AND(REGEXMATCH(E4861, ""台銀籌備帳戶|玉山帳戶""), REGEXMATCH(C4861, ""薪資"")), ""分潤支出"",
  AND(REGEXMATCH(E4861, ""Ben帳戶|Elsa帳戶|Ben代墊|Ariel代墊|中信銀行共用""), REGEXMATCH(F4861, ""Ben帳戶|Elsa帳戶|Ben代墊|Ariel代墊|中信銀行共用"")), ""內部轉帳(忽略)"",
  AND(E4861&lt;&gt;"""", F4861&lt;&gt;"""", N"&amp;"OT(REGEXMATCH(C4861, ""薪資""))), ""內部轉帳(忽略)"",
  REGEXMATCH(C4861, ""薪資""), ""薪資變動(不計入)"",
  REGEXMATCH(C4861, ""押金""), ""押金往來"",
  AND(E4861&lt;&gt;"""", F4861=""""), ""真實支出"",
  AND(E4861="""", F4861&lt;&gt;""""), ""真實收入"",
  TRUE, ""其他""
)"),"真實支出")</f>
        <v>真實支出</v>
      </c>
      <c r="K4861" s="270">
        <f t="shared" si="2"/>
        <v>-16500</v>
      </c>
      <c r="L4861">
        <f t="shared" si="3"/>
        <v>0</v>
      </c>
    </row>
    <row r="4862">
      <c r="A4862" s="107">
        <f>IFERROR(__xludf.DUMMYFUNCTION("""COMPUTED_VALUE"""),46013.0)</f>
        <v>46013</v>
      </c>
      <c r="B4862" t="str">
        <f>IFERROR(__xludf.DUMMYFUNCTION("""COMPUTED_VALUE"""),"[士林和豐] C 月租金 後五碼:16111 (行號: 12)")</f>
        <v>[士林和豐] C 月租金 後五碼:16111 (行號: 12)</v>
      </c>
      <c r="C4862" t="str">
        <f>IFERROR(__xludf.DUMMYFUNCTION("""COMPUTED_VALUE"""),"收入 - 租金")</f>
        <v>收入 - 租金</v>
      </c>
      <c r="D4862" s="270">
        <f>IFERROR(__xludf.DUMMYFUNCTION("""COMPUTED_VALUE"""),13000.0)</f>
        <v>13000</v>
      </c>
      <c r="F4862" t="str">
        <f>IFERROR(__xludf.DUMMYFUNCTION("""COMPUTED_VALUE"""),"玉山帳戶")</f>
        <v>玉山帳戶</v>
      </c>
      <c r="G4862" t="str">
        <f>IFERROR(__xludf.DUMMYFUNCTION("""COMPUTED_VALUE"""),"士林和豐")</f>
        <v>士林和豐</v>
      </c>
      <c r="H4862" s="106" t="str">
        <f t="shared" si="1"/>
        <v>2025-12</v>
      </c>
      <c r="I4862" s="271" t="str">
        <f>IFERROR(__xludf.DUMMYFUNCTION("""COMPUTED_VALUE"""),"鯰魚大大")</f>
        <v>鯰魚大大</v>
      </c>
      <c r="J4862" t="str">
        <f>IFERROR(__xludf.DUMMYFUNCTION("IFS(
  AND(REGEXMATCH(E4862, ""台銀籌備帳戶|玉山帳戶""), REGEXMATCH(C4862, ""薪資"")), ""分潤支出"",
  AND(REGEXMATCH(E4862, ""Ben帳戶|Elsa帳戶|Ben代墊|Ariel代墊|中信銀行共用""), REGEXMATCH(F4862, ""Ben帳戶|Elsa帳戶|Ben代墊|Ariel代墊|中信銀行共用"")), ""內部轉帳(忽略)"",
  AND(E4862&lt;&gt;"""", F4862&lt;&gt;"""", N"&amp;"OT(REGEXMATCH(C4862, ""薪資""))), ""內部轉帳(忽略)"",
  REGEXMATCH(C4862, ""薪資""), ""薪資變動(不計入)"",
  REGEXMATCH(C4862, ""押金""), ""押金往來"",
  AND(E4862&lt;&gt;"""", F4862=""""), ""真實支出"",
  AND(E4862="""", F4862&lt;&gt;""""), ""真實收入"",
  TRUE, ""其他""
)"),"真實收入")</f>
        <v>真實收入</v>
      </c>
      <c r="K4862" s="270">
        <f t="shared" si="2"/>
        <v>13000</v>
      </c>
      <c r="L4862">
        <f t="shared" si="3"/>
        <v>0</v>
      </c>
    </row>
    <row r="4863">
      <c r="A4863" s="107">
        <f>IFERROR(__xludf.DUMMYFUNCTION("""COMPUTED_VALUE"""),46013.0)</f>
        <v>46013</v>
      </c>
      <c r="B4863" t="str">
        <f>IFERROR(__xludf.DUMMYFUNCTION("""COMPUTED_VALUE"""),"9405***2 【不明收入 後五碼:00000】 (行號: 13)")</f>
        <v>9405***2 【不明收入 後五碼:00000】 (行號: 13)</v>
      </c>
      <c r="C4863" t="str">
        <f>IFERROR(__xludf.DUMMYFUNCTION("""COMPUTED_VALUE"""),"收入 - 政府補助/退稅")</f>
        <v>收入 - 政府補助/退稅</v>
      </c>
      <c r="D4863" s="270">
        <f>IFERROR(__xludf.DUMMYFUNCTION("""COMPUTED_VALUE"""),1094.0)</f>
        <v>1094</v>
      </c>
      <c r="F4863" t="str">
        <f>IFERROR(__xludf.DUMMYFUNCTION("""COMPUTED_VALUE"""),"玉山帳戶")</f>
        <v>玉山帳戶</v>
      </c>
      <c r="H4863" s="106" t="str">
        <f t="shared" si="1"/>
        <v>2025-12</v>
      </c>
      <c r="I4863" s="271" t="str">
        <f>IFERROR(__xludf.DUMMYFUNCTION("""COMPUTED_VALUE"""),"鯰魚大大")</f>
        <v>鯰魚大大</v>
      </c>
      <c r="J4863" t="str">
        <f>IFERROR(__xludf.DUMMYFUNCTION("IFS(
  AND(REGEXMATCH(E4863, ""台銀籌備帳戶|玉山帳戶""), REGEXMATCH(C4863, ""薪資"")), ""分潤支出"",
  AND(REGEXMATCH(E4863, ""Ben帳戶|Elsa帳戶|Ben代墊|Ariel代墊|中信銀行共用""), REGEXMATCH(F4863, ""Ben帳戶|Elsa帳戶|Ben代墊|Ariel代墊|中信銀行共用"")), ""內部轉帳(忽略)"",
  AND(E4863&lt;&gt;"""", F4863&lt;&gt;"""", N"&amp;"OT(REGEXMATCH(C4863, ""薪資""))), ""內部轉帳(忽略)"",
  REGEXMATCH(C4863, ""薪資""), ""薪資變動(不計入)"",
  REGEXMATCH(C4863, ""押金""), ""押金往來"",
  AND(E4863&lt;&gt;"""", F4863=""""), ""真實支出"",
  AND(E4863="""", F4863&lt;&gt;""""), ""真實收入"",
  TRUE, ""其他""
)"),"真實收入")</f>
        <v>真實收入</v>
      </c>
      <c r="K4863" s="270">
        <f t="shared" si="2"/>
        <v>1094</v>
      </c>
      <c r="L4863">
        <f t="shared" si="3"/>
        <v>0</v>
      </c>
    </row>
    <row r="4864">
      <c r="A4864" s="107">
        <f>IFERROR(__xludf.DUMMYFUNCTION("""COMPUTED_VALUE"""),46020.0)</f>
        <v>46020</v>
      </c>
      <c r="B4864" t="str">
        <f>IFERROR(__xludf.DUMMYFUNCTION("""COMPUTED_VALUE"""),"費用 - 匯費 822 (33337)")</f>
        <v>費用 - 匯費 822 (33337)</v>
      </c>
      <c r="C4864" t="str">
        <f>IFERROR(__xludf.DUMMYFUNCTION("""COMPUTED_VALUE"""),"費用 - 匯費")</f>
        <v>費用 - 匯費</v>
      </c>
      <c r="D4864" s="270">
        <f>IFERROR(__xludf.DUMMYFUNCTION("""COMPUTED_VALUE"""),-15.0)</f>
        <v>-15</v>
      </c>
      <c r="E4864" t="str">
        <f>IFERROR(__xludf.DUMMYFUNCTION("""COMPUTED_VALUE"""),"玉山帳戶")</f>
        <v>玉山帳戶</v>
      </c>
      <c r="H4864" s="106" t="str">
        <f t="shared" si="1"/>
        <v>2025-12</v>
      </c>
      <c r="I4864" s="271" t="str">
        <f>IFERROR(__xludf.DUMMYFUNCTION("""COMPUTED_VALUE"""),"鯰魚大大")</f>
        <v>鯰魚大大</v>
      </c>
      <c r="J4864" t="str">
        <f>IFERROR(__xludf.DUMMYFUNCTION("IFS(
  AND(REGEXMATCH(E4864, ""台銀籌備帳戶|玉山帳戶""), REGEXMATCH(C4864, ""薪資"")), ""分潤支出"",
  AND(REGEXMATCH(E4864, ""Ben帳戶|Elsa帳戶|Ben代墊|Ariel代墊|中信銀行共用""), REGEXMATCH(F4864, ""Ben帳戶|Elsa帳戶|Ben代墊|Ariel代墊|中信銀行共用"")), ""內部轉帳(忽略)"",
  AND(E4864&lt;&gt;"""", F4864&lt;&gt;"""", N"&amp;"OT(REGEXMATCH(C4864, ""薪資""))), ""內部轉帳(忽略)"",
  REGEXMATCH(C4864, ""薪資""), ""薪資變動(不計入)"",
  REGEXMATCH(C4864, ""押金""), ""押金往來"",
  AND(E4864&lt;&gt;"""", F4864=""""), ""真實支出"",
  AND(E4864="""", F4864&lt;&gt;""""), ""真實收入"",
  TRUE, ""其他""
)"),"真實支出")</f>
        <v>真實支出</v>
      </c>
      <c r="K4864" s="270">
        <f t="shared" si="2"/>
        <v>-15</v>
      </c>
      <c r="L4864">
        <f t="shared" si="3"/>
        <v>0</v>
      </c>
    </row>
    <row r="4865">
      <c r="A4865" s="107">
        <f>IFERROR(__xludf.DUMMYFUNCTION("""COMPUTED_VALUE"""),46020.0)</f>
        <v>46020</v>
      </c>
      <c r="B4865" t="str">
        <f>IFERROR(__xludf.DUMMYFUNCTION("""COMPUTED_VALUE"""),"Ben代墊款 【未分類支出】")</f>
        <v>Ben代墊款 【未分類支出】</v>
      </c>
      <c r="C4865" t="str">
        <f>IFERROR(__xludf.DUMMYFUNCTION("""COMPUTED_VALUE"""),"費用 - Salary 薪資")</f>
        <v>費用 - Salary 薪資</v>
      </c>
      <c r="D4865" s="270">
        <f>IFERROR(__xludf.DUMMYFUNCTION("""COMPUTED_VALUE"""),-200000.0)</f>
        <v>-200000</v>
      </c>
      <c r="E4865" t="str">
        <f>IFERROR(__xludf.DUMMYFUNCTION("""COMPUTED_VALUE"""),"玉山帳戶")</f>
        <v>玉山帳戶</v>
      </c>
      <c r="F4865" t="str">
        <f>IFERROR(__xludf.DUMMYFUNCTION("""COMPUTED_VALUE"""),"中信銀行共用")</f>
        <v>中信銀行共用</v>
      </c>
      <c r="H4865" s="106" t="str">
        <f t="shared" si="1"/>
        <v>2025-12</v>
      </c>
      <c r="I4865" s="271" t="str">
        <f>IFERROR(__xludf.DUMMYFUNCTION("""COMPUTED_VALUE"""),"鯰魚大大")</f>
        <v>鯰魚大大</v>
      </c>
      <c r="J4865" t="str">
        <f>IFERROR(__xludf.DUMMYFUNCTION("IFS(
  AND(REGEXMATCH(E4865, ""台銀籌備帳戶|玉山帳戶""), REGEXMATCH(C4865, ""薪資"")), ""分潤支出"",
  AND(REGEXMATCH(E4865, ""Ben帳戶|Elsa帳戶|Ben代墊|Ariel代墊|中信銀行共用""), REGEXMATCH(F4865, ""Ben帳戶|Elsa帳戶|Ben代墊|Ariel代墊|中信銀行共用"")), ""內部轉帳(忽略)"",
  AND(E4865&lt;&gt;"""", F4865&lt;&gt;"""", N"&amp;"OT(REGEXMATCH(C4865, ""薪資""))), ""內部轉帳(忽略)"",
  REGEXMATCH(C4865, ""薪資""), ""薪資變動(不計入)"",
  REGEXMATCH(C4865, ""押金""), ""押金往來"",
  AND(E4865&lt;&gt;"""", F4865=""""), ""真實支出"",
  AND(E4865="""", F4865&lt;&gt;""""), ""真實收入"",
  TRUE, ""其他""
)"),"分潤支出")</f>
        <v>分潤支出</v>
      </c>
      <c r="K4865">
        <f t="shared" si="2"/>
        <v>0</v>
      </c>
      <c r="L4865">
        <f t="shared" si="3"/>
        <v>200000</v>
      </c>
    </row>
    <row r="4866">
      <c r="A4866" s="107">
        <f>IFERROR(__xludf.DUMMYFUNCTION("""COMPUTED_VALUE"""),46020.0)</f>
        <v>46020</v>
      </c>
      <c r="B4866" t="str">
        <f>IFERROR(__xludf.DUMMYFUNCTION("""COMPUTED_VALUE"""),"[士林和豐] D 月租金 後五碼:00504 (行號: 3)")</f>
        <v>[士林和豐] D 月租金 後五碼:00504 (行號: 3)</v>
      </c>
      <c r="C4866" t="str">
        <f>IFERROR(__xludf.DUMMYFUNCTION("""COMPUTED_VALUE"""),"收入 - 租金")</f>
        <v>收入 - 租金</v>
      </c>
      <c r="D4866" s="270">
        <f>IFERROR(__xludf.DUMMYFUNCTION("""COMPUTED_VALUE"""),12500.0)</f>
        <v>12500</v>
      </c>
      <c r="F4866" t="str">
        <f>IFERROR(__xludf.DUMMYFUNCTION("""COMPUTED_VALUE"""),"玉山帳戶")</f>
        <v>玉山帳戶</v>
      </c>
      <c r="G4866" t="str">
        <f>IFERROR(__xludf.DUMMYFUNCTION("""COMPUTED_VALUE"""),"士林和豐")</f>
        <v>士林和豐</v>
      </c>
      <c r="H4866" s="106" t="str">
        <f t="shared" si="1"/>
        <v>2025-12</v>
      </c>
      <c r="I4866" s="271" t="str">
        <f>IFERROR(__xludf.DUMMYFUNCTION("""COMPUTED_VALUE"""),"鯰魚大大")</f>
        <v>鯰魚大大</v>
      </c>
      <c r="J4866" t="str">
        <f>IFERROR(__xludf.DUMMYFUNCTION("IFS(
  AND(REGEXMATCH(E4866, ""台銀籌備帳戶|玉山帳戶""), REGEXMATCH(C4866, ""薪資"")), ""分潤支出"",
  AND(REGEXMATCH(E4866, ""Ben帳戶|Elsa帳戶|Ben代墊|Ariel代墊|中信銀行共用""), REGEXMATCH(F4866, ""Ben帳戶|Elsa帳戶|Ben代墊|Ariel代墊|中信銀行共用"")), ""內部轉帳(忽略)"",
  AND(E4866&lt;&gt;"""", F4866&lt;&gt;"""", N"&amp;"OT(REGEXMATCH(C4866, ""薪資""))), ""內部轉帳(忽略)"",
  REGEXMATCH(C4866, ""薪資""), ""薪資變動(不計入)"",
  REGEXMATCH(C4866, ""押金""), ""押金往來"",
  AND(E4866&lt;&gt;"""", F4866=""""), ""真實支出"",
  AND(E4866="""", F4866&lt;&gt;""""), ""真實收入"",
  TRUE, ""其他""
)"),"真實收入")</f>
        <v>真實收入</v>
      </c>
      <c r="K4866" s="270">
        <f t="shared" si="2"/>
        <v>12500</v>
      </c>
      <c r="L4866">
        <f t="shared" si="3"/>
        <v>0</v>
      </c>
    </row>
    <row r="4867">
      <c r="A4867" s="107">
        <f>IFERROR(__xludf.DUMMYFUNCTION("""COMPUTED_VALUE"""),46021.0)</f>
        <v>46021</v>
      </c>
      <c r="B4867" t="str">
        <f>IFERROR(__xludf.DUMMYFUNCTION("""COMPUTED_VALUE"""),"[士林和豐] A 月租金 後五碼:57047 (行號: 4)")</f>
        <v>[士林和豐] A 月租金 後五碼:57047 (行號: 4)</v>
      </c>
      <c r="C4867" t="str">
        <f>IFERROR(__xludf.DUMMYFUNCTION("""COMPUTED_VALUE"""),"收入 - 租金")</f>
        <v>收入 - 租金</v>
      </c>
      <c r="D4867" s="270">
        <f>IFERROR(__xludf.DUMMYFUNCTION("""COMPUTED_VALUE"""),19500.0)</f>
        <v>19500</v>
      </c>
      <c r="F4867" t="str">
        <f>IFERROR(__xludf.DUMMYFUNCTION("""COMPUTED_VALUE"""),"玉山帳戶")</f>
        <v>玉山帳戶</v>
      </c>
      <c r="G4867" t="str">
        <f>IFERROR(__xludf.DUMMYFUNCTION("""COMPUTED_VALUE"""),"士林和豐")</f>
        <v>士林和豐</v>
      </c>
      <c r="H4867" s="106" t="str">
        <f t="shared" si="1"/>
        <v>2025-12</v>
      </c>
      <c r="I4867" s="271" t="str">
        <f>IFERROR(__xludf.DUMMYFUNCTION("""COMPUTED_VALUE"""),"鯰魚大大")</f>
        <v>鯰魚大大</v>
      </c>
      <c r="J4867" t="str">
        <f>IFERROR(__xludf.DUMMYFUNCTION("IFS(
  AND(REGEXMATCH(E4867, ""台銀籌備帳戶|玉山帳戶""), REGEXMATCH(C4867, ""薪資"")), ""分潤支出"",
  AND(REGEXMATCH(E4867, ""Ben帳戶|Elsa帳戶|Ben代墊|Ariel代墊|中信銀行共用""), REGEXMATCH(F4867, ""Ben帳戶|Elsa帳戶|Ben代墊|Ariel代墊|中信銀行共用"")), ""內部轉帳(忽略)"",
  AND(E4867&lt;&gt;"""", F4867&lt;&gt;"""", N"&amp;"OT(REGEXMATCH(C4867, ""薪資""))), ""內部轉帳(忽略)"",
  REGEXMATCH(C4867, ""薪資""), ""薪資變動(不計入)"",
  REGEXMATCH(C4867, ""押金""), ""押金往來"",
  AND(E4867&lt;&gt;"""", F4867=""""), ""真實支出"",
  AND(E4867="""", F4867&lt;&gt;""""), ""真實收入"",
  TRUE, ""其他""
)"),"真實收入")</f>
        <v>真實收入</v>
      </c>
      <c r="K4867" s="270">
        <f t="shared" si="2"/>
        <v>19500</v>
      </c>
      <c r="L4867">
        <f t="shared" si="3"/>
        <v>0</v>
      </c>
    </row>
    <row r="4868">
      <c r="A4868" s="107">
        <f>IFERROR(__xludf.DUMMYFUNCTION("""COMPUTED_VALUE"""),46022.0)</f>
        <v>46022</v>
      </c>
      <c r="B4868" t="str">
        <f>IFERROR(__xludf.DUMMYFUNCTION("""COMPUTED_VALUE"""),"[士林和豐] B 月租金 後五碼:28793 (行號: 5)")</f>
        <v>[士林和豐] B 月租金 後五碼:28793 (行號: 5)</v>
      </c>
      <c r="C4868" t="str">
        <f>IFERROR(__xludf.DUMMYFUNCTION("""COMPUTED_VALUE"""),"收入 - 租金")</f>
        <v>收入 - 租金</v>
      </c>
      <c r="D4868" s="270">
        <f>IFERROR(__xludf.DUMMYFUNCTION("""COMPUTED_VALUE"""),13500.0)</f>
        <v>13500</v>
      </c>
      <c r="F4868" t="str">
        <f>IFERROR(__xludf.DUMMYFUNCTION("""COMPUTED_VALUE"""),"玉山帳戶")</f>
        <v>玉山帳戶</v>
      </c>
      <c r="G4868" t="str">
        <f>IFERROR(__xludf.DUMMYFUNCTION("""COMPUTED_VALUE"""),"士林和豐")</f>
        <v>士林和豐</v>
      </c>
      <c r="H4868" s="106" t="str">
        <f t="shared" si="1"/>
        <v>2025-12</v>
      </c>
      <c r="I4868" s="271" t="str">
        <f>IFERROR(__xludf.DUMMYFUNCTION("""COMPUTED_VALUE"""),"鯰魚大大")</f>
        <v>鯰魚大大</v>
      </c>
      <c r="J4868" t="str">
        <f>IFERROR(__xludf.DUMMYFUNCTION("IFS(
  AND(REGEXMATCH(E4868, ""台銀籌備帳戶|玉山帳戶""), REGEXMATCH(C4868, ""薪資"")), ""分潤支出"",
  AND(REGEXMATCH(E4868, ""Ben帳戶|Elsa帳戶|Ben代墊|Ariel代墊|中信銀行共用""), REGEXMATCH(F4868, ""Ben帳戶|Elsa帳戶|Ben代墊|Ariel代墊|中信銀行共用"")), ""內部轉帳(忽略)"",
  AND(E4868&lt;&gt;"""", F4868&lt;&gt;"""", N"&amp;"OT(REGEXMATCH(C4868, ""薪資""))), ""內部轉帳(忽略)"",
  REGEXMATCH(C4868, ""薪資""), ""薪資變動(不計入)"",
  REGEXMATCH(C4868, ""押金""), ""押金往來"",
  AND(E4868&lt;&gt;"""", F4868=""""), ""真實支出"",
  AND(E4868="""", F4868&lt;&gt;""""), ""真實收入"",
  TRUE, ""其他""
)"),"真實收入")</f>
        <v>真實收入</v>
      </c>
      <c r="K4868" s="270">
        <f t="shared" si="2"/>
        <v>13500</v>
      </c>
      <c r="L4868">
        <f t="shared" si="3"/>
        <v>0</v>
      </c>
    </row>
    <row r="4869">
      <c r="A4869" s="107">
        <f>IFERROR(__xludf.DUMMYFUNCTION("""COMPUTED_VALUE"""),46024.0)</f>
        <v>46024</v>
      </c>
      <c r="B4869" t="str">
        <f>IFERROR(__xludf.DUMMYFUNCTION("""COMPUTED_VALUE"""),"[內湖秘境] B 月租金 後五碼:16545】 (行號: 6)")</f>
        <v>[內湖秘境] B 月租金 後五碼:16545】 (行號: 6)</v>
      </c>
      <c r="C4869" t="str">
        <f>IFERROR(__xludf.DUMMYFUNCTION("""COMPUTED_VALUE"""),"收入 - 租金")</f>
        <v>收入 - 租金</v>
      </c>
      <c r="D4869" s="270">
        <f>IFERROR(__xludf.DUMMYFUNCTION("""COMPUTED_VALUE"""),12300.0)</f>
        <v>12300</v>
      </c>
      <c r="F4869" t="str">
        <f>IFERROR(__xludf.DUMMYFUNCTION("""COMPUTED_VALUE"""),"玉山帳戶")</f>
        <v>玉山帳戶</v>
      </c>
      <c r="G4869" t="str">
        <f>IFERROR(__xludf.DUMMYFUNCTION("""COMPUTED_VALUE"""),"內湖秘境")</f>
        <v>內湖秘境</v>
      </c>
      <c r="H4869" s="106" t="str">
        <f t="shared" si="1"/>
        <v>2026-01</v>
      </c>
      <c r="I4869" s="271" t="str">
        <f>IFERROR(__xludf.DUMMYFUNCTION("""COMPUTED_VALUE"""),"鯰魚大大")</f>
        <v>鯰魚大大</v>
      </c>
      <c r="J4869" t="str">
        <f>IFERROR(__xludf.DUMMYFUNCTION("IFS(
  AND(REGEXMATCH(E4869, ""台銀籌備帳戶|玉山帳戶""), REGEXMATCH(C4869, ""薪資"")), ""分潤支出"",
  AND(REGEXMATCH(E4869, ""Ben帳戶|Elsa帳戶|Ben代墊|Ariel代墊|中信銀行共用""), REGEXMATCH(F4869, ""Ben帳戶|Elsa帳戶|Ben代墊|Ariel代墊|中信銀行共用"")), ""內部轉帳(忽略)"",
  AND(E4869&lt;&gt;"""", F4869&lt;&gt;"""", N"&amp;"OT(REGEXMATCH(C4869, ""薪資""))), ""內部轉帳(忽略)"",
  REGEXMATCH(C4869, ""薪資""), ""薪資變動(不計入)"",
  REGEXMATCH(C4869, ""押金""), ""押金往來"",
  AND(E4869&lt;&gt;"""", F4869=""""), ""真實支出"",
  AND(E4869="""", F4869&lt;&gt;""""), ""真實收入"",
  TRUE, ""其他""
)"),"真實收入")</f>
        <v>真實收入</v>
      </c>
      <c r="K4869" s="270">
        <f t="shared" si="2"/>
        <v>12300</v>
      </c>
      <c r="L4869">
        <f t="shared" si="3"/>
        <v>0</v>
      </c>
    </row>
    <row r="4870">
      <c r="A4870" s="107">
        <f>IFERROR(__xludf.DUMMYFUNCTION("""COMPUTED_VALUE"""),46024.0)</f>
        <v>46024</v>
      </c>
      <c r="B4870" t="str">
        <f>IFERROR(__xludf.DUMMYFUNCTION("""COMPUTED_VALUE"""),"[行天宮夏野良栗] D 月租金 後五碼:99285 (行號: 7)")</f>
        <v>[行天宮夏野良栗] D 月租金 後五碼:99285 (行號: 7)</v>
      </c>
      <c r="C4870" t="str">
        <f>IFERROR(__xludf.DUMMYFUNCTION("""COMPUTED_VALUE"""),"收入 - 租金")</f>
        <v>收入 - 租金</v>
      </c>
      <c r="D4870" s="270">
        <f>IFERROR(__xludf.DUMMYFUNCTION("""COMPUTED_VALUE"""),11200.0)</f>
        <v>11200</v>
      </c>
      <c r="F4870" t="str">
        <f>IFERROR(__xludf.DUMMYFUNCTION("""COMPUTED_VALUE"""),"玉山帳戶")</f>
        <v>玉山帳戶</v>
      </c>
      <c r="G4870" t="str">
        <f>IFERROR(__xludf.DUMMYFUNCTION("""COMPUTED_VALUE"""),"行天宮夏野良栗")</f>
        <v>行天宮夏野良栗</v>
      </c>
      <c r="H4870" s="106" t="str">
        <f t="shared" si="1"/>
        <v>2026-01</v>
      </c>
      <c r="I4870" s="271" t="str">
        <f>IFERROR(__xludf.DUMMYFUNCTION("""COMPUTED_VALUE"""),"鯰魚大大")</f>
        <v>鯰魚大大</v>
      </c>
      <c r="J4870" t="str">
        <f>IFERROR(__xludf.DUMMYFUNCTION("IFS(
  AND(REGEXMATCH(E4870, ""台銀籌備帳戶|玉山帳戶""), REGEXMATCH(C4870, ""薪資"")), ""分潤支出"",
  AND(REGEXMATCH(E4870, ""Ben帳戶|Elsa帳戶|Ben代墊|Ariel代墊|中信銀行共用""), REGEXMATCH(F4870, ""Ben帳戶|Elsa帳戶|Ben代墊|Ariel代墊|中信銀行共用"")), ""內部轉帳(忽略)"",
  AND(E4870&lt;&gt;"""", F4870&lt;&gt;"""", N"&amp;"OT(REGEXMATCH(C4870, ""薪資""))), ""內部轉帳(忽略)"",
  REGEXMATCH(C4870, ""薪資""), ""薪資變動(不計入)"",
  REGEXMATCH(C4870, ""押金""), ""押金往來"",
  AND(E4870&lt;&gt;"""", F4870=""""), ""真實支出"",
  AND(E4870="""", F4870&lt;&gt;""""), ""真實收入"",
  TRUE, ""其他""
)"),"真實收入")</f>
        <v>真實收入</v>
      </c>
      <c r="K4870" s="270">
        <f t="shared" si="2"/>
        <v>11200</v>
      </c>
      <c r="L4870">
        <f t="shared" si="3"/>
        <v>0</v>
      </c>
    </row>
    <row r="4871">
      <c r="A4871" s="107">
        <f>IFERROR(__xludf.DUMMYFUNCTION("""COMPUTED_VALUE"""),46024.0)</f>
        <v>46024</v>
      </c>
      <c r="B4871" t="str">
        <f>IFERROR(__xludf.DUMMYFUNCTION("""COMPUTED_VALUE"""),"[內湖秘境] E 月租金 後五碼:52052 (行號: 8)")</f>
        <v>[內湖秘境] E 月租金 後五碼:52052 (行號: 8)</v>
      </c>
      <c r="C4871" t="str">
        <f>IFERROR(__xludf.DUMMYFUNCTION("""COMPUTED_VALUE"""),"收入 - 租金")</f>
        <v>收入 - 租金</v>
      </c>
      <c r="D4871" s="270">
        <f>IFERROR(__xludf.DUMMYFUNCTION("""COMPUTED_VALUE"""),13600.0)</f>
        <v>13600</v>
      </c>
      <c r="F4871" t="str">
        <f>IFERROR(__xludf.DUMMYFUNCTION("""COMPUTED_VALUE"""),"玉山帳戶")</f>
        <v>玉山帳戶</v>
      </c>
      <c r="G4871" t="str">
        <f>IFERROR(__xludf.DUMMYFUNCTION("""COMPUTED_VALUE"""),"內湖秘境")</f>
        <v>內湖秘境</v>
      </c>
      <c r="H4871" s="106" t="str">
        <f t="shared" si="1"/>
        <v>2026-01</v>
      </c>
      <c r="I4871" s="271" t="str">
        <f>IFERROR(__xludf.DUMMYFUNCTION("""COMPUTED_VALUE"""),"鯰魚大大")</f>
        <v>鯰魚大大</v>
      </c>
      <c r="J4871" t="str">
        <f>IFERROR(__xludf.DUMMYFUNCTION("IFS(
  AND(REGEXMATCH(E4871, ""台銀籌備帳戶|玉山帳戶""), REGEXMATCH(C4871, ""薪資"")), ""分潤支出"",
  AND(REGEXMATCH(E4871, ""Ben帳戶|Elsa帳戶|Ben代墊|Ariel代墊|中信銀行共用""), REGEXMATCH(F4871, ""Ben帳戶|Elsa帳戶|Ben代墊|Ariel代墊|中信銀行共用"")), ""內部轉帳(忽略)"",
  AND(E4871&lt;&gt;"""", F4871&lt;&gt;"""", N"&amp;"OT(REGEXMATCH(C4871, ""薪資""))), ""內部轉帳(忽略)"",
  REGEXMATCH(C4871, ""薪資""), ""薪資變動(不計入)"",
  REGEXMATCH(C4871, ""押金""), ""押金往來"",
  AND(E4871&lt;&gt;"""", F4871=""""), ""真實支出"",
  AND(E4871="""", F4871&lt;&gt;""""), ""真實收入"",
  TRUE, ""其他""
)"),"真實收入")</f>
        <v>真實收入</v>
      </c>
      <c r="K4871" s="270">
        <f t="shared" si="2"/>
        <v>13600</v>
      </c>
      <c r="L4871">
        <f t="shared" si="3"/>
        <v>0</v>
      </c>
    </row>
    <row r="4872">
      <c r="A4872" s="107">
        <f>IFERROR(__xludf.DUMMYFUNCTION("""COMPUTED_VALUE"""),46024.0)</f>
        <v>46024</v>
      </c>
      <c r="B4872" t="str">
        <f>IFERROR(__xludf.DUMMYFUNCTION("""COMPUTED_VALUE"""),"[內湖CityLink] E 月租金 後五碼:37877 (行號: 9)")</f>
        <v>[內湖CityLink] E 月租金 後五碼:37877 (行號: 9)</v>
      </c>
      <c r="C4872" t="str">
        <f>IFERROR(__xludf.DUMMYFUNCTION("""COMPUTED_VALUE"""),"收入 - 租金")</f>
        <v>收入 - 租金</v>
      </c>
      <c r="D4872" s="270">
        <f>IFERROR(__xludf.DUMMYFUNCTION("""COMPUTED_VALUE"""),13300.0)</f>
        <v>13300</v>
      </c>
      <c r="F4872" t="str">
        <f>IFERROR(__xludf.DUMMYFUNCTION("""COMPUTED_VALUE"""),"玉山帳戶")</f>
        <v>玉山帳戶</v>
      </c>
      <c r="G4872" t="str">
        <f>IFERROR(__xludf.DUMMYFUNCTION("""COMPUTED_VALUE"""),"內湖CityLink")</f>
        <v>內湖CityLink</v>
      </c>
      <c r="H4872" s="106" t="str">
        <f t="shared" si="1"/>
        <v>2026-01</v>
      </c>
      <c r="I4872" s="271" t="str">
        <f>IFERROR(__xludf.DUMMYFUNCTION("""COMPUTED_VALUE"""),"鯰魚大大")</f>
        <v>鯰魚大大</v>
      </c>
      <c r="J4872" t="str">
        <f>IFERROR(__xludf.DUMMYFUNCTION("IFS(
  AND(REGEXMATCH(E4872, ""台銀籌備帳戶|玉山帳戶""), REGEXMATCH(C4872, ""薪資"")), ""分潤支出"",
  AND(REGEXMATCH(E4872, ""Ben帳戶|Elsa帳戶|Ben代墊|Ariel代墊|中信銀行共用""), REGEXMATCH(F4872, ""Ben帳戶|Elsa帳戶|Ben代墊|Ariel代墊|中信銀行共用"")), ""內部轉帳(忽略)"",
  AND(E4872&lt;&gt;"""", F4872&lt;&gt;"""", N"&amp;"OT(REGEXMATCH(C4872, ""薪資""))), ""內部轉帳(忽略)"",
  REGEXMATCH(C4872, ""薪資""), ""薪資變動(不計入)"",
  REGEXMATCH(C4872, ""押金""), ""押金往來"",
  AND(E4872&lt;&gt;"""", F4872=""""), ""真實支出"",
  AND(E4872="""", F4872&lt;&gt;""""), ""真實收入"",
  TRUE, ""其他""
)"),"真實收入")</f>
        <v>真實收入</v>
      </c>
      <c r="K4872" s="270">
        <f t="shared" si="2"/>
        <v>13300</v>
      </c>
      <c r="L4872">
        <f t="shared" si="3"/>
        <v>0</v>
      </c>
    </row>
    <row r="4873">
      <c r="A4873" s="107">
        <f>IFERROR(__xludf.DUMMYFUNCTION("""COMPUTED_VALUE"""),46024.0)</f>
        <v>46024</v>
      </c>
      <c r="B4873" t="str">
        <f>IFERROR(__xludf.DUMMYFUNCTION("""COMPUTED_VALUE"""),"[內湖秘境] G 月租金 後五碼:09984 (行號: 10)")</f>
        <v>[內湖秘境] G 月租金 後五碼:09984 (行號: 10)</v>
      </c>
      <c r="C4873" t="str">
        <f>IFERROR(__xludf.DUMMYFUNCTION("""COMPUTED_VALUE"""),"收入 - 租金")</f>
        <v>收入 - 租金</v>
      </c>
      <c r="D4873" s="270">
        <f>IFERROR(__xludf.DUMMYFUNCTION("""COMPUTED_VALUE"""),12100.0)</f>
        <v>12100</v>
      </c>
      <c r="F4873" t="str">
        <f>IFERROR(__xludf.DUMMYFUNCTION("""COMPUTED_VALUE"""),"玉山帳戶")</f>
        <v>玉山帳戶</v>
      </c>
      <c r="G4873" t="str">
        <f>IFERROR(__xludf.DUMMYFUNCTION("""COMPUTED_VALUE"""),"內湖秘境")</f>
        <v>內湖秘境</v>
      </c>
      <c r="H4873" s="106" t="str">
        <f t="shared" si="1"/>
        <v>2026-01</v>
      </c>
      <c r="I4873" s="271" t="str">
        <f>IFERROR(__xludf.DUMMYFUNCTION("""COMPUTED_VALUE"""),"鯰魚大大")</f>
        <v>鯰魚大大</v>
      </c>
      <c r="J4873" t="str">
        <f>IFERROR(__xludf.DUMMYFUNCTION("IFS(
  AND(REGEXMATCH(E4873, ""台銀籌備帳戶|玉山帳戶""), REGEXMATCH(C4873, ""薪資"")), ""分潤支出"",
  AND(REGEXMATCH(E4873, ""Ben帳戶|Elsa帳戶|Ben代墊|Ariel代墊|中信銀行共用""), REGEXMATCH(F4873, ""Ben帳戶|Elsa帳戶|Ben代墊|Ariel代墊|中信銀行共用"")), ""內部轉帳(忽略)"",
  AND(E4873&lt;&gt;"""", F4873&lt;&gt;"""", N"&amp;"OT(REGEXMATCH(C4873, ""薪資""))), ""內部轉帳(忽略)"",
  REGEXMATCH(C4873, ""薪資""), ""薪資變動(不計入)"",
  REGEXMATCH(C4873, ""押金""), ""押金往來"",
  AND(E4873&lt;&gt;"""", F4873=""""), ""真實支出"",
  AND(E4873="""", F4873&lt;&gt;""""), ""真實收入"",
  TRUE, ""其他""
)"),"真實收入")</f>
        <v>真實收入</v>
      </c>
      <c r="K4873" s="270">
        <f t="shared" si="2"/>
        <v>12100</v>
      </c>
      <c r="L4873">
        <f t="shared" si="3"/>
        <v>0</v>
      </c>
    </row>
    <row r="4874">
      <c r="A4874" s="107">
        <f>IFERROR(__xludf.DUMMYFUNCTION("""COMPUTED_VALUE"""),46024.0)</f>
        <v>46024</v>
      </c>
      <c r="B4874" t="str">
        <f>IFERROR(__xludf.DUMMYFUNCTION("""COMPUTED_VALUE"""),"[內湖秘境] C 月租金 後五碼:53074 (行號: 11)")</f>
        <v>[內湖秘境] C 月租金 後五碼:53074 (行號: 11)</v>
      </c>
      <c r="C4874" t="str">
        <f>IFERROR(__xludf.DUMMYFUNCTION("""COMPUTED_VALUE"""),"收入 - 租金")</f>
        <v>收入 - 租金</v>
      </c>
      <c r="D4874" s="270">
        <f>IFERROR(__xludf.DUMMYFUNCTION("""COMPUTED_VALUE"""),14800.0)</f>
        <v>14800</v>
      </c>
      <c r="F4874" t="str">
        <f>IFERROR(__xludf.DUMMYFUNCTION("""COMPUTED_VALUE"""),"玉山帳戶")</f>
        <v>玉山帳戶</v>
      </c>
      <c r="G4874" t="str">
        <f>IFERROR(__xludf.DUMMYFUNCTION("""COMPUTED_VALUE"""),"內湖秘境")</f>
        <v>內湖秘境</v>
      </c>
      <c r="H4874" s="106" t="str">
        <f t="shared" si="1"/>
        <v>2026-01</v>
      </c>
      <c r="I4874" s="271" t="str">
        <f>IFERROR(__xludf.DUMMYFUNCTION("""COMPUTED_VALUE"""),"鯰魚大大")</f>
        <v>鯰魚大大</v>
      </c>
      <c r="J4874" t="str">
        <f>IFERROR(__xludf.DUMMYFUNCTION("IFS(
  AND(REGEXMATCH(E4874, ""台銀籌備帳戶|玉山帳戶""), REGEXMATCH(C4874, ""薪資"")), ""分潤支出"",
  AND(REGEXMATCH(E4874, ""Ben帳戶|Elsa帳戶|Ben代墊|Ariel代墊|中信銀行共用""), REGEXMATCH(F4874, ""Ben帳戶|Elsa帳戶|Ben代墊|Ariel代墊|中信銀行共用"")), ""內部轉帳(忽略)"",
  AND(E4874&lt;&gt;"""", F4874&lt;&gt;"""", N"&amp;"OT(REGEXMATCH(C4874, ""薪資""))), ""內部轉帳(忽略)"",
  REGEXMATCH(C4874, ""薪資""), ""薪資變動(不計入)"",
  REGEXMATCH(C4874, ""押金""), ""押金往來"",
  AND(E4874&lt;&gt;"""", F4874=""""), ""真實支出"",
  AND(E4874="""", F4874&lt;&gt;""""), ""真實收入"",
  TRUE, ""其他""
)"),"真實收入")</f>
        <v>真實收入</v>
      </c>
      <c r="K4874" s="270">
        <f t="shared" si="2"/>
        <v>14800</v>
      </c>
      <c r="L4874">
        <f t="shared" si="3"/>
        <v>0</v>
      </c>
    </row>
    <row r="4875">
      <c r="A4875" s="107">
        <f>IFERROR(__xludf.DUMMYFUNCTION("""COMPUTED_VALUE"""),46024.0)</f>
        <v>46024</v>
      </c>
      <c r="B4875" t="str">
        <f>IFERROR(__xludf.DUMMYFUNCTION("""COMPUTED_VALUE"""),"[內湖秘境] A 月租金 後五碼:18127 (行號: 12)")</f>
        <v>[內湖秘境] A 月租金 後五碼:18127 (行號: 12)</v>
      </c>
      <c r="C4875" t="str">
        <f>IFERROR(__xludf.DUMMYFUNCTION("""COMPUTED_VALUE"""),"收入 - 租金")</f>
        <v>收入 - 租金</v>
      </c>
      <c r="D4875" s="270">
        <f>IFERROR(__xludf.DUMMYFUNCTION("""COMPUTED_VALUE"""),11700.0)</f>
        <v>11700</v>
      </c>
      <c r="F4875" t="str">
        <f>IFERROR(__xludf.DUMMYFUNCTION("""COMPUTED_VALUE"""),"玉山帳戶")</f>
        <v>玉山帳戶</v>
      </c>
      <c r="G4875" t="str">
        <f>IFERROR(__xludf.DUMMYFUNCTION("""COMPUTED_VALUE"""),"內湖秘境")</f>
        <v>內湖秘境</v>
      </c>
      <c r="H4875" s="106" t="str">
        <f t="shared" si="1"/>
        <v>2026-01</v>
      </c>
      <c r="I4875" s="271" t="str">
        <f>IFERROR(__xludf.DUMMYFUNCTION("""COMPUTED_VALUE"""),"鯰魚大大")</f>
        <v>鯰魚大大</v>
      </c>
      <c r="J4875" t="str">
        <f>IFERROR(__xludf.DUMMYFUNCTION("IFS(
  AND(REGEXMATCH(E4875, ""台銀籌備帳戶|玉山帳戶""), REGEXMATCH(C4875, ""薪資"")), ""分潤支出"",
  AND(REGEXMATCH(E4875, ""Ben帳戶|Elsa帳戶|Ben代墊|Ariel代墊|中信銀行共用""), REGEXMATCH(F4875, ""Ben帳戶|Elsa帳戶|Ben代墊|Ariel代墊|中信銀行共用"")), ""內部轉帳(忽略)"",
  AND(E4875&lt;&gt;"""", F4875&lt;&gt;"""", N"&amp;"OT(REGEXMATCH(C4875, ""薪資""))), ""內部轉帳(忽略)"",
  REGEXMATCH(C4875, ""薪資""), ""薪資變動(不計入)"",
  REGEXMATCH(C4875, ""押金""), ""押金往來"",
  AND(E4875&lt;&gt;"""", F4875=""""), ""真實支出"",
  AND(E4875="""", F4875&lt;&gt;""""), ""真實收入"",
  TRUE, ""其他""
)"),"真實收入")</f>
        <v>真實收入</v>
      </c>
      <c r="K4875" s="270">
        <f t="shared" si="2"/>
        <v>11700</v>
      </c>
      <c r="L4875">
        <f t="shared" si="3"/>
        <v>0</v>
      </c>
    </row>
    <row r="4876">
      <c r="A4876" s="107">
        <f>IFERROR(__xludf.DUMMYFUNCTION("""COMPUTED_VALUE"""),46024.0)</f>
        <v>46024</v>
      </c>
      <c r="B4876" t="str">
        <f>IFERROR(__xludf.DUMMYFUNCTION("""COMPUTED_VALUE"""),"[內湖CityLink] C 月租金 後五碼:23610 (行號: 13)")</f>
        <v>[內湖CityLink] C 月租金 後五碼:23610 (行號: 13)</v>
      </c>
      <c r="C4876" t="str">
        <f>IFERROR(__xludf.DUMMYFUNCTION("""COMPUTED_VALUE"""),"收入 - 租金")</f>
        <v>收入 - 租金</v>
      </c>
      <c r="D4876" s="270">
        <f>IFERROR(__xludf.DUMMYFUNCTION("""COMPUTED_VALUE"""),12500.0)</f>
        <v>12500</v>
      </c>
      <c r="F4876" t="str">
        <f>IFERROR(__xludf.DUMMYFUNCTION("""COMPUTED_VALUE"""),"玉山帳戶")</f>
        <v>玉山帳戶</v>
      </c>
      <c r="G4876" t="str">
        <f>IFERROR(__xludf.DUMMYFUNCTION("""COMPUTED_VALUE"""),"內湖CityLink")</f>
        <v>內湖CityLink</v>
      </c>
      <c r="H4876" s="106" t="str">
        <f t="shared" si="1"/>
        <v>2026-01</v>
      </c>
      <c r="I4876" s="271" t="str">
        <f>IFERROR(__xludf.DUMMYFUNCTION("""COMPUTED_VALUE"""),"鯰魚大大")</f>
        <v>鯰魚大大</v>
      </c>
      <c r="J4876" t="str">
        <f>IFERROR(__xludf.DUMMYFUNCTION("IFS(
  AND(REGEXMATCH(E4876, ""台銀籌備帳戶|玉山帳戶""), REGEXMATCH(C4876, ""薪資"")), ""分潤支出"",
  AND(REGEXMATCH(E4876, ""Ben帳戶|Elsa帳戶|Ben代墊|Ariel代墊|中信銀行共用""), REGEXMATCH(F4876, ""Ben帳戶|Elsa帳戶|Ben代墊|Ariel代墊|中信銀行共用"")), ""內部轉帳(忽略)"",
  AND(E4876&lt;&gt;"""", F4876&lt;&gt;"""", N"&amp;"OT(REGEXMATCH(C4876, ""薪資""))), ""內部轉帳(忽略)"",
  REGEXMATCH(C4876, ""薪資""), ""薪資變動(不計入)"",
  REGEXMATCH(C4876, ""押金""), ""押金往來"",
  AND(E4876&lt;&gt;"""", F4876=""""), ""真實支出"",
  AND(E4876="""", F4876&lt;&gt;""""), ""真實收入"",
  TRUE, ""其他""
)"),"真實收入")</f>
        <v>真實收入</v>
      </c>
      <c r="K4876" s="270">
        <f t="shared" si="2"/>
        <v>12500</v>
      </c>
      <c r="L4876">
        <f t="shared" si="3"/>
        <v>0</v>
      </c>
    </row>
    <row r="4877">
      <c r="A4877" s="107">
        <f>IFERROR(__xludf.DUMMYFUNCTION("""COMPUTED_VALUE"""),46024.0)</f>
        <v>46024</v>
      </c>
      <c r="B4877" t="str">
        <f>IFERROR(__xludf.DUMMYFUNCTION("""COMPUTED_VALUE"""),"費用 - 匯費 013 (78744)")</f>
        <v>費用 - 匯費 013 (78744)</v>
      </c>
      <c r="C4877" t="str">
        <f>IFERROR(__xludf.DUMMYFUNCTION("""COMPUTED_VALUE"""),"費用 - 匯費")</f>
        <v>費用 - 匯費</v>
      </c>
      <c r="D4877" s="270">
        <f>IFERROR(__xludf.DUMMYFUNCTION("""COMPUTED_VALUE"""),-15.0)</f>
        <v>-15</v>
      </c>
      <c r="E4877" t="str">
        <f>IFERROR(__xludf.DUMMYFUNCTION("""COMPUTED_VALUE"""),"玉山帳戶")</f>
        <v>玉山帳戶</v>
      </c>
      <c r="H4877" s="106" t="str">
        <f t="shared" si="1"/>
        <v>2026-01</v>
      </c>
      <c r="I4877" s="271" t="str">
        <f>IFERROR(__xludf.DUMMYFUNCTION("""COMPUTED_VALUE"""),"鯰魚大大")</f>
        <v>鯰魚大大</v>
      </c>
      <c r="J4877" t="str">
        <f>IFERROR(__xludf.DUMMYFUNCTION("IFS(
  AND(REGEXMATCH(E4877, ""台銀籌備帳戶|玉山帳戶""), REGEXMATCH(C4877, ""薪資"")), ""分潤支出"",
  AND(REGEXMATCH(E4877, ""Ben帳戶|Elsa帳戶|Ben代墊|Ariel代墊|中信銀行共用""), REGEXMATCH(F4877, ""Ben帳戶|Elsa帳戶|Ben代墊|Ariel代墊|中信銀行共用"")), ""內部轉帳(忽略)"",
  AND(E4877&lt;&gt;"""", F4877&lt;&gt;"""", N"&amp;"OT(REGEXMATCH(C4877, ""薪資""))), ""內部轉帳(忽略)"",
  REGEXMATCH(C4877, ""薪資""), ""薪資變動(不計入)"",
  REGEXMATCH(C4877, ""押金""), ""押金往來"",
  AND(E4877&lt;&gt;"""", F4877=""""), ""真實支出"",
  AND(E4877="""", F4877&lt;&gt;""""), ""真實收入"",
  TRUE, ""其他""
)"),"真實支出")</f>
        <v>真實支出</v>
      </c>
      <c r="K4877" s="270">
        <f t="shared" si="2"/>
        <v>-15</v>
      </c>
      <c r="L4877">
        <f t="shared" si="3"/>
        <v>0</v>
      </c>
    </row>
    <row r="4878">
      <c r="A4878" s="107">
        <f>IFERROR(__xludf.DUMMYFUNCTION("""COMPUTED_VALUE"""),46024.0)</f>
        <v>46024</v>
      </c>
      <c r="B4878" t="str">
        <f>IFERROR(__xludf.DUMMYFUNCTION("""COMPUTED_VALUE"""),"[士林和豐] [楊政偉] 大租金")</f>
        <v>[士林和豐] [楊政偉] 大租金</v>
      </c>
      <c r="C4878" t="str">
        <f>IFERROR(__xludf.DUMMYFUNCTION("""COMPUTED_VALUE"""),"成本 - 大租金")</f>
        <v>成本 - 大租金</v>
      </c>
      <c r="D4878" s="270">
        <f>IFERROR(__xludf.DUMMYFUNCTION("""COMPUTED_VALUE"""),-14400.0)</f>
        <v>-14400</v>
      </c>
      <c r="E4878" t="str">
        <f>IFERROR(__xludf.DUMMYFUNCTION("""COMPUTED_VALUE"""),"玉山帳戶")</f>
        <v>玉山帳戶</v>
      </c>
      <c r="G4878" t="str">
        <f>IFERROR(__xludf.DUMMYFUNCTION("""COMPUTED_VALUE"""),"士林和豐")</f>
        <v>士林和豐</v>
      </c>
      <c r="H4878" s="106" t="str">
        <f t="shared" si="1"/>
        <v>2026-01</v>
      </c>
      <c r="I4878" s="271" t="str">
        <f>IFERROR(__xludf.DUMMYFUNCTION("""COMPUTED_VALUE"""),"鯰魚大大")</f>
        <v>鯰魚大大</v>
      </c>
      <c r="J4878" t="str">
        <f>IFERROR(__xludf.DUMMYFUNCTION("IFS(
  AND(REGEXMATCH(E4878, ""台銀籌備帳戶|玉山帳戶""), REGEXMATCH(C4878, ""薪資"")), ""分潤支出"",
  AND(REGEXMATCH(E4878, ""Ben帳戶|Elsa帳戶|Ben代墊|Ariel代墊|中信銀行共用""), REGEXMATCH(F4878, ""Ben帳戶|Elsa帳戶|Ben代墊|Ariel代墊|中信銀行共用"")), ""內部轉帳(忽略)"",
  AND(E4878&lt;&gt;"""", F4878&lt;&gt;"""", N"&amp;"OT(REGEXMATCH(C4878, ""薪資""))), ""內部轉帳(忽略)"",
  REGEXMATCH(C4878, ""薪資""), ""薪資變動(不計入)"",
  REGEXMATCH(C4878, ""押金""), ""押金往來"",
  AND(E4878&lt;&gt;"""", F4878=""""), ""真實支出"",
  AND(E4878="""", F4878&lt;&gt;""""), ""真實收入"",
  TRUE, ""其他""
)"),"真實支出")</f>
        <v>真實支出</v>
      </c>
      <c r="K4878" s="270">
        <f t="shared" si="2"/>
        <v>-14400</v>
      </c>
      <c r="L4878">
        <f t="shared" si="3"/>
        <v>0</v>
      </c>
    </row>
    <row r="4879">
      <c r="A4879" s="107">
        <f>IFERROR(__xludf.DUMMYFUNCTION("""COMPUTED_VALUE"""),46024.0)</f>
        <v>46024</v>
      </c>
      <c r="B4879" t="str">
        <f>IFERROR(__xludf.DUMMYFUNCTION("""COMPUTED_VALUE"""),"費用 - 匯費 012 (53048)")</f>
        <v>費用 - 匯費 012 (53048)</v>
      </c>
      <c r="C4879" t="str">
        <f>IFERROR(__xludf.DUMMYFUNCTION("""COMPUTED_VALUE"""),"費用 - 匯費")</f>
        <v>費用 - 匯費</v>
      </c>
      <c r="D4879" s="270">
        <f>IFERROR(__xludf.DUMMYFUNCTION("""COMPUTED_VALUE"""),-15.0)</f>
        <v>-15</v>
      </c>
      <c r="E4879" t="str">
        <f>IFERROR(__xludf.DUMMYFUNCTION("""COMPUTED_VALUE"""),"玉山帳戶")</f>
        <v>玉山帳戶</v>
      </c>
      <c r="H4879" s="106" t="str">
        <f t="shared" si="1"/>
        <v>2026-01</v>
      </c>
      <c r="I4879" s="271" t="str">
        <f>IFERROR(__xludf.DUMMYFUNCTION("""COMPUTED_VALUE"""),"鯰魚大大")</f>
        <v>鯰魚大大</v>
      </c>
      <c r="J4879" t="str">
        <f>IFERROR(__xludf.DUMMYFUNCTION("IFS(
  AND(REGEXMATCH(E4879, ""台銀籌備帳戶|玉山帳戶""), REGEXMATCH(C4879, ""薪資"")), ""分潤支出"",
  AND(REGEXMATCH(E4879, ""Ben帳戶|Elsa帳戶|Ben代墊|Ariel代墊|中信銀行共用""), REGEXMATCH(F4879, ""Ben帳戶|Elsa帳戶|Ben代墊|Ariel代墊|中信銀行共用"")), ""內部轉帳(忽略)"",
  AND(E4879&lt;&gt;"""", F4879&lt;&gt;"""", N"&amp;"OT(REGEXMATCH(C4879, ""薪資""))), ""內部轉帳(忽略)"",
  REGEXMATCH(C4879, ""薪資""), ""薪資變動(不計入)"",
  REGEXMATCH(C4879, ""押金""), ""押金往來"",
  AND(E4879&lt;&gt;"""", F4879=""""), ""真實支出"",
  AND(E4879="""", F4879&lt;&gt;""""), ""真實收入"",
  TRUE, ""其他""
)"),"真實支出")</f>
        <v>真實支出</v>
      </c>
      <c r="K4879" s="270">
        <f t="shared" si="2"/>
        <v>-15</v>
      </c>
      <c r="L4879">
        <f t="shared" si="3"/>
        <v>0</v>
      </c>
    </row>
    <row r="4880">
      <c r="A4880" s="107">
        <f>IFERROR(__xludf.DUMMYFUNCTION("""COMPUTED_VALUE"""),46024.0)</f>
        <v>46024</v>
      </c>
      <c r="B4880" t="str">
        <f>IFERROR(__xludf.DUMMYFUNCTION("""COMPUTED_VALUE"""),"[內湖秘境] [周佳慧] 大租金")</f>
        <v>[內湖秘境] [周佳慧] 大租金</v>
      </c>
      <c r="C4880" t="str">
        <f>IFERROR(__xludf.DUMMYFUNCTION("""COMPUTED_VALUE"""),"成本 - 大租金")</f>
        <v>成本 - 大租金</v>
      </c>
      <c r="D4880" s="270">
        <f>IFERROR(__xludf.DUMMYFUNCTION("""COMPUTED_VALUE"""),-15000.0)</f>
        <v>-15000</v>
      </c>
      <c r="E4880" t="str">
        <f>IFERROR(__xludf.DUMMYFUNCTION("""COMPUTED_VALUE"""),"玉山帳戶")</f>
        <v>玉山帳戶</v>
      </c>
      <c r="G4880" t="str">
        <f>IFERROR(__xludf.DUMMYFUNCTION("""COMPUTED_VALUE"""),"內湖秘境")</f>
        <v>內湖秘境</v>
      </c>
      <c r="H4880" s="106" t="str">
        <f t="shared" si="1"/>
        <v>2026-01</v>
      </c>
      <c r="I4880" s="271" t="str">
        <f>IFERROR(__xludf.DUMMYFUNCTION("""COMPUTED_VALUE"""),"鯰魚大大")</f>
        <v>鯰魚大大</v>
      </c>
      <c r="J4880" t="str">
        <f>IFERROR(__xludf.DUMMYFUNCTION("IFS(
  AND(REGEXMATCH(E4880, ""台銀籌備帳戶|玉山帳戶""), REGEXMATCH(C4880, ""薪資"")), ""分潤支出"",
  AND(REGEXMATCH(E4880, ""Ben帳戶|Elsa帳戶|Ben代墊|Ariel代墊|中信銀行共用""), REGEXMATCH(F4880, ""Ben帳戶|Elsa帳戶|Ben代墊|Ariel代墊|中信銀行共用"")), ""內部轉帳(忽略)"",
  AND(E4880&lt;&gt;"""", F4880&lt;&gt;"""", N"&amp;"OT(REGEXMATCH(C4880, ""薪資""))), ""內部轉帳(忽略)"",
  REGEXMATCH(C4880, ""薪資""), ""薪資變動(不計入)"",
  REGEXMATCH(C4880, ""押金""), ""押金往來"",
  AND(E4880&lt;&gt;"""", F4880=""""), ""真實支出"",
  AND(E4880="""", F4880&lt;&gt;""""), ""真實收入"",
  TRUE, ""其他""
)"),"真實支出")</f>
        <v>真實支出</v>
      </c>
      <c r="K4880" s="270">
        <f t="shared" si="2"/>
        <v>-15000</v>
      </c>
      <c r="L4880">
        <f t="shared" si="3"/>
        <v>0</v>
      </c>
    </row>
    <row r="4881">
      <c r="A4881" s="107">
        <f>IFERROR(__xludf.DUMMYFUNCTION("""COMPUTED_VALUE"""),46024.0)</f>
        <v>46024</v>
      </c>
      <c r="B4881" t="str">
        <f>IFERROR(__xludf.DUMMYFUNCTION("""COMPUTED_VALUE"""),"費用 - 匯費 700 (84843)")</f>
        <v>費用 - 匯費 700 (84843)</v>
      </c>
      <c r="C4881" t="str">
        <f>IFERROR(__xludf.DUMMYFUNCTION("""COMPUTED_VALUE"""),"費用 - 匯費")</f>
        <v>費用 - 匯費</v>
      </c>
      <c r="D4881" s="270">
        <f>IFERROR(__xludf.DUMMYFUNCTION("""COMPUTED_VALUE"""),-15.0)</f>
        <v>-15</v>
      </c>
      <c r="E4881" t="str">
        <f>IFERROR(__xludf.DUMMYFUNCTION("""COMPUTED_VALUE"""),"玉山帳戶")</f>
        <v>玉山帳戶</v>
      </c>
      <c r="H4881" s="106" t="str">
        <f t="shared" si="1"/>
        <v>2026-01</v>
      </c>
      <c r="I4881" s="271" t="str">
        <f>IFERROR(__xludf.DUMMYFUNCTION("""COMPUTED_VALUE"""),"鯰魚大大")</f>
        <v>鯰魚大大</v>
      </c>
      <c r="J4881" t="str">
        <f>IFERROR(__xludf.DUMMYFUNCTION("IFS(
  AND(REGEXMATCH(E4881, ""台銀籌備帳戶|玉山帳戶""), REGEXMATCH(C4881, ""薪資"")), ""分潤支出"",
  AND(REGEXMATCH(E4881, ""Ben帳戶|Elsa帳戶|Ben代墊|Ariel代墊|中信銀行共用""), REGEXMATCH(F4881, ""Ben帳戶|Elsa帳戶|Ben代墊|Ariel代墊|中信銀行共用"")), ""內部轉帳(忽略)"",
  AND(E4881&lt;&gt;"""", F4881&lt;&gt;"""", N"&amp;"OT(REGEXMATCH(C4881, ""薪資""))), ""內部轉帳(忽略)"",
  REGEXMATCH(C4881, ""薪資""), ""薪資變動(不計入)"",
  REGEXMATCH(C4881, ""押金""), ""押金往來"",
  AND(E4881&lt;&gt;"""", F4881=""""), ""真實支出"",
  AND(E4881="""", F4881&lt;&gt;""""), ""真實收入"",
  TRUE, ""其他""
)"),"真實支出")</f>
        <v>真實支出</v>
      </c>
      <c r="K4881" s="270">
        <f t="shared" si="2"/>
        <v>-15</v>
      </c>
      <c r="L4881">
        <f t="shared" si="3"/>
        <v>0</v>
      </c>
    </row>
    <row r="4882">
      <c r="A4882" s="107">
        <f>IFERROR(__xludf.DUMMYFUNCTION("""COMPUTED_VALUE"""),46024.0)</f>
        <v>46024</v>
      </c>
      <c r="B4882" t="str">
        <f>IFERROR(__xludf.DUMMYFUNCTION("""COMPUTED_VALUE"""),"[內湖秘境] [周佳慧] 大租金")</f>
        <v>[內湖秘境] [周佳慧] 大租金</v>
      </c>
      <c r="C4882" t="str">
        <f>IFERROR(__xludf.DUMMYFUNCTION("""COMPUTED_VALUE"""),"成本 - 大租金")</f>
        <v>成本 - 大租金</v>
      </c>
      <c r="D4882" s="270">
        <f>IFERROR(__xludf.DUMMYFUNCTION("""COMPUTED_VALUE"""),-15000.0)</f>
        <v>-15000</v>
      </c>
      <c r="E4882" t="str">
        <f>IFERROR(__xludf.DUMMYFUNCTION("""COMPUTED_VALUE"""),"玉山帳戶")</f>
        <v>玉山帳戶</v>
      </c>
      <c r="G4882" t="str">
        <f>IFERROR(__xludf.DUMMYFUNCTION("""COMPUTED_VALUE"""),"內湖秘境")</f>
        <v>內湖秘境</v>
      </c>
      <c r="H4882" s="106" t="str">
        <f t="shared" si="1"/>
        <v>2026-01</v>
      </c>
      <c r="I4882" s="271" t="str">
        <f>IFERROR(__xludf.DUMMYFUNCTION("""COMPUTED_VALUE"""),"鯰魚大大")</f>
        <v>鯰魚大大</v>
      </c>
      <c r="J4882" t="str">
        <f>IFERROR(__xludf.DUMMYFUNCTION("IFS(
  AND(REGEXMATCH(E4882, ""台銀籌備帳戶|玉山帳戶""), REGEXMATCH(C4882, ""薪資"")), ""分潤支出"",
  AND(REGEXMATCH(E4882, ""Ben帳戶|Elsa帳戶|Ben代墊|Ariel代墊|中信銀行共用""), REGEXMATCH(F4882, ""Ben帳戶|Elsa帳戶|Ben代墊|Ariel代墊|中信銀行共用"")), ""內部轉帳(忽略)"",
  AND(E4882&lt;&gt;"""", F4882&lt;&gt;"""", N"&amp;"OT(REGEXMATCH(C4882, ""薪資""))), ""內部轉帳(忽略)"",
  REGEXMATCH(C4882, ""薪資""), ""薪資變動(不計入)"",
  REGEXMATCH(C4882, ""押金""), ""押金往來"",
  AND(E4882&lt;&gt;"""", F4882=""""), ""真實支出"",
  AND(E4882="""", F4882&lt;&gt;""""), ""真實收入"",
  TRUE, ""其他""
)"),"真實支出")</f>
        <v>真實支出</v>
      </c>
      <c r="K4882" s="270">
        <f t="shared" si="2"/>
        <v>-15000</v>
      </c>
      <c r="L4882">
        <f t="shared" si="3"/>
        <v>0</v>
      </c>
    </row>
    <row r="4883">
      <c r="A4883" s="107">
        <f>IFERROR(__xludf.DUMMYFUNCTION("""COMPUTED_VALUE"""),46024.0)</f>
        <v>46024</v>
      </c>
      <c r="B4883" t="str">
        <f>IFERROR(__xludf.DUMMYFUNCTION("""COMPUTED_VALUE"""),"費用 - 匯費 012 (68447)")</f>
        <v>費用 - 匯費 012 (68447)</v>
      </c>
      <c r="C4883" t="str">
        <f>IFERROR(__xludf.DUMMYFUNCTION("""COMPUTED_VALUE"""),"費用 - 匯費")</f>
        <v>費用 - 匯費</v>
      </c>
      <c r="D4883" s="270">
        <f>IFERROR(__xludf.DUMMYFUNCTION("""COMPUTED_VALUE"""),-15.0)</f>
        <v>-15</v>
      </c>
      <c r="E4883" t="str">
        <f>IFERROR(__xludf.DUMMYFUNCTION("""COMPUTED_VALUE"""),"玉山帳戶")</f>
        <v>玉山帳戶</v>
      </c>
      <c r="H4883" s="106" t="str">
        <f t="shared" si="1"/>
        <v>2026-01</v>
      </c>
      <c r="I4883" s="271" t="str">
        <f>IFERROR(__xludf.DUMMYFUNCTION("""COMPUTED_VALUE"""),"鯰魚大大")</f>
        <v>鯰魚大大</v>
      </c>
      <c r="J4883" t="str">
        <f>IFERROR(__xludf.DUMMYFUNCTION("IFS(
  AND(REGEXMATCH(E4883, ""台銀籌備帳戶|玉山帳戶""), REGEXMATCH(C4883, ""薪資"")), ""分潤支出"",
  AND(REGEXMATCH(E4883, ""Ben帳戶|Elsa帳戶|Ben代墊|Ariel代墊|中信銀行共用""), REGEXMATCH(F4883, ""Ben帳戶|Elsa帳戶|Ben代墊|Ariel代墊|中信銀行共用"")), ""內部轉帳(忽略)"",
  AND(E4883&lt;&gt;"""", F4883&lt;&gt;"""", N"&amp;"OT(REGEXMATCH(C4883, ""薪資""))), ""內部轉帳(忽略)"",
  REGEXMATCH(C4883, ""薪資""), ""薪資變動(不計入)"",
  REGEXMATCH(C4883, ""押金""), ""押金往來"",
  AND(E4883&lt;&gt;"""", F4883=""""), ""真實支出"",
  AND(E4883="""", F4883&lt;&gt;""""), ""真實收入"",
  TRUE, ""其他""
)"),"真實支出")</f>
        <v>真實支出</v>
      </c>
      <c r="K4883" s="270">
        <f t="shared" si="2"/>
        <v>-15</v>
      </c>
      <c r="L4883">
        <f t="shared" si="3"/>
        <v>0</v>
      </c>
    </row>
    <row r="4884">
      <c r="A4884" s="107">
        <f>IFERROR(__xludf.DUMMYFUNCTION("""COMPUTED_VALUE"""),46024.0)</f>
        <v>46024</v>
      </c>
      <c r="B4884" t="str">
        <f>IFERROR(__xludf.DUMMYFUNCTION("""COMPUTED_VALUE"""),"[行天宮夏野良栗] [沈蕙萱] 大租金")</f>
        <v>[行天宮夏野良栗] [沈蕙萱] 大租金</v>
      </c>
      <c r="C4884" t="str">
        <f>IFERROR(__xludf.DUMMYFUNCTION("""COMPUTED_VALUE"""),"成本 - 大租金")</f>
        <v>成本 - 大租金</v>
      </c>
      <c r="D4884" s="270">
        <f>IFERROR(__xludf.DUMMYFUNCTION("""COMPUTED_VALUE"""),-19900.0)</f>
        <v>-19900</v>
      </c>
      <c r="E4884" t="str">
        <f>IFERROR(__xludf.DUMMYFUNCTION("""COMPUTED_VALUE"""),"玉山帳戶")</f>
        <v>玉山帳戶</v>
      </c>
      <c r="G4884" t="str">
        <f>IFERROR(__xludf.DUMMYFUNCTION("""COMPUTED_VALUE"""),"行天宮夏野良栗")</f>
        <v>行天宮夏野良栗</v>
      </c>
      <c r="H4884" s="106" t="str">
        <f t="shared" si="1"/>
        <v>2026-01</v>
      </c>
      <c r="I4884" s="271" t="str">
        <f>IFERROR(__xludf.DUMMYFUNCTION("""COMPUTED_VALUE"""),"鯰魚大大")</f>
        <v>鯰魚大大</v>
      </c>
      <c r="J4884" t="str">
        <f>IFERROR(__xludf.DUMMYFUNCTION("IFS(
  AND(REGEXMATCH(E4884, ""台銀籌備帳戶|玉山帳戶""), REGEXMATCH(C4884, ""薪資"")), ""分潤支出"",
  AND(REGEXMATCH(E4884, ""Ben帳戶|Elsa帳戶|Ben代墊|Ariel代墊|中信銀行共用""), REGEXMATCH(F4884, ""Ben帳戶|Elsa帳戶|Ben代墊|Ariel代墊|中信銀行共用"")), ""內部轉帳(忽略)"",
  AND(E4884&lt;&gt;"""", F4884&lt;&gt;"""", N"&amp;"OT(REGEXMATCH(C4884, ""薪資""))), ""內部轉帳(忽略)"",
  REGEXMATCH(C4884, ""薪資""), ""薪資變動(不計入)"",
  REGEXMATCH(C4884, ""押金""), ""押金往來"",
  AND(E4884&lt;&gt;"""", F4884=""""), ""真實支出"",
  AND(E4884="""", F4884&lt;&gt;""""), ""真實收入"",
  TRUE, ""其他""
)"),"真實支出")</f>
        <v>真實支出</v>
      </c>
      <c r="K4884" s="270">
        <f t="shared" si="2"/>
        <v>-19900</v>
      </c>
      <c r="L4884">
        <f t="shared" si="3"/>
        <v>0</v>
      </c>
    </row>
    <row r="4885">
      <c r="A4885" s="107">
        <f>IFERROR(__xludf.DUMMYFUNCTION("""COMPUTED_VALUE"""),46024.0)</f>
        <v>46024</v>
      </c>
      <c r="B4885" t="str">
        <f>IFERROR(__xludf.DUMMYFUNCTION("""COMPUTED_VALUE"""),"費用 - 匯費 810 (77212)")</f>
        <v>費用 - 匯費 810 (77212)</v>
      </c>
      <c r="C4885" t="str">
        <f>IFERROR(__xludf.DUMMYFUNCTION("""COMPUTED_VALUE"""),"費用 - 匯費")</f>
        <v>費用 - 匯費</v>
      </c>
      <c r="D4885" s="270">
        <f>IFERROR(__xludf.DUMMYFUNCTION("""COMPUTED_VALUE"""),-15.0)</f>
        <v>-15</v>
      </c>
      <c r="E4885" t="str">
        <f>IFERROR(__xludf.DUMMYFUNCTION("""COMPUTED_VALUE"""),"玉山帳戶")</f>
        <v>玉山帳戶</v>
      </c>
      <c r="H4885" s="106" t="str">
        <f t="shared" si="1"/>
        <v>2026-01</v>
      </c>
      <c r="I4885" s="271" t="str">
        <f>IFERROR(__xludf.DUMMYFUNCTION("""COMPUTED_VALUE"""),"鯰魚大大")</f>
        <v>鯰魚大大</v>
      </c>
      <c r="J4885" t="str">
        <f>IFERROR(__xludf.DUMMYFUNCTION("IFS(
  AND(REGEXMATCH(E4885, ""台銀籌備帳戶|玉山帳戶""), REGEXMATCH(C4885, ""薪資"")), ""分潤支出"",
  AND(REGEXMATCH(E4885, ""Ben帳戶|Elsa帳戶|Ben代墊|Ariel代墊|中信銀行共用""), REGEXMATCH(F4885, ""Ben帳戶|Elsa帳戶|Ben代墊|Ariel代墊|中信銀行共用"")), ""內部轉帳(忽略)"",
  AND(E4885&lt;&gt;"""", F4885&lt;&gt;"""", N"&amp;"OT(REGEXMATCH(C4885, ""薪資""))), ""內部轉帳(忽略)"",
  REGEXMATCH(C4885, ""薪資""), ""薪資變動(不計入)"",
  REGEXMATCH(C4885, ""押金""), ""押金往來"",
  AND(E4885&lt;&gt;"""", F4885=""""), ""真實支出"",
  AND(E4885="""", F4885&lt;&gt;""""), ""真實收入"",
  TRUE, ""其他""
)"),"真實支出")</f>
        <v>真實支出</v>
      </c>
      <c r="K4885" s="270">
        <f t="shared" si="2"/>
        <v>-15</v>
      </c>
      <c r="L4885">
        <f t="shared" si="3"/>
        <v>0</v>
      </c>
    </row>
    <row r="4886">
      <c r="A4886" s="107">
        <f>IFERROR(__xludf.DUMMYFUNCTION("""COMPUTED_VALUE"""),46024.0)</f>
        <v>46024</v>
      </c>
      <c r="B4886" t="str">
        <f>IFERROR(__xludf.DUMMYFUNCTION("""COMPUTED_VALUE"""),"[內湖秘境] [周佳慧] 大租金")</f>
        <v>[內湖秘境] [周佳慧] 大租金</v>
      </c>
      <c r="C4886" t="str">
        <f>IFERROR(__xludf.DUMMYFUNCTION("""COMPUTED_VALUE"""),"成本 - 大租金")</f>
        <v>成本 - 大租金</v>
      </c>
      <c r="D4886" s="270">
        <f>IFERROR(__xludf.DUMMYFUNCTION("""COMPUTED_VALUE"""),-15000.0)</f>
        <v>-15000</v>
      </c>
      <c r="E4886" t="str">
        <f>IFERROR(__xludf.DUMMYFUNCTION("""COMPUTED_VALUE"""),"玉山帳戶")</f>
        <v>玉山帳戶</v>
      </c>
      <c r="G4886" t="str">
        <f>IFERROR(__xludf.DUMMYFUNCTION("""COMPUTED_VALUE"""),"內湖秘境")</f>
        <v>內湖秘境</v>
      </c>
      <c r="H4886" s="106" t="str">
        <f t="shared" si="1"/>
        <v>2026-01</v>
      </c>
      <c r="I4886" s="271" t="str">
        <f>IFERROR(__xludf.DUMMYFUNCTION("""COMPUTED_VALUE"""),"鯰魚大大")</f>
        <v>鯰魚大大</v>
      </c>
      <c r="J4886" t="str">
        <f>IFERROR(__xludf.DUMMYFUNCTION("IFS(
  AND(REGEXMATCH(E4886, ""台銀籌備帳戶|玉山帳戶""), REGEXMATCH(C4886, ""薪資"")), ""分潤支出"",
  AND(REGEXMATCH(E4886, ""Ben帳戶|Elsa帳戶|Ben代墊|Ariel代墊|中信銀行共用""), REGEXMATCH(F4886, ""Ben帳戶|Elsa帳戶|Ben代墊|Ariel代墊|中信銀行共用"")), ""內部轉帳(忽略)"",
  AND(E4886&lt;&gt;"""", F4886&lt;&gt;"""", N"&amp;"OT(REGEXMATCH(C4886, ""薪資""))), ""內部轉帳(忽略)"",
  REGEXMATCH(C4886, ""薪資""), ""薪資變動(不計入)"",
  REGEXMATCH(C4886, ""押金""), ""押金往來"",
  AND(E4886&lt;&gt;"""", F4886=""""), ""真實支出"",
  AND(E4886="""", F4886&lt;&gt;""""), ""真實收入"",
  TRUE, ""其他""
)"),"真實支出")</f>
        <v>真實支出</v>
      </c>
      <c r="K4886" s="270">
        <f t="shared" si="2"/>
        <v>-15000</v>
      </c>
      <c r="L4886">
        <f t="shared" si="3"/>
        <v>0</v>
      </c>
    </row>
    <row r="4887">
      <c r="A4887" s="107">
        <f>IFERROR(__xludf.DUMMYFUNCTION("""COMPUTED_VALUE"""),46024.0)</f>
        <v>46024</v>
      </c>
      <c r="B4887" t="str">
        <f>IFERROR(__xludf.DUMMYFUNCTION("""COMPUTED_VALUE"""),"費用 - 匯費 806 (26435)")</f>
        <v>費用 - 匯費 806 (26435)</v>
      </c>
      <c r="C4887" t="str">
        <f>IFERROR(__xludf.DUMMYFUNCTION("""COMPUTED_VALUE"""),"費用 - 匯費")</f>
        <v>費用 - 匯費</v>
      </c>
      <c r="D4887" s="270">
        <f>IFERROR(__xludf.DUMMYFUNCTION("""COMPUTED_VALUE"""),-15.0)</f>
        <v>-15</v>
      </c>
      <c r="E4887" t="str">
        <f>IFERROR(__xludf.DUMMYFUNCTION("""COMPUTED_VALUE"""),"玉山帳戶")</f>
        <v>玉山帳戶</v>
      </c>
      <c r="H4887" s="106" t="str">
        <f t="shared" si="1"/>
        <v>2026-01</v>
      </c>
      <c r="I4887" s="271" t="str">
        <f>IFERROR(__xludf.DUMMYFUNCTION("""COMPUTED_VALUE"""),"鯰魚大大")</f>
        <v>鯰魚大大</v>
      </c>
      <c r="J4887" t="str">
        <f>IFERROR(__xludf.DUMMYFUNCTION("IFS(
  AND(REGEXMATCH(E4887, ""台銀籌備帳戶|玉山帳戶""), REGEXMATCH(C4887, ""薪資"")), ""分潤支出"",
  AND(REGEXMATCH(E4887, ""Ben帳戶|Elsa帳戶|Ben代墊|Ariel代墊|中信銀行共用""), REGEXMATCH(F4887, ""Ben帳戶|Elsa帳戶|Ben代墊|Ariel代墊|中信銀行共用"")), ""內部轉帳(忽略)"",
  AND(E4887&lt;&gt;"""", F4887&lt;&gt;"""", N"&amp;"OT(REGEXMATCH(C4887, ""薪資""))), ""內部轉帳(忽略)"",
  REGEXMATCH(C4887, ""薪資""), ""薪資變動(不計入)"",
  REGEXMATCH(C4887, ""押金""), ""押金往來"",
  AND(E4887&lt;&gt;"""", F4887=""""), ""真實支出"",
  AND(E4887="""", F4887&lt;&gt;""""), ""真實收入"",
  TRUE, ""其他""
)"),"真實支出")</f>
        <v>真實支出</v>
      </c>
      <c r="K4887" s="270">
        <f t="shared" si="2"/>
        <v>-15</v>
      </c>
      <c r="L4887">
        <f t="shared" si="3"/>
        <v>0</v>
      </c>
    </row>
    <row r="4888">
      <c r="A4888" s="107">
        <f>IFERROR(__xludf.DUMMYFUNCTION("""COMPUTED_VALUE"""),46024.0)</f>
        <v>46024</v>
      </c>
      <c r="B4888" t="str">
        <f>IFERROR(__xludf.DUMMYFUNCTION("""COMPUTED_VALUE"""),"[內湖CityLink] [周佳慧] 大租金")</f>
        <v>[內湖CityLink] [周佳慧] 大租金</v>
      </c>
      <c r="C4888" t="str">
        <f>IFERROR(__xludf.DUMMYFUNCTION("""COMPUTED_VALUE"""),"成本 - 大租金")</f>
        <v>成本 - 大租金</v>
      </c>
      <c r="D4888" s="270">
        <f>IFERROR(__xludf.DUMMYFUNCTION("""COMPUTED_VALUE"""),-16500.0)</f>
        <v>-16500</v>
      </c>
      <c r="E4888" t="str">
        <f>IFERROR(__xludf.DUMMYFUNCTION("""COMPUTED_VALUE"""),"玉山帳戶")</f>
        <v>玉山帳戶</v>
      </c>
      <c r="G4888" t="str">
        <f>IFERROR(__xludf.DUMMYFUNCTION("""COMPUTED_VALUE"""),"內湖CityLink")</f>
        <v>內湖CityLink</v>
      </c>
      <c r="H4888" s="106" t="str">
        <f t="shared" si="1"/>
        <v>2026-01</v>
      </c>
      <c r="I4888" s="271" t="str">
        <f>IFERROR(__xludf.DUMMYFUNCTION("""COMPUTED_VALUE"""),"鯰魚大大")</f>
        <v>鯰魚大大</v>
      </c>
      <c r="J4888" t="str">
        <f>IFERROR(__xludf.DUMMYFUNCTION("IFS(
  AND(REGEXMATCH(E4888, ""台銀籌備帳戶|玉山帳戶""), REGEXMATCH(C4888, ""薪資"")), ""分潤支出"",
  AND(REGEXMATCH(E4888, ""Ben帳戶|Elsa帳戶|Ben代墊|Ariel代墊|中信銀行共用""), REGEXMATCH(F4888, ""Ben帳戶|Elsa帳戶|Ben代墊|Ariel代墊|中信銀行共用"")), ""內部轉帳(忽略)"",
  AND(E4888&lt;&gt;"""", F4888&lt;&gt;"""", N"&amp;"OT(REGEXMATCH(C4888, ""薪資""))), ""內部轉帳(忽略)"",
  REGEXMATCH(C4888, ""薪資""), ""薪資變動(不計入)"",
  REGEXMATCH(C4888, ""押金""), ""押金往來"",
  AND(E4888&lt;&gt;"""", F4888=""""), ""真實支出"",
  AND(E4888="""", F4888&lt;&gt;""""), ""真實收入"",
  TRUE, ""其他""
)"),"真實支出")</f>
        <v>真實支出</v>
      </c>
      <c r="K4888" s="270">
        <f t="shared" si="2"/>
        <v>-16500</v>
      </c>
      <c r="L4888">
        <f t="shared" si="3"/>
        <v>0</v>
      </c>
    </row>
    <row r="4889">
      <c r="A4889" s="107">
        <f>IFERROR(__xludf.DUMMYFUNCTION("""COMPUTED_VALUE"""),46024.0)</f>
        <v>46024</v>
      </c>
      <c r="B4889" t="str">
        <f>IFERROR(__xludf.DUMMYFUNCTION("""COMPUTED_VALUE"""),"[行天宮夏野良栗] B 月租金 後五碼:73083 (行號: 20)")</f>
        <v>[行天宮夏野良栗] B 月租金 後五碼:73083 (行號: 20)</v>
      </c>
      <c r="C4889" t="str">
        <f>IFERROR(__xludf.DUMMYFUNCTION("""COMPUTED_VALUE"""),"收入 - 租金")</f>
        <v>收入 - 租金</v>
      </c>
      <c r="D4889" s="270">
        <f>IFERROR(__xludf.DUMMYFUNCTION("""COMPUTED_VALUE"""),14000.0)</f>
        <v>14000</v>
      </c>
      <c r="F4889" t="str">
        <f>IFERROR(__xludf.DUMMYFUNCTION("""COMPUTED_VALUE"""),"玉山帳戶")</f>
        <v>玉山帳戶</v>
      </c>
      <c r="G4889" t="str">
        <f>IFERROR(__xludf.DUMMYFUNCTION("""COMPUTED_VALUE"""),"行天宮夏野良栗")</f>
        <v>行天宮夏野良栗</v>
      </c>
      <c r="H4889" s="106" t="str">
        <f t="shared" si="1"/>
        <v>2026-01</v>
      </c>
      <c r="I4889" s="271" t="str">
        <f>IFERROR(__xludf.DUMMYFUNCTION("""COMPUTED_VALUE"""),"鯰魚大大")</f>
        <v>鯰魚大大</v>
      </c>
      <c r="J4889" t="str">
        <f>IFERROR(__xludf.DUMMYFUNCTION("IFS(
  AND(REGEXMATCH(E4889, ""台銀籌備帳戶|玉山帳戶""), REGEXMATCH(C4889, ""薪資"")), ""分潤支出"",
  AND(REGEXMATCH(E4889, ""Ben帳戶|Elsa帳戶|Ben代墊|Ariel代墊|中信銀行共用""), REGEXMATCH(F4889, ""Ben帳戶|Elsa帳戶|Ben代墊|Ariel代墊|中信銀行共用"")), ""內部轉帳(忽略)"",
  AND(E4889&lt;&gt;"""", F4889&lt;&gt;"""", N"&amp;"OT(REGEXMATCH(C4889, ""薪資""))), ""內部轉帳(忽略)"",
  REGEXMATCH(C4889, ""薪資""), ""薪資變動(不計入)"",
  REGEXMATCH(C4889, ""押金""), ""押金往來"",
  AND(E4889&lt;&gt;"""", F4889=""""), ""真實支出"",
  AND(E4889="""", F4889&lt;&gt;""""), ""真實收入"",
  TRUE, ""其他""
)"),"真實收入")</f>
        <v>真實收入</v>
      </c>
      <c r="K4889" s="270">
        <f t="shared" si="2"/>
        <v>14000</v>
      </c>
      <c r="L4889">
        <f t="shared" si="3"/>
        <v>0</v>
      </c>
    </row>
    <row r="4890">
      <c r="A4890" s="107">
        <f>IFERROR(__xludf.DUMMYFUNCTION("""COMPUTED_VALUE"""),46024.0)</f>
        <v>46024</v>
      </c>
      <c r="B4890" t="str">
        <f>IFERROR(__xludf.DUMMYFUNCTION("""COMPUTED_VALUE"""),"[行天宮夏野良栗] A 月租金 後五碼:29450 (行號: 21)")</f>
        <v>[行天宮夏野良栗] A 月租金 後五碼:29450 (行號: 21)</v>
      </c>
      <c r="C4890" t="str">
        <f>IFERROR(__xludf.DUMMYFUNCTION("""COMPUTED_VALUE"""),"收入 - 租金")</f>
        <v>收入 - 租金</v>
      </c>
      <c r="D4890" s="270">
        <f>IFERROR(__xludf.DUMMYFUNCTION("""COMPUTED_VALUE"""),14200.0)</f>
        <v>14200</v>
      </c>
      <c r="F4890" t="str">
        <f>IFERROR(__xludf.DUMMYFUNCTION("""COMPUTED_VALUE"""),"玉山帳戶")</f>
        <v>玉山帳戶</v>
      </c>
      <c r="G4890" t="str">
        <f>IFERROR(__xludf.DUMMYFUNCTION("""COMPUTED_VALUE"""),"行天宮夏野良栗")</f>
        <v>行天宮夏野良栗</v>
      </c>
      <c r="H4890" s="106" t="str">
        <f t="shared" si="1"/>
        <v>2026-01</v>
      </c>
      <c r="I4890" s="271" t="str">
        <f>IFERROR(__xludf.DUMMYFUNCTION("""COMPUTED_VALUE"""),"鯰魚大大")</f>
        <v>鯰魚大大</v>
      </c>
      <c r="J4890" t="str">
        <f>IFERROR(__xludf.DUMMYFUNCTION("IFS(
  AND(REGEXMATCH(E4890, ""台銀籌備帳戶|玉山帳戶""), REGEXMATCH(C4890, ""薪資"")), ""分潤支出"",
  AND(REGEXMATCH(E4890, ""Ben帳戶|Elsa帳戶|Ben代墊|Ariel代墊|中信銀行共用""), REGEXMATCH(F4890, ""Ben帳戶|Elsa帳戶|Ben代墊|Ariel代墊|中信銀行共用"")), ""內部轉帳(忽略)"",
  AND(E4890&lt;&gt;"""", F4890&lt;&gt;"""", N"&amp;"OT(REGEXMATCH(C4890, ""薪資""))), ""內部轉帳(忽略)"",
  REGEXMATCH(C4890, ""薪資""), ""薪資變動(不計入)"",
  REGEXMATCH(C4890, ""押金""), ""押金往來"",
  AND(E4890&lt;&gt;"""", F4890=""""), ""真實支出"",
  AND(E4890="""", F4890&lt;&gt;""""), ""真實收入"",
  TRUE, ""其他""
)"),"真實收入")</f>
        <v>真實收入</v>
      </c>
      <c r="K4890" s="270">
        <f t="shared" si="2"/>
        <v>14200</v>
      </c>
      <c r="L4890">
        <f t="shared" si="3"/>
        <v>0</v>
      </c>
    </row>
    <row r="4891">
      <c r="A4891" s="107">
        <f>IFERROR(__xludf.DUMMYFUNCTION("""COMPUTED_VALUE"""),46024.0)</f>
        <v>46024</v>
      </c>
      <c r="B4891" t="str">
        <f>IFERROR(__xludf.DUMMYFUNCTION("""COMPUTED_VALUE"""),"[內湖CityLink] F 月租金 後五碼:65463 (行號: 22)")</f>
        <v>[內湖CityLink] F 月租金 後五碼:65463 (行號: 22)</v>
      </c>
      <c r="C4891" t="str">
        <f>IFERROR(__xludf.DUMMYFUNCTION("""COMPUTED_VALUE"""),"收入 - 租金")</f>
        <v>收入 - 租金</v>
      </c>
      <c r="D4891" s="270">
        <f>IFERROR(__xludf.DUMMYFUNCTION("""COMPUTED_VALUE"""),13300.0)</f>
        <v>13300</v>
      </c>
      <c r="F4891" t="str">
        <f>IFERROR(__xludf.DUMMYFUNCTION("""COMPUTED_VALUE"""),"玉山帳戶")</f>
        <v>玉山帳戶</v>
      </c>
      <c r="G4891" t="str">
        <f>IFERROR(__xludf.DUMMYFUNCTION("""COMPUTED_VALUE"""),"內湖CityLink")</f>
        <v>內湖CityLink</v>
      </c>
      <c r="H4891" s="106" t="str">
        <f t="shared" si="1"/>
        <v>2026-01</v>
      </c>
      <c r="I4891" s="271" t="str">
        <f>IFERROR(__xludf.DUMMYFUNCTION("""COMPUTED_VALUE"""),"鯰魚大大")</f>
        <v>鯰魚大大</v>
      </c>
      <c r="J4891" t="str">
        <f>IFERROR(__xludf.DUMMYFUNCTION("IFS(
  AND(REGEXMATCH(E4891, ""台銀籌備帳戶|玉山帳戶""), REGEXMATCH(C4891, ""薪資"")), ""分潤支出"",
  AND(REGEXMATCH(E4891, ""Ben帳戶|Elsa帳戶|Ben代墊|Ariel代墊|中信銀行共用""), REGEXMATCH(F4891, ""Ben帳戶|Elsa帳戶|Ben代墊|Ariel代墊|中信銀行共用"")), ""內部轉帳(忽略)"",
  AND(E4891&lt;&gt;"""", F4891&lt;&gt;"""", N"&amp;"OT(REGEXMATCH(C4891, ""薪資""))), ""內部轉帳(忽略)"",
  REGEXMATCH(C4891, ""薪資""), ""薪資變動(不計入)"",
  REGEXMATCH(C4891, ""押金""), ""押金往來"",
  AND(E4891&lt;&gt;"""", F4891=""""), ""真實支出"",
  AND(E4891="""", F4891&lt;&gt;""""), ""真實收入"",
  TRUE, ""其他""
)"),"真實收入")</f>
        <v>真實收入</v>
      </c>
      <c r="K4891" s="270">
        <f t="shared" si="2"/>
        <v>13300</v>
      </c>
      <c r="L4891">
        <f t="shared" si="3"/>
        <v>0</v>
      </c>
    </row>
    <row r="4892">
      <c r="A4892" s="107">
        <f>IFERROR(__xludf.DUMMYFUNCTION("""COMPUTED_VALUE"""),46024.0)</f>
        <v>46024</v>
      </c>
      <c r="B4892" t="str">
        <f>IFERROR(__xludf.DUMMYFUNCTION("""COMPUTED_VALUE"""),"[內湖CityLink] A 月租金 後五碼:08344 (行號: 23)")</f>
        <v>[內湖CityLink] A 月租金 後五碼:08344 (行號: 23)</v>
      </c>
      <c r="C4892" t="str">
        <f>IFERROR(__xludf.DUMMYFUNCTION("""COMPUTED_VALUE"""),"收入 - 租金")</f>
        <v>收入 - 租金</v>
      </c>
      <c r="D4892" s="270">
        <f>IFERROR(__xludf.DUMMYFUNCTION("""COMPUTED_VALUE"""),14800.0)</f>
        <v>14800</v>
      </c>
      <c r="F4892" t="str">
        <f>IFERROR(__xludf.DUMMYFUNCTION("""COMPUTED_VALUE"""),"玉山帳戶")</f>
        <v>玉山帳戶</v>
      </c>
      <c r="G4892" t="str">
        <f>IFERROR(__xludf.DUMMYFUNCTION("""COMPUTED_VALUE"""),"內湖CityLink")</f>
        <v>內湖CityLink</v>
      </c>
      <c r="H4892" s="106" t="str">
        <f t="shared" si="1"/>
        <v>2026-01</v>
      </c>
      <c r="I4892" s="271" t="str">
        <f>IFERROR(__xludf.DUMMYFUNCTION("""COMPUTED_VALUE"""),"鯰魚大大")</f>
        <v>鯰魚大大</v>
      </c>
      <c r="J4892" t="str">
        <f>IFERROR(__xludf.DUMMYFUNCTION("IFS(
  AND(REGEXMATCH(E4892, ""台銀籌備帳戶|玉山帳戶""), REGEXMATCH(C4892, ""薪資"")), ""分潤支出"",
  AND(REGEXMATCH(E4892, ""Ben帳戶|Elsa帳戶|Ben代墊|Ariel代墊|中信銀行共用""), REGEXMATCH(F4892, ""Ben帳戶|Elsa帳戶|Ben代墊|Ariel代墊|中信銀行共用"")), ""內部轉帳(忽略)"",
  AND(E4892&lt;&gt;"""", F4892&lt;&gt;"""", N"&amp;"OT(REGEXMATCH(C4892, ""薪資""))), ""內部轉帳(忽略)"",
  REGEXMATCH(C4892, ""薪資""), ""薪資變動(不計入)"",
  REGEXMATCH(C4892, ""押金""), ""押金往來"",
  AND(E4892&lt;&gt;"""", F4892=""""), ""真實支出"",
  AND(E4892="""", F4892&lt;&gt;""""), ""真實收入"",
  TRUE, ""其他""
)"),"真實收入")</f>
        <v>真實收入</v>
      </c>
      <c r="K4892" s="270">
        <f t="shared" si="2"/>
        <v>14800</v>
      </c>
      <c r="L4892">
        <f t="shared" si="3"/>
        <v>0</v>
      </c>
    </row>
    <row r="4893">
      <c r="A4893" s="107">
        <f>IFERROR(__xludf.DUMMYFUNCTION("""COMPUTED_VALUE"""),46027.0)</f>
        <v>46027</v>
      </c>
      <c r="B4893" t="str">
        <f>IFERROR(__xludf.DUMMYFUNCTION("""COMPUTED_VALUE"""),"[內湖秘境] F 月租金 後五碼:05639 (行號: 25)")</f>
        <v>[內湖秘境] F 月租金 後五碼:05639 (行號: 25)</v>
      </c>
      <c r="C4893" t="str">
        <f>IFERROR(__xludf.DUMMYFUNCTION("""COMPUTED_VALUE"""),"收入 - 租金")</f>
        <v>收入 - 租金</v>
      </c>
      <c r="D4893" s="270">
        <f>IFERROR(__xludf.DUMMYFUNCTION("""COMPUTED_VALUE"""),13500.0)</f>
        <v>13500</v>
      </c>
      <c r="F4893" t="str">
        <f>IFERROR(__xludf.DUMMYFUNCTION("""COMPUTED_VALUE"""),"玉山帳戶")</f>
        <v>玉山帳戶</v>
      </c>
      <c r="G4893" t="str">
        <f>IFERROR(__xludf.DUMMYFUNCTION("""COMPUTED_VALUE"""),"內湖秘境")</f>
        <v>內湖秘境</v>
      </c>
      <c r="H4893" s="106" t="str">
        <f t="shared" si="1"/>
        <v>2026-01</v>
      </c>
      <c r="I4893" s="271" t="str">
        <f>IFERROR(__xludf.DUMMYFUNCTION("""COMPUTED_VALUE"""),"鯰魚大大")</f>
        <v>鯰魚大大</v>
      </c>
      <c r="J4893" t="str">
        <f>IFERROR(__xludf.DUMMYFUNCTION("IFS(
  AND(REGEXMATCH(E4893, ""台銀籌備帳戶|玉山帳戶""), REGEXMATCH(C4893, ""薪資"")), ""分潤支出"",
  AND(REGEXMATCH(E4893, ""Ben帳戶|Elsa帳戶|Ben代墊|Ariel代墊|中信銀行共用""), REGEXMATCH(F4893, ""Ben帳戶|Elsa帳戶|Ben代墊|Ariel代墊|中信銀行共用"")), ""內部轉帳(忽略)"",
  AND(E4893&lt;&gt;"""", F4893&lt;&gt;"""", N"&amp;"OT(REGEXMATCH(C4893, ""薪資""))), ""內部轉帳(忽略)"",
  REGEXMATCH(C4893, ""薪資""), ""薪資變動(不計入)"",
  REGEXMATCH(C4893, ""押金""), ""押金往來"",
  AND(E4893&lt;&gt;"""", F4893=""""), ""真實支出"",
  AND(E4893="""", F4893&lt;&gt;""""), ""真實收入"",
  TRUE, ""其他""
)"),"真實收入")</f>
        <v>真實收入</v>
      </c>
      <c r="K4893" s="270">
        <f t="shared" si="2"/>
        <v>13500</v>
      </c>
      <c r="L4893">
        <f t="shared" si="3"/>
        <v>0</v>
      </c>
    </row>
    <row r="4894">
      <c r="A4894" s="107">
        <f>IFERROR(__xludf.DUMMYFUNCTION("""COMPUTED_VALUE"""),46027.0)</f>
        <v>46027</v>
      </c>
      <c r="B4894" t="str">
        <f>IFERROR(__xludf.DUMMYFUNCTION("""COMPUTED_VALUE"""),"費用 - 匯費 822 (33337)")</f>
        <v>費用 - 匯費 822 (33337)</v>
      </c>
      <c r="C4894" t="str">
        <f>IFERROR(__xludf.DUMMYFUNCTION("""COMPUTED_VALUE"""),"費用 - 匯費")</f>
        <v>費用 - 匯費</v>
      </c>
      <c r="D4894" s="270">
        <f>IFERROR(__xludf.DUMMYFUNCTION("""COMPUTED_VALUE"""),-15.0)</f>
        <v>-15</v>
      </c>
      <c r="E4894" t="str">
        <f>IFERROR(__xludf.DUMMYFUNCTION("""COMPUTED_VALUE"""),"玉山帳戶")</f>
        <v>玉山帳戶</v>
      </c>
      <c r="H4894" s="106" t="str">
        <f t="shared" si="1"/>
        <v>2026-01</v>
      </c>
      <c r="I4894" s="271" t="str">
        <f>IFERROR(__xludf.DUMMYFUNCTION("""COMPUTED_VALUE"""),"鯰魚大大")</f>
        <v>鯰魚大大</v>
      </c>
      <c r="J4894" t="str">
        <f>IFERROR(__xludf.DUMMYFUNCTION("IFS(
  AND(REGEXMATCH(E4894, ""台銀籌備帳戶|玉山帳戶""), REGEXMATCH(C4894, ""薪資"")), ""分潤支出"",
  AND(REGEXMATCH(E4894, ""Ben帳戶|Elsa帳戶|Ben代墊|Ariel代墊|中信銀行共用""), REGEXMATCH(F4894, ""Ben帳戶|Elsa帳戶|Ben代墊|Ariel代墊|中信銀行共用"")), ""內部轉帳(忽略)"",
  AND(E4894&lt;&gt;"""", F4894&lt;&gt;"""", N"&amp;"OT(REGEXMATCH(C4894, ""薪資""))), ""內部轉帳(忽略)"",
  REGEXMATCH(C4894, ""薪資""), ""薪資變動(不計入)"",
  REGEXMATCH(C4894, ""押金""), ""押金往來"",
  AND(E4894&lt;&gt;"""", F4894=""""), ""真實支出"",
  AND(E4894="""", F4894&lt;&gt;""""), ""真實收入"",
  TRUE, ""其他""
)"),"真實支出")</f>
        <v>真實支出</v>
      </c>
      <c r="K4894" s="270">
        <f t="shared" si="2"/>
        <v>-15</v>
      </c>
      <c r="L4894">
        <f t="shared" si="3"/>
        <v>0</v>
      </c>
    </row>
    <row r="4895">
      <c r="A4895" s="107">
        <f>IFERROR(__xludf.DUMMYFUNCTION("""COMPUTED_VALUE"""),46027.0)</f>
        <v>46027</v>
      </c>
      <c r="B4895" t="str">
        <f>IFERROR(__xludf.DUMMYFUNCTION("""COMPUTED_VALUE"""),"代墊款 【未分類支出】")</f>
        <v>代墊款 【未分類支出】</v>
      </c>
      <c r="C4895" t="str">
        <f>IFERROR(__xludf.DUMMYFUNCTION("""COMPUTED_VALUE"""),"費用 - Salary 薪資")</f>
        <v>費用 - Salary 薪資</v>
      </c>
      <c r="D4895" s="270">
        <f>IFERROR(__xludf.DUMMYFUNCTION("""COMPUTED_VALUE"""),-100000.0)</f>
        <v>-100000</v>
      </c>
      <c r="E4895" t="str">
        <f>IFERROR(__xludf.DUMMYFUNCTION("""COMPUTED_VALUE"""),"玉山帳戶")</f>
        <v>玉山帳戶</v>
      </c>
      <c r="F4895" t="str">
        <f>IFERROR(__xludf.DUMMYFUNCTION("""COMPUTED_VALUE"""),"中信銀行共用")</f>
        <v>中信銀行共用</v>
      </c>
      <c r="H4895" s="106" t="str">
        <f t="shared" si="1"/>
        <v>2026-01</v>
      </c>
      <c r="I4895" s="271" t="str">
        <f>IFERROR(__xludf.DUMMYFUNCTION("""COMPUTED_VALUE"""),"鯰魚大大")</f>
        <v>鯰魚大大</v>
      </c>
      <c r="J4895" t="str">
        <f>IFERROR(__xludf.DUMMYFUNCTION("IFS(
  AND(REGEXMATCH(E4895, ""台銀籌備帳戶|玉山帳戶""), REGEXMATCH(C4895, ""薪資"")), ""分潤支出"",
  AND(REGEXMATCH(E4895, ""Ben帳戶|Elsa帳戶|Ben代墊|Ariel代墊|中信銀行共用""), REGEXMATCH(F4895, ""Ben帳戶|Elsa帳戶|Ben代墊|Ariel代墊|中信銀行共用"")), ""內部轉帳(忽略)"",
  AND(E4895&lt;&gt;"""", F4895&lt;&gt;"""", N"&amp;"OT(REGEXMATCH(C4895, ""薪資""))), ""內部轉帳(忽略)"",
  REGEXMATCH(C4895, ""薪資""), ""薪資變動(不計入)"",
  REGEXMATCH(C4895, ""押金""), ""押金往來"",
  AND(E4895&lt;&gt;"""", F4895=""""), ""真實支出"",
  AND(E4895="""", F4895&lt;&gt;""""), ""真實收入"",
  TRUE, ""其他""
)"),"分潤支出")</f>
        <v>分潤支出</v>
      </c>
      <c r="K4895">
        <f t="shared" si="2"/>
        <v>0</v>
      </c>
      <c r="L4895">
        <f t="shared" si="3"/>
        <v>100000</v>
      </c>
    </row>
    <row r="4896">
      <c r="A4896" s="107">
        <f>IFERROR(__xludf.DUMMYFUNCTION("""COMPUTED_VALUE"""),46027.0)</f>
        <v>46027</v>
      </c>
      <c r="B4896" t="str">
        <f>IFERROR(__xludf.DUMMYFUNCTION("""COMPUTED_VALUE"""),"費用 - 匯費 822 (33337)")</f>
        <v>費用 - 匯費 822 (33337)</v>
      </c>
      <c r="C4896" t="str">
        <f>IFERROR(__xludf.DUMMYFUNCTION("""COMPUTED_VALUE"""),"費用 - 匯費")</f>
        <v>費用 - 匯費</v>
      </c>
      <c r="D4896" s="270">
        <f>IFERROR(__xludf.DUMMYFUNCTION("""COMPUTED_VALUE"""),-15.0)</f>
        <v>-15</v>
      </c>
      <c r="E4896" t="str">
        <f>IFERROR(__xludf.DUMMYFUNCTION("""COMPUTED_VALUE"""),"玉山帳戶")</f>
        <v>玉山帳戶</v>
      </c>
      <c r="H4896" s="106" t="str">
        <f t="shared" si="1"/>
        <v>2026-01</v>
      </c>
      <c r="I4896" s="271" t="str">
        <f>IFERROR(__xludf.DUMMYFUNCTION("""COMPUTED_VALUE"""),"鯰魚大大")</f>
        <v>鯰魚大大</v>
      </c>
      <c r="J4896" t="str">
        <f>IFERROR(__xludf.DUMMYFUNCTION("IFS(
  AND(REGEXMATCH(E4896, ""台銀籌備帳戶|玉山帳戶""), REGEXMATCH(C4896, ""薪資"")), ""分潤支出"",
  AND(REGEXMATCH(E4896, ""Ben帳戶|Elsa帳戶|Ben代墊|Ariel代墊|中信銀行共用""), REGEXMATCH(F4896, ""Ben帳戶|Elsa帳戶|Ben代墊|Ariel代墊|中信銀行共用"")), ""內部轉帳(忽略)"",
  AND(E4896&lt;&gt;"""", F4896&lt;&gt;"""", N"&amp;"OT(REGEXMATCH(C4896, ""薪資""))), ""內部轉帳(忽略)"",
  REGEXMATCH(C4896, ""薪資""), ""薪資變動(不計入)"",
  REGEXMATCH(C4896, ""押金""), ""押金往來"",
  AND(E4896&lt;&gt;"""", F4896=""""), ""真實支出"",
  AND(E4896="""", F4896&lt;&gt;""""), ""真實收入"",
  TRUE, ""其他""
)"),"真實支出")</f>
        <v>真實支出</v>
      </c>
      <c r="K4896" s="270">
        <f t="shared" si="2"/>
        <v>-15</v>
      </c>
      <c r="L4896">
        <f t="shared" si="3"/>
        <v>0</v>
      </c>
    </row>
    <row r="4897">
      <c r="A4897" s="107">
        <f>IFERROR(__xludf.DUMMYFUNCTION("""COMPUTED_VALUE"""),46027.0)</f>
        <v>46027</v>
      </c>
      <c r="B4897" t="str">
        <f>IFERROR(__xludf.DUMMYFUNCTION("""COMPUTED_VALUE"""),"Ben代墊款 【未分類支出】")</f>
        <v>Ben代墊款 【未分類支出】</v>
      </c>
      <c r="C4897" t="str">
        <f>IFERROR(__xludf.DUMMYFUNCTION("""COMPUTED_VALUE"""),"費用 - Salary 薪資")</f>
        <v>費用 - Salary 薪資</v>
      </c>
      <c r="D4897" s="270">
        <f>IFERROR(__xludf.DUMMYFUNCTION("""COMPUTED_VALUE"""),-130000.0)</f>
        <v>-130000</v>
      </c>
      <c r="E4897" t="str">
        <f>IFERROR(__xludf.DUMMYFUNCTION("""COMPUTED_VALUE"""),"玉山帳戶")</f>
        <v>玉山帳戶</v>
      </c>
      <c r="F4897" t="str">
        <f>IFERROR(__xludf.DUMMYFUNCTION("""COMPUTED_VALUE"""),"中信銀行共用")</f>
        <v>中信銀行共用</v>
      </c>
      <c r="H4897" s="106" t="str">
        <f t="shared" si="1"/>
        <v>2026-01</v>
      </c>
      <c r="I4897" s="271" t="str">
        <f>IFERROR(__xludf.DUMMYFUNCTION("""COMPUTED_VALUE"""),"鯰魚大大")</f>
        <v>鯰魚大大</v>
      </c>
      <c r="J4897" t="str">
        <f>IFERROR(__xludf.DUMMYFUNCTION("IFS(
  AND(REGEXMATCH(E4897, ""台銀籌備帳戶|玉山帳戶""), REGEXMATCH(C4897, ""薪資"")), ""分潤支出"",
  AND(REGEXMATCH(E4897, ""Ben帳戶|Elsa帳戶|Ben代墊|Ariel代墊|中信銀行共用""), REGEXMATCH(F4897, ""Ben帳戶|Elsa帳戶|Ben代墊|Ariel代墊|中信銀行共用"")), ""內部轉帳(忽略)"",
  AND(E4897&lt;&gt;"""", F4897&lt;&gt;"""", N"&amp;"OT(REGEXMATCH(C4897, ""薪資""))), ""內部轉帳(忽略)"",
  REGEXMATCH(C4897, ""薪資""), ""薪資變動(不計入)"",
  REGEXMATCH(C4897, ""押金""), ""押金往來"",
  AND(E4897&lt;&gt;"""", F4897=""""), ""真實支出"",
  AND(E4897="""", F4897&lt;&gt;""""), ""真實收入"",
  TRUE, ""其他""
)"),"分潤支出")</f>
        <v>分潤支出</v>
      </c>
      <c r="K4897">
        <f t="shared" si="2"/>
        <v>0</v>
      </c>
      <c r="L4897">
        <f t="shared" si="3"/>
        <v>130000</v>
      </c>
    </row>
    <row r="4898">
      <c r="A4898" s="107">
        <f>IFERROR(__xludf.DUMMYFUNCTION("""COMPUTED_VALUE"""),46029.0)</f>
        <v>46029</v>
      </c>
      <c r="B4898" t="str">
        <f>IFERROR(__xludf.DUMMYFUNCTION("""COMPUTED_VALUE"""),"[行天宮夏野良栗] C 月租金 後五碼:26146 (行號: 2)")</f>
        <v>[行天宮夏野良栗] C 月租金 後五碼:26146 (行號: 2)</v>
      </c>
      <c r="C4898" t="str">
        <f>IFERROR(__xludf.DUMMYFUNCTION("""COMPUTED_VALUE"""),"收入 - 租金")</f>
        <v>收入 - 租金</v>
      </c>
      <c r="D4898" s="270">
        <f>IFERROR(__xludf.DUMMYFUNCTION("""COMPUTED_VALUE"""),11000.0)</f>
        <v>11000</v>
      </c>
      <c r="F4898" t="str">
        <f>IFERROR(__xludf.DUMMYFUNCTION("""COMPUTED_VALUE"""),"玉山帳戶")</f>
        <v>玉山帳戶</v>
      </c>
      <c r="G4898" t="str">
        <f>IFERROR(__xludf.DUMMYFUNCTION("""COMPUTED_VALUE"""),"行天宮夏野良栗")</f>
        <v>行天宮夏野良栗</v>
      </c>
      <c r="H4898" s="106" t="str">
        <f t="shared" si="1"/>
        <v>2026-01</v>
      </c>
      <c r="I4898" s="271" t="str">
        <f>IFERROR(__xludf.DUMMYFUNCTION("""COMPUTED_VALUE"""),"鯰魚大大")</f>
        <v>鯰魚大大</v>
      </c>
      <c r="J4898" t="str">
        <f>IFERROR(__xludf.DUMMYFUNCTION("IFS(
  AND(REGEXMATCH(E4898, ""台銀籌備帳戶|玉山帳戶""), REGEXMATCH(C4898, ""薪資"")), ""分潤支出"",
  AND(REGEXMATCH(E4898, ""Ben帳戶|Elsa帳戶|Ben代墊|Ariel代墊|中信銀行共用""), REGEXMATCH(F4898, ""Ben帳戶|Elsa帳戶|Ben代墊|Ariel代墊|中信銀行共用"")), ""內部轉帳(忽略)"",
  AND(E4898&lt;&gt;"""", F4898&lt;&gt;"""", N"&amp;"OT(REGEXMATCH(C4898, ""薪資""))), ""內部轉帳(忽略)"",
  REGEXMATCH(C4898, ""薪資""), ""薪資變動(不計入)"",
  REGEXMATCH(C4898, ""押金""), ""押金往來"",
  AND(E4898&lt;&gt;"""", F4898=""""), ""真實支出"",
  AND(E4898="""", F4898&lt;&gt;""""), ""真實收入"",
  TRUE, ""其他""
)"),"真實收入")</f>
        <v>真實收入</v>
      </c>
      <c r="K4898" s="270">
        <f t="shared" si="2"/>
        <v>11000</v>
      </c>
      <c r="L4898">
        <f t="shared" si="3"/>
        <v>0</v>
      </c>
    </row>
    <row r="4899">
      <c r="A4899" s="107">
        <f>IFERROR(__xludf.DUMMYFUNCTION("""COMPUTED_VALUE"""),46029.0)</f>
        <v>46029</v>
      </c>
      <c r="B4899" t="str">
        <f>IFERROR(__xludf.DUMMYFUNCTION("""COMPUTED_VALUE"""),"[內湖CityLink] B 月租金 後五碼:63589 (行號: 3)")</f>
        <v>[內湖CityLink] B 月租金 後五碼:63589 (行號: 3)</v>
      </c>
      <c r="C4899" t="str">
        <f>IFERROR(__xludf.DUMMYFUNCTION("""COMPUTED_VALUE"""),"收入 - 租金")</f>
        <v>收入 - 租金</v>
      </c>
      <c r="D4899" s="270">
        <f>IFERROR(__xludf.DUMMYFUNCTION("""COMPUTED_VALUE"""),12000.0)</f>
        <v>12000</v>
      </c>
      <c r="F4899" t="str">
        <f>IFERROR(__xludf.DUMMYFUNCTION("""COMPUTED_VALUE"""),"玉山帳戶")</f>
        <v>玉山帳戶</v>
      </c>
      <c r="G4899" t="str">
        <f>IFERROR(__xludf.DUMMYFUNCTION("""COMPUTED_VALUE"""),"內湖CityLink")</f>
        <v>內湖CityLink</v>
      </c>
      <c r="H4899" s="106" t="str">
        <f t="shared" si="1"/>
        <v>2026-01</v>
      </c>
      <c r="I4899" s="271" t="str">
        <f>IFERROR(__xludf.DUMMYFUNCTION("""COMPUTED_VALUE"""),"鯰魚大大")</f>
        <v>鯰魚大大</v>
      </c>
      <c r="J4899" t="str">
        <f>IFERROR(__xludf.DUMMYFUNCTION("IFS(
  AND(REGEXMATCH(E4899, ""台銀籌備帳戶|玉山帳戶""), REGEXMATCH(C4899, ""薪資"")), ""分潤支出"",
  AND(REGEXMATCH(E4899, ""Ben帳戶|Elsa帳戶|Ben代墊|Ariel代墊|中信銀行共用""), REGEXMATCH(F4899, ""Ben帳戶|Elsa帳戶|Ben代墊|Ariel代墊|中信銀行共用"")), ""內部轉帳(忽略)"",
  AND(E4899&lt;&gt;"""", F4899&lt;&gt;"""", N"&amp;"OT(REGEXMATCH(C4899, ""薪資""))), ""內部轉帳(忽略)"",
  REGEXMATCH(C4899, ""薪資""), ""薪資變動(不計入)"",
  REGEXMATCH(C4899, ""押金""), ""押金往來"",
  AND(E4899&lt;&gt;"""", F4899=""""), ""真實支出"",
  AND(E4899="""", F4899&lt;&gt;""""), ""真實收入"",
  TRUE, ""其他""
)"),"真實收入")</f>
        <v>真實收入</v>
      </c>
      <c r="K4899" s="270">
        <f t="shared" si="2"/>
        <v>12000</v>
      </c>
      <c r="L4899">
        <f t="shared" si="3"/>
        <v>0</v>
      </c>
    </row>
    <row r="4900">
      <c r="A4900" s="107">
        <f>IFERROR(__xludf.DUMMYFUNCTION("""COMPUTED_VALUE"""),46029.0)</f>
        <v>46029</v>
      </c>
      <c r="B4900" t="str">
        <f>IFERROR(__xludf.DUMMYFUNCTION("""COMPUTED_VALUE"""),"***警告*** 首租金額異常 [行天宮夏野良栗] 兩房 後五碼:98511 (行號: 4)")</f>
        <v>***警告*** 首租金額異常 [行天宮夏野良栗] 兩房 後五碼:98511 (行號: 4)</v>
      </c>
      <c r="C4900" t="str">
        <f>IFERROR(__xludf.DUMMYFUNCTION("""COMPUTED_VALUE"""),"收入 - 租金")</f>
        <v>收入 - 租金</v>
      </c>
      <c r="D4900" s="270">
        <f>IFERROR(__xludf.DUMMYFUNCTION("""COMPUTED_VALUE"""),13900.0)</f>
        <v>13900</v>
      </c>
      <c r="F4900" t="str">
        <f>IFERROR(__xludf.DUMMYFUNCTION("""COMPUTED_VALUE"""),"玉山帳戶")</f>
        <v>玉山帳戶</v>
      </c>
      <c r="G4900" t="str">
        <f>IFERROR(__xludf.DUMMYFUNCTION("""COMPUTED_VALUE"""),"行天宮夏野良栗")</f>
        <v>行天宮夏野良栗</v>
      </c>
      <c r="H4900" s="106" t="str">
        <f t="shared" si="1"/>
        <v>2026-01</v>
      </c>
      <c r="I4900" s="271" t="str">
        <f>IFERROR(__xludf.DUMMYFUNCTION("""COMPUTED_VALUE"""),"鯰魚大大")</f>
        <v>鯰魚大大</v>
      </c>
      <c r="J4900" t="str">
        <f>IFERROR(__xludf.DUMMYFUNCTION("IFS(
  AND(REGEXMATCH(E4900, ""台銀籌備帳戶|玉山帳戶""), REGEXMATCH(C4900, ""薪資"")), ""分潤支出"",
  AND(REGEXMATCH(E4900, ""Ben帳戶|Elsa帳戶|Ben代墊|Ariel代墊|中信銀行共用""), REGEXMATCH(F4900, ""Ben帳戶|Elsa帳戶|Ben代墊|Ariel代墊|中信銀行共用"")), ""內部轉帳(忽略)"",
  AND(E4900&lt;&gt;"""", F4900&lt;&gt;"""", N"&amp;"OT(REGEXMATCH(C4900, ""薪資""))), ""內部轉帳(忽略)"",
  REGEXMATCH(C4900, ""薪資""), ""薪資變動(不計入)"",
  REGEXMATCH(C4900, ""押金""), ""押金往來"",
  AND(E4900&lt;&gt;"""", F4900=""""), ""真實支出"",
  AND(E4900="""", F4900&lt;&gt;""""), ""真實收入"",
  TRUE, ""其他""
)"),"真實收入")</f>
        <v>真實收入</v>
      </c>
      <c r="K4900" s="270">
        <f t="shared" si="2"/>
        <v>13900</v>
      </c>
      <c r="L4900">
        <f t="shared" si="3"/>
        <v>0</v>
      </c>
    </row>
    <row r="4901">
      <c r="A4901" s="107">
        <f>IFERROR(__xludf.DUMMYFUNCTION("""COMPUTED_VALUE"""),46037.0)</f>
        <v>46037</v>
      </c>
      <c r="B4901" t="str">
        <f>IFERROR(__xludf.DUMMYFUNCTION("""COMPUTED_VALUE"""),"費用 - 匯費 013 (78744)")</f>
        <v>費用 - 匯費 013 (78744)</v>
      </c>
      <c r="C4901" t="str">
        <f>IFERROR(__xludf.DUMMYFUNCTION("""COMPUTED_VALUE"""),"費用 - 匯費")</f>
        <v>費用 - 匯費</v>
      </c>
      <c r="D4901" s="270">
        <f>IFERROR(__xludf.DUMMYFUNCTION("""COMPUTED_VALUE"""),-15.0)</f>
        <v>-15</v>
      </c>
      <c r="E4901" t="str">
        <f>IFERROR(__xludf.DUMMYFUNCTION("""COMPUTED_VALUE"""),"玉山帳戶")</f>
        <v>玉山帳戶</v>
      </c>
      <c r="H4901" s="106" t="str">
        <f t="shared" si="1"/>
        <v>2026-01</v>
      </c>
      <c r="I4901" s="271" t="str">
        <f>IFERROR(__xludf.DUMMYFUNCTION("""COMPUTED_VALUE"""),"鯰魚大大")</f>
        <v>鯰魚大大</v>
      </c>
      <c r="J4901" t="str">
        <f>IFERROR(__xludf.DUMMYFUNCTION("IFS(
  AND(REGEXMATCH(E4901, ""台銀籌備帳戶|玉山帳戶""), REGEXMATCH(C4901, ""薪資"")), ""分潤支出"",
  AND(REGEXMATCH(E4901, ""Ben帳戶|Elsa帳戶|Ben代墊|Ariel代墊|中信銀行共用""), REGEXMATCH(F4901, ""Ben帳戶|Elsa帳戶|Ben代墊|Ariel代墊|中信銀行共用"")), ""內部轉帳(忽略)"",
  AND(E4901&lt;&gt;"""", F4901&lt;&gt;"""", N"&amp;"OT(REGEXMATCH(C4901, ""薪資""))), ""內部轉帳(忽略)"",
  REGEXMATCH(C4901, ""薪資""), ""薪資變動(不計入)"",
  REGEXMATCH(C4901, ""押金""), ""押金往來"",
  AND(E4901&lt;&gt;"""", F4901=""""), ""真實支出"",
  AND(E4901="""", F4901&lt;&gt;""""), ""真實收入"",
  TRUE, ""其他""
)"),"真實支出")</f>
        <v>真實支出</v>
      </c>
      <c r="K4901" s="270">
        <f t="shared" si="2"/>
        <v>-15</v>
      </c>
      <c r="L4901">
        <f t="shared" si="3"/>
        <v>0</v>
      </c>
    </row>
    <row r="4902">
      <c r="A4902" s="107">
        <f>IFERROR(__xludf.DUMMYFUNCTION("""COMPUTED_VALUE"""),46037.0)</f>
        <v>46037</v>
      </c>
      <c r="B4902" t="str">
        <f>IFERROR(__xludf.DUMMYFUNCTION("""COMPUTED_VALUE"""),"[士林和豐] [楊政偉] 大租金")</f>
        <v>[士林和豐] [楊政偉] 大租金</v>
      </c>
      <c r="C4902" t="str">
        <f>IFERROR(__xludf.DUMMYFUNCTION("""COMPUTED_VALUE"""),"成本 - 大租金")</f>
        <v>成本 - 大租金</v>
      </c>
      <c r="D4902" s="270">
        <f>IFERROR(__xludf.DUMMYFUNCTION("""COMPUTED_VALUE"""),-14400.0)</f>
        <v>-14400</v>
      </c>
      <c r="E4902" t="str">
        <f>IFERROR(__xludf.DUMMYFUNCTION("""COMPUTED_VALUE"""),"玉山帳戶")</f>
        <v>玉山帳戶</v>
      </c>
      <c r="G4902" t="str">
        <f>IFERROR(__xludf.DUMMYFUNCTION("""COMPUTED_VALUE"""),"士林和豐")</f>
        <v>士林和豐</v>
      </c>
      <c r="H4902" s="106" t="str">
        <f t="shared" si="1"/>
        <v>2026-01</v>
      </c>
      <c r="I4902" s="271" t="str">
        <f>IFERROR(__xludf.DUMMYFUNCTION("""COMPUTED_VALUE"""),"鯰魚大大")</f>
        <v>鯰魚大大</v>
      </c>
      <c r="J4902" t="str">
        <f>IFERROR(__xludf.DUMMYFUNCTION("IFS(
  AND(REGEXMATCH(E4902, ""台銀籌備帳戶|玉山帳戶""), REGEXMATCH(C4902, ""薪資"")), ""分潤支出"",
  AND(REGEXMATCH(E4902, ""Ben帳戶|Elsa帳戶|Ben代墊|Ariel代墊|中信銀行共用""), REGEXMATCH(F4902, ""Ben帳戶|Elsa帳戶|Ben代墊|Ariel代墊|中信銀行共用"")), ""內部轉帳(忽略)"",
  AND(E4902&lt;&gt;"""", F4902&lt;&gt;"""", N"&amp;"OT(REGEXMATCH(C4902, ""薪資""))), ""內部轉帳(忽略)"",
  REGEXMATCH(C4902, ""薪資""), ""薪資變動(不計入)"",
  REGEXMATCH(C4902, ""押金""), ""押金往來"",
  AND(E4902&lt;&gt;"""", F4902=""""), ""真實支出"",
  AND(E4902="""", F4902&lt;&gt;""""), ""真實收入"",
  TRUE, ""其他""
)"),"真實支出")</f>
        <v>真實支出</v>
      </c>
      <c r="K4902" s="270">
        <f t="shared" si="2"/>
        <v>-14400</v>
      </c>
      <c r="L4902">
        <f t="shared" si="3"/>
        <v>0</v>
      </c>
    </row>
    <row r="4903">
      <c r="A4903" s="107">
        <f>IFERROR(__xludf.DUMMYFUNCTION("""COMPUTED_VALUE"""),46037.0)</f>
        <v>46037</v>
      </c>
      <c r="B4903" t="str">
        <f>IFERROR(__xludf.DUMMYFUNCTION("""COMPUTED_VALUE"""),"費用 - 匯費 012 (68447)")</f>
        <v>費用 - 匯費 012 (68447)</v>
      </c>
      <c r="C4903" t="str">
        <f>IFERROR(__xludf.DUMMYFUNCTION("""COMPUTED_VALUE"""),"費用 - 匯費")</f>
        <v>費用 - 匯費</v>
      </c>
      <c r="D4903" s="270">
        <f>IFERROR(__xludf.DUMMYFUNCTION("""COMPUTED_VALUE"""),-15.0)</f>
        <v>-15</v>
      </c>
      <c r="E4903" t="str">
        <f>IFERROR(__xludf.DUMMYFUNCTION("""COMPUTED_VALUE"""),"玉山帳戶")</f>
        <v>玉山帳戶</v>
      </c>
      <c r="H4903" s="106" t="str">
        <f t="shared" si="1"/>
        <v>2026-01</v>
      </c>
      <c r="I4903" s="271" t="str">
        <f>IFERROR(__xludf.DUMMYFUNCTION("""COMPUTED_VALUE"""),"鯰魚大大")</f>
        <v>鯰魚大大</v>
      </c>
      <c r="J4903" t="str">
        <f>IFERROR(__xludf.DUMMYFUNCTION("IFS(
  AND(REGEXMATCH(E4903, ""台銀籌備帳戶|玉山帳戶""), REGEXMATCH(C4903, ""薪資"")), ""分潤支出"",
  AND(REGEXMATCH(E4903, ""Ben帳戶|Elsa帳戶|Ben代墊|Ariel代墊|中信銀行共用""), REGEXMATCH(F4903, ""Ben帳戶|Elsa帳戶|Ben代墊|Ariel代墊|中信銀行共用"")), ""內部轉帳(忽略)"",
  AND(E4903&lt;&gt;"""", F4903&lt;&gt;"""", N"&amp;"OT(REGEXMATCH(C4903, ""薪資""))), ""內部轉帳(忽略)"",
  REGEXMATCH(C4903, ""薪資""), ""薪資變動(不計入)"",
  REGEXMATCH(C4903, ""押金""), ""押金往來"",
  AND(E4903&lt;&gt;"""", F4903=""""), ""真實支出"",
  AND(E4903="""", F4903&lt;&gt;""""), ""真實收入"",
  TRUE, ""其他""
)"),"真實支出")</f>
        <v>真實支出</v>
      </c>
      <c r="K4903" s="270">
        <f t="shared" si="2"/>
        <v>-15</v>
      </c>
      <c r="L4903">
        <f t="shared" si="3"/>
        <v>0</v>
      </c>
    </row>
    <row r="4904">
      <c r="A4904" s="107">
        <f>IFERROR(__xludf.DUMMYFUNCTION("""COMPUTED_VALUE"""),46037.0)</f>
        <v>46037</v>
      </c>
      <c r="B4904" t="str">
        <f>IFERROR(__xludf.DUMMYFUNCTION("""COMPUTED_VALUE"""),"[行天宮夏野良栗] [沈蕙萱] 大租金")</f>
        <v>[行天宮夏野良栗] [沈蕙萱] 大租金</v>
      </c>
      <c r="C4904" t="str">
        <f>IFERROR(__xludf.DUMMYFUNCTION("""COMPUTED_VALUE"""),"成本 - 大租金")</f>
        <v>成本 - 大租金</v>
      </c>
      <c r="D4904" s="270">
        <f>IFERROR(__xludf.DUMMYFUNCTION("""COMPUTED_VALUE"""),-19900.0)</f>
        <v>-19900</v>
      </c>
      <c r="E4904" t="str">
        <f>IFERROR(__xludf.DUMMYFUNCTION("""COMPUTED_VALUE"""),"玉山帳戶")</f>
        <v>玉山帳戶</v>
      </c>
      <c r="G4904" t="str">
        <f>IFERROR(__xludf.DUMMYFUNCTION("""COMPUTED_VALUE"""),"行天宮夏野良栗")</f>
        <v>行天宮夏野良栗</v>
      </c>
      <c r="H4904" s="106" t="str">
        <f t="shared" si="1"/>
        <v>2026-01</v>
      </c>
      <c r="I4904" s="271" t="str">
        <f>IFERROR(__xludf.DUMMYFUNCTION("""COMPUTED_VALUE"""),"鯰魚大大")</f>
        <v>鯰魚大大</v>
      </c>
      <c r="J4904" t="str">
        <f>IFERROR(__xludf.DUMMYFUNCTION("IFS(
  AND(REGEXMATCH(E4904, ""台銀籌備帳戶|玉山帳戶""), REGEXMATCH(C4904, ""薪資"")), ""分潤支出"",
  AND(REGEXMATCH(E4904, ""Ben帳戶|Elsa帳戶|Ben代墊|Ariel代墊|中信銀行共用""), REGEXMATCH(F4904, ""Ben帳戶|Elsa帳戶|Ben代墊|Ariel代墊|中信銀行共用"")), ""內部轉帳(忽略)"",
  AND(E4904&lt;&gt;"""", F4904&lt;&gt;"""", N"&amp;"OT(REGEXMATCH(C4904, ""薪資""))), ""內部轉帳(忽略)"",
  REGEXMATCH(C4904, ""薪資""), ""薪資變動(不計入)"",
  REGEXMATCH(C4904, ""押金""), ""押金往來"",
  AND(E4904&lt;&gt;"""", F4904=""""), ""真實支出"",
  AND(E4904="""", F4904&lt;&gt;""""), ""真實收入"",
  TRUE, ""其他""
)"),"真實支出")</f>
        <v>真實支出</v>
      </c>
      <c r="K4904" s="270">
        <f t="shared" si="2"/>
        <v>-19900</v>
      </c>
      <c r="L4904">
        <f t="shared" si="3"/>
        <v>0</v>
      </c>
    </row>
    <row r="4905">
      <c r="A4905" s="107">
        <f>IFERROR(__xludf.DUMMYFUNCTION("""COMPUTED_VALUE"""),46037.0)</f>
        <v>46037</v>
      </c>
      <c r="B4905" t="str">
        <f>IFERROR(__xludf.DUMMYFUNCTION("""COMPUTED_VALUE"""),"費用 - 匯費 806 (26435)")</f>
        <v>費用 - 匯費 806 (26435)</v>
      </c>
      <c r="C4905" t="str">
        <f>IFERROR(__xludf.DUMMYFUNCTION("""COMPUTED_VALUE"""),"費用 - 匯費")</f>
        <v>費用 - 匯費</v>
      </c>
      <c r="D4905" s="270">
        <f>IFERROR(__xludf.DUMMYFUNCTION("""COMPUTED_VALUE"""),-15.0)</f>
        <v>-15</v>
      </c>
      <c r="E4905" t="str">
        <f>IFERROR(__xludf.DUMMYFUNCTION("""COMPUTED_VALUE"""),"玉山帳戶")</f>
        <v>玉山帳戶</v>
      </c>
      <c r="H4905" s="106" t="str">
        <f t="shared" si="1"/>
        <v>2026-01</v>
      </c>
      <c r="I4905" s="271" t="str">
        <f>IFERROR(__xludf.DUMMYFUNCTION("""COMPUTED_VALUE"""),"鯰魚大大")</f>
        <v>鯰魚大大</v>
      </c>
      <c r="J4905" t="str">
        <f>IFERROR(__xludf.DUMMYFUNCTION("IFS(
  AND(REGEXMATCH(E4905, ""台銀籌備帳戶|玉山帳戶""), REGEXMATCH(C4905, ""薪資"")), ""分潤支出"",
  AND(REGEXMATCH(E4905, ""Ben帳戶|Elsa帳戶|Ben代墊|Ariel代墊|中信銀行共用""), REGEXMATCH(F4905, ""Ben帳戶|Elsa帳戶|Ben代墊|Ariel代墊|中信銀行共用"")), ""內部轉帳(忽略)"",
  AND(E4905&lt;&gt;"""", F4905&lt;&gt;"""", N"&amp;"OT(REGEXMATCH(C4905, ""薪資""))), ""內部轉帳(忽略)"",
  REGEXMATCH(C4905, ""薪資""), ""薪資變動(不計入)"",
  REGEXMATCH(C4905, ""押金""), ""押金往來"",
  AND(E4905&lt;&gt;"""", F4905=""""), ""真實支出"",
  AND(E4905="""", F4905&lt;&gt;""""), ""真實收入"",
  TRUE, ""其他""
)"),"真實支出")</f>
        <v>真實支出</v>
      </c>
      <c r="K4905" s="270">
        <f t="shared" si="2"/>
        <v>-15</v>
      </c>
      <c r="L4905">
        <f t="shared" si="3"/>
        <v>0</v>
      </c>
    </row>
    <row r="4906">
      <c r="A4906" s="107">
        <f>IFERROR(__xludf.DUMMYFUNCTION("""COMPUTED_VALUE"""),46037.0)</f>
        <v>46037</v>
      </c>
      <c r="B4906" t="str">
        <f>IFERROR(__xludf.DUMMYFUNCTION("""COMPUTED_VALUE"""),"[內湖CityLink] [周佳慧] 大租金")</f>
        <v>[內湖CityLink] [周佳慧] 大租金</v>
      </c>
      <c r="C4906" t="str">
        <f>IFERROR(__xludf.DUMMYFUNCTION("""COMPUTED_VALUE"""),"成本 - 大租金")</f>
        <v>成本 - 大租金</v>
      </c>
      <c r="D4906" s="270">
        <f>IFERROR(__xludf.DUMMYFUNCTION("""COMPUTED_VALUE"""),-16500.0)</f>
        <v>-16500</v>
      </c>
      <c r="E4906" t="str">
        <f>IFERROR(__xludf.DUMMYFUNCTION("""COMPUTED_VALUE"""),"玉山帳戶")</f>
        <v>玉山帳戶</v>
      </c>
      <c r="G4906" t="str">
        <f>IFERROR(__xludf.DUMMYFUNCTION("""COMPUTED_VALUE"""),"內湖CityLink")</f>
        <v>內湖CityLink</v>
      </c>
      <c r="H4906" s="106" t="str">
        <f t="shared" si="1"/>
        <v>2026-01</v>
      </c>
      <c r="I4906" s="271" t="str">
        <f>IFERROR(__xludf.DUMMYFUNCTION("""COMPUTED_VALUE"""),"鯰魚大大")</f>
        <v>鯰魚大大</v>
      </c>
      <c r="J4906" t="str">
        <f>IFERROR(__xludf.DUMMYFUNCTION("IFS(
  AND(REGEXMATCH(E4906, ""台銀籌備帳戶|玉山帳戶""), REGEXMATCH(C4906, ""薪資"")), ""分潤支出"",
  AND(REGEXMATCH(E4906, ""Ben帳戶|Elsa帳戶|Ben代墊|Ariel代墊|中信銀行共用""), REGEXMATCH(F4906, ""Ben帳戶|Elsa帳戶|Ben代墊|Ariel代墊|中信銀行共用"")), ""內部轉帳(忽略)"",
  AND(E4906&lt;&gt;"""", F4906&lt;&gt;"""", N"&amp;"OT(REGEXMATCH(C4906, ""薪資""))), ""內部轉帳(忽略)"",
  REGEXMATCH(C4906, ""薪資""), ""薪資變動(不計入)"",
  REGEXMATCH(C4906, ""押金""), ""押金往來"",
  AND(E4906&lt;&gt;"""", F4906=""""), ""真實支出"",
  AND(E4906="""", F4906&lt;&gt;""""), ""真實收入"",
  TRUE, ""其他""
)"),"真實支出")</f>
        <v>真實支出</v>
      </c>
      <c r="K4906" s="270">
        <f t="shared" si="2"/>
        <v>-16500</v>
      </c>
      <c r="L4906">
        <f t="shared" si="3"/>
        <v>0</v>
      </c>
    </row>
    <row r="4907">
      <c r="A4907" s="107">
        <f>IFERROR(__xludf.DUMMYFUNCTION("""COMPUTED_VALUE"""),46037.0)</f>
        <v>46037</v>
      </c>
      <c r="B4907" t="str">
        <f>IFERROR(__xludf.DUMMYFUNCTION("""COMPUTED_VALUE"""),"費用 - 匯費 700 (70201)")</f>
        <v>費用 - 匯費 700 (70201)</v>
      </c>
      <c r="C4907" t="str">
        <f>IFERROR(__xludf.DUMMYFUNCTION("""COMPUTED_VALUE"""),"費用 - 匯費")</f>
        <v>費用 - 匯費</v>
      </c>
      <c r="D4907" s="270">
        <f>IFERROR(__xludf.DUMMYFUNCTION("""COMPUTED_VALUE"""),-15.0)</f>
        <v>-15</v>
      </c>
      <c r="E4907" t="str">
        <f>IFERROR(__xludf.DUMMYFUNCTION("""COMPUTED_VALUE"""),"玉山帳戶")</f>
        <v>玉山帳戶</v>
      </c>
      <c r="H4907" s="106" t="str">
        <f t="shared" si="1"/>
        <v>2026-01</v>
      </c>
      <c r="I4907" s="271" t="str">
        <f>IFERROR(__xludf.DUMMYFUNCTION("""COMPUTED_VALUE"""),"鯰魚大大")</f>
        <v>鯰魚大大</v>
      </c>
      <c r="J4907" t="str">
        <f>IFERROR(__xludf.DUMMYFUNCTION("IFS(
  AND(REGEXMATCH(E4907, ""台銀籌備帳戶|玉山帳戶""), REGEXMATCH(C4907, ""薪資"")), ""分潤支出"",
  AND(REGEXMATCH(E4907, ""Ben帳戶|Elsa帳戶|Ben代墊|Ariel代墊|中信銀行共用""), REGEXMATCH(F4907, ""Ben帳戶|Elsa帳戶|Ben代墊|Ariel代墊|中信銀行共用"")), ""內部轉帳(忽略)"",
  AND(E4907&lt;&gt;"""", F4907&lt;&gt;"""", N"&amp;"OT(REGEXMATCH(C4907, ""薪資""))), ""內部轉帳(忽略)"",
  REGEXMATCH(C4907, ""薪資""), ""薪資變動(不計入)"",
  REGEXMATCH(C4907, ""押金""), ""押金往來"",
  AND(E4907&lt;&gt;"""", F4907=""""), ""真實支出"",
  AND(E4907="""", F4907&lt;&gt;""""), ""真實收入"",
  TRUE, ""其他""
)"),"真實支出")</f>
        <v>真實支出</v>
      </c>
      <c r="K4907" s="270">
        <f t="shared" si="2"/>
        <v>-15</v>
      </c>
      <c r="L4907">
        <f t="shared" si="3"/>
        <v>0</v>
      </c>
    </row>
    <row r="4908">
      <c r="A4908" s="107">
        <f>IFERROR(__xludf.DUMMYFUNCTION("""COMPUTED_VALUE"""),46037.0)</f>
        <v>46037</v>
      </c>
      <c r="B4908" t="str">
        <f>IFERROR(__xludf.DUMMYFUNCTION("""COMPUTED_VALUE"""),"內湖秘境修櫥櫃宜佳 【未分類支出】")</f>
        <v>內湖秘境修櫥櫃宜佳 【未分類支出】</v>
      </c>
      <c r="C4908" t="str">
        <f>IFERROR(__xludf.DUMMYFUNCTION("""COMPUTED_VALUE"""),"成本 - 租後修繕")</f>
        <v>成本 - 租後修繕</v>
      </c>
      <c r="D4908" s="270">
        <f>IFERROR(__xludf.DUMMYFUNCTION("""COMPUTED_VALUE"""),-4000.0)</f>
        <v>-4000</v>
      </c>
      <c r="E4908" t="str">
        <f>IFERROR(__xludf.DUMMYFUNCTION("""COMPUTED_VALUE"""),"玉山帳戶")</f>
        <v>玉山帳戶</v>
      </c>
      <c r="G4908" t="str">
        <f>IFERROR(__xludf.DUMMYFUNCTION("""COMPUTED_VALUE"""),"內湖秘境")</f>
        <v>內湖秘境</v>
      </c>
      <c r="H4908" s="106" t="str">
        <f t="shared" si="1"/>
        <v>2026-01</v>
      </c>
      <c r="I4908" s="271" t="str">
        <f>IFERROR(__xludf.DUMMYFUNCTION("""COMPUTED_VALUE"""),"鯰魚大大")</f>
        <v>鯰魚大大</v>
      </c>
      <c r="J4908" t="str">
        <f>IFERROR(__xludf.DUMMYFUNCTION("IFS(
  AND(REGEXMATCH(E4908, ""台銀籌備帳戶|玉山帳戶""), REGEXMATCH(C4908, ""薪資"")), ""分潤支出"",
  AND(REGEXMATCH(E4908, ""Ben帳戶|Elsa帳戶|Ben代墊|Ariel代墊|中信銀行共用""), REGEXMATCH(F4908, ""Ben帳戶|Elsa帳戶|Ben代墊|Ariel代墊|中信銀行共用"")), ""內部轉帳(忽略)"",
  AND(E4908&lt;&gt;"""", F4908&lt;&gt;"""", N"&amp;"OT(REGEXMATCH(C4908, ""薪資""))), ""內部轉帳(忽略)"",
  REGEXMATCH(C4908, ""薪資""), ""薪資變動(不計入)"",
  REGEXMATCH(C4908, ""押金""), ""押金往來"",
  AND(E4908&lt;&gt;"""", F4908=""""), ""真實支出"",
  AND(E4908="""", F4908&lt;&gt;""""), ""真實收入"",
  TRUE, ""其他""
)"),"真實支出")</f>
        <v>真實支出</v>
      </c>
      <c r="K4908" s="270">
        <f t="shared" si="2"/>
        <v>-4000</v>
      </c>
      <c r="L4908">
        <f t="shared" si="3"/>
        <v>0</v>
      </c>
    </row>
    <row r="4909">
      <c r="A4909" s="107">
        <f>IFERROR(__xludf.DUMMYFUNCTION("""COMPUTED_VALUE"""),46041.0)</f>
        <v>46041</v>
      </c>
      <c r="B4909" t="str">
        <f>IFERROR(__xludf.DUMMYFUNCTION("""COMPUTED_VALUE"""),"月租金額異常 [士林和豐] A 後五碼:57047 (行號: 10)")</f>
        <v>月租金額異常 [士林和豐] A 後五碼:57047 (行號: 10)</v>
      </c>
      <c r="C4909" t="str">
        <f>IFERROR(__xludf.DUMMYFUNCTION("""COMPUTED_VALUE"""),"收入 - 其他")</f>
        <v>收入 - 其他</v>
      </c>
      <c r="D4909" s="270">
        <f>IFERROR(__xludf.DUMMYFUNCTION("""COMPUTED_VALUE"""),0.0)</f>
        <v>0</v>
      </c>
      <c r="F4909" t="str">
        <f>IFERROR(__xludf.DUMMYFUNCTION("""COMPUTED_VALUE"""),"玉山帳戶")</f>
        <v>玉山帳戶</v>
      </c>
      <c r="G4909" t="str">
        <f>IFERROR(__xludf.DUMMYFUNCTION("""COMPUTED_VALUE"""),"士林和豐")</f>
        <v>士林和豐</v>
      </c>
      <c r="H4909" s="106" t="str">
        <f t="shared" si="1"/>
        <v>2026-01</v>
      </c>
      <c r="I4909" s="271" t="str">
        <f>IFERROR(__xludf.DUMMYFUNCTION("""COMPUTED_VALUE"""),"鯰魚大大")</f>
        <v>鯰魚大大</v>
      </c>
      <c r="J4909" t="str">
        <f>IFERROR(__xludf.DUMMYFUNCTION("IFS(
  AND(REGEXMATCH(E4909, ""台銀籌備帳戶|玉山帳戶""), REGEXMATCH(C4909, ""薪資"")), ""分潤支出"",
  AND(REGEXMATCH(E4909, ""Ben帳戶|Elsa帳戶|Ben代墊|Ariel代墊|中信銀行共用""), REGEXMATCH(F4909, ""Ben帳戶|Elsa帳戶|Ben代墊|Ariel代墊|中信銀行共用"")), ""內部轉帳(忽略)"",
  AND(E4909&lt;&gt;"""", F4909&lt;&gt;"""", N"&amp;"OT(REGEXMATCH(C4909, ""薪資""))), ""內部轉帳(忽略)"",
  REGEXMATCH(C4909, ""薪資""), ""薪資變動(不計入)"",
  REGEXMATCH(C4909, ""押金""), ""押金往來"",
  AND(E4909&lt;&gt;"""", F4909=""""), ""真實支出"",
  AND(E4909="""", F4909&lt;&gt;""""), ""真實收入"",
  TRUE, ""其他""
)"),"真實收入")</f>
        <v>真實收入</v>
      </c>
      <c r="K4909" s="270">
        <f t="shared" si="2"/>
        <v>0</v>
      </c>
      <c r="L4909">
        <f t="shared" si="3"/>
        <v>0</v>
      </c>
    </row>
    <row r="4910">
      <c r="A4910" s="107">
        <f>IFERROR(__xludf.DUMMYFUNCTION("""COMPUTED_VALUE"""),46041.0)</f>
        <v>46041</v>
      </c>
      <c r="B4910" t="str">
        <f>IFERROR(__xludf.DUMMYFUNCTION("""COMPUTED_VALUE"""),"內湖CITY D")</f>
        <v>內湖CITY D</v>
      </c>
      <c r="C4910" t="str">
        <f>IFERROR(__xludf.DUMMYFUNCTION("""COMPUTED_VALUE"""),"收入 - 定金")</f>
        <v>收入 - 定金</v>
      </c>
      <c r="D4910" s="270">
        <f>IFERROR(__xludf.DUMMYFUNCTION("""COMPUTED_VALUE"""),10000.0)</f>
        <v>10000</v>
      </c>
      <c r="F4910" t="str">
        <f>IFERROR(__xludf.DUMMYFUNCTION("""COMPUTED_VALUE"""),"玉山帳戶")</f>
        <v>玉山帳戶</v>
      </c>
      <c r="G4910" t="str">
        <f>IFERROR(__xludf.DUMMYFUNCTION("""COMPUTED_VALUE"""),"內湖CityLink")</f>
        <v>內湖CityLink</v>
      </c>
      <c r="H4910" s="106" t="str">
        <f t="shared" si="1"/>
        <v>2026-01</v>
      </c>
      <c r="I4910" s="271" t="str">
        <f>IFERROR(__xludf.DUMMYFUNCTION("""COMPUTED_VALUE"""),"鯰魚大大")</f>
        <v>鯰魚大大</v>
      </c>
      <c r="J4910" t="str">
        <f>IFERROR(__xludf.DUMMYFUNCTION("IFS(
  AND(REGEXMATCH(E4910, ""台銀籌備帳戶|玉山帳戶""), REGEXMATCH(C4910, ""薪資"")), ""分潤支出"",
  AND(REGEXMATCH(E4910, ""Ben帳戶|Elsa帳戶|Ben代墊|Ariel代墊|中信銀行共用""), REGEXMATCH(F4910, ""Ben帳戶|Elsa帳戶|Ben代墊|Ariel代墊|中信銀行共用"")), ""內部轉帳(忽略)"",
  AND(E4910&lt;&gt;"""", F4910&lt;&gt;"""", N"&amp;"OT(REGEXMATCH(C4910, ""薪資""))), ""內部轉帳(忽略)"",
  REGEXMATCH(C4910, ""薪資""), ""薪資變動(不計入)"",
  REGEXMATCH(C4910, ""押金""), ""押金往來"",
  AND(E4910&lt;&gt;"""", F4910=""""), ""真實支出"",
  AND(E4910="""", F4910&lt;&gt;""""), ""真實收入"",
  TRUE, ""其他""
)"),"真實收入")</f>
        <v>真實收入</v>
      </c>
      <c r="K4910" s="270">
        <f t="shared" si="2"/>
        <v>10000</v>
      </c>
      <c r="L4910">
        <f t="shared" si="3"/>
        <v>0</v>
      </c>
    </row>
    <row r="4911">
      <c r="A4911" s="107">
        <f>IFERROR(__xludf.DUMMYFUNCTION("""COMPUTED_VALUE"""),46042.0)</f>
        <v>46042</v>
      </c>
      <c r="B4911" t="str">
        <f>IFERROR(__xludf.DUMMYFUNCTION("""COMPUTED_VALUE"""),"[士林和豐] C 月租金 後五碼:16111 (行號: 12)")</f>
        <v>[士林和豐] C 月租金 後五碼:16111 (行號: 12)</v>
      </c>
      <c r="C4911" t="str">
        <f>IFERROR(__xludf.DUMMYFUNCTION("""COMPUTED_VALUE"""),"收入 - 租金")</f>
        <v>收入 - 租金</v>
      </c>
      <c r="D4911" s="270">
        <f>IFERROR(__xludf.DUMMYFUNCTION("""COMPUTED_VALUE"""),13000.0)</f>
        <v>13000</v>
      </c>
      <c r="F4911" t="str">
        <f>IFERROR(__xludf.DUMMYFUNCTION("""COMPUTED_VALUE"""),"玉山帳戶")</f>
        <v>玉山帳戶</v>
      </c>
      <c r="G4911" t="str">
        <f>IFERROR(__xludf.DUMMYFUNCTION("""COMPUTED_VALUE"""),"士林和豐")</f>
        <v>士林和豐</v>
      </c>
      <c r="H4911" s="106" t="str">
        <f t="shared" si="1"/>
        <v>2026-01</v>
      </c>
      <c r="I4911" s="271" t="str">
        <f>IFERROR(__xludf.DUMMYFUNCTION("""COMPUTED_VALUE"""),"鯰魚大大")</f>
        <v>鯰魚大大</v>
      </c>
      <c r="J4911" t="str">
        <f>IFERROR(__xludf.DUMMYFUNCTION("IFS(
  AND(REGEXMATCH(E4911, ""台銀籌備帳戶|玉山帳戶""), REGEXMATCH(C4911, ""薪資"")), ""分潤支出"",
  AND(REGEXMATCH(E4911, ""Ben帳戶|Elsa帳戶|Ben代墊|Ariel代墊|中信銀行共用""), REGEXMATCH(F4911, ""Ben帳戶|Elsa帳戶|Ben代墊|Ariel代墊|中信銀行共用"")), ""內部轉帳(忽略)"",
  AND(E4911&lt;&gt;"""", F4911&lt;&gt;"""", N"&amp;"OT(REGEXMATCH(C4911, ""薪資""))), ""內部轉帳(忽略)"",
  REGEXMATCH(C4911, ""薪資""), ""薪資變動(不計入)"",
  REGEXMATCH(C4911, ""押金""), ""押金往來"",
  AND(E4911&lt;&gt;"""", F4911=""""), ""真實支出"",
  AND(E4911="""", F4911&lt;&gt;""""), ""真實收入"",
  TRUE, ""其他""
)"),"真實收入")</f>
        <v>真實收入</v>
      </c>
      <c r="K4911" s="270">
        <f t="shared" si="2"/>
        <v>13000</v>
      </c>
      <c r="L4911">
        <f t="shared" si="3"/>
        <v>0</v>
      </c>
    </row>
    <row r="4912">
      <c r="A4912" s="107">
        <f>IFERROR(__xludf.DUMMYFUNCTION("""COMPUTED_VALUE"""),46048.0)</f>
        <v>46048</v>
      </c>
      <c r="B4912" t="str">
        <f>IFERROR(__xludf.DUMMYFUNCTION("""COMPUTED_VALUE"""),"City 排風開關")</f>
        <v>City 排風開關</v>
      </c>
      <c r="C4912" t="str">
        <f>IFERROR(__xludf.DUMMYFUNCTION("""COMPUTED_VALUE"""),"成本 - 租後修繕")</f>
        <v>成本 - 租後修繕</v>
      </c>
      <c r="D4912" s="270">
        <f>IFERROR(__xludf.DUMMYFUNCTION("""COMPUTED_VALUE"""),-1700.0)</f>
        <v>-1700</v>
      </c>
      <c r="E4912" t="str">
        <f>IFERROR(__xludf.DUMMYFUNCTION("""COMPUTED_VALUE"""),"Ben代墊")</f>
        <v>Ben代墊</v>
      </c>
      <c r="G4912" t="str">
        <f>IFERROR(__xludf.DUMMYFUNCTION("""COMPUTED_VALUE"""),"內湖CityLink")</f>
        <v>內湖CityLink</v>
      </c>
      <c r="H4912" s="106" t="str">
        <f t="shared" si="1"/>
        <v>2026-01</v>
      </c>
      <c r="I4912" s="271" t="str">
        <f>IFERROR(__xludf.DUMMYFUNCTION("""COMPUTED_VALUE"""),"鯰魚大大")</f>
        <v>鯰魚大大</v>
      </c>
      <c r="J4912" t="str">
        <f>IFERROR(__xludf.DUMMYFUNCTION("IFS(
  AND(REGEXMATCH(E4912, ""台銀籌備帳戶|玉山帳戶""), REGEXMATCH(C4912, ""薪資"")), ""分潤支出"",
  AND(REGEXMATCH(E4912, ""Ben帳戶|Elsa帳戶|Ben代墊|Ariel代墊|中信銀行共用""), REGEXMATCH(F4912, ""Ben帳戶|Elsa帳戶|Ben代墊|Ariel代墊|中信銀行共用"")), ""內部轉帳(忽略)"",
  AND(E4912&lt;&gt;"""", F4912&lt;&gt;"""", N"&amp;"OT(REGEXMATCH(C4912, ""薪資""))), ""內部轉帳(忽略)"",
  REGEXMATCH(C4912, ""薪資""), ""薪資變動(不計入)"",
  REGEXMATCH(C4912, ""押金""), ""押金往來"",
  AND(E4912&lt;&gt;"""", F4912=""""), ""真實支出"",
  AND(E4912="""", F4912&lt;&gt;""""), ""真實收入"",
  TRUE, ""其他""
)"),"真實支出")</f>
        <v>真實支出</v>
      </c>
      <c r="K4912" s="270">
        <f t="shared" si="2"/>
        <v>-1700</v>
      </c>
      <c r="L4912">
        <f t="shared" si="3"/>
        <v>0</v>
      </c>
    </row>
    <row r="4913">
      <c r="A4913" s="107">
        <f>IFERROR(__xludf.DUMMYFUNCTION("""COMPUTED_VALUE"""),46048.0)</f>
        <v>46048</v>
      </c>
      <c r="B4913" t="str">
        <f>IFERROR(__xludf.DUMMYFUNCTION("""COMPUTED_VALUE"""),"[內湖CityLink] D 押金 (2個月) 後五碼:27807 (行號: 16)")</f>
        <v>[內湖CityLink] D 押金 (2個月) 後五碼:27807 (行號: 16)</v>
      </c>
      <c r="C4913" t="str">
        <f>IFERROR(__xludf.DUMMYFUNCTION("""COMPUTED_VALUE"""),"收入 - 押金")</f>
        <v>收入 - 押金</v>
      </c>
      <c r="D4913" s="270">
        <f>IFERROR(__xludf.DUMMYFUNCTION("""COMPUTED_VALUE"""),25000.0)</f>
        <v>25000</v>
      </c>
      <c r="F4913" t="str">
        <f>IFERROR(__xludf.DUMMYFUNCTION("""COMPUTED_VALUE"""),"玉山帳戶")</f>
        <v>玉山帳戶</v>
      </c>
      <c r="G4913" t="str">
        <f>IFERROR(__xludf.DUMMYFUNCTION("""COMPUTED_VALUE"""),"內湖CityLink")</f>
        <v>內湖CityLink</v>
      </c>
      <c r="H4913" s="106" t="str">
        <f t="shared" si="1"/>
        <v>2026-01</v>
      </c>
      <c r="I4913" s="271" t="str">
        <f>IFERROR(__xludf.DUMMYFUNCTION("""COMPUTED_VALUE"""),"鯰魚大大")</f>
        <v>鯰魚大大</v>
      </c>
      <c r="J4913" t="str">
        <f>IFERROR(__xludf.DUMMYFUNCTION("IFS(
  AND(REGEXMATCH(E4913, ""台銀籌備帳戶|玉山帳戶""), REGEXMATCH(C4913, ""薪資"")), ""分潤支出"",
  AND(REGEXMATCH(E4913, ""Ben帳戶|Elsa帳戶|Ben代墊|Ariel代墊|中信銀行共用""), REGEXMATCH(F4913, ""Ben帳戶|Elsa帳戶|Ben代墊|Ariel代墊|中信銀行共用"")), ""內部轉帳(忽略)"",
  AND(E4913&lt;&gt;"""", F4913&lt;&gt;"""", N"&amp;"OT(REGEXMATCH(C4913, ""薪資""))), ""內部轉帳(忽略)"",
  REGEXMATCH(C4913, ""薪資""), ""薪資變動(不計入)"",
  REGEXMATCH(C4913, ""押金""), ""押金往來"",
  AND(E4913&lt;&gt;"""", F4913=""""), ""真實支出"",
  AND(E4913="""", F4913&lt;&gt;""""), ""真實收入"",
  TRUE, ""其他""
)"),"押金往來")</f>
        <v>押金往來</v>
      </c>
      <c r="K4913">
        <f t="shared" si="2"/>
        <v>0</v>
      </c>
      <c r="L4913">
        <f t="shared" si="3"/>
        <v>0</v>
      </c>
    </row>
    <row r="4914">
      <c r="A4914" s="107">
        <f>IFERROR(__xludf.DUMMYFUNCTION("""COMPUTED_VALUE"""),46048.0)</f>
        <v>46048</v>
      </c>
      <c r="B4914" t="str">
        <f>IFERROR(__xludf.DUMMYFUNCTION("""COMPUTED_VALUE"""),"[內湖CityLink] D 首月租金 後五碼:27807 (行號: 16)")</f>
        <v>[內湖CityLink] D 首月租金 後五碼:27807 (行號: 16)</v>
      </c>
      <c r="C4914" t="str">
        <f>IFERROR(__xludf.DUMMYFUNCTION("""COMPUTED_VALUE"""),"收入 - 租金")</f>
        <v>收入 - 租金</v>
      </c>
      <c r="D4914" s="270">
        <f>IFERROR(__xludf.DUMMYFUNCTION("""COMPUTED_VALUE"""),2500.0)</f>
        <v>2500</v>
      </c>
      <c r="F4914" t="str">
        <f>IFERROR(__xludf.DUMMYFUNCTION("""COMPUTED_VALUE"""),"玉山帳戶")</f>
        <v>玉山帳戶</v>
      </c>
      <c r="G4914" t="str">
        <f>IFERROR(__xludf.DUMMYFUNCTION("""COMPUTED_VALUE"""),"內湖CityLink")</f>
        <v>內湖CityLink</v>
      </c>
      <c r="H4914" s="106" t="str">
        <f t="shared" si="1"/>
        <v>2026-01</v>
      </c>
      <c r="I4914" s="271" t="str">
        <f>IFERROR(__xludf.DUMMYFUNCTION("""COMPUTED_VALUE"""),"鯰魚大大")</f>
        <v>鯰魚大大</v>
      </c>
      <c r="J4914" t="str">
        <f>IFERROR(__xludf.DUMMYFUNCTION("IFS(
  AND(REGEXMATCH(E4914, ""台銀籌備帳戶|玉山帳戶""), REGEXMATCH(C4914, ""薪資"")), ""分潤支出"",
  AND(REGEXMATCH(E4914, ""Ben帳戶|Elsa帳戶|Ben代墊|Ariel代墊|中信銀行共用""), REGEXMATCH(F4914, ""Ben帳戶|Elsa帳戶|Ben代墊|Ariel代墊|中信銀行共用"")), ""內部轉帳(忽略)"",
  AND(E4914&lt;&gt;"""", F4914&lt;&gt;"""", N"&amp;"OT(REGEXMATCH(C4914, ""薪資""))), ""內部轉帳(忽略)"",
  REGEXMATCH(C4914, ""薪資""), ""薪資變動(不計入)"",
  REGEXMATCH(C4914, ""押金""), ""押金往來"",
  AND(E4914&lt;&gt;"""", F4914=""""), ""真實支出"",
  AND(E4914="""", F4914&lt;&gt;""""), ""真實收入"",
  TRUE, ""其他""
)"),"真實收入")</f>
        <v>真實收入</v>
      </c>
      <c r="K4914" s="270">
        <f t="shared" si="2"/>
        <v>2500</v>
      </c>
      <c r="L4914">
        <f t="shared" si="3"/>
        <v>0</v>
      </c>
    </row>
    <row r="4915">
      <c r="A4915" s="107">
        <f>IFERROR(__xludf.DUMMYFUNCTION("""COMPUTED_VALUE"""),46051.0)</f>
        <v>46051</v>
      </c>
      <c r="B4915" t="str">
        <f>IFERROR(__xludf.DUMMYFUNCTION("""COMPUTED_VALUE"""),"[士林和豐] 【D】鄰居燒金紙干擾減租 後五碼:00504 (行號: 17)")</f>
        <v>[士林和豐] 【D】鄰居燒金紙干擾減租 後五碼:00504 (行號: 17)</v>
      </c>
      <c r="C4915" t="str">
        <f>IFERROR(__xludf.DUMMYFUNCTION("""COMPUTED_VALUE"""),"收入 - 租金")</f>
        <v>收入 - 租金</v>
      </c>
      <c r="D4915" s="270">
        <f>IFERROR(__xludf.DUMMYFUNCTION("""COMPUTED_VALUE"""),7500.0)</f>
        <v>7500</v>
      </c>
      <c r="F4915" t="str">
        <f>IFERROR(__xludf.DUMMYFUNCTION("""COMPUTED_VALUE"""),"玉山帳戶")</f>
        <v>玉山帳戶</v>
      </c>
      <c r="G4915" t="str">
        <f>IFERROR(__xludf.DUMMYFUNCTION("""COMPUTED_VALUE"""),"士林和豐")</f>
        <v>士林和豐</v>
      </c>
      <c r="H4915" s="106" t="str">
        <f t="shared" si="1"/>
        <v>2026-01</v>
      </c>
      <c r="I4915" s="271" t="str">
        <f>IFERROR(__xludf.DUMMYFUNCTION("""COMPUTED_VALUE"""),"鯰魚大大")</f>
        <v>鯰魚大大</v>
      </c>
      <c r="J4915" t="str">
        <f>IFERROR(__xludf.DUMMYFUNCTION("IFS(
  AND(REGEXMATCH(E4915, ""台銀籌備帳戶|玉山帳戶""), REGEXMATCH(C4915, ""薪資"")), ""分潤支出"",
  AND(REGEXMATCH(E4915, ""Ben帳戶|Elsa帳戶|Ben代墊|Ariel代墊|中信銀行共用""), REGEXMATCH(F4915, ""Ben帳戶|Elsa帳戶|Ben代墊|Ariel代墊|中信銀行共用"")), ""內部轉帳(忽略)"",
  AND(E4915&lt;&gt;"""", F4915&lt;&gt;"""", N"&amp;"OT(REGEXMATCH(C4915, ""薪資""))), ""內部轉帳(忽略)"",
  REGEXMATCH(C4915, ""薪資""), ""薪資變動(不計入)"",
  REGEXMATCH(C4915, ""押金""), ""押金往來"",
  AND(E4915&lt;&gt;"""", F4915=""""), ""真實支出"",
  AND(E4915="""", F4915&lt;&gt;""""), ""真實收入"",
  TRUE, ""其他""
)"),"真實收入")</f>
        <v>真實收入</v>
      </c>
      <c r="K4915" s="270">
        <f t="shared" si="2"/>
        <v>7500</v>
      </c>
      <c r="L4915">
        <f t="shared" si="3"/>
        <v>0</v>
      </c>
    </row>
    <row r="4916">
      <c r="A4916" s="107">
        <f>IFERROR(__xludf.DUMMYFUNCTION("""COMPUTED_VALUE"""),46052.0)</f>
        <v>46052</v>
      </c>
      <c r="B4916" t="str">
        <f>IFERROR(__xludf.DUMMYFUNCTION("""COMPUTED_VALUE"""),"[士林和豐] 【A】 後五碼:57047 (行號: 18)")</f>
        <v>[士林和豐] 【A】 後五碼:57047 (行號: 18)</v>
      </c>
      <c r="C4916" t="str">
        <f>IFERROR(__xludf.DUMMYFUNCTION("""COMPUTED_VALUE"""),"收入 - 租金")</f>
        <v>收入 - 租金</v>
      </c>
      <c r="D4916" s="270">
        <f>IFERROR(__xludf.DUMMYFUNCTION("""COMPUTED_VALUE"""),19500.0)</f>
        <v>19500</v>
      </c>
      <c r="F4916" t="str">
        <f>IFERROR(__xludf.DUMMYFUNCTION("""COMPUTED_VALUE"""),"玉山帳戶")</f>
        <v>玉山帳戶</v>
      </c>
      <c r="G4916" t="str">
        <f>IFERROR(__xludf.DUMMYFUNCTION("""COMPUTED_VALUE"""),"士林和豐")</f>
        <v>士林和豐</v>
      </c>
      <c r="H4916" s="106" t="str">
        <f t="shared" si="1"/>
        <v>2026-01</v>
      </c>
      <c r="I4916" s="271" t="str">
        <f>IFERROR(__xludf.DUMMYFUNCTION("""COMPUTED_VALUE"""),"鯰魚大大")</f>
        <v>鯰魚大大</v>
      </c>
      <c r="J4916" t="str">
        <f>IFERROR(__xludf.DUMMYFUNCTION("IFS(
  AND(REGEXMATCH(E4916, ""台銀籌備帳戶|玉山帳戶""), REGEXMATCH(C4916, ""薪資"")), ""分潤支出"",
  AND(REGEXMATCH(E4916, ""Ben帳戶|Elsa帳戶|Ben代墊|Ariel代墊|中信銀行共用""), REGEXMATCH(F4916, ""Ben帳戶|Elsa帳戶|Ben代墊|Ariel代墊|中信銀行共用"")), ""內部轉帳(忽略)"",
  AND(E4916&lt;&gt;"""", F4916&lt;&gt;"""", N"&amp;"OT(REGEXMATCH(C4916, ""薪資""))), ""內部轉帳(忽略)"",
  REGEXMATCH(C4916, ""薪資""), ""薪資變動(不計入)"",
  REGEXMATCH(C4916, ""押金""), ""押金往來"",
  AND(E4916&lt;&gt;"""", F4916=""""), ""真實支出"",
  AND(E4916="""", F4916&lt;&gt;""""), ""真實收入"",
  TRUE, ""其他""
)"),"真實收入")</f>
        <v>真實收入</v>
      </c>
      <c r="K4916" s="270">
        <f t="shared" si="2"/>
        <v>19500</v>
      </c>
      <c r="L4916">
        <f t="shared" si="3"/>
        <v>0</v>
      </c>
    </row>
    <row r="4917">
      <c r="A4917" s="107">
        <f>IFERROR(__xludf.DUMMYFUNCTION("""COMPUTED_VALUE"""),46055.0)</f>
        <v>46055</v>
      </c>
      <c r="B4917" t="str">
        <f>IFERROR(__xludf.DUMMYFUNCTION("""COMPUTED_VALUE"""),"[行天宮夏野良栗] B 月租金 後五碼:73083 (行號: 19)")</f>
        <v>[行天宮夏野良栗] B 月租金 後五碼:73083 (行號: 19)</v>
      </c>
      <c r="C4917" t="str">
        <f>IFERROR(__xludf.DUMMYFUNCTION("""COMPUTED_VALUE"""),"收入 - 租金")</f>
        <v>收入 - 租金</v>
      </c>
      <c r="D4917" s="270">
        <f>IFERROR(__xludf.DUMMYFUNCTION("""COMPUTED_VALUE"""),14000.0)</f>
        <v>14000</v>
      </c>
      <c r="F4917" t="str">
        <f>IFERROR(__xludf.DUMMYFUNCTION("""COMPUTED_VALUE"""),"玉山帳戶")</f>
        <v>玉山帳戶</v>
      </c>
      <c r="G4917" t="str">
        <f>IFERROR(__xludf.DUMMYFUNCTION("""COMPUTED_VALUE"""),"行天宮夏野良栗")</f>
        <v>行天宮夏野良栗</v>
      </c>
      <c r="H4917" s="106" t="str">
        <f t="shared" si="1"/>
        <v>2026-02</v>
      </c>
      <c r="I4917" s="271" t="str">
        <f>IFERROR(__xludf.DUMMYFUNCTION("""COMPUTED_VALUE"""),"鯰魚大大")</f>
        <v>鯰魚大大</v>
      </c>
      <c r="J4917" t="str">
        <f>IFERROR(__xludf.DUMMYFUNCTION("IFS(
  AND(REGEXMATCH(E4917, ""台銀籌備帳戶|玉山帳戶""), REGEXMATCH(C4917, ""薪資"")), ""分潤支出"",
  AND(REGEXMATCH(E4917, ""Ben帳戶|Elsa帳戶|Ben代墊|Ariel代墊|中信銀行共用""), REGEXMATCH(F4917, ""Ben帳戶|Elsa帳戶|Ben代墊|Ariel代墊|中信銀行共用"")), ""內部轉帳(忽略)"",
  AND(E4917&lt;&gt;"""", F4917&lt;&gt;"""", N"&amp;"OT(REGEXMATCH(C4917, ""薪資""))), ""內部轉帳(忽略)"",
  REGEXMATCH(C4917, ""薪資""), ""薪資變動(不計入)"",
  REGEXMATCH(C4917, ""押金""), ""押金往來"",
  AND(E4917&lt;&gt;"""", F4917=""""), ""真實支出"",
  AND(E4917="""", F4917&lt;&gt;""""), ""真實收入"",
  TRUE, ""其他""
)"),"真實收入")</f>
        <v>真實收入</v>
      </c>
      <c r="K4917" s="270">
        <f t="shared" si="2"/>
        <v>14000</v>
      </c>
      <c r="L4917">
        <f t="shared" si="3"/>
        <v>0</v>
      </c>
    </row>
    <row r="4918">
      <c r="A4918" s="107">
        <f>IFERROR(__xludf.DUMMYFUNCTION("""COMPUTED_VALUE"""),46055.0)</f>
        <v>46055</v>
      </c>
      <c r="B4918" t="str">
        <f>IFERROR(__xludf.DUMMYFUNCTION("""COMPUTED_VALUE"""),"[士林和豐] B 月租金 後五碼:28793 (行號: 20)")</f>
        <v>[士林和豐] B 月租金 後五碼:28793 (行號: 20)</v>
      </c>
      <c r="C4918" t="str">
        <f>IFERROR(__xludf.DUMMYFUNCTION("""COMPUTED_VALUE"""),"收入 - 租金")</f>
        <v>收入 - 租金</v>
      </c>
      <c r="D4918" s="270">
        <f>IFERROR(__xludf.DUMMYFUNCTION("""COMPUTED_VALUE"""),13100.0)</f>
        <v>13100</v>
      </c>
      <c r="F4918" t="str">
        <f>IFERROR(__xludf.DUMMYFUNCTION("""COMPUTED_VALUE"""),"玉山帳戶")</f>
        <v>玉山帳戶</v>
      </c>
      <c r="G4918" t="str">
        <f>IFERROR(__xludf.DUMMYFUNCTION("""COMPUTED_VALUE"""),"士林和豐")</f>
        <v>士林和豐</v>
      </c>
      <c r="H4918" s="106" t="str">
        <f t="shared" si="1"/>
        <v>2026-02</v>
      </c>
      <c r="I4918" s="271" t="str">
        <f>IFERROR(__xludf.DUMMYFUNCTION("""COMPUTED_VALUE"""),"鯰魚大大")</f>
        <v>鯰魚大大</v>
      </c>
      <c r="J4918" t="str">
        <f>IFERROR(__xludf.DUMMYFUNCTION("IFS(
  AND(REGEXMATCH(E4918, ""台銀籌備帳戶|玉山帳戶""), REGEXMATCH(C4918, ""薪資"")), ""分潤支出"",
  AND(REGEXMATCH(E4918, ""Ben帳戶|Elsa帳戶|Ben代墊|Ariel代墊|中信銀行共用""), REGEXMATCH(F4918, ""Ben帳戶|Elsa帳戶|Ben代墊|Ariel代墊|中信銀行共用"")), ""內部轉帳(忽略)"",
  AND(E4918&lt;&gt;"""", F4918&lt;&gt;"""", N"&amp;"OT(REGEXMATCH(C4918, ""薪資""))), ""內部轉帳(忽略)"",
  REGEXMATCH(C4918, ""薪資""), ""薪資變動(不計入)"",
  REGEXMATCH(C4918, ""押金""), ""押金往來"",
  AND(E4918&lt;&gt;"""", F4918=""""), ""真實支出"",
  AND(E4918="""", F4918&lt;&gt;""""), ""真實收入"",
  TRUE, ""其他""
)"),"真實收入")</f>
        <v>真實收入</v>
      </c>
      <c r="K4918" s="270">
        <f t="shared" si="2"/>
        <v>13100</v>
      </c>
      <c r="L4918">
        <f t="shared" si="3"/>
        <v>0</v>
      </c>
    </row>
    <row r="4919">
      <c r="A4919" s="107">
        <f>IFERROR(__xludf.DUMMYFUNCTION("""COMPUTED_VALUE"""),46055.0)</f>
        <v>46055</v>
      </c>
      <c r="B4919" t="str">
        <f>IFERROR(__xludf.DUMMYFUNCTION("""COMPUTED_VALUE"""),"[行天宮夏野良栗] D 月租金 後五碼:99285 (行號: 21)")</f>
        <v>[行天宮夏野良栗] D 月租金 後五碼:99285 (行號: 21)</v>
      </c>
      <c r="C4919" t="str">
        <f>IFERROR(__xludf.DUMMYFUNCTION("""COMPUTED_VALUE"""),"收入 - 租金")</f>
        <v>收入 - 租金</v>
      </c>
      <c r="D4919" s="270">
        <f>IFERROR(__xludf.DUMMYFUNCTION("""COMPUTED_VALUE"""),11200.0)</f>
        <v>11200</v>
      </c>
      <c r="F4919" t="str">
        <f>IFERROR(__xludf.DUMMYFUNCTION("""COMPUTED_VALUE"""),"玉山帳戶")</f>
        <v>玉山帳戶</v>
      </c>
      <c r="G4919" t="str">
        <f>IFERROR(__xludf.DUMMYFUNCTION("""COMPUTED_VALUE"""),"行天宮夏野良栗")</f>
        <v>行天宮夏野良栗</v>
      </c>
      <c r="H4919" s="106" t="str">
        <f t="shared" si="1"/>
        <v>2026-02</v>
      </c>
      <c r="I4919" s="271" t="str">
        <f>IFERROR(__xludf.DUMMYFUNCTION("""COMPUTED_VALUE"""),"鯰魚大大")</f>
        <v>鯰魚大大</v>
      </c>
      <c r="J4919" t="str">
        <f>IFERROR(__xludf.DUMMYFUNCTION("IFS(
  AND(REGEXMATCH(E4919, ""台銀籌備帳戶|玉山帳戶""), REGEXMATCH(C4919, ""薪資"")), ""分潤支出"",
  AND(REGEXMATCH(E4919, ""Ben帳戶|Elsa帳戶|Ben代墊|Ariel代墊|中信銀行共用""), REGEXMATCH(F4919, ""Ben帳戶|Elsa帳戶|Ben代墊|Ariel代墊|中信銀行共用"")), ""內部轉帳(忽略)"",
  AND(E4919&lt;&gt;"""", F4919&lt;&gt;"""", N"&amp;"OT(REGEXMATCH(C4919, ""薪資""))), ""內部轉帳(忽略)"",
  REGEXMATCH(C4919, ""薪資""), ""薪資變動(不計入)"",
  REGEXMATCH(C4919, ""押金""), ""押金往來"",
  AND(E4919&lt;&gt;"""", F4919=""""), ""真實支出"",
  AND(E4919="""", F4919&lt;&gt;""""), ""真實收入"",
  TRUE, ""其他""
)"),"真實收入")</f>
        <v>真實收入</v>
      </c>
      <c r="K4919" s="270">
        <f t="shared" si="2"/>
        <v>11200</v>
      </c>
      <c r="L4919">
        <f t="shared" si="3"/>
        <v>0</v>
      </c>
    </row>
    <row r="4920">
      <c r="A4920" s="107">
        <f>IFERROR(__xludf.DUMMYFUNCTION("""COMPUTED_VALUE"""),46055.0)</f>
        <v>46055</v>
      </c>
      <c r="B4920" t="str">
        <f>IFERROR(__xludf.DUMMYFUNCTION("""COMPUTED_VALUE"""),"[內湖秘境] G 月租金 後五碼:09984 (行號: 22)")</f>
        <v>[內湖秘境] G 月租金 後五碼:09984 (行號: 22)</v>
      </c>
      <c r="C4920" t="str">
        <f>IFERROR(__xludf.DUMMYFUNCTION("""COMPUTED_VALUE"""),"收入 - 租金")</f>
        <v>收入 - 租金</v>
      </c>
      <c r="D4920" s="270">
        <f>IFERROR(__xludf.DUMMYFUNCTION("""COMPUTED_VALUE"""),11631.0)</f>
        <v>11631</v>
      </c>
      <c r="F4920" t="str">
        <f>IFERROR(__xludf.DUMMYFUNCTION("""COMPUTED_VALUE"""),"玉山帳戶")</f>
        <v>玉山帳戶</v>
      </c>
      <c r="G4920" t="str">
        <f>IFERROR(__xludf.DUMMYFUNCTION("""COMPUTED_VALUE"""),"內湖秘境")</f>
        <v>內湖秘境</v>
      </c>
      <c r="H4920" s="106" t="str">
        <f t="shared" si="1"/>
        <v>2026-02</v>
      </c>
      <c r="I4920" s="271" t="str">
        <f>IFERROR(__xludf.DUMMYFUNCTION("""COMPUTED_VALUE"""),"鯰魚大大")</f>
        <v>鯰魚大大</v>
      </c>
      <c r="J4920" t="str">
        <f>IFERROR(__xludf.DUMMYFUNCTION("IFS(
  AND(REGEXMATCH(E4920, ""台銀籌備帳戶|玉山帳戶""), REGEXMATCH(C4920, ""薪資"")), ""分潤支出"",
  AND(REGEXMATCH(E4920, ""Ben帳戶|Elsa帳戶|Ben代墊|Ariel代墊|中信銀行共用""), REGEXMATCH(F4920, ""Ben帳戶|Elsa帳戶|Ben代墊|Ariel代墊|中信銀行共用"")), ""內部轉帳(忽略)"",
  AND(E4920&lt;&gt;"""", F4920&lt;&gt;"""", N"&amp;"OT(REGEXMATCH(C4920, ""薪資""))), ""內部轉帳(忽略)"",
  REGEXMATCH(C4920, ""薪資""), ""薪資變動(不計入)"",
  REGEXMATCH(C4920, ""押金""), ""押金往來"",
  AND(E4920&lt;&gt;"""", F4920=""""), ""真實支出"",
  AND(E4920="""", F4920&lt;&gt;""""), ""真實收入"",
  TRUE, ""其他""
)"),"真實收入")</f>
        <v>真實收入</v>
      </c>
      <c r="K4920" s="270">
        <f t="shared" si="2"/>
        <v>11631</v>
      </c>
      <c r="L4920">
        <f t="shared" si="3"/>
        <v>0</v>
      </c>
    </row>
    <row r="4921">
      <c r="A4921" s="107">
        <f>IFERROR(__xludf.DUMMYFUNCTION("""COMPUTED_VALUE"""),46055.0)</f>
        <v>46055</v>
      </c>
      <c r="B4921" t="str">
        <f>IFERROR(__xludf.DUMMYFUNCTION("""COMPUTED_VALUE"""),"[內湖秘境] A 月租金 後五碼:18127 (行號: 23)")</f>
        <v>[內湖秘境] A 月租金 後五碼:18127 (行號: 23)</v>
      </c>
      <c r="C4921" t="str">
        <f>IFERROR(__xludf.DUMMYFUNCTION("""COMPUTED_VALUE"""),"收入 - 租金")</f>
        <v>收入 - 租金</v>
      </c>
      <c r="D4921" s="270">
        <f>IFERROR(__xludf.DUMMYFUNCTION("""COMPUTED_VALUE"""),11700.0)</f>
        <v>11700</v>
      </c>
      <c r="F4921" t="str">
        <f>IFERROR(__xludf.DUMMYFUNCTION("""COMPUTED_VALUE"""),"玉山帳戶")</f>
        <v>玉山帳戶</v>
      </c>
      <c r="G4921" t="str">
        <f>IFERROR(__xludf.DUMMYFUNCTION("""COMPUTED_VALUE"""),"內湖秘境")</f>
        <v>內湖秘境</v>
      </c>
      <c r="H4921" s="106" t="str">
        <f t="shared" si="1"/>
        <v>2026-02</v>
      </c>
      <c r="I4921" s="271" t="str">
        <f>IFERROR(__xludf.DUMMYFUNCTION("""COMPUTED_VALUE"""),"鯰魚大大")</f>
        <v>鯰魚大大</v>
      </c>
      <c r="J4921" t="str">
        <f>IFERROR(__xludf.DUMMYFUNCTION("IFS(
  AND(REGEXMATCH(E4921, ""台銀籌備帳戶|玉山帳戶""), REGEXMATCH(C4921, ""薪資"")), ""分潤支出"",
  AND(REGEXMATCH(E4921, ""Ben帳戶|Elsa帳戶|Ben代墊|Ariel代墊|中信銀行共用""), REGEXMATCH(F4921, ""Ben帳戶|Elsa帳戶|Ben代墊|Ariel代墊|中信銀行共用"")), ""內部轉帳(忽略)"",
  AND(E4921&lt;&gt;"""", F4921&lt;&gt;"""", N"&amp;"OT(REGEXMATCH(C4921, ""薪資""))), ""內部轉帳(忽略)"",
  REGEXMATCH(C4921, ""薪資""), ""薪資變動(不計入)"",
  REGEXMATCH(C4921, ""押金""), ""押金往來"",
  AND(E4921&lt;&gt;"""", F4921=""""), ""真實支出"",
  AND(E4921="""", F4921&lt;&gt;""""), ""真實收入"",
  TRUE, ""其他""
)"),"真實收入")</f>
        <v>真實收入</v>
      </c>
      <c r="K4921" s="270">
        <f t="shared" si="2"/>
        <v>11700</v>
      </c>
      <c r="L4921">
        <f t="shared" si="3"/>
        <v>0</v>
      </c>
    </row>
    <row r="4922">
      <c r="A4922" s="107">
        <f>IFERROR(__xludf.DUMMYFUNCTION("""COMPUTED_VALUE"""),46055.0)</f>
        <v>46055</v>
      </c>
      <c r="B4922" t="str">
        <f>IFERROR(__xludf.DUMMYFUNCTION("""COMPUTED_VALUE"""),"[內湖CityLink] C 月租金 後五碼:23610 (行號: 24)")</f>
        <v>[內湖CityLink] C 月租金 後五碼:23610 (行號: 24)</v>
      </c>
      <c r="C4922" t="str">
        <f>IFERROR(__xludf.DUMMYFUNCTION("""COMPUTED_VALUE"""),"收入 - 租金")</f>
        <v>收入 - 租金</v>
      </c>
      <c r="D4922" s="270">
        <f>IFERROR(__xludf.DUMMYFUNCTION("""COMPUTED_VALUE"""),12500.0)</f>
        <v>12500</v>
      </c>
      <c r="F4922" t="str">
        <f>IFERROR(__xludf.DUMMYFUNCTION("""COMPUTED_VALUE"""),"玉山帳戶")</f>
        <v>玉山帳戶</v>
      </c>
      <c r="G4922" t="str">
        <f>IFERROR(__xludf.DUMMYFUNCTION("""COMPUTED_VALUE"""),"內湖CityLink")</f>
        <v>內湖CityLink</v>
      </c>
      <c r="H4922" s="106" t="str">
        <f t="shared" si="1"/>
        <v>2026-02</v>
      </c>
      <c r="I4922" s="271" t="str">
        <f>IFERROR(__xludf.DUMMYFUNCTION("""COMPUTED_VALUE"""),"鯰魚大大")</f>
        <v>鯰魚大大</v>
      </c>
      <c r="J4922" t="str">
        <f>IFERROR(__xludf.DUMMYFUNCTION("IFS(
  AND(REGEXMATCH(E4922, ""台銀籌備帳戶|玉山帳戶""), REGEXMATCH(C4922, ""薪資"")), ""分潤支出"",
  AND(REGEXMATCH(E4922, ""Ben帳戶|Elsa帳戶|Ben代墊|Ariel代墊|中信銀行共用""), REGEXMATCH(F4922, ""Ben帳戶|Elsa帳戶|Ben代墊|Ariel代墊|中信銀行共用"")), ""內部轉帳(忽略)"",
  AND(E4922&lt;&gt;"""", F4922&lt;&gt;"""", N"&amp;"OT(REGEXMATCH(C4922, ""薪資""))), ""內部轉帳(忽略)"",
  REGEXMATCH(C4922, ""薪資""), ""薪資變動(不計入)"",
  REGEXMATCH(C4922, ""押金""), ""押金往來"",
  AND(E4922&lt;&gt;"""", F4922=""""), ""真實支出"",
  AND(E4922="""", F4922&lt;&gt;""""), ""真實收入"",
  TRUE, ""其他""
)"),"真實收入")</f>
        <v>真實收入</v>
      </c>
      <c r="K4922" s="270">
        <f t="shared" si="2"/>
        <v>12500</v>
      </c>
      <c r="L4922">
        <f t="shared" si="3"/>
        <v>0</v>
      </c>
    </row>
    <row r="4923">
      <c r="A4923" s="107">
        <f>IFERROR(__xludf.DUMMYFUNCTION("""COMPUTED_VALUE"""),46055.0)</f>
        <v>46055</v>
      </c>
      <c r="B4923" t="str">
        <f>IFERROR(__xludf.DUMMYFUNCTION("""COMPUTED_VALUE"""),"[內湖秘境] B 月租金 後五碼:16545 (行號: 25)")</f>
        <v>[內湖秘境] B 月租金 後五碼:16545 (行號: 25)</v>
      </c>
      <c r="C4923" t="str">
        <f>IFERROR(__xludf.DUMMYFUNCTION("""COMPUTED_VALUE"""),"收入 - 租金")</f>
        <v>收入 - 租金</v>
      </c>
      <c r="D4923" s="270">
        <f>IFERROR(__xludf.DUMMYFUNCTION("""COMPUTED_VALUE"""),12300.0)</f>
        <v>12300</v>
      </c>
      <c r="F4923" t="str">
        <f>IFERROR(__xludf.DUMMYFUNCTION("""COMPUTED_VALUE"""),"玉山帳戶")</f>
        <v>玉山帳戶</v>
      </c>
      <c r="G4923" t="str">
        <f>IFERROR(__xludf.DUMMYFUNCTION("""COMPUTED_VALUE"""),"內湖秘境")</f>
        <v>內湖秘境</v>
      </c>
      <c r="H4923" s="106" t="str">
        <f t="shared" si="1"/>
        <v>2026-02</v>
      </c>
      <c r="I4923" s="271" t="str">
        <f>IFERROR(__xludf.DUMMYFUNCTION("""COMPUTED_VALUE"""),"鯰魚大大")</f>
        <v>鯰魚大大</v>
      </c>
      <c r="J4923" t="str">
        <f>IFERROR(__xludf.DUMMYFUNCTION("IFS(
  AND(REGEXMATCH(E4923, ""台銀籌備帳戶|玉山帳戶""), REGEXMATCH(C4923, ""薪資"")), ""分潤支出"",
  AND(REGEXMATCH(E4923, ""Ben帳戶|Elsa帳戶|Ben代墊|Ariel代墊|中信銀行共用""), REGEXMATCH(F4923, ""Ben帳戶|Elsa帳戶|Ben代墊|Ariel代墊|中信銀行共用"")), ""內部轉帳(忽略)"",
  AND(E4923&lt;&gt;"""", F4923&lt;&gt;"""", N"&amp;"OT(REGEXMATCH(C4923, ""薪資""))), ""內部轉帳(忽略)"",
  REGEXMATCH(C4923, ""薪資""), ""薪資變動(不計入)"",
  REGEXMATCH(C4923, ""押金""), ""押金往來"",
  AND(E4923&lt;&gt;"""", F4923=""""), ""真實支出"",
  AND(E4923="""", F4923&lt;&gt;""""), ""真實收入"",
  TRUE, ""其他""
)"),"真實收入")</f>
        <v>真實收入</v>
      </c>
      <c r="K4923" s="270">
        <f t="shared" si="2"/>
        <v>12300</v>
      </c>
      <c r="L4923">
        <f t="shared" si="3"/>
        <v>0</v>
      </c>
    </row>
    <row r="4924">
      <c r="A4924" s="107">
        <f>IFERROR(__xludf.DUMMYFUNCTION("""COMPUTED_VALUE"""),46055.0)</f>
        <v>46055</v>
      </c>
      <c r="B4924" t="str">
        <f>IFERROR(__xludf.DUMMYFUNCTION("""COMPUTED_VALUE"""),"[內湖CityLink] E 月租金 後五碼:37877 (行號: 26)")</f>
        <v>[內湖CityLink] E 月租金 後五碼:37877 (行號: 26)</v>
      </c>
      <c r="C4924" t="str">
        <f>IFERROR(__xludf.DUMMYFUNCTION("""COMPUTED_VALUE"""),"收入 - 租金")</f>
        <v>收入 - 租金</v>
      </c>
      <c r="D4924" s="270">
        <f>IFERROR(__xludf.DUMMYFUNCTION("""COMPUTED_VALUE"""),13300.0)</f>
        <v>13300</v>
      </c>
      <c r="F4924" t="str">
        <f>IFERROR(__xludf.DUMMYFUNCTION("""COMPUTED_VALUE"""),"玉山帳戶")</f>
        <v>玉山帳戶</v>
      </c>
      <c r="G4924" t="str">
        <f>IFERROR(__xludf.DUMMYFUNCTION("""COMPUTED_VALUE"""),"內湖CityLink")</f>
        <v>內湖CityLink</v>
      </c>
      <c r="H4924" s="106" t="str">
        <f t="shared" si="1"/>
        <v>2026-02</v>
      </c>
      <c r="I4924" s="271" t="str">
        <f>IFERROR(__xludf.DUMMYFUNCTION("""COMPUTED_VALUE"""),"鯰魚大大")</f>
        <v>鯰魚大大</v>
      </c>
      <c r="J4924" t="str">
        <f>IFERROR(__xludf.DUMMYFUNCTION("IFS(
  AND(REGEXMATCH(E4924, ""台銀籌備帳戶|玉山帳戶""), REGEXMATCH(C4924, ""薪資"")), ""分潤支出"",
  AND(REGEXMATCH(E4924, ""Ben帳戶|Elsa帳戶|Ben代墊|Ariel代墊|中信銀行共用""), REGEXMATCH(F4924, ""Ben帳戶|Elsa帳戶|Ben代墊|Ariel代墊|中信銀行共用"")), ""內部轉帳(忽略)"",
  AND(E4924&lt;&gt;"""", F4924&lt;&gt;"""", N"&amp;"OT(REGEXMATCH(C4924, ""薪資""))), ""內部轉帳(忽略)"",
  REGEXMATCH(C4924, ""薪資""), ""薪資變動(不計入)"",
  REGEXMATCH(C4924, ""押金""), ""押金往來"",
  AND(E4924&lt;&gt;"""", F4924=""""), ""真實支出"",
  AND(E4924="""", F4924&lt;&gt;""""), ""真實收入"",
  TRUE, ""其他""
)"),"真實收入")</f>
        <v>真實收入</v>
      </c>
      <c r="K4924" s="270">
        <f t="shared" si="2"/>
        <v>13300</v>
      </c>
      <c r="L4924">
        <f t="shared" si="3"/>
        <v>0</v>
      </c>
    </row>
    <row r="4925">
      <c r="A4925" s="107">
        <f>IFERROR(__xludf.DUMMYFUNCTION("""COMPUTED_VALUE"""),46055.0)</f>
        <v>46055</v>
      </c>
      <c r="B4925" t="str">
        <f>IFERROR(__xludf.DUMMYFUNCTION("""COMPUTED_VALUE"""),"[內湖CityLink] F 月租金 後五碼:65463 (行號: 27)")</f>
        <v>[內湖CityLink] F 月租金 後五碼:65463 (行號: 27)</v>
      </c>
      <c r="C4925" t="str">
        <f>IFERROR(__xludf.DUMMYFUNCTION("""COMPUTED_VALUE"""),"收入 - 租金")</f>
        <v>收入 - 租金</v>
      </c>
      <c r="D4925" s="270">
        <f>IFERROR(__xludf.DUMMYFUNCTION("""COMPUTED_VALUE"""),13300.0)</f>
        <v>13300</v>
      </c>
      <c r="F4925" t="str">
        <f>IFERROR(__xludf.DUMMYFUNCTION("""COMPUTED_VALUE"""),"玉山帳戶")</f>
        <v>玉山帳戶</v>
      </c>
      <c r="G4925" t="str">
        <f>IFERROR(__xludf.DUMMYFUNCTION("""COMPUTED_VALUE"""),"內湖CityLink")</f>
        <v>內湖CityLink</v>
      </c>
      <c r="H4925" s="106" t="str">
        <f t="shared" si="1"/>
        <v>2026-02</v>
      </c>
      <c r="I4925" s="271" t="str">
        <f>IFERROR(__xludf.DUMMYFUNCTION("""COMPUTED_VALUE"""),"鯰魚大大")</f>
        <v>鯰魚大大</v>
      </c>
      <c r="J4925" t="str">
        <f>IFERROR(__xludf.DUMMYFUNCTION("IFS(
  AND(REGEXMATCH(E4925, ""台銀籌備帳戶|玉山帳戶""), REGEXMATCH(C4925, ""薪資"")), ""分潤支出"",
  AND(REGEXMATCH(E4925, ""Ben帳戶|Elsa帳戶|Ben代墊|Ariel代墊|中信銀行共用""), REGEXMATCH(F4925, ""Ben帳戶|Elsa帳戶|Ben代墊|Ariel代墊|中信銀行共用"")), ""內部轉帳(忽略)"",
  AND(E4925&lt;&gt;"""", F4925&lt;&gt;"""", N"&amp;"OT(REGEXMATCH(C4925, ""薪資""))), ""內部轉帳(忽略)"",
  REGEXMATCH(C4925, ""薪資""), ""薪資變動(不計入)"",
  REGEXMATCH(C4925, ""押金""), ""押金往來"",
  AND(E4925&lt;&gt;"""", F4925=""""), ""真實支出"",
  AND(E4925="""", F4925&lt;&gt;""""), ""真實收入"",
  TRUE, ""其他""
)"),"真實收入")</f>
        <v>真實收入</v>
      </c>
      <c r="K4925" s="270">
        <f t="shared" si="2"/>
        <v>13300</v>
      </c>
      <c r="L4925">
        <f t="shared" si="3"/>
        <v>0</v>
      </c>
    </row>
    <row r="4926">
      <c r="A4926" s="107">
        <f>IFERROR(__xludf.DUMMYFUNCTION("""COMPUTED_VALUE"""),46055.0)</f>
        <v>46055</v>
      </c>
      <c r="B4926" t="str">
        <f>IFERROR(__xludf.DUMMYFUNCTION("""COMPUTED_VALUE"""),"[內湖秘境] C 月租金 後五碼:53074 (行號: 28)")</f>
        <v>[內湖秘境] C 月租金 後五碼:53074 (行號: 28)</v>
      </c>
      <c r="C4926" t="str">
        <f>IFERROR(__xludf.DUMMYFUNCTION("""COMPUTED_VALUE"""),"收入 - 租金")</f>
        <v>收入 - 租金</v>
      </c>
      <c r="D4926" s="270">
        <f>IFERROR(__xludf.DUMMYFUNCTION("""COMPUTED_VALUE"""),14800.0)</f>
        <v>14800</v>
      </c>
      <c r="F4926" t="str">
        <f>IFERROR(__xludf.DUMMYFUNCTION("""COMPUTED_VALUE"""),"玉山帳戶")</f>
        <v>玉山帳戶</v>
      </c>
      <c r="G4926" t="str">
        <f>IFERROR(__xludf.DUMMYFUNCTION("""COMPUTED_VALUE"""),"內湖秘境")</f>
        <v>內湖秘境</v>
      </c>
      <c r="H4926" s="106" t="str">
        <f t="shared" si="1"/>
        <v>2026-02</v>
      </c>
      <c r="I4926" s="271" t="str">
        <f>IFERROR(__xludf.DUMMYFUNCTION("""COMPUTED_VALUE"""),"鯰魚大大")</f>
        <v>鯰魚大大</v>
      </c>
      <c r="J4926" t="str">
        <f>IFERROR(__xludf.DUMMYFUNCTION("IFS(
  AND(REGEXMATCH(E4926, ""台銀籌備帳戶|玉山帳戶""), REGEXMATCH(C4926, ""薪資"")), ""分潤支出"",
  AND(REGEXMATCH(E4926, ""Ben帳戶|Elsa帳戶|Ben代墊|Ariel代墊|中信銀行共用""), REGEXMATCH(F4926, ""Ben帳戶|Elsa帳戶|Ben代墊|Ariel代墊|中信銀行共用"")), ""內部轉帳(忽略)"",
  AND(E4926&lt;&gt;"""", F4926&lt;&gt;"""", N"&amp;"OT(REGEXMATCH(C4926, ""薪資""))), ""內部轉帳(忽略)"",
  REGEXMATCH(C4926, ""薪資""), ""薪資變動(不計入)"",
  REGEXMATCH(C4926, ""押金""), ""押金往來"",
  AND(E4926&lt;&gt;"""", F4926=""""), ""真實支出"",
  AND(E4926="""", F4926&lt;&gt;""""), ""真實收入"",
  TRUE, ""其他""
)"),"真實收入")</f>
        <v>真實收入</v>
      </c>
      <c r="K4926" s="270">
        <f t="shared" si="2"/>
        <v>14800</v>
      </c>
      <c r="L4926">
        <f t="shared" si="3"/>
        <v>0</v>
      </c>
    </row>
    <row r="4927">
      <c r="A4927" s="107">
        <f>IFERROR(__xludf.DUMMYFUNCTION("""COMPUTED_VALUE"""),46055.0)</f>
        <v>46055</v>
      </c>
      <c r="B4927" t="str">
        <f>IFERROR(__xludf.DUMMYFUNCTION("""COMPUTED_VALUE"""),"費用 - 匯費 013 (78744)")</f>
        <v>費用 - 匯費 013 (78744)</v>
      </c>
      <c r="C4927" t="str">
        <f>IFERROR(__xludf.DUMMYFUNCTION("""COMPUTED_VALUE"""),"費用 - 匯費")</f>
        <v>費用 - 匯費</v>
      </c>
      <c r="D4927" s="270">
        <f>IFERROR(__xludf.DUMMYFUNCTION("""COMPUTED_VALUE"""),-15.0)</f>
        <v>-15</v>
      </c>
      <c r="E4927" t="str">
        <f>IFERROR(__xludf.DUMMYFUNCTION("""COMPUTED_VALUE"""),"玉山帳戶")</f>
        <v>玉山帳戶</v>
      </c>
      <c r="H4927" s="106" t="str">
        <f t="shared" si="1"/>
        <v>2026-02</v>
      </c>
      <c r="I4927" s="271" t="str">
        <f>IFERROR(__xludf.DUMMYFUNCTION("""COMPUTED_VALUE"""),"鯰魚大大")</f>
        <v>鯰魚大大</v>
      </c>
      <c r="J4927" t="str">
        <f>IFERROR(__xludf.DUMMYFUNCTION("IFS(
  AND(REGEXMATCH(E4927, ""台銀籌備帳戶|玉山帳戶""), REGEXMATCH(C4927, ""薪資"")), ""分潤支出"",
  AND(REGEXMATCH(E4927, ""Ben帳戶|Elsa帳戶|Ben代墊|Ariel代墊|中信銀行共用""), REGEXMATCH(F4927, ""Ben帳戶|Elsa帳戶|Ben代墊|Ariel代墊|中信銀行共用"")), ""內部轉帳(忽略)"",
  AND(E4927&lt;&gt;"""", F4927&lt;&gt;"""", N"&amp;"OT(REGEXMATCH(C4927, ""薪資""))), ""內部轉帳(忽略)"",
  REGEXMATCH(C4927, ""薪資""), ""薪資變動(不計入)"",
  REGEXMATCH(C4927, ""押金""), ""押金往來"",
  AND(E4927&lt;&gt;"""", F4927=""""), ""真實支出"",
  AND(E4927="""", F4927&lt;&gt;""""), ""真實收入"",
  TRUE, ""其他""
)"),"真實支出")</f>
        <v>真實支出</v>
      </c>
      <c r="K4927" s="270">
        <f t="shared" si="2"/>
        <v>-15</v>
      </c>
      <c r="L4927">
        <f t="shared" si="3"/>
        <v>0</v>
      </c>
    </row>
    <row r="4928">
      <c r="A4928" s="107">
        <f>IFERROR(__xludf.DUMMYFUNCTION("""COMPUTED_VALUE"""),46055.0)</f>
        <v>46055</v>
      </c>
      <c r="B4928" t="str">
        <f>IFERROR(__xludf.DUMMYFUNCTION("""COMPUTED_VALUE"""),"[士林和豐] [楊政偉] 大租金")</f>
        <v>[士林和豐] [楊政偉] 大租金</v>
      </c>
      <c r="C4928" t="str">
        <f>IFERROR(__xludf.DUMMYFUNCTION("""COMPUTED_VALUE"""),"成本 - 大租金")</f>
        <v>成本 - 大租金</v>
      </c>
      <c r="D4928" s="270">
        <f>IFERROR(__xludf.DUMMYFUNCTION("""COMPUTED_VALUE"""),-14400.0)</f>
        <v>-14400</v>
      </c>
      <c r="E4928" t="str">
        <f>IFERROR(__xludf.DUMMYFUNCTION("""COMPUTED_VALUE"""),"玉山帳戶")</f>
        <v>玉山帳戶</v>
      </c>
      <c r="G4928" t="str">
        <f>IFERROR(__xludf.DUMMYFUNCTION("""COMPUTED_VALUE"""),"士林和豐")</f>
        <v>士林和豐</v>
      </c>
      <c r="H4928" s="106" t="str">
        <f t="shared" si="1"/>
        <v>2026-02</v>
      </c>
      <c r="I4928" s="271" t="str">
        <f>IFERROR(__xludf.DUMMYFUNCTION("""COMPUTED_VALUE"""),"鯰魚大大")</f>
        <v>鯰魚大大</v>
      </c>
      <c r="J4928" t="str">
        <f>IFERROR(__xludf.DUMMYFUNCTION("IFS(
  AND(REGEXMATCH(E4928, ""台銀籌備帳戶|玉山帳戶""), REGEXMATCH(C4928, ""薪資"")), ""分潤支出"",
  AND(REGEXMATCH(E4928, ""Ben帳戶|Elsa帳戶|Ben代墊|Ariel代墊|中信銀行共用""), REGEXMATCH(F4928, ""Ben帳戶|Elsa帳戶|Ben代墊|Ariel代墊|中信銀行共用"")), ""內部轉帳(忽略)"",
  AND(E4928&lt;&gt;"""", F4928&lt;&gt;"""", N"&amp;"OT(REGEXMATCH(C4928, ""薪資""))), ""內部轉帳(忽略)"",
  REGEXMATCH(C4928, ""薪資""), ""薪資變動(不計入)"",
  REGEXMATCH(C4928, ""押金""), ""押金往來"",
  AND(E4928&lt;&gt;"""", F4928=""""), ""真實支出"",
  AND(E4928="""", F4928&lt;&gt;""""), ""真實收入"",
  TRUE, ""其他""
)"),"真實支出")</f>
        <v>真實支出</v>
      </c>
      <c r="K4928" s="270">
        <f t="shared" si="2"/>
        <v>-14400</v>
      </c>
      <c r="L4928">
        <f t="shared" si="3"/>
        <v>0</v>
      </c>
    </row>
    <row r="4929">
      <c r="A4929" s="107">
        <f>IFERROR(__xludf.DUMMYFUNCTION("""COMPUTED_VALUE"""),46055.0)</f>
        <v>46055</v>
      </c>
      <c r="B4929" t="str">
        <f>IFERROR(__xludf.DUMMYFUNCTION("""COMPUTED_VALUE"""),"費用 - 匯費 012 (53048)")</f>
        <v>費用 - 匯費 012 (53048)</v>
      </c>
      <c r="C4929" t="str">
        <f>IFERROR(__xludf.DUMMYFUNCTION("""COMPUTED_VALUE"""),"費用 - 匯費")</f>
        <v>費用 - 匯費</v>
      </c>
      <c r="D4929" s="270">
        <f>IFERROR(__xludf.DUMMYFUNCTION("""COMPUTED_VALUE"""),-15.0)</f>
        <v>-15</v>
      </c>
      <c r="E4929" t="str">
        <f>IFERROR(__xludf.DUMMYFUNCTION("""COMPUTED_VALUE"""),"玉山帳戶")</f>
        <v>玉山帳戶</v>
      </c>
      <c r="H4929" s="106" t="str">
        <f t="shared" si="1"/>
        <v>2026-02</v>
      </c>
      <c r="I4929" s="271" t="str">
        <f>IFERROR(__xludf.DUMMYFUNCTION("""COMPUTED_VALUE"""),"鯰魚大大")</f>
        <v>鯰魚大大</v>
      </c>
      <c r="J4929" t="str">
        <f>IFERROR(__xludf.DUMMYFUNCTION("IFS(
  AND(REGEXMATCH(E4929, ""台銀籌備帳戶|玉山帳戶""), REGEXMATCH(C4929, ""薪資"")), ""分潤支出"",
  AND(REGEXMATCH(E4929, ""Ben帳戶|Elsa帳戶|Ben代墊|Ariel代墊|中信銀行共用""), REGEXMATCH(F4929, ""Ben帳戶|Elsa帳戶|Ben代墊|Ariel代墊|中信銀行共用"")), ""內部轉帳(忽略)"",
  AND(E4929&lt;&gt;"""", F4929&lt;&gt;"""", N"&amp;"OT(REGEXMATCH(C4929, ""薪資""))), ""內部轉帳(忽略)"",
  REGEXMATCH(C4929, ""薪資""), ""薪資變動(不計入)"",
  REGEXMATCH(C4929, ""押金""), ""押金往來"",
  AND(E4929&lt;&gt;"""", F4929=""""), ""真實支出"",
  AND(E4929="""", F4929&lt;&gt;""""), ""真實收入"",
  TRUE, ""其他""
)"),"真實支出")</f>
        <v>真實支出</v>
      </c>
      <c r="K4929" s="270">
        <f t="shared" si="2"/>
        <v>-15</v>
      </c>
      <c r="L4929">
        <f t="shared" si="3"/>
        <v>0</v>
      </c>
    </row>
    <row r="4930">
      <c r="A4930" s="107">
        <f>IFERROR(__xludf.DUMMYFUNCTION("""COMPUTED_VALUE"""),46055.0)</f>
        <v>46055</v>
      </c>
      <c r="B4930" t="str">
        <f>IFERROR(__xludf.DUMMYFUNCTION("""COMPUTED_VALUE"""),"[內湖秘境] [周佳慧] 大租金")</f>
        <v>[內湖秘境] [周佳慧] 大租金</v>
      </c>
      <c r="C4930" t="str">
        <f>IFERROR(__xludf.DUMMYFUNCTION("""COMPUTED_VALUE"""),"成本 - 大租金")</f>
        <v>成本 - 大租金</v>
      </c>
      <c r="D4930" s="270">
        <f>IFERROR(__xludf.DUMMYFUNCTION("""COMPUTED_VALUE"""),-15000.0)</f>
        <v>-15000</v>
      </c>
      <c r="E4930" t="str">
        <f>IFERROR(__xludf.DUMMYFUNCTION("""COMPUTED_VALUE"""),"玉山帳戶")</f>
        <v>玉山帳戶</v>
      </c>
      <c r="G4930" t="str">
        <f>IFERROR(__xludf.DUMMYFUNCTION("""COMPUTED_VALUE"""),"內湖秘境")</f>
        <v>內湖秘境</v>
      </c>
      <c r="H4930" s="106" t="str">
        <f t="shared" si="1"/>
        <v>2026-02</v>
      </c>
      <c r="I4930" s="271" t="str">
        <f>IFERROR(__xludf.DUMMYFUNCTION("""COMPUTED_VALUE"""),"鯰魚大大")</f>
        <v>鯰魚大大</v>
      </c>
      <c r="J4930" t="str">
        <f>IFERROR(__xludf.DUMMYFUNCTION("IFS(
  AND(REGEXMATCH(E4930, ""台銀籌備帳戶|玉山帳戶""), REGEXMATCH(C4930, ""薪資"")), ""分潤支出"",
  AND(REGEXMATCH(E4930, ""Ben帳戶|Elsa帳戶|Ben代墊|Ariel代墊|中信銀行共用""), REGEXMATCH(F4930, ""Ben帳戶|Elsa帳戶|Ben代墊|Ariel代墊|中信銀行共用"")), ""內部轉帳(忽略)"",
  AND(E4930&lt;&gt;"""", F4930&lt;&gt;"""", N"&amp;"OT(REGEXMATCH(C4930, ""薪資""))), ""內部轉帳(忽略)"",
  REGEXMATCH(C4930, ""薪資""), ""薪資變動(不計入)"",
  REGEXMATCH(C4930, ""押金""), ""押金往來"",
  AND(E4930&lt;&gt;"""", F4930=""""), ""真實支出"",
  AND(E4930="""", F4930&lt;&gt;""""), ""真實收入"",
  TRUE, ""其他""
)"),"真實支出")</f>
        <v>真實支出</v>
      </c>
      <c r="K4930" s="270">
        <f t="shared" si="2"/>
        <v>-15000</v>
      </c>
      <c r="L4930">
        <f t="shared" si="3"/>
        <v>0</v>
      </c>
    </row>
    <row r="4931">
      <c r="A4931" s="107">
        <f>IFERROR(__xludf.DUMMYFUNCTION("""COMPUTED_VALUE"""),46055.0)</f>
        <v>46055</v>
      </c>
      <c r="B4931" t="str">
        <f>IFERROR(__xludf.DUMMYFUNCTION("""COMPUTED_VALUE"""),"費用 - 匯費 700 (84843)")</f>
        <v>費用 - 匯費 700 (84843)</v>
      </c>
      <c r="C4931" t="str">
        <f>IFERROR(__xludf.DUMMYFUNCTION("""COMPUTED_VALUE"""),"費用 - 匯費")</f>
        <v>費用 - 匯費</v>
      </c>
      <c r="D4931" s="270">
        <f>IFERROR(__xludf.DUMMYFUNCTION("""COMPUTED_VALUE"""),-15.0)</f>
        <v>-15</v>
      </c>
      <c r="E4931" t="str">
        <f>IFERROR(__xludf.DUMMYFUNCTION("""COMPUTED_VALUE"""),"玉山帳戶")</f>
        <v>玉山帳戶</v>
      </c>
      <c r="H4931" s="106" t="str">
        <f t="shared" si="1"/>
        <v>2026-02</v>
      </c>
      <c r="I4931" s="271" t="str">
        <f>IFERROR(__xludf.DUMMYFUNCTION("""COMPUTED_VALUE"""),"鯰魚大大")</f>
        <v>鯰魚大大</v>
      </c>
      <c r="J4931" t="str">
        <f>IFERROR(__xludf.DUMMYFUNCTION("IFS(
  AND(REGEXMATCH(E4931, ""台銀籌備帳戶|玉山帳戶""), REGEXMATCH(C4931, ""薪資"")), ""分潤支出"",
  AND(REGEXMATCH(E4931, ""Ben帳戶|Elsa帳戶|Ben代墊|Ariel代墊|中信銀行共用""), REGEXMATCH(F4931, ""Ben帳戶|Elsa帳戶|Ben代墊|Ariel代墊|中信銀行共用"")), ""內部轉帳(忽略)"",
  AND(E4931&lt;&gt;"""", F4931&lt;&gt;"""", N"&amp;"OT(REGEXMATCH(C4931, ""薪資""))), ""內部轉帳(忽略)"",
  REGEXMATCH(C4931, ""薪資""), ""薪資變動(不計入)"",
  REGEXMATCH(C4931, ""押金""), ""押金往來"",
  AND(E4931&lt;&gt;"""", F4931=""""), ""真實支出"",
  AND(E4931="""", F4931&lt;&gt;""""), ""真實收入"",
  TRUE, ""其他""
)"),"真實支出")</f>
        <v>真實支出</v>
      </c>
      <c r="K4931" s="270">
        <f t="shared" si="2"/>
        <v>-15</v>
      </c>
      <c r="L4931">
        <f t="shared" si="3"/>
        <v>0</v>
      </c>
    </row>
    <row r="4932">
      <c r="A4932" s="107">
        <f>IFERROR(__xludf.DUMMYFUNCTION("""COMPUTED_VALUE"""),46055.0)</f>
        <v>46055</v>
      </c>
      <c r="B4932" t="str">
        <f>IFERROR(__xludf.DUMMYFUNCTION("""COMPUTED_VALUE"""),"[內湖秘境] [周佳慧] 大租金")</f>
        <v>[內湖秘境] [周佳慧] 大租金</v>
      </c>
      <c r="C4932" t="str">
        <f>IFERROR(__xludf.DUMMYFUNCTION("""COMPUTED_VALUE"""),"成本 - 大租金")</f>
        <v>成本 - 大租金</v>
      </c>
      <c r="D4932" s="270">
        <f>IFERROR(__xludf.DUMMYFUNCTION("""COMPUTED_VALUE"""),-15000.0)</f>
        <v>-15000</v>
      </c>
      <c r="E4932" t="str">
        <f>IFERROR(__xludf.DUMMYFUNCTION("""COMPUTED_VALUE"""),"玉山帳戶")</f>
        <v>玉山帳戶</v>
      </c>
      <c r="G4932" t="str">
        <f>IFERROR(__xludf.DUMMYFUNCTION("""COMPUTED_VALUE"""),"內湖秘境")</f>
        <v>內湖秘境</v>
      </c>
      <c r="H4932" s="106" t="str">
        <f t="shared" si="1"/>
        <v>2026-02</v>
      </c>
      <c r="I4932" s="271" t="str">
        <f>IFERROR(__xludf.DUMMYFUNCTION("""COMPUTED_VALUE"""),"鯰魚大大")</f>
        <v>鯰魚大大</v>
      </c>
      <c r="J4932" t="str">
        <f>IFERROR(__xludf.DUMMYFUNCTION("IFS(
  AND(REGEXMATCH(E4932, ""台銀籌備帳戶|玉山帳戶""), REGEXMATCH(C4932, ""薪資"")), ""分潤支出"",
  AND(REGEXMATCH(E4932, ""Ben帳戶|Elsa帳戶|Ben代墊|Ariel代墊|中信銀行共用""), REGEXMATCH(F4932, ""Ben帳戶|Elsa帳戶|Ben代墊|Ariel代墊|中信銀行共用"")), ""內部轉帳(忽略)"",
  AND(E4932&lt;&gt;"""", F4932&lt;&gt;"""", N"&amp;"OT(REGEXMATCH(C4932, ""薪資""))), ""內部轉帳(忽略)"",
  REGEXMATCH(C4932, ""薪資""), ""薪資變動(不計入)"",
  REGEXMATCH(C4932, ""押金""), ""押金往來"",
  AND(E4932&lt;&gt;"""", F4932=""""), ""真實支出"",
  AND(E4932="""", F4932&lt;&gt;""""), ""真實收入"",
  TRUE, ""其他""
)"),"真實支出")</f>
        <v>真實支出</v>
      </c>
      <c r="K4932" s="270">
        <f t="shared" si="2"/>
        <v>-15000</v>
      </c>
      <c r="L4932">
        <f t="shared" si="3"/>
        <v>0</v>
      </c>
    </row>
    <row r="4933">
      <c r="A4933" s="107">
        <f>IFERROR(__xludf.DUMMYFUNCTION("""COMPUTED_VALUE"""),46055.0)</f>
        <v>46055</v>
      </c>
      <c r="B4933" t="str">
        <f>IFERROR(__xludf.DUMMYFUNCTION("""COMPUTED_VALUE"""),"費用 - 匯費 810 (77212)")</f>
        <v>費用 - 匯費 810 (77212)</v>
      </c>
      <c r="C4933" t="str">
        <f>IFERROR(__xludf.DUMMYFUNCTION("""COMPUTED_VALUE"""),"費用 - 匯費")</f>
        <v>費用 - 匯費</v>
      </c>
      <c r="D4933" s="270">
        <f>IFERROR(__xludf.DUMMYFUNCTION("""COMPUTED_VALUE"""),-15.0)</f>
        <v>-15</v>
      </c>
      <c r="E4933" t="str">
        <f>IFERROR(__xludf.DUMMYFUNCTION("""COMPUTED_VALUE"""),"玉山帳戶")</f>
        <v>玉山帳戶</v>
      </c>
      <c r="H4933" s="106" t="str">
        <f t="shared" si="1"/>
        <v>2026-02</v>
      </c>
      <c r="I4933" s="271" t="str">
        <f>IFERROR(__xludf.DUMMYFUNCTION("""COMPUTED_VALUE"""),"鯰魚大大")</f>
        <v>鯰魚大大</v>
      </c>
      <c r="J4933" t="str">
        <f>IFERROR(__xludf.DUMMYFUNCTION("IFS(
  AND(REGEXMATCH(E4933, ""台銀籌備帳戶|玉山帳戶""), REGEXMATCH(C4933, ""薪資"")), ""分潤支出"",
  AND(REGEXMATCH(E4933, ""Ben帳戶|Elsa帳戶|Ben代墊|Ariel代墊|中信銀行共用""), REGEXMATCH(F4933, ""Ben帳戶|Elsa帳戶|Ben代墊|Ariel代墊|中信銀行共用"")), ""內部轉帳(忽略)"",
  AND(E4933&lt;&gt;"""", F4933&lt;&gt;"""", N"&amp;"OT(REGEXMATCH(C4933, ""薪資""))), ""內部轉帳(忽略)"",
  REGEXMATCH(C4933, ""薪資""), ""薪資變動(不計入)"",
  REGEXMATCH(C4933, ""押金""), ""押金往來"",
  AND(E4933&lt;&gt;"""", F4933=""""), ""真實支出"",
  AND(E4933="""", F4933&lt;&gt;""""), ""真實收入"",
  TRUE, ""其他""
)"),"真實支出")</f>
        <v>真實支出</v>
      </c>
      <c r="K4933" s="270">
        <f t="shared" si="2"/>
        <v>-15</v>
      </c>
      <c r="L4933">
        <f t="shared" si="3"/>
        <v>0</v>
      </c>
    </row>
    <row r="4934">
      <c r="A4934" s="107">
        <f>IFERROR(__xludf.DUMMYFUNCTION("""COMPUTED_VALUE"""),46055.0)</f>
        <v>46055</v>
      </c>
      <c r="B4934" t="str">
        <f>IFERROR(__xludf.DUMMYFUNCTION("""COMPUTED_VALUE"""),"[內湖秘境] [周佳慧] 大租金")</f>
        <v>[內湖秘境] [周佳慧] 大租金</v>
      </c>
      <c r="C4934" t="str">
        <f>IFERROR(__xludf.DUMMYFUNCTION("""COMPUTED_VALUE"""),"成本 - 大租金")</f>
        <v>成本 - 大租金</v>
      </c>
      <c r="D4934" s="270">
        <f>IFERROR(__xludf.DUMMYFUNCTION("""COMPUTED_VALUE"""),-15000.0)</f>
        <v>-15000</v>
      </c>
      <c r="E4934" t="str">
        <f>IFERROR(__xludf.DUMMYFUNCTION("""COMPUTED_VALUE"""),"玉山帳戶")</f>
        <v>玉山帳戶</v>
      </c>
      <c r="G4934" t="str">
        <f>IFERROR(__xludf.DUMMYFUNCTION("""COMPUTED_VALUE"""),"內湖秘境")</f>
        <v>內湖秘境</v>
      </c>
      <c r="H4934" s="106" t="str">
        <f t="shared" si="1"/>
        <v>2026-02</v>
      </c>
      <c r="I4934" s="271" t="str">
        <f>IFERROR(__xludf.DUMMYFUNCTION("""COMPUTED_VALUE"""),"鯰魚大大")</f>
        <v>鯰魚大大</v>
      </c>
      <c r="J4934" t="str">
        <f>IFERROR(__xludf.DUMMYFUNCTION("IFS(
  AND(REGEXMATCH(E4934, ""台銀籌備帳戶|玉山帳戶""), REGEXMATCH(C4934, ""薪資"")), ""分潤支出"",
  AND(REGEXMATCH(E4934, ""Ben帳戶|Elsa帳戶|Ben代墊|Ariel代墊|中信銀行共用""), REGEXMATCH(F4934, ""Ben帳戶|Elsa帳戶|Ben代墊|Ariel代墊|中信銀行共用"")), ""內部轉帳(忽略)"",
  AND(E4934&lt;&gt;"""", F4934&lt;&gt;"""", N"&amp;"OT(REGEXMATCH(C4934, ""薪資""))), ""內部轉帳(忽略)"",
  REGEXMATCH(C4934, ""薪資""), ""薪資變動(不計入)"",
  REGEXMATCH(C4934, ""押金""), ""押金往來"",
  AND(E4934&lt;&gt;"""", F4934=""""), ""真實支出"",
  AND(E4934="""", F4934&lt;&gt;""""), ""真實收入"",
  TRUE, ""其他""
)"),"真實支出")</f>
        <v>真實支出</v>
      </c>
      <c r="K4934" s="270">
        <f t="shared" si="2"/>
        <v>-15000</v>
      </c>
      <c r="L4934">
        <f t="shared" si="3"/>
        <v>0</v>
      </c>
    </row>
    <row r="4935">
      <c r="A4935" s="107">
        <f>IFERROR(__xludf.DUMMYFUNCTION("""COMPUTED_VALUE"""),46055.0)</f>
        <v>46055</v>
      </c>
      <c r="B4935" t="str">
        <f>IFERROR(__xludf.DUMMYFUNCTION("""COMPUTED_VALUE"""),"費用 - 匯費 012 (68447)")</f>
        <v>費用 - 匯費 012 (68447)</v>
      </c>
      <c r="C4935" t="str">
        <f>IFERROR(__xludf.DUMMYFUNCTION("""COMPUTED_VALUE"""),"費用 - 匯費")</f>
        <v>費用 - 匯費</v>
      </c>
      <c r="D4935" s="270">
        <f>IFERROR(__xludf.DUMMYFUNCTION("""COMPUTED_VALUE"""),-15.0)</f>
        <v>-15</v>
      </c>
      <c r="E4935" t="str">
        <f>IFERROR(__xludf.DUMMYFUNCTION("""COMPUTED_VALUE"""),"玉山帳戶")</f>
        <v>玉山帳戶</v>
      </c>
      <c r="H4935" s="106" t="str">
        <f t="shared" si="1"/>
        <v>2026-02</v>
      </c>
      <c r="I4935" s="271" t="str">
        <f>IFERROR(__xludf.DUMMYFUNCTION("""COMPUTED_VALUE"""),"鯰魚大大")</f>
        <v>鯰魚大大</v>
      </c>
      <c r="J4935" t="str">
        <f>IFERROR(__xludf.DUMMYFUNCTION("IFS(
  AND(REGEXMATCH(E4935, ""台銀籌備帳戶|玉山帳戶""), REGEXMATCH(C4935, ""薪資"")), ""分潤支出"",
  AND(REGEXMATCH(E4935, ""Ben帳戶|Elsa帳戶|Ben代墊|Ariel代墊|中信銀行共用""), REGEXMATCH(F4935, ""Ben帳戶|Elsa帳戶|Ben代墊|Ariel代墊|中信銀行共用"")), ""內部轉帳(忽略)"",
  AND(E4935&lt;&gt;"""", F4935&lt;&gt;"""", N"&amp;"OT(REGEXMATCH(C4935, ""薪資""))), ""內部轉帳(忽略)"",
  REGEXMATCH(C4935, ""薪資""), ""薪資變動(不計入)"",
  REGEXMATCH(C4935, ""押金""), ""押金往來"",
  AND(E4935&lt;&gt;"""", F4935=""""), ""真實支出"",
  AND(E4935="""", F4935&lt;&gt;""""), ""真實收入"",
  TRUE, ""其他""
)"),"真實支出")</f>
        <v>真實支出</v>
      </c>
      <c r="K4935" s="270">
        <f t="shared" si="2"/>
        <v>-15</v>
      </c>
      <c r="L4935">
        <f t="shared" si="3"/>
        <v>0</v>
      </c>
    </row>
    <row r="4936">
      <c r="A4936" s="107">
        <f>IFERROR(__xludf.DUMMYFUNCTION("""COMPUTED_VALUE"""),46055.0)</f>
        <v>46055</v>
      </c>
      <c r="B4936" t="str">
        <f>IFERROR(__xludf.DUMMYFUNCTION("""COMPUTED_VALUE"""),"[行天宮夏野良栗] [沈蕙萱] 大租金")</f>
        <v>[行天宮夏野良栗] [沈蕙萱] 大租金</v>
      </c>
      <c r="C4936" t="str">
        <f>IFERROR(__xludf.DUMMYFUNCTION("""COMPUTED_VALUE"""),"成本 - 大租金")</f>
        <v>成本 - 大租金</v>
      </c>
      <c r="D4936" s="270">
        <f>IFERROR(__xludf.DUMMYFUNCTION("""COMPUTED_VALUE"""),-19900.0)</f>
        <v>-19900</v>
      </c>
      <c r="E4936" t="str">
        <f>IFERROR(__xludf.DUMMYFUNCTION("""COMPUTED_VALUE"""),"玉山帳戶")</f>
        <v>玉山帳戶</v>
      </c>
      <c r="G4936" t="str">
        <f>IFERROR(__xludf.DUMMYFUNCTION("""COMPUTED_VALUE"""),"行天宮夏野良栗")</f>
        <v>行天宮夏野良栗</v>
      </c>
      <c r="H4936" s="106" t="str">
        <f t="shared" si="1"/>
        <v>2026-02</v>
      </c>
      <c r="I4936" s="271" t="str">
        <f>IFERROR(__xludf.DUMMYFUNCTION("""COMPUTED_VALUE"""),"鯰魚大大")</f>
        <v>鯰魚大大</v>
      </c>
      <c r="J4936" t="str">
        <f>IFERROR(__xludf.DUMMYFUNCTION("IFS(
  AND(REGEXMATCH(E4936, ""台銀籌備帳戶|玉山帳戶""), REGEXMATCH(C4936, ""薪資"")), ""分潤支出"",
  AND(REGEXMATCH(E4936, ""Ben帳戶|Elsa帳戶|Ben代墊|Ariel代墊|中信銀行共用""), REGEXMATCH(F4936, ""Ben帳戶|Elsa帳戶|Ben代墊|Ariel代墊|中信銀行共用"")), ""內部轉帳(忽略)"",
  AND(E4936&lt;&gt;"""", F4936&lt;&gt;"""", N"&amp;"OT(REGEXMATCH(C4936, ""薪資""))), ""內部轉帳(忽略)"",
  REGEXMATCH(C4936, ""薪資""), ""薪資變動(不計入)"",
  REGEXMATCH(C4936, ""押金""), ""押金往來"",
  AND(E4936&lt;&gt;"""", F4936=""""), ""真實支出"",
  AND(E4936="""", F4936&lt;&gt;""""), ""真實收入"",
  TRUE, ""其他""
)"),"真實支出")</f>
        <v>真實支出</v>
      </c>
      <c r="K4936" s="270">
        <f t="shared" si="2"/>
        <v>-19900</v>
      </c>
      <c r="L4936">
        <f t="shared" si="3"/>
        <v>0</v>
      </c>
    </row>
    <row r="4937">
      <c r="A4937" s="107">
        <f>IFERROR(__xludf.DUMMYFUNCTION("""COMPUTED_VALUE"""),46055.0)</f>
        <v>46055</v>
      </c>
      <c r="B4937" t="str">
        <f>IFERROR(__xludf.DUMMYFUNCTION("""COMPUTED_VALUE"""),"費用 - 匯費 806 (26435)")</f>
        <v>費用 - 匯費 806 (26435)</v>
      </c>
      <c r="C4937" t="str">
        <f>IFERROR(__xludf.DUMMYFUNCTION("""COMPUTED_VALUE"""),"費用 - 匯費")</f>
        <v>費用 - 匯費</v>
      </c>
      <c r="D4937" s="270">
        <f>IFERROR(__xludf.DUMMYFUNCTION("""COMPUTED_VALUE"""),-15.0)</f>
        <v>-15</v>
      </c>
      <c r="E4937" t="str">
        <f>IFERROR(__xludf.DUMMYFUNCTION("""COMPUTED_VALUE"""),"玉山帳戶")</f>
        <v>玉山帳戶</v>
      </c>
      <c r="H4937" s="106" t="str">
        <f t="shared" si="1"/>
        <v>2026-02</v>
      </c>
      <c r="I4937" s="271" t="str">
        <f>IFERROR(__xludf.DUMMYFUNCTION("""COMPUTED_VALUE"""),"鯰魚大大")</f>
        <v>鯰魚大大</v>
      </c>
      <c r="J4937" t="str">
        <f>IFERROR(__xludf.DUMMYFUNCTION("IFS(
  AND(REGEXMATCH(E4937, ""台銀籌備帳戶|玉山帳戶""), REGEXMATCH(C4937, ""薪資"")), ""分潤支出"",
  AND(REGEXMATCH(E4937, ""Ben帳戶|Elsa帳戶|Ben代墊|Ariel代墊|中信銀行共用""), REGEXMATCH(F4937, ""Ben帳戶|Elsa帳戶|Ben代墊|Ariel代墊|中信銀行共用"")), ""內部轉帳(忽略)"",
  AND(E4937&lt;&gt;"""", F4937&lt;&gt;"""", N"&amp;"OT(REGEXMATCH(C4937, ""薪資""))), ""內部轉帳(忽略)"",
  REGEXMATCH(C4937, ""薪資""), ""薪資變動(不計入)"",
  REGEXMATCH(C4937, ""押金""), ""押金往來"",
  AND(E4937&lt;&gt;"""", F4937=""""), ""真實支出"",
  AND(E4937="""", F4937&lt;&gt;""""), ""真實收入"",
  TRUE, ""其他""
)"),"真實支出")</f>
        <v>真實支出</v>
      </c>
      <c r="K4937" s="270">
        <f t="shared" si="2"/>
        <v>-15</v>
      </c>
      <c r="L4937">
        <f t="shared" si="3"/>
        <v>0</v>
      </c>
    </row>
    <row r="4938">
      <c r="A4938" s="107">
        <f>IFERROR(__xludf.DUMMYFUNCTION("""COMPUTED_VALUE"""),46055.0)</f>
        <v>46055</v>
      </c>
      <c r="B4938" t="str">
        <f>IFERROR(__xludf.DUMMYFUNCTION("""COMPUTED_VALUE"""),"[內湖CityLink] [周佳慧] 大租金")</f>
        <v>[內湖CityLink] [周佳慧] 大租金</v>
      </c>
      <c r="C4938" t="str">
        <f>IFERROR(__xludf.DUMMYFUNCTION("""COMPUTED_VALUE"""),"成本 - 大租金")</f>
        <v>成本 - 大租金</v>
      </c>
      <c r="D4938" s="270">
        <f>IFERROR(__xludf.DUMMYFUNCTION("""COMPUTED_VALUE"""),-16500.0)</f>
        <v>-16500</v>
      </c>
      <c r="E4938" t="str">
        <f>IFERROR(__xludf.DUMMYFUNCTION("""COMPUTED_VALUE"""),"玉山帳戶")</f>
        <v>玉山帳戶</v>
      </c>
      <c r="G4938" t="str">
        <f>IFERROR(__xludf.DUMMYFUNCTION("""COMPUTED_VALUE"""),"內湖CityLink")</f>
        <v>內湖CityLink</v>
      </c>
      <c r="H4938" s="106" t="str">
        <f t="shared" si="1"/>
        <v>2026-02</v>
      </c>
      <c r="I4938" s="271" t="str">
        <f>IFERROR(__xludf.DUMMYFUNCTION("""COMPUTED_VALUE"""),"鯰魚大大")</f>
        <v>鯰魚大大</v>
      </c>
      <c r="J4938" t="str">
        <f>IFERROR(__xludf.DUMMYFUNCTION("IFS(
  AND(REGEXMATCH(E4938, ""台銀籌備帳戶|玉山帳戶""), REGEXMATCH(C4938, ""薪資"")), ""分潤支出"",
  AND(REGEXMATCH(E4938, ""Ben帳戶|Elsa帳戶|Ben代墊|Ariel代墊|中信銀行共用""), REGEXMATCH(F4938, ""Ben帳戶|Elsa帳戶|Ben代墊|Ariel代墊|中信銀行共用"")), ""內部轉帳(忽略)"",
  AND(E4938&lt;&gt;"""", F4938&lt;&gt;"""", N"&amp;"OT(REGEXMATCH(C4938, ""薪資""))), ""內部轉帳(忽略)"",
  REGEXMATCH(C4938, ""薪資""), ""薪資變動(不計入)"",
  REGEXMATCH(C4938, ""押金""), ""押金往來"",
  AND(E4938&lt;&gt;"""", F4938=""""), ""真實支出"",
  AND(E4938="""", F4938&lt;&gt;""""), ""真實收入"",
  TRUE, ""其他""
)"),"真實支出")</f>
        <v>真實支出</v>
      </c>
      <c r="K4938" s="270">
        <f t="shared" si="2"/>
        <v>-16500</v>
      </c>
      <c r="L4938">
        <f t="shared" si="3"/>
        <v>0</v>
      </c>
    </row>
    <row r="4939">
      <c r="A4939" s="107">
        <f>IFERROR(__xludf.DUMMYFUNCTION("""COMPUTED_VALUE"""),46055.0)</f>
        <v>46055</v>
      </c>
      <c r="B4939" t="str">
        <f>IFERROR(__xludf.DUMMYFUNCTION("""COMPUTED_VALUE"""),"[內湖秘境] F 月租金 後五碼:05639 (行號: 35)")</f>
        <v>[內湖秘境] F 月租金 後五碼:05639 (行號: 35)</v>
      </c>
      <c r="C4939" t="str">
        <f>IFERROR(__xludf.DUMMYFUNCTION("""COMPUTED_VALUE"""),"收入 - 租金")</f>
        <v>收入 - 租金</v>
      </c>
      <c r="D4939" s="270">
        <f>IFERROR(__xludf.DUMMYFUNCTION("""COMPUTED_VALUE"""),13500.0)</f>
        <v>13500</v>
      </c>
      <c r="F4939" t="str">
        <f>IFERROR(__xludf.DUMMYFUNCTION("""COMPUTED_VALUE"""),"玉山帳戶")</f>
        <v>玉山帳戶</v>
      </c>
      <c r="G4939" t="str">
        <f>IFERROR(__xludf.DUMMYFUNCTION("""COMPUTED_VALUE"""),"內湖秘境")</f>
        <v>內湖秘境</v>
      </c>
      <c r="H4939" s="106" t="str">
        <f t="shared" si="1"/>
        <v>2026-02</v>
      </c>
      <c r="I4939" s="271" t="str">
        <f>IFERROR(__xludf.DUMMYFUNCTION("""COMPUTED_VALUE"""),"鯰魚大大")</f>
        <v>鯰魚大大</v>
      </c>
      <c r="J4939" t="str">
        <f>IFERROR(__xludf.DUMMYFUNCTION("IFS(
  AND(REGEXMATCH(E4939, ""台銀籌備帳戶|玉山帳戶""), REGEXMATCH(C4939, ""薪資"")), ""分潤支出"",
  AND(REGEXMATCH(E4939, ""Ben帳戶|Elsa帳戶|Ben代墊|Ariel代墊|中信銀行共用""), REGEXMATCH(F4939, ""Ben帳戶|Elsa帳戶|Ben代墊|Ariel代墊|中信銀行共用"")), ""內部轉帳(忽略)"",
  AND(E4939&lt;&gt;"""", F4939&lt;&gt;"""", N"&amp;"OT(REGEXMATCH(C4939, ""薪資""))), ""內部轉帳(忽略)"",
  REGEXMATCH(C4939, ""薪資""), ""薪資變動(不計入)"",
  REGEXMATCH(C4939, ""押金""), ""押金往來"",
  AND(E4939&lt;&gt;"""", F4939=""""), ""真實支出"",
  AND(E4939="""", F4939&lt;&gt;""""), ""真實收入"",
  TRUE, ""其他""
)"),"真實收入")</f>
        <v>真實收入</v>
      </c>
      <c r="K4939" s="270">
        <f t="shared" si="2"/>
        <v>13500</v>
      </c>
      <c r="L4939">
        <f t="shared" si="3"/>
        <v>0</v>
      </c>
    </row>
    <row r="4940">
      <c r="A4940" s="107">
        <f>IFERROR(__xludf.DUMMYFUNCTION("""COMPUTED_VALUE"""),46055.0)</f>
        <v>46055</v>
      </c>
      <c r="B4940" t="str">
        <f>IFERROR(__xludf.DUMMYFUNCTION("""COMPUTED_VALUE"""),"[行天宮夏野良栗] A 月租金 後五碼:29450 (行號: 36)")</f>
        <v>[行天宮夏野良栗] A 月租金 後五碼:29450 (行號: 36)</v>
      </c>
      <c r="C4940" t="str">
        <f>IFERROR(__xludf.DUMMYFUNCTION("""COMPUTED_VALUE"""),"收入 - 租金")</f>
        <v>收入 - 租金</v>
      </c>
      <c r="D4940" s="270">
        <f>IFERROR(__xludf.DUMMYFUNCTION("""COMPUTED_VALUE"""),14200.0)</f>
        <v>14200</v>
      </c>
      <c r="F4940" t="str">
        <f>IFERROR(__xludf.DUMMYFUNCTION("""COMPUTED_VALUE"""),"玉山帳戶")</f>
        <v>玉山帳戶</v>
      </c>
      <c r="G4940" t="str">
        <f>IFERROR(__xludf.DUMMYFUNCTION("""COMPUTED_VALUE"""),"行天宮夏野良栗")</f>
        <v>行天宮夏野良栗</v>
      </c>
      <c r="H4940" s="106" t="str">
        <f t="shared" si="1"/>
        <v>2026-02</v>
      </c>
      <c r="I4940" s="271" t="str">
        <f>IFERROR(__xludf.DUMMYFUNCTION("""COMPUTED_VALUE"""),"鯰魚大大")</f>
        <v>鯰魚大大</v>
      </c>
      <c r="J4940" t="str">
        <f>IFERROR(__xludf.DUMMYFUNCTION("IFS(
  AND(REGEXMATCH(E4940, ""台銀籌備帳戶|玉山帳戶""), REGEXMATCH(C4940, ""薪資"")), ""分潤支出"",
  AND(REGEXMATCH(E4940, ""Ben帳戶|Elsa帳戶|Ben代墊|Ariel代墊|中信銀行共用""), REGEXMATCH(F4940, ""Ben帳戶|Elsa帳戶|Ben代墊|Ariel代墊|中信銀行共用"")), ""內部轉帳(忽略)"",
  AND(E4940&lt;&gt;"""", F4940&lt;&gt;"""", N"&amp;"OT(REGEXMATCH(C4940, ""薪資""))), ""內部轉帳(忽略)"",
  REGEXMATCH(C4940, ""薪資""), ""薪資變動(不計入)"",
  REGEXMATCH(C4940, ""押金""), ""押金往來"",
  AND(E4940&lt;&gt;"""", F4940=""""), ""真實支出"",
  AND(E4940="""", F4940&lt;&gt;""""), ""真實收入"",
  TRUE, ""其他""
)"),"真實收入")</f>
        <v>真實收入</v>
      </c>
      <c r="K4940" s="270">
        <f t="shared" si="2"/>
        <v>14200</v>
      </c>
      <c r="L4940">
        <f t="shared" si="3"/>
        <v>0</v>
      </c>
    </row>
    <row r="4941">
      <c r="A4941" s="107">
        <f>IFERROR(__xludf.DUMMYFUNCTION("""COMPUTED_VALUE"""),46055.0)</f>
        <v>46055</v>
      </c>
      <c r="B4941" t="str">
        <f>IFERROR(__xludf.DUMMYFUNCTION("""COMPUTED_VALUE"""),"[行天宮夏野良栗] C 月租金 後五碼:26146 (行號: 37)")</f>
        <v>[行天宮夏野良栗] C 月租金 後五碼:26146 (行號: 37)</v>
      </c>
      <c r="C4941" t="str">
        <f>IFERROR(__xludf.DUMMYFUNCTION("""COMPUTED_VALUE"""),"收入 - 租金")</f>
        <v>收入 - 租金</v>
      </c>
      <c r="D4941" s="270">
        <f>IFERROR(__xludf.DUMMYFUNCTION("""COMPUTED_VALUE"""),11000.0)</f>
        <v>11000</v>
      </c>
      <c r="F4941" t="str">
        <f>IFERROR(__xludf.DUMMYFUNCTION("""COMPUTED_VALUE"""),"玉山帳戶")</f>
        <v>玉山帳戶</v>
      </c>
      <c r="G4941" t="str">
        <f>IFERROR(__xludf.DUMMYFUNCTION("""COMPUTED_VALUE"""),"行天宮夏野良栗")</f>
        <v>行天宮夏野良栗</v>
      </c>
      <c r="H4941" s="106" t="str">
        <f t="shared" si="1"/>
        <v>2026-02</v>
      </c>
      <c r="I4941" s="271" t="str">
        <f>IFERROR(__xludf.DUMMYFUNCTION("""COMPUTED_VALUE"""),"鯰魚大大")</f>
        <v>鯰魚大大</v>
      </c>
      <c r="J4941" t="str">
        <f>IFERROR(__xludf.DUMMYFUNCTION("IFS(
  AND(REGEXMATCH(E4941, ""台銀籌備帳戶|玉山帳戶""), REGEXMATCH(C4941, ""薪資"")), ""分潤支出"",
  AND(REGEXMATCH(E4941, ""Ben帳戶|Elsa帳戶|Ben代墊|Ariel代墊|中信銀行共用""), REGEXMATCH(F4941, ""Ben帳戶|Elsa帳戶|Ben代墊|Ariel代墊|中信銀行共用"")), ""內部轉帳(忽略)"",
  AND(E4941&lt;&gt;"""", F4941&lt;&gt;"""", N"&amp;"OT(REGEXMATCH(C4941, ""薪資""))), ""內部轉帳(忽略)"",
  REGEXMATCH(C4941, ""薪資""), ""薪資變動(不計入)"",
  REGEXMATCH(C4941, ""押金""), ""押金往來"",
  AND(E4941&lt;&gt;"""", F4941=""""), ""真實支出"",
  AND(E4941="""", F4941&lt;&gt;""""), ""真實收入"",
  TRUE, ""其他""
)"),"真實收入")</f>
        <v>真實收入</v>
      </c>
      <c r="K4941" s="270">
        <f t="shared" si="2"/>
        <v>11000</v>
      </c>
      <c r="L4941">
        <f t="shared" si="3"/>
        <v>0</v>
      </c>
    </row>
    <row r="4942">
      <c r="A4942" s="107">
        <f>IFERROR(__xludf.DUMMYFUNCTION("""COMPUTED_VALUE"""),46055.0)</f>
        <v>46055</v>
      </c>
      <c r="B4942" t="str">
        <f>IFERROR(__xludf.DUMMYFUNCTION("""COMPUTED_VALUE"""),"[內湖CityLink] A 月租金 後五碼:08344 (行號: 38)")</f>
        <v>[內湖CityLink] A 月租金 後五碼:08344 (行號: 38)</v>
      </c>
      <c r="C4942" t="str">
        <f>IFERROR(__xludf.DUMMYFUNCTION("""COMPUTED_VALUE"""),"收入 - 租金")</f>
        <v>收入 - 租金</v>
      </c>
      <c r="D4942" s="270">
        <f>IFERROR(__xludf.DUMMYFUNCTION("""COMPUTED_VALUE"""),14800.0)</f>
        <v>14800</v>
      </c>
      <c r="F4942" t="str">
        <f>IFERROR(__xludf.DUMMYFUNCTION("""COMPUTED_VALUE"""),"玉山帳戶")</f>
        <v>玉山帳戶</v>
      </c>
      <c r="G4942" t="str">
        <f>IFERROR(__xludf.DUMMYFUNCTION("""COMPUTED_VALUE"""),"內湖CityLink")</f>
        <v>內湖CityLink</v>
      </c>
      <c r="H4942" s="106" t="str">
        <f t="shared" si="1"/>
        <v>2026-02</v>
      </c>
      <c r="I4942" s="271" t="str">
        <f>IFERROR(__xludf.DUMMYFUNCTION("""COMPUTED_VALUE"""),"鯰魚大大")</f>
        <v>鯰魚大大</v>
      </c>
      <c r="J4942" t="str">
        <f>IFERROR(__xludf.DUMMYFUNCTION("IFS(
  AND(REGEXMATCH(E4942, ""台銀籌備帳戶|玉山帳戶""), REGEXMATCH(C4942, ""薪資"")), ""分潤支出"",
  AND(REGEXMATCH(E4942, ""Ben帳戶|Elsa帳戶|Ben代墊|Ariel代墊|中信銀行共用""), REGEXMATCH(F4942, ""Ben帳戶|Elsa帳戶|Ben代墊|Ariel代墊|中信銀行共用"")), ""內部轉帳(忽略)"",
  AND(E4942&lt;&gt;"""", F4942&lt;&gt;"""", N"&amp;"OT(REGEXMATCH(C4942, ""薪資""))), ""內部轉帳(忽略)"",
  REGEXMATCH(C4942, ""薪資""), ""薪資變動(不計入)"",
  REGEXMATCH(C4942, ""押金""), ""押金往來"",
  AND(E4942&lt;&gt;"""", F4942=""""), ""真實支出"",
  AND(E4942="""", F4942&lt;&gt;""""), ""真實收入"",
  TRUE, ""其他""
)"),"真實收入")</f>
        <v>真實收入</v>
      </c>
      <c r="K4942" s="270">
        <f t="shared" si="2"/>
        <v>14800</v>
      </c>
      <c r="L4942">
        <f t="shared" si="3"/>
        <v>0</v>
      </c>
    </row>
    <row r="4943">
      <c r="A4943" s="107">
        <f>IFERROR(__xludf.DUMMYFUNCTION("""COMPUTED_VALUE"""),46055.0)</f>
        <v>46055</v>
      </c>
      <c r="B4943" t="str">
        <f>IFERROR(__xludf.DUMMYFUNCTION("""COMPUTED_VALUE"""),"[內湖秘境] E 月租金 後五碼:52052 (行號: 40)")</f>
        <v>[內湖秘境] E 月租金 後五碼:52052 (行號: 40)</v>
      </c>
      <c r="C4943" t="str">
        <f>IFERROR(__xludf.DUMMYFUNCTION("""COMPUTED_VALUE"""),"收入 - 租金")</f>
        <v>收入 - 租金</v>
      </c>
      <c r="D4943" s="270">
        <f>IFERROR(__xludf.DUMMYFUNCTION("""COMPUTED_VALUE"""),13600.0)</f>
        <v>13600</v>
      </c>
      <c r="F4943" t="str">
        <f>IFERROR(__xludf.DUMMYFUNCTION("""COMPUTED_VALUE"""),"玉山帳戶")</f>
        <v>玉山帳戶</v>
      </c>
      <c r="G4943" t="str">
        <f>IFERROR(__xludf.DUMMYFUNCTION("""COMPUTED_VALUE"""),"內湖秘境")</f>
        <v>內湖秘境</v>
      </c>
      <c r="H4943" s="106" t="str">
        <f t="shared" si="1"/>
        <v>2026-02</v>
      </c>
      <c r="I4943" s="271" t="str">
        <f>IFERROR(__xludf.DUMMYFUNCTION("""COMPUTED_VALUE"""),"鯰魚大大")</f>
        <v>鯰魚大大</v>
      </c>
      <c r="J4943" t="str">
        <f>IFERROR(__xludf.DUMMYFUNCTION("IFS(
  AND(REGEXMATCH(E4943, ""台銀籌備帳戶|玉山帳戶""), REGEXMATCH(C4943, ""薪資"")), ""分潤支出"",
  AND(REGEXMATCH(E4943, ""Ben帳戶|Elsa帳戶|Ben代墊|Ariel代墊|中信銀行共用""), REGEXMATCH(F4943, ""Ben帳戶|Elsa帳戶|Ben代墊|Ariel代墊|中信銀行共用"")), ""內部轉帳(忽略)"",
  AND(E4943&lt;&gt;"""", F4943&lt;&gt;"""", N"&amp;"OT(REGEXMATCH(C4943, ""薪資""))), ""內部轉帳(忽略)"",
  REGEXMATCH(C4943, ""薪資""), ""薪資變動(不計入)"",
  REGEXMATCH(C4943, ""押金""), ""押金往來"",
  AND(E4943&lt;&gt;"""", F4943=""""), ""真實支出"",
  AND(E4943="""", F4943&lt;&gt;""""), ""真實收入"",
  TRUE, ""其他""
)"),"真實收入")</f>
        <v>真實收入</v>
      </c>
      <c r="K4943" s="270">
        <f t="shared" si="2"/>
        <v>13600</v>
      </c>
      <c r="L4943">
        <f t="shared" si="3"/>
        <v>0</v>
      </c>
    </row>
    <row r="4944">
      <c r="A4944" s="107">
        <f>IFERROR(__xludf.DUMMYFUNCTION("""COMPUTED_VALUE"""),46058.0)</f>
        <v>46058</v>
      </c>
      <c r="B4944" t="str">
        <f>IFERROR(__xludf.DUMMYFUNCTION("""COMPUTED_VALUE"""),"費用 - 匯費 822 (33337)")</f>
        <v>費用 - 匯費 822 (33337)</v>
      </c>
      <c r="C4944" t="str">
        <f>IFERROR(__xludf.DUMMYFUNCTION("""COMPUTED_VALUE"""),"費用 - 匯費")</f>
        <v>費用 - 匯費</v>
      </c>
      <c r="D4944" s="270">
        <f>IFERROR(__xludf.DUMMYFUNCTION("""COMPUTED_VALUE"""),-15.0)</f>
        <v>-15</v>
      </c>
      <c r="E4944" t="str">
        <f>IFERROR(__xludf.DUMMYFUNCTION("""COMPUTED_VALUE"""),"玉山帳戶")</f>
        <v>玉山帳戶</v>
      </c>
      <c r="H4944" s="106" t="str">
        <f t="shared" si="1"/>
        <v>2026-02</v>
      </c>
      <c r="I4944" s="271" t="str">
        <f>IFERROR(__xludf.DUMMYFUNCTION("""COMPUTED_VALUE"""),"鯰魚大大")</f>
        <v>鯰魚大大</v>
      </c>
      <c r="J4944" t="str">
        <f>IFERROR(__xludf.DUMMYFUNCTION("IFS(
  AND(REGEXMATCH(E4944, ""台銀籌備帳戶|玉山帳戶""), REGEXMATCH(C4944, ""薪資"")), ""分潤支出"",
  AND(REGEXMATCH(E4944, ""Ben帳戶|Elsa帳戶|Ben代墊|Ariel代墊|中信銀行共用""), REGEXMATCH(F4944, ""Ben帳戶|Elsa帳戶|Ben代墊|Ariel代墊|中信銀行共用"")), ""內部轉帳(忽略)"",
  AND(E4944&lt;&gt;"""", F4944&lt;&gt;"""", N"&amp;"OT(REGEXMATCH(C4944, ""薪資""))), ""內部轉帳(忽略)"",
  REGEXMATCH(C4944, ""薪資""), ""薪資變動(不計入)"",
  REGEXMATCH(C4944, ""押金""), ""押金往來"",
  AND(E4944&lt;&gt;"""", F4944=""""), ""真實支出"",
  AND(E4944="""", F4944&lt;&gt;""""), ""真實收入"",
  TRUE, ""其他""
)"),"真實支出")</f>
        <v>真實支出</v>
      </c>
      <c r="K4944" s="270">
        <f t="shared" si="2"/>
        <v>-15</v>
      </c>
      <c r="L4944">
        <f t="shared" si="3"/>
        <v>0</v>
      </c>
    </row>
    <row r="4945">
      <c r="A4945" s="107">
        <f>IFERROR(__xludf.DUMMYFUNCTION("""COMPUTED_VALUE"""),46058.0)</f>
        <v>46058</v>
      </c>
      <c r="B4945" t="str">
        <f>IFERROR(__xludf.DUMMYFUNCTION("""COMPUTED_VALUE"""),"代墊款 【未分類支出】")</f>
        <v>代墊款 【未分類支出】</v>
      </c>
      <c r="C4945" t="str">
        <f>IFERROR(__xludf.DUMMYFUNCTION("""COMPUTED_VALUE"""),"費用 - Salary 薪資")</f>
        <v>費用 - Salary 薪資</v>
      </c>
      <c r="D4945" s="270">
        <f>IFERROR(__xludf.DUMMYFUNCTION("""COMPUTED_VALUE"""),-100000.0)</f>
        <v>-100000</v>
      </c>
      <c r="E4945" t="str">
        <f>IFERROR(__xludf.DUMMYFUNCTION("""COMPUTED_VALUE"""),"玉山帳戶")</f>
        <v>玉山帳戶</v>
      </c>
      <c r="F4945" t="str">
        <f>IFERROR(__xludf.DUMMYFUNCTION("""COMPUTED_VALUE"""),"中信銀行共用")</f>
        <v>中信銀行共用</v>
      </c>
      <c r="H4945" s="106" t="str">
        <f t="shared" si="1"/>
        <v>2026-02</v>
      </c>
      <c r="I4945" s="271" t="str">
        <f>IFERROR(__xludf.DUMMYFUNCTION("""COMPUTED_VALUE"""),"鯰魚大大")</f>
        <v>鯰魚大大</v>
      </c>
      <c r="J4945" t="str">
        <f>IFERROR(__xludf.DUMMYFUNCTION("IFS(
  AND(REGEXMATCH(E4945, ""台銀籌備帳戶|玉山帳戶""), REGEXMATCH(C4945, ""薪資"")), ""分潤支出"",
  AND(REGEXMATCH(E4945, ""Ben帳戶|Elsa帳戶|Ben代墊|Ariel代墊|中信銀行共用""), REGEXMATCH(F4945, ""Ben帳戶|Elsa帳戶|Ben代墊|Ariel代墊|中信銀行共用"")), ""內部轉帳(忽略)"",
  AND(E4945&lt;&gt;"""", F4945&lt;&gt;"""", N"&amp;"OT(REGEXMATCH(C4945, ""薪資""))), ""內部轉帳(忽略)"",
  REGEXMATCH(C4945, ""薪資""), ""薪資變動(不計入)"",
  REGEXMATCH(C4945, ""押金""), ""押金往來"",
  AND(E4945&lt;&gt;"""", F4945=""""), ""真實支出"",
  AND(E4945="""", F4945&lt;&gt;""""), ""真實收入"",
  TRUE, ""其他""
)"),"分潤支出")</f>
        <v>分潤支出</v>
      </c>
      <c r="K4945">
        <f t="shared" si="2"/>
        <v>0</v>
      </c>
      <c r="L4945">
        <f t="shared" si="3"/>
        <v>100000</v>
      </c>
    </row>
    <row r="4946">
      <c r="A4946" s="107">
        <f>IFERROR(__xludf.DUMMYFUNCTION("""COMPUTED_VALUE"""),46058.0)</f>
        <v>46058</v>
      </c>
      <c r="B4946" t="str">
        <f>IFERROR(__xludf.DUMMYFUNCTION("""COMPUTED_VALUE"""),"費用 - 匯費 822 (33337)")</f>
        <v>費用 - 匯費 822 (33337)</v>
      </c>
      <c r="C4946" t="str">
        <f>IFERROR(__xludf.DUMMYFUNCTION("""COMPUTED_VALUE"""),"費用 - 匯費")</f>
        <v>費用 - 匯費</v>
      </c>
      <c r="D4946" s="270">
        <f>IFERROR(__xludf.DUMMYFUNCTION("""COMPUTED_VALUE"""),-15.0)</f>
        <v>-15</v>
      </c>
      <c r="E4946" t="str">
        <f>IFERROR(__xludf.DUMMYFUNCTION("""COMPUTED_VALUE"""),"玉山帳戶")</f>
        <v>玉山帳戶</v>
      </c>
      <c r="H4946" s="106" t="str">
        <f t="shared" si="1"/>
        <v>2026-02</v>
      </c>
      <c r="I4946" s="271" t="str">
        <f>IFERROR(__xludf.DUMMYFUNCTION("""COMPUTED_VALUE"""),"鯰魚大大")</f>
        <v>鯰魚大大</v>
      </c>
      <c r="J4946" t="str">
        <f>IFERROR(__xludf.DUMMYFUNCTION("IFS(
  AND(REGEXMATCH(E4946, ""台銀籌備帳戶|玉山帳戶""), REGEXMATCH(C4946, ""薪資"")), ""分潤支出"",
  AND(REGEXMATCH(E4946, ""Ben帳戶|Elsa帳戶|Ben代墊|Ariel代墊|中信銀行共用""), REGEXMATCH(F4946, ""Ben帳戶|Elsa帳戶|Ben代墊|Ariel代墊|中信銀行共用"")), ""內部轉帳(忽略)"",
  AND(E4946&lt;&gt;"""", F4946&lt;&gt;"""", N"&amp;"OT(REGEXMATCH(C4946, ""薪資""))), ""內部轉帳(忽略)"",
  REGEXMATCH(C4946, ""薪資""), ""薪資變動(不計入)"",
  REGEXMATCH(C4946, ""押金""), ""押金往來"",
  AND(E4946&lt;&gt;"""", F4946=""""), ""真實支出"",
  AND(E4946="""", F4946&lt;&gt;""""), ""真實收入"",
  TRUE, ""其他""
)"),"真實支出")</f>
        <v>真實支出</v>
      </c>
      <c r="K4946" s="270">
        <f t="shared" si="2"/>
        <v>-15</v>
      </c>
      <c r="L4946">
        <f t="shared" si="3"/>
        <v>0</v>
      </c>
    </row>
    <row r="4947">
      <c r="A4947" s="107">
        <f>IFERROR(__xludf.DUMMYFUNCTION("""COMPUTED_VALUE"""),46058.0)</f>
        <v>46058</v>
      </c>
      <c r="B4947" t="str">
        <f>IFERROR(__xludf.DUMMYFUNCTION("""COMPUTED_VALUE"""),"Ben代墊款 【未分類支出】")</f>
        <v>Ben代墊款 【未分類支出】</v>
      </c>
      <c r="C4947" t="str">
        <f>IFERROR(__xludf.DUMMYFUNCTION("""COMPUTED_VALUE"""),"費用 - Salary 薪資")</f>
        <v>費用 - Salary 薪資</v>
      </c>
      <c r="D4947" s="270">
        <f>IFERROR(__xludf.DUMMYFUNCTION("""COMPUTED_VALUE"""),-130000.0)</f>
        <v>-130000</v>
      </c>
      <c r="E4947" t="str">
        <f>IFERROR(__xludf.DUMMYFUNCTION("""COMPUTED_VALUE"""),"玉山帳戶")</f>
        <v>玉山帳戶</v>
      </c>
      <c r="F4947" t="str">
        <f>IFERROR(__xludf.DUMMYFUNCTION("""COMPUTED_VALUE"""),"中信銀行共用")</f>
        <v>中信銀行共用</v>
      </c>
      <c r="H4947" s="106" t="str">
        <f t="shared" si="1"/>
        <v>2026-02</v>
      </c>
      <c r="I4947" s="271" t="str">
        <f>IFERROR(__xludf.DUMMYFUNCTION("""COMPUTED_VALUE"""),"鯰魚大大")</f>
        <v>鯰魚大大</v>
      </c>
      <c r="J4947" t="str">
        <f>IFERROR(__xludf.DUMMYFUNCTION("IFS(
  AND(REGEXMATCH(E4947, ""台銀籌備帳戶|玉山帳戶""), REGEXMATCH(C4947, ""薪資"")), ""分潤支出"",
  AND(REGEXMATCH(E4947, ""Ben帳戶|Elsa帳戶|Ben代墊|Ariel代墊|中信銀行共用""), REGEXMATCH(F4947, ""Ben帳戶|Elsa帳戶|Ben代墊|Ariel代墊|中信銀行共用"")), ""內部轉帳(忽略)"",
  AND(E4947&lt;&gt;"""", F4947&lt;&gt;"""", N"&amp;"OT(REGEXMATCH(C4947, ""薪資""))), ""內部轉帳(忽略)"",
  REGEXMATCH(C4947, ""薪資""), ""薪資變動(不計入)"",
  REGEXMATCH(C4947, ""押金""), ""押金往來"",
  AND(E4947&lt;&gt;"""", F4947=""""), ""真實支出"",
  AND(E4947="""", F4947&lt;&gt;""""), ""真實收入"",
  TRUE, ""其他""
)"),"分潤支出")</f>
        <v>分潤支出</v>
      </c>
      <c r="K4947">
        <f t="shared" si="2"/>
        <v>0</v>
      </c>
      <c r="L4947">
        <f t="shared" si="3"/>
        <v>130000</v>
      </c>
    </row>
    <row r="4948">
      <c r="A4948" s="107"/>
      <c r="D4948" s="270"/>
      <c r="H4948" s="106" t="str">
        <f t="shared" si="1"/>
        <v/>
      </c>
      <c r="I4948" s="271" t="str">
        <f>IFERROR(__xludf.DUMMYFUNCTION("""COMPUTED_VALUE"""),"")</f>
        <v/>
      </c>
      <c r="J4948" t="str">
        <f>IFERROR(__xludf.DUMMYFUNCTION("IFS(
  AND(REGEXMATCH(E4948, ""台銀籌備帳戶|玉山帳戶""), REGEXMATCH(C4948, ""薪資"")), ""分潤支出"",
  AND(REGEXMATCH(E4948, ""Ben帳戶|Elsa帳戶|Ben代墊|Ariel代墊|中信銀行共用""), REGEXMATCH(F4948, ""Ben帳戶|Elsa帳戶|Ben代墊|Ariel代墊|中信銀行共用"")), ""內部轉帳(忽略)"",
  AND(E4948&lt;&gt;"""", F4948&lt;&gt;"""", N"&amp;"OT(REGEXMATCH(C4948, ""薪資""))), ""內部轉帳(忽略)"",
  REGEXMATCH(C4948, ""薪資""), ""薪資變動(不計入)"",
  REGEXMATCH(C4948, ""押金""), ""押金往來"",
  AND(E4948&lt;&gt;"""", F4948=""""), ""真實支出"",
  AND(E4948="""", F4948&lt;&gt;""""), ""真實收入"",
  TRUE, ""其他""
)"),"其他")</f>
        <v>其他</v>
      </c>
      <c r="K4948" s="270" t="str">
        <f t="shared" si="2"/>
        <v/>
      </c>
      <c r="L4948">
        <f t="shared" si="3"/>
        <v>0</v>
      </c>
    </row>
    <row r="4949">
      <c r="A4949" s="107"/>
      <c r="D4949" s="270"/>
      <c r="H4949" s="106" t="str">
        <f t="shared" si="1"/>
        <v/>
      </c>
      <c r="I4949" s="271" t="str">
        <f>IFERROR(__xludf.DUMMYFUNCTION("""COMPUTED_VALUE"""),"")</f>
        <v/>
      </c>
      <c r="J4949" t="str">
        <f>IFERROR(__xludf.DUMMYFUNCTION("IFS(
  AND(REGEXMATCH(E4949, ""台銀籌備帳戶|玉山帳戶""), REGEXMATCH(C4949, ""薪資"")), ""分潤支出"",
  AND(REGEXMATCH(E4949, ""Ben帳戶|Elsa帳戶|Ben代墊|Ariel代墊|中信銀行共用""), REGEXMATCH(F4949, ""Ben帳戶|Elsa帳戶|Ben代墊|Ariel代墊|中信銀行共用"")), ""內部轉帳(忽略)"",
  AND(E4949&lt;&gt;"""", F4949&lt;&gt;"""", N"&amp;"OT(REGEXMATCH(C4949, ""薪資""))), ""內部轉帳(忽略)"",
  REGEXMATCH(C4949, ""薪資""), ""薪資變動(不計入)"",
  REGEXMATCH(C4949, ""押金""), ""押金往來"",
  AND(E4949&lt;&gt;"""", F4949=""""), ""真實支出"",
  AND(E4949="""", F4949&lt;&gt;""""), ""真實收入"",
  TRUE, ""其他""
)"),"其他")</f>
        <v>其他</v>
      </c>
      <c r="K4949" s="270" t="str">
        <f t="shared" si="2"/>
        <v/>
      </c>
      <c r="L4949">
        <f t="shared" si="3"/>
        <v>0</v>
      </c>
    </row>
    <row r="4950">
      <c r="A4950" s="107"/>
      <c r="D4950" s="270"/>
      <c r="H4950" s="106" t="str">
        <f t="shared" si="1"/>
        <v/>
      </c>
      <c r="I4950" s="271" t="str">
        <f>IFERROR(__xludf.DUMMYFUNCTION("""COMPUTED_VALUE"""),"")</f>
        <v/>
      </c>
      <c r="J4950" t="str">
        <f>IFERROR(__xludf.DUMMYFUNCTION("IFS(
  AND(REGEXMATCH(E4950, ""台銀籌備帳戶|玉山帳戶""), REGEXMATCH(C4950, ""薪資"")), ""分潤支出"",
  AND(REGEXMATCH(E4950, ""Ben帳戶|Elsa帳戶|Ben代墊|Ariel代墊|中信銀行共用""), REGEXMATCH(F4950, ""Ben帳戶|Elsa帳戶|Ben代墊|Ariel代墊|中信銀行共用"")), ""內部轉帳(忽略)"",
  AND(E4950&lt;&gt;"""", F4950&lt;&gt;"""", N"&amp;"OT(REGEXMATCH(C4950, ""薪資""))), ""內部轉帳(忽略)"",
  REGEXMATCH(C4950, ""薪資""), ""薪資變動(不計入)"",
  REGEXMATCH(C4950, ""押金""), ""押金往來"",
  AND(E4950&lt;&gt;"""", F4950=""""), ""真實支出"",
  AND(E4950="""", F4950&lt;&gt;""""), ""真實收入"",
  TRUE, ""其他""
)"),"其他")</f>
        <v>其他</v>
      </c>
      <c r="K4950" s="270" t="str">
        <f t="shared" si="2"/>
        <v/>
      </c>
      <c r="L4950">
        <f t="shared" si="3"/>
        <v>0</v>
      </c>
    </row>
    <row r="4951">
      <c r="A4951" s="107"/>
      <c r="D4951" s="270"/>
      <c r="H4951" s="106" t="str">
        <f t="shared" si="1"/>
        <v/>
      </c>
      <c r="I4951" s="271" t="str">
        <f>IFERROR(__xludf.DUMMYFUNCTION("""COMPUTED_VALUE"""),"")</f>
        <v/>
      </c>
      <c r="J4951" t="str">
        <f>IFERROR(__xludf.DUMMYFUNCTION("IFS(
  AND(REGEXMATCH(E4951, ""台銀籌備帳戶|玉山帳戶""), REGEXMATCH(C4951, ""薪資"")), ""分潤支出"",
  AND(REGEXMATCH(E4951, ""Ben帳戶|Elsa帳戶|Ben代墊|Ariel代墊|中信銀行共用""), REGEXMATCH(F4951, ""Ben帳戶|Elsa帳戶|Ben代墊|Ariel代墊|中信銀行共用"")), ""內部轉帳(忽略)"",
  AND(E4951&lt;&gt;"""", F4951&lt;&gt;"""", N"&amp;"OT(REGEXMATCH(C4951, ""薪資""))), ""內部轉帳(忽略)"",
  REGEXMATCH(C4951, ""薪資""), ""薪資變動(不計入)"",
  REGEXMATCH(C4951, ""押金""), ""押金往來"",
  AND(E4951&lt;&gt;"""", F4951=""""), ""真實支出"",
  AND(E4951="""", F4951&lt;&gt;""""), ""真實收入"",
  TRUE, ""其他""
)"),"其他")</f>
        <v>其他</v>
      </c>
      <c r="K4951" s="270" t="str">
        <f t="shared" si="2"/>
        <v/>
      </c>
      <c r="L4951">
        <f t="shared" si="3"/>
        <v>0</v>
      </c>
    </row>
    <row r="4952">
      <c r="A4952" s="107"/>
      <c r="D4952" s="270"/>
      <c r="H4952" s="106" t="str">
        <f t="shared" si="1"/>
        <v/>
      </c>
      <c r="I4952" s="271" t="str">
        <f>IFERROR(__xludf.DUMMYFUNCTION("""COMPUTED_VALUE"""),"")</f>
        <v/>
      </c>
      <c r="J4952" t="str">
        <f>IFERROR(__xludf.DUMMYFUNCTION("IFS(
  AND(REGEXMATCH(E4952, ""台銀籌備帳戶|玉山帳戶""), REGEXMATCH(C4952, ""薪資"")), ""分潤支出"",
  AND(REGEXMATCH(E4952, ""Ben帳戶|Elsa帳戶|Ben代墊|Ariel代墊|中信銀行共用""), REGEXMATCH(F4952, ""Ben帳戶|Elsa帳戶|Ben代墊|Ariel代墊|中信銀行共用"")), ""內部轉帳(忽略)"",
  AND(E4952&lt;&gt;"""", F4952&lt;&gt;"""", N"&amp;"OT(REGEXMATCH(C4952, ""薪資""))), ""內部轉帳(忽略)"",
  REGEXMATCH(C4952, ""薪資""), ""薪資變動(不計入)"",
  REGEXMATCH(C4952, ""押金""), ""押金往來"",
  AND(E4952&lt;&gt;"""", F4952=""""), ""真實支出"",
  AND(E4952="""", F4952&lt;&gt;""""), ""真實收入"",
  TRUE, ""其他""
)"),"其他")</f>
        <v>其他</v>
      </c>
      <c r="K4952" s="270" t="str">
        <f t="shared" si="2"/>
        <v/>
      </c>
      <c r="L4952">
        <f t="shared" si="3"/>
        <v>0</v>
      </c>
    </row>
    <row r="4953">
      <c r="A4953" s="107"/>
      <c r="D4953" s="270"/>
      <c r="H4953" s="106" t="str">
        <f t="shared" si="1"/>
        <v/>
      </c>
      <c r="I4953" s="271" t="str">
        <f>IFERROR(__xludf.DUMMYFUNCTION("""COMPUTED_VALUE"""),"")</f>
        <v/>
      </c>
      <c r="J4953" t="str">
        <f>IFERROR(__xludf.DUMMYFUNCTION("IFS(
  AND(REGEXMATCH(E4953, ""台銀籌備帳戶|玉山帳戶""), REGEXMATCH(C4953, ""薪資"")), ""分潤支出"",
  AND(REGEXMATCH(E4953, ""Ben帳戶|Elsa帳戶|Ben代墊|Ariel代墊|中信銀行共用""), REGEXMATCH(F4953, ""Ben帳戶|Elsa帳戶|Ben代墊|Ariel代墊|中信銀行共用"")), ""內部轉帳(忽略)"",
  AND(E4953&lt;&gt;"""", F4953&lt;&gt;"""", N"&amp;"OT(REGEXMATCH(C4953, ""薪資""))), ""內部轉帳(忽略)"",
  REGEXMATCH(C4953, ""薪資""), ""薪資變動(不計入)"",
  REGEXMATCH(C4953, ""押金""), ""押金往來"",
  AND(E4953&lt;&gt;"""", F4953=""""), ""真實支出"",
  AND(E4953="""", F4953&lt;&gt;""""), ""真實收入"",
  TRUE, ""其他""
)"),"其他")</f>
        <v>其他</v>
      </c>
      <c r="K4953" s="270" t="str">
        <f t="shared" si="2"/>
        <v/>
      </c>
      <c r="L4953">
        <f t="shared" si="3"/>
        <v>0</v>
      </c>
    </row>
    <row r="4954">
      <c r="A4954" s="107"/>
      <c r="D4954" s="270"/>
      <c r="H4954" s="106" t="str">
        <f t="shared" si="1"/>
        <v/>
      </c>
      <c r="I4954" s="271" t="str">
        <f>IFERROR(__xludf.DUMMYFUNCTION("""COMPUTED_VALUE"""),"")</f>
        <v/>
      </c>
      <c r="J4954" t="str">
        <f>IFERROR(__xludf.DUMMYFUNCTION("IFS(
  AND(REGEXMATCH(E4954, ""台銀籌備帳戶|玉山帳戶""), REGEXMATCH(C4954, ""薪資"")), ""分潤支出"",
  AND(REGEXMATCH(E4954, ""Ben帳戶|Elsa帳戶|Ben代墊|Ariel代墊|中信銀行共用""), REGEXMATCH(F4954, ""Ben帳戶|Elsa帳戶|Ben代墊|Ariel代墊|中信銀行共用"")), ""內部轉帳(忽略)"",
  AND(E4954&lt;&gt;"""", F4954&lt;&gt;"""", N"&amp;"OT(REGEXMATCH(C4954, ""薪資""))), ""內部轉帳(忽略)"",
  REGEXMATCH(C4954, ""薪資""), ""薪資變動(不計入)"",
  REGEXMATCH(C4954, ""押金""), ""押金往來"",
  AND(E4954&lt;&gt;"""", F4954=""""), ""真實支出"",
  AND(E4954="""", F4954&lt;&gt;""""), ""真實收入"",
  TRUE, ""其他""
)"),"其他")</f>
        <v>其他</v>
      </c>
      <c r="K4954" s="270" t="str">
        <f t="shared" si="2"/>
        <v/>
      </c>
      <c r="L4954">
        <f t="shared" si="3"/>
        <v>0</v>
      </c>
    </row>
    <row r="4955">
      <c r="A4955" s="107"/>
      <c r="D4955" s="270"/>
      <c r="H4955" s="106" t="str">
        <f t="shared" si="1"/>
        <v/>
      </c>
      <c r="I4955" s="271" t="str">
        <f>IFERROR(__xludf.DUMMYFUNCTION("""COMPUTED_VALUE"""),"")</f>
        <v/>
      </c>
      <c r="J4955" t="str">
        <f>IFERROR(__xludf.DUMMYFUNCTION("IFS(
  AND(REGEXMATCH(E4955, ""台銀籌備帳戶|玉山帳戶""), REGEXMATCH(C4955, ""薪資"")), ""分潤支出"",
  AND(REGEXMATCH(E4955, ""Ben帳戶|Elsa帳戶|Ben代墊|Ariel代墊|中信銀行共用""), REGEXMATCH(F4955, ""Ben帳戶|Elsa帳戶|Ben代墊|Ariel代墊|中信銀行共用"")), ""內部轉帳(忽略)"",
  AND(E4955&lt;&gt;"""", F4955&lt;&gt;"""", N"&amp;"OT(REGEXMATCH(C4955, ""薪資""))), ""內部轉帳(忽略)"",
  REGEXMATCH(C4955, ""薪資""), ""薪資變動(不計入)"",
  REGEXMATCH(C4955, ""押金""), ""押金往來"",
  AND(E4955&lt;&gt;"""", F4955=""""), ""真實支出"",
  AND(E4955="""", F4955&lt;&gt;""""), ""真實收入"",
  TRUE, ""其他""
)"),"其他")</f>
        <v>其他</v>
      </c>
      <c r="K4955" s="270" t="str">
        <f t="shared" si="2"/>
        <v/>
      </c>
      <c r="L4955">
        <f t="shared" si="3"/>
        <v>0</v>
      </c>
    </row>
    <row r="4956">
      <c r="A4956" s="107"/>
      <c r="D4956" s="270"/>
      <c r="H4956" s="106" t="str">
        <f t="shared" si="1"/>
        <v/>
      </c>
      <c r="I4956" s="271" t="str">
        <f>IFERROR(__xludf.DUMMYFUNCTION("""COMPUTED_VALUE"""),"")</f>
        <v/>
      </c>
      <c r="J4956" t="str">
        <f>IFERROR(__xludf.DUMMYFUNCTION("IFS(
  AND(REGEXMATCH(E4956, ""台銀籌備帳戶|玉山帳戶""), REGEXMATCH(C4956, ""薪資"")), ""分潤支出"",
  AND(REGEXMATCH(E4956, ""Ben帳戶|Elsa帳戶|Ben代墊|Ariel代墊|中信銀行共用""), REGEXMATCH(F4956, ""Ben帳戶|Elsa帳戶|Ben代墊|Ariel代墊|中信銀行共用"")), ""內部轉帳(忽略)"",
  AND(E4956&lt;&gt;"""", F4956&lt;&gt;"""", N"&amp;"OT(REGEXMATCH(C4956, ""薪資""))), ""內部轉帳(忽略)"",
  REGEXMATCH(C4956, ""薪資""), ""薪資變動(不計入)"",
  REGEXMATCH(C4956, ""押金""), ""押金往來"",
  AND(E4956&lt;&gt;"""", F4956=""""), ""真實支出"",
  AND(E4956="""", F4956&lt;&gt;""""), ""真實收入"",
  TRUE, ""其他""
)"),"其他")</f>
        <v>其他</v>
      </c>
      <c r="K4956" s="270" t="str">
        <f t="shared" si="2"/>
        <v/>
      </c>
      <c r="L4956">
        <f t="shared" si="3"/>
        <v>0</v>
      </c>
    </row>
    <row r="4957">
      <c r="A4957" s="107"/>
      <c r="D4957" s="270"/>
      <c r="H4957" s="106" t="str">
        <f t="shared" si="1"/>
        <v/>
      </c>
      <c r="I4957" s="271" t="str">
        <f>IFERROR(__xludf.DUMMYFUNCTION("""COMPUTED_VALUE"""),"")</f>
        <v/>
      </c>
      <c r="J4957" t="str">
        <f>IFERROR(__xludf.DUMMYFUNCTION("IFS(
  AND(REGEXMATCH(E4957, ""台銀籌備帳戶|玉山帳戶""), REGEXMATCH(C4957, ""薪資"")), ""分潤支出"",
  AND(REGEXMATCH(E4957, ""Ben帳戶|Elsa帳戶|Ben代墊|Ariel代墊|中信銀行共用""), REGEXMATCH(F4957, ""Ben帳戶|Elsa帳戶|Ben代墊|Ariel代墊|中信銀行共用"")), ""內部轉帳(忽略)"",
  AND(E4957&lt;&gt;"""", F4957&lt;&gt;"""", N"&amp;"OT(REGEXMATCH(C4957, ""薪資""))), ""內部轉帳(忽略)"",
  REGEXMATCH(C4957, ""薪資""), ""薪資變動(不計入)"",
  REGEXMATCH(C4957, ""押金""), ""押金往來"",
  AND(E4957&lt;&gt;"""", F4957=""""), ""真實支出"",
  AND(E4957="""", F4957&lt;&gt;""""), ""真實收入"",
  TRUE, ""其他""
)"),"其他")</f>
        <v>其他</v>
      </c>
      <c r="K4957" s="270" t="str">
        <f t="shared" si="2"/>
        <v/>
      </c>
      <c r="L4957">
        <f t="shared" si="3"/>
        <v>0</v>
      </c>
    </row>
    <row r="4958">
      <c r="A4958" s="107"/>
      <c r="D4958" s="270"/>
      <c r="H4958" s="106" t="str">
        <f t="shared" si="1"/>
        <v/>
      </c>
      <c r="I4958" s="271" t="str">
        <f>IFERROR(__xludf.DUMMYFUNCTION("""COMPUTED_VALUE"""),"")</f>
        <v/>
      </c>
      <c r="J4958" t="str">
        <f>IFERROR(__xludf.DUMMYFUNCTION("IFS(
  AND(REGEXMATCH(E4958, ""台銀籌備帳戶|玉山帳戶""), REGEXMATCH(C4958, ""薪資"")), ""分潤支出"",
  AND(REGEXMATCH(E4958, ""Ben帳戶|Elsa帳戶|Ben代墊|Ariel代墊|中信銀行共用""), REGEXMATCH(F4958, ""Ben帳戶|Elsa帳戶|Ben代墊|Ariel代墊|中信銀行共用"")), ""內部轉帳(忽略)"",
  AND(E4958&lt;&gt;"""", F4958&lt;&gt;"""", N"&amp;"OT(REGEXMATCH(C4958, ""薪資""))), ""內部轉帳(忽略)"",
  REGEXMATCH(C4958, ""薪資""), ""薪資變動(不計入)"",
  REGEXMATCH(C4958, ""押金""), ""押金往來"",
  AND(E4958&lt;&gt;"""", F4958=""""), ""真實支出"",
  AND(E4958="""", F4958&lt;&gt;""""), ""真實收入"",
  TRUE, ""其他""
)"),"其他")</f>
        <v>其他</v>
      </c>
      <c r="K4958" s="270" t="str">
        <f t="shared" si="2"/>
        <v/>
      </c>
      <c r="L4958">
        <f t="shared" si="3"/>
        <v>0</v>
      </c>
    </row>
    <row r="4959">
      <c r="A4959" s="107"/>
      <c r="D4959" s="270"/>
      <c r="H4959" s="106" t="str">
        <f t="shared" si="1"/>
        <v/>
      </c>
      <c r="I4959" s="271" t="str">
        <f>IFERROR(__xludf.DUMMYFUNCTION("""COMPUTED_VALUE"""),"")</f>
        <v/>
      </c>
      <c r="J4959" t="str">
        <f>IFERROR(__xludf.DUMMYFUNCTION("IFS(
  AND(REGEXMATCH(E4959, ""台銀籌備帳戶|玉山帳戶""), REGEXMATCH(C4959, ""薪資"")), ""分潤支出"",
  AND(REGEXMATCH(E4959, ""Ben帳戶|Elsa帳戶|Ben代墊|Ariel代墊|中信銀行共用""), REGEXMATCH(F4959, ""Ben帳戶|Elsa帳戶|Ben代墊|Ariel代墊|中信銀行共用"")), ""內部轉帳(忽略)"",
  AND(E4959&lt;&gt;"""", F4959&lt;&gt;"""", N"&amp;"OT(REGEXMATCH(C4959, ""薪資""))), ""內部轉帳(忽略)"",
  REGEXMATCH(C4959, ""薪資""), ""薪資變動(不計入)"",
  REGEXMATCH(C4959, ""押金""), ""押金往來"",
  AND(E4959&lt;&gt;"""", F4959=""""), ""真實支出"",
  AND(E4959="""", F4959&lt;&gt;""""), ""真實收入"",
  TRUE, ""其他""
)"),"其他")</f>
        <v>其他</v>
      </c>
      <c r="K4959" s="270" t="str">
        <f t="shared" si="2"/>
        <v/>
      </c>
      <c r="L4959">
        <f t="shared" si="3"/>
        <v>0</v>
      </c>
    </row>
    <row r="4960">
      <c r="A4960" s="107"/>
      <c r="D4960" s="270"/>
      <c r="H4960" s="106" t="str">
        <f t="shared" si="1"/>
        <v/>
      </c>
      <c r="I4960" s="271" t="str">
        <f>IFERROR(__xludf.DUMMYFUNCTION("""COMPUTED_VALUE"""),"")</f>
        <v/>
      </c>
      <c r="J4960" t="str">
        <f>IFERROR(__xludf.DUMMYFUNCTION("IFS(
  AND(REGEXMATCH(E4960, ""台銀籌備帳戶|玉山帳戶""), REGEXMATCH(C4960, ""薪資"")), ""分潤支出"",
  AND(REGEXMATCH(E4960, ""Ben帳戶|Elsa帳戶|Ben代墊|Ariel代墊|中信銀行共用""), REGEXMATCH(F4960, ""Ben帳戶|Elsa帳戶|Ben代墊|Ariel代墊|中信銀行共用"")), ""內部轉帳(忽略)"",
  AND(E4960&lt;&gt;"""", F4960&lt;&gt;"""", N"&amp;"OT(REGEXMATCH(C4960, ""薪資""))), ""內部轉帳(忽略)"",
  REGEXMATCH(C4960, ""薪資""), ""薪資變動(不計入)"",
  REGEXMATCH(C4960, ""押金""), ""押金往來"",
  AND(E4960&lt;&gt;"""", F4960=""""), ""真實支出"",
  AND(E4960="""", F4960&lt;&gt;""""), ""真實收入"",
  TRUE, ""其他""
)"),"其他")</f>
        <v>其他</v>
      </c>
      <c r="K4960" s="270" t="str">
        <f t="shared" si="2"/>
        <v/>
      </c>
      <c r="L4960">
        <f t="shared" si="3"/>
        <v>0</v>
      </c>
    </row>
    <row r="4961">
      <c r="A4961" s="107"/>
      <c r="D4961" s="270"/>
      <c r="H4961" s="106" t="str">
        <f t="shared" si="1"/>
        <v/>
      </c>
      <c r="I4961" s="271" t="str">
        <f>IFERROR(__xludf.DUMMYFUNCTION("""COMPUTED_VALUE"""),"")</f>
        <v/>
      </c>
      <c r="J4961" t="str">
        <f>IFERROR(__xludf.DUMMYFUNCTION("IFS(
  AND(REGEXMATCH(E4961, ""台銀籌備帳戶|玉山帳戶""), REGEXMATCH(C4961, ""薪資"")), ""分潤支出"",
  AND(REGEXMATCH(E4961, ""Ben帳戶|Elsa帳戶|Ben代墊|Ariel代墊|中信銀行共用""), REGEXMATCH(F4961, ""Ben帳戶|Elsa帳戶|Ben代墊|Ariel代墊|中信銀行共用"")), ""內部轉帳(忽略)"",
  AND(E4961&lt;&gt;"""", F4961&lt;&gt;"""", N"&amp;"OT(REGEXMATCH(C4961, ""薪資""))), ""內部轉帳(忽略)"",
  REGEXMATCH(C4961, ""薪資""), ""薪資變動(不計入)"",
  REGEXMATCH(C4961, ""押金""), ""押金往來"",
  AND(E4961&lt;&gt;"""", F4961=""""), ""真實支出"",
  AND(E4961="""", F4961&lt;&gt;""""), ""真實收入"",
  TRUE, ""其他""
)"),"其他")</f>
        <v>其他</v>
      </c>
      <c r="K4961" s="270" t="str">
        <f t="shared" si="2"/>
        <v/>
      </c>
      <c r="L4961">
        <f t="shared" si="3"/>
        <v>0</v>
      </c>
    </row>
    <row r="4962">
      <c r="A4962" s="107"/>
      <c r="D4962" s="270"/>
      <c r="H4962" s="106" t="str">
        <f t="shared" si="1"/>
        <v/>
      </c>
      <c r="I4962" s="271" t="str">
        <f>IFERROR(__xludf.DUMMYFUNCTION("""COMPUTED_VALUE"""),"")</f>
        <v/>
      </c>
      <c r="J4962" t="str">
        <f>IFERROR(__xludf.DUMMYFUNCTION("IFS(
  AND(REGEXMATCH(E4962, ""台銀籌備帳戶|玉山帳戶""), REGEXMATCH(C4962, ""薪資"")), ""分潤支出"",
  AND(REGEXMATCH(E4962, ""Ben帳戶|Elsa帳戶|Ben代墊|Ariel代墊|中信銀行共用""), REGEXMATCH(F4962, ""Ben帳戶|Elsa帳戶|Ben代墊|Ariel代墊|中信銀行共用"")), ""內部轉帳(忽略)"",
  AND(E4962&lt;&gt;"""", F4962&lt;&gt;"""", N"&amp;"OT(REGEXMATCH(C4962, ""薪資""))), ""內部轉帳(忽略)"",
  REGEXMATCH(C4962, ""薪資""), ""薪資變動(不計入)"",
  REGEXMATCH(C4962, ""押金""), ""押金往來"",
  AND(E4962&lt;&gt;"""", F4962=""""), ""真實支出"",
  AND(E4962="""", F4962&lt;&gt;""""), ""真實收入"",
  TRUE, ""其他""
)"),"其他")</f>
        <v>其他</v>
      </c>
      <c r="K4962" s="270" t="str">
        <f t="shared" si="2"/>
        <v/>
      </c>
      <c r="L4962">
        <f t="shared" si="3"/>
        <v>0</v>
      </c>
    </row>
    <row r="4963">
      <c r="A4963" s="107"/>
      <c r="D4963" s="270"/>
      <c r="H4963" s="106" t="str">
        <f t="shared" si="1"/>
        <v/>
      </c>
      <c r="I4963" s="271" t="str">
        <f>IFERROR(__xludf.DUMMYFUNCTION("""COMPUTED_VALUE"""),"")</f>
        <v/>
      </c>
      <c r="J4963" t="str">
        <f>IFERROR(__xludf.DUMMYFUNCTION("IFS(
  AND(REGEXMATCH(E4963, ""台銀籌備帳戶|玉山帳戶""), REGEXMATCH(C4963, ""薪資"")), ""分潤支出"",
  AND(REGEXMATCH(E4963, ""Ben帳戶|Elsa帳戶|Ben代墊|Ariel代墊|中信銀行共用""), REGEXMATCH(F4963, ""Ben帳戶|Elsa帳戶|Ben代墊|Ariel代墊|中信銀行共用"")), ""內部轉帳(忽略)"",
  AND(E4963&lt;&gt;"""", F4963&lt;&gt;"""", N"&amp;"OT(REGEXMATCH(C4963, ""薪資""))), ""內部轉帳(忽略)"",
  REGEXMATCH(C4963, ""薪資""), ""薪資變動(不計入)"",
  REGEXMATCH(C4963, ""押金""), ""押金往來"",
  AND(E4963&lt;&gt;"""", F4963=""""), ""真實支出"",
  AND(E4963="""", F4963&lt;&gt;""""), ""真實收入"",
  TRUE, ""其他""
)"),"其他")</f>
        <v>其他</v>
      </c>
      <c r="K4963" s="270" t="str">
        <f t="shared" si="2"/>
        <v/>
      </c>
      <c r="L4963">
        <f t="shared" si="3"/>
        <v>0</v>
      </c>
    </row>
    <row r="4964">
      <c r="A4964" s="107"/>
      <c r="D4964" s="270"/>
      <c r="H4964" s="106" t="str">
        <f t="shared" si="1"/>
        <v/>
      </c>
      <c r="I4964" s="271" t="str">
        <f>IFERROR(__xludf.DUMMYFUNCTION("""COMPUTED_VALUE"""),"")</f>
        <v/>
      </c>
      <c r="J4964" t="str">
        <f>IFERROR(__xludf.DUMMYFUNCTION("IFS(
  AND(REGEXMATCH(E4964, ""台銀籌備帳戶|玉山帳戶""), REGEXMATCH(C4964, ""薪資"")), ""分潤支出"",
  AND(REGEXMATCH(E4964, ""Ben帳戶|Elsa帳戶|Ben代墊|Ariel代墊|中信銀行共用""), REGEXMATCH(F4964, ""Ben帳戶|Elsa帳戶|Ben代墊|Ariel代墊|中信銀行共用"")), ""內部轉帳(忽略)"",
  AND(E4964&lt;&gt;"""", F4964&lt;&gt;"""", N"&amp;"OT(REGEXMATCH(C4964, ""薪資""))), ""內部轉帳(忽略)"",
  REGEXMATCH(C4964, ""薪資""), ""薪資變動(不計入)"",
  REGEXMATCH(C4964, ""押金""), ""押金往來"",
  AND(E4964&lt;&gt;"""", F4964=""""), ""真實支出"",
  AND(E4964="""", F4964&lt;&gt;""""), ""真實收入"",
  TRUE, ""其他""
)"),"其他")</f>
        <v>其他</v>
      </c>
      <c r="K4964" s="270" t="str">
        <f t="shared" si="2"/>
        <v/>
      </c>
      <c r="L4964">
        <f t="shared" si="3"/>
        <v>0</v>
      </c>
    </row>
    <row r="4965">
      <c r="A4965" s="107"/>
      <c r="D4965" s="270"/>
      <c r="H4965" s="106" t="str">
        <f t="shared" si="1"/>
        <v/>
      </c>
      <c r="I4965" s="271" t="str">
        <f>IFERROR(__xludf.DUMMYFUNCTION("""COMPUTED_VALUE"""),"")</f>
        <v/>
      </c>
      <c r="J4965" t="str">
        <f>IFERROR(__xludf.DUMMYFUNCTION("IFS(
  AND(REGEXMATCH(E4965, ""台銀籌備帳戶|玉山帳戶""), REGEXMATCH(C4965, ""薪資"")), ""分潤支出"",
  AND(REGEXMATCH(E4965, ""Ben帳戶|Elsa帳戶|Ben代墊|Ariel代墊|中信銀行共用""), REGEXMATCH(F4965, ""Ben帳戶|Elsa帳戶|Ben代墊|Ariel代墊|中信銀行共用"")), ""內部轉帳(忽略)"",
  AND(E4965&lt;&gt;"""", F4965&lt;&gt;"""", N"&amp;"OT(REGEXMATCH(C4965, ""薪資""))), ""內部轉帳(忽略)"",
  REGEXMATCH(C4965, ""薪資""), ""薪資變動(不計入)"",
  REGEXMATCH(C4965, ""押金""), ""押金往來"",
  AND(E4965&lt;&gt;"""", F4965=""""), ""真實支出"",
  AND(E4965="""", F4965&lt;&gt;""""), ""真實收入"",
  TRUE, ""其他""
)"),"其他")</f>
        <v>其他</v>
      </c>
      <c r="K4965" s="270" t="str">
        <f t="shared" si="2"/>
        <v/>
      </c>
      <c r="L4965">
        <f t="shared" si="3"/>
        <v>0</v>
      </c>
    </row>
    <row r="4966">
      <c r="A4966" s="107"/>
      <c r="D4966" s="270"/>
      <c r="H4966" s="106" t="str">
        <f t="shared" si="1"/>
        <v/>
      </c>
      <c r="I4966" s="271" t="str">
        <f>IFERROR(__xludf.DUMMYFUNCTION("""COMPUTED_VALUE"""),"")</f>
        <v/>
      </c>
      <c r="J4966" t="str">
        <f>IFERROR(__xludf.DUMMYFUNCTION("IFS(
  AND(REGEXMATCH(E4966, ""台銀籌備帳戶|玉山帳戶""), REGEXMATCH(C4966, ""薪資"")), ""分潤支出"",
  AND(REGEXMATCH(E4966, ""Ben帳戶|Elsa帳戶|Ben代墊|Ariel代墊|中信銀行共用""), REGEXMATCH(F4966, ""Ben帳戶|Elsa帳戶|Ben代墊|Ariel代墊|中信銀行共用"")), ""內部轉帳(忽略)"",
  AND(E4966&lt;&gt;"""", F4966&lt;&gt;"""", N"&amp;"OT(REGEXMATCH(C4966, ""薪資""))), ""內部轉帳(忽略)"",
  REGEXMATCH(C4966, ""薪資""), ""薪資變動(不計入)"",
  REGEXMATCH(C4966, ""押金""), ""押金往來"",
  AND(E4966&lt;&gt;"""", F4966=""""), ""真實支出"",
  AND(E4966="""", F4966&lt;&gt;""""), ""真實收入"",
  TRUE, ""其他""
)"),"其他")</f>
        <v>其他</v>
      </c>
      <c r="K4966" s="270" t="str">
        <f t="shared" si="2"/>
        <v/>
      </c>
      <c r="L4966">
        <f t="shared" si="3"/>
        <v>0</v>
      </c>
    </row>
    <row r="4967">
      <c r="A4967" s="107"/>
      <c r="D4967" s="270"/>
      <c r="H4967" s="106" t="str">
        <f t="shared" si="1"/>
        <v/>
      </c>
      <c r="I4967" s="271" t="str">
        <f>IFERROR(__xludf.DUMMYFUNCTION("""COMPUTED_VALUE"""),"")</f>
        <v/>
      </c>
      <c r="J4967" t="str">
        <f>IFERROR(__xludf.DUMMYFUNCTION("IFS(
  AND(REGEXMATCH(E4967, ""台銀籌備帳戶|玉山帳戶""), REGEXMATCH(C4967, ""薪資"")), ""分潤支出"",
  AND(REGEXMATCH(E4967, ""Ben帳戶|Elsa帳戶|Ben代墊|Ariel代墊|中信銀行共用""), REGEXMATCH(F4967, ""Ben帳戶|Elsa帳戶|Ben代墊|Ariel代墊|中信銀行共用"")), ""內部轉帳(忽略)"",
  AND(E4967&lt;&gt;"""", F4967&lt;&gt;"""", N"&amp;"OT(REGEXMATCH(C4967, ""薪資""))), ""內部轉帳(忽略)"",
  REGEXMATCH(C4967, ""薪資""), ""薪資變動(不計入)"",
  REGEXMATCH(C4967, ""押金""), ""押金往來"",
  AND(E4967&lt;&gt;"""", F4967=""""), ""真實支出"",
  AND(E4967="""", F4967&lt;&gt;""""), ""真實收入"",
  TRUE, ""其他""
)"),"其他")</f>
        <v>其他</v>
      </c>
      <c r="K4967" s="270" t="str">
        <f t="shared" si="2"/>
        <v/>
      </c>
      <c r="L4967">
        <f t="shared" si="3"/>
        <v>0</v>
      </c>
    </row>
    <row r="4968">
      <c r="A4968" s="107"/>
      <c r="D4968" s="270"/>
      <c r="H4968" s="106" t="str">
        <f t="shared" si="1"/>
        <v/>
      </c>
      <c r="I4968" s="271" t="str">
        <f>IFERROR(__xludf.DUMMYFUNCTION("""COMPUTED_VALUE"""),"")</f>
        <v/>
      </c>
      <c r="J4968" t="str">
        <f>IFERROR(__xludf.DUMMYFUNCTION("IFS(
  AND(REGEXMATCH(E4968, ""台銀籌備帳戶|玉山帳戶""), REGEXMATCH(C4968, ""薪資"")), ""分潤支出"",
  AND(REGEXMATCH(E4968, ""Ben帳戶|Elsa帳戶|Ben代墊|Ariel代墊|中信銀行共用""), REGEXMATCH(F4968, ""Ben帳戶|Elsa帳戶|Ben代墊|Ariel代墊|中信銀行共用"")), ""內部轉帳(忽略)"",
  AND(E4968&lt;&gt;"""", F4968&lt;&gt;"""", N"&amp;"OT(REGEXMATCH(C4968, ""薪資""))), ""內部轉帳(忽略)"",
  REGEXMATCH(C4968, ""薪資""), ""薪資變動(不計入)"",
  REGEXMATCH(C4968, ""押金""), ""押金往來"",
  AND(E4968&lt;&gt;"""", F4968=""""), ""真實支出"",
  AND(E4968="""", F4968&lt;&gt;""""), ""真實收入"",
  TRUE, ""其他""
)"),"其他")</f>
        <v>其他</v>
      </c>
      <c r="K4968" s="270" t="str">
        <f t="shared" si="2"/>
        <v/>
      </c>
      <c r="L4968">
        <f t="shared" si="3"/>
        <v>0</v>
      </c>
    </row>
    <row r="4969">
      <c r="A4969" s="107"/>
      <c r="D4969" s="270"/>
      <c r="H4969" s="106" t="str">
        <f t="shared" si="1"/>
        <v/>
      </c>
      <c r="I4969" s="271" t="str">
        <f>IFERROR(__xludf.DUMMYFUNCTION("""COMPUTED_VALUE"""),"")</f>
        <v/>
      </c>
      <c r="J4969" t="str">
        <f>IFERROR(__xludf.DUMMYFUNCTION("IFS(
  AND(REGEXMATCH(E4969, ""台銀籌備帳戶|玉山帳戶""), REGEXMATCH(C4969, ""薪資"")), ""分潤支出"",
  AND(REGEXMATCH(E4969, ""Ben帳戶|Elsa帳戶|Ben代墊|Ariel代墊|中信銀行共用""), REGEXMATCH(F4969, ""Ben帳戶|Elsa帳戶|Ben代墊|Ariel代墊|中信銀行共用"")), ""內部轉帳(忽略)"",
  AND(E4969&lt;&gt;"""", F4969&lt;&gt;"""", N"&amp;"OT(REGEXMATCH(C4969, ""薪資""))), ""內部轉帳(忽略)"",
  REGEXMATCH(C4969, ""薪資""), ""薪資變動(不計入)"",
  REGEXMATCH(C4969, ""押金""), ""押金往來"",
  AND(E4969&lt;&gt;"""", F4969=""""), ""真實支出"",
  AND(E4969="""", F4969&lt;&gt;""""), ""真實收入"",
  TRUE, ""其他""
)"),"其他")</f>
        <v>其他</v>
      </c>
      <c r="K4969" s="270" t="str">
        <f t="shared" si="2"/>
        <v/>
      </c>
      <c r="L4969">
        <f t="shared" si="3"/>
        <v>0</v>
      </c>
    </row>
    <row r="4970">
      <c r="A4970" s="107"/>
      <c r="D4970" s="270"/>
      <c r="H4970" s="106" t="str">
        <f t="shared" si="1"/>
        <v/>
      </c>
      <c r="I4970" s="271" t="str">
        <f>IFERROR(__xludf.DUMMYFUNCTION("""COMPUTED_VALUE"""),"")</f>
        <v/>
      </c>
      <c r="J4970" t="str">
        <f>IFERROR(__xludf.DUMMYFUNCTION("IFS(
  AND(REGEXMATCH(E4970, ""台銀籌備帳戶|玉山帳戶""), REGEXMATCH(C4970, ""薪資"")), ""分潤支出"",
  AND(REGEXMATCH(E4970, ""Ben帳戶|Elsa帳戶|Ben代墊|Ariel代墊|中信銀行共用""), REGEXMATCH(F4970, ""Ben帳戶|Elsa帳戶|Ben代墊|Ariel代墊|中信銀行共用"")), ""內部轉帳(忽略)"",
  AND(E4970&lt;&gt;"""", F4970&lt;&gt;"""", N"&amp;"OT(REGEXMATCH(C4970, ""薪資""))), ""內部轉帳(忽略)"",
  REGEXMATCH(C4970, ""薪資""), ""薪資變動(不計入)"",
  REGEXMATCH(C4970, ""押金""), ""押金往來"",
  AND(E4970&lt;&gt;"""", F4970=""""), ""真實支出"",
  AND(E4970="""", F4970&lt;&gt;""""), ""真實收入"",
  TRUE, ""其他""
)"),"其他")</f>
        <v>其他</v>
      </c>
      <c r="K4970" s="270" t="str">
        <f t="shared" si="2"/>
        <v/>
      </c>
      <c r="L4970">
        <f t="shared" si="3"/>
        <v>0</v>
      </c>
    </row>
    <row r="4971">
      <c r="A4971" s="107"/>
      <c r="D4971" s="270"/>
      <c r="H4971" s="106" t="str">
        <f t="shared" si="1"/>
        <v/>
      </c>
      <c r="I4971" s="271" t="str">
        <f>IFERROR(__xludf.DUMMYFUNCTION("""COMPUTED_VALUE"""),"")</f>
        <v/>
      </c>
      <c r="J4971" t="str">
        <f>IFERROR(__xludf.DUMMYFUNCTION("IFS(
  AND(REGEXMATCH(E4971, ""台銀籌備帳戶|玉山帳戶""), REGEXMATCH(C4971, ""薪資"")), ""分潤支出"",
  AND(REGEXMATCH(E4971, ""Ben帳戶|Elsa帳戶|Ben代墊|Ariel代墊|中信銀行共用""), REGEXMATCH(F4971, ""Ben帳戶|Elsa帳戶|Ben代墊|Ariel代墊|中信銀行共用"")), ""內部轉帳(忽略)"",
  AND(E4971&lt;&gt;"""", F4971&lt;&gt;"""", N"&amp;"OT(REGEXMATCH(C4971, ""薪資""))), ""內部轉帳(忽略)"",
  REGEXMATCH(C4971, ""薪資""), ""薪資變動(不計入)"",
  REGEXMATCH(C4971, ""押金""), ""押金往來"",
  AND(E4971&lt;&gt;"""", F4971=""""), ""真實支出"",
  AND(E4971="""", F4971&lt;&gt;""""), ""真實收入"",
  TRUE, ""其他""
)"),"其他")</f>
        <v>其他</v>
      </c>
      <c r="K4971" s="270" t="str">
        <f t="shared" si="2"/>
        <v/>
      </c>
      <c r="L4971">
        <f t="shared" si="3"/>
        <v>0</v>
      </c>
    </row>
    <row r="4972">
      <c r="A4972" s="107"/>
      <c r="D4972" s="270"/>
      <c r="H4972" s="106" t="str">
        <f t="shared" si="1"/>
        <v/>
      </c>
      <c r="I4972" s="271" t="str">
        <f>IFERROR(__xludf.DUMMYFUNCTION("""COMPUTED_VALUE"""),"")</f>
        <v/>
      </c>
      <c r="J4972" t="str">
        <f>IFERROR(__xludf.DUMMYFUNCTION("IFS(
  AND(REGEXMATCH(E4972, ""台銀籌備帳戶|玉山帳戶""), REGEXMATCH(C4972, ""薪資"")), ""分潤支出"",
  AND(REGEXMATCH(E4972, ""Ben帳戶|Elsa帳戶|Ben代墊|Ariel代墊|中信銀行共用""), REGEXMATCH(F4972, ""Ben帳戶|Elsa帳戶|Ben代墊|Ariel代墊|中信銀行共用"")), ""內部轉帳(忽略)"",
  AND(E4972&lt;&gt;"""", F4972&lt;&gt;"""", N"&amp;"OT(REGEXMATCH(C4972, ""薪資""))), ""內部轉帳(忽略)"",
  REGEXMATCH(C4972, ""薪資""), ""薪資變動(不計入)"",
  REGEXMATCH(C4972, ""押金""), ""押金往來"",
  AND(E4972&lt;&gt;"""", F4972=""""), ""真實支出"",
  AND(E4972="""", F4972&lt;&gt;""""), ""真實收入"",
  TRUE, ""其他""
)"),"其他")</f>
        <v>其他</v>
      </c>
      <c r="K4972" s="270" t="str">
        <f t="shared" si="2"/>
        <v/>
      </c>
      <c r="L4972">
        <f t="shared" si="3"/>
        <v>0</v>
      </c>
    </row>
    <row r="4973">
      <c r="A4973" s="107"/>
      <c r="D4973" s="270"/>
      <c r="H4973" s="106" t="str">
        <f t="shared" si="1"/>
        <v/>
      </c>
      <c r="I4973" s="271" t="str">
        <f>IFERROR(__xludf.DUMMYFUNCTION("""COMPUTED_VALUE"""),"")</f>
        <v/>
      </c>
      <c r="J4973" t="str">
        <f>IFERROR(__xludf.DUMMYFUNCTION("IFS(
  AND(REGEXMATCH(E4973, ""台銀籌備帳戶|玉山帳戶""), REGEXMATCH(C4973, ""薪資"")), ""分潤支出"",
  AND(REGEXMATCH(E4973, ""Ben帳戶|Elsa帳戶|Ben代墊|Ariel代墊|中信銀行共用""), REGEXMATCH(F4973, ""Ben帳戶|Elsa帳戶|Ben代墊|Ariel代墊|中信銀行共用"")), ""內部轉帳(忽略)"",
  AND(E4973&lt;&gt;"""", F4973&lt;&gt;"""", N"&amp;"OT(REGEXMATCH(C4973, ""薪資""))), ""內部轉帳(忽略)"",
  REGEXMATCH(C4973, ""薪資""), ""薪資變動(不計入)"",
  REGEXMATCH(C4973, ""押金""), ""押金往來"",
  AND(E4973&lt;&gt;"""", F4973=""""), ""真實支出"",
  AND(E4973="""", F4973&lt;&gt;""""), ""真實收入"",
  TRUE, ""其他""
)"),"其他")</f>
        <v>其他</v>
      </c>
      <c r="K4973" s="270" t="str">
        <f t="shared" si="2"/>
        <v/>
      </c>
      <c r="L4973">
        <f t="shared" si="3"/>
        <v>0</v>
      </c>
    </row>
    <row r="4974">
      <c r="A4974" s="107"/>
      <c r="D4974" s="270"/>
      <c r="H4974" s="106" t="str">
        <f t="shared" si="1"/>
        <v/>
      </c>
      <c r="I4974" s="271" t="str">
        <f>IFERROR(__xludf.DUMMYFUNCTION("""COMPUTED_VALUE"""),"")</f>
        <v/>
      </c>
      <c r="J4974" t="str">
        <f>IFERROR(__xludf.DUMMYFUNCTION("IFS(
  AND(REGEXMATCH(E4974, ""台銀籌備帳戶|玉山帳戶""), REGEXMATCH(C4974, ""薪資"")), ""分潤支出"",
  AND(REGEXMATCH(E4974, ""Ben帳戶|Elsa帳戶|Ben代墊|Ariel代墊|中信銀行共用""), REGEXMATCH(F4974, ""Ben帳戶|Elsa帳戶|Ben代墊|Ariel代墊|中信銀行共用"")), ""內部轉帳(忽略)"",
  AND(E4974&lt;&gt;"""", F4974&lt;&gt;"""", N"&amp;"OT(REGEXMATCH(C4974, ""薪資""))), ""內部轉帳(忽略)"",
  REGEXMATCH(C4974, ""薪資""), ""薪資變動(不計入)"",
  REGEXMATCH(C4974, ""押金""), ""押金往來"",
  AND(E4974&lt;&gt;"""", F4974=""""), ""真實支出"",
  AND(E4974="""", F4974&lt;&gt;""""), ""真實收入"",
  TRUE, ""其他""
)"),"其他")</f>
        <v>其他</v>
      </c>
      <c r="K4974" s="270" t="str">
        <f t="shared" si="2"/>
        <v/>
      </c>
      <c r="L4974">
        <f t="shared" si="3"/>
        <v>0</v>
      </c>
    </row>
    <row r="4975">
      <c r="A4975" s="107"/>
      <c r="D4975" s="270"/>
      <c r="H4975" s="106" t="str">
        <f t="shared" si="1"/>
        <v/>
      </c>
      <c r="I4975" s="271" t="str">
        <f>IFERROR(__xludf.DUMMYFUNCTION("""COMPUTED_VALUE"""),"")</f>
        <v/>
      </c>
      <c r="J4975" t="str">
        <f>IFERROR(__xludf.DUMMYFUNCTION("IFS(
  AND(REGEXMATCH(E4975, ""台銀籌備帳戶|玉山帳戶""), REGEXMATCH(C4975, ""薪資"")), ""分潤支出"",
  AND(REGEXMATCH(E4975, ""Ben帳戶|Elsa帳戶|Ben代墊|Ariel代墊|中信銀行共用""), REGEXMATCH(F4975, ""Ben帳戶|Elsa帳戶|Ben代墊|Ariel代墊|中信銀行共用"")), ""內部轉帳(忽略)"",
  AND(E4975&lt;&gt;"""", F4975&lt;&gt;"""", N"&amp;"OT(REGEXMATCH(C4975, ""薪資""))), ""內部轉帳(忽略)"",
  REGEXMATCH(C4975, ""薪資""), ""薪資變動(不計入)"",
  REGEXMATCH(C4975, ""押金""), ""押金往來"",
  AND(E4975&lt;&gt;"""", F4975=""""), ""真實支出"",
  AND(E4975="""", F4975&lt;&gt;""""), ""真實收入"",
  TRUE, ""其他""
)"),"其他")</f>
        <v>其他</v>
      </c>
      <c r="K4975" s="270" t="str">
        <f t="shared" si="2"/>
        <v/>
      </c>
      <c r="L4975">
        <f t="shared" si="3"/>
        <v>0</v>
      </c>
    </row>
    <row r="4976">
      <c r="A4976" s="107"/>
      <c r="D4976" s="270"/>
      <c r="H4976" s="106" t="str">
        <f t="shared" si="1"/>
        <v/>
      </c>
      <c r="I4976" s="271" t="str">
        <f>IFERROR(__xludf.DUMMYFUNCTION("""COMPUTED_VALUE"""),"")</f>
        <v/>
      </c>
      <c r="J4976" t="str">
        <f>IFERROR(__xludf.DUMMYFUNCTION("IFS(
  AND(REGEXMATCH(E4976, ""台銀籌備帳戶|玉山帳戶""), REGEXMATCH(C4976, ""薪資"")), ""分潤支出"",
  AND(REGEXMATCH(E4976, ""Ben帳戶|Elsa帳戶|Ben代墊|Ariel代墊|中信銀行共用""), REGEXMATCH(F4976, ""Ben帳戶|Elsa帳戶|Ben代墊|Ariel代墊|中信銀行共用"")), ""內部轉帳(忽略)"",
  AND(E4976&lt;&gt;"""", F4976&lt;&gt;"""", N"&amp;"OT(REGEXMATCH(C4976, ""薪資""))), ""內部轉帳(忽略)"",
  REGEXMATCH(C4976, ""薪資""), ""薪資變動(不計入)"",
  REGEXMATCH(C4976, ""押金""), ""押金往來"",
  AND(E4976&lt;&gt;"""", F4976=""""), ""真實支出"",
  AND(E4976="""", F4976&lt;&gt;""""), ""真實收入"",
  TRUE, ""其他""
)"),"其他")</f>
        <v>其他</v>
      </c>
      <c r="K4976" s="270" t="str">
        <f t="shared" si="2"/>
        <v/>
      </c>
      <c r="L4976">
        <f t="shared" si="3"/>
        <v>0</v>
      </c>
    </row>
    <row r="4977">
      <c r="A4977" s="107"/>
      <c r="D4977" s="270"/>
      <c r="H4977" s="106" t="str">
        <f t="shared" si="1"/>
        <v/>
      </c>
      <c r="I4977" s="271" t="str">
        <f>IFERROR(__xludf.DUMMYFUNCTION("""COMPUTED_VALUE"""),"")</f>
        <v/>
      </c>
      <c r="J4977" t="str">
        <f>IFERROR(__xludf.DUMMYFUNCTION("IFS(
  AND(REGEXMATCH(E4977, ""台銀籌備帳戶|玉山帳戶""), REGEXMATCH(C4977, ""薪資"")), ""分潤支出"",
  AND(REGEXMATCH(E4977, ""Ben帳戶|Elsa帳戶|Ben代墊|Ariel代墊|中信銀行共用""), REGEXMATCH(F4977, ""Ben帳戶|Elsa帳戶|Ben代墊|Ariel代墊|中信銀行共用"")), ""內部轉帳(忽略)"",
  AND(E4977&lt;&gt;"""", F4977&lt;&gt;"""", N"&amp;"OT(REGEXMATCH(C4977, ""薪資""))), ""內部轉帳(忽略)"",
  REGEXMATCH(C4977, ""薪資""), ""薪資變動(不計入)"",
  REGEXMATCH(C4977, ""押金""), ""押金往來"",
  AND(E4977&lt;&gt;"""", F4977=""""), ""真實支出"",
  AND(E4977="""", F4977&lt;&gt;""""), ""真實收入"",
  TRUE, ""其他""
)"),"其他")</f>
        <v>其他</v>
      </c>
      <c r="K4977" s="270" t="str">
        <f t="shared" si="2"/>
        <v/>
      </c>
      <c r="L4977">
        <f t="shared" si="3"/>
        <v>0</v>
      </c>
    </row>
    <row r="4978">
      <c r="A4978" s="107"/>
      <c r="D4978" s="270"/>
      <c r="H4978" s="106" t="str">
        <f t="shared" si="1"/>
        <v/>
      </c>
      <c r="I4978" s="271" t="str">
        <f>IFERROR(__xludf.DUMMYFUNCTION("""COMPUTED_VALUE"""),"")</f>
        <v/>
      </c>
      <c r="J4978" t="str">
        <f>IFERROR(__xludf.DUMMYFUNCTION("IFS(
  AND(REGEXMATCH(E4978, ""台銀籌備帳戶|玉山帳戶""), REGEXMATCH(C4978, ""薪資"")), ""分潤支出"",
  AND(REGEXMATCH(E4978, ""Ben帳戶|Elsa帳戶|Ben代墊|Ariel代墊|中信銀行共用""), REGEXMATCH(F4978, ""Ben帳戶|Elsa帳戶|Ben代墊|Ariel代墊|中信銀行共用"")), ""內部轉帳(忽略)"",
  AND(E4978&lt;&gt;"""", F4978&lt;&gt;"""", N"&amp;"OT(REGEXMATCH(C4978, ""薪資""))), ""內部轉帳(忽略)"",
  REGEXMATCH(C4978, ""薪資""), ""薪資變動(不計入)"",
  REGEXMATCH(C4978, ""押金""), ""押金往來"",
  AND(E4978&lt;&gt;"""", F4978=""""), ""真實支出"",
  AND(E4978="""", F4978&lt;&gt;""""), ""真實收入"",
  TRUE, ""其他""
)"),"其他")</f>
        <v>其他</v>
      </c>
      <c r="K4978" s="270" t="str">
        <f t="shared" si="2"/>
        <v/>
      </c>
      <c r="L4978">
        <f t="shared" si="3"/>
        <v>0</v>
      </c>
    </row>
    <row r="4979">
      <c r="A4979" s="107"/>
      <c r="D4979" s="270"/>
      <c r="H4979" s="106" t="str">
        <f t="shared" si="1"/>
        <v/>
      </c>
      <c r="I4979" s="271" t="str">
        <f>IFERROR(__xludf.DUMMYFUNCTION("""COMPUTED_VALUE"""),"")</f>
        <v/>
      </c>
      <c r="J4979" t="str">
        <f>IFERROR(__xludf.DUMMYFUNCTION("IFS(
  AND(REGEXMATCH(E4979, ""台銀籌備帳戶|玉山帳戶""), REGEXMATCH(C4979, ""薪資"")), ""分潤支出"",
  AND(REGEXMATCH(E4979, ""Ben帳戶|Elsa帳戶|Ben代墊|Ariel代墊|中信銀行共用""), REGEXMATCH(F4979, ""Ben帳戶|Elsa帳戶|Ben代墊|Ariel代墊|中信銀行共用"")), ""內部轉帳(忽略)"",
  AND(E4979&lt;&gt;"""", F4979&lt;&gt;"""", N"&amp;"OT(REGEXMATCH(C4979, ""薪資""))), ""內部轉帳(忽略)"",
  REGEXMATCH(C4979, ""薪資""), ""薪資變動(不計入)"",
  REGEXMATCH(C4979, ""押金""), ""押金往來"",
  AND(E4979&lt;&gt;"""", F4979=""""), ""真實支出"",
  AND(E4979="""", F4979&lt;&gt;""""), ""真實收入"",
  TRUE, ""其他""
)"),"其他")</f>
        <v>其他</v>
      </c>
      <c r="K4979" s="270" t="str">
        <f t="shared" si="2"/>
        <v/>
      </c>
      <c r="L4979">
        <f t="shared" si="3"/>
        <v>0</v>
      </c>
    </row>
    <row r="4980">
      <c r="A4980" s="107"/>
      <c r="D4980" s="270"/>
      <c r="H4980" s="106" t="str">
        <f t="shared" si="1"/>
        <v/>
      </c>
      <c r="I4980" s="271" t="str">
        <f>IFERROR(__xludf.DUMMYFUNCTION("""COMPUTED_VALUE"""),"")</f>
        <v/>
      </c>
      <c r="J4980" t="str">
        <f>IFERROR(__xludf.DUMMYFUNCTION("IFS(
  AND(REGEXMATCH(E4980, ""台銀籌備帳戶|玉山帳戶""), REGEXMATCH(C4980, ""薪資"")), ""分潤支出"",
  AND(REGEXMATCH(E4980, ""Ben帳戶|Elsa帳戶|Ben代墊|Ariel代墊|中信銀行共用""), REGEXMATCH(F4980, ""Ben帳戶|Elsa帳戶|Ben代墊|Ariel代墊|中信銀行共用"")), ""內部轉帳(忽略)"",
  AND(E4980&lt;&gt;"""", F4980&lt;&gt;"""", N"&amp;"OT(REGEXMATCH(C4980, ""薪資""))), ""內部轉帳(忽略)"",
  REGEXMATCH(C4980, ""薪資""), ""薪資變動(不計入)"",
  REGEXMATCH(C4980, ""押金""), ""押金往來"",
  AND(E4980&lt;&gt;"""", F4980=""""), ""真實支出"",
  AND(E4980="""", F4980&lt;&gt;""""), ""真實收入"",
  TRUE, ""其他""
)"),"其他")</f>
        <v>其他</v>
      </c>
      <c r="K4980" s="270" t="str">
        <f t="shared" si="2"/>
        <v/>
      </c>
      <c r="L4980">
        <f t="shared" si="3"/>
        <v>0</v>
      </c>
    </row>
    <row r="4981">
      <c r="A4981" s="107"/>
      <c r="D4981" s="270"/>
      <c r="H4981" s="106" t="str">
        <f t="shared" si="1"/>
        <v/>
      </c>
      <c r="I4981" s="271" t="str">
        <f>IFERROR(__xludf.DUMMYFUNCTION("""COMPUTED_VALUE"""),"")</f>
        <v/>
      </c>
      <c r="J4981" t="str">
        <f>IFERROR(__xludf.DUMMYFUNCTION("IFS(
  AND(REGEXMATCH(E4981, ""台銀籌備帳戶|玉山帳戶""), REGEXMATCH(C4981, ""薪資"")), ""分潤支出"",
  AND(REGEXMATCH(E4981, ""Ben帳戶|Elsa帳戶|Ben代墊|Ariel代墊|中信銀行共用""), REGEXMATCH(F4981, ""Ben帳戶|Elsa帳戶|Ben代墊|Ariel代墊|中信銀行共用"")), ""內部轉帳(忽略)"",
  AND(E4981&lt;&gt;"""", F4981&lt;&gt;"""", N"&amp;"OT(REGEXMATCH(C4981, ""薪資""))), ""內部轉帳(忽略)"",
  REGEXMATCH(C4981, ""薪資""), ""薪資變動(不計入)"",
  REGEXMATCH(C4981, ""押金""), ""押金往來"",
  AND(E4981&lt;&gt;"""", F4981=""""), ""真實支出"",
  AND(E4981="""", F4981&lt;&gt;""""), ""真實收入"",
  TRUE, ""其他""
)"),"其他")</f>
        <v>其他</v>
      </c>
      <c r="K4981" s="270" t="str">
        <f t="shared" si="2"/>
        <v/>
      </c>
      <c r="L4981">
        <f t="shared" si="3"/>
        <v>0</v>
      </c>
    </row>
    <row r="4982">
      <c r="A4982" s="107"/>
      <c r="D4982" s="270"/>
      <c r="H4982" s="106" t="str">
        <f t="shared" si="1"/>
        <v/>
      </c>
      <c r="I4982" s="271" t="str">
        <f>IFERROR(__xludf.DUMMYFUNCTION("""COMPUTED_VALUE"""),"")</f>
        <v/>
      </c>
      <c r="J4982" t="str">
        <f>IFERROR(__xludf.DUMMYFUNCTION("IFS(
  AND(REGEXMATCH(E4982, ""台銀籌備帳戶|玉山帳戶""), REGEXMATCH(C4982, ""薪資"")), ""分潤支出"",
  AND(REGEXMATCH(E4982, ""Ben帳戶|Elsa帳戶|Ben代墊|Ariel代墊|中信銀行共用""), REGEXMATCH(F4982, ""Ben帳戶|Elsa帳戶|Ben代墊|Ariel代墊|中信銀行共用"")), ""內部轉帳(忽略)"",
  AND(E4982&lt;&gt;"""", F4982&lt;&gt;"""", N"&amp;"OT(REGEXMATCH(C4982, ""薪資""))), ""內部轉帳(忽略)"",
  REGEXMATCH(C4982, ""薪資""), ""薪資變動(不計入)"",
  REGEXMATCH(C4982, ""押金""), ""押金往來"",
  AND(E4982&lt;&gt;"""", F4982=""""), ""真實支出"",
  AND(E4982="""", F4982&lt;&gt;""""), ""真實收入"",
  TRUE, ""其他""
)"),"其他")</f>
        <v>其他</v>
      </c>
      <c r="K4982" s="270" t="str">
        <f t="shared" si="2"/>
        <v/>
      </c>
      <c r="L4982">
        <f t="shared" si="3"/>
        <v>0</v>
      </c>
    </row>
    <row r="4983">
      <c r="A4983" s="107"/>
      <c r="D4983" s="270"/>
      <c r="H4983" s="106" t="str">
        <f t="shared" si="1"/>
        <v/>
      </c>
      <c r="I4983" s="271" t="str">
        <f>IFERROR(__xludf.DUMMYFUNCTION("""COMPUTED_VALUE"""),"")</f>
        <v/>
      </c>
      <c r="J4983" t="str">
        <f>IFERROR(__xludf.DUMMYFUNCTION("IFS(
  AND(REGEXMATCH(E4983, ""台銀籌備帳戶|玉山帳戶""), REGEXMATCH(C4983, ""薪資"")), ""分潤支出"",
  AND(REGEXMATCH(E4983, ""Ben帳戶|Elsa帳戶|Ben代墊|Ariel代墊|中信銀行共用""), REGEXMATCH(F4983, ""Ben帳戶|Elsa帳戶|Ben代墊|Ariel代墊|中信銀行共用"")), ""內部轉帳(忽略)"",
  AND(E4983&lt;&gt;"""", F4983&lt;&gt;"""", N"&amp;"OT(REGEXMATCH(C4983, ""薪資""))), ""內部轉帳(忽略)"",
  REGEXMATCH(C4983, ""薪資""), ""薪資變動(不計入)"",
  REGEXMATCH(C4983, ""押金""), ""押金往來"",
  AND(E4983&lt;&gt;"""", F4983=""""), ""真實支出"",
  AND(E4983="""", F4983&lt;&gt;""""), ""真實收入"",
  TRUE, ""其他""
)"),"其他")</f>
        <v>其他</v>
      </c>
      <c r="K4983" s="270" t="str">
        <f t="shared" si="2"/>
        <v/>
      </c>
      <c r="L4983">
        <f t="shared" si="3"/>
        <v>0</v>
      </c>
    </row>
    <row r="4984">
      <c r="A4984" s="107"/>
      <c r="D4984" s="270"/>
      <c r="H4984" s="106" t="str">
        <f t="shared" si="1"/>
        <v/>
      </c>
      <c r="I4984" s="271" t="str">
        <f>IFERROR(__xludf.DUMMYFUNCTION("""COMPUTED_VALUE"""),"")</f>
        <v/>
      </c>
      <c r="J4984" t="str">
        <f>IFERROR(__xludf.DUMMYFUNCTION("IFS(
  AND(REGEXMATCH(E4984, ""台銀籌備帳戶|玉山帳戶""), REGEXMATCH(C4984, ""薪資"")), ""分潤支出"",
  AND(REGEXMATCH(E4984, ""Ben帳戶|Elsa帳戶|Ben代墊|Ariel代墊|中信銀行共用""), REGEXMATCH(F4984, ""Ben帳戶|Elsa帳戶|Ben代墊|Ariel代墊|中信銀行共用"")), ""內部轉帳(忽略)"",
  AND(E4984&lt;&gt;"""", F4984&lt;&gt;"""", N"&amp;"OT(REGEXMATCH(C4984, ""薪資""))), ""內部轉帳(忽略)"",
  REGEXMATCH(C4984, ""薪資""), ""薪資變動(不計入)"",
  REGEXMATCH(C4984, ""押金""), ""押金往來"",
  AND(E4984&lt;&gt;"""", F4984=""""), ""真實支出"",
  AND(E4984="""", F4984&lt;&gt;""""), ""真實收入"",
  TRUE, ""其他""
)"),"其他")</f>
        <v>其他</v>
      </c>
      <c r="K4984" s="270" t="str">
        <f t="shared" si="2"/>
        <v/>
      </c>
      <c r="L4984">
        <f t="shared" si="3"/>
        <v>0</v>
      </c>
    </row>
    <row r="4985">
      <c r="A4985" s="107"/>
      <c r="D4985" s="270"/>
      <c r="H4985" s="106" t="str">
        <f t="shared" si="1"/>
        <v/>
      </c>
      <c r="I4985" s="271" t="str">
        <f>IFERROR(__xludf.DUMMYFUNCTION("""COMPUTED_VALUE"""),"")</f>
        <v/>
      </c>
      <c r="J4985" t="str">
        <f>IFERROR(__xludf.DUMMYFUNCTION("IFS(
  AND(REGEXMATCH(E4985, ""台銀籌備帳戶|玉山帳戶""), REGEXMATCH(C4985, ""薪資"")), ""分潤支出"",
  AND(REGEXMATCH(E4985, ""Ben帳戶|Elsa帳戶|Ben代墊|Ariel代墊|中信銀行共用""), REGEXMATCH(F4985, ""Ben帳戶|Elsa帳戶|Ben代墊|Ariel代墊|中信銀行共用"")), ""內部轉帳(忽略)"",
  AND(E4985&lt;&gt;"""", F4985&lt;&gt;"""", N"&amp;"OT(REGEXMATCH(C4985, ""薪資""))), ""內部轉帳(忽略)"",
  REGEXMATCH(C4985, ""薪資""), ""薪資變動(不計入)"",
  REGEXMATCH(C4985, ""押金""), ""押金往來"",
  AND(E4985&lt;&gt;"""", F4985=""""), ""真實支出"",
  AND(E4985="""", F4985&lt;&gt;""""), ""真實收入"",
  TRUE, ""其他""
)"),"其他")</f>
        <v>其他</v>
      </c>
      <c r="K4985" s="270" t="str">
        <f t="shared" si="2"/>
        <v/>
      </c>
      <c r="L4985">
        <f t="shared" si="3"/>
        <v>0</v>
      </c>
    </row>
    <row r="4986">
      <c r="A4986" s="107"/>
      <c r="D4986" s="270"/>
      <c r="H4986" s="106" t="str">
        <f t="shared" si="1"/>
        <v/>
      </c>
      <c r="I4986" s="271" t="str">
        <f>IFERROR(__xludf.DUMMYFUNCTION("""COMPUTED_VALUE"""),"")</f>
        <v/>
      </c>
      <c r="J4986" t="str">
        <f>IFERROR(__xludf.DUMMYFUNCTION("IFS(
  AND(REGEXMATCH(E4986, ""台銀籌備帳戶|玉山帳戶""), REGEXMATCH(C4986, ""薪資"")), ""分潤支出"",
  AND(REGEXMATCH(E4986, ""Ben帳戶|Elsa帳戶|Ben代墊|Ariel代墊|中信銀行共用""), REGEXMATCH(F4986, ""Ben帳戶|Elsa帳戶|Ben代墊|Ariel代墊|中信銀行共用"")), ""內部轉帳(忽略)"",
  AND(E4986&lt;&gt;"""", F4986&lt;&gt;"""", N"&amp;"OT(REGEXMATCH(C4986, ""薪資""))), ""內部轉帳(忽略)"",
  REGEXMATCH(C4986, ""薪資""), ""薪資變動(不計入)"",
  REGEXMATCH(C4986, ""押金""), ""押金往來"",
  AND(E4986&lt;&gt;"""", F4986=""""), ""真實支出"",
  AND(E4986="""", F4986&lt;&gt;""""), ""真實收入"",
  TRUE, ""其他""
)"),"其他")</f>
        <v>其他</v>
      </c>
      <c r="K4986" s="270" t="str">
        <f t="shared" si="2"/>
        <v/>
      </c>
      <c r="L4986">
        <f t="shared" si="3"/>
        <v>0</v>
      </c>
    </row>
    <row r="4987">
      <c r="A4987" s="107"/>
      <c r="D4987" s="270"/>
      <c r="H4987" s="106" t="str">
        <f t="shared" si="1"/>
        <v/>
      </c>
      <c r="I4987" s="271" t="str">
        <f>IFERROR(__xludf.DUMMYFUNCTION("""COMPUTED_VALUE"""),"")</f>
        <v/>
      </c>
      <c r="J4987" t="str">
        <f>IFERROR(__xludf.DUMMYFUNCTION("IFS(
  AND(REGEXMATCH(E4987, ""台銀籌備帳戶|玉山帳戶""), REGEXMATCH(C4987, ""薪資"")), ""分潤支出"",
  AND(REGEXMATCH(E4987, ""Ben帳戶|Elsa帳戶|Ben代墊|Ariel代墊|中信銀行共用""), REGEXMATCH(F4987, ""Ben帳戶|Elsa帳戶|Ben代墊|Ariel代墊|中信銀行共用"")), ""內部轉帳(忽略)"",
  AND(E4987&lt;&gt;"""", F4987&lt;&gt;"""", N"&amp;"OT(REGEXMATCH(C4987, ""薪資""))), ""內部轉帳(忽略)"",
  REGEXMATCH(C4987, ""薪資""), ""薪資變動(不計入)"",
  REGEXMATCH(C4987, ""押金""), ""押金往來"",
  AND(E4987&lt;&gt;"""", F4987=""""), ""真實支出"",
  AND(E4987="""", F4987&lt;&gt;""""), ""真實收入"",
  TRUE, ""其他""
)"),"其他")</f>
        <v>其他</v>
      </c>
      <c r="K4987" s="270" t="str">
        <f t="shared" si="2"/>
        <v/>
      </c>
      <c r="L4987">
        <f t="shared" si="3"/>
        <v>0</v>
      </c>
    </row>
    <row r="4988">
      <c r="A4988" s="107"/>
      <c r="D4988" s="270"/>
      <c r="H4988" s="106" t="str">
        <f t="shared" si="1"/>
        <v/>
      </c>
      <c r="I4988" s="271" t="str">
        <f>IFERROR(__xludf.DUMMYFUNCTION("""COMPUTED_VALUE"""),"")</f>
        <v/>
      </c>
      <c r="J4988" t="str">
        <f>IFERROR(__xludf.DUMMYFUNCTION("IFS(
  AND(REGEXMATCH(E4988, ""台銀籌備帳戶|玉山帳戶""), REGEXMATCH(C4988, ""薪資"")), ""分潤支出"",
  AND(REGEXMATCH(E4988, ""Ben帳戶|Elsa帳戶|Ben代墊|Ariel代墊|中信銀行共用""), REGEXMATCH(F4988, ""Ben帳戶|Elsa帳戶|Ben代墊|Ariel代墊|中信銀行共用"")), ""內部轉帳(忽略)"",
  AND(E4988&lt;&gt;"""", F4988&lt;&gt;"""", N"&amp;"OT(REGEXMATCH(C4988, ""薪資""))), ""內部轉帳(忽略)"",
  REGEXMATCH(C4988, ""薪資""), ""薪資變動(不計入)"",
  REGEXMATCH(C4988, ""押金""), ""押金往來"",
  AND(E4988&lt;&gt;"""", F4988=""""), ""真實支出"",
  AND(E4988="""", F4988&lt;&gt;""""), ""真實收入"",
  TRUE, ""其他""
)"),"其他")</f>
        <v>其他</v>
      </c>
      <c r="K4988" s="270" t="str">
        <f t="shared" si="2"/>
        <v/>
      </c>
      <c r="L4988">
        <f t="shared" si="3"/>
        <v>0</v>
      </c>
    </row>
    <row r="4989">
      <c r="A4989" s="107"/>
      <c r="D4989" s="270"/>
      <c r="H4989" s="106" t="str">
        <f t="shared" si="1"/>
        <v/>
      </c>
      <c r="I4989" s="271" t="str">
        <f>IFERROR(__xludf.DUMMYFUNCTION("""COMPUTED_VALUE"""),"")</f>
        <v/>
      </c>
      <c r="J4989" t="str">
        <f>IFERROR(__xludf.DUMMYFUNCTION("IFS(
  AND(REGEXMATCH(E4989, ""台銀籌備帳戶|玉山帳戶""), REGEXMATCH(C4989, ""薪資"")), ""分潤支出"",
  AND(REGEXMATCH(E4989, ""Ben帳戶|Elsa帳戶|Ben代墊|Ariel代墊|中信銀行共用""), REGEXMATCH(F4989, ""Ben帳戶|Elsa帳戶|Ben代墊|Ariel代墊|中信銀行共用"")), ""內部轉帳(忽略)"",
  AND(E4989&lt;&gt;"""", F4989&lt;&gt;"""", N"&amp;"OT(REGEXMATCH(C4989, ""薪資""))), ""內部轉帳(忽略)"",
  REGEXMATCH(C4989, ""薪資""), ""薪資變動(不計入)"",
  REGEXMATCH(C4989, ""押金""), ""押金往來"",
  AND(E4989&lt;&gt;"""", F4989=""""), ""真實支出"",
  AND(E4989="""", F4989&lt;&gt;""""), ""真實收入"",
  TRUE, ""其他""
)"),"其他")</f>
        <v>其他</v>
      </c>
      <c r="K4989" s="270" t="str">
        <f t="shared" si="2"/>
        <v/>
      </c>
      <c r="L4989">
        <f t="shared" si="3"/>
        <v>0</v>
      </c>
    </row>
    <row r="4990">
      <c r="A4990" s="107"/>
      <c r="D4990" s="270"/>
      <c r="H4990" s="106" t="str">
        <f t="shared" si="1"/>
        <v/>
      </c>
      <c r="I4990" s="271" t="str">
        <f>IFERROR(__xludf.DUMMYFUNCTION("""COMPUTED_VALUE"""),"")</f>
        <v/>
      </c>
      <c r="J4990" t="str">
        <f>IFERROR(__xludf.DUMMYFUNCTION("IFS(
  AND(REGEXMATCH(E4990, ""台銀籌備帳戶|玉山帳戶""), REGEXMATCH(C4990, ""薪資"")), ""分潤支出"",
  AND(REGEXMATCH(E4990, ""Ben帳戶|Elsa帳戶|Ben代墊|Ariel代墊|中信銀行共用""), REGEXMATCH(F4990, ""Ben帳戶|Elsa帳戶|Ben代墊|Ariel代墊|中信銀行共用"")), ""內部轉帳(忽略)"",
  AND(E4990&lt;&gt;"""", F4990&lt;&gt;"""", N"&amp;"OT(REGEXMATCH(C4990, ""薪資""))), ""內部轉帳(忽略)"",
  REGEXMATCH(C4990, ""薪資""), ""薪資變動(不計入)"",
  REGEXMATCH(C4990, ""押金""), ""押金往來"",
  AND(E4990&lt;&gt;"""", F4990=""""), ""真實支出"",
  AND(E4990="""", F4990&lt;&gt;""""), ""真實收入"",
  TRUE, ""其他""
)"),"其他")</f>
        <v>其他</v>
      </c>
      <c r="K4990" s="270" t="str">
        <f t="shared" si="2"/>
        <v/>
      </c>
      <c r="L4990">
        <f t="shared" si="3"/>
        <v>0</v>
      </c>
    </row>
    <row r="4991">
      <c r="A4991" s="107"/>
      <c r="D4991" s="270"/>
      <c r="H4991" s="106" t="str">
        <f t="shared" si="1"/>
        <v/>
      </c>
      <c r="I4991" s="271" t="str">
        <f>IFERROR(__xludf.DUMMYFUNCTION("""COMPUTED_VALUE"""),"")</f>
        <v/>
      </c>
      <c r="J4991" t="str">
        <f>IFERROR(__xludf.DUMMYFUNCTION("IFS(
  AND(REGEXMATCH(E4991, ""台銀籌備帳戶|玉山帳戶""), REGEXMATCH(C4991, ""薪資"")), ""分潤支出"",
  AND(REGEXMATCH(E4991, ""Ben帳戶|Elsa帳戶|Ben代墊|Ariel代墊|中信銀行共用""), REGEXMATCH(F4991, ""Ben帳戶|Elsa帳戶|Ben代墊|Ariel代墊|中信銀行共用"")), ""內部轉帳(忽略)"",
  AND(E4991&lt;&gt;"""", F4991&lt;&gt;"""", N"&amp;"OT(REGEXMATCH(C4991, ""薪資""))), ""內部轉帳(忽略)"",
  REGEXMATCH(C4991, ""薪資""), ""薪資變動(不計入)"",
  REGEXMATCH(C4991, ""押金""), ""押金往來"",
  AND(E4991&lt;&gt;"""", F4991=""""), ""真實支出"",
  AND(E4991="""", F4991&lt;&gt;""""), ""真實收入"",
  TRUE, ""其他""
)"),"其他")</f>
        <v>其他</v>
      </c>
      <c r="K4991" s="270" t="str">
        <f t="shared" si="2"/>
        <v/>
      </c>
      <c r="L4991">
        <f t="shared" si="3"/>
        <v>0</v>
      </c>
    </row>
    <row r="4992">
      <c r="A4992" s="107"/>
      <c r="D4992" s="270"/>
      <c r="H4992" s="106" t="str">
        <f t="shared" si="1"/>
        <v/>
      </c>
      <c r="I4992" s="271" t="str">
        <f>IFERROR(__xludf.DUMMYFUNCTION("""COMPUTED_VALUE"""),"")</f>
        <v/>
      </c>
      <c r="J4992" t="str">
        <f>IFERROR(__xludf.DUMMYFUNCTION("IFS(
  AND(REGEXMATCH(E4992, ""台銀籌備帳戶|玉山帳戶""), REGEXMATCH(C4992, ""薪資"")), ""分潤支出"",
  AND(REGEXMATCH(E4992, ""Ben帳戶|Elsa帳戶|Ben代墊|Ariel代墊|中信銀行共用""), REGEXMATCH(F4992, ""Ben帳戶|Elsa帳戶|Ben代墊|Ariel代墊|中信銀行共用"")), ""內部轉帳(忽略)"",
  AND(E4992&lt;&gt;"""", F4992&lt;&gt;"""", N"&amp;"OT(REGEXMATCH(C4992, ""薪資""))), ""內部轉帳(忽略)"",
  REGEXMATCH(C4992, ""薪資""), ""薪資變動(不計入)"",
  REGEXMATCH(C4992, ""押金""), ""押金往來"",
  AND(E4992&lt;&gt;"""", F4992=""""), ""真實支出"",
  AND(E4992="""", F4992&lt;&gt;""""), ""真實收入"",
  TRUE, ""其他""
)"),"其他")</f>
        <v>其他</v>
      </c>
      <c r="K4992" s="270" t="str">
        <f t="shared" si="2"/>
        <v/>
      </c>
      <c r="L4992">
        <f t="shared" si="3"/>
        <v>0</v>
      </c>
    </row>
    <row r="4993">
      <c r="A4993" s="107"/>
      <c r="D4993" s="270"/>
      <c r="H4993" s="106" t="str">
        <f t="shared" si="1"/>
        <v/>
      </c>
      <c r="I4993" s="271" t="str">
        <f>IFERROR(__xludf.DUMMYFUNCTION("""COMPUTED_VALUE"""),"")</f>
        <v/>
      </c>
      <c r="J4993" t="str">
        <f>IFERROR(__xludf.DUMMYFUNCTION("IFS(
  AND(REGEXMATCH(E4993, ""台銀籌備帳戶|玉山帳戶""), REGEXMATCH(C4993, ""薪資"")), ""分潤支出"",
  AND(REGEXMATCH(E4993, ""Ben帳戶|Elsa帳戶|Ben代墊|Ariel代墊|中信銀行共用""), REGEXMATCH(F4993, ""Ben帳戶|Elsa帳戶|Ben代墊|Ariel代墊|中信銀行共用"")), ""內部轉帳(忽略)"",
  AND(E4993&lt;&gt;"""", F4993&lt;&gt;"""", N"&amp;"OT(REGEXMATCH(C4993, ""薪資""))), ""內部轉帳(忽略)"",
  REGEXMATCH(C4993, ""薪資""), ""薪資變動(不計入)"",
  REGEXMATCH(C4993, ""押金""), ""押金往來"",
  AND(E4993&lt;&gt;"""", F4993=""""), ""真實支出"",
  AND(E4993="""", F4993&lt;&gt;""""), ""真實收入"",
  TRUE, ""其他""
)"),"其他")</f>
        <v>其他</v>
      </c>
      <c r="K4993" s="270" t="str">
        <f t="shared" si="2"/>
        <v/>
      </c>
      <c r="L4993">
        <f t="shared" si="3"/>
        <v>0</v>
      </c>
    </row>
    <row r="4994">
      <c r="A4994" s="107"/>
      <c r="D4994" s="270"/>
      <c r="H4994" s="106" t="str">
        <f t="shared" si="1"/>
        <v/>
      </c>
      <c r="I4994" s="271" t="str">
        <f>IFERROR(__xludf.DUMMYFUNCTION("""COMPUTED_VALUE"""),"")</f>
        <v/>
      </c>
      <c r="J4994" t="str">
        <f>IFERROR(__xludf.DUMMYFUNCTION("IFS(
  AND(REGEXMATCH(E4994, ""台銀籌備帳戶|玉山帳戶""), REGEXMATCH(C4994, ""薪資"")), ""分潤支出"",
  AND(REGEXMATCH(E4994, ""Ben帳戶|Elsa帳戶|Ben代墊|Ariel代墊|中信銀行共用""), REGEXMATCH(F4994, ""Ben帳戶|Elsa帳戶|Ben代墊|Ariel代墊|中信銀行共用"")), ""內部轉帳(忽略)"",
  AND(E4994&lt;&gt;"""", F4994&lt;&gt;"""", N"&amp;"OT(REGEXMATCH(C4994, ""薪資""))), ""內部轉帳(忽略)"",
  REGEXMATCH(C4994, ""薪資""), ""薪資變動(不計入)"",
  REGEXMATCH(C4994, ""押金""), ""押金往來"",
  AND(E4994&lt;&gt;"""", F4994=""""), ""真實支出"",
  AND(E4994="""", F4994&lt;&gt;""""), ""真實收入"",
  TRUE, ""其他""
)"),"其他")</f>
        <v>其他</v>
      </c>
      <c r="K4994" s="270" t="str">
        <f t="shared" si="2"/>
        <v/>
      </c>
      <c r="L4994">
        <f t="shared" si="3"/>
        <v>0</v>
      </c>
    </row>
    <row r="4995">
      <c r="A4995" s="107"/>
      <c r="D4995" s="270"/>
      <c r="H4995" s="106" t="str">
        <f t="shared" si="1"/>
        <v/>
      </c>
      <c r="I4995" s="271" t="str">
        <f>IFERROR(__xludf.DUMMYFUNCTION("""COMPUTED_VALUE"""),"")</f>
        <v/>
      </c>
      <c r="J4995" t="str">
        <f>IFERROR(__xludf.DUMMYFUNCTION("IFS(
  AND(REGEXMATCH(E4995, ""台銀籌備帳戶|玉山帳戶""), REGEXMATCH(C4995, ""薪資"")), ""分潤支出"",
  AND(REGEXMATCH(E4995, ""Ben帳戶|Elsa帳戶|Ben代墊|Ariel代墊|中信銀行共用""), REGEXMATCH(F4995, ""Ben帳戶|Elsa帳戶|Ben代墊|Ariel代墊|中信銀行共用"")), ""內部轉帳(忽略)"",
  AND(E4995&lt;&gt;"""", F4995&lt;&gt;"""", N"&amp;"OT(REGEXMATCH(C4995, ""薪資""))), ""內部轉帳(忽略)"",
  REGEXMATCH(C4995, ""薪資""), ""薪資變動(不計入)"",
  REGEXMATCH(C4995, ""押金""), ""押金往來"",
  AND(E4995&lt;&gt;"""", F4995=""""), ""真實支出"",
  AND(E4995="""", F4995&lt;&gt;""""), ""真實收入"",
  TRUE, ""其他""
)"),"其他")</f>
        <v>其他</v>
      </c>
      <c r="K4995" s="270" t="str">
        <f t="shared" si="2"/>
        <v/>
      </c>
      <c r="L4995">
        <f t="shared" si="3"/>
        <v>0</v>
      </c>
    </row>
    <row r="4996">
      <c r="A4996" s="107"/>
      <c r="D4996" s="270"/>
      <c r="H4996" s="106" t="str">
        <f t="shared" si="1"/>
        <v/>
      </c>
      <c r="I4996" s="271" t="str">
        <f>IFERROR(__xludf.DUMMYFUNCTION("""COMPUTED_VALUE"""),"")</f>
        <v/>
      </c>
      <c r="J4996" t="str">
        <f>IFERROR(__xludf.DUMMYFUNCTION("IFS(
  AND(REGEXMATCH(E4996, ""台銀籌備帳戶|玉山帳戶""), REGEXMATCH(C4996, ""薪資"")), ""分潤支出"",
  AND(REGEXMATCH(E4996, ""Ben帳戶|Elsa帳戶|Ben代墊|Ariel代墊|中信銀行共用""), REGEXMATCH(F4996, ""Ben帳戶|Elsa帳戶|Ben代墊|Ariel代墊|中信銀行共用"")), ""內部轉帳(忽略)"",
  AND(E4996&lt;&gt;"""", F4996&lt;&gt;"""", N"&amp;"OT(REGEXMATCH(C4996, ""薪資""))), ""內部轉帳(忽略)"",
  REGEXMATCH(C4996, ""薪資""), ""薪資變動(不計入)"",
  REGEXMATCH(C4996, ""押金""), ""押金往來"",
  AND(E4996&lt;&gt;"""", F4996=""""), ""真實支出"",
  AND(E4996="""", F4996&lt;&gt;""""), ""真實收入"",
  TRUE, ""其他""
)"),"其他")</f>
        <v>其他</v>
      </c>
      <c r="K4996" s="270" t="str">
        <f t="shared" si="2"/>
        <v/>
      </c>
      <c r="L4996">
        <f t="shared" si="3"/>
        <v>0</v>
      </c>
    </row>
    <row r="4997">
      <c r="A4997" s="107"/>
      <c r="D4997" s="270"/>
      <c r="H4997" s="106" t="str">
        <f t="shared" si="1"/>
        <v/>
      </c>
      <c r="I4997" s="271" t="str">
        <f>IFERROR(__xludf.DUMMYFUNCTION("""COMPUTED_VALUE"""),"")</f>
        <v/>
      </c>
      <c r="J4997" t="str">
        <f>IFERROR(__xludf.DUMMYFUNCTION("IFS(
  AND(REGEXMATCH(E4997, ""台銀籌備帳戶|玉山帳戶""), REGEXMATCH(C4997, ""薪資"")), ""分潤支出"",
  AND(REGEXMATCH(E4997, ""Ben帳戶|Elsa帳戶|Ben代墊|Ariel代墊|中信銀行共用""), REGEXMATCH(F4997, ""Ben帳戶|Elsa帳戶|Ben代墊|Ariel代墊|中信銀行共用"")), ""內部轉帳(忽略)"",
  AND(E4997&lt;&gt;"""", F4997&lt;&gt;"""", N"&amp;"OT(REGEXMATCH(C4997, ""薪資""))), ""內部轉帳(忽略)"",
  REGEXMATCH(C4997, ""薪資""), ""薪資變動(不計入)"",
  REGEXMATCH(C4997, ""押金""), ""押金往來"",
  AND(E4997&lt;&gt;"""", F4997=""""), ""真實支出"",
  AND(E4997="""", F4997&lt;&gt;""""), ""真實收入"",
  TRUE, ""其他""
)"),"其他")</f>
        <v>其他</v>
      </c>
      <c r="K4997" s="270" t="str">
        <f t="shared" si="2"/>
        <v/>
      </c>
      <c r="L4997">
        <f t="shared" si="3"/>
        <v>0</v>
      </c>
    </row>
    <row r="4998">
      <c r="A4998" s="107"/>
      <c r="D4998" s="270"/>
      <c r="H4998" s="106" t="str">
        <f t="shared" si="1"/>
        <v/>
      </c>
      <c r="I4998" s="271" t="str">
        <f>IFERROR(__xludf.DUMMYFUNCTION("""COMPUTED_VALUE"""),"")</f>
        <v/>
      </c>
      <c r="J4998" t="str">
        <f>IFERROR(__xludf.DUMMYFUNCTION("IFS(
  AND(REGEXMATCH(E4998, ""台銀籌備帳戶|玉山帳戶""), REGEXMATCH(C4998, ""薪資"")), ""分潤支出"",
  AND(REGEXMATCH(E4998, ""Ben帳戶|Elsa帳戶|Ben代墊|Ariel代墊|中信銀行共用""), REGEXMATCH(F4998, ""Ben帳戶|Elsa帳戶|Ben代墊|Ariel代墊|中信銀行共用"")), ""內部轉帳(忽略)"",
  AND(E4998&lt;&gt;"""", F4998&lt;&gt;"""", N"&amp;"OT(REGEXMATCH(C4998, ""薪資""))), ""內部轉帳(忽略)"",
  REGEXMATCH(C4998, ""薪資""), ""薪資變動(不計入)"",
  REGEXMATCH(C4998, ""押金""), ""押金往來"",
  AND(E4998&lt;&gt;"""", F4998=""""), ""真實支出"",
  AND(E4998="""", F4998&lt;&gt;""""), ""真實收入"",
  TRUE, ""其他""
)"),"其他")</f>
        <v>其他</v>
      </c>
      <c r="K4998" s="270" t="str">
        <f t="shared" si="2"/>
        <v/>
      </c>
      <c r="L4998">
        <f t="shared" si="3"/>
        <v>0</v>
      </c>
    </row>
    <row r="4999">
      <c r="A4999" s="107"/>
      <c r="D4999" s="270"/>
      <c r="H4999" s="106" t="str">
        <f t="shared" si="1"/>
        <v/>
      </c>
      <c r="I4999" s="271" t="str">
        <f>IFERROR(__xludf.DUMMYFUNCTION("""COMPUTED_VALUE"""),"")</f>
        <v/>
      </c>
      <c r="J4999" t="str">
        <f>IFERROR(__xludf.DUMMYFUNCTION("IFS(
  AND(REGEXMATCH(E4999, ""台銀籌備帳戶|玉山帳戶""), REGEXMATCH(C4999, ""薪資"")), ""分潤支出"",
  AND(REGEXMATCH(E4999, ""Ben帳戶|Elsa帳戶|Ben代墊|Ariel代墊|中信銀行共用""), REGEXMATCH(F4999, ""Ben帳戶|Elsa帳戶|Ben代墊|Ariel代墊|中信銀行共用"")), ""內部轉帳(忽略)"",
  AND(E4999&lt;&gt;"""", F4999&lt;&gt;"""", N"&amp;"OT(REGEXMATCH(C4999, ""薪資""))), ""內部轉帳(忽略)"",
  REGEXMATCH(C4999, ""薪資""), ""薪資變動(不計入)"",
  REGEXMATCH(C4999, ""押金""), ""押金往來"",
  AND(E4999&lt;&gt;"""", F4999=""""), ""真實支出"",
  AND(E4999="""", F4999&lt;&gt;""""), ""真實收入"",
  TRUE, ""其他""
)"),"其他")</f>
        <v>其他</v>
      </c>
      <c r="K4999" s="270" t="str">
        <f t="shared" si="2"/>
        <v/>
      </c>
      <c r="L4999">
        <f t="shared" si="3"/>
        <v>0</v>
      </c>
    </row>
    <row r="5000">
      <c r="A5000" s="107"/>
      <c r="D5000" s="270"/>
      <c r="H5000" s="106" t="str">
        <f t="shared" si="1"/>
        <v/>
      </c>
      <c r="I5000" s="271" t="str">
        <f>IFERROR(__xludf.DUMMYFUNCTION("""COMPUTED_VALUE"""),"")</f>
        <v/>
      </c>
      <c r="J5000" t="str">
        <f>IFERROR(__xludf.DUMMYFUNCTION("IFS(
  AND(REGEXMATCH(E5000, ""台銀籌備帳戶|玉山帳戶""), REGEXMATCH(C5000, ""薪資"")), ""分潤支出"",
  AND(REGEXMATCH(E5000, ""Ben帳戶|Elsa帳戶|Ben代墊|Ariel代墊|中信銀行共用""), REGEXMATCH(F5000, ""Ben帳戶|Elsa帳戶|Ben代墊|Ariel代墊|中信銀行共用"")), ""內部轉帳(忽略)"",
  AND(E5000&lt;&gt;"""", F5000&lt;&gt;"""", N"&amp;"OT(REGEXMATCH(C5000, ""薪資""))), ""內部轉帳(忽略)"",
  REGEXMATCH(C5000, ""薪資""), ""薪資變動(不計入)"",
  REGEXMATCH(C5000, ""押金""), ""押金往來"",
  AND(E5000&lt;&gt;"""", F5000=""""), ""真實支出"",
  AND(E5000="""", F5000&lt;&gt;""""), ""真實收入"",
  TRUE, ""其他""
)"),"其他")</f>
        <v>其他</v>
      </c>
      <c r="K5000" s="270" t="str">
        <f t="shared" si="2"/>
        <v/>
      </c>
      <c r="L5000">
        <f t="shared" si="3"/>
        <v>0</v>
      </c>
    </row>
    <row r="5001">
      <c r="A5001" s="107"/>
      <c r="D5001" s="270"/>
      <c r="H5001" s="106" t="str">
        <f t="shared" si="1"/>
        <v/>
      </c>
      <c r="I5001" s="271" t="str">
        <f>IFERROR(__xludf.DUMMYFUNCTION("""COMPUTED_VALUE"""),"")</f>
        <v/>
      </c>
      <c r="J5001" t="str">
        <f>IFERROR(__xludf.DUMMYFUNCTION("IFS(
  AND(REGEXMATCH(E5001, ""台銀籌備帳戶|玉山帳戶""), REGEXMATCH(C5001, ""薪資"")), ""分潤支出"",
  AND(REGEXMATCH(E5001, ""Ben帳戶|Elsa帳戶|Ben代墊|Ariel代墊|中信銀行共用""), REGEXMATCH(F5001, ""Ben帳戶|Elsa帳戶|Ben代墊|Ariel代墊|中信銀行共用"")), ""內部轉帳(忽略)"",
  AND(E5001&lt;&gt;"""", F5001&lt;&gt;"""", N"&amp;"OT(REGEXMATCH(C5001, ""薪資""))), ""內部轉帳(忽略)"",
  REGEXMATCH(C5001, ""薪資""), ""薪資變動(不計入)"",
  REGEXMATCH(C5001, ""押金""), ""押金往來"",
  AND(E5001&lt;&gt;"""", F5001=""""), ""真實支出"",
  AND(E5001="""", F5001&lt;&gt;""""), ""真實收入"",
  TRUE, ""其他""
)"),"其他")</f>
        <v>其他</v>
      </c>
      <c r="K5001" s="270" t="str">
        <f t="shared" si="2"/>
        <v/>
      </c>
      <c r="L5001">
        <f t="shared" si="3"/>
        <v>0</v>
      </c>
    </row>
    <row r="5002">
      <c r="A5002" s="107"/>
      <c r="D5002" s="270"/>
      <c r="H5002" s="106" t="str">
        <f t="shared" si="1"/>
        <v/>
      </c>
      <c r="I5002" s="271" t="str">
        <f>IFERROR(__xludf.DUMMYFUNCTION("""COMPUTED_VALUE"""),"")</f>
        <v/>
      </c>
      <c r="J5002" t="str">
        <f>IFERROR(__xludf.DUMMYFUNCTION("IFS(
  AND(REGEXMATCH(E5002, ""台銀籌備帳戶|玉山帳戶""), REGEXMATCH(C5002, ""薪資"")), ""分潤支出"",
  AND(REGEXMATCH(E5002, ""Ben帳戶|Elsa帳戶|Ben代墊|Ariel代墊|中信銀行共用""), REGEXMATCH(F5002, ""Ben帳戶|Elsa帳戶|Ben代墊|Ariel代墊|中信銀行共用"")), ""內部轉帳(忽略)"",
  AND(E5002&lt;&gt;"""", F5002&lt;&gt;"""", N"&amp;"OT(REGEXMATCH(C5002, ""薪資""))), ""內部轉帳(忽略)"",
  REGEXMATCH(C5002, ""薪資""), ""薪資變動(不計入)"",
  REGEXMATCH(C5002, ""押金""), ""押金往來"",
  AND(E5002&lt;&gt;"""", F5002=""""), ""真實支出"",
  AND(E5002="""", F5002&lt;&gt;""""), ""真實收入"",
  TRUE, ""其他""
)"),"其他")</f>
        <v>其他</v>
      </c>
      <c r="K5002" s="270" t="str">
        <f t="shared" si="2"/>
        <v/>
      </c>
      <c r="L5002">
        <f t="shared" si="3"/>
        <v>0</v>
      </c>
    </row>
    <row r="5003">
      <c r="A5003" s="107"/>
      <c r="D5003" s="270"/>
      <c r="H5003" s="106" t="str">
        <f t="shared" si="1"/>
        <v/>
      </c>
      <c r="I5003" s="271" t="str">
        <f>IFERROR(__xludf.DUMMYFUNCTION("""COMPUTED_VALUE"""),"")</f>
        <v/>
      </c>
      <c r="J5003" t="str">
        <f>IFERROR(__xludf.DUMMYFUNCTION("IFS(
  AND(REGEXMATCH(E5003, ""台銀籌備帳戶|玉山帳戶""), REGEXMATCH(C5003, ""薪資"")), ""分潤支出"",
  AND(REGEXMATCH(E5003, ""Ben帳戶|Elsa帳戶|Ben代墊|Ariel代墊|中信銀行共用""), REGEXMATCH(F5003, ""Ben帳戶|Elsa帳戶|Ben代墊|Ariel代墊|中信銀行共用"")), ""內部轉帳(忽略)"",
  AND(E5003&lt;&gt;"""", F5003&lt;&gt;"""", N"&amp;"OT(REGEXMATCH(C5003, ""薪資""))), ""內部轉帳(忽略)"",
  REGEXMATCH(C5003, ""薪資""), ""薪資變動(不計入)"",
  REGEXMATCH(C5003, ""押金""), ""押金往來"",
  AND(E5003&lt;&gt;"""", F5003=""""), ""真實支出"",
  AND(E5003="""", F5003&lt;&gt;""""), ""真實收入"",
  TRUE, ""其他""
)"),"其他")</f>
        <v>其他</v>
      </c>
      <c r="K5003" s="270" t="str">
        <f t="shared" si="2"/>
        <v/>
      </c>
      <c r="L5003">
        <f t="shared" si="3"/>
        <v>0</v>
      </c>
    </row>
    <row r="5004">
      <c r="A5004" s="107"/>
      <c r="D5004" s="270"/>
      <c r="H5004" s="106" t="str">
        <f t="shared" si="1"/>
        <v/>
      </c>
      <c r="I5004" s="271" t="str">
        <f>IFERROR(__xludf.DUMMYFUNCTION("""COMPUTED_VALUE"""),"")</f>
        <v/>
      </c>
      <c r="J5004" t="str">
        <f>IFERROR(__xludf.DUMMYFUNCTION("IFS(
  AND(REGEXMATCH(E5004, ""台銀籌備帳戶|玉山帳戶""), REGEXMATCH(C5004, ""薪資"")), ""分潤支出"",
  AND(REGEXMATCH(E5004, ""Ben帳戶|Elsa帳戶|Ben代墊|Ariel代墊|中信銀行共用""), REGEXMATCH(F5004, ""Ben帳戶|Elsa帳戶|Ben代墊|Ariel代墊|中信銀行共用"")), ""內部轉帳(忽略)"",
  AND(E5004&lt;&gt;"""", F5004&lt;&gt;"""", N"&amp;"OT(REGEXMATCH(C5004, ""薪資""))), ""內部轉帳(忽略)"",
  REGEXMATCH(C5004, ""薪資""), ""薪資變動(不計入)"",
  REGEXMATCH(C5004, ""押金""), ""押金往來"",
  AND(E5004&lt;&gt;"""", F5004=""""), ""真實支出"",
  AND(E5004="""", F5004&lt;&gt;""""), ""真實收入"",
  TRUE, ""其他""
)"),"其他")</f>
        <v>其他</v>
      </c>
      <c r="K5004" s="270" t="str">
        <f t="shared" si="2"/>
        <v/>
      </c>
      <c r="L5004">
        <f t="shared" si="3"/>
        <v>0</v>
      </c>
    </row>
    <row r="5005">
      <c r="A5005" s="107"/>
      <c r="D5005" s="270"/>
      <c r="H5005" s="106" t="str">
        <f t="shared" si="1"/>
        <v/>
      </c>
      <c r="I5005" s="271" t="str">
        <f>IFERROR(__xludf.DUMMYFUNCTION("""COMPUTED_VALUE"""),"")</f>
        <v/>
      </c>
      <c r="J5005" t="str">
        <f>IFERROR(__xludf.DUMMYFUNCTION("IFS(
  AND(REGEXMATCH(E5005, ""台銀籌備帳戶|玉山帳戶""), REGEXMATCH(C5005, ""薪資"")), ""分潤支出"",
  AND(REGEXMATCH(E5005, ""Ben帳戶|Elsa帳戶|Ben代墊|Ariel代墊|中信銀行共用""), REGEXMATCH(F5005, ""Ben帳戶|Elsa帳戶|Ben代墊|Ariel代墊|中信銀行共用"")), ""內部轉帳(忽略)"",
  AND(E5005&lt;&gt;"""", F5005&lt;&gt;"""", N"&amp;"OT(REGEXMATCH(C5005, ""薪資""))), ""內部轉帳(忽略)"",
  REGEXMATCH(C5005, ""薪資""), ""薪資變動(不計入)"",
  REGEXMATCH(C5005, ""押金""), ""押金往來"",
  AND(E5005&lt;&gt;"""", F5005=""""), ""真實支出"",
  AND(E5005="""", F5005&lt;&gt;""""), ""真實收入"",
  TRUE, ""其他""
)"),"其他")</f>
        <v>其他</v>
      </c>
      <c r="K5005" s="270" t="str">
        <f t="shared" si="2"/>
        <v/>
      </c>
      <c r="L5005">
        <f t="shared" si="3"/>
        <v>0</v>
      </c>
    </row>
    <row r="5006">
      <c r="A5006" s="107"/>
      <c r="D5006" s="270"/>
      <c r="H5006" s="106" t="str">
        <f t="shared" si="1"/>
        <v/>
      </c>
      <c r="I5006" s="271" t="str">
        <f>IFERROR(__xludf.DUMMYFUNCTION("""COMPUTED_VALUE"""),"")</f>
        <v/>
      </c>
      <c r="J5006" t="str">
        <f>IFERROR(__xludf.DUMMYFUNCTION("IFS(
  AND(REGEXMATCH(E5006, ""台銀籌備帳戶|玉山帳戶""), REGEXMATCH(C5006, ""薪資"")), ""分潤支出"",
  AND(REGEXMATCH(E5006, ""Ben帳戶|Elsa帳戶|Ben代墊|Ariel代墊|中信銀行共用""), REGEXMATCH(F5006, ""Ben帳戶|Elsa帳戶|Ben代墊|Ariel代墊|中信銀行共用"")), ""內部轉帳(忽略)"",
  AND(E5006&lt;&gt;"""", F5006&lt;&gt;"""", N"&amp;"OT(REGEXMATCH(C5006, ""薪資""))), ""內部轉帳(忽略)"",
  REGEXMATCH(C5006, ""薪資""), ""薪資變動(不計入)"",
  REGEXMATCH(C5006, ""押金""), ""押金往來"",
  AND(E5006&lt;&gt;"""", F5006=""""), ""真實支出"",
  AND(E5006="""", F5006&lt;&gt;""""), ""真實收入"",
  TRUE, ""其他""
)"),"其他")</f>
        <v>其他</v>
      </c>
      <c r="K5006" s="270" t="str">
        <f t="shared" si="2"/>
        <v/>
      </c>
      <c r="L5006">
        <f t="shared" si="3"/>
        <v>0</v>
      </c>
    </row>
    <row r="5007">
      <c r="A5007" s="107"/>
      <c r="D5007" s="270"/>
      <c r="H5007" s="106" t="str">
        <f t="shared" si="1"/>
        <v/>
      </c>
      <c r="I5007" s="271" t="str">
        <f>IFERROR(__xludf.DUMMYFUNCTION("""COMPUTED_VALUE"""),"")</f>
        <v/>
      </c>
      <c r="J5007" t="str">
        <f>IFERROR(__xludf.DUMMYFUNCTION("IFS(
  AND(REGEXMATCH(E5007, ""台銀籌備帳戶|玉山帳戶""), REGEXMATCH(C5007, ""薪資"")), ""分潤支出"",
  AND(REGEXMATCH(E5007, ""Ben帳戶|Elsa帳戶|Ben代墊|Ariel代墊|中信銀行共用""), REGEXMATCH(F5007, ""Ben帳戶|Elsa帳戶|Ben代墊|Ariel代墊|中信銀行共用"")), ""內部轉帳(忽略)"",
  AND(E5007&lt;&gt;"""", F5007&lt;&gt;"""", N"&amp;"OT(REGEXMATCH(C5007, ""薪資""))), ""內部轉帳(忽略)"",
  REGEXMATCH(C5007, ""薪資""), ""薪資變動(不計入)"",
  REGEXMATCH(C5007, ""押金""), ""押金往來"",
  AND(E5007&lt;&gt;"""", F5007=""""), ""真實支出"",
  AND(E5007="""", F5007&lt;&gt;""""), ""真實收入"",
  TRUE, ""其他""
)"),"其他")</f>
        <v>其他</v>
      </c>
      <c r="K5007" s="270" t="str">
        <f t="shared" si="2"/>
        <v/>
      </c>
      <c r="L5007">
        <f t="shared" si="3"/>
        <v>0</v>
      </c>
    </row>
    <row r="5008">
      <c r="A5008" s="107"/>
      <c r="D5008" s="270"/>
      <c r="H5008" s="106" t="str">
        <f t="shared" si="1"/>
        <v/>
      </c>
      <c r="I5008" s="271" t="str">
        <f>IFERROR(__xludf.DUMMYFUNCTION("""COMPUTED_VALUE"""),"")</f>
        <v/>
      </c>
      <c r="J5008" t="str">
        <f>IFERROR(__xludf.DUMMYFUNCTION("IFS(
  AND(REGEXMATCH(E5008, ""台銀籌備帳戶|玉山帳戶""), REGEXMATCH(C5008, ""薪資"")), ""分潤支出"",
  AND(REGEXMATCH(E5008, ""Ben帳戶|Elsa帳戶|Ben代墊|Ariel代墊|中信銀行共用""), REGEXMATCH(F5008, ""Ben帳戶|Elsa帳戶|Ben代墊|Ariel代墊|中信銀行共用"")), ""內部轉帳(忽略)"",
  AND(E5008&lt;&gt;"""", F5008&lt;&gt;"""", N"&amp;"OT(REGEXMATCH(C5008, ""薪資""))), ""內部轉帳(忽略)"",
  REGEXMATCH(C5008, ""薪資""), ""薪資變動(不計入)"",
  REGEXMATCH(C5008, ""押金""), ""押金往來"",
  AND(E5008&lt;&gt;"""", F5008=""""), ""真實支出"",
  AND(E5008="""", F5008&lt;&gt;""""), ""真實收入"",
  TRUE, ""其他""
)"),"其他")</f>
        <v>其他</v>
      </c>
      <c r="K5008" s="270" t="str">
        <f t="shared" si="2"/>
        <v/>
      </c>
      <c r="L5008">
        <f t="shared" si="3"/>
        <v>0</v>
      </c>
    </row>
    <row r="5009">
      <c r="A5009" s="107"/>
      <c r="D5009" s="270"/>
      <c r="H5009" s="106" t="str">
        <f t="shared" si="1"/>
        <v/>
      </c>
      <c r="I5009" s="271" t="str">
        <f>IFERROR(__xludf.DUMMYFUNCTION("""COMPUTED_VALUE"""),"")</f>
        <v/>
      </c>
      <c r="J5009" t="str">
        <f>IFERROR(__xludf.DUMMYFUNCTION("IFS(
  AND(REGEXMATCH(E5009, ""台銀籌備帳戶|玉山帳戶""), REGEXMATCH(C5009, ""薪資"")), ""分潤支出"",
  AND(REGEXMATCH(E5009, ""Ben帳戶|Elsa帳戶|Ben代墊|Ariel代墊|中信銀行共用""), REGEXMATCH(F5009, ""Ben帳戶|Elsa帳戶|Ben代墊|Ariel代墊|中信銀行共用"")), ""內部轉帳(忽略)"",
  AND(E5009&lt;&gt;"""", F5009&lt;&gt;"""", N"&amp;"OT(REGEXMATCH(C5009, ""薪資""))), ""內部轉帳(忽略)"",
  REGEXMATCH(C5009, ""薪資""), ""薪資變動(不計入)"",
  REGEXMATCH(C5009, ""押金""), ""押金往來"",
  AND(E5009&lt;&gt;"""", F5009=""""), ""真實支出"",
  AND(E5009="""", F5009&lt;&gt;""""), ""真實收入"",
  TRUE, ""其他""
)"),"其他")</f>
        <v>其他</v>
      </c>
      <c r="K5009" s="270" t="str">
        <f t="shared" si="2"/>
        <v/>
      </c>
      <c r="L5009">
        <f t="shared" si="3"/>
        <v>0</v>
      </c>
    </row>
    <row r="5010">
      <c r="A5010" s="107"/>
      <c r="D5010" s="270"/>
      <c r="H5010" s="106" t="str">
        <f t="shared" si="1"/>
        <v/>
      </c>
      <c r="I5010" s="271" t="str">
        <f>IFERROR(__xludf.DUMMYFUNCTION("""COMPUTED_VALUE"""),"")</f>
        <v/>
      </c>
      <c r="J5010" t="str">
        <f>IFERROR(__xludf.DUMMYFUNCTION("IFS(
  AND(REGEXMATCH(E5010, ""台銀籌備帳戶|玉山帳戶""), REGEXMATCH(C5010, ""薪資"")), ""分潤支出"",
  AND(REGEXMATCH(E5010, ""Ben帳戶|Elsa帳戶|Ben代墊|Ariel代墊|中信銀行共用""), REGEXMATCH(F5010, ""Ben帳戶|Elsa帳戶|Ben代墊|Ariel代墊|中信銀行共用"")), ""內部轉帳(忽略)"",
  AND(E5010&lt;&gt;"""", F5010&lt;&gt;"""", N"&amp;"OT(REGEXMATCH(C5010, ""薪資""))), ""內部轉帳(忽略)"",
  REGEXMATCH(C5010, ""薪資""), ""薪資變動(不計入)"",
  REGEXMATCH(C5010, ""押金""), ""押金往來"",
  AND(E5010&lt;&gt;"""", F5010=""""), ""真實支出"",
  AND(E5010="""", F5010&lt;&gt;""""), ""真實收入"",
  TRUE, ""其他""
)"),"其他")</f>
        <v>其他</v>
      </c>
      <c r="K5010" s="270" t="str">
        <f t="shared" si="2"/>
        <v/>
      </c>
      <c r="L5010">
        <f t="shared" si="3"/>
        <v>0</v>
      </c>
    </row>
    <row r="5011">
      <c r="A5011" s="107"/>
      <c r="D5011" s="270"/>
      <c r="H5011" s="106" t="str">
        <f t="shared" si="1"/>
        <v/>
      </c>
      <c r="I5011" s="271" t="str">
        <f>IFERROR(__xludf.DUMMYFUNCTION("""COMPUTED_VALUE"""),"")</f>
        <v/>
      </c>
      <c r="J5011" t="str">
        <f>IFERROR(__xludf.DUMMYFUNCTION("IFS(
  AND(REGEXMATCH(E5011, ""台銀籌備帳戶|玉山帳戶""), REGEXMATCH(C5011, ""薪資"")), ""分潤支出"",
  AND(REGEXMATCH(E5011, ""Ben帳戶|Elsa帳戶|Ben代墊|Ariel代墊|中信銀行共用""), REGEXMATCH(F5011, ""Ben帳戶|Elsa帳戶|Ben代墊|Ariel代墊|中信銀行共用"")), ""內部轉帳(忽略)"",
  AND(E5011&lt;&gt;"""", F5011&lt;&gt;"""", N"&amp;"OT(REGEXMATCH(C5011, ""薪資""))), ""內部轉帳(忽略)"",
  REGEXMATCH(C5011, ""薪資""), ""薪資變動(不計入)"",
  REGEXMATCH(C5011, ""押金""), ""押金往來"",
  AND(E5011&lt;&gt;"""", F5011=""""), ""真實支出"",
  AND(E5011="""", F5011&lt;&gt;""""), ""真實收入"",
  TRUE, ""其他""
)"),"其他")</f>
        <v>其他</v>
      </c>
      <c r="K5011" s="270" t="str">
        <f t="shared" si="2"/>
        <v/>
      </c>
      <c r="L5011">
        <f t="shared" si="3"/>
        <v>0</v>
      </c>
    </row>
    <row r="5012">
      <c r="A5012" s="107"/>
      <c r="D5012" s="270"/>
      <c r="H5012" s="106" t="str">
        <f t="shared" si="1"/>
        <v/>
      </c>
      <c r="I5012" s="271" t="str">
        <f>IFERROR(__xludf.DUMMYFUNCTION("""COMPUTED_VALUE"""),"")</f>
        <v/>
      </c>
      <c r="J5012" t="str">
        <f>IFERROR(__xludf.DUMMYFUNCTION("IFS(
  AND(REGEXMATCH(E5012, ""台銀籌備帳戶|玉山帳戶""), REGEXMATCH(C5012, ""薪資"")), ""分潤支出"",
  AND(REGEXMATCH(E5012, ""Ben帳戶|Elsa帳戶|Ben代墊|Ariel代墊|中信銀行共用""), REGEXMATCH(F5012, ""Ben帳戶|Elsa帳戶|Ben代墊|Ariel代墊|中信銀行共用"")), ""內部轉帳(忽略)"",
  AND(E5012&lt;&gt;"""", F5012&lt;&gt;"""", N"&amp;"OT(REGEXMATCH(C5012, ""薪資""))), ""內部轉帳(忽略)"",
  REGEXMATCH(C5012, ""薪資""), ""薪資變動(不計入)"",
  REGEXMATCH(C5012, ""押金""), ""押金往來"",
  AND(E5012&lt;&gt;"""", F5012=""""), ""真實支出"",
  AND(E5012="""", F5012&lt;&gt;""""), ""真實收入"",
  TRUE, ""其他""
)"),"其他")</f>
        <v>其他</v>
      </c>
      <c r="K5012" s="270" t="str">
        <f t="shared" si="2"/>
        <v/>
      </c>
      <c r="L5012">
        <f t="shared" si="3"/>
        <v>0</v>
      </c>
    </row>
    <row r="5013">
      <c r="A5013" s="107"/>
      <c r="D5013" s="270"/>
      <c r="H5013" s="106" t="str">
        <f t="shared" si="1"/>
        <v/>
      </c>
      <c r="I5013" s="271" t="str">
        <f>IFERROR(__xludf.DUMMYFUNCTION("""COMPUTED_VALUE"""),"")</f>
        <v/>
      </c>
      <c r="J5013" t="str">
        <f>IFERROR(__xludf.DUMMYFUNCTION("IFS(
  AND(REGEXMATCH(E5013, ""台銀籌備帳戶|玉山帳戶""), REGEXMATCH(C5013, ""薪資"")), ""分潤支出"",
  AND(REGEXMATCH(E5013, ""Ben帳戶|Elsa帳戶|Ben代墊|Ariel代墊|中信銀行共用""), REGEXMATCH(F5013, ""Ben帳戶|Elsa帳戶|Ben代墊|Ariel代墊|中信銀行共用"")), ""內部轉帳(忽略)"",
  AND(E5013&lt;&gt;"""", F5013&lt;&gt;"""", N"&amp;"OT(REGEXMATCH(C5013, ""薪資""))), ""內部轉帳(忽略)"",
  REGEXMATCH(C5013, ""薪資""), ""薪資變動(不計入)"",
  REGEXMATCH(C5013, ""押金""), ""押金往來"",
  AND(E5013&lt;&gt;"""", F5013=""""), ""真實支出"",
  AND(E5013="""", F5013&lt;&gt;""""), ""真實收入"",
  TRUE, ""其他""
)"),"其他")</f>
        <v>其他</v>
      </c>
      <c r="K5013" s="270" t="str">
        <f t="shared" si="2"/>
        <v/>
      </c>
      <c r="L5013">
        <f t="shared" si="3"/>
        <v>0</v>
      </c>
    </row>
    <row r="5014">
      <c r="A5014" s="107"/>
      <c r="D5014" s="270"/>
      <c r="H5014" s="106" t="str">
        <f t="shared" si="1"/>
        <v/>
      </c>
      <c r="I5014" s="271" t="str">
        <f>IFERROR(__xludf.DUMMYFUNCTION("""COMPUTED_VALUE"""),"")</f>
        <v/>
      </c>
      <c r="J5014" t="str">
        <f>IFERROR(__xludf.DUMMYFUNCTION("IFS(
  AND(REGEXMATCH(E5014, ""台銀籌備帳戶|玉山帳戶""), REGEXMATCH(C5014, ""薪資"")), ""分潤支出"",
  AND(REGEXMATCH(E5014, ""Ben帳戶|Elsa帳戶|Ben代墊|Ariel代墊|中信銀行共用""), REGEXMATCH(F5014, ""Ben帳戶|Elsa帳戶|Ben代墊|Ariel代墊|中信銀行共用"")), ""內部轉帳(忽略)"",
  AND(E5014&lt;&gt;"""", F5014&lt;&gt;"""", N"&amp;"OT(REGEXMATCH(C5014, ""薪資""))), ""內部轉帳(忽略)"",
  REGEXMATCH(C5014, ""薪資""), ""薪資變動(不計入)"",
  REGEXMATCH(C5014, ""押金""), ""押金往來"",
  AND(E5014&lt;&gt;"""", F5014=""""), ""真實支出"",
  AND(E5014="""", F5014&lt;&gt;""""), ""真實收入"",
  TRUE, ""其他""
)"),"其他")</f>
        <v>其他</v>
      </c>
      <c r="K5014" s="270" t="str">
        <f t="shared" si="2"/>
        <v/>
      </c>
      <c r="L5014">
        <f t="shared" si="3"/>
        <v>0</v>
      </c>
    </row>
    <row r="5015">
      <c r="A5015" s="107"/>
      <c r="D5015" s="270"/>
      <c r="H5015" s="106" t="str">
        <f t="shared" si="1"/>
        <v/>
      </c>
      <c r="I5015" s="271" t="str">
        <f>IFERROR(__xludf.DUMMYFUNCTION("""COMPUTED_VALUE"""),"")</f>
        <v/>
      </c>
      <c r="J5015" t="str">
        <f>IFERROR(__xludf.DUMMYFUNCTION("IFS(
  AND(REGEXMATCH(E5015, ""台銀籌備帳戶|玉山帳戶""), REGEXMATCH(C5015, ""薪資"")), ""分潤支出"",
  AND(REGEXMATCH(E5015, ""Ben帳戶|Elsa帳戶|Ben代墊|Ariel代墊|中信銀行共用""), REGEXMATCH(F5015, ""Ben帳戶|Elsa帳戶|Ben代墊|Ariel代墊|中信銀行共用"")), ""內部轉帳(忽略)"",
  AND(E5015&lt;&gt;"""", F5015&lt;&gt;"""", N"&amp;"OT(REGEXMATCH(C5015, ""薪資""))), ""內部轉帳(忽略)"",
  REGEXMATCH(C5015, ""薪資""), ""薪資變動(不計入)"",
  REGEXMATCH(C5015, ""押金""), ""押金往來"",
  AND(E5015&lt;&gt;"""", F5015=""""), ""真實支出"",
  AND(E5015="""", F5015&lt;&gt;""""), ""真實收入"",
  TRUE, ""其他""
)"),"其他")</f>
        <v>其他</v>
      </c>
      <c r="K5015" s="270" t="str">
        <f t="shared" si="2"/>
        <v/>
      </c>
      <c r="L5015">
        <f t="shared" si="3"/>
        <v>0</v>
      </c>
    </row>
    <row r="5016">
      <c r="A5016" s="107"/>
      <c r="D5016" s="270"/>
      <c r="H5016" s="106" t="str">
        <f t="shared" si="1"/>
        <v/>
      </c>
      <c r="I5016" s="271" t="str">
        <f>IFERROR(__xludf.DUMMYFUNCTION("""COMPUTED_VALUE"""),"")</f>
        <v/>
      </c>
      <c r="J5016" t="str">
        <f>IFERROR(__xludf.DUMMYFUNCTION("IFS(
  AND(REGEXMATCH(E5016, ""台銀籌備帳戶|玉山帳戶""), REGEXMATCH(C5016, ""薪資"")), ""分潤支出"",
  AND(REGEXMATCH(E5016, ""Ben帳戶|Elsa帳戶|Ben代墊|Ariel代墊|中信銀行共用""), REGEXMATCH(F5016, ""Ben帳戶|Elsa帳戶|Ben代墊|Ariel代墊|中信銀行共用"")), ""內部轉帳(忽略)"",
  AND(E5016&lt;&gt;"""", F5016&lt;&gt;"""", N"&amp;"OT(REGEXMATCH(C5016, ""薪資""))), ""內部轉帳(忽略)"",
  REGEXMATCH(C5016, ""薪資""), ""薪資變動(不計入)"",
  REGEXMATCH(C5016, ""押金""), ""押金往來"",
  AND(E5016&lt;&gt;"""", F5016=""""), ""真實支出"",
  AND(E5016="""", F5016&lt;&gt;""""), ""真實收入"",
  TRUE, ""其他""
)"),"其他")</f>
        <v>其他</v>
      </c>
      <c r="K5016" s="270" t="str">
        <f t="shared" si="2"/>
        <v/>
      </c>
      <c r="L5016">
        <f t="shared" si="3"/>
        <v>0</v>
      </c>
    </row>
    <row r="5017">
      <c r="A5017" s="107"/>
      <c r="D5017" s="270"/>
      <c r="H5017" s="106" t="str">
        <f t="shared" si="1"/>
        <v/>
      </c>
      <c r="I5017" s="271" t="str">
        <f>IFERROR(__xludf.DUMMYFUNCTION("""COMPUTED_VALUE"""),"")</f>
        <v/>
      </c>
      <c r="J5017" t="str">
        <f>IFERROR(__xludf.DUMMYFUNCTION("IFS(
  AND(REGEXMATCH(E5017, ""台銀籌備帳戶|玉山帳戶""), REGEXMATCH(C5017, ""薪資"")), ""分潤支出"",
  AND(REGEXMATCH(E5017, ""Ben帳戶|Elsa帳戶|Ben代墊|Ariel代墊|中信銀行共用""), REGEXMATCH(F5017, ""Ben帳戶|Elsa帳戶|Ben代墊|Ariel代墊|中信銀行共用"")), ""內部轉帳(忽略)"",
  AND(E5017&lt;&gt;"""", F5017&lt;&gt;"""", N"&amp;"OT(REGEXMATCH(C5017, ""薪資""))), ""內部轉帳(忽略)"",
  REGEXMATCH(C5017, ""薪資""), ""薪資變動(不計入)"",
  REGEXMATCH(C5017, ""押金""), ""押金往來"",
  AND(E5017&lt;&gt;"""", F5017=""""), ""真實支出"",
  AND(E5017="""", F5017&lt;&gt;""""), ""真實收入"",
  TRUE, ""其他""
)"),"其他")</f>
        <v>其他</v>
      </c>
      <c r="K5017" s="270" t="str">
        <f t="shared" si="2"/>
        <v/>
      </c>
      <c r="L5017">
        <f t="shared" si="3"/>
        <v>0</v>
      </c>
    </row>
    <row r="5018">
      <c r="A5018" s="107"/>
      <c r="D5018" s="270"/>
      <c r="H5018" s="106" t="str">
        <f t="shared" si="1"/>
        <v/>
      </c>
      <c r="I5018" s="271" t="str">
        <f>IFERROR(__xludf.DUMMYFUNCTION("""COMPUTED_VALUE"""),"")</f>
        <v/>
      </c>
      <c r="J5018" t="str">
        <f>IFERROR(__xludf.DUMMYFUNCTION("IFS(
  AND(REGEXMATCH(E5018, ""台銀籌備帳戶|玉山帳戶""), REGEXMATCH(C5018, ""薪資"")), ""分潤支出"",
  AND(REGEXMATCH(E5018, ""Ben帳戶|Elsa帳戶|Ben代墊|Ariel代墊|中信銀行共用""), REGEXMATCH(F5018, ""Ben帳戶|Elsa帳戶|Ben代墊|Ariel代墊|中信銀行共用"")), ""內部轉帳(忽略)"",
  AND(E5018&lt;&gt;"""", F5018&lt;&gt;"""", N"&amp;"OT(REGEXMATCH(C5018, ""薪資""))), ""內部轉帳(忽略)"",
  REGEXMATCH(C5018, ""薪資""), ""薪資變動(不計入)"",
  REGEXMATCH(C5018, ""押金""), ""押金往來"",
  AND(E5018&lt;&gt;"""", F5018=""""), ""真實支出"",
  AND(E5018="""", F5018&lt;&gt;""""), ""真實收入"",
  TRUE, ""其他""
)"),"其他")</f>
        <v>其他</v>
      </c>
      <c r="K5018" s="270" t="str">
        <f t="shared" si="2"/>
        <v/>
      </c>
      <c r="L5018">
        <f t="shared" si="3"/>
        <v>0</v>
      </c>
    </row>
    <row r="5019">
      <c r="A5019" s="107"/>
      <c r="D5019" s="270"/>
      <c r="H5019" s="106" t="str">
        <f t="shared" si="1"/>
        <v/>
      </c>
      <c r="I5019" s="271" t="str">
        <f>IFERROR(__xludf.DUMMYFUNCTION("""COMPUTED_VALUE"""),"")</f>
        <v/>
      </c>
      <c r="J5019" t="str">
        <f>IFERROR(__xludf.DUMMYFUNCTION("IFS(
  AND(REGEXMATCH(E5019, ""台銀籌備帳戶|玉山帳戶""), REGEXMATCH(C5019, ""薪資"")), ""分潤支出"",
  AND(REGEXMATCH(E5019, ""Ben帳戶|Elsa帳戶|Ben代墊|Ariel代墊|中信銀行共用""), REGEXMATCH(F5019, ""Ben帳戶|Elsa帳戶|Ben代墊|Ariel代墊|中信銀行共用"")), ""內部轉帳(忽略)"",
  AND(E5019&lt;&gt;"""", F5019&lt;&gt;"""", N"&amp;"OT(REGEXMATCH(C5019, ""薪資""))), ""內部轉帳(忽略)"",
  REGEXMATCH(C5019, ""薪資""), ""薪資變動(不計入)"",
  REGEXMATCH(C5019, ""押金""), ""押金往來"",
  AND(E5019&lt;&gt;"""", F5019=""""), ""真實支出"",
  AND(E5019="""", F5019&lt;&gt;""""), ""真實收入"",
  TRUE, ""其他""
)"),"其他")</f>
        <v>其他</v>
      </c>
      <c r="K5019" s="270" t="str">
        <f t="shared" si="2"/>
        <v/>
      </c>
      <c r="L5019">
        <f t="shared" si="3"/>
        <v>0</v>
      </c>
    </row>
    <row r="5020">
      <c r="A5020" s="107"/>
      <c r="D5020" s="270"/>
      <c r="H5020" s="106" t="str">
        <f t="shared" si="1"/>
        <v/>
      </c>
      <c r="I5020" s="271" t="str">
        <f>IFERROR(__xludf.DUMMYFUNCTION("""COMPUTED_VALUE"""),"")</f>
        <v/>
      </c>
      <c r="J5020" t="str">
        <f>IFERROR(__xludf.DUMMYFUNCTION("IFS(
  AND(REGEXMATCH(E5020, ""台銀籌備帳戶|玉山帳戶""), REGEXMATCH(C5020, ""薪資"")), ""分潤支出"",
  AND(REGEXMATCH(E5020, ""Ben帳戶|Elsa帳戶|Ben代墊|Ariel代墊|中信銀行共用""), REGEXMATCH(F5020, ""Ben帳戶|Elsa帳戶|Ben代墊|Ariel代墊|中信銀行共用"")), ""內部轉帳(忽略)"",
  AND(E5020&lt;&gt;"""", F5020&lt;&gt;"""", N"&amp;"OT(REGEXMATCH(C5020, ""薪資""))), ""內部轉帳(忽略)"",
  REGEXMATCH(C5020, ""薪資""), ""薪資變動(不計入)"",
  REGEXMATCH(C5020, ""押金""), ""押金往來"",
  AND(E5020&lt;&gt;"""", F5020=""""), ""真實支出"",
  AND(E5020="""", F5020&lt;&gt;""""), ""真實收入"",
  TRUE, ""其他""
)"),"其他")</f>
        <v>其他</v>
      </c>
      <c r="K5020" s="270" t="str">
        <f t="shared" si="2"/>
        <v/>
      </c>
      <c r="L5020">
        <f t="shared" si="3"/>
        <v>0</v>
      </c>
    </row>
    <row r="5021">
      <c r="A5021" s="107"/>
      <c r="D5021" s="270"/>
      <c r="H5021" s="106" t="str">
        <f t="shared" si="1"/>
        <v/>
      </c>
      <c r="I5021" s="271" t="str">
        <f>IFERROR(__xludf.DUMMYFUNCTION("""COMPUTED_VALUE"""),"")</f>
        <v/>
      </c>
      <c r="J5021" t="str">
        <f>IFERROR(__xludf.DUMMYFUNCTION("IFS(
  AND(REGEXMATCH(E5021, ""台銀籌備帳戶|玉山帳戶""), REGEXMATCH(C5021, ""薪資"")), ""分潤支出"",
  AND(REGEXMATCH(E5021, ""Ben帳戶|Elsa帳戶|Ben代墊|Ariel代墊|中信銀行共用""), REGEXMATCH(F5021, ""Ben帳戶|Elsa帳戶|Ben代墊|Ariel代墊|中信銀行共用"")), ""內部轉帳(忽略)"",
  AND(E5021&lt;&gt;"""", F5021&lt;&gt;"""", N"&amp;"OT(REGEXMATCH(C5021, ""薪資""))), ""內部轉帳(忽略)"",
  REGEXMATCH(C5021, ""薪資""), ""薪資變動(不計入)"",
  REGEXMATCH(C5021, ""押金""), ""押金往來"",
  AND(E5021&lt;&gt;"""", F5021=""""), ""真實支出"",
  AND(E5021="""", F5021&lt;&gt;""""), ""真實收入"",
  TRUE, ""其他""
)"),"其他")</f>
        <v>其他</v>
      </c>
      <c r="K5021" s="270" t="str">
        <f t="shared" si="2"/>
        <v/>
      </c>
      <c r="L5021">
        <f t="shared" si="3"/>
        <v>0</v>
      </c>
    </row>
    <row r="5022">
      <c r="A5022" s="107"/>
      <c r="D5022" s="270"/>
      <c r="H5022" s="106" t="str">
        <f t="shared" si="1"/>
        <v/>
      </c>
      <c r="I5022" s="271" t="str">
        <f>IFERROR(__xludf.DUMMYFUNCTION("""COMPUTED_VALUE"""),"")</f>
        <v/>
      </c>
      <c r="J5022" t="str">
        <f>IFERROR(__xludf.DUMMYFUNCTION("IFS(
  AND(REGEXMATCH(E5022, ""台銀籌備帳戶|玉山帳戶""), REGEXMATCH(C5022, ""薪資"")), ""分潤支出"",
  AND(REGEXMATCH(E5022, ""Ben帳戶|Elsa帳戶|Ben代墊|Ariel代墊|中信銀行共用""), REGEXMATCH(F5022, ""Ben帳戶|Elsa帳戶|Ben代墊|Ariel代墊|中信銀行共用"")), ""內部轉帳(忽略)"",
  AND(E5022&lt;&gt;"""", F5022&lt;&gt;"""", N"&amp;"OT(REGEXMATCH(C5022, ""薪資""))), ""內部轉帳(忽略)"",
  REGEXMATCH(C5022, ""薪資""), ""薪資變動(不計入)"",
  REGEXMATCH(C5022, ""押金""), ""押金往來"",
  AND(E5022&lt;&gt;"""", F5022=""""), ""真實支出"",
  AND(E5022="""", F5022&lt;&gt;""""), ""真實收入"",
  TRUE, ""其他""
)"),"其他")</f>
        <v>其他</v>
      </c>
      <c r="K5022" s="270" t="str">
        <f t="shared" si="2"/>
        <v/>
      </c>
      <c r="L5022">
        <f t="shared" si="3"/>
        <v>0</v>
      </c>
    </row>
    <row r="5023">
      <c r="A5023" s="107"/>
      <c r="D5023" s="270"/>
      <c r="H5023" s="106" t="str">
        <f t="shared" si="1"/>
        <v/>
      </c>
      <c r="I5023" s="271" t="str">
        <f>IFERROR(__xludf.DUMMYFUNCTION("""COMPUTED_VALUE"""),"")</f>
        <v/>
      </c>
      <c r="J5023" t="str">
        <f>IFERROR(__xludf.DUMMYFUNCTION("IFS(
  AND(REGEXMATCH(E5023, ""台銀籌備帳戶|玉山帳戶""), REGEXMATCH(C5023, ""薪資"")), ""分潤支出"",
  AND(REGEXMATCH(E5023, ""Ben帳戶|Elsa帳戶|Ben代墊|Ariel代墊|中信銀行共用""), REGEXMATCH(F5023, ""Ben帳戶|Elsa帳戶|Ben代墊|Ariel代墊|中信銀行共用"")), ""內部轉帳(忽略)"",
  AND(E5023&lt;&gt;"""", F5023&lt;&gt;"""", N"&amp;"OT(REGEXMATCH(C5023, ""薪資""))), ""內部轉帳(忽略)"",
  REGEXMATCH(C5023, ""薪資""), ""薪資變動(不計入)"",
  REGEXMATCH(C5023, ""押金""), ""押金往來"",
  AND(E5023&lt;&gt;"""", F5023=""""), ""真實支出"",
  AND(E5023="""", F5023&lt;&gt;""""), ""真實收入"",
  TRUE, ""其他""
)"),"其他")</f>
        <v>其他</v>
      </c>
      <c r="K5023" s="270" t="str">
        <f t="shared" si="2"/>
        <v/>
      </c>
      <c r="L5023">
        <f t="shared" si="3"/>
        <v>0</v>
      </c>
    </row>
    <row r="5024">
      <c r="A5024" s="107"/>
      <c r="D5024" s="270"/>
      <c r="H5024" s="106" t="str">
        <f t="shared" si="1"/>
        <v/>
      </c>
      <c r="I5024" s="271" t="str">
        <f>IFERROR(__xludf.DUMMYFUNCTION("""COMPUTED_VALUE"""),"")</f>
        <v/>
      </c>
      <c r="J5024" t="str">
        <f>IFERROR(__xludf.DUMMYFUNCTION("IFS(
  AND(REGEXMATCH(E5024, ""台銀籌備帳戶|玉山帳戶""), REGEXMATCH(C5024, ""薪資"")), ""分潤支出"",
  AND(REGEXMATCH(E5024, ""Ben帳戶|Elsa帳戶|Ben代墊|Ariel代墊|中信銀行共用""), REGEXMATCH(F5024, ""Ben帳戶|Elsa帳戶|Ben代墊|Ariel代墊|中信銀行共用"")), ""內部轉帳(忽略)"",
  AND(E5024&lt;&gt;"""", F5024&lt;&gt;"""", N"&amp;"OT(REGEXMATCH(C5024, ""薪資""))), ""內部轉帳(忽略)"",
  REGEXMATCH(C5024, ""薪資""), ""薪資變動(不計入)"",
  REGEXMATCH(C5024, ""押金""), ""押金往來"",
  AND(E5024&lt;&gt;"""", F5024=""""), ""真實支出"",
  AND(E5024="""", F5024&lt;&gt;""""), ""真實收入"",
  TRUE, ""其他""
)"),"其他")</f>
        <v>其他</v>
      </c>
      <c r="K5024" s="270" t="str">
        <f t="shared" si="2"/>
        <v/>
      </c>
      <c r="L5024">
        <f t="shared" si="3"/>
        <v>0</v>
      </c>
    </row>
    <row r="5025">
      <c r="A5025" s="107"/>
      <c r="D5025" s="270"/>
      <c r="H5025" s="106" t="str">
        <f t="shared" si="1"/>
        <v/>
      </c>
      <c r="I5025" s="271" t="str">
        <f>IFERROR(__xludf.DUMMYFUNCTION("""COMPUTED_VALUE"""),"")</f>
        <v/>
      </c>
      <c r="J5025" t="str">
        <f>IFERROR(__xludf.DUMMYFUNCTION("IFS(
  AND(REGEXMATCH(E5025, ""台銀籌備帳戶|玉山帳戶""), REGEXMATCH(C5025, ""薪資"")), ""分潤支出"",
  AND(REGEXMATCH(E5025, ""Ben帳戶|Elsa帳戶|Ben代墊|Ariel代墊|中信銀行共用""), REGEXMATCH(F5025, ""Ben帳戶|Elsa帳戶|Ben代墊|Ariel代墊|中信銀行共用"")), ""內部轉帳(忽略)"",
  AND(E5025&lt;&gt;"""", F5025&lt;&gt;"""", N"&amp;"OT(REGEXMATCH(C5025, ""薪資""))), ""內部轉帳(忽略)"",
  REGEXMATCH(C5025, ""薪資""), ""薪資變動(不計入)"",
  REGEXMATCH(C5025, ""押金""), ""押金往來"",
  AND(E5025&lt;&gt;"""", F5025=""""), ""真實支出"",
  AND(E5025="""", F5025&lt;&gt;""""), ""真實收入"",
  TRUE, ""其他""
)"),"其他")</f>
        <v>其他</v>
      </c>
      <c r="K5025" s="270" t="str">
        <f t="shared" si="2"/>
        <v/>
      </c>
      <c r="L5025">
        <f t="shared" si="3"/>
        <v>0</v>
      </c>
    </row>
    <row r="5026">
      <c r="A5026" s="107"/>
      <c r="D5026" s="270"/>
      <c r="H5026" s="106" t="str">
        <f t="shared" si="1"/>
        <v/>
      </c>
      <c r="I5026" s="271" t="str">
        <f>IFERROR(__xludf.DUMMYFUNCTION("""COMPUTED_VALUE"""),"")</f>
        <v/>
      </c>
      <c r="J5026" t="str">
        <f>IFERROR(__xludf.DUMMYFUNCTION("IFS(
  AND(REGEXMATCH(E5026, ""台銀籌備帳戶|玉山帳戶""), REGEXMATCH(C5026, ""薪資"")), ""分潤支出"",
  AND(REGEXMATCH(E5026, ""Ben帳戶|Elsa帳戶|Ben代墊|Ariel代墊|中信銀行共用""), REGEXMATCH(F5026, ""Ben帳戶|Elsa帳戶|Ben代墊|Ariel代墊|中信銀行共用"")), ""內部轉帳(忽略)"",
  AND(E5026&lt;&gt;"""", F5026&lt;&gt;"""", N"&amp;"OT(REGEXMATCH(C5026, ""薪資""))), ""內部轉帳(忽略)"",
  REGEXMATCH(C5026, ""薪資""), ""薪資變動(不計入)"",
  REGEXMATCH(C5026, ""押金""), ""押金往來"",
  AND(E5026&lt;&gt;"""", F5026=""""), ""真實支出"",
  AND(E5026="""", F5026&lt;&gt;""""), ""真實收入"",
  TRUE, ""其他""
)"),"其他")</f>
        <v>其他</v>
      </c>
      <c r="K5026" s="270" t="str">
        <f t="shared" si="2"/>
        <v/>
      </c>
      <c r="L5026">
        <f t="shared" si="3"/>
        <v>0</v>
      </c>
    </row>
    <row r="5027">
      <c r="A5027" s="107"/>
      <c r="D5027" s="270"/>
      <c r="H5027" s="106" t="str">
        <f t="shared" si="1"/>
        <v/>
      </c>
      <c r="I5027" s="271" t="str">
        <f>IFERROR(__xludf.DUMMYFUNCTION("""COMPUTED_VALUE"""),"")</f>
        <v/>
      </c>
      <c r="J5027" t="str">
        <f>IFERROR(__xludf.DUMMYFUNCTION("IFS(
  AND(REGEXMATCH(E5027, ""台銀籌備帳戶|玉山帳戶""), REGEXMATCH(C5027, ""薪資"")), ""分潤支出"",
  AND(REGEXMATCH(E5027, ""Ben帳戶|Elsa帳戶|Ben代墊|Ariel代墊|中信銀行共用""), REGEXMATCH(F5027, ""Ben帳戶|Elsa帳戶|Ben代墊|Ariel代墊|中信銀行共用"")), ""內部轉帳(忽略)"",
  AND(E5027&lt;&gt;"""", F5027&lt;&gt;"""", N"&amp;"OT(REGEXMATCH(C5027, ""薪資""))), ""內部轉帳(忽略)"",
  REGEXMATCH(C5027, ""薪資""), ""薪資變動(不計入)"",
  REGEXMATCH(C5027, ""押金""), ""押金往來"",
  AND(E5027&lt;&gt;"""", F5027=""""), ""真實支出"",
  AND(E5027="""", F5027&lt;&gt;""""), ""真實收入"",
  TRUE, ""其他""
)"),"其他")</f>
        <v>其他</v>
      </c>
      <c r="K5027" s="270" t="str">
        <f t="shared" si="2"/>
        <v/>
      </c>
      <c r="L5027">
        <f t="shared" si="3"/>
        <v>0</v>
      </c>
    </row>
    <row r="5028">
      <c r="A5028" s="107"/>
      <c r="D5028" s="270"/>
      <c r="H5028" s="106" t="str">
        <f t="shared" si="1"/>
        <v/>
      </c>
      <c r="I5028" s="271" t="str">
        <f>IFERROR(__xludf.DUMMYFUNCTION("""COMPUTED_VALUE"""),"")</f>
        <v/>
      </c>
      <c r="J5028" t="str">
        <f>IFERROR(__xludf.DUMMYFUNCTION("IFS(
  AND(REGEXMATCH(E5028, ""台銀籌備帳戶|玉山帳戶""), REGEXMATCH(C5028, ""薪資"")), ""分潤支出"",
  AND(REGEXMATCH(E5028, ""Ben帳戶|Elsa帳戶|Ben代墊|Ariel代墊|中信銀行共用""), REGEXMATCH(F5028, ""Ben帳戶|Elsa帳戶|Ben代墊|Ariel代墊|中信銀行共用"")), ""內部轉帳(忽略)"",
  AND(E5028&lt;&gt;"""", F5028&lt;&gt;"""", N"&amp;"OT(REGEXMATCH(C5028, ""薪資""))), ""內部轉帳(忽略)"",
  REGEXMATCH(C5028, ""薪資""), ""薪資變動(不計入)"",
  REGEXMATCH(C5028, ""押金""), ""押金往來"",
  AND(E5028&lt;&gt;"""", F5028=""""), ""真實支出"",
  AND(E5028="""", F5028&lt;&gt;""""), ""真實收入"",
  TRUE, ""其他""
)"),"其他")</f>
        <v>其他</v>
      </c>
      <c r="K5028" s="270" t="str">
        <f t="shared" si="2"/>
        <v/>
      </c>
      <c r="L5028">
        <f t="shared" si="3"/>
        <v>0</v>
      </c>
    </row>
    <row r="5029">
      <c r="A5029" s="107"/>
      <c r="D5029" s="270"/>
      <c r="H5029" s="106" t="str">
        <f t="shared" si="1"/>
        <v/>
      </c>
      <c r="I5029" s="271" t="str">
        <f>IFERROR(__xludf.DUMMYFUNCTION("""COMPUTED_VALUE"""),"")</f>
        <v/>
      </c>
      <c r="J5029" t="str">
        <f>IFERROR(__xludf.DUMMYFUNCTION("IFS(
  AND(REGEXMATCH(E5029, ""台銀籌備帳戶|玉山帳戶""), REGEXMATCH(C5029, ""薪資"")), ""分潤支出"",
  AND(REGEXMATCH(E5029, ""Ben帳戶|Elsa帳戶|Ben代墊|Ariel代墊|中信銀行共用""), REGEXMATCH(F5029, ""Ben帳戶|Elsa帳戶|Ben代墊|Ariel代墊|中信銀行共用"")), ""內部轉帳(忽略)"",
  AND(E5029&lt;&gt;"""", F5029&lt;&gt;"""", N"&amp;"OT(REGEXMATCH(C5029, ""薪資""))), ""內部轉帳(忽略)"",
  REGEXMATCH(C5029, ""薪資""), ""薪資變動(不計入)"",
  REGEXMATCH(C5029, ""押金""), ""押金往來"",
  AND(E5029&lt;&gt;"""", F5029=""""), ""真實支出"",
  AND(E5029="""", F5029&lt;&gt;""""), ""真實收入"",
  TRUE, ""其他""
)"),"其他")</f>
        <v>其他</v>
      </c>
      <c r="K5029" s="270" t="str">
        <f t="shared" si="2"/>
        <v/>
      </c>
      <c r="L5029">
        <f t="shared" si="3"/>
        <v>0</v>
      </c>
    </row>
    <row r="5030">
      <c r="A5030" s="107"/>
      <c r="D5030" s="270"/>
      <c r="H5030" s="106" t="str">
        <f t="shared" si="1"/>
        <v/>
      </c>
      <c r="I5030" s="271" t="str">
        <f>IFERROR(__xludf.DUMMYFUNCTION("""COMPUTED_VALUE"""),"")</f>
        <v/>
      </c>
      <c r="J5030" t="str">
        <f>IFERROR(__xludf.DUMMYFUNCTION("IFS(
  AND(REGEXMATCH(E5030, ""台銀籌備帳戶|玉山帳戶""), REGEXMATCH(C5030, ""薪資"")), ""分潤支出"",
  AND(REGEXMATCH(E5030, ""Ben帳戶|Elsa帳戶|Ben代墊|Ariel代墊|中信銀行共用""), REGEXMATCH(F5030, ""Ben帳戶|Elsa帳戶|Ben代墊|Ariel代墊|中信銀行共用"")), ""內部轉帳(忽略)"",
  AND(E5030&lt;&gt;"""", F5030&lt;&gt;"""", N"&amp;"OT(REGEXMATCH(C5030, ""薪資""))), ""內部轉帳(忽略)"",
  REGEXMATCH(C5030, ""薪資""), ""薪資變動(不計入)"",
  REGEXMATCH(C5030, ""押金""), ""押金往來"",
  AND(E5030&lt;&gt;"""", F5030=""""), ""真實支出"",
  AND(E5030="""", F5030&lt;&gt;""""), ""真實收入"",
  TRUE, ""其他""
)"),"其他")</f>
        <v>其他</v>
      </c>
      <c r="K5030" s="270" t="str">
        <f t="shared" si="2"/>
        <v/>
      </c>
      <c r="L5030">
        <f t="shared" si="3"/>
        <v>0</v>
      </c>
    </row>
    <row r="5031">
      <c r="A5031" s="107"/>
      <c r="D5031" s="270"/>
      <c r="H5031" s="106" t="str">
        <f t="shared" si="1"/>
        <v/>
      </c>
      <c r="I5031" s="271" t="str">
        <f>IFERROR(__xludf.DUMMYFUNCTION("""COMPUTED_VALUE"""),"")</f>
        <v/>
      </c>
      <c r="J5031" t="str">
        <f>IFERROR(__xludf.DUMMYFUNCTION("IFS(
  AND(REGEXMATCH(E5031, ""台銀籌備帳戶|玉山帳戶""), REGEXMATCH(C5031, ""薪資"")), ""分潤支出"",
  AND(REGEXMATCH(E5031, ""Ben帳戶|Elsa帳戶|Ben代墊|Ariel代墊|中信銀行共用""), REGEXMATCH(F5031, ""Ben帳戶|Elsa帳戶|Ben代墊|Ariel代墊|中信銀行共用"")), ""內部轉帳(忽略)"",
  AND(E5031&lt;&gt;"""", F5031&lt;&gt;"""", N"&amp;"OT(REGEXMATCH(C5031, ""薪資""))), ""內部轉帳(忽略)"",
  REGEXMATCH(C5031, ""薪資""), ""薪資變動(不計入)"",
  REGEXMATCH(C5031, ""押金""), ""押金往來"",
  AND(E5031&lt;&gt;"""", F5031=""""), ""真實支出"",
  AND(E5031="""", F5031&lt;&gt;""""), ""真實收入"",
  TRUE, ""其他""
)"),"其他")</f>
        <v>其他</v>
      </c>
      <c r="K5031" s="270" t="str">
        <f t="shared" si="2"/>
        <v/>
      </c>
      <c r="L5031">
        <f t="shared" si="3"/>
        <v>0</v>
      </c>
    </row>
    <row r="5032">
      <c r="A5032" s="107"/>
      <c r="D5032" s="270"/>
      <c r="H5032" s="106" t="str">
        <f t="shared" si="1"/>
        <v/>
      </c>
      <c r="I5032" s="271" t="str">
        <f>IFERROR(__xludf.DUMMYFUNCTION("""COMPUTED_VALUE"""),"")</f>
        <v/>
      </c>
      <c r="J5032" t="str">
        <f>IFERROR(__xludf.DUMMYFUNCTION("IFS(
  AND(REGEXMATCH(E5032, ""台銀籌備帳戶|玉山帳戶""), REGEXMATCH(C5032, ""薪資"")), ""分潤支出"",
  AND(REGEXMATCH(E5032, ""Ben帳戶|Elsa帳戶|Ben代墊|Ariel代墊|中信銀行共用""), REGEXMATCH(F5032, ""Ben帳戶|Elsa帳戶|Ben代墊|Ariel代墊|中信銀行共用"")), ""內部轉帳(忽略)"",
  AND(E5032&lt;&gt;"""", F5032&lt;&gt;"""", N"&amp;"OT(REGEXMATCH(C5032, ""薪資""))), ""內部轉帳(忽略)"",
  REGEXMATCH(C5032, ""薪資""), ""薪資變動(不計入)"",
  REGEXMATCH(C5032, ""押金""), ""押金往來"",
  AND(E5032&lt;&gt;"""", F5032=""""), ""真實支出"",
  AND(E5032="""", F5032&lt;&gt;""""), ""真實收入"",
  TRUE, ""其他""
)"),"其他")</f>
        <v>其他</v>
      </c>
      <c r="K5032" s="270" t="str">
        <f t="shared" si="2"/>
        <v/>
      </c>
      <c r="L5032">
        <f t="shared" si="3"/>
        <v>0</v>
      </c>
    </row>
    <row r="5033">
      <c r="A5033" s="107"/>
      <c r="D5033" s="270"/>
      <c r="H5033" s="106" t="str">
        <f t="shared" si="1"/>
        <v/>
      </c>
      <c r="I5033" s="271" t="str">
        <f>IFERROR(__xludf.DUMMYFUNCTION("""COMPUTED_VALUE"""),"")</f>
        <v/>
      </c>
      <c r="J5033" t="str">
        <f>IFERROR(__xludf.DUMMYFUNCTION("IFS(
  AND(REGEXMATCH(E5033, ""台銀籌備帳戶|玉山帳戶""), REGEXMATCH(C5033, ""薪資"")), ""分潤支出"",
  AND(REGEXMATCH(E5033, ""Ben帳戶|Elsa帳戶|Ben代墊|Ariel代墊|中信銀行共用""), REGEXMATCH(F5033, ""Ben帳戶|Elsa帳戶|Ben代墊|Ariel代墊|中信銀行共用"")), ""內部轉帳(忽略)"",
  AND(E5033&lt;&gt;"""", F5033&lt;&gt;"""", N"&amp;"OT(REGEXMATCH(C5033, ""薪資""))), ""內部轉帳(忽略)"",
  REGEXMATCH(C5033, ""薪資""), ""薪資變動(不計入)"",
  REGEXMATCH(C5033, ""押金""), ""押金往來"",
  AND(E5033&lt;&gt;"""", F5033=""""), ""真實支出"",
  AND(E5033="""", F5033&lt;&gt;""""), ""真實收入"",
  TRUE, ""其他""
)"),"其他")</f>
        <v>其他</v>
      </c>
      <c r="K5033" s="270" t="str">
        <f t="shared" si="2"/>
        <v/>
      </c>
      <c r="L5033">
        <f t="shared" si="3"/>
        <v>0</v>
      </c>
    </row>
    <row r="5034">
      <c r="A5034" s="107"/>
      <c r="D5034" s="270"/>
      <c r="H5034" s="106" t="str">
        <f t="shared" si="1"/>
        <v/>
      </c>
      <c r="I5034" s="271" t="str">
        <f>IFERROR(__xludf.DUMMYFUNCTION("""COMPUTED_VALUE"""),"")</f>
        <v/>
      </c>
      <c r="J5034" t="str">
        <f>IFERROR(__xludf.DUMMYFUNCTION("IFS(
  AND(REGEXMATCH(E5034, ""台銀籌備帳戶|玉山帳戶""), REGEXMATCH(C5034, ""薪資"")), ""分潤支出"",
  AND(REGEXMATCH(E5034, ""Ben帳戶|Elsa帳戶|Ben代墊|Ariel代墊|中信銀行共用""), REGEXMATCH(F5034, ""Ben帳戶|Elsa帳戶|Ben代墊|Ariel代墊|中信銀行共用"")), ""內部轉帳(忽略)"",
  AND(E5034&lt;&gt;"""", F5034&lt;&gt;"""", N"&amp;"OT(REGEXMATCH(C5034, ""薪資""))), ""內部轉帳(忽略)"",
  REGEXMATCH(C5034, ""薪資""), ""薪資變動(不計入)"",
  REGEXMATCH(C5034, ""押金""), ""押金往來"",
  AND(E5034&lt;&gt;"""", F5034=""""), ""真實支出"",
  AND(E5034="""", F5034&lt;&gt;""""), ""真實收入"",
  TRUE, ""其他""
)"),"其他")</f>
        <v>其他</v>
      </c>
      <c r="K5034" s="270" t="str">
        <f t="shared" si="2"/>
        <v/>
      </c>
      <c r="L5034">
        <f t="shared" si="3"/>
        <v>0</v>
      </c>
    </row>
    <row r="5035">
      <c r="A5035" s="107"/>
      <c r="D5035" s="270"/>
      <c r="H5035" s="106" t="str">
        <f t="shared" si="1"/>
        <v/>
      </c>
      <c r="I5035" s="271" t="str">
        <f>IFERROR(__xludf.DUMMYFUNCTION("""COMPUTED_VALUE"""),"")</f>
        <v/>
      </c>
      <c r="J5035" t="str">
        <f>IFERROR(__xludf.DUMMYFUNCTION("IFS(
  AND(REGEXMATCH(E5035, ""台銀籌備帳戶|玉山帳戶""), REGEXMATCH(C5035, ""薪資"")), ""分潤支出"",
  AND(REGEXMATCH(E5035, ""Ben帳戶|Elsa帳戶|Ben代墊|Ariel代墊|中信銀行共用""), REGEXMATCH(F5035, ""Ben帳戶|Elsa帳戶|Ben代墊|Ariel代墊|中信銀行共用"")), ""內部轉帳(忽略)"",
  AND(E5035&lt;&gt;"""", F5035&lt;&gt;"""", N"&amp;"OT(REGEXMATCH(C5035, ""薪資""))), ""內部轉帳(忽略)"",
  REGEXMATCH(C5035, ""薪資""), ""薪資變動(不計入)"",
  REGEXMATCH(C5035, ""押金""), ""押金往來"",
  AND(E5035&lt;&gt;"""", F5035=""""), ""真實支出"",
  AND(E5035="""", F5035&lt;&gt;""""), ""真實收入"",
  TRUE, ""其他""
)"),"其他")</f>
        <v>其他</v>
      </c>
      <c r="K5035" s="270" t="str">
        <f t="shared" si="2"/>
        <v/>
      </c>
      <c r="L5035">
        <f t="shared" si="3"/>
        <v>0</v>
      </c>
    </row>
    <row r="5036">
      <c r="A5036" s="107"/>
      <c r="D5036" s="270"/>
      <c r="H5036" s="106" t="str">
        <f t="shared" si="1"/>
        <v/>
      </c>
      <c r="I5036" s="271" t="str">
        <f>IFERROR(__xludf.DUMMYFUNCTION("""COMPUTED_VALUE"""),"")</f>
        <v/>
      </c>
      <c r="J5036" t="str">
        <f>IFERROR(__xludf.DUMMYFUNCTION("IFS(
  AND(REGEXMATCH(E5036, ""台銀籌備帳戶|玉山帳戶""), REGEXMATCH(C5036, ""薪資"")), ""分潤支出"",
  AND(REGEXMATCH(E5036, ""Ben帳戶|Elsa帳戶|Ben代墊|Ariel代墊|中信銀行共用""), REGEXMATCH(F5036, ""Ben帳戶|Elsa帳戶|Ben代墊|Ariel代墊|中信銀行共用"")), ""內部轉帳(忽略)"",
  AND(E5036&lt;&gt;"""", F5036&lt;&gt;"""", N"&amp;"OT(REGEXMATCH(C5036, ""薪資""))), ""內部轉帳(忽略)"",
  REGEXMATCH(C5036, ""薪資""), ""薪資變動(不計入)"",
  REGEXMATCH(C5036, ""押金""), ""押金往來"",
  AND(E5036&lt;&gt;"""", F5036=""""), ""真實支出"",
  AND(E5036="""", F5036&lt;&gt;""""), ""真實收入"",
  TRUE, ""其他""
)"),"其他")</f>
        <v>其他</v>
      </c>
      <c r="K5036" s="270" t="str">
        <f t="shared" si="2"/>
        <v/>
      </c>
      <c r="L5036">
        <f t="shared" si="3"/>
        <v>0</v>
      </c>
    </row>
    <row r="5037">
      <c r="A5037" s="107"/>
      <c r="D5037" s="270"/>
      <c r="H5037" s="106" t="str">
        <f t="shared" si="1"/>
        <v/>
      </c>
      <c r="I5037" s="271" t="str">
        <f>IFERROR(__xludf.DUMMYFUNCTION("""COMPUTED_VALUE"""),"")</f>
        <v/>
      </c>
      <c r="J5037" t="str">
        <f>IFERROR(__xludf.DUMMYFUNCTION("IFS(
  AND(REGEXMATCH(E5037, ""台銀籌備帳戶|玉山帳戶""), REGEXMATCH(C5037, ""薪資"")), ""分潤支出"",
  AND(REGEXMATCH(E5037, ""Ben帳戶|Elsa帳戶|Ben代墊|Ariel代墊|中信銀行共用""), REGEXMATCH(F5037, ""Ben帳戶|Elsa帳戶|Ben代墊|Ariel代墊|中信銀行共用"")), ""內部轉帳(忽略)"",
  AND(E5037&lt;&gt;"""", F5037&lt;&gt;"""", N"&amp;"OT(REGEXMATCH(C5037, ""薪資""))), ""內部轉帳(忽略)"",
  REGEXMATCH(C5037, ""薪資""), ""薪資變動(不計入)"",
  REGEXMATCH(C5037, ""押金""), ""押金往來"",
  AND(E5037&lt;&gt;"""", F5037=""""), ""真實支出"",
  AND(E5037="""", F5037&lt;&gt;""""), ""真實收入"",
  TRUE, ""其他""
)"),"其他")</f>
        <v>其他</v>
      </c>
      <c r="K5037" s="270" t="str">
        <f t="shared" si="2"/>
        <v/>
      </c>
      <c r="L5037">
        <f t="shared" si="3"/>
        <v>0</v>
      </c>
    </row>
    <row r="5038">
      <c r="A5038" s="107"/>
      <c r="D5038" s="270"/>
      <c r="H5038" s="106" t="str">
        <f t="shared" si="1"/>
        <v/>
      </c>
      <c r="I5038" s="271" t="str">
        <f>IFERROR(__xludf.DUMMYFUNCTION("""COMPUTED_VALUE"""),"")</f>
        <v/>
      </c>
      <c r="J5038" t="str">
        <f>IFERROR(__xludf.DUMMYFUNCTION("IFS(
  AND(REGEXMATCH(E5038, ""台銀籌備帳戶|玉山帳戶""), REGEXMATCH(C5038, ""薪資"")), ""分潤支出"",
  AND(REGEXMATCH(E5038, ""Ben帳戶|Elsa帳戶|Ben代墊|Ariel代墊|中信銀行共用""), REGEXMATCH(F5038, ""Ben帳戶|Elsa帳戶|Ben代墊|Ariel代墊|中信銀行共用"")), ""內部轉帳(忽略)"",
  AND(E5038&lt;&gt;"""", F5038&lt;&gt;"""", N"&amp;"OT(REGEXMATCH(C5038, ""薪資""))), ""內部轉帳(忽略)"",
  REGEXMATCH(C5038, ""薪資""), ""薪資變動(不計入)"",
  REGEXMATCH(C5038, ""押金""), ""押金往來"",
  AND(E5038&lt;&gt;"""", F5038=""""), ""真實支出"",
  AND(E5038="""", F5038&lt;&gt;""""), ""真實收入"",
  TRUE, ""其他""
)"),"其他")</f>
        <v>其他</v>
      </c>
      <c r="K5038" s="270" t="str">
        <f t="shared" si="2"/>
        <v/>
      </c>
      <c r="L5038">
        <f t="shared" si="3"/>
        <v>0</v>
      </c>
    </row>
    <row r="5039">
      <c r="A5039" s="107"/>
      <c r="D5039" s="270"/>
      <c r="H5039" s="106" t="str">
        <f t="shared" si="1"/>
        <v/>
      </c>
      <c r="I5039" s="271" t="str">
        <f>IFERROR(__xludf.DUMMYFUNCTION("""COMPUTED_VALUE"""),"")</f>
        <v/>
      </c>
      <c r="J5039" t="str">
        <f>IFERROR(__xludf.DUMMYFUNCTION("IFS(
  AND(REGEXMATCH(E5039, ""台銀籌備帳戶|玉山帳戶""), REGEXMATCH(C5039, ""薪資"")), ""分潤支出"",
  AND(REGEXMATCH(E5039, ""Ben帳戶|Elsa帳戶|Ben代墊|Ariel代墊|中信銀行共用""), REGEXMATCH(F5039, ""Ben帳戶|Elsa帳戶|Ben代墊|Ariel代墊|中信銀行共用"")), ""內部轉帳(忽略)"",
  AND(E5039&lt;&gt;"""", F5039&lt;&gt;"""", N"&amp;"OT(REGEXMATCH(C5039, ""薪資""))), ""內部轉帳(忽略)"",
  REGEXMATCH(C5039, ""薪資""), ""薪資變動(不計入)"",
  REGEXMATCH(C5039, ""押金""), ""押金往來"",
  AND(E5039&lt;&gt;"""", F5039=""""), ""真實支出"",
  AND(E5039="""", F5039&lt;&gt;""""), ""真實收入"",
  TRUE, ""其他""
)"),"其他")</f>
        <v>其他</v>
      </c>
      <c r="K5039" s="270" t="str">
        <f t="shared" si="2"/>
        <v/>
      </c>
      <c r="L5039">
        <f t="shared" si="3"/>
        <v>0</v>
      </c>
    </row>
    <row r="5040">
      <c r="A5040" s="107"/>
      <c r="D5040" s="270"/>
      <c r="H5040" s="106" t="str">
        <f t="shared" si="1"/>
        <v/>
      </c>
      <c r="I5040" s="271" t="str">
        <f>IFERROR(__xludf.DUMMYFUNCTION("""COMPUTED_VALUE"""),"")</f>
        <v/>
      </c>
      <c r="J5040" t="str">
        <f>IFERROR(__xludf.DUMMYFUNCTION("IFS(
  AND(REGEXMATCH(E5040, ""台銀籌備帳戶|玉山帳戶""), REGEXMATCH(C5040, ""薪資"")), ""分潤支出"",
  AND(REGEXMATCH(E5040, ""Ben帳戶|Elsa帳戶|Ben代墊|Ariel代墊|中信銀行共用""), REGEXMATCH(F5040, ""Ben帳戶|Elsa帳戶|Ben代墊|Ariel代墊|中信銀行共用"")), ""內部轉帳(忽略)"",
  AND(E5040&lt;&gt;"""", F5040&lt;&gt;"""", N"&amp;"OT(REGEXMATCH(C5040, ""薪資""))), ""內部轉帳(忽略)"",
  REGEXMATCH(C5040, ""薪資""), ""薪資變動(不計入)"",
  REGEXMATCH(C5040, ""押金""), ""押金往來"",
  AND(E5040&lt;&gt;"""", F5040=""""), ""真實支出"",
  AND(E5040="""", F5040&lt;&gt;""""), ""真實收入"",
  TRUE, ""其他""
)"),"其他")</f>
        <v>其他</v>
      </c>
      <c r="K5040" s="270" t="str">
        <f t="shared" si="2"/>
        <v/>
      </c>
      <c r="L5040">
        <f t="shared" si="3"/>
        <v>0</v>
      </c>
    </row>
    <row r="5041">
      <c r="A5041" s="107"/>
      <c r="D5041" s="270"/>
      <c r="H5041" s="106" t="str">
        <f t="shared" si="1"/>
        <v/>
      </c>
      <c r="I5041" s="271" t="str">
        <f>IFERROR(__xludf.DUMMYFUNCTION("""COMPUTED_VALUE"""),"")</f>
        <v/>
      </c>
      <c r="J5041" t="str">
        <f>IFERROR(__xludf.DUMMYFUNCTION("IFS(
  AND(REGEXMATCH(E5041, ""台銀籌備帳戶|玉山帳戶""), REGEXMATCH(C5041, ""薪資"")), ""分潤支出"",
  AND(REGEXMATCH(E5041, ""Ben帳戶|Elsa帳戶|Ben代墊|Ariel代墊|中信銀行共用""), REGEXMATCH(F5041, ""Ben帳戶|Elsa帳戶|Ben代墊|Ariel代墊|中信銀行共用"")), ""內部轉帳(忽略)"",
  AND(E5041&lt;&gt;"""", F5041&lt;&gt;"""", N"&amp;"OT(REGEXMATCH(C5041, ""薪資""))), ""內部轉帳(忽略)"",
  REGEXMATCH(C5041, ""薪資""), ""薪資變動(不計入)"",
  REGEXMATCH(C5041, ""押金""), ""押金往來"",
  AND(E5041&lt;&gt;"""", F5041=""""), ""真實支出"",
  AND(E5041="""", F5041&lt;&gt;""""), ""真實收入"",
  TRUE, ""其他""
)"),"其他")</f>
        <v>其他</v>
      </c>
      <c r="K5041" s="270" t="str">
        <f t="shared" si="2"/>
        <v/>
      </c>
      <c r="L5041">
        <f t="shared" si="3"/>
        <v>0</v>
      </c>
    </row>
    <row r="5042">
      <c r="A5042" s="107"/>
      <c r="D5042" s="270"/>
      <c r="H5042" s="106" t="str">
        <f t="shared" si="1"/>
        <v/>
      </c>
      <c r="I5042" s="271" t="str">
        <f>IFERROR(__xludf.DUMMYFUNCTION("""COMPUTED_VALUE"""),"")</f>
        <v/>
      </c>
      <c r="J5042" t="str">
        <f>IFERROR(__xludf.DUMMYFUNCTION("IFS(
  AND(REGEXMATCH(E5042, ""台銀籌備帳戶|玉山帳戶""), REGEXMATCH(C5042, ""薪資"")), ""分潤支出"",
  AND(REGEXMATCH(E5042, ""Ben帳戶|Elsa帳戶|Ben代墊|Ariel代墊|中信銀行共用""), REGEXMATCH(F5042, ""Ben帳戶|Elsa帳戶|Ben代墊|Ariel代墊|中信銀行共用"")), ""內部轉帳(忽略)"",
  AND(E5042&lt;&gt;"""", F5042&lt;&gt;"""", N"&amp;"OT(REGEXMATCH(C5042, ""薪資""))), ""內部轉帳(忽略)"",
  REGEXMATCH(C5042, ""薪資""), ""薪資變動(不計入)"",
  REGEXMATCH(C5042, ""押金""), ""押金往來"",
  AND(E5042&lt;&gt;"""", F5042=""""), ""真實支出"",
  AND(E5042="""", F5042&lt;&gt;""""), ""真實收入"",
  TRUE, ""其他""
)"),"其他")</f>
        <v>其他</v>
      </c>
      <c r="K5042" s="270" t="str">
        <f t="shared" si="2"/>
        <v/>
      </c>
      <c r="L5042">
        <f t="shared" si="3"/>
        <v>0</v>
      </c>
    </row>
    <row r="5043">
      <c r="A5043" s="107"/>
      <c r="D5043" s="270"/>
      <c r="H5043" s="106" t="str">
        <f t="shared" si="1"/>
        <v/>
      </c>
      <c r="I5043" s="271" t="str">
        <f>IFERROR(__xludf.DUMMYFUNCTION("""COMPUTED_VALUE"""),"")</f>
        <v/>
      </c>
      <c r="J5043" t="str">
        <f>IFERROR(__xludf.DUMMYFUNCTION("IFS(
  AND(REGEXMATCH(E5043, ""台銀籌備帳戶|玉山帳戶""), REGEXMATCH(C5043, ""薪資"")), ""分潤支出"",
  AND(REGEXMATCH(E5043, ""Ben帳戶|Elsa帳戶|Ben代墊|Ariel代墊|中信銀行共用""), REGEXMATCH(F5043, ""Ben帳戶|Elsa帳戶|Ben代墊|Ariel代墊|中信銀行共用"")), ""內部轉帳(忽略)"",
  AND(E5043&lt;&gt;"""", F5043&lt;&gt;"""", N"&amp;"OT(REGEXMATCH(C5043, ""薪資""))), ""內部轉帳(忽略)"",
  REGEXMATCH(C5043, ""薪資""), ""薪資變動(不計入)"",
  REGEXMATCH(C5043, ""押金""), ""押金往來"",
  AND(E5043&lt;&gt;"""", F5043=""""), ""真實支出"",
  AND(E5043="""", F5043&lt;&gt;""""), ""真實收入"",
  TRUE, ""其他""
)"),"其他")</f>
        <v>其他</v>
      </c>
      <c r="K5043" s="270" t="str">
        <f t="shared" si="2"/>
        <v/>
      </c>
      <c r="L5043">
        <f t="shared" si="3"/>
        <v>0</v>
      </c>
    </row>
    <row r="5044">
      <c r="A5044" s="107"/>
      <c r="D5044" s="270"/>
      <c r="H5044" s="106" t="str">
        <f t="shared" si="1"/>
        <v/>
      </c>
      <c r="I5044" s="271" t="str">
        <f>IFERROR(__xludf.DUMMYFUNCTION("""COMPUTED_VALUE"""),"")</f>
        <v/>
      </c>
      <c r="J5044" t="str">
        <f>IFERROR(__xludf.DUMMYFUNCTION("IFS(
  AND(REGEXMATCH(E5044, ""台銀籌備帳戶|玉山帳戶""), REGEXMATCH(C5044, ""薪資"")), ""分潤支出"",
  AND(REGEXMATCH(E5044, ""Ben帳戶|Elsa帳戶|Ben代墊|Ariel代墊|中信銀行共用""), REGEXMATCH(F5044, ""Ben帳戶|Elsa帳戶|Ben代墊|Ariel代墊|中信銀行共用"")), ""內部轉帳(忽略)"",
  AND(E5044&lt;&gt;"""", F5044&lt;&gt;"""", N"&amp;"OT(REGEXMATCH(C5044, ""薪資""))), ""內部轉帳(忽略)"",
  REGEXMATCH(C5044, ""薪資""), ""薪資變動(不計入)"",
  REGEXMATCH(C5044, ""押金""), ""押金往來"",
  AND(E5044&lt;&gt;"""", F5044=""""), ""真實支出"",
  AND(E5044="""", F5044&lt;&gt;""""), ""真實收入"",
  TRUE, ""其他""
)"),"其他")</f>
        <v>其他</v>
      </c>
      <c r="K5044" s="270" t="str">
        <f t="shared" si="2"/>
        <v/>
      </c>
      <c r="L5044">
        <f t="shared" si="3"/>
        <v>0</v>
      </c>
    </row>
    <row r="5045">
      <c r="A5045" s="107"/>
      <c r="D5045" s="270"/>
      <c r="H5045" s="106" t="str">
        <f t="shared" si="1"/>
        <v/>
      </c>
      <c r="I5045" s="271" t="str">
        <f>IFERROR(__xludf.DUMMYFUNCTION("""COMPUTED_VALUE"""),"")</f>
        <v/>
      </c>
      <c r="J5045" t="str">
        <f>IFERROR(__xludf.DUMMYFUNCTION("IFS(
  AND(REGEXMATCH(E5045, ""台銀籌備帳戶|玉山帳戶""), REGEXMATCH(C5045, ""薪資"")), ""分潤支出"",
  AND(REGEXMATCH(E5045, ""Ben帳戶|Elsa帳戶|Ben代墊|Ariel代墊|中信銀行共用""), REGEXMATCH(F5045, ""Ben帳戶|Elsa帳戶|Ben代墊|Ariel代墊|中信銀行共用"")), ""內部轉帳(忽略)"",
  AND(E5045&lt;&gt;"""", F5045&lt;&gt;"""", N"&amp;"OT(REGEXMATCH(C5045, ""薪資""))), ""內部轉帳(忽略)"",
  REGEXMATCH(C5045, ""薪資""), ""薪資變動(不計入)"",
  REGEXMATCH(C5045, ""押金""), ""押金往來"",
  AND(E5045&lt;&gt;"""", F5045=""""), ""真實支出"",
  AND(E5045="""", F5045&lt;&gt;""""), ""真實收入"",
  TRUE, ""其他""
)"),"其他")</f>
        <v>其他</v>
      </c>
      <c r="K5045" s="270" t="str">
        <f t="shared" si="2"/>
        <v/>
      </c>
      <c r="L5045">
        <f t="shared" si="3"/>
        <v>0</v>
      </c>
    </row>
    <row r="5046">
      <c r="A5046" s="107"/>
      <c r="D5046" s="270"/>
      <c r="H5046" s="106" t="str">
        <f t="shared" si="1"/>
        <v/>
      </c>
      <c r="I5046" s="271" t="str">
        <f>IFERROR(__xludf.DUMMYFUNCTION("""COMPUTED_VALUE"""),"")</f>
        <v/>
      </c>
      <c r="J5046" t="str">
        <f>IFERROR(__xludf.DUMMYFUNCTION("IFS(
  AND(REGEXMATCH(E5046, ""台銀籌備帳戶|玉山帳戶""), REGEXMATCH(C5046, ""薪資"")), ""分潤支出"",
  AND(REGEXMATCH(E5046, ""Ben帳戶|Elsa帳戶|Ben代墊|Ariel代墊|中信銀行共用""), REGEXMATCH(F5046, ""Ben帳戶|Elsa帳戶|Ben代墊|Ariel代墊|中信銀行共用"")), ""內部轉帳(忽略)"",
  AND(E5046&lt;&gt;"""", F5046&lt;&gt;"""", N"&amp;"OT(REGEXMATCH(C5046, ""薪資""))), ""內部轉帳(忽略)"",
  REGEXMATCH(C5046, ""薪資""), ""薪資變動(不計入)"",
  REGEXMATCH(C5046, ""押金""), ""押金往來"",
  AND(E5046&lt;&gt;"""", F5046=""""), ""真實支出"",
  AND(E5046="""", F5046&lt;&gt;""""), ""真實收入"",
  TRUE, ""其他""
)"),"其他")</f>
        <v>其他</v>
      </c>
      <c r="K5046" s="270" t="str">
        <f t="shared" si="2"/>
        <v/>
      </c>
      <c r="L5046">
        <f t="shared" si="3"/>
        <v>0</v>
      </c>
    </row>
    <row r="5047">
      <c r="A5047" s="107"/>
      <c r="D5047" s="270"/>
      <c r="H5047" s="106" t="str">
        <f t="shared" si="1"/>
        <v/>
      </c>
      <c r="I5047" s="271" t="str">
        <f>IFERROR(__xludf.DUMMYFUNCTION("""COMPUTED_VALUE"""),"")</f>
        <v/>
      </c>
      <c r="J5047" t="str">
        <f>IFERROR(__xludf.DUMMYFUNCTION("IFS(
  AND(REGEXMATCH(E5047, ""台銀籌備帳戶|玉山帳戶""), REGEXMATCH(C5047, ""薪資"")), ""分潤支出"",
  AND(REGEXMATCH(E5047, ""Ben帳戶|Elsa帳戶|Ben代墊|Ariel代墊|中信銀行共用""), REGEXMATCH(F5047, ""Ben帳戶|Elsa帳戶|Ben代墊|Ariel代墊|中信銀行共用"")), ""內部轉帳(忽略)"",
  AND(E5047&lt;&gt;"""", F5047&lt;&gt;"""", N"&amp;"OT(REGEXMATCH(C5047, ""薪資""))), ""內部轉帳(忽略)"",
  REGEXMATCH(C5047, ""薪資""), ""薪資變動(不計入)"",
  REGEXMATCH(C5047, ""押金""), ""押金往來"",
  AND(E5047&lt;&gt;"""", F5047=""""), ""真實支出"",
  AND(E5047="""", F5047&lt;&gt;""""), ""真實收入"",
  TRUE, ""其他""
)"),"其他")</f>
        <v>其他</v>
      </c>
      <c r="K5047" s="270" t="str">
        <f t="shared" si="2"/>
        <v/>
      </c>
      <c r="L5047">
        <f t="shared" si="3"/>
        <v>0</v>
      </c>
    </row>
    <row r="5048">
      <c r="A5048" s="107"/>
      <c r="D5048" s="270"/>
      <c r="H5048" s="106" t="str">
        <f t="shared" si="1"/>
        <v/>
      </c>
      <c r="I5048" s="271" t="str">
        <f>IFERROR(__xludf.DUMMYFUNCTION("""COMPUTED_VALUE"""),"")</f>
        <v/>
      </c>
      <c r="J5048" t="str">
        <f>IFERROR(__xludf.DUMMYFUNCTION("IFS(
  AND(REGEXMATCH(E5048, ""台銀籌備帳戶|玉山帳戶""), REGEXMATCH(C5048, ""薪資"")), ""分潤支出"",
  AND(REGEXMATCH(E5048, ""Ben帳戶|Elsa帳戶|Ben代墊|Ariel代墊|中信銀行共用""), REGEXMATCH(F5048, ""Ben帳戶|Elsa帳戶|Ben代墊|Ariel代墊|中信銀行共用"")), ""內部轉帳(忽略)"",
  AND(E5048&lt;&gt;"""", F5048&lt;&gt;"""", N"&amp;"OT(REGEXMATCH(C5048, ""薪資""))), ""內部轉帳(忽略)"",
  REGEXMATCH(C5048, ""薪資""), ""薪資變動(不計入)"",
  REGEXMATCH(C5048, ""押金""), ""押金往來"",
  AND(E5048&lt;&gt;"""", F5048=""""), ""真實支出"",
  AND(E5048="""", F5048&lt;&gt;""""), ""真實收入"",
  TRUE, ""其他""
)"),"其他")</f>
        <v>其他</v>
      </c>
      <c r="K5048" s="270" t="str">
        <f t="shared" si="2"/>
        <v/>
      </c>
      <c r="L5048">
        <f t="shared" si="3"/>
        <v>0</v>
      </c>
    </row>
    <row r="5049">
      <c r="A5049" s="107"/>
      <c r="D5049" s="270"/>
      <c r="H5049" s="106" t="str">
        <f t="shared" si="1"/>
        <v/>
      </c>
      <c r="I5049" s="271" t="str">
        <f>IFERROR(__xludf.DUMMYFUNCTION("""COMPUTED_VALUE"""),"")</f>
        <v/>
      </c>
      <c r="J5049" t="str">
        <f>IFERROR(__xludf.DUMMYFUNCTION("IFS(
  AND(REGEXMATCH(E5049, ""台銀籌備帳戶|玉山帳戶""), REGEXMATCH(C5049, ""薪資"")), ""分潤支出"",
  AND(REGEXMATCH(E5049, ""Ben帳戶|Elsa帳戶|Ben代墊|Ariel代墊|中信銀行共用""), REGEXMATCH(F5049, ""Ben帳戶|Elsa帳戶|Ben代墊|Ariel代墊|中信銀行共用"")), ""內部轉帳(忽略)"",
  AND(E5049&lt;&gt;"""", F5049&lt;&gt;"""", N"&amp;"OT(REGEXMATCH(C5049, ""薪資""))), ""內部轉帳(忽略)"",
  REGEXMATCH(C5049, ""薪資""), ""薪資變動(不計入)"",
  REGEXMATCH(C5049, ""押金""), ""押金往來"",
  AND(E5049&lt;&gt;"""", F5049=""""), ""真實支出"",
  AND(E5049="""", F5049&lt;&gt;""""), ""真實收入"",
  TRUE, ""其他""
)"),"其他")</f>
        <v>其他</v>
      </c>
      <c r="K5049" s="270" t="str">
        <f t="shared" si="2"/>
        <v/>
      </c>
      <c r="L5049">
        <f t="shared" si="3"/>
        <v>0</v>
      </c>
    </row>
    <row r="5050">
      <c r="A5050" s="107"/>
      <c r="D5050" s="270"/>
      <c r="H5050" s="106" t="str">
        <f t="shared" si="1"/>
        <v/>
      </c>
      <c r="I5050" s="271" t="str">
        <f>IFERROR(__xludf.DUMMYFUNCTION("""COMPUTED_VALUE"""),"")</f>
        <v/>
      </c>
      <c r="J5050" t="str">
        <f>IFERROR(__xludf.DUMMYFUNCTION("IFS(
  AND(REGEXMATCH(E5050, ""台銀籌備帳戶|玉山帳戶""), REGEXMATCH(C5050, ""薪資"")), ""分潤支出"",
  AND(REGEXMATCH(E5050, ""Ben帳戶|Elsa帳戶|Ben代墊|Ariel代墊|中信銀行共用""), REGEXMATCH(F5050, ""Ben帳戶|Elsa帳戶|Ben代墊|Ariel代墊|中信銀行共用"")), ""內部轉帳(忽略)"",
  AND(E5050&lt;&gt;"""", F5050&lt;&gt;"""", N"&amp;"OT(REGEXMATCH(C5050, ""薪資""))), ""內部轉帳(忽略)"",
  REGEXMATCH(C5050, ""薪資""), ""薪資變動(不計入)"",
  REGEXMATCH(C5050, ""押金""), ""押金往來"",
  AND(E5050&lt;&gt;"""", F5050=""""), ""真實支出"",
  AND(E5050="""", F5050&lt;&gt;""""), ""真實收入"",
  TRUE, ""其他""
)"),"其他")</f>
        <v>其他</v>
      </c>
      <c r="K5050" s="270" t="str">
        <f t="shared" si="2"/>
        <v/>
      </c>
      <c r="L5050">
        <f t="shared" si="3"/>
        <v>0</v>
      </c>
    </row>
    <row r="5051">
      <c r="A5051" s="107"/>
      <c r="D5051" s="270"/>
      <c r="H5051" s="106" t="str">
        <f t="shared" si="1"/>
        <v/>
      </c>
      <c r="I5051" s="271" t="str">
        <f>IFERROR(__xludf.DUMMYFUNCTION("""COMPUTED_VALUE"""),"")</f>
        <v/>
      </c>
      <c r="J5051" t="str">
        <f>IFERROR(__xludf.DUMMYFUNCTION("IFS(
  AND(REGEXMATCH(E5051, ""台銀籌備帳戶|玉山帳戶""), REGEXMATCH(C5051, ""薪資"")), ""分潤支出"",
  AND(REGEXMATCH(E5051, ""Ben帳戶|Elsa帳戶|Ben代墊|Ariel代墊|中信銀行共用""), REGEXMATCH(F5051, ""Ben帳戶|Elsa帳戶|Ben代墊|Ariel代墊|中信銀行共用"")), ""內部轉帳(忽略)"",
  AND(E5051&lt;&gt;"""", F5051&lt;&gt;"""", N"&amp;"OT(REGEXMATCH(C5051, ""薪資""))), ""內部轉帳(忽略)"",
  REGEXMATCH(C5051, ""薪資""), ""薪資變動(不計入)"",
  REGEXMATCH(C5051, ""押金""), ""押金往來"",
  AND(E5051&lt;&gt;"""", F5051=""""), ""真實支出"",
  AND(E5051="""", F5051&lt;&gt;""""), ""真實收入"",
  TRUE, ""其他""
)"),"其他")</f>
        <v>其他</v>
      </c>
      <c r="K5051" s="270" t="str">
        <f t="shared" si="2"/>
        <v/>
      </c>
      <c r="L5051">
        <f t="shared" si="3"/>
        <v>0</v>
      </c>
    </row>
    <row r="5052">
      <c r="A5052" s="107"/>
      <c r="D5052" s="270"/>
      <c r="H5052" s="106" t="str">
        <f t="shared" si="1"/>
        <v/>
      </c>
      <c r="I5052" s="271" t="str">
        <f>IFERROR(__xludf.DUMMYFUNCTION("""COMPUTED_VALUE"""),"")</f>
        <v/>
      </c>
      <c r="J5052" t="str">
        <f>IFERROR(__xludf.DUMMYFUNCTION("IFS(
  AND(REGEXMATCH(E5052, ""台銀籌備帳戶|玉山帳戶""), REGEXMATCH(C5052, ""薪資"")), ""分潤支出"",
  AND(REGEXMATCH(E5052, ""Ben帳戶|Elsa帳戶|Ben代墊|Ariel代墊|中信銀行共用""), REGEXMATCH(F5052, ""Ben帳戶|Elsa帳戶|Ben代墊|Ariel代墊|中信銀行共用"")), ""內部轉帳(忽略)"",
  AND(E5052&lt;&gt;"""", F5052&lt;&gt;"""", N"&amp;"OT(REGEXMATCH(C5052, ""薪資""))), ""內部轉帳(忽略)"",
  REGEXMATCH(C5052, ""薪資""), ""薪資變動(不計入)"",
  REGEXMATCH(C5052, ""押金""), ""押金往來"",
  AND(E5052&lt;&gt;"""", F5052=""""), ""真實支出"",
  AND(E5052="""", F5052&lt;&gt;""""), ""真實收入"",
  TRUE, ""其他""
)"),"其他")</f>
        <v>其他</v>
      </c>
      <c r="K5052" s="270" t="str">
        <f t="shared" si="2"/>
        <v/>
      </c>
      <c r="L5052">
        <f t="shared" si="3"/>
        <v>0</v>
      </c>
    </row>
    <row r="5053">
      <c r="A5053" s="107"/>
      <c r="D5053" s="270"/>
      <c r="H5053" s="106" t="str">
        <f t="shared" si="1"/>
        <v/>
      </c>
      <c r="I5053" s="271" t="str">
        <f>IFERROR(__xludf.DUMMYFUNCTION("""COMPUTED_VALUE"""),"")</f>
        <v/>
      </c>
      <c r="J5053" t="str">
        <f>IFERROR(__xludf.DUMMYFUNCTION("IFS(
  AND(REGEXMATCH(E5053, ""台銀籌備帳戶|玉山帳戶""), REGEXMATCH(C5053, ""薪資"")), ""分潤支出"",
  AND(REGEXMATCH(E5053, ""Ben帳戶|Elsa帳戶|Ben代墊|Ariel代墊|中信銀行共用""), REGEXMATCH(F5053, ""Ben帳戶|Elsa帳戶|Ben代墊|Ariel代墊|中信銀行共用"")), ""內部轉帳(忽略)"",
  AND(E5053&lt;&gt;"""", F5053&lt;&gt;"""", N"&amp;"OT(REGEXMATCH(C5053, ""薪資""))), ""內部轉帳(忽略)"",
  REGEXMATCH(C5053, ""薪資""), ""薪資變動(不計入)"",
  REGEXMATCH(C5053, ""押金""), ""押金往來"",
  AND(E5053&lt;&gt;"""", F5053=""""), ""真實支出"",
  AND(E5053="""", F5053&lt;&gt;""""), ""真實收入"",
  TRUE, ""其他""
)"),"其他")</f>
        <v>其他</v>
      </c>
      <c r="K5053" s="270" t="str">
        <f t="shared" si="2"/>
        <v/>
      </c>
      <c r="L5053">
        <f t="shared" si="3"/>
        <v>0</v>
      </c>
    </row>
    <row r="5054">
      <c r="A5054" s="107"/>
      <c r="D5054" s="270"/>
      <c r="H5054" s="106" t="str">
        <f t="shared" si="1"/>
        <v/>
      </c>
      <c r="I5054" s="271" t="str">
        <f>IFERROR(__xludf.DUMMYFUNCTION("""COMPUTED_VALUE"""),"")</f>
        <v/>
      </c>
      <c r="J5054" t="str">
        <f>IFERROR(__xludf.DUMMYFUNCTION("IFS(
  AND(REGEXMATCH(E5054, ""台銀籌備帳戶|玉山帳戶""), REGEXMATCH(C5054, ""薪資"")), ""分潤支出"",
  AND(REGEXMATCH(E5054, ""Ben帳戶|Elsa帳戶|Ben代墊|Ariel代墊|中信銀行共用""), REGEXMATCH(F5054, ""Ben帳戶|Elsa帳戶|Ben代墊|Ariel代墊|中信銀行共用"")), ""內部轉帳(忽略)"",
  AND(E5054&lt;&gt;"""", F5054&lt;&gt;"""", N"&amp;"OT(REGEXMATCH(C5054, ""薪資""))), ""內部轉帳(忽略)"",
  REGEXMATCH(C5054, ""薪資""), ""薪資變動(不計入)"",
  REGEXMATCH(C5054, ""押金""), ""押金往來"",
  AND(E5054&lt;&gt;"""", F5054=""""), ""真實支出"",
  AND(E5054="""", F5054&lt;&gt;""""), ""真實收入"",
  TRUE, ""其他""
)"),"其他")</f>
        <v>其他</v>
      </c>
      <c r="K5054" s="270" t="str">
        <f t="shared" si="2"/>
        <v/>
      </c>
      <c r="L5054">
        <f t="shared" si="3"/>
        <v>0</v>
      </c>
    </row>
    <row r="5055">
      <c r="A5055" s="107"/>
      <c r="D5055" s="270"/>
      <c r="H5055" s="106" t="str">
        <f t="shared" si="1"/>
        <v/>
      </c>
      <c r="I5055" s="271" t="str">
        <f>IFERROR(__xludf.DUMMYFUNCTION("""COMPUTED_VALUE"""),"")</f>
        <v/>
      </c>
      <c r="J5055" t="str">
        <f>IFERROR(__xludf.DUMMYFUNCTION("IFS(
  AND(REGEXMATCH(E5055, ""台銀籌備帳戶|玉山帳戶""), REGEXMATCH(C5055, ""薪資"")), ""分潤支出"",
  AND(REGEXMATCH(E5055, ""Ben帳戶|Elsa帳戶|Ben代墊|Ariel代墊|中信銀行共用""), REGEXMATCH(F5055, ""Ben帳戶|Elsa帳戶|Ben代墊|Ariel代墊|中信銀行共用"")), ""內部轉帳(忽略)"",
  AND(E5055&lt;&gt;"""", F5055&lt;&gt;"""", N"&amp;"OT(REGEXMATCH(C5055, ""薪資""))), ""內部轉帳(忽略)"",
  REGEXMATCH(C5055, ""薪資""), ""薪資變動(不計入)"",
  REGEXMATCH(C5055, ""押金""), ""押金往來"",
  AND(E5055&lt;&gt;"""", F5055=""""), ""真實支出"",
  AND(E5055="""", F5055&lt;&gt;""""), ""真實收入"",
  TRUE, ""其他""
)"),"其他")</f>
        <v>其他</v>
      </c>
      <c r="K5055" s="270" t="str">
        <f t="shared" si="2"/>
        <v/>
      </c>
      <c r="L5055">
        <f t="shared" si="3"/>
        <v>0</v>
      </c>
    </row>
    <row r="5056">
      <c r="A5056" s="107"/>
      <c r="D5056" s="270"/>
      <c r="H5056" s="106" t="str">
        <f t="shared" si="1"/>
        <v/>
      </c>
      <c r="I5056" s="271" t="str">
        <f>IFERROR(__xludf.DUMMYFUNCTION("""COMPUTED_VALUE"""),"")</f>
        <v/>
      </c>
      <c r="J5056" t="str">
        <f>IFERROR(__xludf.DUMMYFUNCTION("IFS(
  AND(REGEXMATCH(E5056, ""台銀籌備帳戶|玉山帳戶""), REGEXMATCH(C5056, ""薪資"")), ""分潤支出"",
  AND(REGEXMATCH(E5056, ""Ben帳戶|Elsa帳戶|Ben代墊|Ariel代墊|中信銀行共用""), REGEXMATCH(F5056, ""Ben帳戶|Elsa帳戶|Ben代墊|Ariel代墊|中信銀行共用"")), ""內部轉帳(忽略)"",
  AND(E5056&lt;&gt;"""", F5056&lt;&gt;"""", N"&amp;"OT(REGEXMATCH(C5056, ""薪資""))), ""內部轉帳(忽略)"",
  REGEXMATCH(C5056, ""薪資""), ""薪資變動(不計入)"",
  REGEXMATCH(C5056, ""押金""), ""押金往來"",
  AND(E5056&lt;&gt;"""", F5056=""""), ""真實支出"",
  AND(E5056="""", F5056&lt;&gt;""""), ""真實收入"",
  TRUE, ""其他""
)"),"其他")</f>
        <v>其他</v>
      </c>
      <c r="K5056" s="270" t="str">
        <f t="shared" si="2"/>
        <v/>
      </c>
      <c r="L5056">
        <f t="shared" si="3"/>
        <v>0</v>
      </c>
    </row>
    <row r="5057">
      <c r="A5057" s="107"/>
      <c r="D5057" s="270"/>
      <c r="H5057" s="106" t="str">
        <f t="shared" si="1"/>
        <v/>
      </c>
      <c r="I5057" s="271" t="str">
        <f>IFERROR(__xludf.DUMMYFUNCTION("""COMPUTED_VALUE"""),"")</f>
        <v/>
      </c>
      <c r="J5057" t="str">
        <f>IFERROR(__xludf.DUMMYFUNCTION("IFS(
  AND(REGEXMATCH(E5057, ""台銀籌備帳戶|玉山帳戶""), REGEXMATCH(C5057, ""薪資"")), ""分潤支出"",
  AND(REGEXMATCH(E5057, ""Ben帳戶|Elsa帳戶|Ben代墊|Ariel代墊|中信銀行共用""), REGEXMATCH(F5057, ""Ben帳戶|Elsa帳戶|Ben代墊|Ariel代墊|中信銀行共用"")), ""內部轉帳(忽略)"",
  AND(E5057&lt;&gt;"""", F5057&lt;&gt;"""", N"&amp;"OT(REGEXMATCH(C5057, ""薪資""))), ""內部轉帳(忽略)"",
  REGEXMATCH(C5057, ""薪資""), ""薪資變動(不計入)"",
  REGEXMATCH(C5057, ""押金""), ""押金往來"",
  AND(E5057&lt;&gt;"""", F5057=""""), ""真實支出"",
  AND(E5057="""", F5057&lt;&gt;""""), ""真實收入"",
  TRUE, ""其他""
)"),"其他")</f>
        <v>其他</v>
      </c>
      <c r="K5057" s="270" t="str">
        <f t="shared" si="2"/>
        <v/>
      </c>
      <c r="L5057">
        <f t="shared" si="3"/>
        <v>0</v>
      </c>
    </row>
    <row r="5058">
      <c r="A5058" s="107"/>
      <c r="D5058" s="270"/>
      <c r="H5058" s="106" t="str">
        <f t="shared" si="1"/>
        <v/>
      </c>
      <c r="I5058" s="271" t="str">
        <f>IFERROR(__xludf.DUMMYFUNCTION("""COMPUTED_VALUE"""),"")</f>
        <v/>
      </c>
      <c r="J5058" t="str">
        <f>IFERROR(__xludf.DUMMYFUNCTION("IFS(
  AND(REGEXMATCH(E5058, ""台銀籌備帳戶|玉山帳戶""), REGEXMATCH(C5058, ""薪資"")), ""分潤支出"",
  AND(REGEXMATCH(E5058, ""Ben帳戶|Elsa帳戶|Ben代墊|Ariel代墊|中信銀行共用""), REGEXMATCH(F5058, ""Ben帳戶|Elsa帳戶|Ben代墊|Ariel代墊|中信銀行共用"")), ""內部轉帳(忽略)"",
  AND(E5058&lt;&gt;"""", F5058&lt;&gt;"""", N"&amp;"OT(REGEXMATCH(C5058, ""薪資""))), ""內部轉帳(忽略)"",
  REGEXMATCH(C5058, ""薪資""), ""薪資變動(不計入)"",
  REGEXMATCH(C5058, ""押金""), ""押金往來"",
  AND(E5058&lt;&gt;"""", F5058=""""), ""真實支出"",
  AND(E5058="""", F5058&lt;&gt;""""), ""真實收入"",
  TRUE, ""其他""
)"),"其他")</f>
        <v>其他</v>
      </c>
      <c r="K5058" s="270" t="str">
        <f t="shared" si="2"/>
        <v/>
      </c>
      <c r="L5058">
        <f t="shared" si="3"/>
        <v>0</v>
      </c>
    </row>
    <row r="5059">
      <c r="A5059" s="107"/>
      <c r="D5059" s="270"/>
      <c r="H5059" s="106" t="str">
        <f t="shared" si="1"/>
        <v/>
      </c>
      <c r="I5059" s="271" t="str">
        <f>IFERROR(__xludf.DUMMYFUNCTION("""COMPUTED_VALUE"""),"")</f>
        <v/>
      </c>
      <c r="J5059" t="str">
        <f>IFERROR(__xludf.DUMMYFUNCTION("IFS(
  AND(REGEXMATCH(E5059, ""台銀籌備帳戶|玉山帳戶""), REGEXMATCH(C5059, ""薪資"")), ""分潤支出"",
  AND(REGEXMATCH(E5059, ""Ben帳戶|Elsa帳戶|Ben代墊|Ariel代墊|中信銀行共用""), REGEXMATCH(F5059, ""Ben帳戶|Elsa帳戶|Ben代墊|Ariel代墊|中信銀行共用"")), ""內部轉帳(忽略)"",
  AND(E5059&lt;&gt;"""", F5059&lt;&gt;"""", N"&amp;"OT(REGEXMATCH(C5059, ""薪資""))), ""內部轉帳(忽略)"",
  REGEXMATCH(C5059, ""薪資""), ""薪資變動(不計入)"",
  REGEXMATCH(C5059, ""押金""), ""押金往來"",
  AND(E5059&lt;&gt;"""", F5059=""""), ""真實支出"",
  AND(E5059="""", F5059&lt;&gt;""""), ""真實收入"",
  TRUE, ""其他""
)"),"其他")</f>
        <v>其他</v>
      </c>
      <c r="K5059" s="270" t="str">
        <f t="shared" si="2"/>
        <v/>
      </c>
      <c r="L5059">
        <f t="shared" si="3"/>
        <v>0</v>
      </c>
    </row>
    <row r="5060">
      <c r="A5060" s="107"/>
      <c r="D5060" s="270"/>
      <c r="H5060" s="106" t="str">
        <f t="shared" si="1"/>
        <v/>
      </c>
      <c r="I5060" s="271" t="str">
        <f>IFERROR(__xludf.DUMMYFUNCTION("""COMPUTED_VALUE"""),"")</f>
        <v/>
      </c>
      <c r="J5060" t="str">
        <f>IFERROR(__xludf.DUMMYFUNCTION("IFS(
  AND(REGEXMATCH(E5060, ""台銀籌備帳戶|玉山帳戶""), REGEXMATCH(C5060, ""薪資"")), ""分潤支出"",
  AND(REGEXMATCH(E5060, ""Ben帳戶|Elsa帳戶|Ben代墊|Ariel代墊|中信銀行共用""), REGEXMATCH(F5060, ""Ben帳戶|Elsa帳戶|Ben代墊|Ariel代墊|中信銀行共用"")), ""內部轉帳(忽略)"",
  AND(E5060&lt;&gt;"""", F5060&lt;&gt;"""", N"&amp;"OT(REGEXMATCH(C5060, ""薪資""))), ""內部轉帳(忽略)"",
  REGEXMATCH(C5060, ""薪資""), ""薪資變動(不計入)"",
  REGEXMATCH(C5060, ""押金""), ""押金往來"",
  AND(E5060&lt;&gt;"""", F5060=""""), ""真實支出"",
  AND(E5060="""", F5060&lt;&gt;""""), ""真實收入"",
  TRUE, ""其他""
)"),"其他")</f>
        <v>其他</v>
      </c>
      <c r="K5060" s="270" t="str">
        <f t="shared" si="2"/>
        <v/>
      </c>
      <c r="L5060">
        <f t="shared" si="3"/>
        <v>0</v>
      </c>
    </row>
    <row r="5061">
      <c r="A5061" s="107"/>
      <c r="D5061" s="270"/>
      <c r="H5061" s="106" t="str">
        <f t="shared" si="1"/>
        <v/>
      </c>
      <c r="I5061" s="271" t="str">
        <f>IFERROR(__xludf.DUMMYFUNCTION("""COMPUTED_VALUE"""),"")</f>
        <v/>
      </c>
      <c r="J5061" t="str">
        <f>IFERROR(__xludf.DUMMYFUNCTION("IFS(
  AND(REGEXMATCH(E5061, ""台銀籌備帳戶|玉山帳戶""), REGEXMATCH(C5061, ""薪資"")), ""分潤支出"",
  AND(REGEXMATCH(E5061, ""Ben帳戶|Elsa帳戶|Ben代墊|Ariel代墊|中信銀行共用""), REGEXMATCH(F5061, ""Ben帳戶|Elsa帳戶|Ben代墊|Ariel代墊|中信銀行共用"")), ""內部轉帳(忽略)"",
  AND(E5061&lt;&gt;"""", F5061&lt;&gt;"""", N"&amp;"OT(REGEXMATCH(C5061, ""薪資""))), ""內部轉帳(忽略)"",
  REGEXMATCH(C5061, ""薪資""), ""薪資變動(不計入)"",
  REGEXMATCH(C5061, ""押金""), ""押金往來"",
  AND(E5061&lt;&gt;"""", F5061=""""), ""真實支出"",
  AND(E5061="""", F5061&lt;&gt;""""), ""真實收入"",
  TRUE, ""其他""
)"),"其他")</f>
        <v>其他</v>
      </c>
      <c r="K5061" s="270" t="str">
        <f t="shared" si="2"/>
        <v/>
      </c>
      <c r="L5061">
        <f t="shared" si="3"/>
        <v>0</v>
      </c>
    </row>
    <row r="5062">
      <c r="A5062" s="107"/>
      <c r="D5062" s="270"/>
      <c r="H5062" s="106" t="str">
        <f t="shared" si="1"/>
        <v/>
      </c>
      <c r="I5062" s="271" t="str">
        <f>IFERROR(__xludf.DUMMYFUNCTION("""COMPUTED_VALUE"""),"")</f>
        <v/>
      </c>
      <c r="J5062" t="str">
        <f>IFERROR(__xludf.DUMMYFUNCTION("IFS(
  AND(REGEXMATCH(E5062, ""台銀籌備帳戶|玉山帳戶""), REGEXMATCH(C5062, ""薪資"")), ""分潤支出"",
  AND(REGEXMATCH(E5062, ""Ben帳戶|Elsa帳戶|Ben代墊|Ariel代墊|中信銀行共用""), REGEXMATCH(F5062, ""Ben帳戶|Elsa帳戶|Ben代墊|Ariel代墊|中信銀行共用"")), ""內部轉帳(忽略)"",
  AND(E5062&lt;&gt;"""", F5062&lt;&gt;"""", N"&amp;"OT(REGEXMATCH(C5062, ""薪資""))), ""內部轉帳(忽略)"",
  REGEXMATCH(C5062, ""薪資""), ""薪資變動(不計入)"",
  REGEXMATCH(C5062, ""押金""), ""押金往來"",
  AND(E5062&lt;&gt;"""", F5062=""""), ""真實支出"",
  AND(E5062="""", F5062&lt;&gt;""""), ""真實收入"",
  TRUE, ""其他""
)"),"其他")</f>
        <v>其他</v>
      </c>
      <c r="K5062" s="270" t="str">
        <f t="shared" si="2"/>
        <v/>
      </c>
      <c r="L5062">
        <f t="shared" si="3"/>
        <v>0</v>
      </c>
    </row>
    <row r="5063">
      <c r="A5063" s="107"/>
      <c r="D5063" s="270"/>
      <c r="H5063" s="106" t="str">
        <f t="shared" si="1"/>
        <v/>
      </c>
      <c r="I5063" s="271" t="str">
        <f>IFERROR(__xludf.DUMMYFUNCTION("""COMPUTED_VALUE"""),"")</f>
        <v/>
      </c>
      <c r="J5063" t="str">
        <f>IFERROR(__xludf.DUMMYFUNCTION("IFS(
  AND(REGEXMATCH(E5063, ""台銀籌備帳戶|玉山帳戶""), REGEXMATCH(C5063, ""薪資"")), ""分潤支出"",
  AND(REGEXMATCH(E5063, ""Ben帳戶|Elsa帳戶|Ben代墊|Ariel代墊|中信銀行共用""), REGEXMATCH(F5063, ""Ben帳戶|Elsa帳戶|Ben代墊|Ariel代墊|中信銀行共用"")), ""內部轉帳(忽略)"",
  AND(E5063&lt;&gt;"""", F5063&lt;&gt;"""", N"&amp;"OT(REGEXMATCH(C5063, ""薪資""))), ""內部轉帳(忽略)"",
  REGEXMATCH(C5063, ""薪資""), ""薪資變動(不計入)"",
  REGEXMATCH(C5063, ""押金""), ""押金往來"",
  AND(E5063&lt;&gt;"""", F5063=""""), ""真實支出"",
  AND(E5063="""", F5063&lt;&gt;""""), ""真實收入"",
  TRUE, ""其他""
)"),"其他")</f>
        <v>其他</v>
      </c>
      <c r="K5063" s="270" t="str">
        <f t="shared" si="2"/>
        <v/>
      </c>
      <c r="L5063">
        <f t="shared" si="3"/>
        <v>0</v>
      </c>
    </row>
    <row r="5064">
      <c r="A5064" s="107"/>
      <c r="D5064" s="270"/>
      <c r="H5064" s="106" t="str">
        <f t="shared" si="1"/>
        <v/>
      </c>
      <c r="I5064" s="271" t="str">
        <f>IFERROR(__xludf.DUMMYFUNCTION("""COMPUTED_VALUE"""),"")</f>
        <v/>
      </c>
      <c r="J5064" t="str">
        <f>IFERROR(__xludf.DUMMYFUNCTION("IFS(
  AND(REGEXMATCH(E5064, ""台銀籌備帳戶|玉山帳戶""), REGEXMATCH(C5064, ""薪資"")), ""分潤支出"",
  AND(REGEXMATCH(E5064, ""Ben帳戶|Elsa帳戶|Ben代墊|Ariel代墊|中信銀行共用""), REGEXMATCH(F5064, ""Ben帳戶|Elsa帳戶|Ben代墊|Ariel代墊|中信銀行共用"")), ""內部轉帳(忽略)"",
  AND(E5064&lt;&gt;"""", F5064&lt;&gt;"""", N"&amp;"OT(REGEXMATCH(C5064, ""薪資""))), ""內部轉帳(忽略)"",
  REGEXMATCH(C5064, ""薪資""), ""薪資變動(不計入)"",
  REGEXMATCH(C5064, ""押金""), ""押金往來"",
  AND(E5064&lt;&gt;"""", F5064=""""), ""真實支出"",
  AND(E5064="""", F5064&lt;&gt;""""), ""真實收入"",
  TRUE, ""其他""
)"),"其他")</f>
        <v>其他</v>
      </c>
      <c r="K5064" s="270" t="str">
        <f t="shared" si="2"/>
        <v/>
      </c>
      <c r="L5064">
        <f t="shared" si="3"/>
        <v>0</v>
      </c>
    </row>
    <row r="5065">
      <c r="A5065" s="107"/>
      <c r="D5065" s="270"/>
      <c r="H5065" s="106" t="str">
        <f t="shared" si="1"/>
        <v/>
      </c>
      <c r="I5065" s="271" t="str">
        <f>IFERROR(__xludf.DUMMYFUNCTION("""COMPUTED_VALUE"""),"")</f>
        <v/>
      </c>
      <c r="J5065" t="str">
        <f>IFERROR(__xludf.DUMMYFUNCTION("IFS(
  AND(REGEXMATCH(E5065, ""台銀籌備帳戶|玉山帳戶""), REGEXMATCH(C5065, ""薪資"")), ""分潤支出"",
  AND(REGEXMATCH(E5065, ""Ben帳戶|Elsa帳戶|Ben代墊|Ariel代墊|中信銀行共用""), REGEXMATCH(F5065, ""Ben帳戶|Elsa帳戶|Ben代墊|Ariel代墊|中信銀行共用"")), ""內部轉帳(忽略)"",
  AND(E5065&lt;&gt;"""", F5065&lt;&gt;"""", N"&amp;"OT(REGEXMATCH(C5065, ""薪資""))), ""內部轉帳(忽略)"",
  REGEXMATCH(C5065, ""薪資""), ""薪資變動(不計入)"",
  REGEXMATCH(C5065, ""押金""), ""押金往來"",
  AND(E5065&lt;&gt;"""", F5065=""""), ""真實支出"",
  AND(E5065="""", F5065&lt;&gt;""""), ""真實收入"",
  TRUE, ""其他""
)"),"其他")</f>
        <v>其他</v>
      </c>
      <c r="K5065" s="270" t="str">
        <f t="shared" si="2"/>
        <v/>
      </c>
      <c r="L5065">
        <f t="shared" si="3"/>
        <v>0</v>
      </c>
    </row>
    <row r="5066">
      <c r="A5066" s="107"/>
      <c r="D5066" s="270"/>
      <c r="H5066" s="106" t="str">
        <f t="shared" si="1"/>
        <v/>
      </c>
      <c r="I5066" s="271" t="str">
        <f>IFERROR(__xludf.DUMMYFUNCTION("""COMPUTED_VALUE"""),"")</f>
        <v/>
      </c>
      <c r="J5066" t="str">
        <f>IFERROR(__xludf.DUMMYFUNCTION("IFS(
  AND(REGEXMATCH(E5066, ""台銀籌備帳戶|玉山帳戶""), REGEXMATCH(C5066, ""薪資"")), ""分潤支出"",
  AND(REGEXMATCH(E5066, ""Ben帳戶|Elsa帳戶|Ben代墊|Ariel代墊|中信銀行共用""), REGEXMATCH(F5066, ""Ben帳戶|Elsa帳戶|Ben代墊|Ariel代墊|中信銀行共用"")), ""內部轉帳(忽略)"",
  AND(E5066&lt;&gt;"""", F5066&lt;&gt;"""", N"&amp;"OT(REGEXMATCH(C5066, ""薪資""))), ""內部轉帳(忽略)"",
  REGEXMATCH(C5066, ""薪資""), ""薪資變動(不計入)"",
  REGEXMATCH(C5066, ""押金""), ""押金往來"",
  AND(E5066&lt;&gt;"""", F5066=""""), ""真實支出"",
  AND(E5066="""", F5066&lt;&gt;""""), ""真實收入"",
  TRUE, ""其他""
)"),"其他")</f>
        <v>其他</v>
      </c>
      <c r="K5066" s="270" t="str">
        <f t="shared" si="2"/>
        <v/>
      </c>
      <c r="L5066">
        <f t="shared" si="3"/>
        <v>0</v>
      </c>
    </row>
    <row r="5067">
      <c r="A5067" s="107"/>
      <c r="D5067" s="270"/>
      <c r="H5067" s="106" t="str">
        <f t="shared" si="1"/>
        <v/>
      </c>
      <c r="I5067" s="271" t="str">
        <f>IFERROR(__xludf.DUMMYFUNCTION("""COMPUTED_VALUE"""),"")</f>
        <v/>
      </c>
      <c r="J5067" t="str">
        <f>IFERROR(__xludf.DUMMYFUNCTION("IFS(
  AND(REGEXMATCH(E5067, ""台銀籌備帳戶|玉山帳戶""), REGEXMATCH(C5067, ""薪資"")), ""分潤支出"",
  AND(REGEXMATCH(E5067, ""Ben帳戶|Elsa帳戶|Ben代墊|Ariel代墊|中信銀行共用""), REGEXMATCH(F5067, ""Ben帳戶|Elsa帳戶|Ben代墊|Ariel代墊|中信銀行共用"")), ""內部轉帳(忽略)"",
  AND(E5067&lt;&gt;"""", F5067&lt;&gt;"""", N"&amp;"OT(REGEXMATCH(C5067, ""薪資""))), ""內部轉帳(忽略)"",
  REGEXMATCH(C5067, ""薪資""), ""薪資變動(不計入)"",
  REGEXMATCH(C5067, ""押金""), ""押金往來"",
  AND(E5067&lt;&gt;"""", F5067=""""), ""真實支出"",
  AND(E5067="""", F5067&lt;&gt;""""), ""真實收入"",
  TRUE, ""其他""
)"),"其他")</f>
        <v>其他</v>
      </c>
      <c r="K5067" s="270" t="str">
        <f t="shared" si="2"/>
        <v/>
      </c>
      <c r="L5067">
        <f t="shared" si="3"/>
        <v>0</v>
      </c>
    </row>
    <row r="5068">
      <c r="A5068" s="107"/>
      <c r="D5068" s="270"/>
      <c r="H5068" s="106" t="str">
        <f t="shared" si="1"/>
        <v/>
      </c>
      <c r="I5068" s="271" t="str">
        <f>IFERROR(__xludf.DUMMYFUNCTION("""COMPUTED_VALUE"""),"")</f>
        <v/>
      </c>
      <c r="J5068" t="str">
        <f>IFERROR(__xludf.DUMMYFUNCTION("IFS(
  AND(REGEXMATCH(E5068, ""台銀籌備帳戶|玉山帳戶""), REGEXMATCH(C5068, ""薪資"")), ""分潤支出"",
  AND(REGEXMATCH(E5068, ""Ben帳戶|Elsa帳戶|Ben代墊|Ariel代墊|中信銀行共用""), REGEXMATCH(F5068, ""Ben帳戶|Elsa帳戶|Ben代墊|Ariel代墊|中信銀行共用"")), ""內部轉帳(忽略)"",
  AND(E5068&lt;&gt;"""", F5068&lt;&gt;"""", N"&amp;"OT(REGEXMATCH(C5068, ""薪資""))), ""內部轉帳(忽略)"",
  REGEXMATCH(C5068, ""薪資""), ""薪資變動(不計入)"",
  REGEXMATCH(C5068, ""押金""), ""押金往來"",
  AND(E5068&lt;&gt;"""", F5068=""""), ""真實支出"",
  AND(E5068="""", F5068&lt;&gt;""""), ""真實收入"",
  TRUE, ""其他""
)"),"其他")</f>
        <v>其他</v>
      </c>
      <c r="K5068" s="270" t="str">
        <f t="shared" si="2"/>
        <v/>
      </c>
      <c r="L5068">
        <f t="shared" si="3"/>
        <v>0</v>
      </c>
    </row>
    <row r="5069">
      <c r="A5069" s="107"/>
      <c r="D5069" s="270"/>
      <c r="H5069" s="106" t="str">
        <f t="shared" si="1"/>
        <v/>
      </c>
      <c r="I5069" s="271" t="str">
        <f>IFERROR(__xludf.DUMMYFUNCTION("""COMPUTED_VALUE"""),"")</f>
        <v/>
      </c>
      <c r="J5069" t="str">
        <f>IFERROR(__xludf.DUMMYFUNCTION("IFS(
  AND(REGEXMATCH(E5069, ""台銀籌備帳戶|玉山帳戶""), REGEXMATCH(C5069, ""薪資"")), ""分潤支出"",
  AND(REGEXMATCH(E5069, ""Ben帳戶|Elsa帳戶|Ben代墊|Ariel代墊|中信銀行共用""), REGEXMATCH(F5069, ""Ben帳戶|Elsa帳戶|Ben代墊|Ariel代墊|中信銀行共用"")), ""內部轉帳(忽略)"",
  AND(E5069&lt;&gt;"""", F5069&lt;&gt;"""", N"&amp;"OT(REGEXMATCH(C5069, ""薪資""))), ""內部轉帳(忽略)"",
  REGEXMATCH(C5069, ""薪資""), ""薪資變動(不計入)"",
  REGEXMATCH(C5069, ""押金""), ""押金往來"",
  AND(E5069&lt;&gt;"""", F5069=""""), ""真實支出"",
  AND(E5069="""", F5069&lt;&gt;""""), ""真實收入"",
  TRUE, ""其他""
)"),"其他")</f>
        <v>其他</v>
      </c>
      <c r="K5069" s="270" t="str">
        <f t="shared" si="2"/>
        <v/>
      </c>
      <c r="L5069">
        <f t="shared" si="3"/>
        <v>0</v>
      </c>
    </row>
    <row r="5070">
      <c r="A5070" s="107"/>
      <c r="D5070" s="270"/>
      <c r="H5070" s="106" t="str">
        <f t="shared" si="1"/>
        <v/>
      </c>
      <c r="I5070" s="271" t="str">
        <f>IFERROR(__xludf.DUMMYFUNCTION("""COMPUTED_VALUE"""),"")</f>
        <v/>
      </c>
      <c r="J5070" t="str">
        <f>IFERROR(__xludf.DUMMYFUNCTION("IFS(
  AND(REGEXMATCH(E5070, ""台銀籌備帳戶|玉山帳戶""), REGEXMATCH(C5070, ""薪資"")), ""分潤支出"",
  AND(REGEXMATCH(E5070, ""Ben帳戶|Elsa帳戶|Ben代墊|Ariel代墊|中信銀行共用""), REGEXMATCH(F5070, ""Ben帳戶|Elsa帳戶|Ben代墊|Ariel代墊|中信銀行共用"")), ""內部轉帳(忽略)"",
  AND(E5070&lt;&gt;"""", F5070&lt;&gt;"""", N"&amp;"OT(REGEXMATCH(C5070, ""薪資""))), ""內部轉帳(忽略)"",
  REGEXMATCH(C5070, ""薪資""), ""薪資變動(不計入)"",
  REGEXMATCH(C5070, ""押金""), ""押金往來"",
  AND(E5070&lt;&gt;"""", F5070=""""), ""真實支出"",
  AND(E5070="""", F5070&lt;&gt;""""), ""真實收入"",
  TRUE, ""其他""
)"),"其他")</f>
        <v>其他</v>
      </c>
      <c r="K5070" s="270" t="str">
        <f t="shared" si="2"/>
        <v/>
      </c>
      <c r="L5070">
        <f t="shared" si="3"/>
        <v>0</v>
      </c>
    </row>
    <row r="5071">
      <c r="A5071" s="107"/>
      <c r="D5071" s="270"/>
      <c r="H5071" s="106" t="str">
        <f t="shared" si="1"/>
        <v/>
      </c>
      <c r="I5071" s="271" t="str">
        <f>IFERROR(__xludf.DUMMYFUNCTION("""COMPUTED_VALUE"""),"")</f>
        <v/>
      </c>
      <c r="J5071" t="str">
        <f>IFERROR(__xludf.DUMMYFUNCTION("IFS(
  AND(REGEXMATCH(E5071, ""台銀籌備帳戶|玉山帳戶""), REGEXMATCH(C5071, ""薪資"")), ""分潤支出"",
  AND(REGEXMATCH(E5071, ""Ben帳戶|Elsa帳戶|Ben代墊|Ariel代墊|中信銀行共用""), REGEXMATCH(F5071, ""Ben帳戶|Elsa帳戶|Ben代墊|Ariel代墊|中信銀行共用"")), ""內部轉帳(忽略)"",
  AND(E5071&lt;&gt;"""", F5071&lt;&gt;"""", N"&amp;"OT(REGEXMATCH(C5071, ""薪資""))), ""內部轉帳(忽略)"",
  REGEXMATCH(C5071, ""薪資""), ""薪資變動(不計入)"",
  REGEXMATCH(C5071, ""押金""), ""押金往來"",
  AND(E5071&lt;&gt;"""", F5071=""""), ""真實支出"",
  AND(E5071="""", F5071&lt;&gt;""""), ""真實收入"",
  TRUE, ""其他""
)"),"其他")</f>
        <v>其他</v>
      </c>
      <c r="K5071" s="270" t="str">
        <f t="shared" si="2"/>
        <v/>
      </c>
      <c r="L5071">
        <f t="shared" si="3"/>
        <v>0</v>
      </c>
    </row>
    <row r="5072">
      <c r="A5072" s="107"/>
      <c r="D5072" s="270"/>
      <c r="H5072" s="106" t="str">
        <f t="shared" si="1"/>
        <v/>
      </c>
      <c r="I5072" s="271" t="str">
        <f>IFERROR(__xludf.DUMMYFUNCTION("""COMPUTED_VALUE"""),"")</f>
        <v/>
      </c>
      <c r="J5072" t="str">
        <f>IFERROR(__xludf.DUMMYFUNCTION("IFS(
  AND(REGEXMATCH(E5072, ""台銀籌備帳戶|玉山帳戶""), REGEXMATCH(C5072, ""薪資"")), ""分潤支出"",
  AND(REGEXMATCH(E5072, ""Ben帳戶|Elsa帳戶|Ben代墊|Ariel代墊|中信銀行共用""), REGEXMATCH(F5072, ""Ben帳戶|Elsa帳戶|Ben代墊|Ariel代墊|中信銀行共用"")), ""內部轉帳(忽略)"",
  AND(E5072&lt;&gt;"""", F5072&lt;&gt;"""", N"&amp;"OT(REGEXMATCH(C5072, ""薪資""))), ""內部轉帳(忽略)"",
  REGEXMATCH(C5072, ""薪資""), ""薪資變動(不計入)"",
  REGEXMATCH(C5072, ""押金""), ""押金往來"",
  AND(E5072&lt;&gt;"""", F5072=""""), ""真實支出"",
  AND(E5072="""", F5072&lt;&gt;""""), ""真實收入"",
  TRUE, ""其他""
)"),"其他")</f>
        <v>其他</v>
      </c>
      <c r="K5072" s="270" t="str">
        <f t="shared" si="2"/>
        <v/>
      </c>
      <c r="L5072">
        <f t="shared" si="3"/>
        <v>0</v>
      </c>
    </row>
    <row r="5073">
      <c r="A5073" s="107"/>
      <c r="D5073" s="270"/>
      <c r="H5073" s="106" t="str">
        <f t="shared" si="1"/>
        <v/>
      </c>
      <c r="I5073" s="271" t="str">
        <f>IFERROR(__xludf.DUMMYFUNCTION("""COMPUTED_VALUE"""),"")</f>
        <v/>
      </c>
      <c r="J5073" t="str">
        <f>IFERROR(__xludf.DUMMYFUNCTION("IFS(
  AND(REGEXMATCH(E5073, ""台銀籌備帳戶|玉山帳戶""), REGEXMATCH(C5073, ""薪資"")), ""分潤支出"",
  AND(REGEXMATCH(E5073, ""Ben帳戶|Elsa帳戶|Ben代墊|Ariel代墊|中信銀行共用""), REGEXMATCH(F5073, ""Ben帳戶|Elsa帳戶|Ben代墊|Ariel代墊|中信銀行共用"")), ""內部轉帳(忽略)"",
  AND(E5073&lt;&gt;"""", F5073&lt;&gt;"""", N"&amp;"OT(REGEXMATCH(C5073, ""薪資""))), ""內部轉帳(忽略)"",
  REGEXMATCH(C5073, ""薪資""), ""薪資變動(不計入)"",
  REGEXMATCH(C5073, ""押金""), ""押金往來"",
  AND(E5073&lt;&gt;"""", F5073=""""), ""真實支出"",
  AND(E5073="""", F5073&lt;&gt;""""), ""真實收入"",
  TRUE, ""其他""
)"),"其他")</f>
        <v>其他</v>
      </c>
      <c r="K5073" s="270" t="str">
        <f t="shared" si="2"/>
        <v/>
      </c>
      <c r="L5073">
        <f t="shared" si="3"/>
        <v>0</v>
      </c>
    </row>
    <row r="5074">
      <c r="A5074" s="107"/>
      <c r="D5074" s="270"/>
      <c r="H5074" s="106" t="str">
        <f t="shared" si="1"/>
        <v/>
      </c>
      <c r="I5074" s="271" t="str">
        <f>IFERROR(__xludf.DUMMYFUNCTION("""COMPUTED_VALUE"""),"")</f>
        <v/>
      </c>
      <c r="J5074" t="str">
        <f>IFERROR(__xludf.DUMMYFUNCTION("IFS(
  AND(REGEXMATCH(E5074, ""台銀籌備帳戶|玉山帳戶""), REGEXMATCH(C5074, ""薪資"")), ""分潤支出"",
  AND(REGEXMATCH(E5074, ""Ben帳戶|Elsa帳戶|Ben代墊|Ariel代墊|中信銀行共用""), REGEXMATCH(F5074, ""Ben帳戶|Elsa帳戶|Ben代墊|Ariel代墊|中信銀行共用"")), ""內部轉帳(忽略)"",
  AND(E5074&lt;&gt;"""", F5074&lt;&gt;"""", N"&amp;"OT(REGEXMATCH(C5074, ""薪資""))), ""內部轉帳(忽略)"",
  REGEXMATCH(C5074, ""薪資""), ""薪資變動(不計入)"",
  REGEXMATCH(C5074, ""押金""), ""押金往來"",
  AND(E5074&lt;&gt;"""", F5074=""""), ""真實支出"",
  AND(E5074="""", F5074&lt;&gt;""""), ""真實收入"",
  TRUE, ""其他""
)"),"其他")</f>
        <v>其他</v>
      </c>
      <c r="K5074" s="270" t="str">
        <f t="shared" si="2"/>
        <v/>
      </c>
      <c r="L5074">
        <f t="shared" si="3"/>
        <v>0</v>
      </c>
    </row>
    <row r="5075">
      <c r="A5075" s="107"/>
      <c r="D5075" s="270"/>
      <c r="H5075" s="106" t="str">
        <f t="shared" si="1"/>
        <v/>
      </c>
      <c r="I5075" s="271" t="str">
        <f>IFERROR(__xludf.DUMMYFUNCTION("""COMPUTED_VALUE"""),"")</f>
        <v/>
      </c>
      <c r="J5075" t="str">
        <f>IFERROR(__xludf.DUMMYFUNCTION("IFS(
  AND(REGEXMATCH(E5075, ""台銀籌備帳戶|玉山帳戶""), REGEXMATCH(C5075, ""薪資"")), ""分潤支出"",
  AND(REGEXMATCH(E5075, ""Ben帳戶|Elsa帳戶|Ben代墊|Ariel代墊|中信銀行共用""), REGEXMATCH(F5075, ""Ben帳戶|Elsa帳戶|Ben代墊|Ariel代墊|中信銀行共用"")), ""內部轉帳(忽略)"",
  AND(E5075&lt;&gt;"""", F5075&lt;&gt;"""", N"&amp;"OT(REGEXMATCH(C5075, ""薪資""))), ""內部轉帳(忽略)"",
  REGEXMATCH(C5075, ""薪資""), ""薪資變動(不計入)"",
  REGEXMATCH(C5075, ""押金""), ""押金往來"",
  AND(E5075&lt;&gt;"""", F5075=""""), ""真實支出"",
  AND(E5075="""", F5075&lt;&gt;""""), ""真實收入"",
  TRUE, ""其他""
)"),"其他")</f>
        <v>其他</v>
      </c>
      <c r="K5075" s="270" t="str">
        <f t="shared" si="2"/>
        <v/>
      </c>
      <c r="L5075">
        <f t="shared" si="3"/>
        <v>0</v>
      </c>
    </row>
    <row r="5076">
      <c r="A5076" s="107"/>
      <c r="D5076" s="270"/>
      <c r="H5076" s="106" t="str">
        <f t="shared" si="1"/>
        <v/>
      </c>
      <c r="I5076" s="271" t="str">
        <f>IFERROR(__xludf.DUMMYFUNCTION("""COMPUTED_VALUE"""),"")</f>
        <v/>
      </c>
      <c r="J5076" t="str">
        <f>IFERROR(__xludf.DUMMYFUNCTION("IFS(
  AND(REGEXMATCH(E5076, ""台銀籌備帳戶|玉山帳戶""), REGEXMATCH(C5076, ""薪資"")), ""分潤支出"",
  AND(REGEXMATCH(E5076, ""Ben帳戶|Elsa帳戶|Ben代墊|Ariel代墊|中信銀行共用""), REGEXMATCH(F5076, ""Ben帳戶|Elsa帳戶|Ben代墊|Ariel代墊|中信銀行共用"")), ""內部轉帳(忽略)"",
  AND(E5076&lt;&gt;"""", F5076&lt;&gt;"""", N"&amp;"OT(REGEXMATCH(C5076, ""薪資""))), ""內部轉帳(忽略)"",
  REGEXMATCH(C5076, ""薪資""), ""薪資變動(不計入)"",
  REGEXMATCH(C5076, ""押金""), ""押金往來"",
  AND(E5076&lt;&gt;"""", F5076=""""), ""真實支出"",
  AND(E5076="""", F5076&lt;&gt;""""), ""真實收入"",
  TRUE, ""其他""
)"),"其他")</f>
        <v>其他</v>
      </c>
      <c r="K5076" s="270" t="str">
        <f t="shared" si="2"/>
        <v/>
      </c>
      <c r="L5076">
        <f t="shared" si="3"/>
        <v>0</v>
      </c>
    </row>
    <row r="5077">
      <c r="A5077" s="107"/>
      <c r="D5077" s="270"/>
      <c r="H5077" s="106" t="str">
        <f t="shared" si="1"/>
        <v/>
      </c>
      <c r="I5077" s="271" t="str">
        <f>IFERROR(__xludf.DUMMYFUNCTION("""COMPUTED_VALUE"""),"")</f>
        <v/>
      </c>
      <c r="J5077" t="str">
        <f>IFERROR(__xludf.DUMMYFUNCTION("IFS(
  AND(REGEXMATCH(E5077, ""台銀籌備帳戶|玉山帳戶""), REGEXMATCH(C5077, ""薪資"")), ""分潤支出"",
  AND(REGEXMATCH(E5077, ""Ben帳戶|Elsa帳戶|Ben代墊|Ariel代墊|中信銀行共用""), REGEXMATCH(F5077, ""Ben帳戶|Elsa帳戶|Ben代墊|Ariel代墊|中信銀行共用"")), ""內部轉帳(忽略)"",
  AND(E5077&lt;&gt;"""", F5077&lt;&gt;"""", N"&amp;"OT(REGEXMATCH(C5077, ""薪資""))), ""內部轉帳(忽略)"",
  REGEXMATCH(C5077, ""薪資""), ""薪資變動(不計入)"",
  REGEXMATCH(C5077, ""押金""), ""押金往來"",
  AND(E5077&lt;&gt;"""", F5077=""""), ""真實支出"",
  AND(E5077="""", F5077&lt;&gt;""""), ""真實收入"",
  TRUE, ""其他""
)"),"其他")</f>
        <v>其他</v>
      </c>
      <c r="K5077" s="270" t="str">
        <f t="shared" si="2"/>
        <v/>
      </c>
      <c r="L5077">
        <f t="shared" si="3"/>
        <v>0</v>
      </c>
    </row>
    <row r="5078">
      <c r="A5078" s="107"/>
      <c r="D5078" s="270"/>
      <c r="H5078" s="106" t="str">
        <f t="shared" si="1"/>
        <v/>
      </c>
      <c r="I5078" s="271" t="str">
        <f>IFERROR(__xludf.DUMMYFUNCTION("""COMPUTED_VALUE"""),"")</f>
        <v/>
      </c>
      <c r="J5078" t="str">
        <f>IFERROR(__xludf.DUMMYFUNCTION("IFS(
  AND(REGEXMATCH(E5078, ""台銀籌備帳戶|玉山帳戶""), REGEXMATCH(C5078, ""薪資"")), ""分潤支出"",
  AND(REGEXMATCH(E5078, ""Ben帳戶|Elsa帳戶|Ben代墊|Ariel代墊|中信銀行共用""), REGEXMATCH(F5078, ""Ben帳戶|Elsa帳戶|Ben代墊|Ariel代墊|中信銀行共用"")), ""內部轉帳(忽略)"",
  AND(E5078&lt;&gt;"""", F5078&lt;&gt;"""", N"&amp;"OT(REGEXMATCH(C5078, ""薪資""))), ""內部轉帳(忽略)"",
  REGEXMATCH(C5078, ""薪資""), ""薪資變動(不計入)"",
  REGEXMATCH(C5078, ""押金""), ""押金往來"",
  AND(E5078&lt;&gt;"""", F5078=""""), ""真實支出"",
  AND(E5078="""", F5078&lt;&gt;""""), ""真實收入"",
  TRUE, ""其他""
)"),"其他")</f>
        <v>其他</v>
      </c>
      <c r="K5078" s="270" t="str">
        <f t="shared" si="2"/>
        <v/>
      </c>
      <c r="L5078">
        <f t="shared" si="3"/>
        <v>0</v>
      </c>
    </row>
    <row r="5079">
      <c r="A5079" s="107"/>
      <c r="D5079" s="270"/>
      <c r="H5079" s="106" t="str">
        <f t="shared" si="1"/>
        <v/>
      </c>
      <c r="I5079" s="271" t="str">
        <f>IFERROR(__xludf.DUMMYFUNCTION("""COMPUTED_VALUE"""),"")</f>
        <v/>
      </c>
      <c r="J5079" t="str">
        <f>IFERROR(__xludf.DUMMYFUNCTION("IFS(
  AND(REGEXMATCH(E5079, ""台銀籌備帳戶|玉山帳戶""), REGEXMATCH(C5079, ""薪資"")), ""分潤支出"",
  AND(REGEXMATCH(E5079, ""Ben帳戶|Elsa帳戶|Ben代墊|Ariel代墊|中信銀行共用""), REGEXMATCH(F5079, ""Ben帳戶|Elsa帳戶|Ben代墊|Ariel代墊|中信銀行共用"")), ""內部轉帳(忽略)"",
  AND(E5079&lt;&gt;"""", F5079&lt;&gt;"""", N"&amp;"OT(REGEXMATCH(C5079, ""薪資""))), ""內部轉帳(忽略)"",
  REGEXMATCH(C5079, ""薪資""), ""薪資變動(不計入)"",
  REGEXMATCH(C5079, ""押金""), ""押金往來"",
  AND(E5079&lt;&gt;"""", F5079=""""), ""真實支出"",
  AND(E5079="""", F5079&lt;&gt;""""), ""真實收入"",
  TRUE, ""其他""
)"),"其他")</f>
        <v>其他</v>
      </c>
      <c r="K5079" s="270" t="str">
        <f t="shared" si="2"/>
        <v/>
      </c>
      <c r="L5079">
        <f t="shared" si="3"/>
        <v>0</v>
      </c>
    </row>
    <row r="5080">
      <c r="A5080" s="107"/>
      <c r="D5080" s="270"/>
      <c r="H5080" s="106" t="str">
        <f t="shared" si="1"/>
        <v/>
      </c>
      <c r="I5080" s="271" t="str">
        <f>IFERROR(__xludf.DUMMYFUNCTION("""COMPUTED_VALUE"""),"")</f>
        <v/>
      </c>
      <c r="J5080" t="str">
        <f>IFERROR(__xludf.DUMMYFUNCTION("IFS(
  AND(REGEXMATCH(E5080, ""台銀籌備帳戶|玉山帳戶""), REGEXMATCH(C5080, ""薪資"")), ""分潤支出"",
  AND(REGEXMATCH(E5080, ""Ben帳戶|Elsa帳戶|Ben代墊|Ariel代墊|中信銀行共用""), REGEXMATCH(F5080, ""Ben帳戶|Elsa帳戶|Ben代墊|Ariel代墊|中信銀行共用"")), ""內部轉帳(忽略)"",
  AND(E5080&lt;&gt;"""", F5080&lt;&gt;"""", N"&amp;"OT(REGEXMATCH(C5080, ""薪資""))), ""內部轉帳(忽略)"",
  REGEXMATCH(C5080, ""薪資""), ""薪資變動(不計入)"",
  REGEXMATCH(C5080, ""押金""), ""押金往來"",
  AND(E5080&lt;&gt;"""", F5080=""""), ""真實支出"",
  AND(E5080="""", F5080&lt;&gt;""""), ""真實收入"",
  TRUE, ""其他""
)"),"其他")</f>
        <v>其他</v>
      </c>
      <c r="K5080" s="270" t="str">
        <f t="shared" si="2"/>
        <v/>
      </c>
      <c r="L5080">
        <f t="shared" si="3"/>
        <v>0</v>
      </c>
    </row>
    <row r="5081">
      <c r="A5081" s="107"/>
      <c r="D5081" s="270"/>
      <c r="H5081" s="106" t="str">
        <f t="shared" si="1"/>
        <v/>
      </c>
      <c r="I5081" s="271" t="str">
        <f>IFERROR(__xludf.DUMMYFUNCTION("""COMPUTED_VALUE"""),"")</f>
        <v/>
      </c>
      <c r="J5081" t="str">
        <f>IFERROR(__xludf.DUMMYFUNCTION("IFS(
  AND(REGEXMATCH(E5081, ""台銀籌備帳戶|玉山帳戶""), REGEXMATCH(C5081, ""薪資"")), ""分潤支出"",
  AND(REGEXMATCH(E5081, ""Ben帳戶|Elsa帳戶|Ben代墊|Ariel代墊|中信銀行共用""), REGEXMATCH(F5081, ""Ben帳戶|Elsa帳戶|Ben代墊|Ariel代墊|中信銀行共用"")), ""內部轉帳(忽略)"",
  AND(E5081&lt;&gt;"""", F5081&lt;&gt;"""", N"&amp;"OT(REGEXMATCH(C5081, ""薪資""))), ""內部轉帳(忽略)"",
  REGEXMATCH(C5081, ""薪資""), ""薪資變動(不計入)"",
  REGEXMATCH(C5081, ""押金""), ""押金往來"",
  AND(E5081&lt;&gt;"""", F5081=""""), ""真實支出"",
  AND(E5081="""", F5081&lt;&gt;""""), ""真實收入"",
  TRUE, ""其他""
)"),"其他")</f>
        <v>其他</v>
      </c>
      <c r="K5081" s="270" t="str">
        <f t="shared" si="2"/>
        <v/>
      </c>
      <c r="L5081">
        <f t="shared" si="3"/>
        <v>0</v>
      </c>
    </row>
    <row r="5082">
      <c r="A5082" s="107"/>
      <c r="D5082" s="270"/>
      <c r="H5082" s="106" t="str">
        <f t="shared" si="1"/>
        <v/>
      </c>
      <c r="I5082" s="271" t="str">
        <f>IFERROR(__xludf.DUMMYFUNCTION("""COMPUTED_VALUE"""),"")</f>
        <v/>
      </c>
      <c r="J5082" t="str">
        <f>IFERROR(__xludf.DUMMYFUNCTION("IFS(
  AND(REGEXMATCH(E5082, ""台銀籌備帳戶|玉山帳戶""), REGEXMATCH(C5082, ""薪資"")), ""分潤支出"",
  AND(REGEXMATCH(E5082, ""Ben帳戶|Elsa帳戶|Ben代墊|Ariel代墊|中信銀行共用""), REGEXMATCH(F5082, ""Ben帳戶|Elsa帳戶|Ben代墊|Ariel代墊|中信銀行共用"")), ""內部轉帳(忽略)"",
  AND(E5082&lt;&gt;"""", F5082&lt;&gt;"""", N"&amp;"OT(REGEXMATCH(C5082, ""薪資""))), ""內部轉帳(忽略)"",
  REGEXMATCH(C5082, ""薪資""), ""薪資變動(不計入)"",
  REGEXMATCH(C5082, ""押金""), ""押金往來"",
  AND(E5082&lt;&gt;"""", F5082=""""), ""真實支出"",
  AND(E5082="""", F5082&lt;&gt;""""), ""真實收入"",
  TRUE, ""其他""
)"),"其他")</f>
        <v>其他</v>
      </c>
      <c r="K5082" s="270" t="str">
        <f t="shared" si="2"/>
        <v/>
      </c>
      <c r="L5082">
        <f t="shared" si="3"/>
        <v>0</v>
      </c>
    </row>
    <row r="5083">
      <c r="A5083" s="107"/>
      <c r="D5083" s="270"/>
      <c r="H5083" s="106" t="str">
        <f t="shared" si="1"/>
        <v/>
      </c>
      <c r="I5083" s="271" t="str">
        <f>IFERROR(__xludf.DUMMYFUNCTION("""COMPUTED_VALUE"""),"")</f>
        <v/>
      </c>
      <c r="J5083" t="str">
        <f>IFERROR(__xludf.DUMMYFUNCTION("IFS(
  AND(REGEXMATCH(E5083, ""台銀籌備帳戶|玉山帳戶""), REGEXMATCH(C5083, ""薪資"")), ""分潤支出"",
  AND(REGEXMATCH(E5083, ""Ben帳戶|Elsa帳戶|Ben代墊|Ariel代墊|中信銀行共用""), REGEXMATCH(F5083, ""Ben帳戶|Elsa帳戶|Ben代墊|Ariel代墊|中信銀行共用"")), ""內部轉帳(忽略)"",
  AND(E5083&lt;&gt;"""", F5083&lt;&gt;"""", N"&amp;"OT(REGEXMATCH(C5083, ""薪資""))), ""內部轉帳(忽略)"",
  REGEXMATCH(C5083, ""薪資""), ""薪資變動(不計入)"",
  REGEXMATCH(C5083, ""押金""), ""押金往來"",
  AND(E5083&lt;&gt;"""", F5083=""""), ""真實支出"",
  AND(E5083="""", F5083&lt;&gt;""""), ""真實收入"",
  TRUE, ""其他""
)"),"其他")</f>
        <v>其他</v>
      </c>
      <c r="K5083" s="270" t="str">
        <f t="shared" si="2"/>
        <v/>
      </c>
      <c r="L5083">
        <f t="shared" si="3"/>
        <v>0</v>
      </c>
    </row>
    <row r="5084">
      <c r="A5084" s="107"/>
      <c r="D5084" s="270"/>
      <c r="H5084" s="106" t="str">
        <f t="shared" si="1"/>
        <v/>
      </c>
      <c r="I5084" s="271" t="str">
        <f>IFERROR(__xludf.DUMMYFUNCTION("""COMPUTED_VALUE"""),"")</f>
        <v/>
      </c>
      <c r="J5084" t="str">
        <f>IFERROR(__xludf.DUMMYFUNCTION("IFS(
  AND(REGEXMATCH(E5084, ""台銀籌備帳戶|玉山帳戶""), REGEXMATCH(C5084, ""薪資"")), ""分潤支出"",
  AND(REGEXMATCH(E5084, ""Ben帳戶|Elsa帳戶|Ben代墊|Ariel代墊|中信銀行共用""), REGEXMATCH(F5084, ""Ben帳戶|Elsa帳戶|Ben代墊|Ariel代墊|中信銀行共用"")), ""內部轉帳(忽略)"",
  AND(E5084&lt;&gt;"""", F5084&lt;&gt;"""", N"&amp;"OT(REGEXMATCH(C5084, ""薪資""))), ""內部轉帳(忽略)"",
  REGEXMATCH(C5084, ""薪資""), ""薪資變動(不計入)"",
  REGEXMATCH(C5084, ""押金""), ""押金往來"",
  AND(E5084&lt;&gt;"""", F5084=""""), ""真實支出"",
  AND(E5084="""", F5084&lt;&gt;""""), ""真實收入"",
  TRUE, ""其他""
)"),"其他")</f>
        <v>其他</v>
      </c>
      <c r="K5084" s="270" t="str">
        <f t="shared" si="2"/>
        <v/>
      </c>
      <c r="L5084">
        <f t="shared" si="3"/>
        <v>0</v>
      </c>
    </row>
    <row r="5085">
      <c r="A5085" s="107"/>
      <c r="D5085" s="270"/>
      <c r="H5085" s="106" t="str">
        <f t="shared" si="1"/>
        <v/>
      </c>
      <c r="I5085" s="271" t="str">
        <f>IFERROR(__xludf.DUMMYFUNCTION("""COMPUTED_VALUE"""),"")</f>
        <v/>
      </c>
      <c r="J5085" t="str">
        <f>IFERROR(__xludf.DUMMYFUNCTION("IFS(
  AND(REGEXMATCH(E5085, ""台銀籌備帳戶|玉山帳戶""), REGEXMATCH(C5085, ""薪資"")), ""分潤支出"",
  AND(REGEXMATCH(E5085, ""Ben帳戶|Elsa帳戶|Ben代墊|Ariel代墊|中信銀行共用""), REGEXMATCH(F5085, ""Ben帳戶|Elsa帳戶|Ben代墊|Ariel代墊|中信銀行共用"")), ""內部轉帳(忽略)"",
  AND(E5085&lt;&gt;"""", F5085&lt;&gt;"""", N"&amp;"OT(REGEXMATCH(C5085, ""薪資""))), ""內部轉帳(忽略)"",
  REGEXMATCH(C5085, ""薪資""), ""薪資變動(不計入)"",
  REGEXMATCH(C5085, ""押金""), ""押金往來"",
  AND(E5085&lt;&gt;"""", F5085=""""), ""真實支出"",
  AND(E5085="""", F5085&lt;&gt;""""), ""真實收入"",
  TRUE, ""其他""
)"),"其他")</f>
        <v>其他</v>
      </c>
      <c r="K5085" s="270" t="str">
        <f t="shared" si="2"/>
        <v/>
      </c>
      <c r="L5085">
        <f t="shared" si="3"/>
        <v>0</v>
      </c>
    </row>
    <row r="5086">
      <c r="A5086" s="107"/>
      <c r="D5086" s="270"/>
      <c r="H5086" s="106" t="str">
        <f t="shared" si="1"/>
        <v/>
      </c>
      <c r="I5086" s="271" t="str">
        <f>IFERROR(__xludf.DUMMYFUNCTION("""COMPUTED_VALUE"""),"")</f>
        <v/>
      </c>
      <c r="J5086" t="str">
        <f>IFERROR(__xludf.DUMMYFUNCTION("IFS(
  AND(REGEXMATCH(E5086, ""台銀籌備帳戶|玉山帳戶""), REGEXMATCH(C5086, ""薪資"")), ""分潤支出"",
  AND(REGEXMATCH(E5086, ""Ben帳戶|Elsa帳戶|Ben代墊|Ariel代墊|中信銀行共用""), REGEXMATCH(F5086, ""Ben帳戶|Elsa帳戶|Ben代墊|Ariel代墊|中信銀行共用"")), ""內部轉帳(忽略)"",
  AND(E5086&lt;&gt;"""", F5086&lt;&gt;"""", N"&amp;"OT(REGEXMATCH(C5086, ""薪資""))), ""內部轉帳(忽略)"",
  REGEXMATCH(C5086, ""薪資""), ""薪資變動(不計入)"",
  REGEXMATCH(C5086, ""押金""), ""押金往來"",
  AND(E5086&lt;&gt;"""", F5086=""""), ""真實支出"",
  AND(E5086="""", F5086&lt;&gt;""""), ""真實收入"",
  TRUE, ""其他""
)"),"其他")</f>
        <v>其他</v>
      </c>
      <c r="K5086" s="270" t="str">
        <f t="shared" si="2"/>
        <v/>
      </c>
      <c r="L5086">
        <f t="shared" si="3"/>
        <v>0</v>
      </c>
    </row>
    <row r="5087">
      <c r="A5087" s="107"/>
      <c r="D5087" s="270"/>
      <c r="H5087" s="106" t="str">
        <f t="shared" si="1"/>
        <v/>
      </c>
      <c r="I5087" s="271" t="str">
        <f>IFERROR(__xludf.DUMMYFUNCTION("""COMPUTED_VALUE"""),"")</f>
        <v/>
      </c>
      <c r="J5087" t="str">
        <f>IFERROR(__xludf.DUMMYFUNCTION("IFS(
  AND(REGEXMATCH(E5087, ""台銀籌備帳戶|玉山帳戶""), REGEXMATCH(C5087, ""薪資"")), ""分潤支出"",
  AND(REGEXMATCH(E5087, ""Ben帳戶|Elsa帳戶|Ben代墊|Ariel代墊|中信銀行共用""), REGEXMATCH(F5087, ""Ben帳戶|Elsa帳戶|Ben代墊|Ariel代墊|中信銀行共用"")), ""內部轉帳(忽略)"",
  AND(E5087&lt;&gt;"""", F5087&lt;&gt;"""", N"&amp;"OT(REGEXMATCH(C5087, ""薪資""))), ""內部轉帳(忽略)"",
  REGEXMATCH(C5087, ""薪資""), ""薪資變動(不計入)"",
  REGEXMATCH(C5087, ""押金""), ""押金往來"",
  AND(E5087&lt;&gt;"""", F5087=""""), ""真實支出"",
  AND(E5087="""", F5087&lt;&gt;""""), ""真實收入"",
  TRUE, ""其他""
)"),"其他")</f>
        <v>其他</v>
      </c>
      <c r="K5087" s="270" t="str">
        <f t="shared" si="2"/>
        <v/>
      </c>
      <c r="L5087">
        <f t="shared" si="3"/>
        <v>0</v>
      </c>
    </row>
    <row r="5088">
      <c r="A5088" s="107"/>
      <c r="D5088" s="270"/>
      <c r="H5088" s="106" t="str">
        <f t="shared" si="1"/>
        <v/>
      </c>
      <c r="I5088" s="271" t="str">
        <f>IFERROR(__xludf.DUMMYFUNCTION("""COMPUTED_VALUE"""),"")</f>
        <v/>
      </c>
      <c r="J5088" t="str">
        <f>IFERROR(__xludf.DUMMYFUNCTION("IFS(
  AND(REGEXMATCH(E5088, ""台銀籌備帳戶|玉山帳戶""), REGEXMATCH(C5088, ""薪資"")), ""分潤支出"",
  AND(REGEXMATCH(E5088, ""Ben帳戶|Elsa帳戶|Ben代墊|Ariel代墊|中信銀行共用""), REGEXMATCH(F5088, ""Ben帳戶|Elsa帳戶|Ben代墊|Ariel代墊|中信銀行共用"")), ""內部轉帳(忽略)"",
  AND(E5088&lt;&gt;"""", F5088&lt;&gt;"""", N"&amp;"OT(REGEXMATCH(C5088, ""薪資""))), ""內部轉帳(忽略)"",
  REGEXMATCH(C5088, ""薪資""), ""薪資變動(不計入)"",
  REGEXMATCH(C5088, ""押金""), ""押金往來"",
  AND(E5088&lt;&gt;"""", F5088=""""), ""真實支出"",
  AND(E5088="""", F5088&lt;&gt;""""), ""真實收入"",
  TRUE, ""其他""
)"),"其他")</f>
        <v>其他</v>
      </c>
      <c r="K5088" s="270" t="str">
        <f t="shared" si="2"/>
        <v/>
      </c>
      <c r="L5088">
        <f t="shared" si="3"/>
        <v>0</v>
      </c>
    </row>
    <row r="5089">
      <c r="A5089" s="107"/>
      <c r="D5089" s="270"/>
      <c r="H5089" s="106" t="str">
        <f t="shared" si="1"/>
        <v/>
      </c>
      <c r="I5089" s="271" t="str">
        <f>IFERROR(__xludf.DUMMYFUNCTION("""COMPUTED_VALUE"""),"")</f>
        <v/>
      </c>
      <c r="J5089" t="str">
        <f>IFERROR(__xludf.DUMMYFUNCTION("IFS(
  AND(REGEXMATCH(E5089, ""台銀籌備帳戶|玉山帳戶""), REGEXMATCH(C5089, ""薪資"")), ""分潤支出"",
  AND(REGEXMATCH(E5089, ""Ben帳戶|Elsa帳戶|Ben代墊|Ariel代墊|中信銀行共用""), REGEXMATCH(F5089, ""Ben帳戶|Elsa帳戶|Ben代墊|Ariel代墊|中信銀行共用"")), ""內部轉帳(忽略)"",
  AND(E5089&lt;&gt;"""", F5089&lt;&gt;"""", N"&amp;"OT(REGEXMATCH(C5089, ""薪資""))), ""內部轉帳(忽略)"",
  REGEXMATCH(C5089, ""薪資""), ""薪資變動(不計入)"",
  REGEXMATCH(C5089, ""押金""), ""押金往來"",
  AND(E5089&lt;&gt;"""", F5089=""""), ""真實支出"",
  AND(E5089="""", F5089&lt;&gt;""""), ""真實收入"",
  TRUE, ""其他""
)"),"其他")</f>
        <v>其他</v>
      </c>
      <c r="K5089" s="270" t="str">
        <f t="shared" si="2"/>
        <v/>
      </c>
      <c r="L5089">
        <f t="shared" si="3"/>
        <v>0</v>
      </c>
    </row>
    <row r="5090">
      <c r="A5090" s="107"/>
      <c r="D5090" s="270"/>
      <c r="H5090" s="106" t="str">
        <f t="shared" si="1"/>
        <v/>
      </c>
      <c r="I5090" s="271" t="str">
        <f>IFERROR(__xludf.DUMMYFUNCTION("""COMPUTED_VALUE"""),"")</f>
        <v/>
      </c>
      <c r="J5090" t="str">
        <f>IFERROR(__xludf.DUMMYFUNCTION("IFS(
  AND(REGEXMATCH(E5090, ""台銀籌備帳戶|玉山帳戶""), REGEXMATCH(C5090, ""薪資"")), ""分潤支出"",
  AND(REGEXMATCH(E5090, ""Ben帳戶|Elsa帳戶|Ben代墊|Ariel代墊|中信銀行共用""), REGEXMATCH(F5090, ""Ben帳戶|Elsa帳戶|Ben代墊|Ariel代墊|中信銀行共用"")), ""內部轉帳(忽略)"",
  AND(E5090&lt;&gt;"""", F5090&lt;&gt;"""", N"&amp;"OT(REGEXMATCH(C5090, ""薪資""))), ""內部轉帳(忽略)"",
  REGEXMATCH(C5090, ""薪資""), ""薪資變動(不計入)"",
  REGEXMATCH(C5090, ""押金""), ""押金往來"",
  AND(E5090&lt;&gt;"""", F5090=""""), ""真實支出"",
  AND(E5090="""", F5090&lt;&gt;""""), ""真實收入"",
  TRUE, ""其他""
)"),"其他")</f>
        <v>其他</v>
      </c>
      <c r="K5090" s="270" t="str">
        <f t="shared" si="2"/>
        <v/>
      </c>
      <c r="L5090">
        <f t="shared" si="3"/>
        <v>0</v>
      </c>
    </row>
    <row r="5091">
      <c r="A5091" s="107"/>
      <c r="D5091" s="270"/>
      <c r="H5091" s="106" t="str">
        <f t="shared" si="1"/>
        <v/>
      </c>
      <c r="I5091" s="271" t="str">
        <f>IFERROR(__xludf.DUMMYFUNCTION("""COMPUTED_VALUE"""),"")</f>
        <v/>
      </c>
      <c r="J5091" t="str">
        <f>IFERROR(__xludf.DUMMYFUNCTION("IFS(
  AND(REGEXMATCH(E5091, ""台銀籌備帳戶|玉山帳戶""), REGEXMATCH(C5091, ""薪資"")), ""分潤支出"",
  AND(REGEXMATCH(E5091, ""Ben帳戶|Elsa帳戶|Ben代墊|Ariel代墊|中信銀行共用""), REGEXMATCH(F5091, ""Ben帳戶|Elsa帳戶|Ben代墊|Ariel代墊|中信銀行共用"")), ""內部轉帳(忽略)"",
  AND(E5091&lt;&gt;"""", F5091&lt;&gt;"""", N"&amp;"OT(REGEXMATCH(C5091, ""薪資""))), ""內部轉帳(忽略)"",
  REGEXMATCH(C5091, ""薪資""), ""薪資變動(不計入)"",
  REGEXMATCH(C5091, ""押金""), ""押金往來"",
  AND(E5091&lt;&gt;"""", F5091=""""), ""真實支出"",
  AND(E5091="""", F5091&lt;&gt;""""), ""真實收入"",
  TRUE, ""其他""
)"),"其他")</f>
        <v>其他</v>
      </c>
      <c r="K5091" s="270" t="str">
        <f t="shared" si="2"/>
        <v/>
      </c>
      <c r="L5091">
        <f t="shared" si="3"/>
        <v>0</v>
      </c>
    </row>
    <row r="5092">
      <c r="A5092" s="107"/>
      <c r="D5092" s="270"/>
      <c r="H5092" s="106" t="str">
        <f t="shared" si="1"/>
        <v/>
      </c>
      <c r="I5092" s="271" t="str">
        <f>IFERROR(__xludf.DUMMYFUNCTION("""COMPUTED_VALUE"""),"")</f>
        <v/>
      </c>
      <c r="J5092" t="str">
        <f>IFERROR(__xludf.DUMMYFUNCTION("IFS(
  AND(REGEXMATCH(E5092, ""台銀籌備帳戶|玉山帳戶""), REGEXMATCH(C5092, ""薪資"")), ""分潤支出"",
  AND(REGEXMATCH(E5092, ""Ben帳戶|Elsa帳戶|Ben代墊|Ariel代墊|中信銀行共用""), REGEXMATCH(F5092, ""Ben帳戶|Elsa帳戶|Ben代墊|Ariel代墊|中信銀行共用"")), ""內部轉帳(忽略)"",
  AND(E5092&lt;&gt;"""", F5092&lt;&gt;"""", N"&amp;"OT(REGEXMATCH(C5092, ""薪資""))), ""內部轉帳(忽略)"",
  REGEXMATCH(C5092, ""薪資""), ""薪資變動(不計入)"",
  REGEXMATCH(C5092, ""押金""), ""押金往來"",
  AND(E5092&lt;&gt;"""", F5092=""""), ""真實支出"",
  AND(E5092="""", F5092&lt;&gt;""""), ""真實收入"",
  TRUE, ""其他""
)"),"其他")</f>
        <v>其他</v>
      </c>
      <c r="K5092" s="270" t="str">
        <f t="shared" si="2"/>
        <v/>
      </c>
      <c r="L5092">
        <f t="shared" si="3"/>
        <v>0</v>
      </c>
    </row>
    <row r="5093">
      <c r="A5093" s="107"/>
      <c r="D5093" s="270"/>
      <c r="H5093" s="106" t="str">
        <f t="shared" si="1"/>
        <v/>
      </c>
      <c r="I5093" s="271" t="str">
        <f>IFERROR(__xludf.DUMMYFUNCTION("""COMPUTED_VALUE"""),"")</f>
        <v/>
      </c>
      <c r="J5093" t="str">
        <f>IFERROR(__xludf.DUMMYFUNCTION("IFS(
  AND(REGEXMATCH(E5093, ""台銀籌備帳戶|玉山帳戶""), REGEXMATCH(C5093, ""薪資"")), ""分潤支出"",
  AND(REGEXMATCH(E5093, ""Ben帳戶|Elsa帳戶|Ben代墊|Ariel代墊|中信銀行共用""), REGEXMATCH(F5093, ""Ben帳戶|Elsa帳戶|Ben代墊|Ariel代墊|中信銀行共用"")), ""內部轉帳(忽略)"",
  AND(E5093&lt;&gt;"""", F5093&lt;&gt;"""", N"&amp;"OT(REGEXMATCH(C5093, ""薪資""))), ""內部轉帳(忽略)"",
  REGEXMATCH(C5093, ""薪資""), ""薪資變動(不計入)"",
  REGEXMATCH(C5093, ""押金""), ""押金往來"",
  AND(E5093&lt;&gt;"""", F5093=""""), ""真實支出"",
  AND(E5093="""", F5093&lt;&gt;""""), ""真實收入"",
  TRUE, ""其他""
)"),"其他")</f>
        <v>其他</v>
      </c>
      <c r="K5093" s="270" t="str">
        <f t="shared" si="2"/>
        <v/>
      </c>
      <c r="L5093">
        <f t="shared" si="3"/>
        <v>0</v>
      </c>
    </row>
    <row r="5094">
      <c r="A5094" s="107"/>
      <c r="D5094" s="270"/>
      <c r="H5094" s="106" t="str">
        <f t="shared" si="1"/>
        <v/>
      </c>
      <c r="I5094" s="271" t="str">
        <f>IFERROR(__xludf.DUMMYFUNCTION("""COMPUTED_VALUE"""),"")</f>
        <v/>
      </c>
      <c r="J5094" t="str">
        <f>IFERROR(__xludf.DUMMYFUNCTION("IFS(
  AND(REGEXMATCH(E5094, ""台銀籌備帳戶|玉山帳戶""), REGEXMATCH(C5094, ""薪資"")), ""分潤支出"",
  AND(REGEXMATCH(E5094, ""Ben帳戶|Elsa帳戶|Ben代墊|Ariel代墊|中信銀行共用""), REGEXMATCH(F5094, ""Ben帳戶|Elsa帳戶|Ben代墊|Ariel代墊|中信銀行共用"")), ""內部轉帳(忽略)"",
  AND(E5094&lt;&gt;"""", F5094&lt;&gt;"""", N"&amp;"OT(REGEXMATCH(C5094, ""薪資""))), ""內部轉帳(忽略)"",
  REGEXMATCH(C5094, ""薪資""), ""薪資變動(不計入)"",
  REGEXMATCH(C5094, ""押金""), ""押金往來"",
  AND(E5094&lt;&gt;"""", F5094=""""), ""真實支出"",
  AND(E5094="""", F5094&lt;&gt;""""), ""真實收入"",
  TRUE, ""其他""
)"),"其他")</f>
        <v>其他</v>
      </c>
      <c r="K5094" s="270" t="str">
        <f t="shared" si="2"/>
        <v/>
      </c>
      <c r="L5094">
        <f t="shared" si="3"/>
        <v>0</v>
      </c>
    </row>
    <row r="5095">
      <c r="A5095" s="107"/>
      <c r="D5095" s="270"/>
      <c r="H5095" s="106" t="str">
        <f t="shared" si="1"/>
        <v/>
      </c>
      <c r="I5095" s="271" t="str">
        <f>IFERROR(__xludf.DUMMYFUNCTION("""COMPUTED_VALUE"""),"")</f>
        <v/>
      </c>
      <c r="J5095" t="str">
        <f>IFERROR(__xludf.DUMMYFUNCTION("IFS(
  AND(REGEXMATCH(E5095, ""台銀籌備帳戶|玉山帳戶""), REGEXMATCH(C5095, ""薪資"")), ""分潤支出"",
  AND(REGEXMATCH(E5095, ""Ben帳戶|Elsa帳戶|Ben代墊|Ariel代墊|中信銀行共用""), REGEXMATCH(F5095, ""Ben帳戶|Elsa帳戶|Ben代墊|Ariel代墊|中信銀行共用"")), ""內部轉帳(忽略)"",
  AND(E5095&lt;&gt;"""", F5095&lt;&gt;"""", N"&amp;"OT(REGEXMATCH(C5095, ""薪資""))), ""內部轉帳(忽略)"",
  REGEXMATCH(C5095, ""薪資""), ""薪資變動(不計入)"",
  REGEXMATCH(C5095, ""押金""), ""押金往來"",
  AND(E5095&lt;&gt;"""", F5095=""""), ""真實支出"",
  AND(E5095="""", F5095&lt;&gt;""""), ""真實收入"",
  TRUE, ""其他""
)"),"其他")</f>
        <v>其他</v>
      </c>
      <c r="K5095" s="270" t="str">
        <f t="shared" si="2"/>
        <v/>
      </c>
      <c r="L5095">
        <f t="shared" si="3"/>
        <v>0</v>
      </c>
    </row>
    <row r="5096">
      <c r="A5096" s="107"/>
      <c r="D5096" s="270"/>
      <c r="H5096" s="106" t="str">
        <f t="shared" si="1"/>
        <v/>
      </c>
      <c r="I5096" s="271" t="str">
        <f>IFERROR(__xludf.DUMMYFUNCTION("""COMPUTED_VALUE"""),"")</f>
        <v/>
      </c>
      <c r="J5096" t="str">
        <f>IFERROR(__xludf.DUMMYFUNCTION("IFS(
  AND(REGEXMATCH(E5096, ""台銀籌備帳戶|玉山帳戶""), REGEXMATCH(C5096, ""薪資"")), ""分潤支出"",
  AND(REGEXMATCH(E5096, ""Ben帳戶|Elsa帳戶|Ben代墊|Ariel代墊|中信銀行共用""), REGEXMATCH(F5096, ""Ben帳戶|Elsa帳戶|Ben代墊|Ariel代墊|中信銀行共用"")), ""內部轉帳(忽略)"",
  AND(E5096&lt;&gt;"""", F5096&lt;&gt;"""", N"&amp;"OT(REGEXMATCH(C5096, ""薪資""))), ""內部轉帳(忽略)"",
  REGEXMATCH(C5096, ""薪資""), ""薪資變動(不計入)"",
  REGEXMATCH(C5096, ""押金""), ""押金往來"",
  AND(E5096&lt;&gt;"""", F5096=""""), ""真實支出"",
  AND(E5096="""", F5096&lt;&gt;""""), ""真實收入"",
  TRUE, ""其他""
)"),"其他")</f>
        <v>其他</v>
      </c>
      <c r="K5096" s="270" t="str">
        <f t="shared" si="2"/>
        <v/>
      </c>
      <c r="L5096">
        <f t="shared" si="3"/>
        <v>0</v>
      </c>
    </row>
    <row r="5097">
      <c r="A5097" s="107"/>
      <c r="D5097" s="270"/>
      <c r="H5097" s="106" t="str">
        <f t="shared" si="1"/>
        <v/>
      </c>
      <c r="I5097" s="271" t="str">
        <f>IFERROR(__xludf.DUMMYFUNCTION("""COMPUTED_VALUE"""),"")</f>
        <v/>
      </c>
      <c r="J5097" t="str">
        <f>IFERROR(__xludf.DUMMYFUNCTION("IFS(
  AND(REGEXMATCH(E5097, ""台銀籌備帳戶|玉山帳戶""), REGEXMATCH(C5097, ""薪資"")), ""分潤支出"",
  AND(REGEXMATCH(E5097, ""Ben帳戶|Elsa帳戶|Ben代墊|Ariel代墊|中信銀行共用""), REGEXMATCH(F5097, ""Ben帳戶|Elsa帳戶|Ben代墊|Ariel代墊|中信銀行共用"")), ""內部轉帳(忽略)"",
  AND(E5097&lt;&gt;"""", F5097&lt;&gt;"""", N"&amp;"OT(REGEXMATCH(C5097, ""薪資""))), ""內部轉帳(忽略)"",
  REGEXMATCH(C5097, ""薪資""), ""薪資變動(不計入)"",
  REGEXMATCH(C5097, ""押金""), ""押金往來"",
  AND(E5097&lt;&gt;"""", F5097=""""), ""真實支出"",
  AND(E5097="""", F5097&lt;&gt;""""), ""真實收入"",
  TRUE, ""其他""
)"),"其他")</f>
        <v>其他</v>
      </c>
      <c r="K5097" s="270" t="str">
        <f t="shared" si="2"/>
        <v/>
      </c>
      <c r="L5097">
        <f t="shared" si="3"/>
        <v>0</v>
      </c>
    </row>
    <row r="5098">
      <c r="A5098" s="107"/>
      <c r="D5098" s="270"/>
      <c r="H5098" s="106" t="str">
        <f t="shared" si="1"/>
        <v/>
      </c>
      <c r="I5098" s="271" t="str">
        <f>IFERROR(__xludf.DUMMYFUNCTION("""COMPUTED_VALUE"""),"")</f>
        <v/>
      </c>
      <c r="J5098" t="str">
        <f>IFERROR(__xludf.DUMMYFUNCTION("IFS(
  AND(REGEXMATCH(E5098, ""台銀籌備帳戶|玉山帳戶""), REGEXMATCH(C5098, ""薪資"")), ""分潤支出"",
  AND(REGEXMATCH(E5098, ""Ben帳戶|Elsa帳戶|Ben代墊|Ariel代墊|中信銀行共用""), REGEXMATCH(F5098, ""Ben帳戶|Elsa帳戶|Ben代墊|Ariel代墊|中信銀行共用"")), ""內部轉帳(忽略)"",
  AND(E5098&lt;&gt;"""", F5098&lt;&gt;"""", N"&amp;"OT(REGEXMATCH(C5098, ""薪資""))), ""內部轉帳(忽略)"",
  REGEXMATCH(C5098, ""薪資""), ""薪資變動(不計入)"",
  REGEXMATCH(C5098, ""押金""), ""押金往來"",
  AND(E5098&lt;&gt;"""", F5098=""""), ""真實支出"",
  AND(E5098="""", F5098&lt;&gt;""""), ""真實收入"",
  TRUE, ""其他""
)"),"其他")</f>
        <v>其他</v>
      </c>
      <c r="K5098" s="270" t="str">
        <f t="shared" si="2"/>
        <v/>
      </c>
      <c r="L5098">
        <f t="shared" si="3"/>
        <v>0</v>
      </c>
    </row>
    <row r="5099">
      <c r="A5099" s="107"/>
      <c r="D5099" s="270"/>
      <c r="H5099" s="106" t="str">
        <f t="shared" si="1"/>
        <v/>
      </c>
      <c r="I5099" s="271" t="str">
        <f>IFERROR(__xludf.DUMMYFUNCTION("""COMPUTED_VALUE"""),"")</f>
        <v/>
      </c>
      <c r="J5099" t="str">
        <f>IFERROR(__xludf.DUMMYFUNCTION("IFS(
  AND(REGEXMATCH(E5099, ""台銀籌備帳戶|玉山帳戶""), REGEXMATCH(C5099, ""薪資"")), ""分潤支出"",
  AND(REGEXMATCH(E5099, ""Ben帳戶|Elsa帳戶|Ben代墊|Ariel代墊|中信銀行共用""), REGEXMATCH(F5099, ""Ben帳戶|Elsa帳戶|Ben代墊|Ariel代墊|中信銀行共用"")), ""內部轉帳(忽略)"",
  AND(E5099&lt;&gt;"""", F5099&lt;&gt;"""", N"&amp;"OT(REGEXMATCH(C5099, ""薪資""))), ""內部轉帳(忽略)"",
  REGEXMATCH(C5099, ""薪資""), ""薪資變動(不計入)"",
  REGEXMATCH(C5099, ""押金""), ""押金往來"",
  AND(E5099&lt;&gt;"""", F5099=""""), ""真實支出"",
  AND(E5099="""", F5099&lt;&gt;""""), ""真實收入"",
  TRUE, ""其他""
)"),"其他")</f>
        <v>其他</v>
      </c>
      <c r="K5099" s="270" t="str">
        <f t="shared" si="2"/>
        <v/>
      </c>
      <c r="L5099">
        <f t="shared" si="3"/>
        <v>0</v>
      </c>
    </row>
    <row r="5100">
      <c r="A5100" s="107"/>
      <c r="D5100" s="270"/>
      <c r="H5100" s="106" t="str">
        <f t="shared" si="1"/>
        <v/>
      </c>
      <c r="I5100" s="271" t="str">
        <f>IFERROR(__xludf.DUMMYFUNCTION("""COMPUTED_VALUE"""),"")</f>
        <v/>
      </c>
      <c r="J5100" t="str">
        <f>IFERROR(__xludf.DUMMYFUNCTION("IFS(
  AND(REGEXMATCH(E5100, ""台銀籌備帳戶|玉山帳戶""), REGEXMATCH(C5100, ""薪資"")), ""分潤支出"",
  AND(REGEXMATCH(E5100, ""Ben帳戶|Elsa帳戶|Ben代墊|Ariel代墊|中信銀行共用""), REGEXMATCH(F5100, ""Ben帳戶|Elsa帳戶|Ben代墊|Ariel代墊|中信銀行共用"")), ""內部轉帳(忽略)"",
  AND(E5100&lt;&gt;"""", F5100&lt;&gt;"""", N"&amp;"OT(REGEXMATCH(C5100, ""薪資""))), ""內部轉帳(忽略)"",
  REGEXMATCH(C5100, ""薪資""), ""薪資變動(不計入)"",
  REGEXMATCH(C5100, ""押金""), ""押金往來"",
  AND(E5100&lt;&gt;"""", F5100=""""), ""真實支出"",
  AND(E5100="""", F5100&lt;&gt;""""), ""真實收入"",
  TRUE, ""其他""
)"),"其他")</f>
        <v>其他</v>
      </c>
      <c r="K5100" s="270" t="str">
        <f t="shared" si="2"/>
        <v/>
      </c>
      <c r="L5100">
        <f t="shared" si="3"/>
        <v>0</v>
      </c>
    </row>
    <row r="5101">
      <c r="A5101" s="107"/>
      <c r="D5101" s="270"/>
      <c r="H5101" s="106" t="str">
        <f t="shared" si="1"/>
        <v/>
      </c>
      <c r="I5101" s="271" t="str">
        <f>IFERROR(__xludf.DUMMYFUNCTION("""COMPUTED_VALUE"""),"")</f>
        <v/>
      </c>
      <c r="J5101" t="str">
        <f>IFERROR(__xludf.DUMMYFUNCTION("IFS(
  AND(REGEXMATCH(E5101, ""台銀籌備帳戶|玉山帳戶""), REGEXMATCH(C5101, ""薪資"")), ""分潤支出"",
  AND(REGEXMATCH(E5101, ""Ben帳戶|Elsa帳戶|Ben代墊|Ariel代墊|中信銀行共用""), REGEXMATCH(F5101, ""Ben帳戶|Elsa帳戶|Ben代墊|Ariel代墊|中信銀行共用"")), ""內部轉帳(忽略)"",
  AND(E5101&lt;&gt;"""", F5101&lt;&gt;"""", N"&amp;"OT(REGEXMATCH(C5101, ""薪資""))), ""內部轉帳(忽略)"",
  REGEXMATCH(C5101, ""薪資""), ""薪資變動(不計入)"",
  REGEXMATCH(C5101, ""押金""), ""押金往來"",
  AND(E5101&lt;&gt;"""", F5101=""""), ""真實支出"",
  AND(E5101="""", F5101&lt;&gt;""""), ""真實收入"",
  TRUE, ""其他""
)"),"其他")</f>
        <v>其他</v>
      </c>
      <c r="K5101" s="270" t="str">
        <f t="shared" si="2"/>
        <v/>
      </c>
      <c r="L5101">
        <f t="shared" si="3"/>
        <v>0</v>
      </c>
    </row>
    <row r="5102">
      <c r="A5102" s="107"/>
      <c r="D5102" s="270"/>
      <c r="H5102" s="106" t="str">
        <f t="shared" si="1"/>
        <v/>
      </c>
      <c r="I5102" s="271" t="str">
        <f>IFERROR(__xludf.DUMMYFUNCTION("""COMPUTED_VALUE"""),"")</f>
        <v/>
      </c>
      <c r="J5102" t="str">
        <f>IFERROR(__xludf.DUMMYFUNCTION("IFS(
  AND(REGEXMATCH(E5102, ""台銀籌備帳戶|玉山帳戶""), REGEXMATCH(C5102, ""薪資"")), ""分潤支出"",
  AND(REGEXMATCH(E5102, ""Ben帳戶|Elsa帳戶|Ben代墊|Ariel代墊|中信銀行共用""), REGEXMATCH(F5102, ""Ben帳戶|Elsa帳戶|Ben代墊|Ariel代墊|中信銀行共用"")), ""內部轉帳(忽略)"",
  AND(E5102&lt;&gt;"""", F5102&lt;&gt;"""", N"&amp;"OT(REGEXMATCH(C5102, ""薪資""))), ""內部轉帳(忽略)"",
  REGEXMATCH(C5102, ""薪資""), ""薪資變動(不計入)"",
  REGEXMATCH(C5102, ""押金""), ""押金往來"",
  AND(E5102&lt;&gt;"""", F5102=""""), ""真實支出"",
  AND(E5102="""", F5102&lt;&gt;""""), ""真實收入"",
  TRUE, ""其他""
)"),"其他")</f>
        <v>其他</v>
      </c>
      <c r="K5102" s="270" t="str">
        <f t="shared" si="2"/>
        <v/>
      </c>
      <c r="L5102">
        <f t="shared" si="3"/>
        <v>0</v>
      </c>
    </row>
    <row r="5103">
      <c r="A5103" s="107"/>
      <c r="D5103" s="270"/>
      <c r="H5103" s="106" t="str">
        <f t="shared" si="1"/>
        <v/>
      </c>
      <c r="I5103" s="271" t="str">
        <f>IFERROR(__xludf.DUMMYFUNCTION("""COMPUTED_VALUE"""),"")</f>
        <v/>
      </c>
      <c r="J5103" t="str">
        <f>IFERROR(__xludf.DUMMYFUNCTION("IFS(
  AND(REGEXMATCH(E5103, ""台銀籌備帳戶|玉山帳戶""), REGEXMATCH(C5103, ""薪資"")), ""分潤支出"",
  AND(REGEXMATCH(E5103, ""Ben帳戶|Elsa帳戶|Ben代墊|Ariel代墊|中信銀行共用""), REGEXMATCH(F5103, ""Ben帳戶|Elsa帳戶|Ben代墊|Ariel代墊|中信銀行共用"")), ""內部轉帳(忽略)"",
  AND(E5103&lt;&gt;"""", F5103&lt;&gt;"""", N"&amp;"OT(REGEXMATCH(C5103, ""薪資""))), ""內部轉帳(忽略)"",
  REGEXMATCH(C5103, ""薪資""), ""薪資變動(不計入)"",
  REGEXMATCH(C5103, ""押金""), ""押金往來"",
  AND(E5103&lt;&gt;"""", F5103=""""), ""真實支出"",
  AND(E5103="""", F5103&lt;&gt;""""), ""真實收入"",
  TRUE, ""其他""
)"),"其他")</f>
        <v>其他</v>
      </c>
      <c r="K5103" s="270" t="str">
        <f t="shared" si="2"/>
        <v/>
      </c>
      <c r="L5103">
        <f t="shared" si="3"/>
        <v>0</v>
      </c>
    </row>
    <row r="5104">
      <c r="A5104" s="107"/>
      <c r="D5104" s="270"/>
      <c r="H5104" s="106" t="str">
        <f t="shared" si="1"/>
        <v/>
      </c>
      <c r="I5104" s="271" t="str">
        <f>IFERROR(__xludf.DUMMYFUNCTION("""COMPUTED_VALUE"""),"")</f>
        <v/>
      </c>
      <c r="J5104" t="str">
        <f>IFERROR(__xludf.DUMMYFUNCTION("IFS(
  AND(REGEXMATCH(E5104, ""台銀籌備帳戶|玉山帳戶""), REGEXMATCH(C5104, ""薪資"")), ""分潤支出"",
  AND(REGEXMATCH(E5104, ""Ben帳戶|Elsa帳戶|Ben代墊|Ariel代墊|中信銀行共用""), REGEXMATCH(F5104, ""Ben帳戶|Elsa帳戶|Ben代墊|Ariel代墊|中信銀行共用"")), ""內部轉帳(忽略)"",
  AND(E5104&lt;&gt;"""", F5104&lt;&gt;"""", N"&amp;"OT(REGEXMATCH(C5104, ""薪資""))), ""內部轉帳(忽略)"",
  REGEXMATCH(C5104, ""薪資""), ""薪資變動(不計入)"",
  REGEXMATCH(C5104, ""押金""), ""押金往來"",
  AND(E5104&lt;&gt;"""", F5104=""""), ""真實支出"",
  AND(E5104="""", F5104&lt;&gt;""""), ""真實收入"",
  TRUE, ""其他""
)"),"其他")</f>
        <v>其他</v>
      </c>
      <c r="K5104" s="270" t="str">
        <f t="shared" si="2"/>
        <v/>
      </c>
      <c r="L5104">
        <f t="shared" si="3"/>
        <v>0</v>
      </c>
    </row>
    <row r="5105">
      <c r="A5105" s="107"/>
      <c r="D5105" s="270"/>
      <c r="H5105" s="106" t="str">
        <f t="shared" si="1"/>
        <v/>
      </c>
      <c r="I5105" s="271" t="str">
        <f>IFERROR(__xludf.DUMMYFUNCTION("""COMPUTED_VALUE"""),"")</f>
        <v/>
      </c>
      <c r="J5105" t="str">
        <f>IFERROR(__xludf.DUMMYFUNCTION("IFS(
  AND(REGEXMATCH(E5105, ""台銀籌備帳戶|玉山帳戶""), REGEXMATCH(C5105, ""薪資"")), ""分潤支出"",
  AND(REGEXMATCH(E5105, ""Ben帳戶|Elsa帳戶|Ben代墊|Ariel代墊|中信銀行共用""), REGEXMATCH(F5105, ""Ben帳戶|Elsa帳戶|Ben代墊|Ariel代墊|中信銀行共用"")), ""內部轉帳(忽略)"",
  AND(E5105&lt;&gt;"""", F5105&lt;&gt;"""", N"&amp;"OT(REGEXMATCH(C5105, ""薪資""))), ""內部轉帳(忽略)"",
  REGEXMATCH(C5105, ""薪資""), ""薪資變動(不計入)"",
  REGEXMATCH(C5105, ""押金""), ""押金往來"",
  AND(E5105&lt;&gt;"""", F5105=""""), ""真實支出"",
  AND(E5105="""", F5105&lt;&gt;""""), ""真實收入"",
  TRUE, ""其他""
)"),"其他")</f>
        <v>其他</v>
      </c>
      <c r="K5105" s="270" t="str">
        <f t="shared" si="2"/>
        <v/>
      </c>
      <c r="L5105">
        <f t="shared" si="3"/>
        <v>0</v>
      </c>
    </row>
    <row r="5106">
      <c r="A5106" s="107"/>
      <c r="D5106" s="270"/>
      <c r="H5106" s="106" t="str">
        <f t="shared" si="1"/>
        <v/>
      </c>
      <c r="I5106" s="271" t="str">
        <f>IFERROR(__xludf.DUMMYFUNCTION("""COMPUTED_VALUE"""),"")</f>
        <v/>
      </c>
      <c r="J5106" t="str">
        <f>IFERROR(__xludf.DUMMYFUNCTION("IFS(
  AND(REGEXMATCH(E5106, ""台銀籌備帳戶|玉山帳戶""), REGEXMATCH(C5106, ""薪資"")), ""分潤支出"",
  AND(REGEXMATCH(E5106, ""Ben帳戶|Elsa帳戶|Ben代墊|Ariel代墊|中信銀行共用""), REGEXMATCH(F5106, ""Ben帳戶|Elsa帳戶|Ben代墊|Ariel代墊|中信銀行共用"")), ""內部轉帳(忽略)"",
  AND(E5106&lt;&gt;"""", F5106&lt;&gt;"""", N"&amp;"OT(REGEXMATCH(C5106, ""薪資""))), ""內部轉帳(忽略)"",
  REGEXMATCH(C5106, ""薪資""), ""薪資變動(不計入)"",
  REGEXMATCH(C5106, ""押金""), ""押金往來"",
  AND(E5106&lt;&gt;"""", F5106=""""), ""真實支出"",
  AND(E5106="""", F5106&lt;&gt;""""), ""真實收入"",
  TRUE, ""其他""
)"),"其他")</f>
        <v>其他</v>
      </c>
      <c r="K5106" s="270" t="str">
        <f t="shared" si="2"/>
        <v/>
      </c>
      <c r="L5106">
        <f t="shared" si="3"/>
        <v>0</v>
      </c>
    </row>
    <row r="5107">
      <c r="A5107" s="107"/>
      <c r="D5107" s="270"/>
      <c r="H5107" s="106" t="str">
        <f t="shared" si="1"/>
        <v/>
      </c>
      <c r="I5107" s="271" t="str">
        <f>IFERROR(__xludf.DUMMYFUNCTION("""COMPUTED_VALUE"""),"")</f>
        <v/>
      </c>
      <c r="J5107" t="str">
        <f>IFERROR(__xludf.DUMMYFUNCTION("IFS(
  AND(REGEXMATCH(E5107, ""台銀籌備帳戶|玉山帳戶""), REGEXMATCH(C5107, ""薪資"")), ""分潤支出"",
  AND(REGEXMATCH(E5107, ""Ben帳戶|Elsa帳戶|Ben代墊|Ariel代墊|中信銀行共用""), REGEXMATCH(F5107, ""Ben帳戶|Elsa帳戶|Ben代墊|Ariel代墊|中信銀行共用"")), ""內部轉帳(忽略)"",
  AND(E5107&lt;&gt;"""", F5107&lt;&gt;"""", N"&amp;"OT(REGEXMATCH(C5107, ""薪資""))), ""內部轉帳(忽略)"",
  REGEXMATCH(C5107, ""薪資""), ""薪資變動(不計入)"",
  REGEXMATCH(C5107, ""押金""), ""押金往來"",
  AND(E5107&lt;&gt;"""", F5107=""""), ""真實支出"",
  AND(E5107="""", F5107&lt;&gt;""""), ""真實收入"",
  TRUE, ""其他""
)"),"其他")</f>
        <v>其他</v>
      </c>
      <c r="K5107" s="270" t="str">
        <f t="shared" si="2"/>
        <v/>
      </c>
      <c r="L5107">
        <f t="shared" si="3"/>
        <v>0</v>
      </c>
    </row>
    <row r="5108">
      <c r="A5108" s="107"/>
      <c r="D5108" s="270"/>
      <c r="H5108" s="106" t="str">
        <f t="shared" si="1"/>
        <v/>
      </c>
      <c r="I5108" s="271" t="str">
        <f>IFERROR(__xludf.DUMMYFUNCTION("""COMPUTED_VALUE"""),"")</f>
        <v/>
      </c>
      <c r="J5108" t="str">
        <f>IFERROR(__xludf.DUMMYFUNCTION("IFS(
  AND(REGEXMATCH(E5108, ""台銀籌備帳戶|玉山帳戶""), REGEXMATCH(C5108, ""薪資"")), ""分潤支出"",
  AND(REGEXMATCH(E5108, ""Ben帳戶|Elsa帳戶|Ben代墊|Ariel代墊|中信銀行共用""), REGEXMATCH(F5108, ""Ben帳戶|Elsa帳戶|Ben代墊|Ariel代墊|中信銀行共用"")), ""內部轉帳(忽略)"",
  AND(E5108&lt;&gt;"""", F5108&lt;&gt;"""", N"&amp;"OT(REGEXMATCH(C5108, ""薪資""))), ""內部轉帳(忽略)"",
  REGEXMATCH(C5108, ""薪資""), ""薪資變動(不計入)"",
  REGEXMATCH(C5108, ""押金""), ""押金往來"",
  AND(E5108&lt;&gt;"""", F5108=""""), ""真實支出"",
  AND(E5108="""", F5108&lt;&gt;""""), ""真實收入"",
  TRUE, ""其他""
)"),"其他")</f>
        <v>其他</v>
      </c>
      <c r="K5108" s="270" t="str">
        <f t="shared" si="2"/>
        <v/>
      </c>
      <c r="L5108">
        <f t="shared" si="3"/>
        <v>0</v>
      </c>
    </row>
    <row r="5109">
      <c r="A5109" s="107"/>
      <c r="D5109" s="270"/>
      <c r="H5109" s="106" t="str">
        <f t="shared" si="1"/>
        <v/>
      </c>
      <c r="I5109" s="271" t="str">
        <f>IFERROR(__xludf.DUMMYFUNCTION("""COMPUTED_VALUE"""),"")</f>
        <v/>
      </c>
      <c r="J5109" t="str">
        <f>IFERROR(__xludf.DUMMYFUNCTION("IFS(
  AND(REGEXMATCH(E5109, ""台銀籌備帳戶|玉山帳戶""), REGEXMATCH(C5109, ""薪資"")), ""分潤支出"",
  AND(REGEXMATCH(E5109, ""Ben帳戶|Elsa帳戶|Ben代墊|Ariel代墊|中信銀行共用""), REGEXMATCH(F5109, ""Ben帳戶|Elsa帳戶|Ben代墊|Ariel代墊|中信銀行共用"")), ""內部轉帳(忽略)"",
  AND(E5109&lt;&gt;"""", F5109&lt;&gt;"""", N"&amp;"OT(REGEXMATCH(C5109, ""薪資""))), ""內部轉帳(忽略)"",
  REGEXMATCH(C5109, ""薪資""), ""薪資變動(不計入)"",
  REGEXMATCH(C5109, ""押金""), ""押金往來"",
  AND(E5109&lt;&gt;"""", F5109=""""), ""真實支出"",
  AND(E5109="""", F5109&lt;&gt;""""), ""真實收入"",
  TRUE, ""其他""
)"),"其他")</f>
        <v>其他</v>
      </c>
      <c r="K5109" s="270" t="str">
        <f t="shared" si="2"/>
        <v/>
      </c>
      <c r="L5109">
        <f t="shared" si="3"/>
        <v>0</v>
      </c>
    </row>
    <row r="5110">
      <c r="A5110" s="107"/>
      <c r="D5110" s="270"/>
      <c r="H5110" s="106" t="str">
        <f t="shared" si="1"/>
        <v/>
      </c>
      <c r="I5110" s="271" t="str">
        <f>IFERROR(__xludf.DUMMYFUNCTION("""COMPUTED_VALUE"""),"")</f>
        <v/>
      </c>
      <c r="J5110" t="str">
        <f>IFERROR(__xludf.DUMMYFUNCTION("IFS(
  AND(REGEXMATCH(E5110, ""台銀籌備帳戶|玉山帳戶""), REGEXMATCH(C5110, ""薪資"")), ""分潤支出"",
  AND(REGEXMATCH(E5110, ""Ben帳戶|Elsa帳戶|Ben代墊|Ariel代墊|中信銀行共用""), REGEXMATCH(F5110, ""Ben帳戶|Elsa帳戶|Ben代墊|Ariel代墊|中信銀行共用"")), ""內部轉帳(忽略)"",
  AND(E5110&lt;&gt;"""", F5110&lt;&gt;"""", N"&amp;"OT(REGEXMATCH(C5110, ""薪資""))), ""內部轉帳(忽略)"",
  REGEXMATCH(C5110, ""薪資""), ""薪資變動(不計入)"",
  REGEXMATCH(C5110, ""押金""), ""押金往來"",
  AND(E5110&lt;&gt;"""", F5110=""""), ""真實支出"",
  AND(E5110="""", F5110&lt;&gt;""""), ""真實收入"",
  TRUE, ""其他""
)"),"其他")</f>
        <v>其他</v>
      </c>
      <c r="K5110" s="270" t="str">
        <f t="shared" si="2"/>
        <v/>
      </c>
      <c r="L5110">
        <f t="shared" si="3"/>
        <v>0</v>
      </c>
    </row>
    <row r="5111">
      <c r="A5111" s="107"/>
      <c r="D5111" s="270"/>
      <c r="H5111" s="106" t="str">
        <f t="shared" si="1"/>
        <v/>
      </c>
      <c r="I5111" s="271" t="str">
        <f>IFERROR(__xludf.DUMMYFUNCTION("""COMPUTED_VALUE"""),"")</f>
        <v/>
      </c>
      <c r="J5111" t="str">
        <f>IFERROR(__xludf.DUMMYFUNCTION("IFS(
  AND(REGEXMATCH(E5111, ""台銀籌備帳戶|玉山帳戶""), REGEXMATCH(C5111, ""薪資"")), ""分潤支出"",
  AND(REGEXMATCH(E5111, ""Ben帳戶|Elsa帳戶|Ben代墊|Ariel代墊|中信銀行共用""), REGEXMATCH(F5111, ""Ben帳戶|Elsa帳戶|Ben代墊|Ariel代墊|中信銀行共用"")), ""內部轉帳(忽略)"",
  AND(E5111&lt;&gt;"""", F5111&lt;&gt;"""", N"&amp;"OT(REGEXMATCH(C5111, ""薪資""))), ""內部轉帳(忽略)"",
  REGEXMATCH(C5111, ""薪資""), ""薪資變動(不計入)"",
  REGEXMATCH(C5111, ""押金""), ""押金往來"",
  AND(E5111&lt;&gt;"""", F5111=""""), ""真實支出"",
  AND(E5111="""", F5111&lt;&gt;""""), ""真實收入"",
  TRUE, ""其他""
)"),"其他")</f>
        <v>其他</v>
      </c>
      <c r="K5111" s="270" t="str">
        <f t="shared" si="2"/>
        <v/>
      </c>
      <c r="L5111">
        <f t="shared" si="3"/>
        <v>0</v>
      </c>
    </row>
    <row r="5112">
      <c r="A5112" s="107"/>
      <c r="D5112" s="270"/>
      <c r="H5112" s="106" t="str">
        <f t="shared" si="1"/>
        <v/>
      </c>
      <c r="I5112" s="271" t="str">
        <f>IFERROR(__xludf.DUMMYFUNCTION("""COMPUTED_VALUE"""),"")</f>
        <v/>
      </c>
      <c r="J5112" t="str">
        <f>IFERROR(__xludf.DUMMYFUNCTION("IFS(
  AND(REGEXMATCH(E5112, ""台銀籌備帳戶|玉山帳戶""), REGEXMATCH(C5112, ""薪資"")), ""分潤支出"",
  AND(REGEXMATCH(E5112, ""Ben帳戶|Elsa帳戶|Ben代墊|Ariel代墊|中信銀行共用""), REGEXMATCH(F5112, ""Ben帳戶|Elsa帳戶|Ben代墊|Ariel代墊|中信銀行共用"")), ""內部轉帳(忽略)"",
  AND(E5112&lt;&gt;"""", F5112&lt;&gt;"""", N"&amp;"OT(REGEXMATCH(C5112, ""薪資""))), ""內部轉帳(忽略)"",
  REGEXMATCH(C5112, ""薪資""), ""薪資變動(不計入)"",
  REGEXMATCH(C5112, ""押金""), ""押金往來"",
  AND(E5112&lt;&gt;"""", F5112=""""), ""真實支出"",
  AND(E5112="""", F5112&lt;&gt;""""), ""真實收入"",
  TRUE, ""其他""
)"),"其他")</f>
        <v>其他</v>
      </c>
      <c r="K5112" s="270" t="str">
        <f t="shared" si="2"/>
        <v/>
      </c>
      <c r="L5112">
        <f t="shared" si="3"/>
        <v>0</v>
      </c>
    </row>
    <row r="5113">
      <c r="A5113" s="107"/>
      <c r="D5113" s="270"/>
      <c r="H5113" s="106" t="str">
        <f t="shared" si="1"/>
        <v/>
      </c>
      <c r="I5113" s="271" t="str">
        <f>IFERROR(__xludf.DUMMYFUNCTION("""COMPUTED_VALUE"""),"")</f>
        <v/>
      </c>
      <c r="J5113" t="str">
        <f>IFERROR(__xludf.DUMMYFUNCTION("IFS(
  AND(REGEXMATCH(E5113, ""台銀籌備帳戶|玉山帳戶""), REGEXMATCH(C5113, ""薪資"")), ""分潤支出"",
  AND(REGEXMATCH(E5113, ""Ben帳戶|Elsa帳戶|Ben代墊|Ariel代墊|中信銀行共用""), REGEXMATCH(F5113, ""Ben帳戶|Elsa帳戶|Ben代墊|Ariel代墊|中信銀行共用"")), ""內部轉帳(忽略)"",
  AND(E5113&lt;&gt;"""", F5113&lt;&gt;"""", N"&amp;"OT(REGEXMATCH(C5113, ""薪資""))), ""內部轉帳(忽略)"",
  REGEXMATCH(C5113, ""薪資""), ""薪資變動(不計入)"",
  REGEXMATCH(C5113, ""押金""), ""押金往來"",
  AND(E5113&lt;&gt;"""", F5113=""""), ""真實支出"",
  AND(E5113="""", F5113&lt;&gt;""""), ""真實收入"",
  TRUE, ""其他""
)"),"其他")</f>
        <v>其他</v>
      </c>
      <c r="K5113" s="270" t="str">
        <f t="shared" si="2"/>
        <v/>
      </c>
      <c r="L5113">
        <f t="shared" si="3"/>
        <v>0</v>
      </c>
    </row>
    <row r="5114">
      <c r="A5114" s="107"/>
      <c r="D5114" s="270"/>
      <c r="H5114" s="106" t="str">
        <f t="shared" si="1"/>
        <v/>
      </c>
      <c r="I5114" s="271" t="str">
        <f>IFERROR(__xludf.DUMMYFUNCTION("""COMPUTED_VALUE"""),"")</f>
        <v/>
      </c>
      <c r="J5114" t="str">
        <f>IFERROR(__xludf.DUMMYFUNCTION("IFS(
  AND(REGEXMATCH(E5114, ""台銀籌備帳戶|玉山帳戶""), REGEXMATCH(C5114, ""薪資"")), ""分潤支出"",
  AND(REGEXMATCH(E5114, ""Ben帳戶|Elsa帳戶|Ben代墊|Ariel代墊|中信銀行共用""), REGEXMATCH(F5114, ""Ben帳戶|Elsa帳戶|Ben代墊|Ariel代墊|中信銀行共用"")), ""內部轉帳(忽略)"",
  AND(E5114&lt;&gt;"""", F5114&lt;&gt;"""", N"&amp;"OT(REGEXMATCH(C5114, ""薪資""))), ""內部轉帳(忽略)"",
  REGEXMATCH(C5114, ""薪資""), ""薪資變動(不計入)"",
  REGEXMATCH(C5114, ""押金""), ""押金往來"",
  AND(E5114&lt;&gt;"""", F5114=""""), ""真實支出"",
  AND(E5114="""", F5114&lt;&gt;""""), ""真實收入"",
  TRUE, ""其他""
)"),"其他")</f>
        <v>其他</v>
      </c>
      <c r="K5114" s="270" t="str">
        <f t="shared" si="2"/>
        <v/>
      </c>
      <c r="L5114">
        <f t="shared" si="3"/>
        <v>0</v>
      </c>
    </row>
    <row r="5115">
      <c r="A5115" s="107"/>
      <c r="D5115" s="270"/>
      <c r="H5115" s="106" t="str">
        <f t="shared" si="1"/>
        <v/>
      </c>
      <c r="I5115" s="271" t="str">
        <f>IFERROR(__xludf.DUMMYFUNCTION("""COMPUTED_VALUE"""),"")</f>
        <v/>
      </c>
      <c r="J5115" t="str">
        <f>IFERROR(__xludf.DUMMYFUNCTION("IFS(
  AND(REGEXMATCH(E5115, ""台銀籌備帳戶|玉山帳戶""), REGEXMATCH(C5115, ""薪資"")), ""分潤支出"",
  AND(REGEXMATCH(E5115, ""Ben帳戶|Elsa帳戶|Ben代墊|Ariel代墊|中信銀行共用""), REGEXMATCH(F5115, ""Ben帳戶|Elsa帳戶|Ben代墊|Ariel代墊|中信銀行共用"")), ""內部轉帳(忽略)"",
  AND(E5115&lt;&gt;"""", F5115&lt;&gt;"""", N"&amp;"OT(REGEXMATCH(C5115, ""薪資""))), ""內部轉帳(忽略)"",
  REGEXMATCH(C5115, ""薪資""), ""薪資變動(不計入)"",
  REGEXMATCH(C5115, ""押金""), ""押金往來"",
  AND(E5115&lt;&gt;"""", F5115=""""), ""真實支出"",
  AND(E5115="""", F5115&lt;&gt;""""), ""真實收入"",
  TRUE, ""其他""
)"),"其他")</f>
        <v>其他</v>
      </c>
      <c r="K5115" s="270" t="str">
        <f t="shared" si="2"/>
        <v/>
      </c>
      <c r="L5115">
        <f t="shared" si="3"/>
        <v>0</v>
      </c>
    </row>
    <row r="5116">
      <c r="A5116" s="107"/>
      <c r="D5116" s="270"/>
      <c r="H5116" s="106" t="str">
        <f t="shared" si="1"/>
        <v/>
      </c>
      <c r="I5116" s="271" t="str">
        <f>IFERROR(__xludf.DUMMYFUNCTION("""COMPUTED_VALUE"""),"")</f>
        <v/>
      </c>
      <c r="J5116" t="str">
        <f>IFERROR(__xludf.DUMMYFUNCTION("IFS(
  AND(REGEXMATCH(E5116, ""台銀籌備帳戶|玉山帳戶""), REGEXMATCH(C5116, ""薪資"")), ""分潤支出"",
  AND(REGEXMATCH(E5116, ""Ben帳戶|Elsa帳戶|Ben代墊|Ariel代墊|中信銀行共用""), REGEXMATCH(F5116, ""Ben帳戶|Elsa帳戶|Ben代墊|Ariel代墊|中信銀行共用"")), ""內部轉帳(忽略)"",
  AND(E5116&lt;&gt;"""", F5116&lt;&gt;"""", N"&amp;"OT(REGEXMATCH(C5116, ""薪資""))), ""內部轉帳(忽略)"",
  REGEXMATCH(C5116, ""薪資""), ""薪資變動(不計入)"",
  REGEXMATCH(C5116, ""押金""), ""押金往來"",
  AND(E5116&lt;&gt;"""", F5116=""""), ""真實支出"",
  AND(E5116="""", F5116&lt;&gt;""""), ""真實收入"",
  TRUE, ""其他""
)"),"其他")</f>
        <v>其他</v>
      </c>
      <c r="K5116" s="270" t="str">
        <f t="shared" si="2"/>
        <v/>
      </c>
      <c r="L5116">
        <f t="shared" si="3"/>
        <v>0</v>
      </c>
    </row>
    <row r="5117">
      <c r="A5117" s="107"/>
      <c r="D5117" s="270"/>
      <c r="H5117" s="106" t="str">
        <f t="shared" si="1"/>
        <v/>
      </c>
      <c r="I5117" s="271" t="str">
        <f>IFERROR(__xludf.DUMMYFUNCTION("""COMPUTED_VALUE"""),"")</f>
        <v/>
      </c>
      <c r="J5117" t="str">
        <f>IFERROR(__xludf.DUMMYFUNCTION("IFS(
  AND(REGEXMATCH(E5117, ""台銀籌備帳戶|玉山帳戶""), REGEXMATCH(C5117, ""薪資"")), ""分潤支出"",
  AND(REGEXMATCH(E5117, ""Ben帳戶|Elsa帳戶|Ben代墊|Ariel代墊|中信銀行共用""), REGEXMATCH(F5117, ""Ben帳戶|Elsa帳戶|Ben代墊|Ariel代墊|中信銀行共用"")), ""內部轉帳(忽略)"",
  AND(E5117&lt;&gt;"""", F5117&lt;&gt;"""", N"&amp;"OT(REGEXMATCH(C5117, ""薪資""))), ""內部轉帳(忽略)"",
  REGEXMATCH(C5117, ""薪資""), ""薪資變動(不計入)"",
  REGEXMATCH(C5117, ""押金""), ""押金往來"",
  AND(E5117&lt;&gt;"""", F5117=""""), ""真實支出"",
  AND(E5117="""", F5117&lt;&gt;""""), ""真實收入"",
  TRUE, ""其他""
)"),"其他")</f>
        <v>其他</v>
      </c>
      <c r="K5117" s="270" t="str">
        <f t="shared" si="2"/>
        <v/>
      </c>
      <c r="L5117">
        <f t="shared" si="3"/>
        <v>0</v>
      </c>
    </row>
    <row r="5118">
      <c r="A5118" s="107"/>
      <c r="D5118" s="270"/>
      <c r="H5118" s="106" t="str">
        <f t="shared" si="1"/>
        <v/>
      </c>
      <c r="I5118" s="271" t="str">
        <f>IFERROR(__xludf.DUMMYFUNCTION("""COMPUTED_VALUE"""),"")</f>
        <v/>
      </c>
      <c r="J5118" t="str">
        <f>IFERROR(__xludf.DUMMYFUNCTION("IFS(
  AND(REGEXMATCH(E5118, ""台銀籌備帳戶|玉山帳戶""), REGEXMATCH(C5118, ""薪資"")), ""分潤支出"",
  AND(REGEXMATCH(E5118, ""Ben帳戶|Elsa帳戶|Ben代墊|Ariel代墊|中信銀行共用""), REGEXMATCH(F5118, ""Ben帳戶|Elsa帳戶|Ben代墊|Ariel代墊|中信銀行共用"")), ""內部轉帳(忽略)"",
  AND(E5118&lt;&gt;"""", F5118&lt;&gt;"""", N"&amp;"OT(REGEXMATCH(C5118, ""薪資""))), ""內部轉帳(忽略)"",
  REGEXMATCH(C5118, ""薪資""), ""薪資變動(不計入)"",
  REGEXMATCH(C5118, ""押金""), ""押金往來"",
  AND(E5118&lt;&gt;"""", F5118=""""), ""真實支出"",
  AND(E5118="""", F5118&lt;&gt;""""), ""真實收入"",
  TRUE, ""其他""
)"),"其他")</f>
        <v>其他</v>
      </c>
      <c r="K5118" s="270" t="str">
        <f t="shared" si="2"/>
        <v/>
      </c>
      <c r="L5118">
        <f t="shared" si="3"/>
        <v>0</v>
      </c>
    </row>
    <row r="5119">
      <c r="A5119" s="107"/>
      <c r="D5119" s="270"/>
      <c r="H5119" s="106" t="str">
        <f t="shared" si="1"/>
        <v/>
      </c>
      <c r="I5119" s="271" t="str">
        <f>IFERROR(__xludf.DUMMYFUNCTION("""COMPUTED_VALUE"""),"")</f>
        <v/>
      </c>
      <c r="J5119" t="str">
        <f>IFERROR(__xludf.DUMMYFUNCTION("IFS(
  AND(REGEXMATCH(E5119, ""台銀籌備帳戶|玉山帳戶""), REGEXMATCH(C5119, ""薪資"")), ""分潤支出"",
  AND(REGEXMATCH(E5119, ""Ben帳戶|Elsa帳戶|Ben代墊|Ariel代墊|中信銀行共用""), REGEXMATCH(F5119, ""Ben帳戶|Elsa帳戶|Ben代墊|Ariel代墊|中信銀行共用"")), ""內部轉帳(忽略)"",
  AND(E5119&lt;&gt;"""", F5119&lt;&gt;"""", N"&amp;"OT(REGEXMATCH(C5119, ""薪資""))), ""內部轉帳(忽略)"",
  REGEXMATCH(C5119, ""薪資""), ""薪資變動(不計入)"",
  REGEXMATCH(C5119, ""押金""), ""押金往來"",
  AND(E5119&lt;&gt;"""", F5119=""""), ""真實支出"",
  AND(E5119="""", F5119&lt;&gt;""""), ""真實收入"",
  TRUE, ""其他""
)"),"其他")</f>
        <v>其他</v>
      </c>
      <c r="K5119" s="270" t="str">
        <f t="shared" si="2"/>
        <v/>
      </c>
      <c r="L5119">
        <f t="shared" si="3"/>
        <v>0</v>
      </c>
    </row>
    <row r="5120">
      <c r="A5120" s="107"/>
      <c r="D5120" s="270"/>
      <c r="H5120" s="106" t="str">
        <f t="shared" si="1"/>
        <v/>
      </c>
      <c r="I5120" s="271" t="str">
        <f>IFERROR(__xludf.DUMMYFUNCTION("""COMPUTED_VALUE"""),"")</f>
        <v/>
      </c>
      <c r="J5120" t="str">
        <f>IFERROR(__xludf.DUMMYFUNCTION("IFS(
  AND(REGEXMATCH(E5120, ""台銀籌備帳戶|玉山帳戶""), REGEXMATCH(C5120, ""薪資"")), ""分潤支出"",
  AND(REGEXMATCH(E5120, ""Ben帳戶|Elsa帳戶|Ben代墊|Ariel代墊|中信銀行共用""), REGEXMATCH(F5120, ""Ben帳戶|Elsa帳戶|Ben代墊|Ariel代墊|中信銀行共用"")), ""內部轉帳(忽略)"",
  AND(E5120&lt;&gt;"""", F5120&lt;&gt;"""", N"&amp;"OT(REGEXMATCH(C5120, ""薪資""))), ""內部轉帳(忽略)"",
  REGEXMATCH(C5120, ""薪資""), ""薪資變動(不計入)"",
  REGEXMATCH(C5120, ""押金""), ""押金往來"",
  AND(E5120&lt;&gt;"""", F5120=""""), ""真實支出"",
  AND(E5120="""", F5120&lt;&gt;""""), ""真實收入"",
  TRUE, ""其他""
)"),"其他")</f>
        <v>其他</v>
      </c>
      <c r="K5120" s="270" t="str">
        <f t="shared" si="2"/>
        <v/>
      </c>
      <c r="L5120">
        <f t="shared" si="3"/>
        <v>0</v>
      </c>
    </row>
    <row r="5121">
      <c r="A5121" s="107"/>
      <c r="D5121" s="270"/>
      <c r="H5121" s="106" t="str">
        <f t="shared" si="1"/>
        <v/>
      </c>
      <c r="I5121" s="271" t="str">
        <f>IFERROR(__xludf.DUMMYFUNCTION("""COMPUTED_VALUE"""),"")</f>
        <v/>
      </c>
      <c r="J5121" t="str">
        <f>IFERROR(__xludf.DUMMYFUNCTION("IFS(
  AND(REGEXMATCH(E5121, ""台銀籌備帳戶|玉山帳戶""), REGEXMATCH(C5121, ""薪資"")), ""分潤支出"",
  AND(REGEXMATCH(E5121, ""Ben帳戶|Elsa帳戶|Ben代墊|Ariel代墊|中信銀行共用""), REGEXMATCH(F5121, ""Ben帳戶|Elsa帳戶|Ben代墊|Ariel代墊|中信銀行共用"")), ""內部轉帳(忽略)"",
  AND(E5121&lt;&gt;"""", F5121&lt;&gt;"""", N"&amp;"OT(REGEXMATCH(C5121, ""薪資""))), ""內部轉帳(忽略)"",
  REGEXMATCH(C5121, ""薪資""), ""薪資變動(不計入)"",
  REGEXMATCH(C5121, ""押金""), ""押金往來"",
  AND(E5121&lt;&gt;"""", F5121=""""), ""真實支出"",
  AND(E5121="""", F5121&lt;&gt;""""), ""真實收入"",
  TRUE, ""其他""
)"),"其他")</f>
        <v>其他</v>
      </c>
      <c r="K5121" s="270" t="str">
        <f t="shared" si="2"/>
        <v/>
      </c>
      <c r="L5121">
        <f t="shared" si="3"/>
        <v>0</v>
      </c>
    </row>
    <row r="5122">
      <c r="A5122" s="107"/>
      <c r="D5122" s="270"/>
      <c r="H5122" s="106" t="str">
        <f t="shared" si="1"/>
        <v/>
      </c>
      <c r="I5122" s="271" t="str">
        <f>IFERROR(__xludf.DUMMYFUNCTION("""COMPUTED_VALUE"""),"")</f>
        <v/>
      </c>
      <c r="J5122" t="str">
        <f>IFERROR(__xludf.DUMMYFUNCTION("IFS(
  AND(REGEXMATCH(E5122, ""台銀籌備帳戶|玉山帳戶""), REGEXMATCH(C5122, ""薪資"")), ""分潤支出"",
  AND(REGEXMATCH(E5122, ""Ben帳戶|Elsa帳戶|Ben代墊|Ariel代墊|中信銀行共用""), REGEXMATCH(F5122, ""Ben帳戶|Elsa帳戶|Ben代墊|Ariel代墊|中信銀行共用"")), ""內部轉帳(忽略)"",
  AND(E5122&lt;&gt;"""", F5122&lt;&gt;"""", N"&amp;"OT(REGEXMATCH(C5122, ""薪資""))), ""內部轉帳(忽略)"",
  REGEXMATCH(C5122, ""薪資""), ""薪資變動(不計入)"",
  REGEXMATCH(C5122, ""押金""), ""押金往來"",
  AND(E5122&lt;&gt;"""", F5122=""""), ""真實支出"",
  AND(E5122="""", F5122&lt;&gt;""""), ""真實收入"",
  TRUE, ""其他""
)"),"其他")</f>
        <v>其他</v>
      </c>
      <c r="K5122" s="270" t="str">
        <f t="shared" si="2"/>
        <v/>
      </c>
      <c r="L5122">
        <f t="shared" si="3"/>
        <v>0</v>
      </c>
    </row>
    <row r="5123">
      <c r="A5123" s="107"/>
      <c r="D5123" s="270"/>
      <c r="H5123" s="106" t="str">
        <f t="shared" si="1"/>
        <v/>
      </c>
      <c r="I5123" s="271" t="str">
        <f>IFERROR(__xludf.DUMMYFUNCTION("""COMPUTED_VALUE"""),"")</f>
        <v/>
      </c>
      <c r="J5123" t="str">
        <f>IFERROR(__xludf.DUMMYFUNCTION("IFS(
  AND(REGEXMATCH(E5123, ""台銀籌備帳戶|玉山帳戶""), REGEXMATCH(C5123, ""薪資"")), ""分潤支出"",
  AND(REGEXMATCH(E5123, ""Ben帳戶|Elsa帳戶|Ben代墊|Ariel代墊|中信銀行共用""), REGEXMATCH(F5123, ""Ben帳戶|Elsa帳戶|Ben代墊|Ariel代墊|中信銀行共用"")), ""內部轉帳(忽略)"",
  AND(E5123&lt;&gt;"""", F5123&lt;&gt;"""", N"&amp;"OT(REGEXMATCH(C5123, ""薪資""))), ""內部轉帳(忽略)"",
  REGEXMATCH(C5123, ""薪資""), ""薪資變動(不計入)"",
  REGEXMATCH(C5123, ""押金""), ""押金往來"",
  AND(E5123&lt;&gt;"""", F5123=""""), ""真實支出"",
  AND(E5123="""", F5123&lt;&gt;""""), ""真實收入"",
  TRUE, ""其他""
)"),"其他")</f>
        <v>其他</v>
      </c>
      <c r="K5123" s="270" t="str">
        <f t="shared" si="2"/>
        <v/>
      </c>
      <c r="L5123">
        <f t="shared" si="3"/>
        <v>0</v>
      </c>
    </row>
    <row r="5124">
      <c r="A5124" s="107"/>
      <c r="D5124" s="270"/>
      <c r="H5124" s="106" t="str">
        <f t="shared" si="1"/>
        <v/>
      </c>
      <c r="I5124" s="271" t="str">
        <f>IFERROR(__xludf.DUMMYFUNCTION("""COMPUTED_VALUE"""),"")</f>
        <v/>
      </c>
      <c r="J5124" t="str">
        <f>IFERROR(__xludf.DUMMYFUNCTION("IFS(
  AND(REGEXMATCH(E5124, ""台銀籌備帳戶|玉山帳戶""), REGEXMATCH(C5124, ""薪資"")), ""分潤支出"",
  AND(REGEXMATCH(E5124, ""Ben帳戶|Elsa帳戶|Ben代墊|Ariel代墊|中信銀行共用""), REGEXMATCH(F5124, ""Ben帳戶|Elsa帳戶|Ben代墊|Ariel代墊|中信銀行共用"")), ""內部轉帳(忽略)"",
  AND(E5124&lt;&gt;"""", F5124&lt;&gt;"""", N"&amp;"OT(REGEXMATCH(C5124, ""薪資""))), ""內部轉帳(忽略)"",
  REGEXMATCH(C5124, ""薪資""), ""薪資變動(不計入)"",
  REGEXMATCH(C5124, ""押金""), ""押金往來"",
  AND(E5124&lt;&gt;"""", F5124=""""), ""真實支出"",
  AND(E5124="""", F5124&lt;&gt;""""), ""真實收入"",
  TRUE, ""其他""
)"),"其他")</f>
        <v>其他</v>
      </c>
      <c r="K5124" s="270" t="str">
        <f t="shared" si="2"/>
        <v/>
      </c>
      <c r="L5124">
        <f t="shared" si="3"/>
        <v>0</v>
      </c>
    </row>
    <row r="5125">
      <c r="A5125" s="107"/>
      <c r="D5125" s="270"/>
      <c r="H5125" s="106" t="str">
        <f t="shared" si="1"/>
        <v/>
      </c>
      <c r="I5125" s="271" t="str">
        <f>IFERROR(__xludf.DUMMYFUNCTION("""COMPUTED_VALUE"""),"")</f>
        <v/>
      </c>
      <c r="J5125" t="str">
        <f>IFERROR(__xludf.DUMMYFUNCTION("IFS(
  AND(REGEXMATCH(E5125, ""台銀籌備帳戶|玉山帳戶""), REGEXMATCH(C5125, ""薪資"")), ""分潤支出"",
  AND(REGEXMATCH(E5125, ""Ben帳戶|Elsa帳戶|Ben代墊|Ariel代墊|中信銀行共用""), REGEXMATCH(F5125, ""Ben帳戶|Elsa帳戶|Ben代墊|Ariel代墊|中信銀行共用"")), ""內部轉帳(忽略)"",
  AND(E5125&lt;&gt;"""", F5125&lt;&gt;"""", N"&amp;"OT(REGEXMATCH(C5125, ""薪資""))), ""內部轉帳(忽略)"",
  REGEXMATCH(C5125, ""薪資""), ""薪資變動(不計入)"",
  REGEXMATCH(C5125, ""押金""), ""押金往來"",
  AND(E5125&lt;&gt;"""", F5125=""""), ""真實支出"",
  AND(E5125="""", F5125&lt;&gt;""""), ""真實收入"",
  TRUE, ""其他""
)"),"其他")</f>
        <v>其他</v>
      </c>
      <c r="K5125" s="270" t="str">
        <f t="shared" si="2"/>
        <v/>
      </c>
      <c r="L5125">
        <f t="shared" si="3"/>
        <v>0</v>
      </c>
    </row>
    <row r="5126">
      <c r="A5126" s="107"/>
      <c r="D5126" s="270"/>
      <c r="H5126" s="106" t="str">
        <f t="shared" si="1"/>
        <v/>
      </c>
      <c r="I5126" s="271" t="str">
        <f>IFERROR(__xludf.DUMMYFUNCTION("""COMPUTED_VALUE"""),"")</f>
        <v/>
      </c>
      <c r="J5126" t="str">
        <f>IFERROR(__xludf.DUMMYFUNCTION("IFS(
  AND(REGEXMATCH(E5126, ""台銀籌備帳戶|玉山帳戶""), REGEXMATCH(C5126, ""薪資"")), ""分潤支出"",
  AND(REGEXMATCH(E5126, ""Ben帳戶|Elsa帳戶|Ben代墊|Ariel代墊|中信銀行共用""), REGEXMATCH(F5126, ""Ben帳戶|Elsa帳戶|Ben代墊|Ariel代墊|中信銀行共用"")), ""內部轉帳(忽略)"",
  AND(E5126&lt;&gt;"""", F5126&lt;&gt;"""", N"&amp;"OT(REGEXMATCH(C5126, ""薪資""))), ""內部轉帳(忽略)"",
  REGEXMATCH(C5126, ""薪資""), ""薪資變動(不計入)"",
  REGEXMATCH(C5126, ""押金""), ""押金往來"",
  AND(E5126&lt;&gt;"""", F5126=""""), ""真實支出"",
  AND(E5126="""", F5126&lt;&gt;""""), ""真實收入"",
  TRUE, ""其他""
)"),"其他")</f>
        <v>其他</v>
      </c>
      <c r="K5126" s="270" t="str">
        <f t="shared" si="2"/>
        <v/>
      </c>
      <c r="L5126">
        <f t="shared" si="3"/>
        <v>0</v>
      </c>
    </row>
    <row r="5127">
      <c r="A5127" s="107"/>
      <c r="D5127" s="270"/>
      <c r="H5127" s="106" t="str">
        <f t="shared" si="1"/>
        <v/>
      </c>
      <c r="I5127" s="271" t="str">
        <f>IFERROR(__xludf.DUMMYFUNCTION("""COMPUTED_VALUE"""),"")</f>
        <v/>
      </c>
      <c r="J5127" t="str">
        <f>IFERROR(__xludf.DUMMYFUNCTION("IFS(
  AND(REGEXMATCH(E5127, ""台銀籌備帳戶|玉山帳戶""), REGEXMATCH(C5127, ""薪資"")), ""分潤支出"",
  AND(REGEXMATCH(E5127, ""Ben帳戶|Elsa帳戶|Ben代墊|Ariel代墊|中信銀行共用""), REGEXMATCH(F5127, ""Ben帳戶|Elsa帳戶|Ben代墊|Ariel代墊|中信銀行共用"")), ""內部轉帳(忽略)"",
  AND(E5127&lt;&gt;"""", F5127&lt;&gt;"""", N"&amp;"OT(REGEXMATCH(C5127, ""薪資""))), ""內部轉帳(忽略)"",
  REGEXMATCH(C5127, ""薪資""), ""薪資變動(不計入)"",
  REGEXMATCH(C5127, ""押金""), ""押金往來"",
  AND(E5127&lt;&gt;"""", F5127=""""), ""真實支出"",
  AND(E5127="""", F5127&lt;&gt;""""), ""真實收入"",
  TRUE, ""其他""
)"),"其他")</f>
        <v>其他</v>
      </c>
      <c r="K5127" s="270" t="str">
        <f t="shared" si="2"/>
        <v/>
      </c>
      <c r="L5127">
        <f t="shared" si="3"/>
        <v>0</v>
      </c>
    </row>
    <row r="5128">
      <c r="A5128" s="107"/>
      <c r="D5128" s="270"/>
      <c r="H5128" s="106" t="str">
        <f t="shared" si="1"/>
        <v/>
      </c>
      <c r="I5128" s="271" t="str">
        <f>IFERROR(__xludf.DUMMYFUNCTION("""COMPUTED_VALUE"""),"")</f>
        <v/>
      </c>
      <c r="J5128" t="str">
        <f>IFERROR(__xludf.DUMMYFUNCTION("IFS(
  AND(REGEXMATCH(E5128, ""台銀籌備帳戶|玉山帳戶""), REGEXMATCH(C5128, ""薪資"")), ""分潤支出"",
  AND(REGEXMATCH(E5128, ""Ben帳戶|Elsa帳戶|Ben代墊|Ariel代墊|中信銀行共用""), REGEXMATCH(F5128, ""Ben帳戶|Elsa帳戶|Ben代墊|Ariel代墊|中信銀行共用"")), ""內部轉帳(忽略)"",
  AND(E5128&lt;&gt;"""", F5128&lt;&gt;"""", N"&amp;"OT(REGEXMATCH(C5128, ""薪資""))), ""內部轉帳(忽略)"",
  REGEXMATCH(C5128, ""薪資""), ""薪資變動(不計入)"",
  REGEXMATCH(C5128, ""押金""), ""押金往來"",
  AND(E5128&lt;&gt;"""", F5128=""""), ""真實支出"",
  AND(E5128="""", F5128&lt;&gt;""""), ""真實收入"",
  TRUE, ""其他""
)"),"其他")</f>
        <v>其他</v>
      </c>
      <c r="K5128" s="270" t="str">
        <f t="shared" si="2"/>
        <v/>
      </c>
      <c r="L5128">
        <f t="shared" si="3"/>
        <v>0</v>
      </c>
    </row>
    <row r="5129">
      <c r="A5129" s="107"/>
      <c r="D5129" s="270"/>
      <c r="H5129" s="106" t="str">
        <f t="shared" si="1"/>
        <v/>
      </c>
      <c r="I5129" s="271" t="str">
        <f>IFERROR(__xludf.DUMMYFUNCTION("""COMPUTED_VALUE"""),"")</f>
        <v/>
      </c>
      <c r="J5129" t="str">
        <f>IFERROR(__xludf.DUMMYFUNCTION("IFS(
  AND(REGEXMATCH(E5129, ""台銀籌備帳戶|玉山帳戶""), REGEXMATCH(C5129, ""薪資"")), ""分潤支出"",
  AND(REGEXMATCH(E5129, ""Ben帳戶|Elsa帳戶|Ben代墊|Ariel代墊|中信銀行共用""), REGEXMATCH(F5129, ""Ben帳戶|Elsa帳戶|Ben代墊|Ariel代墊|中信銀行共用"")), ""內部轉帳(忽略)"",
  AND(E5129&lt;&gt;"""", F5129&lt;&gt;"""", N"&amp;"OT(REGEXMATCH(C5129, ""薪資""))), ""內部轉帳(忽略)"",
  REGEXMATCH(C5129, ""薪資""), ""薪資變動(不計入)"",
  REGEXMATCH(C5129, ""押金""), ""押金往來"",
  AND(E5129&lt;&gt;"""", F5129=""""), ""真實支出"",
  AND(E5129="""", F5129&lt;&gt;""""), ""真實收入"",
  TRUE, ""其他""
)"),"其他")</f>
        <v>其他</v>
      </c>
      <c r="K5129" s="270" t="str">
        <f t="shared" si="2"/>
        <v/>
      </c>
      <c r="L5129">
        <f t="shared" si="3"/>
        <v>0</v>
      </c>
    </row>
    <row r="5130">
      <c r="A5130" s="107"/>
      <c r="D5130" s="270"/>
      <c r="H5130" s="106" t="str">
        <f t="shared" si="1"/>
        <v/>
      </c>
      <c r="I5130" s="271" t="str">
        <f>IFERROR(__xludf.DUMMYFUNCTION("""COMPUTED_VALUE"""),"")</f>
        <v/>
      </c>
      <c r="J5130" t="str">
        <f>IFERROR(__xludf.DUMMYFUNCTION("IFS(
  AND(REGEXMATCH(E5130, ""台銀籌備帳戶|玉山帳戶""), REGEXMATCH(C5130, ""薪資"")), ""分潤支出"",
  AND(REGEXMATCH(E5130, ""Ben帳戶|Elsa帳戶|Ben代墊|Ariel代墊|中信銀行共用""), REGEXMATCH(F5130, ""Ben帳戶|Elsa帳戶|Ben代墊|Ariel代墊|中信銀行共用"")), ""內部轉帳(忽略)"",
  AND(E5130&lt;&gt;"""", F5130&lt;&gt;"""", N"&amp;"OT(REGEXMATCH(C5130, ""薪資""))), ""內部轉帳(忽略)"",
  REGEXMATCH(C5130, ""薪資""), ""薪資變動(不計入)"",
  REGEXMATCH(C5130, ""押金""), ""押金往來"",
  AND(E5130&lt;&gt;"""", F5130=""""), ""真實支出"",
  AND(E5130="""", F5130&lt;&gt;""""), ""真實收入"",
  TRUE, ""其他""
)"),"其他")</f>
        <v>其他</v>
      </c>
      <c r="K5130" s="270" t="str">
        <f t="shared" si="2"/>
        <v/>
      </c>
      <c r="L5130">
        <f t="shared" si="3"/>
        <v>0</v>
      </c>
    </row>
    <row r="5131">
      <c r="A5131" s="107"/>
      <c r="D5131" s="270"/>
      <c r="H5131" s="106" t="str">
        <f t="shared" si="1"/>
        <v/>
      </c>
      <c r="I5131" s="271" t="str">
        <f>IFERROR(__xludf.DUMMYFUNCTION("""COMPUTED_VALUE"""),"")</f>
        <v/>
      </c>
      <c r="J5131" t="str">
        <f>IFERROR(__xludf.DUMMYFUNCTION("IFS(
  AND(REGEXMATCH(E5131, ""台銀籌備帳戶|玉山帳戶""), REGEXMATCH(C5131, ""薪資"")), ""分潤支出"",
  AND(REGEXMATCH(E5131, ""Ben帳戶|Elsa帳戶|Ben代墊|Ariel代墊|中信銀行共用""), REGEXMATCH(F5131, ""Ben帳戶|Elsa帳戶|Ben代墊|Ariel代墊|中信銀行共用"")), ""內部轉帳(忽略)"",
  AND(E5131&lt;&gt;"""", F5131&lt;&gt;"""", N"&amp;"OT(REGEXMATCH(C5131, ""薪資""))), ""內部轉帳(忽略)"",
  REGEXMATCH(C5131, ""薪資""), ""薪資變動(不計入)"",
  REGEXMATCH(C5131, ""押金""), ""押金往來"",
  AND(E5131&lt;&gt;"""", F5131=""""), ""真實支出"",
  AND(E5131="""", F5131&lt;&gt;""""), ""真實收入"",
  TRUE, ""其他""
)"),"其他")</f>
        <v>其他</v>
      </c>
      <c r="K5131" s="270" t="str">
        <f t="shared" si="2"/>
        <v/>
      </c>
      <c r="L5131">
        <f t="shared" si="3"/>
        <v>0</v>
      </c>
    </row>
    <row r="5132">
      <c r="A5132" s="107"/>
      <c r="D5132" s="270"/>
      <c r="H5132" s="106" t="str">
        <f t="shared" si="1"/>
        <v/>
      </c>
      <c r="I5132" s="271" t="str">
        <f>IFERROR(__xludf.DUMMYFUNCTION("""COMPUTED_VALUE"""),"")</f>
        <v/>
      </c>
      <c r="J5132" t="str">
        <f>IFERROR(__xludf.DUMMYFUNCTION("IFS(
  AND(REGEXMATCH(E5132, ""台銀籌備帳戶|玉山帳戶""), REGEXMATCH(C5132, ""薪資"")), ""分潤支出"",
  AND(REGEXMATCH(E5132, ""Ben帳戶|Elsa帳戶|Ben代墊|Ariel代墊|中信銀行共用""), REGEXMATCH(F5132, ""Ben帳戶|Elsa帳戶|Ben代墊|Ariel代墊|中信銀行共用"")), ""內部轉帳(忽略)"",
  AND(E5132&lt;&gt;"""", F5132&lt;&gt;"""", N"&amp;"OT(REGEXMATCH(C5132, ""薪資""))), ""內部轉帳(忽略)"",
  REGEXMATCH(C5132, ""薪資""), ""薪資變動(不計入)"",
  REGEXMATCH(C5132, ""押金""), ""押金往來"",
  AND(E5132&lt;&gt;"""", F5132=""""), ""真實支出"",
  AND(E5132="""", F5132&lt;&gt;""""), ""真實收入"",
  TRUE, ""其他""
)"),"其他")</f>
        <v>其他</v>
      </c>
      <c r="K5132" s="270" t="str">
        <f t="shared" si="2"/>
        <v/>
      </c>
      <c r="L5132">
        <f t="shared" si="3"/>
        <v>0</v>
      </c>
    </row>
    <row r="5133">
      <c r="A5133" s="107"/>
      <c r="D5133" s="270"/>
      <c r="H5133" s="106" t="str">
        <f t="shared" si="1"/>
        <v/>
      </c>
      <c r="I5133" s="271" t="str">
        <f>IFERROR(__xludf.DUMMYFUNCTION("""COMPUTED_VALUE"""),"")</f>
        <v/>
      </c>
      <c r="J5133" t="str">
        <f>IFERROR(__xludf.DUMMYFUNCTION("IFS(
  AND(REGEXMATCH(E5133, ""台銀籌備帳戶|玉山帳戶""), REGEXMATCH(C5133, ""薪資"")), ""分潤支出"",
  AND(REGEXMATCH(E5133, ""Ben帳戶|Elsa帳戶|Ben代墊|Ariel代墊|中信銀行共用""), REGEXMATCH(F5133, ""Ben帳戶|Elsa帳戶|Ben代墊|Ariel代墊|中信銀行共用"")), ""內部轉帳(忽略)"",
  AND(E5133&lt;&gt;"""", F5133&lt;&gt;"""", N"&amp;"OT(REGEXMATCH(C5133, ""薪資""))), ""內部轉帳(忽略)"",
  REGEXMATCH(C5133, ""薪資""), ""薪資變動(不計入)"",
  REGEXMATCH(C5133, ""押金""), ""押金往來"",
  AND(E5133&lt;&gt;"""", F5133=""""), ""真實支出"",
  AND(E5133="""", F5133&lt;&gt;""""), ""真實收入"",
  TRUE, ""其他""
)"),"其他")</f>
        <v>其他</v>
      </c>
      <c r="K5133" s="270" t="str">
        <f t="shared" si="2"/>
        <v/>
      </c>
      <c r="L5133">
        <f t="shared" si="3"/>
        <v>0</v>
      </c>
    </row>
    <row r="5134">
      <c r="A5134" s="107"/>
      <c r="D5134" s="270"/>
      <c r="H5134" s="106" t="str">
        <f t="shared" si="1"/>
        <v/>
      </c>
      <c r="I5134" s="271" t="str">
        <f>IFERROR(__xludf.DUMMYFUNCTION("""COMPUTED_VALUE"""),"")</f>
        <v/>
      </c>
      <c r="J5134" t="str">
        <f>IFERROR(__xludf.DUMMYFUNCTION("IFS(
  AND(REGEXMATCH(E5134, ""台銀籌備帳戶|玉山帳戶""), REGEXMATCH(C5134, ""薪資"")), ""分潤支出"",
  AND(REGEXMATCH(E5134, ""Ben帳戶|Elsa帳戶|Ben代墊|Ariel代墊|中信銀行共用""), REGEXMATCH(F5134, ""Ben帳戶|Elsa帳戶|Ben代墊|Ariel代墊|中信銀行共用"")), ""內部轉帳(忽略)"",
  AND(E5134&lt;&gt;"""", F5134&lt;&gt;"""", N"&amp;"OT(REGEXMATCH(C5134, ""薪資""))), ""內部轉帳(忽略)"",
  REGEXMATCH(C5134, ""薪資""), ""薪資變動(不計入)"",
  REGEXMATCH(C5134, ""押金""), ""押金往來"",
  AND(E5134&lt;&gt;"""", F5134=""""), ""真實支出"",
  AND(E5134="""", F5134&lt;&gt;""""), ""真實收入"",
  TRUE, ""其他""
)"),"其他")</f>
        <v>其他</v>
      </c>
      <c r="K5134" s="270" t="str">
        <f t="shared" si="2"/>
        <v/>
      </c>
      <c r="L5134">
        <f t="shared" si="3"/>
        <v>0</v>
      </c>
    </row>
    <row r="5135">
      <c r="A5135" s="107"/>
      <c r="D5135" s="270"/>
      <c r="H5135" s="106" t="str">
        <f t="shared" si="1"/>
        <v/>
      </c>
      <c r="I5135" s="271" t="str">
        <f>IFERROR(__xludf.DUMMYFUNCTION("""COMPUTED_VALUE"""),"")</f>
        <v/>
      </c>
      <c r="J5135" t="str">
        <f>IFERROR(__xludf.DUMMYFUNCTION("IFS(
  AND(REGEXMATCH(E5135, ""台銀籌備帳戶|玉山帳戶""), REGEXMATCH(C5135, ""薪資"")), ""分潤支出"",
  AND(REGEXMATCH(E5135, ""Ben帳戶|Elsa帳戶|Ben代墊|Ariel代墊|中信銀行共用""), REGEXMATCH(F5135, ""Ben帳戶|Elsa帳戶|Ben代墊|Ariel代墊|中信銀行共用"")), ""內部轉帳(忽略)"",
  AND(E5135&lt;&gt;"""", F5135&lt;&gt;"""", N"&amp;"OT(REGEXMATCH(C5135, ""薪資""))), ""內部轉帳(忽略)"",
  REGEXMATCH(C5135, ""薪資""), ""薪資變動(不計入)"",
  REGEXMATCH(C5135, ""押金""), ""押金往來"",
  AND(E5135&lt;&gt;"""", F5135=""""), ""真實支出"",
  AND(E5135="""", F5135&lt;&gt;""""), ""真實收入"",
  TRUE, ""其他""
)"),"其他")</f>
        <v>其他</v>
      </c>
      <c r="K5135" s="270" t="str">
        <f t="shared" si="2"/>
        <v/>
      </c>
      <c r="L5135">
        <f t="shared" si="3"/>
        <v>0</v>
      </c>
    </row>
    <row r="5136">
      <c r="A5136" s="107"/>
      <c r="D5136" s="270"/>
      <c r="H5136" s="106" t="str">
        <f t="shared" si="1"/>
        <v/>
      </c>
      <c r="I5136" s="271" t="str">
        <f>IFERROR(__xludf.DUMMYFUNCTION("""COMPUTED_VALUE"""),"")</f>
        <v/>
      </c>
      <c r="J5136" t="str">
        <f>IFERROR(__xludf.DUMMYFUNCTION("IFS(
  AND(REGEXMATCH(E5136, ""台銀籌備帳戶|玉山帳戶""), REGEXMATCH(C5136, ""薪資"")), ""分潤支出"",
  AND(REGEXMATCH(E5136, ""Ben帳戶|Elsa帳戶|Ben代墊|Ariel代墊|中信銀行共用""), REGEXMATCH(F5136, ""Ben帳戶|Elsa帳戶|Ben代墊|Ariel代墊|中信銀行共用"")), ""內部轉帳(忽略)"",
  AND(E5136&lt;&gt;"""", F5136&lt;&gt;"""", N"&amp;"OT(REGEXMATCH(C5136, ""薪資""))), ""內部轉帳(忽略)"",
  REGEXMATCH(C5136, ""薪資""), ""薪資變動(不計入)"",
  REGEXMATCH(C5136, ""押金""), ""押金往來"",
  AND(E5136&lt;&gt;"""", F5136=""""), ""真實支出"",
  AND(E5136="""", F5136&lt;&gt;""""), ""真實收入"",
  TRUE, ""其他""
)"),"其他")</f>
        <v>其他</v>
      </c>
      <c r="K5136" s="270" t="str">
        <f t="shared" si="2"/>
        <v/>
      </c>
      <c r="L5136">
        <f t="shared" si="3"/>
        <v>0</v>
      </c>
    </row>
    <row r="5137">
      <c r="A5137" s="107"/>
      <c r="D5137" s="270"/>
      <c r="H5137" s="106" t="str">
        <f t="shared" si="1"/>
        <v/>
      </c>
      <c r="I5137" s="271" t="str">
        <f>IFERROR(__xludf.DUMMYFUNCTION("""COMPUTED_VALUE"""),"")</f>
        <v/>
      </c>
      <c r="J5137" t="str">
        <f>IFERROR(__xludf.DUMMYFUNCTION("IFS(
  AND(REGEXMATCH(E5137, ""台銀籌備帳戶|玉山帳戶""), REGEXMATCH(C5137, ""薪資"")), ""分潤支出"",
  AND(REGEXMATCH(E5137, ""Ben帳戶|Elsa帳戶|Ben代墊|Ariel代墊|中信銀行共用""), REGEXMATCH(F5137, ""Ben帳戶|Elsa帳戶|Ben代墊|Ariel代墊|中信銀行共用"")), ""內部轉帳(忽略)"",
  AND(E5137&lt;&gt;"""", F5137&lt;&gt;"""", N"&amp;"OT(REGEXMATCH(C5137, ""薪資""))), ""內部轉帳(忽略)"",
  REGEXMATCH(C5137, ""薪資""), ""薪資變動(不計入)"",
  REGEXMATCH(C5137, ""押金""), ""押金往來"",
  AND(E5137&lt;&gt;"""", F5137=""""), ""真實支出"",
  AND(E5137="""", F5137&lt;&gt;""""), ""真實收入"",
  TRUE, ""其他""
)"),"其他")</f>
        <v>其他</v>
      </c>
      <c r="K5137" s="270" t="str">
        <f t="shared" si="2"/>
        <v/>
      </c>
      <c r="L5137">
        <f t="shared" si="3"/>
        <v>0</v>
      </c>
    </row>
    <row r="5138">
      <c r="A5138" s="107"/>
      <c r="D5138" s="270"/>
      <c r="H5138" s="106" t="str">
        <f t="shared" si="1"/>
        <v/>
      </c>
      <c r="I5138" s="271" t="str">
        <f>IFERROR(__xludf.DUMMYFUNCTION("""COMPUTED_VALUE"""),"")</f>
        <v/>
      </c>
      <c r="J5138" t="str">
        <f>IFERROR(__xludf.DUMMYFUNCTION("IFS(
  AND(REGEXMATCH(E5138, ""台銀籌備帳戶|玉山帳戶""), REGEXMATCH(C5138, ""薪資"")), ""分潤支出"",
  AND(REGEXMATCH(E5138, ""Ben帳戶|Elsa帳戶|Ben代墊|Ariel代墊|中信銀行共用""), REGEXMATCH(F5138, ""Ben帳戶|Elsa帳戶|Ben代墊|Ariel代墊|中信銀行共用"")), ""內部轉帳(忽略)"",
  AND(E5138&lt;&gt;"""", F5138&lt;&gt;"""", N"&amp;"OT(REGEXMATCH(C5138, ""薪資""))), ""內部轉帳(忽略)"",
  REGEXMATCH(C5138, ""薪資""), ""薪資變動(不計入)"",
  REGEXMATCH(C5138, ""押金""), ""押金往來"",
  AND(E5138&lt;&gt;"""", F5138=""""), ""真實支出"",
  AND(E5138="""", F5138&lt;&gt;""""), ""真實收入"",
  TRUE, ""其他""
)"),"其他")</f>
        <v>其他</v>
      </c>
      <c r="K5138" s="270" t="str">
        <f t="shared" si="2"/>
        <v/>
      </c>
      <c r="L5138">
        <f t="shared" si="3"/>
        <v>0</v>
      </c>
    </row>
    <row r="5139">
      <c r="A5139" s="107"/>
      <c r="D5139" s="270"/>
      <c r="H5139" s="106" t="str">
        <f t="shared" si="1"/>
        <v/>
      </c>
      <c r="I5139" s="271" t="str">
        <f>IFERROR(__xludf.DUMMYFUNCTION("""COMPUTED_VALUE"""),"")</f>
        <v/>
      </c>
      <c r="J5139" t="str">
        <f>IFERROR(__xludf.DUMMYFUNCTION("IFS(
  AND(REGEXMATCH(E5139, ""台銀籌備帳戶|玉山帳戶""), REGEXMATCH(C5139, ""薪資"")), ""分潤支出"",
  AND(REGEXMATCH(E5139, ""Ben帳戶|Elsa帳戶|Ben代墊|Ariel代墊|中信銀行共用""), REGEXMATCH(F5139, ""Ben帳戶|Elsa帳戶|Ben代墊|Ariel代墊|中信銀行共用"")), ""內部轉帳(忽略)"",
  AND(E5139&lt;&gt;"""", F5139&lt;&gt;"""", N"&amp;"OT(REGEXMATCH(C5139, ""薪資""))), ""內部轉帳(忽略)"",
  REGEXMATCH(C5139, ""薪資""), ""薪資變動(不計入)"",
  REGEXMATCH(C5139, ""押金""), ""押金往來"",
  AND(E5139&lt;&gt;"""", F5139=""""), ""真實支出"",
  AND(E5139="""", F5139&lt;&gt;""""), ""真實收入"",
  TRUE, ""其他""
)"),"其他")</f>
        <v>其他</v>
      </c>
      <c r="K5139" s="270" t="str">
        <f t="shared" si="2"/>
        <v/>
      </c>
      <c r="L5139">
        <f t="shared" si="3"/>
        <v>0</v>
      </c>
    </row>
    <row r="5140">
      <c r="A5140" s="107"/>
      <c r="D5140" s="270"/>
      <c r="H5140" s="106" t="str">
        <f t="shared" si="1"/>
        <v/>
      </c>
      <c r="I5140" s="271" t="str">
        <f>IFERROR(__xludf.DUMMYFUNCTION("""COMPUTED_VALUE"""),"")</f>
        <v/>
      </c>
      <c r="J5140" t="str">
        <f>IFERROR(__xludf.DUMMYFUNCTION("IFS(
  AND(REGEXMATCH(E5140, ""台銀籌備帳戶|玉山帳戶""), REGEXMATCH(C5140, ""薪資"")), ""分潤支出"",
  AND(REGEXMATCH(E5140, ""Ben帳戶|Elsa帳戶|Ben代墊|Ariel代墊|中信銀行共用""), REGEXMATCH(F5140, ""Ben帳戶|Elsa帳戶|Ben代墊|Ariel代墊|中信銀行共用"")), ""內部轉帳(忽略)"",
  AND(E5140&lt;&gt;"""", F5140&lt;&gt;"""", N"&amp;"OT(REGEXMATCH(C5140, ""薪資""))), ""內部轉帳(忽略)"",
  REGEXMATCH(C5140, ""薪資""), ""薪資變動(不計入)"",
  REGEXMATCH(C5140, ""押金""), ""押金往來"",
  AND(E5140&lt;&gt;"""", F5140=""""), ""真實支出"",
  AND(E5140="""", F5140&lt;&gt;""""), ""真實收入"",
  TRUE, ""其他""
)"),"其他")</f>
        <v>其他</v>
      </c>
      <c r="K5140" s="270" t="str">
        <f t="shared" si="2"/>
        <v/>
      </c>
      <c r="L5140">
        <f t="shared" si="3"/>
        <v>0</v>
      </c>
    </row>
    <row r="5141">
      <c r="A5141" s="107"/>
      <c r="D5141" s="270"/>
      <c r="H5141" s="106" t="str">
        <f t="shared" si="1"/>
        <v/>
      </c>
      <c r="I5141" s="271" t="str">
        <f>IFERROR(__xludf.DUMMYFUNCTION("""COMPUTED_VALUE"""),"")</f>
        <v/>
      </c>
      <c r="J5141" t="str">
        <f>IFERROR(__xludf.DUMMYFUNCTION("IFS(
  AND(REGEXMATCH(E5141, ""台銀籌備帳戶|玉山帳戶""), REGEXMATCH(C5141, ""薪資"")), ""分潤支出"",
  AND(REGEXMATCH(E5141, ""Ben帳戶|Elsa帳戶|Ben代墊|Ariel代墊|中信銀行共用""), REGEXMATCH(F5141, ""Ben帳戶|Elsa帳戶|Ben代墊|Ariel代墊|中信銀行共用"")), ""內部轉帳(忽略)"",
  AND(E5141&lt;&gt;"""", F5141&lt;&gt;"""", N"&amp;"OT(REGEXMATCH(C5141, ""薪資""))), ""內部轉帳(忽略)"",
  REGEXMATCH(C5141, ""薪資""), ""薪資變動(不計入)"",
  REGEXMATCH(C5141, ""押金""), ""押金往來"",
  AND(E5141&lt;&gt;"""", F5141=""""), ""真實支出"",
  AND(E5141="""", F5141&lt;&gt;""""), ""真實收入"",
  TRUE, ""其他""
)"),"其他")</f>
        <v>其他</v>
      </c>
      <c r="K5141" s="270" t="str">
        <f t="shared" si="2"/>
        <v/>
      </c>
      <c r="L5141">
        <f t="shared" si="3"/>
        <v>0</v>
      </c>
    </row>
    <row r="5142">
      <c r="A5142" s="107"/>
      <c r="D5142" s="270"/>
      <c r="H5142" s="106" t="str">
        <f t="shared" si="1"/>
        <v/>
      </c>
      <c r="I5142" s="271" t="str">
        <f>IFERROR(__xludf.DUMMYFUNCTION("""COMPUTED_VALUE"""),"")</f>
        <v/>
      </c>
      <c r="J5142" t="str">
        <f>IFERROR(__xludf.DUMMYFUNCTION("IFS(
  AND(REGEXMATCH(E5142, ""台銀籌備帳戶|玉山帳戶""), REGEXMATCH(C5142, ""薪資"")), ""分潤支出"",
  AND(REGEXMATCH(E5142, ""Ben帳戶|Elsa帳戶|Ben代墊|Ariel代墊|中信銀行共用""), REGEXMATCH(F5142, ""Ben帳戶|Elsa帳戶|Ben代墊|Ariel代墊|中信銀行共用"")), ""內部轉帳(忽略)"",
  AND(E5142&lt;&gt;"""", F5142&lt;&gt;"""", N"&amp;"OT(REGEXMATCH(C5142, ""薪資""))), ""內部轉帳(忽略)"",
  REGEXMATCH(C5142, ""薪資""), ""薪資變動(不計入)"",
  REGEXMATCH(C5142, ""押金""), ""押金往來"",
  AND(E5142&lt;&gt;"""", F5142=""""), ""真實支出"",
  AND(E5142="""", F5142&lt;&gt;""""), ""真實收入"",
  TRUE, ""其他""
)"),"其他")</f>
        <v>其他</v>
      </c>
      <c r="K5142" s="270" t="str">
        <f t="shared" si="2"/>
        <v/>
      </c>
      <c r="L5142">
        <f t="shared" si="3"/>
        <v>0</v>
      </c>
    </row>
    <row r="5143">
      <c r="A5143" s="107"/>
      <c r="D5143" s="270"/>
      <c r="H5143" s="106" t="str">
        <f t="shared" si="1"/>
        <v/>
      </c>
      <c r="I5143" s="271" t="str">
        <f>IFERROR(__xludf.DUMMYFUNCTION("""COMPUTED_VALUE"""),"")</f>
        <v/>
      </c>
      <c r="J5143" t="str">
        <f>IFERROR(__xludf.DUMMYFUNCTION("IFS(
  AND(REGEXMATCH(E5143, ""台銀籌備帳戶|玉山帳戶""), REGEXMATCH(C5143, ""薪資"")), ""分潤支出"",
  AND(REGEXMATCH(E5143, ""Ben帳戶|Elsa帳戶|Ben代墊|Ariel代墊|中信銀行共用""), REGEXMATCH(F5143, ""Ben帳戶|Elsa帳戶|Ben代墊|Ariel代墊|中信銀行共用"")), ""內部轉帳(忽略)"",
  AND(E5143&lt;&gt;"""", F5143&lt;&gt;"""", N"&amp;"OT(REGEXMATCH(C5143, ""薪資""))), ""內部轉帳(忽略)"",
  REGEXMATCH(C5143, ""薪資""), ""薪資變動(不計入)"",
  REGEXMATCH(C5143, ""押金""), ""押金往來"",
  AND(E5143&lt;&gt;"""", F5143=""""), ""真實支出"",
  AND(E5143="""", F5143&lt;&gt;""""), ""真實收入"",
  TRUE, ""其他""
)"),"其他")</f>
        <v>其他</v>
      </c>
      <c r="K5143" s="270" t="str">
        <f t="shared" si="2"/>
        <v/>
      </c>
      <c r="L5143">
        <f t="shared" si="3"/>
        <v>0</v>
      </c>
    </row>
    <row r="5144">
      <c r="A5144" s="107"/>
      <c r="D5144" s="270"/>
      <c r="H5144" s="106" t="str">
        <f t="shared" si="1"/>
        <v/>
      </c>
      <c r="I5144" s="271" t="str">
        <f>IFERROR(__xludf.DUMMYFUNCTION("""COMPUTED_VALUE"""),"")</f>
        <v/>
      </c>
      <c r="J5144" t="str">
        <f>IFERROR(__xludf.DUMMYFUNCTION("IFS(
  AND(REGEXMATCH(E5144, ""台銀籌備帳戶|玉山帳戶""), REGEXMATCH(C5144, ""薪資"")), ""分潤支出"",
  AND(REGEXMATCH(E5144, ""Ben帳戶|Elsa帳戶|Ben代墊|Ariel代墊|中信銀行共用""), REGEXMATCH(F5144, ""Ben帳戶|Elsa帳戶|Ben代墊|Ariel代墊|中信銀行共用"")), ""內部轉帳(忽略)"",
  AND(E5144&lt;&gt;"""", F5144&lt;&gt;"""", N"&amp;"OT(REGEXMATCH(C5144, ""薪資""))), ""內部轉帳(忽略)"",
  REGEXMATCH(C5144, ""薪資""), ""薪資變動(不計入)"",
  REGEXMATCH(C5144, ""押金""), ""押金往來"",
  AND(E5144&lt;&gt;"""", F5144=""""), ""真實支出"",
  AND(E5144="""", F5144&lt;&gt;""""), ""真實收入"",
  TRUE, ""其他""
)"),"其他")</f>
        <v>其他</v>
      </c>
      <c r="K5144" s="270" t="str">
        <f t="shared" si="2"/>
        <v/>
      </c>
      <c r="L5144">
        <f t="shared" si="3"/>
        <v>0</v>
      </c>
    </row>
    <row r="5145">
      <c r="A5145" s="107"/>
      <c r="D5145" s="270"/>
      <c r="H5145" s="106" t="str">
        <f t="shared" si="1"/>
        <v/>
      </c>
      <c r="I5145" s="271" t="str">
        <f>IFERROR(__xludf.DUMMYFUNCTION("""COMPUTED_VALUE"""),"")</f>
        <v/>
      </c>
      <c r="J5145" t="str">
        <f>IFERROR(__xludf.DUMMYFUNCTION("IFS(
  AND(REGEXMATCH(E5145, ""台銀籌備帳戶|玉山帳戶""), REGEXMATCH(C5145, ""薪資"")), ""分潤支出"",
  AND(REGEXMATCH(E5145, ""Ben帳戶|Elsa帳戶|Ben代墊|Ariel代墊|中信銀行共用""), REGEXMATCH(F5145, ""Ben帳戶|Elsa帳戶|Ben代墊|Ariel代墊|中信銀行共用"")), ""內部轉帳(忽略)"",
  AND(E5145&lt;&gt;"""", F5145&lt;&gt;"""", N"&amp;"OT(REGEXMATCH(C5145, ""薪資""))), ""內部轉帳(忽略)"",
  REGEXMATCH(C5145, ""薪資""), ""薪資變動(不計入)"",
  REGEXMATCH(C5145, ""押金""), ""押金往來"",
  AND(E5145&lt;&gt;"""", F5145=""""), ""真實支出"",
  AND(E5145="""", F5145&lt;&gt;""""), ""真實收入"",
  TRUE, ""其他""
)"),"其他")</f>
        <v>其他</v>
      </c>
      <c r="K5145" s="270" t="str">
        <f t="shared" si="2"/>
        <v/>
      </c>
      <c r="L5145">
        <f t="shared" si="3"/>
        <v>0</v>
      </c>
    </row>
    <row r="5146">
      <c r="A5146" s="107"/>
      <c r="D5146" s="270"/>
      <c r="H5146" s="106" t="str">
        <f t="shared" si="1"/>
        <v/>
      </c>
      <c r="I5146" s="271" t="str">
        <f>IFERROR(__xludf.DUMMYFUNCTION("""COMPUTED_VALUE"""),"")</f>
        <v/>
      </c>
      <c r="J5146" t="str">
        <f>IFERROR(__xludf.DUMMYFUNCTION("IFS(
  AND(REGEXMATCH(E5146, ""台銀籌備帳戶|玉山帳戶""), REGEXMATCH(C5146, ""薪資"")), ""分潤支出"",
  AND(REGEXMATCH(E5146, ""Ben帳戶|Elsa帳戶|Ben代墊|Ariel代墊|中信銀行共用""), REGEXMATCH(F5146, ""Ben帳戶|Elsa帳戶|Ben代墊|Ariel代墊|中信銀行共用"")), ""內部轉帳(忽略)"",
  AND(E5146&lt;&gt;"""", F5146&lt;&gt;"""", N"&amp;"OT(REGEXMATCH(C5146, ""薪資""))), ""內部轉帳(忽略)"",
  REGEXMATCH(C5146, ""薪資""), ""薪資變動(不計入)"",
  REGEXMATCH(C5146, ""押金""), ""押金往來"",
  AND(E5146&lt;&gt;"""", F5146=""""), ""真實支出"",
  AND(E5146="""", F5146&lt;&gt;""""), ""真實收入"",
  TRUE, ""其他""
)"),"其他")</f>
        <v>其他</v>
      </c>
      <c r="K5146" s="270" t="str">
        <f t="shared" si="2"/>
        <v/>
      </c>
      <c r="L5146">
        <f t="shared" si="3"/>
        <v>0</v>
      </c>
    </row>
    <row r="5147">
      <c r="A5147" s="107"/>
      <c r="D5147" s="270"/>
      <c r="H5147" s="106" t="str">
        <f t="shared" si="1"/>
        <v/>
      </c>
      <c r="I5147" s="271" t="str">
        <f>IFERROR(__xludf.DUMMYFUNCTION("""COMPUTED_VALUE"""),"")</f>
        <v/>
      </c>
      <c r="J5147" t="str">
        <f>IFERROR(__xludf.DUMMYFUNCTION("IFS(
  AND(REGEXMATCH(E5147, ""台銀籌備帳戶|玉山帳戶""), REGEXMATCH(C5147, ""薪資"")), ""分潤支出"",
  AND(REGEXMATCH(E5147, ""Ben帳戶|Elsa帳戶|Ben代墊|Ariel代墊|中信銀行共用""), REGEXMATCH(F5147, ""Ben帳戶|Elsa帳戶|Ben代墊|Ariel代墊|中信銀行共用"")), ""內部轉帳(忽略)"",
  AND(E5147&lt;&gt;"""", F5147&lt;&gt;"""", N"&amp;"OT(REGEXMATCH(C5147, ""薪資""))), ""內部轉帳(忽略)"",
  REGEXMATCH(C5147, ""薪資""), ""薪資變動(不計入)"",
  REGEXMATCH(C5147, ""押金""), ""押金往來"",
  AND(E5147&lt;&gt;"""", F5147=""""), ""真實支出"",
  AND(E5147="""", F5147&lt;&gt;""""), ""真實收入"",
  TRUE, ""其他""
)"),"其他")</f>
        <v>其他</v>
      </c>
      <c r="K5147" s="270" t="str">
        <f t="shared" si="2"/>
        <v/>
      </c>
      <c r="L5147">
        <f t="shared" si="3"/>
        <v>0</v>
      </c>
    </row>
    <row r="5148">
      <c r="A5148" s="107"/>
      <c r="D5148" s="270"/>
      <c r="H5148" s="106" t="str">
        <f t="shared" si="1"/>
        <v/>
      </c>
      <c r="I5148" s="271" t="str">
        <f>IFERROR(__xludf.DUMMYFUNCTION("""COMPUTED_VALUE"""),"")</f>
        <v/>
      </c>
      <c r="J5148" t="str">
        <f>IFERROR(__xludf.DUMMYFUNCTION("IFS(
  AND(REGEXMATCH(E5148, ""台銀籌備帳戶|玉山帳戶""), REGEXMATCH(C5148, ""薪資"")), ""分潤支出"",
  AND(REGEXMATCH(E5148, ""Ben帳戶|Elsa帳戶|Ben代墊|Ariel代墊|中信銀行共用""), REGEXMATCH(F5148, ""Ben帳戶|Elsa帳戶|Ben代墊|Ariel代墊|中信銀行共用"")), ""內部轉帳(忽略)"",
  AND(E5148&lt;&gt;"""", F5148&lt;&gt;"""", N"&amp;"OT(REGEXMATCH(C5148, ""薪資""))), ""內部轉帳(忽略)"",
  REGEXMATCH(C5148, ""薪資""), ""薪資變動(不計入)"",
  REGEXMATCH(C5148, ""押金""), ""押金往來"",
  AND(E5148&lt;&gt;"""", F5148=""""), ""真實支出"",
  AND(E5148="""", F5148&lt;&gt;""""), ""真實收入"",
  TRUE, ""其他""
)"),"其他")</f>
        <v>其他</v>
      </c>
      <c r="K5148" s="270" t="str">
        <f t="shared" si="2"/>
        <v/>
      </c>
      <c r="L5148">
        <f t="shared" si="3"/>
        <v>0</v>
      </c>
    </row>
    <row r="5149">
      <c r="A5149" s="107"/>
      <c r="D5149" s="270"/>
      <c r="H5149" s="106" t="str">
        <f t="shared" si="1"/>
        <v/>
      </c>
      <c r="I5149" s="271" t="str">
        <f>IFERROR(__xludf.DUMMYFUNCTION("""COMPUTED_VALUE"""),"")</f>
        <v/>
      </c>
      <c r="J5149" t="str">
        <f>IFERROR(__xludf.DUMMYFUNCTION("IFS(
  AND(REGEXMATCH(E5149, ""台銀籌備帳戶|玉山帳戶""), REGEXMATCH(C5149, ""薪資"")), ""分潤支出"",
  AND(REGEXMATCH(E5149, ""Ben帳戶|Elsa帳戶|Ben代墊|Ariel代墊|中信銀行共用""), REGEXMATCH(F5149, ""Ben帳戶|Elsa帳戶|Ben代墊|Ariel代墊|中信銀行共用"")), ""內部轉帳(忽略)"",
  AND(E5149&lt;&gt;"""", F5149&lt;&gt;"""", N"&amp;"OT(REGEXMATCH(C5149, ""薪資""))), ""內部轉帳(忽略)"",
  REGEXMATCH(C5149, ""薪資""), ""薪資變動(不計入)"",
  REGEXMATCH(C5149, ""押金""), ""押金往來"",
  AND(E5149&lt;&gt;"""", F5149=""""), ""真實支出"",
  AND(E5149="""", F5149&lt;&gt;""""), ""真實收入"",
  TRUE, ""其他""
)"),"其他")</f>
        <v>其他</v>
      </c>
      <c r="K5149" s="270" t="str">
        <f t="shared" si="2"/>
        <v/>
      </c>
      <c r="L5149">
        <f t="shared" si="3"/>
        <v>0</v>
      </c>
    </row>
    <row r="5150">
      <c r="A5150" s="107"/>
      <c r="D5150" s="270"/>
      <c r="H5150" s="106" t="str">
        <f t="shared" si="1"/>
        <v/>
      </c>
      <c r="I5150" s="271" t="str">
        <f>IFERROR(__xludf.DUMMYFUNCTION("""COMPUTED_VALUE"""),"")</f>
        <v/>
      </c>
      <c r="J5150" t="str">
        <f>IFERROR(__xludf.DUMMYFUNCTION("IFS(
  AND(REGEXMATCH(E5150, ""台銀籌備帳戶|玉山帳戶""), REGEXMATCH(C5150, ""薪資"")), ""分潤支出"",
  AND(REGEXMATCH(E5150, ""Ben帳戶|Elsa帳戶|Ben代墊|Ariel代墊|中信銀行共用""), REGEXMATCH(F5150, ""Ben帳戶|Elsa帳戶|Ben代墊|Ariel代墊|中信銀行共用"")), ""內部轉帳(忽略)"",
  AND(E5150&lt;&gt;"""", F5150&lt;&gt;"""", N"&amp;"OT(REGEXMATCH(C5150, ""薪資""))), ""內部轉帳(忽略)"",
  REGEXMATCH(C5150, ""薪資""), ""薪資變動(不計入)"",
  REGEXMATCH(C5150, ""押金""), ""押金往來"",
  AND(E5150&lt;&gt;"""", F5150=""""), ""真實支出"",
  AND(E5150="""", F5150&lt;&gt;""""), ""真實收入"",
  TRUE, ""其他""
)"),"其他")</f>
        <v>其他</v>
      </c>
      <c r="K5150" s="270" t="str">
        <f t="shared" si="2"/>
        <v/>
      </c>
      <c r="L5150">
        <f t="shared" si="3"/>
        <v>0</v>
      </c>
    </row>
    <row r="5151">
      <c r="A5151" s="107"/>
      <c r="D5151" s="270"/>
      <c r="H5151" s="106" t="str">
        <f t="shared" si="1"/>
        <v/>
      </c>
      <c r="I5151" s="271" t="str">
        <f>IFERROR(__xludf.DUMMYFUNCTION("""COMPUTED_VALUE"""),"")</f>
        <v/>
      </c>
      <c r="J5151" t="str">
        <f>IFERROR(__xludf.DUMMYFUNCTION("IFS(
  AND(REGEXMATCH(E5151, ""台銀籌備帳戶|玉山帳戶""), REGEXMATCH(C5151, ""薪資"")), ""分潤支出"",
  AND(REGEXMATCH(E5151, ""Ben帳戶|Elsa帳戶|Ben代墊|Ariel代墊|中信銀行共用""), REGEXMATCH(F5151, ""Ben帳戶|Elsa帳戶|Ben代墊|Ariel代墊|中信銀行共用"")), ""內部轉帳(忽略)"",
  AND(E5151&lt;&gt;"""", F5151&lt;&gt;"""", N"&amp;"OT(REGEXMATCH(C5151, ""薪資""))), ""內部轉帳(忽略)"",
  REGEXMATCH(C5151, ""薪資""), ""薪資變動(不計入)"",
  REGEXMATCH(C5151, ""押金""), ""押金往來"",
  AND(E5151&lt;&gt;"""", F5151=""""), ""真實支出"",
  AND(E5151="""", F5151&lt;&gt;""""), ""真實收入"",
  TRUE, ""其他""
)"),"其他")</f>
        <v>其他</v>
      </c>
      <c r="K5151" s="270" t="str">
        <f t="shared" si="2"/>
        <v/>
      </c>
      <c r="L5151">
        <f t="shared" si="3"/>
        <v>0</v>
      </c>
    </row>
    <row r="5152">
      <c r="A5152" s="107"/>
      <c r="D5152" s="270"/>
      <c r="H5152" s="106" t="str">
        <f t="shared" si="1"/>
        <v/>
      </c>
      <c r="I5152" s="271" t="str">
        <f>IFERROR(__xludf.DUMMYFUNCTION("""COMPUTED_VALUE"""),"")</f>
        <v/>
      </c>
      <c r="J5152" t="str">
        <f>IFERROR(__xludf.DUMMYFUNCTION("IFS(
  AND(REGEXMATCH(E5152, ""台銀籌備帳戶|玉山帳戶""), REGEXMATCH(C5152, ""薪資"")), ""分潤支出"",
  AND(REGEXMATCH(E5152, ""Ben帳戶|Elsa帳戶|Ben代墊|Ariel代墊|中信銀行共用""), REGEXMATCH(F5152, ""Ben帳戶|Elsa帳戶|Ben代墊|Ariel代墊|中信銀行共用"")), ""內部轉帳(忽略)"",
  AND(E5152&lt;&gt;"""", F5152&lt;&gt;"""", N"&amp;"OT(REGEXMATCH(C5152, ""薪資""))), ""內部轉帳(忽略)"",
  REGEXMATCH(C5152, ""薪資""), ""薪資變動(不計入)"",
  REGEXMATCH(C5152, ""押金""), ""押金往來"",
  AND(E5152&lt;&gt;"""", F5152=""""), ""真實支出"",
  AND(E5152="""", F5152&lt;&gt;""""), ""真實收入"",
  TRUE, ""其他""
)"),"其他")</f>
        <v>其他</v>
      </c>
      <c r="K5152" s="270" t="str">
        <f t="shared" si="2"/>
        <v/>
      </c>
      <c r="L5152">
        <f t="shared" si="3"/>
        <v>0</v>
      </c>
    </row>
    <row r="5153">
      <c r="A5153" s="107"/>
      <c r="D5153" s="270"/>
      <c r="H5153" s="106" t="str">
        <f t="shared" si="1"/>
        <v/>
      </c>
      <c r="I5153" s="271" t="str">
        <f>IFERROR(__xludf.DUMMYFUNCTION("""COMPUTED_VALUE"""),"")</f>
        <v/>
      </c>
      <c r="J5153" t="str">
        <f>IFERROR(__xludf.DUMMYFUNCTION("IFS(
  AND(REGEXMATCH(E5153, ""台銀籌備帳戶|玉山帳戶""), REGEXMATCH(C5153, ""薪資"")), ""分潤支出"",
  AND(REGEXMATCH(E5153, ""Ben帳戶|Elsa帳戶|Ben代墊|Ariel代墊|中信銀行共用""), REGEXMATCH(F5153, ""Ben帳戶|Elsa帳戶|Ben代墊|Ariel代墊|中信銀行共用"")), ""內部轉帳(忽略)"",
  AND(E5153&lt;&gt;"""", F5153&lt;&gt;"""", N"&amp;"OT(REGEXMATCH(C5153, ""薪資""))), ""內部轉帳(忽略)"",
  REGEXMATCH(C5153, ""薪資""), ""薪資變動(不計入)"",
  REGEXMATCH(C5153, ""押金""), ""押金往來"",
  AND(E5153&lt;&gt;"""", F5153=""""), ""真實支出"",
  AND(E5153="""", F5153&lt;&gt;""""), ""真實收入"",
  TRUE, ""其他""
)"),"其他")</f>
        <v>其他</v>
      </c>
      <c r="K5153" s="270" t="str">
        <f t="shared" si="2"/>
        <v/>
      </c>
      <c r="L5153">
        <f t="shared" si="3"/>
        <v>0</v>
      </c>
    </row>
    <row r="5154">
      <c r="A5154" s="107"/>
      <c r="D5154" s="270"/>
      <c r="H5154" s="106" t="str">
        <f t="shared" si="1"/>
        <v/>
      </c>
      <c r="I5154" s="271" t="str">
        <f>IFERROR(__xludf.DUMMYFUNCTION("""COMPUTED_VALUE"""),"")</f>
        <v/>
      </c>
      <c r="J5154" t="str">
        <f>IFERROR(__xludf.DUMMYFUNCTION("IFS(
  AND(REGEXMATCH(E5154, ""台銀籌備帳戶|玉山帳戶""), REGEXMATCH(C5154, ""薪資"")), ""分潤支出"",
  AND(REGEXMATCH(E5154, ""Ben帳戶|Elsa帳戶|Ben代墊|Ariel代墊|中信銀行共用""), REGEXMATCH(F5154, ""Ben帳戶|Elsa帳戶|Ben代墊|Ariel代墊|中信銀行共用"")), ""內部轉帳(忽略)"",
  AND(E5154&lt;&gt;"""", F5154&lt;&gt;"""", N"&amp;"OT(REGEXMATCH(C5154, ""薪資""))), ""內部轉帳(忽略)"",
  REGEXMATCH(C5154, ""薪資""), ""薪資變動(不計入)"",
  REGEXMATCH(C5154, ""押金""), ""押金往來"",
  AND(E5154&lt;&gt;"""", F5154=""""), ""真實支出"",
  AND(E5154="""", F5154&lt;&gt;""""), ""真實收入"",
  TRUE, ""其他""
)"),"其他")</f>
        <v>其他</v>
      </c>
      <c r="K5154" s="270" t="str">
        <f t="shared" si="2"/>
        <v/>
      </c>
      <c r="L5154">
        <f t="shared" si="3"/>
        <v>0</v>
      </c>
    </row>
    <row r="5155">
      <c r="A5155" s="107"/>
      <c r="D5155" s="270"/>
      <c r="H5155" s="106" t="str">
        <f t="shared" si="1"/>
        <v/>
      </c>
      <c r="I5155" s="271" t="str">
        <f>IFERROR(__xludf.DUMMYFUNCTION("""COMPUTED_VALUE"""),"")</f>
        <v/>
      </c>
      <c r="J5155" t="str">
        <f>IFERROR(__xludf.DUMMYFUNCTION("IFS(
  AND(REGEXMATCH(E5155, ""台銀籌備帳戶|玉山帳戶""), REGEXMATCH(C5155, ""薪資"")), ""分潤支出"",
  AND(REGEXMATCH(E5155, ""Ben帳戶|Elsa帳戶|Ben代墊|Ariel代墊|中信銀行共用""), REGEXMATCH(F5155, ""Ben帳戶|Elsa帳戶|Ben代墊|Ariel代墊|中信銀行共用"")), ""內部轉帳(忽略)"",
  AND(E5155&lt;&gt;"""", F5155&lt;&gt;"""", N"&amp;"OT(REGEXMATCH(C5155, ""薪資""))), ""內部轉帳(忽略)"",
  REGEXMATCH(C5155, ""薪資""), ""薪資變動(不計入)"",
  REGEXMATCH(C5155, ""押金""), ""押金往來"",
  AND(E5155&lt;&gt;"""", F5155=""""), ""真實支出"",
  AND(E5155="""", F5155&lt;&gt;""""), ""真實收入"",
  TRUE, ""其他""
)"),"其他")</f>
        <v>其他</v>
      </c>
      <c r="K5155" s="270" t="str">
        <f t="shared" si="2"/>
        <v/>
      </c>
      <c r="L5155">
        <f t="shared" si="3"/>
        <v>0</v>
      </c>
    </row>
    <row r="5156">
      <c r="A5156" s="107"/>
      <c r="D5156" s="270"/>
      <c r="H5156" s="106" t="str">
        <f t="shared" si="1"/>
        <v/>
      </c>
      <c r="I5156" s="271" t="str">
        <f>IFERROR(__xludf.DUMMYFUNCTION("""COMPUTED_VALUE"""),"")</f>
        <v/>
      </c>
      <c r="J5156" t="str">
        <f>IFERROR(__xludf.DUMMYFUNCTION("IFS(
  AND(REGEXMATCH(E5156, ""台銀籌備帳戶|玉山帳戶""), REGEXMATCH(C5156, ""薪資"")), ""分潤支出"",
  AND(REGEXMATCH(E5156, ""Ben帳戶|Elsa帳戶|Ben代墊|Ariel代墊|中信銀行共用""), REGEXMATCH(F5156, ""Ben帳戶|Elsa帳戶|Ben代墊|Ariel代墊|中信銀行共用"")), ""內部轉帳(忽略)"",
  AND(E5156&lt;&gt;"""", F5156&lt;&gt;"""", N"&amp;"OT(REGEXMATCH(C5156, ""薪資""))), ""內部轉帳(忽略)"",
  REGEXMATCH(C5156, ""薪資""), ""薪資變動(不計入)"",
  REGEXMATCH(C5156, ""押金""), ""押金往來"",
  AND(E5156&lt;&gt;"""", F5156=""""), ""真實支出"",
  AND(E5156="""", F5156&lt;&gt;""""), ""真實收入"",
  TRUE, ""其他""
)"),"其他")</f>
        <v>其他</v>
      </c>
      <c r="K5156" s="270" t="str">
        <f t="shared" si="2"/>
        <v/>
      </c>
      <c r="L5156">
        <f t="shared" si="3"/>
        <v>0</v>
      </c>
    </row>
    <row r="5157">
      <c r="A5157" s="107"/>
      <c r="D5157" s="270"/>
      <c r="H5157" s="106" t="str">
        <f t="shared" si="1"/>
        <v/>
      </c>
      <c r="I5157" s="271" t="str">
        <f>IFERROR(__xludf.DUMMYFUNCTION("""COMPUTED_VALUE"""),"")</f>
        <v/>
      </c>
      <c r="J5157" t="str">
        <f>IFERROR(__xludf.DUMMYFUNCTION("IFS(
  AND(REGEXMATCH(E5157, ""台銀籌備帳戶|玉山帳戶""), REGEXMATCH(C5157, ""薪資"")), ""分潤支出"",
  AND(REGEXMATCH(E5157, ""Ben帳戶|Elsa帳戶|Ben代墊|Ariel代墊|中信銀行共用""), REGEXMATCH(F5157, ""Ben帳戶|Elsa帳戶|Ben代墊|Ariel代墊|中信銀行共用"")), ""內部轉帳(忽略)"",
  AND(E5157&lt;&gt;"""", F5157&lt;&gt;"""", N"&amp;"OT(REGEXMATCH(C5157, ""薪資""))), ""內部轉帳(忽略)"",
  REGEXMATCH(C5157, ""薪資""), ""薪資變動(不計入)"",
  REGEXMATCH(C5157, ""押金""), ""押金往來"",
  AND(E5157&lt;&gt;"""", F5157=""""), ""真實支出"",
  AND(E5157="""", F5157&lt;&gt;""""), ""真實收入"",
  TRUE, ""其他""
)"),"其他")</f>
        <v>其他</v>
      </c>
      <c r="K5157" s="270" t="str">
        <f t="shared" si="2"/>
        <v/>
      </c>
      <c r="L5157">
        <f t="shared" si="3"/>
        <v>0</v>
      </c>
    </row>
    <row r="5158">
      <c r="A5158" s="107"/>
      <c r="D5158" s="270"/>
      <c r="H5158" s="106" t="str">
        <f t="shared" si="1"/>
        <v/>
      </c>
      <c r="I5158" s="271" t="str">
        <f>IFERROR(__xludf.DUMMYFUNCTION("""COMPUTED_VALUE"""),"")</f>
        <v/>
      </c>
      <c r="J5158" t="str">
        <f>IFERROR(__xludf.DUMMYFUNCTION("IFS(
  AND(REGEXMATCH(E5158, ""台銀籌備帳戶|玉山帳戶""), REGEXMATCH(C5158, ""薪資"")), ""分潤支出"",
  AND(REGEXMATCH(E5158, ""Ben帳戶|Elsa帳戶|Ben代墊|Ariel代墊|中信銀行共用""), REGEXMATCH(F5158, ""Ben帳戶|Elsa帳戶|Ben代墊|Ariel代墊|中信銀行共用"")), ""內部轉帳(忽略)"",
  AND(E5158&lt;&gt;"""", F5158&lt;&gt;"""", N"&amp;"OT(REGEXMATCH(C5158, ""薪資""))), ""內部轉帳(忽略)"",
  REGEXMATCH(C5158, ""薪資""), ""薪資變動(不計入)"",
  REGEXMATCH(C5158, ""押金""), ""押金往來"",
  AND(E5158&lt;&gt;"""", F5158=""""), ""真實支出"",
  AND(E5158="""", F5158&lt;&gt;""""), ""真實收入"",
  TRUE, ""其他""
)"),"其他")</f>
        <v>其他</v>
      </c>
      <c r="K5158" s="270" t="str">
        <f t="shared" si="2"/>
        <v/>
      </c>
      <c r="L5158">
        <f t="shared" si="3"/>
        <v>0</v>
      </c>
    </row>
    <row r="5159">
      <c r="A5159" s="107"/>
      <c r="D5159" s="270"/>
      <c r="H5159" s="106" t="str">
        <f t="shared" si="1"/>
        <v/>
      </c>
      <c r="I5159" s="271" t="str">
        <f>IFERROR(__xludf.DUMMYFUNCTION("""COMPUTED_VALUE"""),"")</f>
        <v/>
      </c>
      <c r="J5159" t="str">
        <f>IFERROR(__xludf.DUMMYFUNCTION("IFS(
  AND(REGEXMATCH(E5159, ""台銀籌備帳戶|玉山帳戶""), REGEXMATCH(C5159, ""薪資"")), ""分潤支出"",
  AND(REGEXMATCH(E5159, ""Ben帳戶|Elsa帳戶|Ben代墊|Ariel代墊|中信銀行共用""), REGEXMATCH(F5159, ""Ben帳戶|Elsa帳戶|Ben代墊|Ariel代墊|中信銀行共用"")), ""內部轉帳(忽略)"",
  AND(E5159&lt;&gt;"""", F5159&lt;&gt;"""", N"&amp;"OT(REGEXMATCH(C5159, ""薪資""))), ""內部轉帳(忽略)"",
  REGEXMATCH(C5159, ""薪資""), ""薪資變動(不計入)"",
  REGEXMATCH(C5159, ""押金""), ""押金往來"",
  AND(E5159&lt;&gt;"""", F5159=""""), ""真實支出"",
  AND(E5159="""", F5159&lt;&gt;""""), ""真實收入"",
  TRUE, ""其他""
)"),"其他")</f>
        <v>其他</v>
      </c>
      <c r="K5159" s="270" t="str">
        <f t="shared" si="2"/>
        <v/>
      </c>
      <c r="L5159">
        <f t="shared" si="3"/>
        <v>0</v>
      </c>
    </row>
    <row r="5160">
      <c r="A5160" s="107"/>
      <c r="D5160" s="270"/>
      <c r="H5160" s="106" t="str">
        <f t="shared" si="1"/>
        <v/>
      </c>
      <c r="I5160" s="271" t="str">
        <f>IFERROR(__xludf.DUMMYFUNCTION("""COMPUTED_VALUE"""),"")</f>
        <v/>
      </c>
      <c r="J5160" t="str">
        <f>IFERROR(__xludf.DUMMYFUNCTION("IFS(
  AND(REGEXMATCH(E5160, ""台銀籌備帳戶|玉山帳戶""), REGEXMATCH(C5160, ""薪資"")), ""分潤支出"",
  AND(REGEXMATCH(E5160, ""Ben帳戶|Elsa帳戶|Ben代墊|Ariel代墊|中信銀行共用""), REGEXMATCH(F5160, ""Ben帳戶|Elsa帳戶|Ben代墊|Ariel代墊|中信銀行共用"")), ""內部轉帳(忽略)"",
  AND(E5160&lt;&gt;"""", F5160&lt;&gt;"""", N"&amp;"OT(REGEXMATCH(C5160, ""薪資""))), ""內部轉帳(忽略)"",
  REGEXMATCH(C5160, ""薪資""), ""薪資變動(不計入)"",
  REGEXMATCH(C5160, ""押金""), ""押金往來"",
  AND(E5160&lt;&gt;"""", F5160=""""), ""真實支出"",
  AND(E5160="""", F5160&lt;&gt;""""), ""真實收入"",
  TRUE, ""其他""
)"),"其他")</f>
        <v>其他</v>
      </c>
      <c r="K5160" s="270" t="str">
        <f t="shared" si="2"/>
        <v/>
      </c>
      <c r="L5160">
        <f t="shared" si="3"/>
        <v>0</v>
      </c>
    </row>
    <row r="5161">
      <c r="A5161" s="107"/>
      <c r="D5161" s="270"/>
      <c r="H5161" s="106" t="str">
        <f t="shared" si="1"/>
        <v/>
      </c>
      <c r="I5161" s="271" t="str">
        <f>IFERROR(__xludf.DUMMYFUNCTION("""COMPUTED_VALUE"""),"")</f>
        <v/>
      </c>
      <c r="J5161" t="str">
        <f>IFERROR(__xludf.DUMMYFUNCTION("IFS(
  AND(REGEXMATCH(E5161, ""台銀籌備帳戶|玉山帳戶""), REGEXMATCH(C5161, ""薪資"")), ""分潤支出"",
  AND(REGEXMATCH(E5161, ""Ben帳戶|Elsa帳戶|Ben代墊|Ariel代墊|中信銀行共用""), REGEXMATCH(F5161, ""Ben帳戶|Elsa帳戶|Ben代墊|Ariel代墊|中信銀行共用"")), ""內部轉帳(忽略)"",
  AND(E5161&lt;&gt;"""", F5161&lt;&gt;"""", N"&amp;"OT(REGEXMATCH(C5161, ""薪資""))), ""內部轉帳(忽略)"",
  REGEXMATCH(C5161, ""薪資""), ""薪資變動(不計入)"",
  REGEXMATCH(C5161, ""押金""), ""押金往來"",
  AND(E5161&lt;&gt;"""", F5161=""""), ""真實支出"",
  AND(E5161="""", F5161&lt;&gt;""""), ""真實收入"",
  TRUE, ""其他""
)"),"其他")</f>
        <v>其他</v>
      </c>
      <c r="K5161" s="270" t="str">
        <f t="shared" si="2"/>
        <v/>
      </c>
      <c r="L5161">
        <f t="shared" si="3"/>
        <v>0</v>
      </c>
    </row>
    <row r="5162">
      <c r="A5162" s="107"/>
      <c r="D5162" s="270"/>
      <c r="H5162" s="106" t="str">
        <f t="shared" si="1"/>
        <v/>
      </c>
      <c r="I5162" s="271" t="str">
        <f>IFERROR(__xludf.DUMMYFUNCTION("""COMPUTED_VALUE"""),"")</f>
        <v/>
      </c>
      <c r="J5162" t="str">
        <f>IFERROR(__xludf.DUMMYFUNCTION("IFS(
  AND(REGEXMATCH(E5162, ""台銀籌備帳戶|玉山帳戶""), REGEXMATCH(C5162, ""薪資"")), ""分潤支出"",
  AND(REGEXMATCH(E5162, ""Ben帳戶|Elsa帳戶|Ben代墊|Ariel代墊|中信銀行共用""), REGEXMATCH(F5162, ""Ben帳戶|Elsa帳戶|Ben代墊|Ariel代墊|中信銀行共用"")), ""內部轉帳(忽略)"",
  AND(E5162&lt;&gt;"""", F5162&lt;&gt;"""", N"&amp;"OT(REGEXMATCH(C5162, ""薪資""))), ""內部轉帳(忽略)"",
  REGEXMATCH(C5162, ""薪資""), ""薪資變動(不計入)"",
  REGEXMATCH(C5162, ""押金""), ""押金往來"",
  AND(E5162&lt;&gt;"""", F5162=""""), ""真實支出"",
  AND(E5162="""", F5162&lt;&gt;""""), ""真實收入"",
  TRUE, ""其他""
)"),"其他")</f>
        <v>其他</v>
      </c>
      <c r="K5162" s="270" t="str">
        <f t="shared" si="2"/>
        <v/>
      </c>
      <c r="L5162">
        <f t="shared" si="3"/>
        <v>0</v>
      </c>
    </row>
    <row r="5163">
      <c r="A5163" s="107"/>
      <c r="D5163" s="270"/>
      <c r="H5163" s="106" t="str">
        <f t="shared" si="1"/>
        <v/>
      </c>
      <c r="I5163" s="271" t="str">
        <f>IFERROR(__xludf.DUMMYFUNCTION("""COMPUTED_VALUE"""),"")</f>
        <v/>
      </c>
      <c r="J5163" t="str">
        <f>IFERROR(__xludf.DUMMYFUNCTION("IFS(
  AND(REGEXMATCH(E5163, ""台銀籌備帳戶|玉山帳戶""), REGEXMATCH(C5163, ""薪資"")), ""分潤支出"",
  AND(REGEXMATCH(E5163, ""Ben帳戶|Elsa帳戶|Ben代墊|Ariel代墊|中信銀行共用""), REGEXMATCH(F5163, ""Ben帳戶|Elsa帳戶|Ben代墊|Ariel代墊|中信銀行共用"")), ""內部轉帳(忽略)"",
  AND(E5163&lt;&gt;"""", F5163&lt;&gt;"""", N"&amp;"OT(REGEXMATCH(C5163, ""薪資""))), ""內部轉帳(忽略)"",
  REGEXMATCH(C5163, ""薪資""), ""薪資變動(不計入)"",
  REGEXMATCH(C5163, ""押金""), ""押金往來"",
  AND(E5163&lt;&gt;"""", F5163=""""), ""真實支出"",
  AND(E5163="""", F5163&lt;&gt;""""), ""真實收入"",
  TRUE, ""其他""
)"),"其他")</f>
        <v>其他</v>
      </c>
      <c r="K5163" s="270" t="str">
        <f t="shared" si="2"/>
        <v/>
      </c>
      <c r="L5163">
        <f t="shared" si="3"/>
        <v>0</v>
      </c>
    </row>
    <row r="5164">
      <c r="A5164" s="107"/>
      <c r="D5164" s="270"/>
      <c r="H5164" s="106" t="str">
        <f t="shared" si="1"/>
        <v/>
      </c>
      <c r="I5164" s="271" t="str">
        <f>IFERROR(__xludf.DUMMYFUNCTION("""COMPUTED_VALUE"""),"")</f>
        <v/>
      </c>
      <c r="J5164" t="str">
        <f>IFERROR(__xludf.DUMMYFUNCTION("IFS(
  AND(REGEXMATCH(E5164, ""台銀籌備帳戶|玉山帳戶""), REGEXMATCH(C5164, ""薪資"")), ""分潤支出"",
  AND(REGEXMATCH(E5164, ""Ben帳戶|Elsa帳戶|Ben代墊|Ariel代墊|中信銀行共用""), REGEXMATCH(F5164, ""Ben帳戶|Elsa帳戶|Ben代墊|Ariel代墊|中信銀行共用"")), ""內部轉帳(忽略)"",
  AND(E5164&lt;&gt;"""", F5164&lt;&gt;"""", N"&amp;"OT(REGEXMATCH(C5164, ""薪資""))), ""內部轉帳(忽略)"",
  REGEXMATCH(C5164, ""薪資""), ""薪資變動(不計入)"",
  REGEXMATCH(C5164, ""押金""), ""押金往來"",
  AND(E5164&lt;&gt;"""", F5164=""""), ""真實支出"",
  AND(E5164="""", F5164&lt;&gt;""""), ""真實收入"",
  TRUE, ""其他""
)"),"其他")</f>
        <v>其他</v>
      </c>
      <c r="K5164" s="270" t="str">
        <f t="shared" si="2"/>
        <v/>
      </c>
      <c r="L5164">
        <f t="shared" si="3"/>
        <v>0</v>
      </c>
    </row>
    <row r="5165">
      <c r="A5165" s="107"/>
      <c r="D5165" s="270"/>
      <c r="H5165" s="106" t="str">
        <f t="shared" si="1"/>
        <v/>
      </c>
      <c r="I5165" s="271" t="str">
        <f>IFERROR(__xludf.DUMMYFUNCTION("""COMPUTED_VALUE"""),"")</f>
        <v/>
      </c>
      <c r="J5165" t="str">
        <f>IFERROR(__xludf.DUMMYFUNCTION("IFS(
  AND(REGEXMATCH(E5165, ""台銀籌備帳戶|玉山帳戶""), REGEXMATCH(C5165, ""薪資"")), ""分潤支出"",
  AND(REGEXMATCH(E5165, ""Ben帳戶|Elsa帳戶|Ben代墊|Ariel代墊|中信銀行共用""), REGEXMATCH(F5165, ""Ben帳戶|Elsa帳戶|Ben代墊|Ariel代墊|中信銀行共用"")), ""內部轉帳(忽略)"",
  AND(E5165&lt;&gt;"""", F5165&lt;&gt;"""", N"&amp;"OT(REGEXMATCH(C5165, ""薪資""))), ""內部轉帳(忽略)"",
  REGEXMATCH(C5165, ""薪資""), ""薪資變動(不計入)"",
  REGEXMATCH(C5165, ""押金""), ""押金往來"",
  AND(E5165&lt;&gt;"""", F5165=""""), ""真實支出"",
  AND(E5165="""", F5165&lt;&gt;""""), ""真實收入"",
  TRUE, ""其他""
)"),"其他")</f>
        <v>其他</v>
      </c>
      <c r="K5165" s="270" t="str">
        <f t="shared" si="2"/>
        <v/>
      </c>
      <c r="L5165">
        <f t="shared" si="3"/>
        <v>0</v>
      </c>
    </row>
    <row r="5166">
      <c r="A5166" s="107"/>
      <c r="D5166" s="270"/>
      <c r="H5166" s="106" t="str">
        <f t="shared" si="1"/>
        <v/>
      </c>
      <c r="I5166" s="271" t="str">
        <f>IFERROR(__xludf.DUMMYFUNCTION("""COMPUTED_VALUE"""),"")</f>
        <v/>
      </c>
      <c r="J5166" t="str">
        <f>IFERROR(__xludf.DUMMYFUNCTION("IFS(
  AND(REGEXMATCH(E5166, ""台銀籌備帳戶|玉山帳戶""), REGEXMATCH(C5166, ""薪資"")), ""分潤支出"",
  AND(REGEXMATCH(E5166, ""Ben帳戶|Elsa帳戶|Ben代墊|Ariel代墊|中信銀行共用""), REGEXMATCH(F5166, ""Ben帳戶|Elsa帳戶|Ben代墊|Ariel代墊|中信銀行共用"")), ""內部轉帳(忽略)"",
  AND(E5166&lt;&gt;"""", F5166&lt;&gt;"""", N"&amp;"OT(REGEXMATCH(C5166, ""薪資""))), ""內部轉帳(忽略)"",
  REGEXMATCH(C5166, ""薪資""), ""薪資變動(不計入)"",
  REGEXMATCH(C5166, ""押金""), ""押金往來"",
  AND(E5166&lt;&gt;"""", F5166=""""), ""真實支出"",
  AND(E5166="""", F5166&lt;&gt;""""), ""真實收入"",
  TRUE, ""其他""
)"),"其他")</f>
        <v>其他</v>
      </c>
      <c r="K5166" s="270" t="str">
        <f t="shared" si="2"/>
        <v/>
      </c>
      <c r="L5166">
        <f t="shared" si="3"/>
        <v>0</v>
      </c>
    </row>
    <row r="5167">
      <c r="A5167" s="107"/>
      <c r="D5167" s="270"/>
      <c r="H5167" s="106" t="str">
        <f t="shared" si="1"/>
        <v/>
      </c>
      <c r="I5167" s="271" t="str">
        <f>IFERROR(__xludf.DUMMYFUNCTION("""COMPUTED_VALUE"""),"")</f>
        <v/>
      </c>
      <c r="J5167" t="str">
        <f>IFERROR(__xludf.DUMMYFUNCTION("IFS(
  AND(REGEXMATCH(E5167, ""台銀籌備帳戶|玉山帳戶""), REGEXMATCH(C5167, ""薪資"")), ""分潤支出"",
  AND(REGEXMATCH(E5167, ""Ben帳戶|Elsa帳戶|Ben代墊|Ariel代墊|中信銀行共用""), REGEXMATCH(F5167, ""Ben帳戶|Elsa帳戶|Ben代墊|Ariel代墊|中信銀行共用"")), ""內部轉帳(忽略)"",
  AND(E5167&lt;&gt;"""", F5167&lt;&gt;"""", N"&amp;"OT(REGEXMATCH(C5167, ""薪資""))), ""內部轉帳(忽略)"",
  REGEXMATCH(C5167, ""薪資""), ""薪資變動(不計入)"",
  REGEXMATCH(C5167, ""押金""), ""押金往來"",
  AND(E5167&lt;&gt;"""", F5167=""""), ""真實支出"",
  AND(E5167="""", F5167&lt;&gt;""""), ""真實收入"",
  TRUE, ""其他""
)"),"其他")</f>
        <v>其他</v>
      </c>
      <c r="K5167" s="270" t="str">
        <f t="shared" si="2"/>
        <v/>
      </c>
      <c r="L5167">
        <f t="shared" si="3"/>
        <v>0</v>
      </c>
    </row>
    <row r="5168">
      <c r="A5168" s="107"/>
      <c r="D5168" s="270"/>
      <c r="H5168" s="106" t="str">
        <f t="shared" si="1"/>
        <v/>
      </c>
      <c r="I5168" s="271" t="str">
        <f>IFERROR(__xludf.DUMMYFUNCTION("""COMPUTED_VALUE"""),"")</f>
        <v/>
      </c>
      <c r="J5168" t="str">
        <f>IFERROR(__xludf.DUMMYFUNCTION("IFS(
  AND(REGEXMATCH(E5168, ""台銀籌備帳戶|玉山帳戶""), REGEXMATCH(C5168, ""薪資"")), ""分潤支出"",
  AND(REGEXMATCH(E5168, ""Ben帳戶|Elsa帳戶|Ben代墊|Ariel代墊|中信銀行共用""), REGEXMATCH(F5168, ""Ben帳戶|Elsa帳戶|Ben代墊|Ariel代墊|中信銀行共用"")), ""內部轉帳(忽略)"",
  AND(E5168&lt;&gt;"""", F5168&lt;&gt;"""", N"&amp;"OT(REGEXMATCH(C5168, ""薪資""))), ""內部轉帳(忽略)"",
  REGEXMATCH(C5168, ""薪資""), ""薪資變動(不計入)"",
  REGEXMATCH(C5168, ""押金""), ""押金往來"",
  AND(E5168&lt;&gt;"""", F5168=""""), ""真實支出"",
  AND(E5168="""", F5168&lt;&gt;""""), ""真實收入"",
  TRUE, ""其他""
)"),"其他")</f>
        <v>其他</v>
      </c>
      <c r="K5168" s="270" t="str">
        <f t="shared" si="2"/>
        <v/>
      </c>
      <c r="L5168">
        <f t="shared" si="3"/>
        <v>0</v>
      </c>
    </row>
    <row r="5169">
      <c r="A5169" s="107"/>
      <c r="D5169" s="270"/>
      <c r="H5169" s="106" t="str">
        <f t="shared" si="1"/>
        <v/>
      </c>
      <c r="I5169" s="271" t="str">
        <f>IFERROR(__xludf.DUMMYFUNCTION("""COMPUTED_VALUE"""),"")</f>
        <v/>
      </c>
      <c r="J5169" t="str">
        <f>IFERROR(__xludf.DUMMYFUNCTION("IFS(
  AND(REGEXMATCH(E5169, ""台銀籌備帳戶|玉山帳戶""), REGEXMATCH(C5169, ""薪資"")), ""分潤支出"",
  AND(REGEXMATCH(E5169, ""Ben帳戶|Elsa帳戶|Ben代墊|Ariel代墊|中信銀行共用""), REGEXMATCH(F5169, ""Ben帳戶|Elsa帳戶|Ben代墊|Ariel代墊|中信銀行共用"")), ""內部轉帳(忽略)"",
  AND(E5169&lt;&gt;"""", F5169&lt;&gt;"""", N"&amp;"OT(REGEXMATCH(C5169, ""薪資""))), ""內部轉帳(忽略)"",
  REGEXMATCH(C5169, ""薪資""), ""薪資變動(不計入)"",
  REGEXMATCH(C5169, ""押金""), ""押金往來"",
  AND(E5169&lt;&gt;"""", F5169=""""), ""真實支出"",
  AND(E5169="""", F5169&lt;&gt;""""), ""真實收入"",
  TRUE, ""其他""
)"),"其他")</f>
        <v>其他</v>
      </c>
      <c r="K5169" s="270" t="str">
        <f t="shared" si="2"/>
        <v/>
      </c>
      <c r="L5169">
        <f t="shared" si="3"/>
        <v>0</v>
      </c>
    </row>
    <row r="5170">
      <c r="A5170" s="107"/>
      <c r="D5170" s="270"/>
      <c r="H5170" s="106" t="str">
        <f t="shared" si="1"/>
        <v/>
      </c>
      <c r="I5170" s="271" t="str">
        <f>IFERROR(__xludf.DUMMYFUNCTION("""COMPUTED_VALUE"""),"")</f>
        <v/>
      </c>
      <c r="J5170" t="str">
        <f>IFERROR(__xludf.DUMMYFUNCTION("IFS(
  AND(REGEXMATCH(E5170, ""台銀籌備帳戶|玉山帳戶""), REGEXMATCH(C5170, ""薪資"")), ""分潤支出"",
  AND(REGEXMATCH(E5170, ""Ben帳戶|Elsa帳戶|Ben代墊|Ariel代墊|中信銀行共用""), REGEXMATCH(F5170, ""Ben帳戶|Elsa帳戶|Ben代墊|Ariel代墊|中信銀行共用"")), ""內部轉帳(忽略)"",
  AND(E5170&lt;&gt;"""", F5170&lt;&gt;"""", N"&amp;"OT(REGEXMATCH(C5170, ""薪資""))), ""內部轉帳(忽略)"",
  REGEXMATCH(C5170, ""薪資""), ""薪資變動(不計入)"",
  REGEXMATCH(C5170, ""押金""), ""押金往來"",
  AND(E5170&lt;&gt;"""", F5170=""""), ""真實支出"",
  AND(E5170="""", F5170&lt;&gt;""""), ""真實收入"",
  TRUE, ""其他""
)"),"其他")</f>
        <v>其他</v>
      </c>
      <c r="K5170" s="270" t="str">
        <f t="shared" si="2"/>
        <v/>
      </c>
      <c r="L5170">
        <f t="shared" si="3"/>
        <v>0</v>
      </c>
    </row>
    <row r="5171">
      <c r="A5171" s="107"/>
      <c r="D5171" s="270"/>
      <c r="H5171" s="106" t="str">
        <f t="shared" si="1"/>
        <v/>
      </c>
      <c r="I5171" s="271" t="str">
        <f>IFERROR(__xludf.DUMMYFUNCTION("""COMPUTED_VALUE"""),"")</f>
        <v/>
      </c>
      <c r="J5171" t="str">
        <f>IFERROR(__xludf.DUMMYFUNCTION("IFS(
  AND(REGEXMATCH(E5171, ""台銀籌備帳戶|玉山帳戶""), REGEXMATCH(C5171, ""薪資"")), ""分潤支出"",
  AND(REGEXMATCH(E5171, ""Ben帳戶|Elsa帳戶|Ben代墊|Ariel代墊|中信銀行共用""), REGEXMATCH(F5171, ""Ben帳戶|Elsa帳戶|Ben代墊|Ariel代墊|中信銀行共用"")), ""內部轉帳(忽略)"",
  AND(E5171&lt;&gt;"""", F5171&lt;&gt;"""", N"&amp;"OT(REGEXMATCH(C5171, ""薪資""))), ""內部轉帳(忽略)"",
  REGEXMATCH(C5171, ""薪資""), ""薪資變動(不計入)"",
  REGEXMATCH(C5171, ""押金""), ""押金往來"",
  AND(E5171&lt;&gt;"""", F5171=""""), ""真實支出"",
  AND(E5171="""", F5171&lt;&gt;""""), ""真實收入"",
  TRUE, ""其他""
)"),"其他")</f>
        <v>其他</v>
      </c>
      <c r="K5171" s="270" t="str">
        <f t="shared" si="2"/>
        <v/>
      </c>
      <c r="L5171">
        <f t="shared" si="3"/>
        <v>0</v>
      </c>
    </row>
    <row r="5172">
      <c r="A5172" s="107"/>
      <c r="D5172" s="270"/>
      <c r="H5172" s="106" t="str">
        <f t="shared" si="1"/>
        <v/>
      </c>
      <c r="I5172" s="271" t="str">
        <f>IFERROR(__xludf.DUMMYFUNCTION("""COMPUTED_VALUE"""),"")</f>
        <v/>
      </c>
      <c r="J5172" t="str">
        <f>IFERROR(__xludf.DUMMYFUNCTION("IFS(
  AND(REGEXMATCH(E5172, ""台銀籌備帳戶|玉山帳戶""), REGEXMATCH(C5172, ""薪資"")), ""分潤支出"",
  AND(REGEXMATCH(E5172, ""Ben帳戶|Elsa帳戶|Ben代墊|Ariel代墊|中信銀行共用""), REGEXMATCH(F5172, ""Ben帳戶|Elsa帳戶|Ben代墊|Ariel代墊|中信銀行共用"")), ""內部轉帳(忽略)"",
  AND(E5172&lt;&gt;"""", F5172&lt;&gt;"""", N"&amp;"OT(REGEXMATCH(C5172, ""薪資""))), ""內部轉帳(忽略)"",
  REGEXMATCH(C5172, ""薪資""), ""薪資變動(不計入)"",
  REGEXMATCH(C5172, ""押金""), ""押金往來"",
  AND(E5172&lt;&gt;"""", F5172=""""), ""真實支出"",
  AND(E5172="""", F5172&lt;&gt;""""), ""真實收入"",
  TRUE, ""其他""
)"),"其他")</f>
        <v>其他</v>
      </c>
      <c r="K5172" s="270" t="str">
        <f t="shared" si="2"/>
        <v/>
      </c>
      <c r="L5172">
        <f t="shared" si="3"/>
        <v>0</v>
      </c>
    </row>
    <row r="5173">
      <c r="A5173" s="107"/>
      <c r="D5173" s="270"/>
      <c r="H5173" s="106" t="str">
        <f t="shared" si="1"/>
        <v/>
      </c>
      <c r="I5173" s="271" t="str">
        <f>IFERROR(__xludf.DUMMYFUNCTION("""COMPUTED_VALUE"""),"")</f>
        <v/>
      </c>
      <c r="J5173" t="str">
        <f>IFERROR(__xludf.DUMMYFUNCTION("IFS(
  AND(REGEXMATCH(E5173, ""台銀籌備帳戶|玉山帳戶""), REGEXMATCH(C5173, ""薪資"")), ""分潤支出"",
  AND(REGEXMATCH(E5173, ""Ben帳戶|Elsa帳戶|Ben代墊|Ariel代墊|中信銀行共用""), REGEXMATCH(F5173, ""Ben帳戶|Elsa帳戶|Ben代墊|Ariel代墊|中信銀行共用"")), ""內部轉帳(忽略)"",
  AND(E5173&lt;&gt;"""", F5173&lt;&gt;"""", N"&amp;"OT(REGEXMATCH(C5173, ""薪資""))), ""內部轉帳(忽略)"",
  REGEXMATCH(C5173, ""薪資""), ""薪資變動(不計入)"",
  REGEXMATCH(C5173, ""押金""), ""押金往來"",
  AND(E5173&lt;&gt;"""", F5173=""""), ""真實支出"",
  AND(E5173="""", F5173&lt;&gt;""""), ""真實收入"",
  TRUE, ""其他""
)"),"其他")</f>
        <v>其他</v>
      </c>
      <c r="K5173" s="270" t="str">
        <f t="shared" si="2"/>
        <v/>
      </c>
      <c r="L5173">
        <f t="shared" si="3"/>
        <v>0</v>
      </c>
    </row>
    <row r="5174">
      <c r="A5174" s="107"/>
      <c r="D5174" s="270"/>
      <c r="H5174" s="106" t="str">
        <f t="shared" si="1"/>
        <v/>
      </c>
      <c r="I5174" s="271" t="str">
        <f>IFERROR(__xludf.DUMMYFUNCTION("""COMPUTED_VALUE"""),"")</f>
        <v/>
      </c>
      <c r="J5174" t="str">
        <f>IFERROR(__xludf.DUMMYFUNCTION("IFS(
  AND(REGEXMATCH(E5174, ""台銀籌備帳戶|玉山帳戶""), REGEXMATCH(C5174, ""薪資"")), ""分潤支出"",
  AND(REGEXMATCH(E5174, ""Ben帳戶|Elsa帳戶|Ben代墊|Ariel代墊|中信銀行共用""), REGEXMATCH(F5174, ""Ben帳戶|Elsa帳戶|Ben代墊|Ariel代墊|中信銀行共用"")), ""內部轉帳(忽略)"",
  AND(E5174&lt;&gt;"""", F5174&lt;&gt;"""", N"&amp;"OT(REGEXMATCH(C5174, ""薪資""))), ""內部轉帳(忽略)"",
  REGEXMATCH(C5174, ""薪資""), ""薪資變動(不計入)"",
  REGEXMATCH(C5174, ""押金""), ""押金往來"",
  AND(E5174&lt;&gt;"""", F5174=""""), ""真實支出"",
  AND(E5174="""", F5174&lt;&gt;""""), ""真實收入"",
  TRUE, ""其他""
)"),"其他")</f>
        <v>其他</v>
      </c>
      <c r="K5174" s="270" t="str">
        <f t="shared" si="2"/>
        <v/>
      </c>
      <c r="L5174">
        <f t="shared" si="3"/>
        <v>0</v>
      </c>
    </row>
    <row r="5175">
      <c r="A5175" s="107"/>
      <c r="D5175" s="270"/>
      <c r="H5175" s="106" t="str">
        <f t="shared" si="1"/>
        <v/>
      </c>
      <c r="I5175" s="271" t="str">
        <f>IFERROR(__xludf.DUMMYFUNCTION("""COMPUTED_VALUE"""),"")</f>
        <v/>
      </c>
      <c r="J5175" t="str">
        <f>IFERROR(__xludf.DUMMYFUNCTION("IFS(
  AND(REGEXMATCH(E5175, ""台銀籌備帳戶|玉山帳戶""), REGEXMATCH(C5175, ""薪資"")), ""分潤支出"",
  AND(REGEXMATCH(E5175, ""Ben帳戶|Elsa帳戶|Ben代墊|Ariel代墊|中信銀行共用""), REGEXMATCH(F5175, ""Ben帳戶|Elsa帳戶|Ben代墊|Ariel代墊|中信銀行共用"")), ""內部轉帳(忽略)"",
  AND(E5175&lt;&gt;"""", F5175&lt;&gt;"""", N"&amp;"OT(REGEXMATCH(C5175, ""薪資""))), ""內部轉帳(忽略)"",
  REGEXMATCH(C5175, ""薪資""), ""薪資變動(不計入)"",
  REGEXMATCH(C5175, ""押金""), ""押金往來"",
  AND(E5175&lt;&gt;"""", F5175=""""), ""真實支出"",
  AND(E5175="""", F5175&lt;&gt;""""), ""真實收入"",
  TRUE, ""其他""
)"),"其他")</f>
        <v>其他</v>
      </c>
      <c r="K5175" s="270" t="str">
        <f t="shared" si="2"/>
        <v/>
      </c>
      <c r="L5175">
        <f t="shared" si="3"/>
        <v>0</v>
      </c>
    </row>
    <row r="5176">
      <c r="A5176" s="107"/>
      <c r="D5176" s="270"/>
      <c r="H5176" s="106" t="str">
        <f t="shared" si="1"/>
        <v/>
      </c>
      <c r="I5176" s="271" t="str">
        <f>IFERROR(__xludf.DUMMYFUNCTION("""COMPUTED_VALUE"""),"")</f>
        <v/>
      </c>
      <c r="J5176" t="str">
        <f>IFERROR(__xludf.DUMMYFUNCTION("IFS(
  AND(REGEXMATCH(E5176, ""台銀籌備帳戶|玉山帳戶""), REGEXMATCH(C5176, ""薪資"")), ""分潤支出"",
  AND(REGEXMATCH(E5176, ""Ben帳戶|Elsa帳戶|Ben代墊|Ariel代墊|中信銀行共用""), REGEXMATCH(F5176, ""Ben帳戶|Elsa帳戶|Ben代墊|Ariel代墊|中信銀行共用"")), ""內部轉帳(忽略)"",
  AND(E5176&lt;&gt;"""", F5176&lt;&gt;"""", N"&amp;"OT(REGEXMATCH(C5176, ""薪資""))), ""內部轉帳(忽略)"",
  REGEXMATCH(C5176, ""薪資""), ""薪資變動(不計入)"",
  REGEXMATCH(C5176, ""押金""), ""押金往來"",
  AND(E5176&lt;&gt;"""", F5176=""""), ""真實支出"",
  AND(E5176="""", F5176&lt;&gt;""""), ""真實收入"",
  TRUE, ""其他""
)"),"其他")</f>
        <v>其他</v>
      </c>
      <c r="K5176" s="270" t="str">
        <f t="shared" si="2"/>
        <v/>
      </c>
      <c r="L5176">
        <f t="shared" si="3"/>
        <v>0</v>
      </c>
    </row>
    <row r="5177">
      <c r="A5177" s="107"/>
      <c r="D5177" s="270"/>
      <c r="H5177" s="106" t="str">
        <f t="shared" si="1"/>
        <v/>
      </c>
      <c r="I5177" s="271" t="str">
        <f>IFERROR(__xludf.DUMMYFUNCTION("""COMPUTED_VALUE"""),"")</f>
        <v/>
      </c>
      <c r="J5177" t="str">
        <f>IFERROR(__xludf.DUMMYFUNCTION("IFS(
  AND(REGEXMATCH(E5177, ""台銀籌備帳戶|玉山帳戶""), REGEXMATCH(C5177, ""薪資"")), ""分潤支出"",
  AND(REGEXMATCH(E5177, ""Ben帳戶|Elsa帳戶|Ben代墊|Ariel代墊|中信銀行共用""), REGEXMATCH(F5177, ""Ben帳戶|Elsa帳戶|Ben代墊|Ariel代墊|中信銀行共用"")), ""內部轉帳(忽略)"",
  AND(E5177&lt;&gt;"""", F5177&lt;&gt;"""", N"&amp;"OT(REGEXMATCH(C5177, ""薪資""))), ""內部轉帳(忽略)"",
  REGEXMATCH(C5177, ""薪資""), ""薪資變動(不計入)"",
  REGEXMATCH(C5177, ""押金""), ""押金往來"",
  AND(E5177&lt;&gt;"""", F5177=""""), ""真實支出"",
  AND(E5177="""", F5177&lt;&gt;""""), ""真實收入"",
  TRUE, ""其他""
)"),"其他")</f>
        <v>其他</v>
      </c>
      <c r="K5177" s="270" t="str">
        <f t="shared" si="2"/>
        <v/>
      </c>
      <c r="L5177">
        <f t="shared" si="3"/>
        <v>0</v>
      </c>
    </row>
    <row r="5178">
      <c r="A5178" s="107"/>
      <c r="D5178" s="270"/>
      <c r="H5178" s="106" t="str">
        <f t="shared" si="1"/>
        <v/>
      </c>
      <c r="I5178" s="271" t="str">
        <f>IFERROR(__xludf.DUMMYFUNCTION("""COMPUTED_VALUE"""),"")</f>
        <v/>
      </c>
      <c r="J5178" t="str">
        <f>IFERROR(__xludf.DUMMYFUNCTION("IFS(
  AND(REGEXMATCH(E5178, ""台銀籌備帳戶|玉山帳戶""), REGEXMATCH(C5178, ""薪資"")), ""分潤支出"",
  AND(REGEXMATCH(E5178, ""Ben帳戶|Elsa帳戶|Ben代墊|Ariel代墊|中信銀行共用""), REGEXMATCH(F5178, ""Ben帳戶|Elsa帳戶|Ben代墊|Ariel代墊|中信銀行共用"")), ""內部轉帳(忽略)"",
  AND(E5178&lt;&gt;"""", F5178&lt;&gt;"""", N"&amp;"OT(REGEXMATCH(C5178, ""薪資""))), ""內部轉帳(忽略)"",
  REGEXMATCH(C5178, ""薪資""), ""薪資變動(不計入)"",
  REGEXMATCH(C5178, ""押金""), ""押金往來"",
  AND(E5178&lt;&gt;"""", F5178=""""), ""真實支出"",
  AND(E5178="""", F5178&lt;&gt;""""), ""真實收入"",
  TRUE, ""其他""
)"),"其他")</f>
        <v>其他</v>
      </c>
      <c r="K5178" s="270" t="str">
        <f t="shared" si="2"/>
        <v/>
      </c>
      <c r="L5178">
        <f t="shared" si="3"/>
        <v>0</v>
      </c>
    </row>
    <row r="5179">
      <c r="A5179" s="107"/>
      <c r="D5179" s="270"/>
      <c r="H5179" s="106" t="str">
        <f t="shared" si="1"/>
        <v/>
      </c>
      <c r="I5179" s="271" t="str">
        <f>IFERROR(__xludf.DUMMYFUNCTION("""COMPUTED_VALUE"""),"")</f>
        <v/>
      </c>
      <c r="J5179" t="str">
        <f>IFERROR(__xludf.DUMMYFUNCTION("IFS(
  AND(REGEXMATCH(E5179, ""台銀籌備帳戶|玉山帳戶""), REGEXMATCH(C5179, ""薪資"")), ""分潤支出"",
  AND(REGEXMATCH(E5179, ""Ben帳戶|Elsa帳戶|Ben代墊|Ariel代墊|中信銀行共用""), REGEXMATCH(F5179, ""Ben帳戶|Elsa帳戶|Ben代墊|Ariel代墊|中信銀行共用"")), ""內部轉帳(忽略)"",
  AND(E5179&lt;&gt;"""", F5179&lt;&gt;"""", N"&amp;"OT(REGEXMATCH(C5179, ""薪資""))), ""內部轉帳(忽略)"",
  REGEXMATCH(C5179, ""薪資""), ""薪資變動(不計入)"",
  REGEXMATCH(C5179, ""押金""), ""押金往來"",
  AND(E5179&lt;&gt;"""", F5179=""""), ""真實支出"",
  AND(E5179="""", F5179&lt;&gt;""""), ""真實收入"",
  TRUE, ""其他""
)"),"其他")</f>
        <v>其他</v>
      </c>
      <c r="K5179" s="270" t="str">
        <f t="shared" si="2"/>
        <v/>
      </c>
      <c r="L5179">
        <f t="shared" si="3"/>
        <v>0</v>
      </c>
    </row>
    <row r="5180">
      <c r="A5180" s="107"/>
      <c r="D5180" s="270"/>
      <c r="H5180" s="106" t="str">
        <f t="shared" si="1"/>
        <v/>
      </c>
      <c r="I5180" s="271" t="str">
        <f>IFERROR(__xludf.DUMMYFUNCTION("""COMPUTED_VALUE"""),"")</f>
        <v/>
      </c>
      <c r="J5180" t="str">
        <f>IFERROR(__xludf.DUMMYFUNCTION("IFS(
  AND(REGEXMATCH(E5180, ""台銀籌備帳戶|玉山帳戶""), REGEXMATCH(C5180, ""薪資"")), ""分潤支出"",
  AND(REGEXMATCH(E5180, ""Ben帳戶|Elsa帳戶|Ben代墊|Ariel代墊|中信銀行共用""), REGEXMATCH(F5180, ""Ben帳戶|Elsa帳戶|Ben代墊|Ariel代墊|中信銀行共用"")), ""內部轉帳(忽略)"",
  AND(E5180&lt;&gt;"""", F5180&lt;&gt;"""", N"&amp;"OT(REGEXMATCH(C5180, ""薪資""))), ""內部轉帳(忽略)"",
  REGEXMATCH(C5180, ""薪資""), ""薪資變動(不計入)"",
  REGEXMATCH(C5180, ""押金""), ""押金往來"",
  AND(E5180&lt;&gt;"""", F5180=""""), ""真實支出"",
  AND(E5180="""", F5180&lt;&gt;""""), ""真實收入"",
  TRUE, ""其他""
)"),"其他")</f>
        <v>其他</v>
      </c>
      <c r="K5180" s="270" t="str">
        <f t="shared" si="2"/>
        <v/>
      </c>
      <c r="L5180">
        <f t="shared" si="3"/>
        <v>0</v>
      </c>
    </row>
    <row r="5181">
      <c r="A5181" s="107"/>
      <c r="D5181" s="270"/>
      <c r="H5181" s="106" t="str">
        <f t="shared" si="1"/>
        <v/>
      </c>
      <c r="I5181" s="271" t="str">
        <f>IFERROR(__xludf.DUMMYFUNCTION("""COMPUTED_VALUE"""),"")</f>
        <v/>
      </c>
      <c r="J5181" t="str">
        <f>IFERROR(__xludf.DUMMYFUNCTION("IFS(
  AND(REGEXMATCH(E5181, ""台銀籌備帳戶|玉山帳戶""), REGEXMATCH(C5181, ""薪資"")), ""分潤支出"",
  AND(REGEXMATCH(E5181, ""Ben帳戶|Elsa帳戶|Ben代墊|Ariel代墊|中信銀行共用""), REGEXMATCH(F5181, ""Ben帳戶|Elsa帳戶|Ben代墊|Ariel代墊|中信銀行共用"")), ""內部轉帳(忽略)"",
  AND(E5181&lt;&gt;"""", F5181&lt;&gt;"""", N"&amp;"OT(REGEXMATCH(C5181, ""薪資""))), ""內部轉帳(忽略)"",
  REGEXMATCH(C5181, ""薪資""), ""薪資變動(不計入)"",
  REGEXMATCH(C5181, ""押金""), ""押金往來"",
  AND(E5181&lt;&gt;"""", F5181=""""), ""真實支出"",
  AND(E5181="""", F5181&lt;&gt;""""), ""真實收入"",
  TRUE, ""其他""
)"),"其他")</f>
        <v>其他</v>
      </c>
      <c r="K5181" s="270" t="str">
        <f t="shared" si="2"/>
        <v/>
      </c>
      <c r="L5181">
        <f t="shared" si="3"/>
        <v>0</v>
      </c>
    </row>
    <row r="5182">
      <c r="A5182" s="107"/>
      <c r="D5182" s="270"/>
      <c r="H5182" s="106" t="str">
        <f t="shared" si="1"/>
        <v/>
      </c>
      <c r="I5182" s="271" t="str">
        <f>IFERROR(__xludf.DUMMYFUNCTION("""COMPUTED_VALUE"""),"")</f>
        <v/>
      </c>
      <c r="J5182" t="str">
        <f>IFERROR(__xludf.DUMMYFUNCTION("IFS(
  AND(REGEXMATCH(E5182, ""台銀籌備帳戶|玉山帳戶""), REGEXMATCH(C5182, ""薪資"")), ""分潤支出"",
  AND(REGEXMATCH(E5182, ""Ben帳戶|Elsa帳戶|Ben代墊|Ariel代墊|中信銀行共用""), REGEXMATCH(F5182, ""Ben帳戶|Elsa帳戶|Ben代墊|Ariel代墊|中信銀行共用"")), ""內部轉帳(忽略)"",
  AND(E5182&lt;&gt;"""", F5182&lt;&gt;"""", N"&amp;"OT(REGEXMATCH(C5182, ""薪資""))), ""內部轉帳(忽略)"",
  REGEXMATCH(C5182, ""薪資""), ""薪資變動(不計入)"",
  REGEXMATCH(C5182, ""押金""), ""押金往來"",
  AND(E5182&lt;&gt;"""", F5182=""""), ""真實支出"",
  AND(E5182="""", F5182&lt;&gt;""""), ""真實收入"",
  TRUE, ""其他""
)"),"其他")</f>
        <v>其他</v>
      </c>
      <c r="K5182" s="270" t="str">
        <f t="shared" si="2"/>
        <v/>
      </c>
      <c r="L5182">
        <f t="shared" si="3"/>
        <v>0</v>
      </c>
    </row>
    <row r="5183">
      <c r="A5183" s="107"/>
      <c r="D5183" s="270"/>
      <c r="H5183" s="106" t="str">
        <f t="shared" si="1"/>
        <v/>
      </c>
      <c r="I5183" s="271" t="str">
        <f>IFERROR(__xludf.DUMMYFUNCTION("""COMPUTED_VALUE"""),"")</f>
        <v/>
      </c>
      <c r="J5183" t="str">
        <f>IFERROR(__xludf.DUMMYFUNCTION("IFS(
  AND(REGEXMATCH(E5183, ""台銀籌備帳戶|玉山帳戶""), REGEXMATCH(C5183, ""薪資"")), ""分潤支出"",
  AND(REGEXMATCH(E5183, ""Ben帳戶|Elsa帳戶|Ben代墊|Ariel代墊|中信銀行共用""), REGEXMATCH(F5183, ""Ben帳戶|Elsa帳戶|Ben代墊|Ariel代墊|中信銀行共用"")), ""內部轉帳(忽略)"",
  AND(E5183&lt;&gt;"""", F5183&lt;&gt;"""", N"&amp;"OT(REGEXMATCH(C5183, ""薪資""))), ""內部轉帳(忽略)"",
  REGEXMATCH(C5183, ""薪資""), ""薪資變動(不計入)"",
  REGEXMATCH(C5183, ""押金""), ""押金往來"",
  AND(E5183&lt;&gt;"""", F5183=""""), ""真實支出"",
  AND(E5183="""", F5183&lt;&gt;""""), ""真實收入"",
  TRUE, ""其他""
)"),"其他")</f>
        <v>其他</v>
      </c>
      <c r="K5183" s="270" t="str">
        <f t="shared" si="2"/>
        <v/>
      </c>
      <c r="L5183">
        <f t="shared" si="3"/>
        <v>0</v>
      </c>
    </row>
    <row r="5184">
      <c r="A5184" s="107"/>
      <c r="D5184" s="270"/>
      <c r="H5184" s="106" t="str">
        <f t="shared" si="1"/>
        <v/>
      </c>
      <c r="I5184" s="271" t="str">
        <f>IFERROR(__xludf.DUMMYFUNCTION("""COMPUTED_VALUE"""),"")</f>
        <v/>
      </c>
      <c r="J5184" t="str">
        <f>IFERROR(__xludf.DUMMYFUNCTION("IFS(
  AND(REGEXMATCH(E5184, ""台銀籌備帳戶|玉山帳戶""), REGEXMATCH(C5184, ""薪資"")), ""分潤支出"",
  AND(REGEXMATCH(E5184, ""Ben帳戶|Elsa帳戶|Ben代墊|Ariel代墊|中信銀行共用""), REGEXMATCH(F5184, ""Ben帳戶|Elsa帳戶|Ben代墊|Ariel代墊|中信銀行共用"")), ""內部轉帳(忽略)"",
  AND(E5184&lt;&gt;"""", F5184&lt;&gt;"""", N"&amp;"OT(REGEXMATCH(C5184, ""薪資""))), ""內部轉帳(忽略)"",
  REGEXMATCH(C5184, ""薪資""), ""薪資變動(不計入)"",
  REGEXMATCH(C5184, ""押金""), ""押金往來"",
  AND(E5184&lt;&gt;"""", F5184=""""), ""真實支出"",
  AND(E5184="""", F5184&lt;&gt;""""), ""真實收入"",
  TRUE, ""其他""
)"),"其他")</f>
        <v>其他</v>
      </c>
      <c r="K5184" s="270" t="str">
        <f t="shared" si="2"/>
        <v/>
      </c>
      <c r="L5184">
        <f t="shared" si="3"/>
        <v>0</v>
      </c>
    </row>
    <row r="5185">
      <c r="A5185" s="107"/>
      <c r="D5185" s="270"/>
      <c r="H5185" s="106" t="str">
        <f t="shared" si="1"/>
        <v/>
      </c>
      <c r="I5185" s="271" t="str">
        <f>IFERROR(__xludf.DUMMYFUNCTION("""COMPUTED_VALUE"""),"")</f>
        <v/>
      </c>
      <c r="J5185" t="str">
        <f>IFERROR(__xludf.DUMMYFUNCTION("IFS(
  AND(REGEXMATCH(E5185, ""台銀籌備帳戶|玉山帳戶""), REGEXMATCH(C5185, ""薪資"")), ""分潤支出"",
  AND(REGEXMATCH(E5185, ""Ben帳戶|Elsa帳戶|Ben代墊|Ariel代墊|中信銀行共用""), REGEXMATCH(F5185, ""Ben帳戶|Elsa帳戶|Ben代墊|Ariel代墊|中信銀行共用"")), ""內部轉帳(忽略)"",
  AND(E5185&lt;&gt;"""", F5185&lt;&gt;"""", N"&amp;"OT(REGEXMATCH(C5185, ""薪資""))), ""內部轉帳(忽略)"",
  REGEXMATCH(C5185, ""薪資""), ""薪資變動(不計入)"",
  REGEXMATCH(C5185, ""押金""), ""押金往來"",
  AND(E5185&lt;&gt;"""", F5185=""""), ""真實支出"",
  AND(E5185="""", F5185&lt;&gt;""""), ""真實收入"",
  TRUE, ""其他""
)"),"其他")</f>
        <v>其他</v>
      </c>
      <c r="K5185" s="270" t="str">
        <f t="shared" si="2"/>
        <v/>
      </c>
      <c r="L5185">
        <f t="shared" si="3"/>
        <v>0</v>
      </c>
    </row>
    <row r="5186">
      <c r="A5186" s="107"/>
      <c r="D5186" s="270"/>
      <c r="H5186" s="106" t="str">
        <f t="shared" si="1"/>
        <v/>
      </c>
      <c r="I5186" s="271" t="str">
        <f>IFERROR(__xludf.DUMMYFUNCTION("""COMPUTED_VALUE"""),"")</f>
        <v/>
      </c>
      <c r="J5186" t="str">
        <f>IFERROR(__xludf.DUMMYFUNCTION("IFS(
  AND(REGEXMATCH(E5186, ""台銀籌備帳戶|玉山帳戶""), REGEXMATCH(C5186, ""薪資"")), ""分潤支出"",
  AND(REGEXMATCH(E5186, ""Ben帳戶|Elsa帳戶|Ben代墊|Ariel代墊|中信銀行共用""), REGEXMATCH(F5186, ""Ben帳戶|Elsa帳戶|Ben代墊|Ariel代墊|中信銀行共用"")), ""內部轉帳(忽略)"",
  AND(E5186&lt;&gt;"""", F5186&lt;&gt;"""", N"&amp;"OT(REGEXMATCH(C5186, ""薪資""))), ""內部轉帳(忽略)"",
  REGEXMATCH(C5186, ""薪資""), ""薪資變動(不計入)"",
  REGEXMATCH(C5186, ""押金""), ""押金往來"",
  AND(E5186&lt;&gt;"""", F5186=""""), ""真實支出"",
  AND(E5186="""", F5186&lt;&gt;""""), ""真實收入"",
  TRUE, ""其他""
)"),"其他")</f>
        <v>其他</v>
      </c>
      <c r="K5186" s="270" t="str">
        <f t="shared" si="2"/>
        <v/>
      </c>
      <c r="L5186">
        <f t="shared" si="3"/>
        <v>0</v>
      </c>
    </row>
    <row r="5187">
      <c r="A5187" s="107"/>
      <c r="D5187" s="270"/>
      <c r="H5187" s="106" t="str">
        <f t="shared" si="1"/>
        <v/>
      </c>
      <c r="I5187" s="271" t="str">
        <f>IFERROR(__xludf.DUMMYFUNCTION("""COMPUTED_VALUE"""),"")</f>
        <v/>
      </c>
      <c r="J5187" t="str">
        <f>IFERROR(__xludf.DUMMYFUNCTION("IFS(
  AND(REGEXMATCH(E5187, ""台銀籌備帳戶|玉山帳戶""), REGEXMATCH(C5187, ""薪資"")), ""分潤支出"",
  AND(REGEXMATCH(E5187, ""Ben帳戶|Elsa帳戶|Ben代墊|Ariel代墊|中信銀行共用""), REGEXMATCH(F5187, ""Ben帳戶|Elsa帳戶|Ben代墊|Ariel代墊|中信銀行共用"")), ""內部轉帳(忽略)"",
  AND(E5187&lt;&gt;"""", F5187&lt;&gt;"""", N"&amp;"OT(REGEXMATCH(C5187, ""薪資""))), ""內部轉帳(忽略)"",
  REGEXMATCH(C5187, ""薪資""), ""薪資變動(不計入)"",
  REGEXMATCH(C5187, ""押金""), ""押金往來"",
  AND(E5187&lt;&gt;"""", F5187=""""), ""真實支出"",
  AND(E5187="""", F5187&lt;&gt;""""), ""真實收入"",
  TRUE, ""其他""
)"),"其他")</f>
        <v>其他</v>
      </c>
      <c r="K5187" s="270" t="str">
        <f t="shared" si="2"/>
        <v/>
      </c>
      <c r="L5187">
        <f t="shared" si="3"/>
        <v>0</v>
      </c>
    </row>
    <row r="5188">
      <c r="A5188" s="107"/>
      <c r="D5188" s="270"/>
      <c r="H5188" s="106" t="str">
        <f t="shared" si="1"/>
        <v/>
      </c>
      <c r="I5188" s="271" t="str">
        <f>IFERROR(__xludf.DUMMYFUNCTION("""COMPUTED_VALUE"""),"")</f>
        <v/>
      </c>
      <c r="J5188" t="str">
        <f>IFERROR(__xludf.DUMMYFUNCTION("IFS(
  AND(REGEXMATCH(E5188, ""台銀籌備帳戶|玉山帳戶""), REGEXMATCH(C5188, ""薪資"")), ""分潤支出"",
  AND(REGEXMATCH(E5188, ""Ben帳戶|Elsa帳戶|Ben代墊|Ariel代墊|中信銀行共用""), REGEXMATCH(F5188, ""Ben帳戶|Elsa帳戶|Ben代墊|Ariel代墊|中信銀行共用"")), ""內部轉帳(忽略)"",
  AND(E5188&lt;&gt;"""", F5188&lt;&gt;"""", N"&amp;"OT(REGEXMATCH(C5188, ""薪資""))), ""內部轉帳(忽略)"",
  REGEXMATCH(C5188, ""薪資""), ""薪資變動(不計入)"",
  REGEXMATCH(C5188, ""押金""), ""押金往來"",
  AND(E5188&lt;&gt;"""", F5188=""""), ""真實支出"",
  AND(E5188="""", F5188&lt;&gt;""""), ""真實收入"",
  TRUE, ""其他""
)"),"其他")</f>
        <v>其他</v>
      </c>
      <c r="K5188" s="270" t="str">
        <f t="shared" si="2"/>
        <v/>
      </c>
      <c r="L5188">
        <f t="shared" si="3"/>
        <v>0</v>
      </c>
    </row>
    <row r="5189">
      <c r="A5189" s="107"/>
      <c r="D5189" s="270"/>
      <c r="H5189" s="106" t="str">
        <f t="shared" si="1"/>
        <v/>
      </c>
      <c r="I5189" s="271" t="str">
        <f>IFERROR(__xludf.DUMMYFUNCTION("""COMPUTED_VALUE"""),"")</f>
        <v/>
      </c>
      <c r="J5189" t="str">
        <f>IFERROR(__xludf.DUMMYFUNCTION("IFS(
  AND(REGEXMATCH(E5189, ""台銀籌備帳戶|玉山帳戶""), REGEXMATCH(C5189, ""薪資"")), ""分潤支出"",
  AND(REGEXMATCH(E5189, ""Ben帳戶|Elsa帳戶|Ben代墊|Ariel代墊|中信銀行共用""), REGEXMATCH(F5189, ""Ben帳戶|Elsa帳戶|Ben代墊|Ariel代墊|中信銀行共用"")), ""內部轉帳(忽略)"",
  AND(E5189&lt;&gt;"""", F5189&lt;&gt;"""", N"&amp;"OT(REGEXMATCH(C5189, ""薪資""))), ""內部轉帳(忽略)"",
  REGEXMATCH(C5189, ""薪資""), ""薪資變動(不計入)"",
  REGEXMATCH(C5189, ""押金""), ""押金往來"",
  AND(E5189&lt;&gt;"""", F5189=""""), ""真實支出"",
  AND(E5189="""", F5189&lt;&gt;""""), ""真實收入"",
  TRUE, ""其他""
)"),"其他")</f>
        <v>其他</v>
      </c>
      <c r="K5189" s="270" t="str">
        <f t="shared" si="2"/>
        <v/>
      </c>
      <c r="L5189">
        <f t="shared" si="3"/>
        <v>0</v>
      </c>
    </row>
    <row r="5190">
      <c r="A5190" s="107"/>
      <c r="D5190" s="270"/>
      <c r="H5190" s="106" t="str">
        <f t="shared" si="1"/>
        <v/>
      </c>
      <c r="I5190" s="271" t="str">
        <f>IFERROR(__xludf.DUMMYFUNCTION("""COMPUTED_VALUE"""),"")</f>
        <v/>
      </c>
      <c r="J5190" t="str">
        <f>IFERROR(__xludf.DUMMYFUNCTION("IFS(
  AND(REGEXMATCH(E5190, ""台銀籌備帳戶|玉山帳戶""), REGEXMATCH(C5190, ""薪資"")), ""分潤支出"",
  AND(REGEXMATCH(E5190, ""Ben帳戶|Elsa帳戶|Ben代墊|Ariel代墊|中信銀行共用""), REGEXMATCH(F5190, ""Ben帳戶|Elsa帳戶|Ben代墊|Ariel代墊|中信銀行共用"")), ""內部轉帳(忽略)"",
  AND(E5190&lt;&gt;"""", F5190&lt;&gt;"""", N"&amp;"OT(REGEXMATCH(C5190, ""薪資""))), ""內部轉帳(忽略)"",
  REGEXMATCH(C5190, ""薪資""), ""薪資變動(不計入)"",
  REGEXMATCH(C5190, ""押金""), ""押金往來"",
  AND(E5190&lt;&gt;"""", F5190=""""), ""真實支出"",
  AND(E5190="""", F5190&lt;&gt;""""), ""真實收入"",
  TRUE, ""其他""
)"),"其他")</f>
        <v>其他</v>
      </c>
      <c r="K5190" s="270" t="str">
        <f t="shared" si="2"/>
        <v/>
      </c>
      <c r="L5190">
        <f t="shared" si="3"/>
        <v>0</v>
      </c>
    </row>
    <row r="5191">
      <c r="A5191" s="107"/>
      <c r="D5191" s="270"/>
      <c r="H5191" s="106" t="str">
        <f t="shared" si="1"/>
        <v/>
      </c>
      <c r="I5191" s="271" t="str">
        <f>IFERROR(__xludf.DUMMYFUNCTION("""COMPUTED_VALUE"""),"")</f>
        <v/>
      </c>
      <c r="J5191" t="str">
        <f>IFERROR(__xludf.DUMMYFUNCTION("IFS(
  AND(REGEXMATCH(E5191, ""台銀籌備帳戶|玉山帳戶""), REGEXMATCH(C5191, ""薪資"")), ""分潤支出"",
  AND(REGEXMATCH(E5191, ""Ben帳戶|Elsa帳戶|Ben代墊|Ariel代墊|中信銀行共用""), REGEXMATCH(F5191, ""Ben帳戶|Elsa帳戶|Ben代墊|Ariel代墊|中信銀行共用"")), ""內部轉帳(忽略)"",
  AND(E5191&lt;&gt;"""", F5191&lt;&gt;"""", N"&amp;"OT(REGEXMATCH(C5191, ""薪資""))), ""內部轉帳(忽略)"",
  REGEXMATCH(C5191, ""薪資""), ""薪資變動(不計入)"",
  REGEXMATCH(C5191, ""押金""), ""押金往來"",
  AND(E5191&lt;&gt;"""", F5191=""""), ""真實支出"",
  AND(E5191="""", F5191&lt;&gt;""""), ""真實收入"",
  TRUE, ""其他""
)"),"其他")</f>
        <v>其他</v>
      </c>
      <c r="K5191" s="270" t="str">
        <f t="shared" si="2"/>
        <v/>
      </c>
      <c r="L5191">
        <f t="shared" si="3"/>
        <v>0</v>
      </c>
    </row>
    <row r="5192">
      <c r="A5192" s="107"/>
      <c r="D5192" s="270"/>
      <c r="H5192" s="106" t="str">
        <f t="shared" si="1"/>
        <v/>
      </c>
      <c r="I5192" s="271" t="str">
        <f>IFERROR(__xludf.DUMMYFUNCTION("""COMPUTED_VALUE"""),"")</f>
        <v/>
      </c>
      <c r="J5192" t="str">
        <f>IFERROR(__xludf.DUMMYFUNCTION("IFS(
  AND(REGEXMATCH(E5192, ""台銀籌備帳戶|玉山帳戶""), REGEXMATCH(C5192, ""薪資"")), ""分潤支出"",
  AND(REGEXMATCH(E5192, ""Ben帳戶|Elsa帳戶|Ben代墊|Ariel代墊|中信銀行共用""), REGEXMATCH(F5192, ""Ben帳戶|Elsa帳戶|Ben代墊|Ariel代墊|中信銀行共用"")), ""內部轉帳(忽略)"",
  AND(E5192&lt;&gt;"""", F5192&lt;&gt;"""", N"&amp;"OT(REGEXMATCH(C5192, ""薪資""))), ""內部轉帳(忽略)"",
  REGEXMATCH(C5192, ""薪資""), ""薪資變動(不計入)"",
  REGEXMATCH(C5192, ""押金""), ""押金往來"",
  AND(E5192&lt;&gt;"""", F5192=""""), ""真實支出"",
  AND(E5192="""", F5192&lt;&gt;""""), ""真實收入"",
  TRUE, ""其他""
)"),"其他")</f>
        <v>其他</v>
      </c>
      <c r="K5192" s="270" t="str">
        <f t="shared" si="2"/>
        <v/>
      </c>
      <c r="L5192">
        <f t="shared" si="3"/>
        <v>0</v>
      </c>
    </row>
    <row r="5193">
      <c r="A5193" s="107"/>
      <c r="D5193" s="270"/>
      <c r="H5193" s="106" t="str">
        <f t="shared" si="1"/>
        <v/>
      </c>
      <c r="I5193" s="271" t="str">
        <f>IFERROR(__xludf.DUMMYFUNCTION("""COMPUTED_VALUE"""),"")</f>
        <v/>
      </c>
      <c r="J5193" t="str">
        <f>IFERROR(__xludf.DUMMYFUNCTION("IFS(
  AND(REGEXMATCH(E5193, ""台銀籌備帳戶|玉山帳戶""), REGEXMATCH(C5193, ""薪資"")), ""分潤支出"",
  AND(REGEXMATCH(E5193, ""Ben帳戶|Elsa帳戶|Ben代墊|Ariel代墊|中信銀行共用""), REGEXMATCH(F5193, ""Ben帳戶|Elsa帳戶|Ben代墊|Ariel代墊|中信銀行共用"")), ""內部轉帳(忽略)"",
  AND(E5193&lt;&gt;"""", F5193&lt;&gt;"""", N"&amp;"OT(REGEXMATCH(C5193, ""薪資""))), ""內部轉帳(忽略)"",
  REGEXMATCH(C5193, ""薪資""), ""薪資變動(不計入)"",
  REGEXMATCH(C5193, ""押金""), ""押金往來"",
  AND(E5193&lt;&gt;"""", F5193=""""), ""真實支出"",
  AND(E5193="""", F5193&lt;&gt;""""), ""真實收入"",
  TRUE, ""其他""
)"),"其他")</f>
        <v>其他</v>
      </c>
      <c r="K5193" s="270" t="str">
        <f t="shared" si="2"/>
        <v/>
      </c>
      <c r="L5193">
        <f t="shared" si="3"/>
        <v>0</v>
      </c>
    </row>
    <row r="5194">
      <c r="A5194" s="107"/>
      <c r="D5194" s="270"/>
      <c r="H5194" s="106" t="str">
        <f t="shared" si="1"/>
        <v/>
      </c>
      <c r="I5194" s="271" t="str">
        <f>IFERROR(__xludf.DUMMYFUNCTION("""COMPUTED_VALUE"""),"")</f>
        <v/>
      </c>
      <c r="J5194" t="str">
        <f>IFERROR(__xludf.DUMMYFUNCTION("IFS(
  AND(REGEXMATCH(E5194, ""台銀籌備帳戶|玉山帳戶""), REGEXMATCH(C5194, ""薪資"")), ""分潤支出"",
  AND(REGEXMATCH(E5194, ""Ben帳戶|Elsa帳戶|Ben代墊|Ariel代墊|中信銀行共用""), REGEXMATCH(F5194, ""Ben帳戶|Elsa帳戶|Ben代墊|Ariel代墊|中信銀行共用"")), ""內部轉帳(忽略)"",
  AND(E5194&lt;&gt;"""", F5194&lt;&gt;"""", N"&amp;"OT(REGEXMATCH(C5194, ""薪資""))), ""內部轉帳(忽略)"",
  REGEXMATCH(C5194, ""薪資""), ""薪資變動(不計入)"",
  REGEXMATCH(C5194, ""押金""), ""押金往來"",
  AND(E5194&lt;&gt;"""", F5194=""""), ""真實支出"",
  AND(E5194="""", F5194&lt;&gt;""""), ""真實收入"",
  TRUE, ""其他""
)"),"其他")</f>
        <v>其他</v>
      </c>
      <c r="K5194" s="270" t="str">
        <f t="shared" si="2"/>
        <v/>
      </c>
      <c r="L5194">
        <f t="shared" si="3"/>
        <v>0</v>
      </c>
    </row>
    <row r="5195">
      <c r="A5195" s="107"/>
      <c r="D5195" s="270"/>
      <c r="H5195" s="106" t="str">
        <f t="shared" si="1"/>
        <v/>
      </c>
      <c r="I5195" s="271" t="str">
        <f>IFERROR(__xludf.DUMMYFUNCTION("""COMPUTED_VALUE"""),"")</f>
        <v/>
      </c>
      <c r="J5195" t="str">
        <f>IFERROR(__xludf.DUMMYFUNCTION("IFS(
  AND(REGEXMATCH(E5195, ""台銀籌備帳戶|玉山帳戶""), REGEXMATCH(C5195, ""薪資"")), ""分潤支出"",
  AND(REGEXMATCH(E5195, ""Ben帳戶|Elsa帳戶|Ben代墊|Ariel代墊|中信銀行共用""), REGEXMATCH(F5195, ""Ben帳戶|Elsa帳戶|Ben代墊|Ariel代墊|中信銀行共用"")), ""內部轉帳(忽略)"",
  AND(E5195&lt;&gt;"""", F5195&lt;&gt;"""", N"&amp;"OT(REGEXMATCH(C5195, ""薪資""))), ""內部轉帳(忽略)"",
  REGEXMATCH(C5195, ""薪資""), ""薪資變動(不計入)"",
  REGEXMATCH(C5195, ""押金""), ""押金往來"",
  AND(E5195&lt;&gt;"""", F5195=""""), ""真實支出"",
  AND(E5195="""", F5195&lt;&gt;""""), ""真實收入"",
  TRUE, ""其他""
)"),"其他")</f>
        <v>其他</v>
      </c>
      <c r="K5195" s="270" t="str">
        <f t="shared" si="2"/>
        <v/>
      </c>
      <c r="L5195">
        <f t="shared" si="3"/>
        <v>0</v>
      </c>
    </row>
    <row r="5196">
      <c r="A5196" s="107"/>
      <c r="D5196" s="270"/>
      <c r="H5196" s="106" t="str">
        <f t="shared" si="1"/>
        <v/>
      </c>
      <c r="I5196" s="271" t="str">
        <f>IFERROR(__xludf.DUMMYFUNCTION("""COMPUTED_VALUE"""),"")</f>
        <v/>
      </c>
      <c r="J5196" t="str">
        <f>IFERROR(__xludf.DUMMYFUNCTION("IFS(
  AND(REGEXMATCH(E5196, ""台銀籌備帳戶|玉山帳戶""), REGEXMATCH(C5196, ""薪資"")), ""分潤支出"",
  AND(REGEXMATCH(E5196, ""Ben帳戶|Elsa帳戶|Ben代墊|Ariel代墊|中信銀行共用""), REGEXMATCH(F5196, ""Ben帳戶|Elsa帳戶|Ben代墊|Ariel代墊|中信銀行共用"")), ""內部轉帳(忽略)"",
  AND(E5196&lt;&gt;"""", F5196&lt;&gt;"""", N"&amp;"OT(REGEXMATCH(C5196, ""薪資""))), ""內部轉帳(忽略)"",
  REGEXMATCH(C5196, ""薪資""), ""薪資變動(不計入)"",
  REGEXMATCH(C5196, ""押金""), ""押金往來"",
  AND(E5196&lt;&gt;"""", F5196=""""), ""真實支出"",
  AND(E5196="""", F5196&lt;&gt;""""), ""真實收入"",
  TRUE, ""其他""
)"),"其他")</f>
        <v>其他</v>
      </c>
      <c r="K5196" s="270" t="str">
        <f t="shared" si="2"/>
        <v/>
      </c>
      <c r="L5196">
        <f t="shared" si="3"/>
        <v>0</v>
      </c>
    </row>
    <row r="5197">
      <c r="A5197" s="107"/>
      <c r="D5197" s="270"/>
      <c r="H5197" s="106" t="str">
        <f t="shared" si="1"/>
        <v/>
      </c>
      <c r="I5197" s="271" t="str">
        <f>IFERROR(__xludf.DUMMYFUNCTION("""COMPUTED_VALUE"""),"")</f>
        <v/>
      </c>
      <c r="J5197" t="str">
        <f>IFERROR(__xludf.DUMMYFUNCTION("IFS(
  AND(REGEXMATCH(E5197, ""台銀籌備帳戶|玉山帳戶""), REGEXMATCH(C5197, ""薪資"")), ""分潤支出"",
  AND(REGEXMATCH(E5197, ""Ben帳戶|Elsa帳戶|Ben代墊|Ariel代墊|中信銀行共用""), REGEXMATCH(F5197, ""Ben帳戶|Elsa帳戶|Ben代墊|Ariel代墊|中信銀行共用"")), ""內部轉帳(忽略)"",
  AND(E5197&lt;&gt;"""", F5197&lt;&gt;"""", N"&amp;"OT(REGEXMATCH(C5197, ""薪資""))), ""內部轉帳(忽略)"",
  REGEXMATCH(C5197, ""薪資""), ""薪資變動(不計入)"",
  REGEXMATCH(C5197, ""押金""), ""押金往來"",
  AND(E5197&lt;&gt;"""", F5197=""""), ""真實支出"",
  AND(E5197="""", F5197&lt;&gt;""""), ""真實收入"",
  TRUE, ""其他""
)"),"其他")</f>
        <v>其他</v>
      </c>
      <c r="K5197" s="270" t="str">
        <f t="shared" si="2"/>
        <v/>
      </c>
      <c r="L5197">
        <f t="shared" si="3"/>
        <v>0</v>
      </c>
    </row>
    <row r="5198">
      <c r="A5198" s="107"/>
      <c r="D5198" s="270"/>
      <c r="H5198" s="106" t="str">
        <f t="shared" si="1"/>
        <v/>
      </c>
      <c r="I5198" s="271" t="str">
        <f>IFERROR(__xludf.DUMMYFUNCTION("""COMPUTED_VALUE"""),"")</f>
        <v/>
      </c>
      <c r="J5198" t="str">
        <f>IFERROR(__xludf.DUMMYFUNCTION("IFS(
  AND(REGEXMATCH(E5198, ""台銀籌備帳戶|玉山帳戶""), REGEXMATCH(C5198, ""薪資"")), ""分潤支出"",
  AND(REGEXMATCH(E5198, ""Ben帳戶|Elsa帳戶|Ben代墊|Ariel代墊|中信銀行共用""), REGEXMATCH(F5198, ""Ben帳戶|Elsa帳戶|Ben代墊|Ariel代墊|中信銀行共用"")), ""內部轉帳(忽略)"",
  AND(E5198&lt;&gt;"""", F5198&lt;&gt;"""", N"&amp;"OT(REGEXMATCH(C5198, ""薪資""))), ""內部轉帳(忽略)"",
  REGEXMATCH(C5198, ""薪資""), ""薪資變動(不計入)"",
  REGEXMATCH(C5198, ""押金""), ""押金往來"",
  AND(E5198&lt;&gt;"""", F5198=""""), ""真實支出"",
  AND(E5198="""", F5198&lt;&gt;""""), ""真實收入"",
  TRUE, ""其他""
)"),"其他")</f>
        <v>其他</v>
      </c>
      <c r="K5198" s="270" t="str">
        <f t="shared" si="2"/>
        <v/>
      </c>
      <c r="L5198">
        <f t="shared" si="3"/>
        <v>0</v>
      </c>
    </row>
    <row r="5199">
      <c r="A5199" s="107"/>
      <c r="D5199" s="270"/>
      <c r="H5199" s="106" t="str">
        <f t="shared" si="1"/>
        <v/>
      </c>
      <c r="I5199" s="271" t="str">
        <f>IFERROR(__xludf.DUMMYFUNCTION("""COMPUTED_VALUE"""),"")</f>
        <v/>
      </c>
      <c r="J5199" t="str">
        <f>IFERROR(__xludf.DUMMYFUNCTION("IFS(
  AND(REGEXMATCH(E5199, ""台銀籌備帳戶|玉山帳戶""), REGEXMATCH(C5199, ""薪資"")), ""分潤支出"",
  AND(REGEXMATCH(E5199, ""Ben帳戶|Elsa帳戶|Ben代墊|Ariel代墊|中信銀行共用""), REGEXMATCH(F5199, ""Ben帳戶|Elsa帳戶|Ben代墊|Ariel代墊|中信銀行共用"")), ""內部轉帳(忽略)"",
  AND(E5199&lt;&gt;"""", F5199&lt;&gt;"""", N"&amp;"OT(REGEXMATCH(C5199, ""薪資""))), ""內部轉帳(忽略)"",
  REGEXMATCH(C5199, ""薪資""), ""薪資變動(不計入)"",
  REGEXMATCH(C5199, ""押金""), ""押金往來"",
  AND(E5199&lt;&gt;"""", F5199=""""), ""真實支出"",
  AND(E5199="""", F5199&lt;&gt;""""), ""真實收入"",
  TRUE, ""其他""
)"),"其他")</f>
        <v>其他</v>
      </c>
      <c r="K5199" s="270" t="str">
        <f t="shared" si="2"/>
        <v/>
      </c>
      <c r="L5199">
        <f t="shared" si="3"/>
        <v>0</v>
      </c>
    </row>
    <row r="5200">
      <c r="A5200" s="107"/>
      <c r="D5200" s="270"/>
      <c r="H5200" s="106" t="str">
        <f t="shared" si="1"/>
        <v/>
      </c>
      <c r="I5200" s="271" t="str">
        <f>IFERROR(__xludf.DUMMYFUNCTION("""COMPUTED_VALUE"""),"")</f>
        <v/>
      </c>
      <c r="J5200" t="str">
        <f>IFERROR(__xludf.DUMMYFUNCTION("IFS(
  AND(REGEXMATCH(E5200, ""台銀籌備帳戶|玉山帳戶""), REGEXMATCH(C5200, ""薪資"")), ""分潤支出"",
  AND(REGEXMATCH(E5200, ""Ben帳戶|Elsa帳戶|Ben代墊|Ariel代墊|中信銀行共用""), REGEXMATCH(F5200, ""Ben帳戶|Elsa帳戶|Ben代墊|Ariel代墊|中信銀行共用"")), ""內部轉帳(忽略)"",
  AND(E5200&lt;&gt;"""", F5200&lt;&gt;"""", N"&amp;"OT(REGEXMATCH(C5200, ""薪資""))), ""內部轉帳(忽略)"",
  REGEXMATCH(C5200, ""薪資""), ""薪資變動(不計入)"",
  REGEXMATCH(C5200, ""押金""), ""押金往來"",
  AND(E5200&lt;&gt;"""", F5200=""""), ""真實支出"",
  AND(E5200="""", F5200&lt;&gt;""""), ""真實收入"",
  TRUE, ""其他""
)"),"其他")</f>
        <v>其他</v>
      </c>
      <c r="K5200" s="270" t="str">
        <f t="shared" si="2"/>
        <v/>
      </c>
      <c r="L5200">
        <f t="shared" si="3"/>
        <v>0</v>
      </c>
    </row>
    <row r="5201">
      <c r="A5201" s="107"/>
      <c r="D5201" s="270"/>
      <c r="H5201" s="106" t="str">
        <f t="shared" si="1"/>
        <v/>
      </c>
      <c r="I5201" s="271" t="str">
        <f>IFERROR(__xludf.DUMMYFUNCTION("""COMPUTED_VALUE"""),"")</f>
        <v/>
      </c>
      <c r="J5201" t="str">
        <f>IFERROR(__xludf.DUMMYFUNCTION("IFS(
  AND(REGEXMATCH(E5201, ""台銀籌備帳戶|玉山帳戶""), REGEXMATCH(C5201, ""薪資"")), ""分潤支出"",
  AND(REGEXMATCH(E5201, ""Ben帳戶|Elsa帳戶|Ben代墊|Ariel代墊|中信銀行共用""), REGEXMATCH(F5201, ""Ben帳戶|Elsa帳戶|Ben代墊|Ariel代墊|中信銀行共用"")), ""內部轉帳(忽略)"",
  AND(E5201&lt;&gt;"""", F5201&lt;&gt;"""", N"&amp;"OT(REGEXMATCH(C5201, ""薪資""))), ""內部轉帳(忽略)"",
  REGEXMATCH(C5201, ""薪資""), ""薪資變動(不計入)"",
  REGEXMATCH(C5201, ""押金""), ""押金往來"",
  AND(E5201&lt;&gt;"""", F5201=""""), ""真實支出"",
  AND(E5201="""", F5201&lt;&gt;""""), ""真實收入"",
  TRUE, ""其他""
)"),"其他")</f>
        <v>其他</v>
      </c>
      <c r="K5201" s="270" t="str">
        <f t="shared" si="2"/>
        <v/>
      </c>
      <c r="L5201">
        <f t="shared" si="3"/>
        <v>0</v>
      </c>
    </row>
    <row r="5202">
      <c r="A5202" s="107"/>
      <c r="D5202" s="270"/>
      <c r="H5202" s="106" t="str">
        <f t="shared" si="1"/>
        <v/>
      </c>
      <c r="I5202" s="271" t="str">
        <f>IFERROR(__xludf.DUMMYFUNCTION("""COMPUTED_VALUE"""),"")</f>
        <v/>
      </c>
      <c r="J5202" t="str">
        <f>IFERROR(__xludf.DUMMYFUNCTION("IFS(
  AND(REGEXMATCH(E5202, ""台銀籌備帳戶|玉山帳戶""), REGEXMATCH(C5202, ""薪資"")), ""分潤支出"",
  AND(REGEXMATCH(E5202, ""Ben帳戶|Elsa帳戶|Ben代墊|Ariel代墊|中信銀行共用""), REGEXMATCH(F5202, ""Ben帳戶|Elsa帳戶|Ben代墊|Ariel代墊|中信銀行共用"")), ""內部轉帳(忽略)"",
  AND(E5202&lt;&gt;"""", F5202&lt;&gt;"""", N"&amp;"OT(REGEXMATCH(C5202, ""薪資""))), ""內部轉帳(忽略)"",
  REGEXMATCH(C5202, ""薪資""), ""薪資變動(不計入)"",
  REGEXMATCH(C5202, ""押金""), ""押金往來"",
  AND(E5202&lt;&gt;"""", F5202=""""), ""真實支出"",
  AND(E5202="""", F5202&lt;&gt;""""), ""真實收入"",
  TRUE, ""其他""
)"),"其他")</f>
        <v>其他</v>
      </c>
      <c r="K5202" s="270" t="str">
        <f t="shared" si="2"/>
        <v/>
      </c>
      <c r="L5202">
        <f t="shared" si="3"/>
        <v>0</v>
      </c>
    </row>
    <row r="5203">
      <c r="A5203" s="107"/>
      <c r="D5203" s="270"/>
      <c r="H5203" s="106" t="str">
        <f t="shared" si="1"/>
        <v/>
      </c>
      <c r="I5203" s="271" t="str">
        <f>IFERROR(__xludf.DUMMYFUNCTION("""COMPUTED_VALUE"""),"")</f>
        <v/>
      </c>
      <c r="J5203" t="str">
        <f>IFERROR(__xludf.DUMMYFUNCTION("IFS(
  AND(REGEXMATCH(E5203, ""台銀籌備帳戶|玉山帳戶""), REGEXMATCH(C5203, ""薪資"")), ""分潤支出"",
  AND(REGEXMATCH(E5203, ""Ben帳戶|Elsa帳戶|Ben代墊|Ariel代墊|中信銀行共用""), REGEXMATCH(F5203, ""Ben帳戶|Elsa帳戶|Ben代墊|Ariel代墊|中信銀行共用"")), ""內部轉帳(忽略)"",
  AND(E5203&lt;&gt;"""", F5203&lt;&gt;"""", N"&amp;"OT(REGEXMATCH(C5203, ""薪資""))), ""內部轉帳(忽略)"",
  REGEXMATCH(C5203, ""薪資""), ""薪資變動(不計入)"",
  REGEXMATCH(C5203, ""押金""), ""押金往來"",
  AND(E5203&lt;&gt;"""", F5203=""""), ""真實支出"",
  AND(E5203="""", F5203&lt;&gt;""""), ""真實收入"",
  TRUE, ""其他""
)"),"其他")</f>
        <v>其他</v>
      </c>
      <c r="K5203" s="270" t="str">
        <f t="shared" si="2"/>
        <v/>
      </c>
      <c r="L5203">
        <f t="shared" si="3"/>
        <v>0</v>
      </c>
    </row>
    <row r="5204">
      <c r="A5204" s="107"/>
      <c r="D5204" s="270"/>
      <c r="H5204" s="106" t="str">
        <f t="shared" si="1"/>
        <v/>
      </c>
      <c r="I5204" s="271" t="str">
        <f>IFERROR(__xludf.DUMMYFUNCTION("""COMPUTED_VALUE"""),"")</f>
        <v/>
      </c>
      <c r="J5204" t="str">
        <f>IFERROR(__xludf.DUMMYFUNCTION("IFS(
  AND(REGEXMATCH(E5204, ""台銀籌備帳戶|玉山帳戶""), REGEXMATCH(C5204, ""薪資"")), ""分潤支出"",
  AND(REGEXMATCH(E5204, ""Ben帳戶|Elsa帳戶|Ben代墊|Ariel代墊|中信銀行共用""), REGEXMATCH(F5204, ""Ben帳戶|Elsa帳戶|Ben代墊|Ariel代墊|中信銀行共用"")), ""內部轉帳(忽略)"",
  AND(E5204&lt;&gt;"""", F5204&lt;&gt;"""", N"&amp;"OT(REGEXMATCH(C5204, ""薪資""))), ""內部轉帳(忽略)"",
  REGEXMATCH(C5204, ""薪資""), ""薪資變動(不計入)"",
  REGEXMATCH(C5204, ""押金""), ""押金往來"",
  AND(E5204&lt;&gt;"""", F5204=""""), ""真實支出"",
  AND(E5204="""", F5204&lt;&gt;""""), ""真實收入"",
  TRUE, ""其他""
)"),"其他")</f>
        <v>其他</v>
      </c>
      <c r="K5204" s="270" t="str">
        <f t="shared" si="2"/>
        <v/>
      </c>
      <c r="L5204">
        <f t="shared" si="3"/>
        <v>0</v>
      </c>
    </row>
    <row r="5205">
      <c r="A5205" s="107"/>
      <c r="D5205" s="270"/>
      <c r="H5205" s="106" t="str">
        <f t="shared" si="1"/>
        <v/>
      </c>
      <c r="I5205" s="271" t="str">
        <f>IFERROR(__xludf.DUMMYFUNCTION("""COMPUTED_VALUE"""),"")</f>
        <v/>
      </c>
      <c r="J5205" t="str">
        <f>IFERROR(__xludf.DUMMYFUNCTION("IFS(
  AND(REGEXMATCH(E5205, ""台銀籌備帳戶|玉山帳戶""), REGEXMATCH(C5205, ""薪資"")), ""分潤支出"",
  AND(REGEXMATCH(E5205, ""Ben帳戶|Elsa帳戶|Ben代墊|Ariel代墊|中信銀行共用""), REGEXMATCH(F5205, ""Ben帳戶|Elsa帳戶|Ben代墊|Ariel代墊|中信銀行共用"")), ""內部轉帳(忽略)"",
  AND(E5205&lt;&gt;"""", F5205&lt;&gt;"""", N"&amp;"OT(REGEXMATCH(C5205, ""薪資""))), ""內部轉帳(忽略)"",
  REGEXMATCH(C5205, ""薪資""), ""薪資變動(不計入)"",
  REGEXMATCH(C5205, ""押金""), ""押金往來"",
  AND(E5205&lt;&gt;"""", F5205=""""), ""真實支出"",
  AND(E5205="""", F5205&lt;&gt;""""), ""真實收入"",
  TRUE, ""其他""
)"),"其他")</f>
        <v>其他</v>
      </c>
      <c r="K5205" s="270" t="str">
        <f t="shared" si="2"/>
        <v/>
      </c>
      <c r="L5205">
        <f t="shared" si="3"/>
        <v>0</v>
      </c>
    </row>
    <row r="5206">
      <c r="A5206" s="107"/>
      <c r="D5206" s="270"/>
      <c r="H5206" s="106" t="str">
        <f t="shared" si="1"/>
        <v/>
      </c>
      <c r="I5206" s="271" t="str">
        <f>IFERROR(__xludf.DUMMYFUNCTION("""COMPUTED_VALUE"""),"")</f>
        <v/>
      </c>
      <c r="J5206" t="str">
        <f>IFERROR(__xludf.DUMMYFUNCTION("IFS(
  AND(REGEXMATCH(E5206, ""台銀籌備帳戶|玉山帳戶""), REGEXMATCH(C5206, ""薪資"")), ""分潤支出"",
  AND(REGEXMATCH(E5206, ""Ben帳戶|Elsa帳戶|Ben代墊|Ariel代墊|中信銀行共用""), REGEXMATCH(F5206, ""Ben帳戶|Elsa帳戶|Ben代墊|Ariel代墊|中信銀行共用"")), ""內部轉帳(忽略)"",
  AND(E5206&lt;&gt;"""", F5206&lt;&gt;"""", N"&amp;"OT(REGEXMATCH(C5206, ""薪資""))), ""內部轉帳(忽略)"",
  REGEXMATCH(C5206, ""薪資""), ""薪資變動(不計入)"",
  REGEXMATCH(C5206, ""押金""), ""押金往來"",
  AND(E5206&lt;&gt;"""", F5206=""""), ""真實支出"",
  AND(E5206="""", F5206&lt;&gt;""""), ""真實收入"",
  TRUE, ""其他""
)"),"其他")</f>
        <v>其他</v>
      </c>
      <c r="K5206" s="270" t="str">
        <f t="shared" si="2"/>
        <v/>
      </c>
      <c r="L5206">
        <f t="shared" si="3"/>
        <v>0</v>
      </c>
    </row>
    <row r="5207">
      <c r="A5207" s="107"/>
      <c r="D5207" s="270"/>
      <c r="H5207" s="106" t="str">
        <f t="shared" si="1"/>
        <v/>
      </c>
      <c r="I5207" s="271" t="str">
        <f>IFERROR(__xludf.DUMMYFUNCTION("""COMPUTED_VALUE"""),"")</f>
        <v/>
      </c>
      <c r="J5207" t="str">
        <f>IFERROR(__xludf.DUMMYFUNCTION("IFS(
  AND(REGEXMATCH(E5207, ""台銀籌備帳戶|玉山帳戶""), REGEXMATCH(C5207, ""薪資"")), ""分潤支出"",
  AND(REGEXMATCH(E5207, ""Ben帳戶|Elsa帳戶|Ben代墊|Ariel代墊|中信銀行共用""), REGEXMATCH(F5207, ""Ben帳戶|Elsa帳戶|Ben代墊|Ariel代墊|中信銀行共用"")), ""內部轉帳(忽略)"",
  AND(E5207&lt;&gt;"""", F5207&lt;&gt;"""", N"&amp;"OT(REGEXMATCH(C5207, ""薪資""))), ""內部轉帳(忽略)"",
  REGEXMATCH(C5207, ""薪資""), ""薪資變動(不計入)"",
  REGEXMATCH(C5207, ""押金""), ""押金往來"",
  AND(E5207&lt;&gt;"""", F5207=""""), ""真實支出"",
  AND(E5207="""", F5207&lt;&gt;""""), ""真實收入"",
  TRUE, ""其他""
)"),"其他")</f>
        <v>其他</v>
      </c>
      <c r="K5207" s="270" t="str">
        <f t="shared" si="2"/>
        <v/>
      </c>
      <c r="L5207">
        <f t="shared" si="3"/>
        <v>0</v>
      </c>
    </row>
    <row r="5208">
      <c r="A5208" s="107"/>
      <c r="D5208" s="270"/>
      <c r="H5208" s="106" t="str">
        <f t="shared" si="1"/>
        <v/>
      </c>
      <c r="I5208" s="271" t="str">
        <f>IFERROR(__xludf.DUMMYFUNCTION("""COMPUTED_VALUE"""),"")</f>
        <v/>
      </c>
      <c r="J5208" t="str">
        <f>IFERROR(__xludf.DUMMYFUNCTION("IFS(
  AND(REGEXMATCH(E5208, ""台銀籌備帳戶|玉山帳戶""), REGEXMATCH(C5208, ""薪資"")), ""分潤支出"",
  AND(REGEXMATCH(E5208, ""Ben帳戶|Elsa帳戶|Ben代墊|Ariel代墊|中信銀行共用""), REGEXMATCH(F5208, ""Ben帳戶|Elsa帳戶|Ben代墊|Ariel代墊|中信銀行共用"")), ""內部轉帳(忽略)"",
  AND(E5208&lt;&gt;"""", F5208&lt;&gt;"""", N"&amp;"OT(REGEXMATCH(C5208, ""薪資""))), ""內部轉帳(忽略)"",
  REGEXMATCH(C5208, ""薪資""), ""薪資變動(不計入)"",
  REGEXMATCH(C5208, ""押金""), ""押金往來"",
  AND(E5208&lt;&gt;"""", F5208=""""), ""真實支出"",
  AND(E5208="""", F5208&lt;&gt;""""), ""真實收入"",
  TRUE, ""其他""
)"),"其他")</f>
        <v>其他</v>
      </c>
      <c r="K5208" s="270" t="str">
        <f t="shared" si="2"/>
        <v/>
      </c>
      <c r="L5208">
        <f t="shared" si="3"/>
        <v>0</v>
      </c>
    </row>
    <row r="5209">
      <c r="A5209" s="107"/>
      <c r="D5209" s="270"/>
      <c r="H5209" s="106" t="str">
        <f t="shared" si="1"/>
        <v/>
      </c>
      <c r="I5209" s="271" t="str">
        <f>IFERROR(__xludf.DUMMYFUNCTION("""COMPUTED_VALUE"""),"")</f>
        <v/>
      </c>
      <c r="J5209" t="str">
        <f>IFERROR(__xludf.DUMMYFUNCTION("IFS(
  AND(REGEXMATCH(E5209, ""台銀籌備帳戶|玉山帳戶""), REGEXMATCH(C5209, ""薪資"")), ""分潤支出"",
  AND(REGEXMATCH(E5209, ""Ben帳戶|Elsa帳戶|Ben代墊|Ariel代墊|中信銀行共用""), REGEXMATCH(F5209, ""Ben帳戶|Elsa帳戶|Ben代墊|Ariel代墊|中信銀行共用"")), ""內部轉帳(忽略)"",
  AND(E5209&lt;&gt;"""", F5209&lt;&gt;"""", N"&amp;"OT(REGEXMATCH(C5209, ""薪資""))), ""內部轉帳(忽略)"",
  REGEXMATCH(C5209, ""薪資""), ""薪資變動(不計入)"",
  REGEXMATCH(C5209, ""押金""), ""押金往來"",
  AND(E5209&lt;&gt;"""", F5209=""""), ""真實支出"",
  AND(E5209="""", F5209&lt;&gt;""""), ""真實收入"",
  TRUE, ""其他""
)"),"其他")</f>
        <v>其他</v>
      </c>
      <c r="K5209" s="270" t="str">
        <f t="shared" si="2"/>
        <v/>
      </c>
      <c r="L5209">
        <f t="shared" si="3"/>
        <v>0</v>
      </c>
    </row>
    <row r="5210">
      <c r="A5210" s="107"/>
      <c r="D5210" s="270"/>
      <c r="H5210" s="106" t="str">
        <f t="shared" si="1"/>
        <v/>
      </c>
      <c r="I5210" s="271" t="str">
        <f>IFERROR(__xludf.DUMMYFUNCTION("""COMPUTED_VALUE"""),"")</f>
        <v/>
      </c>
      <c r="J5210" t="str">
        <f>IFERROR(__xludf.DUMMYFUNCTION("IFS(
  AND(REGEXMATCH(E5210, ""台銀籌備帳戶|玉山帳戶""), REGEXMATCH(C5210, ""薪資"")), ""分潤支出"",
  AND(REGEXMATCH(E5210, ""Ben帳戶|Elsa帳戶|Ben代墊|Ariel代墊|中信銀行共用""), REGEXMATCH(F5210, ""Ben帳戶|Elsa帳戶|Ben代墊|Ariel代墊|中信銀行共用"")), ""內部轉帳(忽略)"",
  AND(E5210&lt;&gt;"""", F5210&lt;&gt;"""", N"&amp;"OT(REGEXMATCH(C5210, ""薪資""))), ""內部轉帳(忽略)"",
  REGEXMATCH(C5210, ""薪資""), ""薪資變動(不計入)"",
  REGEXMATCH(C5210, ""押金""), ""押金往來"",
  AND(E5210&lt;&gt;"""", F5210=""""), ""真實支出"",
  AND(E5210="""", F5210&lt;&gt;""""), ""真實收入"",
  TRUE, ""其他""
)"),"其他")</f>
        <v>其他</v>
      </c>
      <c r="K5210" s="270" t="str">
        <f t="shared" si="2"/>
        <v/>
      </c>
      <c r="L5210">
        <f t="shared" si="3"/>
        <v>0</v>
      </c>
    </row>
    <row r="5211">
      <c r="A5211" s="107"/>
      <c r="D5211" s="270"/>
      <c r="H5211" s="106" t="str">
        <f t="shared" si="1"/>
        <v/>
      </c>
      <c r="I5211" s="271" t="str">
        <f>IFERROR(__xludf.DUMMYFUNCTION("""COMPUTED_VALUE"""),"")</f>
        <v/>
      </c>
      <c r="J5211" t="str">
        <f>IFERROR(__xludf.DUMMYFUNCTION("IFS(
  AND(REGEXMATCH(E5211, ""台銀籌備帳戶|玉山帳戶""), REGEXMATCH(C5211, ""薪資"")), ""分潤支出"",
  AND(REGEXMATCH(E5211, ""Ben帳戶|Elsa帳戶|Ben代墊|Ariel代墊|中信銀行共用""), REGEXMATCH(F5211, ""Ben帳戶|Elsa帳戶|Ben代墊|Ariel代墊|中信銀行共用"")), ""內部轉帳(忽略)"",
  AND(E5211&lt;&gt;"""", F5211&lt;&gt;"""", N"&amp;"OT(REGEXMATCH(C5211, ""薪資""))), ""內部轉帳(忽略)"",
  REGEXMATCH(C5211, ""薪資""), ""薪資變動(不計入)"",
  REGEXMATCH(C5211, ""押金""), ""押金往來"",
  AND(E5211&lt;&gt;"""", F5211=""""), ""真實支出"",
  AND(E5211="""", F5211&lt;&gt;""""), ""真實收入"",
  TRUE, ""其他""
)"),"其他")</f>
        <v>其他</v>
      </c>
      <c r="K5211" s="270" t="str">
        <f t="shared" si="2"/>
        <v/>
      </c>
      <c r="L5211">
        <f t="shared" si="3"/>
        <v>0</v>
      </c>
    </row>
    <row r="5212">
      <c r="A5212" s="107"/>
      <c r="D5212" s="270"/>
      <c r="H5212" s="106" t="str">
        <f t="shared" si="1"/>
        <v/>
      </c>
      <c r="I5212" s="271" t="str">
        <f>IFERROR(__xludf.DUMMYFUNCTION("""COMPUTED_VALUE"""),"")</f>
        <v/>
      </c>
      <c r="J5212" t="str">
        <f>IFERROR(__xludf.DUMMYFUNCTION("IFS(
  AND(REGEXMATCH(E5212, ""台銀籌備帳戶|玉山帳戶""), REGEXMATCH(C5212, ""薪資"")), ""分潤支出"",
  AND(REGEXMATCH(E5212, ""Ben帳戶|Elsa帳戶|Ben代墊|Ariel代墊|中信銀行共用""), REGEXMATCH(F5212, ""Ben帳戶|Elsa帳戶|Ben代墊|Ariel代墊|中信銀行共用"")), ""內部轉帳(忽略)"",
  AND(E5212&lt;&gt;"""", F5212&lt;&gt;"""", N"&amp;"OT(REGEXMATCH(C5212, ""薪資""))), ""內部轉帳(忽略)"",
  REGEXMATCH(C5212, ""薪資""), ""薪資變動(不計入)"",
  REGEXMATCH(C5212, ""押金""), ""押金往來"",
  AND(E5212&lt;&gt;"""", F5212=""""), ""真實支出"",
  AND(E5212="""", F5212&lt;&gt;""""), ""真實收入"",
  TRUE, ""其他""
)"),"其他")</f>
        <v>其他</v>
      </c>
      <c r="K5212" s="270" t="str">
        <f t="shared" si="2"/>
        <v/>
      </c>
      <c r="L5212">
        <f t="shared" si="3"/>
        <v>0</v>
      </c>
    </row>
    <row r="5213">
      <c r="A5213" s="107"/>
      <c r="D5213" s="270"/>
      <c r="H5213" s="106" t="str">
        <f t="shared" si="1"/>
        <v/>
      </c>
      <c r="I5213" s="271" t="str">
        <f>IFERROR(__xludf.DUMMYFUNCTION("""COMPUTED_VALUE"""),"")</f>
        <v/>
      </c>
      <c r="J5213" t="str">
        <f>IFERROR(__xludf.DUMMYFUNCTION("IFS(
  AND(REGEXMATCH(E5213, ""台銀籌備帳戶|玉山帳戶""), REGEXMATCH(C5213, ""薪資"")), ""分潤支出"",
  AND(REGEXMATCH(E5213, ""Ben帳戶|Elsa帳戶|Ben代墊|Ariel代墊|中信銀行共用""), REGEXMATCH(F5213, ""Ben帳戶|Elsa帳戶|Ben代墊|Ariel代墊|中信銀行共用"")), ""內部轉帳(忽略)"",
  AND(E5213&lt;&gt;"""", F5213&lt;&gt;"""", N"&amp;"OT(REGEXMATCH(C5213, ""薪資""))), ""內部轉帳(忽略)"",
  REGEXMATCH(C5213, ""薪資""), ""薪資變動(不計入)"",
  REGEXMATCH(C5213, ""押金""), ""押金往來"",
  AND(E5213&lt;&gt;"""", F5213=""""), ""真實支出"",
  AND(E5213="""", F5213&lt;&gt;""""), ""真實收入"",
  TRUE, ""其他""
)"),"其他")</f>
        <v>其他</v>
      </c>
      <c r="K5213" s="270" t="str">
        <f t="shared" si="2"/>
        <v/>
      </c>
      <c r="L5213">
        <f t="shared" si="3"/>
        <v>0</v>
      </c>
    </row>
    <row r="5214">
      <c r="A5214" s="107"/>
      <c r="D5214" s="270"/>
      <c r="H5214" s="106" t="str">
        <f t="shared" si="1"/>
        <v/>
      </c>
      <c r="I5214" s="271" t="str">
        <f>IFERROR(__xludf.DUMMYFUNCTION("""COMPUTED_VALUE"""),"")</f>
        <v/>
      </c>
      <c r="J5214" t="str">
        <f>IFERROR(__xludf.DUMMYFUNCTION("IFS(
  AND(REGEXMATCH(E5214, ""台銀籌備帳戶|玉山帳戶""), REGEXMATCH(C5214, ""薪資"")), ""分潤支出"",
  AND(REGEXMATCH(E5214, ""Ben帳戶|Elsa帳戶|Ben代墊|Ariel代墊|中信銀行共用""), REGEXMATCH(F5214, ""Ben帳戶|Elsa帳戶|Ben代墊|Ariel代墊|中信銀行共用"")), ""內部轉帳(忽略)"",
  AND(E5214&lt;&gt;"""", F5214&lt;&gt;"""", N"&amp;"OT(REGEXMATCH(C5214, ""薪資""))), ""內部轉帳(忽略)"",
  REGEXMATCH(C5214, ""薪資""), ""薪資變動(不計入)"",
  REGEXMATCH(C5214, ""押金""), ""押金往來"",
  AND(E5214&lt;&gt;"""", F5214=""""), ""真實支出"",
  AND(E5214="""", F5214&lt;&gt;""""), ""真實收入"",
  TRUE, ""其他""
)"),"其他")</f>
        <v>其他</v>
      </c>
      <c r="K5214" s="270" t="str">
        <f t="shared" si="2"/>
        <v/>
      </c>
      <c r="L5214">
        <f t="shared" si="3"/>
        <v>0</v>
      </c>
    </row>
    <row r="5215">
      <c r="A5215" s="107"/>
      <c r="D5215" s="270"/>
      <c r="H5215" s="106" t="str">
        <f t="shared" si="1"/>
        <v/>
      </c>
      <c r="I5215" s="271" t="str">
        <f>IFERROR(__xludf.DUMMYFUNCTION("""COMPUTED_VALUE"""),"")</f>
        <v/>
      </c>
      <c r="J5215" t="str">
        <f>IFERROR(__xludf.DUMMYFUNCTION("IFS(
  AND(REGEXMATCH(E5215, ""台銀籌備帳戶|玉山帳戶""), REGEXMATCH(C5215, ""薪資"")), ""分潤支出"",
  AND(REGEXMATCH(E5215, ""Ben帳戶|Elsa帳戶|Ben代墊|Ariel代墊|中信銀行共用""), REGEXMATCH(F5215, ""Ben帳戶|Elsa帳戶|Ben代墊|Ariel代墊|中信銀行共用"")), ""內部轉帳(忽略)"",
  AND(E5215&lt;&gt;"""", F5215&lt;&gt;"""", N"&amp;"OT(REGEXMATCH(C5215, ""薪資""))), ""內部轉帳(忽略)"",
  REGEXMATCH(C5215, ""薪資""), ""薪資變動(不計入)"",
  REGEXMATCH(C5215, ""押金""), ""押金往來"",
  AND(E5215&lt;&gt;"""", F5215=""""), ""真實支出"",
  AND(E5215="""", F5215&lt;&gt;""""), ""真實收入"",
  TRUE, ""其他""
)"),"其他")</f>
        <v>其他</v>
      </c>
      <c r="K5215" s="270" t="str">
        <f t="shared" si="2"/>
        <v/>
      </c>
      <c r="L5215">
        <f t="shared" si="3"/>
        <v>0</v>
      </c>
    </row>
    <row r="5216">
      <c r="A5216" s="107"/>
      <c r="D5216" s="270"/>
      <c r="H5216" s="106" t="str">
        <f t="shared" si="1"/>
        <v/>
      </c>
      <c r="I5216" s="271" t="str">
        <f>IFERROR(__xludf.DUMMYFUNCTION("""COMPUTED_VALUE"""),"")</f>
        <v/>
      </c>
      <c r="J5216" t="str">
        <f>IFERROR(__xludf.DUMMYFUNCTION("IFS(
  AND(REGEXMATCH(E5216, ""台銀籌備帳戶|玉山帳戶""), REGEXMATCH(C5216, ""薪資"")), ""分潤支出"",
  AND(REGEXMATCH(E5216, ""Ben帳戶|Elsa帳戶|Ben代墊|Ariel代墊|中信銀行共用""), REGEXMATCH(F5216, ""Ben帳戶|Elsa帳戶|Ben代墊|Ariel代墊|中信銀行共用"")), ""內部轉帳(忽略)"",
  AND(E5216&lt;&gt;"""", F5216&lt;&gt;"""", N"&amp;"OT(REGEXMATCH(C5216, ""薪資""))), ""內部轉帳(忽略)"",
  REGEXMATCH(C5216, ""薪資""), ""薪資變動(不計入)"",
  REGEXMATCH(C5216, ""押金""), ""押金往來"",
  AND(E5216&lt;&gt;"""", F5216=""""), ""真實支出"",
  AND(E5216="""", F5216&lt;&gt;""""), ""真實收入"",
  TRUE, ""其他""
)"),"其他")</f>
        <v>其他</v>
      </c>
      <c r="K5216" s="270" t="str">
        <f t="shared" si="2"/>
        <v/>
      </c>
      <c r="L5216">
        <f t="shared" si="3"/>
        <v>0</v>
      </c>
    </row>
    <row r="5217">
      <c r="A5217" s="107"/>
      <c r="D5217" s="270"/>
      <c r="H5217" s="106" t="str">
        <f t="shared" si="1"/>
        <v/>
      </c>
      <c r="I5217" s="271" t="str">
        <f>IFERROR(__xludf.DUMMYFUNCTION("""COMPUTED_VALUE"""),"")</f>
        <v/>
      </c>
      <c r="J5217" t="str">
        <f>IFERROR(__xludf.DUMMYFUNCTION("IFS(
  AND(REGEXMATCH(E5217, ""台銀籌備帳戶|玉山帳戶""), REGEXMATCH(C5217, ""薪資"")), ""分潤支出"",
  AND(REGEXMATCH(E5217, ""Ben帳戶|Elsa帳戶|Ben代墊|Ariel代墊|中信銀行共用""), REGEXMATCH(F5217, ""Ben帳戶|Elsa帳戶|Ben代墊|Ariel代墊|中信銀行共用"")), ""內部轉帳(忽略)"",
  AND(E5217&lt;&gt;"""", F5217&lt;&gt;"""", N"&amp;"OT(REGEXMATCH(C5217, ""薪資""))), ""內部轉帳(忽略)"",
  REGEXMATCH(C5217, ""薪資""), ""薪資變動(不計入)"",
  REGEXMATCH(C5217, ""押金""), ""押金往來"",
  AND(E5217&lt;&gt;"""", F5217=""""), ""真實支出"",
  AND(E5217="""", F5217&lt;&gt;""""), ""真實收入"",
  TRUE, ""其他""
)"),"其他")</f>
        <v>其他</v>
      </c>
      <c r="K5217" s="270" t="str">
        <f t="shared" si="2"/>
        <v/>
      </c>
      <c r="L5217">
        <f t="shared" si="3"/>
        <v>0</v>
      </c>
    </row>
    <row r="5218">
      <c r="A5218" s="107"/>
      <c r="D5218" s="270"/>
      <c r="H5218" s="106" t="str">
        <f t="shared" si="1"/>
        <v/>
      </c>
      <c r="I5218" s="271" t="str">
        <f>IFERROR(__xludf.DUMMYFUNCTION("""COMPUTED_VALUE"""),"")</f>
        <v/>
      </c>
      <c r="J5218" t="str">
        <f>IFERROR(__xludf.DUMMYFUNCTION("IFS(
  AND(REGEXMATCH(E5218, ""台銀籌備帳戶|玉山帳戶""), REGEXMATCH(C5218, ""薪資"")), ""分潤支出"",
  AND(REGEXMATCH(E5218, ""Ben帳戶|Elsa帳戶|Ben代墊|Ariel代墊|中信銀行共用""), REGEXMATCH(F5218, ""Ben帳戶|Elsa帳戶|Ben代墊|Ariel代墊|中信銀行共用"")), ""內部轉帳(忽略)"",
  AND(E5218&lt;&gt;"""", F5218&lt;&gt;"""", N"&amp;"OT(REGEXMATCH(C5218, ""薪資""))), ""內部轉帳(忽略)"",
  REGEXMATCH(C5218, ""薪資""), ""薪資變動(不計入)"",
  REGEXMATCH(C5218, ""押金""), ""押金往來"",
  AND(E5218&lt;&gt;"""", F5218=""""), ""真實支出"",
  AND(E5218="""", F5218&lt;&gt;""""), ""真實收入"",
  TRUE, ""其他""
)"),"其他")</f>
        <v>其他</v>
      </c>
      <c r="K5218" s="270" t="str">
        <f t="shared" si="2"/>
        <v/>
      </c>
      <c r="L5218">
        <f t="shared" si="3"/>
        <v>0</v>
      </c>
    </row>
    <row r="5219">
      <c r="A5219" s="107"/>
      <c r="D5219" s="270"/>
      <c r="H5219" s="106" t="str">
        <f t="shared" si="1"/>
        <v/>
      </c>
      <c r="I5219" s="271" t="str">
        <f>IFERROR(__xludf.DUMMYFUNCTION("""COMPUTED_VALUE"""),"")</f>
        <v/>
      </c>
      <c r="J5219" t="str">
        <f>IFERROR(__xludf.DUMMYFUNCTION("IFS(
  AND(REGEXMATCH(E5219, ""台銀籌備帳戶|玉山帳戶""), REGEXMATCH(C5219, ""薪資"")), ""分潤支出"",
  AND(REGEXMATCH(E5219, ""Ben帳戶|Elsa帳戶|Ben代墊|Ariel代墊|中信銀行共用""), REGEXMATCH(F5219, ""Ben帳戶|Elsa帳戶|Ben代墊|Ariel代墊|中信銀行共用"")), ""內部轉帳(忽略)"",
  AND(E5219&lt;&gt;"""", F5219&lt;&gt;"""", N"&amp;"OT(REGEXMATCH(C5219, ""薪資""))), ""內部轉帳(忽略)"",
  REGEXMATCH(C5219, ""薪資""), ""薪資變動(不計入)"",
  REGEXMATCH(C5219, ""押金""), ""押金往來"",
  AND(E5219&lt;&gt;"""", F5219=""""), ""真實支出"",
  AND(E5219="""", F5219&lt;&gt;""""), ""真實收入"",
  TRUE, ""其他""
)"),"其他")</f>
        <v>其他</v>
      </c>
      <c r="K5219" s="270" t="str">
        <f t="shared" si="2"/>
        <v/>
      </c>
      <c r="L5219">
        <f t="shared" si="3"/>
        <v>0</v>
      </c>
    </row>
    <row r="5220">
      <c r="A5220" s="107"/>
      <c r="D5220" s="270"/>
      <c r="H5220" s="106" t="str">
        <f t="shared" si="1"/>
        <v/>
      </c>
      <c r="I5220" s="271" t="str">
        <f>IFERROR(__xludf.DUMMYFUNCTION("""COMPUTED_VALUE"""),"")</f>
        <v/>
      </c>
      <c r="J5220" t="str">
        <f>IFERROR(__xludf.DUMMYFUNCTION("IFS(
  AND(REGEXMATCH(E5220, ""台銀籌備帳戶|玉山帳戶""), REGEXMATCH(C5220, ""薪資"")), ""分潤支出"",
  AND(REGEXMATCH(E5220, ""Ben帳戶|Elsa帳戶|Ben代墊|Ariel代墊|中信銀行共用""), REGEXMATCH(F5220, ""Ben帳戶|Elsa帳戶|Ben代墊|Ariel代墊|中信銀行共用"")), ""內部轉帳(忽略)"",
  AND(E5220&lt;&gt;"""", F5220&lt;&gt;"""", N"&amp;"OT(REGEXMATCH(C5220, ""薪資""))), ""內部轉帳(忽略)"",
  REGEXMATCH(C5220, ""薪資""), ""薪資變動(不計入)"",
  REGEXMATCH(C5220, ""押金""), ""押金往來"",
  AND(E5220&lt;&gt;"""", F5220=""""), ""真實支出"",
  AND(E5220="""", F5220&lt;&gt;""""), ""真實收入"",
  TRUE, ""其他""
)"),"其他")</f>
        <v>其他</v>
      </c>
      <c r="K5220" s="270" t="str">
        <f t="shared" si="2"/>
        <v/>
      </c>
      <c r="L5220">
        <f t="shared" si="3"/>
        <v>0</v>
      </c>
    </row>
    <row r="5221">
      <c r="A5221" s="107"/>
      <c r="D5221" s="270"/>
      <c r="H5221" s="106" t="str">
        <f t="shared" si="1"/>
        <v/>
      </c>
      <c r="I5221" s="271" t="str">
        <f>IFERROR(__xludf.DUMMYFUNCTION("""COMPUTED_VALUE"""),"")</f>
        <v/>
      </c>
      <c r="J5221" t="str">
        <f>IFERROR(__xludf.DUMMYFUNCTION("IFS(
  AND(REGEXMATCH(E5221, ""台銀籌備帳戶|玉山帳戶""), REGEXMATCH(C5221, ""薪資"")), ""分潤支出"",
  AND(REGEXMATCH(E5221, ""Ben帳戶|Elsa帳戶|Ben代墊|Ariel代墊|中信銀行共用""), REGEXMATCH(F5221, ""Ben帳戶|Elsa帳戶|Ben代墊|Ariel代墊|中信銀行共用"")), ""內部轉帳(忽略)"",
  AND(E5221&lt;&gt;"""", F5221&lt;&gt;"""", N"&amp;"OT(REGEXMATCH(C5221, ""薪資""))), ""內部轉帳(忽略)"",
  REGEXMATCH(C5221, ""薪資""), ""薪資變動(不計入)"",
  REGEXMATCH(C5221, ""押金""), ""押金往來"",
  AND(E5221&lt;&gt;"""", F5221=""""), ""真實支出"",
  AND(E5221="""", F5221&lt;&gt;""""), ""真實收入"",
  TRUE, ""其他""
)"),"其他")</f>
        <v>其他</v>
      </c>
      <c r="K5221" s="270" t="str">
        <f t="shared" si="2"/>
        <v/>
      </c>
      <c r="L5221">
        <f t="shared" si="3"/>
        <v>0</v>
      </c>
    </row>
    <row r="5222">
      <c r="A5222" s="107"/>
      <c r="D5222" s="270"/>
      <c r="H5222" s="106" t="str">
        <f t="shared" si="1"/>
        <v/>
      </c>
      <c r="I5222" s="271" t="str">
        <f>IFERROR(__xludf.DUMMYFUNCTION("""COMPUTED_VALUE"""),"")</f>
        <v/>
      </c>
      <c r="J5222" t="str">
        <f>IFERROR(__xludf.DUMMYFUNCTION("IFS(
  AND(REGEXMATCH(E5222, ""台銀籌備帳戶|玉山帳戶""), REGEXMATCH(C5222, ""薪資"")), ""分潤支出"",
  AND(REGEXMATCH(E5222, ""Ben帳戶|Elsa帳戶|Ben代墊|Ariel代墊|中信銀行共用""), REGEXMATCH(F5222, ""Ben帳戶|Elsa帳戶|Ben代墊|Ariel代墊|中信銀行共用"")), ""內部轉帳(忽略)"",
  AND(E5222&lt;&gt;"""", F5222&lt;&gt;"""", N"&amp;"OT(REGEXMATCH(C5222, ""薪資""))), ""內部轉帳(忽略)"",
  REGEXMATCH(C5222, ""薪資""), ""薪資變動(不計入)"",
  REGEXMATCH(C5222, ""押金""), ""押金往來"",
  AND(E5222&lt;&gt;"""", F5222=""""), ""真實支出"",
  AND(E5222="""", F5222&lt;&gt;""""), ""真實收入"",
  TRUE, ""其他""
)"),"其他")</f>
        <v>其他</v>
      </c>
      <c r="K5222" s="270" t="str">
        <f t="shared" si="2"/>
        <v/>
      </c>
      <c r="L5222">
        <f t="shared" si="3"/>
        <v>0</v>
      </c>
    </row>
    <row r="5223">
      <c r="A5223" s="107"/>
      <c r="D5223" s="270"/>
      <c r="H5223" s="106" t="str">
        <f t="shared" si="1"/>
        <v/>
      </c>
      <c r="I5223" s="271" t="str">
        <f>IFERROR(__xludf.DUMMYFUNCTION("""COMPUTED_VALUE"""),"")</f>
        <v/>
      </c>
      <c r="J5223" t="str">
        <f>IFERROR(__xludf.DUMMYFUNCTION("IFS(
  AND(REGEXMATCH(E5223, ""台銀籌備帳戶|玉山帳戶""), REGEXMATCH(C5223, ""薪資"")), ""分潤支出"",
  AND(REGEXMATCH(E5223, ""Ben帳戶|Elsa帳戶|Ben代墊|Ariel代墊|中信銀行共用""), REGEXMATCH(F5223, ""Ben帳戶|Elsa帳戶|Ben代墊|Ariel代墊|中信銀行共用"")), ""內部轉帳(忽略)"",
  AND(E5223&lt;&gt;"""", F5223&lt;&gt;"""", N"&amp;"OT(REGEXMATCH(C5223, ""薪資""))), ""內部轉帳(忽略)"",
  REGEXMATCH(C5223, ""薪資""), ""薪資變動(不計入)"",
  REGEXMATCH(C5223, ""押金""), ""押金往來"",
  AND(E5223&lt;&gt;"""", F5223=""""), ""真實支出"",
  AND(E5223="""", F5223&lt;&gt;""""), ""真實收入"",
  TRUE, ""其他""
)"),"其他")</f>
        <v>其他</v>
      </c>
      <c r="K5223" s="270" t="str">
        <f t="shared" si="2"/>
        <v/>
      </c>
      <c r="L5223">
        <f t="shared" si="3"/>
        <v>0</v>
      </c>
    </row>
    <row r="5224">
      <c r="A5224" s="107"/>
      <c r="D5224" s="270"/>
      <c r="H5224" s="106" t="str">
        <f t="shared" si="1"/>
        <v/>
      </c>
      <c r="I5224" s="271" t="str">
        <f>IFERROR(__xludf.DUMMYFUNCTION("""COMPUTED_VALUE"""),"")</f>
        <v/>
      </c>
      <c r="J5224" t="str">
        <f>IFERROR(__xludf.DUMMYFUNCTION("IFS(
  AND(REGEXMATCH(E5224, ""台銀籌備帳戶|玉山帳戶""), REGEXMATCH(C5224, ""薪資"")), ""分潤支出"",
  AND(REGEXMATCH(E5224, ""Ben帳戶|Elsa帳戶|Ben代墊|Ariel代墊|中信銀行共用""), REGEXMATCH(F5224, ""Ben帳戶|Elsa帳戶|Ben代墊|Ariel代墊|中信銀行共用"")), ""內部轉帳(忽略)"",
  AND(E5224&lt;&gt;"""", F5224&lt;&gt;"""", N"&amp;"OT(REGEXMATCH(C5224, ""薪資""))), ""內部轉帳(忽略)"",
  REGEXMATCH(C5224, ""薪資""), ""薪資變動(不計入)"",
  REGEXMATCH(C5224, ""押金""), ""押金往來"",
  AND(E5224&lt;&gt;"""", F5224=""""), ""真實支出"",
  AND(E5224="""", F5224&lt;&gt;""""), ""真實收入"",
  TRUE, ""其他""
)"),"其他")</f>
        <v>其他</v>
      </c>
      <c r="K5224" s="270" t="str">
        <f t="shared" si="2"/>
        <v/>
      </c>
      <c r="L5224">
        <f t="shared" si="3"/>
        <v>0</v>
      </c>
    </row>
    <row r="5225">
      <c r="A5225" s="107"/>
      <c r="D5225" s="270"/>
      <c r="H5225" s="106" t="str">
        <f t="shared" si="1"/>
        <v/>
      </c>
      <c r="I5225" s="271" t="str">
        <f>IFERROR(__xludf.DUMMYFUNCTION("""COMPUTED_VALUE"""),"")</f>
        <v/>
      </c>
      <c r="J5225" t="str">
        <f>IFERROR(__xludf.DUMMYFUNCTION("IFS(
  AND(REGEXMATCH(E5225, ""台銀籌備帳戶|玉山帳戶""), REGEXMATCH(C5225, ""薪資"")), ""分潤支出"",
  AND(REGEXMATCH(E5225, ""Ben帳戶|Elsa帳戶|Ben代墊|Ariel代墊|中信銀行共用""), REGEXMATCH(F5225, ""Ben帳戶|Elsa帳戶|Ben代墊|Ariel代墊|中信銀行共用"")), ""內部轉帳(忽略)"",
  AND(E5225&lt;&gt;"""", F5225&lt;&gt;"""", N"&amp;"OT(REGEXMATCH(C5225, ""薪資""))), ""內部轉帳(忽略)"",
  REGEXMATCH(C5225, ""薪資""), ""薪資變動(不計入)"",
  REGEXMATCH(C5225, ""押金""), ""押金往來"",
  AND(E5225&lt;&gt;"""", F5225=""""), ""真實支出"",
  AND(E5225="""", F5225&lt;&gt;""""), ""真實收入"",
  TRUE, ""其他""
)"),"其他")</f>
        <v>其他</v>
      </c>
      <c r="K5225" s="270" t="str">
        <f t="shared" si="2"/>
        <v/>
      </c>
      <c r="L5225">
        <f t="shared" si="3"/>
        <v>0</v>
      </c>
    </row>
    <row r="5226">
      <c r="A5226" s="107"/>
      <c r="D5226" s="270"/>
      <c r="H5226" s="106" t="str">
        <f t="shared" si="1"/>
        <v/>
      </c>
      <c r="I5226" s="271" t="str">
        <f>IFERROR(__xludf.DUMMYFUNCTION("""COMPUTED_VALUE"""),"")</f>
        <v/>
      </c>
      <c r="J5226" t="str">
        <f>IFERROR(__xludf.DUMMYFUNCTION("IFS(
  AND(REGEXMATCH(E5226, ""台銀籌備帳戶|玉山帳戶""), REGEXMATCH(C5226, ""薪資"")), ""分潤支出"",
  AND(REGEXMATCH(E5226, ""Ben帳戶|Elsa帳戶|Ben代墊|Ariel代墊|中信銀行共用""), REGEXMATCH(F5226, ""Ben帳戶|Elsa帳戶|Ben代墊|Ariel代墊|中信銀行共用"")), ""內部轉帳(忽略)"",
  AND(E5226&lt;&gt;"""", F5226&lt;&gt;"""", N"&amp;"OT(REGEXMATCH(C5226, ""薪資""))), ""內部轉帳(忽略)"",
  REGEXMATCH(C5226, ""薪資""), ""薪資變動(不計入)"",
  REGEXMATCH(C5226, ""押金""), ""押金往來"",
  AND(E5226&lt;&gt;"""", F5226=""""), ""真實支出"",
  AND(E5226="""", F5226&lt;&gt;""""), ""真實收入"",
  TRUE, ""其他""
)"),"其他")</f>
        <v>其他</v>
      </c>
      <c r="K5226" s="270" t="str">
        <f t="shared" si="2"/>
        <v/>
      </c>
      <c r="L5226">
        <f t="shared" si="3"/>
        <v>0</v>
      </c>
    </row>
    <row r="5227">
      <c r="A5227" s="107"/>
      <c r="D5227" s="270"/>
      <c r="H5227" s="106" t="str">
        <f t="shared" si="1"/>
        <v/>
      </c>
      <c r="I5227" s="271" t="str">
        <f>IFERROR(__xludf.DUMMYFUNCTION("""COMPUTED_VALUE"""),"")</f>
        <v/>
      </c>
      <c r="J5227" t="str">
        <f>IFERROR(__xludf.DUMMYFUNCTION("IFS(
  AND(REGEXMATCH(E5227, ""台銀籌備帳戶|玉山帳戶""), REGEXMATCH(C5227, ""薪資"")), ""分潤支出"",
  AND(REGEXMATCH(E5227, ""Ben帳戶|Elsa帳戶|Ben代墊|Ariel代墊|中信銀行共用""), REGEXMATCH(F5227, ""Ben帳戶|Elsa帳戶|Ben代墊|Ariel代墊|中信銀行共用"")), ""內部轉帳(忽略)"",
  AND(E5227&lt;&gt;"""", F5227&lt;&gt;"""", N"&amp;"OT(REGEXMATCH(C5227, ""薪資""))), ""內部轉帳(忽略)"",
  REGEXMATCH(C5227, ""薪資""), ""薪資變動(不計入)"",
  REGEXMATCH(C5227, ""押金""), ""押金往來"",
  AND(E5227&lt;&gt;"""", F5227=""""), ""真實支出"",
  AND(E5227="""", F5227&lt;&gt;""""), ""真實收入"",
  TRUE, ""其他""
)"),"其他")</f>
        <v>其他</v>
      </c>
      <c r="K5227" s="270" t="str">
        <f t="shared" si="2"/>
        <v/>
      </c>
      <c r="L5227">
        <f t="shared" si="3"/>
        <v>0</v>
      </c>
    </row>
    <row r="5228">
      <c r="A5228" s="107"/>
      <c r="D5228" s="270"/>
      <c r="H5228" s="106" t="str">
        <f t="shared" si="1"/>
        <v/>
      </c>
      <c r="I5228" s="271" t="str">
        <f>IFERROR(__xludf.DUMMYFUNCTION("""COMPUTED_VALUE"""),"")</f>
        <v/>
      </c>
      <c r="J5228" t="str">
        <f>IFERROR(__xludf.DUMMYFUNCTION("IFS(
  AND(REGEXMATCH(E5228, ""台銀籌備帳戶|玉山帳戶""), REGEXMATCH(C5228, ""薪資"")), ""分潤支出"",
  AND(REGEXMATCH(E5228, ""Ben帳戶|Elsa帳戶|Ben代墊|Ariel代墊|中信銀行共用""), REGEXMATCH(F5228, ""Ben帳戶|Elsa帳戶|Ben代墊|Ariel代墊|中信銀行共用"")), ""內部轉帳(忽略)"",
  AND(E5228&lt;&gt;"""", F5228&lt;&gt;"""", N"&amp;"OT(REGEXMATCH(C5228, ""薪資""))), ""內部轉帳(忽略)"",
  REGEXMATCH(C5228, ""薪資""), ""薪資變動(不計入)"",
  REGEXMATCH(C5228, ""押金""), ""押金往來"",
  AND(E5228&lt;&gt;"""", F5228=""""), ""真實支出"",
  AND(E5228="""", F5228&lt;&gt;""""), ""真實收入"",
  TRUE, ""其他""
)"),"其他")</f>
        <v>其他</v>
      </c>
      <c r="K5228" s="270" t="str">
        <f t="shared" si="2"/>
        <v/>
      </c>
      <c r="L5228">
        <f t="shared" si="3"/>
        <v>0</v>
      </c>
    </row>
    <row r="5229">
      <c r="A5229" s="107"/>
      <c r="D5229" s="270"/>
      <c r="H5229" s="106" t="str">
        <f t="shared" si="1"/>
        <v/>
      </c>
      <c r="I5229" s="271" t="str">
        <f>IFERROR(__xludf.DUMMYFUNCTION("""COMPUTED_VALUE"""),"")</f>
        <v/>
      </c>
      <c r="J5229" t="str">
        <f>IFERROR(__xludf.DUMMYFUNCTION("IFS(
  AND(REGEXMATCH(E5229, ""台銀籌備帳戶|玉山帳戶""), REGEXMATCH(C5229, ""薪資"")), ""分潤支出"",
  AND(REGEXMATCH(E5229, ""Ben帳戶|Elsa帳戶|Ben代墊|Ariel代墊|中信銀行共用""), REGEXMATCH(F5229, ""Ben帳戶|Elsa帳戶|Ben代墊|Ariel代墊|中信銀行共用"")), ""內部轉帳(忽略)"",
  AND(E5229&lt;&gt;"""", F5229&lt;&gt;"""", N"&amp;"OT(REGEXMATCH(C5229, ""薪資""))), ""內部轉帳(忽略)"",
  REGEXMATCH(C5229, ""薪資""), ""薪資變動(不計入)"",
  REGEXMATCH(C5229, ""押金""), ""押金往來"",
  AND(E5229&lt;&gt;"""", F5229=""""), ""真實支出"",
  AND(E5229="""", F5229&lt;&gt;""""), ""真實收入"",
  TRUE, ""其他""
)"),"其他")</f>
        <v>其他</v>
      </c>
      <c r="K5229" s="270" t="str">
        <f t="shared" si="2"/>
        <v/>
      </c>
      <c r="L5229">
        <f t="shared" si="3"/>
        <v>0</v>
      </c>
    </row>
    <row r="5230">
      <c r="A5230" s="107"/>
      <c r="D5230" s="270"/>
      <c r="H5230" s="106" t="str">
        <f t="shared" si="1"/>
        <v/>
      </c>
      <c r="I5230" s="271" t="str">
        <f>IFERROR(__xludf.DUMMYFUNCTION("""COMPUTED_VALUE"""),"")</f>
        <v/>
      </c>
      <c r="J5230" t="str">
        <f>IFERROR(__xludf.DUMMYFUNCTION("IFS(
  AND(REGEXMATCH(E5230, ""台銀籌備帳戶|玉山帳戶""), REGEXMATCH(C5230, ""薪資"")), ""分潤支出"",
  AND(REGEXMATCH(E5230, ""Ben帳戶|Elsa帳戶|Ben代墊|Ariel代墊|中信銀行共用""), REGEXMATCH(F5230, ""Ben帳戶|Elsa帳戶|Ben代墊|Ariel代墊|中信銀行共用"")), ""內部轉帳(忽略)"",
  AND(E5230&lt;&gt;"""", F5230&lt;&gt;"""", N"&amp;"OT(REGEXMATCH(C5230, ""薪資""))), ""內部轉帳(忽略)"",
  REGEXMATCH(C5230, ""薪資""), ""薪資變動(不計入)"",
  REGEXMATCH(C5230, ""押金""), ""押金往來"",
  AND(E5230&lt;&gt;"""", F5230=""""), ""真實支出"",
  AND(E5230="""", F5230&lt;&gt;""""), ""真實收入"",
  TRUE, ""其他""
)"),"其他")</f>
        <v>其他</v>
      </c>
      <c r="K5230" s="270" t="str">
        <f t="shared" si="2"/>
        <v/>
      </c>
      <c r="L5230">
        <f t="shared" si="3"/>
        <v>0</v>
      </c>
    </row>
    <row r="5231">
      <c r="A5231" s="107"/>
      <c r="D5231" s="270"/>
      <c r="H5231" s="106" t="str">
        <f t="shared" si="1"/>
        <v/>
      </c>
      <c r="I5231" s="271" t="str">
        <f>IFERROR(__xludf.DUMMYFUNCTION("""COMPUTED_VALUE"""),"")</f>
        <v/>
      </c>
      <c r="J5231" t="str">
        <f>IFERROR(__xludf.DUMMYFUNCTION("IFS(
  AND(REGEXMATCH(E5231, ""台銀籌備帳戶|玉山帳戶""), REGEXMATCH(C5231, ""薪資"")), ""分潤支出"",
  AND(REGEXMATCH(E5231, ""Ben帳戶|Elsa帳戶|Ben代墊|Ariel代墊|中信銀行共用""), REGEXMATCH(F5231, ""Ben帳戶|Elsa帳戶|Ben代墊|Ariel代墊|中信銀行共用"")), ""內部轉帳(忽略)"",
  AND(E5231&lt;&gt;"""", F5231&lt;&gt;"""", N"&amp;"OT(REGEXMATCH(C5231, ""薪資""))), ""內部轉帳(忽略)"",
  REGEXMATCH(C5231, ""薪資""), ""薪資變動(不計入)"",
  REGEXMATCH(C5231, ""押金""), ""押金往來"",
  AND(E5231&lt;&gt;"""", F5231=""""), ""真實支出"",
  AND(E5231="""", F5231&lt;&gt;""""), ""真實收入"",
  TRUE, ""其他""
)"),"其他")</f>
        <v>其他</v>
      </c>
      <c r="K5231" s="270" t="str">
        <f t="shared" si="2"/>
        <v/>
      </c>
      <c r="L5231">
        <f t="shared" si="3"/>
        <v>0</v>
      </c>
    </row>
    <row r="5232">
      <c r="A5232" s="107"/>
      <c r="D5232" s="270"/>
      <c r="H5232" s="106" t="str">
        <f t="shared" si="1"/>
        <v/>
      </c>
      <c r="I5232" s="271" t="str">
        <f>IFERROR(__xludf.DUMMYFUNCTION("""COMPUTED_VALUE"""),"")</f>
        <v/>
      </c>
      <c r="J5232" t="str">
        <f>IFERROR(__xludf.DUMMYFUNCTION("IFS(
  AND(REGEXMATCH(E5232, ""台銀籌備帳戶|玉山帳戶""), REGEXMATCH(C5232, ""薪資"")), ""分潤支出"",
  AND(REGEXMATCH(E5232, ""Ben帳戶|Elsa帳戶|Ben代墊|Ariel代墊|中信銀行共用""), REGEXMATCH(F5232, ""Ben帳戶|Elsa帳戶|Ben代墊|Ariel代墊|中信銀行共用"")), ""內部轉帳(忽略)"",
  AND(E5232&lt;&gt;"""", F5232&lt;&gt;"""", N"&amp;"OT(REGEXMATCH(C5232, ""薪資""))), ""內部轉帳(忽略)"",
  REGEXMATCH(C5232, ""薪資""), ""薪資變動(不計入)"",
  REGEXMATCH(C5232, ""押金""), ""押金往來"",
  AND(E5232&lt;&gt;"""", F5232=""""), ""真實支出"",
  AND(E5232="""", F5232&lt;&gt;""""), ""真實收入"",
  TRUE, ""其他""
)"),"其他")</f>
        <v>其他</v>
      </c>
      <c r="K5232" s="270" t="str">
        <f t="shared" si="2"/>
        <v/>
      </c>
      <c r="L5232">
        <f t="shared" si="3"/>
        <v>0</v>
      </c>
    </row>
    <row r="5233">
      <c r="A5233" s="107"/>
      <c r="D5233" s="270"/>
      <c r="H5233" s="106" t="str">
        <f t="shared" si="1"/>
        <v/>
      </c>
      <c r="I5233" s="271" t="str">
        <f>IFERROR(__xludf.DUMMYFUNCTION("""COMPUTED_VALUE"""),"")</f>
        <v/>
      </c>
      <c r="J5233" t="str">
        <f>IFERROR(__xludf.DUMMYFUNCTION("IFS(
  AND(REGEXMATCH(E5233, ""台銀籌備帳戶|玉山帳戶""), REGEXMATCH(C5233, ""薪資"")), ""分潤支出"",
  AND(REGEXMATCH(E5233, ""Ben帳戶|Elsa帳戶|Ben代墊|Ariel代墊|中信銀行共用""), REGEXMATCH(F5233, ""Ben帳戶|Elsa帳戶|Ben代墊|Ariel代墊|中信銀行共用"")), ""內部轉帳(忽略)"",
  AND(E5233&lt;&gt;"""", F5233&lt;&gt;"""", N"&amp;"OT(REGEXMATCH(C5233, ""薪資""))), ""內部轉帳(忽略)"",
  REGEXMATCH(C5233, ""薪資""), ""薪資變動(不計入)"",
  REGEXMATCH(C5233, ""押金""), ""押金往來"",
  AND(E5233&lt;&gt;"""", F5233=""""), ""真實支出"",
  AND(E5233="""", F5233&lt;&gt;""""), ""真實收入"",
  TRUE, ""其他""
)"),"其他")</f>
        <v>其他</v>
      </c>
      <c r="K5233" s="270" t="str">
        <f t="shared" si="2"/>
        <v/>
      </c>
      <c r="L5233">
        <f t="shared" si="3"/>
        <v>0</v>
      </c>
    </row>
    <row r="5234">
      <c r="A5234" s="107"/>
      <c r="D5234" s="270"/>
      <c r="H5234" s="106" t="str">
        <f t="shared" si="1"/>
        <v/>
      </c>
      <c r="I5234" s="271" t="str">
        <f>IFERROR(__xludf.DUMMYFUNCTION("""COMPUTED_VALUE"""),"")</f>
        <v/>
      </c>
      <c r="J5234" t="str">
        <f>IFERROR(__xludf.DUMMYFUNCTION("IFS(
  AND(REGEXMATCH(E5234, ""台銀籌備帳戶|玉山帳戶""), REGEXMATCH(C5234, ""薪資"")), ""分潤支出"",
  AND(REGEXMATCH(E5234, ""Ben帳戶|Elsa帳戶|Ben代墊|Ariel代墊|中信銀行共用""), REGEXMATCH(F5234, ""Ben帳戶|Elsa帳戶|Ben代墊|Ariel代墊|中信銀行共用"")), ""內部轉帳(忽略)"",
  AND(E5234&lt;&gt;"""", F5234&lt;&gt;"""", N"&amp;"OT(REGEXMATCH(C5234, ""薪資""))), ""內部轉帳(忽略)"",
  REGEXMATCH(C5234, ""薪資""), ""薪資變動(不計入)"",
  REGEXMATCH(C5234, ""押金""), ""押金往來"",
  AND(E5234&lt;&gt;"""", F5234=""""), ""真實支出"",
  AND(E5234="""", F5234&lt;&gt;""""), ""真實收入"",
  TRUE, ""其他""
)"),"其他")</f>
        <v>其他</v>
      </c>
      <c r="K5234" s="270" t="str">
        <f t="shared" si="2"/>
        <v/>
      </c>
      <c r="L5234">
        <f t="shared" si="3"/>
        <v>0</v>
      </c>
    </row>
    <row r="5235">
      <c r="A5235" s="107"/>
      <c r="D5235" s="270"/>
      <c r="H5235" s="106" t="str">
        <f t="shared" si="1"/>
        <v/>
      </c>
      <c r="I5235" s="271" t="str">
        <f>IFERROR(__xludf.DUMMYFUNCTION("""COMPUTED_VALUE"""),"")</f>
        <v/>
      </c>
      <c r="J5235" t="str">
        <f>IFERROR(__xludf.DUMMYFUNCTION("IFS(
  AND(REGEXMATCH(E5235, ""台銀籌備帳戶|玉山帳戶""), REGEXMATCH(C5235, ""薪資"")), ""分潤支出"",
  AND(REGEXMATCH(E5235, ""Ben帳戶|Elsa帳戶|Ben代墊|Ariel代墊|中信銀行共用""), REGEXMATCH(F5235, ""Ben帳戶|Elsa帳戶|Ben代墊|Ariel代墊|中信銀行共用"")), ""內部轉帳(忽略)"",
  AND(E5235&lt;&gt;"""", F5235&lt;&gt;"""", N"&amp;"OT(REGEXMATCH(C5235, ""薪資""))), ""內部轉帳(忽略)"",
  REGEXMATCH(C5235, ""薪資""), ""薪資變動(不計入)"",
  REGEXMATCH(C5235, ""押金""), ""押金往來"",
  AND(E5235&lt;&gt;"""", F5235=""""), ""真實支出"",
  AND(E5235="""", F5235&lt;&gt;""""), ""真實收入"",
  TRUE, ""其他""
)"),"其他")</f>
        <v>其他</v>
      </c>
      <c r="K5235" s="270" t="str">
        <f t="shared" si="2"/>
        <v/>
      </c>
      <c r="L5235">
        <f t="shared" si="3"/>
        <v>0</v>
      </c>
    </row>
    <row r="5236">
      <c r="A5236" s="107"/>
      <c r="D5236" s="270"/>
      <c r="H5236" s="106" t="str">
        <f t="shared" si="1"/>
        <v/>
      </c>
      <c r="I5236" s="271" t="str">
        <f>IFERROR(__xludf.DUMMYFUNCTION("""COMPUTED_VALUE"""),"")</f>
        <v/>
      </c>
      <c r="J5236" t="str">
        <f>IFERROR(__xludf.DUMMYFUNCTION("IFS(
  AND(REGEXMATCH(E5236, ""台銀籌備帳戶|玉山帳戶""), REGEXMATCH(C5236, ""薪資"")), ""分潤支出"",
  AND(REGEXMATCH(E5236, ""Ben帳戶|Elsa帳戶|Ben代墊|Ariel代墊|中信銀行共用""), REGEXMATCH(F5236, ""Ben帳戶|Elsa帳戶|Ben代墊|Ariel代墊|中信銀行共用"")), ""內部轉帳(忽略)"",
  AND(E5236&lt;&gt;"""", F5236&lt;&gt;"""", N"&amp;"OT(REGEXMATCH(C5236, ""薪資""))), ""內部轉帳(忽略)"",
  REGEXMATCH(C5236, ""薪資""), ""薪資變動(不計入)"",
  REGEXMATCH(C5236, ""押金""), ""押金往來"",
  AND(E5236&lt;&gt;"""", F5236=""""), ""真實支出"",
  AND(E5236="""", F5236&lt;&gt;""""), ""真實收入"",
  TRUE, ""其他""
)"),"其他")</f>
        <v>其他</v>
      </c>
      <c r="K5236" s="270" t="str">
        <f t="shared" si="2"/>
        <v/>
      </c>
      <c r="L5236">
        <f t="shared" si="3"/>
        <v>0</v>
      </c>
    </row>
    <row r="5237">
      <c r="A5237" s="107"/>
      <c r="D5237" s="270"/>
      <c r="H5237" s="106" t="str">
        <f t="shared" si="1"/>
        <v/>
      </c>
      <c r="I5237" s="271" t="str">
        <f>IFERROR(__xludf.DUMMYFUNCTION("""COMPUTED_VALUE"""),"")</f>
        <v/>
      </c>
      <c r="J5237" t="str">
        <f>IFERROR(__xludf.DUMMYFUNCTION("IFS(
  AND(REGEXMATCH(E5237, ""台銀籌備帳戶|玉山帳戶""), REGEXMATCH(C5237, ""薪資"")), ""分潤支出"",
  AND(REGEXMATCH(E5237, ""Ben帳戶|Elsa帳戶|Ben代墊|Ariel代墊|中信銀行共用""), REGEXMATCH(F5237, ""Ben帳戶|Elsa帳戶|Ben代墊|Ariel代墊|中信銀行共用"")), ""內部轉帳(忽略)"",
  AND(E5237&lt;&gt;"""", F5237&lt;&gt;"""", N"&amp;"OT(REGEXMATCH(C5237, ""薪資""))), ""內部轉帳(忽略)"",
  REGEXMATCH(C5237, ""薪資""), ""薪資變動(不計入)"",
  REGEXMATCH(C5237, ""押金""), ""押金往來"",
  AND(E5237&lt;&gt;"""", F5237=""""), ""真實支出"",
  AND(E5237="""", F5237&lt;&gt;""""), ""真實收入"",
  TRUE, ""其他""
)"),"其他")</f>
        <v>其他</v>
      </c>
      <c r="K5237" s="270" t="str">
        <f t="shared" si="2"/>
        <v/>
      </c>
      <c r="L5237">
        <f t="shared" si="3"/>
        <v>0</v>
      </c>
    </row>
    <row r="5238">
      <c r="A5238" s="107"/>
      <c r="D5238" s="270"/>
      <c r="H5238" s="106" t="str">
        <f t="shared" si="1"/>
        <v/>
      </c>
      <c r="I5238" s="271" t="str">
        <f>IFERROR(__xludf.DUMMYFUNCTION("""COMPUTED_VALUE"""),"")</f>
        <v/>
      </c>
      <c r="J5238" t="str">
        <f>IFERROR(__xludf.DUMMYFUNCTION("IFS(
  AND(REGEXMATCH(E5238, ""台銀籌備帳戶|玉山帳戶""), REGEXMATCH(C5238, ""薪資"")), ""分潤支出"",
  AND(REGEXMATCH(E5238, ""Ben帳戶|Elsa帳戶|Ben代墊|Ariel代墊|中信銀行共用""), REGEXMATCH(F5238, ""Ben帳戶|Elsa帳戶|Ben代墊|Ariel代墊|中信銀行共用"")), ""內部轉帳(忽略)"",
  AND(E5238&lt;&gt;"""", F5238&lt;&gt;"""", N"&amp;"OT(REGEXMATCH(C5238, ""薪資""))), ""內部轉帳(忽略)"",
  REGEXMATCH(C5238, ""薪資""), ""薪資變動(不計入)"",
  REGEXMATCH(C5238, ""押金""), ""押金往來"",
  AND(E5238&lt;&gt;"""", F5238=""""), ""真實支出"",
  AND(E5238="""", F5238&lt;&gt;""""), ""真實收入"",
  TRUE, ""其他""
)"),"其他")</f>
        <v>其他</v>
      </c>
      <c r="K5238" s="270" t="str">
        <f t="shared" si="2"/>
        <v/>
      </c>
      <c r="L5238">
        <f t="shared" si="3"/>
        <v>0</v>
      </c>
    </row>
    <row r="5239">
      <c r="A5239" s="107"/>
      <c r="D5239" s="270"/>
      <c r="H5239" s="106" t="str">
        <f t="shared" si="1"/>
        <v/>
      </c>
      <c r="I5239" s="271" t="str">
        <f>IFERROR(__xludf.DUMMYFUNCTION("""COMPUTED_VALUE"""),"")</f>
        <v/>
      </c>
      <c r="J5239" t="str">
        <f>IFERROR(__xludf.DUMMYFUNCTION("IFS(
  AND(REGEXMATCH(E5239, ""台銀籌備帳戶|玉山帳戶""), REGEXMATCH(C5239, ""薪資"")), ""分潤支出"",
  AND(REGEXMATCH(E5239, ""Ben帳戶|Elsa帳戶|Ben代墊|Ariel代墊|中信銀行共用""), REGEXMATCH(F5239, ""Ben帳戶|Elsa帳戶|Ben代墊|Ariel代墊|中信銀行共用"")), ""內部轉帳(忽略)"",
  AND(E5239&lt;&gt;"""", F5239&lt;&gt;"""", N"&amp;"OT(REGEXMATCH(C5239, ""薪資""))), ""內部轉帳(忽略)"",
  REGEXMATCH(C5239, ""薪資""), ""薪資變動(不計入)"",
  REGEXMATCH(C5239, ""押金""), ""押金往來"",
  AND(E5239&lt;&gt;"""", F5239=""""), ""真實支出"",
  AND(E5239="""", F5239&lt;&gt;""""), ""真實收入"",
  TRUE, ""其他""
)"),"其他")</f>
        <v>其他</v>
      </c>
      <c r="K5239" s="270" t="str">
        <f t="shared" si="2"/>
        <v/>
      </c>
      <c r="L5239">
        <f t="shared" si="3"/>
        <v>0</v>
      </c>
    </row>
    <row r="5240">
      <c r="A5240" s="107"/>
      <c r="D5240" s="270"/>
      <c r="H5240" s="106" t="str">
        <f t="shared" si="1"/>
        <v/>
      </c>
      <c r="I5240" s="271" t="str">
        <f>IFERROR(__xludf.DUMMYFUNCTION("""COMPUTED_VALUE"""),"")</f>
        <v/>
      </c>
      <c r="J5240" t="str">
        <f>IFERROR(__xludf.DUMMYFUNCTION("IFS(
  AND(REGEXMATCH(E5240, ""台銀籌備帳戶|玉山帳戶""), REGEXMATCH(C5240, ""薪資"")), ""分潤支出"",
  AND(REGEXMATCH(E5240, ""Ben帳戶|Elsa帳戶|Ben代墊|Ariel代墊|中信銀行共用""), REGEXMATCH(F5240, ""Ben帳戶|Elsa帳戶|Ben代墊|Ariel代墊|中信銀行共用"")), ""內部轉帳(忽略)"",
  AND(E5240&lt;&gt;"""", F5240&lt;&gt;"""", N"&amp;"OT(REGEXMATCH(C5240, ""薪資""))), ""內部轉帳(忽略)"",
  REGEXMATCH(C5240, ""薪資""), ""薪資變動(不計入)"",
  REGEXMATCH(C5240, ""押金""), ""押金往來"",
  AND(E5240&lt;&gt;"""", F5240=""""), ""真實支出"",
  AND(E5240="""", F5240&lt;&gt;""""), ""真實收入"",
  TRUE, ""其他""
)"),"其他")</f>
        <v>其他</v>
      </c>
      <c r="K5240" s="270" t="str">
        <f t="shared" si="2"/>
        <v/>
      </c>
      <c r="L5240">
        <f t="shared" si="3"/>
        <v>0</v>
      </c>
    </row>
    <row r="5241">
      <c r="A5241" s="107"/>
      <c r="D5241" s="270"/>
      <c r="H5241" s="106" t="str">
        <f t="shared" si="1"/>
        <v/>
      </c>
      <c r="I5241" s="271" t="str">
        <f>IFERROR(__xludf.DUMMYFUNCTION("""COMPUTED_VALUE"""),"")</f>
        <v/>
      </c>
      <c r="J5241" t="str">
        <f>IFERROR(__xludf.DUMMYFUNCTION("IFS(
  AND(REGEXMATCH(E5241, ""台銀籌備帳戶|玉山帳戶""), REGEXMATCH(C5241, ""薪資"")), ""分潤支出"",
  AND(REGEXMATCH(E5241, ""Ben帳戶|Elsa帳戶|Ben代墊|Ariel代墊|中信銀行共用""), REGEXMATCH(F5241, ""Ben帳戶|Elsa帳戶|Ben代墊|Ariel代墊|中信銀行共用"")), ""內部轉帳(忽略)"",
  AND(E5241&lt;&gt;"""", F5241&lt;&gt;"""", N"&amp;"OT(REGEXMATCH(C5241, ""薪資""))), ""內部轉帳(忽略)"",
  REGEXMATCH(C5241, ""薪資""), ""薪資變動(不計入)"",
  REGEXMATCH(C5241, ""押金""), ""押金往來"",
  AND(E5241&lt;&gt;"""", F5241=""""), ""真實支出"",
  AND(E5241="""", F5241&lt;&gt;""""), ""真實收入"",
  TRUE, ""其他""
)"),"其他")</f>
        <v>其他</v>
      </c>
      <c r="K5241" s="270" t="str">
        <f t="shared" si="2"/>
        <v/>
      </c>
      <c r="L5241">
        <f t="shared" si="3"/>
        <v>0</v>
      </c>
    </row>
    <row r="5242">
      <c r="A5242" s="107"/>
      <c r="D5242" s="270"/>
      <c r="H5242" s="106" t="str">
        <f t="shared" si="1"/>
        <v/>
      </c>
      <c r="I5242" s="271" t="str">
        <f>IFERROR(__xludf.DUMMYFUNCTION("""COMPUTED_VALUE"""),"")</f>
        <v/>
      </c>
      <c r="J5242" t="str">
        <f>IFERROR(__xludf.DUMMYFUNCTION("IFS(
  AND(REGEXMATCH(E5242, ""台銀籌備帳戶|玉山帳戶""), REGEXMATCH(C5242, ""薪資"")), ""分潤支出"",
  AND(REGEXMATCH(E5242, ""Ben帳戶|Elsa帳戶|Ben代墊|Ariel代墊|中信銀行共用""), REGEXMATCH(F5242, ""Ben帳戶|Elsa帳戶|Ben代墊|Ariel代墊|中信銀行共用"")), ""內部轉帳(忽略)"",
  AND(E5242&lt;&gt;"""", F5242&lt;&gt;"""", N"&amp;"OT(REGEXMATCH(C5242, ""薪資""))), ""內部轉帳(忽略)"",
  REGEXMATCH(C5242, ""薪資""), ""薪資變動(不計入)"",
  REGEXMATCH(C5242, ""押金""), ""押金往來"",
  AND(E5242&lt;&gt;"""", F5242=""""), ""真實支出"",
  AND(E5242="""", F5242&lt;&gt;""""), ""真實收入"",
  TRUE, ""其他""
)"),"其他")</f>
        <v>其他</v>
      </c>
      <c r="K5242" s="270" t="str">
        <f t="shared" si="2"/>
        <v/>
      </c>
      <c r="L5242">
        <f t="shared" si="3"/>
        <v>0</v>
      </c>
    </row>
    <row r="5243">
      <c r="A5243" s="107"/>
      <c r="D5243" s="270"/>
      <c r="H5243" s="106" t="str">
        <f t="shared" si="1"/>
        <v/>
      </c>
      <c r="I5243" s="271" t="str">
        <f>IFERROR(__xludf.DUMMYFUNCTION("""COMPUTED_VALUE"""),"")</f>
        <v/>
      </c>
      <c r="J5243" t="str">
        <f>IFERROR(__xludf.DUMMYFUNCTION("IFS(
  AND(REGEXMATCH(E5243, ""台銀籌備帳戶|玉山帳戶""), REGEXMATCH(C5243, ""薪資"")), ""分潤支出"",
  AND(REGEXMATCH(E5243, ""Ben帳戶|Elsa帳戶|Ben代墊|Ariel代墊|中信銀行共用""), REGEXMATCH(F5243, ""Ben帳戶|Elsa帳戶|Ben代墊|Ariel代墊|中信銀行共用"")), ""內部轉帳(忽略)"",
  AND(E5243&lt;&gt;"""", F5243&lt;&gt;"""", N"&amp;"OT(REGEXMATCH(C5243, ""薪資""))), ""內部轉帳(忽略)"",
  REGEXMATCH(C5243, ""薪資""), ""薪資變動(不計入)"",
  REGEXMATCH(C5243, ""押金""), ""押金往來"",
  AND(E5243&lt;&gt;"""", F5243=""""), ""真實支出"",
  AND(E5243="""", F5243&lt;&gt;""""), ""真實收入"",
  TRUE, ""其他""
)"),"其他")</f>
        <v>其他</v>
      </c>
      <c r="K5243" s="270" t="str">
        <f t="shared" si="2"/>
        <v/>
      </c>
      <c r="L5243">
        <f t="shared" si="3"/>
        <v>0</v>
      </c>
    </row>
    <row r="5244">
      <c r="A5244" s="107"/>
      <c r="D5244" s="270"/>
      <c r="H5244" s="106" t="str">
        <f t="shared" si="1"/>
        <v/>
      </c>
      <c r="I5244" s="271" t="str">
        <f>IFERROR(__xludf.DUMMYFUNCTION("""COMPUTED_VALUE"""),"")</f>
        <v/>
      </c>
      <c r="J5244" t="str">
        <f>IFERROR(__xludf.DUMMYFUNCTION("IFS(
  AND(REGEXMATCH(E5244, ""台銀籌備帳戶|玉山帳戶""), REGEXMATCH(C5244, ""薪資"")), ""分潤支出"",
  AND(REGEXMATCH(E5244, ""Ben帳戶|Elsa帳戶|Ben代墊|Ariel代墊|中信銀行共用""), REGEXMATCH(F5244, ""Ben帳戶|Elsa帳戶|Ben代墊|Ariel代墊|中信銀行共用"")), ""內部轉帳(忽略)"",
  AND(E5244&lt;&gt;"""", F5244&lt;&gt;"""", N"&amp;"OT(REGEXMATCH(C5244, ""薪資""))), ""內部轉帳(忽略)"",
  REGEXMATCH(C5244, ""薪資""), ""薪資變動(不計入)"",
  REGEXMATCH(C5244, ""押金""), ""押金往來"",
  AND(E5244&lt;&gt;"""", F5244=""""), ""真實支出"",
  AND(E5244="""", F5244&lt;&gt;""""), ""真實收入"",
  TRUE, ""其他""
)"),"其他")</f>
        <v>其他</v>
      </c>
      <c r="K5244" s="270" t="str">
        <f t="shared" si="2"/>
        <v/>
      </c>
      <c r="L5244">
        <f t="shared" si="3"/>
        <v>0</v>
      </c>
    </row>
    <row r="5245">
      <c r="A5245" s="107"/>
      <c r="D5245" s="270"/>
      <c r="H5245" s="106" t="str">
        <f t="shared" si="1"/>
        <v/>
      </c>
      <c r="I5245" s="271" t="str">
        <f>IFERROR(__xludf.DUMMYFUNCTION("""COMPUTED_VALUE"""),"")</f>
        <v/>
      </c>
      <c r="J5245" t="str">
        <f>IFERROR(__xludf.DUMMYFUNCTION("IFS(
  AND(REGEXMATCH(E5245, ""台銀籌備帳戶|玉山帳戶""), REGEXMATCH(C5245, ""薪資"")), ""分潤支出"",
  AND(REGEXMATCH(E5245, ""Ben帳戶|Elsa帳戶|Ben代墊|Ariel代墊|中信銀行共用""), REGEXMATCH(F5245, ""Ben帳戶|Elsa帳戶|Ben代墊|Ariel代墊|中信銀行共用"")), ""內部轉帳(忽略)"",
  AND(E5245&lt;&gt;"""", F5245&lt;&gt;"""", N"&amp;"OT(REGEXMATCH(C5245, ""薪資""))), ""內部轉帳(忽略)"",
  REGEXMATCH(C5245, ""薪資""), ""薪資變動(不計入)"",
  REGEXMATCH(C5245, ""押金""), ""押金往來"",
  AND(E5245&lt;&gt;"""", F5245=""""), ""真實支出"",
  AND(E5245="""", F5245&lt;&gt;""""), ""真實收入"",
  TRUE, ""其他""
)"),"其他")</f>
        <v>其他</v>
      </c>
      <c r="K5245" s="270" t="str">
        <f t="shared" si="2"/>
        <v/>
      </c>
      <c r="L5245">
        <f t="shared" si="3"/>
        <v>0</v>
      </c>
    </row>
    <row r="5246">
      <c r="A5246" s="107"/>
      <c r="D5246" s="270"/>
      <c r="H5246" s="106" t="str">
        <f t="shared" si="1"/>
        <v/>
      </c>
      <c r="I5246" s="271" t="str">
        <f>IFERROR(__xludf.DUMMYFUNCTION("""COMPUTED_VALUE"""),"")</f>
        <v/>
      </c>
      <c r="J5246" t="str">
        <f>IFERROR(__xludf.DUMMYFUNCTION("IFS(
  AND(REGEXMATCH(E5246, ""台銀籌備帳戶|玉山帳戶""), REGEXMATCH(C5246, ""薪資"")), ""分潤支出"",
  AND(REGEXMATCH(E5246, ""Ben帳戶|Elsa帳戶|Ben代墊|Ariel代墊|中信銀行共用""), REGEXMATCH(F5246, ""Ben帳戶|Elsa帳戶|Ben代墊|Ariel代墊|中信銀行共用"")), ""內部轉帳(忽略)"",
  AND(E5246&lt;&gt;"""", F5246&lt;&gt;"""", N"&amp;"OT(REGEXMATCH(C5246, ""薪資""))), ""內部轉帳(忽略)"",
  REGEXMATCH(C5246, ""薪資""), ""薪資變動(不計入)"",
  REGEXMATCH(C5246, ""押金""), ""押金往來"",
  AND(E5246&lt;&gt;"""", F5246=""""), ""真實支出"",
  AND(E5246="""", F5246&lt;&gt;""""), ""真實收入"",
  TRUE, ""其他""
)"),"其他")</f>
        <v>其他</v>
      </c>
      <c r="K5246" s="270" t="str">
        <f t="shared" si="2"/>
        <v/>
      </c>
      <c r="L5246">
        <f t="shared" si="3"/>
        <v>0</v>
      </c>
    </row>
    <row r="5247">
      <c r="A5247" s="107"/>
      <c r="D5247" s="270"/>
      <c r="H5247" s="106" t="str">
        <f t="shared" si="1"/>
        <v/>
      </c>
      <c r="I5247" s="271" t="str">
        <f>IFERROR(__xludf.DUMMYFUNCTION("""COMPUTED_VALUE"""),"")</f>
        <v/>
      </c>
      <c r="J5247" t="str">
        <f>IFERROR(__xludf.DUMMYFUNCTION("IFS(
  AND(REGEXMATCH(E5247, ""台銀籌備帳戶|玉山帳戶""), REGEXMATCH(C5247, ""薪資"")), ""分潤支出"",
  AND(REGEXMATCH(E5247, ""Ben帳戶|Elsa帳戶|Ben代墊|Ariel代墊|中信銀行共用""), REGEXMATCH(F5247, ""Ben帳戶|Elsa帳戶|Ben代墊|Ariel代墊|中信銀行共用"")), ""內部轉帳(忽略)"",
  AND(E5247&lt;&gt;"""", F5247&lt;&gt;"""", N"&amp;"OT(REGEXMATCH(C5247, ""薪資""))), ""內部轉帳(忽略)"",
  REGEXMATCH(C5247, ""薪資""), ""薪資變動(不計入)"",
  REGEXMATCH(C5247, ""押金""), ""押金往來"",
  AND(E5247&lt;&gt;"""", F5247=""""), ""真實支出"",
  AND(E5247="""", F5247&lt;&gt;""""), ""真實收入"",
  TRUE, ""其他""
)"),"其他")</f>
        <v>其他</v>
      </c>
      <c r="K5247" s="270" t="str">
        <f t="shared" si="2"/>
        <v/>
      </c>
      <c r="L5247">
        <f t="shared" si="3"/>
        <v>0</v>
      </c>
    </row>
    <row r="5248">
      <c r="A5248" s="107"/>
      <c r="D5248" s="270"/>
      <c r="H5248" s="106" t="str">
        <f t="shared" si="1"/>
        <v/>
      </c>
      <c r="I5248" s="271" t="str">
        <f>IFERROR(__xludf.DUMMYFUNCTION("""COMPUTED_VALUE"""),"")</f>
        <v/>
      </c>
      <c r="J5248" t="str">
        <f>IFERROR(__xludf.DUMMYFUNCTION("IFS(
  AND(REGEXMATCH(E5248, ""台銀籌備帳戶|玉山帳戶""), REGEXMATCH(C5248, ""薪資"")), ""分潤支出"",
  AND(REGEXMATCH(E5248, ""Ben帳戶|Elsa帳戶|Ben代墊|Ariel代墊|中信銀行共用""), REGEXMATCH(F5248, ""Ben帳戶|Elsa帳戶|Ben代墊|Ariel代墊|中信銀行共用"")), ""內部轉帳(忽略)"",
  AND(E5248&lt;&gt;"""", F5248&lt;&gt;"""", N"&amp;"OT(REGEXMATCH(C5248, ""薪資""))), ""內部轉帳(忽略)"",
  REGEXMATCH(C5248, ""薪資""), ""薪資變動(不計入)"",
  REGEXMATCH(C5248, ""押金""), ""押金往來"",
  AND(E5248&lt;&gt;"""", F5248=""""), ""真實支出"",
  AND(E5248="""", F5248&lt;&gt;""""), ""真實收入"",
  TRUE, ""其他""
)"),"其他")</f>
        <v>其他</v>
      </c>
      <c r="K5248" s="270" t="str">
        <f t="shared" si="2"/>
        <v/>
      </c>
      <c r="L5248">
        <f t="shared" si="3"/>
        <v>0</v>
      </c>
    </row>
    <row r="5249">
      <c r="A5249" s="107"/>
      <c r="D5249" s="270"/>
      <c r="H5249" s="106" t="str">
        <f t="shared" si="1"/>
        <v/>
      </c>
      <c r="I5249" s="271" t="str">
        <f>IFERROR(__xludf.DUMMYFUNCTION("""COMPUTED_VALUE"""),"")</f>
        <v/>
      </c>
      <c r="J5249" t="str">
        <f>IFERROR(__xludf.DUMMYFUNCTION("IFS(
  AND(REGEXMATCH(E5249, ""台銀籌備帳戶|玉山帳戶""), REGEXMATCH(C5249, ""薪資"")), ""分潤支出"",
  AND(REGEXMATCH(E5249, ""Ben帳戶|Elsa帳戶|Ben代墊|Ariel代墊|中信銀行共用""), REGEXMATCH(F5249, ""Ben帳戶|Elsa帳戶|Ben代墊|Ariel代墊|中信銀行共用"")), ""內部轉帳(忽略)"",
  AND(E5249&lt;&gt;"""", F5249&lt;&gt;"""", N"&amp;"OT(REGEXMATCH(C5249, ""薪資""))), ""內部轉帳(忽略)"",
  REGEXMATCH(C5249, ""薪資""), ""薪資變動(不計入)"",
  REGEXMATCH(C5249, ""押金""), ""押金往來"",
  AND(E5249&lt;&gt;"""", F5249=""""), ""真實支出"",
  AND(E5249="""", F5249&lt;&gt;""""), ""真實收入"",
  TRUE, ""其他""
)"),"其他")</f>
        <v>其他</v>
      </c>
      <c r="K5249" s="270" t="str">
        <f t="shared" si="2"/>
        <v/>
      </c>
      <c r="L5249">
        <f t="shared" si="3"/>
        <v>0</v>
      </c>
    </row>
    <row r="5250">
      <c r="A5250" s="107"/>
      <c r="D5250" s="270"/>
      <c r="H5250" s="106" t="str">
        <f t="shared" si="1"/>
        <v/>
      </c>
      <c r="I5250" s="271" t="str">
        <f>IFERROR(__xludf.DUMMYFUNCTION("""COMPUTED_VALUE"""),"")</f>
        <v/>
      </c>
      <c r="J5250" t="str">
        <f>IFERROR(__xludf.DUMMYFUNCTION("IFS(
  AND(REGEXMATCH(E5250, ""台銀籌備帳戶|玉山帳戶""), REGEXMATCH(C5250, ""薪資"")), ""分潤支出"",
  AND(REGEXMATCH(E5250, ""Ben帳戶|Elsa帳戶|Ben代墊|Ariel代墊|中信銀行共用""), REGEXMATCH(F5250, ""Ben帳戶|Elsa帳戶|Ben代墊|Ariel代墊|中信銀行共用"")), ""內部轉帳(忽略)"",
  AND(E5250&lt;&gt;"""", F5250&lt;&gt;"""", N"&amp;"OT(REGEXMATCH(C5250, ""薪資""))), ""內部轉帳(忽略)"",
  REGEXMATCH(C5250, ""薪資""), ""薪資變動(不計入)"",
  REGEXMATCH(C5250, ""押金""), ""押金往來"",
  AND(E5250&lt;&gt;"""", F5250=""""), ""真實支出"",
  AND(E5250="""", F5250&lt;&gt;""""), ""真實收入"",
  TRUE, ""其他""
)"),"其他")</f>
        <v>其他</v>
      </c>
      <c r="K5250" s="270" t="str">
        <f t="shared" si="2"/>
        <v/>
      </c>
      <c r="L5250">
        <f t="shared" si="3"/>
        <v>0</v>
      </c>
    </row>
    <row r="5251">
      <c r="A5251" s="107"/>
      <c r="D5251" s="270"/>
      <c r="H5251" s="106" t="str">
        <f t="shared" si="1"/>
        <v/>
      </c>
      <c r="I5251" s="271" t="str">
        <f>IFERROR(__xludf.DUMMYFUNCTION("""COMPUTED_VALUE"""),"")</f>
        <v/>
      </c>
      <c r="J5251" t="str">
        <f>IFERROR(__xludf.DUMMYFUNCTION("IFS(
  AND(REGEXMATCH(E5251, ""台銀籌備帳戶|玉山帳戶""), REGEXMATCH(C5251, ""薪資"")), ""分潤支出"",
  AND(REGEXMATCH(E5251, ""Ben帳戶|Elsa帳戶|Ben代墊|Ariel代墊|中信銀行共用""), REGEXMATCH(F5251, ""Ben帳戶|Elsa帳戶|Ben代墊|Ariel代墊|中信銀行共用"")), ""內部轉帳(忽略)"",
  AND(E5251&lt;&gt;"""", F5251&lt;&gt;"""", N"&amp;"OT(REGEXMATCH(C5251, ""薪資""))), ""內部轉帳(忽略)"",
  REGEXMATCH(C5251, ""薪資""), ""薪資變動(不計入)"",
  REGEXMATCH(C5251, ""押金""), ""押金往來"",
  AND(E5251&lt;&gt;"""", F5251=""""), ""真實支出"",
  AND(E5251="""", F5251&lt;&gt;""""), ""真實收入"",
  TRUE, ""其他""
)"),"其他")</f>
        <v>其他</v>
      </c>
      <c r="K5251" s="270" t="str">
        <f t="shared" si="2"/>
        <v/>
      </c>
      <c r="L5251">
        <f t="shared" si="3"/>
        <v>0</v>
      </c>
    </row>
    <row r="5252">
      <c r="A5252" s="107"/>
      <c r="D5252" s="270"/>
      <c r="H5252" s="106" t="str">
        <f t="shared" si="1"/>
        <v/>
      </c>
      <c r="I5252" s="271" t="str">
        <f>IFERROR(__xludf.DUMMYFUNCTION("""COMPUTED_VALUE"""),"")</f>
        <v/>
      </c>
      <c r="J5252" t="str">
        <f>IFERROR(__xludf.DUMMYFUNCTION("IFS(
  AND(REGEXMATCH(E5252, ""台銀籌備帳戶|玉山帳戶""), REGEXMATCH(C5252, ""薪資"")), ""分潤支出"",
  AND(REGEXMATCH(E5252, ""Ben帳戶|Elsa帳戶|Ben代墊|Ariel代墊|中信銀行共用""), REGEXMATCH(F5252, ""Ben帳戶|Elsa帳戶|Ben代墊|Ariel代墊|中信銀行共用"")), ""內部轉帳(忽略)"",
  AND(E5252&lt;&gt;"""", F5252&lt;&gt;"""", N"&amp;"OT(REGEXMATCH(C5252, ""薪資""))), ""內部轉帳(忽略)"",
  REGEXMATCH(C5252, ""薪資""), ""薪資變動(不計入)"",
  REGEXMATCH(C5252, ""押金""), ""押金往來"",
  AND(E5252&lt;&gt;"""", F5252=""""), ""真實支出"",
  AND(E5252="""", F5252&lt;&gt;""""), ""真實收入"",
  TRUE, ""其他""
)"),"其他")</f>
        <v>其他</v>
      </c>
      <c r="K5252" s="270" t="str">
        <f t="shared" si="2"/>
        <v/>
      </c>
      <c r="L5252">
        <f t="shared" si="3"/>
        <v>0</v>
      </c>
    </row>
    <row r="5253">
      <c r="A5253" s="107"/>
      <c r="D5253" s="270"/>
      <c r="H5253" s="106" t="str">
        <f t="shared" si="1"/>
        <v/>
      </c>
      <c r="I5253" s="271" t="str">
        <f>IFERROR(__xludf.DUMMYFUNCTION("""COMPUTED_VALUE"""),"")</f>
        <v/>
      </c>
      <c r="J5253" t="str">
        <f>IFERROR(__xludf.DUMMYFUNCTION("IFS(
  AND(REGEXMATCH(E5253, ""台銀籌備帳戶|玉山帳戶""), REGEXMATCH(C5253, ""薪資"")), ""分潤支出"",
  AND(REGEXMATCH(E5253, ""Ben帳戶|Elsa帳戶|Ben代墊|Ariel代墊|中信銀行共用""), REGEXMATCH(F5253, ""Ben帳戶|Elsa帳戶|Ben代墊|Ariel代墊|中信銀行共用"")), ""內部轉帳(忽略)"",
  AND(E5253&lt;&gt;"""", F5253&lt;&gt;"""", N"&amp;"OT(REGEXMATCH(C5253, ""薪資""))), ""內部轉帳(忽略)"",
  REGEXMATCH(C5253, ""薪資""), ""薪資變動(不計入)"",
  REGEXMATCH(C5253, ""押金""), ""押金往來"",
  AND(E5253&lt;&gt;"""", F5253=""""), ""真實支出"",
  AND(E5253="""", F5253&lt;&gt;""""), ""真實收入"",
  TRUE, ""其他""
)"),"其他")</f>
        <v>其他</v>
      </c>
      <c r="K5253" s="270" t="str">
        <f t="shared" si="2"/>
        <v/>
      </c>
      <c r="L5253">
        <f t="shared" si="3"/>
        <v>0</v>
      </c>
    </row>
    <row r="5254">
      <c r="A5254" s="107"/>
      <c r="D5254" s="270"/>
      <c r="H5254" s="106" t="str">
        <f t="shared" si="1"/>
        <v/>
      </c>
      <c r="I5254" s="271" t="str">
        <f>IFERROR(__xludf.DUMMYFUNCTION("""COMPUTED_VALUE"""),"")</f>
        <v/>
      </c>
      <c r="J5254" t="str">
        <f>IFERROR(__xludf.DUMMYFUNCTION("IFS(
  AND(REGEXMATCH(E5254, ""台銀籌備帳戶|玉山帳戶""), REGEXMATCH(C5254, ""薪資"")), ""分潤支出"",
  AND(REGEXMATCH(E5254, ""Ben帳戶|Elsa帳戶|Ben代墊|Ariel代墊|中信銀行共用""), REGEXMATCH(F5254, ""Ben帳戶|Elsa帳戶|Ben代墊|Ariel代墊|中信銀行共用"")), ""內部轉帳(忽略)"",
  AND(E5254&lt;&gt;"""", F5254&lt;&gt;"""", N"&amp;"OT(REGEXMATCH(C5254, ""薪資""))), ""內部轉帳(忽略)"",
  REGEXMATCH(C5254, ""薪資""), ""薪資變動(不計入)"",
  REGEXMATCH(C5254, ""押金""), ""押金往來"",
  AND(E5254&lt;&gt;"""", F5254=""""), ""真實支出"",
  AND(E5254="""", F5254&lt;&gt;""""), ""真實收入"",
  TRUE, ""其他""
)"),"其他")</f>
        <v>其他</v>
      </c>
      <c r="K5254" s="270" t="str">
        <f t="shared" si="2"/>
        <v/>
      </c>
      <c r="L5254">
        <f t="shared" si="3"/>
        <v>0</v>
      </c>
    </row>
    <row r="5255">
      <c r="A5255" s="107"/>
      <c r="D5255" s="270"/>
      <c r="H5255" s="106" t="str">
        <f t="shared" si="1"/>
        <v/>
      </c>
      <c r="I5255" s="271" t="str">
        <f>IFERROR(__xludf.DUMMYFUNCTION("""COMPUTED_VALUE"""),"")</f>
        <v/>
      </c>
      <c r="J5255" t="str">
        <f>IFERROR(__xludf.DUMMYFUNCTION("IFS(
  AND(REGEXMATCH(E5255, ""台銀籌備帳戶|玉山帳戶""), REGEXMATCH(C5255, ""薪資"")), ""分潤支出"",
  AND(REGEXMATCH(E5255, ""Ben帳戶|Elsa帳戶|Ben代墊|Ariel代墊|中信銀行共用""), REGEXMATCH(F5255, ""Ben帳戶|Elsa帳戶|Ben代墊|Ariel代墊|中信銀行共用"")), ""內部轉帳(忽略)"",
  AND(E5255&lt;&gt;"""", F5255&lt;&gt;"""", N"&amp;"OT(REGEXMATCH(C5255, ""薪資""))), ""內部轉帳(忽略)"",
  REGEXMATCH(C5255, ""薪資""), ""薪資變動(不計入)"",
  REGEXMATCH(C5255, ""押金""), ""押金往來"",
  AND(E5255&lt;&gt;"""", F5255=""""), ""真實支出"",
  AND(E5255="""", F5255&lt;&gt;""""), ""真實收入"",
  TRUE, ""其他""
)"),"其他")</f>
        <v>其他</v>
      </c>
      <c r="K5255" s="270" t="str">
        <f t="shared" si="2"/>
        <v/>
      </c>
      <c r="L5255">
        <f t="shared" si="3"/>
        <v>0</v>
      </c>
    </row>
    <row r="5256">
      <c r="A5256" s="107"/>
      <c r="D5256" s="270"/>
      <c r="H5256" s="106" t="str">
        <f t="shared" si="1"/>
        <v/>
      </c>
      <c r="I5256" s="271" t="str">
        <f>IFERROR(__xludf.DUMMYFUNCTION("""COMPUTED_VALUE"""),"")</f>
        <v/>
      </c>
      <c r="J5256" t="str">
        <f>IFERROR(__xludf.DUMMYFUNCTION("IFS(
  AND(REGEXMATCH(E5256, ""台銀籌備帳戶|玉山帳戶""), REGEXMATCH(C5256, ""薪資"")), ""分潤支出"",
  AND(REGEXMATCH(E5256, ""Ben帳戶|Elsa帳戶|Ben代墊|Ariel代墊|中信銀行共用""), REGEXMATCH(F5256, ""Ben帳戶|Elsa帳戶|Ben代墊|Ariel代墊|中信銀行共用"")), ""內部轉帳(忽略)"",
  AND(E5256&lt;&gt;"""", F5256&lt;&gt;"""", N"&amp;"OT(REGEXMATCH(C5256, ""薪資""))), ""內部轉帳(忽略)"",
  REGEXMATCH(C5256, ""薪資""), ""薪資變動(不計入)"",
  REGEXMATCH(C5256, ""押金""), ""押金往來"",
  AND(E5256&lt;&gt;"""", F5256=""""), ""真實支出"",
  AND(E5256="""", F5256&lt;&gt;""""), ""真實收入"",
  TRUE, ""其他""
)"),"其他")</f>
        <v>其他</v>
      </c>
      <c r="K5256" s="270" t="str">
        <f t="shared" si="2"/>
        <v/>
      </c>
      <c r="L5256">
        <f t="shared" si="3"/>
        <v>0</v>
      </c>
    </row>
    <row r="5257">
      <c r="A5257" s="107"/>
      <c r="D5257" s="270"/>
      <c r="H5257" s="106" t="str">
        <f t="shared" si="1"/>
        <v/>
      </c>
      <c r="I5257" s="271" t="str">
        <f>IFERROR(__xludf.DUMMYFUNCTION("""COMPUTED_VALUE"""),"")</f>
        <v/>
      </c>
      <c r="J5257" t="str">
        <f>IFERROR(__xludf.DUMMYFUNCTION("IFS(
  AND(REGEXMATCH(E5257, ""台銀籌備帳戶|玉山帳戶""), REGEXMATCH(C5257, ""薪資"")), ""分潤支出"",
  AND(REGEXMATCH(E5257, ""Ben帳戶|Elsa帳戶|Ben代墊|Ariel代墊|中信銀行共用""), REGEXMATCH(F5257, ""Ben帳戶|Elsa帳戶|Ben代墊|Ariel代墊|中信銀行共用"")), ""內部轉帳(忽略)"",
  AND(E5257&lt;&gt;"""", F5257&lt;&gt;"""", N"&amp;"OT(REGEXMATCH(C5257, ""薪資""))), ""內部轉帳(忽略)"",
  REGEXMATCH(C5257, ""薪資""), ""薪資變動(不計入)"",
  REGEXMATCH(C5257, ""押金""), ""押金往來"",
  AND(E5257&lt;&gt;"""", F5257=""""), ""真實支出"",
  AND(E5257="""", F5257&lt;&gt;""""), ""真實收入"",
  TRUE, ""其他""
)"),"其他")</f>
        <v>其他</v>
      </c>
      <c r="K5257" s="270" t="str">
        <f t="shared" si="2"/>
        <v/>
      </c>
      <c r="L5257">
        <f t="shared" si="3"/>
        <v>0</v>
      </c>
    </row>
    <row r="5258">
      <c r="A5258" s="107"/>
      <c r="D5258" s="270"/>
      <c r="H5258" s="106" t="str">
        <f t="shared" si="1"/>
        <v/>
      </c>
      <c r="I5258" s="271" t="str">
        <f>IFERROR(__xludf.DUMMYFUNCTION("""COMPUTED_VALUE"""),"")</f>
        <v/>
      </c>
      <c r="J5258" t="str">
        <f>IFERROR(__xludf.DUMMYFUNCTION("IFS(
  AND(REGEXMATCH(E5258, ""台銀籌備帳戶|玉山帳戶""), REGEXMATCH(C5258, ""薪資"")), ""分潤支出"",
  AND(REGEXMATCH(E5258, ""Ben帳戶|Elsa帳戶|Ben代墊|Ariel代墊|中信銀行共用""), REGEXMATCH(F5258, ""Ben帳戶|Elsa帳戶|Ben代墊|Ariel代墊|中信銀行共用"")), ""內部轉帳(忽略)"",
  AND(E5258&lt;&gt;"""", F5258&lt;&gt;"""", N"&amp;"OT(REGEXMATCH(C5258, ""薪資""))), ""內部轉帳(忽略)"",
  REGEXMATCH(C5258, ""薪資""), ""薪資變動(不計入)"",
  REGEXMATCH(C5258, ""押金""), ""押金往來"",
  AND(E5258&lt;&gt;"""", F5258=""""), ""真實支出"",
  AND(E5258="""", F5258&lt;&gt;""""), ""真實收入"",
  TRUE, ""其他""
)"),"其他")</f>
        <v>其他</v>
      </c>
      <c r="K5258" s="270" t="str">
        <f t="shared" si="2"/>
        <v/>
      </c>
      <c r="L5258">
        <f t="shared" si="3"/>
        <v>0</v>
      </c>
    </row>
    <row r="5259">
      <c r="A5259" s="107"/>
      <c r="D5259" s="270"/>
      <c r="H5259" s="106" t="str">
        <f t="shared" si="1"/>
        <v/>
      </c>
      <c r="I5259" s="271" t="str">
        <f>IFERROR(__xludf.DUMMYFUNCTION("""COMPUTED_VALUE"""),"")</f>
        <v/>
      </c>
      <c r="J5259" t="str">
        <f>IFERROR(__xludf.DUMMYFUNCTION("IFS(
  AND(REGEXMATCH(E5259, ""台銀籌備帳戶|玉山帳戶""), REGEXMATCH(C5259, ""薪資"")), ""分潤支出"",
  AND(REGEXMATCH(E5259, ""Ben帳戶|Elsa帳戶|Ben代墊|Ariel代墊|中信銀行共用""), REGEXMATCH(F5259, ""Ben帳戶|Elsa帳戶|Ben代墊|Ariel代墊|中信銀行共用"")), ""內部轉帳(忽略)"",
  AND(E5259&lt;&gt;"""", F5259&lt;&gt;"""", N"&amp;"OT(REGEXMATCH(C5259, ""薪資""))), ""內部轉帳(忽略)"",
  REGEXMATCH(C5259, ""薪資""), ""薪資變動(不計入)"",
  REGEXMATCH(C5259, ""押金""), ""押金往來"",
  AND(E5259&lt;&gt;"""", F5259=""""), ""真實支出"",
  AND(E5259="""", F5259&lt;&gt;""""), ""真實收入"",
  TRUE, ""其他""
)"),"其他")</f>
        <v>其他</v>
      </c>
      <c r="K5259" s="270" t="str">
        <f t="shared" si="2"/>
        <v/>
      </c>
      <c r="L5259">
        <f t="shared" si="3"/>
        <v>0</v>
      </c>
    </row>
    <row r="5260">
      <c r="A5260" s="107"/>
      <c r="D5260" s="270"/>
      <c r="H5260" s="106" t="str">
        <f t="shared" si="1"/>
        <v/>
      </c>
      <c r="I5260" s="271" t="str">
        <f>IFERROR(__xludf.DUMMYFUNCTION("""COMPUTED_VALUE"""),"")</f>
        <v/>
      </c>
      <c r="J5260" t="str">
        <f>IFERROR(__xludf.DUMMYFUNCTION("IFS(
  AND(REGEXMATCH(E5260, ""台銀籌備帳戶|玉山帳戶""), REGEXMATCH(C5260, ""薪資"")), ""分潤支出"",
  AND(REGEXMATCH(E5260, ""Ben帳戶|Elsa帳戶|Ben代墊|Ariel代墊|中信銀行共用""), REGEXMATCH(F5260, ""Ben帳戶|Elsa帳戶|Ben代墊|Ariel代墊|中信銀行共用"")), ""內部轉帳(忽略)"",
  AND(E5260&lt;&gt;"""", F5260&lt;&gt;"""", N"&amp;"OT(REGEXMATCH(C5260, ""薪資""))), ""內部轉帳(忽略)"",
  REGEXMATCH(C5260, ""薪資""), ""薪資變動(不計入)"",
  REGEXMATCH(C5260, ""押金""), ""押金往來"",
  AND(E5260&lt;&gt;"""", F5260=""""), ""真實支出"",
  AND(E5260="""", F5260&lt;&gt;""""), ""真實收入"",
  TRUE, ""其他""
)"),"其他")</f>
        <v>其他</v>
      </c>
      <c r="K5260" s="270" t="str">
        <f t="shared" si="2"/>
        <v/>
      </c>
      <c r="L5260">
        <f t="shared" si="3"/>
        <v>0</v>
      </c>
    </row>
    <row r="5261">
      <c r="A5261" s="107"/>
      <c r="D5261" s="270"/>
      <c r="H5261" s="106" t="str">
        <f t="shared" si="1"/>
        <v/>
      </c>
      <c r="I5261" s="271" t="str">
        <f>IFERROR(__xludf.DUMMYFUNCTION("""COMPUTED_VALUE"""),"")</f>
        <v/>
      </c>
      <c r="J5261" t="str">
        <f>IFERROR(__xludf.DUMMYFUNCTION("IFS(
  AND(REGEXMATCH(E5261, ""台銀籌備帳戶|玉山帳戶""), REGEXMATCH(C5261, ""薪資"")), ""分潤支出"",
  AND(REGEXMATCH(E5261, ""Ben帳戶|Elsa帳戶|Ben代墊|Ariel代墊|中信銀行共用""), REGEXMATCH(F5261, ""Ben帳戶|Elsa帳戶|Ben代墊|Ariel代墊|中信銀行共用"")), ""內部轉帳(忽略)"",
  AND(E5261&lt;&gt;"""", F5261&lt;&gt;"""", N"&amp;"OT(REGEXMATCH(C5261, ""薪資""))), ""內部轉帳(忽略)"",
  REGEXMATCH(C5261, ""薪資""), ""薪資變動(不計入)"",
  REGEXMATCH(C5261, ""押金""), ""押金往來"",
  AND(E5261&lt;&gt;"""", F5261=""""), ""真實支出"",
  AND(E5261="""", F5261&lt;&gt;""""), ""真實收入"",
  TRUE, ""其他""
)"),"其他")</f>
        <v>其他</v>
      </c>
      <c r="K5261" s="270" t="str">
        <f t="shared" si="2"/>
        <v/>
      </c>
      <c r="L5261">
        <f t="shared" si="3"/>
        <v>0</v>
      </c>
    </row>
    <row r="5262">
      <c r="A5262" s="107"/>
      <c r="D5262" s="270"/>
      <c r="H5262" s="106" t="str">
        <f t="shared" si="1"/>
        <v/>
      </c>
      <c r="I5262" s="271" t="str">
        <f>IFERROR(__xludf.DUMMYFUNCTION("""COMPUTED_VALUE"""),"")</f>
        <v/>
      </c>
      <c r="J5262" t="str">
        <f>IFERROR(__xludf.DUMMYFUNCTION("IFS(
  AND(REGEXMATCH(E5262, ""台銀籌備帳戶|玉山帳戶""), REGEXMATCH(C5262, ""薪資"")), ""分潤支出"",
  AND(REGEXMATCH(E5262, ""Ben帳戶|Elsa帳戶|Ben代墊|Ariel代墊|中信銀行共用""), REGEXMATCH(F5262, ""Ben帳戶|Elsa帳戶|Ben代墊|Ariel代墊|中信銀行共用"")), ""內部轉帳(忽略)"",
  AND(E5262&lt;&gt;"""", F5262&lt;&gt;"""", N"&amp;"OT(REGEXMATCH(C5262, ""薪資""))), ""內部轉帳(忽略)"",
  REGEXMATCH(C5262, ""薪資""), ""薪資變動(不計入)"",
  REGEXMATCH(C5262, ""押金""), ""押金往來"",
  AND(E5262&lt;&gt;"""", F5262=""""), ""真實支出"",
  AND(E5262="""", F5262&lt;&gt;""""), ""真實收入"",
  TRUE, ""其他""
)"),"其他")</f>
        <v>其他</v>
      </c>
      <c r="K5262" s="270" t="str">
        <f t="shared" si="2"/>
        <v/>
      </c>
      <c r="L5262">
        <f t="shared" si="3"/>
        <v>0</v>
      </c>
    </row>
    <row r="5263">
      <c r="A5263" s="107"/>
      <c r="D5263" s="270"/>
      <c r="H5263" s="106" t="str">
        <f t="shared" si="1"/>
        <v/>
      </c>
      <c r="I5263" s="271" t="str">
        <f>IFERROR(__xludf.DUMMYFUNCTION("""COMPUTED_VALUE"""),"")</f>
        <v/>
      </c>
      <c r="J5263" t="str">
        <f>IFERROR(__xludf.DUMMYFUNCTION("IFS(
  AND(REGEXMATCH(E5263, ""台銀籌備帳戶|玉山帳戶""), REGEXMATCH(C5263, ""薪資"")), ""分潤支出"",
  AND(REGEXMATCH(E5263, ""Ben帳戶|Elsa帳戶|Ben代墊|Ariel代墊|中信銀行共用""), REGEXMATCH(F5263, ""Ben帳戶|Elsa帳戶|Ben代墊|Ariel代墊|中信銀行共用"")), ""內部轉帳(忽略)"",
  AND(E5263&lt;&gt;"""", F5263&lt;&gt;"""", N"&amp;"OT(REGEXMATCH(C5263, ""薪資""))), ""內部轉帳(忽略)"",
  REGEXMATCH(C5263, ""薪資""), ""薪資變動(不計入)"",
  REGEXMATCH(C5263, ""押金""), ""押金往來"",
  AND(E5263&lt;&gt;"""", F5263=""""), ""真實支出"",
  AND(E5263="""", F5263&lt;&gt;""""), ""真實收入"",
  TRUE, ""其他""
)"),"其他")</f>
        <v>其他</v>
      </c>
      <c r="K5263" s="270" t="str">
        <f t="shared" si="2"/>
        <v/>
      </c>
      <c r="L5263">
        <f t="shared" si="3"/>
        <v>0</v>
      </c>
    </row>
    <row r="5264">
      <c r="A5264" s="107"/>
      <c r="D5264" s="270"/>
      <c r="H5264" s="106" t="str">
        <f t="shared" si="1"/>
        <v/>
      </c>
      <c r="I5264" s="271" t="str">
        <f>IFERROR(__xludf.DUMMYFUNCTION("""COMPUTED_VALUE"""),"")</f>
        <v/>
      </c>
      <c r="J5264" t="str">
        <f>IFERROR(__xludf.DUMMYFUNCTION("IFS(
  AND(REGEXMATCH(E5264, ""台銀籌備帳戶|玉山帳戶""), REGEXMATCH(C5264, ""薪資"")), ""分潤支出"",
  AND(REGEXMATCH(E5264, ""Ben帳戶|Elsa帳戶|Ben代墊|Ariel代墊|中信銀行共用""), REGEXMATCH(F5264, ""Ben帳戶|Elsa帳戶|Ben代墊|Ariel代墊|中信銀行共用"")), ""內部轉帳(忽略)"",
  AND(E5264&lt;&gt;"""", F5264&lt;&gt;"""", N"&amp;"OT(REGEXMATCH(C5264, ""薪資""))), ""內部轉帳(忽略)"",
  REGEXMATCH(C5264, ""薪資""), ""薪資變動(不計入)"",
  REGEXMATCH(C5264, ""押金""), ""押金往來"",
  AND(E5264&lt;&gt;"""", F5264=""""), ""真實支出"",
  AND(E5264="""", F5264&lt;&gt;""""), ""真實收入"",
  TRUE, ""其他""
)"),"其他")</f>
        <v>其他</v>
      </c>
      <c r="K5264" s="270" t="str">
        <f t="shared" si="2"/>
        <v/>
      </c>
      <c r="L5264">
        <f t="shared" si="3"/>
        <v>0</v>
      </c>
    </row>
    <row r="5265">
      <c r="A5265" s="107"/>
      <c r="D5265" s="270"/>
      <c r="H5265" s="106" t="str">
        <f t="shared" si="1"/>
        <v/>
      </c>
      <c r="I5265" s="271" t="str">
        <f>IFERROR(__xludf.DUMMYFUNCTION("""COMPUTED_VALUE"""),"")</f>
        <v/>
      </c>
      <c r="J5265" t="str">
        <f>IFERROR(__xludf.DUMMYFUNCTION("IFS(
  AND(REGEXMATCH(E5265, ""台銀籌備帳戶|玉山帳戶""), REGEXMATCH(C5265, ""薪資"")), ""分潤支出"",
  AND(REGEXMATCH(E5265, ""Ben帳戶|Elsa帳戶|Ben代墊|Ariel代墊|中信銀行共用""), REGEXMATCH(F5265, ""Ben帳戶|Elsa帳戶|Ben代墊|Ariel代墊|中信銀行共用"")), ""內部轉帳(忽略)"",
  AND(E5265&lt;&gt;"""", F5265&lt;&gt;"""", N"&amp;"OT(REGEXMATCH(C5265, ""薪資""))), ""內部轉帳(忽略)"",
  REGEXMATCH(C5265, ""薪資""), ""薪資變動(不計入)"",
  REGEXMATCH(C5265, ""押金""), ""押金往來"",
  AND(E5265&lt;&gt;"""", F5265=""""), ""真實支出"",
  AND(E5265="""", F5265&lt;&gt;""""), ""真實收入"",
  TRUE, ""其他""
)"),"其他")</f>
        <v>其他</v>
      </c>
      <c r="K5265" s="270" t="str">
        <f t="shared" si="2"/>
        <v/>
      </c>
      <c r="L5265">
        <f t="shared" si="3"/>
        <v>0</v>
      </c>
    </row>
    <row r="5266">
      <c r="A5266" s="107"/>
      <c r="D5266" s="270"/>
      <c r="H5266" s="106" t="str">
        <f t="shared" si="1"/>
        <v/>
      </c>
      <c r="I5266" s="271" t="str">
        <f>IFERROR(__xludf.DUMMYFUNCTION("""COMPUTED_VALUE"""),"")</f>
        <v/>
      </c>
      <c r="J5266" t="str">
        <f>IFERROR(__xludf.DUMMYFUNCTION("IFS(
  AND(REGEXMATCH(E5266, ""台銀籌備帳戶|玉山帳戶""), REGEXMATCH(C5266, ""薪資"")), ""分潤支出"",
  AND(REGEXMATCH(E5266, ""Ben帳戶|Elsa帳戶|Ben代墊|Ariel代墊|中信銀行共用""), REGEXMATCH(F5266, ""Ben帳戶|Elsa帳戶|Ben代墊|Ariel代墊|中信銀行共用"")), ""內部轉帳(忽略)"",
  AND(E5266&lt;&gt;"""", F5266&lt;&gt;"""", N"&amp;"OT(REGEXMATCH(C5266, ""薪資""))), ""內部轉帳(忽略)"",
  REGEXMATCH(C5266, ""薪資""), ""薪資變動(不計入)"",
  REGEXMATCH(C5266, ""押金""), ""押金往來"",
  AND(E5266&lt;&gt;"""", F5266=""""), ""真實支出"",
  AND(E5266="""", F5266&lt;&gt;""""), ""真實收入"",
  TRUE, ""其他""
)"),"其他")</f>
        <v>其他</v>
      </c>
      <c r="K5266" s="270" t="str">
        <f t="shared" si="2"/>
        <v/>
      </c>
      <c r="L5266">
        <f t="shared" si="3"/>
        <v>0</v>
      </c>
    </row>
    <row r="5267">
      <c r="A5267" s="107"/>
      <c r="D5267" s="270"/>
      <c r="H5267" s="106" t="str">
        <f t="shared" si="1"/>
        <v/>
      </c>
      <c r="I5267" s="271" t="str">
        <f>IFERROR(__xludf.DUMMYFUNCTION("""COMPUTED_VALUE"""),"")</f>
        <v/>
      </c>
      <c r="J5267" t="str">
        <f>IFERROR(__xludf.DUMMYFUNCTION("IFS(
  AND(REGEXMATCH(E5267, ""台銀籌備帳戶|玉山帳戶""), REGEXMATCH(C5267, ""薪資"")), ""分潤支出"",
  AND(REGEXMATCH(E5267, ""Ben帳戶|Elsa帳戶|Ben代墊|Ariel代墊|中信銀行共用""), REGEXMATCH(F5267, ""Ben帳戶|Elsa帳戶|Ben代墊|Ariel代墊|中信銀行共用"")), ""內部轉帳(忽略)"",
  AND(E5267&lt;&gt;"""", F5267&lt;&gt;"""", N"&amp;"OT(REGEXMATCH(C5267, ""薪資""))), ""內部轉帳(忽略)"",
  REGEXMATCH(C5267, ""薪資""), ""薪資變動(不計入)"",
  REGEXMATCH(C5267, ""押金""), ""押金往來"",
  AND(E5267&lt;&gt;"""", F5267=""""), ""真實支出"",
  AND(E5267="""", F5267&lt;&gt;""""), ""真實收入"",
  TRUE, ""其他""
)"),"其他")</f>
        <v>其他</v>
      </c>
      <c r="K5267" s="270" t="str">
        <f t="shared" si="2"/>
        <v/>
      </c>
      <c r="L5267">
        <f t="shared" si="3"/>
        <v>0</v>
      </c>
    </row>
    <row r="5268">
      <c r="A5268" s="107"/>
      <c r="D5268" s="270"/>
      <c r="H5268" s="106" t="str">
        <f t="shared" si="1"/>
        <v/>
      </c>
      <c r="I5268" s="271" t="str">
        <f>IFERROR(__xludf.DUMMYFUNCTION("""COMPUTED_VALUE"""),"")</f>
        <v/>
      </c>
      <c r="J5268" t="str">
        <f>IFERROR(__xludf.DUMMYFUNCTION("IFS(
  AND(REGEXMATCH(E5268, ""台銀籌備帳戶|玉山帳戶""), REGEXMATCH(C5268, ""薪資"")), ""分潤支出"",
  AND(REGEXMATCH(E5268, ""Ben帳戶|Elsa帳戶|Ben代墊|Ariel代墊|中信銀行共用""), REGEXMATCH(F5268, ""Ben帳戶|Elsa帳戶|Ben代墊|Ariel代墊|中信銀行共用"")), ""內部轉帳(忽略)"",
  AND(E5268&lt;&gt;"""", F5268&lt;&gt;"""", N"&amp;"OT(REGEXMATCH(C5268, ""薪資""))), ""內部轉帳(忽略)"",
  REGEXMATCH(C5268, ""薪資""), ""薪資變動(不計入)"",
  REGEXMATCH(C5268, ""押金""), ""押金往來"",
  AND(E5268&lt;&gt;"""", F5268=""""), ""真實支出"",
  AND(E5268="""", F5268&lt;&gt;""""), ""真實收入"",
  TRUE, ""其他""
)"),"其他")</f>
        <v>其他</v>
      </c>
      <c r="K5268" s="270" t="str">
        <f t="shared" si="2"/>
        <v/>
      </c>
      <c r="L5268">
        <f t="shared" si="3"/>
        <v>0</v>
      </c>
    </row>
    <row r="5269">
      <c r="A5269" s="107"/>
      <c r="D5269" s="270"/>
      <c r="H5269" s="106" t="str">
        <f t="shared" si="1"/>
        <v/>
      </c>
      <c r="I5269" s="271" t="str">
        <f>IFERROR(__xludf.DUMMYFUNCTION("""COMPUTED_VALUE"""),"")</f>
        <v/>
      </c>
      <c r="J5269" t="str">
        <f>IFERROR(__xludf.DUMMYFUNCTION("IFS(
  AND(REGEXMATCH(E5269, ""台銀籌備帳戶|玉山帳戶""), REGEXMATCH(C5269, ""薪資"")), ""分潤支出"",
  AND(REGEXMATCH(E5269, ""Ben帳戶|Elsa帳戶|Ben代墊|Ariel代墊|中信銀行共用""), REGEXMATCH(F5269, ""Ben帳戶|Elsa帳戶|Ben代墊|Ariel代墊|中信銀行共用"")), ""內部轉帳(忽略)"",
  AND(E5269&lt;&gt;"""", F5269&lt;&gt;"""", N"&amp;"OT(REGEXMATCH(C5269, ""薪資""))), ""內部轉帳(忽略)"",
  REGEXMATCH(C5269, ""薪資""), ""薪資變動(不計入)"",
  REGEXMATCH(C5269, ""押金""), ""押金往來"",
  AND(E5269&lt;&gt;"""", F5269=""""), ""真實支出"",
  AND(E5269="""", F5269&lt;&gt;""""), ""真實收入"",
  TRUE, ""其他""
)"),"其他")</f>
        <v>其他</v>
      </c>
      <c r="K5269" s="270" t="str">
        <f t="shared" si="2"/>
        <v/>
      </c>
      <c r="L5269">
        <f t="shared" si="3"/>
        <v>0</v>
      </c>
    </row>
    <row r="5270">
      <c r="A5270" s="107"/>
      <c r="D5270" s="270"/>
      <c r="H5270" s="106" t="str">
        <f t="shared" si="1"/>
        <v/>
      </c>
      <c r="I5270" s="271" t="str">
        <f>IFERROR(__xludf.DUMMYFUNCTION("""COMPUTED_VALUE"""),"")</f>
        <v/>
      </c>
      <c r="J5270" t="str">
        <f>IFERROR(__xludf.DUMMYFUNCTION("IFS(
  AND(REGEXMATCH(E5270, ""台銀籌備帳戶|玉山帳戶""), REGEXMATCH(C5270, ""薪資"")), ""分潤支出"",
  AND(REGEXMATCH(E5270, ""Ben帳戶|Elsa帳戶|Ben代墊|Ariel代墊|中信銀行共用""), REGEXMATCH(F5270, ""Ben帳戶|Elsa帳戶|Ben代墊|Ariel代墊|中信銀行共用"")), ""內部轉帳(忽略)"",
  AND(E5270&lt;&gt;"""", F5270&lt;&gt;"""", N"&amp;"OT(REGEXMATCH(C5270, ""薪資""))), ""內部轉帳(忽略)"",
  REGEXMATCH(C5270, ""薪資""), ""薪資變動(不計入)"",
  REGEXMATCH(C5270, ""押金""), ""押金往來"",
  AND(E5270&lt;&gt;"""", F5270=""""), ""真實支出"",
  AND(E5270="""", F5270&lt;&gt;""""), ""真實收入"",
  TRUE, ""其他""
)"),"其他")</f>
        <v>其他</v>
      </c>
      <c r="K5270" s="270" t="str">
        <f t="shared" si="2"/>
        <v/>
      </c>
      <c r="L5270">
        <f t="shared" si="3"/>
        <v>0</v>
      </c>
    </row>
    <row r="5271">
      <c r="A5271" s="107"/>
      <c r="D5271" s="270"/>
      <c r="H5271" s="106" t="str">
        <f t="shared" si="1"/>
        <v/>
      </c>
      <c r="I5271" s="271" t="str">
        <f>IFERROR(__xludf.DUMMYFUNCTION("""COMPUTED_VALUE"""),"")</f>
        <v/>
      </c>
      <c r="J5271" t="str">
        <f>IFERROR(__xludf.DUMMYFUNCTION("IFS(
  AND(REGEXMATCH(E5271, ""台銀籌備帳戶|玉山帳戶""), REGEXMATCH(C5271, ""薪資"")), ""分潤支出"",
  AND(REGEXMATCH(E5271, ""Ben帳戶|Elsa帳戶|Ben代墊|Ariel代墊|中信銀行共用""), REGEXMATCH(F5271, ""Ben帳戶|Elsa帳戶|Ben代墊|Ariel代墊|中信銀行共用"")), ""內部轉帳(忽略)"",
  AND(E5271&lt;&gt;"""", F5271&lt;&gt;"""", N"&amp;"OT(REGEXMATCH(C5271, ""薪資""))), ""內部轉帳(忽略)"",
  REGEXMATCH(C5271, ""薪資""), ""薪資變動(不計入)"",
  REGEXMATCH(C5271, ""押金""), ""押金往來"",
  AND(E5271&lt;&gt;"""", F5271=""""), ""真實支出"",
  AND(E5271="""", F5271&lt;&gt;""""), ""真實收入"",
  TRUE, ""其他""
)"),"其他")</f>
        <v>其他</v>
      </c>
      <c r="K5271" s="270" t="str">
        <f t="shared" si="2"/>
        <v/>
      </c>
      <c r="L5271">
        <f t="shared" si="3"/>
        <v>0</v>
      </c>
    </row>
    <row r="5272">
      <c r="A5272" s="107"/>
      <c r="D5272" s="270"/>
      <c r="H5272" s="106" t="str">
        <f t="shared" si="1"/>
        <v/>
      </c>
      <c r="I5272" s="271" t="str">
        <f>IFERROR(__xludf.DUMMYFUNCTION("""COMPUTED_VALUE"""),"")</f>
        <v/>
      </c>
      <c r="J5272" t="str">
        <f>IFERROR(__xludf.DUMMYFUNCTION("IFS(
  AND(REGEXMATCH(E5272, ""台銀籌備帳戶|玉山帳戶""), REGEXMATCH(C5272, ""薪資"")), ""分潤支出"",
  AND(REGEXMATCH(E5272, ""Ben帳戶|Elsa帳戶|Ben代墊|Ariel代墊|中信銀行共用""), REGEXMATCH(F5272, ""Ben帳戶|Elsa帳戶|Ben代墊|Ariel代墊|中信銀行共用"")), ""內部轉帳(忽略)"",
  AND(E5272&lt;&gt;"""", F5272&lt;&gt;"""", N"&amp;"OT(REGEXMATCH(C5272, ""薪資""))), ""內部轉帳(忽略)"",
  REGEXMATCH(C5272, ""薪資""), ""薪資變動(不計入)"",
  REGEXMATCH(C5272, ""押金""), ""押金往來"",
  AND(E5272&lt;&gt;"""", F5272=""""), ""真實支出"",
  AND(E5272="""", F5272&lt;&gt;""""), ""真實收入"",
  TRUE, ""其他""
)"),"其他")</f>
        <v>其他</v>
      </c>
      <c r="K5272" s="270" t="str">
        <f t="shared" si="2"/>
        <v/>
      </c>
      <c r="L5272">
        <f t="shared" si="3"/>
        <v>0</v>
      </c>
    </row>
    <row r="5273">
      <c r="A5273" s="107"/>
      <c r="D5273" s="270"/>
      <c r="H5273" s="106" t="str">
        <f t="shared" si="1"/>
        <v/>
      </c>
      <c r="I5273" s="271" t="str">
        <f>IFERROR(__xludf.DUMMYFUNCTION("""COMPUTED_VALUE"""),"")</f>
        <v/>
      </c>
      <c r="J5273" t="str">
        <f>IFERROR(__xludf.DUMMYFUNCTION("IFS(
  AND(REGEXMATCH(E5273, ""台銀籌備帳戶|玉山帳戶""), REGEXMATCH(C5273, ""薪資"")), ""分潤支出"",
  AND(REGEXMATCH(E5273, ""Ben帳戶|Elsa帳戶|Ben代墊|Ariel代墊|中信銀行共用""), REGEXMATCH(F5273, ""Ben帳戶|Elsa帳戶|Ben代墊|Ariel代墊|中信銀行共用"")), ""內部轉帳(忽略)"",
  AND(E5273&lt;&gt;"""", F5273&lt;&gt;"""", N"&amp;"OT(REGEXMATCH(C5273, ""薪資""))), ""內部轉帳(忽略)"",
  REGEXMATCH(C5273, ""薪資""), ""薪資變動(不計入)"",
  REGEXMATCH(C5273, ""押金""), ""押金往來"",
  AND(E5273&lt;&gt;"""", F5273=""""), ""真實支出"",
  AND(E5273="""", F5273&lt;&gt;""""), ""真實收入"",
  TRUE, ""其他""
)"),"其他")</f>
        <v>其他</v>
      </c>
      <c r="K5273" s="270" t="str">
        <f t="shared" si="2"/>
        <v/>
      </c>
      <c r="L5273">
        <f t="shared" si="3"/>
        <v>0</v>
      </c>
    </row>
    <row r="5274">
      <c r="A5274" s="107"/>
      <c r="D5274" s="270"/>
      <c r="H5274" s="106" t="str">
        <f t="shared" si="1"/>
        <v/>
      </c>
      <c r="I5274" s="271" t="str">
        <f>IFERROR(__xludf.DUMMYFUNCTION("""COMPUTED_VALUE"""),"")</f>
        <v/>
      </c>
      <c r="J5274" t="str">
        <f>IFERROR(__xludf.DUMMYFUNCTION("IFS(
  AND(REGEXMATCH(E5274, ""台銀籌備帳戶|玉山帳戶""), REGEXMATCH(C5274, ""薪資"")), ""分潤支出"",
  AND(REGEXMATCH(E5274, ""Ben帳戶|Elsa帳戶|Ben代墊|Ariel代墊|中信銀行共用""), REGEXMATCH(F5274, ""Ben帳戶|Elsa帳戶|Ben代墊|Ariel代墊|中信銀行共用"")), ""內部轉帳(忽略)"",
  AND(E5274&lt;&gt;"""", F5274&lt;&gt;"""", N"&amp;"OT(REGEXMATCH(C5274, ""薪資""))), ""內部轉帳(忽略)"",
  REGEXMATCH(C5274, ""薪資""), ""薪資變動(不計入)"",
  REGEXMATCH(C5274, ""押金""), ""押金往來"",
  AND(E5274&lt;&gt;"""", F5274=""""), ""真實支出"",
  AND(E5274="""", F5274&lt;&gt;""""), ""真實收入"",
  TRUE, ""其他""
)"),"其他")</f>
        <v>其他</v>
      </c>
      <c r="K5274" s="270" t="str">
        <f t="shared" si="2"/>
        <v/>
      </c>
      <c r="L5274">
        <f t="shared" si="3"/>
        <v>0</v>
      </c>
    </row>
    <row r="5275">
      <c r="A5275" s="107"/>
      <c r="D5275" s="270"/>
      <c r="H5275" s="106" t="str">
        <f t="shared" si="1"/>
        <v/>
      </c>
      <c r="I5275" s="271" t="str">
        <f>IFERROR(__xludf.DUMMYFUNCTION("""COMPUTED_VALUE"""),"")</f>
        <v/>
      </c>
      <c r="J5275" t="str">
        <f>IFERROR(__xludf.DUMMYFUNCTION("IFS(
  AND(REGEXMATCH(E5275, ""台銀籌備帳戶|玉山帳戶""), REGEXMATCH(C5275, ""薪資"")), ""分潤支出"",
  AND(REGEXMATCH(E5275, ""Ben帳戶|Elsa帳戶|Ben代墊|Ariel代墊|中信銀行共用""), REGEXMATCH(F5275, ""Ben帳戶|Elsa帳戶|Ben代墊|Ariel代墊|中信銀行共用"")), ""內部轉帳(忽略)"",
  AND(E5275&lt;&gt;"""", F5275&lt;&gt;"""", N"&amp;"OT(REGEXMATCH(C5275, ""薪資""))), ""內部轉帳(忽略)"",
  REGEXMATCH(C5275, ""薪資""), ""薪資變動(不計入)"",
  REGEXMATCH(C5275, ""押金""), ""押金往來"",
  AND(E5275&lt;&gt;"""", F5275=""""), ""真實支出"",
  AND(E5275="""", F5275&lt;&gt;""""), ""真實收入"",
  TRUE, ""其他""
)"),"其他")</f>
        <v>其他</v>
      </c>
      <c r="K5275" s="270" t="str">
        <f t="shared" si="2"/>
        <v/>
      </c>
      <c r="L5275">
        <f t="shared" si="3"/>
        <v>0</v>
      </c>
    </row>
    <row r="5276">
      <c r="A5276" s="107"/>
      <c r="D5276" s="270"/>
      <c r="H5276" s="106" t="str">
        <f t="shared" si="1"/>
        <v/>
      </c>
      <c r="I5276" s="271" t="str">
        <f>IFERROR(__xludf.DUMMYFUNCTION("""COMPUTED_VALUE"""),"")</f>
        <v/>
      </c>
      <c r="J5276" t="str">
        <f>IFERROR(__xludf.DUMMYFUNCTION("IFS(
  AND(REGEXMATCH(E5276, ""台銀籌備帳戶|玉山帳戶""), REGEXMATCH(C5276, ""薪資"")), ""分潤支出"",
  AND(REGEXMATCH(E5276, ""Ben帳戶|Elsa帳戶|Ben代墊|Ariel代墊|中信銀行共用""), REGEXMATCH(F5276, ""Ben帳戶|Elsa帳戶|Ben代墊|Ariel代墊|中信銀行共用"")), ""內部轉帳(忽略)"",
  AND(E5276&lt;&gt;"""", F5276&lt;&gt;"""", N"&amp;"OT(REGEXMATCH(C5276, ""薪資""))), ""內部轉帳(忽略)"",
  REGEXMATCH(C5276, ""薪資""), ""薪資變動(不計入)"",
  REGEXMATCH(C5276, ""押金""), ""押金往來"",
  AND(E5276&lt;&gt;"""", F5276=""""), ""真實支出"",
  AND(E5276="""", F5276&lt;&gt;""""), ""真實收入"",
  TRUE, ""其他""
)"),"其他")</f>
        <v>其他</v>
      </c>
      <c r="K5276" s="270" t="str">
        <f t="shared" si="2"/>
        <v/>
      </c>
      <c r="L5276">
        <f t="shared" si="3"/>
        <v>0</v>
      </c>
    </row>
    <row r="5277">
      <c r="A5277" s="107"/>
      <c r="D5277" s="270"/>
      <c r="H5277" s="106" t="str">
        <f t="shared" si="1"/>
        <v/>
      </c>
      <c r="I5277" s="271" t="str">
        <f>IFERROR(__xludf.DUMMYFUNCTION("""COMPUTED_VALUE"""),"")</f>
        <v/>
      </c>
      <c r="J5277" t="str">
        <f>IFERROR(__xludf.DUMMYFUNCTION("IFS(
  AND(REGEXMATCH(E5277, ""台銀籌備帳戶|玉山帳戶""), REGEXMATCH(C5277, ""薪資"")), ""分潤支出"",
  AND(REGEXMATCH(E5277, ""Ben帳戶|Elsa帳戶|Ben代墊|Ariel代墊|中信銀行共用""), REGEXMATCH(F5277, ""Ben帳戶|Elsa帳戶|Ben代墊|Ariel代墊|中信銀行共用"")), ""內部轉帳(忽略)"",
  AND(E5277&lt;&gt;"""", F5277&lt;&gt;"""", N"&amp;"OT(REGEXMATCH(C5277, ""薪資""))), ""內部轉帳(忽略)"",
  REGEXMATCH(C5277, ""薪資""), ""薪資變動(不計入)"",
  REGEXMATCH(C5277, ""押金""), ""押金往來"",
  AND(E5277&lt;&gt;"""", F5277=""""), ""真實支出"",
  AND(E5277="""", F5277&lt;&gt;""""), ""真實收入"",
  TRUE, ""其他""
)"),"其他")</f>
        <v>其他</v>
      </c>
      <c r="K5277" s="270" t="str">
        <f t="shared" si="2"/>
        <v/>
      </c>
      <c r="L5277">
        <f t="shared" si="3"/>
        <v>0</v>
      </c>
    </row>
    <row r="5278">
      <c r="A5278" s="107"/>
      <c r="D5278" s="270"/>
      <c r="H5278" s="106" t="str">
        <f t="shared" si="1"/>
        <v/>
      </c>
      <c r="I5278" s="271" t="str">
        <f>IFERROR(__xludf.DUMMYFUNCTION("""COMPUTED_VALUE"""),"")</f>
        <v/>
      </c>
      <c r="J5278" t="str">
        <f>IFERROR(__xludf.DUMMYFUNCTION("IFS(
  AND(REGEXMATCH(E5278, ""台銀籌備帳戶|玉山帳戶""), REGEXMATCH(C5278, ""薪資"")), ""分潤支出"",
  AND(REGEXMATCH(E5278, ""Ben帳戶|Elsa帳戶|Ben代墊|Ariel代墊|中信銀行共用""), REGEXMATCH(F5278, ""Ben帳戶|Elsa帳戶|Ben代墊|Ariel代墊|中信銀行共用"")), ""內部轉帳(忽略)"",
  AND(E5278&lt;&gt;"""", F5278&lt;&gt;"""", N"&amp;"OT(REGEXMATCH(C5278, ""薪資""))), ""內部轉帳(忽略)"",
  REGEXMATCH(C5278, ""薪資""), ""薪資變動(不計入)"",
  REGEXMATCH(C5278, ""押金""), ""押金往來"",
  AND(E5278&lt;&gt;"""", F5278=""""), ""真實支出"",
  AND(E5278="""", F5278&lt;&gt;""""), ""真實收入"",
  TRUE, ""其他""
)"),"其他")</f>
        <v>其他</v>
      </c>
      <c r="K5278" s="270" t="str">
        <f t="shared" si="2"/>
        <v/>
      </c>
      <c r="L5278">
        <f t="shared" si="3"/>
        <v>0</v>
      </c>
    </row>
    <row r="5279">
      <c r="A5279" s="107"/>
      <c r="D5279" s="270"/>
      <c r="H5279" s="106" t="str">
        <f t="shared" si="1"/>
        <v/>
      </c>
      <c r="I5279" s="271" t="str">
        <f>IFERROR(__xludf.DUMMYFUNCTION("""COMPUTED_VALUE"""),"")</f>
        <v/>
      </c>
      <c r="J5279" t="str">
        <f>IFERROR(__xludf.DUMMYFUNCTION("IFS(
  AND(REGEXMATCH(E5279, ""台銀籌備帳戶|玉山帳戶""), REGEXMATCH(C5279, ""薪資"")), ""分潤支出"",
  AND(REGEXMATCH(E5279, ""Ben帳戶|Elsa帳戶|Ben代墊|Ariel代墊|中信銀行共用""), REGEXMATCH(F5279, ""Ben帳戶|Elsa帳戶|Ben代墊|Ariel代墊|中信銀行共用"")), ""內部轉帳(忽略)"",
  AND(E5279&lt;&gt;"""", F5279&lt;&gt;"""", N"&amp;"OT(REGEXMATCH(C5279, ""薪資""))), ""內部轉帳(忽略)"",
  REGEXMATCH(C5279, ""薪資""), ""薪資變動(不計入)"",
  REGEXMATCH(C5279, ""押金""), ""押金往來"",
  AND(E5279&lt;&gt;"""", F5279=""""), ""真實支出"",
  AND(E5279="""", F5279&lt;&gt;""""), ""真實收入"",
  TRUE, ""其他""
)"),"其他")</f>
        <v>其他</v>
      </c>
      <c r="K5279" s="270" t="str">
        <f t="shared" si="2"/>
        <v/>
      </c>
      <c r="L5279">
        <f t="shared" si="3"/>
        <v>0</v>
      </c>
    </row>
    <row r="5280">
      <c r="A5280" s="107"/>
      <c r="D5280" s="270"/>
      <c r="H5280" s="106" t="str">
        <f t="shared" si="1"/>
        <v/>
      </c>
      <c r="I5280" s="271" t="str">
        <f>IFERROR(__xludf.DUMMYFUNCTION("""COMPUTED_VALUE"""),"")</f>
        <v/>
      </c>
      <c r="J5280" t="str">
        <f>IFERROR(__xludf.DUMMYFUNCTION("IFS(
  AND(REGEXMATCH(E5280, ""台銀籌備帳戶|玉山帳戶""), REGEXMATCH(C5280, ""薪資"")), ""分潤支出"",
  AND(REGEXMATCH(E5280, ""Ben帳戶|Elsa帳戶|Ben代墊|Ariel代墊|中信銀行共用""), REGEXMATCH(F5280, ""Ben帳戶|Elsa帳戶|Ben代墊|Ariel代墊|中信銀行共用"")), ""內部轉帳(忽略)"",
  AND(E5280&lt;&gt;"""", F5280&lt;&gt;"""", N"&amp;"OT(REGEXMATCH(C5280, ""薪資""))), ""內部轉帳(忽略)"",
  REGEXMATCH(C5280, ""薪資""), ""薪資變動(不計入)"",
  REGEXMATCH(C5280, ""押金""), ""押金往來"",
  AND(E5280&lt;&gt;"""", F5280=""""), ""真實支出"",
  AND(E5280="""", F5280&lt;&gt;""""), ""真實收入"",
  TRUE, ""其他""
)"),"其他")</f>
        <v>其他</v>
      </c>
      <c r="K5280" s="270" t="str">
        <f t="shared" si="2"/>
        <v/>
      </c>
      <c r="L5280">
        <f t="shared" si="3"/>
        <v>0</v>
      </c>
    </row>
    <row r="5281">
      <c r="A5281" s="107"/>
      <c r="D5281" s="270"/>
      <c r="H5281" s="106" t="str">
        <f t="shared" si="1"/>
        <v/>
      </c>
      <c r="I5281" s="271" t="str">
        <f>IFERROR(__xludf.DUMMYFUNCTION("""COMPUTED_VALUE"""),"")</f>
        <v/>
      </c>
      <c r="J5281" t="str">
        <f>IFERROR(__xludf.DUMMYFUNCTION("IFS(
  AND(REGEXMATCH(E5281, ""台銀籌備帳戶|玉山帳戶""), REGEXMATCH(C5281, ""薪資"")), ""分潤支出"",
  AND(REGEXMATCH(E5281, ""Ben帳戶|Elsa帳戶|Ben代墊|Ariel代墊|中信銀行共用""), REGEXMATCH(F5281, ""Ben帳戶|Elsa帳戶|Ben代墊|Ariel代墊|中信銀行共用"")), ""內部轉帳(忽略)"",
  AND(E5281&lt;&gt;"""", F5281&lt;&gt;"""", N"&amp;"OT(REGEXMATCH(C5281, ""薪資""))), ""內部轉帳(忽略)"",
  REGEXMATCH(C5281, ""薪資""), ""薪資變動(不計入)"",
  REGEXMATCH(C5281, ""押金""), ""押金往來"",
  AND(E5281&lt;&gt;"""", F5281=""""), ""真實支出"",
  AND(E5281="""", F5281&lt;&gt;""""), ""真實收入"",
  TRUE, ""其他""
)"),"其他")</f>
        <v>其他</v>
      </c>
      <c r="K5281" s="270" t="str">
        <f t="shared" si="2"/>
        <v/>
      </c>
      <c r="L5281">
        <f t="shared" si="3"/>
        <v>0</v>
      </c>
    </row>
    <row r="5282">
      <c r="A5282" s="107"/>
      <c r="D5282" s="270"/>
      <c r="H5282" s="106" t="str">
        <f t="shared" si="1"/>
        <v/>
      </c>
      <c r="I5282" s="271" t="str">
        <f>IFERROR(__xludf.DUMMYFUNCTION("""COMPUTED_VALUE"""),"")</f>
        <v/>
      </c>
      <c r="J5282" t="str">
        <f>IFERROR(__xludf.DUMMYFUNCTION("IFS(
  AND(REGEXMATCH(E5282, ""台銀籌備帳戶|玉山帳戶""), REGEXMATCH(C5282, ""薪資"")), ""分潤支出"",
  AND(REGEXMATCH(E5282, ""Ben帳戶|Elsa帳戶|Ben代墊|Ariel代墊|中信銀行共用""), REGEXMATCH(F5282, ""Ben帳戶|Elsa帳戶|Ben代墊|Ariel代墊|中信銀行共用"")), ""內部轉帳(忽略)"",
  AND(E5282&lt;&gt;"""", F5282&lt;&gt;"""", N"&amp;"OT(REGEXMATCH(C5282, ""薪資""))), ""內部轉帳(忽略)"",
  REGEXMATCH(C5282, ""薪資""), ""薪資變動(不計入)"",
  REGEXMATCH(C5282, ""押金""), ""押金往來"",
  AND(E5282&lt;&gt;"""", F5282=""""), ""真實支出"",
  AND(E5282="""", F5282&lt;&gt;""""), ""真實收入"",
  TRUE, ""其他""
)"),"其他")</f>
        <v>其他</v>
      </c>
      <c r="K5282" s="270" t="str">
        <f t="shared" si="2"/>
        <v/>
      </c>
      <c r="L5282">
        <f t="shared" si="3"/>
        <v>0</v>
      </c>
    </row>
    <row r="5283">
      <c r="A5283" s="107"/>
      <c r="D5283" s="270"/>
      <c r="H5283" s="106" t="str">
        <f t="shared" si="1"/>
        <v/>
      </c>
      <c r="I5283" s="271" t="str">
        <f>IFERROR(__xludf.DUMMYFUNCTION("""COMPUTED_VALUE"""),"")</f>
        <v/>
      </c>
      <c r="J5283" t="str">
        <f>IFERROR(__xludf.DUMMYFUNCTION("IFS(
  AND(REGEXMATCH(E5283, ""台銀籌備帳戶|玉山帳戶""), REGEXMATCH(C5283, ""薪資"")), ""分潤支出"",
  AND(REGEXMATCH(E5283, ""Ben帳戶|Elsa帳戶|Ben代墊|Ariel代墊|中信銀行共用""), REGEXMATCH(F5283, ""Ben帳戶|Elsa帳戶|Ben代墊|Ariel代墊|中信銀行共用"")), ""內部轉帳(忽略)"",
  AND(E5283&lt;&gt;"""", F5283&lt;&gt;"""", N"&amp;"OT(REGEXMATCH(C5283, ""薪資""))), ""內部轉帳(忽略)"",
  REGEXMATCH(C5283, ""薪資""), ""薪資變動(不計入)"",
  REGEXMATCH(C5283, ""押金""), ""押金往來"",
  AND(E5283&lt;&gt;"""", F5283=""""), ""真實支出"",
  AND(E5283="""", F5283&lt;&gt;""""), ""真實收入"",
  TRUE, ""其他""
)"),"其他")</f>
        <v>其他</v>
      </c>
      <c r="K5283" s="270" t="str">
        <f t="shared" si="2"/>
        <v/>
      </c>
      <c r="L5283">
        <f t="shared" si="3"/>
        <v>0</v>
      </c>
    </row>
    <row r="5284">
      <c r="A5284" s="107"/>
      <c r="D5284" s="270"/>
      <c r="H5284" s="106" t="str">
        <f t="shared" si="1"/>
        <v/>
      </c>
      <c r="I5284" s="271" t="str">
        <f>IFERROR(__xludf.DUMMYFUNCTION("""COMPUTED_VALUE"""),"")</f>
        <v/>
      </c>
      <c r="J5284" t="str">
        <f>IFERROR(__xludf.DUMMYFUNCTION("IFS(
  AND(REGEXMATCH(E5284, ""台銀籌備帳戶|玉山帳戶""), REGEXMATCH(C5284, ""薪資"")), ""分潤支出"",
  AND(REGEXMATCH(E5284, ""Ben帳戶|Elsa帳戶|Ben代墊|Ariel代墊|中信銀行共用""), REGEXMATCH(F5284, ""Ben帳戶|Elsa帳戶|Ben代墊|Ariel代墊|中信銀行共用"")), ""內部轉帳(忽略)"",
  AND(E5284&lt;&gt;"""", F5284&lt;&gt;"""", N"&amp;"OT(REGEXMATCH(C5284, ""薪資""))), ""內部轉帳(忽略)"",
  REGEXMATCH(C5284, ""薪資""), ""薪資變動(不計入)"",
  REGEXMATCH(C5284, ""押金""), ""押金往來"",
  AND(E5284&lt;&gt;"""", F5284=""""), ""真實支出"",
  AND(E5284="""", F5284&lt;&gt;""""), ""真實收入"",
  TRUE, ""其他""
)"),"其他")</f>
        <v>其他</v>
      </c>
      <c r="K5284" s="270" t="str">
        <f t="shared" si="2"/>
        <v/>
      </c>
      <c r="L5284">
        <f t="shared" si="3"/>
        <v>0</v>
      </c>
    </row>
    <row r="5285">
      <c r="A5285" s="107"/>
      <c r="D5285" s="270"/>
      <c r="H5285" s="106" t="str">
        <f t="shared" si="1"/>
        <v/>
      </c>
      <c r="I5285" s="271" t="str">
        <f>IFERROR(__xludf.DUMMYFUNCTION("""COMPUTED_VALUE"""),"")</f>
        <v/>
      </c>
      <c r="J5285" t="str">
        <f>IFERROR(__xludf.DUMMYFUNCTION("IFS(
  AND(REGEXMATCH(E5285, ""台銀籌備帳戶|玉山帳戶""), REGEXMATCH(C5285, ""薪資"")), ""分潤支出"",
  AND(REGEXMATCH(E5285, ""Ben帳戶|Elsa帳戶|Ben代墊|Ariel代墊|中信銀行共用""), REGEXMATCH(F5285, ""Ben帳戶|Elsa帳戶|Ben代墊|Ariel代墊|中信銀行共用"")), ""內部轉帳(忽略)"",
  AND(E5285&lt;&gt;"""", F5285&lt;&gt;"""", N"&amp;"OT(REGEXMATCH(C5285, ""薪資""))), ""內部轉帳(忽略)"",
  REGEXMATCH(C5285, ""薪資""), ""薪資變動(不計入)"",
  REGEXMATCH(C5285, ""押金""), ""押金往來"",
  AND(E5285&lt;&gt;"""", F5285=""""), ""真實支出"",
  AND(E5285="""", F5285&lt;&gt;""""), ""真實收入"",
  TRUE, ""其他""
)"),"其他")</f>
        <v>其他</v>
      </c>
      <c r="K5285" s="270" t="str">
        <f t="shared" si="2"/>
        <v/>
      </c>
      <c r="L5285">
        <f t="shared" si="3"/>
        <v>0</v>
      </c>
    </row>
    <row r="5286">
      <c r="A5286" s="107"/>
      <c r="D5286" s="270"/>
      <c r="H5286" s="106" t="str">
        <f t="shared" si="1"/>
        <v/>
      </c>
      <c r="I5286" s="271" t="str">
        <f>IFERROR(__xludf.DUMMYFUNCTION("""COMPUTED_VALUE"""),"")</f>
        <v/>
      </c>
      <c r="J5286" t="str">
        <f>IFERROR(__xludf.DUMMYFUNCTION("IFS(
  AND(REGEXMATCH(E5286, ""台銀籌備帳戶|玉山帳戶""), REGEXMATCH(C5286, ""薪資"")), ""分潤支出"",
  AND(REGEXMATCH(E5286, ""Ben帳戶|Elsa帳戶|Ben代墊|Ariel代墊|中信銀行共用""), REGEXMATCH(F5286, ""Ben帳戶|Elsa帳戶|Ben代墊|Ariel代墊|中信銀行共用"")), ""內部轉帳(忽略)"",
  AND(E5286&lt;&gt;"""", F5286&lt;&gt;"""", N"&amp;"OT(REGEXMATCH(C5286, ""薪資""))), ""內部轉帳(忽略)"",
  REGEXMATCH(C5286, ""薪資""), ""薪資變動(不計入)"",
  REGEXMATCH(C5286, ""押金""), ""押金往來"",
  AND(E5286&lt;&gt;"""", F5286=""""), ""真實支出"",
  AND(E5286="""", F5286&lt;&gt;""""), ""真實收入"",
  TRUE, ""其他""
)"),"其他")</f>
        <v>其他</v>
      </c>
      <c r="K5286" s="270" t="str">
        <f t="shared" si="2"/>
        <v/>
      </c>
      <c r="L5286">
        <f t="shared" si="3"/>
        <v>0</v>
      </c>
    </row>
    <row r="5287">
      <c r="A5287" s="107"/>
      <c r="D5287" s="270"/>
      <c r="H5287" s="106" t="str">
        <f t="shared" si="1"/>
        <v/>
      </c>
      <c r="I5287" s="271" t="str">
        <f>IFERROR(__xludf.DUMMYFUNCTION("""COMPUTED_VALUE"""),"")</f>
        <v/>
      </c>
      <c r="J5287" t="str">
        <f>IFERROR(__xludf.DUMMYFUNCTION("IFS(
  AND(REGEXMATCH(E5287, ""台銀籌備帳戶|玉山帳戶""), REGEXMATCH(C5287, ""薪資"")), ""分潤支出"",
  AND(REGEXMATCH(E5287, ""Ben帳戶|Elsa帳戶|Ben代墊|Ariel代墊|中信銀行共用""), REGEXMATCH(F5287, ""Ben帳戶|Elsa帳戶|Ben代墊|Ariel代墊|中信銀行共用"")), ""內部轉帳(忽略)"",
  AND(E5287&lt;&gt;"""", F5287&lt;&gt;"""", N"&amp;"OT(REGEXMATCH(C5287, ""薪資""))), ""內部轉帳(忽略)"",
  REGEXMATCH(C5287, ""薪資""), ""薪資變動(不計入)"",
  REGEXMATCH(C5287, ""押金""), ""押金往來"",
  AND(E5287&lt;&gt;"""", F5287=""""), ""真實支出"",
  AND(E5287="""", F5287&lt;&gt;""""), ""真實收入"",
  TRUE, ""其他""
)"),"其他")</f>
        <v>其他</v>
      </c>
      <c r="K5287" s="270" t="str">
        <f t="shared" si="2"/>
        <v/>
      </c>
      <c r="L5287">
        <f t="shared" si="3"/>
        <v>0</v>
      </c>
    </row>
    <row r="5288">
      <c r="A5288" s="107"/>
      <c r="D5288" s="270"/>
      <c r="H5288" s="106" t="str">
        <f t="shared" si="1"/>
        <v/>
      </c>
      <c r="I5288" s="271" t="str">
        <f>IFERROR(__xludf.DUMMYFUNCTION("""COMPUTED_VALUE"""),"")</f>
        <v/>
      </c>
      <c r="J5288" t="str">
        <f>IFERROR(__xludf.DUMMYFUNCTION("IFS(
  AND(REGEXMATCH(E5288, ""台銀籌備帳戶|玉山帳戶""), REGEXMATCH(C5288, ""薪資"")), ""分潤支出"",
  AND(REGEXMATCH(E5288, ""Ben帳戶|Elsa帳戶|Ben代墊|Ariel代墊|中信銀行共用""), REGEXMATCH(F5288, ""Ben帳戶|Elsa帳戶|Ben代墊|Ariel代墊|中信銀行共用"")), ""內部轉帳(忽略)"",
  AND(E5288&lt;&gt;"""", F5288&lt;&gt;"""", N"&amp;"OT(REGEXMATCH(C5288, ""薪資""))), ""內部轉帳(忽略)"",
  REGEXMATCH(C5288, ""薪資""), ""薪資變動(不計入)"",
  REGEXMATCH(C5288, ""押金""), ""押金往來"",
  AND(E5288&lt;&gt;"""", F5288=""""), ""真實支出"",
  AND(E5288="""", F5288&lt;&gt;""""), ""真實收入"",
  TRUE, ""其他""
)"),"其他")</f>
        <v>其他</v>
      </c>
      <c r="K5288" s="270" t="str">
        <f t="shared" si="2"/>
        <v/>
      </c>
      <c r="L5288">
        <f t="shared" si="3"/>
        <v>0</v>
      </c>
    </row>
    <row r="5289">
      <c r="A5289" s="107"/>
      <c r="D5289" s="270"/>
      <c r="H5289" s="106" t="str">
        <f t="shared" si="1"/>
        <v/>
      </c>
      <c r="I5289" s="271" t="str">
        <f>IFERROR(__xludf.DUMMYFUNCTION("""COMPUTED_VALUE"""),"")</f>
        <v/>
      </c>
      <c r="J5289" t="str">
        <f>IFERROR(__xludf.DUMMYFUNCTION("IFS(
  AND(REGEXMATCH(E5289, ""台銀籌備帳戶|玉山帳戶""), REGEXMATCH(C5289, ""薪資"")), ""分潤支出"",
  AND(REGEXMATCH(E5289, ""Ben帳戶|Elsa帳戶|Ben代墊|Ariel代墊|中信銀行共用""), REGEXMATCH(F5289, ""Ben帳戶|Elsa帳戶|Ben代墊|Ariel代墊|中信銀行共用"")), ""內部轉帳(忽略)"",
  AND(E5289&lt;&gt;"""", F5289&lt;&gt;"""", N"&amp;"OT(REGEXMATCH(C5289, ""薪資""))), ""內部轉帳(忽略)"",
  REGEXMATCH(C5289, ""薪資""), ""薪資變動(不計入)"",
  REGEXMATCH(C5289, ""押金""), ""押金往來"",
  AND(E5289&lt;&gt;"""", F5289=""""), ""真實支出"",
  AND(E5289="""", F5289&lt;&gt;""""), ""真實收入"",
  TRUE, ""其他""
)"),"其他")</f>
        <v>其他</v>
      </c>
      <c r="K5289" s="270" t="str">
        <f t="shared" si="2"/>
        <v/>
      </c>
      <c r="L5289">
        <f t="shared" si="3"/>
        <v>0</v>
      </c>
    </row>
    <row r="5290">
      <c r="A5290" s="107"/>
      <c r="D5290" s="270"/>
      <c r="H5290" s="106" t="str">
        <f t="shared" si="1"/>
        <v/>
      </c>
      <c r="I5290" s="271" t="str">
        <f>IFERROR(__xludf.DUMMYFUNCTION("""COMPUTED_VALUE"""),"")</f>
        <v/>
      </c>
      <c r="J5290" t="str">
        <f>IFERROR(__xludf.DUMMYFUNCTION("IFS(
  AND(REGEXMATCH(E5290, ""台銀籌備帳戶|玉山帳戶""), REGEXMATCH(C5290, ""薪資"")), ""分潤支出"",
  AND(REGEXMATCH(E5290, ""Ben帳戶|Elsa帳戶|Ben代墊|Ariel代墊|中信銀行共用""), REGEXMATCH(F5290, ""Ben帳戶|Elsa帳戶|Ben代墊|Ariel代墊|中信銀行共用"")), ""內部轉帳(忽略)"",
  AND(E5290&lt;&gt;"""", F5290&lt;&gt;"""", N"&amp;"OT(REGEXMATCH(C5290, ""薪資""))), ""內部轉帳(忽略)"",
  REGEXMATCH(C5290, ""薪資""), ""薪資變動(不計入)"",
  REGEXMATCH(C5290, ""押金""), ""押金往來"",
  AND(E5290&lt;&gt;"""", F5290=""""), ""真實支出"",
  AND(E5290="""", F5290&lt;&gt;""""), ""真實收入"",
  TRUE, ""其他""
)"),"其他")</f>
        <v>其他</v>
      </c>
      <c r="K5290" s="270" t="str">
        <f t="shared" si="2"/>
        <v/>
      </c>
      <c r="L5290">
        <f t="shared" si="3"/>
        <v>0</v>
      </c>
    </row>
    <row r="5291">
      <c r="A5291" s="107"/>
      <c r="D5291" s="270"/>
      <c r="H5291" s="106" t="str">
        <f t="shared" si="1"/>
        <v/>
      </c>
      <c r="I5291" s="271" t="str">
        <f>IFERROR(__xludf.DUMMYFUNCTION("""COMPUTED_VALUE"""),"")</f>
        <v/>
      </c>
      <c r="J5291" t="str">
        <f>IFERROR(__xludf.DUMMYFUNCTION("IFS(
  AND(REGEXMATCH(E5291, ""台銀籌備帳戶|玉山帳戶""), REGEXMATCH(C5291, ""薪資"")), ""分潤支出"",
  AND(REGEXMATCH(E5291, ""Ben帳戶|Elsa帳戶|Ben代墊|Ariel代墊|中信銀行共用""), REGEXMATCH(F5291, ""Ben帳戶|Elsa帳戶|Ben代墊|Ariel代墊|中信銀行共用"")), ""內部轉帳(忽略)"",
  AND(E5291&lt;&gt;"""", F5291&lt;&gt;"""", N"&amp;"OT(REGEXMATCH(C5291, ""薪資""))), ""內部轉帳(忽略)"",
  REGEXMATCH(C5291, ""薪資""), ""薪資變動(不計入)"",
  REGEXMATCH(C5291, ""押金""), ""押金往來"",
  AND(E5291&lt;&gt;"""", F5291=""""), ""真實支出"",
  AND(E5291="""", F5291&lt;&gt;""""), ""真實收入"",
  TRUE, ""其他""
)"),"其他")</f>
        <v>其他</v>
      </c>
      <c r="K5291" s="270" t="str">
        <f t="shared" si="2"/>
        <v/>
      </c>
      <c r="L5291">
        <f t="shared" si="3"/>
        <v>0</v>
      </c>
    </row>
    <row r="5292">
      <c r="A5292" s="107"/>
      <c r="D5292" s="270"/>
      <c r="H5292" s="106" t="str">
        <f t="shared" si="1"/>
        <v/>
      </c>
      <c r="I5292" s="271" t="str">
        <f>IFERROR(__xludf.DUMMYFUNCTION("""COMPUTED_VALUE"""),"")</f>
        <v/>
      </c>
      <c r="J5292" t="str">
        <f>IFERROR(__xludf.DUMMYFUNCTION("IFS(
  AND(REGEXMATCH(E5292, ""台銀籌備帳戶|玉山帳戶""), REGEXMATCH(C5292, ""薪資"")), ""分潤支出"",
  AND(REGEXMATCH(E5292, ""Ben帳戶|Elsa帳戶|Ben代墊|Ariel代墊|中信銀行共用""), REGEXMATCH(F5292, ""Ben帳戶|Elsa帳戶|Ben代墊|Ariel代墊|中信銀行共用"")), ""內部轉帳(忽略)"",
  AND(E5292&lt;&gt;"""", F5292&lt;&gt;"""", N"&amp;"OT(REGEXMATCH(C5292, ""薪資""))), ""內部轉帳(忽略)"",
  REGEXMATCH(C5292, ""薪資""), ""薪資變動(不計入)"",
  REGEXMATCH(C5292, ""押金""), ""押金往來"",
  AND(E5292&lt;&gt;"""", F5292=""""), ""真實支出"",
  AND(E5292="""", F5292&lt;&gt;""""), ""真實收入"",
  TRUE, ""其他""
)"),"其他")</f>
        <v>其他</v>
      </c>
      <c r="K5292" s="270" t="str">
        <f t="shared" si="2"/>
        <v/>
      </c>
      <c r="L5292">
        <f t="shared" si="3"/>
        <v>0</v>
      </c>
    </row>
    <row r="5293">
      <c r="A5293" s="107"/>
      <c r="D5293" s="270"/>
      <c r="H5293" s="106" t="str">
        <f t="shared" si="1"/>
        <v/>
      </c>
      <c r="I5293" s="271" t="str">
        <f>IFERROR(__xludf.DUMMYFUNCTION("""COMPUTED_VALUE"""),"")</f>
        <v/>
      </c>
      <c r="J5293" t="str">
        <f>IFERROR(__xludf.DUMMYFUNCTION("IFS(
  AND(REGEXMATCH(E5293, ""台銀籌備帳戶|玉山帳戶""), REGEXMATCH(C5293, ""薪資"")), ""分潤支出"",
  AND(REGEXMATCH(E5293, ""Ben帳戶|Elsa帳戶|Ben代墊|Ariel代墊|中信銀行共用""), REGEXMATCH(F5293, ""Ben帳戶|Elsa帳戶|Ben代墊|Ariel代墊|中信銀行共用"")), ""內部轉帳(忽略)"",
  AND(E5293&lt;&gt;"""", F5293&lt;&gt;"""", N"&amp;"OT(REGEXMATCH(C5293, ""薪資""))), ""內部轉帳(忽略)"",
  REGEXMATCH(C5293, ""薪資""), ""薪資變動(不計入)"",
  REGEXMATCH(C5293, ""押金""), ""押金往來"",
  AND(E5293&lt;&gt;"""", F5293=""""), ""真實支出"",
  AND(E5293="""", F5293&lt;&gt;""""), ""真實收入"",
  TRUE, ""其他""
)"),"其他")</f>
        <v>其他</v>
      </c>
      <c r="K5293" s="270" t="str">
        <f t="shared" si="2"/>
        <v/>
      </c>
      <c r="L5293">
        <f t="shared" si="3"/>
        <v>0</v>
      </c>
    </row>
    <row r="5294">
      <c r="A5294" s="107"/>
      <c r="D5294" s="270"/>
      <c r="H5294" s="106" t="str">
        <f t="shared" si="1"/>
        <v/>
      </c>
      <c r="I5294" s="271" t="str">
        <f>IFERROR(__xludf.DUMMYFUNCTION("""COMPUTED_VALUE"""),"")</f>
        <v/>
      </c>
      <c r="J5294" t="str">
        <f>IFERROR(__xludf.DUMMYFUNCTION("IFS(
  AND(REGEXMATCH(E5294, ""台銀籌備帳戶|玉山帳戶""), REGEXMATCH(C5294, ""薪資"")), ""分潤支出"",
  AND(REGEXMATCH(E5294, ""Ben帳戶|Elsa帳戶|Ben代墊|Ariel代墊|中信銀行共用""), REGEXMATCH(F5294, ""Ben帳戶|Elsa帳戶|Ben代墊|Ariel代墊|中信銀行共用"")), ""內部轉帳(忽略)"",
  AND(E5294&lt;&gt;"""", F5294&lt;&gt;"""", N"&amp;"OT(REGEXMATCH(C5294, ""薪資""))), ""內部轉帳(忽略)"",
  REGEXMATCH(C5294, ""薪資""), ""薪資變動(不計入)"",
  REGEXMATCH(C5294, ""押金""), ""押金往來"",
  AND(E5294&lt;&gt;"""", F5294=""""), ""真實支出"",
  AND(E5294="""", F5294&lt;&gt;""""), ""真實收入"",
  TRUE, ""其他""
)"),"其他")</f>
        <v>其他</v>
      </c>
      <c r="K5294" s="270" t="str">
        <f t="shared" si="2"/>
        <v/>
      </c>
      <c r="L5294">
        <f t="shared" si="3"/>
        <v>0</v>
      </c>
    </row>
    <row r="5295">
      <c r="A5295" s="107"/>
      <c r="D5295" s="270"/>
      <c r="H5295" s="106" t="str">
        <f t="shared" si="1"/>
        <v/>
      </c>
      <c r="I5295" s="271" t="str">
        <f>IFERROR(__xludf.DUMMYFUNCTION("""COMPUTED_VALUE"""),"")</f>
        <v/>
      </c>
      <c r="J5295" t="str">
        <f>IFERROR(__xludf.DUMMYFUNCTION("IFS(
  AND(REGEXMATCH(E5295, ""台銀籌備帳戶|玉山帳戶""), REGEXMATCH(C5295, ""薪資"")), ""分潤支出"",
  AND(REGEXMATCH(E5295, ""Ben帳戶|Elsa帳戶|Ben代墊|Ariel代墊|中信銀行共用""), REGEXMATCH(F5295, ""Ben帳戶|Elsa帳戶|Ben代墊|Ariel代墊|中信銀行共用"")), ""內部轉帳(忽略)"",
  AND(E5295&lt;&gt;"""", F5295&lt;&gt;"""", N"&amp;"OT(REGEXMATCH(C5295, ""薪資""))), ""內部轉帳(忽略)"",
  REGEXMATCH(C5295, ""薪資""), ""薪資變動(不計入)"",
  REGEXMATCH(C5295, ""押金""), ""押金往來"",
  AND(E5295&lt;&gt;"""", F5295=""""), ""真實支出"",
  AND(E5295="""", F5295&lt;&gt;""""), ""真實收入"",
  TRUE, ""其他""
)"),"其他")</f>
        <v>其他</v>
      </c>
      <c r="K5295" s="270" t="str">
        <f t="shared" si="2"/>
        <v/>
      </c>
      <c r="L5295">
        <f t="shared" si="3"/>
        <v>0</v>
      </c>
    </row>
    <row r="5296">
      <c r="A5296" s="107"/>
      <c r="D5296" s="270"/>
      <c r="H5296" s="106" t="str">
        <f t="shared" si="1"/>
        <v/>
      </c>
      <c r="I5296" s="271" t="str">
        <f>IFERROR(__xludf.DUMMYFUNCTION("""COMPUTED_VALUE"""),"")</f>
        <v/>
      </c>
      <c r="J5296" t="str">
        <f>IFERROR(__xludf.DUMMYFUNCTION("IFS(
  AND(REGEXMATCH(E5296, ""台銀籌備帳戶|玉山帳戶""), REGEXMATCH(C5296, ""薪資"")), ""分潤支出"",
  AND(REGEXMATCH(E5296, ""Ben帳戶|Elsa帳戶|Ben代墊|Ariel代墊|中信銀行共用""), REGEXMATCH(F5296, ""Ben帳戶|Elsa帳戶|Ben代墊|Ariel代墊|中信銀行共用"")), ""內部轉帳(忽略)"",
  AND(E5296&lt;&gt;"""", F5296&lt;&gt;"""", N"&amp;"OT(REGEXMATCH(C5296, ""薪資""))), ""內部轉帳(忽略)"",
  REGEXMATCH(C5296, ""薪資""), ""薪資變動(不計入)"",
  REGEXMATCH(C5296, ""押金""), ""押金往來"",
  AND(E5296&lt;&gt;"""", F5296=""""), ""真實支出"",
  AND(E5296="""", F5296&lt;&gt;""""), ""真實收入"",
  TRUE, ""其他""
)"),"其他")</f>
        <v>其他</v>
      </c>
      <c r="K5296" s="270" t="str">
        <f t="shared" si="2"/>
        <v/>
      </c>
      <c r="L5296">
        <f t="shared" si="3"/>
        <v>0</v>
      </c>
    </row>
    <row r="5297">
      <c r="A5297" s="107"/>
      <c r="D5297" s="270"/>
      <c r="H5297" s="106" t="str">
        <f t="shared" si="1"/>
        <v/>
      </c>
      <c r="I5297" s="271" t="str">
        <f>IFERROR(__xludf.DUMMYFUNCTION("""COMPUTED_VALUE"""),"")</f>
        <v/>
      </c>
      <c r="J5297" t="str">
        <f>IFERROR(__xludf.DUMMYFUNCTION("IFS(
  AND(REGEXMATCH(E5297, ""台銀籌備帳戶|玉山帳戶""), REGEXMATCH(C5297, ""薪資"")), ""分潤支出"",
  AND(REGEXMATCH(E5297, ""Ben帳戶|Elsa帳戶|Ben代墊|Ariel代墊|中信銀行共用""), REGEXMATCH(F5297, ""Ben帳戶|Elsa帳戶|Ben代墊|Ariel代墊|中信銀行共用"")), ""內部轉帳(忽略)"",
  AND(E5297&lt;&gt;"""", F5297&lt;&gt;"""", N"&amp;"OT(REGEXMATCH(C5297, ""薪資""))), ""內部轉帳(忽略)"",
  REGEXMATCH(C5297, ""薪資""), ""薪資變動(不計入)"",
  REGEXMATCH(C5297, ""押金""), ""押金往來"",
  AND(E5297&lt;&gt;"""", F5297=""""), ""真實支出"",
  AND(E5297="""", F5297&lt;&gt;""""), ""真實收入"",
  TRUE, ""其他""
)"),"其他")</f>
        <v>其他</v>
      </c>
      <c r="K5297" s="270" t="str">
        <f t="shared" si="2"/>
        <v/>
      </c>
      <c r="L5297">
        <f t="shared" si="3"/>
        <v>0</v>
      </c>
    </row>
    <row r="5298">
      <c r="A5298" s="107"/>
      <c r="D5298" s="270"/>
      <c r="H5298" s="106" t="str">
        <f t="shared" si="1"/>
        <v/>
      </c>
      <c r="I5298" s="271" t="str">
        <f>IFERROR(__xludf.DUMMYFUNCTION("""COMPUTED_VALUE"""),"")</f>
        <v/>
      </c>
      <c r="J5298" t="str">
        <f>IFERROR(__xludf.DUMMYFUNCTION("IFS(
  AND(REGEXMATCH(E5298, ""台銀籌備帳戶|玉山帳戶""), REGEXMATCH(C5298, ""薪資"")), ""分潤支出"",
  AND(REGEXMATCH(E5298, ""Ben帳戶|Elsa帳戶|Ben代墊|Ariel代墊|中信銀行共用""), REGEXMATCH(F5298, ""Ben帳戶|Elsa帳戶|Ben代墊|Ariel代墊|中信銀行共用"")), ""內部轉帳(忽略)"",
  AND(E5298&lt;&gt;"""", F5298&lt;&gt;"""", N"&amp;"OT(REGEXMATCH(C5298, ""薪資""))), ""內部轉帳(忽略)"",
  REGEXMATCH(C5298, ""薪資""), ""薪資變動(不計入)"",
  REGEXMATCH(C5298, ""押金""), ""押金往來"",
  AND(E5298&lt;&gt;"""", F5298=""""), ""真實支出"",
  AND(E5298="""", F5298&lt;&gt;""""), ""真實收入"",
  TRUE, ""其他""
)"),"其他")</f>
        <v>其他</v>
      </c>
      <c r="K5298" s="270" t="str">
        <f t="shared" si="2"/>
        <v/>
      </c>
      <c r="L5298">
        <f t="shared" si="3"/>
        <v>0</v>
      </c>
    </row>
    <row r="5299">
      <c r="A5299" s="107"/>
      <c r="D5299" s="270"/>
      <c r="H5299" s="106" t="str">
        <f t="shared" si="1"/>
        <v/>
      </c>
      <c r="I5299" s="271" t="str">
        <f>IFERROR(__xludf.DUMMYFUNCTION("""COMPUTED_VALUE"""),"")</f>
        <v/>
      </c>
      <c r="J5299" t="str">
        <f>IFERROR(__xludf.DUMMYFUNCTION("IFS(
  AND(REGEXMATCH(E5299, ""台銀籌備帳戶|玉山帳戶""), REGEXMATCH(C5299, ""薪資"")), ""分潤支出"",
  AND(REGEXMATCH(E5299, ""Ben帳戶|Elsa帳戶|Ben代墊|Ariel代墊|中信銀行共用""), REGEXMATCH(F5299, ""Ben帳戶|Elsa帳戶|Ben代墊|Ariel代墊|中信銀行共用"")), ""內部轉帳(忽略)"",
  AND(E5299&lt;&gt;"""", F5299&lt;&gt;"""", N"&amp;"OT(REGEXMATCH(C5299, ""薪資""))), ""內部轉帳(忽略)"",
  REGEXMATCH(C5299, ""薪資""), ""薪資變動(不計入)"",
  REGEXMATCH(C5299, ""押金""), ""押金往來"",
  AND(E5299&lt;&gt;"""", F5299=""""), ""真實支出"",
  AND(E5299="""", F5299&lt;&gt;""""), ""真實收入"",
  TRUE, ""其他""
)"),"其他")</f>
        <v>其他</v>
      </c>
      <c r="K5299" s="270" t="str">
        <f t="shared" si="2"/>
        <v/>
      </c>
      <c r="L5299">
        <f t="shared" si="3"/>
        <v>0</v>
      </c>
    </row>
    <row r="5300">
      <c r="A5300" s="107"/>
      <c r="D5300" s="270"/>
      <c r="H5300" s="106" t="str">
        <f t="shared" si="1"/>
        <v/>
      </c>
      <c r="I5300" s="271" t="str">
        <f>IFERROR(__xludf.DUMMYFUNCTION("""COMPUTED_VALUE"""),"")</f>
        <v/>
      </c>
      <c r="J5300" t="str">
        <f>IFERROR(__xludf.DUMMYFUNCTION("IFS(
  AND(REGEXMATCH(E5300, ""台銀籌備帳戶|玉山帳戶""), REGEXMATCH(C5300, ""薪資"")), ""分潤支出"",
  AND(REGEXMATCH(E5300, ""Ben帳戶|Elsa帳戶|Ben代墊|Ariel代墊|中信銀行共用""), REGEXMATCH(F5300, ""Ben帳戶|Elsa帳戶|Ben代墊|Ariel代墊|中信銀行共用"")), ""內部轉帳(忽略)"",
  AND(E5300&lt;&gt;"""", F5300&lt;&gt;"""", N"&amp;"OT(REGEXMATCH(C5300, ""薪資""))), ""內部轉帳(忽略)"",
  REGEXMATCH(C5300, ""薪資""), ""薪資變動(不計入)"",
  REGEXMATCH(C5300, ""押金""), ""押金往來"",
  AND(E5300&lt;&gt;"""", F5300=""""), ""真實支出"",
  AND(E5300="""", F5300&lt;&gt;""""), ""真實收入"",
  TRUE, ""其他""
)"),"其他")</f>
        <v>其他</v>
      </c>
      <c r="K5300" s="270" t="str">
        <f t="shared" si="2"/>
        <v/>
      </c>
      <c r="L5300">
        <f t="shared" si="3"/>
        <v>0</v>
      </c>
    </row>
    <row r="5301">
      <c r="A5301" s="107"/>
      <c r="D5301" s="270"/>
      <c r="H5301" s="106" t="str">
        <f t="shared" si="1"/>
        <v/>
      </c>
      <c r="I5301" s="271" t="str">
        <f>IFERROR(__xludf.DUMMYFUNCTION("""COMPUTED_VALUE"""),"")</f>
        <v/>
      </c>
      <c r="J5301" t="str">
        <f>IFERROR(__xludf.DUMMYFUNCTION("IFS(
  AND(REGEXMATCH(E5301, ""台銀籌備帳戶|玉山帳戶""), REGEXMATCH(C5301, ""薪資"")), ""分潤支出"",
  AND(REGEXMATCH(E5301, ""Ben帳戶|Elsa帳戶|Ben代墊|Ariel代墊|中信銀行共用""), REGEXMATCH(F5301, ""Ben帳戶|Elsa帳戶|Ben代墊|Ariel代墊|中信銀行共用"")), ""內部轉帳(忽略)"",
  AND(E5301&lt;&gt;"""", F5301&lt;&gt;"""", N"&amp;"OT(REGEXMATCH(C5301, ""薪資""))), ""內部轉帳(忽略)"",
  REGEXMATCH(C5301, ""薪資""), ""薪資變動(不計入)"",
  REGEXMATCH(C5301, ""押金""), ""押金往來"",
  AND(E5301&lt;&gt;"""", F5301=""""), ""真實支出"",
  AND(E5301="""", F5301&lt;&gt;""""), ""真實收入"",
  TRUE, ""其他""
)"),"其他")</f>
        <v>其他</v>
      </c>
      <c r="K5301" s="270" t="str">
        <f t="shared" si="2"/>
        <v/>
      </c>
      <c r="L5301">
        <f t="shared" si="3"/>
        <v>0</v>
      </c>
    </row>
    <row r="5302">
      <c r="A5302" s="107"/>
      <c r="D5302" s="270"/>
      <c r="H5302" s="106" t="str">
        <f t="shared" si="1"/>
        <v/>
      </c>
      <c r="I5302" s="271" t="str">
        <f>IFERROR(__xludf.DUMMYFUNCTION("""COMPUTED_VALUE"""),"")</f>
        <v/>
      </c>
      <c r="J5302" t="str">
        <f>IFERROR(__xludf.DUMMYFUNCTION("IFS(
  AND(REGEXMATCH(E5302, ""台銀籌備帳戶|玉山帳戶""), REGEXMATCH(C5302, ""薪資"")), ""分潤支出"",
  AND(REGEXMATCH(E5302, ""Ben帳戶|Elsa帳戶|Ben代墊|Ariel代墊|中信銀行共用""), REGEXMATCH(F5302, ""Ben帳戶|Elsa帳戶|Ben代墊|Ariel代墊|中信銀行共用"")), ""內部轉帳(忽略)"",
  AND(E5302&lt;&gt;"""", F5302&lt;&gt;"""", N"&amp;"OT(REGEXMATCH(C5302, ""薪資""))), ""內部轉帳(忽略)"",
  REGEXMATCH(C5302, ""薪資""), ""薪資變動(不計入)"",
  REGEXMATCH(C5302, ""押金""), ""押金往來"",
  AND(E5302&lt;&gt;"""", F5302=""""), ""真實支出"",
  AND(E5302="""", F5302&lt;&gt;""""), ""真實收入"",
  TRUE, ""其他""
)"),"其他")</f>
        <v>其他</v>
      </c>
      <c r="K5302" s="270" t="str">
        <f t="shared" si="2"/>
        <v/>
      </c>
      <c r="L5302">
        <f t="shared" si="3"/>
        <v>0</v>
      </c>
    </row>
    <row r="5303">
      <c r="A5303" s="107"/>
      <c r="D5303" s="270"/>
      <c r="H5303" s="106" t="str">
        <f t="shared" si="1"/>
        <v/>
      </c>
      <c r="I5303" s="271" t="str">
        <f>IFERROR(__xludf.DUMMYFUNCTION("""COMPUTED_VALUE"""),"")</f>
        <v/>
      </c>
      <c r="J5303" t="str">
        <f>IFERROR(__xludf.DUMMYFUNCTION("IFS(
  AND(REGEXMATCH(E5303, ""台銀籌備帳戶|玉山帳戶""), REGEXMATCH(C5303, ""薪資"")), ""分潤支出"",
  AND(REGEXMATCH(E5303, ""Ben帳戶|Elsa帳戶|Ben代墊|Ariel代墊|中信銀行共用""), REGEXMATCH(F5303, ""Ben帳戶|Elsa帳戶|Ben代墊|Ariel代墊|中信銀行共用"")), ""內部轉帳(忽略)"",
  AND(E5303&lt;&gt;"""", F5303&lt;&gt;"""", N"&amp;"OT(REGEXMATCH(C5303, ""薪資""))), ""內部轉帳(忽略)"",
  REGEXMATCH(C5303, ""薪資""), ""薪資變動(不計入)"",
  REGEXMATCH(C5303, ""押金""), ""押金往來"",
  AND(E5303&lt;&gt;"""", F5303=""""), ""真實支出"",
  AND(E5303="""", F5303&lt;&gt;""""), ""真實收入"",
  TRUE, ""其他""
)"),"其他")</f>
        <v>其他</v>
      </c>
      <c r="K5303" s="270" t="str">
        <f t="shared" si="2"/>
        <v/>
      </c>
      <c r="L5303">
        <f t="shared" si="3"/>
        <v>0</v>
      </c>
    </row>
    <row r="5304">
      <c r="A5304" s="107"/>
      <c r="D5304" s="270"/>
      <c r="H5304" s="106" t="str">
        <f t="shared" si="1"/>
        <v/>
      </c>
      <c r="I5304" s="271" t="str">
        <f>IFERROR(__xludf.DUMMYFUNCTION("""COMPUTED_VALUE"""),"")</f>
        <v/>
      </c>
      <c r="J5304" t="str">
        <f>IFERROR(__xludf.DUMMYFUNCTION("IFS(
  AND(REGEXMATCH(E5304, ""台銀籌備帳戶|玉山帳戶""), REGEXMATCH(C5304, ""薪資"")), ""分潤支出"",
  AND(REGEXMATCH(E5304, ""Ben帳戶|Elsa帳戶|Ben代墊|Ariel代墊|中信銀行共用""), REGEXMATCH(F5304, ""Ben帳戶|Elsa帳戶|Ben代墊|Ariel代墊|中信銀行共用"")), ""內部轉帳(忽略)"",
  AND(E5304&lt;&gt;"""", F5304&lt;&gt;"""", N"&amp;"OT(REGEXMATCH(C5304, ""薪資""))), ""內部轉帳(忽略)"",
  REGEXMATCH(C5304, ""薪資""), ""薪資變動(不計入)"",
  REGEXMATCH(C5304, ""押金""), ""押金往來"",
  AND(E5304&lt;&gt;"""", F5304=""""), ""真實支出"",
  AND(E5304="""", F5304&lt;&gt;""""), ""真實收入"",
  TRUE, ""其他""
)"),"其他")</f>
        <v>其他</v>
      </c>
      <c r="K5304" s="270" t="str">
        <f t="shared" si="2"/>
        <v/>
      </c>
      <c r="L5304">
        <f t="shared" si="3"/>
        <v>0</v>
      </c>
    </row>
    <row r="5305">
      <c r="A5305" s="107"/>
      <c r="D5305" s="270"/>
      <c r="H5305" s="106" t="str">
        <f t="shared" si="1"/>
        <v/>
      </c>
      <c r="I5305" s="271" t="str">
        <f>IFERROR(__xludf.DUMMYFUNCTION("""COMPUTED_VALUE"""),"")</f>
        <v/>
      </c>
      <c r="J5305" t="str">
        <f>IFERROR(__xludf.DUMMYFUNCTION("IFS(
  AND(REGEXMATCH(E5305, ""台銀籌備帳戶|玉山帳戶""), REGEXMATCH(C5305, ""薪資"")), ""分潤支出"",
  AND(REGEXMATCH(E5305, ""Ben帳戶|Elsa帳戶|Ben代墊|Ariel代墊|中信銀行共用""), REGEXMATCH(F5305, ""Ben帳戶|Elsa帳戶|Ben代墊|Ariel代墊|中信銀行共用"")), ""內部轉帳(忽略)"",
  AND(E5305&lt;&gt;"""", F5305&lt;&gt;"""", N"&amp;"OT(REGEXMATCH(C5305, ""薪資""))), ""內部轉帳(忽略)"",
  REGEXMATCH(C5305, ""薪資""), ""薪資變動(不計入)"",
  REGEXMATCH(C5305, ""押金""), ""押金往來"",
  AND(E5305&lt;&gt;"""", F5305=""""), ""真實支出"",
  AND(E5305="""", F5305&lt;&gt;""""), ""真實收入"",
  TRUE, ""其他""
)"),"其他")</f>
        <v>其他</v>
      </c>
      <c r="K5305" s="270" t="str">
        <f t="shared" si="2"/>
        <v/>
      </c>
      <c r="L5305">
        <f t="shared" si="3"/>
        <v>0</v>
      </c>
    </row>
    <row r="5306">
      <c r="A5306" s="107"/>
      <c r="D5306" s="270"/>
      <c r="H5306" s="106" t="str">
        <f t="shared" si="1"/>
        <v/>
      </c>
      <c r="I5306" s="271" t="str">
        <f>IFERROR(__xludf.DUMMYFUNCTION("""COMPUTED_VALUE"""),"")</f>
        <v/>
      </c>
      <c r="J5306" t="str">
        <f>IFERROR(__xludf.DUMMYFUNCTION("IFS(
  AND(REGEXMATCH(E5306, ""台銀籌備帳戶|玉山帳戶""), REGEXMATCH(C5306, ""薪資"")), ""分潤支出"",
  AND(REGEXMATCH(E5306, ""Ben帳戶|Elsa帳戶|Ben代墊|Ariel代墊|中信銀行共用""), REGEXMATCH(F5306, ""Ben帳戶|Elsa帳戶|Ben代墊|Ariel代墊|中信銀行共用"")), ""內部轉帳(忽略)"",
  AND(E5306&lt;&gt;"""", F5306&lt;&gt;"""", N"&amp;"OT(REGEXMATCH(C5306, ""薪資""))), ""內部轉帳(忽略)"",
  REGEXMATCH(C5306, ""薪資""), ""薪資變動(不計入)"",
  REGEXMATCH(C5306, ""押金""), ""押金往來"",
  AND(E5306&lt;&gt;"""", F5306=""""), ""真實支出"",
  AND(E5306="""", F5306&lt;&gt;""""), ""真實收入"",
  TRUE, ""其他""
)"),"其他")</f>
        <v>其他</v>
      </c>
      <c r="K5306" s="270" t="str">
        <f t="shared" si="2"/>
        <v/>
      </c>
      <c r="L5306">
        <f t="shared" si="3"/>
        <v>0</v>
      </c>
    </row>
    <row r="5307">
      <c r="A5307" s="107"/>
      <c r="D5307" s="270"/>
      <c r="H5307" s="106" t="str">
        <f t="shared" si="1"/>
        <v/>
      </c>
      <c r="I5307" s="271" t="str">
        <f>IFERROR(__xludf.DUMMYFUNCTION("""COMPUTED_VALUE"""),"")</f>
        <v/>
      </c>
      <c r="J5307" t="str">
        <f>IFERROR(__xludf.DUMMYFUNCTION("IFS(
  AND(REGEXMATCH(E5307, ""台銀籌備帳戶|玉山帳戶""), REGEXMATCH(C5307, ""薪資"")), ""分潤支出"",
  AND(REGEXMATCH(E5307, ""Ben帳戶|Elsa帳戶|Ben代墊|Ariel代墊|中信銀行共用""), REGEXMATCH(F5307, ""Ben帳戶|Elsa帳戶|Ben代墊|Ariel代墊|中信銀行共用"")), ""內部轉帳(忽略)"",
  AND(E5307&lt;&gt;"""", F5307&lt;&gt;"""", N"&amp;"OT(REGEXMATCH(C5307, ""薪資""))), ""內部轉帳(忽略)"",
  REGEXMATCH(C5307, ""薪資""), ""薪資變動(不計入)"",
  REGEXMATCH(C5307, ""押金""), ""押金往來"",
  AND(E5307&lt;&gt;"""", F5307=""""), ""真實支出"",
  AND(E5307="""", F5307&lt;&gt;""""), ""真實收入"",
  TRUE, ""其他""
)"),"其他")</f>
        <v>其他</v>
      </c>
      <c r="K5307" s="270" t="str">
        <f t="shared" si="2"/>
        <v/>
      </c>
      <c r="L5307">
        <f t="shared" si="3"/>
        <v>0</v>
      </c>
    </row>
    <row r="5308">
      <c r="A5308" s="107"/>
      <c r="D5308" s="270"/>
      <c r="H5308" s="106" t="str">
        <f t="shared" si="1"/>
        <v/>
      </c>
      <c r="I5308" s="271" t="str">
        <f>IFERROR(__xludf.DUMMYFUNCTION("""COMPUTED_VALUE"""),"")</f>
        <v/>
      </c>
      <c r="J5308" t="str">
        <f>IFERROR(__xludf.DUMMYFUNCTION("IFS(
  AND(REGEXMATCH(E5308, ""台銀籌備帳戶|玉山帳戶""), REGEXMATCH(C5308, ""薪資"")), ""分潤支出"",
  AND(REGEXMATCH(E5308, ""Ben帳戶|Elsa帳戶|Ben代墊|Ariel代墊|中信銀行共用""), REGEXMATCH(F5308, ""Ben帳戶|Elsa帳戶|Ben代墊|Ariel代墊|中信銀行共用"")), ""內部轉帳(忽略)"",
  AND(E5308&lt;&gt;"""", F5308&lt;&gt;"""", N"&amp;"OT(REGEXMATCH(C5308, ""薪資""))), ""內部轉帳(忽略)"",
  REGEXMATCH(C5308, ""薪資""), ""薪資變動(不計入)"",
  REGEXMATCH(C5308, ""押金""), ""押金往來"",
  AND(E5308&lt;&gt;"""", F5308=""""), ""真實支出"",
  AND(E5308="""", F5308&lt;&gt;""""), ""真實收入"",
  TRUE, ""其他""
)"),"其他")</f>
        <v>其他</v>
      </c>
      <c r="K5308" s="270" t="str">
        <f t="shared" si="2"/>
        <v/>
      </c>
      <c r="L5308">
        <f t="shared" si="3"/>
        <v>0</v>
      </c>
    </row>
    <row r="5309">
      <c r="A5309" s="107"/>
      <c r="D5309" s="270"/>
      <c r="H5309" s="106" t="str">
        <f t="shared" si="1"/>
        <v/>
      </c>
      <c r="I5309" s="271" t="str">
        <f>IFERROR(__xludf.DUMMYFUNCTION("""COMPUTED_VALUE"""),"")</f>
        <v/>
      </c>
      <c r="J5309" t="str">
        <f>IFERROR(__xludf.DUMMYFUNCTION("IFS(
  AND(REGEXMATCH(E5309, ""台銀籌備帳戶|玉山帳戶""), REGEXMATCH(C5309, ""薪資"")), ""分潤支出"",
  AND(REGEXMATCH(E5309, ""Ben帳戶|Elsa帳戶|Ben代墊|Ariel代墊|中信銀行共用""), REGEXMATCH(F5309, ""Ben帳戶|Elsa帳戶|Ben代墊|Ariel代墊|中信銀行共用"")), ""內部轉帳(忽略)"",
  AND(E5309&lt;&gt;"""", F5309&lt;&gt;"""", N"&amp;"OT(REGEXMATCH(C5309, ""薪資""))), ""內部轉帳(忽略)"",
  REGEXMATCH(C5309, ""薪資""), ""薪資變動(不計入)"",
  REGEXMATCH(C5309, ""押金""), ""押金往來"",
  AND(E5309&lt;&gt;"""", F5309=""""), ""真實支出"",
  AND(E5309="""", F5309&lt;&gt;""""), ""真實收入"",
  TRUE, ""其他""
)"),"其他")</f>
        <v>其他</v>
      </c>
      <c r="K5309" s="270" t="str">
        <f t="shared" si="2"/>
        <v/>
      </c>
      <c r="L5309">
        <f t="shared" si="3"/>
        <v>0</v>
      </c>
    </row>
    <row r="5310">
      <c r="A5310" s="107"/>
      <c r="D5310" s="270"/>
      <c r="H5310" s="106" t="str">
        <f t="shared" si="1"/>
        <v/>
      </c>
      <c r="I5310" s="271" t="str">
        <f>IFERROR(__xludf.DUMMYFUNCTION("""COMPUTED_VALUE"""),"")</f>
        <v/>
      </c>
      <c r="J5310" t="str">
        <f>IFERROR(__xludf.DUMMYFUNCTION("IFS(
  AND(REGEXMATCH(E5310, ""台銀籌備帳戶|玉山帳戶""), REGEXMATCH(C5310, ""薪資"")), ""分潤支出"",
  AND(REGEXMATCH(E5310, ""Ben帳戶|Elsa帳戶|Ben代墊|Ariel代墊|中信銀行共用""), REGEXMATCH(F5310, ""Ben帳戶|Elsa帳戶|Ben代墊|Ariel代墊|中信銀行共用"")), ""內部轉帳(忽略)"",
  AND(E5310&lt;&gt;"""", F5310&lt;&gt;"""", N"&amp;"OT(REGEXMATCH(C5310, ""薪資""))), ""內部轉帳(忽略)"",
  REGEXMATCH(C5310, ""薪資""), ""薪資變動(不計入)"",
  REGEXMATCH(C5310, ""押金""), ""押金往來"",
  AND(E5310&lt;&gt;"""", F5310=""""), ""真實支出"",
  AND(E5310="""", F5310&lt;&gt;""""), ""真實收入"",
  TRUE, ""其他""
)"),"其他")</f>
        <v>其他</v>
      </c>
      <c r="K5310" s="270" t="str">
        <f t="shared" si="2"/>
        <v/>
      </c>
      <c r="L5310">
        <f t="shared" si="3"/>
        <v>0</v>
      </c>
    </row>
    <row r="5311">
      <c r="A5311" s="107"/>
      <c r="D5311" s="270"/>
      <c r="H5311" s="106" t="str">
        <f t="shared" si="1"/>
        <v/>
      </c>
      <c r="I5311" s="271" t="str">
        <f>IFERROR(__xludf.DUMMYFUNCTION("""COMPUTED_VALUE"""),"")</f>
        <v/>
      </c>
      <c r="J5311" t="str">
        <f>IFERROR(__xludf.DUMMYFUNCTION("IFS(
  AND(REGEXMATCH(E5311, ""台銀籌備帳戶|玉山帳戶""), REGEXMATCH(C5311, ""薪資"")), ""分潤支出"",
  AND(REGEXMATCH(E5311, ""Ben帳戶|Elsa帳戶|Ben代墊|Ariel代墊|中信銀行共用""), REGEXMATCH(F5311, ""Ben帳戶|Elsa帳戶|Ben代墊|Ariel代墊|中信銀行共用"")), ""內部轉帳(忽略)"",
  AND(E5311&lt;&gt;"""", F5311&lt;&gt;"""", N"&amp;"OT(REGEXMATCH(C5311, ""薪資""))), ""內部轉帳(忽略)"",
  REGEXMATCH(C5311, ""薪資""), ""薪資變動(不計入)"",
  REGEXMATCH(C5311, ""押金""), ""押金往來"",
  AND(E5311&lt;&gt;"""", F5311=""""), ""真實支出"",
  AND(E5311="""", F5311&lt;&gt;""""), ""真實收入"",
  TRUE, ""其他""
)"),"其他")</f>
        <v>其他</v>
      </c>
      <c r="K5311" s="270" t="str">
        <f t="shared" si="2"/>
        <v/>
      </c>
      <c r="L5311">
        <f t="shared" si="3"/>
        <v>0</v>
      </c>
    </row>
    <row r="5312">
      <c r="A5312" s="107"/>
      <c r="D5312" s="270"/>
      <c r="H5312" s="106" t="str">
        <f t="shared" si="1"/>
        <v/>
      </c>
      <c r="I5312" s="271" t="str">
        <f>IFERROR(__xludf.DUMMYFUNCTION("""COMPUTED_VALUE"""),"")</f>
        <v/>
      </c>
      <c r="J5312" t="str">
        <f>IFERROR(__xludf.DUMMYFUNCTION("IFS(
  AND(REGEXMATCH(E5312, ""台銀籌備帳戶|玉山帳戶""), REGEXMATCH(C5312, ""薪資"")), ""分潤支出"",
  AND(REGEXMATCH(E5312, ""Ben帳戶|Elsa帳戶|Ben代墊|Ariel代墊|中信銀行共用""), REGEXMATCH(F5312, ""Ben帳戶|Elsa帳戶|Ben代墊|Ariel代墊|中信銀行共用"")), ""內部轉帳(忽略)"",
  AND(E5312&lt;&gt;"""", F5312&lt;&gt;"""", N"&amp;"OT(REGEXMATCH(C5312, ""薪資""))), ""內部轉帳(忽略)"",
  REGEXMATCH(C5312, ""薪資""), ""薪資變動(不計入)"",
  REGEXMATCH(C5312, ""押金""), ""押金往來"",
  AND(E5312&lt;&gt;"""", F5312=""""), ""真實支出"",
  AND(E5312="""", F5312&lt;&gt;""""), ""真實收入"",
  TRUE, ""其他""
)"),"其他")</f>
        <v>其他</v>
      </c>
      <c r="K5312" s="270" t="str">
        <f t="shared" si="2"/>
        <v/>
      </c>
      <c r="L5312">
        <f t="shared" si="3"/>
        <v>0</v>
      </c>
    </row>
    <row r="5313">
      <c r="A5313" s="107"/>
      <c r="D5313" s="270"/>
      <c r="H5313" s="106" t="str">
        <f t="shared" si="1"/>
        <v/>
      </c>
      <c r="I5313" s="271" t="str">
        <f>IFERROR(__xludf.DUMMYFUNCTION("""COMPUTED_VALUE"""),"")</f>
        <v/>
      </c>
      <c r="J5313" t="str">
        <f>IFERROR(__xludf.DUMMYFUNCTION("IFS(
  AND(REGEXMATCH(E5313, ""台銀籌備帳戶|玉山帳戶""), REGEXMATCH(C5313, ""薪資"")), ""分潤支出"",
  AND(REGEXMATCH(E5313, ""Ben帳戶|Elsa帳戶|Ben代墊|Ariel代墊|中信銀行共用""), REGEXMATCH(F5313, ""Ben帳戶|Elsa帳戶|Ben代墊|Ariel代墊|中信銀行共用"")), ""內部轉帳(忽略)"",
  AND(E5313&lt;&gt;"""", F5313&lt;&gt;"""", N"&amp;"OT(REGEXMATCH(C5313, ""薪資""))), ""內部轉帳(忽略)"",
  REGEXMATCH(C5313, ""薪資""), ""薪資變動(不計入)"",
  REGEXMATCH(C5313, ""押金""), ""押金往來"",
  AND(E5313&lt;&gt;"""", F5313=""""), ""真實支出"",
  AND(E5313="""", F5313&lt;&gt;""""), ""真實收入"",
  TRUE, ""其他""
)"),"其他")</f>
        <v>其他</v>
      </c>
      <c r="K5313" s="270" t="str">
        <f t="shared" si="2"/>
        <v/>
      </c>
      <c r="L5313">
        <f t="shared" si="3"/>
        <v>0</v>
      </c>
    </row>
    <row r="5314">
      <c r="A5314" s="107"/>
      <c r="D5314" s="270"/>
      <c r="H5314" s="106" t="str">
        <f t="shared" si="1"/>
        <v/>
      </c>
      <c r="I5314" s="271" t="str">
        <f>IFERROR(__xludf.DUMMYFUNCTION("""COMPUTED_VALUE"""),"")</f>
        <v/>
      </c>
      <c r="J5314" t="str">
        <f>IFERROR(__xludf.DUMMYFUNCTION("IFS(
  AND(REGEXMATCH(E5314, ""台銀籌備帳戶|玉山帳戶""), REGEXMATCH(C5314, ""薪資"")), ""分潤支出"",
  AND(REGEXMATCH(E5314, ""Ben帳戶|Elsa帳戶|Ben代墊|Ariel代墊|中信銀行共用""), REGEXMATCH(F5314, ""Ben帳戶|Elsa帳戶|Ben代墊|Ariel代墊|中信銀行共用"")), ""內部轉帳(忽略)"",
  AND(E5314&lt;&gt;"""", F5314&lt;&gt;"""", N"&amp;"OT(REGEXMATCH(C5314, ""薪資""))), ""內部轉帳(忽略)"",
  REGEXMATCH(C5314, ""薪資""), ""薪資變動(不計入)"",
  REGEXMATCH(C5314, ""押金""), ""押金往來"",
  AND(E5314&lt;&gt;"""", F5314=""""), ""真實支出"",
  AND(E5314="""", F5314&lt;&gt;""""), ""真實收入"",
  TRUE, ""其他""
)"),"其他")</f>
        <v>其他</v>
      </c>
      <c r="K5314" s="270" t="str">
        <f t="shared" si="2"/>
        <v/>
      </c>
      <c r="L5314">
        <f t="shared" si="3"/>
        <v>0</v>
      </c>
    </row>
    <row r="5315">
      <c r="A5315" s="107"/>
      <c r="D5315" s="270"/>
      <c r="H5315" s="106" t="str">
        <f t="shared" si="1"/>
        <v/>
      </c>
      <c r="I5315" s="271" t="str">
        <f>IFERROR(__xludf.DUMMYFUNCTION("""COMPUTED_VALUE"""),"")</f>
        <v/>
      </c>
      <c r="J5315" t="str">
        <f>IFERROR(__xludf.DUMMYFUNCTION("IFS(
  AND(REGEXMATCH(E5315, ""台銀籌備帳戶|玉山帳戶""), REGEXMATCH(C5315, ""薪資"")), ""分潤支出"",
  AND(REGEXMATCH(E5315, ""Ben帳戶|Elsa帳戶|Ben代墊|Ariel代墊|中信銀行共用""), REGEXMATCH(F5315, ""Ben帳戶|Elsa帳戶|Ben代墊|Ariel代墊|中信銀行共用"")), ""內部轉帳(忽略)"",
  AND(E5315&lt;&gt;"""", F5315&lt;&gt;"""", N"&amp;"OT(REGEXMATCH(C5315, ""薪資""))), ""內部轉帳(忽略)"",
  REGEXMATCH(C5315, ""薪資""), ""薪資變動(不計入)"",
  REGEXMATCH(C5315, ""押金""), ""押金往來"",
  AND(E5315&lt;&gt;"""", F5315=""""), ""真實支出"",
  AND(E5315="""", F5315&lt;&gt;""""), ""真實收入"",
  TRUE, ""其他""
)"),"其他")</f>
        <v>其他</v>
      </c>
      <c r="K5315" s="270" t="str">
        <f t="shared" si="2"/>
        <v/>
      </c>
      <c r="L5315">
        <f t="shared" si="3"/>
        <v>0</v>
      </c>
    </row>
    <row r="5316">
      <c r="A5316" s="107"/>
      <c r="D5316" s="270"/>
      <c r="H5316" s="106" t="str">
        <f t="shared" si="1"/>
        <v/>
      </c>
      <c r="I5316" s="271" t="str">
        <f>IFERROR(__xludf.DUMMYFUNCTION("""COMPUTED_VALUE"""),"")</f>
        <v/>
      </c>
      <c r="J5316" t="str">
        <f>IFERROR(__xludf.DUMMYFUNCTION("IFS(
  AND(REGEXMATCH(E5316, ""台銀籌備帳戶|玉山帳戶""), REGEXMATCH(C5316, ""薪資"")), ""分潤支出"",
  AND(REGEXMATCH(E5316, ""Ben帳戶|Elsa帳戶|Ben代墊|Ariel代墊|中信銀行共用""), REGEXMATCH(F5316, ""Ben帳戶|Elsa帳戶|Ben代墊|Ariel代墊|中信銀行共用"")), ""內部轉帳(忽略)"",
  AND(E5316&lt;&gt;"""", F5316&lt;&gt;"""", N"&amp;"OT(REGEXMATCH(C5316, ""薪資""))), ""內部轉帳(忽略)"",
  REGEXMATCH(C5316, ""薪資""), ""薪資變動(不計入)"",
  REGEXMATCH(C5316, ""押金""), ""押金往來"",
  AND(E5316&lt;&gt;"""", F5316=""""), ""真實支出"",
  AND(E5316="""", F5316&lt;&gt;""""), ""真實收入"",
  TRUE, ""其他""
)"),"其他")</f>
        <v>其他</v>
      </c>
      <c r="K5316" s="270" t="str">
        <f t="shared" si="2"/>
        <v/>
      </c>
      <c r="L5316">
        <f t="shared" si="3"/>
        <v>0</v>
      </c>
    </row>
    <row r="5317">
      <c r="A5317" s="107"/>
      <c r="D5317" s="270"/>
      <c r="H5317" s="106" t="str">
        <f t="shared" si="1"/>
        <v/>
      </c>
      <c r="I5317" s="271" t="str">
        <f>IFERROR(__xludf.DUMMYFUNCTION("""COMPUTED_VALUE"""),"")</f>
        <v/>
      </c>
      <c r="J5317" t="str">
        <f>IFERROR(__xludf.DUMMYFUNCTION("IFS(
  AND(REGEXMATCH(E5317, ""台銀籌備帳戶|玉山帳戶""), REGEXMATCH(C5317, ""薪資"")), ""分潤支出"",
  AND(REGEXMATCH(E5317, ""Ben帳戶|Elsa帳戶|Ben代墊|Ariel代墊|中信銀行共用""), REGEXMATCH(F5317, ""Ben帳戶|Elsa帳戶|Ben代墊|Ariel代墊|中信銀行共用"")), ""內部轉帳(忽略)"",
  AND(E5317&lt;&gt;"""", F5317&lt;&gt;"""", N"&amp;"OT(REGEXMATCH(C5317, ""薪資""))), ""內部轉帳(忽略)"",
  REGEXMATCH(C5317, ""薪資""), ""薪資變動(不計入)"",
  REGEXMATCH(C5317, ""押金""), ""押金往來"",
  AND(E5317&lt;&gt;"""", F5317=""""), ""真實支出"",
  AND(E5317="""", F5317&lt;&gt;""""), ""真實收入"",
  TRUE, ""其他""
)"),"其他")</f>
        <v>其他</v>
      </c>
      <c r="K5317" s="270" t="str">
        <f t="shared" si="2"/>
        <v/>
      </c>
      <c r="L5317">
        <f t="shared" si="3"/>
        <v>0</v>
      </c>
    </row>
    <row r="5318">
      <c r="A5318" s="107"/>
      <c r="D5318" s="270"/>
      <c r="H5318" s="106" t="str">
        <f t="shared" si="1"/>
        <v/>
      </c>
      <c r="I5318" s="271" t="str">
        <f>IFERROR(__xludf.DUMMYFUNCTION("""COMPUTED_VALUE"""),"")</f>
        <v/>
      </c>
      <c r="J5318" t="str">
        <f>IFERROR(__xludf.DUMMYFUNCTION("IFS(
  AND(REGEXMATCH(E5318, ""台銀籌備帳戶|玉山帳戶""), REGEXMATCH(C5318, ""薪資"")), ""分潤支出"",
  AND(REGEXMATCH(E5318, ""Ben帳戶|Elsa帳戶|Ben代墊|Ariel代墊|中信銀行共用""), REGEXMATCH(F5318, ""Ben帳戶|Elsa帳戶|Ben代墊|Ariel代墊|中信銀行共用"")), ""內部轉帳(忽略)"",
  AND(E5318&lt;&gt;"""", F5318&lt;&gt;"""", N"&amp;"OT(REGEXMATCH(C5318, ""薪資""))), ""內部轉帳(忽略)"",
  REGEXMATCH(C5318, ""薪資""), ""薪資變動(不計入)"",
  REGEXMATCH(C5318, ""押金""), ""押金往來"",
  AND(E5318&lt;&gt;"""", F5318=""""), ""真實支出"",
  AND(E5318="""", F5318&lt;&gt;""""), ""真實收入"",
  TRUE, ""其他""
)"),"其他")</f>
        <v>其他</v>
      </c>
      <c r="K5318" s="270" t="str">
        <f t="shared" si="2"/>
        <v/>
      </c>
      <c r="L5318">
        <f t="shared" si="3"/>
        <v>0</v>
      </c>
    </row>
    <row r="5319">
      <c r="A5319" s="107"/>
      <c r="D5319" s="270"/>
      <c r="H5319" s="106" t="str">
        <f t="shared" si="1"/>
        <v/>
      </c>
      <c r="I5319" s="271" t="str">
        <f>IFERROR(__xludf.DUMMYFUNCTION("""COMPUTED_VALUE"""),"")</f>
        <v/>
      </c>
      <c r="J5319" t="str">
        <f>IFERROR(__xludf.DUMMYFUNCTION("IFS(
  AND(REGEXMATCH(E5319, ""台銀籌備帳戶|玉山帳戶""), REGEXMATCH(C5319, ""薪資"")), ""分潤支出"",
  AND(REGEXMATCH(E5319, ""Ben帳戶|Elsa帳戶|Ben代墊|Ariel代墊|中信銀行共用""), REGEXMATCH(F5319, ""Ben帳戶|Elsa帳戶|Ben代墊|Ariel代墊|中信銀行共用"")), ""內部轉帳(忽略)"",
  AND(E5319&lt;&gt;"""", F5319&lt;&gt;"""", N"&amp;"OT(REGEXMATCH(C5319, ""薪資""))), ""內部轉帳(忽略)"",
  REGEXMATCH(C5319, ""薪資""), ""薪資變動(不計入)"",
  REGEXMATCH(C5319, ""押金""), ""押金往來"",
  AND(E5319&lt;&gt;"""", F5319=""""), ""真實支出"",
  AND(E5319="""", F5319&lt;&gt;""""), ""真實收入"",
  TRUE, ""其他""
)"),"其他")</f>
        <v>其他</v>
      </c>
      <c r="K5319" s="270" t="str">
        <f t="shared" si="2"/>
        <v/>
      </c>
      <c r="L5319">
        <f t="shared" si="3"/>
        <v>0</v>
      </c>
    </row>
    <row r="5320">
      <c r="A5320" s="107"/>
      <c r="D5320" s="270"/>
      <c r="H5320" s="106" t="str">
        <f t="shared" si="1"/>
        <v/>
      </c>
      <c r="I5320" s="271" t="str">
        <f>IFERROR(__xludf.DUMMYFUNCTION("""COMPUTED_VALUE"""),"")</f>
        <v/>
      </c>
      <c r="J5320" t="str">
        <f>IFERROR(__xludf.DUMMYFUNCTION("IFS(
  AND(REGEXMATCH(E5320, ""台銀籌備帳戶|玉山帳戶""), REGEXMATCH(C5320, ""薪資"")), ""分潤支出"",
  AND(REGEXMATCH(E5320, ""Ben帳戶|Elsa帳戶|Ben代墊|Ariel代墊|中信銀行共用""), REGEXMATCH(F5320, ""Ben帳戶|Elsa帳戶|Ben代墊|Ariel代墊|中信銀行共用"")), ""內部轉帳(忽略)"",
  AND(E5320&lt;&gt;"""", F5320&lt;&gt;"""", N"&amp;"OT(REGEXMATCH(C5320, ""薪資""))), ""內部轉帳(忽略)"",
  REGEXMATCH(C5320, ""薪資""), ""薪資變動(不計入)"",
  REGEXMATCH(C5320, ""押金""), ""押金往來"",
  AND(E5320&lt;&gt;"""", F5320=""""), ""真實支出"",
  AND(E5320="""", F5320&lt;&gt;""""), ""真實收入"",
  TRUE, ""其他""
)"),"其他")</f>
        <v>其他</v>
      </c>
      <c r="K5320" s="270" t="str">
        <f t="shared" si="2"/>
        <v/>
      </c>
      <c r="L5320">
        <f t="shared" si="3"/>
        <v>0</v>
      </c>
    </row>
    <row r="5321">
      <c r="A5321" s="107"/>
      <c r="D5321" s="270"/>
      <c r="H5321" s="106" t="str">
        <f t="shared" si="1"/>
        <v/>
      </c>
      <c r="I5321" s="271" t="str">
        <f>IFERROR(__xludf.DUMMYFUNCTION("""COMPUTED_VALUE"""),"")</f>
        <v/>
      </c>
      <c r="J5321" t="str">
        <f>IFERROR(__xludf.DUMMYFUNCTION("IFS(
  AND(REGEXMATCH(E5321, ""台銀籌備帳戶|玉山帳戶""), REGEXMATCH(C5321, ""薪資"")), ""分潤支出"",
  AND(REGEXMATCH(E5321, ""Ben帳戶|Elsa帳戶|Ben代墊|Ariel代墊|中信銀行共用""), REGEXMATCH(F5321, ""Ben帳戶|Elsa帳戶|Ben代墊|Ariel代墊|中信銀行共用"")), ""內部轉帳(忽略)"",
  AND(E5321&lt;&gt;"""", F5321&lt;&gt;"""", N"&amp;"OT(REGEXMATCH(C5321, ""薪資""))), ""內部轉帳(忽略)"",
  REGEXMATCH(C5321, ""薪資""), ""薪資變動(不計入)"",
  REGEXMATCH(C5321, ""押金""), ""押金往來"",
  AND(E5321&lt;&gt;"""", F5321=""""), ""真實支出"",
  AND(E5321="""", F5321&lt;&gt;""""), ""真實收入"",
  TRUE, ""其他""
)"),"其他")</f>
        <v>其他</v>
      </c>
      <c r="K5321" s="270" t="str">
        <f t="shared" si="2"/>
        <v/>
      </c>
      <c r="L5321">
        <f t="shared" si="3"/>
        <v>0</v>
      </c>
    </row>
    <row r="5322">
      <c r="A5322" s="107"/>
      <c r="D5322" s="270"/>
      <c r="H5322" s="106" t="str">
        <f t="shared" si="1"/>
        <v/>
      </c>
      <c r="I5322" s="271" t="str">
        <f>IFERROR(__xludf.DUMMYFUNCTION("""COMPUTED_VALUE"""),"")</f>
        <v/>
      </c>
      <c r="J5322" t="str">
        <f>IFERROR(__xludf.DUMMYFUNCTION("IFS(
  AND(REGEXMATCH(E5322, ""台銀籌備帳戶|玉山帳戶""), REGEXMATCH(C5322, ""薪資"")), ""分潤支出"",
  AND(REGEXMATCH(E5322, ""Ben帳戶|Elsa帳戶|Ben代墊|Ariel代墊|中信銀行共用""), REGEXMATCH(F5322, ""Ben帳戶|Elsa帳戶|Ben代墊|Ariel代墊|中信銀行共用"")), ""內部轉帳(忽略)"",
  AND(E5322&lt;&gt;"""", F5322&lt;&gt;"""", N"&amp;"OT(REGEXMATCH(C5322, ""薪資""))), ""內部轉帳(忽略)"",
  REGEXMATCH(C5322, ""薪資""), ""薪資變動(不計入)"",
  REGEXMATCH(C5322, ""押金""), ""押金往來"",
  AND(E5322&lt;&gt;"""", F5322=""""), ""真實支出"",
  AND(E5322="""", F5322&lt;&gt;""""), ""真實收入"",
  TRUE, ""其他""
)"),"其他")</f>
        <v>其他</v>
      </c>
      <c r="K5322" s="270" t="str">
        <f t="shared" si="2"/>
        <v/>
      </c>
      <c r="L5322">
        <f t="shared" si="3"/>
        <v>0</v>
      </c>
    </row>
    <row r="5323">
      <c r="A5323" s="107"/>
      <c r="D5323" s="270"/>
      <c r="H5323" s="106" t="str">
        <f t="shared" si="1"/>
        <v/>
      </c>
      <c r="I5323" s="271" t="str">
        <f>IFERROR(__xludf.DUMMYFUNCTION("""COMPUTED_VALUE"""),"")</f>
        <v/>
      </c>
      <c r="J5323" t="str">
        <f>IFERROR(__xludf.DUMMYFUNCTION("IFS(
  AND(REGEXMATCH(E5323, ""台銀籌備帳戶|玉山帳戶""), REGEXMATCH(C5323, ""薪資"")), ""分潤支出"",
  AND(REGEXMATCH(E5323, ""Ben帳戶|Elsa帳戶|Ben代墊|Ariel代墊|中信銀行共用""), REGEXMATCH(F5323, ""Ben帳戶|Elsa帳戶|Ben代墊|Ariel代墊|中信銀行共用"")), ""內部轉帳(忽略)"",
  AND(E5323&lt;&gt;"""", F5323&lt;&gt;"""", N"&amp;"OT(REGEXMATCH(C5323, ""薪資""))), ""內部轉帳(忽略)"",
  REGEXMATCH(C5323, ""薪資""), ""薪資變動(不計入)"",
  REGEXMATCH(C5323, ""押金""), ""押金往來"",
  AND(E5323&lt;&gt;"""", F5323=""""), ""真實支出"",
  AND(E5323="""", F5323&lt;&gt;""""), ""真實收入"",
  TRUE, ""其他""
)"),"其他")</f>
        <v>其他</v>
      </c>
      <c r="K5323" s="270" t="str">
        <f t="shared" si="2"/>
        <v/>
      </c>
      <c r="L5323">
        <f t="shared" si="3"/>
        <v>0</v>
      </c>
    </row>
    <row r="5324">
      <c r="A5324" s="107"/>
      <c r="D5324" s="270"/>
      <c r="H5324" s="106" t="str">
        <f t="shared" si="1"/>
        <v/>
      </c>
      <c r="I5324" s="271" t="str">
        <f>IFERROR(__xludf.DUMMYFUNCTION("""COMPUTED_VALUE"""),"")</f>
        <v/>
      </c>
      <c r="J5324" t="str">
        <f>IFERROR(__xludf.DUMMYFUNCTION("IFS(
  AND(REGEXMATCH(E5324, ""台銀籌備帳戶|玉山帳戶""), REGEXMATCH(C5324, ""薪資"")), ""分潤支出"",
  AND(REGEXMATCH(E5324, ""Ben帳戶|Elsa帳戶|Ben代墊|Ariel代墊|中信銀行共用""), REGEXMATCH(F5324, ""Ben帳戶|Elsa帳戶|Ben代墊|Ariel代墊|中信銀行共用"")), ""內部轉帳(忽略)"",
  AND(E5324&lt;&gt;"""", F5324&lt;&gt;"""", N"&amp;"OT(REGEXMATCH(C5324, ""薪資""))), ""內部轉帳(忽略)"",
  REGEXMATCH(C5324, ""薪資""), ""薪資變動(不計入)"",
  REGEXMATCH(C5324, ""押金""), ""押金往來"",
  AND(E5324&lt;&gt;"""", F5324=""""), ""真實支出"",
  AND(E5324="""", F5324&lt;&gt;""""), ""真實收入"",
  TRUE, ""其他""
)"),"其他")</f>
        <v>其他</v>
      </c>
      <c r="K5324" s="270" t="str">
        <f t="shared" si="2"/>
        <v/>
      </c>
      <c r="L5324">
        <f t="shared" si="3"/>
        <v>0</v>
      </c>
    </row>
    <row r="5325">
      <c r="A5325" s="107"/>
      <c r="D5325" s="270"/>
      <c r="H5325" s="106" t="str">
        <f t="shared" si="1"/>
        <v/>
      </c>
      <c r="I5325" s="271" t="str">
        <f>IFERROR(__xludf.DUMMYFUNCTION("""COMPUTED_VALUE"""),"")</f>
        <v/>
      </c>
      <c r="J5325" t="str">
        <f>IFERROR(__xludf.DUMMYFUNCTION("IFS(
  AND(REGEXMATCH(E5325, ""台銀籌備帳戶|玉山帳戶""), REGEXMATCH(C5325, ""薪資"")), ""分潤支出"",
  AND(REGEXMATCH(E5325, ""Ben帳戶|Elsa帳戶|Ben代墊|Ariel代墊|中信銀行共用""), REGEXMATCH(F5325, ""Ben帳戶|Elsa帳戶|Ben代墊|Ariel代墊|中信銀行共用"")), ""內部轉帳(忽略)"",
  AND(E5325&lt;&gt;"""", F5325&lt;&gt;"""", N"&amp;"OT(REGEXMATCH(C5325, ""薪資""))), ""內部轉帳(忽略)"",
  REGEXMATCH(C5325, ""薪資""), ""薪資變動(不計入)"",
  REGEXMATCH(C5325, ""押金""), ""押金往來"",
  AND(E5325&lt;&gt;"""", F5325=""""), ""真實支出"",
  AND(E5325="""", F5325&lt;&gt;""""), ""真實收入"",
  TRUE, ""其他""
)"),"其他")</f>
        <v>其他</v>
      </c>
      <c r="K5325" s="270" t="str">
        <f t="shared" si="2"/>
        <v/>
      </c>
      <c r="L5325">
        <f t="shared" si="3"/>
        <v>0</v>
      </c>
    </row>
    <row r="5326">
      <c r="A5326" s="107"/>
      <c r="D5326" s="270"/>
      <c r="H5326" s="106" t="str">
        <f t="shared" si="1"/>
        <v/>
      </c>
      <c r="I5326" s="271" t="str">
        <f>IFERROR(__xludf.DUMMYFUNCTION("""COMPUTED_VALUE"""),"")</f>
        <v/>
      </c>
      <c r="J5326" t="str">
        <f>IFERROR(__xludf.DUMMYFUNCTION("IFS(
  AND(REGEXMATCH(E5326, ""台銀籌備帳戶|玉山帳戶""), REGEXMATCH(C5326, ""薪資"")), ""分潤支出"",
  AND(REGEXMATCH(E5326, ""Ben帳戶|Elsa帳戶|Ben代墊|Ariel代墊|中信銀行共用""), REGEXMATCH(F5326, ""Ben帳戶|Elsa帳戶|Ben代墊|Ariel代墊|中信銀行共用"")), ""內部轉帳(忽略)"",
  AND(E5326&lt;&gt;"""", F5326&lt;&gt;"""", N"&amp;"OT(REGEXMATCH(C5326, ""薪資""))), ""內部轉帳(忽略)"",
  REGEXMATCH(C5326, ""薪資""), ""薪資變動(不計入)"",
  REGEXMATCH(C5326, ""押金""), ""押金往來"",
  AND(E5326&lt;&gt;"""", F5326=""""), ""真實支出"",
  AND(E5326="""", F5326&lt;&gt;""""), ""真實收入"",
  TRUE, ""其他""
)"),"其他")</f>
        <v>其他</v>
      </c>
      <c r="K5326" s="270" t="str">
        <f t="shared" si="2"/>
        <v/>
      </c>
      <c r="L5326">
        <f t="shared" si="3"/>
        <v>0</v>
      </c>
    </row>
    <row r="5327">
      <c r="A5327" s="107"/>
      <c r="D5327" s="270"/>
      <c r="H5327" s="106" t="str">
        <f t="shared" si="1"/>
        <v/>
      </c>
      <c r="I5327" s="271" t="str">
        <f>IFERROR(__xludf.DUMMYFUNCTION("""COMPUTED_VALUE"""),"")</f>
        <v/>
      </c>
      <c r="J5327" t="str">
        <f>IFERROR(__xludf.DUMMYFUNCTION("IFS(
  AND(REGEXMATCH(E5327, ""台銀籌備帳戶|玉山帳戶""), REGEXMATCH(C5327, ""薪資"")), ""分潤支出"",
  AND(REGEXMATCH(E5327, ""Ben帳戶|Elsa帳戶|Ben代墊|Ariel代墊|中信銀行共用""), REGEXMATCH(F5327, ""Ben帳戶|Elsa帳戶|Ben代墊|Ariel代墊|中信銀行共用"")), ""內部轉帳(忽略)"",
  AND(E5327&lt;&gt;"""", F5327&lt;&gt;"""", N"&amp;"OT(REGEXMATCH(C5327, ""薪資""))), ""內部轉帳(忽略)"",
  REGEXMATCH(C5327, ""薪資""), ""薪資變動(不計入)"",
  REGEXMATCH(C5327, ""押金""), ""押金往來"",
  AND(E5327&lt;&gt;"""", F5327=""""), ""真實支出"",
  AND(E5327="""", F5327&lt;&gt;""""), ""真實收入"",
  TRUE, ""其他""
)"),"其他")</f>
        <v>其他</v>
      </c>
      <c r="K5327" s="270" t="str">
        <f t="shared" si="2"/>
        <v/>
      </c>
      <c r="L5327">
        <f t="shared" si="3"/>
        <v>0</v>
      </c>
    </row>
    <row r="5328">
      <c r="A5328" s="107"/>
      <c r="D5328" s="270"/>
      <c r="H5328" s="106" t="str">
        <f t="shared" si="1"/>
        <v/>
      </c>
      <c r="I5328" s="271" t="str">
        <f>IFERROR(__xludf.DUMMYFUNCTION("""COMPUTED_VALUE"""),"")</f>
        <v/>
      </c>
      <c r="J5328" t="str">
        <f>IFERROR(__xludf.DUMMYFUNCTION("IFS(
  AND(REGEXMATCH(E5328, ""台銀籌備帳戶|玉山帳戶""), REGEXMATCH(C5328, ""薪資"")), ""分潤支出"",
  AND(REGEXMATCH(E5328, ""Ben帳戶|Elsa帳戶|Ben代墊|Ariel代墊|中信銀行共用""), REGEXMATCH(F5328, ""Ben帳戶|Elsa帳戶|Ben代墊|Ariel代墊|中信銀行共用"")), ""內部轉帳(忽略)"",
  AND(E5328&lt;&gt;"""", F5328&lt;&gt;"""", N"&amp;"OT(REGEXMATCH(C5328, ""薪資""))), ""內部轉帳(忽略)"",
  REGEXMATCH(C5328, ""薪資""), ""薪資變動(不計入)"",
  REGEXMATCH(C5328, ""押金""), ""押金往來"",
  AND(E5328&lt;&gt;"""", F5328=""""), ""真實支出"",
  AND(E5328="""", F5328&lt;&gt;""""), ""真實收入"",
  TRUE, ""其他""
)"),"其他")</f>
        <v>其他</v>
      </c>
      <c r="K5328" s="270" t="str">
        <f t="shared" si="2"/>
        <v/>
      </c>
      <c r="L5328">
        <f t="shared" si="3"/>
        <v>0</v>
      </c>
    </row>
    <row r="5329">
      <c r="A5329" s="107"/>
      <c r="D5329" s="270"/>
      <c r="H5329" s="106" t="str">
        <f t="shared" si="1"/>
        <v/>
      </c>
      <c r="I5329" s="271" t="str">
        <f>IFERROR(__xludf.DUMMYFUNCTION("""COMPUTED_VALUE"""),"")</f>
        <v/>
      </c>
      <c r="J5329" t="str">
        <f>IFERROR(__xludf.DUMMYFUNCTION("IFS(
  AND(REGEXMATCH(E5329, ""台銀籌備帳戶|玉山帳戶""), REGEXMATCH(C5329, ""薪資"")), ""分潤支出"",
  AND(REGEXMATCH(E5329, ""Ben帳戶|Elsa帳戶|Ben代墊|Ariel代墊|中信銀行共用""), REGEXMATCH(F5329, ""Ben帳戶|Elsa帳戶|Ben代墊|Ariel代墊|中信銀行共用"")), ""內部轉帳(忽略)"",
  AND(E5329&lt;&gt;"""", F5329&lt;&gt;"""", N"&amp;"OT(REGEXMATCH(C5329, ""薪資""))), ""內部轉帳(忽略)"",
  REGEXMATCH(C5329, ""薪資""), ""薪資變動(不計入)"",
  REGEXMATCH(C5329, ""押金""), ""押金往來"",
  AND(E5329&lt;&gt;"""", F5329=""""), ""真實支出"",
  AND(E5329="""", F5329&lt;&gt;""""), ""真實收入"",
  TRUE, ""其他""
)"),"其他")</f>
        <v>其他</v>
      </c>
      <c r="K5329" s="270" t="str">
        <f t="shared" si="2"/>
        <v/>
      </c>
      <c r="L5329">
        <f t="shared" si="3"/>
        <v>0</v>
      </c>
    </row>
    <row r="5330">
      <c r="A5330" s="107"/>
      <c r="D5330" s="270"/>
      <c r="H5330" s="106" t="str">
        <f t="shared" si="1"/>
        <v/>
      </c>
      <c r="I5330" s="271" t="str">
        <f>IFERROR(__xludf.DUMMYFUNCTION("""COMPUTED_VALUE"""),"")</f>
        <v/>
      </c>
      <c r="J5330" t="str">
        <f>IFERROR(__xludf.DUMMYFUNCTION("IFS(
  AND(REGEXMATCH(E5330, ""台銀籌備帳戶|玉山帳戶""), REGEXMATCH(C5330, ""薪資"")), ""分潤支出"",
  AND(REGEXMATCH(E5330, ""Ben帳戶|Elsa帳戶|Ben代墊|Ariel代墊|中信銀行共用""), REGEXMATCH(F5330, ""Ben帳戶|Elsa帳戶|Ben代墊|Ariel代墊|中信銀行共用"")), ""內部轉帳(忽略)"",
  AND(E5330&lt;&gt;"""", F5330&lt;&gt;"""", N"&amp;"OT(REGEXMATCH(C5330, ""薪資""))), ""內部轉帳(忽略)"",
  REGEXMATCH(C5330, ""薪資""), ""薪資變動(不計入)"",
  REGEXMATCH(C5330, ""押金""), ""押金往來"",
  AND(E5330&lt;&gt;"""", F5330=""""), ""真實支出"",
  AND(E5330="""", F5330&lt;&gt;""""), ""真實收入"",
  TRUE, ""其他""
)"),"其他")</f>
        <v>其他</v>
      </c>
      <c r="K5330" s="270" t="str">
        <f t="shared" si="2"/>
        <v/>
      </c>
      <c r="L5330">
        <f t="shared" si="3"/>
        <v>0</v>
      </c>
    </row>
    <row r="5331">
      <c r="A5331" s="107"/>
      <c r="D5331" s="270"/>
      <c r="H5331" s="106" t="str">
        <f t="shared" si="1"/>
        <v/>
      </c>
      <c r="I5331" s="271" t="str">
        <f>IFERROR(__xludf.DUMMYFUNCTION("""COMPUTED_VALUE"""),"")</f>
        <v/>
      </c>
      <c r="J5331" t="str">
        <f>IFERROR(__xludf.DUMMYFUNCTION("IFS(
  AND(REGEXMATCH(E5331, ""台銀籌備帳戶|玉山帳戶""), REGEXMATCH(C5331, ""薪資"")), ""分潤支出"",
  AND(REGEXMATCH(E5331, ""Ben帳戶|Elsa帳戶|Ben代墊|Ariel代墊|中信銀行共用""), REGEXMATCH(F5331, ""Ben帳戶|Elsa帳戶|Ben代墊|Ariel代墊|中信銀行共用"")), ""內部轉帳(忽略)"",
  AND(E5331&lt;&gt;"""", F5331&lt;&gt;"""", N"&amp;"OT(REGEXMATCH(C5331, ""薪資""))), ""內部轉帳(忽略)"",
  REGEXMATCH(C5331, ""薪資""), ""薪資變動(不計入)"",
  REGEXMATCH(C5331, ""押金""), ""押金往來"",
  AND(E5331&lt;&gt;"""", F5331=""""), ""真實支出"",
  AND(E5331="""", F5331&lt;&gt;""""), ""真實收入"",
  TRUE, ""其他""
)"),"其他")</f>
        <v>其他</v>
      </c>
      <c r="K5331" s="270" t="str">
        <f t="shared" si="2"/>
        <v/>
      </c>
      <c r="L5331">
        <f t="shared" si="3"/>
        <v>0</v>
      </c>
    </row>
    <row r="5332">
      <c r="A5332" s="107"/>
      <c r="D5332" s="270"/>
      <c r="H5332" s="106" t="str">
        <f t="shared" si="1"/>
        <v/>
      </c>
      <c r="I5332" s="271" t="str">
        <f>IFERROR(__xludf.DUMMYFUNCTION("""COMPUTED_VALUE"""),"")</f>
        <v/>
      </c>
      <c r="J5332" t="str">
        <f>IFERROR(__xludf.DUMMYFUNCTION("IFS(
  AND(REGEXMATCH(E5332, ""台銀籌備帳戶|玉山帳戶""), REGEXMATCH(C5332, ""薪資"")), ""分潤支出"",
  AND(REGEXMATCH(E5332, ""Ben帳戶|Elsa帳戶|Ben代墊|Ariel代墊|中信銀行共用""), REGEXMATCH(F5332, ""Ben帳戶|Elsa帳戶|Ben代墊|Ariel代墊|中信銀行共用"")), ""內部轉帳(忽略)"",
  AND(E5332&lt;&gt;"""", F5332&lt;&gt;"""", N"&amp;"OT(REGEXMATCH(C5332, ""薪資""))), ""內部轉帳(忽略)"",
  REGEXMATCH(C5332, ""薪資""), ""薪資變動(不計入)"",
  REGEXMATCH(C5332, ""押金""), ""押金往來"",
  AND(E5332&lt;&gt;"""", F5332=""""), ""真實支出"",
  AND(E5332="""", F5332&lt;&gt;""""), ""真實收入"",
  TRUE, ""其他""
)"),"其他")</f>
        <v>其他</v>
      </c>
      <c r="K5332" s="270" t="str">
        <f t="shared" si="2"/>
        <v/>
      </c>
      <c r="L5332">
        <f t="shared" si="3"/>
        <v>0</v>
      </c>
    </row>
    <row r="5333">
      <c r="A5333" s="107"/>
      <c r="D5333" s="270"/>
      <c r="H5333" s="106" t="str">
        <f t="shared" si="1"/>
        <v/>
      </c>
      <c r="I5333" s="271" t="str">
        <f>IFERROR(__xludf.DUMMYFUNCTION("""COMPUTED_VALUE"""),"")</f>
        <v/>
      </c>
      <c r="J5333" t="str">
        <f>IFERROR(__xludf.DUMMYFUNCTION("IFS(
  AND(REGEXMATCH(E5333, ""台銀籌備帳戶|玉山帳戶""), REGEXMATCH(C5333, ""薪資"")), ""分潤支出"",
  AND(REGEXMATCH(E5333, ""Ben帳戶|Elsa帳戶|Ben代墊|Ariel代墊|中信銀行共用""), REGEXMATCH(F5333, ""Ben帳戶|Elsa帳戶|Ben代墊|Ariel代墊|中信銀行共用"")), ""內部轉帳(忽略)"",
  AND(E5333&lt;&gt;"""", F5333&lt;&gt;"""", N"&amp;"OT(REGEXMATCH(C5333, ""薪資""))), ""內部轉帳(忽略)"",
  REGEXMATCH(C5333, ""薪資""), ""薪資變動(不計入)"",
  REGEXMATCH(C5333, ""押金""), ""押金往來"",
  AND(E5333&lt;&gt;"""", F5333=""""), ""真實支出"",
  AND(E5333="""", F5333&lt;&gt;""""), ""真實收入"",
  TRUE, ""其他""
)"),"其他")</f>
        <v>其他</v>
      </c>
      <c r="K5333" s="270" t="str">
        <f t="shared" si="2"/>
        <v/>
      </c>
      <c r="L5333">
        <f t="shared" si="3"/>
        <v>0</v>
      </c>
    </row>
    <row r="5334">
      <c r="A5334" s="107"/>
      <c r="D5334" s="270"/>
      <c r="H5334" s="106" t="str">
        <f t="shared" si="1"/>
        <v/>
      </c>
      <c r="I5334" s="271" t="str">
        <f>IFERROR(__xludf.DUMMYFUNCTION("""COMPUTED_VALUE"""),"")</f>
        <v/>
      </c>
      <c r="J5334" t="str">
        <f>IFERROR(__xludf.DUMMYFUNCTION("IFS(
  AND(REGEXMATCH(E5334, ""台銀籌備帳戶|玉山帳戶""), REGEXMATCH(C5334, ""薪資"")), ""分潤支出"",
  AND(REGEXMATCH(E5334, ""Ben帳戶|Elsa帳戶|Ben代墊|Ariel代墊|中信銀行共用""), REGEXMATCH(F5334, ""Ben帳戶|Elsa帳戶|Ben代墊|Ariel代墊|中信銀行共用"")), ""內部轉帳(忽略)"",
  AND(E5334&lt;&gt;"""", F5334&lt;&gt;"""", N"&amp;"OT(REGEXMATCH(C5334, ""薪資""))), ""內部轉帳(忽略)"",
  REGEXMATCH(C5334, ""薪資""), ""薪資變動(不計入)"",
  REGEXMATCH(C5334, ""押金""), ""押金往來"",
  AND(E5334&lt;&gt;"""", F5334=""""), ""真實支出"",
  AND(E5334="""", F5334&lt;&gt;""""), ""真實收入"",
  TRUE, ""其他""
)"),"其他")</f>
        <v>其他</v>
      </c>
      <c r="K5334" s="270" t="str">
        <f t="shared" si="2"/>
        <v/>
      </c>
      <c r="L5334">
        <f t="shared" si="3"/>
        <v>0</v>
      </c>
    </row>
    <row r="5335">
      <c r="A5335" s="107"/>
      <c r="D5335" s="270"/>
      <c r="H5335" s="106" t="str">
        <f t="shared" si="1"/>
        <v/>
      </c>
      <c r="I5335" s="271" t="str">
        <f>IFERROR(__xludf.DUMMYFUNCTION("""COMPUTED_VALUE"""),"")</f>
        <v/>
      </c>
      <c r="J5335" t="str">
        <f>IFERROR(__xludf.DUMMYFUNCTION("IFS(
  AND(REGEXMATCH(E5335, ""台銀籌備帳戶|玉山帳戶""), REGEXMATCH(C5335, ""薪資"")), ""分潤支出"",
  AND(REGEXMATCH(E5335, ""Ben帳戶|Elsa帳戶|Ben代墊|Ariel代墊|中信銀行共用""), REGEXMATCH(F5335, ""Ben帳戶|Elsa帳戶|Ben代墊|Ariel代墊|中信銀行共用"")), ""內部轉帳(忽略)"",
  AND(E5335&lt;&gt;"""", F5335&lt;&gt;"""", N"&amp;"OT(REGEXMATCH(C5335, ""薪資""))), ""內部轉帳(忽略)"",
  REGEXMATCH(C5335, ""薪資""), ""薪資變動(不計入)"",
  REGEXMATCH(C5335, ""押金""), ""押金往來"",
  AND(E5335&lt;&gt;"""", F5335=""""), ""真實支出"",
  AND(E5335="""", F5335&lt;&gt;""""), ""真實收入"",
  TRUE, ""其他""
)"),"其他")</f>
        <v>其他</v>
      </c>
      <c r="K5335" s="270" t="str">
        <f t="shared" si="2"/>
        <v/>
      </c>
      <c r="L5335">
        <f t="shared" si="3"/>
        <v>0</v>
      </c>
    </row>
    <row r="5336">
      <c r="A5336" s="107"/>
      <c r="D5336" s="270"/>
      <c r="H5336" s="106" t="str">
        <f t="shared" si="1"/>
        <v/>
      </c>
      <c r="I5336" s="271" t="str">
        <f>IFERROR(__xludf.DUMMYFUNCTION("""COMPUTED_VALUE"""),"")</f>
        <v/>
      </c>
      <c r="J5336" t="str">
        <f>IFERROR(__xludf.DUMMYFUNCTION("IFS(
  AND(REGEXMATCH(E5336, ""台銀籌備帳戶|玉山帳戶""), REGEXMATCH(C5336, ""薪資"")), ""分潤支出"",
  AND(REGEXMATCH(E5336, ""Ben帳戶|Elsa帳戶|Ben代墊|Ariel代墊|中信銀行共用""), REGEXMATCH(F5336, ""Ben帳戶|Elsa帳戶|Ben代墊|Ariel代墊|中信銀行共用"")), ""內部轉帳(忽略)"",
  AND(E5336&lt;&gt;"""", F5336&lt;&gt;"""", N"&amp;"OT(REGEXMATCH(C5336, ""薪資""))), ""內部轉帳(忽略)"",
  REGEXMATCH(C5336, ""薪資""), ""薪資變動(不計入)"",
  REGEXMATCH(C5336, ""押金""), ""押金往來"",
  AND(E5336&lt;&gt;"""", F5336=""""), ""真實支出"",
  AND(E5336="""", F5336&lt;&gt;""""), ""真實收入"",
  TRUE, ""其他""
)"),"其他")</f>
        <v>其他</v>
      </c>
      <c r="K5336" s="270" t="str">
        <f t="shared" si="2"/>
        <v/>
      </c>
      <c r="L5336">
        <f t="shared" si="3"/>
        <v>0</v>
      </c>
    </row>
    <row r="5337">
      <c r="A5337" s="107"/>
      <c r="D5337" s="270"/>
      <c r="H5337" s="106" t="str">
        <f t="shared" si="1"/>
        <v/>
      </c>
      <c r="I5337" s="271" t="str">
        <f>IFERROR(__xludf.DUMMYFUNCTION("""COMPUTED_VALUE"""),"")</f>
        <v/>
      </c>
      <c r="J5337" t="str">
        <f>IFERROR(__xludf.DUMMYFUNCTION("IFS(
  AND(REGEXMATCH(E5337, ""台銀籌備帳戶|玉山帳戶""), REGEXMATCH(C5337, ""薪資"")), ""分潤支出"",
  AND(REGEXMATCH(E5337, ""Ben帳戶|Elsa帳戶|Ben代墊|Ariel代墊|中信銀行共用""), REGEXMATCH(F5337, ""Ben帳戶|Elsa帳戶|Ben代墊|Ariel代墊|中信銀行共用"")), ""內部轉帳(忽略)"",
  AND(E5337&lt;&gt;"""", F5337&lt;&gt;"""", N"&amp;"OT(REGEXMATCH(C5337, ""薪資""))), ""內部轉帳(忽略)"",
  REGEXMATCH(C5337, ""薪資""), ""薪資變動(不計入)"",
  REGEXMATCH(C5337, ""押金""), ""押金往來"",
  AND(E5337&lt;&gt;"""", F5337=""""), ""真實支出"",
  AND(E5337="""", F5337&lt;&gt;""""), ""真實收入"",
  TRUE, ""其他""
)"),"其他")</f>
        <v>其他</v>
      </c>
      <c r="K5337" s="270" t="str">
        <f t="shared" si="2"/>
        <v/>
      </c>
      <c r="L5337">
        <f t="shared" si="3"/>
        <v>0</v>
      </c>
    </row>
    <row r="5338">
      <c r="A5338" s="107"/>
      <c r="D5338" s="270"/>
      <c r="H5338" s="106" t="str">
        <f t="shared" si="1"/>
        <v/>
      </c>
      <c r="I5338" s="271" t="str">
        <f>IFERROR(__xludf.DUMMYFUNCTION("""COMPUTED_VALUE"""),"")</f>
        <v/>
      </c>
      <c r="J5338" t="str">
        <f>IFERROR(__xludf.DUMMYFUNCTION("IFS(
  AND(REGEXMATCH(E5338, ""台銀籌備帳戶|玉山帳戶""), REGEXMATCH(C5338, ""薪資"")), ""分潤支出"",
  AND(REGEXMATCH(E5338, ""Ben帳戶|Elsa帳戶|Ben代墊|Ariel代墊|中信銀行共用""), REGEXMATCH(F5338, ""Ben帳戶|Elsa帳戶|Ben代墊|Ariel代墊|中信銀行共用"")), ""內部轉帳(忽略)"",
  AND(E5338&lt;&gt;"""", F5338&lt;&gt;"""", N"&amp;"OT(REGEXMATCH(C5338, ""薪資""))), ""內部轉帳(忽略)"",
  REGEXMATCH(C5338, ""薪資""), ""薪資變動(不計入)"",
  REGEXMATCH(C5338, ""押金""), ""押金往來"",
  AND(E5338&lt;&gt;"""", F5338=""""), ""真實支出"",
  AND(E5338="""", F5338&lt;&gt;""""), ""真實收入"",
  TRUE, ""其他""
)"),"其他")</f>
        <v>其他</v>
      </c>
      <c r="K5338" s="270" t="str">
        <f t="shared" si="2"/>
        <v/>
      </c>
      <c r="L5338">
        <f t="shared" si="3"/>
        <v>0</v>
      </c>
    </row>
    <row r="5339">
      <c r="A5339" s="107"/>
      <c r="D5339" s="270"/>
      <c r="H5339" s="106" t="str">
        <f t="shared" si="1"/>
        <v/>
      </c>
      <c r="I5339" s="271" t="str">
        <f>IFERROR(__xludf.DUMMYFUNCTION("""COMPUTED_VALUE"""),"")</f>
        <v/>
      </c>
      <c r="J5339" t="str">
        <f>IFERROR(__xludf.DUMMYFUNCTION("IFS(
  AND(REGEXMATCH(E5339, ""台銀籌備帳戶|玉山帳戶""), REGEXMATCH(C5339, ""薪資"")), ""分潤支出"",
  AND(REGEXMATCH(E5339, ""Ben帳戶|Elsa帳戶|Ben代墊|Ariel代墊|中信銀行共用""), REGEXMATCH(F5339, ""Ben帳戶|Elsa帳戶|Ben代墊|Ariel代墊|中信銀行共用"")), ""內部轉帳(忽略)"",
  AND(E5339&lt;&gt;"""", F5339&lt;&gt;"""", N"&amp;"OT(REGEXMATCH(C5339, ""薪資""))), ""內部轉帳(忽略)"",
  REGEXMATCH(C5339, ""薪資""), ""薪資變動(不計入)"",
  REGEXMATCH(C5339, ""押金""), ""押金往來"",
  AND(E5339&lt;&gt;"""", F5339=""""), ""真實支出"",
  AND(E5339="""", F5339&lt;&gt;""""), ""真實收入"",
  TRUE, ""其他""
)"),"其他")</f>
        <v>其他</v>
      </c>
      <c r="K5339" s="270" t="str">
        <f t="shared" si="2"/>
        <v/>
      </c>
      <c r="L5339">
        <f t="shared" si="3"/>
        <v>0</v>
      </c>
    </row>
    <row r="5340">
      <c r="A5340" s="107"/>
      <c r="D5340" s="270"/>
      <c r="H5340" s="106" t="str">
        <f t="shared" si="1"/>
        <v/>
      </c>
      <c r="I5340" s="271" t="str">
        <f>IFERROR(__xludf.DUMMYFUNCTION("""COMPUTED_VALUE"""),"")</f>
        <v/>
      </c>
      <c r="J5340" t="str">
        <f>IFERROR(__xludf.DUMMYFUNCTION("IFS(
  AND(REGEXMATCH(E5340, ""台銀籌備帳戶|玉山帳戶""), REGEXMATCH(C5340, ""薪資"")), ""分潤支出"",
  AND(REGEXMATCH(E5340, ""Ben帳戶|Elsa帳戶|Ben代墊|Ariel代墊|中信銀行共用""), REGEXMATCH(F5340, ""Ben帳戶|Elsa帳戶|Ben代墊|Ariel代墊|中信銀行共用"")), ""內部轉帳(忽略)"",
  AND(E5340&lt;&gt;"""", F5340&lt;&gt;"""", N"&amp;"OT(REGEXMATCH(C5340, ""薪資""))), ""內部轉帳(忽略)"",
  REGEXMATCH(C5340, ""薪資""), ""薪資變動(不計入)"",
  REGEXMATCH(C5340, ""押金""), ""押金往來"",
  AND(E5340&lt;&gt;"""", F5340=""""), ""真實支出"",
  AND(E5340="""", F5340&lt;&gt;""""), ""真實收入"",
  TRUE, ""其他""
)"),"其他")</f>
        <v>其他</v>
      </c>
      <c r="K5340" s="270" t="str">
        <f t="shared" si="2"/>
        <v/>
      </c>
      <c r="L5340">
        <f t="shared" si="3"/>
        <v>0</v>
      </c>
    </row>
    <row r="5341">
      <c r="A5341" s="107"/>
      <c r="D5341" s="270"/>
      <c r="H5341" s="106" t="str">
        <f t="shared" si="1"/>
        <v/>
      </c>
      <c r="I5341" s="271" t="str">
        <f>IFERROR(__xludf.DUMMYFUNCTION("""COMPUTED_VALUE"""),"")</f>
        <v/>
      </c>
      <c r="J5341" t="str">
        <f>IFERROR(__xludf.DUMMYFUNCTION("IFS(
  AND(REGEXMATCH(E5341, ""台銀籌備帳戶|玉山帳戶""), REGEXMATCH(C5341, ""薪資"")), ""分潤支出"",
  AND(REGEXMATCH(E5341, ""Ben帳戶|Elsa帳戶|Ben代墊|Ariel代墊|中信銀行共用""), REGEXMATCH(F5341, ""Ben帳戶|Elsa帳戶|Ben代墊|Ariel代墊|中信銀行共用"")), ""內部轉帳(忽略)"",
  AND(E5341&lt;&gt;"""", F5341&lt;&gt;"""", N"&amp;"OT(REGEXMATCH(C5341, ""薪資""))), ""內部轉帳(忽略)"",
  REGEXMATCH(C5341, ""薪資""), ""薪資變動(不計入)"",
  REGEXMATCH(C5341, ""押金""), ""押金往來"",
  AND(E5341&lt;&gt;"""", F5341=""""), ""真實支出"",
  AND(E5341="""", F5341&lt;&gt;""""), ""真實收入"",
  TRUE, ""其他""
)"),"其他")</f>
        <v>其他</v>
      </c>
      <c r="K5341" s="270" t="str">
        <f t="shared" si="2"/>
        <v/>
      </c>
      <c r="L5341">
        <f t="shared" si="3"/>
        <v>0</v>
      </c>
    </row>
    <row r="5342">
      <c r="A5342" s="107"/>
      <c r="D5342" s="270"/>
      <c r="H5342" s="106" t="str">
        <f t="shared" si="1"/>
        <v/>
      </c>
      <c r="I5342" s="271" t="str">
        <f>IFERROR(__xludf.DUMMYFUNCTION("""COMPUTED_VALUE"""),"")</f>
        <v/>
      </c>
      <c r="J5342" t="str">
        <f>IFERROR(__xludf.DUMMYFUNCTION("IFS(
  AND(REGEXMATCH(E5342, ""台銀籌備帳戶|玉山帳戶""), REGEXMATCH(C5342, ""薪資"")), ""分潤支出"",
  AND(REGEXMATCH(E5342, ""Ben帳戶|Elsa帳戶|Ben代墊|Ariel代墊|中信銀行共用""), REGEXMATCH(F5342, ""Ben帳戶|Elsa帳戶|Ben代墊|Ariel代墊|中信銀行共用"")), ""內部轉帳(忽略)"",
  AND(E5342&lt;&gt;"""", F5342&lt;&gt;"""", N"&amp;"OT(REGEXMATCH(C5342, ""薪資""))), ""內部轉帳(忽略)"",
  REGEXMATCH(C5342, ""薪資""), ""薪資變動(不計入)"",
  REGEXMATCH(C5342, ""押金""), ""押金往來"",
  AND(E5342&lt;&gt;"""", F5342=""""), ""真實支出"",
  AND(E5342="""", F5342&lt;&gt;""""), ""真實收入"",
  TRUE, ""其他""
)"),"其他")</f>
        <v>其他</v>
      </c>
      <c r="K5342" s="270" t="str">
        <f t="shared" si="2"/>
        <v/>
      </c>
      <c r="L5342">
        <f t="shared" si="3"/>
        <v>0</v>
      </c>
    </row>
    <row r="5343">
      <c r="A5343" s="107"/>
      <c r="D5343" s="270"/>
      <c r="H5343" s="106" t="str">
        <f t="shared" si="1"/>
        <v/>
      </c>
      <c r="I5343" s="271" t="str">
        <f>IFERROR(__xludf.DUMMYFUNCTION("""COMPUTED_VALUE"""),"")</f>
        <v/>
      </c>
      <c r="J5343" t="str">
        <f>IFERROR(__xludf.DUMMYFUNCTION("IFS(
  AND(REGEXMATCH(E5343, ""台銀籌備帳戶|玉山帳戶""), REGEXMATCH(C5343, ""薪資"")), ""分潤支出"",
  AND(REGEXMATCH(E5343, ""Ben帳戶|Elsa帳戶|Ben代墊|Ariel代墊|中信銀行共用""), REGEXMATCH(F5343, ""Ben帳戶|Elsa帳戶|Ben代墊|Ariel代墊|中信銀行共用"")), ""內部轉帳(忽略)"",
  AND(E5343&lt;&gt;"""", F5343&lt;&gt;"""", N"&amp;"OT(REGEXMATCH(C5343, ""薪資""))), ""內部轉帳(忽略)"",
  REGEXMATCH(C5343, ""薪資""), ""薪資變動(不計入)"",
  REGEXMATCH(C5343, ""押金""), ""押金往來"",
  AND(E5343&lt;&gt;"""", F5343=""""), ""真實支出"",
  AND(E5343="""", F5343&lt;&gt;""""), ""真實收入"",
  TRUE, ""其他""
)"),"其他")</f>
        <v>其他</v>
      </c>
      <c r="K5343" s="270" t="str">
        <f t="shared" si="2"/>
        <v/>
      </c>
      <c r="L5343">
        <f t="shared" si="3"/>
        <v>0</v>
      </c>
    </row>
    <row r="5344">
      <c r="A5344" s="107"/>
      <c r="D5344" s="270"/>
      <c r="H5344" s="106" t="str">
        <f t="shared" si="1"/>
        <v/>
      </c>
      <c r="I5344" s="271" t="str">
        <f>IFERROR(__xludf.DUMMYFUNCTION("""COMPUTED_VALUE"""),"")</f>
        <v/>
      </c>
      <c r="J5344" t="str">
        <f>IFERROR(__xludf.DUMMYFUNCTION("IFS(
  AND(REGEXMATCH(E5344, ""台銀籌備帳戶|玉山帳戶""), REGEXMATCH(C5344, ""薪資"")), ""分潤支出"",
  AND(REGEXMATCH(E5344, ""Ben帳戶|Elsa帳戶|Ben代墊|Ariel代墊|中信銀行共用""), REGEXMATCH(F5344, ""Ben帳戶|Elsa帳戶|Ben代墊|Ariel代墊|中信銀行共用"")), ""內部轉帳(忽略)"",
  AND(E5344&lt;&gt;"""", F5344&lt;&gt;"""", N"&amp;"OT(REGEXMATCH(C5344, ""薪資""))), ""內部轉帳(忽略)"",
  REGEXMATCH(C5344, ""薪資""), ""薪資變動(不計入)"",
  REGEXMATCH(C5344, ""押金""), ""押金往來"",
  AND(E5344&lt;&gt;"""", F5344=""""), ""真實支出"",
  AND(E5344="""", F5344&lt;&gt;""""), ""真實收入"",
  TRUE, ""其他""
)"),"其他")</f>
        <v>其他</v>
      </c>
      <c r="K5344" s="270" t="str">
        <f t="shared" si="2"/>
        <v/>
      </c>
      <c r="L5344">
        <f t="shared" si="3"/>
        <v>0</v>
      </c>
    </row>
    <row r="5345">
      <c r="A5345" s="107"/>
      <c r="D5345" s="270"/>
      <c r="H5345" s="106" t="str">
        <f t="shared" si="1"/>
        <v/>
      </c>
      <c r="I5345" s="271" t="str">
        <f>IFERROR(__xludf.DUMMYFUNCTION("""COMPUTED_VALUE"""),"")</f>
        <v/>
      </c>
      <c r="J5345" t="str">
        <f>IFERROR(__xludf.DUMMYFUNCTION("IFS(
  AND(REGEXMATCH(E5345, ""台銀籌備帳戶|玉山帳戶""), REGEXMATCH(C5345, ""薪資"")), ""分潤支出"",
  AND(REGEXMATCH(E5345, ""Ben帳戶|Elsa帳戶|Ben代墊|Ariel代墊|中信銀行共用""), REGEXMATCH(F5345, ""Ben帳戶|Elsa帳戶|Ben代墊|Ariel代墊|中信銀行共用"")), ""內部轉帳(忽略)"",
  AND(E5345&lt;&gt;"""", F5345&lt;&gt;"""", N"&amp;"OT(REGEXMATCH(C5345, ""薪資""))), ""內部轉帳(忽略)"",
  REGEXMATCH(C5345, ""薪資""), ""薪資變動(不計入)"",
  REGEXMATCH(C5345, ""押金""), ""押金往來"",
  AND(E5345&lt;&gt;"""", F5345=""""), ""真實支出"",
  AND(E5345="""", F5345&lt;&gt;""""), ""真實收入"",
  TRUE, ""其他""
)"),"其他")</f>
        <v>其他</v>
      </c>
      <c r="K5345" s="270" t="str">
        <f t="shared" si="2"/>
        <v/>
      </c>
      <c r="L5345">
        <f t="shared" si="3"/>
        <v>0</v>
      </c>
    </row>
    <row r="5346">
      <c r="A5346" s="107"/>
      <c r="D5346" s="270"/>
      <c r="H5346" s="106" t="str">
        <f t="shared" si="1"/>
        <v/>
      </c>
      <c r="I5346" s="271" t="str">
        <f>IFERROR(__xludf.DUMMYFUNCTION("""COMPUTED_VALUE"""),"")</f>
        <v/>
      </c>
      <c r="J5346" t="str">
        <f>IFERROR(__xludf.DUMMYFUNCTION("IFS(
  AND(REGEXMATCH(E5346, ""台銀籌備帳戶|玉山帳戶""), REGEXMATCH(C5346, ""薪資"")), ""分潤支出"",
  AND(REGEXMATCH(E5346, ""Ben帳戶|Elsa帳戶|Ben代墊|Ariel代墊|中信銀行共用""), REGEXMATCH(F5346, ""Ben帳戶|Elsa帳戶|Ben代墊|Ariel代墊|中信銀行共用"")), ""內部轉帳(忽略)"",
  AND(E5346&lt;&gt;"""", F5346&lt;&gt;"""", N"&amp;"OT(REGEXMATCH(C5346, ""薪資""))), ""內部轉帳(忽略)"",
  REGEXMATCH(C5346, ""薪資""), ""薪資變動(不計入)"",
  REGEXMATCH(C5346, ""押金""), ""押金往來"",
  AND(E5346&lt;&gt;"""", F5346=""""), ""真實支出"",
  AND(E5346="""", F5346&lt;&gt;""""), ""真實收入"",
  TRUE, ""其他""
)"),"其他")</f>
        <v>其他</v>
      </c>
      <c r="K5346" s="270" t="str">
        <f t="shared" si="2"/>
        <v/>
      </c>
      <c r="L5346">
        <f t="shared" si="3"/>
        <v>0</v>
      </c>
    </row>
    <row r="5347">
      <c r="A5347" s="107"/>
      <c r="D5347" s="270"/>
      <c r="H5347" s="106" t="str">
        <f t="shared" si="1"/>
        <v/>
      </c>
      <c r="I5347" s="271" t="str">
        <f>IFERROR(__xludf.DUMMYFUNCTION("""COMPUTED_VALUE"""),"")</f>
        <v/>
      </c>
      <c r="J5347" t="str">
        <f>IFERROR(__xludf.DUMMYFUNCTION("IFS(
  AND(REGEXMATCH(E5347, ""台銀籌備帳戶|玉山帳戶""), REGEXMATCH(C5347, ""薪資"")), ""分潤支出"",
  AND(REGEXMATCH(E5347, ""Ben帳戶|Elsa帳戶|Ben代墊|Ariel代墊|中信銀行共用""), REGEXMATCH(F5347, ""Ben帳戶|Elsa帳戶|Ben代墊|Ariel代墊|中信銀行共用"")), ""內部轉帳(忽略)"",
  AND(E5347&lt;&gt;"""", F5347&lt;&gt;"""", N"&amp;"OT(REGEXMATCH(C5347, ""薪資""))), ""內部轉帳(忽略)"",
  REGEXMATCH(C5347, ""薪資""), ""薪資變動(不計入)"",
  REGEXMATCH(C5347, ""押金""), ""押金往來"",
  AND(E5347&lt;&gt;"""", F5347=""""), ""真實支出"",
  AND(E5347="""", F5347&lt;&gt;""""), ""真實收入"",
  TRUE, ""其他""
)"),"其他")</f>
        <v>其他</v>
      </c>
      <c r="K5347" s="270" t="str">
        <f t="shared" si="2"/>
        <v/>
      </c>
      <c r="L5347">
        <f t="shared" si="3"/>
        <v>0</v>
      </c>
    </row>
    <row r="5348">
      <c r="A5348" s="107"/>
      <c r="D5348" s="270"/>
      <c r="H5348" s="106" t="str">
        <f t="shared" si="1"/>
        <v/>
      </c>
      <c r="I5348" s="271" t="str">
        <f>IFERROR(__xludf.DUMMYFUNCTION("""COMPUTED_VALUE"""),"")</f>
        <v/>
      </c>
      <c r="J5348" t="str">
        <f>IFERROR(__xludf.DUMMYFUNCTION("IFS(
  AND(REGEXMATCH(E5348, ""台銀籌備帳戶|玉山帳戶""), REGEXMATCH(C5348, ""薪資"")), ""分潤支出"",
  AND(REGEXMATCH(E5348, ""Ben帳戶|Elsa帳戶|Ben代墊|Ariel代墊|中信銀行共用""), REGEXMATCH(F5348, ""Ben帳戶|Elsa帳戶|Ben代墊|Ariel代墊|中信銀行共用"")), ""內部轉帳(忽略)"",
  AND(E5348&lt;&gt;"""", F5348&lt;&gt;"""", N"&amp;"OT(REGEXMATCH(C5348, ""薪資""))), ""內部轉帳(忽略)"",
  REGEXMATCH(C5348, ""薪資""), ""薪資變動(不計入)"",
  REGEXMATCH(C5348, ""押金""), ""押金往來"",
  AND(E5348&lt;&gt;"""", F5348=""""), ""真實支出"",
  AND(E5348="""", F5348&lt;&gt;""""), ""真實收入"",
  TRUE, ""其他""
)"),"其他")</f>
        <v>其他</v>
      </c>
      <c r="K5348" s="270" t="str">
        <f t="shared" si="2"/>
        <v/>
      </c>
      <c r="L5348">
        <f t="shared" si="3"/>
        <v>0</v>
      </c>
    </row>
    <row r="5349">
      <c r="A5349" s="107"/>
      <c r="D5349" s="270"/>
      <c r="H5349" s="106" t="str">
        <f t="shared" si="1"/>
        <v/>
      </c>
      <c r="I5349" s="271" t="str">
        <f>IFERROR(__xludf.DUMMYFUNCTION("""COMPUTED_VALUE"""),"")</f>
        <v/>
      </c>
      <c r="J5349" t="str">
        <f>IFERROR(__xludf.DUMMYFUNCTION("IFS(
  AND(REGEXMATCH(E5349, ""台銀籌備帳戶|玉山帳戶""), REGEXMATCH(C5349, ""薪資"")), ""分潤支出"",
  AND(REGEXMATCH(E5349, ""Ben帳戶|Elsa帳戶|Ben代墊|Ariel代墊|中信銀行共用""), REGEXMATCH(F5349, ""Ben帳戶|Elsa帳戶|Ben代墊|Ariel代墊|中信銀行共用"")), ""內部轉帳(忽略)"",
  AND(E5349&lt;&gt;"""", F5349&lt;&gt;"""", N"&amp;"OT(REGEXMATCH(C5349, ""薪資""))), ""內部轉帳(忽略)"",
  REGEXMATCH(C5349, ""薪資""), ""薪資變動(不計入)"",
  REGEXMATCH(C5349, ""押金""), ""押金往來"",
  AND(E5349&lt;&gt;"""", F5349=""""), ""真實支出"",
  AND(E5349="""", F5349&lt;&gt;""""), ""真實收入"",
  TRUE, ""其他""
)"),"其他")</f>
        <v>其他</v>
      </c>
      <c r="K5349" s="270" t="str">
        <f t="shared" si="2"/>
        <v/>
      </c>
      <c r="L5349">
        <f t="shared" si="3"/>
        <v>0</v>
      </c>
    </row>
    <row r="5350">
      <c r="A5350" s="107"/>
      <c r="D5350" s="270"/>
      <c r="H5350" s="106" t="str">
        <f t="shared" si="1"/>
        <v/>
      </c>
      <c r="I5350" s="271" t="str">
        <f>IFERROR(__xludf.DUMMYFUNCTION("""COMPUTED_VALUE"""),"")</f>
        <v/>
      </c>
      <c r="J5350" t="str">
        <f>IFERROR(__xludf.DUMMYFUNCTION("IFS(
  AND(REGEXMATCH(E5350, ""台銀籌備帳戶|玉山帳戶""), REGEXMATCH(C5350, ""薪資"")), ""分潤支出"",
  AND(REGEXMATCH(E5350, ""Ben帳戶|Elsa帳戶|Ben代墊|Ariel代墊|中信銀行共用""), REGEXMATCH(F5350, ""Ben帳戶|Elsa帳戶|Ben代墊|Ariel代墊|中信銀行共用"")), ""內部轉帳(忽略)"",
  AND(E5350&lt;&gt;"""", F5350&lt;&gt;"""", N"&amp;"OT(REGEXMATCH(C5350, ""薪資""))), ""內部轉帳(忽略)"",
  REGEXMATCH(C5350, ""薪資""), ""薪資變動(不計入)"",
  REGEXMATCH(C5350, ""押金""), ""押金往來"",
  AND(E5350&lt;&gt;"""", F5350=""""), ""真實支出"",
  AND(E5350="""", F5350&lt;&gt;""""), ""真實收入"",
  TRUE, ""其他""
)"),"其他")</f>
        <v>其他</v>
      </c>
      <c r="K5350" s="270" t="str">
        <f t="shared" si="2"/>
        <v/>
      </c>
      <c r="L5350">
        <f t="shared" si="3"/>
        <v>0</v>
      </c>
    </row>
    <row r="5351">
      <c r="A5351" s="107"/>
      <c r="D5351" s="270"/>
      <c r="H5351" s="106" t="str">
        <f t="shared" si="1"/>
        <v/>
      </c>
      <c r="I5351" s="271" t="str">
        <f>IFERROR(__xludf.DUMMYFUNCTION("""COMPUTED_VALUE"""),"")</f>
        <v/>
      </c>
      <c r="J5351" t="str">
        <f>IFERROR(__xludf.DUMMYFUNCTION("IFS(
  AND(REGEXMATCH(E5351, ""台銀籌備帳戶|玉山帳戶""), REGEXMATCH(C5351, ""薪資"")), ""分潤支出"",
  AND(REGEXMATCH(E5351, ""Ben帳戶|Elsa帳戶|Ben代墊|Ariel代墊|中信銀行共用""), REGEXMATCH(F5351, ""Ben帳戶|Elsa帳戶|Ben代墊|Ariel代墊|中信銀行共用"")), ""內部轉帳(忽略)"",
  AND(E5351&lt;&gt;"""", F5351&lt;&gt;"""", N"&amp;"OT(REGEXMATCH(C5351, ""薪資""))), ""內部轉帳(忽略)"",
  REGEXMATCH(C5351, ""薪資""), ""薪資變動(不計入)"",
  REGEXMATCH(C5351, ""押金""), ""押金往來"",
  AND(E5351&lt;&gt;"""", F5351=""""), ""真實支出"",
  AND(E5351="""", F5351&lt;&gt;""""), ""真實收入"",
  TRUE, ""其他""
)"),"其他")</f>
        <v>其他</v>
      </c>
      <c r="K5351" s="270" t="str">
        <f t="shared" si="2"/>
        <v/>
      </c>
      <c r="L5351">
        <f t="shared" si="3"/>
        <v>0</v>
      </c>
    </row>
    <row r="5352">
      <c r="A5352" s="107"/>
      <c r="D5352" s="270"/>
      <c r="H5352" s="106" t="str">
        <f t="shared" si="1"/>
        <v/>
      </c>
      <c r="I5352" s="271" t="str">
        <f>IFERROR(__xludf.DUMMYFUNCTION("""COMPUTED_VALUE"""),"")</f>
        <v/>
      </c>
      <c r="J5352" t="str">
        <f>IFERROR(__xludf.DUMMYFUNCTION("IFS(
  AND(REGEXMATCH(E5352, ""台銀籌備帳戶|玉山帳戶""), REGEXMATCH(C5352, ""薪資"")), ""分潤支出"",
  AND(REGEXMATCH(E5352, ""Ben帳戶|Elsa帳戶|Ben代墊|Ariel代墊|中信銀行共用""), REGEXMATCH(F5352, ""Ben帳戶|Elsa帳戶|Ben代墊|Ariel代墊|中信銀行共用"")), ""內部轉帳(忽略)"",
  AND(E5352&lt;&gt;"""", F5352&lt;&gt;"""", N"&amp;"OT(REGEXMATCH(C5352, ""薪資""))), ""內部轉帳(忽略)"",
  REGEXMATCH(C5352, ""薪資""), ""薪資變動(不計入)"",
  REGEXMATCH(C5352, ""押金""), ""押金往來"",
  AND(E5352&lt;&gt;"""", F5352=""""), ""真實支出"",
  AND(E5352="""", F5352&lt;&gt;""""), ""真實收入"",
  TRUE, ""其他""
)"),"其他")</f>
        <v>其他</v>
      </c>
      <c r="K5352" s="270" t="str">
        <f t="shared" si="2"/>
        <v/>
      </c>
      <c r="L5352">
        <f t="shared" si="3"/>
        <v>0</v>
      </c>
    </row>
    <row r="5353">
      <c r="A5353" s="107"/>
      <c r="D5353" s="270"/>
      <c r="H5353" s="106" t="str">
        <f t="shared" si="1"/>
        <v/>
      </c>
      <c r="I5353" s="271" t="str">
        <f>IFERROR(__xludf.DUMMYFUNCTION("""COMPUTED_VALUE"""),"")</f>
        <v/>
      </c>
      <c r="J5353" t="str">
        <f>IFERROR(__xludf.DUMMYFUNCTION("IFS(
  AND(REGEXMATCH(E5353, ""台銀籌備帳戶|玉山帳戶""), REGEXMATCH(C5353, ""薪資"")), ""分潤支出"",
  AND(REGEXMATCH(E5353, ""Ben帳戶|Elsa帳戶|Ben代墊|Ariel代墊|中信銀行共用""), REGEXMATCH(F5353, ""Ben帳戶|Elsa帳戶|Ben代墊|Ariel代墊|中信銀行共用"")), ""內部轉帳(忽略)"",
  AND(E5353&lt;&gt;"""", F5353&lt;&gt;"""", N"&amp;"OT(REGEXMATCH(C5353, ""薪資""))), ""內部轉帳(忽略)"",
  REGEXMATCH(C5353, ""薪資""), ""薪資變動(不計入)"",
  REGEXMATCH(C5353, ""押金""), ""押金往來"",
  AND(E5353&lt;&gt;"""", F5353=""""), ""真實支出"",
  AND(E5353="""", F5353&lt;&gt;""""), ""真實收入"",
  TRUE, ""其他""
)"),"其他")</f>
        <v>其他</v>
      </c>
      <c r="K5353" s="270" t="str">
        <f t="shared" si="2"/>
        <v/>
      </c>
      <c r="L5353">
        <f t="shared" si="3"/>
        <v>0</v>
      </c>
    </row>
    <row r="5354">
      <c r="A5354" s="107"/>
      <c r="D5354" s="270"/>
      <c r="H5354" s="106" t="str">
        <f t="shared" si="1"/>
        <v/>
      </c>
      <c r="I5354" s="271" t="str">
        <f>IFERROR(__xludf.DUMMYFUNCTION("""COMPUTED_VALUE"""),"")</f>
        <v/>
      </c>
      <c r="J5354" t="str">
        <f>IFERROR(__xludf.DUMMYFUNCTION("IFS(
  AND(REGEXMATCH(E5354, ""台銀籌備帳戶|玉山帳戶""), REGEXMATCH(C5354, ""薪資"")), ""分潤支出"",
  AND(REGEXMATCH(E5354, ""Ben帳戶|Elsa帳戶|Ben代墊|Ariel代墊|中信銀行共用""), REGEXMATCH(F5354, ""Ben帳戶|Elsa帳戶|Ben代墊|Ariel代墊|中信銀行共用"")), ""內部轉帳(忽略)"",
  AND(E5354&lt;&gt;"""", F5354&lt;&gt;"""", N"&amp;"OT(REGEXMATCH(C5354, ""薪資""))), ""內部轉帳(忽略)"",
  REGEXMATCH(C5354, ""薪資""), ""薪資變動(不計入)"",
  REGEXMATCH(C5354, ""押金""), ""押金往來"",
  AND(E5354&lt;&gt;"""", F5354=""""), ""真實支出"",
  AND(E5354="""", F5354&lt;&gt;""""), ""真實收入"",
  TRUE, ""其他""
)"),"其他")</f>
        <v>其他</v>
      </c>
      <c r="K5354" s="270" t="str">
        <f t="shared" si="2"/>
        <v/>
      </c>
      <c r="L5354">
        <f t="shared" si="3"/>
        <v>0</v>
      </c>
    </row>
    <row r="5355">
      <c r="A5355" s="107"/>
      <c r="D5355" s="270"/>
      <c r="H5355" s="106" t="str">
        <f t="shared" si="1"/>
        <v/>
      </c>
      <c r="I5355" s="271" t="str">
        <f>IFERROR(__xludf.DUMMYFUNCTION("""COMPUTED_VALUE"""),"")</f>
        <v/>
      </c>
      <c r="J5355" t="str">
        <f>IFERROR(__xludf.DUMMYFUNCTION("IFS(
  AND(REGEXMATCH(E5355, ""台銀籌備帳戶|玉山帳戶""), REGEXMATCH(C5355, ""薪資"")), ""分潤支出"",
  AND(REGEXMATCH(E5355, ""Ben帳戶|Elsa帳戶|Ben代墊|Ariel代墊|中信銀行共用""), REGEXMATCH(F5355, ""Ben帳戶|Elsa帳戶|Ben代墊|Ariel代墊|中信銀行共用"")), ""內部轉帳(忽略)"",
  AND(E5355&lt;&gt;"""", F5355&lt;&gt;"""", N"&amp;"OT(REGEXMATCH(C5355, ""薪資""))), ""內部轉帳(忽略)"",
  REGEXMATCH(C5355, ""薪資""), ""薪資變動(不計入)"",
  REGEXMATCH(C5355, ""押金""), ""押金往來"",
  AND(E5355&lt;&gt;"""", F5355=""""), ""真實支出"",
  AND(E5355="""", F5355&lt;&gt;""""), ""真實收入"",
  TRUE, ""其他""
)"),"其他")</f>
        <v>其他</v>
      </c>
      <c r="K5355" s="270" t="str">
        <f t="shared" si="2"/>
        <v/>
      </c>
      <c r="L5355">
        <f t="shared" si="3"/>
        <v>0</v>
      </c>
    </row>
    <row r="5356">
      <c r="A5356" s="107"/>
      <c r="D5356" s="270"/>
      <c r="H5356" s="106" t="str">
        <f t="shared" si="1"/>
        <v/>
      </c>
      <c r="I5356" s="271" t="str">
        <f>IFERROR(__xludf.DUMMYFUNCTION("""COMPUTED_VALUE"""),"")</f>
        <v/>
      </c>
      <c r="J5356" t="str">
        <f>IFERROR(__xludf.DUMMYFUNCTION("IFS(
  AND(REGEXMATCH(E5356, ""台銀籌備帳戶|玉山帳戶""), REGEXMATCH(C5356, ""薪資"")), ""分潤支出"",
  AND(REGEXMATCH(E5356, ""Ben帳戶|Elsa帳戶|Ben代墊|Ariel代墊|中信銀行共用""), REGEXMATCH(F5356, ""Ben帳戶|Elsa帳戶|Ben代墊|Ariel代墊|中信銀行共用"")), ""內部轉帳(忽略)"",
  AND(E5356&lt;&gt;"""", F5356&lt;&gt;"""", N"&amp;"OT(REGEXMATCH(C5356, ""薪資""))), ""內部轉帳(忽略)"",
  REGEXMATCH(C5356, ""薪資""), ""薪資變動(不計入)"",
  REGEXMATCH(C5356, ""押金""), ""押金往來"",
  AND(E5356&lt;&gt;"""", F5356=""""), ""真實支出"",
  AND(E5356="""", F5356&lt;&gt;""""), ""真實收入"",
  TRUE, ""其他""
)"),"其他")</f>
        <v>其他</v>
      </c>
      <c r="K5356" s="270" t="str">
        <f t="shared" si="2"/>
        <v/>
      </c>
      <c r="L5356">
        <f t="shared" si="3"/>
        <v>0</v>
      </c>
    </row>
    <row r="5357">
      <c r="A5357" s="107"/>
      <c r="D5357" s="270"/>
      <c r="H5357" s="106" t="str">
        <f t="shared" si="1"/>
        <v/>
      </c>
      <c r="I5357" s="271" t="str">
        <f>IFERROR(__xludf.DUMMYFUNCTION("""COMPUTED_VALUE"""),"")</f>
        <v/>
      </c>
      <c r="J5357" t="str">
        <f>IFERROR(__xludf.DUMMYFUNCTION("IFS(
  AND(REGEXMATCH(E5357, ""台銀籌備帳戶|玉山帳戶""), REGEXMATCH(C5357, ""薪資"")), ""分潤支出"",
  AND(REGEXMATCH(E5357, ""Ben帳戶|Elsa帳戶|Ben代墊|Ariel代墊|中信銀行共用""), REGEXMATCH(F5357, ""Ben帳戶|Elsa帳戶|Ben代墊|Ariel代墊|中信銀行共用"")), ""內部轉帳(忽略)"",
  AND(E5357&lt;&gt;"""", F5357&lt;&gt;"""", N"&amp;"OT(REGEXMATCH(C5357, ""薪資""))), ""內部轉帳(忽略)"",
  REGEXMATCH(C5357, ""薪資""), ""薪資變動(不計入)"",
  REGEXMATCH(C5357, ""押金""), ""押金往來"",
  AND(E5357&lt;&gt;"""", F5357=""""), ""真實支出"",
  AND(E5357="""", F5357&lt;&gt;""""), ""真實收入"",
  TRUE, ""其他""
)"),"其他")</f>
        <v>其他</v>
      </c>
      <c r="K5357" s="270" t="str">
        <f t="shared" si="2"/>
        <v/>
      </c>
      <c r="L5357">
        <f t="shared" si="3"/>
        <v>0</v>
      </c>
    </row>
    <row r="5358">
      <c r="A5358" s="107"/>
      <c r="D5358" s="270"/>
      <c r="H5358" s="106" t="str">
        <f t="shared" si="1"/>
        <v/>
      </c>
      <c r="I5358" s="271" t="str">
        <f>IFERROR(__xludf.DUMMYFUNCTION("""COMPUTED_VALUE"""),"")</f>
        <v/>
      </c>
      <c r="J5358" t="str">
        <f>IFERROR(__xludf.DUMMYFUNCTION("IFS(
  AND(REGEXMATCH(E5358, ""台銀籌備帳戶|玉山帳戶""), REGEXMATCH(C5358, ""薪資"")), ""分潤支出"",
  AND(REGEXMATCH(E5358, ""Ben帳戶|Elsa帳戶|Ben代墊|Ariel代墊|中信銀行共用""), REGEXMATCH(F5358, ""Ben帳戶|Elsa帳戶|Ben代墊|Ariel代墊|中信銀行共用"")), ""內部轉帳(忽略)"",
  AND(E5358&lt;&gt;"""", F5358&lt;&gt;"""", N"&amp;"OT(REGEXMATCH(C5358, ""薪資""))), ""內部轉帳(忽略)"",
  REGEXMATCH(C5358, ""薪資""), ""薪資變動(不計入)"",
  REGEXMATCH(C5358, ""押金""), ""押金往來"",
  AND(E5358&lt;&gt;"""", F5358=""""), ""真實支出"",
  AND(E5358="""", F5358&lt;&gt;""""), ""真實收入"",
  TRUE, ""其他""
)"),"其他")</f>
        <v>其他</v>
      </c>
      <c r="K5358" s="270" t="str">
        <f t="shared" si="2"/>
        <v/>
      </c>
      <c r="L5358">
        <f t="shared" si="3"/>
        <v>0</v>
      </c>
    </row>
    <row r="5359">
      <c r="A5359" s="107"/>
      <c r="D5359" s="270"/>
      <c r="H5359" s="106" t="str">
        <f t="shared" si="1"/>
        <v/>
      </c>
      <c r="I5359" s="271" t="str">
        <f>IFERROR(__xludf.DUMMYFUNCTION("""COMPUTED_VALUE"""),"")</f>
        <v/>
      </c>
      <c r="J5359" t="str">
        <f>IFERROR(__xludf.DUMMYFUNCTION("IFS(
  AND(REGEXMATCH(E5359, ""台銀籌備帳戶|玉山帳戶""), REGEXMATCH(C5359, ""薪資"")), ""分潤支出"",
  AND(REGEXMATCH(E5359, ""Ben帳戶|Elsa帳戶|Ben代墊|Ariel代墊|中信銀行共用""), REGEXMATCH(F5359, ""Ben帳戶|Elsa帳戶|Ben代墊|Ariel代墊|中信銀行共用"")), ""內部轉帳(忽略)"",
  AND(E5359&lt;&gt;"""", F5359&lt;&gt;"""", N"&amp;"OT(REGEXMATCH(C5359, ""薪資""))), ""內部轉帳(忽略)"",
  REGEXMATCH(C5359, ""薪資""), ""薪資變動(不計入)"",
  REGEXMATCH(C5359, ""押金""), ""押金往來"",
  AND(E5359&lt;&gt;"""", F5359=""""), ""真實支出"",
  AND(E5359="""", F5359&lt;&gt;""""), ""真實收入"",
  TRUE, ""其他""
)"),"其他")</f>
        <v>其他</v>
      </c>
      <c r="K5359" s="270" t="str">
        <f t="shared" si="2"/>
        <v/>
      </c>
      <c r="L5359">
        <f t="shared" si="3"/>
        <v>0</v>
      </c>
    </row>
    <row r="5360">
      <c r="A5360" s="107"/>
      <c r="D5360" s="270"/>
      <c r="H5360" s="106" t="str">
        <f t="shared" si="1"/>
        <v/>
      </c>
      <c r="I5360" s="271" t="str">
        <f>IFERROR(__xludf.DUMMYFUNCTION("""COMPUTED_VALUE"""),"")</f>
        <v/>
      </c>
      <c r="J5360" t="str">
        <f>IFERROR(__xludf.DUMMYFUNCTION("IFS(
  AND(REGEXMATCH(E5360, ""台銀籌備帳戶|玉山帳戶""), REGEXMATCH(C5360, ""薪資"")), ""分潤支出"",
  AND(REGEXMATCH(E5360, ""Ben帳戶|Elsa帳戶|Ben代墊|Ariel代墊|中信銀行共用""), REGEXMATCH(F5360, ""Ben帳戶|Elsa帳戶|Ben代墊|Ariel代墊|中信銀行共用"")), ""內部轉帳(忽略)"",
  AND(E5360&lt;&gt;"""", F5360&lt;&gt;"""", N"&amp;"OT(REGEXMATCH(C5360, ""薪資""))), ""內部轉帳(忽略)"",
  REGEXMATCH(C5360, ""薪資""), ""薪資變動(不計入)"",
  REGEXMATCH(C5360, ""押金""), ""押金往來"",
  AND(E5360&lt;&gt;"""", F5360=""""), ""真實支出"",
  AND(E5360="""", F5360&lt;&gt;""""), ""真實收入"",
  TRUE, ""其他""
)"),"其他")</f>
        <v>其他</v>
      </c>
      <c r="K5360" s="270" t="str">
        <f t="shared" si="2"/>
        <v/>
      </c>
      <c r="L5360">
        <f t="shared" si="3"/>
        <v>0</v>
      </c>
    </row>
    <row r="5361">
      <c r="A5361" s="107"/>
      <c r="D5361" s="270"/>
      <c r="H5361" s="106" t="str">
        <f t="shared" si="1"/>
        <v/>
      </c>
      <c r="I5361" s="271" t="str">
        <f>IFERROR(__xludf.DUMMYFUNCTION("""COMPUTED_VALUE"""),"")</f>
        <v/>
      </c>
      <c r="J5361" t="str">
        <f>IFERROR(__xludf.DUMMYFUNCTION("IFS(
  AND(REGEXMATCH(E5361, ""台銀籌備帳戶|玉山帳戶""), REGEXMATCH(C5361, ""薪資"")), ""分潤支出"",
  AND(REGEXMATCH(E5361, ""Ben帳戶|Elsa帳戶|Ben代墊|Ariel代墊|中信銀行共用""), REGEXMATCH(F5361, ""Ben帳戶|Elsa帳戶|Ben代墊|Ariel代墊|中信銀行共用"")), ""內部轉帳(忽略)"",
  AND(E5361&lt;&gt;"""", F5361&lt;&gt;"""", N"&amp;"OT(REGEXMATCH(C5361, ""薪資""))), ""內部轉帳(忽略)"",
  REGEXMATCH(C5361, ""薪資""), ""薪資變動(不計入)"",
  REGEXMATCH(C5361, ""押金""), ""押金往來"",
  AND(E5361&lt;&gt;"""", F5361=""""), ""真實支出"",
  AND(E5361="""", F5361&lt;&gt;""""), ""真實收入"",
  TRUE, ""其他""
)"),"其他")</f>
        <v>其他</v>
      </c>
      <c r="K5361" s="270" t="str">
        <f t="shared" si="2"/>
        <v/>
      </c>
      <c r="L5361">
        <f t="shared" si="3"/>
        <v>0</v>
      </c>
    </row>
    <row r="5362">
      <c r="A5362" s="107"/>
      <c r="D5362" s="270"/>
      <c r="H5362" s="106" t="str">
        <f t="shared" si="1"/>
        <v/>
      </c>
      <c r="I5362" s="271" t="str">
        <f>IFERROR(__xludf.DUMMYFUNCTION("""COMPUTED_VALUE"""),"")</f>
        <v/>
      </c>
      <c r="J5362" t="str">
        <f>IFERROR(__xludf.DUMMYFUNCTION("IFS(
  AND(REGEXMATCH(E5362, ""台銀籌備帳戶|玉山帳戶""), REGEXMATCH(C5362, ""薪資"")), ""分潤支出"",
  AND(REGEXMATCH(E5362, ""Ben帳戶|Elsa帳戶|Ben代墊|Ariel代墊|中信銀行共用""), REGEXMATCH(F5362, ""Ben帳戶|Elsa帳戶|Ben代墊|Ariel代墊|中信銀行共用"")), ""內部轉帳(忽略)"",
  AND(E5362&lt;&gt;"""", F5362&lt;&gt;"""", N"&amp;"OT(REGEXMATCH(C5362, ""薪資""))), ""內部轉帳(忽略)"",
  REGEXMATCH(C5362, ""薪資""), ""薪資變動(不計入)"",
  REGEXMATCH(C5362, ""押金""), ""押金往來"",
  AND(E5362&lt;&gt;"""", F5362=""""), ""真實支出"",
  AND(E5362="""", F5362&lt;&gt;""""), ""真實收入"",
  TRUE, ""其他""
)"),"其他")</f>
        <v>其他</v>
      </c>
      <c r="K5362" s="270" t="str">
        <f t="shared" si="2"/>
        <v/>
      </c>
      <c r="L5362">
        <f t="shared" si="3"/>
        <v>0</v>
      </c>
    </row>
    <row r="5363">
      <c r="A5363" s="107"/>
      <c r="D5363" s="270"/>
      <c r="H5363" s="106" t="str">
        <f t="shared" si="1"/>
        <v/>
      </c>
      <c r="I5363" s="271" t="str">
        <f>IFERROR(__xludf.DUMMYFUNCTION("""COMPUTED_VALUE"""),"")</f>
        <v/>
      </c>
      <c r="J5363" t="str">
        <f>IFERROR(__xludf.DUMMYFUNCTION("IFS(
  AND(REGEXMATCH(E5363, ""台銀籌備帳戶|玉山帳戶""), REGEXMATCH(C5363, ""薪資"")), ""分潤支出"",
  AND(REGEXMATCH(E5363, ""Ben帳戶|Elsa帳戶|Ben代墊|Ariel代墊|中信銀行共用""), REGEXMATCH(F5363, ""Ben帳戶|Elsa帳戶|Ben代墊|Ariel代墊|中信銀行共用"")), ""內部轉帳(忽略)"",
  AND(E5363&lt;&gt;"""", F5363&lt;&gt;"""", N"&amp;"OT(REGEXMATCH(C5363, ""薪資""))), ""內部轉帳(忽略)"",
  REGEXMATCH(C5363, ""薪資""), ""薪資變動(不計入)"",
  REGEXMATCH(C5363, ""押金""), ""押金往來"",
  AND(E5363&lt;&gt;"""", F5363=""""), ""真實支出"",
  AND(E5363="""", F5363&lt;&gt;""""), ""真實收入"",
  TRUE, ""其他""
)"),"其他")</f>
        <v>其他</v>
      </c>
      <c r="K5363" s="270" t="str">
        <f t="shared" si="2"/>
        <v/>
      </c>
      <c r="L5363">
        <f t="shared" si="3"/>
        <v>0</v>
      </c>
    </row>
    <row r="5364">
      <c r="A5364" s="107"/>
      <c r="D5364" s="270"/>
      <c r="H5364" s="106" t="str">
        <f t="shared" si="1"/>
        <v/>
      </c>
      <c r="I5364" s="271" t="str">
        <f>IFERROR(__xludf.DUMMYFUNCTION("""COMPUTED_VALUE"""),"")</f>
        <v/>
      </c>
      <c r="J5364" t="str">
        <f>IFERROR(__xludf.DUMMYFUNCTION("IFS(
  AND(REGEXMATCH(E5364, ""台銀籌備帳戶|玉山帳戶""), REGEXMATCH(C5364, ""薪資"")), ""分潤支出"",
  AND(REGEXMATCH(E5364, ""Ben帳戶|Elsa帳戶|Ben代墊|Ariel代墊|中信銀行共用""), REGEXMATCH(F5364, ""Ben帳戶|Elsa帳戶|Ben代墊|Ariel代墊|中信銀行共用"")), ""內部轉帳(忽略)"",
  AND(E5364&lt;&gt;"""", F5364&lt;&gt;"""", N"&amp;"OT(REGEXMATCH(C5364, ""薪資""))), ""內部轉帳(忽略)"",
  REGEXMATCH(C5364, ""薪資""), ""薪資變動(不計入)"",
  REGEXMATCH(C5364, ""押金""), ""押金往來"",
  AND(E5364&lt;&gt;"""", F5364=""""), ""真實支出"",
  AND(E5364="""", F5364&lt;&gt;""""), ""真實收入"",
  TRUE, ""其他""
)"),"其他")</f>
        <v>其他</v>
      </c>
      <c r="K5364" s="270" t="str">
        <f t="shared" si="2"/>
        <v/>
      </c>
      <c r="L5364">
        <f t="shared" si="3"/>
        <v>0</v>
      </c>
    </row>
    <row r="5365">
      <c r="A5365" s="107"/>
      <c r="D5365" s="270"/>
      <c r="H5365" s="106" t="str">
        <f t="shared" si="1"/>
        <v/>
      </c>
      <c r="I5365" s="271" t="str">
        <f>IFERROR(__xludf.DUMMYFUNCTION("""COMPUTED_VALUE"""),"")</f>
        <v/>
      </c>
      <c r="J5365" t="str">
        <f>IFERROR(__xludf.DUMMYFUNCTION("IFS(
  AND(REGEXMATCH(E5365, ""台銀籌備帳戶|玉山帳戶""), REGEXMATCH(C5365, ""薪資"")), ""分潤支出"",
  AND(REGEXMATCH(E5365, ""Ben帳戶|Elsa帳戶|Ben代墊|Ariel代墊|中信銀行共用""), REGEXMATCH(F5365, ""Ben帳戶|Elsa帳戶|Ben代墊|Ariel代墊|中信銀行共用"")), ""內部轉帳(忽略)"",
  AND(E5365&lt;&gt;"""", F5365&lt;&gt;"""", N"&amp;"OT(REGEXMATCH(C5365, ""薪資""))), ""內部轉帳(忽略)"",
  REGEXMATCH(C5365, ""薪資""), ""薪資變動(不計入)"",
  REGEXMATCH(C5365, ""押金""), ""押金往來"",
  AND(E5365&lt;&gt;"""", F5365=""""), ""真實支出"",
  AND(E5365="""", F5365&lt;&gt;""""), ""真實收入"",
  TRUE, ""其他""
)"),"其他")</f>
        <v>其他</v>
      </c>
      <c r="K5365" s="270" t="str">
        <f t="shared" si="2"/>
        <v/>
      </c>
      <c r="L5365">
        <f t="shared" si="3"/>
        <v>0</v>
      </c>
    </row>
    <row r="5366">
      <c r="A5366" s="107"/>
      <c r="D5366" s="270"/>
      <c r="H5366" s="106" t="str">
        <f t="shared" si="1"/>
        <v/>
      </c>
      <c r="I5366" s="271" t="str">
        <f>IFERROR(__xludf.DUMMYFUNCTION("""COMPUTED_VALUE"""),"")</f>
        <v/>
      </c>
      <c r="J5366" t="str">
        <f>IFERROR(__xludf.DUMMYFUNCTION("IFS(
  AND(REGEXMATCH(E5366, ""台銀籌備帳戶|玉山帳戶""), REGEXMATCH(C5366, ""薪資"")), ""分潤支出"",
  AND(REGEXMATCH(E5366, ""Ben帳戶|Elsa帳戶|Ben代墊|Ariel代墊|中信銀行共用""), REGEXMATCH(F5366, ""Ben帳戶|Elsa帳戶|Ben代墊|Ariel代墊|中信銀行共用"")), ""內部轉帳(忽略)"",
  AND(E5366&lt;&gt;"""", F5366&lt;&gt;"""", N"&amp;"OT(REGEXMATCH(C5366, ""薪資""))), ""內部轉帳(忽略)"",
  REGEXMATCH(C5366, ""薪資""), ""薪資變動(不計入)"",
  REGEXMATCH(C5366, ""押金""), ""押金往來"",
  AND(E5366&lt;&gt;"""", F5366=""""), ""真實支出"",
  AND(E5366="""", F5366&lt;&gt;""""), ""真實收入"",
  TRUE, ""其他""
)"),"其他")</f>
        <v>其他</v>
      </c>
      <c r="K5366" s="270" t="str">
        <f t="shared" si="2"/>
        <v/>
      </c>
      <c r="L5366">
        <f t="shared" si="3"/>
        <v>0</v>
      </c>
    </row>
    <row r="5367">
      <c r="A5367" s="107"/>
      <c r="D5367" s="270"/>
      <c r="H5367" s="106" t="str">
        <f t="shared" si="1"/>
        <v/>
      </c>
      <c r="I5367" s="271" t="str">
        <f>IFERROR(__xludf.DUMMYFUNCTION("""COMPUTED_VALUE"""),"")</f>
        <v/>
      </c>
      <c r="J5367" t="str">
        <f>IFERROR(__xludf.DUMMYFUNCTION("IFS(
  AND(REGEXMATCH(E5367, ""台銀籌備帳戶|玉山帳戶""), REGEXMATCH(C5367, ""薪資"")), ""分潤支出"",
  AND(REGEXMATCH(E5367, ""Ben帳戶|Elsa帳戶|Ben代墊|Ariel代墊|中信銀行共用""), REGEXMATCH(F5367, ""Ben帳戶|Elsa帳戶|Ben代墊|Ariel代墊|中信銀行共用"")), ""內部轉帳(忽略)"",
  AND(E5367&lt;&gt;"""", F5367&lt;&gt;"""", N"&amp;"OT(REGEXMATCH(C5367, ""薪資""))), ""內部轉帳(忽略)"",
  REGEXMATCH(C5367, ""薪資""), ""薪資變動(不計入)"",
  REGEXMATCH(C5367, ""押金""), ""押金往來"",
  AND(E5367&lt;&gt;"""", F5367=""""), ""真實支出"",
  AND(E5367="""", F5367&lt;&gt;""""), ""真實收入"",
  TRUE, ""其他""
)"),"其他")</f>
        <v>其他</v>
      </c>
      <c r="K5367" s="270" t="str">
        <f t="shared" si="2"/>
        <v/>
      </c>
      <c r="L5367">
        <f t="shared" si="3"/>
        <v>0</v>
      </c>
    </row>
    <row r="5368">
      <c r="A5368" s="107"/>
      <c r="D5368" s="270"/>
      <c r="H5368" s="106" t="str">
        <f t="shared" si="1"/>
        <v/>
      </c>
      <c r="I5368" s="271" t="str">
        <f>IFERROR(__xludf.DUMMYFUNCTION("""COMPUTED_VALUE"""),"")</f>
        <v/>
      </c>
      <c r="J5368" t="str">
        <f>IFERROR(__xludf.DUMMYFUNCTION("IFS(
  AND(REGEXMATCH(E5368, ""台銀籌備帳戶|玉山帳戶""), REGEXMATCH(C5368, ""薪資"")), ""分潤支出"",
  AND(REGEXMATCH(E5368, ""Ben帳戶|Elsa帳戶|Ben代墊|Ariel代墊|中信銀行共用""), REGEXMATCH(F5368, ""Ben帳戶|Elsa帳戶|Ben代墊|Ariel代墊|中信銀行共用"")), ""內部轉帳(忽略)"",
  AND(E5368&lt;&gt;"""", F5368&lt;&gt;"""", N"&amp;"OT(REGEXMATCH(C5368, ""薪資""))), ""內部轉帳(忽略)"",
  REGEXMATCH(C5368, ""薪資""), ""薪資變動(不計入)"",
  REGEXMATCH(C5368, ""押金""), ""押金往來"",
  AND(E5368&lt;&gt;"""", F5368=""""), ""真實支出"",
  AND(E5368="""", F5368&lt;&gt;""""), ""真實收入"",
  TRUE, ""其他""
)"),"其他")</f>
        <v>其他</v>
      </c>
      <c r="K5368" s="270" t="str">
        <f t="shared" si="2"/>
        <v/>
      </c>
      <c r="L5368">
        <f t="shared" si="3"/>
        <v>0</v>
      </c>
    </row>
    <row r="5369">
      <c r="A5369" s="107"/>
      <c r="D5369" s="270"/>
      <c r="H5369" s="106" t="str">
        <f t="shared" si="1"/>
        <v/>
      </c>
      <c r="I5369" s="271" t="str">
        <f>IFERROR(__xludf.DUMMYFUNCTION("""COMPUTED_VALUE"""),"")</f>
        <v/>
      </c>
      <c r="J5369" t="str">
        <f>IFERROR(__xludf.DUMMYFUNCTION("IFS(
  AND(REGEXMATCH(E5369, ""台銀籌備帳戶|玉山帳戶""), REGEXMATCH(C5369, ""薪資"")), ""分潤支出"",
  AND(REGEXMATCH(E5369, ""Ben帳戶|Elsa帳戶|Ben代墊|Ariel代墊|中信銀行共用""), REGEXMATCH(F5369, ""Ben帳戶|Elsa帳戶|Ben代墊|Ariel代墊|中信銀行共用"")), ""內部轉帳(忽略)"",
  AND(E5369&lt;&gt;"""", F5369&lt;&gt;"""", N"&amp;"OT(REGEXMATCH(C5369, ""薪資""))), ""內部轉帳(忽略)"",
  REGEXMATCH(C5369, ""薪資""), ""薪資變動(不計入)"",
  REGEXMATCH(C5369, ""押金""), ""押金往來"",
  AND(E5369&lt;&gt;"""", F5369=""""), ""真實支出"",
  AND(E5369="""", F5369&lt;&gt;""""), ""真實收入"",
  TRUE, ""其他""
)"),"其他")</f>
        <v>其他</v>
      </c>
      <c r="K5369" s="270" t="str">
        <f t="shared" si="2"/>
        <v/>
      </c>
      <c r="L5369">
        <f t="shared" si="3"/>
        <v>0</v>
      </c>
    </row>
    <row r="5370">
      <c r="A5370" s="107"/>
      <c r="D5370" s="270"/>
      <c r="H5370" s="106" t="str">
        <f t="shared" si="1"/>
        <v/>
      </c>
      <c r="I5370" s="271" t="str">
        <f>IFERROR(__xludf.DUMMYFUNCTION("""COMPUTED_VALUE"""),"")</f>
        <v/>
      </c>
      <c r="J5370" t="str">
        <f>IFERROR(__xludf.DUMMYFUNCTION("IFS(
  AND(REGEXMATCH(E5370, ""台銀籌備帳戶|玉山帳戶""), REGEXMATCH(C5370, ""薪資"")), ""分潤支出"",
  AND(REGEXMATCH(E5370, ""Ben帳戶|Elsa帳戶|Ben代墊|Ariel代墊|中信銀行共用""), REGEXMATCH(F5370, ""Ben帳戶|Elsa帳戶|Ben代墊|Ariel代墊|中信銀行共用"")), ""內部轉帳(忽略)"",
  AND(E5370&lt;&gt;"""", F5370&lt;&gt;"""", N"&amp;"OT(REGEXMATCH(C5370, ""薪資""))), ""內部轉帳(忽略)"",
  REGEXMATCH(C5370, ""薪資""), ""薪資變動(不計入)"",
  REGEXMATCH(C5370, ""押金""), ""押金往來"",
  AND(E5370&lt;&gt;"""", F5370=""""), ""真實支出"",
  AND(E5370="""", F5370&lt;&gt;""""), ""真實收入"",
  TRUE, ""其他""
)"),"其他")</f>
        <v>其他</v>
      </c>
      <c r="K5370" s="270" t="str">
        <f t="shared" si="2"/>
        <v/>
      </c>
      <c r="L5370">
        <f t="shared" si="3"/>
        <v>0</v>
      </c>
    </row>
    <row r="5371">
      <c r="A5371" s="107"/>
      <c r="D5371" s="270"/>
      <c r="H5371" s="106" t="str">
        <f t="shared" si="1"/>
        <v/>
      </c>
      <c r="I5371" s="271" t="str">
        <f>IFERROR(__xludf.DUMMYFUNCTION("""COMPUTED_VALUE"""),"")</f>
        <v/>
      </c>
      <c r="J5371" t="str">
        <f>IFERROR(__xludf.DUMMYFUNCTION("IFS(
  AND(REGEXMATCH(E5371, ""台銀籌備帳戶|玉山帳戶""), REGEXMATCH(C5371, ""薪資"")), ""分潤支出"",
  AND(REGEXMATCH(E5371, ""Ben帳戶|Elsa帳戶|Ben代墊|Ariel代墊|中信銀行共用""), REGEXMATCH(F5371, ""Ben帳戶|Elsa帳戶|Ben代墊|Ariel代墊|中信銀行共用"")), ""內部轉帳(忽略)"",
  AND(E5371&lt;&gt;"""", F5371&lt;&gt;"""", N"&amp;"OT(REGEXMATCH(C5371, ""薪資""))), ""內部轉帳(忽略)"",
  REGEXMATCH(C5371, ""薪資""), ""薪資變動(不計入)"",
  REGEXMATCH(C5371, ""押金""), ""押金往來"",
  AND(E5371&lt;&gt;"""", F5371=""""), ""真實支出"",
  AND(E5371="""", F5371&lt;&gt;""""), ""真實收入"",
  TRUE, ""其他""
)"),"其他")</f>
        <v>其他</v>
      </c>
      <c r="K5371" s="270" t="str">
        <f t="shared" si="2"/>
        <v/>
      </c>
      <c r="L5371">
        <f t="shared" si="3"/>
        <v>0</v>
      </c>
    </row>
    <row r="5372">
      <c r="A5372" s="107"/>
      <c r="D5372" s="270"/>
      <c r="H5372" s="106" t="str">
        <f t="shared" si="1"/>
        <v/>
      </c>
      <c r="I5372" s="271" t="str">
        <f>IFERROR(__xludf.DUMMYFUNCTION("""COMPUTED_VALUE"""),"")</f>
        <v/>
      </c>
      <c r="J5372" t="str">
        <f>IFERROR(__xludf.DUMMYFUNCTION("IFS(
  AND(REGEXMATCH(E5372, ""台銀籌備帳戶|玉山帳戶""), REGEXMATCH(C5372, ""薪資"")), ""分潤支出"",
  AND(REGEXMATCH(E5372, ""Ben帳戶|Elsa帳戶|Ben代墊|Ariel代墊|中信銀行共用""), REGEXMATCH(F5372, ""Ben帳戶|Elsa帳戶|Ben代墊|Ariel代墊|中信銀行共用"")), ""內部轉帳(忽略)"",
  AND(E5372&lt;&gt;"""", F5372&lt;&gt;"""", N"&amp;"OT(REGEXMATCH(C5372, ""薪資""))), ""內部轉帳(忽略)"",
  REGEXMATCH(C5372, ""薪資""), ""薪資變動(不計入)"",
  REGEXMATCH(C5372, ""押金""), ""押金往來"",
  AND(E5372&lt;&gt;"""", F5372=""""), ""真實支出"",
  AND(E5372="""", F5372&lt;&gt;""""), ""真實收入"",
  TRUE, ""其他""
)"),"其他")</f>
        <v>其他</v>
      </c>
      <c r="K5372" s="270" t="str">
        <f t="shared" si="2"/>
        <v/>
      </c>
      <c r="L5372">
        <f t="shared" si="3"/>
        <v>0</v>
      </c>
    </row>
    <row r="5373">
      <c r="A5373" s="107"/>
      <c r="D5373" s="270"/>
      <c r="H5373" s="106" t="str">
        <f t="shared" si="1"/>
        <v/>
      </c>
      <c r="I5373" s="271" t="str">
        <f>IFERROR(__xludf.DUMMYFUNCTION("""COMPUTED_VALUE"""),"")</f>
        <v/>
      </c>
      <c r="J5373" t="str">
        <f>IFERROR(__xludf.DUMMYFUNCTION("IFS(
  AND(REGEXMATCH(E5373, ""台銀籌備帳戶|玉山帳戶""), REGEXMATCH(C5373, ""薪資"")), ""分潤支出"",
  AND(REGEXMATCH(E5373, ""Ben帳戶|Elsa帳戶|Ben代墊|Ariel代墊|中信銀行共用""), REGEXMATCH(F5373, ""Ben帳戶|Elsa帳戶|Ben代墊|Ariel代墊|中信銀行共用"")), ""內部轉帳(忽略)"",
  AND(E5373&lt;&gt;"""", F5373&lt;&gt;"""", N"&amp;"OT(REGEXMATCH(C5373, ""薪資""))), ""內部轉帳(忽略)"",
  REGEXMATCH(C5373, ""薪資""), ""薪資變動(不計入)"",
  REGEXMATCH(C5373, ""押金""), ""押金往來"",
  AND(E5373&lt;&gt;"""", F5373=""""), ""真實支出"",
  AND(E5373="""", F5373&lt;&gt;""""), ""真實收入"",
  TRUE, ""其他""
)"),"其他")</f>
        <v>其他</v>
      </c>
      <c r="K5373" s="270" t="str">
        <f t="shared" si="2"/>
        <v/>
      </c>
      <c r="L5373">
        <f t="shared" si="3"/>
        <v>0</v>
      </c>
    </row>
    <row r="5374">
      <c r="A5374" s="107"/>
      <c r="D5374" s="270"/>
      <c r="H5374" s="106" t="str">
        <f t="shared" si="1"/>
        <v/>
      </c>
      <c r="I5374" s="271" t="str">
        <f>IFERROR(__xludf.DUMMYFUNCTION("""COMPUTED_VALUE"""),"")</f>
        <v/>
      </c>
      <c r="J5374" t="str">
        <f>IFERROR(__xludf.DUMMYFUNCTION("IFS(
  AND(REGEXMATCH(E5374, ""台銀籌備帳戶|玉山帳戶""), REGEXMATCH(C5374, ""薪資"")), ""分潤支出"",
  AND(REGEXMATCH(E5374, ""Ben帳戶|Elsa帳戶|Ben代墊|Ariel代墊|中信銀行共用""), REGEXMATCH(F5374, ""Ben帳戶|Elsa帳戶|Ben代墊|Ariel代墊|中信銀行共用"")), ""內部轉帳(忽略)"",
  AND(E5374&lt;&gt;"""", F5374&lt;&gt;"""", N"&amp;"OT(REGEXMATCH(C5374, ""薪資""))), ""內部轉帳(忽略)"",
  REGEXMATCH(C5374, ""薪資""), ""薪資變動(不計入)"",
  REGEXMATCH(C5374, ""押金""), ""押金往來"",
  AND(E5374&lt;&gt;"""", F5374=""""), ""真實支出"",
  AND(E5374="""", F5374&lt;&gt;""""), ""真實收入"",
  TRUE, ""其他""
)"),"其他")</f>
        <v>其他</v>
      </c>
      <c r="K5374" s="270" t="str">
        <f t="shared" si="2"/>
        <v/>
      </c>
      <c r="L5374">
        <f t="shared" si="3"/>
        <v>0</v>
      </c>
    </row>
    <row r="5375">
      <c r="A5375" s="107"/>
      <c r="D5375" s="270"/>
      <c r="H5375" s="106" t="str">
        <f t="shared" si="1"/>
        <v/>
      </c>
      <c r="I5375" s="271" t="str">
        <f>IFERROR(__xludf.DUMMYFUNCTION("""COMPUTED_VALUE"""),"")</f>
        <v/>
      </c>
      <c r="J5375" t="str">
        <f>IFERROR(__xludf.DUMMYFUNCTION("IFS(
  AND(REGEXMATCH(E5375, ""台銀籌備帳戶|玉山帳戶""), REGEXMATCH(C5375, ""薪資"")), ""分潤支出"",
  AND(REGEXMATCH(E5375, ""Ben帳戶|Elsa帳戶|Ben代墊|Ariel代墊|中信銀行共用""), REGEXMATCH(F5375, ""Ben帳戶|Elsa帳戶|Ben代墊|Ariel代墊|中信銀行共用"")), ""內部轉帳(忽略)"",
  AND(E5375&lt;&gt;"""", F5375&lt;&gt;"""", N"&amp;"OT(REGEXMATCH(C5375, ""薪資""))), ""內部轉帳(忽略)"",
  REGEXMATCH(C5375, ""薪資""), ""薪資變動(不計入)"",
  REGEXMATCH(C5375, ""押金""), ""押金往來"",
  AND(E5375&lt;&gt;"""", F5375=""""), ""真實支出"",
  AND(E5375="""", F5375&lt;&gt;""""), ""真實收入"",
  TRUE, ""其他""
)"),"其他")</f>
        <v>其他</v>
      </c>
      <c r="K5375" s="270" t="str">
        <f t="shared" si="2"/>
        <v/>
      </c>
      <c r="L5375">
        <f t="shared" si="3"/>
        <v>0</v>
      </c>
    </row>
    <row r="5376">
      <c r="A5376" s="107"/>
      <c r="D5376" s="270"/>
      <c r="H5376" s="106" t="str">
        <f t="shared" si="1"/>
        <v/>
      </c>
      <c r="I5376" s="271" t="str">
        <f>IFERROR(__xludf.DUMMYFUNCTION("""COMPUTED_VALUE"""),"")</f>
        <v/>
      </c>
      <c r="J5376" t="str">
        <f>IFERROR(__xludf.DUMMYFUNCTION("IFS(
  AND(REGEXMATCH(E5376, ""台銀籌備帳戶|玉山帳戶""), REGEXMATCH(C5376, ""薪資"")), ""分潤支出"",
  AND(REGEXMATCH(E5376, ""Ben帳戶|Elsa帳戶|Ben代墊|Ariel代墊|中信銀行共用""), REGEXMATCH(F5376, ""Ben帳戶|Elsa帳戶|Ben代墊|Ariel代墊|中信銀行共用"")), ""內部轉帳(忽略)"",
  AND(E5376&lt;&gt;"""", F5376&lt;&gt;"""", N"&amp;"OT(REGEXMATCH(C5376, ""薪資""))), ""內部轉帳(忽略)"",
  REGEXMATCH(C5376, ""薪資""), ""薪資變動(不計入)"",
  REGEXMATCH(C5376, ""押金""), ""押金往來"",
  AND(E5376&lt;&gt;"""", F5376=""""), ""真實支出"",
  AND(E5376="""", F5376&lt;&gt;""""), ""真實收入"",
  TRUE, ""其他""
)"),"其他")</f>
        <v>其他</v>
      </c>
      <c r="K5376" s="270" t="str">
        <f t="shared" si="2"/>
        <v/>
      </c>
      <c r="L5376">
        <f t="shared" si="3"/>
        <v>0</v>
      </c>
    </row>
    <row r="5377">
      <c r="A5377" s="107"/>
      <c r="D5377" s="270"/>
      <c r="H5377" s="106" t="str">
        <f t="shared" si="1"/>
        <v/>
      </c>
      <c r="I5377" s="271" t="str">
        <f>IFERROR(__xludf.DUMMYFUNCTION("""COMPUTED_VALUE"""),"")</f>
        <v/>
      </c>
      <c r="J5377" t="str">
        <f>IFERROR(__xludf.DUMMYFUNCTION("IFS(
  AND(REGEXMATCH(E5377, ""台銀籌備帳戶|玉山帳戶""), REGEXMATCH(C5377, ""薪資"")), ""分潤支出"",
  AND(REGEXMATCH(E5377, ""Ben帳戶|Elsa帳戶|Ben代墊|Ariel代墊|中信銀行共用""), REGEXMATCH(F5377, ""Ben帳戶|Elsa帳戶|Ben代墊|Ariel代墊|中信銀行共用"")), ""內部轉帳(忽略)"",
  AND(E5377&lt;&gt;"""", F5377&lt;&gt;"""", N"&amp;"OT(REGEXMATCH(C5377, ""薪資""))), ""內部轉帳(忽略)"",
  REGEXMATCH(C5377, ""薪資""), ""薪資變動(不計入)"",
  REGEXMATCH(C5377, ""押金""), ""押金往來"",
  AND(E5377&lt;&gt;"""", F5377=""""), ""真實支出"",
  AND(E5377="""", F5377&lt;&gt;""""), ""真實收入"",
  TRUE, ""其他""
)"),"其他")</f>
        <v>其他</v>
      </c>
      <c r="K5377" s="270" t="str">
        <f t="shared" si="2"/>
        <v/>
      </c>
      <c r="L5377">
        <f t="shared" si="3"/>
        <v>0</v>
      </c>
    </row>
    <row r="5378">
      <c r="A5378" s="107"/>
      <c r="D5378" s="270"/>
      <c r="H5378" s="106" t="str">
        <f t="shared" si="1"/>
        <v/>
      </c>
      <c r="I5378" s="271" t="str">
        <f>IFERROR(__xludf.DUMMYFUNCTION("""COMPUTED_VALUE"""),"")</f>
        <v/>
      </c>
      <c r="J5378" t="str">
        <f>IFERROR(__xludf.DUMMYFUNCTION("IFS(
  AND(REGEXMATCH(E5378, ""台銀籌備帳戶|玉山帳戶""), REGEXMATCH(C5378, ""薪資"")), ""分潤支出"",
  AND(REGEXMATCH(E5378, ""Ben帳戶|Elsa帳戶|Ben代墊|Ariel代墊|中信銀行共用""), REGEXMATCH(F5378, ""Ben帳戶|Elsa帳戶|Ben代墊|Ariel代墊|中信銀行共用"")), ""內部轉帳(忽略)"",
  AND(E5378&lt;&gt;"""", F5378&lt;&gt;"""", N"&amp;"OT(REGEXMATCH(C5378, ""薪資""))), ""內部轉帳(忽略)"",
  REGEXMATCH(C5378, ""薪資""), ""薪資變動(不計入)"",
  REGEXMATCH(C5378, ""押金""), ""押金往來"",
  AND(E5378&lt;&gt;"""", F5378=""""), ""真實支出"",
  AND(E5378="""", F5378&lt;&gt;""""), ""真實收入"",
  TRUE, ""其他""
)"),"其他")</f>
        <v>其他</v>
      </c>
      <c r="K5378" s="270" t="str">
        <f t="shared" si="2"/>
        <v/>
      </c>
      <c r="L5378">
        <f t="shared" si="3"/>
        <v>0</v>
      </c>
    </row>
    <row r="5379">
      <c r="A5379" s="107"/>
      <c r="D5379" s="270"/>
      <c r="H5379" s="106" t="str">
        <f t="shared" si="1"/>
        <v/>
      </c>
      <c r="I5379" s="271" t="str">
        <f>IFERROR(__xludf.DUMMYFUNCTION("""COMPUTED_VALUE"""),"")</f>
        <v/>
      </c>
      <c r="J5379" t="str">
        <f>IFERROR(__xludf.DUMMYFUNCTION("IFS(
  AND(REGEXMATCH(E5379, ""台銀籌備帳戶|玉山帳戶""), REGEXMATCH(C5379, ""薪資"")), ""分潤支出"",
  AND(REGEXMATCH(E5379, ""Ben帳戶|Elsa帳戶|Ben代墊|Ariel代墊|中信銀行共用""), REGEXMATCH(F5379, ""Ben帳戶|Elsa帳戶|Ben代墊|Ariel代墊|中信銀行共用"")), ""內部轉帳(忽略)"",
  AND(E5379&lt;&gt;"""", F5379&lt;&gt;"""", N"&amp;"OT(REGEXMATCH(C5379, ""薪資""))), ""內部轉帳(忽略)"",
  REGEXMATCH(C5379, ""薪資""), ""薪資變動(不計入)"",
  REGEXMATCH(C5379, ""押金""), ""押金往來"",
  AND(E5379&lt;&gt;"""", F5379=""""), ""真實支出"",
  AND(E5379="""", F5379&lt;&gt;""""), ""真實收入"",
  TRUE, ""其他""
)"),"其他")</f>
        <v>其他</v>
      </c>
      <c r="K5379" s="270" t="str">
        <f t="shared" si="2"/>
        <v/>
      </c>
      <c r="L5379">
        <f t="shared" si="3"/>
        <v>0</v>
      </c>
    </row>
    <row r="5380">
      <c r="A5380" s="107"/>
      <c r="D5380" s="270"/>
      <c r="H5380" s="106" t="str">
        <f t="shared" si="1"/>
        <v/>
      </c>
      <c r="I5380" s="271" t="str">
        <f>IFERROR(__xludf.DUMMYFUNCTION("""COMPUTED_VALUE"""),"")</f>
        <v/>
      </c>
      <c r="J5380" t="str">
        <f>IFERROR(__xludf.DUMMYFUNCTION("IFS(
  AND(REGEXMATCH(E5380, ""台銀籌備帳戶|玉山帳戶""), REGEXMATCH(C5380, ""薪資"")), ""分潤支出"",
  AND(REGEXMATCH(E5380, ""Ben帳戶|Elsa帳戶|Ben代墊|Ariel代墊|中信銀行共用""), REGEXMATCH(F5380, ""Ben帳戶|Elsa帳戶|Ben代墊|Ariel代墊|中信銀行共用"")), ""內部轉帳(忽略)"",
  AND(E5380&lt;&gt;"""", F5380&lt;&gt;"""", N"&amp;"OT(REGEXMATCH(C5380, ""薪資""))), ""內部轉帳(忽略)"",
  REGEXMATCH(C5380, ""薪資""), ""薪資變動(不計入)"",
  REGEXMATCH(C5380, ""押金""), ""押金往來"",
  AND(E5380&lt;&gt;"""", F5380=""""), ""真實支出"",
  AND(E5380="""", F5380&lt;&gt;""""), ""真實收入"",
  TRUE, ""其他""
)"),"其他")</f>
        <v>其他</v>
      </c>
      <c r="K5380" s="270" t="str">
        <f t="shared" si="2"/>
        <v/>
      </c>
      <c r="L5380">
        <f t="shared" si="3"/>
        <v>0</v>
      </c>
    </row>
    <row r="5381">
      <c r="A5381" s="107"/>
      <c r="D5381" s="270"/>
      <c r="H5381" s="106" t="str">
        <f t="shared" si="1"/>
        <v/>
      </c>
      <c r="I5381" s="271" t="str">
        <f>IFERROR(__xludf.DUMMYFUNCTION("""COMPUTED_VALUE"""),"")</f>
        <v/>
      </c>
      <c r="J5381" t="str">
        <f>IFERROR(__xludf.DUMMYFUNCTION("IFS(
  AND(REGEXMATCH(E5381, ""台銀籌備帳戶|玉山帳戶""), REGEXMATCH(C5381, ""薪資"")), ""分潤支出"",
  AND(REGEXMATCH(E5381, ""Ben帳戶|Elsa帳戶|Ben代墊|Ariel代墊|中信銀行共用""), REGEXMATCH(F5381, ""Ben帳戶|Elsa帳戶|Ben代墊|Ariel代墊|中信銀行共用"")), ""內部轉帳(忽略)"",
  AND(E5381&lt;&gt;"""", F5381&lt;&gt;"""", N"&amp;"OT(REGEXMATCH(C5381, ""薪資""))), ""內部轉帳(忽略)"",
  REGEXMATCH(C5381, ""薪資""), ""薪資變動(不計入)"",
  REGEXMATCH(C5381, ""押金""), ""押金往來"",
  AND(E5381&lt;&gt;"""", F5381=""""), ""真實支出"",
  AND(E5381="""", F5381&lt;&gt;""""), ""真實收入"",
  TRUE, ""其他""
)"),"其他")</f>
        <v>其他</v>
      </c>
      <c r="K5381" s="270" t="str">
        <f t="shared" si="2"/>
        <v/>
      </c>
      <c r="L5381">
        <f t="shared" si="3"/>
        <v>0</v>
      </c>
    </row>
    <row r="5382">
      <c r="A5382" s="107"/>
      <c r="D5382" s="270"/>
      <c r="H5382" s="106" t="str">
        <f t="shared" si="1"/>
        <v/>
      </c>
      <c r="I5382" s="271" t="str">
        <f>IFERROR(__xludf.DUMMYFUNCTION("""COMPUTED_VALUE"""),"")</f>
        <v/>
      </c>
      <c r="J5382" t="str">
        <f>IFERROR(__xludf.DUMMYFUNCTION("IFS(
  AND(REGEXMATCH(E5382, ""台銀籌備帳戶|玉山帳戶""), REGEXMATCH(C5382, ""薪資"")), ""分潤支出"",
  AND(REGEXMATCH(E5382, ""Ben帳戶|Elsa帳戶|Ben代墊|Ariel代墊|中信銀行共用""), REGEXMATCH(F5382, ""Ben帳戶|Elsa帳戶|Ben代墊|Ariel代墊|中信銀行共用"")), ""內部轉帳(忽略)"",
  AND(E5382&lt;&gt;"""", F5382&lt;&gt;"""", N"&amp;"OT(REGEXMATCH(C5382, ""薪資""))), ""內部轉帳(忽略)"",
  REGEXMATCH(C5382, ""薪資""), ""薪資變動(不計入)"",
  REGEXMATCH(C5382, ""押金""), ""押金往來"",
  AND(E5382&lt;&gt;"""", F5382=""""), ""真實支出"",
  AND(E5382="""", F5382&lt;&gt;""""), ""真實收入"",
  TRUE, ""其他""
)"),"其他")</f>
        <v>其他</v>
      </c>
      <c r="K5382" s="270" t="str">
        <f t="shared" si="2"/>
        <v/>
      </c>
      <c r="L5382">
        <f t="shared" si="3"/>
        <v>0</v>
      </c>
    </row>
    <row r="5383">
      <c r="A5383" s="107"/>
      <c r="D5383" s="270"/>
      <c r="H5383" s="106" t="str">
        <f t="shared" si="1"/>
        <v/>
      </c>
      <c r="I5383" s="271" t="str">
        <f>IFERROR(__xludf.DUMMYFUNCTION("""COMPUTED_VALUE"""),"")</f>
        <v/>
      </c>
      <c r="J5383" t="str">
        <f>IFERROR(__xludf.DUMMYFUNCTION("IFS(
  AND(REGEXMATCH(E5383, ""台銀籌備帳戶|玉山帳戶""), REGEXMATCH(C5383, ""薪資"")), ""分潤支出"",
  AND(REGEXMATCH(E5383, ""Ben帳戶|Elsa帳戶|Ben代墊|Ariel代墊|中信銀行共用""), REGEXMATCH(F5383, ""Ben帳戶|Elsa帳戶|Ben代墊|Ariel代墊|中信銀行共用"")), ""內部轉帳(忽略)"",
  AND(E5383&lt;&gt;"""", F5383&lt;&gt;"""", N"&amp;"OT(REGEXMATCH(C5383, ""薪資""))), ""內部轉帳(忽略)"",
  REGEXMATCH(C5383, ""薪資""), ""薪資變動(不計入)"",
  REGEXMATCH(C5383, ""押金""), ""押金往來"",
  AND(E5383&lt;&gt;"""", F5383=""""), ""真實支出"",
  AND(E5383="""", F5383&lt;&gt;""""), ""真實收入"",
  TRUE, ""其他""
)"),"其他")</f>
        <v>其他</v>
      </c>
      <c r="K5383" s="270" t="str">
        <f t="shared" si="2"/>
        <v/>
      </c>
      <c r="L5383">
        <f t="shared" si="3"/>
        <v>0</v>
      </c>
    </row>
    <row r="5384">
      <c r="A5384" s="107"/>
      <c r="D5384" s="270"/>
      <c r="H5384" s="106" t="str">
        <f t="shared" si="1"/>
        <v/>
      </c>
      <c r="I5384" s="271" t="str">
        <f>IFERROR(__xludf.DUMMYFUNCTION("""COMPUTED_VALUE"""),"")</f>
        <v/>
      </c>
      <c r="J5384" t="str">
        <f>IFERROR(__xludf.DUMMYFUNCTION("IFS(
  AND(REGEXMATCH(E5384, ""台銀籌備帳戶|玉山帳戶""), REGEXMATCH(C5384, ""薪資"")), ""分潤支出"",
  AND(REGEXMATCH(E5384, ""Ben帳戶|Elsa帳戶|Ben代墊|Ariel代墊|中信銀行共用""), REGEXMATCH(F5384, ""Ben帳戶|Elsa帳戶|Ben代墊|Ariel代墊|中信銀行共用"")), ""內部轉帳(忽略)"",
  AND(E5384&lt;&gt;"""", F5384&lt;&gt;"""", N"&amp;"OT(REGEXMATCH(C5384, ""薪資""))), ""內部轉帳(忽略)"",
  REGEXMATCH(C5384, ""薪資""), ""薪資變動(不計入)"",
  REGEXMATCH(C5384, ""押金""), ""押金往來"",
  AND(E5384&lt;&gt;"""", F5384=""""), ""真實支出"",
  AND(E5384="""", F5384&lt;&gt;""""), ""真實收入"",
  TRUE, ""其他""
)"),"其他")</f>
        <v>其他</v>
      </c>
      <c r="K5384" s="270" t="str">
        <f t="shared" si="2"/>
        <v/>
      </c>
      <c r="L5384">
        <f t="shared" si="3"/>
        <v>0</v>
      </c>
    </row>
    <row r="5385">
      <c r="A5385" s="107"/>
      <c r="D5385" s="270"/>
      <c r="H5385" s="106" t="str">
        <f t="shared" si="1"/>
        <v/>
      </c>
      <c r="I5385" s="271" t="str">
        <f>IFERROR(__xludf.DUMMYFUNCTION("""COMPUTED_VALUE"""),"")</f>
        <v/>
      </c>
      <c r="J5385" t="str">
        <f>IFERROR(__xludf.DUMMYFUNCTION("IFS(
  AND(REGEXMATCH(E5385, ""台銀籌備帳戶|玉山帳戶""), REGEXMATCH(C5385, ""薪資"")), ""分潤支出"",
  AND(REGEXMATCH(E5385, ""Ben帳戶|Elsa帳戶|Ben代墊|Ariel代墊|中信銀行共用""), REGEXMATCH(F5385, ""Ben帳戶|Elsa帳戶|Ben代墊|Ariel代墊|中信銀行共用"")), ""內部轉帳(忽略)"",
  AND(E5385&lt;&gt;"""", F5385&lt;&gt;"""", N"&amp;"OT(REGEXMATCH(C5385, ""薪資""))), ""內部轉帳(忽略)"",
  REGEXMATCH(C5385, ""薪資""), ""薪資變動(不計入)"",
  REGEXMATCH(C5385, ""押金""), ""押金往來"",
  AND(E5385&lt;&gt;"""", F5385=""""), ""真實支出"",
  AND(E5385="""", F5385&lt;&gt;""""), ""真實收入"",
  TRUE, ""其他""
)"),"其他")</f>
        <v>其他</v>
      </c>
      <c r="K5385" s="270" t="str">
        <f t="shared" si="2"/>
        <v/>
      </c>
      <c r="L5385">
        <f t="shared" si="3"/>
        <v>0</v>
      </c>
    </row>
    <row r="5386">
      <c r="A5386" s="107"/>
      <c r="D5386" s="270"/>
      <c r="H5386" s="106" t="str">
        <f t="shared" si="1"/>
        <v/>
      </c>
      <c r="I5386" s="271" t="str">
        <f>IFERROR(__xludf.DUMMYFUNCTION("""COMPUTED_VALUE"""),"")</f>
        <v/>
      </c>
      <c r="J5386" t="str">
        <f>IFERROR(__xludf.DUMMYFUNCTION("IFS(
  AND(REGEXMATCH(E5386, ""台銀籌備帳戶|玉山帳戶""), REGEXMATCH(C5386, ""薪資"")), ""分潤支出"",
  AND(REGEXMATCH(E5386, ""Ben帳戶|Elsa帳戶|Ben代墊|Ariel代墊|中信銀行共用""), REGEXMATCH(F5386, ""Ben帳戶|Elsa帳戶|Ben代墊|Ariel代墊|中信銀行共用"")), ""內部轉帳(忽略)"",
  AND(E5386&lt;&gt;"""", F5386&lt;&gt;"""", N"&amp;"OT(REGEXMATCH(C5386, ""薪資""))), ""內部轉帳(忽略)"",
  REGEXMATCH(C5386, ""薪資""), ""薪資變動(不計入)"",
  REGEXMATCH(C5386, ""押金""), ""押金往來"",
  AND(E5386&lt;&gt;"""", F5386=""""), ""真實支出"",
  AND(E5386="""", F5386&lt;&gt;""""), ""真實收入"",
  TRUE, ""其他""
)"),"其他")</f>
        <v>其他</v>
      </c>
      <c r="K5386" s="270" t="str">
        <f t="shared" si="2"/>
        <v/>
      </c>
      <c r="L5386">
        <f t="shared" si="3"/>
        <v>0</v>
      </c>
    </row>
    <row r="5387">
      <c r="A5387" s="107"/>
      <c r="D5387" s="270"/>
      <c r="H5387" s="106" t="str">
        <f t="shared" si="1"/>
        <v/>
      </c>
      <c r="I5387" s="271" t="str">
        <f>IFERROR(__xludf.DUMMYFUNCTION("""COMPUTED_VALUE"""),"")</f>
        <v/>
      </c>
      <c r="J5387" t="str">
        <f>IFERROR(__xludf.DUMMYFUNCTION("IFS(
  AND(REGEXMATCH(E5387, ""台銀籌備帳戶|玉山帳戶""), REGEXMATCH(C5387, ""薪資"")), ""分潤支出"",
  AND(REGEXMATCH(E5387, ""Ben帳戶|Elsa帳戶|Ben代墊|Ariel代墊|中信銀行共用""), REGEXMATCH(F5387, ""Ben帳戶|Elsa帳戶|Ben代墊|Ariel代墊|中信銀行共用"")), ""內部轉帳(忽略)"",
  AND(E5387&lt;&gt;"""", F5387&lt;&gt;"""", N"&amp;"OT(REGEXMATCH(C5387, ""薪資""))), ""內部轉帳(忽略)"",
  REGEXMATCH(C5387, ""薪資""), ""薪資變動(不計入)"",
  REGEXMATCH(C5387, ""押金""), ""押金往來"",
  AND(E5387&lt;&gt;"""", F5387=""""), ""真實支出"",
  AND(E5387="""", F5387&lt;&gt;""""), ""真實收入"",
  TRUE, ""其他""
)"),"其他")</f>
        <v>其他</v>
      </c>
      <c r="K5387" s="270" t="str">
        <f t="shared" si="2"/>
        <v/>
      </c>
      <c r="L5387">
        <f t="shared" si="3"/>
        <v>0</v>
      </c>
    </row>
    <row r="5388">
      <c r="A5388" s="107"/>
      <c r="D5388" s="270"/>
      <c r="H5388" s="106" t="str">
        <f t="shared" si="1"/>
        <v/>
      </c>
      <c r="I5388" s="271" t="str">
        <f>IFERROR(__xludf.DUMMYFUNCTION("""COMPUTED_VALUE"""),"")</f>
        <v/>
      </c>
      <c r="J5388" t="str">
        <f>IFERROR(__xludf.DUMMYFUNCTION("IFS(
  AND(REGEXMATCH(E5388, ""台銀籌備帳戶|玉山帳戶""), REGEXMATCH(C5388, ""薪資"")), ""分潤支出"",
  AND(REGEXMATCH(E5388, ""Ben帳戶|Elsa帳戶|Ben代墊|Ariel代墊|中信銀行共用""), REGEXMATCH(F5388, ""Ben帳戶|Elsa帳戶|Ben代墊|Ariel代墊|中信銀行共用"")), ""內部轉帳(忽略)"",
  AND(E5388&lt;&gt;"""", F5388&lt;&gt;"""", N"&amp;"OT(REGEXMATCH(C5388, ""薪資""))), ""內部轉帳(忽略)"",
  REGEXMATCH(C5388, ""薪資""), ""薪資變動(不計入)"",
  REGEXMATCH(C5388, ""押金""), ""押金往來"",
  AND(E5388&lt;&gt;"""", F5388=""""), ""真實支出"",
  AND(E5388="""", F5388&lt;&gt;""""), ""真實收入"",
  TRUE, ""其他""
)"),"其他")</f>
        <v>其他</v>
      </c>
      <c r="K5388" s="270" t="str">
        <f t="shared" si="2"/>
        <v/>
      </c>
      <c r="L5388">
        <f t="shared" si="3"/>
        <v>0</v>
      </c>
    </row>
    <row r="5389">
      <c r="A5389" s="107"/>
      <c r="D5389" s="270"/>
      <c r="H5389" s="106" t="str">
        <f t="shared" si="1"/>
        <v/>
      </c>
      <c r="I5389" s="271" t="str">
        <f>IFERROR(__xludf.DUMMYFUNCTION("""COMPUTED_VALUE"""),"")</f>
        <v/>
      </c>
      <c r="J5389" t="str">
        <f>IFERROR(__xludf.DUMMYFUNCTION("IFS(
  AND(REGEXMATCH(E5389, ""台銀籌備帳戶|玉山帳戶""), REGEXMATCH(C5389, ""薪資"")), ""分潤支出"",
  AND(REGEXMATCH(E5389, ""Ben帳戶|Elsa帳戶|Ben代墊|Ariel代墊|中信銀行共用""), REGEXMATCH(F5389, ""Ben帳戶|Elsa帳戶|Ben代墊|Ariel代墊|中信銀行共用"")), ""內部轉帳(忽略)"",
  AND(E5389&lt;&gt;"""", F5389&lt;&gt;"""", N"&amp;"OT(REGEXMATCH(C5389, ""薪資""))), ""內部轉帳(忽略)"",
  REGEXMATCH(C5389, ""薪資""), ""薪資變動(不計入)"",
  REGEXMATCH(C5389, ""押金""), ""押金往來"",
  AND(E5389&lt;&gt;"""", F5389=""""), ""真實支出"",
  AND(E5389="""", F5389&lt;&gt;""""), ""真實收入"",
  TRUE, ""其他""
)"),"其他")</f>
        <v>其他</v>
      </c>
      <c r="K5389" s="270" t="str">
        <f t="shared" si="2"/>
        <v/>
      </c>
      <c r="L5389">
        <f t="shared" si="3"/>
        <v>0</v>
      </c>
    </row>
    <row r="5390">
      <c r="A5390" s="107"/>
      <c r="D5390" s="270"/>
      <c r="H5390" s="106" t="str">
        <f t="shared" si="1"/>
        <v/>
      </c>
      <c r="I5390" s="271" t="str">
        <f>IFERROR(__xludf.DUMMYFUNCTION("""COMPUTED_VALUE"""),"")</f>
        <v/>
      </c>
      <c r="J5390" t="str">
        <f>IFERROR(__xludf.DUMMYFUNCTION("IFS(
  AND(REGEXMATCH(E5390, ""台銀籌備帳戶|玉山帳戶""), REGEXMATCH(C5390, ""薪資"")), ""分潤支出"",
  AND(REGEXMATCH(E5390, ""Ben帳戶|Elsa帳戶|Ben代墊|Ariel代墊|中信銀行共用""), REGEXMATCH(F5390, ""Ben帳戶|Elsa帳戶|Ben代墊|Ariel代墊|中信銀行共用"")), ""內部轉帳(忽略)"",
  AND(E5390&lt;&gt;"""", F5390&lt;&gt;"""", N"&amp;"OT(REGEXMATCH(C5390, ""薪資""))), ""內部轉帳(忽略)"",
  REGEXMATCH(C5390, ""薪資""), ""薪資變動(不計入)"",
  REGEXMATCH(C5390, ""押金""), ""押金往來"",
  AND(E5390&lt;&gt;"""", F5390=""""), ""真實支出"",
  AND(E5390="""", F5390&lt;&gt;""""), ""真實收入"",
  TRUE, ""其他""
)"),"其他")</f>
        <v>其他</v>
      </c>
      <c r="K5390" s="270" t="str">
        <f t="shared" si="2"/>
        <v/>
      </c>
      <c r="L5390">
        <f t="shared" si="3"/>
        <v>0</v>
      </c>
    </row>
    <row r="5391">
      <c r="A5391" s="107"/>
      <c r="D5391" s="270"/>
      <c r="H5391" s="106" t="str">
        <f t="shared" si="1"/>
        <v/>
      </c>
      <c r="I5391" s="271" t="str">
        <f>IFERROR(__xludf.DUMMYFUNCTION("""COMPUTED_VALUE"""),"")</f>
        <v/>
      </c>
      <c r="J5391" t="str">
        <f>IFERROR(__xludf.DUMMYFUNCTION("IFS(
  AND(REGEXMATCH(E5391, ""台銀籌備帳戶|玉山帳戶""), REGEXMATCH(C5391, ""薪資"")), ""分潤支出"",
  AND(REGEXMATCH(E5391, ""Ben帳戶|Elsa帳戶|Ben代墊|Ariel代墊|中信銀行共用""), REGEXMATCH(F5391, ""Ben帳戶|Elsa帳戶|Ben代墊|Ariel代墊|中信銀行共用"")), ""內部轉帳(忽略)"",
  AND(E5391&lt;&gt;"""", F5391&lt;&gt;"""", N"&amp;"OT(REGEXMATCH(C5391, ""薪資""))), ""內部轉帳(忽略)"",
  REGEXMATCH(C5391, ""薪資""), ""薪資變動(不計入)"",
  REGEXMATCH(C5391, ""押金""), ""押金往來"",
  AND(E5391&lt;&gt;"""", F5391=""""), ""真實支出"",
  AND(E5391="""", F5391&lt;&gt;""""), ""真實收入"",
  TRUE, ""其他""
)"),"其他")</f>
        <v>其他</v>
      </c>
      <c r="K5391" s="270" t="str">
        <f t="shared" si="2"/>
        <v/>
      </c>
      <c r="L5391">
        <f t="shared" si="3"/>
        <v>0</v>
      </c>
    </row>
    <row r="5392">
      <c r="A5392" s="107"/>
      <c r="D5392" s="270"/>
      <c r="H5392" s="106" t="str">
        <f t="shared" si="1"/>
        <v/>
      </c>
      <c r="I5392" s="271" t="str">
        <f>IFERROR(__xludf.DUMMYFUNCTION("""COMPUTED_VALUE"""),"")</f>
        <v/>
      </c>
      <c r="J5392" t="str">
        <f>IFERROR(__xludf.DUMMYFUNCTION("IFS(
  AND(REGEXMATCH(E5392, ""台銀籌備帳戶|玉山帳戶""), REGEXMATCH(C5392, ""薪資"")), ""分潤支出"",
  AND(REGEXMATCH(E5392, ""Ben帳戶|Elsa帳戶|Ben代墊|Ariel代墊|中信銀行共用""), REGEXMATCH(F5392, ""Ben帳戶|Elsa帳戶|Ben代墊|Ariel代墊|中信銀行共用"")), ""內部轉帳(忽略)"",
  AND(E5392&lt;&gt;"""", F5392&lt;&gt;"""", N"&amp;"OT(REGEXMATCH(C5392, ""薪資""))), ""內部轉帳(忽略)"",
  REGEXMATCH(C5392, ""薪資""), ""薪資變動(不計入)"",
  REGEXMATCH(C5392, ""押金""), ""押金往來"",
  AND(E5392&lt;&gt;"""", F5392=""""), ""真實支出"",
  AND(E5392="""", F5392&lt;&gt;""""), ""真實收入"",
  TRUE, ""其他""
)"),"其他")</f>
        <v>其他</v>
      </c>
      <c r="K5392" s="270" t="str">
        <f t="shared" si="2"/>
        <v/>
      </c>
      <c r="L5392">
        <f t="shared" si="3"/>
        <v>0</v>
      </c>
    </row>
    <row r="5393">
      <c r="A5393" s="107"/>
      <c r="D5393" s="270"/>
      <c r="H5393" s="106" t="str">
        <f t="shared" si="1"/>
        <v/>
      </c>
      <c r="I5393" s="271" t="str">
        <f>IFERROR(__xludf.DUMMYFUNCTION("""COMPUTED_VALUE"""),"")</f>
        <v/>
      </c>
      <c r="J5393" t="str">
        <f>IFERROR(__xludf.DUMMYFUNCTION("IFS(
  AND(REGEXMATCH(E5393, ""台銀籌備帳戶|玉山帳戶""), REGEXMATCH(C5393, ""薪資"")), ""分潤支出"",
  AND(REGEXMATCH(E5393, ""Ben帳戶|Elsa帳戶|Ben代墊|Ariel代墊|中信銀行共用""), REGEXMATCH(F5393, ""Ben帳戶|Elsa帳戶|Ben代墊|Ariel代墊|中信銀行共用"")), ""內部轉帳(忽略)"",
  AND(E5393&lt;&gt;"""", F5393&lt;&gt;"""", N"&amp;"OT(REGEXMATCH(C5393, ""薪資""))), ""內部轉帳(忽略)"",
  REGEXMATCH(C5393, ""薪資""), ""薪資變動(不計入)"",
  REGEXMATCH(C5393, ""押金""), ""押金往來"",
  AND(E5393&lt;&gt;"""", F5393=""""), ""真實支出"",
  AND(E5393="""", F5393&lt;&gt;""""), ""真實收入"",
  TRUE, ""其他""
)"),"其他")</f>
        <v>其他</v>
      </c>
      <c r="K5393" s="270" t="str">
        <f t="shared" si="2"/>
        <v/>
      </c>
      <c r="L5393">
        <f t="shared" si="3"/>
        <v>0</v>
      </c>
    </row>
    <row r="5394">
      <c r="A5394" s="107"/>
      <c r="D5394" s="270"/>
      <c r="H5394" s="106" t="str">
        <f t="shared" si="1"/>
        <v/>
      </c>
      <c r="I5394" s="271" t="str">
        <f>IFERROR(__xludf.DUMMYFUNCTION("""COMPUTED_VALUE"""),"")</f>
        <v/>
      </c>
      <c r="J5394" t="str">
        <f>IFERROR(__xludf.DUMMYFUNCTION("IFS(
  AND(REGEXMATCH(E5394, ""台銀籌備帳戶|玉山帳戶""), REGEXMATCH(C5394, ""薪資"")), ""分潤支出"",
  AND(REGEXMATCH(E5394, ""Ben帳戶|Elsa帳戶|Ben代墊|Ariel代墊|中信銀行共用""), REGEXMATCH(F5394, ""Ben帳戶|Elsa帳戶|Ben代墊|Ariel代墊|中信銀行共用"")), ""內部轉帳(忽略)"",
  AND(E5394&lt;&gt;"""", F5394&lt;&gt;"""", N"&amp;"OT(REGEXMATCH(C5394, ""薪資""))), ""內部轉帳(忽略)"",
  REGEXMATCH(C5394, ""薪資""), ""薪資變動(不計入)"",
  REGEXMATCH(C5394, ""押金""), ""押金往來"",
  AND(E5394&lt;&gt;"""", F5394=""""), ""真實支出"",
  AND(E5394="""", F5394&lt;&gt;""""), ""真實收入"",
  TRUE, ""其他""
)"),"其他")</f>
        <v>其他</v>
      </c>
      <c r="K5394" s="270" t="str">
        <f t="shared" si="2"/>
        <v/>
      </c>
      <c r="L5394">
        <f t="shared" si="3"/>
        <v>0</v>
      </c>
    </row>
    <row r="5395">
      <c r="A5395" s="107"/>
      <c r="D5395" s="270"/>
      <c r="H5395" s="106" t="str">
        <f t="shared" si="1"/>
        <v/>
      </c>
      <c r="I5395" s="271" t="str">
        <f>IFERROR(__xludf.DUMMYFUNCTION("""COMPUTED_VALUE"""),"")</f>
        <v/>
      </c>
      <c r="J5395" t="str">
        <f>IFERROR(__xludf.DUMMYFUNCTION("IFS(
  AND(REGEXMATCH(E5395, ""台銀籌備帳戶|玉山帳戶""), REGEXMATCH(C5395, ""薪資"")), ""分潤支出"",
  AND(REGEXMATCH(E5395, ""Ben帳戶|Elsa帳戶|Ben代墊|Ariel代墊|中信銀行共用""), REGEXMATCH(F5395, ""Ben帳戶|Elsa帳戶|Ben代墊|Ariel代墊|中信銀行共用"")), ""內部轉帳(忽略)"",
  AND(E5395&lt;&gt;"""", F5395&lt;&gt;"""", N"&amp;"OT(REGEXMATCH(C5395, ""薪資""))), ""內部轉帳(忽略)"",
  REGEXMATCH(C5395, ""薪資""), ""薪資變動(不計入)"",
  REGEXMATCH(C5395, ""押金""), ""押金往來"",
  AND(E5395&lt;&gt;"""", F5395=""""), ""真實支出"",
  AND(E5395="""", F5395&lt;&gt;""""), ""真實收入"",
  TRUE, ""其他""
)"),"其他")</f>
        <v>其他</v>
      </c>
      <c r="K5395" s="270" t="str">
        <f t="shared" si="2"/>
        <v/>
      </c>
      <c r="L5395">
        <f t="shared" si="3"/>
        <v>0</v>
      </c>
    </row>
    <row r="5396">
      <c r="A5396" s="107"/>
      <c r="D5396" s="270"/>
      <c r="H5396" s="106" t="str">
        <f t="shared" si="1"/>
        <v/>
      </c>
      <c r="I5396" s="271" t="str">
        <f>IFERROR(__xludf.DUMMYFUNCTION("""COMPUTED_VALUE"""),"")</f>
        <v/>
      </c>
      <c r="J5396" t="str">
        <f>IFERROR(__xludf.DUMMYFUNCTION("IFS(
  AND(REGEXMATCH(E5396, ""台銀籌備帳戶|玉山帳戶""), REGEXMATCH(C5396, ""薪資"")), ""分潤支出"",
  AND(REGEXMATCH(E5396, ""Ben帳戶|Elsa帳戶|Ben代墊|Ariel代墊|中信銀行共用""), REGEXMATCH(F5396, ""Ben帳戶|Elsa帳戶|Ben代墊|Ariel代墊|中信銀行共用"")), ""內部轉帳(忽略)"",
  AND(E5396&lt;&gt;"""", F5396&lt;&gt;"""", N"&amp;"OT(REGEXMATCH(C5396, ""薪資""))), ""內部轉帳(忽略)"",
  REGEXMATCH(C5396, ""薪資""), ""薪資變動(不計入)"",
  REGEXMATCH(C5396, ""押金""), ""押金往來"",
  AND(E5396&lt;&gt;"""", F5396=""""), ""真實支出"",
  AND(E5396="""", F5396&lt;&gt;""""), ""真實收入"",
  TRUE, ""其他""
)"),"其他")</f>
        <v>其他</v>
      </c>
      <c r="K5396" s="270" t="str">
        <f t="shared" si="2"/>
        <v/>
      </c>
      <c r="L5396">
        <f t="shared" si="3"/>
        <v>0</v>
      </c>
    </row>
    <row r="5397">
      <c r="A5397" s="107"/>
      <c r="D5397" s="270"/>
      <c r="H5397" s="106" t="str">
        <f t="shared" si="1"/>
        <v/>
      </c>
      <c r="I5397" s="271" t="str">
        <f>IFERROR(__xludf.DUMMYFUNCTION("""COMPUTED_VALUE"""),"")</f>
        <v/>
      </c>
      <c r="J5397" t="str">
        <f>IFERROR(__xludf.DUMMYFUNCTION("IFS(
  AND(REGEXMATCH(E5397, ""台銀籌備帳戶|玉山帳戶""), REGEXMATCH(C5397, ""薪資"")), ""分潤支出"",
  AND(REGEXMATCH(E5397, ""Ben帳戶|Elsa帳戶|Ben代墊|Ariel代墊|中信銀行共用""), REGEXMATCH(F5397, ""Ben帳戶|Elsa帳戶|Ben代墊|Ariel代墊|中信銀行共用"")), ""內部轉帳(忽略)"",
  AND(E5397&lt;&gt;"""", F5397&lt;&gt;"""", N"&amp;"OT(REGEXMATCH(C5397, ""薪資""))), ""內部轉帳(忽略)"",
  REGEXMATCH(C5397, ""薪資""), ""薪資變動(不計入)"",
  REGEXMATCH(C5397, ""押金""), ""押金往來"",
  AND(E5397&lt;&gt;"""", F5397=""""), ""真實支出"",
  AND(E5397="""", F5397&lt;&gt;""""), ""真實收入"",
  TRUE, ""其他""
)"),"其他")</f>
        <v>其他</v>
      </c>
      <c r="K5397" s="270" t="str">
        <f t="shared" si="2"/>
        <v/>
      </c>
      <c r="L5397">
        <f t="shared" si="3"/>
        <v>0</v>
      </c>
    </row>
    <row r="5398">
      <c r="A5398" s="107"/>
      <c r="D5398" s="270"/>
      <c r="H5398" s="106" t="str">
        <f t="shared" si="1"/>
        <v/>
      </c>
      <c r="I5398" s="271" t="str">
        <f>IFERROR(__xludf.DUMMYFUNCTION("""COMPUTED_VALUE"""),"")</f>
        <v/>
      </c>
      <c r="J5398" t="str">
        <f>IFERROR(__xludf.DUMMYFUNCTION("IFS(
  AND(REGEXMATCH(E5398, ""台銀籌備帳戶|玉山帳戶""), REGEXMATCH(C5398, ""薪資"")), ""分潤支出"",
  AND(REGEXMATCH(E5398, ""Ben帳戶|Elsa帳戶|Ben代墊|Ariel代墊|中信銀行共用""), REGEXMATCH(F5398, ""Ben帳戶|Elsa帳戶|Ben代墊|Ariel代墊|中信銀行共用"")), ""內部轉帳(忽略)"",
  AND(E5398&lt;&gt;"""", F5398&lt;&gt;"""", N"&amp;"OT(REGEXMATCH(C5398, ""薪資""))), ""內部轉帳(忽略)"",
  REGEXMATCH(C5398, ""薪資""), ""薪資變動(不計入)"",
  REGEXMATCH(C5398, ""押金""), ""押金往來"",
  AND(E5398&lt;&gt;"""", F5398=""""), ""真實支出"",
  AND(E5398="""", F5398&lt;&gt;""""), ""真實收入"",
  TRUE, ""其他""
)"),"其他")</f>
        <v>其他</v>
      </c>
      <c r="K5398" s="270" t="str">
        <f t="shared" si="2"/>
        <v/>
      </c>
      <c r="L5398">
        <f t="shared" si="3"/>
        <v>0</v>
      </c>
    </row>
    <row r="5399">
      <c r="A5399" s="107"/>
      <c r="D5399" s="270"/>
      <c r="H5399" s="106" t="str">
        <f t="shared" si="1"/>
        <v/>
      </c>
      <c r="I5399" s="271" t="str">
        <f>IFERROR(__xludf.DUMMYFUNCTION("""COMPUTED_VALUE"""),"")</f>
        <v/>
      </c>
      <c r="J5399" t="str">
        <f>IFERROR(__xludf.DUMMYFUNCTION("IFS(
  AND(REGEXMATCH(E5399, ""台銀籌備帳戶|玉山帳戶""), REGEXMATCH(C5399, ""薪資"")), ""分潤支出"",
  AND(REGEXMATCH(E5399, ""Ben帳戶|Elsa帳戶|Ben代墊|Ariel代墊|中信銀行共用""), REGEXMATCH(F5399, ""Ben帳戶|Elsa帳戶|Ben代墊|Ariel代墊|中信銀行共用"")), ""內部轉帳(忽略)"",
  AND(E5399&lt;&gt;"""", F5399&lt;&gt;"""", N"&amp;"OT(REGEXMATCH(C5399, ""薪資""))), ""內部轉帳(忽略)"",
  REGEXMATCH(C5399, ""薪資""), ""薪資變動(不計入)"",
  REGEXMATCH(C5399, ""押金""), ""押金往來"",
  AND(E5399&lt;&gt;"""", F5399=""""), ""真實支出"",
  AND(E5399="""", F5399&lt;&gt;""""), ""真實收入"",
  TRUE, ""其他""
)"),"其他")</f>
        <v>其他</v>
      </c>
      <c r="K5399" s="270" t="str">
        <f t="shared" si="2"/>
        <v/>
      </c>
      <c r="L5399">
        <f t="shared" si="3"/>
        <v>0</v>
      </c>
    </row>
    <row r="5400">
      <c r="A5400" s="107"/>
      <c r="D5400" s="270"/>
      <c r="H5400" s="106" t="str">
        <f t="shared" si="1"/>
        <v/>
      </c>
      <c r="I5400" s="271" t="str">
        <f>IFERROR(__xludf.DUMMYFUNCTION("""COMPUTED_VALUE"""),"")</f>
        <v/>
      </c>
      <c r="J5400" t="str">
        <f>IFERROR(__xludf.DUMMYFUNCTION("IFS(
  AND(REGEXMATCH(E5400, ""台銀籌備帳戶|玉山帳戶""), REGEXMATCH(C5400, ""薪資"")), ""分潤支出"",
  AND(REGEXMATCH(E5400, ""Ben帳戶|Elsa帳戶|Ben代墊|Ariel代墊|中信銀行共用""), REGEXMATCH(F5400, ""Ben帳戶|Elsa帳戶|Ben代墊|Ariel代墊|中信銀行共用"")), ""內部轉帳(忽略)"",
  AND(E5400&lt;&gt;"""", F5400&lt;&gt;"""", N"&amp;"OT(REGEXMATCH(C5400, ""薪資""))), ""內部轉帳(忽略)"",
  REGEXMATCH(C5400, ""薪資""), ""薪資變動(不計入)"",
  REGEXMATCH(C5400, ""押金""), ""押金往來"",
  AND(E5400&lt;&gt;"""", F5400=""""), ""真實支出"",
  AND(E5400="""", F5400&lt;&gt;""""), ""真實收入"",
  TRUE, ""其他""
)"),"其他")</f>
        <v>其他</v>
      </c>
      <c r="K5400" s="270" t="str">
        <f t="shared" si="2"/>
        <v/>
      </c>
      <c r="L5400">
        <f t="shared" si="3"/>
        <v>0</v>
      </c>
    </row>
    <row r="5401">
      <c r="A5401" s="107"/>
      <c r="D5401" s="270"/>
      <c r="H5401" s="106" t="str">
        <f t="shared" si="1"/>
        <v/>
      </c>
      <c r="I5401" s="271" t="str">
        <f>IFERROR(__xludf.DUMMYFUNCTION("""COMPUTED_VALUE"""),"")</f>
        <v/>
      </c>
      <c r="J5401" t="str">
        <f>IFERROR(__xludf.DUMMYFUNCTION("IFS(
  AND(REGEXMATCH(E5401, ""台銀籌備帳戶|玉山帳戶""), REGEXMATCH(C5401, ""薪資"")), ""分潤支出"",
  AND(REGEXMATCH(E5401, ""Ben帳戶|Elsa帳戶|Ben代墊|Ariel代墊|中信銀行共用""), REGEXMATCH(F5401, ""Ben帳戶|Elsa帳戶|Ben代墊|Ariel代墊|中信銀行共用"")), ""內部轉帳(忽略)"",
  AND(E5401&lt;&gt;"""", F5401&lt;&gt;"""", N"&amp;"OT(REGEXMATCH(C5401, ""薪資""))), ""內部轉帳(忽略)"",
  REGEXMATCH(C5401, ""薪資""), ""薪資變動(不計入)"",
  REGEXMATCH(C5401, ""押金""), ""押金往來"",
  AND(E5401&lt;&gt;"""", F5401=""""), ""真實支出"",
  AND(E5401="""", F5401&lt;&gt;""""), ""真實收入"",
  TRUE, ""其他""
)"),"其他")</f>
        <v>其他</v>
      </c>
      <c r="K5401" s="270" t="str">
        <f t="shared" si="2"/>
        <v/>
      </c>
      <c r="L5401">
        <f t="shared" si="3"/>
        <v>0</v>
      </c>
    </row>
    <row r="5402">
      <c r="A5402" s="107"/>
      <c r="D5402" s="270"/>
      <c r="H5402" s="106" t="str">
        <f t="shared" si="1"/>
        <v/>
      </c>
      <c r="I5402" s="271" t="str">
        <f>IFERROR(__xludf.DUMMYFUNCTION("""COMPUTED_VALUE"""),"")</f>
        <v/>
      </c>
      <c r="J5402" t="str">
        <f>IFERROR(__xludf.DUMMYFUNCTION("IFS(
  AND(REGEXMATCH(E5402, ""台銀籌備帳戶|玉山帳戶""), REGEXMATCH(C5402, ""薪資"")), ""分潤支出"",
  AND(REGEXMATCH(E5402, ""Ben帳戶|Elsa帳戶|Ben代墊|Ariel代墊|中信銀行共用""), REGEXMATCH(F5402, ""Ben帳戶|Elsa帳戶|Ben代墊|Ariel代墊|中信銀行共用"")), ""內部轉帳(忽略)"",
  AND(E5402&lt;&gt;"""", F5402&lt;&gt;"""", N"&amp;"OT(REGEXMATCH(C5402, ""薪資""))), ""內部轉帳(忽略)"",
  REGEXMATCH(C5402, ""薪資""), ""薪資變動(不計入)"",
  REGEXMATCH(C5402, ""押金""), ""押金往來"",
  AND(E5402&lt;&gt;"""", F5402=""""), ""真實支出"",
  AND(E5402="""", F5402&lt;&gt;""""), ""真實收入"",
  TRUE, ""其他""
)"),"其他")</f>
        <v>其他</v>
      </c>
      <c r="K5402" s="270" t="str">
        <f t="shared" si="2"/>
        <v/>
      </c>
      <c r="L5402">
        <f t="shared" si="3"/>
        <v>0</v>
      </c>
    </row>
    <row r="5403">
      <c r="A5403" s="107"/>
      <c r="D5403" s="270"/>
      <c r="H5403" s="106" t="str">
        <f t="shared" si="1"/>
        <v/>
      </c>
      <c r="I5403" s="271" t="str">
        <f>IFERROR(__xludf.DUMMYFUNCTION("""COMPUTED_VALUE"""),"")</f>
        <v/>
      </c>
      <c r="J5403" t="str">
        <f>IFERROR(__xludf.DUMMYFUNCTION("IFS(
  AND(REGEXMATCH(E5403, ""台銀籌備帳戶|玉山帳戶""), REGEXMATCH(C5403, ""薪資"")), ""分潤支出"",
  AND(REGEXMATCH(E5403, ""Ben帳戶|Elsa帳戶|Ben代墊|Ariel代墊|中信銀行共用""), REGEXMATCH(F5403, ""Ben帳戶|Elsa帳戶|Ben代墊|Ariel代墊|中信銀行共用"")), ""內部轉帳(忽略)"",
  AND(E5403&lt;&gt;"""", F5403&lt;&gt;"""", N"&amp;"OT(REGEXMATCH(C5403, ""薪資""))), ""內部轉帳(忽略)"",
  REGEXMATCH(C5403, ""薪資""), ""薪資變動(不計入)"",
  REGEXMATCH(C5403, ""押金""), ""押金往來"",
  AND(E5403&lt;&gt;"""", F5403=""""), ""真實支出"",
  AND(E5403="""", F5403&lt;&gt;""""), ""真實收入"",
  TRUE, ""其他""
)"),"其他")</f>
        <v>其他</v>
      </c>
      <c r="K5403" s="270" t="str">
        <f t="shared" si="2"/>
        <v/>
      </c>
      <c r="L5403">
        <f t="shared" si="3"/>
        <v>0</v>
      </c>
    </row>
    <row r="5404">
      <c r="A5404" s="107"/>
      <c r="D5404" s="270"/>
      <c r="H5404" s="106" t="str">
        <f t="shared" si="1"/>
        <v/>
      </c>
      <c r="I5404" s="271" t="str">
        <f>IFERROR(__xludf.DUMMYFUNCTION("""COMPUTED_VALUE"""),"")</f>
        <v/>
      </c>
      <c r="J5404" t="str">
        <f>IFERROR(__xludf.DUMMYFUNCTION("IFS(
  AND(REGEXMATCH(E5404, ""台銀籌備帳戶|玉山帳戶""), REGEXMATCH(C5404, ""薪資"")), ""分潤支出"",
  AND(REGEXMATCH(E5404, ""Ben帳戶|Elsa帳戶|Ben代墊|Ariel代墊|中信銀行共用""), REGEXMATCH(F5404, ""Ben帳戶|Elsa帳戶|Ben代墊|Ariel代墊|中信銀行共用"")), ""內部轉帳(忽略)"",
  AND(E5404&lt;&gt;"""", F5404&lt;&gt;"""", N"&amp;"OT(REGEXMATCH(C5404, ""薪資""))), ""內部轉帳(忽略)"",
  REGEXMATCH(C5404, ""薪資""), ""薪資變動(不計入)"",
  REGEXMATCH(C5404, ""押金""), ""押金往來"",
  AND(E5404&lt;&gt;"""", F5404=""""), ""真實支出"",
  AND(E5404="""", F5404&lt;&gt;""""), ""真實收入"",
  TRUE, ""其他""
)"),"其他")</f>
        <v>其他</v>
      </c>
      <c r="K5404" s="270" t="str">
        <f t="shared" si="2"/>
        <v/>
      </c>
      <c r="L5404">
        <f t="shared" si="3"/>
        <v>0</v>
      </c>
    </row>
    <row r="5405">
      <c r="A5405" s="107"/>
      <c r="D5405" s="270"/>
      <c r="H5405" s="106" t="str">
        <f t="shared" si="1"/>
        <v/>
      </c>
      <c r="I5405" s="271" t="str">
        <f>IFERROR(__xludf.DUMMYFUNCTION("""COMPUTED_VALUE"""),"")</f>
        <v/>
      </c>
      <c r="J5405" t="str">
        <f>IFERROR(__xludf.DUMMYFUNCTION("IFS(
  AND(REGEXMATCH(E5405, ""台銀籌備帳戶|玉山帳戶""), REGEXMATCH(C5405, ""薪資"")), ""分潤支出"",
  AND(REGEXMATCH(E5405, ""Ben帳戶|Elsa帳戶|Ben代墊|Ariel代墊|中信銀行共用""), REGEXMATCH(F5405, ""Ben帳戶|Elsa帳戶|Ben代墊|Ariel代墊|中信銀行共用"")), ""內部轉帳(忽略)"",
  AND(E5405&lt;&gt;"""", F5405&lt;&gt;"""", N"&amp;"OT(REGEXMATCH(C5405, ""薪資""))), ""內部轉帳(忽略)"",
  REGEXMATCH(C5405, ""薪資""), ""薪資變動(不計入)"",
  REGEXMATCH(C5405, ""押金""), ""押金往來"",
  AND(E5405&lt;&gt;"""", F5405=""""), ""真實支出"",
  AND(E5405="""", F5405&lt;&gt;""""), ""真實收入"",
  TRUE, ""其他""
)"),"其他")</f>
        <v>其他</v>
      </c>
      <c r="K5405" s="270" t="str">
        <f t="shared" si="2"/>
        <v/>
      </c>
      <c r="L5405">
        <f t="shared" si="3"/>
        <v>0</v>
      </c>
    </row>
    <row r="5406">
      <c r="A5406" s="107"/>
      <c r="D5406" s="270"/>
      <c r="H5406" s="106" t="str">
        <f t="shared" si="1"/>
        <v/>
      </c>
      <c r="I5406" s="271" t="str">
        <f>IFERROR(__xludf.DUMMYFUNCTION("""COMPUTED_VALUE"""),"")</f>
        <v/>
      </c>
      <c r="J5406" t="str">
        <f>IFERROR(__xludf.DUMMYFUNCTION("IFS(
  AND(REGEXMATCH(E5406, ""台銀籌備帳戶|玉山帳戶""), REGEXMATCH(C5406, ""薪資"")), ""分潤支出"",
  AND(REGEXMATCH(E5406, ""Ben帳戶|Elsa帳戶|Ben代墊|Ariel代墊|中信銀行共用""), REGEXMATCH(F5406, ""Ben帳戶|Elsa帳戶|Ben代墊|Ariel代墊|中信銀行共用"")), ""內部轉帳(忽略)"",
  AND(E5406&lt;&gt;"""", F5406&lt;&gt;"""", N"&amp;"OT(REGEXMATCH(C5406, ""薪資""))), ""內部轉帳(忽略)"",
  REGEXMATCH(C5406, ""薪資""), ""薪資變動(不計入)"",
  REGEXMATCH(C5406, ""押金""), ""押金往來"",
  AND(E5406&lt;&gt;"""", F5406=""""), ""真實支出"",
  AND(E5406="""", F5406&lt;&gt;""""), ""真實收入"",
  TRUE, ""其他""
)"),"其他")</f>
        <v>其他</v>
      </c>
      <c r="K5406" s="270" t="str">
        <f t="shared" si="2"/>
        <v/>
      </c>
      <c r="L5406">
        <f t="shared" si="3"/>
        <v>0</v>
      </c>
    </row>
    <row r="5407">
      <c r="A5407" s="107"/>
      <c r="D5407" s="270"/>
      <c r="H5407" s="106" t="str">
        <f t="shared" si="1"/>
        <v/>
      </c>
      <c r="I5407" s="271" t="str">
        <f>IFERROR(__xludf.DUMMYFUNCTION("""COMPUTED_VALUE"""),"")</f>
        <v/>
      </c>
      <c r="J5407" t="str">
        <f>IFERROR(__xludf.DUMMYFUNCTION("IFS(
  AND(REGEXMATCH(E5407, ""台銀籌備帳戶|玉山帳戶""), REGEXMATCH(C5407, ""薪資"")), ""分潤支出"",
  AND(REGEXMATCH(E5407, ""Ben帳戶|Elsa帳戶|Ben代墊|Ariel代墊|中信銀行共用""), REGEXMATCH(F5407, ""Ben帳戶|Elsa帳戶|Ben代墊|Ariel代墊|中信銀行共用"")), ""內部轉帳(忽略)"",
  AND(E5407&lt;&gt;"""", F5407&lt;&gt;"""", N"&amp;"OT(REGEXMATCH(C5407, ""薪資""))), ""內部轉帳(忽略)"",
  REGEXMATCH(C5407, ""薪資""), ""薪資變動(不計入)"",
  REGEXMATCH(C5407, ""押金""), ""押金往來"",
  AND(E5407&lt;&gt;"""", F5407=""""), ""真實支出"",
  AND(E5407="""", F5407&lt;&gt;""""), ""真實收入"",
  TRUE, ""其他""
)"),"其他")</f>
        <v>其他</v>
      </c>
      <c r="K5407" s="270" t="str">
        <f t="shared" si="2"/>
        <v/>
      </c>
      <c r="L5407">
        <f t="shared" si="3"/>
        <v>0</v>
      </c>
    </row>
    <row r="5408">
      <c r="A5408" s="107"/>
      <c r="D5408" s="270"/>
      <c r="H5408" s="106" t="str">
        <f t="shared" si="1"/>
        <v/>
      </c>
      <c r="I5408" s="271" t="str">
        <f>IFERROR(__xludf.DUMMYFUNCTION("""COMPUTED_VALUE"""),"")</f>
        <v/>
      </c>
      <c r="J5408" t="str">
        <f>IFERROR(__xludf.DUMMYFUNCTION("IFS(
  AND(REGEXMATCH(E5408, ""台銀籌備帳戶|玉山帳戶""), REGEXMATCH(C5408, ""薪資"")), ""分潤支出"",
  AND(REGEXMATCH(E5408, ""Ben帳戶|Elsa帳戶|Ben代墊|Ariel代墊|中信銀行共用""), REGEXMATCH(F5408, ""Ben帳戶|Elsa帳戶|Ben代墊|Ariel代墊|中信銀行共用"")), ""內部轉帳(忽略)"",
  AND(E5408&lt;&gt;"""", F5408&lt;&gt;"""", N"&amp;"OT(REGEXMATCH(C5408, ""薪資""))), ""內部轉帳(忽略)"",
  REGEXMATCH(C5408, ""薪資""), ""薪資變動(不計入)"",
  REGEXMATCH(C5408, ""押金""), ""押金往來"",
  AND(E5408&lt;&gt;"""", F5408=""""), ""真實支出"",
  AND(E5408="""", F5408&lt;&gt;""""), ""真實收入"",
  TRUE, ""其他""
)"),"其他")</f>
        <v>其他</v>
      </c>
      <c r="K5408" s="270" t="str">
        <f t="shared" si="2"/>
        <v/>
      </c>
      <c r="L5408">
        <f t="shared" si="3"/>
        <v>0</v>
      </c>
    </row>
    <row r="5409">
      <c r="A5409" s="107"/>
      <c r="D5409" s="270"/>
      <c r="H5409" s="106" t="str">
        <f t="shared" si="1"/>
        <v/>
      </c>
      <c r="I5409" s="271" t="str">
        <f>IFERROR(__xludf.DUMMYFUNCTION("""COMPUTED_VALUE"""),"")</f>
        <v/>
      </c>
      <c r="J5409" t="str">
        <f>IFERROR(__xludf.DUMMYFUNCTION("IFS(
  AND(REGEXMATCH(E5409, ""台銀籌備帳戶|玉山帳戶""), REGEXMATCH(C5409, ""薪資"")), ""分潤支出"",
  AND(REGEXMATCH(E5409, ""Ben帳戶|Elsa帳戶|Ben代墊|Ariel代墊|中信銀行共用""), REGEXMATCH(F5409, ""Ben帳戶|Elsa帳戶|Ben代墊|Ariel代墊|中信銀行共用"")), ""內部轉帳(忽略)"",
  AND(E5409&lt;&gt;"""", F5409&lt;&gt;"""", N"&amp;"OT(REGEXMATCH(C5409, ""薪資""))), ""內部轉帳(忽略)"",
  REGEXMATCH(C5409, ""薪資""), ""薪資變動(不計入)"",
  REGEXMATCH(C5409, ""押金""), ""押金往來"",
  AND(E5409&lt;&gt;"""", F5409=""""), ""真實支出"",
  AND(E5409="""", F5409&lt;&gt;""""), ""真實收入"",
  TRUE, ""其他""
)"),"其他")</f>
        <v>其他</v>
      </c>
      <c r="K5409" s="270" t="str">
        <f t="shared" si="2"/>
        <v/>
      </c>
      <c r="L5409">
        <f t="shared" si="3"/>
        <v>0</v>
      </c>
    </row>
    <row r="5410">
      <c r="A5410" s="107"/>
      <c r="D5410" s="270"/>
      <c r="H5410" s="106" t="str">
        <f t="shared" si="1"/>
        <v/>
      </c>
      <c r="I5410" s="271" t="str">
        <f>IFERROR(__xludf.DUMMYFUNCTION("""COMPUTED_VALUE"""),"")</f>
        <v/>
      </c>
      <c r="J5410" t="str">
        <f>IFERROR(__xludf.DUMMYFUNCTION("IFS(
  AND(REGEXMATCH(E5410, ""台銀籌備帳戶|玉山帳戶""), REGEXMATCH(C5410, ""薪資"")), ""分潤支出"",
  AND(REGEXMATCH(E5410, ""Ben帳戶|Elsa帳戶|Ben代墊|Ariel代墊|中信銀行共用""), REGEXMATCH(F5410, ""Ben帳戶|Elsa帳戶|Ben代墊|Ariel代墊|中信銀行共用"")), ""內部轉帳(忽略)"",
  AND(E5410&lt;&gt;"""", F5410&lt;&gt;"""", N"&amp;"OT(REGEXMATCH(C5410, ""薪資""))), ""內部轉帳(忽略)"",
  REGEXMATCH(C5410, ""薪資""), ""薪資變動(不計入)"",
  REGEXMATCH(C5410, ""押金""), ""押金往來"",
  AND(E5410&lt;&gt;"""", F5410=""""), ""真實支出"",
  AND(E5410="""", F5410&lt;&gt;""""), ""真實收入"",
  TRUE, ""其他""
)"),"其他")</f>
        <v>其他</v>
      </c>
      <c r="K5410" s="270" t="str">
        <f t="shared" si="2"/>
        <v/>
      </c>
      <c r="L5410">
        <f t="shared" si="3"/>
        <v>0</v>
      </c>
    </row>
    <row r="5411">
      <c r="A5411" s="107"/>
      <c r="D5411" s="270"/>
      <c r="H5411" s="106" t="str">
        <f t="shared" si="1"/>
        <v/>
      </c>
      <c r="I5411" s="271" t="str">
        <f>IFERROR(__xludf.DUMMYFUNCTION("""COMPUTED_VALUE"""),"")</f>
        <v/>
      </c>
      <c r="J5411" t="str">
        <f>IFERROR(__xludf.DUMMYFUNCTION("IFS(
  AND(REGEXMATCH(E5411, ""台銀籌備帳戶|玉山帳戶""), REGEXMATCH(C5411, ""薪資"")), ""分潤支出"",
  AND(REGEXMATCH(E5411, ""Ben帳戶|Elsa帳戶|Ben代墊|Ariel代墊|中信銀行共用""), REGEXMATCH(F5411, ""Ben帳戶|Elsa帳戶|Ben代墊|Ariel代墊|中信銀行共用"")), ""內部轉帳(忽略)"",
  AND(E5411&lt;&gt;"""", F5411&lt;&gt;"""", N"&amp;"OT(REGEXMATCH(C5411, ""薪資""))), ""內部轉帳(忽略)"",
  REGEXMATCH(C5411, ""薪資""), ""薪資變動(不計入)"",
  REGEXMATCH(C5411, ""押金""), ""押金往來"",
  AND(E5411&lt;&gt;"""", F5411=""""), ""真實支出"",
  AND(E5411="""", F5411&lt;&gt;""""), ""真實收入"",
  TRUE, ""其他""
)"),"其他")</f>
        <v>其他</v>
      </c>
      <c r="K5411" s="270" t="str">
        <f t="shared" si="2"/>
        <v/>
      </c>
      <c r="L5411">
        <f t="shared" si="3"/>
        <v>0</v>
      </c>
    </row>
    <row r="5412">
      <c r="A5412" s="107"/>
      <c r="D5412" s="270"/>
      <c r="H5412" s="106" t="str">
        <f t="shared" si="1"/>
        <v/>
      </c>
      <c r="I5412" s="271" t="str">
        <f>IFERROR(__xludf.DUMMYFUNCTION("""COMPUTED_VALUE"""),"")</f>
        <v/>
      </c>
      <c r="J5412" t="str">
        <f>IFERROR(__xludf.DUMMYFUNCTION("IFS(
  AND(REGEXMATCH(E5412, ""台銀籌備帳戶|玉山帳戶""), REGEXMATCH(C5412, ""薪資"")), ""分潤支出"",
  AND(REGEXMATCH(E5412, ""Ben帳戶|Elsa帳戶|Ben代墊|Ariel代墊|中信銀行共用""), REGEXMATCH(F5412, ""Ben帳戶|Elsa帳戶|Ben代墊|Ariel代墊|中信銀行共用"")), ""內部轉帳(忽略)"",
  AND(E5412&lt;&gt;"""", F5412&lt;&gt;"""", N"&amp;"OT(REGEXMATCH(C5412, ""薪資""))), ""內部轉帳(忽略)"",
  REGEXMATCH(C5412, ""薪資""), ""薪資變動(不計入)"",
  REGEXMATCH(C5412, ""押金""), ""押金往來"",
  AND(E5412&lt;&gt;"""", F5412=""""), ""真實支出"",
  AND(E5412="""", F5412&lt;&gt;""""), ""真實收入"",
  TRUE, ""其他""
)"),"其他")</f>
        <v>其他</v>
      </c>
      <c r="K5412" s="270" t="str">
        <f t="shared" si="2"/>
        <v/>
      </c>
      <c r="L5412">
        <f t="shared" si="3"/>
        <v>0</v>
      </c>
    </row>
    <row r="5413">
      <c r="A5413" s="107"/>
      <c r="D5413" s="270"/>
      <c r="H5413" s="106" t="str">
        <f t="shared" si="1"/>
        <v/>
      </c>
      <c r="I5413" s="271" t="str">
        <f>IFERROR(__xludf.DUMMYFUNCTION("""COMPUTED_VALUE"""),"")</f>
        <v/>
      </c>
      <c r="J5413" t="str">
        <f>IFERROR(__xludf.DUMMYFUNCTION("IFS(
  AND(REGEXMATCH(E5413, ""台銀籌備帳戶|玉山帳戶""), REGEXMATCH(C5413, ""薪資"")), ""分潤支出"",
  AND(REGEXMATCH(E5413, ""Ben帳戶|Elsa帳戶|Ben代墊|Ariel代墊|中信銀行共用""), REGEXMATCH(F5413, ""Ben帳戶|Elsa帳戶|Ben代墊|Ariel代墊|中信銀行共用"")), ""內部轉帳(忽略)"",
  AND(E5413&lt;&gt;"""", F5413&lt;&gt;"""", N"&amp;"OT(REGEXMATCH(C5413, ""薪資""))), ""內部轉帳(忽略)"",
  REGEXMATCH(C5413, ""薪資""), ""薪資變動(不計入)"",
  REGEXMATCH(C5413, ""押金""), ""押金往來"",
  AND(E5413&lt;&gt;"""", F5413=""""), ""真實支出"",
  AND(E5413="""", F5413&lt;&gt;""""), ""真實收入"",
  TRUE, ""其他""
)"),"其他")</f>
        <v>其他</v>
      </c>
      <c r="K5413" s="270" t="str">
        <f t="shared" si="2"/>
        <v/>
      </c>
      <c r="L5413">
        <f t="shared" si="3"/>
        <v>0</v>
      </c>
    </row>
    <row r="5414">
      <c r="A5414" s="107"/>
      <c r="D5414" s="270"/>
      <c r="H5414" s="106" t="str">
        <f t="shared" si="1"/>
        <v/>
      </c>
      <c r="I5414" s="271" t="str">
        <f>IFERROR(__xludf.DUMMYFUNCTION("""COMPUTED_VALUE"""),"")</f>
        <v/>
      </c>
      <c r="J5414" t="str">
        <f>IFERROR(__xludf.DUMMYFUNCTION("IFS(
  AND(REGEXMATCH(E5414, ""台銀籌備帳戶|玉山帳戶""), REGEXMATCH(C5414, ""薪資"")), ""分潤支出"",
  AND(REGEXMATCH(E5414, ""Ben帳戶|Elsa帳戶|Ben代墊|Ariel代墊|中信銀行共用""), REGEXMATCH(F5414, ""Ben帳戶|Elsa帳戶|Ben代墊|Ariel代墊|中信銀行共用"")), ""內部轉帳(忽略)"",
  AND(E5414&lt;&gt;"""", F5414&lt;&gt;"""", N"&amp;"OT(REGEXMATCH(C5414, ""薪資""))), ""內部轉帳(忽略)"",
  REGEXMATCH(C5414, ""薪資""), ""薪資變動(不計入)"",
  REGEXMATCH(C5414, ""押金""), ""押金往來"",
  AND(E5414&lt;&gt;"""", F5414=""""), ""真實支出"",
  AND(E5414="""", F5414&lt;&gt;""""), ""真實收入"",
  TRUE, ""其他""
)"),"其他")</f>
        <v>其他</v>
      </c>
      <c r="K5414" s="270" t="str">
        <f t="shared" si="2"/>
        <v/>
      </c>
      <c r="L5414">
        <f t="shared" si="3"/>
        <v>0</v>
      </c>
    </row>
    <row r="5415">
      <c r="A5415" s="107"/>
      <c r="D5415" s="270"/>
      <c r="H5415" s="106" t="str">
        <f t="shared" si="1"/>
        <v/>
      </c>
      <c r="I5415" s="271" t="str">
        <f>IFERROR(__xludf.DUMMYFUNCTION("""COMPUTED_VALUE"""),"")</f>
        <v/>
      </c>
      <c r="J5415" t="str">
        <f>IFERROR(__xludf.DUMMYFUNCTION("IFS(
  AND(REGEXMATCH(E5415, ""台銀籌備帳戶|玉山帳戶""), REGEXMATCH(C5415, ""薪資"")), ""分潤支出"",
  AND(REGEXMATCH(E5415, ""Ben帳戶|Elsa帳戶|Ben代墊|Ariel代墊|中信銀行共用""), REGEXMATCH(F5415, ""Ben帳戶|Elsa帳戶|Ben代墊|Ariel代墊|中信銀行共用"")), ""內部轉帳(忽略)"",
  AND(E5415&lt;&gt;"""", F5415&lt;&gt;"""", N"&amp;"OT(REGEXMATCH(C5415, ""薪資""))), ""內部轉帳(忽略)"",
  REGEXMATCH(C5415, ""薪資""), ""薪資變動(不計入)"",
  REGEXMATCH(C5415, ""押金""), ""押金往來"",
  AND(E5415&lt;&gt;"""", F5415=""""), ""真實支出"",
  AND(E5415="""", F5415&lt;&gt;""""), ""真實收入"",
  TRUE, ""其他""
)"),"其他")</f>
        <v>其他</v>
      </c>
      <c r="K5415" s="270" t="str">
        <f t="shared" si="2"/>
        <v/>
      </c>
      <c r="L5415">
        <f t="shared" si="3"/>
        <v>0</v>
      </c>
    </row>
    <row r="5416">
      <c r="A5416" s="107"/>
      <c r="D5416" s="270"/>
      <c r="H5416" s="106" t="str">
        <f t="shared" si="1"/>
        <v/>
      </c>
      <c r="I5416" s="271" t="str">
        <f>IFERROR(__xludf.DUMMYFUNCTION("""COMPUTED_VALUE"""),"")</f>
        <v/>
      </c>
      <c r="J5416" t="str">
        <f>IFERROR(__xludf.DUMMYFUNCTION("IFS(
  AND(REGEXMATCH(E5416, ""台銀籌備帳戶|玉山帳戶""), REGEXMATCH(C5416, ""薪資"")), ""分潤支出"",
  AND(REGEXMATCH(E5416, ""Ben帳戶|Elsa帳戶|Ben代墊|Ariel代墊|中信銀行共用""), REGEXMATCH(F5416, ""Ben帳戶|Elsa帳戶|Ben代墊|Ariel代墊|中信銀行共用"")), ""內部轉帳(忽略)"",
  AND(E5416&lt;&gt;"""", F5416&lt;&gt;"""", N"&amp;"OT(REGEXMATCH(C5416, ""薪資""))), ""內部轉帳(忽略)"",
  REGEXMATCH(C5416, ""薪資""), ""薪資變動(不計入)"",
  REGEXMATCH(C5416, ""押金""), ""押金往來"",
  AND(E5416&lt;&gt;"""", F5416=""""), ""真實支出"",
  AND(E5416="""", F5416&lt;&gt;""""), ""真實收入"",
  TRUE, ""其他""
)"),"其他")</f>
        <v>其他</v>
      </c>
      <c r="K5416" s="270" t="str">
        <f t="shared" si="2"/>
        <v/>
      </c>
      <c r="L5416">
        <f t="shared" si="3"/>
        <v>0</v>
      </c>
    </row>
    <row r="5417">
      <c r="A5417" s="107"/>
      <c r="D5417" s="270"/>
      <c r="H5417" s="106" t="str">
        <f t="shared" si="1"/>
        <v/>
      </c>
      <c r="I5417" s="271" t="str">
        <f>IFERROR(__xludf.DUMMYFUNCTION("""COMPUTED_VALUE"""),"")</f>
        <v/>
      </c>
      <c r="J5417" t="str">
        <f>IFERROR(__xludf.DUMMYFUNCTION("IFS(
  AND(REGEXMATCH(E5417, ""台銀籌備帳戶|玉山帳戶""), REGEXMATCH(C5417, ""薪資"")), ""分潤支出"",
  AND(REGEXMATCH(E5417, ""Ben帳戶|Elsa帳戶|Ben代墊|Ariel代墊|中信銀行共用""), REGEXMATCH(F5417, ""Ben帳戶|Elsa帳戶|Ben代墊|Ariel代墊|中信銀行共用"")), ""內部轉帳(忽略)"",
  AND(E5417&lt;&gt;"""", F5417&lt;&gt;"""", N"&amp;"OT(REGEXMATCH(C5417, ""薪資""))), ""內部轉帳(忽略)"",
  REGEXMATCH(C5417, ""薪資""), ""薪資變動(不計入)"",
  REGEXMATCH(C5417, ""押金""), ""押金往來"",
  AND(E5417&lt;&gt;"""", F5417=""""), ""真實支出"",
  AND(E5417="""", F5417&lt;&gt;""""), ""真實收入"",
  TRUE, ""其他""
)"),"其他")</f>
        <v>其他</v>
      </c>
      <c r="K5417" s="270" t="str">
        <f t="shared" si="2"/>
        <v/>
      </c>
      <c r="L5417">
        <f t="shared" si="3"/>
        <v>0</v>
      </c>
    </row>
    <row r="5418">
      <c r="A5418" s="107"/>
      <c r="D5418" s="270"/>
      <c r="H5418" s="106" t="str">
        <f t="shared" si="1"/>
        <v/>
      </c>
      <c r="I5418" s="271" t="str">
        <f>IFERROR(__xludf.DUMMYFUNCTION("""COMPUTED_VALUE"""),"")</f>
        <v/>
      </c>
      <c r="J5418" t="str">
        <f>IFERROR(__xludf.DUMMYFUNCTION("IFS(
  AND(REGEXMATCH(E5418, ""台銀籌備帳戶|玉山帳戶""), REGEXMATCH(C5418, ""薪資"")), ""分潤支出"",
  AND(REGEXMATCH(E5418, ""Ben帳戶|Elsa帳戶|Ben代墊|Ariel代墊|中信銀行共用""), REGEXMATCH(F5418, ""Ben帳戶|Elsa帳戶|Ben代墊|Ariel代墊|中信銀行共用"")), ""內部轉帳(忽略)"",
  AND(E5418&lt;&gt;"""", F5418&lt;&gt;"""", N"&amp;"OT(REGEXMATCH(C5418, ""薪資""))), ""內部轉帳(忽略)"",
  REGEXMATCH(C5418, ""薪資""), ""薪資變動(不計入)"",
  REGEXMATCH(C5418, ""押金""), ""押金往來"",
  AND(E5418&lt;&gt;"""", F5418=""""), ""真實支出"",
  AND(E5418="""", F5418&lt;&gt;""""), ""真實收入"",
  TRUE, ""其他""
)"),"其他")</f>
        <v>其他</v>
      </c>
      <c r="K5418" s="270" t="str">
        <f t="shared" si="2"/>
        <v/>
      </c>
      <c r="L5418">
        <f t="shared" si="3"/>
        <v>0</v>
      </c>
    </row>
    <row r="5419">
      <c r="A5419" s="107"/>
      <c r="D5419" s="270"/>
      <c r="H5419" s="106" t="str">
        <f t="shared" si="1"/>
        <v/>
      </c>
      <c r="I5419" s="271" t="str">
        <f>IFERROR(__xludf.DUMMYFUNCTION("""COMPUTED_VALUE"""),"")</f>
        <v/>
      </c>
      <c r="J5419" t="str">
        <f>IFERROR(__xludf.DUMMYFUNCTION("IFS(
  AND(REGEXMATCH(E5419, ""台銀籌備帳戶|玉山帳戶""), REGEXMATCH(C5419, ""薪資"")), ""分潤支出"",
  AND(REGEXMATCH(E5419, ""Ben帳戶|Elsa帳戶|Ben代墊|Ariel代墊|中信銀行共用""), REGEXMATCH(F5419, ""Ben帳戶|Elsa帳戶|Ben代墊|Ariel代墊|中信銀行共用"")), ""內部轉帳(忽略)"",
  AND(E5419&lt;&gt;"""", F5419&lt;&gt;"""", N"&amp;"OT(REGEXMATCH(C5419, ""薪資""))), ""內部轉帳(忽略)"",
  REGEXMATCH(C5419, ""薪資""), ""薪資變動(不計入)"",
  REGEXMATCH(C5419, ""押金""), ""押金往來"",
  AND(E5419&lt;&gt;"""", F5419=""""), ""真實支出"",
  AND(E5419="""", F5419&lt;&gt;""""), ""真實收入"",
  TRUE, ""其他""
)"),"其他")</f>
        <v>其他</v>
      </c>
      <c r="K5419" s="270" t="str">
        <f t="shared" si="2"/>
        <v/>
      </c>
      <c r="L5419">
        <f t="shared" si="3"/>
        <v>0</v>
      </c>
    </row>
    <row r="5420">
      <c r="A5420" s="107"/>
      <c r="D5420" s="270"/>
      <c r="H5420" s="106" t="str">
        <f t="shared" si="1"/>
        <v/>
      </c>
      <c r="I5420" s="271" t="str">
        <f>IFERROR(__xludf.DUMMYFUNCTION("""COMPUTED_VALUE"""),"")</f>
        <v/>
      </c>
      <c r="J5420" t="str">
        <f>IFERROR(__xludf.DUMMYFUNCTION("IFS(
  AND(REGEXMATCH(E5420, ""台銀籌備帳戶|玉山帳戶""), REGEXMATCH(C5420, ""薪資"")), ""分潤支出"",
  AND(REGEXMATCH(E5420, ""Ben帳戶|Elsa帳戶|Ben代墊|Ariel代墊|中信銀行共用""), REGEXMATCH(F5420, ""Ben帳戶|Elsa帳戶|Ben代墊|Ariel代墊|中信銀行共用"")), ""內部轉帳(忽略)"",
  AND(E5420&lt;&gt;"""", F5420&lt;&gt;"""", N"&amp;"OT(REGEXMATCH(C5420, ""薪資""))), ""內部轉帳(忽略)"",
  REGEXMATCH(C5420, ""薪資""), ""薪資變動(不計入)"",
  REGEXMATCH(C5420, ""押金""), ""押金往來"",
  AND(E5420&lt;&gt;"""", F5420=""""), ""真實支出"",
  AND(E5420="""", F5420&lt;&gt;""""), ""真實收入"",
  TRUE, ""其他""
)"),"其他")</f>
        <v>其他</v>
      </c>
      <c r="K5420" s="270" t="str">
        <f t="shared" si="2"/>
        <v/>
      </c>
      <c r="L5420">
        <f t="shared" si="3"/>
        <v>0</v>
      </c>
    </row>
    <row r="5421">
      <c r="A5421" s="107"/>
      <c r="D5421" s="270"/>
      <c r="H5421" s="106" t="str">
        <f t="shared" si="1"/>
        <v/>
      </c>
      <c r="I5421" s="271" t="str">
        <f>IFERROR(__xludf.DUMMYFUNCTION("""COMPUTED_VALUE"""),"")</f>
        <v/>
      </c>
      <c r="J5421" t="str">
        <f>IFERROR(__xludf.DUMMYFUNCTION("IFS(
  AND(REGEXMATCH(E5421, ""台銀籌備帳戶|玉山帳戶""), REGEXMATCH(C5421, ""薪資"")), ""分潤支出"",
  AND(REGEXMATCH(E5421, ""Ben帳戶|Elsa帳戶|Ben代墊|Ariel代墊|中信銀行共用""), REGEXMATCH(F5421, ""Ben帳戶|Elsa帳戶|Ben代墊|Ariel代墊|中信銀行共用"")), ""內部轉帳(忽略)"",
  AND(E5421&lt;&gt;"""", F5421&lt;&gt;"""", N"&amp;"OT(REGEXMATCH(C5421, ""薪資""))), ""內部轉帳(忽略)"",
  REGEXMATCH(C5421, ""薪資""), ""薪資變動(不計入)"",
  REGEXMATCH(C5421, ""押金""), ""押金往來"",
  AND(E5421&lt;&gt;"""", F5421=""""), ""真實支出"",
  AND(E5421="""", F5421&lt;&gt;""""), ""真實收入"",
  TRUE, ""其他""
)"),"其他")</f>
        <v>其他</v>
      </c>
      <c r="K5421" s="270" t="str">
        <f t="shared" si="2"/>
        <v/>
      </c>
      <c r="L5421">
        <f t="shared" si="3"/>
        <v>0</v>
      </c>
    </row>
    <row r="5422">
      <c r="A5422" s="107"/>
      <c r="D5422" s="270"/>
      <c r="H5422" s="106" t="str">
        <f t="shared" si="1"/>
        <v/>
      </c>
      <c r="I5422" s="271" t="str">
        <f>IFERROR(__xludf.DUMMYFUNCTION("""COMPUTED_VALUE"""),"")</f>
        <v/>
      </c>
      <c r="J5422" t="str">
        <f>IFERROR(__xludf.DUMMYFUNCTION("IFS(
  AND(REGEXMATCH(E5422, ""台銀籌備帳戶|玉山帳戶""), REGEXMATCH(C5422, ""薪資"")), ""分潤支出"",
  AND(REGEXMATCH(E5422, ""Ben帳戶|Elsa帳戶|Ben代墊|Ariel代墊|中信銀行共用""), REGEXMATCH(F5422, ""Ben帳戶|Elsa帳戶|Ben代墊|Ariel代墊|中信銀行共用"")), ""內部轉帳(忽略)"",
  AND(E5422&lt;&gt;"""", F5422&lt;&gt;"""", N"&amp;"OT(REGEXMATCH(C5422, ""薪資""))), ""內部轉帳(忽略)"",
  REGEXMATCH(C5422, ""薪資""), ""薪資變動(不計入)"",
  REGEXMATCH(C5422, ""押金""), ""押金往來"",
  AND(E5422&lt;&gt;"""", F5422=""""), ""真實支出"",
  AND(E5422="""", F5422&lt;&gt;""""), ""真實收入"",
  TRUE, ""其他""
)"),"其他")</f>
        <v>其他</v>
      </c>
      <c r="K5422" s="270" t="str">
        <f t="shared" si="2"/>
        <v/>
      </c>
      <c r="L5422">
        <f t="shared" si="3"/>
        <v>0</v>
      </c>
    </row>
    <row r="5423">
      <c r="A5423" s="107"/>
      <c r="D5423" s="270"/>
      <c r="H5423" s="106" t="str">
        <f t="shared" si="1"/>
        <v/>
      </c>
      <c r="I5423" s="271" t="str">
        <f>IFERROR(__xludf.DUMMYFUNCTION("""COMPUTED_VALUE"""),"")</f>
        <v/>
      </c>
      <c r="J5423" t="str">
        <f>IFERROR(__xludf.DUMMYFUNCTION("IFS(
  AND(REGEXMATCH(E5423, ""台銀籌備帳戶|玉山帳戶""), REGEXMATCH(C5423, ""薪資"")), ""分潤支出"",
  AND(REGEXMATCH(E5423, ""Ben帳戶|Elsa帳戶|Ben代墊|Ariel代墊|中信銀行共用""), REGEXMATCH(F5423, ""Ben帳戶|Elsa帳戶|Ben代墊|Ariel代墊|中信銀行共用"")), ""內部轉帳(忽略)"",
  AND(E5423&lt;&gt;"""", F5423&lt;&gt;"""", N"&amp;"OT(REGEXMATCH(C5423, ""薪資""))), ""內部轉帳(忽略)"",
  REGEXMATCH(C5423, ""薪資""), ""薪資變動(不計入)"",
  REGEXMATCH(C5423, ""押金""), ""押金往來"",
  AND(E5423&lt;&gt;"""", F5423=""""), ""真實支出"",
  AND(E5423="""", F5423&lt;&gt;""""), ""真實收入"",
  TRUE, ""其他""
)"),"其他")</f>
        <v>其他</v>
      </c>
      <c r="K5423" s="270" t="str">
        <f t="shared" si="2"/>
        <v/>
      </c>
      <c r="L5423">
        <f t="shared" si="3"/>
        <v>0</v>
      </c>
    </row>
    <row r="5424">
      <c r="A5424" s="107"/>
      <c r="D5424" s="270"/>
      <c r="H5424" s="106" t="str">
        <f t="shared" si="1"/>
        <v/>
      </c>
      <c r="I5424" s="271" t="str">
        <f>IFERROR(__xludf.DUMMYFUNCTION("""COMPUTED_VALUE"""),"")</f>
        <v/>
      </c>
      <c r="J5424" t="str">
        <f>IFERROR(__xludf.DUMMYFUNCTION("IFS(
  AND(REGEXMATCH(E5424, ""台銀籌備帳戶|玉山帳戶""), REGEXMATCH(C5424, ""薪資"")), ""分潤支出"",
  AND(REGEXMATCH(E5424, ""Ben帳戶|Elsa帳戶|Ben代墊|Ariel代墊|中信銀行共用""), REGEXMATCH(F5424, ""Ben帳戶|Elsa帳戶|Ben代墊|Ariel代墊|中信銀行共用"")), ""內部轉帳(忽略)"",
  AND(E5424&lt;&gt;"""", F5424&lt;&gt;"""", N"&amp;"OT(REGEXMATCH(C5424, ""薪資""))), ""內部轉帳(忽略)"",
  REGEXMATCH(C5424, ""薪資""), ""薪資變動(不計入)"",
  REGEXMATCH(C5424, ""押金""), ""押金往來"",
  AND(E5424&lt;&gt;"""", F5424=""""), ""真實支出"",
  AND(E5424="""", F5424&lt;&gt;""""), ""真實收入"",
  TRUE, ""其他""
)"),"其他")</f>
        <v>其他</v>
      </c>
      <c r="K5424" s="270" t="str">
        <f t="shared" si="2"/>
        <v/>
      </c>
      <c r="L5424">
        <f t="shared" si="3"/>
        <v>0</v>
      </c>
    </row>
    <row r="5425">
      <c r="A5425" s="107"/>
      <c r="D5425" s="270"/>
      <c r="H5425" s="106" t="str">
        <f t="shared" si="1"/>
        <v/>
      </c>
      <c r="I5425" s="271" t="str">
        <f>IFERROR(__xludf.DUMMYFUNCTION("""COMPUTED_VALUE"""),"")</f>
        <v/>
      </c>
      <c r="J5425" t="str">
        <f>IFERROR(__xludf.DUMMYFUNCTION("IFS(
  AND(REGEXMATCH(E5425, ""台銀籌備帳戶|玉山帳戶""), REGEXMATCH(C5425, ""薪資"")), ""分潤支出"",
  AND(REGEXMATCH(E5425, ""Ben帳戶|Elsa帳戶|Ben代墊|Ariel代墊|中信銀行共用""), REGEXMATCH(F5425, ""Ben帳戶|Elsa帳戶|Ben代墊|Ariel代墊|中信銀行共用"")), ""內部轉帳(忽略)"",
  AND(E5425&lt;&gt;"""", F5425&lt;&gt;"""", N"&amp;"OT(REGEXMATCH(C5425, ""薪資""))), ""內部轉帳(忽略)"",
  REGEXMATCH(C5425, ""薪資""), ""薪資變動(不計入)"",
  REGEXMATCH(C5425, ""押金""), ""押金往來"",
  AND(E5425&lt;&gt;"""", F5425=""""), ""真實支出"",
  AND(E5425="""", F5425&lt;&gt;""""), ""真實收入"",
  TRUE, ""其他""
)"),"其他")</f>
        <v>其他</v>
      </c>
      <c r="K5425" s="270" t="str">
        <f t="shared" si="2"/>
        <v/>
      </c>
      <c r="L5425">
        <f t="shared" si="3"/>
        <v>0</v>
      </c>
    </row>
    <row r="5426">
      <c r="A5426" s="107"/>
      <c r="D5426" s="270"/>
      <c r="H5426" s="106" t="str">
        <f t="shared" si="1"/>
        <v/>
      </c>
      <c r="I5426" s="271" t="str">
        <f>IFERROR(__xludf.DUMMYFUNCTION("""COMPUTED_VALUE"""),"")</f>
        <v/>
      </c>
      <c r="J5426" t="str">
        <f>IFERROR(__xludf.DUMMYFUNCTION("IFS(
  AND(REGEXMATCH(E5426, ""台銀籌備帳戶|玉山帳戶""), REGEXMATCH(C5426, ""薪資"")), ""分潤支出"",
  AND(REGEXMATCH(E5426, ""Ben帳戶|Elsa帳戶|Ben代墊|Ariel代墊|中信銀行共用""), REGEXMATCH(F5426, ""Ben帳戶|Elsa帳戶|Ben代墊|Ariel代墊|中信銀行共用"")), ""內部轉帳(忽略)"",
  AND(E5426&lt;&gt;"""", F5426&lt;&gt;"""", N"&amp;"OT(REGEXMATCH(C5426, ""薪資""))), ""內部轉帳(忽略)"",
  REGEXMATCH(C5426, ""薪資""), ""薪資變動(不計入)"",
  REGEXMATCH(C5426, ""押金""), ""押金往來"",
  AND(E5426&lt;&gt;"""", F5426=""""), ""真實支出"",
  AND(E5426="""", F5426&lt;&gt;""""), ""真實收入"",
  TRUE, ""其他""
)"),"其他")</f>
        <v>其他</v>
      </c>
      <c r="K5426" s="270" t="str">
        <f t="shared" si="2"/>
        <v/>
      </c>
      <c r="L5426">
        <f t="shared" si="3"/>
        <v>0</v>
      </c>
    </row>
    <row r="5427">
      <c r="A5427" s="107"/>
      <c r="D5427" s="270"/>
      <c r="H5427" s="106" t="str">
        <f t="shared" si="1"/>
        <v/>
      </c>
      <c r="I5427" s="271" t="str">
        <f>IFERROR(__xludf.DUMMYFUNCTION("""COMPUTED_VALUE"""),"")</f>
        <v/>
      </c>
      <c r="J5427" t="str">
        <f>IFERROR(__xludf.DUMMYFUNCTION("IFS(
  AND(REGEXMATCH(E5427, ""台銀籌備帳戶|玉山帳戶""), REGEXMATCH(C5427, ""薪資"")), ""分潤支出"",
  AND(REGEXMATCH(E5427, ""Ben帳戶|Elsa帳戶|Ben代墊|Ariel代墊|中信銀行共用""), REGEXMATCH(F5427, ""Ben帳戶|Elsa帳戶|Ben代墊|Ariel代墊|中信銀行共用"")), ""內部轉帳(忽略)"",
  AND(E5427&lt;&gt;"""", F5427&lt;&gt;"""", N"&amp;"OT(REGEXMATCH(C5427, ""薪資""))), ""內部轉帳(忽略)"",
  REGEXMATCH(C5427, ""薪資""), ""薪資變動(不計入)"",
  REGEXMATCH(C5427, ""押金""), ""押金往來"",
  AND(E5427&lt;&gt;"""", F5427=""""), ""真實支出"",
  AND(E5427="""", F5427&lt;&gt;""""), ""真實收入"",
  TRUE, ""其他""
)"),"其他")</f>
        <v>其他</v>
      </c>
      <c r="K5427" s="270" t="str">
        <f t="shared" si="2"/>
        <v/>
      </c>
      <c r="L5427">
        <f t="shared" si="3"/>
        <v>0</v>
      </c>
    </row>
    <row r="5428">
      <c r="A5428" s="107"/>
      <c r="D5428" s="270"/>
      <c r="H5428" s="106" t="str">
        <f t="shared" si="1"/>
        <v/>
      </c>
      <c r="I5428" s="271" t="str">
        <f>IFERROR(__xludf.DUMMYFUNCTION("""COMPUTED_VALUE"""),"")</f>
        <v/>
      </c>
      <c r="J5428" t="str">
        <f>IFERROR(__xludf.DUMMYFUNCTION("IFS(
  AND(REGEXMATCH(E5428, ""台銀籌備帳戶|玉山帳戶""), REGEXMATCH(C5428, ""薪資"")), ""分潤支出"",
  AND(REGEXMATCH(E5428, ""Ben帳戶|Elsa帳戶|Ben代墊|Ariel代墊|中信銀行共用""), REGEXMATCH(F5428, ""Ben帳戶|Elsa帳戶|Ben代墊|Ariel代墊|中信銀行共用"")), ""內部轉帳(忽略)"",
  AND(E5428&lt;&gt;"""", F5428&lt;&gt;"""", N"&amp;"OT(REGEXMATCH(C5428, ""薪資""))), ""內部轉帳(忽略)"",
  REGEXMATCH(C5428, ""薪資""), ""薪資變動(不計入)"",
  REGEXMATCH(C5428, ""押金""), ""押金往來"",
  AND(E5428&lt;&gt;"""", F5428=""""), ""真實支出"",
  AND(E5428="""", F5428&lt;&gt;""""), ""真實收入"",
  TRUE, ""其他""
)"),"其他")</f>
        <v>其他</v>
      </c>
      <c r="K5428" s="270" t="str">
        <f t="shared" si="2"/>
        <v/>
      </c>
      <c r="L5428">
        <f t="shared" si="3"/>
        <v>0</v>
      </c>
    </row>
    <row r="5429">
      <c r="A5429" s="107"/>
      <c r="D5429" s="270"/>
      <c r="H5429" s="106" t="str">
        <f t="shared" si="1"/>
        <v/>
      </c>
      <c r="I5429" s="271" t="str">
        <f>IFERROR(__xludf.DUMMYFUNCTION("""COMPUTED_VALUE"""),"")</f>
        <v/>
      </c>
      <c r="J5429" t="str">
        <f>IFERROR(__xludf.DUMMYFUNCTION("IFS(
  AND(REGEXMATCH(E5429, ""台銀籌備帳戶|玉山帳戶""), REGEXMATCH(C5429, ""薪資"")), ""分潤支出"",
  AND(REGEXMATCH(E5429, ""Ben帳戶|Elsa帳戶|Ben代墊|Ariel代墊|中信銀行共用""), REGEXMATCH(F5429, ""Ben帳戶|Elsa帳戶|Ben代墊|Ariel代墊|中信銀行共用"")), ""內部轉帳(忽略)"",
  AND(E5429&lt;&gt;"""", F5429&lt;&gt;"""", N"&amp;"OT(REGEXMATCH(C5429, ""薪資""))), ""內部轉帳(忽略)"",
  REGEXMATCH(C5429, ""薪資""), ""薪資變動(不計入)"",
  REGEXMATCH(C5429, ""押金""), ""押金往來"",
  AND(E5429&lt;&gt;"""", F5429=""""), ""真實支出"",
  AND(E5429="""", F5429&lt;&gt;""""), ""真實收入"",
  TRUE, ""其他""
)"),"其他")</f>
        <v>其他</v>
      </c>
      <c r="K5429" s="270" t="str">
        <f t="shared" si="2"/>
        <v/>
      </c>
      <c r="L5429">
        <f t="shared" si="3"/>
        <v>0</v>
      </c>
    </row>
    <row r="5430">
      <c r="A5430" s="107"/>
      <c r="D5430" s="270"/>
      <c r="H5430" s="106" t="str">
        <f t="shared" si="1"/>
        <v/>
      </c>
      <c r="I5430" s="271" t="str">
        <f>IFERROR(__xludf.DUMMYFUNCTION("""COMPUTED_VALUE"""),"")</f>
        <v/>
      </c>
      <c r="J5430" t="str">
        <f>IFERROR(__xludf.DUMMYFUNCTION("IFS(
  AND(REGEXMATCH(E5430, ""台銀籌備帳戶|玉山帳戶""), REGEXMATCH(C5430, ""薪資"")), ""分潤支出"",
  AND(REGEXMATCH(E5430, ""Ben帳戶|Elsa帳戶|Ben代墊|Ariel代墊|中信銀行共用""), REGEXMATCH(F5430, ""Ben帳戶|Elsa帳戶|Ben代墊|Ariel代墊|中信銀行共用"")), ""內部轉帳(忽略)"",
  AND(E5430&lt;&gt;"""", F5430&lt;&gt;"""", N"&amp;"OT(REGEXMATCH(C5430, ""薪資""))), ""內部轉帳(忽略)"",
  REGEXMATCH(C5430, ""薪資""), ""薪資變動(不計入)"",
  REGEXMATCH(C5430, ""押金""), ""押金往來"",
  AND(E5430&lt;&gt;"""", F5430=""""), ""真實支出"",
  AND(E5430="""", F5430&lt;&gt;""""), ""真實收入"",
  TRUE, ""其他""
)"),"其他")</f>
        <v>其他</v>
      </c>
      <c r="K5430" s="270" t="str">
        <f t="shared" si="2"/>
        <v/>
      </c>
      <c r="L5430">
        <f t="shared" si="3"/>
        <v>0</v>
      </c>
    </row>
    <row r="5431">
      <c r="A5431" s="107"/>
      <c r="D5431" s="270"/>
      <c r="H5431" s="106" t="str">
        <f t="shared" si="1"/>
        <v/>
      </c>
      <c r="I5431" s="271" t="str">
        <f>IFERROR(__xludf.DUMMYFUNCTION("""COMPUTED_VALUE"""),"")</f>
        <v/>
      </c>
      <c r="J5431" t="str">
        <f>IFERROR(__xludf.DUMMYFUNCTION("IFS(
  AND(REGEXMATCH(E5431, ""台銀籌備帳戶|玉山帳戶""), REGEXMATCH(C5431, ""薪資"")), ""分潤支出"",
  AND(REGEXMATCH(E5431, ""Ben帳戶|Elsa帳戶|Ben代墊|Ariel代墊|中信銀行共用""), REGEXMATCH(F5431, ""Ben帳戶|Elsa帳戶|Ben代墊|Ariel代墊|中信銀行共用"")), ""內部轉帳(忽略)"",
  AND(E5431&lt;&gt;"""", F5431&lt;&gt;"""", N"&amp;"OT(REGEXMATCH(C5431, ""薪資""))), ""內部轉帳(忽略)"",
  REGEXMATCH(C5431, ""薪資""), ""薪資變動(不計入)"",
  REGEXMATCH(C5431, ""押金""), ""押金往來"",
  AND(E5431&lt;&gt;"""", F5431=""""), ""真實支出"",
  AND(E5431="""", F5431&lt;&gt;""""), ""真實收入"",
  TRUE, ""其他""
)"),"其他")</f>
        <v>其他</v>
      </c>
      <c r="K5431" s="270" t="str">
        <f t="shared" si="2"/>
        <v/>
      </c>
      <c r="L5431">
        <f t="shared" si="3"/>
        <v>0</v>
      </c>
    </row>
    <row r="5432">
      <c r="A5432" s="107"/>
      <c r="D5432" s="270"/>
      <c r="H5432" s="106" t="str">
        <f t="shared" si="1"/>
        <v/>
      </c>
      <c r="I5432" s="271" t="str">
        <f>IFERROR(__xludf.DUMMYFUNCTION("""COMPUTED_VALUE"""),"")</f>
        <v/>
      </c>
      <c r="J5432" t="str">
        <f>IFERROR(__xludf.DUMMYFUNCTION("IFS(
  AND(REGEXMATCH(E5432, ""台銀籌備帳戶|玉山帳戶""), REGEXMATCH(C5432, ""薪資"")), ""分潤支出"",
  AND(REGEXMATCH(E5432, ""Ben帳戶|Elsa帳戶|Ben代墊|Ariel代墊|中信銀行共用""), REGEXMATCH(F5432, ""Ben帳戶|Elsa帳戶|Ben代墊|Ariel代墊|中信銀行共用"")), ""內部轉帳(忽略)"",
  AND(E5432&lt;&gt;"""", F5432&lt;&gt;"""", N"&amp;"OT(REGEXMATCH(C5432, ""薪資""))), ""內部轉帳(忽略)"",
  REGEXMATCH(C5432, ""薪資""), ""薪資變動(不計入)"",
  REGEXMATCH(C5432, ""押金""), ""押金往來"",
  AND(E5432&lt;&gt;"""", F5432=""""), ""真實支出"",
  AND(E5432="""", F5432&lt;&gt;""""), ""真實收入"",
  TRUE, ""其他""
)"),"其他")</f>
        <v>其他</v>
      </c>
      <c r="K5432" s="270" t="str">
        <f t="shared" si="2"/>
        <v/>
      </c>
      <c r="L5432">
        <f t="shared" si="3"/>
        <v>0</v>
      </c>
    </row>
    <row r="5433">
      <c r="A5433" s="107"/>
      <c r="D5433" s="270"/>
      <c r="H5433" s="106" t="str">
        <f t="shared" si="1"/>
        <v/>
      </c>
      <c r="I5433" s="271" t="str">
        <f>IFERROR(__xludf.DUMMYFUNCTION("""COMPUTED_VALUE"""),"")</f>
        <v/>
      </c>
      <c r="J5433" t="str">
        <f>IFERROR(__xludf.DUMMYFUNCTION("IFS(
  AND(REGEXMATCH(E5433, ""台銀籌備帳戶|玉山帳戶""), REGEXMATCH(C5433, ""薪資"")), ""分潤支出"",
  AND(REGEXMATCH(E5433, ""Ben帳戶|Elsa帳戶|Ben代墊|Ariel代墊|中信銀行共用""), REGEXMATCH(F5433, ""Ben帳戶|Elsa帳戶|Ben代墊|Ariel代墊|中信銀行共用"")), ""內部轉帳(忽略)"",
  AND(E5433&lt;&gt;"""", F5433&lt;&gt;"""", N"&amp;"OT(REGEXMATCH(C5433, ""薪資""))), ""內部轉帳(忽略)"",
  REGEXMATCH(C5433, ""薪資""), ""薪資變動(不計入)"",
  REGEXMATCH(C5433, ""押金""), ""押金往來"",
  AND(E5433&lt;&gt;"""", F5433=""""), ""真實支出"",
  AND(E5433="""", F5433&lt;&gt;""""), ""真實收入"",
  TRUE, ""其他""
)"),"其他")</f>
        <v>其他</v>
      </c>
      <c r="K5433" s="270" t="str">
        <f t="shared" si="2"/>
        <v/>
      </c>
      <c r="L5433">
        <f t="shared" si="3"/>
        <v>0</v>
      </c>
    </row>
    <row r="5434">
      <c r="A5434" s="107"/>
      <c r="D5434" s="270"/>
      <c r="H5434" s="106" t="str">
        <f t="shared" si="1"/>
        <v/>
      </c>
      <c r="I5434" s="271" t="str">
        <f>IFERROR(__xludf.DUMMYFUNCTION("""COMPUTED_VALUE"""),"")</f>
        <v/>
      </c>
      <c r="J5434" t="str">
        <f>IFERROR(__xludf.DUMMYFUNCTION("IFS(
  AND(REGEXMATCH(E5434, ""台銀籌備帳戶|玉山帳戶""), REGEXMATCH(C5434, ""薪資"")), ""分潤支出"",
  AND(REGEXMATCH(E5434, ""Ben帳戶|Elsa帳戶|Ben代墊|Ariel代墊|中信銀行共用""), REGEXMATCH(F5434, ""Ben帳戶|Elsa帳戶|Ben代墊|Ariel代墊|中信銀行共用"")), ""內部轉帳(忽略)"",
  AND(E5434&lt;&gt;"""", F5434&lt;&gt;"""", N"&amp;"OT(REGEXMATCH(C5434, ""薪資""))), ""內部轉帳(忽略)"",
  REGEXMATCH(C5434, ""薪資""), ""薪資變動(不計入)"",
  REGEXMATCH(C5434, ""押金""), ""押金往來"",
  AND(E5434&lt;&gt;"""", F5434=""""), ""真實支出"",
  AND(E5434="""", F5434&lt;&gt;""""), ""真實收入"",
  TRUE, ""其他""
)"),"其他")</f>
        <v>其他</v>
      </c>
      <c r="K5434" s="270" t="str">
        <f t="shared" si="2"/>
        <v/>
      </c>
      <c r="L5434">
        <f t="shared" si="3"/>
        <v>0</v>
      </c>
    </row>
    <row r="5435">
      <c r="A5435" s="107"/>
      <c r="D5435" s="270"/>
      <c r="H5435" s="106" t="str">
        <f t="shared" si="1"/>
        <v/>
      </c>
      <c r="I5435" s="271" t="str">
        <f>IFERROR(__xludf.DUMMYFUNCTION("""COMPUTED_VALUE"""),"")</f>
        <v/>
      </c>
      <c r="J5435" t="str">
        <f>IFERROR(__xludf.DUMMYFUNCTION("IFS(
  AND(REGEXMATCH(E5435, ""台銀籌備帳戶|玉山帳戶""), REGEXMATCH(C5435, ""薪資"")), ""分潤支出"",
  AND(REGEXMATCH(E5435, ""Ben帳戶|Elsa帳戶|Ben代墊|Ariel代墊|中信銀行共用""), REGEXMATCH(F5435, ""Ben帳戶|Elsa帳戶|Ben代墊|Ariel代墊|中信銀行共用"")), ""內部轉帳(忽略)"",
  AND(E5435&lt;&gt;"""", F5435&lt;&gt;"""", N"&amp;"OT(REGEXMATCH(C5435, ""薪資""))), ""內部轉帳(忽略)"",
  REGEXMATCH(C5435, ""薪資""), ""薪資變動(不計入)"",
  REGEXMATCH(C5435, ""押金""), ""押金往來"",
  AND(E5435&lt;&gt;"""", F5435=""""), ""真實支出"",
  AND(E5435="""", F5435&lt;&gt;""""), ""真實收入"",
  TRUE, ""其他""
)"),"其他")</f>
        <v>其他</v>
      </c>
      <c r="K5435" s="270" t="str">
        <f t="shared" si="2"/>
        <v/>
      </c>
      <c r="L5435">
        <f t="shared" si="3"/>
        <v>0</v>
      </c>
    </row>
    <row r="5436">
      <c r="A5436" s="107"/>
      <c r="D5436" s="270"/>
      <c r="H5436" s="106" t="str">
        <f t="shared" si="1"/>
        <v/>
      </c>
      <c r="I5436" s="271" t="str">
        <f>IFERROR(__xludf.DUMMYFUNCTION("""COMPUTED_VALUE"""),"")</f>
        <v/>
      </c>
      <c r="J5436" t="str">
        <f>IFERROR(__xludf.DUMMYFUNCTION("IFS(
  AND(REGEXMATCH(E5436, ""台銀籌備帳戶|玉山帳戶""), REGEXMATCH(C5436, ""薪資"")), ""分潤支出"",
  AND(REGEXMATCH(E5436, ""Ben帳戶|Elsa帳戶|Ben代墊|Ariel代墊|中信銀行共用""), REGEXMATCH(F5436, ""Ben帳戶|Elsa帳戶|Ben代墊|Ariel代墊|中信銀行共用"")), ""內部轉帳(忽略)"",
  AND(E5436&lt;&gt;"""", F5436&lt;&gt;"""", N"&amp;"OT(REGEXMATCH(C5436, ""薪資""))), ""內部轉帳(忽略)"",
  REGEXMATCH(C5436, ""薪資""), ""薪資變動(不計入)"",
  REGEXMATCH(C5436, ""押金""), ""押金往來"",
  AND(E5436&lt;&gt;"""", F5436=""""), ""真實支出"",
  AND(E5436="""", F5436&lt;&gt;""""), ""真實收入"",
  TRUE, ""其他""
)"),"其他")</f>
        <v>其他</v>
      </c>
      <c r="K5436" s="270" t="str">
        <f t="shared" si="2"/>
        <v/>
      </c>
      <c r="L5436">
        <f t="shared" si="3"/>
        <v>0</v>
      </c>
    </row>
    <row r="5437">
      <c r="A5437" s="107"/>
      <c r="D5437" s="270"/>
      <c r="H5437" s="106" t="str">
        <f t="shared" si="1"/>
        <v/>
      </c>
      <c r="I5437" s="271" t="str">
        <f>IFERROR(__xludf.DUMMYFUNCTION("""COMPUTED_VALUE"""),"")</f>
        <v/>
      </c>
      <c r="J5437" t="str">
        <f>IFERROR(__xludf.DUMMYFUNCTION("IFS(
  AND(REGEXMATCH(E5437, ""台銀籌備帳戶|玉山帳戶""), REGEXMATCH(C5437, ""薪資"")), ""分潤支出"",
  AND(REGEXMATCH(E5437, ""Ben帳戶|Elsa帳戶|Ben代墊|Ariel代墊|中信銀行共用""), REGEXMATCH(F5437, ""Ben帳戶|Elsa帳戶|Ben代墊|Ariel代墊|中信銀行共用"")), ""內部轉帳(忽略)"",
  AND(E5437&lt;&gt;"""", F5437&lt;&gt;"""", N"&amp;"OT(REGEXMATCH(C5437, ""薪資""))), ""內部轉帳(忽略)"",
  REGEXMATCH(C5437, ""薪資""), ""薪資變動(不計入)"",
  REGEXMATCH(C5437, ""押金""), ""押金往來"",
  AND(E5437&lt;&gt;"""", F5437=""""), ""真實支出"",
  AND(E5437="""", F5437&lt;&gt;""""), ""真實收入"",
  TRUE, ""其他""
)"),"其他")</f>
        <v>其他</v>
      </c>
      <c r="K5437" s="270" t="str">
        <f t="shared" si="2"/>
        <v/>
      </c>
      <c r="L5437">
        <f t="shared" si="3"/>
        <v>0</v>
      </c>
    </row>
    <row r="5438">
      <c r="A5438" s="107"/>
      <c r="D5438" s="270"/>
      <c r="H5438" s="106" t="str">
        <f t="shared" si="1"/>
        <v/>
      </c>
      <c r="I5438" s="271" t="str">
        <f>IFERROR(__xludf.DUMMYFUNCTION("""COMPUTED_VALUE"""),"")</f>
        <v/>
      </c>
      <c r="J5438" t="str">
        <f>IFERROR(__xludf.DUMMYFUNCTION("IFS(
  AND(REGEXMATCH(E5438, ""台銀籌備帳戶|玉山帳戶""), REGEXMATCH(C5438, ""薪資"")), ""分潤支出"",
  AND(REGEXMATCH(E5438, ""Ben帳戶|Elsa帳戶|Ben代墊|Ariel代墊|中信銀行共用""), REGEXMATCH(F5438, ""Ben帳戶|Elsa帳戶|Ben代墊|Ariel代墊|中信銀行共用"")), ""內部轉帳(忽略)"",
  AND(E5438&lt;&gt;"""", F5438&lt;&gt;"""", N"&amp;"OT(REGEXMATCH(C5438, ""薪資""))), ""內部轉帳(忽略)"",
  REGEXMATCH(C5438, ""薪資""), ""薪資變動(不計入)"",
  REGEXMATCH(C5438, ""押金""), ""押金往來"",
  AND(E5438&lt;&gt;"""", F5438=""""), ""真實支出"",
  AND(E5438="""", F5438&lt;&gt;""""), ""真實收入"",
  TRUE, ""其他""
)"),"其他")</f>
        <v>其他</v>
      </c>
      <c r="K5438" s="270" t="str">
        <f t="shared" si="2"/>
        <v/>
      </c>
      <c r="L5438">
        <f t="shared" si="3"/>
        <v>0</v>
      </c>
    </row>
    <row r="5439">
      <c r="A5439" s="107"/>
      <c r="D5439" s="270"/>
      <c r="H5439" s="106" t="str">
        <f t="shared" si="1"/>
        <v/>
      </c>
      <c r="I5439" s="271" t="str">
        <f>IFERROR(__xludf.DUMMYFUNCTION("""COMPUTED_VALUE"""),"")</f>
        <v/>
      </c>
      <c r="J5439" t="str">
        <f>IFERROR(__xludf.DUMMYFUNCTION("IFS(
  AND(REGEXMATCH(E5439, ""台銀籌備帳戶|玉山帳戶""), REGEXMATCH(C5439, ""薪資"")), ""分潤支出"",
  AND(REGEXMATCH(E5439, ""Ben帳戶|Elsa帳戶|Ben代墊|Ariel代墊|中信銀行共用""), REGEXMATCH(F5439, ""Ben帳戶|Elsa帳戶|Ben代墊|Ariel代墊|中信銀行共用"")), ""內部轉帳(忽略)"",
  AND(E5439&lt;&gt;"""", F5439&lt;&gt;"""", N"&amp;"OT(REGEXMATCH(C5439, ""薪資""))), ""內部轉帳(忽略)"",
  REGEXMATCH(C5439, ""薪資""), ""薪資變動(不計入)"",
  REGEXMATCH(C5439, ""押金""), ""押金往來"",
  AND(E5439&lt;&gt;"""", F5439=""""), ""真實支出"",
  AND(E5439="""", F5439&lt;&gt;""""), ""真實收入"",
  TRUE, ""其他""
)"),"其他")</f>
        <v>其他</v>
      </c>
      <c r="K5439" s="270" t="str">
        <f t="shared" si="2"/>
        <v/>
      </c>
      <c r="L5439">
        <f t="shared" si="3"/>
        <v>0</v>
      </c>
    </row>
    <row r="5440">
      <c r="A5440" s="107"/>
      <c r="D5440" s="270"/>
      <c r="H5440" s="106" t="str">
        <f t="shared" si="1"/>
        <v/>
      </c>
      <c r="I5440" s="271" t="str">
        <f>IFERROR(__xludf.DUMMYFUNCTION("""COMPUTED_VALUE"""),"")</f>
        <v/>
      </c>
      <c r="J5440" t="str">
        <f>IFERROR(__xludf.DUMMYFUNCTION("IFS(
  AND(REGEXMATCH(E5440, ""台銀籌備帳戶|玉山帳戶""), REGEXMATCH(C5440, ""薪資"")), ""分潤支出"",
  AND(REGEXMATCH(E5440, ""Ben帳戶|Elsa帳戶|Ben代墊|Ariel代墊|中信銀行共用""), REGEXMATCH(F5440, ""Ben帳戶|Elsa帳戶|Ben代墊|Ariel代墊|中信銀行共用"")), ""內部轉帳(忽略)"",
  AND(E5440&lt;&gt;"""", F5440&lt;&gt;"""", N"&amp;"OT(REGEXMATCH(C5440, ""薪資""))), ""內部轉帳(忽略)"",
  REGEXMATCH(C5440, ""薪資""), ""薪資變動(不計入)"",
  REGEXMATCH(C5440, ""押金""), ""押金往來"",
  AND(E5440&lt;&gt;"""", F5440=""""), ""真實支出"",
  AND(E5440="""", F5440&lt;&gt;""""), ""真實收入"",
  TRUE, ""其他""
)"),"其他")</f>
        <v>其他</v>
      </c>
      <c r="K5440" s="270" t="str">
        <f t="shared" si="2"/>
        <v/>
      </c>
      <c r="L5440">
        <f t="shared" si="3"/>
        <v>0</v>
      </c>
    </row>
    <row r="5441">
      <c r="A5441" s="107"/>
      <c r="D5441" s="270"/>
      <c r="H5441" s="106" t="str">
        <f t="shared" si="1"/>
        <v/>
      </c>
      <c r="I5441" s="271" t="str">
        <f>IFERROR(__xludf.DUMMYFUNCTION("""COMPUTED_VALUE"""),"")</f>
        <v/>
      </c>
      <c r="J5441" t="str">
        <f>IFERROR(__xludf.DUMMYFUNCTION("IFS(
  AND(REGEXMATCH(E5441, ""台銀籌備帳戶|玉山帳戶""), REGEXMATCH(C5441, ""薪資"")), ""分潤支出"",
  AND(REGEXMATCH(E5441, ""Ben帳戶|Elsa帳戶|Ben代墊|Ariel代墊|中信銀行共用""), REGEXMATCH(F5441, ""Ben帳戶|Elsa帳戶|Ben代墊|Ariel代墊|中信銀行共用"")), ""內部轉帳(忽略)"",
  AND(E5441&lt;&gt;"""", F5441&lt;&gt;"""", N"&amp;"OT(REGEXMATCH(C5441, ""薪資""))), ""內部轉帳(忽略)"",
  REGEXMATCH(C5441, ""薪資""), ""薪資變動(不計入)"",
  REGEXMATCH(C5441, ""押金""), ""押金往來"",
  AND(E5441&lt;&gt;"""", F5441=""""), ""真實支出"",
  AND(E5441="""", F5441&lt;&gt;""""), ""真實收入"",
  TRUE, ""其他""
)"),"其他")</f>
        <v>其他</v>
      </c>
      <c r="K5441" s="270" t="str">
        <f t="shared" si="2"/>
        <v/>
      </c>
      <c r="L5441">
        <f t="shared" si="3"/>
        <v>0</v>
      </c>
    </row>
    <row r="5442">
      <c r="A5442" s="107"/>
      <c r="D5442" s="270"/>
      <c r="H5442" s="106" t="str">
        <f t="shared" si="1"/>
        <v/>
      </c>
      <c r="I5442" s="271" t="str">
        <f>IFERROR(__xludf.DUMMYFUNCTION("""COMPUTED_VALUE"""),"")</f>
        <v/>
      </c>
      <c r="J5442" t="str">
        <f>IFERROR(__xludf.DUMMYFUNCTION("IFS(
  AND(REGEXMATCH(E5442, ""台銀籌備帳戶|玉山帳戶""), REGEXMATCH(C5442, ""薪資"")), ""分潤支出"",
  AND(REGEXMATCH(E5442, ""Ben帳戶|Elsa帳戶|Ben代墊|Ariel代墊|中信銀行共用""), REGEXMATCH(F5442, ""Ben帳戶|Elsa帳戶|Ben代墊|Ariel代墊|中信銀行共用"")), ""內部轉帳(忽略)"",
  AND(E5442&lt;&gt;"""", F5442&lt;&gt;"""", N"&amp;"OT(REGEXMATCH(C5442, ""薪資""))), ""內部轉帳(忽略)"",
  REGEXMATCH(C5442, ""薪資""), ""薪資變動(不計入)"",
  REGEXMATCH(C5442, ""押金""), ""押金往來"",
  AND(E5442&lt;&gt;"""", F5442=""""), ""真實支出"",
  AND(E5442="""", F5442&lt;&gt;""""), ""真實收入"",
  TRUE, ""其他""
)"),"其他")</f>
        <v>其他</v>
      </c>
      <c r="K5442" s="270" t="str">
        <f t="shared" si="2"/>
        <v/>
      </c>
      <c r="L5442">
        <f t="shared" si="3"/>
        <v>0</v>
      </c>
    </row>
    <row r="5443">
      <c r="A5443" s="107"/>
      <c r="D5443" s="270"/>
      <c r="H5443" s="106" t="str">
        <f t="shared" si="1"/>
        <v/>
      </c>
      <c r="I5443" s="271" t="str">
        <f>IFERROR(__xludf.DUMMYFUNCTION("""COMPUTED_VALUE"""),"")</f>
        <v/>
      </c>
      <c r="J5443" t="str">
        <f>IFERROR(__xludf.DUMMYFUNCTION("IFS(
  AND(REGEXMATCH(E5443, ""台銀籌備帳戶|玉山帳戶""), REGEXMATCH(C5443, ""薪資"")), ""分潤支出"",
  AND(REGEXMATCH(E5443, ""Ben帳戶|Elsa帳戶|Ben代墊|Ariel代墊|中信銀行共用""), REGEXMATCH(F5443, ""Ben帳戶|Elsa帳戶|Ben代墊|Ariel代墊|中信銀行共用"")), ""內部轉帳(忽略)"",
  AND(E5443&lt;&gt;"""", F5443&lt;&gt;"""", N"&amp;"OT(REGEXMATCH(C5443, ""薪資""))), ""內部轉帳(忽略)"",
  REGEXMATCH(C5443, ""薪資""), ""薪資變動(不計入)"",
  REGEXMATCH(C5443, ""押金""), ""押金往來"",
  AND(E5443&lt;&gt;"""", F5443=""""), ""真實支出"",
  AND(E5443="""", F5443&lt;&gt;""""), ""真實收入"",
  TRUE, ""其他""
)"),"其他")</f>
        <v>其他</v>
      </c>
      <c r="K5443" s="270" t="str">
        <f t="shared" si="2"/>
        <v/>
      </c>
      <c r="L5443">
        <f t="shared" si="3"/>
        <v>0</v>
      </c>
    </row>
    <row r="5444">
      <c r="A5444" s="107"/>
      <c r="D5444" s="270"/>
      <c r="H5444" s="106" t="str">
        <f t="shared" si="1"/>
        <v/>
      </c>
      <c r="I5444" s="271" t="str">
        <f>IFERROR(__xludf.DUMMYFUNCTION("""COMPUTED_VALUE"""),"")</f>
        <v/>
      </c>
      <c r="J5444" t="str">
        <f>IFERROR(__xludf.DUMMYFUNCTION("IFS(
  AND(REGEXMATCH(E5444, ""台銀籌備帳戶|玉山帳戶""), REGEXMATCH(C5444, ""薪資"")), ""分潤支出"",
  AND(REGEXMATCH(E5444, ""Ben帳戶|Elsa帳戶|Ben代墊|Ariel代墊|中信銀行共用""), REGEXMATCH(F5444, ""Ben帳戶|Elsa帳戶|Ben代墊|Ariel代墊|中信銀行共用"")), ""內部轉帳(忽略)"",
  AND(E5444&lt;&gt;"""", F5444&lt;&gt;"""", N"&amp;"OT(REGEXMATCH(C5444, ""薪資""))), ""內部轉帳(忽略)"",
  REGEXMATCH(C5444, ""薪資""), ""薪資變動(不計入)"",
  REGEXMATCH(C5444, ""押金""), ""押金往來"",
  AND(E5444&lt;&gt;"""", F5444=""""), ""真實支出"",
  AND(E5444="""", F5444&lt;&gt;""""), ""真實收入"",
  TRUE, ""其他""
)"),"其他")</f>
        <v>其他</v>
      </c>
      <c r="K5444" s="270" t="str">
        <f t="shared" si="2"/>
        <v/>
      </c>
      <c r="L5444">
        <f t="shared" si="3"/>
        <v>0</v>
      </c>
    </row>
    <row r="5445">
      <c r="A5445" s="107"/>
      <c r="D5445" s="270"/>
      <c r="H5445" s="106" t="str">
        <f t="shared" si="1"/>
        <v/>
      </c>
      <c r="I5445" s="271" t="str">
        <f>IFERROR(__xludf.DUMMYFUNCTION("""COMPUTED_VALUE"""),"")</f>
        <v/>
      </c>
      <c r="J5445" t="str">
        <f>IFERROR(__xludf.DUMMYFUNCTION("IFS(
  AND(REGEXMATCH(E5445, ""台銀籌備帳戶|玉山帳戶""), REGEXMATCH(C5445, ""薪資"")), ""分潤支出"",
  AND(REGEXMATCH(E5445, ""Ben帳戶|Elsa帳戶|Ben代墊|Ariel代墊|中信銀行共用""), REGEXMATCH(F5445, ""Ben帳戶|Elsa帳戶|Ben代墊|Ariel代墊|中信銀行共用"")), ""內部轉帳(忽略)"",
  AND(E5445&lt;&gt;"""", F5445&lt;&gt;"""", N"&amp;"OT(REGEXMATCH(C5445, ""薪資""))), ""內部轉帳(忽略)"",
  REGEXMATCH(C5445, ""薪資""), ""薪資變動(不計入)"",
  REGEXMATCH(C5445, ""押金""), ""押金往來"",
  AND(E5445&lt;&gt;"""", F5445=""""), ""真實支出"",
  AND(E5445="""", F5445&lt;&gt;""""), ""真實收入"",
  TRUE, ""其他""
)"),"其他")</f>
        <v>其他</v>
      </c>
      <c r="K5445" s="270" t="str">
        <f t="shared" si="2"/>
        <v/>
      </c>
      <c r="L5445">
        <f t="shared" si="3"/>
        <v>0</v>
      </c>
    </row>
    <row r="5446">
      <c r="A5446" s="107"/>
      <c r="D5446" s="270"/>
      <c r="H5446" s="106" t="str">
        <f t="shared" si="1"/>
        <v/>
      </c>
      <c r="I5446" s="271" t="str">
        <f>IFERROR(__xludf.DUMMYFUNCTION("""COMPUTED_VALUE"""),"")</f>
        <v/>
      </c>
      <c r="J5446" t="str">
        <f>IFERROR(__xludf.DUMMYFUNCTION("IFS(
  AND(REGEXMATCH(E5446, ""台銀籌備帳戶|玉山帳戶""), REGEXMATCH(C5446, ""薪資"")), ""分潤支出"",
  AND(REGEXMATCH(E5446, ""Ben帳戶|Elsa帳戶|Ben代墊|Ariel代墊|中信銀行共用""), REGEXMATCH(F5446, ""Ben帳戶|Elsa帳戶|Ben代墊|Ariel代墊|中信銀行共用"")), ""內部轉帳(忽略)"",
  AND(E5446&lt;&gt;"""", F5446&lt;&gt;"""", N"&amp;"OT(REGEXMATCH(C5446, ""薪資""))), ""內部轉帳(忽略)"",
  REGEXMATCH(C5446, ""薪資""), ""薪資變動(不計入)"",
  REGEXMATCH(C5446, ""押金""), ""押金往來"",
  AND(E5446&lt;&gt;"""", F5446=""""), ""真實支出"",
  AND(E5446="""", F5446&lt;&gt;""""), ""真實收入"",
  TRUE, ""其他""
)"),"其他")</f>
        <v>其他</v>
      </c>
      <c r="K5446" s="270" t="str">
        <f t="shared" si="2"/>
        <v/>
      </c>
      <c r="L5446">
        <f t="shared" si="3"/>
        <v>0</v>
      </c>
    </row>
    <row r="5447">
      <c r="A5447" s="107"/>
      <c r="D5447" s="270"/>
      <c r="H5447" s="106" t="str">
        <f t="shared" si="1"/>
        <v/>
      </c>
      <c r="I5447" s="271" t="str">
        <f>IFERROR(__xludf.DUMMYFUNCTION("""COMPUTED_VALUE"""),"")</f>
        <v/>
      </c>
      <c r="J5447" t="str">
        <f>IFERROR(__xludf.DUMMYFUNCTION("IFS(
  AND(REGEXMATCH(E5447, ""台銀籌備帳戶|玉山帳戶""), REGEXMATCH(C5447, ""薪資"")), ""分潤支出"",
  AND(REGEXMATCH(E5447, ""Ben帳戶|Elsa帳戶|Ben代墊|Ariel代墊|中信銀行共用""), REGEXMATCH(F5447, ""Ben帳戶|Elsa帳戶|Ben代墊|Ariel代墊|中信銀行共用"")), ""內部轉帳(忽略)"",
  AND(E5447&lt;&gt;"""", F5447&lt;&gt;"""", N"&amp;"OT(REGEXMATCH(C5447, ""薪資""))), ""內部轉帳(忽略)"",
  REGEXMATCH(C5447, ""薪資""), ""薪資變動(不計入)"",
  REGEXMATCH(C5447, ""押金""), ""押金往來"",
  AND(E5447&lt;&gt;"""", F5447=""""), ""真實支出"",
  AND(E5447="""", F5447&lt;&gt;""""), ""真實收入"",
  TRUE, ""其他""
)"),"其他")</f>
        <v>其他</v>
      </c>
      <c r="K5447" s="270" t="str">
        <f t="shared" si="2"/>
        <v/>
      </c>
      <c r="L5447">
        <f t="shared" si="3"/>
        <v>0</v>
      </c>
    </row>
    <row r="5448">
      <c r="A5448" s="107"/>
      <c r="D5448" s="270"/>
      <c r="H5448" s="106" t="str">
        <f t="shared" si="1"/>
        <v/>
      </c>
      <c r="I5448" s="271" t="str">
        <f>IFERROR(__xludf.DUMMYFUNCTION("""COMPUTED_VALUE"""),"")</f>
        <v/>
      </c>
      <c r="J5448" t="str">
        <f>IFERROR(__xludf.DUMMYFUNCTION("IFS(
  AND(REGEXMATCH(E5448, ""台銀籌備帳戶|玉山帳戶""), REGEXMATCH(C5448, ""薪資"")), ""分潤支出"",
  AND(REGEXMATCH(E5448, ""Ben帳戶|Elsa帳戶|Ben代墊|Ariel代墊|中信銀行共用""), REGEXMATCH(F5448, ""Ben帳戶|Elsa帳戶|Ben代墊|Ariel代墊|中信銀行共用"")), ""內部轉帳(忽略)"",
  AND(E5448&lt;&gt;"""", F5448&lt;&gt;"""", N"&amp;"OT(REGEXMATCH(C5448, ""薪資""))), ""內部轉帳(忽略)"",
  REGEXMATCH(C5448, ""薪資""), ""薪資變動(不計入)"",
  REGEXMATCH(C5448, ""押金""), ""押金往來"",
  AND(E5448&lt;&gt;"""", F5448=""""), ""真實支出"",
  AND(E5448="""", F5448&lt;&gt;""""), ""真實收入"",
  TRUE, ""其他""
)"),"其他")</f>
        <v>其他</v>
      </c>
      <c r="K5448" s="270" t="str">
        <f t="shared" si="2"/>
        <v/>
      </c>
      <c r="L5448">
        <f t="shared" si="3"/>
        <v>0</v>
      </c>
    </row>
    <row r="5449">
      <c r="A5449" s="107"/>
      <c r="D5449" s="270"/>
      <c r="H5449" s="106" t="str">
        <f t="shared" si="1"/>
        <v/>
      </c>
      <c r="I5449" s="271" t="str">
        <f>IFERROR(__xludf.DUMMYFUNCTION("""COMPUTED_VALUE"""),"")</f>
        <v/>
      </c>
      <c r="J5449" t="str">
        <f>IFERROR(__xludf.DUMMYFUNCTION("IFS(
  AND(REGEXMATCH(E5449, ""台銀籌備帳戶|玉山帳戶""), REGEXMATCH(C5449, ""薪資"")), ""分潤支出"",
  AND(REGEXMATCH(E5449, ""Ben帳戶|Elsa帳戶|Ben代墊|Ariel代墊|中信銀行共用""), REGEXMATCH(F5449, ""Ben帳戶|Elsa帳戶|Ben代墊|Ariel代墊|中信銀行共用"")), ""內部轉帳(忽略)"",
  AND(E5449&lt;&gt;"""", F5449&lt;&gt;"""", N"&amp;"OT(REGEXMATCH(C5449, ""薪資""))), ""內部轉帳(忽略)"",
  REGEXMATCH(C5449, ""薪資""), ""薪資變動(不計入)"",
  REGEXMATCH(C5449, ""押金""), ""押金往來"",
  AND(E5449&lt;&gt;"""", F5449=""""), ""真實支出"",
  AND(E5449="""", F5449&lt;&gt;""""), ""真實收入"",
  TRUE, ""其他""
)"),"其他")</f>
        <v>其他</v>
      </c>
      <c r="K5449" s="270" t="str">
        <f t="shared" si="2"/>
        <v/>
      </c>
      <c r="L5449">
        <f t="shared" si="3"/>
        <v>0</v>
      </c>
    </row>
    <row r="5450">
      <c r="A5450" s="107"/>
      <c r="D5450" s="270"/>
      <c r="H5450" s="106" t="str">
        <f t="shared" si="1"/>
        <v/>
      </c>
      <c r="I5450" s="271" t="str">
        <f>IFERROR(__xludf.DUMMYFUNCTION("""COMPUTED_VALUE"""),"")</f>
        <v/>
      </c>
      <c r="J5450" t="str">
        <f>IFERROR(__xludf.DUMMYFUNCTION("IFS(
  AND(REGEXMATCH(E5450, ""台銀籌備帳戶|玉山帳戶""), REGEXMATCH(C5450, ""薪資"")), ""分潤支出"",
  AND(REGEXMATCH(E5450, ""Ben帳戶|Elsa帳戶|Ben代墊|Ariel代墊|中信銀行共用""), REGEXMATCH(F5450, ""Ben帳戶|Elsa帳戶|Ben代墊|Ariel代墊|中信銀行共用"")), ""內部轉帳(忽略)"",
  AND(E5450&lt;&gt;"""", F5450&lt;&gt;"""", N"&amp;"OT(REGEXMATCH(C5450, ""薪資""))), ""內部轉帳(忽略)"",
  REGEXMATCH(C5450, ""薪資""), ""薪資變動(不計入)"",
  REGEXMATCH(C5450, ""押金""), ""押金往來"",
  AND(E5450&lt;&gt;"""", F5450=""""), ""真實支出"",
  AND(E5450="""", F5450&lt;&gt;""""), ""真實收入"",
  TRUE, ""其他""
)"),"其他")</f>
        <v>其他</v>
      </c>
      <c r="K5450" s="270" t="str">
        <f t="shared" si="2"/>
        <v/>
      </c>
      <c r="L5450">
        <f t="shared" si="3"/>
        <v>0</v>
      </c>
    </row>
    <row r="5451">
      <c r="A5451" s="107"/>
      <c r="D5451" s="270"/>
      <c r="H5451" s="106" t="str">
        <f t="shared" si="1"/>
        <v/>
      </c>
      <c r="I5451" s="271" t="str">
        <f>IFERROR(__xludf.DUMMYFUNCTION("""COMPUTED_VALUE"""),"")</f>
        <v/>
      </c>
      <c r="J5451" t="str">
        <f>IFERROR(__xludf.DUMMYFUNCTION("IFS(
  AND(REGEXMATCH(E5451, ""台銀籌備帳戶|玉山帳戶""), REGEXMATCH(C5451, ""薪資"")), ""分潤支出"",
  AND(REGEXMATCH(E5451, ""Ben帳戶|Elsa帳戶|Ben代墊|Ariel代墊|中信銀行共用""), REGEXMATCH(F5451, ""Ben帳戶|Elsa帳戶|Ben代墊|Ariel代墊|中信銀行共用"")), ""內部轉帳(忽略)"",
  AND(E5451&lt;&gt;"""", F5451&lt;&gt;"""", N"&amp;"OT(REGEXMATCH(C5451, ""薪資""))), ""內部轉帳(忽略)"",
  REGEXMATCH(C5451, ""薪資""), ""薪資變動(不計入)"",
  REGEXMATCH(C5451, ""押金""), ""押金往來"",
  AND(E5451&lt;&gt;"""", F5451=""""), ""真實支出"",
  AND(E5451="""", F5451&lt;&gt;""""), ""真實收入"",
  TRUE, ""其他""
)"),"其他")</f>
        <v>其他</v>
      </c>
      <c r="K5451" s="270" t="str">
        <f t="shared" si="2"/>
        <v/>
      </c>
      <c r="L5451">
        <f t="shared" si="3"/>
        <v>0</v>
      </c>
    </row>
    <row r="5452">
      <c r="A5452" s="107"/>
      <c r="D5452" s="270"/>
      <c r="H5452" s="106" t="str">
        <f t="shared" si="1"/>
        <v/>
      </c>
      <c r="I5452" s="271" t="str">
        <f>IFERROR(__xludf.DUMMYFUNCTION("""COMPUTED_VALUE"""),"")</f>
        <v/>
      </c>
      <c r="J5452" t="str">
        <f>IFERROR(__xludf.DUMMYFUNCTION("IFS(
  AND(REGEXMATCH(E5452, ""台銀籌備帳戶|玉山帳戶""), REGEXMATCH(C5452, ""薪資"")), ""分潤支出"",
  AND(REGEXMATCH(E5452, ""Ben帳戶|Elsa帳戶|Ben代墊|Ariel代墊|中信銀行共用""), REGEXMATCH(F5452, ""Ben帳戶|Elsa帳戶|Ben代墊|Ariel代墊|中信銀行共用"")), ""內部轉帳(忽略)"",
  AND(E5452&lt;&gt;"""", F5452&lt;&gt;"""", N"&amp;"OT(REGEXMATCH(C5452, ""薪資""))), ""內部轉帳(忽略)"",
  REGEXMATCH(C5452, ""薪資""), ""薪資變動(不計入)"",
  REGEXMATCH(C5452, ""押金""), ""押金往來"",
  AND(E5452&lt;&gt;"""", F5452=""""), ""真實支出"",
  AND(E5452="""", F5452&lt;&gt;""""), ""真實收入"",
  TRUE, ""其他""
)"),"其他")</f>
        <v>其他</v>
      </c>
      <c r="K5452" s="270" t="str">
        <f t="shared" si="2"/>
        <v/>
      </c>
      <c r="L5452">
        <f t="shared" si="3"/>
        <v>0</v>
      </c>
    </row>
    <row r="5453">
      <c r="A5453" s="107"/>
      <c r="D5453" s="270"/>
      <c r="H5453" s="106" t="str">
        <f t="shared" si="1"/>
        <v/>
      </c>
      <c r="I5453" s="271" t="str">
        <f>IFERROR(__xludf.DUMMYFUNCTION("""COMPUTED_VALUE"""),"")</f>
        <v/>
      </c>
      <c r="J5453" t="str">
        <f>IFERROR(__xludf.DUMMYFUNCTION("IFS(
  AND(REGEXMATCH(E5453, ""台銀籌備帳戶|玉山帳戶""), REGEXMATCH(C5453, ""薪資"")), ""分潤支出"",
  AND(REGEXMATCH(E5453, ""Ben帳戶|Elsa帳戶|Ben代墊|Ariel代墊|中信銀行共用""), REGEXMATCH(F5453, ""Ben帳戶|Elsa帳戶|Ben代墊|Ariel代墊|中信銀行共用"")), ""內部轉帳(忽略)"",
  AND(E5453&lt;&gt;"""", F5453&lt;&gt;"""", N"&amp;"OT(REGEXMATCH(C5453, ""薪資""))), ""內部轉帳(忽略)"",
  REGEXMATCH(C5453, ""薪資""), ""薪資變動(不計入)"",
  REGEXMATCH(C5453, ""押金""), ""押金往來"",
  AND(E5453&lt;&gt;"""", F5453=""""), ""真實支出"",
  AND(E5453="""", F5453&lt;&gt;""""), ""真實收入"",
  TRUE, ""其他""
)"),"其他")</f>
        <v>其他</v>
      </c>
      <c r="K5453" s="270" t="str">
        <f t="shared" si="2"/>
        <v/>
      </c>
      <c r="L5453">
        <f t="shared" si="3"/>
        <v>0</v>
      </c>
    </row>
    <row r="5454">
      <c r="A5454" s="107"/>
      <c r="D5454" s="270"/>
      <c r="H5454" s="106" t="str">
        <f t="shared" si="1"/>
        <v/>
      </c>
      <c r="I5454" s="271" t="str">
        <f>IFERROR(__xludf.DUMMYFUNCTION("""COMPUTED_VALUE"""),"")</f>
        <v/>
      </c>
      <c r="J5454" t="str">
        <f>IFERROR(__xludf.DUMMYFUNCTION("IFS(
  AND(REGEXMATCH(E5454, ""台銀籌備帳戶|玉山帳戶""), REGEXMATCH(C5454, ""薪資"")), ""分潤支出"",
  AND(REGEXMATCH(E5454, ""Ben帳戶|Elsa帳戶|Ben代墊|Ariel代墊|中信銀行共用""), REGEXMATCH(F5454, ""Ben帳戶|Elsa帳戶|Ben代墊|Ariel代墊|中信銀行共用"")), ""內部轉帳(忽略)"",
  AND(E5454&lt;&gt;"""", F5454&lt;&gt;"""", N"&amp;"OT(REGEXMATCH(C5454, ""薪資""))), ""內部轉帳(忽略)"",
  REGEXMATCH(C5454, ""薪資""), ""薪資變動(不計入)"",
  REGEXMATCH(C5454, ""押金""), ""押金往來"",
  AND(E5454&lt;&gt;"""", F5454=""""), ""真實支出"",
  AND(E5454="""", F5454&lt;&gt;""""), ""真實收入"",
  TRUE, ""其他""
)"),"其他")</f>
        <v>其他</v>
      </c>
      <c r="K5454" s="270" t="str">
        <f t="shared" si="2"/>
        <v/>
      </c>
      <c r="L5454">
        <f t="shared" si="3"/>
        <v>0</v>
      </c>
    </row>
    <row r="5455">
      <c r="A5455" s="107"/>
      <c r="D5455" s="270"/>
      <c r="H5455" s="106" t="str">
        <f t="shared" si="1"/>
        <v/>
      </c>
      <c r="I5455" s="271" t="str">
        <f>IFERROR(__xludf.DUMMYFUNCTION("""COMPUTED_VALUE"""),"")</f>
        <v/>
      </c>
      <c r="J5455" t="str">
        <f>IFERROR(__xludf.DUMMYFUNCTION("IFS(
  AND(REGEXMATCH(E5455, ""台銀籌備帳戶|玉山帳戶""), REGEXMATCH(C5455, ""薪資"")), ""分潤支出"",
  AND(REGEXMATCH(E5455, ""Ben帳戶|Elsa帳戶|Ben代墊|Ariel代墊|中信銀行共用""), REGEXMATCH(F5455, ""Ben帳戶|Elsa帳戶|Ben代墊|Ariel代墊|中信銀行共用"")), ""內部轉帳(忽略)"",
  AND(E5455&lt;&gt;"""", F5455&lt;&gt;"""", N"&amp;"OT(REGEXMATCH(C5455, ""薪資""))), ""內部轉帳(忽略)"",
  REGEXMATCH(C5455, ""薪資""), ""薪資變動(不計入)"",
  REGEXMATCH(C5455, ""押金""), ""押金往來"",
  AND(E5455&lt;&gt;"""", F5455=""""), ""真實支出"",
  AND(E5455="""", F5455&lt;&gt;""""), ""真實收入"",
  TRUE, ""其他""
)"),"其他")</f>
        <v>其他</v>
      </c>
      <c r="K5455" s="270" t="str">
        <f t="shared" si="2"/>
        <v/>
      </c>
      <c r="L5455">
        <f t="shared" si="3"/>
        <v>0</v>
      </c>
    </row>
    <row r="5456">
      <c r="A5456" s="107"/>
      <c r="D5456" s="270"/>
      <c r="H5456" s="106" t="str">
        <f t="shared" si="1"/>
        <v/>
      </c>
      <c r="I5456" s="271" t="str">
        <f>IFERROR(__xludf.DUMMYFUNCTION("""COMPUTED_VALUE"""),"")</f>
        <v/>
      </c>
      <c r="J5456" t="str">
        <f>IFERROR(__xludf.DUMMYFUNCTION("IFS(
  AND(REGEXMATCH(E5456, ""台銀籌備帳戶|玉山帳戶""), REGEXMATCH(C5456, ""薪資"")), ""分潤支出"",
  AND(REGEXMATCH(E5456, ""Ben帳戶|Elsa帳戶|Ben代墊|Ariel代墊|中信銀行共用""), REGEXMATCH(F5456, ""Ben帳戶|Elsa帳戶|Ben代墊|Ariel代墊|中信銀行共用"")), ""內部轉帳(忽略)"",
  AND(E5456&lt;&gt;"""", F5456&lt;&gt;"""", N"&amp;"OT(REGEXMATCH(C5456, ""薪資""))), ""內部轉帳(忽略)"",
  REGEXMATCH(C5456, ""薪資""), ""薪資變動(不計入)"",
  REGEXMATCH(C5456, ""押金""), ""押金往來"",
  AND(E5456&lt;&gt;"""", F5456=""""), ""真實支出"",
  AND(E5456="""", F5456&lt;&gt;""""), ""真實收入"",
  TRUE, ""其他""
)"),"其他")</f>
        <v>其他</v>
      </c>
      <c r="K5456" s="270" t="str">
        <f t="shared" si="2"/>
        <v/>
      </c>
      <c r="L5456">
        <f t="shared" si="3"/>
        <v>0</v>
      </c>
    </row>
    <row r="5457">
      <c r="A5457" s="107"/>
      <c r="D5457" s="270"/>
      <c r="H5457" s="106" t="str">
        <f t="shared" si="1"/>
        <v/>
      </c>
      <c r="I5457" s="271" t="str">
        <f>IFERROR(__xludf.DUMMYFUNCTION("""COMPUTED_VALUE"""),"")</f>
        <v/>
      </c>
      <c r="J5457" t="str">
        <f>IFERROR(__xludf.DUMMYFUNCTION("IFS(
  AND(REGEXMATCH(E5457, ""台銀籌備帳戶|玉山帳戶""), REGEXMATCH(C5457, ""薪資"")), ""分潤支出"",
  AND(REGEXMATCH(E5457, ""Ben帳戶|Elsa帳戶|Ben代墊|Ariel代墊|中信銀行共用""), REGEXMATCH(F5457, ""Ben帳戶|Elsa帳戶|Ben代墊|Ariel代墊|中信銀行共用"")), ""內部轉帳(忽略)"",
  AND(E5457&lt;&gt;"""", F5457&lt;&gt;"""", N"&amp;"OT(REGEXMATCH(C5457, ""薪資""))), ""內部轉帳(忽略)"",
  REGEXMATCH(C5457, ""薪資""), ""薪資變動(不計入)"",
  REGEXMATCH(C5457, ""押金""), ""押金往來"",
  AND(E5457&lt;&gt;"""", F5457=""""), ""真實支出"",
  AND(E5457="""", F5457&lt;&gt;""""), ""真實收入"",
  TRUE, ""其他""
)"),"其他")</f>
        <v>其他</v>
      </c>
      <c r="K5457" s="270" t="str">
        <f t="shared" si="2"/>
        <v/>
      </c>
      <c r="L5457">
        <f t="shared" si="3"/>
        <v>0</v>
      </c>
    </row>
    <row r="5458">
      <c r="A5458" s="107"/>
      <c r="D5458" s="270"/>
      <c r="H5458" s="106" t="str">
        <f t="shared" si="1"/>
        <v/>
      </c>
      <c r="I5458" s="271" t="str">
        <f>IFERROR(__xludf.DUMMYFUNCTION("""COMPUTED_VALUE"""),"")</f>
        <v/>
      </c>
      <c r="J5458" t="str">
        <f>IFERROR(__xludf.DUMMYFUNCTION("IFS(
  AND(REGEXMATCH(E5458, ""台銀籌備帳戶|玉山帳戶""), REGEXMATCH(C5458, ""薪資"")), ""分潤支出"",
  AND(REGEXMATCH(E5458, ""Ben帳戶|Elsa帳戶|Ben代墊|Ariel代墊|中信銀行共用""), REGEXMATCH(F5458, ""Ben帳戶|Elsa帳戶|Ben代墊|Ariel代墊|中信銀行共用"")), ""內部轉帳(忽略)"",
  AND(E5458&lt;&gt;"""", F5458&lt;&gt;"""", N"&amp;"OT(REGEXMATCH(C5458, ""薪資""))), ""內部轉帳(忽略)"",
  REGEXMATCH(C5458, ""薪資""), ""薪資變動(不計入)"",
  REGEXMATCH(C5458, ""押金""), ""押金往來"",
  AND(E5458&lt;&gt;"""", F5458=""""), ""真實支出"",
  AND(E5458="""", F5458&lt;&gt;""""), ""真實收入"",
  TRUE, ""其他""
)"),"其他")</f>
        <v>其他</v>
      </c>
      <c r="K5458" s="270" t="str">
        <f t="shared" si="2"/>
        <v/>
      </c>
      <c r="L5458">
        <f t="shared" si="3"/>
        <v>0</v>
      </c>
    </row>
    <row r="5459">
      <c r="A5459" s="107"/>
      <c r="D5459" s="270"/>
      <c r="H5459" s="106" t="str">
        <f t="shared" si="1"/>
        <v/>
      </c>
      <c r="I5459" s="271" t="str">
        <f>IFERROR(__xludf.DUMMYFUNCTION("""COMPUTED_VALUE"""),"")</f>
        <v/>
      </c>
      <c r="J5459" t="str">
        <f>IFERROR(__xludf.DUMMYFUNCTION("IFS(
  AND(REGEXMATCH(E5459, ""台銀籌備帳戶|玉山帳戶""), REGEXMATCH(C5459, ""薪資"")), ""分潤支出"",
  AND(REGEXMATCH(E5459, ""Ben帳戶|Elsa帳戶|Ben代墊|Ariel代墊|中信銀行共用""), REGEXMATCH(F5459, ""Ben帳戶|Elsa帳戶|Ben代墊|Ariel代墊|中信銀行共用"")), ""內部轉帳(忽略)"",
  AND(E5459&lt;&gt;"""", F5459&lt;&gt;"""", N"&amp;"OT(REGEXMATCH(C5459, ""薪資""))), ""內部轉帳(忽略)"",
  REGEXMATCH(C5459, ""薪資""), ""薪資變動(不計入)"",
  REGEXMATCH(C5459, ""押金""), ""押金往來"",
  AND(E5459&lt;&gt;"""", F5459=""""), ""真實支出"",
  AND(E5459="""", F5459&lt;&gt;""""), ""真實收入"",
  TRUE, ""其他""
)"),"其他")</f>
        <v>其他</v>
      </c>
      <c r="K5459" s="270" t="str">
        <f t="shared" si="2"/>
        <v/>
      </c>
      <c r="L5459">
        <f t="shared" si="3"/>
        <v>0</v>
      </c>
    </row>
    <row r="5460">
      <c r="A5460" s="107"/>
      <c r="D5460" s="270"/>
      <c r="H5460" s="106" t="str">
        <f t="shared" si="1"/>
        <v/>
      </c>
      <c r="I5460" s="271" t="str">
        <f>IFERROR(__xludf.DUMMYFUNCTION("""COMPUTED_VALUE"""),"")</f>
        <v/>
      </c>
      <c r="J5460" t="str">
        <f>IFERROR(__xludf.DUMMYFUNCTION("IFS(
  AND(REGEXMATCH(E5460, ""台銀籌備帳戶|玉山帳戶""), REGEXMATCH(C5460, ""薪資"")), ""分潤支出"",
  AND(REGEXMATCH(E5460, ""Ben帳戶|Elsa帳戶|Ben代墊|Ariel代墊|中信銀行共用""), REGEXMATCH(F5460, ""Ben帳戶|Elsa帳戶|Ben代墊|Ariel代墊|中信銀行共用"")), ""內部轉帳(忽略)"",
  AND(E5460&lt;&gt;"""", F5460&lt;&gt;"""", N"&amp;"OT(REGEXMATCH(C5460, ""薪資""))), ""內部轉帳(忽略)"",
  REGEXMATCH(C5460, ""薪資""), ""薪資變動(不計入)"",
  REGEXMATCH(C5460, ""押金""), ""押金往來"",
  AND(E5460&lt;&gt;"""", F5460=""""), ""真實支出"",
  AND(E5460="""", F5460&lt;&gt;""""), ""真實收入"",
  TRUE, ""其他""
)"),"其他")</f>
        <v>其他</v>
      </c>
      <c r="K5460" s="270" t="str">
        <f t="shared" si="2"/>
        <v/>
      </c>
      <c r="L5460">
        <f t="shared" si="3"/>
        <v>0</v>
      </c>
    </row>
    <row r="5461">
      <c r="A5461" s="107"/>
      <c r="D5461" s="270"/>
      <c r="H5461" s="106" t="str">
        <f t="shared" si="1"/>
        <v/>
      </c>
      <c r="I5461" s="271" t="str">
        <f>IFERROR(__xludf.DUMMYFUNCTION("""COMPUTED_VALUE"""),"")</f>
        <v/>
      </c>
      <c r="J5461" t="str">
        <f>IFERROR(__xludf.DUMMYFUNCTION("IFS(
  AND(REGEXMATCH(E5461, ""台銀籌備帳戶|玉山帳戶""), REGEXMATCH(C5461, ""薪資"")), ""分潤支出"",
  AND(REGEXMATCH(E5461, ""Ben帳戶|Elsa帳戶|Ben代墊|Ariel代墊|中信銀行共用""), REGEXMATCH(F5461, ""Ben帳戶|Elsa帳戶|Ben代墊|Ariel代墊|中信銀行共用"")), ""內部轉帳(忽略)"",
  AND(E5461&lt;&gt;"""", F5461&lt;&gt;"""", N"&amp;"OT(REGEXMATCH(C5461, ""薪資""))), ""內部轉帳(忽略)"",
  REGEXMATCH(C5461, ""薪資""), ""薪資變動(不計入)"",
  REGEXMATCH(C5461, ""押金""), ""押金往來"",
  AND(E5461&lt;&gt;"""", F5461=""""), ""真實支出"",
  AND(E5461="""", F5461&lt;&gt;""""), ""真實收入"",
  TRUE, ""其他""
)"),"其他")</f>
        <v>其他</v>
      </c>
      <c r="K5461" s="270" t="str">
        <f t="shared" si="2"/>
        <v/>
      </c>
      <c r="L5461">
        <f t="shared" si="3"/>
        <v>0</v>
      </c>
    </row>
    <row r="5462">
      <c r="A5462" s="107"/>
      <c r="D5462" s="270"/>
      <c r="H5462" s="106" t="str">
        <f t="shared" si="1"/>
        <v/>
      </c>
      <c r="I5462" s="271" t="str">
        <f>IFERROR(__xludf.DUMMYFUNCTION("""COMPUTED_VALUE"""),"")</f>
        <v/>
      </c>
      <c r="J5462" t="str">
        <f>IFERROR(__xludf.DUMMYFUNCTION("IFS(
  AND(REGEXMATCH(E5462, ""台銀籌備帳戶|玉山帳戶""), REGEXMATCH(C5462, ""薪資"")), ""分潤支出"",
  AND(REGEXMATCH(E5462, ""Ben帳戶|Elsa帳戶|Ben代墊|Ariel代墊|中信銀行共用""), REGEXMATCH(F5462, ""Ben帳戶|Elsa帳戶|Ben代墊|Ariel代墊|中信銀行共用"")), ""內部轉帳(忽略)"",
  AND(E5462&lt;&gt;"""", F5462&lt;&gt;"""", N"&amp;"OT(REGEXMATCH(C5462, ""薪資""))), ""內部轉帳(忽略)"",
  REGEXMATCH(C5462, ""薪資""), ""薪資變動(不計入)"",
  REGEXMATCH(C5462, ""押金""), ""押金往來"",
  AND(E5462&lt;&gt;"""", F5462=""""), ""真實支出"",
  AND(E5462="""", F5462&lt;&gt;""""), ""真實收入"",
  TRUE, ""其他""
)"),"其他")</f>
        <v>其他</v>
      </c>
      <c r="K5462" s="270" t="str">
        <f t="shared" si="2"/>
        <v/>
      </c>
      <c r="L5462">
        <f t="shared" si="3"/>
        <v>0</v>
      </c>
    </row>
    <row r="5463">
      <c r="A5463" s="107"/>
      <c r="D5463" s="270"/>
      <c r="H5463" s="106" t="str">
        <f t="shared" si="1"/>
        <v/>
      </c>
      <c r="I5463" s="271" t="str">
        <f>IFERROR(__xludf.DUMMYFUNCTION("""COMPUTED_VALUE"""),"")</f>
        <v/>
      </c>
      <c r="J5463" t="str">
        <f>IFERROR(__xludf.DUMMYFUNCTION("IFS(
  AND(REGEXMATCH(E5463, ""台銀籌備帳戶|玉山帳戶""), REGEXMATCH(C5463, ""薪資"")), ""分潤支出"",
  AND(REGEXMATCH(E5463, ""Ben帳戶|Elsa帳戶|Ben代墊|Ariel代墊|中信銀行共用""), REGEXMATCH(F5463, ""Ben帳戶|Elsa帳戶|Ben代墊|Ariel代墊|中信銀行共用"")), ""內部轉帳(忽略)"",
  AND(E5463&lt;&gt;"""", F5463&lt;&gt;"""", N"&amp;"OT(REGEXMATCH(C5463, ""薪資""))), ""內部轉帳(忽略)"",
  REGEXMATCH(C5463, ""薪資""), ""薪資變動(不計入)"",
  REGEXMATCH(C5463, ""押金""), ""押金往來"",
  AND(E5463&lt;&gt;"""", F5463=""""), ""真實支出"",
  AND(E5463="""", F5463&lt;&gt;""""), ""真實收入"",
  TRUE, ""其他""
)"),"其他")</f>
        <v>其他</v>
      </c>
      <c r="K5463" s="270" t="str">
        <f t="shared" si="2"/>
        <v/>
      </c>
      <c r="L5463">
        <f t="shared" si="3"/>
        <v>0</v>
      </c>
    </row>
    <row r="5464">
      <c r="A5464" s="107"/>
      <c r="D5464" s="270"/>
      <c r="H5464" s="106" t="str">
        <f t="shared" si="1"/>
        <v/>
      </c>
      <c r="I5464" s="271" t="str">
        <f>IFERROR(__xludf.DUMMYFUNCTION("""COMPUTED_VALUE"""),"")</f>
        <v/>
      </c>
      <c r="J5464" t="str">
        <f>IFERROR(__xludf.DUMMYFUNCTION("IFS(
  AND(REGEXMATCH(E5464, ""台銀籌備帳戶|玉山帳戶""), REGEXMATCH(C5464, ""薪資"")), ""分潤支出"",
  AND(REGEXMATCH(E5464, ""Ben帳戶|Elsa帳戶|Ben代墊|Ariel代墊|中信銀行共用""), REGEXMATCH(F5464, ""Ben帳戶|Elsa帳戶|Ben代墊|Ariel代墊|中信銀行共用"")), ""內部轉帳(忽略)"",
  AND(E5464&lt;&gt;"""", F5464&lt;&gt;"""", N"&amp;"OT(REGEXMATCH(C5464, ""薪資""))), ""內部轉帳(忽略)"",
  REGEXMATCH(C5464, ""薪資""), ""薪資變動(不計入)"",
  REGEXMATCH(C5464, ""押金""), ""押金往來"",
  AND(E5464&lt;&gt;"""", F5464=""""), ""真實支出"",
  AND(E5464="""", F5464&lt;&gt;""""), ""真實收入"",
  TRUE, ""其他""
)"),"其他")</f>
        <v>其他</v>
      </c>
      <c r="K5464" s="270" t="str">
        <f t="shared" si="2"/>
        <v/>
      </c>
      <c r="L5464">
        <f t="shared" si="3"/>
        <v>0</v>
      </c>
    </row>
    <row r="5465">
      <c r="A5465" s="107"/>
      <c r="D5465" s="270"/>
      <c r="H5465" s="106" t="str">
        <f t="shared" si="1"/>
        <v/>
      </c>
      <c r="I5465" s="271" t="str">
        <f>IFERROR(__xludf.DUMMYFUNCTION("""COMPUTED_VALUE"""),"")</f>
        <v/>
      </c>
      <c r="J5465" t="str">
        <f>IFERROR(__xludf.DUMMYFUNCTION("IFS(
  AND(REGEXMATCH(E5465, ""台銀籌備帳戶|玉山帳戶""), REGEXMATCH(C5465, ""薪資"")), ""分潤支出"",
  AND(REGEXMATCH(E5465, ""Ben帳戶|Elsa帳戶|Ben代墊|Ariel代墊|中信銀行共用""), REGEXMATCH(F5465, ""Ben帳戶|Elsa帳戶|Ben代墊|Ariel代墊|中信銀行共用"")), ""內部轉帳(忽略)"",
  AND(E5465&lt;&gt;"""", F5465&lt;&gt;"""", N"&amp;"OT(REGEXMATCH(C5465, ""薪資""))), ""內部轉帳(忽略)"",
  REGEXMATCH(C5465, ""薪資""), ""薪資變動(不計入)"",
  REGEXMATCH(C5465, ""押金""), ""押金往來"",
  AND(E5465&lt;&gt;"""", F5465=""""), ""真實支出"",
  AND(E5465="""", F5465&lt;&gt;""""), ""真實收入"",
  TRUE, ""其他""
)"),"其他")</f>
        <v>其他</v>
      </c>
      <c r="K5465" s="270" t="str">
        <f t="shared" si="2"/>
        <v/>
      </c>
      <c r="L5465">
        <f t="shared" si="3"/>
        <v>0</v>
      </c>
    </row>
    <row r="5466">
      <c r="A5466" s="107"/>
      <c r="D5466" s="270"/>
      <c r="H5466" s="106" t="str">
        <f t="shared" si="1"/>
        <v/>
      </c>
      <c r="I5466" s="271" t="str">
        <f>IFERROR(__xludf.DUMMYFUNCTION("""COMPUTED_VALUE"""),"")</f>
        <v/>
      </c>
      <c r="J5466" t="str">
        <f>IFERROR(__xludf.DUMMYFUNCTION("IFS(
  AND(REGEXMATCH(E5466, ""台銀籌備帳戶|玉山帳戶""), REGEXMATCH(C5466, ""薪資"")), ""分潤支出"",
  AND(REGEXMATCH(E5466, ""Ben帳戶|Elsa帳戶|Ben代墊|Ariel代墊|中信銀行共用""), REGEXMATCH(F5466, ""Ben帳戶|Elsa帳戶|Ben代墊|Ariel代墊|中信銀行共用"")), ""內部轉帳(忽略)"",
  AND(E5466&lt;&gt;"""", F5466&lt;&gt;"""", N"&amp;"OT(REGEXMATCH(C5466, ""薪資""))), ""內部轉帳(忽略)"",
  REGEXMATCH(C5466, ""薪資""), ""薪資變動(不計入)"",
  REGEXMATCH(C5466, ""押金""), ""押金往來"",
  AND(E5466&lt;&gt;"""", F5466=""""), ""真實支出"",
  AND(E5466="""", F5466&lt;&gt;""""), ""真實收入"",
  TRUE, ""其他""
)"),"其他")</f>
        <v>其他</v>
      </c>
      <c r="K5466" s="270" t="str">
        <f t="shared" si="2"/>
        <v/>
      </c>
      <c r="L5466">
        <f t="shared" si="3"/>
        <v>0</v>
      </c>
    </row>
    <row r="5467">
      <c r="A5467" s="107"/>
      <c r="D5467" s="270"/>
      <c r="H5467" s="106" t="str">
        <f t="shared" si="1"/>
        <v/>
      </c>
      <c r="I5467" s="271" t="str">
        <f>IFERROR(__xludf.DUMMYFUNCTION("""COMPUTED_VALUE"""),"")</f>
        <v/>
      </c>
      <c r="J5467" t="str">
        <f>IFERROR(__xludf.DUMMYFUNCTION("IFS(
  AND(REGEXMATCH(E5467, ""台銀籌備帳戶|玉山帳戶""), REGEXMATCH(C5467, ""薪資"")), ""分潤支出"",
  AND(REGEXMATCH(E5467, ""Ben帳戶|Elsa帳戶|Ben代墊|Ariel代墊|中信銀行共用""), REGEXMATCH(F5467, ""Ben帳戶|Elsa帳戶|Ben代墊|Ariel代墊|中信銀行共用"")), ""內部轉帳(忽略)"",
  AND(E5467&lt;&gt;"""", F5467&lt;&gt;"""", N"&amp;"OT(REGEXMATCH(C5467, ""薪資""))), ""內部轉帳(忽略)"",
  REGEXMATCH(C5467, ""薪資""), ""薪資變動(不計入)"",
  REGEXMATCH(C5467, ""押金""), ""押金往來"",
  AND(E5467&lt;&gt;"""", F5467=""""), ""真實支出"",
  AND(E5467="""", F5467&lt;&gt;""""), ""真實收入"",
  TRUE, ""其他""
)"),"其他")</f>
        <v>其他</v>
      </c>
      <c r="K5467" s="270" t="str">
        <f t="shared" si="2"/>
        <v/>
      </c>
      <c r="L5467">
        <f t="shared" si="3"/>
        <v>0</v>
      </c>
    </row>
    <row r="5468">
      <c r="A5468" s="107"/>
      <c r="D5468" s="270"/>
      <c r="H5468" s="106" t="str">
        <f t="shared" si="1"/>
        <v/>
      </c>
      <c r="I5468" s="271" t="str">
        <f>IFERROR(__xludf.DUMMYFUNCTION("""COMPUTED_VALUE"""),"")</f>
        <v/>
      </c>
      <c r="J5468" t="str">
        <f>IFERROR(__xludf.DUMMYFUNCTION("IFS(
  AND(REGEXMATCH(E5468, ""台銀籌備帳戶|玉山帳戶""), REGEXMATCH(C5468, ""薪資"")), ""分潤支出"",
  AND(REGEXMATCH(E5468, ""Ben帳戶|Elsa帳戶|Ben代墊|Ariel代墊|中信銀行共用""), REGEXMATCH(F5468, ""Ben帳戶|Elsa帳戶|Ben代墊|Ariel代墊|中信銀行共用"")), ""內部轉帳(忽略)"",
  AND(E5468&lt;&gt;"""", F5468&lt;&gt;"""", N"&amp;"OT(REGEXMATCH(C5468, ""薪資""))), ""內部轉帳(忽略)"",
  REGEXMATCH(C5468, ""薪資""), ""薪資變動(不計入)"",
  REGEXMATCH(C5468, ""押金""), ""押金往來"",
  AND(E5468&lt;&gt;"""", F5468=""""), ""真實支出"",
  AND(E5468="""", F5468&lt;&gt;""""), ""真實收入"",
  TRUE, ""其他""
)"),"其他")</f>
        <v>其他</v>
      </c>
      <c r="K5468" s="270" t="str">
        <f t="shared" si="2"/>
        <v/>
      </c>
      <c r="L5468">
        <f t="shared" si="3"/>
        <v>0</v>
      </c>
    </row>
    <row r="5469">
      <c r="A5469" s="107"/>
      <c r="D5469" s="270"/>
      <c r="H5469" s="106" t="str">
        <f t="shared" si="1"/>
        <v/>
      </c>
      <c r="I5469" s="271" t="str">
        <f>IFERROR(__xludf.DUMMYFUNCTION("""COMPUTED_VALUE"""),"")</f>
        <v/>
      </c>
      <c r="J5469" t="str">
        <f>IFERROR(__xludf.DUMMYFUNCTION("IFS(
  AND(REGEXMATCH(E5469, ""台銀籌備帳戶|玉山帳戶""), REGEXMATCH(C5469, ""薪資"")), ""分潤支出"",
  AND(REGEXMATCH(E5469, ""Ben帳戶|Elsa帳戶|Ben代墊|Ariel代墊|中信銀行共用""), REGEXMATCH(F5469, ""Ben帳戶|Elsa帳戶|Ben代墊|Ariel代墊|中信銀行共用"")), ""內部轉帳(忽略)"",
  AND(E5469&lt;&gt;"""", F5469&lt;&gt;"""", N"&amp;"OT(REGEXMATCH(C5469, ""薪資""))), ""內部轉帳(忽略)"",
  REGEXMATCH(C5469, ""薪資""), ""薪資變動(不計入)"",
  REGEXMATCH(C5469, ""押金""), ""押金往來"",
  AND(E5469&lt;&gt;"""", F5469=""""), ""真實支出"",
  AND(E5469="""", F5469&lt;&gt;""""), ""真實收入"",
  TRUE, ""其他""
)"),"其他")</f>
        <v>其他</v>
      </c>
      <c r="K5469" s="270" t="str">
        <f t="shared" si="2"/>
        <v/>
      </c>
      <c r="L5469">
        <f t="shared" si="3"/>
        <v>0</v>
      </c>
    </row>
    <row r="5470">
      <c r="A5470" s="107"/>
      <c r="D5470" s="270"/>
      <c r="H5470" s="106" t="str">
        <f t="shared" si="1"/>
        <v/>
      </c>
      <c r="I5470" s="271" t="str">
        <f>IFERROR(__xludf.DUMMYFUNCTION("""COMPUTED_VALUE"""),"")</f>
        <v/>
      </c>
      <c r="J5470" t="str">
        <f>IFERROR(__xludf.DUMMYFUNCTION("IFS(
  AND(REGEXMATCH(E5470, ""台銀籌備帳戶|玉山帳戶""), REGEXMATCH(C5470, ""薪資"")), ""分潤支出"",
  AND(REGEXMATCH(E5470, ""Ben帳戶|Elsa帳戶|Ben代墊|Ariel代墊|中信銀行共用""), REGEXMATCH(F5470, ""Ben帳戶|Elsa帳戶|Ben代墊|Ariel代墊|中信銀行共用"")), ""內部轉帳(忽略)"",
  AND(E5470&lt;&gt;"""", F5470&lt;&gt;"""", N"&amp;"OT(REGEXMATCH(C5470, ""薪資""))), ""內部轉帳(忽略)"",
  REGEXMATCH(C5470, ""薪資""), ""薪資變動(不計入)"",
  REGEXMATCH(C5470, ""押金""), ""押金往來"",
  AND(E5470&lt;&gt;"""", F5470=""""), ""真實支出"",
  AND(E5470="""", F5470&lt;&gt;""""), ""真實收入"",
  TRUE, ""其他""
)"),"其他")</f>
        <v>其他</v>
      </c>
      <c r="K5470" s="270" t="str">
        <f t="shared" si="2"/>
        <v/>
      </c>
      <c r="L5470">
        <f t="shared" si="3"/>
        <v>0</v>
      </c>
    </row>
    <row r="5471">
      <c r="A5471" s="107"/>
      <c r="D5471" s="270"/>
      <c r="H5471" s="106" t="str">
        <f t="shared" si="1"/>
        <v/>
      </c>
      <c r="I5471" s="271" t="str">
        <f>IFERROR(__xludf.DUMMYFUNCTION("""COMPUTED_VALUE"""),"")</f>
        <v/>
      </c>
      <c r="J5471" t="str">
        <f>IFERROR(__xludf.DUMMYFUNCTION("IFS(
  AND(REGEXMATCH(E5471, ""台銀籌備帳戶|玉山帳戶""), REGEXMATCH(C5471, ""薪資"")), ""分潤支出"",
  AND(REGEXMATCH(E5471, ""Ben帳戶|Elsa帳戶|Ben代墊|Ariel代墊|中信銀行共用""), REGEXMATCH(F5471, ""Ben帳戶|Elsa帳戶|Ben代墊|Ariel代墊|中信銀行共用"")), ""內部轉帳(忽略)"",
  AND(E5471&lt;&gt;"""", F5471&lt;&gt;"""", N"&amp;"OT(REGEXMATCH(C5471, ""薪資""))), ""內部轉帳(忽略)"",
  REGEXMATCH(C5471, ""薪資""), ""薪資變動(不計入)"",
  REGEXMATCH(C5471, ""押金""), ""押金往來"",
  AND(E5471&lt;&gt;"""", F5471=""""), ""真實支出"",
  AND(E5471="""", F5471&lt;&gt;""""), ""真實收入"",
  TRUE, ""其他""
)"),"其他")</f>
        <v>其他</v>
      </c>
      <c r="K5471" s="270" t="str">
        <f t="shared" si="2"/>
        <v/>
      </c>
      <c r="L5471">
        <f t="shared" si="3"/>
        <v>0</v>
      </c>
    </row>
    <row r="5472">
      <c r="A5472" s="107"/>
      <c r="D5472" s="270"/>
      <c r="H5472" s="106" t="str">
        <f t="shared" si="1"/>
        <v/>
      </c>
      <c r="I5472" s="271" t="str">
        <f>IFERROR(__xludf.DUMMYFUNCTION("""COMPUTED_VALUE"""),"")</f>
        <v/>
      </c>
      <c r="J5472" t="str">
        <f>IFERROR(__xludf.DUMMYFUNCTION("IFS(
  AND(REGEXMATCH(E5472, ""台銀籌備帳戶|玉山帳戶""), REGEXMATCH(C5472, ""薪資"")), ""分潤支出"",
  AND(REGEXMATCH(E5472, ""Ben帳戶|Elsa帳戶|Ben代墊|Ariel代墊|中信銀行共用""), REGEXMATCH(F5472, ""Ben帳戶|Elsa帳戶|Ben代墊|Ariel代墊|中信銀行共用"")), ""內部轉帳(忽略)"",
  AND(E5472&lt;&gt;"""", F5472&lt;&gt;"""", N"&amp;"OT(REGEXMATCH(C5472, ""薪資""))), ""內部轉帳(忽略)"",
  REGEXMATCH(C5472, ""薪資""), ""薪資變動(不計入)"",
  REGEXMATCH(C5472, ""押金""), ""押金往來"",
  AND(E5472&lt;&gt;"""", F5472=""""), ""真實支出"",
  AND(E5472="""", F5472&lt;&gt;""""), ""真實收入"",
  TRUE, ""其他""
)"),"其他")</f>
        <v>其他</v>
      </c>
      <c r="K5472" s="270" t="str">
        <f t="shared" si="2"/>
        <v/>
      </c>
      <c r="L5472">
        <f t="shared" si="3"/>
        <v>0</v>
      </c>
    </row>
    <row r="5473">
      <c r="A5473" s="107"/>
      <c r="D5473" s="270"/>
      <c r="H5473" s="106" t="str">
        <f t="shared" si="1"/>
        <v/>
      </c>
      <c r="I5473" s="271" t="str">
        <f>IFERROR(__xludf.DUMMYFUNCTION("""COMPUTED_VALUE"""),"")</f>
        <v/>
      </c>
      <c r="J5473" t="str">
        <f>IFERROR(__xludf.DUMMYFUNCTION("IFS(
  AND(REGEXMATCH(E5473, ""台銀籌備帳戶|玉山帳戶""), REGEXMATCH(C5473, ""薪資"")), ""分潤支出"",
  AND(REGEXMATCH(E5473, ""Ben帳戶|Elsa帳戶|Ben代墊|Ariel代墊|中信銀行共用""), REGEXMATCH(F5473, ""Ben帳戶|Elsa帳戶|Ben代墊|Ariel代墊|中信銀行共用"")), ""內部轉帳(忽略)"",
  AND(E5473&lt;&gt;"""", F5473&lt;&gt;"""", N"&amp;"OT(REGEXMATCH(C5473, ""薪資""))), ""內部轉帳(忽略)"",
  REGEXMATCH(C5473, ""薪資""), ""薪資變動(不計入)"",
  REGEXMATCH(C5473, ""押金""), ""押金往來"",
  AND(E5473&lt;&gt;"""", F5473=""""), ""真實支出"",
  AND(E5473="""", F5473&lt;&gt;""""), ""真實收入"",
  TRUE, ""其他""
)"),"其他")</f>
        <v>其他</v>
      </c>
      <c r="K5473" s="270" t="str">
        <f t="shared" si="2"/>
        <v/>
      </c>
      <c r="L5473">
        <f t="shared" si="3"/>
        <v>0</v>
      </c>
    </row>
    <row r="5474">
      <c r="A5474" s="107"/>
      <c r="D5474" s="270"/>
      <c r="H5474" s="106" t="str">
        <f t="shared" si="1"/>
        <v/>
      </c>
      <c r="I5474" s="271" t="str">
        <f>IFERROR(__xludf.DUMMYFUNCTION("""COMPUTED_VALUE"""),"")</f>
        <v/>
      </c>
      <c r="J5474" t="str">
        <f>IFERROR(__xludf.DUMMYFUNCTION("IFS(
  AND(REGEXMATCH(E5474, ""台銀籌備帳戶|玉山帳戶""), REGEXMATCH(C5474, ""薪資"")), ""分潤支出"",
  AND(REGEXMATCH(E5474, ""Ben帳戶|Elsa帳戶|Ben代墊|Ariel代墊|中信銀行共用""), REGEXMATCH(F5474, ""Ben帳戶|Elsa帳戶|Ben代墊|Ariel代墊|中信銀行共用"")), ""內部轉帳(忽略)"",
  AND(E5474&lt;&gt;"""", F5474&lt;&gt;"""", N"&amp;"OT(REGEXMATCH(C5474, ""薪資""))), ""內部轉帳(忽略)"",
  REGEXMATCH(C5474, ""薪資""), ""薪資變動(不計入)"",
  REGEXMATCH(C5474, ""押金""), ""押金往來"",
  AND(E5474&lt;&gt;"""", F5474=""""), ""真實支出"",
  AND(E5474="""", F5474&lt;&gt;""""), ""真實收入"",
  TRUE, ""其他""
)"),"其他")</f>
        <v>其他</v>
      </c>
      <c r="K5474" s="270" t="str">
        <f t="shared" si="2"/>
        <v/>
      </c>
      <c r="L5474">
        <f t="shared" si="3"/>
        <v>0</v>
      </c>
    </row>
    <row r="5475">
      <c r="A5475" s="107"/>
      <c r="D5475" s="270"/>
      <c r="H5475" s="106" t="str">
        <f t="shared" si="1"/>
        <v/>
      </c>
      <c r="I5475" s="271" t="str">
        <f>IFERROR(__xludf.DUMMYFUNCTION("""COMPUTED_VALUE"""),"")</f>
        <v/>
      </c>
      <c r="J5475" t="str">
        <f>IFERROR(__xludf.DUMMYFUNCTION("IFS(
  AND(REGEXMATCH(E5475, ""台銀籌備帳戶|玉山帳戶""), REGEXMATCH(C5475, ""薪資"")), ""分潤支出"",
  AND(REGEXMATCH(E5475, ""Ben帳戶|Elsa帳戶|Ben代墊|Ariel代墊|中信銀行共用""), REGEXMATCH(F5475, ""Ben帳戶|Elsa帳戶|Ben代墊|Ariel代墊|中信銀行共用"")), ""內部轉帳(忽略)"",
  AND(E5475&lt;&gt;"""", F5475&lt;&gt;"""", N"&amp;"OT(REGEXMATCH(C5475, ""薪資""))), ""內部轉帳(忽略)"",
  REGEXMATCH(C5475, ""薪資""), ""薪資變動(不計入)"",
  REGEXMATCH(C5475, ""押金""), ""押金往來"",
  AND(E5475&lt;&gt;"""", F5475=""""), ""真實支出"",
  AND(E5475="""", F5475&lt;&gt;""""), ""真實收入"",
  TRUE, ""其他""
)"),"其他")</f>
        <v>其他</v>
      </c>
      <c r="K5475" s="270" t="str">
        <f t="shared" si="2"/>
        <v/>
      </c>
      <c r="L5475">
        <f t="shared" si="3"/>
        <v>0</v>
      </c>
    </row>
    <row r="5476">
      <c r="A5476" s="107"/>
      <c r="D5476" s="270"/>
      <c r="H5476" s="106" t="str">
        <f t="shared" si="1"/>
        <v/>
      </c>
      <c r="I5476" s="271" t="str">
        <f>IFERROR(__xludf.DUMMYFUNCTION("""COMPUTED_VALUE"""),"")</f>
        <v/>
      </c>
      <c r="J5476" t="str">
        <f>IFERROR(__xludf.DUMMYFUNCTION("IFS(
  AND(REGEXMATCH(E5476, ""台銀籌備帳戶|玉山帳戶""), REGEXMATCH(C5476, ""薪資"")), ""分潤支出"",
  AND(REGEXMATCH(E5476, ""Ben帳戶|Elsa帳戶|Ben代墊|Ariel代墊|中信銀行共用""), REGEXMATCH(F5476, ""Ben帳戶|Elsa帳戶|Ben代墊|Ariel代墊|中信銀行共用"")), ""內部轉帳(忽略)"",
  AND(E5476&lt;&gt;"""", F5476&lt;&gt;"""", N"&amp;"OT(REGEXMATCH(C5476, ""薪資""))), ""內部轉帳(忽略)"",
  REGEXMATCH(C5476, ""薪資""), ""薪資變動(不計入)"",
  REGEXMATCH(C5476, ""押金""), ""押金往來"",
  AND(E5476&lt;&gt;"""", F5476=""""), ""真實支出"",
  AND(E5476="""", F5476&lt;&gt;""""), ""真實收入"",
  TRUE, ""其他""
)"),"其他")</f>
        <v>其他</v>
      </c>
      <c r="K5476" s="270" t="str">
        <f t="shared" si="2"/>
        <v/>
      </c>
      <c r="L5476">
        <f t="shared" si="3"/>
        <v>0</v>
      </c>
    </row>
    <row r="5477">
      <c r="A5477" s="107"/>
      <c r="D5477" s="270"/>
      <c r="H5477" s="106" t="str">
        <f t="shared" si="1"/>
        <v/>
      </c>
      <c r="I5477" s="271" t="str">
        <f>IFERROR(__xludf.DUMMYFUNCTION("""COMPUTED_VALUE"""),"")</f>
        <v/>
      </c>
      <c r="J5477" t="str">
        <f>IFERROR(__xludf.DUMMYFUNCTION("IFS(
  AND(REGEXMATCH(E5477, ""台銀籌備帳戶|玉山帳戶""), REGEXMATCH(C5477, ""薪資"")), ""分潤支出"",
  AND(REGEXMATCH(E5477, ""Ben帳戶|Elsa帳戶|Ben代墊|Ariel代墊|中信銀行共用""), REGEXMATCH(F5477, ""Ben帳戶|Elsa帳戶|Ben代墊|Ariel代墊|中信銀行共用"")), ""內部轉帳(忽略)"",
  AND(E5477&lt;&gt;"""", F5477&lt;&gt;"""", N"&amp;"OT(REGEXMATCH(C5477, ""薪資""))), ""內部轉帳(忽略)"",
  REGEXMATCH(C5477, ""薪資""), ""薪資變動(不計入)"",
  REGEXMATCH(C5477, ""押金""), ""押金往來"",
  AND(E5477&lt;&gt;"""", F5477=""""), ""真實支出"",
  AND(E5477="""", F5477&lt;&gt;""""), ""真實收入"",
  TRUE, ""其他""
)"),"其他")</f>
        <v>其他</v>
      </c>
      <c r="K5477" s="270" t="str">
        <f t="shared" si="2"/>
        <v/>
      </c>
      <c r="L5477">
        <f t="shared" si="3"/>
        <v>0</v>
      </c>
    </row>
    <row r="5478">
      <c r="A5478" s="107"/>
      <c r="D5478" s="270"/>
      <c r="H5478" s="106" t="str">
        <f t="shared" si="1"/>
        <v/>
      </c>
      <c r="I5478" s="271" t="str">
        <f>IFERROR(__xludf.DUMMYFUNCTION("""COMPUTED_VALUE"""),"")</f>
        <v/>
      </c>
      <c r="J5478" t="str">
        <f>IFERROR(__xludf.DUMMYFUNCTION("IFS(
  AND(REGEXMATCH(E5478, ""台銀籌備帳戶|玉山帳戶""), REGEXMATCH(C5478, ""薪資"")), ""分潤支出"",
  AND(REGEXMATCH(E5478, ""Ben帳戶|Elsa帳戶|Ben代墊|Ariel代墊|中信銀行共用""), REGEXMATCH(F5478, ""Ben帳戶|Elsa帳戶|Ben代墊|Ariel代墊|中信銀行共用"")), ""內部轉帳(忽略)"",
  AND(E5478&lt;&gt;"""", F5478&lt;&gt;"""", N"&amp;"OT(REGEXMATCH(C5478, ""薪資""))), ""內部轉帳(忽略)"",
  REGEXMATCH(C5478, ""薪資""), ""薪資變動(不計入)"",
  REGEXMATCH(C5478, ""押金""), ""押金往來"",
  AND(E5478&lt;&gt;"""", F5478=""""), ""真實支出"",
  AND(E5478="""", F5478&lt;&gt;""""), ""真實收入"",
  TRUE, ""其他""
)"),"其他")</f>
        <v>其他</v>
      </c>
      <c r="K5478" s="270" t="str">
        <f t="shared" si="2"/>
        <v/>
      </c>
      <c r="L5478">
        <f t="shared" si="3"/>
        <v>0</v>
      </c>
    </row>
    <row r="5479">
      <c r="A5479" s="107"/>
      <c r="D5479" s="270"/>
      <c r="H5479" s="106" t="str">
        <f t="shared" si="1"/>
        <v/>
      </c>
      <c r="I5479" s="271" t="str">
        <f>IFERROR(__xludf.DUMMYFUNCTION("""COMPUTED_VALUE"""),"")</f>
        <v/>
      </c>
      <c r="J5479" t="str">
        <f>IFERROR(__xludf.DUMMYFUNCTION("IFS(
  AND(REGEXMATCH(E5479, ""台銀籌備帳戶|玉山帳戶""), REGEXMATCH(C5479, ""薪資"")), ""分潤支出"",
  AND(REGEXMATCH(E5479, ""Ben帳戶|Elsa帳戶|Ben代墊|Ariel代墊|中信銀行共用""), REGEXMATCH(F5479, ""Ben帳戶|Elsa帳戶|Ben代墊|Ariel代墊|中信銀行共用"")), ""內部轉帳(忽略)"",
  AND(E5479&lt;&gt;"""", F5479&lt;&gt;"""", N"&amp;"OT(REGEXMATCH(C5479, ""薪資""))), ""內部轉帳(忽略)"",
  REGEXMATCH(C5479, ""薪資""), ""薪資變動(不計入)"",
  REGEXMATCH(C5479, ""押金""), ""押金往來"",
  AND(E5479&lt;&gt;"""", F5479=""""), ""真實支出"",
  AND(E5479="""", F5479&lt;&gt;""""), ""真實收入"",
  TRUE, ""其他""
)"),"其他")</f>
        <v>其他</v>
      </c>
      <c r="K5479" s="270" t="str">
        <f t="shared" si="2"/>
        <v/>
      </c>
      <c r="L5479">
        <f t="shared" si="3"/>
        <v>0</v>
      </c>
    </row>
    <row r="5480">
      <c r="A5480" s="107"/>
      <c r="D5480" s="270"/>
      <c r="H5480" s="106" t="str">
        <f t="shared" si="1"/>
        <v/>
      </c>
      <c r="I5480" s="271" t="str">
        <f>IFERROR(__xludf.DUMMYFUNCTION("""COMPUTED_VALUE"""),"")</f>
        <v/>
      </c>
      <c r="J5480" t="str">
        <f>IFERROR(__xludf.DUMMYFUNCTION("IFS(
  AND(REGEXMATCH(E5480, ""台銀籌備帳戶|玉山帳戶""), REGEXMATCH(C5480, ""薪資"")), ""分潤支出"",
  AND(REGEXMATCH(E5480, ""Ben帳戶|Elsa帳戶|Ben代墊|Ariel代墊|中信銀行共用""), REGEXMATCH(F5480, ""Ben帳戶|Elsa帳戶|Ben代墊|Ariel代墊|中信銀行共用"")), ""內部轉帳(忽略)"",
  AND(E5480&lt;&gt;"""", F5480&lt;&gt;"""", N"&amp;"OT(REGEXMATCH(C5480, ""薪資""))), ""內部轉帳(忽略)"",
  REGEXMATCH(C5480, ""薪資""), ""薪資變動(不計入)"",
  REGEXMATCH(C5480, ""押金""), ""押金往來"",
  AND(E5480&lt;&gt;"""", F5480=""""), ""真實支出"",
  AND(E5480="""", F5480&lt;&gt;""""), ""真實收入"",
  TRUE, ""其他""
)"),"其他")</f>
        <v>其他</v>
      </c>
      <c r="K5480" s="270" t="str">
        <f t="shared" si="2"/>
        <v/>
      </c>
      <c r="L5480">
        <f t="shared" si="3"/>
        <v>0</v>
      </c>
    </row>
    <row r="5481">
      <c r="A5481" s="107"/>
      <c r="D5481" s="270"/>
      <c r="H5481" s="106" t="str">
        <f t="shared" si="1"/>
        <v/>
      </c>
      <c r="I5481" s="271" t="str">
        <f>IFERROR(__xludf.DUMMYFUNCTION("""COMPUTED_VALUE"""),"")</f>
        <v/>
      </c>
      <c r="J5481" t="str">
        <f>IFERROR(__xludf.DUMMYFUNCTION("IFS(
  AND(REGEXMATCH(E5481, ""台銀籌備帳戶|玉山帳戶""), REGEXMATCH(C5481, ""薪資"")), ""分潤支出"",
  AND(REGEXMATCH(E5481, ""Ben帳戶|Elsa帳戶|Ben代墊|Ariel代墊|中信銀行共用""), REGEXMATCH(F5481, ""Ben帳戶|Elsa帳戶|Ben代墊|Ariel代墊|中信銀行共用"")), ""內部轉帳(忽略)"",
  AND(E5481&lt;&gt;"""", F5481&lt;&gt;"""", N"&amp;"OT(REGEXMATCH(C5481, ""薪資""))), ""內部轉帳(忽略)"",
  REGEXMATCH(C5481, ""薪資""), ""薪資變動(不計入)"",
  REGEXMATCH(C5481, ""押金""), ""押金往來"",
  AND(E5481&lt;&gt;"""", F5481=""""), ""真實支出"",
  AND(E5481="""", F5481&lt;&gt;""""), ""真實收入"",
  TRUE, ""其他""
)"),"其他")</f>
        <v>其他</v>
      </c>
      <c r="K5481" s="270" t="str">
        <f t="shared" si="2"/>
        <v/>
      </c>
      <c r="L5481">
        <f t="shared" si="3"/>
        <v>0</v>
      </c>
    </row>
    <row r="5482">
      <c r="A5482" s="107"/>
      <c r="D5482" s="270"/>
      <c r="H5482" s="106" t="str">
        <f t="shared" si="1"/>
        <v/>
      </c>
      <c r="I5482" s="271" t="str">
        <f>IFERROR(__xludf.DUMMYFUNCTION("""COMPUTED_VALUE"""),"")</f>
        <v/>
      </c>
      <c r="J5482" t="str">
        <f>IFERROR(__xludf.DUMMYFUNCTION("IFS(
  AND(REGEXMATCH(E5482, ""台銀籌備帳戶|玉山帳戶""), REGEXMATCH(C5482, ""薪資"")), ""分潤支出"",
  AND(REGEXMATCH(E5482, ""Ben帳戶|Elsa帳戶|Ben代墊|Ariel代墊|中信銀行共用""), REGEXMATCH(F5482, ""Ben帳戶|Elsa帳戶|Ben代墊|Ariel代墊|中信銀行共用"")), ""內部轉帳(忽略)"",
  AND(E5482&lt;&gt;"""", F5482&lt;&gt;"""", N"&amp;"OT(REGEXMATCH(C5482, ""薪資""))), ""內部轉帳(忽略)"",
  REGEXMATCH(C5482, ""薪資""), ""薪資變動(不計入)"",
  REGEXMATCH(C5482, ""押金""), ""押金往來"",
  AND(E5482&lt;&gt;"""", F5482=""""), ""真實支出"",
  AND(E5482="""", F5482&lt;&gt;""""), ""真實收入"",
  TRUE, ""其他""
)"),"其他")</f>
        <v>其他</v>
      </c>
      <c r="K5482" s="270" t="str">
        <f t="shared" si="2"/>
        <v/>
      </c>
      <c r="L5482">
        <f t="shared" si="3"/>
        <v>0</v>
      </c>
    </row>
    <row r="5483">
      <c r="A5483" s="107"/>
      <c r="D5483" s="270"/>
      <c r="H5483" s="106" t="str">
        <f t="shared" si="1"/>
        <v/>
      </c>
      <c r="I5483" s="271" t="str">
        <f>IFERROR(__xludf.DUMMYFUNCTION("""COMPUTED_VALUE"""),"")</f>
        <v/>
      </c>
      <c r="J5483" t="str">
        <f>IFERROR(__xludf.DUMMYFUNCTION("IFS(
  AND(REGEXMATCH(E5483, ""台銀籌備帳戶|玉山帳戶""), REGEXMATCH(C5483, ""薪資"")), ""分潤支出"",
  AND(REGEXMATCH(E5483, ""Ben帳戶|Elsa帳戶|Ben代墊|Ariel代墊|中信銀行共用""), REGEXMATCH(F5483, ""Ben帳戶|Elsa帳戶|Ben代墊|Ariel代墊|中信銀行共用"")), ""內部轉帳(忽略)"",
  AND(E5483&lt;&gt;"""", F5483&lt;&gt;"""", N"&amp;"OT(REGEXMATCH(C5483, ""薪資""))), ""內部轉帳(忽略)"",
  REGEXMATCH(C5483, ""薪資""), ""薪資變動(不計入)"",
  REGEXMATCH(C5483, ""押金""), ""押金往來"",
  AND(E5483&lt;&gt;"""", F5483=""""), ""真實支出"",
  AND(E5483="""", F5483&lt;&gt;""""), ""真實收入"",
  TRUE, ""其他""
)"),"其他")</f>
        <v>其他</v>
      </c>
      <c r="K5483" s="270" t="str">
        <f t="shared" si="2"/>
        <v/>
      </c>
      <c r="L5483">
        <f t="shared" si="3"/>
        <v>0</v>
      </c>
    </row>
    <row r="5484">
      <c r="A5484" s="107"/>
      <c r="D5484" s="270"/>
      <c r="H5484" s="106" t="str">
        <f t="shared" si="1"/>
        <v/>
      </c>
      <c r="I5484" s="271" t="str">
        <f>IFERROR(__xludf.DUMMYFUNCTION("""COMPUTED_VALUE"""),"")</f>
        <v/>
      </c>
      <c r="J5484" t="str">
        <f>IFERROR(__xludf.DUMMYFUNCTION("IFS(
  AND(REGEXMATCH(E5484, ""台銀籌備帳戶|玉山帳戶""), REGEXMATCH(C5484, ""薪資"")), ""分潤支出"",
  AND(REGEXMATCH(E5484, ""Ben帳戶|Elsa帳戶|Ben代墊|Ariel代墊|中信銀行共用""), REGEXMATCH(F5484, ""Ben帳戶|Elsa帳戶|Ben代墊|Ariel代墊|中信銀行共用"")), ""內部轉帳(忽略)"",
  AND(E5484&lt;&gt;"""", F5484&lt;&gt;"""", N"&amp;"OT(REGEXMATCH(C5484, ""薪資""))), ""內部轉帳(忽略)"",
  REGEXMATCH(C5484, ""薪資""), ""薪資變動(不計入)"",
  REGEXMATCH(C5484, ""押金""), ""押金往來"",
  AND(E5484&lt;&gt;"""", F5484=""""), ""真實支出"",
  AND(E5484="""", F5484&lt;&gt;""""), ""真實收入"",
  TRUE, ""其他""
)"),"其他")</f>
        <v>其他</v>
      </c>
      <c r="K5484" s="270" t="str">
        <f t="shared" si="2"/>
        <v/>
      </c>
      <c r="L5484">
        <f t="shared" si="3"/>
        <v>0</v>
      </c>
    </row>
    <row r="5485">
      <c r="A5485" s="107"/>
      <c r="D5485" s="270"/>
      <c r="H5485" s="106" t="str">
        <f t="shared" si="1"/>
        <v/>
      </c>
      <c r="I5485" s="271" t="str">
        <f>IFERROR(__xludf.DUMMYFUNCTION("""COMPUTED_VALUE"""),"")</f>
        <v/>
      </c>
      <c r="J5485" t="str">
        <f>IFERROR(__xludf.DUMMYFUNCTION("IFS(
  AND(REGEXMATCH(E5485, ""台銀籌備帳戶|玉山帳戶""), REGEXMATCH(C5485, ""薪資"")), ""分潤支出"",
  AND(REGEXMATCH(E5485, ""Ben帳戶|Elsa帳戶|Ben代墊|Ariel代墊|中信銀行共用""), REGEXMATCH(F5485, ""Ben帳戶|Elsa帳戶|Ben代墊|Ariel代墊|中信銀行共用"")), ""內部轉帳(忽略)"",
  AND(E5485&lt;&gt;"""", F5485&lt;&gt;"""", N"&amp;"OT(REGEXMATCH(C5485, ""薪資""))), ""內部轉帳(忽略)"",
  REGEXMATCH(C5485, ""薪資""), ""薪資變動(不計入)"",
  REGEXMATCH(C5485, ""押金""), ""押金往來"",
  AND(E5485&lt;&gt;"""", F5485=""""), ""真實支出"",
  AND(E5485="""", F5485&lt;&gt;""""), ""真實收入"",
  TRUE, ""其他""
)"),"其他")</f>
        <v>其他</v>
      </c>
      <c r="K5485" s="270" t="str">
        <f t="shared" si="2"/>
        <v/>
      </c>
      <c r="L5485">
        <f t="shared" si="3"/>
        <v>0</v>
      </c>
    </row>
    <row r="5486">
      <c r="A5486" s="107"/>
      <c r="D5486" s="270"/>
      <c r="H5486" s="106" t="str">
        <f t="shared" si="1"/>
        <v/>
      </c>
      <c r="I5486" s="271" t="str">
        <f>IFERROR(__xludf.DUMMYFUNCTION("""COMPUTED_VALUE"""),"")</f>
        <v/>
      </c>
      <c r="J5486" t="str">
        <f>IFERROR(__xludf.DUMMYFUNCTION("IFS(
  AND(REGEXMATCH(E5486, ""台銀籌備帳戶|玉山帳戶""), REGEXMATCH(C5486, ""薪資"")), ""分潤支出"",
  AND(REGEXMATCH(E5486, ""Ben帳戶|Elsa帳戶|Ben代墊|Ariel代墊|中信銀行共用""), REGEXMATCH(F5486, ""Ben帳戶|Elsa帳戶|Ben代墊|Ariel代墊|中信銀行共用"")), ""內部轉帳(忽略)"",
  AND(E5486&lt;&gt;"""", F5486&lt;&gt;"""", N"&amp;"OT(REGEXMATCH(C5486, ""薪資""))), ""內部轉帳(忽略)"",
  REGEXMATCH(C5486, ""薪資""), ""薪資變動(不計入)"",
  REGEXMATCH(C5486, ""押金""), ""押金往來"",
  AND(E5486&lt;&gt;"""", F5486=""""), ""真實支出"",
  AND(E5486="""", F5486&lt;&gt;""""), ""真實收入"",
  TRUE, ""其他""
)"),"其他")</f>
        <v>其他</v>
      </c>
      <c r="K5486" s="270" t="str">
        <f t="shared" si="2"/>
        <v/>
      </c>
      <c r="L5486">
        <f t="shared" si="3"/>
        <v>0</v>
      </c>
    </row>
    <row r="5487">
      <c r="A5487" s="107"/>
      <c r="D5487" s="270"/>
      <c r="H5487" s="106" t="str">
        <f t="shared" si="1"/>
        <v/>
      </c>
      <c r="I5487" s="271" t="str">
        <f>IFERROR(__xludf.DUMMYFUNCTION("""COMPUTED_VALUE"""),"")</f>
        <v/>
      </c>
      <c r="J5487" t="str">
        <f>IFERROR(__xludf.DUMMYFUNCTION("IFS(
  AND(REGEXMATCH(E5487, ""台銀籌備帳戶|玉山帳戶""), REGEXMATCH(C5487, ""薪資"")), ""分潤支出"",
  AND(REGEXMATCH(E5487, ""Ben帳戶|Elsa帳戶|Ben代墊|Ariel代墊|中信銀行共用""), REGEXMATCH(F5487, ""Ben帳戶|Elsa帳戶|Ben代墊|Ariel代墊|中信銀行共用"")), ""內部轉帳(忽略)"",
  AND(E5487&lt;&gt;"""", F5487&lt;&gt;"""", N"&amp;"OT(REGEXMATCH(C5487, ""薪資""))), ""內部轉帳(忽略)"",
  REGEXMATCH(C5487, ""薪資""), ""薪資變動(不計入)"",
  REGEXMATCH(C5487, ""押金""), ""押金往來"",
  AND(E5487&lt;&gt;"""", F5487=""""), ""真實支出"",
  AND(E5487="""", F5487&lt;&gt;""""), ""真實收入"",
  TRUE, ""其他""
)"),"其他")</f>
        <v>其他</v>
      </c>
      <c r="K5487" s="270" t="str">
        <f t="shared" si="2"/>
        <v/>
      </c>
      <c r="L5487">
        <f t="shared" si="3"/>
        <v>0</v>
      </c>
    </row>
    <row r="5488">
      <c r="A5488" s="107"/>
      <c r="D5488" s="270"/>
      <c r="H5488" s="106" t="str">
        <f t="shared" si="1"/>
        <v/>
      </c>
      <c r="I5488" s="271" t="str">
        <f>IFERROR(__xludf.DUMMYFUNCTION("""COMPUTED_VALUE"""),"")</f>
        <v/>
      </c>
      <c r="J5488" t="str">
        <f>IFERROR(__xludf.DUMMYFUNCTION("IFS(
  AND(REGEXMATCH(E5488, ""台銀籌備帳戶|玉山帳戶""), REGEXMATCH(C5488, ""薪資"")), ""分潤支出"",
  AND(REGEXMATCH(E5488, ""Ben帳戶|Elsa帳戶|Ben代墊|Ariel代墊|中信銀行共用""), REGEXMATCH(F5488, ""Ben帳戶|Elsa帳戶|Ben代墊|Ariel代墊|中信銀行共用"")), ""內部轉帳(忽略)"",
  AND(E5488&lt;&gt;"""", F5488&lt;&gt;"""", N"&amp;"OT(REGEXMATCH(C5488, ""薪資""))), ""內部轉帳(忽略)"",
  REGEXMATCH(C5488, ""薪資""), ""薪資變動(不計入)"",
  REGEXMATCH(C5488, ""押金""), ""押金往來"",
  AND(E5488&lt;&gt;"""", F5488=""""), ""真實支出"",
  AND(E5488="""", F5488&lt;&gt;""""), ""真實收入"",
  TRUE, ""其他""
)"),"其他")</f>
        <v>其他</v>
      </c>
      <c r="K5488" s="270" t="str">
        <f t="shared" si="2"/>
        <v/>
      </c>
      <c r="L5488">
        <f t="shared" si="3"/>
        <v>0</v>
      </c>
    </row>
    <row r="5489">
      <c r="A5489" s="107"/>
      <c r="D5489" s="270"/>
      <c r="H5489" s="106" t="str">
        <f t="shared" si="1"/>
        <v/>
      </c>
      <c r="I5489" s="271" t="str">
        <f>IFERROR(__xludf.DUMMYFUNCTION("""COMPUTED_VALUE"""),"")</f>
        <v/>
      </c>
      <c r="J5489" t="str">
        <f>IFERROR(__xludf.DUMMYFUNCTION("IFS(
  AND(REGEXMATCH(E5489, ""台銀籌備帳戶|玉山帳戶""), REGEXMATCH(C5489, ""薪資"")), ""分潤支出"",
  AND(REGEXMATCH(E5489, ""Ben帳戶|Elsa帳戶|Ben代墊|Ariel代墊|中信銀行共用""), REGEXMATCH(F5489, ""Ben帳戶|Elsa帳戶|Ben代墊|Ariel代墊|中信銀行共用"")), ""內部轉帳(忽略)"",
  AND(E5489&lt;&gt;"""", F5489&lt;&gt;"""", N"&amp;"OT(REGEXMATCH(C5489, ""薪資""))), ""內部轉帳(忽略)"",
  REGEXMATCH(C5489, ""薪資""), ""薪資變動(不計入)"",
  REGEXMATCH(C5489, ""押金""), ""押金往來"",
  AND(E5489&lt;&gt;"""", F5489=""""), ""真實支出"",
  AND(E5489="""", F5489&lt;&gt;""""), ""真實收入"",
  TRUE, ""其他""
)"),"其他")</f>
        <v>其他</v>
      </c>
      <c r="K5489" s="270" t="str">
        <f t="shared" si="2"/>
        <v/>
      </c>
      <c r="L5489">
        <f t="shared" si="3"/>
        <v>0</v>
      </c>
    </row>
    <row r="5490">
      <c r="A5490" s="107"/>
      <c r="D5490" s="270"/>
      <c r="H5490" s="106" t="str">
        <f t="shared" si="1"/>
        <v/>
      </c>
      <c r="I5490" s="271" t="str">
        <f>IFERROR(__xludf.DUMMYFUNCTION("""COMPUTED_VALUE"""),"")</f>
        <v/>
      </c>
      <c r="J5490" t="str">
        <f>IFERROR(__xludf.DUMMYFUNCTION("IFS(
  AND(REGEXMATCH(E5490, ""台銀籌備帳戶|玉山帳戶""), REGEXMATCH(C5490, ""薪資"")), ""分潤支出"",
  AND(REGEXMATCH(E5490, ""Ben帳戶|Elsa帳戶|Ben代墊|Ariel代墊|中信銀行共用""), REGEXMATCH(F5490, ""Ben帳戶|Elsa帳戶|Ben代墊|Ariel代墊|中信銀行共用"")), ""內部轉帳(忽略)"",
  AND(E5490&lt;&gt;"""", F5490&lt;&gt;"""", N"&amp;"OT(REGEXMATCH(C5490, ""薪資""))), ""內部轉帳(忽略)"",
  REGEXMATCH(C5490, ""薪資""), ""薪資變動(不計入)"",
  REGEXMATCH(C5490, ""押金""), ""押金往來"",
  AND(E5490&lt;&gt;"""", F5490=""""), ""真實支出"",
  AND(E5490="""", F5490&lt;&gt;""""), ""真實收入"",
  TRUE, ""其他""
)"),"其他")</f>
        <v>其他</v>
      </c>
      <c r="K5490" s="270" t="str">
        <f t="shared" si="2"/>
        <v/>
      </c>
      <c r="L5490">
        <f t="shared" si="3"/>
        <v>0</v>
      </c>
    </row>
    <row r="5491">
      <c r="A5491" s="107"/>
      <c r="D5491" s="270"/>
      <c r="H5491" s="106" t="str">
        <f t="shared" si="1"/>
        <v/>
      </c>
      <c r="I5491" s="271" t="str">
        <f>IFERROR(__xludf.DUMMYFUNCTION("""COMPUTED_VALUE"""),"")</f>
        <v/>
      </c>
      <c r="J5491" t="str">
        <f>IFERROR(__xludf.DUMMYFUNCTION("IFS(
  AND(REGEXMATCH(E5491, ""台銀籌備帳戶|玉山帳戶""), REGEXMATCH(C5491, ""薪資"")), ""分潤支出"",
  AND(REGEXMATCH(E5491, ""Ben帳戶|Elsa帳戶|Ben代墊|Ariel代墊|中信銀行共用""), REGEXMATCH(F5491, ""Ben帳戶|Elsa帳戶|Ben代墊|Ariel代墊|中信銀行共用"")), ""內部轉帳(忽略)"",
  AND(E5491&lt;&gt;"""", F5491&lt;&gt;"""", N"&amp;"OT(REGEXMATCH(C5491, ""薪資""))), ""內部轉帳(忽略)"",
  REGEXMATCH(C5491, ""薪資""), ""薪資變動(不計入)"",
  REGEXMATCH(C5491, ""押金""), ""押金往來"",
  AND(E5491&lt;&gt;"""", F5491=""""), ""真實支出"",
  AND(E5491="""", F5491&lt;&gt;""""), ""真實收入"",
  TRUE, ""其他""
)"),"其他")</f>
        <v>其他</v>
      </c>
      <c r="K5491" s="270" t="str">
        <f t="shared" si="2"/>
        <v/>
      </c>
      <c r="L5491">
        <f t="shared" si="3"/>
        <v>0</v>
      </c>
    </row>
    <row r="5492">
      <c r="A5492" s="107"/>
      <c r="D5492" s="270"/>
      <c r="H5492" s="106" t="str">
        <f t="shared" si="1"/>
        <v/>
      </c>
      <c r="I5492" s="271" t="str">
        <f>IFERROR(__xludf.DUMMYFUNCTION("""COMPUTED_VALUE"""),"")</f>
        <v/>
      </c>
      <c r="J5492" t="str">
        <f>IFERROR(__xludf.DUMMYFUNCTION("IFS(
  AND(REGEXMATCH(E5492, ""台銀籌備帳戶|玉山帳戶""), REGEXMATCH(C5492, ""薪資"")), ""分潤支出"",
  AND(REGEXMATCH(E5492, ""Ben帳戶|Elsa帳戶|Ben代墊|Ariel代墊|中信銀行共用""), REGEXMATCH(F5492, ""Ben帳戶|Elsa帳戶|Ben代墊|Ariel代墊|中信銀行共用"")), ""內部轉帳(忽略)"",
  AND(E5492&lt;&gt;"""", F5492&lt;&gt;"""", N"&amp;"OT(REGEXMATCH(C5492, ""薪資""))), ""內部轉帳(忽略)"",
  REGEXMATCH(C5492, ""薪資""), ""薪資變動(不計入)"",
  REGEXMATCH(C5492, ""押金""), ""押金往來"",
  AND(E5492&lt;&gt;"""", F5492=""""), ""真實支出"",
  AND(E5492="""", F5492&lt;&gt;""""), ""真實收入"",
  TRUE, ""其他""
)"),"其他")</f>
        <v>其他</v>
      </c>
      <c r="K5492" s="270" t="str">
        <f t="shared" si="2"/>
        <v/>
      </c>
      <c r="L5492">
        <f t="shared" si="3"/>
        <v>0</v>
      </c>
    </row>
    <row r="5493">
      <c r="A5493" s="107"/>
      <c r="D5493" s="270"/>
      <c r="H5493" s="106" t="str">
        <f t="shared" si="1"/>
        <v/>
      </c>
      <c r="I5493" s="271" t="str">
        <f>IFERROR(__xludf.DUMMYFUNCTION("""COMPUTED_VALUE"""),"")</f>
        <v/>
      </c>
      <c r="J5493" t="str">
        <f>IFERROR(__xludf.DUMMYFUNCTION("IFS(
  AND(REGEXMATCH(E5493, ""台銀籌備帳戶|玉山帳戶""), REGEXMATCH(C5493, ""薪資"")), ""分潤支出"",
  AND(REGEXMATCH(E5493, ""Ben帳戶|Elsa帳戶|Ben代墊|Ariel代墊|中信銀行共用""), REGEXMATCH(F5493, ""Ben帳戶|Elsa帳戶|Ben代墊|Ariel代墊|中信銀行共用"")), ""內部轉帳(忽略)"",
  AND(E5493&lt;&gt;"""", F5493&lt;&gt;"""", N"&amp;"OT(REGEXMATCH(C5493, ""薪資""))), ""內部轉帳(忽略)"",
  REGEXMATCH(C5493, ""薪資""), ""薪資變動(不計入)"",
  REGEXMATCH(C5493, ""押金""), ""押金往來"",
  AND(E5493&lt;&gt;"""", F5493=""""), ""真實支出"",
  AND(E5493="""", F5493&lt;&gt;""""), ""真實收入"",
  TRUE, ""其他""
)"),"其他")</f>
        <v>其他</v>
      </c>
      <c r="K5493" s="270" t="str">
        <f t="shared" si="2"/>
        <v/>
      </c>
      <c r="L5493">
        <f t="shared" si="3"/>
        <v>0</v>
      </c>
    </row>
    <row r="5494">
      <c r="A5494" s="107"/>
      <c r="D5494" s="270"/>
      <c r="H5494" s="106" t="str">
        <f t="shared" si="1"/>
        <v/>
      </c>
      <c r="I5494" s="271" t="str">
        <f>IFERROR(__xludf.DUMMYFUNCTION("""COMPUTED_VALUE"""),"")</f>
        <v/>
      </c>
      <c r="J5494" t="str">
        <f>IFERROR(__xludf.DUMMYFUNCTION("IFS(
  AND(REGEXMATCH(E5494, ""台銀籌備帳戶|玉山帳戶""), REGEXMATCH(C5494, ""薪資"")), ""分潤支出"",
  AND(REGEXMATCH(E5494, ""Ben帳戶|Elsa帳戶|Ben代墊|Ariel代墊|中信銀行共用""), REGEXMATCH(F5494, ""Ben帳戶|Elsa帳戶|Ben代墊|Ariel代墊|中信銀行共用"")), ""內部轉帳(忽略)"",
  AND(E5494&lt;&gt;"""", F5494&lt;&gt;"""", N"&amp;"OT(REGEXMATCH(C5494, ""薪資""))), ""內部轉帳(忽略)"",
  REGEXMATCH(C5494, ""薪資""), ""薪資變動(不計入)"",
  REGEXMATCH(C5494, ""押金""), ""押金往來"",
  AND(E5494&lt;&gt;"""", F5494=""""), ""真實支出"",
  AND(E5494="""", F5494&lt;&gt;""""), ""真實收入"",
  TRUE, ""其他""
)"),"其他")</f>
        <v>其他</v>
      </c>
      <c r="K5494" s="270" t="str">
        <f t="shared" si="2"/>
        <v/>
      </c>
      <c r="L5494">
        <f t="shared" si="3"/>
        <v>0</v>
      </c>
    </row>
    <row r="5495">
      <c r="A5495" s="107"/>
      <c r="D5495" s="270"/>
      <c r="H5495" s="106" t="str">
        <f t="shared" si="1"/>
        <v/>
      </c>
      <c r="I5495" s="271" t="str">
        <f>IFERROR(__xludf.DUMMYFUNCTION("""COMPUTED_VALUE"""),"")</f>
        <v/>
      </c>
      <c r="J5495" t="str">
        <f>IFERROR(__xludf.DUMMYFUNCTION("IFS(
  AND(REGEXMATCH(E5495, ""台銀籌備帳戶|玉山帳戶""), REGEXMATCH(C5495, ""薪資"")), ""分潤支出"",
  AND(REGEXMATCH(E5495, ""Ben帳戶|Elsa帳戶|Ben代墊|Ariel代墊|中信銀行共用""), REGEXMATCH(F5495, ""Ben帳戶|Elsa帳戶|Ben代墊|Ariel代墊|中信銀行共用"")), ""內部轉帳(忽略)"",
  AND(E5495&lt;&gt;"""", F5495&lt;&gt;"""", N"&amp;"OT(REGEXMATCH(C5495, ""薪資""))), ""內部轉帳(忽略)"",
  REGEXMATCH(C5495, ""薪資""), ""薪資變動(不計入)"",
  REGEXMATCH(C5495, ""押金""), ""押金往來"",
  AND(E5495&lt;&gt;"""", F5495=""""), ""真實支出"",
  AND(E5495="""", F5495&lt;&gt;""""), ""真實收入"",
  TRUE, ""其他""
)"),"其他")</f>
        <v>其他</v>
      </c>
      <c r="K5495" s="270" t="str">
        <f t="shared" si="2"/>
        <v/>
      </c>
      <c r="L5495">
        <f t="shared" si="3"/>
        <v>0</v>
      </c>
    </row>
    <row r="5496">
      <c r="A5496" s="107"/>
      <c r="D5496" s="270"/>
      <c r="H5496" s="106" t="str">
        <f t="shared" si="1"/>
        <v/>
      </c>
      <c r="I5496" s="271" t="str">
        <f>IFERROR(__xludf.DUMMYFUNCTION("""COMPUTED_VALUE"""),"")</f>
        <v/>
      </c>
      <c r="J5496" t="str">
        <f>IFERROR(__xludf.DUMMYFUNCTION("IFS(
  AND(REGEXMATCH(E5496, ""台銀籌備帳戶|玉山帳戶""), REGEXMATCH(C5496, ""薪資"")), ""分潤支出"",
  AND(REGEXMATCH(E5496, ""Ben帳戶|Elsa帳戶|Ben代墊|Ariel代墊|中信銀行共用""), REGEXMATCH(F5496, ""Ben帳戶|Elsa帳戶|Ben代墊|Ariel代墊|中信銀行共用"")), ""內部轉帳(忽略)"",
  AND(E5496&lt;&gt;"""", F5496&lt;&gt;"""", N"&amp;"OT(REGEXMATCH(C5496, ""薪資""))), ""內部轉帳(忽略)"",
  REGEXMATCH(C5496, ""薪資""), ""薪資變動(不計入)"",
  REGEXMATCH(C5496, ""押金""), ""押金往來"",
  AND(E5496&lt;&gt;"""", F5496=""""), ""真實支出"",
  AND(E5496="""", F5496&lt;&gt;""""), ""真實收入"",
  TRUE, ""其他""
)"),"其他")</f>
        <v>其他</v>
      </c>
      <c r="K5496" s="270" t="str">
        <f t="shared" si="2"/>
        <v/>
      </c>
      <c r="L5496">
        <f t="shared" si="3"/>
        <v>0</v>
      </c>
    </row>
    <row r="5497">
      <c r="A5497" s="107"/>
      <c r="D5497" s="270"/>
      <c r="H5497" s="106" t="str">
        <f t="shared" si="1"/>
        <v/>
      </c>
      <c r="I5497" s="271" t="str">
        <f>IFERROR(__xludf.DUMMYFUNCTION("""COMPUTED_VALUE"""),"")</f>
        <v/>
      </c>
      <c r="J5497" t="str">
        <f>IFERROR(__xludf.DUMMYFUNCTION("IFS(
  AND(REGEXMATCH(E5497, ""台銀籌備帳戶|玉山帳戶""), REGEXMATCH(C5497, ""薪資"")), ""分潤支出"",
  AND(REGEXMATCH(E5497, ""Ben帳戶|Elsa帳戶|Ben代墊|Ariel代墊|中信銀行共用""), REGEXMATCH(F5497, ""Ben帳戶|Elsa帳戶|Ben代墊|Ariel代墊|中信銀行共用"")), ""內部轉帳(忽略)"",
  AND(E5497&lt;&gt;"""", F5497&lt;&gt;"""", N"&amp;"OT(REGEXMATCH(C5497, ""薪資""))), ""內部轉帳(忽略)"",
  REGEXMATCH(C5497, ""薪資""), ""薪資變動(不計入)"",
  REGEXMATCH(C5497, ""押金""), ""押金往來"",
  AND(E5497&lt;&gt;"""", F5497=""""), ""真實支出"",
  AND(E5497="""", F5497&lt;&gt;""""), ""真實收入"",
  TRUE, ""其他""
)"),"其他")</f>
        <v>其他</v>
      </c>
      <c r="K5497" s="270" t="str">
        <f t="shared" si="2"/>
        <v/>
      </c>
      <c r="L5497">
        <f t="shared" si="3"/>
        <v>0</v>
      </c>
    </row>
    <row r="5498">
      <c r="A5498" s="107"/>
      <c r="D5498" s="270"/>
      <c r="H5498" s="106" t="str">
        <f t="shared" si="1"/>
        <v/>
      </c>
      <c r="I5498" s="271" t="str">
        <f>IFERROR(__xludf.DUMMYFUNCTION("""COMPUTED_VALUE"""),"")</f>
        <v/>
      </c>
      <c r="J5498" t="str">
        <f>IFERROR(__xludf.DUMMYFUNCTION("IFS(
  AND(REGEXMATCH(E5498, ""台銀籌備帳戶|玉山帳戶""), REGEXMATCH(C5498, ""薪資"")), ""分潤支出"",
  AND(REGEXMATCH(E5498, ""Ben帳戶|Elsa帳戶|Ben代墊|Ariel代墊|中信銀行共用""), REGEXMATCH(F5498, ""Ben帳戶|Elsa帳戶|Ben代墊|Ariel代墊|中信銀行共用"")), ""內部轉帳(忽略)"",
  AND(E5498&lt;&gt;"""", F5498&lt;&gt;"""", N"&amp;"OT(REGEXMATCH(C5498, ""薪資""))), ""內部轉帳(忽略)"",
  REGEXMATCH(C5498, ""薪資""), ""薪資變動(不計入)"",
  REGEXMATCH(C5498, ""押金""), ""押金往來"",
  AND(E5498&lt;&gt;"""", F5498=""""), ""真實支出"",
  AND(E5498="""", F5498&lt;&gt;""""), ""真實收入"",
  TRUE, ""其他""
)"),"其他")</f>
        <v>其他</v>
      </c>
      <c r="K5498" s="270" t="str">
        <f t="shared" si="2"/>
        <v/>
      </c>
      <c r="L5498">
        <f t="shared" si="3"/>
        <v>0</v>
      </c>
    </row>
    <row r="5499">
      <c r="A5499" s="107"/>
      <c r="D5499" s="270"/>
      <c r="H5499" s="106" t="str">
        <f t="shared" si="1"/>
        <v/>
      </c>
      <c r="I5499" s="271" t="str">
        <f>IFERROR(__xludf.DUMMYFUNCTION("""COMPUTED_VALUE"""),"")</f>
        <v/>
      </c>
      <c r="J5499" t="str">
        <f>IFERROR(__xludf.DUMMYFUNCTION("IFS(
  AND(REGEXMATCH(E5499, ""台銀籌備帳戶|玉山帳戶""), REGEXMATCH(C5499, ""薪資"")), ""分潤支出"",
  AND(REGEXMATCH(E5499, ""Ben帳戶|Elsa帳戶|Ben代墊|Ariel代墊|中信銀行共用""), REGEXMATCH(F5499, ""Ben帳戶|Elsa帳戶|Ben代墊|Ariel代墊|中信銀行共用"")), ""內部轉帳(忽略)"",
  AND(E5499&lt;&gt;"""", F5499&lt;&gt;"""", N"&amp;"OT(REGEXMATCH(C5499, ""薪資""))), ""內部轉帳(忽略)"",
  REGEXMATCH(C5499, ""薪資""), ""薪資變動(不計入)"",
  REGEXMATCH(C5499, ""押金""), ""押金往來"",
  AND(E5499&lt;&gt;"""", F5499=""""), ""真實支出"",
  AND(E5499="""", F5499&lt;&gt;""""), ""真實收入"",
  TRUE, ""其他""
)"),"其他")</f>
        <v>其他</v>
      </c>
      <c r="K5499" s="270" t="str">
        <f t="shared" si="2"/>
        <v/>
      </c>
      <c r="L5499">
        <f t="shared" si="3"/>
        <v>0</v>
      </c>
    </row>
    <row r="5500">
      <c r="A5500" s="107"/>
      <c r="D5500" s="270"/>
      <c r="H5500" s="106" t="str">
        <f t="shared" si="1"/>
        <v/>
      </c>
      <c r="I5500" s="271" t="str">
        <f>IFERROR(__xludf.DUMMYFUNCTION("""COMPUTED_VALUE"""),"")</f>
        <v/>
      </c>
      <c r="J5500" t="str">
        <f>IFERROR(__xludf.DUMMYFUNCTION("IFS(
  AND(REGEXMATCH(E5500, ""台銀籌備帳戶|玉山帳戶""), REGEXMATCH(C5500, ""薪資"")), ""分潤支出"",
  AND(REGEXMATCH(E5500, ""Ben帳戶|Elsa帳戶|Ben代墊|Ariel代墊|中信銀行共用""), REGEXMATCH(F5500, ""Ben帳戶|Elsa帳戶|Ben代墊|Ariel代墊|中信銀行共用"")), ""內部轉帳(忽略)"",
  AND(E5500&lt;&gt;"""", F5500&lt;&gt;"""", N"&amp;"OT(REGEXMATCH(C5500, ""薪資""))), ""內部轉帳(忽略)"",
  REGEXMATCH(C5500, ""薪資""), ""薪資變動(不計入)"",
  REGEXMATCH(C5500, ""押金""), ""押金往來"",
  AND(E5500&lt;&gt;"""", F5500=""""), ""真實支出"",
  AND(E5500="""", F5500&lt;&gt;""""), ""真實收入"",
  TRUE, ""其他""
)"),"其他")</f>
        <v>其他</v>
      </c>
      <c r="K5500" s="270" t="str">
        <f t="shared" si="2"/>
        <v/>
      </c>
      <c r="L5500">
        <f t="shared" si="3"/>
        <v>0</v>
      </c>
    </row>
    <row r="5501">
      <c r="A5501" s="107"/>
      <c r="D5501" s="270"/>
      <c r="H5501" s="106" t="str">
        <f t="shared" si="1"/>
        <v/>
      </c>
      <c r="I5501" s="271" t="str">
        <f>IFERROR(__xludf.DUMMYFUNCTION("""COMPUTED_VALUE"""),"")</f>
        <v/>
      </c>
      <c r="J5501" t="str">
        <f>IFERROR(__xludf.DUMMYFUNCTION("IFS(
  AND(REGEXMATCH(E5501, ""台銀籌備帳戶|玉山帳戶""), REGEXMATCH(C5501, ""薪資"")), ""分潤支出"",
  AND(REGEXMATCH(E5501, ""Ben帳戶|Elsa帳戶|Ben代墊|Ariel代墊|中信銀行共用""), REGEXMATCH(F5501, ""Ben帳戶|Elsa帳戶|Ben代墊|Ariel代墊|中信銀行共用"")), ""內部轉帳(忽略)"",
  AND(E5501&lt;&gt;"""", F5501&lt;&gt;"""", N"&amp;"OT(REGEXMATCH(C5501, ""薪資""))), ""內部轉帳(忽略)"",
  REGEXMATCH(C5501, ""薪資""), ""薪資變動(不計入)"",
  REGEXMATCH(C5501, ""押金""), ""押金往來"",
  AND(E5501&lt;&gt;"""", F5501=""""), ""真實支出"",
  AND(E5501="""", F5501&lt;&gt;""""), ""真實收入"",
  TRUE, ""其他""
)"),"其他")</f>
        <v>其他</v>
      </c>
      <c r="K5501" s="270" t="str">
        <f t="shared" si="2"/>
        <v/>
      </c>
      <c r="L5501">
        <f t="shared" si="3"/>
        <v>0</v>
      </c>
    </row>
    <row r="5502">
      <c r="A5502" s="107"/>
      <c r="D5502" s="270"/>
      <c r="H5502" s="106" t="str">
        <f t="shared" si="1"/>
        <v/>
      </c>
      <c r="I5502" s="271" t="str">
        <f>IFERROR(__xludf.DUMMYFUNCTION("""COMPUTED_VALUE"""),"")</f>
        <v/>
      </c>
      <c r="J5502" t="str">
        <f>IFERROR(__xludf.DUMMYFUNCTION("IFS(
  AND(REGEXMATCH(E5502, ""台銀籌備帳戶|玉山帳戶""), REGEXMATCH(C5502, ""薪資"")), ""分潤支出"",
  AND(REGEXMATCH(E5502, ""Ben帳戶|Elsa帳戶|Ben代墊|Ariel代墊|中信銀行共用""), REGEXMATCH(F5502, ""Ben帳戶|Elsa帳戶|Ben代墊|Ariel代墊|中信銀行共用"")), ""內部轉帳(忽略)"",
  AND(E5502&lt;&gt;"""", F5502&lt;&gt;"""", N"&amp;"OT(REGEXMATCH(C5502, ""薪資""))), ""內部轉帳(忽略)"",
  REGEXMATCH(C5502, ""薪資""), ""薪資變動(不計入)"",
  REGEXMATCH(C5502, ""押金""), ""押金往來"",
  AND(E5502&lt;&gt;"""", F5502=""""), ""真實支出"",
  AND(E5502="""", F5502&lt;&gt;""""), ""真實收入"",
  TRUE, ""其他""
)"),"其他")</f>
        <v>其他</v>
      </c>
      <c r="K5502" s="270" t="str">
        <f t="shared" si="2"/>
        <v/>
      </c>
      <c r="L5502">
        <f t="shared" si="3"/>
        <v>0</v>
      </c>
    </row>
    <row r="5503">
      <c r="A5503" s="107"/>
      <c r="D5503" s="270"/>
      <c r="H5503" s="106" t="str">
        <f t="shared" si="1"/>
        <v/>
      </c>
      <c r="I5503" s="271" t="str">
        <f>IFERROR(__xludf.DUMMYFUNCTION("""COMPUTED_VALUE"""),"")</f>
        <v/>
      </c>
      <c r="J5503" t="str">
        <f>IFERROR(__xludf.DUMMYFUNCTION("IFS(
  AND(REGEXMATCH(E5503, ""台銀籌備帳戶|玉山帳戶""), REGEXMATCH(C5503, ""薪資"")), ""分潤支出"",
  AND(REGEXMATCH(E5503, ""Ben帳戶|Elsa帳戶|Ben代墊|Ariel代墊|中信銀行共用""), REGEXMATCH(F5503, ""Ben帳戶|Elsa帳戶|Ben代墊|Ariel代墊|中信銀行共用"")), ""內部轉帳(忽略)"",
  AND(E5503&lt;&gt;"""", F5503&lt;&gt;"""", N"&amp;"OT(REGEXMATCH(C5503, ""薪資""))), ""內部轉帳(忽略)"",
  REGEXMATCH(C5503, ""薪資""), ""薪資變動(不計入)"",
  REGEXMATCH(C5503, ""押金""), ""押金往來"",
  AND(E5503&lt;&gt;"""", F5503=""""), ""真實支出"",
  AND(E5503="""", F5503&lt;&gt;""""), ""真實收入"",
  TRUE, ""其他""
)"),"其他")</f>
        <v>其他</v>
      </c>
      <c r="K5503" s="270" t="str">
        <f t="shared" si="2"/>
        <v/>
      </c>
      <c r="L5503">
        <f t="shared" si="3"/>
        <v>0</v>
      </c>
    </row>
    <row r="5504">
      <c r="A5504" s="107"/>
      <c r="D5504" s="270"/>
      <c r="H5504" s="106" t="str">
        <f t="shared" si="1"/>
        <v/>
      </c>
      <c r="I5504" s="271" t="str">
        <f>IFERROR(__xludf.DUMMYFUNCTION("""COMPUTED_VALUE"""),"")</f>
        <v/>
      </c>
      <c r="J5504" t="str">
        <f>IFERROR(__xludf.DUMMYFUNCTION("IFS(
  AND(REGEXMATCH(E5504, ""台銀籌備帳戶|玉山帳戶""), REGEXMATCH(C5504, ""薪資"")), ""分潤支出"",
  AND(REGEXMATCH(E5504, ""Ben帳戶|Elsa帳戶|Ben代墊|Ariel代墊|中信銀行共用""), REGEXMATCH(F5504, ""Ben帳戶|Elsa帳戶|Ben代墊|Ariel代墊|中信銀行共用"")), ""內部轉帳(忽略)"",
  AND(E5504&lt;&gt;"""", F5504&lt;&gt;"""", N"&amp;"OT(REGEXMATCH(C5504, ""薪資""))), ""內部轉帳(忽略)"",
  REGEXMATCH(C5504, ""薪資""), ""薪資變動(不計入)"",
  REGEXMATCH(C5504, ""押金""), ""押金往來"",
  AND(E5504&lt;&gt;"""", F5504=""""), ""真實支出"",
  AND(E5504="""", F5504&lt;&gt;""""), ""真實收入"",
  TRUE, ""其他""
)"),"其他")</f>
        <v>其他</v>
      </c>
      <c r="K5504" s="270" t="str">
        <f t="shared" si="2"/>
        <v/>
      </c>
      <c r="L5504">
        <f t="shared" si="3"/>
        <v>0</v>
      </c>
    </row>
    <row r="5505">
      <c r="A5505" s="107"/>
      <c r="D5505" s="270"/>
      <c r="H5505" s="106" t="str">
        <f t="shared" si="1"/>
        <v/>
      </c>
      <c r="I5505" s="271" t="str">
        <f>IFERROR(__xludf.DUMMYFUNCTION("""COMPUTED_VALUE"""),"")</f>
        <v/>
      </c>
      <c r="J5505" t="str">
        <f>IFERROR(__xludf.DUMMYFUNCTION("IFS(
  AND(REGEXMATCH(E5505, ""台銀籌備帳戶|玉山帳戶""), REGEXMATCH(C5505, ""薪資"")), ""分潤支出"",
  AND(REGEXMATCH(E5505, ""Ben帳戶|Elsa帳戶|Ben代墊|Ariel代墊|中信銀行共用""), REGEXMATCH(F5505, ""Ben帳戶|Elsa帳戶|Ben代墊|Ariel代墊|中信銀行共用"")), ""內部轉帳(忽略)"",
  AND(E5505&lt;&gt;"""", F5505&lt;&gt;"""", N"&amp;"OT(REGEXMATCH(C5505, ""薪資""))), ""內部轉帳(忽略)"",
  REGEXMATCH(C5505, ""薪資""), ""薪資變動(不計入)"",
  REGEXMATCH(C5505, ""押金""), ""押金往來"",
  AND(E5505&lt;&gt;"""", F5505=""""), ""真實支出"",
  AND(E5505="""", F5505&lt;&gt;""""), ""真實收入"",
  TRUE, ""其他""
)"),"其他")</f>
        <v>其他</v>
      </c>
      <c r="K5505" s="270" t="str">
        <f t="shared" si="2"/>
        <v/>
      </c>
      <c r="L5505">
        <f t="shared" si="3"/>
        <v>0</v>
      </c>
    </row>
    <row r="5506">
      <c r="A5506" s="107"/>
      <c r="D5506" s="270"/>
      <c r="H5506" s="106" t="str">
        <f t="shared" si="1"/>
        <v/>
      </c>
      <c r="I5506" s="271" t="str">
        <f>IFERROR(__xludf.DUMMYFUNCTION("""COMPUTED_VALUE"""),"")</f>
        <v/>
      </c>
      <c r="J5506" t="str">
        <f>IFERROR(__xludf.DUMMYFUNCTION("IFS(
  AND(REGEXMATCH(E5506, ""台銀籌備帳戶|玉山帳戶""), REGEXMATCH(C5506, ""薪資"")), ""分潤支出"",
  AND(REGEXMATCH(E5506, ""Ben帳戶|Elsa帳戶|Ben代墊|Ariel代墊|中信銀行共用""), REGEXMATCH(F5506, ""Ben帳戶|Elsa帳戶|Ben代墊|Ariel代墊|中信銀行共用"")), ""內部轉帳(忽略)"",
  AND(E5506&lt;&gt;"""", F5506&lt;&gt;"""", N"&amp;"OT(REGEXMATCH(C5506, ""薪資""))), ""內部轉帳(忽略)"",
  REGEXMATCH(C5506, ""薪資""), ""薪資變動(不計入)"",
  REGEXMATCH(C5506, ""押金""), ""押金往來"",
  AND(E5506&lt;&gt;"""", F5506=""""), ""真實支出"",
  AND(E5506="""", F5506&lt;&gt;""""), ""真實收入"",
  TRUE, ""其他""
)"),"其他")</f>
        <v>其他</v>
      </c>
      <c r="K5506" s="270" t="str">
        <f t="shared" si="2"/>
        <v/>
      </c>
      <c r="L5506">
        <f t="shared" si="3"/>
        <v>0</v>
      </c>
    </row>
    <row r="5507">
      <c r="A5507" s="107"/>
      <c r="D5507" s="270"/>
      <c r="H5507" s="106" t="str">
        <f t="shared" si="1"/>
        <v/>
      </c>
      <c r="I5507" s="271" t="str">
        <f>IFERROR(__xludf.DUMMYFUNCTION("""COMPUTED_VALUE"""),"")</f>
        <v/>
      </c>
      <c r="J5507" t="str">
        <f>IFERROR(__xludf.DUMMYFUNCTION("IFS(
  AND(REGEXMATCH(E5507, ""台銀籌備帳戶|玉山帳戶""), REGEXMATCH(C5507, ""薪資"")), ""分潤支出"",
  AND(REGEXMATCH(E5507, ""Ben帳戶|Elsa帳戶|Ben代墊|Ariel代墊|中信銀行共用""), REGEXMATCH(F5507, ""Ben帳戶|Elsa帳戶|Ben代墊|Ariel代墊|中信銀行共用"")), ""內部轉帳(忽略)"",
  AND(E5507&lt;&gt;"""", F5507&lt;&gt;"""", N"&amp;"OT(REGEXMATCH(C5507, ""薪資""))), ""內部轉帳(忽略)"",
  REGEXMATCH(C5507, ""薪資""), ""薪資變動(不計入)"",
  REGEXMATCH(C5507, ""押金""), ""押金往來"",
  AND(E5507&lt;&gt;"""", F5507=""""), ""真實支出"",
  AND(E5507="""", F5507&lt;&gt;""""), ""真實收入"",
  TRUE, ""其他""
)"),"其他")</f>
        <v>其他</v>
      </c>
      <c r="K5507" s="270" t="str">
        <f t="shared" si="2"/>
        <v/>
      </c>
      <c r="L5507">
        <f t="shared" si="3"/>
        <v>0</v>
      </c>
    </row>
    <row r="5508">
      <c r="A5508" s="107"/>
      <c r="D5508" s="270"/>
      <c r="H5508" s="106" t="str">
        <f t="shared" si="1"/>
        <v/>
      </c>
      <c r="I5508" s="271" t="str">
        <f>IFERROR(__xludf.DUMMYFUNCTION("""COMPUTED_VALUE"""),"")</f>
        <v/>
      </c>
      <c r="J5508" t="str">
        <f>IFERROR(__xludf.DUMMYFUNCTION("IFS(
  AND(REGEXMATCH(E5508, ""台銀籌備帳戶|玉山帳戶""), REGEXMATCH(C5508, ""薪資"")), ""分潤支出"",
  AND(REGEXMATCH(E5508, ""Ben帳戶|Elsa帳戶|Ben代墊|Ariel代墊|中信銀行共用""), REGEXMATCH(F5508, ""Ben帳戶|Elsa帳戶|Ben代墊|Ariel代墊|中信銀行共用"")), ""內部轉帳(忽略)"",
  AND(E5508&lt;&gt;"""", F5508&lt;&gt;"""", N"&amp;"OT(REGEXMATCH(C5508, ""薪資""))), ""內部轉帳(忽略)"",
  REGEXMATCH(C5508, ""薪資""), ""薪資變動(不計入)"",
  REGEXMATCH(C5508, ""押金""), ""押金往來"",
  AND(E5508&lt;&gt;"""", F5508=""""), ""真實支出"",
  AND(E5508="""", F5508&lt;&gt;""""), ""真實收入"",
  TRUE, ""其他""
)"),"其他")</f>
        <v>其他</v>
      </c>
      <c r="K5508" s="270" t="str">
        <f t="shared" si="2"/>
        <v/>
      </c>
      <c r="L5508">
        <f t="shared" si="3"/>
        <v>0</v>
      </c>
    </row>
    <row r="5509">
      <c r="A5509" s="107"/>
      <c r="D5509" s="270"/>
      <c r="H5509" s="106" t="str">
        <f t="shared" si="1"/>
        <v/>
      </c>
      <c r="I5509" s="271" t="str">
        <f>IFERROR(__xludf.DUMMYFUNCTION("""COMPUTED_VALUE"""),"")</f>
        <v/>
      </c>
      <c r="J5509" t="str">
        <f>IFERROR(__xludf.DUMMYFUNCTION("IFS(
  AND(REGEXMATCH(E5509, ""台銀籌備帳戶|玉山帳戶""), REGEXMATCH(C5509, ""薪資"")), ""分潤支出"",
  AND(REGEXMATCH(E5509, ""Ben帳戶|Elsa帳戶|Ben代墊|Ariel代墊|中信銀行共用""), REGEXMATCH(F5509, ""Ben帳戶|Elsa帳戶|Ben代墊|Ariel代墊|中信銀行共用"")), ""內部轉帳(忽略)"",
  AND(E5509&lt;&gt;"""", F5509&lt;&gt;"""", N"&amp;"OT(REGEXMATCH(C5509, ""薪資""))), ""內部轉帳(忽略)"",
  REGEXMATCH(C5509, ""薪資""), ""薪資變動(不計入)"",
  REGEXMATCH(C5509, ""押金""), ""押金往來"",
  AND(E5509&lt;&gt;"""", F5509=""""), ""真實支出"",
  AND(E5509="""", F5509&lt;&gt;""""), ""真實收入"",
  TRUE, ""其他""
)"),"其他")</f>
        <v>其他</v>
      </c>
      <c r="K5509" s="270" t="str">
        <f t="shared" si="2"/>
        <v/>
      </c>
      <c r="L5509">
        <f t="shared" si="3"/>
        <v>0</v>
      </c>
    </row>
    <row r="5510">
      <c r="A5510" s="107"/>
      <c r="D5510" s="270"/>
      <c r="H5510" s="106" t="str">
        <f t="shared" si="1"/>
        <v/>
      </c>
      <c r="I5510" s="271" t="str">
        <f>IFERROR(__xludf.DUMMYFUNCTION("""COMPUTED_VALUE"""),"")</f>
        <v/>
      </c>
      <c r="J5510" t="str">
        <f>IFERROR(__xludf.DUMMYFUNCTION("IFS(
  AND(REGEXMATCH(E5510, ""台銀籌備帳戶|玉山帳戶""), REGEXMATCH(C5510, ""薪資"")), ""分潤支出"",
  AND(REGEXMATCH(E5510, ""Ben帳戶|Elsa帳戶|Ben代墊|Ariel代墊|中信銀行共用""), REGEXMATCH(F5510, ""Ben帳戶|Elsa帳戶|Ben代墊|Ariel代墊|中信銀行共用"")), ""內部轉帳(忽略)"",
  AND(E5510&lt;&gt;"""", F5510&lt;&gt;"""", N"&amp;"OT(REGEXMATCH(C5510, ""薪資""))), ""內部轉帳(忽略)"",
  REGEXMATCH(C5510, ""薪資""), ""薪資變動(不計入)"",
  REGEXMATCH(C5510, ""押金""), ""押金往來"",
  AND(E5510&lt;&gt;"""", F5510=""""), ""真實支出"",
  AND(E5510="""", F5510&lt;&gt;""""), ""真實收入"",
  TRUE, ""其他""
)"),"其他")</f>
        <v>其他</v>
      </c>
      <c r="K5510" s="270" t="str">
        <f t="shared" si="2"/>
        <v/>
      </c>
      <c r="L5510">
        <f t="shared" si="3"/>
        <v>0</v>
      </c>
    </row>
    <row r="5511">
      <c r="A5511" s="107"/>
      <c r="D5511" s="270"/>
      <c r="H5511" s="106" t="str">
        <f t="shared" si="1"/>
        <v/>
      </c>
      <c r="I5511" s="271" t="str">
        <f>IFERROR(__xludf.DUMMYFUNCTION("""COMPUTED_VALUE"""),"")</f>
        <v/>
      </c>
      <c r="J5511" t="str">
        <f>IFERROR(__xludf.DUMMYFUNCTION("IFS(
  AND(REGEXMATCH(E5511, ""台銀籌備帳戶|玉山帳戶""), REGEXMATCH(C5511, ""薪資"")), ""分潤支出"",
  AND(REGEXMATCH(E5511, ""Ben帳戶|Elsa帳戶|Ben代墊|Ariel代墊|中信銀行共用""), REGEXMATCH(F5511, ""Ben帳戶|Elsa帳戶|Ben代墊|Ariel代墊|中信銀行共用"")), ""內部轉帳(忽略)"",
  AND(E5511&lt;&gt;"""", F5511&lt;&gt;"""", N"&amp;"OT(REGEXMATCH(C5511, ""薪資""))), ""內部轉帳(忽略)"",
  REGEXMATCH(C5511, ""薪資""), ""薪資變動(不計入)"",
  REGEXMATCH(C5511, ""押金""), ""押金往來"",
  AND(E5511&lt;&gt;"""", F5511=""""), ""真實支出"",
  AND(E5511="""", F5511&lt;&gt;""""), ""真實收入"",
  TRUE, ""其他""
)"),"其他")</f>
        <v>其他</v>
      </c>
      <c r="K5511" s="270" t="str">
        <f t="shared" si="2"/>
        <v/>
      </c>
      <c r="L5511">
        <f t="shared" si="3"/>
        <v>0</v>
      </c>
    </row>
    <row r="5512">
      <c r="A5512" s="107"/>
      <c r="D5512" s="270"/>
      <c r="H5512" s="106" t="str">
        <f t="shared" si="1"/>
        <v/>
      </c>
      <c r="I5512" s="271" t="str">
        <f>IFERROR(__xludf.DUMMYFUNCTION("""COMPUTED_VALUE"""),"")</f>
        <v/>
      </c>
      <c r="J5512" t="str">
        <f>IFERROR(__xludf.DUMMYFUNCTION("IFS(
  AND(REGEXMATCH(E5512, ""台銀籌備帳戶|玉山帳戶""), REGEXMATCH(C5512, ""薪資"")), ""分潤支出"",
  AND(REGEXMATCH(E5512, ""Ben帳戶|Elsa帳戶|Ben代墊|Ariel代墊|中信銀行共用""), REGEXMATCH(F5512, ""Ben帳戶|Elsa帳戶|Ben代墊|Ariel代墊|中信銀行共用"")), ""內部轉帳(忽略)"",
  AND(E5512&lt;&gt;"""", F5512&lt;&gt;"""", N"&amp;"OT(REGEXMATCH(C5512, ""薪資""))), ""內部轉帳(忽略)"",
  REGEXMATCH(C5512, ""薪資""), ""薪資變動(不計入)"",
  REGEXMATCH(C5512, ""押金""), ""押金往來"",
  AND(E5512&lt;&gt;"""", F5512=""""), ""真實支出"",
  AND(E5512="""", F5512&lt;&gt;""""), ""真實收入"",
  TRUE, ""其他""
)"),"其他")</f>
        <v>其他</v>
      </c>
      <c r="K5512" s="270" t="str">
        <f t="shared" si="2"/>
        <v/>
      </c>
      <c r="L5512">
        <f t="shared" si="3"/>
        <v>0</v>
      </c>
    </row>
    <row r="5513">
      <c r="A5513" s="107"/>
      <c r="D5513" s="270"/>
      <c r="H5513" s="106" t="str">
        <f t="shared" si="1"/>
        <v/>
      </c>
      <c r="I5513" s="271" t="str">
        <f>IFERROR(__xludf.DUMMYFUNCTION("""COMPUTED_VALUE"""),"")</f>
        <v/>
      </c>
      <c r="J5513" t="str">
        <f>IFERROR(__xludf.DUMMYFUNCTION("IFS(
  AND(REGEXMATCH(E5513, ""台銀籌備帳戶|玉山帳戶""), REGEXMATCH(C5513, ""薪資"")), ""分潤支出"",
  AND(REGEXMATCH(E5513, ""Ben帳戶|Elsa帳戶|Ben代墊|Ariel代墊|中信銀行共用""), REGEXMATCH(F5513, ""Ben帳戶|Elsa帳戶|Ben代墊|Ariel代墊|中信銀行共用"")), ""內部轉帳(忽略)"",
  AND(E5513&lt;&gt;"""", F5513&lt;&gt;"""", N"&amp;"OT(REGEXMATCH(C5513, ""薪資""))), ""內部轉帳(忽略)"",
  REGEXMATCH(C5513, ""薪資""), ""薪資變動(不計入)"",
  REGEXMATCH(C5513, ""押金""), ""押金往來"",
  AND(E5513&lt;&gt;"""", F5513=""""), ""真實支出"",
  AND(E5513="""", F5513&lt;&gt;""""), ""真實收入"",
  TRUE, ""其他""
)"),"其他")</f>
        <v>其他</v>
      </c>
      <c r="K5513" s="270" t="str">
        <f t="shared" si="2"/>
        <v/>
      </c>
      <c r="L5513">
        <f t="shared" si="3"/>
        <v>0</v>
      </c>
    </row>
    <row r="5514">
      <c r="A5514" s="107"/>
      <c r="D5514" s="270"/>
      <c r="H5514" s="106" t="str">
        <f t="shared" si="1"/>
        <v/>
      </c>
      <c r="I5514" s="271" t="str">
        <f>IFERROR(__xludf.DUMMYFUNCTION("""COMPUTED_VALUE"""),"")</f>
        <v/>
      </c>
      <c r="J5514" t="str">
        <f>IFERROR(__xludf.DUMMYFUNCTION("IFS(
  AND(REGEXMATCH(E5514, ""台銀籌備帳戶|玉山帳戶""), REGEXMATCH(C5514, ""薪資"")), ""分潤支出"",
  AND(REGEXMATCH(E5514, ""Ben帳戶|Elsa帳戶|Ben代墊|Ariel代墊|中信銀行共用""), REGEXMATCH(F5514, ""Ben帳戶|Elsa帳戶|Ben代墊|Ariel代墊|中信銀行共用"")), ""內部轉帳(忽略)"",
  AND(E5514&lt;&gt;"""", F5514&lt;&gt;"""", N"&amp;"OT(REGEXMATCH(C5514, ""薪資""))), ""內部轉帳(忽略)"",
  REGEXMATCH(C5514, ""薪資""), ""薪資變動(不計入)"",
  REGEXMATCH(C5514, ""押金""), ""押金往來"",
  AND(E5514&lt;&gt;"""", F5514=""""), ""真實支出"",
  AND(E5514="""", F5514&lt;&gt;""""), ""真實收入"",
  TRUE, ""其他""
)"),"其他")</f>
        <v>其他</v>
      </c>
      <c r="K5514" s="270" t="str">
        <f t="shared" si="2"/>
        <v/>
      </c>
      <c r="L5514">
        <f t="shared" si="3"/>
        <v>0</v>
      </c>
    </row>
    <row r="5515">
      <c r="A5515" s="107"/>
      <c r="D5515" s="270"/>
      <c r="H5515" s="106" t="str">
        <f t="shared" si="1"/>
        <v/>
      </c>
      <c r="I5515" s="271" t="str">
        <f>IFERROR(__xludf.DUMMYFUNCTION("""COMPUTED_VALUE"""),"")</f>
        <v/>
      </c>
      <c r="J5515" t="str">
        <f>IFERROR(__xludf.DUMMYFUNCTION("IFS(
  AND(REGEXMATCH(E5515, ""台銀籌備帳戶|玉山帳戶""), REGEXMATCH(C5515, ""薪資"")), ""分潤支出"",
  AND(REGEXMATCH(E5515, ""Ben帳戶|Elsa帳戶|Ben代墊|Ariel代墊|中信銀行共用""), REGEXMATCH(F5515, ""Ben帳戶|Elsa帳戶|Ben代墊|Ariel代墊|中信銀行共用"")), ""內部轉帳(忽略)"",
  AND(E5515&lt;&gt;"""", F5515&lt;&gt;"""", N"&amp;"OT(REGEXMATCH(C5515, ""薪資""))), ""內部轉帳(忽略)"",
  REGEXMATCH(C5515, ""薪資""), ""薪資變動(不計入)"",
  REGEXMATCH(C5515, ""押金""), ""押金往來"",
  AND(E5515&lt;&gt;"""", F5515=""""), ""真實支出"",
  AND(E5515="""", F5515&lt;&gt;""""), ""真實收入"",
  TRUE, ""其他""
)"),"其他")</f>
        <v>其他</v>
      </c>
      <c r="K5515" s="270" t="str">
        <f t="shared" si="2"/>
        <v/>
      </c>
      <c r="L5515">
        <f t="shared" si="3"/>
        <v>0</v>
      </c>
    </row>
    <row r="5516">
      <c r="A5516" s="107"/>
      <c r="D5516" s="270"/>
      <c r="H5516" s="106" t="str">
        <f t="shared" si="1"/>
        <v/>
      </c>
      <c r="I5516" s="271" t="str">
        <f>IFERROR(__xludf.DUMMYFUNCTION("""COMPUTED_VALUE"""),"")</f>
        <v/>
      </c>
      <c r="J5516" t="str">
        <f>IFERROR(__xludf.DUMMYFUNCTION("IFS(
  AND(REGEXMATCH(E5516, ""台銀籌備帳戶|玉山帳戶""), REGEXMATCH(C5516, ""薪資"")), ""分潤支出"",
  AND(REGEXMATCH(E5516, ""Ben帳戶|Elsa帳戶|Ben代墊|Ariel代墊|中信銀行共用""), REGEXMATCH(F5516, ""Ben帳戶|Elsa帳戶|Ben代墊|Ariel代墊|中信銀行共用"")), ""內部轉帳(忽略)"",
  AND(E5516&lt;&gt;"""", F5516&lt;&gt;"""", N"&amp;"OT(REGEXMATCH(C5516, ""薪資""))), ""內部轉帳(忽略)"",
  REGEXMATCH(C5516, ""薪資""), ""薪資變動(不計入)"",
  REGEXMATCH(C5516, ""押金""), ""押金往來"",
  AND(E5516&lt;&gt;"""", F5516=""""), ""真實支出"",
  AND(E5516="""", F5516&lt;&gt;""""), ""真實收入"",
  TRUE, ""其他""
)"),"其他")</f>
        <v>其他</v>
      </c>
      <c r="K5516" s="270" t="str">
        <f t="shared" si="2"/>
        <v/>
      </c>
      <c r="L5516">
        <f t="shared" si="3"/>
        <v>0</v>
      </c>
    </row>
    <row r="5517">
      <c r="A5517" s="107"/>
      <c r="D5517" s="270"/>
      <c r="H5517" s="106" t="str">
        <f t="shared" si="1"/>
        <v/>
      </c>
      <c r="I5517" s="271" t="str">
        <f>IFERROR(__xludf.DUMMYFUNCTION("""COMPUTED_VALUE"""),"")</f>
        <v/>
      </c>
      <c r="J5517" t="str">
        <f>IFERROR(__xludf.DUMMYFUNCTION("IFS(
  AND(REGEXMATCH(E5517, ""台銀籌備帳戶|玉山帳戶""), REGEXMATCH(C5517, ""薪資"")), ""分潤支出"",
  AND(REGEXMATCH(E5517, ""Ben帳戶|Elsa帳戶|Ben代墊|Ariel代墊|中信銀行共用""), REGEXMATCH(F5517, ""Ben帳戶|Elsa帳戶|Ben代墊|Ariel代墊|中信銀行共用"")), ""內部轉帳(忽略)"",
  AND(E5517&lt;&gt;"""", F5517&lt;&gt;"""", N"&amp;"OT(REGEXMATCH(C5517, ""薪資""))), ""內部轉帳(忽略)"",
  REGEXMATCH(C5517, ""薪資""), ""薪資變動(不計入)"",
  REGEXMATCH(C5517, ""押金""), ""押金往來"",
  AND(E5517&lt;&gt;"""", F5517=""""), ""真實支出"",
  AND(E5517="""", F5517&lt;&gt;""""), ""真實收入"",
  TRUE, ""其他""
)"),"其他")</f>
        <v>其他</v>
      </c>
      <c r="K5517" s="270" t="str">
        <f t="shared" si="2"/>
        <v/>
      </c>
      <c r="L5517">
        <f t="shared" si="3"/>
        <v>0</v>
      </c>
    </row>
    <row r="5518">
      <c r="A5518" s="107"/>
      <c r="D5518" s="270"/>
      <c r="H5518" s="106" t="str">
        <f t="shared" si="1"/>
        <v/>
      </c>
      <c r="I5518" s="271" t="str">
        <f>IFERROR(__xludf.DUMMYFUNCTION("""COMPUTED_VALUE"""),"")</f>
        <v/>
      </c>
      <c r="J5518" t="str">
        <f>IFERROR(__xludf.DUMMYFUNCTION("IFS(
  AND(REGEXMATCH(E5518, ""台銀籌備帳戶|玉山帳戶""), REGEXMATCH(C5518, ""薪資"")), ""分潤支出"",
  AND(REGEXMATCH(E5518, ""Ben帳戶|Elsa帳戶|Ben代墊|Ariel代墊|中信銀行共用""), REGEXMATCH(F5518, ""Ben帳戶|Elsa帳戶|Ben代墊|Ariel代墊|中信銀行共用"")), ""內部轉帳(忽略)"",
  AND(E5518&lt;&gt;"""", F5518&lt;&gt;"""", N"&amp;"OT(REGEXMATCH(C5518, ""薪資""))), ""內部轉帳(忽略)"",
  REGEXMATCH(C5518, ""薪資""), ""薪資變動(不計入)"",
  REGEXMATCH(C5518, ""押金""), ""押金往來"",
  AND(E5518&lt;&gt;"""", F5518=""""), ""真實支出"",
  AND(E5518="""", F5518&lt;&gt;""""), ""真實收入"",
  TRUE, ""其他""
)"),"其他")</f>
        <v>其他</v>
      </c>
      <c r="K5518" s="270" t="str">
        <f t="shared" si="2"/>
        <v/>
      </c>
      <c r="L5518">
        <f t="shared" si="3"/>
        <v>0</v>
      </c>
    </row>
    <row r="5519">
      <c r="A5519" s="107"/>
      <c r="D5519" s="270"/>
      <c r="H5519" s="106" t="str">
        <f t="shared" si="1"/>
        <v/>
      </c>
      <c r="I5519" s="271" t="str">
        <f>IFERROR(__xludf.DUMMYFUNCTION("""COMPUTED_VALUE"""),"")</f>
        <v/>
      </c>
      <c r="J5519" t="str">
        <f>IFERROR(__xludf.DUMMYFUNCTION("IFS(
  AND(REGEXMATCH(E5519, ""台銀籌備帳戶|玉山帳戶""), REGEXMATCH(C5519, ""薪資"")), ""分潤支出"",
  AND(REGEXMATCH(E5519, ""Ben帳戶|Elsa帳戶|Ben代墊|Ariel代墊|中信銀行共用""), REGEXMATCH(F5519, ""Ben帳戶|Elsa帳戶|Ben代墊|Ariel代墊|中信銀行共用"")), ""內部轉帳(忽略)"",
  AND(E5519&lt;&gt;"""", F5519&lt;&gt;"""", N"&amp;"OT(REGEXMATCH(C5519, ""薪資""))), ""內部轉帳(忽略)"",
  REGEXMATCH(C5519, ""薪資""), ""薪資變動(不計入)"",
  REGEXMATCH(C5519, ""押金""), ""押金往來"",
  AND(E5519&lt;&gt;"""", F5519=""""), ""真實支出"",
  AND(E5519="""", F5519&lt;&gt;""""), ""真實收入"",
  TRUE, ""其他""
)"),"其他")</f>
        <v>其他</v>
      </c>
      <c r="K5519" s="270" t="str">
        <f t="shared" si="2"/>
        <v/>
      </c>
      <c r="L5519">
        <f t="shared" si="3"/>
        <v>0</v>
      </c>
    </row>
    <row r="5520">
      <c r="A5520" s="107"/>
      <c r="D5520" s="270"/>
      <c r="H5520" s="106" t="str">
        <f t="shared" si="1"/>
        <v/>
      </c>
      <c r="I5520" s="271" t="str">
        <f>IFERROR(__xludf.DUMMYFUNCTION("""COMPUTED_VALUE"""),"")</f>
        <v/>
      </c>
      <c r="J5520" t="str">
        <f>IFERROR(__xludf.DUMMYFUNCTION("IFS(
  AND(REGEXMATCH(E5520, ""台銀籌備帳戶|玉山帳戶""), REGEXMATCH(C5520, ""薪資"")), ""分潤支出"",
  AND(REGEXMATCH(E5520, ""Ben帳戶|Elsa帳戶|Ben代墊|Ariel代墊|中信銀行共用""), REGEXMATCH(F5520, ""Ben帳戶|Elsa帳戶|Ben代墊|Ariel代墊|中信銀行共用"")), ""內部轉帳(忽略)"",
  AND(E5520&lt;&gt;"""", F5520&lt;&gt;"""", N"&amp;"OT(REGEXMATCH(C5520, ""薪資""))), ""內部轉帳(忽略)"",
  REGEXMATCH(C5520, ""薪資""), ""薪資變動(不計入)"",
  REGEXMATCH(C5520, ""押金""), ""押金往來"",
  AND(E5520&lt;&gt;"""", F5520=""""), ""真實支出"",
  AND(E5520="""", F5520&lt;&gt;""""), ""真實收入"",
  TRUE, ""其他""
)"),"其他")</f>
        <v>其他</v>
      </c>
      <c r="K5520" s="270" t="str">
        <f t="shared" si="2"/>
        <v/>
      </c>
      <c r="L5520">
        <f t="shared" si="3"/>
        <v>0</v>
      </c>
    </row>
    <row r="5521">
      <c r="A5521" s="107"/>
      <c r="D5521" s="270"/>
      <c r="H5521" s="106" t="str">
        <f t="shared" si="1"/>
        <v/>
      </c>
      <c r="I5521" s="271" t="str">
        <f>IFERROR(__xludf.DUMMYFUNCTION("""COMPUTED_VALUE"""),"")</f>
        <v/>
      </c>
      <c r="J5521" t="str">
        <f>IFERROR(__xludf.DUMMYFUNCTION("IFS(
  AND(REGEXMATCH(E5521, ""台銀籌備帳戶|玉山帳戶""), REGEXMATCH(C5521, ""薪資"")), ""分潤支出"",
  AND(REGEXMATCH(E5521, ""Ben帳戶|Elsa帳戶|Ben代墊|Ariel代墊|中信銀行共用""), REGEXMATCH(F5521, ""Ben帳戶|Elsa帳戶|Ben代墊|Ariel代墊|中信銀行共用"")), ""內部轉帳(忽略)"",
  AND(E5521&lt;&gt;"""", F5521&lt;&gt;"""", N"&amp;"OT(REGEXMATCH(C5521, ""薪資""))), ""內部轉帳(忽略)"",
  REGEXMATCH(C5521, ""薪資""), ""薪資變動(不計入)"",
  REGEXMATCH(C5521, ""押金""), ""押金往來"",
  AND(E5521&lt;&gt;"""", F5521=""""), ""真實支出"",
  AND(E5521="""", F5521&lt;&gt;""""), ""真實收入"",
  TRUE, ""其他""
)"),"其他")</f>
        <v>其他</v>
      </c>
      <c r="K5521" s="270" t="str">
        <f t="shared" si="2"/>
        <v/>
      </c>
      <c r="L5521">
        <f t="shared" si="3"/>
        <v>0</v>
      </c>
    </row>
    <row r="5522">
      <c r="A5522" s="107"/>
      <c r="D5522" s="270"/>
      <c r="H5522" s="106" t="str">
        <f t="shared" si="1"/>
        <v/>
      </c>
      <c r="I5522" s="271" t="str">
        <f>IFERROR(__xludf.DUMMYFUNCTION("""COMPUTED_VALUE"""),"")</f>
        <v/>
      </c>
      <c r="J5522" t="str">
        <f>IFERROR(__xludf.DUMMYFUNCTION("IFS(
  AND(REGEXMATCH(E5522, ""台銀籌備帳戶|玉山帳戶""), REGEXMATCH(C5522, ""薪資"")), ""分潤支出"",
  AND(REGEXMATCH(E5522, ""Ben帳戶|Elsa帳戶|Ben代墊|Ariel代墊|中信銀行共用""), REGEXMATCH(F5522, ""Ben帳戶|Elsa帳戶|Ben代墊|Ariel代墊|中信銀行共用"")), ""內部轉帳(忽略)"",
  AND(E5522&lt;&gt;"""", F5522&lt;&gt;"""", N"&amp;"OT(REGEXMATCH(C5522, ""薪資""))), ""內部轉帳(忽略)"",
  REGEXMATCH(C5522, ""薪資""), ""薪資變動(不計入)"",
  REGEXMATCH(C5522, ""押金""), ""押金往來"",
  AND(E5522&lt;&gt;"""", F5522=""""), ""真實支出"",
  AND(E5522="""", F5522&lt;&gt;""""), ""真實收入"",
  TRUE, ""其他""
)"),"其他")</f>
        <v>其他</v>
      </c>
      <c r="K5522" s="270" t="str">
        <f t="shared" si="2"/>
        <v/>
      </c>
      <c r="L5522">
        <f t="shared" si="3"/>
        <v>0</v>
      </c>
    </row>
    <row r="5523">
      <c r="A5523" s="107"/>
      <c r="D5523" s="270"/>
      <c r="H5523" s="106" t="str">
        <f t="shared" si="1"/>
        <v/>
      </c>
      <c r="I5523" s="271" t="str">
        <f>IFERROR(__xludf.DUMMYFUNCTION("""COMPUTED_VALUE"""),"")</f>
        <v/>
      </c>
      <c r="J5523" t="str">
        <f>IFERROR(__xludf.DUMMYFUNCTION("IFS(
  AND(REGEXMATCH(E5523, ""台銀籌備帳戶|玉山帳戶""), REGEXMATCH(C5523, ""薪資"")), ""分潤支出"",
  AND(REGEXMATCH(E5523, ""Ben帳戶|Elsa帳戶|Ben代墊|Ariel代墊|中信銀行共用""), REGEXMATCH(F5523, ""Ben帳戶|Elsa帳戶|Ben代墊|Ariel代墊|中信銀行共用"")), ""內部轉帳(忽略)"",
  AND(E5523&lt;&gt;"""", F5523&lt;&gt;"""", N"&amp;"OT(REGEXMATCH(C5523, ""薪資""))), ""內部轉帳(忽略)"",
  REGEXMATCH(C5523, ""薪資""), ""薪資變動(不計入)"",
  REGEXMATCH(C5523, ""押金""), ""押金往來"",
  AND(E5523&lt;&gt;"""", F5523=""""), ""真實支出"",
  AND(E5523="""", F5523&lt;&gt;""""), ""真實收入"",
  TRUE, ""其他""
)"),"其他")</f>
        <v>其他</v>
      </c>
      <c r="K5523" s="270" t="str">
        <f t="shared" si="2"/>
        <v/>
      </c>
      <c r="L5523">
        <f t="shared" si="3"/>
        <v>0</v>
      </c>
    </row>
    <row r="5524">
      <c r="A5524" s="107"/>
      <c r="D5524" s="270"/>
      <c r="H5524" s="106" t="str">
        <f t="shared" si="1"/>
        <v/>
      </c>
      <c r="I5524" s="271" t="str">
        <f>IFERROR(__xludf.DUMMYFUNCTION("""COMPUTED_VALUE"""),"")</f>
        <v/>
      </c>
      <c r="J5524" t="str">
        <f>IFERROR(__xludf.DUMMYFUNCTION("IFS(
  AND(REGEXMATCH(E5524, ""台銀籌備帳戶|玉山帳戶""), REGEXMATCH(C5524, ""薪資"")), ""分潤支出"",
  AND(REGEXMATCH(E5524, ""Ben帳戶|Elsa帳戶|Ben代墊|Ariel代墊|中信銀行共用""), REGEXMATCH(F5524, ""Ben帳戶|Elsa帳戶|Ben代墊|Ariel代墊|中信銀行共用"")), ""內部轉帳(忽略)"",
  AND(E5524&lt;&gt;"""", F5524&lt;&gt;"""", N"&amp;"OT(REGEXMATCH(C5524, ""薪資""))), ""內部轉帳(忽略)"",
  REGEXMATCH(C5524, ""薪資""), ""薪資變動(不計入)"",
  REGEXMATCH(C5524, ""押金""), ""押金往來"",
  AND(E5524&lt;&gt;"""", F5524=""""), ""真實支出"",
  AND(E5524="""", F5524&lt;&gt;""""), ""真實收入"",
  TRUE, ""其他""
)"),"其他")</f>
        <v>其他</v>
      </c>
      <c r="K5524" s="270" t="str">
        <f t="shared" si="2"/>
        <v/>
      </c>
      <c r="L5524">
        <f t="shared" si="3"/>
        <v>0</v>
      </c>
    </row>
    <row r="5525">
      <c r="A5525" s="107"/>
      <c r="D5525" s="270"/>
      <c r="H5525" s="106" t="str">
        <f t="shared" si="1"/>
        <v/>
      </c>
      <c r="I5525" s="271" t="str">
        <f>IFERROR(__xludf.DUMMYFUNCTION("""COMPUTED_VALUE"""),"")</f>
        <v/>
      </c>
      <c r="J5525" t="str">
        <f>IFERROR(__xludf.DUMMYFUNCTION("IFS(
  AND(REGEXMATCH(E5525, ""台銀籌備帳戶|玉山帳戶""), REGEXMATCH(C5525, ""薪資"")), ""分潤支出"",
  AND(REGEXMATCH(E5525, ""Ben帳戶|Elsa帳戶|Ben代墊|Ariel代墊|中信銀行共用""), REGEXMATCH(F5525, ""Ben帳戶|Elsa帳戶|Ben代墊|Ariel代墊|中信銀行共用"")), ""內部轉帳(忽略)"",
  AND(E5525&lt;&gt;"""", F5525&lt;&gt;"""", N"&amp;"OT(REGEXMATCH(C5525, ""薪資""))), ""內部轉帳(忽略)"",
  REGEXMATCH(C5525, ""薪資""), ""薪資變動(不計入)"",
  REGEXMATCH(C5525, ""押金""), ""押金往來"",
  AND(E5525&lt;&gt;"""", F5525=""""), ""真實支出"",
  AND(E5525="""", F5525&lt;&gt;""""), ""真實收入"",
  TRUE, ""其他""
)"),"其他")</f>
        <v>其他</v>
      </c>
      <c r="K5525" s="270" t="str">
        <f t="shared" si="2"/>
        <v/>
      </c>
      <c r="L5525">
        <f t="shared" si="3"/>
        <v>0</v>
      </c>
    </row>
    <row r="5526">
      <c r="A5526" s="107"/>
      <c r="D5526" s="270"/>
      <c r="H5526" s="106" t="str">
        <f t="shared" si="1"/>
        <v/>
      </c>
      <c r="I5526" s="271" t="str">
        <f>IFERROR(__xludf.DUMMYFUNCTION("""COMPUTED_VALUE"""),"")</f>
        <v/>
      </c>
      <c r="J5526" t="str">
        <f>IFERROR(__xludf.DUMMYFUNCTION("IFS(
  AND(REGEXMATCH(E5526, ""台銀籌備帳戶|玉山帳戶""), REGEXMATCH(C5526, ""薪資"")), ""分潤支出"",
  AND(REGEXMATCH(E5526, ""Ben帳戶|Elsa帳戶|Ben代墊|Ariel代墊|中信銀行共用""), REGEXMATCH(F5526, ""Ben帳戶|Elsa帳戶|Ben代墊|Ariel代墊|中信銀行共用"")), ""內部轉帳(忽略)"",
  AND(E5526&lt;&gt;"""", F5526&lt;&gt;"""", N"&amp;"OT(REGEXMATCH(C5526, ""薪資""))), ""內部轉帳(忽略)"",
  REGEXMATCH(C5526, ""薪資""), ""薪資變動(不計入)"",
  REGEXMATCH(C5526, ""押金""), ""押金往來"",
  AND(E5526&lt;&gt;"""", F5526=""""), ""真實支出"",
  AND(E5526="""", F5526&lt;&gt;""""), ""真實收入"",
  TRUE, ""其他""
)"),"其他")</f>
        <v>其他</v>
      </c>
      <c r="K5526" s="270" t="str">
        <f t="shared" si="2"/>
        <v/>
      </c>
      <c r="L5526">
        <f t="shared" si="3"/>
        <v>0</v>
      </c>
    </row>
    <row r="5527">
      <c r="A5527" s="107"/>
      <c r="D5527" s="270"/>
      <c r="H5527" s="106" t="str">
        <f t="shared" si="1"/>
        <v/>
      </c>
      <c r="I5527" s="271" t="str">
        <f>IFERROR(__xludf.DUMMYFUNCTION("""COMPUTED_VALUE"""),"")</f>
        <v/>
      </c>
      <c r="J5527" t="str">
        <f>IFERROR(__xludf.DUMMYFUNCTION("IFS(
  AND(REGEXMATCH(E5527, ""台銀籌備帳戶|玉山帳戶""), REGEXMATCH(C5527, ""薪資"")), ""分潤支出"",
  AND(REGEXMATCH(E5527, ""Ben帳戶|Elsa帳戶|Ben代墊|Ariel代墊|中信銀行共用""), REGEXMATCH(F5527, ""Ben帳戶|Elsa帳戶|Ben代墊|Ariel代墊|中信銀行共用"")), ""內部轉帳(忽略)"",
  AND(E5527&lt;&gt;"""", F5527&lt;&gt;"""", N"&amp;"OT(REGEXMATCH(C5527, ""薪資""))), ""內部轉帳(忽略)"",
  REGEXMATCH(C5527, ""薪資""), ""薪資變動(不計入)"",
  REGEXMATCH(C5527, ""押金""), ""押金往來"",
  AND(E5527&lt;&gt;"""", F5527=""""), ""真實支出"",
  AND(E5527="""", F5527&lt;&gt;""""), ""真實收入"",
  TRUE, ""其他""
)"),"其他")</f>
        <v>其他</v>
      </c>
      <c r="K5527" s="270" t="str">
        <f t="shared" si="2"/>
        <v/>
      </c>
      <c r="L5527">
        <f t="shared" si="3"/>
        <v>0</v>
      </c>
    </row>
    <row r="5528">
      <c r="A5528" s="107"/>
      <c r="D5528" s="270"/>
      <c r="H5528" s="106" t="str">
        <f t="shared" si="1"/>
        <v/>
      </c>
      <c r="I5528" s="271" t="str">
        <f>IFERROR(__xludf.DUMMYFUNCTION("""COMPUTED_VALUE"""),"")</f>
        <v/>
      </c>
      <c r="J5528" t="str">
        <f>IFERROR(__xludf.DUMMYFUNCTION("IFS(
  AND(REGEXMATCH(E5528, ""台銀籌備帳戶|玉山帳戶""), REGEXMATCH(C5528, ""薪資"")), ""分潤支出"",
  AND(REGEXMATCH(E5528, ""Ben帳戶|Elsa帳戶|Ben代墊|Ariel代墊|中信銀行共用""), REGEXMATCH(F5528, ""Ben帳戶|Elsa帳戶|Ben代墊|Ariel代墊|中信銀行共用"")), ""內部轉帳(忽略)"",
  AND(E5528&lt;&gt;"""", F5528&lt;&gt;"""", N"&amp;"OT(REGEXMATCH(C5528, ""薪資""))), ""內部轉帳(忽略)"",
  REGEXMATCH(C5528, ""薪資""), ""薪資變動(不計入)"",
  REGEXMATCH(C5528, ""押金""), ""押金往來"",
  AND(E5528&lt;&gt;"""", F5528=""""), ""真實支出"",
  AND(E5528="""", F5528&lt;&gt;""""), ""真實收入"",
  TRUE, ""其他""
)"),"其他")</f>
        <v>其他</v>
      </c>
      <c r="K5528" s="270" t="str">
        <f t="shared" si="2"/>
        <v/>
      </c>
      <c r="L5528">
        <f t="shared" si="3"/>
        <v>0</v>
      </c>
    </row>
    <row r="5529">
      <c r="A5529" s="107"/>
      <c r="D5529" s="270"/>
      <c r="H5529" s="106" t="str">
        <f t="shared" si="1"/>
        <v/>
      </c>
      <c r="I5529" s="271" t="str">
        <f>IFERROR(__xludf.DUMMYFUNCTION("""COMPUTED_VALUE"""),"")</f>
        <v/>
      </c>
      <c r="J5529" t="str">
        <f>IFERROR(__xludf.DUMMYFUNCTION("IFS(
  AND(REGEXMATCH(E5529, ""台銀籌備帳戶|玉山帳戶""), REGEXMATCH(C5529, ""薪資"")), ""分潤支出"",
  AND(REGEXMATCH(E5529, ""Ben帳戶|Elsa帳戶|Ben代墊|Ariel代墊|中信銀行共用""), REGEXMATCH(F5529, ""Ben帳戶|Elsa帳戶|Ben代墊|Ariel代墊|中信銀行共用"")), ""內部轉帳(忽略)"",
  AND(E5529&lt;&gt;"""", F5529&lt;&gt;"""", N"&amp;"OT(REGEXMATCH(C5529, ""薪資""))), ""內部轉帳(忽略)"",
  REGEXMATCH(C5529, ""薪資""), ""薪資變動(不計入)"",
  REGEXMATCH(C5529, ""押金""), ""押金往來"",
  AND(E5529&lt;&gt;"""", F5529=""""), ""真實支出"",
  AND(E5529="""", F5529&lt;&gt;""""), ""真實收入"",
  TRUE, ""其他""
)"),"其他")</f>
        <v>其他</v>
      </c>
      <c r="K5529" s="270" t="str">
        <f t="shared" si="2"/>
        <v/>
      </c>
      <c r="L5529">
        <f t="shared" si="3"/>
        <v>0</v>
      </c>
    </row>
    <row r="5530">
      <c r="A5530" s="107"/>
      <c r="D5530" s="270"/>
      <c r="H5530" s="106" t="str">
        <f t="shared" si="1"/>
        <v/>
      </c>
      <c r="I5530" s="271" t="str">
        <f>IFERROR(__xludf.DUMMYFUNCTION("""COMPUTED_VALUE"""),"")</f>
        <v/>
      </c>
      <c r="J5530" t="str">
        <f>IFERROR(__xludf.DUMMYFUNCTION("IFS(
  AND(REGEXMATCH(E5530, ""台銀籌備帳戶|玉山帳戶""), REGEXMATCH(C5530, ""薪資"")), ""分潤支出"",
  AND(REGEXMATCH(E5530, ""Ben帳戶|Elsa帳戶|Ben代墊|Ariel代墊|中信銀行共用""), REGEXMATCH(F5530, ""Ben帳戶|Elsa帳戶|Ben代墊|Ariel代墊|中信銀行共用"")), ""內部轉帳(忽略)"",
  AND(E5530&lt;&gt;"""", F5530&lt;&gt;"""", N"&amp;"OT(REGEXMATCH(C5530, ""薪資""))), ""內部轉帳(忽略)"",
  REGEXMATCH(C5530, ""薪資""), ""薪資變動(不計入)"",
  REGEXMATCH(C5530, ""押金""), ""押金往來"",
  AND(E5530&lt;&gt;"""", F5530=""""), ""真實支出"",
  AND(E5530="""", F5530&lt;&gt;""""), ""真實收入"",
  TRUE, ""其他""
)"),"其他")</f>
        <v>其他</v>
      </c>
      <c r="K5530" s="270" t="str">
        <f t="shared" si="2"/>
        <v/>
      </c>
      <c r="L5530">
        <f t="shared" si="3"/>
        <v>0</v>
      </c>
    </row>
    <row r="5531">
      <c r="A5531" s="107"/>
      <c r="D5531" s="270"/>
      <c r="H5531" s="106" t="str">
        <f t="shared" si="1"/>
        <v/>
      </c>
      <c r="I5531" s="271" t="str">
        <f>IFERROR(__xludf.DUMMYFUNCTION("""COMPUTED_VALUE"""),"")</f>
        <v/>
      </c>
      <c r="J5531" t="str">
        <f>IFERROR(__xludf.DUMMYFUNCTION("IFS(
  AND(REGEXMATCH(E5531, ""台銀籌備帳戶|玉山帳戶""), REGEXMATCH(C5531, ""薪資"")), ""分潤支出"",
  AND(REGEXMATCH(E5531, ""Ben帳戶|Elsa帳戶|Ben代墊|Ariel代墊|中信銀行共用""), REGEXMATCH(F5531, ""Ben帳戶|Elsa帳戶|Ben代墊|Ariel代墊|中信銀行共用"")), ""內部轉帳(忽略)"",
  AND(E5531&lt;&gt;"""", F5531&lt;&gt;"""", N"&amp;"OT(REGEXMATCH(C5531, ""薪資""))), ""內部轉帳(忽略)"",
  REGEXMATCH(C5531, ""薪資""), ""薪資變動(不計入)"",
  REGEXMATCH(C5531, ""押金""), ""押金往來"",
  AND(E5531&lt;&gt;"""", F5531=""""), ""真實支出"",
  AND(E5531="""", F5531&lt;&gt;""""), ""真實收入"",
  TRUE, ""其他""
)"),"其他")</f>
        <v>其他</v>
      </c>
      <c r="K5531" s="270" t="str">
        <f t="shared" si="2"/>
        <v/>
      </c>
      <c r="L5531">
        <f t="shared" si="3"/>
        <v>0</v>
      </c>
    </row>
    <row r="5532">
      <c r="A5532" s="107"/>
      <c r="D5532" s="270"/>
      <c r="H5532" s="106" t="str">
        <f t="shared" si="1"/>
        <v/>
      </c>
      <c r="I5532" s="271" t="str">
        <f>IFERROR(__xludf.DUMMYFUNCTION("""COMPUTED_VALUE"""),"")</f>
        <v/>
      </c>
      <c r="J5532" t="str">
        <f>IFERROR(__xludf.DUMMYFUNCTION("IFS(
  AND(REGEXMATCH(E5532, ""台銀籌備帳戶|玉山帳戶""), REGEXMATCH(C5532, ""薪資"")), ""分潤支出"",
  AND(REGEXMATCH(E5532, ""Ben帳戶|Elsa帳戶|Ben代墊|Ariel代墊|中信銀行共用""), REGEXMATCH(F5532, ""Ben帳戶|Elsa帳戶|Ben代墊|Ariel代墊|中信銀行共用"")), ""內部轉帳(忽略)"",
  AND(E5532&lt;&gt;"""", F5532&lt;&gt;"""", N"&amp;"OT(REGEXMATCH(C5532, ""薪資""))), ""內部轉帳(忽略)"",
  REGEXMATCH(C5532, ""薪資""), ""薪資變動(不計入)"",
  REGEXMATCH(C5532, ""押金""), ""押金往來"",
  AND(E5532&lt;&gt;"""", F5532=""""), ""真實支出"",
  AND(E5532="""", F5532&lt;&gt;""""), ""真實收入"",
  TRUE, ""其他""
)"),"其他")</f>
        <v>其他</v>
      </c>
      <c r="K5532" s="270" t="str">
        <f t="shared" si="2"/>
        <v/>
      </c>
      <c r="L5532">
        <f t="shared" si="3"/>
        <v>0</v>
      </c>
    </row>
    <row r="5533">
      <c r="A5533" s="107"/>
      <c r="D5533" s="270"/>
      <c r="H5533" s="106" t="str">
        <f t="shared" si="1"/>
        <v/>
      </c>
      <c r="I5533" s="271" t="str">
        <f>IFERROR(__xludf.DUMMYFUNCTION("""COMPUTED_VALUE"""),"")</f>
        <v/>
      </c>
      <c r="J5533" t="str">
        <f>IFERROR(__xludf.DUMMYFUNCTION("IFS(
  AND(REGEXMATCH(E5533, ""台銀籌備帳戶|玉山帳戶""), REGEXMATCH(C5533, ""薪資"")), ""分潤支出"",
  AND(REGEXMATCH(E5533, ""Ben帳戶|Elsa帳戶|Ben代墊|Ariel代墊|中信銀行共用""), REGEXMATCH(F5533, ""Ben帳戶|Elsa帳戶|Ben代墊|Ariel代墊|中信銀行共用"")), ""內部轉帳(忽略)"",
  AND(E5533&lt;&gt;"""", F5533&lt;&gt;"""", N"&amp;"OT(REGEXMATCH(C5533, ""薪資""))), ""內部轉帳(忽略)"",
  REGEXMATCH(C5533, ""薪資""), ""薪資變動(不計入)"",
  REGEXMATCH(C5533, ""押金""), ""押金往來"",
  AND(E5533&lt;&gt;"""", F5533=""""), ""真實支出"",
  AND(E5533="""", F5533&lt;&gt;""""), ""真實收入"",
  TRUE, ""其他""
)"),"其他")</f>
        <v>其他</v>
      </c>
      <c r="K5533" s="270" t="str">
        <f t="shared" si="2"/>
        <v/>
      </c>
      <c r="L5533">
        <f t="shared" si="3"/>
        <v>0</v>
      </c>
    </row>
    <row r="5534">
      <c r="A5534" s="107"/>
      <c r="D5534" s="270"/>
      <c r="H5534" s="106" t="str">
        <f t="shared" si="1"/>
        <v/>
      </c>
      <c r="I5534" s="271" t="str">
        <f>IFERROR(__xludf.DUMMYFUNCTION("""COMPUTED_VALUE"""),"")</f>
        <v/>
      </c>
      <c r="J5534" t="str">
        <f>IFERROR(__xludf.DUMMYFUNCTION("IFS(
  AND(REGEXMATCH(E5534, ""台銀籌備帳戶|玉山帳戶""), REGEXMATCH(C5534, ""薪資"")), ""分潤支出"",
  AND(REGEXMATCH(E5534, ""Ben帳戶|Elsa帳戶|Ben代墊|Ariel代墊|中信銀行共用""), REGEXMATCH(F5534, ""Ben帳戶|Elsa帳戶|Ben代墊|Ariel代墊|中信銀行共用"")), ""內部轉帳(忽略)"",
  AND(E5534&lt;&gt;"""", F5534&lt;&gt;"""", N"&amp;"OT(REGEXMATCH(C5534, ""薪資""))), ""內部轉帳(忽略)"",
  REGEXMATCH(C5534, ""薪資""), ""薪資變動(不計入)"",
  REGEXMATCH(C5534, ""押金""), ""押金往來"",
  AND(E5534&lt;&gt;"""", F5534=""""), ""真實支出"",
  AND(E5534="""", F5534&lt;&gt;""""), ""真實收入"",
  TRUE, ""其他""
)"),"其他")</f>
        <v>其他</v>
      </c>
      <c r="K5534" s="270" t="str">
        <f t="shared" si="2"/>
        <v/>
      </c>
      <c r="L5534">
        <f t="shared" si="3"/>
        <v>0</v>
      </c>
    </row>
    <row r="5535">
      <c r="A5535" s="107"/>
      <c r="D5535" s="270"/>
      <c r="H5535" s="106" t="str">
        <f t="shared" si="1"/>
        <v/>
      </c>
      <c r="I5535" s="271" t="str">
        <f>IFERROR(__xludf.DUMMYFUNCTION("""COMPUTED_VALUE"""),"")</f>
        <v/>
      </c>
      <c r="J5535" t="str">
        <f>IFERROR(__xludf.DUMMYFUNCTION("IFS(
  AND(REGEXMATCH(E5535, ""台銀籌備帳戶|玉山帳戶""), REGEXMATCH(C5535, ""薪資"")), ""分潤支出"",
  AND(REGEXMATCH(E5535, ""Ben帳戶|Elsa帳戶|Ben代墊|Ariel代墊|中信銀行共用""), REGEXMATCH(F5535, ""Ben帳戶|Elsa帳戶|Ben代墊|Ariel代墊|中信銀行共用"")), ""內部轉帳(忽略)"",
  AND(E5535&lt;&gt;"""", F5535&lt;&gt;"""", N"&amp;"OT(REGEXMATCH(C5535, ""薪資""))), ""內部轉帳(忽略)"",
  REGEXMATCH(C5535, ""薪資""), ""薪資變動(不計入)"",
  REGEXMATCH(C5535, ""押金""), ""押金往來"",
  AND(E5535&lt;&gt;"""", F5535=""""), ""真實支出"",
  AND(E5535="""", F5535&lt;&gt;""""), ""真實收入"",
  TRUE, ""其他""
)"),"其他")</f>
        <v>其他</v>
      </c>
      <c r="K5535" s="270" t="str">
        <f t="shared" si="2"/>
        <v/>
      </c>
      <c r="L5535">
        <f t="shared" si="3"/>
        <v>0</v>
      </c>
    </row>
    <row r="5536">
      <c r="A5536" s="107"/>
      <c r="D5536" s="270"/>
      <c r="H5536" s="106" t="str">
        <f t="shared" si="1"/>
        <v/>
      </c>
      <c r="I5536" s="271" t="str">
        <f>IFERROR(__xludf.DUMMYFUNCTION("""COMPUTED_VALUE"""),"")</f>
        <v/>
      </c>
      <c r="J5536" t="str">
        <f>IFERROR(__xludf.DUMMYFUNCTION("IFS(
  AND(REGEXMATCH(E5536, ""台銀籌備帳戶|玉山帳戶""), REGEXMATCH(C5536, ""薪資"")), ""分潤支出"",
  AND(REGEXMATCH(E5536, ""Ben帳戶|Elsa帳戶|Ben代墊|Ariel代墊|中信銀行共用""), REGEXMATCH(F5536, ""Ben帳戶|Elsa帳戶|Ben代墊|Ariel代墊|中信銀行共用"")), ""內部轉帳(忽略)"",
  AND(E5536&lt;&gt;"""", F5536&lt;&gt;"""", N"&amp;"OT(REGEXMATCH(C5536, ""薪資""))), ""內部轉帳(忽略)"",
  REGEXMATCH(C5536, ""薪資""), ""薪資變動(不計入)"",
  REGEXMATCH(C5536, ""押金""), ""押金往來"",
  AND(E5536&lt;&gt;"""", F5536=""""), ""真實支出"",
  AND(E5536="""", F5536&lt;&gt;""""), ""真實收入"",
  TRUE, ""其他""
)"),"其他")</f>
        <v>其他</v>
      </c>
      <c r="K5536" s="270" t="str">
        <f t="shared" si="2"/>
        <v/>
      </c>
      <c r="L5536">
        <f t="shared" si="3"/>
        <v>0</v>
      </c>
    </row>
    <row r="5537">
      <c r="A5537" s="107"/>
      <c r="D5537" s="270"/>
      <c r="H5537" s="106" t="str">
        <f t="shared" si="1"/>
        <v/>
      </c>
      <c r="I5537" s="271" t="str">
        <f>IFERROR(__xludf.DUMMYFUNCTION("""COMPUTED_VALUE"""),"")</f>
        <v/>
      </c>
      <c r="J5537" t="str">
        <f>IFERROR(__xludf.DUMMYFUNCTION("IFS(
  AND(REGEXMATCH(E5537, ""台銀籌備帳戶|玉山帳戶""), REGEXMATCH(C5537, ""薪資"")), ""分潤支出"",
  AND(REGEXMATCH(E5537, ""Ben帳戶|Elsa帳戶|Ben代墊|Ariel代墊|中信銀行共用""), REGEXMATCH(F5537, ""Ben帳戶|Elsa帳戶|Ben代墊|Ariel代墊|中信銀行共用"")), ""內部轉帳(忽略)"",
  AND(E5537&lt;&gt;"""", F5537&lt;&gt;"""", N"&amp;"OT(REGEXMATCH(C5537, ""薪資""))), ""內部轉帳(忽略)"",
  REGEXMATCH(C5537, ""薪資""), ""薪資變動(不計入)"",
  REGEXMATCH(C5537, ""押金""), ""押金往來"",
  AND(E5537&lt;&gt;"""", F5537=""""), ""真實支出"",
  AND(E5537="""", F5537&lt;&gt;""""), ""真實收入"",
  TRUE, ""其他""
)"),"其他")</f>
        <v>其他</v>
      </c>
      <c r="K5537" s="270" t="str">
        <f t="shared" si="2"/>
        <v/>
      </c>
      <c r="L5537">
        <f t="shared" si="3"/>
        <v>0</v>
      </c>
    </row>
    <row r="5538">
      <c r="A5538" s="107"/>
      <c r="D5538" s="270"/>
      <c r="H5538" s="106" t="str">
        <f t="shared" si="1"/>
        <v/>
      </c>
      <c r="I5538" s="271" t="str">
        <f>IFERROR(__xludf.DUMMYFUNCTION("""COMPUTED_VALUE"""),"")</f>
        <v/>
      </c>
      <c r="J5538" t="str">
        <f>IFERROR(__xludf.DUMMYFUNCTION("IFS(
  AND(REGEXMATCH(E5538, ""台銀籌備帳戶|玉山帳戶""), REGEXMATCH(C5538, ""薪資"")), ""分潤支出"",
  AND(REGEXMATCH(E5538, ""Ben帳戶|Elsa帳戶|Ben代墊|Ariel代墊|中信銀行共用""), REGEXMATCH(F5538, ""Ben帳戶|Elsa帳戶|Ben代墊|Ariel代墊|中信銀行共用"")), ""內部轉帳(忽略)"",
  AND(E5538&lt;&gt;"""", F5538&lt;&gt;"""", N"&amp;"OT(REGEXMATCH(C5538, ""薪資""))), ""內部轉帳(忽略)"",
  REGEXMATCH(C5538, ""薪資""), ""薪資變動(不計入)"",
  REGEXMATCH(C5538, ""押金""), ""押金往來"",
  AND(E5538&lt;&gt;"""", F5538=""""), ""真實支出"",
  AND(E5538="""", F5538&lt;&gt;""""), ""真實收入"",
  TRUE, ""其他""
)"),"其他")</f>
        <v>其他</v>
      </c>
      <c r="K5538" s="270" t="str">
        <f t="shared" si="2"/>
        <v/>
      </c>
      <c r="L5538">
        <f t="shared" si="3"/>
        <v>0</v>
      </c>
    </row>
    <row r="5539">
      <c r="A5539" s="107"/>
      <c r="D5539" s="270"/>
      <c r="H5539" s="106" t="str">
        <f t="shared" si="1"/>
        <v/>
      </c>
      <c r="I5539" s="271" t="str">
        <f>IFERROR(__xludf.DUMMYFUNCTION("""COMPUTED_VALUE"""),"")</f>
        <v/>
      </c>
      <c r="J5539" t="str">
        <f>IFERROR(__xludf.DUMMYFUNCTION("IFS(
  AND(REGEXMATCH(E5539, ""台銀籌備帳戶|玉山帳戶""), REGEXMATCH(C5539, ""薪資"")), ""分潤支出"",
  AND(REGEXMATCH(E5539, ""Ben帳戶|Elsa帳戶|Ben代墊|Ariel代墊|中信銀行共用""), REGEXMATCH(F5539, ""Ben帳戶|Elsa帳戶|Ben代墊|Ariel代墊|中信銀行共用"")), ""內部轉帳(忽略)"",
  AND(E5539&lt;&gt;"""", F5539&lt;&gt;"""", N"&amp;"OT(REGEXMATCH(C5539, ""薪資""))), ""內部轉帳(忽略)"",
  REGEXMATCH(C5539, ""薪資""), ""薪資變動(不計入)"",
  REGEXMATCH(C5539, ""押金""), ""押金往來"",
  AND(E5539&lt;&gt;"""", F5539=""""), ""真實支出"",
  AND(E5539="""", F5539&lt;&gt;""""), ""真實收入"",
  TRUE, ""其他""
)"),"其他")</f>
        <v>其他</v>
      </c>
      <c r="K5539" s="270" t="str">
        <f t="shared" si="2"/>
        <v/>
      </c>
      <c r="L5539">
        <f t="shared" si="3"/>
        <v>0</v>
      </c>
    </row>
    <row r="5540">
      <c r="A5540" s="107"/>
      <c r="D5540" s="270"/>
      <c r="H5540" s="106" t="str">
        <f t="shared" si="1"/>
        <v/>
      </c>
      <c r="I5540" s="271" t="str">
        <f>IFERROR(__xludf.DUMMYFUNCTION("""COMPUTED_VALUE"""),"")</f>
        <v/>
      </c>
      <c r="J5540" t="str">
        <f>IFERROR(__xludf.DUMMYFUNCTION("IFS(
  AND(REGEXMATCH(E5540, ""台銀籌備帳戶|玉山帳戶""), REGEXMATCH(C5540, ""薪資"")), ""分潤支出"",
  AND(REGEXMATCH(E5540, ""Ben帳戶|Elsa帳戶|Ben代墊|Ariel代墊|中信銀行共用""), REGEXMATCH(F5540, ""Ben帳戶|Elsa帳戶|Ben代墊|Ariel代墊|中信銀行共用"")), ""內部轉帳(忽略)"",
  AND(E5540&lt;&gt;"""", F5540&lt;&gt;"""", N"&amp;"OT(REGEXMATCH(C5540, ""薪資""))), ""內部轉帳(忽略)"",
  REGEXMATCH(C5540, ""薪資""), ""薪資變動(不計入)"",
  REGEXMATCH(C5540, ""押金""), ""押金往來"",
  AND(E5540&lt;&gt;"""", F5540=""""), ""真實支出"",
  AND(E5540="""", F5540&lt;&gt;""""), ""真實收入"",
  TRUE, ""其他""
)"),"其他")</f>
        <v>其他</v>
      </c>
      <c r="K5540" s="270" t="str">
        <f t="shared" si="2"/>
        <v/>
      </c>
      <c r="L5540">
        <f t="shared" si="3"/>
        <v>0</v>
      </c>
    </row>
    <row r="5541">
      <c r="A5541" s="107"/>
      <c r="D5541" s="270"/>
      <c r="H5541" s="106" t="str">
        <f t="shared" si="1"/>
        <v/>
      </c>
      <c r="I5541" s="271" t="str">
        <f>IFERROR(__xludf.DUMMYFUNCTION("""COMPUTED_VALUE"""),"")</f>
        <v/>
      </c>
      <c r="J5541" t="str">
        <f>IFERROR(__xludf.DUMMYFUNCTION("IFS(
  AND(REGEXMATCH(E5541, ""台銀籌備帳戶|玉山帳戶""), REGEXMATCH(C5541, ""薪資"")), ""分潤支出"",
  AND(REGEXMATCH(E5541, ""Ben帳戶|Elsa帳戶|Ben代墊|Ariel代墊|中信銀行共用""), REGEXMATCH(F5541, ""Ben帳戶|Elsa帳戶|Ben代墊|Ariel代墊|中信銀行共用"")), ""內部轉帳(忽略)"",
  AND(E5541&lt;&gt;"""", F5541&lt;&gt;"""", N"&amp;"OT(REGEXMATCH(C5541, ""薪資""))), ""內部轉帳(忽略)"",
  REGEXMATCH(C5541, ""薪資""), ""薪資變動(不計入)"",
  REGEXMATCH(C5541, ""押金""), ""押金往來"",
  AND(E5541&lt;&gt;"""", F5541=""""), ""真實支出"",
  AND(E5541="""", F5541&lt;&gt;""""), ""真實收入"",
  TRUE, ""其他""
)"),"其他")</f>
        <v>其他</v>
      </c>
      <c r="K5541" s="270" t="str">
        <f t="shared" si="2"/>
        <v/>
      </c>
      <c r="L5541">
        <f t="shared" si="3"/>
        <v>0</v>
      </c>
    </row>
    <row r="5542">
      <c r="A5542" s="107"/>
      <c r="D5542" s="270"/>
      <c r="H5542" s="106" t="str">
        <f t="shared" si="1"/>
        <v/>
      </c>
      <c r="I5542" s="271" t="str">
        <f>IFERROR(__xludf.DUMMYFUNCTION("""COMPUTED_VALUE"""),"")</f>
        <v/>
      </c>
      <c r="J5542" t="str">
        <f>IFERROR(__xludf.DUMMYFUNCTION("IFS(
  AND(REGEXMATCH(E5542, ""台銀籌備帳戶|玉山帳戶""), REGEXMATCH(C5542, ""薪資"")), ""分潤支出"",
  AND(REGEXMATCH(E5542, ""Ben帳戶|Elsa帳戶|Ben代墊|Ariel代墊|中信銀行共用""), REGEXMATCH(F5542, ""Ben帳戶|Elsa帳戶|Ben代墊|Ariel代墊|中信銀行共用"")), ""內部轉帳(忽略)"",
  AND(E5542&lt;&gt;"""", F5542&lt;&gt;"""", N"&amp;"OT(REGEXMATCH(C5542, ""薪資""))), ""內部轉帳(忽略)"",
  REGEXMATCH(C5542, ""薪資""), ""薪資變動(不計入)"",
  REGEXMATCH(C5542, ""押金""), ""押金往來"",
  AND(E5542&lt;&gt;"""", F5542=""""), ""真實支出"",
  AND(E5542="""", F5542&lt;&gt;""""), ""真實收入"",
  TRUE, ""其他""
)"),"其他")</f>
        <v>其他</v>
      </c>
      <c r="K5542" s="270" t="str">
        <f t="shared" si="2"/>
        <v/>
      </c>
      <c r="L5542">
        <f t="shared" si="3"/>
        <v>0</v>
      </c>
    </row>
    <row r="5543">
      <c r="A5543" s="107"/>
      <c r="D5543" s="270"/>
      <c r="H5543" s="106" t="str">
        <f t="shared" si="1"/>
        <v/>
      </c>
      <c r="I5543" s="271" t="str">
        <f>IFERROR(__xludf.DUMMYFUNCTION("""COMPUTED_VALUE"""),"")</f>
        <v/>
      </c>
      <c r="J5543" t="str">
        <f>IFERROR(__xludf.DUMMYFUNCTION("IFS(
  AND(REGEXMATCH(E5543, ""台銀籌備帳戶|玉山帳戶""), REGEXMATCH(C5543, ""薪資"")), ""分潤支出"",
  AND(REGEXMATCH(E5543, ""Ben帳戶|Elsa帳戶|Ben代墊|Ariel代墊|中信銀行共用""), REGEXMATCH(F5543, ""Ben帳戶|Elsa帳戶|Ben代墊|Ariel代墊|中信銀行共用"")), ""內部轉帳(忽略)"",
  AND(E5543&lt;&gt;"""", F5543&lt;&gt;"""", N"&amp;"OT(REGEXMATCH(C5543, ""薪資""))), ""內部轉帳(忽略)"",
  REGEXMATCH(C5543, ""薪資""), ""薪資變動(不計入)"",
  REGEXMATCH(C5543, ""押金""), ""押金往來"",
  AND(E5543&lt;&gt;"""", F5543=""""), ""真實支出"",
  AND(E5543="""", F5543&lt;&gt;""""), ""真實收入"",
  TRUE, ""其他""
)"),"其他")</f>
        <v>其他</v>
      </c>
      <c r="K5543" s="270" t="str">
        <f t="shared" si="2"/>
        <v/>
      </c>
      <c r="L5543">
        <f t="shared" si="3"/>
        <v>0</v>
      </c>
    </row>
    <row r="5544">
      <c r="A5544" s="107"/>
      <c r="D5544" s="270"/>
      <c r="H5544" s="106" t="str">
        <f t="shared" si="1"/>
        <v/>
      </c>
      <c r="I5544" s="271" t="str">
        <f>IFERROR(__xludf.DUMMYFUNCTION("""COMPUTED_VALUE"""),"")</f>
        <v/>
      </c>
      <c r="J5544" t="str">
        <f>IFERROR(__xludf.DUMMYFUNCTION("IFS(
  AND(REGEXMATCH(E5544, ""台銀籌備帳戶|玉山帳戶""), REGEXMATCH(C5544, ""薪資"")), ""分潤支出"",
  AND(REGEXMATCH(E5544, ""Ben帳戶|Elsa帳戶|Ben代墊|Ariel代墊|中信銀行共用""), REGEXMATCH(F5544, ""Ben帳戶|Elsa帳戶|Ben代墊|Ariel代墊|中信銀行共用"")), ""內部轉帳(忽略)"",
  AND(E5544&lt;&gt;"""", F5544&lt;&gt;"""", N"&amp;"OT(REGEXMATCH(C5544, ""薪資""))), ""內部轉帳(忽略)"",
  REGEXMATCH(C5544, ""薪資""), ""薪資變動(不計入)"",
  REGEXMATCH(C5544, ""押金""), ""押金往來"",
  AND(E5544&lt;&gt;"""", F5544=""""), ""真實支出"",
  AND(E5544="""", F5544&lt;&gt;""""), ""真實收入"",
  TRUE, ""其他""
)"),"其他")</f>
        <v>其他</v>
      </c>
      <c r="K5544" s="270" t="str">
        <f t="shared" si="2"/>
        <v/>
      </c>
      <c r="L5544">
        <f t="shared" si="3"/>
        <v>0</v>
      </c>
    </row>
    <row r="5545">
      <c r="A5545" s="107"/>
      <c r="D5545" s="270"/>
      <c r="H5545" s="106" t="str">
        <f t="shared" si="1"/>
        <v/>
      </c>
      <c r="I5545" s="271" t="str">
        <f>IFERROR(__xludf.DUMMYFUNCTION("""COMPUTED_VALUE"""),"")</f>
        <v/>
      </c>
      <c r="J5545" t="str">
        <f>IFERROR(__xludf.DUMMYFUNCTION("IFS(
  AND(REGEXMATCH(E5545, ""台銀籌備帳戶|玉山帳戶""), REGEXMATCH(C5545, ""薪資"")), ""分潤支出"",
  AND(REGEXMATCH(E5545, ""Ben帳戶|Elsa帳戶|Ben代墊|Ariel代墊|中信銀行共用""), REGEXMATCH(F5545, ""Ben帳戶|Elsa帳戶|Ben代墊|Ariel代墊|中信銀行共用"")), ""內部轉帳(忽略)"",
  AND(E5545&lt;&gt;"""", F5545&lt;&gt;"""", N"&amp;"OT(REGEXMATCH(C5545, ""薪資""))), ""內部轉帳(忽略)"",
  REGEXMATCH(C5545, ""薪資""), ""薪資變動(不計入)"",
  REGEXMATCH(C5545, ""押金""), ""押金往來"",
  AND(E5545&lt;&gt;"""", F5545=""""), ""真實支出"",
  AND(E5545="""", F5545&lt;&gt;""""), ""真實收入"",
  TRUE, ""其他""
)"),"其他")</f>
        <v>其他</v>
      </c>
      <c r="K5545" s="270" t="str">
        <f t="shared" si="2"/>
        <v/>
      </c>
      <c r="L5545">
        <f t="shared" si="3"/>
        <v>0</v>
      </c>
    </row>
    <row r="5546">
      <c r="A5546" s="107"/>
      <c r="D5546" s="270"/>
      <c r="H5546" s="106" t="str">
        <f t="shared" si="1"/>
        <v/>
      </c>
      <c r="I5546" s="271" t="str">
        <f>IFERROR(__xludf.DUMMYFUNCTION("""COMPUTED_VALUE"""),"")</f>
        <v/>
      </c>
      <c r="J5546" t="str">
        <f>IFERROR(__xludf.DUMMYFUNCTION("IFS(
  AND(REGEXMATCH(E5546, ""台銀籌備帳戶|玉山帳戶""), REGEXMATCH(C5546, ""薪資"")), ""分潤支出"",
  AND(REGEXMATCH(E5546, ""Ben帳戶|Elsa帳戶|Ben代墊|Ariel代墊|中信銀行共用""), REGEXMATCH(F5546, ""Ben帳戶|Elsa帳戶|Ben代墊|Ariel代墊|中信銀行共用"")), ""內部轉帳(忽略)"",
  AND(E5546&lt;&gt;"""", F5546&lt;&gt;"""", N"&amp;"OT(REGEXMATCH(C5546, ""薪資""))), ""內部轉帳(忽略)"",
  REGEXMATCH(C5546, ""薪資""), ""薪資變動(不計入)"",
  REGEXMATCH(C5546, ""押金""), ""押金往來"",
  AND(E5546&lt;&gt;"""", F5546=""""), ""真實支出"",
  AND(E5546="""", F5546&lt;&gt;""""), ""真實收入"",
  TRUE, ""其他""
)"),"其他")</f>
        <v>其他</v>
      </c>
      <c r="K5546" s="270" t="str">
        <f t="shared" si="2"/>
        <v/>
      </c>
      <c r="L5546">
        <f t="shared" si="3"/>
        <v>0</v>
      </c>
    </row>
    <row r="5547">
      <c r="A5547" s="107"/>
      <c r="D5547" s="270"/>
      <c r="H5547" s="106" t="str">
        <f t="shared" si="1"/>
        <v/>
      </c>
      <c r="I5547" s="271" t="str">
        <f>IFERROR(__xludf.DUMMYFUNCTION("""COMPUTED_VALUE"""),"")</f>
        <v/>
      </c>
      <c r="J5547" t="str">
        <f>IFERROR(__xludf.DUMMYFUNCTION("IFS(
  AND(REGEXMATCH(E5547, ""台銀籌備帳戶|玉山帳戶""), REGEXMATCH(C5547, ""薪資"")), ""分潤支出"",
  AND(REGEXMATCH(E5547, ""Ben帳戶|Elsa帳戶|Ben代墊|Ariel代墊|中信銀行共用""), REGEXMATCH(F5547, ""Ben帳戶|Elsa帳戶|Ben代墊|Ariel代墊|中信銀行共用"")), ""內部轉帳(忽略)"",
  AND(E5547&lt;&gt;"""", F5547&lt;&gt;"""", N"&amp;"OT(REGEXMATCH(C5547, ""薪資""))), ""內部轉帳(忽略)"",
  REGEXMATCH(C5547, ""薪資""), ""薪資變動(不計入)"",
  REGEXMATCH(C5547, ""押金""), ""押金往來"",
  AND(E5547&lt;&gt;"""", F5547=""""), ""真實支出"",
  AND(E5547="""", F5547&lt;&gt;""""), ""真實收入"",
  TRUE, ""其他""
)"),"其他")</f>
        <v>其他</v>
      </c>
      <c r="K5547" s="270" t="str">
        <f t="shared" si="2"/>
        <v/>
      </c>
      <c r="L5547">
        <f t="shared" si="3"/>
        <v>0</v>
      </c>
    </row>
    <row r="5548">
      <c r="A5548" s="107"/>
      <c r="D5548" s="270"/>
      <c r="H5548" s="106" t="str">
        <f t="shared" si="1"/>
        <v/>
      </c>
      <c r="I5548" s="271" t="str">
        <f>IFERROR(__xludf.DUMMYFUNCTION("""COMPUTED_VALUE"""),"")</f>
        <v/>
      </c>
      <c r="J5548" t="str">
        <f>IFERROR(__xludf.DUMMYFUNCTION("IFS(
  AND(REGEXMATCH(E5548, ""台銀籌備帳戶|玉山帳戶""), REGEXMATCH(C5548, ""薪資"")), ""分潤支出"",
  AND(REGEXMATCH(E5548, ""Ben帳戶|Elsa帳戶|Ben代墊|Ariel代墊|中信銀行共用""), REGEXMATCH(F5548, ""Ben帳戶|Elsa帳戶|Ben代墊|Ariel代墊|中信銀行共用"")), ""內部轉帳(忽略)"",
  AND(E5548&lt;&gt;"""", F5548&lt;&gt;"""", N"&amp;"OT(REGEXMATCH(C5548, ""薪資""))), ""內部轉帳(忽略)"",
  REGEXMATCH(C5548, ""薪資""), ""薪資變動(不計入)"",
  REGEXMATCH(C5548, ""押金""), ""押金往來"",
  AND(E5548&lt;&gt;"""", F5548=""""), ""真實支出"",
  AND(E5548="""", F5548&lt;&gt;""""), ""真實收入"",
  TRUE, ""其他""
)"),"其他")</f>
        <v>其他</v>
      </c>
      <c r="K5548" s="270" t="str">
        <f t="shared" si="2"/>
        <v/>
      </c>
      <c r="L5548">
        <f t="shared" si="3"/>
        <v>0</v>
      </c>
    </row>
    <row r="5549">
      <c r="A5549" s="107"/>
      <c r="D5549" s="270"/>
      <c r="H5549" s="106" t="str">
        <f t="shared" si="1"/>
        <v/>
      </c>
      <c r="I5549" s="271" t="str">
        <f>IFERROR(__xludf.DUMMYFUNCTION("""COMPUTED_VALUE"""),"")</f>
        <v/>
      </c>
      <c r="J5549" t="str">
        <f>IFERROR(__xludf.DUMMYFUNCTION("IFS(
  AND(REGEXMATCH(E5549, ""台銀籌備帳戶|玉山帳戶""), REGEXMATCH(C5549, ""薪資"")), ""分潤支出"",
  AND(REGEXMATCH(E5549, ""Ben帳戶|Elsa帳戶|Ben代墊|Ariel代墊|中信銀行共用""), REGEXMATCH(F5549, ""Ben帳戶|Elsa帳戶|Ben代墊|Ariel代墊|中信銀行共用"")), ""內部轉帳(忽略)"",
  AND(E5549&lt;&gt;"""", F5549&lt;&gt;"""", N"&amp;"OT(REGEXMATCH(C5549, ""薪資""))), ""內部轉帳(忽略)"",
  REGEXMATCH(C5549, ""薪資""), ""薪資變動(不計入)"",
  REGEXMATCH(C5549, ""押金""), ""押金往來"",
  AND(E5549&lt;&gt;"""", F5549=""""), ""真實支出"",
  AND(E5549="""", F5549&lt;&gt;""""), ""真實收入"",
  TRUE, ""其他""
)"),"其他")</f>
        <v>其他</v>
      </c>
      <c r="K5549" s="270" t="str">
        <f t="shared" si="2"/>
        <v/>
      </c>
      <c r="L5549">
        <f t="shared" si="3"/>
        <v>0</v>
      </c>
    </row>
    <row r="5550">
      <c r="A5550" s="107"/>
      <c r="D5550" s="270"/>
      <c r="H5550" s="106" t="str">
        <f t="shared" si="1"/>
        <v/>
      </c>
      <c r="I5550" s="271" t="str">
        <f>IFERROR(__xludf.DUMMYFUNCTION("""COMPUTED_VALUE"""),"")</f>
        <v/>
      </c>
      <c r="J5550" t="str">
        <f>IFERROR(__xludf.DUMMYFUNCTION("IFS(
  AND(REGEXMATCH(E5550, ""台銀籌備帳戶|玉山帳戶""), REGEXMATCH(C5550, ""薪資"")), ""分潤支出"",
  AND(REGEXMATCH(E5550, ""Ben帳戶|Elsa帳戶|Ben代墊|Ariel代墊|中信銀行共用""), REGEXMATCH(F5550, ""Ben帳戶|Elsa帳戶|Ben代墊|Ariel代墊|中信銀行共用"")), ""內部轉帳(忽略)"",
  AND(E5550&lt;&gt;"""", F5550&lt;&gt;"""", N"&amp;"OT(REGEXMATCH(C5550, ""薪資""))), ""內部轉帳(忽略)"",
  REGEXMATCH(C5550, ""薪資""), ""薪資變動(不計入)"",
  REGEXMATCH(C5550, ""押金""), ""押金往來"",
  AND(E5550&lt;&gt;"""", F5550=""""), ""真實支出"",
  AND(E5550="""", F5550&lt;&gt;""""), ""真實收入"",
  TRUE, ""其他""
)"),"其他")</f>
        <v>其他</v>
      </c>
      <c r="K5550" s="270" t="str">
        <f t="shared" si="2"/>
        <v/>
      </c>
      <c r="L5550">
        <f t="shared" si="3"/>
        <v>0</v>
      </c>
    </row>
    <row r="5551">
      <c r="A5551" s="107"/>
      <c r="D5551" s="270"/>
      <c r="H5551" s="106" t="str">
        <f t="shared" si="1"/>
        <v/>
      </c>
      <c r="I5551" s="271" t="str">
        <f>IFERROR(__xludf.DUMMYFUNCTION("""COMPUTED_VALUE"""),"")</f>
        <v/>
      </c>
      <c r="J5551" t="str">
        <f>IFERROR(__xludf.DUMMYFUNCTION("IFS(
  AND(REGEXMATCH(E5551, ""台銀籌備帳戶|玉山帳戶""), REGEXMATCH(C5551, ""薪資"")), ""分潤支出"",
  AND(REGEXMATCH(E5551, ""Ben帳戶|Elsa帳戶|Ben代墊|Ariel代墊|中信銀行共用""), REGEXMATCH(F5551, ""Ben帳戶|Elsa帳戶|Ben代墊|Ariel代墊|中信銀行共用"")), ""內部轉帳(忽略)"",
  AND(E5551&lt;&gt;"""", F5551&lt;&gt;"""", N"&amp;"OT(REGEXMATCH(C5551, ""薪資""))), ""內部轉帳(忽略)"",
  REGEXMATCH(C5551, ""薪資""), ""薪資變動(不計入)"",
  REGEXMATCH(C5551, ""押金""), ""押金往來"",
  AND(E5551&lt;&gt;"""", F5551=""""), ""真實支出"",
  AND(E5551="""", F5551&lt;&gt;""""), ""真實收入"",
  TRUE, ""其他""
)"),"其他")</f>
        <v>其他</v>
      </c>
      <c r="K5551" s="270" t="str">
        <f t="shared" si="2"/>
        <v/>
      </c>
      <c r="L5551">
        <f t="shared" si="3"/>
        <v>0</v>
      </c>
    </row>
    <row r="5552">
      <c r="A5552" s="107"/>
      <c r="D5552" s="270"/>
      <c r="H5552" s="106" t="str">
        <f t="shared" si="1"/>
        <v/>
      </c>
      <c r="I5552" s="271" t="str">
        <f>IFERROR(__xludf.DUMMYFUNCTION("""COMPUTED_VALUE"""),"")</f>
        <v/>
      </c>
      <c r="J5552" t="str">
        <f>IFERROR(__xludf.DUMMYFUNCTION("IFS(
  AND(REGEXMATCH(E5552, ""台銀籌備帳戶|玉山帳戶""), REGEXMATCH(C5552, ""薪資"")), ""分潤支出"",
  AND(REGEXMATCH(E5552, ""Ben帳戶|Elsa帳戶|Ben代墊|Ariel代墊|中信銀行共用""), REGEXMATCH(F5552, ""Ben帳戶|Elsa帳戶|Ben代墊|Ariel代墊|中信銀行共用"")), ""內部轉帳(忽略)"",
  AND(E5552&lt;&gt;"""", F5552&lt;&gt;"""", N"&amp;"OT(REGEXMATCH(C5552, ""薪資""))), ""內部轉帳(忽略)"",
  REGEXMATCH(C5552, ""薪資""), ""薪資變動(不計入)"",
  REGEXMATCH(C5552, ""押金""), ""押金往來"",
  AND(E5552&lt;&gt;"""", F5552=""""), ""真實支出"",
  AND(E5552="""", F5552&lt;&gt;""""), ""真實收入"",
  TRUE, ""其他""
)"),"其他")</f>
        <v>其他</v>
      </c>
      <c r="K5552" s="270" t="str">
        <f t="shared" si="2"/>
        <v/>
      </c>
      <c r="L5552">
        <f t="shared" si="3"/>
        <v>0</v>
      </c>
    </row>
    <row r="5553">
      <c r="A5553" s="107"/>
      <c r="D5553" s="270"/>
      <c r="H5553" s="106" t="str">
        <f t="shared" si="1"/>
        <v/>
      </c>
      <c r="I5553" s="271" t="str">
        <f>IFERROR(__xludf.DUMMYFUNCTION("""COMPUTED_VALUE"""),"")</f>
        <v/>
      </c>
      <c r="J5553" t="str">
        <f>IFERROR(__xludf.DUMMYFUNCTION("IFS(
  AND(REGEXMATCH(E5553, ""台銀籌備帳戶|玉山帳戶""), REGEXMATCH(C5553, ""薪資"")), ""分潤支出"",
  AND(REGEXMATCH(E5553, ""Ben帳戶|Elsa帳戶|Ben代墊|Ariel代墊|中信銀行共用""), REGEXMATCH(F5553, ""Ben帳戶|Elsa帳戶|Ben代墊|Ariel代墊|中信銀行共用"")), ""內部轉帳(忽略)"",
  AND(E5553&lt;&gt;"""", F5553&lt;&gt;"""", N"&amp;"OT(REGEXMATCH(C5553, ""薪資""))), ""內部轉帳(忽略)"",
  REGEXMATCH(C5553, ""薪資""), ""薪資變動(不計入)"",
  REGEXMATCH(C5553, ""押金""), ""押金往來"",
  AND(E5553&lt;&gt;"""", F5553=""""), ""真實支出"",
  AND(E5553="""", F5553&lt;&gt;""""), ""真實收入"",
  TRUE, ""其他""
)"),"其他")</f>
        <v>其他</v>
      </c>
      <c r="K5553" s="270" t="str">
        <f t="shared" si="2"/>
        <v/>
      </c>
      <c r="L5553">
        <f t="shared" si="3"/>
        <v>0</v>
      </c>
    </row>
    <row r="5554">
      <c r="A5554" s="107"/>
      <c r="D5554" s="270"/>
      <c r="H5554" s="106" t="str">
        <f t="shared" si="1"/>
        <v/>
      </c>
      <c r="I5554" s="271" t="str">
        <f>IFERROR(__xludf.DUMMYFUNCTION("""COMPUTED_VALUE"""),"")</f>
        <v/>
      </c>
      <c r="J5554" t="str">
        <f>IFERROR(__xludf.DUMMYFUNCTION("IFS(
  AND(REGEXMATCH(E5554, ""台銀籌備帳戶|玉山帳戶""), REGEXMATCH(C5554, ""薪資"")), ""分潤支出"",
  AND(REGEXMATCH(E5554, ""Ben帳戶|Elsa帳戶|Ben代墊|Ariel代墊|中信銀行共用""), REGEXMATCH(F5554, ""Ben帳戶|Elsa帳戶|Ben代墊|Ariel代墊|中信銀行共用"")), ""內部轉帳(忽略)"",
  AND(E5554&lt;&gt;"""", F5554&lt;&gt;"""", N"&amp;"OT(REGEXMATCH(C5554, ""薪資""))), ""內部轉帳(忽略)"",
  REGEXMATCH(C5554, ""薪資""), ""薪資變動(不計入)"",
  REGEXMATCH(C5554, ""押金""), ""押金往來"",
  AND(E5554&lt;&gt;"""", F5554=""""), ""真實支出"",
  AND(E5554="""", F5554&lt;&gt;""""), ""真實收入"",
  TRUE, ""其他""
)"),"其他")</f>
        <v>其他</v>
      </c>
      <c r="K5554" s="270" t="str">
        <f t="shared" si="2"/>
        <v/>
      </c>
      <c r="L5554">
        <f t="shared" si="3"/>
        <v>0</v>
      </c>
    </row>
    <row r="5555">
      <c r="A5555" s="107"/>
      <c r="D5555" s="270"/>
      <c r="H5555" s="106" t="str">
        <f t="shared" si="1"/>
        <v/>
      </c>
      <c r="I5555" s="271" t="str">
        <f>IFERROR(__xludf.DUMMYFUNCTION("""COMPUTED_VALUE"""),"")</f>
        <v/>
      </c>
      <c r="J5555" t="str">
        <f>IFERROR(__xludf.DUMMYFUNCTION("IFS(
  AND(REGEXMATCH(E5555, ""台銀籌備帳戶|玉山帳戶""), REGEXMATCH(C5555, ""薪資"")), ""分潤支出"",
  AND(REGEXMATCH(E5555, ""Ben帳戶|Elsa帳戶|Ben代墊|Ariel代墊|中信銀行共用""), REGEXMATCH(F5555, ""Ben帳戶|Elsa帳戶|Ben代墊|Ariel代墊|中信銀行共用"")), ""內部轉帳(忽略)"",
  AND(E5555&lt;&gt;"""", F5555&lt;&gt;"""", N"&amp;"OT(REGEXMATCH(C5555, ""薪資""))), ""內部轉帳(忽略)"",
  REGEXMATCH(C5555, ""薪資""), ""薪資變動(不計入)"",
  REGEXMATCH(C5555, ""押金""), ""押金往來"",
  AND(E5555&lt;&gt;"""", F5555=""""), ""真實支出"",
  AND(E5555="""", F5555&lt;&gt;""""), ""真實收入"",
  TRUE, ""其他""
)"),"其他")</f>
        <v>其他</v>
      </c>
      <c r="K5555" s="270" t="str">
        <f t="shared" si="2"/>
        <v/>
      </c>
      <c r="L5555">
        <f t="shared" si="3"/>
        <v>0</v>
      </c>
    </row>
    <row r="5556">
      <c r="A5556" s="107"/>
      <c r="D5556" s="270"/>
      <c r="H5556" s="106" t="str">
        <f t="shared" si="1"/>
        <v/>
      </c>
      <c r="I5556" s="271" t="str">
        <f>IFERROR(__xludf.DUMMYFUNCTION("""COMPUTED_VALUE"""),"")</f>
        <v/>
      </c>
      <c r="J5556" t="str">
        <f>IFERROR(__xludf.DUMMYFUNCTION("IFS(
  AND(REGEXMATCH(E5556, ""台銀籌備帳戶|玉山帳戶""), REGEXMATCH(C5556, ""薪資"")), ""分潤支出"",
  AND(REGEXMATCH(E5556, ""Ben帳戶|Elsa帳戶|Ben代墊|Ariel代墊|中信銀行共用""), REGEXMATCH(F5556, ""Ben帳戶|Elsa帳戶|Ben代墊|Ariel代墊|中信銀行共用"")), ""內部轉帳(忽略)"",
  AND(E5556&lt;&gt;"""", F5556&lt;&gt;"""", N"&amp;"OT(REGEXMATCH(C5556, ""薪資""))), ""內部轉帳(忽略)"",
  REGEXMATCH(C5556, ""薪資""), ""薪資變動(不計入)"",
  REGEXMATCH(C5556, ""押金""), ""押金往來"",
  AND(E5556&lt;&gt;"""", F5556=""""), ""真實支出"",
  AND(E5556="""", F5556&lt;&gt;""""), ""真實收入"",
  TRUE, ""其他""
)"),"其他")</f>
        <v>其他</v>
      </c>
      <c r="K5556" s="270" t="str">
        <f t="shared" si="2"/>
        <v/>
      </c>
      <c r="L5556">
        <f t="shared" si="3"/>
        <v>0</v>
      </c>
    </row>
    <row r="5557">
      <c r="A5557" s="107"/>
      <c r="D5557" s="270"/>
      <c r="H5557" s="106" t="str">
        <f t="shared" si="1"/>
        <v/>
      </c>
      <c r="I5557" s="271" t="str">
        <f>IFERROR(__xludf.DUMMYFUNCTION("""COMPUTED_VALUE"""),"")</f>
        <v/>
      </c>
      <c r="J5557" t="str">
        <f>IFERROR(__xludf.DUMMYFUNCTION("IFS(
  AND(REGEXMATCH(E5557, ""台銀籌備帳戶|玉山帳戶""), REGEXMATCH(C5557, ""薪資"")), ""分潤支出"",
  AND(REGEXMATCH(E5557, ""Ben帳戶|Elsa帳戶|Ben代墊|Ariel代墊|中信銀行共用""), REGEXMATCH(F5557, ""Ben帳戶|Elsa帳戶|Ben代墊|Ariel代墊|中信銀行共用"")), ""內部轉帳(忽略)"",
  AND(E5557&lt;&gt;"""", F5557&lt;&gt;"""", N"&amp;"OT(REGEXMATCH(C5557, ""薪資""))), ""內部轉帳(忽略)"",
  REGEXMATCH(C5557, ""薪資""), ""薪資變動(不計入)"",
  REGEXMATCH(C5557, ""押金""), ""押金往來"",
  AND(E5557&lt;&gt;"""", F5557=""""), ""真實支出"",
  AND(E5557="""", F5557&lt;&gt;""""), ""真實收入"",
  TRUE, ""其他""
)"),"其他")</f>
        <v>其他</v>
      </c>
      <c r="K5557" s="270" t="str">
        <f t="shared" si="2"/>
        <v/>
      </c>
      <c r="L5557">
        <f t="shared" si="3"/>
        <v>0</v>
      </c>
    </row>
    <row r="5558">
      <c r="A5558" s="107"/>
      <c r="D5558" s="270"/>
      <c r="H5558" s="106" t="str">
        <f t="shared" si="1"/>
        <v/>
      </c>
      <c r="I5558" s="271" t="str">
        <f>IFERROR(__xludf.DUMMYFUNCTION("""COMPUTED_VALUE"""),"")</f>
        <v/>
      </c>
      <c r="J5558" t="str">
        <f>IFERROR(__xludf.DUMMYFUNCTION("IFS(
  AND(REGEXMATCH(E5558, ""台銀籌備帳戶|玉山帳戶""), REGEXMATCH(C5558, ""薪資"")), ""分潤支出"",
  AND(REGEXMATCH(E5558, ""Ben帳戶|Elsa帳戶|Ben代墊|Ariel代墊|中信銀行共用""), REGEXMATCH(F5558, ""Ben帳戶|Elsa帳戶|Ben代墊|Ariel代墊|中信銀行共用"")), ""內部轉帳(忽略)"",
  AND(E5558&lt;&gt;"""", F5558&lt;&gt;"""", N"&amp;"OT(REGEXMATCH(C5558, ""薪資""))), ""內部轉帳(忽略)"",
  REGEXMATCH(C5558, ""薪資""), ""薪資變動(不計入)"",
  REGEXMATCH(C5558, ""押金""), ""押金往來"",
  AND(E5558&lt;&gt;"""", F5558=""""), ""真實支出"",
  AND(E5558="""", F5558&lt;&gt;""""), ""真實收入"",
  TRUE, ""其他""
)"),"其他")</f>
        <v>其他</v>
      </c>
      <c r="K5558" s="270" t="str">
        <f t="shared" si="2"/>
        <v/>
      </c>
      <c r="L5558">
        <f t="shared" si="3"/>
        <v>0</v>
      </c>
    </row>
    <row r="5559">
      <c r="A5559" s="107"/>
      <c r="D5559" s="270"/>
      <c r="H5559" s="106" t="str">
        <f t="shared" si="1"/>
        <v/>
      </c>
      <c r="I5559" s="271" t="str">
        <f>IFERROR(__xludf.DUMMYFUNCTION("""COMPUTED_VALUE"""),"")</f>
        <v/>
      </c>
      <c r="J5559" t="str">
        <f>IFERROR(__xludf.DUMMYFUNCTION("IFS(
  AND(REGEXMATCH(E5559, ""台銀籌備帳戶|玉山帳戶""), REGEXMATCH(C5559, ""薪資"")), ""分潤支出"",
  AND(REGEXMATCH(E5559, ""Ben帳戶|Elsa帳戶|Ben代墊|Ariel代墊|中信銀行共用""), REGEXMATCH(F5559, ""Ben帳戶|Elsa帳戶|Ben代墊|Ariel代墊|中信銀行共用"")), ""內部轉帳(忽略)"",
  AND(E5559&lt;&gt;"""", F5559&lt;&gt;"""", N"&amp;"OT(REGEXMATCH(C5559, ""薪資""))), ""內部轉帳(忽略)"",
  REGEXMATCH(C5559, ""薪資""), ""薪資變動(不計入)"",
  REGEXMATCH(C5559, ""押金""), ""押金往來"",
  AND(E5559&lt;&gt;"""", F5559=""""), ""真實支出"",
  AND(E5559="""", F5559&lt;&gt;""""), ""真實收入"",
  TRUE, ""其他""
)"),"其他")</f>
        <v>其他</v>
      </c>
      <c r="K5559" s="270" t="str">
        <f t="shared" si="2"/>
        <v/>
      </c>
      <c r="L5559">
        <f t="shared" si="3"/>
        <v>0</v>
      </c>
    </row>
    <row r="5560">
      <c r="A5560" s="107"/>
      <c r="D5560" s="270"/>
      <c r="H5560" s="106" t="str">
        <f t="shared" si="1"/>
        <v/>
      </c>
      <c r="I5560" s="271" t="str">
        <f>IFERROR(__xludf.DUMMYFUNCTION("""COMPUTED_VALUE"""),"")</f>
        <v/>
      </c>
      <c r="J5560" t="str">
        <f>IFERROR(__xludf.DUMMYFUNCTION("IFS(
  AND(REGEXMATCH(E5560, ""台銀籌備帳戶|玉山帳戶""), REGEXMATCH(C5560, ""薪資"")), ""分潤支出"",
  AND(REGEXMATCH(E5560, ""Ben帳戶|Elsa帳戶|Ben代墊|Ariel代墊|中信銀行共用""), REGEXMATCH(F5560, ""Ben帳戶|Elsa帳戶|Ben代墊|Ariel代墊|中信銀行共用"")), ""內部轉帳(忽略)"",
  AND(E5560&lt;&gt;"""", F5560&lt;&gt;"""", N"&amp;"OT(REGEXMATCH(C5560, ""薪資""))), ""內部轉帳(忽略)"",
  REGEXMATCH(C5560, ""薪資""), ""薪資變動(不計入)"",
  REGEXMATCH(C5560, ""押金""), ""押金往來"",
  AND(E5560&lt;&gt;"""", F5560=""""), ""真實支出"",
  AND(E5560="""", F5560&lt;&gt;""""), ""真實收入"",
  TRUE, ""其他""
)"),"其他")</f>
        <v>其他</v>
      </c>
      <c r="K5560" s="270" t="str">
        <f t="shared" si="2"/>
        <v/>
      </c>
      <c r="L5560">
        <f t="shared" si="3"/>
        <v>0</v>
      </c>
    </row>
    <row r="5561">
      <c r="A5561" s="107"/>
      <c r="D5561" s="270"/>
      <c r="H5561" s="106" t="str">
        <f t="shared" si="1"/>
        <v/>
      </c>
      <c r="I5561" s="271" t="str">
        <f>IFERROR(__xludf.DUMMYFUNCTION("""COMPUTED_VALUE"""),"")</f>
        <v/>
      </c>
      <c r="J5561" t="str">
        <f>IFERROR(__xludf.DUMMYFUNCTION("IFS(
  AND(REGEXMATCH(E5561, ""台銀籌備帳戶|玉山帳戶""), REGEXMATCH(C5561, ""薪資"")), ""分潤支出"",
  AND(REGEXMATCH(E5561, ""Ben帳戶|Elsa帳戶|Ben代墊|Ariel代墊|中信銀行共用""), REGEXMATCH(F5561, ""Ben帳戶|Elsa帳戶|Ben代墊|Ariel代墊|中信銀行共用"")), ""內部轉帳(忽略)"",
  AND(E5561&lt;&gt;"""", F5561&lt;&gt;"""", N"&amp;"OT(REGEXMATCH(C5561, ""薪資""))), ""內部轉帳(忽略)"",
  REGEXMATCH(C5561, ""薪資""), ""薪資變動(不計入)"",
  REGEXMATCH(C5561, ""押金""), ""押金往來"",
  AND(E5561&lt;&gt;"""", F5561=""""), ""真實支出"",
  AND(E5561="""", F5561&lt;&gt;""""), ""真實收入"",
  TRUE, ""其他""
)"),"其他")</f>
        <v>其他</v>
      </c>
      <c r="K5561" s="270" t="str">
        <f t="shared" si="2"/>
        <v/>
      </c>
      <c r="L5561">
        <f t="shared" si="3"/>
        <v>0</v>
      </c>
    </row>
    <row r="5562">
      <c r="A5562" s="107"/>
      <c r="D5562" s="270"/>
      <c r="H5562" s="106" t="str">
        <f t="shared" si="1"/>
        <v/>
      </c>
      <c r="I5562" s="271" t="str">
        <f>IFERROR(__xludf.DUMMYFUNCTION("""COMPUTED_VALUE"""),"")</f>
        <v/>
      </c>
      <c r="J5562" t="str">
        <f>IFERROR(__xludf.DUMMYFUNCTION("IFS(
  AND(REGEXMATCH(E5562, ""台銀籌備帳戶|玉山帳戶""), REGEXMATCH(C5562, ""薪資"")), ""分潤支出"",
  AND(REGEXMATCH(E5562, ""Ben帳戶|Elsa帳戶|Ben代墊|Ariel代墊|中信銀行共用""), REGEXMATCH(F5562, ""Ben帳戶|Elsa帳戶|Ben代墊|Ariel代墊|中信銀行共用"")), ""內部轉帳(忽略)"",
  AND(E5562&lt;&gt;"""", F5562&lt;&gt;"""", N"&amp;"OT(REGEXMATCH(C5562, ""薪資""))), ""內部轉帳(忽略)"",
  REGEXMATCH(C5562, ""薪資""), ""薪資變動(不計入)"",
  REGEXMATCH(C5562, ""押金""), ""押金往來"",
  AND(E5562&lt;&gt;"""", F5562=""""), ""真實支出"",
  AND(E5562="""", F5562&lt;&gt;""""), ""真實收入"",
  TRUE, ""其他""
)"),"其他")</f>
        <v>其他</v>
      </c>
      <c r="K5562" s="270" t="str">
        <f t="shared" si="2"/>
        <v/>
      </c>
      <c r="L5562">
        <f t="shared" si="3"/>
        <v>0</v>
      </c>
    </row>
    <row r="5563">
      <c r="A5563" s="107"/>
      <c r="D5563" s="270"/>
      <c r="H5563" s="106" t="str">
        <f t="shared" si="1"/>
        <v/>
      </c>
      <c r="I5563" s="271" t="str">
        <f>IFERROR(__xludf.DUMMYFUNCTION("""COMPUTED_VALUE"""),"")</f>
        <v/>
      </c>
      <c r="J5563" t="str">
        <f>IFERROR(__xludf.DUMMYFUNCTION("IFS(
  AND(REGEXMATCH(E5563, ""台銀籌備帳戶|玉山帳戶""), REGEXMATCH(C5563, ""薪資"")), ""分潤支出"",
  AND(REGEXMATCH(E5563, ""Ben帳戶|Elsa帳戶|Ben代墊|Ariel代墊|中信銀行共用""), REGEXMATCH(F5563, ""Ben帳戶|Elsa帳戶|Ben代墊|Ariel代墊|中信銀行共用"")), ""內部轉帳(忽略)"",
  AND(E5563&lt;&gt;"""", F5563&lt;&gt;"""", N"&amp;"OT(REGEXMATCH(C5563, ""薪資""))), ""內部轉帳(忽略)"",
  REGEXMATCH(C5563, ""薪資""), ""薪資變動(不計入)"",
  REGEXMATCH(C5563, ""押金""), ""押金往來"",
  AND(E5563&lt;&gt;"""", F5563=""""), ""真實支出"",
  AND(E5563="""", F5563&lt;&gt;""""), ""真實收入"",
  TRUE, ""其他""
)"),"其他")</f>
        <v>其他</v>
      </c>
      <c r="K5563" s="270" t="str">
        <f t="shared" si="2"/>
        <v/>
      </c>
      <c r="L5563">
        <f t="shared" si="3"/>
        <v>0</v>
      </c>
    </row>
    <row r="5564">
      <c r="A5564" s="107"/>
      <c r="D5564" s="270"/>
      <c r="H5564" s="106" t="str">
        <f t="shared" si="1"/>
        <v/>
      </c>
      <c r="I5564" s="271" t="str">
        <f>IFERROR(__xludf.DUMMYFUNCTION("""COMPUTED_VALUE"""),"")</f>
        <v/>
      </c>
      <c r="J5564" t="str">
        <f>IFERROR(__xludf.DUMMYFUNCTION("IFS(
  AND(REGEXMATCH(E5564, ""台銀籌備帳戶|玉山帳戶""), REGEXMATCH(C5564, ""薪資"")), ""分潤支出"",
  AND(REGEXMATCH(E5564, ""Ben帳戶|Elsa帳戶|Ben代墊|Ariel代墊|中信銀行共用""), REGEXMATCH(F5564, ""Ben帳戶|Elsa帳戶|Ben代墊|Ariel代墊|中信銀行共用"")), ""內部轉帳(忽略)"",
  AND(E5564&lt;&gt;"""", F5564&lt;&gt;"""", N"&amp;"OT(REGEXMATCH(C5564, ""薪資""))), ""內部轉帳(忽略)"",
  REGEXMATCH(C5564, ""薪資""), ""薪資變動(不計入)"",
  REGEXMATCH(C5564, ""押金""), ""押金往來"",
  AND(E5564&lt;&gt;"""", F5564=""""), ""真實支出"",
  AND(E5564="""", F5564&lt;&gt;""""), ""真實收入"",
  TRUE, ""其他""
)"),"其他")</f>
        <v>其他</v>
      </c>
      <c r="K5564" s="270" t="str">
        <f t="shared" si="2"/>
        <v/>
      </c>
      <c r="L5564">
        <f t="shared" si="3"/>
        <v>0</v>
      </c>
    </row>
    <row r="5565">
      <c r="A5565" s="107"/>
      <c r="D5565" s="270"/>
      <c r="H5565" s="106" t="str">
        <f t="shared" si="1"/>
        <v/>
      </c>
      <c r="I5565" s="271" t="str">
        <f>IFERROR(__xludf.DUMMYFUNCTION("""COMPUTED_VALUE"""),"")</f>
        <v/>
      </c>
      <c r="J5565" t="str">
        <f>IFERROR(__xludf.DUMMYFUNCTION("IFS(
  AND(REGEXMATCH(E5565, ""台銀籌備帳戶|玉山帳戶""), REGEXMATCH(C5565, ""薪資"")), ""分潤支出"",
  AND(REGEXMATCH(E5565, ""Ben帳戶|Elsa帳戶|Ben代墊|Ariel代墊|中信銀行共用""), REGEXMATCH(F5565, ""Ben帳戶|Elsa帳戶|Ben代墊|Ariel代墊|中信銀行共用"")), ""內部轉帳(忽略)"",
  AND(E5565&lt;&gt;"""", F5565&lt;&gt;"""", N"&amp;"OT(REGEXMATCH(C5565, ""薪資""))), ""內部轉帳(忽略)"",
  REGEXMATCH(C5565, ""薪資""), ""薪資變動(不計入)"",
  REGEXMATCH(C5565, ""押金""), ""押金往來"",
  AND(E5565&lt;&gt;"""", F5565=""""), ""真實支出"",
  AND(E5565="""", F5565&lt;&gt;""""), ""真實收入"",
  TRUE, ""其他""
)"),"其他")</f>
        <v>其他</v>
      </c>
      <c r="K5565" s="270" t="str">
        <f t="shared" si="2"/>
        <v/>
      </c>
      <c r="L5565">
        <f t="shared" si="3"/>
        <v>0</v>
      </c>
    </row>
    <row r="5566">
      <c r="A5566" s="107"/>
      <c r="D5566" s="270"/>
      <c r="H5566" s="106" t="str">
        <f t="shared" si="1"/>
        <v/>
      </c>
      <c r="I5566" s="271" t="str">
        <f>IFERROR(__xludf.DUMMYFUNCTION("""COMPUTED_VALUE"""),"")</f>
        <v/>
      </c>
      <c r="J5566" t="str">
        <f>IFERROR(__xludf.DUMMYFUNCTION("IFS(
  AND(REGEXMATCH(E5566, ""台銀籌備帳戶|玉山帳戶""), REGEXMATCH(C5566, ""薪資"")), ""分潤支出"",
  AND(REGEXMATCH(E5566, ""Ben帳戶|Elsa帳戶|Ben代墊|Ariel代墊|中信銀行共用""), REGEXMATCH(F5566, ""Ben帳戶|Elsa帳戶|Ben代墊|Ariel代墊|中信銀行共用"")), ""內部轉帳(忽略)"",
  AND(E5566&lt;&gt;"""", F5566&lt;&gt;"""", N"&amp;"OT(REGEXMATCH(C5566, ""薪資""))), ""內部轉帳(忽略)"",
  REGEXMATCH(C5566, ""薪資""), ""薪資變動(不計入)"",
  REGEXMATCH(C5566, ""押金""), ""押金往來"",
  AND(E5566&lt;&gt;"""", F5566=""""), ""真實支出"",
  AND(E5566="""", F5566&lt;&gt;""""), ""真實收入"",
  TRUE, ""其他""
)"),"其他")</f>
        <v>其他</v>
      </c>
      <c r="K5566" s="270" t="str">
        <f t="shared" si="2"/>
        <v/>
      </c>
      <c r="L5566">
        <f t="shared" si="3"/>
        <v>0</v>
      </c>
    </row>
    <row r="5567">
      <c r="A5567" s="107"/>
      <c r="D5567" s="270"/>
      <c r="H5567" s="106" t="str">
        <f t="shared" si="1"/>
        <v/>
      </c>
      <c r="I5567" s="271" t="str">
        <f>IFERROR(__xludf.DUMMYFUNCTION("""COMPUTED_VALUE"""),"")</f>
        <v/>
      </c>
      <c r="J5567" t="str">
        <f>IFERROR(__xludf.DUMMYFUNCTION("IFS(
  AND(REGEXMATCH(E5567, ""台銀籌備帳戶|玉山帳戶""), REGEXMATCH(C5567, ""薪資"")), ""分潤支出"",
  AND(REGEXMATCH(E5567, ""Ben帳戶|Elsa帳戶|Ben代墊|Ariel代墊|中信銀行共用""), REGEXMATCH(F5567, ""Ben帳戶|Elsa帳戶|Ben代墊|Ariel代墊|中信銀行共用"")), ""內部轉帳(忽略)"",
  AND(E5567&lt;&gt;"""", F5567&lt;&gt;"""", N"&amp;"OT(REGEXMATCH(C5567, ""薪資""))), ""內部轉帳(忽略)"",
  REGEXMATCH(C5567, ""薪資""), ""薪資變動(不計入)"",
  REGEXMATCH(C5567, ""押金""), ""押金往來"",
  AND(E5567&lt;&gt;"""", F5567=""""), ""真實支出"",
  AND(E5567="""", F5567&lt;&gt;""""), ""真實收入"",
  TRUE, ""其他""
)"),"其他")</f>
        <v>其他</v>
      </c>
      <c r="K5567" s="270" t="str">
        <f t="shared" si="2"/>
        <v/>
      </c>
      <c r="L5567">
        <f t="shared" si="3"/>
        <v>0</v>
      </c>
    </row>
    <row r="5568">
      <c r="A5568" s="107"/>
      <c r="D5568" s="270"/>
      <c r="H5568" s="106" t="str">
        <f t="shared" si="1"/>
        <v/>
      </c>
      <c r="I5568" s="271" t="str">
        <f>IFERROR(__xludf.DUMMYFUNCTION("""COMPUTED_VALUE"""),"")</f>
        <v/>
      </c>
      <c r="J5568" t="str">
        <f>IFERROR(__xludf.DUMMYFUNCTION("IFS(
  AND(REGEXMATCH(E5568, ""台銀籌備帳戶|玉山帳戶""), REGEXMATCH(C5568, ""薪資"")), ""分潤支出"",
  AND(REGEXMATCH(E5568, ""Ben帳戶|Elsa帳戶|Ben代墊|Ariel代墊|中信銀行共用""), REGEXMATCH(F5568, ""Ben帳戶|Elsa帳戶|Ben代墊|Ariel代墊|中信銀行共用"")), ""內部轉帳(忽略)"",
  AND(E5568&lt;&gt;"""", F5568&lt;&gt;"""", N"&amp;"OT(REGEXMATCH(C5568, ""薪資""))), ""內部轉帳(忽略)"",
  REGEXMATCH(C5568, ""薪資""), ""薪資變動(不計入)"",
  REGEXMATCH(C5568, ""押金""), ""押金往來"",
  AND(E5568&lt;&gt;"""", F5568=""""), ""真實支出"",
  AND(E5568="""", F5568&lt;&gt;""""), ""真實收入"",
  TRUE, ""其他""
)"),"其他")</f>
        <v>其他</v>
      </c>
      <c r="K5568" s="270" t="str">
        <f t="shared" si="2"/>
        <v/>
      </c>
      <c r="L5568">
        <f t="shared" si="3"/>
        <v>0</v>
      </c>
    </row>
    <row r="5569">
      <c r="A5569" s="107"/>
      <c r="D5569" s="270"/>
      <c r="H5569" s="106" t="str">
        <f t="shared" si="1"/>
        <v/>
      </c>
      <c r="I5569" s="271" t="str">
        <f>IFERROR(__xludf.DUMMYFUNCTION("""COMPUTED_VALUE"""),"")</f>
        <v/>
      </c>
      <c r="J5569" t="str">
        <f>IFERROR(__xludf.DUMMYFUNCTION("IFS(
  AND(REGEXMATCH(E5569, ""台銀籌備帳戶|玉山帳戶""), REGEXMATCH(C5569, ""薪資"")), ""分潤支出"",
  AND(REGEXMATCH(E5569, ""Ben帳戶|Elsa帳戶|Ben代墊|Ariel代墊|中信銀行共用""), REGEXMATCH(F5569, ""Ben帳戶|Elsa帳戶|Ben代墊|Ariel代墊|中信銀行共用"")), ""內部轉帳(忽略)"",
  AND(E5569&lt;&gt;"""", F5569&lt;&gt;"""", N"&amp;"OT(REGEXMATCH(C5569, ""薪資""))), ""內部轉帳(忽略)"",
  REGEXMATCH(C5569, ""薪資""), ""薪資變動(不計入)"",
  REGEXMATCH(C5569, ""押金""), ""押金往來"",
  AND(E5569&lt;&gt;"""", F5569=""""), ""真實支出"",
  AND(E5569="""", F5569&lt;&gt;""""), ""真實收入"",
  TRUE, ""其他""
)"),"其他")</f>
        <v>其他</v>
      </c>
      <c r="K5569" s="270" t="str">
        <f t="shared" si="2"/>
        <v/>
      </c>
      <c r="L5569">
        <f t="shared" si="3"/>
        <v>0</v>
      </c>
    </row>
    <row r="5570">
      <c r="A5570" s="107"/>
      <c r="D5570" s="270"/>
      <c r="H5570" s="106" t="str">
        <f t="shared" si="1"/>
        <v/>
      </c>
      <c r="I5570" s="271" t="str">
        <f>IFERROR(__xludf.DUMMYFUNCTION("""COMPUTED_VALUE"""),"")</f>
        <v/>
      </c>
      <c r="J5570" t="str">
        <f>IFERROR(__xludf.DUMMYFUNCTION("IFS(
  AND(REGEXMATCH(E5570, ""台銀籌備帳戶|玉山帳戶""), REGEXMATCH(C5570, ""薪資"")), ""分潤支出"",
  AND(REGEXMATCH(E5570, ""Ben帳戶|Elsa帳戶|Ben代墊|Ariel代墊|中信銀行共用""), REGEXMATCH(F5570, ""Ben帳戶|Elsa帳戶|Ben代墊|Ariel代墊|中信銀行共用"")), ""內部轉帳(忽略)"",
  AND(E5570&lt;&gt;"""", F5570&lt;&gt;"""", N"&amp;"OT(REGEXMATCH(C5570, ""薪資""))), ""內部轉帳(忽略)"",
  REGEXMATCH(C5570, ""薪資""), ""薪資變動(不計入)"",
  REGEXMATCH(C5570, ""押金""), ""押金往來"",
  AND(E5570&lt;&gt;"""", F5570=""""), ""真實支出"",
  AND(E5570="""", F5570&lt;&gt;""""), ""真實收入"",
  TRUE, ""其他""
)"),"其他")</f>
        <v>其他</v>
      </c>
      <c r="K5570" s="270" t="str">
        <f t="shared" si="2"/>
        <v/>
      </c>
      <c r="L5570">
        <f t="shared" si="3"/>
        <v>0</v>
      </c>
    </row>
    <row r="5571">
      <c r="A5571" s="107"/>
      <c r="D5571" s="270"/>
      <c r="H5571" s="106" t="str">
        <f t="shared" si="1"/>
        <v/>
      </c>
      <c r="I5571" s="271" t="str">
        <f>IFERROR(__xludf.DUMMYFUNCTION("""COMPUTED_VALUE"""),"")</f>
        <v/>
      </c>
      <c r="J5571" t="str">
        <f>IFERROR(__xludf.DUMMYFUNCTION("IFS(
  AND(REGEXMATCH(E5571, ""台銀籌備帳戶|玉山帳戶""), REGEXMATCH(C5571, ""薪資"")), ""分潤支出"",
  AND(REGEXMATCH(E5571, ""Ben帳戶|Elsa帳戶|Ben代墊|Ariel代墊|中信銀行共用""), REGEXMATCH(F5571, ""Ben帳戶|Elsa帳戶|Ben代墊|Ariel代墊|中信銀行共用"")), ""內部轉帳(忽略)"",
  AND(E5571&lt;&gt;"""", F5571&lt;&gt;"""", N"&amp;"OT(REGEXMATCH(C5571, ""薪資""))), ""內部轉帳(忽略)"",
  REGEXMATCH(C5571, ""薪資""), ""薪資變動(不計入)"",
  REGEXMATCH(C5571, ""押金""), ""押金往來"",
  AND(E5571&lt;&gt;"""", F5571=""""), ""真實支出"",
  AND(E5571="""", F5571&lt;&gt;""""), ""真實收入"",
  TRUE, ""其他""
)"),"其他")</f>
        <v>其他</v>
      </c>
      <c r="K5571" s="270" t="str">
        <f t="shared" si="2"/>
        <v/>
      </c>
      <c r="L5571">
        <f t="shared" si="3"/>
        <v>0</v>
      </c>
    </row>
    <row r="5572">
      <c r="A5572" s="107"/>
      <c r="D5572" s="270"/>
      <c r="H5572" s="106" t="str">
        <f t="shared" si="1"/>
        <v/>
      </c>
      <c r="I5572" s="271" t="str">
        <f>IFERROR(__xludf.DUMMYFUNCTION("""COMPUTED_VALUE"""),"")</f>
        <v/>
      </c>
      <c r="J5572" t="str">
        <f>IFERROR(__xludf.DUMMYFUNCTION("IFS(
  AND(REGEXMATCH(E5572, ""台銀籌備帳戶|玉山帳戶""), REGEXMATCH(C5572, ""薪資"")), ""分潤支出"",
  AND(REGEXMATCH(E5572, ""Ben帳戶|Elsa帳戶|Ben代墊|Ariel代墊|中信銀行共用""), REGEXMATCH(F5572, ""Ben帳戶|Elsa帳戶|Ben代墊|Ariel代墊|中信銀行共用"")), ""內部轉帳(忽略)"",
  AND(E5572&lt;&gt;"""", F5572&lt;&gt;"""", N"&amp;"OT(REGEXMATCH(C5572, ""薪資""))), ""內部轉帳(忽略)"",
  REGEXMATCH(C5572, ""薪資""), ""薪資變動(不計入)"",
  REGEXMATCH(C5572, ""押金""), ""押金往來"",
  AND(E5572&lt;&gt;"""", F5572=""""), ""真實支出"",
  AND(E5572="""", F5572&lt;&gt;""""), ""真實收入"",
  TRUE, ""其他""
)"),"其他")</f>
        <v>其他</v>
      </c>
      <c r="K5572" s="270" t="str">
        <f t="shared" si="2"/>
        <v/>
      </c>
      <c r="L5572">
        <f t="shared" si="3"/>
        <v>0</v>
      </c>
    </row>
    <row r="5573">
      <c r="A5573" s="107"/>
      <c r="D5573" s="270"/>
      <c r="H5573" s="106" t="str">
        <f t="shared" si="1"/>
        <v/>
      </c>
      <c r="I5573" s="271" t="str">
        <f>IFERROR(__xludf.DUMMYFUNCTION("""COMPUTED_VALUE"""),"")</f>
        <v/>
      </c>
      <c r="J5573" t="str">
        <f>IFERROR(__xludf.DUMMYFUNCTION("IFS(
  AND(REGEXMATCH(E5573, ""台銀籌備帳戶|玉山帳戶""), REGEXMATCH(C5573, ""薪資"")), ""分潤支出"",
  AND(REGEXMATCH(E5573, ""Ben帳戶|Elsa帳戶|Ben代墊|Ariel代墊|中信銀行共用""), REGEXMATCH(F5573, ""Ben帳戶|Elsa帳戶|Ben代墊|Ariel代墊|中信銀行共用"")), ""內部轉帳(忽略)"",
  AND(E5573&lt;&gt;"""", F5573&lt;&gt;"""", N"&amp;"OT(REGEXMATCH(C5573, ""薪資""))), ""內部轉帳(忽略)"",
  REGEXMATCH(C5573, ""薪資""), ""薪資變動(不計入)"",
  REGEXMATCH(C5573, ""押金""), ""押金往來"",
  AND(E5573&lt;&gt;"""", F5573=""""), ""真實支出"",
  AND(E5573="""", F5573&lt;&gt;""""), ""真實收入"",
  TRUE, ""其他""
)"),"其他")</f>
        <v>其他</v>
      </c>
      <c r="K5573" s="270" t="str">
        <f t="shared" si="2"/>
        <v/>
      </c>
      <c r="L5573">
        <f t="shared" si="3"/>
        <v>0</v>
      </c>
    </row>
    <row r="5574">
      <c r="A5574" s="107"/>
      <c r="D5574" s="270"/>
      <c r="H5574" s="106" t="str">
        <f t="shared" si="1"/>
        <v/>
      </c>
      <c r="I5574" s="271" t="str">
        <f>IFERROR(__xludf.DUMMYFUNCTION("""COMPUTED_VALUE"""),"")</f>
        <v/>
      </c>
      <c r="J5574" t="str">
        <f>IFERROR(__xludf.DUMMYFUNCTION("IFS(
  AND(REGEXMATCH(E5574, ""台銀籌備帳戶|玉山帳戶""), REGEXMATCH(C5574, ""薪資"")), ""分潤支出"",
  AND(REGEXMATCH(E5574, ""Ben帳戶|Elsa帳戶|Ben代墊|Ariel代墊|中信銀行共用""), REGEXMATCH(F5574, ""Ben帳戶|Elsa帳戶|Ben代墊|Ariel代墊|中信銀行共用"")), ""內部轉帳(忽略)"",
  AND(E5574&lt;&gt;"""", F5574&lt;&gt;"""", N"&amp;"OT(REGEXMATCH(C5574, ""薪資""))), ""內部轉帳(忽略)"",
  REGEXMATCH(C5574, ""薪資""), ""薪資變動(不計入)"",
  REGEXMATCH(C5574, ""押金""), ""押金往來"",
  AND(E5574&lt;&gt;"""", F5574=""""), ""真實支出"",
  AND(E5574="""", F5574&lt;&gt;""""), ""真實收入"",
  TRUE, ""其他""
)"),"其他")</f>
        <v>其他</v>
      </c>
      <c r="K5574" s="270" t="str">
        <f t="shared" si="2"/>
        <v/>
      </c>
      <c r="L5574">
        <f t="shared" si="3"/>
        <v>0</v>
      </c>
    </row>
    <row r="5575">
      <c r="A5575" s="107"/>
      <c r="D5575" s="270"/>
      <c r="H5575" s="106" t="str">
        <f t="shared" si="1"/>
        <v/>
      </c>
      <c r="I5575" s="271" t="str">
        <f>IFERROR(__xludf.DUMMYFUNCTION("""COMPUTED_VALUE"""),"")</f>
        <v/>
      </c>
      <c r="J5575" t="str">
        <f>IFERROR(__xludf.DUMMYFUNCTION("IFS(
  AND(REGEXMATCH(E5575, ""台銀籌備帳戶|玉山帳戶""), REGEXMATCH(C5575, ""薪資"")), ""分潤支出"",
  AND(REGEXMATCH(E5575, ""Ben帳戶|Elsa帳戶|Ben代墊|Ariel代墊|中信銀行共用""), REGEXMATCH(F5575, ""Ben帳戶|Elsa帳戶|Ben代墊|Ariel代墊|中信銀行共用"")), ""內部轉帳(忽略)"",
  AND(E5575&lt;&gt;"""", F5575&lt;&gt;"""", N"&amp;"OT(REGEXMATCH(C5575, ""薪資""))), ""內部轉帳(忽略)"",
  REGEXMATCH(C5575, ""薪資""), ""薪資變動(不計入)"",
  REGEXMATCH(C5575, ""押金""), ""押金往來"",
  AND(E5575&lt;&gt;"""", F5575=""""), ""真實支出"",
  AND(E5575="""", F5575&lt;&gt;""""), ""真實收入"",
  TRUE, ""其他""
)"),"其他")</f>
        <v>其他</v>
      </c>
      <c r="K5575" s="270" t="str">
        <f t="shared" si="2"/>
        <v/>
      </c>
      <c r="L5575">
        <f t="shared" si="3"/>
        <v>0</v>
      </c>
    </row>
    <row r="5576">
      <c r="A5576" s="107"/>
      <c r="D5576" s="270"/>
      <c r="H5576" s="106" t="str">
        <f t="shared" si="1"/>
        <v/>
      </c>
      <c r="I5576" s="271" t="str">
        <f>IFERROR(__xludf.DUMMYFUNCTION("""COMPUTED_VALUE"""),"")</f>
        <v/>
      </c>
      <c r="J5576" t="str">
        <f>IFERROR(__xludf.DUMMYFUNCTION("IFS(
  AND(REGEXMATCH(E5576, ""台銀籌備帳戶|玉山帳戶""), REGEXMATCH(C5576, ""薪資"")), ""分潤支出"",
  AND(REGEXMATCH(E5576, ""Ben帳戶|Elsa帳戶|Ben代墊|Ariel代墊|中信銀行共用""), REGEXMATCH(F5576, ""Ben帳戶|Elsa帳戶|Ben代墊|Ariel代墊|中信銀行共用"")), ""內部轉帳(忽略)"",
  AND(E5576&lt;&gt;"""", F5576&lt;&gt;"""", N"&amp;"OT(REGEXMATCH(C5576, ""薪資""))), ""內部轉帳(忽略)"",
  REGEXMATCH(C5576, ""薪資""), ""薪資變動(不計入)"",
  REGEXMATCH(C5576, ""押金""), ""押金往來"",
  AND(E5576&lt;&gt;"""", F5576=""""), ""真實支出"",
  AND(E5576="""", F5576&lt;&gt;""""), ""真實收入"",
  TRUE, ""其他""
)"),"其他")</f>
        <v>其他</v>
      </c>
      <c r="K5576" s="270" t="str">
        <f t="shared" si="2"/>
        <v/>
      </c>
      <c r="L5576">
        <f t="shared" si="3"/>
        <v>0</v>
      </c>
    </row>
    <row r="5577">
      <c r="A5577" s="107"/>
      <c r="D5577" s="270"/>
      <c r="H5577" s="106" t="str">
        <f t="shared" si="1"/>
        <v/>
      </c>
      <c r="I5577" s="271" t="str">
        <f>IFERROR(__xludf.DUMMYFUNCTION("""COMPUTED_VALUE"""),"")</f>
        <v/>
      </c>
      <c r="J5577" t="str">
        <f>IFERROR(__xludf.DUMMYFUNCTION("IFS(
  AND(REGEXMATCH(E5577, ""台銀籌備帳戶|玉山帳戶""), REGEXMATCH(C5577, ""薪資"")), ""分潤支出"",
  AND(REGEXMATCH(E5577, ""Ben帳戶|Elsa帳戶|Ben代墊|Ariel代墊|中信銀行共用""), REGEXMATCH(F5577, ""Ben帳戶|Elsa帳戶|Ben代墊|Ariel代墊|中信銀行共用"")), ""內部轉帳(忽略)"",
  AND(E5577&lt;&gt;"""", F5577&lt;&gt;"""", N"&amp;"OT(REGEXMATCH(C5577, ""薪資""))), ""內部轉帳(忽略)"",
  REGEXMATCH(C5577, ""薪資""), ""薪資變動(不計入)"",
  REGEXMATCH(C5577, ""押金""), ""押金往來"",
  AND(E5577&lt;&gt;"""", F5577=""""), ""真實支出"",
  AND(E5577="""", F5577&lt;&gt;""""), ""真實收入"",
  TRUE, ""其他""
)"),"其他")</f>
        <v>其他</v>
      </c>
      <c r="K5577" s="270" t="str">
        <f t="shared" si="2"/>
        <v/>
      </c>
      <c r="L5577">
        <f t="shared" si="3"/>
        <v>0</v>
      </c>
    </row>
    <row r="5578">
      <c r="A5578" s="107"/>
      <c r="D5578" s="270"/>
      <c r="H5578" s="106" t="str">
        <f t="shared" si="1"/>
        <v/>
      </c>
      <c r="I5578" s="271" t="str">
        <f>IFERROR(__xludf.DUMMYFUNCTION("""COMPUTED_VALUE"""),"")</f>
        <v/>
      </c>
      <c r="J5578" t="str">
        <f>IFERROR(__xludf.DUMMYFUNCTION("IFS(
  AND(REGEXMATCH(E5578, ""台銀籌備帳戶|玉山帳戶""), REGEXMATCH(C5578, ""薪資"")), ""分潤支出"",
  AND(REGEXMATCH(E5578, ""Ben帳戶|Elsa帳戶|Ben代墊|Ariel代墊|中信銀行共用""), REGEXMATCH(F5578, ""Ben帳戶|Elsa帳戶|Ben代墊|Ariel代墊|中信銀行共用"")), ""內部轉帳(忽略)"",
  AND(E5578&lt;&gt;"""", F5578&lt;&gt;"""", N"&amp;"OT(REGEXMATCH(C5578, ""薪資""))), ""內部轉帳(忽略)"",
  REGEXMATCH(C5578, ""薪資""), ""薪資變動(不計入)"",
  REGEXMATCH(C5578, ""押金""), ""押金往來"",
  AND(E5578&lt;&gt;"""", F5578=""""), ""真實支出"",
  AND(E5578="""", F5578&lt;&gt;""""), ""真實收入"",
  TRUE, ""其他""
)"),"其他")</f>
        <v>其他</v>
      </c>
      <c r="K5578" s="270" t="str">
        <f t="shared" si="2"/>
        <v/>
      </c>
      <c r="L5578">
        <f t="shared" si="3"/>
        <v>0</v>
      </c>
    </row>
    <row r="5579">
      <c r="A5579" s="107"/>
      <c r="D5579" s="270"/>
      <c r="H5579" s="106" t="str">
        <f t="shared" si="1"/>
        <v/>
      </c>
      <c r="I5579" s="271" t="str">
        <f>IFERROR(__xludf.DUMMYFUNCTION("""COMPUTED_VALUE"""),"")</f>
        <v/>
      </c>
      <c r="J5579" t="str">
        <f>IFERROR(__xludf.DUMMYFUNCTION("IFS(
  AND(REGEXMATCH(E5579, ""台銀籌備帳戶|玉山帳戶""), REGEXMATCH(C5579, ""薪資"")), ""分潤支出"",
  AND(REGEXMATCH(E5579, ""Ben帳戶|Elsa帳戶|Ben代墊|Ariel代墊|中信銀行共用""), REGEXMATCH(F5579, ""Ben帳戶|Elsa帳戶|Ben代墊|Ariel代墊|中信銀行共用"")), ""內部轉帳(忽略)"",
  AND(E5579&lt;&gt;"""", F5579&lt;&gt;"""", N"&amp;"OT(REGEXMATCH(C5579, ""薪資""))), ""內部轉帳(忽略)"",
  REGEXMATCH(C5579, ""薪資""), ""薪資變動(不計入)"",
  REGEXMATCH(C5579, ""押金""), ""押金往來"",
  AND(E5579&lt;&gt;"""", F5579=""""), ""真實支出"",
  AND(E5579="""", F5579&lt;&gt;""""), ""真實收入"",
  TRUE, ""其他""
)"),"其他")</f>
        <v>其他</v>
      </c>
      <c r="K5579" s="270" t="str">
        <f t="shared" si="2"/>
        <v/>
      </c>
      <c r="L5579">
        <f t="shared" si="3"/>
        <v>0</v>
      </c>
    </row>
    <row r="5580">
      <c r="A5580" s="107"/>
      <c r="D5580" s="270"/>
      <c r="H5580" s="106" t="str">
        <f t="shared" si="1"/>
        <v/>
      </c>
      <c r="I5580" s="271" t="str">
        <f>IFERROR(__xludf.DUMMYFUNCTION("""COMPUTED_VALUE"""),"")</f>
        <v/>
      </c>
      <c r="J5580" t="str">
        <f>IFERROR(__xludf.DUMMYFUNCTION("IFS(
  AND(REGEXMATCH(E5580, ""台銀籌備帳戶|玉山帳戶""), REGEXMATCH(C5580, ""薪資"")), ""分潤支出"",
  AND(REGEXMATCH(E5580, ""Ben帳戶|Elsa帳戶|Ben代墊|Ariel代墊|中信銀行共用""), REGEXMATCH(F5580, ""Ben帳戶|Elsa帳戶|Ben代墊|Ariel代墊|中信銀行共用"")), ""內部轉帳(忽略)"",
  AND(E5580&lt;&gt;"""", F5580&lt;&gt;"""", N"&amp;"OT(REGEXMATCH(C5580, ""薪資""))), ""內部轉帳(忽略)"",
  REGEXMATCH(C5580, ""薪資""), ""薪資變動(不計入)"",
  REGEXMATCH(C5580, ""押金""), ""押金往來"",
  AND(E5580&lt;&gt;"""", F5580=""""), ""真實支出"",
  AND(E5580="""", F5580&lt;&gt;""""), ""真實收入"",
  TRUE, ""其他""
)"),"其他")</f>
        <v>其他</v>
      </c>
      <c r="K5580" s="270" t="str">
        <f t="shared" si="2"/>
        <v/>
      </c>
      <c r="L5580">
        <f t="shared" si="3"/>
        <v>0</v>
      </c>
    </row>
    <row r="5581">
      <c r="A5581" s="107"/>
      <c r="D5581" s="270"/>
      <c r="H5581" s="106" t="str">
        <f t="shared" si="1"/>
        <v/>
      </c>
      <c r="I5581" s="271" t="str">
        <f>IFERROR(__xludf.DUMMYFUNCTION("""COMPUTED_VALUE"""),"")</f>
        <v/>
      </c>
      <c r="J5581" t="str">
        <f>IFERROR(__xludf.DUMMYFUNCTION("IFS(
  AND(REGEXMATCH(E5581, ""台銀籌備帳戶|玉山帳戶""), REGEXMATCH(C5581, ""薪資"")), ""分潤支出"",
  AND(REGEXMATCH(E5581, ""Ben帳戶|Elsa帳戶|Ben代墊|Ariel代墊|中信銀行共用""), REGEXMATCH(F5581, ""Ben帳戶|Elsa帳戶|Ben代墊|Ariel代墊|中信銀行共用"")), ""內部轉帳(忽略)"",
  AND(E5581&lt;&gt;"""", F5581&lt;&gt;"""", N"&amp;"OT(REGEXMATCH(C5581, ""薪資""))), ""內部轉帳(忽略)"",
  REGEXMATCH(C5581, ""薪資""), ""薪資變動(不計入)"",
  REGEXMATCH(C5581, ""押金""), ""押金往來"",
  AND(E5581&lt;&gt;"""", F5581=""""), ""真實支出"",
  AND(E5581="""", F5581&lt;&gt;""""), ""真實收入"",
  TRUE, ""其他""
)"),"其他")</f>
        <v>其他</v>
      </c>
      <c r="K5581" s="270" t="str">
        <f t="shared" si="2"/>
        <v/>
      </c>
      <c r="L5581">
        <f t="shared" si="3"/>
        <v>0</v>
      </c>
    </row>
    <row r="5582">
      <c r="A5582" s="107"/>
      <c r="D5582" s="270"/>
      <c r="H5582" s="106" t="str">
        <f t="shared" si="1"/>
        <v/>
      </c>
      <c r="I5582" s="271" t="str">
        <f>IFERROR(__xludf.DUMMYFUNCTION("""COMPUTED_VALUE"""),"")</f>
        <v/>
      </c>
      <c r="J5582" t="str">
        <f>IFERROR(__xludf.DUMMYFUNCTION("IFS(
  AND(REGEXMATCH(E5582, ""台銀籌備帳戶|玉山帳戶""), REGEXMATCH(C5582, ""薪資"")), ""分潤支出"",
  AND(REGEXMATCH(E5582, ""Ben帳戶|Elsa帳戶|Ben代墊|Ariel代墊|中信銀行共用""), REGEXMATCH(F5582, ""Ben帳戶|Elsa帳戶|Ben代墊|Ariel代墊|中信銀行共用"")), ""內部轉帳(忽略)"",
  AND(E5582&lt;&gt;"""", F5582&lt;&gt;"""", N"&amp;"OT(REGEXMATCH(C5582, ""薪資""))), ""內部轉帳(忽略)"",
  REGEXMATCH(C5582, ""薪資""), ""薪資變動(不計入)"",
  REGEXMATCH(C5582, ""押金""), ""押金往來"",
  AND(E5582&lt;&gt;"""", F5582=""""), ""真實支出"",
  AND(E5582="""", F5582&lt;&gt;""""), ""真實收入"",
  TRUE, ""其他""
)"),"其他")</f>
        <v>其他</v>
      </c>
      <c r="K5582" s="270" t="str">
        <f t="shared" si="2"/>
        <v/>
      </c>
      <c r="L5582">
        <f t="shared" si="3"/>
        <v>0</v>
      </c>
    </row>
    <row r="5583">
      <c r="A5583" s="107"/>
      <c r="D5583" s="270"/>
      <c r="H5583" s="106" t="str">
        <f t="shared" si="1"/>
        <v/>
      </c>
      <c r="I5583" s="271" t="str">
        <f>IFERROR(__xludf.DUMMYFUNCTION("""COMPUTED_VALUE"""),"")</f>
        <v/>
      </c>
      <c r="J5583" t="str">
        <f>IFERROR(__xludf.DUMMYFUNCTION("IFS(
  AND(REGEXMATCH(E5583, ""台銀籌備帳戶|玉山帳戶""), REGEXMATCH(C5583, ""薪資"")), ""分潤支出"",
  AND(REGEXMATCH(E5583, ""Ben帳戶|Elsa帳戶|Ben代墊|Ariel代墊|中信銀行共用""), REGEXMATCH(F5583, ""Ben帳戶|Elsa帳戶|Ben代墊|Ariel代墊|中信銀行共用"")), ""內部轉帳(忽略)"",
  AND(E5583&lt;&gt;"""", F5583&lt;&gt;"""", N"&amp;"OT(REGEXMATCH(C5583, ""薪資""))), ""內部轉帳(忽略)"",
  REGEXMATCH(C5583, ""薪資""), ""薪資變動(不計入)"",
  REGEXMATCH(C5583, ""押金""), ""押金往來"",
  AND(E5583&lt;&gt;"""", F5583=""""), ""真實支出"",
  AND(E5583="""", F5583&lt;&gt;""""), ""真實收入"",
  TRUE, ""其他""
)"),"其他")</f>
        <v>其他</v>
      </c>
      <c r="K5583" s="270" t="str">
        <f t="shared" si="2"/>
        <v/>
      </c>
      <c r="L5583">
        <f t="shared" si="3"/>
        <v>0</v>
      </c>
    </row>
    <row r="5584">
      <c r="A5584" s="107"/>
      <c r="D5584" s="270"/>
      <c r="H5584" s="106" t="str">
        <f t="shared" si="1"/>
        <v/>
      </c>
      <c r="I5584" s="271" t="str">
        <f>IFERROR(__xludf.DUMMYFUNCTION("""COMPUTED_VALUE"""),"")</f>
        <v/>
      </c>
      <c r="J5584" t="str">
        <f>IFERROR(__xludf.DUMMYFUNCTION("IFS(
  AND(REGEXMATCH(E5584, ""台銀籌備帳戶|玉山帳戶""), REGEXMATCH(C5584, ""薪資"")), ""分潤支出"",
  AND(REGEXMATCH(E5584, ""Ben帳戶|Elsa帳戶|Ben代墊|Ariel代墊|中信銀行共用""), REGEXMATCH(F5584, ""Ben帳戶|Elsa帳戶|Ben代墊|Ariel代墊|中信銀行共用"")), ""內部轉帳(忽略)"",
  AND(E5584&lt;&gt;"""", F5584&lt;&gt;"""", N"&amp;"OT(REGEXMATCH(C5584, ""薪資""))), ""內部轉帳(忽略)"",
  REGEXMATCH(C5584, ""薪資""), ""薪資變動(不計入)"",
  REGEXMATCH(C5584, ""押金""), ""押金往來"",
  AND(E5584&lt;&gt;"""", F5584=""""), ""真實支出"",
  AND(E5584="""", F5584&lt;&gt;""""), ""真實收入"",
  TRUE, ""其他""
)"),"其他")</f>
        <v>其他</v>
      </c>
      <c r="K5584" s="270" t="str">
        <f t="shared" si="2"/>
        <v/>
      </c>
      <c r="L5584">
        <f t="shared" si="3"/>
        <v>0</v>
      </c>
    </row>
    <row r="5585">
      <c r="A5585" s="107"/>
      <c r="D5585" s="270"/>
      <c r="H5585" s="106" t="str">
        <f t="shared" si="1"/>
        <v/>
      </c>
      <c r="I5585" s="271" t="str">
        <f>IFERROR(__xludf.DUMMYFUNCTION("""COMPUTED_VALUE"""),"")</f>
        <v/>
      </c>
      <c r="J5585" t="str">
        <f>IFERROR(__xludf.DUMMYFUNCTION("IFS(
  AND(REGEXMATCH(E5585, ""台銀籌備帳戶|玉山帳戶""), REGEXMATCH(C5585, ""薪資"")), ""分潤支出"",
  AND(REGEXMATCH(E5585, ""Ben帳戶|Elsa帳戶|Ben代墊|Ariel代墊|中信銀行共用""), REGEXMATCH(F5585, ""Ben帳戶|Elsa帳戶|Ben代墊|Ariel代墊|中信銀行共用"")), ""內部轉帳(忽略)"",
  AND(E5585&lt;&gt;"""", F5585&lt;&gt;"""", N"&amp;"OT(REGEXMATCH(C5585, ""薪資""))), ""內部轉帳(忽略)"",
  REGEXMATCH(C5585, ""薪資""), ""薪資變動(不計入)"",
  REGEXMATCH(C5585, ""押金""), ""押金往來"",
  AND(E5585&lt;&gt;"""", F5585=""""), ""真實支出"",
  AND(E5585="""", F5585&lt;&gt;""""), ""真實收入"",
  TRUE, ""其他""
)"),"其他")</f>
        <v>其他</v>
      </c>
      <c r="K5585" s="270" t="str">
        <f t="shared" si="2"/>
        <v/>
      </c>
      <c r="L5585">
        <f t="shared" si="3"/>
        <v>0</v>
      </c>
    </row>
    <row r="5586">
      <c r="A5586" s="107"/>
      <c r="D5586" s="270"/>
      <c r="H5586" s="106" t="str">
        <f t="shared" si="1"/>
        <v/>
      </c>
      <c r="I5586" s="271" t="str">
        <f>IFERROR(__xludf.DUMMYFUNCTION("""COMPUTED_VALUE"""),"")</f>
        <v/>
      </c>
      <c r="J5586" t="str">
        <f>IFERROR(__xludf.DUMMYFUNCTION("IFS(
  AND(REGEXMATCH(E5586, ""台銀籌備帳戶|玉山帳戶""), REGEXMATCH(C5586, ""薪資"")), ""分潤支出"",
  AND(REGEXMATCH(E5586, ""Ben帳戶|Elsa帳戶|Ben代墊|Ariel代墊|中信銀行共用""), REGEXMATCH(F5586, ""Ben帳戶|Elsa帳戶|Ben代墊|Ariel代墊|中信銀行共用"")), ""內部轉帳(忽略)"",
  AND(E5586&lt;&gt;"""", F5586&lt;&gt;"""", N"&amp;"OT(REGEXMATCH(C5586, ""薪資""))), ""內部轉帳(忽略)"",
  REGEXMATCH(C5586, ""薪資""), ""薪資變動(不計入)"",
  REGEXMATCH(C5586, ""押金""), ""押金往來"",
  AND(E5586&lt;&gt;"""", F5586=""""), ""真實支出"",
  AND(E5586="""", F5586&lt;&gt;""""), ""真實收入"",
  TRUE, ""其他""
)"),"其他")</f>
        <v>其他</v>
      </c>
      <c r="K5586" s="270" t="str">
        <f t="shared" si="2"/>
        <v/>
      </c>
      <c r="L5586">
        <f t="shared" si="3"/>
        <v>0</v>
      </c>
    </row>
    <row r="5587">
      <c r="A5587" s="107"/>
      <c r="D5587" s="270"/>
      <c r="H5587" s="106" t="str">
        <f t="shared" si="1"/>
        <v/>
      </c>
      <c r="I5587" s="271" t="str">
        <f>IFERROR(__xludf.DUMMYFUNCTION("""COMPUTED_VALUE"""),"")</f>
        <v/>
      </c>
      <c r="J5587" t="str">
        <f>IFERROR(__xludf.DUMMYFUNCTION("IFS(
  AND(REGEXMATCH(E5587, ""台銀籌備帳戶|玉山帳戶""), REGEXMATCH(C5587, ""薪資"")), ""分潤支出"",
  AND(REGEXMATCH(E5587, ""Ben帳戶|Elsa帳戶|Ben代墊|Ariel代墊|中信銀行共用""), REGEXMATCH(F5587, ""Ben帳戶|Elsa帳戶|Ben代墊|Ariel代墊|中信銀行共用"")), ""內部轉帳(忽略)"",
  AND(E5587&lt;&gt;"""", F5587&lt;&gt;"""", N"&amp;"OT(REGEXMATCH(C5587, ""薪資""))), ""內部轉帳(忽略)"",
  REGEXMATCH(C5587, ""薪資""), ""薪資變動(不計入)"",
  REGEXMATCH(C5587, ""押金""), ""押金往來"",
  AND(E5587&lt;&gt;"""", F5587=""""), ""真實支出"",
  AND(E5587="""", F5587&lt;&gt;""""), ""真實收入"",
  TRUE, ""其他""
)"),"其他")</f>
        <v>其他</v>
      </c>
      <c r="K5587" s="270" t="str">
        <f t="shared" si="2"/>
        <v/>
      </c>
      <c r="L5587">
        <f t="shared" si="3"/>
        <v>0</v>
      </c>
    </row>
    <row r="5588">
      <c r="A5588" s="107"/>
      <c r="D5588" s="270"/>
      <c r="H5588" s="106" t="str">
        <f t="shared" si="1"/>
        <v/>
      </c>
      <c r="I5588" s="271" t="str">
        <f>IFERROR(__xludf.DUMMYFUNCTION("""COMPUTED_VALUE"""),"")</f>
        <v/>
      </c>
      <c r="J5588" t="str">
        <f>IFERROR(__xludf.DUMMYFUNCTION("IFS(
  AND(REGEXMATCH(E5588, ""台銀籌備帳戶|玉山帳戶""), REGEXMATCH(C5588, ""薪資"")), ""分潤支出"",
  AND(REGEXMATCH(E5588, ""Ben帳戶|Elsa帳戶|Ben代墊|Ariel代墊|中信銀行共用""), REGEXMATCH(F5588, ""Ben帳戶|Elsa帳戶|Ben代墊|Ariel代墊|中信銀行共用"")), ""內部轉帳(忽略)"",
  AND(E5588&lt;&gt;"""", F5588&lt;&gt;"""", N"&amp;"OT(REGEXMATCH(C5588, ""薪資""))), ""內部轉帳(忽略)"",
  REGEXMATCH(C5588, ""薪資""), ""薪資變動(不計入)"",
  REGEXMATCH(C5588, ""押金""), ""押金往來"",
  AND(E5588&lt;&gt;"""", F5588=""""), ""真實支出"",
  AND(E5588="""", F5588&lt;&gt;""""), ""真實收入"",
  TRUE, ""其他""
)"),"其他")</f>
        <v>其他</v>
      </c>
      <c r="K5588" s="270" t="str">
        <f t="shared" si="2"/>
        <v/>
      </c>
      <c r="L5588">
        <f t="shared" si="3"/>
        <v>0</v>
      </c>
    </row>
    <row r="5589">
      <c r="A5589" s="107"/>
      <c r="D5589" s="270"/>
      <c r="H5589" s="106" t="str">
        <f t="shared" si="1"/>
        <v/>
      </c>
      <c r="I5589" s="271" t="str">
        <f>IFERROR(__xludf.DUMMYFUNCTION("""COMPUTED_VALUE"""),"")</f>
        <v/>
      </c>
      <c r="J5589" t="str">
        <f>IFERROR(__xludf.DUMMYFUNCTION("IFS(
  AND(REGEXMATCH(E5589, ""台銀籌備帳戶|玉山帳戶""), REGEXMATCH(C5589, ""薪資"")), ""分潤支出"",
  AND(REGEXMATCH(E5589, ""Ben帳戶|Elsa帳戶|Ben代墊|Ariel代墊|中信銀行共用""), REGEXMATCH(F5589, ""Ben帳戶|Elsa帳戶|Ben代墊|Ariel代墊|中信銀行共用"")), ""內部轉帳(忽略)"",
  AND(E5589&lt;&gt;"""", F5589&lt;&gt;"""", N"&amp;"OT(REGEXMATCH(C5589, ""薪資""))), ""內部轉帳(忽略)"",
  REGEXMATCH(C5589, ""薪資""), ""薪資變動(不計入)"",
  REGEXMATCH(C5589, ""押金""), ""押金往來"",
  AND(E5589&lt;&gt;"""", F5589=""""), ""真實支出"",
  AND(E5589="""", F5589&lt;&gt;""""), ""真實收入"",
  TRUE, ""其他""
)"),"其他")</f>
        <v>其他</v>
      </c>
      <c r="K5589" s="270" t="str">
        <f t="shared" si="2"/>
        <v/>
      </c>
      <c r="L5589">
        <f t="shared" si="3"/>
        <v>0</v>
      </c>
    </row>
    <row r="5590">
      <c r="A5590" s="107"/>
      <c r="D5590" s="270"/>
      <c r="H5590" s="106" t="str">
        <f t="shared" si="1"/>
        <v/>
      </c>
      <c r="I5590" s="271" t="str">
        <f>IFERROR(__xludf.DUMMYFUNCTION("""COMPUTED_VALUE"""),"")</f>
        <v/>
      </c>
      <c r="J5590" t="str">
        <f>IFERROR(__xludf.DUMMYFUNCTION("IFS(
  AND(REGEXMATCH(E5590, ""台銀籌備帳戶|玉山帳戶""), REGEXMATCH(C5590, ""薪資"")), ""分潤支出"",
  AND(REGEXMATCH(E5590, ""Ben帳戶|Elsa帳戶|Ben代墊|Ariel代墊|中信銀行共用""), REGEXMATCH(F5590, ""Ben帳戶|Elsa帳戶|Ben代墊|Ariel代墊|中信銀行共用"")), ""內部轉帳(忽略)"",
  AND(E5590&lt;&gt;"""", F5590&lt;&gt;"""", N"&amp;"OT(REGEXMATCH(C5590, ""薪資""))), ""內部轉帳(忽略)"",
  REGEXMATCH(C5590, ""薪資""), ""薪資變動(不計入)"",
  REGEXMATCH(C5590, ""押金""), ""押金往來"",
  AND(E5590&lt;&gt;"""", F5590=""""), ""真實支出"",
  AND(E5590="""", F5590&lt;&gt;""""), ""真實收入"",
  TRUE, ""其他""
)"),"其他")</f>
        <v>其他</v>
      </c>
      <c r="K5590" s="270" t="str">
        <f t="shared" si="2"/>
        <v/>
      </c>
      <c r="L5590">
        <f t="shared" si="3"/>
        <v>0</v>
      </c>
    </row>
    <row r="5591">
      <c r="A5591" s="107"/>
      <c r="D5591" s="270"/>
      <c r="H5591" s="106" t="str">
        <f t="shared" si="1"/>
        <v/>
      </c>
      <c r="I5591" s="271" t="str">
        <f>IFERROR(__xludf.DUMMYFUNCTION("""COMPUTED_VALUE"""),"")</f>
        <v/>
      </c>
      <c r="J5591" t="str">
        <f>IFERROR(__xludf.DUMMYFUNCTION("IFS(
  AND(REGEXMATCH(E5591, ""台銀籌備帳戶|玉山帳戶""), REGEXMATCH(C5591, ""薪資"")), ""分潤支出"",
  AND(REGEXMATCH(E5591, ""Ben帳戶|Elsa帳戶|Ben代墊|Ariel代墊|中信銀行共用""), REGEXMATCH(F5591, ""Ben帳戶|Elsa帳戶|Ben代墊|Ariel代墊|中信銀行共用"")), ""內部轉帳(忽略)"",
  AND(E5591&lt;&gt;"""", F5591&lt;&gt;"""", N"&amp;"OT(REGEXMATCH(C5591, ""薪資""))), ""內部轉帳(忽略)"",
  REGEXMATCH(C5591, ""薪資""), ""薪資變動(不計入)"",
  REGEXMATCH(C5591, ""押金""), ""押金往來"",
  AND(E5591&lt;&gt;"""", F5591=""""), ""真實支出"",
  AND(E5591="""", F5591&lt;&gt;""""), ""真實收入"",
  TRUE, ""其他""
)"),"其他")</f>
        <v>其他</v>
      </c>
      <c r="K5591" s="270" t="str">
        <f t="shared" si="2"/>
        <v/>
      </c>
      <c r="L5591">
        <f t="shared" si="3"/>
        <v>0</v>
      </c>
    </row>
    <row r="5592">
      <c r="A5592" s="107"/>
      <c r="D5592" s="270"/>
      <c r="H5592" s="106" t="str">
        <f t="shared" si="1"/>
        <v/>
      </c>
      <c r="I5592" s="271" t="str">
        <f>IFERROR(__xludf.DUMMYFUNCTION("""COMPUTED_VALUE"""),"")</f>
        <v/>
      </c>
      <c r="J5592" t="str">
        <f>IFERROR(__xludf.DUMMYFUNCTION("IFS(
  AND(REGEXMATCH(E5592, ""台銀籌備帳戶|玉山帳戶""), REGEXMATCH(C5592, ""薪資"")), ""分潤支出"",
  AND(REGEXMATCH(E5592, ""Ben帳戶|Elsa帳戶|Ben代墊|Ariel代墊|中信銀行共用""), REGEXMATCH(F5592, ""Ben帳戶|Elsa帳戶|Ben代墊|Ariel代墊|中信銀行共用"")), ""內部轉帳(忽略)"",
  AND(E5592&lt;&gt;"""", F5592&lt;&gt;"""", N"&amp;"OT(REGEXMATCH(C5592, ""薪資""))), ""內部轉帳(忽略)"",
  REGEXMATCH(C5592, ""薪資""), ""薪資變動(不計入)"",
  REGEXMATCH(C5592, ""押金""), ""押金往來"",
  AND(E5592&lt;&gt;"""", F5592=""""), ""真實支出"",
  AND(E5592="""", F5592&lt;&gt;""""), ""真實收入"",
  TRUE, ""其他""
)"),"其他")</f>
        <v>其他</v>
      </c>
      <c r="K5592" s="270" t="str">
        <f t="shared" si="2"/>
        <v/>
      </c>
      <c r="L5592">
        <f t="shared" si="3"/>
        <v>0</v>
      </c>
    </row>
    <row r="5593">
      <c r="A5593" s="107"/>
      <c r="D5593" s="270"/>
      <c r="H5593" s="106" t="str">
        <f t="shared" si="1"/>
        <v/>
      </c>
      <c r="I5593" s="271" t="str">
        <f>IFERROR(__xludf.DUMMYFUNCTION("""COMPUTED_VALUE"""),"")</f>
        <v/>
      </c>
      <c r="J5593" t="str">
        <f>IFERROR(__xludf.DUMMYFUNCTION("IFS(
  AND(REGEXMATCH(E5593, ""台銀籌備帳戶|玉山帳戶""), REGEXMATCH(C5593, ""薪資"")), ""分潤支出"",
  AND(REGEXMATCH(E5593, ""Ben帳戶|Elsa帳戶|Ben代墊|Ariel代墊|中信銀行共用""), REGEXMATCH(F5593, ""Ben帳戶|Elsa帳戶|Ben代墊|Ariel代墊|中信銀行共用"")), ""內部轉帳(忽略)"",
  AND(E5593&lt;&gt;"""", F5593&lt;&gt;"""", N"&amp;"OT(REGEXMATCH(C5593, ""薪資""))), ""內部轉帳(忽略)"",
  REGEXMATCH(C5593, ""薪資""), ""薪資變動(不計入)"",
  REGEXMATCH(C5593, ""押金""), ""押金往來"",
  AND(E5593&lt;&gt;"""", F5593=""""), ""真實支出"",
  AND(E5593="""", F5593&lt;&gt;""""), ""真實收入"",
  TRUE, ""其他""
)"),"其他")</f>
        <v>其他</v>
      </c>
      <c r="K5593" s="270" t="str">
        <f t="shared" si="2"/>
        <v/>
      </c>
      <c r="L5593">
        <f t="shared" si="3"/>
        <v>0</v>
      </c>
    </row>
    <row r="5594">
      <c r="A5594" s="107"/>
      <c r="D5594" s="270"/>
      <c r="H5594" s="106" t="str">
        <f t="shared" si="1"/>
        <v/>
      </c>
      <c r="I5594" s="271" t="str">
        <f>IFERROR(__xludf.DUMMYFUNCTION("""COMPUTED_VALUE"""),"")</f>
        <v/>
      </c>
      <c r="J5594" t="str">
        <f>IFERROR(__xludf.DUMMYFUNCTION("IFS(
  AND(REGEXMATCH(E5594, ""台銀籌備帳戶|玉山帳戶""), REGEXMATCH(C5594, ""薪資"")), ""分潤支出"",
  AND(REGEXMATCH(E5594, ""Ben帳戶|Elsa帳戶|Ben代墊|Ariel代墊|中信銀行共用""), REGEXMATCH(F5594, ""Ben帳戶|Elsa帳戶|Ben代墊|Ariel代墊|中信銀行共用"")), ""內部轉帳(忽略)"",
  AND(E5594&lt;&gt;"""", F5594&lt;&gt;"""", N"&amp;"OT(REGEXMATCH(C5594, ""薪資""))), ""內部轉帳(忽略)"",
  REGEXMATCH(C5594, ""薪資""), ""薪資變動(不計入)"",
  REGEXMATCH(C5594, ""押金""), ""押金往來"",
  AND(E5594&lt;&gt;"""", F5594=""""), ""真實支出"",
  AND(E5594="""", F5594&lt;&gt;""""), ""真實收入"",
  TRUE, ""其他""
)"),"其他")</f>
        <v>其他</v>
      </c>
      <c r="K5594" s="270" t="str">
        <f t="shared" si="2"/>
        <v/>
      </c>
      <c r="L5594">
        <f t="shared" si="3"/>
        <v>0</v>
      </c>
    </row>
    <row r="5595">
      <c r="A5595" s="107"/>
      <c r="D5595" s="270"/>
      <c r="H5595" s="106" t="str">
        <f t="shared" si="1"/>
        <v/>
      </c>
      <c r="I5595" s="271" t="str">
        <f>IFERROR(__xludf.DUMMYFUNCTION("""COMPUTED_VALUE"""),"")</f>
        <v/>
      </c>
      <c r="J5595" t="str">
        <f>IFERROR(__xludf.DUMMYFUNCTION("IFS(
  AND(REGEXMATCH(E5595, ""台銀籌備帳戶|玉山帳戶""), REGEXMATCH(C5595, ""薪資"")), ""分潤支出"",
  AND(REGEXMATCH(E5595, ""Ben帳戶|Elsa帳戶|Ben代墊|Ariel代墊|中信銀行共用""), REGEXMATCH(F5595, ""Ben帳戶|Elsa帳戶|Ben代墊|Ariel代墊|中信銀行共用"")), ""內部轉帳(忽略)"",
  AND(E5595&lt;&gt;"""", F5595&lt;&gt;"""", N"&amp;"OT(REGEXMATCH(C5595, ""薪資""))), ""內部轉帳(忽略)"",
  REGEXMATCH(C5595, ""薪資""), ""薪資變動(不計入)"",
  REGEXMATCH(C5595, ""押金""), ""押金往來"",
  AND(E5595&lt;&gt;"""", F5595=""""), ""真實支出"",
  AND(E5595="""", F5595&lt;&gt;""""), ""真實收入"",
  TRUE, ""其他""
)"),"其他")</f>
        <v>其他</v>
      </c>
      <c r="K5595" s="270" t="str">
        <f t="shared" si="2"/>
        <v/>
      </c>
      <c r="L5595">
        <f t="shared" si="3"/>
        <v>0</v>
      </c>
    </row>
    <row r="5596">
      <c r="A5596" s="107"/>
      <c r="D5596" s="270"/>
      <c r="H5596" s="106" t="str">
        <f t="shared" si="1"/>
        <v/>
      </c>
      <c r="I5596" s="271" t="str">
        <f>IFERROR(__xludf.DUMMYFUNCTION("""COMPUTED_VALUE"""),"")</f>
        <v/>
      </c>
      <c r="J5596" t="str">
        <f>IFERROR(__xludf.DUMMYFUNCTION("IFS(
  AND(REGEXMATCH(E5596, ""台銀籌備帳戶|玉山帳戶""), REGEXMATCH(C5596, ""薪資"")), ""分潤支出"",
  AND(REGEXMATCH(E5596, ""Ben帳戶|Elsa帳戶|Ben代墊|Ariel代墊|中信銀行共用""), REGEXMATCH(F5596, ""Ben帳戶|Elsa帳戶|Ben代墊|Ariel代墊|中信銀行共用"")), ""內部轉帳(忽略)"",
  AND(E5596&lt;&gt;"""", F5596&lt;&gt;"""", N"&amp;"OT(REGEXMATCH(C5596, ""薪資""))), ""內部轉帳(忽略)"",
  REGEXMATCH(C5596, ""薪資""), ""薪資變動(不計入)"",
  REGEXMATCH(C5596, ""押金""), ""押金往來"",
  AND(E5596&lt;&gt;"""", F5596=""""), ""真實支出"",
  AND(E5596="""", F5596&lt;&gt;""""), ""真實收入"",
  TRUE, ""其他""
)"),"其他")</f>
        <v>其他</v>
      </c>
      <c r="K5596" s="270" t="str">
        <f t="shared" si="2"/>
        <v/>
      </c>
      <c r="L5596">
        <f t="shared" si="3"/>
        <v>0</v>
      </c>
    </row>
    <row r="5597">
      <c r="A5597" s="107"/>
      <c r="D5597" s="270"/>
      <c r="H5597" s="106" t="str">
        <f t="shared" si="1"/>
        <v/>
      </c>
      <c r="I5597" s="271" t="str">
        <f>IFERROR(__xludf.DUMMYFUNCTION("""COMPUTED_VALUE"""),"")</f>
        <v/>
      </c>
      <c r="J5597" t="str">
        <f>IFERROR(__xludf.DUMMYFUNCTION("IFS(
  AND(REGEXMATCH(E5597, ""台銀籌備帳戶|玉山帳戶""), REGEXMATCH(C5597, ""薪資"")), ""分潤支出"",
  AND(REGEXMATCH(E5597, ""Ben帳戶|Elsa帳戶|Ben代墊|Ariel代墊|中信銀行共用""), REGEXMATCH(F5597, ""Ben帳戶|Elsa帳戶|Ben代墊|Ariel代墊|中信銀行共用"")), ""內部轉帳(忽略)"",
  AND(E5597&lt;&gt;"""", F5597&lt;&gt;"""", N"&amp;"OT(REGEXMATCH(C5597, ""薪資""))), ""內部轉帳(忽略)"",
  REGEXMATCH(C5597, ""薪資""), ""薪資變動(不計入)"",
  REGEXMATCH(C5597, ""押金""), ""押金往來"",
  AND(E5597&lt;&gt;"""", F5597=""""), ""真實支出"",
  AND(E5597="""", F5597&lt;&gt;""""), ""真實收入"",
  TRUE, ""其他""
)"),"其他")</f>
        <v>其他</v>
      </c>
      <c r="K5597" s="270" t="str">
        <f t="shared" si="2"/>
        <v/>
      </c>
      <c r="L5597">
        <f t="shared" si="3"/>
        <v>0</v>
      </c>
    </row>
    <row r="5598">
      <c r="A5598" s="107"/>
      <c r="D5598" s="270"/>
      <c r="H5598" s="106" t="str">
        <f t="shared" si="1"/>
        <v/>
      </c>
      <c r="I5598" s="271" t="str">
        <f>IFERROR(__xludf.DUMMYFUNCTION("""COMPUTED_VALUE"""),"")</f>
        <v/>
      </c>
      <c r="J5598" t="str">
        <f>IFERROR(__xludf.DUMMYFUNCTION("IFS(
  AND(REGEXMATCH(E5598, ""台銀籌備帳戶|玉山帳戶""), REGEXMATCH(C5598, ""薪資"")), ""分潤支出"",
  AND(REGEXMATCH(E5598, ""Ben帳戶|Elsa帳戶|Ben代墊|Ariel代墊|中信銀行共用""), REGEXMATCH(F5598, ""Ben帳戶|Elsa帳戶|Ben代墊|Ariel代墊|中信銀行共用"")), ""內部轉帳(忽略)"",
  AND(E5598&lt;&gt;"""", F5598&lt;&gt;"""", N"&amp;"OT(REGEXMATCH(C5598, ""薪資""))), ""內部轉帳(忽略)"",
  REGEXMATCH(C5598, ""薪資""), ""薪資變動(不計入)"",
  REGEXMATCH(C5598, ""押金""), ""押金往來"",
  AND(E5598&lt;&gt;"""", F5598=""""), ""真實支出"",
  AND(E5598="""", F5598&lt;&gt;""""), ""真實收入"",
  TRUE, ""其他""
)"),"其他")</f>
        <v>其他</v>
      </c>
      <c r="K5598" s="270" t="str">
        <f t="shared" si="2"/>
        <v/>
      </c>
      <c r="L5598">
        <f t="shared" si="3"/>
        <v>0</v>
      </c>
    </row>
    <row r="5599">
      <c r="A5599" s="107"/>
      <c r="D5599" s="270"/>
      <c r="H5599" s="106" t="str">
        <f t="shared" si="1"/>
        <v/>
      </c>
      <c r="I5599" s="271" t="str">
        <f>IFERROR(__xludf.DUMMYFUNCTION("""COMPUTED_VALUE"""),"")</f>
        <v/>
      </c>
      <c r="J5599" t="str">
        <f>IFERROR(__xludf.DUMMYFUNCTION("IFS(
  AND(REGEXMATCH(E5599, ""台銀籌備帳戶|玉山帳戶""), REGEXMATCH(C5599, ""薪資"")), ""分潤支出"",
  AND(REGEXMATCH(E5599, ""Ben帳戶|Elsa帳戶|Ben代墊|Ariel代墊|中信銀行共用""), REGEXMATCH(F5599, ""Ben帳戶|Elsa帳戶|Ben代墊|Ariel代墊|中信銀行共用"")), ""內部轉帳(忽略)"",
  AND(E5599&lt;&gt;"""", F5599&lt;&gt;"""", N"&amp;"OT(REGEXMATCH(C5599, ""薪資""))), ""內部轉帳(忽略)"",
  REGEXMATCH(C5599, ""薪資""), ""薪資變動(不計入)"",
  REGEXMATCH(C5599, ""押金""), ""押金往來"",
  AND(E5599&lt;&gt;"""", F5599=""""), ""真實支出"",
  AND(E5599="""", F5599&lt;&gt;""""), ""真實收入"",
  TRUE, ""其他""
)"),"其他")</f>
        <v>其他</v>
      </c>
      <c r="K5599" s="270" t="str">
        <f t="shared" si="2"/>
        <v/>
      </c>
      <c r="L5599">
        <f t="shared" si="3"/>
        <v>0</v>
      </c>
    </row>
    <row r="5600">
      <c r="A5600" s="107"/>
      <c r="D5600" s="270"/>
      <c r="H5600" s="106" t="str">
        <f t="shared" si="1"/>
        <v/>
      </c>
      <c r="I5600" s="271" t="str">
        <f>IFERROR(__xludf.DUMMYFUNCTION("""COMPUTED_VALUE"""),"")</f>
        <v/>
      </c>
      <c r="J5600" t="str">
        <f>IFERROR(__xludf.DUMMYFUNCTION("IFS(
  AND(REGEXMATCH(E5600, ""台銀籌備帳戶|玉山帳戶""), REGEXMATCH(C5600, ""薪資"")), ""分潤支出"",
  AND(REGEXMATCH(E5600, ""Ben帳戶|Elsa帳戶|Ben代墊|Ariel代墊|中信銀行共用""), REGEXMATCH(F5600, ""Ben帳戶|Elsa帳戶|Ben代墊|Ariel代墊|中信銀行共用"")), ""內部轉帳(忽略)"",
  AND(E5600&lt;&gt;"""", F5600&lt;&gt;"""", N"&amp;"OT(REGEXMATCH(C5600, ""薪資""))), ""內部轉帳(忽略)"",
  REGEXMATCH(C5600, ""薪資""), ""薪資變動(不計入)"",
  REGEXMATCH(C5600, ""押金""), ""押金往來"",
  AND(E5600&lt;&gt;"""", F5600=""""), ""真實支出"",
  AND(E5600="""", F5600&lt;&gt;""""), ""真實收入"",
  TRUE, ""其他""
)"),"其他")</f>
        <v>其他</v>
      </c>
      <c r="K5600" s="270" t="str">
        <f t="shared" si="2"/>
        <v/>
      </c>
      <c r="L5600">
        <f t="shared" si="3"/>
        <v>0</v>
      </c>
    </row>
    <row r="5601">
      <c r="A5601" s="107"/>
      <c r="D5601" s="270"/>
      <c r="H5601" s="106" t="str">
        <f t="shared" si="1"/>
        <v/>
      </c>
      <c r="I5601" s="271" t="str">
        <f>IFERROR(__xludf.DUMMYFUNCTION("""COMPUTED_VALUE"""),"")</f>
        <v/>
      </c>
      <c r="J5601" t="str">
        <f>IFERROR(__xludf.DUMMYFUNCTION("IFS(
  AND(REGEXMATCH(E5601, ""台銀籌備帳戶|玉山帳戶""), REGEXMATCH(C5601, ""薪資"")), ""分潤支出"",
  AND(REGEXMATCH(E5601, ""Ben帳戶|Elsa帳戶|Ben代墊|Ariel代墊|中信銀行共用""), REGEXMATCH(F5601, ""Ben帳戶|Elsa帳戶|Ben代墊|Ariel代墊|中信銀行共用"")), ""內部轉帳(忽略)"",
  AND(E5601&lt;&gt;"""", F5601&lt;&gt;"""", N"&amp;"OT(REGEXMATCH(C5601, ""薪資""))), ""內部轉帳(忽略)"",
  REGEXMATCH(C5601, ""薪資""), ""薪資變動(不計入)"",
  REGEXMATCH(C5601, ""押金""), ""押金往來"",
  AND(E5601&lt;&gt;"""", F5601=""""), ""真實支出"",
  AND(E5601="""", F5601&lt;&gt;""""), ""真實收入"",
  TRUE, ""其他""
)"),"其他")</f>
        <v>其他</v>
      </c>
      <c r="K5601" s="270" t="str">
        <f t="shared" si="2"/>
        <v/>
      </c>
      <c r="L5601">
        <f t="shared" si="3"/>
        <v>0</v>
      </c>
    </row>
    <row r="5602">
      <c r="A5602" s="107"/>
      <c r="D5602" s="270"/>
      <c r="H5602" s="106" t="str">
        <f t="shared" si="1"/>
        <v/>
      </c>
      <c r="I5602" s="271" t="str">
        <f>IFERROR(__xludf.DUMMYFUNCTION("""COMPUTED_VALUE"""),"")</f>
        <v/>
      </c>
      <c r="J5602" t="str">
        <f>IFERROR(__xludf.DUMMYFUNCTION("IFS(
  AND(REGEXMATCH(E5602, ""台銀籌備帳戶|玉山帳戶""), REGEXMATCH(C5602, ""薪資"")), ""分潤支出"",
  AND(REGEXMATCH(E5602, ""Ben帳戶|Elsa帳戶|Ben代墊|Ariel代墊|中信銀行共用""), REGEXMATCH(F5602, ""Ben帳戶|Elsa帳戶|Ben代墊|Ariel代墊|中信銀行共用"")), ""內部轉帳(忽略)"",
  AND(E5602&lt;&gt;"""", F5602&lt;&gt;"""", N"&amp;"OT(REGEXMATCH(C5602, ""薪資""))), ""內部轉帳(忽略)"",
  REGEXMATCH(C5602, ""薪資""), ""薪資變動(不計入)"",
  REGEXMATCH(C5602, ""押金""), ""押金往來"",
  AND(E5602&lt;&gt;"""", F5602=""""), ""真實支出"",
  AND(E5602="""", F5602&lt;&gt;""""), ""真實收入"",
  TRUE, ""其他""
)"),"其他")</f>
        <v>其他</v>
      </c>
      <c r="K5602" s="270" t="str">
        <f t="shared" si="2"/>
        <v/>
      </c>
      <c r="L5602">
        <f t="shared" si="3"/>
        <v>0</v>
      </c>
    </row>
    <row r="5603">
      <c r="A5603" s="107"/>
      <c r="D5603" s="270"/>
      <c r="H5603" s="106" t="str">
        <f t="shared" si="1"/>
        <v/>
      </c>
      <c r="I5603" s="271" t="str">
        <f>IFERROR(__xludf.DUMMYFUNCTION("""COMPUTED_VALUE"""),"")</f>
        <v/>
      </c>
      <c r="J5603" t="str">
        <f>IFERROR(__xludf.DUMMYFUNCTION("IFS(
  AND(REGEXMATCH(E5603, ""台銀籌備帳戶|玉山帳戶""), REGEXMATCH(C5603, ""薪資"")), ""分潤支出"",
  AND(REGEXMATCH(E5603, ""Ben帳戶|Elsa帳戶|Ben代墊|Ariel代墊|中信銀行共用""), REGEXMATCH(F5603, ""Ben帳戶|Elsa帳戶|Ben代墊|Ariel代墊|中信銀行共用"")), ""內部轉帳(忽略)"",
  AND(E5603&lt;&gt;"""", F5603&lt;&gt;"""", N"&amp;"OT(REGEXMATCH(C5603, ""薪資""))), ""內部轉帳(忽略)"",
  REGEXMATCH(C5603, ""薪資""), ""薪資變動(不計入)"",
  REGEXMATCH(C5603, ""押金""), ""押金往來"",
  AND(E5603&lt;&gt;"""", F5603=""""), ""真實支出"",
  AND(E5603="""", F5603&lt;&gt;""""), ""真實收入"",
  TRUE, ""其他""
)"),"其他")</f>
        <v>其他</v>
      </c>
      <c r="K5603" s="270" t="str">
        <f t="shared" si="2"/>
        <v/>
      </c>
      <c r="L5603">
        <f t="shared" si="3"/>
        <v>0</v>
      </c>
    </row>
    <row r="5604">
      <c r="A5604" s="107"/>
      <c r="D5604" s="270"/>
      <c r="H5604" s="106" t="str">
        <f t="shared" si="1"/>
        <v/>
      </c>
      <c r="I5604" s="271" t="str">
        <f>IFERROR(__xludf.DUMMYFUNCTION("""COMPUTED_VALUE"""),"")</f>
        <v/>
      </c>
      <c r="J5604" t="str">
        <f>IFERROR(__xludf.DUMMYFUNCTION("IFS(
  AND(REGEXMATCH(E5604, ""台銀籌備帳戶|玉山帳戶""), REGEXMATCH(C5604, ""薪資"")), ""分潤支出"",
  AND(REGEXMATCH(E5604, ""Ben帳戶|Elsa帳戶|Ben代墊|Ariel代墊|中信銀行共用""), REGEXMATCH(F5604, ""Ben帳戶|Elsa帳戶|Ben代墊|Ariel代墊|中信銀行共用"")), ""內部轉帳(忽略)"",
  AND(E5604&lt;&gt;"""", F5604&lt;&gt;"""", N"&amp;"OT(REGEXMATCH(C5604, ""薪資""))), ""內部轉帳(忽略)"",
  REGEXMATCH(C5604, ""薪資""), ""薪資變動(不計入)"",
  REGEXMATCH(C5604, ""押金""), ""押金往來"",
  AND(E5604&lt;&gt;"""", F5604=""""), ""真實支出"",
  AND(E5604="""", F5604&lt;&gt;""""), ""真實收入"",
  TRUE, ""其他""
)"),"其他")</f>
        <v>其他</v>
      </c>
      <c r="K5604" s="270" t="str">
        <f t="shared" si="2"/>
        <v/>
      </c>
      <c r="L5604">
        <f t="shared" si="3"/>
        <v>0</v>
      </c>
    </row>
    <row r="5605">
      <c r="A5605" s="107"/>
      <c r="D5605" s="270"/>
      <c r="H5605" s="106" t="str">
        <f t="shared" si="1"/>
        <v/>
      </c>
      <c r="I5605" s="271" t="str">
        <f>IFERROR(__xludf.DUMMYFUNCTION("""COMPUTED_VALUE"""),"")</f>
        <v/>
      </c>
      <c r="J5605" t="str">
        <f>IFERROR(__xludf.DUMMYFUNCTION("IFS(
  AND(REGEXMATCH(E5605, ""台銀籌備帳戶|玉山帳戶""), REGEXMATCH(C5605, ""薪資"")), ""分潤支出"",
  AND(REGEXMATCH(E5605, ""Ben帳戶|Elsa帳戶|Ben代墊|Ariel代墊|中信銀行共用""), REGEXMATCH(F5605, ""Ben帳戶|Elsa帳戶|Ben代墊|Ariel代墊|中信銀行共用"")), ""內部轉帳(忽略)"",
  AND(E5605&lt;&gt;"""", F5605&lt;&gt;"""", N"&amp;"OT(REGEXMATCH(C5605, ""薪資""))), ""內部轉帳(忽略)"",
  REGEXMATCH(C5605, ""薪資""), ""薪資變動(不計入)"",
  REGEXMATCH(C5605, ""押金""), ""押金往來"",
  AND(E5605&lt;&gt;"""", F5605=""""), ""真實支出"",
  AND(E5605="""", F5605&lt;&gt;""""), ""真實收入"",
  TRUE, ""其他""
)"),"其他")</f>
        <v>其他</v>
      </c>
      <c r="K5605" s="270" t="str">
        <f t="shared" si="2"/>
        <v/>
      </c>
      <c r="L5605">
        <f t="shared" si="3"/>
        <v>0</v>
      </c>
    </row>
    <row r="5606">
      <c r="A5606" s="107"/>
      <c r="D5606" s="270"/>
      <c r="H5606" s="106" t="str">
        <f t="shared" si="1"/>
        <v/>
      </c>
      <c r="I5606" s="271" t="str">
        <f>IFERROR(__xludf.DUMMYFUNCTION("""COMPUTED_VALUE"""),"")</f>
        <v/>
      </c>
      <c r="J5606" t="str">
        <f>IFERROR(__xludf.DUMMYFUNCTION("IFS(
  AND(REGEXMATCH(E5606, ""台銀籌備帳戶|玉山帳戶""), REGEXMATCH(C5606, ""薪資"")), ""分潤支出"",
  AND(REGEXMATCH(E5606, ""Ben帳戶|Elsa帳戶|Ben代墊|Ariel代墊|中信銀行共用""), REGEXMATCH(F5606, ""Ben帳戶|Elsa帳戶|Ben代墊|Ariel代墊|中信銀行共用"")), ""內部轉帳(忽略)"",
  AND(E5606&lt;&gt;"""", F5606&lt;&gt;"""", N"&amp;"OT(REGEXMATCH(C5606, ""薪資""))), ""內部轉帳(忽略)"",
  REGEXMATCH(C5606, ""薪資""), ""薪資變動(不計入)"",
  REGEXMATCH(C5606, ""押金""), ""押金往來"",
  AND(E5606&lt;&gt;"""", F5606=""""), ""真實支出"",
  AND(E5606="""", F5606&lt;&gt;""""), ""真實收入"",
  TRUE, ""其他""
)"),"其他")</f>
        <v>其他</v>
      </c>
      <c r="K5606" s="270" t="str">
        <f t="shared" si="2"/>
        <v/>
      </c>
      <c r="L5606">
        <f t="shared" si="3"/>
        <v>0</v>
      </c>
    </row>
    <row r="5607">
      <c r="A5607" s="107"/>
      <c r="D5607" s="270"/>
      <c r="H5607" s="106" t="str">
        <f t="shared" si="1"/>
        <v/>
      </c>
      <c r="I5607" s="271" t="str">
        <f>IFERROR(__xludf.DUMMYFUNCTION("""COMPUTED_VALUE"""),"")</f>
        <v/>
      </c>
      <c r="J5607" t="str">
        <f>IFERROR(__xludf.DUMMYFUNCTION("IFS(
  AND(REGEXMATCH(E5607, ""台銀籌備帳戶|玉山帳戶""), REGEXMATCH(C5607, ""薪資"")), ""分潤支出"",
  AND(REGEXMATCH(E5607, ""Ben帳戶|Elsa帳戶|Ben代墊|Ariel代墊|中信銀行共用""), REGEXMATCH(F5607, ""Ben帳戶|Elsa帳戶|Ben代墊|Ariel代墊|中信銀行共用"")), ""內部轉帳(忽略)"",
  AND(E5607&lt;&gt;"""", F5607&lt;&gt;"""", N"&amp;"OT(REGEXMATCH(C5607, ""薪資""))), ""內部轉帳(忽略)"",
  REGEXMATCH(C5607, ""薪資""), ""薪資變動(不計入)"",
  REGEXMATCH(C5607, ""押金""), ""押金往來"",
  AND(E5607&lt;&gt;"""", F5607=""""), ""真實支出"",
  AND(E5607="""", F5607&lt;&gt;""""), ""真實收入"",
  TRUE, ""其他""
)"),"其他")</f>
        <v>其他</v>
      </c>
      <c r="K5607" s="270" t="str">
        <f t="shared" si="2"/>
        <v/>
      </c>
      <c r="L5607">
        <f t="shared" si="3"/>
        <v>0</v>
      </c>
    </row>
    <row r="5608">
      <c r="A5608" s="107"/>
      <c r="D5608" s="270"/>
      <c r="H5608" s="106" t="str">
        <f t="shared" si="1"/>
        <v/>
      </c>
      <c r="I5608" s="271" t="str">
        <f>IFERROR(__xludf.DUMMYFUNCTION("""COMPUTED_VALUE"""),"")</f>
        <v/>
      </c>
      <c r="J5608" t="str">
        <f>IFERROR(__xludf.DUMMYFUNCTION("IFS(
  AND(REGEXMATCH(E5608, ""台銀籌備帳戶|玉山帳戶""), REGEXMATCH(C5608, ""薪資"")), ""分潤支出"",
  AND(REGEXMATCH(E5608, ""Ben帳戶|Elsa帳戶|Ben代墊|Ariel代墊|中信銀行共用""), REGEXMATCH(F5608, ""Ben帳戶|Elsa帳戶|Ben代墊|Ariel代墊|中信銀行共用"")), ""內部轉帳(忽略)"",
  AND(E5608&lt;&gt;"""", F5608&lt;&gt;"""", N"&amp;"OT(REGEXMATCH(C5608, ""薪資""))), ""內部轉帳(忽略)"",
  REGEXMATCH(C5608, ""薪資""), ""薪資變動(不計入)"",
  REGEXMATCH(C5608, ""押金""), ""押金往來"",
  AND(E5608&lt;&gt;"""", F5608=""""), ""真實支出"",
  AND(E5608="""", F5608&lt;&gt;""""), ""真實收入"",
  TRUE, ""其他""
)"),"其他")</f>
        <v>其他</v>
      </c>
      <c r="K5608" s="270" t="str">
        <f t="shared" si="2"/>
        <v/>
      </c>
      <c r="L5608">
        <f t="shared" si="3"/>
        <v>0</v>
      </c>
    </row>
    <row r="5609">
      <c r="A5609" s="107"/>
      <c r="D5609" s="270"/>
      <c r="H5609" s="106" t="str">
        <f t="shared" si="1"/>
        <v/>
      </c>
      <c r="I5609" s="271" t="str">
        <f>IFERROR(__xludf.DUMMYFUNCTION("""COMPUTED_VALUE"""),"")</f>
        <v/>
      </c>
      <c r="J5609" t="str">
        <f>IFERROR(__xludf.DUMMYFUNCTION("IFS(
  AND(REGEXMATCH(E5609, ""台銀籌備帳戶|玉山帳戶""), REGEXMATCH(C5609, ""薪資"")), ""分潤支出"",
  AND(REGEXMATCH(E5609, ""Ben帳戶|Elsa帳戶|Ben代墊|Ariel代墊|中信銀行共用""), REGEXMATCH(F5609, ""Ben帳戶|Elsa帳戶|Ben代墊|Ariel代墊|中信銀行共用"")), ""內部轉帳(忽略)"",
  AND(E5609&lt;&gt;"""", F5609&lt;&gt;"""", N"&amp;"OT(REGEXMATCH(C5609, ""薪資""))), ""內部轉帳(忽略)"",
  REGEXMATCH(C5609, ""薪資""), ""薪資變動(不計入)"",
  REGEXMATCH(C5609, ""押金""), ""押金往來"",
  AND(E5609&lt;&gt;"""", F5609=""""), ""真實支出"",
  AND(E5609="""", F5609&lt;&gt;""""), ""真實收入"",
  TRUE, ""其他""
)"),"其他")</f>
        <v>其他</v>
      </c>
      <c r="K5609" s="270" t="str">
        <f t="shared" si="2"/>
        <v/>
      </c>
      <c r="L5609">
        <f t="shared" si="3"/>
        <v>0</v>
      </c>
    </row>
    <row r="5610">
      <c r="A5610" s="107"/>
      <c r="D5610" s="270"/>
      <c r="H5610" s="106" t="str">
        <f t="shared" si="1"/>
        <v/>
      </c>
      <c r="I5610" s="271" t="str">
        <f>IFERROR(__xludf.DUMMYFUNCTION("""COMPUTED_VALUE"""),"")</f>
        <v/>
      </c>
      <c r="J5610" t="str">
        <f>IFERROR(__xludf.DUMMYFUNCTION("IFS(
  AND(REGEXMATCH(E5610, ""台銀籌備帳戶|玉山帳戶""), REGEXMATCH(C5610, ""薪資"")), ""分潤支出"",
  AND(REGEXMATCH(E5610, ""Ben帳戶|Elsa帳戶|Ben代墊|Ariel代墊|中信銀行共用""), REGEXMATCH(F5610, ""Ben帳戶|Elsa帳戶|Ben代墊|Ariel代墊|中信銀行共用"")), ""內部轉帳(忽略)"",
  AND(E5610&lt;&gt;"""", F5610&lt;&gt;"""", N"&amp;"OT(REGEXMATCH(C5610, ""薪資""))), ""內部轉帳(忽略)"",
  REGEXMATCH(C5610, ""薪資""), ""薪資變動(不計入)"",
  REGEXMATCH(C5610, ""押金""), ""押金往來"",
  AND(E5610&lt;&gt;"""", F5610=""""), ""真實支出"",
  AND(E5610="""", F5610&lt;&gt;""""), ""真實收入"",
  TRUE, ""其他""
)"),"其他")</f>
        <v>其他</v>
      </c>
      <c r="K5610" s="270" t="str">
        <f t="shared" si="2"/>
        <v/>
      </c>
      <c r="L5610">
        <f t="shared" si="3"/>
        <v>0</v>
      </c>
    </row>
    <row r="5611">
      <c r="A5611" s="107"/>
      <c r="D5611" s="270"/>
      <c r="H5611" s="106" t="str">
        <f t="shared" si="1"/>
        <v/>
      </c>
      <c r="I5611" s="271" t="str">
        <f>IFERROR(__xludf.DUMMYFUNCTION("""COMPUTED_VALUE"""),"")</f>
        <v/>
      </c>
      <c r="J5611" t="str">
        <f>IFERROR(__xludf.DUMMYFUNCTION("IFS(
  AND(REGEXMATCH(E5611, ""台銀籌備帳戶|玉山帳戶""), REGEXMATCH(C5611, ""薪資"")), ""分潤支出"",
  AND(REGEXMATCH(E5611, ""Ben帳戶|Elsa帳戶|Ben代墊|Ariel代墊|中信銀行共用""), REGEXMATCH(F5611, ""Ben帳戶|Elsa帳戶|Ben代墊|Ariel代墊|中信銀行共用"")), ""內部轉帳(忽略)"",
  AND(E5611&lt;&gt;"""", F5611&lt;&gt;"""", N"&amp;"OT(REGEXMATCH(C5611, ""薪資""))), ""內部轉帳(忽略)"",
  REGEXMATCH(C5611, ""薪資""), ""薪資變動(不計入)"",
  REGEXMATCH(C5611, ""押金""), ""押金往來"",
  AND(E5611&lt;&gt;"""", F5611=""""), ""真實支出"",
  AND(E5611="""", F5611&lt;&gt;""""), ""真實收入"",
  TRUE, ""其他""
)"),"其他")</f>
        <v>其他</v>
      </c>
      <c r="K5611" s="270" t="str">
        <f t="shared" si="2"/>
        <v/>
      </c>
      <c r="L5611">
        <f t="shared" si="3"/>
        <v>0</v>
      </c>
    </row>
    <row r="5612">
      <c r="A5612" s="107"/>
      <c r="D5612" s="270"/>
      <c r="H5612" s="106" t="str">
        <f t="shared" si="1"/>
        <v/>
      </c>
      <c r="I5612" s="271" t="str">
        <f>IFERROR(__xludf.DUMMYFUNCTION("""COMPUTED_VALUE"""),"")</f>
        <v/>
      </c>
      <c r="J5612" t="str">
        <f>IFERROR(__xludf.DUMMYFUNCTION("IFS(
  AND(REGEXMATCH(E5612, ""台銀籌備帳戶|玉山帳戶""), REGEXMATCH(C5612, ""薪資"")), ""分潤支出"",
  AND(REGEXMATCH(E5612, ""Ben帳戶|Elsa帳戶|Ben代墊|Ariel代墊|中信銀行共用""), REGEXMATCH(F5612, ""Ben帳戶|Elsa帳戶|Ben代墊|Ariel代墊|中信銀行共用"")), ""內部轉帳(忽略)"",
  AND(E5612&lt;&gt;"""", F5612&lt;&gt;"""", N"&amp;"OT(REGEXMATCH(C5612, ""薪資""))), ""內部轉帳(忽略)"",
  REGEXMATCH(C5612, ""薪資""), ""薪資變動(不計入)"",
  REGEXMATCH(C5612, ""押金""), ""押金往來"",
  AND(E5612&lt;&gt;"""", F5612=""""), ""真實支出"",
  AND(E5612="""", F5612&lt;&gt;""""), ""真實收入"",
  TRUE, ""其他""
)"),"其他")</f>
        <v>其他</v>
      </c>
      <c r="K5612" s="270" t="str">
        <f t="shared" si="2"/>
        <v/>
      </c>
      <c r="L5612">
        <f t="shared" si="3"/>
        <v>0</v>
      </c>
    </row>
    <row r="5613">
      <c r="A5613" s="107"/>
      <c r="D5613" s="270"/>
      <c r="H5613" s="106" t="str">
        <f t="shared" si="1"/>
        <v/>
      </c>
      <c r="I5613" s="271" t="str">
        <f>IFERROR(__xludf.DUMMYFUNCTION("""COMPUTED_VALUE"""),"")</f>
        <v/>
      </c>
      <c r="J5613" t="str">
        <f>IFERROR(__xludf.DUMMYFUNCTION("IFS(
  AND(REGEXMATCH(E5613, ""台銀籌備帳戶|玉山帳戶""), REGEXMATCH(C5613, ""薪資"")), ""分潤支出"",
  AND(REGEXMATCH(E5613, ""Ben帳戶|Elsa帳戶|Ben代墊|Ariel代墊|中信銀行共用""), REGEXMATCH(F5613, ""Ben帳戶|Elsa帳戶|Ben代墊|Ariel代墊|中信銀行共用"")), ""內部轉帳(忽略)"",
  AND(E5613&lt;&gt;"""", F5613&lt;&gt;"""", N"&amp;"OT(REGEXMATCH(C5613, ""薪資""))), ""內部轉帳(忽略)"",
  REGEXMATCH(C5613, ""薪資""), ""薪資變動(不計入)"",
  REGEXMATCH(C5613, ""押金""), ""押金往來"",
  AND(E5613&lt;&gt;"""", F5613=""""), ""真實支出"",
  AND(E5613="""", F5613&lt;&gt;""""), ""真實收入"",
  TRUE, ""其他""
)"),"其他")</f>
        <v>其他</v>
      </c>
      <c r="K5613" s="270" t="str">
        <f t="shared" si="2"/>
        <v/>
      </c>
      <c r="L5613">
        <f t="shared" si="3"/>
        <v>0</v>
      </c>
    </row>
    <row r="5614">
      <c r="A5614" s="107"/>
      <c r="D5614" s="270"/>
      <c r="H5614" s="106" t="str">
        <f t="shared" si="1"/>
        <v/>
      </c>
      <c r="I5614" s="271" t="str">
        <f>IFERROR(__xludf.DUMMYFUNCTION("""COMPUTED_VALUE"""),"")</f>
        <v/>
      </c>
      <c r="J5614" t="str">
        <f>IFERROR(__xludf.DUMMYFUNCTION("IFS(
  AND(REGEXMATCH(E5614, ""台銀籌備帳戶|玉山帳戶""), REGEXMATCH(C5614, ""薪資"")), ""分潤支出"",
  AND(REGEXMATCH(E5614, ""Ben帳戶|Elsa帳戶|Ben代墊|Ariel代墊|中信銀行共用""), REGEXMATCH(F5614, ""Ben帳戶|Elsa帳戶|Ben代墊|Ariel代墊|中信銀行共用"")), ""內部轉帳(忽略)"",
  AND(E5614&lt;&gt;"""", F5614&lt;&gt;"""", N"&amp;"OT(REGEXMATCH(C5614, ""薪資""))), ""內部轉帳(忽略)"",
  REGEXMATCH(C5614, ""薪資""), ""薪資變動(不計入)"",
  REGEXMATCH(C5614, ""押金""), ""押金往來"",
  AND(E5614&lt;&gt;"""", F5614=""""), ""真實支出"",
  AND(E5614="""", F5614&lt;&gt;""""), ""真實收入"",
  TRUE, ""其他""
)"),"其他")</f>
        <v>其他</v>
      </c>
      <c r="K5614" s="270" t="str">
        <f t="shared" si="2"/>
        <v/>
      </c>
      <c r="L5614">
        <f t="shared" si="3"/>
        <v>0</v>
      </c>
    </row>
    <row r="5615">
      <c r="A5615" s="107"/>
      <c r="D5615" s="270"/>
      <c r="H5615" s="106" t="str">
        <f t="shared" si="1"/>
        <v/>
      </c>
      <c r="I5615" s="271" t="str">
        <f>IFERROR(__xludf.DUMMYFUNCTION("""COMPUTED_VALUE"""),"")</f>
        <v/>
      </c>
      <c r="J5615" t="str">
        <f>IFERROR(__xludf.DUMMYFUNCTION("IFS(
  AND(REGEXMATCH(E5615, ""台銀籌備帳戶|玉山帳戶""), REGEXMATCH(C5615, ""薪資"")), ""分潤支出"",
  AND(REGEXMATCH(E5615, ""Ben帳戶|Elsa帳戶|Ben代墊|Ariel代墊|中信銀行共用""), REGEXMATCH(F5615, ""Ben帳戶|Elsa帳戶|Ben代墊|Ariel代墊|中信銀行共用"")), ""內部轉帳(忽略)"",
  AND(E5615&lt;&gt;"""", F5615&lt;&gt;"""", N"&amp;"OT(REGEXMATCH(C5615, ""薪資""))), ""內部轉帳(忽略)"",
  REGEXMATCH(C5615, ""薪資""), ""薪資變動(不計入)"",
  REGEXMATCH(C5615, ""押金""), ""押金往來"",
  AND(E5615&lt;&gt;"""", F5615=""""), ""真實支出"",
  AND(E5615="""", F5615&lt;&gt;""""), ""真實收入"",
  TRUE, ""其他""
)"),"其他")</f>
        <v>其他</v>
      </c>
      <c r="K5615" s="270" t="str">
        <f t="shared" si="2"/>
        <v/>
      </c>
      <c r="L5615">
        <f t="shared" si="3"/>
        <v>0</v>
      </c>
    </row>
    <row r="5616">
      <c r="A5616" s="107"/>
      <c r="D5616" s="270"/>
      <c r="H5616" s="106" t="str">
        <f t="shared" si="1"/>
        <v/>
      </c>
      <c r="I5616" s="271" t="str">
        <f>IFERROR(__xludf.DUMMYFUNCTION("""COMPUTED_VALUE"""),"")</f>
        <v/>
      </c>
      <c r="J5616" t="str">
        <f>IFERROR(__xludf.DUMMYFUNCTION("IFS(
  AND(REGEXMATCH(E5616, ""台銀籌備帳戶|玉山帳戶""), REGEXMATCH(C5616, ""薪資"")), ""分潤支出"",
  AND(REGEXMATCH(E5616, ""Ben帳戶|Elsa帳戶|Ben代墊|Ariel代墊|中信銀行共用""), REGEXMATCH(F5616, ""Ben帳戶|Elsa帳戶|Ben代墊|Ariel代墊|中信銀行共用"")), ""內部轉帳(忽略)"",
  AND(E5616&lt;&gt;"""", F5616&lt;&gt;"""", N"&amp;"OT(REGEXMATCH(C5616, ""薪資""))), ""內部轉帳(忽略)"",
  REGEXMATCH(C5616, ""薪資""), ""薪資變動(不計入)"",
  REGEXMATCH(C5616, ""押金""), ""押金往來"",
  AND(E5616&lt;&gt;"""", F5616=""""), ""真實支出"",
  AND(E5616="""", F5616&lt;&gt;""""), ""真實收入"",
  TRUE, ""其他""
)"),"其他")</f>
        <v>其他</v>
      </c>
      <c r="K5616" s="270" t="str">
        <f t="shared" si="2"/>
        <v/>
      </c>
      <c r="L5616">
        <f t="shared" si="3"/>
        <v>0</v>
      </c>
    </row>
    <row r="5617">
      <c r="A5617" s="107"/>
      <c r="D5617" s="270"/>
      <c r="H5617" s="106" t="str">
        <f t="shared" si="1"/>
        <v/>
      </c>
      <c r="I5617" s="271" t="str">
        <f>IFERROR(__xludf.DUMMYFUNCTION("""COMPUTED_VALUE"""),"")</f>
        <v/>
      </c>
      <c r="J5617" t="str">
        <f>IFERROR(__xludf.DUMMYFUNCTION("IFS(
  AND(REGEXMATCH(E5617, ""台銀籌備帳戶|玉山帳戶""), REGEXMATCH(C5617, ""薪資"")), ""分潤支出"",
  AND(REGEXMATCH(E5617, ""Ben帳戶|Elsa帳戶|Ben代墊|Ariel代墊|中信銀行共用""), REGEXMATCH(F5617, ""Ben帳戶|Elsa帳戶|Ben代墊|Ariel代墊|中信銀行共用"")), ""內部轉帳(忽略)"",
  AND(E5617&lt;&gt;"""", F5617&lt;&gt;"""", N"&amp;"OT(REGEXMATCH(C5617, ""薪資""))), ""內部轉帳(忽略)"",
  REGEXMATCH(C5617, ""薪資""), ""薪資變動(不計入)"",
  REGEXMATCH(C5617, ""押金""), ""押金往來"",
  AND(E5617&lt;&gt;"""", F5617=""""), ""真實支出"",
  AND(E5617="""", F5617&lt;&gt;""""), ""真實收入"",
  TRUE, ""其他""
)"),"其他")</f>
        <v>其他</v>
      </c>
      <c r="K5617" s="270" t="str">
        <f t="shared" si="2"/>
        <v/>
      </c>
      <c r="L5617">
        <f t="shared" si="3"/>
        <v>0</v>
      </c>
    </row>
    <row r="5618">
      <c r="A5618" s="107"/>
      <c r="D5618" s="270"/>
      <c r="H5618" s="106" t="str">
        <f t="shared" si="1"/>
        <v/>
      </c>
      <c r="I5618" s="271" t="str">
        <f>IFERROR(__xludf.DUMMYFUNCTION("""COMPUTED_VALUE"""),"")</f>
        <v/>
      </c>
      <c r="J5618" t="str">
        <f>IFERROR(__xludf.DUMMYFUNCTION("IFS(
  AND(REGEXMATCH(E5618, ""台銀籌備帳戶|玉山帳戶""), REGEXMATCH(C5618, ""薪資"")), ""分潤支出"",
  AND(REGEXMATCH(E5618, ""Ben帳戶|Elsa帳戶|Ben代墊|Ariel代墊|中信銀行共用""), REGEXMATCH(F5618, ""Ben帳戶|Elsa帳戶|Ben代墊|Ariel代墊|中信銀行共用"")), ""內部轉帳(忽略)"",
  AND(E5618&lt;&gt;"""", F5618&lt;&gt;"""", N"&amp;"OT(REGEXMATCH(C5618, ""薪資""))), ""內部轉帳(忽略)"",
  REGEXMATCH(C5618, ""薪資""), ""薪資變動(不計入)"",
  REGEXMATCH(C5618, ""押金""), ""押金往來"",
  AND(E5618&lt;&gt;"""", F5618=""""), ""真實支出"",
  AND(E5618="""", F5618&lt;&gt;""""), ""真實收入"",
  TRUE, ""其他""
)"),"其他")</f>
        <v>其他</v>
      </c>
      <c r="K5618" s="270" t="str">
        <f t="shared" si="2"/>
        <v/>
      </c>
      <c r="L5618">
        <f t="shared" si="3"/>
        <v>0</v>
      </c>
    </row>
    <row r="5619">
      <c r="A5619" s="107"/>
      <c r="D5619" s="270"/>
      <c r="H5619" s="106" t="str">
        <f t="shared" si="1"/>
        <v/>
      </c>
      <c r="I5619" s="271" t="str">
        <f>IFERROR(__xludf.DUMMYFUNCTION("""COMPUTED_VALUE"""),"")</f>
        <v/>
      </c>
      <c r="J5619" t="str">
        <f>IFERROR(__xludf.DUMMYFUNCTION("IFS(
  AND(REGEXMATCH(E5619, ""台銀籌備帳戶|玉山帳戶""), REGEXMATCH(C5619, ""薪資"")), ""分潤支出"",
  AND(REGEXMATCH(E5619, ""Ben帳戶|Elsa帳戶|Ben代墊|Ariel代墊|中信銀行共用""), REGEXMATCH(F5619, ""Ben帳戶|Elsa帳戶|Ben代墊|Ariel代墊|中信銀行共用"")), ""內部轉帳(忽略)"",
  AND(E5619&lt;&gt;"""", F5619&lt;&gt;"""", N"&amp;"OT(REGEXMATCH(C5619, ""薪資""))), ""內部轉帳(忽略)"",
  REGEXMATCH(C5619, ""薪資""), ""薪資變動(不計入)"",
  REGEXMATCH(C5619, ""押金""), ""押金往來"",
  AND(E5619&lt;&gt;"""", F5619=""""), ""真實支出"",
  AND(E5619="""", F5619&lt;&gt;""""), ""真實收入"",
  TRUE, ""其他""
)"),"其他")</f>
        <v>其他</v>
      </c>
      <c r="K5619" s="270" t="str">
        <f t="shared" si="2"/>
        <v/>
      </c>
      <c r="L5619">
        <f t="shared" si="3"/>
        <v>0</v>
      </c>
    </row>
    <row r="5620">
      <c r="A5620" s="107"/>
      <c r="D5620" s="270"/>
      <c r="H5620" s="106" t="str">
        <f t="shared" si="1"/>
        <v/>
      </c>
      <c r="I5620" s="271" t="str">
        <f>IFERROR(__xludf.DUMMYFUNCTION("""COMPUTED_VALUE"""),"")</f>
        <v/>
      </c>
      <c r="J5620" t="str">
        <f>IFERROR(__xludf.DUMMYFUNCTION("IFS(
  AND(REGEXMATCH(E5620, ""台銀籌備帳戶|玉山帳戶""), REGEXMATCH(C5620, ""薪資"")), ""分潤支出"",
  AND(REGEXMATCH(E5620, ""Ben帳戶|Elsa帳戶|Ben代墊|Ariel代墊|中信銀行共用""), REGEXMATCH(F5620, ""Ben帳戶|Elsa帳戶|Ben代墊|Ariel代墊|中信銀行共用"")), ""內部轉帳(忽略)"",
  AND(E5620&lt;&gt;"""", F5620&lt;&gt;"""", N"&amp;"OT(REGEXMATCH(C5620, ""薪資""))), ""內部轉帳(忽略)"",
  REGEXMATCH(C5620, ""薪資""), ""薪資變動(不計入)"",
  REGEXMATCH(C5620, ""押金""), ""押金往來"",
  AND(E5620&lt;&gt;"""", F5620=""""), ""真實支出"",
  AND(E5620="""", F5620&lt;&gt;""""), ""真實收入"",
  TRUE, ""其他""
)"),"其他")</f>
        <v>其他</v>
      </c>
      <c r="K5620" s="270" t="str">
        <f t="shared" si="2"/>
        <v/>
      </c>
      <c r="L5620">
        <f t="shared" si="3"/>
        <v>0</v>
      </c>
    </row>
    <row r="5621">
      <c r="A5621" s="107"/>
      <c r="D5621" s="270"/>
      <c r="H5621" s="106" t="str">
        <f t="shared" si="1"/>
        <v/>
      </c>
      <c r="I5621" s="271" t="str">
        <f>IFERROR(__xludf.DUMMYFUNCTION("""COMPUTED_VALUE"""),"")</f>
        <v/>
      </c>
      <c r="J5621" t="str">
        <f>IFERROR(__xludf.DUMMYFUNCTION("IFS(
  AND(REGEXMATCH(E5621, ""台銀籌備帳戶|玉山帳戶""), REGEXMATCH(C5621, ""薪資"")), ""分潤支出"",
  AND(REGEXMATCH(E5621, ""Ben帳戶|Elsa帳戶|Ben代墊|Ariel代墊|中信銀行共用""), REGEXMATCH(F5621, ""Ben帳戶|Elsa帳戶|Ben代墊|Ariel代墊|中信銀行共用"")), ""內部轉帳(忽略)"",
  AND(E5621&lt;&gt;"""", F5621&lt;&gt;"""", N"&amp;"OT(REGEXMATCH(C5621, ""薪資""))), ""內部轉帳(忽略)"",
  REGEXMATCH(C5621, ""薪資""), ""薪資變動(不計入)"",
  REGEXMATCH(C5621, ""押金""), ""押金往來"",
  AND(E5621&lt;&gt;"""", F5621=""""), ""真實支出"",
  AND(E5621="""", F5621&lt;&gt;""""), ""真實收入"",
  TRUE, ""其他""
)"),"其他")</f>
        <v>其他</v>
      </c>
      <c r="K5621" s="270" t="str">
        <f t="shared" si="2"/>
        <v/>
      </c>
      <c r="L5621">
        <f t="shared" si="3"/>
        <v>0</v>
      </c>
    </row>
    <row r="5622">
      <c r="A5622" s="107"/>
      <c r="D5622" s="270"/>
      <c r="H5622" s="106" t="str">
        <f t="shared" si="1"/>
        <v/>
      </c>
      <c r="I5622" s="271" t="str">
        <f>IFERROR(__xludf.DUMMYFUNCTION("""COMPUTED_VALUE"""),"")</f>
        <v/>
      </c>
      <c r="J5622" t="str">
        <f>IFERROR(__xludf.DUMMYFUNCTION("IFS(
  AND(REGEXMATCH(E5622, ""台銀籌備帳戶|玉山帳戶""), REGEXMATCH(C5622, ""薪資"")), ""分潤支出"",
  AND(REGEXMATCH(E5622, ""Ben帳戶|Elsa帳戶|Ben代墊|Ariel代墊|中信銀行共用""), REGEXMATCH(F5622, ""Ben帳戶|Elsa帳戶|Ben代墊|Ariel代墊|中信銀行共用"")), ""內部轉帳(忽略)"",
  AND(E5622&lt;&gt;"""", F5622&lt;&gt;"""", N"&amp;"OT(REGEXMATCH(C5622, ""薪資""))), ""內部轉帳(忽略)"",
  REGEXMATCH(C5622, ""薪資""), ""薪資變動(不計入)"",
  REGEXMATCH(C5622, ""押金""), ""押金往來"",
  AND(E5622&lt;&gt;"""", F5622=""""), ""真實支出"",
  AND(E5622="""", F5622&lt;&gt;""""), ""真實收入"",
  TRUE, ""其他""
)"),"其他")</f>
        <v>其他</v>
      </c>
      <c r="K5622" s="270" t="str">
        <f t="shared" si="2"/>
        <v/>
      </c>
      <c r="L5622">
        <f t="shared" si="3"/>
        <v>0</v>
      </c>
    </row>
    <row r="5623">
      <c r="A5623" s="107"/>
      <c r="D5623" s="270"/>
      <c r="H5623" s="106" t="str">
        <f t="shared" si="1"/>
        <v/>
      </c>
      <c r="I5623" s="271" t="str">
        <f>IFERROR(__xludf.DUMMYFUNCTION("""COMPUTED_VALUE"""),"")</f>
        <v/>
      </c>
      <c r="J5623" t="str">
        <f>IFERROR(__xludf.DUMMYFUNCTION("IFS(
  AND(REGEXMATCH(E5623, ""台銀籌備帳戶|玉山帳戶""), REGEXMATCH(C5623, ""薪資"")), ""分潤支出"",
  AND(REGEXMATCH(E5623, ""Ben帳戶|Elsa帳戶|Ben代墊|Ariel代墊|中信銀行共用""), REGEXMATCH(F5623, ""Ben帳戶|Elsa帳戶|Ben代墊|Ariel代墊|中信銀行共用"")), ""內部轉帳(忽略)"",
  AND(E5623&lt;&gt;"""", F5623&lt;&gt;"""", N"&amp;"OT(REGEXMATCH(C5623, ""薪資""))), ""內部轉帳(忽略)"",
  REGEXMATCH(C5623, ""薪資""), ""薪資變動(不計入)"",
  REGEXMATCH(C5623, ""押金""), ""押金往來"",
  AND(E5623&lt;&gt;"""", F5623=""""), ""真實支出"",
  AND(E5623="""", F5623&lt;&gt;""""), ""真實收入"",
  TRUE, ""其他""
)"),"其他")</f>
        <v>其他</v>
      </c>
      <c r="K5623" s="270" t="str">
        <f t="shared" si="2"/>
        <v/>
      </c>
      <c r="L5623">
        <f t="shared" si="3"/>
        <v>0</v>
      </c>
    </row>
    <row r="5624">
      <c r="A5624" s="107"/>
      <c r="D5624" s="270"/>
      <c r="H5624" s="106" t="str">
        <f t="shared" si="1"/>
        <v/>
      </c>
      <c r="I5624" s="271" t="str">
        <f>IFERROR(__xludf.DUMMYFUNCTION("""COMPUTED_VALUE"""),"")</f>
        <v/>
      </c>
      <c r="J5624" t="str">
        <f>IFERROR(__xludf.DUMMYFUNCTION("IFS(
  AND(REGEXMATCH(E5624, ""台銀籌備帳戶|玉山帳戶""), REGEXMATCH(C5624, ""薪資"")), ""分潤支出"",
  AND(REGEXMATCH(E5624, ""Ben帳戶|Elsa帳戶|Ben代墊|Ariel代墊|中信銀行共用""), REGEXMATCH(F5624, ""Ben帳戶|Elsa帳戶|Ben代墊|Ariel代墊|中信銀行共用"")), ""內部轉帳(忽略)"",
  AND(E5624&lt;&gt;"""", F5624&lt;&gt;"""", N"&amp;"OT(REGEXMATCH(C5624, ""薪資""))), ""內部轉帳(忽略)"",
  REGEXMATCH(C5624, ""薪資""), ""薪資變動(不計入)"",
  REGEXMATCH(C5624, ""押金""), ""押金往來"",
  AND(E5624&lt;&gt;"""", F5624=""""), ""真實支出"",
  AND(E5624="""", F5624&lt;&gt;""""), ""真實收入"",
  TRUE, ""其他""
)"),"其他")</f>
        <v>其他</v>
      </c>
      <c r="K5624" s="270" t="str">
        <f t="shared" si="2"/>
        <v/>
      </c>
      <c r="L5624">
        <f t="shared" si="3"/>
        <v>0</v>
      </c>
    </row>
    <row r="5625">
      <c r="A5625" s="107"/>
      <c r="D5625" s="270"/>
      <c r="H5625" s="106" t="str">
        <f t="shared" si="1"/>
        <v/>
      </c>
      <c r="I5625" s="271" t="str">
        <f>IFERROR(__xludf.DUMMYFUNCTION("""COMPUTED_VALUE"""),"")</f>
        <v/>
      </c>
      <c r="J5625" t="str">
        <f>IFERROR(__xludf.DUMMYFUNCTION("IFS(
  AND(REGEXMATCH(E5625, ""台銀籌備帳戶|玉山帳戶""), REGEXMATCH(C5625, ""薪資"")), ""分潤支出"",
  AND(REGEXMATCH(E5625, ""Ben帳戶|Elsa帳戶|Ben代墊|Ariel代墊|中信銀行共用""), REGEXMATCH(F5625, ""Ben帳戶|Elsa帳戶|Ben代墊|Ariel代墊|中信銀行共用"")), ""內部轉帳(忽略)"",
  AND(E5625&lt;&gt;"""", F5625&lt;&gt;"""", N"&amp;"OT(REGEXMATCH(C5625, ""薪資""))), ""內部轉帳(忽略)"",
  REGEXMATCH(C5625, ""薪資""), ""薪資變動(不計入)"",
  REGEXMATCH(C5625, ""押金""), ""押金往來"",
  AND(E5625&lt;&gt;"""", F5625=""""), ""真實支出"",
  AND(E5625="""", F5625&lt;&gt;""""), ""真實收入"",
  TRUE, ""其他""
)"),"其他")</f>
        <v>其他</v>
      </c>
      <c r="K5625" s="270" t="str">
        <f t="shared" si="2"/>
        <v/>
      </c>
      <c r="L5625">
        <f t="shared" si="3"/>
        <v>0</v>
      </c>
    </row>
    <row r="5626">
      <c r="A5626" s="107"/>
      <c r="D5626" s="270"/>
      <c r="H5626" s="106" t="str">
        <f t="shared" si="1"/>
        <v/>
      </c>
      <c r="I5626" s="271" t="str">
        <f>IFERROR(__xludf.DUMMYFUNCTION("""COMPUTED_VALUE"""),"")</f>
        <v/>
      </c>
      <c r="J5626" t="str">
        <f>IFERROR(__xludf.DUMMYFUNCTION("IFS(
  AND(REGEXMATCH(E5626, ""台銀籌備帳戶|玉山帳戶""), REGEXMATCH(C5626, ""薪資"")), ""分潤支出"",
  AND(REGEXMATCH(E5626, ""Ben帳戶|Elsa帳戶|Ben代墊|Ariel代墊|中信銀行共用""), REGEXMATCH(F5626, ""Ben帳戶|Elsa帳戶|Ben代墊|Ariel代墊|中信銀行共用"")), ""內部轉帳(忽略)"",
  AND(E5626&lt;&gt;"""", F5626&lt;&gt;"""", N"&amp;"OT(REGEXMATCH(C5626, ""薪資""))), ""內部轉帳(忽略)"",
  REGEXMATCH(C5626, ""薪資""), ""薪資變動(不計入)"",
  REGEXMATCH(C5626, ""押金""), ""押金往來"",
  AND(E5626&lt;&gt;"""", F5626=""""), ""真實支出"",
  AND(E5626="""", F5626&lt;&gt;""""), ""真實收入"",
  TRUE, ""其他""
)"),"其他")</f>
        <v>其他</v>
      </c>
      <c r="K5626" s="270" t="str">
        <f t="shared" si="2"/>
        <v/>
      </c>
      <c r="L5626">
        <f t="shared" si="3"/>
        <v>0</v>
      </c>
    </row>
    <row r="5627">
      <c r="A5627" s="107"/>
      <c r="D5627" s="270"/>
      <c r="H5627" s="106" t="str">
        <f t="shared" si="1"/>
        <v/>
      </c>
      <c r="I5627" s="271" t="str">
        <f>IFERROR(__xludf.DUMMYFUNCTION("""COMPUTED_VALUE"""),"")</f>
        <v/>
      </c>
      <c r="J5627" t="str">
        <f>IFERROR(__xludf.DUMMYFUNCTION("IFS(
  AND(REGEXMATCH(E5627, ""台銀籌備帳戶|玉山帳戶""), REGEXMATCH(C5627, ""薪資"")), ""分潤支出"",
  AND(REGEXMATCH(E5627, ""Ben帳戶|Elsa帳戶|Ben代墊|Ariel代墊|中信銀行共用""), REGEXMATCH(F5627, ""Ben帳戶|Elsa帳戶|Ben代墊|Ariel代墊|中信銀行共用"")), ""內部轉帳(忽略)"",
  AND(E5627&lt;&gt;"""", F5627&lt;&gt;"""", N"&amp;"OT(REGEXMATCH(C5627, ""薪資""))), ""內部轉帳(忽略)"",
  REGEXMATCH(C5627, ""薪資""), ""薪資變動(不計入)"",
  REGEXMATCH(C5627, ""押金""), ""押金往來"",
  AND(E5627&lt;&gt;"""", F5627=""""), ""真實支出"",
  AND(E5627="""", F5627&lt;&gt;""""), ""真實收入"",
  TRUE, ""其他""
)"),"其他")</f>
        <v>其他</v>
      </c>
      <c r="K5627" s="270" t="str">
        <f t="shared" si="2"/>
        <v/>
      </c>
      <c r="L5627">
        <f t="shared" si="3"/>
        <v>0</v>
      </c>
    </row>
    <row r="5628">
      <c r="A5628" s="107"/>
      <c r="D5628" s="270"/>
      <c r="H5628" s="106" t="str">
        <f t="shared" si="1"/>
        <v/>
      </c>
      <c r="I5628" s="271" t="str">
        <f>IFERROR(__xludf.DUMMYFUNCTION("""COMPUTED_VALUE"""),"")</f>
        <v/>
      </c>
      <c r="J5628" t="str">
        <f>IFERROR(__xludf.DUMMYFUNCTION("IFS(
  AND(REGEXMATCH(E5628, ""台銀籌備帳戶|玉山帳戶""), REGEXMATCH(C5628, ""薪資"")), ""分潤支出"",
  AND(REGEXMATCH(E5628, ""Ben帳戶|Elsa帳戶|Ben代墊|Ariel代墊|中信銀行共用""), REGEXMATCH(F5628, ""Ben帳戶|Elsa帳戶|Ben代墊|Ariel代墊|中信銀行共用"")), ""內部轉帳(忽略)"",
  AND(E5628&lt;&gt;"""", F5628&lt;&gt;"""", N"&amp;"OT(REGEXMATCH(C5628, ""薪資""))), ""內部轉帳(忽略)"",
  REGEXMATCH(C5628, ""薪資""), ""薪資變動(不計入)"",
  REGEXMATCH(C5628, ""押金""), ""押金往來"",
  AND(E5628&lt;&gt;"""", F5628=""""), ""真實支出"",
  AND(E5628="""", F5628&lt;&gt;""""), ""真實收入"",
  TRUE, ""其他""
)"),"其他")</f>
        <v>其他</v>
      </c>
      <c r="K5628" s="270" t="str">
        <f t="shared" si="2"/>
        <v/>
      </c>
      <c r="L5628">
        <f t="shared" si="3"/>
        <v>0</v>
      </c>
    </row>
    <row r="5629">
      <c r="A5629" s="107"/>
      <c r="D5629" s="270"/>
      <c r="H5629" s="106" t="str">
        <f t="shared" si="1"/>
        <v/>
      </c>
      <c r="I5629" s="271" t="str">
        <f>IFERROR(__xludf.DUMMYFUNCTION("""COMPUTED_VALUE"""),"")</f>
        <v/>
      </c>
      <c r="J5629" t="str">
        <f>IFERROR(__xludf.DUMMYFUNCTION("IFS(
  AND(REGEXMATCH(E5629, ""台銀籌備帳戶|玉山帳戶""), REGEXMATCH(C5629, ""薪資"")), ""分潤支出"",
  AND(REGEXMATCH(E5629, ""Ben帳戶|Elsa帳戶|Ben代墊|Ariel代墊|中信銀行共用""), REGEXMATCH(F5629, ""Ben帳戶|Elsa帳戶|Ben代墊|Ariel代墊|中信銀行共用"")), ""內部轉帳(忽略)"",
  AND(E5629&lt;&gt;"""", F5629&lt;&gt;"""", N"&amp;"OT(REGEXMATCH(C5629, ""薪資""))), ""內部轉帳(忽略)"",
  REGEXMATCH(C5629, ""薪資""), ""薪資變動(不計入)"",
  REGEXMATCH(C5629, ""押金""), ""押金往來"",
  AND(E5629&lt;&gt;"""", F5629=""""), ""真實支出"",
  AND(E5629="""", F5629&lt;&gt;""""), ""真實收入"",
  TRUE, ""其他""
)"),"其他")</f>
        <v>其他</v>
      </c>
      <c r="K5629" s="270" t="str">
        <f t="shared" si="2"/>
        <v/>
      </c>
      <c r="L5629">
        <f t="shared" si="3"/>
        <v>0</v>
      </c>
    </row>
    <row r="5630">
      <c r="A5630" s="107"/>
      <c r="D5630" s="270"/>
      <c r="H5630" s="106" t="str">
        <f t="shared" si="1"/>
        <v/>
      </c>
      <c r="I5630" s="271" t="str">
        <f>IFERROR(__xludf.DUMMYFUNCTION("""COMPUTED_VALUE"""),"")</f>
        <v/>
      </c>
      <c r="J5630" t="str">
        <f>IFERROR(__xludf.DUMMYFUNCTION("IFS(
  AND(REGEXMATCH(E5630, ""台銀籌備帳戶|玉山帳戶""), REGEXMATCH(C5630, ""薪資"")), ""分潤支出"",
  AND(REGEXMATCH(E5630, ""Ben帳戶|Elsa帳戶|Ben代墊|Ariel代墊|中信銀行共用""), REGEXMATCH(F5630, ""Ben帳戶|Elsa帳戶|Ben代墊|Ariel代墊|中信銀行共用"")), ""內部轉帳(忽略)"",
  AND(E5630&lt;&gt;"""", F5630&lt;&gt;"""", N"&amp;"OT(REGEXMATCH(C5630, ""薪資""))), ""內部轉帳(忽略)"",
  REGEXMATCH(C5630, ""薪資""), ""薪資變動(不計入)"",
  REGEXMATCH(C5630, ""押金""), ""押金往來"",
  AND(E5630&lt;&gt;"""", F5630=""""), ""真實支出"",
  AND(E5630="""", F5630&lt;&gt;""""), ""真實收入"",
  TRUE, ""其他""
)"),"其他")</f>
        <v>其他</v>
      </c>
      <c r="K5630" s="270" t="str">
        <f t="shared" si="2"/>
        <v/>
      </c>
      <c r="L5630">
        <f t="shared" si="3"/>
        <v>0</v>
      </c>
    </row>
    <row r="5631">
      <c r="A5631" s="107"/>
      <c r="D5631" s="270"/>
      <c r="H5631" s="106" t="str">
        <f t="shared" si="1"/>
        <v/>
      </c>
      <c r="I5631" s="271" t="str">
        <f>IFERROR(__xludf.DUMMYFUNCTION("""COMPUTED_VALUE"""),"")</f>
        <v/>
      </c>
      <c r="J5631" t="str">
        <f>IFERROR(__xludf.DUMMYFUNCTION("IFS(
  AND(REGEXMATCH(E5631, ""台銀籌備帳戶|玉山帳戶""), REGEXMATCH(C5631, ""薪資"")), ""分潤支出"",
  AND(REGEXMATCH(E5631, ""Ben帳戶|Elsa帳戶|Ben代墊|Ariel代墊|中信銀行共用""), REGEXMATCH(F5631, ""Ben帳戶|Elsa帳戶|Ben代墊|Ariel代墊|中信銀行共用"")), ""內部轉帳(忽略)"",
  AND(E5631&lt;&gt;"""", F5631&lt;&gt;"""", N"&amp;"OT(REGEXMATCH(C5631, ""薪資""))), ""內部轉帳(忽略)"",
  REGEXMATCH(C5631, ""薪資""), ""薪資變動(不計入)"",
  REGEXMATCH(C5631, ""押金""), ""押金往來"",
  AND(E5631&lt;&gt;"""", F5631=""""), ""真實支出"",
  AND(E5631="""", F5631&lt;&gt;""""), ""真實收入"",
  TRUE, ""其他""
)"),"其他")</f>
        <v>其他</v>
      </c>
      <c r="K5631" s="270" t="str">
        <f t="shared" si="2"/>
        <v/>
      </c>
      <c r="L5631">
        <f t="shared" si="3"/>
        <v>0</v>
      </c>
    </row>
    <row r="5632">
      <c r="A5632" s="107"/>
      <c r="D5632" s="270"/>
      <c r="H5632" s="106" t="str">
        <f t="shared" si="1"/>
        <v/>
      </c>
      <c r="I5632" s="271" t="str">
        <f>IFERROR(__xludf.DUMMYFUNCTION("""COMPUTED_VALUE"""),"")</f>
        <v/>
      </c>
      <c r="J5632" t="str">
        <f>IFERROR(__xludf.DUMMYFUNCTION("IFS(
  AND(REGEXMATCH(E5632, ""台銀籌備帳戶|玉山帳戶""), REGEXMATCH(C5632, ""薪資"")), ""分潤支出"",
  AND(REGEXMATCH(E5632, ""Ben帳戶|Elsa帳戶|Ben代墊|Ariel代墊|中信銀行共用""), REGEXMATCH(F5632, ""Ben帳戶|Elsa帳戶|Ben代墊|Ariel代墊|中信銀行共用"")), ""內部轉帳(忽略)"",
  AND(E5632&lt;&gt;"""", F5632&lt;&gt;"""", N"&amp;"OT(REGEXMATCH(C5632, ""薪資""))), ""內部轉帳(忽略)"",
  REGEXMATCH(C5632, ""薪資""), ""薪資變動(不計入)"",
  REGEXMATCH(C5632, ""押金""), ""押金往來"",
  AND(E5632&lt;&gt;"""", F5632=""""), ""真實支出"",
  AND(E5632="""", F5632&lt;&gt;""""), ""真實收入"",
  TRUE, ""其他""
)"),"其他")</f>
        <v>其他</v>
      </c>
      <c r="K5632" s="270" t="str">
        <f t="shared" si="2"/>
        <v/>
      </c>
      <c r="L5632">
        <f t="shared" si="3"/>
        <v>0</v>
      </c>
    </row>
    <row r="5633">
      <c r="A5633" s="107"/>
      <c r="D5633" s="270"/>
      <c r="H5633" s="106" t="str">
        <f t="shared" si="1"/>
        <v/>
      </c>
      <c r="I5633" s="271" t="str">
        <f>IFERROR(__xludf.DUMMYFUNCTION("""COMPUTED_VALUE"""),"")</f>
        <v/>
      </c>
      <c r="J5633" t="str">
        <f>IFERROR(__xludf.DUMMYFUNCTION("IFS(
  AND(REGEXMATCH(E5633, ""台銀籌備帳戶|玉山帳戶""), REGEXMATCH(C5633, ""薪資"")), ""分潤支出"",
  AND(REGEXMATCH(E5633, ""Ben帳戶|Elsa帳戶|Ben代墊|Ariel代墊|中信銀行共用""), REGEXMATCH(F5633, ""Ben帳戶|Elsa帳戶|Ben代墊|Ariel代墊|中信銀行共用"")), ""內部轉帳(忽略)"",
  AND(E5633&lt;&gt;"""", F5633&lt;&gt;"""", N"&amp;"OT(REGEXMATCH(C5633, ""薪資""))), ""內部轉帳(忽略)"",
  REGEXMATCH(C5633, ""薪資""), ""薪資變動(不計入)"",
  REGEXMATCH(C5633, ""押金""), ""押金往來"",
  AND(E5633&lt;&gt;"""", F5633=""""), ""真實支出"",
  AND(E5633="""", F5633&lt;&gt;""""), ""真實收入"",
  TRUE, ""其他""
)"),"其他")</f>
        <v>其他</v>
      </c>
      <c r="K5633" s="270" t="str">
        <f t="shared" si="2"/>
        <v/>
      </c>
      <c r="L5633">
        <f t="shared" si="3"/>
        <v>0</v>
      </c>
    </row>
    <row r="5634">
      <c r="A5634" s="107"/>
      <c r="D5634" s="270"/>
      <c r="H5634" s="106" t="str">
        <f t="shared" si="1"/>
        <v/>
      </c>
      <c r="I5634" s="271" t="str">
        <f>IFERROR(__xludf.DUMMYFUNCTION("""COMPUTED_VALUE"""),"")</f>
        <v/>
      </c>
      <c r="J5634" t="str">
        <f>IFERROR(__xludf.DUMMYFUNCTION("IFS(
  AND(REGEXMATCH(E5634, ""台銀籌備帳戶|玉山帳戶""), REGEXMATCH(C5634, ""薪資"")), ""分潤支出"",
  AND(REGEXMATCH(E5634, ""Ben帳戶|Elsa帳戶|Ben代墊|Ariel代墊|中信銀行共用""), REGEXMATCH(F5634, ""Ben帳戶|Elsa帳戶|Ben代墊|Ariel代墊|中信銀行共用"")), ""內部轉帳(忽略)"",
  AND(E5634&lt;&gt;"""", F5634&lt;&gt;"""", N"&amp;"OT(REGEXMATCH(C5634, ""薪資""))), ""內部轉帳(忽略)"",
  REGEXMATCH(C5634, ""薪資""), ""薪資變動(不計入)"",
  REGEXMATCH(C5634, ""押金""), ""押金往來"",
  AND(E5634&lt;&gt;"""", F5634=""""), ""真實支出"",
  AND(E5634="""", F5634&lt;&gt;""""), ""真實收入"",
  TRUE, ""其他""
)"),"其他")</f>
        <v>其他</v>
      </c>
      <c r="K5634" s="270" t="str">
        <f t="shared" si="2"/>
        <v/>
      </c>
      <c r="L5634">
        <f t="shared" si="3"/>
        <v>0</v>
      </c>
    </row>
    <row r="5635">
      <c r="A5635" s="107"/>
      <c r="D5635" s="270"/>
      <c r="H5635" s="106" t="str">
        <f t="shared" si="1"/>
        <v/>
      </c>
      <c r="I5635" s="271" t="str">
        <f>IFERROR(__xludf.DUMMYFUNCTION("""COMPUTED_VALUE"""),"")</f>
        <v/>
      </c>
      <c r="J5635" t="str">
        <f>IFERROR(__xludf.DUMMYFUNCTION("IFS(
  AND(REGEXMATCH(E5635, ""台銀籌備帳戶|玉山帳戶""), REGEXMATCH(C5635, ""薪資"")), ""分潤支出"",
  AND(REGEXMATCH(E5635, ""Ben帳戶|Elsa帳戶|Ben代墊|Ariel代墊|中信銀行共用""), REGEXMATCH(F5635, ""Ben帳戶|Elsa帳戶|Ben代墊|Ariel代墊|中信銀行共用"")), ""內部轉帳(忽略)"",
  AND(E5635&lt;&gt;"""", F5635&lt;&gt;"""", N"&amp;"OT(REGEXMATCH(C5635, ""薪資""))), ""內部轉帳(忽略)"",
  REGEXMATCH(C5635, ""薪資""), ""薪資變動(不計入)"",
  REGEXMATCH(C5635, ""押金""), ""押金往來"",
  AND(E5635&lt;&gt;"""", F5635=""""), ""真實支出"",
  AND(E5635="""", F5635&lt;&gt;""""), ""真實收入"",
  TRUE, ""其他""
)"),"其他")</f>
        <v>其他</v>
      </c>
      <c r="K5635" s="270" t="str">
        <f t="shared" si="2"/>
        <v/>
      </c>
      <c r="L5635">
        <f t="shared" si="3"/>
        <v>0</v>
      </c>
    </row>
    <row r="5636">
      <c r="A5636" s="107"/>
      <c r="D5636" s="270"/>
      <c r="H5636" s="106" t="str">
        <f t="shared" si="1"/>
        <v/>
      </c>
      <c r="I5636" s="271" t="str">
        <f>IFERROR(__xludf.DUMMYFUNCTION("""COMPUTED_VALUE"""),"")</f>
        <v/>
      </c>
      <c r="J5636" t="str">
        <f>IFERROR(__xludf.DUMMYFUNCTION("IFS(
  AND(REGEXMATCH(E5636, ""台銀籌備帳戶|玉山帳戶""), REGEXMATCH(C5636, ""薪資"")), ""分潤支出"",
  AND(REGEXMATCH(E5636, ""Ben帳戶|Elsa帳戶|Ben代墊|Ariel代墊|中信銀行共用""), REGEXMATCH(F5636, ""Ben帳戶|Elsa帳戶|Ben代墊|Ariel代墊|中信銀行共用"")), ""內部轉帳(忽略)"",
  AND(E5636&lt;&gt;"""", F5636&lt;&gt;"""", N"&amp;"OT(REGEXMATCH(C5636, ""薪資""))), ""內部轉帳(忽略)"",
  REGEXMATCH(C5636, ""薪資""), ""薪資變動(不計入)"",
  REGEXMATCH(C5636, ""押金""), ""押金往來"",
  AND(E5636&lt;&gt;"""", F5636=""""), ""真實支出"",
  AND(E5636="""", F5636&lt;&gt;""""), ""真實收入"",
  TRUE, ""其他""
)"),"其他")</f>
        <v>其他</v>
      </c>
      <c r="K5636" s="270" t="str">
        <f t="shared" si="2"/>
        <v/>
      </c>
      <c r="L5636">
        <f t="shared" si="3"/>
        <v>0</v>
      </c>
    </row>
    <row r="5637">
      <c r="A5637" s="107"/>
      <c r="D5637" s="270"/>
      <c r="H5637" s="106" t="str">
        <f t="shared" si="1"/>
        <v/>
      </c>
      <c r="I5637" s="271" t="str">
        <f>IFERROR(__xludf.DUMMYFUNCTION("""COMPUTED_VALUE"""),"")</f>
        <v/>
      </c>
      <c r="J5637" t="str">
        <f>IFERROR(__xludf.DUMMYFUNCTION("IFS(
  AND(REGEXMATCH(E5637, ""台銀籌備帳戶|玉山帳戶""), REGEXMATCH(C5637, ""薪資"")), ""分潤支出"",
  AND(REGEXMATCH(E5637, ""Ben帳戶|Elsa帳戶|Ben代墊|Ariel代墊|中信銀行共用""), REGEXMATCH(F5637, ""Ben帳戶|Elsa帳戶|Ben代墊|Ariel代墊|中信銀行共用"")), ""內部轉帳(忽略)"",
  AND(E5637&lt;&gt;"""", F5637&lt;&gt;"""", N"&amp;"OT(REGEXMATCH(C5637, ""薪資""))), ""內部轉帳(忽略)"",
  REGEXMATCH(C5637, ""薪資""), ""薪資變動(不計入)"",
  REGEXMATCH(C5637, ""押金""), ""押金往來"",
  AND(E5637&lt;&gt;"""", F5637=""""), ""真實支出"",
  AND(E5637="""", F5637&lt;&gt;""""), ""真實收入"",
  TRUE, ""其他""
)"),"其他")</f>
        <v>其他</v>
      </c>
      <c r="K5637" s="270" t="str">
        <f t="shared" si="2"/>
        <v/>
      </c>
      <c r="L5637">
        <f t="shared" si="3"/>
        <v>0</v>
      </c>
    </row>
    <row r="5638">
      <c r="A5638" s="107"/>
      <c r="D5638" s="270"/>
      <c r="H5638" s="106" t="str">
        <f t="shared" si="1"/>
        <v/>
      </c>
      <c r="I5638" s="271" t="str">
        <f>IFERROR(__xludf.DUMMYFUNCTION("""COMPUTED_VALUE"""),"")</f>
        <v/>
      </c>
      <c r="J5638" t="str">
        <f>IFERROR(__xludf.DUMMYFUNCTION("IFS(
  AND(REGEXMATCH(E5638, ""台銀籌備帳戶|玉山帳戶""), REGEXMATCH(C5638, ""薪資"")), ""分潤支出"",
  AND(REGEXMATCH(E5638, ""Ben帳戶|Elsa帳戶|Ben代墊|Ariel代墊|中信銀行共用""), REGEXMATCH(F5638, ""Ben帳戶|Elsa帳戶|Ben代墊|Ariel代墊|中信銀行共用"")), ""內部轉帳(忽略)"",
  AND(E5638&lt;&gt;"""", F5638&lt;&gt;"""", N"&amp;"OT(REGEXMATCH(C5638, ""薪資""))), ""內部轉帳(忽略)"",
  REGEXMATCH(C5638, ""薪資""), ""薪資變動(不計入)"",
  REGEXMATCH(C5638, ""押金""), ""押金往來"",
  AND(E5638&lt;&gt;"""", F5638=""""), ""真實支出"",
  AND(E5638="""", F5638&lt;&gt;""""), ""真實收入"",
  TRUE, ""其他""
)"),"其他")</f>
        <v>其他</v>
      </c>
      <c r="K5638" s="270" t="str">
        <f t="shared" si="2"/>
        <v/>
      </c>
      <c r="L5638">
        <f t="shared" si="3"/>
        <v>0</v>
      </c>
    </row>
    <row r="5639">
      <c r="A5639" s="107"/>
      <c r="D5639" s="270"/>
      <c r="H5639" s="106" t="str">
        <f t="shared" si="1"/>
        <v/>
      </c>
      <c r="I5639" s="271" t="str">
        <f>IFERROR(__xludf.DUMMYFUNCTION("""COMPUTED_VALUE"""),"")</f>
        <v/>
      </c>
      <c r="J5639" t="str">
        <f>IFERROR(__xludf.DUMMYFUNCTION("IFS(
  AND(REGEXMATCH(E5639, ""台銀籌備帳戶|玉山帳戶""), REGEXMATCH(C5639, ""薪資"")), ""分潤支出"",
  AND(REGEXMATCH(E5639, ""Ben帳戶|Elsa帳戶|Ben代墊|Ariel代墊|中信銀行共用""), REGEXMATCH(F5639, ""Ben帳戶|Elsa帳戶|Ben代墊|Ariel代墊|中信銀行共用"")), ""內部轉帳(忽略)"",
  AND(E5639&lt;&gt;"""", F5639&lt;&gt;"""", N"&amp;"OT(REGEXMATCH(C5639, ""薪資""))), ""內部轉帳(忽略)"",
  REGEXMATCH(C5639, ""薪資""), ""薪資變動(不計入)"",
  REGEXMATCH(C5639, ""押金""), ""押金往來"",
  AND(E5639&lt;&gt;"""", F5639=""""), ""真實支出"",
  AND(E5639="""", F5639&lt;&gt;""""), ""真實收入"",
  TRUE, ""其他""
)"),"其他")</f>
        <v>其他</v>
      </c>
      <c r="K5639" s="270" t="str">
        <f t="shared" si="2"/>
        <v/>
      </c>
      <c r="L5639">
        <f t="shared" si="3"/>
        <v>0</v>
      </c>
    </row>
    <row r="5640">
      <c r="A5640" s="107"/>
      <c r="D5640" s="270"/>
      <c r="H5640" s="106" t="str">
        <f t="shared" si="1"/>
        <v/>
      </c>
      <c r="I5640" s="271" t="str">
        <f>IFERROR(__xludf.DUMMYFUNCTION("""COMPUTED_VALUE"""),"")</f>
        <v/>
      </c>
      <c r="J5640" t="str">
        <f>IFERROR(__xludf.DUMMYFUNCTION("IFS(
  AND(REGEXMATCH(E5640, ""台銀籌備帳戶|玉山帳戶""), REGEXMATCH(C5640, ""薪資"")), ""分潤支出"",
  AND(REGEXMATCH(E5640, ""Ben帳戶|Elsa帳戶|Ben代墊|Ariel代墊|中信銀行共用""), REGEXMATCH(F5640, ""Ben帳戶|Elsa帳戶|Ben代墊|Ariel代墊|中信銀行共用"")), ""內部轉帳(忽略)"",
  AND(E5640&lt;&gt;"""", F5640&lt;&gt;"""", N"&amp;"OT(REGEXMATCH(C5640, ""薪資""))), ""內部轉帳(忽略)"",
  REGEXMATCH(C5640, ""薪資""), ""薪資變動(不計入)"",
  REGEXMATCH(C5640, ""押金""), ""押金往來"",
  AND(E5640&lt;&gt;"""", F5640=""""), ""真實支出"",
  AND(E5640="""", F5640&lt;&gt;""""), ""真實收入"",
  TRUE, ""其他""
)"),"其他")</f>
        <v>其他</v>
      </c>
      <c r="K5640" s="270" t="str">
        <f t="shared" si="2"/>
        <v/>
      </c>
      <c r="L5640">
        <f t="shared" si="3"/>
        <v>0</v>
      </c>
    </row>
    <row r="5641">
      <c r="A5641" s="107"/>
      <c r="D5641" s="270"/>
      <c r="H5641" s="106" t="str">
        <f t="shared" si="1"/>
        <v/>
      </c>
      <c r="I5641" s="271" t="str">
        <f>IFERROR(__xludf.DUMMYFUNCTION("""COMPUTED_VALUE"""),"")</f>
        <v/>
      </c>
      <c r="J5641" t="str">
        <f>IFERROR(__xludf.DUMMYFUNCTION("IFS(
  AND(REGEXMATCH(E5641, ""台銀籌備帳戶|玉山帳戶""), REGEXMATCH(C5641, ""薪資"")), ""分潤支出"",
  AND(REGEXMATCH(E5641, ""Ben帳戶|Elsa帳戶|Ben代墊|Ariel代墊|中信銀行共用""), REGEXMATCH(F5641, ""Ben帳戶|Elsa帳戶|Ben代墊|Ariel代墊|中信銀行共用"")), ""內部轉帳(忽略)"",
  AND(E5641&lt;&gt;"""", F5641&lt;&gt;"""", N"&amp;"OT(REGEXMATCH(C5641, ""薪資""))), ""內部轉帳(忽略)"",
  REGEXMATCH(C5641, ""薪資""), ""薪資變動(不計入)"",
  REGEXMATCH(C5641, ""押金""), ""押金往來"",
  AND(E5641&lt;&gt;"""", F5641=""""), ""真實支出"",
  AND(E5641="""", F5641&lt;&gt;""""), ""真實收入"",
  TRUE, ""其他""
)"),"其他")</f>
        <v>其他</v>
      </c>
      <c r="K5641" s="270" t="str">
        <f t="shared" si="2"/>
        <v/>
      </c>
      <c r="L5641">
        <f t="shared" si="3"/>
        <v>0</v>
      </c>
    </row>
    <row r="5642">
      <c r="A5642" s="107"/>
      <c r="D5642" s="270"/>
      <c r="H5642" s="106" t="str">
        <f t="shared" si="1"/>
        <v/>
      </c>
      <c r="I5642" s="271" t="str">
        <f>IFERROR(__xludf.DUMMYFUNCTION("""COMPUTED_VALUE"""),"")</f>
        <v/>
      </c>
      <c r="J5642" t="str">
        <f>IFERROR(__xludf.DUMMYFUNCTION("IFS(
  AND(REGEXMATCH(E5642, ""台銀籌備帳戶|玉山帳戶""), REGEXMATCH(C5642, ""薪資"")), ""分潤支出"",
  AND(REGEXMATCH(E5642, ""Ben帳戶|Elsa帳戶|Ben代墊|Ariel代墊|中信銀行共用""), REGEXMATCH(F5642, ""Ben帳戶|Elsa帳戶|Ben代墊|Ariel代墊|中信銀行共用"")), ""內部轉帳(忽略)"",
  AND(E5642&lt;&gt;"""", F5642&lt;&gt;"""", N"&amp;"OT(REGEXMATCH(C5642, ""薪資""))), ""內部轉帳(忽略)"",
  REGEXMATCH(C5642, ""薪資""), ""薪資變動(不計入)"",
  REGEXMATCH(C5642, ""押金""), ""押金往來"",
  AND(E5642&lt;&gt;"""", F5642=""""), ""真實支出"",
  AND(E5642="""", F5642&lt;&gt;""""), ""真實收入"",
  TRUE, ""其他""
)"),"其他")</f>
        <v>其他</v>
      </c>
      <c r="K5642" s="270" t="str">
        <f t="shared" si="2"/>
        <v/>
      </c>
      <c r="L5642">
        <f t="shared" si="3"/>
        <v>0</v>
      </c>
    </row>
    <row r="5643">
      <c r="A5643" s="107"/>
      <c r="D5643" s="270"/>
      <c r="H5643" s="106" t="str">
        <f t="shared" si="1"/>
        <v/>
      </c>
      <c r="I5643" s="271" t="str">
        <f>IFERROR(__xludf.DUMMYFUNCTION("""COMPUTED_VALUE"""),"")</f>
        <v/>
      </c>
      <c r="J5643" t="str">
        <f>IFERROR(__xludf.DUMMYFUNCTION("IFS(
  AND(REGEXMATCH(E5643, ""台銀籌備帳戶|玉山帳戶""), REGEXMATCH(C5643, ""薪資"")), ""分潤支出"",
  AND(REGEXMATCH(E5643, ""Ben帳戶|Elsa帳戶|Ben代墊|Ariel代墊|中信銀行共用""), REGEXMATCH(F5643, ""Ben帳戶|Elsa帳戶|Ben代墊|Ariel代墊|中信銀行共用"")), ""內部轉帳(忽略)"",
  AND(E5643&lt;&gt;"""", F5643&lt;&gt;"""", N"&amp;"OT(REGEXMATCH(C5643, ""薪資""))), ""內部轉帳(忽略)"",
  REGEXMATCH(C5643, ""薪資""), ""薪資變動(不計入)"",
  REGEXMATCH(C5643, ""押金""), ""押金往來"",
  AND(E5643&lt;&gt;"""", F5643=""""), ""真實支出"",
  AND(E5643="""", F5643&lt;&gt;""""), ""真實收入"",
  TRUE, ""其他""
)"),"其他")</f>
        <v>其他</v>
      </c>
      <c r="K5643" s="270" t="str">
        <f t="shared" si="2"/>
        <v/>
      </c>
      <c r="L5643">
        <f t="shared" si="3"/>
        <v>0</v>
      </c>
    </row>
    <row r="5644">
      <c r="A5644" s="107"/>
      <c r="D5644" s="270"/>
      <c r="H5644" s="106" t="str">
        <f t="shared" si="1"/>
        <v/>
      </c>
      <c r="I5644" s="271" t="str">
        <f>IFERROR(__xludf.DUMMYFUNCTION("""COMPUTED_VALUE"""),"")</f>
        <v/>
      </c>
      <c r="J5644" t="str">
        <f>IFERROR(__xludf.DUMMYFUNCTION("IFS(
  AND(REGEXMATCH(E5644, ""台銀籌備帳戶|玉山帳戶""), REGEXMATCH(C5644, ""薪資"")), ""分潤支出"",
  AND(REGEXMATCH(E5644, ""Ben帳戶|Elsa帳戶|Ben代墊|Ariel代墊|中信銀行共用""), REGEXMATCH(F5644, ""Ben帳戶|Elsa帳戶|Ben代墊|Ariel代墊|中信銀行共用"")), ""內部轉帳(忽略)"",
  AND(E5644&lt;&gt;"""", F5644&lt;&gt;"""", N"&amp;"OT(REGEXMATCH(C5644, ""薪資""))), ""內部轉帳(忽略)"",
  REGEXMATCH(C5644, ""薪資""), ""薪資變動(不計入)"",
  REGEXMATCH(C5644, ""押金""), ""押金往來"",
  AND(E5644&lt;&gt;"""", F5644=""""), ""真實支出"",
  AND(E5644="""", F5644&lt;&gt;""""), ""真實收入"",
  TRUE, ""其他""
)"),"其他")</f>
        <v>其他</v>
      </c>
      <c r="K5644" s="270" t="str">
        <f t="shared" si="2"/>
        <v/>
      </c>
      <c r="L5644">
        <f t="shared" si="3"/>
        <v>0</v>
      </c>
    </row>
    <row r="5645">
      <c r="A5645" s="107"/>
      <c r="D5645" s="270"/>
      <c r="H5645" s="106" t="str">
        <f t="shared" si="1"/>
        <v/>
      </c>
      <c r="I5645" s="271" t="str">
        <f>IFERROR(__xludf.DUMMYFUNCTION("""COMPUTED_VALUE"""),"")</f>
        <v/>
      </c>
      <c r="J5645" t="str">
        <f>IFERROR(__xludf.DUMMYFUNCTION("IFS(
  AND(REGEXMATCH(E5645, ""台銀籌備帳戶|玉山帳戶""), REGEXMATCH(C5645, ""薪資"")), ""分潤支出"",
  AND(REGEXMATCH(E5645, ""Ben帳戶|Elsa帳戶|Ben代墊|Ariel代墊|中信銀行共用""), REGEXMATCH(F5645, ""Ben帳戶|Elsa帳戶|Ben代墊|Ariel代墊|中信銀行共用"")), ""內部轉帳(忽略)"",
  AND(E5645&lt;&gt;"""", F5645&lt;&gt;"""", N"&amp;"OT(REGEXMATCH(C5645, ""薪資""))), ""內部轉帳(忽略)"",
  REGEXMATCH(C5645, ""薪資""), ""薪資變動(不計入)"",
  REGEXMATCH(C5645, ""押金""), ""押金往來"",
  AND(E5645&lt;&gt;"""", F5645=""""), ""真實支出"",
  AND(E5645="""", F5645&lt;&gt;""""), ""真實收入"",
  TRUE, ""其他""
)"),"其他")</f>
        <v>其他</v>
      </c>
      <c r="K5645" s="270" t="str">
        <f t="shared" si="2"/>
        <v/>
      </c>
      <c r="L5645">
        <f t="shared" si="3"/>
        <v>0</v>
      </c>
    </row>
    <row r="5646">
      <c r="A5646" s="107"/>
      <c r="D5646" s="270"/>
      <c r="H5646" s="106" t="str">
        <f t="shared" si="1"/>
        <v/>
      </c>
      <c r="I5646" s="271" t="str">
        <f>IFERROR(__xludf.DUMMYFUNCTION("""COMPUTED_VALUE"""),"")</f>
        <v/>
      </c>
      <c r="J5646" t="str">
        <f>IFERROR(__xludf.DUMMYFUNCTION("IFS(
  AND(REGEXMATCH(E5646, ""台銀籌備帳戶|玉山帳戶""), REGEXMATCH(C5646, ""薪資"")), ""分潤支出"",
  AND(REGEXMATCH(E5646, ""Ben帳戶|Elsa帳戶|Ben代墊|Ariel代墊|中信銀行共用""), REGEXMATCH(F5646, ""Ben帳戶|Elsa帳戶|Ben代墊|Ariel代墊|中信銀行共用"")), ""內部轉帳(忽略)"",
  AND(E5646&lt;&gt;"""", F5646&lt;&gt;"""", N"&amp;"OT(REGEXMATCH(C5646, ""薪資""))), ""內部轉帳(忽略)"",
  REGEXMATCH(C5646, ""薪資""), ""薪資變動(不計入)"",
  REGEXMATCH(C5646, ""押金""), ""押金往來"",
  AND(E5646&lt;&gt;"""", F5646=""""), ""真實支出"",
  AND(E5646="""", F5646&lt;&gt;""""), ""真實收入"",
  TRUE, ""其他""
)"),"其他")</f>
        <v>其他</v>
      </c>
      <c r="K5646" s="270" t="str">
        <f t="shared" si="2"/>
        <v/>
      </c>
      <c r="L5646">
        <f t="shared" si="3"/>
        <v>0</v>
      </c>
    </row>
    <row r="5647">
      <c r="A5647" s="107"/>
      <c r="D5647" s="270"/>
      <c r="H5647" s="106" t="str">
        <f t="shared" si="1"/>
        <v/>
      </c>
      <c r="I5647" s="271" t="str">
        <f>IFERROR(__xludf.DUMMYFUNCTION("""COMPUTED_VALUE"""),"")</f>
        <v/>
      </c>
      <c r="J5647" t="str">
        <f>IFERROR(__xludf.DUMMYFUNCTION("IFS(
  AND(REGEXMATCH(E5647, ""台銀籌備帳戶|玉山帳戶""), REGEXMATCH(C5647, ""薪資"")), ""分潤支出"",
  AND(REGEXMATCH(E5647, ""Ben帳戶|Elsa帳戶|Ben代墊|Ariel代墊|中信銀行共用""), REGEXMATCH(F5647, ""Ben帳戶|Elsa帳戶|Ben代墊|Ariel代墊|中信銀行共用"")), ""內部轉帳(忽略)"",
  AND(E5647&lt;&gt;"""", F5647&lt;&gt;"""", N"&amp;"OT(REGEXMATCH(C5647, ""薪資""))), ""內部轉帳(忽略)"",
  REGEXMATCH(C5647, ""薪資""), ""薪資變動(不計入)"",
  REGEXMATCH(C5647, ""押金""), ""押金往來"",
  AND(E5647&lt;&gt;"""", F5647=""""), ""真實支出"",
  AND(E5647="""", F5647&lt;&gt;""""), ""真實收入"",
  TRUE, ""其他""
)"),"其他")</f>
        <v>其他</v>
      </c>
      <c r="K5647" s="270" t="str">
        <f t="shared" si="2"/>
        <v/>
      </c>
      <c r="L5647">
        <f t="shared" si="3"/>
        <v>0</v>
      </c>
    </row>
    <row r="5648">
      <c r="A5648" s="107"/>
      <c r="D5648" s="270"/>
      <c r="H5648" s="106" t="str">
        <f t="shared" si="1"/>
        <v/>
      </c>
      <c r="I5648" s="271" t="str">
        <f>IFERROR(__xludf.DUMMYFUNCTION("""COMPUTED_VALUE"""),"")</f>
        <v/>
      </c>
      <c r="J5648" t="str">
        <f>IFERROR(__xludf.DUMMYFUNCTION("IFS(
  AND(REGEXMATCH(E5648, ""台銀籌備帳戶|玉山帳戶""), REGEXMATCH(C5648, ""薪資"")), ""分潤支出"",
  AND(REGEXMATCH(E5648, ""Ben帳戶|Elsa帳戶|Ben代墊|Ariel代墊|中信銀行共用""), REGEXMATCH(F5648, ""Ben帳戶|Elsa帳戶|Ben代墊|Ariel代墊|中信銀行共用"")), ""內部轉帳(忽略)"",
  AND(E5648&lt;&gt;"""", F5648&lt;&gt;"""", N"&amp;"OT(REGEXMATCH(C5648, ""薪資""))), ""內部轉帳(忽略)"",
  REGEXMATCH(C5648, ""薪資""), ""薪資變動(不計入)"",
  REGEXMATCH(C5648, ""押金""), ""押金往來"",
  AND(E5648&lt;&gt;"""", F5648=""""), ""真實支出"",
  AND(E5648="""", F5648&lt;&gt;""""), ""真實收入"",
  TRUE, ""其他""
)"),"其他")</f>
        <v>其他</v>
      </c>
      <c r="K5648" s="270" t="str">
        <f t="shared" si="2"/>
        <v/>
      </c>
      <c r="L5648">
        <f t="shared" si="3"/>
        <v>0</v>
      </c>
    </row>
    <row r="5649">
      <c r="A5649" s="107"/>
      <c r="D5649" s="270"/>
      <c r="H5649" s="106" t="str">
        <f t="shared" si="1"/>
        <v/>
      </c>
      <c r="I5649" s="271" t="str">
        <f>IFERROR(__xludf.DUMMYFUNCTION("""COMPUTED_VALUE"""),"")</f>
        <v/>
      </c>
      <c r="J5649" t="str">
        <f>IFERROR(__xludf.DUMMYFUNCTION("IFS(
  AND(REGEXMATCH(E5649, ""台銀籌備帳戶|玉山帳戶""), REGEXMATCH(C5649, ""薪資"")), ""分潤支出"",
  AND(REGEXMATCH(E5649, ""Ben帳戶|Elsa帳戶|Ben代墊|Ariel代墊|中信銀行共用""), REGEXMATCH(F5649, ""Ben帳戶|Elsa帳戶|Ben代墊|Ariel代墊|中信銀行共用"")), ""內部轉帳(忽略)"",
  AND(E5649&lt;&gt;"""", F5649&lt;&gt;"""", N"&amp;"OT(REGEXMATCH(C5649, ""薪資""))), ""內部轉帳(忽略)"",
  REGEXMATCH(C5649, ""薪資""), ""薪資變動(不計入)"",
  REGEXMATCH(C5649, ""押金""), ""押金往來"",
  AND(E5649&lt;&gt;"""", F5649=""""), ""真實支出"",
  AND(E5649="""", F5649&lt;&gt;""""), ""真實收入"",
  TRUE, ""其他""
)"),"其他")</f>
        <v>其他</v>
      </c>
      <c r="K5649" s="270" t="str">
        <f t="shared" si="2"/>
        <v/>
      </c>
      <c r="L5649">
        <f t="shared" si="3"/>
        <v>0</v>
      </c>
    </row>
    <row r="5650">
      <c r="A5650" s="107"/>
      <c r="D5650" s="270"/>
      <c r="H5650" s="106" t="str">
        <f t="shared" si="1"/>
        <v/>
      </c>
      <c r="I5650" s="271" t="str">
        <f>IFERROR(__xludf.DUMMYFUNCTION("""COMPUTED_VALUE"""),"")</f>
        <v/>
      </c>
      <c r="J5650" t="str">
        <f>IFERROR(__xludf.DUMMYFUNCTION("IFS(
  AND(REGEXMATCH(E5650, ""台銀籌備帳戶|玉山帳戶""), REGEXMATCH(C5650, ""薪資"")), ""分潤支出"",
  AND(REGEXMATCH(E5650, ""Ben帳戶|Elsa帳戶|Ben代墊|Ariel代墊|中信銀行共用""), REGEXMATCH(F5650, ""Ben帳戶|Elsa帳戶|Ben代墊|Ariel代墊|中信銀行共用"")), ""內部轉帳(忽略)"",
  AND(E5650&lt;&gt;"""", F5650&lt;&gt;"""", N"&amp;"OT(REGEXMATCH(C5650, ""薪資""))), ""內部轉帳(忽略)"",
  REGEXMATCH(C5650, ""薪資""), ""薪資變動(不計入)"",
  REGEXMATCH(C5650, ""押金""), ""押金往來"",
  AND(E5650&lt;&gt;"""", F5650=""""), ""真實支出"",
  AND(E5650="""", F5650&lt;&gt;""""), ""真實收入"",
  TRUE, ""其他""
)"),"其他")</f>
        <v>其他</v>
      </c>
      <c r="K5650" s="270" t="str">
        <f t="shared" si="2"/>
        <v/>
      </c>
      <c r="L5650">
        <f t="shared" si="3"/>
        <v>0</v>
      </c>
    </row>
    <row r="5651">
      <c r="A5651" s="107"/>
      <c r="D5651" s="270"/>
      <c r="H5651" s="106" t="str">
        <f t="shared" si="1"/>
        <v/>
      </c>
      <c r="I5651" s="271" t="str">
        <f>IFERROR(__xludf.DUMMYFUNCTION("""COMPUTED_VALUE"""),"")</f>
        <v/>
      </c>
      <c r="J5651" t="str">
        <f>IFERROR(__xludf.DUMMYFUNCTION("IFS(
  AND(REGEXMATCH(E5651, ""台銀籌備帳戶|玉山帳戶""), REGEXMATCH(C5651, ""薪資"")), ""分潤支出"",
  AND(REGEXMATCH(E5651, ""Ben帳戶|Elsa帳戶|Ben代墊|Ariel代墊|中信銀行共用""), REGEXMATCH(F5651, ""Ben帳戶|Elsa帳戶|Ben代墊|Ariel代墊|中信銀行共用"")), ""內部轉帳(忽略)"",
  AND(E5651&lt;&gt;"""", F5651&lt;&gt;"""", N"&amp;"OT(REGEXMATCH(C5651, ""薪資""))), ""內部轉帳(忽略)"",
  REGEXMATCH(C5651, ""薪資""), ""薪資變動(不計入)"",
  REGEXMATCH(C5651, ""押金""), ""押金往來"",
  AND(E5651&lt;&gt;"""", F5651=""""), ""真實支出"",
  AND(E5651="""", F5651&lt;&gt;""""), ""真實收入"",
  TRUE, ""其他""
)"),"其他")</f>
        <v>其他</v>
      </c>
      <c r="K5651" s="270" t="str">
        <f t="shared" si="2"/>
        <v/>
      </c>
      <c r="L5651">
        <f t="shared" si="3"/>
        <v>0</v>
      </c>
    </row>
    <row r="5652">
      <c r="A5652" s="107"/>
      <c r="D5652" s="270"/>
      <c r="H5652" s="106" t="str">
        <f t="shared" si="1"/>
        <v/>
      </c>
      <c r="I5652" s="271" t="str">
        <f>IFERROR(__xludf.DUMMYFUNCTION("""COMPUTED_VALUE"""),"")</f>
        <v/>
      </c>
      <c r="J5652" t="str">
        <f>IFERROR(__xludf.DUMMYFUNCTION("IFS(
  AND(REGEXMATCH(E5652, ""台銀籌備帳戶|玉山帳戶""), REGEXMATCH(C5652, ""薪資"")), ""分潤支出"",
  AND(REGEXMATCH(E5652, ""Ben帳戶|Elsa帳戶|Ben代墊|Ariel代墊|中信銀行共用""), REGEXMATCH(F5652, ""Ben帳戶|Elsa帳戶|Ben代墊|Ariel代墊|中信銀行共用"")), ""內部轉帳(忽略)"",
  AND(E5652&lt;&gt;"""", F5652&lt;&gt;"""", N"&amp;"OT(REGEXMATCH(C5652, ""薪資""))), ""內部轉帳(忽略)"",
  REGEXMATCH(C5652, ""薪資""), ""薪資變動(不計入)"",
  REGEXMATCH(C5652, ""押金""), ""押金往來"",
  AND(E5652&lt;&gt;"""", F5652=""""), ""真實支出"",
  AND(E5652="""", F5652&lt;&gt;""""), ""真實收入"",
  TRUE, ""其他""
)"),"其他")</f>
        <v>其他</v>
      </c>
      <c r="K5652" s="270" t="str">
        <f t="shared" si="2"/>
        <v/>
      </c>
      <c r="L5652">
        <f t="shared" si="3"/>
        <v>0</v>
      </c>
    </row>
    <row r="5653">
      <c r="A5653" s="107"/>
      <c r="D5653" s="270"/>
      <c r="H5653" s="106" t="str">
        <f t="shared" si="1"/>
        <v/>
      </c>
      <c r="I5653" s="271" t="str">
        <f>IFERROR(__xludf.DUMMYFUNCTION("""COMPUTED_VALUE"""),"")</f>
        <v/>
      </c>
      <c r="J5653" t="str">
        <f>IFERROR(__xludf.DUMMYFUNCTION("IFS(
  AND(REGEXMATCH(E5653, ""台銀籌備帳戶|玉山帳戶""), REGEXMATCH(C5653, ""薪資"")), ""分潤支出"",
  AND(REGEXMATCH(E5653, ""Ben帳戶|Elsa帳戶|Ben代墊|Ariel代墊|中信銀行共用""), REGEXMATCH(F5653, ""Ben帳戶|Elsa帳戶|Ben代墊|Ariel代墊|中信銀行共用"")), ""內部轉帳(忽略)"",
  AND(E5653&lt;&gt;"""", F5653&lt;&gt;"""", N"&amp;"OT(REGEXMATCH(C5653, ""薪資""))), ""內部轉帳(忽略)"",
  REGEXMATCH(C5653, ""薪資""), ""薪資變動(不計入)"",
  REGEXMATCH(C5653, ""押金""), ""押金往來"",
  AND(E5653&lt;&gt;"""", F5653=""""), ""真實支出"",
  AND(E5653="""", F5653&lt;&gt;""""), ""真實收入"",
  TRUE, ""其他""
)"),"其他")</f>
        <v>其他</v>
      </c>
      <c r="K5653" s="270" t="str">
        <f t="shared" si="2"/>
        <v/>
      </c>
      <c r="L5653">
        <f t="shared" si="3"/>
        <v>0</v>
      </c>
    </row>
    <row r="5654">
      <c r="A5654" s="107"/>
      <c r="D5654" s="270"/>
      <c r="H5654" s="106" t="str">
        <f t="shared" si="1"/>
        <v/>
      </c>
      <c r="I5654" s="271" t="str">
        <f>IFERROR(__xludf.DUMMYFUNCTION("""COMPUTED_VALUE"""),"")</f>
        <v/>
      </c>
      <c r="J5654" t="str">
        <f>IFERROR(__xludf.DUMMYFUNCTION("IFS(
  AND(REGEXMATCH(E5654, ""台銀籌備帳戶|玉山帳戶""), REGEXMATCH(C5654, ""薪資"")), ""分潤支出"",
  AND(REGEXMATCH(E5654, ""Ben帳戶|Elsa帳戶|Ben代墊|Ariel代墊|中信銀行共用""), REGEXMATCH(F5654, ""Ben帳戶|Elsa帳戶|Ben代墊|Ariel代墊|中信銀行共用"")), ""內部轉帳(忽略)"",
  AND(E5654&lt;&gt;"""", F5654&lt;&gt;"""", N"&amp;"OT(REGEXMATCH(C5654, ""薪資""))), ""內部轉帳(忽略)"",
  REGEXMATCH(C5654, ""薪資""), ""薪資變動(不計入)"",
  REGEXMATCH(C5654, ""押金""), ""押金往來"",
  AND(E5654&lt;&gt;"""", F5654=""""), ""真實支出"",
  AND(E5654="""", F5654&lt;&gt;""""), ""真實收入"",
  TRUE, ""其他""
)"),"其他")</f>
        <v>其他</v>
      </c>
      <c r="K5654" s="270" t="str">
        <f t="shared" si="2"/>
        <v/>
      </c>
      <c r="L5654">
        <f t="shared" si="3"/>
        <v>0</v>
      </c>
    </row>
    <row r="5655">
      <c r="A5655" s="107"/>
      <c r="D5655" s="270"/>
      <c r="H5655" s="106" t="str">
        <f t="shared" si="1"/>
        <v/>
      </c>
      <c r="I5655" s="271" t="str">
        <f>IFERROR(__xludf.DUMMYFUNCTION("""COMPUTED_VALUE"""),"")</f>
        <v/>
      </c>
      <c r="J5655" t="str">
        <f>IFERROR(__xludf.DUMMYFUNCTION("IFS(
  AND(REGEXMATCH(E5655, ""台銀籌備帳戶|玉山帳戶""), REGEXMATCH(C5655, ""薪資"")), ""分潤支出"",
  AND(REGEXMATCH(E5655, ""Ben帳戶|Elsa帳戶|Ben代墊|Ariel代墊|中信銀行共用""), REGEXMATCH(F5655, ""Ben帳戶|Elsa帳戶|Ben代墊|Ariel代墊|中信銀行共用"")), ""內部轉帳(忽略)"",
  AND(E5655&lt;&gt;"""", F5655&lt;&gt;"""", N"&amp;"OT(REGEXMATCH(C5655, ""薪資""))), ""內部轉帳(忽略)"",
  REGEXMATCH(C5655, ""薪資""), ""薪資變動(不計入)"",
  REGEXMATCH(C5655, ""押金""), ""押金往來"",
  AND(E5655&lt;&gt;"""", F5655=""""), ""真實支出"",
  AND(E5655="""", F5655&lt;&gt;""""), ""真實收入"",
  TRUE, ""其他""
)"),"其他")</f>
        <v>其他</v>
      </c>
      <c r="K5655" s="270" t="str">
        <f t="shared" si="2"/>
        <v/>
      </c>
      <c r="L5655">
        <f t="shared" si="3"/>
        <v>0</v>
      </c>
    </row>
    <row r="5656">
      <c r="A5656" s="107"/>
      <c r="D5656" s="270"/>
      <c r="H5656" s="106" t="str">
        <f t="shared" si="1"/>
        <v/>
      </c>
      <c r="I5656" s="271" t="str">
        <f>IFERROR(__xludf.DUMMYFUNCTION("""COMPUTED_VALUE"""),"")</f>
        <v/>
      </c>
      <c r="J5656" t="str">
        <f>IFERROR(__xludf.DUMMYFUNCTION("IFS(
  AND(REGEXMATCH(E5656, ""台銀籌備帳戶|玉山帳戶""), REGEXMATCH(C5656, ""薪資"")), ""分潤支出"",
  AND(REGEXMATCH(E5656, ""Ben帳戶|Elsa帳戶|Ben代墊|Ariel代墊|中信銀行共用""), REGEXMATCH(F5656, ""Ben帳戶|Elsa帳戶|Ben代墊|Ariel代墊|中信銀行共用"")), ""內部轉帳(忽略)"",
  AND(E5656&lt;&gt;"""", F5656&lt;&gt;"""", N"&amp;"OT(REGEXMATCH(C5656, ""薪資""))), ""內部轉帳(忽略)"",
  REGEXMATCH(C5656, ""薪資""), ""薪資變動(不計入)"",
  REGEXMATCH(C5656, ""押金""), ""押金往來"",
  AND(E5656&lt;&gt;"""", F5656=""""), ""真實支出"",
  AND(E5656="""", F5656&lt;&gt;""""), ""真實收入"",
  TRUE, ""其他""
)"),"其他")</f>
        <v>其他</v>
      </c>
      <c r="K5656" s="270" t="str">
        <f t="shared" si="2"/>
        <v/>
      </c>
      <c r="L5656">
        <f t="shared" si="3"/>
        <v>0</v>
      </c>
    </row>
    <row r="5657">
      <c r="A5657" s="107"/>
      <c r="D5657" s="270"/>
      <c r="H5657" s="106" t="str">
        <f t="shared" si="1"/>
        <v/>
      </c>
      <c r="I5657" s="271" t="str">
        <f>IFERROR(__xludf.DUMMYFUNCTION("""COMPUTED_VALUE"""),"")</f>
        <v/>
      </c>
      <c r="J5657" t="str">
        <f>IFERROR(__xludf.DUMMYFUNCTION("IFS(
  AND(REGEXMATCH(E5657, ""台銀籌備帳戶|玉山帳戶""), REGEXMATCH(C5657, ""薪資"")), ""分潤支出"",
  AND(REGEXMATCH(E5657, ""Ben帳戶|Elsa帳戶|Ben代墊|Ariel代墊|中信銀行共用""), REGEXMATCH(F5657, ""Ben帳戶|Elsa帳戶|Ben代墊|Ariel代墊|中信銀行共用"")), ""內部轉帳(忽略)"",
  AND(E5657&lt;&gt;"""", F5657&lt;&gt;"""", N"&amp;"OT(REGEXMATCH(C5657, ""薪資""))), ""內部轉帳(忽略)"",
  REGEXMATCH(C5657, ""薪資""), ""薪資變動(不計入)"",
  REGEXMATCH(C5657, ""押金""), ""押金往來"",
  AND(E5657&lt;&gt;"""", F5657=""""), ""真實支出"",
  AND(E5657="""", F5657&lt;&gt;""""), ""真實收入"",
  TRUE, ""其他""
)"),"其他")</f>
        <v>其他</v>
      </c>
      <c r="K5657" s="270" t="str">
        <f t="shared" si="2"/>
        <v/>
      </c>
      <c r="L5657">
        <f t="shared" si="3"/>
        <v>0</v>
      </c>
    </row>
    <row r="5658">
      <c r="A5658" s="107"/>
      <c r="D5658" s="270"/>
      <c r="H5658" s="106" t="str">
        <f t="shared" si="1"/>
        <v/>
      </c>
      <c r="I5658" s="271" t="str">
        <f>IFERROR(__xludf.DUMMYFUNCTION("""COMPUTED_VALUE"""),"")</f>
        <v/>
      </c>
      <c r="J5658" t="str">
        <f>IFERROR(__xludf.DUMMYFUNCTION("IFS(
  AND(REGEXMATCH(E5658, ""台銀籌備帳戶|玉山帳戶""), REGEXMATCH(C5658, ""薪資"")), ""分潤支出"",
  AND(REGEXMATCH(E5658, ""Ben帳戶|Elsa帳戶|Ben代墊|Ariel代墊|中信銀行共用""), REGEXMATCH(F5658, ""Ben帳戶|Elsa帳戶|Ben代墊|Ariel代墊|中信銀行共用"")), ""內部轉帳(忽略)"",
  AND(E5658&lt;&gt;"""", F5658&lt;&gt;"""", N"&amp;"OT(REGEXMATCH(C5658, ""薪資""))), ""內部轉帳(忽略)"",
  REGEXMATCH(C5658, ""薪資""), ""薪資變動(不計入)"",
  REGEXMATCH(C5658, ""押金""), ""押金往來"",
  AND(E5658&lt;&gt;"""", F5658=""""), ""真實支出"",
  AND(E5658="""", F5658&lt;&gt;""""), ""真實收入"",
  TRUE, ""其他""
)"),"其他")</f>
        <v>其他</v>
      </c>
      <c r="K5658" s="270" t="str">
        <f t="shared" si="2"/>
        <v/>
      </c>
      <c r="L5658">
        <f t="shared" si="3"/>
        <v>0</v>
      </c>
    </row>
    <row r="5659">
      <c r="A5659" s="107"/>
      <c r="D5659" s="270"/>
      <c r="H5659" s="106" t="str">
        <f t="shared" si="1"/>
        <v/>
      </c>
      <c r="I5659" s="271" t="str">
        <f>IFERROR(__xludf.DUMMYFUNCTION("""COMPUTED_VALUE"""),"")</f>
        <v/>
      </c>
      <c r="J5659" t="str">
        <f>IFERROR(__xludf.DUMMYFUNCTION("IFS(
  AND(REGEXMATCH(E5659, ""台銀籌備帳戶|玉山帳戶""), REGEXMATCH(C5659, ""薪資"")), ""分潤支出"",
  AND(REGEXMATCH(E5659, ""Ben帳戶|Elsa帳戶|Ben代墊|Ariel代墊|中信銀行共用""), REGEXMATCH(F5659, ""Ben帳戶|Elsa帳戶|Ben代墊|Ariel代墊|中信銀行共用"")), ""內部轉帳(忽略)"",
  AND(E5659&lt;&gt;"""", F5659&lt;&gt;"""", N"&amp;"OT(REGEXMATCH(C5659, ""薪資""))), ""內部轉帳(忽略)"",
  REGEXMATCH(C5659, ""薪資""), ""薪資變動(不計入)"",
  REGEXMATCH(C5659, ""押金""), ""押金往來"",
  AND(E5659&lt;&gt;"""", F5659=""""), ""真實支出"",
  AND(E5659="""", F5659&lt;&gt;""""), ""真實收入"",
  TRUE, ""其他""
)"),"其他")</f>
        <v>其他</v>
      </c>
      <c r="K5659" s="270" t="str">
        <f t="shared" si="2"/>
        <v/>
      </c>
      <c r="L5659">
        <f t="shared" si="3"/>
        <v>0</v>
      </c>
    </row>
    <row r="5660">
      <c r="A5660" s="107"/>
      <c r="D5660" s="270"/>
      <c r="H5660" s="106" t="str">
        <f t="shared" si="1"/>
        <v/>
      </c>
      <c r="I5660" s="271" t="str">
        <f>IFERROR(__xludf.DUMMYFUNCTION("""COMPUTED_VALUE"""),"")</f>
        <v/>
      </c>
      <c r="J5660" t="str">
        <f>IFERROR(__xludf.DUMMYFUNCTION("IFS(
  AND(REGEXMATCH(E5660, ""台銀籌備帳戶|玉山帳戶""), REGEXMATCH(C5660, ""薪資"")), ""分潤支出"",
  AND(REGEXMATCH(E5660, ""Ben帳戶|Elsa帳戶|Ben代墊|Ariel代墊|中信銀行共用""), REGEXMATCH(F5660, ""Ben帳戶|Elsa帳戶|Ben代墊|Ariel代墊|中信銀行共用"")), ""內部轉帳(忽略)"",
  AND(E5660&lt;&gt;"""", F5660&lt;&gt;"""", N"&amp;"OT(REGEXMATCH(C5660, ""薪資""))), ""內部轉帳(忽略)"",
  REGEXMATCH(C5660, ""薪資""), ""薪資變動(不計入)"",
  REGEXMATCH(C5660, ""押金""), ""押金往來"",
  AND(E5660&lt;&gt;"""", F5660=""""), ""真實支出"",
  AND(E5660="""", F5660&lt;&gt;""""), ""真實收入"",
  TRUE, ""其他""
)"),"其他")</f>
        <v>其他</v>
      </c>
      <c r="K5660" s="270" t="str">
        <f t="shared" si="2"/>
        <v/>
      </c>
      <c r="L5660">
        <f t="shared" si="3"/>
        <v>0</v>
      </c>
    </row>
    <row r="5661">
      <c r="A5661" s="107"/>
      <c r="D5661" s="270"/>
      <c r="H5661" s="106" t="str">
        <f t="shared" si="1"/>
        <v/>
      </c>
      <c r="I5661" s="271" t="str">
        <f>IFERROR(__xludf.DUMMYFUNCTION("""COMPUTED_VALUE"""),"")</f>
        <v/>
      </c>
      <c r="J5661" t="str">
        <f>IFERROR(__xludf.DUMMYFUNCTION("IFS(
  AND(REGEXMATCH(E5661, ""台銀籌備帳戶|玉山帳戶""), REGEXMATCH(C5661, ""薪資"")), ""分潤支出"",
  AND(REGEXMATCH(E5661, ""Ben帳戶|Elsa帳戶|Ben代墊|Ariel代墊|中信銀行共用""), REGEXMATCH(F5661, ""Ben帳戶|Elsa帳戶|Ben代墊|Ariel代墊|中信銀行共用"")), ""內部轉帳(忽略)"",
  AND(E5661&lt;&gt;"""", F5661&lt;&gt;"""", N"&amp;"OT(REGEXMATCH(C5661, ""薪資""))), ""內部轉帳(忽略)"",
  REGEXMATCH(C5661, ""薪資""), ""薪資變動(不計入)"",
  REGEXMATCH(C5661, ""押金""), ""押金往來"",
  AND(E5661&lt;&gt;"""", F5661=""""), ""真實支出"",
  AND(E5661="""", F5661&lt;&gt;""""), ""真實收入"",
  TRUE, ""其他""
)"),"其他")</f>
        <v>其他</v>
      </c>
      <c r="K5661" s="270" t="str">
        <f t="shared" si="2"/>
        <v/>
      </c>
      <c r="L5661">
        <f t="shared" si="3"/>
        <v>0</v>
      </c>
    </row>
    <row r="5662">
      <c r="A5662" s="107"/>
      <c r="D5662" s="270"/>
      <c r="H5662" s="106" t="str">
        <f t="shared" si="1"/>
        <v/>
      </c>
      <c r="I5662" s="271" t="str">
        <f>IFERROR(__xludf.DUMMYFUNCTION("""COMPUTED_VALUE"""),"")</f>
        <v/>
      </c>
      <c r="J5662" t="str">
        <f>IFERROR(__xludf.DUMMYFUNCTION("IFS(
  AND(REGEXMATCH(E5662, ""台銀籌備帳戶|玉山帳戶""), REGEXMATCH(C5662, ""薪資"")), ""分潤支出"",
  AND(REGEXMATCH(E5662, ""Ben帳戶|Elsa帳戶|Ben代墊|Ariel代墊|中信銀行共用""), REGEXMATCH(F5662, ""Ben帳戶|Elsa帳戶|Ben代墊|Ariel代墊|中信銀行共用"")), ""內部轉帳(忽略)"",
  AND(E5662&lt;&gt;"""", F5662&lt;&gt;"""", N"&amp;"OT(REGEXMATCH(C5662, ""薪資""))), ""內部轉帳(忽略)"",
  REGEXMATCH(C5662, ""薪資""), ""薪資變動(不計入)"",
  REGEXMATCH(C5662, ""押金""), ""押金往來"",
  AND(E5662&lt;&gt;"""", F5662=""""), ""真實支出"",
  AND(E5662="""", F5662&lt;&gt;""""), ""真實收入"",
  TRUE, ""其他""
)"),"其他")</f>
        <v>其他</v>
      </c>
      <c r="K5662" s="270" t="str">
        <f t="shared" si="2"/>
        <v/>
      </c>
      <c r="L5662">
        <f t="shared" si="3"/>
        <v>0</v>
      </c>
    </row>
    <row r="5663">
      <c r="A5663" s="107"/>
      <c r="D5663" s="270"/>
      <c r="H5663" s="106" t="str">
        <f t="shared" si="1"/>
        <v/>
      </c>
      <c r="I5663" s="271" t="str">
        <f>IFERROR(__xludf.DUMMYFUNCTION("""COMPUTED_VALUE"""),"")</f>
        <v/>
      </c>
      <c r="J5663" t="str">
        <f>IFERROR(__xludf.DUMMYFUNCTION("IFS(
  AND(REGEXMATCH(E5663, ""台銀籌備帳戶|玉山帳戶""), REGEXMATCH(C5663, ""薪資"")), ""分潤支出"",
  AND(REGEXMATCH(E5663, ""Ben帳戶|Elsa帳戶|Ben代墊|Ariel代墊|中信銀行共用""), REGEXMATCH(F5663, ""Ben帳戶|Elsa帳戶|Ben代墊|Ariel代墊|中信銀行共用"")), ""內部轉帳(忽略)"",
  AND(E5663&lt;&gt;"""", F5663&lt;&gt;"""", N"&amp;"OT(REGEXMATCH(C5663, ""薪資""))), ""內部轉帳(忽略)"",
  REGEXMATCH(C5663, ""薪資""), ""薪資變動(不計入)"",
  REGEXMATCH(C5663, ""押金""), ""押金往來"",
  AND(E5663&lt;&gt;"""", F5663=""""), ""真實支出"",
  AND(E5663="""", F5663&lt;&gt;""""), ""真實收入"",
  TRUE, ""其他""
)"),"其他")</f>
        <v>其他</v>
      </c>
      <c r="K5663" s="270" t="str">
        <f t="shared" si="2"/>
        <v/>
      </c>
      <c r="L5663">
        <f t="shared" si="3"/>
        <v>0</v>
      </c>
    </row>
    <row r="5664">
      <c r="A5664" s="107"/>
      <c r="D5664" s="270"/>
      <c r="H5664" s="106" t="str">
        <f t="shared" si="1"/>
        <v/>
      </c>
      <c r="I5664" s="271" t="str">
        <f>IFERROR(__xludf.DUMMYFUNCTION("""COMPUTED_VALUE"""),"")</f>
        <v/>
      </c>
      <c r="J5664" t="str">
        <f>IFERROR(__xludf.DUMMYFUNCTION("IFS(
  AND(REGEXMATCH(E5664, ""台銀籌備帳戶|玉山帳戶""), REGEXMATCH(C5664, ""薪資"")), ""分潤支出"",
  AND(REGEXMATCH(E5664, ""Ben帳戶|Elsa帳戶|Ben代墊|Ariel代墊|中信銀行共用""), REGEXMATCH(F5664, ""Ben帳戶|Elsa帳戶|Ben代墊|Ariel代墊|中信銀行共用"")), ""內部轉帳(忽略)"",
  AND(E5664&lt;&gt;"""", F5664&lt;&gt;"""", N"&amp;"OT(REGEXMATCH(C5664, ""薪資""))), ""內部轉帳(忽略)"",
  REGEXMATCH(C5664, ""薪資""), ""薪資變動(不計入)"",
  REGEXMATCH(C5664, ""押金""), ""押金往來"",
  AND(E5664&lt;&gt;"""", F5664=""""), ""真實支出"",
  AND(E5664="""", F5664&lt;&gt;""""), ""真實收入"",
  TRUE, ""其他""
)"),"其他")</f>
        <v>其他</v>
      </c>
      <c r="K5664" s="270" t="str">
        <f t="shared" si="2"/>
        <v/>
      </c>
      <c r="L5664">
        <f t="shared" si="3"/>
        <v>0</v>
      </c>
    </row>
    <row r="5665">
      <c r="A5665" s="107"/>
      <c r="D5665" s="270"/>
      <c r="H5665" s="106" t="str">
        <f t="shared" si="1"/>
        <v/>
      </c>
      <c r="I5665" s="271" t="str">
        <f>IFERROR(__xludf.DUMMYFUNCTION("""COMPUTED_VALUE"""),"")</f>
        <v/>
      </c>
      <c r="J5665" t="str">
        <f>IFERROR(__xludf.DUMMYFUNCTION("IFS(
  AND(REGEXMATCH(E5665, ""台銀籌備帳戶|玉山帳戶""), REGEXMATCH(C5665, ""薪資"")), ""分潤支出"",
  AND(REGEXMATCH(E5665, ""Ben帳戶|Elsa帳戶|Ben代墊|Ariel代墊|中信銀行共用""), REGEXMATCH(F5665, ""Ben帳戶|Elsa帳戶|Ben代墊|Ariel代墊|中信銀行共用"")), ""內部轉帳(忽略)"",
  AND(E5665&lt;&gt;"""", F5665&lt;&gt;"""", N"&amp;"OT(REGEXMATCH(C5665, ""薪資""))), ""內部轉帳(忽略)"",
  REGEXMATCH(C5665, ""薪資""), ""薪資變動(不計入)"",
  REGEXMATCH(C5665, ""押金""), ""押金往來"",
  AND(E5665&lt;&gt;"""", F5665=""""), ""真實支出"",
  AND(E5665="""", F5665&lt;&gt;""""), ""真實收入"",
  TRUE, ""其他""
)"),"其他")</f>
        <v>其他</v>
      </c>
      <c r="K5665" s="270" t="str">
        <f t="shared" si="2"/>
        <v/>
      </c>
      <c r="L5665">
        <f t="shared" si="3"/>
        <v>0</v>
      </c>
    </row>
    <row r="5666">
      <c r="A5666" s="107"/>
      <c r="D5666" s="270"/>
      <c r="H5666" s="106" t="str">
        <f t="shared" si="1"/>
        <v/>
      </c>
      <c r="I5666" s="271" t="str">
        <f>IFERROR(__xludf.DUMMYFUNCTION("""COMPUTED_VALUE"""),"")</f>
        <v/>
      </c>
      <c r="J5666" t="str">
        <f>IFERROR(__xludf.DUMMYFUNCTION("IFS(
  AND(REGEXMATCH(E5666, ""台銀籌備帳戶|玉山帳戶""), REGEXMATCH(C5666, ""薪資"")), ""分潤支出"",
  AND(REGEXMATCH(E5666, ""Ben帳戶|Elsa帳戶|Ben代墊|Ariel代墊|中信銀行共用""), REGEXMATCH(F5666, ""Ben帳戶|Elsa帳戶|Ben代墊|Ariel代墊|中信銀行共用"")), ""內部轉帳(忽略)"",
  AND(E5666&lt;&gt;"""", F5666&lt;&gt;"""", N"&amp;"OT(REGEXMATCH(C5666, ""薪資""))), ""內部轉帳(忽略)"",
  REGEXMATCH(C5666, ""薪資""), ""薪資變動(不計入)"",
  REGEXMATCH(C5666, ""押金""), ""押金往來"",
  AND(E5666&lt;&gt;"""", F5666=""""), ""真實支出"",
  AND(E5666="""", F5666&lt;&gt;""""), ""真實收入"",
  TRUE, ""其他""
)"),"其他")</f>
        <v>其他</v>
      </c>
      <c r="K5666" s="270" t="str">
        <f t="shared" si="2"/>
        <v/>
      </c>
      <c r="L5666">
        <f t="shared" si="3"/>
        <v>0</v>
      </c>
    </row>
    <row r="5667">
      <c r="A5667" s="107"/>
      <c r="D5667" s="270"/>
      <c r="H5667" s="106" t="str">
        <f t="shared" si="1"/>
        <v/>
      </c>
      <c r="I5667" s="271" t="str">
        <f>IFERROR(__xludf.DUMMYFUNCTION("""COMPUTED_VALUE"""),"")</f>
        <v/>
      </c>
      <c r="J5667" t="str">
        <f>IFERROR(__xludf.DUMMYFUNCTION("IFS(
  AND(REGEXMATCH(E5667, ""台銀籌備帳戶|玉山帳戶""), REGEXMATCH(C5667, ""薪資"")), ""分潤支出"",
  AND(REGEXMATCH(E5667, ""Ben帳戶|Elsa帳戶|Ben代墊|Ariel代墊|中信銀行共用""), REGEXMATCH(F5667, ""Ben帳戶|Elsa帳戶|Ben代墊|Ariel代墊|中信銀行共用"")), ""內部轉帳(忽略)"",
  AND(E5667&lt;&gt;"""", F5667&lt;&gt;"""", N"&amp;"OT(REGEXMATCH(C5667, ""薪資""))), ""內部轉帳(忽略)"",
  REGEXMATCH(C5667, ""薪資""), ""薪資變動(不計入)"",
  REGEXMATCH(C5667, ""押金""), ""押金往來"",
  AND(E5667&lt;&gt;"""", F5667=""""), ""真實支出"",
  AND(E5667="""", F5667&lt;&gt;""""), ""真實收入"",
  TRUE, ""其他""
)"),"其他")</f>
        <v>其他</v>
      </c>
      <c r="K5667" s="270" t="str">
        <f t="shared" si="2"/>
        <v/>
      </c>
      <c r="L5667">
        <f t="shared" si="3"/>
        <v>0</v>
      </c>
    </row>
    <row r="5668">
      <c r="A5668" s="107"/>
      <c r="D5668" s="270"/>
      <c r="H5668" s="106" t="str">
        <f t="shared" si="1"/>
        <v/>
      </c>
      <c r="I5668" s="271" t="str">
        <f>IFERROR(__xludf.DUMMYFUNCTION("""COMPUTED_VALUE"""),"")</f>
        <v/>
      </c>
      <c r="J5668" t="str">
        <f>IFERROR(__xludf.DUMMYFUNCTION("IFS(
  AND(REGEXMATCH(E5668, ""台銀籌備帳戶|玉山帳戶""), REGEXMATCH(C5668, ""薪資"")), ""分潤支出"",
  AND(REGEXMATCH(E5668, ""Ben帳戶|Elsa帳戶|Ben代墊|Ariel代墊|中信銀行共用""), REGEXMATCH(F5668, ""Ben帳戶|Elsa帳戶|Ben代墊|Ariel代墊|中信銀行共用"")), ""內部轉帳(忽略)"",
  AND(E5668&lt;&gt;"""", F5668&lt;&gt;"""", N"&amp;"OT(REGEXMATCH(C5668, ""薪資""))), ""內部轉帳(忽略)"",
  REGEXMATCH(C5668, ""薪資""), ""薪資變動(不計入)"",
  REGEXMATCH(C5668, ""押金""), ""押金往來"",
  AND(E5668&lt;&gt;"""", F5668=""""), ""真實支出"",
  AND(E5668="""", F5668&lt;&gt;""""), ""真實收入"",
  TRUE, ""其他""
)"),"其他")</f>
        <v>其他</v>
      </c>
      <c r="K5668" s="270" t="str">
        <f t="shared" si="2"/>
        <v/>
      </c>
      <c r="L5668">
        <f t="shared" si="3"/>
        <v>0</v>
      </c>
    </row>
    <row r="5669">
      <c r="A5669" s="107"/>
      <c r="D5669" s="270"/>
      <c r="H5669" s="106" t="str">
        <f t="shared" si="1"/>
        <v/>
      </c>
      <c r="I5669" s="271" t="str">
        <f>IFERROR(__xludf.DUMMYFUNCTION("""COMPUTED_VALUE"""),"")</f>
        <v/>
      </c>
      <c r="J5669" t="str">
        <f>IFERROR(__xludf.DUMMYFUNCTION("IFS(
  AND(REGEXMATCH(E5669, ""台銀籌備帳戶|玉山帳戶""), REGEXMATCH(C5669, ""薪資"")), ""分潤支出"",
  AND(REGEXMATCH(E5669, ""Ben帳戶|Elsa帳戶|Ben代墊|Ariel代墊|中信銀行共用""), REGEXMATCH(F5669, ""Ben帳戶|Elsa帳戶|Ben代墊|Ariel代墊|中信銀行共用"")), ""內部轉帳(忽略)"",
  AND(E5669&lt;&gt;"""", F5669&lt;&gt;"""", N"&amp;"OT(REGEXMATCH(C5669, ""薪資""))), ""內部轉帳(忽略)"",
  REGEXMATCH(C5669, ""薪資""), ""薪資變動(不計入)"",
  REGEXMATCH(C5669, ""押金""), ""押金往來"",
  AND(E5669&lt;&gt;"""", F5669=""""), ""真實支出"",
  AND(E5669="""", F5669&lt;&gt;""""), ""真實收入"",
  TRUE, ""其他""
)"),"其他")</f>
        <v>其他</v>
      </c>
      <c r="K5669" s="270" t="str">
        <f t="shared" si="2"/>
        <v/>
      </c>
      <c r="L5669">
        <f t="shared" si="3"/>
        <v>0</v>
      </c>
    </row>
    <row r="5670">
      <c r="A5670" s="107"/>
      <c r="D5670" s="270"/>
      <c r="H5670" s="106" t="str">
        <f t="shared" si="1"/>
        <v/>
      </c>
      <c r="I5670" s="271" t="str">
        <f>IFERROR(__xludf.DUMMYFUNCTION("""COMPUTED_VALUE"""),"")</f>
        <v/>
      </c>
      <c r="J5670" t="str">
        <f>IFERROR(__xludf.DUMMYFUNCTION("IFS(
  AND(REGEXMATCH(E5670, ""台銀籌備帳戶|玉山帳戶""), REGEXMATCH(C5670, ""薪資"")), ""分潤支出"",
  AND(REGEXMATCH(E5670, ""Ben帳戶|Elsa帳戶|Ben代墊|Ariel代墊|中信銀行共用""), REGEXMATCH(F5670, ""Ben帳戶|Elsa帳戶|Ben代墊|Ariel代墊|中信銀行共用"")), ""內部轉帳(忽略)"",
  AND(E5670&lt;&gt;"""", F5670&lt;&gt;"""", N"&amp;"OT(REGEXMATCH(C5670, ""薪資""))), ""內部轉帳(忽略)"",
  REGEXMATCH(C5670, ""薪資""), ""薪資變動(不計入)"",
  REGEXMATCH(C5670, ""押金""), ""押金往來"",
  AND(E5670&lt;&gt;"""", F5670=""""), ""真實支出"",
  AND(E5670="""", F5670&lt;&gt;""""), ""真實收入"",
  TRUE, ""其他""
)"),"其他")</f>
        <v>其他</v>
      </c>
      <c r="K5670" s="270" t="str">
        <f t="shared" si="2"/>
        <v/>
      </c>
      <c r="L5670">
        <f t="shared" si="3"/>
        <v>0</v>
      </c>
    </row>
    <row r="5671">
      <c r="A5671" s="107"/>
      <c r="D5671" s="270"/>
      <c r="H5671" s="106" t="str">
        <f t="shared" si="1"/>
        <v/>
      </c>
      <c r="I5671" s="271" t="str">
        <f>IFERROR(__xludf.DUMMYFUNCTION("""COMPUTED_VALUE"""),"")</f>
        <v/>
      </c>
      <c r="J5671" t="str">
        <f>IFERROR(__xludf.DUMMYFUNCTION("IFS(
  AND(REGEXMATCH(E5671, ""台銀籌備帳戶|玉山帳戶""), REGEXMATCH(C5671, ""薪資"")), ""分潤支出"",
  AND(REGEXMATCH(E5671, ""Ben帳戶|Elsa帳戶|Ben代墊|Ariel代墊|中信銀行共用""), REGEXMATCH(F5671, ""Ben帳戶|Elsa帳戶|Ben代墊|Ariel代墊|中信銀行共用"")), ""內部轉帳(忽略)"",
  AND(E5671&lt;&gt;"""", F5671&lt;&gt;"""", N"&amp;"OT(REGEXMATCH(C5671, ""薪資""))), ""內部轉帳(忽略)"",
  REGEXMATCH(C5671, ""薪資""), ""薪資變動(不計入)"",
  REGEXMATCH(C5671, ""押金""), ""押金往來"",
  AND(E5671&lt;&gt;"""", F5671=""""), ""真實支出"",
  AND(E5671="""", F5671&lt;&gt;""""), ""真實收入"",
  TRUE, ""其他""
)"),"其他")</f>
        <v>其他</v>
      </c>
      <c r="K5671" s="270" t="str">
        <f t="shared" si="2"/>
        <v/>
      </c>
      <c r="L5671">
        <f t="shared" si="3"/>
        <v>0</v>
      </c>
    </row>
    <row r="5672">
      <c r="A5672" s="107"/>
      <c r="D5672" s="270"/>
      <c r="H5672" s="106" t="str">
        <f t="shared" si="1"/>
        <v/>
      </c>
      <c r="I5672" s="271" t="str">
        <f>IFERROR(__xludf.DUMMYFUNCTION("""COMPUTED_VALUE"""),"")</f>
        <v/>
      </c>
      <c r="J5672" t="str">
        <f>IFERROR(__xludf.DUMMYFUNCTION("IFS(
  AND(REGEXMATCH(E5672, ""台銀籌備帳戶|玉山帳戶""), REGEXMATCH(C5672, ""薪資"")), ""分潤支出"",
  AND(REGEXMATCH(E5672, ""Ben帳戶|Elsa帳戶|Ben代墊|Ariel代墊|中信銀行共用""), REGEXMATCH(F5672, ""Ben帳戶|Elsa帳戶|Ben代墊|Ariel代墊|中信銀行共用"")), ""內部轉帳(忽略)"",
  AND(E5672&lt;&gt;"""", F5672&lt;&gt;"""", N"&amp;"OT(REGEXMATCH(C5672, ""薪資""))), ""內部轉帳(忽略)"",
  REGEXMATCH(C5672, ""薪資""), ""薪資變動(不計入)"",
  REGEXMATCH(C5672, ""押金""), ""押金往來"",
  AND(E5672&lt;&gt;"""", F5672=""""), ""真實支出"",
  AND(E5672="""", F5672&lt;&gt;""""), ""真實收入"",
  TRUE, ""其他""
)"),"其他")</f>
        <v>其他</v>
      </c>
      <c r="K5672" s="270" t="str">
        <f t="shared" si="2"/>
        <v/>
      </c>
      <c r="L5672">
        <f t="shared" si="3"/>
        <v>0</v>
      </c>
    </row>
    <row r="5673">
      <c r="A5673" s="107"/>
      <c r="D5673" s="270"/>
      <c r="H5673" s="106" t="str">
        <f t="shared" si="1"/>
        <v/>
      </c>
      <c r="I5673" s="271" t="str">
        <f>IFERROR(__xludf.DUMMYFUNCTION("""COMPUTED_VALUE"""),"")</f>
        <v/>
      </c>
      <c r="J5673" t="str">
        <f>IFERROR(__xludf.DUMMYFUNCTION("IFS(
  AND(REGEXMATCH(E5673, ""台銀籌備帳戶|玉山帳戶""), REGEXMATCH(C5673, ""薪資"")), ""分潤支出"",
  AND(REGEXMATCH(E5673, ""Ben帳戶|Elsa帳戶|Ben代墊|Ariel代墊|中信銀行共用""), REGEXMATCH(F5673, ""Ben帳戶|Elsa帳戶|Ben代墊|Ariel代墊|中信銀行共用"")), ""內部轉帳(忽略)"",
  AND(E5673&lt;&gt;"""", F5673&lt;&gt;"""", N"&amp;"OT(REGEXMATCH(C5673, ""薪資""))), ""內部轉帳(忽略)"",
  REGEXMATCH(C5673, ""薪資""), ""薪資變動(不計入)"",
  REGEXMATCH(C5673, ""押金""), ""押金往來"",
  AND(E5673&lt;&gt;"""", F5673=""""), ""真實支出"",
  AND(E5673="""", F5673&lt;&gt;""""), ""真實收入"",
  TRUE, ""其他""
)"),"其他")</f>
        <v>其他</v>
      </c>
      <c r="K5673" s="270" t="str">
        <f t="shared" si="2"/>
        <v/>
      </c>
      <c r="L5673">
        <f t="shared" si="3"/>
        <v>0</v>
      </c>
    </row>
    <row r="5674">
      <c r="A5674" s="107"/>
      <c r="D5674" s="270"/>
      <c r="H5674" s="106" t="str">
        <f t="shared" si="1"/>
        <v/>
      </c>
      <c r="I5674" s="271" t="str">
        <f>IFERROR(__xludf.DUMMYFUNCTION("""COMPUTED_VALUE"""),"")</f>
        <v/>
      </c>
      <c r="J5674" t="str">
        <f>IFERROR(__xludf.DUMMYFUNCTION("IFS(
  AND(REGEXMATCH(E5674, ""台銀籌備帳戶|玉山帳戶""), REGEXMATCH(C5674, ""薪資"")), ""分潤支出"",
  AND(REGEXMATCH(E5674, ""Ben帳戶|Elsa帳戶|Ben代墊|Ariel代墊|中信銀行共用""), REGEXMATCH(F5674, ""Ben帳戶|Elsa帳戶|Ben代墊|Ariel代墊|中信銀行共用"")), ""內部轉帳(忽略)"",
  AND(E5674&lt;&gt;"""", F5674&lt;&gt;"""", N"&amp;"OT(REGEXMATCH(C5674, ""薪資""))), ""內部轉帳(忽略)"",
  REGEXMATCH(C5674, ""薪資""), ""薪資變動(不計入)"",
  REGEXMATCH(C5674, ""押金""), ""押金往來"",
  AND(E5674&lt;&gt;"""", F5674=""""), ""真實支出"",
  AND(E5674="""", F5674&lt;&gt;""""), ""真實收入"",
  TRUE, ""其他""
)"),"其他")</f>
        <v>其他</v>
      </c>
      <c r="K5674" s="270" t="str">
        <f t="shared" si="2"/>
        <v/>
      </c>
      <c r="L5674">
        <f t="shared" si="3"/>
        <v>0</v>
      </c>
    </row>
    <row r="5675">
      <c r="A5675" s="107"/>
      <c r="D5675" s="270"/>
      <c r="H5675" s="106" t="str">
        <f t="shared" si="1"/>
        <v/>
      </c>
      <c r="I5675" s="271" t="str">
        <f>IFERROR(__xludf.DUMMYFUNCTION("""COMPUTED_VALUE"""),"")</f>
        <v/>
      </c>
      <c r="J5675" t="str">
        <f>IFERROR(__xludf.DUMMYFUNCTION("IFS(
  AND(REGEXMATCH(E5675, ""台銀籌備帳戶|玉山帳戶""), REGEXMATCH(C5675, ""薪資"")), ""分潤支出"",
  AND(REGEXMATCH(E5675, ""Ben帳戶|Elsa帳戶|Ben代墊|Ariel代墊|中信銀行共用""), REGEXMATCH(F5675, ""Ben帳戶|Elsa帳戶|Ben代墊|Ariel代墊|中信銀行共用"")), ""內部轉帳(忽略)"",
  AND(E5675&lt;&gt;"""", F5675&lt;&gt;"""", N"&amp;"OT(REGEXMATCH(C5675, ""薪資""))), ""內部轉帳(忽略)"",
  REGEXMATCH(C5675, ""薪資""), ""薪資變動(不計入)"",
  REGEXMATCH(C5675, ""押金""), ""押金往來"",
  AND(E5675&lt;&gt;"""", F5675=""""), ""真實支出"",
  AND(E5675="""", F5675&lt;&gt;""""), ""真實收入"",
  TRUE, ""其他""
)"),"其他")</f>
        <v>其他</v>
      </c>
      <c r="K5675" s="270" t="str">
        <f t="shared" si="2"/>
        <v/>
      </c>
      <c r="L5675">
        <f t="shared" si="3"/>
        <v>0</v>
      </c>
    </row>
    <row r="5676">
      <c r="A5676" s="107"/>
      <c r="D5676" s="270"/>
      <c r="H5676" s="106" t="str">
        <f t="shared" si="1"/>
        <v/>
      </c>
      <c r="I5676" s="271" t="str">
        <f>IFERROR(__xludf.DUMMYFUNCTION("""COMPUTED_VALUE"""),"")</f>
        <v/>
      </c>
      <c r="J5676" t="str">
        <f>IFERROR(__xludf.DUMMYFUNCTION("IFS(
  AND(REGEXMATCH(E5676, ""台銀籌備帳戶|玉山帳戶""), REGEXMATCH(C5676, ""薪資"")), ""分潤支出"",
  AND(REGEXMATCH(E5676, ""Ben帳戶|Elsa帳戶|Ben代墊|Ariel代墊|中信銀行共用""), REGEXMATCH(F5676, ""Ben帳戶|Elsa帳戶|Ben代墊|Ariel代墊|中信銀行共用"")), ""內部轉帳(忽略)"",
  AND(E5676&lt;&gt;"""", F5676&lt;&gt;"""", N"&amp;"OT(REGEXMATCH(C5676, ""薪資""))), ""內部轉帳(忽略)"",
  REGEXMATCH(C5676, ""薪資""), ""薪資變動(不計入)"",
  REGEXMATCH(C5676, ""押金""), ""押金往來"",
  AND(E5676&lt;&gt;"""", F5676=""""), ""真實支出"",
  AND(E5676="""", F5676&lt;&gt;""""), ""真實收入"",
  TRUE, ""其他""
)"),"其他")</f>
        <v>其他</v>
      </c>
      <c r="K5676" s="270" t="str">
        <f t="shared" si="2"/>
        <v/>
      </c>
      <c r="L5676">
        <f t="shared" si="3"/>
        <v>0</v>
      </c>
    </row>
    <row r="5677">
      <c r="A5677" s="107"/>
      <c r="D5677" s="270"/>
      <c r="H5677" s="106" t="str">
        <f t="shared" si="1"/>
        <v/>
      </c>
      <c r="I5677" s="271" t="str">
        <f>IFERROR(__xludf.DUMMYFUNCTION("""COMPUTED_VALUE"""),"")</f>
        <v/>
      </c>
      <c r="J5677" t="str">
        <f>IFERROR(__xludf.DUMMYFUNCTION("IFS(
  AND(REGEXMATCH(E5677, ""台銀籌備帳戶|玉山帳戶""), REGEXMATCH(C5677, ""薪資"")), ""分潤支出"",
  AND(REGEXMATCH(E5677, ""Ben帳戶|Elsa帳戶|Ben代墊|Ariel代墊|中信銀行共用""), REGEXMATCH(F5677, ""Ben帳戶|Elsa帳戶|Ben代墊|Ariel代墊|中信銀行共用"")), ""內部轉帳(忽略)"",
  AND(E5677&lt;&gt;"""", F5677&lt;&gt;"""", N"&amp;"OT(REGEXMATCH(C5677, ""薪資""))), ""內部轉帳(忽略)"",
  REGEXMATCH(C5677, ""薪資""), ""薪資變動(不計入)"",
  REGEXMATCH(C5677, ""押金""), ""押金往來"",
  AND(E5677&lt;&gt;"""", F5677=""""), ""真實支出"",
  AND(E5677="""", F5677&lt;&gt;""""), ""真實收入"",
  TRUE, ""其他""
)"),"其他")</f>
        <v>其他</v>
      </c>
      <c r="K5677" s="270" t="str">
        <f t="shared" si="2"/>
        <v/>
      </c>
      <c r="L5677">
        <f t="shared" si="3"/>
        <v>0</v>
      </c>
    </row>
    <row r="5678">
      <c r="A5678" s="107"/>
      <c r="D5678" s="270"/>
      <c r="H5678" s="106" t="str">
        <f t="shared" si="1"/>
        <v/>
      </c>
      <c r="I5678" s="271" t="str">
        <f>IFERROR(__xludf.DUMMYFUNCTION("""COMPUTED_VALUE"""),"")</f>
        <v/>
      </c>
      <c r="J5678" t="str">
        <f>IFERROR(__xludf.DUMMYFUNCTION("IFS(
  AND(REGEXMATCH(E5678, ""台銀籌備帳戶|玉山帳戶""), REGEXMATCH(C5678, ""薪資"")), ""分潤支出"",
  AND(REGEXMATCH(E5678, ""Ben帳戶|Elsa帳戶|Ben代墊|Ariel代墊|中信銀行共用""), REGEXMATCH(F5678, ""Ben帳戶|Elsa帳戶|Ben代墊|Ariel代墊|中信銀行共用"")), ""內部轉帳(忽略)"",
  AND(E5678&lt;&gt;"""", F5678&lt;&gt;"""", N"&amp;"OT(REGEXMATCH(C5678, ""薪資""))), ""內部轉帳(忽略)"",
  REGEXMATCH(C5678, ""薪資""), ""薪資變動(不計入)"",
  REGEXMATCH(C5678, ""押金""), ""押金往來"",
  AND(E5678&lt;&gt;"""", F5678=""""), ""真實支出"",
  AND(E5678="""", F5678&lt;&gt;""""), ""真實收入"",
  TRUE, ""其他""
)"),"其他")</f>
        <v>其他</v>
      </c>
      <c r="K5678" s="270" t="str">
        <f t="shared" si="2"/>
        <v/>
      </c>
      <c r="L5678">
        <f t="shared" si="3"/>
        <v>0</v>
      </c>
    </row>
    <row r="5679">
      <c r="A5679" s="107"/>
      <c r="D5679" s="270"/>
      <c r="H5679" s="106" t="str">
        <f t="shared" si="1"/>
        <v/>
      </c>
      <c r="I5679" s="271" t="str">
        <f>IFERROR(__xludf.DUMMYFUNCTION("""COMPUTED_VALUE"""),"")</f>
        <v/>
      </c>
      <c r="J5679" t="str">
        <f>IFERROR(__xludf.DUMMYFUNCTION("IFS(
  AND(REGEXMATCH(E5679, ""台銀籌備帳戶|玉山帳戶""), REGEXMATCH(C5679, ""薪資"")), ""分潤支出"",
  AND(REGEXMATCH(E5679, ""Ben帳戶|Elsa帳戶|Ben代墊|Ariel代墊|中信銀行共用""), REGEXMATCH(F5679, ""Ben帳戶|Elsa帳戶|Ben代墊|Ariel代墊|中信銀行共用"")), ""內部轉帳(忽略)"",
  AND(E5679&lt;&gt;"""", F5679&lt;&gt;"""", N"&amp;"OT(REGEXMATCH(C5679, ""薪資""))), ""內部轉帳(忽略)"",
  REGEXMATCH(C5679, ""薪資""), ""薪資變動(不計入)"",
  REGEXMATCH(C5679, ""押金""), ""押金往來"",
  AND(E5679&lt;&gt;"""", F5679=""""), ""真實支出"",
  AND(E5679="""", F5679&lt;&gt;""""), ""真實收入"",
  TRUE, ""其他""
)"),"其他")</f>
        <v>其他</v>
      </c>
      <c r="K5679" s="270" t="str">
        <f t="shared" si="2"/>
        <v/>
      </c>
      <c r="L5679">
        <f t="shared" si="3"/>
        <v>0</v>
      </c>
    </row>
    <row r="5680">
      <c r="A5680" s="107"/>
      <c r="D5680" s="270"/>
      <c r="H5680" s="106" t="str">
        <f t="shared" si="1"/>
        <v/>
      </c>
      <c r="I5680" s="271" t="str">
        <f>IFERROR(__xludf.DUMMYFUNCTION("""COMPUTED_VALUE"""),"")</f>
        <v/>
      </c>
      <c r="J5680" t="str">
        <f>IFERROR(__xludf.DUMMYFUNCTION("IFS(
  AND(REGEXMATCH(E5680, ""台銀籌備帳戶|玉山帳戶""), REGEXMATCH(C5680, ""薪資"")), ""分潤支出"",
  AND(REGEXMATCH(E5680, ""Ben帳戶|Elsa帳戶|Ben代墊|Ariel代墊|中信銀行共用""), REGEXMATCH(F5680, ""Ben帳戶|Elsa帳戶|Ben代墊|Ariel代墊|中信銀行共用"")), ""內部轉帳(忽略)"",
  AND(E5680&lt;&gt;"""", F5680&lt;&gt;"""", N"&amp;"OT(REGEXMATCH(C5680, ""薪資""))), ""內部轉帳(忽略)"",
  REGEXMATCH(C5680, ""薪資""), ""薪資變動(不計入)"",
  REGEXMATCH(C5680, ""押金""), ""押金往來"",
  AND(E5680&lt;&gt;"""", F5680=""""), ""真實支出"",
  AND(E5680="""", F5680&lt;&gt;""""), ""真實收入"",
  TRUE, ""其他""
)"),"其他")</f>
        <v>其他</v>
      </c>
      <c r="K5680" s="270" t="str">
        <f t="shared" si="2"/>
        <v/>
      </c>
      <c r="L5680">
        <f t="shared" si="3"/>
        <v>0</v>
      </c>
    </row>
    <row r="5681">
      <c r="A5681" s="107"/>
      <c r="D5681" s="270"/>
      <c r="H5681" s="106" t="str">
        <f t="shared" si="1"/>
        <v/>
      </c>
      <c r="I5681" s="271" t="str">
        <f>IFERROR(__xludf.DUMMYFUNCTION("""COMPUTED_VALUE"""),"")</f>
        <v/>
      </c>
      <c r="J5681" t="str">
        <f>IFERROR(__xludf.DUMMYFUNCTION("IFS(
  AND(REGEXMATCH(E5681, ""台銀籌備帳戶|玉山帳戶""), REGEXMATCH(C5681, ""薪資"")), ""分潤支出"",
  AND(REGEXMATCH(E5681, ""Ben帳戶|Elsa帳戶|Ben代墊|Ariel代墊|中信銀行共用""), REGEXMATCH(F5681, ""Ben帳戶|Elsa帳戶|Ben代墊|Ariel代墊|中信銀行共用"")), ""內部轉帳(忽略)"",
  AND(E5681&lt;&gt;"""", F5681&lt;&gt;"""", N"&amp;"OT(REGEXMATCH(C5681, ""薪資""))), ""內部轉帳(忽略)"",
  REGEXMATCH(C5681, ""薪資""), ""薪資變動(不計入)"",
  REGEXMATCH(C5681, ""押金""), ""押金往來"",
  AND(E5681&lt;&gt;"""", F5681=""""), ""真實支出"",
  AND(E5681="""", F5681&lt;&gt;""""), ""真實收入"",
  TRUE, ""其他""
)"),"其他")</f>
        <v>其他</v>
      </c>
      <c r="K5681" s="270" t="str">
        <f t="shared" si="2"/>
        <v/>
      </c>
      <c r="L5681">
        <f t="shared" si="3"/>
        <v>0</v>
      </c>
    </row>
    <row r="5682">
      <c r="A5682" s="107"/>
      <c r="D5682" s="270"/>
      <c r="H5682" s="106" t="str">
        <f t="shared" si="1"/>
        <v/>
      </c>
      <c r="I5682" s="271" t="str">
        <f>IFERROR(__xludf.DUMMYFUNCTION("""COMPUTED_VALUE"""),"")</f>
        <v/>
      </c>
      <c r="J5682" t="str">
        <f>IFERROR(__xludf.DUMMYFUNCTION("IFS(
  AND(REGEXMATCH(E5682, ""台銀籌備帳戶|玉山帳戶""), REGEXMATCH(C5682, ""薪資"")), ""分潤支出"",
  AND(REGEXMATCH(E5682, ""Ben帳戶|Elsa帳戶|Ben代墊|Ariel代墊|中信銀行共用""), REGEXMATCH(F5682, ""Ben帳戶|Elsa帳戶|Ben代墊|Ariel代墊|中信銀行共用"")), ""內部轉帳(忽略)"",
  AND(E5682&lt;&gt;"""", F5682&lt;&gt;"""", N"&amp;"OT(REGEXMATCH(C5682, ""薪資""))), ""內部轉帳(忽略)"",
  REGEXMATCH(C5682, ""薪資""), ""薪資變動(不計入)"",
  REGEXMATCH(C5682, ""押金""), ""押金往來"",
  AND(E5682&lt;&gt;"""", F5682=""""), ""真實支出"",
  AND(E5682="""", F5682&lt;&gt;""""), ""真實收入"",
  TRUE, ""其他""
)"),"其他")</f>
        <v>其他</v>
      </c>
      <c r="K5682" s="270" t="str">
        <f t="shared" si="2"/>
        <v/>
      </c>
      <c r="L5682">
        <f t="shared" si="3"/>
        <v>0</v>
      </c>
    </row>
    <row r="5683">
      <c r="A5683" s="107"/>
      <c r="D5683" s="270"/>
      <c r="H5683" s="106" t="str">
        <f t="shared" si="1"/>
        <v/>
      </c>
      <c r="I5683" s="271" t="str">
        <f>IFERROR(__xludf.DUMMYFUNCTION("""COMPUTED_VALUE"""),"")</f>
        <v/>
      </c>
      <c r="J5683" t="str">
        <f>IFERROR(__xludf.DUMMYFUNCTION("IFS(
  AND(REGEXMATCH(E5683, ""台銀籌備帳戶|玉山帳戶""), REGEXMATCH(C5683, ""薪資"")), ""分潤支出"",
  AND(REGEXMATCH(E5683, ""Ben帳戶|Elsa帳戶|Ben代墊|Ariel代墊|中信銀行共用""), REGEXMATCH(F5683, ""Ben帳戶|Elsa帳戶|Ben代墊|Ariel代墊|中信銀行共用"")), ""內部轉帳(忽略)"",
  AND(E5683&lt;&gt;"""", F5683&lt;&gt;"""", N"&amp;"OT(REGEXMATCH(C5683, ""薪資""))), ""內部轉帳(忽略)"",
  REGEXMATCH(C5683, ""薪資""), ""薪資變動(不計入)"",
  REGEXMATCH(C5683, ""押金""), ""押金往來"",
  AND(E5683&lt;&gt;"""", F5683=""""), ""真實支出"",
  AND(E5683="""", F5683&lt;&gt;""""), ""真實收入"",
  TRUE, ""其他""
)"),"其他")</f>
        <v>其他</v>
      </c>
      <c r="K5683" s="270" t="str">
        <f t="shared" si="2"/>
        <v/>
      </c>
      <c r="L5683">
        <f t="shared" si="3"/>
        <v>0</v>
      </c>
    </row>
    <row r="5684">
      <c r="A5684" s="107"/>
      <c r="D5684" s="270"/>
      <c r="H5684" s="106" t="str">
        <f t="shared" si="1"/>
        <v/>
      </c>
      <c r="I5684" s="271" t="str">
        <f>IFERROR(__xludf.DUMMYFUNCTION("""COMPUTED_VALUE"""),"")</f>
        <v/>
      </c>
      <c r="J5684" t="str">
        <f>IFERROR(__xludf.DUMMYFUNCTION("IFS(
  AND(REGEXMATCH(E5684, ""台銀籌備帳戶|玉山帳戶""), REGEXMATCH(C5684, ""薪資"")), ""分潤支出"",
  AND(REGEXMATCH(E5684, ""Ben帳戶|Elsa帳戶|Ben代墊|Ariel代墊|中信銀行共用""), REGEXMATCH(F5684, ""Ben帳戶|Elsa帳戶|Ben代墊|Ariel代墊|中信銀行共用"")), ""內部轉帳(忽略)"",
  AND(E5684&lt;&gt;"""", F5684&lt;&gt;"""", N"&amp;"OT(REGEXMATCH(C5684, ""薪資""))), ""內部轉帳(忽略)"",
  REGEXMATCH(C5684, ""薪資""), ""薪資變動(不計入)"",
  REGEXMATCH(C5684, ""押金""), ""押金往來"",
  AND(E5684&lt;&gt;"""", F5684=""""), ""真實支出"",
  AND(E5684="""", F5684&lt;&gt;""""), ""真實收入"",
  TRUE, ""其他""
)"),"其他")</f>
        <v>其他</v>
      </c>
      <c r="K5684" s="270" t="str">
        <f t="shared" si="2"/>
        <v/>
      </c>
      <c r="L5684">
        <f t="shared" si="3"/>
        <v>0</v>
      </c>
    </row>
    <row r="5685">
      <c r="A5685" s="107"/>
      <c r="D5685" s="270"/>
      <c r="H5685" s="106" t="str">
        <f t="shared" si="1"/>
        <v/>
      </c>
      <c r="I5685" s="271" t="str">
        <f>IFERROR(__xludf.DUMMYFUNCTION("""COMPUTED_VALUE"""),"")</f>
        <v/>
      </c>
      <c r="J5685" t="str">
        <f>IFERROR(__xludf.DUMMYFUNCTION("IFS(
  AND(REGEXMATCH(E5685, ""台銀籌備帳戶|玉山帳戶""), REGEXMATCH(C5685, ""薪資"")), ""分潤支出"",
  AND(REGEXMATCH(E5685, ""Ben帳戶|Elsa帳戶|Ben代墊|Ariel代墊|中信銀行共用""), REGEXMATCH(F5685, ""Ben帳戶|Elsa帳戶|Ben代墊|Ariel代墊|中信銀行共用"")), ""內部轉帳(忽略)"",
  AND(E5685&lt;&gt;"""", F5685&lt;&gt;"""", N"&amp;"OT(REGEXMATCH(C5685, ""薪資""))), ""內部轉帳(忽略)"",
  REGEXMATCH(C5685, ""薪資""), ""薪資變動(不計入)"",
  REGEXMATCH(C5685, ""押金""), ""押金往來"",
  AND(E5685&lt;&gt;"""", F5685=""""), ""真實支出"",
  AND(E5685="""", F5685&lt;&gt;""""), ""真實收入"",
  TRUE, ""其他""
)"),"其他")</f>
        <v>其他</v>
      </c>
      <c r="K5685" s="270" t="str">
        <f t="shared" si="2"/>
        <v/>
      </c>
      <c r="L5685">
        <f t="shared" si="3"/>
        <v>0</v>
      </c>
    </row>
    <row r="5686">
      <c r="A5686" s="107"/>
      <c r="D5686" s="270"/>
      <c r="H5686" s="106" t="str">
        <f t="shared" si="1"/>
        <v/>
      </c>
      <c r="I5686" s="271" t="str">
        <f>IFERROR(__xludf.DUMMYFUNCTION("""COMPUTED_VALUE"""),"")</f>
        <v/>
      </c>
      <c r="J5686" t="str">
        <f>IFERROR(__xludf.DUMMYFUNCTION("IFS(
  AND(REGEXMATCH(E5686, ""台銀籌備帳戶|玉山帳戶""), REGEXMATCH(C5686, ""薪資"")), ""分潤支出"",
  AND(REGEXMATCH(E5686, ""Ben帳戶|Elsa帳戶|Ben代墊|Ariel代墊|中信銀行共用""), REGEXMATCH(F5686, ""Ben帳戶|Elsa帳戶|Ben代墊|Ariel代墊|中信銀行共用"")), ""內部轉帳(忽略)"",
  AND(E5686&lt;&gt;"""", F5686&lt;&gt;"""", N"&amp;"OT(REGEXMATCH(C5686, ""薪資""))), ""內部轉帳(忽略)"",
  REGEXMATCH(C5686, ""薪資""), ""薪資變動(不計入)"",
  REGEXMATCH(C5686, ""押金""), ""押金往來"",
  AND(E5686&lt;&gt;"""", F5686=""""), ""真實支出"",
  AND(E5686="""", F5686&lt;&gt;""""), ""真實收入"",
  TRUE, ""其他""
)"),"其他")</f>
        <v>其他</v>
      </c>
      <c r="K5686" s="270" t="str">
        <f t="shared" si="2"/>
        <v/>
      </c>
      <c r="L5686">
        <f t="shared" si="3"/>
        <v>0</v>
      </c>
    </row>
    <row r="5687">
      <c r="A5687" s="107"/>
      <c r="D5687" s="270"/>
      <c r="H5687" s="106" t="str">
        <f t="shared" si="1"/>
        <v/>
      </c>
      <c r="I5687" s="271" t="str">
        <f>IFERROR(__xludf.DUMMYFUNCTION("""COMPUTED_VALUE"""),"")</f>
        <v/>
      </c>
      <c r="J5687" t="str">
        <f>IFERROR(__xludf.DUMMYFUNCTION("IFS(
  AND(REGEXMATCH(E5687, ""台銀籌備帳戶|玉山帳戶""), REGEXMATCH(C5687, ""薪資"")), ""分潤支出"",
  AND(REGEXMATCH(E5687, ""Ben帳戶|Elsa帳戶|Ben代墊|Ariel代墊|中信銀行共用""), REGEXMATCH(F5687, ""Ben帳戶|Elsa帳戶|Ben代墊|Ariel代墊|中信銀行共用"")), ""內部轉帳(忽略)"",
  AND(E5687&lt;&gt;"""", F5687&lt;&gt;"""", N"&amp;"OT(REGEXMATCH(C5687, ""薪資""))), ""內部轉帳(忽略)"",
  REGEXMATCH(C5687, ""薪資""), ""薪資變動(不計入)"",
  REGEXMATCH(C5687, ""押金""), ""押金往來"",
  AND(E5687&lt;&gt;"""", F5687=""""), ""真實支出"",
  AND(E5687="""", F5687&lt;&gt;""""), ""真實收入"",
  TRUE, ""其他""
)"),"其他")</f>
        <v>其他</v>
      </c>
      <c r="K5687" s="270" t="str">
        <f t="shared" si="2"/>
        <v/>
      </c>
      <c r="L5687">
        <f t="shared" si="3"/>
        <v>0</v>
      </c>
    </row>
    <row r="5688">
      <c r="A5688" s="107"/>
      <c r="D5688" s="270"/>
      <c r="H5688" s="106" t="str">
        <f t="shared" si="1"/>
        <v/>
      </c>
      <c r="I5688" s="271" t="str">
        <f>IFERROR(__xludf.DUMMYFUNCTION("""COMPUTED_VALUE"""),"")</f>
        <v/>
      </c>
      <c r="J5688" t="str">
        <f>IFERROR(__xludf.DUMMYFUNCTION("IFS(
  AND(REGEXMATCH(E5688, ""台銀籌備帳戶|玉山帳戶""), REGEXMATCH(C5688, ""薪資"")), ""分潤支出"",
  AND(REGEXMATCH(E5688, ""Ben帳戶|Elsa帳戶|Ben代墊|Ariel代墊|中信銀行共用""), REGEXMATCH(F5688, ""Ben帳戶|Elsa帳戶|Ben代墊|Ariel代墊|中信銀行共用"")), ""內部轉帳(忽略)"",
  AND(E5688&lt;&gt;"""", F5688&lt;&gt;"""", N"&amp;"OT(REGEXMATCH(C5688, ""薪資""))), ""內部轉帳(忽略)"",
  REGEXMATCH(C5688, ""薪資""), ""薪資變動(不計入)"",
  REGEXMATCH(C5688, ""押金""), ""押金往來"",
  AND(E5688&lt;&gt;"""", F5688=""""), ""真實支出"",
  AND(E5688="""", F5688&lt;&gt;""""), ""真實收入"",
  TRUE, ""其他""
)"),"其他")</f>
        <v>其他</v>
      </c>
      <c r="K5688" s="270" t="str">
        <f t="shared" si="2"/>
        <v/>
      </c>
      <c r="L5688">
        <f t="shared" si="3"/>
        <v>0</v>
      </c>
    </row>
    <row r="5689">
      <c r="A5689" s="107"/>
      <c r="D5689" s="270"/>
      <c r="H5689" s="106" t="str">
        <f t="shared" si="1"/>
        <v/>
      </c>
      <c r="I5689" s="271" t="str">
        <f>IFERROR(__xludf.DUMMYFUNCTION("""COMPUTED_VALUE"""),"")</f>
        <v/>
      </c>
      <c r="J5689" t="str">
        <f>IFERROR(__xludf.DUMMYFUNCTION("IFS(
  AND(REGEXMATCH(E5689, ""台銀籌備帳戶|玉山帳戶""), REGEXMATCH(C5689, ""薪資"")), ""分潤支出"",
  AND(REGEXMATCH(E5689, ""Ben帳戶|Elsa帳戶|Ben代墊|Ariel代墊|中信銀行共用""), REGEXMATCH(F5689, ""Ben帳戶|Elsa帳戶|Ben代墊|Ariel代墊|中信銀行共用"")), ""內部轉帳(忽略)"",
  AND(E5689&lt;&gt;"""", F5689&lt;&gt;"""", N"&amp;"OT(REGEXMATCH(C5689, ""薪資""))), ""內部轉帳(忽略)"",
  REGEXMATCH(C5689, ""薪資""), ""薪資變動(不計入)"",
  REGEXMATCH(C5689, ""押金""), ""押金往來"",
  AND(E5689&lt;&gt;"""", F5689=""""), ""真實支出"",
  AND(E5689="""", F5689&lt;&gt;""""), ""真實收入"",
  TRUE, ""其他""
)"),"其他")</f>
        <v>其他</v>
      </c>
      <c r="K5689" s="270" t="str">
        <f t="shared" si="2"/>
        <v/>
      </c>
      <c r="L5689">
        <f t="shared" si="3"/>
        <v>0</v>
      </c>
    </row>
    <row r="5690">
      <c r="A5690" s="107"/>
      <c r="D5690" s="270"/>
      <c r="H5690" s="106" t="str">
        <f t="shared" si="1"/>
        <v/>
      </c>
      <c r="I5690" s="271" t="str">
        <f>IFERROR(__xludf.DUMMYFUNCTION("""COMPUTED_VALUE"""),"")</f>
        <v/>
      </c>
      <c r="J5690" t="str">
        <f>IFERROR(__xludf.DUMMYFUNCTION("IFS(
  AND(REGEXMATCH(E5690, ""台銀籌備帳戶|玉山帳戶""), REGEXMATCH(C5690, ""薪資"")), ""分潤支出"",
  AND(REGEXMATCH(E5690, ""Ben帳戶|Elsa帳戶|Ben代墊|Ariel代墊|中信銀行共用""), REGEXMATCH(F5690, ""Ben帳戶|Elsa帳戶|Ben代墊|Ariel代墊|中信銀行共用"")), ""內部轉帳(忽略)"",
  AND(E5690&lt;&gt;"""", F5690&lt;&gt;"""", N"&amp;"OT(REGEXMATCH(C5690, ""薪資""))), ""內部轉帳(忽略)"",
  REGEXMATCH(C5690, ""薪資""), ""薪資變動(不計入)"",
  REGEXMATCH(C5690, ""押金""), ""押金往來"",
  AND(E5690&lt;&gt;"""", F5690=""""), ""真實支出"",
  AND(E5690="""", F5690&lt;&gt;""""), ""真實收入"",
  TRUE, ""其他""
)"),"其他")</f>
        <v>其他</v>
      </c>
      <c r="K5690" s="270" t="str">
        <f t="shared" si="2"/>
        <v/>
      </c>
      <c r="L5690">
        <f t="shared" si="3"/>
        <v>0</v>
      </c>
    </row>
    <row r="5691">
      <c r="A5691" s="107"/>
      <c r="D5691" s="270"/>
      <c r="H5691" s="106" t="str">
        <f t="shared" si="1"/>
        <v/>
      </c>
      <c r="I5691" s="271" t="str">
        <f>IFERROR(__xludf.DUMMYFUNCTION("""COMPUTED_VALUE"""),"")</f>
        <v/>
      </c>
      <c r="J5691" t="str">
        <f>IFERROR(__xludf.DUMMYFUNCTION("IFS(
  AND(REGEXMATCH(E5691, ""台銀籌備帳戶|玉山帳戶""), REGEXMATCH(C5691, ""薪資"")), ""分潤支出"",
  AND(REGEXMATCH(E5691, ""Ben帳戶|Elsa帳戶|Ben代墊|Ariel代墊|中信銀行共用""), REGEXMATCH(F5691, ""Ben帳戶|Elsa帳戶|Ben代墊|Ariel代墊|中信銀行共用"")), ""內部轉帳(忽略)"",
  AND(E5691&lt;&gt;"""", F5691&lt;&gt;"""", N"&amp;"OT(REGEXMATCH(C5691, ""薪資""))), ""內部轉帳(忽略)"",
  REGEXMATCH(C5691, ""薪資""), ""薪資變動(不計入)"",
  REGEXMATCH(C5691, ""押金""), ""押金往來"",
  AND(E5691&lt;&gt;"""", F5691=""""), ""真實支出"",
  AND(E5691="""", F5691&lt;&gt;""""), ""真實收入"",
  TRUE, ""其他""
)"),"其他")</f>
        <v>其他</v>
      </c>
      <c r="K5691" s="270" t="str">
        <f t="shared" si="2"/>
        <v/>
      </c>
      <c r="L5691">
        <f t="shared" si="3"/>
        <v>0</v>
      </c>
    </row>
    <row r="5692">
      <c r="A5692" s="107"/>
      <c r="D5692" s="270"/>
      <c r="H5692" s="106" t="str">
        <f t="shared" si="1"/>
        <v/>
      </c>
      <c r="I5692" s="271" t="str">
        <f>IFERROR(__xludf.DUMMYFUNCTION("""COMPUTED_VALUE"""),"")</f>
        <v/>
      </c>
      <c r="J5692" t="str">
        <f>IFERROR(__xludf.DUMMYFUNCTION("IFS(
  AND(REGEXMATCH(E5692, ""台銀籌備帳戶|玉山帳戶""), REGEXMATCH(C5692, ""薪資"")), ""分潤支出"",
  AND(REGEXMATCH(E5692, ""Ben帳戶|Elsa帳戶|Ben代墊|Ariel代墊|中信銀行共用""), REGEXMATCH(F5692, ""Ben帳戶|Elsa帳戶|Ben代墊|Ariel代墊|中信銀行共用"")), ""內部轉帳(忽略)"",
  AND(E5692&lt;&gt;"""", F5692&lt;&gt;"""", N"&amp;"OT(REGEXMATCH(C5692, ""薪資""))), ""內部轉帳(忽略)"",
  REGEXMATCH(C5692, ""薪資""), ""薪資變動(不計入)"",
  REGEXMATCH(C5692, ""押金""), ""押金往來"",
  AND(E5692&lt;&gt;"""", F5692=""""), ""真實支出"",
  AND(E5692="""", F5692&lt;&gt;""""), ""真實收入"",
  TRUE, ""其他""
)"),"其他")</f>
        <v>其他</v>
      </c>
      <c r="K5692" s="270" t="str">
        <f t="shared" si="2"/>
        <v/>
      </c>
      <c r="L5692">
        <f t="shared" si="3"/>
        <v>0</v>
      </c>
    </row>
    <row r="5693">
      <c r="A5693" s="107"/>
      <c r="D5693" s="270"/>
      <c r="H5693" s="106" t="str">
        <f t="shared" si="1"/>
        <v/>
      </c>
      <c r="I5693" s="271" t="str">
        <f>IFERROR(__xludf.DUMMYFUNCTION("""COMPUTED_VALUE"""),"")</f>
        <v/>
      </c>
      <c r="J5693" t="str">
        <f>IFERROR(__xludf.DUMMYFUNCTION("IFS(
  AND(REGEXMATCH(E5693, ""台銀籌備帳戶|玉山帳戶""), REGEXMATCH(C5693, ""薪資"")), ""分潤支出"",
  AND(REGEXMATCH(E5693, ""Ben帳戶|Elsa帳戶|Ben代墊|Ariel代墊|中信銀行共用""), REGEXMATCH(F5693, ""Ben帳戶|Elsa帳戶|Ben代墊|Ariel代墊|中信銀行共用"")), ""內部轉帳(忽略)"",
  AND(E5693&lt;&gt;"""", F5693&lt;&gt;"""", N"&amp;"OT(REGEXMATCH(C5693, ""薪資""))), ""內部轉帳(忽略)"",
  REGEXMATCH(C5693, ""薪資""), ""薪資變動(不計入)"",
  REGEXMATCH(C5693, ""押金""), ""押金往來"",
  AND(E5693&lt;&gt;"""", F5693=""""), ""真實支出"",
  AND(E5693="""", F5693&lt;&gt;""""), ""真實收入"",
  TRUE, ""其他""
)"),"其他")</f>
        <v>其他</v>
      </c>
      <c r="K5693" s="270" t="str">
        <f t="shared" si="2"/>
        <v/>
      </c>
      <c r="L5693">
        <f t="shared" si="3"/>
        <v>0</v>
      </c>
    </row>
    <row r="5694">
      <c r="A5694" s="107"/>
      <c r="D5694" s="270"/>
      <c r="H5694" s="106" t="str">
        <f t="shared" si="1"/>
        <v/>
      </c>
      <c r="I5694" s="271" t="str">
        <f>IFERROR(__xludf.DUMMYFUNCTION("""COMPUTED_VALUE"""),"")</f>
        <v/>
      </c>
      <c r="J5694" t="str">
        <f>IFERROR(__xludf.DUMMYFUNCTION("IFS(
  AND(REGEXMATCH(E5694, ""台銀籌備帳戶|玉山帳戶""), REGEXMATCH(C5694, ""薪資"")), ""分潤支出"",
  AND(REGEXMATCH(E5694, ""Ben帳戶|Elsa帳戶|Ben代墊|Ariel代墊|中信銀行共用""), REGEXMATCH(F5694, ""Ben帳戶|Elsa帳戶|Ben代墊|Ariel代墊|中信銀行共用"")), ""內部轉帳(忽略)"",
  AND(E5694&lt;&gt;"""", F5694&lt;&gt;"""", N"&amp;"OT(REGEXMATCH(C5694, ""薪資""))), ""內部轉帳(忽略)"",
  REGEXMATCH(C5694, ""薪資""), ""薪資變動(不計入)"",
  REGEXMATCH(C5694, ""押金""), ""押金往來"",
  AND(E5694&lt;&gt;"""", F5694=""""), ""真實支出"",
  AND(E5694="""", F5694&lt;&gt;""""), ""真實收入"",
  TRUE, ""其他""
)"),"其他")</f>
        <v>其他</v>
      </c>
      <c r="K5694" s="270" t="str">
        <f t="shared" si="2"/>
        <v/>
      </c>
      <c r="L5694">
        <f t="shared" si="3"/>
        <v>0</v>
      </c>
    </row>
    <row r="5695">
      <c r="A5695" s="107"/>
      <c r="D5695" s="270"/>
      <c r="H5695" s="106" t="str">
        <f t="shared" si="1"/>
        <v/>
      </c>
      <c r="I5695" s="271" t="str">
        <f>IFERROR(__xludf.DUMMYFUNCTION("""COMPUTED_VALUE"""),"")</f>
        <v/>
      </c>
      <c r="J5695" t="str">
        <f>IFERROR(__xludf.DUMMYFUNCTION("IFS(
  AND(REGEXMATCH(E5695, ""台銀籌備帳戶|玉山帳戶""), REGEXMATCH(C5695, ""薪資"")), ""分潤支出"",
  AND(REGEXMATCH(E5695, ""Ben帳戶|Elsa帳戶|Ben代墊|Ariel代墊|中信銀行共用""), REGEXMATCH(F5695, ""Ben帳戶|Elsa帳戶|Ben代墊|Ariel代墊|中信銀行共用"")), ""內部轉帳(忽略)"",
  AND(E5695&lt;&gt;"""", F5695&lt;&gt;"""", N"&amp;"OT(REGEXMATCH(C5695, ""薪資""))), ""內部轉帳(忽略)"",
  REGEXMATCH(C5695, ""薪資""), ""薪資變動(不計入)"",
  REGEXMATCH(C5695, ""押金""), ""押金往來"",
  AND(E5695&lt;&gt;"""", F5695=""""), ""真實支出"",
  AND(E5695="""", F5695&lt;&gt;""""), ""真實收入"",
  TRUE, ""其他""
)"),"其他")</f>
        <v>其他</v>
      </c>
      <c r="K5695" s="270" t="str">
        <f t="shared" si="2"/>
        <v/>
      </c>
      <c r="L5695">
        <f t="shared" si="3"/>
        <v>0</v>
      </c>
    </row>
    <row r="5696">
      <c r="A5696" s="107"/>
      <c r="D5696" s="270"/>
      <c r="H5696" s="106" t="str">
        <f t="shared" si="1"/>
        <v/>
      </c>
      <c r="I5696" s="271" t="str">
        <f>IFERROR(__xludf.DUMMYFUNCTION("""COMPUTED_VALUE"""),"")</f>
        <v/>
      </c>
      <c r="J5696" t="str">
        <f>IFERROR(__xludf.DUMMYFUNCTION("IFS(
  AND(REGEXMATCH(E5696, ""台銀籌備帳戶|玉山帳戶""), REGEXMATCH(C5696, ""薪資"")), ""分潤支出"",
  AND(REGEXMATCH(E5696, ""Ben帳戶|Elsa帳戶|Ben代墊|Ariel代墊|中信銀行共用""), REGEXMATCH(F5696, ""Ben帳戶|Elsa帳戶|Ben代墊|Ariel代墊|中信銀行共用"")), ""內部轉帳(忽略)"",
  AND(E5696&lt;&gt;"""", F5696&lt;&gt;"""", N"&amp;"OT(REGEXMATCH(C5696, ""薪資""))), ""內部轉帳(忽略)"",
  REGEXMATCH(C5696, ""薪資""), ""薪資變動(不計入)"",
  REGEXMATCH(C5696, ""押金""), ""押金往來"",
  AND(E5696&lt;&gt;"""", F5696=""""), ""真實支出"",
  AND(E5696="""", F5696&lt;&gt;""""), ""真實收入"",
  TRUE, ""其他""
)"),"其他")</f>
        <v>其他</v>
      </c>
      <c r="K5696" s="270" t="str">
        <f t="shared" si="2"/>
        <v/>
      </c>
      <c r="L5696">
        <f t="shared" si="3"/>
        <v>0</v>
      </c>
    </row>
    <row r="5697">
      <c r="A5697" s="107"/>
      <c r="D5697" s="270"/>
      <c r="H5697" s="106" t="str">
        <f t="shared" si="1"/>
        <v/>
      </c>
      <c r="I5697" s="271" t="str">
        <f>IFERROR(__xludf.DUMMYFUNCTION("""COMPUTED_VALUE"""),"")</f>
        <v/>
      </c>
      <c r="J5697" t="str">
        <f>IFERROR(__xludf.DUMMYFUNCTION("IFS(
  AND(REGEXMATCH(E5697, ""台銀籌備帳戶|玉山帳戶""), REGEXMATCH(C5697, ""薪資"")), ""分潤支出"",
  AND(REGEXMATCH(E5697, ""Ben帳戶|Elsa帳戶|Ben代墊|Ariel代墊|中信銀行共用""), REGEXMATCH(F5697, ""Ben帳戶|Elsa帳戶|Ben代墊|Ariel代墊|中信銀行共用"")), ""內部轉帳(忽略)"",
  AND(E5697&lt;&gt;"""", F5697&lt;&gt;"""", N"&amp;"OT(REGEXMATCH(C5697, ""薪資""))), ""內部轉帳(忽略)"",
  REGEXMATCH(C5697, ""薪資""), ""薪資變動(不計入)"",
  REGEXMATCH(C5697, ""押金""), ""押金往來"",
  AND(E5697&lt;&gt;"""", F5697=""""), ""真實支出"",
  AND(E5697="""", F5697&lt;&gt;""""), ""真實收入"",
  TRUE, ""其他""
)"),"其他")</f>
        <v>其他</v>
      </c>
      <c r="K5697" s="270" t="str">
        <f t="shared" si="2"/>
        <v/>
      </c>
      <c r="L5697">
        <f t="shared" si="3"/>
        <v>0</v>
      </c>
    </row>
    <row r="5698">
      <c r="A5698" s="107"/>
      <c r="D5698" s="270"/>
      <c r="H5698" s="106" t="str">
        <f t="shared" si="1"/>
        <v/>
      </c>
      <c r="I5698" s="271" t="str">
        <f>IFERROR(__xludf.DUMMYFUNCTION("""COMPUTED_VALUE"""),"")</f>
        <v/>
      </c>
      <c r="J5698" t="str">
        <f>IFERROR(__xludf.DUMMYFUNCTION("IFS(
  AND(REGEXMATCH(E5698, ""台銀籌備帳戶|玉山帳戶""), REGEXMATCH(C5698, ""薪資"")), ""分潤支出"",
  AND(REGEXMATCH(E5698, ""Ben帳戶|Elsa帳戶|Ben代墊|Ariel代墊|中信銀行共用""), REGEXMATCH(F5698, ""Ben帳戶|Elsa帳戶|Ben代墊|Ariel代墊|中信銀行共用"")), ""內部轉帳(忽略)"",
  AND(E5698&lt;&gt;"""", F5698&lt;&gt;"""", N"&amp;"OT(REGEXMATCH(C5698, ""薪資""))), ""內部轉帳(忽略)"",
  REGEXMATCH(C5698, ""薪資""), ""薪資變動(不計入)"",
  REGEXMATCH(C5698, ""押金""), ""押金往來"",
  AND(E5698&lt;&gt;"""", F5698=""""), ""真實支出"",
  AND(E5698="""", F5698&lt;&gt;""""), ""真實收入"",
  TRUE, ""其他""
)"),"其他")</f>
        <v>其他</v>
      </c>
      <c r="K5698" s="270" t="str">
        <f t="shared" si="2"/>
        <v/>
      </c>
      <c r="L5698">
        <f t="shared" si="3"/>
        <v>0</v>
      </c>
    </row>
    <row r="5699">
      <c r="A5699" s="107"/>
      <c r="D5699" s="270"/>
      <c r="H5699" s="106" t="str">
        <f t="shared" si="1"/>
        <v/>
      </c>
      <c r="I5699" s="271" t="str">
        <f>IFERROR(__xludf.DUMMYFUNCTION("""COMPUTED_VALUE"""),"")</f>
        <v/>
      </c>
      <c r="J5699" t="str">
        <f>IFERROR(__xludf.DUMMYFUNCTION("IFS(
  AND(REGEXMATCH(E5699, ""台銀籌備帳戶|玉山帳戶""), REGEXMATCH(C5699, ""薪資"")), ""分潤支出"",
  AND(REGEXMATCH(E5699, ""Ben帳戶|Elsa帳戶|Ben代墊|Ariel代墊|中信銀行共用""), REGEXMATCH(F5699, ""Ben帳戶|Elsa帳戶|Ben代墊|Ariel代墊|中信銀行共用"")), ""內部轉帳(忽略)"",
  AND(E5699&lt;&gt;"""", F5699&lt;&gt;"""", N"&amp;"OT(REGEXMATCH(C5699, ""薪資""))), ""內部轉帳(忽略)"",
  REGEXMATCH(C5699, ""薪資""), ""薪資變動(不計入)"",
  REGEXMATCH(C5699, ""押金""), ""押金往來"",
  AND(E5699&lt;&gt;"""", F5699=""""), ""真實支出"",
  AND(E5699="""", F5699&lt;&gt;""""), ""真實收入"",
  TRUE, ""其他""
)"),"其他")</f>
        <v>其他</v>
      </c>
      <c r="K5699" s="270" t="str">
        <f t="shared" si="2"/>
        <v/>
      </c>
      <c r="L5699">
        <f t="shared" si="3"/>
        <v>0</v>
      </c>
    </row>
    <row r="5700">
      <c r="A5700" s="107"/>
      <c r="D5700" s="270"/>
      <c r="H5700" s="106" t="str">
        <f t="shared" si="1"/>
        <v/>
      </c>
      <c r="I5700" s="271" t="str">
        <f>IFERROR(__xludf.DUMMYFUNCTION("""COMPUTED_VALUE"""),"")</f>
        <v/>
      </c>
      <c r="J5700" t="str">
        <f>IFERROR(__xludf.DUMMYFUNCTION("IFS(
  AND(REGEXMATCH(E5700, ""台銀籌備帳戶|玉山帳戶""), REGEXMATCH(C5700, ""薪資"")), ""分潤支出"",
  AND(REGEXMATCH(E5700, ""Ben帳戶|Elsa帳戶|Ben代墊|Ariel代墊|中信銀行共用""), REGEXMATCH(F5700, ""Ben帳戶|Elsa帳戶|Ben代墊|Ariel代墊|中信銀行共用"")), ""內部轉帳(忽略)"",
  AND(E5700&lt;&gt;"""", F5700&lt;&gt;"""", N"&amp;"OT(REGEXMATCH(C5700, ""薪資""))), ""內部轉帳(忽略)"",
  REGEXMATCH(C5700, ""薪資""), ""薪資變動(不計入)"",
  REGEXMATCH(C5700, ""押金""), ""押金往來"",
  AND(E5700&lt;&gt;"""", F5700=""""), ""真實支出"",
  AND(E5700="""", F5700&lt;&gt;""""), ""真實收入"",
  TRUE, ""其他""
)"),"其他")</f>
        <v>其他</v>
      </c>
      <c r="K5700" s="270" t="str">
        <f t="shared" si="2"/>
        <v/>
      </c>
      <c r="L5700">
        <f t="shared" si="3"/>
        <v>0</v>
      </c>
    </row>
    <row r="5701">
      <c r="A5701" s="107"/>
      <c r="D5701" s="270"/>
      <c r="H5701" s="106" t="str">
        <f t="shared" si="1"/>
        <v/>
      </c>
      <c r="I5701" s="271" t="str">
        <f>IFERROR(__xludf.DUMMYFUNCTION("""COMPUTED_VALUE"""),"")</f>
        <v/>
      </c>
      <c r="J5701" t="str">
        <f>IFERROR(__xludf.DUMMYFUNCTION("IFS(
  AND(REGEXMATCH(E5701, ""台銀籌備帳戶|玉山帳戶""), REGEXMATCH(C5701, ""薪資"")), ""分潤支出"",
  AND(REGEXMATCH(E5701, ""Ben帳戶|Elsa帳戶|Ben代墊|Ariel代墊|中信銀行共用""), REGEXMATCH(F5701, ""Ben帳戶|Elsa帳戶|Ben代墊|Ariel代墊|中信銀行共用"")), ""內部轉帳(忽略)"",
  AND(E5701&lt;&gt;"""", F5701&lt;&gt;"""", N"&amp;"OT(REGEXMATCH(C5701, ""薪資""))), ""內部轉帳(忽略)"",
  REGEXMATCH(C5701, ""薪資""), ""薪資變動(不計入)"",
  REGEXMATCH(C5701, ""押金""), ""押金往來"",
  AND(E5701&lt;&gt;"""", F5701=""""), ""真實支出"",
  AND(E5701="""", F5701&lt;&gt;""""), ""真實收入"",
  TRUE, ""其他""
)"),"其他")</f>
        <v>其他</v>
      </c>
      <c r="K5701" s="270" t="str">
        <f t="shared" si="2"/>
        <v/>
      </c>
      <c r="L5701">
        <f t="shared" si="3"/>
        <v>0</v>
      </c>
    </row>
    <row r="5702">
      <c r="A5702" s="107"/>
      <c r="D5702" s="270"/>
      <c r="H5702" s="106" t="str">
        <f t="shared" si="1"/>
        <v/>
      </c>
      <c r="I5702" s="271" t="str">
        <f>IFERROR(__xludf.DUMMYFUNCTION("""COMPUTED_VALUE"""),"")</f>
        <v/>
      </c>
      <c r="J5702" t="str">
        <f>IFERROR(__xludf.DUMMYFUNCTION("IFS(
  AND(REGEXMATCH(E5702, ""台銀籌備帳戶|玉山帳戶""), REGEXMATCH(C5702, ""薪資"")), ""分潤支出"",
  AND(REGEXMATCH(E5702, ""Ben帳戶|Elsa帳戶|Ben代墊|Ariel代墊|中信銀行共用""), REGEXMATCH(F5702, ""Ben帳戶|Elsa帳戶|Ben代墊|Ariel代墊|中信銀行共用"")), ""內部轉帳(忽略)"",
  AND(E5702&lt;&gt;"""", F5702&lt;&gt;"""", N"&amp;"OT(REGEXMATCH(C5702, ""薪資""))), ""內部轉帳(忽略)"",
  REGEXMATCH(C5702, ""薪資""), ""薪資變動(不計入)"",
  REGEXMATCH(C5702, ""押金""), ""押金往來"",
  AND(E5702&lt;&gt;"""", F5702=""""), ""真實支出"",
  AND(E5702="""", F5702&lt;&gt;""""), ""真實收入"",
  TRUE, ""其他""
)"),"其他")</f>
        <v>其他</v>
      </c>
      <c r="K5702" s="270" t="str">
        <f t="shared" si="2"/>
        <v/>
      </c>
      <c r="L5702">
        <f t="shared" si="3"/>
        <v>0</v>
      </c>
    </row>
    <row r="5703">
      <c r="A5703" s="107"/>
      <c r="D5703" s="270"/>
      <c r="H5703" s="106" t="str">
        <f t="shared" si="1"/>
        <v/>
      </c>
      <c r="I5703" s="271" t="str">
        <f>IFERROR(__xludf.DUMMYFUNCTION("""COMPUTED_VALUE"""),"")</f>
        <v/>
      </c>
      <c r="J5703" t="str">
        <f>IFERROR(__xludf.DUMMYFUNCTION("IFS(
  AND(REGEXMATCH(E5703, ""台銀籌備帳戶|玉山帳戶""), REGEXMATCH(C5703, ""薪資"")), ""分潤支出"",
  AND(REGEXMATCH(E5703, ""Ben帳戶|Elsa帳戶|Ben代墊|Ariel代墊|中信銀行共用""), REGEXMATCH(F5703, ""Ben帳戶|Elsa帳戶|Ben代墊|Ariel代墊|中信銀行共用"")), ""內部轉帳(忽略)"",
  AND(E5703&lt;&gt;"""", F5703&lt;&gt;"""", N"&amp;"OT(REGEXMATCH(C5703, ""薪資""))), ""內部轉帳(忽略)"",
  REGEXMATCH(C5703, ""薪資""), ""薪資變動(不計入)"",
  REGEXMATCH(C5703, ""押金""), ""押金往來"",
  AND(E5703&lt;&gt;"""", F5703=""""), ""真實支出"",
  AND(E5703="""", F5703&lt;&gt;""""), ""真實收入"",
  TRUE, ""其他""
)"),"其他")</f>
        <v>其他</v>
      </c>
      <c r="K5703" s="270" t="str">
        <f t="shared" si="2"/>
        <v/>
      </c>
      <c r="L5703">
        <f t="shared" si="3"/>
        <v>0</v>
      </c>
    </row>
    <row r="5704">
      <c r="A5704" s="107"/>
      <c r="D5704" s="270"/>
      <c r="H5704" s="106" t="str">
        <f t="shared" si="1"/>
        <v/>
      </c>
      <c r="I5704" s="271" t="str">
        <f>IFERROR(__xludf.DUMMYFUNCTION("""COMPUTED_VALUE"""),"")</f>
        <v/>
      </c>
      <c r="J5704" t="str">
        <f>IFERROR(__xludf.DUMMYFUNCTION("IFS(
  AND(REGEXMATCH(E5704, ""台銀籌備帳戶|玉山帳戶""), REGEXMATCH(C5704, ""薪資"")), ""分潤支出"",
  AND(REGEXMATCH(E5704, ""Ben帳戶|Elsa帳戶|Ben代墊|Ariel代墊|中信銀行共用""), REGEXMATCH(F5704, ""Ben帳戶|Elsa帳戶|Ben代墊|Ariel代墊|中信銀行共用"")), ""內部轉帳(忽略)"",
  AND(E5704&lt;&gt;"""", F5704&lt;&gt;"""", N"&amp;"OT(REGEXMATCH(C5704, ""薪資""))), ""內部轉帳(忽略)"",
  REGEXMATCH(C5704, ""薪資""), ""薪資變動(不計入)"",
  REGEXMATCH(C5704, ""押金""), ""押金往來"",
  AND(E5704&lt;&gt;"""", F5704=""""), ""真實支出"",
  AND(E5704="""", F5704&lt;&gt;""""), ""真實收入"",
  TRUE, ""其他""
)"),"其他")</f>
        <v>其他</v>
      </c>
      <c r="K5704" s="270" t="str">
        <f t="shared" si="2"/>
        <v/>
      </c>
      <c r="L5704">
        <f t="shared" si="3"/>
        <v>0</v>
      </c>
    </row>
    <row r="5705">
      <c r="A5705" s="107"/>
      <c r="D5705" s="270"/>
      <c r="H5705" s="106" t="str">
        <f t="shared" si="1"/>
        <v/>
      </c>
      <c r="I5705" s="271" t="str">
        <f>IFERROR(__xludf.DUMMYFUNCTION("""COMPUTED_VALUE"""),"")</f>
        <v/>
      </c>
      <c r="J5705" t="str">
        <f>IFERROR(__xludf.DUMMYFUNCTION("IFS(
  AND(REGEXMATCH(E5705, ""台銀籌備帳戶|玉山帳戶""), REGEXMATCH(C5705, ""薪資"")), ""分潤支出"",
  AND(REGEXMATCH(E5705, ""Ben帳戶|Elsa帳戶|Ben代墊|Ariel代墊|中信銀行共用""), REGEXMATCH(F5705, ""Ben帳戶|Elsa帳戶|Ben代墊|Ariel代墊|中信銀行共用"")), ""內部轉帳(忽略)"",
  AND(E5705&lt;&gt;"""", F5705&lt;&gt;"""", N"&amp;"OT(REGEXMATCH(C5705, ""薪資""))), ""內部轉帳(忽略)"",
  REGEXMATCH(C5705, ""薪資""), ""薪資變動(不計入)"",
  REGEXMATCH(C5705, ""押金""), ""押金往來"",
  AND(E5705&lt;&gt;"""", F5705=""""), ""真實支出"",
  AND(E5705="""", F5705&lt;&gt;""""), ""真實收入"",
  TRUE, ""其他""
)"),"其他")</f>
        <v>其他</v>
      </c>
      <c r="K5705" s="270" t="str">
        <f t="shared" si="2"/>
        <v/>
      </c>
      <c r="L5705">
        <f t="shared" si="3"/>
        <v>0</v>
      </c>
    </row>
    <row r="5706">
      <c r="A5706" s="107"/>
      <c r="D5706" s="270"/>
      <c r="H5706" s="106" t="str">
        <f t="shared" si="1"/>
        <v/>
      </c>
      <c r="I5706" s="271" t="str">
        <f>IFERROR(__xludf.DUMMYFUNCTION("""COMPUTED_VALUE"""),"")</f>
        <v/>
      </c>
      <c r="J5706" t="str">
        <f>IFERROR(__xludf.DUMMYFUNCTION("IFS(
  AND(REGEXMATCH(E5706, ""台銀籌備帳戶|玉山帳戶""), REGEXMATCH(C5706, ""薪資"")), ""分潤支出"",
  AND(REGEXMATCH(E5706, ""Ben帳戶|Elsa帳戶|Ben代墊|Ariel代墊|中信銀行共用""), REGEXMATCH(F5706, ""Ben帳戶|Elsa帳戶|Ben代墊|Ariel代墊|中信銀行共用"")), ""內部轉帳(忽略)"",
  AND(E5706&lt;&gt;"""", F5706&lt;&gt;"""", N"&amp;"OT(REGEXMATCH(C5706, ""薪資""))), ""內部轉帳(忽略)"",
  REGEXMATCH(C5706, ""薪資""), ""薪資變動(不計入)"",
  REGEXMATCH(C5706, ""押金""), ""押金往來"",
  AND(E5706&lt;&gt;"""", F5706=""""), ""真實支出"",
  AND(E5706="""", F5706&lt;&gt;""""), ""真實收入"",
  TRUE, ""其他""
)"),"其他")</f>
        <v>其他</v>
      </c>
      <c r="K5706" s="270" t="str">
        <f t="shared" si="2"/>
        <v/>
      </c>
      <c r="L5706">
        <f t="shared" si="3"/>
        <v>0</v>
      </c>
    </row>
    <row r="5707">
      <c r="A5707" s="107"/>
      <c r="D5707" s="270"/>
      <c r="H5707" s="106" t="str">
        <f t="shared" si="1"/>
        <v/>
      </c>
      <c r="I5707" s="271" t="str">
        <f>IFERROR(__xludf.DUMMYFUNCTION("""COMPUTED_VALUE"""),"")</f>
        <v/>
      </c>
      <c r="J5707" t="str">
        <f>IFERROR(__xludf.DUMMYFUNCTION("IFS(
  AND(REGEXMATCH(E5707, ""台銀籌備帳戶|玉山帳戶""), REGEXMATCH(C5707, ""薪資"")), ""分潤支出"",
  AND(REGEXMATCH(E5707, ""Ben帳戶|Elsa帳戶|Ben代墊|Ariel代墊|中信銀行共用""), REGEXMATCH(F5707, ""Ben帳戶|Elsa帳戶|Ben代墊|Ariel代墊|中信銀行共用"")), ""內部轉帳(忽略)"",
  AND(E5707&lt;&gt;"""", F5707&lt;&gt;"""", N"&amp;"OT(REGEXMATCH(C5707, ""薪資""))), ""內部轉帳(忽略)"",
  REGEXMATCH(C5707, ""薪資""), ""薪資變動(不計入)"",
  REGEXMATCH(C5707, ""押金""), ""押金往來"",
  AND(E5707&lt;&gt;"""", F5707=""""), ""真實支出"",
  AND(E5707="""", F5707&lt;&gt;""""), ""真實收入"",
  TRUE, ""其他""
)"),"其他")</f>
        <v>其他</v>
      </c>
      <c r="K5707" s="270" t="str">
        <f t="shared" si="2"/>
        <v/>
      </c>
      <c r="L5707">
        <f t="shared" si="3"/>
        <v>0</v>
      </c>
    </row>
    <row r="5708">
      <c r="A5708" s="107"/>
      <c r="D5708" s="270"/>
      <c r="H5708" s="106" t="str">
        <f t="shared" si="1"/>
        <v/>
      </c>
      <c r="I5708" s="271" t="str">
        <f>IFERROR(__xludf.DUMMYFUNCTION("""COMPUTED_VALUE"""),"")</f>
        <v/>
      </c>
      <c r="J5708" t="str">
        <f>IFERROR(__xludf.DUMMYFUNCTION("IFS(
  AND(REGEXMATCH(E5708, ""台銀籌備帳戶|玉山帳戶""), REGEXMATCH(C5708, ""薪資"")), ""分潤支出"",
  AND(REGEXMATCH(E5708, ""Ben帳戶|Elsa帳戶|Ben代墊|Ariel代墊|中信銀行共用""), REGEXMATCH(F5708, ""Ben帳戶|Elsa帳戶|Ben代墊|Ariel代墊|中信銀行共用"")), ""內部轉帳(忽略)"",
  AND(E5708&lt;&gt;"""", F5708&lt;&gt;"""", N"&amp;"OT(REGEXMATCH(C5708, ""薪資""))), ""內部轉帳(忽略)"",
  REGEXMATCH(C5708, ""薪資""), ""薪資變動(不計入)"",
  REGEXMATCH(C5708, ""押金""), ""押金往來"",
  AND(E5708&lt;&gt;"""", F5708=""""), ""真實支出"",
  AND(E5708="""", F5708&lt;&gt;""""), ""真實收入"",
  TRUE, ""其他""
)"),"其他")</f>
        <v>其他</v>
      </c>
      <c r="K5708" s="270" t="str">
        <f t="shared" si="2"/>
        <v/>
      </c>
      <c r="L5708">
        <f t="shared" si="3"/>
        <v>0</v>
      </c>
    </row>
    <row r="5709">
      <c r="A5709" s="107"/>
      <c r="D5709" s="270"/>
      <c r="H5709" s="106" t="str">
        <f t="shared" si="1"/>
        <v/>
      </c>
      <c r="I5709" s="271" t="str">
        <f>IFERROR(__xludf.DUMMYFUNCTION("""COMPUTED_VALUE"""),"")</f>
        <v/>
      </c>
      <c r="J5709" t="str">
        <f>IFERROR(__xludf.DUMMYFUNCTION("IFS(
  AND(REGEXMATCH(E5709, ""台銀籌備帳戶|玉山帳戶""), REGEXMATCH(C5709, ""薪資"")), ""分潤支出"",
  AND(REGEXMATCH(E5709, ""Ben帳戶|Elsa帳戶|Ben代墊|Ariel代墊|中信銀行共用""), REGEXMATCH(F5709, ""Ben帳戶|Elsa帳戶|Ben代墊|Ariel代墊|中信銀行共用"")), ""內部轉帳(忽略)"",
  AND(E5709&lt;&gt;"""", F5709&lt;&gt;"""", N"&amp;"OT(REGEXMATCH(C5709, ""薪資""))), ""內部轉帳(忽略)"",
  REGEXMATCH(C5709, ""薪資""), ""薪資變動(不計入)"",
  REGEXMATCH(C5709, ""押金""), ""押金往來"",
  AND(E5709&lt;&gt;"""", F5709=""""), ""真實支出"",
  AND(E5709="""", F5709&lt;&gt;""""), ""真實收入"",
  TRUE, ""其他""
)"),"其他")</f>
        <v>其他</v>
      </c>
      <c r="K5709" s="270" t="str">
        <f t="shared" si="2"/>
        <v/>
      </c>
      <c r="L5709">
        <f t="shared" si="3"/>
        <v>0</v>
      </c>
    </row>
    <row r="5710">
      <c r="A5710" s="107"/>
      <c r="D5710" s="270"/>
      <c r="H5710" s="106" t="str">
        <f t="shared" si="1"/>
        <v/>
      </c>
      <c r="I5710" s="271" t="str">
        <f>IFERROR(__xludf.DUMMYFUNCTION("""COMPUTED_VALUE"""),"")</f>
        <v/>
      </c>
      <c r="J5710" t="str">
        <f>IFERROR(__xludf.DUMMYFUNCTION("IFS(
  AND(REGEXMATCH(E5710, ""台銀籌備帳戶|玉山帳戶""), REGEXMATCH(C5710, ""薪資"")), ""分潤支出"",
  AND(REGEXMATCH(E5710, ""Ben帳戶|Elsa帳戶|Ben代墊|Ariel代墊|中信銀行共用""), REGEXMATCH(F5710, ""Ben帳戶|Elsa帳戶|Ben代墊|Ariel代墊|中信銀行共用"")), ""內部轉帳(忽略)"",
  AND(E5710&lt;&gt;"""", F5710&lt;&gt;"""", N"&amp;"OT(REGEXMATCH(C5710, ""薪資""))), ""內部轉帳(忽略)"",
  REGEXMATCH(C5710, ""薪資""), ""薪資變動(不計入)"",
  REGEXMATCH(C5710, ""押金""), ""押金往來"",
  AND(E5710&lt;&gt;"""", F5710=""""), ""真實支出"",
  AND(E5710="""", F5710&lt;&gt;""""), ""真實收入"",
  TRUE, ""其他""
)"),"其他")</f>
        <v>其他</v>
      </c>
      <c r="K5710" s="270" t="str">
        <f t="shared" si="2"/>
        <v/>
      </c>
      <c r="L5710">
        <f t="shared" si="3"/>
        <v>0</v>
      </c>
    </row>
    <row r="5711">
      <c r="A5711" s="107"/>
      <c r="D5711" s="270"/>
      <c r="H5711" s="106" t="str">
        <f t="shared" si="1"/>
        <v/>
      </c>
      <c r="I5711" s="271" t="str">
        <f>IFERROR(__xludf.DUMMYFUNCTION("""COMPUTED_VALUE"""),"")</f>
        <v/>
      </c>
      <c r="J5711" t="str">
        <f>IFERROR(__xludf.DUMMYFUNCTION("IFS(
  AND(REGEXMATCH(E5711, ""台銀籌備帳戶|玉山帳戶""), REGEXMATCH(C5711, ""薪資"")), ""分潤支出"",
  AND(REGEXMATCH(E5711, ""Ben帳戶|Elsa帳戶|Ben代墊|Ariel代墊|中信銀行共用""), REGEXMATCH(F5711, ""Ben帳戶|Elsa帳戶|Ben代墊|Ariel代墊|中信銀行共用"")), ""內部轉帳(忽略)"",
  AND(E5711&lt;&gt;"""", F5711&lt;&gt;"""", N"&amp;"OT(REGEXMATCH(C5711, ""薪資""))), ""內部轉帳(忽略)"",
  REGEXMATCH(C5711, ""薪資""), ""薪資變動(不計入)"",
  REGEXMATCH(C5711, ""押金""), ""押金往來"",
  AND(E5711&lt;&gt;"""", F5711=""""), ""真實支出"",
  AND(E5711="""", F5711&lt;&gt;""""), ""真實收入"",
  TRUE, ""其他""
)"),"其他")</f>
        <v>其他</v>
      </c>
      <c r="K5711" s="270" t="str">
        <f t="shared" si="2"/>
        <v/>
      </c>
      <c r="L5711">
        <f t="shared" si="3"/>
        <v>0</v>
      </c>
    </row>
    <row r="5712">
      <c r="A5712" s="107"/>
      <c r="D5712" s="270"/>
      <c r="H5712" s="106" t="str">
        <f t="shared" si="1"/>
        <v/>
      </c>
      <c r="I5712" s="271" t="str">
        <f>IFERROR(__xludf.DUMMYFUNCTION("""COMPUTED_VALUE"""),"")</f>
        <v/>
      </c>
      <c r="J5712" t="str">
        <f>IFERROR(__xludf.DUMMYFUNCTION("IFS(
  AND(REGEXMATCH(E5712, ""台銀籌備帳戶|玉山帳戶""), REGEXMATCH(C5712, ""薪資"")), ""分潤支出"",
  AND(REGEXMATCH(E5712, ""Ben帳戶|Elsa帳戶|Ben代墊|Ariel代墊|中信銀行共用""), REGEXMATCH(F5712, ""Ben帳戶|Elsa帳戶|Ben代墊|Ariel代墊|中信銀行共用"")), ""內部轉帳(忽略)"",
  AND(E5712&lt;&gt;"""", F5712&lt;&gt;"""", N"&amp;"OT(REGEXMATCH(C5712, ""薪資""))), ""內部轉帳(忽略)"",
  REGEXMATCH(C5712, ""薪資""), ""薪資變動(不計入)"",
  REGEXMATCH(C5712, ""押金""), ""押金往來"",
  AND(E5712&lt;&gt;"""", F5712=""""), ""真實支出"",
  AND(E5712="""", F5712&lt;&gt;""""), ""真實收入"",
  TRUE, ""其他""
)"),"其他")</f>
        <v>其他</v>
      </c>
      <c r="K5712" s="270" t="str">
        <f t="shared" si="2"/>
        <v/>
      </c>
      <c r="L5712">
        <f t="shared" si="3"/>
        <v>0</v>
      </c>
    </row>
    <row r="5713">
      <c r="A5713" s="107"/>
      <c r="D5713" s="270"/>
      <c r="H5713" s="106" t="str">
        <f t="shared" si="1"/>
        <v/>
      </c>
      <c r="I5713" s="271" t="str">
        <f>IFERROR(__xludf.DUMMYFUNCTION("""COMPUTED_VALUE"""),"")</f>
        <v/>
      </c>
      <c r="J5713" t="str">
        <f>IFERROR(__xludf.DUMMYFUNCTION("IFS(
  AND(REGEXMATCH(E5713, ""台銀籌備帳戶|玉山帳戶""), REGEXMATCH(C5713, ""薪資"")), ""分潤支出"",
  AND(REGEXMATCH(E5713, ""Ben帳戶|Elsa帳戶|Ben代墊|Ariel代墊|中信銀行共用""), REGEXMATCH(F5713, ""Ben帳戶|Elsa帳戶|Ben代墊|Ariel代墊|中信銀行共用"")), ""內部轉帳(忽略)"",
  AND(E5713&lt;&gt;"""", F5713&lt;&gt;"""", N"&amp;"OT(REGEXMATCH(C5713, ""薪資""))), ""內部轉帳(忽略)"",
  REGEXMATCH(C5713, ""薪資""), ""薪資變動(不計入)"",
  REGEXMATCH(C5713, ""押金""), ""押金往來"",
  AND(E5713&lt;&gt;"""", F5713=""""), ""真實支出"",
  AND(E5713="""", F5713&lt;&gt;""""), ""真實收入"",
  TRUE, ""其他""
)"),"其他")</f>
        <v>其他</v>
      </c>
      <c r="K5713" s="270" t="str">
        <f t="shared" si="2"/>
        <v/>
      </c>
      <c r="L5713">
        <f t="shared" si="3"/>
        <v>0</v>
      </c>
    </row>
    <row r="5714">
      <c r="A5714" s="107"/>
      <c r="D5714" s="270"/>
      <c r="H5714" s="106" t="str">
        <f t="shared" si="1"/>
        <v/>
      </c>
      <c r="I5714" s="271" t="str">
        <f>IFERROR(__xludf.DUMMYFUNCTION("""COMPUTED_VALUE"""),"")</f>
        <v/>
      </c>
      <c r="J5714" t="str">
        <f>IFERROR(__xludf.DUMMYFUNCTION("IFS(
  AND(REGEXMATCH(E5714, ""台銀籌備帳戶|玉山帳戶""), REGEXMATCH(C5714, ""薪資"")), ""分潤支出"",
  AND(REGEXMATCH(E5714, ""Ben帳戶|Elsa帳戶|Ben代墊|Ariel代墊|中信銀行共用""), REGEXMATCH(F5714, ""Ben帳戶|Elsa帳戶|Ben代墊|Ariel代墊|中信銀行共用"")), ""內部轉帳(忽略)"",
  AND(E5714&lt;&gt;"""", F5714&lt;&gt;"""", N"&amp;"OT(REGEXMATCH(C5714, ""薪資""))), ""內部轉帳(忽略)"",
  REGEXMATCH(C5714, ""薪資""), ""薪資變動(不計入)"",
  REGEXMATCH(C5714, ""押金""), ""押金往來"",
  AND(E5714&lt;&gt;"""", F5714=""""), ""真實支出"",
  AND(E5714="""", F5714&lt;&gt;""""), ""真實收入"",
  TRUE, ""其他""
)"),"其他")</f>
        <v>其他</v>
      </c>
      <c r="K5714" s="270" t="str">
        <f t="shared" si="2"/>
        <v/>
      </c>
      <c r="L5714">
        <f t="shared" si="3"/>
        <v>0</v>
      </c>
    </row>
    <row r="5715">
      <c r="A5715" s="107"/>
      <c r="D5715" s="270"/>
      <c r="H5715" s="106" t="str">
        <f t="shared" si="1"/>
        <v/>
      </c>
      <c r="I5715" s="271" t="str">
        <f>IFERROR(__xludf.DUMMYFUNCTION("""COMPUTED_VALUE"""),"")</f>
        <v/>
      </c>
      <c r="J5715" t="str">
        <f>IFERROR(__xludf.DUMMYFUNCTION("IFS(
  AND(REGEXMATCH(E5715, ""台銀籌備帳戶|玉山帳戶""), REGEXMATCH(C5715, ""薪資"")), ""分潤支出"",
  AND(REGEXMATCH(E5715, ""Ben帳戶|Elsa帳戶|Ben代墊|Ariel代墊|中信銀行共用""), REGEXMATCH(F5715, ""Ben帳戶|Elsa帳戶|Ben代墊|Ariel代墊|中信銀行共用"")), ""內部轉帳(忽略)"",
  AND(E5715&lt;&gt;"""", F5715&lt;&gt;"""", N"&amp;"OT(REGEXMATCH(C5715, ""薪資""))), ""內部轉帳(忽略)"",
  REGEXMATCH(C5715, ""薪資""), ""薪資變動(不計入)"",
  REGEXMATCH(C5715, ""押金""), ""押金往來"",
  AND(E5715&lt;&gt;"""", F5715=""""), ""真實支出"",
  AND(E5715="""", F5715&lt;&gt;""""), ""真實收入"",
  TRUE, ""其他""
)"),"其他")</f>
        <v>其他</v>
      </c>
      <c r="K5715" s="270" t="str">
        <f t="shared" si="2"/>
        <v/>
      </c>
      <c r="L5715">
        <f t="shared" si="3"/>
        <v>0</v>
      </c>
    </row>
    <row r="5716">
      <c r="A5716" s="107"/>
      <c r="D5716" s="270"/>
      <c r="H5716" s="106" t="str">
        <f t="shared" si="1"/>
        <v/>
      </c>
      <c r="I5716" s="271" t="str">
        <f>IFERROR(__xludf.DUMMYFUNCTION("""COMPUTED_VALUE"""),"")</f>
        <v/>
      </c>
      <c r="J5716" t="str">
        <f>IFERROR(__xludf.DUMMYFUNCTION("IFS(
  AND(REGEXMATCH(E5716, ""台銀籌備帳戶|玉山帳戶""), REGEXMATCH(C5716, ""薪資"")), ""分潤支出"",
  AND(REGEXMATCH(E5716, ""Ben帳戶|Elsa帳戶|Ben代墊|Ariel代墊|中信銀行共用""), REGEXMATCH(F5716, ""Ben帳戶|Elsa帳戶|Ben代墊|Ariel代墊|中信銀行共用"")), ""內部轉帳(忽略)"",
  AND(E5716&lt;&gt;"""", F5716&lt;&gt;"""", N"&amp;"OT(REGEXMATCH(C5716, ""薪資""))), ""內部轉帳(忽略)"",
  REGEXMATCH(C5716, ""薪資""), ""薪資變動(不計入)"",
  REGEXMATCH(C5716, ""押金""), ""押金往來"",
  AND(E5716&lt;&gt;"""", F5716=""""), ""真實支出"",
  AND(E5716="""", F5716&lt;&gt;""""), ""真實收入"",
  TRUE, ""其他""
)"),"其他")</f>
        <v>其他</v>
      </c>
      <c r="K5716" s="270" t="str">
        <f t="shared" si="2"/>
        <v/>
      </c>
      <c r="L5716">
        <f t="shared" si="3"/>
        <v>0</v>
      </c>
    </row>
    <row r="5717">
      <c r="A5717" s="107"/>
      <c r="D5717" s="270"/>
      <c r="H5717" s="106" t="str">
        <f t="shared" si="1"/>
        <v/>
      </c>
      <c r="I5717" s="271" t="str">
        <f>IFERROR(__xludf.DUMMYFUNCTION("""COMPUTED_VALUE"""),"")</f>
        <v/>
      </c>
      <c r="J5717" t="str">
        <f>IFERROR(__xludf.DUMMYFUNCTION("IFS(
  AND(REGEXMATCH(E5717, ""台銀籌備帳戶|玉山帳戶""), REGEXMATCH(C5717, ""薪資"")), ""分潤支出"",
  AND(REGEXMATCH(E5717, ""Ben帳戶|Elsa帳戶|Ben代墊|Ariel代墊|中信銀行共用""), REGEXMATCH(F5717, ""Ben帳戶|Elsa帳戶|Ben代墊|Ariel代墊|中信銀行共用"")), ""內部轉帳(忽略)"",
  AND(E5717&lt;&gt;"""", F5717&lt;&gt;"""", N"&amp;"OT(REGEXMATCH(C5717, ""薪資""))), ""內部轉帳(忽略)"",
  REGEXMATCH(C5717, ""薪資""), ""薪資變動(不計入)"",
  REGEXMATCH(C5717, ""押金""), ""押金往來"",
  AND(E5717&lt;&gt;"""", F5717=""""), ""真實支出"",
  AND(E5717="""", F5717&lt;&gt;""""), ""真實收入"",
  TRUE, ""其他""
)"),"其他")</f>
        <v>其他</v>
      </c>
      <c r="K5717" s="270" t="str">
        <f t="shared" si="2"/>
        <v/>
      </c>
      <c r="L5717">
        <f t="shared" si="3"/>
        <v>0</v>
      </c>
    </row>
    <row r="5718">
      <c r="A5718" s="107"/>
      <c r="D5718" s="270"/>
      <c r="H5718" s="106" t="str">
        <f t="shared" si="1"/>
        <v/>
      </c>
      <c r="I5718" s="271" t="str">
        <f>IFERROR(__xludf.DUMMYFUNCTION("""COMPUTED_VALUE"""),"")</f>
        <v/>
      </c>
      <c r="J5718" t="str">
        <f>IFERROR(__xludf.DUMMYFUNCTION("IFS(
  AND(REGEXMATCH(E5718, ""台銀籌備帳戶|玉山帳戶""), REGEXMATCH(C5718, ""薪資"")), ""分潤支出"",
  AND(REGEXMATCH(E5718, ""Ben帳戶|Elsa帳戶|Ben代墊|Ariel代墊|中信銀行共用""), REGEXMATCH(F5718, ""Ben帳戶|Elsa帳戶|Ben代墊|Ariel代墊|中信銀行共用"")), ""內部轉帳(忽略)"",
  AND(E5718&lt;&gt;"""", F5718&lt;&gt;"""", N"&amp;"OT(REGEXMATCH(C5718, ""薪資""))), ""內部轉帳(忽略)"",
  REGEXMATCH(C5718, ""薪資""), ""薪資變動(不計入)"",
  REGEXMATCH(C5718, ""押金""), ""押金往來"",
  AND(E5718&lt;&gt;"""", F5718=""""), ""真實支出"",
  AND(E5718="""", F5718&lt;&gt;""""), ""真實收入"",
  TRUE, ""其他""
)"),"其他")</f>
        <v>其他</v>
      </c>
      <c r="K5718" s="270" t="str">
        <f t="shared" si="2"/>
        <v/>
      </c>
      <c r="L5718">
        <f t="shared" si="3"/>
        <v>0</v>
      </c>
    </row>
    <row r="5719">
      <c r="A5719" s="107"/>
      <c r="D5719" s="270"/>
      <c r="H5719" s="106" t="str">
        <f t="shared" si="1"/>
        <v/>
      </c>
      <c r="I5719" s="271" t="str">
        <f>IFERROR(__xludf.DUMMYFUNCTION("""COMPUTED_VALUE"""),"")</f>
        <v/>
      </c>
      <c r="J5719" t="str">
        <f>IFERROR(__xludf.DUMMYFUNCTION("IFS(
  AND(REGEXMATCH(E5719, ""台銀籌備帳戶|玉山帳戶""), REGEXMATCH(C5719, ""薪資"")), ""分潤支出"",
  AND(REGEXMATCH(E5719, ""Ben帳戶|Elsa帳戶|Ben代墊|Ariel代墊|中信銀行共用""), REGEXMATCH(F5719, ""Ben帳戶|Elsa帳戶|Ben代墊|Ariel代墊|中信銀行共用"")), ""內部轉帳(忽略)"",
  AND(E5719&lt;&gt;"""", F5719&lt;&gt;"""", N"&amp;"OT(REGEXMATCH(C5719, ""薪資""))), ""內部轉帳(忽略)"",
  REGEXMATCH(C5719, ""薪資""), ""薪資變動(不計入)"",
  REGEXMATCH(C5719, ""押金""), ""押金往來"",
  AND(E5719&lt;&gt;"""", F5719=""""), ""真實支出"",
  AND(E5719="""", F5719&lt;&gt;""""), ""真實收入"",
  TRUE, ""其他""
)"),"其他")</f>
        <v>其他</v>
      </c>
      <c r="K5719" s="270" t="str">
        <f t="shared" si="2"/>
        <v/>
      </c>
      <c r="L5719">
        <f t="shared" si="3"/>
        <v>0</v>
      </c>
    </row>
    <row r="5720">
      <c r="A5720" s="107"/>
      <c r="D5720" s="270"/>
      <c r="H5720" s="106" t="str">
        <f t="shared" si="1"/>
        <v/>
      </c>
      <c r="I5720" s="271" t="str">
        <f>IFERROR(__xludf.DUMMYFUNCTION("""COMPUTED_VALUE"""),"")</f>
        <v/>
      </c>
      <c r="J5720" t="str">
        <f>IFERROR(__xludf.DUMMYFUNCTION("IFS(
  AND(REGEXMATCH(E5720, ""台銀籌備帳戶|玉山帳戶""), REGEXMATCH(C5720, ""薪資"")), ""分潤支出"",
  AND(REGEXMATCH(E5720, ""Ben帳戶|Elsa帳戶|Ben代墊|Ariel代墊|中信銀行共用""), REGEXMATCH(F5720, ""Ben帳戶|Elsa帳戶|Ben代墊|Ariel代墊|中信銀行共用"")), ""內部轉帳(忽略)"",
  AND(E5720&lt;&gt;"""", F5720&lt;&gt;"""", N"&amp;"OT(REGEXMATCH(C5720, ""薪資""))), ""內部轉帳(忽略)"",
  REGEXMATCH(C5720, ""薪資""), ""薪資變動(不計入)"",
  REGEXMATCH(C5720, ""押金""), ""押金往來"",
  AND(E5720&lt;&gt;"""", F5720=""""), ""真實支出"",
  AND(E5720="""", F5720&lt;&gt;""""), ""真實收入"",
  TRUE, ""其他""
)"),"其他")</f>
        <v>其他</v>
      </c>
      <c r="K5720" s="270" t="str">
        <f t="shared" si="2"/>
        <v/>
      </c>
      <c r="L5720">
        <f t="shared" si="3"/>
        <v>0</v>
      </c>
    </row>
    <row r="5721">
      <c r="A5721" s="107"/>
      <c r="D5721" s="270"/>
      <c r="H5721" s="106" t="str">
        <f t="shared" si="1"/>
        <v/>
      </c>
      <c r="I5721" s="271" t="str">
        <f>IFERROR(__xludf.DUMMYFUNCTION("""COMPUTED_VALUE"""),"")</f>
        <v/>
      </c>
      <c r="J5721" t="str">
        <f>IFERROR(__xludf.DUMMYFUNCTION("IFS(
  AND(REGEXMATCH(E5721, ""台銀籌備帳戶|玉山帳戶""), REGEXMATCH(C5721, ""薪資"")), ""分潤支出"",
  AND(REGEXMATCH(E5721, ""Ben帳戶|Elsa帳戶|Ben代墊|Ariel代墊|中信銀行共用""), REGEXMATCH(F5721, ""Ben帳戶|Elsa帳戶|Ben代墊|Ariel代墊|中信銀行共用"")), ""內部轉帳(忽略)"",
  AND(E5721&lt;&gt;"""", F5721&lt;&gt;"""", N"&amp;"OT(REGEXMATCH(C5721, ""薪資""))), ""內部轉帳(忽略)"",
  REGEXMATCH(C5721, ""薪資""), ""薪資變動(不計入)"",
  REGEXMATCH(C5721, ""押金""), ""押金往來"",
  AND(E5721&lt;&gt;"""", F5721=""""), ""真實支出"",
  AND(E5721="""", F5721&lt;&gt;""""), ""真實收入"",
  TRUE, ""其他""
)"),"其他")</f>
        <v>其他</v>
      </c>
      <c r="K5721" s="270" t="str">
        <f t="shared" si="2"/>
        <v/>
      </c>
      <c r="L5721">
        <f t="shared" si="3"/>
        <v>0</v>
      </c>
    </row>
    <row r="5722">
      <c r="A5722" s="107"/>
      <c r="D5722" s="270"/>
      <c r="H5722" s="106" t="str">
        <f t="shared" si="1"/>
        <v/>
      </c>
      <c r="I5722" s="271" t="str">
        <f>IFERROR(__xludf.DUMMYFUNCTION("""COMPUTED_VALUE"""),"")</f>
        <v/>
      </c>
      <c r="J5722" t="str">
        <f>IFERROR(__xludf.DUMMYFUNCTION("IFS(
  AND(REGEXMATCH(E5722, ""台銀籌備帳戶|玉山帳戶""), REGEXMATCH(C5722, ""薪資"")), ""分潤支出"",
  AND(REGEXMATCH(E5722, ""Ben帳戶|Elsa帳戶|Ben代墊|Ariel代墊|中信銀行共用""), REGEXMATCH(F5722, ""Ben帳戶|Elsa帳戶|Ben代墊|Ariel代墊|中信銀行共用"")), ""內部轉帳(忽略)"",
  AND(E5722&lt;&gt;"""", F5722&lt;&gt;"""", N"&amp;"OT(REGEXMATCH(C5722, ""薪資""))), ""內部轉帳(忽略)"",
  REGEXMATCH(C5722, ""薪資""), ""薪資變動(不計入)"",
  REGEXMATCH(C5722, ""押金""), ""押金往來"",
  AND(E5722&lt;&gt;"""", F5722=""""), ""真實支出"",
  AND(E5722="""", F5722&lt;&gt;""""), ""真實收入"",
  TRUE, ""其他""
)"),"其他")</f>
        <v>其他</v>
      </c>
      <c r="K5722" s="270" t="str">
        <f t="shared" si="2"/>
        <v/>
      </c>
      <c r="L5722">
        <f t="shared" si="3"/>
        <v>0</v>
      </c>
    </row>
    <row r="5723">
      <c r="A5723" s="107"/>
      <c r="D5723" s="270"/>
      <c r="H5723" s="106" t="str">
        <f t="shared" si="1"/>
        <v/>
      </c>
      <c r="I5723" s="271" t="str">
        <f>IFERROR(__xludf.DUMMYFUNCTION("""COMPUTED_VALUE"""),"")</f>
        <v/>
      </c>
      <c r="J5723" t="str">
        <f>IFERROR(__xludf.DUMMYFUNCTION("IFS(
  AND(REGEXMATCH(E5723, ""台銀籌備帳戶|玉山帳戶""), REGEXMATCH(C5723, ""薪資"")), ""分潤支出"",
  AND(REGEXMATCH(E5723, ""Ben帳戶|Elsa帳戶|Ben代墊|Ariel代墊|中信銀行共用""), REGEXMATCH(F5723, ""Ben帳戶|Elsa帳戶|Ben代墊|Ariel代墊|中信銀行共用"")), ""內部轉帳(忽略)"",
  AND(E5723&lt;&gt;"""", F5723&lt;&gt;"""", N"&amp;"OT(REGEXMATCH(C5723, ""薪資""))), ""內部轉帳(忽略)"",
  REGEXMATCH(C5723, ""薪資""), ""薪資變動(不計入)"",
  REGEXMATCH(C5723, ""押金""), ""押金往來"",
  AND(E5723&lt;&gt;"""", F5723=""""), ""真實支出"",
  AND(E5723="""", F5723&lt;&gt;""""), ""真實收入"",
  TRUE, ""其他""
)"),"其他")</f>
        <v>其他</v>
      </c>
      <c r="K5723" s="270" t="str">
        <f t="shared" si="2"/>
        <v/>
      </c>
      <c r="L5723">
        <f t="shared" si="3"/>
        <v>0</v>
      </c>
    </row>
    <row r="5724">
      <c r="A5724" s="107"/>
      <c r="D5724" s="270"/>
      <c r="H5724" s="106" t="str">
        <f t="shared" si="1"/>
        <v/>
      </c>
      <c r="I5724" s="271" t="str">
        <f>IFERROR(__xludf.DUMMYFUNCTION("""COMPUTED_VALUE"""),"")</f>
        <v/>
      </c>
      <c r="J5724" t="str">
        <f>IFERROR(__xludf.DUMMYFUNCTION("IFS(
  AND(REGEXMATCH(E5724, ""台銀籌備帳戶|玉山帳戶""), REGEXMATCH(C5724, ""薪資"")), ""分潤支出"",
  AND(REGEXMATCH(E5724, ""Ben帳戶|Elsa帳戶|Ben代墊|Ariel代墊|中信銀行共用""), REGEXMATCH(F5724, ""Ben帳戶|Elsa帳戶|Ben代墊|Ariel代墊|中信銀行共用"")), ""內部轉帳(忽略)"",
  AND(E5724&lt;&gt;"""", F5724&lt;&gt;"""", N"&amp;"OT(REGEXMATCH(C5724, ""薪資""))), ""內部轉帳(忽略)"",
  REGEXMATCH(C5724, ""薪資""), ""薪資變動(不計入)"",
  REGEXMATCH(C5724, ""押金""), ""押金往來"",
  AND(E5724&lt;&gt;"""", F5724=""""), ""真實支出"",
  AND(E5724="""", F5724&lt;&gt;""""), ""真實收入"",
  TRUE, ""其他""
)"),"其他")</f>
        <v>其他</v>
      </c>
      <c r="K5724" s="270" t="str">
        <f t="shared" si="2"/>
        <v/>
      </c>
      <c r="L5724">
        <f t="shared" si="3"/>
        <v>0</v>
      </c>
    </row>
    <row r="5725">
      <c r="A5725" s="107"/>
      <c r="D5725" s="270"/>
      <c r="H5725" s="106" t="str">
        <f t="shared" si="1"/>
        <v/>
      </c>
      <c r="I5725" s="271" t="str">
        <f>IFERROR(__xludf.DUMMYFUNCTION("""COMPUTED_VALUE"""),"")</f>
        <v/>
      </c>
      <c r="J5725" t="str">
        <f>IFERROR(__xludf.DUMMYFUNCTION("IFS(
  AND(REGEXMATCH(E5725, ""台銀籌備帳戶|玉山帳戶""), REGEXMATCH(C5725, ""薪資"")), ""分潤支出"",
  AND(REGEXMATCH(E5725, ""Ben帳戶|Elsa帳戶|Ben代墊|Ariel代墊|中信銀行共用""), REGEXMATCH(F5725, ""Ben帳戶|Elsa帳戶|Ben代墊|Ariel代墊|中信銀行共用"")), ""內部轉帳(忽略)"",
  AND(E5725&lt;&gt;"""", F5725&lt;&gt;"""", N"&amp;"OT(REGEXMATCH(C5725, ""薪資""))), ""內部轉帳(忽略)"",
  REGEXMATCH(C5725, ""薪資""), ""薪資變動(不計入)"",
  REGEXMATCH(C5725, ""押金""), ""押金往來"",
  AND(E5725&lt;&gt;"""", F5725=""""), ""真實支出"",
  AND(E5725="""", F5725&lt;&gt;""""), ""真實收入"",
  TRUE, ""其他""
)"),"其他")</f>
        <v>其他</v>
      </c>
      <c r="K5725" s="270" t="str">
        <f t="shared" si="2"/>
        <v/>
      </c>
      <c r="L5725">
        <f t="shared" si="3"/>
        <v>0</v>
      </c>
    </row>
    <row r="5726">
      <c r="A5726" s="107"/>
      <c r="D5726" s="270"/>
      <c r="H5726" s="106" t="str">
        <f t="shared" si="1"/>
        <v/>
      </c>
      <c r="I5726" s="271" t="str">
        <f>IFERROR(__xludf.DUMMYFUNCTION("""COMPUTED_VALUE"""),"")</f>
        <v/>
      </c>
      <c r="J5726" t="str">
        <f>IFERROR(__xludf.DUMMYFUNCTION("IFS(
  AND(REGEXMATCH(E5726, ""台銀籌備帳戶|玉山帳戶""), REGEXMATCH(C5726, ""薪資"")), ""分潤支出"",
  AND(REGEXMATCH(E5726, ""Ben帳戶|Elsa帳戶|Ben代墊|Ariel代墊|中信銀行共用""), REGEXMATCH(F5726, ""Ben帳戶|Elsa帳戶|Ben代墊|Ariel代墊|中信銀行共用"")), ""內部轉帳(忽略)"",
  AND(E5726&lt;&gt;"""", F5726&lt;&gt;"""", N"&amp;"OT(REGEXMATCH(C5726, ""薪資""))), ""內部轉帳(忽略)"",
  REGEXMATCH(C5726, ""薪資""), ""薪資變動(不計入)"",
  REGEXMATCH(C5726, ""押金""), ""押金往來"",
  AND(E5726&lt;&gt;"""", F5726=""""), ""真實支出"",
  AND(E5726="""", F5726&lt;&gt;""""), ""真實收入"",
  TRUE, ""其他""
)"),"其他")</f>
        <v>其他</v>
      </c>
      <c r="K5726" s="270" t="str">
        <f t="shared" si="2"/>
        <v/>
      </c>
      <c r="L5726">
        <f t="shared" si="3"/>
        <v>0</v>
      </c>
    </row>
    <row r="5727">
      <c r="A5727" s="107"/>
      <c r="D5727" s="270"/>
      <c r="H5727" s="106" t="str">
        <f t="shared" si="1"/>
        <v/>
      </c>
      <c r="I5727" s="271" t="str">
        <f>IFERROR(__xludf.DUMMYFUNCTION("""COMPUTED_VALUE"""),"")</f>
        <v/>
      </c>
      <c r="J5727" t="str">
        <f>IFERROR(__xludf.DUMMYFUNCTION("IFS(
  AND(REGEXMATCH(E5727, ""台銀籌備帳戶|玉山帳戶""), REGEXMATCH(C5727, ""薪資"")), ""分潤支出"",
  AND(REGEXMATCH(E5727, ""Ben帳戶|Elsa帳戶|Ben代墊|Ariel代墊|中信銀行共用""), REGEXMATCH(F5727, ""Ben帳戶|Elsa帳戶|Ben代墊|Ariel代墊|中信銀行共用"")), ""內部轉帳(忽略)"",
  AND(E5727&lt;&gt;"""", F5727&lt;&gt;"""", N"&amp;"OT(REGEXMATCH(C5727, ""薪資""))), ""內部轉帳(忽略)"",
  REGEXMATCH(C5727, ""薪資""), ""薪資變動(不計入)"",
  REGEXMATCH(C5727, ""押金""), ""押金往來"",
  AND(E5727&lt;&gt;"""", F5727=""""), ""真實支出"",
  AND(E5727="""", F5727&lt;&gt;""""), ""真實收入"",
  TRUE, ""其他""
)"),"其他")</f>
        <v>其他</v>
      </c>
      <c r="K5727" s="270" t="str">
        <f t="shared" si="2"/>
        <v/>
      </c>
      <c r="L5727">
        <f t="shared" si="3"/>
        <v>0</v>
      </c>
    </row>
    <row r="5728">
      <c r="A5728" s="107"/>
      <c r="D5728" s="270"/>
      <c r="H5728" s="106" t="str">
        <f t="shared" si="1"/>
        <v/>
      </c>
      <c r="I5728" s="271" t="str">
        <f>IFERROR(__xludf.DUMMYFUNCTION("""COMPUTED_VALUE"""),"")</f>
        <v/>
      </c>
      <c r="J5728" t="str">
        <f>IFERROR(__xludf.DUMMYFUNCTION("IFS(
  AND(REGEXMATCH(E5728, ""台銀籌備帳戶|玉山帳戶""), REGEXMATCH(C5728, ""薪資"")), ""分潤支出"",
  AND(REGEXMATCH(E5728, ""Ben帳戶|Elsa帳戶|Ben代墊|Ariel代墊|中信銀行共用""), REGEXMATCH(F5728, ""Ben帳戶|Elsa帳戶|Ben代墊|Ariel代墊|中信銀行共用"")), ""內部轉帳(忽略)"",
  AND(E5728&lt;&gt;"""", F5728&lt;&gt;"""", N"&amp;"OT(REGEXMATCH(C5728, ""薪資""))), ""內部轉帳(忽略)"",
  REGEXMATCH(C5728, ""薪資""), ""薪資變動(不計入)"",
  REGEXMATCH(C5728, ""押金""), ""押金往來"",
  AND(E5728&lt;&gt;"""", F5728=""""), ""真實支出"",
  AND(E5728="""", F5728&lt;&gt;""""), ""真實收入"",
  TRUE, ""其他""
)"),"其他")</f>
        <v>其他</v>
      </c>
      <c r="K5728" s="270" t="str">
        <f t="shared" si="2"/>
        <v/>
      </c>
      <c r="L5728">
        <f t="shared" si="3"/>
        <v>0</v>
      </c>
    </row>
    <row r="5729">
      <c r="A5729" s="107"/>
      <c r="D5729" s="270"/>
      <c r="H5729" s="106" t="str">
        <f t="shared" si="1"/>
        <v/>
      </c>
      <c r="I5729" s="271" t="str">
        <f>IFERROR(__xludf.DUMMYFUNCTION("""COMPUTED_VALUE"""),"")</f>
        <v/>
      </c>
      <c r="J5729" t="str">
        <f>IFERROR(__xludf.DUMMYFUNCTION("IFS(
  AND(REGEXMATCH(E5729, ""台銀籌備帳戶|玉山帳戶""), REGEXMATCH(C5729, ""薪資"")), ""分潤支出"",
  AND(REGEXMATCH(E5729, ""Ben帳戶|Elsa帳戶|Ben代墊|Ariel代墊|中信銀行共用""), REGEXMATCH(F5729, ""Ben帳戶|Elsa帳戶|Ben代墊|Ariel代墊|中信銀行共用"")), ""內部轉帳(忽略)"",
  AND(E5729&lt;&gt;"""", F5729&lt;&gt;"""", N"&amp;"OT(REGEXMATCH(C5729, ""薪資""))), ""內部轉帳(忽略)"",
  REGEXMATCH(C5729, ""薪資""), ""薪資變動(不計入)"",
  REGEXMATCH(C5729, ""押金""), ""押金往來"",
  AND(E5729&lt;&gt;"""", F5729=""""), ""真實支出"",
  AND(E5729="""", F5729&lt;&gt;""""), ""真實收入"",
  TRUE, ""其他""
)"),"其他")</f>
        <v>其他</v>
      </c>
      <c r="K5729" s="270" t="str">
        <f t="shared" si="2"/>
        <v/>
      </c>
      <c r="L5729">
        <f t="shared" si="3"/>
        <v>0</v>
      </c>
    </row>
    <row r="5730">
      <c r="A5730" s="107"/>
      <c r="D5730" s="270"/>
      <c r="H5730" s="106" t="str">
        <f t="shared" si="1"/>
        <v/>
      </c>
      <c r="I5730" s="271" t="str">
        <f>IFERROR(__xludf.DUMMYFUNCTION("""COMPUTED_VALUE"""),"")</f>
        <v/>
      </c>
      <c r="J5730" t="str">
        <f>IFERROR(__xludf.DUMMYFUNCTION("IFS(
  AND(REGEXMATCH(E5730, ""台銀籌備帳戶|玉山帳戶""), REGEXMATCH(C5730, ""薪資"")), ""分潤支出"",
  AND(REGEXMATCH(E5730, ""Ben帳戶|Elsa帳戶|Ben代墊|Ariel代墊|中信銀行共用""), REGEXMATCH(F5730, ""Ben帳戶|Elsa帳戶|Ben代墊|Ariel代墊|中信銀行共用"")), ""內部轉帳(忽略)"",
  AND(E5730&lt;&gt;"""", F5730&lt;&gt;"""", N"&amp;"OT(REGEXMATCH(C5730, ""薪資""))), ""內部轉帳(忽略)"",
  REGEXMATCH(C5730, ""薪資""), ""薪資變動(不計入)"",
  REGEXMATCH(C5730, ""押金""), ""押金往來"",
  AND(E5730&lt;&gt;"""", F5730=""""), ""真實支出"",
  AND(E5730="""", F5730&lt;&gt;""""), ""真實收入"",
  TRUE, ""其他""
)"),"其他")</f>
        <v>其他</v>
      </c>
      <c r="K5730" s="270" t="str">
        <f t="shared" si="2"/>
        <v/>
      </c>
      <c r="L5730">
        <f t="shared" si="3"/>
        <v>0</v>
      </c>
    </row>
    <row r="5731">
      <c r="A5731" s="107"/>
      <c r="D5731" s="270"/>
      <c r="H5731" s="106" t="str">
        <f t="shared" si="1"/>
        <v/>
      </c>
      <c r="I5731" s="271" t="str">
        <f>IFERROR(__xludf.DUMMYFUNCTION("""COMPUTED_VALUE"""),"")</f>
        <v/>
      </c>
      <c r="J5731" t="str">
        <f>IFERROR(__xludf.DUMMYFUNCTION("IFS(
  AND(REGEXMATCH(E5731, ""台銀籌備帳戶|玉山帳戶""), REGEXMATCH(C5731, ""薪資"")), ""分潤支出"",
  AND(REGEXMATCH(E5731, ""Ben帳戶|Elsa帳戶|Ben代墊|Ariel代墊|中信銀行共用""), REGEXMATCH(F5731, ""Ben帳戶|Elsa帳戶|Ben代墊|Ariel代墊|中信銀行共用"")), ""內部轉帳(忽略)"",
  AND(E5731&lt;&gt;"""", F5731&lt;&gt;"""", N"&amp;"OT(REGEXMATCH(C5731, ""薪資""))), ""內部轉帳(忽略)"",
  REGEXMATCH(C5731, ""薪資""), ""薪資變動(不計入)"",
  REGEXMATCH(C5731, ""押金""), ""押金往來"",
  AND(E5731&lt;&gt;"""", F5731=""""), ""真實支出"",
  AND(E5731="""", F5731&lt;&gt;""""), ""真實收入"",
  TRUE, ""其他""
)"),"其他")</f>
        <v>其他</v>
      </c>
      <c r="K5731" s="270" t="str">
        <f t="shared" si="2"/>
        <v/>
      </c>
      <c r="L5731">
        <f t="shared" si="3"/>
        <v>0</v>
      </c>
    </row>
    <row r="5732">
      <c r="A5732" s="107"/>
      <c r="D5732" s="270"/>
      <c r="H5732" s="106" t="str">
        <f t="shared" si="1"/>
        <v/>
      </c>
      <c r="I5732" s="271" t="str">
        <f>IFERROR(__xludf.DUMMYFUNCTION("""COMPUTED_VALUE"""),"")</f>
        <v/>
      </c>
      <c r="J5732" t="str">
        <f>IFERROR(__xludf.DUMMYFUNCTION("IFS(
  AND(REGEXMATCH(E5732, ""台銀籌備帳戶|玉山帳戶""), REGEXMATCH(C5732, ""薪資"")), ""分潤支出"",
  AND(REGEXMATCH(E5732, ""Ben帳戶|Elsa帳戶|Ben代墊|Ariel代墊|中信銀行共用""), REGEXMATCH(F5732, ""Ben帳戶|Elsa帳戶|Ben代墊|Ariel代墊|中信銀行共用"")), ""內部轉帳(忽略)"",
  AND(E5732&lt;&gt;"""", F5732&lt;&gt;"""", N"&amp;"OT(REGEXMATCH(C5732, ""薪資""))), ""內部轉帳(忽略)"",
  REGEXMATCH(C5732, ""薪資""), ""薪資變動(不計入)"",
  REGEXMATCH(C5732, ""押金""), ""押金往來"",
  AND(E5732&lt;&gt;"""", F5732=""""), ""真實支出"",
  AND(E5732="""", F5732&lt;&gt;""""), ""真實收入"",
  TRUE, ""其他""
)"),"其他")</f>
        <v>其他</v>
      </c>
      <c r="K5732" s="270" t="str">
        <f t="shared" si="2"/>
        <v/>
      </c>
      <c r="L5732">
        <f t="shared" si="3"/>
        <v>0</v>
      </c>
    </row>
    <row r="5733">
      <c r="A5733" s="107"/>
      <c r="D5733" s="270"/>
      <c r="H5733" s="106" t="str">
        <f t="shared" si="1"/>
        <v/>
      </c>
      <c r="I5733" s="271" t="str">
        <f>IFERROR(__xludf.DUMMYFUNCTION("""COMPUTED_VALUE"""),"")</f>
        <v/>
      </c>
      <c r="J5733" t="str">
        <f>IFERROR(__xludf.DUMMYFUNCTION("IFS(
  AND(REGEXMATCH(E5733, ""台銀籌備帳戶|玉山帳戶""), REGEXMATCH(C5733, ""薪資"")), ""分潤支出"",
  AND(REGEXMATCH(E5733, ""Ben帳戶|Elsa帳戶|Ben代墊|Ariel代墊|中信銀行共用""), REGEXMATCH(F5733, ""Ben帳戶|Elsa帳戶|Ben代墊|Ariel代墊|中信銀行共用"")), ""內部轉帳(忽略)"",
  AND(E5733&lt;&gt;"""", F5733&lt;&gt;"""", N"&amp;"OT(REGEXMATCH(C5733, ""薪資""))), ""內部轉帳(忽略)"",
  REGEXMATCH(C5733, ""薪資""), ""薪資變動(不計入)"",
  REGEXMATCH(C5733, ""押金""), ""押金往來"",
  AND(E5733&lt;&gt;"""", F5733=""""), ""真實支出"",
  AND(E5733="""", F5733&lt;&gt;""""), ""真實收入"",
  TRUE, ""其他""
)"),"其他")</f>
        <v>其他</v>
      </c>
      <c r="K5733" s="270" t="str">
        <f t="shared" si="2"/>
        <v/>
      </c>
      <c r="L5733">
        <f t="shared" si="3"/>
        <v>0</v>
      </c>
    </row>
    <row r="5734">
      <c r="A5734" s="107"/>
      <c r="D5734" s="270"/>
      <c r="H5734" s="106" t="str">
        <f t="shared" si="1"/>
        <v/>
      </c>
      <c r="I5734" s="271" t="str">
        <f>IFERROR(__xludf.DUMMYFUNCTION("""COMPUTED_VALUE"""),"")</f>
        <v/>
      </c>
      <c r="J5734" t="str">
        <f>IFERROR(__xludf.DUMMYFUNCTION("IFS(
  AND(REGEXMATCH(E5734, ""台銀籌備帳戶|玉山帳戶""), REGEXMATCH(C5734, ""薪資"")), ""分潤支出"",
  AND(REGEXMATCH(E5734, ""Ben帳戶|Elsa帳戶|Ben代墊|Ariel代墊|中信銀行共用""), REGEXMATCH(F5734, ""Ben帳戶|Elsa帳戶|Ben代墊|Ariel代墊|中信銀行共用"")), ""內部轉帳(忽略)"",
  AND(E5734&lt;&gt;"""", F5734&lt;&gt;"""", N"&amp;"OT(REGEXMATCH(C5734, ""薪資""))), ""內部轉帳(忽略)"",
  REGEXMATCH(C5734, ""薪資""), ""薪資變動(不計入)"",
  REGEXMATCH(C5734, ""押金""), ""押金往來"",
  AND(E5734&lt;&gt;"""", F5734=""""), ""真實支出"",
  AND(E5734="""", F5734&lt;&gt;""""), ""真實收入"",
  TRUE, ""其他""
)"),"其他")</f>
        <v>其他</v>
      </c>
      <c r="K5734" s="270" t="str">
        <f t="shared" si="2"/>
        <v/>
      </c>
      <c r="L5734">
        <f t="shared" si="3"/>
        <v>0</v>
      </c>
    </row>
    <row r="5735">
      <c r="A5735" s="107"/>
      <c r="D5735" s="270"/>
      <c r="H5735" s="106" t="str">
        <f t="shared" si="1"/>
        <v/>
      </c>
      <c r="I5735" s="271" t="str">
        <f>IFERROR(__xludf.DUMMYFUNCTION("""COMPUTED_VALUE"""),"")</f>
        <v/>
      </c>
      <c r="J5735" t="str">
        <f>IFERROR(__xludf.DUMMYFUNCTION("IFS(
  AND(REGEXMATCH(E5735, ""台銀籌備帳戶|玉山帳戶""), REGEXMATCH(C5735, ""薪資"")), ""分潤支出"",
  AND(REGEXMATCH(E5735, ""Ben帳戶|Elsa帳戶|Ben代墊|Ariel代墊|中信銀行共用""), REGEXMATCH(F5735, ""Ben帳戶|Elsa帳戶|Ben代墊|Ariel代墊|中信銀行共用"")), ""內部轉帳(忽略)"",
  AND(E5735&lt;&gt;"""", F5735&lt;&gt;"""", N"&amp;"OT(REGEXMATCH(C5735, ""薪資""))), ""內部轉帳(忽略)"",
  REGEXMATCH(C5735, ""薪資""), ""薪資變動(不計入)"",
  REGEXMATCH(C5735, ""押金""), ""押金往來"",
  AND(E5735&lt;&gt;"""", F5735=""""), ""真實支出"",
  AND(E5735="""", F5735&lt;&gt;""""), ""真實收入"",
  TRUE, ""其他""
)"),"其他")</f>
        <v>其他</v>
      </c>
      <c r="K5735" s="270" t="str">
        <f t="shared" si="2"/>
        <v/>
      </c>
      <c r="L5735">
        <f t="shared" si="3"/>
        <v>0</v>
      </c>
    </row>
    <row r="5736">
      <c r="A5736" s="107"/>
      <c r="D5736" s="270"/>
      <c r="H5736" s="106" t="str">
        <f t="shared" si="1"/>
        <v/>
      </c>
      <c r="I5736" s="271" t="str">
        <f>IFERROR(__xludf.DUMMYFUNCTION("""COMPUTED_VALUE"""),"")</f>
        <v/>
      </c>
      <c r="J5736" t="str">
        <f>IFERROR(__xludf.DUMMYFUNCTION("IFS(
  AND(REGEXMATCH(E5736, ""台銀籌備帳戶|玉山帳戶""), REGEXMATCH(C5736, ""薪資"")), ""分潤支出"",
  AND(REGEXMATCH(E5736, ""Ben帳戶|Elsa帳戶|Ben代墊|Ariel代墊|中信銀行共用""), REGEXMATCH(F5736, ""Ben帳戶|Elsa帳戶|Ben代墊|Ariel代墊|中信銀行共用"")), ""內部轉帳(忽略)"",
  AND(E5736&lt;&gt;"""", F5736&lt;&gt;"""", N"&amp;"OT(REGEXMATCH(C5736, ""薪資""))), ""內部轉帳(忽略)"",
  REGEXMATCH(C5736, ""薪資""), ""薪資變動(不計入)"",
  REGEXMATCH(C5736, ""押金""), ""押金往來"",
  AND(E5736&lt;&gt;"""", F5736=""""), ""真實支出"",
  AND(E5736="""", F5736&lt;&gt;""""), ""真實收入"",
  TRUE, ""其他""
)"),"其他")</f>
        <v>其他</v>
      </c>
      <c r="K5736" s="270" t="str">
        <f t="shared" si="2"/>
        <v/>
      </c>
      <c r="L5736">
        <f t="shared" si="3"/>
        <v>0</v>
      </c>
    </row>
    <row r="5737">
      <c r="A5737" s="107"/>
      <c r="D5737" s="270"/>
      <c r="H5737" s="106" t="str">
        <f t="shared" si="1"/>
        <v/>
      </c>
      <c r="I5737" s="271" t="str">
        <f>IFERROR(__xludf.DUMMYFUNCTION("""COMPUTED_VALUE"""),"")</f>
        <v/>
      </c>
      <c r="J5737" t="str">
        <f>IFERROR(__xludf.DUMMYFUNCTION("IFS(
  AND(REGEXMATCH(E5737, ""台銀籌備帳戶|玉山帳戶""), REGEXMATCH(C5737, ""薪資"")), ""分潤支出"",
  AND(REGEXMATCH(E5737, ""Ben帳戶|Elsa帳戶|Ben代墊|Ariel代墊|中信銀行共用""), REGEXMATCH(F5737, ""Ben帳戶|Elsa帳戶|Ben代墊|Ariel代墊|中信銀行共用"")), ""內部轉帳(忽略)"",
  AND(E5737&lt;&gt;"""", F5737&lt;&gt;"""", N"&amp;"OT(REGEXMATCH(C5737, ""薪資""))), ""內部轉帳(忽略)"",
  REGEXMATCH(C5737, ""薪資""), ""薪資變動(不計入)"",
  REGEXMATCH(C5737, ""押金""), ""押金往來"",
  AND(E5737&lt;&gt;"""", F5737=""""), ""真實支出"",
  AND(E5737="""", F5737&lt;&gt;""""), ""真實收入"",
  TRUE, ""其他""
)"),"其他")</f>
        <v>其他</v>
      </c>
      <c r="K5737" s="270" t="str">
        <f t="shared" si="2"/>
        <v/>
      </c>
      <c r="L5737">
        <f t="shared" si="3"/>
        <v>0</v>
      </c>
    </row>
    <row r="5738">
      <c r="A5738" s="107"/>
      <c r="D5738" s="270"/>
      <c r="H5738" s="106" t="str">
        <f t="shared" si="1"/>
        <v/>
      </c>
      <c r="I5738" s="271" t="str">
        <f>IFERROR(__xludf.DUMMYFUNCTION("""COMPUTED_VALUE"""),"")</f>
        <v/>
      </c>
      <c r="J5738" t="str">
        <f>IFERROR(__xludf.DUMMYFUNCTION("IFS(
  AND(REGEXMATCH(E5738, ""台銀籌備帳戶|玉山帳戶""), REGEXMATCH(C5738, ""薪資"")), ""分潤支出"",
  AND(REGEXMATCH(E5738, ""Ben帳戶|Elsa帳戶|Ben代墊|Ariel代墊|中信銀行共用""), REGEXMATCH(F5738, ""Ben帳戶|Elsa帳戶|Ben代墊|Ariel代墊|中信銀行共用"")), ""內部轉帳(忽略)"",
  AND(E5738&lt;&gt;"""", F5738&lt;&gt;"""", N"&amp;"OT(REGEXMATCH(C5738, ""薪資""))), ""內部轉帳(忽略)"",
  REGEXMATCH(C5738, ""薪資""), ""薪資變動(不計入)"",
  REGEXMATCH(C5738, ""押金""), ""押金往來"",
  AND(E5738&lt;&gt;"""", F5738=""""), ""真實支出"",
  AND(E5738="""", F5738&lt;&gt;""""), ""真實收入"",
  TRUE, ""其他""
)"),"其他")</f>
        <v>其他</v>
      </c>
      <c r="K5738" s="270" t="str">
        <f t="shared" si="2"/>
        <v/>
      </c>
      <c r="L5738">
        <f t="shared" si="3"/>
        <v>0</v>
      </c>
    </row>
    <row r="5739">
      <c r="A5739" s="107"/>
      <c r="D5739" s="270"/>
      <c r="H5739" s="106" t="str">
        <f t="shared" si="1"/>
        <v/>
      </c>
      <c r="I5739" s="271" t="str">
        <f>IFERROR(__xludf.DUMMYFUNCTION("""COMPUTED_VALUE"""),"")</f>
        <v/>
      </c>
      <c r="J5739" t="str">
        <f>IFERROR(__xludf.DUMMYFUNCTION("IFS(
  AND(REGEXMATCH(E5739, ""台銀籌備帳戶|玉山帳戶""), REGEXMATCH(C5739, ""薪資"")), ""分潤支出"",
  AND(REGEXMATCH(E5739, ""Ben帳戶|Elsa帳戶|Ben代墊|Ariel代墊|中信銀行共用""), REGEXMATCH(F5739, ""Ben帳戶|Elsa帳戶|Ben代墊|Ariel代墊|中信銀行共用"")), ""內部轉帳(忽略)"",
  AND(E5739&lt;&gt;"""", F5739&lt;&gt;"""", N"&amp;"OT(REGEXMATCH(C5739, ""薪資""))), ""內部轉帳(忽略)"",
  REGEXMATCH(C5739, ""薪資""), ""薪資變動(不計入)"",
  REGEXMATCH(C5739, ""押金""), ""押金往來"",
  AND(E5739&lt;&gt;"""", F5739=""""), ""真實支出"",
  AND(E5739="""", F5739&lt;&gt;""""), ""真實收入"",
  TRUE, ""其他""
)"),"其他")</f>
        <v>其他</v>
      </c>
      <c r="K5739" s="270" t="str">
        <f t="shared" si="2"/>
        <v/>
      </c>
      <c r="L5739">
        <f t="shared" si="3"/>
        <v>0</v>
      </c>
    </row>
    <row r="5740">
      <c r="A5740" s="107"/>
      <c r="D5740" s="270"/>
      <c r="H5740" s="106" t="str">
        <f t="shared" si="1"/>
        <v/>
      </c>
      <c r="I5740" s="271" t="str">
        <f>IFERROR(__xludf.DUMMYFUNCTION("""COMPUTED_VALUE"""),"")</f>
        <v/>
      </c>
      <c r="J5740" t="str">
        <f>IFERROR(__xludf.DUMMYFUNCTION("IFS(
  AND(REGEXMATCH(E5740, ""台銀籌備帳戶|玉山帳戶""), REGEXMATCH(C5740, ""薪資"")), ""分潤支出"",
  AND(REGEXMATCH(E5740, ""Ben帳戶|Elsa帳戶|Ben代墊|Ariel代墊|中信銀行共用""), REGEXMATCH(F5740, ""Ben帳戶|Elsa帳戶|Ben代墊|Ariel代墊|中信銀行共用"")), ""內部轉帳(忽略)"",
  AND(E5740&lt;&gt;"""", F5740&lt;&gt;"""", N"&amp;"OT(REGEXMATCH(C5740, ""薪資""))), ""內部轉帳(忽略)"",
  REGEXMATCH(C5740, ""薪資""), ""薪資變動(不計入)"",
  REGEXMATCH(C5740, ""押金""), ""押金往來"",
  AND(E5740&lt;&gt;"""", F5740=""""), ""真實支出"",
  AND(E5740="""", F5740&lt;&gt;""""), ""真實收入"",
  TRUE, ""其他""
)"),"其他")</f>
        <v>其他</v>
      </c>
      <c r="K5740" s="270" t="str">
        <f t="shared" si="2"/>
        <v/>
      </c>
      <c r="L5740">
        <f t="shared" si="3"/>
        <v>0</v>
      </c>
    </row>
    <row r="5741">
      <c r="A5741" s="107"/>
      <c r="D5741" s="270"/>
      <c r="H5741" s="106" t="str">
        <f t="shared" si="1"/>
        <v/>
      </c>
      <c r="I5741" s="271" t="str">
        <f>IFERROR(__xludf.DUMMYFUNCTION("""COMPUTED_VALUE"""),"")</f>
        <v/>
      </c>
      <c r="J5741" t="str">
        <f>IFERROR(__xludf.DUMMYFUNCTION("IFS(
  AND(REGEXMATCH(E5741, ""台銀籌備帳戶|玉山帳戶""), REGEXMATCH(C5741, ""薪資"")), ""分潤支出"",
  AND(REGEXMATCH(E5741, ""Ben帳戶|Elsa帳戶|Ben代墊|Ariel代墊|中信銀行共用""), REGEXMATCH(F5741, ""Ben帳戶|Elsa帳戶|Ben代墊|Ariel代墊|中信銀行共用"")), ""內部轉帳(忽略)"",
  AND(E5741&lt;&gt;"""", F5741&lt;&gt;"""", N"&amp;"OT(REGEXMATCH(C5741, ""薪資""))), ""內部轉帳(忽略)"",
  REGEXMATCH(C5741, ""薪資""), ""薪資變動(不計入)"",
  REGEXMATCH(C5741, ""押金""), ""押金往來"",
  AND(E5741&lt;&gt;"""", F5741=""""), ""真實支出"",
  AND(E5741="""", F5741&lt;&gt;""""), ""真實收入"",
  TRUE, ""其他""
)"),"其他")</f>
        <v>其他</v>
      </c>
      <c r="K5741" s="270" t="str">
        <f t="shared" si="2"/>
        <v/>
      </c>
      <c r="L5741">
        <f t="shared" si="3"/>
        <v>0</v>
      </c>
    </row>
    <row r="5742">
      <c r="A5742" s="107"/>
      <c r="D5742" s="270"/>
      <c r="H5742" s="106" t="str">
        <f t="shared" si="1"/>
        <v/>
      </c>
      <c r="I5742" s="271" t="str">
        <f>IFERROR(__xludf.DUMMYFUNCTION("""COMPUTED_VALUE"""),"")</f>
        <v/>
      </c>
      <c r="J5742" t="str">
        <f>IFERROR(__xludf.DUMMYFUNCTION("IFS(
  AND(REGEXMATCH(E5742, ""台銀籌備帳戶|玉山帳戶""), REGEXMATCH(C5742, ""薪資"")), ""分潤支出"",
  AND(REGEXMATCH(E5742, ""Ben帳戶|Elsa帳戶|Ben代墊|Ariel代墊|中信銀行共用""), REGEXMATCH(F5742, ""Ben帳戶|Elsa帳戶|Ben代墊|Ariel代墊|中信銀行共用"")), ""內部轉帳(忽略)"",
  AND(E5742&lt;&gt;"""", F5742&lt;&gt;"""", N"&amp;"OT(REGEXMATCH(C5742, ""薪資""))), ""內部轉帳(忽略)"",
  REGEXMATCH(C5742, ""薪資""), ""薪資變動(不計入)"",
  REGEXMATCH(C5742, ""押金""), ""押金往來"",
  AND(E5742&lt;&gt;"""", F5742=""""), ""真實支出"",
  AND(E5742="""", F5742&lt;&gt;""""), ""真實收入"",
  TRUE, ""其他""
)"),"其他")</f>
        <v>其他</v>
      </c>
      <c r="K5742" s="270" t="str">
        <f t="shared" si="2"/>
        <v/>
      </c>
      <c r="L5742">
        <f t="shared" si="3"/>
        <v>0</v>
      </c>
    </row>
    <row r="5743">
      <c r="A5743" s="107"/>
      <c r="D5743" s="270"/>
      <c r="H5743" s="106" t="str">
        <f t="shared" si="1"/>
        <v/>
      </c>
      <c r="I5743" s="271" t="str">
        <f>IFERROR(__xludf.DUMMYFUNCTION("""COMPUTED_VALUE"""),"")</f>
        <v/>
      </c>
      <c r="J5743" t="str">
        <f>IFERROR(__xludf.DUMMYFUNCTION("IFS(
  AND(REGEXMATCH(E5743, ""台銀籌備帳戶|玉山帳戶""), REGEXMATCH(C5743, ""薪資"")), ""分潤支出"",
  AND(REGEXMATCH(E5743, ""Ben帳戶|Elsa帳戶|Ben代墊|Ariel代墊|中信銀行共用""), REGEXMATCH(F5743, ""Ben帳戶|Elsa帳戶|Ben代墊|Ariel代墊|中信銀行共用"")), ""內部轉帳(忽略)"",
  AND(E5743&lt;&gt;"""", F5743&lt;&gt;"""", N"&amp;"OT(REGEXMATCH(C5743, ""薪資""))), ""內部轉帳(忽略)"",
  REGEXMATCH(C5743, ""薪資""), ""薪資變動(不計入)"",
  REGEXMATCH(C5743, ""押金""), ""押金往來"",
  AND(E5743&lt;&gt;"""", F5743=""""), ""真實支出"",
  AND(E5743="""", F5743&lt;&gt;""""), ""真實收入"",
  TRUE, ""其他""
)"),"其他")</f>
        <v>其他</v>
      </c>
      <c r="K5743" s="270" t="str">
        <f t="shared" si="2"/>
        <v/>
      </c>
      <c r="L5743">
        <f t="shared" si="3"/>
        <v>0</v>
      </c>
    </row>
    <row r="5744">
      <c r="A5744" s="107"/>
      <c r="D5744" s="270"/>
      <c r="H5744" s="106" t="str">
        <f t="shared" si="1"/>
        <v/>
      </c>
      <c r="I5744" s="271" t="str">
        <f>IFERROR(__xludf.DUMMYFUNCTION("""COMPUTED_VALUE"""),"")</f>
        <v/>
      </c>
      <c r="J5744" t="str">
        <f>IFERROR(__xludf.DUMMYFUNCTION("IFS(
  AND(REGEXMATCH(E5744, ""台銀籌備帳戶|玉山帳戶""), REGEXMATCH(C5744, ""薪資"")), ""分潤支出"",
  AND(REGEXMATCH(E5744, ""Ben帳戶|Elsa帳戶|Ben代墊|Ariel代墊|中信銀行共用""), REGEXMATCH(F5744, ""Ben帳戶|Elsa帳戶|Ben代墊|Ariel代墊|中信銀行共用"")), ""內部轉帳(忽略)"",
  AND(E5744&lt;&gt;"""", F5744&lt;&gt;"""", N"&amp;"OT(REGEXMATCH(C5744, ""薪資""))), ""內部轉帳(忽略)"",
  REGEXMATCH(C5744, ""薪資""), ""薪資變動(不計入)"",
  REGEXMATCH(C5744, ""押金""), ""押金往來"",
  AND(E5744&lt;&gt;"""", F5744=""""), ""真實支出"",
  AND(E5744="""", F5744&lt;&gt;""""), ""真實收入"",
  TRUE, ""其他""
)"),"其他")</f>
        <v>其他</v>
      </c>
      <c r="K5744" s="270" t="str">
        <f t="shared" si="2"/>
        <v/>
      </c>
      <c r="L5744">
        <f t="shared" si="3"/>
        <v>0</v>
      </c>
    </row>
    <row r="5745">
      <c r="A5745" s="107"/>
      <c r="D5745" s="270"/>
      <c r="H5745" s="106" t="str">
        <f t="shared" si="1"/>
        <v/>
      </c>
      <c r="I5745" s="271" t="str">
        <f>IFERROR(__xludf.DUMMYFUNCTION("""COMPUTED_VALUE"""),"")</f>
        <v/>
      </c>
      <c r="J5745" t="str">
        <f>IFERROR(__xludf.DUMMYFUNCTION("IFS(
  AND(REGEXMATCH(E5745, ""台銀籌備帳戶|玉山帳戶""), REGEXMATCH(C5745, ""薪資"")), ""分潤支出"",
  AND(REGEXMATCH(E5745, ""Ben帳戶|Elsa帳戶|Ben代墊|Ariel代墊|中信銀行共用""), REGEXMATCH(F5745, ""Ben帳戶|Elsa帳戶|Ben代墊|Ariel代墊|中信銀行共用"")), ""內部轉帳(忽略)"",
  AND(E5745&lt;&gt;"""", F5745&lt;&gt;"""", N"&amp;"OT(REGEXMATCH(C5745, ""薪資""))), ""內部轉帳(忽略)"",
  REGEXMATCH(C5745, ""薪資""), ""薪資變動(不計入)"",
  REGEXMATCH(C5745, ""押金""), ""押金往來"",
  AND(E5745&lt;&gt;"""", F5745=""""), ""真實支出"",
  AND(E5745="""", F5745&lt;&gt;""""), ""真實收入"",
  TRUE, ""其他""
)"),"其他")</f>
        <v>其他</v>
      </c>
      <c r="K5745" s="270" t="str">
        <f t="shared" si="2"/>
        <v/>
      </c>
      <c r="L5745">
        <f t="shared" si="3"/>
        <v>0</v>
      </c>
    </row>
    <row r="5746">
      <c r="A5746" s="107"/>
      <c r="D5746" s="270"/>
      <c r="H5746" s="106" t="str">
        <f t="shared" si="1"/>
        <v/>
      </c>
      <c r="I5746" s="271" t="str">
        <f>IFERROR(__xludf.DUMMYFUNCTION("""COMPUTED_VALUE"""),"")</f>
        <v/>
      </c>
      <c r="J5746" t="str">
        <f>IFERROR(__xludf.DUMMYFUNCTION("IFS(
  AND(REGEXMATCH(E5746, ""台銀籌備帳戶|玉山帳戶""), REGEXMATCH(C5746, ""薪資"")), ""分潤支出"",
  AND(REGEXMATCH(E5746, ""Ben帳戶|Elsa帳戶|Ben代墊|Ariel代墊|中信銀行共用""), REGEXMATCH(F5746, ""Ben帳戶|Elsa帳戶|Ben代墊|Ariel代墊|中信銀行共用"")), ""內部轉帳(忽略)"",
  AND(E5746&lt;&gt;"""", F5746&lt;&gt;"""", N"&amp;"OT(REGEXMATCH(C5746, ""薪資""))), ""內部轉帳(忽略)"",
  REGEXMATCH(C5746, ""薪資""), ""薪資變動(不計入)"",
  REGEXMATCH(C5746, ""押金""), ""押金往來"",
  AND(E5746&lt;&gt;"""", F5746=""""), ""真實支出"",
  AND(E5746="""", F5746&lt;&gt;""""), ""真實收入"",
  TRUE, ""其他""
)"),"其他")</f>
        <v>其他</v>
      </c>
      <c r="K5746" s="270" t="str">
        <f t="shared" si="2"/>
        <v/>
      </c>
      <c r="L5746">
        <f t="shared" si="3"/>
        <v>0</v>
      </c>
    </row>
    <row r="5747">
      <c r="A5747" s="107"/>
      <c r="D5747" s="270"/>
      <c r="H5747" s="106" t="str">
        <f t="shared" si="1"/>
        <v/>
      </c>
      <c r="I5747" s="271" t="str">
        <f>IFERROR(__xludf.DUMMYFUNCTION("""COMPUTED_VALUE"""),"")</f>
        <v/>
      </c>
      <c r="J5747" t="str">
        <f>IFERROR(__xludf.DUMMYFUNCTION("IFS(
  AND(REGEXMATCH(E5747, ""台銀籌備帳戶|玉山帳戶""), REGEXMATCH(C5747, ""薪資"")), ""分潤支出"",
  AND(REGEXMATCH(E5747, ""Ben帳戶|Elsa帳戶|Ben代墊|Ariel代墊|中信銀行共用""), REGEXMATCH(F5747, ""Ben帳戶|Elsa帳戶|Ben代墊|Ariel代墊|中信銀行共用"")), ""內部轉帳(忽略)"",
  AND(E5747&lt;&gt;"""", F5747&lt;&gt;"""", N"&amp;"OT(REGEXMATCH(C5747, ""薪資""))), ""內部轉帳(忽略)"",
  REGEXMATCH(C5747, ""薪資""), ""薪資變動(不計入)"",
  REGEXMATCH(C5747, ""押金""), ""押金往來"",
  AND(E5747&lt;&gt;"""", F5747=""""), ""真實支出"",
  AND(E5747="""", F5747&lt;&gt;""""), ""真實收入"",
  TRUE, ""其他""
)"),"其他")</f>
        <v>其他</v>
      </c>
      <c r="K5747" s="270" t="str">
        <f t="shared" si="2"/>
        <v/>
      </c>
      <c r="L5747">
        <f t="shared" si="3"/>
        <v>0</v>
      </c>
    </row>
    <row r="5748">
      <c r="A5748" s="107"/>
      <c r="D5748" s="270"/>
      <c r="H5748" s="106" t="str">
        <f t="shared" si="1"/>
        <v/>
      </c>
      <c r="I5748" s="271" t="str">
        <f>IFERROR(__xludf.DUMMYFUNCTION("""COMPUTED_VALUE"""),"")</f>
        <v/>
      </c>
      <c r="J5748" t="str">
        <f>IFERROR(__xludf.DUMMYFUNCTION("IFS(
  AND(REGEXMATCH(E5748, ""台銀籌備帳戶|玉山帳戶""), REGEXMATCH(C5748, ""薪資"")), ""分潤支出"",
  AND(REGEXMATCH(E5748, ""Ben帳戶|Elsa帳戶|Ben代墊|Ariel代墊|中信銀行共用""), REGEXMATCH(F5748, ""Ben帳戶|Elsa帳戶|Ben代墊|Ariel代墊|中信銀行共用"")), ""內部轉帳(忽略)"",
  AND(E5748&lt;&gt;"""", F5748&lt;&gt;"""", N"&amp;"OT(REGEXMATCH(C5748, ""薪資""))), ""內部轉帳(忽略)"",
  REGEXMATCH(C5748, ""薪資""), ""薪資變動(不計入)"",
  REGEXMATCH(C5748, ""押金""), ""押金往來"",
  AND(E5748&lt;&gt;"""", F5748=""""), ""真實支出"",
  AND(E5748="""", F5748&lt;&gt;""""), ""真實收入"",
  TRUE, ""其他""
)"),"其他")</f>
        <v>其他</v>
      </c>
      <c r="K5748" s="270" t="str">
        <f t="shared" si="2"/>
        <v/>
      </c>
      <c r="L5748">
        <f t="shared" si="3"/>
        <v>0</v>
      </c>
    </row>
    <row r="5749">
      <c r="A5749" s="107"/>
      <c r="D5749" s="270"/>
      <c r="H5749" s="106" t="str">
        <f t="shared" si="1"/>
        <v/>
      </c>
      <c r="I5749" s="271" t="str">
        <f>IFERROR(__xludf.DUMMYFUNCTION("""COMPUTED_VALUE"""),"")</f>
        <v/>
      </c>
      <c r="J5749" t="str">
        <f>IFERROR(__xludf.DUMMYFUNCTION("IFS(
  AND(REGEXMATCH(E5749, ""台銀籌備帳戶|玉山帳戶""), REGEXMATCH(C5749, ""薪資"")), ""分潤支出"",
  AND(REGEXMATCH(E5749, ""Ben帳戶|Elsa帳戶|Ben代墊|Ariel代墊|中信銀行共用""), REGEXMATCH(F5749, ""Ben帳戶|Elsa帳戶|Ben代墊|Ariel代墊|中信銀行共用"")), ""內部轉帳(忽略)"",
  AND(E5749&lt;&gt;"""", F5749&lt;&gt;"""", N"&amp;"OT(REGEXMATCH(C5749, ""薪資""))), ""內部轉帳(忽略)"",
  REGEXMATCH(C5749, ""薪資""), ""薪資變動(不計入)"",
  REGEXMATCH(C5749, ""押金""), ""押金往來"",
  AND(E5749&lt;&gt;"""", F5749=""""), ""真實支出"",
  AND(E5749="""", F5749&lt;&gt;""""), ""真實收入"",
  TRUE, ""其他""
)"),"其他")</f>
        <v>其他</v>
      </c>
      <c r="K5749" s="270" t="str">
        <f t="shared" si="2"/>
        <v/>
      </c>
      <c r="L5749">
        <f t="shared" si="3"/>
        <v>0</v>
      </c>
    </row>
    <row r="5750">
      <c r="A5750" s="107"/>
      <c r="D5750" s="270"/>
      <c r="H5750" s="106" t="str">
        <f t="shared" si="1"/>
        <v/>
      </c>
      <c r="I5750" s="271" t="str">
        <f>IFERROR(__xludf.DUMMYFUNCTION("""COMPUTED_VALUE"""),"")</f>
        <v/>
      </c>
      <c r="J5750" t="str">
        <f>IFERROR(__xludf.DUMMYFUNCTION("IFS(
  AND(REGEXMATCH(E5750, ""台銀籌備帳戶|玉山帳戶""), REGEXMATCH(C5750, ""薪資"")), ""分潤支出"",
  AND(REGEXMATCH(E5750, ""Ben帳戶|Elsa帳戶|Ben代墊|Ariel代墊|中信銀行共用""), REGEXMATCH(F5750, ""Ben帳戶|Elsa帳戶|Ben代墊|Ariel代墊|中信銀行共用"")), ""內部轉帳(忽略)"",
  AND(E5750&lt;&gt;"""", F5750&lt;&gt;"""", N"&amp;"OT(REGEXMATCH(C5750, ""薪資""))), ""內部轉帳(忽略)"",
  REGEXMATCH(C5750, ""薪資""), ""薪資變動(不計入)"",
  REGEXMATCH(C5750, ""押金""), ""押金往來"",
  AND(E5750&lt;&gt;"""", F5750=""""), ""真實支出"",
  AND(E5750="""", F5750&lt;&gt;""""), ""真實收入"",
  TRUE, ""其他""
)"),"其他")</f>
        <v>其他</v>
      </c>
      <c r="K5750" s="270" t="str">
        <f t="shared" si="2"/>
        <v/>
      </c>
      <c r="L5750">
        <f t="shared" si="3"/>
        <v>0</v>
      </c>
    </row>
    <row r="5751">
      <c r="A5751" s="107"/>
      <c r="D5751" s="270"/>
      <c r="H5751" s="106" t="str">
        <f t="shared" si="1"/>
        <v/>
      </c>
      <c r="I5751" s="271" t="str">
        <f>IFERROR(__xludf.DUMMYFUNCTION("""COMPUTED_VALUE"""),"")</f>
        <v/>
      </c>
      <c r="J5751" t="str">
        <f>IFERROR(__xludf.DUMMYFUNCTION("IFS(
  AND(REGEXMATCH(E5751, ""台銀籌備帳戶|玉山帳戶""), REGEXMATCH(C5751, ""薪資"")), ""分潤支出"",
  AND(REGEXMATCH(E5751, ""Ben帳戶|Elsa帳戶|Ben代墊|Ariel代墊|中信銀行共用""), REGEXMATCH(F5751, ""Ben帳戶|Elsa帳戶|Ben代墊|Ariel代墊|中信銀行共用"")), ""內部轉帳(忽略)"",
  AND(E5751&lt;&gt;"""", F5751&lt;&gt;"""", N"&amp;"OT(REGEXMATCH(C5751, ""薪資""))), ""內部轉帳(忽略)"",
  REGEXMATCH(C5751, ""薪資""), ""薪資變動(不計入)"",
  REGEXMATCH(C5751, ""押金""), ""押金往來"",
  AND(E5751&lt;&gt;"""", F5751=""""), ""真實支出"",
  AND(E5751="""", F5751&lt;&gt;""""), ""真實收入"",
  TRUE, ""其他""
)"),"其他")</f>
        <v>其他</v>
      </c>
      <c r="K5751" s="270" t="str">
        <f t="shared" si="2"/>
        <v/>
      </c>
      <c r="L5751">
        <f t="shared" si="3"/>
        <v>0</v>
      </c>
    </row>
    <row r="5752">
      <c r="A5752" s="107"/>
      <c r="D5752" s="270"/>
      <c r="H5752" s="106" t="str">
        <f t="shared" si="1"/>
        <v/>
      </c>
      <c r="I5752" s="271" t="str">
        <f>IFERROR(__xludf.DUMMYFUNCTION("""COMPUTED_VALUE"""),"")</f>
        <v/>
      </c>
      <c r="J5752" t="str">
        <f>IFERROR(__xludf.DUMMYFUNCTION("IFS(
  AND(REGEXMATCH(E5752, ""台銀籌備帳戶|玉山帳戶""), REGEXMATCH(C5752, ""薪資"")), ""分潤支出"",
  AND(REGEXMATCH(E5752, ""Ben帳戶|Elsa帳戶|Ben代墊|Ariel代墊|中信銀行共用""), REGEXMATCH(F5752, ""Ben帳戶|Elsa帳戶|Ben代墊|Ariel代墊|中信銀行共用"")), ""內部轉帳(忽略)"",
  AND(E5752&lt;&gt;"""", F5752&lt;&gt;"""", N"&amp;"OT(REGEXMATCH(C5752, ""薪資""))), ""內部轉帳(忽略)"",
  REGEXMATCH(C5752, ""薪資""), ""薪資變動(不計入)"",
  REGEXMATCH(C5752, ""押金""), ""押金往來"",
  AND(E5752&lt;&gt;"""", F5752=""""), ""真實支出"",
  AND(E5752="""", F5752&lt;&gt;""""), ""真實收入"",
  TRUE, ""其他""
)"),"其他")</f>
        <v>其他</v>
      </c>
      <c r="K5752" s="270" t="str">
        <f t="shared" si="2"/>
        <v/>
      </c>
      <c r="L5752">
        <f t="shared" si="3"/>
        <v>0</v>
      </c>
    </row>
    <row r="5753">
      <c r="A5753" s="107"/>
      <c r="D5753" s="270"/>
      <c r="H5753" s="106" t="str">
        <f t="shared" si="1"/>
        <v/>
      </c>
      <c r="I5753" s="271" t="str">
        <f>IFERROR(__xludf.DUMMYFUNCTION("""COMPUTED_VALUE"""),"")</f>
        <v/>
      </c>
      <c r="J5753" t="str">
        <f>IFERROR(__xludf.DUMMYFUNCTION("IFS(
  AND(REGEXMATCH(E5753, ""台銀籌備帳戶|玉山帳戶""), REGEXMATCH(C5753, ""薪資"")), ""分潤支出"",
  AND(REGEXMATCH(E5753, ""Ben帳戶|Elsa帳戶|Ben代墊|Ariel代墊|中信銀行共用""), REGEXMATCH(F5753, ""Ben帳戶|Elsa帳戶|Ben代墊|Ariel代墊|中信銀行共用"")), ""內部轉帳(忽略)"",
  AND(E5753&lt;&gt;"""", F5753&lt;&gt;"""", N"&amp;"OT(REGEXMATCH(C5753, ""薪資""))), ""內部轉帳(忽略)"",
  REGEXMATCH(C5753, ""薪資""), ""薪資變動(不計入)"",
  REGEXMATCH(C5753, ""押金""), ""押金往來"",
  AND(E5753&lt;&gt;"""", F5753=""""), ""真實支出"",
  AND(E5753="""", F5753&lt;&gt;""""), ""真實收入"",
  TRUE, ""其他""
)"),"其他")</f>
        <v>其他</v>
      </c>
      <c r="K5753" s="270" t="str">
        <f t="shared" si="2"/>
        <v/>
      </c>
      <c r="L5753">
        <f t="shared" si="3"/>
        <v>0</v>
      </c>
    </row>
    <row r="5754">
      <c r="A5754" s="107"/>
      <c r="D5754" s="270"/>
      <c r="H5754" s="106" t="str">
        <f t="shared" si="1"/>
        <v/>
      </c>
      <c r="I5754" s="271" t="str">
        <f>IFERROR(__xludf.DUMMYFUNCTION("""COMPUTED_VALUE"""),"")</f>
        <v/>
      </c>
      <c r="J5754" t="str">
        <f>IFERROR(__xludf.DUMMYFUNCTION("IFS(
  AND(REGEXMATCH(E5754, ""台銀籌備帳戶|玉山帳戶""), REGEXMATCH(C5754, ""薪資"")), ""分潤支出"",
  AND(REGEXMATCH(E5754, ""Ben帳戶|Elsa帳戶|Ben代墊|Ariel代墊|中信銀行共用""), REGEXMATCH(F5754, ""Ben帳戶|Elsa帳戶|Ben代墊|Ariel代墊|中信銀行共用"")), ""內部轉帳(忽略)"",
  AND(E5754&lt;&gt;"""", F5754&lt;&gt;"""", N"&amp;"OT(REGEXMATCH(C5754, ""薪資""))), ""內部轉帳(忽略)"",
  REGEXMATCH(C5754, ""薪資""), ""薪資變動(不計入)"",
  REGEXMATCH(C5754, ""押金""), ""押金往來"",
  AND(E5754&lt;&gt;"""", F5754=""""), ""真實支出"",
  AND(E5754="""", F5754&lt;&gt;""""), ""真實收入"",
  TRUE, ""其他""
)"),"其他")</f>
        <v>其他</v>
      </c>
      <c r="K5754" s="270" t="str">
        <f t="shared" si="2"/>
        <v/>
      </c>
      <c r="L5754">
        <f t="shared" si="3"/>
        <v>0</v>
      </c>
    </row>
    <row r="5755">
      <c r="A5755" s="107"/>
      <c r="D5755" s="270"/>
      <c r="H5755" s="106" t="str">
        <f t="shared" si="1"/>
        <v/>
      </c>
      <c r="I5755" s="271" t="str">
        <f>IFERROR(__xludf.DUMMYFUNCTION("""COMPUTED_VALUE"""),"")</f>
        <v/>
      </c>
      <c r="J5755" t="str">
        <f>IFERROR(__xludf.DUMMYFUNCTION("IFS(
  AND(REGEXMATCH(E5755, ""台銀籌備帳戶|玉山帳戶""), REGEXMATCH(C5755, ""薪資"")), ""分潤支出"",
  AND(REGEXMATCH(E5755, ""Ben帳戶|Elsa帳戶|Ben代墊|Ariel代墊|中信銀行共用""), REGEXMATCH(F5755, ""Ben帳戶|Elsa帳戶|Ben代墊|Ariel代墊|中信銀行共用"")), ""內部轉帳(忽略)"",
  AND(E5755&lt;&gt;"""", F5755&lt;&gt;"""", N"&amp;"OT(REGEXMATCH(C5755, ""薪資""))), ""內部轉帳(忽略)"",
  REGEXMATCH(C5755, ""薪資""), ""薪資變動(不計入)"",
  REGEXMATCH(C5755, ""押金""), ""押金往來"",
  AND(E5755&lt;&gt;"""", F5755=""""), ""真實支出"",
  AND(E5755="""", F5755&lt;&gt;""""), ""真實收入"",
  TRUE, ""其他""
)"),"其他")</f>
        <v>其他</v>
      </c>
      <c r="K5755" s="270" t="str">
        <f t="shared" si="2"/>
        <v/>
      </c>
      <c r="L5755">
        <f t="shared" si="3"/>
        <v>0</v>
      </c>
    </row>
    <row r="5756">
      <c r="A5756" s="107"/>
      <c r="D5756" s="270"/>
      <c r="H5756" s="106" t="str">
        <f t="shared" si="1"/>
        <v/>
      </c>
      <c r="I5756" s="271" t="str">
        <f>IFERROR(__xludf.DUMMYFUNCTION("""COMPUTED_VALUE"""),"")</f>
        <v/>
      </c>
      <c r="J5756" t="str">
        <f>IFERROR(__xludf.DUMMYFUNCTION("IFS(
  AND(REGEXMATCH(E5756, ""台銀籌備帳戶|玉山帳戶""), REGEXMATCH(C5756, ""薪資"")), ""分潤支出"",
  AND(REGEXMATCH(E5756, ""Ben帳戶|Elsa帳戶|Ben代墊|Ariel代墊|中信銀行共用""), REGEXMATCH(F5756, ""Ben帳戶|Elsa帳戶|Ben代墊|Ariel代墊|中信銀行共用"")), ""內部轉帳(忽略)"",
  AND(E5756&lt;&gt;"""", F5756&lt;&gt;"""", N"&amp;"OT(REGEXMATCH(C5756, ""薪資""))), ""內部轉帳(忽略)"",
  REGEXMATCH(C5756, ""薪資""), ""薪資變動(不計入)"",
  REGEXMATCH(C5756, ""押金""), ""押金往來"",
  AND(E5756&lt;&gt;"""", F5756=""""), ""真實支出"",
  AND(E5756="""", F5756&lt;&gt;""""), ""真實收入"",
  TRUE, ""其他""
)"),"其他")</f>
        <v>其他</v>
      </c>
      <c r="K5756" s="270" t="str">
        <f t="shared" si="2"/>
        <v/>
      </c>
      <c r="L5756">
        <f t="shared" si="3"/>
        <v>0</v>
      </c>
    </row>
    <row r="5757">
      <c r="A5757" s="107"/>
      <c r="D5757" s="270"/>
      <c r="H5757" s="106" t="str">
        <f t="shared" si="1"/>
        <v/>
      </c>
      <c r="I5757" s="271" t="str">
        <f>IFERROR(__xludf.DUMMYFUNCTION("""COMPUTED_VALUE"""),"")</f>
        <v/>
      </c>
      <c r="J5757" t="str">
        <f>IFERROR(__xludf.DUMMYFUNCTION("IFS(
  AND(REGEXMATCH(E5757, ""台銀籌備帳戶|玉山帳戶""), REGEXMATCH(C5757, ""薪資"")), ""分潤支出"",
  AND(REGEXMATCH(E5757, ""Ben帳戶|Elsa帳戶|Ben代墊|Ariel代墊|中信銀行共用""), REGEXMATCH(F5757, ""Ben帳戶|Elsa帳戶|Ben代墊|Ariel代墊|中信銀行共用"")), ""內部轉帳(忽略)"",
  AND(E5757&lt;&gt;"""", F5757&lt;&gt;"""", N"&amp;"OT(REGEXMATCH(C5757, ""薪資""))), ""內部轉帳(忽略)"",
  REGEXMATCH(C5757, ""薪資""), ""薪資變動(不計入)"",
  REGEXMATCH(C5757, ""押金""), ""押金往來"",
  AND(E5757&lt;&gt;"""", F5757=""""), ""真實支出"",
  AND(E5757="""", F5757&lt;&gt;""""), ""真實收入"",
  TRUE, ""其他""
)"),"其他")</f>
        <v>其他</v>
      </c>
      <c r="K5757" s="270" t="str">
        <f t="shared" si="2"/>
        <v/>
      </c>
      <c r="L5757">
        <f t="shared" si="3"/>
        <v>0</v>
      </c>
    </row>
    <row r="5758">
      <c r="A5758" s="107"/>
      <c r="D5758" s="270"/>
      <c r="H5758" s="106" t="str">
        <f t="shared" si="1"/>
        <v/>
      </c>
      <c r="I5758" s="271" t="str">
        <f>IFERROR(__xludf.DUMMYFUNCTION("""COMPUTED_VALUE"""),"")</f>
        <v/>
      </c>
      <c r="J5758" t="str">
        <f>IFERROR(__xludf.DUMMYFUNCTION("IFS(
  AND(REGEXMATCH(E5758, ""台銀籌備帳戶|玉山帳戶""), REGEXMATCH(C5758, ""薪資"")), ""分潤支出"",
  AND(REGEXMATCH(E5758, ""Ben帳戶|Elsa帳戶|Ben代墊|Ariel代墊|中信銀行共用""), REGEXMATCH(F5758, ""Ben帳戶|Elsa帳戶|Ben代墊|Ariel代墊|中信銀行共用"")), ""內部轉帳(忽略)"",
  AND(E5758&lt;&gt;"""", F5758&lt;&gt;"""", N"&amp;"OT(REGEXMATCH(C5758, ""薪資""))), ""內部轉帳(忽略)"",
  REGEXMATCH(C5758, ""薪資""), ""薪資變動(不計入)"",
  REGEXMATCH(C5758, ""押金""), ""押金往來"",
  AND(E5758&lt;&gt;"""", F5758=""""), ""真實支出"",
  AND(E5758="""", F5758&lt;&gt;""""), ""真實收入"",
  TRUE, ""其他""
)"),"其他")</f>
        <v>其他</v>
      </c>
      <c r="K5758" s="270" t="str">
        <f t="shared" si="2"/>
        <v/>
      </c>
      <c r="L5758">
        <f t="shared" si="3"/>
        <v>0</v>
      </c>
    </row>
    <row r="5759">
      <c r="A5759" s="107"/>
      <c r="D5759" s="270"/>
      <c r="H5759" s="106" t="str">
        <f t="shared" si="1"/>
        <v/>
      </c>
      <c r="I5759" s="271" t="str">
        <f>IFERROR(__xludf.DUMMYFUNCTION("""COMPUTED_VALUE"""),"")</f>
        <v/>
      </c>
      <c r="J5759" t="str">
        <f>IFERROR(__xludf.DUMMYFUNCTION("IFS(
  AND(REGEXMATCH(E5759, ""台銀籌備帳戶|玉山帳戶""), REGEXMATCH(C5759, ""薪資"")), ""分潤支出"",
  AND(REGEXMATCH(E5759, ""Ben帳戶|Elsa帳戶|Ben代墊|Ariel代墊|中信銀行共用""), REGEXMATCH(F5759, ""Ben帳戶|Elsa帳戶|Ben代墊|Ariel代墊|中信銀行共用"")), ""內部轉帳(忽略)"",
  AND(E5759&lt;&gt;"""", F5759&lt;&gt;"""", N"&amp;"OT(REGEXMATCH(C5759, ""薪資""))), ""內部轉帳(忽略)"",
  REGEXMATCH(C5759, ""薪資""), ""薪資變動(不計入)"",
  REGEXMATCH(C5759, ""押金""), ""押金往來"",
  AND(E5759&lt;&gt;"""", F5759=""""), ""真實支出"",
  AND(E5759="""", F5759&lt;&gt;""""), ""真實收入"",
  TRUE, ""其他""
)"),"其他")</f>
        <v>其他</v>
      </c>
      <c r="K5759" s="270" t="str">
        <f t="shared" si="2"/>
        <v/>
      </c>
      <c r="L5759">
        <f t="shared" si="3"/>
        <v>0</v>
      </c>
    </row>
    <row r="5760">
      <c r="A5760" s="107"/>
      <c r="D5760" s="270"/>
      <c r="H5760" s="106" t="str">
        <f t="shared" si="1"/>
        <v/>
      </c>
      <c r="I5760" s="271" t="str">
        <f>IFERROR(__xludf.DUMMYFUNCTION("""COMPUTED_VALUE"""),"")</f>
        <v/>
      </c>
      <c r="J5760" t="str">
        <f>IFERROR(__xludf.DUMMYFUNCTION("IFS(
  AND(REGEXMATCH(E5760, ""台銀籌備帳戶|玉山帳戶""), REGEXMATCH(C5760, ""薪資"")), ""分潤支出"",
  AND(REGEXMATCH(E5760, ""Ben帳戶|Elsa帳戶|Ben代墊|Ariel代墊|中信銀行共用""), REGEXMATCH(F5760, ""Ben帳戶|Elsa帳戶|Ben代墊|Ariel代墊|中信銀行共用"")), ""內部轉帳(忽略)"",
  AND(E5760&lt;&gt;"""", F5760&lt;&gt;"""", N"&amp;"OT(REGEXMATCH(C5760, ""薪資""))), ""內部轉帳(忽略)"",
  REGEXMATCH(C5760, ""薪資""), ""薪資變動(不計入)"",
  REGEXMATCH(C5760, ""押金""), ""押金往來"",
  AND(E5760&lt;&gt;"""", F5760=""""), ""真實支出"",
  AND(E5760="""", F5760&lt;&gt;""""), ""真實收入"",
  TRUE, ""其他""
)"),"其他")</f>
        <v>其他</v>
      </c>
      <c r="K5760" s="270" t="str">
        <f t="shared" si="2"/>
        <v/>
      </c>
      <c r="L5760">
        <f t="shared" si="3"/>
        <v>0</v>
      </c>
    </row>
    <row r="5761">
      <c r="A5761" s="107"/>
      <c r="D5761" s="270"/>
      <c r="H5761" s="106" t="str">
        <f t="shared" si="1"/>
        <v/>
      </c>
      <c r="I5761" s="271" t="str">
        <f>IFERROR(__xludf.DUMMYFUNCTION("""COMPUTED_VALUE"""),"")</f>
        <v/>
      </c>
      <c r="J5761" t="str">
        <f>IFERROR(__xludf.DUMMYFUNCTION("IFS(
  AND(REGEXMATCH(E5761, ""台銀籌備帳戶|玉山帳戶""), REGEXMATCH(C5761, ""薪資"")), ""分潤支出"",
  AND(REGEXMATCH(E5761, ""Ben帳戶|Elsa帳戶|Ben代墊|Ariel代墊|中信銀行共用""), REGEXMATCH(F5761, ""Ben帳戶|Elsa帳戶|Ben代墊|Ariel代墊|中信銀行共用"")), ""內部轉帳(忽略)"",
  AND(E5761&lt;&gt;"""", F5761&lt;&gt;"""", N"&amp;"OT(REGEXMATCH(C5761, ""薪資""))), ""內部轉帳(忽略)"",
  REGEXMATCH(C5761, ""薪資""), ""薪資變動(不計入)"",
  REGEXMATCH(C5761, ""押金""), ""押金往來"",
  AND(E5761&lt;&gt;"""", F5761=""""), ""真實支出"",
  AND(E5761="""", F5761&lt;&gt;""""), ""真實收入"",
  TRUE, ""其他""
)"),"其他")</f>
        <v>其他</v>
      </c>
      <c r="K5761" s="270" t="str">
        <f t="shared" si="2"/>
        <v/>
      </c>
      <c r="L5761">
        <f t="shared" si="3"/>
        <v>0</v>
      </c>
    </row>
    <row r="5762">
      <c r="A5762" s="107"/>
      <c r="D5762" s="270"/>
      <c r="H5762" s="106" t="str">
        <f t="shared" si="1"/>
        <v/>
      </c>
      <c r="I5762" s="271" t="str">
        <f>IFERROR(__xludf.DUMMYFUNCTION("""COMPUTED_VALUE"""),"")</f>
        <v/>
      </c>
      <c r="J5762" t="str">
        <f>IFERROR(__xludf.DUMMYFUNCTION("IFS(
  AND(REGEXMATCH(E5762, ""台銀籌備帳戶|玉山帳戶""), REGEXMATCH(C5762, ""薪資"")), ""分潤支出"",
  AND(REGEXMATCH(E5762, ""Ben帳戶|Elsa帳戶|Ben代墊|Ariel代墊|中信銀行共用""), REGEXMATCH(F5762, ""Ben帳戶|Elsa帳戶|Ben代墊|Ariel代墊|中信銀行共用"")), ""內部轉帳(忽略)"",
  AND(E5762&lt;&gt;"""", F5762&lt;&gt;"""", N"&amp;"OT(REGEXMATCH(C5762, ""薪資""))), ""內部轉帳(忽略)"",
  REGEXMATCH(C5762, ""薪資""), ""薪資變動(不計入)"",
  REGEXMATCH(C5762, ""押金""), ""押金往來"",
  AND(E5762&lt;&gt;"""", F5762=""""), ""真實支出"",
  AND(E5762="""", F5762&lt;&gt;""""), ""真實收入"",
  TRUE, ""其他""
)"),"其他")</f>
        <v>其他</v>
      </c>
      <c r="K5762" s="270" t="str">
        <f t="shared" si="2"/>
        <v/>
      </c>
      <c r="L5762">
        <f t="shared" si="3"/>
        <v>0</v>
      </c>
    </row>
    <row r="5763">
      <c r="A5763" s="107"/>
      <c r="D5763" s="270"/>
      <c r="H5763" s="106" t="str">
        <f t="shared" si="1"/>
        <v/>
      </c>
      <c r="I5763" s="271" t="str">
        <f>IFERROR(__xludf.DUMMYFUNCTION("""COMPUTED_VALUE"""),"")</f>
        <v/>
      </c>
      <c r="J5763" t="str">
        <f>IFERROR(__xludf.DUMMYFUNCTION("IFS(
  AND(REGEXMATCH(E5763, ""台銀籌備帳戶|玉山帳戶""), REGEXMATCH(C5763, ""薪資"")), ""分潤支出"",
  AND(REGEXMATCH(E5763, ""Ben帳戶|Elsa帳戶|Ben代墊|Ariel代墊|中信銀行共用""), REGEXMATCH(F5763, ""Ben帳戶|Elsa帳戶|Ben代墊|Ariel代墊|中信銀行共用"")), ""內部轉帳(忽略)"",
  AND(E5763&lt;&gt;"""", F5763&lt;&gt;"""", N"&amp;"OT(REGEXMATCH(C5763, ""薪資""))), ""內部轉帳(忽略)"",
  REGEXMATCH(C5763, ""薪資""), ""薪資變動(不計入)"",
  REGEXMATCH(C5763, ""押金""), ""押金往來"",
  AND(E5763&lt;&gt;"""", F5763=""""), ""真實支出"",
  AND(E5763="""", F5763&lt;&gt;""""), ""真實收入"",
  TRUE, ""其他""
)"),"其他")</f>
        <v>其他</v>
      </c>
      <c r="K5763" s="270" t="str">
        <f t="shared" si="2"/>
        <v/>
      </c>
      <c r="L5763">
        <f t="shared" si="3"/>
        <v>0</v>
      </c>
    </row>
    <row r="5764">
      <c r="A5764" s="107"/>
      <c r="D5764" s="270"/>
      <c r="H5764" s="106" t="str">
        <f t="shared" si="1"/>
        <v/>
      </c>
      <c r="I5764" s="271" t="str">
        <f>IFERROR(__xludf.DUMMYFUNCTION("""COMPUTED_VALUE"""),"")</f>
        <v/>
      </c>
      <c r="J5764" t="str">
        <f>IFERROR(__xludf.DUMMYFUNCTION("IFS(
  AND(REGEXMATCH(E5764, ""台銀籌備帳戶|玉山帳戶""), REGEXMATCH(C5764, ""薪資"")), ""分潤支出"",
  AND(REGEXMATCH(E5764, ""Ben帳戶|Elsa帳戶|Ben代墊|Ariel代墊|中信銀行共用""), REGEXMATCH(F5764, ""Ben帳戶|Elsa帳戶|Ben代墊|Ariel代墊|中信銀行共用"")), ""內部轉帳(忽略)"",
  AND(E5764&lt;&gt;"""", F5764&lt;&gt;"""", N"&amp;"OT(REGEXMATCH(C5764, ""薪資""))), ""內部轉帳(忽略)"",
  REGEXMATCH(C5764, ""薪資""), ""薪資變動(不計入)"",
  REGEXMATCH(C5764, ""押金""), ""押金往來"",
  AND(E5764&lt;&gt;"""", F5764=""""), ""真實支出"",
  AND(E5764="""", F5764&lt;&gt;""""), ""真實收入"",
  TRUE, ""其他""
)"),"其他")</f>
        <v>其他</v>
      </c>
      <c r="K5764" s="270" t="str">
        <f t="shared" si="2"/>
        <v/>
      </c>
      <c r="L5764">
        <f t="shared" si="3"/>
        <v>0</v>
      </c>
    </row>
    <row r="5765">
      <c r="A5765" s="107"/>
      <c r="D5765" s="270"/>
      <c r="H5765" s="106" t="str">
        <f t="shared" si="1"/>
        <v/>
      </c>
      <c r="I5765" s="271" t="str">
        <f>IFERROR(__xludf.DUMMYFUNCTION("""COMPUTED_VALUE"""),"")</f>
        <v/>
      </c>
      <c r="J5765" t="str">
        <f>IFERROR(__xludf.DUMMYFUNCTION("IFS(
  AND(REGEXMATCH(E5765, ""台銀籌備帳戶|玉山帳戶""), REGEXMATCH(C5765, ""薪資"")), ""分潤支出"",
  AND(REGEXMATCH(E5765, ""Ben帳戶|Elsa帳戶|Ben代墊|Ariel代墊|中信銀行共用""), REGEXMATCH(F5765, ""Ben帳戶|Elsa帳戶|Ben代墊|Ariel代墊|中信銀行共用"")), ""內部轉帳(忽略)"",
  AND(E5765&lt;&gt;"""", F5765&lt;&gt;"""", N"&amp;"OT(REGEXMATCH(C5765, ""薪資""))), ""內部轉帳(忽略)"",
  REGEXMATCH(C5765, ""薪資""), ""薪資變動(不計入)"",
  REGEXMATCH(C5765, ""押金""), ""押金往來"",
  AND(E5765&lt;&gt;"""", F5765=""""), ""真實支出"",
  AND(E5765="""", F5765&lt;&gt;""""), ""真實收入"",
  TRUE, ""其他""
)"),"其他")</f>
        <v>其他</v>
      </c>
      <c r="K5765" s="270" t="str">
        <f t="shared" si="2"/>
        <v/>
      </c>
      <c r="L5765">
        <f t="shared" si="3"/>
        <v>0</v>
      </c>
    </row>
    <row r="5766">
      <c r="A5766" s="107"/>
      <c r="D5766" s="270"/>
      <c r="H5766" s="106" t="str">
        <f t="shared" si="1"/>
        <v/>
      </c>
      <c r="I5766" s="271" t="str">
        <f>IFERROR(__xludf.DUMMYFUNCTION("""COMPUTED_VALUE"""),"")</f>
        <v/>
      </c>
      <c r="J5766" t="str">
        <f>IFERROR(__xludf.DUMMYFUNCTION("IFS(
  AND(REGEXMATCH(E5766, ""台銀籌備帳戶|玉山帳戶""), REGEXMATCH(C5766, ""薪資"")), ""分潤支出"",
  AND(REGEXMATCH(E5766, ""Ben帳戶|Elsa帳戶|Ben代墊|Ariel代墊|中信銀行共用""), REGEXMATCH(F5766, ""Ben帳戶|Elsa帳戶|Ben代墊|Ariel代墊|中信銀行共用"")), ""內部轉帳(忽略)"",
  AND(E5766&lt;&gt;"""", F5766&lt;&gt;"""", N"&amp;"OT(REGEXMATCH(C5766, ""薪資""))), ""內部轉帳(忽略)"",
  REGEXMATCH(C5766, ""薪資""), ""薪資變動(不計入)"",
  REGEXMATCH(C5766, ""押金""), ""押金往來"",
  AND(E5766&lt;&gt;"""", F5766=""""), ""真實支出"",
  AND(E5766="""", F5766&lt;&gt;""""), ""真實收入"",
  TRUE, ""其他""
)"),"其他")</f>
        <v>其他</v>
      </c>
      <c r="K5766" s="270" t="str">
        <f t="shared" si="2"/>
        <v/>
      </c>
      <c r="L5766">
        <f t="shared" si="3"/>
        <v>0</v>
      </c>
    </row>
    <row r="5767">
      <c r="A5767" s="107"/>
      <c r="D5767" s="270"/>
      <c r="H5767" s="106" t="str">
        <f t="shared" si="1"/>
        <v/>
      </c>
      <c r="I5767" s="271" t="str">
        <f>IFERROR(__xludf.DUMMYFUNCTION("""COMPUTED_VALUE"""),"")</f>
        <v/>
      </c>
      <c r="J5767" t="str">
        <f>IFERROR(__xludf.DUMMYFUNCTION("IFS(
  AND(REGEXMATCH(E5767, ""台銀籌備帳戶|玉山帳戶""), REGEXMATCH(C5767, ""薪資"")), ""分潤支出"",
  AND(REGEXMATCH(E5767, ""Ben帳戶|Elsa帳戶|Ben代墊|Ariel代墊|中信銀行共用""), REGEXMATCH(F5767, ""Ben帳戶|Elsa帳戶|Ben代墊|Ariel代墊|中信銀行共用"")), ""內部轉帳(忽略)"",
  AND(E5767&lt;&gt;"""", F5767&lt;&gt;"""", N"&amp;"OT(REGEXMATCH(C5767, ""薪資""))), ""內部轉帳(忽略)"",
  REGEXMATCH(C5767, ""薪資""), ""薪資變動(不計入)"",
  REGEXMATCH(C5767, ""押金""), ""押金往來"",
  AND(E5767&lt;&gt;"""", F5767=""""), ""真實支出"",
  AND(E5767="""", F5767&lt;&gt;""""), ""真實收入"",
  TRUE, ""其他""
)"),"其他")</f>
        <v>其他</v>
      </c>
      <c r="K5767" s="270" t="str">
        <f t="shared" si="2"/>
        <v/>
      </c>
      <c r="L5767">
        <f t="shared" si="3"/>
        <v>0</v>
      </c>
    </row>
    <row r="5768">
      <c r="A5768" s="107"/>
      <c r="D5768" s="270"/>
      <c r="H5768" s="106" t="str">
        <f t="shared" si="1"/>
        <v/>
      </c>
      <c r="I5768" s="271" t="str">
        <f>IFERROR(__xludf.DUMMYFUNCTION("""COMPUTED_VALUE"""),"")</f>
        <v/>
      </c>
      <c r="J5768" t="str">
        <f>IFERROR(__xludf.DUMMYFUNCTION("IFS(
  AND(REGEXMATCH(E5768, ""台銀籌備帳戶|玉山帳戶""), REGEXMATCH(C5768, ""薪資"")), ""分潤支出"",
  AND(REGEXMATCH(E5768, ""Ben帳戶|Elsa帳戶|Ben代墊|Ariel代墊|中信銀行共用""), REGEXMATCH(F5768, ""Ben帳戶|Elsa帳戶|Ben代墊|Ariel代墊|中信銀行共用"")), ""內部轉帳(忽略)"",
  AND(E5768&lt;&gt;"""", F5768&lt;&gt;"""", N"&amp;"OT(REGEXMATCH(C5768, ""薪資""))), ""內部轉帳(忽略)"",
  REGEXMATCH(C5768, ""薪資""), ""薪資變動(不計入)"",
  REGEXMATCH(C5768, ""押金""), ""押金往來"",
  AND(E5768&lt;&gt;"""", F5768=""""), ""真實支出"",
  AND(E5768="""", F5768&lt;&gt;""""), ""真實收入"",
  TRUE, ""其他""
)"),"其他")</f>
        <v>其他</v>
      </c>
      <c r="K5768" s="270" t="str">
        <f t="shared" si="2"/>
        <v/>
      </c>
      <c r="L5768">
        <f t="shared" si="3"/>
        <v>0</v>
      </c>
    </row>
    <row r="5769">
      <c r="A5769" s="107"/>
      <c r="D5769" s="270"/>
      <c r="H5769" s="106" t="str">
        <f t="shared" si="1"/>
        <v/>
      </c>
      <c r="I5769" s="271" t="str">
        <f>IFERROR(__xludf.DUMMYFUNCTION("""COMPUTED_VALUE"""),"")</f>
        <v/>
      </c>
      <c r="J5769" t="str">
        <f>IFERROR(__xludf.DUMMYFUNCTION("IFS(
  AND(REGEXMATCH(E5769, ""台銀籌備帳戶|玉山帳戶""), REGEXMATCH(C5769, ""薪資"")), ""分潤支出"",
  AND(REGEXMATCH(E5769, ""Ben帳戶|Elsa帳戶|Ben代墊|Ariel代墊|中信銀行共用""), REGEXMATCH(F5769, ""Ben帳戶|Elsa帳戶|Ben代墊|Ariel代墊|中信銀行共用"")), ""內部轉帳(忽略)"",
  AND(E5769&lt;&gt;"""", F5769&lt;&gt;"""", N"&amp;"OT(REGEXMATCH(C5769, ""薪資""))), ""內部轉帳(忽略)"",
  REGEXMATCH(C5769, ""薪資""), ""薪資變動(不計入)"",
  REGEXMATCH(C5769, ""押金""), ""押金往來"",
  AND(E5769&lt;&gt;"""", F5769=""""), ""真實支出"",
  AND(E5769="""", F5769&lt;&gt;""""), ""真實收入"",
  TRUE, ""其他""
)"),"其他")</f>
        <v>其他</v>
      </c>
      <c r="K5769" s="270" t="str">
        <f t="shared" si="2"/>
        <v/>
      </c>
      <c r="L5769">
        <f t="shared" si="3"/>
        <v>0</v>
      </c>
    </row>
    <row r="5770">
      <c r="A5770" s="107"/>
      <c r="D5770" s="270"/>
      <c r="H5770" s="106" t="str">
        <f t="shared" si="1"/>
        <v/>
      </c>
      <c r="I5770" s="271" t="str">
        <f>IFERROR(__xludf.DUMMYFUNCTION("""COMPUTED_VALUE"""),"")</f>
        <v/>
      </c>
      <c r="J5770" t="str">
        <f>IFERROR(__xludf.DUMMYFUNCTION("IFS(
  AND(REGEXMATCH(E5770, ""台銀籌備帳戶|玉山帳戶""), REGEXMATCH(C5770, ""薪資"")), ""分潤支出"",
  AND(REGEXMATCH(E5770, ""Ben帳戶|Elsa帳戶|Ben代墊|Ariel代墊|中信銀行共用""), REGEXMATCH(F5770, ""Ben帳戶|Elsa帳戶|Ben代墊|Ariel代墊|中信銀行共用"")), ""內部轉帳(忽略)"",
  AND(E5770&lt;&gt;"""", F5770&lt;&gt;"""", N"&amp;"OT(REGEXMATCH(C5770, ""薪資""))), ""內部轉帳(忽略)"",
  REGEXMATCH(C5770, ""薪資""), ""薪資變動(不計入)"",
  REGEXMATCH(C5770, ""押金""), ""押金往來"",
  AND(E5770&lt;&gt;"""", F5770=""""), ""真實支出"",
  AND(E5770="""", F5770&lt;&gt;""""), ""真實收入"",
  TRUE, ""其他""
)"),"其他")</f>
        <v>其他</v>
      </c>
      <c r="K5770" s="270" t="str">
        <f t="shared" si="2"/>
        <v/>
      </c>
      <c r="L5770">
        <f t="shared" si="3"/>
        <v>0</v>
      </c>
    </row>
    <row r="5771">
      <c r="A5771" s="107"/>
      <c r="D5771" s="270"/>
      <c r="H5771" s="106" t="str">
        <f t="shared" si="1"/>
        <v/>
      </c>
      <c r="I5771" s="271" t="str">
        <f>IFERROR(__xludf.DUMMYFUNCTION("""COMPUTED_VALUE"""),"")</f>
        <v/>
      </c>
      <c r="J5771" t="str">
        <f>IFERROR(__xludf.DUMMYFUNCTION("IFS(
  AND(REGEXMATCH(E5771, ""台銀籌備帳戶|玉山帳戶""), REGEXMATCH(C5771, ""薪資"")), ""分潤支出"",
  AND(REGEXMATCH(E5771, ""Ben帳戶|Elsa帳戶|Ben代墊|Ariel代墊|中信銀行共用""), REGEXMATCH(F5771, ""Ben帳戶|Elsa帳戶|Ben代墊|Ariel代墊|中信銀行共用"")), ""內部轉帳(忽略)"",
  AND(E5771&lt;&gt;"""", F5771&lt;&gt;"""", N"&amp;"OT(REGEXMATCH(C5771, ""薪資""))), ""內部轉帳(忽略)"",
  REGEXMATCH(C5771, ""薪資""), ""薪資變動(不計入)"",
  REGEXMATCH(C5771, ""押金""), ""押金往來"",
  AND(E5771&lt;&gt;"""", F5771=""""), ""真實支出"",
  AND(E5771="""", F5771&lt;&gt;""""), ""真實收入"",
  TRUE, ""其他""
)"),"其他")</f>
        <v>其他</v>
      </c>
      <c r="K5771" s="270" t="str">
        <f t="shared" si="2"/>
        <v/>
      </c>
      <c r="L5771">
        <f t="shared" si="3"/>
        <v>0</v>
      </c>
    </row>
    <row r="5772">
      <c r="A5772" s="107"/>
      <c r="D5772" s="270"/>
      <c r="H5772" s="106" t="str">
        <f t="shared" si="1"/>
        <v/>
      </c>
      <c r="I5772" s="271" t="str">
        <f>IFERROR(__xludf.DUMMYFUNCTION("""COMPUTED_VALUE"""),"")</f>
        <v/>
      </c>
      <c r="J5772" t="str">
        <f>IFERROR(__xludf.DUMMYFUNCTION("IFS(
  AND(REGEXMATCH(E5772, ""台銀籌備帳戶|玉山帳戶""), REGEXMATCH(C5772, ""薪資"")), ""分潤支出"",
  AND(REGEXMATCH(E5772, ""Ben帳戶|Elsa帳戶|Ben代墊|Ariel代墊|中信銀行共用""), REGEXMATCH(F5772, ""Ben帳戶|Elsa帳戶|Ben代墊|Ariel代墊|中信銀行共用"")), ""內部轉帳(忽略)"",
  AND(E5772&lt;&gt;"""", F5772&lt;&gt;"""", N"&amp;"OT(REGEXMATCH(C5772, ""薪資""))), ""內部轉帳(忽略)"",
  REGEXMATCH(C5772, ""薪資""), ""薪資變動(不計入)"",
  REGEXMATCH(C5772, ""押金""), ""押金往來"",
  AND(E5772&lt;&gt;"""", F5772=""""), ""真實支出"",
  AND(E5772="""", F5772&lt;&gt;""""), ""真實收入"",
  TRUE, ""其他""
)"),"其他")</f>
        <v>其他</v>
      </c>
      <c r="K5772" s="270" t="str">
        <f t="shared" si="2"/>
        <v/>
      </c>
      <c r="L5772">
        <f t="shared" si="3"/>
        <v>0</v>
      </c>
    </row>
    <row r="5773">
      <c r="A5773" s="107"/>
      <c r="D5773" s="270"/>
      <c r="H5773" s="106" t="str">
        <f t="shared" si="1"/>
        <v/>
      </c>
      <c r="I5773" s="271" t="str">
        <f>IFERROR(__xludf.DUMMYFUNCTION("""COMPUTED_VALUE"""),"")</f>
        <v/>
      </c>
      <c r="J5773" t="str">
        <f>IFERROR(__xludf.DUMMYFUNCTION("IFS(
  AND(REGEXMATCH(E5773, ""台銀籌備帳戶|玉山帳戶""), REGEXMATCH(C5773, ""薪資"")), ""分潤支出"",
  AND(REGEXMATCH(E5773, ""Ben帳戶|Elsa帳戶|Ben代墊|Ariel代墊|中信銀行共用""), REGEXMATCH(F5773, ""Ben帳戶|Elsa帳戶|Ben代墊|Ariel代墊|中信銀行共用"")), ""內部轉帳(忽略)"",
  AND(E5773&lt;&gt;"""", F5773&lt;&gt;"""", N"&amp;"OT(REGEXMATCH(C5773, ""薪資""))), ""內部轉帳(忽略)"",
  REGEXMATCH(C5773, ""薪資""), ""薪資變動(不計入)"",
  REGEXMATCH(C5773, ""押金""), ""押金往來"",
  AND(E5773&lt;&gt;"""", F5773=""""), ""真實支出"",
  AND(E5773="""", F5773&lt;&gt;""""), ""真實收入"",
  TRUE, ""其他""
)"),"其他")</f>
        <v>其他</v>
      </c>
      <c r="K5773" s="270" t="str">
        <f t="shared" si="2"/>
        <v/>
      </c>
      <c r="L5773">
        <f t="shared" si="3"/>
        <v>0</v>
      </c>
    </row>
    <row r="5774">
      <c r="A5774" s="107"/>
      <c r="D5774" s="270"/>
      <c r="H5774" s="106" t="str">
        <f t="shared" si="1"/>
        <v/>
      </c>
      <c r="I5774" s="271" t="str">
        <f>IFERROR(__xludf.DUMMYFUNCTION("""COMPUTED_VALUE"""),"")</f>
        <v/>
      </c>
      <c r="J5774" t="str">
        <f>IFERROR(__xludf.DUMMYFUNCTION("IFS(
  AND(REGEXMATCH(E5774, ""台銀籌備帳戶|玉山帳戶""), REGEXMATCH(C5774, ""薪資"")), ""分潤支出"",
  AND(REGEXMATCH(E5774, ""Ben帳戶|Elsa帳戶|Ben代墊|Ariel代墊|中信銀行共用""), REGEXMATCH(F5774, ""Ben帳戶|Elsa帳戶|Ben代墊|Ariel代墊|中信銀行共用"")), ""內部轉帳(忽略)"",
  AND(E5774&lt;&gt;"""", F5774&lt;&gt;"""", N"&amp;"OT(REGEXMATCH(C5774, ""薪資""))), ""內部轉帳(忽略)"",
  REGEXMATCH(C5774, ""薪資""), ""薪資變動(不計入)"",
  REGEXMATCH(C5774, ""押金""), ""押金往來"",
  AND(E5774&lt;&gt;"""", F5774=""""), ""真實支出"",
  AND(E5774="""", F5774&lt;&gt;""""), ""真實收入"",
  TRUE, ""其他""
)"),"其他")</f>
        <v>其他</v>
      </c>
      <c r="K5774" s="270" t="str">
        <f t="shared" si="2"/>
        <v/>
      </c>
      <c r="L5774">
        <f t="shared" si="3"/>
        <v>0</v>
      </c>
    </row>
    <row r="5775">
      <c r="A5775" s="107"/>
      <c r="D5775" s="270"/>
      <c r="H5775" s="106" t="str">
        <f t="shared" si="1"/>
        <v/>
      </c>
      <c r="I5775" s="271" t="str">
        <f>IFERROR(__xludf.DUMMYFUNCTION("""COMPUTED_VALUE"""),"")</f>
        <v/>
      </c>
      <c r="J5775" t="str">
        <f>IFERROR(__xludf.DUMMYFUNCTION("IFS(
  AND(REGEXMATCH(E5775, ""台銀籌備帳戶|玉山帳戶""), REGEXMATCH(C5775, ""薪資"")), ""分潤支出"",
  AND(REGEXMATCH(E5775, ""Ben帳戶|Elsa帳戶|Ben代墊|Ariel代墊|中信銀行共用""), REGEXMATCH(F5775, ""Ben帳戶|Elsa帳戶|Ben代墊|Ariel代墊|中信銀行共用"")), ""內部轉帳(忽略)"",
  AND(E5775&lt;&gt;"""", F5775&lt;&gt;"""", N"&amp;"OT(REGEXMATCH(C5775, ""薪資""))), ""內部轉帳(忽略)"",
  REGEXMATCH(C5775, ""薪資""), ""薪資變動(不計入)"",
  REGEXMATCH(C5775, ""押金""), ""押金往來"",
  AND(E5775&lt;&gt;"""", F5775=""""), ""真實支出"",
  AND(E5775="""", F5775&lt;&gt;""""), ""真實收入"",
  TRUE, ""其他""
)"),"其他")</f>
        <v>其他</v>
      </c>
      <c r="K5775" s="270" t="str">
        <f t="shared" si="2"/>
        <v/>
      </c>
      <c r="L5775">
        <f t="shared" si="3"/>
        <v>0</v>
      </c>
    </row>
    <row r="5776">
      <c r="A5776" s="107"/>
      <c r="D5776" s="270"/>
      <c r="H5776" s="106" t="str">
        <f t="shared" si="1"/>
        <v/>
      </c>
      <c r="I5776" s="271" t="str">
        <f>IFERROR(__xludf.DUMMYFUNCTION("""COMPUTED_VALUE"""),"")</f>
        <v/>
      </c>
      <c r="J5776" t="str">
        <f>IFERROR(__xludf.DUMMYFUNCTION("IFS(
  AND(REGEXMATCH(E5776, ""台銀籌備帳戶|玉山帳戶""), REGEXMATCH(C5776, ""薪資"")), ""分潤支出"",
  AND(REGEXMATCH(E5776, ""Ben帳戶|Elsa帳戶|Ben代墊|Ariel代墊|中信銀行共用""), REGEXMATCH(F5776, ""Ben帳戶|Elsa帳戶|Ben代墊|Ariel代墊|中信銀行共用"")), ""內部轉帳(忽略)"",
  AND(E5776&lt;&gt;"""", F5776&lt;&gt;"""", N"&amp;"OT(REGEXMATCH(C5776, ""薪資""))), ""內部轉帳(忽略)"",
  REGEXMATCH(C5776, ""薪資""), ""薪資變動(不計入)"",
  REGEXMATCH(C5776, ""押金""), ""押金往來"",
  AND(E5776&lt;&gt;"""", F5776=""""), ""真實支出"",
  AND(E5776="""", F5776&lt;&gt;""""), ""真實收入"",
  TRUE, ""其他""
)"),"其他")</f>
        <v>其他</v>
      </c>
      <c r="K5776" s="270" t="str">
        <f t="shared" si="2"/>
        <v/>
      </c>
      <c r="L5776">
        <f t="shared" si="3"/>
        <v>0</v>
      </c>
    </row>
    <row r="5777">
      <c r="A5777" s="107"/>
      <c r="D5777" s="270"/>
      <c r="H5777" s="106" t="str">
        <f t="shared" si="1"/>
        <v/>
      </c>
      <c r="I5777" s="271" t="str">
        <f>IFERROR(__xludf.DUMMYFUNCTION("""COMPUTED_VALUE"""),"")</f>
        <v/>
      </c>
      <c r="J5777" t="str">
        <f>IFERROR(__xludf.DUMMYFUNCTION("IFS(
  AND(REGEXMATCH(E5777, ""台銀籌備帳戶|玉山帳戶""), REGEXMATCH(C5777, ""薪資"")), ""分潤支出"",
  AND(REGEXMATCH(E5777, ""Ben帳戶|Elsa帳戶|Ben代墊|Ariel代墊|中信銀行共用""), REGEXMATCH(F5777, ""Ben帳戶|Elsa帳戶|Ben代墊|Ariel代墊|中信銀行共用"")), ""內部轉帳(忽略)"",
  AND(E5777&lt;&gt;"""", F5777&lt;&gt;"""", N"&amp;"OT(REGEXMATCH(C5777, ""薪資""))), ""內部轉帳(忽略)"",
  REGEXMATCH(C5777, ""薪資""), ""薪資變動(不計入)"",
  REGEXMATCH(C5777, ""押金""), ""押金往來"",
  AND(E5777&lt;&gt;"""", F5777=""""), ""真實支出"",
  AND(E5777="""", F5777&lt;&gt;""""), ""真實收入"",
  TRUE, ""其他""
)"),"其他")</f>
        <v>其他</v>
      </c>
      <c r="K5777" s="270" t="str">
        <f t="shared" si="2"/>
        <v/>
      </c>
      <c r="L5777">
        <f t="shared" si="3"/>
        <v>0</v>
      </c>
    </row>
    <row r="5778">
      <c r="A5778" s="107"/>
      <c r="D5778" s="270"/>
      <c r="H5778" s="106" t="str">
        <f t="shared" si="1"/>
        <v/>
      </c>
      <c r="I5778" s="271" t="str">
        <f>IFERROR(__xludf.DUMMYFUNCTION("""COMPUTED_VALUE"""),"")</f>
        <v/>
      </c>
      <c r="J5778" t="str">
        <f>IFERROR(__xludf.DUMMYFUNCTION("IFS(
  AND(REGEXMATCH(E5778, ""台銀籌備帳戶|玉山帳戶""), REGEXMATCH(C5778, ""薪資"")), ""分潤支出"",
  AND(REGEXMATCH(E5778, ""Ben帳戶|Elsa帳戶|Ben代墊|Ariel代墊|中信銀行共用""), REGEXMATCH(F5778, ""Ben帳戶|Elsa帳戶|Ben代墊|Ariel代墊|中信銀行共用"")), ""內部轉帳(忽略)"",
  AND(E5778&lt;&gt;"""", F5778&lt;&gt;"""", N"&amp;"OT(REGEXMATCH(C5778, ""薪資""))), ""內部轉帳(忽略)"",
  REGEXMATCH(C5778, ""薪資""), ""薪資變動(不計入)"",
  REGEXMATCH(C5778, ""押金""), ""押金往來"",
  AND(E5778&lt;&gt;"""", F5778=""""), ""真實支出"",
  AND(E5778="""", F5778&lt;&gt;""""), ""真實收入"",
  TRUE, ""其他""
)"),"其他")</f>
        <v>其他</v>
      </c>
      <c r="K5778" s="270" t="str">
        <f t="shared" si="2"/>
        <v/>
      </c>
      <c r="L5778">
        <f t="shared" si="3"/>
        <v>0</v>
      </c>
    </row>
    <row r="5779">
      <c r="A5779" s="107"/>
      <c r="D5779" s="270"/>
      <c r="H5779" s="106" t="str">
        <f t="shared" si="1"/>
        <v/>
      </c>
      <c r="I5779" s="271" t="str">
        <f>IFERROR(__xludf.DUMMYFUNCTION("""COMPUTED_VALUE"""),"")</f>
        <v/>
      </c>
      <c r="J5779" t="str">
        <f>IFERROR(__xludf.DUMMYFUNCTION("IFS(
  AND(REGEXMATCH(E5779, ""台銀籌備帳戶|玉山帳戶""), REGEXMATCH(C5779, ""薪資"")), ""分潤支出"",
  AND(REGEXMATCH(E5779, ""Ben帳戶|Elsa帳戶|Ben代墊|Ariel代墊|中信銀行共用""), REGEXMATCH(F5779, ""Ben帳戶|Elsa帳戶|Ben代墊|Ariel代墊|中信銀行共用"")), ""內部轉帳(忽略)"",
  AND(E5779&lt;&gt;"""", F5779&lt;&gt;"""", N"&amp;"OT(REGEXMATCH(C5779, ""薪資""))), ""內部轉帳(忽略)"",
  REGEXMATCH(C5779, ""薪資""), ""薪資變動(不計入)"",
  REGEXMATCH(C5779, ""押金""), ""押金往來"",
  AND(E5779&lt;&gt;"""", F5779=""""), ""真實支出"",
  AND(E5779="""", F5779&lt;&gt;""""), ""真實收入"",
  TRUE, ""其他""
)"),"其他")</f>
        <v>其他</v>
      </c>
      <c r="K5779" s="270" t="str">
        <f t="shared" si="2"/>
        <v/>
      </c>
      <c r="L5779">
        <f t="shared" si="3"/>
        <v>0</v>
      </c>
    </row>
    <row r="5780">
      <c r="A5780" s="107"/>
      <c r="D5780" s="270"/>
      <c r="H5780" s="106" t="str">
        <f t="shared" si="1"/>
        <v/>
      </c>
      <c r="I5780" s="271" t="str">
        <f>IFERROR(__xludf.DUMMYFUNCTION("""COMPUTED_VALUE"""),"")</f>
        <v/>
      </c>
      <c r="J5780" t="str">
        <f>IFERROR(__xludf.DUMMYFUNCTION("IFS(
  AND(REGEXMATCH(E5780, ""台銀籌備帳戶|玉山帳戶""), REGEXMATCH(C5780, ""薪資"")), ""分潤支出"",
  AND(REGEXMATCH(E5780, ""Ben帳戶|Elsa帳戶|Ben代墊|Ariel代墊|中信銀行共用""), REGEXMATCH(F5780, ""Ben帳戶|Elsa帳戶|Ben代墊|Ariel代墊|中信銀行共用"")), ""內部轉帳(忽略)"",
  AND(E5780&lt;&gt;"""", F5780&lt;&gt;"""", N"&amp;"OT(REGEXMATCH(C5780, ""薪資""))), ""內部轉帳(忽略)"",
  REGEXMATCH(C5780, ""薪資""), ""薪資變動(不計入)"",
  REGEXMATCH(C5780, ""押金""), ""押金往來"",
  AND(E5780&lt;&gt;"""", F5780=""""), ""真實支出"",
  AND(E5780="""", F5780&lt;&gt;""""), ""真實收入"",
  TRUE, ""其他""
)"),"其他")</f>
        <v>其他</v>
      </c>
      <c r="K5780" s="270" t="str">
        <f t="shared" si="2"/>
        <v/>
      </c>
      <c r="L5780">
        <f t="shared" si="3"/>
        <v>0</v>
      </c>
    </row>
    <row r="5781">
      <c r="A5781" s="107"/>
      <c r="D5781" s="270"/>
      <c r="H5781" s="106" t="str">
        <f t="shared" si="1"/>
        <v/>
      </c>
      <c r="I5781" s="271" t="str">
        <f>IFERROR(__xludf.DUMMYFUNCTION("""COMPUTED_VALUE"""),"")</f>
        <v/>
      </c>
      <c r="J5781" t="str">
        <f>IFERROR(__xludf.DUMMYFUNCTION("IFS(
  AND(REGEXMATCH(E5781, ""台銀籌備帳戶|玉山帳戶""), REGEXMATCH(C5781, ""薪資"")), ""分潤支出"",
  AND(REGEXMATCH(E5781, ""Ben帳戶|Elsa帳戶|Ben代墊|Ariel代墊|中信銀行共用""), REGEXMATCH(F5781, ""Ben帳戶|Elsa帳戶|Ben代墊|Ariel代墊|中信銀行共用"")), ""內部轉帳(忽略)"",
  AND(E5781&lt;&gt;"""", F5781&lt;&gt;"""", N"&amp;"OT(REGEXMATCH(C5781, ""薪資""))), ""內部轉帳(忽略)"",
  REGEXMATCH(C5781, ""薪資""), ""薪資變動(不計入)"",
  REGEXMATCH(C5781, ""押金""), ""押金往來"",
  AND(E5781&lt;&gt;"""", F5781=""""), ""真實支出"",
  AND(E5781="""", F5781&lt;&gt;""""), ""真實收入"",
  TRUE, ""其他""
)"),"其他")</f>
        <v>其他</v>
      </c>
      <c r="K5781" s="270" t="str">
        <f t="shared" si="2"/>
        <v/>
      </c>
      <c r="L5781">
        <f t="shared" si="3"/>
        <v>0</v>
      </c>
    </row>
    <row r="5782">
      <c r="A5782" s="107"/>
      <c r="D5782" s="270"/>
      <c r="H5782" s="106" t="str">
        <f t="shared" si="1"/>
        <v/>
      </c>
      <c r="I5782" s="271" t="str">
        <f>IFERROR(__xludf.DUMMYFUNCTION("""COMPUTED_VALUE"""),"")</f>
        <v/>
      </c>
      <c r="J5782" t="str">
        <f>IFERROR(__xludf.DUMMYFUNCTION("IFS(
  AND(REGEXMATCH(E5782, ""台銀籌備帳戶|玉山帳戶""), REGEXMATCH(C5782, ""薪資"")), ""分潤支出"",
  AND(REGEXMATCH(E5782, ""Ben帳戶|Elsa帳戶|Ben代墊|Ariel代墊|中信銀行共用""), REGEXMATCH(F5782, ""Ben帳戶|Elsa帳戶|Ben代墊|Ariel代墊|中信銀行共用"")), ""內部轉帳(忽略)"",
  AND(E5782&lt;&gt;"""", F5782&lt;&gt;"""", N"&amp;"OT(REGEXMATCH(C5782, ""薪資""))), ""內部轉帳(忽略)"",
  REGEXMATCH(C5782, ""薪資""), ""薪資變動(不計入)"",
  REGEXMATCH(C5782, ""押金""), ""押金往來"",
  AND(E5782&lt;&gt;"""", F5782=""""), ""真實支出"",
  AND(E5782="""", F5782&lt;&gt;""""), ""真實收入"",
  TRUE, ""其他""
)"),"其他")</f>
        <v>其他</v>
      </c>
      <c r="K5782" s="270" t="str">
        <f t="shared" si="2"/>
        <v/>
      </c>
      <c r="L5782">
        <f t="shared" si="3"/>
        <v>0</v>
      </c>
    </row>
    <row r="5783">
      <c r="A5783" s="107"/>
      <c r="D5783" s="270"/>
      <c r="H5783" s="106" t="str">
        <f t="shared" si="1"/>
        <v/>
      </c>
      <c r="I5783" s="271" t="str">
        <f>IFERROR(__xludf.DUMMYFUNCTION("""COMPUTED_VALUE"""),"")</f>
        <v/>
      </c>
      <c r="J5783" t="str">
        <f>IFERROR(__xludf.DUMMYFUNCTION("IFS(
  AND(REGEXMATCH(E5783, ""台銀籌備帳戶|玉山帳戶""), REGEXMATCH(C5783, ""薪資"")), ""分潤支出"",
  AND(REGEXMATCH(E5783, ""Ben帳戶|Elsa帳戶|Ben代墊|Ariel代墊|中信銀行共用""), REGEXMATCH(F5783, ""Ben帳戶|Elsa帳戶|Ben代墊|Ariel代墊|中信銀行共用"")), ""內部轉帳(忽略)"",
  AND(E5783&lt;&gt;"""", F5783&lt;&gt;"""", N"&amp;"OT(REGEXMATCH(C5783, ""薪資""))), ""內部轉帳(忽略)"",
  REGEXMATCH(C5783, ""薪資""), ""薪資變動(不計入)"",
  REGEXMATCH(C5783, ""押金""), ""押金往來"",
  AND(E5783&lt;&gt;"""", F5783=""""), ""真實支出"",
  AND(E5783="""", F5783&lt;&gt;""""), ""真實收入"",
  TRUE, ""其他""
)"),"其他")</f>
        <v>其他</v>
      </c>
      <c r="K5783" s="270" t="str">
        <f t="shared" si="2"/>
        <v/>
      </c>
      <c r="L5783">
        <f t="shared" si="3"/>
        <v>0</v>
      </c>
    </row>
    <row r="5784">
      <c r="A5784" s="107"/>
      <c r="D5784" s="270"/>
      <c r="H5784" s="106" t="str">
        <f t="shared" si="1"/>
        <v/>
      </c>
      <c r="I5784" s="271" t="str">
        <f>IFERROR(__xludf.DUMMYFUNCTION("""COMPUTED_VALUE"""),"")</f>
        <v/>
      </c>
      <c r="J5784" t="str">
        <f>IFERROR(__xludf.DUMMYFUNCTION("IFS(
  AND(REGEXMATCH(E5784, ""台銀籌備帳戶|玉山帳戶""), REGEXMATCH(C5784, ""薪資"")), ""分潤支出"",
  AND(REGEXMATCH(E5784, ""Ben帳戶|Elsa帳戶|Ben代墊|Ariel代墊|中信銀行共用""), REGEXMATCH(F5784, ""Ben帳戶|Elsa帳戶|Ben代墊|Ariel代墊|中信銀行共用"")), ""內部轉帳(忽略)"",
  AND(E5784&lt;&gt;"""", F5784&lt;&gt;"""", N"&amp;"OT(REGEXMATCH(C5784, ""薪資""))), ""內部轉帳(忽略)"",
  REGEXMATCH(C5784, ""薪資""), ""薪資變動(不計入)"",
  REGEXMATCH(C5784, ""押金""), ""押金往來"",
  AND(E5784&lt;&gt;"""", F5784=""""), ""真實支出"",
  AND(E5784="""", F5784&lt;&gt;""""), ""真實收入"",
  TRUE, ""其他""
)"),"其他")</f>
        <v>其他</v>
      </c>
      <c r="K5784" s="270" t="str">
        <f t="shared" si="2"/>
        <v/>
      </c>
      <c r="L5784">
        <f t="shared" si="3"/>
        <v>0</v>
      </c>
    </row>
    <row r="5785">
      <c r="A5785" s="107"/>
      <c r="D5785" s="270"/>
      <c r="H5785" s="106" t="str">
        <f t="shared" si="1"/>
        <v/>
      </c>
      <c r="I5785" s="271" t="str">
        <f>IFERROR(__xludf.DUMMYFUNCTION("""COMPUTED_VALUE"""),"")</f>
        <v/>
      </c>
      <c r="J5785" t="str">
        <f>IFERROR(__xludf.DUMMYFUNCTION("IFS(
  AND(REGEXMATCH(E5785, ""台銀籌備帳戶|玉山帳戶""), REGEXMATCH(C5785, ""薪資"")), ""分潤支出"",
  AND(REGEXMATCH(E5785, ""Ben帳戶|Elsa帳戶|Ben代墊|Ariel代墊|中信銀行共用""), REGEXMATCH(F5785, ""Ben帳戶|Elsa帳戶|Ben代墊|Ariel代墊|中信銀行共用"")), ""內部轉帳(忽略)"",
  AND(E5785&lt;&gt;"""", F5785&lt;&gt;"""", N"&amp;"OT(REGEXMATCH(C5785, ""薪資""))), ""內部轉帳(忽略)"",
  REGEXMATCH(C5785, ""薪資""), ""薪資變動(不計入)"",
  REGEXMATCH(C5785, ""押金""), ""押金往來"",
  AND(E5785&lt;&gt;"""", F5785=""""), ""真實支出"",
  AND(E5785="""", F5785&lt;&gt;""""), ""真實收入"",
  TRUE, ""其他""
)"),"其他")</f>
        <v>其他</v>
      </c>
      <c r="K5785" s="270" t="str">
        <f t="shared" si="2"/>
        <v/>
      </c>
      <c r="L5785">
        <f t="shared" si="3"/>
        <v>0</v>
      </c>
    </row>
    <row r="5786">
      <c r="A5786" s="107"/>
      <c r="D5786" s="270"/>
      <c r="H5786" s="106" t="str">
        <f t="shared" si="1"/>
        <v/>
      </c>
      <c r="I5786" s="271" t="str">
        <f>IFERROR(__xludf.DUMMYFUNCTION("""COMPUTED_VALUE"""),"")</f>
        <v/>
      </c>
      <c r="J5786" t="str">
        <f>IFERROR(__xludf.DUMMYFUNCTION("IFS(
  AND(REGEXMATCH(E5786, ""台銀籌備帳戶|玉山帳戶""), REGEXMATCH(C5786, ""薪資"")), ""分潤支出"",
  AND(REGEXMATCH(E5786, ""Ben帳戶|Elsa帳戶|Ben代墊|Ariel代墊|中信銀行共用""), REGEXMATCH(F5786, ""Ben帳戶|Elsa帳戶|Ben代墊|Ariel代墊|中信銀行共用"")), ""內部轉帳(忽略)"",
  AND(E5786&lt;&gt;"""", F5786&lt;&gt;"""", N"&amp;"OT(REGEXMATCH(C5786, ""薪資""))), ""內部轉帳(忽略)"",
  REGEXMATCH(C5786, ""薪資""), ""薪資變動(不計入)"",
  REGEXMATCH(C5786, ""押金""), ""押金往來"",
  AND(E5786&lt;&gt;"""", F5786=""""), ""真實支出"",
  AND(E5786="""", F5786&lt;&gt;""""), ""真實收入"",
  TRUE, ""其他""
)"),"其他")</f>
        <v>其他</v>
      </c>
      <c r="K5786" s="270" t="str">
        <f t="shared" si="2"/>
        <v/>
      </c>
      <c r="L5786">
        <f t="shared" si="3"/>
        <v>0</v>
      </c>
    </row>
    <row r="5787">
      <c r="A5787" s="107"/>
      <c r="D5787" s="270"/>
      <c r="H5787" s="106" t="str">
        <f t="shared" si="1"/>
        <v/>
      </c>
      <c r="I5787" s="271" t="str">
        <f>IFERROR(__xludf.DUMMYFUNCTION("""COMPUTED_VALUE"""),"")</f>
        <v/>
      </c>
      <c r="J5787" t="str">
        <f>IFERROR(__xludf.DUMMYFUNCTION("IFS(
  AND(REGEXMATCH(E5787, ""台銀籌備帳戶|玉山帳戶""), REGEXMATCH(C5787, ""薪資"")), ""分潤支出"",
  AND(REGEXMATCH(E5787, ""Ben帳戶|Elsa帳戶|Ben代墊|Ariel代墊|中信銀行共用""), REGEXMATCH(F5787, ""Ben帳戶|Elsa帳戶|Ben代墊|Ariel代墊|中信銀行共用"")), ""內部轉帳(忽略)"",
  AND(E5787&lt;&gt;"""", F5787&lt;&gt;"""", N"&amp;"OT(REGEXMATCH(C5787, ""薪資""))), ""內部轉帳(忽略)"",
  REGEXMATCH(C5787, ""薪資""), ""薪資變動(不計入)"",
  REGEXMATCH(C5787, ""押金""), ""押金往來"",
  AND(E5787&lt;&gt;"""", F5787=""""), ""真實支出"",
  AND(E5787="""", F5787&lt;&gt;""""), ""真實收入"",
  TRUE, ""其他""
)"),"其他")</f>
        <v>其他</v>
      </c>
      <c r="K5787" s="270" t="str">
        <f t="shared" si="2"/>
        <v/>
      </c>
      <c r="L5787">
        <f t="shared" si="3"/>
        <v>0</v>
      </c>
    </row>
    <row r="5788">
      <c r="A5788" s="107"/>
      <c r="D5788" s="270"/>
      <c r="H5788" s="106" t="str">
        <f t="shared" si="1"/>
        <v/>
      </c>
      <c r="I5788" s="271" t="str">
        <f>IFERROR(__xludf.DUMMYFUNCTION("""COMPUTED_VALUE"""),"")</f>
        <v/>
      </c>
      <c r="J5788" t="str">
        <f>IFERROR(__xludf.DUMMYFUNCTION("IFS(
  AND(REGEXMATCH(E5788, ""台銀籌備帳戶|玉山帳戶""), REGEXMATCH(C5788, ""薪資"")), ""分潤支出"",
  AND(REGEXMATCH(E5788, ""Ben帳戶|Elsa帳戶|Ben代墊|Ariel代墊|中信銀行共用""), REGEXMATCH(F5788, ""Ben帳戶|Elsa帳戶|Ben代墊|Ariel代墊|中信銀行共用"")), ""內部轉帳(忽略)"",
  AND(E5788&lt;&gt;"""", F5788&lt;&gt;"""", N"&amp;"OT(REGEXMATCH(C5788, ""薪資""))), ""內部轉帳(忽略)"",
  REGEXMATCH(C5788, ""薪資""), ""薪資變動(不計入)"",
  REGEXMATCH(C5788, ""押金""), ""押金往來"",
  AND(E5788&lt;&gt;"""", F5788=""""), ""真實支出"",
  AND(E5788="""", F5788&lt;&gt;""""), ""真實收入"",
  TRUE, ""其他""
)"),"其他")</f>
        <v>其他</v>
      </c>
      <c r="K5788" s="270" t="str">
        <f t="shared" si="2"/>
        <v/>
      </c>
      <c r="L5788">
        <f t="shared" si="3"/>
        <v>0</v>
      </c>
    </row>
    <row r="5789">
      <c r="A5789" s="107"/>
      <c r="D5789" s="270"/>
      <c r="H5789" s="106" t="str">
        <f t="shared" si="1"/>
        <v/>
      </c>
      <c r="I5789" s="271" t="str">
        <f>IFERROR(__xludf.DUMMYFUNCTION("""COMPUTED_VALUE"""),"")</f>
        <v/>
      </c>
      <c r="J5789" t="str">
        <f>IFERROR(__xludf.DUMMYFUNCTION("IFS(
  AND(REGEXMATCH(E5789, ""台銀籌備帳戶|玉山帳戶""), REGEXMATCH(C5789, ""薪資"")), ""分潤支出"",
  AND(REGEXMATCH(E5789, ""Ben帳戶|Elsa帳戶|Ben代墊|Ariel代墊|中信銀行共用""), REGEXMATCH(F5789, ""Ben帳戶|Elsa帳戶|Ben代墊|Ariel代墊|中信銀行共用"")), ""內部轉帳(忽略)"",
  AND(E5789&lt;&gt;"""", F5789&lt;&gt;"""", N"&amp;"OT(REGEXMATCH(C5789, ""薪資""))), ""內部轉帳(忽略)"",
  REGEXMATCH(C5789, ""薪資""), ""薪資變動(不計入)"",
  REGEXMATCH(C5789, ""押金""), ""押金往來"",
  AND(E5789&lt;&gt;"""", F5789=""""), ""真實支出"",
  AND(E5789="""", F5789&lt;&gt;""""), ""真實收入"",
  TRUE, ""其他""
)"),"其他")</f>
        <v>其他</v>
      </c>
      <c r="K5789" s="270" t="str">
        <f t="shared" si="2"/>
        <v/>
      </c>
      <c r="L5789">
        <f t="shared" si="3"/>
        <v>0</v>
      </c>
    </row>
    <row r="5790">
      <c r="A5790" s="107"/>
      <c r="D5790" s="270"/>
      <c r="H5790" s="106" t="str">
        <f t="shared" si="1"/>
        <v/>
      </c>
      <c r="I5790" s="271" t="str">
        <f>IFERROR(__xludf.DUMMYFUNCTION("""COMPUTED_VALUE"""),"")</f>
        <v/>
      </c>
      <c r="J5790" t="str">
        <f>IFERROR(__xludf.DUMMYFUNCTION("IFS(
  AND(REGEXMATCH(E5790, ""台銀籌備帳戶|玉山帳戶""), REGEXMATCH(C5790, ""薪資"")), ""分潤支出"",
  AND(REGEXMATCH(E5790, ""Ben帳戶|Elsa帳戶|Ben代墊|Ariel代墊|中信銀行共用""), REGEXMATCH(F5790, ""Ben帳戶|Elsa帳戶|Ben代墊|Ariel代墊|中信銀行共用"")), ""內部轉帳(忽略)"",
  AND(E5790&lt;&gt;"""", F5790&lt;&gt;"""", N"&amp;"OT(REGEXMATCH(C5790, ""薪資""))), ""內部轉帳(忽略)"",
  REGEXMATCH(C5790, ""薪資""), ""薪資變動(不計入)"",
  REGEXMATCH(C5790, ""押金""), ""押金往來"",
  AND(E5790&lt;&gt;"""", F5790=""""), ""真實支出"",
  AND(E5790="""", F5790&lt;&gt;""""), ""真實收入"",
  TRUE, ""其他""
)"),"其他")</f>
        <v>其他</v>
      </c>
      <c r="K5790" s="270" t="str">
        <f t="shared" si="2"/>
        <v/>
      </c>
      <c r="L5790">
        <f t="shared" si="3"/>
        <v>0</v>
      </c>
    </row>
    <row r="5791">
      <c r="A5791" s="107"/>
      <c r="D5791" s="270"/>
      <c r="H5791" s="106" t="str">
        <f t="shared" si="1"/>
        <v/>
      </c>
      <c r="I5791" s="271" t="str">
        <f>IFERROR(__xludf.DUMMYFUNCTION("""COMPUTED_VALUE"""),"")</f>
        <v/>
      </c>
      <c r="J5791" t="str">
        <f>IFERROR(__xludf.DUMMYFUNCTION("IFS(
  AND(REGEXMATCH(E5791, ""台銀籌備帳戶|玉山帳戶""), REGEXMATCH(C5791, ""薪資"")), ""分潤支出"",
  AND(REGEXMATCH(E5791, ""Ben帳戶|Elsa帳戶|Ben代墊|Ariel代墊|中信銀行共用""), REGEXMATCH(F5791, ""Ben帳戶|Elsa帳戶|Ben代墊|Ariel代墊|中信銀行共用"")), ""內部轉帳(忽略)"",
  AND(E5791&lt;&gt;"""", F5791&lt;&gt;"""", N"&amp;"OT(REGEXMATCH(C5791, ""薪資""))), ""內部轉帳(忽略)"",
  REGEXMATCH(C5791, ""薪資""), ""薪資變動(不計入)"",
  REGEXMATCH(C5791, ""押金""), ""押金往來"",
  AND(E5791&lt;&gt;"""", F5791=""""), ""真實支出"",
  AND(E5791="""", F5791&lt;&gt;""""), ""真實收入"",
  TRUE, ""其他""
)"),"其他")</f>
        <v>其他</v>
      </c>
      <c r="K5791" s="270" t="str">
        <f t="shared" si="2"/>
        <v/>
      </c>
      <c r="L5791">
        <f t="shared" si="3"/>
        <v>0</v>
      </c>
    </row>
    <row r="5792">
      <c r="A5792" s="107"/>
      <c r="D5792" s="270"/>
      <c r="H5792" s="106" t="str">
        <f t="shared" si="1"/>
        <v/>
      </c>
      <c r="I5792" s="271" t="str">
        <f>IFERROR(__xludf.DUMMYFUNCTION("""COMPUTED_VALUE"""),"")</f>
        <v/>
      </c>
      <c r="J5792" t="str">
        <f>IFERROR(__xludf.DUMMYFUNCTION("IFS(
  AND(REGEXMATCH(E5792, ""台銀籌備帳戶|玉山帳戶""), REGEXMATCH(C5792, ""薪資"")), ""分潤支出"",
  AND(REGEXMATCH(E5792, ""Ben帳戶|Elsa帳戶|Ben代墊|Ariel代墊|中信銀行共用""), REGEXMATCH(F5792, ""Ben帳戶|Elsa帳戶|Ben代墊|Ariel代墊|中信銀行共用"")), ""內部轉帳(忽略)"",
  AND(E5792&lt;&gt;"""", F5792&lt;&gt;"""", N"&amp;"OT(REGEXMATCH(C5792, ""薪資""))), ""內部轉帳(忽略)"",
  REGEXMATCH(C5792, ""薪資""), ""薪資變動(不計入)"",
  REGEXMATCH(C5792, ""押金""), ""押金往來"",
  AND(E5792&lt;&gt;"""", F5792=""""), ""真實支出"",
  AND(E5792="""", F5792&lt;&gt;""""), ""真實收入"",
  TRUE, ""其他""
)"),"其他")</f>
        <v>其他</v>
      </c>
      <c r="K5792" s="270" t="str">
        <f t="shared" si="2"/>
        <v/>
      </c>
      <c r="L5792">
        <f t="shared" si="3"/>
        <v>0</v>
      </c>
    </row>
    <row r="5793">
      <c r="A5793" s="107"/>
      <c r="D5793" s="270"/>
      <c r="H5793" s="106" t="str">
        <f t="shared" si="1"/>
        <v/>
      </c>
      <c r="I5793" s="271" t="str">
        <f>IFERROR(__xludf.DUMMYFUNCTION("""COMPUTED_VALUE"""),"")</f>
        <v/>
      </c>
      <c r="J5793" t="str">
        <f>IFERROR(__xludf.DUMMYFUNCTION("IFS(
  AND(REGEXMATCH(E5793, ""台銀籌備帳戶|玉山帳戶""), REGEXMATCH(C5793, ""薪資"")), ""分潤支出"",
  AND(REGEXMATCH(E5793, ""Ben帳戶|Elsa帳戶|Ben代墊|Ariel代墊|中信銀行共用""), REGEXMATCH(F5793, ""Ben帳戶|Elsa帳戶|Ben代墊|Ariel代墊|中信銀行共用"")), ""內部轉帳(忽略)"",
  AND(E5793&lt;&gt;"""", F5793&lt;&gt;"""", N"&amp;"OT(REGEXMATCH(C5793, ""薪資""))), ""內部轉帳(忽略)"",
  REGEXMATCH(C5793, ""薪資""), ""薪資變動(不計入)"",
  REGEXMATCH(C5793, ""押金""), ""押金往來"",
  AND(E5793&lt;&gt;"""", F5793=""""), ""真實支出"",
  AND(E5793="""", F5793&lt;&gt;""""), ""真實收入"",
  TRUE, ""其他""
)"),"其他")</f>
        <v>其他</v>
      </c>
      <c r="K5793" s="270" t="str">
        <f t="shared" si="2"/>
        <v/>
      </c>
      <c r="L5793">
        <f t="shared" si="3"/>
        <v>0</v>
      </c>
    </row>
    <row r="5794">
      <c r="A5794" s="107"/>
      <c r="D5794" s="270"/>
      <c r="H5794" s="106" t="str">
        <f t="shared" si="1"/>
        <v/>
      </c>
      <c r="I5794" s="271" t="str">
        <f>IFERROR(__xludf.DUMMYFUNCTION("""COMPUTED_VALUE"""),"")</f>
        <v/>
      </c>
      <c r="J5794" t="str">
        <f>IFERROR(__xludf.DUMMYFUNCTION("IFS(
  AND(REGEXMATCH(E5794, ""台銀籌備帳戶|玉山帳戶""), REGEXMATCH(C5794, ""薪資"")), ""分潤支出"",
  AND(REGEXMATCH(E5794, ""Ben帳戶|Elsa帳戶|Ben代墊|Ariel代墊|中信銀行共用""), REGEXMATCH(F5794, ""Ben帳戶|Elsa帳戶|Ben代墊|Ariel代墊|中信銀行共用"")), ""內部轉帳(忽略)"",
  AND(E5794&lt;&gt;"""", F5794&lt;&gt;"""", N"&amp;"OT(REGEXMATCH(C5794, ""薪資""))), ""內部轉帳(忽略)"",
  REGEXMATCH(C5794, ""薪資""), ""薪資變動(不計入)"",
  REGEXMATCH(C5794, ""押金""), ""押金往來"",
  AND(E5794&lt;&gt;"""", F5794=""""), ""真實支出"",
  AND(E5794="""", F5794&lt;&gt;""""), ""真實收入"",
  TRUE, ""其他""
)"),"其他")</f>
        <v>其他</v>
      </c>
      <c r="K5794" s="270" t="str">
        <f t="shared" si="2"/>
        <v/>
      </c>
      <c r="L5794">
        <f t="shared" si="3"/>
        <v>0</v>
      </c>
    </row>
    <row r="5795">
      <c r="A5795" s="107"/>
      <c r="D5795" s="270"/>
      <c r="H5795" s="106" t="str">
        <f t="shared" si="1"/>
        <v/>
      </c>
      <c r="I5795" s="271" t="str">
        <f>IFERROR(__xludf.DUMMYFUNCTION("""COMPUTED_VALUE"""),"")</f>
        <v/>
      </c>
      <c r="J5795" t="str">
        <f>IFERROR(__xludf.DUMMYFUNCTION("IFS(
  AND(REGEXMATCH(E5795, ""台銀籌備帳戶|玉山帳戶""), REGEXMATCH(C5795, ""薪資"")), ""分潤支出"",
  AND(REGEXMATCH(E5795, ""Ben帳戶|Elsa帳戶|Ben代墊|Ariel代墊|中信銀行共用""), REGEXMATCH(F5795, ""Ben帳戶|Elsa帳戶|Ben代墊|Ariel代墊|中信銀行共用"")), ""內部轉帳(忽略)"",
  AND(E5795&lt;&gt;"""", F5795&lt;&gt;"""", N"&amp;"OT(REGEXMATCH(C5795, ""薪資""))), ""內部轉帳(忽略)"",
  REGEXMATCH(C5795, ""薪資""), ""薪資變動(不計入)"",
  REGEXMATCH(C5795, ""押金""), ""押金往來"",
  AND(E5795&lt;&gt;"""", F5795=""""), ""真實支出"",
  AND(E5795="""", F5795&lt;&gt;""""), ""真實收入"",
  TRUE, ""其他""
)"),"其他")</f>
        <v>其他</v>
      </c>
      <c r="K5795" s="270" t="str">
        <f t="shared" si="2"/>
        <v/>
      </c>
      <c r="L5795">
        <f t="shared" si="3"/>
        <v>0</v>
      </c>
    </row>
    <row r="5796">
      <c r="A5796" s="107"/>
      <c r="D5796" s="270"/>
      <c r="H5796" s="106" t="str">
        <f t="shared" si="1"/>
        <v/>
      </c>
      <c r="I5796" s="271" t="str">
        <f>IFERROR(__xludf.DUMMYFUNCTION("""COMPUTED_VALUE"""),"")</f>
        <v/>
      </c>
      <c r="J5796" t="str">
        <f>IFERROR(__xludf.DUMMYFUNCTION("IFS(
  AND(REGEXMATCH(E5796, ""台銀籌備帳戶|玉山帳戶""), REGEXMATCH(C5796, ""薪資"")), ""分潤支出"",
  AND(REGEXMATCH(E5796, ""Ben帳戶|Elsa帳戶|Ben代墊|Ariel代墊|中信銀行共用""), REGEXMATCH(F5796, ""Ben帳戶|Elsa帳戶|Ben代墊|Ariel代墊|中信銀行共用"")), ""內部轉帳(忽略)"",
  AND(E5796&lt;&gt;"""", F5796&lt;&gt;"""", N"&amp;"OT(REGEXMATCH(C5796, ""薪資""))), ""內部轉帳(忽略)"",
  REGEXMATCH(C5796, ""薪資""), ""薪資變動(不計入)"",
  REGEXMATCH(C5796, ""押金""), ""押金往來"",
  AND(E5796&lt;&gt;"""", F5796=""""), ""真實支出"",
  AND(E5796="""", F5796&lt;&gt;""""), ""真實收入"",
  TRUE, ""其他""
)"),"其他")</f>
        <v>其他</v>
      </c>
      <c r="K5796" s="270" t="str">
        <f t="shared" si="2"/>
        <v/>
      </c>
      <c r="L5796">
        <f t="shared" si="3"/>
        <v>0</v>
      </c>
    </row>
    <row r="5797">
      <c r="A5797" s="107"/>
      <c r="D5797" s="270"/>
      <c r="H5797" s="106" t="str">
        <f t="shared" si="1"/>
        <v/>
      </c>
      <c r="I5797" s="271" t="str">
        <f>IFERROR(__xludf.DUMMYFUNCTION("""COMPUTED_VALUE"""),"")</f>
        <v/>
      </c>
      <c r="J5797" t="str">
        <f>IFERROR(__xludf.DUMMYFUNCTION("IFS(
  AND(REGEXMATCH(E5797, ""台銀籌備帳戶|玉山帳戶""), REGEXMATCH(C5797, ""薪資"")), ""分潤支出"",
  AND(REGEXMATCH(E5797, ""Ben帳戶|Elsa帳戶|Ben代墊|Ariel代墊|中信銀行共用""), REGEXMATCH(F5797, ""Ben帳戶|Elsa帳戶|Ben代墊|Ariel代墊|中信銀行共用"")), ""內部轉帳(忽略)"",
  AND(E5797&lt;&gt;"""", F5797&lt;&gt;"""", N"&amp;"OT(REGEXMATCH(C5797, ""薪資""))), ""內部轉帳(忽略)"",
  REGEXMATCH(C5797, ""薪資""), ""薪資變動(不計入)"",
  REGEXMATCH(C5797, ""押金""), ""押金往來"",
  AND(E5797&lt;&gt;"""", F5797=""""), ""真實支出"",
  AND(E5797="""", F5797&lt;&gt;""""), ""真實收入"",
  TRUE, ""其他""
)"),"其他")</f>
        <v>其他</v>
      </c>
      <c r="K5797" s="270" t="str">
        <f t="shared" si="2"/>
        <v/>
      </c>
      <c r="L5797">
        <f t="shared" si="3"/>
        <v>0</v>
      </c>
    </row>
    <row r="5798">
      <c r="A5798" s="107"/>
      <c r="D5798" s="270"/>
      <c r="H5798" s="106" t="str">
        <f t="shared" si="1"/>
        <v/>
      </c>
      <c r="I5798" s="271" t="str">
        <f>IFERROR(__xludf.DUMMYFUNCTION("""COMPUTED_VALUE"""),"")</f>
        <v/>
      </c>
      <c r="J5798" t="str">
        <f>IFERROR(__xludf.DUMMYFUNCTION("IFS(
  AND(REGEXMATCH(E5798, ""台銀籌備帳戶|玉山帳戶""), REGEXMATCH(C5798, ""薪資"")), ""分潤支出"",
  AND(REGEXMATCH(E5798, ""Ben帳戶|Elsa帳戶|Ben代墊|Ariel代墊|中信銀行共用""), REGEXMATCH(F5798, ""Ben帳戶|Elsa帳戶|Ben代墊|Ariel代墊|中信銀行共用"")), ""內部轉帳(忽略)"",
  AND(E5798&lt;&gt;"""", F5798&lt;&gt;"""", N"&amp;"OT(REGEXMATCH(C5798, ""薪資""))), ""內部轉帳(忽略)"",
  REGEXMATCH(C5798, ""薪資""), ""薪資變動(不計入)"",
  REGEXMATCH(C5798, ""押金""), ""押金往來"",
  AND(E5798&lt;&gt;"""", F5798=""""), ""真實支出"",
  AND(E5798="""", F5798&lt;&gt;""""), ""真實收入"",
  TRUE, ""其他""
)"),"其他")</f>
        <v>其他</v>
      </c>
      <c r="K5798" s="270" t="str">
        <f t="shared" si="2"/>
        <v/>
      </c>
      <c r="L5798">
        <f t="shared" si="3"/>
        <v>0</v>
      </c>
    </row>
    <row r="5799">
      <c r="A5799" s="107"/>
      <c r="D5799" s="270"/>
      <c r="H5799" s="106" t="str">
        <f t="shared" si="1"/>
        <v/>
      </c>
      <c r="I5799" s="271" t="str">
        <f>IFERROR(__xludf.DUMMYFUNCTION("""COMPUTED_VALUE"""),"")</f>
        <v/>
      </c>
      <c r="J5799" t="str">
        <f>IFERROR(__xludf.DUMMYFUNCTION("IFS(
  AND(REGEXMATCH(E5799, ""台銀籌備帳戶|玉山帳戶""), REGEXMATCH(C5799, ""薪資"")), ""分潤支出"",
  AND(REGEXMATCH(E5799, ""Ben帳戶|Elsa帳戶|Ben代墊|Ariel代墊|中信銀行共用""), REGEXMATCH(F5799, ""Ben帳戶|Elsa帳戶|Ben代墊|Ariel代墊|中信銀行共用"")), ""內部轉帳(忽略)"",
  AND(E5799&lt;&gt;"""", F5799&lt;&gt;"""", N"&amp;"OT(REGEXMATCH(C5799, ""薪資""))), ""內部轉帳(忽略)"",
  REGEXMATCH(C5799, ""薪資""), ""薪資變動(不計入)"",
  REGEXMATCH(C5799, ""押金""), ""押金往來"",
  AND(E5799&lt;&gt;"""", F5799=""""), ""真實支出"",
  AND(E5799="""", F5799&lt;&gt;""""), ""真實收入"",
  TRUE, ""其他""
)"),"其他")</f>
        <v>其他</v>
      </c>
      <c r="K5799" s="270" t="str">
        <f t="shared" si="2"/>
        <v/>
      </c>
      <c r="L5799">
        <f t="shared" si="3"/>
        <v>0</v>
      </c>
    </row>
    <row r="5800">
      <c r="A5800" s="107"/>
      <c r="D5800" s="270"/>
      <c r="H5800" s="106" t="str">
        <f t="shared" si="1"/>
        <v/>
      </c>
      <c r="I5800" s="271" t="str">
        <f>IFERROR(__xludf.DUMMYFUNCTION("""COMPUTED_VALUE"""),"")</f>
        <v/>
      </c>
      <c r="J5800" t="str">
        <f>IFERROR(__xludf.DUMMYFUNCTION("IFS(
  AND(REGEXMATCH(E5800, ""台銀籌備帳戶|玉山帳戶""), REGEXMATCH(C5800, ""薪資"")), ""分潤支出"",
  AND(REGEXMATCH(E5800, ""Ben帳戶|Elsa帳戶|Ben代墊|Ariel代墊|中信銀行共用""), REGEXMATCH(F5800, ""Ben帳戶|Elsa帳戶|Ben代墊|Ariel代墊|中信銀行共用"")), ""內部轉帳(忽略)"",
  AND(E5800&lt;&gt;"""", F5800&lt;&gt;"""", N"&amp;"OT(REGEXMATCH(C5800, ""薪資""))), ""內部轉帳(忽略)"",
  REGEXMATCH(C5800, ""薪資""), ""薪資變動(不計入)"",
  REGEXMATCH(C5800, ""押金""), ""押金往來"",
  AND(E5800&lt;&gt;"""", F5800=""""), ""真實支出"",
  AND(E5800="""", F5800&lt;&gt;""""), ""真實收入"",
  TRUE, ""其他""
)"),"其他")</f>
        <v>其他</v>
      </c>
      <c r="K5800" s="270" t="str">
        <f t="shared" si="2"/>
        <v/>
      </c>
      <c r="L5800">
        <f t="shared" si="3"/>
        <v>0</v>
      </c>
    </row>
    <row r="5801">
      <c r="A5801" s="107"/>
      <c r="D5801" s="270"/>
      <c r="H5801" s="106" t="str">
        <f t="shared" si="1"/>
        <v/>
      </c>
      <c r="I5801" s="271" t="str">
        <f>IFERROR(__xludf.DUMMYFUNCTION("""COMPUTED_VALUE"""),"")</f>
        <v/>
      </c>
      <c r="J5801" t="str">
        <f>IFERROR(__xludf.DUMMYFUNCTION("IFS(
  AND(REGEXMATCH(E5801, ""台銀籌備帳戶|玉山帳戶""), REGEXMATCH(C5801, ""薪資"")), ""分潤支出"",
  AND(REGEXMATCH(E5801, ""Ben帳戶|Elsa帳戶|Ben代墊|Ariel代墊|中信銀行共用""), REGEXMATCH(F5801, ""Ben帳戶|Elsa帳戶|Ben代墊|Ariel代墊|中信銀行共用"")), ""內部轉帳(忽略)"",
  AND(E5801&lt;&gt;"""", F5801&lt;&gt;"""", N"&amp;"OT(REGEXMATCH(C5801, ""薪資""))), ""內部轉帳(忽略)"",
  REGEXMATCH(C5801, ""薪資""), ""薪資變動(不計入)"",
  REGEXMATCH(C5801, ""押金""), ""押金往來"",
  AND(E5801&lt;&gt;"""", F5801=""""), ""真實支出"",
  AND(E5801="""", F5801&lt;&gt;""""), ""真實收入"",
  TRUE, ""其他""
)"),"其他")</f>
        <v>其他</v>
      </c>
      <c r="K5801" s="270" t="str">
        <f t="shared" si="2"/>
        <v/>
      </c>
      <c r="L5801">
        <f t="shared" si="3"/>
        <v>0</v>
      </c>
    </row>
    <row r="5802">
      <c r="A5802" s="107"/>
      <c r="D5802" s="270"/>
      <c r="H5802" s="106" t="str">
        <f t="shared" si="1"/>
        <v/>
      </c>
      <c r="I5802" s="271" t="str">
        <f>IFERROR(__xludf.DUMMYFUNCTION("""COMPUTED_VALUE"""),"")</f>
        <v/>
      </c>
      <c r="J5802" t="str">
        <f>IFERROR(__xludf.DUMMYFUNCTION("IFS(
  AND(REGEXMATCH(E5802, ""台銀籌備帳戶|玉山帳戶""), REGEXMATCH(C5802, ""薪資"")), ""分潤支出"",
  AND(REGEXMATCH(E5802, ""Ben帳戶|Elsa帳戶|Ben代墊|Ariel代墊|中信銀行共用""), REGEXMATCH(F5802, ""Ben帳戶|Elsa帳戶|Ben代墊|Ariel代墊|中信銀行共用"")), ""內部轉帳(忽略)"",
  AND(E5802&lt;&gt;"""", F5802&lt;&gt;"""", N"&amp;"OT(REGEXMATCH(C5802, ""薪資""))), ""內部轉帳(忽略)"",
  REGEXMATCH(C5802, ""薪資""), ""薪資變動(不計入)"",
  REGEXMATCH(C5802, ""押金""), ""押金往來"",
  AND(E5802&lt;&gt;"""", F5802=""""), ""真實支出"",
  AND(E5802="""", F5802&lt;&gt;""""), ""真實收入"",
  TRUE, ""其他""
)"),"其他")</f>
        <v>其他</v>
      </c>
      <c r="K5802" s="270" t="str">
        <f t="shared" si="2"/>
        <v/>
      </c>
      <c r="L5802">
        <f t="shared" si="3"/>
        <v>0</v>
      </c>
    </row>
    <row r="5803">
      <c r="A5803" s="107"/>
      <c r="D5803" s="270"/>
      <c r="H5803" s="106" t="str">
        <f t="shared" si="1"/>
        <v/>
      </c>
      <c r="I5803" s="271" t="str">
        <f>IFERROR(__xludf.DUMMYFUNCTION("""COMPUTED_VALUE"""),"")</f>
        <v/>
      </c>
      <c r="J5803" t="str">
        <f>IFERROR(__xludf.DUMMYFUNCTION("IFS(
  AND(REGEXMATCH(E5803, ""台銀籌備帳戶|玉山帳戶""), REGEXMATCH(C5803, ""薪資"")), ""分潤支出"",
  AND(REGEXMATCH(E5803, ""Ben帳戶|Elsa帳戶|Ben代墊|Ariel代墊|中信銀行共用""), REGEXMATCH(F5803, ""Ben帳戶|Elsa帳戶|Ben代墊|Ariel代墊|中信銀行共用"")), ""內部轉帳(忽略)"",
  AND(E5803&lt;&gt;"""", F5803&lt;&gt;"""", N"&amp;"OT(REGEXMATCH(C5803, ""薪資""))), ""內部轉帳(忽略)"",
  REGEXMATCH(C5803, ""薪資""), ""薪資變動(不計入)"",
  REGEXMATCH(C5803, ""押金""), ""押金往來"",
  AND(E5803&lt;&gt;"""", F5803=""""), ""真實支出"",
  AND(E5803="""", F5803&lt;&gt;""""), ""真實收入"",
  TRUE, ""其他""
)"),"其他")</f>
        <v>其他</v>
      </c>
      <c r="K5803" s="270" t="str">
        <f t="shared" si="2"/>
        <v/>
      </c>
      <c r="L5803">
        <f t="shared" si="3"/>
        <v>0</v>
      </c>
    </row>
    <row r="5804">
      <c r="A5804" s="107"/>
      <c r="D5804" s="270"/>
      <c r="H5804" s="106" t="str">
        <f t="shared" si="1"/>
        <v/>
      </c>
      <c r="I5804" s="271" t="str">
        <f>IFERROR(__xludf.DUMMYFUNCTION("""COMPUTED_VALUE"""),"")</f>
        <v/>
      </c>
      <c r="J5804" t="str">
        <f>IFERROR(__xludf.DUMMYFUNCTION("IFS(
  AND(REGEXMATCH(E5804, ""台銀籌備帳戶|玉山帳戶""), REGEXMATCH(C5804, ""薪資"")), ""分潤支出"",
  AND(REGEXMATCH(E5804, ""Ben帳戶|Elsa帳戶|Ben代墊|Ariel代墊|中信銀行共用""), REGEXMATCH(F5804, ""Ben帳戶|Elsa帳戶|Ben代墊|Ariel代墊|中信銀行共用"")), ""內部轉帳(忽略)"",
  AND(E5804&lt;&gt;"""", F5804&lt;&gt;"""", N"&amp;"OT(REGEXMATCH(C5804, ""薪資""))), ""內部轉帳(忽略)"",
  REGEXMATCH(C5804, ""薪資""), ""薪資變動(不計入)"",
  REGEXMATCH(C5804, ""押金""), ""押金往來"",
  AND(E5804&lt;&gt;"""", F5804=""""), ""真實支出"",
  AND(E5804="""", F5804&lt;&gt;""""), ""真實收入"",
  TRUE, ""其他""
)"),"其他")</f>
        <v>其他</v>
      </c>
      <c r="K5804" s="270" t="str">
        <f t="shared" si="2"/>
        <v/>
      </c>
      <c r="L5804">
        <f t="shared" si="3"/>
        <v>0</v>
      </c>
    </row>
    <row r="5805">
      <c r="A5805" s="107"/>
      <c r="D5805" s="270"/>
      <c r="H5805" s="106" t="str">
        <f t="shared" si="1"/>
        <v/>
      </c>
      <c r="I5805" s="271" t="str">
        <f>IFERROR(__xludf.DUMMYFUNCTION("""COMPUTED_VALUE"""),"")</f>
        <v/>
      </c>
      <c r="J5805" t="str">
        <f>IFERROR(__xludf.DUMMYFUNCTION("IFS(
  AND(REGEXMATCH(E5805, ""台銀籌備帳戶|玉山帳戶""), REGEXMATCH(C5805, ""薪資"")), ""分潤支出"",
  AND(REGEXMATCH(E5805, ""Ben帳戶|Elsa帳戶|Ben代墊|Ariel代墊|中信銀行共用""), REGEXMATCH(F5805, ""Ben帳戶|Elsa帳戶|Ben代墊|Ariel代墊|中信銀行共用"")), ""內部轉帳(忽略)"",
  AND(E5805&lt;&gt;"""", F5805&lt;&gt;"""", N"&amp;"OT(REGEXMATCH(C5805, ""薪資""))), ""內部轉帳(忽略)"",
  REGEXMATCH(C5805, ""薪資""), ""薪資變動(不計入)"",
  REGEXMATCH(C5805, ""押金""), ""押金往來"",
  AND(E5805&lt;&gt;"""", F5805=""""), ""真實支出"",
  AND(E5805="""", F5805&lt;&gt;""""), ""真實收入"",
  TRUE, ""其他""
)"),"其他")</f>
        <v>其他</v>
      </c>
      <c r="K5805" s="270" t="str">
        <f t="shared" si="2"/>
        <v/>
      </c>
      <c r="L5805">
        <f t="shared" si="3"/>
        <v>0</v>
      </c>
    </row>
    <row r="5806">
      <c r="A5806" s="107"/>
      <c r="D5806" s="270"/>
      <c r="H5806" s="106" t="str">
        <f t="shared" si="1"/>
        <v/>
      </c>
      <c r="I5806" s="271" t="str">
        <f>IFERROR(__xludf.DUMMYFUNCTION("""COMPUTED_VALUE"""),"")</f>
        <v/>
      </c>
      <c r="J5806" t="str">
        <f>IFERROR(__xludf.DUMMYFUNCTION("IFS(
  AND(REGEXMATCH(E5806, ""台銀籌備帳戶|玉山帳戶""), REGEXMATCH(C5806, ""薪資"")), ""分潤支出"",
  AND(REGEXMATCH(E5806, ""Ben帳戶|Elsa帳戶|Ben代墊|Ariel代墊|中信銀行共用""), REGEXMATCH(F5806, ""Ben帳戶|Elsa帳戶|Ben代墊|Ariel代墊|中信銀行共用"")), ""內部轉帳(忽略)"",
  AND(E5806&lt;&gt;"""", F5806&lt;&gt;"""", N"&amp;"OT(REGEXMATCH(C5806, ""薪資""))), ""內部轉帳(忽略)"",
  REGEXMATCH(C5806, ""薪資""), ""薪資變動(不計入)"",
  REGEXMATCH(C5806, ""押金""), ""押金往來"",
  AND(E5806&lt;&gt;"""", F5806=""""), ""真實支出"",
  AND(E5806="""", F5806&lt;&gt;""""), ""真實收入"",
  TRUE, ""其他""
)"),"其他")</f>
        <v>其他</v>
      </c>
      <c r="K5806" s="270" t="str">
        <f t="shared" si="2"/>
        <v/>
      </c>
      <c r="L5806">
        <f t="shared" si="3"/>
        <v>0</v>
      </c>
    </row>
    <row r="5807">
      <c r="A5807" s="107"/>
      <c r="D5807" s="270"/>
      <c r="H5807" s="106" t="str">
        <f t="shared" si="1"/>
        <v/>
      </c>
      <c r="I5807" s="271" t="str">
        <f>IFERROR(__xludf.DUMMYFUNCTION("""COMPUTED_VALUE"""),"")</f>
        <v/>
      </c>
      <c r="J5807" t="str">
        <f>IFERROR(__xludf.DUMMYFUNCTION("IFS(
  AND(REGEXMATCH(E5807, ""台銀籌備帳戶|玉山帳戶""), REGEXMATCH(C5807, ""薪資"")), ""分潤支出"",
  AND(REGEXMATCH(E5807, ""Ben帳戶|Elsa帳戶|Ben代墊|Ariel代墊|中信銀行共用""), REGEXMATCH(F5807, ""Ben帳戶|Elsa帳戶|Ben代墊|Ariel代墊|中信銀行共用"")), ""內部轉帳(忽略)"",
  AND(E5807&lt;&gt;"""", F5807&lt;&gt;"""", N"&amp;"OT(REGEXMATCH(C5807, ""薪資""))), ""內部轉帳(忽略)"",
  REGEXMATCH(C5807, ""薪資""), ""薪資變動(不計入)"",
  REGEXMATCH(C5807, ""押金""), ""押金往來"",
  AND(E5807&lt;&gt;"""", F5807=""""), ""真實支出"",
  AND(E5807="""", F5807&lt;&gt;""""), ""真實收入"",
  TRUE, ""其他""
)"),"其他")</f>
        <v>其他</v>
      </c>
      <c r="K5807" s="270" t="str">
        <f t="shared" si="2"/>
        <v/>
      </c>
      <c r="L5807">
        <f t="shared" si="3"/>
        <v>0</v>
      </c>
    </row>
    <row r="5808">
      <c r="A5808" s="107"/>
      <c r="D5808" s="270"/>
      <c r="H5808" s="106" t="str">
        <f t="shared" si="1"/>
        <v/>
      </c>
      <c r="I5808" s="271" t="str">
        <f>IFERROR(__xludf.DUMMYFUNCTION("""COMPUTED_VALUE"""),"")</f>
        <v/>
      </c>
      <c r="J5808" t="str">
        <f>IFERROR(__xludf.DUMMYFUNCTION("IFS(
  AND(REGEXMATCH(E5808, ""台銀籌備帳戶|玉山帳戶""), REGEXMATCH(C5808, ""薪資"")), ""分潤支出"",
  AND(REGEXMATCH(E5808, ""Ben帳戶|Elsa帳戶|Ben代墊|Ariel代墊|中信銀行共用""), REGEXMATCH(F5808, ""Ben帳戶|Elsa帳戶|Ben代墊|Ariel代墊|中信銀行共用"")), ""內部轉帳(忽略)"",
  AND(E5808&lt;&gt;"""", F5808&lt;&gt;"""", N"&amp;"OT(REGEXMATCH(C5808, ""薪資""))), ""內部轉帳(忽略)"",
  REGEXMATCH(C5808, ""薪資""), ""薪資變動(不計入)"",
  REGEXMATCH(C5808, ""押金""), ""押金往來"",
  AND(E5808&lt;&gt;"""", F5808=""""), ""真實支出"",
  AND(E5808="""", F5808&lt;&gt;""""), ""真實收入"",
  TRUE, ""其他""
)"),"其他")</f>
        <v>其他</v>
      </c>
      <c r="K5808" s="270" t="str">
        <f t="shared" si="2"/>
        <v/>
      </c>
      <c r="L5808">
        <f t="shared" si="3"/>
        <v>0</v>
      </c>
    </row>
    <row r="5809">
      <c r="A5809" s="107"/>
      <c r="D5809" s="270"/>
      <c r="H5809" s="106" t="str">
        <f t="shared" si="1"/>
        <v/>
      </c>
      <c r="I5809" s="271" t="str">
        <f>IFERROR(__xludf.DUMMYFUNCTION("""COMPUTED_VALUE"""),"")</f>
        <v/>
      </c>
      <c r="J5809" t="str">
        <f>IFERROR(__xludf.DUMMYFUNCTION("IFS(
  AND(REGEXMATCH(E5809, ""台銀籌備帳戶|玉山帳戶""), REGEXMATCH(C5809, ""薪資"")), ""分潤支出"",
  AND(REGEXMATCH(E5809, ""Ben帳戶|Elsa帳戶|Ben代墊|Ariel代墊|中信銀行共用""), REGEXMATCH(F5809, ""Ben帳戶|Elsa帳戶|Ben代墊|Ariel代墊|中信銀行共用"")), ""內部轉帳(忽略)"",
  AND(E5809&lt;&gt;"""", F5809&lt;&gt;"""", N"&amp;"OT(REGEXMATCH(C5809, ""薪資""))), ""內部轉帳(忽略)"",
  REGEXMATCH(C5809, ""薪資""), ""薪資變動(不計入)"",
  REGEXMATCH(C5809, ""押金""), ""押金往來"",
  AND(E5809&lt;&gt;"""", F5809=""""), ""真實支出"",
  AND(E5809="""", F5809&lt;&gt;""""), ""真實收入"",
  TRUE, ""其他""
)"),"其他")</f>
        <v>其他</v>
      </c>
      <c r="K5809" s="270" t="str">
        <f t="shared" si="2"/>
        <v/>
      </c>
      <c r="L5809">
        <f t="shared" si="3"/>
        <v>0</v>
      </c>
    </row>
    <row r="5810">
      <c r="A5810" s="107"/>
      <c r="D5810" s="270"/>
      <c r="H5810" s="106" t="str">
        <f t="shared" si="1"/>
        <v/>
      </c>
      <c r="I5810" s="271" t="str">
        <f>IFERROR(__xludf.DUMMYFUNCTION("""COMPUTED_VALUE"""),"")</f>
        <v/>
      </c>
      <c r="J5810" t="str">
        <f>IFERROR(__xludf.DUMMYFUNCTION("IFS(
  AND(REGEXMATCH(E5810, ""台銀籌備帳戶|玉山帳戶""), REGEXMATCH(C5810, ""薪資"")), ""分潤支出"",
  AND(REGEXMATCH(E5810, ""Ben帳戶|Elsa帳戶|Ben代墊|Ariel代墊|中信銀行共用""), REGEXMATCH(F5810, ""Ben帳戶|Elsa帳戶|Ben代墊|Ariel代墊|中信銀行共用"")), ""內部轉帳(忽略)"",
  AND(E5810&lt;&gt;"""", F5810&lt;&gt;"""", N"&amp;"OT(REGEXMATCH(C5810, ""薪資""))), ""內部轉帳(忽略)"",
  REGEXMATCH(C5810, ""薪資""), ""薪資變動(不計入)"",
  REGEXMATCH(C5810, ""押金""), ""押金往來"",
  AND(E5810&lt;&gt;"""", F5810=""""), ""真實支出"",
  AND(E5810="""", F5810&lt;&gt;""""), ""真實收入"",
  TRUE, ""其他""
)"),"其他")</f>
        <v>其他</v>
      </c>
      <c r="K5810" s="270" t="str">
        <f t="shared" si="2"/>
        <v/>
      </c>
      <c r="L5810">
        <f t="shared" si="3"/>
        <v>0</v>
      </c>
    </row>
    <row r="5811">
      <c r="A5811" s="107"/>
      <c r="D5811" s="270"/>
      <c r="H5811" s="106" t="str">
        <f t="shared" si="1"/>
        <v/>
      </c>
      <c r="I5811" s="271" t="str">
        <f>IFERROR(__xludf.DUMMYFUNCTION("""COMPUTED_VALUE"""),"")</f>
        <v/>
      </c>
      <c r="J5811" t="str">
        <f>IFERROR(__xludf.DUMMYFUNCTION("IFS(
  AND(REGEXMATCH(E5811, ""台銀籌備帳戶|玉山帳戶""), REGEXMATCH(C5811, ""薪資"")), ""分潤支出"",
  AND(REGEXMATCH(E5811, ""Ben帳戶|Elsa帳戶|Ben代墊|Ariel代墊|中信銀行共用""), REGEXMATCH(F5811, ""Ben帳戶|Elsa帳戶|Ben代墊|Ariel代墊|中信銀行共用"")), ""內部轉帳(忽略)"",
  AND(E5811&lt;&gt;"""", F5811&lt;&gt;"""", N"&amp;"OT(REGEXMATCH(C5811, ""薪資""))), ""內部轉帳(忽略)"",
  REGEXMATCH(C5811, ""薪資""), ""薪資變動(不計入)"",
  REGEXMATCH(C5811, ""押金""), ""押金往來"",
  AND(E5811&lt;&gt;"""", F5811=""""), ""真實支出"",
  AND(E5811="""", F5811&lt;&gt;""""), ""真實收入"",
  TRUE, ""其他""
)"),"其他")</f>
        <v>其他</v>
      </c>
      <c r="K5811" s="270" t="str">
        <f t="shared" si="2"/>
        <v/>
      </c>
      <c r="L5811">
        <f t="shared" si="3"/>
        <v>0</v>
      </c>
    </row>
    <row r="5812">
      <c r="A5812" s="107"/>
      <c r="D5812" s="270"/>
      <c r="H5812" s="106" t="str">
        <f t="shared" si="1"/>
        <v/>
      </c>
      <c r="I5812" s="271" t="str">
        <f>IFERROR(__xludf.DUMMYFUNCTION("""COMPUTED_VALUE"""),"")</f>
        <v/>
      </c>
      <c r="J5812" t="str">
        <f>IFERROR(__xludf.DUMMYFUNCTION("IFS(
  AND(REGEXMATCH(E5812, ""台銀籌備帳戶|玉山帳戶""), REGEXMATCH(C5812, ""薪資"")), ""分潤支出"",
  AND(REGEXMATCH(E5812, ""Ben帳戶|Elsa帳戶|Ben代墊|Ariel代墊|中信銀行共用""), REGEXMATCH(F5812, ""Ben帳戶|Elsa帳戶|Ben代墊|Ariel代墊|中信銀行共用"")), ""內部轉帳(忽略)"",
  AND(E5812&lt;&gt;"""", F5812&lt;&gt;"""", N"&amp;"OT(REGEXMATCH(C5812, ""薪資""))), ""內部轉帳(忽略)"",
  REGEXMATCH(C5812, ""薪資""), ""薪資變動(不計入)"",
  REGEXMATCH(C5812, ""押金""), ""押金往來"",
  AND(E5812&lt;&gt;"""", F5812=""""), ""真實支出"",
  AND(E5812="""", F5812&lt;&gt;""""), ""真實收入"",
  TRUE, ""其他""
)"),"其他")</f>
        <v>其他</v>
      </c>
      <c r="K5812" s="270" t="str">
        <f t="shared" si="2"/>
        <v/>
      </c>
      <c r="L5812">
        <f t="shared" si="3"/>
        <v>0</v>
      </c>
    </row>
    <row r="5813">
      <c r="A5813" s="107"/>
      <c r="D5813" s="270"/>
      <c r="H5813" s="106" t="str">
        <f t="shared" si="1"/>
        <v/>
      </c>
      <c r="I5813" s="271" t="str">
        <f>IFERROR(__xludf.DUMMYFUNCTION("""COMPUTED_VALUE"""),"")</f>
        <v/>
      </c>
      <c r="J5813" t="str">
        <f>IFERROR(__xludf.DUMMYFUNCTION("IFS(
  AND(REGEXMATCH(E5813, ""台銀籌備帳戶|玉山帳戶""), REGEXMATCH(C5813, ""薪資"")), ""分潤支出"",
  AND(REGEXMATCH(E5813, ""Ben帳戶|Elsa帳戶|Ben代墊|Ariel代墊|中信銀行共用""), REGEXMATCH(F5813, ""Ben帳戶|Elsa帳戶|Ben代墊|Ariel代墊|中信銀行共用"")), ""內部轉帳(忽略)"",
  AND(E5813&lt;&gt;"""", F5813&lt;&gt;"""", N"&amp;"OT(REGEXMATCH(C5813, ""薪資""))), ""內部轉帳(忽略)"",
  REGEXMATCH(C5813, ""薪資""), ""薪資變動(不計入)"",
  REGEXMATCH(C5813, ""押金""), ""押金往來"",
  AND(E5813&lt;&gt;"""", F5813=""""), ""真實支出"",
  AND(E5813="""", F5813&lt;&gt;""""), ""真實收入"",
  TRUE, ""其他""
)"),"其他")</f>
        <v>其他</v>
      </c>
      <c r="K5813" s="270" t="str">
        <f t="shared" si="2"/>
        <v/>
      </c>
      <c r="L5813">
        <f t="shared" si="3"/>
        <v>0</v>
      </c>
    </row>
    <row r="5814">
      <c r="A5814" s="107"/>
      <c r="D5814" s="270"/>
      <c r="H5814" s="106" t="str">
        <f t="shared" si="1"/>
        <v/>
      </c>
      <c r="I5814" s="271" t="str">
        <f>IFERROR(__xludf.DUMMYFUNCTION("""COMPUTED_VALUE"""),"")</f>
        <v/>
      </c>
      <c r="J5814" t="str">
        <f>IFERROR(__xludf.DUMMYFUNCTION("IFS(
  AND(REGEXMATCH(E5814, ""台銀籌備帳戶|玉山帳戶""), REGEXMATCH(C5814, ""薪資"")), ""分潤支出"",
  AND(REGEXMATCH(E5814, ""Ben帳戶|Elsa帳戶|Ben代墊|Ariel代墊|中信銀行共用""), REGEXMATCH(F5814, ""Ben帳戶|Elsa帳戶|Ben代墊|Ariel代墊|中信銀行共用"")), ""內部轉帳(忽略)"",
  AND(E5814&lt;&gt;"""", F5814&lt;&gt;"""", N"&amp;"OT(REGEXMATCH(C5814, ""薪資""))), ""內部轉帳(忽略)"",
  REGEXMATCH(C5814, ""薪資""), ""薪資變動(不計入)"",
  REGEXMATCH(C5814, ""押金""), ""押金往來"",
  AND(E5814&lt;&gt;"""", F5814=""""), ""真實支出"",
  AND(E5814="""", F5814&lt;&gt;""""), ""真實收入"",
  TRUE, ""其他""
)"),"其他")</f>
        <v>其他</v>
      </c>
      <c r="K5814" s="270" t="str">
        <f t="shared" si="2"/>
        <v/>
      </c>
      <c r="L5814">
        <f t="shared" si="3"/>
        <v>0</v>
      </c>
    </row>
    <row r="5815">
      <c r="A5815" s="107"/>
      <c r="D5815" s="270"/>
      <c r="H5815" s="106" t="str">
        <f t="shared" si="1"/>
        <v/>
      </c>
      <c r="I5815" s="271" t="str">
        <f>IFERROR(__xludf.DUMMYFUNCTION("""COMPUTED_VALUE"""),"")</f>
        <v/>
      </c>
      <c r="J5815" t="str">
        <f>IFERROR(__xludf.DUMMYFUNCTION("IFS(
  AND(REGEXMATCH(E5815, ""台銀籌備帳戶|玉山帳戶""), REGEXMATCH(C5815, ""薪資"")), ""分潤支出"",
  AND(REGEXMATCH(E5815, ""Ben帳戶|Elsa帳戶|Ben代墊|Ariel代墊|中信銀行共用""), REGEXMATCH(F5815, ""Ben帳戶|Elsa帳戶|Ben代墊|Ariel代墊|中信銀行共用"")), ""內部轉帳(忽略)"",
  AND(E5815&lt;&gt;"""", F5815&lt;&gt;"""", N"&amp;"OT(REGEXMATCH(C5815, ""薪資""))), ""內部轉帳(忽略)"",
  REGEXMATCH(C5815, ""薪資""), ""薪資變動(不計入)"",
  REGEXMATCH(C5815, ""押金""), ""押金往來"",
  AND(E5815&lt;&gt;"""", F5815=""""), ""真實支出"",
  AND(E5815="""", F5815&lt;&gt;""""), ""真實收入"",
  TRUE, ""其他""
)"),"其他")</f>
        <v>其他</v>
      </c>
      <c r="K5815" s="270" t="str">
        <f t="shared" si="2"/>
        <v/>
      </c>
      <c r="L5815">
        <f t="shared" si="3"/>
        <v>0</v>
      </c>
    </row>
    <row r="5816">
      <c r="A5816" s="107"/>
      <c r="D5816" s="270"/>
      <c r="H5816" s="106" t="str">
        <f t="shared" si="1"/>
        <v/>
      </c>
      <c r="I5816" s="271" t="str">
        <f>IFERROR(__xludf.DUMMYFUNCTION("""COMPUTED_VALUE"""),"")</f>
        <v/>
      </c>
      <c r="J5816" t="str">
        <f>IFERROR(__xludf.DUMMYFUNCTION("IFS(
  AND(REGEXMATCH(E5816, ""台銀籌備帳戶|玉山帳戶""), REGEXMATCH(C5816, ""薪資"")), ""分潤支出"",
  AND(REGEXMATCH(E5816, ""Ben帳戶|Elsa帳戶|Ben代墊|Ariel代墊|中信銀行共用""), REGEXMATCH(F5816, ""Ben帳戶|Elsa帳戶|Ben代墊|Ariel代墊|中信銀行共用"")), ""內部轉帳(忽略)"",
  AND(E5816&lt;&gt;"""", F5816&lt;&gt;"""", N"&amp;"OT(REGEXMATCH(C5816, ""薪資""))), ""內部轉帳(忽略)"",
  REGEXMATCH(C5816, ""薪資""), ""薪資變動(不計入)"",
  REGEXMATCH(C5816, ""押金""), ""押金往來"",
  AND(E5816&lt;&gt;"""", F5816=""""), ""真實支出"",
  AND(E5816="""", F5816&lt;&gt;""""), ""真實收入"",
  TRUE, ""其他""
)"),"其他")</f>
        <v>其他</v>
      </c>
      <c r="K5816" s="270" t="str">
        <f t="shared" si="2"/>
        <v/>
      </c>
      <c r="L5816">
        <f t="shared" si="3"/>
        <v>0</v>
      </c>
    </row>
    <row r="5817">
      <c r="A5817" s="107"/>
      <c r="D5817" s="270"/>
      <c r="H5817" s="106" t="str">
        <f t="shared" si="1"/>
        <v/>
      </c>
      <c r="I5817" s="271" t="str">
        <f>IFERROR(__xludf.DUMMYFUNCTION("""COMPUTED_VALUE"""),"")</f>
        <v/>
      </c>
      <c r="J5817" t="str">
        <f>IFERROR(__xludf.DUMMYFUNCTION("IFS(
  AND(REGEXMATCH(E5817, ""台銀籌備帳戶|玉山帳戶""), REGEXMATCH(C5817, ""薪資"")), ""分潤支出"",
  AND(REGEXMATCH(E5817, ""Ben帳戶|Elsa帳戶|Ben代墊|Ariel代墊|中信銀行共用""), REGEXMATCH(F5817, ""Ben帳戶|Elsa帳戶|Ben代墊|Ariel代墊|中信銀行共用"")), ""內部轉帳(忽略)"",
  AND(E5817&lt;&gt;"""", F5817&lt;&gt;"""", N"&amp;"OT(REGEXMATCH(C5817, ""薪資""))), ""內部轉帳(忽略)"",
  REGEXMATCH(C5817, ""薪資""), ""薪資變動(不計入)"",
  REGEXMATCH(C5817, ""押金""), ""押金往來"",
  AND(E5817&lt;&gt;"""", F5817=""""), ""真實支出"",
  AND(E5817="""", F5817&lt;&gt;""""), ""真實收入"",
  TRUE, ""其他""
)"),"其他")</f>
        <v>其他</v>
      </c>
      <c r="K5817" s="270" t="str">
        <f t="shared" si="2"/>
        <v/>
      </c>
      <c r="L5817">
        <f t="shared" si="3"/>
        <v>0</v>
      </c>
    </row>
    <row r="5818">
      <c r="A5818" s="107"/>
      <c r="D5818" s="270"/>
      <c r="H5818" s="106" t="str">
        <f t="shared" si="1"/>
        <v/>
      </c>
      <c r="I5818" s="271" t="str">
        <f>IFERROR(__xludf.DUMMYFUNCTION("""COMPUTED_VALUE"""),"")</f>
        <v/>
      </c>
      <c r="J5818" t="str">
        <f>IFERROR(__xludf.DUMMYFUNCTION("IFS(
  AND(REGEXMATCH(E5818, ""台銀籌備帳戶|玉山帳戶""), REGEXMATCH(C5818, ""薪資"")), ""分潤支出"",
  AND(REGEXMATCH(E5818, ""Ben帳戶|Elsa帳戶|Ben代墊|Ariel代墊|中信銀行共用""), REGEXMATCH(F5818, ""Ben帳戶|Elsa帳戶|Ben代墊|Ariel代墊|中信銀行共用"")), ""內部轉帳(忽略)"",
  AND(E5818&lt;&gt;"""", F5818&lt;&gt;"""", N"&amp;"OT(REGEXMATCH(C5818, ""薪資""))), ""內部轉帳(忽略)"",
  REGEXMATCH(C5818, ""薪資""), ""薪資變動(不計入)"",
  REGEXMATCH(C5818, ""押金""), ""押金往來"",
  AND(E5818&lt;&gt;"""", F5818=""""), ""真實支出"",
  AND(E5818="""", F5818&lt;&gt;""""), ""真實收入"",
  TRUE, ""其他""
)"),"其他")</f>
        <v>其他</v>
      </c>
      <c r="K5818" s="270" t="str">
        <f t="shared" si="2"/>
        <v/>
      </c>
      <c r="L5818">
        <f t="shared" si="3"/>
        <v>0</v>
      </c>
    </row>
    <row r="5819">
      <c r="A5819" s="107"/>
      <c r="D5819" s="270"/>
      <c r="H5819" s="106" t="str">
        <f t="shared" si="1"/>
        <v/>
      </c>
      <c r="I5819" s="271" t="str">
        <f>IFERROR(__xludf.DUMMYFUNCTION("""COMPUTED_VALUE"""),"")</f>
        <v/>
      </c>
      <c r="J5819" t="str">
        <f>IFERROR(__xludf.DUMMYFUNCTION("IFS(
  AND(REGEXMATCH(E5819, ""台銀籌備帳戶|玉山帳戶""), REGEXMATCH(C5819, ""薪資"")), ""分潤支出"",
  AND(REGEXMATCH(E5819, ""Ben帳戶|Elsa帳戶|Ben代墊|Ariel代墊|中信銀行共用""), REGEXMATCH(F5819, ""Ben帳戶|Elsa帳戶|Ben代墊|Ariel代墊|中信銀行共用"")), ""內部轉帳(忽略)"",
  AND(E5819&lt;&gt;"""", F5819&lt;&gt;"""", N"&amp;"OT(REGEXMATCH(C5819, ""薪資""))), ""內部轉帳(忽略)"",
  REGEXMATCH(C5819, ""薪資""), ""薪資變動(不計入)"",
  REGEXMATCH(C5819, ""押金""), ""押金往來"",
  AND(E5819&lt;&gt;"""", F5819=""""), ""真實支出"",
  AND(E5819="""", F5819&lt;&gt;""""), ""真實收入"",
  TRUE, ""其他""
)"),"其他")</f>
        <v>其他</v>
      </c>
      <c r="K5819" s="270" t="str">
        <f t="shared" si="2"/>
        <v/>
      </c>
      <c r="L5819">
        <f t="shared" si="3"/>
        <v>0</v>
      </c>
    </row>
    <row r="5820">
      <c r="A5820" s="107"/>
      <c r="D5820" s="270"/>
      <c r="H5820" s="106" t="str">
        <f t="shared" si="1"/>
        <v/>
      </c>
      <c r="I5820" s="271" t="str">
        <f>IFERROR(__xludf.DUMMYFUNCTION("""COMPUTED_VALUE"""),"")</f>
        <v/>
      </c>
      <c r="J5820" t="str">
        <f>IFERROR(__xludf.DUMMYFUNCTION("IFS(
  AND(REGEXMATCH(E5820, ""台銀籌備帳戶|玉山帳戶""), REGEXMATCH(C5820, ""薪資"")), ""分潤支出"",
  AND(REGEXMATCH(E5820, ""Ben帳戶|Elsa帳戶|Ben代墊|Ariel代墊|中信銀行共用""), REGEXMATCH(F5820, ""Ben帳戶|Elsa帳戶|Ben代墊|Ariel代墊|中信銀行共用"")), ""內部轉帳(忽略)"",
  AND(E5820&lt;&gt;"""", F5820&lt;&gt;"""", N"&amp;"OT(REGEXMATCH(C5820, ""薪資""))), ""內部轉帳(忽略)"",
  REGEXMATCH(C5820, ""薪資""), ""薪資變動(不計入)"",
  REGEXMATCH(C5820, ""押金""), ""押金往來"",
  AND(E5820&lt;&gt;"""", F5820=""""), ""真實支出"",
  AND(E5820="""", F5820&lt;&gt;""""), ""真實收入"",
  TRUE, ""其他""
)"),"其他")</f>
        <v>其他</v>
      </c>
      <c r="K5820" s="270" t="str">
        <f t="shared" si="2"/>
        <v/>
      </c>
      <c r="L5820">
        <f t="shared" si="3"/>
        <v>0</v>
      </c>
    </row>
    <row r="5821">
      <c r="A5821" s="107"/>
      <c r="D5821" s="270"/>
      <c r="H5821" s="106" t="str">
        <f t="shared" si="1"/>
        <v/>
      </c>
      <c r="I5821" s="271" t="str">
        <f>IFERROR(__xludf.DUMMYFUNCTION("""COMPUTED_VALUE"""),"")</f>
        <v/>
      </c>
      <c r="J5821" t="str">
        <f>IFERROR(__xludf.DUMMYFUNCTION("IFS(
  AND(REGEXMATCH(E5821, ""台銀籌備帳戶|玉山帳戶""), REGEXMATCH(C5821, ""薪資"")), ""分潤支出"",
  AND(REGEXMATCH(E5821, ""Ben帳戶|Elsa帳戶|Ben代墊|Ariel代墊|中信銀行共用""), REGEXMATCH(F5821, ""Ben帳戶|Elsa帳戶|Ben代墊|Ariel代墊|中信銀行共用"")), ""內部轉帳(忽略)"",
  AND(E5821&lt;&gt;"""", F5821&lt;&gt;"""", N"&amp;"OT(REGEXMATCH(C5821, ""薪資""))), ""內部轉帳(忽略)"",
  REGEXMATCH(C5821, ""薪資""), ""薪資變動(不計入)"",
  REGEXMATCH(C5821, ""押金""), ""押金往來"",
  AND(E5821&lt;&gt;"""", F5821=""""), ""真實支出"",
  AND(E5821="""", F5821&lt;&gt;""""), ""真實收入"",
  TRUE, ""其他""
)"),"其他")</f>
        <v>其他</v>
      </c>
      <c r="K5821" s="270" t="str">
        <f t="shared" si="2"/>
        <v/>
      </c>
      <c r="L5821">
        <f t="shared" si="3"/>
        <v>0</v>
      </c>
    </row>
    <row r="5822">
      <c r="A5822" s="107"/>
      <c r="D5822" s="270"/>
      <c r="H5822" s="106" t="str">
        <f t="shared" si="1"/>
        <v/>
      </c>
      <c r="I5822" s="271" t="str">
        <f>IFERROR(__xludf.DUMMYFUNCTION("""COMPUTED_VALUE"""),"")</f>
        <v/>
      </c>
      <c r="J5822" t="str">
        <f>IFERROR(__xludf.DUMMYFUNCTION("IFS(
  AND(REGEXMATCH(E5822, ""台銀籌備帳戶|玉山帳戶""), REGEXMATCH(C5822, ""薪資"")), ""分潤支出"",
  AND(REGEXMATCH(E5822, ""Ben帳戶|Elsa帳戶|Ben代墊|Ariel代墊|中信銀行共用""), REGEXMATCH(F5822, ""Ben帳戶|Elsa帳戶|Ben代墊|Ariel代墊|中信銀行共用"")), ""內部轉帳(忽略)"",
  AND(E5822&lt;&gt;"""", F5822&lt;&gt;"""", N"&amp;"OT(REGEXMATCH(C5822, ""薪資""))), ""內部轉帳(忽略)"",
  REGEXMATCH(C5822, ""薪資""), ""薪資變動(不計入)"",
  REGEXMATCH(C5822, ""押金""), ""押金往來"",
  AND(E5822&lt;&gt;"""", F5822=""""), ""真實支出"",
  AND(E5822="""", F5822&lt;&gt;""""), ""真實收入"",
  TRUE, ""其他""
)"),"其他")</f>
        <v>其他</v>
      </c>
      <c r="K5822" s="270" t="str">
        <f t="shared" si="2"/>
        <v/>
      </c>
      <c r="L5822">
        <f t="shared" si="3"/>
        <v>0</v>
      </c>
    </row>
    <row r="5823">
      <c r="A5823" s="107"/>
      <c r="D5823" s="270"/>
      <c r="H5823" s="106" t="str">
        <f t="shared" si="1"/>
        <v/>
      </c>
      <c r="I5823" s="271" t="str">
        <f>IFERROR(__xludf.DUMMYFUNCTION("""COMPUTED_VALUE"""),"")</f>
        <v/>
      </c>
      <c r="J5823" t="str">
        <f>IFERROR(__xludf.DUMMYFUNCTION("IFS(
  AND(REGEXMATCH(E5823, ""台銀籌備帳戶|玉山帳戶""), REGEXMATCH(C5823, ""薪資"")), ""分潤支出"",
  AND(REGEXMATCH(E5823, ""Ben帳戶|Elsa帳戶|Ben代墊|Ariel代墊|中信銀行共用""), REGEXMATCH(F5823, ""Ben帳戶|Elsa帳戶|Ben代墊|Ariel代墊|中信銀行共用"")), ""內部轉帳(忽略)"",
  AND(E5823&lt;&gt;"""", F5823&lt;&gt;"""", N"&amp;"OT(REGEXMATCH(C5823, ""薪資""))), ""內部轉帳(忽略)"",
  REGEXMATCH(C5823, ""薪資""), ""薪資變動(不計入)"",
  REGEXMATCH(C5823, ""押金""), ""押金往來"",
  AND(E5823&lt;&gt;"""", F5823=""""), ""真實支出"",
  AND(E5823="""", F5823&lt;&gt;""""), ""真實收入"",
  TRUE, ""其他""
)"),"其他")</f>
        <v>其他</v>
      </c>
      <c r="K5823" s="270" t="str">
        <f t="shared" si="2"/>
        <v/>
      </c>
      <c r="L5823">
        <f t="shared" si="3"/>
        <v>0</v>
      </c>
    </row>
    <row r="5824">
      <c r="A5824" s="107"/>
      <c r="D5824" s="270"/>
      <c r="H5824" s="106" t="str">
        <f t="shared" si="1"/>
        <v/>
      </c>
      <c r="I5824" s="271" t="str">
        <f>IFERROR(__xludf.DUMMYFUNCTION("""COMPUTED_VALUE"""),"")</f>
        <v/>
      </c>
      <c r="J5824" t="str">
        <f>IFERROR(__xludf.DUMMYFUNCTION("IFS(
  AND(REGEXMATCH(E5824, ""台銀籌備帳戶|玉山帳戶""), REGEXMATCH(C5824, ""薪資"")), ""分潤支出"",
  AND(REGEXMATCH(E5824, ""Ben帳戶|Elsa帳戶|Ben代墊|Ariel代墊|中信銀行共用""), REGEXMATCH(F5824, ""Ben帳戶|Elsa帳戶|Ben代墊|Ariel代墊|中信銀行共用"")), ""內部轉帳(忽略)"",
  AND(E5824&lt;&gt;"""", F5824&lt;&gt;"""", N"&amp;"OT(REGEXMATCH(C5824, ""薪資""))), ""內部轉帳(忽略)"",
  REGEXMATCH(C5824, ""薪資""), ""薪資變動(不計入)"",
  REGEXMATCH(C5824, ""押金""), ""押金往來"",
  AND(E5824&lt;&gt;"""", F5824=""""), ""真實支出"",
  AND(E5824="""", F5824&lt;&gt;""""), ""真實收入"",
  TRUE, ""其他""
)"),"其他")</f>
        <v>其他</v>
      </c>
      <c r="K5824" s="270" t="str">
        <f t="shared" si="2"/>
        <v/>
      </c>
      <c r="L5824">
        <f t="shared" si="3"/>
        <v>0</v>
      </c>
    </row>
    <row r="5825">
      <c r="A5825" s="107"/>
      <c r="D5825" s="270"/>
      <c r="H5825" s="106" t="str">
        <f t="shared" si="1"/>
        <v/>
      </c>
      <c r="I5825" s="271" t="str">
        <f>IFERROR(__xludf.DUMMYFUNCTION("""COMPUTED_VALUE"""),"")</f>
        <v/>
      </c>
      <c r="J5825" t="str">
        <f>IFERROR(__xludf.DUMMYFUNCTION("IFS(
  AND(REGEXMATCH(E5825, ""台銀籌備帳戶|玉山帳戶""), REGEXMATCH(C5825, ""薪資"")), ""分潤支出"",
  AND(REGEXMATCH(E5825, ""Ben帳戶|Elsa帳戶|Ben代墊|Ariel代墊|中信銀行共用""), REGEXMATCH(F5825, ""Ben帳戶|Elsa帳戶|Ben代墊|Ariel代墊|中信銀行共用"")), ""內部轉帳(忽略)"",
  AND(E5825&lt;&gt;"""", F5825&lt;&gt;"""", N"&amp;"OT(REGEXMATCH(C5825, ""薪資""))), ""內部轉帳(忽略)"",
  REGEXMATCH(C5825, ""薪資""), ""薪資變動(不計入)"",
  REGEXMATCH(C5825, ""押金""), ""押金往來"",
  AND(E5825&lt;&gt;"""", F5825=""""), ""真實支出"",
  AND(E5825="""", F5825&lt;&gt;""""), ""真實收入"",
  TRUE, ""其他""
)"),"其他")</f>
        <v>其他</v>
      </c>
      <c r="K5825" s="270" t="str">
        <f t="shared" si="2"/>
        <v/>
      </c>
      <c r="L5825">
        <f t="shared" si="3"/>
        <v>0</v>
      </c>
    </row>
    <row r="5826">
      <c r="A5826" s="107"/>
      <c r="D5826" s="270"/>
      <c r="H5826" s="106" t="str">
        <f t="shared" si="1"/>
        <v/>
      </c>
      <c r="I5826" s="271" t="str">
        <f>IFERROR(__xludf.DUMMYFUNCTION("""COMPUTED_VALUE"""),"")</f>
        <v/>
      </c>
      <c r="J5826" t="str">
        <f>IFERROR(__xludf.DUMMYFUNCTION("IFS(
  AND(REGEXMATCH(E5826, ""台銀籌備帳戶|玉山帳戶""), REGEXMATCH(C5826, ""薪資"")), ""分潤支出"",
  AND(REGEXMATCH(E5826, ""Ben帳戶|Elsa帳戶|Ben代墊|Ariel代墊|中信銀行共用""), REGEXMATCH(F5826, ""Ben帳戶|Elsa帳戶|Ben代墊|Ariel代墊|中信銀行共用"")), ""內部轉帳(忽略)"",
  AND(E5826&lt;&gt;"""", F5826&lt;&gt;"""", N"&amp;"OT(REGEXMATCH(C5826, ""薪資""))), ""內部轉帳(忽略)"",
  REGEXMATCH(C5826, ""薪資""), ""薪資變動(不計入)"",
  REGEXMATCH(C5826, ""押金""), ""押金往來"",
  AND(E5826&lt;&gt;"""", F5826=""""), ""真實支出"",
  AND(E5826="""", F5826&lt;&gt;""""), ""真實收入"",
  TRUE, ""其他""
)"),"其他")</f>
        <v>其他</v>
      </c>
      <c r="K5826" s="270" t="str">
        <f t="shared" si="2"/>
        <v/>
      </c>
      <c r="L5826">
        <f t="shared" si="3"/>
        <v>0</v>
      </c>
    </row>
    <row r="5827">
      <c r="A5827" s="107"/>
      <c r="D5827" s="270"/>
      <c r="H5827" s="106" t="str">
        <f t="shared" si="1"/>
        <v/>
      </c>
      <c r="I5827" s="271" t="str">
        <f>IFERROR(__xludf.DUMMYFUNCTION("""COMPUTED_VALUE"""),"")</f>
        <v/>
      </c>
      <c r="J5827" t="str">
        <f>IFERROR(__xludf.DUMMYFUNCTION("IFS(
  AND(REGEXMATCH(E5827, ""台銀籌備帳戶|玉山帳戶""), REGEXMATCH(C5827, ""薪資"")), ""分潤支出"",
  AND(REGEXMATCH(E5827, ""Ben帳戶|Elsa帳戶|Ben代墊|Ariel代墊|中信銀行共用""), REGEXMATCH(F5827, ""Ben帳戶|Elsa帳戶|Ben代墊|Ariel代墊|中信銀行共用"")), ""內部轉帳(忽略)"",
  AND(E5827&lt;&gt;"""", F5827&lt;&gt;"""", N"&amp;"OT(REGEXMATCH(C5827, ""薪資""))), ""內部轉帳(忽略)"",
  REGEXMATCH(C5827, ""薪資""), ""薪資變動(不計入)"",
  REGEXMATCH(C5827, ""押金""), ""押金往來"",
  AND(E5827&lt;&gt;"""", F5827=""""), ""真實支出"",
  AND(E5827="""", F5827&lt;&gt;""""), ""真實收入"",
  TRUE, ""其他""
)"),"其他")</f>
        <v>其他</v>
      </c>
      <c r="K5827" s="270" t="str">
        <f t="shared" si="2"/>
        <v/>
      </c>
      <c r="L5827">
        <f t="shared" si="3"/>
        <v>0</v>
      </c>
    </row>
    <row r="5828">
      <c r="A5828" s="107"/>
      <c r="D5828" s="270"/>
      <c r="H5828" s="106" t="str">
        <f t="shared" si="1"/>
        <v/>
      </c>
      <c r="I5828" s="271" t="str">
        <f>IFERROR(__xludf.DUMMYFUNCTION("""COMPUTED_VALUE"""),"")</f>
        <v/>
      </c>
      <c r="J5828" t="str">
        <f>IFERROR(__xludf.DUMMYFUNCTION("IFS(
  AND(REGEXMATCH(E5828, ""台銀籌備帳戶|玉山帳戶""), REGEXMATCH(C5828, ""薪資"")), ""分潤支出"",
  AND(REGEXMATCH(E5828, ""Ben帳戶|Elsa帳戶|Ben代墊|Ariel代墊|中信銀行共用""), REGEXMATCH(F5828, ""Ben帳戶|Elsa帳戶|Ben代墊|Ariel代墊|中信銀行共用"")), ""內部轉帳(忽略)"",
  AND(E5828&lt;&gt;"""", F5828&lt;&gt;"""", N"&amp;"OT(REGEXMATCH(C5828, ""薪資""))), ""內部轉帳(忽略)"",
  REGEXMATCH(C5828, ""薪資""), ""薪資變動(不計入)"",
  REGEXMATCH(C5828, ""押金""), ""押金往來"",
  AND(E5828&lt;&gt;"""", F5828=""""), ""真實支出"",
  AND(E5828="""", F5828&lt;&gt;""""), ""真實收入"",
  TRUE, ""其他""
)"),"其他")</f>
        <v>其他</v>
      </c>
      <c r="K5828" s="270" t="str">
        <f t="shared" si="2"/>
        <v/>
      </c>
      <c r="L5828">
        <f t="shared" si="3"/>
        <v>0</v>
      </c>
    </row>
    <row r="5829">
      <c r="A5829" s="107"/>
      <c r="D5829" s="270"/>
      <c r="H5829" s="106" t="str">
        <f t="shared" si="1"/>
        <v/>
      </c>
      <c r="I5829" s="271" t="str">
        <f>IFERROR(__xludf.DUMMYFUNCTION("""COMPUTED_VALUE"""),"")</f>
        <v/>
      </c>
      <c r="J5829" t="str">
        <f>IFERROR(__xludf.DUMMYFUNCTION("IFS(
  AND(REGEXMATCH(E5829, ""台銀籌備帳戶|玉山帳戶""), REGEXMATCH(C5829, ""薪資"")), ""分潤支出"",
  AND(REGEXMATCH(E5829, ""Ben帳戶|Elsa帳戶|Ben代墊|Ariel代墊|中信銀行共用""), REGEXMATCH(F5829, ""Ben帳戶|Elsa帳戶|Ben代墊|Ariel代墊|中信銀行共用"")), ""內部轉帳(忽略)"",
  AND(E5829&lt;&gt;"""", F5829&lt;&gt;"""", N"&amp;"OT(REGEXMATCH(C5829, ""薪資""))), ""內部轉帳(忽略)"",
  REGEXMATCH(C5829, ""薪資""), ""薪資變動(不計入)"",
  REGEXMATCH(C5829, ""押金""), ""押金往來"",
  AND(E5829&lt;&gt;"""", F5829=""""), ""真實支出"",
  AND(E5829="""", F5829&lt;&gt;""""), ""真實收入"",
  TRUE, ""其他""
)"),"其他")</f>
        <v>其他</v>
      </c>
      <c r="K5829" s="270" t="str">
        <f t="shared" si="2"/>
        <v/>
      </c>
      <c r="L5829">
        <f t="shared" si="3"/>
        <v>0</v>
      </c>
    </row>
    <row r="5830">
      <c r="A5830" s="107"/>
      <c r="D5830" s="270"/>
      <c r="H5830" s="106" t="str">
        <f t="shared" si="1"/>
        <v/>
      </c>
      <c r="I5830" s="271" t="str">
        <f>IFERROR(__xludf.DUMMYFUNCTION("""COMPUTED_VALUE"""),"")</f>
        <v/>
      </c>
      <c r="J5830" t="str">
        <f>IFERROR(__xludf.DUMMYFUNCTION("IFS(
  AND(REGEXMATCH(E5830, ""台銀籌備帳戶|玉山帳戶""), REGEXMATCH(C5830, ""薪資"")), ""分潤支出"",
  AND(REGEXMATCH(E5830, ""Ben帳戶|Elsa帳戶|Ben代墊|Ariel代墊|中信銀行共用""), REGEXMATCH(F5830, ""Ben帳戶|Elsa帳戶|Ben代墊|Ariel代墊|中信銀行共用"")), ""內部轉帳(忽略)"",
  AND(E5830&lt;&gt;"""", F5830&lt;&gt;"""", N"&amp;"OT(REGEXMATCH(C5830, ""薪資""))), ""內部轉帳(忽略)"",
  REGEXMATCH(C5830, ""薪資""), ""薪資變動(不計入)"",
  REGEXMATCH(C5830, ""押金""), ""押金往來"",
  AND(E5830&lt;&gt;"""", F5830=""""), ""真實支出"",
  AND(E5830="""", F5830&lt;&gt;""""), ""真實收入"",
  TRUE, ""其他""
)"),"其他")</f>
        <v>其他</v>
      </c>
      <c r="K5830" s="270" t="str">
        <f t="shared" si="2"/>
        <v/>
      </c>
      <c r="L5830">
        <f t="shared" si="3"/>
        <v>0</v>
      </c>
    </row>
    <row r="5831">
      <c r="A5831" s="107"/>
      <c r="D5831" s="270"/>
      <c r="H5831" s="106" t="str">
        <f t="shared" si="1"/>
        <v/>
      </c>
      <c r="I5831" s="271" t="str">
        <f>IFERROR(__xludf.DUMMYFUNCTION("""COMPUTED_VALUE"""),"")</f>
        <v/>
      </c>
      <c r="J5831" t="str">
        <f>IFERROR(__xludf.DUMMYFUNCTION("IFS(
  AND(REGEXMATCH(E5831, ""台銀籌備帳戶|玉山帳戶""), REGEXMATCH(C5831, ""薪資"")), ""分潤支出"",
  AND(REGEXMATCH(E5831, ""Ben帳戶|Elsa帳戶|Ben代墊|Ariel代墊|中信銀行共用""), REGEXMATCH(F5831, ""Ben帳戶|Elsa帳戶|Ben代墊|Ariel代墊|中信銀行共用"")), ""內部轉帳(忽略)"",
  AND(E5831&lt;&gt;"""", F5831&lt;&gt;"""", N"&amp;"OT(REGEXMATCH(C5831, ""薪資""))), ""內部轉帳(忽略)"",
  REGEXMATCH(C5831, ""薪資""), ""薪資變動(不計入)"",
  REGEXMATCH(C5831, ""押金""), ""押金往來"",
  AND(E5831&lt;&gt;"""", F5831=""""), ""真實支出"",
  AND(E5831="""", F5831&lt;&gt;""""), ""真實收入"",
  TRUE, ""其他""
)"),"其他")</f>
        <v>其他</v>
      </c>
      <c r="K5831" s="270" t="str">
        <f t="shared" si="2"/>
        <v/>
      </c>
      <c r="L5831">
        <f t="shared" si="3"/>
        <v>0</v>
      </c>
    </row>
    <row r="5832">
      <c r="A5832" s="107"/>
      <c r="D5832" s="270"/>
      <c r="H5832" s="106" t="str">
        <f t="shared" si="1"/>
        <v/>
      </c>
      <c r="I5832" s="271" t="str">
        <f>IFERROR(__xludf.DUMMYFUNCTION("""COMPUTED_VALUE"""),"")</f>
        <v/>
      </c>
      <c r="J5832" t="str">
        <f>IFERROR(__xludf.DUMMYFUNCTION("IFS(
  AND(REGEXMATCH(E5832, ""台銀籌備帳戶|玉山帳戶""), REGEXMATCH(C5832, ""薪資"")), ""分潤支出"",
  AND(REGEXMATCH(E5832, ""Ben帳戶|Elsa帳戶|Ben代墊|Ariel代墊|中信銀行共用""), REGEXMATCH(F5832, ""Ben帳戶|Elsa帳戶|Ben代墊|Ariel代墊|中信銀行共用"")), ""內部轉帳(忽略)"",
  AND(E5832&lt;&gt;"""", F5832&lt;&gt;"""", N"&amp;"OT(REGEXMATCH(C5832, ""薪資""))), ""內部轉帳(忽略)"",
  REGEXMATCH(C5832, ""薪資""), ""薪資變動(不計入)"",
  REGEXMATCH(C5832, ""押金""), ""押金往來"",
  AND(E5832&lt;&gt;"""", F5832=""""), ""真實支出"",
  AND(E5832="""", F5832&lt;&gt;""""), ""真實收入"",
  TRUE, ""其他""
)"),"其他")</f>
        <v>其他</v>
      </c>
      <c r="K5832" s="270" t="str">
        <f t="shared" si="2"/>
        <v/>
      </c>
      <c r="L5832">
        <f t="shared" si="3"/>
        <v>0</v>
      </c>
    </row>
    <row r="5833">
      <c r="A5833" s="107"/>
      <c r="D5833" s="270"/>
      <c r="H5833" s="106" t="str">
        <f t="shared" si="1"/>
        <v/>
      </c>
      <c r="I5833" s="271" t="str">
        <f>IFERROR(__xludf.DUMMYFUNCTION("""COMPUTED_VALUE"""),"")</f>
        <v/>
      </c>
      <c r="J5833" t="str">
        <f>IFERROR(__xludf.DUMMYFUNCTION("IFS(
  AND(REGEXMATCH(E5833, ""台銀籌備帳戶|玉山帳戶""), REGEXMATCH(C5833, ""薪資"")), ""分潤支出"",
  AND(REGEXMATCH(E5833, ""Ben帳戶|Elsa帳戶|Ben代墊|Ariel代墊|中信銀行共用""), REGEXMATCH(F5833, ""Ben帳戶|Elsa帳戶|Ben代墊|Ariel代墊|中信銀行共用"")), ""內部轉帳(忽略)"",
  AND(E5833&lt;&gt;"""", F5833&lt;&gt;"""", N"&amp;"OT(REGEXMATCH(C5833, ""薪資""))), ""內部轉帳(忽略)"",
  REGEXMATCH(C5833, ""薪資""), ""薪資變動(不計入)"",
  REGEXMATCH(C5833, ""押金""), ""押金往來"",
  AND(E5833&lt;&gt;"""", F5833=""""), ""真實支出"",
  AND(E5833="""", F5833&lt;&gt;""""), ""真實收入"",
  TRUE, ""其他""
)"),"其他")</f>
        <v>其他</v>
      </c>
      <c r="K5833" s="270" t="str">
        <f t="shared" si="2"/>
        <v/>
      </c>
      <c r="L5833">
        <f t="shared" si="3"/>
        <v>0</v>
      </c>
    </row>
    <row r="5834">
      <c r="A5834" s="107"/>
      <c r="D5834" s="270"/>
      <c r="H5834" s="106" t="str">
        <f t="shared" si="1"/>
        <v/>
      </c>
      <c r="I5834" s="271" t="str">
        <f>IFERROR(__xludf.DUMMYFUNCTION("""COMPUTED_VALUE"""),"")</f>
        <v/>
      </c>
      <c r="J5834" t="str">
        <f>IFERROR(__xludf.DUMMYFUNCTION("IFS(
  AND(REGEXMATCH(E5834, ""台銀籌備帳戶|玉山帳戶""), REGEXMATCH(C5834, ""薪資"")), ""分潤支出"",
  AND(REGEXMATCH(E5834, ""Ben帳戶|Elsa帳戶|Ben代墊|Ariel代墊|中信銀行共用""), REGEXMATCH(F5834, ""Ben帳戶|Elsa帳戶|Ben代墊|Ariel代墊|中信銀行共用"")), ""內部轉帳(忽略)"",
  AND(E5834&lt;&gt;"""", F5834&lt;&gt;"""", N"&amp;"OT(REGEXMATCH(C5834, ""薪資""))), ""內部轉帳(忽略)"",
  REGEXMATCH(C5834, ""薪資""), ""薪資變動(不計入)"",
  REGEXMATCH(C5834, ""押金""), ""押金往來"",
  AND(E5834&lt;&gt;"""", F5834=""""), ""真實支出"",
  AND(E5834="""", F5834&lt;&gt;""""), ""真實收入"",
  TRUE, ""其他""
)"),"其他")</f>
        <v>其他</v>
      </c>
      <c r="K5834" s="270" t="str">
        <f t="shared" si="2"/>
        <v/>
      </c>
      <c r="L5834">
        <f t="shared" si="3"/>
        <v>0</v>
      </c>
    </row>
    <row r="5835">
      <c r="A5835" s="107"/>
      <c r="D5835" s="270"/>
      <c r="H5835" s="106" t="str">
        <f t="shared" si="1"/>
        <v/>
      </c>
      <c r="I5835" s="271" t="str">
        <f>IFERROR(__xludf.DUMMYFUNCTION("""COMPUTED_VALUE"""),"")</f>
        <v/>
      </c>
      <c r="J5835" t="str">
        <f>IFERROR(__xludf.DUMMYFUNCTION("IFS(
  AND(REGEXMATCH(E5835, ""台銀籌備帳戶|玉山帳戶""), REGEXMATCH(C5835, ""薪資"")), ""分潤支出"",
  AND(REGEXMATCH(E5835, ""Ben帳戶|Elsa帳戶|Ben代墊|Ariel代墊|中信銀行共用""), REGEXMATCH(F5835, ""Ben帳戶|Elsa帳戶|Ben代墊|Ariel代墊|中信銀行共用"")), ""內部轉帳(忽略)"",
  AND(E5835&lt;&gt;"""", F5835&lt;&gt;"""", N"&amp;"OT(REGEXMATCH(C5835, ""薪資""))), ""內部轉帳(忽略)"",
  REGEXMATCH(C5835, ""薪資""), ""薪資變動(不計入)"",
  REGEXMATCH(C5835, ""押金""), ""押金往來"",
  AND(E5835&lt;&gt;"""", F5835=""""), ""真實支出"",
  AND(E5835="""", F5835&lt;&gt;""""), ""真實收入"",
  TRUE, ""其他""
)"),"其他")</f>
        <v>其他</v>
      </c>
      <c r="K5835" s="270" t="str">
        <f t="shared" si="2"/>
        <v/>
      </c>
      <c r="L5835">
        <f t="shared" si="3"/>
        <v>0</v>
      </c>
    </row>
    <row r="5836">
      <c r="A5836" s="107"/>
      <c r="D5836" s="270"/>
      <c r="H5836" s="106" t="str">
        <f t="shared" si="1"/>
        <v/>
      </c>
      <c r="I5836" s="271" t="str">
        <f>IFERROR(__xludf.DUMMYFUNCTION("""COMPUTED_VALUE"""),"")</f>
        <v/>
      </c>
      <c r="J5836" t="str">
        <f>IFERROR(__xludf.DUMMYFUNCTION("IFS(
  AND(REGEXMATCH(E5836, ""台銀籌備帳戶|玉山帳戶""), REGEXMATCH(C5836, ""薪資"")), ""分潤支出"",
  AND(REGEXMATCH(E5836, ""Ben帳戶|Elsa帳戶|Ben代墊|Ariel代墊|中信銀行共用""), REGEXMATCH(F5836, ""Ben帳戶|Elsa帳戶|Ben代墊|Ariel代墊|中信銀行共用"")), ""內部轉帳(忽略)"",
  AND(E5836&lt;&gt;"""", F5836&lt;&gt;"""", N"&amp;"OT(REGEXMATCH(C5836, ""薪資""))), ""內部轉帳(忽略)"",
  REGEXMATCH(C5836, ""薪資""), ""薪資變動(不計入)"",
  REGEXMATCH(C5836, ""押金""), ""押金往來"",
  AND(E5836&lt;&gt;"""", F5836=""""), ""真實支出"",
  AND(E5836="""", F5836&lt;&gt;""""), ""真實收入"",
  TRUE, ""其他""
)"),"其他")</f>
        <v>其他</v>
      </c>
      <c r="K5836" s="270" t="str">
        <f t="shared" si="2"/>
        <v/>
      </c>
      <c r="L5836">
        <f t="shared" si="3"/>
        <v>0</v>
      </c>
    </row>
    <row r="5837">
      <c r="A5837" s="107"/>
      <c r="D5837" s="270"/>
      <c r="H5837" s="106" t="str">
        <f t="shared" si="1"/>
        <v/>
      </c>
      <c r="I5837" s="271" t="str">
        <f>IFERROR(__xludf.DUMMYFUNCTION("""COMPUTED_VALUE"""),"")</f>
        <v/>
      </c>
      <c r="J5837" t="str">
        <f>IFERROR(__xludf.DUMMYFUNCTION("IFS(
  AND(REGEXMATCH(E5837, ""台銀籌備帳戶|玉山帳戶""), REGEXMATCH(C5837, ""薪資"")), ""分潤支出"",
  AND(REGEXMATCH(E5837, ""Ben帳戶|Elsa帳戶|Ben代墊|Ariel代墊|中信銀行共用""), REGEXMATCH(F5837, ""Ben帳戶|Elsa帳戶|Ben代墊|Ariel代墊|中信銀行共用"")), ""內部轉帳(忽略)"",
  AND(E5837&lt;&gt;"""", F5837&lt;&gt;"""", N"&amp;"OT(REGEXMATCH(C5837, ""薪資""))), ""內部轉帳(忽略)"",
  REGEXMATCH(C5837, ""薪資""), ""薪資變動(不計入)"",
  REGEXMATCH(C5837, ""押金""), ""押金往來"",
  AND(E5837&lt;&gt;"""", F5837=""""), ""真實支出"",
  AND(E5837="""", F5837&lt;&gt;""""), ""真實收入"",
  TRUE, ""其他""
)"),"其他")</f>
        <v>其他</v>
      </c>
      <c r="K5837" s="270" t="str">
        <f t="shared" si="2"/>
        <v/>
      </c>
      <c r="L5837">
        <f t="shared" si="3"/>
        <v>0</v>
      </c>
    </row>
    <row r="5838">
      <c r="A5838" s="107"/>
      <c r="D5838" s="270"/>
      <c r="H5838" s="106" t="str">
        <f t="shared" si="1"/>
        <v/>
      </c>
      <c r="I5838" s="271" t="str">
        <f>IFERROR(__xludf.DUMMYFUNCTION("""COMPUTED_VALUE"""),"")</f>
        <v/>
      </c>
      <c r="J5838" t="str">
        <f>IFERROR(__xludf.DUMMYFUNCTION("IFS(
  AND(REGEXMATCH(E5838, ""台銀籌備帳戶|玉山帳戶""), REGEXMATCH(C5838, ""薪資"")), ""分潤支出"",
  AND(REGEXMATCH(E5838, ""Ben帳戶|Elsa帳戶|Ben代墊|Ariel代墊|中信銀行共用""), REGEXMATCH(F5838, ""Ben帳戶|Elsa帳戶|Ben代墊|Ariel代墊|中信銀行共用"")), ""內部轉帳(忽略)"",
  AND(E5838&lt;&gt;"""", F5838&lt;&gt;"""", N"&amp;"OT(REGEXMATCH(C5838, ""薪資""))), ""內部轉帳(忽略)"",
  REGEXMATCH(C5838, ""薪資""), ""薪資變動(不計入)"",
  REGEXMATCH(C5838, ""押金""), ""押金往來"",
  AND(E5838&lt;&gt;"""", F5838=""""), ""真實支出"",
  AND(E5838="""", F5838&lt;&gt;""""), ""真實收入"",
  TRUE, ""其他""
)"),"其他")</f>
        <v>其他</v>
      </c>
      <c r="K5838" s="270" t="str">
        <f t="shared" si="2"/>
        <v/>
      </c>
      <c r="L5838">
        <f t="shared" si="3"/>
        <v>0</v>
      </c>
    </row>
    <row r="5839">
      <c r="A5839" s="107"/>
      <c r="D5839" s="270"/>
      <c r="H5839" s="106" t="str">
        <f t="shared" si="1"/>
        <v/>
      </c>
      <c r="I5839" s="271" t="str">
        <f>IFERROR(__xludf.DUMMYFUNCTION("""COMPUTED_VALUE"""),"")</f>
        <v/>
      </c>
      <c r="J5839" t="str">
        <f>IFERROR(__xludf.DUMMYFUNCTION("IFS(
  AND(REGEXMATCH(E5839, ""台銀籌備帳戶|玉山帳戶""), REGEXMATCH(C5839, ""薪資"")), ""分潤支出"",
  AND(REGEXMATCH(E5839, ""Ben帳戶|Elsa帳戶|Ben代墊|Ariel代墊|中信銀行共用""), REGEXMATCH(F5839, ""Ben帳戶|Elsa帳戶|Ben代墊|Ariel代墊|中信銀行共用"")), ""內部轉帳(忽略)"",
  AND(E5839&lt;&gt;"""", F5839&lt;&gt;"""", N"&amp;"OT(REGEXMATCH(C5839, ""薪資""))), ""內部轉帳(忽略)"",
  REGEXMATCH(C5839, ""薪資""), ""薪資變動(不計入)"",
  REGEXMATCH(C5839, ""押金""), ""押金往來"",
  AND(E5839&lt;&gt;"""", F5839=""""), ""真實支出"",
  AND(E5839="""", F5839&lt;&gt;""""), ""真實收入"",
  TRUE, ""其他""
)"),"其他")</f>
        <v>其他</v>
      </c>
      <c r="K5839" s="270" t="str">
        <f t="shared" si="2"/>
        <v/>
      </c>
      <c r="L5839">
        <f t="shared" si="3"/>
        <v>0</v>
      </c>
    </row>
    <row r="5840">
      <c r="A5840" s="107"/>
      <c r="D5840" s="270"/>
      <c r="H5840" s="106" t="str">
        <f t="shared" si="1"/>
        <v/>
      </c>
      <c r="I5840" s="271" t="str">
        <f>IFERROR(__xludf.DUMMYFUNCTION("""COMPUTED_VALUE"""),"")</f>
        <v/>
      </c>
      <c r="J5840" t="str">
        <f>IFERROR(__xludf.DUMMYFUNCTION("IFS(
  AND(REGEXMATCH(E5840, ""台銀籌備帳戶|玉山帳戶""), REGEXMATCH(C5840, ""薪資"")), ""分潤支出"",
  AND(REGEXMATCH(E5840, ""Ben帳戶|Elsa帳戶|Ben代墊|Ariel代墊|中信銀行共用""), REGEXMATCH(F5840, ""Ben帳戶|Elsa帳戶|Ben代墊|Ariel代墊|中信銀行共用"")), ""內部轉帳(忽略)"",
  AND(E5840&lt;&gt;"""", F5840&lt;&gt;"""", N"&amp;"OT(REGEXMATCH(C5840, ""薪資""))), ""內部轉帳(忽略)"",
  REGEXMATCH(C5840, ""薪資""), ""薪資變動(不計入)"",
  REGEXMATCH(C5840, ""押金""), ""押金往來"",
  AND(E5840&lt;&gt;"""", F5840=""""), ""真實支出"",
  AND(E5840="""", F5840&lt;&gt;""""), ""真實收入"",
  TRUE, ""其他""
)"),"其他")</f>
        <v>其他</v>
      </c>
      <c r="K5840" s="270" t="str">
        <f t="shared" si="2"/>
        <v/>
      </c>
      <c r="L5840">
        <f t="shared" si="3"/>
        <v>0</v>
      </c>
    </row>
    <row r="5841">
      <c r="A5841" s="107"/>
      <c r="D5841" s="270"/>
      <c r="H5841" s="106" t="str">
        <f t="shared" si="1"/>
        <v/>
      </c>
      <c r="I5841" s="271" t="str">
        <f>IFERROR(__xludf.DUMMYFUNCTION("""COMPUTED_VALUE"""),"")</f>
        <v/>
      </c>
      <c r="J5841" t="str">
        <f>IFERROR(__xludf.DUMMYFUNCTION("IFS(
  AND(REGEXMATCH(E5841, ""台銀籌備帳戶|玉山帳戶""), REGEXMATCH(C5841, ""薪資"")), ""分潤支出"",
  AND(REGEXMATCH(E5841, ""Ben帳戶|Elsa帳戶|Ben代墊|Ariel代墊|中信銀行共用""), REGEXMATCH(F5841, ""Ben帳戶|Elsa帳戶|Ben代墊|Ariel代墊|中信銀行共用"")), ""內部轉帳(忽略)"",
  AND(E5841&lt;&gt;"""", F5841&lt;&gt;"""", N"&amp;"OT(REGEXMATCH(C5841, ""薪資""))), ""內部轉帳(忽略)"",
  REGEXMATCH(C5841, ""薪資""), ""薪資變動(不計入)"",
  REGEXMATCH(C5841, ""押金""), ""押金往來"",
  AND(E5841&lt;&gt;"""", F5841=""""), ""真實支出"",
  AND(E5841="""", F5841&lt;&gt;""""), ""真實收入"",
  TRUE, ""其他""
)"),"其他")</f>
        <v>其他</v>
      </c>
      <c r="K5841" s="270" t="str">
        <f t="shared" si="2"/>
        <v/>
      </c>
      <c r="L5841">
        <f t="shared" si="3"/>
        <v>0</v>
      </c>
    </row>
    <row r="5842">
      <c r="A5842" s="107"/>
      <c r="D5842" s="270"/>
      <c r="H5842" s="106" t="str">
        <f t="shared" si="1"/>
        <v/>
      </c>
      <c r="I5842" s="271" t="str">
        <f>IFERROR(__xludf.DUMMYFUNCTION("""COMPUTED_VALUE"""),"")</f>
        <v/>
      </c>
      <c r="J5842" t="str">
        <f>IFERROR(__xludf.DUMMYFUNCTION("IFS(
  AND(REGEXMATCH(E5842, ""台銀籌備帳戶|玉山帳戶""), REGEXMATCH(C5842, ""薪資"")), ""分潤支出"",
  AND(REGEXMATCH(E5842, ""Ben帳戶|Elsa帳戶|Ben代墊|Ariel代墊|中信銀行共用""), REGEXMATCH(F5842, ""Ben帳戶|Elsa帳戶|Ben代墊|Ariel代墊|中信銀行共用"")), ""內部轉帳(忽略)"",
  AND(E5842&lt;&gt;"""", F5842&lt;&gt;"""", N"&amp;"OT(REGEXMATCH(C5842, ""薪資""))), ""內部轉帳(忽略)"",
  REGEXMATCH(C5842, ""薪資""), ""薪資變動(不計入)"",
  REGEXMATCH(C5842, ""押金""), ""押金往來"",
  AND(E5842&lt;&gt;"""", F5842=""""), ""真實支出"",
  AND(E5842="""", F5842&lt;&gt;""""), ""真實收入"",
  TRUE, ""其他""
)"),"其他")</f>
        <v>其他</v>
      </c>
      <c r="K5842" s="270" t="str">
        <f t="shared" si="2"/>
        <v/>
      </c>
      <c r="L5842">
        <f t="shared" si="3"/>
        <v>0</v>
      </c>
    </row>
    <row r="5843">
      <c r="A5843" s="107"/>
      <c r="D5843" s="270"/>
      <c r="H5843" s="106" t="str">
        <f t="shared" si="1"/>
        <v/>
      </c>
      <c r="I5843" s="271" t="str">
        <f>IFERROR(__xludf.DUMMYFUNCTION("""COMPUTED_VALUE"""),"")</f>
        <v/>
      </c>
      <c r="J5843" t="str">
        <f>IFERROR(__xludf.DUMMYFUNCTION("IFS(
  AND(REGEXMATCH(E5843, ""台銀籌備帳戶|玉山帳戶""), REGEXMATCH(C5843, ""薪資"")), ""分潤支出"",
  AND(REGEXMATCH(E5843, ""Ben帳戶|Elsa帳戶|Ben代墊|Ariel代墊|中信銀行共用""), REGEXMATCH(F5843, ""Ben帳戶|Elsa帳戶|Ben代墊|Ariel代墊|中信銀行共用"")), ""內部轉帳(忽略)"",
  AND(E5843&lt;&gt;"""", F5843&lt;&gt;"""", N"&amp;"OT(REGEXMATCH(C5843, ""薪資""))), ""內部轉帳(忽略)"",
  REGEXMATCH(C5843, ""薪資""), ""薪資變動(不計入)"",
  REGEXMATCH(C5843, ""押金""), ""押金往來"",
  AND(E5843&lt;&gt;"""", F5843=""""), ""真實支出"",
  AND(E5843="""", F5843&lt;&gt;""""), ""真實收入"",
  TRUE, ""其他""
)"),"其他")</f>
        <v>其他</v>
      </c>
      <c r="K5843" s="270" t="str">
        <f t="shared" si="2"/>
        <v/>
      </c>
      <c r="L5843">
        <f t="shared" si="3"/>
        <v>0</v>
      </c>
    </row>
    <row r="5844">
      <c r="A5844" s="107"/>
      <c r="D5844" s="270"/>
      <c r="H5844" s="106" t="str">
        <f t="shared" si="1"/>
        <v/>
      </c>
      <c r="I5844" s="271" t="str">
        <f>IFERROR(__xludf.DUMMYFUNCTION("""COMPUTED_VALUE"""),"")</f>
        <v/>
      </c>
      <c r="J5844" t="str">
        <f>IFERROR(__xludf.DUMMYFUNCTION("IFS(
  AND(REGEXMATCH(E5844, ""台銀籌備帳戶|玉山帳戶""), REGEXMATCH(C5844, ""薪資"")), ""分潤支出"",
  AND(REGEXMATCH(E5844, ""Ben帳戶|Elsa帳戶|Ben代墊|Ariel代墊|中信銀行共用""), REGEXMATCH(F5844, ""Ben帳戶|Elsa帳戶|Ben代墊|Ariel代墊|中信銀行共用"")), ""內部轉帳(忽略)"",
  AND(E5844&lt;&gt;"""", F5844&lt;&gt;"""", N"&amp;"OT(REGEXMATCH(C5844, ""薪資""))), ""內部轉帳(忽略)"",
  REGEXMATCH(C5844, ""薪資""), ""薪資變動(不計入)"",
  REGEXMATCH(C5844, ""押金""), ""押金往來"",
  AND(E5844&lt;&gt;"""", F5844=""""), ""真實支出"",
  AND(E5844="""", F5844&lt;&gt;""""), ""真實收入"",
  TRUE, ""其他""
)"),"其他")</f>
        <v>其他</v>
      </c>
      <c r="K5844" s="270" t="str">
        <f t="shared" si="2"/>
        <v/>
      </c>
      <c r="L5844">
        <f t="shared" si="3"/>
        <v>0</v>
      </c>
    </row>
    <row r="5845">
      <c r="A5845" s="107"/>
      <c r="D5845" s="270"/>
      <c r="H5845" s="106" t="str">
        <f t="shared" si="1"/>
        <v/>
      </c>
      <c r="I5845" s="271" t="str">
        <f>IFERROR(__xludf.DUMMYFUNCTION("""COMPUTED_VALUE"""),"")</f>
        <v/>
      </c>
      <c r="J5845" t="str">
        <f>IFERROR(__xludf.DUMMYFUNCTION("IFS(
  AND(REGEXMATCH(E5845, ""台銀籌備帳戶|玉山帳戶""), REGEXMATCH(C5845, ""薪資"")), ""分潤支出"",
  AND(REGEXMATCH(E5845, ""Ben帳戶|Elsa帳戶|Ben代墊|Ariel代墊|中信銀行共用""), REGEXMATCH(F5845, ""Ben帳戶|Elsa帳戶|Ben代墊|Ariel代墊|中信銀行共用"")), ""內部轉帳(忽略)"",
  AND(E5845&lt;&gt;"""", F5845&lt;&gt;"""", N"&amp;"OT(REGEXMATCH(C5845, ""薪資""))), ""內部轉帳(忽略)"",
  REGEXMATCH(C5845, ""薪資""), ""薪資變動(不計入)"",
  REGEXMATCH(C5845, ""押金""), ""押金往來"",
  AND(E5845&lt;&gt;"""", F5845=""""), ""真實支出"",
  AND(E5845="""", F5845&lt;&gt;""""), ""真實收入"",
  TRUE, ""其他""
)"),"其他")</f>
        <v>其他</v>
      </c>
      <c r="K5845" s="270" t="str">
        <f t="shared" si="2"/>
        <v/>
      </c>
      <c r="L5845">
        <f t="shared" si="3"/>
        <v>0</v>
      </c>
    </row>
    <row r="5846">
      <c r="A5846" s="107"/>
      <c r="D5846" s="270"/>
      <c r="H5846" s="106" t="str">
        <f t="shared" si="1"/>
        <v/>
      </c>
      <c r="I5846" s="271" t="str">
        <f>IFERROR(__xludf.DUMMYFUNCTION("""COMPUTED_VALUE"""),"")</f>
        <v/>
      </c>
      <c r="J5846" t="str">
        <f>IFERROR(__xludf.DUMMYFUNCTION("IFS(
  AND(REGEXMATCH(E5846, ""台銀籌備帳戶|玉山帳戶""), REGEXMATCH(C5846, ""薪資"")), ""分潤支出"",
  AND(REGEXMATCH(E5846, ""Ben帳戶|Elsa帳戶|Ben代墊|Ariel代墊|中信銀行共用""), REGEXMATCH(F5846, ""Ben帳戶|Elsa帳戶|Ben代墊|Ariel代墊|中信銀行共用"")), ""內部轉帳(忽略)"",
  AND(E5846&lt;&gt;"""", F5846&lt;&gt;"""", N"&amp;"OT(REGEXMATCH(C5846, ""薪資""))), ""內部轉帳(忽略)"",
  REGEXMATCH(C5846, ""薪資""), ""薪資變動(不計入)"",
  REGEXMATCH(C5846, ""押金""), ""押金往來"",
  AND(E5846&lt;&gt;"""", F5846=""""), ""真實支出"",
  AND(E5846="""", F5846&lt;&gt;""""), ""真實收入"",
  TRUE, ""其他""
)"),"其他")</f>
        <v>其他</v>
      </c>
      <c r="K5846" s="270" t="str">
        <f t="shared" si="2"/>
        <v/>
      </c>
      <c r="L5846">
        <f t="shared" si="3"/>
        <v>0</v>
      </c>
    </row>
    <row r="5847">
      <c r="A5847" s="107"/>
      <c r="D5847" s="270"/>
      <c r="H5847" s="106" t="str">
        <f t="shared" si="1"/>
        <v/>
      </c>
      <c r="I5847" s="271" t="str">
        <f>IFERROR(__xludf.DUMMYFUNCTION("""COMPUTED_VALUE"""),"")</f>
        <v/>
      </c>
      <c r="J5847" t="str">
        <f>IFERROR(__xludf.DUMMYFUNCTION("IFS(
  AND(REGEXMATCH(E5847, ""台銀籌備帳戶|玉山帳戶""), REGEXMATCH(C5847, ""薪資"")), ""分潤支出"",
  AND(REGEXMATCH(E5847, ""Ben帳戶|Elsa帳戶|Ben代墊|Ariel代墊|中信銀行共用""), REGEXMATCH(F5847, ""Ben帳戶|Elsa帳戶|Ben代墊|Ariel代墊|中信銀行共用"")), ""內部轉帳(忽略)"",
  AND(E5847&lt;&gt;"""", F5847&lt;&gt;"""", N"&amp;"OT(REGEXMATCH(C5847, ""薪資""))), ""內部轉帳(忽略)"",
  REGEXMATCH(C5847, ""薪資""), ""薪資變動(不計入)"",
  REGEXMATCH(C5847, ""押金""), ""押金往來"",
  AND(E5847&lt;&gt;"""", F5847=""""), ""真實支出"",
  AND(E5847="""", F5847&lt;&gt;""""), ""真實收入"",
  TRUE, ""其他""
)"),"其他")</f>
        <v>其他</v>
      </c>
      <c r="K5847" s="270" t="str">
        <f t="shared" si="2"/>
        <v/>
      </c>
      <c r="L5847">
        <f t="shared" si="3"/>
        <v>0</v>
      </c>
    </row>
    <row r="5848">
      <c r="A5848" s="107"/>
      <c r="D5848" s="270"/>
      <c r="H5848" s="106" t="str">
        <f t="shared" si="1"/>
        <v/>
      </c>
      <c r="I5848" s="271" t="str">
        <f>IFERROR(__xludf.DUMMYFUNCTION("""COMPUTED_VALUE"""),"")</f>
        <v/>
      </c>
      <c r="J5848" t="str">
        <f>IFERROR(__xludf.DUMMYFUNCTION("IFS(
  AND(REGEXMATCH(E5848, ""台銀籌備帳戶|玉山帳戶""), REGEXMATCH(C5848, ""薪資"")), ""分潤支出"",
  AND(REGEXMATCH(E5848, ""Ben帳戶|Elsa帳戶|Ben代墊|Ariel代墊|中信銀行共用""), REGEXMATCH(F5848, ""Ben帳戶|Elsa帳戶|Ben代墊|Ariel代墊|中信銀行共用"")), ""內部轉帳(忽略)"",
  AND(E5848&lt;&gt;"""", F5848&lt;&gt;"""", N"&amp;"OT(REGEXMATCH(C5848, ""薪資""))), ""內部轉帳(忽略)"",
  REGEXMATCH(C5848, ""薪資""), ""薪資變動(不計入)"",
  REGEXMATCH(C5848, ""押金""), ""押金往來"",
  AND(E5848&lt;&gt;"""", F5848=""""), ""真實支出"",
  AND(E5848="""", F5848&lt;&gt;""""), ""真實收入"",
  TRUE, ""其他""
)"),"其他")</f>
        <v>其他</v>
      </c>
      <c r="K5848" s="270" t="str">
        <f t="shared" si="2"/>
        <v/>
      </c>
      <c r="L5848">
        <f t="shared" si="3"/>
        <v>0</v>
      </c>
    </row>
    <row r="5849">
      <c r="A5849" s="107"/>
      <c r="D5849" s="270"/>
      <c r="H5849" s="106" t="str">
        <f t="shared" si="1"/>
        <v/>
      </c>
      <c r="I5849" s="271" t="str">
        <f>IFERROR(__xludf.DUMMYFUNCTION("""COMPUTED_VALUE"""),"")</f>
        <v/>
      </c>
      <c r="J5849" t="str">
        <f>IFERROR(__xludf.DUMMYFUNCTION("IFS(
  AND(REGEXMATCH(E5849, ""台銀籌備帳戶|玉山帳戶""), REGEXMATCH(C5849, ""薪資"")), ""分潤支出"",
  AND(REGEXMATCH(E5849, ""Ben帳戶|Elsa帳戶|Ben代墊|Ariel代墊|中信銀行共用""), REGEXMATCH(F5849, ""Ben帳戶|Elsa帳戶|Ben代墊|Ariel代墊|中信銀行共用"")), ""內部轉帳(忽略)"",
  AND(E5849&lt;&gt;"""", F5849&lt;&gt;"""", N"&amp;"OT(REGEXMATCH(C5849, ""薪資""))), ""內部轉帳(忽略)"",
  REGEXMATCH(C5849, ""薪資""), ""薪資變動(不計入)"",
  REGEXMATCH(C5849, ""押金""), ""押金往來"",
  AND(E5849&lt;&gt;"""", F5849=""""), ""真實支出"",
  AND(E5849="""", F5849&lt;&gt;""""), ""真實收入"",
  TRUE, ""其他""
)"),"其他")</f>
        <v>其他</v>
      </c>
      <c r="K5849" s="270" t="str">
        <f t="shared" si="2"/>
        <v/>
      </c>
      <c r="L5849">
        <f t="shared" si="3"/>
        <v>0</v>
      </c>
    </row>
    <row r="5850">
      <c r="A5850" s="107"/>
      <c r="D5850" s="270"/>
      <c r="H5850" s="106" t="str">
        <f t="shared" si="1"/>
        <v/>
      </c>
      <c r="I5850" s="271" t="str">
        <f>IFERROR(__xludf.DUMMYFUNCTION("""COMPUTED_VALUE"""),"")</f>
        <v/>
      </c>
      <c r="J5850" t="str">
        <f>IFERROR(__xludf.DUMMYFUNCTION("IFS(
  AND(REGEXMATCH(E5850, ""台銀籌備帳戶|玉山帳戶""), REGEXMATCH(C5850, ""薪資"")), ""分潤支出"",
  AND(REGEXMATCH(E5850, ""Ben帳戶|Elsa帳戶|Ben代墊|Ariel代墊|中信銀行共用""), REGEXMATCH(F5850, ""Ben帳戶|Elsa帳戶|Ben代墊|Ariel代墊|中信銀行共用"")), ""內部轉帳(忽略)"",
  AND(E5850&lt;&gt;"""", F5850&lt;&gt;"""", N"&amp;"OT(REGEXMATCH(C5850, ""薪資""))), ""內部轉帳(忽略)"",
  REGEXMATCH(C5850, ""薪資""), ""薪資變動(不計入)"",
  REGEXMATCH(C5850, ""押金""), ""押金往來"",
  AND(E5850&lt;&gt;"""", F5850=""""), ""真實支出"",
  AND(E5850="""", F5850&lt;&gt;""""), ""真實收入"",
  TRUE, ""其他""
)"),"其他")</f>
        <v>其他</v>
      </c>
      <c r="K5850" s="270" t="str">
        <f t="shared" si="2"/>
        <v/>
      </c>
      <c r="L5850">
        <f t="shared" si="3"/>
        <v>0</v>
      </c>
    </row>
    <row r="5851">
      <c r="A5851" s="107"/>
      <c r="D5851" s="270"/>
      <c r="H5851" s="106" t="str">
        <f t="shared" si="1"/>
        <v/>
      </c>
      <c r="I5851" s="271" t="str">
        <f>IFERROR(__xludf.DUMMYFUNCTION("""COMPUTED_VALUE"""),"")</f>
        <v/>
      </c>
      <c r="J5851" t="str">
        <f>IFERROR(__xludf.DUMMYFUNCTION("IFS(
  AND(REGEXMATCH(E5851, ""台銀籌備帳戶|玉山帳戶""), REGEXMATCH(C5851, ""薪資"")), ""分潤支出"",
  AND(REGEXMATCH(E5851, ""Ben帳戶|Elsa帳戶|Ben代墊|Ariel代墊|中信銀行共用""), REGEXMATCH(F5851, ""Ben帳戶|Elsa帳戶|Ben代墊|Ariel代墊|中信銀行共用"")), ""內部轉帳(忽略)"",
  AND(E5851&lt;&gt;"""", F5851&lt;&gt;"""", N"&amp;"OT(REGEXMATCH(C5851, ""薪資""))), ""內部轉帳(忽略)"",
  REGEXMATCH(C5851, ""薪資""), ""薪資變動(不計入)"",
  REGEXMATCH(C5851, ""押金""), ""押金往來"",
  AND(E5851&lt;&gt;"""", F5851=""""), ""真實支出"",
  AND(E5851="""", F5851&lt;&gt;""""), ""真實收入"",
  TRUE, ""其他""
)"),"其他")</f>
        <v>其他</v>
      </c>
      <c r="K5851" s="270" t="str">
        <f t="shared" si="2"/>
        <v/>
      </c>
      <c r="L5851">
        <f t="shared" si="3"/>
        <v>0</v>
      </c>
    </row>
    <row r="5852">
      <c r="A5852" s="107"/>
      <c r="D5852" s="270"/>
      <c r="H5852" s="106" t="str">
        <f t="shared" si="1"/>
        <v/>
      </c>
      <c r="I5852" s="271" t="str">
        <f>IFERROR(__xludf.DUMMYFUNCTION("""COMPUTED_VALUE"""),"")</f>
        <v/>
      </c>
      <c r="J5852" t="str">
        <f>IFERROR(__xludf.DUMMYFUNCTION("IFS(
  AND(REGEXMATCH(E5852, ""台銀籌備帳戶|玉山帳戶""), REGEXMATCH(C5852, ""薪資"")), ""分潤支出"",
  AND(REGEXMATCH(E5852, ""Ben帳戶|Elsa帳戶|Ben代墊|Ariel代墊|中信銀行共用""), REGEXMATCH(F5852, ""Ben帳戶|Elsa帳戶|Ben代墊|Ariel代墊|中信銀行共用"")), ""內部轉帳(忽略)"",
  AND(E5852&lt;&gt;"""", F5852&lt;&gt;"""", N"&amp;"OT(REGEXMATCH(C5852, ""薪資""))), ""內部轉帳(忽略)"",
  REGEXMATCH(C5852, ""薪資""), ""薪資變動(不計入)"",
  REGEXMATCH(C5852, ""押金""), ""押金往來"",
  AND(E5852&lt;&gt;"""", F5852=""""), ""真實支出"",
  AND(E5852="""", F5852&lt;&gt;""""), ""真實收入"",
  TRUE, ""其他""
)"),"其他")</f>
        <v>其他</v>
      </c>
      <c r="K5852" s="270" t="str">
        <f t="shared" si="2"/>
        <v/>
      </c>
      <c r="L5852">
        <f t="shared" si="3"/>
        <v>0</v>
      </c>
    </row>
    <row r="5853">
      <c r="A5853" s="107"/>
      <c r="D5853" s="270"/>
      <c r="H5853" s="106" t="str">
        <f t="shared" si="1"/>
        <v/>
      </c>
      <c r="I5853" s="271" t="str">
        <f>IFERROR(__xludf.DUMMYFUNCTION("""COMPUTED_VALUE"""),"")</f>
        <v/>
      </c>
      <c r="J5853" t="str">
        <f>IFERROR(__xludf.DUMMYFUNCTION("IFS(
  AND(REGEXMATCH(E5853, ""台銀籌備帳戶|玉山帳戶""), REGEXMATCH(C5853, ""薪資"")), ""分潤支出"",
  AND(REGEXMATCH(E5853, ""Ben帳戶|Elsa帳戶|Ben代墊|Ariel代墊|中信銀行共用""), REGEXMATCH(F5853, ""Ben帳戶|Elsa帳戶|Ben代墊|Ariel代墊|中信銀行共用"")), ""內部轉帳(忽略)"",
  AND(E5853&lt;&gt;"""", F5853&lt;&gt;"""", N"&amp;"OT(REGEXMATCH(C5853, ""薪資""))), ""內部轉帳(忽略)"",
  REGEXMATCH(C5853, ""薪資""), ""薪資變動(不計入)"",
  REGEXMATCH(C5853, ""押金""), ""押金往來"",
  AND(E5853&lt;&gt;"""", F5853=""""), ""真實支出"",
  AND(E5853="""", F5853&lt;&gt;""""), ""真實收入"",
  TRUE, ""其他""
)"),"其他")</f>
        <v>其他</v>
      </c>
      <c r="K5853" s="270" t="str">
        <f t="shared" si="2"/>
        <v/>
      </c>
      <c r="L5853">
        <f t="shared" si="3"/>
        <v>0</v>
      </c>
    </row>
    <row r="5854">
      <c r="A5854" s="107"/>
      <c r="D5854" s="270"/>
      <c r="H5854" s="106" t="str">
        <f t="shared" si="1"/>
        <v/>
      </c>
      <c r="I5854" s="271" t="str">
        <f>IFERROR(__xludf.DUMMYFUNCTION("""COMPUTED_VALUE"""),"")</f>
        <v/>
      </c>
      <c r="J5854" t="str">
        <f>IFERROR(__xludf.DUMMYFUNCTION("IFS(
  AND(REGEXMATCH(E5854, ""台銀籌備帳戶|玉山帳戶""), REGEXMATCH(C5854, ""薪資"")), ""分潤支出"",
  AND(REGEXMATCH(E5854, ""Ben帳戶|Elsa帳戶|Ben代墊|Ariel代墊|中信銀行共用""), REGEXMATCH(F5854, ""Ben帳戶|Elsa帳戶|Ben代墊|Ariel代墊|中信銀行共用"")), ""內部轉帳(忽略)"",
  AND(E5854&lt;&gt;"""", F5854&lt;&gt;"""", N"&amp;"OT(REGEXMATCH(C5854, ""薪資""))), ""內部轉帳(忽略)"",
  REGEXMATCH(C5854, ""薪資""), ""薪資變動(不計入)"",
  REGEXMATCH(C5854, ""押金""), ""押金往來"",
  AND(E5854&lt;&gt;"""", F5854=""""), ""真實支出"",
  AND(E5854="""", F5854&lt;&gt;""""), ""真實收入"",
  TRUE, ""其他""
)"),"其他")</f>
        <v>其他</v>
      </c>
      <c r="K5854" s="270" t="str">
        <f t="shared" si="2"/>
        <v/>
      </c>
      <c r="L5854">
        <f t="shared" si="3"/>
        <v>0</v>
      </c>
    </row>
    <row r="5855">
      <c r="A5855" s="107"/>
      <c r="D5855" s="270"/>
      <c r="H5855" s="106" t="str">
        <f t="shared" si="1"/>
        <v/>
      </c>
      <c r="I5855" s="271" t="str">
        <f>IFERROR(__xludf.DUMMYFUNCTION("""COMPUTED_VALUE"""),"")</f>
        <v/>
      </c>
      <c r="J5855" t="str">
        <f>IFERROR(__xludf.DUMMYFUNCTION("IFS(
  AND(REGEXMATCH(E5855, ""台銀籌備帳戶|玉山帳戶""), REGEXMATCH(C5855, ""薪資"")), ""分潤支出"",
  AND(REGEXMATCH(E5855, ""Ben帳戶|Elsa帳戶|Ben代墊|Ariel代墊|中信銀行共用""), REGEXMATCH(F5855, ""Ben帳戶|Elsa帳戶|Ben代墊|Ariel代墊|中信銀行共用"")), ""內部轉帳(忽略)"",
  AND(E5855&lt;&gt;"""", F5855&lt;&gt;"""", N"&amp;"OT(REGEXMATCH(C5855, ""薪資""))), ""內部轉帳(忽略)"",
  REGEXMATCH(C5855, ""薪資""), ""薪資變動(不計入)"",
  REGEXMATCH(C5855, ""押金""), ""押金往來"",
  AND(E5855&lt;&gt;"""", F5855=""""), ""真實支出"",
  AND(E5855="""", F5855&lt;&gt;""""), ""真實收入"",
  TRUE, ""其他""
)"),"其他")</f>
        <v>其他</v>
      </c>
      <c r="K5855" s="270" t="str">
        <f t="shared" si="2"/>
        <v/>
      </c>
      <c r="L5855">
        <f t="shared" si="3"/>
        <v>0</v>
      </c>
    </row>
    <row r="5856">
      <c r="A5856" s="107"/>
      <c r="D5856" s="270"/>
      <c r="H5856" s="106" t="str">
        <f t="shared" si="1"/>
        <v/>
      </c>
      <c r="I5856" s="271" t="str">
        <f>IFERROR(__xludf.DUMMYFUNCTION("""COMPUTED_VALUE"""),"")</f>
        <v/>
      </c>
      <c r="J5856" t="str">
        <f>IFERROR(__xludf.DUMMYFUNCTION("IFS(
  AND(REGEXMATCH(E5856, ""台銀籌備帳戶|玉山帳戶""), REGEXMATCH(C5856, ""薪資"")), ""分潤支出"",
  AND(REGEXMATCH(E5856, ""Ben帳戶|Elsa帳戶|Ben代墊|Ariel代墊|中信銀行共用""), REGEXMATCH(F5856, ""Ben帳戶|Elsa帳戶|Ben代墊|Ariel代墊|中信銀行共用"")), ""內部轉帳(忽略)"",
  AND(E5856&lt;&gt;"""", F5856&lt;&gt;"""", N"&amp;"OT(REGEXMATCH(C5856, ""薪資""))), ""內部轉帳(忽略)"",
  REGEXMATCH(C5856, ""薪資""), ""薪資變動(不計入)"",
  REGEXMATCH(C5856, ""押金""), ""押金往來"",
  AND(E5856&lt;&gt;"""", F5856=""""), ""真實支出"",
  AND(E5856="""", F5856&lt;&gt;""""), ""真實收入"",
  TRUE, ""其他""
)"),"其他")</f>
        <v>其他</v>
      </c>
      <c r="K5856" s="270" t="str">
        <f t="shared" si="2"/>
        <v/>
      </c>
      <c r="L5856">
        <f t="shared" si="3"/>
        <v>0</v>
      </c>
    </row>
    <row r="5857">
      <c r="A5857" s="107"/>
      <c r="D5857" s="270"/>
      <c r="H5857" s="106" t="str">
        <f t="shared" si="1"/>
        <v/>
      </c>
      <c r="I5857" s="271" t="str">
        <f>IFERROR(__xludf.DUMMYFUNCTION("""COMPUTED_VALUE"""),"")</f>
        <v/>
      </c>
      <c r="J5857" t="str">
        <f>IFERROR(__xludf.DUMMYFUNCTION("IFS(
  AND(REGEXMATCH(E5857, ""台銀籌備帳戶|玉山帳戶""), REGEXMATCH(C5857, ""薪資"")), ""分潤支出"",
  AND(REGEXMATCH(E5857, ""Ben帳戶|Elsa帳戶|Ben代墊|Ariel代墊|中信銀行共用""), REGEXMATCH(F5857, ""Ben帳戶|Elsa帳戶|Ben代墊|Ariel代墊|中信銀行共用"")), ""內部轉帳(忽略)"",
  AND(E5857&lt;&gt;"""", F5857&lt;&gt;"""", N"&amp;"OT(REGEXMATCH(C5857, ""薪資""))), ""內部轉帳(忽略)"",
  REGEXMATCH(C5857, ""薪資""), ""薪資變動(不計入)"",
  REGEXMATCH(C5857, ""押金""), ""押金往來"",
  AND(E5857&lt;&gt;"""", F5857=""""), ""真實支出"",
  AND(E5857="""", F5857&lt;&gt;""""), ""真實收入"",
  TRUE, ""其他""
)"),"其他")</f>
        <v>其他</v>
      </c>
      <c r="K5857" s="270" t="str">
        <f t="shared" si="2"/>
        <v/>
      </c>
      <c r="L5857">
        <f t="shared" si="3"/>
        <v>0</v>
      </c>
    </row>
    <row r="5858">
      <c r="A5858" s="107"/>
      <c r="D5858" s="270"/>
      <c r="H5858" s="106" t="str">
        <f t="shared" si="1"/>
        <v/>
      </c>
      <c r="I5858" s="271" t="str">
        <f>IFERROR(__xludf.DUMMYFUNCTION("""COMPUTED_VALUE"""),"")</f>
        <v/>
      </c>
      <c r="J5858" t="str">
        <f>IFERROR(__xludf.DUMMYFUNCTION("IFS(
  AND(REGEXMATCH(E5858, ""台銀籌備帳戶|玉山帳戶""), REGEXMATCH(C5858, ""薪資"")), ""分潤支出"",
  AND(REGEXMATCH(E5858, ""Ben帳戶|Elsa帳戶|Ben代墊|Ariel代墊|中信銀行共用""), REGEXMATCH(F5858, ""Ben帳戶|Elsa帳戶|Ben代墊|Ariel代墊|中信銀行共用"")), ""內部轉帳(忽略)"",
  AND(E5858&lt;&gt;"""", F5858&lt;&gt;"""", N"&amp;"OT(REGEXMATCH(C5858, ""薪資""))), ""內部轉帳(忽略)"",
  REGEXMATCH(C5858, ""薪資""), ""薪資變動(不計入)"",
  REGEXMATCH(C5858, ""押金""), ""押金往來"",
  AND(E5858&lt;&gt;"""", F5858=""""), ""真實支出"",
  AND(E5858="""", F5858&lt;&gt;""""), ""真實收入"",
  TRUE, ""其他""
)"),"其他")</f>
        <v>其他</v>
      </c>
      <c r="K5858" s="270" t="str">
        <f t="shared" si="2"/>
        <v/>
      </c>
      <c r="L5858">
        <f t="shared" si="3"/>
        <v>0</v>
      </c>
    </row>
    <row r="5859">
      <c r="A5859" s="107"/>
      <c r="D5859" s="270"/>
      <c r="H5859" s="106" t="str">
        <f t="shared" si="1"/>
        <v/>
      </c>
      <c r="I5859" s="271" t="str">
        <f>IFERROR(__xludf.DUMMYFUNCTION("""COMPUTED_VALUE"""),"")</f>
        <v/>
      </c>
      <c r="J5859" t="str">
        <f>IFERROR(__xludf.DUMMYFUNCTION("IFS(
  AND(REGEXMATCH(E5859, ""台銀籌備帳戶|玉山帳戶""), REGEXMATCH(C5859, ""薪資"")), ""分潤支出"",
  AND(REGEXMATCH(E5859, ""Ben帳戶|Elsa帳戶|Ben代墊|Ariel代墊|中信銀行共用""), REGEXMATCH(F5859, ""Ben帳戶|Elsa帳戶|Ben代墊|Ariel代墊|中信銀行共用"")), ""內部轉帳(忽略)"",
  AND(E5859&lt;&gt;"""", F5859&lt;&gt;"""", N"&amp;"OT(REGEXMATCH(C5859, ""薪資""))), ""內部轉帳(忽略)"",
  REGEXMATCH(C5859, ""薪資""), ""薪資變動(不計入)"",
  REGEXMATCH(C5859, ""押金""), ""押金往來"",
  AND(E5859&lt;&gt;"""", F5859=""""), ""真實支出"",
  AND(E5859="""", F5859&lt;&gt;""""), ""真實收入"",
  TRUE, ""其他""
)"),"其他")</f>
        <v>其他</v>
      </c>
      <c r="K5859" s="270" t="str">
        <f t="shared" si="2"/>
        <v/>
      </c>
      <c r="L5859">
        <f t="shared" si="3"/>
        <v>0</v>
      </c>
    </row>
    <row r="5860">
      <c r="A5860" s="107"/>
      <c r="D5860" s="270"/>
      <c r="H5860" s="106" t="str">
        <f t="shared" si="1"/>
        <v/>
      </c>
      <c r="I5860" s="271" t="str">
        <f>IFERROR(__xludf.DUMMYFUNCTION("""COMPUTED_VALUE"""),"")</f>
        <v/>
      </c>
      <c r="J5860" t="str">
        <f>IFERROR(__xludf.DUMMYFUNCTION("IFS(
  AND(REGEXMATCH(E5860, ""台銀籌備帳戶|玉山帳戶""), REGEXMATCH(C5860, ""薪資"")), ""分潤支出"",
  AND(REGEXMATCH(E5860, ""Ben帳戶|Elsa帳戶|Ben代墊|Ariel代墊|中信銀行共用""), REGEXMATCH(F5860, ""Ben帳戶|Elsa帳戶|Ben代墊|Ariel代墊|中信銀行共用"")), ""內部轉帳(忽略)"",
  AND(E5860&lt;&gt;"""", F5860&lt;&gt;"""", N"&amp;"OT(REGEXMATCH(C5860, ""薪資""))), ""內部轉帳(忽略)"",
  REGEXMATCH(C5860, ""薪資""), ""薪資變動(不計入)"",
  REGEXMATCH(C5860, ""押金""), ""押金往來"",
  AND(E5860&lt;&gt;"""", F5860=""""), ""真實支出"",
  AND(E5860="""", F5860&lt;&gt;""""), ""真實收入"",
  TRUE, ""其他""
)"),"其他")</f>
        <v>其他</v>
      </c>
      <c r="K5860" s="270" t="str">
        <f t="shared" si="2"/>
        <v/>
      </c>
      <c r="L5860">
        <f t="shared" si="3"/>
        <v>0</v>
      </c>
    </row>
    <row r="5861">
      <c r="A5861" s="107"/>
      <c r="D5861" s="270"/>
      <c r="H5861" s="106" t="str">
        <f t="shared" si="1"/>
        <v/>
      </c>
      <c r="I5861" s="271" t="str">
        <f>IFERROR(__xludf.DUMMYFUNCTION("""COMPUTED_VALUE"""),"")</f>
        <v/>
      </c>
      <c r="J5861" t="str">
        <f>IFERROR(__xludf.DUMMYFUNCTION("IFS(
  AND(REGEXMATCH(E5861, ""台銀籌備帳戶|玉山帳戶""), REGEXMATCH(C5861, ""薪資"")), ""分潤支出"",
  AND(REGEXMATCH(E5861, ""Ben帳戶|Elsa帳戶|Ben代墊|Ariel代墊|中信銀行共用""), REGEXMATCH(F5861, ""Ben帳戶|Elsa帳戶|Ben代墊|Ariel代墊|中信銀行共用"")), ""內部轉帳(忽略)"",
  AND(E5861&lt;&gt;"""", F5861&lt;&gt;"""", N"&amp;"OT(REGEXMATCH(C5861, ""薪資""))), ""內部轉帳(忽略)"",
  REGEXMATCH(C5861, ""薪資""), ""薪資變動(不計入)"",
  REGEXMATCH(C5861, ""押金""), ""押金往來"",
  AND(E5861&lt;&gt;"""", F5861=""""), ""真實支出"",
  AND(E5861="""", F5861&lt;&gt;""""), ""真實收入"",
  TRUE, ""其他""
)"),"其他")</f>
        <v>其他</v>
      </c>
      <c r="K5861" s="270" t="str">
        <f t="shared" si="2"/>
        <v/>
      </c>
      <c r="L5861">
        <f t="shared" si="3"/>
        <v>0</v>
      </c>
    </row>
    <row r="5862">
      <c r="A5862" s="107"/>
      <c r="D5862" s="270"/>
      <c r="H5862" s="106" t="str">
        <f t="shared" si="1"/>
        <v/>
      </c>
      <c r="I5862" s="271" t="str">
        <f>IFERROR(__xludf.DUMMYFUNCTION("""COMPUTED_VALUE"""),"")</f>
        <v/>
      </c>
      <c r="J5862" t="str">
        <f>IFERROR(__xludf.DUMMYFUNCTION("IFS(
  AND(REGEXMATCH(E5862, ""台銀籌備帳戶|玉山帳戶""), REGEXMATCH(C5862, ""薪資"")), ""分潤支出"",
  AND(REGEXMATCH(E5862, ""Ben帳戶|Elsa帳戶|Ben代墊|Ariel代墊|中信銀行共用""), REGEXMATCH(F5862, ""Ben帳戶|Elsa帳戶|Ben代墊|Ariel代墊|中信銀行共用"")), ""內部轉帳(忽略)"",
  AND(E5862&lt;&gt;"""", F5862&lt;&gt;"""", N"&amp;"OT(REGEXMATCH(C5862, ""薪資""))), ""內部轉帳(忽略)"",
  REGEXMATCH(C5862, ""薪資""), ""薪資變動(不計入)"",
  REGEXMATCH(C5862, ""押金""), ""押金往來"",
  AND(E5862&lt;&gt;"""", F5862=""""), ""真實支出"",
  AND(E5862="""", F5862&lt;&gt;""""), ""真實收入"",
  TRUE, ""其他""
)"),"其他")</f>
        <v>其他</v>
      </c>
      <c r="K5862" s="270" t="str">
        <f t="shared" si="2"/>
        <v/>
      </c>
      <c r="L5862">
        <f t="shared" si="3"/>
        <v>0</v>
      </c>
    </row>
    <row r="5863">
      <c r="A5863" s="107"/>
      <c r="D5863" s="270"/>
      <c r="H5863" s="106" t="str">
        <f t="shared" si="1"/>
        <v/>
      </c>
      <c r="I5863" s="271" t="str">
        <f>IFERROR(__xludf.DUMMYFUNCTION("""COMPUTED_VALUE"""),"")</f>
        <v/>
      </c>
      <c r="J5863" t="str">
        <f>IFERROR(__xludf.DUMMYFUNCTION("IFS(
  AND(REGEXMATCH(E5863, ""台銀籌備帳戶|玉山帳戶""), REGEXMATCH(C5863, ""薪資"")), ""分潤支出"",
  AND(REGEXMATCH(E5863, ""Ben帳戶|Elsa帳戶|Ben代墊|Ariel代墊|中信銀行共用""), REGEXMATCH(F5863, ""Ben帳戶|Elsa帳戶|Ben代墊|Ariel代墊|中信銀行共用"")), ""內部轉帳(忽略)"",
  AND(E5863&lt;&gt;"""", F5863&lt;&gt;"""", N"&amp;"OT(REGEXMATCH(C5863, ""薪資""))), ""內部轉帳(忽略)"",
  REGEXMATCH(C5863, ""薪資""), ""薪資變動(不計入)"",
  REGEXMATCH(C5863, ""押金""), ""押金往來"",
  AND(E5863&lt;&gt;"""", F5863=""""), ""真實支出"",
  AND(E5863="""", F5863&lt;&gt;""""), ""真實收入"",
  TRUE, ""其他""
)"),"其他")</f>
        <v>其他</v>
      </c>
      <c r="K5863" s="270" t="str">
        <f t="shared" si="2"/>
        <v/>
      </c>
      <c r="L5863">
        <f t="shared" si="3"/>
        <v>0</v>
      </c>
    </row>
    <row r="5864">
      <c r="A5864" s="107"/>
      <c r="D5864" s="270"/>
      <c r="H5864" s="106" t="str">
        <f t="shared" si="1"/>
        <v/>
      </c>
      <c r="I5864" s="271" t="str">
        <f>IFERROR(__xludf.DUMMYFUNCTION("""COMPUTED_VALUE"""),"")</f>
        <v/>
      </c>
      <c r="J5864" t="str">
        <f>IFERROR(__xludf.DUMMYFUNCTION("IFS(
  AND(REGEXMATCH(E5864, ""台銀籌備帳戶|玉山帳戶""), REGEXMATCH(C5864, ""薪資"")), ""分潤支出"",
  AND(REGEXMATCH(E5864, ""Ben帳戶|Elsa帳戶|Ben代墊|Ariel代墊|中信銀行共用""), REGEXMATCH(F5864, ""Ben帳戶|Elsa帳戶|Ben代墊|Ariel代墊|中信銀行共用"")), ""內部轉帳(忽略)"",
  AND(E5864&lt;&gt;"""", F5864&lt;&gt;"""", N"&amp;"OT(REGEXMATCH(C5864, ""薪資""))), ""內部轉帳(忽略)"",
  REGEXMATCH(C5864, ""薪資""), ""薪資變動(不計入)"",
  REGEXMATCH(C5864, ""押金""), ""押金往來"",
  AND(E5864&lt;&gt;"""", F5864=""""), ""真實支出"",
  AND(E5864="""", F5864&lt;&gt;""""), ""真實收入"",
  TRUE, ""其他""
)"),"其他")</f>
        <v>其他</v>
      </c>
      <c r="K5864" s="270" t="str">
        <f t="shared" si="2"/>
        <v/>
      </c>
      <c r="L5864">
        <f t="shared" si="3"/>
        <v>0</v>
      </c>
    </row>
    <row r="5865">
      <c r="A5865" s="107"/>
      <c r="D5865" s="270"/>
      <c r="H5865" s="106" t="str">
        <f t="shared" si="1"/>
        <v/>
      </c>
      <c r="I5865" s="271" t="str">
        <f>IFERROR(__xludf.DUMMYFUNCTION("""COMPUTED_VALUE"""),"")</f>
        <v/>
      </c>
      <c r="J5865" t="str">
        <f>IFERROR(__xludf.DUMMYFUNCTION("IFS(
  AND(REGEXMATCH(E5865, ""台銀籌備帳戶|玉山帳戶""), REGEXMATCH(C5865, ""薪資"")), ""分潤支出"",
  AND(REGEXMATCH(E5865, ""Ben帳戶|Elsa帳戶|Ben代墊|Ariel代墊|中信銀行共用""), REGEXMATCH(F5865, ""Ben帳戶|Elsa帳戶|Ben代墊|Ariel代墊|中信銀行共用"")), ""內部轉帳(忽略)"",
  AND(E5865&lt;&gt;"""", F5865&lt;&gt;"""", N"&amp;"OT(REGEXMATCH(C5865, ""薪資""))), ""內部轉帳(忽略)"",
  REGEXMATCH(C5865, ""薪資""), ""薪資變動(不計入)"",
  REGEXMATCH(C5865, ""押金""), ""押金往來"",
  AND(E5865&lt;&gt;"""", F5865=""""), ""真實支出"",
  AND(E5865="""", F5865&lt;&gt;""""), ""真實收入"",
  TRUE, ""其他""
)"),"其他")</f>
        <v>其他</v>
      </c>
      <c r="K5865" s="270" t="str">
        <f t="shared" si="2"/>
        <v/>
      </c>
      <c r="L5865">
        <f t="shared" si="3"/>
        <v>0</v>
      </c>
    </row>
    <row r="5866">
      <c r="A5866" s="107"/>
      <c r="D5866" s="270"/>
      <c r="H5866" s="106" t="str">
        <f t="shared" si="1"/>
        <v/>
      </c>
      <c r="I5866" s="271" t="str">
        <f>IFERROR(__xludf.DUMMYFUNCTION("""COMPUTED_VALUE"""),"")</f>
        <v/>
      </c>
      <c r="J5866" t="str">
        <f>IFERROR(__xludf.DUMMYFUNCTION("IFS(
  AND(REGEXMATCH(E5866, ""台銀籌備帳戶|玉山帳戶""), REGEXMATCH(C5866, ""薪資"")), ""分潤支出"",
  AND(REGEXMATCH(E5866, ""Ben帳戶|Elsa帳戶|Ben代墊|Ariel代墊|中信銀行共用""), REGEXMATCH(F5866, ""Ben帳戶|Elsa帳戶|Ben代墊|Ariel代墊|中信銀行共用"")), ""內部轉帳(忽略)"",
  AND(E5866&lt;&gt;"""", F5866&lt;&gt;"""", N"&amp;"OT(REGEXMATCH(C5866, ""薪資""))), ""內部轉帳(忽略)"",
  REGEXMATCH(C5866, ""薪資""), ""薪資變動(不計入)"",
  REGEXMATCH(C5866, ""押金""), ""押金往來"",
  AND(E5866&lt;&gt;"""", F5866=""""), ""真實支出"",
  AND(E5866="""", F5866&lt;&gt;""""), ""真實收入"",
  TRUE, ""其他""
)"),"其他")</f>
        <v>其他</v>
      </c>
      <c r="K5866" s="270" t="str">
        <f t="shared" si="2"/>
        <v/>
      </c>
      <c r="L5866">
        <f t="shared" si="3"/>
        <v>0</v>
      </c>
    </row>
    <row r="5867">
      <c r="A5867" s="107"/>
      <c r="D5867" s="270"/>
      <c r="H5867" s="106" t="str">
        <f t="shared" si="1"/>
        <v/>
      </c>
      <c r="I5867" s="271" t="str">
        <f>IFERROR(__xludf.DUMMYFUNCTION("""COMPUTED_VALUE"""),"")</f>
        <v/>
      </c>
      <c r="J5867" t="str">
        <f>IFERROR(__xludf.DUMMYFUNCTION("IFS(
  AND(REGEXMATCH(E5867, ""台銀籌備帳戶|玉山帳戶""), REGEXMATCH(C5867, ""薪資"")), ""分潤支出"",
  AND(REGEXMATCH(E5867, ""Ben帳戶|Elsa帳戶|Ben代墊|Ariel代墊|中信銀行共用""), REGEXMATCH(F5867, ""Ben帳戶|Elsa帳戶|Ben代墊|Ariel代墊|中信銀行共用"")), ""內部轉帳(忽略)"",
  AND(E5867&lt;&gt;"""", F5867&lt;&gt;"""", N"&amp;"OT(REGEXMATCH(C5867, ""薪資""))), ""內部轉帳(忽略)"",
  REGEXMATCH(C5867, ""薪資""), ""薪資變動(不計入)"",
  REGEXMATCH(C5867, ""押金""), ""押金往來"",
  AND(E5867&lt;&gt;"""", F5867=""""), ""真實支出"",
  AND(E5867="""", F5867&lt;&gt;""""), ""真實收入"",
  TRUE, ""其他""
)"),"其他")</f>
        <v>其他</v>
      </c>
      <c r="K5867" s="270" t="str">
        <f t="shared" si="2"/>
        <v/>
      </c>
      <c r="L5867">
        <f t="shared" si="3"/>
        <v>0</v>
      </c>
    </row>
    <row r="5868">
      <c r="A5868" s="107"/>
      <c r="D5868" s="270"/>
      <c r="H5868" s="106" t="str">
        <f t="shared" si="1"/>
        <v/>
      </c>
      <c r="I5868" s="271" t="str">
        <f>IFERROR(__xludf.DUMMYFUNCTION("""COMPUTED_VALUE"""),"")</f>
        <v/>
      </c>
      <c r="J5868" t="str">
        <f>IFERROR(__xludf.DUMMYFUNCTION("IFS(
  AND(REGEXMATCH(E5868, ""台銀籌備帳戶|玉山帳戶""), REGEXMATCH(C5868, ""薪資"")), ""分潤支出"",
  AND(REGEXMATCH(E5868, ""Ben帳戶|Elsa帳戶|Ben代墊|Ariel代墊|中信銀行共用""), REGEXMATCH(F5868, ""Ben帳戶|Elsa帳戶|Ben代墊|Ariel代墊|中信銀行共用"")), ""內部轉帳(忽略)"",
  AND(E5868&lt;&gt;"""", F5868&lt;&gt;"""", N"&amp;"OT(REGEXMATCH(C5868, ""薪資""))), ""內部轉帳(忽略)"",
  REGEXMATCH(C5868, ""薪資""), ""薪資變動(不計入)"",
  REGEXMATCH(C5868, ""押金""), ""押金往來"",
  AND(E5868&lt;&gt;"""", F5868=""""), ""真實支出"",
  AND(E5868="""", F5868&lt;&gt;""""), ""真實收入"",
  TRUE, ""其他""
)"),"其他")</f>
        <v>其他</v>
      </c>
      <c r="K5868" s="270" t="str">
        <f t="shared" si="2"/>
        <v/>
      </c>
      <c r="L5868">
        <f t="shared" si="3"/>
        <v>0</v>
      </c>
    </row>
    <row r="5869">
      <c r="A5869" s="107"/>
      <c r="D5869" s="270"/>
      <c r="H5869" s="106" t="str">
        <f t="shared" si="1"/>
        <v/>
      </c>
      <c r="I5869" s="271" t="str">
        <f>IFERROR(__xludf.DUMMYFUNCTION("""COMPUTED_VALUE"""),"")</f>
        <v/>
      </c>
      <c r="J5869" t="str">
        <f>IFERROR(__xludf.DUMMYFUNCTION("IFS(
  AND(REGEXMATCH(E5869, ""台銀籌備帳戶|玉山帳戶""), REGEXMATCH(C5869, ""薪資"")), ""分潤支出"",
  AND(REGEXMATCH(E5869, ""Ben帳戶|Elsa帳戶|Ben代墊|Ariel代墊|中信銀行共用""), REGEXMATCH(F5869, ""Ben帳戶|Elsa帳戶|Ben代墊|Ariel代墊|中信銀行共用"")), ""內部轉帳(忽略)"",
  AND(E5869&lt;&gt;"""", F5869&lt;&gt;"""", N"&amp;"OT(REGEXMATCH(C5869, ""薪資""))), ""內部轉帳(忽略)"",
  REGEXMATCH(C5869, ""薪資""), ""薪資變動(不計入)"",
  REGEXMATCH(C5869, ""押金""), ""押金往來"",
  AND(E5869&lt;&gt;"""", F5869=""""), ""真實支出"",
  AND(E5869="""", F5869&lt;&gt;""""), ""真實收入"",
  TRUE, ""其他""
)"),"其他")</f>
        <v>其他</v>
      </c>
      <c r="K5869" s="270" t="str">
        <f t="shared" si="2"/>
        <v/>
      </c>
      <c r="L5869">
        <f t="shared" si="3"/>
        <v>0</v>
      </c>
    </row>
    <row r="5870">
      <c r="A5870" s="107"/>
      <c r="D5870" s="270"/>
      <c r="H5870" s="106" t="str">
        <f t="shared" si="1"/>
        <v/>
      </c>
      <c r="I5870" s="271" t="str">
        <f>IFERROR(__xludf.DUMMYFUNCTION("""COMPUTED_VALUE"""),"")</f>
        <v/>
      </c>
      <c r="J5870" t="str">
        <f>IFERROR(__xludf.DUMMYFUNCTION("IFS(
  AND(REGEXMATCH(E5870, ""台銀籌備帳戶|玉山帳戶""), REGEXMATCH(C5870, ""薪資"")), ""分潤支出"",
  AND(REGEXMATCH(E5870, ""Ben帳戶|Elsa帳戶|Ben代墊|Ariel代墊|中信銀行共用""), REGEXMATCH(F5870, ""Ben帳戶|Elsa帳戶|Ben代墊|Ariel代墊|中信銀行共用"")), ""內部轉帳(忽略)"",
  AND(E5870&lt;&gt;"""", F5870&lt;&gt;"""", N"&amp;"OT(REGEXMATCH(C5870, ""薪資""))), ""內部轉帳(忽略)"",
  REGEXMATCH(C5870, ""薪資""), ""薪資變動(不計入)"",
  REGEXMATCH(C5870, ""押金""), ""押金往來"",
  AND(E5870&lt;&gt;"""", F5870=""""), ""真實支出"",
  AND(E5870="""", F5870&lt;&gt;""""), ""真實收入"",
  TRUE, ""其他""
)"),"其他")</f>
        <v>其他</v>
      </c>
      <c r="K5870" s="270" t="str">
        <f t="shared" si="2"/>
        <v/>
      </c>
      <c r="L5870">
        <f t="shared" si="3"/>
        <v>0</v>
      </c>
    </row>
    <row r="5871">
      <c r="A5871" s="107"/>
      <c r="D5871" s="270"/>
      <c r="H5871" s="106" t="str">
        <f t="shared" si="1"/>
        <v/>
      </c>
      <c r="I5871" s="271" t="str">
        <f>IFERROR(__xludf.DUMMYFUNCTION("""COMPUTED_VALUE"""),"")</f>
        <v/>
      </c>
      <c r="J5871" t="str">
        <f>IFERROR(__xludf.DUMMYFUNCTION("IFS(
  AND(REGEXMATCH(E5871, ""台銀籌備帳戶|玉山帳戶""), REGEXMATCH(C5871, ""薪資"")), ""分潤支出"",
  AND(REGEXMATCH(E5871, ""Ben帳戶|Elsa帳戶|Ben代墊|Ariel代墊|中信銀行共用""), REGEXMATCH(F5871, ""Ben帳戶|Elsa帳戶|Ben代墊|Ariel代墊|中信銀行共用"")), ""內部轉帳(忽略)"",
  AND(E5871&lt;&gt;"""", F5871&lt;&gt;"""", N"&amp;"OT(REGEXMATCH(C5871, ""薪資""))), ""內部轉帳(忽略)"",
  REGEXMATCH(C5871, ""薪資""), ""薪資變動(不計入)"",
  REGEXMATCH(C5871, ""押金""), ""押金往來"",
  AND(E5871&lt;&gt;"""", F5871=""""), ""真實支出"",
  AND(E5871="""", F5871&lt;&gt;""""), ""真實收入"",
  TRUE, ""其他""
)"),"其他")</f>
        <v>其他</v>
      </c>
      <c r="K5871" s="270" t="str">
        <f t="shared" si="2"/>
        <v/>
      </c>
      <c r="L5871">
        <f t="shared" si="3"/>
        <v>0</v>
      </c>
    </row>
    <row r="5872">
      <c r="A5872" s="107"/>
      <c r="D5872" s="270"/>
      <c r="H5872" s="106" t="str">
        <f t="shared" si="1"/>
        <v/>
      </c>
      <c r="I5872" s="271" t="str">
        <f>IFERROR(__xludf.DUMMYFUNCTION("""COMPUTED_VALUE"""),"")</f>
        <v/>
      </c>
      <c r="J5872" t="str">
        <f>IFERROR(__xludf.DUMMYFUNCTION("IFS(
  AND(REGEXMATCH(E5872, ""台銀籌備帳戶|玉山帳戶""), REGEXMATCH(C5872, ""薪資"")), ""分潤支出"",
  AND(REGEXMATCH(E5872, ""Ben帳戶|Elsa帳戶|Ben代墊|Ariel代墊|中信銀行共用""), REGEXMATCH(F5872, ""Ben帳戶|Elsa帳戶|Ben代墊|Ariel代墊|中信銀行共用"")), ""內部轉帳(忽略)"",
  AND(E5872&lt;&gt;"""", F5872&lt;&gt;"""", N"&amp;"OT(REGEXMATCH(C5872, ""薪資""))), ""內部轉帳(忽略)"",
  REGEXMATCH(C5872, ""薪資""), ""薪資變動(不計入)"",
  REGEXMATCH(C5872, ""押金""), ""押金往來"",
  AND(E5872&lt;&gt;"""", F5872=""""), ""真實支出"",
  AND(E5872="""", F5872&lt;&gt;""""), ""真實收入"",
  TRUE, ""其他""
)"),"其他")</f>
        <v>其他</v>
      </c>
      <c r="K5872" s="270" t="str">
        <f t="shared" si="2"/>
        <v/>
      </c>
      <c r="L5872">
        <f t="shared" si="3"/>
        <v>0</v>
      </c>
    </row>
    <row r="5873">
      <c r="A5873" s="107"/>
      <c r="D5873" s="270"/>
      <c r="H5873" s="106" t="str">
        <f t="shared" si="1"/>
        <v/>
      </c>
      <c r="I5873" s="271" t="str">
        <f>IFERROR(__xludf.DUMMYFUNCTION("""COMPUTED_VALUE"""),"")</f>
        <v/>
      </c>
      <c r="J5873" t="str">
        <f>IFERROR(__xludf.DUMMYFUNCTION("IFS(
  AND(REGEXMATCH(E5873, ""台銀籌備帳戶|玉山帳戶""), REGEXMATCH(C5873, ""薪資"")), ""分潤支出"",
  AND(REGEXMATCH(E5873, ""Ben帳戶|Elsa帳戶|Ben代墊|Ariel代墊|中信銀行共用""), REGEXMATCH(F5873, ""Ben帳戶|Elsa帳戶|Ben代墊|Ariel代墊|中信銀行共用"")), ""內部轉帳(忽略)"",
  AND(E5873&lt;&gt;"""", F5873&lt;&gt;"""", N"&amp;"OT(REGEXMATCH(C5873, ""薪資""))), ""內部轉帳(忽略)"",
  REGEXMATCH(C5873, ""薪資""), ""薪資變動(不計入)"",
  REGEXMATCH(C5873, ""押金""), ""押金往來"",
  AND(E5873&lt;&gt;"""", F5873=""""), ""真實支出"",
  AND(E5873="""", F5873&lt;&gt;""""), ""真實收入"",
  TRUE, ""其他""
)"),"其他")</f>
        <v>其他</v>
      </c>
      <c r="K5873" s="270" t="str">
        <f t="shared" si="2"/>
        <v/>
      </c>
      <c r="L5873">
        <f t="shared" si="3"/>
        <v>0</v>
      </c>
    </row>
    <row r="5874">
      <c r="A5874" s="107"/>
      <c r="D5874" s="270"/>
      <c r="H5874" s="106" t="str">
        <f t="shared" si="1"/>
        <v/>
      </c>
      <c r="I5874" s="271" t="str">
        <f>IFERROR(__xludf.DUMMYFUNCTION("""COMPUTED_VALUE"""),"")</f>
        <v/>
      </c>
      <c r="J5874" t="str">
        <f>IFERROR(__xludf.DUMMYFUNCTION("IFS(
  AND(REGEXMATCH(E5874, ""台銀籌備帳戶|玉山帳戶""), REGEXMATCH(C5874, ""薪資"")), ""分潤支出"",
  AND(REGEXMATCH(E5874, ""Ben帳戶|Elsa帳戶|Ben代墊|Ariel代墊|中信銀行共用""), REGEXMATCH(F5874, ""Ben帳戶|Elsa帳戶|Ben代墊|Ariel代墊|中信銀行共用"")), ""內部轉帳(忽略)"",
  AND(E5874&lt;&gt;"""", F5874&lt;&gt;"""", N"&amp;"OT(REGEXMATCH(C5874, ""薪資""))), ""內部轉帳(忽略)"",
  REGEXMATCH(C5874, ""薪資""), ""薪資變動(不計入)"",
  REGEXMATCH(C5874, ""押金""), ""押金往來"",
  AND(E5874&lt;&gt;"""", F5874=""""), ""真實支出"",
  AND(E5874="""", F5874&lt;&gt;""""), ""真實收入"",
  TRUE, ""其他""
)"),"其他")</f>
        <v>其他</v>
      </c>
      <c r="K5874" s="270" t="str">
        <f t="shared" si="2"/>
        <v/>
      </c>
      <c r="L5874">
        <f t="shared" si="3"/>
        <v>0</v>
      </c>
    </row>
    <row r="5875">
      <c r="A5875" s="107"/>
      <c r="D5875" s="270"/>
      <c r="H5875" s="106" t="str">
        <f t="shared" si="1"/>
        <v/>
      </c>
      <c r="I5875" s="271" t="str">
        <f>IFERROR(__xludf.DUMMYFUNCTION("""COMPUTED_VALUE"""),"")</f>
        <v/>
      </c>
      <c r="J5875" t="str">
        <f>IFERROR(__xludf.DUMMYFUNCTION("IFS(
  AND(REGEXMATCH(E5875, ""台銀籌備帳戶|玉山帳戶""), REGEXMATCH(C5875, ""薪資"")), ""分潤支出"",
  AND(REGEXMATCH(E5875, ""Ben帳戶|Elsa帳戶|Ben代墊|Ariel代墊|中信銀行共用""), REGEXMATCH(F5875, ""Ben帳戶|Elsa帳戶|Ben代墊|Ariel代墊|中信銀行共用"")), ""內部轉帳(忽略)"",
  AND(E5875&lt;&gt;"""", F5875&lt;&gt;"""", N"&amp;"OT(REGEXMATCH(C5875, ""薪資""))), ""內部轉帳(忽略)"",
  REGEXMATCH(C5875, ""薪資""), ""薪資變動(不計入)"",
  REGEXMATCH(C5875, ""押金""), ""押金往來"",
  AND(E5875&lt;&gt;"""", F5875=""""), ""真實支出"",
  AND(E5875="""", F5875&lt;&gt;""""), ""真實收入"",
  TRUE, ""其他""
)"),"其他")</f>
        <v>其他</v>
      </c>
      <c r="K5875" s="270" t="str">
        <f t="shared" si="2"/>
        <v/>
      </c>
      <c r="L5875">
        <f t="shared" si="3"/>
        <v>0</v>
      </c>
    </row>
    <row r="5876">
      <c r="A5876" s="107"/>
      <c r="D5876" s="270"/>
      <c r="H5876" s="106" t="str">
        <f t="shared" si="1"/>
        <v/>
      </c>
      <c r="I5876" s="271" t="str">
        <f>IFERROR(__xludf.DUMMYFUNCTION("""COMPUTED_VALUE"""),"")</f>
        <v/>
      </c>
      <c r="J5876" t="str">
        <f>IFERROR(__xludf.DUMMYFUNCTION("IFS(
  AND(REGEXMATCH(E5876, ""台銀籌備帳戶|玉山帳戶""), REGEXMATCH(C5876, ""薪資"")), ""分潤支出"",
  AND(REGEXMATCH(E5876, ""Ben帳戶|Elsa帳戶|Ben代墊|Ariel代墊|中信銀行共用""), REGEXMATCH(F5876, ""Ben帳戶|Elsa帳戶|Ben代墊|Ariel代墊|中信銀行共用"")), ""內部轉帳(忽略)"",
  AND(E5876&lt;&gt;"""", F5876&lt;&gt;"""", N"&amp;"OT(REGEXMATCH(C5876, ""薪資""))), ""內部轉帳(忽略)"",
  REGEXMATCH(C5876, ""薪資""), ""薪資變動(不計入)"",
  REGEXMATCH(C5876, ""押金""), ""押金往來"",
  AND(E5876&lt;&gt;"""", F5876=""""), ""真實支出"",
  AND(E5876="""", F5876&lt;&gt;""""), ""真實收入"",
  TRUE, ""其他""
)"),"其他")</f>
        <v>其他</v>
      </c>
      <c r="K5876" s="270" t="str">
        <f t="shared" si="2"/>
        <v/>
      </c>
      <c r="L5876">
        <f t="shared" si="3"/>
        <v>0</v>
      </c>
    </row>
    <row r="5877">
      <c r="A5877" s="107"/>
      <c r="D5877" s="270"/>
      <c r="H5877" s="106" t="str">
        <f t="shared" si="1"/>
        <v/>
      </c>
      <c r="I5877" s="271" t="str">
        <f>IFERROR(__xludf.DUMMYFUNCTION("""COMPUTED_VALUE"""),"")</f>
        <v/>
      </c>
      <c r="J5877" t="str">
        <f>IFERROR(__xludf.DUMMYFUNCTION("IFS(
  AND(REGEXMATCH(E5877, ""台銀籌備帳戶|玉山帳戶""), REGEXMATCH(C5877, ""薪資"")), ""分潤支出"",
  AND(REGEXMATCH(E5877, ""Ben帳戶|Elsa帳戶|Ben代墊|Ariel代墊|中信銀行共用""), REGEXMATCH(F5877, ""Ben帳戶|Elsa帳戶|Ben代墊|Ariel代墊|中信銀行共用"")), ""內部轉帳(忽略)"",
  AND(E5877&lt;&gt;"""", F5877&lt;&gt;"""", N"&amp;"OT(REGEXMATCH(C5877, ""薪資""))), ""內部轉帳(忽略)"",
  REGEXMATCH(C5877, ""薪資""), ""薪資變動(不計入)"",
  REGEXMATCH(C5877, ""押金""), ""押金往來"",
  AND(E5877&lt;&gt;"""", F5877=""""), ""真實支出"",
  AND(E5877="""", F5877&lt;&gt;""""), ""真實收入"",
  TRUE, ""其他""
)"),"其他")</f>
        <v>其他</v>
      </c>
      <c r="K5877" s="270" t="str">
        <f t="shared" si="2"/>
        <v/>
      </c>
      <c r="L5877">
        <f t="shared" si="3"/>
        <v>0</v>
      </c>
    </row>
    <row r="5878">
      <c r="A5878" s="107"/>
      <c r="D5878" s="270"/>
      <c r="H5878" s="106" t="str">
        <f t="shared" si="1"/>
        <v/>
      </c>
      <c r="I5878" s="271" t="str">
        <f>IFERROR(__xludf.DUMMYFUNCTION("""COMPUTED_VALUE"""),"")</f>
        <v/>
      </c>
      <c r="J5878" t="str">
        <f>IFERROR(__xludf.DUMMYFUNCTION("IFS(
  AND(REGEXMATCH(E5878, ""台銀籌備帳戶|玉山帳戶""), REGEXMATCH(C5878, ""薪資"")), ""分潤支出"",
  AND(REGEXMATCH(E5878, ""Ben帳戶|Elsa帳戶|Ben代墊|Ariel代墊|中信銀行共用""), REGEXMATCH(F5878, ""Ben帳戶|Elsa帳戶|Ben代墊|Ariel代墊|中信銀行共用"")), ""內部轉帳(忽略)"",
  AND(E5878&lt;&gt;"""", F5878&lt;&gt;"""", N"&amp;"OT(REGEXMATCH(C5878, ""薪資""))), ""內部轉帳(忽略)"",
  REGEXMATCH(C5878, ""薪資""), ""薪資變動(不計入)"",
  REGEXMATCH(C5878, ""押金""), ""押金往來"",
  AND(E5878&lt;&gt;"""", F5878=""""), ""真實支出"",
  AND(E5878="""", F5878&lt;&gt;""""), ""真實收入"",
  TRUE, ""其他""
)"),"其他")</f>
        <v>其他</v>
      </c>
      <c r="K5878" s="270" t="str">
        <f t="shared" si="2"/>
        <v/>
      </c>
      <c r="L5878">
        <f t="shared" si="3"/>
        <v>0</v>
      </c>
    </row>
    <row r="5879">
      <c r="A5879" s="107"/>
      <c r="D5879" s="270"/>
      <c r="H5879" s="106" t="str">
        <f t="shared" si="1"/>
        <v/>
      </c>
      <c r="I5879" s="271" t="str">
        <f>IFERROR(__xludf.DUMMYFUNCTION("""COMPUTED_VALUE"""),"")</f>
        <v/>
      </c>
      <c r="J5879" t="str">
        <f>IFERROR(__xludf.DUMMYFUNCTION("IFS(
  AND(REGEXMATCH(E5879, ""台銀籌備帳戶|玉山帳戶""), REGEXMATCH(C5879, ""薪資"")), ""分潤支出"",
  AND(REGEXMATCH(E5879, ""Ben帳戶|Elsa帳戶|Ben代墊|Ariel代墊|中信銀行共用""), REGEXMATCH(F5879, ""Ben帳戶|Elsa帳戶|Ben代墊|Ariel代墊|中信銀行共用"")), ""內部轉帳(忽略)"",
  AND(E5879&lt;&gt;"""", F5879&lt;&gt;"""", N"&amp;"OT(REGEXMATCH(C5879, ""薪資""))), ""內部轉帳(忽略)"",
  REGEXMATCH(C5879, ""薪資""), ""薪資變動(不計入)"",
  REGEXMATCH(C5879, ""押金""), ""押金往來"",
  AND(E5879&lt;&gt;"""", F5879=""""), ""真實支出"",
  AND(E5879="""", F5879&lt;&gt;""""), ""真實收入"",
  TRUE, ""其他""
)"),"其他")</f>
        <v>其他</v>
      </c>
      <c r="K5879" s="270" t="str">
        <f t="shared" si="2"/>
        <v/>
      </c>
      <c r="L5879">
        <f t="shared" si="3"/>
        <v>0</v>
      </c>
    </row>
    <row r="5880">
      <c r="A5880" s="107"/>
      <c r="D5880" s="270"/>
      <c r="H5880" s="106" t="str">
        <f t="shared" si="1"/>
        <v/>
      </c>
      <c r="I5880" s="271" t="str">
        <f>IFERROR(__xludf.DUMMYFUNCTION("""COMPUTED_VALUE"""),"")</f>
        <v/>
      </c>
      <c r="J5880" t="str">
        <f>IFERROR(__xludf.DUMMYFUNCTION("IFS(
  AND(REGEXMATCH(E5880, ""台銀籌備帳戶|玉山帳戶""), REGEXMATCH(C5880, ""薪資"")), ""分潤支出"",
  AND(REGEXMATCH(E5880, ""Ben帳戶|Elsa帳戶|Ben代墊|Ariel代墊|中信銀行共用""), REGEXMATCH(F5880, ""Ben帳戶|Elsa帳戶|Ben代墊|Ariel代墊|中信銀行共用"")), ""內部轉帳(忽略)"",
  AND(E5880&lt;&gt;"""", F5880&lt;&gt;"""", N"&amp;"OT(REGEXMATCH(C5880, ""薪資""))), ""內部轉帳(忽略)"",
  REGEXMATCH(C5880, ""薪資""), ""薪資變動(不計入)"",
  REGEXMATCH(C5880, ""押金""), ""押金往來"",
  AND(E5880&lt;&gt;"""", F5880=""""), ""真實支出"",
  AND(E5880="""", F5880&lt;&gt;""""), ""真實收入"",
  TRUE, ""其他""
)"),"其他")</f>
        <v>其他</v>
      </c>
      <c r="K5880" s="270" t="str">
        <f t="shared" si="2"/>
        <v/>
      </c>
      <c r="L5880">
        <f t="shared" si="3"/>
        <v>0</v>
      </c>
    </row>
    <row r="5881">
      <c r="A5881" s="107"/>
      <c r="D5881" s="270"/>
      <c r="H5881" s="106" t="str">
        <f t="shared" si="1"/>
        <v/>
      </c>
      <c r="I5881" s="271" t="str">
        <f>IFERROR(__xludf.DUMMYFUNCTION("""COMPUTED_VALUE"""),"")</f>
        <v/>
      </c>
      <c r="J5881" t="str">
        <f>IFERROR(__xludf.DUMMYFUNCTION("IFS(
  AND(REGEXMATCH(E5881, ""台銀籌備帳戶|玉山帳戶""), REGEXMATCH(C5881, ""薪資"")), ""分潤支出"",
  AND(REGEXMATCH(E5881, ""Ben帳戶|Elsa帳戶|Ben代墊|Ariel代墊|中信銀行共用""), REGEXMATCH(F5881, ""Ben帳戶|Elsa帳戶|Ben代墊|Ariel代墊|中信銀行共用"")), ""內部轉帳(忽略)"",
  AND(E5881&lt;&gt;"""", F5881&lt;&gt;"""", N"&amp;"OT(REGEXMATCH(C5881, ""薪資""))), ""內部轉帳(忽略)"",
  REGEXMATCH(C5881, ""薪資""), ""薪資變動(不計入)"",
  REGEXMATCH(C5881, ""押金""), ""押金往來"",
  AND(E5881&lt;&gt;"""", F5881=""""), ""真實支出"",
  AND(E5881="""", F5881&lt;&gt;""""), ""真實收入"",
  TRUE, ""其他""
)"),"其他")</f>
        <v>其他</v>
      </c>
      <c r="K5881" s="270" t="str">
        <f t="shared" si="2"/>
        <v/>
      </c>
      <c r="L5881">
        <f t="shared" si="3"/>
        <v>0</v>
      </c>
    </row>
    <row r="5882">
      <c r="A5882" s="107"/>
      <c r="D5882" s="270"/>
      <c r="H5882" s="106" t="str">
        <f t="shared" si="1"/>
        <v/>
      </c>
      <c r="I5882" s="271" t="str">
        <f>IFERROR(__xludf.DUMMYFUNCTION("""COMPUTED_VALUE"""),"")</f>
        <v/>
      </c>
      <c r="J5882" t="str">
        <f>IFERROR(__xludf.DUMMYFUNCTION("IFS(
  AND(REGEXMATCH(E5882, ""台銀籌備帳戶|玉山帳戶""), REGEXMATCH(C5882, ""薪資"")), ""分潤支出"",
  AND(REGEXMATCH(E5882, ""Ben帳戶|Elsa帳戶|Ben代墊|Ariel代墊|中信銀行共用""), REGEXMATCH(F5882, ""Ben帳戶|Elsa帳戶|Ben代墊|Ariel代墊|中信銀行共用"")), ""內部轉帳(忽略)"",
  AND(E5882&lt;&gt;"""", F5882&lt;&gt;"""", N"&amp;"OT(REGEXMATCH(C5882, ""薪資""))), ""內部轉帳(忽略)"",
  REGEXMATCH(C5882, ""薪資""), ""薪資變動(不計入)"",
  REGEXMATCH(C5882, ""押金""), ""押金往來"",
  AND(E5882&lt;&gt;"""", F5882=""""), ""真實支出"",
  AND(E5882="""", F5882&lt;&gt;""""), ""真實收入"",
  TRUE, ""其他""
)"),"其他")</f>
        <v>其他</v>
      </c>
      <c r="K5882" s="270" t="str">
        <f t="shared" si="2"/>
        <v/>
      </c>
      <c r="L5882">
        <f t="shared" si="3"/>
        <v>0</v>
      </c>
    </row>
    <row r="5883">
      <c r="A5883" s="107"/>
      <c r="D5883" s="270"/>
      <c r="H5883" s="106" t="str">
        <f t="shared" si="1"/>
        <v/>
      </c>
      <c r="I5883" s="271" t="str">
        <f>IFERROR(__xludf.DUMMYFUNCTION("""COMPUTED_VALUE"""),"")</f>
        <v/>
      </c>
      <c r="J5883" t="str">
        <f>IFERROR(__xludf.DUMMYFUNCTION("IFS(
  AND(REGEXMATCH(E5883, ""台銀籌備帳戶|玉山帳戶""), REGEXMATCH(C5883, ""薪資"")), ""分潤支出"",
  AND(REGEXMATCH(E5883, ""Ben帳戶|Elsa帳戶|Ben代墊|Ariel代墊|中信銀行共用""), REGEXMATCH(F5883, ""Ben帳戶|Elsa帳戶|Ben代墊|Ariel代墊|中信銀行共用"")), ""內部轉帳(忽略)"",
  AND(E5883&lt;&gt;"""", F5883&lt;&gt;"""", N"&amp;"OT(REGEXMATCH(C5883, ""薪資""))), ""內部轉帳(忽略)"",
  REGEXMATCH(C5883, ""薪資""), ""薪資變動(不計入)"",
  REGEXMATCH(C5883, ""押金""), ""押金往來"",
  AND(E5883&lt;&gt;"""", F5883=""""), ""真實支出"",
  AND(E5883="""", F5883&lt;&gt;""""), ""真實收入"",
  TRUE, ""其他""
)"),"其他")</f>
        <v>其他</v>
      </c>
      <c r="K5883" s="270" t="str">
        <f t="shared" si="2"/>
        <v/>
      </c>
      <c r="L5883">
        <f t="shared" si="3"/>
        <v>0</v>
      </c>
    </row>
    <row r="5884">
      <c r="A5884" s="107"/>
      <c r="D5884" s="270"/>
      <c r="H5884" s="106" t="str">
        <f t="shared" si="1"/>
        <v/>
      </c>
      <c r="I5884" s="271" t="str">
        <f>IFERROR(__xludf.DUMMYFUNCTION("""COMPUTED_VALUE"""),"")</f>
        <v/>
      </c>
      <c r="J5884" t="str">
        <f>IFERROR(__xludf.DUMMYFUNCTION("IFS(
  AND(REGEXMATCH(E5884, ""台銀籌備帳戶|玉山帳戶""), REGEXMATCH(C5884, ""薪資"")), ""分潤支出"",
  AND(REGEXMATCH(E5884, ""Ben帳戶|Elsa帳戶|Ben代墊|Ariel代墊|中信銀行共用""), REGEXMATCH(F5884, ""Ben帳戶|Elsa帳戶|Ben代墊|Ariel代墊|中信銀行共用"")), ""內部轉帳(忽略)"",
  AND(E5884&lt;&gt;"""", F5884&lt;&gt;"""", N"&amp;"OT(REGEXMATCH(C5884, ""薪資""))), ""內部轉帳(忽略)"",
  REGEXMATCH(C5884, ""薪資""), ""薪資變動(不計入)"",
  REGEXMATCH(C5884, ""押金""), ""押金往來"",
  AND(E5884&lt;&gt;"""", F5884=""""), ""真實支出"",
  AND(E5884="""", F5884&lt;&gt;""""), ""真實收入"",
  TRUE, ""其他""
)"),"其他")</f>
        <v>其他</v>
      </c>
      <c r="K5884" s="270" t="str">
        <f t="shared" si="2"/>
        <v/>
      </c>
      <c r="L5884">
        <f t="shared" si="3"/>
        <v>0</v>
      </c>
    </row>
    <row r="5885">
      <c r="A5885" s="107"/>
      <c r="D5885" s="270"/>
      <c r="H5885" s="106" t="str">
        <f t="shared" si="1"/>
        <v/>
      </c>
      <c r="I5885" s="271" t="str">
        <f>IFERROR(__xludf.DUMMYFUNCTION("""COMPUTED_VALUE"""),"")</f>
        <v/>
      </c>
      <c r="J5885" t="str">
        <f>IFERROR(__xludf.DUMMYFUNCTION("IFS(
  AND(REGEXMATCH(E5885, ""台銀籌備帳戶|玉山帳戶""), REGEXMATCH(C5885, ""薪資"")), ""分潤支出"",
  AND(REGEXMATCH(E5885, ""Ben帳戶|Elsa帳戶|Ben代墊|Ariel代墊|中信銀行共用""), REGEXMATCH(F5885, ""Ben帳戶|Elsa帳戶|Ben代墊|Ariel代墊|中信銀行共用"")), ""內部轉帳(忽略)"",
  AND(E5885&lt;&gt;"""", F5885&lt;&gt;"""", N"&amp;"OT(REGEXMATCH(C5885, ""薪資""))), ""內部轉帳(忽略)"",
  REGEXMATCH(C5885, ""薪資""), ""薪資變動(不計入)"",
  REGEXMATCH(C5885, ""押金""), ""押金往來"",
  AND(E5885&lt;&gt;"""", F5885=""""), ""真實支出"",
  AND(E5885="""", F5885&lt;&gt;""""), ""真實收入"",
  TRUE, ""其他""
)"),"其他")</f>
        <v>其他</v>
      </c>
      <c r="K5885" s="270" t="str">
        <f t="shared" si="2"/>
        <v/>
      </c>
      <c r="L5885">
        <f t="shared" si="3"/>
        <v>0</v>
      </c>
    </row>
    <row r="5886">
      <c r="A5886" s="107"/>
      <c r="D5886" s="270"/>
      <c r="H5886" s="106" t="str">
        <f t="shared" si="1"/>
        <v/>
      </c>
      <c r="I5886" s="271" t="str">
        <f>IFERROR(__xludf.DUMMYFUNCTION("""COMPUTED_VALUE"""),"")</f>
        <v/>
      </c>
      <c r="J5886" t="str">
        <f>IFERROR(__xludf.DUMMYFUNCTION("IFS(
  AND(REGEXMATCH(E5886, ""台銀籌備帳戶|玉山帳戶""), REGEXMATCH(C5886, ""薪資"")), ""分潤支出"",
  AND(REGEXMATCH(E5886, ""Ben帳戶|Elsa帳戶|Ben代墊|Ariel代墊|中信銀行共用""), REGEXMATCH(F5886, ""Ben帳戶|Elsa帳戶|Ben代墊|Ariel代墊|中信銀行共用"")), ""內部轉帳(忽略)"",
  AND(E5886&lt;&gt;"""", F5886&lt;&gt;"""", N"&amp;"OT(REGEXMATCH(C5886, ""薪資""))), ""內部轉帳(忽略)"",
  REGEXMATCH(C5886, ""薪資""), ""薪資變動(不計入)"",
  REGEXMATCH(C5886, ""押金""), ""押金往來"",
  AND(E5886&lt;&gt;"""", F5886=""""), ""真實支出"",
  AND(E5886="""", F5886&lt;&gt;""""), ""真實收入"",
  TRUE, ""其他""
)"),"其他")</f>
        <v>其他</v>
      </c>
      <c r="K5886" s="270" t="str">
        <f t="shared" si="2"/>
        <v/>
      </c>
      <c r="L5886">
        <f t="shared" si="3"/>
        <v>0</v>
      </c>
    </row>
    <row r="5887">
      <c r="A5887" s="107"/>
      <c r="D5887" s="270"/>
      <c r="H5887" s="106" t="str">
        <f t="shared" si="1"/>
        <v/>
      </c>
      <c r="I5887" s="271" t="str">
        <f>IFERROR(__xludf.DUMMYFUNCTION("""COMPUTED_VALUE"""),"")</f>
        <v/>
      </c>
      <c r="J5887" t="str">
        <f>IFERROR(__xludf.DUMMYFUNCTION("IFS(
  AND(REGEXMATCH(E5887, ""台銀籌備帳戶|玉山帳戶""), REGEXMATCH(C5887, ""薪資"")), ""分潤支出"",
  AND(REGEXMATCH(E5887, ""Ben帳戶|Elsa帳戶|Ben代墊|Ariel代墊|中信銀行共用""), REGEXMATCH(F5887, ""Ben帳戶|Elsa帳戶|Ben代墊|Ariel代墊|中信銀行共用"")), ""內部轉帳(忽略)"",
  AND(E5887&lt;&gt;"""", F5887&lt;&gt;"""", N"&amp;"OT(REGEXMATCH(C5887, ""薪資""))), ""內部轉帳(忽略)"",
  REGEXMATCH(C5887, ""薪資""), ""薪資變動(不計入)"",
  REGEXMATCH(C5887, ""押金""), ""押金往來"",
  AND(E5887&lt;&gt;"""", F5887=""""), ""真實支出"",
  AND(E5887="""", F5887&lt;&gt;""""), ""真實收入"",
  TRUE, ""其他""
)"),"其他")</f>
        <v>其他</v>
      </c>
      <c r="K5887" s="270" t="str">
        <f t="shared" si="2"/>
        <v/>
      </c>
      <c r="L5887">
        <f t="shared" si="3"/>
        <v>0</v>
      </c>
    </row>
    <row r="5888">
      <c r="A5888" s="107"/>
      <c r="D5888" s="270"/>
      <c r="H5888" s="106" t="str">
        <f t="shared" si="1"/>
        <v/>
      </c>
      <c r="I5888" s="271" t="str">
        <f>IFERROR(__xludf.DUMMYFUNCTION("""COMPUTED_VALUE"""),"")</f>
        <v/>
      </c>
      <c r="J5888" t="str">
        <f>IFERROR(__xludf.DUMMYFUNCTION("IFS(
  AND(REGEXMATCH(E5888, ""台銀籌備帳戶|玉山帳戶""), REGEXMATCH(C5888, ""薪資"")), ""分潤支出"",
  AND(REGEXMATCH(E5888, ""Ben帳戶|Elsa帳戶|Ben代墊|Ariel代墊|中信銀行共用""), REGEXMATCH(F5888, ""Ben帳戶|Elsa帳戶|Ben代墊|Ariel代墊|中信銀行共用"")), ""內部轉帳(忽略)"",
  AND(E5888&lt;&gt;"""", F5888&lt;&gt;"""", N"&amp;"OT(REGEXMATCH(C5888, ""薪資""))), ""內部轉帳(忽略)"",
  REGEXMATCH(C5888, ""薪資""), ""薪資變動(不計入)"",
  REGEXMATCH(C5888, ""押金""), ""押金往來"",
  AND(E5888&lt;&gt;"""", F5888=""""), ""真實支出"",
  AND(E5888="""", F5888&lt;&gt;""""), ""真實收入"",
  TRUE, ""其他""
)"),"其他")</f>
        <v>其他</v>
      </c>
      <c r="K5888" s="270" t="str">
        <f t="shared" si="2"/>
        <v/>
      </c>
      <c r="L5888">
        <f t="shared" si="3"/>
        <v>0</v>
      </c>
    </row>
    <row r="5889">
      <c r="A5889" s="107"/>
      <c r="D5889" s="270"/>
      <c r="H5889" s="106" t="str">
        <f t="shared" si="1"/>
        <v/>
      </c>
      <c r="I5889" s="271" t="str">
        <f>IFERROR(__xludf.DUMMYFUNCTION("""COMPUTED_VALUE"""),"")</f>
        <v/>
      </c>
      <c r="J5889" t="str">
        <f>IFERROR(__xludf.DUMMYFUNCTION("IFS(
  AND(REGEXMATCH(E5889, ""台銀籌備帳戶|玉山帳戶""), REGEXMATCH(C5889, ""薪資"")), ""分潤支出"",
  AND(REGEXMATCH(E5889, ""Ben帳戶|Elsa帳戶|Ben代墊|Ariel代墊|中信銀行共用""), REGEXMATCH(F5889, ""Ben帳戶|Elsa帳戶|Ben代墊|Ariel代墊|中信銀行共用"")), ""內部轉帳(忽略)"",
  AND(E5889&lt;&gt;"""", F5889&lt;&gt;"""", N"&amp;"OT(REGEXMATCH(C5889, ""薪資""))), ""內部轉帳(忽略)"",
  REGEXMATCH(C5889, ""薪資""), ""薪資變動(不計入)"",
  REGEXMATCH(C5889, ""押金""), ""押金往來"",
  AND(E5889&lt;&gt;"""", F5889=""""), ""真實支出"",
  AND(E5889="""", F5889&lt;&gt;""""), ""真實收入"",
  TRUE, ""其他""
)"),"其他")</f>
        <v>其他</v>
      </c>
      <c r="K5889" s="270" t="str">
        <f t="shared" si="2"/>
        <v/>
      </c>
      <c r="L5889">
        <f t="shared" si="3"/>
        <v>0</v>
      </c>
    </row>
    <row r="5890">
      <c r="A5890" s="107"/>
      <c r="D5890" s="270"/>
      <c r="H5890" s="106" t="str">
        <f t="shared" si="1"/>
        <v/>
      </c>
      <c r="I5890" s="271" t="str">
        <f>IFERROR(__xludf.DUMMYFUNCTION("""COMPUTED_VALUE"""),"")</f>
        <v/>
      </c>
      <c r="J5890" t="str">
        <f>IFERROR(__xludf.DUMMYFUNCTION("IFS(
  AND(REGEXMATCH(E5890, ""台銀籌備帳戶|玉山帳戶""), REGEXMATCH(C5890, ""薪資"")), ""分潤支出"",
  AND(REGEXMATCH(E5890, ""Ben帳戶|Elsa帳戶|Ben代墊|Ariel代墊|中信銀行共用""), REGEXMATCH(F5890, ""Ben帳戶|Elsa帳戶|Ben代墊|Ariel代墊|中信銀行共用"")), ""內部轉帳(忽略)"",
  AND(E5890&lt;&gt;"""", F5890&lt;&gt;"""", N"&amp;"OT(REGEXMATCH(C5890, ""薪資""))), ""內部轉帳(忽略)"",
  REGEXMATCH(C5890, ""薪資""), ""薪資變動(不計入)"",
  REGEXMATCH(C5890, ""押金""), ""押金往來"",
  AND(E5890&lt;&gt;"""", F5890=""""), ""真實支出"",
  AND(E5890="""", F5890&lt;&gt;""""), ""真實收入"",
  TRUE, ""其他""
)"),"其他")</f>
        <v>其他</v>
      </c>
      <c r="K5890" s="270" t="str">
        <f t="shared" si="2"/>
        <v/>
      </c>
      <c r="L5890">
        <f t="shared" si="3"/>
        <v>0</v>
      </c>
    </row>
    <row r="5891">
      <c r="A5891" s="107"/>
      <c r="D5891" s="270"/>
      <c r="H5891" s="106" t="str">
        <f t="shared" si="1"/>
        <v/>
      </c>
      <c r="I5891" s="271" t="str">
        <f>IFERROR(__xludf.DUMMYFUNCTION("""COMPUTED_VALUE"""),"")</f>
        <v/>
      </c>
      <c r="J5891" t="str">
        <f>IFERROR(__xludf.DUMMYFUNCTION("IFS(
  AND(REGEXMATCH(E5891, ""台銀籌備帳戶|玉山帳戶""), REGEXMATCH(C5891, ""薪資"")), ""分潤支出"",
  AND(REGEXMATCH(E5891, ""Ben帳戶|Elsa帳戶|Ben代墊|Ariel代墊|中信銀行共用""), REGEXMATCH(F5891, ""Ben帳戶|Elsa帳戶|Ben代墊|Ariel代墊|中信銀行共用"")), ""內部轉帳(忽略)"",
  AND(E5891&lt;&gt;"""", F5891&lt;&gt;"""", N"&amp;"OT(REGEXMATCH(C5891, ""薪資""))), ""內部轉帳(忽略)"",
  REGEXMATCH(C5891, ""薪資""), ""薪資變動(不計入)"",
  REGEXMATCH(C5891, ""押金""), ""押金往來"",
  AND(E5891&lt;&gt;"""", F5891=""""), ""真實支出"",
  AND(E5891="""", F5891&lt;&gt;""""), ""真實收入"",
  TRUE, ""其他""
)"),"其他")</f>
        <v>其他</v>
      </c>
      <c r="K5891" s="270" t="str">
        <f t="shared" si="2"/>
        <v/>
      </c>
      <c r="L5891">
        <f t="shared" si="3"/>
        <v>0</v>
      </c>
    </row>
    <row r="5892">
      <c r="A5892" s="107"/>
      <c r="D5892" s="270"/>
      <c r="H5892" s="106" t="str">
        <f t="shared" si="1"/>
        <v/>
      </c>
      <c r="I5892" s="271" t="str">
        <f>IFERROR(__xludf.DUMMYFUNCTION("""COMPUTED_VALUE"""),"")</f>
        <v/>
      </c>
      <c r="J5892" t="str">
        <f>IFERROR(__xludf.DUMMYFUNCTION("IFS(
  AND(REGEXMATCH(E5892, ""台銀籌備帳戶|玉山帳戶""), REGEXMATCH(C5892, ""薪資"")), ""分潤支出"",
  AND(REGEXMATCH(E5892, ""Ben帳戶|Elsa帳戶|Ben代墊|Ariel代墊|中信銀行共用""), REGEXMATCH(F5892, ""Ben帳戶|Elsa帳戶|Ben代墊|Ariel代墊|中信銀行共用"")), ""內部轉帳(忽略)"",
  AND(E5892&lt;&gt;"""", F5892&lt;&gt;"""", N"&amp;"OT(REGEXMATCH(C5892, ""薪資""))), ""內部轉帳(忽略)"",
  REGEXMATCH(C5892, ""薪資""), ""薪資變動(不計入)"",
  REGEXMATCH(C5892, ""押金""), ""押金往來"",
  AND(E5892&lt;&gt;"""", F5892=""""), ""真實支出"",
  AND(E5892="""", F5892&lt;&gt;""""), ""真實收入"",
  TRUE, ""其他""
)"),"其他")</f>
        <v>其他</v>
      </c>
      <c r="K5892" s="270" t="str">
        <f t="shared" si="2"/>
        <v/>
      </c>
      <c r="L5892">
        <f t="shared" si="3"/>
        <v>0</v>
      </c>
    </row>
    <row r="5893">
      <c r="A5893" s="107"/>
      <c r="D5893" s="270"/>
      <c r="H5893" s="106" t="str">
        <f t="shared" si="1"/>
        <v/>
      </c>
      <c r="I5893" s="271" t="str">
        <f>IFERROR(__xludf.DUMMYFUNCTION("""COMPUTED_VALUE"""),"")</f>
        <v/>
      </c>
      <c r="J5893" t="str">
        <f>IFERROR(__xludf.DUMMYFUNCTION("IFS(
  AND(REGEXMATCH(E5893, ""台銀籌備帳戶|玉山帳戶""), REGEXMATCH(C5893, ""薪資"")), ""分潤支出"",
  AND(REGEXMATCH(E5893, ""Ben帳戶|Elsa帳戶|Ben代墊|Ariel代墊|中信銀行共用""), REGEXMATCH(F5893, ""Ben帳戶|Elsa帳戶|Ben代墊|Ariel代墊|中信銀行共用"")), ""內部轉帳(忽略)"",
  AND(E5893&lt;&gt;"""", F5893&lt;&gt;"""", N"&amp;"OT(REGEXMATCH(C5893, ""薪資""))), ""內部轉帳(忽略)"",
  REGEXMATCH(C5893, ""薪資""), ""薪資變動(不計入)"",
  REGEXMATCH(C5893, ""押金""), ""押金往來"",
  AND(E5893&lt;&gt;"""", F5893=""""), ""真實支出"",
  AND(E5893="""", F5893&lt;&gt;""""), ""真實收入"",
  TRUE, ""其他""
)"),"其他")</f>
        <v>其他</v>
      </c>
      <c r="K5893" s="270" t="str">
        <f t="shared" si="2"/>
        <v/>
      </c>
      <c r="L5893">
        <f t="shared" si="3"/>
        <v>0</v>
      </c>
    </row>
    <row r="5894">
      <c r="A5894" s="107"/>
      <c r="D5894" s="270"/>
      <c r="H5894" s="106" t="str">
        <f t="shared" si="1"/>
        <v/>
      </c>
      <c r="I5894" s="271" t="str">
        <f>IFERROR(__xludf.DUMMYFUNCTION("""COMPUTED_VALUE"""),"")</f>
        <v/>
      </c>
      <c r="J5894" t="str">
        <f>IFERROR(__xludf.DUMMYFUNCTION("IFS(
  AND(REGEXMATCH(E5894, ""台銀籌備帳戶|玉山帳戶""), REGEXMATCH(C5894, ""薪資"")), ""分潤支出"",
  AND(REGEXMATCH(E5894, ""Ben帳戶|Elsa帳戶|Ben代墊|Ariel代墊|中信銀行共用""), REGEXMATCH(F5894, ""Ben帳戶|Elsa帳戶|Ben代墊|Ariel代墊|中信銀行共用"")), ""內部轉帳(忽略)"",
  AND(E5894&lt;&gt;"""", F5894&lt;&gt;"""", N"&amp;"OT(REGEXMATCH(C5894, ""薪資""))), ""內部轉帳(忽略)"",
  REGEXMATCH(C5894, ""薪資""), ""薪資變動(不計入)"",
  REGEXMATCH(C5894, ""押金""), ""押金往來"",
  AND(E5894&lt;&gt;"""", F5894=""""), ""真實支出"",
  AND(E5894="""", F5894&lt;&gt;""""), ""真實收入"",
  TRUE, ""其他""
)"),"其他")</f>
        <v>其他</v>
      </c>
      <c r="K5894" s="270" t="str">
        <f t="shared" si="2"/>
        <v/>
      </c>
      <c r="L5894">
        <f t="shared" si="3"/>
        <v>0</v>
      </c>
    </row>
    <row r="5895">
      <c r="A5895" s="107"/>
      <c r="D5895" s="270"/>
      <c r="H5895" s="106" t="str">
        <f t="shared" si="1"/>
        <v/>
      </c>
      <c r="I5895" s="271" t="str">
        <f>IFERROR(__xludf.DUMMYFUNCTION("""COMPUTED_VALUE"""),"")</f>
        <v/>
      </c>
      <c r="J5895" t="str">
        <f>IFERROR(__xludf.DUMMYFUNCTION("IFS(
  AND(REGEXMATCH(E5895, ""台銀籌備帳戶|玉山帳戶""), REGEXMATCH(C5895, ""薪資"")), ""分潤支出"",
  AND(REGEXMATCH(E5895, ""Ben帳戶|Elsa帳戶|Ben代墊|Ariel代墊|中信銀行共用""), REGEXMATCH(F5895, ""Ben帳戶|Elsa帳戶|Ben代墊|Ariel代墊|中信銀行共用"")), ""內部轉帳(忽略)"",
  AND(E5895&lt;&gt;"""", F5895&lt;&gt;"""", N"&amp;"OT(REGEXMATCH(C5895, ""薪資""))), ""內部轉帳(忽略)"",
  REGEXMATCH(C5895, ""薪資""), ""薪資變動(不計入)"",
  REGEXMATCH(C5895, ""押金""), ""押金往來"",
  AND(E5895&lt;&gt;"""", F5895=""""), ""真實支出"",
  AND(E5895="""", F5895&lt;&gt;""""), ""真實收入"",
  TRUE, ""其他""
)"),"其他")</f>
        <v>其他</v>
      </c>
      <c r="K5895" s="270" t="str">
        <f t="shared" si="2"/>
        <v/>
      </c>
      <c r="L5895">
        <f t="shared" si="3"/>
        <v>0</v>
      </c>
    </row>
    <row r="5896">
      <c r="A5896" s="107"/>
      <c r="D5896" s="270"/>
      <c r="H5896" s="106" t="str">
        <f t="shared" si="1"/>
        <v/>
      </c>
      <c r="I5896" s="271" t="str">
        <f>IFERROR(__xludf.DUMMYFUNCTION("""COMPUTED_VALUE"""),"")</f>
        <v/>
      </c>
      <c r="J5896" t="str">
        <f>IFERROR(__xludf.DUMMYFUNCTION("IFS(
  AND(REGEXMATCH(E5896, ""台銀籌備帳戶|玉山帳戶""), REGEXMATCH(C5896, ""薪資"")), ""分潤支出"",
  AND(REGEXMATCH(E5896, ""Ben帳戶|Elsa帳戶|Ben代墊|Ariel代墊|中信銀行共用""), REGEXMATCH(F5896, ""Ben帳戶|Elsa帳戶|Ben代墊|Ariel代墊|中信銀行共用"")), ""內部轉帳(忽略)"",
  AND(E5896&lt;&gt;"""", F5896&lt;&gt;"""", N"&amp;"OT(REGEXMATCH(C5896, ""薪資""))), ""內部轉帳(忽略)"",
  REGEXMATCH(C5896, ""薪資""), ""薪資變動(不計入)"",
  REGEXMATCH(C5896, ""押金""), ""押金往來"",
  AND(E5896&lt;&gt;"""", F5896=""""), ""真實支出"",
  AND(E5896="""", F5896&lt;&gt;""""), ""真實收入"",
  TRUE, ""其他""
)"),"其他")</f>
        <v>其他</v>
      </c>
      <c r="K5896" s="270" t="str">
        <f t="shared" si="2"/>
        <v/>
      </c>
      <c r="L5896">
        <f t="shared" si="3"/>
        <v>0</v>
      </c>
    </row>
    <row r="5897">
      <c r="A5897" s="107"/>
      <c r="D5897" s="270"/>
      <c r="H5897" s="106" t="str">
        <f t="shared" si="1"/>
        <v/>
      </c>
      <c r="I5897" s="271" t="str">
        <f>IFERROR(__xludf.DUMMYFUNCTION("""COMPUTED_VALUE"""),"")</f>
        <v/>
      </c>
      <c r="J5897" t="str">
        <f>IFERROR(__xludf.DUMMYFUNCTION("IFS(
  AND(REGEXMATCH(E5897, ""台銀籌備帳戶|玉山帳戶""), REGEXMATCH(C5897, ""薪資"")), ""分潤支出"",
  AND(REGEXMATCH(E5897, ""Ben帳戶|Elsa帳戶|Ben代墊|Ariel代墊|中信銀行共用""), REGEXMATCH(F5897, ""Ben帳戶|Elsa帳戶|Ben代墊|Ariel代墊|中信銀行共用"")), ""內部轉帳(忽略)"",
  AND(E5897&lt;&gt;"""", F5897&lt;&gt;"""", N"&amp;"OT(REGEXMATCH(C5897, ""薪資""))), ""內部轉帳(忽略)"",
  REGEXMATCH(C5897, ""薪資""), ""薪資變動(不計入)"",
  REGEXMATCH(C5897, ""押金""), ""押金往來"",
  AND(E5897&lt;&gt;"""", F5897=""""), ""真實支出"",
  AND(E5897="""", F5897&lt;&gt;""""), ""真實收入"",
  TRUE, ""其他""
)"),"其他")</f>
        <v>其他</v>
      </c>
      <c r="K5897" s="270" t="str">
        <f t="shared" si="2"/>
        <v/>
      </c>
      <c r="L5897">
        <f t="shared" si="3"/>
        <v>0</v>
      </c>
    </row>
    <row r="5898">
      <c r="A5898" s="107"/>
      <c r="D5898" s="270"/>
      <c r="H5898" s="106" t="str">
        <f t="shared" si="1"/>
        <v/>
      </c>
      <c r="I5898" s="271" t="str">
        <f>IFERROR(__xludf.DUMMYFUNCTION("""COMPUTED_VALUE"""),"")</f>
        <v/>
      </c>
      <c r="J5898" t="str">
        <f>IFERROR(__xludf.DUMMYFUNCTION("IFS(
  AND(REGEXMATCH(E5898, ""台銀籌備帳戶|玉山帳戶""), REGEXMATCH(C5898, ""薪資"")), ""分潤支出"",
  AND(REGEXMATCH(E5898, ""Ben帳戶|Elsa帳戶|Ben代墊|Ariel代墊|中信銀行共用""), REGEXMATCH(F5898, ""Ben帳戶|Elsa帳戶|Ben代墊|Ariel代墊|中信銀行共用"")), ""內部轉帳(忽略)"",
  AND(E5898&lt;&gt;"""", F5898&lt;&gt;"""", N"&amp;"OT(REGEXMATCH(C5898, ""薪資""))), ""內部轉帳(忽略)"",
  REGEXMATCH(C5898, ""薪資""), ""薪資變動(不計入)"",
  REGEXMATCH(C5898, ""押金""), ""押金往來"",
  AND(E5898&lt;&gt;"""", F5898=""""), ""真實支出"",
  AND(E5898="""", F5898&lt;&gt;""""), ""真實收入"",
  TRUE, ""其他""
)"),"其他")</f>
        <v>其他</v>
      </c>
      <c r="K5898" s="270" t="str">
        <f t="shared" si="2"/>
        <v/>
      </c>
      <c r="L5898">
        <f t="shared" si="3"/>
        <v>0</v>
      </c>
    </row>
    <row r="5899">
      <c r="A5899" s="107"/>
      <c r="D5899" s="270"/>
      <c r="H5899" s="106" t="str">
        <f t="shared" si="1"/>
        <v/>
      </c>
      <c r="I5899" s="271" t="str">
        <f>IFERROR(__xludf.DUMMYFUNCTION("""COMPUTED_VALUE"""),"")</f>
        <v/>
      </c>
      <c r="J5899" t="str">
        <f>IFERROR(__xludf.DUMMYFUNCTION("IFS(
  AND(REGEXMATCH(E5899, ""台銀籌備帳戶|玉山帳戶""), REGEXMATCH(C5899, ""薪資"")), ""分潤支出"",
  AND(REGEXMATCH(E5899, ""Ben帳戶|Elsa帳戶|Ben代墊|Ariel代墊|中信銀行共用""), REGEXMATCH(F5899, ""Ben帳戶|Elsa帳戶|Ben代墊|Ariel代墊|中信銀行共用"")), ""內部轉帳(忽略)"",
  AND(E5899&lt;&gt;"""", F5899&lt;&gt;"""", N"&amp;"OT(REGEXMATCH(C5899, ""薪資""))), ""內部轉帳(忽略)"",
  REGEXMATCH(C5899, ""薪資""), ""薪資變動(不計入)"",
  REGEXMATCH(C5899, ""押金""), ""押金往來"",
  AND(E5899&lt;&gt;"""", F5899=""""), ""真實支出"",
  AND(E5899="""", F5899&lt;&gt;""""), ""真實收入"",
  TRUE, ""其他""
)"),"其他")</f>
        <v>其他</v>
      </c>
      <c r="K5899" s="270" t="str">
        <f t="shared" si="2"/>
        <v/>
      </c>
      <c r="L5899">
        <f t="shared" si="3"/>
        <v>0</v>
      </c>
    </row>
    <row r="5900">
      <c r="A5900" s="107"/>
      <c r="D5900" s="270"/>
      <c r="H5900" s="106" t="str">
        <f t="shared" si="1"/>
        <v/>
      </c>
      <c r="I5900" s="271" t="str">
        <f>IFERROR(__xludf.DUMMYFUNCTION("""COMPUTED_VALUE"""),"")</f>
        <v/>
      </c>
      <c r="J5900" t="str">
        <f>IFERROR(__xludf.DUMMYFUNCTION("IFS(
  AND(REGEXMATCH(E5900, ""台銀籌備帳戶|玉山帳戶""), REGEXMATCH(C5900, ""薪資"")), ""分潤支出"",
  AND(REGEXMATCH(E5900, ""Ben帳戶|Elsa帳戶|Ben代墊|Ariel代墊|中信銀行共用""), REGEXMATCH(F5900, ""Ben帳戶|Elsa帳戶|Ben代墊|Ariel代墊|中信銀行共用"")), ""內部轉帳(忽略)"",
  AND(E5900&lt;&gt;"""", F5900&lt;&gt;"""", N"&amp;"OT(REGEXMATCH(C5900, ""薪資""))), ""內部轉帳(忽略)"",
  REGEXMATCH(C5900, ""薪資""), ""薪資變動(不計入)"",
  REGEXMATCH(C5900, ""押金""), ""押金往來"",
  AND(E5900&lt;&gt;"""", F5900=""""), ""真實支出"",
  AND(E5900="""", F5900&lt;&gt;""""), ""真實收入"",
  TRUE, ""其他""
)"),"其他")</f>
        <v>其他</v>
      </c>
      <c r="K5900" s="270" t="str">
        <f t="shared" si="2"/>
        <v/>
      </c>
      <c r="L5900">
        <f t="shared" si="3"/>
        <v>0</v>
      </c>
    </row>
    <row r="5901">
      <c r="A5901" s="107"/>
      <c r="D5901" s="270"/>
      <c r="H5901" s="106" t="str">
        <f t="shared" si="1"/>
        <v/>
      </c>
      <c r="I5901" s="271" t="str">
        <f>IFERROR(__xludf.DUMMYFUNCTION("""COMPUTED_VALUE"""),"")</f>
        <v/>
      </c>
      <c r="J5901" t="str">
        <f>IFERROR(__xludf.DUMMYFUNCTION("IFS(
  AND(REGEXMATCH(E5901, ""台銀籌備帳戶|玉山帳戶""), REGEXMATCH(C5901, ""薪資"")), ""分潤支出"",
  AND(REGEXMATCH(E5901, ""Ben帳戶|Elsa帳戶|Ben代墊|Ariel代墊|中信銀行共用""), REGEXMATCH(F5901, ""Ben帳戶|Elsa帳戶|Ben代墊|Ariel代墊|中信銀行共用"")), ""內部轉帳(忽略)"",
  AND(E5901&lt;&gt;"""", F5901&lt;&gt;"""", N"&amp;"OT(REGEXMATCH(C5901, ""薪資""))), ""內部轉帳(忽略)"",
  REGEXMATCH(C5901, ""薪資""), ""薪資變動(不計入)"",
  REGEXMATCH(C5901, ""押金""), ""押金往來"",
  AND(E5901&lt;&gt;"""", F5901=""""), ""真實支出"",
  AND(E5901="""", F5901&lt;&gt;""""), ""真實收入"",
  TRUE, ""其他""
)"),"其他")</f>
        <v>其他</v>
      </c>
      <c r="K5901" s="270" t="str">
        <f t="shared" si="2"/>
        <v/>
      </c>
      <c r="L5901">
        <f t="shared" si="3"/>
        <v>0</v>
      </c>
    </row>
    <row r="5902">
      <c r="A5902" s="107"/>
      <c r="D5902" s="270"/>
      <c r="H5902" s="106" t="str">
        <f t="shared" si="1"/>
        <v/>
      </c>
      <c r="I5902" s="271" t="str">
        <f>IFERROR(__xludf.DUMMYFUNCTION("""COMPUTED_VALUE"""),"")</f>
        <v/>
      </c>
      <c r="J5902" t="str">
        <f>IFERROR(__xludf.DUMMYFUNCTION("IFS(
  AND(REGEXMATCH(E5902, ""台銀籌備帳戶|玉山帳戶""), REGEXMATCH(C5902, ""薪資"")), ""分潤支出"",
  AND(REGEXMATCH(E5902, ""Ben帳戶|Elsa帳戶|Ben代墊|Ariel代墊|中信銀行共用""), REGEXMATCH(F5902, ""Ben帳戶|Elsa帳戶|Ben代墊|Ariel代墊|中信銀行共用"")), ""內部轉帳(忽略)"",
  AND(E5902&lt;&gt;"""", F5902&lt;&gt;"""", N"&amp;"OT(REGEXMATCH(C5902, ""薪資""))), ""內部轉帳(忽略)"",
  REGEXMATCH(C5902, ""薪資""), ""薪資變動(不計入)"",
  REGEXMATCH(C5902, ""押金""), ""押金往來"",
  AND(E5902&lt;&gt;"""", F5902=""""), ""真實支出"",
  AND(E5902="""", F5902&lt;&gt;""""), ""真實收入"",
  TRUE, ""其他""
)"),"其他")</f>
        <v>其他</v>
      </c>
      <c r="K5902" s="270" t="str">
        <f t="shared" si="2"/>
        <v/>
      </c>
      <c r="L5902">
        <f t="shared" si="3"/>
        <v>0</v>
      </c>
    </row>
    <row r="5903">
      <c r="A5903" s="107"/>
      <c r="D5903" s="270"/>
      <c r="H5903" s="106" t="str">
        <f t="shared" si="1"/>
        <v/>
      </c>
      <c r="I5903" s="271" t="str">
        <f>IFERROR(__xludf.DUMMYFUNCTION("""COMPUTED_VALUE"""),"")</f>
        <v/>
      </c>
      <c r="J5903" t="str">
        <f>IFERROR(__xludf.DUMMYFUNCTION("IFS(
  AND(REGEXMATCH(E5903, ""台銀籌備帳戶|玉山帳戶""), REGEXMATCH(C5903, ""薪資"")), ""分潤支出"",
  AND(REGEXMATCH(E5903, ""Ben帳戶|Elsa帳戶|Ben代墊|Ariel代墊|中信銀行共用""), REGEXMATCH(F5903, ""Ben帳戶|Elsa帳戶|Ben代墊|Ariel代墊|中信銀行共用"")), ""內部轉帳(忽略)"",
  AND(E5903&lt;&gt;"""", F5903&lt;&gt;"""", N"&amp;"OT(REGEXMATCH(C5903, ""薪資""))), ""內部轉帳(忽略)"",
  REGEXMATCH(C5903, ""薪資""), ""薪資變動(不計入)"",
  REGEXMATCH(C5903, ""押金""), ""押金往來"",
  AND(E5903&lt;&gt;"""", F5903=""""), ""真實支出"",
  AND(E5903="""", F5903&lt;&gt;""""), ""真實收入"",
  TRUE, ""其他""
)"),"其他")</f>
        <v>其他</v>
      </c>
      <c r="K5903" s="270" t="str">
        <f t="shared" si="2"/>
        <v/>
      </c>
      <c r="L5903">
        <f t="shared" si="3"/>
        <v>0</v>
      </c>
    </row>
    <row r="5904">
      <c r="A5904" s="107"/>
      <c r="D5904" s="270"/>
      <c r="H5904" s="106" t="str">
        <f t="shared" si="1"/>
        <v/>
      </c>
      <c r="I5904" s="271" t="str">
        <f>IFERROR(__xludf.DUMMYFUNCTION("""COMPUTED_VALUE"""),"")</f>
        <v/>
      </c>
      <c r="J5904" t="str">
        <f>IFERROR(__xludf.DUMMYFUNCTION("IFS(
  AND(REGEXMATCH(E5904, ""台銀籌備帳戶|玉山帳戶""), REGEXMATCH(C5904, ""薪資"")), ""分潤支出"",
  AND(REGEXMATCH(E5904, ""Ben帳戶|Elsa帳戶|Ben代墊|Ariel代墊|中信銀行共用""), REGEXMATCH(F5904, ""Ben帳戶|Elsa帳戶|Ben代墊|Ariel代墊|中信銀行共用"")), ""內部轉帳(忽略)"",
  AND(E5904&lt;&gt;"""", F5904&lt;&gt;"""", N"&amp;"OT(REGEXMATCH(C5904, ""薪資""))), ""內部轉帳(忽略)"",
  REGEXMATCH(C5904, ""薪資""), ""薪資變動(不計入)"",
  REGEXMATCH(C5904, ""押金""), ""押金往來"",
  AND(E5904&lt;&gt;"""", F5904=""""), ""真實支出"",
  AND(E5904="""", F5904&lt;&gt;""""), ""真實收入"",
  TRUE, ""其他""
)"),"其他")</f>
        <v>其他</v>
      </c>
      <c r="K5904" s="270" t="str">
        <f t="shared" si="2"/>
        <v/>
      </c>
      <c r="L5904">
        <f t="shared" si="3"/>
        <v>0</v>
      </c>
    </row>
    <row r="5905">
      <c r="A5905" s="107"/>
      <c r="D5905" s="270"/>
      <c r="H5905" s="106" t="str">
        <f t="shared" si="1"/>
        <v/>
      </c>
      <c r="I5905" s="271" t="str">
        <f>IFERROR(__xludf.DUMMYFUNCTION("""COMPUTED_VALUE"""),"")</f>
        <v/>
      </c>
      <c r="J5905" t="str">
        <f>IFERROR(__xludf.DUMMYFUNCTION("IFS(
  AND(REGEXMATCH(E5905, ""台銀籌備帳戶|玉山帳戶""), REGEXMATCH(C5905, ""薪資"")), ""分潤支出"",
  AND(REGEXMATCH(E5905, ""Ben帳戶|Elsa帳戶|Ben代墊|Ariel代墊|中信銀行共用""), REGEXMATCH(F5905, ""Ben帳戶|Elsa帳戶|Ben代墊|Ariel代墊|中信銀行共用"")), ""內部轉帳(忽略)"",
  AND(E5905&lt;&gt;"""", F5905&lt;&gt;"""", N"&amp;"OT(REGEXMATCH(C5905, ""薪資""))), ""內部轉帳(忽略)"",
  REGEXMATCH(C5905, ""薪資""), ""薪資變動(不計入)"",
  REGEXMATCH(C5905, ""押金""), ""押金往來"",
  AND(E5905&lt;&gt;"""", F5905=""""), ""真實支出"",
  AND(E5905="""", F5905&lt;&gt;""""), ""真實收入"",
  TRUE, ""其他""
)"),"其他")</f>
        <v>其他</v>
      </c>
      <c r="K5905" s="270" t="str">
        <f t="shared" si="2"/>
        <v/>
      </c>
      <c r="L5905">
        <f t="shared" si="3"/>
        <v>0</v>
      </c>
    </row>
    <row r="5906">
      <c r="A5906" s="107"/>
      <c r="D5906" s="270"/>
      <c r="H5906" s="106" t="str">
        <f t="shared" si="1"/>
        <v/>
      </c>
      <c r="I5906" s="271" t="str">
        <f>IFERROR(__xludf.DUMMYFUNCTION("""COMPUTED_VALUE"""),"")</f>
        <v/>
      </c>
      <c r="J5906" t="str">
        <f>IFERROR(__xludf.DUMMYFUNCTION("IFS(
  AND(REGEXMATCH(E5906, ""台銀籌備帳戶|玉山帳戶""), REGEXMATCH(C5906, ""薪資"")), ""分潤支出"",
  AND(REGEXMATCH(E5906, ""Ben帳戶|Elsa帳戶|Ben代墊|Ariel代墊|中信銀行共用""), REGEXMATCH(F5906, ""Ben帳戶|Elsa帳戶|Ben代墊|Ariel代墊|中信銀行共用"")), ""內部轉帳(忽略)"",
  AND(E5906&lt;&gt;"""", F5906&lt;&gt;"""", N"&amp;"OT(REGEXMATCH(C5906, ""薪資""))), ""內部轉帳(忽略)"",
  REGEXMATCH(C5906, ""薪資""), ""薪資變動(不計入)"",
  REGEXMATCH(C5906, ""押金""), ""押金往來"",
  AND(E5906&lt;&gt;"""", F5906=""""), ""真實支出"",
  AND(E5906="""", F5906&lt;&gt;""""), ""真實收入"",
  TRUE, ""其他""
)"),"其他")</f>
        <v>其他</v>
      </c>
      <c r="K5906" s="270" t="str">
        <f t="shared" si="2"/>
        <v/>
      </c>
      <c r="L5906">
        <f t="shared" si="3"/>
        <v>0</v>
      </c>
    </row>
    <row r="5907">
      <c r="A5907" s="107"/>
      <c r="D5907" s="270"/>
      <c r="H5907" s="106" t="str">
        <f t="shared" si="1"/>
        <v/>
      </c>
      <c r="I5907" s="271" t="str">
        <f>IFERROR(__xludf.DUMMYFUNCTION("""COMPUTED_VALUE"""),"")</f>
        <v/>
      </c>
      <c r="J5907" t="str">
        <f>IFERROR(__xludf.DUMMYFUNCTION("IFS(
  AND(REGEXMATCH(E5907, ""台銀籌備帳戶|玉山帳戶""), REGEXMATCH(C5907, ""薪資"")), ""分潤支出"",
  AND(REGEXMATCH(E5907, ""Ben帳戶|Elsa帳戶|Ben代墊|Ariel代墊|中信銀行共用""), REGEXMATCH(F5907, ""Ben帳戶|Elsa帳戶|Ben代墊|Ariel代墊|中信銀行共用"")), ""內部轉帳(忽略)"",
  AND(E5907&lt;&gt;"""", F5907&lt;&gt;"""", N"&amp;"OT(REGEXMATCH(C5907, ""薪資""))), ""內部轉帳(忽略)"",
  REGEXMATCH(C5907, ""薪資""), ""薪資變動(不計入)"",
  REGEXMATCH(C5907, ""押金""), ""押金往來"",
  AND(E5907&lt;&gt;"""", F5907=""""), ""真實支出"",
  AND(E5907="""", F5907&lt;&gt;""""), ""真實收入"",
  TRUE, ""其他""
)"),"其他")</f>
        <v>其他</v>
      </c>
      <c r="K5907" s="270" t="str">
        <f t="shared" si="2"/>
        <v/>
      </c>
      <c r="L5907">
        <f t="shared" si="3"/>
        <v>0</v>
      </c>
    </row>
    <row r="5908">
      <c r="A5908" s="107"/>
      <c r="D5908" s="270"/>
      <c r="H5908" s="106" t="str">
        <f t="shared" si="1"/>
        <v/>
      </c>
      <c r="I5908" s="271" t="str">
        <f>IFERROR(__xludf.DUMMYFUNCTION("""COMPUTED_VALUE"""),"")</f>
        <v/>
      </c>
      <c r="J5908" t="str">
        <f>IFERROR(__xludf.DUMMYFUNCTION("IFS(
  AND(REGEXMATCH(E5908, ""台銀籌備帳戶|玉山帳戶""), REGEXMATCH(C5908, ""薪資"")), ""分潤支出"",
  AND(REGEXMATCH(E5908, ""Ben帳戶|Elsa帳戶|Ben代墊|Ariel代墊|中信銀行共用""), REGEXMATCH(F5908, ""Ben帳戶|Elsa帳戶|Ben代墊|Ariel代墊|中信銀行共用"")), ""內部轉帳(忽略)"",
  AND(E5908&lt;&gt;"""", F5908&lt;&gt;"""", N"&amp;"OT(REGEXMATCH(C5908, ""薪資""))), ""內部轉帳(忽略)"",
  REGEXMATCH(C5908, ""薪資""), ""薪資變動(不計入)"",
  REGEXMATCH(C5908, ""押金""), ""押金往來"",
  AND(E5908&lt;&gt;"""", F5908=""""), ""真實支出"",
  AND(E5908="""", F5908&lt;&gt;""""), ""真實收入"",
  TRUE, ""其他""
)"),"其他")</f>
        <v>其他</v>
      </c>
      <c r="K5908" s="270" t="str">
        <f t="shared" si="2"/>
        <v/>
      </c>
      <c r="L5908">
        <f t="shared" si="3"/>
        <v>0</v>
      </c>
    </row>
    <row r="5909">
      <c r="A5909" s="107"/>
      <c r="D5909" s="270"/>
      <c r="H5909" s="106" t="str">
        <f t="shared" si="1"/>
        <v/>
      </c>
      <c r="I5909" s="271" t="str">
        <f>IFERROR(__xludf.DUMMYFUNCTION("""COMPUTED_VALUE"""),"")</f>
        <v/>
      </c>
      <c r="J5909" t="str">
        <f>IFERROR(__xludf.DUMMYFUNCTION("IFS(
  AND(REGEXMATCH(E5909, ""台銀籌備帳戶|玉山帳戶""), REGEXMATCH(C5909, ""薪資"")), ""分潤支出"",
  AND(REGEXMATCH(E5909, ""Ben帳戶|Elsa帳戶|Ben代墊|Ariel代墊|中信銀行共用""), REGEXMATCH(F5909, ""Ben帳戶|Elsa帳戶|Ben代墊|Ariel代墊|中信銀行共用"")), ""內部轉帳(忽略)"",
  AND(E5909&lt;&gt;"""", F5909&lt;&gt;"""", N"&amp;"OT(REGEXMATCH(C5909, ""薪資""))), ""內部轉帳(忽略)"",
  REGEXMATCH(C5909, ""薪資""), ""薪資變動(不計入)"",
  REGEXMATCH(C5909, ""押金""), ""押金往來"",
  AND(E5909&lt;&gt;"""", F5909=""""), ""真實支出"",
  AND(E5909="""", F5909&lt;&gt;""""), ""真實收入"",
  TRUE, ""其他""
)"),"其他")</f>
        <v>其他</v>
      </c>
      <c r="K5909" s="270" t="str">
        <f t="shared" si="2"/>
        <v/>
      </c>
      <c r="L5909">
        <f t="shared" si="3"/>
        <v>0</v>
      </c>
    </row>
    <row r="5910">
      <c r="A5910" s="107"/>
      <c r="D5910" s="270"/>
      <c r="H5910" s="106" t="str">
        <f t="shared" si="1"/>
        <v/>
      </c>
      <c r="I5910" s="271" t="str">
        <f>IFERROR(__xludf.DUMMYFUNCTION("""COMPUTED_VALUE"""),"")</f>
        <v/>
      </c>
      <c r="J5910" t="str">
        <f>IFERROR(__xludf.DUMMYFUNCTION("IFS(
  AND(REGEXMATCH(E5910, ""台銀籌備帳戶|玉山帳戶""), REGEXMATCH(C5910, ""薪資"")), ""分潤支出"",
  AND(REGEXMATCH(E5910, ""Ben帳戶|Elsa帳戶|Ben代墊|Ariel代墊|中信銀行共用""), REGEXMATCH(F5910, ""Ben帳戶|Elsa帳戶|Ben代墊|Ariel代墊|中信銀行共用"")), ""內部轉帳(忽略)"",
  AND(E5910&lt;&gt;"""", F5910&lt;&gt;"""", N"&amp;"OT(REGEXMATCH(C5910, ""薪資""))), ""內部轉帳(忽略)"",
  REGEXMATCH(C5910, ""薪資""), ""薪資變動(不計入)"",
  REGEXMATCH(C5910, ""押金""), ""押金往來"",
  AND(E5910&lt;&gt;"""", F5910=""""), ""真實支出"",
  AND(E5910="""", F5910&lt;&gt;""""), ""真實收入"",
  TRUE, ""其他""
)"),"其他")</f>
        <v>其他</v>
      </c>
      <c r="K5910" s="270" t="str">
        <f t="shared" si="2"/>
        <v/>
      </c>
      <c r="L5910">
        <f t="shared" si="3"/>
        <v>0</v>
      </c>
    </row>
    <row r="5911">
      <c r="A5911" s="107"/>
      <c r="D5911" s="270"/>
      <c r="H5911" s="106" t="str">
        <f t="shared" si="1"/>
        <v/>
      </c>
      <c r="I5911" s="271" t="str">
        <f>IFERROR(__xludf.DUMMYFUNCTION("""COMPUTED_VALUE"""),"")</f>
        <v/>
      </c>
      <c r="J5911" t="str">
        <f>IFERROR(__xludf.DUMMYFUNCTION("IFS(
  AND(REGEXMATCH(E5911, ""台銀籌備帳戶|玉山帳戶""), REGEXMATCH(C5911, ""薪資"")), ""分潤支出"",
  AND(REGEXMATCH(E5911, ""Ben帳戶|Elsa帳戶|Ben代墊|Ariel代墊|中信銀行共用""), REGEXMATCH(F5911, ""Ben帳戶|Elsa帳戶|Ben代墊|Ariel代墊|中信銀行共用"")), ""內部轉帳(忽略)"",
  AND(E5911&lt;&gt;"""", F5911&lt;&gt;"""", N"&amp;"OT(REGEXMATCH(C5911, ""薪資""))), ""內部轉帳(忽略)"",
  REGEXMATCH(C5911, ""薪資""), ""薪資變動(不計入)"",
  REGEXMATCH(C5911, ""押金""), ""押金往來"",
  AND(E5911&lt;&gt;"""", F5911=""""), ""真實支出"",
  AND(E5911="""", F5911&lt;&gt;""""), ""真實收入"",
  TRUE, ""其他""
)"),"其他")</f>
        <v>其他</v>
      </c>
      <c r="K5911" s="270" t="str">
        <f t="shared" si="2"/>
        <v/>
      </c>
      <c r="L5911">
        <f t="shared" si="3"/>
        <v>0</v>
      </c>
    </row>
    <row r="5912">
      <c r="A5912" s="107"/>
      <c r="D5912" s="270"/>
      <c r="H5912" s="106" t="str">
        <f t="shared" si="1"/>
        <v/>
      </c>
      <c r="I5912" s="271" t="str">
        <f>IFERROR(__xludf.DUMMYFUNCTION("""COMPUTED_VALUE"""),"")</f>
        <v/>
      </c>
      <c r="J5912" t="str">
        <f>IFERROR(__xludf.DUMMYFUNCTION("IFS(
  AND(REGEXMATCH(E5912, ""台銀籌備帳戶|玉山帳戶""), REGEXMATCH(C5912, ""薪資"")), ""分潤支出"",
  AND(REGEXMATCH(E5912, ""Ben帳戶|Elsa帳戶|Ben代墊|Ariel代墊|中信銀行共用""), REGEXMATCH(F5912, ""Ben帳戶|Elsa帳戶|Ben代墊|Ariel代墊|中信銀行共用"")), ""內部轉帳(忽略)"",
  AND(E5912&lt;&gt;"""", F5912&lt;&gt;"""", N"&amp;"OT(REGEXMATCH(C5912, ""薪資""))), ""內部轉帳(忽略)"",
  REGEXMATCH(C5912, ""薪資""), ""薪資變動(不計入)"",
  REGEXMATCH(C5912, ""押金""), ""押金往來"",
  AND(E5912&lt;&gt;"""", F5912=""""), ""真實支出"",
  AND(E5912="""", F5912&lt;&gt;""""), ""真實收入"",
  TRUE, ""其他""
)"),"其他")</f>
        <v>其他</v>
      </c>
      <c r="K5912" s="270" t="str">
        <f t="shared" si="2"/>
        <v/>
      </c>
      <c r="L5912">
        <f t="shared" si="3"/>
        <v>0</v>
      </c>
    </row>
    <row r="5913">
      <c r="A5913" s="107"/>
      <c r="D5913" s="270"/>
      <c r="H5913" s="106" t="str">
        <f t="shared" si="1"/>
        <v/>
      </c>
      <c r="I5913" s="271" t="str">
        <f>IFERROR(__xludf.DUMMYFUNCTION("""COMPUTED_VALUE"""),"")</f>
        <v/>
      </c>
      <c r="J5913" t="str">
        <f>IFERROR(__xludf.DUMMYFUNCTION("IFS(
  AND(REGEXMATCH(E5913, ""台銀籌備帳戶|玉山帳戶""), REGEXMATCH(C5913, ""薪資"")), ""分潤支出"",
  AND(REGEXMATCH(E5913, ""Ben帳戶|Elsa帳戶|Ben代墊|Ariel代墊|中信銀行共用""), REGEXMATCH(F5913, ""Ben帳戶|Elsa帳戶|Ben代墊|Ariel代墊|中信銀行共用"")), ""內部轉帳(忽略)"",
  AND(E5913&lt;&gt;"""", F5913&lt;&gt;"""", N"&amp;"OT(REGEXMATCH(C5913, ""薪資""))), ""內部轉帳(忽略)"",
  REGEXMATCH(C5913, ""薪資""), ""薪資變動(不計入)"",
  REGEXMATCH(C5913, ""押金""), ""押金往來"",
  AND(E5913&lt;&gt;"""", F5913=""""), ""真實支出"",
  AND(E5913="""", F5913&lt;&gt;""""), ""真實收入"",
  TRUE, ""其他""
)"),"其他")</f>
        <v>其他</v>
      </c>
      <c r="K5913" s="270" t="str">
        <f t="shared" si="2"/>
        <v/>
      </c>
      <c r="L5913">
        <f t="shared" si="3"/>
        <v>0</v>
      </c>
    </row>
    <row r="5914">
      <c r="A5914" s="107"/>
      <c r="D5914" s="270"/>
      <c r="H5914" s="106" t="str">
        <f t="shared" si="1"/>
        <v/>
      </c>
      <c r="I5914" s="271" t="str">
        <f>IFERROR(__xludf.DUMMYFUNCTION("""COMPUTED_VALUE"""),"")</f>
        <v/>
      </c>
      <c r="J5914" t="str">
        <f>IFERROR(__xludf.DUMMYFUNCTION("IFS(
  AND(REGEXMATCH(E5914, ""台銀籌備帳戶|玉山帳戶""), REGEXMATCH(C5914, ""薪資"")), ""分潤支出"",
  AND(REGEXMATCH(E5914, ""Ben帳戶|Elsa帳戶|Ben代墊|Ariel代墊|中信銀行共用""), REGEXMATCH(F5914, ""Ben帳戶|Elsa帳戶|Ben代墊|Ariel代墊|中信銀行共用"")), ""內部轉帳(忽略)"",
  AND(E5914&lt;&gt;"""", F5914&lt;&gt;"""", N"&amp;"OT(REGEXMATCH(C5914, ""薪資""))), ""內部轉帳(忽略)"",
  REGEXMATCH(C5914, ""薪資""), ""薪資變動(不計入)"",
  REGEXMATCH(C5914, ""押金""), ""押金往來"",
  AND(E5914&lt;&gt;"""", F5914=""""), ""真實支出"",
  AND(E5914="""", F5914&lt;&gt;""""), ""真實收入"",
  TRUE, ""其他""
)"),"其他")</f>
        <v>其他</v>
      </c>
      <c r="K5914" s="270" t="str">
        <f t="shared" si="2"/>
        <v/>
      </c>
      <c r="L5914">
        <f t="shared" si="3"/>
        <v>0</v>
      </c>
    </row>
    <row r="5915">
      <c r="A5915" s="107"/>
      <c r="D5915" s="270"/>
      <c r="H5915" s="106" t="str">
        <f t="shared" si="1"/>
        <v/>
      </c>
      <c r="I5915" s="271" t="str">
        <f>IFERROR(__xludf.DUMMYFUNCTION("""COMPUTED_VALUE"""),"")</f>
        <v/>
      </c>
      <c r="J5915" t="str">
        <f>IFERROR(__xludf.DUMMYFUNCTION("IFS(
  AND(REGEXMATCH(E5915, ""台銀籌備帳戶|玉山帳戶""), REGEXMATCH(C5915, ""薪資"")), ""分潤支出"",
  AND(REGEXMATCH(E5915, ""Ben帳戶|Elsa帳戶|Ben代墊|Ariel代墊|中信銀行共用""), REGEXMATCH(F5915, ""Ben帳戶|Elsa帳戶|Ben代墊|Ariel代墊|中信銀行共用"")), ""內部轉帳(忽略)"",
  AND(E5915&lt;&gt;"""", F5915&lt;&gt;"""", N"&amp;"OT(REGEXMATCH(C5915, ""薪資""))), ""內部轉帳(忽略)"",
  REGEXMATCH(C5915, ""薪資""), ""薪資變動(不計入)"",
  REGEXMATCH(C5915, ""押金""), ""押金往來"",
  AND(E5915&lt;&gt;"""", F5915=""""), ""真實支出"",
  AND(E5915="""", F5915&lt;&gt;""""), ""真實收入"",
  TRUE, ""其他""
)"),"其他")</f>
        <v>其他</v>
      </c>
      <c r="K5915" s="270" t="str">
        <f t="shared" si="2"/>
        <v/>
      </c>
      <c r="L5915">
        <f t="shared" si="3"/>
        <v>0</v>
      </c>
    </row>
    <row r="5916">
      <c r="A5916" s="107"/>
      <c r="D5916" s="270"/>
      <c r="H5916" s="106" t="str">
        <f t="shared" si="1"/>
        <v/>
      </c>
      <c r="I5916" s="271" t="str">
        <f>IFERROR(__xludf.DUMMYFUNCTION("""COMPUTED_VALUE"""),"")</f>
        <v/>
      </c>
      <c r="J5916" t="str">
        <f>IFERROR(__xludf.DUMMYFUNCTION("IFS(
  AND(REGEXMATCH(E5916, ""台銀籌備帳戶|玉山帳戶""), REGEXMATCH(C5916, ""薪資"")), ""分潤支出"",
  AND(REGEXMATCH(E5916, ""Ben帳戶|Elsa帳戶|Ben代墊|Ariel代墊|中信銀行共用""), REGEXMATCH(F5916, ""Ben帳戶|Elsa帳戶|Ben代墊|Ariel代墊|中信銀行共用"")), ""內部轉帳(忽略)"",
  AND(E5916&lt;&gt;"""", F5916&lt;&gt;"""", N"&amp;"OT(REGEXMATCH(C5916, ""薪資""))), ""內部轉帳(忽略)"",
  REGEXMATCH(C5916, ""薪資""), ""薪資變動(不計入)"",
  REGEXMATCH(C5916, ""押金""), ""押金往來"",
  AND(E5916&lt;&gt;"""", F5916=""""), ""真實支出"",
  AND(E5916="""", F5916&lt;&gt;""""), ""真實收入"",
  TRUE, ""其他""
)"),"其他")</f>
        <v>其他</v>
      </c>
      <c r="K5916" s="270" t="str">
        <f t="shared" si="2"/>
        <v/>
      </c>
      <c r="L5916">
        <f t="shared" si="3"/>
        <v>0</v>
      </c>
    </row>
    <row r="5917">
      <c r="A5917" s="107"/>
      <c r="D5917" s="270"/>
      <c r="H5917" s="106" t="str">
        <f t="shared" si="1"/>
        <v/>
      </c>
      <c r="I5917" s="271" t="str">
        <f>IFERROR(__xludf.DUMMYFUNCTION("""COMPUTED_VALUE"""),"")</f>
        <v/>
      </c>
      <c r="J5917" t="str">
        <f>IFERROR(__xludf.DUMMYFUNCTION("IFS(
  AND(REGEXMATCH(E5917, ""台銀籌備帳戶|玉山帳戶""), REGEXMATCH(C5917, ""薪資"")), ""分潤支出"",
  AND(REGEXMATCH(E5917, ""Ben帳戶|Elsa帳戶|Ben代墊|Ariel代墊|中信銀行共用""), REGEXMATCH(F5917, ""Ben帳戶|Elsa帳戶|Ben代墊|Ariel代墊|中信銀行共用"")), ""內部轉帳(忽略)"",
  AND(E5917&lt;&gt;"""", F5917&lt;&gt;"""", N"&amp;"OT(REGEXMATCH(C5917, ""薪資""))), ""內部轉帳(忽略)"",
  REGEXMATCH(C5917, ""薪資""), ""薪資變動(不計入)"",
  REGEXMATCH(C5917, ""押金""), ""押金往來"",
  AND(E5917&lt;&gt;"""", F5917=""""), ""真實支出"",
  AND(E5917="""", F5917&lt;&gt;""""), ""真實收入"",
  TRUE, ""其他""
)"),"其他")</f>
        <v>其他</v>
      </c>
      <c r="K5917" s="270" t="str">
        <f t="shared" si="2"/>
        <v/>
      </c>
      <c r="L5917">
        <f t="shared" si="3"/>
        <v>0</v>
      </c>
    </row>
    <row r="5918">
      <c r="A5918" s="107"/>
      <c r="D5918" s="270"/>
      <c r="H5918" s="106" t="str">
        <f t="shared" si="1"/>
        <v/>
      </c>
      <c r="I5918" s="271" t="str">
        <f>IFERROR(__xludf.DUMMYFUNCTION("""COMPUTED_VALUE"""),"")</f>
        <v/>
      </c>
      <c r="J5918" t="str">
        <f>IFERROR(__xludf.DUMMYFUNCTION("IFS(
  AND(REGEXMATCH(E5918, ""台銀籌備帳戶|玉山帳戶""), REGEXMATCH(C5918, ""薪資"")), ""分潤支出"",
  AND(REGEXMATCH(E5918, ""Ben帳戶|Elsa帳戶|Ben代墊|Ariel代墊|中信銀行共用""), REGEXMATCH(F5918, ""Ben帳戶|Elsa帳戶|Ben代墊|Ariel代墊|中信銀行共用"")), ""內部轉帳(忽略)"",
  AND(E5918&lt;&gt;"""", F5918&lt;&gt;"""", N"&amp;"OT(REGEXMATCH(C5918, ""薪資""))), ""內部轉帳(忽略)"",
  REGEXMATCH(C5918, ""薪資""), ""薪資變動(不計入)"",
  REGEXMATCH(C5918, ""押金""), ""押金往來"",
  AND(E5918&lt;&gt;"""", F5918=""""), ""真實支出"",
  AND(E5918="""", F5918&lt;&gt;""""), ""真實收入"",
  TRUE, ""其他""
)"),"其他")</f>
        <v>其他</v>
      </c>
      <c r="K5918" s="270" t="str">
        <f t="shared" si="2"/>
        <v/>
      </c>
      <c r="L5918">
        <f t="shared" si="3"/>
        <v>0</v>
      </c>
    </row>
    <row r="5919">
      <c r="A5919" s="107"/>
      <c r="D5919" s="270"/>
      <c r="H5919" s="106" t="str">
        <f t="shared" si="1"/>
        <v/>
      </c>
      <c r="I5919" s="271" t="str">
        <f>IFERROR(__xludf.DUMMYFUNCTION("""COMPUTED_VALUE"""),"")</f>
        <v/>
      </c>
      <c r="J5919" t="str">
        <f>IFERROR(__xludf.DUMMYFUNCTION("IFS(
  AND(REGEXMATCH(E5919, ""台銀籌備帳戶|玉山帳戶""), REGEXMATCH(C5919, ""薪資"")), ""分潤支出"",
  AND(REGEXMATCH(E5919, ""Ben帳戶|Elsa帳戶|Ben代墊|Ariel代墊|中信銀行共用""), REGEXMATCH(F5919, ""Ben帳戶|Elsa帳戶|Ben代墊|Ariel代墊|中信銀行共用"")), ""內部轉帳(忽略)"",
  AND(E5919&lt;&gt;"""", F5919&lt;&gt;"""", N"&amp;"OT(REGEXMATCH(C5919, ""薪資""))), ""內部轉帳(忽略)"",
  REGEXMATCH(C5919, ""薪資""), ""薪資變動(不計入)"",
  REGEXMATCH(C5919, ""押金""), ""押金往來"",
  AND(E5919&lt;&gt;"""", F5919=""""), ""真實支出"",
  AND(E5919="""", F5919&lt;&gt;""""), ""真實收入"",
  TRUE, ""其他""
)"),"其他")</f>
        <v>其他</v>
      </c>
      <c r="K5919" s="270" t="str">
        <f t="shared" si="2"/>
        <v/>
      </c>
      <c r="L5919">
        <f t="shared" si="3"/>
        <v>0</v>
      </c>
    </row>
    <row r="5920">
      <c r="A5920" s="107"/>
      <c r="D5920" s="270"/>
      <c r="H5920" s="106" t="str">
        <f t="shared" si="1"/>
        <v/>
      </c>
      <c r="I5920" s="271" t="str">
        <f>IFERROR(__xludf.DUMMYFUNCTION("""COMPUTED_VALUE"""),"")</f>
        <v/>
      </c>
      <c r="J5920" t="str">
        <f>IFERROR(__xludf.DUMMYFUNCTION("IFS(
  AND(REGEXMATCH(E5920, ""台銀籌備帳戶|玉山帳戶""), REGEXMATCH(C5920, ""薪資"")), ""分潤支出"",
  AND(REGEXMATCH(E5920, ""Ben帳戶|Elsa帳戶|Ben代墊|Ariel代墊|中信銀行共用""), REGEXMATCH(F5920, ""Ben帳戶|Elsa帳戶|Ben代墊|Ariel代墊|中信銀行共用"")), ""內部轉帳(忽略)"",
  AND(E5920&lt;&gt;"""", F5920&lt;&gt;"""", N"&amp;"OT(REGEXMATCH(C5920, ""薪資""))), ""內部轉帳(忽略)"",
  REGEXMATCH(C5920, ""薪資""), ""薪資變動(不計入)"",
  REGEXMATCH(C5920, ""押金""), ""押金往來"",
  AND(E5920&lt;&gt;"""", F5920=""""), ""真實支出"",
  AND(E5920="""", F5920&lt;&gt;""""), ""真實收入"",
  TRUE, ""其他""
)"),"其他")</f>
        <v>其他</v>
      </c>
      <c r="K5920" s="270" t="str">
        <f t="shared" si="2"/>
        <v/>
      </c>
      <c r="L5920">
        <f t="shared" si="3"/>
        <v>0</v>
      </c>
    </row>
    <row r="5921">
      <c r="A5921" s="107"/>
      <c r="D5921" s="270"/>
      <c r="H5921" s="106" t="str">
        <f t="shared" si="1"/>
        <v/>
      </c>
      <c r="I5921" s="271" t="str">
        <f>IFERROR(__xludf.DUMMYFUNCTION("""COMPUTED_VALUE"""),"")</f>
        <v/>
      </c>
      <c r="J5921" t="str">
        <f>IFERROR(__xludf.DUMMYFUNCTION("IFS(
  AND(REGEXMATCH(E5921, ""台銀籌備帳戶|玉山帳戶""), REGEXMATCH(C5921, ""薪資"")), ""分潤支出"",
  AND(REGEXMATCH(E5921, ""Ben帳戶|Elsa帳戶|Ben代墊|Ariel代墊|中信銀行共用""), REGEXMATCH(F5921, ""Ben帳戶|Elsa帳戶|Ben代墊|Ariel代墊|中信銀行共用"")), ""內部轉帳(忽略)"",
  AND(E5921&lt;&gt;"""", F5921&lt;&gt;"""", N"&amp;"OT(REGEXMATCH(C5921, ""薪資""))), ""內部轉帳(忽略)"",
  REGEXMATCH(C5921, ""薪資""), ""薪資變動(不計入)"",
  REGEXMATCH(C5921, ""押金""), ""押金往來"",
  AND(E5921&lt;&gt;"""", F5921=""""), ""真實支出"",
  AND(E5921="""", F5921&lt;&gt;""""), ""真實收入"",
  TRUE, ""其他""
)"),"其他")</f>
        <v>其他</v>
      </c>
      <c r="K5921" s="270" t="str">
        <f t="shared" si="2"/>
        <v/>
      </c>
      <c r="L5921">
        <f t="shared" si="3"/>
        <v>0</v>
      </c>
    </row>
    <row r="5922">
      <c r="A5922" s="107"/>
      <c r="D5922" s="270"/>
      <c r="H5922" s="106" t="str">
        <f t="shared" si="1"/>
        <v/>
      </c>
      <c r="I5922" s="271" t="str">
        <f>IFERROR(__xludf.DUMMYFUNCTION("""COMPUTED_VALUE"""),"")</f>
        <v/>
      </c>
      <c r="J5922" t="str">
        <f>IFERROR(__xludf.DUMMYFUNCTION("IFS(
  AND(REGEXMATCH(E5922, ""台銀籌備帳戶|玉山帳戶""), REGEXMATCH(C5922, ""薪資"")), ""分潤支出"",
  AND(REGEXMATCH(E5922, ""Ben帳戶|Elsa帳戶|Ben代墊|Ariel代墊|中信銀行共用""), REGEXMATCH(F5922, ""Ben帳戶|Elsa帳戶|Ben代墊|Ariel代墊|中信銀行共用"")), ""內部轉帳(忽略)"",
  AND(E5922&lt;&gt;"""", F5922&lt;&gt;"""", N"&amp;"OT(REGEXMATCH(C5922, ""薪資""))), ""內部轉帳(忽略)"",
  REGEXMATCH(C5922, ""薪資""), ""薪資變動(不計入)"",
  REGEXMATCH(C5922, ""押金""), ""押金往來"",
  AND(E5922&lt;&gt;"""", F5922=""""), ""真實支出"",
  AND(E5922="""", F5922&lt;&gt;""""), ""真實收入"",
  TRUE, ""其他""
)"),"其他")</f>
        <v>其他</v>
      </c>
      <c r="K5922" s="270" t="str">
        <f t="shared" si="2"/>
        <v/>
      </c>
      <c r="L5922">
        <f t="shared" si="3"/>
        <v>0</v>
      </c>
    </row>
    <row r="5923">
      <c r="A5923" s="107"/>
      <c r="D5923" s="270"/>
      <c r="H5923" s="106" t="str">
        <f t="shared" si="1"/>
        <v/>
      </c>
      <c r="I5923" s="271" t="str">
        <f>IFERROR(__xludf.DUMMYFUNCTION("""COMPUTED_VALUE"""),"")</f>
        <v/>
      </c>
      <c r="J5923" t="str">
        <f>IFERROR(__xludf.DUMMYFUNCTION("IFS(
  AND(REGEXMATCH(E5923, ""台銀籌備帳戶|玉山帳戶""), REGEXMATCH(C5923, ""薪資"")), ""分潤支出"",
  AND(REGEXMATCH(E5923, ""Ben帳戶|Elsa帳戶|Ben代墊|Ariel代墊|中信銀行共用""), REGEXMATCH(F5923, ""Ben帳戶|Elsa帳戶|Ben代墊|Ariel代墊|中信銀行共用"")), ""內部轉帳(忽略)"",
  AND(E5923&lt;&gt;"""", F5923&lt;&gt;"""", N"&amp;"OT(REGEXMATCH(C5923, ""薪資""))), ""內部轉帳(忽略)"",
  REGEXMATCH(C5923, ""薪資""), ""薪資變動(不計入)"",
  REGEXMATCH(C5923, ""押金""), ""押金往來"",
  AND(E5923&lt;&gt;"""", F5923=""""), ""真實支出"",
  AND(E5923="""", F5923&lt;&gt;""""), ""真實收入"",
  TRUE, ""其他""
)"),"其他")</f>
        <v>其他</v>
      </c>
      <c r="K5923" s="270" t="str">
        <f t="shared" si="2"/>
        <v/>
      </c>
      <c r="L5923">
        <f t="shared" si="3"/>
        <v>0</v>
      </c>
    </row>
    <row r="5924">
      <c r="A5924" s="107"/>
      <c r="D5924" s="270"/>
      <c r="H5924" s="106" t="str">
        <f t="shared" si="1"/>
        <v/>
      </c>
      <c r="I5924" s="271" t="str">
        <f>IFERROR(__xludf.DUMMYFUNCTION("""COMPUTED_VALUE"""),"")</f>
        <v/>
      </c>
      <c r="J5924" t="str">
        <f>IFERROR(__xludf.DUMMYFUNCTION("IFS(
  AND(REGEXMATCH(E5924, ""台銀籌備帳戶|玉山帳戶""), REGEXMATCH(C5924, ""薪資"")), ""分潤支出"",
  AND(REGEXMATCH(E5924, ""Ben帳戶|Elsa帳戶|Ben代墊|Ariel代墊|中信銀行共用""), REGEXMATCH(F5924, ""Ben帳戶|Elsa帳戶|Ben代墊|Ariel代墊|中信銀行共用"")), ""內部轉帳(忽略)"",
  AND(E5924&lt;&gt;"""", F5924&lt;&gt;"""", N"&amp;"OT(REGEXMATCH(C5924, ""薪資""))), ""內部轉帳(忽略)"",
  REGEXMATCH(C5924, ""薪資""), ""薪資變動(不計入)"",
  REGEXMATCH(C5924, ""押金""), ""押金往來"",
  AND(E5924&lt;&gt;"""", F5924=""""), ""真實支出"",
  AND(E5924="""", F5924&lt;&gt;""""), ""真實收入"",
  TRUE, ""其他""
)"),"其他")</f>
        <v>其他</v>
      </c>
      <c r="K5924" s="270" t="str">
        <f t="shared" si="2"/>
        <v/>
      </c>
      <c r="L5924">
        <f t="shared" si="3"/>
        <v>0</v>
      </c>
    </row>
    <row r="5925">
      <c r="A5925" s="107"/>
      <c r="D5925" s="270"/>
      <c r="H5925" s="106" t="str">
        <f t="shared" si="1"/>
        <v/>
      </c>
      <c r="I5925" s="271" t="str">
        <f>IFERROR(__xludf.DUMMYFUNCTION("""COMPUTED_VALUE"""),"")</f>
        <v/>
      </c>
      <c r="J5925" t="str">
        <f>IFERROR(__xludf.DUMMYFUNCTION("IFS(
  AND(REGEXMATCH(E5925, ""台銀籌備帳戶|玉山帳戶""), REGEXMATCH(C5925, ""薪資"")), ""分潤支出"",
  AND(REGEXMATCH(E5925, ""Ben帳戶|Elsa帳戶|Ben代墊|Ariel代墊|中信銀行共用""), REGEXMATCH(F5925, ""Ben帳戶|Elsa帳戶|Ben代墊|Ariel代墊|中信銀行共用"")), ""內部轉帳(忽略)"",
  AND(E5925&lt;&gt;"""", F5925&lt;&gt;"""", N"&amp;"OT(REGEXMATCH(C5925, ""薪資""))), ""內部轉帳(忽略)"",
  REGEXMATCH(C5925, ""薪資""), ""薪資變動(不計入)"",
  REGEXMATCH(C5925, ""押金""), ""押金往來"",
  AND(E5925&lt;&gt;"""", F5925=""""), ""真實支出"",
  AND(E5925="""", F5925&lt;&gt;""""), ""真實收入"",
  TRUE, ""其他""
)"),"其他")</f>
        <v>其他</v>
      </c>
      <c r="K5925" s="270" t="str">
        <f t="shared" si="2"/>
        <v/>
      </c>
      <c r="L5925">
        <f t="shared" si="3"/>
        <v>0</v>
      </c>
    </row>
    <row r="5926">
      <c r="A5926" s="107"/>
      <c r="D5926" s="270"/>
      <c r="H5926" s="106" t="str">
        <f t="shared" si="1"/>
        <v/>
      </c>
      <c r="I5926" s="271" t="str">
        <f>IFERROR(__xludf.DUMMYFUNCTION("""COMPUTED_VALUE"""),"")</f>
        <v/>
      </c>
      <c r="J5926" t="str">
        <f>IFERROR(__xludf.DUMMYFUNCTION("IFS(
  AND(REGEXMATCH(E5926, ""台銀籌備帳戶|玉山帳戶""), REGEXMATCH(C5926, ""薪資"")), ""分潤支出"",
  AND(REGEXMATCH(E5926, ""Ben帳戶|Elsa帳戶|Ben代墊|Ariel代墊|中信銀行共用""), REGEXMATCH(F5926, ""Ben帳戶|Elsa帳戶|Ben代墊|Ariel代墊|中信銀行共用"")), ""內部轉帳(忽略)"",
  AND(E5926&lt;&gt;"""", F5926&lt;&gt;"""", N"&amp;"OT(REGEXMATCH(C5926, ""薪資""))), ""內部轉帳(忽略)"",
  REGEXMATCH(C5926, ""薪資""), ""薪資變動(不計入)"",
  REGEXMATCH(C5926, ""押金""), ""押金往來"",
  AND(E5926&lt;&gt;"""", F5926=""""), ""真實支出"",
  AND(E5926="""", F5926&lt;&gt;""""), ""真實收入"",
  TRUE, ""其他""
)"),"其他")</f>
        <v>其他</v>
      </c>
      <c r="K5926" s="270" t="str">
        <f t="shared" si="2"/>
        <v/>
      </c>
      <c r="L5926">
        <f t="shared" si="3"/>
        <v>0</v>
      </c>
    </row>
    <row r="5927">
      <c r="A5927" s="107"/>
      <c r="D5927" s="270"/>
      <c r="H5927" s="106" t="str">
        <f t="shared" si="1"/>
        <v/>
      </c>
      <c r="I5927" s="271" t="str">
        <f>IFERROR(__xludf.DUMMYFUNCTION("""COMPUTED_VALUE"""),"")</f>
        <v/>
      </c>
      <c r="J5927" t="str">
        <f>IFERROR(__xludf.DUMMYFUNCTION("IFS(
  AND(REGEXMATCH(E5927, ""台銀籌備帳戶|玉山帳戶""), REGEXMATCH(C5927, ""薪資"")), ""分潤支出"",
  AND(REGEXMATCH(E5927, ""Ben帳戶|Elsa帳戶|Ben代墊|Ariel代墊|中信銀行共用""), REGEXMATCH(F5927, ""Ben帳戶|Elsa帳戶|Ben代墊|Ariel代墊|中信銀行共用"")), ""內部轉帳(忽略)"",
  AND(E5927&lt;&gt;"""", F5927&lt;&gt;"""", N"&amp;"OT(REGEXMATCH(C5927, ""薪資""))), ""內部轉帳(忽略)"",
  REGEXMATCH(C5927, ""薪資""), ""薪資變動(不計入)"",
  REGEXMATCH(C5927, ""押金""), ""押金往來"",
  AND(E5927&lt;&gt;"""", F5927=""""), ""真實支出"",
  AND(E5927="""", F5927&lt;&gt;""""), ""真實收入"",
  TRUE, ""其他""
)"),"其他")</f>
        <v>其他</v>
      </c>
      <c r="K5927" s="270" t="str">
        <f t="shared" si="2"/>
        <v/>
      </c>
      <c r="L5927">
        <f t="shared" si="3"/>
        <v>0</v>
      </c>
    </row>
    <row r="5928">
      <c r="A5928" s="107"/>
      <c r="D5928" s="270"/>
      <c r="H5928" s="106" t="str">
        <f t="shared" si="1"/>
        <v/>
      </c>
      <c r="I5928" s="271" t="str">
        <f>IFERROR(__xludf.DUMMYFUNCTION("""COMPUTED_VALUE"""),"")</f>
        <v/>
      </c>
      <c r="J5928" t="str">
        <f>IFERROR(__xludf.DUMMYFUNCTION("IFS(
  AND(REGEXMATCH(E5928, ""台銀籌備帳戶|玉山帳戶""), REGEXMATCH(C5928, ""薪資"")), ""分潤支出"",
  AND(REGEXMATCH(E5928, ""Ben帳戶|Elsa帳戶|Ben代墊|Ariel代墊|中信銀行共用""), REGEXMATCH(F5928, ""Ben帳戶|Elsa帳戶|Ben代墊|Ariel代墊|中信銀行共用"")), ""內部轉帳(忽略)"",
  AND(E5928&lt;&gt;"""", F5928&lt;&gt;"""", N"&amp;"OT(REGEXMATCH(C5928, ""薪資""))), ""內部轉帳(忽略)"",
  REGEXMATCH(C5928, ""薪資""), ""薪資變動(不計入)"",
  REGEXMATCH(C5928, ""押金""), ""押金往來"",
  AND(E5928&lt;&gt;"""", F5928=""""), ""真實支出"",
  AND(E5928="""", F5928&lt;&gt;""""), ""真實收入"",
  TRUE, ""其他""
)"),"其他")</f>
        <v>其他</v>
      </c>
      <c r="K5928" s="270" t="str">
        <f t="shared" si="2"/>
        <v/>
      </c>
      <c r="L5928">
        <f t="shared" si="3"/>
        <v>0</v>
      </c>
    </row>
    <row r="5929">
      <c r="A5929" s="107"/>
      <c r="D5929" s="270"/>
      <c r="H5929" s="106" t="str">
        <f t="shared" si="1"/>
        <v/>
      </c>
      <c r="I5929" s="271" t="str">
        <f>IFERROR(__xludf.DUMMYFUNCTION("""COMPUTED_VALUE"""),"")</f>
        <v/>
      </c>
      <c r="J5929" t="str">
        <f>IFERROR(__xludf.DUMMYFUNCTION("IFS(
  AND(REGEXMATCH(E5929, ""台銀籌備帳戶|玉山帳戶""), REGEXMATCH(C5929, ""薪資"")), ""分潤支出"",
  AND(REGEXMATCH(E5929, ""Ben帳戶|Elsa帳戶|Ben代墊|Ariel代墊|中信銀行共用""), REGEXMATCH(F5929, ""Ben帳戶|Elsa帳戶|Ben代墊|Ariel代墊|中信銀行共用"")), ""內部轉帳(忽略)"",
  AND(E5929&lt;&gt;"""", F5929&lt;&gt;"""", N"&amp;"OT(REGEXMATCH(C5929, ""薪資""))), ""內部轉帳(忽略)"",
  REGEXMATCH(C5929, ""薪資""), ""薪資變動(不計入)"",
  REGEXMATCH(C5929, ""押金""), ""押金往來"",
  AND(E5929&lt;&gt;"""", F5929=""""), ""真實支出"",
  AND(E5929="""", F5929&lt;&gt;""""), ""真實收入"",
  TRUE, ""其他""
)"),"其他")</f>
        <v>其他</v>
      </c>
      <c r="K5929" s="270" t="str">
        <f t="shared" si="2"/>
        <v/>
      </c>
      <c r="L5929">
        <f t="shared" si="3"/>
        <v>0</v>
      </c>
    </row>
    <row r="5930">
      <c r="A5930" s="107"/>
      <c r="D5930" s="270"/>
      <c r="H5930" s="106" t="str">
        <f t="shared" si="1"/>
        <v/>
      </c>
      <c r="I5930" s="271" t="str">
        <f>IFERROR(__xludf.DUMMYFUNCTION("""COMPUTED_VALUE"""),"")</f>
        <v/>
      </c>
      <c r="J5930" t="str">
        <f>IFERROR(__xludf.DUMMYFUNCTION("IFS(
  AND(REGEXMATCH(E5930, ""台銀籌備帳戶|玉山帳戶""), REGEXMATCH(C5930, ""薪資"")), ""分潤支出"",
  AND(REGEXMATCH(E5930, ""Ben帳戶|Elsa帳戶|Ben代墊|Ariel代墊|中信銀行共用""), REGEXMATCH(F5930, ""Ben帳戶|Elsa帳戶|Ben代墊|Ariel代墊|中信銀行共用"")), ""內部轉帳(忽略)"",
  AND(E5930&lt;&gt;"""", F5930&lt;&gt;"""", N"&amp;"OT(REGEXMATCH(C5930, ""薪資""))), ""內部轉帳(忽略)"",
  REGEXMATCH(C5930, ""薪資""), ""薪資變動(不計入)"",
  REGEXMATCH(C5930, ""押金""), ""押金往來"",
  AND(E5930&lt;&gt;"""", F5930=""""), ""真實支出"",
  AND(E5930="""", F5930&lt;&gt;""""), ""真實收入"",
  TRUE, ""其他""
)"),"其他")</f>
        <v>其他</v>
      </c>
      <c r="K5930" s="270" t="str">
        <f t="shared" si="2"/>
        <v/>
      </c>
      <c r="L5930">
        <f t="shared" si="3"/>
        <v>0</v>
      </c>
    </row>
    <row r="5931">
      <c r="A5931" s="107"/>
      <c r="D5931" s="270"/>
      <c r="H5931" s="106" t="str">
        <f t="shared" si="1"/>
        <v/>
      </c>
      <c r="I5931" s="271" t="str">
        <f>IFERROR(__xludf.DUMMYFUNCTION("""COMPUTED_VALUE"""),"")</f>
        <v/>
      </c>
      <c r="J5931" t="str">
        <f>IFERROR(__xludf.DUMMYFUNCTION("IFS(
  AND(REGEXMATCH(E5931, ""台銀籌備帳戶|玉山帳戶""), REGEXMATCH(C5931, ""薪資"")), ""分潤支出"",
  AND(REGEXMATCH(E5931, ""Ben帳戶|Elsa帳戶|Ben代墊|Ariel代墊|中信銀行共用""), REGEXMATCH(F5931, ""Ben帳戶|Elsa帳戶|Ben代墊|Ariel代墊|中信銀行共用"")), ""內部轉帳(忽略)"",
  AND(E5931&lt;&gt;"""", F5931&lt;&gt;"""", N"&amp;"OT(REGEXMATCH(C5931, ""薪資""))), ""內部轉帳(忽略)"",
  REGEXMATCH(C5931, ""薪資""), ""薪資變動(不計入)"",
  REGEXMATCH(C5931, ""押金""), ""押金往來"",
  AND(E5931&lt;&gt;"""", F5931=""""), ""真實支出"",
  AND(E5931="""", F5931&lt;&gt;""""), ""真實收入"",
  TRUE, ""其他""
)"),"其他")</f>
        <v>其他</v>
      </c>
      <c r="K5931" s="270" t="str">
        <f t="shared" si="2"/>
        <v/>
      </c>
      <c r="L5931">
        <f t="shared" si="3"/>
        <v>0</v>
      </c>
    </row>
    <row r="5932">
      <c r="A5932" s="107"/>
      <c r="D5932" s="270"/>
      <c r="H5932" s="106" t="str">
        <f t="shared" si="1"/>
        <v/>
      </c>
      <c r="I5932" s="271" t="str">
        <f>IFERROR(__xludf.DUMMYFUNCTION("""COMPUTED_VALUE"""),"")</f>
        <v/>
      </c>
      <c r="J5932" t="str">
        <f>IFERROR(__xludf.DUMMYFUNCTION("IFS(
  AND(REGEXMATCH(E5932, ""台銀籌備帳戶|玉山帳戶""), REGEXMATCH(C5932, ""薪資"")), ""分潤支出"",
  AND(REGEXMATCH(E5932, ""Ben帳戶|Elsa帳戶|Ben代墊|Ariel代墊|中信銀行共用""), REGEXMATCH(F5932, ""Ben帳戶|Elsa帳戶|Ben代墊|Ariel代墊|中信銀行共用"")), ""內部轉帳(忽略)"",
  AND(E5932&lt;&gt;"""", F5932&lt;&gt;"""", N"&amp;"OT(REGEXMATCH(C5932, ""薪資""))), ""內部轉帳(忽略)"",
  REGEXMATCH(C5932, ""薪資""), ""薪資變動(不計入)"",
  REGEXMATCH(C5932, ""押金""), ""押金往來"",
  AND(E5932&lt;&gt;"""", F5932=""""), ""真實支出"",
  AND(E5932="""", F5932&lt;&gt;""""), ""真實收入"",
  TRUE, ""其他""
)"),"其他")</f>
        <v>其他</v>
      </c>
      <c r="K5932" s="270" t="str">
        <f t="shared" si="2"/>
        <v/>
      </c>
      <c r="L5932">
        <f t="shared" si="3"/>
        <v>0</v>
      </c>
    </row>
    <row r="5933">
      <c r="A5933" s="107"/>
      <c r="D5933" s="270"/>
      <c r="H5933" s="106" t="str">
        <f t="shared" si="1"/>
        <v/>
      </c>
      <c r="I5933" s="271" t="str">
        <f>IFERROR(__xludf.DUMMYFUNCTION("""COMPUTED_VALUE"""),"")</f>
        <v/>
      </c>
      <c r="J5933" t="str">
        <f>IFERROR(__xludf.DUMMYFUNCTION("IFS(
  AND(REGEXMATCH(E5933, ""台銀籌備帳戶|玉山帳戶""), REGEXMATCH(C5933, ""薪資"")), ""分潤支出"",
  AND(REGEXMATCH(E5933, ""Ben帳戶|Elsa帳戶|Ben代墊|Ariel代墊|中信銀行共用""), REGEXMATCH(F5933, ""Ben帳戶|Elsa帳戶|Ben代墊|Ariel代墊|中信銀行共用"")), ""內部轉帳(忽略)"",
  AND(E5933&lt;&gt;"""", F5933&lt;&gt;"""", N"&amp;"OT(REGEXMATCH(C5933, ""薪資""))), ""內部轉帳(忽略)"",
  REGEXMATCH(C5933, ""薪資""), ""薪資變動(不計入)"",
  REGEXMATCH(C5933, ""押金""), ""押金往來"",
  AND(E5933&lt;&gt;"""", F5933=""""), ""真實支出"",
  AND(E5933="""", F5933&lt;&gt;""""), ""真實收入"",
  TRUE, ""其他""
)"),"其他")</f>
        <v>其他</v>
      </c>
      <c r="K5933" s="270" t="str">
        <f t="shared" si="2"/>
        <v/>
      </c>
      <c r="L5933">
        <f t="shared" si="3"/>
        <v>0</v>
      </c>
    </row>
    <row r="5934">
      <c r="A5934" s="107"/>
      <c r="D5934" s="270"/>
      <c r="H5934" s="106" t="str">
        <f t="shared" si="1"/>
        <v/>
      </c>
      <c r="I5934" s="271" t="str">
        <f>IFERROR(__xludf.DUMMYFUNCTION("""COMPUTED_VALUE"""),"")</f>
        <v/>
      </c>
      <c r="J5934" t="str">
        <f>IFERROR(__xludf.DUMMYFUNCTION("IFS(
  AND(REGEXMATCH(E5934, ""台銀籌備帳戶|玉山帳戶""), REGEXMATCH(C5934, ""薪資"")), ""分潤支出"",
  AND(REGEXMATCH(E5934, ""Ben帳戶|Elsa帳戶|Ben代墊|Ariel代墊|中信銀行共用""), REGEXMATCH(F5934, ""Ben帳戶|Elsa帳戶|Ben代墊|Ariel代墊|中信銀行共用"")), ""內部轉帳(忽略)"",
  AND(E5934&lt;&gt;"""", F5934&lt;&gt;"""", N"&amp;"OT(REGEXMATCH(C5934, ""薪資""))), ""內部轉帳(忽略)"",
  REGEXMATCH(C5934, ""薪資""), ""薪資變動(不計入)"",
  REGEXMATCH(C5934, ""押金""), ""押金往來"",
  AND(E5934&lt;&gt;"""", F5934=""""), ""真實支出"",
  AND(E5934="""", F5934&lt;&gt;""""), ""真實收入"",
  TRUE, ""其他""
)"),"其他")</f>
        <v>其他</v>
      </c>
      <c r="K5934" s="270" t="str">
        <f t="shared" si="2"/>
        <v/>
      </c>
      <c r="L5934">
        <f t="shared" si="3"/>
        <v>0</v>
      </c>
    </row>
    <row r="5935">
      <c r="A5935" s="107"/>
      <c r="D5935" s="270"/>
      <c r="H5935" s="106" t="str">
        <f t="shared" si="1"/>
        <v/>
      </c>
      <c r="I5935" s="271" t="str">
        <f>IFERROR(__xludf.DUMMYFUNCTION("""COMPUTED_VALUE"""),"")</f>
        <v/>
      </c>
      <c r="J5935" t="str">
        <f>IFERROR(__xludf.DUMMYFUNCTION("IFS(
  AND(REGEXMATCH(E5935, ""台銀籌備帳戶|玉山帳戶""), REGEXMATCH(C5935, ""薪資"")), ""分潤支出"",
  AND(REGEXMATCH(E5935, ""Ben帳戶|Elsa帳戶|Ben代墊|Ariel代墊|中信銀行共用""), REGEXMATCH(F5935, ""Ben帳戶|Elsa帳戶|Ben代墊|Ariel代墊|中信銀行共用"")), ""內部轉帳(忽略)"",
  AND(E5935&lt;&gt;"""", F5935&lt;&gt;"""", N"&amp;"OT(REGEXMATCH(C5935, ""薪資""))), ""內部轉帳(忽略)"",
  REGEXMATCH(C5935, ""薪資""), ""薪資變動(不計入)"",
  REGEXMATCH(C5935, ""押金""), ""押金往來"",
  AND(E5935&lt;&gt;"""", F5935=""""), ""真實支出"",
  AND(E5935="""", F5935&lt;&gt;""""), ""真實收入"",
  TRUE, ""其他""
)"),"其他")</f>
        <v>其他</v>
      </c>
      <c r="K5935" s="270" t="str">
        <f t="shared" si="2"/>
        <v/>
      </c>
      <c r="L5935">
        <f t="shared" si="3"/>
        <v>0</v>
      </c>
    </row>
    <row r="5936">
      <c r="A5936" s="107"/>
      <c r="D5936" s="270"/>
      <c r="H5936" s="106" t="str">
        <f t="shared" si="1"/>
        <v/>
      </c>
      <c r="I5936" s="271" t="str">
        <f>IFERROR(__xludf.DUMMYFUNCTION("""COMPUTED_VALUE"""),"")</f>
        <v/>
      </c>
      <c r="J5936" t="str">
        <f>IFERROR(__xludf.DUMMYFUNCTION("IFS(
  AND(REGEXMATCH(E5936, ""台銀籌備帳戶|玉山帳戶""), REGEXMATCH(C5936, ""薪資"")), ""分潤支出"",
  AND(REGEXMATCH(E5936, ""Ben帳戶|Elsa帳戶|Ben代墊|Ariel代墊|中信銀行共用""), REGEXMATCH(F5936, ""Ben帳戶|Elsa帳戶|Ben代墊|Ariel代墊|中信銀行共用"")), ""內部轉帳(忽略)"",
  AND(E5936&lt;&gt;"""", F5936&lt;&gt;"""", N"&amp;"OT(REGEXMATCH(C5936, ""薪資""))), ""內部轉帳(忽略)"",
  REGEXMATCH(C5936, ""薪資""), ""薪資變動(不計入)"",
  REGEXMATCH(C5936, ""押金""), ""押金往來"",
  AND(E5936&lt;&gt;"""", F5936=""""), ""真實支出"",
  AND(E5936="""", F5936&lt;&gt;""""), ""真實收入"",
  TRUE, ""其他""
)"),"其他")</f>
        <v>其他</v>
      </c>
      <c r="K5936" s="270" t="str">
        <f t="shared" si="2"/>
        <v/>
      </c>
      <c r="L5936">
        <f t="shared" si="3"/>
        <v>0</v>
      </c>
    </row>
    <row r="5937">
      <c r="A5937" s="107"/>
      <c r="D5937" s="270"/>
      <c r="H5937" s="106" t="str">
        <f t="shared" si="1"/>
        <v/>
      </c>
      <c r="I5937" s="271" t="str">
        <f>IFERROR(__xludf.DUMMYFUNCTION("""COMPUTED_VALUE"""),"")</f>
        <v/>
      </c>
      <c r="J5937" t="str">
        <f>IFERROR(__xludf.DUMMYFUNCTION("IFS(
  AND(REGEXMATCH(E5937, ""台銀籌備帳戶|玉山帳戶""), REGEXMATCH(C5937, ""薪資"")), ""分潤支出"",
  AND(REGEXMATCH(E5937, ""Ben帳戶|Elsa帳戶|Ben代墊|Ariel代墊|中信銀行共用""), REGEXMATCH(F5937, ""Ben帳戶|Elsa帳戶|Ben代墊|Ariel代墊|中信銀行共用"")), ""內部轉帳(忽略)"",
  AND(E5937&lt;&gt;"""", F5937&lt;&gt;"""", N"&amp;"OT(REGEXMATCH(C5937, ""薪資""))), ""內部轉帳(忽略)"",
  REGEXMATCH(C5937, ""薪資""), ""薪資變動(不計入)"",
  REGEXMATCH(C5937, ""押金""), ""押金往來"",
  AND(E5937&lt;&gt;"""", F5937=""""), ""真實支出"",
  AND(E5937="""", F5937&lt;&gt;""""), ""真實收入"",
  TRUE, ""其他""
)"),"其他")</f>
        <v>其他</v>
      </c>
      <c r="K5937" s="270" t="str">
        <f t="shared" si="2"/>
        <v/>
      </c>
      <c r="L5937">
        <f t="shared" si="3"/>
        <v>0</v>
      </c>
    </row>
    <row r="5938">
      <c r="A5938" s="107"/>
      <c r="D5938" s="270"/>
      <c r="H5938" s="106" t="str">
        <f t="shared" si="1"/>
        <v/>
      </c>
      <c r="I5938" s="271" t="str">
        <f>IFERROR(__xludf.DUMMYFUNCTION("""COMPUTED_VALUE"""),"")</f>
        <v/>
      </c>
      <c r="J5938" t="str">
        <f>IFERROR(__xludf.DUMMYFUNCTION("IFS(
  AND(REGEXMATCH(E5938, ""台銀籌備帳戶|玉山帳戶""), REGEXMATCH(C5938, ""薪資"")), ""分潤支出"",
  AND(REGEXMATCH(E5938, ""Ben帳戶|Elsa帳戶|Ben代墊|Ariel代墊|中信銀行共用""), REGEXMATCH(F5938, ""Ben帳戶|Elsa帳戶|Ben代墊|Ariel代墊|中信銀行共用"")), ""內部轉帳(忽略)"",
  AND(E5938&lt;&gt;"""", F5938&lt;&gt;"""", N"&amp;"OT(REGEXMATCH(C5938, ""薪資""))), ""內部轉帳(忽略)"",
  REGEXMATCH(C5938, ""薪資""), ""薪資變動(不計入)"",
  REGEXMATCH(C5938, ""押金""), ""押金往來"",
  AND(E5938&lt;&gt;"""", F5938=""""), ""真實支出"",
  AND(E5938="""", F5938&lt;&gt;""""), ""真實收入"",
  TRUE, ""其他""
)"),"其他")</f>
        <v>其他</v>
      </c>
      <c r="K5938" s="270" t="str">
        <f t="shared" si="2"/>
        <v/>
      </c>
      <c r="L5938">
        <f t="shared" si="3"/>
        <v>0</v>
      </c>
    </row>
    <row r="5939">
      <c r="A5939" s="107"/>
      <c r="D5939" s="270"/>
      <c r="H5939" s="106" t="str">
        <f t="shared" si="1"/>
        <v/>
      </c>
      <c r="I5939" s="271" t="str">
        <f>IFERROR(__xludf.DUMMYFUNCTION("""COMPUTED_VALUE"""),"")</f>
        <v/>
      </c>
      <c r="J5939" t="str">
        <f>IFERROR(__xludf.DUMMYFUNCTION("IFS(
  AND(REGEXMATCH(E5939, ""台銀籌備帳戶|玉山帳戶""), REGEXMATCH(C5939, ""薪資"")), ""分潤支出"",
  AND(REGEXMATCH(E5939, ""Ben帳戶|Elsa帳戶|Ben代墊|Ariel代墊|中信銀行共用""), REGEXMATCH(F5939, ""Ben帳戶|Elsa帳戶|Ben代墊|Ariel代墊|中信銀行共用"")), ""內部轉帳(忽略)"",
  AND(E5939&lt;&gt;"""", F5939&lt;&gt;"""", N"&amp;"OT(REGEXMATCH(C5939, ""薪資""))), ""內部轉帳(忽略)"",
  REGEXMATCH(C5939, ""薪資""), ""薪資變動(不計入)"",
  REGEXMATCH(C5939, ""押金""), ""押金往來"",
  AND(E5939&lt;&gt;"""", F5939=""""), ""真實支出"",
  AND(E5939="""", F5939&lt;&gt;""""), ""真實收入"",
  TRUE, ""其他""
)"),"其他")</f>
        <v>其他</v>
      </c>
      <c r="K5939" s="270" t="str">
        <f t="shared" si="2"/>
        <v/>
      </c>
      <c r="L5939">
        <f t="shared" si="3"/>
        <v>0</v>
      </c>
    </row>
    <row r="5940">
      <c r="A5940" s="107"/>
      <c r="D5940" s="270"/>
      <c r="H5940" s="106" t="str">
        <f t="shared" si="1"/>
        <v/>
      </c>
      <c r="I5940" s="271" t="str">
        <f>IFERROR(__xludf.DUMMYFUNCTION("""COMPUTED_VALUE"""),"")</f>
        <v/>
      </c>
      <c r="J5940" t="str">
        <f>IFERROR(__xludf.DUMMYFUNCTION("IFS(
  AND(REGEXMATCH(E5940, ""台銀籌備帳戶|玉山帳戶""), REGEXMATCH(C5940, ""薪資"")), ""分潤支出"",
  AND(REGEXMATCH(E5940, ""Ben帳戶|Elsa帳戶|Ben代墊|Ariel代墊|中信銀行共用""), REGEXMATCH(F5940, ""Ben帳戶|Elsa帳戶|Ben代墊|Ariel代墊|中信銀行共用"")), ""內部轉帳(忽略)"",
  AND(E5940&lt;&gt;"""", F5940&lt;&gt;"""", N"&amp;"OT(REGEXMATCH(C5940, ""薪資""))), ""內部轉帳(忽略)"",
  REGEXMATCH(C5940, ""薪資""), ""薪資變動(不計入)"",
  REGEXMATCH(C5940, ""押金""), ""押金往來"",
  AND(E5940&lt;&gt;"""", F5940=""""), ""真實支出"",
  AND(E5940="""", F5940&lt;&gt;""""), ""真實收入"",
  TRUE, ""其他""
)"),"其他")</f>
        <v>其他</v>
      </c>
      <c r="K5940" s="270" t="str">
        <f t="shared" si="2"/>
        <v/>
      </c>
      <c r="L5940">
        <f t="shared" si="3"/>
        <v>0</v>
      </c>
    </row>
    <row r="5941">
      <c r="A5941" s="107"/>
      <c r="D5941" s="270"/>
      <c r="H5941" s="106" t="str">
        <f t="shared" si="1"/>
        <v/>
      </c>
      <c r="I5941" s="271" t="str">
        <f>IFERROR(__xludf.DUMMYFUNCTION("""COMPUTED_VALUE"""),"")</f>
        <v/>
      </c>
      <c r="J5941" t="str">
        <f>IFERROR(__xludf.DUMMYFUNCTION("IFS(
  AND(REGEXMATCH(E5941, ""台銀籌備帳戶|玉山帳戶""), REGEXMATCH(C5941, ""薪資"")), ""分潤支出"",
  AND(REGEXMATCH(E5941, ""Ben帳戶|Elsa帳戶|Ben代墊|Ariel代墊|中信銀行共用""), REGEXMATCH(F5941, ""Ben帳戶|Elsa帳戶|Ben代墊|Ariel代墊|中信銀行共用"")), ""內部轉帳(忽略)"",
  AND(E5941&lt;&gt;"""", F5941&lt;&gt;"""", N"&amp;"OT(REGEXMATCH(C5941, ""薪資""))), ""內部轉帳(忽略)"",
  REGEXMATCH(C5941, ""薪資""), ""薪資變動(不計入)"",
  REGEXMATCH(C5941, ""押金""), ""押金往來"",
  AND(E5941&lt;&gt;"""", F5941=""""), ""真實支出"",
  AND(E5941="""", F5941&lt;&gt;""""), ""真實收入"",
  TRUE, ""其他""
)"),"其他")</f>
        <v>其他</v>
      </c>
      <c r="K5941" s="270" t="str">
        <f t="shared" si="2"/>
        <v/>
      </c>
      <c r="L5941">
        <f t="shared" si="3"/>
        <v>0</v>
      </c>
    </row>
    <row r="5942">
      <c r="A5942" s="107"/>
      <c r="D5942" s="270"/>
      <c r="H5942" s="106" t="str">
        <f t="shared" si="1"/>
        <v/>
      </c>
      <c r="I5942" s="271" t="str">
        <f>IFERROR(__xludf.DUMMYFUNCTION("""COMPUTED_VALUE"""),"")</f>
        <v/>
      </c>
      <c r="J5942" t="str">
        <f>IFERROR(__xludf.DUMMYFUNCTION("IFS(
  AND(REGEXMATCH(E5942, ""台銀籌備帳戶|玉山帳戶""), REGEXMATCH(C5942, ""薪資"")), ""分潤支出"",
  AND(REGEXMATCH(E5942, ""Ben帳戶|Elsa帳戶|Ben代墊|Ariel代墊|中信銀行共用""), REGEXMATCH(F5942, ""Ben帳戶|Elsa帳戶|Ben代墊|Ariel代墊|中信銀行共用"")), ""內部轉帳(忽略)"",
  AND(E5942&lt;&gt;"""", F5942&lt;&gt;"""", N"&amp;"OT(REGEXMATCH(C5942, ""薪資""))), ""內部轉帳(忽略)"",
  REGEXMATCH(C5942, ""薪資""), ""薪資變動(不計入)"",
  REGEXMATCH(C5942, ""押金""), ""押金往來"",
  AND(E5942&lt;&gt;"""", F5942=""""), ""真實支出"",
  AND(E5942="""", F5942&lt;&gt;""""), ""真實收入"",
  TRUE, ""其他""
)"),"其他")</f>
        <v>其他</v>
      </c>
      <c r="K5942" s="270" t="str">
        <f t="shared" si="2"/>
        <v/>
      </c>
      <c r="L5942">
        <f t="shared" si="3"/>
        <v>0</v>
      </c>
    </row>
    <row r="5943">
      <c r="A5943" s="107"/>
      <c r="D5943" s="270"/>
      <c r="H5943" s="106" t="str">
        <f t="shared" si="1"/>
        <v/>
      </c>
      <c r="I5943" s="271" t="str">
        <f>IFERROR(__xludf.DUMMYFUNCTION("""COMPUTED_VALUE"""),"")</f>
        <v/>
      </c>
      <c r="J5943" t="str">
        <f>IFERROR(__xludf.DUMMYFUNCTION("IFS(
  AND(REGEXMATCH(E5943, ""台銀籌備帳戶|玉山帳戶""), REGEXMATCH(C5943, ""薪資"")), ""分潤支出"",
  AND(REGEXMATCH(E5943, ""Ben帳戶|Elsa帳戶|Ben代墊|Ariel代墊|中信銀行共用""), REGEXMATCH(F5943, ""Ben帳戶|Elsa帳戶|Ben代墊|Ariel代墊|中信銀行共用"")), ""內部轉帳(忽略)"",
  AND(E5943&lt;&gt;"""", F5943&lt;&gt;"""", N"&amp;"OT(REGEXMATCH(C5943, ""薪資""))), ""內部轉帳(忽略)"",
  REGEXMATCH(C5943, ""薪資""), ""薪資變動(不計入)"",
  REGEXMATCH(C5943, ""押金""), ""押金往來"",
  AND(E5943&lt;&gt;"""", F5943=""""), ""真實支出"",
  AND(E5943="""", F5943&lt;&gt;""""), ""真實收入"",
  TRUE, ""其他""
)"),"其他")</f>
        <v>其他</v>
      </c>
      <c r="K5943" s="270" t="str">
        <f t="shared" si="2"/>
        <v/>
      </c>
      <c r="L5943">
        <f t="shared" si="3"/>
        <v>0</v>
      </c>
    </row>
    <row r="5944">
      <c r="A5944" s="107"/>
      <c r="D5944" s="270"/>
      <c r="H5944" s="106" t="str">
        <f t="shared" si="1"/>
        <v/>
      </c>
      <c r="I5944" s="271" t="str">
        <f>IFERROR(__xludf.DUMMYFUNCTION("""COMPUTED_VALUE"""),"")</f>
        <v/>
      </c>
      <c r="J5944" t="str">
        <f>IFERROR(__xludf.DUMMYFUNCTION("IFS(
  AND(REGEXMATCH(E5944, ""台銀籌備帳戶|玉山帳戶""), REGEXMATCH(C5944, ""薪資"")), ""分潤支出"",
  AND(REGEXMATCH(E5944, ""Ben帳戶|Elsa帳戶|Ben代墊|Ariel代墊|中信銀行共用""), REGEXMATCH(F5944, ""Ben帳戶|Elsa帳戶|Ben代墊|Ariel代墊|中信銀行共用"")), ""內部轉帳(忽略)"",
  AND(E5944&lt;&gt;"""", F5944&lt;&gt;"""", N"&amp;"OT(REGEXMATCH(C5944, ""薪資""))), ""內部轉帳(忽略)"",
  REGEXMATCH(C5944, ""薪資""), ""薪資變動(不計入)"",
  REGEXMATCH(C5944, ""押金""), ""押金往來"",
  AND(E5944&lt;&gt;"""", F5944=""""), ""真實支出"",
  AND(E5944="""", F5944&lt;&gt;""""), ""真實收入"",
  TRUE, ""其他""
)"),"其他")</f>
        <v>其他</v>
      </c>
      <c r="K5944" s="270" t="str">
        <f t="shared" si="2"/>
        <v/>
      </c>
      <c r="L5944">
        <f t="shared" si="3"/>
        <v>0</v>
      </c>
    </row>
    <row r="5945">
      <c r="A5945" s="107"/>
      <c r="D5945" s="270"/>
      <c r="H5945" s="106" t="str">
        <f t="shared" si="1"/>
        <v/>
      </c>
      <c r="I5945" s="271" t="str">
        <f>IFERROR(__xludf.DUMMYFUNCTION("""COMPUTED_VALUE"""),"")</f>
        <v/>
      </c>
      <c r="J5945" t="str">
        <f>IFERROR(__xludf.DUMMYFUNCTION("IFS(
  AND(REGEXMATCH(E5945, ""台銀籌備帳戶|玉山帳戶""), REGEXMATCH(C5945, ""薪資"")), ""分潤支出"",
  AND(REGEXMATCH(E5945, ""Ben帳戶|Elsa帳戶|Ben代墊|Ariel代墊|中信銀行共用""), REGEXMATCH(F5945, ""Ben帳戶|Elsa帳戶|Ben代墊|Ariel代墊|中信銀行共用"")), ""內部轉帳(忽略)"",
  AND(E5945&lt;&gt;"""", F5945&lt;&gt;"""", N"&amp;"OT(REGEXMATCH(C5945, ""薪資""))), ""內部轉帳(忽略)"",
  REGEXMATCH(C5945, ""薪資""), ""薪資變動(不計入)"",
  REGEXMATCH(C5945, ""押金""), ""押金往來"",
  AND(E5945&lt;&gt;"""", F5945=""""), ""真實支出"",
  AND(E5945="""", F5945&lt;&gt;""""), ""真實收入"",
  TRUE, ""其他""
)"),"其他")</f>
        <v>其他</v>
      </c>
      <c r="K5945" s="270" t="str">
        <f t="shared" si="2"/>
        <v/>
      </c>
      <c r="L5945">
        <f t="shared" si="3"/>
        <v>0</v>
      </c>
    </row>
    <row r="5946">
      <c r="A5946" s="107"/>
      <c r="D5946" s="270"/>
      <c r="H5946" s="106" t="str">
        <f t="shared" si="1"/>
        <v/>
      </c>
      <c r="I5946" s="271" t="str">
        <f>IFERROR(__xludf.DUMMYFUNCTION("""COMPUTED_VALUE"""),"")</f>
        <v/>
      </c>
      <c r="J5946" t="str">
        <f>IFERROR(__xludf.DUMMYFUNCTION("IFS(
  AND(REGEXMATCH(E5946, ""台銀籌備帳戶|玉山帳戶""), REGEXMATCH(C5946, ""薪資"")), ""分潤支出"",
  AND(REGEXMATCH(E5946, ""Ben帳戶|Elsa帳戶|Ben代墊|Ariel代墊|中信銀行共用""), REGEXMATCH(F5946, ""Ben帳戶|Elsa帳戶|Ben代墊|Ariel代墊|中信銀行共用"")), ""內部轉帳(忽略)"",
  AND(E5946&lt;&gt;"""", F5946&lt;&gt;"""", N"&amp;"OT(REGEXMATCH(C5946, ""薪資""))), ""內部轉帳(忽略)"",
  REGEXMATCH(C5946, ""薪資""), ""薪資變動(不計入)"",
  REGEXMATCH(C5946, ""押金""), ""押金往來"",
  AND(E5946&lt;&gt;"""", F5946=""""), ""真實支出"",
  AND(E5946="""", F5946&lt;&gt;""""), ""真實收入"",
  TRUE, ""其他""
)"),"其他")</f>
        <v>其他</v>
      </c>
      <c r="K5946" s="270" t="str">
        <f t="shared" si="2"/>
        <v/>
      </c>
      <c r="L5946">
        <f t="shared" si="3"/>
        <v>0</v>
      </c>
    </row>
    <row r="5947">
      <c r="A5947" s="107"/>
      <c r="D5947" s="270"/>
      <c r="H5947" s="106" t="str">
        <f t="shared" si="1"/>
        <v/>
      </c>
      <c r="I5947" s="271" t="str">
        <f>IFERROR(__xludf.DUMMYFUNCTION("""COMPUTED_VALUE"""),"")</f>
        <v/>
      </c>
      <c r="J5947" t="str">
        <f>IFERROR(__xludf.DUMMYFUNCTION("IFS(
  AND(REGEXMATCH(E5947, ""台銀籌備帳戶|玉山帳戶""), REGEXMATCH(C5947, ""薪資"")), ""分潤支出"",
  AND(REGEXMATCH(E5947, ""Ben帳戶|Elsa帳戶|Ben代墊|Ariel代墊|中信銀行共用""), REGEXMATCH(F5947, ""Ben帳戶|Elsa帳戶|Ben代墊|Ariel代墊|中信銀行共用"")), ""內部轉帳(忽略)"",
  AND(E5947&lt;&gt;"""", F5947&lt;&gt;"""", N"&amp;"OT(REGEXMATCH(C5947, ""薪資""))), ""內部轉帳(忽略)"",
  REGEXMATCH(C5947, ""薪資""), ""薪資變動(不計入)"",
  REGEXMATCH(C5947, ""押金""), ""押金往來"",
  AND(E5947&lt;&gt;"""", F5947=""""), ""真實支出"",
  AND(E5947="""", F5947&lt;&gt;""""), ""真實收入"",
  TRUE, ""其他""
)"),"其他")</f>
        <v>其他</v>
      </c>
      <c r="K5947" s="270" t="str">
        <f t="shared" si="2"/>
        <v/>
      </c>
      <c r="L5947">
        <f t="shared" si="3"/>
        <v>0</v>
      </c>
    </row>
    <row r="5948">
      <c r="A5948" s="107"/>
      <c r="D5948" s="270"/>
      <c r="H5948" s="106" t="str">
        <f t="shared" si="1"/>
        <v/>
      </c>
      <c r="I5948" s="271" t="str">
        <f>IFERROR(__xludf.DUMMYFUNCTION("""COMPUTED_VALUE"""),"")</f>
        <v/>
      </c>
      <c r="J5948" t="str">
        <f>IFERROR(__xludf.DUMMYFUNCTION("IFS(
  AND(REGEXMATCH(E5948, ""台銀籌備帳戶|玉山帳戶""), REGEXMATCH(C5948, ""薪資"")), ""分潤支出"",
  AND(REGEXMATCH(E5948, ""Ben帳戶|Elsa帳戶|Ben代墊|Ariel代墊|中信銀行共用""), REGEXMATCH(F5948, ""Ben帳戶|Elsa帳戶|Ben代墊|Ariel代墊|中信銀行共用"")), ""內部轉帳(忽略)"",
  AND(E5948&lt;&gt;"""", F5948&lt;&gt;"""", N"&amp;"OT(REGEXMATCH(C5948, ""薪資""))), ""內部轉帳(忽略)"",
  REGEXMATCH(C5948, ""薪資""), ""薪資變動(不計入)"",
  REGEXMATCH(C5948, ""押金""), ""押金往來"",
  AND(E5948&lt;&gt;"""", F5948=""""), ""真實支出"",
  AND(E5948="""", F5948&lt;&gt;""""), ""真實收入"",
  TRUE, ""其他""
)"),"其他")</f>
        <v>其他</v>
      </c>
      <c r="K5948" s="270" t="str">
        <f t="shared" si="2"/>
        <v/>
      </c>
      <c r="L5948">
        <f t="shared" si="3"/>
        <v>0</v>
      </c>
    </row>
    <row r="5949">
      <c r="A5949" s="107"/>
      <c r="D5949" s="270"/>
      <c r="H5949" s="106" t="str">
        <f t="shared" si="1"/>
        <v/>
      </c>
      <c r="I5949" s="271" t="str">
        <f>IFERROR(__xludf.DUMMYFUNCTION("""COMPUTED_VALUE"""),"")</f>
        <v/>
      </c>
      <c r="J5949" t="str">
        <f>IFERROR(__xludf.DUMMYFUNCTION("IFS(
  AND(REGEXMATCH(E5949, ""台銀籌備帳戶|玉山帳戶""), REGEXMATCH(C5949, ""薪資"")), ""分潤支出"",
  AND(REGEXMATCH(E5949, ""Ben帳戶|Elsa帳戶|Ben代墊|Ariel代墊|中信銀行共用""), REGEXMATCH(F5949, ""Ben帳戶|Elsa帳戶|Ben代墊|Ariel代墊|中信銀行共用"")), ""內部轉帳(忽略)"",
  AND(E5949&lt;&gt;"""", F5949&lt;&gt;"""", N"&amp;"OT(REGEXMATCH(C5949, ""薪資""))), ""內部轉帳(忽略)"",
  REGEXMATCH(C5949, ""薪資""), ""薪資變動(不計入)"",
  REGEXMATCH(C5949, ""押金""), ""押金往來"",
  AND(E5949&lt;&gt;"""", F5949=""""), ""真實支出"",
  AND(E5949="""", F5949&lt;&gt;""""), ""真實收入"",
  TRUE, ""其他""
)"),"其他")</f>
        <v>其他</v>
      </c>
      <c r="K5949" s="270" t="str">
        <f t="shared" si="2"/>
        <v/>
      </c>
      <c r="L5949">
        <f t="shared" si="3"/>
        <v>0</v>
      </c>
    </row>
    <row r="5950">
      <c r="A5950" s="107"/>
      <c r="D5950" s="270"/>
      <c r="H5950" s="106" t="str">
        <f t="shared" si="1"/>
        <v/>
      </c>
      <c r="I5950" s="271" t="str">
        <f>IFERROR(__xludf.DUMMYFUNCTION("""COMPUTED_VALUE"""),"")</f>
        <v/>
      </c>
      <c r="J5950" t="str">
        <f>IFERROR(__xludf.DUMMYFUNCTION("IFS(
  AND(REGEXMATCH(E5950, ""台銀籌備帳戶|玉山帳戶""), REGEXMATCH(C5950, ""薪資"")), ""分潤支出"",
  AND(REGEXMATCH(E5950, ""Ben帳戶|Elsa帳戶|Ben代墊|Ariel代墊|中信銀行共用""), REGEXMATCH(F5950, ""Ben帳戶|Elsa帳戶|Ben代墊|Ariel代墊|中信銀行共用"")), ""內部轉帳(忽略)"",
  AND(E5950&lt;&gt;"""", F5950&lt;&gt;"""", N"&amp;"OT(REGEXMATCH(C5950, ""薪資""))), ""內部轉帳(忽略)"",
  REGEXMATCH(C5950, ""薪資""), ""薪資變動(不計入)"",
  REGEXMATCH(C5950, ""押金""), ""押金往來"",
  AND(E5950&lt;&gt;"""", F5950=""""), ""真實支出"",
  AND(E5950="""", F5950&lt;&gt;""""), ""真實收入"",
  TRUE, ""其他""
)"),"其他")</f>
        <v>其他</v>
      </c>
      <c r="K5950" s="270" t="str">
        <f t="shared" si="2"/>
        <v/>
      </c>
      <c r="L5950">
        <f t="shared" si="3"/>
        <v>0</v>
      </c>
    </row>
    <row r="5951">
      <c r="A5951" s="107"/>
      <c r="D5951" s="270"/>
      <c r="H5951" s="106" t="str">
        <f t="shared" si="1"/>
        <v/>
      </c>
      <c r="I5951" s="271" t="str">
        <f>IFERROR(__xludf.DUMMYFUNCTION("""COMPUTED_VALUE"""),"")</f>
        <v/>
      </c>
      <c r="J5951" t="str">
        <f>IFERROR(__xludf.DUMMYFUNCTION("IFS(
  AND(REGEXMATCH(E5951, ""台銀籌備帳戶|玉山帳戶""), REGEXMATCH(C5951, ""薪資"")), ""分潤支出"",
  AND(REGEXMATCH(E5951, ""Ben帳戶|Elsa帳戶|Ben代墊|Ariel代墊|中信銀行共用""), REGEXMATCH(F5951, ""Ben帳戶|Elsa帳戶|Ben代墊|Ariel代墊|中信銀行共用"")), ""內部轉帳(忽略)"",
  AND(E5951&lt;&gt;"""", F5951&lt;&gt;"""", N"&amp;"OT(REGEXMATCH(C5951, ""薪資""))), ""內部轉帳(忽略)"",
  REGEXMATCH(C5951, ""薪資""), ""薪資變動(不計入)"",
  REGEXMATCH(C5951, ""押金""), ""押金往來"",
  AND(E5951&lt;&gt;"""", F5951=""""), ""真實支出"",
  AND(E5951="""", F5951&lt;&gt;""""), ""真實收入"",
  TRUE, ""其他""
)"),"其他")</f>
        <v>其他</v>
      </c>
      <c r="K5951" s="270" t="str">
        <f t="shared" si="2"/>
        <v/>
      </c>
      <c r="L5951">
        <f t="shared" si="3"/>
        <v>0</v>
      </c>
    </row>
    <row r="5952">
      <c r="A5952" s="107"/>
      <c r="D5952" s="270"/>
      <c r="H5952" s="106" t="str">
        <f t="shared" si="1"/>
        <v/>
      </c>
      <c r="I5952" s="271" t="str">
        <f>IFERROR(__xludf.DUMMYFUNCTION("""COMPUTED_VALUE"""),"")</f>
        <v/>
      </c>
      <c r="J5952" t="str">
        <f>IFERROR(__xludf.DUMMYFUNCTION("IFS(
  AND(REGEXMATCH(E5952, ""台銀籌備帳戶|玉山帳戶""), REGEXMATCH(C5952, ""薪資"")), ""分潤支出"",
  AND(REGEXMATCH(E5952, ""Ben帳戶|Elsa帳戶|Ben代墊|Ariel代墊|中信銀行共用""), REGEXMATCH(F5952, ""Ben帳戶|Elsa帳戶|Ben代墊|Ariel代墊|中信銀行共用"")), ""內部轉帳(忽略)"",
  AND(E5952&lt;&gt;"""", F5952&lt;&gt;"""", N"&amp;"OT(REGEXMATCH(C5952, ""薪資""))), ""內部轉帳(忽略)"",
  REGEXMATCH(C5952, ""薪資""), ""薪資變動(不計入)"",
  REGEXMATCH(C5952, ""押金""), ""押金往來"",
  AND(E5952&lt;&gt;"""", F5952=""""), ""真實支出"",
  AND(E5952="""", F5952&lt;&gt;""""), ""真實收入"",
  TRUE, ""其他""
)"),"其他")</f>
        <v>其他</v>
      </c>
      <c r="K5952" s="270" t="str">
        <f t="shared" si="2"/>
        <v/>
      </c>
      <c r="L5952">
        <f t="shared" si="3"/>
        <v>0</v>
      </c>
    </row>
    <row r="5953">
      <c r="A5953" s="107"/>
      <c r="D5953" s="270"/>
      <c r="H5953" s="106" t="str">
        <f t="shared" si="1"/>
        <v/>
      </c>
      <c r="I5953" s="271" t="str">
        <f>IFERROR(__xludf.DUMMYFUNCTION("""COMPUTED_VALUE"""),"")</f>
        <v/>
      </c>
      <c r="J5953" t="str">
        <f>IFERROR(__xludf.DUMMYFUNCTION("IFS(
  AND(REGEXMATCH(E5953, ""台銀籌備帳戶|玉山帳戶""), REGEXMATCH(C5953, ""薪資"")), ""分潤支出"",
  AND(REGEXMATCH(E5953, ""Ben帳戶|Elsa帳戶|Ben代墊|Ariel代墊|中信銀行共用""), REGEXMATCH(F5953, ""Ben帳戶|Elsa帳戶|Ben代墊|Ariel代墊|中信銀行共用"")), ""內部轉帳(忽略)"",
  AND(E5953&lt;&gt;"""", F5953&lt;&gt;"""", N"&amp;"OT(REGEXMATCH(C5953, ""薪資""))), ""內部轉帳(忽略)"",
  REGEXMATCH(C5953, ""薪資""), ""薪資變動(不計入)"",
  REGEXMATCH(C5953, ""押金""), ""押金往來"",
  AND(E5953&lt;&gt;"""", F5953=""""), ""真實支出"",
  AND(E5953="""", F5953&lt;&gt;""""), ""真實收入"",
  TRUE, ""其他""
)"),"其他")</f>
        <v>其他</v>
      </c>
      <c r="K5953" s="270" t="str">
        <f t="shared" si="2"/>
        <v/>
      </c>
      <c r="L5953">
        <f t="shared" si="3"/>
        <v>0</v>
      </c>
    </row>
    <row r="5954">
      <c r="A5954" s="107"/>
      <c r="D5954" s="270"/>
      <c r="H5954" s="106" t="str">
        <f t="shared" si="1"/>
        <v/>
      </c>
      <c r="I5954" s="271" t="str">
        <f>IFERROR(__xludf.DUMMYFUNCTION("""COMPUTED_VALUE"""),"")</f>
        <v/>
      </c>
      <c r="J5954" t="str">
        <f>IFERROR(__xludf.DUMMYFUNCTION("IFS(
  AND(REGEXMATCH(E5954, ""台銀籌備帳戶|玉山帳戶""), REGEXMATCH(C5954, ""薪資"")), ""分潤支出"",
  AND(REGEXMATCH(E5954, ""Ben帳戶|Elsa帳戶|Ben代墊|Ariel代墊|中信銀行共用""), REGEXMATCH(F5954, ""Ben帳戶|Elsa帳戶|Ben代墊|Ariel代墊|中信銀行共用"")), ""內部轉帳(忽略)"",
  AND(E5954&lt;&gt;"""", F5954&lt;&gt;"""", N"&amp;"OT(REGEXMATCH(C5954, ""薪資""))), ""內部轉帳(忽略)"",
  REGEXMATCH(C5954, ""薪資""), ""薪資變動(不計入)"",
  REGEXMATCH(C5954, ""押金""), ""押金往來"",
  AND(E5954&lt;&gt;"""", F5954=""""), ""真實支出"",
  AND(E5954="""", F5954&lt;&gt;""""), ""真實收入"",
  TRUE, ""其他""
)"),"其他")</f>
        <v>其他</v>
      </c>
      <c r="K5954" s="270" t="str">
        <f t="shared" si="2"/>
        <v/>
      </c>
      <c r="L5954">
        <f t="shared" si="3"/>
        <v>0</v>
      </c>
    </row>
    <row r="5955">
      <c r="A5955" s="107"/>
      <c r="D5955" s="270"/>
      <c r="H5955" s="106" t="str">
        <f t="shared" si="1"/>
        <v/>
      </c>
      <c r="I5955" s="271" t="str">
        <f>IFERROR(__xludf.DUMMYFUNCTION("""COMPUTED_VALUE"""),"")</f>
        <v/>
      </c>
      <c r="J5955" t="str">
        <f>IFERROR(__xludf.DUMMYFUNCTION("IFS(
  AND(REGEXMATCH(E5955, ""台銀籌備帳戶|玉山帳戶""), REGEXMATCH(C5955, ""薪資"")), ""分潤支出"",
  AND(REGEXMATCH(E5955, ""Ben帳戶|Elsa帳戶|Ben代墊|Ariel代墊|中信銀行共用""), REGEXMATCH(F5955, ""Ben帳戶|Elsa帳戶|Ben代墊|Ariel代墊|中信銀行共用"")), ""內部轉帳(忽略)"",
  AND(E5955&lt;&gt;"""", F5955&lt;&gt;"""", N"&amp;"OT(REGEXMATCH(C5955, ""薪資""))), ""內部轉帳(忽略)"",
  REGEXMATCH(C5955, ""薪資""), ""薪資變動(不計入)"",
  REGEXMATCH(C5955, ""押金""), ""押金往來"",
  AND(E5955&lt;&gt;"""", F5955=""""), ""真實支出"",
  AND(E5955="""", F5955&lt;&gt;""""), ""真實收入"",
  TRUE, ""其他""
)"),"其他")</f>
        <v>其他</v>
      </c>
      <c r="K5955" s="270" t="str">
        <f t="shared" si="2"/>
        <v/>
      </c>
      <c r="L5955">
        <f t="shared" si="3"/>
        <v>0</v>
      </c>
    </row>
    <row r="5956">
      <c r="A5956" s="107"/>
      <c r="D5956" s="270"/>
      <c r="H5956" s="106" t="str">
        <f t="shared" si="1"/>
        <v/>
      </c>
      <c r="I5956" s="271" t="str">
        <f>IFERROR(__xludf.DUMMYFUNCTION("""COMPUTED_VALUE"""),"")</f>
        <v/>
      </c>
      <c r="J5956" t="str">
        <f>IFERROR(__xludf.DUMMYFUNCTION("IFS(
  AND(REGEXMATCH(E5956, ""台銀籌備帳戶|玉山帳戶""), REGEXMATCH(C5956, ""薪資"")), ""分潤支出"",
  AND(REGEXMATCH(E5956, ""Ben帳戶|Elsa帳戶|Ben代墊|Ariel代墊|中信銀行共用""), REGEXMATCH(F5956, ""Ben帳戶|Elsa帳戶|Ben代墊|Ariel代墊|中信銀行共用"")), ""內部轉帳(忽略)"",
  AND(E5956&lt;&gt;"""", F5956&lt;&gt;"""", N"&amp;"OT(REGEXMATCH(C5956, ""薪資""))), ""內部轉帳(忽略)"",
  REGEXMATCH(C5956, ""薪資""), ""薪資變動(不計入)"",
  REGEXMATCH(C5956, ""押金""), ""押金往來"",
  AND(E5956&lt;&gt;"""", F5956=""""), ""真實支出"",
  AND(E5956="""", F5956&lt;&gt;""""), ""真實收入"",
  TRUE, ""其他""
)"),"其他")</f>
        <v>其他</v>
      </c>
      <c r="K5956" s="270" t="str">
        <f t="shared" si="2"/>
        <v/>
      </c>
      <c r="L5956">
        <f t="shared" si="3"/>
        <v>0</v>
      </c>
    </row>
    <row r="5957">
      <c r="A5957" s="107"/>
      <c r="D5957" s="270"/>
      <c r="H5957" s="106" t="str">
        <f t="shared" si="1"/>
        <v/>
      </c>
      <c r="I5957" s="271" t="str">
        <f>IFERROR(__xludf.DUMMYFUNCTION("""COMPUTED_VALUE"""),"")</f>
        <v/>
      </c>
      <c r="J5957" t="str">
        <f>IFERROR(__xludf.DUMMYFUNCTION("IFS(
  AND(REGEXMATCH(E5957, ""台銀籌備帳戶|玉山帳戶""), REGEXMATCH(C5957, ""薪資"")), ""分潤支出"",
  AND(REGEXMATCH(E5957, ""Ben帳戶|Elsa帳戶|Ben代墊|Ariel代墊|中信銀行共用""), REGEXMATCH(F5957, ""Ben帳戶|Elsa帳戶|Ben代墊|Ariel代墊|中信銀行共用"")), ""內部轉帳(忽略)"",
  AND(E5957&lt;&gt;"""", F5957&lt;&gt;"""", N"&amp;"OT(REGEXMATCH(C5957, ""薪資""))), ""內部轉帳(忽略)"",
  REGEXMATCH(C5957, ""薪資""), ""薪資變動(不計入)"",
  REGEXMATCH(C5957, ""押金""), ""押金往來"",
  AND(E5957&lt;&gt;"""", F5957=""""), ""真實支出"",
  AND(E5957="""", F5957&lt;&gt;""""), ""真實收入"",
  TRUE, ""其他""
)"),"其他")</f>
        <v>其他</v>
      </c>
      <c r="K5957" s="270" t="str">
        <f t="shared" si="2"/>
        <v/>
      </c>
      <c r="L5957">
        <f t="shared" si="3"/>
        <v>0</v>
      </c>
    </row>
    <row r="5958">
      <c r="A5958" s="107"/>
      <c r="D5958" s="270"/>
      <c r="H5958" s="106" t="str">
        <f t="shared" si="1"/>
        <v/>
      </c>
      <c r="I5958" s="271" t="str">
        <f>IFERROR(__xludf.DUMMYFUNCTION("""COMPUTED_VALUE"""),"")</f>
        <v/>
      </c>
      <c r="J5958" t="str">
        <f>IFERROR(__xludf.DUMMYFUNCTION("IFS(
  AND(REGEXMATCH(E5958, ""台銀籌備帳戶|玉山帳戶""), REGEXMATCH(C5958, ""薪資"")), ""分潤支出"",
  AND(REGEXMATCH(E5958, ""Ben帳戶|Elsa帳戶|Ben代墊|Ariel代墊|中信銀行共用""), REGEXMATCH(F5958, ""Ben帳戶|Elsa帳戶|Ben代墊|Ariel代墊|中信銀行共用"")), ""內部轉帳(忽略)"",
  AND(E5958&lt;&gt;"""", F5958&lt;&gt;"""", N"&amp;"OT(REGEXMATCH(C5958, ""薪資""))), ""內部轉帳(忽略)"",
  REGEXMATCH(C5958, ""薪資""), ""薪資變動(不計入)"",
  REGEXMATCH(C5958, ""押金""), ""押金往來"",
  AND(E5958&lt;&gt;"""", F5958=""""), ""真實支出"",
  AND(E5958="""", F5958&lt;&gt;""""), ""真實收入"",
  TRUE, ""其他""
)"),"其他")</f>
        <v>其他</v>
      </c>
      <c r="K5958" s="270" t="str">
        <f t="shared" si="2"/>
        <v/>
      </c>
      <c r="L5958">
        <f t="shared" si="3"/>
        <v>0</v>
      </c>
    </row>
    <row r="5959">
      <c r="A5959" s="107"/>
      <c r="D5959" s="270"/>
      <c r="H5959" s="106" t="str">
        <f t="shared" si="1"/>
        <v/>
      </c>
      <c r="I5959" s="271" t="str">
        <f>IFERROR(__xludf.DUMMYFUNCTION("""COMPUTED_VALUE"""),"")</f>
        <v/>
      </c>
      <c r="J5959" t="str">
        <f>IFERROR(__xludf.DUMMYFUNCTION("IFS(
  AND(REGEXMATCH(E5959, ""台銀籌備帳戶|玉山帳戶""), REGEXMATCH(C5959, ""薪資"")), ""分潤支出"",
  AND(REGEXMATCH(E5959, ""Ben帳戶|Elsa帳戶|Ben代墊|Ariel代墊|中信銀行共用""), REGEXMATCH(F5959, ""Ben帳戶|Elsa帳戶|Ben代墊|Ariel代墊|中信銀行共用"")), ""內部轉帳(忽略)"",
  AND(E5959&lt;&gt;"""", F5959&lt;&gt;"""", N"&amp;"OT(REGEXMATCH(C5959, ""薪資""))), ""內部轉帳(忽略)"",
  REGEXMATCH(C5959, ""薪資""), ""薪資變動(不計入)"",
  REGEXMATCH(C5959, ""押金""), ""押金往來"",
  AND(E5959&lt;&gt;"""", F5959=""""), ""真實支出"",
  AND(E5959="""", F5959&lt;&gt;""""), ""真實收入"",
  TRUE, ""其他""
)"),"其他")</f>
        <v>其他</v>
      </c>
      <c r="K5959" s="270" t="str">
        <f t="shared" si="2"/>
        <v/>
      </c>
      <c r="L5959">
        <f t="shared" si="3"/>
        <v>0</v>
      </c>
    </row>
    <row r="5960">
      <c r="A5960" s="107"/>
      <c r="D5960" s="270"/>
      <c r="H5960" s="106" t="str">
        <f t="shared" si="1"/>
        <v/>
      </c>
      <c r="I5960" s="271" t="str">
        <f>IFERROR(__xludf.DUMMYFUNCTION("""COMPUTED_VALUE"""),"")</f>
        <v/>
      </c>
      <c r="J5960" t="str">
        <f>IFERROR(__xludf.DUMMYFUNCTION("IFS(
  AND(REGEXMATCH(E5960, ""台銀籌備帳戶|玉山帳戶""), REGEXMATCH(C5960, ""薪資"")), ""分潤支出"",
  AND(REGEXMATCH(E5960, ""Ben帳戶|Elsa帳戶|Ben代墊|Ariel代墊|中信銀行共用""), REGEXMATCH(F5960, ""Ben帳戶|Elsa帳戶|Ben代墊|Ariel代墊|中信銀行共用"")), ""內部轉帳(忽略)"",
  AND(E5960&lt;&gt;"""", F5960&lt;&gt;"""", N"&amp;"OT(REGEXMATCH(C5960, ""薪資""))), ""內部轉帳(忽略)"",
  REGEXMATCH(C5960, ""薪資""), ""薪資變動(不計入)"",
  REGEXMATCH(C5960, ""押金""), ""押金往來"",
  AND(E5960&lt;&gt;"""", F5960=""""), ""真實支出"",
  AND(E5960="""", F5960&lt;&gt;""""), ""真實收入"",
  TRUE, ""其他""
)"),"其他")</f>
        <v>其他</v>
      </c>
      <c r="K5960" s="270" t="str">
        <f t="shared" si="2"/>
        <v/>
      </c>
      <c r="L5960">
        <f t="shared" si="3"/>
        <v>0</v>
      </c>
    </row>
    <row r="5961">
      <c r="A5961" s="107"/>
      <c r="D5961" s="270"/>
      <c r="H5961" s="106" t="str">
        <f t="shared" si="1"/>
        <v/>
      </c>
      <c r="I5961" s="271" t="str">
        <f>IFERROR(__xludf.DUMMYFUNCTION("""COMPUTED_VALUE"""),"")</f>
        <v/>
      </c>
      <c r="J5961" t="str">
        <f>IFERROR(__xludf.DUMMYFUNCTION("IFS(
  AND(REGEXMATCH(E5961, ""台銀籌備帳戶|玉山帳戶""), REGEXMATCH(C5961, ""薪資"")), ""分潤支出"",
  AND(REGEXMATCH(E5961, ""Ben帳戶|Elsa帳戶|Ben代墊|Ariel代墊|中信銀行共用""), REGEXMATCH(F5961, ""Ben帳戶|Elsa帳戶|Ben代墊|Ariel代墊|中信銀行共用"")), ""內部轉帳(忽略)"",
  AND(E5961&lt;&gt;"""", F5961&lt;&gt;"""", N"&amp;"OT(REGEXMATCH(C5961, ""薪資""))), ""內部轉帳(忽略)"",
  REGEXMATCH(C5961, ""薪資""), ""薪資變動(不計入)"",
  REGEXMATCH(C5961, ""押金""), ""押金往來"",
  AND(E5961&lt;&gt;"""", F5961=""""), ""真實支出"",
  AND(E5961="""", F5961&lt;&gt;""""), ""真實收入"",
  TRUE, ""其他""
)"),"其他")</f>
        <v>其他</v>
      </c>
      <c r="K5961" s="270" t="str">
        <f t="shared" si="2"/>
        <v/>
      </c>
      <c r="L5961">
        <f t="shared" si="3"/>
        <v>0</v>
      </c>
    </row>
    <row r="5962">
      <c r="A5962" s="107"/>
      <c r="D5962" s="270"/>
      <c r="H5962" s="106" t="str">
        <f t="shared" si="1"/>
        <v/>
      </c>
      <c r="I5962" s="271" t="str">
        <f>IFERROR(__xludf.DUMMYFUNCTION("""COMPUTED_VALUE"""),"")</f>
        <v/>
      </c>
      <c r="J5962" t="str">
        <f>IFERROR(__xludf.DUMMYFUNCTION("IFS(
  AND(REGEXMATCH(E5962, ""台銀籌備帳戶|玉山帳戶""), REGEXMATCH(C5962, ""薪資"")), ""分潤支出"",
  AND(REGEXMATCH(E5962, ""Ben帳戶|Elsa帳戶|Ben代墊|Ariel代墊|中信銀行共用""), REGEXMATCH(F5962, ""Ben帳戶|Elsa帳戶|Ben代墊|Ariel代墊|中信銀行共用"")), ""內部轉帳(忽略)"",
  AND(E5962&lt;&gt;"""", F5962&lt;&gt;"""", N"&amp;"OT(REGEXMATCH(C5962, ""薪資""))), ""內部轉帳(忽略)"",
  REGEXMATCH(C5962, ""薪資""), ""薪資變動(不計入)"",
  REGEXMATCH(C5962, ""押金""), ""押金往來"",
  AND(E5962&lt;&gt;"""", F5962=""""), ""真實支出"",
  AND(E5962="""", F5962&lt;&gt;""""), ""真實收入"",
  TRUE, ""其他""
)"),"其他")</f>
        <v>其他</v>
      </c>
      <c r="K5962" s="270" t="str">
        <f t="shared" si="2"/>
        <v/>
      </c>
      <c r="L5962">
        <f t="shared" si="3"/>
        <v>0</v>
      </c>
    </row>
    <row r="5963">
      <c r="A5963" s="107"/>
      <c r="D5963" s="270"/>
      <c r="H5963" s="106" t="str">
        <f t="shared" si="1"/>
        <v/>
      </c>
      <c r="I5963" s="271" t="str">
        <f>IFERROR(__xludf.DUMMYFUNCTION("""COMPUTED_VALUE"""),"")</f>
        <v/>
      </c>
      <c r="J5963" t="str">
        <f>IFERROR(__xludf.DUMMYFUNCTION("IFS(
  AND(REGEXMATCH(E5963, ""台銀籌備帳戶|玉山帳戶""), REGEXMATCH(C5963, ""薪資"")), ""分潤支出"",
  AND(REGEXMATCH(E5963, ""Ben帳戶|Elsa帳戶|Ben代墊|Ariel代墊|中信銀行共用""), REGEXMATCH(F5963, ""Ben帳戶|Elsa帳戶|Ben代墊|Ariel代墊|中信銀行共用"")), ""內部轉帳(忽略)"",
  AND(E5963&lt;&gt;"""", F5963&lt;&gt;"""", N"&amp;"OT(REGEXMATCH(C5963, ""薪資""))), ""內部轉帳(忽略)"",
  REGEXMATCH(C5963, ""薪資""), ""薪資變動(不計入)"",
  REGEXMATCH(C5963, ""押金""), ""押金往來"",
  AND(E5963&lt;&gt;"""", F5963=""""), ""真實支出"",
  AND(E5963="""", F5963&lt;&gt;""""), ""真實收入"",
  TRUE, ""其他""
)"),"其他")</f>
        <v>其他</v>
      </c>
      <c r="K5963" s="270" t="str">
        <f t="shared" si="2"/>
        <v/>
      </c>
      <c r="L5963">
        <f t="shared" si="3"/>
        <v>0</v>
      </c>
    </row>
    <row r="5964">
      <c r="A5964" s="107"/>
      <c r="D5964" s="270"/>
      <c r="H5964" s="106" t="str">
        <f t="shared" si="1"/>
        <v/>
      </c>
      <c r="I5964" s="271" t="str">
        <f>IFERROR(__xludf.DUMMYFUNCTION("""COMPUTED_VALUE"""),"")</f>
        <v/>
      </c>
      <c r="J5964" t="str">
        <f>IFERROR(__xludf.DUMMYFUNCTION("IFS(
  AND(REGEXMATCH(E5964, ""台銀籌備帳戶|玉山帳戶""), REGEXMATCH(C5964, ""薪資"")), ""分潤支出"",
  AND(REGEXMATCH(E5964, ""Ben帳戶|Elsa帳戶|Ben代墊|Ariel代墊|中信銀行共用""), REGEXMATCH(F5964, ""Ben帳戶|Elsa帳戶|Ben代墊|Ariel代墊|中信銀行共用"")), ""內部轉帳(忽略)"",
  AND(E5964&lt;&gt;"""", F5964&lt;&gt;"""", N"&amp;"OT(REGEXMATCH(C5964, ""薪資""))), ""內部轉帳(忽略)"",
  REGEXMATCH(C5964, ""薪資""), ""薪資變動(不計入)"",
  REGEXMATCH(C5964, ""押金""), ""押金往來"",
  AND(E5964&lt;&gt;"""", F5964=""""), ""真實支出"",
  AND(E5964="""", F5964&lt;&gt;""""), ""真實收入"",
  TRUE, ""其他""
)"),"其他")</f>
        <v>其他</v>
      </c>
      <c r="K5964" s="270" t="str">
        <f t="shared" si="2"/>
        <v/>
      </c>
      <c r="L5964">
        <f t="shared" si="3"/>
        <v>0</v>
      </c>
    </row>
    <row r="5965">
      <c r="A5965" s="107"/>
      <c r="D5965" s="270"/>
      <c r="H5965" s="106" t="str">
        <f t="shared" si="1"/>
        <v/>
      </c>
      <c r="I5965" s="271" t="str">
        <f>IFERROR(__xludf.DUMMYFUNCTION("""COMPUTED_VALUE"""),"")</f>
        <v/>
      </c>
      <c r="J5965" t="str">
        <f>IFERROR(__xludf.DUMMYFUNCTION("IFS(
  AND(REGEXMATCH(E5965, ""台銀籌備帳戶|玉山帳戶""), REGEXMATCH(C5965, ""薪資"")), ""分潤支出"",
  AND(REGEXMATCH(E5965, ""Ben帳戶|Elsa帳戶|Ben代墊|Ariel代墊|中信銀行共用""), REGEXMATCH(F5965, ""Ben帳戶|Elsa帳戶|Ben代墊|Ariel代墊|中信銀行共用"")), ""內部轉帳(忽略)"",
  AND(E5965&lt;&gt;"""", F5965&lt;&gt;"""", N"&amp;"OT(REGEXMATCH(C5965, ""薪資""))), ""內部轉帳(忽略)"",
  REGEXMATCH(C5965, ""薪資""), ""薪資變動(不計入)"",
  REGEXMATCH(C5965, ""押金""), ""押金往來"",
  AND(E5965&lt;&gt;"""", F5965=""""), ""真實支出"",
  AND(E5965="""", F5965&lt;&gt;""""), ""真實收入"",
  TRUE, ""其他""
)"),"其他")</f>
        <v>其他</v>
      </c>
      <c r="K5965" s="270" t="str">
        <f t="shared" si="2"/>
        <v/>
      </c>
      <c r="L5965">
        <f t="shared" si="3"/>
        <v>0</v>
      </c>
    </row>
    <row r="5966">
      <c r="A5966" s="107"/>
      <c r="D5966" s="270"/>
      <c r="H5966" s="106" t="str">
        <f t="shared" si="1"/>
        <v/>
      </c>
      <c r="I5966" s="271" t="str">
        <f>IFERROR(__xludf.DUMMYFUNCTION("""COMPUTED_VALUE"""),"")</f>
        <v/>
      </c>
      <c r="J5966" t="str">
        <f>IFERROR(__xludf.DUMMYFUNCTION("IFS(
  AND(REGEXMATCH(E5966, ""台銀籌備帳戶|玉山帳戶""), REGEXMATCH(C5966, ""薪資"")), ""分潤支出"",
  AND(REGEXMATCH(E5966, ""Ben帳戶|Elsa帳戶|Ben代墊|Ariel代墊|中信銀行共用""), REGEXMATCH(F5966, ""Ben帳戶|Elsa帳戶|Ben代墊|Ariel代墊|中信銀行共用"")), ""內部轉帳(忽略)"",
  AND(E5966&lt;&gt;"""", F5966&lt;&gt;"""", N"&amp;"OT(REGEXMATCH(C5966, ""薪資""))), ""內部轉帳(忽略)"",
  REGEXMATCH(C5966, ""薪資""), ""薪資變動(不計入)"",
  REGEXMATCH(C5966, ""押金""), ""押金往來"",
  AND(E5966&lt;&gt;"""", F5966=""""), ""真實支出"",
  AND(E5966="""", F5966&lt;&gt;""""), ""真實收入"",
  TRUE, ""其他""
)"),"其他")</f>
        <v>其他</v>
      </c>
      <c r="K5966" s="270" t="str">
        <f t="shared" si="2"/>
        <v/>
      </c>
      <c r="L5966">
        <f t="shared" si="3"/>
        <v>0</v>
      </c>
    </row>
    <row r="5967">
      <c r="A5967" s="107"/>
      <c r="D5967" s="270"/>
      <c r="H5967" s="106" t="str">
        <f t="shared" si="1"/>
        <v/>
      </c>
      <c r="I5967" s="271" t="str">
        <f>IFERROR(__xludf.DUMMYFUNCTION("""COMPUTED_VALUE"""),"")</f>
        <v/>
      </c>
      <c r="J5967" t="str">
        <f>IFERROR(__xludf.DUMMYFUNCTION("IFS(
  AND(REGEXMATCH(E5967, ""台銀籌備帳戶|玉山帳戶""), REGEXMATCH(C5967, ""薪資"")), ""分潤支出"",
  AND(REGEXMATCH(E5967, ""Ben帳戶|Elsa帳戶|Ben代墊|Ariel代墊|中信銀行共用""), REGEXMATCH(F5967, ""Ben帳戶|Elsa帳戶|Ben代墊|Ariel代墊|中信銀行共用"")), ""內部轉帳(忽略)"",
  AND(E5967&lt;&gt;"""", F5967&lt;&gt;"""", N"&amp;"OT(REGEXMATCH(C5967, ""薪資""))), ""內部轉帳(忽略)"",
  REGEXMATCH(C5967, ""薪資""), ""薪資變動(不計入)"",
  REGEXMATCH(C5967, ""押金""), ""押金往來"",
  AND(E5967&lt;&gt;"""", F5967=""""), ""真實支出"",
  AND(E5967="""", F5967&lt;&gt;""""), ""真實收入"",
  TRUE, ""其他""
)"),"其他")</f>
        <v>其他</v>
      </c>
      <c r="K5967" s="270" t="str">
        <f t="shared" si="2"/>
        <v/>
      </c>
      <c r="L5967">
        <f t="shared" si="3"/>
        <v>0</v>
      </c>
    </row>
    <row r="5968">
      <c r="A5968" s="107"/>
      <c r="D5968" s="270"/>
      <c r="H5968" s="106" t="str">
        <f t="shared" si="1"/>
        <v/>
      </c>
      <c r="I5968" s="271" t="str">
        <f>IFERROR(__xludf.DUMMYFUNCTION("""COMPUTED_VALUE"""),"")</f>
        <v/>
      </c>
      <c r="J5968" t="str">
        <f>IFERROR(__xludf.DUMMYFUNCTION("IFS(
  AND(REGEXMATCH(E5968, ""台銀籌備帳戶|玉山帳戶""), REGEXMATCH(C5968, ""薪資"")), ""分潤支出"",
  AND(REGEXMATCH(E5968, ""Ben帳戶|Elsa帳戶|Ben代墊|Ariel代墊|中信銀行共用""), REGEXMATCH(F5968, ""Ben帳戶|Elsa帳戶|Ben代墊|Ariel代墊|中信銀行共用"")), ""內部轉帳(忽略)"",
  AND(E5968&lt;&gt;"""", F5968&lt;&gt;"""", N"&amp;"OT(REGEXMATCH(C5968, ""薪資""))), ""內部轉帳(忽略)"",
  REGEXMATCH(C5968, ""薪資""), ""薪資變動(不計入)"",
  REGEXMATCH(C5968, ""押金""), ""押金往來"",
  AND(E5968&lt;&gt;"""", F5968=""""), ""真實支出"",
  AND(E5968="""", F5968&lt;&gt;""""), ""真實收入"",
  TRUE, ""其他""
)"),"其他")</f>
        <v>其他</v>
      </c>
      <c r="K5968" s="270" t="str">
        <f t="shared" si="2"/>
        <v/>
      </c>
      <c r="L5968">
        <f t="shared" si="3"/>
        <v>0</v>
      </c>
    </row>
    <row r="5969">
      <c r="A5969" s="107"/>
      <c r="D5969" s="270"/>
      <c r="H5969" s="106" t="str">
        <f t="shared" si="1"/>
        <v/>
      </c>
      <c r="I5969" s="271" t="str">
        <f>IFERROR(__xludf.DUMMYFUNCTION("""COMPUTED_VALUE"""),"")</f>
        <v/>
      </c>
      <c r="J5969" t="str">
        <f>IFERROR(__xludf.DUMMYFUNCTION("IFS(
  AND(REGEXMATCH(E5969, ""台銀籌備帳戶|玉山帳戶""), REGEXMATCH(C5969, ""薪資"")), ""分潤支出"",
  AND(REGEXMATCH(E5969, ""Ben帳戶|Elsa帳戶|Ben代墊|Ariel代墊|中信銀行共用""), REGEXMATCH(F5969, ""Ben帳戶|Elsa帳戶|Ben代墊|Ariel代墊|中信銀行共用"")), ""內部轉帳(忽略)"",
  AND(E5969&lt;&gt;"""", F5969&lt;&gt;"""", N"&amp;"OT(REGEXMATCH(C5969, ""薪資""))), ""內部轉帳(忽略)"",
  REGEXMATCH(C5969, ""薪資""), ""薪資變動(不計入)"",
  REGEXMATCH(C5969, ""押金""), ""押金往來"",
  AND(E5969&lt;&gt;"""", F5969=""""), ""真實支出"",
  AND(E5969="""", F5969&lt;&gt;""""), ""真實收入"",
  TRUE, ""其他""
)"),"其他")</f>
        <v>其他</v>
      </c>
      <c r="K5969" s="270" t="str">
        <f t="shared" si="2"/>
        <v/>
      </c>
      <c r="L5969">
        <f t="shared" si="3"/>
        <v>0</v>
      </c>
    </row>
    <row r="5970">
      <c r="A5970" s="107"/>
      <c r="D5970" s="270"/>
      <c r="H5970" s="106" t="str">
        <f t="shared" si="1"/>
        <v/>
      </c>
      <c r="I5970" s="271" t="str">
        <f>IFERROR(__xludf.DUMMYFUNCTION("""COMPUTED_VALUE"""),"")</f>
        <v/>
      </c>
      <c r="J5970" t="str">
        <f>IFERROR(__xludf.DUMMYFUNCTION("IFS(
  AND(REGEXMATCH(E5970, ""台銀籌備帳戶|玉山帳戶""), REGEXMATCH(C5970, ""薪資"")), ""分潤支出"",
  AND(REGEXMATCH(E5970, ""Ben帳戶|Elsa帳戶|Ben代墊|Ariel代墊|中信銀行共用""), REGEXMATCH(F5970, ""Ben帳戶|Elsa帳戶|Ben代墊|Ariel代墊|中信銀行共用"")), ""內部轉帳(忽略)"",
  AND(E5970&lt;&gt;"""", F5970&lt;&gt;"""", N"&amp;"OT(REGEXMATCH(C5970, ""薪資""))), ""內部轉帳(忽略)"",
  REGEXMATCH(C5970, ""薪資""), ""薪資變動(不計入)"",
  REGEXMATCH(C5970, ""押金""), ""押金往來"",
  AND(E5970&lt;&gt;"""", F5970=""""), ""真實支出"",
  AND(E5970="""", F5970&lt;&gt;""""), ""真實收入"",
  TRUE, ""其他""
)"),"其他")</f>
        <v>其他</v>
      </c>
      <c r="K5970" s="270" t="str">
        <f t="shared" si="2"/>
        <v/>
      </c>
      <c r="L5970">
        <f t="shared" si="3"/>
        <v>0</v>
      </c>
    </row>
    <row r="5971">
      <c r="A5971" s="107"/>
      <c r="D5971" s="270"/>
      <c r="H5971" s="106" t="str">
        <f t="shared" si="1"/>
        <v/>
      </c>
      <c r="I5971" s="271" t="str">
        <f>IFERROR(__xludf.DUMMYFUNCTION("""COMPUTED_VALUE"""),"")</f>
        <v/>
      </c>
      <c r="J5971" t="str">
        <f>IFERROR(__xludf.DUMMYFUNCTION("IFS(
  AND(REGEXMATCH(E5971, ""台銀籌備帳戶|玉山帳戶""), REGEXMATCH(C5971, ""薪資"")), ""分潤支出"",
  AND(REGEXMATCH(E5971, ""Ben帳戶|Elsa帳戶|Ben代墊|Ariel代墊|中信銀行共用""), REGEXMATCH(F5971, ""Ben帳戶|Elsa帳戶|Ben代墊|Ariel代墊|中信銀行共用"")), ""內部轉帳(忽略)"",
  AND(E5971&lt;&gt;"""", F5971&lt;&gt;"""", N"&amp;"OT(REGEXMATCH(C5971, ""薪資""))), ""內部轉帳(忽略)"",
  REGEXMATCH(C5971, ""薪資""), ""薪資變動(不計入)"",
  REGEXMATCH(C5971, ""押金""), ""押金往來"",
  AND(E5971&lt;&gt;"""", F5971=""""), ""真實支出"",
  AND(E5971="""", F5971&lt;&gt;""""), ""真實收入"",
  TRUE, ""其他""
)"),"其他")</f>
        <v>其他</v>
      </c>
      <c r="K5971" s="270" t="str">
        <f t="shared" si="2"/>
        <v/>
      </c>
      <c r="L5971">
        <f t="shared" si="3"/>
        <v>0</v>
      </c>
    </row>
    <row r="5972">
      <c r="A5972" s="107"/>
      <c r="D5972" s="270"/>
      <c r="H5972" s="106" t="str">
        <f t="shared" si="1"/>
        <v/>
      </c>
      <c r="I5972" s="271" t="str">
        <f>IFERROR(__xludf.DUMMYFUNCTION("""COMPUTED_VALUE"""),"")</f>
        <v/>
      </c>
      <c r="J5972" t="str">
        <f>IFERROR(__xludf.DUMMYFUNCTION("IFS(
  AND(REGEXMATCH(E5972, ""台銀籌備帳戶|玉山帳戶""), REGEXMATCH(C5972, ""薪資"")), ""分潤支出"",
  AND(REGEXMATCH(E5972, ""Ben帳戶|Elsa帳戶|Ben代墊|Ariel代墊|中信銀行共用""), REGEXMATCH(F5972, ""Ben帳戶|Elsa帳戶|Ben代墊|Ariel代墊|中信銀行共用"")), ""內部轉帳(忽略)"",
  AND(E5972&lt;&gt;"""", F5972&lt;&gt;"""", N"&amp;"OT(REGEXMATCH(C5972, ""薪資""))), ""內部轉帳(忽略)"",
  REGEXMATCH(C5972, ""薪資""), ""薪資變動(不計入)"",
  REGEXMATCH(C5972, ""押金""), ""押金往來"",
  AND(E5972&lt;&gt;"""", F5972=""""), ""真實支出"",
  AND(E5972="""", F5972&lt;&gt;""""), ""真實收入"",
  TRUE, ""其他""
)"),"其他")</f>
        <v>其他</v>
      </c>
      <c r="K5972" s="270" t="str">
        <f t="shared" si="2"/>
        <v/>
      </c>
      <c r="L5972">
        <f t="shared" si="3"/>
        <v>0</v>
      </c>
    </row>
    <row r="5973">
      <c r="A5973" s="107"/>
      <c r="D5973" s="270"/>
      <c r="H5973" s="106" t="str">
        <f t="shared" si="1"/>
        <v/>
      </c>
      <c r="I5973" s="271" t="str">
        <f>IFERROR(__xludf.DUMMYFUNCTION("""COMPUTED_VALUE"""),"")</f>
        <v/>
      </c>
      <c r="J5973" t="str">
        <f>IFERROR(__xludf.DUMMYFUNCTION("IFS(
  AND(REGEXMATCH(E5973, ""台銀籌備帳戶|玉山帳戶""), REGEXMATCH(C5973, ""薪資"")), ""分潤支出"",
  AND(REGEXMATCH(E5973, ""Ben帳戶|Elsa帳戶|Ben代墊|Ariel代墊|中信銀行共用""), REGEXMATCH(F5973, ""Ben帳戶|Elsa帳戶|Ben代墊|Ariel代墊|中信銀行共用"")), ""內部轉帳(忽略)"",
  AND(E5973&lt;&gt;"""", F5973&lt;&gt;"""", N"&amp;"OT(REGEXMATCH(C5973, ""薪資""))), ""內部轉帳(忽略)"",
  REGEXMATCH(C5973, ""薪資""), ""薪資變動(不計入)"",
  REGEXMATCH(C5973, ""押金""), ""押金往來"",
  AND(E5973&lt;&gt;"""", F5973=""""), ""真實支出"",
  AND(E5973="""", F5973&lt;&gt;""""), ""真實收入"",
  TRUE, ""其他""
)"),"其他")</f>
        <v>其他</v>
      </c>
      <c r="K5973" s="270" t="str">
        <f t="shared" si="2"/>
        <v/>
      </c>
      <c r="L5973">
        <f t="shared" si="3"/>
        <v>0</v>
      </c>
    </row>
    <row r="5974">
      <c r="A5974" s="107"/>
      <c r="D5974" s="270"/>
      <c r="H5974" s="106" t="str">
        <f t="shared" si="1"/>
        <v/>
      </c>
      <c r="I5974" s="271" t="str">
        <f>IFERROR(__xludf.DUMMYFUNCTION("""COMPUTED_VALUE"""),"")</f>
        <v/>
      </c>
      <c r="J5974" t="str">
        <f>IFERROR(__xludf.DUMMYFUNCTION("IFS(
  AND(REGEXMATCH(E5974, ""台銀籌備帳戶|玉山帳戶""), REGEXMATCH(C5974, ""薪資"")), ""分潤支出"",
  AND(REGEXMATCH(E5974, ""Ben帳戶|Elsa帳戶|Ben代墊|Ariel代墊|中信銀行共用""), REGEXMATCH(F5974, ""Ben帳戶|Elsa帳戶|Ben代墊|Ariel代墊|中信銀行共用"")), ""內部轉帳(忽略)"",
  AND(E5974&lt;&gt;"""", F5974&lt;&gt;"""", N"&amp;"OT(REGEXMATCH(C5974, ""薪資""))), ""內部轉帳(忽略)"",
  REGEXMATCH(C5974, ""薪資""), ""薪資變動(不計入)"",
  REGEXMATCH(C5974, ""押金""), ""押金往來"",
  AND(E5974&lt;&gt;"""", F5974=""""), ""真實支出"",
  AND(E5974="""", F5974&lt;&gt;""""), ""真實收入"",
  TRUE, ""其他""
)"),"其他")</f>
        <v>其他</v>
      </c>
      <c r="K5974" s="270" t="str">
        <f t="shared" si="2"/>
        <v/>
      </c>
      <c r="L5974">
        <f t="shared" si="3"/>
        <v>0</v>
      </c>
    </row>
    <row r="5975">
      <c r="A5975" s="107"/>
      <c r="D5975" s="270"/>
      <c r="H5975" s="106" t="str">
        <f t="shared" si="1"/>
        <v/>
      </c>
      <c r="I5975" s="271" t="str">
        <f>IFERROR(__xludf.DUMMYFUNCTION("""COMPUTED_VALUE"""),"")</f>
        <v/>
      </c>
      <c r="J5975" t="str">
        <f>IFERROR(__xludf.DUMMYFUNCTION("IFS(
  AND(REGEXMATCH(E5975, ""台銀籌備帳戶|玉山帳戶""), REGEXMATCH(C5975, ""薪資"")), ""分潤支出"",
  AND(REGEXMATCH(E5975, ""Ben帳戶|Elsa帳戶|Ben代墊|Ariel代墊|中信銀行共用""), REGEXMATCH(F5975, ""Ben帳戶|Elsa帳戶|Ben代墊|Ariel代墊|中信銀行共用"")), ""內部轉帳(忽略)"",
  AND(E5975&lt;&gt;"""", F5975&lt;&gt;"""", N"&amp;"OT(REGEXMATCH(C5975, ""薪資""))), ""內部轉帳(忽略)"",
  REGEXMATCH(C5975, ""薪資""), ""薪資變動(不計入)"",
  REGEXMATCH(C5975, ""押金""), ""押金往來"",
  AND(E5975&lt;&gt;"""", F5975=""""), ""真實支出"",
  AND(E5975="""", F5975&lt;&gt;""""), ""真實收入"",
  TRUE, ""其他""
)"),"其他")</f>
        <v>其他</v>
      </c>
      <c r="K5975" s="270" t="str">
        <f t="shared" si="2"/>
        <v/>
      </c>
      <c r="L5975">
        <f t="shared" si="3"/>
        <v>0</v>
      </c>
    </row>
    <row r="5976">
      <c r="A5976" s="107"/>
      <c r="D5976" s="270"/>
      <c r="H5976" s="106" t="str">
        <f t="shared" si="1"/>
        <v/>
      </c>
      <c r="I5976" s="271" t="str">
        <f>IFERROR(__xludf.DUMMYFUNCTION("""COMPUTED_VALUE"""),"")</f>
        <v/>
      </c>
      <c r="J5976" t="str">
        <f>IFERROR(__xludf.DUMMYFUNCTION("IFS(
  AND(REGEXMATCH(E5976, ""台銀籌備帳戶|玉山帳戶""), REGEXMATCH(C5976, ""薪資"")), ""分潤支出"",
  AND(REGEXMATCH(E5976, ""Ben帳戶|Elsa帳戶|Ben代墊|Ariel代墊|中信銀行共用""), REGEXMATCH(F5976, ""Ben帳戶|Elsa帳戶|Ben代墊|Ariel代墊|中信銀行共用"")), ""內部轉帳(忽略)"",
  AND(E5976&lt;&gt;"""", F5976&lt;&gt;"""", N"&amp;"OT(REGEXMATCH(C5976, ""薪資""))), ""內部轉帳(忽略)"",
  REGEXMATCH(C5976, ""薪資""), ""薪資變動(不計入)"",
  REGEXMATCH(C5976, ""押金""), ""押金往來"",
  AND(E5976&lt;&gt;"""", F5976=""""), ""真實支出"",
  AND(E5976="""", F5976&lt;&gt;""""), ""真實收入"",
  TRUE, ""其他""
)"),"其他")</f>
        <v>其他</v>
      </c>
      <c r="K5976" s="270" t="str">
        <f t="shared" si="2"/>
        <v/>
      </c>
      <c r="L5976">
        <f t="shared" si="3"/>
        <v>0</v>
      </c>
    </row>
    <row r="5977">
      <c r="A5977" s="107"/>
      <c r="D5977" s="270"/>
      <c r="H5977" s="106" t="str">
        <f t="shared" si="1"/>
        <v/>
      </c>
      <c r="I5977" s="271" t="str">
        <f>IFERROR(__xludf.DUMMYFUNCTION("""COMPUTED_VALUE"""),"")</f>
        <v/>
      </c>
      <c r="J5977" t="str">
        <f>IFERROR(__xludf.DUMMYFUNCTION("IFS(
  AND(REGEXMATCH(E5977, ""台銀籌備帳戶|玉山帳戶""), REGEXMATCH(C5977, ""薪資"")), ""分潤支出"",
  AND(REGEXMATCH(E5977, ""Ben帳戶|Elsa帳戶|Ben代墊|Ariel代墊|中信銀行共用""), REGEXMATCH(F5977, ""Ben帳戶|Elsa帳戶|Ben代墊|Ariel代墊|中信銀行共用"")), ""內部轉帳(忽略)"",
  AND(E5977&lt;&gt;"""", F5977&lt;&gt;"""", N"&amp;"OT(REGEXMATCH(C5977, ""薪資""))), ""內部轉帳(忽略)"",
  REGEXMATCH(C5977, ""薪資""), ""薪資變動(不計入)"",
  REGEXMATCH(C5977, ""押金""), ""押金往來"",
  AND(E5977&lt;&gt;"""", F5977=""""), ""真實支出"",
  AND(E5977="""", F5977&lt;&gt;""""), ""真實收入"",
  TRUE, ""其他""
)"),"其他")</f>
        <v>其他</v>
      </c>
      <c r="K5977" s="270" t="str">
        <f t="shared" si="2"/>
        <v/>
      </c>
      <c r="L5977">
        <f t="shared" si="3"/>
        <v>0</v>
      </c>
    </row>
    <row r="5978">
      <c r="A5978" s="107"/>
      <c r="D5978" s="270"/>
      <c r="H5978" s="106" t="str">
        <f t="shared" si="1"/>
        <v/>
      </c>
      <c r="I5978" s="271" t="str">
        <f>IFERROR(__xludf.DUMMYFUNCTION("""COMPUTED_VALUE"""),"")</f>
        <v/>
      </c>
      <c r="J5978" t="str">
        <f>IFERROR(__xludf.DUMMYFUNCTION("IFS(
  AND(REGEXMATCH(E5978, ""台銀籌備帳戶|玉山帳戶""), REGEXMATCH(C5978, ""薪資"")), ""分潤支出"",
  AND(REGEXMATCH(E5978, ""Ben帳戶|Elsa帳戶|Ben代墊|Ariel代墊|中信銀行共用""), REGEXMATCH(F5978, ""Ben帳戶|Elsa帳戶|Ben代墊|Ariel代墊|中信銀行共用"")), ""內部轉帳(忽略)"",
  AND(E5978&lt;&gt;"""", F5978&lt;&gt;"""", N"&amp;"OT(REGEXMATCH(C5978, ""薪資""))), ""內部轉帳(忽略)"",
  REGEXMATCH(C5978, ""薪資""), ""薪資變動(不計入)"",
  REGEXMATCH(C5978, ""押金""), ""押金往來"",
  AND(E5978&lt;&gt;"""", F5978=""""), ""真實支出"",
  AND(E5978="""", F5978&lt;&gt;""""), ""真實收入"",
  TRUE, ""其他""
)"),"其他")</f>
        <v>其他</v>
      </c>
      <c r="K5978" s="270" t="str">
        <f t="shared" si="2"/>
        <v/>
      </c>
      <c r="L5978">
        <f t="shared" si="3"/>
        <v>0</v>
      </c>
    </row>
    <row r="5979">
      <c r="A5979" s="107"/>
      <c r="D5979" s="270"/>
      <c r="H5979" s="106" t="str">
        <f t="shared" si="1"/>
        <v/>
      </c>
      <c r="I5979" s="271" t="str">
        <f>IFERROR(__xludf.DUMMYFUNCTION("""COMPUTED_VALUE"""),"")</f>
        <v/>
      </c>
      <c r="J5979" t="str">
        <f>IFERROR(__xludf.DUMMYFUNCTION("IFS(
  AND(REGEXMATCH(E5979, ""台銀籌備帳戶|玉山帳戶""), REGEXMATCH(C5979, ""薪資"")), ""分潤支出"",
  AND(REGEXMATCH(E5979, ""Ben帳戶|Elsa帳戶|Ben代墊|Ariel代墊|中信銀行共用""), REGEXMATCH(F5979, ""Ben帳戶|Elsa帳戶|Ben代墊|Ariel代墊|中信銀行共用"")), ""內部轉帳(忽略)"",
  AND(E5979&lt;&gt;"""", F5979&lt;&gt;"""", N"&amp;"OT(REGEXMATCH(C5979, ""薪資""))), ""內部轉帳(忽略)"",
  REGEXMATCH(C5979, ""薪資""), ""薪資變動(不計入)"",
  REGEXMATCH(C5979, ""押金""), ""押金往來"",
  AND(E5979&lt;&gt;"""", F5979=""""), ""真實支出"",
  AND(E5979="""", F5979&lt;&gt;""""), ""真實收入"",
  TRUE, ""其他""
)"),"其他")</f>
        <v>其他</v>
      </c>
      <c r="K5979" s="270" t="str">
        <f t="shared" si="2"/>
        <v/>
      </c>
      <c r="L5979">
        <f t="shared" si="3"/>
        <v>0</v>
      </c>
    </row>
    <row r="5980">
      <c r="A5980" s="107"/>
      <c r="D5980" s="270"/>
      <c r="H5980" s="106" t="str">
        <f t="shared" si="1"/>
        <v/>
      </c>
      <c r="J5980" t="str">
        <f>IFERROR(__xludf.DUMMYFUNCTION("IFS(
  AND(REGEXMATCH(E5980, ""台銀籌備帳戶|玉山帳戶""), REGEXMATCH(C5980, ""薪資"")), ""分潤支出"",
  AND(REGEXMATCH(E5980, ""Ben帳戶|Elsa帳戶|Ben代墊|Ariel代墊|中信銀行共用""), REGEXMATCH(F5980, ""Ben帳戶|Elsa帳戶|Ben代墊|Ariel代墊|中信銀行共用"")), ""內部轉帳(忽略)"",
  AND(E5980&lt;&gt;"""", F5980&lt;&gt;"""", N"&amp;"OT(REGEXMATCH(C5980, ""薪資""))), ""內部轉帳(忽略)"",
  REGEXMATCH(C5980, ""薪資""), ""薪資變動(不計入)"",
  REGEXMATCH(C5980, ""押金""), ""押金往來"",
  AND(E5980&lt;&gt;"""", F5980=""""), ""真實支出"",
  AND(E5980="""", F5980&lt;&gt;""""), ""真實收入"",
  TRUE, ""其他""
)"),"其他")</f>
        <v>其他</v>
      </c>
      <c r="K5980" s="270" t="str">
        <f t="shared" si="2"/>
        <v/>
      </c>
      <c r="L5980">
        <f t="shared" si="3"/>
        <v>0</v>
      </c>
    </row>
    <row r="5981">
      <c r="A5981" s="107"/>
      <c r="D5981" s="270"/>
      <c r="H5981" s="106" t="str">
        <f t="shared" si="1"/>
        <v/>
      </c>
      <c r="J5981" t="str">
        <f>IFERROR(__xludf.DUMMYFUNCTION("IFS(
  AND(REGEXMATCH(E5981, ""台銀籌備帳戶|玉山帳戶""), REGEXMATCH(C5981, ""薪資"")), ""分潤支出"",
  AND(REGEXMATCH(E5981, ""Ben帳戶|Elsa帳戶|Ben代墊|Ariel代墊|中信銀行共用""), REGEXMATCH(F5981, ""Ben帳戶|Elsa帳戶|Ben代墊|Ariel代墊|中信銀行共用"")), ""內部轉帳(忽略)"",
  AND(E5981&lt;&gt;"""", F5981&lt;&gt;"""", N"&amp;"OT(REGEXMATCH(C5981, ""薪資""))), ""內部轉帳(忽略)"",
  REGEXMATCH(C5981, ""薪資""), ""薪資變動(不計入)"",
  REGEXMATCH(C5981, ""押金""), ""押金往來"",
  AND(E5981&lt;&gt;"""", F5981=""""), ""真實支出"",
  AND(E5981="""", F5981&lt;&gt;""""), ""真實收入"",
  TRUE, ""其他""
)"),"其他")</f>
        <v>其他</v>
      </c>
      <c r="K5981" s="270" t="str">
        <f t="shared" si="2"/>
        <v/>
      </c>
      <c r="L5981">
        <f t="shared" si="3"/>
        <v>0</v>
      </c>
    </row>
    <row r="5982">
      <c r="A5982" s="107"/>
      <c r="D5982" s="270"/>
      <c r="H5982" s="106" t="str">
        <f t="shared" si="1"/>
        <v/>
      </c>
      <c r="J5982" t="str">
        <f>IFERROR(__xludf.DUMMYFUNCTION("IFS(
  AND(REGEXMATCH(E5982, ""台銀籌備帳戶|玉山帳戶""), REGEXMATCH(C5982, ""薪資"")), ""分潤支出"",
  AND(REGEXMATCH(E5982, ""Ben帳戶|Elsa帳戶|Ben代墊|Ariel代墊|中信銀行共用""), REGEXMATCH(F5982, ""Ben帳戶|Elsa帳戶|Ben代墊|Ariel代墊|中信銀行共用"")), ""內部轉帳(忽略)"",
  AND(E5982&lt;&gt;"""", F5982&lt;&gt;"""", N"&amp;"OT(REGEXMATCH(C5982, ""薪資""))), ""內部轉帳(忽略)"",
  REGEXMATCH(C5982, ""薪資""), ""薪資變動(不計入)"",
  REGEXMATCH(C5982, ""押金""), ""押金往來"",
  AND(E5982&lt;&gt;"""", F5982=""""), ""真實支出"",
  AND(E5982="""", F5982&lt;&gt;""""), ""真實收入"",
  TRUE, ""其他""
)"),"其他")</f>
        <v>其他</v>
      </c>
      <c r="K5982" s="270" t="str">
        <f t="shared" si="2"/>
        <v/>
      </c>
      <c r="L5982">
        <f t="shared" si="3"/>
        <v>0</v>
      </c>
    </row>
    <row r="5983">
      <c r="A5983" s="107"/>
      <c r="D5983" s="270"/>
      <c r="H5983" s="106" t="str">
        <f t="shared" si="1"/>
        <v/>
      </c>
      <c r="J5983" t="str">
        <f>IFERROR(__xludf.DUMMYFUNCTION("IFS(
  AND(REGEXMATCH(E5983, ""台銀籌備帳戶|玉山帳戶""), REGEXMATCH(C5983, ""薪資"")), ""分潤支出"",
  AND(REGEXMATCH(E5983, ""Ben帳戶|Elsa帳戶|Ben代墊|Ariel代墊|中信銀行共用""), REGEXMATCH(F5983, ""Ben帳戶|Elsa帳戶|Ben代墊|Ariel代墊|中信銀行共用"")), ""內部轉帳(忽略)"",
  AND(E5983&lt;&gt;"""", F5983&lt;&gt;"""", N"&amp;"OT(REGEXMATCH(C5983, ""薪資""))), ""內部轉帳(忽略)"",
  REGEXMATCH(C5983, ""薪資""), ""薪資變動(不計入)"",
  REGEXMATCH(C5983, ""押金""), ""押金往來"",
  AND(E5983&lt;&gt;"""", F5983=""""), ""真實支出"",
  AND(E5983="""", F5983&lt;&gt;""""), ""真實收入"",
  TRUE, ""其他""
)"),"其他")</f>
        <v>其他</v>
      </c>
      <c r="K5983" s="270" t="str">
        <f t="shared" si="2"/>
        <v/>
      </c>
      <c r="L5983">
        <f t="shared" si="3"/>
        <v>0</v>
      </c>
    </row>
    <row r="5984">
      <c r="A5984" s="107"/>
      <c r="D5984" s="270"/>
      <c r="H5984" s="106" t="str">
        <f t="shared" si="1"/>
        <v/>
      </c>
      <c r="J5984" t="str">
        <f>IFERROR(__xludf.DUMMYFUNCTION("IFS(
  AND(REGEXMATCH(E5984, ""台銀籌備帳戶|玉山帳戶""), REGEXMATCH(C5984, ""薪資"")), ""分潤支出"",
  AND(REGEXMATCH(E5984, ""Ben帳戶|Elsa帳戶|Ben代墊|Ariel代墊|中信銀行共用""), REGEXMATCH(F5984, ""Ben帳戶|Elsa帳戶|Ben代墊|Ariel代墊|中信銀行共用"")), ""內部轉帳(忽略)"",
  AND(E5984&lt;&gt;"""", F5984&lt;&gt;"""", N"&amp;"OT(REGEXMATCH(C5984, ""薪資""))), ""內部轉帳(忽略)"",
  REGEXMATCH(C5984, ""薪資""), ""薪資變動(不計入)"",
  REGEXMATCH(C5984, ""押金""), ""押金往來"",
  AND(E5984&lt;&gt;"""", F5984=""""), ""真實支出"",
  AND(E5984="""", F5984&lt;&gt;""""), ""真實收入"",
  TRUE, ""其他""
)"),"其他")</f>
        <v>其他</v>
      </c>
      <c r="K5984" s="270" t="str">
        <f t="shared" si="2"/>
        <v/>
      </c>
      <c r="L5984">
        <f t="shared" si="3"/>
        <v>0</v>
      </c>
    </row>
    <row r="5985">
      <c r="A5985" s="107"/>
      <c r="D5985" s="270"/>
      <c r="H5985" s="106" t="str">
        <f t="shared" si="1"/>
        <v/>
      </c>
      <c r="J5985" t="str">
        <f>IFERROR(__xludf.DUMMYFUNCTION("IFS(
  AND(REGEXMATCH(E5985, ""台銀籌備帳戶|玉山帳戶""), REGEXMATCH(C5985, ""薪資"")), ""分潤支出"",
  AND(REGEXMATCH(E5985, ""Ben帳戶|Elsa帳戶|Ben代墊|Ariel代墊|中信銀行共用""), REGEXMATCH(F5985, ""Ben帳戶|Elsa帳戶|Ben代墊|Ariel代墊|中信銀行共用"")), ""內部轉帳(忽略)"",
  AND(E5985&lt;&gt;"""", F5985&lt;&gt;"""", N"&amp;"OT(REGEXMATCH(C5985, ""薪資""))), ""內部轉帳(忽略)"",
  REGEXMATCH(C5985, ""薪資""), ""薪資變動(不計入)"",
  REGEXMATCH(C5985, ""押金""), ""押金往來"",
  AND(E5985&lt;&gt;"""", F5985=""""), ""真實支出"",
  AND(E5985="""", F5985&lt;&gt;""""), ""真實收入"",
  TRUE, ""其他""
)"),"其他")</f>
        <v>其他</v>
      </c>
      <c r="K5985" s="270" t="str">
        <f t="shared" si="2"/>
        <v/>
      </c>
      <c r="L5985">
        <f t="shared" si="3"/>
        <v>0</v>
      </c>
    </row>
    <row r="5986">
      <c r="A5986" s="107"/>
      <c r="D5986" s="270"/>
      <c r="H5986" s="106" t="str">
        <f t="shared" si="1"/>
        <v/>
      </c>
      <c r="J5986" t="str">
        <f>IFERROR(__xludf.DUMMYFUNCTION("IFS(
  AND(REGEXMATCH(E5986, ""台銀籌備帳戶|玉山帳戶""), REGEXMATCH(C5986, ""薪資"")), ""分潤支出"",
  AND(REGEXMATCH(E5986, ""Ben帳戶|Elsa帳戶|Ben代墊|Ariel代墊|中信銀行共用""), REGEXMATCH(F5986, ""Ben帳戶|Elsa帳戶|Ben代墊|Ariel代墊|中信銀行共用"")), ""內部轉帳(忽略)"",
  AND(E5986&lt;&gt;"""", F5986&lt;&gt;"""", N"&amp;"OT(REGEXMATCH(C5986, ""薪資""))), ""內部轉帳(忽略)"",
  REGEXMATCH(C5986, ""薪資""), ""薪資變動(不計入)"",
  REGEXMATCH(C5986, ""押金""), ""押金往來"",
  AND(E5986&lt;&gt;"""", F5986=""""), ""真實支出"",
  AND(E5986="""", F5986&lt;&gt;""""), ""真實收入"",
  TRUE, ""其他""
)"),"其他")</f>
        <v>其他</v>
      </c>
      <c r="K5986" s="270" t="str">
        <f t="shared" si="2"/>
        <v/>
      </c>
      <c r="L5986">
        <f t="shared" si="3"/>
        <v>0</v>
      </c>
    </row>
    <row r="5987">
      <c r="A5987" s="107"/>
      <c r="D5987" s="270"/>
      <c r="H5987" s="106" t="str">
        <f t="shared" si="1"/>
        <v/>
      </c>
      <c r="J5987" t="str">
        <f>IFERROR(__xludf.DUMMYFUNCTION("IFS(
  AND(REGEXMATCH(E5987, ""台銀籌備帳戶|玉山帳戶""), REGEXMATCH(C5987, ""薪資"")), ""分潤支出"",
  AND(REGEXMATCH(E5987, ""Ben帳戶|Elsa帳戶|Ben代墊|Ariel代墊|中信銀行共用""), REGEXMATCH(F5987, ""Ben帳戶|Elsa帳戶|Ben代墊|Ariel代墊|中信銀行共用"")), ""內部轉帳(忽略)"",
  AND(E5987&lt;&gt;"""", F5987&lt;&gt;"""", N"&amp;"OT(REGEXMATCH(C5987, ""薪資""))), ""內部轉帳(忽略)"",
  REGEXMATCH(C5987, ""薪資""), ""薪資變動(不計入)"",
  REGEXMATCH(C5987, ""押金""), ""押金往來"",
  AND(E5987&lt;&gt;"""", F5987=""""), ""真實支出"",
  AND(E5987="""", F5987&lt;&gt;""""), ""真實收入"",
  TRUE, ""其他""
)"),"其他")</f>
        <v>其他</v>
      </c>
      <c r="K5987" s="270" t="str">
        <f t="shared" si="2"/>
        <v/>
      </c>
      <c r="L5987">
        <f t="shared" si="3"/>
        <v>0</v>
      </c>
    </row>
    <row r="5988">
      <c r="A5988" s="107"/>
      <c r="D5988" s="270"/>
      <c r="H5988" s="106" t="str">
        <f t="shared" si="1"/>
        <v/>
      </c>
      <c r="J5988" t="str">
        <f>IFERROR(__xludf.DUMMYFUNCTION("IFS(
  AND(REGEXMATCH(E5988, ""台銀籌備帳戶|玉山帳戶""), REGEXMATCH(C5988, ""薪資"")), ""分潤支出"",
  AND(REGEXMATCH(E5988, ""Ben帳戶|Elsa帳戶|Ben代墊|Ariel代墊|中信銀行共用""), REGEXMATCH(F5988, ""Ben帳戶|Elsa帳戶|Ben代墊|Ariel代墊|中信銀行共用"")), ""內部轉帳(忽略)"",
  AND(E5988&lt;&gt;"""", F5988&lt;&gt;"""", N"&amp;"OT(REGEXMATCH(C5988, ""薪資""))), ""內部轉帳(忽略)"",
  REGEXMATCH(C5988, ""薪資""), ""薪資變動(不計入)"",
  REGEXMATCH(C5988, ""押金""), ""押金往來"",
  AND(E5988&lt;&gt;"""", F5988=""""), ""真實支出"",
  AND(E5988="""", F5988&lt;&gt;""""), ""真實收入"",
  TRUE, ""其他""
)"),"其他")</f>
        <v>其他</v>
      </c>
      <c r="K5988" s="270" t="str">
        <f t="shared" si="2"/>
        <v/>
      </c>
      <c r="L5988">
        <f t="shared" si="3"/>
        <v>0</v>
      </c>
    </row>
    <row r="5989">
      <c r="A5989" s="107"/>
      <c r="D5989" s="270"/>
      <c r="H5989" s="106" t="str">
        <f t="shared" si="1"/>
        <v/>
      </c>
      <c r="J5989" t="str">
        <f>IFERROR(__xludf.DUMMYFUNCTION("IFS(
  AND(REGEXMATCH(E5989, ""台銀籌備帳戶|玉山帳戶""), REGEXMATCH(C5989, ""薪資"")), ""分潤支出"",
  AND(REGEXMATCH(E5989, ""Ben帳戶|Elsa帳戶|Ben代墊|Ariel代墊|中信銀行共用""), REGEXMATCH(F5989, ""Ben帳戶|Elsa帳戶|Ben代墊|Ariel代墊|中信銀行共用"")), ""內部轉帳(忽略)"",
  AND(E5989&lt;&gt;"""", F5989&lt;&gt;"""", N"&amp;"OT(REGEXMATCH(C5989, ""薪資""))), ""內部轉帳(忽略)"",
  REGEXMATCH(C5989, ""薪資""), ""薪資變動(不計入)"",
  REGEXMATCH(C5989, ""押金""), ""押金往來"",
  AND(E5989&lt;&gt;"""", F5989=""""), ""真實支出"",
  AND(E5989="""", F5989&lt;&gt;""""), ""真實收入"",
  TRUE, ""其他""
)"),"其他")</f>
        <v>其他</v>
      </c>
      <c r="K5989" s="270" t="str">
        <f t="shared" si="2"/>
        <v/>
      </c>
      <c r="L5989">
        <f t="shared" si="3"/>
        <v>0</v>
      </c>
    </row>
    <row r="5990">
      <c r="A5990" s="107"/>
      <c r="D5990" s="270"/>
      <c r="H5990" s="106" t="str">
        <f t="shared" si="1"/>
        <v/>
      </c>
      <c r="J5990" t="str">
        <f>IFERROR(__xludf.DUMMYFUNCTION("IFS(
  AND(REGEXMATCH(E5990, ""台銀籌備帳戶|玉山帳戶""), REGEXMATCH(C5990, ""薪資"")), ""分潤支出"",
  AND(REGEXMATCH(E5990, ""Ben帳戶|Elsa帳戶|Ben代墊|Ariel代墊|中信銀行共用""), REGEXMATCH(F5990, ""Ben帳戶|Elsa帳戶|Ben代墊|Ariel代墊|中信銀行共用"")), ""內部轉帳(忽略)"",
  AND(E5990&lt;&gt;"""", F5990&lt;&gt;"""", N"&amp;"OT(REGEXMATCH(C5990, ""薪資""))), ""內部轉帳(忽略)"",
  REGEXMATCH(C5990, ""薪資""), ""薪資變動(不計入)"",
  REGEXMATCH(C5990, ""押金""), ""押金往來"",
  AND(E5990&lt;&gt;"""", F5990=""""), ""真實支出"",
  AND(E5990="""", F5990&lt;&gt;""""), ""真實收入"",
  TRUE, ""其他""
)"),"其他")</f>
        <v>其他</v>
      </c>
      <c r="K5990" s="270" t="str">
        <f t="shared" si="2"/>
        <v/>
      </c>
      <c r="L5990">
        <f t="shared" si="3"/>
        <v>0</v>
      </c>
    </row>
    <row r="5991">
      <c r="A5991" s="107"/>
      <c r="D5991" s="270"/>
      <c r="H5991" s="106" t="str">
        <f t="shared" si="1"/>
        <v/>
      </c>
      <c r="J5991" t="str">
        <f>IFERROR(__xludf.DUMMYFUNCTION("IFS(
  AND(REGEXMATCH(E5991, ""台銀籌備帳戶|玉山帳戶""), REGEXMATCH(C5991, ""薪資"")), ""分潤支出"",
  AND(REGEXMATCH(E5991, ""Ben帳戶|Elsa帳戶|Ben代墊|Ariel代墊|中信銀行共用""), REGEXMATCH(F5991, ""Ben帳戶|Elsa帳戶|Ben代墊|Ariel代墊|中信銀行共用"")), ""內部轉帳(忽略)"",
  AND(E5991&lt;&gt;"""", F5991&lt;&gt;"""", N"&amp;"OT(REGEXMATCH(C5991, ""薪資""))), ""內部轉帳(忽略)"",
  REGEXMATCH(C5991, ""薪資""), ""薪資變動(不計入)"",
  REGEXMATCH(C5991, ""押金""), ""押金往來"",
  AND(E5991&lt;&gt;"""", F5991=""""), ""真實支出"",
  AND(E5991="""", F5991&lt;&gt;""""), ""真實收入"",
  TRUE, ""其他""
)"),"其他")</f>
        <v>其他</v>
      </c>
      <c r="K5991" s="270" t="str">
        <f t="shared" si="2"/>
        <v/>
      </c>
      <c r="L5991">
        <f t="shared" si="3"/>
        <v>0</v>
      </c>
    </row>
    <row r="5992">
      <c r="A5992" s="107"/>
      <c r="D5992" s="270"/>
      <c r="H5992" s="106" t="str">
        <f t="shared" si="1"/>
        <v/>
      </c>
      <c r="J5992" t="str">
        <f>IFERROR(__xludf.DUMMYFUNCTION("IFS(
  AND(REGEXMATCH(E5992, ""台銀籌備帳戶|玉山帳戶""), REGEXMATCH(C5992, ""薪資"")), ""分潤支出"",
  AND(REGEXMATCH(E5992, ""Ben帳戶|Elsa帳戶|Ben代墊|Ariel代墊|中信銀行共用""), REGEXMATCH(F5992, ""Ben帳戶|Elsa帳戶|Ben代墊|Ariel代墊|中信銀行共用"")), ""內部轉帳(忽略)"",
  AND(E5992&lt;&gt;"""", F5992&lt;&gt;"""", N"&amp;"OT(REGEXMATCH(C5992, ""薪資""))), ""內部轉帳(忽略)"",
  REGEXMATCH(C5992, ""薪資""), ""薪資變動(不計入)"",
  REGEXMATCH(C5992, ""押金""), ""押金往來"",
  AND(E5992&lt;&gt;"""", F5992=""""), ""真實支出"",
  AND(E5992="""", F5992&lt;&gt;""""), ""真實收入"",
  TRUE, ""其他""
)"),"其他")</f>
        <v>其他</v>
      </c>
      <c r="K5992" s="270" t="str">
        <f t="shared" si="2"/>
        <v/>
      </c>
      <c r="L5992">
        <f t="shared" si="3"/>
        <v>0</v>
      </c>
    </row>
    <row r="5993">
      <c r="A5993" s="107"/>
      <c r="D5993" s="270"/>
      <c r="H5993" s="106" t="str">
        <f t="shared" si="1"/>
        <v/>
      </c>
      <c r="J5993" t="str">
        <f>IFERROR(__xludf.DUMMYFUNCTION("IFS(
  AND(REGEXMATCH(E5993, ""台銀籌備帳戶|玉山帳戶""), REGEXMATCH(C5993, ""薪資"")), ""分潤支出"",
  AND(REGEXMATCH(E5993, ""Ben帳戶|Elsa帳戶|Ben代墊|Ariel代墊|中信銀行共用""), REGEXMATCH(F5993, ""Ben帳戶|Elsa帳戶|Ben代墊|Ariel代墊|中信銀行共用"")), ""內部轉帳(忽略)"",
  AND(E5993&lt;&gt;"""", F5993&lt;&gt;"""", N"&amp;"OT(REGEXMATCH(C5993, ""薪資""))), ""內部轉帳(忽略)"",
  REGEXMATCH(C5993, ""薪資""), ""薪資變動(不計入)"",
  REGEXMATCH(C5993, ""押金""), ""押金往來"",
  AND(E5993&lt;&gt;"""", F5993=""""), ""真實支出"",
  AND(E5993="""", F5993&lt;&gt;""""), ""真實收入"",
  TRUE, ""其他""
)"),"其他")</f>
        <v>其他</v>
      </c>
      <c r="K5993" s="270" t="str">
        <f t="shared" si="2"/>
        <v/>
      </c>
      <c r="L5993">
        <f t="shared" si="3"/>
        <v>0</v>
      </c>
    </row>
    <row r="5994">
      <c r="A5994" s="107"/>
      <c r="D5994" s="270"/>
      <c r="H5994" s="106" t="str">
        <f t="shared" si="1"/>
        <v/>
      </c>
      <c r="J5994" t="str">
        <f>IFERROR(__xludf.DUMMYFUNCTION("IFS(
  AND(REGEXMATCH(E5994, ""台銀籌備帳戶|玉山帳戶""), REGEXMATCH(C5994, ""薪資"")), ""分潤支出"",
  AND(REGEXMATCH(E5994, ""Ben帳戶|Elsa帳戶|Ben代墊|Ariel代墊|中信銀行共用""), REGEXMATCH(F5994, ""Ben帳戶|Elsa帳戶|Ben代墊|Ariel代墊|中信銀行共用"")), ""內部轉帳(忽略)"",
  AND(E5994&lt;&gt;"""", F5994&lt;&gt;"""", N"&amp;"OT(REGEXMATCH(C5994, ""薪資""))), ""內部轉帳(忽略)"",
  REGEXMATCH(C5994, ""薪資""), ""薪資變動(不計入)"",
  REGEXMATCH(C5994, ""押金""), ""押金往來"",
  AND(E5994&lt;&gt;"""", F5994=""""), ""真實支出"",
  AND(E5994="""", F5994&lt;&gt;""""), ""真實收入"",
  TRUE, ""其他""
)"),"其他")</f>
        <v>其他</v>
      </c>
      <c r="K5994" s="270" t="str">
        <f t="shared" si="2"/>
        <v/>
      </c>
      <c r="L5994">
        <f t="shared" si="3"/>
        <v>0</v>
      </c>
    </row>
    <row r="5995">
      <c r="A5995" s="107"/>
      <c r="D5995" s="270"/>
      <c r="H5995" s="106" t="str">
        <f t="shared" si="1"/>
        <v/>
      </c>
      <c r="J5995" t="str">
        <f>IFERROR(__xludf.DUMMYFUNCTION("IFS(
  AND(REGEXMATCH(E5995, ""台銀籌備帳戶|玉山帳戶""), REGEXMATCH(C5995, ""薪資"")), ""分潤支出"",
  AND(REGEXMATCH(E5995, ""Ben帳戶|Elsa帳戶|Ben代墊|Ariel代墊|中信銀行共用""), REGEXMATCH(F5995, ""Ben帳戶|Elsa帳戶|Ben代墊|Ariel代墊|中信銀行共用"")), ""內部轉帳(忽略)"",
  AND(E5995&lt;&gt;"""", F5995&lt;&gt;"""", N"&amp;"OT(REGEXMATCH(C5995, ""薪資""))), ""內部轉帳(忽略)"",
  REGEXMATCH(C5995, ""薪資""), ""薪資變動(不計入)"",
  REGEXMATCH(C5995, ""押金""), ""押金往來"",
  AND(E5995&lt;&gt;"""", F5995=""""), ""真實支出"",
  AND(E5995="""", F5995&lt;&gt;""""), ""真實收入"",
  TRUE, ""其他""
)"),"其他")</f>
        <v>其他</v>
      </c>
      <c r="K5995" s="270" t="str">
        <f t="shared" si="2"/>
        <v/>
      </c>
      <c r="L5995">
        <f t="shared" si="3"/>
        <v>0</v>
      </c>
    </row>
    <row r="5996">
      <c r="A5996" s="107"/>
      <c r="D5996" s="270"/>
      <c r="H5996" s="106" t="str">
        <f t="shared" si="1"/>
        <v/>
      </c>
      <c r="J5996" t="str">
        <f>IFERROR(__xludf.DUMMYFUNCTION("IFS(
  AND(REGEXMATCH(E5996, ""台銀籌備帳戶|玉山帳戶""), REGEXMATCH(C5996, ""薪資"")), ""分潤支出"",
  AND(REGEXMATCH(E5996, ""Ben帳戶|Elsa帳戶|Ben代墊|Ariel代墊|中信銀行共用""), REGEXMATCH(F5996, ""Ben帳戶|Elsa帳戶|Ben代墊|Ariel代墊|中信銀行共用"")), ""內部轉帳(忽略)"",
  AND(E5996&lt;&gt;"""", F5996&lt;&gt;"""", N"&amp;"OT(REGEXMATCH(C5996, ""薪資""))), ""內部轉帳(忽略)"",
  REGEXMATCH(C5996, ""薪資""), ""薪資變動(不計入)"",
  REGEXMATCH(C5996, ""押金""), ""押金往來"",
  AND(E5996&lt;&gt;"""", F5996=""""), ""真實支出"",
  AND(E5996="""", F5996&lt;&gt;""""), ""真實收入"",
  TRUE, ""其他""
)"),"其他")</f>
        <v>其他</v>
      </c>
      <c r="K5996" s="270" t="str">
        <f t="shared" si="2"/>
        <v/>
      </c>
      <c r="L5996">
        <f t="shared" si="3"/>
        <v>0</v>
      </c>
    </row>
    <row r="5997">
      <c r="A5997" s="107"/>
      <c r="D5997" s="270"/>
      <c r="H5997" s="106" t="str">
        <f t="shared" si="1"/>
        <v/>
      </c>
      <c r="J5997" t="str">
        <f>IFERROR(__xludf.DUMMYFUNCTION("IFS(
  AND(REGEXMATCH(E5997, ""台銀籌備帳戶|玉山帳戶""), REGEXMATCH(C5997, ""薪資"")), ""分潤支出"",
  AND(REGEXMATCH(E5997, ""Ben帳戶|Elsa帳戶|Ben代墊|Ariel代墊|中信銀行共用""), REGEXMATCH(F5997, ""Ben帳戶|Elsa帳戶|Ben代墊|Ariel代墊|中信銀行共用"")), ""內部轉帳(忽略)"",
  AND(E5997&lt;&gt;"""", F5997&lt;&gt;"""", N"&amp;"OT(REGEXMATCH(C5997, ""薪資""))), ""內部轉帳(忽略)"",
  REGEXMATCH(C5997, ""薪資""), ""薪資變動(不計入)"",
  REGEXMATCH(C5997, ""押金""), ""押金往來"",
  AND(E5997&lt;&gt;"""", F5997=""""), ""真實支出"",
  AND(E5997="""", F5997&lt;&gt;""""), ""真實收入"",
  TRUE, ""其他""
)"),"其他")</f>
        <v>其他</v>
      </c>
      <c r="K5997" s="270" t="str">
        <f t="shared" si="2"/>
        <v/>
      </c>
      <c r="L5997">
        <f t="shared" si="3"/>
        <v>0</v>
      </c>
    </row>
    <row r="5998">
      <c r="A5998" s="107"/>
      <c r="D5998" s="270"/>
      <c r="H5998" s="106" t="str">
        <f t="shared" si="1"/>
        <v/>
      </c>
      <c r="J5998" t="str">
        <f>IFERROR(__xludf.DUMMYFUNCTION("IFS(
  AND(REGEXMATCH(E5998, ""台銀籌備帳戶|玉山帳戶""), REGEXMATCH(C5998, ""薪資"")), ""分潤支出"",
  AND(REGEXMATCH(E5998, ""Ben帳戶|Elsa帳戶|Ben代墊|Ariel代墊|中信銀行共用""), REGEXMATCH(F5998, ""Ben帳戶|Elsa帳戶|Ben代墊|Ariel代墊|中信銀行共用"")), ""內部轉帳(忽略)"",
  AND(E5998&lt;&gt;"""", F5998&lt;&gt;"""", N"&amp;"OT(REGEXMATCH(C5998, ""薪資""))), ""內部轉帳(忽略)"",
  REGEXMATCH(C5998, ""薪資""), ""薪資變動(不計入)"",
  REGEXMATCH(C5998, ""押金""), ""押金往來"",
  AND(E5998&lt;&gt;"""", F5998=""""), ""真實支出"",
  AND(E5998="""", F5998&lt;&gt;""""), ""真實收入"",
  TRUE, ""其他""
)"),"其他")</f>
        <v>其他</v>
      </c>
      <c r="K5998" s="270" t="str">
        <f t="shared" si="2"/>
        <v/>
      </c>
      <c r="L5998">
        <f t="shared" si="3"/>
        <v>0</v>
      </c>
    </row>
    <row r="5999">
      <c r="A5999" s="107"/>
      <c r="D5999" s="270"/>
      <c r="H5999" s="106" t="str">
        <f t="shared" si="1"/>
        <v/>
      </c>
      <c r="J5999" t="str">
        <f>IFERROR(__xludf.DUMMYFUNCTION("IFS(
  AND(REGEXMATCH(E5999, ""台銀籌備帳戶|玉山帳戶""), REGEXMATCH(C5999, ""薪資"")), ""分潤支出"",
  AND(REGEXMATCH(E5999, ""Ben帳戶|Elsa帳戶|Ben代墊|Ariel代墊|中信銀行共用""), REGEXMATCH(F5999, ""Ben帳戶|Elsa帳戶|Ben代墊|Ariel代墊|中信銀行共用"")), ""內部轉帳(忽略)"",
  AND(E5999&lt;&gt;"""", F5999&lt;&gt;"""", N"&amp;"OT(REGEXMATCH(C5999, ""薪資""))), ""內部轉帳(忽略)"",
  REGEXMATCH(C5999, ""薪資""), ""薪資變動(不計入)"",
  REGEXMATCH(C5999, ""押金""), ""押金往來"",
  AND(E5999&lt;&gt;"""", F5999=""""), ""真實支出"",
  AND(E5999="""", F5999&lt;&gt;""""), ""真實收入"",
  TRUE, ""其他""
)"),"其他")</f>
        <v>其他</v>
      </c>
      <c r="K5999" s="270" t="str">
        <f t="shared" si="2"/>
        <v/>
      </c>
      <c r="L5999">
        <f t="shared" si="3"/>
        <v>0</v>
      </c>
    </row>
    <row r="6000">
      <c r="A6000" s="107"/>
      <c r="D6000" s="270"/>
      <c r="H6000" s="106" t="str">
        <f t="shared" si="1"/>
        <v/>
      </c>
      <c r="J6000" t="str">
        <f>IFERROR(__xludf.DUMMYFUNCTION("IFS(
  AND(REGEXMATCH(E6000, ""台銀籌備帳戶|玉山帳戶""), REGEXMATCH(C6000, ""薪資"")), ""分潤支出"",
  AND(REGEXMATCH(E6000, ""Ben帳戶|Elsa帳戶|Ben代墊|Ariel代墊|中信銀行共用""), REGEXMATCH(F6000, ""Ben帳戶|Elsa帳戶|Ben代墊|Ariel代墊|中信銀行共用"")), ""內部轉帳(忽略)"",
  AND(E6000&lt;&gt;"""", F6000&lt;&gt;"""", N"&amp;"OT(REGEXMATCH(C6000, ""薪資""))), ""內部轉帳(忽略)"",
  REGEXMATCH(C6000, ""薪資""), ""薪資變動(不計入)"",
  REGEXMATCH(C6000, ""押金""), ""押金往來"",
  AND(E6000&lt;&gt;"""", F6000=""""), ""真實支出"",
  AND(E6000="""", F6000&lt;&gt;""""), ""真實收入"",
  TRUE, ""其他""
)"),"其他")</f>
        <v>其他</v>
      </c>
      <c r="K6000" s="270" t="str">
        <f t="shared" si="2"/>
        <v/>
      </c>
      <c r="L6000">
        <f t="shared" si="3"/>
        <v>0</v>
      </c>
    </row>
    <row r="6001">
      <c r="A6001" s="107"/>
      <c r="D6001" s="270"/>
      <c r="H6001" s="106" t="str">
        <f t="shared" si="1"/>
        <v/>
      </c>
      <c r="J6001" t="str">
        <f>IFERROR(__xludf.DUMMYFUNCTION("IFS(
  AND(REGEXMATCH(E6001, ""台銀籌備帳戶|玉山帳戶""), REGEXMATCH(C6001, ""薪資"")), ""分潤支出"",
  AND(REGEXMATCH(E6001, ""Ben帳戶|Elsa帳戶|Ben代墊|Ariel代墊|中信銀行共用""), REGEXMATCH(F6001, ""Ben帳戶|Elsa帳戶|Ben代墊|Ariel代墊|中信銀行共用"")), ""內部轉帳(忽略)"",
  AND(E6001&lt;&gt;"""", F6001&lt;&gt;"""", N"&amp;"OT(REGEXMATCH(C6001, ""薪資""))), ""內部轉帳(忽略)"",
  REGEXMATCH(C6001, ""薪資""), ""薪資變動(不計入)"",
  REGEXMATCH(C6001, ""押金""), ""押金往來"",
  AND(E6001&lt;&gt;"""", F6001=""""), ""真實支出"",
  AND(E6001="""", F6001&lt;&gt;""""), ""真實收入"",
  TRUE, ""其他""
)"),"其他")</f>
        <v>其他</v>
      </c>
      <c r="K6001" s="270" t="str">
        <f t="shared" si="2"/>
        <v/>
      </c>
      <c r="L6001">
        <f t="shared" si="3"/>
        <v>0</v>
      </c>
    </row>
    <row r="6002">
      <c r="A6002" s="107"/>
      <c r="D6002" s="270"/>
      <c r="H6002" s="106" t="str">
        <f t="shared" si="1"/>
        <v/>
      </c>
      <c r="J6002" t="str">
        <f>IFERROR(__xludf.DUMMYFUNCTION("IFS(
  AND(REGEXMATCH(E6002, ""台銀籌備帳戶|玉山帳戶""), REGEXMATCH(C6002, ""薪資"")), ""分潤支出"",
  AND(REGEXMATCH(E6002, ""Ben帳戶|Elsa帳戶|Ben代墊|Ariel代墊|中信銀行共用""), REGEXMATCH(F6002, ""Ben帳戶|Elsa帳戶|Ben代墊|Ariel代墊|中信銀行共用"")), ""內部轉帳(忽略)"",
  AND(E6002&lt;&gt;"""", F6002&lt;&gt;"""", N"&amp;"OT(REGEXMATCH(C6002, ""薪資""))), ""內部轉帳(忽略)"",
  REGEXMATCH(C6002, ""薪資""), ""薪資變動(不計入)"",
  REGEXMATCH(C6002, ""押金""), ""押金往來"",
  AND(E6002&lt;&gt;"""", F6002=""""), ""真實支出"",
  AND(E6002="""", F6002&lt;&gt;""""), ""真實收入"",
  TRUE, ""其他""
)"),"其他")</f>
        <v>其他</v>
      </c>
      <c r="K6002" s="270" t="str">
        <f t="shared" si="2"/>
        <v/>
      </c>
      <c r="L6002">
        <f t="shared" si="3"/>
        <v>0</v>
      </c>
    </row>
    <row r="6003">
      <c r="A6003" s="107"/>
      <c r="D6003" s="270"/>
      <c r="H6003" s="106" t="str">
        <f t="shared" si="1"/>
        <v/>
      </c>
      <c r="J6003" t="str">
        <f>IFERROR(__xludf.DUMMYFUNCTION("IFS(
  AND(REGEXMATCH(E6003, ""台銀籌備帳戶|玉山帳戶""), REGEXMATCH(C6003, ""薪資"")), ""分潤支出"",
  AND(REGEXMATCH(E6003, ""Ben帳戶|Elsa帳戶|Ben代墊|Ariel代墊|中信銀行共用""), REGEXMATCH(F6003, ""Ben帳戶|Elsa帳戶|Ben代墊|Ariel代墊|中信銀行共用"")), ""內部轉帳(忽略)"",
  AND(E6003&lt;&gt;"""", F6003&lt;&gt;"""", N"&amp;"OT(REGEXMATCH(C6003, ""薪資""))), ""內部轉帳(忽略)"",
  REGEXMATCH(C6003, ""薪資""), ""薪資變動(不計入)"",
  REGEXMATCH(C6003, ""押金""), ""押金往來"",
  AND(E6003&lt;&gt;"""", F6003=""""), ""真實支出"",
  AND(E6003="""", F6003&lt;&gt;""""), ""真實收入"",
  TRUE, ""其他""
)"),"其他")</f>
        <v>其他</v>
      </c>
      <c r="K6003" s="270" t="str">
        <f t="shared" si="2"/>
        <v/>
      </c>
      <c r="L6003">
        <f t="shared" si="3"/>
        <v>0</v>
      </c>
    </row>
    <row r="6004">
      <c r="A6004" s="107"/>
      <c r="D6004" s="270"/>
      <c r="H6004" s="106" t="str">
        <f t="shared" si="1"/>
        <v/>
      </c>
      <c r="J6004" t="str">
        <f>IFERROR(__xludf.DUMMYFUNCTION("IFS(
  AND(REGEXMATCH(E6004, ""台銀籌備帳戶|玉山帳戶""), REGEXMATCH(C6004, ""薪資"")), ""分潤支出"",
  AND(REGEXMATCH(E6004, ""Ben帳戶|Elsa帳戶|Ben代墊|Ariel代墊|中信銀行共用""), REGEXMATCH(F6004, ""Ben帳戶|Elsa帳戶|Ben代墊|Ariel代墊|中信銀行共用"")), ""內部轉帳(忽略)"",
  AND(E6004&lt;&gt;"""", F6004&lt;&gt;"""", N"&amp;"OT(REGEXMATCH(C6004, ""薪資""))), ""內部轉帳(忽略)"",
  REGEXMATCH(C6004, ""薪資""), ""薪資變動(不計入)"",
  REGEXMATCH(C6004, ""押金""), ""押金往來"",
  AND(E6004&lt;&gt;"""", F6004=""""), ""真實支出"",
  AND(E6004="""", F6004&lt;&gt;""""), ""真實收入"",
  TRUE, ""其他""
)"),"其他")</f>
        <v>其他</v>
      </c>
      <c r="K6004" s="270" t="str">
        <f t="shared" si="2"/>
        <v/>
      </c>
      <c r="L6004">
        <f t="shared" si="3"/>
        <v>0</v>
      </c>
    </row>
    <row r="6005">
      <c r="A6005" s="107"/>
      <c r="D6005" s="270"/>
      <c r="H6005" s="106" t="str">
        <f t="shared" si="1"/>
        <v/>
      </c>
      <c r="J6005" t="str">
        <f>IFERROR(__xludf.DUMMYFUNCTION("IFS(
  AND(REGEXMATCH(E6005, ""台銀籌備帳戶|玉山帳戶""), REGEXMATCH(C6005, ""薪資"")), ""分潤支出"",
  AND(REGEXMATCH(E6005, ""Ben帳戶|Elsa帳戶|Ben代墊|Ariel代墊|中信銀行共用""), REGEXMATCH(F6005, ""Ben帳戶|Elsa帳戶|Ben代墊|Ariel代墊|中信銀行共用"")), ""內部轉帳(忽略)"",
  AND(E6005&lt;&gt;"""", F6005&lt;&gt;"""", N"&amp;"OT(REGEXMATCH(C6005, ""薪資""))), ""內部轉帳(忽略)"",
  REGEXMATCH(C6005, ""薪資""), ""薪資變動(不計入)"",
  REGEXMATCH(C6005, ""押金""), ""押金往來"",
  AND(E6005&lt;&gt;"""", F6005=""""), ""真實支出"",
  AND(E6005="""", F6005&lt;&gt;""""), ""真實收入"",
  TRUE, ""其他""
)"),"其他")</f>
        <v>其他</v>
      </c>
      <c r="K6005" s="270" t="str">
        <f t="shared" si="2"/>
        <v/>
      </c>
      <c r="L6005">
        <f t="shared" si="3"/>
        <v>0</v>
      </c>
    </row>
    <row r="6006">
      <c r="A6006" s="107"/>
      <c r="D6006" s="270"/>
      <c r="H6006" s="106" t="str">
        <f t="shared" si="1"/>
        <v/>
      </c>
      <c r="J6006" t="str">
        <f>IFERROR(__xludf.DUMMYFUNCTION("IFS(
  AND(REGEXMATCH(E6006, ""台銀籌備帳戶|玉山帳戶""), REGEXMATCH(C6006, ""薪資"")), ""分潤支出"",
  AND(REGEXMATCH(E6006, ""Ben帳戶|Elsa帳戶|Ben代墊|Ariel代墊|中信銀行共用""), REGEXMATCH(F6006, ""Ben帳戶|Elsa帳戶|Ben代墊|Ariel代墊|中信銀行共用"")), ""內部轉帳(忽略)"",
  AND(E6006&lt;&gt;"""", F6006&lt;&gt;"""", N"&amp;"OT(REGEXMATCH(C6006, ""薪資""))), ""內部轉帳(忽略)"",
  REGEXMATCH(C6006, ""薪資""), ""薪資變動(不計入)"",
  REGEXMATCH(C6006, ""押金""), ""押金往來"",
  AND(E6006&lt;&gt;"""", F6006=""""), ""真實支出"",
  AND(E6006="""", F6006&lt;&gt;""""), ""真實收入"",
  TRUE, ""其他""
)"),"其他")</f>
        <v>其他</v>
      </c>
      <c r="K6006" s="270" t="str">
        <f t="shared" si="2"/>
        <v/>
      </c>
      <c r="L6006">
        <f t="shared" si="3"/>
        <v>0</v>
      </c>
    </row>
    <row r="6007">
      <c r="A6007" s="107"/>
      <c r="D6007" s="270"/>
      <c r="H6007" s="106" t="str">
        <f t="shared" si="1"/>
        <v/>
      </c>
      <c r="J6007" t="str">
        <f>IFERROR(__xludf.DUMMYFUNCTION("IFS(
  AND(REGEXMATCH(E6007, ""台銀籌備帳戶|玉山帳戶""), REGEXMATCH(C6007, ""薪資"")), ""分潤支出"",
  AND(REGEXMATCH(E6007, ""Ben帳戶|Elsa帳戶|Ben代墊|Ariel代墊|中信銀行共用""), REGEXMATCH(F6007, ""Ben帳戶|Elsa帳戶|Ben代墊|Ariel代墊|中信銀行共用"")), ""內部轉帳(忽略)"",
  AND(E6007&lt;&gt;"""", F6007&lt;&gt;"""", N"&amp;"OT(REGEXMATCH(C6007, ""薪資""))), ""內部轉帳(忽略)"",
  REGEXMATCH(C6007, ""薪資""), ""薪資變動(不計入)"",
  REGEXMATCH(C6007, ""押金""), ""押金往來"",
  AND(E6007&lt;&gt;"""", F6007=""""), ""真實支出"",
  AND(E6007="""", F6007&lt;&gt;""""), ""真實收入"",
  TRUE, ""其他""
)"),"其他")</f>
        <v>其他</v>
      </c>
      <c r="K6007" s="270" t="str">
        <f t="shared" si="2"/>
        <v/>
      </c>
      <c r="L6007">
        <f t="shared" si="3"/>
        <v>0</v>
      </c>
    </row>
    <row r="6008">
      <c r="A6008" s="107"/>
      <c r="D6008" s="270"/>
      <c r="H6008" s="106" t="str">
        <f t="shared" si="1"/>
        <v/>
      </c>
      <c r="J6008" t="str">
        <f>IFERROR(__xludf.DUMMYFUNCTION("IFS(
  AND(REGEXMATCH(E6008, ""台銀籌備帳戶|玉山帳戶""), REGEXMATCH(C6008, ""薪資"")), ""分潤支出"",
  AND(REGEXMATCH(E6008, ""Ben帳戶|Elsa帳戶|Ben代墊|Ariel代墊|中信銀行共用""), REGEXMATCH(F6008, ""Ben帳戶|Elsa帳戶|Ben代墊|Ariel代墊|中信銀行共用"")), ""內部轉帳(忽略)"",
  AND(E6008&lt;&gt;"""", F6008&lt;&gt;"""", N"&amp;"OT(REGEXMATCH(C6008, ""薪資""))), ""內部轉帳(忽略)"",
  REGEXMATCH(C6008, ""薪資""), ""薪資變動(不計入)"",
  REGEXMATCH(C6008, ""押金""), ""押金往來"",
  AND(E6008&lt;&gt;"""", F6008=""""), ""真實支出"",
  AND(E6008="""", F6008&lt;&gt;""""), ""真實收入"",
  TRUE, ""其他""
)"),"其他")</f>
        <v>其他</v>
      </c>
      <c r="K6008" s="270" t="str">
        <f t="shared" si="2"/>
        <v/>
      </c>
      <c r="L6008">
        <f t="shared" si="3"/>
        <v>0</v>
      </c>
    </row>
    <row r="6009">
      <c r="A6009" s="107"/>
      <c r="D6009" s="270"/>
      <c r="H6009" s="106" t="str">
        <f t="shared" si="1"/>
        <v/>
      </c>
      <c r="J6009" t="str">
        <f>IFERROR(__xludf.DUMMYFUNCTION("IFS(
  AND(REGEXMATCH(E6009, ""台銀籌備帳戶|玉山帳戶""), REGEXMATCH(C6009, ""薪資"")), ""分潤支出"",
  AND(REGEXMATCH(E6009, ""Ben帳戶|Elsa帳戶|Ben代墊|Ariel代墊|中信銀行共用""), REGEXMATCH(F6009, ""Ben帳戶|Elsa帳戶|Ben代墊|Ariel代墊|中信銀行共用"")), ""內部轉帳(忽略)"",
  AND(E6009&lt;&gt;"""", F6009&lt;&gt;"""", N"&amp;"OT(REGEXMATCH(C6009, ""薪資""))), ""內部轉帳(忽略)"",
  REGEXMATCH(C6009, ""薪資""), ""薪資變動(不計入)"",
  REGEXMATCH(C6009, ""押金""), ""押金往來"",
  AND(E6009&lt;&gt;"""", F6009=""""), ""真實支出"",
  AND(E6009="""", F6009&lt;&gt;""""), ""真實收入"",
  TRUE, ""其他""
)"),"其他")</f>
        <v>其他</v>
      </c>
      <c r="K6009" s="270" t="str">
        <f t="shared" si="2"/>
        <v/>
      </c>
      <c r="L6009">
        <f t="shared" si="3"/>
        <v>0</v>
      </c>
    </row>
    <row r="6010">
      <c r="A6010" s="107"/>
      <c r="D6010" s="270"/>
      <c r="H6010" s="106" t="str">
        <f t="shared" si="1"/>
        <v/>
      </c>
      <c r="J6010" t="str">
        <f>IFERROR(__xludf.DUMMYFUNCTION("IFS(
  AND(REGEXMATCH(E6010, ""台銀籌備帳戶|玉山帳戶""), REGEXMATCH(C6010, ""薪資"")), ""分潤支出"",
  AND(REGEXMATCH(E6010, ""Ben帳戶|Elsa帳戶|Ben代墊|Ariel代墊|中信銀行共用""), REGEXMATCH(F6010, ""Ben帳戶|Elsa帳戶|Ben代墊|Ariel代墊|中信銀行共用"")), ""內部轉帳(忽略)"",
  AND(E6010&lt;&gt;"""", F6010&lt;&gt;"""", N"&amp;"OT(REGEXMATCH(C6010, ""薪資""))), ""內部轉帳(忽略)"",
  REGEXMATCH(C6010, ""薪資""), ""薪資變動(不計入)"",
  REGEXMATCH(C6010, ""押金""), ""押金往來"",
  AND(E6010&lt;&gt;"""", F6010=""""), ""真實支出"",
  AND(E6010="""", F6010&lt;&gt;""""), ""真實收入"",
  TRUE, ""其他""
)"),"其他")</f>
        <v>其他</v>
      </c>
      <c r="K6010" s="270" t="str">
        <f t="shared" si="2"/>
        <v/>
      </c>
      <c r="L6010">
        <f t="shared" si="3"/>
        <v>0</v>
      </c>
    </row>
    <row r="6011">
      <c r="A6011" s="107"/>
      <c r="D6011" s="270"/>
      <c r="H6011" s="106" t="str">
        <f t="shared" si="1"/>
        <v/>
      </c>
      <c r="J6011" t="str">
        <f>IFERROR(__xludf.DUMMYFUNCTION("IFS(
  AND(REGEXMATCH(E6011, ""台銀籌備帳戶|玉山帳戶""), REGEXMATCH(C6011, ""薪資"")), ""分潤支出"",
  AND(REGEXMATCH(E6011, ""Ben帳戶|Elsa帳戶|Ben代墊|Ariel代墊|中信銀行共用""), REGEXMATCH(F6011, ""Ben帳戶|Elsa帳戶|Ben代墊|Ariel代墊|中信銀行共用"")), ""內部轉帳(忽略)"",
  AND(E6011&lt;&gt;"""", F6011&lt;&gt;"""", N"&amp;"OT(REGEXMATCH(C6011, ""薪資""))), ""內部轉帳(忽略)"",
  REGEXMATCH(C6011, ""薪資""), ""薪資變動(不計入)"",
  REGEXMATCH(C6011, ""押金""), ""押金往來"",
  AND(E6011&lt;&gt;"""", F6011=""""), ""真實支出"",
  AND(E6011="""", F6011&lt;&gt;""""), ""真實收入"",
  TRUE, ""其他""
)"),"其他")</f>
        <v>其他</v>
      </c>
      <c r="K6011" s="270" t="str">
        <f t="shared" si="2"/>
        <v/>
      </c>
      <c r="L6011">
        <f t="shared" si="3"/>
        <v>0</v>
      </c>
    </row>
    <row r="6012">
      <c r="A6012" s="107"/>
      <c r="D6012" s="270"/>
      <c r="H6012" s="106" t="str">
        <f t="shared" si="1"/>
        <v/>
      </c>
      <c r="J6012" t="str">
        <f>IFERROR(__xludf.DUMMYFUNCTION("IFS(
  AND(REGEXMATCH(E6012, ""台銀籌備帳戶|玉山帳戶""), REGEXMATCH(C6012, ""薪資"")), ""分潤支出"",
  AND(REGEXMATCH(E6012, ""Ben帳戶|Elsa帳戶|Ben代墊|Ariel代墊|中信銀行共用""), REGEXMATCH(F6012, ""Ben帳戶|Elsa帳戶|Ben代墊|Ariel代墊|中信銀行共用"")), ""內部轉帳(忽略)"",
  AND(E6012&lt;&gt;"""", F6012&lt;&gt;"""", N"&amp;"OT(REGEXMATCH(C6012, ""薪資""))), ""內部轉帳(忽略)"",
  REGEXMATCH(C6012, ""薪資""), ""薪資變動(不計入)"",
  REGEXMATCH(C6012, ""押金""), ""押金往來"",
  AND(E6012&lt;&gt;"""", F6012=""""), ""真實支出"",
  AND(E6012="""", F6012&lt;&gt;""""), ""真實收入"",
  TRUE, ""其他""
)"),"其他")</f>
        <v>其他</v>
      </c>
      <c r="K6012" s="270" t="str">
        <f t="shared" si="2"/>
        <v/>
      </c>
      <c r="L6012">
        <f t="shared" si="3"/>
        <v>0</v>
      </c>
    </row>
    <row r="6013">
      <c r="A6013" s="107"/>
      <c r="D6013" s="270"/>
      <c r="H6013" s="106" t="str">
        <f t="shared" si="1"/>
        <v/>
      </c>
      <c r="J6013" t="str">
        <f>IFERROR(__xludf.DUMMYFUNCTION("IFS(
  AND(REGEXMATCH(E6013, ""台銀籌備帳戶|玉山帳戶""), REGEXMATCH(C6013, ""薪資"")), ""分潤支出"",
  AND(REGEXMATCH(E6013, ""Ben帳戶|Elsa帳戶|Ben代墊|Ariel代墊|中信銀行共用""), REGEXMATCH(F6013, ""Ben帳戶|Elsa帳戶|Ben代墊|Ariel代墊|中信銀行共用"")), ""內部轉帳(忽略)"",
  AND(E6013&lt;&gt;"""", F6013&lt;&gt;"""", N"&amp;"OT(REGEXMATCH(C6013, ""薪資""))), ""內部轉帳(忽略)"",
  REGEXMATCH(C6013, ""薪資""), ""薪資變動(不計入)"",
  REGEXMATCH(C6013, ""押金""), ""押金往來"",
  AND(E6013&lt;&gt;"""", F6013=""""), ""真實支出"",
  AND(E6013="""", F6013&lt;&gt;""""), ""真實收入"",
  TRUE, ""其他""
)"),"其他")</f>
        <v>其他</v>
      </c>
      <c r="K6013" s="270" t="str">
        <f t="shared" si="2"/>
        <v/>
      </c>
      <c r="L6013">
        <f t="shared" si="3"/>
        <v>0</v>
      </c>
    </row>
    <row r="6014">
      <c r="A6014" s="107"/>
      <c r="D6014" s="270"/>
      <c r="H6014" s="106" t="str">
        <f t="shared" si="1"/>
        <v/>
      </c>
      <c r="J6014" t="str">
        <f>IFERROR(__xludf.DUMMYFUNCTION("IFS(
  AND(REGEXMATCH(E6014, ""台銀籌備帳戶|玉山帳戶""), REGEXMATCH(C6014, ""薪資"")), ""分潤支出"",
  AND(REGEXMATCH(E6014, ""Ben帳戶|Elsa帳戶|Ben代墊|Ariel代墊|中信銀行共用""), REGEXMATCH(F6014, ""Ben帳戶|Elsa帳戶|Ben代墊|Ariel代墊|中信銀行共用"")), ""內部轉帳(忽略)"",
  AND(E6014&lt;&gt;"""", F6014&lt;&gt;"""", N"&amp;"OT(REGEXMATCH(C6014, ""薪資""))), ""內部轉帳(忽略)"",
  REGEXMATCH(C6014, ""薪資""), ""薪資變動(不計入)"",
  REGEXMATCH(C6014, ""押金""), ""押金往來"",
  AND(E6014&lt;&gt;"""", F6014=""""), ""真實支出"",
  AND(E6014="""", F6014&lt;&gt;""""), ""真實收入"",
  TRUE, ""其他""
)"),"其他")</f>
        <v>其他</v>
      </c>
      <c r="K6014" s="270" t="str">
        <f t="shared" si="2"/>
        <v/>
      </c>
      <c r="L6014">
        <f t="shared" si="3"/>
        <v>0</v>
      </c>
    </row>
    <row r="6015">
      <c r="A6015" s="107"/>
      <c r="D6015" s="270"/>
      <c r="H6015" s="106" t="str">
        <f t="shared" si="1"/>
        <v/>
      </c>
      <c r="J6015" t="str">
        <f>IFERROR(__xludf.DUMMYFUNCTION("IFS(
  AND(REGEXMATCH(E6015, ""台銀籌備帳戶|玉山帳戶""), REGEXMATCH(C6015, ""薪資"")), ""分潤支出"",
  AND(REGEXMATCH(E6015, ""Ben帳戶|Elsa帳戶|Ben代墊|Ariel代墊|中信銀行共用""), REGEXMATCH(F6015, ""Ben帳戶|Elsa帳戶|Ben代墊|Ariel代墊|中信銀行共用"")), ""內部轉帳(忽略)"",
  AND(E6015&lt;&gt;"""", F6015&lt;&gt;"""", N"&amp;"OT(REGEXMATCH(C6015, ""薪資""))), ""內部轉帳(忽略)"",
  REGEXMATCH(C6015, ""薪資""), ""薪資變動(不計入)"",
  REGEXMATCH(C6015, ""押金""), ""押金往來"",
  AND(E6015&lt;&gt;"""", F6015=""""), ""真實支出"",
  AND(E6015="""", F6015&lt;&gt;""""), ""真實收入"",
  TRUE, ""其他""
)"),"其他")</f>
        <v>其他</v>
      </c>
      <c r="K6015" s="270" t="str">
        <f t="shared" si="2"/>
        <v/>
      </c>
      <c r="L6015">
        <f t="shared" si="3"/>
        <v>0</v>
      </c>
    </row>
    <row r="6016">
      <c r="A6016" s="107"/>
      <c r="D6016" s="270"/>
      <c r="H6016" s="106" t="str">
        <f t="shared" si="1"/>
        <v/>
      </c>
      <c r="J6016" t="str">
        <f>IFERROR(__xludf.DUMMYFUNCTION("IFS(
  AND(REGEXMATCH(E6016, ""台銀籌備帳戶|玉山帳戶""), REGEXMATCH(C6016, ""薪資"")), ""分潤支出"",
  AND(REGEXMATCH(E6016, ""Ben帳戶|Elsa帳戶|Ben代墊|Ariel代墊|中信銀行共用""), REGEXMATCH(F6016, ""Ben帳戶|Elsa帳戶|Ben代墊|Ariel代墊|中信銀行共用"")), ""內部轉帳(忽略)"",
  AND(E6016&lt;&gt;"""", F6016&lt;&gt;"""", N"&amp;"OT(REGEXMATCH(C6016, ""薪資""))), ""內部轉帳(忽略)"",
  REGEXMATCH(C6016, ""薪資""), ""薪資變動(不計入)"",
  REGEXMATCH(C6016, ""押金""), ""押金往來"",
  AND(E6016&lt;&gt;"""", F6016=""""), ""真實支出"",
  AND(E6016="""", F6016&lt;&gt;""""), ""真實收入"",
  TRUE, ""其他""
)"),"其他")</f>
        <v>其他</v>
      </c>
      <c r="K6016" s="270" t="str">
        <f t="shared" si="2"/>
        <v/>
      </c>
      <c r="L6016">
        <f t="shared" si="3"/>
        <v>0</v>
      </c>
    </row>
    <row r="6017">
      <c r="A6017" s="107"/>
      <c r="D6017" s="270"/>
      <c r="H6017" s="106" t="str">
        <f t="shared" si="1"/>
        <v/>
      </c>
      <c r="J6017" t="str">
        <f>IFERROR(__xludf.DUMMYFUNCTION("IFS(
  AND(REGEXMATCH(E6017, ""台銀籌備帳戶|玉山帳戶""), REGEXMATCH(C6017, ""薪資"")), ""分潤支出"",
  AND(REGEXMATCH(E6017, ""Ben帳戶|Elsa帳戶|Ben代墊|Ariel代墊|中信銀行共用""), REGEXMATCH(F6017, ""Ben帳戶|Elsa帳戶|Ben代墊|Ariel代墊|中信銀行共用"")), ""內部轉帳(忽略)"",
  AND(E6017&lt;&gt;"""", F6017&lt;&gt;"""", N"&amp;"OT(REGEXMATCH(C6017, ""薪資""))), ""內部轉帳(忽略)"",
  REGEXMATCH(C6017, ""薪資""), ""薪資變動(不計入)"",
  REGEXMATCH(C6017, ""押金""), ""押金往來"",
  AND(E6017&lt;&gt;"""", F6017=""""), ""真實支出"",
  AND(E6017="""", F6017&lt;&gt;""""), ""真實收入"",
  TRUE, ""其他""
)"),"其他")</f>
        <v>其他</v>
      </c>
      <c r="K6017" s="270" t="str">
        <f t="shared" si="2"/>
        <v/>
      </c>
      <c r="L6017">
        <f t="shared" si="3"/>
        <v>0</v>
      </c>
    </row>
    <row r="6018">
      <c r="A6018" s="107"/>
      <c r="D6018" s="270"/>
      <c r="H6018" s="106" t="str">
        <f t="shared" si="1"/>
        <v/>
      </c>
      <c r="J6018" t="str">
        <f>IFERROR(__xludf.DUMMYFUNCTION("IFS(
  AND(REGEXMATCH(E6018, ""台銀籌備帳戶|玉山帳戶""), REGEXMATCH(C6018, ""薪資"")), ""分潤支出"",
  AND(REGEXMATCH(E6018, ""Ben帳戶|Elsa帳戶|Ben代墊|Ariel代墊|中信銀行共用""), REGEXMATCH(F6018, ""Ben帳戶|Elsa帳戶|Ben代墊|Ariel代墊|中信銀行共用"")), ""內部轉帳(忽略)"",
  AND(E6018&lt;&gt;"""", F6018&lt;&gt;"""", N"&amp;"OT(REGEXMATCH(C6018, ""薪資""))), ""內部轉帳(忽略)"",
  REGEXMATCH(C6018, ""薪資""), ""薪資變動(不計入)"",
  REGEXMATCH(C6018, ""押金""), ""押金往來"",
  AND(E6018&lt;&gt;"""", F6018=""""), ""真實支出"",
  AND(E6018="""", F6018&lt;&gt;""""), ""真實收入"",
  TRUE, ""其他""
)"),"其他")</f>
        <v>其他</v>
      </c>
      <c r="K6018" s="270" t="str">
        <f t="shared" si="2"/>
        <v/>
      </c>
      <c r="L6018">
        <f t="shared" si="3"/>
        <v>0</v>
      </c>
    </row>
    <row r="6019">
      <c r="A6019" s="107"/>
      <c r="D6019" s="270"/>
      <c r="H6019" s="106" t="str">
        <f t="shared" si="1"/>
        <v/>
      </c>
      <c r="J6019" t="str">
        <f>IFERROR(__xludf.DUMMYFUNCTION("IFS(
  AND(REGEXMATCH(E6019, ""台銀籌備帳戶|玉山帳戶""), REGEXMATCH(C6019, ""薪資"")), ""分潤支出"",
  AND(REGEXMATCH(E6019, ""Ben帳戶|Elsa帳戶|Ben代墊|Ariel代墊|中信銀行共用""), REGEXMATCH(F6019, ""Ben帳戶|Elsa帳戶|Ben代墊|Ariel代墊|中信銀行共用"")), ""內部轉帳(忽略)"",
  AND(E6019&lt;&gt;"""", F6019&lt;&gt;"""", N"&amp;"OT(REGEXMATCH(C6019, ""薪資""))), ""內部轉帳(忽略)"",
  REGEXMATCH(C6019, ""薪資""), ""薪資變動(不計入)"",
  REGEXMATCH(C6019, ""押金""), ""押金往來"",
  AND(E6019&lt;&gt;"""", F6019=""""), ""真實支出"",
  AND(E6019="""", F6019&lt;&gt;""""), ""真實收入"",
  TRUE, ""其他""
)"),"其他")</f>
        <v>其他</v>
      </c>
      <c r="K6019" s="270" t="str">
        <f t="shared" si="2"/>
        <v/>
      </c>
      <c r="L6019">
        <f t="shared" si="3"/>
        <v>0</v>
      </c>
    </row>
    <row r="6020">
      <c r="A6020" s="107"/>
      <c r="D6020" s="270"/>
      <c r="H6020" s="106" t="str">
        <f t="shared" si="1"/>
        <v/>
      </c>
      <c r="J6020" t="str">
        <f>IFERROR(__xludf.DUMMYFUNCTION("IFS(
  AND(REGEXMATCH(E6020, ""台銀籌備帳戶|玉山帳戶""), REGEXMATCH(C6020, ""薪資"")), ""分潤支出"",
  AND(REGEXMATCH(E6020, ""Ben帳戶|Elsa帳戶|Ben代墊|Ariel代墊|中信銀行共用""), REGEXMATCH(F6020, ""Ben帳戶|Elsa帳戶|Ben代墊|Ariel代墊|中信銀行共用"")), ""內部轉帳(忽略)"",
  AND(E6020&lt;&gt;"""", F6020&lt;&gt;"""", N"&amp;"OT(REGEXMATCH(C6020, ""薪資""))), ""內部轉帳(忽略)"",
  REGEXMATCH(C6020, ""薪資""), ""薪資變動(不計入)"",
  REGEXMATCH(C6020, ""押金""), ""押金往來"",
  AND(E6020&lt;&gt;"""", F6020=""""), ""真實支出"",
  AND(E6020="""", F6020&lt;&gt;""""), ""真實收入"",
  TRUE, ""其他""
)"),"其他")</f>
        <v>其他</v>
      </c>
      <c r="K6020" s="270" t="str">
        <f t="shared" si="2"/>
        <v/>
      </c>
      <c r="L6020">
        <f t="shared" si="3"/>
        <v>0</v>
      </c>
    </row>
    <row r="6021">
      <c r="A6021" s="107"/>
      <c r="D6021" s="270"/>
      <c r="H6021" s="106" t="str">
        <f t="shared" si="1"/>
        <v/>
      </c>
      <c r="J6021" t="str">
        <f>IFERROR(__xludf.DUMMYFUNCTION("IFS(
  AND(REGEXMATCH(E6021, ""台銀籌備帳戶|玉山帳戶""), REGEXMATCH(C6021, ""薪資"")), ""分潤支出"",
  AND(REGEXMATCH(E6021, ""Ben帳戶|Elsa帳戶|Ben代墊|Ariel代墊|中信銀行共用""), REGEXMATCH(F6021, ""Ben帳戶|Elsa帳戶|Ben代墊|Ariel代墊|中信銀行共用"")), ""內部轉帳(忽略)"",
  AND(E6021&lt;&gt;"""", F6021&lt;&gt;"""", N"&amp;"OT(REGEXMATCH(C6021, ""薪資""))), ""內部轉帳(忽略)"",
  REGEXMATCH(C6021, ""薪資""), ""薪資變動(不計入)"",
  REGEXMATCH(C6021, ""押金""), ""押金往來"",
  AND(E6021&lt;&gt;"""", F6021=""""), ""真實支出"",
  AND(E6021="""", F6021&lt;&gt;""""), ""真實收入"",
  TRUE, ""其他""
)"),"其他")</f>
        <v>其他</v>
      </c>
      <c r="K6021" s="270" t="str">
        <f t="shared" si="2"/>
        <v/>
      </c>
      <c r="L6021">
        <f t="shared" si="3"/>
        <v>0</v>
      </c>
    </row>
    <row r="6022">
      <c r="A6022" s="107"/>
      <c r="D6022" s="270"/>
      <c r="H6022" s="106" t="str">
        <f t="shared" si="1"/>
        <v/>
      </c>
      <c r="J6022" t="str">
        <f>IFERROR(__xludf.DUMMYFUNCTION("IFS(
  AND(REGEXMATCH(E6022, ""台銀籌備帳戶|玉山帳戶""), REGEXMATCH(C6022, ""薪資"")), ""分潤支出"",
  AND(REGEXMATCH(E6022, ""Ben帳戶|Elsa帳戶|Ben代墊|Ariel代墊|中信銀行共用""), REGEXMATCH(F6022, ""Ben帳戶|Elsa帳戶|Ben代墊|Ariel代墊|中信銀行共用"")), ""內部轉帳(忽略)"",
  AND(E6022&lt;&gt;"""", F6022&lt;&gt;"""", N"&amp;"OT(REGEXMATCH(C6022, ""薪資""))), ""內部轉帳(忽略)"",
  REGEXMATCH(C6022, ""薪資""), ""薪資變動(不計入)"",
  REGEXMATCH(C6022, ""押金""), ""押金往來"",
  AND(E6022&lt;&gt;"""", F6022=""""), ""真實支出"",
  AND(E6022="""", F6022&lt;&gt;""""), ""真實收入"",
  TRUE, ""其他""
)"),"其他")</f>
        <v>其他</v>
      </c>
      <c r="K6022" s="270" t="str">
        <f t="shared" si="2"/>
        <v/>
      </c>
      <c r="L6022">
        <f t="shared" si="3"/>
        <v>0</v>
      </c>
    </row>
    <row r="6023">
      <c r="A6023" s="107"/>
      <c r="D6023" s="270"/>
      <c r="H6023" s="106" t="str">
        <f t="shared" si="1"/>
        <v/>
      </c>
      <c r="J6023" t="str">
        <f>IFERROR(__xludf.DUMMYFUNCTION("IFS(
  AND(REGEXMATCH(E6023, ""台銀籌備帳戶|玉山帳戶""), REGEXMATCH(C6023, ""薪資"")), ""分潤支出"",
  AND(REGEXMATCH(E6023, ""Ben帳戶|Elsa帳戶|Ben代墊|Ariel代墊|中信銀行共用""), REGEXMATCH(F6023, ""Ben帳戶|Elsa帳戶|Ben代墊|Ariel代墊|中信銀行共用"")), ""內部轉帳(忽略)"",
  AND(E6023&lt;&gt;"""", F6023&lt;&gt;"""", N"&amp;"OT(REGEXMATCH(C6023, ""薪資""))), ""內部轉帳(忽略)"",
  REGEXMATCH(C6023, ""薪資""), ""薪資變動(不計入)"",
  REGEXMATCH(C6023, ""押金""), ""押金往來"",
  AND(E6023&lt;&gt;"""", F6023=""""), ""真實支出"",
  AND(E6023="""", F6023&lt;&gt;""""), ""真實收入"",
  TRUE, ""其他""
)"),"其他")</f>
        <v>其他</v>
      </c>
      <c r="K6023" s="270" t="str">
        <f t="shared" si="2"/>
        <v/>
      </c>
      <c r="L6023">
        <f t="shared" si="3"/>
        <v>0</v>
      </c>
    </row>
    <row r="6024">
      <c r="A6024" s="107"/>
      <c r="D6024" s="270"/>
      <c r="H6024" s="106" t="str">
        <f t="shared" si="1"/>
        <v/>
      </c>
      <c r="J6024" t="str">
        <f>IFERROR(__xludf.DUMMYFUNCTION("IFS(
  AND(REGEXMATCH(E6024, ""台銀籌備帳戶|玉山帳戶""), REGEXMATCH(C6024, ""薪資"")), ""分潤支出"",
  AND(REGEXMATCH(E6024, ""Ben帳戶|Elsa帳戶|Ben代墊|Ariel代墊|中信銀行共用""), REGEXMATCH(F6024, ""Ben帳戶|Elsa帳戶|Ben代墊|Ariel代墊|中信銀行共用"")), ""內部轉帳(忽略)"",
  AND(E6024&lt;&gt;"""", F6024&lt;&gt;"""", N"&amp;"OT(REGEXMATCH(C6024, ""薪資""))), ""內部轉帳(忽略)"",
  REGEXMATCH(C6024, ""薪資""), ""薪資變動(不計入)"",
  REGEXMATCH(C6024, ""押金""), ""押金往來"",
  AND(E6024&lt;&gt;"""", F6024=""""), ""真實支出"",
  AND(E6024="""", F6024&lt;&gt;""""), ""真實收入"",
  TRUE, ""其他""
)"),"其他")</f>
        <v>其他</v>
      </c>
      <c r="K6024" s="270" t="str">
        <f t="shared" si="2"/>
        <v/>
      </c>
      <c r="L6024">
        <f t="shared" si="3"/>
        <v>0</v>
      </c>
    </row>
    <row r="6025">
      <c r="A6025" s="107"/>
      <c r="D6025" s="270"/>
      <c r="H6025" s="106" t="str">
        <f t="shared" si="1"/>
        <v/>
      </c>
      <c r="J6025" t="str">
        <f>IFERROR(__xludf.DUMMYFUNCTION("IFS(
  AND(REGEXMATCH(E6025, ""台銀籌備帳戶|玉山帳戶""), REGEXMATCH(C6025, ""薪資"")), ""分潤支出"",
  AND(REGEXMATCH(E6025, ""Ben帳戶|Elsa帳戶|Ben代墊|Ariel代墊|中信銀行共用""), REGEXMATCH(F6025, ""Ben帳戶|Elsa帳戶|Ben代墊|Ariel代墊|中信銀行共用"")), ""內部轉帳(忽略)"",
  AND(E6025&lt;&gt;"""", F6025&lt;&gt;"""", N"&amp;"OT(REGEXMATCH(C6025, ""薪資""))), ""內部轉帳(忽略)"",
  REGEXMATCH(C6025, ""薪資""), ""薪資變動(不計入)"",
  REGEXMATCH(C6025, ""押金""), ""押金往來"",
  AND(E6025&lt;&gt;"""", F6025=""""), ""真實支出"",
  AND(E6025="""", F6025&lt;&gt;""""), ""真實收入"",
  TRUE, ""其他""
)"),"其他")</f>
        <v>其他</v>
      </c>
      <c r="K6025" s="270" t="str">
        <f t="shared" si="2"/>
        <v/>
      </c>
      <c r="L6025">
        <f t="shared" si="3"/>
        <v>0</v>
      </c>
    </row>
    <row r="6026">
      <c r="A6026" s="107"/>
      <c r="D6026" s="270"/>
      <c r="H6026" s="106" t="str">
        <f t="shared" si="1"/>
        <v/>
      </c>
      <c r="J6026" t="str">
        <f>IFERROR(__xludf.DUMMYFUNCTION("IFS(
  AND(REGEXMATCH(E6026, ""台銀籌備帳戶|玉山帳戶""), REGEXMATCH(C6026, ""薪資"")), ""分潤支出"",
  AND(REGEXMATCH(E6026, ""Ben帳戶|Elsa帳戶|Ben代墊|Ariel代墊|中信銀行共用""), REGEXMATCH(F6026, ""Ben帳戶|Elsa帳戶|Ben代墊|Ariel代墊|中信銀行共用"")), ""內部轉帳(忽略)"",
  AND(E6026&lt;&gt;"""", F6026&lt;&gt;"""", N"&amp;"OT(REGEXMATCH(C6026, ""薪資""))), ""內部轉帳(忽略)"",
  REGEXMATCH(C6026, ""薪資""), ""薪資變動(不計入)"",
  REGEXMATCH(C6026, ""押金""), ""押金往來"",
  AND(E6026&lt;&gt;"""", F6026=""""), ""真實支出"",
  AND(E6026="""", F6026&lt;&gt;""""), ""真實收入"",
  TRUE, ""其他""
)"),"其他")</f>
        <v>其他</v>
      </c>
      <c r="K6026" s="270" t="str">
        <f t="shared" si="2"/>
        <v/>
      </c>
      <c r="L6026">
        <f t="shared" si="3"/>
        <v>0</v>
      </c>
    </row>
    <row r="6027">
      <c r="A6027" s="107"/>
      <c r="D6027" s="270"/>
      <c r="H6027" s="106" t="str">
        <f t="shared" si="1"/>
        <v/>
      </c>
      <c r="J6027" t="str">
        <f>IFERROR(__xludf.DUMMYFUNCTION("IFS(
  AND(REGEXMATCH(E6027, ""台銀籌備帳戶|玉山帳戶""), REGEXMATCH(C6027, ""薪資"")), ""分潤支出"",
  AND(REGEXMATCH(E6027, ""Ben帳戶|Elsa帳戶|Ben代墊|Ariel代墊|中信銀行共用""), REGEXMATCH(F6027, ""Ben帳戶|Elsa帳戶|Ben代墊|Ariel代墊|中信銀行共用"")), ""內部轉帳(忽略)"",
  AND(E6027&lt;&gt;"""", F6027&lt;&gt;"""", N"&amp;"OT(REGEXMATCH(C6027, ""薪資""))), ""內部轉帳(忽略)"",
  REGEXMATCH(C6027, ""薪資""), ""薪資變動(不計入)"",
  REGEXMATCH(C6027, ""押金""), ""押金往來"",
  AND(E6027&lt;&gt;"""", F6027=""""), ""真實支出"",
  AND(E6027="""", F6027&lt;&gt;""""), ""真實收入"",
  TRUE, ""其他""
)"),"其他")</f>
        <v>其他</v>
      </c>
      <c r="K6027" s="270" t="str">
        <f t="shared" si="2"/>
        <v/>
      </c>
      <c r="L6027">
        <f t="shared" si="3"/>
        <v>0</v>
      </c>
    </row>
    <row r="6028">
      <c r="A6028" s="107"/>
      <c r="D6028" s="270"/>
      <c r="H6028" s="106" t="str">
        <f t="shared" si="1"/>
        <v/>
      </c>
      <c r="J6028" t="str">
        <f>IFERROR(__xludf.DUMMYFUNCTION("IFS(
  AND(REGEXMATCH(E6028, ""台銀籌備帳戶|玉山帳戶""), REGEXMATCH(C6028, ""薪資"")), ""分潤支出"",
  AND(REGEXMATCH(E6028, ""Ben帳戶|Elsa帳戶|Ben代墊|Ariel代墊|中信銀行共用""), REGEXMATCH(F6028, ""Ben帳戶|Elsa帳戶|Ben代墊|Ariel代墊|中信銀行共用"")), ""內部轉帳(忽略)"",
  AND(E6028&lt;&gt;"""", F6028&lt;&gt;"""", N"&amp;"OT(REGEXMATCH(C6028, ""薪資""))), ""內部轉帳(忽略)"",
  REGEXMATCH(C6028, ""薪資""), ""薪資變動(不計入)"",
  REGEXMATCH(C6028, ""押金""), ""押金往來"",
  AND(E6028&lt;&gt;"""", F6028=""""), ""真實支出"",
  AND(E6028="""", F6028&lt;&gt;""""), ""真實收入"",
  TRUE, ""其他""
)"),"其他")</f>
        <v>其他</v>
      </c>
      <c r="K6028" s="270" t="str">
        <f t="shared" si="2"/>
        <v/>
      </c>
      <c r="L6028">
        <f t="shared" si="3"/>
        <v>0</v>
      </c>
    </row>
    <row r="6029">
      <c r="A6029" s="107"/>
      <c r="D6029" s="270"/>
      <c r="H6029" s="106" t="str">
        <f t="shared" si="1"/>
        <v/>
      </c>
      <c r="J6029" t="str">
        <f>IFERROR(__xludf.DUMMYFUNCTION("IFS(
  AND(REGEXMATCH(E6029, ""台銀籌備帳戶|玉山帳戶""), REGEXMATCH(C6029, ""薪資"")), ""分潤支出"",
  AND(REGEXMATCH(E6029, ""Ben帳戶|Elsa帳戶|Ben代墊|Ariel代墊|中信銀行共用""), REGEXMATCH(F6029, ""Ben帳戶|Elsa帳戶|Ben代墊|Ariel代墊|中信銀行共用"")), ""內部轉帳(忽略)"",
  AND(E6029&lt;&gt;"""", F6029&lt;&gt;"""", N"&amp;"OT(REGEXMATCH(C6029, ""薪資""))), ""內部轉帳(忽略)"",
  REGEXMATCH(C6029, ""薪資""), ""薪資變動(不計入)"",
  REGEXMATCH(C6029, ""押金""), ""押金往來"",
  AND(E6029&lt;&gt;"""", F6029=""""), ""真實支出"",
  AND(E6029="""", F6029&lt;&gt;""""), ""真實收入"",
  TRUE, ""其他""
)"),"其他")</f>
        <v>其他</v>
      </c>
      <c r="K6029" s="270" t="str">
        <f t="shared" si="2"/>
        <v/>
      </c>
      <c r="L6029">
        <f t="shared" si="3"/>
        <v>0</v>
      </c>
    </row>
    <row r="6030">
      <c r="A6030" s="107"/>
      <c r="D6030" s="270"/>
      <c r="H6030" s="106" t="str">
        <f t="shared" si="1"/>
        <v/>
      </c>
      <c r="J6030" t="str">
        <f>IFERROR(__xludf.DUMMYFUNCTION("IFS(
  AND(REGEXMATCH(E6030, ""台銀籌備帳戶|玉山帳戶""), REGEXMATCH(C6030, ""薪資"")), ""分潤支出"",
  AND(REGEXMATCH(E6030, ""Ben帳戶|Elsa帳戶|Ben代墊|Ariel代墊|中信銀行共用""), REGEXMATCH(F6030, ""Ben帳戶|Elsa帳戶|Ben代墊|Ariel代墊|中信銀行共用"")), ""內部轉帳(忽略)"",
  AND(E6030&lt;&gt;"""", F6030&lt;&gt;"""", N"&amp;"OT(REGEXMATCH(C6030, ""薪資""))), ""內部轉帳(忽略)"",
  REGEXMATCH(C6030, ""薪資""), ""薪資變動(不計入)"",
  REGEXMATCH(C6030, ""押金""), ""押金往來"",
  AND(E6030&lt;&gt;"""", F6030=""""), ""真實支出"",
  AND(E6030="""", F6030&lt;&gt;""""), ""真實收入"",
  TRUE, ""其他""
)"),"其他")</f>
        <v>其他</v>
      </c>
      <c r="K6030" s="270" t="str">
        <f t="shared" si="2"/>
        <v/>
      </c>
      <c r="L6030">
        <f t="shared" si="3"/>
        <v>0</v>
      </c>
    </row>
    <row r="6031">
      <c r="A6031" s="107"/>
      <c r="D6031" s="270"/>
      <c r="H6031" s="106" t="str">
        <f t="shared" si="1"/>
        <v/>
      </c>
      <c r="J6031" t="str">
        <f>IFERROR(__xludf.DUMMYFUNCTION("IFS(
  AND(REGEXMATCH(E6031, ""台銀籌備帳戶|玉山帳戶""), REGEXMATCH(C6031, ""薪資"")), ""分潤支出"",
  AND(REGEXMATCH(E6031, ""Ben帳戶|Elsa帳戶|Ben代墊|Ariel代墊|中信銀行共用""), REGEXMATCH(F6031, ""Ben帳戶|Elsa帳戶|Ben代墊|Ariel代墊|中信銀行共用"")), ""內部轉帳(忽略)"",
  AND(E6031&lt;&gt;"""", F6031&lt;&gt;"""", N"&amp;"OT(REGEXMATCH(C6031, ""薪資""))), ""內部轉帳(忽略)"",
  REGEXMATCH(C6031, ""薪資""), ""薪資變動(不計入)"",
  REGEXMATCH(C6031, ""押金""), ""押金往來"",
  AND(E6031&lt;&gt;"""", F6031=""""), ""真實支出"",
  AND(E6031="""", F6031&lt;&gt;""""), ""真實收入"",
  TRUE, ""其他""
)"),"其他")</f>
        <v>其他</v>
      </c>
      <c r="K6031" s="270" t="str">
        <f t="shared" si="2"/>
        <v/>
      </c>
      <c r="L6031">
        <f t="shared" si="3"/>
        <v>0</v>
      </c>
    </row>
    <row r="6032">
      <c r="A6032" s="107"/>
      <c r="D6032" s="270"/>
      <c r="H6032" s="106" t="str">
        <f t="shared" si="1"/>
        <v/>
      </c>
      <c r="J6032" t="str">
        <f>IFERROR(__xludf.DUMMYFUNCTION("IFS(
  AND(REGEXMATCH(E6032, ""台銀籌備帳戶|玉山帳戶""), REGEXMATCH(C6032, ""薪資"")), ""分潤支出"",
  AND(REGEXMATCH(E6032, ""Ben帳戶|Elsa帳戶|Ben代墊|Ariel代墊|中信銀行共用""), REGEXMATCH(F6032, ""Ben帳戶|Elsa帳戶|Ben代墊|Ariel代墊|中信銀行共用"")), ""內部轉帳(忽略)"",
  AND(E6032&lt;&gt;"""", F6032&lt;&gt;"""", N"&amp;"OT(REGEXMATCH(C6032, ""薪資""))), ""內部轉帳(忽略)"",
  REGEXMATCH(C6032, ""薪資""), ""薪資變動(不計入)"",
  REGEXMATCH(C6032, ""押金""), ""押金往來"",
  AND(E6032&lt;&gt;"""", F6032=""""), ""真實支出"",
  AND(E6032="""", F6032&lt;&gt;""""), ""真實收入"",
  TRUE, ""其他""
)"),"其他")</f>
        <v>其他</v>
      </c>
      <c r="K6032" s="270" t="str">
        <f t="shared" si="2"/>
        <v/>
      </c>
      <c r="L6032">
        <f t="shared" si="3"/>
        <v>0</v>
      </c>
    </row>
    <row r="6033">
      <c r="A6033" s="107"/>
      <c r="D6033" s="270"/>
      <c r="H6033" s="106" t="str">
        <f t="shared" si="1"/>
        <v/>
      </c>
      <c r="J6033" t="str">
        <f>IFERROR(__xludf.DUMMYFUNCTION("IFS(
  AND(REGEXMATCH(E6033, ""台銀籌備帳戶|玉山帳戶""), REGEXMATCH(C6033, ""薪資"")), ""分潤支出"",
  AND(REGEXMATCH(E6033, ""Ben帳戶|Elsa帳戶|Ben代墊|Ariel代墊|中信銀行共用""), REGEXMATCH(F6033, ""Ben帳戶|Elsa帳戶|Ben代墊|Ariel代墊|中信銀行共用"")), ""內部轉帳(忽略)"",
  AND(E6033&lt;&gt;"""", F6033&lt;&gt;"""", N"&amp;"OT(REGEXMATCH(C6033, ""薪資""))), ""內部轉帳(忽略)"",
  REGEXMATCH(C6033, ""薪資""), ""薪資變動(不計入)"",
  REGEXMATCH(C6033, ""押金""), ""押金往來"",
  AND(E6033&lt;&gt;"""", F6033=""""), ""真實支出"",
  AND(E6033="""", F6033&lt;&gt;""""), ""真實收入"",
  TRUE, ""其他""
)"),"其他")</f>
        <v>其他</v>
      </c>
      <c r="K6033" s="270" t="str">
        <f t="shared" si="2"/>
        <v/>
      </c>
      <c r="L6033">
        <f t="shared" si="3"/>
        <v>0</v>
      </c>
    </row>
    <row r="6034">
      <c r="A6034" s="107"/>
      <c r="D6034" s="270"/>
      <c r="H6034" s="106" t="str">
        <f t="shared" si="1"/>
        <v/>
      </c>
      <c r="J6034" t="str">
        <f>IFERROR(__xludf.DUMMYFUNCTION("IFS(
  AND(REGEXMATCH(E6034, ""台銀籌備帳戶|玉山帳戶""), REGEXMATCH(C6034, ""薪資"")), ""分潤支出"",
  AND(REGEXMATCH(E6034, ""Ben帳戶|Elsa帳戶|Ben代墊|Ariel代墊|中信銀行共用""), REGEXMATCH(F6034, ""Ben帳戶|Elsa帳戶|Ben代墊|Ariel代墊|中信銀行共用"")), ""內部轉帳(忽略)"",
  AND(E6034&lt;&gt;"""", F6034&lt;&gt;"""", N"&amp;"OT(REGEXMATCH(C6034, ""薪資""))), ""內部轉帳(忽略)"",
  REGEXMATCH(C6034, ""薪資""), ""薪資變動(不計入)"",
  REGEXMATCH(C6034, ""押金""), ""押金往來"",
  AND(E6034&lt;&gt;"""", F6034=""""), ""真實支出"",
  AND(E6034="""", F6034&lt;&gt;""""), ""真實收入"",
  TRUE, ""其他""
)"),"其他")</f>
        <v>其他</v>
      </c>
      <c r="K6034" s="270" t="str">
        <f t="shared" si="2"/>
        <v/>
      </c>
      <c r="L6034">
        <f t="shared" si="3"/>
        <v>0</v>
      </c>
    </row>
    <row r="6035">
      <c r="A6035" s="107"/>
      <c r="D6035" s="270"/>
      <c r="H6035" s="106" t="str">
        <f t="shared" si="1"/>
        <v/>
      </c>
      <c r="J6035" t="str">
        <f>IFERROR(__xludf.DUMMYFUNCTION("IFS(
  AND(REGEXMATCH(E6035, ""台銀籌備帳戶|玉山帳戶""), REGEXMATCH(C6035, ""薪資"")), ""分潤支出"",
  AND(REGEXMATCH(E6035, ""Ben帳戶|Elsa帳戶|Ben代墊|Ariel代墊|中信銀行共用""), REGEXMATCH(F6035, ""Ben帳戶|Elsa帳戶|Ben代墊|Ariel代墊|中信銀行共用"")), ""內部轉帳(忽略)"",
  AND(E6035&lt;&gt;"""", F6035&lt;&gt;"""", N"&amp;"OT(REGEXMATCH(C6035, ""薪資""))), ""內部轉帳(忽略)"",
  REGEXMATCH(C6035, ""薪資""), ""薪資變動(不計入)"",
  REGEXMATCH(C6035, ""押金""), ""押金往來"",
  AND(E6035&lt;&gt;"""", F6035=""""), ""真實支出"",
  AND(E6035="""", F6035&lt;&gt;""""), ""真實收入"",
  TRUE, ""其他""
)"),"其他")</f>
        <v>其他</v>
      </c>
      <c r="K6035" s="270" t="str">
        <f t="shared" si="2"/>
        <v/>
      </c>
      <c r="L6035">
        <f t="shared" si="3"/>
        <v>0</v>
      </c>
    </row>
    <row r="6036">
      <c r="A6036" s="107"/>
      <c r="D6036" s="270"/>
      <c r="H6036" s="106" t="str">
        <f t="shared" si="1"/>
        <v/>
      </c>
      <c r="J6036" t="str">
        <f>IFERROR(__xludf.DUMMYFUNCTION("IFS(
  AND(REGEXMATCH(E6036, ""台銀籌備帳戶|玉山帳戶""), REGEXMATCH(C6036, ""薪資"")), ""分潤支出"",
  AND(REGEXMATCH(E6036, ""Ben帳戶|Elsa帳戶|Ben代墊|Ariel代墊|中信銀行共用""), REGEXMATCH(F6036, ""Ben帳戶|Elsa帳戶|Ben代墊|Ariel代墊|中信銀行共用"")), ""內部轉帳(忽略)"",
  AND(E6036&lt;&gt;"""", F6036&lt;&gt;"""", N"&amp;"OT(REGEXMATCH(C6036, ""薪資""))), ""內部轉帳(忽略)"",
  REGEXMATCH(C6036, ""薪資""), ""薪資變動(不計入)"",
  REGEXMATCH(C6036, ""押金""), ""押金往來"",
  AND(E6036&lt;&gt;"""", F6036=""""), ""真實支出"",
  AND(E6036="""", F6036&lt;&gt;""""), ""真實收入"",
  TRUE, ""其他""
)"),"其他")</f>
        <v>其他</v>
      </c>
      <c r="K6036" s="270" t="str">
        <f t="shared" si="2"/>
        <v/>
      </c>
      <c r="L6036">
        <f t="shared" si="3"/>
        <v>0</v>
      </c>
    </row>
    <row r="6037">
      <c r="A6037" s="107"/>
      <c r="D6037" s="270"/>
      <c r="H6037" s="106" t="str">
        <f t="shared" si="1"/>
        <v/>
      </c>
      <c r="J6037" t="str">
        <f>IFERROR(__xludf.DUMMYFUNCTION("IFS(
  AND(REGEXMATCH(E6037, ""台銀籌備帳戶|玉山帳戶""), REGEXMATCH(C6037, ""薪資"")), ""分潤支出"",
  AND(REGEXMATCH(E6037, ""Ben帳戶|Elsa帳戶|Ben代墊|Ariel代墊|中信銀行共用""), REGEXMATCH(F6037, ""Ben帳戶|Elsa帳戶|Ben代墊|Ariel代墊|中信銀行共用"")), ""內部轉帳(忽略)"",
  AND(E6037&lt;&gt;"""", F6037&lt;&gt;"""", N"&amp;"OT(REGEXMATCH(C6037, ""薪資""))), ""內部轉帳(忽略)"",
  REGEXMATCH(C6037, ""薪資""), ""薪資變動(不計入)"",
  REGEXMATCH(C6037, ""押金""), ""押金往來"",
  AND(E6037&lt;&gt;"""", F6037=""""), ""真實支出"",
  AND(E6037="""", F6037&lt;&gt;""""), ""真實收入"",
  TRUE, ""其他""
)"),"其他")</f>
        <v>其他</v>
      </c>
      <c r="K6037" s="270" t="str">
        <f t="shared" si="2"/>
        <v/>
      </c>
      <c r="L6037">
        <f t="shared" si="3"/>
        <v>0</v>
      </c>
    </row>
    <row r="6038">
      <c r="A6038" s="107"/>
      <c r="D6038" s="270"/>
      <c r="H6038" s="106" t="str">
        <f t="shared" si="1"/>
        <v/>
      </c>
      <c r="J6038" t="str">
        <f>IFERROR(__xludf.DUMMYFUNCTION("IFS(
  AND(REGEXMATCH(E6038, ""台銀籌備帳戶|玉山帳戶""), REGEXMATCH(C6038, ""薪資"")), ""分潤支出"",
  AND(REGEXMATCH(E6038, ""Ben帳戶|Elsa帳戶|Ben代墊|Ariel代墊|中信銀行共用""), REGEXMATCH(F6038, ""Ben帳戶|Elsa帳戶|Ben代墊|Ariel代墊|中信銀行共用"")), ""內部轉帳(忽略)"",
  AND(E6038&lt;&gt;"""", F6038&lt;&gt;"""", N"&amp;"OT(REGEXMATCH(C6038, ""薪資""))), ""內部轉帳(忽略)"",
  REGEXMATCH(C6038, ""薪資""), ""薪資變動(不計入)"",
  REGEXMATCH(C6038, ""押金""), ""押金往來"",
  AND(E6038&lt;&gt;"""", F6038=""""), ""真實支出"",
  AND(E6038="""", F6038&lt;&gt;""""), ""真實收入"",
  TRUE, ""其他""
)"),"其他")</f>
        <v>其他</v>
      </c>
      <c r="K6038" s="270" t="str">
        <f t="shared" si="2"/>
        <v/>
      </c>
      <c r="L6038">
        <f t="shared" si="3"/>
        <v>0</v>
      </c>
    </row>
    <row r="6039">
      <c r="A6039" s="107"/>
      <c r="D6039" s="270"/>
      <c r="H6039" s="106" t="str">
        <f t="shared" si="1"/>
        <v/>
      </c>
      <c r="J6039" t="str">
        <f>IFERROR(__xludf.DUMMYFUNCTION("IFS(
  AND(REGEXMATCH(E6039, ""台銀籌備帳戶|玉山帳戶""), REGEXMATCH(C6039, ""薪資"")), ""分潤支出"",
  AND(REGEXMATCH(E6039, ""Ben帳戶|Elsa帳戶|Ben代墊|Ariel代墊|中信銀行共用""), REGEXMATCH(F6039, ""Ben帳戶|Elsa帳戶|Ben代墊|Ariel代墊|中信銀行共用"")), ""內部轉帳(忽略)"",
  AND(E6039&lt;&gt;"""", F6039&lt;&gt;"""", N"&amp;"OT(REGEXMATCH(C6039, ""薪資""))), ""內部轉帳(忽略)"",
  REGEXMATCH(C6039, ""薪資""), ""薪資變動(不計入)"",
  REGEXMATCH(C6039, ""押金""), ""押金往來"",
  AND(E6039&lt;&gt;"""", F6039=""""), ""真實支出"",
  AND(E6039="""", F6039&lt;&gt;""""), ""真實收入"",
  TRUE, ""其他""
)"),"其他")</f>
        <v>其他</v>
      </c>
      <c r="K6039" s="270" t="str">
        <f t="shared" si="2"/>
        <v/>
      </c>
      <c r="L6039">
        <f t="shared" si="3"/>
        <v>0</v>
      </c>
    </row>
    <row r="6040">
      <c r="A6040" s="107"/>
      <c r="D6040" s="270"/>
      <c r="H6040" s="106" t="str">
        <f t="shared" si="1"/>
        <v/>
      </c>
      <c r="J6040" t="str">
        <f>IFERROR(__xludf.DUMMYFUNCTION("IFS(
  AND(REGEXMATCH(E6040, ""台銀籌備帳戶|玉山帳戶""), REGEXMATCH(C6040, ""薪資"")), ""分潤支出"",
  AND(REGEXMATCH(E6040, ""Ben帳戶|Elsa帳戶|Ben代墊|Ariel代墊|中信銀行共用""), REGEXMATCH(F6040, ""Ben帳戶|Elsa帳戶|Ben代墊|Ariel代墊|中信銀行共用"")), ""內部轉帳(忽略)"",
  AND(E6040&lt;&gt;"""", F6040&lt;&gt;"""", N"&amp;"OT(REGEXMATCH(C6040, ""薪資""))), ""內部轉帳(忽略)"",
  REGEXMATCH(C6040, ""薪資""), ""薪資變動(不計入)"",
  REGEXMATCH(C6040, ""押金""), ""押金往來"",
  AND(E6040&lt;&gt;"""", F6040=""""), ""真實支出"",
  AND(E6040="""", F6040&lt;&gt;""""), ""真實收入"",
  TRUE, ""其他""
)"),"其他")</f>
        <v>其他</v>
      </c>
      <c r="K6040" s="270" t="str">
        <f t="shared" si="2"/>
        <v/>
      </c>
      <c r="L6040">
        <f t="shared" si="3"/>
        <v>0</v>
      </c>
    </row>
    <row r="6041">
      <c r="A6041" s="107"/>
      <c r="D6041" s="270"/>
      <c r="H6041" s="106" t="str">
        <f t="shared" si="1"/>
        <v/>
      </c>
      <c r="J6041" t="str">
        <f>IFERROR(__xludf.DUMMYFUNCTION("IFS(
  AND(REGEXMATCH(E6041, ""台銀籌備帳戶|玉山帳戶""), REGEXMATCH(C6041, ""薪資"")), ""分潤支出"",
  AND(REGEXMATCH(E6041, ""Ben帳戶|Elsa帳戶|Ben代墊|Ariel代墊|中信銀行共用""), REGEXMATCH(F6041, ""Ben帳戶|Elsa帳戶|Ben代墊|Ariel代墊|中信銀行共用"")), ""內部轉帳(忽略)"",
  AND(E6041&lt;&gt;"""", F6041&lt;&gt;"""", N"&amp;"OT(REGEXMATCH(C6041, ""薪資""))), ""內部轉帳(忽略)"",
  REGEXMATCH(C6041, ""薪資""), ""薪資變動(不計入)"",
  REGEXMATCH(C6041, ""押金""), ""押金往來"",
  AND(E6041&lt;&gt;"""", F6041=""""), ""真實支出"",
  AND(E6041="""", F6041&lt;&gt;""""), ""真實收入"",
  TRUE, ""其他""
)"),"其他")</f>
        <v>其他</v>
      </c>
      <c r="K6041" s="270" t="str">
        <f t="shared" si="2"/>
        <v/>
      </c>
      <c r="L6041">
        <f t="shared" si="3"/>
        <v>0</v>
      </c>
    </row>
    <row r="6042">
      <c r="A6042" s="107"/>
      <c r="D6042" s="270"/>
      <c r="H6042" s="106" t="str">
        <f t="shared" si="1"/>
        <v/>
      </c>
      <c r="J6042" t="str">
        <f>IFERROR(__xludf.DUMMYFUNCTION("IFS(
  AND(REGEXMATCH(E6042, ""台銀籌備帳戶|玉山帳戶""), REGEXMATCH(C6042, ""薪資"")), ""分潤支出"",
  AND(REGEXMATCH(E6042, ""Ben帳戶|Elsa帳戶|Ben代墊|Ariel代墊|中信銀行共用""), REGEXMATCH(F6042, ""Ben帳戶|Elsa帳戶|Ben代墊|Ariel代墊|中信銀行共用"")), ""內部轉帳(忽略)"",
  AND(E6042&lt;&gt;"""", F6042&lt;&gt;"""", N"&amp;"OT(REGEXMATCH(C6042, ""薪資""))), ""內部轉帳(忽略)"",
  REGEXMATCH(C6042, ""薪資""), ""薪資變動(不計入)"",
  REGEXMATCH(C6042, ""押金""), ""押金往來"",
  AND(E6042&lt;&gt;"""", F6042=""""), ""真實支出"",
  AND(E6042="""", F6042&lt;&gt;""""), ""真實收入"",
  TRUE, ""其他""
)"),"其他")</f>
        <v>其他</v>
      </c>
      <c r="K6042" s="270" t="str">
        <f t="shared" si="2"/>
        <v/>
      </c>
      <c r="L6042">
        <f t="shared" si="3"/>
        <v>0</v>
      </c>
    </row>
    <row r="6043">
      <c r="A6043" s="107"/>
      <c r="D6043" s="270"/>
      <c r="H6043" s="106" t="str">
        <f t="shared" si="1"/>
        <v/>
      </c>
      <c r="J6043" t="str">
        <f>IFERROR(__xludf.DUMMYFUNCTION("IFS(
  AND(REGEXMATCH(E6043, ""台銀籌備帳戶|玉山帳戶""), REGEXMATCH(C6043, ""薪資"")), ""分潤支出"",
  AND(REGEXMATCH(E6043, ""Ben帳戶|Elsa帳戶|Ben代墊|Ariel代墊|中信銀行共用""), REGEXMATCH(F6043, ""Ben帳戶|Elsa帳戶|Ben代墊|Ariel代墊|中信銀行共用"")), ""內部轉帳(忽略)"",
  AND(E6043&lt;&gt;"""", F6043&lt;&gt;"""", N"&amp;"OT(REGEXMATCH(C6043, ""薪資""))), ""內部轉帳(忽略)"",
  REGEXMATCH(C6043, ""薪資""), ""薪資變動(不計入)"",
  REGEXMATCH(C6043, ""押金""), ""押金往來"",
  AND(E6043&lt;&gt;"""", F6043=""""), ""真實支出"",
  AND(E6043="""", F6043&lt;&gt;""""), ""真實收入"",
  TRUE, ""其他""
)"),"其他")</f>
        <v>其他</v>
      </c>
      <c r="K6043" s="270" t="str">
        <f t="shared" si="2"/>
        <v/>
      </c>
      <c r="L6043">
        <f t="shared" si="3"/>
        <v>0</v>
      </c>
    </row>
    <row r="6044">
      <c r="A6044" s="107"/>
      <c r="D6044" s="270"/>
      <c r="H6044" s="106" t="str">
        <f t="shared" si="1"/>
        <v/>
      </c>
      <c r="J6044" t="str">
        <f>IFERROR(__xludf.DUMMYFUNCTION("IFS(
  AND(REGEXMATCH(E6044, ""台銀籌備帳戶|玉山帳戶""), REGEXMATCH(C6044, ""薪資"")), ""分潤支出"",
  AND(REGEXMATCH(E6044, ""Ben帳戶|Elsa帳戶|Ben代墊|Ariel代墊|中信銀行共用""), REGEXMATCH(F6044, ""Ben帳戶|Elsa帳戶|Ben代墊|Ariel代墊|中信銀行共用"")), ""內部轉帳(忽略)"",
  AND(E6044&lt;&gt;"""", F6044&lt;&gt;"""", N"&amp;"OT(REGEXMATCH(C6044, ""薪資""))), ""內部轉帳(忽略)"",
  REGEXMATCH(C6044, ""薪資""), ""薪資變動(不計入)"",
  REGEXMATCH(C6044, ""押金""), ""押金往來"",
  AND(E6044&lt;&gt;"""", F6044=""""), ""真實支出"",
  AND(E6044="""", F6044&lt;&gt;""""), ""真實收入"",
  TRUE, ""其他""
)"),"其他")</f>
        <v>其他</v>
      </c>
      <c r="K6044" s="270" t="str">
        <f t="shared" si="2"/>
        <v/>
      </c>
      <c r="L6044">
        <f t="shared" si="3"/>
        <v>0</v>
      </c>
    </row>
    <row r="6045">
      <c r="A6045" s="107"/>
      <c r="D6045" s="270"/>
      <c r="H6045" s="106" t="str">
        <f t="shared" si="1"/>
        <v/>
      </c>
      <c r="J6045" t="str">
        <f>IFERROR(__xludf.DUMMYFUNCTION("IFS(
  AND(REGEXMATCH(E6045, ""台銀籌備帳戶|玉山帳戶""), REGEXMATCH(C6045, ""薪資"")), ""分潤支出"",
  AND(REGEXMATCH(E6045, ""Ben帳戶|Elsa帳戶|Ben代墊|Ariel代墊|中信銀行共用""), REGEXMATCH(F6045, ""Ben帳戶|Elsa帳戶|Ben代墊|Ariel代墊|中信銀行共用"")), ""內部轉帳(忽略)"",
  AND(E6045&lt;&gt;"""", F6045&lt;&gt;"""", N"&amp;"OT(REGEXMATCH(C6045, ""薪資""))), ""內部轉帳(忽略)"",
  REGEXMATCH(C6045, ""薪資""), ""薪資變動(不計入)"",
  REGEXMATCH(C6045, ""押金""), ""押金往來"",
  AND(E6045&lt;&gt;"""", F6045=""""), ""真實支出"",
  AND(E6045="""", F6045&lt;&gt;""""), ""真實收入"",
  TRUE, ""其他""
)"),"其他")</f>
        <v>其他</v>
      </c>
      <c r="K6045" s="270" t="str">
        <f t="shared" si="2"/>
        <v/>
      </c>
      <c r="L6045">
        <f t="shared" si="3"/>
        <v>0</v>
      </c>
    </row>
    <row r="6046">
      <c r="A6046" s="107"/>
      <c r="D6046" s="270"/>
      <c r="H6046" s="106" t="str">
        <f t="shared" si="1"/>
        <v/>
      </c>
      <c r="J6046" t="str">
        <f>IFERROR(__xludf.DUMMYFUNCTION("IFS(
  AND(REGEXMATCH(E6046, ""台銀籌備帳戶|玉山帳戶""), REGEXMATCH(C6046, ""薪資"")), ""分潤支出"",
  AND(REGEXMATCH(E6046, ""Ben帳戶|Elsa帳戶|Ben代墊|Ariel代墊|中信銀行共用""), REGEXMATCH(F6046, ""Ben帳戶|Elsa帳戶|Ben代墊|Ariel代墊|中信銀行共用"")), ""內部轉帳(忽略)"",
  AND(E6046&lt;&gt;"""", F6046&lt;&gt;"""", N"&amp;"OT(REGEXMATCH(C6046, ""薪資""))), ""內部轉帳(忽略)"",
  REGEXMATCH(C6046, ""薪資""), ""薪資變動(不計入)"",
  REGEXMATCH(C6046, ""押金""), ""押金往來"",
  AND(E6046&lt;&gt;"""", F6046=""""), ""真實支出"",
  AND(E6046="""", F6046&lt;&gt;""""), ""真實收入"",
  TRUE, ""其他""
)"),"其他")</f>
        <v>其他</v>
      </c>
      <c r="K6046" s="270" t="str">
        <f t="shared" si="2"/>
        <v/>
      </c>
      <c r="L6046">
        <f t="shared" si="3"/>
        <v>0</v>
      </c>
    </row>
    <row r="6047">
      <c r="A6047" s="107"/>
      <c r="D6047" s="270"/>
      <c r="H6047" s="106" t="str">
        <f t="shared" si="1"/>
        <v/>
      </c>
      <c r="J6047" t="str">
        <f>IFERROR(__xludf.DUMMYFUNCTION("IFS(
  AND(REGEXMATCH(E6047, ""台銀籌備帳戶|玉山帳戶""), REGEXMATCH(C6047, ""薪資"")), ""分潤支出"",
  AND(REGEXMATCH(E6047, ""Ben帳戶|Elsa帳戶|Ben代墊|Ariel代墊|中信銀行共用""), REGEXMATCH(F6047, ""Ben帳戶|Elsa帳戶|Ben代墊|Ariel代墊|中信銀行共用"")), ""內部轉帳(忽略)"",
  AND(E6047&lt;&gt;"""", F6047&lt;&gt;"""", N"&amp;"OT(REGEXMATCH(C6047, ""薪資""))), ""內部轉帳(忽略)"",
  REGEXMATCH(C6047, ""薪資""), ""薪資變動(不計入)"",
  REGEXMATCH(C6047, ""押金""), ""押金往來"",
  AND(E6047&lt;&gt;"""", F6047=""""), ""真實支出"",
  AND(E6047="""", F6047&lt;&gt;""""), ""真實收入"",
  TRUE, ""其他""
)"),"其他")</f>
        <v>其他</v>
      </c>
      <c r="K6047" s="270" t="str">
        <f t="shared" si="2"/>
        <v/>
      </c>
      <c r="L6047">
        <f t="shared" si="3"/>
        <v>0</v>
      </c>
    </row>
    <row r="6048">
      <c r="A6048" s="107"/>
      <c r="D6048" s="270"/>
      <c r="H6048" s="106" t="str">
        <f t="shared" si="1"/>
        <v/>
      </c>
      <c r="J6048" t="str">
        <f>IFERROR(__xludf.DUMMYFUNCTION("IFS(
  AND(REGEXMATCH(E6048, ""台銀籌備帳戶|玉山帳戶""), REGEXMATCH(C6048, ""薪資"")), ""分潤支出"",
  AND(REGEXMATCH(E6048, ""Ben帳戶|Elsa帳戶|Ben代墊|Ariel代墊|中信銀行共用""), REGEXMATCH(F6048, ""Ben帳戶|Elsa帳戶|Ben代墊|Ariel代墊|中信銀行共用"")), ""內部轉帳(忽略)"",
  AND(E6048&lt;&gt;"""", F6048&lt;&gt;"""", N"&amp;"OT(REGEXMATCH(C6048, ""薪資""))), ""內部轉帳(忽略)"",
  REGEXMATCH(C6048, ""薪資""), ""薪資變動(不計入)"",
  REGEXMATCH(C6048, ""押金""), ""押金往來"",
  AND(E6048&lt;&gt;"""", F6048=""""), ""真實支出"",
  AND(E6048="""", F6048&lt;&gt;""""), ""真實收入"",
  TRUE, ""其他""
)"),"其他")</f>
        <v>其他</v>
      </c>
      <c r="K6048" s="270" t="str">
        <f t="shared" si="2"/>
        <v/>
      </c>
      <c r="L6048">
        <f t="shared" si="3"/>
        <v>0</v>
      </c>
    </row>
    <row r="6049">
      <c r="A6049" s="107"/>
      <c r="D6049" s="270"/>
      <c r="H6049" s="106" t="str">
        <f t="shared" si="1"/>
        <v/>
      </c>
      <c r="J6049" t="str">
        <f>IFERROR(__xludf.DUMMYFUNCTION("IFS(
  AND(REGEXMATCH(E6049, ""台銀籌備帳戶|玉山帳戶""), REGEXMATCH(C6049, ""薪資"")), ""分潤支出"",
  AND(REGEXMATCH(E6049, ""Ben帳戶|Elsa帳戶|Ben代墊|Ariel代墊|中信銀行共用""), REGEXMATCH(F6049, ""Ben帳戶|Elsa帳戶|Ben代墊|Ariel代墊|中信銀行共用"")), ""內部轉帳(忽略)"",
  AND(E6049&lt;&gt;"""", F6049&lt;&gt;"""", N"&amp;"OT(REGEXMATCH(C6049, ""薪資""))), ""內部轉帳(忽略)"",
  REGEXMATCH(C6049, ""薪資""), ""薪資變動(不計入)"",
  REGEXMATCH(C6049, ""押金""), ""押金往來"",
  AND(E6049&lt;&gt;"""", F6049=""""), ""真實支出"",
  AND(E6049="""", F6049&lt;&gt;""""), ""真實收入"",
  TRUE, ""其他""
)"),"其他")</f>
        <v>其他</v>
      </c>
      <c r="K6049" s="270" t="str">
        <f t="shared" si="2"/>
        <v/>
      </c>
      <c r="L6049">
        <f t="shared" si="3"/>
        <v>0</v>
      </c>
    </row>
    <row r="6050">
      <c r="A6050" s="107"/>
      <c r="D6050" s="270"/>
      <c r="H6050" s="106" t="str">
        <f t="shared" si="1"/>
        <v/>
      </c>
      <c r="J6050" t="str">
        <f>IFERROR(__xludf.DUMMYFUNCTION("IFS(
  AND(REGEXMATCH(E6050, ""台銀籌備帳戶|玉山帳戶""), REGEXMATCH(C6050, ""薪資"")), ""分潤支出"",
  AND(REGEXMATCH(E6050, ""Ben帳戶|Elsa帳戶|Ben代墊|Ariel代墊|中信銀行共用""), REGEXMATCH(F6050, ""Ben帳戶|Elsa帳戶|Ben代墊|Ariel代墊|中信銀行共用"")), ""內部轉帳(忽略)"",
  AND(E6050&lt;&gt;"""", F6050&lt;&gt;"""", N"&amp;"OT(REGEXMATCH(C6050, ""薪資""))), ""內部轉帳(忽略)"",
  REGEXMATCH(C6050, ""薪資""), ""薪資變動(不計入)"",
  REGEXMATCH(C6050, ""押金""), ""押金往來"",
  AND(E6050&lt;&gt;"""", F6050=""""), ""真實支出"",
  AND(E6050="""", F6050&lt;&gt;""""), ""真實收入"",
  TRUE, ""其他""
)"),"其他")</f>
        <v>其他</v>
      </c>
      <c r="K6050" s="270" t="str">
        <f t="shared" si="2"/>
        <v/>
      </c>
      <c r="L6050">
        <f t="shared" si="3"/>
        <v>0</v>
      </c>
    </row>
    <row r="6051">
      <c r="A6051" s="107"/>
      <c r="D6051" s="270"/>
      <c r="H6051" s="106" t="str">
        <f t="shared" si="1"/>
        <v/>
      </c>
      <c r="J6051" t="str">
        <f>IFERROR(__xludf.DUMMYFUNCTION("IFS(
  AND(REGEXMATCH(E6051, ""台銀籌備帳戶|玉山帳戶""), REGEXMATCH(C6051, ""薪資"")), ""分潤支出"",
  AND(REGEXMATCH(E6051, ""Ben帳戶|Elsa帳戶|Ben代墊|Ariel代墊|中信銀行共用""), REGEXMATCH(F6051, ""Ben帳戶|Elsa帳戶|Ben代墊|Ariel代墊|中信銀行共用"")), ""內部轉帳(忽略)"",
  AND(E6051&lt;&gt;"""", F6051&lt;&gt;"""", N"&amp;"OT(REGEXMATCH(C6051, ""薪資""))), ""內部轉帳(忽略)"",
  REGEXMATCH(C6051, ""薪資""), ""薪資變動(不計入)"",
  REGEXMATCH(C6051, ""押金""), ""押金往來"",
  AND(E6051&lt;&gt;"""", F6051=""""), ""真實支出"",
  AND(E6051="""", F6051&lt;&gt;""""), ""真實收入"",
  TRUE, ""其他""
)"),"其他")</f>
        <v>其他</v>
      </c>
      <c r="K6051" s="270" t="str">
        <f t="shared" si="2"/>
        <v/>
      </c>
      <c r="L6051">
        <f t="shared" si="3"/>
        <v>0</v>
      </c>
    </row>
    <row r="6052">
      <c r="A6052" s="107"/>
      <c r="D6052" s="270"/>
      <c r="H6052" s="106" t="str">
        <f t="shared" si="1"/>
        <v/>
      </c>
      <c r="J6052" t="str">
        <f>IFERROR(__xludf.DUMMYFUNCTION("IFS(
  AND(REGEXMATCH(E6052, ""台銀籌備帳戶|玉山帳戶""), REGEXMATCH(C6052, ""薪資"")), ""分潤支出"",
  AND(REGEXMATCH(E6052, ""Ben帳戶|Elsa帳戶|Ben代墊|Ariel代墊|中信銀行共用""), REGEXMATCH(F6052, ""Ben帳戶|Elsa帳戶|Ben代墊|Ariel代墊|中信銀行共用"")), ""內部轉帳(忽略)"",
  AND(E6052&lt;&gt;"""", F6052&lt;&gt;"""", N"&amp;"OT(REGEXMATCH(C6052, ""薪資""))), ""內部轉帳(忽略)"",
  REGEXMATCH(C6052, ""薪資""), ""薪資變動(不計入)"",
  REGEXMATCH(C6052, ""押金""), ""押金往來"",
  AND(E6052&lt;&gt;"""", F6052=""""), ""真實支出"",
  AND(E6052="""", F6052&lt;&gt;""""), ""真實收入"",
  TRUE, ""其他""
)"),"其他")</f>
        <v>其他</v>
      </c>
      <c r="K6052" s="270" t="str">
        <f t="shared" si="2"/>
        <v/>
      </c>
      <c r="L6052">
        <f t="shared" si="3"/>
        <v>0</v>
      </c>
    </row>
    <row r="6053">
      <c r="A6053" s="107"/>
      <c r="D6053" s="270"/>
      <c r="H6053" s="106" t="str">
        <f t="shared" si="1"/>
        <v/>
      </c>
      <c r="J6053" t="str">
        <f>IFERROR(__xludf.DUMMYFUNCTION("IFS(
  AND(REGEXMATCH(E6053, ""台銀籌備帳戶|玉山帳戶""), REGEXMATCH(C6053, ""薪資"")), ""分潤支出"",
  AND(REGEXMATCH(E6053, ""Ben帳戶|Elsa帳戶|Ben代墊|Ariel代墊|中信銀行共用""), REGEXMATCH(F6053, ""Ben帳戶|Elsa帳戶|Ben代墊|Ariel代墊|中信銀行共用"")), ""內部轉帳(忽略)"",
  AND(E6053&lt;&gt;"""", F6053&lt;&gt;"""", N"&amp;"OT(REGEXMATCH(C6053, ""薪資""))), ""內部轉帳(忽略)"",
  REGEXMATCH(C6053, ""薪資""), ""薪資變動(不計入)"",
  REGEXMATCH(C6053, ""押金""), ""押金往來"",
  AND(E6053&lt;&gt;"""", F6053=""""), ""真實支出"",
  AND(E6053="""", F6053&lt;&gt;""""), ""真實收入"",
  TRUE, ""其他""
)"),"其他")</f>
        <v>其他</v>
      </c>
      <c r="K6053" s="270" t="str">
        <f t="shared" si="2"/>
        <v/>
      </c>
      <c r="L6053">
        <f t="shared" si="3"/>
        <v>0</v>
      </c>
    </row>
    <row r="6054">
      <c r="A6054" s="107"/>
      <c r="D6054" s="270"/>
      <c r="H6054" s="106" t="str">
        <f t="shared" si="1"/>
        <v/>
      </c>
      <c r="J6054" t="str">
        <f>IFERROR(__xludf.DUMMYFUNCTION("IFS(
  AND(REGEXMATCH(E6054, ""台銀籌備帳戶|玉山帳戶""), REGEXMATCH(C6054, ""薪資"")), ""分潤支出"",
  AND(REGEXMATCH(E6054, ""Ben帳戶|Elsa帳戶|Ben代墊|Ariel代墊|中信銀行共用""), REGEXMATCH(F6054, ""Ben帳戶|Elsa帳戶|Ben代墊|Ariel代墊|中信銀行共用"")), ""內部轉帳(忽略)"",
  AND(E6054&lt;&gt;"""", F6054&lt;&gt;"""", N"&amp;"OT(REGEXMATCH(C6054, ""薪資""))), ""內部轉帳(忽略)"",
  REGEXMATCH(C6054, ""薪資""), ""薪資變動(不計入)"",
  REGEXMATCH(C6054, ""押金""), ""押金往來"",
  AND(E6054&lt;&gt;"""", F6054=""""), ""真實支出"",
  AND(E6054="""", F6054&lt;&gt;""""), ""真實收入"",
  TRUE, ""其他""
)"),"其他")</f>
        <v>其他</v>
      </c>
      <c r="K6054" s="270" t="str">
        <f t="shared" si="2"/>
        <v/>
      </c>
      <c r="L6054">
        <f t="shared" si="3"/>
        <v>0</v>
      </c>
    </row>
    <row r="6055">
      <c r="A6055" s="107"/>
      <c r="D6055" s="270"/>
      <c r="H6055" s="106" t="str">
        <f t="shared" si="1"/>
        <v/>
      </c>
      <c r="J6055" t="str">
        <f>IFERROR(__xludf.DUMMYFUNCTION("IFS(
  AND(REGEXMATCH(E6055, ""台銀籌備帳戶|玉山帳戶""), REGEXMATCH(C6055, ""薪資"")), ""分潤支出"",
  AND(REGEXMATCH(E6055, ""Ben帳戶|Elsa帳戶|Ben代墊|Ariel代墊|中信銀行共用""), REGEXMATCH(F6055, ""Ben帳戶|Elsa帳戶|Ben代墊|Ariel代墊|中信銀行共用"")), ""內部轉帳(忽略)"",
  AND(E6055&lt;&gt;"""", F6055&lt;&gt;"""", N"&amp;"OT(REGEXMATCH(C6055, ""薪資""))), ""內部轉帳(忽略)"",
  REGEXMATCH(C6055, ""薪資""), ""薪資變動(不計入)"",
  REGEXMATCH(C6055, ""押金""), ""押金往來"",
  AND(E6055&lt;&gt;"""", F6055=""""), ""真實支出"",
  AND(E6055="""", F6055&lt;&gt;""""), ""真實收入"",
  TRUE, ""其他""
)"),"其他")</f>
        <v>其他</v>
      </c>
      <c r="K6055" s="270" t="str">
        <f t="shared" si="2"/>
        <v/>
      </c>
      <c r="L6055">
        <f t="shared" si="3"/>
        <v>0</v>
      </c>
    </row>
    <row r="6056">
      <c r="A6056" s="107"/>
      <c r="D6056" s="270"/>
      <c r="H6056" s="106" t="str">
        <f t="shared" si="1"/>
        <v/>
      </c>
      <c r="J6056" t="str">
        <f>IFERROR(__xludf.DUMMYFUNCTION("IFS(
  AND(REGEXMATCH(E6056, ""台銀籌備帳戶|玉山帳戶""), REGEXMATCH(C6056, ""薪資"")), ""分潤支出"",
  AND(REGEXMATCH(E6056, ""Ben帳戶|Elsa帳戶|Ben代墊|Ariel代墊|中信銀行共用""), REGEXMATCH(F6056, ""Ben帳戶|Elsa帳戶|Ben代墊|Ariel代墊|中信銀行共用"")), ""內部轉帳(忽略)"",
  AND(E6056&lt;&gt;"""", F6056&lt;&gt;"""", N"&amp;"OT(REGEXMATCH(C6056, ""薪資""))), ""內部轉帳(忽略)"",
  REGEXMATCH(C6056, ""薪資""), ""薪資變動(不計入)"",
  REGEXMATCH(C6056, ""押金""), ""押金往來"",
  AND(E6056&lt;&gt;"""", F6056=""""), ""真實支出"",
  AND(E6056="""", F6056&lt;&gt;""""), ""真實收入"",
  TRUE, ""其他""
)"),"其他")</f>
        <v>其他</v>
      </c>
      <c r="K6056" s="270" t="str">
        <f t="shared" si="2"/>
        <v/>
      </c>
      <c r="L6056">
        <f t="shared" si="3"/>
        <v>0</v>
      </c>
    </row>
    <row r="6057">
      <c r="A6057" s="107"/>
      <c r="D6057" s="270"/>
      <c r="H6057" s="106" t="str">
        <f t="shared" si="1"/>
        <v/>
      </c>
      <c r="J6057" t="str">
        <f>IFERROR(__xludf.DUMMYFUNCTION("IFS(
  AND(REGEXMATCH(E6057, ""台銀籌備帳戶|玉山帳戶""), REGEXMATCH(C6057, ""薪資"")), ""分潤支出"",
  AND(REGEXMATCH(E6057, ""Ben帳戶|Elsa帳戶|Ben代墊|Ariel代墊|中信銀行共用""), REGEXMATCH(F6057, ""Ben帳戶|Elsa帳戶|Ben代墊|Ariel代墊|中信銀行共用"")), ""內部轉帳(忽略)"",
  AND(E6057&lt;&gt;"""", F6057&lt;&gt;"""", N"&amp;"OT(REGEXMATCH(C6057, ""薪資""))), ""內部轉帳(忽略)"",
  REGEXMATCH(C6057, ""薪資""), ""薪資變動(不計入)"",
  REGEXMATCH(C6057, ""押金""), ""押金往來"",
  AND(E6057&lt;&gt;"""", F6057=""""), ""真實支出"",
  AND(E6057="""", F6057&lt;&gt;""""), ""真實收入"",
  TRUE, ""其他""
)"),"其他")</f>
        <v>其他</v>
      </c>
      <c r="K6057" s="270" t="str">
        <f t="shared" si="2"/>
        <v/>
      </c>
      <c r="L6057">
        <f t="shared" si="3"/>
        <v>0</v>
      </c>
    </row>
    <row r="6058">
      <c r="A6058" s="107"/>
      <c r="D6058" s="270"/>
      <c r="H6058" s="106" t="str">
        <f t="shared" si="1"/>
        <v/>
      </c>
      <c r="J6058" t="str">
        <f>IFERROR(__xludf.DUMMYFUNCTION("IFS(
  AND(REGEXMATCH(E6058, ""台銀籌備帳戶|玉山帳戶""), REGEXMATCH(C6058, ""薪資"")), ""分潤支出"",
  AND(REGEXMATCH(E6058, ""Ben帳戶|Elsa帳戶|Ben代墊|Ariel代墊|中信銀行共用""), REGEXMATCH(F6058, ""Ben帳戶|Elsa帳戶|Ben代墊|Ariel代墊|中信銀行共用"")), ""內部轉帳(忽略)"",
  AND(E6058&lt;&gt;"""", F6058&lt;&gt;"""", N"&amp;"OT(REGEXMATCH(C6058, ""薪資""))), ""內部轉帳(忽略)"",
  REGEXMATCH(C6058, ""薪資""), ""薪資變動(不計入)"",
  REGEXMATCH(C6058, ""押金""), ""押金往來"",
  AND(E6058&lt;&gt;"""", F6058=""""), ""真實支出"",
  AND(E6058="""", F6058&lt;&gt;""""), ""真實收入"",
  TRUE, ""其他""
)"),"其他")</f>
        <v>其他</v>
      </c>
      <c r="K6058" s="270" t="str">
        <f t="shared" si="2"/>
        <v/>
      </c>
      <c r="L6058">
        <f t="shared" si="3"/>
        <v>0</v>
      </c>
    </row>
    <row r="6059">
      <c r="A6059" s="107"/>
      <c r="D6059" s="270"/>
      <c r="H6059" s="106" t="str">
        <f t="shared" si="1"/>
        <v/>
      </c>
      <c r="J6059" t="str">
        <f>IFERROR(__xludf.DUMMYFUNCTION("IFS(
  AND(REGEXMATCH(E6059, ""台銀籌備帳戶|玉山帳戶""), REGEXMATCH(C6059, ""薪資"")), ""分潤支出"",
  AND(REGEXMATCH(E6059, ""Ben帳戶|Elsa帳戶|Ben代墊|Ariel代墊|中信銀行共用""), REGEXMATCH(F6059, ""Ben帳戶|Elsa帳戶|Ben代墊|Ariel代墊|中信銀行共用"")), ""內部轉帳(忽略)"",
  AND(E6059&lt;&gt;"""", F6059&lt;&gt;"""", N"&amp;"OT(REGEXMATCH(C6059, ""薪資""))), ""內部轉帳(忽略)"",
  REGEXMATCH(C6059, ""薪資""), ""薪資變動(不計入)"",
  REGEXMATCH(C6059, ""押金""), ""押金往來"",
  AND(E6059&lt;&gt;"""", F6059=""""), ""真實支出"",
  AND(E6059="""", F6059&lt;&gt;""""), ""真實收入"",
  TRUE, ""其他""
)"),"其他")</f>
        <v>其他</v>
      </c>
      <c r="K6059" s="270" t="str">
        <f t="shared" si="2"/>
        <v/>
      </c>
      <c r="L6059">
        <f t="shared" si="3"/>
        <v>0</v>
      </c>
    </row>
    <row r="6060">
      <c r="A6060" s="107"/>
      <c r="D6060" s="270"/>
      <c r="H6060" s="106" t="str">
        <f t="shared" si="1"/>
        <v/>
      </c>
      <c r="J6060" t="str">
        <f>IFERROR(__xludf.DUMMYFUNCTION("IFS(
  AND(REGEXMATCH(E6060, ""台銀籌備帳戶|玉山帳戶""), REGEXMATCH(C6060, ""薪資"")), ""分潤支出"",
  AND(REGEXMATCH(E6060, ""Ben帳戶|Elsa帳戶|Ben代墊|Ariel代墊|中信銀行共用""), REGEXMATCH(F6060, ""Ben帳戶|Elsa帳戶|Ben代墊|Ariel代墊|中信銀行共用"")), ""內部轉帳(忽略)"",
  AND(E6060&lt;&gt;"""", F6060&lt;&gt;"""", N"&amp;"OT(REGEXMATCH(C6060, ""薪資""))), ""內部轉帳(忽略)"",
  REGEXMATCH(C6060, ""薪資""), ""薪資變動(不計入)"",
  REGEXMATCH(C6060, ""押金""), ""押金往來"",
  AND(E6060&lt;&gt;"""", F6060=""""), ""真實支出"",
  AND(E6060="""", F6060&lt;&gt;""""), ""真實收入"",
  TRUE, ""其他""
)"),"其他")</f>
        <v>其他</v>
      </c>
      <c r="K6060" s="270" t="str">
        <f t="shared" si="2"/>
        <v/>
      </c>
      <c r="L6060">
        <f t="shared" si="3"/>
        <v>0</v>
      </c>
    </row>
    <row r="6061">
      <c r="A6061" s="107"/>
      <c r="D6061" s="270"/>
      <c r="H6061" s="106" t="str">
        <f t="shared" si="1"/>
        <v/>
      </c>
      <c r="J6061" t="str">
        <f>IFERROR(__xludf.DUMMYFUNCTION("IFS(
  AND(REGEXMATCH(E6061, ""台銀籌備帳戶|玉山帳戶""), REGEXMATCH(C6061, ""薪資"")), ""分潤支出"",
  AND(REGEXMATCH(E6061, ""Ben帳戶|Elsa帳戶|Ben代墊|Ariel代墊|中信銀行共用""), REGEXMATCH(F6061, ""Ben帳戶|Elsa帳戶|Ben代墊|Ariel代墊|中信銀行共用"")), ""內部轉帳(忽略)"",
  AND(E6061&lt;&gt;"""", F6061&lt;&gt;"""", N"&amp;"OT(REGEXMATCH(C6061, ""薪資""))), ""內部轉帳(忽略)"",
  REGEXMATCH(C6061, ""薪資""), ""薪資變動(不計入)"",
  REGEXMATCH(C6061, ""押金""), ""押金往來"",
  AND(E6061&lt;&gt;"""", F6061=""""), ""真實支出"",
  AND(E6061="""", F6061&lt;&gt;""""), ""真實收入"",
  TRUE, ""其他""
)"),"其他")</f>
        <v>其他</v>
      </c>
      <c r="K6061" s="270" t="str">
        <f t="shared" si="2"/>
        <v/>
      </c>
      <c r="L6061">
        <f t="shared" si="3"/>
        <v>0</v>
      </c>
    </row>
    <row r="6062">
      <c r="A6062" s="107"/>
      <c r="D6062" s="270"/>
      <c r="H6062" s="106" t="str">
        <f t="shared" si="1"/>
        <v/>
      </c>
      <c r="J6062" t="str">
        <f>IFERROR(__xludf.DUMMYFUNCTION("IFS(
  AND(REGEXMATCH(E6062, ""台銀籌備帳戶|玉山帳戶""), REGEXMATCH(C6062, ""薪資"")), ""分潤支出"",
  AND(REGEXMATCH(E6062, ""Ben帳戶|Elsa帳戶|Ben代墊|Ariel代墊|中信銀行共用""), REGEXMATCH(F6062, ""Ben帳戶|Elsa帳戶|Ben代墊|Ariel代墊|中信銀行共用"")), ""內部轉帳(忽略)"",
  AND(E6062&lt;&gt;"""", F6062&lt;&gt;"""", N"&amp;"OT(REGEXMATCH(C6062, ""薪資""))), ""內部轉帳(忽略)"",
  REGEXMATCH(C6062, ""薪資""), ""薪資變動(不計入)"",
  REGEXMATCH(C6062, ""押金""), ""押金往來"",
  AND(E6062&lt;&gt;"""", F6062=""""), ""真實支出"",
  AND(E6062="""", F6062&lt;&gt;""""), ""真實收入"",
  TRUE, ""其他""
)"),"其他")</f>
        <v>其他</v>
      </c>
      <c r="K6062" s="270" t="str">
        <f t="shared" si="2"/>
        <v/>
      </c>
      <c r="L6062">
        <f t="shared" si="3"/>
        <v>0</v>
      </c>
    </row>
    <row r="6063">
      <c r="A6063" s="107"/>
      <c r="D6063" s="270"/>
      <c r="H6063" s="106" t="str">
        <f t="shared" si="1"/>
        <v/>
      </c>
      <c r="J6063" t="str">
        <f>IFERROR(__xludf.DUMMYFUNCTION("IFS(
  AND(REGEXMATCH(E6063, ""台銀籌備帳戶|玉山帳戶""), REGEXMATCH(C6063, ""薪資"")), ""分潤支出"",
  AND(REGEXMATCH(E6063, ""Ben帳戶|Elsa帳戶|Ben代墊|Ariel代墊|中信銀行共用""), REGEXMATCH(F6063, ""Ben帳戶|Elsa帳戶|Ben代墊|Ariel代墊|中信銀行共用"")), ""內部轉帳(忽略)"",
  AND(E6063&lt;&gt;"""", F6063&lt;&gt;"""", N"&amp;"OT(REGEXMATCH(C6063, ""薪資""))), ""內部轉帳(忽略)"",
  REGEXMATCH(C6063, ""薪資""), ""薪資變動(不計入)"",
  REGEXMATCH(C6063, ""押金""), ""押金往來"",
  AND(E6063&lt;&gt;"""", F6063=""""), ""真實支出"",
  AND(E6063="""", F6063&lt;&gt;""""), ""真實收入"",
  TRUE, ""其他""
)"),"其他")</f>
        <v>其他</v>
      </c>
      <c r="K6063" s="270" t="str">
        <f t="shared" si="2"/>
        <v/>
      </c>
      <c r="L6063">
        <f t="shared" si="3"/>
        <v>0</v>
      </c>
    </row>
    <row r="6064">
      <c r="A6064" s="107"/>
      <c r="D6064" s="270"/>
      <c r="H6064" s="106" t="str">
        <f t="shared" si="1"/>
        <v/>
      </c>
      <c r="J6064" t="str">
        <f>IFERROR(__xludf.DUMMYFUNCTION("IFS(
  AND(REGEXMATCH(E6064, ""台銀籌備帳戶|玉山帳戶""), REGEXMATCH(C6064, ""薪資"")), ""分潤支出"",
  AND(REGEXMATCH(E6064, ""Ben帳戶|Elsa帳戶|Ben代墊|Ariel代墊|中信銀行共用""), REGEXMATCH(F6064, ""Ben帳戶|Elsa帳戶|Ben代墊|Ariel代墊|中信銀行共用"")), ""內部轉帳(忽略)"",
  AND(E6064&lt;&gt;"""", F6064&lt;&gt;"""", N"&amp;"OT(REGEXMATCH(C6064, ""薪資""))), ""內部轉帳(忽略)"",
  REGEXMATCH(C6064, ""薪資""), ""薪資變動(不計入)"",
  REGEXMATCH(C6064, ""押金""), ""押金往來"",
  AND(E6064&lt;&gt;"""", F6064=""""), ""真實支出"",
  AND(E6064="""", F6064&lt;&gt;""""), ""真實收入"",
  TRUE, ""其他""
)"),"其他")</f>
        <v>其他</v>
      </c>
      <c r="K6064" s="270" t="str">
        <f t="shared" si="2"/>
        <v/>
      </c>
      <c r="L6064">
        <f t="shared" si="3"/>
        <v>0</v>
      </c>
    </row>
    <row r="6065">
      <c r="A6065" s="107"/>
      <c r="D6065" s="270"/>
      <c r="H6065" s="106" t="str">
        <f t="shared" si="1"/>
        <v/>
      </c>
      <c r="J6065" t="str">
        <f>IFERROR(__xludf.DUMMYFUNCTION("IFS(
  AND(REGEXMATCH(E6065, ""台銀籌備帳戶|玉山帳戶""), REGEXMATCH(C6065, ""薪資"")), ""分潤支出"",
  AND(REGEXMATCH(E6065, ""Ben帳戶|Elsa帳戶|Ben代墊|Ariel代墊|中信銀行共用""), REGEXMATCH(F6065, ""Ben帳戶|Elsa帳戶|Ben代墊|Ariel代墊|中信銀行共用"")), ""內部轉帳(忽略)"",
  AND(E6065&lt;&gt;"""", F6065&lt;&gt;"""", N"&amp;"OT(REGEXMATCH(C6065, ""薪資""))), ""內部轉帳(忽略)"",
  REGEXMATCH(C6065, ""薪資""), ""薪資變動(不計入)"",
  REGEXMATCH(C6065, ""押金""), ""押金往來"",
  AND(E6065&lt;&gt;"""", F6065=""""), ""真實支出"",
  AND(E6065="""", F6065&lt;&gt;""""), ""真實收入"",
  TRUE, ""其他""
)"),"其他")</f>
        <v>其他</v>
      </c>
      <c r="K6065" s="270" t="str">
        <f t="shared" si="2"/>
        <v/>
      </c>
      <c r="L6065">
        <f t="shared" si="3"/>
        <v>0</v>
      </c>
    </row>
    <row r="6066">
      <c r="A6066" s="107"/>
      <c r="D6066" s="270"/>
      <c r="H6066" s="106" t="str">
        <f t="shared" si="1"/>
        <v/>
      </c>
      <c r="J6066" t="str">
        <f>IFERROR(__xludf.DUMMYFUNCTION("IFS(
  AND(REGEXMATCH(E6066, ""台銀籌備帳戶|玉山帳戶""), REGEXMATCH(C6066, ""薪資"")), ""分潤支出"",
  AND(REGEXMATCH(E6066, ""Ben帳戶|Elsa帳戶|Ben代墊|Ariel代墊|中信銀行共用""), REGEXMATCH(F6066, ""Ben帳戶|Elsa帳戶|Ben代墊|Ariel代墊|中信銀行共用"")), ""內部轉帳(忽略)"",
  AND(E6066&lt;&gt;"""", F6066&lt;&gt;"""", N"&amp;"OT(REGEXMATCH(C6066, ""薪資""))), ""內部轉帳(忽略)"",
  REGEXMATCH(C6066, ""薪資""), ""薪資變動(不計入)"",
  REGEXMATCH(C6066, ""押金""), ""押金往來"",
  AND(E6066&lt;&gt;"""", F6066=""""), ""真實支出"",
  AND(E6066="""", F6066&lt;&gt;""""), ""真實收入"",
  TRUE, ""其他""
)"),"其他")</f>
        <v>其他</v>
      </c>
      <c r="K6066" s="270" t="str">
        <f t="shared" si="2"/>
        <v/>
      </c>
      <c r="L6066">
        <f t="shared" si="3"/>
        <v>0</v>
      </c>
    </row>
    <row r="6067">
      <c r="A6067" s="107"/>
      <c r="D6067" s="270"/>
      <c r="H6067" s="106" t="str">
        <f t="shared" si="1"/>
        <v/>
      </c>
      <c r="J6067" t="str">
        <f>IFERROR(__xludf.DUMMYFUNCTION("IFS(
  AND(REGEXMATCH(E6067, ""台銀籌備帳戶|玉山帳戶""), REGEXMATCH(C6067, ""薪資"")), ""分潤支出"",
  AND(REGEXMATCH(E6067, ""Ben帳戶|Elsa帳戶|Ben代墊|Ariel代墊|中信銀行共用""), REGEXMATCH(F6067, ""Ben帳戶|Elsa帳戶|Ben代墊|Ariel代墊|中信銀行共用"")), ""內部轉帳(忽略)"",
  AND(E6067&lt;&gt;"""", F6067&lt;&gt;"""", N"&amp;"OT(REGEXMATCH(C6067, ""薪資""))), ""內部轉帳(忽略)"",
  REGEXMATCH(C6067, ""薪資""), ""薪資變動(不計入)"",
  REGEXMATCH(C6067, ""押金""), ""押金往來"",
  AND(E6067&lt;&gt;"""", F6067=""""), ""真實支出"",
  AND(E6067="""", F6067&lt;&gt;""""), ""真實收入"",
  TRUE, ""其他""
)"),"其他")</f>
        <v>其他</v>
      </c>
      <c r="K6067" s="270" t="str">
        <f t="shared" si="2"/>
        <v/>
      </c>
      <c r="L6067">
        <f t="shared" si="3"/>
        <v>0</v>
      </c>
    </row>
    <row r="6068">
      <c r="A6068" s="107"/>
      <c r="D6068" s="270"/>
      <c r="H6068" s="106" t="str">
        <f t="shared" si="1"/>
        <v/>
      </c>
      <c r="J6068" t="str">
        <f>IFERROR(__xludf.DUMMYFUNCTION("IFS(
  AND(REGEXMATCH(E6068, ""台銀籌備帳戶|玉山帳戶""), REGEXMATCH(C6068, ""薪資"")), ""分潤支出"",
  AND(REGEXMATCH(E6068, ""Ben帳戶|Elsa帳戶|Ben代墊|Ariel代墊|中信銀行共用""), REGEXMATCH(F6068, ""Ben帳戶|Elsa帳戶|Ben代墊|Ariel代墊|中信銀行共用"")), ""內部轉帳(忽略)"",
  AND(E6068&lt;&gt;"""", F6068&lt;&gt;"""", N"&amp;"OT(REGEXMATCH(C6068, ""薪資""))), ""內部轉帳(忽略)"",
  REGEXMATCH(C6068, ""薪資""), ""薪資變動(不計入)"",
  REGEXMATCH(C6068, ""押金""), ""押金往來"",
  AND(E6068&lt;&gt;"""", F6068=""""), ""真實支出"",
  AND(E6068="""", F6068&lt;&gt;""""), ""真實收入"",
  TRUE, ""其他""
)"),"其他")</f>
        <v>其他</v>
      </c>
      <c r="K6068" s="270" t="str">
        <f t="shared" si="2"/>
        <v/>
      </c>
      <c r="L6068">
        <f t="shared" si="3"/>
        <v>0</v>
      </c>
    </row>
    <row r="6069">
      <c r="A6069" s="107"/>
      <c r="D6069" s="270"/>
      <c r="H6069" s="106" t="str">
        <f t="shared" si="1"/>
        <v/>
      </c>
      <c r="J6069" t="str">
        <f>IFERROR(__xludf.DUMMYFUNCTION("IFS(
  AND(REGEXMATCH(E6069, ""台銀籌備帳戶|玉山帳戶""), REGEXMATCH(C6069, ""薪資"")), ""分潤支出"",
  AND(REGEXMATCH(E6069, ""Ben帳戶|Elsa帳戶|Ben代墊|Ariel代墊|中信銀行共用""), REGEXMATCH(F6069, ""Ben帳戶|Elsa帳戶|Ben代墊|Ariel代墊|中信銀行共用"")), ""內部轉帳(忽略)"",
  AND(E6069&lt;&gt;"""", F6069&lt;&gt;"""", N"&amp;"OT(REGEXMATCH(C6069, ""薪資""))), ""內部轉帳(忽略)"",
  REGEXMATCH(C6069, ""薪資""), ""薪資變動(不計入)"",
  REGEXMATCH(C6069, ""押金""), ""押金往來"",
  AND(E6069&lt;&gt;"""", F6069=""""), ""真實支出"",
  AND(E6069="""", F6069&lt;&gt;""""), ""真實收入"",
  TRUE, ""其他""
)"),"其他")</f>
        <v>其他</v>
      </c>
      <c r="K6069" s="270" t="str">
        <f t="shared" si="2"/>
        <v/>
      </c>
      <c r="L6069">
        <f t="shared" si="3"/>
        <v>0</v>
      </c>
    </row>
    <row r="6070">
      <c r="A6070" s="107"/>
      <c r="D6070" s="270"/>
      <c r="H6070" s="106" t="str">
        <f t="shared" si="1"/>
        <v/>
      </c>
      <c r="J6070" t="str">
        <f>IFERROR(__xludf.DUMMYFUNCTION("IFS(
  AND(REGEXMATCH(E6070, ""台銀籌備帳戶|玉山帳戶""), REGEXMATCH(C6070, ""薪資"")), ""分潤支出"",
  AND(REGEXMATCH(E6070, ""Ben帳戶|Elsa帳戶|Ben代墊|Ariel代墊|中信銀行共用""), REGEXMATCH(F6070, ""Ben帳戶|Elsa帳戶|Ben代墊|Ariel代墊|中信銀行共用"")), ""內部轉帳(忽略)"",
  AND(E6070&lt;&gt;"""", F6070&lt;&gt;"""", N"&amp;"OT(REGEXMATCH(C6070, ""薪資""))), ""內部轉帳(忽略)"",
  REGEXMATCH(C6070, ""薪資""), ""薪資變動(不計入)"",
  REGEXMATCH(C6070, ""押金""), ""押金往來"",
  AND(E6070&lt;&gt;"""", F6070=""""), ""真實支出"",
  AND(E6070="""", F6070&lt;&gt;""""), ""真實收入"",
  TRUE, ""其他""
)"),"其他")</f>
        <v>其他</v>
      </c>
      <c r="K6070" s="270" t="str">
        <f t="shared" si="2"/>
        <v/>
      </c>
      <c r="L6070">
        <f t="shared" si="3"/>
        <v>0</v>
      </c>
    </row>
    <row r="6071">
      <c r="A6071" s="107"/>
      <c r="D6071" s="270"/>
      <c r="H6071" s="106" t="str">
        <f t="shared" si="1"/>
        <v/>
      </c>
      <c r="J6071" t="str">
        <f>IFERROR(__xludf.DUMMYFUNCTION("IFS(
  AND(REGEXMATCH(E6071, ""台銀籌備帳戶|玉山帳戶""), REGEXMATCH(C6071, ""薪資"")), ""分潤支出"",
  AND(REGEXMATCH(E6071, ""Ben帳戶|Elsa帳戶|Ben代墊|Ariel代墊|中信銀行共用""), REGEXMATCH(F6071, ""Ben帳戶|Elsa帳戶|Ben代墊|Ariel代墊|中信銀行共用"")), ""內部轉帳(忽略)"",
  AND(E6071&lt;&gt;"""", F6071&lt;&gt;"""", N"&amp;"OT(REGEXMATCH(C6071, ""薪資""))), ""內部轉帳(忽略)"",
  REGEXMATCH(C6071, ""薪資""), ""薪資變動(不計入)"",
  REGEXMATCH(C6071, ""押金""), ""押金往來"",
  AND(E6071&lt;&gt;"""", F6071=""""), ""真實支出"",
  AND(E6071="""", F6071&lt;&gt;""""), ""真實收入"",
  TRUE, ""其他""
)"),"其他")</f>
        <v>其他</v>
      </c>
      <c r="K6071" s="270" t="str">
        <f t="shared" si="2"/>
        <v/>
      </c>
      <c r="L6071">
        <f t="shared" si="3"/>
        <v>0</v>
      </c>
    </row>
    <row r="6072">
      <c r="A6072" s="107"/>
      <c r="D6072" s="270"/>
      <c r="H6072" s="106" t="str">
        <f t="shared" si="1"/>
        <v/>
      </c>
      <c r="J6072" t="str">
        <f>IFERROR(__xludf.DUMMYFUNCTION("IFS(
  AND(REGEXMATCH(E6072, ""台銀籌備帳戶|玉山帳戶""), REGEXMATCH(C6072, ""薪資"")), ""分潤支出"",
  AND(REGEXMATCH(E6072, ""Ben帳戶|Elsa帳戶|Ben代墊|Ariel代墊|中信銀行共用""), REGEXMATCH(F6072, ""Ben帳戶|Elsa帳戶|Ben代墊|Ariel代墊|中信銀行共用"")), ""內部轉帳(忽略)"",
  AND(E6072&lt;&gt;"""", F6072&lt;&gt;"""", N"&amp;"OT(REGEXMATCH(C6072, ""薪資""))), ""內部轉帳(忽略)"",
  REGEXMATCH(C6072, ""薪資""), ""薪資變動(不計入)"",
  REGEXMATCH(C6072, ""押金""), ""押金往來"",
  AND(E6072&lt;&gt;"""", F6072=""""), ""真實支出"",
  AND(E6072="""", F6072&lt;&gt;""""), ""真實收入"",
  TRUE, ""其他""
)"),"其他")</f>
        <v>其他</v>
      </c>
      <c r="K6072" s="270" t="str">
        <f t="shared" si="2"/>
        <v/>
      </c>
      <c r="L6072">
        <f t="shared" si="3"/>
        <v>0</v>
      </c>
    </row>
    <row r="6073">
      <c r="A6073" s="107"/>
      <c r="D6073" s="270"/>
      <c r="H6073" s="106" t="str">
        <f t="shared" si="1"/>
        <v/>
      </c>
      <c r="J6073" t="str">
        <f>IFERROR(__xludf.DUMMYFUNCTION("IFS(
  AND(REGEXMATCH(E6073, ""台銀籌備帳戶|玉山帳戶""), REGEXMATCH(C6073, ""薪資"")), ""分潤支出"",
  AND(REGEXMATCH(E6073, ""Ben帳戶|Elsa帳戶|Ben代墊|Ariel代墊|中信銀行共用""), REGEXMATCH(F6073, ""Ben帳戶|Elsa帳戶|Ben代墊|Ariel代墊|中信銀行共用"")), ""內部轉帳(忽略)"",
  AND(E6073&lt;&gt;"""", F6073&lt;&gt;"""", N"&amp;"OT(REGEXMATCH(C6073, ""薪資""))), ""內部轉帳(忽略)"",
  REGEXMATCH(C6073, ""薪資""), ""薪資變動(不計入)"",
  REGEXMATCH(C6073, ""押金""), ""押金往來"",
  AND(E6073&lt;&gt;"""", F6073=""""), ""真實支出"",
  AND(E6073="""", F6073&lt;&gt;""""), ""真實收入"",
  TRUE, ""其他""
)"),"其他")</f>
        <v>其他</v>
      </c>
      <c r="K6073" s="270" t="str">
        <f t="shared" si="2"/>
        <v/>
      </c>
      <c r="L6073">
        <f t="shared" si="3"/>
        <v>0</v>
      </c>
    </row>
    <row r="6074">
      <c r="A6074" s="107"/>
      <c r="D6074" s="270"/>
      <c r="H6074" s="106" t="str">
        <f t="shared" si="1"/>
        <v/>
      </c>
      <c r="J6074" t="str">
        <f>IFERROR(__xludf.DUMMYFUNCTION("IFS(
  AND(REGEXMATCH(E6074, ""台銀籌備帳戶|玉山帳戶""), REGEXMATCH(C6074, ""薪資"")), ""分潤支出"",
  AND(REGEXMATCH(E6074, ""Ben帳戶|Elsa帳戶|Ben代墊|Ariel代墊|中信銀行共用""), REGEXMATCH(F6074, ""Ben帳戶|Elsa帳戶|Ben代墊|Ariel代墊|中信銀行共用"")), ""內部轉帳(忽略)"",
  AND(E6074&lt;&gt;"""", F6074&lt;&gt;"""", N"&amp;"OT(REGEXMATCH(C6074, ""薪資""))), ""內部轉帳(忽略)"",
  REGEXMATCH(C6074, ""薪資""), ""薪資變動(不計入)"",
  REGEXMATCH(C6074, ""押金""), ""押金往來"",
  AND(E6074&lt;&gt;"""", F6074=""""), ""真實支出"",
  AND(E6074="""", F6074&lt;&gt;""""), ""真實收入"",
  TRUE, ""其他""
)"),"其他")</f>
        <v>其他</v>
      </c>
      <c r="K6074" s="270" t="str">
        <f t="shared" si="2"/>
        <v/>
      </c>
      <c r="L6074">
        <f t="shared" si="3"/>
        <v>0</v>
      </c>
    </row>
    <row r="6075">
      <c r="A6075" s="107"/>
      <c r="D6075" s="270"/>
      <c r="H6075" s="106" t="str">
        <f t="shared" si="1"/>
        <v/>
      </c>
      <c r="J6075" t="str">
        <f>IFERROR(__xludf.DUMMYFUNCTION("IFS(
  AND(REGEXMATCH(E6075, ""台銀籌備帳戶|玉山帳戶""), REGEXMATCH(C6075, ""薪資"")), ""分潤支出"",
  AND(REGEXMATCH(E6075, ""Ben帳戶|Elsa帳戶|Ben代墊|Ariel代墊|中信銀行共用""), REGEXMATCH(F6075, ""Ben帳戶|Elsa帳戶|Ben代墊|Ariel代墊|中信銀行共用"")), ""內部轉帳(忽略)"",
  AND(E6075&lt;&gt;"""", F6075&lt;&gt;"""", N"&amp;"OT(REGEXMATCH(C6075, ""薪資""))), ""內部轉帳(忽略)"",
  REGEXMATCH(C6075, ""薪資""), ""薪資變動(不計入)"",
  REGEXMATCH(C6075, ""押金""), ""押金往來"",
  AND(E6075&lt;&gt;"""", F6075=""""), ""真實支出"",
  AND(E6075="""", F6075&lt;&gt;""""), ""真實收入"",
  TRUE, ""其他""
)"),"其他")</f>
        <v>其他</v>
      </c>
      <c r="K6075" s="270" t="str">
        <f t="shared" si="2"/>
        <v/>
      </c>
      <c r="L6075">
        <f t="shared" si="3"/>
        <v>0</v>
      </c>
    </row>
    <row r="6076">
      <c r="A6076" s="107"/>
      <c r="D6076" s="270"/>
      <c r="H6076" s="106" t="str">
        <f t="shared" si="1"/>
        <v/>
      </c>
      <c r="J6076" t="str">
        <f>IFERROR(__xludf.DUMMYFUNCTION("IFS(
  AND(REGEXMATCH(E6076, ""台銀籌備帳戶|玉山帳戶""), REGEXMATCH(C6076, ""薪資"")), ""分潤支出"",
  AND(REGEXMATCH(E6076, ""Ben帳戶|Elsa帳戶|Ben代墊|Ariel代墊|中信銀行共用""), REGEXMATCH(F6076, ""Ben帳戶|Elsa帳戶|Ben代墊|Ariel代墊|中信銀行共用"")), ""內部轉帳(忽略)"",
  AND(E6076&lt;&gt;"""", F6076&lt;&gt;"""", N"&amp;"OT(REGEXMATCH(C6076, ""薪資""))), ""內部轉帳(忽略)"",
  REGEXMATCH(C6076, ""薪資""), ""薪資變動(不計入)"",
  REGEXMATCH(C6076, ""押金""), ""押金往來"",
  AND(E6076&lt;&gt;"""", F6076=""""), ""真實支出"",
  AND(E6076="""", F6076&lt;&gt;""""), ""真實收入"",
  TRUE, ""其他""
)"),"其他")</f>
        <v>其他</v>
      </c>
      <c r="K6076" s="270" t="str">
        <f t="shared" si="2"/>
        <v/>
      </c>
      <c r="L6076">
        <f t="shared" si="3"/>
        <v>0</v>
      </c>
    </row>
    <row r="6077">
      <c r="A6077" s="107"/>
      <c r="D6077" s="270"/>
      <c r="H6077" s="106" t="str">
        <f t="shared" si="1"/>
        <v/>
      </c>
      <c r="J6077" t="str">
        <f>IFERROR(__xludf.DUMMYFUNCTION("IFS(
  AND(REGEXMATCH(E6077, ""台銀籌備帳戶|玉山帳戶""), REGEXMATCH(C6077, ""薪資"")), ""分潤支出"",
  AND(REGEXMATCH(E6077, ""Ben帳戶|Elsa帳戶|Ben代墊|Ariel代墊|中信銀行共用""), REGEXMATCH(F6077, ""Ben帳戶|Elsa帳戶|Ben代墊|Ariel代墊|中信銀行共用"")), ""內部轉帳(忽略)"",
  AND(E6077&lt;&gt;"""", F6077&lt;&gt;"""", N"&amp;"OT(REGEXMATCH(C6077, ""薪資""))), ""內部轉帳(忽略)"",
  REGEXMATCH(C6077, ""薪資""), ""薪資變動(不計入)"",
  REGEXMATCH(C6077, ""押金""), ""押金往來"",
  AND(E6077&lt;&gt;"""", F6077=""""), ""真實支出"",
  AND(E6077="""", F6077&lt;&gt;""""), ""真實收入"",
  TRUE, ""其他""
)"),"其他")</f>
        <v>其他</v>
      </c>
      <c r="K6077" s="270" t="str">
        <f t="shared" si="2"/>
        <v/>
      </c>
      <c r="L6077">
        <f t="shared" si="3"/>
        <v>0</v>
      </c>
    </row>
    <row r="6078">
      <c r="A6078" s="107"/>
      <c r="D6078" s="270"/>
      <c r="H6078" s="106" t="str">
        <f t="shared" si="1"/>
        <v/>
      </c>
      <c r="J6078" t="str">
        <f>IFERROR(__xludf.DUMMYFUNCTION("IFS(
  AND(REGEXMATCH(E6078, ""台銀籌備帳戶|玉山帳戶""), REGEXMATCH(C6078, ""薪資"")), ""分潤支出"",
  AND(REGEXMATCH(E6078, ""Ben帳戶|Elsa帳戶|Ben代墊|Ariel代墊|中信銀行共用""), REGEXMATCH(F6078, ""Ben帳戶|Elsa帳戶|Ben代墊|Ariel代墊|中信銀行共用"")), ""內部轉帳(忽略)"",
  AND(E6078&lt;&gt;"""", F6078&lt;&gt;"""", N"&amp;"OT(REGEXMATCH(C6078, ""薪資""))), ""內部轉帳(忽略)"",
  REGEXMATCH(C6078, ""薪資""), ""薪資變動(不計入)"",
  REGEXMATCH(C6078, ""押金""), ""押金往來"",
  AND(E6078&lt;&gt;"""", F6078=""""), ""真實支出"",
  AND(E6078="""", F6078&lt;&gt;""""), ""真實收入"",
  TRUE, ""其他""
)"),"其他")</f>
        <v>其他</v>
      </c>
      <c r="K6078" s="270" t="str">
        <f t="shared" si="2"/>
        <v/>
      </c>
      <c r="L6078">
        <f t="shared" si="3"/>
        <v>0</v>
      </c>
    </row>
    <row r="6079">
      <c r="A6079" s="107"/>
      <c r="D6079" s="270"/>
      <c r="H6079" s="106" t="str">
        <f t="shared" si="1"/>
        <v/>
      </c>
      <c r="J6079" t="str">
        <f>IFERROR(__xludf.DUMMYFUNCTION("IFS(
  AND(REGEXMATCH(E6079, ""台銀籌備帳戶|玉山帳戶""), REGEXMATCH(C6079, ""薪資"")), ""分潤支出"",
  AND(REGEXMATCH(E6079, ""Ben帳戶|Elsa帳戶|Ben代墊|Ariel代墊|中信銀行共用""), REGEXMATCH(F6079, ""Ben帳戶|Elsa帳戶|Ben代墊|Ariel代墊|中信銀行共用"")), ""內部轉帳(忽略)"",
  AND(E6079&lt;&gt;"""", F6079&lt;&gt;"""", N"&amp;"OT(REGEXMATCH(C6079, ""薪資""))), ""內部轉帳(忽略)"",
  REGEXMATCH(C6079, ""薪資""), ""薪資變動(不計入)"",
  REGEXMATCH(C6079, ""押金""), ""押金往來"",
  AND(E6079&lt;&gt;"""", F6079=""""), ""真實支出"",
  AND(E6079="""", F6079&lt;&gt;""""), ""真實收入"",
  TRUE, ""其他""
)"),"其他")</f>
        <v>其他</v>
      </c>
      <c r="K6079" s="270" t="str">
        <f t="shared" si="2"/>
        <v/>
      </c>
      <c r="L6079">
        <f t="shared" si="3"/>
        <v>0</v>
      </c>
    </row>
    <row r="6080">
      <c r="A6080" s="107"/>
      <c r="D6080" s="270"/>
      <c r="H6080" s="106" t="str">
        <f t="shared" si="1"/>
        <v/>
      </c>
      <c r="J6080" t="str">
        <f>IFERROR(__xludf.DUMMYFUNCTION("IFS(
  AND(REGEXMATCH(E6080, ""台銀籌備帳戶|玉山帳戶""), REGEXMATCH(C6080, ""薪資"")), ""分潤支出"",
  AND(REGEXMATCH(E6080, ""Ben帳戶|Elsa帳戶|Ben代墊|Ariel代墊|中信銀行共用""), REGEXMATCH(F6080, ""Ben帳戶|Elsa帳戶|Ben代墊|Ariel代墊|中信銀行共用"")), ""內部轉帳(忽略)"",
  AND(E6080&lt;&gt;"""", F6080&lt;&gt;"""", N"&amp;"OT(REGEXMATCH(C6080, ""薪資""))), ""內部轉帳(忽略)"",
  REGEXMATCH(C6080, ""薪資""), ""薪資變動(不計入)"",
  REGEXMATCH(C6080, ""押金""), ""押金往來"",
  AND(E6080&lt;&gt;"""", F6080=""""), ""真實支出"",
  AND(E6080="""", F6080&lt;&gt;""""), ""真實收入"",
  TRUE, ""其他""
)"),"其他")</f>
        <v>其他</v>
      </c>
      <c r="K6080" s="270" t="str">
        <f t="shared" si="2"/>
        <v/>
      </c>
      <c r="L6080">
        <f t="shared" si="3"/>
        <v>0</v>
      </c>
    </row>
    <row r="6081">
      <c r="A6081" s="107"/>
      <c r="D6081" s="270"/>
      <c r="H6081" s="106" t="str">
        <f t="shared" si="1"/>
        <v/>
      </c>
      <c r="J6081" t="str">
        <f>IFERROR(__xludf.DUMMYFUNCTION("IFS(
  AND(REGEXMATCH(E6081, ""台銀籌備帳戶|玉山帳戶""), REGEXMATCH(C6081, ""薪資"")), ""分潤支出"",
  AND(REGEXMATCH(E6081, ""Ben帳戶|Elsa帳戶|Ben代墊|Ariel代墊|中信銀行共用""), REGEXMATCH(F6081, ""Ben帳戶|Elsa帳戶|Ben代墊|Ariel代墊|中信銀行共用"")), ""內部轉帳(忽略)"",
  AND(E6081&lt;&gt;"""", F6081&lt;&gt;"""", N"&amp;"OT(REGEXMATCH(C6081, ""薪資""))), ""內部轉帳(忽略)"",
  REGEXMATCH(C6081, ""薪資""), ""薪資變動(不計入)"",
  REGEXMATCH(C6081, ""押金""), ""押金往來"",
  AND(E6081&lt;&gt;"""", F6081=""""), ""真實支出"",
  AND(E6081="""", F6081&lt;&gt;""""), ""真實收入"",
  TRUE, ""其他""
)"),"其他")</f>
        <v>其他</v>
      </c>
      <c r="K6081" s="270" t="str">
        <f t="shared" si="2"/>
        <v/>
      </c>
      <c r="L6081">
        <f t="shared" si="3"/>
        <v>0</v>
      </c>
    </row>
    <row r="6082">
      <c r="A6082" s="107"/>
      <c r="D6082" s="270"/>
      <c r="H6082" s="106" t="str">
        <f t="shared" si="1"/>
        <v/>
      </c>
      <c r="J6082" t="str">
        <f>IFERROR(__xludf.DUMMYFUNCTION("IFS(
  AND(REGEXMATCH(E6082, ""台銀籌備帳戶|玉山帳戶""), REGEXMATCH(C6082, ""薪資"")), ""分潤支出"",
  AND(REGEXMATCH(E6082, ""Ben帳戶|Elsa帳戶|Ben代墊|Ariel代墊|中信銀行共用""), REGEXMATCH(F6082, ""Ben帳戶|Elsa帳戶|Ben代墊|Ariel代墊|中信銀行共用"")), ""內部轉帳(忽略)"",
  AND(E6082&lt;&gt;"""", F6082&lt;&gt;"""", N"&amp;"OT(REGEXMATCH(C6082, ""薪資""))), ""內部轉帳(忽略)"",
  REGEXMATCH(C6082, ""薪資""), ""薪資變動(不計入)"",
  REGEXMATCH(C6082, ""押金""), ""押金往來"",
  AND(E6082&lt;&gt;"""", F6082=""""), ""真實支出"",
  AND(E6082="""", F6082&lt;&gt;""""), ""真實收入"",
  TRUE, ""其他""
)"),"其他")</f>
        <v>其他</v>
      </c>
      <c r="K6082" s="270" t="str">
        <f t="shared" si="2"/>
        <v/>
      </c>
      <c r="L6082">
        <f t="shared" si="3"/>
        <v>0</v>
      </c>
    </row>
    <row r="6083">
      <c r="A6083" s="107"/>
      <c r="D6083" s="270"/>
      <c r="H6083" s="106" t="str">
        <f t="shared" si="1"/>
        <v/>
      </c>
      <c r="J6083" t="str">
        <f>IFERROR(__xludf.DUMMYFUNCTION("IFS(
  AND(REGEXMATCH(E6083, ""台銀籌備帳戶|玉山帳戶""), REGEXMATCH(C6083, ""薪資"")), ""分潤支出"",
  AND(REGEXMATCH(E6083, ""Ben帳戶|Elsa帳戶|Ben代墊|Ariel代墊|中信銀行共用""), REGEXMATCH(F6083, ""Ben帳戶|Elsa帳戶|Ben代墊|Ariel代墊|中信銀行共用"")), ""內部轉帳(忽略)"",
  AND(E6083&lt;&gt;"""", F6083&lt;&gt;"""", N"&amp;"OT(REGEXMATCH(C6083, ""薪資""))), ""內部轉帳(忽略)"",
  REGEXMATCH(C6083, ""薪資""), ""薪資變動(不計入)"",
  REGEXMATCH(C6083, ""押金""), ""押金往來"",
  AND(E6083&lt;&gt;"""", F6083=""""), ""真實支出"",
  AND(E6083="""", F6083&lt;&gt;""""), ""真實收入"",
  TRUE, ""其他""
)"),"其他")</f>
        <v>其他</v>
      </c>
      <c r="K6083" s="270" t="str">
        <f t="shared" si="2"/>
        <v/>
      </c>
      <c r="L6083">
        <f t="shared" si="3"/>
        <v>0</v>
      </c>
    </row>
    <row r="6084">
      <c r="A6084" s="107"/>
      <c r="D6084" s="270"/>
      <c r="H6084" s="106" t="str">
        <f t="shared" si="1"/>
        <v/>
      </c>
      <c r="J6084" t="str">
        <f>IFERROR(__xludf.DUMMYFUNCTION("IFS(
  AND(REGEXMATCH(E6084, ""台銀籌備帳戶|玉山帳戶""), REGEXMATCH(C6084, ""薪資"")), ""分潤支出"",
  AND(REGEXMATCH(E6084, ""Ben帳戶|Elsa帳戶|Ben代墊|Ariel代墊|中信銀行共用""), REGEXMATCH(F6084, ""Ben帳戶|Elsa帳戶|Ben代墊|Ariel代墊|中信銀行共用"")), ""內部轉帳(忽略)"",
  AND(E6084&lt;&gt;"""", F6084&lt;&gt;"""", N"&amp;"OT(REGEXMATCH(C6084, ""薪資""))), ""內部轉帳(忽略)"",
  REGEXMATCH(C6084, ""薪資""), ""薪資變動(不計入)"",
  REGEXMATCH(C6084, ""押金""), ""押金往來"",
  AND(E6084&lt;&gt;"""", F6084=""""), ""真實支出"",
  AND(E6084="""", F6084&lt;&gt;""""), ""真實收入"",
  TRUE, ""其他""
)"),"其他")</f>
        <v>其他</v>
      </c>
      <c r="K6084" s="270" t="str">
        <f t="shared" si="2"/>
        <v/>
      </c>
      <c r="L6084">
        <f t="shared" si="3"/>
        <v>0</v>
      </c>
    </row>
    <row r="6085">
      <c r="A6085" s="107"/>
      <c r="D6085" s="270"/>
      <c r="H6085" s="106" t="str">
        <f t="shared" si="1"/>
        <v/>
      </c>
      <c r="J6085" t="str">
        <f>IFERROR(__xludf.DUMMYFUNCTION("IFS(
  AND(REGEXMATCH(E6085, ""台銀籌備帳戶|玉山帳戶""), REGEXMATCH(C6085, ""薪資"")), ""分潤支出"",
  AND(REGEXMATCH(E6085, ""Ben帳戶|Elsa帳戶|Ben代墊|Ariel代墊|中信銀行共用""), REGEXMATCH(F6085, ""Ben帳戶|Elsa帳戶|Ben代墊|Ariel代墊|中信銀行共用"")), ""內部轉帳(忽略)"",
  AND(E6085&lt;&gt;"""", F6085&lt;&gt;"""", N"&amp;"OT(REGEXMATCH(C6085, ""薪資""))), ""內部轉帳(忽略)"",
  REGEXMATCH(C6085, ""薪資""), ""薪資變動(不計入)"",
  REGEXMATCH(C6085, ""押金""), ""押金往來"",
  AND(E6085&lt;&gt;"""", F6085=""""), ""真實支出"",
  AND(E6085="""", F6085&lt;&gt;""""), ""真實收入"",
  TRUE, ""其他""
)"),"其他")</f>
        <v>其他</v>
      </c>
      <c r="K6085" s="270" t="str">
        <f t="shared" si="2"/>
        <v/>
      </c>
      <c r="L6085">
        <f t="shared" si="3"/>
        <v>0</v>
      </c>
    </row>
    <row r="6086">
      <c r="A6086" s="107"/>
      <c r="D6086" s="270"/>
      <c r="H6086" s="106" t="str">
        <f t="shared" si="1"/>
        <v/>
      </c>
      <c r="J6086" t="str">
        <f>IFERROR(__xludf.DUMMYFUNCTION("IFS(
  AND(REGEXMATCH(E6086, ""台銀籌備帳戶|玉山帳戶""), REGEXMATCH(C6086, ""薪資"")), ""分潤支出"",
  AND(REGEXMATCH(E6086, ""Ben帳戶|Elsa帳戶|Ben代墊|Ariel代墊|中信銀行共用""), REGEXMATCH(F6086, ""Ben帳戶|Elsa帳戶|Ben代墊|Ariel代墊|中信銀行共用"")), ""內部轉帳(忽略)"",
  AND(E6086&lt;&gt;"""", F6086&lt;&gt;"""", N"&amp;"OT(REGEXMATCH(C6086, ""薪資""))), ""內部轉帳(忽略)"",
  REGEXMATCH(C6086, ""薪資""), ""薪資變動(不計入)"",
  REGEXMATCH(C6086, ""押金""), ""押金往來"",
  AND(E6086&lt;&gt;"""", F6086=""""), ""真實支出"",
  AND(E6086="""", F6086&lt;&gt;""""), ""真實收入"",
  TRUE, ""其他""
)"),"其他")</f>
        <v>其他</v>
      </c>
      <c r="K6086" s="270" t="str">
        <f t="shared" si="2"/>
        <v/>
      </c>
      <c r="L6086">
        <f t="shared" si="3"/>
        <v>0</v>
      </c>
    </row>
    <row r="6087">
      <c r="A6087" s="107"/>
      <c r="D6087" s="270"/>
      <c r="H6087" s="106" t="str">
        <f t="shared" si="1"/>
        <v/>
      </c>
      <c r="J6087" t="str">
        <f>IFERROR(__xludf.DUMMYFUNCTION("IFS(
  AND(REGEXMATCH(E6087, ""台銀籌備帳戶|玉山帳戶""), REGEXMATCH(C6087, ""薪資"")), ""分潤支出"",
  AND(REGEXMATCH(E6087, ""Ben帳戶|Elsa帳戶|Ben代墊|Ariel代墊|中信銀行共用""), REGEXMATCH(F6087, ""Ben帳戶|Elsa帳戶|Ben代墊|Ariel代墊|中信銀行共用"")), ""內部轉帳(忽略)"",
  AND(E6087&lt;&gt;"""", F6087&lt;&gt;"""", N"&amp;"OT(REGEXMATCH(C6087, ""薪資""))), ""內部轉帳(忽略)"",
  REGEXMATCH(C6087, ""薪資""), ""薪資變動(不計入)"",
  REGEXMATCH(C6087, ""押金""), ""押金往來"",
  AND(E6087&lt;&gt;"""", F6087=""""), ""真實支出"",
  AND(E6087="""", F6087&lt;&gt;""""), ""真實收入"",
  TRUE, ""其他""
)"),"其他")</f>
        <v>其他</v>
      </c>
      <c r="K6087" s="270" t="str">
        <f t="shared" si="2"/>
        <v/>
      </c>
      <c r="L6087">
        <f t="shared" si="3"/>
        <v>0</v>
      </c>
    </row>
    <row r="6088">
      <c r="A6088" s="107"/>
      <c r="D6088" s="270"/>
      <c r="H6088" s="106" t="str">
        <f t="shared" si="1"/>
        <v/>
      </c>
      <c r="J6088" t="str">
        <f>IFERROR(__xludf.DUMMYFUNCTION("IFS(
  AND(REGEXMATCH(E6088, ""台銀籌備帳戶|玉山帳戶""), REGEXMATCH(C6088, ""薪資"")), ""分潤支出"",
  AND(REGEXMATCH(E6088, ""Ben帳戶|Elsa帳戶|Ben代墊|Ariel代墊|中信銀行共用""), REGEXMATCH(F6088, ""Ben帳戶|Elsa帳戶|Ben代墊|Ariel代墊|中信銀行共用"")), ""內部轉帳(忽略)"",
  AND(E6088&lt;&gt;"""", F6088&lt;&gt;"""", N"&amp;"OT(REGEXMATCH(C6088, ""薪資""))), ""內部轉帳(忽略)"",
  REGEXMATCH(C6088, ""薪資""), ""薪資變動(不計入)"",
  REGEXMATCH(C6088, ""押金""), ""押金往來"",
  AND(E6088&lt;&gt;"""", F6088=""""), ""真實支出"",
  AND(E6088="""", F6088&lt;&gt;""""), ""真實收入"",
  TRUE, ""其他""
)"),"其他")</f>
        <v>其他</v>
      </c>
      <c r="K6088" s="270" t="str">
        <f t="shared" si="2"/>
        <v/>
      </c>
      <c r="L6088">
        <f t="shared" si="3"/>
        <v>0</v>
      </c>
    </row>
    <row r="6089">
      <c r="A6089" s="107"/>
      <c r="D6089" s="270"/>
      <c r="H6089" s="106" t="str">
        <f t="shared" si="1"/>
        <v/>
      </c>
      <c r="J6089" t="str">
        <f>IFERROR(__xludf.DUMMYFUNCTION("IFS(
  AND(REGEXMATCH(E6089, ""台銀籌備帳戶|玉山帳戶""), REGEXMATCH(C6089, ""薪資"")), ""分潤支出"",
  AND(REGEXMATCH(E6089, ""Ben帳戶|Elsa帳戶|Ben代墊|Ariel代墊|中信銀行共用""), REGEXMATCH(F6089, ""Ben帳戶|Elsa帳戶|Ben代墊|Ariel代墊|中信銀行共用"")), ""內部轉帳(忽略)"",
  AND(E6089&lt;&gt;"""", F6089&lt;&gt;"""", N"&amp;"OT(REGEXMATCH(C6089, ""薪資""))), ""內部轉帳(忽略)"",
  REGEXMATCH(C6089, ""薪資""), ""薪資變動(不計入)"",
  REGEXMATCH(C6089, ""押金""), ""押金往來"",
  AND(E6089&lt;&gt;"""", F6089=""""), ""真實支出"",
  AND(E6089="""", F6089&lt;&gt;""""), ""真實收入"",
  TRUE, ""其他""
)"),"其他")</f>
        <v>其他</v>
      </c>
      <c r="K6089" s="270" t="str">
        <f t="shared" si="2"/>
        <v/>
      </c>
      <c r="L6089">
        <f t="shared" si="3"/>
        <v>0</v>
      </c>
    </row>
    <row r="6090">
      <c r="A6090" s="107"/>
      <c r="D6090" s="270"/>
      <c r="H6090" s="106" t="str">
        <f t="shared" si="1"/>
        <v/>
      </c>
      <c r="J6090" t="str">
        <f>IFERROR(__xludf.DUMMYFUNCTION("IFS(
  AND(REGEXMATCH(E6090, ""台銀籌備帳戶|玉山帳戶""), REGEXMATCH(C6090, ""薪資"")), ""分潤支出"",
  AND(REGEXMATCH(E6090, ""Ben帳戶|Elsa帳戶|Ben代墊|Ariel代墊|中信銀行共用""), REGEXMATCH(F6090, ""Ben帳戶|Elsa帳戶|Ben代墊|Ariel代墊|中信銀行共用"")), ""內部轉帳(忽略)"",
  AND(E6090&lt;&gt;"""", F6090&lt;&gt;"""", N"&amp;"OT(REGEXMATCH(C6090, ""薪資""))), ""內部轉帳(忽略)"",
  REGEXMATCH(C6090, ""薪資""), ""薪資變動(不計入)"",
  REGEXMATCH(C6090, ""押金""), ""押金往來"",
  AND(E6090&lt;&gt;"""", F6090=""""), ""真實支出"",
  AND(E6090="""", F6090&lt;&gt;""""), ""真實收入"",
  TRUE, ""其他""
)"),"其他")</f>
        <v>其他</v>
      </c>
      <c r="K6090" s="270" t="str">
        <f t="shared" si="2"/>
        <v/>
      </c>
      <c r="L6090">
        <f t="shared" si="3"/>
        <v>0</v>
      </c>
    </row>
    <row r="6091">
      <c r="A6091" s="107"/>
      <c r="D6091" s="270"/>
      <c r="H6091" s="106" t="str">
        <f t="shared" si="1"/>
        <v/>
      </c>
      <c r="J6091" t="str">
        <f>IFERROR(__xludf.DUMMYFUNCTION("IFS(
  AND(REGEXMATCH(E6091, ""台銀籌備帳戶|玉山帳戶""), REGEXMATCH(C6091, ""薪資"")), ""分潤支出"",
  AND(REGEXMATCH(E6091, ""Ben帳戶|Elsa帳戶|Ben代墊|Ariel代墊|中信銀行共用""), REGEXMATCH(F6091, ""Ben帳戶|Elsa帳戶|Ben代墊|Ariel代墊|中信銀行共用"")), ""內部轉帳(忽略)"",
  AND(E6091&lt;&gt;"""", F6091&lt;&gt;"""", N"&amp;"OT(REGEXMATCH(C6091, ""薪資""))), ""內部轉帳(忽略)"",
  REGEXMATCH(C6091, ""薪資""), ""薪資變動(不計入)"",
  REGEXMATCH(C6091, ""押金""), ""押金往來"",
  AND(E6091&lt;&gt;"""", F6091=""""), ""真實支出"",
  AND(E6091="""", F6091&lt;&gt;""""), ""真實收入"",
  TRUE, ""其他""
)"),"其他")</f>
        <v>其他</v>
      </c>
      <c r="K6091" s="270" t="str">
        <f t="shared" si="2"/>
        <v/>
      </c>
      <c r="L6091">
        <f t="shared" si="3"/>
        <v>0</v>
      </c>
    </row>
    <row r="6092">
      <c r="A6092" s="107"/>
      <c r="D6092" s="270"/>
      <c r="H6092" s="106" t="str">
        <f t="shared" si="1"/>
        <v/>
      </c>
      <c r="J6092" t="str">
        <f>IFERROR(__xludf.DUMMYFUNCTION("IFS(
  AND(REGEXMATCH(E6092, ""台銀籌備帳戶|玉山帳戶""), REGEXMATCH(C6092, ""薪資"")), ""分潤支出"",
  AND(REGEXMATCH(E6092, ""Ben帳戶|Elsa帳戶|Ben代墊|Ariel代墊|中信銀行共用""), REGEXMATCH(F6092, ""Ben帳戶|Elsa帳戶|Ben代墊|Ariel代墊|中信銀行共用"")), ""內部轉帳(忽略)"",
  AND(E6092&lt;&gt;"""", F6092&lt;&gt;"""", N"&amp;"OT(REGEXMATCH(C6092, ""薪資""))), ""內部轉帳(忽略)"",
  REGEXMATCH(C6092, ""薪資""), ""薪資變動(不計入)"",
  REGEXMATCH(C6092, ""押金""), ""押金往來"",
  AND(E6092&lt;&gt;"""", F6092=""""), ""真實支出"",
  AND(E6092="""", F6092&lt;&gt;""""), ""真實收入"",
  TRUE, ""其他""
)"),"其他")</f>
        <v>其他</v>
      </c>
      <c r="K6092" s="270" t="str">
        <f t="shared" si="2"/>
        <v/>
      </c>
      <c r="L6092">
        <f t="shared" si="3"/>
        <v>0</v>
      </c>
    </row>
    <row r="6093">
      <c r="A6093" s="107"/>
      <c r="D6093" s="270"/>
      <c r="H6093" s="106" t="str">
        <f t="shared" si="1"/>
        <v/>
      </c>
      <c r="J6093" t="str">
        <f>IFERROR(__xludf.DUMMYFUNCTION("IFS(
  AND(REGEXMATCH(E6093, ""台銀籌備帳戶|玉山帳戶""), REGEXMATCH(C6093, ""薪資"")), ""分潤支出"",
  AND(REGEXMATCH(E6093, ""Ben帳戶|Elsa帳戶|Ben代墊|Ariel代墊|中信銀行共用""), REGEXMATCH(F6093, ""Ben帳戶|Elsa帳戶|Ben代墊|Ariel代墊|中信銀行共用"")), ""內部轉帳(忽略)"",
  AND(E6093&lt;&gt;"""", F6093&lt;&gt;"""", N"&amp;"OT(REGEXMATCH(C6093, ""薪資""))), ""內部轉帳(忽略)"",
  REGEXMATCH(C6093, ""薪資""), ""薪資變動(不計入)"",
  REGEXMATCH(C6093, ""押金""), ""押金往來"",
  AND(E6093&lt;&gt;"""", F6093=""""), ""真實支出"",
  AND(E6093="""", F6093&lt;&gt;""""), ""真實收入"",
  TRUE, ""其他""
)"),"其他")</f>
        <v>其他</v>
      </c>
      <c r="K6093" s="270" t="str">
        <f t="shared" si="2"/>
        <v/>
      </c>
      <c r="L6093">
        <f t="shared" si="3"/>
        <v>0</v>
      </c>
    </row>
    <row r="6094">
      <c r="A6094" s="107"/>
      <c r="D6094" s="270"/>
      <c r="H6094" s="106" t="str">
        <f t="shared" si="1"/>
        <v/>
      </c>
      <c r="J6094" t="str">
        <f>IFERROR(__xludf.DUMMYFUNCTION("IFS(
  AND(REGEXMATCH(E6094, ""台銀籌備帳戶|玉山帳戶""), REGEXMATCH(C6094, ""薪資"")), ""分潤支出"",
  AND(REGEXMATCH(E6094, ""Ben帳戶|Elsa帳戶|Ben代墊|Ariel代墊|中信銀行共用""), REGEXMATCH(F6094, ""Ben帳戶|Elsa帳戶|Ben代墊|Ariel代墊|中信銀行共用"")), ""內部轉帳(忽略)"",
  AND(E6094&lt;&gt;"""", F6094&lt;&gt;"""", N"&amp;"OT(REGEXMATCH(C6094, ""薪資""))), ""內部轉帳(忽略)"",
  REGEXMATCH(C6094, ""薪資""), ""薪資變動(不計入)"",
  REGEXMATCH(C6094, ""押金""), ""押金往來"",
  AND(E6094&lt;&gt;"""", F6094=""""), ""真實支出"",
  AND(E6094="""", F6094&lt;&gt;""""), ""真實收入"",
  TRUE, ""其他""
)"),"其他")</f>
        <v>其他</v>
      </c>
      <c r="K6094" s="270" t="str">
        <f t="shared" si="2"/>
        <v/>
      </c>
      <c r="L6094">
        <f t="shared" si="3"/>
        <v>0</v>
      </c>
    </row>
    <row r="6095">
      <c r="A6095" s="107"/>
      <c r="D6095" s="270"/>
      <c r="H6095" s="106" t="str">
        <f t="shared" si="1"/>
        <v/>
      </c>
      <c r="J6095" t="str">
        <f>IFERROR(__xludf.DUMMYFUNCTION("IFS(
  AND(REGEXMATCH(E6095, ""台銀籌備帳戶|玉山帳戶""), REGEXMATCH(C6095, ""薪資"")), ""分潤支出"",
  AND(REGEXMATCH(E6095, ""Ben帳戶|Elsa帳戶|Ben代墊|Ariel代墊|中信銀行共用""), REGEXMATCH(F6095, ""Ben帳戶|Elsa帳戶|Ben代墊|Ariel代墊|中信銀行共用"")), ""內部轉帳(忽略)"",
  AND(E6095&lt;&gt;"""", F6095&lt;&gt;"""", N"&amp;"OT(REGEXMATCH(C6095, ""薪資""))), ""內部轉帳(忽略)"",
  REGEXMATCH(C6095, ""薪資""), ""薪資變動(不計入)"",
  REGEXMATCH(C6095, ""押金""), ""押金往來"",
  AND(E6095&lt;&gt;"""", F6095=""""), ""真實支出"",
  AND(E6095="""", F6095&lt;&gt;""""), ""真實收入"",
  TRUE, ""其他""
)"),"其他")</f>
        <v>其他</v>
      </c>
      <c r="K6095" s="270" t="str">
        <f t="shared" si="2"/>
        <v/>
      </c>
      <c r="L6095">
        <f t="shared" si="3"/>
        <v>0</v>
      </c>
    </row>
    <row r="6096">
      <c r="A6096" s="107"/>
      <c r="D6096" s="270"/>
      <c r="H6096" s="106" t="str">
        <f t="shared" si="1"/>
        <v/>
      </c>
      <c r="J6096" t="str">
        <f>IFERROR(__xludf.DUMMYFUNCTION("IFS(
  AND(REGEXMATCH(E6096, ""台銀籌備帳戶|玉山帳戶""), REGEXMATCH(C6096, ""薪資"")), ""分潤支出"",
  AND(REGEXMATCH(E6096, ""Ben帳戶|Elsa帳戶|Ben代墊|Ariel代墊|中信銀行共用""), REGEXMATCH(F6096, ""Ben帳戶|Elsa帳戶|Ben代墊|Ariel代墊|中信銀行共用"")), ""內部轉帳(忽略)"",
  AND(E6096&lt;&gt;"""", F6096&lt;&gt;"""", N"&amp;"OT(REGEXMATCH(C6096, ""薪資""))), ""內部轉帳(忽略)"",
  REGEXMATCH(C6096, ""薪資""), ""薪資變動(不計入)"",
  REGEXMATCH(C6096, ""押金""), ""押金往來"",
  AND(E6096&lt;&gt;"""", F6096=""""), ""真實支出"",
  AND(E6096="""", F6096&lt;&gt;""""), ""真實收入"",
  TRUE, ""其他""
)"),"其他")</f>
        <v>其他</v>
      </c>
      <c r="K6096" s="270" t="str">
        <f t="shared" si="2"/>
        <v/>
      </c>
      <c r="L6096">
        <f t="shared" si="3"/>
        <v>0</v>
      </c>
    </row>
    <row r="6097">
      <c r="A6097" s="107"/>
      <c r="D6097" s="270"/>
      <c r="H6097" s="106" t="str">
        <f t="shared" si="1"/>
        <v/>
      </c>
      <c r="J6097" t="str">
        <f>IFERROR(__xludf.DUMMYFUNCTION("IFS(
  AND(REGEXMATCH(E6097, ""台銀籌備帳戶|玉山帳戶""), REGEXMATCH(C6097, ""薪資"")), ""分潤支出"",
  AND(REGEXMATCH(E6097, ""Ben帳戶|Elsa帳戶|Ben代墊|Ariel代墊|中信銀行共用""), REGEXMATCH(F6097, ""Ben帳戶|Elsa帳戶|Ben代墊|Ariel代墊|中信銀行共用"")), ""內部轉帳(忽略)"",
  AND(E6097&lt;&gt;"""", F6097&lt;&gt;"""", N"&amp;"OT(REGEXMATCH(C6097, ""薪資""))), ""內部轉帳(忽略)"",
  REGEXMATCH(C6097, ""薪資""), ""薪資變動(不計入)"",
  REGEXMATCH(C6097, ""押金""), ""押金往來"",
  AND(E6097&lt;&gt;"""", F6097=""""), ""真實支出"",
  AND(E6097="""", F6097&lt;&gt;""""), ""真實收入"",
  TRUE, ""其他""
)"),"其他")</f>
        <v>其他</v>
      </c>
      <c r="K6097" s="270" t="str">
        <f t="shared" si="2"/>
        <v/>
      </c>
      <c r="L6097">
        <f t="shared" si="3"/>
        <v>0</v>
      </c>
    </row>
    <row r="6098">
      <c r="A6098" s="107"/>
      <c r="D6098" s="270"/>
      <c r="H6098" s="106" t="str">
        <f t="shared" si="1"/>
        <v/>
      </c>
      <c r="J6098" t="str">
        <f>IFERROR(__xludf.DUMMYFUNCTION("IFS(
  AND(REGEXMATCH(E6098, ""台銀籌備帳戶|玉山帳戶""), REGEXMATCH(C6098, ""薪資"")), ""分潤支出"",
  AND(REGEXMATCH(E6098, ""Ben帳戶|Elsa帳戶|Ben代墊|Ariel代墊|中信銀行共用""), REGEXMATCH(F6098, ""Ben帳戶|Elsa帳戶|Ben代墊|Ariel代墊|中信銀行共用"")), ""內部轉帳(忽略)"",
  AND(E6098&lt;&gt;"""", F6098&lt;&gt;"""", N"&amp;"OT(REGEXMATCH(C6098, ""薪資""))), ""內部轉帳(忽略)"",
  REGEXMATCH(C6098, ""薪資""), ""薪資變動(不計入)"",
  REGEXMATCH(C6098, ""押金""), ""押金往來"",
  AND(E6098&lt;&gt;"""", F6098=""""), ""真實支出"",
  AND(E6098="""", F6098&lt;&gt;""""), ""真實收入"",
  TRUE, ""其他""
)"),"其他")</f>
        <v>其他</v>
      </c>
      <c r="K6098" s="270" t="str">
        <f t="shared" si="2"/>
        <v/>
      </c>
      <c r="L6098">
        <f t="shared" si="3"/>
        <v>0</v>
      </c>
    </row>
    <row r="6099">
      <c r="A6099" s="107"/>
      <c r="D6099" s="270"/>
      <c r="H6099" s="106" t="str">
        <f t="shared" si="1"/>
        <v/>
      </c>
      <c r="J6099" t="str">
        <f>IFERROR(__xludf.DUMMYFUNCTION("IFS(
  AND(REGEXMATCH(E6099, ""台銀籌備帳戶|玉山帳戶""), REGEXMATCH(C6099, ""薪資"")), ""分潤支出"",
  AND(REGEXMATCH(E6099, ""Ben帳戶|Elsa帳戶|Ben代墊|Ariel代墊|中信銀行共用""), REGEXMATCH(F6099, ""Ben帳戶|Elsa帳戶|Ben代墊|Ariel代墊|中信銀行共用"")), ""內部轉帳(忽略)"",
  AND(E6099&lt;&gt;"""", F6099&lt;&gt;"""", N"&amp;"OT(REGEXMATCH(C6099, ""薪資""))), ""內部轉帳(忽略)"",
  REGEXMATCH(C6099, ""薪資""), ""薪資變動(不計入)"",
  REGEXMATCH(C6099, ""押金""), ""押金往來"",
  AND(E6099&lt;&gt;"""", F6099=""""), ""真實支出"",
  AND(E6099="""", F6099&lt;&gt;""""), ""真實收入"",
  TRUE, ""其他""
)"),"其他")</f>
        <v>其他</v>
      </c>
      <c r="K6099" s="270" t="str">
        <f t="shared" si="2"/>
        <v/>
      </c>
      <c r="L6099">
        <f t="shared" si="3"/>
        <v>0</v>
      </c>
    </row>
    <row r="6100">
      <c r="A6100" s="107"/>
      <c r="D6100" s="270"/>
      <c r="H6100" s="106" t="str">
        <f t="shared" si="1"/>
        <v/>
      </c>
      <c r="J6100" t="str">
        <f>IFERROR(__xludf.DUMMYFUNCTION("IFS(
  AND(REGEXMATCH(E6100, ""台銀籌備帳戶|玉山帳戶""), REGEXMATCH(C6100, ""薪資"")), ""分潤支出"",
  AND(REGEXMATCH(E6100, ""Ben帳戶|Elsa帳戶|Ben代墊|Ariel代墊|中信銀行共用""), REGEXMATCH(F6100, ""Ben帳戶|Elsa帳戶|Ben代墊|Ariel代墊|中信銀行共用"")), ""內部轉帳(忽略)"",
  AND(E6100&lt;&gt;"""", F6100&lt;&gt;"""", N"&amp;"OT(REGEXMATCH(C6100, ""薪資""))), ""內部轉帳(忽略)"",
  REGEXMATCH(C6100, ""薪資""), ""薪資變動(不計入)"",
  REGEXMATCH(C6100, ""押金""), ""押金往來"",
  AND(E6100&lt;&gt;"""", F6100=""""), ""真實支出"",
  AND(E6100="""", F6100&lt;&gt;""""), ""真實收入"",
  TRUE, ""其他""
)"),"其他")</f>
        <v>其他</v>
      </c>
      <c r="K6100" s="270" t="str">
        <f t="shared" si="2"/>
        <v/>
      </c>
      <c r="L6100">
        <f t="shared" si="3"/>
        <v>0</v>
      </c>
    </row>
    <row r="6101">
      <c r="A6101" s="107"/>
      <c r="D6101" s="270"/>
      <c r="H6101" s="106" t="str">
        <f t="shared" si="1"/>
        <v/>
      </c>
      <c r="J6101" t="str">
        <f>IFERROR(__xludf.DUMMYFUNCTION("IFS(
  AND(REGEXMATCH(E6101, ""台銀籌備帳戶|玉山帳戶""), REGEXMATCH(C6101, ""薪資"")), ""分潤支出"",
  AND(REGEXMATCH(E6101, ""Ben帳戶|Elsa帳戶|Ben代墊|Ariel代墊|中信銀行共用""), REGEXMATCH(F6101, ""Ben帳戶|Elsa帳戶|Ben代墊|Ariel代墊|中信銀行共用"")), ""內部轉帳(忽略)"",
  AND(E6101&lt;&gt;"""", F6101&lt;&gt;"""", N"&amp;"OT(REGEXMATCH(C6101, ""薪資""))), ""內部轉帳(忽略)"",
  REGEXMATCH(C6101, ""薪資""), ""薪資變動(不計入)"",
  REGEXMATCH(C6101, ""押金""), ""押金往來"",
  AND(E6101&lt;&gt;"""", F6101=""""), ""真實支出"",
  AND(E6101="""", F6101&lt;&gt;""""), ""真實收入"",
  TRUE, ""其他""
)"),"其他")</f>
        <v>其他</v>
      </c>
      <c r="K6101" s="270" t="str">
        <f t="shared" si="2"/>
        <v/>
      </c>
      <c r="L6101">
        <f t="shared" si="3"/>
        <v>0</v>
      </c>
    </row>
    <row r="6102">
      <c r="A6102" s="107"/>
      <c r="D6102" s="270"/>
      <c r="H6102" s="106" t="str">
        <f t="shared" si="1"/>
        <v/>
      </c>
      <c r="J6102" t="str">
        <f>IFERROR(__xludf.DUMMYFUNCTION("IFS(
  AND(REGEXMATCH(E6102, ""台銀籌備帳戶|玉山帳戶""), REGEXMATCH(C6102, ""薪資"")), ""分潤支出"",
  AND(REGEXMATCH(E6102, ""Ben帳戶|Elsa帳戶|Ben代墊|Ariel代墊|中信銀行共用""), REGEXMATCH(F6102, ""Ben帳戶|Elsa帳戶|Ben代墊|Ariel代墊|中信銀行共用"")), ""內部轉帳(忽略)"",
  AND(E6102&lt;&gt;"""", F6102&lt;&gt;"""", N"&amp;"OT(REGEXMATCH(C6102, ""薪資""))), ""內部轉帳(忽略)"",
  REGEXMATCH(C6102, ""薪資""), ""薪資變動(不計入)"",
  REGEXMATCH(C6102, ""押金""), ""押金往來"",
  AND(E6102&lt;&gt;"""", F6102=""""), ""真實支出"",
  AND(E6102="""", F6102&lt;&gt;""""), ""真實收入"",
  TRUE, ""其他""
)"),"其他")</f>
        <v>其他</v>
      </c>
      <c r="K6102" s="270" t="str">
        <f t="shared" si="2"/>
        <v/>
      </c>
      <c r="L6102">
        <f t="shared" si="3"/>
        <v>0</v>
      </c>
    </row>
    <row r="6103">
      <c r="A6103" s="107"/>
      <c r="D6103" s="270"/>
      <c r="H6103" s="106" t="str">
        <f t="shared" si="1"/>
        <v/>
      </c>
      <c r="J6103" t="str">
        <f>IFERROR(__xludf.DUMMYFUNCTION("IFS(
  AND(REGEXMATCH(E6103, ""台銀籌備帳戶|玉山帳戶""), REGEXMATCH(C6103, ""薪資"")), ""分潤支出"",
  AND(REGEXMATCH(E6103, ""Ben帳戶|Elsa帳戶|Ben代墊|Ariel代墊|中信銀行共用""), REGEXMATCH(F6103, ""Ben帳戶|Elsa帳戶|Ben代墊|Ariel代墊|中信銀行共用"")), ""內部轉帳(忽略)"",
  AND(E6103&lt;&gt;"""", F6103&lt;&gt;"""", N"&amp;"OT(REGEXMATCH(C6103, ""薪資""))), ""內部轉帳(忽略)"",
  REGEXMATCH(C6103, ""薪資""), ""薪資變動(不計入)"",
  REGEXMATCH(C6103, ""押金""), ""押金往來"",
  AND(E6103&lt;&gt;"""", F6103=""""), ""真實支出"",
  AND(E6103="""", F6103&lt;&gt;""""), ""真實收入"",
  TRUE, ""其他""
)"),"其他")</f>
        <v>其他</v>
      </c>
      <c r="K6103" s="270" t="str">
        <f t="shared" si="2"/>
        <v/>
      </c>
      <c r="L6103">
        <f t="shared" si="3"/>
        <v>0</v>
      </c>
    </row>
    <row r="6104">
      <c r="A6104" s="107"/>
      <c r="D6104" s="270"/>
      <c r="H6104" s="106" t="str">
        <f t="shared" si="1"/>
        <v/>
      </c>
      <c r="J6104" t="str">
        <f>IFERROR(__xludf.DUMMYFUNCTION("IFS(
  AND(REGEXMATCH(E6104, ""台銀籌備帳戶|玉山帳戶""), REGEXMATCH(C6104, ""薪資"")), ""分潤支出"",
  AND(REGEXMATCH(E6104, ""Ben帳戶|Elsa帳戶|Ben代墊|Ariel代墊|中信銀行共用""), REGEXMATCH(F6104, ""Ben帳戶|Elsa帳戶|Ben代墊|Ariel代墊|中信銀行共用"")), ""內部轉帳(忽略)"",
  AND(E6104&lt;&gt;"""", F6104&lt;&gt;"""", N"&amp;"OT(REGEXMATCH(C6104, ""薪資""))), ""內部轉帳(忽略)"",
  REGEXMATCH(C6104, ""薪資""), ""薪資變動(不計入)"",
  REGEXMATCH(C6104, ""押金""), ""押金往來"",
  AND(E6104&lt;&gt;"""", F6104=""""), ""真實支出"",
  AND(E6104="""", F6104&lt;&gt;""""), ""真實收入"",
  TRUE, ""其他""
)"),"其他")</f>
        <v>其他</v>
      </c>
      <c r="K6104" s="270" t="str">
        <f t="shared" si="2"/>
        <v/>
      </c>
      <c r="L6104">
        <f t="shared" si="3"/>
        <v>0</v>
      </c>
    </row>
    <row r="6105">
      <c r="A6105" s="107"/>
      <c r="D6105" s="270"/>
      <c r="H6105" s="106" t="str">
        <f t="shared" si="1"/>
        <v/>
      </c>
      <c r="J6105" t="str">
        <f>IFERROR(__xludf.DUMMYFUNCTION("IFS(
  AND(REGEXMATCH(E6105, ""台銀籌備帳戶|玉山帳戶""), REGEXMATCH(C6105, ""薪資"")), ""分潤支出"",
  AND(REGEXMATCH(E6105, ""Ben帳戶|Elsa帳戶|Ben代墊|Ariel代墊|中信銀行共用""), REGEXMATCH(F6105, ""Ben帳戶|Elsa帳戶|Ben代墊|Ariel代墊|中信銀行共用"")), ""內部轉帳(忽略)"",
  AND(E6105&lt;&gt;"""", F6105&lt;&gt;"""", N"&amp;"OT(REGEXMATCH(C6105, ""薪資""))), ""內部轉帳(忽略)"",
  REGEXMATCH(C6105, ""薪資""), ""薪資變動(不計入)"",
  REGEXMATCH(C6105, ""押金""), ""押金往來"",
  AND(E6105&lt;&gt;"""", F6105=""""), ""真實支出"",
  AND(E6105="""", F6105&lt;&gt;""""), ""真實收入"",
  TRUE, ""其他""
)"),"其他")</f>
        <v>其他</v>
      </c>
      <c r="K6105" s="270" t="str">
        <f t="shared" si="2"/>
        <v/>
      </c>
      <c r="L6105">
        <f t="shared" si="3"/>
        <v>0</v>
      </c>
    </row>
    <row r="6106">
      <c r="A6106" s="107"/>
      <c r="D6106" s="270"/>
      <c r="H6106" s="106" t="str">
        <f t="shared" si="1"/>
        <v/>
      </c>
      <c r="J6106" t="str">
        <f>IFERROR(__xludf.DUMMYFUNCTION("IFS(
  AND(REGEXMATCH(E6106, ""台銀籌備帳戶|玉山帳戶""), REGEXMATCH(C6106, ""薪資"")), ""分潤支出"",
  AND(REGEXMATCH(E6106, ""Ben帳戶|Elsa帳戶|Ben代墊|Ariel代墊|中信銀行共用""), REGEXMATCH(F6106, ""Ben帳戶|Elsa帳戶|Ben代墊|Ariel代墊|中信銀行共用"")), ""內部轉帳(忽略)"",
  AND(E6106&lt;&gt;"""", F6106&lt;&gt;"""", N"&amp;"OT(REGEXMATCH(C6106, ""薪資""))), ""內部轉帳(忽略)"",
  REGEXMATCH(C6106, ""薪資""), ""薪資變動(不計入)"",
  REGEXMATCH(C6106, ""押金""), ""押金往來"",
  AND(E6106&lt;&gt;"""", F6106=""""), ""真實支出"",
  AND(E6106="""", F6106&lt;&gt;""""), ""真實收入"",
  TRUE, ""其他""
)"),"其他")</f>
        <v>其他</v>
      </c>
      <c r="K6106" s="270" t="str">
        <f t="shared" si="2"/>
        <v/>
      </c>
      <c r="L6106">
        <f t="shared" si="3"/>
        <v>0</v>
      </c>
    </row>
    <row r="6107">
      <c r="A6107" s="107"/>
      <c r="D6107" s="270"/>
      <c r="H6107" s="106" t="str">
        <f t="shared" si="1"/>
        <v/>
      </c>
      <c r="J6107" t="str">
        <f>IFERROR(__xludf.DUMMYFUNCTION("IFS(
  AND(REGEXMATCH(E6107, ""台銀籌備帳戶|玉山帳戶""), REGEXMATCH(C6107, ""薪資"")), ""分潤支出"",
  AND(REGEXMATCH(E6107, ""Ben帳戶|Elsa帳戶|Ben代墊|Ariel代墊|中信銀行共用""), REGEXMATCH(F6107, ""Ben帳戶|Elsa帳戶|Ben代墊|Ariel代墊|中信銀行共用"")), ""內部轉帳(忽略)"",
  AND(E6107&lt;&gt;"""", F6107&lt;&gt;"""", N"&amp;"OT(REGEXMATCH(C6107, ""薪資""))), ""內部轉帳(忽略)"",
  REGEXMATCH(C6107, ""薪資""), ""薪資變動(不計入)"",
  REGEXMATCH(C6107, ""押金""), ""押金往來"",
  AND(E6107&lt;&gt;"""", F6107=""""), ""真實支出"",
  AND(E6107="""", F6107&lt;&gt;""""), ""真實收入"",
  TRUE, ""其他""
)"),"其他")</f>
        <v>其他</v>
      </c>
      <c r="K6107" s="270" t="str">
        <f t="shared" si="2"/>
        <v/>
      </c>
      <c r="L6107">
        <f t="shared" si="3"/>
        <v>0</v>
      </c>
    </row>
    <row r="6108">
      <c r="A6108" s="107"/>
      <c r="D6108" s="270"/>
      <c r="H6108" s="106" t="str">
        <f t="shared" si="1"/>
        <v/>
      </c>
      <c r="J6108" t="str">
        <f>IFERROR(__xludf.DUMMYFUNCTION("IFS(
  AND(REGEXMATCH(E6108, ""台銀籌備帳戶|玉山帳戶""), REGEXMATCH(C6108, ""薪資"")), ""分潤支出"",
  AND(REGEXMATCH(E6108, ""Ben帳戶|Elsa帳戶|Ben代墊|Ariel代墊|中信銀行共用""), REGEXMATCH(F6108, ""Ben帳戶|Elsa帳戶|Ben代墊|Ariel代墊|中信銀行共用"")), ""內部轉帳(忽略)"",
  AND(E6108&lt;&gt;"""", F6108&lt;&gt;"""", N"&amp;"OT(REGEXMATCH(C6108, ""薪資""))), ""內部轉帳(忽略)"",
  REGEXMATCH(C6108, ""薪資""), ""薪資變動(不計入)"",
  REGEXMATCH(C6108, ""押金""), ""押金往來"",
  AND(E6108&lt;&gt;"""", F6108=""""), ""真實支出"",
  AND(E6108="""", F6108&lt;&gt;""""), ""真實收入"",
  TRUE, ""其他""
)"),"其他")</f>
        <v>其他</v>
      </c>
      <c r="K6108" s="270" t="str">
        <f t="shared" si="2"/>
        <v/>
      </c>
      <c r="L6108">
        <f t="shared" si="3"/>
        <v>0</v>
      </c>
    </row>
    <row r="6109">
      <c r="A6109" s="107"/>
      <c r="D6109" s="270"/>
      <c r="H6109" s="106" t="str">
        <f t="shared" si="1"/>
        <v/>
      </c>
      <c r="J6109" t="str">
        <f>IFERROR(__xludf.DUMMYFUNCTION("IFS(
  AND(REGEXMATCH(E6109, ""台銀籌備帳戶|玉山帳戶""), REGEXMATCH(C6109, ""薪資"")), ""分潤支出"",
  AND(REGEXMATCH(E6109, ""Ben帳戶|Elsa帳戶|Ben代墊|Ariel代墊|中信銀行共用""), REGEXMATCH(F6109, ""Ben帳戶|Elsa帳戶|Ben代墊|Ariel代墊|中信銀行共用"")), ""內部轉帳(忽略)"",
  AND(E6109&lt;&gt;"""", F6109&lt;&gt;"""", N"&amp;"OT(REGEXMATCH(C6109, ""薪資""))), ""內部轉帳(忽略)"",
  REGEXMATCH(C6109, ""薪資""), ""薪資變動(不計入)"",
  REGEXMATCH(C6109, ""押金""), ""押金往來"",
  AND(E6109&lt;&gt;"""", F6109=""""), ""真實支出"",
  AND(E6109="""", F6109&lt;&gt;""""), ""真實收入"",
  TRUE, ""其他""
)"),"其他")</f>
        <v>其他</v>
      </c>
      <c r="K6109" s="270" t="str">
        <f t="shared" si="2"/>
        <v/>
      </c>
      <c r="L6109">
        <f t="shared" si="3"/>
        <v>0</v>
      </c>
    </row>
    <row r="6110">
      <c r="A6110" s="107"/>
      <c r="D6110" s="270"/>
      <c r="H6110" s="106" t="str">
        <f t="shared" si="1"/>
        <v/>
      </c>
      <c r="J6110" t="str">
        <f>IFERROR(__xludf.DUMMYFUNCTION("IFS(
  AND(REGEXMATCH(E6110, ""台銀籌備帳戶|玉山帳戶""), REGEXMATCH(C6110, ""薪資"")), ""分潤支出"",
  AND(REGEXMATCH(E6110, ""Ben帳戶|Elsa帳戶|Ben代墊|Ariel代墊|中信銀行共用""), REGEXMATCH(F6110, ""Ben帳戶|Elsa帳戶|Ben代墊|Ariel代墊|中信銀行共用"")), ""內部轉帳(忽略)"",
  AND(E6110&lt;&gt;"""", F6110&lt;&gt;"""", N"&amp;"OT(REGEXMATCH(C6110, ""薪資""))), ""內部轉帳(忽略)"",
  REGEXMATCH(C6110, ""薪資""), ""薪資變動(不計入)"",
  REGEXMATCH(C6110, ""押金""), ""押金往來"",
  AND(E6110&lt;&gt;"""", F6110=""""), ""真實支出"",
  AND(E6110="""", F6110&lt;&gt;""""), ""真實收入"",
  TRUE, ""其他""
)"),"其他")</f>
        <v>其他</v>
      </c>
      <c r="K6110" s="270" t="str">
        <f t="shared" si="2"/>
        <v/>
      </c>
      <c r="L6110">
        <f t="shared" si="3"/>
        <v>0</v>
      </c>
    </row>
    <row r="6111">
      <c r="A6111" s="107"/>
      <c r="D6111" s="270"/>
      <c r="H6111" s="106" t="str">
        <f t="shared" si="1"/>
        <v/>
      </c>
      <c r="J6111" t="str">
        <f>IFERROR(__xludf.DUMMYFUNCTION("IFS(
  AND(REGEXMATCH(E6111, ""台銀籌備帳戶|玉山帳戶""), REGEXMATCH(C6111, ""薪資"")), ""分潤支出"",
  AND(REGEXMATCH(E6111, ""Ben帳戶|Elsa帳戶|Ben代墊|Ariel代墊|中信銀行共用""), REGEXMATCH(F6111, ""Ben帳戶|Elsa帳戶|Ben代墊|Ariel代墊|中信銀行共用"")), ""內部轉帳(忽略)"",
  AND(E6111&lt;&gt;"""", F6111&lt;&gt;"""", N"&amp;"OT(REGEXMATCH(C6111, ""薪資""))), ""內部轉帳(忽略)"",
  REGEXMATCH(C6111, ""薪資""), ""薪資變動(不計入)"",
  REGEXMATCH(C6111, ""押金""), ""押金往來"",
  AND(E6111&lt;&gt;"""", F6111=""""), ""真實支出"",
  AND(E6111="""", F6111&lt;&gt;""""), ""真實收入"",
  TRUE, ""其他""
)"),"其他")</f>
        <v>其他</v>
      </c>
      <c r="K6111" s="270" t="str">
        <f t="shared" si="2"/>
        <v/>
      </c>
      <c r="L6111">
        <f t="shared" si="3"/>
        <v>0</v>
      </c>
    </row>
    <row r="6112">
      <c r="A6112" s="107"/>
      <c r="D6112" s="270"/>
      <c r="H6112" s="106" t="str">
        <f t="shared" si="1"/>
        <v/>
      </c>
      <c r="J6112" t="str">
        <f>IFERROR(__xludf.DUMMYFUNCTION("IFS(
  AND(REGEXMATCH(E6112, ""台銀籌備帳戶|玉山帳戶""), REGEXMATCH(C6112, ""薪資"")), ""分潤支出"",
  AND(REGEXMATCH(E6112, ""Ben帳戶|Elsa帳戶|Ben代墊|Ariel代墊|中信銀行共用""), REGEXMATCH(F6112, ""Ben帳戶|Elsa帳戶|Ben代墊|Ariel代墊|中信銀行共用"")), ""內部轉帳(忽略)"",
  AND(E6112&lt;&gt;"""", F6112&lt;&gt;"""", N"&amp;"OT(REGEXMATCH(C6112, ""薪資""))), ""內部轉帳(忽略)"",
  REGEXMATCH(C6112, ""薪資""), ""薪資變動(不計入)"",
  REGEXMATCH(C6112, ""押金""), ""押金往來"",
  AND(E6112&lt;&gt;"""", F6112=""""), ""真實支出"",
  AND(E6112="""", F6112&lt;&gt;""""), ""真實收入"",
  TRUE, ""其他""
)"),"其他")</f>
        <v>其他</v>
      </c>
      <c r="K6112" s="270" t="str">
        <f t="shared" si="2"/>
        <v/>
      </c>
      <c r="L6112">
        <f t="shared" si="3"/>
        <v>0</v>
      </c>
    </row>
    <row r="6113">
      <c r="A6113" s="107"/>
      <c r="D6113" s="270"/>
      <c r="H6113" s="106" t="str">
        <f t="shared" si="1"/>
        <v/>
      </c>
      <c r="J6113" t="str">
        <f>IFERROR(__xludf.DUMMYFUNCTION("IFS(
  AND(REGEXMATCH(E6113, ""台銀籌備帳戶|玉山帳戶""), REGEXMATCH(C6113, ""薪資"")), ""分潤支出"",
  AND(REGEXMATCH(E6113, ""Ben帳戶|Elsa帳戶|Ben代墊|Ariel代墊|中信銀行共用""), REGEXMATCH(F6113, ""Ben帳戶|Elsa帳戶|Ben代墊|Ariel代墊|中信銀行共用"")), ""內部轉帳(忽略)"",
  AND(E6113&lt;&gt;"""", F6113&lt;&gt;"""", N"&amp;"OT(REGEXMATCH(C6113, ""薪資""))), ""內部轉帳(忽略)"",
  REGEXMATCH(C6113, ""薪資""), ""薪資變動(不計入)"",
  REGEXMATCH(C6113, ""押金""), ""押金往來"",
  AND(E6113&lt;&gt;"""", F6113=""""), ""真實支出"",
  AND(E6113="""", F6113&lt;&gt;""""), ""真實收入"",
  TRUE, ""其他""
)"),"其他")</f>
        <v>其他</v>
      </c>
      <c r="K6113" s="270" t="str">
        <f t="shared" si="2"/>
        <v/>
      </c>
      <c r="L6113">
        <f t="shared" si="3"/>
        <v>0</v>
      </c>
    </row>
    <row r="6114">
      <c r="A6114" s="107"/>
      <c r="D6114" s="270"/>
      <c r="H6114" s="106" t="str">
        <f t="shared" si="1"/>
        <v/>
      </c>
      <c r="J6114" t="str">
        <f>IFERROR(__xludf.DUMMYFUNCTION("IFS(
  AND(REGEXMATCH(E6114, ""台銀籌備帳戶|玉山帳戶""), REGEXMATCH(C6114, ""薪資"")), ""分潤支出"",
  AND(REGEXMATCH(E6114, ""Ben帳戶|Elsa帳戶|Ben代墊|Ariel代墊|中信銀行共用""), REGEXMATCH(F6114, ""Ben帳戶|Elsa帳戶|Ben代墊|Ariel代墊|中信銀行共用"")), ""內部轉帳(忽略)"",
  AND(E6114&lt;&gt;"""", F6114&lt;&gt;"""", N"&amp;"OT(REGEXMATCH(C6114, ""薪資""))), ""內部轉帳(忽略)"",
  REGEXMATCH(C6114, ""薪資""), ""薪資變動(不計入)"",
  REGEXMATCH(C6114, ""押金""), ""押金往來"",
  AND(E6114&lt;&gt;"""", F6114=""""), ""真實支出"",
  AND(E6114="""", F6114&lt;&gt;""""), ""真實收入"",
  TRUE, ""其他""
)"),"其他")</f>
        <v>其他</v>
      </c>
      <c r="K6114" s="270" t="str">
        <f t="shared" si="2"/>
        <v/>
      </c>
      <c r="L6114">
        <f t="shared" si="3"/>
        <v>0</v>
      </c>
    </row>
    <row r="6115">
      <c r="A6115" s="107"/>
      <c r="D6115" s="270"/>
      <c r="H6115" s="106" t="str">
        <f t="shared" si="1"/>
        <v/>
      </c>
      <c r="J6115" t="str">
        <f>IFERROR(__xludf.DUMMYFUNCTION("IFS(
  AND(REGEXMATCH(E6115, ""台銀籌備帳戶|玉山帳戶""), REGEXMATCH(C6115, ""薪資"")), ""分潤支出"",
  AND(REGEXMATCH(E6115, ""Ben帳戶|Elsa帳戶|Ben代墊|Ariel代墊|中信銀行共用""), REGEXMATCH(F6115, ""Ben帳戶|Elsa帳戶|Ben代墊|Ariel代墊|中信銀行共用"")), ""內部轉帳(忽略)"",
  AND(E6115&lt;&gt;"""", F6115&lt;&gt;"""", N"&amp;"OT(REGEXMATCH(C6115, ""薪資""))), ""內部轉帳(忽略)"",
  REGEXMATCH(C6115, ""薪資""), ""薪資變動(不計入)"",
  REGEXMATCH(C6115, ""押金""), ""押金往來"",
  AND(E6115&lt;&gt;"""", F6115=""""), ""真實支出"",
  AND(E6115="""", F6115&lt;&gt;""""), ""真實收入"",
  TRUE, ""其他""
)"),"其他")</f>
        <v>其他</v>
      </c>
      <c r="K6115" s="270" t="str">
        <f t="shared" si="2"/>
        <v/>
      </c>
      <c r="L6115">
        <f t="shared" si="3"/>
        <v>0</v>
      </c>
    </row>
    <row r="6116">
      <c r="A6116" s="107"/>
      <c r="D6116" s="270"/>
      <c r="H6116" s="106" t="str">
        <f t="shared" si="1"/>
        <v/>
      </c>
      <c r="J6116" t="str">
        <f>IFERROR(__xludf.DUMMYFUNCTION("IFS(
  AND(REGEXMATCH(E6116, ""台銀籌備帳戶|玉山帳戶""), REGEXMATCH(C6116, ""薪資"")), ""分潤支出"",
  AND(REGEXMATCH(E6116, ""Ben帳戶|Elsa帳戶|Ben代墊|Ariel代墊|中信銀行共用""), REGEXMATCH(F6116, ""Ben帳戶|Elsa帳戶|Ben代墊|Ariel代墊|中信銀行共用"")), ""內部轉帳(忽略)"",
  AND(E6116&lt;&gt;"""", F6116&lt;&gt;"""", N"&amp;"OT(REGEXMATCH(C6116, ""薪資""))), ""內部轉帳(忽略)"",
  REGEXMATCH(C6116, ""薪資""), ""薪資變動(不計入)"",
  REGEXMATCH(C6116, ""押金""), ""押金往來"",
  AND(E6116&lt;&gt;"""", F6116=""""), ""真實支出"",
  AND(E6116="""", F6116&lt;&gt;""""), ""真實收入"",
  TRUE, ""其他""
)"),"其他")</f>
        <v>其他</v>
      </c>
      <c r="K6116" s="270" t="str">
        <f t="shared" si="2"/>
        <v/>
      </c>
      <c r="L6116">
        <f t="shared" si="3"/>
        <v>0</v>
      </c>
    </row>
    <row r="6117">
      <c r="A6117" s="107"/>
      <c r="D6117" s="270"/>
      <c r="H6117" s="106" t="str">
        <f t="shared" si="1"/>
        <v/>
      </c>
      <c r="J6117" t="str">
        <f>IFERROR(__xludf.DUMMYFUNCTION("IFS(
  AND(REGEXMATCH(E6117, ""台銀籌備帳戶|玉山帳戶""), REGEXMATCH(C6117, ""薪資"")), ""分潤支出"",
  AND(REGEXMATCH(E6117, ""Ben帳戶|Elsa帳戶|Ben代墊|Ariel代墊|中信銀行共用""), REGEXMATCH(F6117, ""Ben帳戶|Elsa帳戶|Ben代墊|Ariel代墊|中信銀行共用"")), ""內部轉帳(忽略)"",
  AND(E6117&lt;&gt;"""", F6117&lt;&gt;"""", N"&amp;"OT(REGEXMATCH(C6117, ""薪資""))), ""內部轉帳(忽略)"",
  REGEXMATCH(C6117, ""薪資""), ""薪資變動(不計入)"",
  REGEXMATCH(C6117, ""押金""), ""押金往來"",
  AND(E6117&lt;&gt;"""", F6117=""""), ""真實支出"",
  AND(E6117="""", F6117&lt;&gt;""""), ""真實收入"",
  TRUE, ""其他""
)"),"其他")</f>
        <v>其他</v>
      </c>
      <c r="K6117" s="270" t="str">
        <f t="shared" si="2"/>
        <v/>
      </c>
      <c r="L6117">
        <f t="shared" si="3"/>
        <v>0</v>
      </c>
    </row>
    <row r="6118">
      <c r="A6118" s="107"/>
      <c r="D6118" s="270"/>
      <c r="H6118" s="106" t="str">
        <f t="shared" si="1"/>
        <v/>
      </c>
      <c r="J6118" t="str">
        <f>IFERROR(__xludf.DUMMYFUNCTION("IFS(
  AND(REGEXMATCH(E6118, ""台銀籌備帳戶|玉山帳戶""), REGEXMATCH(C6118, ""薪資"")), ""分潤支出"",
  AND(REGEXMATCH(E6118, ""Ben帳戶|Elsa帳戶|Ben代墊|Ariel代墊|中信銀行共用""), REGEXMATCH(F6118, ""Ben帳戶|Elsa帳戶|Ben代墊|Ariel代墊|中信銀行共用"")), ""內部轉帳(忽略)"",
  AND(E6118&lt;&gt;"""", F6118&lt;&gt;"""", N"&amp;"OT(REGEXMATCH(C6118, ""薪資""))), ""內部轉帳(忽略)"",
  REGEXMATCH(C6118, ""薪資""), ""薪資變動(不計入)"",
  REGEXMATCH(C6118, ""押金""), ""押金往來"",
  AND(E6118&lt;&gt;"""", F6118=""""), ""真實支出"",
  AND(E6118="""", F6118&lt;&gt;""""), ""真實收入"",
  TRUE, ""其他""
)"),"其他")</f>
        <v>其他</v>
      </c>
      <c r="K6118" s="270" t="str">
        <f t="shared" si="2"/>
        <v/>
      </c>
      <c r="L6118">
        <f t="shared" si="3"/>
        <v>0</v>
      </c>
    </row>
    <row r="6119">
      <c r="A6119" s="107"/>
      <c r="D6119" s="270"/>
      <c r="H6119" s="106" t="str">
        <f t="shared" si="1"/>
        <v/>
      </c>
      <c r="J6119" t="str">
        <f>IFERROR(__xludf.DUMMYFUNCTION("IFS(
  AND(REGEXMATCH(E6119, ""台銀籌備帳戶|玉山帳戶""), REGEXMATCH(C6119, ""薪資"")), ""分潤支出"",
  AND(REGEXMATCH(E6119, ""Ben帳戶|Elsa帳戶|Ben代墊|Ariel代墊|中信銀行共用""), REGEXMATCH(F6119, ""Ben帳戶|Elsa帳戶|Ben代墊|Ariel代墊|中信銀行共用"")), ""內部轉帳(忽略)"",
  AND(E6119&lt;&gt;"""", F6119&lt;&gt;"""", N"&amp;"OT(REGEXMATCH(C6119, ""薪資""))), ""內部轉帳(忽略)"",
  REGEXMATCH(C6119, ""薪資""), ""薪資變動(不計入)"",
  REGEXMATCH(C6119, ""押金""), ""押金往來"",
  AND(E6119&lt;&gt;"""", F6119=""""), ""真實支出"",
  AND(E6119="""", F6119&lt;&gt;""""), ""真實收入"",
  TRUE, ""其他""
)"),"其他")</f>
        <v>其他</v>
      </c>
      <c r="K6119" s="270" t="str">
        <f t="shared" si="2"/>
        <v/>
      </c>
      <c r="L6119">
        <f t="shared" si="3"/>
        <v>0</v>
      </c>
    </row>
    <row r="6120">
      <c r="A6120" s="107"/>
      <c r="D6120" s="270"/>
      <c r="H6120" s="106" t="str">
        <f t="shared" si="1"/>
        <v/>
      </c>
      <c r="J6120" t="str">
        <f>IFERROR(__xludf.DUMMYFUNCTION("IFS(
  AND(REGEXMATCH(E6120, ""台銀籌備帳戶|玉山帳戶""), REGEXMATCH(C6120, ""薪資"")), ""分潤支出"",
  AND(REGEXMATCH(E6120, ""Ben帳戶|Elsa帳戶|Ben代墊|Ariel代墊|中信銀行共用""), REGEXMATCH(F6120, ""Ben帳戶|Elsa帳戶|Ben代墊|Ariel代墊|中信銀行共用"")), ""內部轉帳(忽略)"",
  AND(E6120&lt;&gt;"""", F6120&lt;&gt;"""", N"&amp;"OT(REGEXMATCH(C6120, ""薪資""))), ""內部轉帳(忽略)"",
  REGEXMATCH(C6120, ""薪資""), ""薪資變動(不計入)"",
  REGEXMATCH(C6120, ""押金""), ""押金往來"",
  AND(E6120&lt;&gt;"""", F6120=""""), ""真實支出"",
  AND(E6120="""", F6120&lt;&gt;""""), ""真實收入"",
  TRUE, ""其他""
)"),"其他")</f>
        <v>其他</v>
      </c>
      <c r="K6120" s="270" t="str">
        <f t="shared" si="2"/>
        <v/>
      </c>
      <c r="L6120">
        <f t="shared" si="3"/>
        <v>0</v>
      </c>
    </row>
    <row r="6121">
      <c r="A6121" s="107"/>
      <c r="D6121" s="270"/>
      <c r="H6121" s="106" t="str">
        <f t="shared" si="1"/>
        <v/>
      </c>
      <c r="J6121" t="str">
        <f>IFERROR(__xludf.DUMMYFUNCTION("IFS(
  AND(REGEXMATCH(E6121, ""台銀籌備帳戶|玉山帳戶""), REGEXMATCH(C6121, ""薪資"")), ""分潤支出"",
  AND(REGEXMATCH(E6121, ""Ben帳戶|Elsa帳戶|Ben代墊|Ariel代墊|中信銀行共用""), REGEXMATCH(F6121, ""Ben帳戶|Elsa帳戶|Ben代墊|Ariel代墊|中信銀行共用"")), ""內部轉帳(忽略)"",
  AND(E6121&lt;&gt;"""", F6121&lt;&gt;"""", N"&amp;"OT(REGEXMATCH(C6121, ""薪資""))), ""內部轉帳(忽略)"",
  REGEXMATCH(C6121, ""薪資""), ""薪資變動(不計入)"",
  REGEXMATCH(C6121, ""押金""), ""押金往來"",
  AND(E6121&lt;&gt;"""", F6121=""""), ""真實支出"",
  AND(E6121="""", F6121&lt;&gt;""""), ""真實收入"",
  TRUE, ""其他""
)"),"其他")</f>
        <v>其他</v>
      </c>
      <c r="K6121" s="270" t="str">
        <f t="shared" si="2"/>
        <v/>
      </c>
      <c r="L6121">
        <f t="shared" si="3"/>
        <v>0</v>
      </c>
    </row>
    <row r="6122">
      <c r="A6122" s="107"/>
      <c r="D6122" s="270"/>
      <c r="H6122" s="106" t="str">
        <f t="shared" si="1"/>
        <v/>
      </c>
      <c r="J6122" t="str">
        <f>IFERROR(__xludf.DUMMYFUNCTION("IFS(
  AND(REGEXMATCH(E6122, ""台銀籌備帳戶|玉山帳戶""), REGEXMATCH(C6122, ""薪資"")), ""分潤支出"",
  AND(REGEXMATCH(E6122, ""Ben帳戶|Elsa帳戶|Ben代墊|Ariel代墊|中信銀行共用""), REGEXMATCH(F6122, ""Ben帳戶|Elsa帳戶|Ben代墊|Ariel代墊|中信銀行共用"")), ""內部轉帳(忽略)"",
  AND(E6122&lt;&gt;"""", F6122&lt;&gt;"""", N"&amp;"OT(REGEXMATCH(C6122, ""薪資""))), ""內部轉帳(忽略)"",
  REGEXMATCH(C6122, ""薪資""), ""薪資變動(不計入)"",
  REGEXMATCH(C6122, ""押金""), ""押金往來"",
  AND(E6122&lt;&gt;"""", F6122=""""), ""真實支出"",
  AND(E6122="""", F6122&lt;&gt;""""), ""真實收入"",
  TRUE, ""其他""
)"),"其他")</f>
        <v>其他</v>
      </c>
      <c r="K6122" s="270" t="str">
        <f t="shared" si="2"/>
        <v/>
      </c>
      <c r="L6122">
        <f t="shared" si="3"/>
        <v>0</v>
      </c>
    </row>
    <row r="6123">
      <c r="A6123" s="107"/>
      <c r="D6123" s="270"/>
      <c r="H6123" s="106" t="str">
        <f t="shared" si="1"/>
        <v/>
      </c>
      <c r="J6123" t="str">
        <f>IFERROR(__xludf.DUMMYFUNCTION("IFS(
  AND(REGEXMATCH(E6123, ""台銀籌備帳戶|玉山帳戶""), REGEXMATCH(C6123, ""薪資"")), ""分潤支出"",
  AND(REGEXMATCH(E6123, ""Ben帳戶|Elsa帳戶|Ben代墊|Ariel代墊|中信銀行共用""), REGEXMATCH(F6123, ""Ben帳戶|Elsa帳戶|Ben代墊|Ariel代墊|中信銀行共用"")), ""內部轉帳(忽略)"",
  AND(E6123&lt;&gt;"""", F6123&lt;&gt;"""", N"&amp;"OT(REGEXMATCH(C6123, ""薪資""))), ""內部轉帳(忽略)"",
  REGEXMATCH(C6123, ""薪資""), ""薪資變動(不計入)"",
  REGEXMATCH(C6123, ""押金""), ""押金往來"",
  AND(E6123&lt;&gt;"""", F6123=""""), ""真實支出"",
  AND(E6123="""", F6123&lt;&gt;""""), ""真實收入"",
  TRUE, ""其他""
)"),"其他")</f>
        <v>其他</v>
      </c>
      <c r="K6123" s="270" t="str">
        <f t="shared" si="2"/>
        <v/>
      </c>
      <c r="L6123">
        <f t="shared" si="3"/>
        <v>0</v>
      </c>
    </row>
    <row r="6124">
      <c r="A6124" s="107"/>
      <c r="D6124" s="270"/>
      <c r="H6124" s="106" t="str">
        <f t="shared" si="1"/>
        <v/>
      </c>
      <c r="J6124" t="str">
        <f>IFERROR(__xludf.DUMMYFUNCTION("IFS(
  AND(REGEXMATCH(E6124, ""台銀籌備帳戶|玉山帳戶""), REGEXMATCH(C6124, ""薪資"")), ""分潤支出"",
  AND(REGEXMATCH(E6124, ""Ben帳戶|Elsa帳戶|Ben代墊|Ariel代墊|中信銀行共用""), REGEXMATCH(F6124, ""Ben帳戶|Elsa帳戶|Ben代墊|Ariel代墊|中信銀行共用"")), ""內部轉帳(忽略)"",
  AND(E6124&lt;&gt;"""", F6124&lt;&gt;"""", N"&amp;"OT(REGEXMATCH(C6124, ""薪資""))), ""內部轉帳(忽略)"",
  REGEXMATCH(C6124, ""薪資""), ""薪資變動(不計入)"",
  REGEXMATCH(C6124, ""押金""), ""押金往來"",
  AND(E6124&lt;&gt;"""", F6124=""""), ""真實支出"",
  AND(E6124="""", F6124&lt;&gt;""""), ""真實收入"",
  TRUE, ""其他""
)"),"其他")</f>
        <v>其他</v>
      </c>
      <c r="K6124" s="270" t="str">
        <f t="shared" si="2"/>
        <v/>
      </c>
      <c r="L6124">
        <f t="shared" si="3"/>
        <v>0</v>
      </c>
    </row>
    <row r="6125">
      <c r="A6125" s="107"/>
      <c r="D6125" s="270"/>
      <c r="H6125" s="106" t="str">
        <f t="shared" si="1"/>
        <v/>
      </c>
      <c r="J6125" t="str">
        <f>IFERROR(__xludf.DUMMYFUNCTION("IFS(
  AND(REGEXMATCH(E6125, ""台銀籌備帳戶|玉山帳戶""), REGEXMATCH(C6125, ""薪資"")), ""分潤支出"",
  AND(REGEXMATCH(E6125, ""Ben帳戶|Elsa帳戶|Ben代墊|Ariel代墊|中信銀行共用""), REGEXMATCH(F6125, ""Ben帳戶|Elsa帳戶|Ben代墊|Ariel代墊|中信銀行共用"")), ""內部轉帳(忽略)"",
  AND(E6125&lt;&gt;"""", F6125&lt;&gt;"""", N"&amp;"OT(REGEXMATCH(C6125, ""薪資""))), ""內部轉帳(忽略)"",
  REGEXMATCH(C6125, ""薪資""), ""薪資變動(不計入)"",
  REGEXMATCH(C6125, ""押金""), ""押金往來"",
  AND(E6125&lt;&gt;"""", F6125=""""), ""真實支出"",
  AND(E6125="""", F6125&lt;&gt;""""), ""真實收入"",
  TRUE, ""其他""
)"),"其他")</f>
        <v>其他</v>
      </c>
      <c r="K6125" s="270" t="str">
        <f t="shared" si="2"/>
        <v/>
      </c>
      <c r="L6125">
        <f t="shared" si="3"/>
        <v>0</v>
      </c>
    </row>
    <row r="6126">
      <c r="A6126" s="107"/>
      <c r="D6126" s="270"/>
      <c r="H6126" s="106" t="str">
        <f t="shared" si="1"/>
        <v/>
      </c>
      <c r="J6126" t="str">
        <f>IFERROR(__xludf.DUMMYFUNCTION("IFS(
  AND(REGEXMATCH(E6126, ""台銀籌備帳戶|玉山帳戶""), REGEXMATCH(C6126, ""薪資"")), ""分潤支出"",
  AND(REGEXMATCH(E6126, ""Ben帳戶|Elsa帳戶|Ben代墊|Ariel代墊|中信銀行共用""), REGEXMATCH(F6126, ""Ben帳戶|Elsa帳戶|Ben代墊|Ariel代墊|中信銀行共用"")), ""內部轉帳(忽略)"",
  AND(E6126&lt;&gt;"""", F6126&lt;&gt;"""", N"&amp;"OT(REGEXMATCH(C6126, ""薪資""))), ""內部轉帳(忽略)"",
  REGEXMATCH(C6126, ""薪資""), ""薪資變動(不計入)"",
  REGEXMATCH(C6126, ""押金""), ""押金往來"",
  AND(E6126&lt;&gt;"""", F6126=""""), ""真實支出"",
  AND(E6126="""", F6126&lt;&gt;""""), ""真實收入"",
  TRUE, ""其他""
)"),"其他")</f>
        <v>其他</v>
      </c>
      <c r="K6126" s="270" t="str">
        <f t="shared" si="2"/>
        <v/>
      </c>
      <c r="L6126">
        <f t="shared" si="3"/>
        <v>0</v>
      </c>
    </row>
    <row r="6127">
      <c r="A6127" s="107"/>
      <c r="D6127" s="270"/>
      <c r="H6127" s="106" t="str">
        <f t="shared" si="1"/>
        <v/>
      </c>
      <c r="J6127" t="str">
        <f>IFERROR(__xludf.DUMMYFUNCTION("IFS(
  AND(REGEXMATCH(E6127, ""台銀籌備帳戶|玉山帳戶""), REGEXMATCH(C6127, ""薪資"")), ""分潤支出"",
  AND(REGEXMATCH(E6127, ""Ben帳戶|Elsa帳戶|Ben代墊|Ariel代墊|中信銀行共用""), REGEXMATCH(F6127, ""Ben帳戶|Elsa帳戶|Ben代墊|Ariel代墊|中信銀行共用"")), ""內部轉帳(忽略)"",
  AND(E6127&lt;&gt;"""", F6127&lt;&gt;"""", N"&amp;"OT(REGEXMATCH(C6127, ""薪資""))), ""內部轉帳(忽略)"",
  REGEXMATCH(C6127, ""薪資""), ""薪資變動(不計入)"",
  REGEXMATCH(C6127, ""押金""), ""押金往來"",
  AND(E6127&lt;&gt;"""", F6127=""""), ""真實支出"",
  AND(E6127="""", F6127&lt;&gt;""""), ""真實收入"",
  TRUE, ""其他""
)"),"其他")</f>
        <v>其他</v>
      </c>
      <c r="K6127" s="270" t="str">
        <f t="shared" si="2"/>
        <v/>
      </c>
      <c r="L6127">
        <f t="shared" si="3"/>
        <v>0</v>
      </c>
    </row>
    <row r="6128">
      <c r="A6128" s="107"/>
      <c r="D6128" s="270"/>
      <c r="H6128" s="106" t="str">
        <f t="shared" si="1"/>
        <v/>
      </c>
      <c r="J6128" t="str">
        <f>IFERROR(__xludf.DUMMYFUNCTION("IFS(
  AND(REGEXMATCH(E6128, ""台銀籌備帳戶|玉山帳戶""), REGEXMATCH(C6128, ""薪資"")), ""分潤支出"",
  AND(REGEXMATCH(E6128, ""Ben帳戶|Elsa帳戶|Ben代墊|Ariel代墊|中信銀行共用""), REGEXMATCH(F6128, ""Ben帳戶|Elsa帳戶|Ben代墊|Ariel代墊|中信銀行共用"")), ""內部轉帳(忽略)"",
  AND(E6128&lt;&gt;"""", F6128&lt;&gt;"""", N"&amp;"OT(REGEXMATCH(C6128, ""薪資""))), ""內部轉帳(忽略)"",
  REGEXMATCH(C6128, ""薪資""), ""薪資變動(不計入)"",
  REGEXMATCH(C6128, ""押金""), ""押金往來"",
  AND(E6128&lt;&gt;"""", F6128=""""), ""真實支出"",
  AND(E6128="""", F6128&lt;&gt;""""), ""真實收入"",
  TRUE, ""其他""
)"),"其他")</f>
        <v>其他</v>
      </c>
      <c r="K6128" s="270" t="str">
        <f t="shared" si="2"/>
        <v/>
      </c>
      <c r="L6128">
        <f t="shared" si="3"/>
        <v>0</v>
      </c>
    </row>
    <row r="6129">
      <c r="A6129" s="107"/>
      <c r="D6129" s="270"/>
      <c r="H6129" s="106" t="str">
        <f t="shared" si="1"/>
        <v/>
      </c>
      <c r="J6129" t="str">
        <f>IFERROR(__xludf.DUMMYFUNCTION("IFS(
  AND(REGEXMATCH(E6129, ""台銀籌備帳戶|玉山帳戶""), REGEXMATCH(C6129, ""薪資"")), ""分潤支出"",
  AND(REGEXMATCH(E6129, ""Ben帳戶|Elsa帳戶|Ben代墊|Ariel代墊|中信銀行共用""), REGEXMATCH(F6129, ""Ben帳戶|Elsa帳戶|Ben代墊|Ariel代墊|中信銀行共用"")), ""內部轉帳(忽略)"",
  AND(E6129&lt;&gt;"""", F6129&lt;&gt;"""", N"&amp;"OT(REGEXMATCH(C6129, ""薪資""))), ""內部轉帳(忽略)"",
  REGEXMATCH(C6129, ""薪資""), ""薪資變動(不計入)"",
  REGEXMATCH(C6129, ""押金""), ""押金往來"",
  AND(E6129&lt;&gt;"""", F6129=""""), ""真實支出"",
  AND(E6129="""", F6129&lt;&gt;""""), ""真實收入"",
  TRUE, ""其他""
)"),"其他")</f>
        <v>其他</v>
      </c>
      <c r="K6129" s="270" t="str">
        <f t="shared" si="2"/>
        <v/>
      </c>
      <c r="L6129">
        <f t="shared" si="3"/>
        <v>0</v>
      </c>
    </row>
    <row r="6130">
      <c r="A6130" s="107"/>
      <c r="D6130" s="270"/>
      <c r="H6130" s="106" t="str">
        <f t="shared" si="1"/>
        <v/>
      </c>
      <c r="J6130" t="str">
        <f>IFERROR(__xludf.DUMMYFUNCTION("IFS(
  AND(REGEXMATCH(E6130, ""台銀籌備帳戶|玉山帳戶""), REGEXMATCH(C6130, ""薪資"")), ""分潤支出"",
  AND(REGEXMATCH(E6130, ""Ben帳戶|Elsa帳戶|Ben代墊|Ariel代墊|中信銀行共用""), REGEXMATCH(F6130, ""Ben帳戶|Elsa帳戶|Ben代墊|Ariel代墊|中信銀行共用"")), ""內部轉帳(忽略)"",
  AND(E6130&lt;&gt;"""", F6130&lt;&gt;"""", N"&amp;"OT(REGEXMATCH(C6130, ""薪資""))), ""內部轉帳(忽略)"",
  REGEXMATCH(C6130, ""薪資""), ""薪資變動(不計入)"",
  REGEXMATCH(C6130, ""押金""), ""押金往來"",
  AND(E6130&lt;&gt;"""", F6130=""""), ""真實支出"",
  AND(E6130="""", F6130&lt;&gt;""""), ""真實收入"",
  TRUE, ""其他""
)"),"其他")</f>
        <v>其他</v>
      </c>
      <c r="K6130" s="270" t="str">
        <f t="shared" si="2"/>
        <v/>
      </c>
      <c r="L6130">
        <f t="shared" si="3"/>
        <v>0</v>
      </c>
    </row>
    <row r="6131">
      <c r="A6131" s="107"/>
      <c r="D6131" s="270"/>
      <c r="H6131" s="106" t="str">
        <f t="shared" si="1"/>
        <v/>
      </c>
      <c r="J6131" t="str">
        <f>IFERROR(__xludf.DUMMYFUNCTION("IFS(
  AND(REGEXMATCH(E6131, ""台銀籌備帳戶|玉山帳戶""), REGEXMATCH(C6131, ""薪資"")), ""分潤支出"",
  AND(REGEXMATCH(E6131, ""Ben帳戶|Elsa帳戶|Ben代墊|Ariel代墊|中信銀行共用""), REGEXMATCH(F6131, ""Ben帳戶|Elsa帳戶|Ben代墊|Ariel代墊|中信銀行共用"")), ""內部轉帳(忽略)"",
  AND(E6131&lt;&gt;"""", F6131&lt;&gt;"""", N"&amp;"OT(REGEXMATCH(C6131, ""薪資""))), ""內部轉帳(忽略)"",
  REGEXMATCH(C6131, ""薪資""), ""薪資變動(不計入)"",
  REGEXMATCH(C6131, ""押金""), ""押金往來"",
  AND(E6131&lt;&gt;"""", F6131=""""), ""真實支出"",
  AND(E6131="""", F6131&lt;&gt;""""), ""真實收入"",
  TRUE, ""其他""
)"),"其他")</f>
        <v>其他</v>
      </c>
      <c r="K6131" s="270" t="str">
        <f t="shared" si="2"/>
        <v/>
      </c>
      <c r="L6131">
        <f t="shared" si="3"/>
        <v>0</v>
      </c>
    </row>
    <row r="6132">
      <c r="A6132" s="107"/>
      <c r="D6132" s="270"/>
      <c r="H6132" s="106" t="str">
        <f t="shared" si="1"/>
        <v/>
      </c>
      <c r="J6132" t="str">
        <f>IFERROR(__xludf.DUMMYFUNCTION("IFS(
  AND(REGEXMATCH(E6132, ""台銀籌備帳戶|玉山帳戶""), REGEXMATCH(C6132, ""薪資"")), ""分潤支出"",
  AND(REGEXMATCH(E6132, ""Ben帳戶|Elsa帳戶|Ben代墊|Ariel代墊|中信銀行共用""), REGEXMATCH(F6132, ""Ben帳戶|Elsa帳戶|Ben代墊|Ariel代墊|中信銀行共用"")), ""內部轉帳(忽略)"",
  AND(E6132&lt;&gt;"""", F6132&lt;&gt;"""", N"&amp;"OT(REGEXMATCH(C6132, ""薪資""))), ""內部轉帳(忽略)"",
  REGEXMATCH(C6132, ""薪資""), ""薪資變動(不計入)"",
  REGEXMATCH(C6132, ""押金""), ""押金往來"",
  AND(E6132&lt;&gt;"""", F6132=""""), ""真實支出"",
  AND(E6132="""", F6132&lt;&gt;""""), ""真實收入"",
  TRUE, ""其他""
)"),"其他")</f>
        <v>其他</v>
      </c>
      <c r="K6132" s="270" t="str">
        <f t="shared" si="2"/>
        <v/>
      </c>
      <c r="L6132">
        <f t="shared" si="3"/>
        <v>0</v>
      </c>
    </row>
    <row r="6133">
      <c r="A6133" s="107"/>
      <c r="D6133" s="270"/>
      <c r="H6133" s="106" t="str">
        <f t="shared" si="1"/>
        <v/>
      </c>
      <c r="J6133" t="str">
        <f>IFERROR(__xludf.DUMMYFUNCTION("IFS(
  AND(REGEXMATCH(E6133, ""台銀籌備帳戶|玉山帳戶""), REGEXMATCH(C6133, ""薪資"")), ""分潤支出"",
  AND(REGEXMATCH(E6133, ""Ben帳戶|Elsa帳戶|Ben代墊|Ariel代墊|中信銀行共用""), REGEXMATCH(F6133, ""Ben帳戶|Elsa帳戶|Ben代墊|Ariel代墊|中信銀行共用"")), ""內部轉帳(忽略)"",
  AND(E6133&lt;&gt;"""", F6133&lt;&gt;"""", N"&amp;"OT(REGEXMATCH(C6133, ""薪資""))), ""內部轉帳(忽略)"",
  REGEXMATCH(C6133, ""薪資""), ""薪資變動(不計入)"",
  REGEXMATCH(C6133, ""押金""), ""押金往來"",
  AND(E6133&lt;&gt;"""", F6133=""""), ""真實支出"",
  AND(E6133="""", F6133&lt;&gt;""""), ""真實收入"",
  TRUE, ""其他""
)"),"其他")</f>
        <v>其他</v>
      </c>
      <c r="K6133" s="270" t="str">
        <f t="shared" si="2"/>
        <v/>
      </c>
      <c r="L6133">
        <f t="shared" si="3"/>
        <v>0</v>
      </c>
    </row>
    <row r="6134">
      <c r="A6134" s="107"/>
      <c r="D6134" s="270"/>
      <c r="H6134" s="106" t="str">
        <f t="shared" si="1"/>
        <v/>
      </c>
      <c r="J6134" t="str">
        <f>IFERROR(__xludf.DUMMYFUNCTION("IFS(
  AND(REGEXMATCH(E6134, ""台銀籌備帳戶|玉山帳戶""), REGEXMATCH(C6134, ""薪資"")), ""分潤支出"",
  AND(REGEXMATCH(E6134, ""Ben帳戶|Elsa帳戶|Ben代墊|Ariel代墊|中信銀行共用""), REGEXMATCH(F6134, ""Ben帳戶|Elsa帳戶|Ben代墊|Ariel代墊|中信銀行共用"")), ""內部轉帳(忽略)"",
  AND(E6134&lt;&gt;"""", F6134&lt;&gt;"""", N"&amp;"OT(REGEXMATCH(C6134, ""薪資""))), ""內部轉帳(忽略)"",
  REGEXMATCH(C6134, ""薪資""), ""薪資變動(不計入)"",
  REGEXMATCH(C6134, ""押金""), ""押金往來"",
  AND(E6134&lt;&gt;"""", F6134=""""), ""真實支出"",
  AND(E6134="""", F6134&lt;&gt;""""), ""真實收入"",
  TRUE, ""其他""
)"),"其他")</f>
        <v>其他</v>
      </c>
      <c r="K6134" s="270" t="str">
        <f t="shared" si="2"/>
        <v/>
      </c>
      <c r="L6134">
        <f t="shared" si="3"/>
        <v>0</v>
      </c>
    </row>
    <row r="6135">
      <c r="A6135" s="107"/>
      <c r="D6135" s="270"/>
      <c r="H6135" s="106" t="str">
        <f t="shared" si="1"/>
        <v/>
      </c>
      <c r="J6135" t="str">
        <f>IFERROR(__xludf.DUMMYFUNCTION("IFS(
  AND(REGEXMATCH(E6135, ""台銀籌備帳戶|玉山帳戶""), REGEXMATCH(C6135, ""薪資"")), ""分潤支出"",
  AND(REGEXMATCH(E6135, ""Ben帳戶|Elsa帳戶|Ben代墊|Ariel代墊|中信銀行共用""), REGEXMATCH(F6135, ""Ben帳戶|Elsa帳戶|Ben代墊|Ariel代墊|中信銀行共用"")), ""內部轉帳(忽略)"",
  AND(E6135&lt;&gt;"""", F6135&lt;&gt;"""", N"&amp;"OT(REGEXMATCH(C6135, ""薪資""))), ""內部轉帳(忽略)"",
  REGEXMATCH(C6135, ""薪資""), ""薪資變動(不計入)"",
  REGEXMATCH(C6135, ""押金""), ""押金往來"",
  AND(E6135&lt;&gt;"""", F6135=""""), ""真實支出"",
  AND(E6135="""", F6135&lt;&gt;""""), ""真實收入"",
  TRUE, ""其他""
)"),"其他")</f>
        <v>其他</v>
      </c>
      <c r="K6135" s="270" t="str">
        <f t="shared" si="2"/>
        <v/>
      </c>
      <c r="L6135">
        <f t="shared" si="3"/>
        <v>0</v>
      </c>
    </row>
    <row r="6136">
      <c r="A6136" s="107"/>
      <c r="D6136" s="270"/>
      <c r="H6136" s="106" t="str">
        <f t="shared" si="1"/>
        <v/>
      </c>
      <c r="J6136" t="str">
        <f>IFERROR(__xludf.DUMMYFUNCTION("IFS(
  AND(REGEXMATCH(E6136, ""台銀籌備帳戶|玉山帳戶""), REGEXMATCH(C6136, ""薪資"")), ""分潤支出"",
  AND(REGEXMATCH(E6136, ""Ben帳戶|Elsa帳戶|Ben代墊|Ariel代墊|中信銀行共用""), REGEXMATCH(F6136, ""Ben帳戶|Elsa帳戶|Ben代墊|Ariel代墊|中信銀行共用"")), ""內部轉帳(忽略)"",
  AND(E6136&lt;&gt;"""", F6136&lt;&gt;"""", N"&amp;"OT(REGEXMATCH(C6136, ""薪資""))), ""內部轉帳(忽略)"",
  REGEXMATCH(C6136, ""薪資""), ""薪資變動(不計入)"",
  REGEXMATCH(C6136, ""押金""), ""押金往來"",
  AND(E6136&lt;&gt;"""", F6136=""""), ""真實支出"",
  AND(E6136="""", F6136&lt;&gt;""""), ""真實收入"",
  TRUE, ""其他""
)"),"其他")</f>
        <v>其他</v>
      </c>
      <c r="K6136" s="270" t="str">
        <f t="shared" si="2"/>
        <v/>
      </c>
      <c r="L6136">
        <f t="shared" si="3"/>
        <v>0</v>
      </c>
    </row>
    <row r="6137">
      <c r="A6137" s="107"/>
      <c r="D6137" s="270"/>
      <c r="H6137" s="106" t="str">
        <f t="shared" si="1"/>
        <v/>
      </c>
      <c r="J6137" t="str">
        <f>IFERROR(__xludf.DUMMYFUNCTION("IFS(
  AND(REGEXMATCH(E6137, ""台銀籌備帳戶|玉山帳戶""), REGEXMATCH(C6137, ""薪資"")), ""分潤支出"",
  AND(REGEXMATCH(E6137, ""Ben帳戶|Elsa帳戶|Ben代墊|Ariel代墊|中信銀行共用""), REGEXMATCH(F6137, ""Ben帳戶|Elsa帳戶|Ben代墊|Ariel代墊|中信銀行共用"")), ""內部轉帳(忽略)"",
  AND(E6137&lt;&gt;"""", F6137&lt;&gt;"""", N"&amp;"OT(REGEXMATCH(C6137, ""薪資""))), ""內部轉帳(忽略)"",
  REGEXMATCH(C6137, ""薪資""), ""薪資變動(不計入)"",
  REGEXMATCH(C6137, ""押金""), ""押金往來"",
  AND(E6137&lt;&gt;"""", F6137=""""), ""真實支出"",
  AND(E6137="""", F6137&lt;&gt;""""), ""真實收入"",
  TRUE, ""其他""
)"),"其他")</f>
        <v>其他</v>
      </c>
      <c r="K6137" s="270" t="str">
        <f t="shared" si="2"/>
        <v/>
      </c>
      <c r="L6137">
        <f t="shared" si="3"/>
        <v>0</v>
      </c>
    </row>
    <row r="6138">
      <c r="A6138" s="107"/>
      <c r="D6138" s="270"/>
      <c r="H6138" s="106" t="str">
        <f t="shared" si="1"/>
        <v/>
      </c>
      <c r="J6138" t="str">
        <f>IFERROR(__xludf.DUMMYFUNCTION("IFS(
  AND(REGEXMATCH(E6138, ""台銀籌備帳戶|玉山帳戶""), REGEXMATCH(C6138, ""薪資"")), ""分潤支出"",
  AND(REGEXMATCH(E6138, ""Ben帳戶|Elsa帳戶|Ben代墊|Ariel代墊|中信銀行共用""), REGEXMATCH(F6138, ""Ben帳戶|Elsa帳戶|Ben代墊|Ariel代墊|中信銀行共用"")), ""內部轉帳(忽略)"",
  AND(E6138&lt;&gt;"""", F6138&lt;&gt;"""", N"&amp;"OT(REGEXMATCH(C6138, ""薪資""))), ""內部轉帳(忽略)"",
  REGEXMATCH(C6138, ""薪資""), ""薪資變動(不計入)"",
  REGEXMATCH(C6138, ""押金""), ""押金往來"",
  AND(E6138&lt;&gt;"""", F6138=""""), ""真實支出"",
  AND(E6138="""", F6138&lt;&gt;""""), ""真實收入"",
  TRUE, ""其他""
)"),"其他")</f>
        <v>其他</v>
      </c>
      <c r="K6138" s="270" t="str">
        <f t="shared" si="2"/>
        <v/>
      </c>
      <c r="L6138">
        <f t="shared" si="3"/>
        <v>0</v>
      </c>
    </row>
    <row r="6139">
      <c r="A6139" s="107"/>
      <c r="D6139" s="270"/>
      <c r="H6139" s="106" t="str">
        <f t="shared" si="1"/>
        <v/>
      </c>
      <c r="J6139" t="str">
        <f>IFERROR(__xludf.DUMMYFUNCTION("IFS(
  AND(REGEXMATCH(E6139, ""台銀籌備帳戶|玉山帳戶""), REGEXMATCH(C6139, ""薪資"")), ""分潤支出"",
  AND(REGEXMATCH(E6139, ""Ben帳戶|Elsa帳戶|Ben代墊|Ariel代墊|中信銀行共用""), REGEXMATCH(F6139, ""Ben帳戶|Elsa帳戶|Ben代墊|Ariel代墊|中信銀行共用"")), ""內部轉帳(忽略)"",
  AND(E6139&lt;&gt;"""", F6139&lt;&gt;"""", N"&amp;"OT(REGEXMATCH(C6139, ""薪資""))), ""內部轉帳(忽略)"",
  REGEXMATCH(C6139, ""薪資""), ""薪資變動(不計入)"",
  REGEXMATCH(C6139, ""押金""), ""押金往來"",
  AND(E6139&lt;&gt;"""", F6139=""""), ""真實支出"",
  AND(E6139="""", F6139&lt;&gt;""""), ""真實收入"",
  TRUE, ""其他""
)"),"其他")</f>
        <v>其他</v>
      </c>
      <c r="K6139" s="270" t="str">
        <f t="shared" si="2"/>
        <v/>
      </c>
      <c r="L6139">
        <f t="shared" si="3"/>
        <v>0</v>
      </c>
    </row>
    <row r="6140">
      <c r="A6140" s="107"/>
      <c r="D6140" s="270"/>
      <c r="H6140" s="106" t="str">
        <f t="shared" si="1"/>
        <v/>
      </c>
      <c r="J6140" t="str">
        <f>IFERROR(__xludf.DUMMYFUNCTION("IFS(
  AND(REGEXMATCH(E6140, ""台銀籌備帳戶|玉山帳戶""), REGEXMATCH(C6140, ""薪資"")), ""分潤支出"",
  AND(REGEXMATCH(E6140, ""Ben帳戶|Elsa帳戶|Ben代墊|Ariel代墊|中信銀行共用""), REGEXMATCH(F6140, ""Ben帳戶|Elsa帳戶|Ben代墊|Ariel代墊|中信銀行共用"")), ""內部轉帳(忽略)"",
  AND(E6140&lt;&gt;"""", F6140&lt;&gt;"""", N"&amp;"OT(REGEXMATCH(C6140, ""薪資""))), ""內部轉帳(忽略)"",
  REGEXMATCH(C6140, ""薪資""), ""薪資變動(不計入)"",
  REGEXMATCH(C6140, ""押金""), ""押金往來"",
  AND(E6140&lt;&gt;"""", F6140=""""), ""真實支出"",
  AND(E6140="""", F6140&lt;&gt;""""), ""真實收入"",
  TRUE, ""其他""
)"),"其他")</f>
        <v>其他</v>
      </c>
      <c r="K6140" s="270" t="str">
        <f t="shared" si="2"/>
        <v/>
      </c>
      <c r="L6140">
        <f t="shared" si="3"/>
        <v>0</v>
      </c>
    </row>
    <row r="6141">
      <c r="A6141" s="107"/>
      <c r="D6141" s="270"/>
      <c r="H6141" s="106" t="str">
        <f t="shared" si="1"/>
        <v/>
      </c>
      <c r="J6141" t="str">
        <f>IFERROR(__xludf.DUMMYFUNCTION("IFS(
  AND(REGEXMATCH(E6141, ""台銀籌備帳戶|玉山帳戶""), REGEXMATCH(C6141, ""薪資"")), ""分潤支出"",
  AND(REGEXMATCH(E6141, ""Ben帳戶|Elsa帳戶|Ben代墊|Ariel代墊|中信銀行共用""), REGEXMATCH(F6141, ""Ben帳戶|Elsa帳戶|Ben代墊|Ariel代墊|中信銀行共用"")), ""內部轉帳(忽略)"",
  AND(E6141&lt;&gt;"""", F6141&lt;&gt;"""", N"&amp;"OT(REGEXMATCH(C6141, ""薪資""))), ""內部轉帳(忽略)"",
  REGEXMATCH(C6141, ""薪資""), ""薪資變動(不計入)"",
  REGEXMATCH(C6141, ""押金""), ""押金往來"",
  AND(E6141&lt;&gt;"""", F6141=""""), ""真實支出"",
  AND(E6141="""", F6141&lt;&gt;""""), ""真實收入"",
  TRUE, ""其他""
)"),"其他")</f>
        <v>其他</v>
      </c>
      <c r="K6141" s="270" t="str">
        <f t="shared" si="2"/>
        <v/>
      </c>
      <c r="L6141">
        <f t="shared" si="3"/>
        <v>0</v>
      </c>
    </row>
    <row r="6142">
      <c r="A6142" s="107"/>
      <c r="D6142" s="270"/>
      <c r="H6142" s="106" t="str">
        <f t="shared" si="1"/>
        <v/>
      </c>
      <c r="J6142" t="str">
        <f>IFERROR(__xludf.DUMMYFUNCTION("IFS(
  AND(REGEXMATCH(E6142, ""台銀籌備帳戶|玉山帳戶""), REGEXMATCH(C6142, ""薪資"")), ""分潤支出"",
  AND(REGEXMATCH(E6142, ""Ben帳戶|Elsa帳戶|Ben代墊|Ariel代墊|中信銀行共用""), REGEXMATCH(F6142, ""Ben帳戶|Elsa帳戶|Ben代墊|Ariel代墊|中信銀行共用"")), ""內部轉帳(忽略)"",
  AND(E6142&lt;&gt;"""", F6142&lt;&gt;"""", N"&amp;"OT(REGEXMATCH(C6142, ""薪資""))), ""內部轉帳(忽略)"",
  REGEXMATCH(C6142, ""薪資""), ""薪資變動(不計入)"",
  REGEXMATCH(C6142, ""押金""), ""押金往來"",
  AND(E6142&lt;&gt;"""", F6142=""""), ""真實支出"",
  AND(E6142="""", F6142&lt;&gt;""""), ""真實收入"",
  TRUE, ""其他""
)"),"其他")</f>
        <v>其他</v>
      </c>
      <c r="K6142" s="270" t="str">
        <f t="shared" si="2"/>
        <v/>
      </c>
      <c r="L6142">
        <f t="shared" si="3"/>
        <v>0</v>
      </c>
    </row>
    <row r="6143">
      <c r="A6143" s="107"/>
      <c r="D6143" s="270"/>
      <c r="H6143" s="106" t="str">
        <f t="shared" si="1"/>
        <v/>
      </c>
      <c r="J6143" t="str">
        <f>IFERROR(__xludf.DUMMYFUNCTION("IFS(
  AND(REGEXMATCH(E6143, ""台銀籌備帳戶|玉山帳戶""), REGEXMATCH(C6143, ""薪資"")), ""分潤支出"",
  AND(REGEXMATCH(E6143, ""Ben帳戶|Elsa帳戶|Ben代墊|Ariel代墊|中信銀行共用""), REGEXMATCH(F6143, ""Ben帳戶|Elsa帳戶|Ben代墊|Ariel代墊|中信銀行共用"")), ""內部轉帳(忽略)"",
  AND(E6143&lt;&gt;"""", F6143&lt;&gt;"""", N"&amp;"OT(REGEXMATCH(C6143, ""薪資""))), ""內部轉帳(忽略)"",
  REGEXMATCH(C6143, ""薪資""), ""薪資變動(不計入)"",
  REGEXMATCH(C6143, ""押金""), ""押金往來"",
  AND(E6143&lt;&gt;"""", F6143=""""), ""真實支出"",
  AND(E6143="""", F6143&lt;&gt;""""), ""真實收入"",
  TRUE, ""其他""
)"),"其他")</f>
        <v>其他</v>
      </c>
      <c r="K6143" s="270" t="str">
        <f t="shared" si="2"/>
        <v/>
      </c>
      <c r="L6143">
        <f t="shared" si="3"/>
        <v>0</v>
      </c>
    </row>
    <row r="6144">
      <c r="A6144" s="107"/>
      <c r="D6144" s="270"/>
      <c r="H6144" s="106" t="str">
        <f t="shared" si="1"/>
        <v/>
      </c>
      <c r="J6144" t="str">
        <f>IFERROR(__xludf.DUMMYFUNCTION("IFS(
  AND(REGEXMATCH(E6144, ""台銀籌備帳戶|玉山帳戶""), REGEXMATCH(C6144, ""薪資"")), ""分潤支出"",
  AND(REGEXMATCH(E6144, ""Ben帳戶|Elsa帳戶|Ben代墊|Ariel代墊|中信銀行共用""), REGEXMATCH(F6144, ""Ben帳戶|Elsa帳戶|Ben代墊|Ariel代墊|中信銀行共用"")), ""內部轉帳(忽略)"",
  AND(E6144&lt;&gt;"""", F6144&lt;&gt;"""", N"&amp;"OT(REGEXMATCH(C6144, ""薪資""))), ""內部轉帳(忽略)"",
  REGEXMATCH(C6144, ""薪資""), ""薪資變動(不計入)"",
  REGEXMATCH(C6144, ""押金""), ""押金往來"",
  AND(E6144&lt;&gt;"""", F6144=""""), ""真實支出"",
  AND(E6144="""", F6144&lt;&gt;""""), ""真實收入"",
  TRUE, ""其他""
)"),"其他")</f>
        <v>其他</v>
      </c>
      <c r="K6144" s="270" t="str">
        <f t="shared" si="2"/>
        <v/>
      </c>
      <c r="L6144">
        <f t="shared" si="3"/>
        <v>0</v>
      </c>
    </row>
    <row r="6145">
      <c r="A6145" s="107"/>
      <c r="D6145" s="270"/>
      <c r="H6145" s="106" t="str">
        <f t="shared" si="1"/>
        <v/>
      </c>
      <c r="J6145" t="str">
        <f>IFERROR(__xludf.DUMMYFUNCTION("IFS(
  AND(REGEXMATCH(E6145, ""台銀籌備帳戶|玉山帳戶""), REGEXMATCH(C6145, ""薪資"")), ""分潤支出"",
  AND(REGEXMATCH(E6145, ""Ben帳戶|Elsa帳戶|Ben代墊|Ariel代墊|中信銀行共用""), REGEXMATCH(F6145, ""Ben帳戶|Elsa帳戶|Ben代墊|Ariel代墊|中信銀行共用"")), ""內部轉帳(忽略)"",
  AND(E6145&lt;&gt;"""", F6145&lt;&gt;"""", N"&amp;"OT(REGEXMATCH(C6145, ""薪資""))), ""內部轉帳(忽略)"",
  REGEXMATCH(C6145, ""薪資""), ""薪資變動(不計入)"",
  REGEXMATCH(C6145, ""押金""), ""押金往來"",
  AND(E6145&lt;&gt;"""", F6145=""""), ""真實支出"",
  AND(E6145="""", F6145&lt;&gt;""""), ""真實收入"",
  TRUE, ""其他""
)"),"其他")</f>
        <v>其他</v>
      </c>
      <c r="K6145" s="270" t="str">
        <f t="shared" si="2"/>
        <v/>
      </c>
      <c r="L6145">
        <f t="shared" si="3"/>
        <v>0</v>
      </c>
    </row>
    <row r="6146">
      <c r="A6146" s="107"/>
      <c r="D6146" s="270"/>
      <c r="H6146" s="106" t="str">
        <f t="shared" si="1"/>
        <v/>
      </c>
      <c r="J6146" t="str">
        <f>IFERROR(__xludf.DUMMYFUNCTION("IFS(
  AND(REGEXMATCH(E6146, ""台銀籌備帳戶|玉山帳戶""), REGEXMATCH(C6146, ""薪資"")), ""分潤支出"",
  AND(REGEXMATCH(E6146, ""Ben帳戶|Elsa帳戶|Ben代墊|Ariel代墊|中信銀行共用""), REGEXMATCH(F6146, ""Ben帳戶|Elsa帳戶|Ben代墊|Ariel代墊|中信銀行共用"")), ""內部轉帳(忽略)"",
  AND(E6146&lt;&gt;"""", F6146&lt;&gt;"""", N"&amp;"OT(REGEXMATCH(C6146, ""薪資""))), ""內部轉帳(忽略)"",
  REGEXMATCH(C6146, ""薪資""), ""薪資變動(不計入)"",
  REGEXMATCH(C6146, ""押金""), ""押金往來"",
  AND(E6146&lt;&gt;"""", F6146=""""), ""真實支出"",
  AND(E6146="""", F6146&lt;&gt;""""), ""真實收入"",
  TRUE, ""其他""
)"),"其他")</f>
        <v>其他</v>
      </c>
      <c r="K6146" s="270" t="str">
        <f t="shared" si="2"/>
        <v/>
      </c>
      <c r="L6146">
        <f t="shared" si="3"/>
        <v>0</v>
      </c>
    </row>
    <row r="6147">
      <c r="A6147" s="107"/>
      <c r="D6147" s="270"/>
      <c r="H6147" s="106" t="str">
        <f t="shared" si="1"/>
        <v/>
      </c>
      <c r="J6147" t="str">
        <f>IFERROR(__xludf.DUMMYFUNCTION("IFS(
  AND(REGEXMATCH(E6147, ""台銀籌備帳戶|玉山帳戶""), REGEXMATCH(C6147, ""薪資"")), ""分潤支出"",
  AND(REGEXMATCH(E6147, ""Ben帳戶|Elsa帳戶|Ben代墊|Ariel代墊|中信銀行共用""), REGEXMATCH(F6147, ""Ben帳戶|Elsa帳戶|Ben代墊|Ariel代墊|中信銀行共用"")), ""內部轉帳(忽略)"",
  AND(E6147&lt;&gt;"""", F6147&lt;&gt;"""", N"&amp;"OT(REGEXMATCH(C6147, ""薪資""))), ""內部轉帳(忽略)"",
  REGEXMATCH(C6147, ""薪資""), ""薪資變動(不計入)"",
  REGEXMATCH(C6147, ""押金""), ""押金往來"",
  AND(E6147&lt;&gt;"""", F6147=""""), ""真實支出"",
  AND(E6147="""", F6147&lt;&gt;""""), ""真實收入"",
  TRUE, ""其他""
)"),"其他")</f>
        <v>其他</v>
      </c>
      <c r="K6147" s="270" t="str">
        <f t="shared" si="2"/>
        <v/>
      </c>
      <c r="L6147">
        <f t="shared" si="3"/>
        <v>0</v>
      </c>
    </row>
    <row r="6148">
      <c r="A6148" s="107"/>
      <c r="D6148" s="270"/>
      <c r="H6148" s="106" t="str">
        <f t="shared" si="1"/>
        <v/>
      </c>
      <c r="J6148" t="str">
        <f>IFERROR(__xludf.DUMMYFUNCTION("IFS(
  AND(REGEXMATCH(E6148, ""台銀籌備帳戶|玉山帳戶""), REGEXMATCH(C6148, ""薪資"")), ""分潤支出"",
  AND(REGEXMATCH(E6148, ""Ben帳戶|Elsa帳戶|Ben代墊|Ariel代墊|中信銀行共用""), REGEXMATCH(F6148, ""Ben帳戶|Elsa帳戶|Ben代墊|Ariel代墊|中信銀行共用"")), ""內部轉帳(忽略)"",
  AND(E6148&lt;&gt;"""", F6148&lt;&gt;"""", N"&amp;"OT(REGEXMATCH(C6148, ""薪資""))), ""內部轉帳(忽略)"",
  REGEXMATCH(C6148, ""薪資""), ""薪資變動(不計入)"",
  REGEXMATCH(C6148, ""押金""), ""押金往來"",
  AND(E6148&lt;&gt;"""", F6148=""""), ""真實支出"",
  AND(E6148="""", F6148&lt;&gt;""""), ""真實收入"",
  TRUE, ""其他""
)"),"其他")</f>
        <v>其他</v>
      </c>
      <c r="K6148" s="270" t="str">
        <f t="shared" si="2"/>
        <v/>
      </c>
      <c r="L6148">
        <f t="shared" si="3"/>
        <v>0</v>
      </c>
    </row>
    <row r="6149">
      <c r="A6149" s="107"/>
      <c r="D6149" s="270"/>
      <c r="H6149" s="106" t="str">
        <f t="shared" si="1"/>
        <v/>
      </c>
      <c r="J6149" t="str">
        <f>IFERROR(__xludf.DUMMYFUNCTION("IFS(
  AND(REGEXMATCH(E6149, ""台銀籌備帳戶|玉山帳戶""), REGEXMATCH(C6149, ""薪資"")), ""分潤支出"",
  AND(REGEXMATCH(E6149, ""Ben帳戶|Elsa帳戶|Ben代墊|Ariel代墊|中信銀行共用""), REGEXMATCH(F6149, ""Ben帳戶|Elsa帳戶|Ben代墊|Ariel代墊|中信銀行共用"")), ""內部轉帳(忽略)"",
  AND(E6149&lt;&gt;"""", F6149&lt;&gt;"""", N"&amp;"OT(REGEXMATCH(C6149, ""薪資""))), ""內部轉帳(忽略)"",
  REGEXMATCH(C6149, ""薪資""), ""薪資變動(不計入)"",
  REGEXMATCH(C6149, ""押金""), ""押金往來"",
  AND(E6149&lt;&gt;"""", F6149=""""), ""真實支出"",
  AND(E6149="""", F6149&lt;&gt;""""), ""真實收入"",
  TRUE, ""其他""
)"),"其他")</f>
        <v>其他</v>
      </c>
      <c r="K6149" s="270" t="str">
        <f t="shared" si="2"/>
        <v/>
      </c>
      <c r="L6149">
        <f t="shared" si="3"/>
        <v>0</v>
      </c>
    </row>
    <row r="6150">
      <c r="A6150" s="107"/>
      <c r="D6150" s="270"/>
      <c r="H6150" s="106" t="str">
        <f t="shared" si="1"/>
        <v/>
      </c>
      <c r="J6150" t="str">
        <f>IFERROR(__xludf.DUMMYFUNCTION("IFS(
  AND(REGEXMATCH(E6150, ""台銀籌備帳戶|玉山帳戶""), REGEXMATCH(C6150, ""薪資"")), ""分潤支出"",
  AND(REGEXMATCH(E6150, ""Ben帳戶|Elsa帳戶|Ben代墊|Ariel代墊|中信銀行共用""), REGEXMATCH(F6150, ""Ben帳戶|Elsa帳戶|Ben代墊|Ariel代墊|中信銀行共用"")), ""內部轉帳(忽略)"",
  AND(E6150&lt;&gt;"""", F6150&lt;&gt;"""", N"&amp;"OT(REGEXMATCH(C6150, ""薪資""))), ""內部轉帳(忽略)"",
  REGEXMATCH(C6150, ""薪資""), ""薪資變動(不計入)"",
  REGEXMATCH(C6150, ""押金""), ""押金往來"",
  AND(E6150&lt;&gt;"""", F6150=""""), ""真實支出"",
  AND(E6150="""", F6150&lt;&gt;""""), ""真實收入"",
  TRUE, ""其他""
)"),"其他")</f>
        <v>其他</v>
      </c>
      <c r="K6150" s="270" t="str">
        <f t="shared" si="2"/>
        <v/>
      </c>
      <c r="L6150">
        <f t="shared" si="3"/>
        <v>0</v>
      </c>
    </row>
    <row r="6151">
      <c r="A6151" s="107"/>
      <c r="D6151" s="270"/>
      <c r="H6151" s="106" t="str">
        <f t="shared" si="1"/>
        <v/>
      </c>
      <c r="J6151" t="str">
        <f>IFERROR(__xludf.DUMMYFUNCTION("IFS(
  AND(REGEXMATCH(E6151, ""台銀籌備帳戶|玉山帳戶""), REGEXMATCH(C6151, ""薪資"")), ""分潤支出"",
  AND(REGEXMATCH(E6151, ""Ben帳戶|Elsa帳戶|Ben代墊|Ariel代墊|中信銀行共用""), REGEXMATCH(F6151, ""Ben帳戶|Elsa帳戶|Ben代墊|Ariel代墊|中信銀行共用"")), ""內部轉帳(忽略)"",
  AND(E6151&lt;&gt;"""", F6151&lt;&gt;"""", N"&amp;"OT(REGEXMATCH(C6151, ""薪資""))), ""內部轉帳(忽略)"",
  REGEXMATCH(C6151, ""薪資""), ""薪資變動(不計入)"",
  REGEXMATCH(C6151, ""押金""), ""押金往來"",
  AND(E6151&lt;&gt;"""", F6151=""""), ""真實支出"",
  AND(E6151="""", F6151&lt;&gt;""""), ""真實收入"",
  TRUE, ""其他""
)"),"其他")</f>
        <v>其他</v>
      </c>
      <c r="K6151" s="270" t="str">
        <f t="shared" si="2"/>
        <v/>
      </c>
      <c r="L6151">
        <f t="shared" si="3"/>
        <v>0</v>
      </c>
    </row>
    <row r="6152">
      <c r="A6152" s="107"/>
      <c r="D6152" s="270"/>
      <c r="H6152" s="106" t="str">
        <f t="shared" si="1"/>
        <v/>
      </c>
      <c r="J6152" t="str">
        <f>IFERROR(__xludf.DUMMYFUNCTION("IFS(
  AND(REGEXMATCH(E6152, ""台銀籌備帳戶|玉山帳戶""), REGEXMATCH(C6152, ""薪資"")), ""分潤支出"",
  AND(REGEXMATCH(E6152, ""Ben帳戶|Elsa帳戶|Ben代墊|Ariel代墊|中信銀行共用""), REGEXMATCH(F6152, ""Ben帳戶|Elsa帳戶|Ben代墊|Ariel代墊|中信銀行共用"")), ""內部轉帳(忽略)"",
  AND(E6152&lt;&gt;"""", F6152&lt;&gt;"""", N"&amp;"OT(REGEXMATCH(C6152, ""薪資""))), ""內部轉帳(忽略)"",
  REGEXMATCH(C6152, ""薪資""), ""薪資變動(不計入)"",
  REGEXMATCH(C6152, ""押金""), ""押金往來"",
  AND(E6152&lt;&gt;"""", F6152=""""), ""真實支出"",
  AND(E6152="""", F6152&lt;&gt;""""), ""真實收入"",
  TRUE, ""其他""
)"),"其他")</f>
        <v>其他</v>
      </c>
      <c r="K6152" s="270" t="str">
        <f t="shared" si="2"/>
        <v/>
      </c>
      <c r="L6152">
        <f t="shared" si="3"/>
        <v>0</v>
      </c>
    </row>
    <row r="6153">
      <c r="A6153" s="107"/>
      <c r="D6153" s="270"/>
      <c r="H6153" s="106" t="str">
        <f t="shared" si="1"/>
        <v/>
      </c>
      <c r="J6153" t="str">
        <f>IFERROR(__xludf.DUMMYFUNCTION("IFS(
  AND(REGEXMATCH(E6153, ""台銀籌備帳戶|玉山帳戶""), REGEXMATCH(C6153, ""薪資"")), ""分潤支出"",
  AND(REGEXMATCH(E6153, ""Ben帳戶|Elsa帳戶|Ben代墊|Ariel代墊|中信銀行共用""), REGEXMATCH(F6153, ""Ben帳戶|Elsa帳戶|Ben代墊|Ariel代墊|中信銀行共用"")), ""內部轉帳(忽略)"",
  AND(E6153&lt;&gt;"""", F6153&lt;&gt;"""", N"&amp;"OT(REGEXMATCH(C6153, ""薪資""))), ""內部轉帳(忽略)"",
  REGEXMATCH(C6153, ""薪資""), ""薪資變動(不計入)"",
  REGEXMATCH(C6153, ""押金""), ""押金往來"",
  AND(E6153&lt;&gt;"""", F6153=""""), ""真實支出"",
  AND(E6153="""", F6153&lt;&gt;""""), ""真實收入"",
  TRUE, ""其他""
)"),"其他")</f>
        <v>其他</v>
      </c>
      <c r="K6153" s="270" t="str">
        <f t="shared" si="2"/>
        <v/>
      </c>
      <c r="L6153">
        <f t="shared" si="3"/>
        <v>0</v>
      </c>
    </row>
    <row r="6154">
      <c r="A6154" s="107"/>
      <c r="D6154" s="270"/>
      <c r="H6154" s="106" t="str">
        <f t="shared" si="1"/>
        <v/>
      </c>
      <c r="J6154" t="str">
        <f>IFERROR(__xludf.DUMMYFUNCTION("IFS(
  AND(REGEXMATCH(E6154, ""台銀籌備帳戶|玉山帳戶""), REGEXMATCH(C6154, ""薪資"")), ""分潤支出"",
  AND(REGEXMATCH(E6154, ""Ben帳戶|Elsa帳戶|Ben代墊|Ariel代墊|中信銀行共用""), REGEXMATCH(F6154, ""Ben帳戶|Elsa帳戶|Ben代墊|Ariel代墊|中信銀行共用"")), ""內部轉帳(忽略)"",
  AND(E6154&lt;&gt;"""", F6154&lt;&gt;"""", N"&amp;"OT(REGEXMATCH(C6154, ""薪資""))), ""內部轉帳(忽略)"",
  REGEXMATCH(C6154, ""薪資""), ""薪資變動(不計入)"",
  REGEXMATCH(C6154, ""押金""), ""押金往來"",
  AND(E6154&lt;&gt;"""", F6154=""""), ""真實支出"",
  AND(E6154="""", F6154&lt;&gt;""""), ""真實收入"",
  TRUE, ""其他""
)"),"其他")</f>
        <v>其他</v>
      </c>
      <c r="K6154" s="270" t="str">
        <f t="shared" si="2"/>
        <v/>
      </c>
      <c r="L6154">
        <f t="shared" si="3"/>
        <v>0</v>
      </c>
    </row>
    <row r="6155">
      <c r="A6155" s="107"/>
      <c r="D6155" s="270"/>
      <c r="H6155" s="106" t="str">
        <f t="shared" si="1"/>
        <v/>
      </c>
      <c r="J6155" t="str">
        <f>IFERROR(__xludf.DUMMYFUNCTION("IFS(
  AND(REGEXMATCH(E6155, ""台銀籌備帳戶|玉山帳戶""), REGEXMATCH(C6155, ""薪資"")), ""分潤支出"",
  AND(REGEXMATCH(E6155, ""Ben帳戶|Elsa帳戶|Ben代墊|Ariel代墊|中信銀行共用""), REGEXMATCH(F6155, ""Ben帳戶|Elsa帳戶|Ben代墊|Ariel代墊|中信銀行共用"")), ""內部轉帳(忽略)"",
  AND(E6155&lt;&gt;"""", F6155&lt;&gt;"""", N"&amp;"OT(REGEXMATCH(C6155, ""薪資""))), ""內部轉帳(忽略)"",
  REGEXMATCH(C6155, ""薪資""), ""薪資變動(不計入)"",
  REGEXMATCH(C6155, ""押金""), ""押金往來"",
  AND(E6155&lt;&gt;"""", F6155=""""), ""真實支出"",
  AND(E6155="""", F6155&lt;&gt;""""), ""真實收入"",
  TRUE, ""其他""
)"),"其他")</f>
        <v>其他</v>
      </c>
      <c r="K6155" s="270" t="str">
        <f t="shared" si="2"/>
        <v/>
      </c>
      <c r="L6155">
        <f t="shared" si="3"/>
        <v>0</v>
      </c>
    </row>
    <row r="6156">
      <c r="A6156" s="107"/>
      <c r="D6156" s="270"/>
      <c r="H6156" s="106" t="str">
        <f t="shared" si="1"/>
        <v/>
      </c>
      <c r="J6156" t="str">
        <f>IFERROR(__xludf.DUMMYFUNCTION("IFS(
  AND(REGEXMATCH(E6156, ""台銀籌備帳戶|玉山帳戶""), REGEXMATCH(C6156, ""薪資"")), ""分潤支出"",
  AND(REGEXMATCH(E6156, ""Ben帳戶|Elsa帳戶|Ben代墊|Ariel代墊|中信銀行共用""), REGEXMATCH(F6156, ""Ben帳戶|Elsa帳戶|Ben代墊|Ariel代墊|中信銀行共用"")), ""內部轉帳(忽略)"",
  AND(E6156&lt;&gt;"""", F6156&lt;&gt;"""", N"&amp;"OT(REGEXMATCH(C6156, ""薪資""))), ""內部轉帳(忽略)"",
  REGEXMATCH(C6156, ""薪資""), ""薪資變動(不計入)"",
  REGEXMATCH(C6156, ""押金""), ""押金往來"",
  AND(E6156&lt;&gt;"""", F6156=""""), ""真實支出"",
  AND(E6156="""", F6156&lt;&gt;""""), ""真實收入"",
  TRUE, ""其他""
)"),"其他")</f>
        <v>其他</v>
      </c>
      <c r="K6156" s="270" t="str">
        <f t="shared" si="2"/>
        <v/>
      </c>
      <c r="L6156">
        <f t="shared" si="3"/>
        <v>0</v>
      </c>
    </row>
    <row r="6157">
      <c r="A6157" s="107"/>
      <c r="D6157" s="270"/>
      <c r="H6157" s="106" t="str">
        <f t="shared" si="1"/>
        <v/>
      </c>
      <c r="J6157" t="str">
        <f>IFERROR(__xludf.DUMMYFUNCTION("IFS(
  AND(REGEXMATCH(E6157, ""台銀籌備帳戶|玉山帳戶""), REGEXMATCH(C6157, ""薪資"")), ""分潤支出"",
  AND(REGEXMATCH(E6157, ""Ben帳戶|Elsa帳戶|Ben代墊|Ariel代墊|中信銀行共用""), REGEXMATCH(F6157, ""Ben帳戶|Elsa帳戶|Ben代墊|Ariel代墊|中信銀行共用"")), ""內部轉帳(忽略)"",
  AND(E6157&lt;&gt;"""", F6157&lt;&gt;"""", N"&amp;"OT(REGEXMATCH(C6157, ""薪資""))), ""內部轉帳(忽略)"",
  REGEXMATCH(C6157, ""薪資""), ""薪資變動(不計入)"",
  REGEXMATCH(C6157, ""押金""), ""押金往來"",
  AND(E6157&lt;&gt;"""", F6157=""""), ""真實支出"",
  AND(E6157="""", F6157&lt;&gt;""""), ""真實收入"",
  TRUE, ""其他""
)"),"其他")</f>
        <v>其他</v>
      </c>
      <c r="K6157" s="270" t="str">
        <f t="shared" si="2"/>
        <v/>
      </c>
      <c r="L6157">
        <f t="shared" si="3"/>
        <v>0</v>
      </c>
    </row>
    <row r="6158">
      <c r="A6158" s="107"/>
      <c r="D6158" s="270"/>
      <c r="H6158" s="106" t="str">
        <f t="shared" si="1"/>
        <v/>
      </c>
      <c r="J6158" t="str">
        <f>IFERROR(__xludf.DUMMYFUNCTION("IFS(
  AND(REGEXMATCH(E6158, ""台銀籌備帳戶|玉山帳戶""), REGEXMATCH(C6158, ""薪資"")), ""分潤支出"",
  AND(REGEXMATCH(E6158, ""Ben帳戶|Elsa帳戶|Ben代墊|Ariel代墊|中信銀行共用""), REGEXMATCH(F6158, ""Ben帳戶|Elsa帳戶|Ben代墊|Ariel代墊|中信銀行共用"")), ""內部轉帳(忽略)"",
  AND(E6158&lt;&gt;"""", F6158&lt;&gt;"""", N"&amp;"OT(REGEXMATCH(C6158, ""薪資""))), ""內部轉帳(忽略)"",
  REGEXMATCH(C6158, ""薪資""), ""薪資變動(不計入)"",
  REGEXMATCH(C6158, ""押金""), ""押金往來"",
  AND(E6158&lt;&gt;"""", F6158=""""), ""真實支出"",
  AND(E6158="""", F6158&lt;&gt;""""), ""真實收入"",
  TRUE, ""其他""
)"),"其他")</f>
        <v>其他</v>
      </c>
      <c r="K6158" s="270" t="str">
        <f t="shared" si="2"/>
        <v/>
      </c>
      <c r="L6158">
        <f t="shared" si="3"/>
        <v>0</v>
      </c>
    </row>
    <row r="6159">
      <c r="A6159" s="107"/>
      <c r="D6159" s="270"/>
      <c r="H6159" s="106" t="str">
        <f t="shared" si="1"/>
        <v/>
      </c>
      <c r="J6159" t="str">
        <f>IFERROR(__xludf.DUMMYFUNCTION("IFS(
  AND(REGEXMATCH(E6159, ""台銀籌備帳戶|玉山帳戶""), REGEXMATCH(C6159, ""薪資"")), ""分潤支出"",
  AND(REGEXMATCH(E6159, ""Ben帳戶|Elsa帳戶|Ben代墊|Ariel代墊|中信銀行共用""), REGEXMATCH(F6159, ""Ben帳戶|Elsa帳戶|Ben代墊|Ariel代墊|中信銀行共用"")), ""內部轉帳(忽略)"",
  AND(E6159&lt;&gt;"""", F6159&lt;&gt;"""", N"&amp;"OT(REGEXMATCH(C6159, ""薪資""))), ""內部轉帳(忽略)"",
  REGEXMATCH(C6159, ""薪資""), ""薪資變動(不計入)"",
  REGEXMATCH(C6159, ""押金""), ""押金往來"",
  AND(E6159&lt;&gt;"""", F6159=""""), ""真實支出"",
  AND(E6159="""", F6159&lt;&gt;""""), ""真實收入"",
  TRUE, ""其他""
)"),"其他")</f>
        <v>其他</v>
      </c>
      <c r="K6159" s="270" t="str">
        <f t="shared" si="2"/>
        <v/>
      </c>
      <c r="L6159">
        <f t="shared" si="3"/>
        <v>0</v>
      </c>
    </row>
    <row r="6160">
      <c r="A6160" s="107"/>
      <c r="D6160" s="270"/>
      <c r="H6160" s="106" t="str">
        <f t="shared" si="1"/>
        <v/>
      </c>
      <c r="J6160" t="str">
        <f>IFERROR(__xludf.DUMMYFUNCTION("IFS(
  AND(REGEXMATCH(E6160, ""台銀籌備帳戶|玉山帳戶""), REGEXMATCH(C6160, ""薪資"")), ""分潤支出"",
  AND(REGEXMATCH(E6160, ""Ben帳戶|Elsa帳戶|Ben代墊|Ariel代墊|中信銀行共用""), REGEXMATCH(F6160, ""Ben帳戶|Elsa帳戶|Ben代墊|Ariel代墊|中信銀行共用"")), ""內部轉帳(忽略)"",
  AND(E6160&lt;&gt;"""", F6160&lt;&gt;"""", N"&amp;"OT(REGEXMATCH(C6160, ""薪資""))), ""內部轉帳(忽略)"",
  REGEXMATCH(C6160, ""薪資""), ""薪資變動(不計入)"",
  REGEXMATCH(C6160, ""押金""), ""押金往來"",
  AND(E6160&lt;&gt;"""", F6160=""""), ""真實支出"",
  AND(E6160="""", F6160&lt;&gt;""""), ""真實收入"",
  TRUE, ""其他""
)"),"其他")</f>
        <v>其他</v>
      </c>
      <c r="K6160" s="270" t="str">
        <f t="shared" si="2"/>
        <v/>
      </c>
      <c r="L6160">
        <f t="shared" si="3"/>
        <v>0</v>
      </c>
    </row>
    <row r="6161">
      <c r="A6161" s="107"/>
      <c r="D6161" s="270"/>
      <c r="H6161" s="106" t="str">
        <f t="shared" si="1"/>
        <v/>
      </c>
      <c r="J6161" t="str">
        <f>IFERROR(__xludf.DUMMYFUNCTION("IFS(
  AND(REGEXMATCH(E6161, ""台銀籌備帳戶|玉山帳戶""), REGEXMATCH(C6161, ""薪資"")), ""分潤支出"",
  AND(REGEXMATCH(E6161, ""Ben帳戶|Elsa帳戶|Ben代墊|Ariel代墊|中信銀行共用""), REGEXMATCH(F6161, ""Ben帳戶|Elsa帳戶|Ben代墊|Ariel代墊|中信銀行共用"")), ""內部轉帳(忽略)"",
  AND(E6161&lt;&gt;"""", F6161&lt;&gt;"""", N"&amp;"OT(REGEXMATCH(C6161, ""薪資""))), ""內部轉帳(忽略)"",
  REGEXMATCH(C6161, ""薪資""), ""薪資變動(不計入)"",
  REGEXMATCH(C6161, ""押金""), ""押金往來"",
  AND(E6161&lt;&gt;"""", F6161=""""), ""真實支出"",
  AND(E6161="""", F6161&lt;&gt;""""), ""真實收入"",
  TRUE, ""其他""
)"),"其他")</f>
        <v>其他</v>
      </c>
      <c r="K6161" s="270" t="str">
        <f t="shared" si="2"/>
        <v/>
      </c>
      <c r="L6161">
        <f t="shared" si="3"/>
        <v>0</v>
      </c>
    </row>
    <row r="6162">
      <c r="A6162" s="107"/>
      <c r="D6162" s="270"/>
      <c r="H6162" s="106" t="str">
        <f t="shared" si="1"/>
        <v/>
      </c>
      <c r="J6162" t="str">
        <f>IFERROR(__xludf.DUMMYFUNCTION("IFS(
  AND(REGEXMATCH(E6162, ""台銀籌備帳戶|玉山帳戶""), REGEXMATCH(C6162, ""薪資"")), ""分潤支出"",
  AND(REGEXMATCH(E6162, ""Ben帳戶|Elsa帳戶|Ben代墊|Ariel代墊|中信銀行共用""), REGEXMATCH(F6162, ""Ben帳戶|Elsa帳戶|Ben代墊|Ariel代墊|中信銀行共用"")), ""內部轉帳(忽略)"",
  AND(E6162&lt;&gt;"""", F6162&lt;&gt;"""", N"&amp;"OT(REGEXMATCH(C6162, ""薪資""))), ""內部轉帳(忽略)"",
  REGEXMATCH(C6162, ""薪資""), ""薪資變動(不計入)"",
  REGEXMATCH(C6162, ""押金""), ""押金往來"",
  AND(E6162&lt;&gt;"""", F6162=""""), ""真實支出"",
  AND(E6162="""", F6162&lt;&gt;""""), ""真實收入"",
  TRUE, ""其他""
)"),"其他")</f>
        <v>其他</v>
      </c>
      <c r="K6162" s="270" t="str">
        <f t="shared" si="2"/>
        <v/>
      </c>
      <c r="L6162">
        <f t="shared" si="3"/>
        <v>0</v>
      </c>
    </row>
    <row r="6163">
      <c r="A6163" s="107"/>
      <c r="D6163" s="270"/>
      <c r="H6163" s="106" t="str">
        <f t="shared" si="1"/>
        <v/>
      </c>
      <c r="J6163" t="str">
        <f>IFERROR(__xludf.DUMMYFUNCTION("IFS(
  AND(REGEXMATCH(E6163, ""台銀籌備帳戶|玉山帳戶""), REGEXMATCH(C6163, ""薪資"")), ""分潤支出"",
  AND(REGEXMATCH(E6163, ""Ben帳戶|Elsa帳戶|Ben代墊|Ariel代墊|中信銀行共用""), REGEXMATCH(F6163, ""Ben帳戶|Elsa帳戶|Ben代墊|Ariel代墊|中信銀行共用"")), ""內部轉帳(忽略)"",
  AND(E6163&lt;&gt;"""", F6163&lt;&gt;"""", N"&amp;"OT(REGEXMATCH(C6163, ""薪資""))), ""內部轉帳(忽略)"",
  REGEXMATCH(C6163, ""薪資""), ""薪資變動(不計入)"",
  REGEXMATCH(C6163, ""押金""), ""押金往來"",
  AND(E6163&lt;&gt;"""", F6163=""""), ""真實支出"",
  AND(E6163="""", F6163&lt;&gt;""""), ""真實收入"",
  TRUE, ""其他""
)"),"其他")</f>
        <v>其他</v>
      </c>
      <c r="K6163" s="270" t="str">
        <f t="shared" si="2"/>
        <v/>
      </c>
      <c r="L6163">
        <f t="shared" si="3"/>
        <v>0</v>
      </c>
    </row>
    <row r="6164">
      <c r="A6164" s="107"/>
      <c r="D6164" s="270"/>
      <c r="H6164" s="106" t="str">
        <f t="shared" si="1"/>
        <v/>
      </c>
      <c r="J6164" t="str">
        <f>IFERROR(__xludf.DUMMYFUNCTION("IFS(
  AND(REGEXMATCH(E6164, ""台銀籌備帳戶|玉山帳戶""), REGEXMATCH(C6164, ""薪資"")), ""分潤支出"",
  AND(REGEXMATCH(E6164, ""Ben帳戶|Elsa帳戶|Ben代墊|Ariel代墊|中信銀行共用""), REGEXMATCH(F6164, ""Ben帳戶|Elsa帳戶|Ben代墊|Ariel代墊|中信銀行共用"")), ""內部轉帳(忽略)"",
  AND(E6164&lt;&gt;"""", F6164&lt;&gt;"""", N"&amp;"OT(REGEXMATCH(C6164, ""薪資""))), ""內部轉帳(忽略)"",
  REGEXMATCH(C6164, ""薪資""), ""薪資變動(不計入)"",
  REGEXMATCH(C6164, ""押金""), ""押金往來"",
  AND(E6164&lt;&gt;"""", F6164=""""), ""真實支出"",
  AND(E6164="""", F6164&lt;&gt;""""), ""真實收入"",
  TRUE, ""其他""
)"),"其他")</f>
        <v>其他</v>
      </c>
      <c r="K6164" s="270" t="str">
        <f t="shared" si="2"/>
        <v/>
      </c>
      <c r="L6164">
        <f t="shared" si="3"/>
        <v>0</v>
      </c>
    </row>
    <row r="6165">
      <c r="A6165" s="107"/>
      <c r="D6165" s="270"/>
      <c r="H6165" s="106" t="str">
        <f t="shared" si="1"/>
        <v/>
      </c>
      <c r="J6165" t="str">
        <f>IFERROR(__xludf.DUMMYFUNCTION("IFS(
  AND(REGEXMATCH(E6165, ""台銀籌備帳戶|玉山帳戶""), REGEXMATCH(C6165, ""薪資"")), ""分潤支出"",
  AND(REGEXMATCH(E6165, ""Ben帳戶|Elsa帳戶|Ben代墊|Ariel代墊|中信銀行共用""), REGEXMATCH(F6165, ""Ben帳戶|Elsa帳戶|Ben代墊|Ariel代墊|中信銀行共用"")), ""內部轉帳(忽略)"",
  AND(E6165&lt;&gt;"""", F6165&lt;&gt;"""", N"&amp;"OT(REGEXMATCH(C6165, ""薪資""))), ""內部轉帳(忽略)"",
  REGEXMATCH(C6165, ""薪資""), ""薪資變動(不計入)"",
  REGEXMATCH(C6165, ""押金""), ""押金往來"",
  AND(E6165&lt;&gt;"""", F6165=""""), ""真實支出"",
  AND(E6165="""", F6165&lt;&gt;""""), ""真實收入"",
  TRUE, ""其他""
)"),"其他")</f>
        <v>其他</v>
      </c>
      <c r="K6165" s="270" t="str">
        <f t="shared" si="2"/>
        <v/>
      </c>
      <c r="L6165">
        <f t="shared" si="3"/>
        <v>0</v>
      </c>
    </row>
    <row r="6166">
      <c r="A6166" s="107"/>
      <c r="D6166" s="270"/>
      <c r="H6166" s="106" t="str">
        <f t="shared" si="1"/>
        <v/>
      </c>
      <c r="J6166" t="str">
        <f>IFERROR(__xludf.DUMMYFUNCTION("IFS(
  AND(REGEXMATCH(E6166, ""台銀籌備帳戶|玉山帳戶""), REGEXMATCH(C6166, ""薪資"")), ""分潤支出"",
  AND(REGEXMATCH(E6166, ""Ben帳戶|Elsa帳戶|Ben代墊|Ariel代墊|中信銀行共用""), REGEXMATCH(F6166, ""Ben帳戶|Elsa帳戶|Ben代墊|Ariel代墊|中信銀行共用"")), ""內部轉帳(忽略)"",
  AND(E6166&lt;&gt;"""", F6166&lt;&gt;"""", N"&amp;"OT(REGEXMATCH(C6166, ""薪資""))), ""內部轉帳(忽略)"",
  REGEXMATCH(C6166, ""薪資""), ""薪資變動(不計入)"",
  REGEXMATCH(C6166, ""押金""), ""押金往來"",
  AND(E6166&lt;&gt;"""", F6166=""""), ""真實支出"",
  AND(E6166="""", F6166&lt;&gt;""""), ""真實收入"",
  TRUE, ""其他""
)"),"其他")</f>
        <v>其他</v>
      </c>
      <c r="K6166" s="270" t="str">
        <f t="shared" si="2"/>
        <v/>
      </c>
      <c r="L6166">
        <f t="shared" si="3"/>
        <v>0</v>
      </c>
    </row>
    <row r="6167">
      <c r="A6167" s="107"/>
      <c r="D6167" s="270"/>
      <c r="H6167" s="106" t="str">
        <f t="shared" si="1"/>
        <v/>
      </c>
      <c r="J6167" t="str">
        <f>IFERROR(__xludf.DUMMYFUNCTION("IFS(
  AND(REGEXMATCH(E6167, ""台銀籌備帳戶|玉山帳戶""), REGEXMATCH(C6167, ""薪資"")), ""分潤支出"",
  AND(REGEXMATCH(E6167, ""Ben帳戶|Elsa帳戶|Ben代墊|Ariel代墊|中信銀行共用""), REGEXMATCH(F6167, ""Ben帳戶|Elsa帳戶|Ben代墊|Ariel代墊|中信銀行共用"")), ""內部轉帳(忽略)"",
  AND(E6167&lt;&gt;"""", F6167&lt;&gt;"""", N"&amp;"OT(REGEXMATCH(C6167, ""薪資""))), ""內部轉帳(忽略)"",
  REGEXMATCH(C6167, ""薪資""), ""薪資變動(不計入)"",
  REGEXMATCH(C6167, ""押金""), ""押金往來"",
  AND(E6167&lt;&gt;"""", F6167=""""), ""真實支出"",
  AND(E6167="""", F6167&lt;&gt;""""), ""真實收入"",
  TRUE, ""其他""
)"),"其他")</f>
        <v>其他</v>
      </c>
      <c r="K6167" s="270" t="str">
        <f t="shared" si="2"/>
        <v/>
      </c>
      <c r="L6167">
        <f t="shared" si="3"/>
        <v>0</v>
      </c>
    </row>
    <row r="6168">
      <c r="A6168" s="107"/>
      <c r="D6168" s="270"/>
      <c r="H6168" s="106" t="str">
        <f t="shared" si="1"/>
        <v/>
      </c>
      <c r="J6168" t="str">
        <f>IFERROR(__xludf.DUMMYFUNCTION("IFS(
  AND(REGEXMATCH(E6168, ""台銀籌備帳戶|玉山帳戶""), REGEXMATCH(C6168, ""薪資"")), ""分潤支出"",
  AND(REGEXMATCH(E6168, ""Ben帳戶|Elsa帳戶|Ben代墊|Ariel代墊|中信銀行共用""), REGEXMATCH(F6168, ""Ben帳戶|Elsa帳戶|Ben代墊|Ariel代墊|中信銀行共用"")), ""內部轉帳(忽略)"",
  AND(E6168&lt;&gt;"""", F6168&lt;&gt;"""", N"&amp;"OT(REGEXMATCH(C6168, ""薪資""))), ""內部轉帳(忽略)"",
  REGEXMATCH(C6168, ""薪資""), ""薪資變動(不計入)"",
  REGEXMATCH(C6168, ""押金""), ""押金往來"",
  AND(E6168&lt;&gt;"""", F6168=""""), ""真實支出"",
  AND(E6168="""", F6168&lt;&gt;""""), ""真實收入"",
  TRUE, ""其他""
)"),"其他")</f>
        <v>其他</v>
      </c>
      <c r="K6168" s="270" t="str">
        <f t="shared" si="2"/>
        <v/>
      </c>
      <c r="L6168">
        <f t="shared" si="3"/>
        <v>0</v>
      </c>
    </row>
    <row r="6169">
      <c r="A6169" s="107"/>
      <c r="D6169" s="270"/>
      <c r="H6169" s="106" t="str">
        <f t="shared" si="1"/>
        <v/>
      </c>
      <c r="J6169" t="str">
        <f>IFERROR(__xludf.DUMMYFUNCTION("IFS(
  AND(REGEXMATCH(E6169, ""台銀籌備帳戶|玉山帳戶""), REGEXMATCH(C6169, ""薪資"")), ""分潤支出"",
  AND(REGEXMATCH(E6169, ""Ben帳戶|Elsa帳戶|Ben代墊|Ariel代墊|中信銀行共用""), REGEXMATCH(F6169, ""Ben帳戶|Elsa帳戶|Ben代墊|Ariel代墊|中信銀行共用"")), ""內部轉帳(忽略)"",
  AND(E6169&lt;&gt;"""", F6169&lt;&gt;"""", N"&amp;"OT(REGEXMATCH(C6169, ""薪資""))), ""內部轉帳(忽略)"",
  REGEXMATCH(C6169, ""薪資""), ""薪資變動(不計入)"",
  REGEXMATCH(C6169, ""押金""), ""押金往來"",
  AND(E6169&lt;&gt;"""", F6169=""""), ""真實支出"",
  AND(E6169="""", F6169&lt;&gt;""""), ""真實收入"",
  TRUE, ""其他""
)"),"其他")</f>
        <v>其他</v>
      </c>
      <c r="K6169" s="270" t="str">
        <f t="shared" si="2"/>
        <v/>
      </c>
      <c r="L6169">
        <f t="shared" si="3"/>
        <v>0</v>
      </c>
    </row>
    <row r="6170">
      <c r="A6170" s="107"/>
      <c r="D6170" s="270"/>
      <c r="H6170" s="106" t="str">
        <f t="shared" si="1"/>
        <v/>
      </c>
      <c r="J6170" t="str">
        <f>IFERROR(__xludf.DUMMYFUNCTION("IFS(
  AND(REGEXMATCH(E6170, ""台銀籌備帳戶|玉山帳戶""), REGEXMATCH(C6170, ""薪資"")), ""分潤支出"",
  AND(REGEXMATCH(E6170, ""Ben帳戶|Elsa帳戶|Ben代墊|Ariel代墊|中信銀行共用""), REGEXMATCH(F6170, ""Ben帳戶|Elsa帳戶|Ben代墊|Ariel代墊|中信銀行共用"")), ""內部轉帳(忽略)"",
  AND(E6170&lt;&gt;"""", F6170&lt;&gt;"""", N"&amp;"OT(REGEXMATCH(C6170, ""薪資""))), ""內部轉帳(忽略)"",
  REGEXMATCH(C6170, ""薪資""), ""薪資變動(不計入)"",
  REGEXMATCH(C6170, ""押金""), ""押金往來"",
  AND(E6170&lt;&gt;"""", F6170=""""), ""真實支出"",
  AND(E6170="""", F6170&lt;&gt;""""), ""真實收入"",
  TRUE, ""其他""
)"),"其他")</f>
        <v>其他</v>
      </c>
      <c r="K6170" s="270" t="str">
        <f t="shared" si="2"/>
        <v/>
      </c>
      <c r="L6170">
        <f t="shared" si="3"/>
        <v>0</v>
      </c>
    </row>
    <row r="6171">
      <c r="A6171" s="107"/>
      <c r="D6171" s="270"/>
      <c r="H6171" s="106" t="str">
        <f t="shared" si="1"/>
        <v/>
      </c>
      <c r="J6171" t="str">
        <f>IFERROR(__xludf.DUMMYFUNCTION("IFS(
  AND(REGEXMATCH(E6171, ""台銀籌備帳戶|玉山帳戶""), REGEXMATCH(C6171, ""薪資"")), ""分潤支出"",
  AND(REGEXMATCH(E6171, ""Ben帳戶|Elsa帳戶|Ben代墊|Ariel代墊|中信銀行共用""), REGEXMATCH(F6171, ""Ben帳戶|Elsa帳戶|Ben代墊|Ariel代墊|中信銀行共用"")), ""內部轉帳(忽略)"",
  AND(E6171&lt;&gt;"""", F6171&lt;&gt;"""", N"&amp;"OT(REGEXMATCH(C6171, ""薪資""))), ""內部轉帳(忽略)"",
  REGEXMATCH(C6171, ""薪資""), ""薪資變動(不計入)"",
  REGEXMATCH(C6171, ""押金""), ""押金往來"",
  AND(E6171&lt;&gt;"""", F6171=""""), ""真實支出"",
  AND(E6171="""", F6171&lt;&gt;""""), ""真實收入"",
  TRUE, ""其他""
)"),"其他")</f>
        <v>其他</v>
      </c>
      <c r="K6171" s="270" t="str">
        <f t="shared" si="2"/>
        <v/>
      </c>
      <c r="L6171">
        <f t="shared" si="3"/>
        <v>0</v>
      </c>
    </row>
    <row r="6172">
      <c r="A6172" s="107"/>
      <c r="D6172" s="270"/>
      <c r="H6172" s="106" t="str">
        <f t="shared" si="1"/>
        <v/>
      </c>
      <c r="J6172" t="str">
        <f>IFERROR(__xludf.DUMMYFUNCTION("IFS(
  AND(REGEXMATCH(E6172, ""台銀籌備帳戶|玉山帳戶""), REGEXMATCH(C6172, ""薪資"")), ""分潤支出"",
  AND(REGEXMATCH(E6172, ""Ben帳戶|Elsa帳戶|Ben代墊|Ariel代墊|中信銀行共用""), REGEXMATCH(F6172, ""Ben帳戶|Elsa帳戶|Ben代墊|Ariel代墊|中信銀行共用"")), ""內部轉帳(忽略)"",
  AND(E6172&lt;&gt;"""", F6172&lt;&gt;"""", N"&amp;"OT(REGEXMATCH(C6172, ""薪資""))), ""內部轉帳(忽略)"",
  REGEXMATCH(C6172, ""薪資""), ""薪資變動(不計入)"",
  REGEXMATCH(C6172, ""押金""), ""押金往來"",
  AND(E6172&lt;&gt;"""", F6172=""""), ""真實支出"",
  AND(E6172="""", F6172&lt;&gt;""""), ""真實收入"",
  TRUE, ""其他""
)"),"其他")</f>
        <v>其他</v>
      </c>
      <c r="K6172" s="270" t="str">
        <f t="shared" si="2"/>
        <v/>
      </c>
      <c r="L6172">
        <f t="shared" si="3"/>
        <v>0</v>
      </c>
    </row>
    <row r="6173">
      <c r="A6173" s="107"/>
      <c r="D6173" s="270"/>
      <c r="H6173" s="106" t="str">
        <f t="shared" si="1"/>
        <v/>
      </c>
      <c r="J6173" t="str">
        <f>IFERROR(__xludf.DUMMYFUNCTION("IFS(
  AND(REGEXMATCH(E6173, ""台銀籌備帳戶|玉山帳戶""), REGEXMATCH(C6173, ""薪資"")), ""分潤支出"",
  AND(REGEXMATCH(E6173, ""Ben帳戶|Elsa帳戶|Ben代墊|Ariel代墊|中信銀行共用""), REGEXMATCH(F6173, ""Ben帳戶|Elsa帳戶|Ben代墊|Ariel代墊|中信銀行共用"")), ""內部轉帳(忽略)"",
  AND(E6173&lt;&gt;"""", F6173&lt;&gt;"""", N"&amp;"OT(REGEXMATCH(C6173, ""薪資""))), ""內部轉帳(忽略)"",
  REGEXMATCH(C6173, ""薪資""), ""薪資變動(不計入)"",
  REGEXMATCH(C6173, ""押金""), ""押金往來"",
  AND(E6173&lt;&gt;"""", F6173=""""), ""真實支出"",
  AND(E6173="""", F6173&lt;&gt;""""), ""真實收入"",
  TRUE, ""其他""
)"),"其他")</f>
        <v>其他</v>
      </c>
      <c r="K6173" s="270" t="str">
        <f t="shared" si="2"/>
        <v/>
      </c>
      <c r="L6173">
        <f t="shared" si="3"/>
        <v>0</v>
      </c>
    </row>
    <row r="6174">
      <c r="A6174" s="107"/>
      <c r="D6174" s="270"/>
      <c r="H6174" s="106" t="str">
        <f t="shared" si="1"/>
        <v/>
      </c>
      <c r="J6174" t="str">
        <f>IFERROR(__xludf.DUMMYFUNCTION("IFS(
  AND(REGEXMATCH(E6174, ""台銀籌備帳戶|玉山帳戶""), REGEXMATCH(C6174, ""薪資"")), ""分潤支出"",
  AND(REGEXMATCH(E6174, ""Ben帳戶|Elsa帳戶|Ben代墊|Ariel代墊|中信銀行共用""), REGEXMATCH(F6174, ""Ben帳戶|Elsa帳戶|Ben代墊|Ariel代墊|中信銀行共用"")), ""內部轉帳(忽略)"",
  AND(E6174&lt;&gt;"""", F6174&lt;&gt;"""", N"&amp;"OT(REGEXMATCH(C6174, ""薪資""))), ""內部轉帳(忽略)"",
  REGEXMATCH(C6174, ""薪資""), ""薪資變動(不計入)"",
  REGEXMATCH(C6174, ""押金""), ""押金往來"",
  AND(E6174&lt;&gt;"""", F6174=""""), ""真實支出"",
  AND(E6174="""", F6174&lt;&gt;""""), ""真實收入"",
  TRUE, ""其他""
)"),"其他")</f>
        <v>其他</v>
      </c>
      <c r="K6174" s="270" t="str">
        <f t="shared" si="2"/>
        <v/>
      </c>
      <c r="L6174">
        <f t="shared" si="3"/>
        <v>0</v>
      </c>
    </row>
    <row r="6175">
      <c r="A6175" s="107"/>
      <c r="D6175" s="270"/>
      <c r="H6175" s="106" t="str">
        <f t="shared" si="1"/>
        <v/>
      </c>
      <c r="J6175" t="str">
        <f>IFERROR(__xludf.DUMMYFUNCTION("IFS(
  AND(REGEXMATCH(E6175, ""台銀籌備帳戶|玉山帳戶""), REGEXMATCH(C6175, ""薪資"")), ""分潤支出"",
  AND(REGEXMATCH(E6175, ""Ben帳戶|Elsa帳戶|Ben代墊|Ariel代墊|中信銀行共用""), REGEXMATCH(F6175, ""Ben帳戶|Elsa帳戶|Ben代墊|Ariel代墊|中信銀行共用"")), ""內部轉帳(忽略)"",
  AND(E6175&lt;&gt;"""", F6175&lt;&gt;"""", N"&amp;"OT(REGEXMATCH(C6175, ""薪資""))), ""內部轉帳(忽略)"",
  REGEXMATCH(C6175, ""薪資""), ""薪資變動(不計入)"",
  REGEXMATCH(C6175, ""押金""), ""押金往來"",
  AND(E6175&lt;&gt;"""", F6175=""""), ""真實支出"",
  AND(E6175="""", F6175&lt;&gt;""""), ""真實收入"",
  TRUE, ""其他""
)"),"其他")</f>
        <v>其他</v>
      </c>
      <c r="K6175" s="270" t="str">
        <f t="shared" si="2"/>
        <v/>
      </c>
      <c r="L6175">
        <f t="shared" si="3"/>
        <v>0</v>
      </c>
    </row>
    <row r="6176">
      <c r="A6176" s="107"/>
      <c r="D6176" s="270"/>
      <c r="H6176" s="106" t="str">
        <f t="shared" si="1"/>
        <v/>
      </c>
      <c r="J6176" t="str">
        <f>IFERROR(__xludf.DUMMYFUNCTION("IFS(
  AND(REGEXMATCH(E6176, ""台銀籌備帳戶|玉山帳戶""), REGEXMATCH(C6176, ""薪資"")), ""分潤支出"",
  AND(REGEXMATCH(E6176, ""Ben帳戶|Elsa帳戶|Ben代墊|Ariel代墊|中信銀行共用""), REGEXMATCH(F6176, ""Ben帳戶|Elsa帳戶|Ben代墊|Ariel代墊|中信銀行共用"")), ""內部轉帳(忽略)"",
  AND(E6176&lt;&gt;"""", F6176&lt;&gt;"""", N"&amp;"OT(REGEXMATCH(C6176, ""薪資""))), ""內部轉帳(忽略)"",
  REGEXMATCH(C6176, ""薪資""), ""薪資變動(不計入)"",
  REGEXMATCH(C6176, ""押金""), ""押金往來"",
  AND(E6176&lt;&gt;"""", F6176=""""), ""真實支出"",
  AND(E6176="""", F6176&lt;&gt;""""), ""真實收入"",
  TRUE, ""其他""
)"),"其他")</f>
        <v>其他</v>
      </c>
      <c r="K6176" s="270" t="str">
        <f t="shared" si="2"/>
        <v/>
      </c>
      <c r="L6176">
        <f t="shared" si="3"/>
        <v>0</v>
      </c>
    </row>
    <row r="6177">
      <c r="A6177" s="107"/>
      <c r="D6177" s="270"/>
      <c r="H6177" s="106" t="str">
        <f t="shared" si="1"/>
        <v/>
      </c>
      <c r="J6177" t="str">
        <f>IFERROR(__xludf.DUMMYFUNCTION("IFS(
  AND(REGEXMATCH(E6177, ""台銀籌備帳戶|玉山帳戶""), REGEXMATCH(C6177, ""薪資"")), ""分潤支出"",
  AND(REGEXMATCH(E6177, ""Ben帳戶|Elsa帳戶|Ben代墊|Ariel代墊|中信銀行共用""), REGEXMATCH(F6177, ""Ben帳戶|Elsa帳戶|Ben代墊|Ariel代墊|中信銀行共用"")), ""內部轉帳(忽略)"",
  AND(E6177&lt;&gt;"""", F6177&lt;&gt;"""", N"&amp;"OT(REGEXMATCH(C6177, ""薪資""))), ""內部轉帳(忽略)"",
  REGEXMATCH(C6177, ""薪資""), ""薪資變動(不計入)"",
  REGEXMATCH(C6177, ""押金""), ""押金往來"",
  AND(E6177&lt;&gt;"""", F6177=""""), ""真實支出"",
  AND(E6177="""", F6177&lt;&gt;""""), ""真實收入"",
  TRUE, ""其他""
)"),"其他")</f>
        <v>其他</v>
      </c>
      <c r="K6177" s="270" t="str">
        <f t="shared" si="2"/>
        <v/>
      </c>
      <c r="L6177">
        <f t="shared" si="3"/>
        <v>0</v>
      </c>
    </row>
    <row r="6178">
      <c r="A6178" s="107"/>
      <c r="D6178" s="270"/>
      <c r="H6178" s="106" t="str">
        <f t="shared" si="1"/>
        <v/>
      </c>
      <c r="J6178" t="str">
        <f>IFERROR(__xludf.DUMMYFUNCTION("IFS(
  AND(REGEXMATCH(E6178, ""台銀籌備帳戶|玉山帳戶""), REGEXMATCH(C6178, ""薪資"")), ""分潤支出"",
  AND(REGEXMATCH(E6178, ""Ben帳戶|Elsa帳戶|Ben代墊|Ariel代墊|中信銀行共用""), REGEXMATCH(F6178, ""Ben帳戶|Elsa帳戶|Ben代墊|Ariel代墊|中信銀行共用"")), ""內部轉帳(忽略)"",
  AND(E6178&lt;&gt;"""", F6178&lt;&gt;"""", N"&amp;"OT(REGEXMATCH(C6178, ""薪資""))), ""內部轉帳(忽略)"",
  REGEXMATCH(C6178, ""薪資""), ""薪資變動(不計入)"",
  REGEXMATCH(C6178, ""押金""), ""押金往來"",
  AND(E6178&lt;&gt;"""", F6178=""""), ""真實支出"",
  AND(E6178="""", F6178&lt;&gt;""""), ""真實收入"",
  TRUE, ""其他""
)"),"其他")</f>
        <v>其他</v>
      </c>
      <c r="K6178" s="270" t="str">
        <f t="shared" si="2"/>
        <v/>
      </c>
      <c r="L6178">
        <f t="shared" si="3"/>
        <v>0</v>
      </c>
    </row>
    <row r="6179">
      <c r="A6179" s="107"/>
      <c r="D6179" s="270"/>
      <c r="H6179" s="106" t="str">
        <f t="shared" si="1"/>
        <v/>
      </c>
      <c r="J6179" t="str">
        <f>IFERROR(__xludf.DUMMYFUNCTION("IFS(
  AND(REGEXMATCH(E6179, ""台銀籌備帳戶|玉山帳戶""), REGEXMATCH(C6179, ""薪資"")), ""分潤支出"",
  AND(REGEXMATCH(E6179, ""Ben帳戶|Elsa帳戶|Ben代墊|Ariel代墊|中信銀行共用""), REGEXMATCH(F6179, ""Ben帳戶|Elsa帳戶|Ben代墊|Ariel代墊|中信銀行共用"")), ""內部轉帳(忽略)"",
  AND(E6179&lt;&gt;"""", F6179&lt;&gt;"""", N"&amp;"OT(REGEXMATCH(C6179, ""薪資""))), ""內部轉帳(忽略)"",
  REGEXMATCH(C6179, ""薪資""), ""薪資變動(不計入)"",
  REGEXMATCH(C6179, ""押金""), ""押金往來"",
  AND(E6179&lt;&gt;"""", F6179=""""), ""真實支出"",
  AND(E6179="""", F6179&lt;&gt;""""), ""真實收入"",
  TRUE, ""其他""
)"),"其他")</f>
        <v>其他</v>
      </c>
      <c r="K6179" s="270" t="str">
        <f t="shared" si="2"/>
        <v/>
      </c>
      <c r="L6179">
        <f t="shared" si="3"/>
        <v>0</v>
      </c>
    </row>
    <row r="6180">
      <c r="A6180" s="107"/>
      <c r="D6180" s="270"/>
      <c r="H6180" s="106" t="str">
        <f t="shared" si="1"/>
        <v/>
      </c>
      <c r="J6180" t="str">
        <f>IFERROR(__xludf.DUMMYFUNCTION("IFS(
  AND(REGEXMATCH(E6180, ""台銀籌備帳戶|玉山帳戶""), REGEXMATCH(C6180, ""薪資"")), ""分潤支出"",
  AND(REGEXMATCH(E6180, ""Ben帳戶|Elsa帳戶|Ben代墊|Ariel代墊|中信銀行共用""), REGEXMATCH(F6180, ""Ben帳戶|Elsa帳戶|Ben代墊|Ariel代墊|中信銀行共用"")), ""內部轉帳(忽略)"",
  AND(E6180&lt;&gt;"""", F6180&lt;&gt;"""", N"&amp;"OT(REGEXMATCH(C6180, ""薪資""))), ""內部轉帳(忽略)"",
  REGEXMATCH(C6180, ""薪資""), ""薪資變動(不計入)"",
  REGEXMATCH(C6180, ""押金""), ""押金往來"",
  AND(E6180&lt;&gt;"""", F6180=""""), ""真實支出"",
  AND(E6180="""", F6180&lt;&gt;""""), ""真實收入"",
  TRUE, ""其他""
)"),"其他")</f>
        <v>其他</v>
      </c>
      <c r="K6180" s="270" t="str">
        <f t="shared" si="2"/>
        <v/>
      </c>
      <c r="L6180">
        <f t="shared" si="3"/>
        <v>0</v>
      </c>
    </row>
    <row r="6181">
      <c r="A6181" s="107"/>
      <c r="D6181" s="270"/>
      <c r="H6181" s="106" t="str">
        <f t="shared" si="1"/>
        <v/>
      </c>
      <c r="J6181" t="str">
        <f>IFERROR(__xludf.DUMMYFUNCTION("IFS(
  AND(REGEXMATCH(E6181, ""台銀籌備帳戶|玉山帳戶""), REGEXMATCH(C6181, ""薪資"")), ""分潤支出"",
  AND(REGEXMATCH(E6181, ""Ben帳戶|Elsa帳戶|Ben代墊|Ariel代墊|中信銀行共用""), REGEXMATCH(F6181, ""Ben帳戶|Elsa帳戶|Ben代墊|Ariel代墊|中信銀行共用"")), ""內部轉帳(忽略)"",
  AND(E6181&lt;&gt;"""", F6181&lt;&gt;"""", N"&amp;"OT(REGEXMATCH(C6181, ""薪資""))), ""內部轉帳(忽略)"",
  REGEXMATCH(C6181, ""薪資""), ""薪資變動(不計入)"",
  REGEXMATCH(C6181, ""押金""), ""押金往來"",
  AND(E6181&lt;&gt;"""", F6181=""""), ""真實支出"",
  AND(E6181="""", F6181&lt;&gt;""""), ""真實收入"",
  TRUE, ""其他""
)"),"其他")</f>
        <v>其他</v>
      </c>
      <c r="K6181" s="270" t="str">
        <f t="shared" si="2"/>
        <v/>
      </c>
      <c r="L6181">
        <f t="shared" si="3"/>
        <v>0</v>
      </c>
    </row>
    <row r="6182">
      <c r="A6182" s="107"/>
      <c r="D6182" s="270"/>
      <c r="H6182" s="106" t="str">
        <f t="shared" si="1"/>
        <v/>
      </c>
      <c r="J6182" t="str">
        <f>IFERROR(__xludf.DUMMYFUNCTION("IFS(
  AND(REGEXMATCH(E6182, ""台銀籌備帳戶|玉山帳戶""), REGEXMATCH(C6182, ""薪資"")), ""分潤支出"",
  AND(REGEXMATCH(E6182, ""Ben帳戶|Elsa帳戶|Ben代墊|Ariel代墊|中信銀行共用""), REGEXMATCH(F6182, ""Ben帳戶|Elsa帳戶|Ben代墊|Ariel代墊|中信銀行共用"")), ""內部轉帳(忽略)"",
  AND(E6182&lt;&gt;"""", F6182&lt;&gt;"""", N"&amp;"OT(REGEXMATCH(C6182, ""薪資""))), ""內部轉帳(忽略)"",
  REGEXMATCH(C6182, ""薪資""), ""薪資變動(不計入)"",
  REGEXMATCH(C6182, ""押金""), ""押金往來"",
  AND(E6182&lt;&gt;"""", F6182=""""), ""真實支出"",
  AND(E6182="""", F6182&lt;&gt;""""), ""真實收入"",
  TRUE, ""其他""
)"),"其他")</f>
        <v>其他</v>
      </c>
      <c r="K6182" s="270" t="str">
        <f t="shared" si="2"/>
        <v/>
      </c>
      <c r="L6182">
        <f t="shared" si="3"/>
        <v>0</v>
      </c>
    </row>
    <row r="6183">
      <c r="A6183" s="107"/>
      <c r="D6183" s="270"/>
      <c r="H6183" s="106" t="str">
        <f t="shared" si="1"/>
        <v/>
      </c>
      <c r="J6183" t="str">
        <f>IFERROR(__xludf.DUMMYFUNCTION("IFS(
  AND(REGEXMATCH(E6183, ""台銀籌備帳戶|玉山帳戶""), REGEXMATCH(C6183, ""薪資"")), ""分潤支出"",
  AND(REGEXMATCH(E6183, ""Ben帳戶|Elsa帳戶|Ben代墊|Ariel代墊|中信銀行共用""), REGEXMATCH(F6183, ""Ben帳戶|Elsa帳戶|Ben代墊|Ariel代墊|中信銀行共用"")), ""內部轉帳(忽略)"",
  AND(E6183&lt;&gt;"""", F6183&lt;&gt;"""", N"&amp;"OT(REGEXMATCH(C6183, ""薪資""))), ""內部轉帳(忽略)"",
  REGEXMATCH(C6183, ""薪資""), ""薪資變動(不計入)"",
  REGEXMATCH(C6183, ""押金""), ""押金往來"",
  AND(E6183&lt;&gt;"""", F6183=""""), ""真實支出"",
  AND(E6183="""", F6183&lt;&gt;""""), ""真實收入"",
  TRUE, ""其他""
)"),"其他")</f>
        <v>其他</v>
      </c>
      <c r="K6183" s="270" t="str">
        <f t="shared" si="2"/>
        <v/>
      </c>
      <c r="L6183">
        <f t="shared" si="3"/>
        <v>0</v>
      </c>
    </row>
    <row r="6184">
      <c r="A6184" s="107"/>
      <c r="D6184" s="270"/>
      <c r="H6184" s="106" t="str">
        <f t="shared" si="1"/>
        <v/>
      </c>
      <c r="J6184" t="str">
        <f>IFERROR(__xludf.DUMMYFUNCTION("IFS(
  AND(REGEXMATCH(E6184, ""台銀籌備帳戶|玉山帳戶""), REGEXMATCH(C6184, ""薪資"")), ""分潤支出"",
  AND(REGEXMATCH(E6184, ""Ben帳戶|Elsa帳戶|Ben代墊|Ariel代墊|中信銀行共用""), REGEXMATCH(F6184, ""Ben帳戶|Elsa帳戶|Ben代墊|Ariel代墊|中信銀行共用"")), ""內部轉帳(忽略)"",
  AND(E6184&lt;&gt;"""", F6184&lt;&gt;"""", N"&amp;"OT(REGEXMATCH(C6184, ""薪資""))), ""內部轉帳(忽略)"",
  REGEXMATCH(C6184, ""薪資""), ""薪資變動(不計入)"",
  REGEXMATCH(C6184, ""押金""), ""押金往來"",
  AND(E6184&lt;&gt;"""", F6184=""""), ""真實支出"",
  AND(E6184="""", F6184&lt;&gt;""""), ""真實收入"",
  TRUE, ""其他""
)"),"其他")</f>
        <v>其他</v>
      </c>
      <c r="K6184" s="270" t="str">
        <f t="shared" si="2"/>
        <v/>
      </c>
      <c r="L6184">
        <f t="shared" si="3"/>
        <v>0</v>
      </c>
    </row>
    <row r="6185">
      <c r="A6185" s="107"/>
      <c r="D6185" s="270"/>
      <c r="H6185" s="106" t="str">
        <f t="shared" si="1"/>
        <v/>
      </c>
      <c r="J6185" t="str">
        <f>IFERROR(__xludf.DUMMYFUNCTION("IFS(
  AND(REGEXMATCH(E6185, ""台銀籌備帳戶|玉山帳戶""), REGEXMATCH(C6185, ""薪資"")), ""分潤支出"",
  AND(REGEXMATCH(E6185, ""Ben帳戶|Elsa帳戶|Ben代墊|Ariel代墊|中信銀行共用""), REGEXMATCH(F6185, ""Ben帳戶|Elsa帳戶|Ben代墊|Ariel代墊|中信銀行共用"")), ""內部轉帳(忽略)"",
  AND(E6185&lt;&gt;"""", F6185&lt;&gt;"""", N"&amp;"OT(REGEXMATCH(C6185, ""薪資""))), ""內部轉帳(忽略)"",
  REGEXMATCH(C6185, ""薪資""), ""薪資變動(不計入)"",
  REGEXMATCH(C6185, ""押金""), ""押金往來"",
  AND(E6185&lt;&gt;"""", F6185=""""), ""真實支出"",
  AND(E6185="""", F6185&lt;&gt;""""), ""真實收入"",
  TRUE, ""其他""
)"),"其他")</f>
        <v>其他</v>
      </c>
      <c r="K6185" s="270" t="str">
        <f t="shared" si="2"/>
        <v/>
      </c>
      <c r="L6185">
        <f t="shared" si="3"/>
        <v>0</v>
      </c>
    </row>
    <row r="6186">
      <c r="A6186" s="107"/>
      <c r="D6186" s="270"/>
      <c r="H6186" s="106" t="str">
        <f t="shared" si="1"/>
        <v/>
      </c>
      <c r="J6186" t="str">
        <f>IFERROR(__xludf.DUMMYFUNCTION("IFS(
  AND(REGEXMATCH(E6186, ""台銀籌備帳戶|玉山帳戶""), REGEXMATCH(C6186, ""薪資"")), ""分潤支出"",
  AND(REGEXMATCH(E6186, ""Ben帳戶|Elsa帳戶|Ben代墊|Ariel代墊|中信銀行共用""), REGEXMATCH(F6186, ""Ben帳戶|Elsa帳戶|Ben代墊|Ariel代墊|中信銀行共用"")), ""內部轉帳(忽略)"",
  AND(E6186&lt;&gt;"""", F6186&lt;&gt;"""", N"&amp;"OT(REGEXMATCH(C6186, ""薪資""))), ""內部轉帳(忽略)"",
  REGEXMATCH(C6186, ""薪資""), ""薪資變動(不計入)"",
  REGEXMATCH(C6186, ""押金""), ""押金往來"",
  AND(E6186&lt;&gt;"""", F6186=""""), ""真實支出"",
  AND(E6186="""", F6186&lt;&gt;""""), ""真實收入"",
  TRUE, ""其他""
)"),"其他")</f>
        <v>其他</v>
      </c>
      <c r="K6186" s="270" t="str">
        <f t="shared" si="2"/>
        <v/>
      </c>
      <c r="L6186">
        <f t="shared" si="3"/>
        <v>0</v>
      </c>
    </row>
    <row r="6187">
      <c r="A6187" s="107"/>
      <c r="D6187" s="270"/>
      <c r="H6187" s="106" t="str">
        <f t="shared" si="1"/>
        <v/>
      </c>
      <c r="J6187" t="str">
        <f>IFERROR(__xludf.DUMMYFUNCTION("IFS(
  AND(REGEXMATCH(E6187, ""台銀籌備帳戶|玉山帳戶""), REGEXMATCH(C6187, ""薪資"")), ""分潤支出"",
  AND(REGEXMATCH(E6187, ""Ben帳戶|Elsa帳戶|Ben代墊|Ariel代墊|中信銀行共用""), REGEXMATCH(F6187, ""Ben帳戶|Elsa帳戶|Ben代墊|Ariel代墊|中信銀行共用"")), ""內部轉帳(忽略)"",
  AND(E6187&lt;&gt;"""", F6187&lt;&gt;"""", N"&amp;"OT(REGEXMATCH(C6187, ""薪資""))), ""內部轉帳(忽略)"",
  REGEXMATCH(C6187, ""薪資""), ""薪資變動(不計入)"",
  REGEXMATCH(C6187, ""押金""), ""押金往來"",
  AND(E6187&lt;&gt;"""", F6187=""""), ""真實支出"",
  AND(E6187="""", F6187&lt;&gt;""""), ""真實收入"",
  TRUE, ""其他""
)"),"其他")</f>
        <v>其他</v>
      </c>
      <c r="K6187" s="270" t="str">
        <f t="shared" si="2"/>
        <v/>
      </c>
      <c r="L6187">
        <f t="shared" si="3"/>
        <v>0</v>
      </c>
    </row>
    <row r="6188">
      <c r="A6188" s="107"/>
      <c r="D6188" s="270"/>
      <c r="H6188" s="106" t="str">
        <f t="shared" si="1"/>
        <v/>
      </c>
      <c r="J6188" t="str">
        <f>IFERROR(__xludf.DUMMYFUNCTION("IFS(
  AND(REGEXMATCH(E6188, ""台銀籌備帳戶|玉山帳戶""), REGEXMATCH(C6188, ""薪資"")), ""分潤支出"",
  AND(REGEXMATCH(E6188, ""Ben帳戶|Elsa帳戶|Ben代墊|Ariel代墊|中信銀行共用""), REGEXMATCH(F6188, ""Ben帳戶|Elsa帳戶|Ben代墊|Ariel代墊|中信銀行共用"")), ""內部轉帳(忽略)"",
  AND(E6188&lt;&gt;"""", F6188&lt;&gt;"""", N"&amp;"OT(REGEXMATCH(C6188, ""薪資""))), ""內部轉帳(忽略)"",
  REGEXMATCH(C6188, ""薪資""), ""薪資變動(不計入)"",
  REGEXMATCH(C6188, ""押金""), ""押金往來"",
  AND(E6188&lt;&gt;"""", F6188=""""), ""真實支出"",
  AND(E6188="""", F6188&lt;&gt;""""), ""真實收入"",
  TRUE, ""其他""
)"),"其他")</f>
        <v>其他</v>
      </c>
      <c r="K6188" s="270" t="str">
        <f t="shared" si="2"/>
        <v/>
      </c>
      <c r="L6188">
        <f t="shared" si="3"/>
        <v>0</v>
      </c>
    </row>
    <row r="6189">
      <c r="A6189" s="107"/>
      <c r="D6189" s="270"/>
      <c r="H6189" s="106" t="str">
        <f t="shared" si="1"/>
        <v/>
      </c>
      <c r="J6189" t="str">
        <f>IFERROR(__xludf.DUMMYFUNCTION("IFS(
  AND(REGEXMATCH(E6189, ""台銀籌備帳戶|玉山帳戶""), REGEXMATCH(C6189, ""薪資"")), ""分潤支出"",
  AND(REGEXMATCH(E6189, ""Ben帳戶|Elsa帳戶|Ben代墊|Ariel代墊|中信銀行共用""), REGEXMATCH(F6189, ""Ben帳戶|Elsa帳戶|Ben代墊|Ariel代墊|中信銀行共用"")), ""內部轉帳(忽略)"",
  AND(E6189&lt;&gt;"""", F6189&lt;&gt;"""", N"&amp;"OT(REGEXMATCH(C6189, ""薪資""))), ""內部轉帳(忽略)"",
  REGEXMATCH(C6189, ""薪資""), ""薪資變動(不計入)"",
  REGEXMATCH(C6189, ""押金""), ""押金往來"",
  AND(E6189&lt;&gt;"""", F6189=""""), ""真實支出"",
  AND(E6189="""", F6189&lt;&gt;""""), ""真實收入"",
  TRUE, ""其他""
)"),"其他")</f>
        <v>其他</v>
      </c>
      <c r="K6189" s="270" t="str">
        <f t="shared" si="2"/>
        <v/>
      </c>
      <c r="L6189">
        <f t="shared" si="3"/>
        <v>0</v>
      </c>
    </row>
    <row r="6190">
      <c r="A6190" s="107"/>
      <c r="D6190" s="270"/>
      <c r="H6190" s="106" t="str">
        <f t="shared" si="1"/>
        <v/>
      </c>
      <c r="J6190" t="str">
        <f>IFERROR(__xludf.DUMMYFUNCTION("IFS(
  AND(REGEXMATCH(E6190, ""台銀籌備帳戶|玉山帳戶""), REGEXMATCH(C6190, ""薪資"")), ""分潤支出"",
  AND(REGEXMATCH(E6190, ""Ben帳戶|Elsa帳戶|Ben代墊|Ariel代墊|中信銀行共用""), REGEXMATCH(F6190, ""Ben帳戶|Elsa帳戶|Ben代墊|Ariel代墊|中信銀行共用"")), ""內部轉帳(忽略)"",
  AND(E6190&lt;&gt;"""", F6190&lt;&gt;"""", N"&amp;"OT(REGEXMATCH(C6190, ""薪資""))), ""內部轉帳(忽略)"",
  REGEXMATCH(C6190, ""薪資""), ""薪資變動(不計入)"",
  REGEXMATCH(C6190, ""押金""), ""押金往來"",
  AND(E6190&lt;&gt;"""", F6190=""""), ""真實支出"",
  AND(E6190="""", F6190&lt;&gt;""""), ""真實收入"",
  TRUE, ""其他""
)"),"其他")</f>
        <v>其他</v>
      </c>
      <c r="K6190" s="270" t="str">
        <f t="shared" si="2"/>
        <v/>
      </c>
      <c r="L6190">
        <f t="shared" si="3"/>
        <v>0</v>
      </c>
    </row>
    <row r="6191">
      <c r="A6191" s="107"/>
      <c r="D6191" s="270"/>
      <c r="H6191" s="106" t="str">
        <f t="shared" si="1"/>
        <v/>
      </c>
      <c r="J6191" t="str">
        <f>IFERROR(__xludf.DUMMYFUNCTION("IFS(
  AND(REGEXMATCH(E6191, ""台銀籌備帳戶|玉山帳戶""), REGEXMATCH(C6191, ""薪資"")), ""分潤支出"",
  AND(REGEXMATCH(E6191, ""Ben帳戶|Elsa帳戶|Ben代墊|Ariel代墊|中信銀行共用""), REGEXMATCH(F6191, ""Ben帳戶|Elsa帳戶|Ben代墊|Ariel代墊|中信銀行共用"")), ""內部轉帳(忽略)"",
  AND(E6191&lt;&gt;"""", F6191&lt;&gt;"""", N"&amp;"OT(REGEXMATCH(C6191, ""薪資""))), ""內部轉帳(忽略)"",
  REGEXMATCH(C6191, ""薪資""), ""薪資變動(不計入)"",
  REGEXMATCH(C6191, ""押金""), ""押金往來"",
  AND(E6191&lt;&gt;"""", F6191=""""), ""真實支出"",
  AND(E6191="""", F6191&lt;&gt;""""), ""真實收入"",
  TRUE, ""其他""
)"),"其他")</f>
        <v>其他</v>
      </c>
      <c r="K6191" s="270" t="str">
        <f t="shared" si="2"/>
        <v/>
      </c>
      <c r="L6191">
        <f t="shared" si="3"/>
        <v>0</v>
      </c>
    </row>
    <row r="6192">
      <c r="A6192" s="107"/>
      <c r="D6192" s="270"/>
      <c r="H6192" s="106" t="str">
        <f t="shared" si="1"/>
        <v/>
      </c>
      <c r="J6192" t="str">
        <f>IFERROR(__xludf.DUMMYFUNCTION("IFS(
  AND(REGEXMATCH(E6192, ""台銀籌備帳戶|玉山帳戶""), REGEXMATCH(C6192, ""薪資"")), ""分潤支出"",
  AND(REGEXMATCH(E6192, ""Ben帳戶|Elsa帳戶|Ben代墊|Ariel代墊|中信銀行共用""), REGEXMATCH(F6192, ""Ben帳戶|Elsa帳戶|Ben代墊|Ariel代墊|中信銀行共用"")), ""內部轉帳(忽略)"",
  AND(E6192&lt;&gt;"""", F6192&lt;&gt;"""", N"&amp;"OT(REGEXMATCH(C6192, ""薪資""))), ""內部轉帳(忽略)"",
  REGEXMATCH(C6192, ""薪資""), ""薪資變動(不計入)"",
  REGEXMATCH(C6192, ""押金""), ""押金往來"",
  AND(E6192&lt;&gt;"""", F6192=""""), ""真實支出"",
  AND(E6192="""", F6192&lt;&gt;""""), ""真實收入"",
  TRUE, ""其他""
)"),"其他")</f>
        <v>其他</v>
      </c>
      <c r="K6192" s="270" t="str">
        <f t="shared" si="2"/>
        <v/>
      </c>
      <c r="L6192">
        <f t="shared" si="3"/>
        <v>0</v>
      </c>
    </row>
    <row r="6193">
      <c r="A6193" s="107"/>
      <c r="D6193" s="270"/>
      <c r="H6193" s="106" t="str">
        <f t="shared" si="1"/>
        <v/>
      </c>
      <c r="J6193" t="str">
        <f>IFERROR(__xludf.DUMMYFUNCTION("IFS(
  AND(REGEXMATCH(E6193, ""台銀籌備帳戶|玉山帳戶""), REGEXMATCH(C6193, ""薪資"")), ""分潤支出"",
  AND(REGEXMATCH(E6193, ""Ben帳戶|Elsa帳戶|Ben代墊|Ariel代墊|中信銀行共用""), REGEXMATCH(F6193, ""Ben帳戶|Elsa帳戶|Ben代墊|Ariel代墊|中信銀行共用"")), ""內部轉帳(忽略)"",
  AND(E6193&lt;&gt;"""", F6193&lt;&gt;"""", N"&amp;"OT(REGEXMATCH(C6193, ""薪資""))), ""內部轉帳(忽略)"",
  REGEXMATCH(C6193, ""薪資""), ""薪資變動(不計入)"",
  REGEXMATCH(C6193, ""押金""), ""押金往來"",
  AND(E6193&lt;&gt;"""", F6193=""""), ""真實支出"",
  AND(E6193="""", F6193&lt;&gt;""""), ""真實收入"",
  TRUE, ""其他""
)"),"其他")</f>
        <v>其他</v>
      </c>
      <c r="K6193" s="270" t="str">
        <f t="shared" si="2"/>
        <v/>
      </c>
      <c r="L6193">
        <f t="shared" si="3"/>
        <v>0</v>
      </c>
    </row>
    <row r="6194">
      <c r="A6194" s="107"/>
      <c r="D6194" s="270"/>
      <c r="H6194" s="106" t="str">
        <f t="shared" si="1"/>
        <v/>
      </c>
      <c r="J6194" t="str">
        <f>IFERROR(__xludf.DUMMYFUNCTION("IFS(
  AND(REGEXMATCH(E6194, ""台銀籌備帳戶|玉山帳戶""), REGEXMATCH(C6194, ""薪資"")), ""分潤支出"",
  AND(REGEXMATCH(E6194, ""Ben帳戶|Elsa帳戶|Ben代墊|Ariel代墊|中信銀行共用""), REGEXMATCH(F6194, ""Ben帳戶|Elsa帳戶|Ben代墊|Ariel代墊|中信銀行共用"")), ""內部轉帳(忽略)"",
  AND(E6194&lt;&gt;"""", F6194&lt;&gt;"""", N"&amp;"OT(REGEXMATCH(C6194, ""薪資""))), ""內部轉帳(忽略)"",
  REGEXMATCH(C6194, ""薪資""), ""薪資變動(不計入)"",
  REGEXMATCH(C6194, ""押金""), ""押金往來"",
  AND(E6194&lt;&gt;"""", F6194=""""), ""真實支出"",
  AND(E6194="""", F6194&lt;&gt;""""), ""真實收入"",
  TRUE, ""其他""
)"),"其他")</f>
        <v>其他</v>
      </c>
      <c r="K6194" s="270" t="str">
        <f t="shared" si="2"/>
        <v/>
      </c>
      <c r="L6194">
        <f t="shared" si="3"/>
        <v>0</v>
      </c>
    </row>
    <row r="6195">
      <c r="A6195" s="107"/>
      <c r="D6195" s="270"/>
      <c r="H6195" s="106" t="str">
        <f t="shared" si="1"/>
        <v/>
      </c>
      <c r="J6195" t="str">
        <f>IFERROR(__xludf.DUMMYFUNCTION("IFS(
  AND(REGEXMATCH(E6195, ""台銀籌備帳戶|玉山帳戶""), REGEXMATCH(C6195, ""薪資"")), ""分潤支出"",
  AND(REGEXMATCH(E6195, ""Ben帳戶|Elsa帳戶|Ben代墊|Ariel代墊|中信銀行共用""), REGEXMATCH(F6195, ""Ben帳戶|Elsa帳戶|Ben代墊|Ariel代墊|中信銀行共用"")), ""內部轉帳(忽略)"",
  AND(E6195&lt;&gt;"""", F6195&lt;&gt;"""", N"&amp;"OT(REGEXMATCH(C6195, ""薪資""))), ""內部轉帳(忽略)"",
  REGEXMATCH(C6195, ""薪資""), ""薪資變動(不計入)"",
  REGEXMATCH(C6195, ""押金""), ""押金往來"",
  AND(E6195&lt;&gt;"""", F6195=""""), ""真實支出"",
  AND(E6195="""", F6195&lt;&gt;""""), ""真實收入"",
  TRUE, ""其他""
)"),"其他")</f>
        <v>其他</v>
      </c>
      <c r="K6195" s="270" t="str">
        <f t="shared" si="2"/>
        <v/>
      </c>
      <c r="L6195">
        <f t="shared" si="3"/>
        <v>0</v>
      </c>
    </row>
    <row r="6196">
      <c r="A6196" s="107"/>
      <c r="D6196" s="270"/>
      <c r="H6196" s="106" t="str">
        <f t="shared" si="1"/>
        <v/>
      </c>
      <c r="J6196" t="str">
        <f>IFERROR(__xludf.DUMMYFUNCTION("IFS(
  AND(REGEXMATCH(E6196, ""台銀籌備帳戶|玉山帳戶""), REGEXMATCH(C6196, ""薪資"")), ""分潤支出"",
  AND(REGEXMATCH(E6196, ""Ben帳戶|Elsa帳戶|Ben代墊|Ariel代墊|中信銀行共用""), REGEXMATCH(F6196, ""Ben帳戶|Elsa帳戶|Ben代墊|Ariel代墊|中信銀行共用"")), ""內部轉帳(忽略)"",
  AND(E6196&lt;&gt;"""", F6196&lt;&gt;"""", N"&amp;"OT(REGEXMATCH(C6196, ""薪資""))), ""內部轉帳(忽略)"",
  REGEXMATCH(C6196, ""薪資""), ""薪資變動(不計入)"",
  REGEXMATCH(C6196, ""押金""), ""押金往來"",
  AND(E6196&lt;&gt;"""", F6196=""""), ""真實支出"",
  AND(E6196="""", F6196&lt;&gt;""""), ""真實收入"",
  TRUE, ""其他""
)"),"其他")</f>
        <v>其他</v>
      </c>
      <c r="K6196" s="270" t="str">
        <f t="shared" si="2"/>
        <v/>
      </c>
      <c r="L6196">
        <f t="shared" si="3"/>
        <v>0</v>
      </c>
    </row>
    <row r="6197">
      <c r="A6197" s="107"/>
      <c r="D6197" s="270"/>
      <c r="H6197" s="106" t="str">
        <f t="shared" si="1"/>
        <v/>
      </c>
      <c r="J6197" t="str">
        <f>IFERROR(__xludf.DUMMYFUNCTION("IFS(
  AND(REGEXMATCH(E6197, ""台銀籌備帳戶|玉山帳戶""), REGEXMATCH(C6197, ""薪資"")), ""分潤支出"",
  AND(REGEXMATCH(E6197, ""Ben帳戶|Elsa帳戶|Ben代墊|Ariel代墊|中信銀行共用""), REGEXMATCH(F6197, ""Ben帳戶|Elsa帳戶|Ben代墊|Ariel代墊|中信銀行共用"")), ""內部轉帳(忽略)"",
  AND(E6197&lt;&gt;"""", F6197&lt;&gt;"""", N"&amp;"OT(REGEXMATCH(C6197, ""薪資""))), ""內部轉帳(忽略)"",
  REGEXMATCH(C6197, ""薪資""), ""薪資變動(不計入)"",
  REGEXMATCH(C6197, ""押金""), ""押金往來"",
  AND(E6197&lt;&gt;"""", F6197=""""), ""真實支出"",
  AND(E6197="""", F6197&lt;&gt;""""), ""真實收入"",
  TRUE, ""其他""
)"),"其他")</f>
        <v>其他</v>
      </c>
      <c r="K6197" s="270" t="str">
        <f t="shared" si="2"/>
        <v/>
      </c>
      <c r="L6197">
        <f t="shared" si="3"/>
        <v>0</v>
      </c>
    </row>
    <row r="6198">
      <c r="A6198" s="107"/>
      <c r="D6198" s="270"/>
      <c r="H6198" s="106" t="str">
        <f t="shared" si="1"/>
        <v/>
      </c>
      <c r="J6198" t="str">
        <f>IFERROR(__xludf.DUMMYFUNCTION("IFS(
  AND(REGEXMATCH(E6198, ""台銀籌備帳戶|玉山帳戶""), REGEXMATCH(C6198, ""薪資"")), ""分潤支出"",
  AND(REGEXMATCH(E6198, ""Ben帳戶|Elsa帳戶|Ben代墊|Ariel代墊|中信銀行共用""), REGEXMATCH(F6198, ""Ben帳戶|Elsa帳戶|Ben代墊|Ariel代墊|中信銀行共用"")), ""內部轉帳(忽略)"",
  AND(E6198&lt;&gt;"""", F6198&lt;&gt;"""", N"&amp;"OT(REGEXMATCH(C6198, ""薪資""))), ""內部轉帳(忽略)"",
  REGEXMATCH(C6198, ""薪資""), ""薪資變動(不計入)"",
  REGEXMATCH(C6198, ""押金""), ""押金往來"",
  AND(E6198&lt;&gt;"""", F6198=""""), ""真實支出"",
  AND(E6198="""", F6198&lt;&gt;""""), ""真實收入"",
  TRUE, ""其他""
)"),"其他")</f>
        <v>其他</v>
      </c>
      <c r="K6198" s="270" t="str">
        <f t="shared" si="2"/>
        <v/>
      </c>
      <c r="L6198">
        <f t="shared" si="3"/>
        <v>0</v>
      </c>
    </row>
    <row r="6199">
      <c r="A6199" s="107"/>
      <c r="D6199" s="270"/>
      <c r="H6199" s="106" t="str">
        <f t="shared" si="1"/>
        <v/>
      </c>
      <c r="J6199" t="str">
        <f>IFERROR(__xludf.DUMMYFUNCTION("IFS(
  AND(REGEXMATCH(E6199, ""台銀籌備帳戶|玉山帳戶""), REGEXMATCH(C6199, ""薪資"")), ""分潤支出"",
  AND(REGEXMATCH(E6199, ""Ben帳戶|Elsa帳戶|Ben代墊|Ariel代墊|中信銀行共用""), REGEXMATCH(F6199, ""Ben帳戶|Elsa帳戶|Ben代墊|Ariel代墊|中信銀行共用"")), ""內部轉帳(忽略)"",
  AND(E6199&lt;&gt;"""", F6199&lt;&gt;"""", N"&amp;"OT(REGEXMATCH(C6199, ""薪資""))), ""內部轉帳(忽略)"",
  REGEXMATCH(C6199, ""薪資""), ""薪資變動(不計入)"",
  REGEXMATCH(C6199, ""押金""), ""押金往來"",
  AND(E6199&lt;&gt;"""", F6199=""""), ""真實支出"",
  AND(E6199="""", F6199&lt;&gt;""""), ""真實收入"",
  TRUE, ""其他""
)"),"其他")</f>
        <v>其他</v>
      </c>
      <c r="K6199" s="270" t="str">
        <f t="shared" si="2"/>
        <v/>
      </c>
      <c r="L6199">
        <f t="shared" si="3"/>
        <v>0</v>
      </c>
    </row>
    <row r="6200">
      <c r="A6200" s="107"/>
      <c r="D6200" s="270"/>
      <c r="H6200" s="106" t="str">
        <f t="shared" si="1"/>
        <v/>
      </c>
      <c r="J6200" t="str">
        <f>IFERROR(__xludf.DUMMYFUNCTION("IFS(
  AND(REGEXMATCH(E6200, ""台銀籌備帳戶|玉山帳戶""), REGEXMATCH(C6200, ""薪資"")), ""分潤支出"",
  AND(REGEXMATCH(E6200, ""Ben帳戶|Elsa帳戶|Ben代墊|Ariel代墊|中信銀行共用""), REGEXMATCH(F6200, ""Ben帳戶|Elsa帳戶|Ben代墊|Ariel代墊|中信銀行共用"")), ""內部轉帳(忽略)"",
  AND(E6200&lt;&gt;"""", F6200&lt;&gt;"""", N"&amp;"OT(REGEXMATCH(C6200, ""薪資""))), ""內部轉帳(忽略)"",
  REGEXMATCH(C6200, ""薪資""), ""薪資變動(不計入)"",
  REGEXMATCH(C6200, ""押金""), ""押金往來"",
  AND(E6200&lt;&gt;"""", F6200=""""), ""真實支出"",
  AND(E6200="""", F6200&lt;&gt;""""), ""真實收入"",
  TRUE, ""其他""
)"),"其他")</f>
        <v>其他</v>
      </c>
      <c r="K6200" s="270" t="str">
        <f t="shared" si="2"/>
        <v/>
      </c>
      <c r="L6200">
        <f t="shared" si="3"/>
        <v>0</v>
      </c>
    </row>
    <row r="6201">
      <c r="A6201" s="107"/>
      <c r="D6201" s="270"/>
      <c r="H6201" s="106" t="str">
        <f t="shared" si="1"/>
        <v/>
      </c>
      <c r="J6201" t="str">
        <f>IFERROR(__xludf.DUMMYFUNCTION("IFS(
  AND(REGEXMATCH(E6201, ""台銀籌備帳戶|玉山帳戶""), REGEXMATCH(C6201, ""薪資"")), ""分潤支出"",
  AND(REGEXMATCH(E6201, ""Ben帳戶|Elsa帳戶|Ben代墊|Ariel代墊|中信銀行共用""), REGEXMATCH(F6201, ""Ben帳戶|Elsa帳戶|Ben代墊|Ariel代墊|中信銀行共用"")), ""內部轉帳(忽略)"",
  AND(E6201&lt;&gt;"""", F6201&lt;&gt;"""", N"&amp;"OT(REGEXMATCH(C6201, ""薪資""))), ""內部轉帳(忽略)"",
  REGEXMATCH(C6201, ""薪資""), ""薪資變動(不計入)"",
  REGEXMATCH(C6201, ""押金""), ""押金往來"",
  AND(E6201&lt;&gt;"""", F6201=""""), ""真實支出"",
  AND(E6201="""", F6201&lt;&gt;""""), ""真實收入"",
  TRUE, ""其他""
)"),"其他")</f>
        <v>其他</v>
      </c>
      <c r="K6201" s="270" t="str">
        <f t="shared" si="2"/>
        <v/>
      </c>
      <c r="L6201">
        <f t="shared" si="3"/>
        <v>0</v>
      </c>
    </row>
    <row r="6202">
      <c r="A6202" s="107"/>
      <c r="D6202" s="270"/>
      <c r="H6202" s="106" t="str">
        <f t="shared" si="1"/>
        <v/>
      </c>
      <c r="J6202" t="str">
        <f>IFERROR(__xludf.DUMMYFUNCTION("IFS(
  AND(REGEXMATCH(E6202, ""台銀籌備帳戶|玉山帳戶""), REGEXMATCH(C6202, ""薪資"")), ""分潤支出"",
  AND(REGEXMATCH(E6202, ""Ben帳戶|Elsa帳戶|Ben代墊|Ariel代墊|中信銀行共用""), REGEXMATCH(F6202, ""Ben帳戶|Elsa帳戶|Ben代墊|Ariel代墊|中信銀行共用"")), ""內部轉帳(忽略)"",
  AND(E6202&lt;&gt;"""", F6202&lt;&gt;"""", N"&amp;"OT(REGEXMATCH(C6202, ""薪資""))), ""內部轉帳(忽略)"",
  REGEXMATCH(C6202, ""薪資""), ""薪資變動(不計入)"",
  REGEXMATCH(C6202, ""押金""), ""押金往來"",
  AND(E6202&lt;&gt;"""", F6202=""""), ""真實支出"",
  AND(E6202="""", F6202&lt;&gt;""""), ""真實收入"",
  TRUE, ""其他""
)"),"其他")</f>
        <v>其他</v>
      </c>
      <c r="K6202" s="270" t="str">
        <f t="shared" si="2"/>
        <v/>
      </c>
      <c r="L6202">
        <f t="shared" si="3"/>
        <v>0</v>
      </c>
    </row>
    <row r="6203">
      <c r="A6203" s="107"/>
      <c r="D6203" s="270"/>
      <c r="H6203" s="106" t="str">
        <f t="shared" si="1"/>
        <v/>
      </c>
      <c r="J6203" t="str">
        <f>IFERROR(__xludf.DUMMYFUNCTION("IFS(
  AND(REGEXMATCH(E6203, ""台銀籌備帳戶|玉山帳戶""), REGEXMATCH(C6203, ""薪資"")), ""分潤支出"",
  AND(REGEXMATCH(E6203, ""Ben帳戶|Elsa帳戶|Ben代墊|Ariel代墊|中信銀行共用""), REGEXMATCH(F6203, ""Ben帳戶|Elsa帳戶|Ben代墊|Ariel代墊|中信銀行共用"")), ""內部轉帳(忽略)"",
  AND(E6203&lt;&gt;"""", F6203&lt;&gt;"""", N"&amp;"OT(REGEXMATCH(C6203, ""薪資""))), ""內部轉帳(忽略)"",
  REGEXMATCH(C6203, ""薪資""), ""薪資變動(不計入)"",
  REGEXMATCH(C6203, ""押金""), ""押金往來"",
  AND(E6203&lt;&gt;"""", F6203=""""), ""真實支出"",
  AND(E6203="""", F6203&lt;&gt;""""), ""真實收入"",
  TRUE, ""其他""
)"),"其他")</f>
        <v>其他</v>
      </c>
      <c r="K6203" s="270" t="str">
        <f t="shared" si="2"/>
        <v/>
      </c>
      <c r="L6203">
        <f t="shared" si="3"/>
        <v>0</v>
      </c>
    </row>
    <row r="6204">
      <c r="A6204" s="107"/>
      <c r="D6204" s="270"/>
      <c r="H6204" s="106" t="str">
        <f t="shared" si="1"/>
        <v/>
      </c>
      <c r="J6204" t="str">
        <f>IFERROR(__xludf.DUMMYFUNCTION("IFS(
  AND(REGEXMATCH(E6204, ""台銀籌備帳戶|玉山帳戶""), REGEXMATCH(C6204, ""薪資"")), ""分潤支出"",
  AND(REGEXMATCH(E6204, ""Ben帳戶|Elsa帳戶|Ben代墊|Ariel代墊|中信銀行共用""), REGEXMATCH(F6204, ""Ben帳戶|Elsa帳戶|Ben代墊|Ariel代墊|中信銀行共用"")), ""內部轉帳(忽略)"",
  AND(E6204&lt;&gt;"""", F6204&lt;&gt;"""", N"&amp;"OT(REGEXMATCH(C6204, ""薪資""))), ""內部轉帳(忽略)"",
  REGEXMATCH(C6204, ""薪資""), ""薪資變動(不計入)"",
  REGEXMATCH(C6204, ""押金""), ""押金往來"",
  AND(E6204&lt;&gt;"""", F6204=""""), ""真實支出"",
  AND(E6204="""", F6204&lt;&gt;""""), ""真實收入"",
  TRUE, ""其他""
)"),"其他")</f>
        <v>其他</v>
      </c>
      <c r="K6204" s="270" t="str">
        <f t="shared" si="2"/>
        <v/>
      </c>
      <c r="L6204">
        <f t="shared" si="3"/>
        <v>0</v>
      </c>
    </row>
    <row r="6205">
      <c r="A6205" s="107"/>
      <c r="D6205" s="270"/>
      <c r="H6205" s="106" t="str">
        <f t="shared" si="1"/>
        <v/>
      </c>
      <c r="J6205" t="str">
        <f>IFERROR(__xludf.DUMMYFUNCTION("IFS(
  AND(REGEXMATCH(E6205, ""台銀籌備帳戶|玉山帳戶""), REGEXMATCH(C6205, ""薪資"")), ""分潤支出"",
  AND(REGEXMATCH(E6205, ""Ben帳戶|Elsa帳戶|Ben代墊|Ariel代墊|中信銀行共用""), REGEXMATCH(F6205, ""Ben帳戶|Elsa帳戶|Ben代墊|Ariel代墊|中信銀行共用"")), ""內部轉帳(忽略)"",
  AND(E6205&lt;&gt;"""", F6205&lt;&gt;"""", N"&amp;"OT(REGEXMATCH(C6205, ""薪資""))), ""內部轉帳(忽略)"",
  REGEXMATCH(C6205, ""薪資""), ""薪資變動(不計入)"",
  REGEXMATCH(C6205, ""押金""), ""押金往來"",
  AND(E6205&lt;&gt;"""", F6205=""""), ""真實支出"",
  AND(E6205="""", F6205&lt;&gt;""""), ""真實收入"",
  TRUE, ""其他""
)"),"其他")</f>
        <v>其他</v>
      </c>
      <c r="K6205" s="270" t="str">
        <f t="shared" si="2"/>
        <v/>
      </c>
      <c r="L6205">
        <f t="shared" si="3"/>
        <v>0</v>
      </c>
    </row>
    <row r="6206">
      <c r="A6206" s="107"/>
      <c r="D6206" s="270"/>
      <c r="H6206" s="106" t="str">
        <f t="shared" si="1"/>
        <v/>
      </c>
      <c r="J6206" t="str">
        <f>IFERROR(__xludf.DUMMYFUNCTION("IFS(
  AND(REGEXMATCH(E6206, ""台銀籌備帳戶|玉山帳戶""), REGEXMATCH(C6206, ""薪資"")), ""分潤支出"",
  AND(REGEXMATCH(E6206, ""Ben帳戶|Elsa帳戶|Ben代墊|Ariel代墊|中信銀行共用""), REGEXMATCH(F6206, ""Ben帳戶|Elsa帳戶|Ben代墊|Ariel代墊|中信銀行共用"")), ""內部轉帳(忽略)"",
  AND(E6206&lt;&gt;"""", F6206&lt;&gt;"""", N"&amp;"OT(REGEXMATCH(C6206, ""薪資""))), ""內部轉帳(忽略)"",
  REGEXMATCH(C6206, ""薪資""), ""薪資變動(不計入)"",
  REGEXMATCH(C6206, ""押金""), ""押金往來"",
  AND(E6206&lt;&gt;"""", F6206=""""), ""真實支出"",
  AND(E6206="""", F6206&lt;&gt;""""), ""真實收入"",
  TRUE, ""其他""
)"),"其他")</f>
        <v>其他</v>
      </c>
      <c r="K6206" s="270" t="str">
        <f t="shared" si="2"/>
        <v/>
      </c>
      <c r="L6206">
        <f t="shared" si="3"/>
        <v>0</v>
      </c>
    </row>
    <row r="6207">
      <c r="A6207" s="107"/>
      <c r="D6207" s="270"/>
      <c r="H6207" s="106" t="str">
        <f t="shared" si="1"/>
        <v/>
      </c>
      <c r="J6207" t="str">
        <f>IFERROR(__xludf.DUMMYFUNCTION("IFS(
  AND(REGEXMATCH(E6207, ""台銀籌備帳戶|玉山帳戶""), REGEXMATCH(C6207, ""薪資"")), ""分潤支出"",
  AND(REGEXMATCH(E6207, ""Ben帳戶|Elsa帳戶|Ben代墊|Ariel代墊|中信銀行共用""), REGEXMATCH(F6207, ""Ben帳戶|Elsa帳戶|Ben代墊|Ariel代墊|中信銀行共用"")), ""內部轉帳(忽略)"",
  AND(E6207&lt;&gt;"""", F6207&lt;&gt;"""", N"&amp;"OT(REGEXMATCH(C6207, ""薪資""))), ""內部轉帳(忽略)"",
  REGEXMATCH(C6207, ""薪資""), ""薪資變動(不計入)"",
  REGEXMATCH(C6207, ""押金""), ""押金往來"",
  AND(E6207&lt;&gt;"""", F6207=""""), ""真實支出"",
  AND(E6207="""", F6207&lt;&gt;""""), ""真實收入"",
  TRUE, ""其他""
)"),"其他")</f>
        <v>其他</v>
      </c>
      <c r="K6207" s="270" t="str">
        <f t="shared" si="2"/>
        <v/>
      </c>
      <c r="L6207">
        <f t="shared" si="3"/>
        <v>0</v>
      </c>
    </row>
    <row r="6208">
      <c r="A6208" s="107"/>
      <c r="D6208" s="270"/>
      <c r="H6208" s="106" t="str">
        <f t="shared" si="1"/>
        <v/>
      </c>
      <c r="J6208" t="str">
        <f>IFERROR(__xludf.DUMMYFUNCTION("IFS(
  AND(REGEXMATCH(E6208, ""台銀籌備帳戶|玉山帳戶""), REGEXMATCH(C6208, ""薪資"")), ""分潤支出"",
  AND(REGEXMATCH(E6208, ""Ben帳戶|Elsa帳戶|Ben代墊|Ariel代墊|中信銀行共用""), REGEXMATCH(F6208, ""Ben帳戶|Elsa帳戶|Ben代墊|Ariel代墊|中信銀行共用"")), ""內部轉帳(忽略)"",
  AND(E6208&lt;&gt;"""", F6208&lt;&gt;"""", N"&amp;"OT(REGEXMATCH(C6208, ""薪資""))), ""內部轉帳(忽略)"",
  REGEXMATCH(C6208, ""薪資""), ""薪資變動(不計入)"",
  REGEXMATCH(C6208, ""押金""), ""押金往來"",
  AND(E6208&lt;&gt;"""", F6208=""""), ""真實支出"",
  AND(E6208="""", F6208&lt;&gt;""""), ""真實收入"",
  TRUE, ""其他""
)"),"其他")</f>
        <v>其他</v>
      </c>
      <c r="K6208" s="270" t="str">
        <f t="shared" si="2"/>
        <v/>
      </c>
      <c r="L6208">
        <f t="shared" si="3"/>
        <v>0</v>
      </c>
    </row>
    <row r="6209">
      <c r="A6209" s="107"/>
      <c r="D6209" s="270"/>
      <c r="H6209" s="106" t="str">
        <f t="shared" si="1"/>
        <v/>
      </c>
      <c r="J6209" t="str">
        <f>IFERROR(__xludf.DUMMYFUNCTION("IFS(
  AND(REGEXMATCH(E6209, ""台銀籌備帳戶|玉山帳戶""), REGEXMATCH(C6209, ""薪資"")), ""分潤支出"",
  AND(REGEXMATCH(E6209, ""Ben帳戶|Elsa帳戶|Ben代墊|Ariel代墊|中信銀行共用""), REGEXMATCH(F6209, ""Ben帳戶|Elsa帳戶|Ben代墊|Ariel代墊|中信銀行共用"")), ""內部轉帳(忽略)"",
  AND(E6209&lt;&gt;"""", F6209&lt;&gt;"""", N"&amp;"OT(REGEXMATCH(C6209, ""薪資""))), ""內部轉帳(忽略)"",
  REGEXMATCH(C6209, ""薪資""), ""薪資變動(不計入)"",
  REGEXMATCH(C6209, ""押金""), ""押金往來"",
  AND(E6209&lt;&gt;"""", F6209=""""), ""真實支出"",
  AND(E6209="""", F6209&lt;&gt;""""), ""真實收入"",
  TRUE, ""其他""
)"),"其他")</f>
        <v>其他</v>
      </c>
      <c r="K6209" s="270" t="str">
        <f t="shared" si="2"/>
        <v/>
      </c>
      <c r="L6209">
        <f t="shared" si="3"/>
        <v>0</v>
      </c>
    </row>
    <row r="6210">
      <c r="A6210" s="107"/>
      <c r="D6210" s="270"/>
      <c r="H6210" s="106" t="str">
        <f t="shared" si="1"/>
        <v/>
      </c>
      <c r="J6210" t="str">
        <f>IFERROR(__xludf.DUMMYFUNCTION("IFS(
  AND(REGEXMATCH(E6210, ""台銀籌備帳戶|玉山帳戶""), REGEXMATCH(C6210, ""薪資"")), ""分潤支出"",
  AND(REGEXMATCH(E6210, ""Ben帳戶|Elsa帳戶|Ben代墊|Ariel代墊|中信銀行共用""), REGEXMATCH(F6210, ""Ben帳戶|Elsa帳戶|Ben代墊|Ariel代墊|中信銀行共用"")), ""內部轉帳(忽略)"",
  AND(E6210&lt;&gt;"""", F6210&lt;&gt;"""", N"&amp;"OT(REGEXMATCH(C6210, ""薪資""))), ""內部轉帳(忽略)"",
  REGEXMATCH(C6210, ""薪資""), ""薪資變動(不計入)"",
  REGEXMATCH(C6210, ""押金""), ""押金往來"",
  AND(E6210&lt;&gt;"""", F6210=""""), ""真實支出"",
  AND(E6210="""", F6210&lt;&gt;""""), ""真實收入"",
  TRUE, ""其他""
)"),"其他")</f>
        <v>其他</v>
      </c>
      <c r="K6210" s="270" t="str">
        <f t="shared" si="2"/>
        <v/>
      </c>
      <c r="L6210">
        <f t="shared" si="3"/>
        <v>0</v>
      </c>
    </row>
    <row r="6211">
      <c r="A6211" s="107"/>
      <c r="D6211" s="270"/>
      <c r="H6211" s="106" t="str">
        <f t="shared" si="1"/>
        <v/>
      </c>
      <c r="J6211" t="str">
        <f>IFERROR(__xludf.DUMMYFUNCTION("IFS(
  AND(REGEXMATCH(E6211, ""台銀籌備帳戶|玉山帳戶""), REGEXMATCH(C6211, ""薪資"")), ""分潤支出"",
  AND(REGEXMATCH(E6211, ""Ben帳戶|Elsa帳戶|Ben代墊|Ariel代墊|中信銀行共用""), REGEXMATCH(F6211, ""Ben帳戶|Elsa帳戶|Ben代墊|Ariel代墊|中信銀行共用"")), ""內部轉帳(忽略)"",
  AND(E6211&lt;&gt;"""", F6211&lt;&gt;"""", N"&amp;"OT(REGEXMATCH(C6211, ""薪資""))), ""內部轉帳(忽略)"",
  REGEXMATCH(C6211, ""薪資""), ""薪資變動(不計入)"",
  REGEXMATCH(C6211, ""押金""), ""押金往來"",
  AND(E6211&lt;&gt;"""", F6211=""""), ""真實支出"",
  AND(E6211="""", F6211&lt;&gt;""""), ""真實收入"",
  TRUE, ""其他""
)"),"其他")</f>
        <v>其他</v>
      </c>
      <c r="K6211" s="270" t="str">
        <f t="shared" si="2"/>
        <v/>
      </c>
      <c r="L6211">
        <f t="shared" si="3"/>
        <v>0</v>
      </c>
    </row>
    <row r="6212">
      <c r="A6212" s="107"/>
      <c r="D6212" s="270"/>
      <c r="H6212" s="106" t="str">
        <f t="shared" si="1"/>
        <v/>
      </c>
      <c r="J6212" t="str">
        <f>IFERROR(__xludf.DUMMYFUNCTION("IFS(
  AND(REGEXMATCH(E6212, ""台銀籌備帳戶|玉山帳戶""), REGEXMATCH(C6212, ""薪資"")), ""分潤支出"",
  AND(REGEXMATCH(E6212, ""Ben帳戶|Elsa帳戶|Ben代墊|Ariel代墊|中信銀行共用""), REGEXMATCH(F6212, ""Ben帳戶|Elsa帳戶|Ben代墊|Ariel代墊|中信銀行共用"")), ""內部轉帳(忽略)"",
  AND(E6212&lt;&gt;"""", F6212&lt;&gt;"""", N"&amp;"OT(REGEXMATCH(C6212, ""薪資""))), ""內部轉帳(忽略)"",
  REGEXMATCH(C6212, ""薪資""), ""薪資變動(不計入)"",
  REGEXMATCH(C6212, ""押金""), ""押金往來"",
  AND(E6212&lt;&gt;"""", F6212=""""), ""真實支出"",
  AND(E6212="""", F6212&lt;&gt;""""), ""真實收入"",
  TRUE, ""其他""
)"),"其他")</f>
        <v>其他</v>
      </c>
      <c r="K6212" s="270" t="str">
        <f t="shared" si="2"/>
        <v/>
      </c>
      <c r="L6212">
        <f t="shared" si="3"/>
        <v>0</v>
      </c>
    </row>
    <row r="6213">
      <c r="A6213" s="107"/>
      <c r="D6213" s="270"/>
      <c r="H6213" s="106" t="str">
        <f t="shared" si="1"/>
        <v/>
      </c>
      <c r="J6213" t="str">
        <f>IFERROR(__xludf.DUMMYFUNCTION("IFS(
  AND(REGEXMATCH(E6213, ""台銀籌備帳戶|玉山帳戶""), REGEXMATCH(C6213, ""薪資"")), ""分潤支出"",
  AND(REGEXMATCH(E6213, ""Ben帳戶|Elsa帳戶|Ben代墊|Ariel代墊|中信銀行共用""), REGEXMATCH(F6213, ""Ben帳戶|Elsa帳戶|Ben代墊|Ariel代墊|中信銀行共用"")), ""內部轉帳(忽略)"",
  AND(E6213&lt;&gt;"""", F6213&lt;&gt;"""", N"&amp;"OT(REGEXMATCH(C6213, ""薪資""))), ""內部轉帳(忽略)"",
  REGEXMATCH(C6213, ""薪資""), ""薪資變動(不計入)"",
  REGEXMATCH(C6213, ""押金""), ""押金往來"",
  AND(E6213&lt;&gt;"""", F6213=""""), ""真實支出"",
  AND(E6213="""", F6213&lt;&gt;""""), ""真實收入"",
  TRUE, ""其他""
)"),"其他")</f>
        <v>其他</v>
      </c>
      <c r="K6213" s="270" t="str">
        <f t="shared" si="2"/>
        <v/>
      </c>
      <c r="L6213">
        <f t="shared" si="3"/>
        <v>0</v>
      </c>
    </row>
    <row r="6214">
      <c r="A6214" s="107"/>
      <c r="D6214" s="270"/>
      <c r="H6214" s="106" t="str">
        <f t="shared" si="1"/>
        <v/>
      </c>
      <c r="J6214" t="str">
        <f>IFERROR(__xludf.DUMMYFUNCTION("IFS(
  AND(REGEXMATCH(E6214, ""台銀籌備帳戶|玉山帳戶""), REGEXMATCH(C6214, ""薪資"")), ""分潤支出"",
  AND(REGEXMATCH(E6214, ""Ben帳戶|Elsa帳戶|Ben代墊|Ariel代墊|中信銀行共用""), REGEXMATCH(F6214, ""Ben帳戶|Elsa帳戶|Ben代墊|Ariel代墊|中信銀行共用"")), ""內部轉帳(忽略)"",
  AND(E6214&lt;&gt;"""", F6214&lt;&gt;"""", N"&amp;"OT(REGEXMATCH(C6214, ""薪資""))), ""內部轉帳(忽略)"",
  REGEXMATCH(C6214, ""薪資""), ""薪資變動(不計入)"",
  REGEXMATCH(C6214, ""押金""), ""押金往來"",
  AND(E6214&lt;&gt;"""", F6214=""""), ""真實支出"",
  AND(E6214="""", F6214&lt;&gt;""""), ""真實收入"",
  TRUE, ""其他""
)"),"其他")</f>
        <v>其他</v>
      </c>
      <c r="K6214" s="270" t="str">
        <f t="shared" si="2"/>
        <v/>
      </c>
      <c r="L6214">
        <f t="shared" si="3"/>
        <v>0</v>
      </c>
    </row>
    <row r="6215">
      <c r="A6215" s="107"/>
      <c r="D6215" s="270"/>
      <c r="H6215" s="106" t="str">
        <f t="shared" si="1"/>
        <v/>
      </c>
      <c r="J6215" t="str">
        <f>IFERROR(__xludf.DUMMYFUNCTION("IFS(
  AND(REGEXMATCH(E6215, ""台銀籌備帳戶|玉山帳戶""), REGEXMATCH(C6215, ""薪資"")), ""分潤支出"",
  AND(REGEXMATCH(E6215, ""Ben帳戶|Elsa帳戶|Ben代墊|Ariel代墊|中信銀行共用""), REGEXMATCH(F6215, ""Ben帳戶|Elsa帳戶|Ben代墊|Ariel代墊|中信銀行共用"")), ""內部轉帳(忽略)"",
  AND(E6215&lt;&gt;"""", F6215&lt;&gt;"""", N"&amp;"OT(REGEXMATCH(C6215, ""薪資""))), ""內部轉帳(忽略)"",
  REGEXMATCH(C6215, ""薪資""), ""薪資變動(不計入)"",
  REGEXMATCH(C6215, ""押金""), ""押金往來"",
  AND(E6215&lt;&gt;"""", F6215=""""), ""真實支出"",
  AND(E6215="""", F6215&lt;&gt;""""), ""真實收入"",
  TRUE, ""其他""
)"),"其他")</f>
        <v>其他</v>
      </c>
      <c r="K6215" s="270" t="str">
        <f t="shared" si="2"/>
        <v/>
      </c>
      <c r="L6215">
        <f t="shared" si="3"/>
        <v>0</v>
      </c>
    </row>
    <row r="6216">
      <c r="A6216" s="107"/>
      <c r="D6216" s="270"/>
      <c r="H6216" s="106" t="str">
        <f t="shared" si="1"/>
        <v/>
      </c>
      <c r="J6216" t="str">
        <f>IFERROR(__xludf.DUMMYFUNCTION("IFS(
  AND(REGEXMATCH(E6216, ""台銀籌備帳戶|玉山帳戶""), REGEXMATCH(C6216, ""薪資"")), ""分潤支出"",
  AND(REGEXMATCH(E6216, ""Ben帳戶|Elsa帳戶|Ben代墊|Ariel代墊|中信銀行共用""), REGEXMATCH(F6216, ""Ben帳戶|Elsa帳戶|Ben代墊|Ariel代墊|中信銀行共用"")), ""內部轉帳(忽略)"",
  AND(E6216&lt;&gt;"""", F6216&lt;&gt;"""", N"&amp;"OT(REGEXMATCH(C6216, ""薪資""))), ""內部轉帳(忽略)"",
  REGEXMATCH(C6216, ""薪資""), ""薪資變動(不計入)"",
  REGEXMATCH(C6216, ""押金""), ""押金往來"",
  AND(E6216&lt;&gt;"""", F6216=""""), ""真實支出"",
  AND(E6216="""", F6216&lt;&gt;""""), ""真實收入"",
  TRUE, ""其他""
)"),"其他")</f>
        <v>其他</v>
      </c>
      <c r="K6216" s="270" t="str">
        <f t="shared" si="2"/>
        <v/>
      </c>
      <c r="L6216">
        <f t="shared" si="3"/>
        <v>0</v>
      </c>
    </row>
    <row r="6217">
      <c r="A6217" s="107"/>
      <c r="D6217" s="270"/>
      <c r="H6217" s="106" t="str">
        <f t="shared" si="1"/>
        <v/>
      </c>
      <c r="J6217" t="str">
        <f>IFERROR(__xludf.DUMMYFUNCTION("IFS(
  AND(REGEXMATCH(E6217, ""台銀籌備帳戶|玉山帳戶""), REGEXMATCH(C6217, ""薪資"")), ""分潤支出"",
  AND(REGEXMATCH(E6217, ""Ben帳戶|Elsa帳戶|Ben代墊|Ariel代墊|中信銀行共用""), REGEXMATCH(F6217, ""Ben帳戶|Elsa帳戶|Ben代墊|Ariel代墊|中信銀行共用"")), ""內部轉帳(忽略)"",
  AND(E6217&lt;&gt;"""", F6217&lt;&gt;"""", N"&amp;"OT(REGEXMATCH(C6217, ""薪資""))), ""內部轉帳(忽略)"",
  REGEXMATCH(C6217, ""薪資""), ""薪資變動(不計入)"",
  REGEXMATCH(C6217, ""押金""), ""押金往來"",
  AND(E6217&lt;&gt;"""", F6217=""""), ""真實支出"",
  AND(E6217="""", F6217&lt;&gt;""""), ""真實收入"",
  TRUE, ""其他""
)"),"其他")</f>
        <v>其他</v>
      </c>
      <c r="K6217" s="270" t="str">
        <f t="shared" si="2"/>
        <v/>
      </c>
      <c r="L6217">
        <f t="shared" si="3"/>
        <v>0</v>
      </c>
    </row>
    <row r="6218">
      <c r="A6218" s="107"/>
      <c r="D6218" s="270"/>
      <c r="H6218" s="106" t="str">
        <f t="shared" si="1"/>
        <v/>
      </c>
      <c r="J6218" t="str">
        <f>IFERROR(__xludf.DUMMYFUNCTION("IFS(
  AND(REGEXMATCH(E6218, ""台銀籌備帳戶|玉山帳戶""), REGEXMATCH(C6218, ""薪資"")), ""分潤支出"",
  AND(REGEXMATCH(E6218, ""Ben帳戶|Elsa帳戶|Ben代墊|Ariel代墊|中信銀行共用""), REGEXMATCH(F6218, ""Ben帳戶|Elsa帳戶|Ben代墊|Ariel代墊|中信銀行共用"")), ""內部轉帳(忽略)"",
  AND(E6218&lt;&gt;"""", F6218&lt;&gt;"""", N"&amp;"OT(REGEXMATCH(C6218, ""薪資""))), ""內部轉帳(忽略)"",
  REGEXMATCH(C6218, ""薪資""), ""薪資變動(不計入)"",
  REGEXMATCH(C6218, ""押金""), ""押金往來"",
  AND(E6218&lt;&gt;"""", F6218=""""), ""真實支出"",
  AND(E6218="""", F6218&lt;&gt;""""), ""真實收入"",
  TRUE, ""其他""
)"),"其他")</f>
        <v>其他</v>
      </c>
      <c r="K6218" s="270" t="str">
        <f t="shared" si="2"/>
        <v/>
      </c>
      <c r="L6218">
        <f t="shared" si="3"/>
        <v>0</v>
      </c>
    </row>
    <row r="6219">
      <c r="A6219" s="107"/>
      <c r="D6219" s="270"/>
      <c r="H6219" s="106" t="str">
        <f t="shared" si="1"/>
        <v/>
      </c>
      <c r="J6219" t="str">
        <f>IFERROR(__xludf.DUMMYFUNCTION("IFS(
  AND(REGEXMATCH(E6219, ""台銀籌備帳戶|玉山帳戶""), REGEXMATCH(C6219, ""薪資"")), ""分潤支出"",
  AND(REGEXMATCH(E6219, ""Ben帳戶|Elsa帳戶|Ben代墊|Ariel代墊|中信銀行共用""), REGEXMATCH(F6219, ""Ben帳戶|Elsa帳戶|Ben代墊|Ariel代墊|中信銀行共用"")), ""內部轉帳(忽略)"",
  AND(E6219&lt;&gt;"""", F6219&lt;&gt;"""", N"&amp;"OT(REGEXMATCH(C6219, ""薪資""))), ""內部轉帳(忽略)"",
  REGEXMATCH(C6219, ""薪資""), ""薪資變動(不計入)"",
  REGEXMATCH(C6219, ""押金""), ""押金往來"",
  AND(E6219&lt;&gt;"""", F6219=""""), ""真實支出"",
  AND(E6219="""", F6219&lt;&gt;""""), ""真實收入"",
  TRUE, ""其他""
)"),"其他")</f>
        <v>其他</v>
      </c>
      <c r="K6219" s="270" t="str">
        <f t="shared" si="2"/>
        <v/>
      </c>
      <c r="L6219">
        <f t="shared" si="3"/>
        <v>0</v>
      </c>
    </row>
    <row r="6220">
      <c r="A6220" s="107"/>
      <c r="D6220" s="270"/>
      <c r="H6220" s="106" t="str">
        <f t="shared" si="1"/>
        <v/>
      </c>
      <c r="J6220" t="str">
        <f>IFERROR(__xludf.DUMMYFUNCTION("IFS(
  AND(REGEXMATCH(E6220, ""台銀籌備帳戶|玉山帳戶""), REGEXMATCH(C6220, ""薪資"")), ""分潤支出"",
  AND(REGEXMATCH(E6220, ""Ben帳戶|Elsa帳戶|Ben代墊|Ariel代墊|中信銀行共用""), REGEXMATCH(F6220, ""Ben帳戶|Elsa帳戶|Ben代墊|Ariel代墊|中信銀行共用"")), ""內部轉帳(忽略)"",
  AND(E6220&lt;&gt;"""", F6220&lt;&gt;"""", N"&amp;"OT(REGEXMATCH(C6220, ""薪資""))), ""內部轉帳(忽略)"",
  REGEXMATCH(C6220, ""薪資""), ""薪資變動(不計入)"",
  REGEXMATCH(C6220, ""押金""), ""押金往來"",
  AND(E6220&lt;&gt;"""", F6220=""""), ""真實支出"",
  AND(E6220="""", F6220&lt;&gt;""""), ""真實收入"",
  TRUE, ""其他""
)"),"其他")</f>
        <v>其他</v>
      </c>
      <c r="K6220" s="270" t="str">
        <f t="shared" si="2"/>
        <v/>
      </c>
      <c r="L6220">
        <f t="shared" si="3"/>
        <v>0</v>
      </c>
    </row>
    <row r="6221">
      <c r="A6221" s="107"/>
      <c r="D6221" s="270"/>
      <c r="H6221" s="106" t="str">
        <f t="shared" si="1"/>
        <v/>
      </c>
      <c r="J6221" t="str">
        <f>IFERROR(__xludf.DUMMYFUNCTION("IFS(
  AND(REGEXMATCH(E6221, ""台銀籌備帳戶|玉山帳戶""), REGEXMATCH(C6221, ""薪資"")), ""分潤支出"",
  AND(REGEXMATCH(E6221, ""Ben帳戶|Elsa帳戶|Ben代墊|Ariel代墊|中信銀行共用""), REGEXMATCH(F6221, ""Ben帳戶|Elsa帳戶|Ben代墊|Ariel代墊|中信銀行共用"")), ""內部轉帳(忽略)"",
  AND(E6221&lt;&gt;"""", F6221&lt;&gt;"""", N"&amp;"OT(REGEXMATCH(C6221, ""薪資""))), ""內部轉帳(忽略)"",
  REGEXMATCH(C6221, ""薪資""), ""薪資變動(不計入)"",
  REGEXMATCH(C6221, ""押金""), ""押金往來"",
  AND(E6221&lt;&gt;"""", F6221=""""), ""真實支出"",
  AND(E6221="""", F6221&lt;&gt;""""), ""真實收入"",
  TRUE, ""其他""
)"),"其他")</f>
        <v>其他</v>
      </c>
      <c r="K6221" s="270" t="str">
        <f t="shared" si="2"/>
        <v/>
      </c>
      <c r="L6221">
        <f t="shared" si="3"/>
        <v>0</v>
      </c>
    </row>
    <row r="6222">
      <c r="A6222" s="107"/>
      <c r="D6222" s="270"/>
      <c r="H6222" s="106" t="str">
        <f t="shared" si="1"/>
        <v/>
      </c>
      <c r="J6222" t="str">
        <f>IFERROR(__xludf.DUMMYFUNCTION("IFS(
  AND(REGEXMATCH(E6222, ""台銀籌備帳戶|玉山帳戶""), REGEXMATCH(C6222, ""薪資"")), ""分潤支出"",
  AND(REGEXMATCH(E6222, ""Ben帳戶|Elsa帳戶|Ben代墊|Ariel代墊|中信銀行共用""), REGEXMATCH(F6222, ""Ben帳戶|Elsa帳戶|Ben代墊|Ariel代墊|中信銀行共用"")), ""內部轉帳(忽略)"",
  AND(E6222&lt;&gt;"""", F6222&lt;&gt;"""", N"&amp;"OT(REGEXMATCH(C6222, ""薪資""))), ""內部轉帳(忽略)"",
  REGEXMATCH(C6222, ""薪資""), ""薪資變動(不計入)"",
  REGEXMATCH(C6222, ""押金""), ""押金往來"",
  AND(E6222&lt;&gt;"""", F6222=""""), ""真實支出"",
  AND(E6222="""", F6222&lt;&gt;""""), ""真實收入"",
  TRUE, ""其他""
)"),"其他")</f>
        <v>其他</v>
      </c>
      <c r="K6222" s="270" t="str">
        <f t="shared" si="2"/>
        <v/>
      </c>
      <c r="L6222">
        <f t="shared" si="3"/>
        <v>0</v>
      </c>
    </row>
    <row r="6223">
      <c r="A6223" s="107"/>
      <c r="D6223" s="270"/>
      <c r="H6223" s="106" t="str">
        <f t="shared" si="1"/>
        <v/>
      </c>
      <c r="J6223" t="str">
        <f>IFERROR(__xludf.DUMMYFUNCTION("IFS(
  AND(REGEXMATCH(E6223, ""台銀籌備帳戶|玉山帳戶""), REGEXMATCH(C6223, ""薪資"")), ""分潤支出"",
  AND(REGEXMATCH(E6223, ""Ben帳戶|Elsa帳戶|Ben代墊|Ariel代墊|中信銀行共用""), REGEXMATCH(F6223, ""Ben帳戶|Elsa帳戶|Ben代墊|Ariel代墊|中信銀行共用"")), ""內部轉帳(忽略)"",
  AND(E6223&lt;&gt;"""", F6223&lt;&gt;"""", N"&amp;"OT(REGEXMATCH(C6223, ""薪資""))), ""內部轉帳(忽略)"",
  REGEXMATCH(C6223, ""薪資""), ""薪資變動(不計入)"",
  REGEXMATCH(C6223, ""押金""), ""押金往來"",
  AND(E6223&lt;&gt;"""", F6223=""""), ""真實支出"",
  AND(E6223="""", F6223&lt;&gt;""""), ""真實收入"",
  TRUE, ""其他""
)"),"其他")</f>
        <v>其他</v>
      </c>
      <c r="K6223" s="270" t="str">
        <f t="shared" si="2"/>
        <v/>
      </c>
      <c r="L6223">
        <f t="shared" si="3"/>
        <v>0</v>
      </c>
    </row>
    <row r="6224">
      <c r="A6224" s="107"/>
      <c r="D6224" s="270"/>
      <c r="H6224" s="106" t="str">
        <f t="shared" si="1"/>
        <v/>
      </c>
      <c r="J6224" t="str">
        <f>IFERROR(__xludf.DUMMYFUNCTION("IFS(
  AND(REGEXMATCH(E6224, ""台銀籌備帳戶|玉山帳戶""), REGEXMATCH(C6224, ""薪資"")), ""分潤支出"",
  AND(REGEXMATCH(E6224, ""Ben帳戶|Elsa帳戶|Ben代墊|Ariel代墊|中信銀行共用""), REGEXMATCH(F6224, ""Ben帳戶|Elsa帳戶|Ben代墊|Ariel代墊|中信銀行共用"")), ""內部轉帳(忽略)"",
  AND(E6224&lt;&gt;"""", F6224&lt;&gt;"""", N"&amp;"OT(REGEXMATCH(C6224, ""薪資""))), ""內部轉帳(忽略)"",
  REGEXMATCH(C6224, ""薪資""), ""薪資變動(不計入)"",
  REGEXMATCH(C6224, ""押金""), ""押金往來"",
  AND(E6224&lt;&gt;"""", F6224=""""), ""真實支出"",
  AND(E6224="""", F6224&lt;&gt;""""), ""真實收入"",
  TRUE, ""其他""
)"),"其他")</f>
        <v>其他</v>
      </c>
      <c r="K6224" s="270" t="str">
        <f t="shared" si="2"/>
        <v/>
      </c>
      <c r="L6224">
        <f t="shared" si="3"/>
        <v>0</v>
      </c>
    </row>
    <row r="6225">
      <c r="A6225" s="107"/>
      <c r="D6225" s="270"/>
      <c r="H6225" s="106" t="str">
        <f t="shared" si="1"/>
        <v/>
      </c>
      <c r="J6225" t="str">
        <f>IFERROR(__xludf.DUMMYFUNCTION("IFS(
  AND(REGEXMATCH(E6225, ""台銀籌備帳戶|玉山帳戶""), REGEXMATCH(C6225, ""薪資"")), ""分潤支出"",
  AND(REGEXMATCH(E6225, ""Ben帳戶|Elsa帳戶|Ben代墊|Ariel代墊|中信銀行共用""), REGEXMATCH(F6225, ""Ben帳戶|Elsa帳戶|Ben代墊|Ariel代墊|中信銀行共用"")), ""內部轉帳(忽略)"",
  AND(E6225&lt;&gt;"""", F6225&lt;&gt;"""", N"&amp;"OT(REGEXMATCH(C6225, ""薪資""))), ""內部轉帳(忽略)"",
  REGEXMATCH(C6225, ""薪資""), ""薪資變動(不計入)"",
  REGEXMATCH(C6225, ""押金""), ""押金往來"",
  AND(E6225&lt;&gt;"""", F6225=""""), ""真實支出"",
  AND(E6225="""", F6225&lt;&gt;""""), ""真實收入"",
  TRUE, ""其他""
)"),"其他")</f>
        <v>其他</v>
      </c>
      <c r="K6225" s="270" t="str">
        <f t="shared" si="2"/>
        <v/>
      </c>
      <c r="L6225">
        <f t="shared" si="3"/>
        <v>0</v>
      </c>
    </row>
    <row r="6226">
      <c r="A6226" s="107"/>
      <c r="D6226" s="270"/>
      <c r="H6226" s="106" t="str">
        <f t="shared" si="1"/>
        <v/>
      </c>
      <c r="J6226" t="str">
        <f>IFERROR(__xludf.DUMMYFUNCTION("IFS(
  AND(REGEXMATCH(E6226, ""台銀籌備帳戶|玉山帳戶""), REGEXMATCH(C6226, ""薪資"")), ""分潤支出"",
  AND(REGEXMATCH(E6226, ""Ben帳戶|Elsa帳戶|Ben代墊|Ariel代墊|中信銀行共用""), REGEXMATCH(F6226, ""Ben帳戶|Elsa帳戶|Ben代墊|Ariel代墊|中信銀行共用"")), ""內部轉帳(忽略)"",
  AND(E6226&lt;&gt;"""", F6226&lt;&gt;"""", N"&amp;"OT(REGEXMATCH(C6226, ""薪資""))), ""內部轉帳(忽略)"",
  REGEXMATCH(C6226, ""薪資""), ""薪資變動(不計入)"",
  REGEXMATCH(C6226, ""押金""), ""押金往來"",
  AND(E6226&lt;&gt;"""", F6226=""""), ""真實支出"",
  AND(E6226="""", F6226&lt;&gt;""""), ""真實收入"",
  TRUE, ""其他""
)"),"其他")</f>
        <v>其他</v>
      </c>
      <c r="K6226" s="270" t="str">
        <f t="shared" si="2"/>
        <v/>
      </c>
      <c r="L6226">
        <f t="shared" si="3"/>
        <v>0</v>
      </c>
    </row>
    <row r="6227">
      <c r="A6227" s="107"/>
      <c r="D6227" s="270"/>
      <c r="H6227" s="106" t="str">
        <f t="shared" si="1"/>
        <v/>
      </c>
      <c r="J6227" t="str">
        <f>IFERROR(__xludf.DUMMYFUNCTION("IFS(
  AND(REGEXMATCH(E6227, ""台銀籌備帳戶|玉山帳戶""), REGEXMATCH(C6227, ""薪資"")), ""分潤支出"",
  AND(REGEXMATCH(E6227, ""Ben帳戶|Elsa帳戶|Ben代墊|Ariel代墊|中信銀行共用""), REGEXMATCH(F6227, ""Ben帳戶|Elsa帳戶|Ben代墊|Ariel代墊|中信銀行共用"")), ""內部轉帳(忽略)"",
  AND(E6227&lt;&gt;"""", F6227&lt;&gt;"""", N"&amp;"OT(REGEXMATCH(C6227, ""薪資""))), ""內部轉帳(忽略)"",
  REGEXMATCH(C6227, ""薪資""), ""薪資變動(不計入)"",
  REGEXMATCH(C6227, ""押金""), ""押金往來"",
  AND(E6227&lt;&gt;"""", F6227=""""), ""真實支出"",
  AND(E6227="""", F6227&lt;&gt;""""), ""真實收入"",
  TRUE, ""其他""
)"),"其他")</f>
        <v>其他</v>
      </c>
      <c r="K6227" s="270" t="str">
        <f t="shared" si="2"/>
        <v/>
      </c>
      <c r="L6227">
        <f t="shared" si="3"/>
        <v>0</v>
      </c>
    </row>
    <row r="6228">
      <c r="A6228" s="107"/>
      <c r="D6228" s="270"/>
      <c r="H6228" s="106" t="str">
        <f t="shared" si="1"/>
        <v/>
      </c>
      <c r="J6228" t="str">
        <f>IFERROR(__xludf.DUMMYFUNCTION("IFS(
  AND(REGEXMATCH(E6228, ""台銀籌備帳戶|玉山帳戶""), REGEXMATCH(C6228, ""薪資"")), ""分潤支出"",
  AND(REGEXMATCH(E6228, ""Ben帳戶|Elsa帳戶|Ben代墊|Ariel代墊|中信銀行共用""), REGEXMATCH(F6228, ""Ben帳戶|Elsa帳戶|Ben代墊|Ariel代墊|中信銀行共用"")), ""內部轉帳(忽略)"",
  AND(E6228&lt;&gt;"""", F6228&lt;&gt;"""", N"&amp;"OT(REGEXMATCH(C6228, ""薪資""))), ""內部轉帳(忽略)"",
  REGEXMATCH(C6228, ""薪資""), ""薪資變動(不計入)"",
  REGEXMATCH(C6228, ""押金""), ""押金往來"",
  AND(E6228&lt;&gt;"""", F6228=""""), ""真實支出"",
  AND(E6228="""", F6228&lt;&gt;""""), ""真實收入"",
  TRUE, ""其他""
)"),"其他")</f>
        <v>其他</v>
      </c>
      <c r="K6228" s="270" t="str">
        <f t="shared" si="2"/>
        <v/>
      </c>
      <c r="L6228">
        <f t="shared" si="3"/>
        <v>0</v>
      </c>
    </row>
    <row r="6229">
      <c r="A6229" s="107"/>
      <c r="D6229" s="270"/>
      <c r="H6229" s="106" t="str">
        <f t="shared" si="1"/>
        <v/>
      </c>
      <c r="J6229" t="str">
        <f>IFERROR(__xludf.DUMMYFUNCTION("IFS(
  AND(REGEXMATCH(E6229, ""台銀籌備帳戶|玉山帳戶""), REGEXMATCH(C6229, ""薪資"")), ""分潤支出"",
  AND(REGEXMATCH(E6229, ""Ben帳戶|Elsa帳戶|Ben代墊|Ariel代墊|中信銀行共用""), REGEXMATCH(F6229, ""Ben帳戶|Elsa帳戶|Ben代墊|Ariel代墊|中信銀行共用"")), ""內部轉帳(忽略)"",
  AND(E6229&lt;&gt;"""", F6229&lt;&gt;"""", N"&amp;"OT(REGEXMATCH(C6229, ""薪資""))), ""內部轉帳(忽略)"",
  REGEXMATCH(C6229, ""薪資""), ""薪資變動(不計入)"",
  REGEXMATCH(C6229, ""押金""), ""押金往來"",
  AND(E6229&lt;&gt;"""", F6229=""""), ""真實支出"",
  AND(E6229="""", F6229&lt;&gt;""""), ""真實收入"",
  TRUE, ""其他""
)"),"其他")</f>
        <v>其他</v>
      </c>
      <c r="K6229" s="270" t="str">
        <f t="shared" si="2"/>
        <v/>
      </c>
      <c r="L6229">
        <f t="shared" si="3"/>
        <v>0</v>
      </c>
    </row>
    <row r="6230">
      <c r="A6230" s="107"/>
      <c r="D6230" s="270"/>
      <c r="H6230" s="106" t="str">
        <f t="shared" si="1"/>
        <v/>
      </c>
      <c r="J6230" t="str">
        <f>IFERROR(__xludf.DUMMYFUNCTION("IFS(
  AND(REGEXMATCH(E6230, ""台銀籌備帳戶|玉山帳戶""), REGEXMATCH(C6230, ""薪資"")), ""分潤支出"",
  AND(REGEXMATCH(E6230, ""Ben帳戶|Elsa帳戶|Ben代墊|Ariel代墊|中信銀行共用""), REGEXMATCH(F6230, ""Ben帳戶|Elsa帳戶|Ben代墊|Ariel代墊|中信銀行共用"")), ""內部轉帳(忽略)"",
  AND(E6230&lt;&gt;"""", F6230&lt;&gt;"""", N"&amp;"OT(REGEXMATCH(C6230, ""薪資""))), ""內部轉帳(忽略)"",
  REGEXMATCH(C6230, ""薪資""), ""薪資變動(不計入)"",
  REGEXMATCH(C6230, ""押金""), ""押金往來"",
  AND(E6230&lt;&gt;"""", F6230=""""), ""真實支出"",
  AND(E6230="""", F6230&lt;&gt;""""), ""真實收入"",
  TRUE, ""其他""
)"),"其他")</f>
        <v>其他</v>
      </c>
      <c r="K6230" s="270" t="str">
        <f t="shared" si="2"/>
        <v/>
      </c>
      <c r="L6230">
        <f t="shared" si="3"/>
        <v>0</v>
      </c>
    </row>
    <row r="6231">
      <c r="A6231" s="107"/>
      <c r="D6231" s="270"/>
      <c r="H6231" s="106" t="str">
        <f t="shared" si="1"/>
        <v/>
      </c>
      <c r="J6231" t="str">
        <f>IFERROR(__xludf.DUMMYFUNCTION("IFS(
  AND(REGEXMATCH(E6231, ""台銀籌備帳戶|玉山帳戶""), REGEXMATCH(C6231, ""薪資"")), ""分潤支出"",
  AND(REGEXMATCH(E6231, ""Ben帳戶|Elsa帳戶|Ben代墊|Ariel代墊|中信銀行共用""), REGEXMATCH(F6231, ""Ben帳戶|Elsa帳戶|Ben代墊|Ariel代墊|中信銀行共用"")), ""內部轉帳(忽略)"",
  AND(E6231&lt;&gt;"""", F6231&lt;&gt;"""", N"&amp;"OT(REGEXMATCH(C6231, ""薪資""))), ""內部轉帳(忽略)"",
  REGEXMATCH(C6231, ""薪資""), ""薪資變動(不計入)"",
  REGEXMATCH(C6231, ""押金""), ""押金往來"",
  AND(E6231&lt;&gt;"""", F6231=""""), ""真實支出"",
  AND(E6231="""", F6231&lt;&gt;""""), ""真實收入"",
  TRUE, ""其他""
)"),"其他")</f>
        <v>其他</v>
      </c>
      <c r="K6231" s="270" t="str">
        <f t="shared" si="2"/>
        <v/>
      </c>
      <c r="L6231">
        <f t="shared" si="3"/>
        <v>0</v>
      </c>
    </row>
    <row r="6232">
      <c r="A6232" s="107"/>
      <c r="D6232" s="270"/>
      <c r="H6232" s="106" t="str">
        <f t="shared" si="1"/>
        <v/>
      </c>
      <c r="J6232" t="str">
        <f>IFERROR(__xludf.DUMMYFUNCTION("IFS(
  AND(REGEXMATCH(E6232, ""台銀籌備帳戶|玉山帳戶""), REGEXMATCH(C6232, ""薪資"")), ""分潤支出"",
  AND(REGEXMATCH(E6232, ""Ben帳戶|Elsa帳戶|Ben代墊|Ariel代墊|中信銀行共用""), REGEXMATCH(F6232, ""Ben帳戶|Elsa帳戶|Ben代墊|Ariel代墊|中信銀行共用"")), ""內部轉帳(忽略)"",
  AND(E6232&lt;&gt;"""", F6232&lt;&gt;"""", N"&amp;"OT(REGEXMATCH(C6232, ""薪資""))), ""內部轉帳(忽略)"",
  REGEXMATCH(C6232, ""薪資""), ""薪資變動(不計入)"",
  REGEXMATCH(C6232, ""押金""), ""押金往來"",
  AND(E6232&lt;&gt;"""", F6232=""""), ""真實支出"",
  AND(E6232="""", F6232&lt;&gt;""""), ""真實收入"",
  TRUE, ""其他""
)"),"其他")</f>
        <v>其他</v>
      </c>
      <c r="K6232" s="270" t="str">
        <f t="shared" si="2"/>
        <v/>
      </c>
      <c r="L6232">
        <f t="shared" si="3"/>
        <v>0</v>
      </c>
    </row>
    <row r="6233">
      <c r="A6233" s="107"/>
      <c r="D6233" s="270"/>
      <c r="H6233" s="106" t="str">
        <f t="shared" si="1"/>
        <v/>
      </c>
      <c r="J6233" t="str">
        <f>IFERROR(__xludf.DUMMYFUNCTION("IFS(
  AND(REGEXMATCH(E6233, ""台銀籌備帳戶|玉山帳戶""), REGEXMATCH(C6233, ""薪資"")), ""分潤支出"",
  AND(REGEXMATCH(E6233, ""Ben帳戶|Elsa帳戶|Ben代墊|Ariel代墊|中信銀行共用""), REGEXMATCH(F6233, ""Ben帳戶|Elsa帳戶|Ben代墊|Ariel代墊|中信銀行共用"")), ""內部轉帳(忽略)"",
  AND(E6233&lt;&gt;"""", F6233&lt;&gt;"""", N"&amp;"OT(REGEXMATCH(C6233, ""薪資""))), ""內部轉帳(忽略)"",
  REGEXMATCH(C6233, ""薪資""), ""薪資變動(不計入)"",
  REGEXMATCH(C6233, ""押金""), ""押金往來"",
  AND(E6233&lt;&gt;"""", F6233=""""), ""真實支出"",
  AND(E6233="""", F6233&lt;&gt;""""), ""真實收入"",
  TRUE, ""其他""
)"),"其他")</f>
        <v>其他</v>
      </c>
      <c r="K6233" s="270" t="str">
        <f t="shared" si="2"/>
        <v/>
      </c>
      <c r="L6233">
        <f t="shared" si="3"/>
        <v>0</v>
      </c>
    </row>
    <row r="6234">
      <c r="A6234" s="107"/>
      <c r="D6234" s="270"/>
      <c r="H6234" s="106" t="str">
        <f t="shared" si="1"/>
        <v/>
      </c>
      <c r="J6234" t="str">
        <f>IFERROR(__xludf.DUMMYFUNCTION("IFS(
  AND(REGEXMATCH(E6234, ""台銀籌備帳戶|玉山帳戶""), REGEXMATCH(C6234, ""薪資"")), ""分潤支出"",
  AND(REGEXMATCH(E6234, ""Ben帳戶|Elsa帳戶|Ben代墊|Ariel代墊|中信銀行共用""), REGEXMATCH(F6234, ""Ben帳戶|Elsa帳戶|Ben代墊|Ariel代墊|中信銀行共用"")), ""內部轉帳(忽略)"",
  AND(E6234&lt;&gt;"""", F6234&lt;&gt;"""", N"&amp;"OT(REGEXMATCH(C6234, ""薪資""))), ""內部轉帳(忽略)"",
  REGEXMATCH(C6234, ""薪資""), ""薪資變動(不計入)"",
  REGEXMATCH(C6234, ""押金""), ""押金往來"",
  AND(E6234&lt;&gt;"""", F6234=""""), ""真實支出"",
  AND(E6234="""", F6234&lt;&gt;""""), ""真實收入"",
  TRUE, ""其他""
)"),"其他")</f>
        <v>其他</v>
      </c>
      <c r="K6234" s="270" t="str">
        <f t="shared" si="2"/>
        <v/>
      </c>
      <c r="L6234">
        <f t="shared" si="3"/>
        <v>0</v>
      </c>
    </row>
    <row r="6235">
      <c r="A6235" s="107"/>
      <c r="D6235" s="270"/>
      <c r="H6235" s="106" t="str">
        <f t="shared" si="1"/>
        <v/>
      </c>
      <c r="J6235" t="str">
        <f>IFERROR(__xludf.DUMMYFUNCTION("IFS(
  AND(REGEXMATCH(E6235, ""台銀籌備帳戶|玉山帳戶""), REGEXMATCH(C6235, ""薪資"")), ""分潤支出"",
  AND(REGEXMATCH(E6235, ""Ben帳戶|Elsa帳戶|Ben代墊|Ariel代墊|中信銀行共用""), REGEXMATCH(F6235, ""Ben帳戶|Elsa帳戶|Ben代墊|Ariel代墊|中信銀行共用"")), ""內部轉帳(忽略)"",
  AND(E6235&lt;&gt;"""", F6235&lt;&gt;"""", N"&amp;"OT(REGEXMATCH(C6235, ""薪資""))), ""內部轉帳(忽略)"",
  REGEXMATCH(C6235, ""薪資""), ""薪資變動(不計入)"",
  REGEXMATCH(C6235, ""押金""), ""押金往來"",
  AND(E6235&lt;&gt;"""", F6235=""""), ""真實支出"",
  AND(E6235="""", F6235&lt;&gt;""""), ""真實收入"",
  TRUE, ""其他""
)"),"其他")</f>
        <v>其他</v>
      </c>
      <c r="K6235" s="270" t="str">
        <f t="shared" si="2"/>
        <v/>
      </c>
      <c r="L6235">
        <f t="shared" si="3"/>
        <v>0</v>
      </c>
    </row>
    <row r="6236">
      <c r="A6236" s="107"/>
      <c r="D6236" s="270"/>
      <c r="H6236" s="106" t="str">
        <f t="shared" si="1"/>
        <v/>
      </c>
      <c r="J6236" t="str">
        <f>IFERROR(__xludf.DUMMYFUNCTION("IFS(
  AND(REGEXMATCH(E6236, ""台銀籌備帳戶|玉山帳戶""), REGEXMATCH(C6236, ""薪資"")), ""分潤支出"",
  AND(REGEXMATCH(E6236, ""Ben帳戶|Elsa帳戶|Ben代墊|Ariel代墊|中信銀行共用""), REGEXMATCH(F6236, ""Ben帳戶|Elsa帳戶|Ben代墊|Ariel代墊|中信銀行共用"")), ""內部轉帳(忽略)"",
  AND(E6236&lt;&gt;"""", F6236&lt;&gt;"""", N"&amp;"OT(REGEXMATCH(C6236, ""薪資""))), ""內部轉帳(忽略)"",
  REGEXMATCH(C6236, ""薪資""), ""薪資變動(不計入)"",
  REGEXMATCH(C6236, ""押金""), ""押金往來"",
  AND(E6236&lt;&gt;"""", F6236=""""), ""真實支出"",
  AND(E6236="""", F6236&lt;&gt;""""), ""真實收入"",
  TRUE, ""其他""
)"),"其他")</f>
        <v>其他</v>
      </c>
      <c r="K6236" s="270" t="str">
        <f t="shared" si="2"/>
        <v/>
      </c>
      <c r="L6236">
        <f t="shared" si="3"/>
        <v>0</v>
      </c>
    </row>
    <row r="6237">
      <c r="A6237" s="107"/>
      <c r="D6237" s="270"/>
      <c r="H6237" s="106" t="str">
        <f t="shared" si="1"/>
        <v/>
      </c>
      <c r="J6237" t="str">
        <f>IFERROR(__xludf.DUMMYFUNCTION("IFS(
  AND(REGEXMATCH(E6237, ""台銀籌備帳戶|玉山帳戶""), REGEXMATCH(C6237, ""薪資"")), ""分潤支出"",
  AND(REGEXMATCH(E6237, ""Ben帳戶|Elsa帳戶|Ben代墊|Ariel代墊|中信銀行共用""), REGEXMATCH(F6237, ""Ben帳戶|Elsa帳戶|Ben代墊|Ariel代墊|中信銀行共用"")), ""內部轉帳(忽略)"",
  AND(E6237&lt;&gt;"""", F6237&lt;&gt;"""", N"&amp;"OT(REGEXMATCH(C6237, ""薪資""))), ""內部轉帳(忽略)"",
  REGEXMATCH(C6237, ""薪資""), ""薪資變動(不計入)"",
  REGEXMATCH(C6237, ""押金""), ""押金往來"",
  AND(E6237&lt;&gt;"""", F6237=""""), ""真實支出"",
  AND(E6237="""", F6237&lt;&gt;""""), ""真實收入"",
  TRUE, ""其他""
)"),"其他")</f>
        <v>其他</v>
      </c>
      <c r="K6237" s="270" t="str">
        <f t="shared" si="2"/>
        <v/>
      </c>
      <c r="L6237">
        <f t="shared" si="3"/>
        <v>0</v>
      </c>
    </row>
    <row r="6238">
      <c r="A6238" s="107"/>
      <c r="D6238" s="270"/>
      <c r="H6238" s="106" t="str">
        <f t="shared" si="1"/>
        <v/>
      </c>
      <c r="J6238" t="str">
        <f>IFERROR(__xludf.DUMMYFUNCTION("IFS(
  AND(REGEXMATCH(E6238, ""台銀籌備帳戶|玉山帳戶""), REGEXMATCH(C6238, ""薪資"")), ""分潤支出"",
  AND(REGEXMATCH(E6238, ""Ben帳戶|Elsa帳戶|Ben代墊|Ariel代墊|中信銀行共用""), REGEXMATCH(F6238, ""Ben帳戶|Elsa帳戶|Ben代墊|Ariel代墊|中信銀行共用"")), ""內部轉帳(忽略)"",
  AND(E6238&lt;&gt;"""", F6238&lt;&gt;"""", N"&amp;"OT(REGEXMATCH(C6238, ""薪資""))), ""內部轉帳(忽略)"",
  REGEXMATCH(C6238, ""薪資""), ""薪資變動(不計入)"",
  REGEXMATCH(C6238, ""押金""), ""押金往來"",
  AND(E6238&lt;&gt;"""", F6238=""""), ""真實支出"",
  AND(E6238="""", F6238&lt;&gt;""""), ""真實收入"",
  TRUE, ""其他""
)"),"其他")</f>
        <v>其他</v>
      </c>
      <c r="K6238" s="270" t="str">
        <f t="shared" si="2"/>
        <v/>
      </c>
      <c r="L6238">
        <f t="shared" si="3"/>
        <v>0</v>
      </c>
    </row>
    <row r="6239">
      <c r="A6239" s="107"/>
      <c r="D6239" s="270"/>
      <c r="H6239" s="106" t="str">
        <f t="shared" si="1"/>
        <v/>
      </c>
      <c r="J6239" t="str">
        <f>IFERROR(__xludf.DUMMYFUNCTION("IFS(
  AND(REGEXMATCH(E6239, ""台銀籌備帳戶|玉山帳戶""), REGEXMATCH(C6239, ""薪資"")), ""分潤支出"",
  AND(REGEXMATCH(E6239, ""Ben帳戶|Elsa帳戶|Ben代墊|Ariel代墊|中信銀行共用""), REGEXMATCH(F6239, ""Ben帳戶|Elsa帳戶|Ben代墊|Ariel代墊|中信銀行共用"")), ""內部轉帳(忽略)"",
  AND(E6239&lt;&gt;"""", F6239&lt;&gt;"""", N"&amp;"OT(REGEXMATCH(C6239, ""薪資""))), ""內部轉帳(忽略)"",
  REGEXMATCH(C6239, ""薪資""), ""薪資變動(不計入)"",
  REGEXMATCH(C6239, ""押金""), ""押金往來"",
  AND(E6239&lt;&gt;"""", F6239=""""), ""真實支出"",
  AND(E6239="""", F6239&lt;&gt;""""), ""真實收入"",
  TRUE, ""其他""
)"),"其他")</f>
        <v>其他</v>
      </c>
      <c r="K6239" s="270" t="str">
        <f t="shared" si="2"/>
        <v/>
      </c>
      <c r="L6239">
        <f t="shared" si="3"/>
        <v>0</v>
      </c>
    </row>
    <row r="6240">
      <c r="A6240" s="107"/>
      <c r="D6240" s="270"/>
      <c r="H6240" s="106" t="str">
        <f t="shared" si="1"/>
        <v/>
      </c>
      <c r="J6240" t="str">
        <f>IFERROR(__xludf.DUMMYFUNCTION("IFS(
  AND(REGEXMATCH(E6240, ""台銀籌備帳戶|玉山帳戶""), REGEXMATCH(C6240, ""薪資"")), ""分潤支出"",
  AND(REGEXMATCH(E6240, ""Ben帳戶|Elsa帳戶|Ben代墊|Ariel代墊|中信銀行共用""), REGEXMATCH(F6240, ""Ben帳戶|Elsa帳戶|Ben代墊|Ariel代墊|中信銀行共用"")), ""內部轉帳(忽略)"",
  AND(E6240&lt;&gt;"""", F6240&lt;&gt;"""", N"&amp;"OT(REGEXMATCH(C6240, ""薪資""))), ""內部轉帳(忽略)"",
  REGEXMATCH(C6240, ""薪資""), ""薪資變動(不計入)"",
  REGEXMATCH(C6240, ""押金""), ""押金往來"",
  AND(E6240&lt;&gt;"""", F6240=""""), ""真實支出"",
  AND(E6240="""", F6240&lt;&gt;""""), ""真實收入"",
  TRUE, ""其他""
)"),"其他")</f>
        <v>其他</v>
      </c>
      <c r="K6240" s="270" t="str">
        <f t="shared" si="2"/>
        <v/>
      </c>
      <c r="L6240">
        <f t="shared" si="3"/>
        <v>0</v>
      </c>
    </row>
    <row r="6241">
      <c r="A6241" s="107"/>
      <c r="D6241" s="270"/>
      <c r="H6241" s="106" t="str">
        <f t="shared" si="1"/>
        <v/>
      </c>
      <c r="J6241" t="str">
        <f>IFERROR(__xludf.DUMMYFUNCTION("IFS(
  AND(REGEXMATCH(E6241, ""台銀籌備帳戶|玉山帳戶""), REGEXMATCH(C6241, ""薪資"")), ""分潤支出"",
  AND(REGEXMATCH(E6241, ""Ben帳戶|Elsa帳戶|Ben代墊|Ariel代墊|中信銀行共用""), REGEXMATCH(F6241, ""Ben帳戶|Elsa帳戶|Ben代墊|Ariel代墊|中信銀行共用"")), ""內部轉帳(忽略)"",
  AND(E6241&lt;&gt;"""", F6241&lt;&gt;"""", N"&amp;"OT(REGEXMATCH(C6241, ""薪資""))), ""內部轉帳(忽略)"",
  REGEXMATCH(C6241, ""薪資""), ""薪資變動(不計入)"",
  REGEXMATCH(C6241, ""押金""), ""押金往來"",
  AND(E6241&lt;&gt;"""", F6241=""""), ""真實支出"",
  AND(E6241="""", F6241&lt;&gt;""""), ""真實收入"",
  TRUE, ""其他""
)"),"其他")</f>
        <v>其他</v>
      </c>
      <c r="K6241" s="270" t="str">
        <f t="shared" si="2"/>
        <v/>
      </c>
      <c r="L6241">
        <f t="shared" si="3"/>
        <v>0</v>
      </c>
    </row>
    <row r="6242">
      <c r="A6242" s="107"/>
      <c r="D6242" s="270"/>
      <c r="H6242" s="106" t="str">
        <f t="shared" si="1"/>
        <v/>
      </c>
      <c r="J6242" t="str">
        <f>IFERROR(__xludf.DUMMYFUNCTION("IFS(
  AND(REGEXMATCH(E6242, ""台銀籌備帳戶|玉山帳戶""), REGEXMATCH(C6242, ""薪資"")), ""分潤支出"",
  AND(REGEXMATCH(E6242, ""Ben帳戶|Elsa帳戶|Ben代墊|Ariel代墊|中信銀行共用""), REGEXMATCH(F6242, ""Ben帳戶|Elsa帳戶|Ben代墊|Ariel代墊|中信銀行共用"")), ""內部轉帳(忽略)"",
  AND(E6242&lt;&gt;"""", F6242&lt;&gt;"""", N"&amp;"OT(REGEXMATCH(C6242, ""薪資""))), ""內部轉帳(忽略)"",
  REGEXMATCH(C6242, ""薪資""), ""薪資變動(不計入)"",
  REGEXMATCH(C6242, ""押金""), ""押金往來"",
  AND(E6242&lt;&gt;"""", F6242=""""), ""真實支出"",
  AND(E6242="""", F6242&lt;&gt;""""), ""真實收入"",
  TRUE, ""其他""
)"),"其他")</f>
        <v>其他</v>
      </c>
      <c r="K6242" s="270" t="str">
        <f t="shared" si="2"/>
        <v/>
      </c>
      <c r="L6242">
        <f t="shared" si="3"/>
        <v>0</v>
      </c>
    </row>
    <row r="6243">
      <c r="A6243" s="107"/>
      <c r="D6243" s="270"/>
      <c r="H6243" s="106" t="str">
        <f t="shared" si="1"/>
        <v/>
      </c>
      <c r="J6243" t="str">
        <f>IFERROR(__xludf.DUMMYFUNCTION("IFS(
  AND(REGEXMATCH(E6243, ""台銀籌備帳戶|玉山帳戶""), REGEXMATCH(C6243, ""薪資"")), ""分潤支出"",
  AND(REGEXMATCH(E6243, ""Ben帳戶|Elsa帳戶|Ben代墊|Ariel代墊|中信銀行共用""), REGEXMATCH(F6243, ""Ben帳戶|Elsa帳戶|Ben代墊|Ariel代墊|中信銀行共用"")), ""內部轉帳(忽略)"",
  AND(E6243&lt;&gt;"""", F6243&lt;&gt;"""", N"&amp;"OT(REGEXMATCH(C6243, ""薪資""))), ""內部轉帳(忽略)"",
  REGEXMATCH(C6243, ""薪資""), ""薪資變動(不計入)"",
  REGEXMATCH(C6243, ""押金""), ""押金往來"",
  AND(E6243&lt;&gt;"""", F6243=""""), ""真實支出"",
  AND(E6243="""", F6243&lt;&gt;""""), ""真實收入"",
  TRUE, ""其他""
)"),"其他")</f>
        <v>其他</v>
      </c>
      <c r="K6243" s="270" t="str">
        <f t="shared" si="2"/>
        <v/>
      </c>
      <c r="L6243">
        <f t="shared" si="3"/>
        <v>0</v>
      </c>
    </row>
    <row r="6244">
      <c r="A6244" s="107"/>
      <c r="D6244" s="270"/>
      <c r="H6244" s="106" t="str">
        <f t="shared" si="1"/>
        <v/>
      </c>
      <c r="J6244" t="str">
        <f>IFERROR(__xludf.DUMMYFUNCTION("IFS(
  AND(REGEXMATCH(E6244, ""台銀籌備帳戶|玉山帳戶""), REGEXMATCH(C6244, ""薪資"")), ""分潤支出"",
  AND(REGEXMATCH(E6244, ""Ben帳戶|Elsa帳戶|Ben代墊|Ariel代墊|中信銀行共用""), REGEXMATCH(F6244, ""Ben帳戶|Elsa帳戶|Ben代墊|Ariel代墊|中信銀行共用"")), ""內部轉帳(忽略)"",
  AND(E6244&lt;&gt;"""", F6244&lt;&gt;"""", N"&amp;"OT(REGEXMATCH(C6244, ""薪資""))), ""內部轉帳(忽略)"",
  REGEXMATCH(C6244, ""薪資""), ""薪資變動(不計入)"",
  REGEXMATCH(C6244, ""押金""), ""押金往來"",
  AND(E6244&lt;&gt;"""", F6244=""""), ""真實支出"",
  AND(E6244="""", F6244&lt;&gt;""""), ""真實收入"",
  TRUE, ""其他""
)"),"其他")</f>
        <v>其他</v>
      </c>
      <c r="K6244" s="270" t="str">
        <f t="shared" si="2"/>
        <v/>
      </c>
      <c r="L6244">
        <f t="shared" si="3"/>
        <v>0</v>
      </c>
    </row>
    <row r="6245">
      <c r="A6245" s="107"/>
      <c r="D6245" s="270"/>
      <c r="H6245" s="106" t="str">
        <f t="shared" si="1"/>
        <v/>
      </c>
      <c r="J6245" t="str">
        <f>IFERROR(__xludf.DUMMYFUNCTION("IFS(
  AND(REGEXMATCH(E6245, ""台銀籌備帳戶|玉山帳戶""), REGEXMATCH(C6245, ""薪資"")), ""分潤支出"",
  AND(REGEXMATCH(E6245, ""Ben帳戶|Elsa帳戶|Ben代墊|Ariel代墊|中信銀行共用""), REGEXMATCH(F6245, ""Ben帳戶|Elsa帳戶|Ben代墊|Ariel代墊|中信銀行共用"")), ""內部轉帳(忽略)"",
  AND(E6245&lt;&gt;"""", F6245&lt;&gt;"""", N"&amp;"OT(REGEXMATCH(C6245, ""薪資""))), ""內部轉帳(忽略)"",
  REGEXMATCH(C6245, ""薪資""), ""薪資變動(不計入)"",
  REGEXMATCH(C6245, ""押金""), ""押金往來"",
  AND(E6245&lt;&gt;"""", F6245=""""), ""真實支出"",
  AND(E6245="""", F6245&lt;&gt;""""), ""真實收入"",
  TRUE, ""其他""
)"),"其他")</f>
        <v>其他</v>
      </c>
      <c r="K6245" s="270" t="str">
        <f t="shared" si="2"/>
        <v/>
      </c>
      <c r="L6245">
        <f t="shared" si="3"/>
        <v>0</v>
      </c>
    </row>
    <row r="6246">
      <c r="A6246" s="107"/>
      <c r="D6246" s="270"/>
      <c r="H6246" s="106" t="str">
        <f t="shared" si="1"/>
        <v/>
      </c>
      <c r="J6246" t="str">
        <f>IFERROR(__xludf.DUMMYFUNCTION("IFS(
  AND(REGEXMATCH(E6246, ""台銀籌備帳戶|玉山帳戶""), REGEXMATCH(C6246, ""薪資"")), ""分潤支出"",
  AND(REGEXMATCH(E6246, ""Ben帳戶|Elsa帳戶|Ben代墊|Ariel代墊|中信銀行共用""), REGEXMATCH(F6246, ""Ben帳戶|Elsa帳戶|Ben代墊|Ariel代墊|中信銀行共用"")), ""內部轉帳(忽略)"",
  AND(E6246&lt;&gt;"""", F6246&lt;&gt;"""", N"&amp;"OT(REGEXMATCH(C6246, ""薪資""))), ""內部轉帳(忽略)"",
  REGEXMATCH(C6246, ""薪資""), ""薪資變動(不計入)"",
  REGEXMATCH(C6246, ""押金""), ""押金往來"",
  AND(E6246&lt;&gt;"""", F6246=""""), ""真實支出"",
  AND(E6246="""", F6246&lt;&gt;""""), ""真實收入"",
  TRUE, ""其他""
)"),"其他")</f>
        <v>其他</v>
      </c>
      <c r="K6246" s="270" t="str">
        <f t="shared" si="2"/>
        <v/>
      </c>
      <c r="L6246">
        <f t="shared" si="3"/>
        <v>0</v>
      </c>
    </row>
    <row r="6247">
      <c r="A6247" s="107"/>
      <c r="D6247" s="270"/>
      <c r="H6247" s="106" t="str">
        <f t="shared" si="1"/>
        <v/>
      </c>
      <c r="J6247" t="str">
        <f>IFERROR(__xludf.DUMMYFUNCTION("IFS(
  AND(REGEXMATCH(E6247, ""台銀籌備帳戶|玉山帳戶""), REGEXMATCH(C6247, ""薪資"")), ""分潤支出"",
  AND(REGEXMATCH(E6247, ""Ben帳戶|Elsa帳戶|Ben代墊|Ariel代墊|中信銀行共用""), REGEXMATCH(F6247, ""Ben帳戶|Elsa帳戶|Ben代墊|Ariel代墊|中信銀行共用"")), ""內部轉帳(忽略)"",
  AND(E6247&lt;&gt;"""", F6247&lt;&gt;"""", N"&amp;"OT(REGEXMATCH(C6247, ""薪資""))), ""內部轉帳(忽略)"",
  REGEXMATCH(C6247, ""薪資""), ""薪資變動(不計入)"",
  REGEXMATCH(C6247, ""押金""), ""押金往來"",
  AND(E6247&lt;&gt;"""", F6247=""""), ""真實支出"",
  AND(E6247="""", F6247&lt;&gt;""""), ""真實收入"",
  TRUE, ""其他""
)"),"其他")</f>
        <v>其他</v>
      </c>
      <c r="K6247" s="270" t="str">
        <f t="shared" si="2"/>
        <v/>
      </c>
      <c r="L6247">
        <f t="shared" si="3"/>
        <v>0</v>
      </c>
    </row>
    <row r="6248">
      <c r="A6248" s="107"/>
      <c r="D6248" s="270"/>
      <c r="H6248" s="106" t="str">
        <f t="shared" si="1"/>
        <v/>
      </c>
      <c r="J6248" t="str">
        <f>IFERROR(__xludf.DUMMYFUNCTION("IFS(
  AND(REGEXMATCH(E6248, ""台銀籌備帳戶|玉山帳戶""), REGEXMATCH(C6248, ""薪資"")), ""分潤支出"",
  AND(REGEXMATCH(E6248, ""Ben帳戶|Elsa帳戶|Ben代墊|Ariel代墊|中信銀行共用""), REGEXMATCH(F6248, ""Ben帳戶|Elsa帳戶|Ben代墊|Ariel代墊|中信銀行共用"")), ""內部轉帳(忽略)"",
  AND(E6248&lt;&gt;"""", F6248&lt;&gt;"""", N"&amp;"OT(REGEXMATCH(C6248, ""薪資""))), ""內部轉帳(忽略)"",
  REGEXMATCH(C6248, ""薪資""), ""薪資變動(不計入)"",
  REGEXMATCH(C6248, ""押金""), ""押金往來"",
  AND(E6248&lt;&gt;"""", F6248=""""), ""真實支出"",
  AND(E6248="""", F6248&lt;&gt;""""), ""真實收入"",
  TRUE, ""其他""
)"),"其他")</f>
        <v>其他</v>
      </c>
      <c r="K6248" s="270" t="str">
        <f t="shared" si="2"/>
        <v/>
      </c>
      <c r="L6248">
        <f t="shared" si="3"/>
        <v>0</v>
      </c>
    </row>
    <row r="6249">
      <c r="A6249" s="107"/>
      <c r="D6249" s="270"/>
      <c r="H6249" s="106" t="str">
        <f t="shared" si="1"/>
        <v/>
      </c>
      <c r="J6249" t="str">
        <f>IFERROR(__xludf.DUMMYFUNCTION("IFS(
  AND(REGEXMATCH(E6249, ""台銀籌備帳戶|玉山帳戶""), REGEXMATCH(C6249, ""薪資"")), ""分潤支出"",
  AND(REGEXMATCH(E6249, ""Ben帳戶|Elsa帳戶|Ben代墊|Ariel代墊|中信銀行共用""), REGEXMATCH(F6249, ""Ben帳戶|Elsa帳戶|Ben代墊|Ariel代墊|中信銀行共用"")), ""內部轉帳(忽略)"",
  AND(E6249&lt;&gt;"""", F6249&lt;&gt;"""", N"&amp;"OT(REGEXMATCH(C6249, ""薪資""))), ""內部轉帳(忽略)"",
  REGEXMATCH(C6249, ""薪資""), ""薪資變動(不計入)"",
  REGEXMATCH(C6249, ""押金""), ""押金往來"",
  AND(E6249&lt;&gt;"""", F6249=""""), ""真實支出"",
  AND(E6249="""", F6249&lt;&gt;""""), ""真實收入"",
  TRUE, ""其他""
)"),"其他")</f>
        <v>其他</v>
      </c>
      <c r="K6249" s="270" t="str">
        <f t="shared" si="2"/>
        <v/>
      </c>
      <c r="L6249">
        <f t="shared" si="3"/>
        <v>0</v>
      </c>
    </row>
    <row r="6250">
      <c r="A6250" s="107"/>
      <c r="D6250" s="270"/>
      <c r="H6250" s="106" t="str">
        <f t="shared" si="1"/>
        <v/>
      </c>
      <c r="J6250" t="str">
        <f>IFERROR(__xludf.DUMMYFUNCTION("IFS(
  AND(REGEXMATCH(E6250, ""台銀籌備帳戶|玉山帳戶""), REGEXMATCH(C6250, ""薪資"")), ""分潤支出"",
  AND(REGEXMATCH(E6250, ""Ben帳戶|Elsa帳戶|Ben代墊|Ariel代墊|中信銀行共用""), REGEXMATCH(F6250, ""Ben帳戶|Elsa帳戶|Ben代墊|Ariel代墊|中信銀行共用"")), ""內部轉帳(忽略)"",
  AND(E6250&lt;&gt;"""", F6250&lt;&gt;"""", N"&amp;"OT(REGEXMATCH(C6250, ""薪資""))), ""內部轉帳(忽略)"",
  REGEXMATCH(C6250, ""薪資""), ""薪資變動(不計入)"",
  REGEXMATCH(C6250, ""押金""), ""押金往來"",
  AND(E6250&lt;&gt;"""", F6250=""""), ""真實支出"",
  AND(E6250="""", F6250&lt;&gt;""""), ""真實收入"",
  TRUE, ""其他""
)"),"其他")</f>
        <v>其他</v>
      </c>
      <c r="K6250" s="270" t="str">
        <f t="shared" si="2"/>
        <v/>
      </c>
      <c r="L6250">
        <f t="shared" si="3"/>
        <v>0</v>
      </c>
    </row>
    <row r="6251">
      <c r="A6251" s="107"/>
      <c r="D6251" s="270"/>
      <c r="H6251" s="106" t="str">
        <f t="shared" si="1"/>
        <v/>
      </c>
      <c r="J6251" t="str">
        <f>IFERROR(__xludf.DUMMYFUNCTION("IFS(
  AND(REGEXMATCH(E6251, ""台銀籌備帳戶|玉山帳戶""), REGEXMATCH(C6251, ""薪資"")), ""分潤支出"",
  AND(REGEXMATCH(E6251, ""Ben帳戶|Elsa帳戶|Ben代墊|Ariel代墊|中信銀行共用""), REGEXMATCH(F6251, ""Ben帳戶|Elsa帳戶|Ben代墊|Ariel代墊|中信銀行共用"")), ""內部轉帳(忽略)"",
  AND(E6251&lt;&gt;"""", F6251&lt;&gt;"""", N"&amp;"OT(REGEXMATCH(C6251, ""薪資""))), ""內部轉帳(忽略)"",
  REGEXMATCH(C6251, ""薪資""), ""薪資變動(不計入)"",
  REGEXMATCH(C6251, ""押金""), ""押金往來"",
  AND(E6251&lt;&gt;"""", F6251=""""), ""真實支出"",
  AND(E6251="""", F6251&lt;&gt;""""), ""真實收入"",
  TRUE, ""其他""
)"),"其他")</f>
        <v>其他</v>
      </c>
      <c r="K6251" s="270" t="str">
        <f t="shared" si="2"/>
        <v/>
      </c>
      <c r="L6251">
        <f t="shared" si="3"/>
        <v>0</v>
      </c>
    </row>
    <row r="6252">
      <c r="A6252" s="107"/>
      <c r="D6252" s="270"/>
      <c r="H6252" s="106" t="str">
        <f t="shared" si="1"/>
        <v/>
      </c>
      <c r="J6252" t="str">
        <f>IFERROR(__xludf.DUMMYFUNCTION("IFS(
  AND(REGEXMATCH(E6252, ""台銀籌備帳戶|玉山帳戶""), REGEXMATCH(C6252, ""薪資"")), ""分潤支出"",
  AND(REGEXMATCH(E6252, ""Ben帳戶|Elsa帳戶|Ben代墊|Ariel代墊|中信銀行共用""), REGEXMATCH(F6252, ""Ben帳戶|Elsa帳戶|Ben代墊|Ariel代墊|中信銀行共用"")), ""內部轉帳(忽略)"",
  AND(E6252&lt;&gt;"""", F6252&lt;&gt;"""", N"&amp;"OT(REGEXMATCH(C6252, ""薪資""))), ""內部轉帳(忽略)"",
  REGEXMATCH(C6252, ""薪資""), ""薪資變動(不計入)"",
  REGEXMATCH(C6252, ""押金""), ""押金往來"",
  AND(E6252&lt;&gt;"""", F6252=""""), ""真實支出"",
  AND(E6252="""", F6252&lt;&gt;""""), ""真實收入"",
  TRUE, ""其他""
)"),"其他")</f>
        <v>其他</v>
      </c>
      <c r="K6252" s="270" t="str">
        <f t="shared" si="2"/>
        <v/>
      </c>
      <c r="L6252">
        <f t="shared" si="3"/>
        <v>0</v>
      </c>
    </row>
    <row r="6253">
      <c r="A6253" s="107"/>
      <c r="D6253" s="270"/>
      <c r="H6253" s="106" t="str">
        <f t="shared" si="1"/>
        <v/>
      </c>
      <c r="J6253" t="str">
        <f>IFERROR(__xludf.DUMMYFUNCTION("IFS(
  AND(REGEXMATCH(E6253, ""台銀籌備帳戶|玉山帳戶""), REGEXMATCH(C6253, ""薪資"")), ""分潤支出"",
  AND(REGEXMATCH(E6253, ""Ben帳戶|Elsa帳戶|Ben代墊|Ariel代墊|中信銀行共用""), REGEXMATCH(F6253, ""Ben帳戶|Elsa帳戶|Ben代墊|Ariel代墊|中信銀行共用"")), ""內部轉帳(忽略)"",
  AND(E6253&lt;&gt;"""", F6253&lt;&gt;"""", N"&amp;"OT(REGEXMATCH(C6253, ""薪資""))), ""內部轉帳(忽略)"",
  REGEXMATCH(C6253, ""薪資""), ""薪資變動(不計入)"",
  REGEXMATCH(C6253, ""押金""), ""押金往來"",
  AND(E6253&lt;&gt;"""", F6253=""""), ""真實支出"",
  AND(E6253="""", F6253&lt;&gt;""""), ""真實收入"",
  TRUE, ""其他""
)"),"其他")</f>
        <v>其他</v>
      </c>
      <c r="K6253" s="270" t="str">
        <f t="shared" si="2"/>
        <v/>
      </c>
      <c r="L6253">
        <f t="shared" si="3"/>
        <v>0</v>
      </c>
    </row>
    <row r="6254">
      <c r="A6254" s="107"/>
      <c r="D6254" s="270"/>
      <c r="H6254" s="106" t="str">
        <f t="shared" si="1"/>
        <v/>
      </c>
      <c r="J6254" t="str">
        <f>IFERROR(__xludf.DUMMYFUNCTION("IFS(
  AND(REGEXMATCH(E6254, ""台銀籌備帳戶|玉山帳戶""), REGEXMATCH(C6254, ""薪資"")), ""分潤支出"",
  AND(REGEXMATCH(E6254, ""Ben帳戶|Elsa帳戶|Ben代墊|Ariel代墊|中信銀行共用""), REGEXMATCH(F6254, ""Ben帳戶|Elsa帳戶|Ben代墊|Ariel代墊|中信銀行共用"")), ""內部轉帳(忽略)"",
  AND(E6254&lt;&gt;"""", F6254&lt;&gt;"""", N"&amp;"OT(REGEXMATCH(C6254, ""薪資""))), ""內部轉帳(忽略)"",
  REGEXMATCH(C6254, ""薪資""), ""薪資變動(不計入)"",
  REGEXMATCH(C6254, ""押金""), ""押金往來"",
  AND(E6254&lt;&gt;"""", F6254=""""), ""真實支出"",
  AND(E6254="""", F6254&lt;&gt;""""), ""真實收入"",
  TRUE, ""其他""
)"),"其他")</f>
        <v>其他</v>
      </c>
      <c r="K6254" s="270" t="str">
        <f t="shared" si="2"/>
        <v/>
      </c>
      <c r="L6254">
        <f t="shared" si="3"/>
        <v>0</v>
      </c>
    </row>
    <row r="6255">
      <c r="A6255" s="107"/>
      <c r="D6255" s="270"/>
      <c r="H6255" s="106" t="str">
        <f t="shared" si="1"/>
        <v/>
      </c>
      <c r="J6255" t="str">
        <f>IFERROR(__xludf.DUMMYFUNCTION("IFS(
  AND(REGEXMATCH(E6255, ""台銀籌備帳戶|玉山帳戶""), REGEXMATCH(C6255, ""薪資"")), ""分潤支出"",
  AND(REGEXMATCH(E6255, ""Ben帳戶|Elsa帳戶|Ben代墊|Ariel代墊|中信銀行共用""), REGEXMATCH(F6255, ""Ben帳戶|Elsa帳戶|Ben代墊|Ariel代墊|中信銀行共用"")), ""內部轉帳(忽略)"",
  AND(E6255&lt;&gt;"""", F6255&lt;&gt;"""", N"&amp;"OT(REGEXMATCH(C6255, ""薪資""))), ""內部轉帳(忽略)"",
  REGEXMATCH(C6255, ""薪資""), ""薪資變動(不計入)"",
  REGEXMATCH(C6255, ""押金""), ""押金往來"",
  AND(E6255&lt;&gt;"""", F6255=""""), ""真實支出"",
  AND(E6255="""", F6255&lt;&gt;""""), ""真實收入"",
  TRUE, ""其他""
)"),"其他")</f>
        <v>其他</v>
      </c>
      <c r="K6255" s="270" t="str">
        <f t="shared" si="2"/>
        <v/>
      </c>
      <c r="L6255">
        <f t="shared" si="3"/>
        <v>0</v>
      </c>
    </row>
    <row r="6256">
      <c r="A6256" s="107"/>
      <c r="D6256" s="270"/>
      <c r="H6256" s="106" t="str">
        <f t="shared" si="1"/>
        <v/>
      </c>
      <c r="J6256" t="str">
        <f>IFERROR(__xludf.DUMMYFUNCTION("IFS(
  AND(REGEXMATCH(E6256, ""台銀籌備帳戶|玉山帳戶""), REGEXMATCH(C6256, ""薪資"")), ""分潤支出"",
  AND(REGEXMATCH(E6256, ""Ben帳戶|Elsa帳戶|Ben代墊|Ariel代墊|中信銀行共用""), REGEXMATCH(F6256, ""Ben帳戶|Elsa帳戶|Ben代墊|Ariel代墊|中信銀行共用"")), ""內部轉帳(忽略)"",
  AND(E6256&lt;&gt;"""", F6256&lt;&gt;"""", N"&amp;"OT(REGEXMATCH(C6256, ""薪資""))), ""內部轉帳(忽略)"",
  REGEXMATCH(C6256, ""薪資""), ""薪資變動(不計入)"",
  REGEXMATCH(C6256, ""押金""), ""押金往來"",
  AND(E6256&lt;&gt;"""", F6256=""""), ""真實支出"",
  AND(E6256="""", F6256&lt;&gt;""""), ""真實收入"",
  TRUE, ""其他""
)"),"其他")</f>
        <v>其他</v>
      </c>
      <c r="K6256" s="270" t="str">
        <f t="shared" si="2"/>
        <v/>
      </c>
      <c r="L6256">
        <f t="shared" si="3"/>
        <v>0</v>
      </c>
    </row>
    <row r="6257">
      <c r="A6257" s="107"/>
      <c r="D6257" s="270"/>
      <c r="H6257" s="106" t="str">
        <f t="shared" si="1"/>
        <v/>
      </c>
      <c r="J6257" t="str">
        <f>IFERROR(__xludf.DUMMYFUNCTION("IFS(
  AND(REGEXMATCH(E6257, ""台銀籌備帳戶|玉山帳戶""), REGEXMATCH(C6257, ""薪資"")), ""分潤支出"",
  AND(REGEXMATCH(E6257, ""Ben帳戶|Elsa帳戶|Ben代墊|Ariel代墊|中信銀行共用""), REGEXMATCH(F6257, ""Ben帳戶|Elsa帳戶|Ben代墊|Ariel代墊|中信銀行共用"")), ""內部轉帳(忽略)"",
  AND(E6257&lt;&gt;"""", F6257&lt;&gt;"""", N"&amp;"OT(REGEXMATCH(C6257, ""薪資""))), ""內部轉帳(忽略)"",
  REGEXMATCH(C6257, ""薪資""), ""薪資變動(不計入)"",
  REGEXMATCH(C6257, ""押金""), ""押金往來"",
  AND(E6257&lt;&gt;"""", F6257=""""), ""真實支出"",
  AND(E6257="""", F6257&lt;&gt;""""), ""真實收入"",
  TRUE, ""其他""
)"),"其他")</f>
        <v>其他</v>
      </c>
      <c r="K6257" s="270" t="str">
        <f t="shared" si="2"/>
        <v/>
      </c>
      <c r="L6257">
        <f t="shared" si="3"/>
        <v>0</v>
      </c>
    </row>
    <row r="6258">
      <c r="A6258" s="107"/>
      <c r="D6258" s="270"/>
      <c r="H6258" s="106" t="str">
        <f t="shared" si="1"/>
        <v/>
      </c>
      <c r="J6258" t="str">
        <f>IFERROR(__xludf.DUMMYFUNCTION("IFS(
  AND(REGEXMATCH(E6258, ""台銀籌備帳戶|玉山帳戶""), REGEXMATCH(C6258, ""薪資"")), ""分潤支出"",
  AND(REGEXMATCH(E6258, ""Ben帳戶|Elsa帳戶|Ben代墊|Ariel代墊|中信銀行共用""), REGEXMATCH(F6258, ""Ben帳戶|Elsa帳戶|Ben代墊|Ariel代墊|中信銀行共用"")), ""內部轉帳(忽略)"",
  AND(E6258&lt;&gt;"""", F6258&lt;&gt;"""", N"&amp;"OT(REGEXMATCH(C6258, ""薪資""))), ""內部轉帳(忽略)"",
  REGEXMATCH(C6258, ""薪資""), ""薪資變動(不計入)"",
  REGEXMATCH(C6258, ""押金""), ""押金往來"",
  AND(E6258&lt;&gt;"""", F6258=""""), ""真實支出"",
  AND(E6258="""", F6258&lt;&gt;""""), ""真實收入"",
  TRUE, ""其他""
)"),"其他")</f>
        <v>其他</v>
      </c>
      <c r="K6258" s="270" t="str">
        <f t="shared" si="2"/>
        <v/>
      </c>
      <c r="L6258">
        <f t="shared" si="3"/>
        <v>0</v>
      </c>
    </row>
    <row r="6259">
      <c r="A6259" s="107"/>
      <c r="D6259" s="270"/>
      <c r="H6259" s="106" t="str">
        <f t="shared" si="1"/>
        <v/>
      </c>
      <c r="J6259" t="str">
        <f>IFERROR(__xludf.DUMMYFUNCTION("IFS(
  AND(REGEXMATCH(E6259, ""台銀籌備帳戶|玉山帳戶""), REGEXMATCH(C6259, ""薪資"")), ""分潤支出"",
  AND(REGEXMATCH(E6259, ""Ben帳戶|Elsa帳戶|Ben代墊|Ariel代墊|中信銀行共用""), REGEXMATCH(F6259, ""Ben帳戶|Elsa帳戶|Ben代墊|Ariel代墊|中信銀行共用"")), ""內部轉帳(忽略)"",
  AND(E6259&lt;&gt;"""", F6259&lt;&gt;"""", N"&amp;"OT(REGEXMATCH(C6259, ""薪資""))), ""內部轉帳(忽略)"",
  REGEXMATCH(C6259, ""薪資""), ""薪資變動(不計入)"",
  REGEXMATCH(C6259, ""押金""), ""押金往來"",
  AND(E6259&lt;&gt;"""", F6259=""""), ""真實支出"",
  AND(E6259="""", F6259&lt;&gt;""""), ""真實收入"",
  TRUE, ""其他""
)"),"其他")</f>
        <v>其他</v>
      </c>
      <c r="K6259" s="270" t="str">
        <f t="shared" si="2"/>
        <v/>
      </c>
      <c r="L6259">
        <f t="shared" si="3"/>
        <v>0</v>
      </c>
    </row>
    <row r="6260">
      <c r="A6260" s="107"/>
      <c r="D6260" s="270"/>
      <c r="H6260" s="106" t="str">
        <f t="shared" si="1"/>
        <v/>
      </c>
      <c r="J6260" t="str">
        <f>IFERROR(__xludf.DUMMYFUNCTION("IFS(
  AND(REGEXMATCH(E6260, ""台銀籌備帳戶|玉山帳戶""), REGEXMATCH(C6260, ""薪資"")), ""分潤支出"",
  AND(REGEXMATCH(E6260, ""Ben帳戶|Elsa帳戶|Ben代墊|Ariel代墊|中信銀行共用""), REGEXMATCH(F6260, ""Ben帳戶|Elsa帳戶|Ben代墊|Ariel代墊|中信銀行共用"")), ""內部轉帳(忽略)"",
  AND(E6260&lt;&gt;"""", F6260&lt;&gt;"""", N"&amp;"OT(REGEXMATCH(C6260, ""薪資""))), ""內部轉帳(忽略)"",
  REGEXMATCH(C6260, ""薪資""), ""薪資變動(不計入)"",
  REGEXMATCH(C6260, ""押金""), ""押金往來"",
  AND(E6260&lt;&gt;"""", F6260=""""), ""真實支出"",
  AND(E6260="""", F6260&lt;&gt;""""), ""真實收入"",
  TRUE, ""其他""
)"),"其他")</f>
        <v>其他</v>
      </c>
      <c r="K6260" s="270" t="str">
        <f t="shared" si="2"/>
        <v/>
      </c>
      <c r="L6260">
        <f t="shared" si="3"/>
        <v>0</v>
      </c>
    </row>
    <row r="6261">
      <c r="A6261" s="107"/>
      <c r="D6261" s="270"/>
      <c r="H6261" s="106" t="str">
        <f t="shared" si="1"/>
        <v/>
      </c>
      <c r="J6261" t="str">
        <f>IFERROR(__xludf.DUMMYFUNCTION("IFS(
  AND(REGEXMATCH(E6261, ""台銀籌備帳戶|玉山帳戶""), REGEXMATCH(C6261, ""薪資"")), ""分潤支出"",
  AND(REGEXMATCH(E6261, ""Ben帳戶|Elsa帳戶|Ben代墊|Ariel代墊|中信銀行共用""), REGEXMATCH(F6261, ""Ben帳戶|Elsa帳戶|Ben代墊|Ariel代墊|中信銀行共用"")), ""內部轉帳(忽略)"",
  AND(E6261&lt;&gt;"""", F6261&lt;&gt;"""", N"&amp;"OT(REGEXMATCH(C6261, ""薪資""))), ""內部轉帳(忽略)"",
  REGEXMATCH(C6261, ""薪資""), ""薪資變動(不計入)"",
  REGEXMATCH(C6261, ""押金""), ""押金往來"",
  AND(E6261&lt;&gt;"""", F6261=""""), ""真實支出"",
  AND(E6261="""", F6261&lt;&gt;""""), ""真實收入"",
  TRUE, ""其他""
)"),"其他")</f>
        <v>其他</v>
      </c>
      <c r="K6261" s="270" t="str">
        <f t="shared" si="2"/>
        <v/>
      </c>
      <c r="L6261">
        <f t="shared" si="3"/>
        <v>0</v>
      </c>
    </row>
    <row r="6262">
      <c r="A6262" s="107"/>
      <c r="D6262" s="270"/>
      <c r="H6262" s="106" t="str">
        <f t="shared" si="1"/>
        <v/>
      </c>
      <c r="J6262" t="str">
        <f>IFERROR(__xludf.DUMMYFUNCTION("IFS(
  AND(REGEXMATCH(E6262, ""台銀籌備帳戶|玉山帳戶""), REGEXMATCH(C6262, ""薪資"")), ""分潤支出"",
  AND(REGEXMATCH(E6262, ""Ben帳戶|Elsa帳戶|Ben代墊|Ariel代墊|中信銀行共用""), REGEXMATCH(F6262, ""Ben帳戶|Elsa帳戶|Ben代墊|Ariel代墊|中信銀行共用"")), ""內部轉帳(忽略)"",
  AND(E6262&lt;&gt;"""", F6262&lt;&gt;"""", N"&amp;"OT(REGEXMATCH(C6262, ""薪資""))), ""內部轉帳(忽略)"",
  REGEXMATCH(C6262, ""薪資""), ""薪資變動(不計入)"",
  REGEXMATCH(C6262, ""押金""), ""押金往來"",
  AND(E6262&lt;&gt;"""", F6262=""""), ""真實支出"",
  AND(E6262="""", F6262&lt;&gt;""""), ""真實收入"",
  TRUE, ""其他""
)"),"其他")</f>
        <v>其他</v>
      </c>
      <c r="K6262" s="270" t="str">
        <f t="shared" si="2"/>
        <v/>
      </c>
      <c r="L6262">
        <f t="shared" si="3"/>
        <v>0</v>
      </c>
    </row>
    <row r="6263">
      <c r="A6263" s="107"/>
      <c r="D6263" s="270"/>
      <c r="H6263" s="106" t="str">
        <f t="shared" si="1"/>
        <v/>
      </c>
      <c r="J6263" t="str">
        <f>IFERROR(__xludf.DUMMYFUNCTION("IFS(
  AND(REGEXMATCH(E6263, ""台銀籌備帳戶|玉山帳戶""), REGEXMATCH(C6263, ""薪資"")), ""分潤支出"",
  AND(REGEXMATCH(E6263, ""Ben帳戶|Elsa帳戶|Ben代墊|Ariel代墊|中信銀行共用""), REGEXMATCH(F6263, ""Ben帳戶|Elsa帳戶|Ben代墊|Ariel代墊|中信銀行共用"")), ""內部轉帳(忽略)"",
  AND(E6263&lt;&gt;"""", F6263&lt;&gt;"""", N"&amp;"OT(REGEXMATCH(C6263, ""薪資""))), ""內部轉帳(忽略)"",
  REGEXMATCH(C6263, ""薪資""), ""薪資變動(不計入)"",
  REGEXMATCH(C6263, ""押金""), ""押金往來"",
  AND(E6263&lt;&gt;"""", F6263=""""), ""真實支出"",
  AND(E6263="""", F6263&lt;&gt;""""), ""真實收入"",
  TRUE, ""其他""
)"),"其他")</f>
        <v>其他</v>
      </c>
      <c r="K6263" s="270" t="str">
        <f t="shared" si="2"/>
        <v/>
      </c>
      <c r="L6263">
        <f t="shared" si="3"/>
        <v>0</v>
      </c>
    </row>
    <row r="6264">
      <c r="A6264" s="107"/>
      <c r="D6264" s="270"/>
      <c r="H6264" s="106" t="str">
        <f t="shared" si="1"/>
        <v/>
      </c>
      <c r="J6264" t="str">
        <f>IFERROR(__xludf.DUMMYFUNCTION("IFS(
  AND(REGEXMATCH(E6264, ""台銀籌備帳戶|玉山帳戶""), REGEXMATCH(C6264, ""薪資"")), ""分潤支出"",
  AND(REGEXMATCH(E6264, ""Ben帳戶|Elsa帳戶|Ben代墊|Ariel代墊|中信銀行共用""), REGEXMATCH(F6264, ""Ben帳戶|Elsa帳戶|Ben代墊|Ariel代墊|中信銀行共用"")), ""內部轉帳(忽略)"",
  AND(E6264&lt;&gt;"""", F6264&lt;&gt;"""", N"&amp;"OT(REGEXMATCH(C6264, ""薪資""))), ""內部轉帳(忽略)"",
  REGEXMATCH(C6264, ""薪資""), ""薪資變動(不計入)"",
  REGEXMATCH(C6264, ""押金""), ""押金往來"",
  AND(E6264&lt;&gt;"""", F6264=""""), ""真實支出"",
  AND(E6264="""", F6264&lt;&gt;""""), ""真實收入"",
  TRUE, ""其他""
)"),"其他")</f>
        <v>其他</v>
      </c>
      <c r="K6264" s="270" t="str">
        <f t="shared" si="2"/>
        <v/>
      </c>
      <c r="L6264">
        <f t="shared" si="3"/>
        <v>0</v>
      </c>
    </row>
    <row r="6265">
      <c r="A6265" s="107"/>
      <c r="D6265" s="270"/>
      <c r="H6265" s="106" t="str">
        <f t="shared" si="1"/>
        <v/>
      </c>
      <c r="J6265" t="str">
        <f>IFERROR(__xludf.DUMMYFUNCTION("IFS(
  AND(REGEXMATCH(E6265, ""台銀籌備帳戶|玉山帳戶""), REGEXMATCH(C6265, ""薪資"")), ""分潤支出"",
  AND(REGEXMATCH(E6265, ""Ben帳戶|Elsa帳戶|Ben代墊|Ariel代墊|中信銀行共用""), REGEXMATCH(F6265, ""Ben帳戶|Elsa帳戶|Ben代墊|Ariel代墊|中信銀行共用"")), ""內部轉帳(忽略)"",
  AND(E6265&lt;&gt;"""", F6265&lt;&gt;"""", N"&amp;"OT(REGEXMATCH(C6265, ""薪資""))), ""內部轉帳(忽略)"",
  REGEXMATCH(C6265, ""薪資""), ""薪資變動(不計入)"",
  REGEXMATCH(C6265, ""押金""), ""押金往來"",
  AND(E6265&lt;&gt;"""", F6265=""""), ""真實支出"",
  AND(E6265="""", F6265&lt;&gt;""""), ""真實收入"",
  TRUE, ""其他""
)"),"其他")</f>
        <v>其他</v>
      </c>
      <c r="K6265" s="270" t="str">
        <f t="shared" si="2"/>
        <v/>
      </c>
      <c r="L6265">
        <f t="shared" si="3"/>
        <v>0</v>
      </c>
    </row>
    <row r="6266">
      <c r="A6266" s="107"/>
      <c r="D6266" s="270"/>
      <c r="H6266" s="106" t="str">
        <f t="shared" si="1"/>
        <v/>
      </c>
      <c r="J6266" t="str">
        <f>IFERROR(__xludf.DUMMYFUNCTION("IFS(
  AND(REGEXMATCH(E6266, ""台銀籌備帳戶|玉山帳戶""), REGEXMATCH(C6266, ""薪資"")), ""分潤支出"",
  AND(REGEXMATCH(E6266, ""Ben帳戶|Elsa帳戶|Ben代墊|Ariel代墊|中信銀行共用""), REGEXMATCH(F6266, ""Ben帳戶|Elsa帳戶|Ben代墊|Ariel代墊|中信銀行共用"")), ""內部轉帳(忽略)"",
  AND(E6266&lt;&gt;"""", F6266&lt;&gt;"""", N"&amp;"OT(REGEXMATCH(C6266, ""薪資""))), ""內部轉帳(忽略)"",
  REGEXMATCH(C6266, ""薪資""), ""薪資變動(不計入)"",
  REGEXMATCH(C6266, ""押金""), ""押金往來"",
  AND(E6266&lt;&gt;"""", F6266=""""), ""真實支出"",
  AND(E6266="""", F6266&lt;&gt;""""), ""真實收入"",
  TRUE, ""其他""
)"),"其他")</f>
        <v>其他</v>
      </c>
      <c r="K6266" s="270" t="str">
        <f t="shared" si="2"/>
        <v/>
      </c>
      <c r="L6266">
        <f t="shared" si="3"/>
        <v>0</v>
      </c>
    </row>
    <row r="6267">
      <c r="A6267" s="107"/>
      <c r="D6267" s="270"/>
      <c r="H6267" s="106" t="str">
        <f t="shared" si="1"/>
        <v/>
      </c>
      <c r="J6267" t="str">
        <f>IFERROR(__xludf.DUMMYFUNCTION("IFS(
  AND(REGEXMATCH(E6267, ""台銀籌備帳戶|玉山帳戶""), REGEXMATCH(C6267, ""薪資"")), ""分潤支出"",
  AND(REGEXMATCH(E6267, ""Ben帳戶|Elsa帳戶|Ben代墊|Ariel代墊|中信銀行共用""), REGEXMATCH(F6267, ""Ben帳戶|Elsa帳戶|Ben代墊|Ariel代墊|中信銀行共用"")), ""內部轉帳(忽略)"",
  AND(E6267&lt;&gt;"""", F6267&lt;&gt;"""", N"&amp;"OT(REGEXMATCH(C6267, ""薪資""))), ""內部轉帳(忽略)"",
  REGEXMATCH(C6267, ""薪資""), ""薪資變動(不計入)"",
  REGEXMATCH(C6267, ""押金""), ""押金往來"",
  AND(E6267&lt;&gt;"""", F6267=""""), ""真實支出"",
  AND(E6267="""", F6267&lt;&gt;""""), ""真實收入"",
  TRUE, ""其他""
)"),"其他")</f>
        <v>其他</v>
      </c>
      <c r="K6267" s="270" t="str">
        <f t="shared" si="2"/>
        <v/>
      </c>
      <c r="L6267">
        <f t="shared" si="3"/>
        <v>0</v>
      </c>
    </row>
    <row r="6268">
      <c r="A6268" s="107"/>
      <c r="D6268" s="270"/>
      <c r="H6268" s="106" t="str">
        <f t="shared" si="1"/>
        <v/>
      </c>
      <c r="J6268" t="str">
        <f>IFERROR(__xludf.DUMMYFUNCTION("IFS(
  AND(REGEXMATCH(E6268, ""台銀籌備帳戶|玉山帳戶""), REGEXMATCH(C6268, ""薪資"")), ""分潤支出"",
  AND(REGEXMATCH(E6268, ""Ben帳戶|Elsa帳戶|Ben代墊|Ariel代墊|中信銀行共用""), REGEXMATCH(F6268, ""Ben帳戶|Elsa帳戶|Ben代墊|Ariel代墊|中信銀行共用"")), ""內部轉帳(忽略)"",
  AND(E6268&lt;&gt;"""", F6268&lt;&gt;"""", N"&amp;"OT(REGEXMATCH(C6268, ""薪資""))), ""內部轉帳(忽略)"",
  REGEXMATCH(C6268, ""薪資""), ""薪資變動(不計入)"",
  REGEXMATCH(C6268, ""押金""), ""押金往來"",
  AND(E6268&lt;&gt;"""", F6268=""""), ""真實支出"",
  AND(E6268="""", F6268&lt;&gt;""""), ""真實收入"",
  TRUE, ""其他""
)"),"其他")</f>
        <v>其他</v>
      </c>
      <c r="K6268" s="270" t="str">
        <f t="shared" si="2"/>
        <v/>
      </c>
      <c r="L6268">
        <f t="shared" si="3"/>
        <v>0</v>
      </c>
    </row>
    <row r="6269">
      <c r="A6269" s="107"/>
      <c r="D6269" s="270"/>
      <c r="H6269" s="106" t="str">
        <f t="shared" si="1"/>
        <v/>
      </c>
      <c r="J6269" t="str">
        <f>IFERROR(__xludf.DUMMYFUNCTION("IFS(
  AND(REGEXMATCH(E6269, ""台銀籌備帳戶|玉山帳戶""), REGEXMATCH(C6269, ""薪資"")), ""分潤支出"",
  AND(REGEXMATCH(E6269, ""Ben帳戶|Elsa帳戶|Ben代墊|Ariel代墊|中信銀行共用""), REGEXMATCH(F6269, ""Ben帳戶|Elsa帳戶|Ben代墊|Ariel代墊|中信銀行共用"")), ""內部轉帳(忽略)"",
  AND(E6269&lt;&gt;"""", F6269&lt;&gt;"""", N"&amp;"OT(REGEXMATCH(C6269, ""薪資""))), ""內部轉帳(忽略)"",
  REGEXMATCH(C6269, ""薪資""), ""薪資變動(不計入)"",
  REGEXMATCH(C6269, ""押金""), ""押金往來"",
  AND(E6269&lt;&gt;"""", F6269=""""), ""真實支出"",
  AND(E6269="""", F6269&lt;&gt;""""), ""真實收入"",
  TRUE, ""其他""
)"),"其他")</f>
        <v>其他</v>
      </c>
      <c r="K6269" s="270" t="str">
        <f t="shared" si="2"/>
        <v/>
      </c>
      <c r="L6269">
        <f t="shared" si="3"/>
        <v>0</v>
      </c>
    </row>
    <row r="6270">
      <c r="A6270" s="107"/>
      <c r="D6270" s="270"/>
      <c r="H6270" s="106" t="str">
        <f t="shared" si="1"/>
        <v/>
      </c>
      <c r="J6270" t="str">
        <f>IFERROR(__xludf.DUMMYFUNCTION("IFS(
  AND(REGEXMATCH(E6270, ""台銀籌備帳戶|玉山帳戶""), REGEXMATCH(C6270, ""薪資"")), ""分潤支出"",
  AND(REGEXMATCH(E6270, ""Ben帳戶|Elsa帳戶|Ben代墊|Ariel代墊|中信銀行共用""), REGEXMATCH(F6270, ""Ben帳戶|Elsa帳戶|Ben代墊|Ariel代墊|中信銀行共用"")), ""內部轉帳(忽略)"",
  AND(E6270&lt;&gt;"""", F6270&lt;&gt;"""", N"&amp;"OT(REGEXMATCH(C6270, ""薪資""))), ""內部轉帳(忽略)"",
  REGEXMATCH(C6270, ""薪資""), ""薪資變動(不計入)"",
  REGEXMATCH(C6270, ""押金""), ""押金往來"",
  AND(E6270&lt;&gt;"""", F6270=""""), ""真實支出"",
  AND(E6270="""", F6270&lt;&gt;""""), ""真實收入"",
  TRUE, ""其他""
)"),"其他")</f>
        <v>其他</v>
      </c>
      <c r="K6270" s="270" t="str">
        <f t="shared" si="2"/>
        <v/>
      </c>
      <c r="L6270">
        <f t="shared" si="3"/>
        <v>0</v>
      </c>
    </row>
    <row r="6271">
      <c r="A6271" s="107"/>
      <c r="D6271" s="270"/>
      <c r="H6271" s="106" t="str">
        <f t="shared" si="1"/>
        <v/>
      </c>
      <c r="J6271" t="str">
        <f>IFERROR(__xludf.DUMMYFUNCTION("IFS(
  AND(REGEXMATCH(E6271, ""台銀籌備帳戶|玉山帳戶""), REGEXMATCH(C6271, ""薪資"")), ""分潤支出"",
  AND(REGEXMATCH(E6271, ""Ben帳戶|Elsa帳戶|Ben代墊|Ariel代墊|中信銀行共用""), REGEXMATCH(F6271, ""Ben帳戶|Elsa帳戶|Ben代墊|Ariel代墊|中信銀行共用"")), ""內部轉帳(忽略)"",
  AND(E6271&lt;&gt;"""", F6271&lt;&gt;"""", N"&amp;"OT(REGEXMATCH(C6271, ""薪資""))), ""內部轉帳(忽略)"",
  REGEXMATCH(C6271, ""薪資""), ""薪資變動(不計入)"",
  REGEXMATCH(C6271, ""押金""), ""押金往來"",
  AND(E6271&lt;&gt;"""", F6271=""""), ""真實支出"",
  AND(E6271="""", F6271&lt;&gt;""""), ""真實收入"",
  TRUE, ""其他""
)"),"其他")</f>
        <v>其他</v>
      </c>
      <c r="K6271" s="270" t="str">
        <f t="shared" si="2"/>
        <v/>
      </c>
      <c r="L6271">
        <f t="shared" si="3"/>
        <v>0</v>
      </c>
    </row>
    <row r="6272">
      <c r="A6272" s="107"/>
      <c r="D6272" s="270"/>
      <c r="H6272" s="106" t="str">
        <f t="shared" si="1"/>
        <v/>
      </c>
      <c r="J6272" t="str">
        <f>IFERROR(__xludf.DUMMYFUNCTION("IFS(
  AND(REGEXMATCH(E6272, ""台銀籌備帳戶|玉山帳戶""), REGEXMATCH(C6272, ""薪資"")), ""分潤支出"",
  AND(REGEXMATCH(E6272, ""Ben帳戶|Elsa帳戶|Ben代墊|Ariel代墊|中信銀行共用""), REGEXMATCH(F6272, ""Ben帳戶|Elsa帳戶|Ben代墊|Ariel代墊|中信銀行共用"")), ""內部轉帳(忽略)"",
  AND(E6272&lt;&gt;"""", F6272&lt;&gt;"""", N"&amp;"OT(REGEXMATCH(C6272, ""薪資""))), ""內部轉帳(忽略)"",
  REGEXMATCH(C6272, ""薪資""), ""薪資變動(不計入)"",
  REGEXMATCH(C6272, ""押金""), ""押金往來"",
  AND(E6272&lt;&gt;"""", F6272=""""), ""真實支出"",
  AND(E6272="""", F6272&lt;&gt;""""), ""真實收入"",
  TRUE, ""其他""
)"),"其他")</f>
        <v>其他</v>
      </c>
      <c r="K6272" s="270" t="str">
        <f t="shared" si="2"/>
        <v/>
      </c>
      <c r="L6272">
        <f t="shared" si="3"/>
        <v>0</v>
      </c>
    </row>
    <row r="6273">
      <c r="A6273" s="107"/>
      <c r="D6273" s="270"/>
      <c r="H6273" s="106" t="str">
        <f t="shared" si="1"/>
        <v/>
      </c>
      <c r="J6273" t="str">
        <f>IFERROR(__xludf.DUMMYFUNCTION("IFS(
  AND(REGEXMATCH(E6273, ""台銀籌備帳戶|玉山帳戶""), REGEXMATCH(C6273, ""薪資"")), ""分潤支出"",
  AND(REGEXMATCH(E6273, ""Ben帳戶|Elsa帳戶|Ben代墊|Ariel代墊|中信銀行共用""), REGEXMATCH(F6273, ""Ben帳戶|Elsa帳戶|Ben代墊|Ariel代墊|中信銀行共用"")), ""內部轉帳(忽略)"",
  AND(E6273&lt;&gt;"""", F6273&lt;&gt;"""", N"&amp;"OT(REGEXMATCH(C6273, ""薪資""))), ""內部轉帳(忽略)"",
  REGEXMATCH(C6273, ""薪資""), ""薪資變動(不計入)"",
  REGEXMATCH(C6273, ""押金""), ""押金往來"",
  AND(E6273&lt;&gt;"""", F6273=""""), ""真實支出"",
  AND(E6273="""", F6273&lt;&gt;""""), ""真實收入"",
  TRUE, ""其他""
)"),"其他")</f>
        <v>其他</v>
      </c>
      <c r="K6273" s="270" t="str">
        <f t="shared" si="2"/>
        <v/>
      </c>
      <c r="L6273">
        <f t="shared" si="3"/>
        <v>0</v>
      </c>
    </row>
    <row r="6274">
      <c r="A6274" s="107"/>
      <c r="D6274" s="270"/>
      <c r="H6274" s="106" t="str">
        <f t="shared" si="1"/>
        <v/>
      </c>
      <c r="J6274" t="str">
        <f>IFERROR(__xludf.DUMMYFUNCTION("IFS(
  AND(REGEXMATCH(E6274, ""台銀籌備帳戶|玉山帳戶""), REGEXMATCH(C6274, ""薪資"")), ""分潤支出"",
  AND(REGEXMATCH(E6274, ""Ben帳戶|Elsa帳戶|Ben代墊|Ariel代墊|中信銀行共用""), REGEXMATCH(F6274, ""Ben帳戶|Elsa帳戶|Ben代墊|Ariel代墊|中信銀行共用"")), ""內部轉帳(忽略)"",
  AND(E6274&lt;&gt;"""", F6274&lt;&gt;"""", N"&amp;"OT(REGEXMATCH(C6274, ""薪資""))), ""內部轉帳(忽略)"",
  REGEXMATCH(C6274, ""薪資""), ""薪資變動(不計入)"",
  REGEXMATCH(C6274, ""押金""), ""押金往來"",
  AND(E6274&lt;&gt;"""", F6274=""""), ""真實支出"",
  AND(E6274="""", F6274&lt;&gt;""""), ""真實收入"",
  TRUE, ""其他""
)"),"其他")</f>
        <v>其他</v>
      </c>
      <c r="K6274" s="270" t="str">
        <f t="shared" si="2"/>
        <v/>
      </c>
      <c r="L6274">
        <f t="shared" si="3"/>
        <v>0</v>
      </c>
    </row>
    <row r="6275">
      <c r="A6275" s="107"/>
      <c r="D6275" s="270"/>
      <c r="H6275" s="106" t="str">
        <f t="shared" si="1"/>
        <v/>
      </c>
      <c r="J6275" t="str">
        <f>IFERROR(__xludf.DUMMYFUNCTION("IFS(
  AND(REGEXMATCH(E6275, ""台銀籌備帳戶|玉山帳戶""), REGEXMATCH(C6275, ""薪資"")), ""分潤支出"",
  AND(REGEXMATCH(E6275, ""Ben帳戶|Elsa帳戶|Ben代墊|Ariel代墊|中信銀行共用""), REGEXMATCH(F6275, ""Ben帳戶|Elsa帳戶|Ben代墊|Ariel代墊|中信銀行共用"")), ""內部轉帳(忽略)"",
  AND(E6275&lt;&gt;"""", F6275&lt;&gt;"""", N"&amp;"OT(REGEXMATCH(C6275, ""薪資""))), ""內部轉帳(忽略)"",
  REGEXMATCH(C6275, ""薪資""), ""薪資變動(不計入)"",
  REGEXMATCH(C6275, ""押金""), ""押金往來"",
  AND(E6275&lt;&gt;"""", F6275=""""), ""真實支出"",
  AND(E6275="""", F6275&lt;&gt;""""), ""真實收入"",
  TRUE, ""其他""
)"),"其他")</f>
        <v>其他</v>
      </c>
      <c r="K6275" s="270" t="str">
        <f t="shared" si="2"/>
        <v/>
      </c>
      <c r="L6275">
        <f t="shared" si="3"/>
        <v>0</v>
      </c>
    </row>
    <row r="6276">
      <c r="A6276" s="107"/>
      <c r="D6276" s="270"/>
      <c r="H6276" s="106" t="str">
        <f t="shared" si="1"/>
        <v/>
      </c>
      <c r="J6276" t="str">
        <f>IFERROR(__xludf.DUMMYFUNCTION("IFS(
  AND(REGEXMATCH(E6276, ""台銀籌備帳戶|玉山帳戶""), REGEXMATCH(C6276, ""薪資"")), ""分潤支出"",
  AND(REGEXMATCH(E6276, ""Ben帳戶|Elsa帳戶|Ben代墊|Ariel代墊|中信銀行共用""), REGEXMATCH(F6276, ""Ben帳戶|Elsa帳戶|Ben代墊|Ariel代墊|中信銀行共用"")), ""內部轉帳(忽略)"",
  AND(E6276&lt;&gt;"""", F6276&lt;&gt;"""", N"&amp;"OT(REGEXMATCH(C6276, ""薪資""))), ""內部轉帳(忽略)"",
  REGEXMATCH(C6276, ""薪資""), ""薪資變動(不計入)"",
  REGEXMATCH(C6276, ""押金""), ""押金往來"",
  AND(E6276&lt;&gt;"""", F6276=""""), ""真實支出"",
  AND(E6276="""", F6276&lt;&gt;""""), ""真實收入"",
  TRUE, ""其他""
)"),"其他")</f>
        <v>其他</v>
      </c>
      <c r="K6276" s="270" t="str">
        <f t="shared" si="2"/>
        <v/>
      </c>
      <c r="L6276">
        <f t="shared" si="3"/>
        <v>0</v>
      </c>
    </row>
    <row r="6277">
      <c r="A6277" s="107"/>
      <c r="D6277" s="270"/>
      <c r="H6277" s="106" t="str">
        <f t="shared" si="1"/>
        <v/>
      </c>
      <c r="J6277" t="str">
        <f>IFERROR(__xludf.DUMMYFUNCTION("IFS(
  AND(REGEXMATCH(E6277, ""台銀籌備帳戶|玉山帳戶""), REGEXMATCH(C6277, ""薪資"")), ""分潤支出"",
  AND(REGEXMATCH(E6277, ""Ben帳戶|Elsa帳戶|Ben代墊|Ariel代墊|中信銀行共用""), REGEXMATCH(F6277, ""Ben帳戶|Elsa帳戶|Ben代墊|Ariel代墊|中信銀行共用"")), ""內部轉帳(忽略)"",
  AND(E6277&lt;&gt;"""", F6277&lt;&gt;"""", N"&amp;"OT(REGEXMATCH(C6277, ""薪資""))), ""內部轉帳(忽略)"",
  REGEXMATCH(C6277, ""薪資""), ""薪資變動(不計入)"",
  REGEXMATCH(C6277, ""押金""), ""押金往來"",
  AND(E6277&lt;&gt;"""", F6277=""""), ""真實支出"",
  AND(E6277="""", F6277&lt;&gt;""""), ""真實收入"",
  TRUE, ""其他""
)"),"其他")</f>
        <v>其他</v>
      </c>
      <c r="K6277" s="270" t="str">
        <f t="shared" si="2"/>
        <v/>
      </c>
      <c r="L6277">
        <f t="shared" si="3"/>
        <v>0</v>
      </c>
    </row>
    <row r="6278">
      <c r="A6278" s="107"/>
      <c r="D6278" s="270"/>
      <c r="H6278" s="106" t="str">
        <f t="shared" si="1"/>
        <v/>
      </c>
      <c r="J6278" t="str">
        <f>IFERROR(__xludf.DUMMYFUNCTION("IFS(
  AND(REGEXMATCH(E6278, ""台銀籌備帳戶|玉山帳戶""), REGEXMATCH(C6278, ""薪資"")), ""分潤支出"",
  AND(REGEXMATCH(E6278, ""Ben帳戶|Elsa帳戶|Ben代墊|Ariel代墊|中信銀行共用""), REGEXMATCH(F6278, ""Ben帳戶|Elsa帳戶|Ben代墊|Ariel代墊|中信銀行共用"")), ""內部轉帳(忽略)"",
  AND(E6278&lt;&gt;"""", F6278&lt;&gt;"""", N"&amp;"OT(REGEXMATCH(C6278, ""薪資""))), ""內部轉帳(忽略)"",
  REGEXMATCH(C6278, ""薪資""), ""薪資變動(不計入)"",
  REGEXMATCH(C6278, ""押金""), ""押金往來"",
  AND(E6278&lt;&gt;"""", F6278=""""), ""真實支出"",
  AND(E6278="""", F6278&lt;&gt;""""), ""真實收入"",
  TRUE, ""其他""
)"),"其他")</f>
        <v>其他</v>
      </c>
      <c r="K6278" s="270" t="str">
        <f t="shared" si="2"/>
        <v/>
      </c>
      <c r="L6278">
        <f t="shared" si="3"/>
        <v>0</v>
      </c>
    </row>
    <row r="6279">
      <c r="A6279" s="107"/>
      <c r="D6279" s="270"/>
      <c r="H6279" s="106" t="str">
        <f t="shared" si="1"/>
        <v/>
      </c>
      <c r="J6279" t="str">
        <f>IFERROR(__xludf.DUMMYFUNCTION("IFS(
  AND(REGEXMATCH(E6279, ""台銀籌備帳戶|玉山帳戶""), REGEXMATCH(C6279, ""薪資"")), ""分潤支出"",
  AND(REGEXMATCH(E6279, ""Ben帳戶|Elsa帳戶|Ben代墊|Ariel代墊|中信銀行共用""), REGEXMATCH(F6279, ""Ben帳戶|Elsa帳戶|Ben代墊|Ariel代墊|中信銀行共用"")), ""內部轉帳(忽略)"",
  AND(E6279&lt;&gt;"""", F6279&lt;&gt;"""", N"&amp;"OT(REGEXMATCH(C6279, ""薪資""))), ""內部轉帳(忽略)"",
  REGEXMATCH(C6279, ""薪資""), ""薪資變動(不計入)"",
  REGEXMATCH(C6279, ""押金""), ""押金往來"",
  AND(E6279&lt;&gt;"""", F6279=""""), ""真實支出"",
  AND(E6279="""", F6279&lt;&gt;""""), ""真實收入"",
  TRUE, ""其他""
)"),"其他")</f>
        <v>其他</v>
      </c>
      <c r="K6279" s="270" t="str">
        <f t="shared" si="2"/>
        <v/>
      </c>
      <c r="L6279">
        <f t="shared" si="3"/>
        <v>0</v>
      </c>
    </row>
    <row r="6280">
      <c r="A6280" s="107"/>
      <c r="D6280" s="270"/>
      <c r="H6280" s="106" t="str">
        <f t="shared" si="1"/>
        <v/>
      </c>
      <c r="J6280" t="str">
        <f>IFERROR(__xludf.DUMMYFUNCTION("IFS(
  AND(REGEXMATCH(E6280, ""台銀籌備帳戶|玉山帳戶""), REGEXMATCH(C6280, ""薪資"")), ""分潤支出"",
  AND(REGEXMATCH(E6280, ""Ben帳戶|Elsa帳戶|Ben代墊|Ariel代墊|中信銀行共用""), REGEXMATCH(F6280, ""Ben帳戶|Elsa帳戶|Ben代墊|Ariel代墊|中信銀行共用"")), ""內部轉帳(忽略)"",
  AND(E6280&lt;&gt;"""", F6280&lt;&gt;"""", N"&amp;"OT(REGEXMATCH(C6280, ""薪資""))), ""內部轉帳(忽略)"",
  REGEXMATCH(C6280, ""薪資""), ""薪資變動(不計入)"",
  REGEXMATCH(C6280, ""押金""), ""押金往來"",
  AND(E6280&lt;&gt;"""", F6280=""""), ""真實支出"",
  AND(E6280="""", F6280&lt;&gt;""""), ""真實收入"",
  TRUE, ""其他""
)"),"其他")</f>
        <v>其他</v>
      </c>
      <c r="K6280" s="270" t="str">
        <f t="shared" si="2"/>
        <v/>
      </c>
      <c r="L6280">
        <f t="shared" si="3"/>
        <v>0</v>
      </c>
    </row>
    <row r="6281">
      <c r="A6281" s="107"/>
      <c r="D6281" s="270"/>
      <c r="H6281" s="106" t="str">
        <f t="shared" si="1"/>
        <v/>
      </c>
      <c r="J6281" t="str">
        <f>IFERROR(__xludf.DUMMYFUNCTION("IFS(
  AND(REGEXMATCH(E6281, ""台銀籌備帳戶|玉山帳戶""), REGEXMATCH(C6281, ""薪資"")), ""分潤支出"",
  AND(REGEXMATCH(E6281, ""Ben帳戶|Elsa帳戶|Ben代墊|Ariel代墊|中信銀行共用""), REGEXMATCH(F6281, ""Ben帳戶|Elsa帳戶|Ben代墊|Ariel代墊|中信銀行共用"")), ""內部轉帳(忽略)"",
  AND(E6281&lt;&gt;"""", F6281&lt;&gt;"""", N"&amp;"OT(REGEXMATCH(C6281, ""薪資""))), ""內部轉帳(忽略)"",
  REGEXMATCH(C6281, ""薪資""), ""薪資變動(不計入)"",
  REGEXMATCH(C6281, ""押金""), ""押金往來"",
  AND(E6281&lt;&gt;"""", F6281=""""), ""真實支出"",
  AND(E6281="""", F6281&lt;&gt;""""), ""真實收入"",
  TRUE, ""其他""
)"),"其他")</f>
        <v>其他</v>
      </c>
      <c r="K6281" s="270" t="str">
        <f t="shared" si="2"/>
        <v/>
      </c>
      <c r="L6281">
        <f t="shared" si="3"/>
        <v>0</v>
      </c>
    </row>
    <row r="6282">
      <c r="A6282" s="107"/>
      <c r="D6282" s="270"/>
      <c r="H6282" s="106" t="str">
        <f t="shared" si="1"/>
        <v/>
      </c>
      <c r="J6282" t="str">
        <f>IFERROR(__xludf.DUMMYFUNCTION("IFS(
  AND(REGEXMATCH(E6282, ""台銀籌備帳戶|玉山帳戶""), REGEXMATCH(C6282, ""薪資"")), ""分潤支出"",
  AND(REGEXMATCH(E6282, ""Ben帳戶|Elsa帳戶|Ben代墊|Ariel代墊|中信銀行共用""), REGEXMATCH(F6282, ""Ben帳戶|Elsa帳戶|Ben代墊|Ariel代墊|中信銀行共用"")), ""內部轉帳(忽略)"",
  AND(E6282&lt;&gt;"""", F6282&lt;&gt;"""", N"&amp;"OT(REGEXMATCH(C6282, ""薪資""))), ""內部轉帳(忽略)"",
  REGEXMATCH(C6282, ""薪資""), ""薪資變動(不計入)"",
  REGEXMATCH(C6282, ""押金""), ""押金往來"",
  AND(E6282&lt;&gt;"""", F6282=""""), ""真實支出"",
  AND(E6282="""", F6282&lt;&gt;""""), ""真實收入"",
  TRUE, ""其他""
)"),"其他")</f>
        <v>其他</v>
      </c>
      <c r="K6282" s="270" t="str">
        <f t="shared" si="2"/>
        <v/>
      </c>
      <c r="L6282">
        <f t="shared" si="3"/>
        <v>0</v>
      </c>
    </row>
    <row r="6283">
      <c r="A6283" s="107"/>
      <c r="D6283" s="270"/>
      <c r="H6283" s="106" t="str">
        <f t="shared" si="1"/>
        <v/>
      </c>
      <c r="J6283" t="str">
        <f>IFERROR(__xludf.DUMMYFUNCTION("IFS(
  AND(REGEXMATCH(E6283, ""台銀籌備帳戶|玉山帳戶""), REGEXMATCH(C6283, ""薪資"")), ""分潤支出"",
  AND(REGEXMATCH(E6283, ""Ben帳戶|Elsa帳戶|Ben代墊|Ariel代墊|中信銀行共用""), REGEXMATCH(F6283, ""Ben帳戶|Elsa帳戶|Ben代墊|Ariel代墊|中信銀行共用"")), ""內部轉帳(忽略)"",
  AND(E6283&lt;&gt;"""", F6283&lt;&gt;"""", N"&amp;"OT(REGEXMATCH(C6283, ""薪資""))), ""內部轉帳(忽略)"",
  REGEXMATCH(C6283, ""薪資""), ""薪資變動(不計入)"",
  REGEXMATCH(C6283, ""押金""), ""押金往來"",
  AND(E6283&lt;&gt;"""", F6283=""""), ""真實支出"",
  AND(E6283="""", F6283&lt;&gt;""""), ""真實收入"",
  TRUE, ""其他""
)"),"其他")</f>
        <v>其他</v>
      </c>
      <c r="K6283" s="270" t="str">
        <f t="shared" si="2"/>
        <v/>
      </c>
      <c r="L6283">
        <f t="shared" si="3"/>
        <v>0</v>
      </c>
    </row>
    <row r="6284">
      <c r="A6284" s="107"/>
      <c r="D6284" s="270"/>
      <c r="H6284" s="106" t="str">
        <f t="shared" si="1"/>
        <v/>
      </c>
      <c r="J6284" t="str">
        <f>IFERROR(__xludf.DUMMYFUNCTION("IFS(
  AND(REGEXMATCH(E6284, ""台銀籌備帳戶|玉山帳戶""), REGEXMATCH(C6284, ""薪資"")), ""分潤支出"",
  AND(REGEXMATCH(E6284, ""Ben帳戶|Elsa帳戶|Ben代墊|Ariel代墊|中信銀行共用""), REGEXMATCH(F6284, ""Ben帳戶|Elsa帳戶|Ben代墊|Ariel代墊|中信銀行共用"")), ""內部轉帳(忽略)"",
  AND(E6284&lt;&gt;"""", F6284&lt;&gt;"""", N"&amp;"OT(REGEXMATCH(C6284, ""薪資""))), ""內部轉帳(忽略)"",
  REGEXMATCH(C6284, ""薪資""), ""薪資變動(不計入)"",
  REGEXMATCH(C6284, ""押金""), ""押金往來"",
  AND(E6284&lt;&gt;"""", F6284=""""), ""真實支出"",
  AND(E6284="""", F6284&lt;&gt;""""), ""真實收入"",
  TRUE, ""其他""
)"),"其他")</f>
        <v>其他</v>
      </c>
      <c r="K6284" s="270" t="str">
        <f t="shared" si="2"/>
        <v/>
      </c>
      <c r="L6284">
        <f t="shared" si="3"/>
        <v>0</v>
      </c>
    </row>
    <row r="6285">
      <c r="A6285" s="107"/>
      <c r="D6285" s="270"/>
      <c r="H6285" s="106" t="str">
        <f t="shared" si="1"/>
        <v/>
      </c>
      <c r="J6285" t="str">
        <f>IFERROR(__xludf.DUMMYFUNCTION("IFS(
  AND(REGEXMATCH(E6285, ""台銀籌備帳戶|玉山帳戶""), REGEXMATCH(C6285, ""薪資"")), ""分潤支出"",
  AND(REGEXMATCH(E6285, ""Ben帳戶|Elsa帳戶|Ben代墊|Ariel代墊|中信銀行共用""), REGEXMATCH(F6285, ""Ben帳戶|Elsa帳戶|Ben代墊|Ariel代墊|中信銀行共用"")), ""內部轉帳(忽略)"",
  AND(E6285&lt;&gt;"""", F6285&lt;&gt;"""", N"&amp;"OT(REGEXMATCH(C6285, ""薪資""))), ""內部轉帳(忽略)"",
  REGEXMATCH(C6285, ""薪資""), ""薪資變動(不計入)"",
  REGEXMATCH(C6285, ""押金""), ""押金往來"",
  AND(E6285&lt;&gt;"""", F6285=""""), ""真實支出"",
  AND(E6285="""", F6285&lt;&gt;""""), ""真實收入"",
  TRUE, ""其他""
)"),"其他")</f>
        <v>其他</v>
      </c>
      <c r="K6285" s="270" t="str">
        <f t="shared" si="2"/>
        <v/>
      </c>
      <c r="L6285">
        <f t="shared" si="3"/>
        <v>0</v>
      </c>
    </row>
    <row r="6286">
      <c r="A6286" s="107"/>
      <c r="D6286" s="270"/>
      <c r="H6286" s="106" t="str">
        <f t="shared" si="1"/>
        <v/>
      </c>
      <c r="J6286" t="str">
        <f>IFERROR(__xludf.DUMMYFUNCTION("IFS(
  AND(REGEXMATCH(E6286, ""台銀籌備帳戶|玉山帳戶""), REGEXMATCH(C6286, ""薪資"")), ""分潤支出"",
  AND(REGEXMATCH(E6286, ""Ben帳戶|Elsa帳戶|Ben代墊|Ariel代墊|中信銀行共用""), REGEXMATCH(F6286, ""Ben帳戶|Elsa帳戶|Ben代墊|Ariel代墊|中信銀行共用"")), ""內部轉帳(忽略)"",
  AND(E6286&lt;&gt;"""", F6286&lt;&gt;"""", N"&amp;"OT(REGEXMATCH(C6286, ""薪資""))), ""內部轉帳(忽略)"",
  REGEXMATCH(C6286, ""薪資""), ""薪資變動(不計入)"",
  REGEXMATCH(C6286, ""押金""), ""押金往來"",
  AND(E6286&lt;&gt;"""", F6286=""""), ""真實支出"",
  AND(E6286="""", F6286&lt;&gt;""""), ""真實收入"",
  TRUE, ""其他""
)"),"其他")</f>
        <v>其他</v>
      </c>
      <c r="K6286" s="270" t="str">
        <f t="shared" si="2"/>
        <v/>
      </c>
      <c r="L6286">
        <f t="shared" si="3"/>
        <v>0</v>
      </c>
    </row>
    <row r="6287">
      <c r="A6287" s="107"/>
      <c r="D6287" s="270"/>
      <c r="H6287" s="106" t="str">
        <f t="shared" si="1"/>
        <v/>
      </c>
      <c r="J6287" t="str">
        <f>IFERROR(__xludf.DUMMYFUNCTION("IFS(
  AND(REGEXMATCH(E6287, ""台銀籌備帳戶|玉山帳戶""), REGEXMATCH(C6287, ""薪資"")), ""分潤支出"",
  AND(REGEXMATCH(E6287, ""Ben帳戶|Elsa帳戶|Ben代墊|Ariel代墊|中信銀行共用""), REGEXMATCH(F6287, ""Ben帳戶|Elsa帳戶|Ben代墊|Ariel代墊|中信銀行共用"")), ""內部轉帳(忽略)"",
  AND(E6287&lt;&gt;"""", F6287&lt;&gt;"""", N"&amp;"OT(REGEXMATCH(C6287, ""薪資""))), ""內部轉帳(忽略)"",
  REGEXMATCH(C6287, ""薪資""), ""薪資變動(不計入)"",
  REGEXMATCH(C6287, ""押金""), ""押金往來"",
  AND(E6287&lt;&gt;"""", F6287=""""), ""真實支出"",
  AND(E6287="""", F6287&lt;&gt;""""), ""真實收入"",
  TRUE, ""其他""
)"),"其他")</f>
        <v>其他</v>
      </c>
      <c r="K6287" s="270" t="str">
        <f t="shared" si="2"/>
        <v/>
      </c>
      <c r="L6287">
        <f t="shared" si="3"/>
        <v>0</v>
      </c>
    </row>
    <row r="6288">
      <c r="A6288" s="107"/>
      <c r="D6288" s="270"/>
      <c r="H6288" s="106" t="str">
        <f t="shared" si="1"/>
        <v/>
      </c>
      <c r="J6288" t="str">
        <f>IFERROR(__xludf.DUMMYFUNCTION("IFS(
  AND(REGEXMATCH(E6288, ""台銀籌備帳戶|玉山帳戶""), REGEXMATCH(C6288, ""薪資"")), ""分潤支出"",
  AND(REGEXMATCH(E6288, ""Ben帳戶|Elsa帳戶|Ben代墊|Ariel代墊|中信銀行共用""), REGEXMATCH(F6288, ""Ben帳戶|Elsa帳戶|Ben代墊|Ariel代墊|中信銀行共用"")), ""內部轉帳(忽略)"",
  AND(E6288&lt;&gt;"""", F6288&lt;&gt;"""", N"&amp;"OT(REGEXMATCH(C6288, ""薪資""))), ""內部轉帳(忽略)"",
  REGEXMATCH(C6288, ""薪資""), ""薪資變動(不計入)"",
  REGEXMATCH(C6288, ""押金""), ""押金往來"",
  AND(E6288&lt;&gt;"""", F6288=""""), ""真實支出"",
  AND(E6288="""", F6288&lt;&gt;""""), ""真實收入"",
  TRUE, ""其他""
)"),"其他")</f>
        <v>其他</v>
      </c>
      <c r="K6288" s="270" t="str">
        <f t="shared" si="2"/>
        <v/>
      </c>
      <c r="L6288">
        <f t="shared" si="3"/>
        <v>0</v>
      </c>
    </row>
    <row r="6289">
      <c r="A6289" s="107"/>
      <c r="D6289" s="270"/>
      <c r="H6289" s="106" t="str">
        <f t="shared" si="1"/>
        <v/>
      </c>
      <c r="J6289" t="str">
        <f>IFERROR(__xludf.DUMMYFUNCTION("IFS(
  AND(REGEXMATCH(E6289, ""台銀籌備帳戶|玉山帳戶""), REGEXMATCH(C6289, ""薪資"")), ""分潤支出"",
  AND(REGEXMATCH(E6289, ""Ben帳戶|Elsa帳戶|Ben代墊|Ariel代墊|中信銀行共用""), REGEXMATCH(F6289, ""Ben帳戶|Elsa帳戶|Ben代墊|Ariel代墊|中信銀行共用"")), ""內部轉帳(忽略)"",
  AND(E6289&lt;&gt;"""", F6289&lt;&gt;"""", N"&amp;"OT(REGEXMATCH(C6289, ""薪資""))), ""內部轉帳(忽略)"",
  REGEXMATCH(C6289, ""薪資""), ""薪資變動(不計入)"",
  REGEXMATCH(C6289, ""押金""), ""押金往來"",
  AND(E6289&lt;&gt;"""", F6289=""""), ""真實支出"",
  AND(E6289="""", F6289&lt;&gt;""""), ""真實收入"",
  TRUE, ""其他""
)"),"其他")</f>
        <v>其他</v>
      </c>
      <c r="K6289" s="270" t="str">
        <f t="shared" si="2"/>
        <v/>
      </c>
      <c r="L6289">
        <f t="shared" si="3"/>
        <v>0</v>
      </c>
    </row>
    <row r="6290">
      <c r="A6290" s="107"/>
      <c r="D6290" s="270"/>
      <c r="H6290" s="106" t="str">
        <f t="shared" si="1"/>
        <v/>
      </c>
      <c r="J6290" t="str">
        <f>IFERROR(__xludf.DUMMYFUNCTION("IFS(
  AND(REGEXMATCH(E6290, ""台銀籌備帳戶|玉山帳戶""), REGEXMATCH(C6290, ""薪資"")), ""分潤支出"",
  AND(REGEXMATCH(E6290, ""Ben帳戶|Elsa帳戶|Ben代墊|Ariel代墊|中信銀行共用""), REGEXMATCH(F6290, ""Ben帳戶|Elsa帳戶|Ben代墊|Ariel代墊|中信銀行共用"")), ""內部轉帳(忽略)"",
  AND(E6290&lt;&gt;"""", F6290&lt;&gt;"""", N"&amp;"OT(REGEXMATCH(C6290, ""薪資""))), ""內部轉帳(忽略)"",
  REGEXMATCH(C6290, ""薪資""), ""薪資變動(不計入)"",
  REGEXMATCH(C6290, ""押金""), ""押金往來"",
  AND(E6290&lt;&gt;"""", F6290=""""), ""真實支出"",
  AND(E6290="""", F6290&lt;&gt;""""), ""真實收入"",
  TRUE, ""其他""
)"),"其他")</f>
        <v>其他</v>
      </c>
      <c r="K6290" s="270" t="str">
        <f t="shared" si="2"/>
        <v/>
      </c>
      <c r="L6290">
        <f t="shared" si="3"/>
        <v>0</v>
      </c>
    </row>
    <row r="6291">
      <c r="A6291" s="107"/>
      <c r="D6291" s="270"/>
      <c r="H6291" s="106" t="str">
        <f t="shared" si="1"/>
        <v/>
      </c>
      <c r="J6291" t="str">
        <f>IFERROR(__xludf.DUMMYFUNCTION("IFS(
  AND(REGEXMATCH(E6291, ""台銀籌備帳戶|玉山帳戶""), REGEXMATCH(C6291, ""薪資"")), ""分潤支出"",
  AND(REGEXMATCH(E6291, ""Ben帳戶|Elsa帳戶|Ben代墊|Ariel代墊|中信銀行共用""), REGEXMATCH(F6291, ""Ben帳戶|Elsa帳戶|Ben代墊|Ariel代墊|中信銀行共用"")), ""內部轉帳(忽略)"",
  AND(E6291&lt;&gt;"""", F6291&lt;&gt;"""", N"&amp;"OT(REGEXMATCH(C6291, ""薪資""))), ""內部轉帳(忽略)"",
  REGEXMATCH(C6291, ""薪資""), ""薪資變動(不計入)"",
  REGEXMATCH(C6291, ""押金""), ""押金往來"",
  AND(E6291&lt;&gt;"""", F6291=""""), ""真實支出"",
  AND(E6291="""", F6291&lt;&gt;""""), ""真實收入"",
  TRUE, ""其他""
)"),"其他")</f>
        <v>其他</v>
      </c>
      <c r="K6291" s="270" t="str">
        <f t="shared" si="2"/>
        <v/>
      </c>
      <c r="L6291">
        <f t="shared" si="3"/>
        <v>0</v>
      </c>
    </row>
    <row r="6292">
      <c r="A6292" s="107"/>
      <c r="D6292" s="270"/>
      <c r="H6292" s="106" t="str">
        <f t="shared" si="1"/>
        <v/>
      </c>
      <c r="J6292" t="str">
        <f>IFERROR(__xludf.DUMMYFUNCTION("IFS(
  AND(REGEXMATCH(E6292, ""台銀籌備帳戶|玉山帳戶""), REGEXMATCH(C6292, ""薪資"")), ""分潤支出"",
  AND(REGEXMATCH(E6292, ""Ben帳戶|Elsa帳戶|Ben代墊|Ariel代墊|中信銀行共用""), REGEXMATCH(F6292, ""Ben帳戶|Elsa帳戶|Ben代墊|Ariel代墊|中信銀行共用"")), ""內部轉帳(忽略)"",
  AND(E6292&lt;&gt;"""", F6292&lt;&gt;"""", N"&amp;"OT(REGEXMATCH(C6292, ""薪資""))), ""內部轉帳(忽略)"",
  REGEXMATCH(C6292, ""薪資""), ""薪資變動(不計入)"",
  REGEXMATCH(C6292, ""押金""), ""押金往來"",
  AND(E6292&lt;&gt;"""", F6292=""""), ""真實支出"",
  AND(E6292="""", F6292&lt;&gt;""""), ""真實收入"",
  TRUE, ""其他""
)"),"其他")</f>
        <v>其他</v>
      </c>
      <c r="K6292" s="270" t="str">
        <f t="shared" si="2"/>
        <v/>
      </c>
      <c r="L6292">
        <f t="shared" si="3"/>
        <v>0</v>
      </c>
    </row>
    <row r="6293">
      <c r="A6293" s="107"/>
      <c r="D6293" s="270"/>
      <c r="H6293" s="106" t="str">
        <f t="shared" si="1"/>
        <v/>
      </c>
      <c r="J6293" t="str">
        <f>IFERROR(__xludf.DUMMYFUNCTION("IFS(
  AND(REGEXMATCH(E6293, ""台銀籌備帳戶|玉山帳戶""), REGEXMATCH(C6293, ""薪資"")), ""分潤支出"",
  AND(REGEXMATCH(E6293, ""Ben帳戶|Elsa帳戶|Ben代墊|Ariel代墊|中信銀行共用""), REGEXMATCH(F6293, ""Ben帳戶|Elsa帳戶|Ben代墊|Ariel代墊|中信銀行共用"")), ""內部轉帳(忽略)"",
  AND(E6293&lt;&gt;"""", F6293&lt;&gt;"""", N"&amp;"OT(REGEXMATCH(C6293, ""薪資""))), ""內部轉帳(忽略)"",
  REGEXMATCH(C6293, ""薪資""), ""薪資變動(不計入)"",
  REGEXMATCH(C6293, ""押金""), ""押金往來"",
  AND(E6293&lt;&gt;"""", F6293=""""), ""真實支出"",
  AND(E6293="""", F6293&lt;&gt;""""), ""真實收入"",
  TRUE, ""其他""
)"),"其他")</f>
        <v>其他</v>
      </c>
      <c r="K6293" s="270" t="str">
        <f t="shared" si="2"/>
        <v/>
      </c>
      <c r="L6293">
        <f t="shared" si="3"/>
        <v>0</v>
      </c>
    </row>
    <row r="6294">
      <c r="A6294" s="107"/>
      <c r="D6294" s="270"/>
      <c r="H6294" s="106" t="str">
        <f t="shared" si="1"/>
        <v/>
      </c>
      <c r="J6294" t="str">
        <f>IFERROR(__xludf.DUMMYFUNCTION("IFS(
  AND(REGEXMATCH(E6294, ""台銀籌備帳戶|玉山帳戶""), REGEXMATCH(C6294, ""薪資"")), ""分潤支出"",
  AND(REGEXMATCH(E6294, ""Ben帳戶|Elsa帳戶|Ben代墊|Ariel代墊|中信銀行共用""), REGEXMATCH(F6294, ""Ben帳戶|Elsa帳戶|Ben代墊|Ariel代墊|中信銀行共用"")), ""內部轉帳(忽略)"",
  AND(E6294&lt;&gt;"""", F6294&lt;&gt;"""", N"&amp;"OT(REGEXMATCH(C6294, ""薪資""))), ""內部轉帳(忽略)"",
  REGEXMATCH(C6294, ""薪資""), ""薪資變動(不計入)"",
  REGEXMATCH(C6294, ""押金""), ""押金往來"",
  AND(E6294&lt;&gt;"""", F6294=""""), ""真實支出"",
  AND(E6294="""", F6294&lt;&gt;""""), ""真實收入"",
  TRUE, ""其他""
)"),"其他")</f>
        <v>其他</v>
      </c>
      <c r="K6294" s="270" t="str">
        <f t="shared" si="2"/>
        <v/>
      </c>
      <c r="L6294">
        <f t="shared" si="3"/>
        <v>0</v>
      </c>
    </row>
    <row r="6295">
      <c r="A6295" s="107"/>
      <c r="D6295" s="270"/>
      <c r="H6295" s="106" t="str">
        <f t="shared" si="1"/>
        <v/>
      </c>
      <c r="J6295" t="str">
        <f>IFERROR(__xludf.DUMMYFUNCTION("IFS(
  AND(REGEXMATCH(E6295, ""台銀籌備帳戶|玉山帳戶""), REGEXMATCH(C6295, ""薪資"")), ""分潤支出"",
  AND(REGEXMATCH(E6295, ""Ben帳戶|Elsa帳戶|Ben代墊|Ariel代墊|中信銀行共用""), REGEXMATCH(F6295, ""Ben帳戶|Elsa帳戶|Ben代墊|Ariel代墊|中信銀行共用"")), ""內部轉帳(忽略)"",
  AND(E6295&lt;&gt;"""", F6295&lt;&gt;"""", N"&amp;"OT(REGEXMATCH(C6295, ""薪資""))), ""內部轉帳(忽略)"",
  REGEXMATCH(C6295, ""薪資""), ""薪資變動(不計入)"",
  REGEXMATCH(C6295, ""押金""), ""押金往來"",
  AND(E6295&lt;&gt;"""", F6295=""""), ""真實支出"",
  AND(E6295="""", F6295&lt;&gt;""""), ""真實收入"",
  TRUE, ""其他""
)"),"其他")</f>
        <v>其他</v>
      </c>
      <c r="K6295" s="270" t="str">
        <f t="shared" si="2"/>
        <v/>
      </c>
      <c r="L6295">
        <f t="shared" si="3"/>
        <v>0</v>
      </c>
    </row>
    <row r="6296">
      <c r="A6296" s="107"/>
      <c r="D6296" s="270"/>
      <c r="H6296" s="106" t="str">
        <f t="shared" si="1"/>
        <v/>
      </c>
      <c r="J6296" t="str">
        <f>IFERROR(__xludf.DUMMYFUNCTION("IFS(
  AND(REGEXMATCH(E6296, ""台銀籌備帳戶|玉山帳戶""), REGEXMATCH(C6296, ""薪資"")), ""分潤支出"",
  AND(REGEXMATCH(E6296, ""Ben帳戶|Elsa帳戶|Ben代墊|Ariel代墊|中信銀行共用""), REGEXMATCH(F6296, ""Ben帳戶|Elsa帳戶|Ben代墊|Ariel代墊|中信銀行共用"")), ""內部轉帳(忽略)"",
  AND(E6296&lt;&gt;"""", F6296&lt;&gt;"""", N"&amp;"OT(REGEXMATCH(C6296, ""薪資""))), ""內部轉帳(忽略)"",
  REGEXMATCH(C6296, ""薪資""), ""薪資變動(不計入)"",
  REGEXMATCH(C6296, ""押金""), ""押金往來"",
  AND(E6296&lt;&gt;"""", F6296=""""), ""真實支出"",
  AND(E6296="""", F6296&lt;&gt;""""), ""真實收入"",
  TRUE, ""其他""
)"),"其他")</f>
        <v>其他</v>
      </c>
      <c r="K6296" s="270" t="str">
        <f t="shared" si="2"/>
        <v/>
      </c>
      <c r="L6296">
        <f t="shared" si="3"/>
        <v>0</v>
      </c>
    </row>
    <row r="6297">
      <c r="A6297" s="107"/>
      <c r="D6297" s="270"/>
      <c r="H6297" s="106" t="str">
        <f t="shared" si="1"/>
        <v/>
      </c>
      <c r="J6297" t="str">
        <f>IFERROR(__xludf.DUMMYFUNCTION("IFS(
  AND(REGEXMATCH(E6297, ""台銀籌備帳戶|玉山帳戶""), REGEXMATCH(C6297, ""薪資"")), ""分潤支出"",
  AND(REGEXMATCH(E6297, ""Ben帳戶|Elsa帳戶|Ben代墊|Ariel代墊|中信銀行共用""), REGEXMATCH(F6297, ""Ben帳戶|Elsa帳戶|Ben代墊|Ariel代墊|中信銀行共用"")), ""內部轉帳(忽略)"",
  AND(E6297&lt;&gt;"""", F6297&lt;&gt;"""", N"&amp;"OT(REGEXMATCH(C6297, ""薪資""))), ""內部轉帳(忽略)"",
  REGEXMATCH(C6297, ""薪資""), ""薪資變動(不計入)"",
  REGEXMATCH(C6297, ""押金""), ""押金往來"",
  AND(E6297&lt;&gt;"""", F6297=""""), ""真實支出"",
  AND(E6297="""", F6297&lt;&gt;""""), ""真實收入"",
  TRUE, ""其他""
)"),"其他")</f>
        <v>其他</v>
      </c>
      <c r="K6297" s="270" t="str">
        <f t="shared" si="2"/>
        <v/>
      </c>
      <c r="L6297">
        <f t="shared" si="3"/>
        <v>0</v>
      </c>
    </row>
    <row r="6298">
      <c r="A6298" s="107"/>
      <c r="D6298" s="270"/>
      <c r="H6298" s="106" t="str">
        <f t="shared" si="1"/>
        <v/>
      </c>
      <c r="J6298" t="str">
        <f>IFERROR(__xludf.DUMMYFUNCTION("IFS(
  AND(REGEXMATCH(E6298, ""台銀籌備帳戶|玉山帳戶""), REGEXMATCH(C6298, ""薪資"")), ""分潤支出"",
  AND(REGEXMATCH(E6298, ""Ben帳戶|Elsa帳戶|Ben代墊|Ariel代墊|中信銀行共用""), REGEXMATCH(F6298, ""Ben帳戶|Elsa帳戶|Ben代墊|Ariel代墊|中信銀行共用"")), ""內部轉帳(忽略)"",
  AND(E6298&lt;&gt;"""", F6298&lt;&gt;"""", N"&amp;"OT(REGEXMATCH(C6298, ""薪資""))), ""內部轉帳(忽略)"",
  REGEXMATCH(C6298, ""薪資""), ""薪資變動(不計入)"",
  REGEXMATCH(C6298, ""押金""), ""押金往來"",
  AND(E6298&lt;&gt;"""", F6298=""""), ""真實支出"",
  AND(E6298="""", F6298&lt;&gt;""""), ""真實收入"",
  TRUE, ""其他""
)"),"其他")</f>
        <v>其他</v>
      </c>
      <c r="K6298" s="270" t="str">
        <f t="shared" si="2"/>
        <v/>
      </c>
      <c r="L6298">
        <f t="shared" si="3"/>
        <v>0</v>
      </c>
    </row>
    <row r="6299">
      <c r="A6299" s="107"/>
      <c r="D6299" s="270"/>
      <c r="H6299" s="106" t="str">
        <f t="shared" si="1"/>
        <v/>
      </c>
      <c r="J6299" t="str">
        <f>IFERROR(__xludf.DUMMYFUNCTION("IFS(
  AND(REGEXMATCH(E6299, ""台銀籌備帳戶|玉山帳戶""), REGEXMATCH(C6299, ""薪資"")), ""分潤支出"",
  AND(REGEXMATCH(E6299, ""Ben帳戶|Elsa帳戶|Ben代墊|Ariel代墊|中信銀行共用""), REGEXMATCH(F6299, ""Ben帳戶|Elsa帳戶|Ben代墊|Ariel代墊|中信銀行共用"")), ""內部轉帳(忽略)"",
  AND(E6299&lt;&gt;"""", F6299&lt;&gt;"""", N"&amp;"OT(REGEXMATCH(C6299, ""薪資""))), ""內部轉帳(忽略)"",
  REGEXMATCH(C6299, ""薪資""), ""薪資變動(不計入)"",
  REGEXMATCH(C6299, ""押金""), ""押金往來"",
  AND(E6299&lt;&gt;"""", F6299=""""), ""真實支出"",
  AND(E6299="""", F6299&lt;&gt;""""), ""真實收入"",
  TRUE, ""其他""
)"),"其他")</f>
        <v>其他</v>
      </c>
      <c r="K6299" s="270" t="str">
        <f t="shared" si="2"/>
        <v/>
      </c>
      <c r="L6299">
        <f t="shared" si="3"/>
        <v>0</v>
      </c>
    </row>
    <row r="6300">
      <c r="A6300" s="107"/>
      <c r="D6300" s="270"/>
      <c r="H6300" s="106" t="str">
        <f t="shared" si="1"/>
        <v/>
      </c>
      <c r="J6300" t="str">
        <f>IFERROR(__xludf.DUMMYFUNCTION("IFS(
  AND(REGEXMATCH(E6300, ""台銀籌備帳戶|玉山帳戶""), REGEXMATCH(C6300, ""薪資"")), ""分潤支出"",
  AND(REGEXMATCH(E6300, ""Ben帳戶|Elsa帳戶|Ben代墊|Ariel代墊|中信銀行共用""), REGEXMATCH(F6300, ""Ben帳戶|Elsa帳戶|Ben代墊|Ariel代墊|中信銀行共用"")), ""內部轉帳(忽略)"",
  AND(E6300&lt;&gt;"""", F6300&lt;&gt;"""", N"&amp;"OT(REGEXMATCH(C6300, ""薪資""))), ""內部轉帳(忽略)"",
  REGEXMATCH(C6300, ""薪資""), ""薪資變動(不計入)"",
  REGEXMATCH(C6300, ""押金""), ""押金往來"",
  AND(E6300&lt;&gt;"""", F6300=""""), ""真實支出"",
  AND(E6300="""", F6300&lt;&gt;""""), ""真實收入"",
  TRUE, ""其他""
)"),"其他")</f>
        <v>其他</v>
      </c>
      <c r="K6300" s="270" t="str">
        <f t="shared" si="2"/>
        <v/>
      </c>
      <c r="L6300">
        <f t="shared" si="3"/>
        <v>0</v>
      </c>
    </row>
    <row r="6301">
      <c r="A6301" s="107"/>
      <c r="D6301" s="270"/>
      <c r="H6301" s="106" t="str">
        <f t="shared" si="1"/>
        <v/>
      </c>
      <c r="J6301" t="str">
        <f>IFERROR(__xludf.DUMMYFUNCTION("IFS(
  AND(REGEXMATCH(E6301, ""台銀籌備帳戶|玉山帳戶""), REGEXMATCH(C6301, ""薪資"")), ""分潤支出"",
  AND(REGEXMATCH(E6301, ""Ben帳戶|Elsa帳戶|Ben代墊|Ariel代墊|中信銀行共用""), REGEXMATCH(F6301, ""Ben帳戶|Elsa帳戶|Ben代墊|Ariel代墊|中信銀行共用"")), ""內部轉帳(忽略)"",
  AND(E6301&lt;&gt;"""", F6301&lt;&gt;"""", N"&amp;"OT(REGEXMATCH(C6301, ""薪資""))), ""內部轉帳(忽略)"",
  REGEXMATCH(C6301, ""薪資""), ""薪資變動(不計入)"",
  REGEXMATCH(C6301, ""押金""), ""押金往來"",
  AND(E6301&lt;&gt;"""", F6301=""""), ""真實支出"",
  AND(E6301="""", F6301&lt;&gt;""""), ""真實收入"",
  TRUE, ""其他""
)"),"其他")</f>
        <v>其他</v>
      </c>
      <c r="K6301" s="270" t="str">
        <f t="shared" si="2"/>
        <v/>
      </c>
      <c r="L6301">
        <f t="shared" si="3"/>
        <v>0</v>
      </c>
    </row>
    <row r="6302">
      <c r="A6302" s="107"/>
      <c r="D6302" s="270"/>
      <c r="H6302" s="106" t="str">
        <f t="shared" si="1"/>
        <v/>
      </c>
      <c r="J6302" t="str">
        <f>IFERROR(__xludf.DUMMYFUNCTION("IFS(
  AND(REGEXMATCH(E6302, ""台銀籌備帳戶|玉山帳戶""), REGEXMATCH(C6302, ""薪資"")), ""分潤支出"",
  AND(REGEXMATCH(E6302, ""Ben帳戶|Elsa帳戶|Ben代墊|Ariel代墊|中信銀行共用""), REGEXMATCH(F6302, ""Ben帳戶|Elsa帳戶|Ben代墊|Ariel代墊|中信銀行共用"")), ""內部轉帳(忽略)"",
  AND(E6302&lt;&gt;"""", F6302&lt;&gt;"""", N"&amp;"OT(REGEXMATCH(C6302, ""薪資""))), ""內部轉帳(忽略)"",
  REGEXMATCH(C6302, ""薪資""), ""薪資變動(不計入)"",
  REGEXMATCH(C6302, ""押金""), ""押金往來"",
  AND(E6302&lt;&gt;"""", F6302=""""), ""真實支出"",
  AND(E6302="""", F6302&lt;&gt;""""), ""真實收入"",
  TRUE, ""其他""
)"),"其他")</f>
        <v>其他</v>
      </c>
      <c r="K6302" s="270" t="str">
        <f t="shared" si="2"/>
        <v/>
      </c>
      <c r="L6302">
        <f t="shared" si="3"/>
        <v>0</v>
      </c>
    </row>
    <row r="6303">
      <c r="A6303" s="107"/>
      <c r="D6303" s="270"/>
      <c r="H6303" s="106" t="str">
        <f t="shared" si="1"/>
        <v/>
      </c>
      <c r="J6303" t="str">
        <f>IFERROR(__xludf.DUMMYFUNCTION("IFS(
  AND(REGEXMATCH(E6303, ""台銀籌備帳戶|玉山帳戶""), REGEXMATCH(C6303, ""薪資"")), ""分潤支出"",
  AND(REGEXMATCH(E6303, ""Ben帳戶|Elsa帳戶|Ben代墊|Ariel代墊|中信銀行共用""), REGEXMATCH(F6303, ""Ben帳戶|Elsa帳戶|Ben代墊|Ariel代墊|中信銀行共用"")), ""內部轉帳(忽略)"",
  AND(E6303&lt;&gt;"""", F6303&lt;&gt;"""", N"&amp;"OT(REGEXMATCH(C6303, ""薪資""))), ""內部轉帳(忽略)"",
  REGEXMATCH(C6303, ""薪資""), ""薪資變動(不計入)"",
  REGEXMATCH(C6303, ""押金""), ""押金往來"",
  AND(E6303&lt;&gt;"""", F6303=""""), ""真實支出"",
  AND(E6303="""", F6303&lt;&gt;""""), ""真實收入"",
  TRUE, ""其他""
)"),"其他")</f>
        <v>其他</v>
      </c>
      <c r="K6303" s="270" t="str">
        <f t="shared" si="2"/>
        <v/>
      </c>
      <c r="L6303">
        <f t="shared" si="3"/>
        <v>0</v>
      </c>
    </row>
    <row r="6304">
      <c r="A6304" s="107"/>
      <c r="D6304" s="270"/>
      <c r="H6304" s="106" t="str">
        <f t="shared" si="1"/>
        <v/>
      </c>
      <c r="J6304" t="str">
        <f>IFERROR(__xludf.DUMMYFUNCTION("IFS(
  AND(REGEXMATCH(E6304, ""台銀籌備帳戶|玉山帳戶""), REGEXMATCH(C6304, ""薪資"")), ""分潤支出"",
  AND(REGEXMATCH(E6304, ""Ben帳戶|Elsa帳戶|Ben代墊|Ariel代墊|中信銀行共用""), REGEXMATCH(F6304, ""Ben帳戶|Elsa帳戶|Ben代墊|Ariel代墊|中信銀行共用"")), ""內部轉帳(忽略)"",
  AND(E6304&lt;&gt;"""", F6304&lt;&gt;"""", N"&amp;"OT(REGEXMATCH(C6304, ""薪資""))), ""內部轉帳(忽略)"",
  REGEXMATCH(C6304, ""薪資""), ""薪資變動(不計入)"",
  REGEXMATCH(C6304, ""押金""), ""押金往來"",
  AND(E6304&lt;&gt;"""", F6304=""""), ""真實支出"",
  AND(E6304="""", F6304&lt;&gt;""""), ""真實收入"",
  TRUE, ""其他""
)"),"其他")</f>
        <v>其他</v>
      </c>
      <c r="K6304" s="270" t="str">
        <f t="shared" si="2"/>
        <v/>
      </c>
      <c r="L6304">
        <f t="shared" si="3"/>
        <v>0</v>
      </c>
    </row>
    <row r="6305">
      <c r="A6305" s="107"/>
      <c r="D6305" s="270"/>
      <c r="H6305" s="106" t="str">
        <f t="shared" si="1"/>
        <v/>
      </c>
      <c r="J6305" t="str">
        <f>IFERROR(__xludf.DUMMYFUNCTION("IFS(
  AND(REGEXMATCH(E6305, ""台銀籌備帳戶|玉山帳戶""), REGEXMATCH(C6305, ""薪資"")), ""分潤支出"",
  AND(REGEXMATCH(E6305, ""Ben帳戶|Elsa帳戶|Ben代墊|Ariel代墊|中信銀行共用""), REGEXMATCH(F6305, ""Ben帳戶|Elsa帳戶|Ben代墊|Ariel代墊|中信銀行共用"")), ""內部轉帳(忽略)"",
  AND(E6305&lt;&gt;"""", F6305&lt;&gt;"""", N"&amp;"OT(REGEXMATCH(C6305, ""薪資""))), ""內部轉帳(忽略)"",
  REGEXMATCH(C6305, ""薪資""), ""薪資變動(不計入)"",
  REGEXMATCH(C6305, ""押金""), ""押金往來"",
  AND(E6305&lt;&gt;"""", F6305=""""), ""真實支出"",
  AND(E6305="""", F6305&lt;&gt;""""), ""真實收入"",
  TRUE, ""其他""
)"),"其他")</f>
        <v>其他</v>
      </c>
      <c r="K6305" s="270" t="str">
        <f t="shared" si="2"/>
        <v/>
      </c>
      <c r="L6305">
        <f t="shared" si="3"/>
        <v>0</v>
      </c>
    </row>
    <row r="6306">
      <c r="A6306" s="107"/>
      <c r="D6306" s="270"/>
      <c r="H6306" s="106" t="str">
        <f t="shared" si="1"/>
        <v/>
      </c>
      <c r="J6306" t="str">
        <f>IFERROR(__xludf.DUMMYFUNCTION("IFS(
  AND(REGEXMATCH(E6306, ""台銀籌備帳戶|玉山帳戶""), REGEXMATCH(C6306, ""薪資"")), ""分潤支出"",
  AND(REGEXMATCH(E6306, ""Ben帳戶|Elsa帳戶|Ben代墊|Ariel代墊|中信銀行共用""), REGEXMATCH(F6306, ""Ben帳戶|Elsa帳戶|Ben代墊|Ariel代墊|中信銀行共用"")), ""內部轉帳(忽略)"",
  AND(E6306&lt;&gt;"""", F6306&lt;&gt;"""", N"&amp;"OT(REGEXMATCH(C6306, ""薪資""))), ""內部轉帳(忽略)"",
  REGEXMATCH(C6306, ""薪資""), ""薪資變動(不計入)"",
  REGEXMATCH(C6306, ""押金""), ""押金往來"",
  AND(E6306&lt;&gt;"""", F6306=""""), ""真實支出"",
  AND(E6306="""", F6306&lt;&gt;""""), ""真實收入"",
  TRUE, ""其他""
)"),"其他")</f>
        <v>其他</v>
      </c>
      <c r="K6306" s="270" t="str">
        <f t="shared" si="2"/>
        <v/>
      </c>
      <c r="L6306">
        <f t="shared" si="3"/>
        <v>0</v>
      </c>
    </row>
    <row r="6307">
      <c r="A6307" s="107"/>
      <c r="D6307" s="270"/>
      <c r="H6307" s="106" t="str">
        <f t="shared" si="1"/>
        <v/>
      </c>
      <c r="J6307" t="str">
        <f>IFERROR(__xludf.DUMMYFUNCTION("IFS(
  AND(REGEXMATCH(E6307, ""台銀籌備帳戶|玉山帳戶""), REGEXMATCH(C6307, ""薪資"")), ""分潤支出"",
  AND(REGEXMATCH(E6307, ""Ben帳戶|Elsa帳戶|Ben代墊|Ariel代墊|中信銀行共用""), REGEXMATCH(F6307, ""Ben帳戶|Elsa帳戶|Ben代墊|Ariel代墊|中信銀行共用"")), ""內部轉帳(忽略)"",
  AND(E6307&lt;&gt;"""", F6307&lt;&gt;"""", N"&amp;"OT(REGEXMATCH(C6307, ""薪資""))), ""內部轉帳(忽略)"",
  REGEXMATCH(C6307, ""薪資""), ""薪資變動(不計入)"",
  REGEXMATCH(C6307, ""押金""), ""押金往來"",
  AND(E6307&lt;&gt;"""", F6307=""""), ""真實支出"",
  AND(E6307="""", F6307&lt;&gt;""""), ""真實收入"",
  TRUE, ""其他""
)"),"其他")</f>
        <v>其他</v>
      </c>
      <c r="K6307" s="270" t="str">
        <f t="shared" si="2"/>
        <v/>
      </c>
      <c r="L6307">
        <f t="shared" si="3"/>
        <v>0</v>
      </c>
    </row>
    <row r="6308">
      <c r="A6308" s="107"/>
      <c r="D6308" s="270"/>
      <c r="H6308" s="106" t="str">
        <f t="shared" si="1"/>
        <v/>
      </c>
      <c r="J6308" t="str">
        <f>IFERROR(__xludf.DUMMYFUNCTION("IFS(
  AND(REGEXMATCH(E6308, ""台銀籌備帳戶|玉山帳戶""), REGEXMATCH(C6308, ""薪資"")), ""分潤支出"",
  AND(REGEXMATCH(E6308, ""Ben帳戶|Elsa帳戶|Ben代墊|Ariel代墊|中信銀行共用""), REGEXMATCH(F6308, ""Ben帳戶|Elsa帳戶|Ben代墊|Ariel代墊|中信銀行共用"")), ""內部轉帳(忽略)"",
  AND(E6308&lt;&gt;"""", F6308&lt;&gt;"""", N"&amp;"OT(REGEXMATCH(C6308, ""薪資""))), ""內部轉帳(忽略)"",
  REGEXMATCH(C6308, ""薪資""), ""薪資變動(不計入)"",
  REGEXMATCH(C6308, ""押金""), ""押金往來"",
  AND(E6308&lt;&gt;"""", F6308=""""), ""真實支出"",
  AND(E6308="""", F6308&lt;&gt;""""), ""真實收入"",
  TRUE, ""其他""
)"),"其他")</f>
        <v>其他</v>
      </c>
      <c r="K6308" s="270" t="str">
        <f t="shared" si="2"/>
        <v/>
      </c>
      <c r="L6308">
        <f t="shared" si="3"/>
        <v>0</v>
      </c>
    </row>
    <row r="6309">
      <c r="A6309" s="107"/>
      <c r="D6309" s="270"/>
      <c r="H6309" s="106" t="str">
        <f t="shared" si="1"/>
        <v/>
      </c>
      <c r="J6309" t="str">
        <f>IFERROR(__xludf.DUMMYFUNCTION("IFS(
  AND(REGEXMATCH(E6309, ""台銀籌備帳戶|玉山帳戶""), REGEXMATCH(C6309, ""薪資"")), ""分潤支出"",
  AND(REGEXMATCH(E6309, ""Ben帳戶|Elsa帳戶|Ben代墊|Ariel代墊|中信銀行共用""), REGEXMATCH(F6309, ""Ben帳戶|Elsa帳戶|Ben代墊|Ariel代墊|中信銀行共用"")), ""內部轉帳(忽略)"",
  AND(E6309&lt;&gt;"""", F6309&lt;&gt;"""", N"&amp;"OT(REGEXMATCH(C6309, ""薪資""))), ""內部轉帳(忽略)"",
  REGEXMATCH(C6309, ""薪資""), ""薪資變動(不計入)"",
  REGEXMATCH(C6309, ""押金""), ""押金往來"",
  AND(E6309&lt;&gt;"""", F6309=""""), ""真實支出"",
  AND(E6309="""", F6309&lt;&gt;""""), ""真實收入"",
  TRUE, ""其他""
)"),"其他")</f>
        <v>其他</v>
      </c>
      <c r="K6309" s="270" t="str">
        <f t="shared" si="2"/>
        <v/>
      </c>
      <c r="L6309">
        <f t="shared" si="3"/>
        <v>0</v>
      </c>
    </row>
    <row r="6310">
      <c r="A6310" s="107"/>
      <c r="D6310" s="270"/>
      <c r="H6310" s="106" t="str">
        <f t="shared" si="1"/>
        <v/>
      </c>
      <c r="J6310" t="str">
        <f>IFERROR(__xludf.DUMMYFUNCTION("IFS(
  AND(REGEXMATCH(E6310, ""台銀籌備帳戶|玉山帳戶""), REGEXMATCH(C6310, ""薪資"")), ""分潤支出"",
  AND(REGEXMATCH(E6310, ""Ben帳戶|Elsa帳戶|Ben代墊|Ariel代墊|中信銀行共用""), REGEXMATCH(F6310, ""Ben帳戶|Elsa帳戶|Ben代墊|Ariel代墊|中信銀行共用"")), ""內部轉帳(忽略)"",
  AND(E6310&lt;&gt;"""", F6310&lt;&gt;"""", N"&amp;"OT(REGEXMATCH(C6310, ""薪資""))), ""內部轉帳(忽略)"",
  REGEXMATCH(C6310, ""薪資""), ""薪資變動(不計入)"",
  REGEXMATCH(C6310, ""押金""), ""押金往來"",
  AND(E6310&lt;&gt;"""", F6310=""""), ""真實支出"",
  AND(E6310="""", F6310&lt;&gt;""""), ""真實收入"",
  TRUE, ""其他""
)"),"其他")</f>
        <v>其他</v>
      </c>
      <c r="K6310" s="270" t="str">
        <f t="shared" si="2"/>
        <v/>
      </c>
      <c r="L6310">
        <f t="shared" si="3"/>
        <v>0</v>
      </c>
    </row>
    <row r="6311">
      <c r="A6311" s="107"/>
      <c r="D6311" s="270"/>
      <c r="H6311" s="106" t="str">
        <f t="shared" si="1"/>
        <v/>
      </c>
      <c r="J6311" t="str">
        <f>IFERROR(__xludf.DUMMYFUNCTION("IFS(
  AND(REGEXMATCH(E6311, ""台銀籌備帳戶|玉山帳戶""), REGEXMATCH(C6311, ""薪資"")), ""分潤支出"",
  AND(REGEXMATCH(E6311, ""Ben帳戶|Elsa帳戶|Ben代墊|Ariel代墊|中信銀行共用""), REGEXMATCH(F6311, ""Ben帳戶|Elsa帳戶|Ben代墊|Ariel代墊|中信銀行共用"")), ""內部轉帳(忽略)"",
  AND(E6311&lt;&gt;"""", F6311&lt;&gt;"""", N"&amp;"OT(REGEXMATCH(C6311, ""薪資""))), ""內部轉帳(忽略)"",
  REGEXMATCH(C6311, ""薪資""), ""薪資變動(不計入)"",
  REGEXMATCH(C6311, ""押金""), ""押金往來"",
  AND(E6311&lt;&gt;"""", F6311=""""), ""真實支出"",
  AND(E6311="""", F6311&lt;&gt;""""), ""真實收入"",
  TRUE, ""其他""
)"),"其他")</f>
        <v>其他</v>
      </c>
      <c r="K6311" s="270" t="str">
        <f t="shared" si="2"/>
        <v/>
      </c>
      <c r="L6311">
        <f t="shared" si="3"/>
        <v>0</v>
      </c>
    </row>
    <row r="6312">
      <c r="A6312" s="107"/>
      <c r="D6312" s="270"/>
      <c r="H6312" s="106" t="str">
        <f t="shared" si="1"/>
        <v/>
      </c>
      <c r="J6312" t="str">
        <f>IFERROR(__xludf.DUMMYFUNCTION("IFS(
  AND(REGEXMATCH(E6312, ""台銀籌備帳戶|玉山帳戶""), REGEXMATCH(C6312, ""薪資"")), ""分潤支出"",
  AND(REGEXMATCH(E6312, ""Ben帳戶|Elsa帳戶|Ben代墊|Ariel代墊|中信銀行共用""), REGEXMATCH(F6312, ""Ben帳戶|Elsa帳戶|Ben代墊|Ariel代墊|中信銀行共用"")), ""內部轉帳(忽略)"",
  AND(E6312&lt;&gt;"""", F6312&lt;&gt;"""", N"&amp;"OT(REGEXMATCH(C6312, ""薪資""))), ""內部轉帳(忽略)"",
  REGEXMATCH(C6312, ""薪資""), ""薪資變動(不計入)"",
  REGEXMATCH(C6312, ""押金""), ""押金往來"",
  AND(E6312&lt;&gt;"""", F6312=""""), ""真實支出"",
  AND(E6312="""", F6312&lt;&gt;""""), ""真實收入"",
  TRUE, ""其他""
)"),"其他")</f>
        <v>其他</v>
      </c>
      <c r="K6312" s="270" t="str">
        <f t="shared" si="2"/>
        <v/>
      </c>
      <c r="L6312">
        <f t="shared" si="3"/>
        <v>0</v>
      </c>
    </row>
    <row r="6313">
      <c r="A6313" s="107"/>
      <c r="D6313" s="270"/>
      <c r="H6313" s="106" t="str">
        <f t="shared" si="1"/>
        <v/>
      </c>
      <c r="J6313" t="str">
        <f>IFERROR(__xludf.DUMMYFUNCTION("IFS(
  AND(REGEXMATCH(E6313, ""台銀籌備帳戶|玉山帳戶""), REGEXMATCH(C6313, ""薪資"")), ""分潤支出"",
  AND(REGEXMATCH(E6313, ""Ben帳戶|Elsa帳戶|Ben代墊|Ariel代墊|中信銀行共用""), REGEXMATCH(F6313, ""Ben帳戶|Elsa帳戶|Ben代墊|Ariel代墊|中信銀行共用"")), ""內部轉帳(忽略)"",
  AND(E6313&lt;&gt;"""", F6313&lt;&gt;"""", N"&amp;"OT(REGEXMATCH(C6313, ""薪資""))), ""內部轉帳(忽略)"",
  REGEXMATCH(C6313, ""薪資""), ""薪資變動(不計入)"",
  REGEXMATCH(C6313, ""押金""), ""押金往來"",
  AND(E6313&lt;&gt;"""", F6313=""""), ""真實支出"",
  AND(E6313="""", F6313&lt;&gt;""""), ""真實收入"",
  TRUE, ""其他""
)"),"其他")</f>
        <v>其他</v>
      </c>
      <c r="K6313" s="270" t="str">
        <f t="shared" si="2"/>
        <v/>
      </c>
      <c r="L6313">
        <f t="shared" si="3"/>
        <v>0</v>
      </c>
    </row>
    <row r="6314">
      <c r="A6314" s="107"/>
      <c r="D6314" s="270"/>
      <c r="H6314" s="106" t="str">
        <f t="shared" si="1"/>
        <v/>
      </c>
      <c r="J6314" t="str">
        <f>IFERROR(__xludf.DUMMYFUNCTION("IFS(
  AND(REGEXMATCH(E6314, ""台銀籌備帳戶|玉山帳戶""), REGEXMATCH(C6314, ""薪資"")), ""分潤支出"",
  AND(REGEXMATCH(E6314, ""Ben帳戶|Elsa帳戶|Ben代墊|Ariel代墊|中信銀行共用""), REGEXMATCH(F6314, ""Ben帳戶|Elsa帳戶|Ben代墊|Ariel代墊|中信銀行共用"")), ""內部轉帳(忽略)"",
  AND(E6314&lt;&gt;"""", F6314&lt;&gt;"""", N"&amp;"OT(REGEXMATCH(C6314, ""薪資""))), ""內部轉帳(忽略)"",
  REGEXMATCH(C6314, ""薪資""), ""薪資變動(不計入)"",
  REGEXMATCH(C6314, ""押金""), ""押金往來"",
  AND(E6314&lt;&gt;"""", F6314=""""), ""真實支出"",
  AND(E6314="""", F6314&lt;&gt;""""), ""真實收入"",
  TRUE, ""其他""
)"),"其他")</f>
        <v>其他</v>
      </c>
      <c r="K6314" s="270" t="str">
        <f t="shared" si="2"/>
        <v/>
      </c>
      <c r="L6314">
        <f t="shared" si="3"/>
        <v>0</v>
      </c>
    </row>
    <row r="6315">
      <c r="A6315" s="107"/>
      <c r="D6315" s="270"/>
      <c r="H6315" s="106" t="str">
        <f t="shared" si="1"/>
        <v/>
      </c>
      <c r="J6315" t="str">
        <f>IFERROR(__xludf.DUMMYFUNCTION("IFS(
  AND(REGEXMATCH(E6315, ""台銀籌備帳戶|玉山帳戶""), REGEXMATCH(C6315, ""薪資"")), ""分潤支出"",
  AND(REGEXMATCH(E6315, ""Ben帳戶|Elsa帳戶|Ben代墊|Ariel代墊|中信銀行共用""), REGEXMATCH(F6315, ""Ben帳戶|Elsa帳戶|Ben代墊|Ariel代墊|中信銀行共用"")), ""內部轉帳(忽略)"",
  AND(E6315&lt;&gt;"""", F6315&lt;&gt;"""", N"&amp;"OT(REGEXMATCH(C6315, ""薪資""))), ""內部轉帳(忽略)"",
  REGEXMATCH(C6315, ""薪資""), ""薪資變動(不計入)"",
  REGEXMATCH(C6315, ""押金""), ""押金往來"",
  AND(E6315&lt;&gt;"""", F6315=""""), ""真實支出"",
  AND(E6315="""", F6315&lt;&gt;""""), ""真實收入"",
  TRUE, ""其他""
)"),"其他")</f>
        <v>其他</v>
      </c>
      <c r="K6315" s="270" t="str">
        <f t="shared" si="2"/>
        <v/>
      </c>
      <c r="L6315">
        <f t="shared" si="3"/>
        <v>0</v>
      </c>
    </row>
    <row r="6316">
      <c r="A6316" s="107"/>
      <c r="D6316" s="270"/>
      <c r="H6316" s="106" t="str">
        <f t="shared" si="1"/>
        <v/>
      </c>
      <c r="J6316" t="str">
        <f>IFERROR(__xludf.DUMMYFUNCTION("IFS(
  AND(REGEXMATCH(E6316, ""台銀籌備帳戶|玉山帳戶""), REGEXMATCH(C6316, ""薪資"")), ""分潤支出"",
  AND(REGEXMATCH(E6316, ""Ben帳戶|Elsa帳戶|Ben代墊|Ariel代墊|中信銀行共用""), REGEXMATCH(F6316, ""Ben帳戶|Elsa帳戶|Ben代墊|Ariel代墊|中信銀行共用"")), ""內部轉帳(忽略)"",
  AND(E6316&lt;&gt;"""", F6316&lt;&gt;"""", N"&amp;"OT(REGEXMATCH(C6316, ""薪資""))), ""內部轉帳(忽略)"",
  REGEXMATCH(C6316, ""薪資""), ""薪資變動(不計入)"",
  REGEXMATCH(C6316, ""押金""), ""押金往來"",
  AND(E6316&lt;&gt;"""", F6316=""""), ""真實支出"",
  AND(E6316="""", F6316&lt;&gt;""""), ""真實收入"",
  TRUE, ""其他""
)"),"其他")</f>
        <v>其他</v>
      </c>
      <c r="K6316" s="270" t="str">
        <f t="shared" si="2"/>
        <v/>
      </c>
      <c r="L6316">
        <f t="shared" si="3"/>
        <v>0</v>
      </c>
    </row>
    <row r="6317">
      <c r="A6317" s="107"/>
      <c r="D6317" s="270"/>
      <c r="H6317" s="106" t="str">
        <f t="shared" si="1"/>
        <v/>
      </c>
      <c r="J6317" t="str">
        <f>IFERROR(__xludf.DUMMYFUNCTION("IFS(
  AND(REGEXMATCH(E6317, ""台銀籌備帳戶|玉山帳戶""), REGEXMATCH(C6317, ""薪資"")), ""分潤支出"",
  AND(REGEXMATCH(E6317, ""Ben帳戶|Elsa帳戶|Ben代墊|Ariel代墊|中信銀行共用""), REGEXMATCH(F6317, ""Ben帳戶|Elsa帳戶|Ben代墊|Ariel代墊|中信銀行共用"")), ""內部轉帳(忽略)"",
  AND(E6317&lt;&gt;"""", F6317&lt;&gt;"""", N"&amp;"OT(REGEXMATCH(C6317, ""薪資""))), ""內部轉帳(忽略)"",
  REGEXMATCH(C6317, ""薪資""), ""薪資變動(不計入)"",
  REGEXMATCH(C6317, ""押金""), ""押金往來"",
  AND(E6317&lt;&gt;"""", F6317=""""), ""真實支出"",
  AND(E6317="""", F6317&lt;&gt;""""), ""真實收入"",
  TRUE, ""其他""
)"),"其他")</f>
        <v>其他</v>
      </c>
      <c r="K6317" s="270" t="str">
        <f t="shared" si="2"/>
        <v/>
      </c>
      <c r="L6317">
        <f t="shared" si="3"/>
        <v>0</v>
      </c>
    </row>
    <row r="6318">
      <c r="A6318" s="107"/>
      <c r="D6318" s="270"/>
      <c r="H6318" s="106" t="str">
        <f t="shared" si="1"/>
        <v/>
      </c>
      <c r="J6318" t="str">
        <f>IFERROR(__xludf.DUMMYFUNCTION("IFS(
  AND(REGEXMATCH(E6318, ""台銀籌備帳戶|玉山帳戶""), REGEXMATCH(C6318, ""薪資"")), ""分潤支出"",
  AND(REGEXMATCH(E6318, ""Ben帳戶|Elsa帳戶|Ben代墊|Ariel代墊|中信銀行共用""), REGEXMATCH(F6318, ""Ben帳戶|Elsa帳戶|Ben代墊|Ariel代墊|中信銀行共用"")), ""內部轉帳(忽略)"",
  AND(E6318&lt;&gt;"""", F6318&lt;&gt;"""", N"&amp;"OT(REGEXMATCH(C6318, ""薪資""))), ""內部轉帳(忽略)"",
  REGEXMATCH(C6318, ""薪資""), ""薪資變動(不計入)"",
  REGEXMATCH(C6318, ""押金""), ""押金往來"",
  AND(E6318&lt;&gt;"""", F6318=""""), ""真實支出"",
  AND(E6318="""", F6318&lt;&gt;""""), ""真實收入"",
  TRUE, ""其他""
)"),"其他")</f>
        <v>其他</v>
      </c>
      <c r="K6318" s="270" t="str">
        <f t="shared" si="2"/>
        <v/>
      </c>
      <c r="L6318">
        <f t="shared" si="3"/>
        <v>0</v>
      </c>
    </row>
    <row r="6319">
      <c r="A6319" s="107"/>
      <c r="D6319" s="270"/>
      <c r="H6319" s="106" t="str">
        <f t="shared" si="1"/>
        <v/>
      </c>
      <c r="J6319" t="str">
        <f>IFERROR(__xludf.DUMMYFUNCTION("IFS(
  AND(REGEXMATCH(E6319, ""台銀籌備帳戶|玉山帳戶""), REGEXMATCH(C6319, ""薪資"")), ""分潤支出"",
  AND(REGEXMATCH(E6319, ""Ben帳戶|Elsa帳戶|Ben代墊|Ariel代墊|中信銀行共用""), REGEXMATCH(F6319, ""Ben帳戶|Elsa帳戶|Ben代墊|Ariel代墊|中信銀行共用"")), ""內部轉帳(忽略)"",
  AND(E6319&lt;&gt;"""", F6319&lt;&gt;"""", N"&amp;"OT(REGEXMATCH(C6319, ""薪資""))), ""內部轉帳(忽略)"",
  REGEXMATCH(C6319, ""薪資""), ""薪資變動(不計入)"",
  REGEXMATCH(C6319, ""押金""), ""押金往來"",
  AND(E6319&lt;&gt;"""", F6319=""""), ""真實支出"",
  AND(E6319="""", F6319&lt;&gt;""""), ""真實收入"",
  TRUE, ""其他""
)"),"其他")</f>
        <v>其他</v>
      </c>
      <c r="K6319" s="270" t="str">
        <f t="shared" si="2"/>
        <v/>
      </c>
      <c r="L6319">
        <f t="shared" si="3"/>
        <v>0</v>
      </c>
    </row>
    <row r="6320">
      <c r="A6320" s="107"/>
      <c r="D6320" s="270"/>
      <c r="H6320" s="106" t="str">
        <f t="shared" si="1"/>
        <v/>
      </c>
      <c r="J6320" t="str">
        <f>IFERROR(__xludf.DUMMYFUNCTION("IFS(
  AND(REGEXMATCH(E6320, ""台銀籌備帳戶|玉山帳戶""), REGEXMATCH(C6320, ""薪資"")), ""分潤支出"",
  AND(REGEXMATCH(E6320, ""Ben帳戶|Elsa帳戶|Ben代墊|Ariel代墊|中信銀行共用""), REGEXMATCH(F6320, ""Ben帳戶|Elsa帳戶|Ben代墊|Ariel代墊|中信銀行共用"")), ""內部轉帳(忽略)"",
  AND(E6320&lt;&gt;"""", F6320&lt;&gt;"""", N"&amp;"OT(REGEXMATCH(C6320, ""薪資""))), ""內部轉帳(忽略)"",
  REGEXMATCH(C6320, ""薪資""), ""薪資變動(不計入)"",
  REGEXMATCH(C6320, ""押金""), ""押金往來"",
  AND(E6320&lt;&gt;"""", F6320=""""), ""真實支出"",
  AND(E6320="""", F6320&lt;&gt;""""), ""真實收入"",
  TRUE, ""其他""
)"),"其他")</f>
        <v>其他</v>
      </c>
      <c r="K6320" s="270" t="str">
        <f t="shared" si="2"/>
        <v/>
      </c>
      <c r="L6320">
        <f t="shared" si="3"/>
        <v>0</v>
      </c>
    </row>
    <row r="6321">
      <c r="A6321" s="107"/>
      <c r="D6321" s="270"/>
      <c r="H6321" s="106" t="str">
        <f t="shared" si="1"/>
        <v/>
      </c>
      <c r="J6321" t="str">
        <f>IFERROR(__xludf.DUMMYFUNCTION("IFS(
  AND(REGEXMATCH(E6321, ""台銀籌備帳戶|玉山帳戶""), REGEXMATCH(C6321, ""薪資"")), ""分潤支出"",
  AND(REGEXMATCH(E6321, ""Ben帳戶|Elsa帳戶|Ben代墊|Ariel代墊|中信銀行共用""), REGEXMATCH(F6321, ""Ben帳戶|Elsa帳戶|Ben代墊|Ariel代墊|中信銀行共用"")), ""內部轉帳(忽略)"",
  AND(E6321&lt;&gt;"""", F6321&lt;&gt;"""", N"&amp;"OT(REGEXMATCH(C6321, ""薪資""))), ""內部轉帳(忽略)"",
  REGEXMATCH(C6321, ""薪資""), ""薪資變動(不計入)"",
  REGEXMATCH(C6321, ""押金""), ""押金往來"",
  AND(E6321&lt;&gt;"""", F6321=""""), ""真實支出"",
  AND(E6321="""", F6321&lt;&gt;""""), ""真實收入"",
  TRUE, ""其他""
)"),"其他")</f>
        <v>其他</v>
      </c>
      <c r="K6321" s="270" t="str">
        <f t="shared" si="2"/>
        <v/>
      </c>
      <c r="L6321">
        <f t="shared" si="3"/>
        <v>0</v>
      </c>
    </row>
    <row r="6322">
      <c r="A6322" s="107"/>
      <c r="D6322" s="270"/>
      <c r="H6322" s="106" t="str">
        <f t="shared" si="1"/>
        <v/>
      </c>
      <c r="J6322" t="str">
        <f>IFERROR(__xludf.DUMMYFUNCTION("IFS(
  AND(REGEXMATCH(E6322, ""台銀籌備帳戶|玉山帳戶""), REGEXMATCH(C6322, ""薪資"")), ""分潤支出"",
  AND(REGEXMATCH(E6322, ""Ben帳戶|Elsa帳戶|Ben代墊|Ariel代墊|中信銀行共用""), REGEXMATCH(F6322, ""Ben帳戶|Elsa帳戶|Ben代墊|Ariel代墊|中信銀行共用"")), ""內部轉帳(忽略)"",
  AND(E6322&lt;&gt;"""", F6322&lt;&gt;"""", N"&amp;"OT(REGEXMATCH(C6322, ""薪資""))), ""內部轉帳(忽略)"",
  REGEXMATCH(C6322, ""薪資""), ""薪資變動(不計入)"",
  REGEXMATCH(C6322, ""押金""), ""押金往來"",
  AND(E6322&lt;&gt;"""", F6322=""""), ""真實支出"",
  AND(E6322="""", F6322&lt;&gt;""""), ""真實收入"",
  TRUE, ""其他""
)"),"其他")</f>
        <v>其他</v>
      </c>
      <c r="K6322" s="270" t="str">
        <f t="shared" si="2"/>
        <v/>
      </c>
      <c r="L6322">
        <f t="shared" si="3"/>
        <v>0</v>
      </c>
    </row>
    <row r="6323">
      <c r="A6323" s="107"/>
      <c r="D6323" s="270"/>
      <c r="H6323" s="106" t="str">
        <f t="shared" si="1"/>
        <v/>
      </c>
      <c r="J6323" t="str">
        <f>IFERROR(__xludf.DUMMYFUNCTION("IFS(
  AND(REGEXMATCH(E6323, ""台銀籌備帳戶|玉山帳戶""), REGEXMATCH(C6323, ""薪資"")), ""分潤支出"",
  AND(REGEXMATCH(E6323, ""Ben帳戶|Elsa帳戶|Ben代墊|Ariel代墊|中信銀行共用""), REGEXMATCH(F6323, ""Ben帳戶|Elsa帳戶|Ben代墊|Ariel代墊|中信銀行共用"")), ""內部轉帳(忽略)"",
  AND(E6323&lt;&gt;"""", F6323&lt;&gt;"""", N"&amp;"OT(REGEXMATCH(C6323, ""薪資""))), ""內部轉帳(忽略)"",
  REGEXMATCH(C6323, ""薪資""), ""薪資變動(不計入)"",
  REGEXMATCH(C6323, ""押金""), ""押金往來"",
  AND(E6323&lt;&gt;"""", F6323=""""), ""真實支出"",
  AND(E6323="""", F6323&lt;&gt;""""), ""真實收入"",
  TRUE, ""其他""
)"),"其他")</f>
        <v>其他</v>
      </c>
      <c r="K6323" s="270" t="str">
        <f t="shared" si="2"/>
        <v/>
      </c>
      <c r="L6323">
        <f t="shared" si="3"/>
        <v>0</v>
      </c>
    </row>
    <row r="6324">
      <c r="A6324" s="107"/>
      <c r="D6324" s="270"/>
      <c r="H6324" s="106" t="str">
        <f t="shared" si="1"/>
        <v/>
      </c>
      <c r="J6324" t="str">
        <f>IFERROR(__xludf.DUMMYFUNCTION("IFS(
  AND(REGEXMATCH(E6324, ""台銀籌備帳戶|玉山帳戶""), REGEXMATCH(C6324, ""薪資"")), ""分潤支出"",
  AND(REGEXMATCH(E6324, ""Ben帳戶|Elsa帳戶|Ben代墊|Ariel代墊|中信銀行共用""), REGEXMATCH(F6324, ""Ben帳戶|Elsa帳戶|Ben代墊|Ariel代墊|中信銀行共用"")), ""內部轉帳(忽略)"",
  AND(E6324&lt;&gt;"""", F6324&lt;&gt;"""", N"&amp;"OT(REGEXMATCH(C6324, ""薪資""))), ""內部轉帳(忽略)"",
  REGEXMATCH(C6324, ""薪資""), ""薪資變動(不計入)"",
  REGEXMATCH(C6324, ""押金""), ""押金往來"",
  AND(E6324&lt;&gt;"""", F6324=""""), ""真實支出"",
  AND(E6324="""", F6324&lt;&gt;""""), ""真實收入"",
  TRUE, ""其他""
)"),"其他")</f>
        <v>其他</v>
      </c>
      <c r="K6324" s="270" t="str">
        <f t="shared" si="2"/>
        <v/>
      </c>
      <c r="L6324">
        <f t="shared" si="3"/>
        <v>0</v>
      </c>
    </row>
    <row r="6325">
      <c r="A6325" s="107"/>
      <c r="D6325" s="270"/>
      <c r="H6325" s="106" t="str">
        <f t="shared" si="1"/>
        <v/>
      </c>
      <c r="J6325" t="str">
        <f>IFERROR(__xludf.DUMMYFUNCTION("IFS(
  AND(REGEXMATCH(E6325, ""台銀籌備帳戶|玉山帳戶""), REGEXMATCH(C6325, ""薪資"")), ""分潤支出"",
  AND(REGEXMATCH(E6325, ""Ben帳戶|Elsa帳戶|Ben代墊|Ariel代墊|中信銀行共用""), REGEXMATCH(F6325, ""Ben帳戶|Elsa帳戶|Ben代墊|Ariel代墊|中信銀行共用"")), ""內部轉帳(忽略)"",
  AND(E6325&lt;&gt;"""", F6325&lt;&gt;"""", N"&amp;"OT(REGEXMATCH(C6325, ""薪資""))), ""內部轉帳(忽略)"",
  REGEXMATCH(C6325, ""薪資""), ""薪資變動(不計入)"",
  REGEXMATCH(C6325, ""押金""), ""押金往來"",
  AND(E6325&lt;&gt;"""", F6325=""""), ""真實支出"",
  AND(E6325="""", F6325&lt;&gt;""""), ""真實收入"",
  TRUE, ""其他""
)"),"其他")</f>
        <v>其他</v>
      </c>
      <c r="K6325" s="270" t="str">
        <f t="shared" si="2"/>
        <v/>
      </c>
      <c r="L6325">
        <f t="shared" si="3"/>
        <v>0</v>
      </c>
    </row>
    <row r="6326">
      <c r="A6326" s="107"/>
      <c r="D6326" s="270"/>
      <c r="H6326" s="106" t="str">
        <f t="shared" si="1"/>
        <v/>
      </c>
      <c r="J6326" t="str">
        <f>IFERROR(__xludf.DUMMYFUNCTION("IFS(
  AND(REGEXMATCH(E6326, ""台銀籌備帳戶|玉山帳戶""), REGEXMATCH(C6326, ""薪資"")), ""分潤支出"",
  AND(REGEXMATCH(E6326, ""Ben帳戶|Elsa帳戶|Ben代墊|Ariel代墊|中信銀行共用""), REGEXMATCH(F6326, ""Ben帳戶|Elsa帳戶|Ben代墊|Ariel代墊|中信銀行共用"")), ""內部轉帳(忽略)"",
  AND(E6326&lt;&gt;"""", F6326&lt;&gt;"""", N"&amp;"OT(REGEXMATCH(C6326, ""薪資""))), ""內部轉帳(忽略)"",
  REGEXMATCH(C6326, ""薪資""), ""薪資變動(不計入)"",
  REGEXMATCH(C6326, ""押金""), ""押金往來"",
  AND(E6326&lt;&gt;"""", F6326=""""), ""真實支出"",
  AND(E6326="""", F6326&lt;&gt;""""), ""真實收入"",
  TRUE, ""其他""
)"),"其他")</f>
        <v>其他</v>
      </c>
      <c r="K6326" s="270" t="str">
        <f t="shared" si="2"/>
        <v/>
      </c>
      <c r="L6326">
        <f t="shared" si="3"/>
        <v>0</v>
      </c>
    </row>
    <row r="6327">
      <c r="A6327" s="107"/>
      <c r="D6327" s="270"/>
      <c r="H6327" s="106" t="str">
        <f t="shared" si="1"/>
        <v/>
      </c>
      <c r="J6327" t="str">
        <f>IFERROR(__xludf.DUMMYFUNCTION("IFS(
  AND(REGEXMATCH(E6327, ""台銀籌備帳戶|玉山帳戶""), REGEXMATCH(C6327, ""薪資"")), ""分潤支出"",
  AND(REGEXMATCH(E6327, ""Ben帳戶|Elsa帳戶|Ben代墊|Ariel代墊|中信銀行共用""), REGEXMATCH(F6327, ""Ben帳戶|Elsa帳戶|Ben代墊|Ariel代墊|中信銀行共用"")), ""內部轉帳(忽略)"",
  AND(E6327&lt;&gt;"""", F6327&lt;&gt;"""", N"&amp;"OT(REGEXMATCH(C6327, ""薪資""))), ""內部轉帳(忽略)"",
  REGEXMATCH(C6327, ""薪資""), ""薪資變動(不計入)"",
  REGEXMATCH(C6327, ""押金""), ""押金往來"",
  AND(E6327&lt;&gt;"""", F6327=""""), ""真實支出"",
  AND(E6327="""", F6327&lt;&gt;""""), ""真實收入"",
  TRUE, ""其他""
)"),"其他")</f>
        <v>其他</v>
      </c>
      <c r="K6327" s="270" t="str">
        <f t="shared" si="2"/>
        <v/>
      </c>
      <c r="L6327">
        <f t="shared" si="3"/>
        <v>0</v>
      </c>
    </row>
    <row r="6328">
      <c r="A6328" s="107"/>
      <c r="D6328" s="270"/>
      <c r="H6328" s="106" t="str">
        <f t="shared" si="1"/>
        <v/>
      </c>
      <c r="J6328" t="str">
        <f>IFERROR(__xludf.DUMMYFUNCTION("IFS(
  AND(REGEXMATCH(E6328, ""台銀籌備帳戶|玉山帳戶""), REGEXMATCH(C6328, ""薪資"")), ""分潤支出"",
  AND(REGEXMATCH(E6328, ""Ben帳戶|Elsa帳戶|Ben代墊|Ariel代墊|中信銀行共用""), REGEXMATCH(F6328, ""Ben帳戶|Elsa帳戶|Ben代墊|Ariel代墊|中信銀行共用"")), ""內部轉帳(忽略)"",
  AND(E6328&lt;&gt;"""", F6328&lt;&gt;"""", N"&amp;"OT(REGEXMATCH(C6328, ""薪資""))), ""內部轉帳(忽略)"",
  REGEXMATCH(C6328, ""薪資""), ""薪資變動(不計入)"",
  REGEXMATCH(C6328, ""押金""), ""押金往來"",
  AND(E6328&lt;&gt;"""", F6328=""""), ""真實支出"",
  AND(E6328="""", F6328&lt;&gt;""""), ""真實收入"",
  TRUE, ""其他""
)"),"其他")</f>
        <v>其他</v>
      </c>
      <c r="K6328" s="270" t="str">
        <f t="shared" si="2"/>
        <v/>
      </c>
      <c r="L6328">
        <f t="shared" si="3"/>
        <v>0</v>
      </c>
    </row>
    <row r="6329">
      <c r="A6329" s="107"/>
      <c r="D6329" s="270"/>
      <c r="H6329" s="106" t="str">
        <f t="shared" si="1"/>
        <v/>
      </c>
      <c r="J6329" t="str">
        <f>IFERROR(__xludf.DUMMYFUNCTION("IFS(
  AND(REGEXMATCH(E6329, ""台銀籌備帳戶|玉山帳戶""), REGEXMATCH(C6329, ""薪資"")), ""分潤支出"",
  AND(REGEXMATCH(E6329, ""Ben帳戶|Elsa帳戶|Ben代墊|Ariel代墊|中信銀行共用""), REGEXMATCH(F6329, ""Ben帳戶|Elsa帳戶|Ben代墊|Ariel代墊|中信銀行共用"")), ""內部轉帳(忽略)"",
  AND(E6329&lt;&gt;"""", F6329&lt;&gt;"""", N"&amp;"OT(REGEXMATCH(C6329, ""薪資""))), ""內部轉帳(忽略)"",
  REGEXMATCH(C6329, ""薪資""), ""薪資變動(不計入)"",
  REGEXMATCH(C6329, ""押金""), ""押金往來"",
  AND(E6329&lt;&gt;"""", F6329=""""), ""真實支出"",
  AND(E6329="""", F6329&lt;&gt;""""), ""真實收入"",
  TRUE, ""其他""
)"),"其他")</f>
        <v>其他</v>
      </c>
      <c r="K6329" s="270" t="str">
        <f t="shared" si="2"/>
        <v/>
      </c>
      <c r="L6329">
        <f t="shared" si="3"/>
        <v>0</v>
      </c>
    </row>
    <row r="6330">
      <c r="A6330" s="107"/>
      <c r="D6330" s="270"/>
      <c r="H6330" s="106" t="str">
        <f t="shared" si="1"/>
        <v/>
      </c>
      <c r="J6330" t="str">
        <f>IFERROR(__xludf.DUMMYFUNCTION("IFS(
  AND(REGEXMATCH(E6330, ""台銀籌備帳戶|玉山帳戶""), REGEXMATCH(C6330, ""薪資"")), ""分潤支出"",
  AND(REGEXMATCH(E6330, ""Ben帳戶|Elsa帳戶|Ben代墊|Ariel代墊|中信銀行共用""), REGEXMATCH(F6330, ""Ben帳戶|Elsa帳戶|Ben代墊|Ariel代墊|中信銀行共用"")), ""內部轉帳(忽略)"",
  AND(E6330&lt;&gt;"""", F6330&lt;&gt;"""", N"&amp;"OT(REGEXMATCH(C6330, ""薪資""))), ""內部轉帳(忽略)"",
  REGEXMATCH(C6330, ""薪資""), ""薪資變動(不計入)"",
  REGEXMATCH(C6330, ""押金""), ""押金往來"",
  AND(E6330&lt;&gt;"""", F6330=""""), ""真實支出"",
  AND(E6330="""", F6330&lt;&gt;""""), ""真實收入"",
  TRUE, ""其他""
)"),"其他")</f>
        <v>其他</v>
      </c>
      <c r="K6330" s="270" t="str">
        <f t="shared" si="2"/>
        <v/>
      </c>
      <c r="L6330">
        <f t="shared" si="3"/>
        <v>0</v>
      </c>
    </row>
    <row r="6331">
      <c r="A6331" s="107"/>
      <c r="D6331" s="270"/>
      <c r="H6331" s="106" t="str">
        <f t="shared" si="1"/>
        <v/>
      </c>
      <c r="J6331" t="str">
        <f>IFERROR(__xludf.DUMMYFUNCTION("IFS(
  AND(REGEXMATCH(E6331, ""台銀籌備帳戶|玉山帳戶""), REGEXMATCH(C6331, ""薪資"")), ""分潤支出"",
  AND(REGEXMATCH(E6331, ""Ben帳戶|Elsa帳戶|Ben代墊|Ariel代墊|中信銀行共用""), REGEXMATCH(F6331, ""Ben帳戶|Elsa帳戶|Ben代墊|Ariel代墊|中信銀行共用"")), ""內部轉帳(忽略)"",
  AND(E6331&lt;&gt;"""", F6331&lt;&gt;"""", N"&amp;"OT(REGEXMATCH(C6331, ""薪資""))), ""內部轉帳(忽略)"",
  REGEXMATCH(C6331, ""薪資""), ""薪資變動(不計入)"",
  REGEXMATCH(C6331, ""押金""), ""押金往來"",
  AND(E6331&lt;&gt;"""", F6331=""""), ""真實支出"",
  AND(E6331="""", F6331&lt;&gt;""""), ""真實收入"",
  TRUE, ""其他""
)"),"其他")</f>
        <v>其他</v>
      </c>
      <c r="K6331" s="270" t="str">
        <f t="shared" si="2"/>
        <v/>
      </c>
      <c r="L6331">
        <f t="shared" si="3"/>
        <v>0</v>
      </c>
    </row>
    <row r="6332">
      <c r="A6332" s="107"/>
      <c r="D6332" s="270"/>
      <c r="H6332" s="106" t="str">
        <f t="shared" si="1"/>
        <v/>
      </c>
      <c r="J6332" t="str">
        <f>IFERROR(__xludf.DUMMYFUNCTION("IFS(
  AND(REGEXMATCH(E6332, ""台銀籌備帳戶|玉山帳戶""), REGEXMATCH(C6332, ""薪資"")), ""分潤支出"",
  AND(REGEXMATCH(E6332, ""Ben帳戶|Elsa帳戶|Ben代墊|Ariel代墊|中信銀行共用""), REGEXMATCH(F6332, ""Ben帳戶|Elsa帳戶|Ben代墊|Ariel代墊|中信銀行共用"")), ""內部轉帳(忽略)"",
  AND(E6332&lt;&gt;"""", F6332&lt;&gt;"""", N"&amp;"OT(REGEXMATCH(C6332, ""薪資""))), ""內部轉帳(忽略)"",
  REGEXMATCH(C6332, ""薪資""), ""薪資變動(不計入)"",
  REGEXMATCH(C6332, ""押金""), ""押金往來"",
  AND(E6332&lt;&gt;"""", F6332=""""), ""真實支出"",
  AND(E6332="""", F6332&lt;&gt;""""), ""真實收入"",
  TRUE, ""其他""
)"),"其他")</f>
        <v>其他</v>
      </c>
      <c r="K6332" s="270" t="str">
        <f t="shared" si="2"/>
        <v/>
      </c>
      <c r="L6332">
        <f t="shared" si="3"/>
        <v>0</v>
      </c>
    </row>
    <row r="6333">
      <c r="A6333" s="107"/>
      <c r="D6333" s="270"/>
      <c r="H6333" s="106" t="str">
        <f t="shared" si="1"/>
        <v/>
      </c>
      <c r="J6333" t="str">
        <f>IFERROR(__xludf.DUMMYFUNCTION("IFS(
  AND(REGEXMATCH(E6333, ""台銀籌備帳戶|玉山帳戶""), REGEXMATCH(C6333, ""薪資"")), ""分潤支出"",
  AND(REGEXMATCH(E6333, ""Ben帳戶|Elsa帳戶|Ben代墊|Ariel代墊|中信銀行共用""), REGEXMATCH(F6333, ""Ben帳戶|Elsa帳戶|Ben代墊|Ariel代墊|中信銀行共用"")), ""內部轉帳(忽略)"",
  AND(E6333&lt;&gt;"""", F6333&lt;&gt;"""", N"&amp;"OT(REGEXMATCH(C6333, ""薪資""))), ""內部轉帳(忽略)"",
  REGEXMATCH(C6333, ""薪資""), ""薪資變動(不計入)"",
  REGEXMATCH(C6333, ""押金""), ""押金往來"",
  AND(E6333&lt;&gt;"""", F6333=""""), ""真實支出"",
  AND(E6333="""", F6333&lt;&gt;""""), ""真實收入"",
  TRUE, ""其他""
)"),"其他")</f>
        <v>其他</v>
      </c>
      <c r="K6333" s="270" t="str">
        <f t="shared" si="2"/>
        <v/>
      </c>
      <c r="L6333">
        <f t="shared" si="3"/>
        <v>0</v>
      </c>
    </row>
    <row r="6334">
      <c r="A6334" s="107"/>
      <c r="D6334" s="270"/>
      <c r="H6334" s="106" t="str">
        <f t="shared" si="1"/>
        <v/>
      </c>
      <c r="J6334" t="str">
        <f>IFERROR(__xludf.DUMMYFUNCTION("IFS(
  AND(REGEXMATCH(E6334, ""台銀籌備帳戶|玉山帳戶""), REGEXMATCH(C6334, ""薪資"")), ""分潤支出"",
  AND(REGEXMATCH(E6334, ""Ben帳戶|Elsa帳戶|Ben代墊|Ariel代墊|中信銀行共用""), REGEXMATCH(F6334, ""Ben帳戶|Elsa帳戶|Ben代墊|Ariel代墊|中信銀行共用"")), ""內部轉帳(忽略)"",
  AND(E6334&lt;&gt;"""", F6334&lt;&gt;"""", N"&amp;"OT(REGEXMATCH(C6334, ""薪資""))), ""內部轉帳(忽略)"",
  REGEXMATCH(C6334, ""薪資""), ""薪資變動(不計入)"",
  REGEXMATCH(C6334, ""押金""), ""押金往來"",
  AND(E6334&lt;&gt;"""", F6334=""""), ""真實支出"",
  AND(E6334="""", F6334&lt;&gt;""""), ""真實收入"",
  TRUE, ""其他""
)"),"其他")</f>
        <v>其他</v>
      </c>
      <c r="K6334" s="270" t="str">
        <f t="shared" si="2"/>
        <v/>
      </c>
      <c r="L6334">
        <f t="shared" si="3"/>
        <v>0</v>
      </c>
    </row>
    <row r="6335">
      <c r="A6335" s="107"/>
      <c r="D6335" s="270"/>
      <c r="H6335" s="106" t="str">
        <f t="shared" si="1"/>
        <v/>
      </c>
      <c r="J6335" t="str">
        <f>IFERROR(__xludf.DUMMYFUNCTION("IFS(
  AND(REGEXMATCH(E6335, ""台銀籌備帳戶|玉山帳戶""), REGEXMATCH(C6335, ""薪資"")), ""分潤支出"",
  AND(REGEXMATCH(E6335, ""Ben帳戶|Elsa帳戶|Ben代墊|Ariel代墊|中信銀行共用""), REGEXMATCH(F6335, ""Ben帳戶|Elsa帳戶|Ben代墊|Ariel代墊|中信銀行共用"")), ""內部轉帳(忽略)"",
  AND(E6335&lt;&gt;"""", F6335&lt;&gt;"""", N"&amp;"OT(REGEXMATCH(C6335, ""薪資""))), ""內部轉帳(忽略)"",
  REGEXMATCH(C6335, ""薪資""), ""薪資變動(不計入)"",
  REGEXMATCH(C6335, ""押金""), ""押金往來"",
  AND(E6335&lt;&gt;"""", F6335=""""), ""真實支出"",
  AND(E6335="""", F6335&lt;&gt;""""), ""真實收入"",
  TRUE, ""其他""
)"),"其他")</f>
        <v>其他</v>
      </c>
      <c r="K6335" s="270" t="str">
        <f t="shared" si="2"/>
        <v/>
      </c>
      <c r="L6335">
        <f t="shared" si="3"/>
        <v>0</v>
      </c>
    </row>
    <row r="6336">
      <c r="A6336" s="107"/>
      <c r="D6336" s="270"/>
      <c r="H6336" s="106" t="str">
        <f t="shared" si="1"/>
        <v/>
      </c>
      <c r="J6336" t="str">
        <f>IFERROR(__xludf.DUMMYFUNCTION("IFS(
  AND(REGEXMATCH(E6336, ""台銀籌備帳戶|玉山帳戶""), REGEXMATCH(C6336, ""薪資"")), ""分潤支出"",
  AND(REGEXMATCH(E6336, ""Ben帳戶|Elsa帳戶|Ben代墊|Ariel代墊|中信銀行共用""), REGEXMATCH(F6336, ""Ben帳戶|Elsa帳戶|Ben代墊|Ariel代墊|中信銀行共用"")), ""內部轉帳(忽略)"",
  AND(E6336&lt;&gt;"""", F6336&lt;&gt;"""", N"&amp;"OT(REGEXMATCH(C6336, ""薪資""))), ""內部轉帳(忽略)"",
  REGEXMATCH(C6336, ""薪資""), ""薪資變動(不計入)"",
  REGEXMATCH(C6336, ""押金""), ""押金往來"",
  AND(E6336&lt;&gt;"""", F6336=""""), ""真實支出"",
  AND(E6336="""", F6336&lt;&gt;""""), ""真實收入"",
  TRUE, ""其他""
)"),"其他")</f>
        <v>其他</v>
      </c>
      <c r="K6336" s="270" t="str">
        <f t="shared" si="2"/>
        <v/>
      </c>
      <c r="L6336">
        <f t="shared" si="3"/>
        <v>0</v>
      </c>
    </row>
    <row r="6337">
      <c r="A6337" s="107"/>
      <c r="D6337" s="270"/>
      <c r="H6337" s="106" t="str">
        <f t="shared" si="1"/>
        <v/>
      </c>
      <c r="J6337" t="str">
        <f>IFERROR(__xludf.DUMMYFUNCTION("IFS(
  AND(REGEXMATCH(E6337, ""台銀籌備帳戶|玉山帳戶""), REGEXMATCH(C6337, ""薪資"")), ""分潤支出"",
  AND(REGEXMATCH(E6337, ""Ben帳戶|Elsa帳戶|Ben代墊|Ariel代墊|中信銀行共用""), REGEXMATCH(F6337, ""Ben帳戶|Elsa帳戶|Ben代墊|Ariel代墊|中信銀行共用"")), ""內部轉帳(忽略)"",
  AND(E6337&lt;&gt;"""", F6337&lt;&gt;"""", N"&amp;"OT(REGEXMATCH(C6337, ""薪資""))), ""內部轉帳(忽略)"",
  REGEXMATCH(C6337, ""薪資""), ""薪資變動(不計入)"",
  REGEXMATCH(C6337, ""押金""), ""押金往來"",
  AND(E6337&lt;&gt;"""", F6337=""""), ""真實支出"",
  AND(E6337="""", F6337&lt;&gt;""""), ""真實收入"",
  TRUE, ""其他""
)"),"其他")</f>
        <v>其他</v>
      </c>
      <c r="K6337" s="270" t="str">
        <f t="shared" si="2"/>
        <v/>
      </c>
      <c r="L6337">
        <f t="shared" si="3"/>
        <v>0</v>
      </c>
    </row>
    <row r="6338">
      <c r="A6338" s="107"/>
      <c r="D6338" s="270"/>
      <c r="H6338" s="106" t="str">
        <f t="shared" si="1"/>
        <v/>
      </c>
      <c r="J6338" t="str">
        <f>IFERROR(__xludf.DUMMYFUNCTION("IFS(
  AND(REGEXMATCH(E6338, ""台銀籌備帳戶|玉山帳戶""), REGEXMATCH(C6338, ""薪資"")), ""分潤支出"",
  AND(REGEXMATCH(E6338, ""Ben帳戶|Elsa帳戶|Ben代墊|Ariel代墊|中信銀行共用""), REGEXMATCH(F6338, ""Ben帳戶|Elsa帳戶|Ben代墊|Ariel代墊|中信銀行共用"")), ""內部轉帳(忽略)"",
  AND(E6338&lt;&gt;"""", F6338&lt;&gt;"""", N"&amp;"OT(REGEXMATCH(C6338, ""薪資""))), ""內部轉帳(忽略)"",
  REGEXMATCH(C6338, ""薪資""), ""薪資變動(不計入)"",
  REGEXMATCH(C6338, ""押金""), ""押金往來"",
  AND(E6338&lt;&gt;"""", F6338=""""), ""真實支出"",
  AND(E6338="""", F6338&lt;&gt;""""), ""真實收入"",
  TRUE, ""其他""
)"),"其他")</f>
        <v>其他</v>
      </c>
      <c r="K6338" s="270" t="str">
        <f t="shared" si="2"/>
        <v/>
      </c>
      <c r="L6338">
        <f t="shared" si="3"/>
        <v>0</v>
      </c>
    </row>
    <row r="6339">
      <c r="A6339" s="107"/>
      <c r="D6339" s="270"/>
      <c r="H6339" s="106" t="str">
        <f t="shared" si="1"/>
        <v/>
      </c>
      <c r="J6339" t="str">
        <f>IFERROR(__xludf.DUMMYFUNCTION("IFS(
  AND(REGEXMATCH(E6339, ""台銀籌備帳戶|玉山帳戶""), REGEXMATCH(C6339, ""薪資"")), ""分潤支出"",
  AND(REGEXMATCH(E6339, ""Ben帳戶|Elsa帳戶|Ben代墊|Ariel代墊|中信銀行共用""), REGEXMATCH(F6339, ""Ben帳戶|Elsa帳戶|Ben代墊|Ariel代墊|中信銀行共用"")), ""內部轉帳(忽略)"",
  AND(E6339&lt;&gt;"""", F6339&lt;&gt;"""", N"&amp;"OT(REGEXMATCH(C6339, ""薪資""))), ""內部轉帳(忽略)"",
  REGEXMATCH(C6339, ""薪資""), ""薪資變動(不計入)"",
  REGEXMATCH(C6339, ""押金""), ""押金往來"",
  AND(E6339&lt;&gt;"""", F6339=""""), ""真實支出"",
  AND(E6339="""", F6339&lt;&gt;""""), ""真實收入"",
  TRUE, ""其他""
)"),"其他")</f>
        <v>其他</v>
      </c>
      <c r="K6339" s="270" t="str">
        <f t="shared" si="2"/>
        <v/>
      </c>
      <c r="L6339">
        <f t="shared" si="3"/>
        <v>0</v>
      </c>
    </row>
    <row r="6340">
      <c r="A6340" s="107"/>
      <c r="D6340" s="270"/>
      <c r="H6340" s="106" t="str">
        <f t="shared" si="1"/>
        <v/>
      </c>
      <c r="J6340" t="str">
        <f>IFERROR(__xludf.DUMMYFUNCTION("IFS(
  AND(REGEXMATCH(E6340, ""台銀籌備帳戶|玉山帳戶""), REGEXMATCH(C6340, ""薪資"")), ""分潤支出"",
  AND(REGEXMATCH(E6340, ""Ben帳戶|Elsa帳戶|Ben代墊|Ariel代墊|中信銀行共用""), REGEXMATCH(F6340, ""Ben帳戶|Elsa帳戶|Ben代墊|Ariel代墊|中信銀行共用"")), ""內部轉帳(忽略)"",
  AND(E6340&lt;&gt;"""", F6340&lt;&gt;"""", N"&amp;"OT(REGEXMATCH(C6340, ""薪資""))), ""內部轉帳(忽略)"",
  REGEXMATCH(C6340, ""薪資""), ""薪資變動(不計入)"",
  REGEXMATCH(C6340, ""押金""), ""押金往來"",
  AND(E6340&lt;&gt;"""", F6340=""""), ""真實支出"",
  AND(E6340="""", F6340&lt;&gt;""""), ""真實收入"",
  TRUE, ""其他""
)"),"其他")</f>
        <v>其他</v>
      </c>
      <c r="K6340" s="270" t="str">
        <f t="shared" si="2"/>
        <v/>
      </c>
      <c r="L6340">
        <f t="shared" si="3"/>
        <v>0</v>
      </c>
    </row>
    <row r="6341">
      <c r="A6341" s="107"/>
      <c r="D6341" s="270"/>
      <c r="H6341" s="106" t="str">
        <f t="shared" si="1"/>
        <v/>
      </c>
      <c r="J6341" t="str">
        <f>IFERROR(__xludf.DUMMYFUNCTION("IFS(
  AND(REGEXMATCH(E6341, ""台銀籌備帳戶|玉山帳戶""), REGEXMATCH(C6341, ""薪資"")), ""分潤支出"",
  AND(REGEXMATCH(E6341, ""Ben帳戶|Elsa帳戶|Ben代墊|Ariel代墊|中信銀行共用""), REGEXMATCH(F6341, ""Ben帳戶|Elsa帳戶|Ben代墊|Ariel代墊|中信銀行共用"")), ""內部轉帳(忽略)"",
  AND(E6341&lt;&gt;"""", F6341&lt;&gt;"""", N"&amp;"OT(REGEXMATCH(C6341, ""薪資""))), ""內部轉帳(忽略)"",
  REGEXMATCH(C6341, ""薪資""), ""薪資變動(不計入)"",
  REGEXMATCH(C6341, ""押金""), ""押金往來"",
  AND(E6341&lt;&gt;"""", F6341=""""), ""真實支出"",
  AND(E6341="""", F6341&lt;&gt;""""), ""真實收入"",
  TRUE, ""其他""
)"),"其他")</f>
        <v>其他</v>
      </c>
      <c r="K6341" s="270" t="str">
        <f t="shared" si="2"/>
        <v/>
      </c>
      <c r="L6341">
        <f t="shared" si="3"/>
        <v>0</v>
      </c>
    </row>
    <row r="6342">
      <c r="A6342" s="107"/>
      <c r="D6342" s="270"/>
      <c r="H6342" s="106" t="str">
        <f t="shared" si="1"/>
        <v/>
      </c>
      <c r="J6342" t="str">
        <f>IFERROR(__xludf.DUMMYFUNCTION("IFS(
  AND(REGEXMATCH(E6342, ""台銀籌備帳戶|玉山帳戶""), REGEXMATCH(C6342, ""薪資"")), ""分潤支出"",
  AND(REGEXMATCH(E6342, ""Ben帳戶|Elsa帳戶|Ben代墊|Ariel代墊|中信銀行共用""), REGEXMATCH(F6342, ""Ben帳戶|Elsa帳戶|Ben代墊|Ariel代墊|中信銀行共用"")), ""內部轉帳(忽略)"",
  AND(E6342&lt;&gt;"""", F6342&lt;&gt;"""", N"&amp;"OT(REGEXMATCH(C6342, ""薪資""))), ""內部轉帳(忽略)"",
  REGEXMATCH(C6342, ""薪資""), ""薪資變動(不計入)"",
  REGEXMATCH(C6342, ""押金""), ""押金往來"",
  AND(E6342&lt;&gt;"""", F6342=""""), ""真實支出"",
  AND(E6342="""", F6342&lt;&gt;""""), ""真實收入"",
  TRUE, ""其他""
)"),"其他")</f>
        <v>其他</v>
      </c>
      <c r="K6342" s="270" t="str">
        <f t="shared" si="2"/>
        <v/>
      </c>
      <c r="L6342">
        <f t="shared" si="3"/>
        <v>0</v>
      </c>
    </row>
    <row r="6343">
      <c r="A6343" s="107"/>
      <c r="D6343" s="270"/>
      <c r="H6343" s="106" t="str">
        <f t="shared" si="1"/>
        <v/>
      </c>
      <c r="J6343" t="str">
        <f>IFERROR(__xludf.DUMMYFUNCTION("IFS(
  AND(REGEXMATCH(E6343, ""台銀籌備帳戶|玉山帳戶""), REGEXMATCH(C6343, ""薪資"")), ""分潤支出"",
  AND(REGEXMATCH(E6343, ""Ben帳戶|Elsa帳戶|Ben代墊|Ariel代墊|中信銀行共用""), REGEXMATCH(F6343, ""Ben帳戶|Elsa帳戶|Ben代墊|Ariel代墊|中信銀行共用"")), ""內部轉帳(忽略)"",
  AND(E6343&lt;&gt;"""", F6343&lt;&gt;"""", N"&amp;"OT(REGEXMATCH(C6343, ""薪資""))), ""內部轉帳(忽略)"",
  REGEXMATCH(C6343, ""薪資""), ""薪資變動(不計入)"",
  REGEXMATCH(C6343, ""押金""), ""押金往來"",
  AND(E6343&lt;&gt;"""", F6343=""""), ""真實支出"",
  AND(E6343="""", F6343&lt;&gt;""""), ""真實收入"",
  TRUE, ""其他""
)"),"其他")</f>
        <v>其他</v>
      </c>
      <c r="K6343" s="270" t="str">
        <f t="shared" si="2"/>
        <v/>
      </c>
      <c r="L6343">
        <f t="shared" si="3"/>
        <v>0</v>
      </c>
    </row>
    <row r="6344">
      <c r="A6344" s="107"/>
      <c r="D6344" s="270"/>
      <c r="H6344" s="106" t="str">
        <f t="shared" si="1"/>
        <v/>
      </c>
      <c r="J6344" t="str">
        <f>IFERROR(__xludf.DUMMYFUNCTION("IFS(
  AND(REGEXMATCH(E6344, ""台銀籌備帳戶|玉山帳戶""), REGEXMATCH(C6344, ""薪資"")), ""分潤支出"",
  AND(REGEXMATCH(E6344, ""Ben帳戶|Elsa帳戶|Ben代墊|Ariel代墊|中信銀行共用""), REGEXMATCH(F6344, ""Ben帳戶|Elsa帳戶|Ben代墊|Ariel代墊|中信銀行共用"")), ""內部轉帳(忽略)"",
  AND(E6344&lt;&gt;"""", F6344&lt;&gt;"""", N"&amp;"OT(REGEXMATCH(C6344, ""薪資""))), ""內部轉帳(忽略)"",
  REGEXMATCH(C6344, ""薪資""), ""薪資變動(不計入)"",
  REGEXMATCH(C6344, ""押金""), ""押金往來"",
  AND(E6344&lt;&gt;"""", F6344=""""), ""真實支出"",
  AND(E6344="""", F6344&lt;&gt;""""), ""真實收入"",
  TRUE, ""其他""
)"),"其他")</f>
        <v>其他</v>
      </c>
      <c r="K6344" s="270" t="str">
        <f t="shared" si="2"/>
        <v/>
      </c>
      <c r="L6344">
        <f t="shared" si="3"/>
        <v>0</v>
      </c>
    </row>
    <row r="6345">
      <c r="A6345" s="107"/>
      <c r="D6345" s="270"/>
      <c r="H6345" s="106" t="str">
        <f t="shared" si="1"/>
        <v/>
      </c>
      <c r="J6345" t="str">
        <f>IFERROR(__xludf.DUMMYFUNCTION("IFS(
  AND(REGEXMATCH(E6345, ""台銀籌備帳戶|玉山帳戶""), REGEXMATCH(C6345, ""薪資"")), ""分潤支出"",
  AND(REGEXMATCH(E6345, ""Ben帳戶|Elsa帳戶|Ben代墊|Ariel代墊|中信銀行共用""), REGEXMATCH(F6345, ""Ben帳戶|Elsa帳戶|Ben代墊|Ariel代墊|中信銀行共用"")), ""內部轉帳(忽略)"",
  AND(E6345&lt;&gt;"""", F6345&lt;&gt;"""", N"&amp;"OT(REGEXMATCH(C6345, ""薪資""))), ""內部轉帳(忽略)"",
  REGEXMATCH(C6345, ""薪資""), ""薪資變動(不計入)"",
  REGEXMATCH(C6345, ""押金""), ""押金往來"",
  AND(E6345&lt;&gt;"""", F6345=""""), ""真實支出"",
  AND(E6345="""", F6345&lt;&gt;""""), ""真實收入"",
  TRUE, ""其他""
)"),"其他")</f>
        <v>其他</v>
      </c>
      <c r="K6345" s="270" t="str">
        <f t="shared" si="2"/>
        <v/>
      </c>
      <c r="L6345">
        <f t="shared" si="3"/>
        <v>0</v>
      </c>
    </row>
    <row r="6346">
      <c r="A6346" s="107"/>
      <c r="D6346" s="270"/>
      <c r="H6346" s="106" t="str">
        <f t="shared" si="1"/>
        <v/>
      </c>
      <c r="J6346" t="str">
        <f>IFERROR(__xludf.DUMMYFUNCTION("IFS(
  AND(REGEXMATCH(E6346, ""台銀籌備帳戶|玉山帳戶""), REGEXMATCH(C6346, ""薪資"")), ""分潤支出"",
  AND(REGEXMATCH(E6346, ""Ben帳戶|Elsa帳戶|Ben代墊|Ariel代墊|中信銀行共用""), REGEXMATCH(F6346, ""Ben帳戶|Elsa帳戶|Ben代墊|Ariel代墊|中信銀行共用"")), ""內部轉帳(忽略)"",
  AND(E6346&lt;&gt;"""", F6346&lt;&gt;"""", N"&amp;"OT(REGEXMATCH(C6346, ""薪資""))), ""內部轉帳(忽略)"",
  REGEXMATCH(C6346, ""薪資""), ""薪資變動(不計入)"",
  REGEXMATCH(C6346, ""押金""), ""押金往來"",
  AND(E6346&lt;&gt;"""", F6346=""""), ""真實支出"",
  AND(E6346="""", F6346&lt;&gt;""""), ""真實收入"",
  TRUE, ""其他""
)"),"其他")</f>
        <v>其他</v>
      </c>
      <c r="K6346" s="270" t="str">
        <f t="shared" si="2"/>
        <v/>
      </c>
      <c r="L6346">
        <f t="shared" si="3"/>
        <v>0</v>
      </c>
    </row>
    <row r="6347">
      <c r="A6347" s="107"/>
      <c r="D6347" s="270"/>
      <c r="H6347" s="106" t="str">
        <f t="shared" si="1"/>
        <v/>
      </c>
      <c r="J6347" t="str">
        <f>IFERROR(__xludf.DUMMYFUNCTION("IFS(
  AND(REGEXMATCH(E6347, ""台銀籌備帳戶|玉山帳戶""), REGEXMATCH(C6347, ""薪資"")), ""分潤支出"",
  AND(REGEXMATCH(E6347, ""Ben帳戶|Elsa帳戶|Ben代墊|Ariel代墊|中信銀行共用""), REGEXMATCH(F6347, ""Ben帳戶|Elsa帳戶|Ben代墊|Ariel代墊|中信銀行共用"")), ""內部轉帳(忽略)"",
  AND(E6347&lt;&gt;"""", F6347&lt;&gt;"""", N"&amp;"OT(REGEXMATCH(C6347, ""薪資""))), ""內部轉帳(忽略)"",
  REGEXMATCH(C6347, ""薪資""), ""薪資變動(不計入)"",
  REGEXMATCH(C6347, ""押金""), ""押金往來"",
  AND(E6347&lt;&gt;"""", F6347=""""), ""真實支出"",
  AND(E6347="""", F6347&lt;&gt;""""), ""真實收入"",
  TRUE, ""其他""
)"),"其他")</f>
        <v>其他</v>
      </c>
      <c r="K6347" s="270" t="str">
        <f t="shared" si="2"/>
        <v/>
      </c>
      <c r="L6347">
        <f t="shared" si="3"/>
        <v>0</v>
      </c>
    </row>
    <row r="6348">
      <c r="A6348" s="107"/>
      <c r="D6348" s="270"/>
      <c r="H6348" s="106" t="str">
        <f t="shared" si="1"/>
        <v/>
      </c>
      <c r="J6348" t="str">
        <f>IFERROR(__xludf.DUMMYFUNCTION("IFS(
  AND(REGEXMATCH(E6348, ""台銀籌備帳戶|玉山帳戶""), REGEXMATCH(C6348, ""薪資"")), ""分潤支出"",
  AND(REGEXMATCH(E6348, ""Ben帳戶|Elsa帳戶|Ben代墊|Ariel代墊|中信銀行共用""), REGEXMATCH(F6348, ""Ben帳戶|Elsa帳戶|Ben代墊|Ariel代墊|中信銀行共用"")), ""內部轉帳(忽略)"",
  AND(E6348&lt;&gt;"""", F6348&lt;&gt;"""", N"&amp;"OT(REGEXMATCH(C6348, ""薪資""))), ""內部轉帳(忽略)"",
  REGEXMATCH(C6348, ""薪資""), ""薪資變動(不計入)"",
  REGEXMATCH(C6348, ""押金""), ""押金往來"",
  AND(E6348&lt;&gt;"""", F6348=""""), ""真實支出"",
  AND(E6348="""", F6348&lt;&gt;""""), ""真實收入"",
  TRUE, ""其他""
)"),"其他")</f>
        <v>其他</v>
      </c>
      <c r="K6348" s="270" t="str">
        <f t="shared" si="2"/>
        <v/>
      </c>
      <c r="L6348">
        <f t="shared" si="3"/>
        <v>0</v>
      </c>
    </row>
    <row r="6349">
      <c r="A6349" s="107"/>
      <c r="D6349" s="270"/>
      <c r="H6349" s="106" t="str">
        <f t="shared" si="1"/>
        <v/>
      </c>
      <c r="J6349" t="str">
        <f>IFERROR(__xludf.DUMMYFUNCTION("IFS(
  AND(REGEXMATCH(E6349, ""台銀籌備帳戶|玉山帳戶""), REGEXMATCH(C6349, ""薪資"")), ""分潤支出"",
  AND(REGEXMATCH(E6349, ""Ben帳戶|Elsa帳戶|Ben代墊|Ariel代墊|中信銀行共用""), REGEXMATCH(F6349, ""Ben帳戶|Elsa帳戶|Ben代墊|Ariel代墊|中信銀行共用"")), ""內部轉帳(忽略)"",
  AND(E6349&lt;&gt;"""", F6349&lt;&gt;"""", N"&amp;"OT(REGEXMATCH(C6349, ""薪資""))), ""內部轉帳(忽略)"",
  REGEXMATCH(C6349, ""薪資""), ""薪資變動(不計入)"",
  REGEXMATCH(C6349, ""押金""), ""押金往來"",
  AND(E6349&lt;&gt;"""", F6349=""""), ""真實支出"",
  AND(E6349="""", F6349&lt;&gt;""""), ""真實收入"",
  TRUE, ""其他""
)"),"其他")</f>
        <v>其他</v>
      </c>
      <c r="K6349" s="270" t="str">
        <f t="shared" si="2"/>
        <v/>
      </c>
      <c r="L6349">
        <f t="shared" si="3"/>
        <v>0</v>
      </c>
    </row>
    <row r="6350">
      <c r="A6350" s="107"/>
      <c r="D6350" s="270"/>
      <c r="H6350" s="106" t="str">
        <f t="shared" si="1"/>
        <v/>
      </c>
      <c r="J6350" t="str">
        <f>IFERROR(__xludf.DUMMYFUNCTION("IFS(
  AND(REGEXMATCH(E6350, ""台銀籌備帳戶|玉山帳戶""), REGEXMATCH(C6350, ""薪資"")), ""分潤支出"",
  AND(REGEXMATCH(E6350, ""Ben帳戶|Elsa帳戶|Ben代墊|Ariel代墊|中信銀行共用""), REGEXMATCH(F6350, ""Ben帳戶|Elsa帳戶|Ben代墊|Ariel代墊|中信銀行共用"")), ""內部轉帳(忽略)"",
  AND(E6350&lt;&gt;"""", F6350&lt;&gt;"""", N"&amp;"OT(REGEXMATCH(C6350, ""薪資""))), ""內部轉帳(忽略)"",
  REGEXMATCH(C6350, ""薪資""), ""薪資變動(不計入)"",
  REGEXMATCH(C6350, ""押金""), ""押金往來"",
  AND(E6350&lt;&gt;"""", F6350=""""), ""真實支出"",
  AND(E6350="""", F6350&lt;&gt;""""), ""真實收入"",
  TRUE, ""其他""
)"),"其他")</f>
        <v>其他</v>
      </c>
      <c r="K6350" s="270" t="str">
        <f t="shared" si="2"/>
        <v/>
      </c>
      <c r="L6350">
        <f t="shared" si="3"/>
        <v>0</v>
      </c>
    </row>
    <row r="6351">
      <c r="A6351" s="107"/>
      <c r="D6351" s="270"/>
      <c r="H6351" s="106" t="str">
        <f t="shared" si="1"/>
        <v/>
      </c>
      <c r="J6351" t="str">
        <f>IFERROR(__xludf.DUMMYFUNCTION("IFS(
  AND(REGEXMATCH(E6351, ""台銀籌備帳戶|玉山帳戶""), REGEXMATCH(C6351, ""薪資"")), ""分潤支出"",
  AND(REGEXMATCH(E6351, ""Ben帳戶|Elsa帳戶|Ben代墊|Ariel代墊|中信銀行共用""), REGEXMATCH(F6351, ""Ben帳戶|Elsa帳戶|Ben代墊|Ariel代墊|中信銀行共用"")), ""內部轉帳(忽略)"",
  AND(E6351&lt;&gt;"""", F6351&lt;&gt;"""", N"&amp;"OT(REGEXMATCH(C6351, ""薪資""))), ""內部轉帳(忽略)"",
  REGEXMATCH(C6351, ""薪資""), ""薪資變動(不計入)"",
  REGEXMATCH(C6351, ""押金""), ""押金往來"",
  AND(E6351&lt;&gt;"""", F6351=""""), ""真實支出"",
  AND(E6351="""", F6351&lt;&gt;""""), ""真實收入"",
  TRUE, ""其他""
)"),"其他")</f>
        <v>其他</v>
      </c>
      <c r="K6351" s="270" t="str">
        <f t="shared" si="2"/>
        <v/>
      </c>
      <c r="L6351">
        <f t="shared" si="3"/>
        <v>0</v>
      </c>
    </row>
    <row r="6352">
      <c r="A6352" s="107"/>
      <c r="D6352" s="270"/>
      <c r="H6352" s="106" t="str">
        <f t="shared" si="1"/>
        <v/>
      </c>
      <c r="J6352" t="str">
        <f>IFERROR(__xludf.DUMMYFUNCTION("IFS(
  AND(REGEXMATCH(E6352, ""台銀籌備帳戶|玉山帳戶""), REGEXMATCH(C6352, ""薪資"")), ""分潤支出"",
  AND(REGEXMATCH(E6352, ""Ben帳戶|Elsa帳戶|Ben代墊|Ariel代墊|中信銀行共用""), REGEXMATCH(F6352, ""Ben帳戶|Elsa帳戶|Ben代墊|Ariel代墊|中信銀行共用"")), ""內部轉帳(忽略)"",
  AND(E6352&lt;&gt;"""", F6352&lt;&gt;"""", N"&amp;"OT(REGEXMATCH(C6352, ""薪資""))), ""內部轉帳(忽略)"",
  REGEXMATCH(C6352, ""薪資""), ""薪資變動(不計入)"",
  REGEXMATCH(C6352, ""押金""), ""押金往來"",
  AND(E6352&lt;&gt;"""", F6352=""""), ""真實支出"",
  AND(E6352="""", F6352&lt;&gt;""""), ""真實收入"",
  TRUE, ""其他""
)"),"其他")</f>
        <v>其他</v>
      </c>
      <c r="K6352" s="270" t="str">
        <f t="shared" si="2"/>
        <v/>
      </c>
      <c r="L6352">
        <f t="shared" si="3"/>
        <v>0</v>
      </c>
    </row>
    <row r="6353">
      <c r="A6353" s="107"/>
      <c r="D6353" s="270"/>
      <c r="H6353" s="106" t="str">
        <f t="shared" si="1"/>
        <v/>
      </c>
      <c r="J6353" t="str">
        <f>IFERROR(__xludf.DUMMYFUNCTION("IFS(
  AND(REGEXMATCH(E6353, ""台銀籌備帳戶|玉山帳戶""), REGEXMATCH(C6353, ""薪資"")), ""分潤支出"",
  AND(REGEXMATCH(E6353, ""Ben帳戶|Elsa帳戶|Ben代墊|Ariel代墊|中信銀行共用""), REGEXMATCH(F6353, ""Ben帳戶|Elsa帳戶|Ben代墊|Ariel代墊|中信銀行共用"")), ""內部轉帳(忽略)"",
  AND(E6353&lt;&gt;"""", F6353&lt;&gt;"""", N"&amp;"OT(REGEXMATCH(C6353, ""薪資""))), ""內部轉帳(忽略)"",
  REGEXMATCH(C6353, ""薪資""), ""薪資變動(不計入)"",
  REGEXMATCH(C6353, ""押金""), ""押金往來"",
  AND(E6353&lt;&gt;"""", F6353=""""), ""真實支出"",
  AND(E6353="""", F6353&lt;&gt;""""), ""真實收入"",
  TRUE, ""其他""
)"),"其他")</f>
        <v>其他</v>
      </c>
      <c r="K6353" s="270" t="str">
        <f t="shared" si="2"/>
        <v/>
      </c>
      <c r="L6353">
        <f t="shared" si="3"/>
        <v>0</v>
      </c>
    </row>
    <row r="6354">
      <c r="A6354" s="107"/>
      <c r="D6354" s="270"/>
      <c r="H6354" s="106" t="str">
        <f t="shared" si="1"/>
        <v/>
      </c>
      <c r="J6354" t="str">
        <f>IFERROR(__xludf.DUMMYFUNCTION("IFS(
  AND(REGEXMATCH(E6354, ""台銀籌備帳戶|玉山帳戶""), REGEXMATCH(C6354, ""薪資"")), ""分潤支出"",
  AND(REGEXMATCH(E6354, ""Ben帳戶|Elsa帳戶|Ben代墊|Ariel代墊|中信銀行共用""), REGEXMATCH(F6354, ""Ben帳戶|Elsa帳戶|Ben代墊|Ariel代墊|中信銀行共用"")), ""內部轉帳(忽略)"",
  AND(E6354&lt;&gt;"""", F6354&lt;&gt;"""", N"&amp;"OT(REGEXMATCH(C6354, ""薪資""))), ""內部轉帳(忽略)"",
  REGEXMATCH(C6354, ""薪資""), ""薪資變動(不計入)"",
  REGEXMATCH(C6354, ""押金""), ""押金往來"",
  AND(E6354&lt;&gt;"""", F6354=""""), ""真實支出"",
  AND(E6354="""", F6354&lt;&gt;""""), ""真實收入"",
  TRUE, ""其他""
)"),"其他")</f>
        <v>其他</v>
      </c>
      <c r="K6354" s="270" t="str">
        <f t="shared" si="2"/>
        <v/>
      </c>
      <c r="L6354">
        <f t="shared" si="3"/>
        <v>0</v>
      </c>
    </row>
    <row r="6355">
      <c r="A6355" s="107"/>
      <c r="D6355" s="270"/>
      <c r="H6355" s="106" t="str">
        <f t="shared" si="1"/>
        <v/>
      </c>
      <c r="J6355" t="str">
        <f>IFERROR(__xludf.DUMMYFUNCTION("IFS(
  AND(REGEXMATCH(E6355, ""台銀籌備帳戶|玉山帳戶""), REGEXMATCH(C6355, ""薪資"")), ""分潤支出"",
  AND(REGEXMATCH(E6355, ""Ben帳戶|Elsa帳戶|Ben代墊|Ariel代墊|中信銀行共用""), REGEXMATCH(F6355, ""Ben帳戶|Elsa帳戶|Ben代墊|Ariel代墊|中信銀行共用"")), ""內部轉帳(忽略)"",
  AND(E6355&lt;&gt;"""", F6355&lt;&gt;"""", N"&amp;"OT(REGEXMATCH(C6355, ""薪資""))), ""內部轉帳(忽略)"",
  REGEXMATCH(C6355, ""薪資""), ""薪資變動(不計入)"",
  REGEXMATCH(C6355, ""押金""), ""押金往來"",
  AND(E6355&lt;&gt;"""", F6355=""""), ""真實支出"",
  AND(E6355="""", F6355&lt;&gt;""""), ""真實收入"",
  TRUE, ""其他""
)"),"其他")</f>
        <v>其他</v>
      </c>
      <c r="K6355" s="270" t="str">
        <f t="shared" si="2"/>
        <v/>
      </c>
      <c r="L6355">
        <f t="shared" si="3"/>
        <v>0</v>
      </c>
    </row>
    <row r="6356">
      <c r="A6356" s="107"/>
      <c r="D6356" s="270"/>
      <c r="H6356" s="106" t="str">
        <f t="shared" si="1"/>
        <v/>
      </c>
      <c r="J6356" t="str">
        <f>IFERROR(__xludf.DUMMYFUNCTION("IFS(
  AND(REGEXMATCH(E6356, ""台銀籌備帳戶|玉山帳戶""), REGEXMATCH(C6356, ""薪資"")), ""分潤支出"",
  AND(REGEXMATCH(E6356, ""Ben帳戶|Elsa帳戶|Ben代墊|Ariel代墊|中信銀行共用""), REGEXMATCH(F6356, ""Ben帳戶|Elsa帳戶|Ben代墊|Ariel代墊|中信銀行共用"")), ""內部轉帳(忽略)"",
  AND(E6356&lt;&gt;"""", F6356&lt;&gt;"""", N"&amp;"OT(REGEXMATCH(C6356, ""薪資""))), ""內部轉帳(忽略)"",
  REGEXMATCH(C6356, ""薪資""), ""薪資變動(不計入)"",
  REGEXMATCH(C6356, ""押金""), ""押金往來"",
  AND(E6356&lt;&gt;"""", F6356=""""), ""真實支出"",
  AND(E6356="""", F6356&lt;&gt;""""), ""真實收入"",
  TRUE, ""其他""
)"),"其他")</f>
        <v>其他</v>
      </c>
      <c r="K6356" s="270" t="str">
        <f t="shared" si="2"/>
        <v/>
      </c>
      <c r="L6356">
        <f t="shared" si="3"/>
        <v>0</v>
      </c>
    </row>
    <row r="6357">
      <c r="A6357" s="107"/>
      <c r="D6357" s="270"/>
      <c r="H6357" s="106" t="str">
        <f t="shared" si="1"/>
        <v/>
      </c>
      <c r="J6357" t="str">
        <f>IFERROR(__xludf.DUMMYFUNCTION("IFS(
  AND(REGEXMATCH(E6357, ""台銀籌備帳戶|玉山帳戶""), REGEXMATCH(C6357, ""薪資"")), ""分潤支出"",
  AND(REGEXMATCH(E6357, ""Ben帳戶|Elsa帳戶|Ben代墊|Ariel代墊|中信銀行共用""), REGEXMATCH(F6357, ""Ben帳戶|Elsa帳戶|Ben代墊|Ariel代墊|中信銀行共用"")), ""內部轉帳(忽略)"",
  AND(E6357&lt;&gt;"""", F6357&lt;&gt;"""", N"&amp;"OT(REGEXMATCH(C6357, ""薪資""))), ""內部轉帳(忽略)"",
  REGEXMATCH(C6357, ""薪資""), ""薪資變動(不計入)"",
  REGEXMATCH(C6357, ""押金""), ""押金往來"",
  AND(E6357&lt;&gt;"""", F6357=""""), ""真實支出"",
  AND(E6357="""", F6357&lt;&gt;""""), ""真實收入"",
  TRUE, ""其他""
)"),"其他")</f>
        <v>其他</v>
      </c>
      <c r="K6357" s="270" t="str">
        <f t="shared" si="2"/>
        <v/>
      </c>
      <c r="L6357">
        <f t="shared" si="3"/>
        <v>0</v>
      </c>
    </row>
    <row r="6358">
      <c r="A6358" s="107"/>
      <c r="D6358" s="270"/>
      <c r="H6358" s="106" t="str">
        <f t="shared" si="1"/>
        <v/>
      </c>
      <c r="J6358" t="str">
        <f>IFERROR(__xludf.DUMMYFUNCTION("IFS(
  AND(REGEXMATCH(E6358, ""台銀籌備帳戶|玉山帳戶""), REGEXMATCH(C6358, ""薪資"")), ""分潤支出"",
  AND(REGEXMATCH(E6358, ""Ben帳戶|Elsa帳戶|Ben代墊|Ariel代墊|中信銀行共用""), REGEXMATCH(F6358, ""Ben帳戶|Elsa帳戶|Ben代墊|Ariel代墊|中信銀行共用"")), ""內部轉帳(忽略)"",
  AND(E6358&lt;&gt;"""", F6358&lt;&gt;"""", N"&amp;"OT(REGEXMATCH(C6358, ""薪資""))), ""內部轉帳(忽略)"",
  REGEXMATCH(C6358, ""薪資""), ""薪資變動(不計入)"",
  REGEXMATCH(C6358, ""押金""), ""押金往來"",
  AND(E6358&lt;&gt;"""", F6358=""""), ""真實支出"",
  AND(E6358="""", F6358&lt;&gt;""""), ""真實收入"",
  TRUE, ""其他""
)"),"其他")</f>
        <v>其他</v>
      </c>
      <c r="K6358" s="270" t="str">
        <f t="shared" si="2"/>
        <v/>
      </c>
      <c r="L6358">
        <f t="shared" si="3"/>
        <v>0</v>
      </c>
    </row>
    <row r="6359">
      <c r="A6359" s="107"/>
      <c r="D6359" s="270"/>
      <c r="H6359" s="106" t="str">
        <f t="shared" si="1"/>
        <v/>
      </c>
      <c r="J6359" t="str">
        <f>IFERROR(__xludf.DUMMYFUNCTION("IFS(
  AND(REGEXMATCH(E6359, ""台銀籌備帳戶|玉山帳戶""), REGEXMATCH(C6359, ""薪資"")), ""分潤支出"",
  AND(REGEXMATCH(E6359, ""Ben帳戶|Elsa帳戶|Ben代墊|Ariel代墊|中信銀行共用""), REGEXMATCH(F6359, ""Ben帳戶|Elsa帳戶|Ben代墊|Ariel代墊|中信銀行共用"")), ""內部轉帳(忽略)"",
  AND(E6359&lt;&gt;"""", F6359&lt;&gt;"""", N"&amp;"OT(REGEXMATCH(C6359, ""薪資""))), ""內部轉帳(忽略)"",
  REGEXMATCH(C6359, ""薪資""), ""薪資變動(不計入)"",
  REGEXMATCH(C6359, ""押金""), ""押金往來"",
  AND(E6359&lt;&gt;"""", F6359=""""), ""真實支出"",
  AND(E6359="""", F6359&lt;&gt;""""), ""真實收入"",
  TRUE, ""其他""
)"),"其他")</f>
        <v>其他</v>
      </c>
      <c r="K6359" s="270" t="str">
        <f t="shared" si="2"/>
        <v/>
      </c>
      <c r="L6359">
        <f t="shared" si="3"/>
        <v>0</v>
      </c>
    </row>
    <row r="6360">
      <c r="A6360" s="107"/>
      <c r="D6360" s="270"/>
      <c r="H6360" s="106" t="str">
        <f t="shared" si="1"/>
        <v/>
      </c>
      <c r="J6360" t="str">
        <f>IFERROR(__xludf.DUMMYFUNCTION("IFS(
  AND(REGEXMATCH(E6360, ""台銀籌備帳戶|玉山帳戶""), REGEXMATCH(C6360, ""薪資"")), ""分潤支出"",
  AND(REGEXMATCH(E6360, ""Ben帳戶|Elsa帳戶|Ben代墊|Ariel代墊|中信銀行共用""), REGEXMATCH(F6360, ""Ben帳戶|Elsa帳戶|Ben代墊|Ariel代墊|中信銀行共用"")), ""內部轉帳(忽略)"",
  AND(E6360&lt;&gt;"""", F6360&lt;&gt;"""", N"&amp;"OT(REGEXMATCH(C6360, ""薪資""))), ""內部轉帳(忽略)"",
  REGEXMATCH(C6360, ""薪資""), ""薪資變動(不計入)"",
  REGEXMATCH(C6360, ""押金""), ""押金往來"",
  AND(E6360&lt;&gt;"""", F6360=""""), ""真實支出"",
  AND(E6360="""", F6360&lt;&gt;""""), ""真實收入"",
  TRUE, ""其他""
)"),"其他")</f>
        <v>其他</v>
      </c>
      <c r="K6360" s="270" t="str">
        <f t="shared" si="2"/>
        <v/>
      </c>
      <c r="L6360">
        <f t="shared" si="3"/>
        <v>0</v>
      </c>
    </row>
    <row r="6361">
      <c r="A6361" s="107"/>
      <c r="D6361" s="270"/>
      <c r="H6361" s="106" t="str">
        <f t="shared" si="1"/>
        <v/>
      </c>
      <c r="J6361" t="str">
        <f>IFERROR(__xludf.DUMMYFUNCTION("IFS(
  AND(REGEXMATCH(E6361, ""台銀籌備帳戶|玉山帳戶""), REGEXMATCH(C6361, ""薪資"")), ""分潤支出"",
  AND(REGEXMATCH(E6361, ""Ben帳戶|Elsa帳戶|Ben代墊|Ariel代墊|中信銀行共用""), REGEXMATCH(F6361, ""Ben帳戶|Elsa帳戶|Ben代墊|Ariel代墊|中信銀行共用"")), ""內部轉帳(忽略)"",
  AND(E6361&lt;&gt;"""", F6361&lt;&gt;"""", N"&amp;"OT(REGEXMATCH(C6361, ""薪資""))), ""內部轉帳(忽略)"",
  REGEXMATCH(C6361, ""薪資""), ""薪資變動(不計入)"",
  REGEXMATCH(C6361, ""押金""), ""押金往來"",
  AND(E6361&lt;&gt;"""", F6361=""""), ""真實支出"",
  AND(E6361="""", F6361&lt;&gt;""""), ""真實收入"",
  TRUE, ""其他""
)"),"其他")</f>
        <v>其他</v>
      </c>
      <c r="K6361" s="270" t="str">
        <f t="shared" si="2"/>
        <v/>
      </c>
      <c r="L6361">
        <f t="shared" si="3"/>
        <v>0</v>
      </c>
    </row>
    <row r="6362">
      <c r="A6362" s="107"/>
      <c r="D6362" s="270"/>
      <c r="H6362" s="106" t="str">
        <f t="shared" si="1"/>
        <v/>
      </c>
      <c r="J6362" t="str">
        <f>IFERROR(__xludf.DUMMYFUNCTION("IFS(
  AND(REGEXMATCH(E6362, ""台銀籌備帳戶|玉山帳戶""), REGEXMATCH(C6362, ""薪資"")), ""分潤支出"",
  AND(REGEXMATCH(E6362, ""Ben帳戶|Elsa帳戶|Ben代墊|Ariel代墊|中信銀行共用""), REGEXMATCH(F6362, ""Ben帳戶|Elsa帳戶|Ben代墊|Ariel代墊|中信銀行共用"")), ""內部轉帳(忽略)"",
  AND(E6362&lt;&gt;"""", F6362&lt;&gt;"""", N"&amp;"OT(REGEXMATCH(C6362, ""薪資""))), ""內部轉帳(忽略)"",
  REGEXMATCH(C6362, ""薪資""), ""薪資變動(不計入)"",
  REGEXMATCH(C6362, ""押金""), ""押金往來"",
  AND(E6362&lt;&gt;"""", F6362=""""), ""真實支出"",
  AND(E6362="""", F6362&lt;&gt;""""), ""真實收入"",
  TRUE, ""其他""
)"),"其他")</f>
        <v>其他</v>
      </c>
      <c r="K6362" s="270" t="str">
        <f t="shared" si="2"/>
        <v/>
      </c>
      <c r="L6362">
        <f t="shared" si="3"/>
        <v>0</v>
      </c>
    </row>
    <row r="6363">
      <c r="A6363" s="107"/>
      <c r="D6363" s="270"/>
      <c r="H6363" s="106" t="str">
        <f t="shared" si="1"/>
        <v/>
      </c>
      <c r="J6363" t="str">
        <f>IFERROR(__xludf.DUMMYFUNCTION("IFS(
  AND(REGEXMATCH(E6363, ""台銀籌備帳戶|玉山帳戶""), REGEXMATCH(C6363, ""薪資"")), ""分潤支出"",
  AND(REGEXMATCH(E6363, ""Ben帳戶|Elsa帳戶|Ben代墊|Ariel代墊|中信銀行共用""), REGEXMATCH(F6363, ""Ben帳戶|Elsa帳戶|Ben代墊|Ariel代墊|中信銀行共用"")), ""內部轉帳(忽略)"",
  AND(E6363&lt;&gt;"""", F6363&lt;&gt;"""", N"&amp;"OT(REGEXMATCH(C6363, ""薪資""))), ""內部轉帳(忽略)"",
  REGEXMATCH(C6363, ""薪資""), ""薪資變動(不計入)"",
  REGEXMATCH(C6363, ""押金""), ""押金往來"",
  AND(E6363&lt;&gt;"""", F6363=""""), ""真實支出"",
  AND(E6363="""", F6363&lt;&gt;""""), ""真實收入"",
  TRUE, ""其他""
)"),"其他")</f>
        <v>其他</v>
      </c>
      <c r="K6363" s="270" t="str">
        <f t="shared" si="2"/>
        <v/>
      </c>
      <c r="L6363">
        <f t="shared" si="3"/>
        <v>0</v>
      </c>
    </row>
    <row r="6364">
      <c r="A6364" s="107"/>
      <c r="D6364" s="270"/>
      <c r="H6364" s="106" t="str">
        <f t="shared" si="1"/>
        <v/>
      </c>
      <c r="J6364" t="str">
        <f>IFERROR(__xludf.DUMMYFUNCTION("IFS(
  AND(REGEXMATCH(E6364, ""台銀籌備帳戶|玉山帳戶""), REGEXMATCH(C6364, ""薪資"")), ""分潤支出"",
  AND(REGEXMATCH(E6364, ""Ben帳戶|Elsa帳戶|Ben代墊|Ariel代墊|中信銀行共用""), REGEXMATCH(F6364, ""Ben帳戶|Elsa帳戶|Ben代墊|Ariel代墊|中信銀行共用"")), ""內部轉帳(忽略)"",
  AND(E6364&lt;&gt;"""", F6364&lt;&gt;"""", N"&amp;"OT(REGEXMATCH(C6364, ""薪資""))), ""內部轉帳(忽略)"",
  REGEXMATCH(C6364, ""薪資""), ""薪資變動(不計入)"",
  REGEXMATCH(C6364, ""押金""), ""押金往來"",
  AND(E6364&lt;&gt;"""", F6364=""""), ""真實支出"",
  AND(E6364="""", F6364&lt;&gt;""""), ""真實收入"",
  TRUE, ""其他""
)"),"其他")</f>
        <v>其他</v>
      </c>
      <c r="K6364" s="270" t="str">
        <f t="shared" si="2"/>
        <v/>
      </c>
      <c r="L6364">
        <f t="shared" si="3"/>
        <v>0</v>
      </c>
    </row>
    <row r="6365">
      <c r="A6365" s="107"/>
      <c r="D6365" s="270"/>
      <c r="H6365" s="106" t="str">
        <f t="shared" si="1"/>
        <v/>
      </c>
      <c r="J6365" t="str">
        <f>IFERROR(__xludf.DUMMYFUNCTION("IFS(
  AND(REGEXMATCH(E6365, ""台銀籌備帳戶|玉山帳戶""), REGEXMATCH(C6365, ""薪資"")), ""分潤支出"",
  AND(REGEXMATCH(E6365, ""Ben帳戶|Elsa帳戶|Ben代墊|Ariel代墊|中信銀行共用""), REGEXMATCH(F6365, ""Ben帳戶|Elsa帳戶|Ben代墊|Ariel代墊|中信銀行共用"")), ""內部轉帳(忽略)"",
  AND(E6365&lt;&gt;"""", F6365&lt;&gt;"""", N"&amp;"OT(REGEXMATCH(C6365, ""薪資""))), ""內部轉帳(忽略)"",
  REGEXMATCH(C6365, ""薪資""), ""薪資變動(不計入)"",
  REGEXMATCH(C6365, ""押金""), ""押金往來"",
  AND(E6365&lt;&gt;"""", F6365=""""), ""真實支出"",
  AND(E6365="""", F6365&lt;&gt;""""), ""真實收入"",
  TRUE, ""其他""
)"),"其他")</f>
        <v>其他</v>
      </c>
      <c r="K6365" s="270" t="str">
        <f t="shared" si="2"/>
        <v/>
      </c>
      <c r="L6365">
        <f t="shared" si="3"/>
        <v>0</v>
      </c>
    </row>
    <row r="6366">
      <c r="A6366" s="107"/>
      <c r="D6366" s="270"/>
      <c r="H6366" s="106" t="str">
        <f t="shared" si="1"/>
        <v/>
      </c>
      <c r="J6366" t="str">
        <f>IFERROR(__xludf.DUMMYFUNCTION("IFS(
  AND(REGEXMATCH(E6366, ""台銀籌備帳戶|玉山帳戶""), REGEXMATCH(C6366, ""薪資"")), ""分潤支出"",
  AND(REGEXMATCH(E6366, ""Ben帳戶|Elsa帳戶|Ben代墊|Ariel代墊|中信銀行共用""), REGEXMATCH(F6366, ""Ben帳戶|Elsa帳戶|Ben代墊|Ariel代墊|中信銀行共用"")), ""內部轉帳(忽略)"",
  AND(E6366&lt;&gt;"""", F6366&lt;&gt;"""", N"&amp;"OT(REGEXMATCH(C6366, ""薪資""))), ""內部轉帳(忽略)"",
  REGEXMATCH(C6366, ""薪資""), ""薪資變動(不計入)"",
  REGEXMATCH(C6366, ""押金""), ""押金往來"",
  AND(E6366&lt;&gt;"""", F6366=""""), ""真實支出"",
  AND(E6366="""", F6366&lt;&gt;""""), ""真實收入"",
  TRUE, ""其他""
)"),"其他")</f>
        <v>其他</v>
      </c>
      <c r="K6366" s="270" t="str">
        <f t="shared" si="2"/>
        <v/>
      </c>
      <c r="L6366">
        <f t="shared" si="3"/>
        <v>0</v>
      </c>
    </row>
    <row r="6367">
      <c r="A6367" s="107"/>
      <c r="D6367" s="270"/>
      <c r="H6367" s="106" t="str">
        <f t="shared" si="1"/>
        <v/>
      </c>
      <c r="J6367" t="str">
        <f>IFERROR(__xludf.DUMMYFUNCTION("IFS(
  AND(REGEXMATCH(E6367, ""台銀籌備帳戶|玉山帳戶""), REGEXMATCH(C6367, ""薪資"")), ""分潤支出"",
  AND(REGEXMATCH(E6367, ""Ben帳戶|Elsa帳戶|Ben代墊|Ariel代墊|中信銀行共用""), REGEXMATCH(F6367, ""Ben帳戶|Elsa帳戶|Ben代墊|Ariel代墊|中信銀行共用"")), ""內部轉帳(忽略)"",
  AND(E6367&lt;&gt;"""", F6367&lt;&gt;"""", N"&amp;"OT(REGEXMATCH(C6367, ""薪資""))), ""內部轉帳(忽略)"",
  REGEXMATCH(C6367, ""薪資""), ""薪資變動(不計入)"",
  REGEXMATCH(C6367, ""押金""), ""押金往來"",
  AND(E6367&lt;&gt;"""", F6367=""""), ""真實支出"",
  AND(E6367="""", F6367&lt;&gt;""""), ""真實收入"",
  TRUE, ""其他""
)"),"其他")</f>
        <v>其他</v>
      </c>
      <c r="K6367" s="270" t="str">
        <f t="shared" si="2"/>
        <v/>
      </c>
      <c r="L6367">
        <f t="shared" si="3"/>
        <v>0</v>
      </c>
    </row>
    <row r="6368">
      <c r="A6368" s="107"/>
      <c r="D6368" s="270"/>
      <c r="H6368" s="106" t="str">
        <f t="shared" si="1"/>
        <v/>
      </c>
      <c r="J6368" t="str">
        <f>IFERROR(__xludf.DUMMYFUNCTION("IFS(
  AND(REGEXMATCH(E6368, ""台銀籌備帳戶|玉山帳戶""), REGEXMATCH(C6368, ""薪資"")), ""分潤支出"",
  AND(REGEXMATCH(E6368, ""Ben帳戶|Elsa帳戶|Ben代墊|Ariel代墊|中信銀行共用""), REGEXMATCH(F6368, ""Ben帳戶|Elsa帳戶|Ben代墊|Ariel代墊|中信銀行共用"")), ""內部轉帳(忽略)"",
  AND(E6368&lt;&gt;"""", F6368&lt;&gt;"""", N"&amp;"OT(REGEXMATCH(C6368, ""薪資""))), ""內部轉帳(忽略)"",
  REGEXMATCH(C6368, ""薪資""), ""薪資變動(不計入)"",
  REGEXMATCH(C6368, ""押金""), ""押金往來"",
  AND(E6368&lt;&gt;"""", F6368=""""), ""真實支出"",
  AND(E6368="""", F6368&lt;&gt;""""), ""真實收入"",
  TRUE, ""其他""
)"),"其他")</f>
        <v>其他</v>
      </c>
      <c r="K6368" s="270" t="str">
        <f t="shared" si="2"/>
        <v/>
      </c>
      <c r="L6368">
        <f t="shared" si="3"/>
        <v>0</v>
      </c>
    </row>
    <row r="6369">
      <c r="A6369" s="107"/>
      <c r="D6369" s="270"/>
      <c r="H6369" s="106" t="str">
        <f t="shared" si="1"/>
        <v/>
      </c>
      <c r="J6369" t="str">
        <f>IFERROR(__xludf.DUMMYFUNCTION("IFS(
  AND(REGEXMATCH(E6369, ""台銀籌備帳戶|玉山帳戶""), REGEXMATCH(C6369, ""薪資"")), ""分潤支出"",
  AND(REGEXMATCH(E6369, ""Ben帳戶|Elsa帳戶|Ben代墊|Ariel代墊|中信銀行共用""), REGEXMATCH(F6369, ""Ben帳戶|Elsa帳戶|Ben代墊|Ariel代墊|中信銀行共用"")), ""內部轉帳(忽略)"",
  AND(E6369&lt;&gt;"""", F6369&lt;&gt;"""", N"&amp;"OT(REGEXMATCH(C6369, ""薪資""))), ""內部轉帳(忽略)"",
  REGEXMATCH(C6369, ""薪資""), ""薪資變動(不計入)"",
  REGEXMATCH(C6369, ""押金""), ""押金往來"",
  AND(E6369&lt;&gt;"""", F6369=""""), ""真實支出"",
  AND(E6369="""", F6369&lt;&gt;""""), ""真實收入"",
  TRUE, ""其他""
)"),"其他")</f>
        <v>其他</v>
      </c>
      <c r="K6369" s="270" t="str">
        <f t="shared" si="2"/>
        <v/>
      </c>
      <c r="L6369">
        <f t="shared" si="3"/>
        <v>0</v>
      </c>
    </row>
    <row r="6370">
      <c r="A6370" s="107"/>
      <c r="D6370" s="270"/>
      <c r="H6370" s="106" t="str">
        <f t="shared" si="1"/>
        <v/>
      </c>
      <c r="J6370" t="str">
        <f>IFERROR(__xludf.DUMMYFUNCTION("IFS(
  AND(REGEXMATCH(E6370, ""台銀籌備帳戶|玉山帳戶""), REGEXMATCH(C6370, ""薪資"")), ""分潤支出"",
  AND(REGEXMATCH(E6370, ""Ben帳戶|Elsa帳戶|Ben代墊|Ariel代墊|中信銀行共用""), REGEXMATCH(F6370, ""Ben帳戶|Elsa帳戶|Ben代墊|Ariel代墊|中信銀行共用"")), ""內部轉帳(忽略)"",
  AND(E6370&lt;&gt;"""", F6370&lt;&gt;"""", N"&amp;"OT(REGEXMATCH(C6370, ""薪資""))), ""內部轉帳(忽略)"",
  REGEXMATCH(C6370, ""薪資""), ""薪資變動(不計入)"",
  REGEXMATCH(C6370, ""押金""), ""押金往來"",
  AND(E6370&lt;&gt;"""", F6370=""""), ""真實支出"",
  AND(E6370="""", F6370&lt;&gt;""""), ""真實收入"",
  TRUE, ""其他""
)"),"其他")</f>
        <v>其他</v>
      </c>
      <c r="K6370" s="270" t="str">
        <f t="shared" si="2"/>
        <v/>
      </c>
      <c r="L6370">
        <f t="shared" si="3"/>
        <v>0</v>
      </c>
    </row>
    <row r="6371">
      <c r="A6371" s="107"/>
      <c r="D6371" s="270"/>
      <c r="H6371" s="106" t="str">
        <f t="shared" si="1"/>
        <v/>
      </c>
      <c r="J6371" t="str">
        <f>IFERROR(__xludf.DUMMYFUNCTION("IFS(
  AND(REGEXMATCH(E6371, ""台銀籌備帳戶|玉山帳戶""), REGEXMATCH(C6371, ""薪資"")), ""分潤支出"",
  AND(REGEXMATCH(E6371, ""Ben帳戶|Elsa帳戶|Ben代墊|Ariel代墊|中信銀行共用""), REGEXMATCH(F6371, ""Ben帳戶|Elsa帳戶|Ben代墊|Ariel代墊|中信銀行共用"")), ""內部轉帳(忽略)"",
  AND(E6371&lt;&gt;"""", F6371&lt;&gt;"""", N"&amp;"OT(REGEXMATCH(C6371, ""薪資""))), ""內部轉帳(忽略)"",
  REGEXMATCH(C6371, ""薪資""), ""薪資變動(不計入)"",
  REGEXMATCH(C6371, ""押金""), ""押金往來"",
  AND(E6371&lt;&gt;"""", F6371=""""), ""真實支出"",
  AND(E6371="""", F6371&lt;&gt;""""), ""真實收入"",
  TRUE, ""其他""
)"),"其他")</f>
        <v>其他</v>
      </c>
      <c r="K6371" s="270" t="str">
        <f t="shared" si="2"/>
        <v/>
      </c>
      <c r="L6371">
        <f t="shared" si="3"/>
        <v>0</v>
      </c>
    </row>
    <row r="6372">
      <c r="A6372" s="107"/>
      <c r="D6372" s="270"/>
      <c r="H6372" s="106" t="str">
        <f t="shared" si="1"/>
        <v/>
      </c>
      <c r="J6372" t="str">
        <f>IFERROR(__xludf.DUMMYFUNCTION("IFS(
  AND(REGEXMATCH(E6372, ""台銀籌備帳戶|玉山帳戶""), REGEXMATCH(C6372, ""薪資"")), ""分潤支出"",
  AND(REGEXMATCH(E6372, ""Ben帳戶|Elsa帳戶|Ben代墊|Ariel代墊|中信銀行共用""), REGEXMATCH(F6372, ""Ben帳戶|Elsa帳戶|Ben代墊|Ariel代墊|中信銀行共用"")), ""內部轉帳(忽略)"",
  AND(E6372&lt;&gt;"""", F6372&lt;&gt;"""", N"&amp;"OT(REGEXMATCH(C6372, ""薪資""))), ""內部轉帳(忽略)"",
  REGEXMATCH(C6372, ""薪資""), ""薪資變動(不計入)"",
  REGEXMATCH(C6372, ""押金""), ""押金往來"",
  AND(E6372&lt;&gt;"""", F6372=""""), ""真實支出"",
  AND(E6372="""", F6372&lt;&gt;""""), ""真實收入"",
  TRUE, ""其他""
)"),"其他")</f>
        <v>其他</v>
      </c>
      <c r="K6372" s="270" t="str">
        <f t="shared" si="2"/>
        <v/>
      </c>
      <c r="L6372">
        <f t="shared" si="3"/>
        <v>0</v>
      </c>
    </row>
    <row r="6373">
      <c r="A6373" s="107"/>
      <c r="D6373" s="270"/>
      <c r="H6373" s="106" t="str">
        <f t="shared" si="1"/>
        <v/>
      </c>
      <c r="J6373" t="str">
        <f>IFERROR(__xludf.DUMMYFUNCTION("IFS(
  AND(REGEXMATCH(E6373, ""台銀籌備帳戶|玉山帳戶""), REGEXMATCH(C6373, ""薪資"")), ""分潤支出"",
  AND(REGEXMATCH(E6373, ""Ben帳戶|Elsa帳戶|Ben代墊|Ariel代墊|中信銀行共用""), REGEXMATCH(F6373, ""Ben帳戶|Elsa帳戶|Ben代墊|Ariel代墊|中信銀行共用"")), ""內部轉帳(忽略)"",
  AND(E6373&lt;&gt;"""", F6373&lt;&gt;"""", N"&amp;"OT(REGEXMATCH(C6373, ""薪資""))), ""內部轉帳(忽略)"",
  REGEXMATCH(C6373, ""薪資""), ""薪資變動(不計入)"",
  REGEXMATCH(C6373, ""押金""), ""押金往來"",
  AND(E6373&lt;&gt;"""", F6373=""""), ""真實支出"",
  AND(E6373="""", F6373&lt;&gt;""""), ""真實收入"",
  TRUE, ""其他""
)"),"其他")</f>
        <v>其他</v>
      </c>
      <c r="K6373" s="270" t="str">
        <f t="shared" si="2"/>
        <v/>
      </c>
      <c r="L6373">
        <f t="shared" si="3"/>
        <v>0</v>
      </c>
    </row>
    <row r="6374">
      <c r="A6374" s="107"/>
      <c r="D6374" s="270"/>
      <c r="H6374" s="106" t="str">
        <f t="shared" si="1"/>
        <v/>
      </c>
      <c r="J6374" t="str">
        <f>IFERROR(__xludf.DUMMYFUNCTION("IFS(
  AND(REGEXMATCH(E6374, ""台銀籌備帳戶|玉山帳戶""), REGEXMATCH(C6374, ""薪資"")), ""分潤支出"",
  AND(REGEXMATCH(E6374, ""Ben帳戶|Elsa帳戶|Ben代墊|Ariel代墊|中信銀行共用""), REGEXMATCH(F6374, ""Ben帳戶|Elsa帳戶|Ben代墊|Ariel代墊|中信銀行共用"")), ""內部轉帳(忽略)"",
  AND(E6374&lt;&gt;"""", F6374&lt;&gt;"""", N"&amp;"OT(REGEXMATCH(C6374, ""薪資""))), ""內部轉帳(忽略)"",
  REGEXMATCH(C6374, ""薪資""), ""薪資變動(不計入)"",
  REGEXMATCH(C6374, ""押金""), ""押金往來"",
  AND(E6374&lt;&gt;"""", F6374=""""), ""真實支出"",
  AND(E6374="""", F6374&lt;&gt;""""), ""真實收入"",
  TRUE, ""其他""
)"),"其他")</f>
        <v>其他</v>
      </c>
      <c r="K6374" s="270" t="str">
        <f t="shared" si="2"/>
        <v/>
      </c>
      <c r="L6374">
        <f t="shared" si="3"/>
        <v>0</v>
      </c>
    </row>
    <row r="6375">
      <c r="A6375" s="107"/>
      <c r="D6375" s="270"/>
      <c r="H6375" s="106" t="str">
        <f t="shared" si="1"/>
        <v/>
      </c>
      <c r="J6375" t="str">
        <f>IFERROR(__xludf.DUMMYFUNCTION("IFS(
  AND(REGEXMATCH(E6375, ""台銀籌備帳戶|玉山帳戶""), REGEXMATCH(C6375, ""薪資"")), ""分潤支出"",
  AND(REGEXMATCH(E6375, ""Ben帳戶|Elsa帳戶|Ben代墊|Ariel代墊|中信銀行共用""), REGEXMATCH(F6375, ""Ben帳戶|Elsa帳戶|Ben代墊|Ariel代墊|中信銀行共用"")), ""內部轉帳(忽略)"",
  AND(E6375&lt;&gt;"""", F6375&lt;&gt;"""", N"&amp;"OT(REGEXMATCH(C6375, ""薪資""))), ""內部轉帳(忽略)"",
  REGEXMATCH(C6375, ""薪資""), ""薪資變動(不計入)"",
  REGEXMATCH(C6375, ""押金""), ""押金往來"",
  AND(E6375&lt;&gt;"""", F6375=""""), ""真實支出"",
  AND(E6375="""", F6375&lt;&gt;""""), ""真實收入"",
  TRUE, ""其他""
)"),"其他")</f>
        <v>其他</v>
      </c>
      <c r="K6375" s="270" t="str">
        <f t="shared" si="2"/>
        <v/>
      </c>
      <c r="L6375">
        <f t="shared" si="3"/>
        <v>0</v>
      </c>
    </row>
    <row r="6376">
      <c r="A6376" s="107"/>
      <c r="D6376" s="270"/>
      <c r="H6376" s="106" t="str">
        <f t="shared" si="1"/>
        <v/>
      </c>
      <c r="J6376" t="str">
        <f>IFERROR(__xludf.DUMMYFUNCTION("IFS(
  AND(REGEXMATCH(E6376, ""台銀籌備帳戶|玉山帳戶""), REGEXMATCH(C6376, ""薪資"")), ""分潤支出"",
  AND(REGEXMATCH(E6376, ""Ben帳戶|Elsa帳戶|Ben代墊|Ariel代墊|中信銀行共用""), REGEXMATCH(F6376, ""Ben帳戶|Elsa帳戶|Ben代墊|Ariel代墊|中信銀行共用"")), ""內部轉帳(忽略)"",
  AND(E6376&lt;&gt;"""", F6376&lt;&gt;"""", N"&amp;"OT(REGEXMATCH(C6376, ""薪資""))), ""內部轉帳(忽略)"",
  REGEXMATCH(C6376, ""薪資""), ""薪資變動(不計入)"",
  REGEXMATCH(C6376, ""押金""), ""押金往來"",
  AND(E6376&lt;&gt;"""", F6376=""""), ""真實支出"",
  AND(E6376="""", F6376&lt;&gt;""""), ""真實收入"",
  TRUE, ""其他""
)"),"其他")</f>
        <v>其他</v>
      </c>
      <c r="K6376" s="270" t="str">
        <f t="shared" si="2"/>
        <v/>
      </c>
      <c r="L6376">
        <f t="shared" si="3"/>
        <v>0</v>
      </c>
    </row>
    <row r="6377">
      <c r="A6377" s="107"/>
      <c r="D6377" s="270"/>
      <c r="H6377" s="106" t="str">
        <f t="shared" si="1"/>
        <v/>
      </c>
      <c r="J6377" t="str">
        <f>IFERROR(__xludf.DUMMYFUNCTION("IFS(
  AND(REGEXMATCH(E6377, ""台銀籌備帳戶|玉山帳戶""), REGEXMATCH(C6377, ""薪資"")), ""分潤支出"",
  AND(REGEXMATCH(E6377, ""Ben帳戶|Elsa帳戶|Ben代墊|Ariel代墊|中信銀行共用""), REGEXMATCH(F6377, ""Ben帳戶|Elsa帳戶|Ben代墊|Ariel代墊|中信銀行共用"")), ""內部轉帳(忽略)"",
  AND(E6377&lt;&gt;"""", F6377&lt;&gt;"""", N"&amp;"OT(REGEXMATCH(C6377, ""薪資""))), ""內部轉帳(忽略)"",
  REGEXMATCH(C6377, ""薪資""), ""薪資變動(不計入)"",
  REGEXMATCH(C6377, ""押金""), ""押金往來"",
  AND(E6377&lt;&gt;"""", F6377=""""), ""真實支出"",
  AND(E6377="""", F6377&lt;&gt;""""), ""真實收入"",
  TRUE, ""其他""
)"),"其他")</f>
        <v>其他</v>
      </c>
      <c r="K6377" s="270" t="str">
        <f t="shared" si="2"/>
        <v/>
      </c>
      <c r="L6377">
        <f t="shared" si="3"/>
        <v>0</v>
      </c>
    </row>
    <row r="6378">
      <c r="A6378" s="107"/>
      <c r="D6378" s="270"/>
      <c r="H6378" s="106" t="str">
        <f t="shared" si="1"/>
        <v/>
      </c>
      <c r="J6378" t="str">
        <f>IFERROR(__xludf.DUMMYFUNCTION("IFS(
  AND(REGEXMATCH(E6378, ""台銀籌備帳戶|玉山帳戶""), REGEXMATCH(C6378, ""薪資"")), ""分潤支出"",
  AND(REGEXMATCH(E6378, ""Ben帳戶|Elsa帳戶|Ben代墊|Ariel代墊|中信銀行共用""), REGEXMATCH(F6378, ""Ben帳戶|Elsa帳戶|Ben代墊|Ariel代墊|中信銀行共用"")), ""內部轉帳(忽略)"",
  AND(E6378&lt;&gt;"""", F6378&lt;&gt;"""", N"&amp;"OT(REGEXMATCH(C6378, ""薪資""))), ""內部轉帳(忽略)"",
  REGEXMATCH(C6378, ""薪資""), ""薪資變動(不計入)"",
  REGEXMATCH(C6378, ""押金""), ""押金往來"",
  AND(E6378&lt;&gt;"""", F6378=""""), ""真實支出"",
  AND(E6378="""", F6378&lt;&gt;""""), ""真實收入"",
  TRUE, ""其他""
)"),"其他")</f>
        <v>其他</v>
      </c>
      <c r="K6378" s="270" t="str">
        <f t="shared" si="2"/>
        <v/>
      </c>
      <c r="L6378">
        <f t="shared" si="3"/>
        <v>0</v>
      </c>
    </row>
    <row r="6379">
      <c r="A6379" s="107"/>
      <c r="D6379" s="270"/>
      <c r="H6379" s="106" t="str">
        <f t="shared" si="1"/>
        <v/>
      </c>
      <c r="J6379" t="str">
        <f>IFERROR(__xludf.DUMMYFUNCTION("IFS(
  AND(REGEXMATCH(E6379, ""台銀籌備帳戶|玉山帳戶""), REGEXMATCH(C6379, ""薪資"")), ""分潤支出"",
  AND(REGEXMATCH(E6379, ""Ben帳戶|Elsa帳戶|Ben代墊|Ariel代墊|中信銀行共用""), REGEXMATCH(F6379, ""Ben帳戶|Elsa帳戶|Ben代墊|Ariel代墊|中信銀行共用"")), ""內部轉帳(忽略)"",
  AND(E6379&lt;&gt;"""", F6379&lt;&gt;"""", N"&amp;"OT(REGEXMATCH(C6379, ""薪資""))), ""內部轉帳(忽略)"",
  REGEXMATCH(C6379, ""薪資""), ""薪資變動(不計入)"",
  REGEXMATCH(C6379, ""押金""), ""押金往來"",
  AND(E6379&lt;&gt;"""", F6379=""""), ""真實支出"",
  AND(E6379="""", F6379&lt;&gt;""""), ""真實收入"",
  TRUE, ""其他""
)"),"其他")</f>
        <v>其他</v>
      </c>
      <c r="K6379" s="270" t="str">
        <f t="shared" si="2"/>
        <v/>
      </c>
      <c r="L6379">
        <f t="shared" si="3"/>
        <v>0</v>
      </c>
    </row>
    <row r="6380">
      <c r="A6380" s="107"/>
      <c r="D6380" s="270"/>
      <c r="H6380" s="106" t="str">
        <f t="shared" si="1"/>
        <v/>
      </c>
      <c r="J6380" t="str">
        <f>IFERROR(__xludf.DUMMYFUNCTION("IFS(
  AND(REGEXMATCH(E6380, ""台銀籌備帳戶|玉山帳戶""), REGEXMATCH(C6380, ""薪資"")), ""分潤支出"",
  AND(REGEXMATCH(E6380, ""Ben帳戶|Elsa帳戶|Ben代墊|Ariel代墊|中信銀行共用""), REGEXMATCH(F6380, ""Ben帳戶|Elsa帳戶|Ben代墊|Ariel代墊|中信銀行共用"")), ""內部轉帳(忽略)"",
  AND(E6380&lt;&gt;"""", F6380&lt;&gt;"""", N"&amp;"OT(REGEXMATCH(C6380, ""薪資""))), ""內部轉帳(忽略)"",
  REGEXMATCH(C6380, ""薪資""), ""薪資變動(不計入)"",
  REGEXMATCH(C6380, ""押金""), ""押金往來"",
  AND(E6380&lt;&gt;"""", F6380=""""), ""真實支出"",
  AND(E6380="""", F6380&lt;&gt;""""), ""真實收入"",
  TRUE, ""其他""
)"),"其他")</f>
        <v>其他</v>
      </c>
      <c r="K6380" s="270" t="str">
        <f t="shared" si="2"/>
        <v/>
      </c>
      <c r="L6380">
        <f t="shared" si="3"/>
        <v>0</v>
      </c>
    </row>
    <row r="6381">
      <c r="A6381" s="107"/>
      <c r="D6381" s="270"/>
      <c r="H6381" s="106" t="str">
        <f t="shared" si="1"/>
        <v/>
      </c>
      <c r="J6381" t="str">
        <f>IFERROR(__xludf.DUMMYFUNCTION("IFS(
  AND(REGEXMATCH(E6381, ""台銀籌備帳戶|玉山帳戶""), REGEXMATCH(C6381, ""薪資"")), ""分潤支出"",
  AND(REGEXMATCH(E6381, ""Ben帳戶|Elsa帳戶|Ben代墊|Ariel代墊|中信銀行共用""), REGEXMATCH(F6381, ""Ben帳戶|Elsa帳戶|Ben代墊|Ariel代墊|中信銀行共用"")), ""內部轉帳(忽略)"",
  AND(E6381&lt;&gt;"""", F6381&lt;&gt;"""", N"&amp;"OT(REGEXMATCH(C6381, ""薪資""))), ""內部轉帳(忽略)"",
  REGEXMATCH(C6381, ""薪資""), ""薪資變動(不計入)"",
  REGEXMATCH(C6381, ""押金""), ""押金往來"",
  AND(E6381&lt;&gt;"""", F6381=""""), ""真實支出"",
  AND(E6381="""", F6381&lt;&gt;""""), ""真實收入"",
  TRUE, ""其他""
)"),"其他")</f>
        <v>其他</v>
      </c>
      <c r="K6381" s="270" t="str">
        <f t="shared" si="2"/>
        <v/>
      </c>
      <c r="L6381">
        <f t="shared" si="3"/>
        <v>0</v>
      </c>
    </row>
    <row r="6382">
      <c r="A6382" s="107"/>
      <c r="D6382" s="270"/>
      <c r="H6382" s="106" t="str">
        <f t="shared" si="1"/>
        <v/>
      </c>
      <c r="J6382" t="str">
        <f>IFERROR(__xludf.DUMMYFUNCTION("IFS(
  AND(REGEXMATCH(E6382, ""台銀籌備帳戶|玉山帳戶""), REGEXMATCH(C6382, ""薪資"")), ""分潤支出"",
  AND(REGEXMATCH(E6382, ""Ben帳戶|Elsa帳戶|Ben代墊|Ariel代墊|中信銀行共用""), REGEXMATCH(F6382, ""Ben帳戶|Elsa帳戶|Ben代墊|Ariel代墊|中信銀行共用"")), ""內部轉帳(忽略)"",
  AND(E6382&lt;&gt;"""", F6382&lt;&gt;"""", N"&amp;"OT(REGEXMATCH(C6382, ""薪資""))), ""內部轉帳(忽略)"",
  REGEXMATCH(C6382, ""薪資""), ""薪資變動(不計入)"",
  REGEXMATCH(C6382, ""押金""), ""押金往來"",
  AND(E6382&lt;&gt;"""", F6382=""""), ""真實支出"",
  AND(E6382="""", F6382&lt;&gt;""""), ""真實收入"",
  TRUE, ""其他""
)"),"其他")</f>
        <v>其他</v>
      </c>
      <c r="K6382" s="270" t="str">
        <f t="shared" si="2"/>
        <v/>
      </c>
      <c r="L6382">
        <f t="shared" si="3"/>
        <v>0</v>
      </c>
    </row>
    <row r="6383">
      <c r="A6383" s="107"/>
      <c r="D6383" s="270"/>
      <c r="H6383" s="106" t="str">
        <f t="shared" si="1"/>
        <v/>
      </c>
      <c r="J6383" t="str">
        <f>IFERROR(__xludf.DUMMYFUNCTION("IFS(
  AND(REGEXMATCH(E6383, ""台銀籌備帳戶|玉山帳戶""), REGEXMATCH(C6383, ""薪資"")), ""分潤支出"",
  AND(REGEXMATCH(E6383, ""Ben帳戶|Elsa帳戶|Ben代墊|Ariel代墊|中信銀行共用""), REGEXMATCH(F6383, ""Ben帳戶|Elsa帳戶|Ben代墊|Ariel代墊|中信銀行共用"")), ""內部轉帳(忽略)"",
  AND(E6383&lt;&gt;"""", F6383&lt;&gt;"""", N"&amp;"OT(REGEXMATCH(C6383, ""薪資""))), ""內部轉帳(忽略)"",
  REGEXMATCH(C6383, ""薪資""), ""薪資變動(不計入)"",
  REGEXMATCH(C6383, ""押金""), ""押金往來"",
  AND(E6383&lt;&gt;"""", F6383=""""), ""真實支出"",
  AND(E6383="""", F6383&lt;&gt;""""), ""真實收入"",
  TRUE, ""其他""
)"),"其他")</f>
        <v>其他</v>
      </c>
      <c r="K6383" s="270" t="str">
        <f t="shared" si="2"/>
        <v/>
      </c>
      <c r="L6383">
        <f t="shared" si="3"/>
        <v>0</v>
      </c>
    </row>
    <row r="6384">
      <c r="A6384" s="107"/>
      <c r="D6384" s="270"/>
      <c r="H6384" s="106" t="str">
        <f t="shared" si="1"/>
        <v/>
      </c>
      <c r="J6384" t="str">
        <f>IFERROR(__xludf.DUMMYFUNCTION("IFS(
  AND(REGEXMATCH(E6384, ""台銀籌備帳戶|玉山帳戶""), REGEXMATCH(C6384, ""薪資"")), ""分潤支出"",
  AND(REGEXMATCH(E6384, ""Ben帳戶|Elsa帳戶|Ben代墊|Ariel代墊|中信銀行共用""), REGEXMATCH(F6384, ""Ben帳戶|Elsa帳戶|Ben代墊|Ariel代墊|中信銀行共用"")), ""內部轉帳(忽略)"",
  AND(E6384&lt;&gt;"""", F6384&lt;&gt;"""", N"&amp;"OT(REGEXMATCH(C6384, ""薪資""))), ""內部轉帳(忽略)"",
  REGEXMATCH(C6384, ""薪資""), ""薪資變動(不計入)"",
  REGEXMATCH(C6384, ""押金""), ""押金往來"",
  AND(E6384&lt;&gt;"""", F6384=""""), ""真實支出"",
  AND(E6384="""", F6384&lt;&gt;""""), ""真實收入"",
  TRUE, ""其他""
)"),"其他")</f>
        <v>其他</v>
      </c>
      <c r="K6384" s="270" t="str">
        <f t="shared" si="2"/>
        <v/>
      </c>
      <c r="L6384">
        <f t="shared" si="3"/>
        <v>0</v>
      </c>
    </row>
    <row r="6385">
      <c r="A6385" s="107"/>
      <c r="D6385" s="270"/>
      <c r="H6385" s="106" t="str">
        <f t="shared" si="1"/>
        <v/>
      </c>
      <c r="J6385" t="str">
        <f>IFERROR(__xludf.DUMMYFUNCTION("IFS(
  AND(REGEXMATCH(E6385, ""台銀籌備帳戶|玉山帳戶""), REGEXMATCH(C6385, ""薪資"")), ""分潤支出"",
  AND(REGEXMATCH(E6385, ""Ben帳戶|Elsa帳戶|Ben代墊|Ariel代墊|中信銀行共用""), REGEXMATCH(F6385, ""Ben帳戶|Elsa帳戶|Ben代墊|Ariel代墊|中信銀行共用"")), ""內部轉帳(忽略)"",
  AND(E6385&lt;&gt;"""", F6385&lt;&gt;"""", N"&amp;"OT(REGEXMATCH(C6385, ""薪資""))), ""內部轉帳(忽略)"",
  REGEXMATCH(C6385, ""薪資""), ""薪資變動(不計入)"",
  REGEXMATCH(C6385, ""押金""), ""押金往來"",
  AND(E6385&lt;&gt;"""", F6385=""""), ""真實支出"",
  AND(E6385="""", F6385&lt;&gt;""""), ""真實收入"",
  TRUE, ""其他""
)"),"其他")</f>
        <v>其他</v>
      </c>
      <c r="K6385" s="270" t="str">
        <f t="shared" si="2"/>
        <v/>
      </c>
      <c r="L6385">
        <f t="shared" si="3"/>
        <v>0</v>
      </c>
    </row>
    <row r="6386">
      <c r="A6386" s="107"/>
      <c r="D6386" s="270"/>
      <c r="H6386" s="106" t="str">
        <f t="shared" si="1"/>
        <v/>
      </c>
      <c r="J6386" t="str">
        <f>IFERROR(__xludf.DUMMYFUNCTION("IFS(
  AND(REGEXMATCH(E6386, ""台銀籌備帳戶|玉山帳戶""), REGEXMATCH(C6386, ""薪資"")), ""分潤支出"",
  AND(REGEXMATCH(E6386, ""Ben帳戶|Elsa帳戶|Ben代墊|Ariel代墊|中信銀行共用""), REGEXMATCH(F6386, ""Ben帳戶|Elsa帳戶|Ben代墊|Ariel代墊|中信銀行共用"")), ""內部轉帳(忽略)"",
  AND(E6386&lt;&gt;"""", F6386&lt;&gt;"""", N"&amp;"OT(REGEXMATCH(C6386, ""薪資""))), ""內部轉帳(忽略)"",
  REGEXMATCH(C6386, ""薪資""), ""薪資變動(不計入)"",
  REGEXMATCH(C6386, ""押金""), ""押金往來"",
  AND(E6386&lt;&gt;"""", F6386=""""), ""真實支出"",
  AND(E6386="""", F6386&lt;&gt;""""), ""真實收入"",
  TRUE, ""其他""
)"),"其他")</f>
        <v>其他</v>
      </c>
      <c r="K6386" s="270" t="str">
        <f t="shared" si="2"/>
        <v/>
      </c>
      <c r="L6386">
        <f t="shared" si="3"/>
        <v>0</v>
      </c>
    </row>
    <row r="6387">
      <c r="A6387" s="107"/>
      <c r="D6387" s="270"/>
      <c r="H6387" s="106" t="str">
        <f t="shared" si="1"/>
        <v/>
      </c>
      <c r="J6387" t="str">
        <f>IFERROR(__xludf.DUMMYFUNCTION("IFS(
  AND(REGEXMATCH(E6387, ""台銀籌備帳戶|玉山帳戶""), REGEXMATCH(C6387, ""薪資"")), ""分潤支出"",
  AND(REGEXMATCH(E6387, ""Ben帳戶|Elsa帳戶|Ben代墊|Ariel代墊|中信銀行共用""), REGEXMATCH(F6387, ""Ben帳戶|Elsa帳戶|Ben代墊|Ariel代墊|中信銀行共用"")), ""內部轉帳(忽略)"",
  AND(E6387&lt;&gt;"""", F6387&lt;&gt;"""", N"&amp;"OT(REGEXMATCH(C6387, ""薪資""))), ""內部轉帳(忽略)"",
  REGEXMATCH(C6387, ""薪資""), ""薪資變動(不計入)"",
  REGEXMATCH(C6387, ""押金""), ""押金往來"",
  AND(E6387&lt;&gt;"""", F6387=""""), ""真實支出"",
  AND(E6387="""", F6387&lt;&gt;""""), ""真實收入"",
  TRUE, ""其他""
)"),"其他")</f>
        <v>其他</v>
      </c>
      <c r="K6387" s="270" t="str">
        <f t="shared" si="2"/>
        <v/>
      </c>
      <c r="L6387">
        <f t="shared" si="3"/>
        <v>0</v>
      </c>
    </row>
    <row r="6388">
      <c r="A6388" s="107"/>
      <c r="D6388" s="270"/>
      <c r="H6388" s="106" t="str">
        <f t="shared" si="1"/>
        <v/>
      </c>
      <c r="J6388" t="str">
        <f>IFERROR(__xludf.DUMMYFUNCTION("IFS(
  AND(REGEXMATCH(E6388, ""台銀籌備帳戶|玉山帳戶""), REGEXMATCH(C6388, ""薪資"")), ""分潤支出"",
  AND(REGEXMATCH(E6388, ""Ben帳戶|Elsa帳戶|Ben代墊|Ariel代墊|中信銀行共用""), REGEXMATCH(F6388, ""Ben帳戶|Elsa帳戶|Ben代墊|Ariel代墊|中信銀行共用"")), ""內部轉帳(忽略)"",
  AND(E6388&lt;&gt;"""", F6388&lt;&gt;"""", N"&amp;"OT(REGEXMATCH(C6388, ""薪資""))), ""內部轉帳(忽略)"",
  REGEXMATCH(C6388, ""薪資""), ""薪資變動(不計入)"",
  REGEXMATCH(C6388, ""押金""), ""押金往來"",
  AND(E6388&lt;&gt;"""", F6388=""""), ""真實支出"",
  AND(E6388="""", F6388&lt;&gt;""""), ""真實收入"",
  TRUE, ""其他""
)"),"其他")</f>
        <v>其他</v>
      </c>
      <c r="K6388" s="270" t="str">
        <f t="shared" si="2"/>
        <v/>
      </c>
      <c r="L6388">
        <f t="shared" si="3"/>
        <v>0</v>
      </c>
    </row>
    <row r="6389">
      <c r="A6389" s="107"/>
      <c r="D6389" s="270"/>
      <c r="H6389" s="106" t="str">
        <f t="shared" si="1"/>
        <v/>
      </c>
      <c r="J6389" t="str">
        <f>IFERROR(__xludf.DUMMYFUNCTION("IFS(
  AND(REGEXMATCH(E6389, ""台銀籌備帳戶|玉山帳戶""), REGEXMATCH(C6389, ""薪資"")), ""分潤支出"",
  AND(REGEXMATCH(E6389, ""Ben帳戶|Elsa帳戶|Ben代墊|Ariel代墊|中信銀行共用""), REGEXMATCH(F6389, ""Ben帳戶|Elsa帳戶|Ben代墊|Ariel代墊|中信銀行共用"")), ""內部轉帳(忽略)"",
  AND(E6389&lt;&gt;"""", F6389&lt;&gt;"""", N"&amp;"OT(REGEXMATCH(C6389, ""薪資""))), ""內部轉帳(忽略)"",
  REGEXMATCH(C6389, ""薪資""), ""薪資變動(不計入)"",
  REGEXMATCH(C6389, ""押金""), ""押金往來"",
  AND(E6389&lt;&gt;"""", F6389=""""), ""真實支出"",
  AND(E6389="""", F6389&lt;&gt;""""), ""真實收入"",
  TRUE, ""其他""
)"),"其他")</f>
        <v>其他</v>
      </c>
      <c r="K6389" s="270" t="str">
        <f t="shared" si="2"/>
        <v/>
      </c>
      <c r="L6389">
        <f t="shared" si="3"/>
        <v>0</v>
      </c>
    </row>
    <row r="6390">
      <c r="A6390" s="107"/>
      <c r="D6390" s="270"/>
      <c r="H6390" s="106" t="str">
        <f t="shared" si="1"/>
        <v/>
      </c>
      <c r="J6390" t="str">
        <f>IFERROR(__xludf.DUMMYFUNCTION("IFS(
  AND(REGEXMATCH(E6390, ""台銀籌備帳戶|玉山帳戶""), REGEXMATCH(C6390, ""薪資"")), ""分潤支出"",
  AND(REGEXMATCH(E6390, ""Ben帳戶|Elsa帳戶|Ben代墊|Ariel代墊|中信銀行共用""), REGEXMATCH(F6390, ""Ben帳戶|Elsa帳戶|Ben代墊|Ariel代墊|中信銀行共用"")), ""內部轉帳(忽略)"",
  AND(E6390&lt;&gt;"""", F6390&lt;&gt;"""", N"&amp;"OT(REGEXMATCH(C6390, ""薪資""))), ""內部轉帳(忽略)"",
  REGEXMATCH(C6390, ""薪資""), ""薪資變動(不計入)"",
  REGEXMATCH(C6390, ""押金""), ""押金往來"",
  AND(E6390&lt;&gt;"""", F6390=""""), ""真實支出"",
  AND(E6390="""", F6390&lt;&gt;""""), ""真實收入"",
  TRUE, ""其他""
)"),"其他")</f>
        <v>其他</v>
      </c>
      <c r="K6390" s="270" t="str">
        <f t="shared" si="2"/>
        <v/>
      </c>
      <c r="L6390">
        <f t="shared" si="3"/>
        <v>0</v>
      </c>
    </row>
    <row r="6391">
      <c r="A6391" s="107"/>
      <c r="D6391" s="270"/>
      <c r="H6391" s="106" t="str">
        <f t="shared" si="1"/>
        <v/>
      </c>
      <c r="J6391" t="str">
        <f>IFERROR(__xludf.DUMMYFUNCTION("IFS(
  AND(REGEXMATCH(E6391, ""台銀籌備帳戶|玉山帳戶""), REGEXMATCH(C6391, ""薪資"")), ""分潤支出"",
  AND(REGEXMATCH(E6391, ""Ben帳戶|Elsa帳戶|Ben代墊|Ariel代墊|中信銀行共用""), REGEXMATCH(F6391, ""Ben帳戶|Elsa帳戶|Ben代墊|Ariel代墊|中信銀行共用"")), ""內部轉帳(忽略)"",
  AND(E6391&lt;&gt;"""", F6391&lt;&gt;"""", N"&amp;"OT(REGEXMATCH(C6391, ""薪資""))), ""內部轉帳(忽略)"",
  REGEXMATCH(C6391, ""薪資""), ""薪資變動(不計入)"",
  REGEXMATCH(C6391, ""押金""), ""押金往來"",
  AND(E6391&lt;&gt;"""", F6391=""""), ""真實支出"",
  AND(E6391="""", F6391&lt;&gt;""""), ""真實收入"",
  TRUE, ""其他""
)"),"其他")</f>
        <v>其他</v>
      </c>
      <c r="K6391" s="270" t="str">
        <f t="shared" si="2"/>
        <v/>
      </c>
      <c r="L6391">
        <f t="shared" si="3"/>
        <v>0</v>
      </c>
    </row>
    <row r="6392">
      <c r="A6392" s="107"/>
      <c r="D6392" s="270"/>
      <c r="H6392" s="106" t="str">
        <f t="shared" si="1"/>
        <v/>
      </c>
      <c r="J6392" t="str">
        <f>IFERROR(__xludf.DUMMYFUNCTION("IFS(
  AND(REGEXMATCH(E6392, ""台銀籌備帳戶|玉山帳戶""), REGEXMATCH(C6392, ""薪資"")), ""分潤支出"",
  AND(REGEXMATCH(E6392, ""Ben帳戶|Elsa帳戶|Ben代墊|Ariel代墊|中信銀行共用""), REGEXMATCH(F6392, ""Ben帳戶|Elsa帳戶|Ben代墊|Ariel代墊|中信銀行共用"")), ""內部轉帳(忽略)"",
  AND(E6392&lt;&gt;"""", F6392&lt;&gt;"""", N"&amp;"OT(REGEXMATCH(C6392, ""薪資""))), ""內部轉帳(忽略)"",
  REGEXMATCH(C6392, ""薪資""), ""薪資變動(不計入)"",
  REGEXMATCH(C6392, ""押金""), ""押金往來"",
  AND(E6392&lt;&gt;"""", F6392=""""), ""真實支出"",
  AND(E6392="""", F6392&lt;&gt;""""), ""真實收入"",
  TRUE, ""其他""
)"),"其他")</f>
        <v>其他</v>
      </c>
      <c r="K6392" s="270" t="str">
        <f t="shared" si="2"/>
        <v/>
      </c>
      <c r="L6392">
        <f t="shared" si="3"/>
        <v>0</v>
      </c>
    </row>
    <row r="6393">
      <c r="A6393" s="107"/>
      <c r="D6393" s="270"/>
      <c r="H6393" s="106" t="str">
        <f t="shared" si="1"/>
        <v/>
      </c>
      <c r="J6393" t="str">
        <f>IFERROR(__xludf.DUMMYFUNCTION("IFS(
  AND(REGEXMATCH(E6393, ""台銀籌備帳戶|玉山帳戶""), REGEXMATCH(C6393, ""薪資"")), ""分潤支出"",
  AND(REGEXMATCH(E6393, ""Ben帳戶|Elsa帳戶|Ben代墊|Ariel代墊|中信銀行共用""), REGEXMATCH(F6393, ""Ben帳戶|Elsa帳戶|Ben代墊|Ariel代墊|中信銀行共用"")), ""內部轉帳(忽略)"",
  AND(E6393&lt;&gt;"""", F6393&lt;&gt;"""", N"&amp;"OT(REGEXMATCH(C6393, ""薪資""))), ""內部轉帳(忽略)"",
  REGEXMATCH(C6393, ""薪資""), ""薪資變動(不計入)"",
  REGEXMATCH(C6393, ""押金""), ""押金往來"",
  AND(E6393&lt;&gt;"""", F6393=""""), ""真實支出"",
  AND(E6393="""", F6393&lt;&gt;""""), ""真實收入"",
  TRUE, ""其他""
)"),"其他")</f>
        <v>其他</v>
      </c>
      <c r="K6393" s="270" t="str">
        <f t="shared" si="2"/>
        <v/>
      </c>
      <c r="L6393">
        <f t="shared" si="3"/>
        <v>0</v>
      </c>
    </row>
    <row r="6394">
      <c r="A6394" s="107"/>
      <c r="D6394" s="270"/>
      <c r="H6394" s="106" t="str">
        <f t="shared" si="1"/>
        <v/>
      </c>
      <c r="J6394" t="str">
        <f>IFERROR(__xludf.DUMMYFUNCTION("IFS(
  AND(REGEXMATCH(E6394, ""台銀籌備帳戶|玉山帳戶""), REGEXMATCH(C6394, ""薪資"")), ""分潤支出"",
  AND(REGEXMATCH(E6394, ""Ben帳戶|Elsa帳戶|Ben代墊|Ariel代墊|中信銀行共用""), REGEXMATCH(F6394, ""Ben帳戶|Elsa帳戶|Ben代墊|Ariel代墊|中信銀行共用"")), ""內部轉帳(忽略)"",
  AND(E6394&lt;&gt;"""", F6394&lt;&gt;"""", N"&amp;"OT(REGEXMATCH(C6394, ""薪資""))), ""內部轉帳(忽略)"",
  REGEXMATCH(C6394, ""薪資""), ""薪資變動(不計入)"",
  REGEXMATCH(C6394, ""押金""), ""押金往來"",
  AND(E6394&lt;&gt;"""", F6394=""""), ""真實支出"",
  AND(E6394="""", F6394&lt;&gt;""""), ""真實收入"",
  TRUE, ""其他""
)"),"其他")</f>
        <v>其他</v>
      </c>
      <c r="K6394" s="270" t="str">
        <f t="shared" si="2"/>
        <v/>
      </c>
      <c r="L6394">
        <f t="shared" si="3"/>
        <v>0</v>
      </c>
    </row>
    <row r="6395">
      <c r="A6395" s="107"/>
      <c r="D6395" s="270"/>
      <c r="H6395" s="106" t="str">
        <f t="shared" si="1"/>
        <v/>
      </c>
      <c r="J6395" t="str">
        <f>IFERROR(__xludf.DUMMYFUNCTION("IFS(
  AND(REGEXMATCH(E6395, ""台銀籌備帳戶|玉山帳戶""), REGEXMATCH(C6395, ""薪資"")), ""分潤支出"",
  AND(REGEXMATCH(E6395, ""Ben帳戶|Elsa帳戶|Ben代墊|Ariel代墊|中信銀行共用""), REGEXMATCH(F6395, ""Ben帳戶|Elsa帳戶|Ben代墊|Ariel代墊|中信銀行共用"")), ""內部轉帳(忽略)"",
  AND(E6395&lt;&gt;"""", F6395&lt;&gt;"""", N"&amp;"OT(REGEXMATCH(C6395, ""薪資""))), ""內部轉帳(忽略)"",
  REGEXMATCH(C6395, ""薪資""), ""薪資變動(不計入)"",
  REGEXMATCH(C6395, ""押金""), ""押金往來"",
  AND(E6395&lt;&gt;"""", F6395=""""), ""真實支出"",
  AND(E6395="""", F6395&lt;&gt;""""), ""真實收入"",
  TRUE, ""其他""
)"),"其他")</f>
        <v>其他</v>
      </c>
      <c r="K6395" s="270" t="str">
        <f t="shared" si="2"/>
        <v/>
      </c>
      <c r="L6395">
        <f t="shared" si="3"/>
        <v>0</v>
      </c>
    </row>
    <row r="6396">
      <c r="A6396" s="107"/>
      <c r="D6396" s="270"/>
      <c r="H6396" s="106" t="str">
        <f t="shared" si="1"/>
        <v/>
      </c>
      <c r="J6396" t="str">
        <f>IFERROR(__xludf.DUMMYFUNCTION("IFS(
  AND(REGEXMATCH(E6396, ""台銀籌備帳戶|玉山帳戶""), REGEXMATCH(C6396, ""薪資"")), ""分潤支出"",
  AND(REGEXMATCH(E6396, ""Ben帳戶|Elsa帳戶|Ben代墊|Ariel代墊|中信銀行共用""), REGEXMATCH(F6396, ""Ben帳戶|Elsa帳戶|Ben代墊|Ariel代墊|中信銀行共用"")), ""內部轉帳(忽略)"",
  AND(E6396&lt;&gt;"""", F6396&lt;&gt;"""", N"&amp;"OT(REGEXMATCH(C6396, ""薪資""))), ""內部轉帳(忽略)"",
  REGEXMATCH(C6396, ""薪資""), ""薪資變動(不計入)"",
  REGEXMATCH(C6396, ""押金""), ""押金往來"",
  AND(E6396&lt;&gt;"""", F6396=""""), ""真實支出"",
  AND(E6396="""", F6396&lt;&gt;""""), ""真實收入"",
  TRUE, ""其他""
)"),"其他")</f>
        <v>其他</v>
      </c>
      <c r="K6396" s="270" t="str">
        <f t="shared" si="2"/>
        <v/>
      </c>
      <c r="L6396">
        <f t="shared" si="3"/>
        <v>0</v>
      </c>
    </row>
    <row r="6397">
      <c r="A6397" s="107"/>
      <c r="D6397" s="270"/>
      <c r="H6397" s="106" t="str">
        <f t="shared" si="1"/>
        <v/>
      </c>
      <c r="J6397" t="str">
        <f>IFERROR(__xludf.DUMMYFUNCTION("IFS(
  AND(REGEXMATCH(E6397, ""台銀籌備帳戶|玉山帳戶""), REGEXMATCH(C6397, ""薪資"")), ""分潤支出"",
  AND(REGEXMATCH(E6397, ""Ben帳戶|Elsa帳戶|Ben代墊|Ariel代墊|中信銀行共用""), REGEXMATCH(F6397, ""Ben帳戶|Elsa帳戶|Ben代墊|Ariel代墊|中信銀行共用"")), ""內部轉帳(忽略)"",
  AND(E6397&lt;&gt;"""", F6397&lt;&gt;"""", N"&amp;"OT(REGEXMATCH(C6397, ""薪資""))), ""內部轉帳(忽略)"",
  REGEXMATCH(C6397, ""薪資""), ""薪資變動(不計入)"",
  REGEXMATCH(C6397, ""押金""), ""押金往來"",
  AND(E6397&lt;&gt;"""", F6397=""""), ""真實支出"",
  AND(E6397="""", F6397&lt;&gt;""""), ""真實收入"",
  TRUE, ""其他""
)"),"其他")</f>
        <v>其他</v>
      </c>
      <c r="K6397" s="270" t="str">
        <f t="shared" si="2"/>
        <v/>
      </c>
      <c r="L6397">
        <f t="shared" si="3"/>
        <v>0</v>
      </c>
    </row>
    <row r="6398">
      <c r="A6398" s="107"/>
      <c r="D6398" s="270"/>
      <c r="H6398" s="106" t="str">
        <f t="shared" si="1"/>
        <v/>
      </c>
      <c r="J6398" t="str">
        <f>IFERROR(__xludf.DUMMYFUNCTION("IFS(
  AND(REGEXMATCH(E6398, ""台銀籌備帳戶|玉山帳戶""), REGEXMATCH(C6398, ""薪資"")), ""分潤支出"",
  AND(REGEXMATCH(E6398, ""Ben帳戶|Elsa帳戶|Ben代墊|Ariel代墊|中信銀行共用""), REGEXMATCH(F6398, ""Ben帳戶|Elsa帳戶|Ben代墊|Ariel代墊|中信銀行共用"")), ""內部轉帳(忽略)"",
  AND(E6398&lt;&gt;"""", F6398&lt;&gt;"""", N"&amp;"OT(REGEXMATCH(C6398, ""薪資""))), ""內部轉帳(忽略)"",
  REGEXMATCH(C6398, ""薪資""), ""薪資變動(不計入)"",
  REGEXMATCH(C6398, ""押金""), ""押金往來"",
  AND(E6398&lt;&gt;"""", F6398=""""), ""真實支出"",
  AND(E6398="""", F6398&lt;&gt;""""), ""真實收入"",
  TRUE, ""其他""
)"),"其他")</f>
        <v>其他</v>
      </c>
      <c r="K6398" s="270" t="str">
        <f t="shared" si="2"/>
        <v/>
      </c>
      <c r="L6398">
        <f t="shared" si="3"/>
        <v>0</v>
      </c>
    </row>
    <row r="6399">
      <c r="A6399" s="107"/>
      <c r="D6399" s="270"/>
      <c r="H6399" s="106" t="str">
        <f t="shared" si="1"/>
        <v/>
      </c>
      <c r="J6399" t="str">
        <f>IFERROR(__xludf.DUMMYFUNCTION("IFS(
  AND(REGEXMATCH(E6399, ""台銀籌備帳戶|玉山帳戶""), REGEXMATCH(C6399, ""薪資"")), ""分潤支出"",
  AND(REGEXMATCH(E6399, ""Ben帳戶|Elsa帳戶|Ben代墊|Ariel代墊|中信銀行共用""), REGEXMATCH(F6399, ""Ben帳戶|Elsa帳戶|Ben代墊|Ariel代墊|中信銀行共用"")), ""內部轉帳(忽略)"",
  AND(E6399&lt;&gt;"""", F6399&lt;&gt;"""", N"&amp;"OT(REGEXMATCH(C6399, ""薪資""))), ""內部轉帳(忽略)"",
  REGEXMATCH(C6399, ""薪資""), ""薪資變動(不計入)"",
  REGEXMATCH(C6399, ""押金""), ""押金往來"",
  AND(E6399&lt;&gt;"""", F6399=""""), ""真實支出"",
  AND(E6399="""", F6399&lt;&gt;""""), ""真實收入"",
  TRUE, ""其他""
)"),"其他")</f>
        <v>其他</v>
      </c>
      <c r="K6399" s="270" t="str">
        <f t="shared" si="2"/>
        <v/>
      </c>
      <c r="L6399">
        <f t="shared" si="3"/>
        <v>0</v>
      </c>
    </row>
    <row r="6400">
      <c r="A6400" s="107"/>
      <c r="D6400" s="270"/>
      <c r="H6400" s="106" t="str">
        <f t="shared" si="1"/>
        <v/>
      </c>
      <c r="J6400" t="str">
        <f>IFERROR(__xludf.DUMMYFUNCTION("IFS(
  AND(REGEXMATCH(E6400, ""台銀籌備帳戶|玉山帳戶""), REGEXMATCH(C6400, ""薪資"")), ""分潤支出"",
  AND(REGEXMATCH(E6400, ""Ben帳戶|Elsa帳戶|Ben代墊|Ariel代墊|中信銀行共用""), REGEXMATCH(F6400, ""Ben帳戶|Elsa帳戶|Ben代墊|Ariel代墊|中信銀行共用"")), ""內部轉帳(忽略)"",
  AND(E6400&lt;&gt;"""", F6400&lt;&gt;"""", N"&amp;"OT(REGEXMATCH(C6400, ""薪資""))), ""內部轉帳(忽略)"",
  REGEXMATCH(C6400, ""薪資""), ""薪資變動(不計入)"",
  REGEXMATCH(C6400, ""押金""), ""押金往來"",
  AND(E6400&lt;&gt;"""", F6400=""""), ""真實支出"",
  AND(E6400="""", F6400&lt;&gt;""""), ""真實收入"",
  TRUE, ""其他""
)"),"其他")</f>
        <v>其他</v>
      </c>
      <c r="K6400" s="270" t="str">
        <f t="shared" si="2"/>
        <v/>
      </c>
      <c r="L6400">
        <f t="shared" si="3"/>
        <v>0</v>
      </c>
    </row>
    <row r="6401">
      <c r="A6401" s="107"/>
      <c r="D6401" s="270"/>
      <c r="H6401" s="106" t="str">
        <f t="shared" si="1"/>
        <v/>
      </c>
      <c r="J6401" t="str">
        <f>IFERROR(__xludf.DUMMYFUNCTION("IFS(
  AND(REGEXMATCH(E6401, ""台銀籌備帳戶|玉山帳戶""), REGEXMATCH(C6401, ""薪資"")), ""分潤支出"",
  AND(REGEXMATCH(E6401, ""Ben帳戶|Elsa帳戶|Ben代墊|Ariel代墊|中信銀行共用""), REGEXMATCH(F6401, ""Ben帳戶|Elsa帳戶|Ben代墊|Ariel代墊|中信銀行共用"")), ""內部轉帳(忽略)"",
  AND(E6401&lt;&gt;"""", F6401&lt;&gt;"""", N"&amp;"OT(REGEXMATCH(C6401, ""薪資""))), ""內部轉帳(忽略)"",
  REGEXMATCH(C6401, ""薪資""), ""薪資變動(不計入)"",
  REGEXMATCH(C6401, ""押金""), ""押金往來"",
  AND(E6401&lt;&gt;"""", F6401=""""), ""真實支出"",
  AND(E6401="""", F6401&lt;&gt;""""), ""真實收入"",
  TRUE, ""其他""
)"),"其他")</f>
        <v>其他</v>
      </c>
      <c r="K6401" s="270" t="str">
        <f t="shared" si="2"/>
        <v/>
      </c>
      <c r="L6401">
        <f t="shared" si="3"/>
        <v>0</v>
      </c>
    </row>
    <row r="6402">
      <c r="A6402" s="107"/>
      <c r="D6402" s="270"/>
      <c r="H6402" s="106" t="str">
        <f t="shared" si="1"/>
        <v/>
      </c>
      <c r="J6402" t="str">
        <f>IFERROR(__xludf.DUMMYFUNCTION("IFS(
  AND(REGEXMATCH(E6402, ""台銀籌備帳戶|玉山帳戶""), REGEXMATCH(C6402, ""薪資"")), ""分潤支出"",
  AND(REGEXMATCH(E6402, ""Ben帳戶|Elsa帳戶|Ben代墊|Ariel代墊|中信銀行共用""), REGEXMATCH(F6402, ""Ben帳戶|Elsa帳戶|Ben代墊|Ariel代墊|中信銀行共用"")), ""內部轉帳(忽略)"",
  AND(E6402&lt;&gt;"""", F6402&lt;&gt;"""", N"&amp;"OT(REGEXMATCH(C6402, ""薪資""))), ""內部轉帳(忽略)"",
  REGEXMATCH(C6402, ""薪資""), ""薪資變動(不計入)"",
  REGEXMATCH(C6402, ""押金""), ""押金往來"",
  AND(E6402&lt;&gt;"""", F6402=""""), ""真實支出"",
  AND(E6402="""", F6402&lt;&gt;""""), ""真實收入"",
  TRUE, ""其他""
)"),"其他")</f>
        <v>其他</v>
      </c>
      <c r="K6402" s="270" t="str">
        <f t="shared" si="2"/>
        <v/>
      </c>
      <c r="L6402">
        <f t="shared" si="3"/>
        <v>0</v>
      </c>
    </row>
    <row r="6403">
      <c r="A6403" s="107"/>
      <c r="D6403" s="270"/>
      <c r="H6403" s="106" t="str">
        <f t="shared" si="1"/>
        <v/>
      </c>
      <c r="J6403" t="str">
        <f>IFERROR(__xludf.DUMMYFUNCTION("IFS(
  AND(REGEXMATCH(E6403, ""台銀籌備帳戶|玉山帳戶""), REGEXMATCH(C6403, ""薪資"")), ""分潤支出"",
  AND(REGEXMATCH(E6403, ""Ben帳戶|Elsa帳戶|Ben代墊|Ariel代墊|中信銀行共用""), REGEXMATCH(F6403, ""Ben帳戶|Elsa帳戶|Ben代墊|Ariel代墊|中信銀行共用"")), ""內部轉帳(忽略)"",
  AND(E6403&lt;&gt;"""", F6403&lt;&gt;"""", N"&amp;"OT(REGEXMATCH(C6403, ""薪資""))), ""內部轉帳(忽略)"",
  REGEXMATCH(C6403, ""薪資""), ""薪資變動(不計入)"",
  REGEXMATCH(C6403, ""押金""), ""押金往來"",
  AND(E6403&lt;&gt;"""", F6403=""""), ""真實支出"",
  AND(E6403="""", F6403&lt;&gt;""""), ""真實收入"",
  TRUE, ""其他""
)"),"其他")</f>
        <v>其他</v>
      </c>
      <c r="K6403" s="270" t="str">
        <f t="shared" si="2"/>
        <v/>
      </c>
      <c r="L6403">
        <f t="shared" si="3"/>
        <v>0</v>
      </c>
    </row>
    <row r="6404">
      <c r="A6404" s="107"/>
      <c r="D6404" s="270"/>
      <c r="H6404" s="106" t="str">
        <f t="shared" si="1"/>
        <v/>
      </c>
      <c r="J6404" t="str">
        <f>IFERROR(__xludf.DUMMYFUNCTION("IFS(
  AND(REGEXMATCH(E6404, ""台銀籌備帳戶|玉山帳戶""), REGEXMATCH(C6404, ""薪資"")), ""分潤支出"",
  AND(REGEXMATCH(E6404, ""Ben帳戶|Elsa帳戶|Ben代墊|Ariel代墊|中信銀行共用""), REGEXMATCH(F6404, ""Ben帳戶|Elsa帳戶|Ben代墊|Ariel代墊|中信銀行共用"")), ""內部轉帳(忽略)"",
  AND(E6404&lt;&gt;"""", F6404&lt;&gt;"""", N"&amp;"OT(REGEXMATCH(C6404, ""薪資""))), ""內部轉帳(忽略)"",
  REGEXMATCH(C6404, ""薪資""), ""薪資變動(不計入)"",
  REGEXMATCH(C6404, ""押金""), ""押金往來"",
  AND(E6404&lt;&gt;"""", F6404=""""), ""真實支出"",
  AND(E6404="""", F6404&lt;&gt;""""), ""真實收入"",
  TRUE, ""其他""
)"),"其他")</f>
        <v>其他</v>
      </c>
      <c r="K6404" s="270" t="str">
        <f t="shared" si="2"/>
        <v/>
      </c>
      <c r="L6404">
        <f t="shared" si="3"/>
        <v>0</v>
      </c>
    </row>
    <row r="6405">
      <c r="A6405" s="107"/>
      <c r="D6405" s="270"/>
      <c r="H6405" s="106" t="str">
        <f t="shared" si="1"/>
        <v/>
      </c>
      <c r="J6405" t="str">
        <f>IFERROR(__xludf.DUMMYFUNCTION("IFS(
  AND(REGEXMATCH(E6405, ""台銀籌備帳戶|玉山帳戶""), REGEXMATCH(C6405, ""薪資"")), ""分潤支出"",
  AND(REGEXMATCH(E6405, ""Ben帳戶|Elsa帳戶|Ben代墊|Ariel代墊|中信銀行共用""), REGEXMATCH(F6405, ""Ben帳戶|Elsa帳戶|Ben代墊|Ariel代墊|中信銀行共用"")), ""內部轉帳(忽略)"",
  AND(E6405&lt;&gt;"""", F6405&lt;&gt;"""", N"&amp;"OT(REGEXMATCH(C6405, ""薪資""))), ""內部轉帳(忽略)"",
  REGEXMATCH(C6405, ""薪資""), ""薪資變動(不計入)"",
  REGEXMATCH(C6405, ""押金""), ""押金往來"",
  AND(E6405&lt;&gt;"""", F6405=""""), ""真實支出"",
  AND(E6405="""", F6405&lt;&gt;""""), ""真實收入"",
  TRUE, ""其他""
)"),"其他")</f>
        <v>其他</v>
      </c>
      <c r="K6405" s="270" t="str">
        <f t="shared" si="2"/>
        <v/>
      </c>
      <c r="L6405">
        <f t="shared" si="3"/>
        <v>0</v>
      </c>
    </row>
    <row r="6406">
      <c r="A6406" s="107"/>
      <c r="D6406" s="270"/>
      <c r="H6406" s="106" t="str">
        <f t="shared" si="1"/>
        <v/>
      </c>
      <c r="J6406" t="str">
        <f>IFERROR(__xludf.DUMMYFUNCTION("IFS(
  AND(REGEXMATCH(E6406, ""台銀籌備帳戶|玉山帳戶""), REGEXMATCH(C6406, ""薪資"")), ""分潤支出"",
  AND(REGEXMATCH(E6406, ""Ben帳戶|Elsa帳戶|Ben代墊|Ariel代墊|中信銀行共用""), REGEXMATCH(F6406, ""Ben帳戶|Elsa帳戶|Ben代墊|Ariel代墊|中信銀行共用"")), ""內部轉帳(忽略)"",
  AND(E6406&lt;&gt;"""", F6406&lt;&gt;"""", N"&amp;"OT(REGEXMATCH(C6406, ""薪資""))), ""內部轉帳(忽略)"",
  REGEXMATCH(C6406, ""薪資""), ""薪資變動(不計入)"",
  REGEXMATCH(C6406, ""押金""), ""押金往來"",
  AND(E6406&lt;&gt;"""", F6406=""""), ""真實支出"",
  AND(E6406="""", F6406&lt;&gt;""""), ""真實收入"",
  TRUE, ""其他""
)"),"其他")</f>
        <v>其他</v>
      </c>
      <c r="K6406" s="270" t="str">
        <f t="shared" si="2"/>
        <v/>
      </c>
      <c r="L6406">
        <f t="shared" si="3"/>
        <v>0</v>
      </c>
    </row>
    <row r="6407">
      <c r="A6407" s="107"/>
      <c r="D6407" s="270"/>
      <c r="H6407" s="106" t="str">
        <f t="shared" si="1"/>
        <v/>
      </c>
      <c r="J6407" t="str">
        <f>IFERROR(__xludf.DUMMYFUNCTION("IFS(
  AND(REGEXMATCH(E6407, ""台銀籌備帳戶|玉山帳戶""), REGEXMATCH(C6407, ""薪資"")), ""分潤支出"",
  AND(REGEXMATCH(E6407, ""Ben帳戶|Elsa帳戶|Ben代墊|Ariel代墊|中信銀行共用""), REGEXMATCH(F6407, ""Ben帳戶|Elsa帳戶|Ben代墊|Ariel代墊|中信銀行共用"")), ""內部轉帳(忽略)"",
  AND(E6407&lt;&gt;"""", F6407&lt;&gt;"""", N"&amp;"OT(REGEXMATCH(C6407, ""薪資""))), ""內部轉帳(忽略)"",
  REGEXMATCH(C6407, ""薪資""), ""薪資變動(不計入)"",
  REGEXMATCH(C6407, ""押金""), ""押金往來"",
  AND(E6407&lt;&gt;"""", F6407=""""), ""真實支出"",
  AND(E6407="""", F6407&lt;&gt;""""), ""真實收入"",
  TRUE, ""其他""
)"),"其他")</f>
        <v>其他</v>
      </c>
      <c r="K6407" s="270" t="str">
        <f t="shared" si="2"/>
        <v/>
      </c>
      <c r="L6407">
        <f t="shared" si="3"/>
        <v>0</v>
      </c>
    </row>
    <row r="6408">
      <c r="A6408" s="107"/>
      <c r="D6408" s="270"/>
      <c r="H6408" s="106" t="str">
        <f t="shared" si="1"/>
        <v/>
      </c>
      <c r="J6408" t="str">
        <f>IFERROR(__xludf.DUMMYFUNCTION("IFS(
  AND(REGEXMATCH(E6408, ""台銀籌備帳戶|玉山帳戶""), REGEXMATCH(C6408, ""薪資"")), ""分潤支出"",
  AND(REGEXMATCH(E6408, ""Ben帳戶|Elsa帳戶|Ben代墊|Ariel代墊|中信銀行共用""), REGEXMATCH(F6408, ""Ben帳戶|Elsa帳戶|Ben代墊|Ariel代墊|中信銀行共用"")), ""內部轉帳(忽略)"",
  AND(E6408&lt;&gt;"""", F6408&lt;&gt;"""", N"&amp;"OT(REGEXMATCH(C6408, ""薪資""))), ""內部轉帳(忽略)"",
  REGEXMATCH(C6408, ""薪資""), ""薪資變動(不計入)"",
  REGEXMATCH(C6408, ""押金""), ""押金往來"",
  AND(E6408&lt;&gt;"""", F6408=""""), ""真實支出"",
  AND(E6408="""", F6408&lt;&gt;""""), ""真實收入"",
  TRUE, ""其他""
)"),"其他")</f>
        <v>其他</v>
      </c>
      <c r="K6408" s="270" t="str">
        <f t="shared" si="2"/>
        <v/>
      </c>
      <c r="L6408">
        <f t="shared" si="3"/>
        <v>0</v>
      </c>
    </row>
    <row r="6409">
      <c r="A6409" s="107"/>
      <c r="D6409" s="270"/>
      <c r="H6409" s="106" t="str">
        <f t="shared" si="1"/>
        <v/>
      </c>
      <c r="J6409" t="str">
        <f>IFERROR(__xludf.DUMMYFUNCTION("IFS(
  AND(REGEXMATCH(E6409, ""台銀籌備帳戶|玉山帳戶""), REGEXMATCH(C6409, ""薪資"")), ""分潤支出"",
  AND(REGEXMATCH(E6409, ""Ben帳戶|Elsa帳戶|Ben代墊|Ariel代墊|中信銀行共用""), REGEXMATCH(F6409, ""Ben帳戶|Elsa帳戶|Ben代墊|Ariel代墊|中信銀行共用"")), ""內部轉帳(忽略)"",
  AND(E6409&lt;&gt;"""", F6409&lt;&gt;"""", N"&amp;"OT(REGEXMATCH(C6409, ""薪資""))), ""內部轉帳(忽略)"",
  REGEXMATCH(C6409, ""薪資""), ""薪資變動(不計入)"",
  REGEXMATCH(C6409, ""押金""), ""押金往來"",
  AND(E6409&lt;&gt;"""", F6409=""""), ""真實支出"",
  AND(E6409="""", F6409&lt;&gt;""""), ""真實收入"",
  TRUE, ""其他""
)"),"其他")</f>
        <v>其他</v>
      </c>
      <c r="K6409" s="270" t="str">
        <f t="shared" si="2"/>
        <v/>
      </c>
      <c r="L6409">
        <f t="shared" si="3"/>
        <v>0</v>
      </c>
    </row>
    <row r="6410">
      <c r="A6410" s="107"/>
      <c r="D6410" s="270"/>
      <c r="H6410" s="106" t="str">
        <f t="shared" si="1"/>
        <v/>
      </c>
      <c r="J6410" t="str">
        <f>IFERROR(__xludf.DUMMYFUNCTION("IFS(
  AND(REGEXMATCH(E6410, ""台銀籌備帳戶|玉山帳戶""), REGEXMATCH(C6410, ""薪資"")), ""分潤支出"",
  AND(REGEXMATCH(E6410, ""Ben帳戶|Elsa帳戶|Ben代墊|Ariel代墊|中信銀行共用""), REGEXMATCH(F6410, ""Ben帳戶|Elsa帳戶|Ben代墊|Ariel代墊|中信銀行共用"")), ""內部轉帳(忽略)"",
  AND(E6410&lt;&gt;"""", F6410&lt;&gt;"""", N"&amp;"OT(REGEXMATCH(C6410, ""薪資""))), ""內部轉帳(忽略)"",
  REGEXMATCH(C6410, ""薪資""), ""薪資變動(不計入)"",
  REGEXMATCH(C6410, ""押金""), ""押金往來"",
  AND(E6410&lt;&gt;"""", F6410=""""), ""真實支出"",
  AND(E6410="""", F6410&lt;&gt;""""), ""真實收入"",
  TRUE, ""其他""
)"),"其他")</f>
        <v>其他</v>
      </c>
      <c r="K6410" s="270" t="str">
        <f t="shared" si="2"/>
        <v/>
      </c>
      <c r="L6410">
        <f t="shared" si="3"/>
        <v>0</v>
      </c>
    </row>
    <row r="6411">
      <c r="A6411" s="107"/>
      <c r="D6411" s="270"/>
      <c r="H6411" s="106" t="str">
        <f t="shared" si="1"/>
        <v/>
      </c>
      <c r="J6411" t="str">
        <f>IFERROR(__xludf.DUMMYFUNCTION("IFS(
  AND(REGEXMATCH(E6411, ""台銀籌備帳戶|玉山帳戶""), REGEXMATCH(C6411, ""薪資"")), ""分潤支出"",
  AND(REGEXMATCH(E6411, ""Ben帳戶|Elsa帳戶|Ben代墊|Ariel代墊|中信銀行共用""), REGEXMATCH(F6411, ""Ben帳戶|Elsa帳戶|Ben代墊|Ariel代墊|中信銀行共用"")), ""內部轉帳(忽略)"",
  AND(E6411&lt;&gt;"""", F6411&lt;&gt;"""", N"&amp;"OT(REGEXMATCH(C6411, ""薪資""))), ""內部轉帳(忽略)"",
  REGEXMATCH(C6411, ""薪資""), ""薪資變動(不計入)"",
  REGEXMATCH(C6411, ""押金""), ""押金往來"",
  AND(E6411&lt;&gt;"""", F6411=""""), ""真實支出"",
  AND(E6411="""", F6411&lt;&gt;""""), ""真實收入"",
  TRUE, ""其他""
)"),"其他")</f>
        <v>其他</v>
      </c>
      <c r="K6411" s="270" t="str">
        <f t="shared" si="2"/>
        <v/>
      </c>
      <c r="L6411">
        <f t="shared" si="3"/>
        <v>0</v>
      </c>
    </row>
    <row r="6412">
      <c r="A6412" s="107"/>
      <c r="D6412" s="270"/>
      <c r="H6412" s="106" t="str">
        <f t="shared" si="1"/>
        <v/>
      </c>
      <c r="J6412" t="str">
        <f>IFERROR(__xludf.DUMMYFUNCTION("IFS(
  AND(REGEXMATCH(E6412, ""台銀籌備帳戶|玉山帳戶""), REGEXMATCH(C6412, ""薪資"")), ""分潤支出"",
  AND(REGEXMATCH(E6412, ""Ben帳戶|Elsa帳戶|Ben代墊|Ariel代墊|中信銀行共用""), REGEXMATCH(F6412, ""Ben帳戶|Elsa帳戶|Ben代墊|Ariel代墊|中信銀行共用"")), ""內部轉帳(忽略)"",
  AND(E6412&lt;&gt;"""", F6412&lt;&gt;"""", N"&amp;"OT(REGEXMATCH(C6412, ""薪資""))), ""內部轉帳(忽略)"",
  REGEXMATCH(C6412, ""薪資""), ""薪資變動(不計入)"",
  REGEXMATCH(C6412, ""押金""), ""押金往來"",
  AND(E6412&lt;&gt;"""", F6412=""""), ""真實支出"",
  AND(E6412="""", F6412&lt;&gt;""""), ""真實收入"",
  TRUE, ""其他""
)"),"其他")</f>
        <v>其他</v>
      </c>
      <c r="K6412" s="270" t="str">
        <f t="shared" si="2"/>
        <v/>
      </c>
      <c r="L6412">
        <f t="shared" si="3"/>
        <v>0</v>
      </c>
    </row>
    <row r="6413">
      <c r="A6413" s="107"/>
      <c r="D6413" s="270"/>
      <c r="H6413" s="106" t="str">
        <f t="shared" si="1"/>
        <v/>
      </c>
      <c r="J6413" t="str">
        <f>IFERROR(__xludf.DUMMYFUNCTION("IFS(
  AND(REGEXMATCH(E6413, ""台銀籌備帳戶|玉山帳戶""), REGEXMATCH(C6413, ""薪資"")), ""分潤支出"",
  AND(REGEXMATCH(E6413, ""Ben帳戶|Elsa帳戶|Ben代墊|Ariel代墊|中信銀行共用""), REGEXMATCH(F6413, ""Ben帳戶|Elsa帳戶|Ben代墊|Ariel代墊|中信銀行共用"")), ""內部轉帳(忽略)"",
  AND(E6413&lt;&gt;"""", F6413&lt;&gt;"""", N"&amp;"OT(REGEXMATCH(C6413, ""薪資""))), ""內部轉帳(忽略)"",
  REGEXMATCH(C6413, ""薪資""), ""薪資變動(不計入)"",
  REGEXMATCH(C6413, ""押金""), ""押金往來"",
  AND(E6413&lt;&gt;"""", F6413=""""), ""真實支出"",
  AND(E6413="""", F6413&lt;&gt;""""), ""真實收入"",
  TRUE, ""其他""
)"),"其他")</f>
        <v>其他</v>
      </c>
      <c r="K6413" s="270" t="str">
        <f t="shared" si="2"/>
        <v/>
      </c>
      <c r="L6413">
        <f t="shared" si="3"/>
        <v>0</v>
      </c>
    </row>
    <row r="6414">
      <c r="A6414" s="107"/>
      <c r="D6414" s="270"/>
      <c r="H6414" s="106" t="str">
        <f t="shared" si="1"/>
        <v/>
      </c>
      <c r="J6414" t="str">
        <f>IFERROR(__xludf.DUMMYFUNCTION("IFS(
  AND(REGEXMATCH(E6414, ""台銀籌備帳戶|玉山帳戶""), REGEXMATCH(C6414, ""薪資"")), ""分潤支出"",
  AND(REGEXMATCH(E6414, ""Ben帳戶|Elsa帳戶|Ben代墊|Ariel代墊|中信銀行共用""), REGEXMATCH(F6414, ""Ben帳戶|Elsa帳戶|Ben代墊|Ariel代墊|中信銀行共用"")), ""內部轉帳(忽略)"",
  AND(E6414&lt;&gt;"""", F6414&lt;&gt;"""", N"&amp;"OT(REGEXMATCH(C6414, ""薪資""))), ""內部轉帳(忽略)"",
  REGEXMATCH(C6414, ""薪資""), ""薪資變動(不計入)"",
  REGEXMATCH(C6414, ""押金""), ""押金往來"",
  AND(E6414&lt;&gt;"""", F6414=""""), ""真實支出"",
  AND(E6414="""", F6414&lt;&gt;""""), ""真實收入"",
  TRUE, ""其他""
)"),"其他")</f>
        <v>其他</v>
      </c>
      <c r="K6414" s="270" t="str">
        <f t="shared" si="2"/>
        <v/>
      </c>
      <c r="L6414">
        <f t="shared" si="3"/>
        <v>0</v>
      </c>
    </row>
    <row r="6415">
      <c r="A6415" s="107"/>
      <c r="D6415" s="270"/>
      <c r="H6415" s="106" t="str">
        <f t="shared" si="1"/>
        <v/>
      </c>
      <c r="J6415" t="str">
        <f>IFERROR(__xludf.DUMMYFUNCTION("IFS(
  AND(REGEXMATCH(E6415, ""台銀籌備帳戶|玉山帳戶""), REGEXMATCH(C6415, ""薪資"")), ""分潤支出"",
  AND(REGEXMATCH(E6415, ""Ben帳戶|Elsa帳戶|Ben代墊|Ariel代墊|中信銀行共用""), REGEXMATCH(F6415, ""Ben帳戶|Elsa帳戶|Ben代墊|Ariel代墊|中信銀行共用"")), ""內部轉帳(忽略)"",
  AND(E6415&lt;&gt;"""", F6415&lt;&gt;"""", N"&amp;"OT(REGEXMATCH(C6415, ""薪資""))), ""內部轉帳(忽略)"",
  REGEXMATCH(C6415, ""薪資""), ""薪資變動(不計入)"",
  REGEXMATCH(C6415, ""押金""), ""押金往來"",
  AND(E6415&lt;&gt;"""", F6415=""""), ""真實支出"",
  AND(E6415="""", F6415&lt;&gt;""""), ""真實收入"",
  TRUE, ""其他""
)"),"其他")</f>
        <v>其他</v>
      </c>
      <c r="K6415" s="270" t="str">
        <f t="shared" si="2"/>
        <v/>
      </c>
      <c r="L6415">
        <f t="shared" si="3"/>
        <v>0</v>
      </c>
    </row>
    <row r="6416">
      <c r="A6416" s="107"/>
      <c r="D6416" s="270"/>
      <c r="H6416" s="106" t="str">
        <f t="shared" si="1"/>
        <v/>
      </c>
      <c r="J6416" t="str">
        <f>IFERROR(__xludf.DUMMYFUNCTION("IFS(
  AND(REGEXMATCH(E6416, ""台銀籌備帳戶|玉山帳戶""), REGEXMATCH(C6416, ""薪資"")), ""分潤支出"",
  AND(REGEXMATCH(E6416, ""Ben帳戶|Elsa帳戶|Ben代墊|Ariel代墊|中信銀行共用""), REGEXMATCH(F6416, ""Ben帳戶|Elsa帳戶|Ben代墊|Ariel代墊|中信銀行共用"")), ""內部轉帳(忽略)"",
  AND(E6416&lt;&gt;"""", F6416&lt;&gt;"""", N"&amp;"OT(REGEXMATCH(C6416, ""薪資""))), ""內部轉帳(忽略)"",
  REGEXMATCH(C6416, ""薪資""), ""薪資變動(不計入)"",
  REGEXMATCH(C6416, ""押金""), ""押金往來"",
  AND(E6416&lt;&gt;"""", F6416=""""), ""真實支出"",
  AND(E6416="""", F6416&lt;&gt;""""), ""真實收入"",
  TRUE, ""其他""
)"),"其他")</f>
        <v>其他</v>
      </c>
      <c r="K6416" s="270" t="str">
        <f t="shared" si="2"/>
        <v/>
      </c>
      <c r="L6416">
        <f t="shared" si="3"/>
        <v>0</v>
      </c>
    </row>
    <row r="6417">
      <c r="A6417" s="107"/>
      <c r="D6417" s="270"/>
      <c r="H6417" s="106" t="str">
        <f t="shared" si="1"/>
        <v/>
      </c>
      <c r="J6417" t="str">
        <f>IFERROR(__xludf.DUMMYFUNCTION("IFS(
  AND(REGEXMATCH(E6417, ""台銀籌備帳戶|玉山帳戶""), REGEXMATCH(C6417, ""薪資"")), ""分潤支出"",
  AND(REGEXMATCH(E6417, ""Ben帳戶|Elsa帳戶|Ben代墊|Ariel代墊|中信銀行共用""), REGEXMATCH(F6417, ""Ben帳戶|Elsa帳戶|Ben代墊|Ariel代墊|中信銀行共用"")), ""內部轉帳(忽略)"",
  AND(E6417&lt;&gt;"""", F6417&lt;&gt;"""", N"&amp;"OT(REGEXMATCH(C6417, ""薪資""))), ""內部轉帳(忽略)"",
  REGEXMATCH(C6417, ""薪資""), ""薪資變動(不計入)"",
  REGEXMATCH(C6417, ""押金""), ""押金往來"",
  AND(E6417&lt;&gt;"""", F6417=""""), ""真實支出"",
  AND(E6417="""", F6417&lt;&gt;""""), ""真實收入"",
  TRUE, ""其他""
)"),"其他")</f>
        <v>其他</v>
      </c>
      <c r="K6417" s="270" t="str">
        <f t="shared" si="2"/>
        <v/>
      </c>
      <c r="L6417">
        <f t="shared" si="3"/>
        <v>0</v>
      </c>
    </row>
    <row r="6418">
      <c r="A6418" s="107"/>
      <c r="D6418" s="270"/>
      <c r="H6418" s="106" t="str">
        <f t="shared" si="1"/>
        <v/>
      </c>
      <c r="J6418" t="str">
        <f>IFERROR(__xludf.DUMMYFUNCTION("IFS(
  AND(REGEXMATCH(E6418, ""台銀籌備帳戶|玉山帳戶""), REGEXMATCH(C6418, ""薪資"")), ""分潤支出"",
  AND(REGEXMATCH(E6418, ""Ben帳戶|Elsa帳戶|Ben代墊|Ariel代墊|中信銀行共用""), REGEXMATCH(F6418, ""Ben帳戶|Elsa帳戶|Ben代墊|Ariel代墊|中信銀行共用"")), ""內部轉帳(忽略)"",
  AND(E6418&lt;&gt;"""", F6418&lt;&gt;"""", N"&amp;"OT(REGEXMATCH(C6418, ""薪資""))), ""內部轉帳(忽略)"",
  REGEXMATCH(C6418, ""薪資""), ""薪資變動(不計入)"",
  REGEXMATCH(C6418, ""押金""), ""押金往來"",
  AND(E6418&lt;&gt;"""", F6418=""""), ""真實支出"",
  AND(E6418="""", F6418&lt;&gt;""""), ""真實收入"",
  TRUE, ""其他""
)"),"其他")</f>
        <v>其他</v>
      </c>
      <c r="K6418" s="270" t="str">
        <f t="shared" si="2"/>
        <v/>
      </c>
      <c r="L6418">
        <f t="shared" si="3"/>
        <v>0</v>
      </c>
    </row>
    <row r="6419">
      <c r="A6419" s="107"/>
      <c r="D6419" s="270"/>
      <c r="H6419" s="106" t="str">
        <f t="shared" si="1"/>
        <v/>
      </c>
      <c r="J6419" t="str">
        <f>IFERROR(__xludf.DUMMYFUNCTION("IFS(
  AND(REGEXMATCH(E6419, ""台銀籌備帳戶|玉山帳戶""), REGEXMATCH(C6419, ""薪資"")), ""分潤支出"",
  AND(REGEXMATCH(E6419, ""Ben帳戶|Elsa帳戶|Ben代墊|Ariel代墊|中信銀行共用""), REGEXMATCH(F6419, ""Ben帳戶|Elsa帳戶|Ben代墊|Ariel代墊|中信銀行共用"")), ""內部轉帳(忽略)"",
  AND(E6419&lt;&gt;"""", F6419&lt;&gt;"""", N"&amp;"OT(REGEXMATCH(C6419, ""薪資""))), ""內部轉帳(忽略)"",
  REGEXMATCH(C6419, ""薪資""), ""薪資變動(不計入)"",
  REGEXMATCH(C6419, ""押金""), ""押金往來"",
  AND(E6419&lt;&gt;"""", F6419=""""), ""真實支出"",
  AND(E6419="""", F6419&lt;&gt;""""), ""真實收入"",
  TRUE, ""其他""
)"),"其他")</f>
        <v>其他</v>
      </c>
      <c r="K6419" s="270" t="str">
        <f t="shared" si="2"/>
        <v/>
      </c>
      <c r="L6419">
        <f t="shared" si="3"/>
        <v>0</v>
      </c>
    </row>
    <row r="6420">
      <c r="A6420" s="107"/>
      <c r="D6420" s="270"/>
      <c r="H6420" s="106" t="str">
        <f t="shared" si="1"/>
        <v/>
      </c>
      <c r="J6420" t="str">
        <f>IFERROR(__xludf.DUMMYFUNCTION("IFS(
  AND(REGEXMATCH(E6420, ""台銀籌備帳戶|玉山帳戶""), REGEXMATCH(C6420, ""薪資"")), ""分潤支出"",
  AND(REGEXMATCH(E6420, ""Ben帳戶|Elsa帳戶|Ben代墊|Ariel代墊|中信銀行共用""), REGEXMATCH(F6420, ""Ben帳戶|Elsa帳戶|Ben代墊|Ariel代墊|中信銀行共用"")), ""內部轉帳(忽略)"",
  AND(E6420&lt;&gt;"""", F6420&lt;&gt;"""", N"&amp;"OT(REGEXMATCH(C6420, ""薪資""))), ""內部轉帳(忽略)"",
  REGEXMATCH(C6420, ""薪資""), ""薪資變動(不計入)"",
  REGEXMATCH(C6420, ""押金""), ""押金往來"",
  AND(E6420&lt;&gt;"""", F6420=""""), ""真實支出"",
  AND(E6420="""", F6420&lt;&gt;""""), ""真實收入"",
  TRUE, ""其他""
)"),"其他")</f>
        <v>其他</v>
      </c>
      <c r="K6420" s="270" t="str">
        <f t="shared" si="2"/>
        <v/>
      </c>
      <c r="L6420">
        <f t="shared" si="3"/>
        <v>0</v>
      </c>
    </row>
    <row r="6421">
      <c r="A6421" s="107"/>
      <c r="D6421" s="270"/>
      <c r="H6421" s="106" t="str">
        <f t="shared" si="1"/>
        <v/>
      </c>
      <c r="J6421" t="str">
        <f>IFERROR(__xludf.DUMMYFUNCTION("IFS(
  AND(REGEXMATCH(E6421, ""台銀籌備帳戶|玉山帳戶""), REGEXMATCH(C6421, ""薪資"")), ""分潤支出"",
  AND(REGEXMATCH(E6421, ""Ben帳戶|Elsa帳戶|Ben代墊|Ariel代墊|中信銀行共用""), REGEXMATCH(F6421, ""Ben帳戶|Elsa帳戶|Ben代墊|Ariel代墊|中信銀行共用"")), ""內部轉帳(忽略)"",
  AND(E6421&lt;&gt;"""", F6421&lt;&gt;"""", N"&amp;"OT(REGEXMATCH(C6421, ""薪資""))), ""內部轉帳(忽略)"",
  REGEXMATCH(C6421, ""薪資""), ""薪資變動(不計入)"",
  REGEXMATCH(C6421, ""押金""), ""押金往來"",
  AND(E6421&lt;&gt;"""", F6421=""""), ""真實支出"",
  AND(E6421="""", F6421&lt;&gt;""""), ""真實收入"",
  TRUE, ""其他""
)"),"其他")</f>
        <v>其他</v>
      </c>
      <c r="K6421" s="270" t="str">
        <f t="shared" si="2"/>
        <v/>
      </c>
      <c r="L6421">
        <f t="shared" si="3"/>
        <v>0</v>
      </c>
    </row>
    <row r="6422">
      <c r="A6422" s="107"/>
      <c r="D6422" s="270"/>
      <c r="H6422" s="106" t="str">
        <f t="shared" si="1"/>
        <v/>
      </c>
      <c r="J6422" t="str">
        <f>IFERROR(__xludf.DUMMYFUNCTION("IFS(
  AND(REGEXMATCH(E6422, ""台銀籌備帳戶|玉山帳戶""), REGEXMATCH(C6422, ""薪資"")), ""分潤支出"",
  AND(REGEXMATCH(E6422, ""Ben帳戶|Elsa帳戶|Ben代墊|Ariel代墊|中信銀行共用""), REGEXMATCH(F6422, ""Ben帳戶|Elsa帳戶|Ben代墊|Ariel代墊|中信銀行共用"")), ""內部轉帳(忽略)"",
  AND(E6422&lt;&gt;"""", F6422&lt;&gt;"""", N"&amp;"OT(REGEXMATCH(C6422, ""薪資""))), ""內部轉帳(忽略)"",
  REGEXMATCH(C6422, ""薪資""), ""薪資變動(不計入)"",
  REGEXMATCH(C6422, ""押金""), ""押金往來"",
  AND(E6422&lt;&gt;"""", F6422=""""), ""真實支出"",
  AND(E6422="""", F6422&lt;&gt;""""), ""真實收入"",
  TRUE, ""其他""
)"),"其他")</f>
        <v>其他</v>
      </c>
      <c r="K6422" s="270" t="str">
        <f t="shared" si="2"/>
        <v/>
      </c>
      <c r="L6422">
        <f t="shared" si="3"/>
        <v>0</v>
      </c>
    </row>
    <row r="6423">
      <c r="A6423" s="107"/>
      <c r="D6423" s="270"/>
      <c r="H6423" s="106" t="str">
        <f t="shared" si="1"/>
        <v/>
      </c>
      <c r="J6423" t="str">
        <f>IFERROR(__xludf.DUMMYFUNCTION("IFS(
  AND(REGEXMATCH(E6423, ""台銀籌備帳戶|玉山帳戶""), REGEXMATCH(C6423, ""薪資"")), ""分潤支出"",
  AND(REGEXMATCH(E6423, ""Ben帳戶|Elsa帳戶|Ben代墊|Ariel代墊|中信銀行共用""), REGEXMATCH(F6423, ""Ben帳戶|Elsa帳戶|Ben代墊|Ariel代墊|中信銀行共用"")), ""內部轉帳(忽略)"",
  AND(E6423&lt;&gt;"""", F6423&lt;&gt;"""", N"&amp;"OT(REGEXMATCH(C6423, ""薪資""))), ""內部轉帳(忽略)"",
  REGEXMATCH(C6423, ""薪資""), ""薪資變動(不計入)"",
  REGEXMATCH(C6423, ""押金""), ""押金往來"",
  AND(E6423&lt;&gt;"""", F6423=""""), ""真實支出"",
  AND(E6423="""", F6423&lt;&gt;""""), ""真實收入"",
  TRUE, ""其他""
)"),"其他")</f>
        <v>其他</v>
      </c>
      <c r="K6423" s="270" t="str">
        <f t="shared" si="2"/>
        <v/>
      </c>
      <c r="L6423">
        <f t="shared" si="3"/>
        <v>0</v>
      </c>
    </row>
    <row r="6424">
      <c r="A6424" s="107"/>
      <c r="D6424" s="270"/>
      <c r="H6424" s="106" t="str">
        <f t="shared" si="1"/>
        <v/>
      </c>
      <c r="J6424" t="str">
        <f>IFERROR(__xludf.DUMMYFUNCTION("IFS(
  AND(REGEXMATCH(E6424, ""台銀籌備帳戶|玉山帳戶""), REGEXMATCH(C6424, ""薪資"")), ""分潤支出"",
  AND(REGEXMATCH(E6424, ""Ben帳戶|Elsa帳戶|Ben代墊|Ariel代墊|中信銀行共用""), REGEXMATCH(F6424, ""Ben帳戶|Elsa帳戶|Ben代墊|Ariel代墊|中信銀行共用"")), ""內部轉帳(忽略)"",
  AND(E6424&lt;&gt;"""", F6424&lt;&gt;"""", N"&amp;"OT(REGEXMATCH(C6424, ""薪資""))), ""內部轉帳(忽略)"",
  REGEXMATCH(C6424, ""薪資""), ""薪資變動(不計入)"",
  REGEXMATCH(C6424, ""押金""), ""押金往來"",
  AND(E6424&lt;&gt;"""", F6424=""""), ""真實支出"",
  AND(E6424="""", F6424&lt;&gt;""""), ""真實收入"",
  TRUE, ""其他""
)"),"其他")</f>
        <v>其他</v>
      </c>
      <c r="K6424" s="270" t="str">
        <f t="shared" si="2"/>
        <v/>
      </c>
      <c r="L6424">
        <f t="shared" si="3"/>
        <v>0</v>
      </c>
    </row>
    <row r="6425">
      <c r="A6425" s="107"/>
      <c r="D6425" s="270"/>
      <c r="H6425" s="106" t="str">
        <f t="shared" si="1"/>
        <v/>
      </c>
      <c r="J6425" t="str">
        <f>IFERROR(__xludf.DUMMYFUNCTION("IFS(
  AND(REGEXMATCH(E6425, ""台銀籌備帳戶|玉山帳戶""), REGEXMATCH(C6425, ""薪資"")), ""分潤支出"",
  AND(REGEXMATCH(E6425, ""Ben帳戶|Elsa帳戶|Ben代墊|Ariel代墊|中信銀行共用""), REGEXMATCH(F6425, ""Ben帳戶|Elsa帳戶|Ben代墊|Ariel代墊|中信銀行共用"")), ""內部轉帳(忽略)"",
  AND(E6425&lt;&gt;"""", F6425&lt;&gt;"""", N"&amp;"OT(REGEXMATCH(C6425, ""薪資""))), ""內部轉帳(忽略)"",
  REGEXMATCH(C6425, ""薪資""), ""薪資變動(不計入)"",
  REGEXMATCH(C6425, ""押金""), ""押金往來"",
  AND(E6425&lt;&gt;"""", F6425=""""), ""真實支出"",
  AND(E6425="""", F6425&lt;&gt;""""), ""真實收入"",
  TRUE, ""其他""
)"),"其他")</f>
        <v>其他</v>
      </c>
      <c r="K6425" s="270" t="str">
        <f t="shared" si="2"/>
        <v/>
      </c>
      <c r="L6425">
        <f t="shared" si="3"/>
        <v>0</v>
      </c>
    </row>
    <row r="6426">
      <c r="A6426" s="107"/>
      <c r="D6426" s="270"/>
      <c r="H6426" s="106" t="str">
        <f t="shared" si="1"/>
        <v/>
      </c>
      <c r="J6426" t="str">
        <f>IFERROR(__xludf.DUMMYFUNCTION("IFS(
  AND(REGEXMATCH(E6426, ""台銀籌備帳戶|玉山帳戶""), REGEXMATCH(C6426, ""薪資"")), ""分潤支出"",
  AND(REGEXMATCH(E6426, ""Ben帳戶|Elsa帳戶|Ben代墊|Ariel代墊|中信銀行共用""), REGEXMATCH(F6426, ""Ben帳戶|Elsa帳戶|Ben代墊|Ariel代墊|中信銀行共用"")), ""內部轉帳(忽略)"",
  AND(E6426&lt;&gt;"""", F6426&lt;&gt;"""", N"&amp;"OT(REGEXMATCH(C6426, ""薪資""))), ""內部轉帳(忽略)"",
  REGEXMATCH(C6426, ""薪資""), ""薪資變動(不計入)"",
  REGEXMATCH(C6426, ""押金""), ""押金往來"",
  AND(E6426&lt;&gt;"""", F6426=""""), ""真實支出"",
  AND(E6426="""", F6426&lt;&gt;""""), ""真實收入"",
  TRUE, ""其他""
)"),"其他")</f>
        <v>其他</v>
      </c>
      <c r="K6426" s="270" t="str">
        <f t="shared" si="2"/>
        <v/>
      </c>
      <c r="L6426">
        <f t="shared" si="3"/>
        <v>0</v>
      </c>
    </row>
    <row r="6427">
      <c r="A6427" s="107"/>
      <c r="D6427" s="270"/>
      <c r="H6427" s="106" t="str">
        <f t="shared" si="1"/>
        <v/>
      </c>
      <c r="J6427" t="str">
        <f>IFERROR(__xludf.DUMMYFUNCTION("IFS(
  AND(REGEXMATCH(E6427, ""台銀籌備帳戶|玉山帳戶""), REGEXMATCH(C6427, ""薪資"")), ""分潤支出"",
  AND(REGEXMATCH(E6427, ""Ben帳戶|Elsa帳戶|Ben代墊|Ariel代墊|中信銀行共用""), REGEXMATCH(F6427, ""Ben帳戶|Elsa帳戶|Ben代墊|Ariel代墊|中信銀行共用"")), ""內部轉帳(忽略)"",
  AND(E6427&lt;&gt;"""", F6427&lt;&gt;"""", N"&amp;"OT(REGEXMATCH(C6427, ""薪資""))), ""內部轉帳(忽略)"",
  REGEXMATCH(C6427, ""薪資""), ""薪資變動(不計入)"",
  REGEXMATCH(C6427, ""押金""), ""押金往來"",
  AND(E6427&lt;&gt;"""", F6427=""""), ""真實支出"",
  AND(E6427="""", F6427&lt;&gt;""""), ""真實收入"",
  TRUE, ""其他""
)"),"其他")</f>
        <v>其他</v>
      </c>
      <c r="K6427" s="270" t="str">
        <f t="shared" si="2"/>
        <v/>
      </c>
      <c r="L6427">
        <f t="shared" si="3"/>
        <v>0</v>
      </c>
    </row>
    <row r="6428">
      <c r="A6428" s="107"/>
      <c r="D6428" s="270"/>
      <c r="H6428" s="106" t="str">
        <f t="shared" si="1"/>
        <v/>
      </c>
      <c r="J6428" t="str">
        <f>IFERROR(__xludf.DUMMYFUNCTION("IFS(
  AND(REGEXMATCH(E6428, ""台銀籌備帳戶|玉山帳戶""), REGEXMATCH(C6428, ""薪資"")), ""分潤支出"",
  AND(REGEXMATCH(E6428, ""Ben帳戶|Elsa帳戶|Ben代墊|Ariel代墊|中信銀行共用""), REGEXMATCH(F6428, ""Ben帳戶|Elsa帳戶|Ben代墊|Ariel代墊|中信銀行共用"")), ""內部轉帳(忽略)"",
  AND(E6428&lt;&gt;"""", F6428&lt;&gt;"""", N"&amp;"OT(REGEXMATCH(C6428, ""薪資""))), ""內部轉帳(忽略)"",
  REGEXMATCH(C6428, ""薪資""), ""薪資變動(不計入)"",
  REGEXMATCH(C6428, ""押金""), ""押金往來"",
  AND(E6428&lt;&gt;"""", F6428=""""), ""真實支出"",
  AND(E6428="""", F6428&lt;&gt;""""), ""真實收入"",
  TRUE, ""其他""
)"),"其他")</f>
        <v>其他</v>
      </c>
      <c r="K6428" s="270" t="str">
        <f t="shared" si="2"/>
        <v/>
      </c>
      <c r="L6428">
        <f t="shared" si="3"/>
        <v>0</v>
      </c>
    </row>
    <row r="6429">
      <c r="A6429" s="107"/>
      <c r="D6429" s="270"/>
      <c r="H6429" s="106" t="str">
        <f t="shared" si="1"/>
        <v/>
      </c>
      <c r="J6429" t="str">
        <f>IFERROR(__xludf.DUMMYFUNCTION("IFS(
  AND(REGEXMATCH(E6429, ""台銀籌備帳戶|玉山帳戶""), REGEXMATCH(C6429, ""薪資"")), ""分潤支出"",
  AND(REGEXMATCH(E6429, ""Ben帳戶|Elsa帳戶|Ben代墊|Ariel代墊|中信銀行共用""), REGEXMATCH(F6429, ""Ben帳戶|Elsa帳戶|Ben代墊|Ariel代墊|中信銀行共用"")), ""內部轉帳(忽略)"",
  AND(E6429&lt;&gt;"""", F6429&lt;&gt;"""", N"&amp;"OT(REGEXMATCH(C6429, ""薪資""))), ""內部轉帳(忽略)"",
  REGEXMATCH(C6429, ""薪資""), ""薪資變動(不計入)"",
  REGEXMATCH(C6429, ""押金""), ""押金往來"",
  AND(E6429&lt;&gt;"""", F6429=""""), ""真實支出"",
  AND(E6429="""", F6429&lt;&gt;""""), ""真實收入"",
  TRUE, ""其他""
)"),"其他")</f>
        <v>其他</v>
      </c>
      <c r="K6429" s="270" t="str">
        <f t="shared" si="2"/>
        <v/>
      </c>
      <c r="L6429">
        <f t="shared" si="3"/>
        <v>0</v>
      </c>
    </row>
    <row r="6430">
      <c r="A6430" s="107"/>
      <c r="D6430" s="270"/>
      <c r="H6430" s="106" t="str">
        <f t="shared" si="1"/>
        <v/>
      </c>
      <c r="J6430" t="str">
        <f>IFERROR(__xludf.DUMMYFUNCTION("IFS(
  AND(REGEXMATCH(E6430, ""台銀籌備帳戶|玉山帳戶""), REGEXMATCH(C6430, ""薪資"")), ""分潤支出"",
  AND(REGEXMATCH(E6430, ""Ben帳戶|Elsa帳戶|Ben代墊|Ariel代墊|中信銀行共用""), REGEXMATCH(F6430, ""Ben帳戶|Elsa帳戶|Ben代墊|Ariel代墊|中信銀行共用"")), ""內部轉帳(忽略)"",
  AND(E6430&lt;&gt;"""", F6430&lt;&gt;"""", N"&amp;"OT(REGEXMATCH(C6430, ""薪資""))), ""內部轉帳(忽略)"",
  REGEXMATCH(C6430, ""薪資""), ""薪資變動(不計入)"",
  REGEXMATCH(C6430, ""押金""), ""押金往來"",
  AND(E6430&lt;&gt;"""", F6430=""""), ""真實支出"",
  AND(E6430="""", F6430&lt;&gt;""""), ""真實收入"",
  TRUE, ""其他""
)"),"其他")</f>
        <v>其他</v>
      </c>
      <c r="K6430" s="270" t="str">
        <f t="shared" si="2"/>
        <v/>
      </c>
      <c r="L6430">
        <f t="shared" si="3"/>
        <v>0</v>
      </c>
    </row>
    <row r="6431">
      <c r="A6431" s="107"/>
      <c r="D6431" s="270"/>
      <c r="H6431" s="106" t="str">
        <f t="shared" si="1"/>
        <v/>
      </c>
      <c r="J6431" t="str">
        <f>IFERROR(__xludf.DUMMYFUNCTION("IFS(
  AND(REGEXMATCH(E6431, ""台銀籌備帳戶|玉山帳戶""), REGEXMATCH(C6431, ""薪資"")), ""分潤支出"",
  AND(REGEXMATCH(E6431, ""Ben帳戶|Elsa帳戶|Ben代墊|Ariel代墊|中信銀行共用""), REGEXMATCH(F6431, ""Ben帳戶|Elsa帳戶|Ben代墊|Ariel代墊|中信銀行共用"")), ""內部轉帳(忽略)"",
  AND(E6431&lt;&gt;"""", F6431&lt;&gt;"""", N"&amp;"OT(REGEXMATCH(C6431, ""薪資""))), ""內部轉帳(忽略)"",
  REGEXMATCH(C6431, ""薪資""), ""薪資變動(不計入)"",
  REGEXMATCH(C6431, ""押金""), ""押金往來"",
  AND(E6431&lt;&gt;"""", F6431=""""), ""真實支出"",
  AND(E6431="""", F6431&lt;&gt;""""), ""真實收入"",
  TRUE, ""其他""
)"),"其他")</f>
        <v>其他</v>
      </c>
      <c r="K6431" s="270" t="str">
        <f t="shared" si="2"/>
        <v/>
      </c>
      <c r="L6431">
        <f t="shared" si="3"/>
        <v>0</v>
      </c>
    </row>
    <row r="6432">
      <c r="A6432" s="107"/>
      <c r="D6432" s="270"/>
      <c r="H6432" s="106" t="str">
        <f t="shared" si="1"/>
        <v/>
      </c>
      <c r="J6432" t="str">
        <f>IFERROR(__xludf.DUMMYFUNCTION("IFS(
  AND(REGEXMATCH(E6432, ""台銀籌備帳戶|玉山帳戶""), REGEXMATCH(C6432, ""薪資"")), ""分潤支出"",
  AND(REGEXMATCH(E6432, ""Ben帳戶|Elsa帳戶|Ben代墊|Ariel代墊|中信銀行共用""), REGEXMATCH(F6432, ""Ben帳戶|Elsa帳戶|Ben代墊|Ariel代墊|中信銀行共用"")), ""內部轉帳(忽略)"",
  AND(E6432&lt;&gt;"""", F6432&lt;&gt;"""", N"&amp;"OT(REGEXMATCH(C6432, ""薪資""))), ""內部轉帳(忽略)"",
  REGEXMATCH(C6432, ""薪資""), ""薪資變動(不計入)"",
  REGEXMATCH(C6432, ""押金""), ""押金往來"",
  AND(E6432&lt;&gt;"""", F6432=""""), ""真實支出"",
  AND(E6432="""", F6432&lt;&gt;""""), ""真實收入"",
  TRUE, ""其他""
)"),"其他")</f>
        <v>其他</v>
      </c>
      <c r="K6432" s="270" t="str">
        <f t="shared" si="2"/>
        <v/>
      </c>
      <c r="L6432">
        <f t="shared" si="3"/>
        <v>0</v>
      </c>
    </row>
    <row r="6433">
      <c r="A6433" s="107"/>
      <c r="D6433" s="270"/>
      <c r="H6433" s="106" t="str">
        <f t="shared" si="1"/>
        <v/>
      </c>
      <c r="J6433" t="str">
        <f>IFERROR(__xludf.DUMMYFUNCTION("IFS(
  AND(REGEXMATCH(E6433, ""台銀籌備帳戶|玉山帳戶""), REGEXMATCH(C6433, ""薪資"")), ""分潤支出"",
  AND(REGEXMATCH(E6433, ""Ben帳戶|Elsa帳戶|Ben代墊|Ariel代墊|中信銀行共用""), REGEXMATCH(F6433, ""Ben帳戶|Elsa帳戶|Ben代墊|Ariel代墊|中信銀行共用"")), ""內部轉帳(忽略)"",
  AND(E6433&lt;&gt;"""", F6433&lt;&gt;"""", N"&amp;"OT(REGEXMATCH(C6433, ""薪資""))), ""內部轉帳(忽略)"",
  REGEXMATCH(C6433, ""薪資""), ""薪資變動(不計入)"",
  REGEXMATCH(C6433, ""押金""), ""押金往來"",
  AND(E6433&lt;&gt;"""", F6433=""""), ""真實支出"",
  AND(E6433="""", F6433&lt;&gt;""""), ""真實收入"",
  TRUE, ""其他""
)"),"其他")</f>
        <v>其他</v>
      </c>
      <c r="K6433" s="270" t="str">
        <f t="shared" si="2"/>
        <v/>
      </c>
      <c r="L6433">
        <f t="shared" si="3"/>
        <v>0</v>
      </c>
    </row>
    <row r="6434">
      <c r="A6434" s="107"/>
      <c r="D6434" s="270"/>
      <c r="H6434" s="106" t="str">
        <f t="shared" si="1"/>
        <v/>
      </c>
      <c r="J6434" t="str">
        <f>IFERROR(__xludf.DUMMYFUNCTION("IFS(
  AND(REGEXMATCH(E6434, ""台銀籌備帳戶|玉山帳戶""), REGEXMATCH(C6434, ""薪資"")), ""分潤支出"",
  AND(REGEXMATCH(E6434, ""Ben帳戶|Elsa帳戶|Ben代墊|Ariel代墊|中信銀行共用""), REGEXMATCH(F6434, ""Ben帳戶|Elsa帳戶|Ben代墊|Ariel代墊|中信銀行共用"")), ""內部轉帳(忽略)"",
  AND(E6434&lt;&gt;"""", F6434&lt;&gt;"""", N"&amp;"OT(REGEXMATCH(C6434, ""薪資""))), ""內部轉帳(忽略)"",
  REGEXMATCH(C6434, ""薪資""), ""薪資變動(不計入)"",
  REGEXMATCH(C6434, ""押金""), ""押金往來"",
  AND(E6434&lt;&gt;"""", F6434=""""), ""真實支出"",
  AND(E6434="""", F6434&lt;&gt;""""), ""真實收入"",
  TRUE, ""其他""
)"),"其他")</f>
        <v>其他</v>
      </c>
      <c r="K6434" s="270" t="str">
        <f t="shared" si="2"/>
        <v/>
      </c>
      <c r="L6434">
        <f t="shared" si="3"/>
        <v>0</v>
      </c>
    </row>
    <row r="6435">
      <c r="A6435" s="107"/>
      <c r="D6435" s="270"/>
      <c r="H6435" s="106" t="str">
        <f t="shared" si="1"/>
        <v/>
      </c>
      <c r="J6435" t="str">
        <f>IFERROR(__xludf.DUMMYFUNCTION("IFS(
  AND(REGEXMATCH(E6435, ""台銀籌備帳戶|玉山帳戶""), REGEXMATCH(C6435, ""薪資"")), ""分潤支出"",
  AND(REGEXMATCH(E6435, ""Ben帳戶|Elsa帳戶|Ben代墊|Ariel代墊|中信銀行共用""), REGEXMATCH(F6435, ""Ben帳戶|Elsa帳戶|Ben代墊|Ariel代墊|中信銀行共用"")), ""內部轉帳(忽略)"",
  AND(E6435&lt;&gt;"""", F6435&lt;&gt;"""", N"&amp;"OT(REGEXMATCH(C6435, ""薪資""))), ""內部轉帳(忽略)"",
  REGEXMATCH(C6435, ""薪資""), ""薪資變動(不計入)"",
  REGEXMATCH(C6435, ""押金""), ""押金往來"",
  AND(E6435&lt;&gt;"""", F6435=""""), ""真實支出"",
  AND(E6435="""", F6435&lt;&gt;""""), ""真實收入"",
  TRUE, ""其他""
)"),"其他")</f>
        <v>其他</v>
      </c>
      <c r="K6435" s="270" t="str">
        <f t="shared" si="2"/>
        <v/>
      </c>
      <c r="L6435">
        <f t="shared" si="3"/>
        <v>0</v>
      </c>
    </row>
    <row r="6436">
      <c r="A6436" s="107"/>
      <c r="D6436" s="270"/>
      <c r="H6436" s="106" t="str">
        <f t="shared" si="1"/>
        <v/>
      </c>
      <c r="J6436" t="str">
        <f>IFERROR(__xludf.DUMMYFUNCTION("IFS(
  AND(REGEXMATCH(E6436, ""台銀籌備帳戶|玉山帳戶""), REGEXMATCH(C6436, ""薪資"")), ""分潤支出"",
  AND(REGEXMATCH(E6436, ""Ben帳戶|Elsa帳戶|Ben代墊|Ariel代墊|中信銀行共用""), REGEXMATCH(F6436, ""Ben帳戶|Elsa帳戶|Ben代墊|Ariel代墊|中信銀行共用"")), ""內部轉帳(忽略)"",
  AND(E6436&lt;&gt;"""", F6436&lt;&gt;"""", N"&amp;"OT(REGEXMATCH(C6436, ""薪資""))), ""內部轉帳(忽略)"",
  REGEXMATCH(C6436, ""薪資""), ""薪資變動(不計入)"",
  REGEXMATCH(C6436, ""押金""), ""押金往來"",
  AND(E6436&lt;&gt;"""", F6436=""""), ""真實支出"",
  AND(E6436="""", F6436&lt;&gt;""""), ""真實收入"",
  TRUE, ""其他""
)"),"其他")</f>
        <v>其他</v>
      </c>
      <c r="K6436" s="270" t="str">
        <f t="shared" si="2"/>
        <v/>
      </c>
      <c r="L6436">
        <f t="shared" si="3"/>
        <v>0</v>
      </c>
    </row>
    <row r="6437">
      <c r="A6437" s="107"/>
      <c r="D6437" s="270"/>
      <c r="H6437" s="106" t="str">
        <f t="shared" si="1"/>
        <v/>
      </c>
      <c r="J6437" t="str">
        <f>IFERROR(__xludf.DUMMYFUNCTION("IFS(
  AND(REGEXMATCH(E6437, ""台銀籌備帳戶|玉山帳戶""), REGEXMATCH(C6437, ""薪資"")), ""分潤支出"",
  AND(REGEXMATCH(E6437, ""Ben帳戶|Elsa帳戶|Ben代墊|Ariel代墊|中信銀行共用""), REGEXMATCH(F6437, ""Ben帳戶|Elsa帳戶|Ben代墊|Ariel代墊|中信銀行共用"")), ""內部轉帳(忽略)"",
  AND(E6437&lt;&gt;"""", F6437&lt;&gt;"""", N"&amp;"OT(REGEXMATCH(C6437, ""薪資""))), ""內部轉帳(忽略)"",
  REGEXMATCH(C6437, ""薪資""), ""薪資變動(不計入)"",
  REGEXMATCH(C6437, ""押金""), ""押金往來"",
  AND(E6437&lt;&gt;"""", F6437=""""), ""真實支出"",
  AND(E6437="""", F6437&lt;&gt;""""), ""真實收入"",
  TRUE, ""其他""
)"),"其他")</f>
        <v>其他</v>
      </c>
      <c r="K6437" s="270" t="str">
        <f t="shared" si="2"/>
        <v/>
      </c>
      <c r="L6437">
        <f t="shared" si="3"/>
        <v>0</v>
      </c>
    </row>
    <row r="6438">
      <c r="A6438" s="107"/>
      <c r="D6438" s="270"/>
      <c r="H6438" s="106" t="str">
        <f t="shared" si="1"/>
        <v/>
      </c>
      <c r="J6438" t="str">
        <f>IFERROR(__xludf.DUMMYFUNCTION("IFS(
  AND(REGEXMATCH(E6438, ""台銀籌備帳戶|玉山帳戶""), REGEXMATCH(C6438, ""薪資"")), ""分潤支出"",
  AND(REGEXMATCH(E6438, ""Ben帳戶|Elsa帳戶|Ben代墊|Ariel代墊|中信銀行共用""), REGEXMATCH(F6438, ""Ben帳戶|Elsa帳戶|Ben代墊|Ariel代墊|中信銀行共用"")), ""內部轉帳(忽略)"",
  AND(E6438&lt;&gt;"""", F6438&lt;&gt;"""", N"&amp;"OT(REGEXMATCH(C6438, ""薪資""))), ""內部轉帳(忽略)"",
  REGEXMATCH(C6438, ""薪資""), ""薪資變動(不計入)"",
  REGEXMATCH(C6438, ""押金""), ""押金往來"",
  AND(E6438&lt;&gt;"""", F6438=""""), ""真實支出"",
  AND(E6438="""", F6438&lt;&gt;""""), ""真實收入"",
  TRUE, ""其他""
)"),"其他")</f>
        <v>其他</v>
      </c>
      <c r="K6438" s="270" t="str">
        <f t="shared" si="2"/>
        <v/>
      </c>
      <c r="L6438">
        <f t="shared" si="3"/>
        <v>0</v>
      </c>
    </row>
    <row r="6439">
      <c r="A6439" s="107"/>
      <c r="D6439" s="270"/>
      <c r="H6439" s="106" t="str">
        <f t="shared" si="1"/>
        <v/>
      </c>
      <c r="J6439" t="str">
        <f>IFERROR(__xludf.DUMMYFUNCTION("IFS(
  AND(REGEXMATCH(E6439, ""台銀籌備帳戶|玉山帳戶""), REGEXMATCH(C6439, ""薪資"")), ""分潤支出"",
  AND(REGEXMATCH(E6439, ""Ben帳戶|Elsa帳戶|Ben代墊|Ariel代墊|中信銀行共用""), REGEXMATCH(F6439, ""Ben帳戶|Elsa帳戶|Ben代墊|Ariel代墊|中信銀行共用"")), ""內部轉帳(忽略)"",
  AND(E6439&lt;&gt;"""", F6439&lt;&gt;"""", N"&amp;"OT(REGEXMATCH(C6439, ""薪資""))), ""內部轉帳(忽略)"",
  REGEXMATCH(C6439, ""薪資""), ""薪資變動(不計入)"",
  REGEXMATCH(C6439, ""押金""), ""押金往來"",
  AND(E6439&lt;&gt;"""", F6439=""""), ""真實支出"",
  AND(E6439="""", F6439&lt;&gt;""""), ""真實收入"",
  TRUE, ""其他""
)"),"其他")</f>
        <v>其他</v>
      </c>
      <c r="K6439" s="270" t="str">
        <f t="shared" si="2"/>
        <v/>
      </c>
      <c r="L6439">
        <f t="shared" si="3"/>
        <v>0</v>
      </c>
    </row>
    <row r="6440">
      <c r="A6440" s="107"/>
      <c r="D6440" s="270"/>
      <c r="H6440" s="106" t="str">
        <f t="shared" si="1"/>
        <v/>
      </c>
      <c r="J6440" t="str">
        <f>IFERROR(__xludf.DUMMYFUNCTION("IFS(
  AND(REGEXMATCH(E6440, ""台銀籌備帳戶|玉山帳戶""), REGEXMATCH(C6440, ""薪資"")), ""分潤支出"",
  AND(REGEXMATCH(E6440, ""Ben帳戶|Elsa帳戶|Ben代墊|Ariel代墊|中信銀行共用""), REGEXMATCH(F6440, ""Ben帳戶|Elsa帳戶|Ben代墊|Ariel代墊|中信銀行共用"")), ""內部轉帳(忽略)"",
  AND(E6440&lt;&gt;"""", F6440&lt;&gt;"""", N"&amp;"OT(REGEXMATCH(C6440, ""薪資""))), ""內部轉帳(忽略)"",
  REGEXMATCH(C6440, ""薪資""), ""薪資變動(不計入)"",
  REGEXMATCH(C6440, ""押金""), ""押金往來"",
  AND(E6440&lt;&gt;"""", F6440=""""), ""真實支出"",
  AND(E6440="""", F6440&lt;&gt;""""), ""真實收入"",
  TRUE, ""其他""
)"),"其他")</f>
        <v>其他</v>
      </c>
      <c r="K6440" s="270" t="str">
        <f t="shared" si="2"/>
        <v/>
      </c>
      <c r="L6440">
        <f t="shared" si="3"/>
        <v>0</v>
      </c>
    </row>
    <row r="6441">
      <c r="A6441" s="107"/>
      <c r="D6441" s="270"/>
      <c r="H6441" s="106" t="str">
        <f t="shared" si="1"/>
        <v/>
      </c>
      <c r="J6441" t="str">
        <f>IFERROR(__xludf.DUMMYFUNCTION("IFS(
  AND(REGEXMATCH(E6441, ""台銀籌備帳戶|玉山帳戶""), REGEXMATCH(C6441, ""薪資"")), ""分潤支出"",
  AND(REGEXMATCH(E6441, ""Ben帳戶|Elsa帳戶|Ben代墊|Ariel代墊|中信銀行共用""), REGEXMATCH(F6441, ""Ben帳戶|Elsa帳戶|Ben代墊|Ariel代墊|中信銀行共用"")), ""內部轉帳(忽略)"",
  AND(E6441&lt;&gt;"""", F6441&lt;&gt;"""", N"&amp;"OT(REGEXMATCH(C6441, ""薪資""))), ""內部轉帳(忽略)"",
  REGEXMATCH(C6441, ""薪資""), ""薪資變動(不計入)"",
  REGEXMATCH(C6441, ""押金""), ""押金往來"",
  AND(E6441&lt;&gt;"""", F6441=""""), ""真實支出"",
  AND(E6441="""", F6441&lt;&gt;""""), ""真實收入"",
  TRUE, ""其他""
)"),"其他")</f>
        <v>其他</v>
      </c>
      <c r="K6441" s="270" t="str">
        <f t="shared" si="2"/>
        <v/>
      </c>
      <c r="L6441">
        <f t="shared" si="3"/>
        <v>0</v>
      </c>
    </row>
    <row r="6442">
      <c r="A6442" s="107"/>
      <c r="D6442" s="270"/>
      <c r="H6442" s="106" t="str">
        <f t="shared" si="1"/>
        <v/>
      </c>
      <c r="J6442" t="str">
        <f>IFERROR(__xludf.DUMMYFUNCTION("IFS(
  AND(REGEXMATCH(E6442, ""台銀籌備帳戶|玉山帳戶""), REGEXMATCH(C6442, ""薪資"")), ""分潤支出"",
  AND(REGEXMATCH(E6442, ""Ben帳戶|Elsa帳戶|Ben代墊|Ariel代墊|中信銀行共用""), REGEXMATCH(F6442, ""Ben帳戶|Elsa帳戶|Ben代墊|Ariel代墊|中信銀行共用"")), ""內部轉帳(忽略)"",
  AND(E6442&lt;&gt;"""", F6442&lt;&gt;"""", N"&amp;"OT(REGEXMATCH(C6442, ""薪資""))), ""內部轉帳(忽略)"",
  REGEXMATCH(C6442, ""薪資""), ""薪資變動(不計入)"",
  REGEXMATCH(C6442, ""押金""), ""押金往來"",
  AND(E6442&lt;&gt;"""", F6442=""""), ""真實支出"",
  AND(E6442="""", F6442&lt;&gt;""""), ""真實收入"",
  TRUE, ""其他""
)"),"其他")</f>
        <v>其他</v>
      </c>
      <c r="K6442" s="270" t="str">
        <f t="shared" si="2"/>
        <v/>
      </c>
      <c r="L6442">
        <f t="shared" si="3"/>
        <v>0</v>
      </c>
    </row>
    <row r="6443">
      <c r="A6443" s="107"/>
      <c r="D6443" s="270"/>
      <c r="H6443" s="106" t="str">
        <f t="shared" si="1"/>
        <v/>
      </c>
      <c r="J6443" t="str">
        <f>IFERROR(__xludf.DUMMYFUNCTION("IFS(
  AND(REGEXMATCH(E6443, ""台銀籌備帳戶|玉山帳戶""), REGEXMATCH(C6443, ""薪資"")), ""分潤支出"",
  AND(REGEXMATCH(E6443, ""Ben帳戶|Elsa帳戶|Ben代墊|Ariel代墊|中信銀行共用""), REGEXMATCH(F6443, ""Ben帳戶|Elsa帳戶|Ben代墊|Ariel代墊|中信銀行共用"")), ""內部轉帳(忽略)"",
  AND(E6443&lt;&gt;"""", F6443&lt;&gt;"""", N"&amp;"OT(REGEXMATCH(C6443, ""薪資""))), ""內部轉帳(忽略)"",
  REGEXMATCH(C6443, ""薪資""), ""薪資變動(不計入)"",
  REGEXMATCH(C6443, ""押金""), ""押金往來"",
  AND(E6443&lt;&gt;"""", F6443=""""), ""真實支出"",
  AND(E6443="""", F6443&lt;&gt;""""), ""真實收入"",
  TRUE, ""其他""
)"),"其他")</f>
        <v>其他</v>
      </c>
      <c r="K6443" s="270" t="str">
        <f t="shared" si="2"/>
        <v/>
      </c>
      <c r="L6443">
        <f t="shared" si="3"/>
        <v>0</v>
      </c>
    </row>
    <row r="6444">
      <c r="A6444" s="107"/>
      <c r="D6444" s="270"/>
      <c r="H6444" s="106" t="str">
        <f t="shared" si="1"/>
        <v/>
      </c>
      <c r="J6444" t="str">
        <f>IFERROR(__xludf.DUMMYFUNCTION("IFS(
  AND(REGEXMATCH(E6444, ""台銀籌備帳戶|玉山帳戶""), REGEXMATCH(C6444, ""薪資"")), ""分潤支出"",
  AND(REGEXMATCH(E6444, ""Ben帳戶|Elsa帳戶|Ben代墊|Ariel代墊|中信銀行共用""), REGEXMATCH(F6444, ""Ben帳戶|Elsa帳戶|Ben代墊|Ariel代墊|中信銀行共用"")), ""內部轉帳(忽略)"",
  AND(E6444&lt;&gt;"""", F6444&lt;&gt;"""", N"&amp;"OT(REGEXMATCH(C6444, ""薪資""))), ""內部轉帳(忽略)"",
  REGEXMATCH(C6444, ""薪資""), ""薪資變動(不計入)"",
  REGEXMATCH(C6444, ""押金""), ""押金往來"",
  AND(E6444&lt;&gt;"""", F6444=""""), ""真實支出"",
  AND(E6444="""", F6444&lt;&gt;""""), ""真實收入"",
  TRUE, ""其他""
)"),"其他")</f>
        <v>其他</v>
      </c>
      <c r="K6444" s="270" t="str">
        <f t="shared" si="2"/>
        <v/>
      </c>
      <c r="L6444">
        <f t="shared" si="3"/>
        <v>0</v>
      </c>
    </row>
    <row r="6445">
      <c r="A6445" s="107"/>
      <c r="D6445" s="270"/>
      <c r="H6445" s="106" t="str">
        <f t="shared" si="1"/>
        <v/>
      </c>
      <c r="J6445" t="str">
        <f>IFERROR(__xludf.DUMMYFUNCTION("IFS(
  AND(REGEXMATCH(E6445, ""台銀籌備帳戶|玉山帳戶""), REGEXMATCH(C6445, ""薪資"")), ""分潤支出"",
  AND(REGEXMATCH(E6445, ""Ben帳戶|Elsa帳戶|Ben代墊|Ariel代墊|中信銀行共用""), REGEXMATCH(F6445, ""Ben帳戶|Elsa帳戶|Ben代墊|Ariel代墊|中信銀行共用"")), ""內部轉帳(忽略)"",
  AND(E6445&lt;&gt;"""", F6445&lt;&gt;"""", N"&amp;"OT(REGEXMATCH(C6445, ""薪資""))), ""內部轉帳(忽略)"",
  REGEXMATCH(C6445, ""薪資""), ""薪資變動(不計入)"",
  REGEXMATCH(C6445, ""押金""), ""押金往來"",
  AND(E6445&lt;&gt;"""", F6445=""""), ""真實支出"",
  AND(E6445="""", F6445&lt;&gt;""""), ""真實收入"",
  TRUE, ""其他""
)"),"其他")</f>
        <v>其他</v>
      </c>
      <c r="K6445" s="270" t="str">
        <f t="shared" si="2"/>
        <v/>
      </c>
      <c r="L6445">
        <f t="shared" si="3"/>
        <v>0</v>
      </c>
    </row>
    <row r="6446">
      <c r="A6446" s="107"/>
      <c r="D6446" s="270"/>
      <c r="H6446" s="106" t="str">
        <f t="shared" si="1"/>
        <v/>
      </c>
      <c r="J6446" t="str">
        <f>IFERROR(__xludf.DUMMYFUNCTION("IFS(
  AND(REGEXMATCH(E6446, ""台銀籌備帳戶|玉山帳戶""), REGEXMATCH(C6446, ""薪資"")), ""分潤支出"",
  AND(REGEXMATCH(E6446, ""Ben帳戶|Elsa帳戶|Ben代墊|Ariel代墊|中信銀行共用""), REGEXMATCH(F6446, ""Ben帳戶|Elsa帳戶|Ben代墊|Ariel代墊|中信銀行共用"")), ""內部轉帳(忽略)"",
  AND(E6446&lt;&gt;"""", F6446&lt;&gt;"""", N"&amp;"OT(REGEXMATCH(C6446, ""薪資""))), ""內部轉帳(忽略)"",
  REGEXMATCH(C6446, ""薪資""), ""薪資變動(不計入)"",
  REGEXMATCH(C6446, ""押金""), ""押金往來"",
  AND(E6446&lt;&gt;"""", F6446=""""), ""真實支出"",
  AND(E6446="""", F6446&lt;&gt;""""), ""真實收入"",
  TRUE, ""其他""
)"),"其他")</f>
        <v>其他</v>
      </c>
      <c r="K6446" s="270" t="str">
        <f t="shared" si="2"/>
        <v/>
      </c>
      <c r="L6446">
        <f t="shared" si="3"/>
        <v>0</v>
      </c>
    </row>
    <row r="6447">
      <c r="A6447" s="107"/>
      <c r="D6447" s="270"/>
      <c r="H6447" s="106" t="str">
        <f t="shared" si="1"/>
        <v/>
      </c>
      <c r="J6447" t="str">
        <f>IFERROR(__xludf.DUMMYFUNCTION("IFS(
  AND(REGEXMATCH(E6447, ""台銀籌備帳戶|玉山帳戶""), REGEXMATCH(C6447, ""薪資"")), ""分潤支出"",
  AND(REGEXMATCH(E6447, ""Ben帳戶|Elsa帳戶|Ben代墊|Ariel代墊|中信銀行共用""), REGEXMATCH(F6447, ""Ben帳戶|Elsa帳戶|Ben代墊|Ariel代墊|中信銀行共用"")), ""內部轉帳(忽略)"",
  AND(E6447&lt;&gt;"""", F6447&lt;&gt;"""", N"&amp;"OT(REGEXMATCH(C6447, ""薪資""))), ""內部轉帳(忽略)"",
  REGEXMATCH(C6447, ""薪資""), ""薪資變動(不計入)"",
  REGEXMATCH(C6447, ""押金""), ""押金往來"",
  AND(E6447&lt;&gt;"""", F6447=""""), ""真實支出"",
  AND(E6447="""", F6447&lt;&gt;""""), ""真實收入"",
  TRUE, ""其他""
)"),"其他")</f>
        <v>其他</v>
      </c>
      <c r="K6447" s="270" t="str">
        <f t="shared" si="2"/>
        <v/>
      </c>
      <c r="L6447">
        <f t="shared" si="3"/>
        <v>0</v>
      </c>
    </row>
    <row r="6448">
      <c r="A6448" s="107"/>
      <c r="D6448" s="270"/>
      <c r="H6448" s="106" t="str">
        <f t="shared" si="1"/>
        <v/>
      </c>
      <c r="J6448" t="str">
        <f>IFERROR(__xludf.DUMMYFUNCTION("IFS(
  AND(REGEXMATCH(E6448, ""台銀籌備帳戶|玉山帳戶""), REGEXMATCH(C6448, ""薪資"")), ""分潤支出"",
  AND(REGEXMATCH(E6448, ""Ben帳戶|Elsa帳戶|Ben代墊|Ariel代墊|中信銀行共用""), REGEXMATCH(F6448, ""Ben帳戶|Elsa帳戶|Ben代墊|Ariel代墊|中信銀行共用"")), ""內部轉帳(忽略)"",
  AND(E6448&lt;&gt;"""", F6448&lt;&gt;"""", N"&amp;"OT(REGEXMATCH(C6448, ""薪資""))), ""內部轉帳(忽略)"",
  REGEXMATCH(C6448, ""薪資""), ""薪資變動(不計入)"",
  REGEXMATCH(C6448, ""押金""), ""押金往來"",
  AND(E6448&lt;&gt;"""", F6448=""""), ""真實支出"",
  AND(E6448="""", F6448&lt;&gt;""""), ""真實收入"",
  TRUE, ""其他""
)"),"其他")</f>
        <v>其他</v>
      </c>
      <c r="K6448" s="270" t="str">
        <f t="shared" si="2"/>
        <v/>
      </c>
      <c r="L6448">
        <f t="shared" si="3"/>
        <v>0</v>
      </c>
    </row>
    <row r="6449">
      <c r="A6449" s="107"/>
      <c r="D6449" s="270"/>
      <c r="H6449" s="106" t="str">
        <f t="shared" si="1"/>
        <v/>
      </c>
      <c r="J6449" t="str">
        <f>IFERROR(__xludf.DUMMYFUNCTION("IFS(
  AND(REGEXMATCH(E6449, ""台銀籌備帳戶|玉山帳戶""), REGEXMATCH(C6449, ""薪資"")), ""分潤支出"",
  AND(REGEXMATCH(E6449, ""Ben帳戶|Elsa帳戶|Ben代墊|Ariel代墊|中信銀行共用""), REGEXMATCH(F6449, ""Ben帳戶|Elsa帳戶|Ben代墊|Ariel代墊|中信銀行共用"")), ""內部轉帳(忽略)"",
  AND(E6449&lt;&gt;"""", F6449&lt;&gt;"""", N"&amp;"OT(REGEXMATCH(C6449, ""薪資""))), ""內部轉帳(忽略)"",
  REGEXMATCH(C6449, ""薪資""), ""薪資變動(不計入)"",
  REGEXMATCH(C6449, ""押金""), ""押金往來"",
  AND(E6449&lt;&gt;"""", F6449=""""), ""真實支出"",
  AND(E6449="""", F6449&lt;&gt;""""), ""真實收入"",
  TRUE, ""其他""
)"),"其他")</f>
        <v>其他</v>
      </c>
      <c r="K6449" s="270" t="str">
        <f t="shared" si="2"/>
        <v/>
      </c>
      <c r="L6449">
        <f t="shared" si="3"/>
        <v>0</v>
      </c>
    </row>
    <row r="6450">
      <c r="A6450" s="107"/>
      <c r="D6450" s="270"/>
      <c r="H6450" s="106" t="str">
        <f t="shared" si="1"/>
        <v/>
      </c>
      <c r="J6450" t="str">
        <f>IFERROR(__xludf.DUMMYFUNCTION("IFS(
  AND(REGEXMATCH(E6450, ""台銀籌備帳戶|玉山帳戶""), REGEXMATCH(C6450, ""薪資"")), ""分潤支出"",
  AND(REGEXMATCH(E6450, ""Ben帳戶|Elsa帳戶|Ben代墊|Ariel代墊|中信銀行共用""), REGEXMATCH(F6450, ""Ben帳戶|Elsa帳戶|Ben代墊|Ariel代墊|中信銀行共用"")), ""內部轉帳(忽略)"",
  AND(E6450&lt;&gt;"""", F6450&lt;&gt;"""", N"&amp;"OT(REGEXMATCH(C6450, ""薪資""))), ""內部轉帳(忽略)"",
  REGEXMATCH(C6450, ""薪資""), ""薪資變動(不計入)"",
  REGEXMATCH(C6450, ""押金""), ""押金往來"",
  AND(E6450&lt;&gt;"""", F6450=""""), ""真實支出"",
  AND(E6450="""", F6450&lt;&gt;""""), ""真實收入"",
  TRUE, ""其他""
)"),"其他")</f>
        <v>其他</v>
      </c>
      <c r="K6450" s="270" t="str">
        <f t="shared" si="2"/>
        <v/>
      </c>
      <c r="L6450">
        <f t="shared" si="3"/>
        <v>0</v>
      </c>
    </row>
    <row r="6451">
      <c r="A6451" s="107"/>
      <c r="D6451" s="270"/>
      <c r="H6451" s="106" t="str">
        <f t="shared" si="1"/>
        <v/>
      </c>
      <c r="J6451" t="str">
        <f>IFERROR(__xludf.DUMMYFUNCTION("IFS(
  AND(REGEXMATCH(E6451, ""台銀籌備帳戶|玉山帳戶""), REGEXMATCH(C6451, ""薪資"")), ""分潤支出"",
  AND(REGEXMATCH(E6451, ""Ben帳戶|Elsa帳戶|Ben代墊|Ariel代墊|中信銀行共用""), REGEXMATCH(F6451, ""Ben帳戶|Elsa帳戶|Ben代墊|Ariel代墊|中信銀行共用"")), ""內部轉帳(忽略)"",
  AND(E6451&lt;&gt;"""", F6451&lt;&gt;"""", N"&amp;"OT(REGEXMATCH(C6451, ""薪資""))), ""內部轉帳(忽略)"",
  REGEXMATCH(C6451, ""薪資""), ""薪資變動(不計入)"",
  REGEXMATCH(C6451, ""押金""), ""押金往來"",
  AND(E6451&lt;&gt;"""", F6451=""""), ""真實支出"",
  AND(E6451="""", F6451&lt;&gt;""""), ""真實收入"",
  TRUE, ""其他""
)"),"其他")</f>
        <v>其他</v>
      </c>
      <c r="K6451" s="270" t="str">
        <f t="shared" si="2"/>
        <v/>
      </c>
      <c r="L6451">
        <f t="shared" si="3"/>
        <v>0</v>
      </c>
    </row>
    <row r="6452">
      <c r="A6452" s="107"/>
      <c r="D6452" s="270"/>
      <c r="H6452" s="106" t="str">
        <f t="shared" si="1"/>
        <v/>
      </c>
      <c r="J6452" t="str">
        <f>IFERROR(__xludf.DUMMYFUNCTION("IFS(
  AND(REGEXMATCH(E6452, ""台銀籌備帳戶|玉山帳戶""), REGEXMATCH(C6452, ""薪資"")), ""分潤支出"",
  AND(REGEXMATCH(E6452, ""Ben帳戶|Elsa帳戶|Ben代墊|Ariel代墊|中信銀行共用""), REGEXMATCH(F6452, ""Ben帳戶|Elsa帳戶|Ben代墊|Ariel代墊|中信銀行共用"")), ""內部轉帳(忽略)"",
  AND(E6452&lt;&gt;"""", F6452&lt;&gt;"""", N"&amp;"OT(REGEXMATCH(C6452, ""薪資""))), ""內部轉帳(忽略)"",
  REGEXMATCH(C6452, ""薪資""), ""薪資變動(不計入)"",
  REGEXMATCH(C6452, ""押金""), ""押金往來"",
  AND(E6452&lt;&gt;"""", F6452=""""), ""真實支出"",
  AND(E6452="""", F6452&lt;&gt;""""), ""真實收入"",
  TRUE, ""其他""
)"),"其他")</f>
        <v>其他</v>
      </c>
      <c r="K6452" s="270" t="str">
        <f t="shared" si="2"/>
        <v/>
      </c>
      <c r="L6452">
        <f t="shared" si="3"/>
        <v>0</v>
      </c>
    </row>
    <row r="6453">
      <c r="A6453" s="107"/>
      <c r="D6453" s="270"/>
      <c r="H6453" s="106" t="str">
        <f t="shared" si="1"/>
        <v/>
      </c>
      <c r="J6453" t="str">
        <f>IFERROR(__xludf.DUMMYFUNCTION("IFS(
  AND(REGEXMATCH(E6453, ""台銀籌備帳戶|玉山帳戶""), REGEXMATCH(C6453, ""薪資"")), ""分潤支出"",
  AND(REGEXMATCH(E6453, ""Ben帳戶|Elsa帳戶|Ben代墊|Ariel代墊|中信銀行共用""), REGEXMATCH(F6453, ""Ben帳戶|Elsa帳戶|Ben代墊|Ariel代墊|中信銀行共用"")), ""內部轉帳(忽略)"",
  AND(E6453&lt;&gt;"""", F6453&lt;&gt;"""", N"&amp;"OT(REGEXMATCH(C6453, ""薪資""))), ""內部轉帳(忽略)"",
  REGEXMATCH(C6453, ""薪資""), ""薪資變動(不計入)"",
  REGEXMATCH(C6453, ""押金""), ""押金往來"",
  AND(E6453&lt;&gt;"""", F6453=""""), ""真實支出"",
  AND(E6453="""", F6453&lt;&gt;""""), ""真實收入"",
  TRUE, ""其他""
)"),"其他")</f>
        <v>其他</v>
      </c>
      <c r="K6453" s="270" t="str">
        <f t="shared" si="2"/>
        <v/>
      </c>
      <c r="L6453">
        <f t="shared" si="3"/>
        <v>0</v>
      </c>
    </row>
    <row r="6454">
      <c r="A6454" s="107"/>
      <c r="D6454" s="270"/>
      <c r="H6454" s="106" t="str">
        <f t="shared" si="1"/>
        <v/>
      </c>
      <c r="J6454" t="str">
        <f>IFERROR(__xludf.DUMMYFUNCTION("IFS(
  AND(REGEXMATCH(E6454, ""台銀籌備帳戶|玉山帳戶""), REGEXMATCH(C6454, ""薪資"")), ""分潤支出"",
  AND(REGEXMATCH(E6454, ""Ben帳戶|Elsa帳戶|Ben代墊|Ariel代墊|中信銀行共用""), REGEXMATCH(F6454, ""Ben帳戶|Elsa帳戶|Ben代墊|Ariel代墊|中信銀行共用"")), ""內部轉帳(忽略)"",
  AND(E6454&lt;&gt;"""", F6454&lt;&gt;"""", N"&amp;"OT(REGEXMATCH(C6454, ""薪資""))), ""內部轉帳(忽略)"",
  REGEXMATCH(C6454, ""薪資""), ""薪資變動(不計入)"",
  REGEXMATCH(C6454, ""押金""), ""押金往來"",
  AND(E6454&lt;&gt;"""", F6454=""""), ""真實支出"",
  AND(E6454="""", F6454&lt;&gt;""""), ""真實收入"",
  TRUE, ""其他""
)"),"其他")</f>
        <v>其他</v>
      </c>
      <c r="K6454" s="270" t="str">
        <f t="shared" si="2"/>
        <v/>
      </c>
      <c r="L6454">
        <f t="shared" si="3"/>
        <v>0</v>
      </c>
    </row>
    <row r="6455">
      <c r="A6455" s="107"/>
      <c r="D6455" s="270"/>
      <c r="H6455" s="106" t="str">
        <f t="shared" si="1"/>
        <v/>
      </c>
      <c r="J6455" t="str">
        <f>IFERROR(__xludf.DUMMYFUNCTION("IFS(
  AND(REGEXMATCH(E6455, ""台銀籌備帳戶|玉山帳戶""), REGEXMATCH(C6455, ""薪資"")), ""分潤支出"",
  AND(REGEXMATCH(E6455, ""Ben帳戶|Elsa帳戶|Ben代墊|Ariel代墊|中信銀行共用""), REGEXMATCH(F6455, ""Ben帳戶|Elsa帳戶|Ben代墊|Ariel代墊|中信銀行共用"")), ""內部轉帳(忽略)"",
  AND(E6455&lt;&gt;"""", F6455&lt;&gt;"""", N"&amp;"OT(REGEXMATCH(C6455, ""薪資""))), ""內部轉帳(忽略)"",
  REGEXMATCH(C6455, ""薪資""), ""薪資變動(不計入)"",
  REGEXMATCH(C6455, ""押金""), ""押金往來"",
  AND(E6455&lt;&gt;"""", F6455=""""), ""真實支出"",
  AND(E6455="""", F6455&lt;&gt;""""), ""真實收入"",
  TRUE, ""其他""
)"),"其他")</f>
        <v>其他</v>
      </c>
      <c r="K6455" s="270" t="str">
        <f t="shared" si="2"/>
        <v/>
      </c>
      <c r="L6455">
        <f t="shared" si="3"/>
        <v>0</v>
      </c>
    </row>
    <row r="6456">
      <c r="A6456" s="107"/>
      <c r="D6456" s="270"/>
      <c r="H6456" s="106" t="str">
        <f t="shared" si="1"/>
        <v/>
      </c>
      <c r="J6456" t="str">
        <f>IFERROR(__xludf.DUMMYFUNCTION("IFS(
  AND(REGEXMATCH(E6456, ""台銀籌備帳戶|玉山帳戶""), REGEXMATCH(C6456, ""薪資"")), ""分潤支出"",
  AND(REGEXMATCH(E6456, ""Ben帳戶|Elsa帳戶|Ben代墊|Ariel代墊|中信銀行共用""), REGEXMATCH(F6456, ""Ben帳戶|Elsa帳戶|Ben代墊|Ariel代墊|中信銀行共用"")), ""內部轉帳(忽略)"",
  AND(E6456&lt;&gt;"""", F6456&lt;&gt;"""", N"&amp;"OT(REGEXMATCH(C6456, ""薪資""))), ""內部轉帳(忽略)"",
  REGEXMATCH(C6456, ""薪資""), ""薪資變動(不計入)"",
  REGEXMATCH(C6456, ""押金""), ""押金往來"",
  AND(E6456&lt;&gt;"""", F6456=""""), ""真實支出"",
  AND(E6456="""", F6456&lt;&gt;""""), ""真實收入"",
  TRUE, ""其他""
)"),"其他")</f>
        <v>其他</v>
      </c>
      <c r="K6456" s="270" t="str">
        <f t="shared" si="2"/>
        <v/>
      </c>
      <c r="L6456">
        <f t="shared" si="3"/>
        <v>0</v>
      </c>
    </row>
    <row r="6457">
      <c r="A6457" s="107"/>
      <c r="D6457" s="270"/>
      <c r="H6457" s="106" t="str">
        <f t="shared" si="1"/>
        <v/>
      </c>
      <c r="J6457" t="str">
        <f>IFERROR(__xludf.DUMMYFUNCTION("IFS(
  AND(REGEXMATCH(E6457, ""台銀籌備帳戶|玉山帳戶""), REGEXMATCH(C6457, ""薪資"")), ""分潤支出"",
  AND(REGEXMATCH(E6457, ""Ben帳戶|Elsa帳戶|Ben代墊|Ariel代墊|中信銀行共用""), REGEXMATCH(F6457, ""Ben帳戶|Elsa帳戶|Ben代墊|Ariel代墊|中信銀行共用"")), ""內部轉帳(忽略)"",
  AND(E6457&lt;&gt;"""", F6457&lt;&gt;"""", N"&amp;"OT(REGEXMATCH(C6457, ""薪資""))), ""內部轉帳(忽略)"",
  REGEXMATCH(C6457, ""薪資""), ""薪資變動(不計入)"",
  REGEXMATCH(C6457, ""押金""), ""押金往來"",
  AND(E6457&lt;&gt;"""", F6457=""""), ""真實支出"",
  AND(E6457="""", F6457&lt;&gt;""""), ""真實收入"",
  TRUE, ""其他""
)"),"其他")</f>
        <v>其他</v>
      </c>
      <c r="K6457" s="270" t="str">
        <f t="shared" si="2"/>
        <v/>
      </c>
      <c r="L6457">
        <f t="shared" si="3"/>
        <v>0</v>
      </c>
    </row>
    <row r="6458">
      <c r="A6458" s="107"/>
      <c r="D6458" s="270"/>
      <c r="H6458" s="106" t="str">
        <f t="shared" si="1"/>
        <v/>
      </c>
      <c r="J6458" t="str">
        <f>IFERROR(__xludf.DUMMYFUNCTION("IFS(
  AND(REGEXMATCH(E6458, ""台銀籌備帳戶|玉山帳戶""), REGEXMATCH(C6458, ""薪資"")), ""分潤支出"",
  AND(REGEXMATCH(E6458, ""Ben帳戶|Elsa帳戶|Ben代墊|Ariel代墊|中信銀行共用""), REGEXMATCH(F6458, ""Ben帳戶|Elsa帳戶|Ben代墊|Ariel代墊|中信銀行共用"")), ""內部轉帳(忽略)"",
  AND(E6458&lt;&gt;"""", F6458&lt;&gt;"""", N"&amp;"OT(REGEXMATCH(C6458, ""薪資""))), ""內部轉帳(忽略)"",
  REGEXMATCH(C6458, ""薪資""), ""薪資變動(不計入)"",
  REGEXMATCH(C6458, ""押金""), ""押金往來"",
  AND(E6458&lt;&gt;"""", F6458=""""), ""真實支出"",
  AND(E6458="""", F6458&lt;&gt;""""), ""真實收入"",
  TRUE, ""其他""
)"),"其他")</f>
        <v>其他</v>
      </c>
      <c r="K6458" s="270" t="str">
        <f t="shared" si="2"/>
        <v/>
      </c>
      <c r="L6458">
        <f t="shared" si="3"/>
        <v>0</v>
      </c>
    </row>
    <row r="6459">
      <c r="A6459" s="107"/>
      <c r="D6459" s="270"/>
      <c r="H6459" s="106" t="str">
        <f t="shared" si="1"/>
        <v/>
      </c>
      <c r="J6459" t="str">
        <f>IFERROR(__xludf.DUMMYFUNCTION("IFS(
  AND(REGEXMATCH(E6459, ""台銀籌備帳戶|玉山帳戶""), REGEXMATCH(C6459, ""薪資"")), ""分潤支出"",
  AND(REGEXMATCH(E6459, ""Ben帳戶|Elsa帳戶|Ben代墊|Ariel代墊|中信銀行共用""), REGEXMATCH(F6459, ""Ben帳戶|Elsa帳戶|Ben代墊|Ariel代墊|中信銀行共用"")), ""內部轉帳(忽略)"",
  AND(E6459&lt;&gt;"""", F6459&lt;&gt;"""", N"&amp;"OT(REGEXMATCH(C6459, ""薪資""))), ""內部轉帳(忽略)"",
  REGEXMATCH(C6459, ""薪資""), ""薪資變動(不計入)"",
  REGEXMATCH(C6459, ""押金""), ""押金往來"",
  AND(E6459&lt;&gt;"""", F6459=""""), ""真實支出"",
  AND(E6459="""", F6459&lt;&gt;""""), ""真實收入"",
  TRUE, ""其他""
)"),"其他")</f>
        <v>其他</v>
      </c>
      <c r="K6459" s="270" t="str">
        <f t="shared" si="2"/>
        <v/>
      </c>
      <c r="L6459">
        <f t="shared" si="3"/>
        <v>0</v>
      </c>
    </row>
    <row r="6460">
      <c r="A6460" s="107"/>
      <c r="D6460" s="270"/>
      <c r="H6460" s="106" t="str">
        <f t="shared" si="1"/>
        <v/>
      </c>
      <c r="J6460" t="str">
        <f>IFERROR(__xludf.DUMMYFUNCTION("IFS(
  AND(REGEXMATCH(E6460, ""台銀籌備帳戶|玉山帳戶""), REGEXMATCH(C6460, ""薪資"")), ""分潤支出"",
  AND(REGEXMATCH(E6460, ""Ben帳戶|Elsa帳戶|Ben代墊|Ariel代墊|中信銀行共用""), REGEXMATCH(F6460, ""Ben帳戶|Elsa帳戶|Ben代墊|Ariel代墊|中信銀行共用"")), ""內部轉帳(忽略)"",
  AND(E6460&lt;&gt;"""", F6460&lt;&gt;"""", N"&amp;"OT(REGEXMATCH(C6460, ""薪資""))), ""內部轉帳(忽略)"",
  REGEXMATCH(C6460, ""薪資""), ""薪資變動(不計入)"",
  REGEXMATCH(C6460, ""押金""), ""押金往來"",
  AND(E6460&lt;&gt;"""", F6460=""""), ""真實支出"",
  AND(E6460="""", F6460&lt;&gt;""""), ""真實收入"",
  TRUE, ""其他""
)"),"其他")</f>
        <v>其他</v>
      </c>
      <c r="K6460" s="270" t="str">
        <f t="shared" si="2"/>
        <v/>
      </c>
      <c r="L6460">
        <f t="shared" si="3"/>
        <v>0</v>
      </c>
    </row>
    <row r="6461">
      <c r="A6461" s="107"/>
      <c r="D6461" s="270"/>
      <c r="H6461" s="106" t="str">
        <f t="shared" si="1"/>
        <v/>
      </c>
      <c r="J6461" t="str">
        <f>IFERROR(__xludf.DUMMYFUNCTION("IFS(
  AND(REGEXMATCH(E6461, ""台銀籌備帳戶|玉山帳戶""), REGEXMATCH(C6461, ""薪資"")), ""分潤支出"",
  AND(REGEXMATCH(E6461, ""Ben帳戶|Elsa帳戶|Ben代墊|Ariel代墊|中信銀行共用""), REGEXMATCH(F6461, ""Ben帳戶|Elsa帳戶|Ben代墊|Ariel代墊|中信銀行共用"")), ""內部轉帳(忽略)"",
  AND(E6461&lt;&gt;"""", F6461&lt;&gt;"""", N"&amp;"OT(REGEXMATCH(C6461, ""薪資""))), ""內部轉帳(忽略)"",
  REGEXMATCH(C6461, ""薪資""), ""薪資變動(不計入)"",
  REGEXMATCH(C6461, ""押金""), ""押金往來"",
  AND(E6461&lt;&gt;"""", F6461=""""), ""真實支出"",
  AND(E6461="""", F6461&lt;&gt;""""), ""真實收入"",
  TRUE, ""其他""
)"),"其他")</f>
        <v>其他</v>
      </c>
      <c r="K6461" s="270" t="str">
        <f t="shared" si="2"/>
        <v/>
      </c>
      <c r="L6461">
        <f t="shared" si="3"/>
        <v>0</v>
      </c>
    </row>
    <row r="6462">
      <c r="A6462" s="107"/>
      <c r="D6462" s="270"/>
      <c r="H6462" s="106" t="str">
        <f t="shared" si="1"/>
        <v/>
      </c>
      <c r="J6462" t="str">
        <f>IFERROR(__xludf.DUMMYFUNCTION("IFS(
  AND(REGEXMATCH(E6462, ""台銀籌備帳戶|玉山帳戶""), REGEXMATCH(C6462, ""薪資"")), ""分潤支出"",
  AND(REGEXMATCH(E6462, ""Ben帳戶|Elsa帳戶|Ben代墊|Ariel代墊|中信銀行共用""), REGEXMATCH(F6462, ""Ben帳戶|Elsa帳戶|Ben代墊|Ariel代墊|中信銀行共用"")), ""內部轉帳(忽略)"",
  AND(E6462&lt;&gt;"""", F6462&lt;&gt;"""", N"&amp;"OT(REGEXMATCH(C6462, ""薪資""))), ""內部轉帳(忽略)"",
  REGEXMATCH(C6462, ""薪資""), ""薪資變動(不計入)"",
  REGEXMATCH(C6462, ""押金""), ""押金往來"",
  AND(E6462&lt;&gt;"""", F6462=""""), ""真實支出"",
  AND(E6462="""", F6462&lt;&gt;""""), ""真實收入"",
  TRUE, ""其他""
)"),"其他")</f>
        <v>其他</v>
      </c>
      <c r="K6462" s="270" t="str">
        <f t="shared" si="2"/>
        <v/>
      </c>
      <c r="L6462">
        <f t="shared" si="3"/>
        <v>0</v>
      </c>
    </row>
    <row r="6463">
      <c r="A6463" s="107"/>
      <c r="D6463" s="270"/>
      <c r="H6463" s="106" t="str">
        <f t="shared" si="1"/>
        <v/>
      </c>
      <c r="J6463" t="str">
        <f>IFERROR(__xludf.DUMMYFUNCTION("IFS(
  AND(REGEXMATCH(E6463, ""台銀籌備帳戶|玉山帳戶""), REGEXMATCH(C6463, ""薪資"")), ""分潤支出"",
  AND(REGEXMATCH(E6463, ""Ben帳戶|Elsa帳戶|Ben代墊|Ariel代墊|中信銀行共用""), REGEXMATCH(F6463, ""Ben帳戶|Elsa帳戶|Ben代墊|Ariel代墊|中信銀行共用"")), ""內部轉帳(忽略)"",
  AND(E6463&lt;&gt;"""", F6463&lt;&gt;"""", N"&amp;"OT(REGEXMATCH(C6463, ""薪資""))), ""內部轉帳(忽略)"",
  REGEXMATCH(C6463, ""薪資""), ""薪資變動(不計入)"",
  REGEXMATCH(C6463, ""押金""), ""押金往來"",
  AND(E6463&lt;&gt;"""", F6463=""""), ""真實支出"",
  AND(E6463="""", F6463&lt;&gt;""""), ""真實收入"",
  TRUE, ""其他""
)"),"其他")</f>
        <v>其他</v>
      </c>
      <c r="K6463" s="270" t="str">
        <f t="shared" si="2"/>
        <v/>
      </c>
      <c r="L6463">
        <f t="shared" si="3"/>
        <v>0</v>
      </c>
    </row>
    <row r="6464">
      <c r="A6464" s="107"/>
      <c r="D6464" s="270"/>
      <c r="H6464" s="106" t="str">
        <f t="shared" si="1"/>
        <v/>
      </c>
      <c r="J6464" t="str">
        <f>IFERROR(__xludf.DUMMYFUNCTION("IFS(
  AND(REGEXMATCH(E6464, ""台銀籌備帳戶|玉山帳戶""), REGEXMATCH(C6464, ""薪資"")), ""分潤支出"",
  AND(REGEXMATCH(E6464, ""Ben帳戶|Elsa帳戶|Ben代墊|Ariel代墊|中信銀行共用""), REGEXMATCH(F6464, ""Ben帳戶|Elsa帳戶|Ben代墊|Ariel代墊|中信銀行共用"")), ""內部轉帳(忽略)"",
  AND(E6464&lt;&gt;"""", F6464&lt;&gt;"""", N"&amp;"OT(REGEXMATCH(C6464, ""薪資""))), ""內部轉帳(忽略)"",
  REGEXMATCH(C6464, ""薪資""), ""薪資變動(不計入)"",
  REGEXMATCH(C6464, ""押金""), ""押金往來"",
  AND(E6464&lt;&gt;"""", F6464=""""), ""真實支出"",
  AND(E6464="""", F6464&lt;&gt;""""), ""真實收入"",
  TRUE, ""其他""
)"),"其他")</f>
        <v>其他</v>
      </c>
      <c r="K6464" s="270" t="str">
        <f t="shared" si="2"/>
        <v/>
      </c>
      <c r="L6464">
        <f t="shared" si="3"/>
        <v>0</v>
      </c>
    </row>
    <row r="6465">
      <c r="A6465" s="107"/>
      <c r="D6465" s="270"/>
      <c r="H6465" s="106" t="str">
        <f t="shared" si="1"/>
        <v/>
      </c>
      <c r="J6465" t="str">
        <f>IFERROR(__xludf.DUMMYFUNCTION("IFS(
  AND(REGEXMATCH(E6465, ""台銀籌備帳戶|玉山帳戶""), REGEXMATCH(C6465, ""薪資"")), ""分潤支出"",
  AND(REGEXMATCH(E6465, ""Ben帳戶|Elsa帳戶|Ben代墊|Ariel代墊|中信銀行共用""), REGEXMATCH(F6465, ""Ben帳戶|Elsa帳戶|Ben代墊|Ariel代墊|中信銀行共用"")), ""內部轉帳(忽略)"",
  AND(E6465&lt;&gt;"""", F6465&lt;&gt;"""", N"&amp;"OT(REGEXMATCH(C6465, ""薪資""))), ""內部轉帳(忽略)"",
  REGEXMATCH(C6465, ""薪資""), ""薪資變動(不計入)"",
  REGEXMATCH(C6465, ""押金""), ""押金往來"",
  AND(E6465&lt;&gt;"""", F6465=""""), ""真實支出"",
  AND(E6465="""", F6465&lt;&gt;""""), ""真實收入"",
  TRUE, ""其他""
)"),"其他")</f>
        <v>其他</v>
      </c>
      <c r="K6465" s="270" t="str">
        <f t="shared" si="2"/>
        <v/>
      </c>
      <c r="L6465">
        <f t="shared" si="3"/>
        <v>0</v>
      </c>
    </row>
    <row r="6466">
      <c r="A6466" s="107"/>
      <c r="D6466" s="270"/>
      <c r="H6466" s="106" t="str">
        <f t="shared" si="1"/>
        <v/>
      </c>
      <c r="J6466" t="str">
        <f>IFERROR(__xludf.DUMMYFUNCTION("IFS(
  AND(REGEXMATCH(E6466, ""台銀籌備帳戶|玉山帳戶""), REGEXMATCH(C6466, ""薪資"")), ""分潤支出"",
  AND(REGEXMATCH(E6466, ""Ben帳戶|Elsa帳戶|Ben代墊|Ariel代墊|中信銀行共用""), REGEXMATCH(F6466, ""Ben帳戶|Elsa帳戶|Ben代墊|Ariel代墊|中信銀行共用"")), ""內部轉帳(忽略)"",
  AND(E6466&lt;&gt;"""", F6466&lt;&gt;"""", N"&amp;"OT(REGEXMATCH(C6466, ""薪資""))), ""內部轉帳(忽略)"",
  REGEXMATCH(C6466, ""薪資""), ""薪資變動(不計入)"",
  REGEXMATCH(C6466, ""押金""), ""押金往來"",
  AND(E6466&lt;&gt;"""", F6466=""""), ""真實支出"",
  AND(E6466="""", F6466&lt;&gt;""""), ""真實收入"",
  TRUE, ""其他""
)"),"其他")</f>
        <v>其他</v>
      </c>
      <c r="K6466" s="270" t="str">
        <f t="shared" si="2"/>
        <v/>
      </c>
      <c r="L6466">
        <f t="shared" si="3"/>
        <v>0</v>
      </c>
    </row>
    <row r="6467">
      <c r="A6467" s="107"/>
      <c r="D6467" s="270"/>
      <c r="H6467" s="106" t="str">
        <f t="shared" si="1"/>
        <v/>
      </c>
      <c r="J6467" t="str">
        <f>IFERROR(__xludf.DUMMYFUNCTION("IFS(
  AND(REGEXMATCH(E6467, ""台銀籌備帳戶|玉山帳戶""), REGEXMATCH(C6467, ""薪資"")), ""分潤支出"",
  AND(REGEXMATCH(E6467, ""Ben帳戶|Elsa帳戶|Ben代墊|Ariel代墊|中信銀行共用""), REGEXMATCH(F6467, ""Ben帳戶|Elsa帳戶|Ben代墊|Ariel代墊|中信銀行共用"")), ""內部轉帳(忽略)"",
  AND(E6467&lt;&gt;"""", F6467&lt;&gt;"""", N"&amp;"OT(REGEXMATCH(C6467, ""薪資""))), ""內部轉帳(忽略)"",
  REGEXMATCH(C6467, ""薪資""), ""薪資變動(不計入)"",
  REGEXMATCH(C6467, ""押金""), ""押金往來"",
  AND(E6467&lt;&gt;"""", F6467=""""), ""真實支出"",
  AND(E6467="""", F6467&lt;&gt;""""), ""真實收入"",
  TRUE, ""其他""
)"),"其他")</f>
        <v>其他</v>
      </c>
      <c r="K6467" s="270" t="str">
        <f t="shared" si="2"/>
        <v/>
      </c>
      <c r="L6467">
        <f t="shared" si="3"/>
        <v>0</v>
      </c>
    </row>
    <row r="6468">
      <c r="A6468" s="107"/>
      <c r="D6468" s="270"/>
      <c r="H6468" s="106" t="str">
        <f t="shared" si="1"/>
        <v/>
      </c>
      <c r="J6468" t="str">
        <f>IFERROR(__xludf.DUMMYFUNCTION("IFS(
  AND(REGEXMATCH(E6468, ""台銀籌備帳戶|玉山帳戶""), REGEXMATCH(C6468, ""薪資"")), ""分潤支出"",
  AND(REGEXMATCH(E6468, ""Ben帳戶|Elsa帳戶|Ben代墊|Ariel代墊|中信銀行共用""), REGEXMATCH(F6468, ""Ben帳戶|Elsa帳戶|Ben代墊|Ariel代墊|中信銀行共用"")), ""內部轉帳(忽略)"",
  AND(E6468&lt;&gt;"""", F6468&lt;&gt;"""", N"&amp;"OT(REGEXMATCH(C6468, ""薪資""))), ""內部轉帳(忽略)"",
  REGEXMATCH(C6468, ""薪資""), ""薪資變動(不計入)"",
  REGEXMATCH(C6468, ""押金""), ""押金往來"",
  AND(E6468&lt;&gt;"""", F6468=""""), ""真實支出"",
  AND(E6468="""", F6468&lt;&gt;""""), ""真實收入"",
  TRUE, ""其他""
)"),"其他")</f>
        <v>其他</v>
      </c>
      <c r="K6468" s="270" t="str">
        <f t="shared" si="2"/>
        <v/>
      </c>
      <c r="L6468">
        <f t="shared" si="3"/>
        <v>0</v>
      </c>
    </row>
    <row r="6469">
      <c r="A6469" s="107"/>
      <c r="D6469" s="270"/>
      <c r="H6469" s="106" t="str">
        <f t="shared" si="1"/>
        <v/>
      </c>
      <c r="J6469" t="str">
        <f>IFERROR(__xludf.DUMMYFUNCTION("IFS(
  AND(REGEXMATCH(E6469, ""台銀籌備帳戶|玉山帳戶""), REGEXMATCH(C6469, ""薪資"")), ""分潤支出"",
  AND(REGEXMATCH(E6469, ""Ben帳戶|Elsa帳戶|Ben代墊|Ariel代墊|中信銀行共用""), REGEXMATCH(F6469, ""Ben帳戶|Elsa帳戶|Ben代墊|Ariel代墊|中信銀行共用"")), ""內部轉帳(忽略)"",
  AND(E6469&lt;&gt;"""", F6469&lt;&gt;"""", N"&amp;"OT(REGEXMATCH(C6469, ""薪資""))), ""內部轉帳(忽略)"",
  REGEXMATCH(C6469, ""薪資""), ""薪資變動(不計入)"",
  REGEXMATCH(C6469, ""押金""), ""押金往來"",
  AND(E6469&lt;&gt;"""", F6469=""""), ""真實支出"",
  AND(E6469="""", F6469&lt;&gt;""""), ""真實收入"",
  TRUE, ""其他""
)"),"其他")</f>
        <v>其他</v>
      </c>
      <c r="K6469" s="270" t="str">
        <f t="shared" si="2"/>
        <v/>
      </c>
      <c r="L6469">
        <f t="shared" si="3"/>
        <v>0</v>
      </c>
    </row>
    <row r="6470">
      <c r="A6470" s="107"/>
      <c r="D6470" s="270"/>
      <c r="H6470" s="106" t="str">
        <f t="shared" si="1"/>
        <v/>
      </c>
      <c r="J6470" t="str">
        <f>IFERROR(__xludf.DUMMYFUNCTION("IFS(
  AND(REGEXMATCH(E6470, ""台銀籌備帳戶|玉山帳戶""), REGEXMATCH(C6470, ""薪資"")), ""分潤支出"",
  AND(REGEXMATCH(E6470, ""Ben帳戶|Elsa帳戶|Ben代墊|Ariel代墊|中信銀行共用""), REGEXMATCH(F6470, ""Ben帳戶|Elsa帳戶|Ben代墊|Ariel代墊|中信銀行共用"")), ""內部轉帳(忽略)"",
  AND(E6470&lt;&gt;"""", F6470&lt;&gt;"""", N"&amp;"OT(REGEXMATCH(C6470, ""薪資""))), ""內部轉帳(忽略)"",
  REGEXMATCH(C6470, ""薪資""), ""薪資變動(不計入)"",
  REGEXMATCH(C6470, ""押金""), ""押金往來"",
  AND(E6470&lt;&gt;"""", F6470=""""), ""真實支出"",
  AND(E6470="""", F6470&lt;&gt;""""), ""真實收入"",
  TRUE, ""其他""
)"),"其他")</f>
        <v>其他</v>
      </c>
      <c r="K6470" s="270" t="str">
        <f t="shared" si="2"/>
        <v/>
      </c>
      <c r="L6470">
        <f t="shared" si="3"/>
        <v>0</v>
      </c>
    </row>
    <row r="6471">
      <c r="A6471" s="107"/>
      <c r="D6471" s="270"/>
      <c r="H6471" s="106" t="str">
        <f t="shared" si="1"/>
        <v/>
      </c>
      <c r="J6471" t="str">
        <f>IFERROR(__xludf.DUMMYFUNCTION("IFS(
  AND(REGEXMATCH(E6471, ""台銀籌備帳戶|玉山帳戶""), REGEXMATCH(C6471, ""薪資"")), ""分潤支出"",
  AND(REGEXMATCH(E6471, ""Ben帳戶|Elsa帳戶|Ben代墊|Ariel代墊|中信銀行共用""), REGEXMATCH(F6471, ""Ben帳戶|Elsa帳戶|Ben代墊|Ariel代墊|中信銀行共用"")), ""內部轉帳(忽略)"",
  AND(E6471&lt;&gt;"""", F6471&lt;&gt;"""", N"&amp;"OT(REGEXMATCH(C6471, ""薪資""))), ""內部轉帳(忽略)"",
  REGEXMATCH(C6471, ""薪資""), ""薪資變動(不計入)"",
  REGEXMATCH(C6471, ""押金""), ""押金往來"",
  AND(E6471&lt;&gt;"""", F6471=""""), ""真實支出"",
  AND(E6471="""", F6471&lt;&gt;""""), ""真實收入"",
  TRUE, ""其他""
)"),"其他")</f>
        <v>其他</v>
      </c>
      <c r="K6471" s="270" t="str">
        <f t="shared" si="2"/>
        <v/>
      </c>
      <c r="L6471">
        <f t="shared" si="3"/>
        <v>0</v>
      </c>
    </row>
    <row r="6472">
      <c r="A6472" s="107"/>
      <c r="D6472" s="270"/>
      <c r="H6472" s="106" t="str">
        <f t="shared" si="1"/>
        <v/>
      </c>
      <c r="J6472" t="str">
        <f>IFERROR(__xludf.DUMMYFUNCTION("IFS(
  AND(REGEXMATCH(E6472, ""台銀籌備帳戶|玉山帳戶""), REGEXMATCH(C6472, ""薪資"")), ""分潤支出"",
  AND(REGEXMATCH(E6472, ""Ben帳戶|Elsa帳戶|Ben代墊|Ariel代墊|中信銀行共用""), REGEXMATCH(F6472, ""Ben帳戶|Elsa帳戶|Ben代墊|Ariel代墊|中信銀行共用"")), ""內部轉帳(忽略)"",
  AND(E6472&lt;&gt;"""", F6472&lt;&gt;"""", N"&amp;"OT(REGEXMATCH(C6472, ""薪資""))), ""內部轉帳(忽略)"",
  REGEXMATCH(C6472, ""薪資""), ""薪資變動(不計入)"",
  REGEXMATCH(C6472, ""押金""), ""押金往來"",
  AND(E6472&lt;&gt;"""", F6472=""""), ""真實支出"",
  AND(E6472="""", F6472&lt;&gt;""""), ""真實收入"",
  TRUE, ""其他""
)"),"其他")</f>
        <v>其他</v>
      </c>
      <c r="K6472" s="270" t="str">
        <f t="shared" si="2"/>
        <v/>
      </c>
      <c r="L6472">
        <f t="shared" si="3"/>
        <v>0</v>
      </c>
    </row>
    <row r="6473">
      <c r="A6473" s="107"/>
      <c r="D6473" s="270"/>
      <c r="H6473" s="106" t="str">
        <f t="shared" si="1"/>
        <v/>
      </c>
      <c r="J6473" t="str">
        <f>IFERROR(__xludf.DUMMYFUNCTION("IFS(
  AND(REGEXMATCH(E6473, ""台銀籌備帳戶|玉山帳戶""), REGEXMATCH(C6473, ""薪資"")), ""分潤支出"",
  AND(REGEXMATCH(E6473, ""Ben帳戶|Elsa帳戶|Ben代墊|Ariel代墊|中信銀行共用""), REGEXMATCH(F6473, ""Ben帳戶|Elsa帳戶|Ben代墊|Ariel代墊|中信銀行共用"")), ""內部轉帳(忽略)"",
  AND(E6473&lt;&gt;"""", F6473&lt;&gt;"""", N"&amp;"OT(REGEXMATCH(C6473, ""薪資""))), ""內部轉帳(忽略)"",
  REGEXMATCH(C6473, ""薪資""), ""薪資變動(不計入)"",
  REGEXMATCH(C6473, ""押金""), ""押金往來"",
  AND(E6473&lt;&gt;"""", F6473=""""), ""真實支出"",
  AND(E6473="""", F6473&lt;&gt;""""), ""真實收入"",
  TRUE, ""其他""
)"),"其他")</f>
        <v>其他</v>
      </c>
      <c r="K6473" s="270" t="str">
        <f t="shared" si="2"/>
        <v/>
      </c>
      <c r="L6473">
        <f t="shared" si="3"/>
        <v>0</v>
      </c>
    </row>
    <row r="6474">
      <c r="A6474" s="107"/>
      <c r="D6474" s="270"/>
      <c r="H6474" s="106" t="str">
        <f t="shared" si="1"/>
        <v/>
      </c>
      <c r="J6474" t="str">
        <f>IFERROR(__xludf.DUMMYFUNCTION("IFS(
  AND(REGEXMATCH(E6474, ""台銀籌備帳戶|玉山帳戶""), REGEXMATCH(C6474, ""薪資"")), ""分潤支出"",
  AND(REGEXMATCH(E6474, ""Ben帳戶|Elsa帳戶|Ben代墊|Ariel代墊|中信銀行共用""), REGEXMATCH(F6474, ""Ben帳戶|Elsa帳戶|Ben代墊|Ariel代墊|中信銀行共用"")), ""內部轉帳(忽略)"",
  AND(E6474&lt;&gt;"""", F6474&lt;&gt;"""", N"&amp;"OT(REGEXMATCH(C6474, ""薪資""))), ""內部轉帳(忽略)"",
  REGEXMATCH(C6474, ""薪資""), ""薪資變動(不計入)"",
  REGEXMATCH(C6474, ""押金""), ""押金往來"",
  AND(E6474&lt;&gt;"""", F6474=""""), ""真實支出"",
  AND(E6474="""", F6474&lt;&gt;""""), ""真實收入"",
  TRUE, ""其他""
)"),"其他")</f>
        <v>其他</v>
      </c>
      <c r="K6474" s="270" t="str">
        <f t="shared" si="2"/>
        <v/>
      </c>
      <c r="L6474">
        <f t="shared" si="3"/>
        <v>0</v>
      </c>
    </row>
    <row r="6475">
      <c r="A6475" s="107"/>
      <c r="D6475" s="270"/>
      <c r="H6475" s="106" t="str">
        <f t="shared" si="1"/>
        <v/>
      </c>
      <c r="J6475" t="str">
        <f>IFERROR(__xludf.DUMMYFUNCTION("IFS(
  AND(REGEXMATCH(E6475, ""台銀籌備帳戶|玉山帳戶""), REGEXMATCH(C6475, ""薪資"")), ""分潤支出"",
  AND(REGEXMATCH(E6475, ""Ben帳戶|Elsa帳戶|Ben代墊|Ariel代墊|中信銀行共用""), REGEXMATCH(F6475, ""Ben帳戶|Elsa帳戶|Ben代墊|Ariel代墊|中信銀行共用"")), ""內部轉帳(忽略)"",
  AND(E6475&lt;&gt;"""", F6475&lt;&gt;"""", N"&amp;"OT(REGEXMATCH(C6475, ""薪資""))), ""內部轉帳(忽略)"",
  REGEXMATCH(C6475, ""薪資""), ""薪資變動(不計入)"",
  REGEXMATCH(C6475, ""押金""), ""押金往來"",
  AND(E6475&lt;&gt;"""", F6475=""""), ""真實支出"",
  AND(E6475="""", F6475&lt;&gt;""""), ""真實收入"",
  TRUE, ""其他""
)"),"其他")</f>
        <v>其他</v>
      </c>
      <c r="K6475" s="270" t="str">
        <f t="shared" si="2"/>
        <v/>
      </c>
      <c r="L6475">
        <f t="shared" si="3"/>
        <v>0</v>
      </c>
    </row>
    <row r="6476">
      <c r="A6476" s="107"/>
      <c r="D6476" s="270"/>
      <c r="H6476" s="106" t="str">
        <f t="shared" si="1"/>
        <v/>
      </c>
      <c r="J6476" t="str">
        <f>IFERROR(__xludf.DUMMYFUNCTION("IFS(
  AND(REGEXMATCH(E6476, ""台銀籌備帳戶|玉山帳戶""), REGEXMATCH(C6476, ""薪資"")), ""分潤支出"",
  AND(REGEXMATCH(E6476, ""Ben帳戶|Elsa帳戶|Ben代墊|Ariel代墊|中信銀行共用""), REGEXMATCH(F6476, ""Ben帳戶|Elsa帳戶|Ben代墊|Ariel代墊|中信銀行共用"")), ""內部轉帳(忽略)"",
  AND(E6476&lt;&gt;"""", F6476&lt;&gt;"""", N"&amp;"OT(REGEXMATCH(C6476, ""薪資""))), ""內部轉帳(忽略)"",
  REGEXMATCH(C6476, ""薪資""), ""薪資變動(不計入)"",
  REGEXMATCH(C6476, ""押金""), ""押金往來"",
  AND(E6476&lt;&gt;"""", F6476=""""), ""真實支出"",
  AND(E6476="""", F6476&lt;&gt;""""), ""真實收入"",
  TRUE, ""其他""
)"),"其他")</f>
        <v>其他</v>
      </c>
      <c r="K6476" s="270" t="str">
        <f t="shared" si="2"/>
        <v/>
      </c>
      <c r="L6476">
        <f t="shared" si="3"/>
        <v>0</v>
      </c>
    </row>
    <row r="6477">
      <c r="A6477" s="107"/>
      <c r="D6477" s="270"/>
      <c r="H6477" s="106" t="str">
        <f t="shared" si="1"/>
        <v/>
      </c>
      <c r="J6477" t="str">
        <f>IFERROR(__xludf.DUMMYFUNCTION("IFS(
  AND(REGEXMATCH(E6477, ""台銀籌備帳戶|玉山帳戶""), REGEXMATCH(C6477, ""薪資"")), ""分潤支出"",
  AND(REGEXMATCH(E6477, ""Ben帳戶|Elsa帳戶|Ben代墊|Ariel代墊|中信銀行共用""), REGEXMATCH(F6477, ""Ben帳戶|Elsa帳戶|Ben代墊|Ariel代墊|中信銀行共用"")), ""內部轉帳(忽略)"",
  AND(E6477&lt;&gt;"""", F6477&lt;&gt;"""", N"&amp;"OT(REGEXMATCH(C6477, ""薪資""))), ""內部轉帳(忽略)"",
  REGEXMATCH(C6477, ""薪資""), ""薪資變動(不計入)"",
  REGEXMATCH(C6477, ""押金""), ""押金往來"",
  AND(E6477&lt;&gt;"""", F6477=""""), ""真實支出"",
  AND(E6477="""", F6477&lt;&gt;""""), ""真實收入"",
  TRUE, ""其他""
)"),"其他")</f>
        <v>其他</v>
      </c>
      <c r="K6477" s="270" t="str">
        <f t="shared" si="2"/>
        <v/>
      </c>
      <c r="L6477">
        <f t="shared" si="3"/>
        <v>0</v>
      </c>
    </row>
    <row r="6478">
      <c r="A6478" s="107"/>
      <c r="D6478" s="270"/>
      <c r="H6478" s="106" t="str">
        <f t="shared" si="1"/>
        <v/>
      </c>
      <c r="J6478" t="str">
        <f>IFERROR(__xludf.DUMMYFUNCTION("IFS(
  AND(REGEXMATCH(E6478, ""台銀籌備帳戶|玉山帳戶""), REGEXMATCH(C6478, ""薪資"")), ""分潤支出"",
  AND(REGEXMATCH(E6478, ""Ben帳戶|Elsa帳戶|Ben代墊|Ariel代墊|中信銀行共用""), REGEXMATCH(F6478, ""Ben帳戶|Elsa帳戶|Ben代墊|Ariel代墊|中信銀行共用"")), ""內部轉帳(忽略)"",
  AND(E6478&lt;&gt;"""", F6478&lt;&gt;"""", N"&amp;"OT(REGEXMATCH(C6478, ""薪資""))), ""內部轉帳(忽略)"",
  REGEXMATCH(C6478, ""薪資""), ""薪資變動(不計入)"",
  REGEXMATCH(C6478, ""押金""), ""押金往來"",
  AND(E6478&lt;&gt;"""", F6478=""""), ""真實支出"",
  AND(E6478="""", F6478&lt;&gt;""""), ""真實收入"",
  TRUE, ""其他""
)"),"其他")</f>
        <v>其他</v>
      </c>
      <c r="K6478" s="270" t="str">
        <f t="shared" si="2"/>
        <v/>
      </c>
      <c r="L6478">
        <f t="shared" si="3"/>
        <v>0</v>
      </c>
    </row>
    <row r="6479">
      <c r="A6479" s="107"/>
      <c r="D6479" s="270"/>
      <c r="H6479" s="106" t="str">
        <f t="shared" si="1"/>
        <v/>
      </c>
      <c r="J6479" t="str">
        <f>IFERROR(__xludf.DUMMYFUNCTION("IFS(
  AND(REGEXMATCH(E6479, ""台銀籌備帳戶|玉山帳戶""), REGEXMATCH(C6479, ""薪資"")), ""分潤支出"",
  AND(REGEXMATCH(E6479, ""Ben帳戶|Elsa帳戶|Ben代墊|Ariel代墊|中信銀行共用""), REGEXMATCH(F6479, ""Ben帳戶|Elsa帳戶|Ben代墊|Ariel代墊|中信銀行共用"")), ""內部轉帳(忽略)"",
  AND(E6479&lt;&gt;"""", F6479&lt;&gt;"""", N"&amp;"OT(REGEXMATCH(C6479, ""薪資""))), ""內部轉帳(忽略)"",
  REGEXMATCH(C6479, ""薪資""), ""薪資變動(不計入)"",
  REGEXMATCH(C6479, ""押金""), ""押金往來"",
  AND(E6479&lt;&gt;"""", F6479=""""), ""真實支出"",
  AND(E6479="""", F6479&lt;&gt;""""), ""真實收入"",
  TRUE, ""其他""
)"),"其他")</f>
        <v>其他</v>
      </c>
      <c r="K6479" s="270" t="str">
        <f t="shared" si="2"/>
        <v/>
      </c>
      <c r="L6479">
        <f t="shared" si="3"/>
        <v>0</v>
      </c>
    </row>
    <row r="6480">
      <c r="A6480" s="107"/>
      <c r="D6480" s="270"/>
      <c r="H6480" s="106" t="str">
        <f t="shared" si="1"/>
        <v/>
      </c>
      <c r="J6480" t="str">
        <f>IFERROR(__xludf.DUMMYFUNCTION("IFS(
  AND(REGEXMATCH(E6480, ""台銀籌備帳戶|玉山帳戶""), REGEXMATCH(C6480, ""薪資"")), ""分潤支出"",
  AND(REGEXMATCH(E6480, ""Ben帳戶|Elsa帳戶|Ben代墊|Ariel代墊|中信銀行共用""), REGEXMATCH(F6480, ""Ben帳戶|Elsa帳戶|Ben代墊|Ariel代墊|中信銀行共用"")), ""內部轉帳(忽略)"",
  AND(E6480&lt;&gt;"""", F6480&lt;&gt;"""", N"&amp;"OT(REGEXMATCH(C6480, ""薪資""))), ""內部轉帳(忽略)"",
  REGEXMATCH(C6480, ""薪資""), ""薪資變動(不計入)"",
  REGEXMATCH(C6480, ""押金""), ""押金往來"",
  AND(E6480&lt;&gt;"""", F6480=""""), ""真實支出"",
  AND(E6480="""", F6480&lt;&gt;""""), ""真實收入"",
  TRUE, ""其他""
)"),"其他")</f>
        <v>其他</v>
      </c>
      <c r="K6480" s="270" t="str">
        <f t="shared" si="2"/>
        <v/>
      </c>
      <c r="L6480">
        <f t="shared" si="3"/>
        <v>0</v>
      </c>
    </row>
    <row r="6481">
      <c r="A6481" s="107"/>
      <c r="D6481" s="270"/>
      <c r="H6481" s="106" t="str">
        <f t="shared" si="1"/>
        <v/>
      </c>
      <c r="J6481" t="str">
        <f>IFERROR(__xludf.DUMMYFUNCTION("IFS(
  AND(REGEXMATCH(E6481, ""台銀籌備帳戶|玉山帳戶""), REGEXMATCH(C6481, ""薪資"")), ""分潤支出"",
  AND(REGEXMATCH(E6481, ""Ben帳戶|Elsa帳戶|Ben代墊|Ariel代墊|中信銀行共用""), REGEXMATCH(F6481, ""Ben帳戶|Elsa帳戶|Ben代墊|Ariel代墊|中信銀行共用"")), ""內部轉帳(忽略)"",
  AND(E6481&lt;&gt;"""", F6481&lt;&gt;"""", N"&amp;"OT(REGEXMATCH(C6481, ""薪資""))), ""內部轉帳(忽略)"",
  REGEXMATCH(C6481, ""薪資""), ""薪資變動(不計入)"",
  REGEXMATCH(C6481, ""押金""), ""押金往來"",
  AND(E6481&lt;&gt;"""", F6481=""""), ""真實支出"",
  AND(E6481="""", F6481&lt;&gt;""""), ""真實收入"",
  TRUE, ""其他""
)"),"其他")</f>
        <v>其他</v>
      </c>
      <c r="K6481" s="270" t="str">
        <f t="shared" si="2"/>
        <v/>
      </c>
      <c r="L6481">
        <f t="shared" si="3"/>
        <v>0</v>
      </c>
    </row>
    <row r="6482">
      <c r="A6482" s="107"/>
      <c r="D6482" s="270"/>
      <c r="H6482" s="106" t="str">
        <f t="shared" si="1"/>
        <v/>
      </c>
      <c r="J6482" t="str">
        <f>IFERROR(__xludf.DUMMYFUNCTION("IFS(
  AND(REGEXMATCH(E6482, ""台銀籌備帳戶|玉山帳戶""), REGEXMATCH(C6482, ""薪資"")), ""分潤支出"",
  AND(REGEXMATCH(E6482, ""Ben帳戶|Elsa帳戶|Ben代墊|Ariel代墊|中信銀行共用""), REGEXMATCH(F6482, ""Ben帳戶|Elsa帳戶|Ben代墊|Ariel代墊|中信銀行共用"")), ""內部轉帳(忽略)"",
  AND(E6482&lt;&gt;"""", F6482&lt;&gt;"""", N"&amp;"OT(REGEXMATCH(C6482, ""薪資""))), ""內部轉帳(忽略)"",
  REGEXMATCH(C6482, ""薪資""), ""薪資變動(不計入)"",
  REGEXMATCH(C6482, ""押金""), ""押金往來"",
  AND(E6482&lt;&gt;"""", F6482=""""), ""真實支出"",
  AND(E6482="""", F6482&lt;&gt;""""), ""真實收入"",
  TRUE, ""其他""
)"),"其他")</f>
        <v>其他</v>
      </c>
      <c r="K6482" s="270" t="str">
        <f t="shared" si="2"/>
        <v/>
      </c>
      <c r="L6482">
        <f t="shared" si="3"/>
        <v>0</v>
      </c>
    </row>
    <row r="6483">
      <c r="A6483" s="107"/>
      <c r="D6483" s="270"/>
      <c r="H6483" s="106" t="str">
        <f t="shared" si="1"/>
        <v/>
      </c>
      <c r="J6483" t="str">
        <f>IFERROR(__xludf.DUMMYFUNCTION("IFS(
  AND(REGEXMATCH(E6483, ""台銀籌備帳戶|玉山帳戶""), REGEXMATCH(C6483, ""薪資"")), ""分潤支出"",
  AND(REGEXMATCH(E6483, ""Ben帳戶|Elsa帳戶|Ben代墊|Ariel代墊|中信銀行共用""), REGEXMATCH(F6483, ""Ben帳戶|Elsa帳戶|Ben代墊|Ariel代墊|中信銀行共用"")), ""內部轉帳(忽略)"",
  AND(E6483&lt;&gt;"""", F6483&lt;&gt;"""", N"&amp;"OT(REGEXMATCH(C6483, ""薪資""))), ""內部轉帳(忽略)"",
  REGEXMATCH(C6483, ""薪資""), ""薪資變動(不計入)"",
  REGEXMATCH(C6483, ""押金""), ""押金往來"",
  AND(E6483&lt;&gt;"""", F6483=""""), ""真實支出"",
  AND(E6483="""", F6483&lt;&gt;""""), ""真實收入"",
  TRUE, ""其他""
)"),"其他")</f>
        <v>其他</v>
      </c>
      <c r="K6483" s="270" t="str">
        <f t="shared" si="2"/>
        <v/>
      </c>
      <c r="L6483">
        <f t="shared" si="3"/>
        <v>0</v>
      </c>
    </row>
    <row r="6484">
      <c r="A6484" s="107"/>
      <c r="D6484" s="270"/>
      <c r="H6484" s="106" t="str">
        <f t="shared" si="1"/>
        <v/>
      </c>
      <c r="J6484" t="str">
        <f>IFERROR(__xludf.DUMMYFUNCTION("IFS(
  AND(REGEXMATCH(E6484, ""台銀籌備帳戶|玉山帳戶""), REGEXMATCH(C6484, ""薪資"")), ""分潤支出"",
  AND(REGEXMATCH(E6484, ""Ben帳戶|Elsa帳戶|Ben代墊|Ariel代墊|中信銀行共用""), REGEXMATCH(F6484, ""Ben帳戶|Elsa帳戶|Ben代墊|Ariel代墊|中信銀行共用"")), ""內部轉帳(忽略)"",
  AND(E6484&lt;&gt;"""", F6484&lt;&gt;"""", N"&amp;"OT(REGEXMATCH(C6484, ""薪資""))), ""內部轉帳(忽略)"",
  REGEXMATCH(C6484, ""薪資""), ""薪資變動(不計入)"",
  REGEXMATCH(C6484, ""押金""), ""押金往來"",
  AND(E6484&lt;&gt;"""", F6484=""""), ""真實支出"",
  AND(E6484="""", F6484&lt;&gt;""""), ""真實收入"",
  TRUE, ""其他""
)"),"其他")</f>
        <v>其他</v>
      </c>
      <c r="K6484" s="270" t="str">
        <f t="shared" si="2"/>
        <v/>
      </c>
      <c r="L6484">
        <f t="shared" si="3"/>
        <v>0</v>
      </c>
    </row>
    <row r="6485">
      <c r="A6485" s="107"/>
      <c r="D6485" s="270"/>
      <c r="H6485" s="106" t="str">
        <f t="shared" si="1"/>
        <v/>
      </c>
      <c r="J6485" t="str">
        <f>IFERROR(__xludf.DUMMYFUNCTION("IFS(
  AND(REGEXMATCH(E6485, ""台銀籌備帳戶|玉山帳戶""), REGEXMATCH(C6485, ""薪資"")), ""分潤支出"",
  AND(REGEXMATCH(E6485, ""Ben帳戶|Elsa帳戶|Ben代墊|Ariel代墊|中信銀行共用""), REGEXMATCH(F6485, ""Ben帳戶|Elsa帳戶|Ben代墊|Ariel代墊|中信銀行共用"")), ""內部轉帳(忽略)"",
  AND(E6485&lt;&gt;"""", F6485&lt;&gt;"""", N"&amp;"OT(REGEXMATCH(C6485, ""薪資""))), ""內部轉帳(忽略)"",
  REGEXMATCH(C6485, ""薪資""), ""薪資變動(不計入)"",
  REGEXMATCH(C6485, ""押金""), ""押金往來"",
  AND(E6485&lt;&gt;"""", F6485=""""), ""真實支出"",
  AND(E6485="""", F6485&lt;&gt;""""), ""真實收入"",
  TRUE, ""其他""
)"),"其他")</f>
        <v>其他</v>
      </c>
      <c r="K6485" s="270" t="str">
        <f t="shared" si="2"/>
        <v/>
      </c>
      <c r="L6485">
        <f t="shared" si="3"/>
        <v>0</v>
      </c>
    </row>
    <row r="6486">
      <c r="A6486" s="107"/>
      <c r="D6486" s="270"/>
      <c r="H6486" s="106" t="str">
        <f t="shared" si="1"/>
        <v/>
      </c>
      <c r="J6486" t="str">
        <f>IFERROR(__xludf.DUMMYFUNCTION("IFS(
  AND(REGEXMATCH(E6486, ""台銀籌備帳戶|玉山帳戶""), REGEXMATCH(C6486, ""薪資"")), ""分潤支出"",
  AND(REGEXMATCH(E6486, ""Ben帳戶|Elsa帳戶|Ben代墊|Ariel代墊|中信銀行共用""), REGEXMATCH(F6486, ""Ben帳戶|Elsa帳戶|Ben代墊|Ariel代墊|中信銀行共用"")), ""內部轉帳(忽略)"",
  AND(E6486&lt;&gt;"""", F6486&lt;&gt;"""", N"&amp;"OT(REGEXMATCH(C6486, ""薪資""))), ""內部轉帳(忽略)"",
  REGEXMATCH(C6486, ""薪資""), ""薪資變動(不計入)"",
  REGEXMATCH(C6486, ""押金""), ""押金往來"",
  AND(E6486&lt;&gt;"""", F6486=""""), ""真實支出"",
  AND(E6486="""", F6486&lt;&gt;""""), ""真實收入"",
  TRUE, ""其他""
)"),"其他")</f>
        <v>其他</v>
      </c>
      <c r="K6486" s="270" t="str">
        <f t="shared" si="2"/>
        <v/>
      </c>
      <c r="L6486">
        <f t="shared" si="3"/>
        <v>0</v>
      </c>
    </row>
    <row r="6487">
      <c r="A6487" s="107"/>
      <c r="D6487" s="270"/>
      <c r="H6487" s="106" t="str">
        <f t="shared" si="1"/>
        <v/>
      </c>
      <c r="J6487" t="str">
        <f>IFERROR(__xludf.DUMMYFUNCTION("IFS(
  AND(REGEXMATCH(E6487, ""台銀籌備帳戶|玉山帳戶""), REGEXMATCH(C6487, ""薪資"")), ""分潤支出"",
  AND(REGEXMATCH(E6487, ""Ben帳戶|Elsa帳戶|Ben代墊|Ariel代墊|中信銀行共用""), REGEXMATCH(F6487, ""Ben帳戶|Elsa帳戶|Ben代墊|Ariel代墊|中信銀行共用"")), ""內部轉帳(忽略)"",
  AND(E6487&lt;&gt;"""", F6487&lt;&gt;"""", N"&amp;"OT(REGEXMATCH(C6487, ""薪資""))), ""內部轉帳(忽略)"",
  REGEXMATCH(C6487, ""薪資""), ""薪資變動(不計入)"",
  REGEXMATCH(C6487, ""押金""), ""押金往來"",
  AND(E6487&lt;&gt;"""", F6487=""""), ""真實支出"",
  AND(E6487="""", F6487&lt;&gt;""""), ""真實收入"",
  TRUE, ""其他""
)"),"其他")</f>
        <v>其他</v>
      </c>
      <c r="K6487" s="270" t="str">
        <f t="shared" si="2"/>
        <v/>
      </c>
      <c r="L6487">
        <f t="shared" si="3"/>
        <v>0</v>
      </c>
    </row>
    <row r="6488">
      <c r="A6488" s="107"/>
      <c r="D6488" s="270"/>
      <c r="H6488" s="106" t="str">
        <f t="shared" si="1"/>
        <v/>
      </c>
      <c r="J6488" t="str">
        <f>IFERROR(__xludf.DUMMYFUNCTION("IFS(
  AND(REGEXMATCH(E6488, ""台銀籌備帳戶|玉山帳戶""), REGEXMATCH(C6488, ""薪資"")), ""分潤支出"",
  AND(REGEXMATCH(E6488, ""Ben帳戶|Elsa帳戶|Ben代墊|Ariel代墊|中信銀行共用""), REGEXMATCH(F6488, ""Ben帳戶|Elsa帳戶|Ben代墊|Ariel代墊|中信銀行共用"")), ""內部轉帳(忽略)"",
  AND(E6488&lt;&gt;"""", F6488&lt;&gt;"""", N"&amp;"OT(REGEXMATCH(C6488, ""薪資""))), ""內部轉帳(忽略)"",
  REGEXMATCH(C6488, ""薪資""), ""薪資變動(不計入)"",
  REGEXMATCH(C6488, ""押金""), ""押金往來"",
  AND(E6488&lt;&gt;"""", F6488=""""), ""真實支出"",
  AND(E6488="""", F6488&lt;&gt;""""), ""真實收入"",
  TRUE, ""其他""
)"),"其他")</f>
        <v>其他</v>
      </c>
      <c r="K6488" s="270" t="str">
        <f t="shared" si="2"/>
        <v/>
      </c>
      <c r="L6488">
        <f t="shared" si="3"/>
        <v>0</v>
      </c>
    </row>
    <row r="6489">
      <c r="A6489" s="107"/>
      <c r="D6489" s="270"/>
      <c r="H6489" s="106" t="str">
        <f t="shared" si="1"/>
        <v/>
      </c>
      <c r="J6489" t="str">
        <f>IFERROR(__xludf.DUMMYFUNCTION("IFS(
  AND(REGEXMATCH(E6489, ""台銀籌備帳戶|玉山帳戶""), REGEXMATCH(C6489, ""薪資"")), ""分潤支出"",
  AND(REGEXMATCH(E6489, ""Ben帳戶|Elsa帳戶|Ben代墊|Ariel代墊|中信銀行共用""), REGEXMATCH(F6489, ""Ben帳戶|Elsa帳戶|Ben代墊|Ariel代墊|中信銀行共用"")), ""內部轉帳(忽略)"",
  AND(E6489&lt;&gt;"""", F6489&lt;&gt;"""", N"&amp;"OT(REGEXMATCH(C6489, ""薪資""))), ""內部轉帳(忽略)"",
  REGEXMATCH(C6489, ""薪資""), ""薪資變動(不計入)"",
  REGEXMATCH(C6489, ""押金""), ""押金往來"",
  AND(E6489&lt;&gt;"""", F6489=""""), ""真實支出"",
  AND(E6489="""", F6489&lt;&gt;""""), ""真實收入"",
  TRUE, ""其他""
)"),"其他")</f>
        <v>其他</v>
      </c>
      <c r="K6489" s="270" t="str">
        <f t="shared" si="2"/>
        <v/>
      </c>
      <c r="L6489">
        <f t="shared" si="3"/>
        <v>0</v>
      </c>
    </row>
    <row r="6490">
      <c r="A6490" s="107"/>
      <c r="D6490" s="270"/>
      <c r="H6490" s="106" t="str">
        <f t="shared" si="1"/>
        <v/>
      </c>
      <c r="J6490" t="str">
        <f>IFERROR(__xludf.DUMMYFUNCTION("IFS(
  AND(REGEXMATCH(E6490, ""台銀籌備帳戶|玉山帳戶""), REGEXMATCH(C6490, ""薪資"")), ""分潤支出"",
  AND(REGEXMATCH(E6490, ""Ben帳戶|Elsa帳戶|Ben代墊|Ariel代墊|中信銀行共用""), REGEXMATCH(F6490, ""Ben帳戶|Elsa帳戶|Ben代墊|Ariel代墊|中信銀行共用"")), ""內部轉帳(忽略)"",
  AND(E6490&lt;&gt;"""", F6490&lt;&gt;"""", N"&amp;"OT(REGEXMATCH(C6490, ""薪資""))), ""內部轉帳(忽略)"",
  REGEXMATCH(C6490, ""薪資""), ""薪資變動(不計入)"",
  REGEXMATCH(C6490, ""押金""), ""押金往來"",
  AND(E6490&lt;&gt;"""", F6490=""""), ""真實支出"",
  AND(E6490="""", F6490&lt;&gt;""""), ""真實收入"",
  TRUE, ""其他""
)"),"其他")</f>
        <v>其他</v>
      </c>
      <c r="K6490" s="270" t="str">
        <f t="shared" si="2"/>
        <v/>
      </c>
      <c r="L6490">
        <f t="shared" si="3"/>
        <v>0</v>
      </c>
    </row>
    <row r="6491">
      <c r="A6491" s="107"/>
      <c r="D6491" s="270"/>
      <c r="H6491" s="106" t="str">
        <f t="shared" si="1"/>
        <v/>
      </c>
      <c r="J6491" t="str">
        <f>IFERROR(__xludf.DUMMYFUNCTION("IFS(
  AND(REGEXMATCH(E6491, ""台銀籌備帳戶|玉山帳戶""), REGEXMATCH(C6491, ""薪資"")), ""分潤支出"",
  AND(REGEXMATCH(E6491, ""Ben帳戶|Elsa帳戶|Ben代墊|Ariel代墊|中信銀行共用""), REGEXMATCH(F6491, ""Ben帳戶|Elsa帳戶|Ben代墊|Ariel代墊|中信銀行共用"")), ""內部轉帳(忽略)"",
  AND(E6491&lt;&gt;"""", F6491&lt;&gt;"""", N"&amp;"OT(REGEXMATCH(C6491, ""薪資""))), ""內部轉帳(忽略)"",
  REGEXMATCH(C6491, ""薪資""), ""薪資變動(不計入)"",
  REGEXMATCH(C6491, ""押金""), ""押金往來"",
  AND(E6491&lt;&gt;"""", F6491=""""), ""真實支出"",
  AND(E6491="""", F6491&lt;&gt;""""), ""真實收入"",
  TRUE, ""其他""
)"),"其他")</f>
        <v>其他</v>
      </c>
      <c r="K6491" s="270" t="str">
        <f t="shared" si="2"/>
        <v/>
      </c>
      <c r="L6491">
        <f t="shared" si="3"/>
        <v>0</v>
      </c>
    </row>
    <row r="6492">
      <c r="A6492" s="107"/>
      <c r="D6492" s="270"/>
      <c r="H6492" s="106" t="str">
        <f t="shared" si="1"/>
        <v/>
      </c>
      <c r="J6492" t="str">
        <f>IFERROR(__xludf.DUMMYFUNCTION("IFS(
  AND(REGEXMATCH(E6492, ""台銀籌備帳戶|玉山帳戶""), REGEXMATCH(C6492, ""薪資"")), ""分潤支出"",
  AND(REGEXMATCH(E6492, ""Ben帳戶|Elsa帳戶|Ben代墊|Ariel代墊|中信銀行共用""), REGEXMATCH(F6492, ""Ben帳戶|Elsa帳戶|Ben代墊|Ariel代墊|中信銀行共用"")), ""內部轉帳(忽略)"",
  AND(E6492&lt;&gt;"""", F6492&lt;&gt;"""", N"&amp;"OT(REGEXMATCH(C6492, ""薪資""))), ""內部轉帳(忽略)"",
  REGEXMATCH(C6492, ""薪資""), ""薪資變動(不計入)"",
  REGEXMATCH(C6492, ""押金""), ""押金往來"",
  AND(E6492&lt;&gt;"""", F6492=""""), ""真實支出"",
  AND(E6492="""", F6492&lt;&gt;""""), ""真實收入"",
  TRUE, ""其他""
)"),"其他")</f>
        <v>其他</v>
      </c>
      <c r="K6492" s="270" t="str">
        <f t="shared" si="2"/>
        <v/>
      </c>
      <c r="L6492">
        <f t="shared" si="3"/>
        <v>0</v>
      </c>
    </row>
    <row r="6493">
      <c r="A6493" s="107"/>
      <c r="D6493" s="270"/>
      <c r="H6493" s="106" t="str">
        <f t="shared" si="1"/>
        <v/>
      </c>
      <c r="J6493" t="str">
        <f>IFERROR(__xludf.DUMMYFUNCTION("IFS(
  AND(REGEXMATCH(E6493, ""台銀籌備帳戶|玉山帳戶""), REGEXMATCH(C6493, ""薪資"")), ""分潤支出"",
  AND(REGEXMATCH(E6493, ""Ben帳戶|Elsa帳戶|Ben代墊|Ariel代墊|中信銀行共用""), REGEXMATCH(F6493, ""Ben帳戶|Elsa帳戶|Ben代墊|Ariel代墊|中信銀行共用"")), ""內部轉帳(忽略)"",
  AND(E6493&lt;&gt;"""", F6493&lt;&gt;"""", N"&amp;"OT(REGEXMATCH(C6493, ""薪資""))), ""內部轉帳(忽略)"",
  REGEXMATCH(C6493, ""薪資""), ""薪資變動(不計入)"",
  REGEXMATCH(C6493, ""押金""), ""押金往來"",
  AND(E6493&lt;&gt;"""", F6493=""""), ""真實支出"",
  AND(E6493="""", F6493&lt;&gt;""""), ""真實收入"",
  TRUE, ""其他""
)"),"其他")</f>
        <v>其他</v>
      </c>
      <c r="K6493" s="270" t="str">
        <f t="shared" si="2"/>
        <v/>
      </c>
      <c r="L6493">
        <f t="shared" si="3"/>
        <v>0</v>
      </c>
    </row>
    <row r="6494">
      <c r="A6494" s="107"/>
      <c r="D6494" s="270"/>
      <c r="H6494" s="106" t="str">
        <f t="shared" si="1"/>
        <v/>
      </c>
      <c r="J6494" t="str">
        <f>IFERROR(__xludf.DUMMYFUNCTION("IFS(
  AND(REGEXMATCH(E6494, ""台銀籌備帳戶|玉山帳戶""), REGEXMATCH(C6494, ""薪資"")), ""分潤支出"",
  AND(REGEXMATCH(E6494, ""Ben帳戶|Elsa帳戶|Ben代墊|Ariel代墊|中信銀行共用""), REGEXMATCH(F6494, ""Ben帳戶|Elsa帳戶|Ben代墊|Ariel代墊|中信銀行共用"")), ""內部轉帳(忽略)"",
  AND(E6494&lt;&gt;"""", F6494&lt;&gt;"""", N"&amp;"OT(REGEXMATCH(C6494, ""薪資""))), ""內部轉帳(忽略)"",
  REGEXMATCH(C6494, ""薪資""), ""薪資變動(不計入)"",
  REGEXMATCH(C6494, ""押金""), ""押金往來"",
  AND(E6494&lt;&gt;"""", F6494=""""), ""真實支出"",
  AND(E6494="""", F6494&lt;&gt;""""), ""真實收入"",
  TRUE, ""其他""
)"),"其他")</f>
        <v>其他</v>
      </c>
      <c r="K6494" s="270" t="str">
        <f t="shared" si="2"/>
        <v/>
      </c>
      <c r="L6494">
        <f t="shared" si="3"/>
        <v>0</v>
      </c>
    </row>
    <row r="6495">
      <c r="A6495" s="107"/>
      <c r="D6495" s="270"/>
      <c r="H6495" s="106" t="str">
        <f t="shared" si="1"/>
        <v/>
      </c>
      <c r="J6495" t="str">
        <f>IFERROR(__xludf.DUMMYFUNCTION("IFS(
  AND(REGEXMATCH(E6495, ""台銀籌備帳戶|玉山帳戶""), REGEXMATCH(C6495, ""薪資"")), ""分潤支出"",
  AND(REGEXMATCH(E6495, ""Ben帳戶|Elsa帳戶|Ben代墊|Ariel代墊|中信銀行共用""), REGEXMATCH(F6495, ""Ben帳戶|Elsa帳戶|Ben代墊|Ariel代墊|中信銀行共用"")), ""內部轉帳(忽略)"",
  AND(E6495&lt;&gt;"""", F6495&lt;&gt;"""", N"&amp;"OT(REGEXMATCH(C6495, ""薪資""))), ""內部轉帳(忽略)"",
  REGEXMATCH(C6495, ""薪資""), ""薪資變動(不計入)"",
  REGEXMATCH(C6495, ""押金""), ""押金往來"",
  AND(E6495&lt;&gt;"""", F6495=""""), ""真實支出"",
  AND(E6495="""", F6495&lt;&gt;""""), ""真實收入"",
  TRUE, ""其他""
)"),"其他")</f>
        <v>其他</v>
      </c>
      <c r="K6495" s="270" t="str">
        <f t="shared" si="2"/>
        <v/>
      </c>
      <c r="L6495">
        <f t="shared" si="3"/>
        <v>0</v>
      </c>
    </row>
    <row r="6496">
      <c r="A6496" s="107"/>
      <c r="D6496" s="270"/>
      <c r="H6496" s="106" t="str">
        <f t="shared" si="1"/>
        <v/>
      </c>
      <c r="J6496" t="str">
        <f>IFERROR(__xludf.DUMMYFUNCTION("IFS(
  AND(REGEXMATCH(E6496, ""台銀籌備帳戶|玉山帳戶""), REGEXMATCH(C6496, ""薪資"")), ""分潤支出"",
  AND(REGEXMATCH(E6496, ""Ben帳戶|Elsa帳戶|Ben代墊|Ariel代墊|中信銀行共用""), REGEXMATCH(F6496, ""Ben帳戶|Elsa帳戶|Ben代墊|Ariel代墊|中信銀行共用"")), ""內部轉帳(忽略)"",
  AND(E6496&lt;&gt;"""", F6496&lt;&gt;"""", N"&amp;"OT(REGEXMATCH(C6496, ""薪資""))), ""內部轉帳(忽略)"",
  REGEXMATCH(C6496, ""薪資""), ""薪資變動(不計入)"",
  REGEXMATCH(C6496, ""押金""), ""押金往來"",
  AND(E6496&lt;&gt;"""", F6496=""""), ""真實支出"",
  AND(E6496="""", F6496&lt;&gt;""""), ""真實收入"",
  TRUE, ""其他""
)"),"其他")</f>
        <v>其他</v>
      </c>
      <c r="K6496" s="270" t="str">
        <f t="shared" si="2"/>
        <v/>
      </c>
      <c r="L6496">
        <f t="shared" si="3"/>
        <v>0</v>
      </c>
    </row>
    <row r="6497">
      <c r="A6497" s="107"/>
      <c r="D6497" s="270"/>
      <c r="H6497" s="106" t="str">
        <f t="shared" si="1"/>
        <v/>
      </c>
      <c r="J6497" t="str">
        <f>IFERROR(__xludf.DUMMYFUNCTION("IFS(
  AND(REGEXMATCH(E6497, ""台銀籌備帳戶|玉山帳戶""), REGEXMATCH(C6497, ""薪資"")), ""分潤支出"",
  AND(REGEXMATCH(E6497, ""Ben帳戶|Elsa帳戶|Ben代墊|Ariel代墊|中信銀行共用""), REGEXMATCH(F6497, ""Ben帳戶|Elsa帳戶|Ben代墊|Ariel代墊|中信銀行共用"")), ""內部轉帳(忽略)"",
  AND(E6497&lt;&gt;"""", F6497&lt;&gt;"""", N"&amp;"OT(REGEXMATCH(C6497, ""薪資""))), ""內部轉帳(忽略)"",
  REGEXMATCH(C6497, ""薪資""), ""薪資變動(不計入)"",
  REGEXMATCH(C6497, ""押金""), ""押金往來"",
  AND(E6497&lt;&gt;"""", F6497=""""), ""真實支出"",
  AND(E6497="""", F6497&lt;&gt;""""), ""真實收入"",
  TRUE, ""其他""
)"),"其他")</f>
        <v>其他</v>
      </c>
      <c r="K6497" s="270" t="str">
        <f t="shared" si="2"/>
        <v/>
      </c>
      <c r="L6497">
        <f t="shared" si="3"/>
        <v>0</v>
      </c>
    </row>
    <row r="6498">
      <c r="A6498" s="107"/>
      <c r="D6498" s="270"/>
      <c r="H6498" s="106" t="str">
        <f t="shared" si="1"/>
        <v/>
      </c>
      <c r="J6498" t="str">
        <f>IFERROR(__xludf.DUMMYFUNCTION("IFS(
  AND(REGEXMATCH(E6498, ""台銀籌備帳戶|玉山帳戶""), REGEXMATCH(C6498, ""薪資"")), ""分潤支出"",
  AND(REGEXMATCH(E6498, ""Ben帳戶|Elsa帳戶|Ben代墊|Ariel代墊|中信銀行共用""), REGEXMATCH(F6498, ""Ben帳戶|Elsa帳戶|Ben代墊|Ariel代墊|中信銀行共用"")), ""內部轉帳(忽略)"",
  AND(E6498&lt;&gt;"""", F6498&lt;&gt;"""", N"&amp;"OT(REGEXMATCH(C6498, ""薪資""))), ""內部轉帳(忽略)"",
  REGEXMATCH(C6498, ""薪資""), ""薪資變動(不計入)"",
  REGEXMATCH(C6498, ""押金""), ""押金往來"",
  AND(E6498&lt;&gt;"""", F6498=""""), ""真實支出"",
  AND(E6498="""", F6498&lt;&gt;""""), ""真實收入"",
  TRUE, ""其他""
)"),"其他")</f>
        <v>其他</v>
      </c>
      <c r="K6498" s="270" t="str">
        <f t="shared" si="2"/>
        <v/>
      </c>
      <c r="L6498">
        <f t="shared" si="3"/>
        <v>0</v>
      </c>
    </row>
    <row r="6499">
      <c r="A6499" s="107"/>
      <c r="D6499" s="270"/>
      <c r="H6499" s="106" t="str">
        <f t="shared" si="1"/>
        <v/>
      </c>
      <c r="J6499" t="str">
        <f>IFERROR(__xludf.DUMMYFUNCTION("IFS(
  AND(REGEXMATCH(E6499, ""台銀籌備帳戶|玉山帳戶""), REGEXMATCH(C6499, ""薪資"")), ""分潤支出"",
  AND(REGEXMATCH(E6499, ""Ben帳戶|Elsa帳戶|Ben代墊|Ariel代墊|中信銀行共用""), REGEXMATCH(F6499, ""Ben帳戶|Elsa帳戶|Ben代墊|Ariel代墊|中信銀行共用"")), ""內部轉帳(忽略)"",
  AND(E6499&lt;&gt;"""", F6499&lt;&gt;"""", N"&amp;"OT(REGEXMATCH(C6499, ""薪資""))), ""內部轉帳(忽略)"",
  REGEXMATCH(C6499, ""薪資""), ""薪資變動(不計入)"",
  REGEXMATCH(C6499, ""押金""), ""押金往來"",
  AND(E6499&lt;&gt;"""", F6499=""""), ""真實支出"",
  AND(E6499="""", F6499&lt;&gt;""""), ""真實收入"",
  TRUE, ""其他""
)"),"其他")</f>
        <v>其他</v>
      </c>
      <c r="K6499" s="270" t="str">
        <f t="shared" si="2"/>
        <v/>
      </c>
      <c r="L6499">
        <f t="shared" si="3"/>
        <v>0</v>
      </c>
    </row>
    <row r="6500">
      <c r="A6500" s="107"/>
      <c r="D6500" s="270"/>
      <c r="H6500" s="106" t="str">
        <f t="shared" si="1"/>
        <v/>
      </c>
      <c r="J6500" t="str">
        <f>IFERROR(__xludf.DUMMYFUNCTION("IFS(
  AND(REGEXMATCH(E6500, ""台銀籌備帳戶|玉山帳戶""), REGEXMATCH(C6500, ""薪資"")), ""分潤支出"",
  AND(REGEXMATCH(E6500, ""Ben帳戶|Elsa帳戶|Ben代墊|Ariel代墊|中信銀行共用""), REGEXMATCH(F6500, ""Ben帳戶|Elsa帳戶|Ben代墊|Ariel代墊|中信銀行共用"")), ""內部轉帳(忽略)"",
  AND(E6500&lt;&gt;"""", F6500&lt;&gt;"""", N"&amp;"OT(REGEXMATCH(C6500, ""薪資""))), ""內部轉帳(忽略)"",
  REGEXMATCH(C6500, ""薪資""), ""薪資變動(不計入)"",
  REGEXMATCH(C6500, ""押金""), ""押金往來"",
  AND(E6500&lt;&gt;"""", F6500=""""), ""真實支出"",
  AND(E6500="""", F6500&lt;&gt;""""), ""真實收入"",
  TRUE, ""其他""
)"),"其他")</f>
        <v>其他</v>
      </c>
      <c r="K6500" s="270" t="str">
        <f t="shared" si="2"/>
        <v/>
      </c>
      <c r="L6500">
        <f t="shared" si="3"/>
        <v>0</v>
      </c>
    </row>
    <row r="6501">
      <c r="A6501" s="107"/>
      <c r="D6501" s="270"/>
      <c r="H6501" s="106" t="str">
        <f t="shared" si="1"/>
        <v/>
      </c>
      <c r="J6501" t="str">
        <f>IFERROR(__xludf.DUMMYFUNCTION("IFS(
  AND(REGEXMATCH(E6501, ""台銀籌備帳戶|玉山帳戶""), REGEXMATCH(C6501, ""薪資"")), ""分潤支出"",
  AND(REGEXMATCH(E6501, ""Ben帳戶|Elsa帳戶|Ben代墊|Ariel代墊|中信銀行共用""), REGEXMATCH(F6501, ""Ben帳戶|Elsa帳戶|Ben代墊|Ariel代墊|中信銀行共用"")), ""內部轉帳(忽略)"",
  AND(E6501&lt;&gt;"""", F6501&lt;&gt;"""", N"&amp;"OT(REGEXMATCH(C6501, ""薪資""))), ""內部轉帳(忽略)"",
  REGEXMATCH(C6501, ""薪資""), ""薪資變動(不計入)"",
  REGEXMATCH(C6501, ""押金""), ""押金往來"",
  AND(E6501&lt;&gt;"""", F6501=""""), ""真實支出"",
  AND(E6501="""", F6501&lt;&gt;""""), ""真實收入"",
  TRUE, ""其他""
)"),"其他")</f>
        <v>其他</v>
      </c>
      <c r="K6501" s="270" t="str">
        <f t="shared" si="2"/>
        <v/>
      </c>
      <c r="L6501">
        <f t="shared" si="3"/>
        <v>0</v>
      </c>
    </row>
    <row r="6502">
      <c r="A6502" s="107"/>
      <c r="D6502" s="270"/>
      <c r="H6502" s="106" t="str">
        <f t="shared" si="1"/>
        <v/>
      </c>
      <c r="J6502" t="str">
        <f>IFERROR(__xludf.DUMMYFUNCTION("IFS(
  AND(REGEXMATCH(E6502, ""台銀籌備帳戶|玉山帳戶""), REGEXMATCH(C6502, ""薪資"")), ""分潤支出"",
  AND(REGEXMATCH(E6502, ""Ben帳戶|Elsa帳戶|Ben代墊|Ariel代墊|中信銀行共用""), REGEXMATCH(F6502, ""Ben帳戶|Elsa帳戶|Ben代墊|Ariel代墊|中信銀行共用"")), ""內部轉帳(忽略)"",
  AND(E6502&lt;&gt;"""", F6502&lt;&gt;"""", N"&amp;"OT(REGEXMATCH(C6502, ""薪資""))), ""內部轉帳(忽略)"",
  REGEXMATCH(C6502, ""薪資""), ""薪資變動(不計入)"",
  REGEXMATCH(C6502, ""押金""), ""押金往來"",
  AND(E6502&lt;&gt;"""", F6502=""""), ""真實支出"",
  AND(E6502="""", F6502&lt;&gt;""""), ""真實收入"",
  TRUE, ""其他""
)"),"其他")</f>
        <v>其他</v>
      </c>
      <c r="K6502" s="270" t="str">
        <f t="shared" si="2"/>
        <v/>
      </c>
      <c r="L6502">
        <f t="shared" si="3"/>
        <v>0</v>
      </c>
    </row>
    <row r="6503">
      <c r="A6503" s="107"/>
      <c r="D6503" s="270"/>
      <c r="H6503" s="106" t="str">
        <f t="shared" si="1"/>
        <v/>
      </c>
      <c r="J6503" t="str">
        <f>IFERROR(__xludf.DUMMYFUNCTION("IFS(
  AND(REGEXMATCH(E6503, ""台銀籌備帳戶|玉山帳戶""), REGEXMATCH(C6503, ""薪資"")), ""分潤支出"",
  AND(REGEXMATCH(E6503, ""Ben帳戶|Elsa帳戶|Ben代墊|Ariel代墊|中信銀行共用""), REGEXMATCH(F6503, ""Ben帳戶|Elsa帳戶|Ben代墊|Ariel代墊|中信銀行共用"")), ""內部轉帳(忽略)"",
  AND(E6503&lt;&gt;"""", F6503&lt;&gt;"""", N"&amp;"OT(REGEXMATCH(C6503, ""薪資""))), ""內部轉帳(忽略)"",
  REGEXMATCH(C6503, ""薪資""), ""薪資變動(不計入)"",
  REGEXMATCH(C6503, ""押金""), ""押金往來"",
  AND(E6503&lt;&gt;"""", F6503=""""), ""真實支出"",
  AND(E6503="""", F6503&lt;&gt;""""), ""真實收入"",
  TRUE, ""其他""
)"),"其他")</f>
        <v>其他</v>
      </c>
      <c r="K6503" s="270" t="str">
        <f t="shared" si="2"/>
        <v/>
      </c>
      <c r="L6503">
        <f t="shared" si="3"/>
        <v>0</v>
      </c>
    </row>
    <row r="6504">
      <c r="A6504" s="107"/>
      <c r="D6504" s="270"/>
      <c r="H6504" s="106" t="str">
        <f t="shared" si="1"/>
        <v/>
      </c>
      <c r="J6504" t="str">
        <f>IFERROR(__xludf.DUMMYFUNCTION("IFS(
  AND(REGEXMATCH(E6504, ""台銀籌備帳戶|玉山帳戶""), REGEXMATCH(C6504, ""薪資"")), ""分潤支出"",
  AND(REGEXMATCH(E6504, ""Ben帳戶|Elsa帳戶|Ben代墊|Ariel代墊|中信銀行共用""), REGEXMATCH(F6504, ""Ben帳戶|Elsa帳戶|Ben代墊|Ariel代墊|中信銀行共用"")), ""內部轉帳(忽略)"",
  AND(E6504&lt;&gt;"""", F6504&lt;&gt;"""", N"&amp;"OT(REGEXMATCH(C6504, ""薪資""))), ""內部轉帳(忽略)"",
  REGEXMATCH(C6504, ""薪資""), ""薪資變動(不計入)"",
  REGEXMATCH(C6504, ""押金""), ""押金往來"",
  AND(E6504&lt;&gt;"""", F6504=""""), ""真實支出"",
  AND(E6504="""", F6504&lt;&gt;""""), ""真實收入"",
  TRUE, ""其他""
)"),"其他")</f>
        <v>其他</v>
      </c>
      <c r="K6504" s="270" t="str">
        <f t="shared" si="2"/>
        <v/>
      </c>
      <c r="L6504">
        <f t="shared" si="3"/>
        <v>0</v>
      </c>
    </row>
    <row r="6505">
      <c r="A6505" s="107"/>
      <c r="D6505" s="270"/>
      <c r="H6505" s="106" t="str">
        <f t="shared" si="1"/>
        <v/>
      </c>
      <c r="J6505" t="str">
        <f>IFERROR(__xludf.DUMMYFUNCTION("IFS(
  AND(REGEXMATCH(E6505, ""台銀籌備帳戶|玉山帳戶""), REGEXMATCH(C6505, ""薪資"")), ""分潤支出"",
  AND(REGEXMATCH(E6505, ""Ben帳戶|Elsa帳戶|Ben代墊|Ariel代墊|中信銀行共用""), REGEXMATCH(F6505, ""Ben帳戶|Elsa帳戶|Ben代墊|Ariel代墊|中信銀行共用"")), ""內部轉帳(忽略)"",
  AND(E6505&lt;&gt;"""", F6505&lt;&gt;"""", N"&amp;"OT(REGEXMATCH(C6505, ""薪資""))), ""內部轉帳(忽略)"",
  REGEXMATCH(C6505, ""薪資""), ""薪資變動(不計入)"",
  REGEXMATCH(C6505, ""押金""), ""押金往來"",
  AND(E6505&lt;&gt;"""", F6505=""""), ""真實支出"",
  AND(E6505="""", F6505&lt;&gt;""""), ""真實收入"",
  TRUE, ""其他""
)"),"其他")</f>
        <v>其他</v>
      </c>
      <c r="K6505" s="270" t="str">
        <f t="shared" si="2"/>
        <v/>
      </c>
      <c r="L6505">
        <f t="shared" si="3"/>
        <v>0</v>
      </c>
    </row>
    <row r="6506">
      <c r="A6506" s="107"/>
      <c r="D6506" s="270"/>
      <c r="H6506" s="106" t="str">
        <f t="shared" si="1"/>
        <v/>
      </c>
      <c r="J6506" t="str">
        <f>IFERROR(__xludf.DUMMYFUNCTION("IFS(
  AND(REGEXMATCH(E6506, ""台銀籌備帳戶|玉山帳戶""), REGEXMATCH(C6506, ""薪資"")), ""分潤支出"",
  AND(REGEXMATCH(E6506, ""Ben帳戶|Elsa帳戶|Ben代墊|Ariel代墊|中信銀行共用""), REGEXMATCH(F6506, ""Ben帳戶|Elsa帳戶|Ben代墊|Ariel代墊|中信銀行共用"")), ""內部轉帳(忽略)"",
  AND(E6506&lt;&gt;"""", F6506&lt;&gt;"""", N"&amp;"OT(REGEXMATCH(C6506, ""薪資""))), ""內部轉帳(忽略)"",
  REGEXMATCH(C6506, ""薪資""), ""薪資變動(不計入)"",
  REGEXMATCH(C6506, ""押金""), ""押金往來"",
  AND(E6506&lt;&gt;"""", F6506=""""), ""真實支出"",
  AND(E6506="""", F6506&lt;&gt;""""), ""真實收入"",
  TRUE, ""其他""
)"),"其他")</f>
        <v>其他</v>
      </c>
      <c r="K6506" s="270" t="str">
        <f t="shared" si="2"/>
        <v/>
      </c>
      <c r="L6506">
        <f t="shared" si="3"/>
        <v>0</v>
      </c>
    </row>
    <row r="6507">
      <c r="A6507" s="107"/>
      <c r="D6507" s="270"/>
      <c r="H6507" s="106" t="str">
        <f t="shared" si="1"/>
        <v/>
      </c>
      <c r="J6507" t="str">
        <f>IFERROR(__xludf.DUMMYFUNCTION("IFS(
  AND(REGEXMATCH(E6507, ""台銀籌備帳戶|玉山帳戶""), REGEXMATCH(C6507, ""薪資"")), ""分潤支出"",
  AND(REGEXMATCH(E6507, ""Ben帳戶|Elsa帳戶|Ben代墊|Ariel代墊|中信銀行共用""), REGEXMATCH(F6507, ""Ben帳戶|Elsa帳戶|Ben代墊|Ariel代墊|中信銀行共用"")), ""內部轉帳(忽略)"",
  AND(E6507&lt;&gt;"""", F6507&lt;&gt;"""", N"&amp;"OT(REGEXMATCH(C6507, ""薪資""))), ""內部轉帳(忽略)"",
  REGEXMATCH(C6507, ""薪資""), ""薪資變動(不計入)"",
  REGEXMATCH(C6507, ""押金""), ""押金往來"",
  AND(E6507&lt;&gt;"""", F6507=""""), ""真實支出"",
  AND(E6507="""", F6507&lt;&gt;""""), ""真實收入"",
  TRUE, ""其他""
)"),"其他")</f>
        <v>其他</v>
      </c>
      <c r="K6507" s="270" t="str">
        <f t="shared" si="2"/>
        <v/>
      </c>
      <c r="L6507">
        <f t="shared" si="3"/>
        <v>0</v>
      </c>
    </row>
    <row r="6508">
      <c r="A6508" s="107"/>
      <c r="D6508" s="270"/>
      <c r="H6508" s="106" t="str">
        <f t="shared" si="1"/>
        <v/>
      </c>
      <c r="J6508" t="str">
        <f>IFERROR(__xludf.DUMMYFUNCTION("IFS(
  AND(REGEXMATCH(E6508, ""台銀籌備帳戶|玉山帳戶""), REGEXMATCH(C6508, ""薪資"")), ""分潤支出"",
  AND(REGEXMATCH(E6508, ""Ben帳戶|Elsa帳戶|Ben代墊|Ariel代墊|中信銀行共用""), REGEXMATCH(F6508, ""Ben帳戶|Elsa帳戶|Ben代墊|Ariel代墊|中信銀行共用"")), ""內部轉帳(忽略)"",
  AND(E6508&lt;&gt;"""", F6508&lt;&gt;"""", N"&amp;"OT(REGEXMATCH(C6508, ""薪資""))), ""內部轉帳(忽略)"",
  REGEXMATCH(C6508, ""薪資""), ""薪資變動(不計入)"",
  REGEXMATCH(C6508, ""押金""), ""押金往來"",
  AND(E6508&lt;&gt;"""", F6508=""""), ""真實支出"",
  AND(E6508="""", F6508&lt;&gt;""""), ""真實收入"",
  TRUE, ""其他""
)"),"其他")</f>
        <v>其他</v>
      </c>
      <c r="K6508" s="270" t="str">
        <f t="shared" si="2"/>
        <v/>
      </c>
      <c r="L6508">
        <f t="shared" si="3"/>
        <v>0</v>
      </c>
    </row>
    <row r="6509">
      <c r="A6509" s="107"/>
      <c r="D6509" s="270"/>
      <c r="H6509" s="106" t="str">
        <f t="shared" si="1"/>
        <v/>
      </c>
      <c r="J6509" t="str">
        <f>IFERROR(__xludf.DUMMYFUNCTION("IFS(
  AND(REGEXMATCH(E6509, ""台銀籌備帳戶|玉山帳戶""), REGEXMATCH(C6509, ""薪資"")), ""分潤支出"",
  AND(REGEXMATCH(E6509, ""Ben帳戶|Elsa帳戶|Ben代墊|Ariel代墊|中信銀行共用""), REGEXMATCH(F6509, ""Ben帳戶|Elsa帳戶|Ben代墊|Ariel代墊|中信銀行共用"")), ""內部轉帳(忽略)"",
  AND(E6509&lt;&gt;"""", F6509&lt;&gt;"""", N"&amp;"OT(REGEXMATCH(C6509, ""薪資""))), ""內部轉帳(忽略)"",
  REGEXMATCH(C6509, ""薪資""), ""薪資變動(不計入)"",
  REGEXMATCH(C6509, ""押金""), ""押金往來"",
  AND(E6509&lt;&gt;"""", F6509=""""), ""真實支出"",
  AND(E6509="""", F6509&lt;&gt;""""), ""真實收入"",
  TRUE, ""其他""
)"),"其他")</f>
        <v>其他</v>
      </c>
      <c r="K6509" s="270" t="str">
        <f t="shared" si="2"/>
        <v/>
      </c>
      <c r="L6509">
        <f t="shared" si="3"/>
        <v>0</v>
      </c>
    </row>
    <row r="6510">
      <c r="A6510" s="107"/>
      <c r="D6510" s="270"/>
      <c r="H6510" s="106" t="str">
        <f t="shared" si="1"/>
        <v/>
      </c>
      <c r="J6510" t="str">
        <f>IFERROR(__xludf.DUMMYFUNCTION("IFS(
  AND(REGEXMATCH(E6510, ""台銀籌備帳戶|玉山帳戶""), REGEXMATCH(C6510, ""薪資"")), ""分潤支出"",
  AND(REGEXMATCH(E6510, ""Ben帳戶|Elsa帳戶|Ben代墊|Ariel代墊|中信銀行共用""), REGEXMATCH(F6510, ""Ben帳戶|Elsa帳戶|Ben代墊|Ariel代墊|中信銀行共用"")), ""內部轉帳(忽略)"",
  AND(E6510&lt;&gt;"""", F6510&lt;&gt;"""", N"&amp;"OT(REGEXMATCH(C6510, ""薪資""))), ""內部轉帳(忽略)"",
  REGEXMATCH(C6510, ""薪資""), ""薪資變動(不計入)"",
  REGEXMATCH(C6510, ""押金""), ""押金往來"",
  AND(E6510&lt;&gt;"""", F6510=""""), ""真實支出"",
  AND(E6510="""", F6510&lt;&gt;""""), ""真實收入"",
  TRUE, ""其他""
)"),"其他")</f>
        <v>其他</v>
      </c>
      <c r="K6510" s="270" t="str">
        <f t="shared" si="2"/>
        <v/>
      </c>
      <c r="L6510">
        <f t="shared" si="3"/>
        <v>0</v>
      </c>
    </row>
    <row r="6511">
      <c r="A6511" s="107"/>
      <c r="D6511" s="270"/>
      <c r="H6511" s="106" t="str">
        <f t="shared" si="1"/>
        <v/>
      </c>
      <c r="J6511" t="str">
        <f>IFERROR(__xludf.DUMMYFUNCTION("IFS(
  AND(REGEXMATCH(E6511, ""台銀籌備帳戶|玉山帳戶""), REGEXMATCH(C6511, ""薪資"")), ""分潤支出"",
  AND(REGEXMATCH(E6511, ""Ben帳戶|Elsa帳戶|Ben代墊|Ariel代墊|中信銀行共用""), REGEXMATCH(F6511, ""Ben帳戶|Elsa帳戶|Ben代墊|Ariel代墊|中信銀行共用"")), ""內部轉帳(忽略)"",
  AND(E6511&lt;&gt;"""", F6511&lt;&gt;"""", N"&amp;"OT(REGEXMATCH(C6511, ""薪資""))), ""內部轉帳(忽略)"",
  REGEXMATCH(C6511, ""薪資""), ""薪資變動(不計入)"",
  REGEXMATCH(C6511, ""押金""), ""押金往來"",
  AND(E6511&lt;&gt;"""", F6511=""""), ""真實支出"",
  AND(E6511="""", F6511&lt;&gt;""""), ""真實收入"",
  TRUE, ""其他""
)"),"其他")</f>
        <v>其他</v>
      </c>
      <c r="K6511" s="270" t="str">
        <f t="shared" si="2"/>
        <v/>
      </c>
      <c r="L6511">
        <f t="shared" si="3"/>
        <v>0</v>
      </c>
    </row>
    <row r="6512">
      <c r="A6512" s="107"/>
      <c r="D6512" s="270"/>
      <c r="H6512" s="106" t="str">
        <f t="shared" si="1"/>
        <v/>
      </c>
      <c r="J6512" t="str">
        <f>IFERROR(__xludf.DUMMYFUNCTION("IFS(
  AND(REGEXMATCH(E6512, ""台銀籌備帳戶|玉山帳戶""), REGEXMATCH(C6512, ""薪資"")), ""分潤支出"",
  AND(REGEXMATCH(E6512, ""Ben帳戶|Elsa帳戶|Ben代墊|Ariel代墊|中信銀行共用""), REGEXMATCH(F6512, ""Ben帳戶|Elsa帳戶|Ben代墊|Ariel代墊|中信銀行共用"")), ""內部轉帳(忽略)"",
  AND(E6512&lt;&gt;"""", F6512&lt;&gt;"""", N"&amp;"OT(REGEXMATCH(C6512, ""薪資""))), ""內部轉帳(忽略)"",
  REGEXMATCH(C6512, ""薪資""), ""薪資變動(不計入)"",
  REGEXMATCH(C6512, ""押金""), ""押金往來"",
  AND(E6512&lt;&gt;"""", F6512=""""), ""真實支出"",
  AND(E6512="""", F6512&lt;&gt;""""), ""真實收入"",
  TRUE, ""其他""
)"),"其他")</f>
        <v>其他</v>
      </c>
      <c r="K6512" s="270" t="str">
        <f t="shared" si="2"/>
        <v/>
      </c>
      <c r="L6512">
        <f t="shared" si="3"/>
        <v>0</v>
      </c>
    </row>
    <row r="6513">
      <c r="A6513" s="107"/>
      <c r="D6513" s="270"/>
      <c r="H6513" s="106" t="str">
        <f t="shared" si="1"/>
        <v/>
      </c>
      <c r="J6513" t="str">
        <f>IFERROR(__xludf.DUMMYFUNCTION("IFS(
  AND(REGEXMATCH(E6513, ""台銀籌備帳戶|玉山帳戶""), REGEXMATCH(C6513, ""薪資"")), ""分潤支出"",
  AND(REGEXMATCH(E6513, ""Ben帳戶|Elsa帳戶|Ben代墊|Ariel代墊|中信銀行共用""), REGEXMATCH(F6513, ""Ben帳戶|Elsa帳戶|Ben代墊|Ariel代墊|中信銀行共用"")), ""內部轉帳(忽略)"",
  AND(E6513&lt;&gt;"""", F6513&lt;&gt;"""", N"&amp;"OT(REGEXMATCH(C6513, ""薪資""))), ""內部轉帳(忽略)"",
  REGEXMATCH(C6513, ""薪資""), ""薪資變動(不計入)"",
  REGEXMATCH(C6513, ""押金""), ""押金往來"",
  AND(E6513&lt;&gt;"""", F6513=""""), ""真實支出"",
  AND(E6513="""", F6513&lt;&gt;""""), ""真實收入"",
  TRUE, ""其他""
)"),"其他")</f>
        <v>其他</v>
      </c>
      <c r="K6513" s="270" t="str">
        <f t="shared" si="2"/>
        <v/>
      </c>
      <c r="L6513">
        <f t="shared" si="3"/>
        <v>0</v>
      </c>
    </row>
    <row r="6514">
      <c r="A6514" s="107"/>
      <c r="D6514" s="270"/>
      <c r="H6514" s="106" t="str">
        <f t="shared" si="1"/>
        <v/>
      </c>
      <c r="J6514" t="str">
        <f>IFERROR(__xludf.DUMMYFUNCTION("IFS(
  AND(REGEXMATCH(E6514, ""台銀籌備帳戶|玉山帳戶""), REGEXMATCH(C6514, ""薪資"")), ""分潤支出"",
  AND(REGEXMATCH(E6514, ""Ben帳戶|Elsa帳戶|Ben代墊|Ariel代墊|中信銀行共用""), REGEXMATCH(F6514, ""Ben帳戶|Elsa帳戶|Ben代墊|Ariel代墊|中信銀行共用"")), ""內部轉帳(忽略)"",
  AND(E6514&lt;&gt;"""", F6514&lt;&gt;"""", N"&amp;"OT(REGEXMATCH(C6514, ""薪資""))), ""內部轉帳(忽略)"",
  REGEXMATCH(C6514, ""薪資""), ""薪資變動(不計入)"",
  REGEXMATCH(C6514, ""押金""), ""押金往來"",
  AND(E6514&lt;&gt;"""", F6514=""""), ""真實支出"",
  AND(E6514="""", F6514&lt;&gt;""""), ""真實收入"",
  TRUE, ""其他""
)"),"其他")</f>
        <v>其他</v>
      </c>
      <c r="K6514" s="270" t="str">
        <f t="shared" si="2"/>
        <v/>
      </c>
      <c r="L6514">
        <f t="shared" si="3"/>
        <v>0</v>
      </c>
    </row>
    <row r="6515">
      <c r="A6515" s="107"/>
      <c r="D6515" s="270"/>
      <c r="H6515" s="106" t="str">
        <f t="shared" si="1"/>
        <v/>
      </c>
      <c r="J6515" t="str">
        <f>IFERROR(__xludf.DUMMYFUNCTION("IFS(
  AND(REGEXMATCH(E6515, ""台銀籌備帳戶|玉山帳戶""), REGEXMATCH(C6515, ""薪資"")), ""分潤支出"",
  AND(REGEXMATCH(E6515, ""Ben帳戶|Elsa帳戶|Ben代墊|Ariel代墊|中信銀行共用""), REGEXMATCH(F6515, ""Ben帳戶|Elsa帳戶|Ben代墊|Ariel代墊|中信銀行共用"")), ""內部轉帳(忽略)"",
  AND(E6515&lt;&gt;"""", F6515&lt;&gt;"""", N"&amp;"OT(REGEXMATCH(C6515, ""薪資""))), ""內部轉帳(忽略)"",
  REGEXMATCH(C6515, ""薪資""), ""薪資變動(不計入)"",
  REGEXMATCH(C6515, ""押金""), ""押金往來"",
  AND(E6515&lt;&gt;"""", F6515=""""), ""真實支出"",
  AND(E6515="""", F6515&lt;&gt;""""), ""真實收入"",
  TRUE, ""其他""
)"),"其他")</f>
        <v>其他</v>
      </c>
      <c r="K6515" s="270" t="str">
        <f t="shared" si="2"/>
        <v/>
      </c>
      <c r="L6515">
        <f t="shared" si="3"/>
        <v>0</v>
      </c>
    </row>
    <row r="6516">
      <c r="A6516" s="107"/>
      <c r="D6516" s="270"/>
      <c r="H6516" s="106" t="str">
        <f t="shared" si="1"/>
        <v/>
      </c>
      <c r="J6516" t="str">
        <f>IFERROR(__xludf.DUMMYFUNCTION("IFS(
  AND(REGEXMATCH(E6516, ""台銀籌備帳戶|玉山帳戶""), REGEXMATCH(C6516, ""薪資"")), ""分潤支出"",
  AND(REGEXMATCH(E6516, ""Ben帳戶|Elsa帳戶|Ben代墊|Ariel代墊|中信銀行共用""), REGEXMATCH(F6516, ""Ben帳戶|Elsa帳戶|Ben代墊|Ariel代墊|中信銀行共用"")), ""內部轉帳(忽略)"",
  AND(E6516&lt;&gt;"""", F6516&lt;&gt;"""", N"&amp;"OT(REGEXMATCH(C6516, ""薪資""))), ""內部轉帳(忽略)"",
  REGEXMATCH(C6516, ""薪資""), ""薪資變動(不計入)"",
  REGEXMATCH(C6516, ""押金""), ""押金往來"",
  AND(E6516&lt;&gt;"""", F6516=""""), ""真實支出"",
  AND(E6516="""", F6516&lt;&gt;""""), ""真實收入"",
  TRUE, ""其他""
)"),"其他")</f>
        <v>其他</v>
      </c>
      <c r="K6516" s="270" t="str">
        <f t="shared" si="2"/>
        <v/>
      </c>
      <c r="L6516">
        <f t="shared" si="3"/>
        <v>0</v>
      </c>
    </row>
    <row r="6517">
      <c r="A6517" s="107"/>
      <c r="D6517" s="270"/>
      <c r="H6517" s="106" t="str">
        <f t="shared" si="1"/>
        <v/>
      </c>
      <c r="J6517" t="str">
        <f>IFERROR(__xludf.DUMMYFUNCTION("IFS(
  AND(REGEXMATCH(E6517, ""台銀籌備帳戶|玉山帳戶""), REGEXMATCH(C6517, ""薪資"")), ""分潤支出"",
  AND(REGEXMATCH(E6517, ""Ben帳戶|Elsa帳戶|Ben代墊|Ariel代墊|中信銀行共用""), REGEXMATCH(F6517, ""Ben帳戶|Elsa帳戶|Ben代墊|Ariel代墊|中信銀行共用"")), ""內部轉帳(忽略)"",
  AND(E6517&lt;&gt;"""", F6517&lt;&gt;"""", N"&amp;"OT(REGEXMATCH(C6517, ""薪資""))), ""內部轉帳(忽略)"",
  REGEXMATCH(C6517, ""薪資""), ""薪資變動(不計入)"",
  REGEXMATCH(C6517, ""押金""), ""押金往來"",
  AND(E6517&lt;&gt;"""", F6517=""""), ""真實支出"",
  AND(E6517="""", F6517&lt;&gt;""""), ""真實收入"",
  TRUE, ""其他""
)"),"其他")</f>
        <v>其他</v>
      </c>
      <c r="K6517" s="270" t="str">
        <f t="shared" si="2"/>
        <v/>
      </c>
      <c r="L6517">
        <f t="shared" si="3"/>
        <v>0</v>
      </c>
    </row>
    <row r="6518">
      <c r="A6518" s="107"/>
      <c r="D6518" s="270"/>
      <c r="H6518" s="106" t="str">
        <f t="shared" si="1"/>
        <v/>
      </c>
      <c r="J6518" t="str">
        <f>IFERROR(__xludf.DUMMYFUNCTION("IFS(
  AND(REGEXMATCH(E6518, ""台銀籌備帳戶|玉山帳戶""), REGEXMATCH(C6518, ""薪資"")), ""分潤支出"",
  AND(REGEXMATCH(E6518, ""Ben帳戶|Elsa帳戶|Ben代墊|Ariel代墊|中信銀行共用""), REGEXMATCH(F6518, ""Ben帳戶|Elsa帳戶|Ben代墊|Ariel代墊|中信銀行共用"")), ""內部轉帳(忽略)"",
  AND(E6518&lt;&gt;"""", F6518&lt;&gt;"""", N"&amp;"OT(REGEXMATCH(C6518, ""薪資""))), ""內部轉帳(忽略)"",
  REGEXMATCH(C6518, ""薪資""), ""薪資變動(不計入)"",
  REGEXMATCH(C6518, ""押金""), ""押金往來"",
  AND(E6518&lt;&gt;"""", F6518=""""), ""真實支出"",
  AND(E6518="""", F6518&lt;&gt;""""), ""真實收入"",
  TRUE, ""其他""
)"),"其他")</f>
        <v>其他</v>
      </c>
      <c r="K6518" s="270" t="str">
        <f t="shared" si="2"/>
        <v/>
      </c>
      <c r="L6518">
        <f t="shared" si="3"/>
        <v>0</v>
      </c>
    </row>
    <row r="6519">
      <c r="A6519" s="107"/>
      <c r="D6519" s="270"/>
      <c r="H6519" s="106" t="str">
        <f t="shared" si="1"/>
        <v/>
      </c>
      <c r="J6519" t="str">
        <f>IFERROR(__xludf.DUMMYFUNCTION("IFS(
  AND(REGEXMATCH(E6519, ""台銀籌備帳戶|玉山帳戶""), REGEXMATCH(C6519, ""薪資"")), ""分潤支出"",
  AND(REGEXMATCH(E6519, ""Ben帳戶|Elsa帳戶|Ben代墊|Ariel代墊|中信銀行共用""), REGEXMATCH(F6519, ""Ben帳戶|Elsa帳戶|Ben代墊|Ariel代墊|中信銀行共用"")), ""內部轉帳(忽略)"",
  AND(E6519&lt;&gt;"""", F6519&lt;&gt;"""", N"&amp;"OT(REGEXMATCH(C6519, ""薪資""))), ""內部轉帳(忽略)"",
  REGEXMATCH(C6519, ""薪資""), ""薪資變動(不計入)"",
  REGEXMATCH(C6519, ""押金""), ""押金往來"",
  AND(E6519&lt;&gt;"""", F6519=""""), ""真實支出"",
  AND(E6519="""", F6519&lt;&gt;""""), ""真實收入"",
  TRUE, ""其他""
)"),"其他")</f>
        <v>其他</v>
      </c>
      <c r="K6519" s="270" t="str">
        <f t="shared" si="2"/>
        <v/>
      </c>
      <c r="L6519">
        <f t="shared" si="3"/>
        <v>0</v>
      </c>
    </row>
    <row r="6520">
      <c r="A6520" s="107"/>
      <c r="D6520" s="270"/>
      <c r="H6520" s="106" t="str">
        <f t="shared" si="1"/>
        <v/>
      </c>
      <c r="J6520" t="str">
        <f>IFERROR(__xludf.DUMMYFUNCTION("IFS(
  AND(REGEXMATCH(E6520, ""台銀籌備帳戶|玉山帳戶""), REGEXMATCH(C6520, ""薪資"")), ""分潤支出"",
  AND(REGEXMATCH(E6520, ""Ben帳戶|Elsa帳戶|Ben代墊|Ariel代墊|中信銀行共用""), REGEXMATCH(F6520, ""Ben帳戶|Elsa帳戶|Ben代墊|Ariel代墊|中信銀行共用"")), ""內部轉帳(忽略)"",
  AND(E6520&lt;&gt;"""", F6520&lt;&gt;"""", N"&amp;"OT(REGEXMATCH(C6520, ""薪資""))), ""內部轉帳(忽略)"",
  REGEXMATCH(C6520, ""薪資""), ""薪資變動(不計入)"",
  REGEXMATCH(C6520, ""押金""), ""押金往來"",
  AND(E6520&lt;&gt;"""", F6520=""""), ""真實支出"",
  AND(E6520="""", F6520&lt;&gt;""""), ""真實收入"",
  TRUE, ""其他""
)"),"其他")</f>
        <v>其他</v>
      </c>
      <c r="K6520" s="270" t="str">
        <f t="shared" si="2"/>
        <v/>
      </c>
      <c r="L6520">
        <f t="shared" si="3"/>
        <v>0</v>
      </c>
    </row>
    <row r="6521">
      <c r="A6521" s="107"/>
      <c r="D6521" s="270"/>
      <c r="H6521" s="106" t="str">
        <f t="shared" si="1"/>
        <v/>
      </c>
      <c r="J6521" t="str">
        <f>IFERROR(__xludf.DUMMYFUNCTION("IFS(
  AND(REGEXMATCH(E6521, ""台銀籌備帳戶|玉山帳戶""), REGEXMATCH(C6521, ""薪資"")), ""分潤支出"",
  AND(REGEXMATCH(E6521, ""Ben帳戶|Elsa帳戶|Ben代墊|Ariel代墊|中信銀行共用""), REGEXMATCH(F6521, ""Ben帳戶|Elsa帳戶|Ben代墊|Ariel代墊|中信銀行共用"")), ""內部轉帳(忽略)"",
  AND(E6521&lt;&gt;"""", F6521&lt;&gt;"""", N"&amp;"OT(REGEXMATCH(C6521, ""薪資""))), ""內部轉帳(忽略)"",
  REGEXMATCH(C6521, ""薪資""), ""薪資變動(不計入)"",
  REGEXMATCH(C6521, ""押金""), ""押金往來"",
  AND(E6521&lt;&gt;"""", F6521=""""), ""真實支出"",
  AND(E6521="""", F6521&lt;&gt;""""), ""真實收入"",
  TRUE, ""其他""
)"),"其他")</f>
        <v>其他</v>
      </c>
      <c r="K6521" s="270" t="str">
        <f t="shared" si="2"/>
        <v/>
      </c>
      <c r="L6521">
        <f t="shared" si="3"/>
        <v>0</v>
      </c>
    </row>
    <row r="6522">
      <c r="A6522" s="107"/>
      <c r="D6522" s="270"/>
      <c r="H6522" s="106" t="str">
        <f t="shared" si="1"/>
        <v/>
      </c>
      <c r="J6522" t="str">
        <f>IFERROR(__xludf.DUMMYFUNCTION("IFS(
  AND(REGEXMATCH(E6522, ""台銀籌備帳戶|玉山帳戶""), REGEXMATCH(C6522, ""薪資"")), ""分潤支出"",
  AND(REGEXMATCH(E6522, ""Ben帳戶|Elsa帳戶|Ben代墊|Ariel代墊|中信銀行共用""), REGEXMATCH(F6522, ""Ben帳戶|Elsa帳戶|Ben代墊|Ariel代墊|中信銀行共用"")), ""內部轉帳(忽略)"",
  AND(E6522&lt;&gt;"""", F6522&lt;&gt;"""", N"&amp;"OT(REGEXMATCH(C6522, ""薪資""))), ""內部轉帳(忽略)"",
  REGEXMATCH(C6522, ""薪資""), ""薪資變動(不計入)"",
  REGEXMATCH(C6522, ""押金""), ""押金往來"",
  AND(E6522&lt;&gt;"""", F6522=""""), ""真實支出"",
  AND(E6522="""", F6522&lt;&gt;""""), ""真實收入"",
  TRUE, ""其他""
)"),"其他")</f>
        <v>其他</v>
      </c>
      <c r="K6522" s="270" t="str">
        <f t="shared" si="2"/>
        <v/>
      </c>
      <c r="L6522">
        <f t="shared" si="3"/>
        <v>0</v>
      </c>
    </row>
    <row r="6523">
      <c r="A6523" s="107"/>
      <c r="D6523" s="270"/>
      <c r="H6523" s="106" t="str">
        <f t="shared" si="1"/>
        <v/>
      </c>
      <c r="J6523" t="str">
        <f>IFERROR(__xludf.DUMMYFUNCTION("IFS(
  AND(REGEXMATCH(E6523, ""台銀籌備帳戶|玉山帳戶""), REGEXMATCH(C6523, ""薪資"")), ""分潤支出"",
  AND(REGEXMATCH(E6523, ""Ben帳戶|Elsa帳戶|Ben代墊|Ariel代墊|中信銀行共用""), REGEXMATCH(F6523, ""Ben帳戶|Elsa帳戶|Ben代墊|Ariel代墊|中信銀行共用"")), ""內部轉帳(忽略)"",
  AND(E6523&lt;&gt;"""", F6523&lt;&gt;"""", N"&amp;"OT(REGEXMATCH(C6523, ""薪資""))), ""內部轉帳(忽略)"",
  REGEXMATCH(C6523, ""薪資""), ""薪資變動(不計入)"",
  REGEXMATCH(C6523, ""押金""), ""押金往來"",
  AND(E6523&lt;&gt;"""", F6523=""""), ""真實支出"",
  AND(E6523="""", F6523&lt;&gt;""""), ""真實收入"",
  TRUE, ""其他""
)"),"其他")</f>
        <v>其他</v>
      </c>
      <c r="K6523" s="270" t="str">
        <f t="shared" si="2"/>
        <v/>
      </c>
      <c r="L6523">
        <f t="shared" si="3"/>
        <v>0</v>
      </c>
    </row>
    <row r="6524">
      <c r="A6524" s="107"/>
      <c r="D6524" s="270"/>
      <c r="H6524" s="106" t="str">
        <f t="shared" si="1"/>
        <v/>
      </c>
      <c r="J6524" t="str">
        <f>IFERROR(__xludf.DUMMYFUNCTION("IFS(
  AND(REGEXMATCH(E6524, ""台銀籌備帳戶|玉山帳戶""), REGEXMATCH(C6524, ""薪資"")), ""分潤支出"",
  AND(REGEXMATCH(E6524, ""Ben帳戶|Elsa帳戶|Ben代墊|Ariel代墊|中信銀行共用""), REGEXMATCH(F6524, ""Ben帳戶|Elsa帳戶|Ben代墊|Ariel代墊|中信銀行共用"")), ""內部轉帳(忽略)"",
  AND(E6524&lt;&gt;"""", F6524&lt;&gt;"""", N"&amp;"OT(REGEXMATCH(C6524, ""薪資""))), ""內部轉帳(忽略)"",
  REGEXMATCH(C6524, ""薪資""), ""薪資變動(不計入)"",
  REGEXMATCH(C6524, ""押金""), ""押金往來"",
  AND(E6524&lt;&gt;"""", F6524=""""), ""真實支出"",
  AND(E6524="""", F6524&lt;&gt;""""), ""真實收入"",
  TRUE, ""其他""
)"),"其他")</f>
        <v>其他</v>
      </c>
      <c r="K6524" s="270" t="str">
        <f t="shared" si="2"/>
        <v/>
      </c>
      <c r="L6524">
        <f t="shared" si="3"/>
        <v>0</v>
      </c>
    </row>
    <row r="6525">
      <c r="A6525" s="107"/>
      <c r="D6525" s="270"/>
      <c r="H6525" s="106" t="str">
        <f t="shared" si="1"/>
        <v/>
      </c>
      <c r="J6525" t="str">
        <f>IFERROR(__xludf.DUMMYFUNCTION("IFS(
  AND(REGEXMATCH(E6525, ""台銀籌備帳戶|玉山帳戶""), REGEXMATCH(C6525, ""薪資"")), ""分潤支出"",
  AND(REGEXMATCH(E6525, ""Ben帳戶|Elsa帳戶|Ben代墊|Ariel代墊|中信銀行共用""), REGEXMATCH(F6525, ""Ben帳戶|Elsa帳戶|Ben代墊|Ariel代墊|中信銀行共用"")), ""內部轉帳(忽略)"",
  AND(E6525&lt;&gt;"""", F6525&lt;&gt;"""", N"&amp;"OT(REGEXMATCH(C6525, ""薪資""))), ""內部轉帳(忽略)"",
  REGEXMATCH(C6525, ""薪資""), ""薪資變動(不計入)"",
  REGEXMATCH(C6525, ""押金""), ""押金往來"",
  AND(E6525&lt;&gt;"""", F6525=""""), ""真實支出"",
  AND(E6525="""", F6525&lt;&gt;""""), ""真實收入"",
  TRUE, ""其他""
)"),"其他")</f>
        <v>其他</v>
      </c>
      <c r="K6525" s="270" t="str">
        <f t="shared" si="2"/>
        <v/>
      </c>
      <c r="L6525">
        <f t="shared" si="3"/>
        <v>0</v>
      </c>
    </row>
    <row r="6526">
      <c r="A6526" s="107"/>
      <c r="D6526" s="270"/>
      <c r="H6526" s="106" t="str">
        <f t="shared" si="1"/>
        <v/>
      </c>
      <c r="J6526" t="str">
        <f>IFERROR(__xludf.DUMMYFUNCTION("IFS(
  AND(REGEXMATCH(E6526, ""台銀籌備帳戶|玉山帳戶""), REGEXMATCH(C6526, ""薪資"")), ""分潤支出"",
  AND(REGEXMATCH(E6526, ""Ben帳戶|Elsa帳戶|Ben代墊|Ariel代墊|中信銀行共用""), REGEXMATCH(F6526, ""Ben帳戶|Elsa帳戶|Ben代墊|Ariel代墊|中信銀行共用"")), ""內部轉帳(忽略)"",
  AND(E6526&lt;&gt;"""", F6526&lt;&gt;"""", N"&amp;"OT(REGEXMATCH(C6526, ""薪資""))), ""內部轉帳(忽略)"",
  REGEXMATCH(C6526, ""薪資""), ""薪資變動(不計入)"",
  REGEXMATCH(C6526, ""押金""), ""押金往來"",
  AND(E6526&lt;&gt;"""", F6526=""""), ""真實支出"",
  AND(E6526="""", F6526&lt;&gt;""""), ""真實收入"",
  TRUE, ""其他""
)"),"其他")</f>
        <v>其他</v>
      </c>
      <c r="K6526" s="270" t="str">
        <f t="shared" si="2"/>
        <v/>
      </c>
      <c r="L6526">
        <f t="shared" si="3"/>
        <v>0</v>
      </c>
    </row>
    <row r="6527">
      <c r="A6527" s="107"/>
      <c r="D6527" s="270"/>
      <c r="H6527" s="106" t="str">
        <f t="shared" si="1"/>
        <v/>
      </c>
      <c r="J6527" t="str">
        <f>IFERROR(__xludf.DUMMYFUNCTION("IFS(
  AND(REGEXMATCH(E6527, ""台銀籌備帳戶|玉山帳戶""), REGEXMATCH(C6527, ""薪資"")), ""分潤支出"",
  AND(REGEXMATCH(E6527, ""Ben帳戶|Elsa帳戶|Ben代墊|Ariel代墊|中信銀行共用""), REGEXMATCH(F6527, ""Ben帳戶|Elsa帳戶|Ben代墊|Ariel代墊|中信銀行共用"")), ""內部轉帳(忽略)"",
  AND(E6527&lt;&gt;"""", F6527&lt;&gt;"""", N"&amp;"OT(REGEXMATCH(C6527, ""薪資""))), ""內部轉帳(忽略)"",
  REGEXMATCH(C6527, ""薪資""), ""薪資變動(不計入)"",
  REGEXMATCH(C6527, ""押金""), ""押金往來"",
  AND(E6527&lt;&gt;"""", F6527=""""), ""真實支出"",
  AND(E6527="""", F6527&lt;&gt;""""), ""真實收入"",
  TRUE, ""其他""
)"),"其他")</f>
        <v>其他</v>
      </c>
      <c r="K6527" s="270" t="str">
        <f t="shared" si="2"/>
        <v/>
      </c>
      <c r="L6527">
        <f t="shared" si="3"/>
        <v>0</v>
      </c>
    </row>
    <row r="6528">
      <c r="A6528" s="107"/>
      <c r="D6528" s="270"/>
      <c r="H6528" s="106" t="str">
        <f t="shared" si="1"/>
        <v/>
      </c>
      <c r="J6528" t="str">
        <f>IFERROR(__xludf.DUMMYFUNCTION("IFS(
  AND(REGEXMATCH(E6528, ""台銀籌備帳戶|玉山帳戶""), REGEXMATCH(C6528, ""薪資"")), ""分潤支出"",
  AND(REGEXMATCH(E6528, ""Ben帳戶|Elsa帳戶|Ben代墊|Ariel代墊|中信銀行共用""), REGEXMATCH(F6528, ""Ben帳戶|Elsa帳戶|Ben代墊|Ariel代墊|中信銀行共用"")), ""內部轉帳(忽略)"",
  AND(E6528&lt;&gt;"""", F6528&lt;&gt;"""", N"&amp;"OT(REGEXMATCH(C6528, ""薪資""))), ""內部轉帳(忽略)"",
  REGEXMATCH(C6528, ""薪資""), ""薪資變動(不計入)"",
  REGEXMATCH(C6528, ""押金""), ""押金往來"",
  AND(E6528&lt;&gt;"""", F6528=""""), ""真實支出"",
  AND(E6528="""", F6528&lt;&gt;""""), ""真實收入"",
  TRUE, ""其他""
)"),"其他")</f>
        <v>其他</v>
      </c>
      <c r="K6528" s="270" t="str">
        <f t="shared" si="2"/>
        <v/>
      </c>
      <c r="L6528">
        <f t="shared" si="3"/>
        <v>0</v>
      </c>
    </row>
    <row r="6529">
      <c r="A6529" s="107"/>
      <c r="D6529" s="270"/>
      <c r="H6529" s="106" t="str">
        <f t="shared" si="1"/>
        <v/>
      </c>
      <c r="J6529" t="str">
        <f>IFERROR(__xludf.DUMMYFUNCTION("IFS(
  AND(REGEXMATCH(E6529, ""台銀籌備帳戶|玉山帳戶""), REGEXMATCH(C6529, ""薪資"")), ""分潤支出"",
  AND(REGEXMATCH(E6529, ""Ben帳戶|Elsa帳戶|Ben代墊|Ariel代墊|中信銀行共用""), REGEXMATCH(F6529, ""Ben帳戶|Elsa帳戶|Ben代墊|Ariel代墊|中信銀行共用"")), ""內部轉帳(忽略)"",
  AND(E6529&lt;&gt;"""", F6529&lt;&gt;"""", N"&amp;"OT(REGEXMATCH(C6529, ""薪資""))), ""內部轉帳(忽略)"",
  REGEXMATCH(C6529, ""薪資""), ""薪資變動(不計入)"",
  REGEXMATCH(C6529, ""押金""), ""押金往來"",
  AND(E6529&lt;&gt;"""", F6529=""""), ""真實支出"",
  AND(E6529="""", F6529&lt;&gt;""""), ""真實收入"",
  TRUE, ""其他""
)"),"其他")</f>
        <v>其他</v>
      </c>
      <c r="K6529" s="270" t="str">
        <f t="shared" si="2"/>
        <v/>
      </c>
      <c r="L6529">
        <f t="shared" si="3"/>
        <v>0</v>
      </c>
    </row>
    <row r="6530">
      <c r="A6530" s="107"/>
      <c r="D6530" s="270"/>
      <c r="H6530" s="106" t="str">
        <f t="shared" si="1"/>
        <v/>
      </c>
      <c r="J6530" t="str">
        <f>IFERROR(__xludf.DUMMYFUNCTION("IFS(
  AND(REGEXMATCH(E6530, ""台銀籌備帳戶|玉山帳戶""), REGEXMATCH(C6530, ""薪資"")), ""分潤支出"",
  AND(REGEXMATCH(E6530, ""Ben帳戶|Elsa帳戶|Ben代墊|Ariel代墊|中信銀行共用""), REGEXMATCH(F6530, ""Ben帳戶|Elsa帳戶|Ben代墊|Ariel代墊|中信銀行共用"")), ""內部轉帳(忽略)"",
  AND(E6530&lt;&gt;"""", F6530&lt;&gt;"""", N"&amp;"OT(REGEXMATCH(C6530, ""薪資""))), ""內部轉帳(忽略)"",
  REGEXMATCH(C6530, ""薪資""), ""薪資變動(不計入)"",
  REGEXMATCH(C6530, ""押金""), ""押金往來"",
  AND(E6530&lt;&gt;"""", F6530=""""), ""真實支出"",
  AND(E6530="""", F6530&lt;&gt;""""), ""真實收入"",
  TRUE, ""其他""
)"),"其他")</f>
        <v>其他</v>
      </c>
      <c r="K6530" s="270" t="str">
        <f t="shared" si="2"/>
        <v/>
      </c>
      <c r="L6530">
        <f t="shared" si="3"/>
        <v>0</v>
      </c>
    </row>
    <row r="6531">
      <c r="A6531" s="107"/>
      <c r="D6531" s="270"/>
      <c r="H6531" s="106" t="str">
        <f t="shared" si="1"/>
        <v/>
      </c>
      <c r="J6531" t="str">
        <f>IFERROR(__xludf.DUMMYFUNCTION("IFS(
  AND(REGEXMATCH(E6531, ""台銀籌備帳戶|玉山帳戶""), REGEXMATCH(C6531, ""薪資"")), ""分潤支出"",
  AND(REGEXMATCH(E6531, ""Ben帳戶|Elsa帳戶|Ben代墊|Ariel代墊|中信銀行共用""), REGEXMATCH(F6531, ""Ben帳戶|Elsa帳戶|Ben代墊|Ariel代墊|中信銀行共用"")), ""內部轉帳(忽略)"",
  AND(E6531&lt;&gt;"""", F6531&lt;&gt;"""", N"&amp;"OT(REGEXMATCH(C6531, ""薪資""))), ""內部轉帳(忽略)"",
  REGEXMATCH(C6531, ""薪資""), ""薪資變動(不計入)"",
  REGEXMATCH(C6531, ""押金""), ""押金往來"",
  AND(E6531&lt;&gt;"""", F6531=""""), ""真實支出"",
  AND(E6531="""", F6531&lt;&gt;""""), ""真實收入"",
  TRUE, ""其他""
)"),"其他")</f>
        <v>其他</v>
      </c>
      <c r="K6531" s="270" t="str">
        <f t="shared" si="2"/>
        <v/>
      </c>
      <c r="L6531">
        <f t="shared" si="3"/>
        <v>0</v>
      </c>
    </row>
    <row r="6532">
      <c r="A6532" s="107"/>
      <c r="D6532" s="270"/>
      <c r="H6532" s="106" t="str">
        <f t="shared" si="1"/>
        <v/>
      </c>
      <c r="J6532" t="str">
        <f>IFERROR(__xludf.DUMMYFUNCTION("IFS(
  AND(REGEXMATCH(E6532, ""台銀籌備帳戶|玉山帳戶""), REGEXMATCH(C6532, ""薪資"")), ""分潤支出"",
  AND(REGEXMATCH(E6532, ""Ben帳戶|Elsa帳戶|Ben代墊|Ariel代墊|中信銀行共用""), REGEXMATCH(F6532, ""Ben帳戶|Elsa帳戶|Ben代墊|Ariel代墊|中信銀行共用"")), ""內部轉帳(忽略)"",
  AND(E6532&lt;&gt;"""", F6532&lt;&gt;"""", N"&amp;"OT(REGEXMATCH(C6532, ""薪資""))), ""內部轉帳(忽略)"",
  REGEXMATCH(C6532, ""薪資""), ""薪資變動(不計入)"",
  REGEXMATCH(C6532, ""押金""), ""押金往來"",
  AND(E6532&lt;&gt;"""", F6532=""""), ""真實支出"",
  AND(E6532="""", F6532&lt;&gt;""""), ""真實收入"",
  TRUE, ""其他""
)"),"其他")</f>
        <v>其他</v>
      </c>
      <c r="K6532" s="270" t="str">
        <f t="shared" si="2"/>
        <v/>
      </c>
      <c r="L6532">
        <f t="shared" si="3"/>
        <v>0</v>
      </c>
    </row>
    <row r="6533">
      <c r="A6533" s="107"/>
      <c r="D6533" s="270"/>
      <c r="H6533" s="106" t="str">
        <f t="shared" si="1"/>
        <v/>
      </c>
      <c r="J6533" t="str">
        <f>IFERROR(__xludf.DUMMYFUNCTION("IFS(
  AND(REGEXMATCH(E6533, ""台銀籌備帳戶|玉山帳戶""), REGEXMATCH(C6533, ""薪資"")), ""分潤支出"",
  AND(REGEXMATCH(E6533, ""Ben帳戶|Elsa帳戶|Ben代墊|Ariel代墊|中信銀行共用""), REGEXMATCH(F6533, ""Ben帳戶|Elsa帳戶|Ben代墊|Ariel代墊|中信銀行共用"")), ""內部轉帳(忽略)"",
  AND(E6533&lt;&gt;"""", F6533&lt;&gt;"""", N"&amp;"OT(REGEXMATCH(C6533, ""薪資""))), ""內部轉帳(忽略)"",
  REGEXMATCH(C6533, ""薪資""), ""薪資變動(不計入)"",
  REGEXMATCH(C6533, ""押金""), ""押金往來"",
  AND(E6533&lt;&gt;"""", F6533=""""), ""真實支出"",
  AND(E6533="""", F6533&lt;&gt;""""), ""真實收入"",
  TRUE, ""其他""
)"),"其他")</f>
        <v>其他</v>
      </c>
      <c r="K6533" s="270" t="str">
        <f t="shared" si="2"/>
        <v/>
      </c>
      <c r="L6533">
        <f t="shared" si="3"/>
        <v>0</v>
      </c>
    </row>
    <row r="6534">
      <c r="A6534" s="107"/>
      <c r="D6534" s="270"/>
      <c r="H6534" s="106" t="str">
        <f t="shared" si="1"/>
        <v/>
      </c>
      <c r="J6534" t="str">
        <f>IFERROR(__xludf.DUMMYFUNCTION("IFS(
  AND(REGEXMATCH(E6534, ""台銀籌備帳戶|玉山帳戶""), REGEXMATCH(C6534, ""薪資"")), ""分潤支出"",
  AND(REGEXMATCH(E6534, ""Ben帳戶|Elsa帳戶|Ben代墊|Ariel代墊|中信銀行共用""), REGEXMATCH(F6534, ""Ben帳戶|Elsa帳戶|Ben代墊|Ariel代墊|中信銀行共用"")), ""內部轉帳(忽略)"",
  AND(E6534&lt;&gt;"""", F6534&lt;&gt;"""", N"&amp;"OT(REGEXMATCH(C6534, ""薪資""))), ""內部轉帳(忽略)"",
  REGEXMATCH(C6534, ""薪資""), ""薪資變動(不計入)"",
  REGEXMATCH(C6534, ""押金""), ""押金往來"",
  AND(E6534&lt;&gt;"""", F6534=""""), ""真實支出"",
  AND(E6534="""", F6534&lt;&gt;""""), ""真實收入"",
  TRUE, ""其他""
)"),"其他")</f>
        <v>其他</v>
      </c>
      <c r="K6534" s="270" t="str">
        <f t="shared" si="2"/>
        <v/>
      </c>
      <c r="L6534">
        <f t="shared" si="3"/>
        <v>0</v>
      </c>
    </row>
    <row r="6535">
      <c r="A6535" s="107"/>
      <c r="D6535" s="270"/>
      <c r="H6535" s="106" t="str">
        <f t="shared" si="1"/>
        <v/>
      </c>
      <c r="J6535" t="str">
        <f>IFERROR(__xludf.DUMMYFUNCTION("IFS(
  AND(REGEXMATCH(E6535, ""台銀籌備帳戶|玉山帳戶""), REGEXMATCH(C6535, ""薪資"")), ""分潤支出"",
  AND(REGEXMATCH(E6535, ""Ben帳戶|Elsa帳戶|Ben代墊|Ariel代墊|中信銀行共用""), REGEXMATCH(F6535, ""Ben帳戶|Elsa帳戶|Ben代墊|Ariel代墊|中信銀行共用"")), ""內部轉帳(忽略)"",
  AND(E6535&lt;&gt;"""", F6535&lt;&gt;"""", N"&amp;"OT(REGEXMATCH(C6535, ""薪資""))), ""內部轉帳(忽略)"",
  REGEXMATCH(C6535, ""薪資""), ""薪資變動(不計入)"",
  REGEXMATCH(C6535, ""押金""), ""押金往來"",
  AND(E6535&lt;&gt;"""", F6535=""""), ""真實支出"",
  AND(E6535="""", F6535&lt;&gt;""""), ""真實收入"",
  TRUE, ""其他""
)"),"其他")</f>
        <v>其他</v>
      </c>
      <c r="K6535" s="270" t="str">
        <f t="shared" si="2"/>
        <v/>
      </c>
      <c r="L6535">
        <f t="shared" si="3"/>
        <v>0</v>
      </c>
    </row>
    <row r="6536">
      <c r="A6536" s="107"/>
      <c r="D6536" s="270"/>
      <c r="H6536" s="106" t="str">
        <f t="shared" si="1"/>
        <v/>
      </c>
      <c r="J6536" t="str">
        <f>IFERROR(__xludf.DUMMYFUNCTION("IFS(
  AND(REGEXMATCH(E6536, ""台銀籌備帳戶|玉山帳戶""), REGEXMATCH(C6536, ""薪資"")), ""分潤支出"",
  AND(REGEXMATCH(E6536, ""Ben帳戶|Elsa帳戶|Ben代墊|Ariel代墊|中信銀行共用""), REGEXMATCH(F6536, ""Ben帳戶|Elsa帳戶|Ben代墊|Ariel代墊|中信銀行共用"")), ""內部轉帳(忽略)"",
  AND(E6536&lt;&gt;"""", F6536&lt;&gt;"""", N"&amp;"OT(REGEXMATCH(C6536, ""薪資""))), ""內部轉帳(忽略)"",
  REGEXMATCH(C6536, ""薪資""), ""薪資變動(不計入)"",
  REGEXMATCH(C6536, ""押金""), ""押金往來"",
  AND(E6536&lt;&gt;"""", F6536=""""), ""真實支出"",
  AND(E6536="""", F6536&lt;&gt;""""), ""真實收入"",
  TRUE, ""其他""
)"),"其他")</f>
        <v>其他</v>
      </c>
      <c r="K6536" s="270" t="str">
        <f t="shared" si="2"/>
        <v/>
      </c>
      <c r="L6536">
        <f t="shared" si="3"/>
        <v>0</v>
      </c>
    </row>
    <row r="6537">
      <c r="A6537" s="107"/>
      <c r="D6537" s="270"/>
      <c r="H6537" s="106" t="str">
        <f t="shared" si="1"/>
        <v/>
      </c>
      <c r="J6537" t="str">
        <f>IFERROR(__xludf.DUMMYFUNCTION("IFS(
  AND(REGEXMATCH(E6537, ""台銀籌備帳戶|玉山帳戶""), REGEXMATCH(C6537, ""薪資"")), ""分潤支出"",
  AND(REGEXMATCH(E6537, ""Ben帳戶|Elsa帳戶|Ben代墊|Ariel代墊|中信銀行共用""), REGEXMATCH(F6537, ""Ben帳戶|Elsa帳戶|Ben代墊|Ariel代墊|中信銀行共用"")), ""內部轉帳(忽略)"",
  AND(E6537&lt;&gt;"""", F6537&lt;&gt;"""", N"&amp;"OT(REGEXMATCH(C6537, ""薪資""))), ""內部轉帳(忽略)"",
  REGEXMATCH(C6537, ""薪資""), ""薪資變動(不計入)"",
  REGEXMATCH(C6537, ""押金""), ""押金往來"",
  AND(E6537&lt;&gt;"""", F6537=""""), ""真實支出"",
  AND(E6537="""", F6537&lt;&gt;""""), ""真實收入"",
  TRUE, ""其他""
)"),"其他")</f>
        <v>其他</v>
      </c>
      <c r="K6537" s="270" t="str">
        <f t="shared" si="2"/>
        <v/>
      </c>
      <c r="L6537">
        <f t="shared" si="3"/>
        <v>0</v>
      </c>
    </row>
    <row r="6538">
      <c r="A6538" s="107"/>
      <c r="D6538" s="270"/>
      <c r="H6538" s="106" t="str">
        <f t="shared" si="1"/>
        <v/>
      </c>
      <c r="J6538" t="str">
        <f>IFERROR(__xludf.DUMMYFUNCTION("IFS(
  AND(REGEXMATCH(E6538, ""台銀籌備帳戶|玉山帳戶""), REGEXMATCH(C6538, ""薪資"")), ""分潤支出"",
  AND(REGEXMATCH(E6538, ""Ben帳戶|Elsa帳戶|Ben代墊|Ariel代墊|中信銀行共用""), REGEXMATCH(F6538, ""Ben帳戶|Elsa帳戶|Ben代墊|Ariel代墊|中信銀行共用"")), ""內部轉帳(忽略)"",
  AND(E6538&lt;&gt;"""", F6538&lt;&gt;"""", N"&amp;"OT(REGEXMATCH(C6538, ""薪資""))), ""內部轉帳(忽略)"",
  REGEXMATCH(C6538, ""薪資""), ""薪資變動(不計入)"",
  REGEXMATCH(C6538, ""押金""), ""押金往來"",
  AND(E6538&lt;&gt;"""", F6538=""""), ""真實支出"",
  AND(E6538="""", F6538&lt;&gt;""""), ""真實收入"",
  TRUE, ""其他""
)"),"其他")</f>
        <v>其他</v>
      </c>
      <c r="K6538" s="270" t="str">
        <f t="shared" si="2"/>
        <v/>
      </c>
      <c r="L6538">
        <f t="shared" si="3"/>
        <v>0</v>
      </c>
    </row>
    <row r="6539">
      <c r="A6539" s="107"/>
      <c r="D6539" s="270"/>
      <c r="H6539" s="106" t="str">
        <f t="shared" si="1"/>
        <v/>
      </c>
      <c r="J6539" t="str">
        <f>IFERROR(__xludf.DUMMYFUNCTION("IFS(
  AND(REGEXMATCH(E6539, ""台銀籌備帳戶|玉山帳戶""), REGEXMATCH(C6539, ""薪資"")), ""分潤支出"",
  AND(REGEXMATCH(E6539, ""Ben帳戶|Elsa帳戶|Ben代墊|Ariel代墊|中信銀行共用""), REGEXMATCH(F6539, ""Ben帳戶|Elsa帳戶|Ben代墊|Ariel代墊|中信銀行共用"")), ""內部轉帳(忽略)"",
  AND(E6539&lt;&gt;"""", F6539&lt;&gt;"""", N"&amp;"OT(REGEXMATCH(C6539, ""薪資""))), ""內部轉帳(忽略)"",
  REGEXMATCH(C6539, ""薪資""), ""薪資變動(不計入)"",
  REGEXMATCH(C6539, ""押金""), ""押金往來"",
  AND(E6539&lt;&gt;"""", F6539=""""), ""真實支出"",
  AND(E6539="""", F6539&lt;&gt;""""), ""真實收入"",
  TRUE, ""其他""
)"),"其他")</f>
        <v>其他</v>
      </c>
      <c r="K6539" s="270" t="str">
        <f t="shared" si="2"/>
        <v/>
      </c>
      <c r="L6539">
        <f t="shared" si="3"/>
        <v>0</v>
      </c>
    </row>
    <row r="6540">
      <c r="A6540" s="107"/>
      <c r="D6540" s="270"/>
      <c r="H6540" s="106" t="str">
        <f t="shared" si="1"/>
        <v/>
      </c>
      <c r="J6540" t="str">
        <f>IFERROR(__xludf.DUMMYFUNCTION("IFS(
  AND(REGEXMATCH(E6540, ""台銀籌備帳戶|玉山帳戶""), REGEXMATCH(C6540, ""薪資"")), ""分潤支出"",
  AND(REGEXMATCH(E6540, ""Ben帳戶|Elsa帳戶|Ben代墊|Ariel代墊|中信銀行共用""), REGEXMATCH(F6540, ""Ben帳戶|Elsa帳戶|Ben代墊|Ariel代墊|中信銀行共用"")), ""內部轉帳(忽略)"",
  AND(E6540&lt;&gt;"""", F6540&lt;&gt;"""", N"&amp;"OT(REGEXMATCH(C6540, ""薪資""))), ""內部轉帳(忽略)"",
  REGEXMATCH(C6540, ""薪資""), ""薪資變動(不計入)"",
  REGEXMATCH(C6540, ""押金""), ""押金往來"",
  AND(E6540&lt;&gt;"""", F6540=""""), ""真實支出"",
  AND(E6540="""", F6540&lt;&gt;""""), ""真實收入"",
  TRUE, ""其他""
)"),"其他")</f>
        <v>其他</v>
      </c>
      <c r="K6540" s="270" t="str">
        <f t="shared" si="2"/>
        <v/>
      </c>
      <c r="L6540">
        <f t="shared" si="3"/>
        <v>0</v>
      </c>
    </row>
    <row r="6541">
      <c r="A6541" s="107"/>
      <c r="D6541" s="270"/>
      <c r="H6541" s="106" t="str">
        <f t="shared" si="1"/>
        <v/>
      </c>
      <c r="J6541" t="str">
        <f>IFERROR(__xludf.DUMMYFUNCTION("IFS(
  AND(REGEXMATCH(E6541, ""台銀籌備帳戶|玉山帳戶""), REGEXMATCH(C6541, ""薪資"")), ""分潤支出"",
  AND(REGEXMATCH(E6541, ""Ben帳戶|Elsa帳戶|Ben代墊|Ariel代墊|中信銀行共用""), REGEXMATCH(F6541, ""Ben帳戶|Elsa帳戶|Ben代墊|Ariel代墊|中信銀行共用"")), ""內部轉帳(忽略)"",
  AND(E6541&lt;&gt;"""", F6541&lt;&gt;"""", N"&amp;"OT(REGEXMATCH(C6541, ""薪資""))), ""內部轉帳(忽略)"",
  REGEXMATCH(C6541, ""薪資""), ""薪資變動(不計入)"",
  REGEXMATCH(C6541, ""押金""), ""押金往來"",
  AND(E6541&lt;&gt;"""", F6541=""""), ""真實支出"",
  AND(E6541="""", F6541&lt;&gt;""""), ""真實收入"",
  TRUE, ""其他""
)"),"其他")</f>
        <v>其他</v>
      </c>
      <c r="K6541" s="270" t="str">
        <f t="shared" si="2"/>
        <v/>
      </c>
      <c r="L6541">
        <f t="shared" si="3"/>
        <v>0</v>
      </c>
    </row>
    <row r="6542">
      <c r="A6542" s="107"/>
      <c r="D6542" s="270"/>
      <c r="H6542" s="106" t="str">
        <f t="shared" si="1"/>
        <v/>
      </c>
      <c r="J6542" t="str">
        <f>IFERROR(__xludf.DUMMYFUNCTION("IFS(
  AND(REGEXMATCH(E6542, ""台銀籌備帳戶|玉山帳戶""), REGEXMATCH(C6542, ""薪資"")), ""分潤支出"",
  AND(REGEXMATCH(E6542, ""Ben帳戶|Elsa帳戶|Ben代墊|Ariel代墊|中信銀行共用""), REGEXMATCH(F6542, ""Ben帳戶|Elsa帳戶|Ben代墊|Ariel代墊|中信銀行共用"")), ""內部轉帳(忽略)"",
  AND(E6542&lt;&gt;"""", F6542&lt;&gt;"""", N"&amp;"OT(REGEXMATCH(C6542, ""薪資""))), ""內部轉帳(忽略)"",
  REGEXMATCH(C6542, ""薪資""), ""薪資變動(不計入)"",
  REGEXMATCH(C6542, ""押金""), ""押金往來"",
  AND(E6542&lt;&gt;"""", F6542=""""), ""真實支出"",
  AND(E6542="""", F6542&lt;&gt;""""), ""真實收入"",
  TRUE, ""其他""
)"),"其他")</f>
        <v>其他</v>
      </c>
      <c r="K6542" s="270" t="str">
        <f t="shared" si="2"/>
        <v/>
      </c>
      <c r="L6542">
        <f t="shared" si="3"/>
        <v>0</v>
      </c>
    </row>
    <row r="6543">
      <c r="A6543" s="107"/>
      <c r="D6543" s="270"/>
      <c r="H6543" s="106" t="str">
        <f t="shared" si="1"/>
        <v/>
      </c>
      <c r="J6543" t="str">
        <f>IFERROR(__xludf.DUMMYFUNCTION("IFS(
  AND(REGEXMATCH(E6543, ""台銀籌備帳戶|玉山帳戶""), REGEXMATCH(C6543, ""薪資"")), ""分潤支出"",
  AND(REGEXMATCH(E6543, ""Ben帳戶|Elsa帳戶|Ben代墊|Ariel代墊|中信銀行共用""), REGEXMATCH(F6543, ""Ben帳戶|Elsa帳戶|Ben代墊|Ariel代墊|中信銀行共用"")), ""內部轉帳(忽略)"",
  AND(E6543&lt;&gt;"""", F6543&lt;&gt;"""", N"&amp;"OT(REGEXMATCH(C6543, ""薪資""))), ""內部轉帳(忽略)"",
  REGEXMATCH(C6543, ""薪資""), ""薪資變動(不計入)"",
  REGEXMATCH(C6543, ""押金""), ""押金往來"",
  AND(E6543&lt;&gt;"""", F6543=""""), ""真實支出"",
  AND(E6543="""", F6543&lt;&gt;""""), ""真實收入"",
  TRUE, ""其他""
)"),"其他")</f>
        <v>其他</v>
      </c>
      <c r="K6543" s="270" t="str">
        <f t="shared" si="2"/>
        <v/>
      </c>
      <c r="L6543">
        <f t="shared" si="3"/>
        <v>0</v>
      </c>
    </row>
    <row r="6544">
      <c r="A6544" s="107"/>
      <c r="D6544" s="270"/>
      <c r="H6544" s="106" t="str">
        <f t="shared" si="1"/>
        <v/>
      </c>
      <c r="J6544" t="str">
        <f>IFERROR(__xludf.DUMMYFUNCTION("IFS(
  AND(REGEXMATCH(E6544, ""台銀籌備帳戶|玉山帳戶""), REGEXMATCH(C6544, ""薪資"")), ""分潤支出"",
  AND(REGEXMATCH(E6544, ""Ben帳戶|Elsa帳戶|Ben代墊|Ariel代墊|中信銀行共用""), REGEXMATCH(F6544, ""Ben帳戶|Elsa帳戶|Ben代墊|Ariel代墊|中信銀行共用"")), ""內部轉帳(忽略)"",
  AND(E6544&lt;&gt;"""", F6544&lt;&gt;"""", N"&amp;"OT(REGEXMATCH(C6544, ""薪資""))), ""內部轉帳(忽略)"",
  REGEXMATCH(C6544, ""薪資""), ""薪資變動(不計入)"",
  REGEXMATCH(C6544, ""押金""), ""押金往來"",
  AND(E6544&lt;&gt;"""", F6544=""""), ""真實支出"",
  AND(E6544="""", F6544&lt;&gt;""""), ""真實收入"",
  TRUE, ""其他""
)"),"其他")</f>
        <v>其他</v>
      </c>
      <c r="K6544" s="270" t="str">
        <f t="shared" si="2"/>
        <v/>
      </c>
      <c r="L6544">
        <f t="shared" si="3"/>
        <v>0</v>
      </c>
    </row>
    <row r="6545">
      <c r="A6545" s="107"/>
      <c r="D6545" s="270"/>
      <c r="H6545" s="106" t="str">
        <f t="shared" si="1"/>
        <v/>
      </c>
      <c r="J6545" t="str">
        <f>IFERROR(__xludf.DUMMYFUNCTION("IFS(
  AND(REGEXMATCH(E6545, ""台銀籌備帳戶|玉山帳戶""), REGEXMATCH(C6545, ""薪資"")), ""分潤支出"",
  AND(REGEXMATCH(E6545, ""Ben帳戶|Elsa帳戶|Ben代墊|Ariel代墊|中信銀行共用""), REGEXMATCH(F6545, ""Ben帳戶|Elsa帳戶|Ben代墊|Ariel代墊|中信銀行共用"")), ""內部轉帳(忽略)"",
  AND(E6545&lt;&gt;"""", F6545&lt;&gt;"""", N"&amp;"OT(REGEXMATCH(C6545, ""薪資""))), ""內部轉帳(忽略)"",
  REGEXMATCH(C6545, ""薪資""), ""薪資變動(不計入)"",
  REGEXMATCH(C6545, ""押金""), ""押金往來"",
  AND(E6545&lt;&gt;"""", F6545=""""), ""真實支出"",
  AND(E6545="""", F6545&lt;&gt;""""), ""真實收入"",
  TRUE, ""其他""
)"),"其他")</f>
        <v>其他</v>
      </c>
      <c r="K6545" s="270" t="str">
        <f t="shared" si="2"/>
        <v/>
      </c>
      <c r="L6545">
        <f t="shared" si="3"/>
        <v>0</v>
      </c>
    </row>
    <row r="6546">
      <c r="A6546" s="107"/>
      <c r="D6546" s="270"/>
      <c r="H6546" s="106" t="str">
        <f t="shared" si="1"/>
        <v/>
      </c>
      <c r="J6546" t="str">
        <f>IFERROR(__xludf.DUMMYFUNCTION("IFS(
  AND(REGEXMATCH(E6546, ""台銀籌備帳戶|玉山帳戶""), REGEXMATCH(C6546, ""薪資"")), ""分潤支出"",
  AND(REGEXMATCH(E6546, ""Ben帳戶|Elsa帳戶|Ben代墊|Ariel代墊|中信銀行共用""), REGEXMATCH(F6546, ""Ben帳戶|Elsa帳戶|Ben代墊|Ariel代墊|中信銀行共用"")), ""內部轉帳(忽略)"",
  AND(E6546&lt;&gt;"""", F6546&lt;&gt;"""", N"&amp;"OT(REGEXMATCH(C6546, ""薪資""))), ""內部轉帳(忽略)"",
  REGEXMATCH(C6546, ""薪資""), ""薪資變動(不計入)"",
  REGEXMATCH(C6546, ""押金""), ""押金往來"",
  AND(E6546&lt;&gt;"""", F6546=""""), ""真實支出"",
  AND(E6546="""", F6546&lt;&gt;""""), ""真實收入"",
  TRUE, ""其他""
)"),"其他")</f>
        <v>其他</v>
      </c>
      <c r="K6546" s="270" t="str">
        <f t="shared" si="2"/>
        <v/>
      </c>
      <c r="L6546">
        <f t="shared" si="3"/>
        <v>0</v>
      </c>
    </row>
    <row r="6547">
      <c r="A6547" s="107"/>
      <c r="D6547" s="270"/>
      <c r="H6547" s="106" t="str">
        <f t="shared" si="1"/>
        <v/>
      </c>
      <c r="J6547" t="str">
        <f>IFERROR(__xludf.DUMMYFUNCTION("IFS(
  AND(REGEXMATCH(E6547, ""台銀籌備帳戶|玉山帳戶""), REGEXMATCH(C6547, ""薪資"")), ""分潤支出"",
  AND(REGEXMATCH(E6547, ""Ben帳戶|Elsa帳戶|Ben代墊|Ariel代墊|中信銀行共用""), REGEXMATCH(F6547, ""Ben帳戶|Elsa帳戶|Ben代墊|Ariel代墊|中信銀行共用"")), ""內部轉帳(忽略)"",
  AND(E6547&lt;&gt;"""", F6547&lt;&gt;"""", N"&amp;"OT(REGEXMATCH(C6547, ""薪資""))), ""內部轉帳(忽略)"",
  REGEXMATCH(C6547, ""薪資""), ""薪資變動(不計入)"",
  REGEXMATCH(C6547, ""押金""), ""押金往來"",
  AND(E6547&lt;&gt;"""", F6547=""""), ""真實支出"",
  AND(E6547="""", F6547&lt;&gt;""""), ""真實收入"",
  TRUE, ""其他""
)"),"其他")</f>
        <v>其他</v>
      </c>
      <c r="K6547" s="270" t="str">
        <f t="shared" si="2"/>
        <v/>
      </c>
      <c r="L6547">
        <f t="shared" si="3"/>
        <v>0</v>
      </c>
    </row>
    <row r="6548">
      <c r="A6548" s="107"/>
      <c r="D6548" s="270"/>
      <c r="H6548" s="106" t="str">
        <f t="shared" si="1"/>
        <v/>
      </c>
      <c r="J6548" t="str">
        <f>IFERROR(__xludf.DUMMYFUNCTION("IFS(
  AND(REGEXMATCH(E6548, ""台銀籌備帳戶|玉山帳戶""), REGEXMATCH(C6548, ""薪資"")), ""分潤支出"",
  AND(REGEXMATCH(E6548, ""Ben帳戶|Elsa帳戶|Ben代墊|Ariel代墊|中信銀行共用""), REGEXMATCH(F6548, ""Ben帳戶|Elsa帳戶|Ben代墊|Ariel代墊|中信銀行共用"")), ""內部轉帳(忽略)"",
  AND(E6548&lt;&gt;"""", F6548&lt;&gt;"""", N"&amp;"OT(REGEXMATCH(C6548, ""薪資""))), ""內部轉帳(忽略)"",
  REGEXMATCH(C6548, ""薪資""), ""薪資變動(不計入)"",
  REGEXMATCH(C6548, ""押金""), ""押金往來"",
  AND(E6548&lt;&gt;"""", F6548=""""), ""真實支出"",
  AND(E6548="""", F6548&lt;&gt;""""), ""真實收入"",
  TRUE, ""其他""
)"),"其他")</f>
        <v>其他</v>
      </c>
      <c r="K6548" s="270" t="str">
        <f t="shared" si="2"/>
        <v/>
      </c>
      <c r="L6548">
        <f t="shared" si="3"/>
        <v>0</v>
      </c>
    </row>
    <row r="6549">
      <c r="A6549" s="107"/>
      <c r="D6549" s="270"/>
      <c r="H6549" s="106" t="str">
        <f t="shared" si="1"/>
        <v/>
      </c>
      <c r="J6549" t="str">
        <f>IFERROR(__xludf.DUMMYFUNCTION("IFS(
  AND(REGEXMATCH(E6549, ""台銀籌備帳戶|玉山帳戶""), REGEXMATCH(C6549, ""薪資"")), ""分潤支出"",
  AND(REGEXMATCH(E6549, ""Ben帳戶|Elsa帳戶|Ben代墊|Ariel代墊|中信銀行共用""), REGEXMATCH(F6549, ""Ben帳戶|Elsa帳戶|Ben代墊|Ariel代墊|中信銀行共用"")), ""內部轉帳(忽略)"",
  AND(E6549&lt;&gt;"""", F6549&lt;&gt;"""", N"&amp;"OT(REGEXMATCH(C6549, ""薪資""))), ""內部轉帳(忽略)"",
  REGEXMATCH(C6549, ""薪資""), ""薪資變動(不計入)"",
  REGEXMATCH(C6549, ""押金""), ""押金往來"",
  AND(E6549&lt;&gt;"""", F6549=""""), ""真實支出"",
  AND(E6549="""", F6549&lt;&gt;""""), ""真實收入"",
  TRUE, ""其他""
)"),"其他")</f>
        <v>其他</v>
      </c>
      <c r="K6549" s="270" t="str">
        <f t="shared" si="2"/>
        <v/>
      </c>
      <c r="L6549">
        <f t="shared" si="3"/>
        <v>0</v>
      </c>
    </row>
    <row r="6550">
      <c r="A6550" s="107"/>
      <c r="D6550" s="270"/>
      <c r="H6550" s="106" t="str">
        <f t="shared" si="1"/>
        <v/>
      </c>
      <c r="J6550" t="str">
        <f>IFERROR(__xludf.DUMMYFUNCTION("IFS(
  AND(REGEXMATCH(E6550, ""台銀籌備帳戶|玉山帳戶""), REGEXMATCH(C6550, ""薪資"")), ""分潤支出"",
  AND(REGEXMATCH(E6550, ""Ben帳戶|Elsa帳戶|Ben代墊|Ariel代墊|中信銀行共用""), REGEXMATCH(F6550, ""Ben帳戶|Elsa帳戶|Ben代墊|Ariel代墊|中信銀行共用"")), ""內部轉帳(忽略)"",
  AND(E6550&lt;&gt;"""", F6550&lt;&gt;"""", N"&amp;"OT(REGEXMATCH(C6550, ""薪資""))), ""內部轉帳(忽略)"",
  REGEXMATCH(C6550, ""薪資""), ""薪資變動(不計入)"",
  REGEXMATCH(C6550, ""押金""), ""押金往來"",
  AND(E6550&lt;&gt;"""", F6550=""""), ""真實支出"",
  AND(E6550="""", F6550&lt;&gt;""""), ""真實收入"",
  TRUE, ""其他""
)"),"其他")</f>
        <v>其他</v>
      </c>
      <c r="K6550" s="270" t="str">
        <f t="shared" si="2"/>
        <v/>
      </c>
      <c r="L6550">
        <f t="shared" si="3"/>
        <v>0</v>
      </c>
    </row>
    <row r="6551">
      <c r="A6551" s="107"/>
      <c r="D6551" s="270"/>
      <c r="H6551" s="106" t="str">
        <f t="shared" si="1"/>
        <v/>
      </c>
      <c r="J6551" t="str">
        <f>IFERROR(__xludf.DUMMYFUNCTION("IFS(
  AND(REGEXMATCH(E6551, ""台銀籌備帳戶|玉山帳戶""), REGEXMATCH(C6551, ""薪資"")), ""分潤支出"",
  AND(REGEXMATCH(E6551, ""Ben帳戶|Elsa帳戶|Ben代墊|Ariel代墊|中信銀行共用""), REGEXMATCH(F6551, ""Ben帳戶|Elsa帳戶|Ben代墊|Ariel代墊|中信銀行共用"")), ""內部轉帳(忽略)"",
  AND(E6551&lt;&gt;"""", F6551&lt;&gt;"""", N"&amp;"OT(REGEXMATCH(C6551, ""薪資""))), ""內部轉帳(忽略)"",
  REGEXMATCH(C6551, ""薪資""), ""薪資變動(不計入)"",
  REGEXMATCH(C6551, ""押金""), ""押金往來"",
  AND(E6551&lt;&gt;"""", F6551=""""), ""真實支出"",
  AND(E6551="""", F6551&lt;&gt;""""), ""真實收入"",
  TRUE, ""其他""
)"),"其他")</f>
        <v>其他</v>
      </c>
      <c r="K6551" s="270" t="str">
        <f t="shared" si="2"/>
        <v/>
      </c>
      <c r="L6551">
        <f t="shared" si="3"/>
        <v>0</v>
      </c>
    </row>
    <row r="6552">
      <c r="A6552" s="107"/>
      <c r="D6552" s="270"/>
      <c r="H6552" s="106" t="str">
        <f t="shared" si="1"/>
        <v/>
      </c>
      <c r="J6552" t="str">
        <f>IFERROR(__xludf.DUMMYFUNCTION("IFS(
  AND(REGEXMATCH(E6552, ""台銀籌備帳戶|玉山帳戶""), REGEXMATCH(C6552, ""薪資"")), ""分潤支出"",
  AND(REGEXMATCH(E6552, ""Ben帳戶|Elsa帳戶|Ben代墊|Ariel代墊|中信銀行共用""), REGEXMATCH(F6552, ""Ben帳戶|Elsa帳戶|Ben代墊|Ariel代墊|中信銀行共用"")), ""內部轉帳(忽略)"",
  AND(E6552&lt;&gt;"""", F6552&lt;&gt;"""", N"&amp;"OT(REGEXMATCH(C6552, ""薪資""))), ""內部轉帳(忽略)"",
  REGEXMATCH(C6552, ""薪資""), ""薪資變動(不計入)"",
  REGEXMATCH(C6552, ""押金""), ""押金往來"",
  AND(E6552&lt;&gt;"""", F6552=""""), ""真實支出"",
  AND(E6552="""", F6552&lt;&gt;""""), ""真實收入"",
  TRUE, ""其他""
)"),"其他")</f>
        <v>其他</v>
      </c>
      <c r="K6552" s="270" t="str">
        <f t="shared" si="2"/>
        <v/>
      </c>
      <c r="L6552">
        <f t="shared" si="3"/>
        <v>0</v>
      </c>
    </row>
    <row r="6553">
      <c r="A6553" s="107"/>
      <c r="D6553" s="270"/>
      <c r="H6553" s="106" t="str">
        <f t="shared" si="1"/>
        <v/>
      </c>
      <c r="J6553" t="str">
        <f>IFERROR(__xludf.DUMMYFUNCTION("IFS(
  AND(REGEXMATCH(E6553, ""台銀籌備帳戶|玉山帳戶""), REGEXMATCH(C6553, ""薪資"")), ""分潤支出"",
  AND(REGEXMATCH(E6553, ""Ben帳戶|Elsa帳戶|Ben代墊|Ariel代墊|中信銀行共用""), REGEXMATCH(F6553, ""Ben帳戶|Elsa帳戶|Ben代墊|Ariel代墊|中信銀行共用"")), ""內部轉帳(忽略)"",
  AND(E6553&lt;&gt;"""", F6553&lt;&gt;"""", N"&amp;"OT(REGEXMATCH(C6553, ""薪資""))), ""內部轉帳(忽略)"",
  REGEXMATCH(C6553, ""薪資""), ""薪資變動(不計入)"",
  REGEXMATCH(C6553, ""押金""), ""押金往來"",
  AND(E6553&lt;&gt;"""", F6553=""""), ""真實支出"",
  AND(E6553="""", F6553&lt;&gt;""""), ""真實收入"",
  TRUE, ""其他""
)"),"其他")</f>
        <v>其他</v>
      </c>
      <c r="K6553" s="270" t="str">
        <f t="shared" si="2"/>
        <v/>
      </c>
      <c r="L6553">
        <f t="shared" si="3"/>
        <v>0</v>
      </c>
    </row>
    <row r="6554">
      <c r="A6554" s="107"/>
      <c r="D6554" s="270"/>
      <c r="H6554" s="106" t="str">
        <f t="shared" si="1"/>
        <v/>
      </c>
      <c r="J6554" t="str">
        <f>IFERROR(__xludf.DUMMYFUNCTION("IFS(
  AND(REGEXMATCH(E6554, ""台銀籌備帳戶|玉山帳戶""), REGEXMATCH(C6554, ""薪資"")), ""分潤支出"",
  AND(REGEXMATCH(E6554, ""Ben帳戶|Elsa帳戶|Ben代墊|Ariel代墊|中信銀行共用""), REGEXMATCH(F6554, ""Ben帳戶|Elsa帳戶|Ben代墊|Ariel代墊|中信銀行共用"")), ""內部轉帳(忽略)"",
  AND(E6554&lt;&gt;"""", F6554&lt;&gt;"""", N"&amp;"OT(REGEXMATCH(C6554, ""薪資""))), ""內部轉帳(忽略)"",
  REGEXMATCH(C6554, ""薪資""), ""薪資變動(不計入)"",
  REGEXMATCH(C6554, ""押金""), ""押金往來"",
  AND(E6554&lt;&gt;"""", F6554=""""), ""真實支出"",
  AND(E6554="""", F6554&lt;&gt;""""), ""真實收入"",
  TRUE, ""其他""
)"),"其他")</f>
        <v>其他</v>
      </c>
      <c r="K6554" s="270" t="str">
        <f t="shared" si="2"/>
        <v/>
      </c>
      <c r="L6554">
        <f t="shared" si="3"/>
        <v>0</v>
      </c>
    </row>
    <row r="6555">
      <c r="A6555" s="107"/>
      <c r="D6555" s="270"/>
      <c r="H6555" s="106" t="str">
        <f t="shared" si="1"/>
        <v/>
      </c>
      <c r="J6555" t="str">
        <f>IFERROR(__xludf.DUMMYFUNCTION("IFS(
  AND(REGEXMATCH(E6555, ""台銀籌備帳戶|玉山帳戶""), REGEXMATCH(C6555, ""薪資"")), ""分潤支出"",
  AND(REGEXMATCH(E6555, ""Ben帳戶|Elsa帳戶|Ben代墊|Ariel代墊|中信銀行共用""), REGEXMATCH(F6555, ""Ben帳戶|Elsa帳戶|Ben代墊|Ariel代墊|中信銀行共用"")), ""內部轉帳(忽略)"",
  AND(E6555&lt;&gt;"""", F6555&lt;&gt;"""", N"&amp;"OT(REGEXMATCH(C6555, ""薪資""))), ""內部轉帳(忽略)"",
  REGEXMATCH(C6555, ""薪資""), ""薪資變動(不計入)"",
  REGEXMATCH(C6555, ""押金""), ""押金往來"",
  AND(E6555&lt;&gt;"""", F6555=""""), ""真實支出"",
  AND(E6555="""", F6555&lt;&gt;""""), ""真實收入"",
  TRUE, ""其他""
)"),"其他")</f>
        <v>其他</v>
      </c>
      <c r="K6555" s="270" t="str">
        <f t="shared" si="2"/>
        <v/>
      </c>
      <c r="L6555">
        <f t="shared" si="3"/>
        <v>0</v>
      </c>
    </row>
    <row r="6556">
      <c r="A6556" s="107"/>
      <c r="D6556" s="270"/>
      <c r="H6556" s="106" t="str">
        <f t="shared" si="1"/>
        <v/>
      </c>
      <c r="J6556" t="str">
        <f>IFERROR(__xludf.DUMMYFUNCTION("IFS(
  AND(REGEXMATCH(E6556, ""台銀籌備帳戶|玉山帳戶""), REGEXMATCH(C6556, ""薪資"")), ""分潤支出"",
  AND(REGEXMATCH(E6556, ""Ben帳戶|Elsa帳戶|Ben代墊|Ariel代墊|中信銀行共用""), REGEXMATCH(F6556, ""Ben帳戶|Elsa帳戶|Ben代墊|Ariel代墊|中信銀行共用"")), ""內部轉帳(忽略)"",
  AND(E6556&lt;&gt;"""", F6556&lt;&gt;"""", N"&amp;"OT(REGEXMATCH(C6556, ""薪資""))), ""內部轉帳(忽略)"",
  REGEXMATCH(C6556, ""薪資""), ""薪資變動(不計入)"",
  REGEXMATCH(C6556, ""押金""), ""押金往來"",
  AND(E6556&lt;&gt;"""", F6556=""""), ""真實支出"",
  AND(E6556="""", F6556&lt;&gt;""""), ""真實收入"",
  TRUE, ""其他""
)"),"其他")</f>
        <v>其他</v>
      </c>
      <c r="K6556" s="270" t="str">
        <f t="shared" si="2"/>
        <v/>
      </c>
      <c r="L6556">
        <f t="shared" si="3"/>
        <v>0</v>
      </c>
    </row>
    <row r="6557">
      <c r="A6557" s="107"/>
      <c r="D6557" s="270"/>
      <c r="H6557" s="106" t="str">
        <f t="shared" si="1"/>
        <v/>
      </c>
      <c r="J6557" t="str">
        <f>IFERROR(__xludf.DUMMYFUNCTION("IFS(
  AND(REGEXMATCH(E6557, ""台銀籌備帳戶|玉山帳戶""), REGEXMATCH(C6557, ""薪資"")), ""分潤支出"",
  AND(REGEXMATCH(E6557, ""Ben帳戶|Elsa帳戶|Ben代墊|Ariel代墊|中信銀行共用""), REGEXMATCH(F6557, ""Ben帳戶|Elsa帳戶|Ben代墊|Ariel代墊|中信銀行共用"")), ""內部轉帳(忽略)"",
  AND(E6557&lt;&gt;"""", F6557&lt;&gt;"""", N"&amp;"OT(REGEXMATCH(C6557, ""薪資""))), ""內部轉帳(忽略)"",
  REGEXMATCH(C6557, ""薪資""), ""薪資變動(不計入)"",
  REGEXMATCH(C6557, ""押金""), ""押金往來"",
  AND(E6557&lt;&gt;"""", F6557=""""), ""真實支出"",
  AND(E6557="""", F6557&lt;&gt;""""), ""真實收入"",
  TRUE, ""其他""
)"),"其他")</f>
        <v>其他</v>
      </c>
      <c r="K6557" s="270" t="str">
        <f t="shared" si="2"/>
        <v/>
      </c>
      <c r="L6557">
        <f t="shared" si="3"/>
        <v>0</v>
      </c>
    </row>
    <row r="6558">
      <c r="A6558" s="107"/>
      <c r="D6558" s="270"/>
      <c r="H6558" s="106" t="str">
        <f t="shared" si="1"/>
        <v/>
      </c>
      <c r="J6558" t="str">
        <f>IFERROR(__xludf.DUMMYFUNCTION("IFS(
  AND(REGEXMATCH(E6558, ""台銀籌備帳戶|玉山帳戶""), REGEXMATCH(C6558, ""薪資"")), ""分潤支出"",
  AND(REGEXMATCH(E6558, ""Ben帳戶|Elsa帳戶|Ben代墊|Ariel代墊|中信銀行共用""), REGEXMATCH(F6558, ""Ben帳戶|Elsa帳戶|Ben代墊|Ariel代墊|中信銀行共用"")), ""內部轉帳(忽略)"",
  AND(E6558&lt;&gt;"""", F6558&lt;&gt;"""", N"&amp;"OT(REGEXMATCH(C6558, ""薪資""))), ""內部轉帳(忽略)"",
  REGEXMATCH(C6558, ""薪資""), ""薪資變動(不計入)"",
  REGEXMATCH(C6558, ""押金""), ""押金往來"",
  AND(E6558&lt;&gt;"""", F6558=""""), ""真實支出"",
  AND(E6558="""", F6558&lt;&gt;""""), ""真實收入"",
  TRUE, ""其他""
)"),"其他")</f>
        <v>其他</v>
      </c>
      <c r="K6558" s="270" t="str">
        <f t="shared" si="2"/>
        <v/>
      </c>
      <c r="L6558">
        <f t="shared" si="3"/>
        <v>0</v>
      </c>
    </row>
    <row r="6559">
      <c r="A6559" s="107"/>
      <c r="D6559" s="270"/>
      <c r="H6559" s="106" t="str">
        <f t="shared" si="1"/>
        <v/>
      </c>
      <c r="J6559" t="str">
        <f>IFERROR(__xludf.DUMMYFUNCTION("IFS(
  AND(REGEXMATCH(E6559, ""台銀籌備帳戶|玉山帳戶""), REGEXMATCH(C6559, ""薪資"")), ""分潤支出"",
  AND(REGEXMATCH(E6559, ""Ben帳戶|Elsa帳戶|Ben代墊|Ariel代墊|中信銀行共用""), REGEXMATCH(F6559, ""Ben帳戶|Elsa帳戶|Ben代墊|Ariel代墊|中信銀行共用"")), ""內部轉帳(忽略)"",
  AND(E6559&lt;&gt;"""", F6559&lt;&gt;"""", N"&amp;"OT(REGEXMATCH(C6559, ""薪資""))), ""內部轉帳(忽略)"",
  REGEXMATCH(C6559, ""薪資""), ""薪資變動(不計入)"",
  REGEXMATCH(C6559, ""押金""), ""押金往來"",
  AND(E6559&lt;&gt;"""", F6559=""""), ""真實支出"",
  AND(E6559="""", F6559&lt;&gt;""""), ""真實收入"",
  TRUE, ""其他""
)"),"其他")</f>
        <v>其他</v>
      </c>
      <c r="K6559" s="270" t="str">
        <f t="shared" si="2"/>
        <v/>
      </c>
      <c r="L6559">
        <f t="shared" si="3"/>
        <v>0</v>
      </c>
    </row>
    <row r="6560">
      <c r="A6560" s="107"/>
      <c r="D6560" s="270"/>
      <c r="H6560" s="106" t="str">
        <f t="shared" si="1"/>
        <v/>
      </c>
      <c r="J6560" t="str">
        <f>IFERROR(__xludf.DUMMYFUNCTION("IFS(
  AND(REGEXMATCH(E6560, ""台銀籌備帳戶|玉山帳戶""), REGEXMATCH(C6560, ""薪資"")), ""分潤支出"",
  AND(REGEXMATCH(E6560, ""Ben帳戶|Elsa帳戶|Ben代墊|Ariel代墊|中信銀行共用""), REGEXMATCH(F6560, ""Ben帳戶|Elsa帳戶|Ben代墊|Ariel代墊|中信銀行共用"")), ""內部轉帳(忽略)"",
  AND(E6560&lt;&gt;"""", F6560&lt;&gt;"""", N"&amp;"OT(REGEXMATCH(C6560, ""薪資""))), ""內部轉帳(忽略)"",
  REGEXMATCH(C6560, ""薪資""), ""薪資變動(不計入)"",
  REGEXMATCH(C6560, ""押金""), ""押金往來"",
  AND(E6560&lt;&gt;"""", F6560=""""), ""真實支出"",
  AND(E6560="""", F6560&lt;&gt;""""), ""真實收入"",
  TRUE, ""其他""
)"),"其他")</f>
        <v>其他</v>
      </c>
      <c r="K6560" s="270" t="str">
        <f t="shared" si="2"/>
        <v/>
      </c>
      <c r="L6560">
        <f t="shared" si="3"/>
        <v>0</v>
      </c>
    </row>
    <row r="6561">
      <c r="A6561" s="107"/>
      <c r="D6561" s="270"/>
      <c r="H6561" s="106" t="str">
        <f t="shared" si="1"/>
        <v/>
      </c>
      <c r="J6561" t="str">
        <f>IFERROR(__xludf.DUMMYFUNCTION("IFS(
  AND(REGEXMATCH(E6561, ""台銀籌備帳戶|玉山帳戶""), REGEXMATCH(C6561, ""薪資"")), ""分潤支出"",
  AND(REGEXMATCH(E6561, ""Ben帳戶|Elsa帳戶|Ben代墊|Ariel代墊|中信銀行共用""), REGEXMATCH(F6561, ""Ben帳戶|Elsa帳戶|Ben代墊|Ariel代墊|中信銀行共用"")), ""內部轉帳(忽略)"",
  AND(E6561&lt;&gt;"""", F6561&lt;&gt;"""", N"&amp;"OT(REGEXMATCH(C6561, ""薪資""))), ""內部轉帳(忽略)"",
  REGEXMATCH(C6561, ""薪資""), ""薪資變動(不計入)"",
  REGEXMATCH(C6561, ""押金""), ""押金往來"",
  AND(E6561&lt;&gt;"""", F6561=""""), ""真實支出"",
  AND(E6561="""", F6561&lt;&gt;""""), ""真實收入"",
  TRUE, ""其他""
)"),"其他")</f>
        <v>其他</v>
      </c>
      <c r="K6561" s="270" t="str">
        <f t="shared" si="2"/>
        <v/>
      </c>
      <c r="L6561">
        <f t="shared" si="3"/>
        <v>0</v>
      </c>
    </row>
    <row r="6562">
      <c r="A6562" s="107"/>
      <c r="D6562" s="270"/>
      <c r="H6562" s="106" t="str">
        <f t="shared" si="1"/>
        <v/>
      </c>
      <c r="J6562" t="str">
        <f>IFERROR(__xludf.DUMMYFUNCTION("IFS(
  AND(REGEXMATCH(E6562, ""台銀籌備帳戶|玉山帳戶""), REGEXMATCH(C6562, ""薪資"")), ""分潤支出"",
  AND(REGEXMATCH(E6562, ""Ben帳戶|Elsa帳戶|Ben代墊|Ariel代墊|中信銀行共用""), REGEXMATCH(F6562, ""Ben帳戶|Elsa帳戶|Ben代墊|Ariel代墊|中信銀行共用"")), ""內部轉帳(忽略)"",
  AND(E6562&lt;&gt;"""", F6562&lt;&gt;"""", N"&amp;"OT(REGEXMATCH(C6562, ""薪資""))), ""內部轉帳(忽略)"",
  REGEXMATCH(C6562, ""薪資""), ""薪資變動(不計入)"",
  REGEXMATCH(C6562, ""押金""), ""押金往來"",
  AND(E6562&lt;&gt;"""", F6562=""""), ""真實支出"",
  AND(E6562="""", F6562&lt;&gt;""""), ""真實收入"",
  TRUE, ""其他""
)"),"其他")</f>
        <v>其他</v>
      </c>
      <c r="K6562" s="270" t="str">
        <f t="shared" si="2"/>
        <v/>
      </c>
      <c r="L6562">
        <f t="shared" si="3"/>
        <v>0</v>
      </c>
    </row>
    <row r="6563">
      <c r="A6563" s="107"/>
      <c r="D6563" s="270"/>
      <c r="H6563" s="106" t="str">
        <f t="shared" si="1"/>
        <v/>
      </c>
      <c r="J6563" t="str">
        <f>IFERROR(__xludf.DUMMYFUNCTION("IFS(
  AND(REGEXMATCH(E6563, ""台銀籌備帳戶|玉山帳戶""), REGEXMATCH(C6563, ""薪資"")), ""分潤支出"",
  AND(REGEXMATCH(E6563, ""Ben帳戶|Elsa帳戶|Ben代墊|Ariel代墊|中信銀行共用""), REGEXMATCH(F6563, ""Ben帳戶|Elsa帳戶|Ben代墊|Ariel代墊|中信銀行共用"")), ""內部轉帳(忽略)"",
  AND(E6563&lt;&gt;"""", F6563&lt;&gt;"""", N"&amp;"OT(REGEXMATCH(C6563, ""薪資""))), ""內部轉帳(忽略)"",
  REGEXMATCH(C6563, ""薪資""), ""薪資變動(不計入)"",
  REGEXMATCH(C6563, ""押金""), ""押金往來"",
  AND(E6563&lt;&gt;"""", F6563=""""), ""真實支出"",
  AND(E6563="""", F6563&lt;&gt;""""), ""真實收入"",
  TRUE, ""其他""
)"),"其他")</f>
        <v>其他</v>
      </c>
      <c r="K6563" s="270" t="str">
        <f t="shared" si="2"/>
        <v/>
      </c>
      <c r="L6563">
        <f t="shared" si="3"/>
        <v>0</v>
      </c>
    </row>
    <row r="6564">
      <c r="A6564" s="107"/>
      <c r="D6564" s="270"/>
      <c r="H6564" s="106" t="str">
        <f t="shared" si="1"/>
        <v/>
      </c>
      <c r="J6564" t="str">
        <f>IFERROR(__xludf.DUMMYFUNCTION("IFS(
  AND(REGEXMATCH(E6564, ""台銀籌備帳戶|玉山帳戶""), REGEXMATCH(C6564, ""薪資"")), ""分潤支出"",
  AND(REGEXMATCH(E6564, ""Ben帳戶|Elsa帳戶|Ben代墊|Ariel代墊|中信銀行共用""), REGEXMATCH(F6564, ""Ben帳戶|Elsa帳戶|Ben代墊|Ariel代墊|中信銀行共用"")), ""內部轉帳(忽略)"",
  AND(E6564&lt;&gt;"""", F6564&lt;&gt;"""", N"&amp;"OT(REGEXMATCH(C6564, ""薪資""))), ""內部轉帳(忽略)"",
  REGEXMATCH(C6564, ""薪資""), ""薪資變動(不計入)"",
  REGEXMATCH(C6564, ""押金""), ""押金往來"",
  AND(E6564&lt;&gt;"""", F6564=""""), ""真實支出"",
  AND(E6564="""", F6564&lt;&gt;""""), ""真實收入"",
  TRUE, ""其他""
)"),"其他")</f>
        <v>其他</v>
      </c>
      <c r="K6564" s="270" t="str">
        <f t="shared" si="2"/>
        <v/>
      </c>
      <c r="L6564">
        <f t="shared" si="3"/>
        <v>0</v>
      </c>
    </row>
    <row r="6565">
      <c r="A6565" s="107"/>
      <c r="D6565" s="270"/>
      <c r="H6565" s="106" t="str">
        <f t="shared" si="1"/>
        <v/>
      </c>
      <c r="J6565" t="str">
        <f>IFERROR(__xludf.DUMMYFUNCTION("IFS(
  AND(REGEXMATCH(E6565, ""台銀籌備帳戶|玉山帳戶""), REGEXMATCH(C6565, ""薪資"")), ""分潤支出"",
  AND(REGEXMATCH(E6565, ""Ben帳戶|Elsa帳戶|Ben代墊|Ariel代墊|中信銀行共用""), REGEXMATCH(F6565, ""Ben帳戶|Elsa帳戶|Ben代墊|Ariel代墊|中信銀行共用"")), ""內部轉帳(忽略)"",
  AND(E6565&lt;&gt;"""", F6565&lt;&gt;"""", N"&amp;"OT(REGEXMATCH(C6565, ""薪資""))), ""內部轉帳(忽略)"",
  REGEXMATCH(C6565, ""薪資""), ""薪資變動(不計入)"",
  REGEXMATCH(C6565, ""押金""), ""押金往來"",
  AND(E6565&lt;&gt;"""", F6565=""""), ""真實支出"",
  AND(E6565="""", F6565&lt;&gt;""""), ""真實收入"",
  TRUE, ""其他""
)"),"其他")</f>
        <v>其他</v>
      </c>
      <c r="K6565" s="270" t="str">
        <f t="shared" si="2"/>
        <v/>
      </c>
      <c r="L6565">
        <f t="shared" si="3"/>
        <v>0</v>
      </c>
    </row>
    <row r="6566">
      <c r="A6566" s="107"/>
      <c r="D6566" s="270"/>
      <c r="H6566" s="106" t="str">
        <f t="shared" si="1"/>
        <v/>
      </c>
      <c r="J6566" t="str">
        <f>IFERROR(__xludf.DUMMYFUNCTION("IFS(
  AND(REGEXMATCH(E6566, ""台銀籌備帳戶|玉山帳戶""), REGEXMATCH(C6566, ""薪資"")), ""分潤支出"",
  AND(REGEXMATCH(E6566, ""Ben帳戶|Elsa帳戶|Ben代墊|Ariel代墊|中信銀行共用""), REGEXMATCH(F6566, ""Ben帳戶|Elsa帳戶|Ben代墊|Ariel代墊|中信銀行共用"")), ""內部轉帳(忽略)"",
  AND(E6566&lt;&gt;"""", F6566&lt;&gt;"""", N"&amp;"OT(REGEXMATCH(C6566, ""薪資""))), ""內部轉帳(忽略)"",
  REGEXMATCH(C6566, ""薪資""), ""薪資變動(不計入)"",
  REGEXMATCH(C6566, ""押金""), ""押金往來"",
  AND(E6566&lt;&gt;"""", F6566=""""), ""真實支出"",
  AND(E6566="""", F6566&lt;&gt;""""), ""真實收入"",
  TRUE, ""其他""
)"),"其他")</f>
        <v>其他</v>
      </c>
      <c r="K6566" s="270" t="str">
        <f t="shared" si="2"/>
        <v/>
      </c>
      <c r="L6566">
        <f t="shared" si="3"/>
        <v>0</v>
      </c>
    </row>
    <row r="6567">
      <c r="A6567" s="107"/>
      <c r="D6567" s="270"/>
      <c r="H6567" s="106" t="str">
        <f t="shared" si="1"/>
        <v/>
      </c>
      <c r="J6567" t="str">
        <f>IFERROR(__xludf.DUMMYFUNCTION("IFS(
  AND(REGEXMATCH(E6567, ""台銀籌備帳戶|玉山帳戶""), REGEXMATCH(C6567, ""薪資"")), ""分潤支出"",
  AND(REGEXMATCH(E6567, ""Ben帳戶|Elsa帳戶|Ben代墊|Ariel代墊|中信銀行共用""), REGEXMATCH(F6567, ""Ben帳戶|Elsa帳戶|Ben代墊|Ariel代墊|中信銀行共用"")), ""內部轉帳(忽略)"",
  AND(E6567&lt;&gt;"""", F6567&lt;&gt;"""", N"&amp;"OT(REGEXMATCH(C6567, ""薪資""))), ""內部轉帳(忽略)"",
  REGEXMATCH(C6567, ""薪資""), ""薪資變動(不計入)"",
  REGEXMATCH(C6567, ""押金""), ""押金往來"",
  AND(E6567&lt;&gt;"""", F6567=""""), ""真實支出"",
  AND(E6567="""", F6567&lt;&gt;""""), ""真實收入"",
  TRUE, ""其他""
)"),"其他")</f>
        <v>其他</v>
      </c>
      <c r="K6567" s="270" t="str">
        <f t="shared" si="2"/>
        <v/>
      </c>
      <c r="L6567">
        <f t="shared" si="3"/>
        <v>0</v>
      </c>
    </row>
    <row r="6568">
      <c r="A6568" s="107"/>
      <c r="D6568" s="270"/>
      <c r="H6568" s="106" t="str">
        <f t="shared" si="1"/>
        <v/>
      </c>
      <c r="J6568" t="str">
        <f>IFERROR(__xludf.DUMMYFUNCTION("IFS(
  AND(REGEXMATCH(E6568, ""台銀籌備帳戶|玉山帳戶""), REGEXMATCH(C6568, ""薪資"")), ""分潤支出"",
  AND(REGEXMATCH(E6568, ""Ben帳戶|Elsa帳戶|Ben代墊|Ariel代墊|中信銀行共用""), REGEXMATCH(F6568, ""Ben帳戶|Elsa帳戶|Ben代墊|Ariel代墊|中信銀行共用"")), ""內部轉帳(忽略)"",
  AND(E6568&lt;&gt;"""", F6568&lt;&gt;"""", N"&amp;"OT(REGEXMATCH(C6568, ""薪資""))), ""內部轉帳(忽略)"",
  REGEXMATCH(C6568, ""薪資""), ""薪資變動(不計入)"",
  REGEXMATCH(C6568, ""押金""), ""押金往來"",
  AND(E6568&lt;&gt;"""", F6568=""""), ""真實支出"",
  AND(E6568="""", F6568&lt;&gt;""""), ""真實收入"",
  TRUE, ""其他""
)"),"其他")</f>
        <v>其他</v>
      </c>
      <c r="K6568" s="270" t="str">
        <f t="shared" si="2"/>
        <v/>
      </c>
      <c r="L6568">
        <f t="shared" si="3"/>
        <v>0</v>
      </c>
    </row>
    <row r="6569">
      <c r="A6569" s="107"/>
      <c r="D6569" s="270"/>
      <c r="H6569" s="106" t="str">
        <f t="shared" si="1"/>
        <v/>
      </c>
      <c r="J6569" t="str">
        <f>IFERROR(__xludf.DUMMYFUNCTION("IFS(
  AND(REGEXMATCH(E6569, ""台銀籌備帳戶|玉山帳戶""), REGEXMATCH(C6569, ""薪資"")), ""分潤支出"",
  AND(REGEXMATCH(E6569, ""Ben帳戶|Elsa帳戶|Ben代墊|Ariel代墊|中信銀行共用""), REGEXMATCH(F6569, ""Ben帳戶|Elsa帳戶|Ben代墊|Ariel代墊|中信銀行共用"")), ""內部轉帳(忽略)"",
  AND(E6569&lt;&gt;"""", F6569&lt;&gt;"""", N"&amp;"OT(REGEXMATCH(C6569, ""薪資""))), ""內部轉帳(忽略)"",
  REGEXMATCH(C6569, ""薪資""), ""薪資變動(不計入)"",
  REGEXMATCH(C6569, ""押金""), ""押金往來"",
  AND(E6569&lt;&gt;"""", F6569=""""), ""真實支出"",
  AND(E6569="""", F6569&lt;&gt;""""), ""真實收入"",
  TRUE, ""其他""
)"),"其他")</f>
        <v>其他</v>
      </c>
      <c r="K6569" s="270" t="str">
        <f t="shared" si="2"/>
        <v/>
      </c>
      <c r="L6569">
        <f t="shared" si="3"/>
        <v>0</v>
      </c>
    </row>
    <row r="6570">
      <c r="A6570" s="107"/>
      <c r="D6570" s="270"/>
      <c r="H6570" s="106" t="str">
        <f t="shared" si="1"/>
        <v/>
      </c>
      <c r="J6570" t="str">
        <f>IFERROR(__xludf.DUMMYFUNCTION("IFS(
  AND(REGEXMATCH(E6570, ""台銀籌備帳戶|玉山帳戶""), REGEXMATCH(C6570, ""薪資"")), ""分潤支出"",
  AND(REGEXMATCH(E6570, ""Ben帳戶|Elsa帳戶|Ben代墊|Ariel代墊|中信銀行共用""), REGEXMATCH(F6570, ""Ben帳戶|Elsa帳戶|Ben代墊|Ariel代墊|中信銀行共用"")), ""內部轉帳(忽略)"",
  AND(E6570&lt;&gt;"""", F6570&lt;&gt;"""", N"&amp;"OT(REGEXMATCH(C6570, ""薪資""))), ""內部轉帳(忽略)"",
  REGEXMATCH(C6570, ""薪資""), ""薪資變動(不計入)"",
  REGEXMATCH(C6570, ""押金""), ""押金往來"",
  AND(E6570&lt;&gt;"""", F6570=""""), ""真實支出"",
  AND(E6570="""", F6570&lt;&gt;""""), ""真實收入"",
  TRUE, ""其他""
)"),"其他")</f>
        <v>其他</v>
      </c>
      <c r="K6570" s="270" t="str">
        <f t="shared" si="2"/>
        <v/>
      </c>
      <c r="L6570">
        <f t="shared" si="3"/>
        <v>0</v>
      </c>
    </row>
    <row r="6571">
      <c r="A6571" s="107"/>
      <c r="D6571" s="270"/>
      <c r="H6571" s="106" t="str">
        <f t="shared" si="1"/>
        <v/>
      </c>
      <c r="J6571" t="str">
        <f>IFERROR(__xludf.DUMMYFUNCTION("IFS(
  AND(REGEXMATCH(E6571, ""台銀籌備帳戶|玉山帳戶""), REGEXMATCH(C6571, ""薪資"")), ""分潤支出"",
  AND(REGEXMATCH(E6571, ""Ben帳戶|Elsa帳戶|Ben代墊|Ariel代墊|中信銀行共用""), REGEXMATCH(F6571, ""Ben帳戶|Elsa帳戶|Ben代墊|Ariel代墊|中信銀行共用"")), ""內部轉帳(忽略)"",
  AND(E6571&lt;&gt;"""", F6571&lt;&gt;"""", N"&amp;"OT(REGEXMATCH(C6571, ""薪資""))), ""內部轉帳(忽略)"",
  REGEXMATCH(C6571, ""薪資""), ""薪資變動(不計入)"",
  REGEXMATCH(C6571, ""押金""), ""押金往來"",
  AND(E6571&lt;&gt;"""", F6571=""""), ""真實支出"",
  AND(E6571="""", F6571&lt;&gt;""""), ""真實收入"",
  TRUE, ""其他""
)"),"其他")</f>
        <v>其他</v>
      </c>
      <c r="K6571" s="270" t="str">
        <f t="shared" si="2"/>
        <v/>
      </c>
      <c r="L6571">
        <f t="shared" si="3"/>
        <v>0</v>
      </c>
    </row>
    <row r="6572">
      <c r="A6572" s="107"/>
      <c r="D6572" s="270"/>
      <c r="H6572" s="106" t="str">
        <f t="shared" si="1"/>
        <v/>
      </c>
      <c r="J6572" t="str">
        <f>IFERROR(__xludf.DUMMYFUNCTION("IFS(
  AND(REGEXMATCH(E6572, ""台銀籌備帳戶|玉山帳戶""), REGEXMATCH(C6572, ""薪資"")), ""分潤支出"",
  AND(REGEXMATCH(E6572, ""Ben帳戶|Elsa帳戶|Ben代墊|Ariel代墊|中信銀行共用""), REGEXMATCH(F6572, ""Ben帳戶|Elsa帳戶|Ben代墊|Ariel代墊|中信銀行共用"")), ""內部轉帳(忽略)"",
  AND(E6572&lt;&gt;"""", F6572&lt;&gt;"""", N"&amp;"OT(REGEXMATCH(C6572, ""薪資""))), ""內部轉帳(忽略)"",
  REGEXMATCH(C6572, ""薪資""), ""薪資變動(不計入)"",
  REGEXMATCH(C6572, ""押金""), ""押金往來"",
  AND(E6572&lt;&gt;"""", F6572=""""), ""真實支出"",
  AND(E6572="""", F6572&lt;&gt;""""), ""真實收入"",
  TRUE, ""其他""
)"),"其他")</f>
        <v>其他</v>
      </c>
      <c r="K6572" s="270" t="str">
        <f t="shared" si="2"/>
        <v/>
      </c>
      <c r="L6572">
        <f t="shared" si="3"/>
        <v>0</v>
      </c>
    </row>
    <row r="6573">
      <c r="A6573" s="107"/>
      <c r="D6573" s="270"/>
      <c r="H6573" s="106" t="str">
        <f t="shared" si="1"/>
        <v/>
      </c>
      <c r="J6573" t="str">
        <f>IFERROR(__xludf.DUMMYFUNCTION("IFS(
  AND(REGEXMATCH(E6573, ""台銀籌備帳戶|玉山帳戶""), REGEXMATCH(C6573, ""薪資"")), ""分潤支出"",
  AND(REGEXMATCH(E6573, ""Ben帳戶|Elsa帳戶|Ben代墊|Ariel代墊|中信銀行共用""), REGEXMATCH(F6573, ""Ben帳戶|Elsa帳戶|Ben代墊|Ariel代墊|中信銀行共用"")), ""內部轉帳(忽略)"",
  AND(E6573&lt;&gt;"""", F6573&lt;&gt;"""", N"&amp;"OT(REGEXMATCH(C6573, ""薪資""))), ""內部轉帳(忽略)"",
  REGEXMATCH(C6573, ""薪資""), ""薪資變動(不計入)"",
  REGEXMATCH(C6573, ""押金""), ""押金往來"",
  AND(E6573&lt;&gt;"""", F6573=""""), ""真實支出"",
  AND(E6573="""", F6573&lt;&gt;""""), ""真實收入"",
  TRUE, ""其他""
)"),"其他")</f>
        <v>其他</v>
      </c>
      <c r="K6573" s="270" t="str">
        <f t="shared" si="2"/>
        <v/>
      </c>
      <c r="L6573">
        <f t="shared" si="3"/>
        <v>0</v>
      </c>
    </row>
    <row r="6574">
      <c r="A6574" s="107"/>
      <c r="D6574" s="270"/>
      <c r="H6574" s="106" t="str">
        <f t="shared" si="1"/>
        <v/>
      </c>
      <c r="J6574" t="str">
        <f>IFERROR(__xludf.DUMMYFUNCTION("IFS(
  AND(REGEXMATCH(E6574, ""台銀籌備帳戶|玉山帳戶""), REGEXMATCH(C6574, ""薪資"")), ""分潤支出"",
  AND(REGEXMATCH(E6574, ""Ben帳戶|Elsa帳戶|Ben代墊|Ariel代墊|中信銀行共用""), REGEXMATCH(F6574, ""Ben帳戶|Elsa帳戶|Ben代墊|Ariel代墊|中信銀行共用"")), ""內部轉帳(忽略)"",
  AND(E6574&lt;&gt;"""", F6574&lt;&gt;"""", N"&amp;"OT(REGEXMATCH(C6574, ""薪資""))), ""內部轉帳(忽略)"",
  REGEXMATCH(C6574, ""薪資""), ""薪資變動(不計入)"",
  REGEXMATCH(C6574, ""押金""), ""押金往來"",
  AND(E6574&lt;&gt;"""", F6574=""""), ""真實支出"",
  AND(E6574="""", F6574&lt;&gt;""""), ""真實收入"",
  TRUE, ""其他""
)"),"其他")</f>
        <v>其他</v>
      </c>
      <c r="K6574" s="270" t="str">
        <f t="shared" si="2"/>
        <v/>
      </c>
      <c r="L6574">
        <f t="shared" si="3"/>
        <v>0</v>
      </c>
    </row>
    <row r="6575">
      <c r="A6575" s="107"/>
      <c r="D6575" s="270"/>
      <c r="H6575" s="106" t="str">
        <f t="shared" si="1"/>
        <v/>
      </c>
      <c r="J6575" t="str">
        <f>IFERROR(__xludf.DUMMYFUNCTION("IFS(
  AND(REGEXMATCH(E6575, ""台銀籌備帳戶|玉山帳戶""), REGEXMATCH(C6575, ""薪資"")), ""分潤支出"",
  AND(REGEXMATCH(E6575, ""Ben帳戶|Elsa帳戶|Ben代墊|Ariel代墊|中信銀行共用""), REGEXMATCH(F6575, ""Ben帳戶|Elsa帳戶|Ben代墊|Ariel代墊|中信銀行共用"")), ""內部轉帳(忽略)"",
  AND(E6575&lt;&gt;"""", F6575&lt;&gt;"""", N"&amp;"OT(REGEXMATCH(C6575, ""薪資""))), ""內部轉帳(忽略)"",
  REGEXMATCH(C6575, ""薪資""), ""薪資變動(不計入)"",
  REGEXMATCH(C6575, ""押金""), ""押金往來"",
  AND(E6575&lt;&gt;"""", F6575=""""), ""真實支出"",
  AND(E6575="""", F6575&lt;&gt;""""), ""真實收入"",
  TRUE, ""其他""
)"),"其他")</f>
        <v>其他</v>
      </c>
      <c r="K6575" s="270" t="str">
        <f t="shared" si="2"/>
        <v/>
      </c>
      <c r="L6575">
        <f t="shared" si="3"/>
        <v>0</v>
      </c>
    </row>
    <row r="6576">
      <c r="A6576" s="107"/>
      <c r="D6576" s="270"/>
      <c r="H6576" s="106" t="str">
        <f t="shared" si="1"/>
        <v/>
      </c>
      <c r="J6576" t="str">
        <f>IFERROR(__xludf.DUMMYFUNCTION("IFS(
  AND(REGEXMATCH(E6576, ""台銀籌備帳戶|玉山帳戶""), REGEXMATCH(C6576, ""薪資"")), ""分潤支出"",
  AND(REGEXMATCH(E6576, ""Ben帳戶|Elsa帳戶|Ben代墊|Ariel代墊|中信銀行共用""), REGEXMATCH(F6576, ""Ben帳戶|Elsa帳戶|Ben代墊|Ariel代墊|中信銀行共用"")), ""內部轉帳(忽略)"",
  AND(E6576&lt;&gt;"""", F6576&lt;&gt;"""", N"&amp;"OT(REGEXMATCH(C6576, ""薪資""))), ""內部轉帳(忽略)"",
  REGEXMATCH(C6576, ""薪資""), ""薪資變動(不計入)"",
  REGEXMATCH(C6576, ""押金""), ""押金往來"",
  AND(E6576&lt;&gt;"""", F6576=""""), ""真實支出"",
  AND(E6576="""", F6576&lt;&gt;""""), ""真實收入"",
  TRUE, ""其他""
)"),"其他")</f>
        <v>其他</v>
      </c>
      <c r="K6576" s="270" t="str">
        <f t="shared" si="2"/>
        <v/>
      </c>
      <c r="L6576">
        <f t="shared" si="3"/>
        <v>0</v>
      </c>
    </row>
    <row r="6577">
      <c r="A6577" s="107"/>
      <c r="D6577" s="270"/>
      <c r="H6577" s="106" t="str">
        <f t="shared" si="1"/>
        <v/>
      </c>
      <c r="J6577" t="str">
        <f>IFERROR(__xludf.DUMMYFUNCTION("IFS(
  AND(REGEXMATCH(E6577, ""台銀籌備帳戶|玉山帳戶""), REGEXMATCH(C6577, ""薪資"")), ""分潤支出"",
  AND(REGEXMATCH(E6577, ""Ben帳戶|Elsa帳戶|Ben代墊|Ariel代墊|中信銀行共用""), REGEXMATCH(F6577, ""Ben帳戶|Elsa帳戶|Ben代墊|Ariel代墊|中信銀行共用"")), ""內部轉帳(忽略)"",
  AND(E6577&lt;&gt;"""", F6577&lt;&gt;"""", N"&amp;"OT(REGEXMATCH(C6577, ""薪資""))), ""內部轉帳(忽略)"",
  REGEXMATCH(C6577, ""薪資""), ""薪資變動(不計入)"",
  REGEXMATCH(C6577, ""押金""), ""押金往來"",
  AND(E6577&lt;&gt;"""", F6577=""""), ""真實支出"",
  AND(E6577="""", F6577&lt;&gt;""""), ""真實收入"",
  TRUE, ""其他""
)"),"其他")</f>
        <v>其他</v>
      </c>
      <c r="K6577" s="270" t="str">
        <f t="shared" si="2"/>
        <v/>
      </c>
      <c r="L6577">
        <f t="shared" si="3"/>
        <v>0</v>
      </c>
    </row>
    <row r="6578">
      <c r="A6578" s="107"/>
      <c r="D6578" s="270"/>
      <c r="H6578" s="106" t="str">
        <f t="shared" si="1"/>
        <v/>
      </c>
      <c r="J6578" t="str">
        <f>IFERROR(__xludf.DUMMYFUNCTION("IFS(
  AND(REGEXMATCH(E6578, ""台銀籌備帳戶|玉山帳戶""), REGEXMATCH(C6578, ""薪資"")), ""分潤支出"",
  AND(REGEXMATCH(E6578, ""Ben帳戶|Elsa帳戶|Ben代墊|Ariel代墊|中信銀行共用""), REGEXMATCH(F6578, ""Ben帳戶|Elsa帳戶|Ben代墊|Ariel代墊|中信銀行共用"")), ""內部轉帳(忽略)"",
  AND(E6578&lt;&gt;"""", F6578&lt;&gt;"""", N"&amp;"OT(REGEXMATCH(C6578, ""薪資""))), ""內部轉帳(忽略)"",
  REGEXMATCH(C6578, ""薪資""), ""薪資變動(不計入)"",
  REGEXMATCH(C6578, ""押金""), ""押金往來"",
  AND(E6578&lt;&gt;"""", F6578=""""), ""真實支出"",
  AND(E6578="""", F6578&lt;&gt;""""), ""真實收入"",
  TRUE, ""其他""
)"),"其他")</f>
        <v>其他</v>
      </c>
      <c r="K6578" s="270" t="str">
        <f t="shared" si="2"/>
        <v/>
      </c>
      <c r="L6578">
        <f t="shared" si="3"/>
        <v>0</v>
      </c>
    </row>
    <row r="6579">
      <c r="A6579" s="107"/>
      <c r="D6579" s="270"/>
      <c r="H6579" s="106" t="str">
        <f t="shared" si="1"/>
        <v/>
      </c>
      <c r="J6579" t="str">
        <f>IFERROR(__xludf.DUMMYFUNCTION("IFS(
  AND(REGEXMATCH(E6579, ""台銀籌備帳戶|玉山帳戶""), REGEXMATCH(C6579, ""薪資"")), ""分潤支出"",
  AND(REGEXMATCH(E6579, ""Ben帳戶|Elsa帳戶|Ben代墊|Ariel代墊|中信銀行共用""), REGEXMATCH(F6579, ""Ben帳戶|Elsa帳戶|Ben代墊|Ariel代墊|中信銀行共用"")), ""內部轉帳(忽略)"",
  AND(E6579&lt;&gt;"""", F6579&lt;&gt;"""", N"&amp;"OT(REGEXMATCH(C6579, ""薪資""))), ""內部轉帳(忽略)"",
  REGEXMATCH(C6579, ""薪資""), ""薪資變動(不計入)"",
  REGEXMATCH(C6579, ""押金""), ""押金往來"",
  AND(E6579&lt;&gt;"""", F6579=""""), ""真實支出"",
  AND(E6579="""", F6579&lt;&gt;""""), ""真實收入"",
  TRUE, ""其他""
)"),"其他")</f>
        <v>其他</v>
      </c>
      <c r="K6579" s="270" t="str">
        <f t="shared" si="2"/>
        <v/>
      </c>
      <c r="L6579">
        <f t="shared" si="3"/>
        <v>0</v>
      </c>
    </row>
    <row r="6580">
      <c r="A6580" s="107"/>
      <c r="D6580" s="270"/>
      <c r="H6580" s="106" t="str">
        <f t="shared" si="1"/>
        <v/>
      </c>
      <c r="J6580" t="str">
        <f>IFERROR(__xludf.DUMMYFUNCTION("IFS(
  AND(REGEXMATCH(E6580, ""台銀籌備帳戶|玉山帳戶""), REGEXMATCH(C6580, ""薪資"")), ""分潤支出"",
  AND(REGEXMATCH(E6580, ""Ben帳戶|Elsa帳戶|Ben代墊|Ariel代墊|中信銀行共用""), REGEXMATCH(F6580, ""Ben帳戶|Elsa帳戶|Ben代墊|Ariel代墊|中信銀行共用"")), ""內部轉帳(忽略)"",
  AND(E6580&lt;&gt;"""", F6580&lt;&gt;"""", N"&amp;"OT(REGEXMATCH(C6580, ""薪資""))), ""內部轉帳(忽略)"",
  REGEXMATCH(C6580, ""薪資""), ""薪資變動(不計入)"",
  REGEXMATCH(C6580, ""押金""), ""押金往來"",
  AND(E6580&lt;&gt;"""", F6580=""""), ""真實支出"",
  AND(E6580="""", F6580&lt;&gt;""""), ""真實收入"",
  TRUE, ""其他""
)"),"其他")</f>
        <v>其他</v>
      </c>
      <c r="K6580" s="270" t="str">
        <f t="shared" si="2"/>
        <v/>
      </c>
      <c r="L6580">
        <f t="shared" si="3"/>
        <v>0</v>
      </c>
    </row>
    <row r="6581">
      <c r="A6581" s="107"/>
      <c r="D6581" s="270"/>
      <c r="H6581" s="106" t="str">
        <f t="shared" si="1"/>
        <v/>
      </c>
      <c r="J6581" t="str">
        <f>IFERROR(__xludf.DUMMYFUNCTION("IFS(
  AND(REGEXMATCH(E6581, ""台銀籌備帳戶|玉山帳戶""), REGEXMATCH(C6581, ""薪資"")), ""分潤支出"",
  AND(REGEXMATCH(E6581, ""Ben帳戶|Elsa帳戶|Ben代墊|Ariel代墊|中信銀行共用""), REGEXMATCH(F6581, ""Ben帳戶|Elsa帳戶|Ben代墊|Ariel代墊|中信銀行共用"")), ""內部轉帳(忽略)"",
  AND(E6581&lt;&gt;"""", F6581&lt;&gt;"""", N"&amp;"OT(REGEXMATCH(C6581, ""薪資""))), ""內部轉帳(忽略)"",
  REGEXMATCH(C6581, ""薪資""), ""薪資變動(不計入)"",
  REGEXMATCH(C6581, ""押金""), ""押金往來"",
  AND(E6581&lt;&gt;"""", F6581=""""), ""真實支出"",
  AND(E6581="""", F6581&lt;&gt;""""), ""真實收入"",
  TRUE, ""其他""
)"),"其他")</f>
        <v>其他</v>
      </c>
      <c r="K6581" s="270" t="str">
        <f t="shared" si="2"/>
        <v/>
      </c>
      <c r="L6581">
        <f t="shared" si="3"/>
        <v>0</v>
      </c>
    </row>
    <row r="6582">
      <c r="A6582" s="107"/>
      <c r="D6582" s="270"/>
      <c r="H6582" s="106" t="str">
        <f t="shared" si="1"/>
        <v/>
      </c>
      <c r="J6582" t="str">
        <f>IFERROR(__xludf.DUMMYFUNCTION("IFS(
  AND(REGEXMATCH(E6582, ""台銀籌備帳戶|玉山帳戶""), REGEXMATCH(C6582, ""薪資"")), ""分潤支出"",
  AND(REGEXMATCH(E6582, ""Ben帳戶|Elsa帳戶|Ben代墊|Ariel代墊|中信銀行共用""), REGEXMATCH(F6582, ""Ben帳戶|Elsa帳戶|Ben代墊|Ariel代墊|中信銀行共用"")), ""內部轉帳(忽略)"",
  AND(E6582&lt;&gt;"""", F6582&lt;&gt;"""", N"&amp;"OT(REGEXMATCH(C6582, ""薪資""))), ""內部轉帳(忽略)"",
  REGEXMATCH(C6582, ""薪資""), ""薪資變動(不計入)"",
  REGEXMATCH(C6582, ""押金""), ""押金往來"",
  AND(E6582&lt;&gt;"""", F6582=""""), ""真實支出"",
  AND(E6582="""", F6582&lt;&gt;""""), ""真實收入"",
  TRUE, ""其他""
)"),"其他")</f>
        <v>其他</v>
      </c>
      <c r="K6582" s="270" t="str">
        <f t="shared" si="2"/>
        <v/>
      </c>
      <c r="L6582">
        <f t="shared" si="3"/>
        <v>0</v>
      </c>
    </row>
    <row r="6583">
      <c r="A6583" s="107"/>
      <c r="D6583" s="270"/>
      <c r="H6583" s="106" t="str">
        <f t="shared" si="1"/>
        <v/>
      </c>
      <c r="J6583" t="str">
        <f>IFERROR(__xludf.DUMMYFUNCTION("IFS(
  AND(REGEXMATCH(E6583, ""台銀籌備帳戶|玉山帳戶""), REGEXMATCH(C6583, ""薪資"")), ""分潤支出"",
  AND(REGEXMATCH(E6583, ""Ben帳戶|Elsa帳戶|Ben代墊|Ariel代墊|中信銀行共用""), REGEXMATCH(F6583, ""Ben帳戶|Elsa帳戶|Ben代墊|Ariel代墊|中信銀行共用"")), ""內部轉帳(忽略)"",
  AND(E6583&lt;&gt;"""", F6583&lt;&gt;"""", N"&amp;"OT(REGEXMATCH(C6583, ""薪資""))), ""內部轉帳(忽略)"",
  REGEXMATCH(C6583, ""薪資""), ""薪資變動(不計入)"",
  REGEXMATCH(C6583, ""押金""), ""押金往來"",
  AND(E6583&lt;&gt;"""", F6583=""""), ""真實支出"",
  AND(E6583="""", F6583&lt;&gt;""""), ""真實收入"",
  TRUE, ""其他""
)"),"其他")</f>
        <v>其他</v>
      </c>
      <c r="K6583" s="270" t="str">
        <f t="shared" si="2"/>
        <v/>
      </c>
      <c r="L6583">
        <f t="shared" si="3"/>
        <v>0</v>
      </c>
    </row>
    <row r="6584">
      <c r="A6584" s="107"/>
      <c r="D6584" s="270"/>
      <c r="H6584" s="106" t="str">
        <f t="shared" si="1"/>
        <v/>
      </c>
      <c r="J6584" t="str">
        <f>IFERROR(__xludf.DUMMYFUNCTION("IFS(
  AND(REGEXMATCH(E6584, ""台銀籌備帳戶|玉山帳戶""), REGEXMATCH(C6584, ""薪資"")), ""分潤支出"",
  AND(REGEXMATCH(E6584, ""Ben帳戶|Elsa帳戶|Ben代墊|Ariel代墊|中信銀行共用""), REGEXMATCH(F6584, ""Ben帳戶|Elsa帳戶|Ben代墊|Ariel代墊|中信銀行共用"")), ""內部轉帳(忽略)"",
  AND(E6584&lt;&gt;"""", F6584&lt;&gt;"""", N"&amp;"OT(REGEXMATCH(C6584, ""薪資""))), ""內部轉帳(忽略)"",
  REGEXMATCH(C6584, ""薪資""), ""薪資變動(不計入)"",
  REGEXMATCH(C6584, ""押金""), ""押金往來"",
  AND(E6584&lt;&gt;"""", F6584=""""), ""真實支出"",
  AND(E6584="""", F6584&lt;&gt;""""), ""真實收入"",
  TRUE, ""其他""
)"),"其他")</f>
        <v>其他</v>
      </c>
      <c r="K6584" s="270" t="str">
        <f t="shared" si="2"/>
        <v/>
      </c>
      <c r="L6584">
        <f t="shared" si="3"/>
        <v>0</v>
      </c>
    </row>
    <row r="6585">
      <c r="A6585" s="107"/>
      <c r="D6585" s="270"/>
      <c r="H6585" s="106" t="str">
        <f t="shared" si="1"/>
        <v/>
      </c>
      <c r="J6585" t="str">
        <f>IFERROR(__xludf.DUMMYFUNCTION("IFS(
  AND(REGEXMATCH(E6585, ""台銀籌備帳戶|玉山帳戶""), REGEXMATCH(C6585, ""薪資"")), ""分潤支出"",
  AND(REGEXMATCH(E6585, ""Ben帳戶|Elsa帳戶|Ben代墊|Ariel代墊|中信銀行共用""), REGEXMATCH(F6585, ""Ben帳戶|Elsa帳戶|Ben代墊|Ariel代墊|中信銀行共用"")), ""內部轉帳(忽略)"",
  AND(E6585&lt;&gt;"""", F6585&lt;&gt;"""", N"&amp;"OT(REGEXMATCH(C6585, ""薪資""))), ""內部轉帳(忽略)"",
  REGEXMATCH(C6585, ""薪資""), ""薪資變動(不計入)"",
  REGEXMATCH(C6585, ""押金""), ""押金往來"",
  AND(E6585&lt;&gt;"""", F6585=""""), ""真實支出"",
  AND(E6585="""", F6585&lt;&gt;""""), ""真實收入"",
  TRUE, ""其他""
)"),"其他")</f>
        <v>其他</v>
      </c>
      <c r="K6585" s="270" t="str">
        <f t="shared" si="2"/>
        <v/>
      </c>
      <c r="L6585">
        <f t="shared" si="3"/>
        <v>0</v>
      </c>
    </row>
    <row r="6586">
      <c r="A6586" s="107"/>
      <c r="D6586" s="270"/>
      <c r="H6586" s="106" t="str">
        <f t="shared" si="1"/>
        <v/>
      </c>
      <c r="J6586" t="str">
        <f>IFERROR(__xludf.DUMMYFUNCTION("IFS(
  AND(REGEXMATCH(E6586, ""台銀籌備帳戶|玉山帳戶""), REGEXMATCH(C6586, ""薪資"")), ""分潤支出"",
  AND(REGEXMATCH(E6586, ""Ben帳戶|Elsa帳戶|Ben代墊|Ariel代墊|中信銀行共用""), REGEXMATCH(F6586, ""Ben帳戶|Elsa帳戶|Ben代墊|Ariel代墊|中信銀行共用"")), ""內部轉帳(忽略)"",
  AND(E6586&lt;&gt;"""", F6586&lt;&gt;"""", N"&amp;"OT(REGEXMATCH(C6586, ""薪資""))), ""內部轉帳(忽略)"",
  REGEXMATCH(C6586, ""薪資""), ""薪資變動(不計入)"",
  REGEXMATCH(C6586, ""押金""), ""押金往來"",
  AND(E6586&lt;&gt;"""", F6586=""""), ""真實支出"",
  AND(E6586="""", F6586&lt;&gt;""""), ""真實收入"",
  TRUE, ""其他""
)"),"其他")</f>
        <v>其他</v>
      </c>
      <c r="K6586" s="270" t="str">
        <f t="shared" si="2"/>
        <v/>
      </c>
      <c r="L6586">
        <f t="shared" si="3"/>
        <v>0</v>
      </c>
    </row>
    <row r="6587">
      <c r="A6587" s="107"/>
      <c r="D6587" s="270"/>
      <c r="H6587" s="106" t="str">
        <f t="shared" si="1"/>
        <v/>
      </c>
      <c r="J6587" t="str">
        <f>IFERROR(__xludf.DUMMYFUNCTION("IFS(
  AND(REGEXMATCH(E6587, ""台銀籌備帳戶|玉山帳戶""), REGEXMATCH(C6587, ""薪資"")), ""分潤支出"",
  AND(REGEXMATCH(E6587, ""Ben帳戶|Elsa帳戶|Ben代墊|Ariel代墊|中信銀行共用""), REGEXMATCH(F6587, ""Ben帳戶|Elsa帳戶|Ben代墊|Ariel代墊|中信銀行共用"")), ""內部轉帳(忽略)"",
  AND(E6587&lt;&gt;"""", F6587&lt;&gt;"""", N"&amp;"OT(REGEXMATCH(C6587, ""薪資""))), ""內部轉帳(忽略)"",
  REGEXMATCH(C6587, ""薪資""), ""薪資變動(不計入)"",
  REGEXMATCH(C6587, ""押金""), ""押金往來"",
  AND(E6587&lt;&gt;"""", F6587=""""), ""真實支出"",
  AND(E6587="""", F6587&lt;&gt;""""), ""真實收入"",
  TRUE, ""其他""
)"),"其他")</f>
        <v>其他</v>
      </c>
      <c r="K6587" s="270" t="str">
        <f t="shared" si="2"/>
        <v/>
      </c>
      <c r="L6587">
        <f t="shared" si="3"/>
        <v>0</v>
      </c>
    </row>
    <row r="6588">
      <c r="A6588" s="107"/>
      <c r="D6588" s="270"/>
      <c r="H6588" s="106" t="str">
        <f t="shared" si="1"/>
        <v/>
      </c>
      <c r="J6588" t="str">
        <f>IFERROR(__xludf.DUMMYFUNCTION("IFS(
  AND(REGEXMATCH(E6588, ""台銀籌備帳戶|玉山帳戶""), REGEXMATCH(C6588, ""薪資"")), ""分潤支出"",
  AND(REGEXMATCH(E6588, ""Ben帳戶|Elsa帳戶|Ben代墊|Ariel代墊|中信銀行共用""), REGEXMATCH(F6588, ""Ben帳戶|Elsa帳戶|Ben代墊|Ariel代墊|中信銀行共用"")), ""內部轉帳(忽略)"",
  AND(E6588&lt;&gt;"""", F6588&lt;&gt;"""", N"&amp;"OT(REGEXMATCH(C6588, ""薪資""))), ""內部轉帳(忽略)"",
  REGEXMATCH(C6588, ""薪資""), ""薪資變動(不計入)"",
  REGEXMATCH(C6588, ""押金""), ""押金往來"",
  AND(E6588&lt;&gt;"""", F6588=""""), ""真實支出"",
  AND(E6588="""", F6588&lt;&gt;""""), ""真實收入"",
  TRUE, ""其他""
)"),"其他")</f>
        <v>其他</v>
      </c>
      <c r="K6588" s="270" t="str">
        <f t="shared" si="2"/>
        <v/>
      </c>
      <c r="L6588">
        <f t="shared" si="3"/>
        <v>0</v>
      </c>
    </row>
    <row r="6589">
      <c r="A6589" s="107"/>
      <c r="D6589" s="270"/>
      <c r="H6589" s="106" t="str">
        <f t="shared" si="1"/>
        <v/>
      </c>
      <c r="J6589" t="str">
        <f>IFERROR(__xludf.DUMMYFUNCTION("IFS(
  AND(REGEXMATCH(E6589, ""台銀籌備帳戶|玉山帳戶""), REGEXMATCH(C6589, ""薪資"")), ""分潤支出"",
  AND(REGEXMATCH(E6589, ""Ben帳戶|Elsa帳戶|Ben代墊|Ariel代墊|中信銀行共用""), REGEXMATCH(F6589, ""Ben帳戶|Elsa帳戶|Ben代墊|Ariel代墊|中信銀行共用"")), ""內部轉帳(忽略)"",
  AND(E6589&lt;&gt;"""", F6589&lt;&gt;"""", N"&amp;"OT(REGEXMATCH(C6589, ""薪資""))), ""內部轉帳(忽略)"",
  REGEXMATCH(C6589, ""薪資""), ""薪資變動(不計入)"",
  REGEXMATCH(C6589, ""押金""), ""押金往來"",
  AND(E6589&lt;&gt;"""", F6589=""""), ""真實支出"",
  AND(E6589="""", F6589&lt;&gt;""""), ""真實收入"",
  TRUE, ""其他""
)"),"其他")</f>
        <v>其他</v>
      </c>
      <c r="K6589" s="270" t="str">
        <f t="shared" si="2"/>
        <v/>
      </c>
      <c r="L6589">
        <f t="shared" si="3"/>
        <v>0</v>
      </c>
    </row>
    <row r="6590">
      <c r="A6590" s="107"/>
      <c r="D6590" s="270"/>
      <c r="H6590" s="106" t="str">
        <f t="shared" si="1"/>
        <v/>
      </c>
      <c r="J6590" t="str">
        <f>IFERROR(__xludf.DUMMYFUNCTION("IFS(
  AND(REGEXMATCH(E6590, ""台銀籌備帳戶|玉山帳戶""), REGEXMATCH(C6590, ""薪資"")), ""分潤支出"",
  AND(REGEXMATCH(E6590, ""Ben帳戶|Elsa帳戶|Ben代墊|Ariel代墊|中信銀行共用""), REGEXMATCH(F6590, ""Ben帳戶|Elsa帳戶|Ben代墊|Ariel代墊|中信銀行共用"")), ""內部轉帳(忽略)"",
  AND(E6590&lt;&gt;"""", F6590&lt;&gt;"""", N"&amp;"OT(REGEXMATCH(C6590, ""薪資""))), ""內部轉帳(忽略)"",
  REGEXMATCH(C6590, ""薪資""), ""薪資變動(不計入)"",
  REGEXMATCH(C6590, ""押金""), ""押金往來"",
  AND(E6590&lt;&gt;"""", F6590=""""), ""真實支出"",
  AND(E6590="""", F6590&lt;&gt;""""), ""真實收入"",
  TRUE, ""其他""
)"),"其他")</f>
        <v>其他</v>
      </c>
      <c r="K6590" s="270" t="str">
        <f t="shared" si="2"/>
        <v/>
      </c>
      <c r="L6590">
        <f t="shared" si="3"/>
        <v>0</v>
      </c>
    </row>
    <row r="6591">
      <c r="A6591" s="107"/>
      <c r="D6591" s="270"/>
      <c r="H6591" s="106" t="str">
        <f t="shared" si="1"/>
        <v/>
      </c>
      <c r="J6591" t="str">
        <f>IFERROR(__xludf.DUMMYFUNCTION("IFS(
  AND(REGEXMATCH(E6591, ""台銀籌備帳戶|玉山帳戶""), REGEXMATCH(C6591, ""薪資"")), ""分潤支出"",
  AND(REGEXMATCH(E6591, ""Ben帳戶|Elsa帳戶|Ben代墊|Ariel代墊|中信銀行共用""), REGEXMATCH(F6591, ""Ben帳戶|Elsa帳戶|Ben代墊|Ariel代墊|中信銀行共用"")), ""內部轉帳(忽略)"",
  AND(E6591&lt;&gt;"""", F6591&lt;&gt;"""", N"&amp;"OT(REGEXMATCH(C6591, ""薪資""))), ""內部轉帳(忽略)"",
  REGEXMATCH(C6591, ""薪資""), ""薪資變動(不計入)"",
  REGEXMATCH(C6591, ""押金""), ""押金往來"",
  AND(E6591&lt;&gt;"""", F6591=""""), ""真實支出"",
  AND(E6591="""", F6591&lt;&gt;""""), ""真實收入"",
  TRUE, ""其他""
)"),"其他")</f>
        <v>其他</v>
      </c>
      <c r="K6591" s="270" t="str">
        <f t="shared" si="2"/>
        <v/>
      </c>
      <c r="L6591">
        <f t="shared" si="3"/>
        <v>0</v>
      </c>
    </row>
    <row r="6592">
      <c r="A6592" s="107"/>
      <c r="D6592" s="270"/>
      <c r="H6592" s="106" t="str">
        <f t="shared" si="1"/>
        <v/>
      </c>
      <c r="J6592" t="str">
        <f>IFERROR(__xludf.DUMMYFUNCTION("IFS(
  AND(REGEXMATCH(E6592, ""台銀籌備帳戶|玉山帳戶""), REGEXMATCH(C6592, ""薪資"")), ""分潤支出"",
  AND(REGEXMATCH(E6592, ""Ben帳戶|Elsa帳戶|Ben代墊|Ariel代墊|中信銀行共用""), REGEXMATCH(F6592, ""Ben帳戶|Elsa帳戶|Ben代墊|Ariel代墊|中信銀行共用"")), ""內部轉帳(忽略)"",
  AND(E6592&lt;&gt;"""", F6592&lt;&gt;"""", N"&amp;"OT(REGEXMATCH(C6592, ""薪資""))), ""內部轉帳(忽略)"",
  REGEXMATCH(C6592, ""薪資""), ""薪資變動(不計入)"",
  REGEXMATCH(C6592, ""押金""), ""押金往來"",
  AND(E6592&lt;&gt;"""", F6592=""""), ""真實支出"",
  AND(E6592="""", F6592&lt;&gt;""""), ""真實收入"",
  TRUE, ""其他""
)"),"其他")</f>
        <v>其他</v>
      </c>
      <c r="K6592" s="270" t="str">
        <f t="shared" si="2"/>
        <v/>
      </c>
      <c r="L6592">
        <f t="shared" si="3"/>
        <v>0</v>
      </c>
    </row>
    <row r="6593">
      <c r="A6593" s="107"/>
      <c r="D6593" s="270"/>
      <c r="H6593" s="106" t="str">
        <f t="shared" si="1"/>
        <v/>
      </c>
      <c r="J6593" t="str">
        <f>IFERROR(__xludf.DUMMYFUNCTION("IFS(
  AND(REGEXMATCH(E6593, ""台銀籌備帳戶|玉山帳戶""), REGEXMATCH(C6593, ""薪資"")), ""分潤支出"",
  AND(REGEXMATCH(E6593, ""Ben帳戶|Elsa帳戶|Ben代墊|Ariel代墊|中信銀行共用""), REGEXMATCH(F6593, ""Ben帳戶|Elsa帳戶|Ben代墊|Ariel代墊|中信銀行共用"")), ""內部轉帳(忽略)"",
  AND(E6593&lt;&gt;"""", F6593&lt;&gt;"""", N"&amp;"OT(REGEXMATCH(C6593, ""薪資""))), ""內部轉帳(忽略)"",
  REGEXMATCH(C6593, ""薪資""), ""薪資變動(不計入)"",
  REGEXMATCH(C6593, ""押金""), ""押金往來"",
  AND(E6593&lt;&gt;"""", F6593=""""), ""真實支出"",
  AND(E6593="""", F6593&lt;&gt;""""), ""真實收入"",
  TRUE, ""其他""
)"),"其他")</f>
        <v>其他</v>
      </c>
      <c r="K6593" s="270" t="str">
        <f t="shared" si="2"/>
        <v/>
      </c>
      <c r="L6593">
        <f t="shared" si="3"/>
        <v>0</v>
      </c>
    </row>
    <row r="6594">
      <c r="A6594" s="107"/>
      <c r="D6594" s="270"/>
      <c r="H6594" s="106" t="str">
        <f t="shared" si="1"/>
        <v/>
      </c>
      <c r="J6594" t="str">
        <f>IFERROR(__xludf.DUMMYFUNCTION("IFS(
  AND(REGEXMATCH(E6594, ""台銀籌備帳戶|玉山帳戶""), REGEXMATCH(C6594, ""薪資"")), ""分潤支出"",
  AND(REGEXMATCH(E6594, ""Ben帳戶|Elsa帳戶|Ben代墊|Ariel代墊|中信銀行共用""), REGEXMATCH(F6594, ""Ben帳戶|Elsa帳戶|Ben代墊|Ariel代墊|中信銀行共用"")), ""內部轉帳(忽略)"",
  AND(E6594&lt;&gt;"""", F6594&lt;&gt;"""", N"&amp;"OT(REGEXMATCH(C6594, ""薪資""))), ""內部轉帳(忽略)"",
  REGEXMATCH(C6594, ""薪資""), ""薪資變動(不計入)"",
  REGEXMATCH(C6594, ""押金""), ""押金往來"",
  AND(E6594&lt;&gt;"""", F6594=""""), ""真實支出"",
  AND(E6594="""", F6594&lt;&gt;""""), ""真實收入"",
  TRUE, ""其他""
)"),"其他")</f>
        <v>其他</v>
      </c>
      <c r="K6594" s="270" t="str">
        <f t="shared" si="2"/>
        <v/>
      </c>
      <c r="L6594">
        <f t="shared" si="3"/>
        <v>0</v>
      </c>
    </row>
    <row r="6595">
      <c r="A6595" s="107"/>
      <c r="D6595" s="270"/>
      <c r="H6595" s="106" t="str">
        <f t="shared" si="1"/>
        <v/>
      </c>
      <c r="J6595" t="str">
        <f>IFERROR(__xludf.DUMMYFUNCTION("IFS(
  AND(REGEXMATCH(E6595, ""台銀籌備帳戶|玉山帳戶""), REGEXMATCH(C6595, ""薪資"")), ""分潤支出"",
  AND(REGEXMATCH(E6595, ""Ben帳戶|Elsa帳戶|Ben代墊|Ariel代墊|中信銀行共用""), REGEXMATCH(F6595, ""Ben帳戶|Elsa帳戶|Ben代墊|Ariel代墊|中信銀行共用"")), ""內部轉帳(忽略)"",
  AND(E6595&lt;&gt;"""", F6595&lt;&gt;"""", N"&amp;"OT(REGEXMATCH(C6595, ""薪資""))), ""內部轉帳(忽略)"",
  REGEXMATCH(C6595, ""薪資""), ""薪資變動(不計入)"",
  REGEXMATCH(C6595, ""押金""), ""押金往來"",
  AND(E6595&lt;&gt;"""", F6595=""""), ""真實支出"",
  AND(E6595="""", F6595&lt;&gt;""""), ""真實收入"",
  TRUE, ""其他""
)"),"其他")</f>
        <v>其他</v>
      </c>
      <c r="K6595" s="270" t="str">
        <f t="shared" si="2"/>
        <v/>
      </c>
      <c r="L6595">
        <f t="shared" si="3"/>
        <v>0</v>
      </c>
    </row>
    <row r="6596">
      <c r="A6596" s="107"/>
      <c r="D6596" s="270"/>
      <c r="H6596" s="106" t="str">
        <f t="shared" si="1"/>
        <v/>
      </c>
      <c r="J6596" t="str">
        <f>IFERROR(__xludf.DUMMYFUNCTION("IFS(
  AND(REGEXMATCH(E6596, ""台銀籌備帳戶|玉山帳戶""), REGEXMATCH(C6596, ""薪資"")), ""分潤支出"",
  AND(REGEXMATCH(E6596, ""Ben帳戶|Elsa帳戶|Ben代墊|Ariel代墊|中信銀行共用""), REGEXMATCH(F6596, ""Ben帳戶|Elsa帳戶|Ben代墊|Ariel代墊|中信銀行共用"")), ""內部轉帳(忽略)"",
  AND(E6596&lt;&gt;"""", F6596&lt;&gt;"""", N"&amp;"OT(REGEXMATCH(C6596, ""薪資""))), ""內部轉帳(忽略)"",
  REGEXMATCH(C6596, ""薪資""), ""薪資變動(不計入)"",
  REGEXMATCH(C6596, ""押金""), ""押金往來"",
  AND(E6596&lt;&gt;"""", F6596=""""), ""真實支出"",
  AND(E6596="""", F6596&lt;&gt;""""), ""真實收入"",
  TRUE, ""其他""
)"),"其他")</f>
        <v>其他</v>
      </c>
      <c r="K6596" s="270" t="str">
        <f t="shared" si="2"/>
        <v/>
      </c>
      <c r="L6596">
        <f t="shared" si="3"/>
        <v>0</v>
      </c>
    </row>
    <row r="6597">
      <c r="A6597" s="107"/>
      <c r="D6597" s="270"/>
      <c r="H6597" s="106" t="str">
        <f t="shared" si="1"/>
        <v/>
      </c>
      <c r="J6597" t="str">
        <f>IFERROR(__xludf.DUMMYFUNCTION("IFS(
  AND(REGEXMATCH(E6597, ""台銀籌備帳戶|玉山帳戶""), REGEXMATCH(C6597, ""薪資"")), ""分潤支出"",
  AND(REGEXMATCH(E6597, ""Ben帳戶|Elsa帳戶|Ben代墊|Ariel代墊|中信銀行共用""), REGEXMATCH(F6597, ""Ben帳戶|Elsa帳戶|Ben代墊|Ariel代墊|中信銀行共用"")), ""內部轉帳(忽略)"",
  AND(E6597&lt;&gt;"""", F6597&lt;&gt;"""", N"&amp;"OT(REGEXMATCH(C6597, ""薪資""))), ""內部轉帳(忽略)"",
  REGEXMATCH(C6597, ""薪資""), ""薪資變動(不計入)"",
  REGEXMATCH(C6597, ""押金""), ""押金往來"",
  AND(E6597&lt;&gt;"""", F6597=""""), ""真實支出"",
  AND(E6597="""", F6597&lt;&gt;""""), ""真實收入"",
  TRUE, ""其他""
)"),"其他")</f>
        <v>其他</v>
      </c>
      <c r="K6597" s="270" t="str">
        <f t="shared" si="2"/>
        <v/>
      </c>
      <c r="L6597">
        <f t="shared" si="3"/>
        <v>0</v>
      </c>
    </row>
    <row r="6598">
      <c r="A6598" s="107"/>
      <c r="D6598" s="270"/>
      <c r="H6598" s="106" t="str">
        <f t="shared" si="1"/>
        <v/>
      </c>
      <c r="J6598" t="str">
        <f>IFERROR(__xludf.DUMMYFUNCTION("IFS(
  AND(REGEXMATCH(E6598, ""台銀籌備帳戶|玉山帳戶""), REGEXMATCH(C6598, ""薪資"")), ""分潤支出"",
  AND(REGEXMATCH(E6598, ""Ben帳戶|Elsa帳戶|Ben代墊|Ariel代墊|中信銀行共用""), REGEXMATCH(F6598, ""Ben帳戶|Elsa帳戶|Ben代墊|Ariel代墊|中信銀行共用"")), ""內部轉帳(忽略)"",
  AND(E6598&lt;&gt;"""", F6598&lt;&gt;"""", N"&amp;"OT(REGEXMATCH(C6598, ""薪資""))), ""內部轉帳(忽略)"",
  REGEXMATCH(C6598, ""薪資""), ""薪資變動(不計入)"",
  REGEXMATCH(C6598, ""押金""), ""押金往來"",
  AND(E6598&lt;&gt;"""", F6598=""""), ""真實支出"",
  AND(E6598="""", F6598&lt;&gt;""""), ""真實收入"",
  TRUE, ""其他""
)"),"其他")</f>
        <v>其他</v>
      </c>
      <c r="K6598" s="270" t="str">
        <f t="shared" si="2"/>
        <v/>
      </c>
      <c r="L6598">
        <f t="shared" si="3"/>
        <v>0</v>
      </c>
    </row>
    <row r="6599">
      <c r="A6599" s="107"/>
      <c r="D6599" s="270"/>
      <c r="H6599" s="106" t="str">
        <f t="shared" si="1"/>
        <v/>
      </c>
      <c r="J6599" t="str">
        <f>IFERROR(__xludf.DUMMYFUNCTION("IFS(
  AND(REGEXMATCH(E6599, ""台銀籌備帳戶|玉山帳戶""), REGEXMATCH(C6599, ""薪資"")), ""分潤支出"",
  AND(REGEXMATCH(E6599, ""Ben帳戶|Elsa帳戶|Ben代墊|Ariel代墊|中信銀行共用""), REGEXMATCH(F6599, ""Ben帳戶|Elsa帳戶|Ben代墊|Ariel代墊|中信銀行共用"")), ""內部轉帳(忽略)"",
  AND(E6599&lt;&gt;"""", F6599&lt;&gt;"""", N"&amp;"OT(REGEXMATCH(C6599, ""薪資""))), ""內部轉帳(忽略)"",
  REGEXMATCH(C6599, ""薪資""), ""薪資變動(不計入)"",
  REGEXMATCH(C6599, ""押金""), ""押金往來"",
  AND(E6599&lt;&gt;"""", F6599=""""), ""真實支出"",
  AND(E6599="""", F6599&lt;&gt;""""), ""真實收入"",
  TRUE, ""其他""
)"),"其他")</f>
        <v>其他</v>
      </c>
      <c r="K6599" s="270" t="str">
        <f t="shared" si="2"/>
        <v/>
      </c>
      <c r="L6599">
        <f t="shared" si="3"/>
        <v>0</v>
      </c>
    </row>
    <row r="6600">
      <c r="A6600" s="107"/>
      <c r="D6600" s="270"/>
      <c r="H6600" s="106" t="str">
        <f t="shared" si="1"/>
        <v/>
      </c>
      <c r="J6600" t="str">
        <f>IFERROR(__xludf.DUMMYFUNCTION("IFS(
  AND(REGEXMATCH(E6600, ""台銀籌備帳戶|玉山帳戶""), REGEXMATCH(C6600, ""薪資"")), ""分潤支出"",
  AND(REGEXMATCH(E6600, ""Ben帳戶|Elsa帳戶|Ben代墊|Ariel代墊|中信銀行共用""), REGEXMATCH(F6600, ""Ben帳戶|Elsa帳戶|Ben代墊|Ariel代墊|中信銀行共用"")), ""內部轉帳(忽略)"",
  AND(E6600&lt;&gt;"""", F6600&lt;&gt;"""", N"&amp;"OT(REGEXMATCH(C6600, ""薪資""))), ""內部轉帳(忽略)"",
  REGEXMATCH(C6600, ""薪資""), ""薪資變動(不計入)"",
  REGEXMATCH(C6600, ""押金""), ""押金往來"",
  AND(E6600&lt;&gt;"""", F6600=""""), ""真實支出"",
  AND(E6600="""", F6600&lt;&gt;""""), ""真實收入"",
  TRUE, ""其他""
)"),"其他")</f>
        <v>其他</v>
      </c>
      <c r="K6600" s="270" t="str">
        <f t="shared" si="2"/>
        <v/>
      </c>
      <c r="L6600">
        <f t="shared" si="3"/>
        <v>0</v>
      </c>
    </row>
    <row r="6601">
      <c r="A6601" s="107"/>
      <c r="D6601" s="270"/>
      <c r="H6601" s="106" t="str">
        <f t="shared" si="1"/>
        <v/>
      </c>
      <c r="J6601" t="str">
        <f>IFERROR(__xludf.DUMMYFUNCTION("IFS(
  AND(REGEXMATCH(E6601, ""台銀籌備帳戶|玉山帳戶""), REGEXMATCH(C6601, ""薪資"")), ""分潤支出"",
  AND(REGEXMATCH(E6601, ""Ben帳戶|Elsa帳戶|Ben代墊|Ariel代墊|中信銀行共用""), REGEXMATCH(F6601, ""Ben帳戶|Elsa帳戶|Ben代墊|Ariel代墊|中信銀行共用"")), ""內部轉帳(忽略)"",
  AND(E6601&lt;&gt;"""", F6601&lt;&gt;"""", N"&amp;"OT(REGEXMATCH(C6601, ""薪資""))), ""內部轉帳(忽略)"",
  REGEXMATCH(C6601, ""薪資""), ""薪資變動(不計入)"",
  REGEXMATCH(C6601, ""押金""), ""押金往來"",
  AND(E6601&lt;&gt;"""", F6601=""""), ""真實支出"",
  AND(E6601="""", F6601&lt;&gt;""""), ""真實收入"",
  TRUE, ""其他""
)"),"其他")</f>
        <v>其他</v>
      </c>
      <c r="K6601" s="270" t="str">
        <f t="shared" si="2"/>
        <v/>
      </c>
      <c r="L6601">
        <f t="shared" si="3"/>
        <v>0</v>
      </c>
    </row>
    <row r="6602">
      <c r="A6602" s="107"/>
      <c r="D6602" s="270"/>
      <c r="H6602" s="106" t="str">
        <f t="shared" si="1"/>
        <v/>
      </c>
      <c r="J6602" t="str">
        <f>IFERROR(__xludf.DUMMYFUNCTION("IFS(
  AND(REGEXMATCH(E6602, ""台銀籌備帳戶|玉山帳戶""), REGEXMATCH(C6602, ""薪資"")), ""分潤支出"",
  AND(REGEXMATCH(E6602, ""Ben帳戶|Elsa帳戶|Ben代墊|Ariel代墊|中信銀行共用""), REGEXMATCH(F6602, ""Ben帳戶|Elsa帳戶|Ben代墊|Ariel代墊|中信銀行共用"")), ""內部轉帳(忽略)"",
  AND(E6602&lt;&gt;"""", F6602&lt;&gt;"""", N"&amp;"OT(REGEXMATCH(C6602, ""薪資""))), ""內部轉帳(忽略)"",
  REGEXMATCH(C6602, ""薪資""), ""薪資變動(不計入)"",
  REGEXMATCH(C6602, ""押金""), ""押金往來"",
  AND(E6602&lt;&gt;"""", F6602=""""), ""真實支出"",
  AND(E6602="""", F6602&lt;&gt;""""), ""真實收入"",
  TRUE, ""其他""
)"),"其他")</f>
        <v>其他</v>
      </c>
      <c r="K6602" s="270" t="str">
        <f t="shared" si="2"/>
        <v/>
      </c>
      <c r="L6602">
        <f t="shared" si="3"/>
        <v>0</v>
      </c>
    </row>
    <row r="6603">
      <c r="A6603" s="107"/>
      <c r="D6603" s="270"/>
      <c r="H6603" s="106" t="str">
        <f t="shared" si="1"/>
        <v/>
      </c>
      <c r="J6603" t="str">
        <f>IFERROR(__xludf.DUMMYFUNCTION("IFS(
  AND(REGEXMATCH(E6603, ""台銀籌備帳戶|玉山帳戶""), REGEXMATCH(C6603, ""薪資"")), ""分潤支出"",
  AND(REGEXMATCH(E6603, ""Ben帳戶|Elsa帳戶|Ben代墊|Ariel代墊|中信銀行共用""), REGEXMATCH(F6603, ""Ben帳戶|Elsa帳戶|Ben代墊|Ariel代墊|中信銀行共用"")), ""內部轉帳(忽略)"",
  AND(E6603&lt;&gt;"""", F6603&lt;&gt;"""", N"&amp;"OT(REGEXMATCH(C6603, ""薪資""))), ""內部轉帳(忽略)"",
  REGEXMATCH(C6603, ""薪資""), ""薪資變動(不計入)"",
  REGEXMATCH(C6603, ""押金""), ""押金往來"",
  AND(E6603&lt;&gt;"""", F6603=""""), ""真實支出"",
  AND(E6603="""", F6603&lt;&gt;""""), ""真實收入"",
  TRUE, ""其他""
)"),"其他")</f>
        <v>其他</v>
      </c>
      <c r="K6603" s="270" t="str">
        <f t="shared" si="2"/>
        <v/>
      </c>
      <c r="L6603">
        <f t="shared" si="3"/>
        <v>0</v>
      </c>
    </row>
    <row r="6604">
      <c r="A6604" s="107"/>
      <c r="D6604" s="270"/>
      <c r="H6604" s="106" t="str">
        <f t="shared" si="1"/>
        <v/>
      </c>
      <c r="J6604" t="str">
        <f>IFERROR(__xludf.DUMMYFUNCTION("IFS(
  AND(REGEXMATCH(E6604, ""台銀籌備帳戶|玉山帳戶""), REGEXMATCH(C6604, ""薪資"")), ""分潤支出"",
  AND(REGEXMATCH(E6604, ""Ben帳戶|Elsa帳戶|Ben代墊|Ariel代墊|中信銀行共用""), REGEXMATCH(F6604, ""Ben帳戶|Elsa帳戶|Ben代墊|Ariel代墊|中信銀行共用"")), ""內部轉帳(忽略)"",
  AND(E6604&lt;&gt;"""", F6604&lt;&gt;"""", N"&amp;"OT(REGEXMATCH(C6604, ""薪資""))), ""內部轉帳(忽略)"",
  REGEXMATCH(C6604, ""薪資""), ""薪資變動(不計入)"",
  REGEXMATCH(C6604, ""押金""), ""押金往來"",
  AND(E6604&lt;&gt;"""", F6604=""""), ""真實支出"",
  AND(E6604="""", F6604&lt;&gt;""""), ""真實收入"",
  TRUE, ""其他""
)"),"其他")</f>
        <v>其他</v>
      </c>
      <c r="K6604" s="270" t="str">
        <f t="shared" si="2"/>
        <v/>
      </c>
      <c r="L6604">
        <f t="shared" si="3"/>
        <v>0</v>
      </c>
    </row>
    <row r="6605">
      <c r="A6605" s="107"/>
      <c r="D6605" s="270"/>
      <c r="H6605" s="106" t="str">
        <f t="shared" si="1"/>
        <v/>
      </c>
      <c r="J6605" t="str">
        <f>IFERROR(__xludf.DUMMYFUNCTION("IFS(
  AND(REGEXMATCH(E6605, ""台銀籌備帳戶|玉山帳戶""), REGEXMATCH(C6605, ""薪資"")), ""分潤支出"",
  AND(REGEXMATCH(E6605, ""Ben帳戶|Elsa帳戶|Ben代墊|Ariel代墊|中信銀行共用""), REGEXMATCH(F6605, ""Ben帳戶|Elsa帳戶|Ben代墊|Ariel代墊|中信銀行共用"")), ""內部轉帳(忽略)"",
  AND(E6605&lt;&gt;"""", F6605&lt;&gt;"""", N"&amp;"OT(REGEXMATCH(C6605, ""薪資""))), ""內部轉帳(忽略)"",
  REGEXMATCH(C6605, ""薪資""), ""薪資變動(不計入)"",
  REGEXMATCH(C6605, ""押金""), ""押金往來"",
  AND(E6605&lt;&gt;"""", F6605=""""), ""真實支出"",
  AND(E6605="""", F6605&lt;&gt;""""), ""真實收入"",
  TRUE, ""其他""
)"),"其他")</f>
        <v>其他</v>
      </c>
      <c r="K6605" s="270" t="str">
        <f t="shared" si="2"/>
        <v/>
      </c>
      <c r="L6605">
        <f t="shared" si="3"/>
        <v>0</v>
      </c>
    </row>
    <row r="6606">
      <c r="A6606" s="107"/>
      <c r="D6606" s="270"/>
      <c r="H6606" s="106" t="str">
        <f t="shared" si="1"/>
        <v/>
      </c>
      <c r="J6606" t="str">
        <f>IFERROR(__xludf.DUMMYFUNCTION("IFS(
  AND(REGEXMATCH(E6606, ""台銀籌備帳戶|玉山帳戶""), REGEXMATCH(C6606, ""薪資"")), ""分潤支出"",
  AND(REGEXMATCH(E6606, ""Ben帳戶|Elsa帳戶|Ben代墊|Ariel代墊|中信銀行共用""), REGEXMATCH(F6606, ""Ben帳戶|Elsa帳戶|Ben代墊|Ariel代墊|中信銀行共用"")), ""內部轉帳(忽略)"",
  AND(E6606&lt;&gt;"""", F6606&lt;&gt;"""", N"&amp;"OT(REGEXMATCH(C6606, ""薪資""))), ""內部轉帳(忽略)"",
  REGEXMATCH(C6606, ""薪資""), ""薪資變動(不計入)"",
  REGEXMATCH(C6606, ""押金""), ""押金往來"",
  AND(E6606&lt;&gt;"""", F6606=""""), ""真實支出"",
  AND(E6606="""", F6606&lt;&gt;""""), ""真實收入"",
  TRUE, ""其他""
)"),"其他")</f>
        <v>其他</v>
      </c>
      <c r="K6606" s="270" t="str">
        <f t="shared" si="2"/>
        <v/>
      </c>
      <c r="L6606">
        <f t="shared" si="3"/>
        <v>0</v>
      </c>
    </row>
    <row r="6607">
      <c r="A6607" s="107"/>
      <c r="D6607" s="270"/>
      <c r="H6607" s="106" t="str">
        <f t="shared" si="1"/>
        <v/>
      </c>
      <c r="J6607" t="str">
        <f>IFERROR(__xludf.DUMMYFUNCTION("IFS(
  AND(REGEXMATCH(E6607, ""台銀籌備帳戶|玉山帳戶""), REGEXMATCH(C6607, ""薪資"")), ""分潤支出"",
  AND(REGEXMATCH(E6607, ""Ben帳戶|Elsa帳戶|Ben代墊|Ariel代墊|中信銀行共用""), REGEXMATCH(F6607, ""Ben帳戶|Elsa帳戶|Ben代墊|Ariel代墊|中信銀行共用"")), ""內部轉帳(忽略)"",
  AND(E6607&lt;&gt;"""", F6607&lt;&gt;"""", N"&amp;"OT(REGEXMATCH(C6607, ""薪資""))), ""內部轉帳(忽略)"",
  REGEXMATCH(C6607, ""薪資""), ""薪資變動(不計入)"",
  REGEXMATCH(C6607, ""押金""), ""押金往來"",
  AND(E6607&lt;&gt;"""", F6607=""""), ""真實支出"",
  AND(E6607="""", F6607&lt;&gt;""""), ""真實收入"",
  TRUE, ""其他""
)"),"其他")</f>
        <v>其他</v>
      </c>
      <c r="K6607" s="270" t="str">
        <f t="shared" si="2"/>
        <v/>
      </c>
      <c r="L6607">
        <f t="shared" si="3"/>
        <v>0</v>
      </c>
    </row>
    <row r="6608">
      <c r="A6608" s="107"/>
      <c r="D6608" s="270"/>
      <c r="H6608" s="106" t="str">
        <f t="shared" si="1"/>
        <v/>
      </c>
      <c r="J6608" t="str">
        <f>IFERROR(__xludf.DUMMYFUNCTION("IFS(
  AND(REGEXMATCH(E6608, ""台銀籌備帳戶|玉山帳戶""), REGEXMATCH(C6608, ""薪資"")), ""分潤支出"",
  AND(REGEXMATCH(E6608, ""Ben帳戶|Elsa帳戶|Ben代墊|Ariel代墊|中信銀行共用""), REGEXMATCH(F6608, ""Ben帳戶|Elsa帳戶|Ben代墊|Ariel代墊|中信銀行共用"")), ""內部轉帳(忽略)"",
  AND(E6608&lt;&gt;"""", F6608&lt;&gt;"""", N"&amp;"OT(REGEXMATCH(C6608, ""薪資""))), ""內部轉帳(忽略)"",
  REGEXMATCH(C6608, ""薪資""), ""薪資變動(不計入)"",
  REGEXMATCH(C6608, ""押金""), ""押金往來"",
  AND(E6608&lt;&gt;"""", F6608=""""), ""真實支出"",
  AND(E6608="""", F6608&lt;&gt;""""), ""真實收入"",
  TRUE, ""其他""
)"),"其他")</f>
        <v>其他</v>
      </c>
      <c r="K6608" s="270" t="str">
        <f t="shared" si="2"/>
        <v/>
      </c>
      <c r="L6608">
        <f t="shared" si="3"/>
        <v>0</v>
      </c>
    </row>
    <row r="6609">
      <c r="A6609" s="107"/>
      <c r="D6609" s="270"/>
      <c r="H6609" s="106" t="str">
        <f t="shared" si="1"/>
        <v/>
      </c>
      <c r="J6609" t="str">
        <f>IFERROR(__xludf.DUMMYFUNCTION("IFS(
  AND(REGEXMATCH(E6609, ""台銀籌備帳戶|玉山帳戶""), REGEXMATCH(C6609, ""薪資"")), ""分潤支出"",
  AND(REGEXMATCH(E6609, ""Ben帳戶|Elsa帳戶|Ben代墊|Ariel代墊|中信銀行共用""), REGEXMATCH(F6609, ""Ben帳戶|Elsa帳戶|Ben代墊|Ariel代墊|中信銀行共用"")), ""內部轉帳(忽略)"",
  AND(E6609&lt;&gt;"""", F6609&lt;&gt;"""", N"&amp;"OT(REGEXMATCH(C6609, ""薪資""))), ""內部轉帳(忽略)"",
  REGEXMATCH(C6609, ""薪資""), ""薪資變動(不計入)"",
  REGEXMATCH(C6609, ""押金""), ""押金往來"",
  AND(E6609&lt;&gt;"""", F6609=""""), ""真實支出"",
  AND(E6609="""", F6609&lt;&gt;""""), ""真實收入"",
  TRUE, ""其他""
)"),"其他")</f>
        <v>其他</v>
      </c>
      <c r="K6609" s="270" t="str">
        <f t="shared" si="2"/>
        <v/>
      </c>
      <c r="L6609">
        <f t="shared" si="3"/>
        <v>0</v>
      </c>
    </row>
    <row r="6610">
      <c r="A6610" s="107"/>
      <c r="D6610" s="270"/>
      <c r="H6610" s="106" t="str">
        <f t="shared" si="1"/>
        <v/>
      </c>
      <c r="J6610" t="str">
        <f>IFERROR(__xludf.DUMMYFUNCTION("IFS(
  AND(REGEXMATCH(E6610, ""台銀籌備帳戶|玉山帳戶""), REGEXMATCH(C6610, ""薪資"")), ""分潤支出"",
  AND(REGEXMATCH(E6610, ""Ben帳戶|Elsa帳戶|Ben代墊|Ariel代墊|中信銀行共用""), REGEXMATCH(F6610, ""Ben帳戶|Elsa帳戶|Ben代墊|Ariel代墊|中信銀行共用"")), ""內部轉帳(忽略)"",
  AND(E6610&lt;&gt;"""", F6610&lt;&gt;"""", N"&amp;"OT(REGEXMATCH(C6610, ""薪資""))), ""內部轉帳(忽略)"",
  REGEXMATCH(C6610, ""薪資""), ""薪資變動(不計入)"",
  REGEXMATCH(C6610, ""押金""), ""押金往來"",
  AND(E6610&lt;&gt;"""", F6610=""""), ""真實支出"",
  AND(E6610="""", F6610&lt;&gt;""""), ""真實收入"",
  TRUE, ""其他""
)"),"其他")</f>
        <v>其他</v>
      </c>
      <c r="K6610" s="270" t="str">
        <f t="shared" si="2"/>
        <v/>
      </c>
      <c r="L6610">
        <f t="shared" si="3"/>
        <v>0</v>
      </c>
    </row>
    <row r="6611">
      <c r="A6611" s="107"/>
      <c r="D6611" s="270"/>
      <c r="H6611" s="106" t="str">
        <f t="shared" si="1"/>
        <v/>
      </c>
      <c r="J6611" t="str">
        <f>IFERROR(__xludf.DUMMYFUNCTION("IFS(
  AND(REGEXMATCH(E6611, ""台銀籌備帳戶|玉山帳戶""), REGEXMATCH(C6611, ""薪資"")), ""分潤支出"",
  AND(REGEXMATCH(E6611, ""Ben帳戶|Elsa帳戶|Ben代墊|Ariel代墊|中信銀行共用""), REGEXMATCH(F6611, ""Ben帳戶|Elsa帳戶|Ben代墊|Ariel代墊|中信銀行共用"")), ""內部轉帳(忽略)"",
  AND(E6611&lt;&gt;"""", F6611&lt;&gt;"""", N"&amp;"OT(REGEXMATCH(C6611, ""薪資""))), ""內部轉帳(忽略)"",
  REGEXMATCH(C6611, ""薪資""), ""薪資變動(不計入)"",
  REGEXMATCH(C6611, ""押金""), ""押金往來"",
  AND(E6611&lt;&gt;"""", F6611=""""), ""真實支出"",
  AND(E6611="""", F6611&lt;&gt;""""), ""真實收入"",
  TRUE, ""其他""
)"),"其他")</f>
        <v>其他</v>
      </c>
      <c r="K6611" s="270" t="str">
        <f t="shared" si="2"/>
        <v/>
      </c>
      <c r="L6611">
        <f t="shared" si="3"/>
        <v>0</v>
      </c>
    </row>
    <row r="6612">
      <c r="A6612" s="107"/>
      <c r="D6612" s="270"/>
      <c r="H6612" s="106" t="str">
        <f t="shared" si="1"/>
        <v/>
      </c>
      <c r="J6612" t="str">
        <f>IFERROR(__xludf.DUMMYFUNCTION("IFS(
  AND(REGEXMATCH(E6612, ""台銀籌備帳戶|玉山帳戶""), REGEXMATCH(C6612, ""薪資"")), ""分潤支出"",
  AND(REGEXMATCH(E6612, ""Ben帳戶|Elsa帳戶|Ben代墊|Ariel代墊|中信銀行共用""), REGEXMATCH(F6612, ""Ben帳戶|Elsa帳戶|Ben代墊|Ariel代墊|中信銀行共用"")), ""內部轉帳(忽略)"",
  AND(E6612&lt;&gt;"""", F6612&lt;&gt;"""", N"&amp;"OT(REGEXMATCH(C6612, ""薪資""))), ""內部轉帳(忽略)"",
  REGEXMATCH(C6612, ""薪資""), ""薪資變動(不計入)"",
  REGEXMATCH(C6612, ""押金""), ""押金往來"",
  AND(E6612&lt;&gt;"""", F6612=""""), ""真實支出"",
  AND(E6612="""", F6612&lt;&gt;""""), ""真實收入"",
  TRUE, ""其他""
)"),"其他")</f>
        <v>其他</v>
      </c>
      <c r="K6612" s="270" t="str">
        <f t="shared" si="2"/>
        <v/>
      </c>
      <c r="L6612">
        <f t="shared" si="3"/>
        <v>0</v>
      </c>
    </row>
    <row r="6613">
      <c r="A6613" s="107"/>
      <c r="D6613" s="270"/>
      <c r="H6613" s="106" t="str">
        <f t="shared" si="1"/>
        <v/>
      </c>
      <c r="J6613" t="str">
        <f>IFERROR(__xludf.DUMMYFUNCTION("IFS(
  AND(REGEXMATCH(E6613, ""台銀籌備帳戶|玉山帳戶""), REGEXMATCH(C6613, ""薪資"")), ""分潤支出"",
  AND(REGEXMATCH(E6613, ""Ben帳戶|Elsa帳戶|Ben代墊|Ariel代墊|中信銀行共用""), REGEXMATCH(F6613, ""Ben帳戶|Elsa帳戶|Ben代墊|Ariel代墊|中信銀行共用"")), ""內部轉帳(忽略)"",
  AND(E6613&lt;&gt;"""", F6613&lt;&gt;"""", N"&amp;"OT(REGEXMATCH(C6613, ""薪資""))), ""內部轉帳(忽略)"",
  REGEXMATCH(C6613, ""薪資""), ""薪資變動(不計入)"",
  REGEXMATCH(C6613, ""押金""), ""押金往來"",
  AND(E6613&lt;&gt;"""", F6613=""""), ""真實支出"",
  AND(E6613="""", F6613&lt;&gt;""""), ""真實收入"",
  TRUE, ""其他""
)"),"其他")</f>
        <v>其他</v>
      </c>
      <c r="K6613" s="270" t="str">
        <f t="shared" si="2"/>
        <v/>
      </c>
      <c r="L6613">
        <f t="shared" si="3"/>
        <v>0</v>
      </c>
    </row>
    <row r="6614">
      <c r="A6614" s="107"/>
      <c r="D6614" s="270"/>
      <c r="H6614" s="106" t="str">
        <f t="shared" si="1"/>
        <v/>
      </c>
      <c r="J6614" t="str">
        <f>IFERROR(__xludf.DUMMYFUNCTION("IFS(
  AND(REGEXMATCH(E6614, ""台銀籌備帳戶|玉山帳戶""), REGEXMATCH(C6614, ""薪資"")), ""分潤支出"",
  AND(REGEXMATCH(E6614, ""Ben帳戶|Elsa帳戶|Ben代墊|Ariel代墊|中信銀行共用""), REGEXMATCH(F6614, ""Ben帳戶|Elsa帳戶|Ben代墊|Ariel代墊|中信銀行共用"")), ""內部轉帳(忽略)"",
  AND(E6614&lt;&gt;"""", F6614&lt;&gt;"""", N"&amp;"OT(REGEXMATCH(C6614, ""薪資""))), ""內部轉帳(忽略)"",
  REGEXMATCH(C6614, ""薪資""), ""薪資變動(不計入)"",
  REGEXMATCH(C6614, ""押金""), ""押金往來"",
  AND(E6614&lt;&gt;"""", F6614=""""), ""真實支出"",
  AND(E6614="""", F6614&lt;&gt;""""), ""真實收入"",
  TRUE, ""其他""
)"),"其他")</f>
        <v>其他</v>
      </c>
      <c r="K6614" s="270" t="str">
        <f t="shared" si="2"/>
        <v/>
      </c>
      <c r="L6614">
        <f t="shared" si="3"/>
        <v>0</v>
      </c>
    </row>
    <row r="6615">
      <c r="A6615" s="107"/>
      <c r="D6615" s="270"/>
      <c r="H6615" s="106" t="str">
        <f t="shared" si="1"/>
        <v/>
      </c>
      <c r="J6615" t="str">
        <f>IFERROR(__xludf.DUMMYFUNCTION("IFS(
  AND(REGEXMATCH(E6615, ""台銀籌備帳戶|玉山帳戶""), REGEXMATCH(C6615, ""薪資"")), ""分潤支出"",
  AND(REGEXMATCH(E6615, ""Ben帳戶|Elsa帳戶|Ben代墊|Ariel代墊|中信銀行共用""), REGEXMATCH(F6615, ""Ben帳戶|Elsa帳戶|Ben代墊|Ariel代墊|中信銀行共用"")), ""內部轉帳(忽略)"",
  AND(E6615&lt;&gt;"""", F6615&lt;&gt;"""", N"&amp;"OT(REGEXMATCH(C6615, ""薪資""))), ""內部轉帳(忽略)"",
  REGEXMATCH(C6615, ""薪資""), ""薪資變動(不計入)"",
  REGEXMATCH(C6615, ""押金""), ""押金往來"",
  AND(E6615&lt;&gt;"""", F6615=""""), ""真實支出"",
  AND(E6615="""", F6615&lt;&gt;""""), ""真實收入"",
  TRUE, ""其他""
)"),"其他")</f>
        <v>其他</v>
      </c>
      <c r="K6615" s="270" t="str">
        <f t="shared" si="2"/>
        <v/>
      </c>
      <c r="L6615">
        <f t="shared" si="3"/>
        <v>0</v>
      </c>
    </row>
    <row r="6616">
      <c r="A6616" s="107"/>
      <c r="D6616" s="270"/>
      <c r="H6616" s="106" t="str">
        <f t="shared" si="1"/>
        <v/>
      </c>
      <c r="J6616" t="str">
        <f>IFERROR(__xludf.DUMMYFUNCTION("IFS(
  AND(REGEXMATCH(E6616, ""台銀籌備帳戶|玉山帳戶""), REGEXMATCH(C6616, ""薪資"")), ""分潤支出"",
  AND(REGEXMATCH(E6616, ""Ben帳戶|Elsa帳戶|Ben代墊|Ariel代墊|中信銀行共用""), REGEXMATCH(F6616, ""Ben帳戶|Elsa帳戶|Ben代墊|Ariel代墊|中信銀行共用"")), ""內部轉帳(忽略)"",
  AND(E6616&lt;&gt;"""", F6616&lt;&gt;"""", N"&amp;"OT(REGEXMATCH(C6616, ""薪資""))), ""內部轉帳(忽略)"",
  REGEXMATCH(C6616, ""薪資""), ""薪資變動(不計入)"",
  REGEXMATCH(C6616, ""押金""), ""押金往來"",
  AND(E6616&lt;&gt;"""", F6616=""""), ""真實支出"",
  AND(E6616="""", F6616&lt;&gt;""""), ""真實收入"",
  TRUE, ""其他""
)"),"其他")</f>
        <v>其他</v>
      </c>
      <c r="K6616" s="270" t="str">
        <f t="shared" si="2"/>
        <v/>
      </c>
      <c r="L6616">
        <f t="shared" si="3"/>
        <v>0</v>
      </c>
    </row>
    <row r="6617">
      <c r="A6617" s="107"/>
      <c r="D6617" s="270"/>
      <c r="H6617" s="106" t="str">
        <f t="shared" si="1"/>
        <v/>
      </c>
      <c r="J6617" t="str">
        <f>IFERROR(__xludf.DUMMYFUNCTION("IFS(
  AND(REGEXMATCH(E6617, ""台銀籌備帳戶|玉山帳戶""), REGEXMATCH(C6617, ""薪資"")), ""分潤支出"",
  AND(REGEXMATCH(E6617, ""Ben帳戶|Elsa帳戶|Ben代墊|Ariel代墊|中信銀行共用""), REGEXMATCH(F6617, ""Ben帳戶|Elsa帳戶|Ben代墊|Ariel代墊|中信銀行共用"")), ""內部轉帳(忽略)"",
  AND(E6617&lt;&gt;"""", F6617&lt;&gt;"""", N"&amp;"OT(REGEXMATCH(C6617, ""薪資""))), ""內部轉帳(忽略)"",
  REGEXMATCH(C6617, ""薪資""), ""薪資變動(不計入)"",
  REGEXMATCH(C6617, ""押金""), ""押金往來"",
  AND(E6617&lt;&gt;"""", F6617=""""), ""真實支出"",
  AND(E6617="""", F6617&lt;&gt;""""), ""真實收入"",
  TRUE, ""其他""
)"),"其他")</f>
        <v>其他</v>
      </c>
      <c r="K6617" s="270" t="str">
        <f t="shared" si="2"/>
        <v/>
      </c>
      <c r="L6617">
        <f t="shared" si="3"/>
        <v>0</v>
      </c>
    </row>
    <row r="6618">
      <c r="A6618" s="107"/>
      <c r="D6618" s="270"/>
      <c r="H6618" s="106" t="str">
        <f t="shared" si="1"/>
        <v/>
      </c>
      <c r="J6618" t="str">
        <f>IFERROR(__xludf.DUMMYFUNCTION("IFS(
  AND(REGEXMATCH(E6618, ""台銀籌備帳戶|玉山帳戶""), REGEXMATCH(C6618, ""薪資"")), ""分潤支出"",
  AND(REGEXMATCH(E6618, ""Ben帳戶|Elsa帳戶|Ben代墊|Ariel代墊|中信銀行共用""), REGEXMATCH(F6618, ""Ben帳戶|Elsa帳戶|Ben代墊|Ariel代墊|中信銀行共用"")), ""內部轉帳(忽略)"",
  AND(E6618&lt;&gt;"""", F6618&lt;&gt;"""", N"&amp;"OT(REGEXMATCH(C6618, ""薪資""))), ""內部轉帳(忽略)"",
  REGEXMATCH(C6618, ""薪資""), ""薪資變動(不計入)"",
  REGEXMATCH(C6618, ""押金""), ""押金往來"",
  AND(E6618&lt;&gt;"""", F6618=""""), ""真實支出"",
  AND(E6618="""", F6618&lt;&gt;""""), ""真實收入"",
  TRUE, ""其他""
)"),"其他")</f>
        <v>其他</v>
      </c>
      <c r="K6618" s="270" t="str">
        <f t="shared" si="2"/>
        <v/>
      </c>
      <c r="L6618">
        <f t="shared" si="3"/>
        <v>0</v>
      </c>
    </row>
    <row r="6619">
      <c r="A6619" s="107"/>
      <c r="D6619" s="270"/>
      <c r="H6619" s="106" t="str">
        <f t="shared" si="1"/>
        <v/>
      </c>
      <c r="J6619" t="str">
        <f>IFERROR(__xludf.DUMMYFUNCTION("IFS(
  AND(REGEXMATCH(E6619, ""台銀籌備帳戶|玉山帳戶""), REGEXMATCH(C6619, ""薪資"")), ""分潤支出"",
  AND(REGEXMATCH(E6619, ""Ben帳戶|Elsa帳戶|Ben代墊|Ariel代墊|中信銀行共用""), REGEXMATCH(F6619, ""Ben帳戶|Elsa帳戶|Ben代墊|Ariel代墊|中信銀行共用"")), ""內部轉帳(忽略)"",
  AND(E6619&lt;&gt;"""", F6619&lt;&gt;"""", N"&amp;"OT(REGEXMATCH(C6619, ""薪資""))), ""內部轉帳(忽略)"",
  REGEXMATCH(C6619, ""薪資""), ""薪資變動(不計入)"",
  REGEXMATCH(C6619, ""押金""), ""押金往來"",
  AND(E6619&lt;&gt;"""", F6619=""""), ""真實支出"",
  AND(E6619="""", F6619&lt;&gt;""""), ""真實收入"",
  TRUE, ""其他""
)"),"其他")</f>
        <v>其他</v>
      </c>
      <c r="K6619" s="270" t="str">
        <f t="shared" si="2"/>
        <v/>
      </c>
      <c r="L6619">
        <f t="shared" si="3"/>
        <v>0</v>
      </c>
    </row>
    <row r="6620">
      <c r="A6620" s="107"/>
      <c r="D6620" s="270"/>
      <c r="H6620" s="106" t="str">
        <f t="shared" si="1"/>
        <v/>
      </c>
      <c r="J6620" t="str">
        <f>IFERROR(__xludf.DUMMYFUNCTION("IFS(
  AND(REGEXMATCH(E6620, ""台銀籌備帳戶|玉山帳戶""), REGEXMATCH(C6620, ""薪資"")), ""分潤支出"",
  AND(REGEXMATCH(E6620, ""Ben帳戶|Elsa帳戶|Ben代墊|Ariel代墊|中信銀行共用""), REGEXMATCH(F6620, ""Ben帳戶|Elsa帳戶|Ben代墊|Ariel代墊|中信銀行共用"")), ""內部轉帳(忽略)"",
  AND(E6620&lt;&gt;"""", F6620&lt;&gt;"""", N"&amp;"OT(REGEXMATCH(C6620, ""薪資""))), ""內部轉帳(忽略)"",
  REGEXMATCH(C6620, ""薪資""), ""薪資變動(不計入)"",
  REGEXMATCH(C6620, ""押金""), ""押金往來"",
  AND(E6620&lt;&gt;"""", F6620=""""), ""真實支出"",
  AND(E6620="""", F6620&lt;&gt;""""), ""真實收入"",
  TRUE, ""其他""
)"),"其他")</f>
        <v>其他</v>
      </c>
      <c r="K6620" s="270" t="str">
        <f t="shared" si="2"/>
        <v/>
      </c>
      <c r="L6620">
        <f t="shared" si="3"/>
        <v>0</v>
      </c>
    </row>
    <row r="6621">
      <c r="A6621" s="107"/>
      <c r="D6621" s="270"/>
      <c r="H6621" s="106" t="str">
        <f t="shared" si="1"/>
        <v/>
      </c>
      <c r="J6621" t="str">
        <f>IFERROR(__xludf.DUMMYFUNCTION("IFS(
  AND(REGEXMATCH(E6621, ""台銀籌備帳戶|玉山帳戶""), REGEXMATCH(C6621, ""薪資"")), ""分潤支出"",
  AND(REGEXMATCH(E6621, ""Ben帳戶|Elsa帳戶|Ben代墊|Ariel代墊|中信銀行共用""), REGEXMATCH(F6621, ""Ben帳戶|Elsa帳戶|Ben代墊|Ariel代墊|中信銀行共用"")), ""內部轉帳(忽略)"",
  AND(E6621&lt;&gt;"""", F6621&lt;&gt;"""", N"&amp;"OT(REGEXMATCH(C6621, ""薪資""))), ""內部轉帳(忽略)"",
  REGEXMATCH(C6621, ""薪資""), ""薪資變動(不計入)"",
  REGEXMATCH(C6621, ""押金""), ""押金往來"",
  AND(E6621&lt;&gt;"""", F6621=""""), ""真實支出"",
  AND(E6621="""", F6621&lt;&gt;""""), ""真實收入"",
  TRUE, ""其他""
)"),"其他")</f>
        <v>其他</v>
      </c>
      <c r="K6621" s="270" t="str">
        <f t="shared" si="2"/>
        <v/>
      </c>
      <c r="L6621">
        <f t="shared" si="3"/>
        <v>0</v>
      </c>
    </row>
    <row r="6622">
      <c r="A6622" s="107"/>
      <c r="D6622" s="270"/>
      <c r="H6622" s="106" t="str">
        <f t="shared" si="1"/>
        <v/>
      </c>
      <c r="J6622" t="str">
        <f>IFERROR(__xludf.DUMMYFUNCTION("IFS(
  AND(REGEXMATCH(E6622, ""台銀籌備帳戶|玉山帳戶""), REGEXMATCH(C6622, ""薪資"")), ""分潤支出"",
  AND(REGEXMATCH(E6622, ""Ben帳戶|Elsa帳戶|Ben代墊|Ariel代墊|中信銀行共用""), REGEXMATCH(F6622, ""Ben帳戶|Elsa帳戶|Ben代墊|Ariel代墊|中信銀行共用"")), ""內部轉帳(忽略)"",
  AND(E6622&lt;&gt;"""", F6622&lt;&gt;"""", N"&amp;"OT(REGEXMATCH(C6622, ""薪資""))), ""內部轉帳(忽略)"",
  REGEXMATCH(C6622, ""薪資""), ""薪資變動(不計入)"",
  REGEXMATCH(C6622, ""押金""), ""押金往來"",
  AND(E6622&lt;&gt;"""", F6622=""""), ""真實支出"",
  AND(E6622="""", F6622&lt;&gt;""""), ""真實收入"",
  TRUE, ""其他""
)"),"其他")</f>
        <v>其他</v>
      </c>
      <c r="K6622" s="270" t="str">
        <f t="shared" si="2"/>
        <v/>
      </c>
      <c r="L6622">
        <f t="shared" si="3"/>
        <v>0</v>
      </c>
    </row>
    <row r="6623">
      <c r="A6623" s="107"/>
      <c r="D6623" s="270"/>
      <c r="H6623" s="106" t="str">
        <f t="shared" si="1"/>
        <v/>
      </c>
      <c r="J6623" t="str">
        <f>IFERROR(__xludf.DUMMYFUNCTION("IFS(
  AND(REGEXMATCH(E6623, ""台銀籌備帳戶|玉山帳戶""), REGEXMATCH(C6623, ""薪資"")), ""分潤支出"",
  AND(REGEXMATCH(E6623, ""Ben帳戶|Elsa帳戶|Ben代墊|Ariel代墊|中信銀行共用""), REGEXMATCH(F6623, ""Ben帳戶|Elsa帳戶|Ben代墊|Ariel代墊|中信銀行共用"")), ""內部轉帳(忽略)"",
  AND(E6623&lt;&gt;"""", F6623&lt;&gt;"""", N"&amp;"OT(REGEXMATCH(C6623, ""薪資""))), ""內部轉帳(忽略)"",
  REGEXMATCH(C6623, ""薪資""), ""薪資變動(不計入)"",
  REGEXMATCH(C6623, ""押金""), ""押金往來"",
  AND(E6623&lt;&gt;"""", F6623=""""), ""真實支出"",
  AND(E6623="""", F6623&lt;&gt;""""), ""真實收入"",
  TRUE, ""其他""
)"),"其他")</f>
        <v>其他</v>
      </c>
      <c r="K6623" s="270" t="str">
        <f t="shared" si="2"/>
        <v/>
      </c>
      <c r="L6623">
        <f t="shared" si="3"/>
        <v>0</v>
      </c>
    </row>
    <row r="6624">
      <c r="A6624" s="107"/>
      <c r="D6624" s="270"/>
      <c r="H6624" s="106" t="str">
        <f t="shared" si="1"/>
        <v/>
      </c>
      <c r="J6624" t="str">
        <f>IFERROR(__xludf.DUMMYFUNCTION("IFS(
  AND(REGEXMATCH(E6624, ""台銀籌備帳戶|玉山帳戶""), REGEXMATCH(C6624, ""薪資"")), ""分潤支出"",
  AND(REGEXMATCH(E6624, ""Ben帳戶|Elsa帳戶|Ben代墊|Ariel代墊|中信銀行共用""), REGEXMATCH(F6624, ""Ben帳戶|Elsa帳戶|Ben代墊|Ariel代墊|中信銀行共用"")), ""內部轉帳(忽略)"",
  AND(E6624&lt;&gt;"""", F6624&lt;&gt;"""", N"&amp;"OT(REGEXMATCH(C6624, ""薪資""))), ""內部轉帳(忽略)"",
  REGEXMATCH(C6624, ""薪資""), ""薪資變動(不計入)"",
  REGEXMATCH(C6624, ""押金""), ""押金往來"",
  AND(E6624&lt;&gt;"""", F6624=""""), ""真實支出"",
  AND(E6624="""", F6624&lt;&gt;""""), ""真實收入"",
  TRUE, ""其他""
)"),"其他")</f>
        <v>其他</v>
      </c>
      <c r="K6624" s="270" t="str">
        <f t="shared" si="2"/>
        <v/>
      </c>
      <c r="L6624">
        <f t="shared" si="3"/>
        <v>0</v>
      </c>
    </row>
    <row r="6625">
      <c r="A6625" s="107"/>
      <c r="D6625" s="270"/>
      <c r="H6625" s="106" t="str">
        <f t="shared" si="1"/>
        <v/>
      </c>
      <c r="J6625" t="str">
        <f>IFERROR(__xludf.DUMMYFUNCTION("IFS(
  AND(REGEXMATCH(E6625, ""台銀籌備帳戶|玉山帳戶""), REGEXMATCH(C6625, ""薪資"")), ""分潤支出"",
  AND(REGEXMATCH(E6625, ""Ben帳戶|Elsa帳戶|Ben代墊|Ariel代墊|中信銀行共用""), REGEXMATCH(F6625, ""Ben帳戶|Elsa帳戶|Ben代墊|Ariel代墊|中信銀行共用"")), ""內部轉帳(忽略)"",
  AND(E6625&lt;&gt;"""", F6625&lt;&gt;"""", N"&amp;"OT(REGEXMATCH(C6625, ""薪資""))), ""內部轉帳(忽略)"",
  REGEXMATCH(C6625, ""薪資""), ""薪資變動(不計入)"",
  REGEXMATCH(C6625, ""押金""), ""押金往來"",
  AND(E6625&lt;&gt;"""", F6625=""""), ""真實支出"",
  AND(E6625="""", F6625&lt;&gt;""""), ""真實收入"",
  TRUE, ""其他""
)"),"其他")</f>
        <v>其他</v>
      </c>
      <c r="K6625" s="270" t="str">
        <f t="shared" si="2"/>
        <v/>
      </c>
      <c r="L6625">
        <f t="shared" si="3"/>
        <v>0</v>
      </c>
    </row>
    <row r="6626">
      <c r="A6626" s="107"/>
      <c r="D6626" s="270"/>
      <c r="H6626" s="106" t="str">
        <f t="shared" si="1"/>
        <v/>
      </c>
      <c r="J6626" t="str">
        <f>IFERROR(__xludf.DUMMYFUNCTION("IFS(
  AND(REGEXMATCH(E6626, ""台銀籌備帳戶|玉山帳戶""), REGEXMATCH(C6626, ""薪資"")), ""分潤支出"",
  AND(REGEXMATCH(E6626, ""Ben帳戶|Elsa帳戶|Ben代墊|Ariel代墊|中信銀行共用""), REGEXMATCH(F6626, ""Ben帳戶|Elsa帳戶|Ben代墊|Ariel代墊|中信銀行共用"")), ""內部轉帳(忽略)"",
  AND(E6626&lt;&gt;"""", F6626&lt;&gt;"""", N"&amp;"OT(REGEXMATCH(C6626, ""薪資""))), ""內部轉帳(忽略)"",
  REGEXMATCH(C6626, ""薪資""), ""薪資變動(不計入)"",
  REGEXMATCH(C6626, ""押金""), ""押金往來"",
  AND(E6626&lt;&gt;"""", F6626=""""), ""真實支出"",
  AND(E6626="""", F6626&lt;&gt;""""), ""真實收入"",
  TRUE, ""其他""
)"),"其他")</f>
        <v>其他</v>
      </c>
      <c r="K6626" s="270" t="str">
        <f t="shared" si="2"/>
        <v/>
      </c>
      <c r="L6626">
        <f t="shared" si="3"/>
        <v>0</v>
      </c>
    </row>
    <row r="6627">
      <c r="A6627" s="107"/>
      <c r="D6627" s="270"/>
      <c r="H6627" s="106" t="str">
        <f t="shared" si="1"/>
        <v/>
      </c>
      <c r="J6627" t="str">
        <f>IFERROR(__xludf.DUMMYFUNCTION("IFS(
  AND(REGEXMATCH(E6627, ""台銀籌備帳戶|玉山帳戶""), REGEXMATCH(C6627, ""薪資"")), ""分潤支出"",
  AND(REGEXMATCH(E6627, ""Ben帳戶|Elsa帳戶|Ben代墊|Ariel代墊|中信銀行共用""), REGEXMATCH(F6627, ""Ben帳戶|Elsa帳戶|Ben代墊|Ariel代墊|中信銀行共用"")), ""內部轉帳(忽略)"",
  AND(E6627&lt;&gt;"""", F6627&lt;&gt;"""", N"&amp;"OT(REGEXMATCH(C6627, ""薪資""))), ""內部轉帳(忽略)"",
  REGEXMATCH(C6627, ""薪資""), ""薪資變動(不計入)"",
  REGEXMATCH(C6627, ""押金""), ""押金往來"",
  AND(E6627&lt;&gt;"""", F6627=""""), ""真實支出"",
  AND(E6627="""", F6627&lt;&gt;""""), ""真實收入"",
  TRUE, ""其他""
)"),"其他")</f>
        <v>其他</v>
      </c>
      <c r="K6627" s="270" t="str">
        <f t="shared" si="2"/>
        <v/>
      </c>
      <c r="L6627">
        <f t="shared" si="3"/>
        <v>0</v>
      </c>
    </row>
    <row r="6628">
      <c r="A6628" s="107"/>
      <c r="D6628" s="270"/>
      <c r="H6628" s="106" t="str">
        <f t="shared" si="1"/>
        <v/>
      </c>
      <c r="J6628" t="str">
        <f>IFERROR(__xludf.DUMMYFUNCTION("IFS(
  AND(REGEXMATCH(E6628, ""台銀籌備帳戶|玉山帳戶""), REGEXMATCH(C6628, ""薪資"")), ""分潤支出"",
  AND(REGEXMATCH(E6628, ""Ben帳戶|Elsa帳戶|Ben代墊|Ariel代墊|中信銀行共用""), REGEXMATCH(F6628, ""Ben帳戶|Elsa帳戶|Ben代墊|Ariel代墊|中信銀行共用"")), ""內部轉帳(忽略)"",
  AND(E6628&lt;&gt;"""", F6628&lt;&gt;"""", N"&amp;"OT(REGEXMATCH(C6628, ""薪資""))), ""內部轉帳(忽略)"",
  REGEXMATCH(C6628, ""薪資""), ""薪資變動(不計入)"",
  REGEXMATCH(C6628, ""押金""), ""押金往來"",
  AND(E6628&lt;&gt;"""", F6628=""""), ""真實支出"",
  AND(E6628="""", F6628&lt;&gt;""""), ""真實收入"",
  TRUE, ""其他""
)"),"其他")</f>
        <v>其他</v>
      </c>
      <c r="K6628" s="270" t="str">
        <f t="shared" si="2"/>
        <v/>
      </c>
      <c r="L6628">
        <f t="shared" si="3"/>
        <v>0</v>
      </c>
    </row>
    <row r="6629">
      <c r="A6629" s="107"/>
      <c r="D6629" s="270"/>
      <c r="H6629" s="106" t="str">
        <f t="shared" si="1"/>
        <v/>
      </c>
      <c r="J6629" t="str">
        <f>IFERROR(__xludf.DUMMYFUNCTION("IFS(
  AND(REGEXMATCH(E6629, ""台銀籌備帳戶|玉山帳戶""), REGEXMATCH(C6629, ""薪資"")), ""分潤支出"",
  AND(REGEXMATCH(E6629, ""Ben帳戶|Elsa帳戶|Ben代墊|Ariel代墊|中信銀行共用""), REGEXMATCH(F6629, ""Ben帳戶|Elsa帳戶|Ben代墊|Ariel代墊|中信銀行共用"")), ""內部轉帳(忽略)"",
  AND(E6629&lt;&gt;"""", F6629&lt;&gt;"""", N"&amp;"OT(REGEXMATCH(C6629, ""薪資""))), ""內部轉帳(忽略)"",
  REGEXMATCH(C6629, ""薪資""), ""薪資變動(不計入)"",
  REGEXMATCH(C6629, ""押金""), ""押金往來"",
  AND(E6629&lt;&gt;"""", F6629=""""), ""真實支出"",
  AND(E6629="""", F6629&lt;&gt;""""), ""真實收入"",
  TRUE, ""其他""
)"),"其他")</f>
        <v>其他</v>
      </c>
      <c r="K6629" s="270" t="str">
        <f t="shared" si="2"/>
        <v/>
      </c>
      <c r="L6629">
        <f t="shared" si="3"/>
        <v>0</v>
      </c>
    </row>
    <row r="6630">
      <c r="A6630" s="107"/>
      <c r="D6630" s="270"/>
      <c r="H6630" s="106" t="str">
        <f t="shared" si="1"/>
        <v/>
      </c>
      <c r="J6630" t="str">
        <f>IFERROR(__xludf.DUMMYFUNCTION("IFS(
  AND(REGEXMATCH(E6630, ""台銀籌備帳戶|玉山帳戶""), REGEXMATCH(C6630, ""薪資"")), ""分潤支出"",
  AND(REGEXMATCH(E6630, ""Ben帳戶|Elsa帳戶|Ben代墊|Ariel代墊|中信銀行共用""), REGEXMATCH(F6630, ""Ben帳戶|Elsa帳戶|Ben代墊|Ariel代墊|中信銀行共用"")), ""內部轉帳(忽略)"",
  AND(E6630&lt;&gt;"""", F6630&lt;&gt;"""", N"&amp;"OT(REGEXMATCH(C6630, ""薪資""))), ""內部轉帳(忽略)"",
  REGEXMATCH(C6630, ""薪資""), ""薪資變動(不計入)"",
  REGEXMATCH(C6630, ""押金""), ""押金往來"",
  AND(E6630&lt;&gt;"""", F6630=""""), ""真實支出"",
  AND(E6630="""", F6630&lt;&gt;""""), ""真實收入"",
  TRUE, ""其他""
)"),"其他")</f>
        <v>其他</v>
      </c>
      <c r="K6630" s="270" t="str">
        <f t="shared" si="2"/>
        <v/>
      </c>
      <c r="L6630">
        <f t="shared" si="3"/>
        <v>0</v>
      </c>
    </row>
    <row r="6631">
      <c r="A6631" s="107"/>
      <c r="D6631" s="270"/>
      <c r="H6631" s="106" t="str">
        <f t="shared" si="1"/>
        <v/>
      </c>
      <c r="J6631" t="str">
        <f>IFERROR(__xludf.DUMMYFUNCTION("IFS(
  AND(REGEXMATCH(E6631, ""台銀籌備帳戶|玉山帳戶""), REGEXMATCH(C6631, ""薪資"")), ""分潤支出"",
  AND(REGEXMATCH(E6631, ""Ben帳戶|Elsa帳戶|Ben代墊|Ariel代墊|中信銀行共用""), REGEXMATCH(F6631, ""Ben帳戶|Elsa帳戶|Ben代墊|Ariel代墊|中信銀行共用"")), ""內部轉帳(忽略)"",
  AND(E6631&lt;&gt;"""", F6631&lt;&gt;"""", N"&amp;"OT(REGEXMATCH(C6631, ""薪資""))), ""內部轉帳(忽略)"",
  REGEXMATCH(C6631, ""薪資""), ""薪資變動(不計入)"",
  REGEXMATCH(C6631, ""押金""), ""押金往來"",
  AND(E6631&lt;&gt;"""", F6631=""""), ""真實支出"",
  AND(E6631="""", F6631&lt;&gt;""""), ""真實收入"",
  TRUE, ""其他""
)"),"其他")</f>
        <v>其他</v>
      </c>
      <c r="K6631" s="270" t="str">
        <f t="shared" si="2"/>
        <v/>
      </c>
      <c r="L6631">
        <f t="shared" si="3"/>
        <v>0</v>
      </c>
    </row>
    <row r="6632">
      <c r="A6632" s="107"/>
      <c r="D6632" s="270"/>
      <c r="H6632" s="106" t="str">
        <f t="shared" si="1"/>
        <v/>
      </c>
      <c r="J6632" t="str">
        <f>IFERROR(__xludf.DUMMYFUNCTION("IFS(
  AND(REGEXMATCH(E6632, ""台銀籌備帳戶|玉山帳戶""), REGEXMATCH(C6632, ""薪資"")), ""分潤支出"",
  AND(REGEXMATCH(E6632, ""Ben帳戶|Elsa帳戶|Ben代墊|Ariel代墊|中信銀行共用""), REGEXMATCH(F6632, ""Ben帳戶|Elsa帳戶|Ben代墊|Ariel代墊|中信銀行共用"")), ""內部轉帳(忽略)"",
  AND(E6632&lt;&gt;"""", F6632&lt;&gt;"""", N"&amp;"OT(REGEXMATCH(C6632, ""薪資""))), ""內部轉帳(忽略)"",
  REGEXMATCH(C6632, ""薪資""), ""薪資變動(不計入)"",
  REGEXMATCH(C6632, ""押金""), ""押金往來"",
  AND(E6632&lt;&gt;"""", F6632=""""), ""真實支出"",
  AND(E6632="""", F6632&lt;&gt;""""), ""真實收入"",
  TRUE, ""其他""
)"),"其他")</f>
        <v>其他</v>
      </c>
      <c r="K6632" s="270" t="str">
        <f t="shared" si="2"/>
        <v/>
      </c>
      <c r="L6632">
        <f t="shared" si="3"/>
        <v>0</v>
      </c>
    </row>
    <row r="6633">
      <c r="A6633" s="107"/>
      <c r="D6633" s="270"/>
      <c r="H6633" s="106" t="str">
        <f t="shared" si="1"/>
        <v/>
      </c>
      <c r="J6633" t="str">
        <f>IFERROR(__xludf.DUMMYFUNCTION("IFS(
  AND(REGEXMATCH(E6633, ""台銀籌備帳戶|玉山帳戶""), REGEXMATCH(C6633, ""薪資"")), ""分潤支出"",
  AND(REGEXMATCH(E6633, ""Ben帳戶|Elsa帳戶|Ben代墊|Ariel代墊|中信銀行共用""), REGEXMATCH(F6633, ""Ben帳戶|Elsa帳戶|Ben代墊|Ariel代墊|中信銀行共用"")), ""內部轉帳(忽略)"",
  AND(E6633&lt;&gt;"""", F6633&lt;&gt;"""", N"&amp;"OT(REGEXMATCH(C6633, ""薪資""))), ""內部轉帳(忽略)"",
  REGEXMATCH(C6633, ""薪資""), ""薪資變動(不計入)"",
  REGEXMATCH(C6633, ""押金""), ""押金往來"",
  AND(E6633&lt;&gt;"""", F6633=""""), ""真實支出"",
  AND(E6633="""", F6633&lt;&gt;""""), ""真實收入"",
  TRUE, ""其他""
)"),"其他")</f>
        <v>其他</v>
      </c>
      <c r="K6633" s="270" t="str">
        <f t="shared" si="2"/>
        <v/>
      </c>
      <c r="L6633">
        <f t="shared" si="3"/>
        <v>0</v>
      </c>
    </row>
    <row r="6634">
      <c r="A6634" s="107"/>
      <c r="D6634" s="270"/>
      <c r="H6634" s="106" t="str">
        <f t="shared" si="1"/>
        <v/>
      </c>
      <c r="J6634" t="str">
        <f>IFERROR(__xludf.DUMMYFUNCTION("IFS(
  AND(REGEXMATCH(E6634, ""台銀籌備帳戶|玉山帳戶""), REGEXMATCH(C6634, ""薪資"")), ""分潤支出"",
  AND(REGEXMATCH(E6634, ""Ben帳戶|Elsa帳戶|Ben代墊|Ariel代墊|中信銀行共用""), REGEXMATCH(F6634, ""Ben帳戶|Elsa帳戶|Ben代墊|Ariel代墊|中信銀行共用"")), ""內部轉帳(忽略)"",
  AND(E6634&lt;&gt;"""", F6634&lt;&gt;"""", N"&amp;"OT(REGEXMATCH(C6634, ""薪資""))), ""內部轉帳(忽略)"",
  REGEXMATCH(C6634, ""薪資""), ""薪資變動(不計入)"",
  REGEXMATCH(C6634, ""押金""), ""押金往來"",
  AND(E6634&lt;&gt;"""", F6634=""""), ""真實支出"",
  AND(E6634="""", F6634&lt;&gt;""""), ""真實收入"",
  TRUE, ""其他""
)"),"其他")</f>
        <v>其他</v>
      </c>
      <c r="K6634" s="270" t="str">
        <f t="shared" si="2"/>
        <v/>
      </c>
      <c r="L6634">
        <f t="shared" si="3"/>
        <v>0</v>
      </c>
    </row>
    <row r="6635">
      <c r="A6635" s="107"/>
      <c r="D6635" s="270"/>
      <c r="H6635" s="106" t="str">
        <f t="shared" si="1"/>
        <v/>
      </c>
      <c r="J6635" t="str">
        <f>IFERROR(__xludf.DUMMYFUNCTION("IFS(
  AND(REGEXMATCH(E6635, ""台銀籌備帳戶|玉山帳戶""), REGEXMATCH(C6635, ""薪資"")), ""分潤支出"",
  AND(REGEXMATCH(E6635, ""Ben帳戶|Elsa帳戶|Ben代墊|Ariel代墊|中信銀行共用""), REGEXMATCH(F6635, ""Ben帳戶|Elsa帳戶|Ben代墊|Ariel代墊|中信銀行共用"")), ""內部轉帳(忽略)"",
  AND(E6635&lt;&gt;"""", F6635&lt;&gt;"""", N"&amp;"OT(REGEXMATCH(C6635, ""薪資""))), ""內部轉帳(忽略)"",
  REGEXMATCH(C6635, ""薪資""), ""薪資變動(不計入)"",
  REGEXMATCH(C6635, ""押金""), ""押金往來"",
  AND(E6635&lt;&gt;"""", F6635=""""), ""真實支出"",
  AND(E6635="""", F6635&lt;&gt;""""), ""真實收入"",
  TRUE, ""其他""
)"),"其他")</f>
        <v>其他</v>
      </c>
      <c r="K6635" s="270" t="str">
        <f t="shared" si="2"/>
        <v/>
      </c>
      <c r="L6635">
        <f t="shared" si="3"/>
        <v>0</v>
      </c>
    </row>
    <row r="6636">
      <c r="A6636" s="107"/>
      <c r="D6636" s="270"/>
      <c r="H6636" s="106" t="str">
        <f t="shared" si="1"/>
        <v/>
      </c>
      <c r="J6636" t="str">
        <f>IFERROR(__xludf.DUMMYFUNCTION("IFS(
  AND(REGEXMATCH(E6636, ""台銀籌備帳戶|玉山帳戶""), REGEXMATCH(C6636, ""薪資"")), ""分潤支出"",
  AND(REGEXMATCH(E6636, ""Ben帳戶|Elsa帳戶|Ben代墊|Ariel代墊|中信銀行共用""), REGEXMATCH(F6636, ""Ben帳戶|Elsa帳戶|Ben代墊|Ariel代墊|中信銀行共用"")), ""內部轉帳(忽略)"",
  AND(E6636&lt;&gt;"""", F6636&lt;&gt;"""", N"&amp;"OT(REGEXMATCH(C6636, ""薪資""))), ""內部轉帳(忽略)"",
  REGEXMATCH(C6636, ""薪資""), ""薪資變動(不計入)"",
  REGEXMATCH(C6636, ""押金""), ""押金往來"",
  AND(E6636&lt;&gt;"""", F6636=""""), ""真實支出"",
  AND(E6636="""", F6636&lt;&gt;""""), ""真實收入"",
  TRUE, ""其他""
)"),"其他")</f>
        <v>其他</v>
      </c>
      <c r="K6636" s="270" t="str">
        <f t="shared" si="2"/>
        <v/>
      </c>
      <c r="L6636">
        <f t="shared" si="3"/>
        <v>0</v>
      </c>
    </row>
    <row r="6637">
      <c r="A6637" s="107"/>
      <c r="D6637" s="270"/>
      <c r="H6637" s="106" t="str">
        <f t="shared" si="1"/>
        <v/>
      </c>
      <c r="J6637" t="str">
        <f>IFERROR(__xludf.DUMMYFUNCTION("IFS(
  AND(REGEXMATCH(E6637, ""台銀籌備帳戶|玉山帳戶""), REGEXMATCH(C6637, ""薪資"")), ""分潤支出"",
  AND(REGEXMATCH(E6637, ""Ben帳戶|Elsa帳戶|Ben代墊|Ariel代墊|中信銀行共用""), REGEXMATCH(F6637, ""Ben帳戶|Elsa帳戶|Ben代墊|Ariel代墊|中信銀行共用"")), ""內部轉帳(忽略)"",
  AND(E6637&lt;&gt;"""", F6637&lt;&gt;"""", N"&amp;"OT(REGEXMATCH(C6637, ""薪資""))), ""內部轉帳(忽略)"",
  REGEXMATCH(C6637, ""薪資""), ""薪資變動(不計入)"",
  REGEXMATCH(C6637, ""押金""), ""押金往來"",
  AND(E6637&lt;&gt;"""", F6637=""""), ""真實支出"",
  AND(E6637="""", F6637&lt;&gt;""""), ""真實收入"",
  TRUE, ""其他""
)"),"其他")</f>
        <v>其他</v>
      </c>
      <c r="K6637" s="270" t="str">
        <f t="shared" si="2"/>
        <v/>
      </c>
      <c r="L6637">
        <f t="shared" si="3"/>
        <v>0</v>
      </c>
    </row>
    <row r="6638">
      <c r="A6638" s="107"/>
      <c r="D6638" s="270"/>
      <c r="H6638" s="106" t="str">
        <f t="shared" si="1"/>
        <v/>
      </c>
      <c r="J6638" t="str">
        <f>IFERROR(__xludf.DUMMYFUNCTION("IFS(
  AND(REGEXMATCH(E6638, ""台銀籌備帳戶|玉山帳戶""), REGEXMATCH(C6638, ""薪資"")), ""分潤支出"",
  AND(REGEXMATCH(E6638, ""Ben帳戶|Elsa帳戶|Ben代墊|Ariel代墊|中信銀行共用""), REGEXMATCH(F6638, ""Ben帳戶|Elsa帳戶|Ben代墊|Ariel代墊|中信銀行共用"")), ""內部轉帳(忽略)"",
  AND(E6638&lt;&gt;"""", F6638&lt;&gt;"""", N"&amp;"OT(REGEXMATCH(C6638, ""薪資""))), ""內部轉帳(忽略)"",
  REGEXMATCH(C6638, ""薪資""), ""薪資變動(不計入)"",
  REGEXMATCH(C6638, ""押金""), ""押金往來"",
  AND(E6638&lt;&gt;"""", F6638=""""), ""真實支出"",
  AND(E6638="""", F6638&lt;&gt;""""), ""真實收入"",
  TRUE, ""其他""
)"),"其他")</f>
        <v>其他</v>
      </c>
      <c r="K6638" s="270" t="str">
        <f t="shared" si="2"/>
        <v/>
      </c>
      <c r="L6638">
        <f t="shared" si="3"/>
        <v>0</v>
      </c>
    </row>
    <row r="6639">
      <c r="A6639" s="107"/>
      <c r="D6639" s="270"/>
      <c r="H6639" s="106" t="str">
        <f t="shared" si="1"/>
        <v/>
      </c>
      <c r="J6639" t="str">
        <f>IFERROR(__xludf.DUMMYFUNCTION("IFS(
  AND(REGEXMATCH(E6639, ""台銀籌備帳戶|玉山帳戶""), REGEXMATCH(C6639, ""薪資"")), ""分潤支出"",
  AND(REGEXMATCH(E6639, ""Ben帳戶|Elsa帳戶|Ben代墊|Ariel代墊|中信銀行共用""), REGEXMATCH(F6639, ""Ben帳戶|Elsa帳戶|Ben代墊|Ariel代墊|中信銀行共用"")), ""內部轉帳(忽略)"",
  AND(E6639&lt;&gt;"""", F6639&lt;&gt;"""", N"&amp;"OT(REGEXMATCH(C6639, ""薪資""))), ""內部轉帳(忽略)"",
  REGEXMATCH(C6639, ""薪資""), ""薪資變動(不計入)"",
  REGEXMATCH(C6639, ""押金""), ""押金往來"",
  AND(E6639&lt;&gt;"""", F6639=""""), ""真實支出"",
  AND(E6639="""", F6639&lt;&gt;""""), ""真實收入"",
  TRUE, ""其他""
)"),"其他")</f>
        <v>其他</v>
      </c>
      <c r="K6639" s="270" t="str">
        <f t="shared" si="2"/>
        <v/>
      </c>
      <c r="L6639">
        <f t="shared" si="3"/>
        <v>0</v>
      </c>
    </row>
    <row r="6640">
      <c r="A6640" s="107"/>
      <c r="D6640" s="270"/>
      <c r="H6640" s="106" t="str">
        <f t="shared" si="1"/>
        <v/>
      </c>
      <c r="J6640" t="str">
        <f>IFERROR(__xludf.DUMMYFUNCTION("IFS(
  AND(REGEXMATCH(E6640, ""台銀籌備帳戶|玉山帳戶""), REGEXMATCH(C6640, ""薪資"")), ""分潤支出"",
  AND(REGEXMATCH(E6640, ""Ben帳戶|Elsa帳戶|Ben代墊|Ariel代墊|中信銀行共用""), REGEXMATCH(F6640, ""Ben帳戶|Elsa帳戶|Ben代墊|Ariel代墊|中信銀行共用"")), ""內部轉帳(忽略)"",
  AND(E6640&lt;&gt;"""", F6640&lt;&gt;"""", N"&amp;"OT(REGEXMATCH(C6640, ""薪資""))), ""內部轉帳(忽略)"",
  REGEXMATCH(C6640, ""薪資""), ""薪資變動(不計入)"",
  REGEXMATCH(C6640, ""押金""), ""押金往來"",
  AND(E6640&lt;&gt;"""", F6640=""""), ""真實支出"",
  AND(E6640="""", F6640&lt;&gt;""""), ""真實收入"",
  TRUE, ""其他""
)"),"其他")</f>
        <v>其他</v>
      </c>
      <c r="K6640" s="270" t="str">
        <f t="shared" si="2"/>
        <v/>
      </c>
      <c r="L6640">
        <f t="shared" si="3"/>
        <v>0</v>
      </c>
    </row>
    <row r="6641">
      <c r="A6641" s="107"/>
      <c r="D6641" s="270"/>
      <c r="H6641" s="106" t="str">
        <f t="shared" si="1"/>
        <v/>
      </c>
      <c r="J6641" t="str">
        <f>IFERROR(__xludf.DUMMYFUNCTION("IFS(
  AND(REGEXMATCH(E6641, ""台銀籌備帳戶|玉山帳戶""), REGEXMATCH(C6641, ""薪資"")), ""分潤支出"",
  AND(REGEXMATCH(E6641, ""Ben帳戶|Elsa帳戶|Ben代墊|Ariel代墊|中信銀行共用""), REGEXMATCH(F6641, ""Ben帳戶|Elsa帳戶|Ben代墊|Ariel代墊|中信銀行共用"")), ""內部轉帳(忽略)"",
  AND(E6641&lt;&gt;"""", F6641&lt;&gt;"""", N"&amp;"OT(REGEXMATCH(C6641, ""薪資""))), ""內部轉帳(忽略)"",
  REGEXMATCH(C6641, ""薪資""), ""薪資變動(不計入)"",
  REGEXMATCH(C6641, ""押金""), ""押金往來"",
  AND(E6641&lt;&gt;"""", F6641=""""), ""真實支出"",
  AND(E6641="""", F6641&lt;&gt;""""), ""真實收入"",
  TRUE, ""其他""
)"),"其他")</f>
        <v>其他</v>
      </c>
      <c r="K6641" s="270" t="str">
        <f t="shared" si="2"/>
        <v/>
      </c>
      <c r="L6641">
        <f t="shared" si="3"/>
        <v>0</v>
      </c>
    </row>
    <row r="6642">
      <c r="A6642" s="107"/>
      <c r="D6642" s="270"/>
      <c r="H6642" s="106" t="str">
        <f t="shared" si="1"/>
        <v/>
      </c>
      <c r="J6642" t="str">
        <f>IFERROR(__xludf.DUMMYFUNCTION("IFS(
  AND(REGEXMATCH(E6642, ""台銀籌備帳戶|玉山帳戶""), REGEXMATCH(C6642, ""薪資"")), ""分潤支出"",
  AND(REGEXMATCH(E6642, ""Ben帳戶|Elsa帳戶|Ben代墊|Ariel代墊|中信銀行共用""), REGEXMATCH(F6642, ""Ben帳戶|Elsa帳戶|Ben代墊|Ariel代墊|中信銀行共用"")), ""內部轉帳(忽略)"",
  AND(E6642&lt;&gt;"""", F6642&lt;&gt;"""", N"&amp;"OT(REGEXMATCH(C6642, ""薪資""))), ""內部轉帳(忽略)"",
  REGEXMATCH(C6642, ""薪資""), ""薪資變動(不計入)"",
  REGEXMATCH(C6642, ""押金""), ""押金往來"",
  AND(E6642&lt;&gt;"""", F6642=""""), ""真實支出"",
  AND(E6642="""", F6642&lt;&gt;""""), ""真實收入"",
  TRUE, ""其他""
)"),"其他")</f>
        <v>其他</v>
      </c>
      <c r="K6642" s="270" t="str">
        <f t="shared" si="2"/>
        <v/>
      </c>
      <c r="L6642">
        <f t="shared" si="3"/>
        <v>0</v>
      </c>
    </row>
    <row r="6643">
      <c r="A6643" s="107"/>
      <c r="D6643" s="270"/>
      <c r="H6643" s="106" t="str">
        <f t="shared" si="1"/>
        <v/>
      </c>
      <c r="J6643" t="str">
        <f>IFERROR(__xludf.DUMMYFUNCTION("IFS(
  AND(REGEXMATCH(E6643, ""台銀籌備帳戶|玉山帳戶""), REGEXMATCH(C6643, ""薪資"")), ""分潤支出"",
  AND(REGEXMATCH(E6643, ""Ben帳戶|Elsa帳戶|Ben代墊|Ariel代墊|中信銀行共用""), REGEXMATCH(F6643, ""Ben帳戶|Elsa帳戶|Ben代墊|Ariel代墊|中信銀行共用"")), ""內部轉帳(忽略)"",
  AND(E6643&lt;&gt;"""", F6643&lt;&gt;"""", N"&amp;"OT(REGEXMATCH(C6643, ""薪資""))), ""內部轉帳(忽略)"",
  REGEXMATCH(C6643, ""薪資""), ""薪資變動(不計入)"",
  REGEXMATCH(C6643, ""押金""), ""押金往來"",
  AND(E6643&lt;&gt;"""", F6643=""""), ""真實支出"",
  AND(E6643="""", F6643&lt;&gt;""""), ""真實收入"",
  TRUE, ""其他""
)"),"其他")</f>
        <v>其他</v>
      </c>
      <c r="K6643" s="270" t="str">
        <f t="shared" si="2"/>
        <v/>
      </c>
      <c r="L6643">
        <f t="shared" si="3"/>
        <v>0</v>
      </c>
    </row>
    <row r="6644">
      <c r="A6644" s="107"/>
      <c r="D6644" s="270"/>
      <c r="H6644" s="106" t="str">
        <f t="shared" si="1"/>
        <v/>
      </c>
      <c r="J6644" t="str">
        <f>IFERROR(__xludf.DUMMYFUNCTION("IFS(
  AND(REGEXMATCH(E6644, ""台銀籌備帳戶|玉山帳戶""), REGEXMATCH(C6644, ""薪資"")), ""分潤支出"",
  AND(REGEXMATCH(E6644, ""Ben帳戶|Elsa帳戶|Ben代墊|Ariel代墊|中信銀行共用""), REGEXMATCH(F6644, ""Ben帳戶|Elsa帳戶|Ben代墊|Ariel代墊|中信銀行共用"")), ""內部轉帳(忽略)"",
  AND(E6644&lt;&gt;"""", F6644&lt;&gt;"""", N"&amp;"OT(REGEXMATCH(C6644, ""薪資""))), ""內部轉帳(忽略)"",
  REGEXMATCH(C6644, ""薪資""), ""薪資變動(不計入)"",
  REGEXMATCH(C6644, ""押金""), ""押金往來"",
  AND(E6644&lt;&gt;"""", F6644=""""), ""真實支出"",
  AND(E6644="""", F6644&lt;&gt;""""), ""真實收入"",
  TRUE, ""其他""
)"),"其他")</f>
        <v>其他</v>
      </c>
      <c r="K6644" s="270" t="str">
        <f t="shared" si="2"/>
        <v/>
      </c>
      <c r="L6644">
        <f t="shared" si="3"/>
        <v>0</v>
      </c>
    </row>
    <row r="6645">
      <c r="A6645" s="107"/>
      <c r="D6645" s="270"/>
      <c r="H6645" s="106" t="str">
        <f t="shared" si="1"/>
        <v/>
      </c>
      <c r="J6645" t="str">
        <f>IFERROR(__xludf.DUMMYFUNCTION("IFS(
  AND(REGEXMATCH(E6645, ""台銀籌備帳戶|玉山帳戶""), REGEXMATCH(C6645, ""薪資"")), ""分潤支出"",
  AND(REGEXMATCH(E6645, ""Ben帳戶|Elsa帳戶|Ben代墊|Ariel代墊|中信銀行共用""), REGEXMATCH(F6645, ""Ben帳戶|Elsa帳戶|Ben代墊|Ariel代墊|中信銀行共用"")), ""內部轉帳(忽略)"",
  AND(E6645&lt;&gt;"""", F6645&lt;&gt;"""", N"&amp;"OT(REGEXMATCH(C6645, ""薪資""))), ""內部轉帳(忽略)"",
  REGEXMATCH(C6645, ""薪資""), ""薪資變動(不計入)"",
  REGEXMATCH(C6645, ""押金""), ""押金往來"",
  AND(E6645&lt;&gt;"""", F6645=""""), ""真實支出"",
  AND(E6645="""", F6645&lt;&gt;""""), ""真實收入"",
  TRUE, ""其他""
)"),"其他")</f>
        <v>其他</v>
      </c>
      <c r="K6645" s="270" t="str">
        <f t="shared" si="2"/>
        <v/>
      </c>
      <c r="L6645">
        <f t="shared" si="3"/>
        <v>0</v>
      </c>
    </row>
    <row r="6646">
      <c r="A6646" s="107"/>
      <c r="D6646" s="270"/>
      <c r="H6646" s="106" t="str">
        <f t="shared" si="1"/>
        <v/>
      </c>
      <c r="J6646" t="str">
        <f>IFERROR(__xludf.DUMMYFUNCTION("IFS(
  AND(REGEXMATCH(E6646, ""台銀籌備帳戶|玉山帳戶""), REGEXMATCH(C6646, ""薪資"")), ""分潤支出"",
  AND(REGEXMATCH(E6646, ""Ben帳戶|Elsa帳戶|Ben代墊|Ariel代墊|中信銀行共用""), REGEXMATCH(F6646, ""Ben帳戶|Elsa帳戶|Ben代墊|Ariel代墊|中信銀行共用"")), ""內部轉帳(忽略)"",
  AND(E6646&lt;&gt;"""", F6646&lt;&gt;"""", N"&amp;"OT(REGEXMATCH(C6646, ""薪資""))), ""內部轉帳(忽略)"",
  REGEXMATCH(C6646, ""薪資""), ""薪資變動(不計入)"",
  REGEXMATCH(C6646, ""押金""), ""押金往來"",
  AND(E6646&lt;&gt;"""", F6646=""""), ""真實支出"",
  AND(E6646="""", F6646&lt;&gt;""""), ""真實收入"",
  TRUE, ""其他""
)"),"其他")</f>
        <v>其他</v>
      </c>
      <c r="K6646" s="270" t="str">
        <f t="shared" si="2"/>
        <v/>
      </c>
      <c r="L6646">
        <f t="shared" si="3"/>
        <v>0</v>
      </c>
    </row>
    <row r="6647">
      <c r="A6647" s="107"/>
      <c r="D6647" s="270"/>
      <c r="H6647" s="106" t="str">
        <f t="shared" si="1"/>
        <v/>
      </c>
      <c r="J6647" t="str">
        <f>IFERROR(__xludf.DUMMYFUNCTION("IFS(
  AND(REGEXMATCH(E6647, ""台銀籌備帳戶|玉山帳戶""), REGEXMATCH(C6647, ""薪資"")), ""分潤支出"",
  AND(REGEXMATCH(E6647, ""Ben帳戶|Elsa帳戶|Ben代墊|Ariel代墊|中信銀行共用""), REGEXMATCH(F6647, ""Ben帳戶|Elsa帳戶|Ben代墊|Ariel代墊|中信銀行共用"")), ""內部轉帳(忽略)"",
  AND(E6647&lt;&gt;"""", F6647&lt;&gt;"""", N"&amp;"OT(REGEXMATCH(C6647, ""薪資""))), ""內部轉帳(忽略)"",
  REGEXMATCH(C6647, ""薪資""), ""薪資變動(不計入)"",
  REGEXMATCH(C6647, ""押金""), ""押金往來"",
  AND(E6647&lt;&gt;"""", F6647=""""), ""真實支出"",
  AND(E6647="""", F6647&lt;&gt;""""), ""真實收入"",
  TRUE, ""其他""
)"),"其他")</f>
        <v>其他</v>
      </c>
      <c r="K6647" s="270" t="str">
        <f t="shared" si="2"/>
        <v/>
      </c>
      <c r="L6647">
        <f t="shared" si="3"/>
        <v>0</v>
      </c>
    </row>
    <row r="6648">
      <c r="A6648" s="107"/>
      <c r="D6648" s="270"/>
      <c r="H6648" s="106" t="str">
        <f t="shared" si="1"/>
        <v/>
      </c>
      <c r="J6648" t="str">
        <f>IFERROR(__xludf.DUMMYFUNCTION("IFS(
  AND(REGEXMATCH(E6648, ""台銀籌備帳戶|玉山帳戶""), REGEXMATCH(C6648, ""薪資"")), ""分潤支出"",
  AND(REGEXMATCH(E6648, ""Ben帳戶|Elsa帳戶|Ben代墊|Ariel代墊|中信銀行共用""), REGEXMATCH(F6648, ""Ben帳戶|Elsa帳戶|Ben代墊|Ariel代墊|中信銀行共用"")), ""內部轉帳(忽略)"",
  AND(E6648&lt;&gt;"""", F6648&lt;&gt;"""", N"&amp;"OT(REGEXMATCH(C6648, ""薪資""))), ""內部轉帳(忽略)"",
  REGEXMATCH(C6648, ""薪資""), ""薪資變動(不計入)"",
  REGEXMATCH(C6648, ""押金""), ""押金往來"",
  AND(E6648&lt;&gt;"""", F6648=""""), ""真實支出"",
  AND(E6648="""", F6648&lt;&gt;""""), ""真實收入"",
  TRUE, ""其他""
)"),"其他")</f>
        <v>其他</v>
      </c>
      <c r="K6648" s="270" t="str">
        <f t="shared" si="2"/>
        <v/>
      </c>
      <c r="L6648">
        <f t="shared" si="3"/>
        <v>0</v>
      </c>
    </row>
    <row r="6649">
      <c r="A6649" s="107"/>
      <c r="D6649" s="270"/>
      <c r="H6649" s="106" t="str">
        <f t="shared" si="1"/>
        <v/>
      </c>
      <c r="J6649" t="str">
        <f>IFERROR(__xludf.DUMMYFUNCTION("IFS(
  AND(REGEXMATCH(E6649, ""台銀籌備帳戶|玉山帳戶""), REGEXMATCH(C6649, ""薪資"")), ""分潤支出"",
  AND(REGEXMATCH(E6649, ""Ben帳戶|Elsa帳戶|Ben代墊|Ariel代墊|中信銀行共用""), REGEXMATCH(F6649, ""Ben帳戶|Elsa帳戶|Ben代墊|Ariel代墊|中信銀行共用"")), ""內部轉帳(忽略)"",
  AND(E6649&lt;&gt;"""", F6649&lt;&gt;"""", N"&amp;"OT(REGEXMATCH(C6649, ""薪資""))), ""內部轉帳(忽略)"",
  REGEXMATCH(C6649, ""薪資""), ""薪資變動(不計入)"",
  REGEXMATCH(C6649, ""押金""), ""押金往來"",
  AND(E6649&lt;&gt;"""", F6649=""""), ""真實支出"",
  AND(E6649="""", F6649&lt;&gt;""""), ""真實收入"",
  TRUE, ""其他""
)"),"其他")</f>
        <v>其他</v>
      </c>
      <c r="K6649" s="270" t="str">
        <f t="shared" si="2"/>
        <v/>
      </c>
      <c r="L6649">
        <f t="shared" si="3"/>
        <v>0</v>
      </c>
    </row>
    <row r="6650">
      <c r="A6650" s="107"/>
      <c r="D6650" s="270"/>
      <c r="H6650" s="106" t="str">
        <f t="shared" si="1"/>
        <v/>
      </c>
      <c r="J6650" t="str">
        <f>IFERROR(__xludf.DUMMYFUNCTION("IFS(
  AND(REGEXMATCH(E6650, ""台銀籌備帳戶|玉山帳戶""), REGEXMATCH(C6650, ""薪資"")), ""分潤支出"",
  AND(REGEXMATCH(E6650, ""Ben帳戶|Elsa帳戶|Ben代墊|Ariel代墊|中信銀行共用""), REGEXMATCH(F6650, ""Ben帳戶|Elsa帳戶|Ben代墊|Ariel代墊|中信銀行共用"")), ""內部轉帳(忽略)"",
  AND(E6650&lt;&gt;"""", F6650&lt;&gt;"""", N"&amp;"OT(REGEXMATCH(C6650, ""薪資""))), ""內部轉帳(忽略)"",
  REGEXMATCH(C6650, ""薪資""), ""薪資變動(不計入)"",
  REGEXMATCH(C6650, ""押金""), ""押金往來"",
  AND(E6650&lt;&gt;"""", F6650=""""), ""真實支出"",
  AND(E6650="""", F6650&lt;&gt;""""), ""真實收入"",
  TRUE, ""其他""
)"),"其他")</f>
        <v>其他</v>
      </c>
      <c r="K6650" s="270" t="str">
        <f t="shared" si="2"/>
        <v/>
      </c>
      <c r="L6650">
        <f t="shared" si="3"/>
        <v>0</v>
      </c>
    </row>
    <row r="6651">
      <c r="A6651" s="107"/>
      <c r="D6651" s="270"/>
      <c r="H6651" s="106" t="str">
        <f t="shared" si="1"/>
        <v/>
      </c>
      <c r="J6651" t="str">
        <f>IFERROR(__xludf.DUMMYFUNCTION("IFS(
  AND(REGEXMATCH(E6651, ""台銀籌備帳戶|玉山帳戶""), REGEXMATCH(C6651, ""薪資"")), ""分潤支出"",
  AND(REGEXMATCH(E6651, ""Ben帳戶|Elsa帳戶|Ben代墊|Ariel代墊|中信銀行共用""), REGEXMATCH(F6651, ""Ben帳戶|Elsa帳戶|Ben代墊|Ariel代墊|中信銀行共用"")), ""內部轉帳(忽略)"",
  AND(E6651&lt;&gt;"""", F6651&lt;&gt;"""", N"&amp;"OT(REGEXMATCH(C6651, ""薪資""))), ""內部轉帳(忽略)"",
  REGEXMATCH(C6651, ""薪資""), ""薪資變動(不計入)"",
  REGEXMATCH(C6651, ""押金""), ""押金往來"",
  AND(E6651&lt;&gt;"""", F6651=""""), ""真實支出"",
  AND(E6651="""", F6651&lt;&gt;""""), ""真實收入"",
  TRUE, ""其他""
)"),"其他")</f>
        <v>其他</v>
      </c>
      <c r="K6651" s="270" t="str">
        <f t="shared" si="2"/>
        <v/>
      </c>
      <c r="L6651">
        <f t="shared" si="3"/>
        <v>0</v>
      </c>
    </row>
    <row r="6652">
      <c r="A6652" s="107"/>
      <c r="D6652" s="270"/>
      <c r="H6652" s="106" t="str">
        <f t="shared" si="1"/>
        <v/>
      </c>
      <c r="J6652" t="str">
        <f>IFERROR(__xludf.DUMMYFUNCTION("IFS(
  AND(REGEXMATCH(E6652, ""台銀籌備帳戶|玉山帳戶""), REGEXMATCH(C6652, ""薪資"")), ""分潤支出"",
  AND(REGEXMATCH(E6652, ""Ben帳戶|Elsa帳戶|Ben代墊|Ariel代墊|中信銀行共用""), REGEXMATCH(F6652, ""Ben帳戶|Elsa帳戶|Ben代墊|Ariel代墊|中信銀行共用"")), ""內部轉帳(忽略)"",
  AND(E6652&lt;&gt;"""", F6652&lt;&gt;"""", N"&amp;"OT(REGEXMATCH(C6652, ""薪資""))), ""內部轉帳(忽略)"",
  REGEXMATCH(C6652, ""薪資""), ""薪資變動(不計入)"",
  REGEXMATCH(C6652, ""押金""), ""押金往來"",
  AND(E6652&lt;&gt;"""", F6652=""""), ""真實支出"",
  AND(E6652="""", F6652&lt;&gt;""""), ""真實收入"",
  TRUE, ""其他""
)"),"其他")</f>
        <v>其他</v>
      </c>
      <c r="K6652" s="270" t="str">
        <f t="shared" si="2"/>
        <v/>
      </c>
      <c r="L6652">
        <f t="shared" si="3"/>
        <v>0</v>
      </c>
    </row>
    <row r="6653">
      <c r="A6653" s="107"/>
      <c r="D6653" s="270"/>
      <c r="H6653" s="106" t="str">
        <f t="shared" si="1"/>
        <v/>
      </c>
      <c r="J6653" t="str">
        <f>IFERROR(__xludf.DUMMYFUNCTION("IFS(
  AND(REGEXMATCH(E6653, ""台銀籌備帳戶|玉山帳戶""), REGEXMATCH(C6653, ""薪資"")), ""分潤支出"",
  AND(REGEXMATCH(E6653, ""Ben帳戶|Elsa帳戶|Ben代墊|Ariel代墊|中信銀行共用""), REGEXMATCH(F6653, ""Ben帳戶|Elsa帳戶|Ben代墊|Ariel代墊|中信銀行共用"")), ""內部轉帳(忽略)"",
  AND(E6653&lt;&gt;"""", F6653&lt;&gt;"""", N"&amp;"OT(REGEXMATCH(C6653, ""薪資""))), ""內部轉帳(忽略)"",
  REGEXMATCH(C6653, ""薪資""), ""薪資變動(不計入)"",
  REGEXMATCH(C6653, ""押金""), ""押金往來"",
  AND(E6653&lt;&gt;"""", F6653=""""), ""真實支出"",
  AND(E6653="""", F6653&lt;&gt;""""), ""真實收入"",
  TRUE, ""其他""
)"),"其他")</f>
        <v>其他</v>
      </c>
      <c r="K6653" s="270" t="str">
        <f t="shared" si="2"/>
        <v/>
      </c>
      <c r="L6653">
        <f t="shared" si="3"/>
        <v>0</v>
      </c>
    </row>
    <row r="6654">
      <c r="A6654" s="107"/>
      <c r="D6654" s="270"/>
      <c r="H6654" s="106" t="str">
        <f t="shared" si="1"/>
        <v/>
      </c>
      <c r="J6654" t="str">
        <f>IFERROR(__xludf.DUMMYFUNCTION("IFS(
  AND(REGEXMATCH(E6654, ""台銀籌備帳戶|玉山帳戶""), REGEXMATCH(C6654, ""薪資"")), ""分潤支出"",
  AND(REGEXMATCH(E6654, ""Ben帳戶|Elsa帳戶|Ben代墊|Ariel代墊|中信銀行共用""), REGEXMATCH(F6654, ""Ben帳戶|Elsa帳戶|Ben代墊|Ariel代墊|中信銀行共用"")), ""內部轉帳(忽略)"",
  AND(E6654&lt;&gt;"""", F6654&lt;&gt;"""", N"&amp;"OT(REGEXMATCH(C6654, ""薪資""))), ""內部轉帳(忽略)"",
  REGEXMATCH(C6654, ""薪資""), ""薪資變動(不計入)"",
  REGEXMATCH(C6654, ""押金""), ""押金往來"",
  AND(E6654&lt;&gt;"""", F6654=""""), ""真實支出"",
  AND(E6654="""", F6654&lt;&gt;""""), ""真實收入"",
  TRUE, ""其他""
)"),"其他")</f>
        <v>其他</v>
      </c>
      <c r="K6654" s="270" t="str">
        <f t="shared" si="2"/>
        <v/>
      </c>
      <c r="L6654">
        <f t="shared" si="3"/>
        <v>0</v>
      </c>
    </row>
    <row r="6655">
      <c r="A6655" s="107"/>
      <c r="D6655" s="270"/>
      <c r="H6655" s="106" t="str">
        <f t="shared" si="1"/>
        <v/>
      </c>
      <c r="J6655" t="str">
        <f>IFERROR(__xludf.DUMMYFUNCTION("IFS(
  AND(REGEXMATCH(E6655, ""台銀籌備帳戶|玉山帳戶""), REGEXMATCH(C6655, ""薪資"")), ""分潤支出"",
  AND(REGEXMATCH(E6655, ""Ben帳戶|Elsa帳戶|Ben代墊|Ariel代墊|中信銀行共用""), REGEXMATCH(F6655, ""Ben帳戶|Elsa帳戶|Ben代墊|Ariel代墊|中信銀行共用"")), ""內部轉帳(忽略)"",
  AND(E6655&lt;&gt;"""", F6655&lt;&gt;"""", N"&amp;"OT(REGEXMATCH(C6655, ""薪資""))), ""內部轉帳(忽略)"",
  REGEXMATCH(C6655, ""薪資""), ""薪資變動(不計入)"",
  REGEXMATCH(C6655, ""押金""), ""押金往來"",
  AND(E6655&lt;&gt;"""", F6655=""""), ""真實支出"",
  AND(E6655="""", F6655&lt;&gt;""""), ""真實收入"",
  TRUE, ""其他""
)"),"其他")</f>
        <v>其他</v>
      </c>
      <c r="K6655" s="270" t="str">
        <f t="shared" si="2"/>
        <v/>
      </c>
      <c r="L6655">
        <f t="shared" si="3"/>
        <v>0</v>
      </c>
    </row>
    <row r="6656">
      <c r="A6656" s="107"/>
      <c r="D6656" s="270"/>
      <c r="H6656" s="106" t="str">
        <f t="shared" si="1"/>
        <v/>
      </c>
      <c r="J6656" t="str">
        <f>IFERROR(__xludf.DUMMYFUNCTION("IFS(
  AND(REGEXMATCH(E6656, ""台銀籌備帳戶|玉山帳戶""), REGEXMATCH(C6656, ""薪資"")), ""分潤支出"",
  AND(REGEXMATCH(E6656, ""Ben帳戶|Elsa帳戶|Ben代墊|Ariel代墊|中信銀行共用""), REGEXMATCH(F6656, ""Ben帳戶|Elsa帳戶|Ben代墊|Ariel代墊|中信銀行共用"")), ""內部轉帳(忽略)"",
  AND(E6656&lt;&gt;"""", F6656&lt;&gt;"""", N"&amp;"OT(REGEXMATCH(C6656, ""薪資""))), ""內部轉帳(忽略)"",
  REGEXMATCH(C6656, ""薪資""), ""薪資變動(不計入)"",
  REGEXMATCH(C6656, ""押金""), ""押金往來"",
  AND(E6656&lt;&gt;"""", F6656=""""), ""真實支出"",
  AND(E6656="""", F6656&lt;&gt;""""), ""真實收入"",
  TRUE, ""其他""
)"),"其他")</f>
        <v>其他</v>
      </c>
      <c r="K6656" s="270" t="str">
        <f t="shared" si="2"/>
        <v/>
      </c>
      <c r="L6656">
        <f t="shared" si="3"/>
        <v>0</v>
      </c>
    </row>
    <row r="6657">
      <c r="A6657" s="107"/>
      <c r="D6657" s="270"/>
      <c r="H6657" s="106" t="str">
        <f t="shared" si="1"/>
        <v/>
      </c>
      <c r="J6657" t="str">
        <f>IFERROR(__xludf.DUMMYFUNCTION("IFS(
  AND(REGEXMATCH(E6657, ""台銀籌備帳戶|玉山帳戶""), REGEXMATCH(C6657, ""薪資"")), ""分潤支出"",
  AND(REGEXMATCH(E6657, ""Ben帳戶|Elsa帳戶|Ben代墊|Ariel代墊|中信銀行共用""), REGEXMATCH(F6657, ""Ben帳戶|Elsa帳戶|Ben代墊|Ariel代墊|中信銀行共用"")), ""內部轉帳(忽略)"",
  AND(E6657&lt;&gt;"""", F6657&lt;&gt;"""", N"&amp;"OT(REGEXMATCH(C6657, ""薪資""))), ""內部轉帳(忽略)"",
  REGEXMATCH(C6657, ""薪資""), ""薪資變動(不計入)"",
  REGEXMATCH(C6657, ""押金""), ""押金往來"",
  AND(E6657&lt;&gt;"""", F6657=""""), ""真實支出"",
  AND(E6657="""", F6657&lt;&gt;""""), ""真實收入"",
  TRUE, ""其他""
)"),"其他")</f>
        <v>其他</v>
      </c>
      <c r="K6657" s="270" t="str">
        <f t="shared" si="2"/>
        <v/>
      </c>
      <c r="L6657">
        <f t="shared" si="3"/>
        <v>0</v>
      </c>
    </row>
    <row r="6658">
      <c r="A6658" s="107"/>
      <c r="D6658" s="270"/>
      <c r="H6658" s="106" t="str">
        <f t="shared" si="1"/>
        <v/>
      </c>
      <c r="J6658" t="str">
        <f>IFERROR(__xludf.DUMMYFUNCTION("IFS(
  AND(REGEXMATCH(E6658, ""台銀籌備帳戶|玉山帳戶""), REGEXMATCH(C6658, ""薪資"")), ""分潤支出"",
  AND(REGEXMATCH(E6658, ""Ben帳戶|Elsa帳戶|Ben代墊|Ariel代墊|中信銀行共用""), REGEXMATCH(F6658, ""Ben帳戶|Elsa帳戶|Ben代墊|Ariel代墊|中信銀行共用"")), ""內部轉帳(忽略)"",
  AND(E6658&lt;&gt;"""", F6658&lt;&gt;"""", N"&amp;"OT(REGEXMATCH(C6658, ""薪資""))), ""內部轉帳(忽略)"",
  REGEXMATCH(C6658, ""薪資""), ""薪資變動(不計入)"",
  REGEXMATCH(C6658, ""押金""), ""押金往來"",
  AND(E6658&lt;&gt;"""", F6658=""""), ""真實支出"",
  AND(E6658="""", F6658&lt;&gt;""""), ""真實收入"",
  TRUE, ""其他""
)"),"其他")</f>
        <v>其他</v>
      </c>
      <c r="K6658" s="270" t="str">
        <f t="shared" si="2"/>
        <v/>
      </c>
      <c r="L6658">
        <f t="shared" si="3"/>
        <v>0</v>
      </c>
    </row>
    <row r="6659">
      <c r="A6659" s="107"/>
      <c r="D6659" s="270"/>
      <c r="H6659" s="106" t="str">
        <f t="shared" si="1"/>
        <v/>
      </c>
      <c r="J6659" t="str">
        <f>IFERROR(__xludf.DUMMYFUNCTION("IFS(
  AND(REGEXMATCH(E6659, ""台銀籌備帳戶|玉山帳戶""), REGEXMATCH(C6659, ""薪資"")), ""分潤支出"",
  AND(REGEXMATCH(E6659, ""Ben帳戶|Elsa帳戶|Ben代墊|Ariel代墊|中信銀行共用""), REGEXMATCH(F6659, ""Ben帳戶|Elsa帳戶|Ben代墊|Ariel代墊|中信銀行共用"")), ""內部轉帳(忽略)"",
  AND(E6659&lt;&gt;"""", F6659&lt;&gt;"""", N"&amp;"OT(REGEXMATCH(C6659, ""薪資""))), ""內部轉帳(忽略)"",
  REGEXMATCH(C6659, ""薪資""), ""薪資變動(不計入)"",
  REGEXMATCH(C6659, ""押金""), ""押金往來"",
  AND(E6659&lt;&gt;"""", F6659=""""), ""真實支出"",
  AND(E6659="""", F6659&lt;&gt;""""), ""真實收入"",
  TRUE, ""其他""
)"),"其他")</f>
        <v>其他</v>
      </c>
      <c r="K6659" s="270" t="str">
        <f t="shared" si="2"/>
        <v/>
      </c>
      <c r="L6659">
        <f t="shared" si="3"/>
        <v>0</v>
      </c>
    </row>
    <row r="6660">
      <c r="A6660" s="107"/>
      <c r="D6660" s="270"/>
      <c r="H6660" s="106" t="str">
        <f t="shared" si="1"/>
        <v/>
      </c>
      <c r="J6660" t="str">
        <f>IFERROR(__xludf.DUMMYFUNCTION("IFS(
  AND(REGEXMATCH(E6660, ""台銀籌備帳戶|玉山帳戶""), REGEXMATCH(C6660, ""薪資"")), ""分潤支出"",
  AND(REGEXMATCH(E6660, ""Ben帳戶|Elsa帳戶|Ben代墊|Ariel代墊|中信銀行共用""), REGEXMATCH(F6660, ""Ben帳戶|Elsa帳戶|Ben代墊|Ariel代墊|中信銀行共用"")), ""內部轉帳(忽略)"",
  AND(E6660&lt;&gt;"""", F6660&lt;&gt;"""", N"&amp;"OT(REGEXMATCH(C6660, ""薪資""))), ""內部轉帳(忽略)"",
  REGEXMATCH(C6660, ""薪資""), ""薪資變動(不計入)"",
  REGEXMATCH(C6660, ""押金""), ""押金往來"",
  AND(E6660&lt;&gt;"""", F6660=""""), ""真實支出"",
  AND(E6660="""", F6660&lt;&gt;""""), ""真實收入"",
  TRUE, ""其他""
)"),"其他")</f>
        <v>其他</v>
      </c>
      <c r="K6660" s="270" t="str">
        <f t="shared" si="2"/>
        <v/>
      </c>
      <c r="L6660">
        <f t="shared" si="3"/>
        <v>0</v>
      </c>
    </row>
    <row r="6661">
      <c r="A6661" s="107"/>
      <c r="D6661" s="270"/>
      <c r="H6661" s="106" t="str">
        <f t="shared" si="1"/>
        <v/>
      </c>
      <c r="J6661" t="str">
        <f>IFERROR(__xludf.DUMMYFUNCTION("IFS(
  AND(REGEXMATCH(E6661, ""台銀籌備帳戶|玉山帳戶""), REGEXMATCH(C6661, ""薪資"")), ""分潤支出"",
  AND(REGEXMATCH(E6661, ""Ben帳戶|Elsa帳戶|Ben代墊|Ariel代墊|中信銀行共用""), REGEXMATCH(F6661, ""Ben帳戶|Elsa帳戶|Ben代墊|Ariel代墊|中信銀行共用"")), ""內部轉帳(忽略)"",
  AND(E6661&lt;&gt;"""", F6661&lt;&gt;"""", N"&amp;"OT(REGEXMATCH(C6661, ""薪資""))), ""內部轉帳(忽略)"",
  REGEXMATCH(C6661, ""薪資""), ""薪資變動(不計入)"",
  REGEXMATCH(C6661, ""押金""), ""押金往來"",
  AND(E6661&lt;&gt;"""", F6661=""""), ""真實支出"",
  AND(E6661="""", F6661&lt;&gt;""""), ""真實收入"",
  TRUE, ""其他""
)"),"其他")</f>
        <v>其他</v>
      </c>
      <c r="K6661" s="270" t="str">
        <f t="shared" si="2"/>
        <v/>
      </c>
      <c r="L6661">
        <f t="shared" si="3"/>
        <v>0</v>
      </c>
    </row>
    <row r="6662">
      <c r="A6662" s="107"/>
      <c r="D6662" s="270"/>
      <c r="H6662" s="106" t="str">
        <f t="shared" si="1"/>
        <v/>
      </c>
      <c r="J6662" t="str">
        <f>IFERROR(__xludf.DUMMYFUNCTION("IFS(
  AND(REGEXMATCH(E6662, ""台銀籌備帳戶|玉山帳戶""), REGEXMATCH(C6662, ""薪資"")), ""分潤支出"",
  AND(REGEXMATCH(E6662, ""Ben帳戶|Elsa帳戶|Ben代墊|Ariel代墊|中信銀行共用""), REGEXMATCH(F6662, ""Ben帳戶|Elsa帳戶|Ben代墊|Ariel代墊|中信銀行共用"")), ""內部轉帳(忽略)"",
  AND(E6662&lt;&gt;"""", F6662&lt;&gt;"""", N"&amp;"OT(REGEXMATCH(C6662, ""薪資""))), ""內部轉帳(忽略)"",
  REGEXMATCH(C6662, ""薪資""), ""薪資變動(不計入)"",
  REGEXMATCH(C6662, ""押金""), ""押金往來"",
  AND(E6662&lt;&gt;"""", F6662=""""), ""真實支出"",
  AND(E6662="""", F6662&lt;&gt;""""), ""真實收入"",
  TRUE, ""其他""
)"),"其他")</f>
        <v>其他</v>
      </c>
      <c r="K6662" s="270" t="str">
        <f t="shared" si="2"/>
        <v/>
      </c>
      <c r="L6662">
        <f t="shared" si="3"/>
        <v>0</v>
      </c>
    </row>
    <row r="6663">
      <c r="A6663" s="107"/>
      <c r="D6663" s="270"/>
      <c r="H6663" s="106" t="str">
        <f t="shared" si="1"/>
        <v/>
      </c>
      <c r="J6663" t="str">
        <f>IFERROR(__xludf.DUMMYFUNCTION("IFS(
  AND(REGEXMATCH(E6663, ""台銀籌備帳戶|玉山帳戶""), REGEXMATCH(C6663, ""薪資"")), ""分潤支出"",
  AND(REGEXMATCH(E6663, ""Ben帳戶|Elsa帳戶|Ben代墊|Ariel代墊|中信銀行共用""), REGEXMATCH(F6663, ""Ben帳戶|Elsa帳戶|Ben代墊|Ariel代墊|中信銀行共用"")), ""內部轉帳(忽略)"",
  AND(E6663&lt;&gt;"""", F6663&lt;&gt;"""", N"&amp;"OT(REGEXMATCH(C6663, ""薪資""))), ""內部轉帳(忽略)"",
  REGEXMATCH(C6663, ""薪資""), ""薪資變動(不計入)"",
  REGEXMATCH(C6663, ""押金""), ""押金往來"",
  AND(E6663&lt;&gt;"""", F6663=""""), ""真實支出"",
  AND(E6663="""", F6663&lt;&gt;""""), ""真實收入"",
  TRUE, ""其他""
)"),"其他")</f>
        <v>其他</v>
      </c>
      <c r="K6663" s="270" t="str">
        <f t="shared" si="2"/>
        <v/>
      </c>
      <c r="L6663">
        <f t="shared" si="3"/>
        <v>0</v>
      </c>
    </row>
    <row r="6664">
      <c r="A6664" s="107"/>
      <c r="D6664" s="270"/>
      <c r="H6664" s="106" t="str">
        <f t="shared" si="1"/>
        <v/>
      </c>
      <c r="J6664" t="str">
        <f>IFERROR(__xludf.DUMMYFUNCTION("IFS(
  AND(REGEXMATCH(E6664, ""台銀籌備帳戶|玉山帳戶""), REGEXMATCH(C6664, ""薪資"")), ""分潤支出"",
  AND(REGEXMATCH(E6664, ""Ben帳戶|Elsa帳戶|Ben代墊|Ariel代墊|中信銀行共用""), REGEXMATCH(F6664, ""Ben帳戶|Elsa帳戶|Ben代墊|Ariel代墊|中信銀行共用"")), ""內部轉帳(忽略)"",
  AND(E6664&lt;&gt;"""", F6664&lt;&gt;"""", N"&amp;"OT(REGEXMATCH(C6664, ""薪資""))), ""內部轉帳(忽略)"",
  REGEXMATCH(C6664, ""薪資""), ""薪資變動(不計入)"",
  REGEXMATCH(C6664, ""押金""), ""押金往來"",
  AND(E6664&lt;&gt;"""", F6664=""""), ""真實支出"",
  AND(E6664="""", F6664&lt;&gt;""""), ""真實收入"",
  TRUE, ""其他""
)"),"其他")</f>
        <v>其他</v>
      </c>
      <c r="K6664" s="270" t="str">
        <f t="shared" si="2"/>
        <v/>
      </c>
      <c r="L6664">
        <f t="shared" si="3"/>
        <v>0</v>
      </c>
    </row>
    <row r="6665">
      <c r="A6665" s="107"/>
      <c r="D6665" s="270"/>
      <c r="H6665" s="106" t="str">
        <f t="shared" si="1"/>
        <v/>
      </c>
      <c r="J6665" t="str">
        <f>IFERROR(__xludf.DUMMYFUNCTION("IFS(
  AND(REGEXMATCH(E6665, ""台銀籌備帳戶|玉山帳戶""), REGEXMATCH(C6665, ""薪資"")), ""分潤支出"",
  AND(REGEXMATCH(E6665, ""Ben帳戶|Elsa帳戶|Ben代墊|Ariel代墊|中信銀行共用""), REGEXMATCH(F6665, ""Ben帳戶|Elsa帳戶|Ben代墊|Ariel代墊|中信銀行共用"")), ""內部轉帳(忽略)"",
  AND(E6665&lt;&gt;"""", F6665&lt;&gt;"""", N"&amp;"OT(REGEXMATCH(C6665, ""薪資""))), ""內部轉帳(忽略)"",
  REGEXMATCH(C6665, ""薪資""), ""薪資變動(不計入)"",
  REGEXMATCH(C6665, ""押金""), ""押金往來"",
  AND(E6665&lt;&gt;"""", F6665=""""), ""真實支出"",
  AND(E6665="""", F6665&lt;&gt;""""), ""真實收入"",
  TRUE, ""其他""
)"),"其他")</f>
        <v>其他</v>
      </c>
      <c r="K6665" s="270" t="str">
        <f t="shared" si="2"/>
        <v/>
      </c>
      <c r="L6665">
        <f t="shared" si="3"/>
        <v>0</v>
      </c>
    </row>
    <row r="6666">
      <c r="A6666" s="107"/>
      <c r="D6666" s="270"/>
      <c r="H6666" s="106" t="str">
        <f t="shared" si="1"/>
        <v/>
      </c>
      <c r="J6666" t="str">
        <f>IFERROR(__xludf.DUMMYFUNCTION("IFS(
  AND(REGEXMATCH(E6666, ""台銀籌備帳戶|玉山帳戶""), REGEXMATCH(C6666, ""薪資"")), ""分潤支出"",
  AND(REGEXMATCH(E6666, ""Ben帳戶|Elsa帳戶|Ben代墊|Ariel代墊|中信銀行共用""), REGEXMATCH(F6666, ""Ben帳戶|Elsa帳戶|Ben代墊|Ariel代墊|中信銀行共用"")), ""內部轉帳(忽略)"",
  AND(E6666&lt;&gt;"""", F6666&lt;&gt;"""", N"&amp;"OT(REGEXMATCH(C6666, ""薪資""))), ""內部轉帳(忽略)"",
  REGEXMATCH(C6666, ""薪資""), ""薪資變動(不計入)"",
  REGEXMATCH(C6666, ""押金""), ""押金往來"",
  AND(E6666&lt;&gt;"""", F6666=""""), ""真實支出"",
  AND(E6666="""", F6666&lt;&gt;""""), ""真實收入"",
  TRUE, ""其他""
)"),"其他")</f>
        <v>其他</v>
      </c>
      <c r="K6666" s="270" t="str">
        <f t="shared" si="2"/>
        <v/>
      </c>
      <c r="L6666">
        <f t="shared" si="3"/>
        <v>0</v>
      </c>
    </row>
    <row r="6667">
      <c r="A6667" s="107"/>
      <c r="D6667" s="270"/>
      <c r="H6667" s="106" t="str">
        <f t="shared" si="1"/>
        <v/>
      </c>
      <c r="J6667" t="str">
        <f>IFERROR(__xludf.DUMMYFUNCTION("IFS(
  AND(REGEXMATCH(E6667, ""台銀籌備帳戶|玉山帳戶""), REGEXMATCH(C6667, ""薪資"")), ""分潤支出"",
  AND(REGEXMATCH(E6667, ""Ben帳戶|Elsa帳戶|Ben代墊|Ariel代墊|中信銀行共用""), REGEXMATCH(F6667, ""Ben帳戶|Elsa帳戶|Ben代墊|Ariel代墊|中信銀行共用"")), ""內部轉帳(忽略)"",
  AND(E6667&lt;&gt;"""", F6667&lt;&gt;"""", N"&amp;"OT(REGEXMATCH(C6667, ""薪資""))), ""內部轉帳(忽略)"",
  REGEXMATCH(C6667, ""薪資""), ""薪資變動(不計入)"",
  REGEXMATCH(C6667, ""押金""), ""押金往來"",
  AND(E6667&lt;&gt;"""", F6667=""""), ""真實支出"",
  AND(E6667="""", F6667&lt;&gt;""""), ""真實收入"",
  TRUE, ""其他""
)"),"其他")</f>
        <v>其他</v>
      </c>
      <c r="K6667" s="270" t="str">
        <f t="shared" si="2"/>
        <v/>
      </c>
      <c r="L6667">
        <f t="shared" si="3"/>
        <v>0</v>
      </c>
    </row>
    <row r="6668">
      <c r="A6668" s="107"/>
      <c r="D6668" s="270"/>
      <c r="H6668" s="106" t="str">
        <f t="shared" si="1"/>
        <v/>
      </c>
      <c r="J6668" t="str">
        <f>IFERROR(__xludf.DUMMYFUNCTION("IFS(
  AND(REGEXMATCH(E6668, ""台銀籌備帳戶|玉山帳戶""), REGEXMATCH(C6668, ""薪資"")), ""分潤支出"",
  AND(REGEXMATCH(E6668, ""Ben帳戶|Elsa帳戶|Ben代墊|Ariel代墊|中信銀行共用""), REGEXMATCH(F6668, ""Ben帳戶|Elsa帳戶|Ben代墊|Ariel代墊|中信銀行共用"")), ""內部轉帳(忽略)"",
  AND(E6668&lt;&gt;"""", F6668&lt;&gt;"""", N"&amp;"OT(REGEXMATCH(C6668, ""薪資""))), ""內部轉帳(忽略)"",
  REGEXMATCH(C6668, ""薪資""), ""薪資變動(不計入)"",
  REGEXMATCH(C6668, ""押金""), ""押金往來"",
  AND(E6668&lt;&gt;"""", F6668=""""), ""真實支出"",
  AND(E6668="""", F6668&lt;&gt;""""), ""真實收入"",
  TRUE, ""其他""
)"),"其他")</f>
        <v>其他</v>
      </c>
      <c r="K6668" s="270" t="str">
        <f t="shared" si="2"/>
        <v/>
      </c>
      <c r="L6668">
        <f t="shared" si="3"/>
        <v>0</v>
      </c>
    </row>
    <row r="6669">
      <c r="A6669" s="107"/>
      <c r="D6669" s="270"/>
      <c r="H6669" s="106" t="str">
        <f t="shared" si="1"/>
        <v/>
      </c>
      <c r="J6669" t="str">
        <f>IFERROR(__xludf.DUMMYFUNCTION("IFS(
  AND(REGEXMATCH(E6669, ""台銀籌備帳戶|玉山帳戶""), REGEXMATCH(C6669, ""薪資"")), ""分潤支出"",
  AND(REGEXMATCH(E6669, ""Ben帳戶|Elsa帳戶|Ben代墊|Ariel代墊|中信銀行共用""), REGEXMATCH(F6669, ""Ben帳戶|Elsa帳戶|Ben代墊|Ariel代墊|中信銀行共用"")), ""內部轉帳(忽略)"",
  AND(E6669&lt;&gt;"""", F6669&lt;&gt;"""", N"&amp;"OT(REGEXMATCH(C6669, ""薪資""))), ""內部轉帳(忽略)"",
  REGEXMATCH(C6669, ""薪資""), ""薪資變動(不計入)"",
  REGEXMATCH(C6669, ""押金""), ""押金往來"",
  AND(E6669&lt;&gt;"""", F6669=""""), ""真實支出"",
  AND(E6669="""", F6669&lt;&gt;""""), ""真實收入"",
  TRUE, ""其他""
)"),"其他")</f>
        <v>其他</v>
      </c>
      <c r="K6669" s="270" t="str">
        <f t="shared" si="2"/>
        <v/>
      </c>
      <c r="L6669">
        <f t="shared" si="3"/>
        <v>0</v>
      </c>
    </row>
    <row r="6670">
      <c r="A6670" s="107"/>
      <c r="D6670" s="270"/>
      <c r="H6670" s="106" t="str">
        <f t="shared" si="1"/>
        <v/>
      </c>
      <c r="J6670" t="str">
        <f>IFERROR(__xludf.DUMMYFUNCTION("IFS(
  AND(REGEXMATCH(E6670, ""台銀籌備帳戶|玉山帳戶""), REGEXMATCH(C6670, ""薪資"")), ""分潤支出"",
  AND(REGEXMATCH(E6670, ""Ben帳戶|Elsa帳戶|Ben代墊|Ariel代墊|中信銀行共用""), REGEXMATCH(F6670, ""Ben帳戶|Elsa帳戶|Ben代墊|Ariel代墊|中信銀行共用"")), ""內部轉帳(忽略)"",
  AND(E6670&lt;&gt;"""", F6670&lt;&gt;"""", N"&amp;"OT(REGEXMATCH(C6670, ""薪資""))), ""內部轉帳(忽略)"",
  REGEXMATCH(C6670, ""薪資""), ""薪資變動(不計入)"",
  REGEXMATCH(C6670, ""押金""), ""押金往來"",
  AND(E6670&lt;&gt;"""", F6670=""""), ""真實支出"",
  AND(E6670="""", F6670&lt;&gt;""""), ""真實收入"",
  TRUE, ""其他""
)"),"其他")</f>
        <v>其他</v>
      </c>
      <c r="K6670" s="270" t="str">
        <f t="shared" si="2"/>
        <v/>
      </c>
      <c r="L6670">
        <f t="shared" si="3"/>
        <v>0</v>
      </c>
    </row>
    <row r="6671">
      <c r="A6671" s="107"/>
      <c r="D6671" s="270"/>
      <c r="H6671" s="106" t="str">
        <f t="shared" si="1"/>
        <v/>
      </c>
      <c r="J6671" t="str">
        <f>IFERROR(__xludf.DUMMYFUNCTION("IFS(
  AND(REGEXMATCH(E6671, ""台銀籌備帳戶|玉山帳戶""), REGEXMATCH(C6671, ""薪資"")), ""分潤支出"",
  AND(REGEXMATCH(E6671, ""Ben帳戶|Elsa帳戶|Ben代墊|Ariel代墊|中信銀行共用""), REGEXMATCH(F6671, ""Ben帳戶|Elsa帳戶|Ben代墊|Ariel代墊|中信銀行共用"")), ""內部轉帳(忽略)"",
  AND(E6671&lt;&gt;"""", F6671&lt;&gt;"""", N"&amp;"OT(REGEXMATCH(C6671, ""薪資""))), ""內部轉帳(忽略)"",
  REGEXMATCH(C6671, ""薪資""), ""薪資變動(不計入)"",
  REGEXMATCH(C6671, ""押金""), ""押金往來"",
  AND(E6671&lt;&gt;"""", F6671=""""), ""真實支出"",
  AND(E6671="""", F6671&lt;&gt;""""), ""真實收入"",
  TRUE, ""其他""
)"),"其他")</f>
        <v>其他</v>
      </c>
      <c r="K6671" s="270" t="str">
        <f t="shared" si="2"/>
        <v/>
      </c>
      <c r="L6671">
        <f t="shared" si="3"/>
        <v>0</v>
      </c>
    </row>
    <row r="6672">
      <c r="A6672" s="107"/>
      <c r="D6672" s="270"/>
      <c r="H6672" s="106" t="str">
        <f t="shared" si="1"/>
        <v/>
      </c>
      <c r="J6672" t="str">
        <f>IFERROR(__xludf.DUMMYFUNCTION("IFS(
  AND(REGEXMATCH(E6672, ""台銀籌備帳戶|玉山帳戶""), REGEXMATCH(C6672, ""薪資"")), ""分潤支出"",
  AND(REGEXMATCH(E6672, ""Ben帳戶|Elsa帳戶|Ben代墊|Ariel代墊|中信銀行共用""), REGEXMATCH(F6672, ""Ben帳戶|Elsa帳戶|Ben代墊|Ariel代墊|中信銀行共用"")), ""內部轉帳(忽略)"",
  AND(E6672&lt;&gt;"""", F6672&lt;&gt;"""", N"&amp;"OT(REGEXMATCH(C6672, ""薪資""))), ""內部轉帳(忽略)"",
  REGEXMATCH(C6672, ""薪資""), ""薪資變動(不計入)"",
  REGEXMATCH(C6672, ""押金""), ""押金往來"",
  AND(E6672&lt;&gt;"""", F6672=""""), ""真實支出"",
  AND(E6672="""", F6672&lt;&gt;""""), ""真實收入"",
  TRUE, ""其他""
)"),"其他")</f>
        <v>其他</v>
      </c>
      <c r="K6672" s="270" t="str">
        <f t="shared" si="2"/>
        <v/>
      </c>
      <c r="L6672">
        <f t="shared" si="3"/>
        <v>0</v>
      </c>
    </row>
    <row r="6673">
      <c r="A6673" s="107"/>
      <c r="D6673" s="270"/>
      <c r="H6673" s="106" t="str">
        <f t="shared" si="1"/>
        <v/>
      </c>
      <c r="J6673" t="str">
        <f>IFERROR(__xludf.DUMMYFUNCTION("IFS(
  AND(REGEXMATCH(E6673, ""台銀籌備帳戶|玉山帳戶""), REGEXMATCH(C6673, ""薪資"")), ""分潤支出"",
  AND(REGEXMATCH(E6673, ""Ben帳戶|Elsa帳戶|Ben代墊|Ariel代墊|中信銀行共用""), REGEXMATCH(F6673, ""Ben帳戶|Elsa帳戶|Ben代墊|Ariel代墊|中信銀行共用"")), ""內部轉帳(忽略)"",
  AND(E6673&lt;&gt;"""", F6673&lt;&gt;"""", N"&amp;"OT(REGEXMATCH(C6673, ""薪資""))), ""內部轉帳(忽略)"",
  REGEXMATCH(C6673, ""薪資""), ""薪資變動(不計入)"",
  REGEXMATCH(C6673, ""押金""), ""押金往來"",
  AND(E6673&lt;&gt;"""", F6673=""""), ""真實支出"",
  AND(E6673="""", F6673&lt;&gt;""""), ""真實收入"",
  TRUE, ""其他""
)"),"其他")</f>
        <v>其他</v>
      </c>
      <c r="K6673" s="270" t="str">
        <f t="shared" si="2"/>
        <v/>
      </c>
      <c r="L6673">
        <f t="shared" si="3"/>
        <v>0</v>
      </c>
    </row>
    <row r="6674">
      <c r="A6674" s="107"/>
      <c r="D6674" s="270"/>
      <c r="H6674" s="106" t="str">
        <f t="shared" si="1"/>
        <v/>
      </c>
      <c r="J6674" t="str">
        <f>IFERROR(__xludf.DUMMYFUNCTION("IFS(
  AND(REGEXMATCH(E6674, ""台銀籌備帳戶|玉山帳戶""), REGEXMATCH(C6674, ""薪資"")), ""分潤支出"",
  AND(REGEXMATCH(E6674, ""Ben帳戶|Elsa帳戶|Ben代墊|Ariel代墊|中信銀行共用""), REGEXMATCH(F6674, ""Ben帳戶|Elsa帳戶|Ben代墊|Ariel代墊|中信銀行共用"")), ""內部轉帳(忽略)"",
  AND(E6674&lt;&gt;"""", F6674&lt;&gt;"""", N"&amp;"OT(REGEXMATCH(C6674, ""薪資""))), ""內部轉帳(忽略)"",
  REGEXMATCH(C6674, ""薪資""), ""薪資變動(不計入)"",
  REGEXMATCH(C6674, ""押金""), ""押金往來"",
  AND(E6674&lt;&gt;"""", F6674=""""), ""真實支出"",
  AND(E6674="""", F6674&lt;&gt;""""), ""真實收入"",
  TRUE, ""其他""
)"),"其他")</f>
        <v>其他</v>
      </c>
      <c r="K6674" s="270" t="str">
        <f t="shared" si="2"/>
        <v/>
      </c>
      <c r="L6674">
        <f t="shared" si="3"/>
        <v>0</v>
      </c>
    </row>
    <row r="6675">
      <c r="A6675" s="107"/>
      <c r="D6675" s="270"/>
      <c r="H6675" s="106" t="str">
        <f t="shared" si="1"/>
        <v/>
      </c>
      <c r="J6675" t="str">
        <f>IFERROR(__xludf.DUMMYFUNCTION("IFS(
  AND(REGEXMATCH(E6675, ""台銀籌備帳戶|玉山帳戶""), REGEXMATCH(C6675, ""薪資"")), ""分潤支出"",
  AND(REGEXMATCH(E6675, ""Ben帳戶|Elsa帳戶|Ben代墊|Ariel代墊|中信銀行共用""), REGEXMATCH(F6675, ""Ben帳戶|Elsa帳戶|Ben代墊|Ariel代墊|中信銀行共用"")), ""內部轉帳(忽略)"",
  AND(E6675&lt;&gt;"""", F6675&lt;&gt;"""", N"&amp;"OT(REGEXMATCH(C6675, ""薪資""))), ""內部轉帳(忽略)"",
  REGEXMATCH(C6675, ""薪資""), ""薪資變動(不計入)"",
  REGEXMATCH(C6675, ""押金""), ""押金往來"",
  AND(E6675&lt;&gt;"""", F6675=""""), ""真實支出"",
  AND(E6675="""", F6675&lt;&gt;""""), ""真實收入"",
  TRUE, ""其他""
)"),"其他")</f>
        <v>其他</v>
      </c>
      <c r="K6675" s="270" t="str">
        <f t="shared" si="2"/>
        <v/>
      </c>
      <c r="L6675">
        <f t="shared" si="3"/>
        <v>0</v>
      </c>
    </row>
    <row r="6676">
      <c r="A6676" s="107"/>
      <c r="D6676" s="270"/>
      <c r="H6676" s="106" t="str">
        <f t="shared" si="1"/>
        <v/>
      </c>
      <c r="J6676" t="str">
        <f>IFERROR(__xludf.DUMMYFUNCTION("IFS(
  AND(REGEXMATCH(E6676, ""台銀籌備帳戶|玉山帳戶""), REGEXMATCH(C6676, ""薪資"")), ""分潤支出"",
  AND(REGEXMATCH(E6676, ""Ben帳戶|Elsa帳戶|Ben代墊|Ariel代墊|中信銀行共用""), REGEXMATCH(F6676, ""Ben帳戶|Elsa帳戶|Ben代墊|Ariel代墊|中信銀行共用"")), ""內部轉帳(忽略)"",
  AND(E6676&lt;&gt;"""", F6676&lt;&gt;"""", N"&amp;"OT(REGEXMATCH(C6676, ""薪資""))), ""內部轉帳(忽略)"",
  REGEXMATCH(C6676, ""薪資""), ""薪資變動(不計入)"",
  REGEXMATCH(C6676, ""押金""), ""押金往來"",
  AND(E6676&lt;&gt;"""", F6676=""""), ""真實支出"",
  AND(E6676="""", F6676&lt;&gt;""""), ""真實收入"",
  TRUE, ""其他""
)"),"其他")</f>
        <v>其他</v>
      </c>
      <c r="K6676" s="270" t="str">
        <f t="shared" si="2"/>
        <v/>
      </c>
      <c r="L6676">
        <f t="shared" si="3"/>
        <v>0</v>
      </c>
    </row>
    <row r="6677">
      <c r="A6677" s="107"/>
      <c r="D6677" s="270"/>
      <c r="H6677" s="106" t="str">
        <f t="shared" si="1"/>
        <v/>
      </c>
      <c r="J6677" t="str">
        <f>IFERROR(__xludf.DUMMYFUNCTION("IFS(
  AND(REGEXMATCH(E6677, ""台銀籌備帳戶|玉山帳戶""), REGEXMATCH(C6677, ""薪資"")), ""分潤支出"",
  AND(REGEXMATCH(E6677, ""Ben帳戶|Elsa帳戶|Ben代墊|Ariel代墊|中信銀行共用""), REGEXMATCH(F6677, ""Ben帳戶|Elsa帳戶|Ben代墊|Ariel代墊|中信銀行共用"")), ""內部轉帳(忽略)"",
  AND(E6677&lt;&gt;"""", F6677&lt;&gt;"""", N"&amp;"OT(REGEXMATCH(C6677, ""薪資""))), ""內部轉帳(忽略)"",
  REGEXMATCH(C6677, ""薪資""), ""薪資變動(不計入)"",
  REGEXMATCH(C6677, ""押金""), ""押金往來"",
  AND(E6677&lt;&gt;"""", F6677=""""), ""真實支出"",
  AND(E6677="""", F6677&lt;&gt;""""), ""真實收入"",
  TRUE, ""其他""
)"),"其他")</f>
        <v>其他</v>
      </c>
      <c r="K6677" s="270" t="str">
        <f t="shared" si="2"/>
        <v/>
      </c>
      <c r="L6677">
        <f t="shared" si="3"/>
        <v>0</v>
      </c>
    </row>
    <row r="6678">
      <c r="A6678" s="107"/>
      <c r="D6678" s="270"/>
      <c r="H6678" s="106" t="str">
        <f t="shared" si="1"/>
        <v/>
      </c>
      <c r="J6678" t="str">
        <f>IFERROR(__xludf.DUMMYFUNCTION("IFS(
  AND(REGEXMATCH(E6678, ""台銀籌備帳戶|玉山帳戶""), REGEXMATCH(C6678, ""薪資"")), ""分潤支出"",
  AND(REGEXMATCH(E6678, ""Ben帳戶|Elsa帳戶|Ben代墊|Ariel代墊|中信銀行共用""), REGEXMATCH(F6678, ""Ben帳戶|Elsa帳戶|Ben代墊|Ariel代墊|中信銀行共用"")), ""內部轉帳(忽略)"",
  AND(E6678&lt;&gt;"""", F6678&lt;&gt;"""", N"&amp;"OT(REGEXMATCH(C6678, ""薪資""))), ""內部轉帳(忽略)"",
  REGEXMATCH(C6678, ""薪資""), ""薪資變動(不計入)"",
  REGEXMATCH(C6678, ""押金""), ""押金往來"",
  AND(E6678&lt;&gt;"""", F6678=""""), ""真實支出"",
  AND(E6678="""", F6678&lt;&gt;""""), ""真實收入"",
  TRUE, ""其他""
)"),"其他")</f>
        <v>其他</v>
      </c>
      <c r="K6678" s="270" t="str">
        <f t="shared" si="2"/>
        <v/>
      </c>
      <c r="L6678">
        <f t="shared" si="3"/>
        <v>0</v>
      </c>
    </row>
    <row r="6679">
      <c r="A6679" s="107"/>
      <c r="D6679" s="270"/>
      <c r="H6679" s="106" t="str">
        <f t="shared" si="1"/>
        <v/>
      </c>
      <c r="J6679" t="str">
        <f>IFERROR(__xludf.DUMMYFUNCTION("IFS(
  AND(REGEXMATCH(E6679, ""台銀籌備帳戶|玉山帳戶""), REGEXMATCH(C6679, ""薪資"")), ""分潤支出"",
  AND(REGEXMATCH(E6679, ""Ben帳戶|Elsa帳戶|Ben代墊|Ariel代墊|中信銀行共用""), REGEXMATCH(F6679, ""Ben帳戶|Elsa帳戶|Ben代墊|Ariel代墊|中信銀行共用"")), ""內部轉帳(忽略)"",
  AND(E6679&lt;&gt;"""", F6679&lt;&gt;"""", N"&amp;"OT(REGEXMATCH(C6679, ""薪資""))), ""內部轉帳(忽略)"",
  REGEXMATCH(C6679, ""薪資""), ""薪資變動(不計入)"",
  REGEXMATCH(C6679, ""押金""), ""押金往來"",
  AND(E6679&lt;&gt;"""", F6679=""""), ""真實支出"",
  AND(E6679="""", F6679&lt;&gt;""""), ""真實收入"",
  TRUE, ""其他""
)"),"其他")</f>
        <v>其他</v>
      </c>
      <c r="K6679" s="270" t="str">
        <f t="shared" si="2"/>
        <v/>
      </c>
      <c r="L6679">
        <f t="shared" si="3"/>
        <v>0</v>
      </c>
    </row>
    <row r="6680">
      <c r="A6680" s="107"/>
      <c r="D6680" s="270"/>
      <c r="H6680" s="106" t="str">
        <f t="shared" si="1"/>
        <v/>
      </c>
      <c r="J6680" t="str">
        <f>IFERROR(__xludf.DUMMYFUNCTION("IFS(
  AND(REGEXMATCH(E6680, ""台銀籌備帳戶|玉山帳戶""), REGEXMATCH(C6680, ""薪資"")), ""分潤支出"",
  AND(REGEXMATCH(E6680, ""Ben帳戶|Elsa帳戶|Ben代墊|Ariel代墊|中信銀行共用""), REGEXMATCH(F6680, ""Ben帳戶|Elsa帳戶|Ben代墊|Ariel代墊|中信銀行共用"")), ""內部轉帳(忽略)"",
  AND(E6680&lt;&gt;"""", F6680&lt;&gt;"""", N"&amp;"OT(REGEXMATCH(C6680, ""薪資""))), ""內部轉帳(忽略)"",
  REGEXMATCH(C6680, ""薪資""), ""薪資變動(不計入)"",
  REGEXMATCH(C6680, ""押金""), ""押金往來"",
  AND(E6680&lt;&gt;"""", F6680=""""), ""真實支出"",
  AND(E6680="""", F6680&lt;&gt;""""), ""真實收入"",
  TRUE, ""其他""
)"),"其他")</f>
        <v>其他</v>
      </c>
      <c r="K6680" s="270" t="str">
        <f t="shared" si="2"/>
        <v/>
      </c>
      <c r="L6680">
        <f t="shared" si="3"/>
        <v>0</v>
      </c>
    </row>
    <row r="6681">
      <c r="A6681" s="107"/>
      <c r="D6681" s="270"/>
      <c r="H6681" s="106" t="str">
        <f t="shared" si="1"/>
        <v/>
      </c>
      <c r="J6681" t="str">
        <f>IFERROR(__xludf.DUMMYFUNCTION("IFS(
  AND(REGEXMATCH(E6681, ""台銀籌備帳戶|玉山帳戶""), REGEXMATCH(C6681, ""薪資"")), ""分潤支出"",
  AND(REGEXMATCH(E6681, ""Ben帳戶|Elsa帳戶|Ben代墊|Ariel代墊|中信銀行共用""), REGEXMATCH(F6681, ""Ben帳戶|Elsa帳戶|Ben代墊|Ariel代墊|中信銀行共用"")), ""內部轉帳(忽略)"",
  AND(E6681&lt;&gt;"""", F6681&lt;&gt;"""", N"&amp;"OT(REGEXMATCH(C6681, ""薪資""))), ""內部轉帳(忽略)"",
  REGEXMATCH(C6681, ""薪資""), ""薪資變動(不計入)"",
  REGEXMATCH(C6681, ""押金""), ""押金往來"",
  AND(E6681&lt;&gt;"""", F6681=""""), ""真實支出"",
  AND(E6681="""", F6681&lt;&gt;""""), ""真實收入"",
  TRUE, ""其他""
)"),"其他")</f>
        <v>其他</v>
      </c>
      <c r="K6681" s="270" t="str">
        <f t="shared" si="2"/>
        <v/>
      </c>
      <c r="L6681">
        <f t="shared" si="3"/>
        <v>0</v>
      </c>
    </row>
    <row r="6682">
      <c r="A6682" s="107"/>
      <c r="D6682" s="270"/>
      <c r="H6682" s="106" t="str">
        <f t="shared" si="1"/>
        <v/>
      </c>
      <c r="J6682" t="str">
        <f>IFERROR(__xludf.DUMMYFUNCTION("IFS(
  AND(REGEXMATCH(E6682, ""台銀籌備帳戶|玉山帳戶""), REGEXMATCH(C6682, ""薪資"")), ""分潤支出"",
  AND(REGEXMATCH(E6682, ""Ben帳戶|Elsa帳戶|Ben代墊|Ariel代墊|中信銀行共用""), REGEXMATCH(F6682, ""Ben帳戶|Elsa帳戶|Ben代墊|Ariel代墊|中信銀行共用"")), ""內部轉帳(忽略)"",
  AND(E6682&lt;&gt;"""", F6682&lt;&gt;"""", N"&amp;"OT(REGEXMATCH(C6682, ""薪資""))), ""內部轉帳(忽略)"",
  REGEXMATCH(C6682, ""薪資""), ""薪資變動(不計入)"",
  REGEXMATCH(C6682, ""押金""), ""押金往來"",
  AND(E6682&lt;&gt;"""", F6682=""""), ""真實支出"",
  AND(E6682="""", F6682&lt;&gt;""""), ""真實收入"",
  TRUE, ""其他""
)"),"其他")</f>
        <v>其他</v>
      </c>
      <c r="K6682" s="270" t="str">
        <f t="shared" si="2"/>
        <v/>
      </c>
      <c r="L6682">
        <f t="shared" si="3"/>
        <v>0</v>
      </c>
    </row>
    <row r="6683">
      <c r="A6683" s="107"/>
      <c r="D6683" s="270"/>
      <c r="H6683" s="106" t="str">
        <f t="shared" si="1"/>
        <v/>
      </c>
      <c r="J6683" t="str">
        <f>IFERROR(__xludf.DUMMYFUNCTION("IFS(
  AND(REGEXMATCH(E6683, ""台銀籌備帳戶|玉山帳戶""), REGEXMATCH(C6683, ""薪資"")), ""分潤支出"",
  AND(REGEXMATCH(E6683, ""Ben帳戶|Elsa帳戶|Ben代墊|Ariel代墊|中信銀行共用""), REGEXMATCH(F6683, ""Ben帳戶|Elsa帳戶|Ben代墊|Ariel代墊|中信銀行共用"")), ""內部轉帳(忽略)"",
  AND(E6683&lt;&gt;"""", F6683&lt;&gt;"""", N"&amp;"OT(REGEXMATCH(C6683, ""薪資""))), ""內部轉帳(忽略)"",
  REGEXMATCH(C6683, ""薪資""), ""薪資變動(不計入)"",
  REGEXMATCH(C6683, ""押金""), ""押金往來"",
  AND(E6683&lt;&gt;"""", F6683=""""), ""真實支出"",
  AND(E6683="""", F6683&lt;&gt;""""), ""真實收入"",
  TRUE, ""其他""
)"),"其他")</f>
        <v>其他</v>
      </c>
      <c r="K6683" s="270" t="str">
        <f t="shared" si="2"/>
        <v/>
      </c>
      <c r="L6683">
        <f t="shared" si="3"/>
        <v>0</v>
      </c>
    </row>
    <row r="6684">
      <c r="A6684" s="107"/>
      <c r="D6684" s="270"/>
      <c r="H6684" s="106" t="str">
        <f t="shared" si="1"/>
        <v/>
      </c>
      <c r="J6684" t="str">
        <f>IFERROR(__xludf.DUMMYFUNCTION("IFS(
  AND(REGEXMATCH(E6684, ""台銀籌備帳戶|玉山帳戶""), REGEXMATCH(C6684, ""薪資"")), ""分潤支出"",
  AND(REGEXMATCH(E6684, ""Ben帳戶|Elsa帳戶|Ben代墊|Ariel代墊|中信銀行共用""), REGEXMATCH(F6684, ""Ben帳戶|Elsa帳戶|Ben代墊|Ariel代墊|中信銀行共用"")), ""內部轉帳(忽略)"",
  AND(E6684&lt;&gt;"""", F6684&lt;&gt;"""", N"&amp;"OT(REGEXMATCH(C6684, ""薪資""))), ""內部轉帳(忽略)"",
  REGEXMATCH(C6684, ""薪資""), ""薪資變動(不計入)"",
  REGEXMATCH(C6684, ""押金""), ""押金往來"",
  AND(E6684&lt;&gt;"""", F6684=""""), ""真實支出"",
  AND(E6684="""", F6684&lt;&gt;""""), ""真實收入"",
  TRUE, ""其他""
)"),"其他")</f>
        <v>其他</v>
      </c>
      <c r="K6684" s="270" t="str">
        <f t="shared" si="2"/>
        <v/>
      </c>
      <c r="L6684">
        <f t="shared" si="3"/>
        <v>0</v>
      </c>
    </row>
    <row r="6685">
      <c r="A6685" s="107"/>
      <c r="D6685" s="270"/>
      <c r="H6685" s="106" t="str">
        <f t="shared" si="1"/>
        <v/>
      </c>
      <c r="J6685" t="str">
        <f>IFERROR(__xludf.DUMMYFUNCTION("IFS(
  AND(REGEXMATCH(E6685, ""台銀籌備帳戶|玉山帳戶""), REGEXMATCH(C6685, ""薪資"")), ""分潤支出"",
  AND(REGEXMATCH(E6685, ""Ben帳戶|Elsa帳戶|Ben代墊|Ariel代墊|中信銀行共用""), REGEXMATCH(F6685, ""Ben帳戶|Elsa帳戶|Ben代墊|Ariel代墊|中信銀行共用"")), ""內部轉帳(忽略)"",
  AND(E6685&lt;&gt;"""", F6685&lt;&gt;"""", N"&amp;"OT(REGEXMATCH(C6685, ""薪資""))), ""內部轉帳(忽略)"",
  REGEXMATCH(C6685, ""薪資""), ""薪資變動(不計入)"",
  REGEXMATCH(C6685, ""押金""), ""押金往來"",
  AND(E6685&lt;&gt;"""", F6685=""""), ""真實支出"",
  AND(E6685="""", F6685&lt;&gt;""""), ""真實收入"",
  TRUE, ""其他""
)"),"其他")</f>
        <v>其他</v>
      </c>
      <c r="K6685" s="270" t="str">
        <f t="shared" si="2"/>
        <v/>
      </c>
      <c r="L6685">
        <f t="shared" si="3"/>
        <v>0</v>
      </c>
    </row>
    <row r="6686">
      <c r="A6686" s="107"/>
      <c r="D6686" s="270"/>
      <c r="H6686" s="106" t="str">
        <f t="shared" si="1"/>
        <v/>
      </c>
      <c r="J6686" t="str">
        <f>IFERROR(__xludf.DUMMYFUNCTION("IFS(
  AND(REGEXMATCH(E6686, ""台銀籌備帳戶|玉山帳戶""), REGEXMATCH(C6686, ""薪資"")), ""分潤支出"",
  AND(REGEXMATCH(E6686, ""Ben帳戶|Elsa帳戶|Ben代墊|Ariel代墊|中信銀行共用""), REGEXMATCH(F6686, ""Ben帳戶|Elsa帳戶|Ben代墊|Ariel代墊|中信銀行共用"")), ""內部轉帳(忽略)"",
  AND(E6686&lt;&gt;"""", F6686&lt;&gt;"""", N"&amp;"OT(REGEXMATCH(C6686, ""薪資""))), ""內部轉帳(忽略)"",
  REGEXMATCH(C6686, ""薪資""), ""薪資變動(不計入)"",
  REGEXMATCH(C6686, ""押金""), ""押金往來"",
  AND(E6686&lt;&gt;"""", F6686=""""), ""真實支出"",
  AND(E6686="""", F6686&lt;&gt;""""), ""真實收入"",
  TRUE, ""其他""
)"),"其他")</f>
        <v>其他</v>
      </c>
      <c r="K6686" s="270" t="str">
        <f t="shared" si="2"/>
        <v/>
      </c>
      <c r="L6686">
        <f t="shared" si="3"/>
        <v>0</v>
      </c>
    </row>
    <row r="6687">
      <c r="A6687" s="107"/>
      <c r="D6687" s="270"/>
      <c r="H6687" s="106" t="str">
        <f t="shared" si="1"/>
        <v/>
      </c>
      <c r="J6687" t="str">
        <f>IFERROR(__xludf.DUMMYFUNCTION("IFS(
  AND(REGEXMATCH(E6687, ""台銀籌備帳戶|玉山帳戶""), REGEXMATCH(C6687, ""薪資"")), ""分潤支出"",
  AND(REGEXMATCH(E6687, ""Ben帳戶|Elsa帳戶|Ben代墊|Ariel代墊|中信銀行共用""), REGEXMATCH(F6687, ""Ben帳戶|Elsa帳戶|Ben代墊|Ariel代墊|中信銀行共用"")), ""內部轉帳(忽略)"",
  AND(E6687&lt;&gt;"""", F6687&lt;&gt;"""", N"&amp;"OT(REGEXMATCH(C6687, ""薪資""))), ""內部轉帳(忽略)"",
  REGEXMATCH(C6687, ""薪資""), ""薪資變動(不計入)"",
  REGEXMATCH(C6687, ""押金""), ""押金往來"",
  AND(E6687&lt;&gt;"""", F6687=""""), ""真實支出"",
  AND(E6687="""", F6687&lt;&gt;""""), ""真實收入"",
  TRUE, ""其他""
)"),"其他")</f>
        <v>其他</v>
      </c>
      <c r="K6687" s="270" t="str">
        <f t="shared" si="2"/>
        <v/>
      </c>
      <c r="L6687">
        <f t="shared" si="3"/>
        <v>0</v>
      </c>
    </row>
    <row r="6688">
      <c r="A6688" s="107"/>
      <c r="D6688" s="270"/>
      <c r="H6688" s="106" t="str">
        <f t="shared" si="1"/>
        <v/>
      </c>
      <c r="J6688" t="str">
        <f>IFERROR(__xludf.DUMMYFUNCTION("IFS(
  AND(REGEXMATCH(E6688, ""台銀籌備帳戶|玉山帳戶""), REGEXMATCH(C6688, ""薪資"")), ""分潤支出"",
  AND(REGEXMATCH(E6688, ""Ben帳戶|Elsa帳戶|Ben代墊|Ariel代墊|中信銀行共用""), REGEXMATCH(F6688, ""Ben帳戶|Elsa帳戶|Ben代墊|Ariel代墊|中信銀行共用"")), ""內部轉帳(忽略)"",
  AND(E6688&lt;&gt;"""", F6688&lt;&gt;"""", N"&amp;"OT(REGEXMATCH(C6688, ""薪資""))), ""內部轉帳(忽略)"",
  REGEXMATCH(C6688, ""薪資""), ""薪資變動(不計入)"",
  REGEXMATCH(C6688, ""押金""), ""押金往來"",
  AND(E6688&lt;&gt;"""", F6688=""""), ""真實支出"",
  AND(E6688="""", F6688&lt;&gt;""""), ""真實收入"",
  TRUE, ""其他""
)"),"其他")</f>
        <v>其他</v>
      </c>
      <c r="K6688" s="270" t="str">
        <f t="shared" si="2"/>
        <v/>
      </c>
      <c r="L6688">
        <f t="shared" si="3"/>
        <v>0</v>
      </c>
    </row>
    <row r="6689">
      <c r="A6689" s="107"/>
      <c r="D6689" s="270"/>
      <c r="H6689" s="106" t="str">
        <f t="shared" si="1"/>
        <v/>
      </c>
      <c r="J6689" t="str">
        <f>IFERROR(__xludf.DUMMYFUNCTION("IFS(
  AND(REGEXMATCH(E6689, ""台銀籌備帳戶|玉山帳戶""), REGEXMATCH(C6689, ""薪資"")), ""分潤支出"",
  AND(REGEXMATCH(E6689, ""Ben帳戶|Elsa帳戶|Ben代墊|Ariel代墊|中信銀行共用""), REGEXMATCH(F6689, ""Ben帳戶|Elsa帳戶|Ben代墊|Ariel代墊|中信銀行共用"")), ""內部轉帳(忽略)"",
  AND(E6689&lt;&gt;"""", F6689&lt;&gt;"""", N"&amp;"OT(REGEXMATCH(C6689, ""薪資""))), ""內部轉帳(忽略)"",
  REGEXMATCH(C6689, ""薪資""), ""薪資變動(不計入)"",
  REGEXMATCH(C6689, ""押金""), ""押金往來"",
  AND(E6689&lt;&gt;"""", F6689=""""), ""真實支出"",
  AND(E6689="""", F6689&lt;&gt;""""), ""真實收入"",
  TRUE, ""其他""
)"),"其他")</f>
        <v>其他</v>
      </c>
      <c r="K6689" s="270" t="str">
        <f t="shared" si="2"/>
        <v/>
      </c>
      <c r="L6689">
        <f t="shared" si="3"/>
        <v>0</v>
      </c>
    </row>
    <row r="6690">
      <c r="A6690" s="107"/>
      <c r="D6690" s="270"/>
      <c r="H6690" s="106" t="str">
        <f t="shared" si="1"/>
        <v/>
      </c>
      <c r="J6690" t="str">
        <f>IFERROR(__xludf.DUMMYFUNCTION("IFS(
  AND(REGEXMATCH(E6690, ""台銀籌備帳戶|玉山帳戶""), REGEXMATCH(C6690, ""薪資"")), ""分潤支出"",
  AND(REGEXMATCH(E6690, ""Ben帳戶|Elsa帳戶|Ben代墊|Ariel代墊|中信銀行共用""), REGEXMATCH(F6690, ""Ben帳戶|Elsa帳戶|Ben代墊|Ariel代墊|中信銀行共用"")), ""內部轉帳(忽略)"",
  AND(E6690&lt;&gt;"""", F6690&lt;&gt;"""", N"&amp;"OT(REGEXMATCH(C6690, ""薪資""))), ""內部轉帳(忽略)"",
  REGEXMATCH(C6690, ""薪資""), ""薪資變動(不計入)"",
  REGEXMATCH(C6690, ""押金""), ""押金往來"",
  AND(E6690&lt;&gt;"""", F6690=""""), ""真實支出"",
  AND(E6690="""", F6690&lt;&gt;""""), ""真實收入"",
  TRUE, ""其他""
)"),"其他")</f>
        <v>其他</v>
      </c>
      <c r="K6690" s="270" t="str">
        <f t="shared" si="2"/>
        <v/>
      </c>
      <c r="L6690">
        <f t="shared" si="3"/>
        <v>0</v>
      </c>
    </row>
    <row r="6691">
      <c r="A6691" s="107"/>
      <c r="D6691" s="270"/>
      <c r="H6691" s="106" t="str">
        <f t="shared" si="1"/>
        <v/>
      </c>
      <c r="J6691" t="str">
        <f>IFERROR(__xludf.DUMMYFUNCTION("IFS(
  AND(REGEXMATCH(E6691, ""台銀籌備帳戶|玉山帳戶""), REGEXMATCH(C6691, ""薪資"")), ""分潤支出"",
  AND(REGEXMATCH(E6691, ""Ben帳戶|Elsa帳戶|Ben代墊|Ariel代墊|中信銀行共用""), REGEXMATCH(F6691, ""Ben帳戶|Elsa帳戶|Ben代墊|Ariel代墊|中信銀行共用"")), ""內部轉帳(忽略)"",
  AND(E6691&lt;&gt;"""", F6691&lt;&gt;"""", N"&amp;"OT(REGEXMATCH(C6691, ""薪資""))), ""內部轉帳(忽略)"",
  REGEXMATCH(C6691, ""薪資""), ""薪資變動(不計入)"",
  REGEXMATCH(C6691, ""押金""), ""押金往來"",
  AND(E6691&lt;&gt;"""", F6691=""""), ""真實支出"",
  AND(E6691="""", F6691&lt;&gt;""""), ""真實收入"",
  TRUE, ""其他""
)"),"其他")</f>
        <v>其他</v>
      </c>
      <c r="K6691" s="270" t="str">
        <f t="shared" si="2"/>
        <v/>
      </c>
      <c r="L6691">
        <f t="shared" si="3"/>
        <v>0</v>
      </c>
    </row>
    <row r="6692">
      <c r="A6692" s="107"/>
      <c r="D6692" s="270"/>
      <c r="H6692" s="106" t="str">
        <f t="shared" si="1"/>
        <v/>
      </c>
      <c r="J6692" t="str">
        <f>IFERROR(__xludf.DUMMYFUNCTION("IFS(
  AND(REGEXMATCH(E6692, ""台銀籌備帳戶|玉山帳戶""), REGEXMATCH(C6692, ""薪資"")), ""分潤支出"",
  AND(REGEXMATCH(E6692, ""Ben帳戶|Elsa帳戶|Ben代墊|Ariel代墊|中信銀行共用""), REGEXMATCH(F6692, ""Ben帳戶|Elsa帳戶|Ben代墊|Ariel代墊|中信銀行共用"")), ""內部轉帳(忽略)"",
  AND(E6692&lt;&gt;"""", F6692&lt;&gt;"""", N"&amp;"OT(REGEXMATCH(C6692, ""薪資""))), ""內部轉帳(忽略)"",
  REGEXMATCH(C6692, ""薪資""), ""薪資變動(不計入)"",
  REGEXMATCH(C6692, ""押金""), ""押金往來"",
  AND(E6692&lt;&gt;"""", F6692=""""), ""真實支出"",
  AND(E6692="""", F6692&lt;&gt;""""), ""真實收入"",
  TRUE, ""其他""
)"),"其他")</f>
        <v>其他</v>
      </c>
      <c r="K6692" s="270" t="str">
        <f t="shared" si="2"/>
        <v/>
      </c>
      <c r="L6692">
        <f t="shared" si="3"/>
        <v>0</v>
      </c>
    </row>
    <row r="6693">
      <c r="A6693" s="107"/>
      <c r="D6693" s="270"/>
      <c r="H6693" s="106" t="str">
        <f t="shared" si="1"/>
        <v/>
      </c>
      <c r="J6693" t="str">
        <f>IFERROR(__xludf.DUMMYFUNCTION("IFS(
  AND(REGEXMATCH(E6693, ""台銀籌備帳戶|玉山帳戶""), REGEXMATCH(C6693, ""薪資"")), ""分潤支出"",
  AND(REGEXMATCH(E6693, ""Ben帳戶|Elsa帳戶|Ben代墊|Ariel代墊|中信銀行共用""), REGEXMATCH(F6693, ""Ben帳戶|Elsa帳戶|Ben代墊|Ariel代墊|中信銀行共用"")), ""內部轉帳(忽略)"",
  AND(E6693&lt;&gt;"""", F6693&lt;&gt;"""", N"&amp;"OT(REGEXMATCH(C6693, ""薪資""))), ""內部轉帳(忽略)"",
  REGEXMATCH(C6693, ""薪資""), ""薪資變動(不計入)"",
  REGEXMATCH(C6693, ""押金""), ""押金往來"",
  AND(E6693&lt;&gt;"""", F6693=""""), ""真實支出"",
  AND(E6693="""", F6693&lt;&gt;""""), ""真實收入"",
  TRUE, ""其他""
)"),"其他")</f>
        <v>其他</v>
      </c>
      <c r="K6693" s="270" t="str">
        <f t="shared" si="2"/>
        <v/>
      </c>
      <c r="L6693">
        <f t="shared" si="3"/>
        <v>0</v>
      </c>
    </row>
    <row r="6694">
      <c r="A6694" s="107"/>
      <c r="D6694" s="270"/>
      <c r="H6694" s="106" t="str">
        <f t="shared" si="1"/>
        <v/>
      </c>
      <c r="J6694" t="str">
        <f>IFERROR(__xludf.DUMMYFUNCTION("IFS(
  AND(REGEXMATCH(E6694, ""台銀籌備帳戶|玉山帳戶""), REGEXMATCH(C6694, ""薪資"")), ""分潤支出"",
  AND(REGEXMATCH(E6694, ""Ben帳戶|Elsa帳戶|Ben代墊|Ariel代墊|中信銀行共用""), REGEXMATCH(F6694, ""Ben帳戶|Elsa帳戶|Ben代墊|Ariel代墊|中信銀行共用"")), ""內部轉帳(忽略)"",
  AND(E6694&lt;&gt;"""", F6694&lt;&gt;"""", N"&amp;"OT(REGEXMATCH(C6694, ""薪資""))), ""內部轉帳(忽略)"",
  REGEXMATCH(C6694, ""薪資""), ""薪資變動(不計入)"",
  REGEXMATCH(C6694, ""押金""), ""押金往來"",
  AND(E6694&lt;&gt;"""", F6694=""""), ""真實支出"",
  AND(E6694="""", F6694&lt;&gt;""""), ""真實收入"",
  TRUE, ""其他""
)"),"其他")</f>
        <v>其他</v>
      </c>
      <c r="K6694" s="270" t="str">
        <f t="shared" si="2"/>
        <v/>
      </c>
      <c r="L6694">
        <f t="shared" si="3"/>
        <v>0</v>
      </c>
    </row>
    <row r="6695">
      <c r="A6695" s="107"/>
      <c r="D6695" s="270"/>
      <c r="H6695" s="106" t="str">
        <f t="shared" si="1"/>
        <v/>
      </c>
      <c r="J6695" t="str">
        <f>IFERROR(__xludf.DUMMYFUNCTION("IFS(
  AND(REGEXMATCH(E6695, ""台銀籌備帳戶|玉山帳戶""), REGEXMATCH(C6695, ""薪資"")), ""分潤支出"",
  AND(REGEXMATCH(E6695, ""Ben帳戶|Elsa帳戶|Ben代墊|Ariel代墊|中信銀行共用""), REGEXMATCH(F6695, ""Ben帳戶|Elsa帳戶|Ben代墊|Ariel代墊|中信銀行共用"")), ""內部轉帳(忽略)"",
  AND(E6695&lt;&gt;"""", F6695&lt;&gt;"""", N"&amp;"OT(REGEXMATCH(C6695, ""薪資""))), ""內部轉帳(忽略)"",
  REGEXMATCH(C6695, ""薪資""), ""薪資變動(不計入)"",
  REGEXMATCH(C6695, ""押金""), ""押金往來"",
  AND(E6695&lt;&gt;"""", F6695=""""), ""真實支出"",
  AND(E6695="""", F6695&lt;&gt;""""), ""真實收入"",
  TRUE, ""其他""
)"),"其他")</f>
        <v>其他</v>
      </c>
      <c r="K6695" s="270" t="str">
        <f t="shared" si="2"/>
        <v/>
      </c>
      <c r="L6695">
        <f t="shared" si="3"/>
        <v>0</v>
      </c>
    </row>
    <row r="6696">
      <c r="A6696" s="107"/>
      <c r="D6696" s="270"/>
      <c r="H6696" s="106" t="str">
        <f t="shared" si="1"/>
        <v/>
      </c>
      <c r="J6696" t="str">
        <f>IFERROR(__xludf.DUMMYFUNCTION("IFS(
  AND(REGEXMATCH(E6696, ""台銀籌備帳戶|玉山帳戶""), REGEXMATCH(C6696, ""薪資"")), ""分潤支出"",
  AND(REGEXMATCH(E6696, ""Ben帳戶|Elsa帳戶|Ben代墊|Ariel代墊|中信銀行共用""), REGEXMATCH(F6696, ""Ben帳戶|Elsa帳戶|Ben代墊|Ariel代墊|中信銀行共用"")), ""內部轉帳(忽略)"",
  AND(E6696&lt;&gt;"""", F6696&lt;&gt;"""", N"&amp;"OT(REGEXMATCH(C6696, ""薪資""))), ""內部轉帳(忽略)"",
  REGEXMATCH(C6696, ""薪資""), ""薪資變動(不計入)"",
  REGEXMATCH(C6696, ""押金""), ""押金往來"",
  AND(E6696&lt;&gt;"""", F6696=""""), ""真實支出"",
  AND(E6696="""", F6696&lt;&gt;""""), ""真實收入"",
  TRUE, ""其他""
)"),"其他")</f>
        <v>其他</v>
      </c>
      <c r="K6696" s="270" t="str">
        <f t="shared" si="2"/>
        <v/>
      </c>
      <c r="L6696">
        <f t="shared" si="3"/>
        <v>0</v>
      </c>
    </row>
    <row r="6697">
      <c r="A6697" s="107"/>
      <c r="D6697" s="270"/>
      <c r="H6697" s="106" t="str">
        <f t="shared" si="1"/>
        <v/>
      </c>
      <c r="J6697" t="str">
        <f>IFERROR(__xludf.DUMMYFUNCTION("IFS(
  AND(REGEXMATCH(E6697, ""台銀籌備帳戶|玉山帳戶""), REGEXMATCH(C6697, ""薪資"")), ""分潤支出"",
  AND(REGEXMATCH(E6697, ""Ben帳戶|Elsa帳戶|Ben代墊|Ariel代墊|中信銀行共用""), REGEXMATCH(F6697, ""Ben帳戶|Elsa帳戶|Ben代墊|Ariel代墊|中信銀行共用"")), ""內部轉帳(忽略)"",
  AND(E6697&lt;&gt;"""", F6697&lt;&gt;"""", N"&amp;"OT(REGEXMATCH(C6697, ""薪資""))), ""內部轉帳(忽略)"",
  REGEXMATCH(C6697, ""薪資""), ""薪資變動(不計入)"",
  REGEXMATCH(C6697, ""押金""), ""押金往來"",
  AND(E6697&lt;&gt;"""", F6697=""""), ""真實支出"",
  AND(E6697="""", F6697&lt;&gt;""""), ""真實收入"",
  TRUE, ""其他""
)"),"其他")</f>
        <v>其他</v>
      </c>
      <c r="K6697" s="270" t="str">
        <f t="shared" si="2"/>
        <v/>
      </c>
      <c r="L6697">
        <f t="shared" si="3"/>
        <v>0</v>
      </c>
    </row>
    <row r="6698">
      <c r="A6698" s="107"/>
      <c r="D6698" s="270"/>
      <c r="H6698" s="106" t="str">
        <f t="shared" si="1"/>
        <v/>
      </c>
      <c r="J6698" t="str">
        <f>IFERROR(__xludf.DUMMYFUNCTION("IFS(
  AND(REGEXMATCH(E6698, ""台銀籌備帳戶|玉山帳戶""), REGEXMATCH(C6698, ""薪資"")), ""分潤支出"",
  AND(REGEXMATCH(E6698, ""Ben帳戶|Elsa帳戶|Ben代墊|Ariel代墊|中信銀行共用""), REGEXMATCH(F6698, ""Ben帳戶|Elsa帳戶|Ben代墊|Ariel代墊|中信銀行共用"")), ""內部轉帳(忽略)"",
  AND(E6698&lt;&gt;"""", F6698&lt;&gt;"""", N"&amp;"OT(REGEXMATCH(C6698, ""薪資""))), ""內部轉帳(忽略)"",
  REGEXMATCH(C6698, ""薪資""), ""薪資變動(不計入)"",
  REGEXMATCH(C6698, ""押金""), ""押金往來"",
  AND(E6698&lt;&gt;"""", F6698=""""), ""真實支出"",
  AND(E6698="""", F6698&lt;&gt;""""), ""真實收入"",
  TRUE, ""其他""
)"),"其他")</f>
        <v>其他</v>
      </c>
      <c r="K6698" s="270" t="str">
        <f t="shared" si="2"/>
        <v/>
      </c>
      <c r="L6698">
        <f t="shared" si="3"/>
        <v>0</v>
      </c>
    </row>
    <row r="6699">
      <c r="A6699" s="107"/>
      <c r="D6699" s="270"/>
      <c r="H6699" s="106" t="str">
        <f t="shared" si="1"/>
        <v/>
      </c>
      <c r="J6699" t="str">
        <f>IFERROR(__xludf.DUMMYFUNCTION("IFS(
  AND(REGEXMATCH(E6699, ""台銀籌備帳戶|玉山帳戶""), REGEXMATCH(C6699, ""薪資"")), ""分潤支出"",
  AND(REGEXMATCH(E6699, ""Ben帳戶|Elsa帳戶|Ben代墊|Ariel代墊|中信銀行共用""), REGEXMATCH(F6699, ""Ben帳戶|Elsa帳戶|Ben代墊|Ariel代墊|中信銀行共用"")), ""內部轉帳(忽略)"",
  AND(E6699&lt;&gt;"""", F6699&lt;&gt;"""", N"&amp;"OT(REGEXMATCH(C6699, ""薪資""))), ""內部轉帳(忽略)"",
  REGEXMATCH(C6699, ""薪資""), ""薪資變動(不計入)"",
  REGEXMATCH(C6699, ""押金""), ""押金往來"",
  AND(E6699&lt;&gt;"""", F6699=""""), ""真實支出"",
  AND(E6699="""", F6699&lt;&gt;""""), ""真實收入"",
  TRUE, ""其他""
)"),"其他")</f>
        <v>其他</v>
      </c>
      <c r="K6699" s="270" t="str">
        <f t="shared" si="2"/>
        <v/>
      </c>
      <c r="L6699">
        <f t="shared" si="3"/>
        <v>0</v>
      </c>
    </row>
    <row r="6700">
      <c r="A6700" s="107"/>
      <c r="D6700" s="270"/>
      <c r="H6700" s="106" t="str">
        <f t="shared" si="1"/>
        <v/>
      </c>
      <c r="J6700" t="str">
        <f>IFERROR(__xludf.DUMMYFUNCTION("IFS(
  AND(REGEXMATCH(E6700, ""台銀籌備帳戶|玉山帳戶""), REGEXMATCH(C6700, ""薪資"")), ""分潤支出"",
  AND(REGEXMATCH(E6700, ""Ben帳戶|Elsa帳戶|Ben代墊|Ariel代墊|中信銀行共用""), REGEXMATCH(F6700, ""Ben帳戶|Elsa帳戶|Ben代墊|Ariel代墊|中信銀行共用"")), ""內部轉帳(忽略)"",
  AND(E6700&lt;&gt;"""", F6700&lt;&gt;"""", N"&amp;"OT(REGEXMATCH(C6700, ""薪資""))), ""內部轉帳(忽略)"",
  REGEXMATCH(C6700, ""薪資""), ""薪資變動(不計入)"",
  REGEXMATCH(C6700, ""押金""), ""押金往來"",
  AND(E6700&lt;&gt;"""", F6700=""""), ""真實支出"",
  AND(E6700="""", F6700&lt;&gt;""""), ""真實收入"",
  TRUE, ""其他""
)"),"其他")</f>
        <v>其他</v>
      </c>
      <c r="K6700" s="270" t="str">
        <f t="shared" si="2"/>
        <v/>
      </c>
      <c r="L6700">
        <f t="shared" si="3"/>
        <v>0</v>
      </c>
    </row>
    <row r="6701">
      <c r="A6701" s="107"/>
      <c r="D6701" s="270"/>
      <c r="H6701" s="106" t="str">
        <f t="shared" si="1"/>
        <v/>
      </c>
      <c r="J6701" t="str">
        <f>IFERROR(__xludf.DUMMYFUNCTION("IFS(
  AND(REGEXMATCH(E6701, ""台銀籌備帳戶|玉山帳戶""), REGEXMATCH(C6701, ""薪資"")), ""分潤支出"",
  AND(REGEXMATCH(E6701, ""Ben帳戶|Elsa帳戶|Ben代墊|Ariel代墊|中信銀行共用""), REGEXMATCH(F6701, ""Ben帳戶|Elsa帳戶|Ben代墊|Ariel代墊|中信銀行共用"")), ""內部轉帳(忽略)"",
  AND(E6701&lt;&gt;"""", F6701&lt;&gt;"""", N"&amp;"OT(REGEXMATCH(C6701, ""薪資""))), ""內部轉帳(忽略)"",
  REGEXMATCH(C6701, ""薪資""), ""薪資變動(不計入)"",
  REGEXMATCH(C6701, ""押金""), ""押金往來"",
  AND(E6701&lt;&gt;"""", F6701=""""), ""真實支出"",
  AND(E6701="""", F6701&lt;&gt;""""), ""真實收入"",
  TRUE, ""其他""
)"),"其他")</f>
        <v>其他</v>
      </c>
      <c r="K6701" s="270" t="str">
        <f t="shared" si="2"/>
        <v/>
      </c>
      <c r="L6701">
        <f t="shared" si="3"/>
        <v>0</v>
      </c>
    </row>
    <row r="6702">
      <c r="A6702" s="107"/>
      <c r="D6702" s="270"/>
      <c r="H6702" s="106" t="str">
        <f t="shared" si="1"/>
        <v/>
      </c>
      <c r="J6702" t="str">
        <f>IFERROR(__xludf.DUMMYFUNCTION("IFS(
  AND(REGEXMATCH(E6702, ""台銀籌備帳戶|玉山帳戶""), REGEXMATCH(C6702, ""薪資"")), ""分潤支出"",
  AND(REGEXMATCH(E6702, ""Ben帳戶|Elsa帳戶|Ben代墊|Ariel代墊|中信銀行共用""), REGEXMATCH(F6702, ""Ben帳戶|Elsa帳戶|Ben代墊|Ariel代墊|中信銀行共用"")), ""內部轉帳(忽略)"",
  AND(E6702&lt;&gt;"""", F6702&lt;&gt;"""", N"&amp;"OT(REGEXMATCH(C6702, ""薪資""))), ""內部轉帳(忽略)"",
  REGEXMATCH(C6702, ""薪資""), ""薪資變動(不計入)"",
  REGEXMATCH(C6702, ""押金""), ""押金往來"",
  AND(E6702&lt;&gt;"""", F6702=""""), ""真實支出"",
  AND(E6702="""", F6702&lt;&gt;""""), ""真實收入"",
  TRUE, ""其他""
)"),"其他")</f>
        <v>其他</v>
      </c>
      <c r="K6702" s="270" t="str">
        <f t="shared" si="2"/>
        <v/>
      </c>
      <c r="L6702">
        <f t="shared" si="3"/>
        <v>0</v>
      </c>
    </row>
    <row r="6703">
      <c r="A6703" s="107"/>
      <c r="D6703" s="270"/>
      <c r="H6703" s="106" t="str">
        <f t="shared" si="1"/>
        <v/>
      </c>
      <c r="J6703" t="str">
        <f>IFERROR(__xludf.DUMMYFUNCTION("IFS(
  AND(REGEXMATCH(E6703, ""台銀籌備帳戶|玉山帳戶""), REGEXMATCH(C6703, ""薪資"")), ""分潤支出"",
  AND(REGEXMATCH(E6703, ""Ben帳戶|Elsa帳戶|Ben代墊|Ariel代墊|中信銀行共用""), REGEXMATCH(F6703, ""Ben帳戶|Elsa帳戶|Ben代墊|Ariel代墊|中信銀行共用"")), ""內部轉帳(忽略)"",
  AND(E6703&lt;&gt;"""", F6703&lt;&gt;"""", N"&amp;"OT(REGEXMATCH(C6703, ""薪資""))), ""內部轉帳(忽略)"",
  REGEXMATCH(C6703, ""薪資""), ""薪資變動(不計入)"",
  REGEXMATCH(C6703, ""押金""), ""押金往來"",
  AND(E6703&lt;&gt;"""", F6703=""""), ""真實支出"",
  AND(E6703="""", F6703&lt;&gt;""""), ""真實收入"",
  TRUE, ""其他""
)"),"其他")</f>
        <v>其他</v>
      </c>
      <c r="K6703" s="270" t="str">
        <f t="shared" si="2"/>
        <v/>
      </c>
      <c r="L6703">
        <f t="shared" si="3"/>
        <v>0</v>
      </c>
    </row>
    <row r="6704">
      <c r="A6704" s="107"/>
      <c r="D6704" s="270"/>
      <c r="H6704" s="106" t="str">
        <f t="shared" si="1"/>
        <v/>
      </c>
      <c r="J6704" t="str">
        <f>IFERROR(__xludf.DUMMYFUNCTION("IFS(
  AND(REGEXMATCH(E6704, ""台銀籌備帳戶|玉山帳戶""), REGEXMATCH(C6704, ""薪資"")), ""分潤支出"",
  AND(REGEXMATCH(E6704, ""Ben帳戶|Elsa帳戶|Ben代墊|Ariel代墊|中信銀行共用""), REGEXMATCH(F6704, ""Ben帳戶|Elsa帳戶|Ben代墊|Ariel代墊|中信銀行共用"")), ""內部轉帳(忽略)"",
  AND(E6704&lt;&gt;"""", F6704&lt;&gt;"""", N"&amp;"OT(REGEXMATCH(C6704, ""薪資""))), ""內部轉帳(忽略)"",
  REGEXMATCH(C6704, ""薪資""), ""薪資變動(不計入)"",
  REGEXMATCH(C6704, ""押金""), ""押金往來"",
  AND(E6704&lt;&gt;"""", F6704=""""), ""真實支出"",
  AND(E6704="""", F6704&lt;&gt;""""), ""真實收入"",
  TRUE, ""其他""
)"),"其他")</f>
        <v>其他</v>
      </c>
      <c r="K6704" s="270" t="str">
        <f t="shared" si="2"/>
        <v/>
      </c>
      <c r="L6704">
        <f t="shared" si="3"/>
        <v>0</v>
      </c>
    </row>
    <row r="6705">
      <c r="A6705" s="107"/>
      <c r="D6705" s="270"/>
      <c r="H6705" s="106" t="str">
        <f t="shared" si="1"/>
        <v/>
      </c>
      <c r="J6705" t="str">
        <f>IFERROR(__xludf.DUMMYFUNCTION("IFS(
  AND(REGEXMATCH(E6705, ""台銀籌備帳戶|玉山帳戶""), REGEXMATCH(C6705, ""薪資"")), ""分潤支出"",
  AND(REGEXMATCH(E6705, ""Ben帳戶|Elsa帳戶|Ben代墊|Ariel代墊|中信銀行共用""), REGEXMATCH(F6705, ""Ben帳戶|Elsa帳戶|Ben代墊|Ariel代墊|中信銀行共用"")), ""內部轉帳(忽略)"",
  AND(E6705&lt;&gt;"""", F6705&lt;&gt;"""", N"&amp;"OT(REGEXMATCH(C6705, ""薪資""))), ""內部轉帳(忽略)"",
  REGEXMATCH(C6705, ""薪資""), ""薪資變動(不計入)"",
  REGEXMATCH(C6705, ""押金""), ""押金往來"",
  AND(E6705&lt;&gt;"""", F6705=""""), ""真實支出"",
  AND(E6705="""", F6705&lt;&gt;""""), ""真實收入"",
  TRUE, ""其他""
)"),"其他")</f>
        <v>其他</v>
      </c>
      <c r="K6705" s="270" t="str">
        <f t="shared" si="2"/>
        <v/>
      </c>
      <c r="L6705">
        <f t="shared" si="3"/>
        <v>0</v>
      </c>
    </row>
    <row r="6706">
      <c r="A6706" s="107"/>
      <c r="D6706" s="270"/>
      <c r="H6706" s="106" t="str">
        <f t="shared" si="1"/>
        <v/>
      </c>
      <c r="J6706" t="str">
        <f>IFERROR(__xludf.DUMMYFUNCTION("IFS(
  AND(REGEXMATCH(E6706, ""台銀籌備帳戶|玉山帳戶""), REGEXMATCH(C6706, ""薪資"")), ""分潤支出"",
  AND(REGEXMATCH(E6706, ""Ben帳戶|Elsa帳戶|Ben代墊|Ariel代墊|中信銀行共用""), REGEXMATCH(F6706, ""Ben帳戶|Elsa帳戶|Ben代墊|Ariel代墊|中信銀行共用"")), ""內部轉帳(忽略)"",
  AND(E6706&lt;&gt;"""", F6706&lt;&gt;"""", N"&amp;"OT(REGEXMATCH(C6706, ""薪資""))), ""內部轉帳(忽略)"",
  REGEXMATCH(C6706, ""薪資""), ""薪資變動(不計入)"",
  REGEXMATCH(C6706, ""押金""), ""押金往來"",
  AND(E6706&lt;&gt;"""", F6706=""""), ""真實支出"",
  AND(E6706="""", F6706&lt;&gt;""""), ""真實收入"",
  TRUE, ""其他""
)"),"其他")</f>
        <v>其他</v>
      </c>
      <c r="K6706" s="270" t="str">
        <f t="shared" si="2"/>
        <v/>
      </c>
      <c r="L6706">
        <f t="shared" si="3"/>
        <v>0</v>
      </c>
    </row>
    <row r="6707">
      <c r="A6707" s="107"/>
      <c r="D6707" s="270"/>
      <c r="H6707" s="106" t="str">
        <f t="shared" si="1"/>
        <v/>
      </c>
      <c r="J6707" t="str">
        <f>IFERROR(__xludf.DUMMYFUNCTION("IFS(
  AND(REGEXMATCH(E6707, ""台銀籌備帳戶|玉山帳戶""), REGEXMATCH(C6707, ""薪資"")), ""分潤支出"",
  AND(REGEXMATCH(E6707, ""Ben帳戶|Elsa帳戶|Ben代墊|Ariel代墊|中信銀行共用""), REGEXMATCH(F6707, ""Ben帳戶|Elsa帳戶|Ben代墊|Ariel代墊|中信銀行共用"")), ""內部轉帳(忽略)"",
  AND(E6707&lt;&gt;"""", F6707&lt;&gt;"""", N"&amp;"OT(REGEXMATCH(C6707, ""薪資""))), ""內部轉帳(忽略)"",
  REGEXMATCH(C6707, ""薪資""), ""薪資變動(不計入)"",
  REGEXMATCH(C6707, ""押金""), ""押金往來"",
  AND(E6707&lt;&gt;"""", F6707=""""), ""真實支出"",
  AND(E6707="""", F6707&lt;&gt;""""), ""真實收入"",
  TRUE, ""其他""
)"),"其他")</f>
        <v>其他</v>
      </c>
      <c r="K6707" s="270" t="str">
        <f t="shared" si="2"/>
        <v/>
      </c>
      <c r="L6707">
        <f t="shared" si="3"/>
        <v>0</v>
      </c>
    </row>
    <row r="6708">
      <c r="A6708" s="107"/>
      <c r="D6708" s="270"/>
      <c r="H6708" s="106" t="str">
        <f t="shared" si="1"/>
        <v/>
      </c>
      <c r="J6708" t="str">
        <f>IFERROR(__xludf.DUMMYFUNCTION("IFS(
  AND(REGEXMATCH(E6708, ""台銀籌備帳戶|玉山帳戶""), REGEXMATCH(C6708, ""薪資"")), ""分潤支出"",
  AND(REGEXMATCH(E6708, ""Ben帳戶|Elsa帳戶|Ben代墊|Ariel代墊|中信銀行共用""), REGEXMATCH(F6708, ""Ben帳戶|Elsa帳戶|Ben代墊|Ariel代墊|中信銀行共用"")), ""內部轉帳(忽略)"",
  AND(E6708&lt;&gt;"""", F6708&lt;&gt;"""", N"&amp;"OT(REGEXMATCH(C6708, ""薪資""))), ""內部轉帳(忽略)"",
  REGEXMATCH(C6708, ""薪資""), ""薪資變動(不計入)"",
  REGEXMATCH(C6708, ""押金""), ""押金往來"",
  AND(E6708&lt;&gt;"""", F6708=""""), ""真實支出"",
  AND(E6708="""", F6708&lt;&gt;""""), ""真實收入"",
  TRUE, ""其他""
)"),"其他")</f>
        <v>其他</v>
      </c>
      <c r="K6708" s="270" t="str">
        <f t="shared" si="2"/>
        <v/>
      </c>
      <c r="L6708">
        <f t="shared" si="3"/>
        <v>0</v>
      </c>
    </row>
    <row r="6709">
      <c r="A6709" s="107"/>
      <c r="D6709" s="270"/>
      <c r="H6709" s="106" t="str">
        <f t="shared" si="1"/>
        <v/>
      </c>
      <c r="J6709" t="str">
        <f>IFERROR(__xludf.DUMMYFUNCTION("IFS(
  AND(REGEXMATCH(E6709, ""台銀籌備帳戶|玉山帳戶""), REGEXMATCH(C6709, ""薪資"")), ""分潤支出"",
  AND(REGEXMATCH(E6709, ""Ben帳戶|Elsa帳戶|Ben代墊|Ariel代墊|中信銀行共用""), REGEXMATCH(F6709, ""Ben帳戶|Elsa帳戶|Ben代墊|Ariel代墊|中信銀行共用"")), ""內部轉帳(忽略)"",
  AND(E6709&lt;&gt;"""", F6709&lt;&gt;"""", N"&amp;"OT(REGEXMATCH(C6709, ""薪資""))), ""內部轉帳(忽略)"",
  REGEXMATCH(C6709, ""薪資""), ""薪資變動(不計入)"",
  REGEXMATCH(C6709, ""押金""), ""押金往來"",
  AND(E6709&lt;&gt;"""", F6709=""""), ""真實支出"",
  AND(E6709="""", F6709&lt;&gt;""""), ""真實收入"",
  TRUE, ""其他""
)"),"其他")</f>
        <v>其他</v>
      </c>
      <c r="K6709" s="270" t="str">
        <f t="shared" si="2"/>
        <v/>
      </c>
      <c r="L6709">
        <f t="shared" si="3"/>
        <v>0</v>
      </c>
    </row>
    <row r="6710">
      <c r="A6710" s="107"/>
      <c r="D6710" s="270"/>
      <c r="H6710" s="106" t="str">
        <f t="shared" si="1"/>
        <v/>
      </c>
      <c r="J6710" t="str">
        <f>IFERROR(__xludf.DUMMYFUNCTION("IFS(
  AND(REGEXMATCH(E6710, ""台銀籌備帳戶|玉山帳戶""), REGEXMATCH(C6710, ""薪資"")), ""分潤支出"",
  AND(REGEXMATCH(E6710, ""Ben帳戶|Elsa帳戶|Ben代墊|Ariel代墊|中信銀行共用""), REGEXMATCH(F6710, ""Ben帳戶|Elsa帳戶|Ben代墊|Ariel代墊|中信銀行共用"")), ""內部轉帳(忽略)"",
  AND(E6710&lt;&gt;"""", F6710&lt;&gt;"""", N"&amp;"OT(REGEXMATCH(C6710, ""薪資""))), ""內部轉帳(忽略)"",
  REGEXMATCH(C6710, ""薪資""), ""薪資變動(不計入)"",
  REGEXMATCH(C6710, ""押金""), ""押金往來"",
  AND(E6710&lt;&gt;"""", F6710=""""), ""真實支出"",
  AND(E6710="""", F6710&lt;&gt;""""), ""真實收入"",
  TRUE, ""其他""
)"),"其他")</f>
        <v>其他</v>
      </c>
      <c r="K6710" s="270" t="str">
        <f t="shared" si="2"/>
        <v/>
      </c>
      <c r="L6710">
        <f t="shared" si="3"/>
        <v>0</v>
      </c>
    </row>
    <row r="6711">
      <c r="A6711" s="107"/>
      <c r="D6711" s="270"/>
      <c r="H6711" s="106" t="str">
        <f t="shared" si="1"/>
        <v/>
      </c>
      <c r="J6711" t="str">
        <f>IFERROR(__xludf.DUMMYFUNCTION("IFS(
  AND(REGEXMATCH(E6711, ""台銀籌備帳戶|玉山帳戶""), REGEXMATCH(C6711, ""薪資"")), ""分潤支出"",
  AND(REGEXMATCH(E6711, ""Ben帳戶|Elsa帳戶|Ben代墊|Ariel代墊|中信銀行共用""), REGEXMATCH(F6711, ""Ben帳戶|Elsa帳戶|Ben代墊|Ariel代墊|中信銀行共用"")), ""內部轉帳(忽略)"",
  AND(E6711&lt;&gt;"""", F6711&lt;&gt;"""", N"&amp;"OT(REGEXMATCH(C6711, ""薪資""))), ""內部轉帳(忽略)"",
  REGEXMATCH(C6711, ""薪資""), ""薪資變動(不計入)"",
  REGEXMATCH(C6711, ""押金""), ""押金往來"",
  AND(E6711&lt;&gt;"""", F6711=""""), ""真實支出"",
  AND(E6711="""", F6711&lt;&gt;""""), ""真實收入"",
  TRUE, ""其他""
)"),"其他")</f>
        <v>其他</v>
      </c>
      <c r="K6711" s="270" t="str">
        <f t="shared" si="2"/>
        <v/>
      </c>
      <c r="L6711">
        <f t="shared" si="3"/>
        <v>0</v>
      </c>
    </row>
    <row r="6712">
      <c r="A6712" s="107"/>
      <c r="D6712" s="270"/>
      <c r="H6712" s="106" t="str">
        <f t="shared" si="1"/>
        <v/>
      </c>
      <c r="J6712" t="str">
        <f>IFERROR(__xludf.DUMMYFUNCTION("IFS(
  AND(REGEXMATCH(E6712, ""台銀籌備帳戶|玉山帳戶""), REGEXMATCH(C6712, ""薪資"")), ""分潤支出"",
  AND(REGEXMATCH(E6712, ""Ben帳戶|Elsa帳戶|Ben代墊|Ariel代墊|中信銀行共用""), REGEXMATCH(F6712, ""Ben帳戶|Elsa帳戶|Ben代墊|Ariel代墊|中信銀行共用"")), ""內部轉帳(忽略)"",
  AND(E6712&lt;&gt;"""", F6712&lt;&gt;"""", N"&amp;"OT(REGEXMATCH(C6712, ""薪資""))), ""內部轉帳(忽略)"",
  REGEXMATCH(C6712, ""薪資""), ""薪資變動(不計入)"",
  REGEXMATCH(C6712, ""押金""), ""押金往來"",
  AND(E6712&lt;&gt;"""", F6712=""""), ""真實支出"",
  AND(E6712="""", F6712&lt;&gt;""""), ""真實收入"",
  TRUE, ""其他""
)"),"其他")</f>
        <v>其他</v>
      </c>
      <c r="K6712" s="270" t="str">
        <f t="shared" si="2"/>
        <v/>
      </c>
      <c r="L6712">
        <f t="shared" si="3"/>
        <v>0</v>
      </c>
    </row>
    <row r="6713">
      <c r="A6713" s="107"/>
      <c r="D6713" s="270"/>
      <c r="H6713" s="106" t="str">
        <f t="shared" si="1"/>
        <v/>
      </c>
      <c r="J6713" t="str">
        <f>IFERROR(__xludf.DUMMYFUNCTION("IFS(
  AND(REGEXMATCH(E6713, ""台銀籌備帳戶|玉山帳戶""), REGEXMATCH(C6713, ""薪資"")), ""分潤支出"",
  AND(REGEXMATCH(E6713, ""Ben帳戶|Elsa帳戶|Ben代墊|Ariel代墊|中信銀行共用""), REGEXMATCH(F6713, ""Ben帳戶|Elsa帳戶|Ben代墊|Ariel代墊|中信銀行共用"")), ""內部轉帳(忽略)"",
  AND(E6713&lt;&gt;"""", F6713&lt;&gt;"""", N"&amp;"OT(REGEXMATCH(C6713, ""薪資""))), ""內部轉帳(忽略)"",
  REGEXMATCH(C6713, ""薪資""), ""薪資變動(不計入)"",
  REGEXMATCH(C6713, ""押金""), ""押金往來"",
  AND(E6713&lt;&gt;"""", F6713=""""), ""真實支出"",
  AND(E6713="""", F6713&lt;&gt;""""), ""真實收入"",
  TRUE, ""其他""
)"),"其他")</f>
        <v>其他</v>
      </c>
      <c r="K6713" s="270" t="str">
        <f t="shared" si="2"/>
        <v/>
      </c>
      <c r="L6713">
        <f t="shared" si="3"/>
        <v>0</v>
      </c>
    </row>
    <row r="6714">
      <c r="A6714" s="107"/>
      <c r="D6714" s="270"/>
      <c r="H6714" s="106" t="str">
        <f t="shared" si="1"/>
        <v/>
      </c>
      <c r="J6714" t="str">
        <f>IFERROR(__xludf.DUMMYFUNCTION("IFS(
  AND(REGEXMATCH(E6714, ""台銀籌備帳戶|玉山帳戶""), REGEXMATCH(C6714, ""薪資"")), ""分潤支出"",
  AND(REGEXMATCH(E6714, ""Ben帳戶|Elsa帳戶|Ben代墊|Ariel代墊|中信銀行共用""), REGEXMATCH(F6714, ""Ben帳戶|Elsa帳戶|Ben代墊|Ariel代墊|中信銀行共用"")), ""內部轉帳(忽略)"",
  AND(E6714&lt;&gt;"""", F6714&lt;&gt;"""", N"&amp;"OT(REGEXMATCH(C6714, ""薪資""))), ""內部轉帳(忽略)"",
  REGEXMATCH(C6714, ""薪資""), ""薪資變動(不計入)"",
  REGEXMATCH(C6714, ""押金""), ""押金往來"",
  AND(E6714&lt;&gt;"""", F6714=""""), ""真實支出"",
  AND(E6714="""", F6714&lt;&gt;""""), ""真實收入"",
  TRUE, ""其他""
)"),"其他")</f>
        <v>其他</v>
      </c>
      <c r="K6714" s="270" t="str">
        <f t="shared" si="2"/>
        <v/>
      </c>
      <c r="L6714">
        <f t="shared" si="3"/>
        <v>0</v>
      </c>
    </row>
    <row r="6715">
      <c r="A6715" s="107"/>
      <c r="D6715" s="270"/>
      <c r="H6715" s="106" t="str">
        <f t="shared" si="1"/>
        <v/>
      </c>
      <c r="J6715" t="str">
        <f>IFERROR(__xludf.DUMMYFUNCTION("IFS(
  AND(REGEXMATCH(E6715, ""台銀籌備帳戶|玉山帳戶""), REGEXMATCH(C6715, ""薪資"")), ""分潤支出"",
  AND(REGEXMATCH(E6715, ""Ben帳戶|Elsa帳戶|Ben代墊|Ariel代墊|中信銀行共用""), REGEXMATCH(F6715, ""Ben帳戶|Elsa帳戶|Ben代墊|Ariel代墊|中信銀行共用"")), ""內部轉帳(忽略)"",
  AND(E6715&lt;&gt;"""", F6715&lt;&gt;"""", N"&amp;"OT(REGEXMATCH(C6715, ""薪資""))), ""內部轉帳(忽略)"",
  REGEXMATCH(C6715, ""薪資""), ""薪資變動(不計入)"",
  REGEXMATCH(C6715, ""押金""), ""押金往來"",
  AND(E6715&lt;&gt;"""", F6715=""""), ""真實支出"",
  AND(E6715="""", F6715&lt;&gt;""""), ""真實收入"",
  TRUE, ""其他""
)"),"其他")</f>
        <v>其他</v>
      </c>
      <c r="K6715" s="270" t="str">
        <f t="shared" si="2"/>
        <v/>
      </c>
      <c r="L6715">
        <f t="shared" si="3"/>
        <v>0</v>
      </c>
    </row>
    <row r="6716">
      <c r="A6716" s="107"/>
      <c r="D6716" s="270"/>
      <c r="H6716" s="106" t="str">
        <f t="shared" si="1"/>
        <v/>
      </c>
      <c r="J6716" t="str">
        <f>IFERROR(__xludf.DUMMYFUNCTION("IFS(
  AND(REGEXMATCH(E6716, ""台銀籌備帳戶|玉山帳戶""), REGEXMATCH(C6716, ""薪資"")), ""分潤支出"",
  AND(REGEXMATCH(E6716, ""Ben帳戶|Elsa帳戶|Ben代墊|Ariel代墊|中信銀行共用""), REGEXMATCH(F6716, ""Ben帳戶|Elsa帳戶|Ben代墊|Ariel代墊|中信銀行共用"")), ""內部轉帳(忽略)"",
  AND(E6716&lt;&gt;"""", F6716&lt;&gt;"""", N"&amp;"OT(REGEXMATCH(C6716, ""薪資""))), ""內部轉帳(忽略)"",
  REGEXMATCH(C6716, ""薪資""), ""薪資變動(不計入)"",
  REGEXMATCH(C6716, ""押金""), ""押金往來"",
  AND(E6716&lt;&gt;"""", F6716=""""), ""真實支出"",
  AND(E6716="""", F6716&lt;&gt;""""), ""真實收入"",
  TRUE, ""其他""
)"),"其他")</f>
        <v>其他</v>
      </c>
      <c r="K6716" s="270" t="str">
        <f t="shared" si="2"/>
        <v/>
      </c>
      <c r="L6716">
        <f t="shared" si="3"/>
        <v>0</v>
      </c>
    </row>
    <row r="6717">
      <c r="A6717" s="107"/>
      <c r="D6717" s="270"/>
      <c r="H6717" s="106" t="str">
        <f t="shared" si="1"/>
        <v/>
      </c>
      <c r="J6717" t="str">
        <f>IFERROR(__xludf.DUMMYFUNCTION("IFS(
  AND(REGEXMATCH(E6717, ""台銀籌備帳戶|玉山帳戶""), REGEXMATCH(C6717, ""薪資"")), ""分潤支出"",
  AND(REGEXMATCH(E6717, ""Ben帳戶|Elsa帳戶|Ben代墊|Ariel代墊|中信銀行共用""), REGEXMATCH(F6717, ""Ben帳戶|Elsa帳戶|Ben代墊|Ariel代墊|中信銀行共用"")), ""內部轉帳(忽略)"",
  AND(E6717&lt;&gt;"""", F6717&lt;&gt;"""", N"&amp;"OT(REGEXMATCH(C6717, ""薪資""))), ""內部轉帳(忽略)"",
  REGEXMATCH(C6717, ""薪資""), ""薪資變動(不計入)"",
  REGEXMATCH(C6717, ""押金""), ""押金往來"",
  AND(E6717&lt;&gt;"""", F6717=""""), ""真實支出"",
  AND(E6717="""", F6717&lt;&gt;""""), ""真實收入"",
  TRUE, ""其他""
)"),"其他")</f>
        <v>其他</v>
      </c>
      <c r="K6717" s="270" t="str">
        <f t="shared" si="2"/>
        <v/>
      </c>
      <c r="L6717">
        <f t="shared" si="3"/>
        <v>0</v>
      </c>
    </row>
    <row r="6718">
      <c r="A6718" s="107"/>
      <c r="D6718" s="270"/>
      <c r="H6718" s="106" t="str">
        <f t="shared" si="1"/>
        <v/>
      </c>
      <c r="J6718" t="str">
        <f>IFERROR(__xludf.DUMMYFUNCTION("IFS(
  AND(REGEXMATCH(E6718, ""台銀籌備帳戶|玉山帳戶""), REGEXMATCH(C6718, ""薪資"")), ""分潤支出"",
  AND(REGEXMATCH(E6718, ""Ben帳戶|Elsa帳戶|Ben代墊|Ariel代墊|中信銀行共用""), REGEXMATCH(F6718, ""Ben帳戶|Elsa帳戶|Ben代墊|Ariel代墊|中信銀行共用"")), ""內部轉帳(忽略)"",
  AND(E6718&lt;&gt;"""", F6718&lt;&gt;"""", N"&amp;"OT(REGEXMATCH(C6718, ""薪資""))), ""內部轉帳(忽略)"",
  REGEXMATCH(C6718, ""薪資""), ""薪資變動(不計入)"",
  REGEXMATCH(C6718, ""押金""), ""押金往來"",
  AND(E6718&lt;&gt;"""", F6718=""""), ""真實支出"",
  AND(E6718="""", F6718&lt;&gt;""""), ""真實收入"",
  TRUE, ""其他""
)"),"其他")</f>
        <v>其他</v>
      </c>
      <c r="K6718" s="270" t="str">
        <f t="shared" si="2"/>
        <v/>
      </c>
      <c r="L6718">
        <f t="shared" si="3"/>
        <v>0</v>
      </c>
    </row>
    <row r="6719">
      <c r="A6719" s="107"/>
      <c r="D6719" s="270"/>
      <c r="H6719" s="106" t="str">
        <f t="shared" si="1"/>
        <v/>
      </c>
      <c r="J6719" t="str">
        <f>IFERROR(__xludf.DUMMYFUNCTION("IFS(
  AND(REGEXMATCH(E6719, ""台銀籌備帳戶|玉山帳戶""), REGEXMATCH(C6719, ""薪資"")), ""分潤支出"",
  AND(REGEXMATCH(E6719, ""Ben帳戶|Elsa帳戶|Ben代墊|Ariel代墊|中信銀行共用""), REGEXMATCH(F6719, ""Ben帳戶|Elsa帳戶|Ben代墊|Ariel代墊|中信銀行共用"")), ""內部轉帳(忽略)"",
  AND(E6719&lt;&gt;"""", F6719&lt;&gt;"""", N"&amp;"OT(REGEXMATCH(C6719, ""薪資""))), ""內部轉帳(忽略)"",
  REGEXMATCH(C6719, ""薪資""), ""薪資變動(不計入)"",
  REGEXMATCH(C6719, ""押金""), ""押金往來"",
  AND(E6719&lt;&gt;"""", F6719=""""), ""真實支出"",
  AND(E6719="""", F6719&lt;&gt;""""), ""真實收入"",
  TRUE, ""其他""
)"),"其他")</f>
        <v>其他</v>
      </c>
      <c r="K6719" s="270" t="str">
        <f t="shared" si="2"/>
        <v/>
      </c>
      <c r="L6719">
        <f t="shared" si="3"/>
        <v>0</v>
      </c>
    </row>
    <row r="6720">
      <c r="A6720" s="107"/>
      <c r="D6720" s="270"/>
      <c r="H6720" s="106" t="str">
        <f t="shared" si="1"/>
        <v/>
      </c>
      <c r="J6720" t="str">
        <f>IFERROR(__xludf.DUMMYFUNCTION("IFS(
  AND(REGEXMATCH(E6720, ""台銀籌備帳戶|玉山帳戶""), REGEXMATCH(C6720, ""薪資"")), ""分潤支出"",
  AND(REGEXMATCH(E6720, ""Ben帳戶|Elsa帳戶|Ben代墊|Ariel代墊|中信銀行共用""), REGEXMATCH(F6720, ""Ben帳戶|Elsa帳戶|Ben代墊|Ariel代墊|中信銀行共用"")), ""內部轉帳(忽略)"",
  AND(E6720&lt;&gt;"""", F6720&lt;&gt;"""", N"&amp;"OT(REGEXMATCH(C6720, ""薪資""))), ""內部轉帳(忽略)"",
  REGEXMATCH(C6720, ""薪資""), ""薪資變動(不計入)"",
  REGEXMATCH(C6720, ""押金""), ""押金往來"",
  AND(E6720&lt;&gt;"""", F6720=""""), ""真實支出"",
  AND(E6720="""", F6720&lt;&gt;""""), ""真實收入"",
  TRUE, ""其他""
)"),"其他")</f>
        <v>其他</v>
      </c>
      <c r="K6720" s="270" t="str">
        <f t="shared" si="2"/>
        <v/>
      </c>
      <c r="L6720">
        <f t="shared" si="3"/>
        <v>0</v>
      </c>
    </row>
    <row r="6721">
      <c r="A6721" s="107"/>
      <c r="D6721" s="270"/>
      <c r="H6721" s="106" t="str">
        <f t="shared" si="1"/>
        <v/>
      </c>
      <c r="J6721" t="str">
        <f>IFERROR(__xludf.DUMMYFUNCTION("IFS(
  AND(REGEXMATCH(E6721, ""台銀籌備帳戶|玉山帳戶""), REGEXMATCH(C6721, ""薪資"")), ""分潤支出"",
  AND(REGEXMATCH(E6721, ""Ben帳戶|Elsa帳戶|Ben代墊|Ariel代墊|中信銀行共用""), REGEXMATCH(F6721, ""Ben帳戶|Elsa帳戶|Ben代墊|Ariel代墊|中信銀行共用"")), ""內部轉帳(忽略)"",
  AND(E6721&lt;&gt;"""", F6721&lt;&gt;"""", N"&amp;"OT(REGEXMATCH(C6721, ""薪資""))), ""內部轉帳(忽略)"",
  REGEXMATCH(C6721, ""薪資""), ""薪資變動(不計入)"",
  REGEXMATCH(C6721, ""押金""), ""押金往來"",
  AND(E6721&lt;&gt;"""", F6721=""""), ""真實支出"",
  AND(E6721="""", F6721&lt;&gt;""""), ""真實收入"",
  TRUE, ""其他""
)"),"其他")</f>
        <v>其他</v>
      </c>
      <c r="K6721" s="270" t="str">
        <f t="shared" si="2"/>
        <v/>
      </c>
      <c r="L6721">
        <f t="shared" si="3"/>
        <v>0</v>
      </c>
    </row>
    <row r="6722">
      <c r="A6722" s="107"/>
      <c r="D6722" s="270"/>
      <c r="H6722" s="106" t="str">
        <f t="shared" si="1"/>
        <v/>
      </c>
      <c r="J6722" t="str">
        <f>IFERROR(__xludf.DUMMYFUNCTION("IFS(
  AND(REGEXMATCH(E6722, ""台銀籌備帳戶|玉山帳戶""), REGEXMATCH(C6722, ""薪資"")), ""分潤支出"",
  AND(REGEXMATCH(E6722, ""Ben帳戶|Elsa帳戶|Ben代墊|Ariel代墊|中信銀行共用""), REGEXMATCH(F6722, ""Ben帳戶|Elsa帳戶|Ben代墊|Ariel代墊|中信銀行共用"")), ""內部轉帳(忽略)"",
  AND(E6722&lt;&gt;"""", F6722&lt;&gt;"""", N"&amp;"OT(REGEXMATCH(C6722, ""薪資""))), ""內部轉帳(忽略)"",
  REGEXMATCH(C6722, ""薪資""), ""薪資變動(不計入)"",
  REGEXMATCH(C6722, ""押金""), ""押金往來"",
  AND(E6722&lt;&gt;"""", F6722=""""), ""真實支出"",
  AND(E6722="""", F6722&lt;&gt;""""), ""真實收入"",
  TRUE, ""其他""
)"),"其他")</f>
        <v>其他</v>
      </c>
      <c r="K6722" s="270" t="str">
        <f t="shared" si="2"/>
        <v/>
      </c>
      <c r="L6722">
        <f t="shared" si="3"/>
        <v>0</v>
      </c>
    </row>
    <row r="6723">
      <c r="A6723" s="107"/>
      <c r="D6723" s="270"/>
      <c r="H6723" s="106" t="str">
        <f t="shared" si="1"/>
        <v/>
      </c>
      <c r="J6723" t="str">
        <f>IFERROR(__xludf.DUMMYFUNCTION("IFS(
  AND(REGEXMATCH(E6723, ""台銀籌備帳戶|玉山帳戶""), REGEXMATCH(C6723, ""薪資"")), ""分潤支出"",
  AND(REGEXMATCH(E6723, ""Ben帳戶|Elsa帳戶|Ben代墊|Ariel代墊|中信銀行共用""), REGEXMATCH(F6723, ""Ben帳戶|Elsa帳戶|Ben代墊|Ariel代墊|中信銀行共用"")), ""內部轉帳(忽略)"",
  AND(E6723&lt;&gt;"""", F6723&lt;&gt;"""", N"&amp;"OT(REGEXMATCH(C6723, ""薪資""))), ""內部轉帳(忽略)"",
  REGEXMATCH(C6723, ""薪資""), ""薪資變動(不計入)"",
  REGEXMATCH(C6723, ""押金""), ""押金往來"",
  AND(E6723&lt;&gt;"""", F6723=""""), ""真實支出"",
  AND(E6723="""", F6723&lt;&gt;""""), ""真實收入"",
  TRUE, ""其他""
)"),"其他")</f>
        <v>其他</v>
      </c>
      <c r="K6723" s="270" t="str">
        <f t="shared" si="2"/>
        <v/>
      </c>
      <c r="L6723">
        <f t="shared" si="3"/>
        <v>0</v>
      </c>
    </row>
    <row r="6724">
      <c r="A6724" s="107"/>
      <c r="D6724" s="270"/>
      <c r="H6724" s="106" t="str">
        <f t="shared" si="1"/>
        <v/>
      </c>
      <c r="J6724" t="str">
        <f>IFERROR(__xludf.DUMMYFUNCTION("IFS(
  AND(REGEXMATCH(E6724, ""台銀籌備帳戶|玉山帳戶""), REGEXMATCH(C6724, ""薪資"")), ""分潤支出"",
  AND(REGEXMATCH(E6724, ""Ben帳戶|Elsa帳戶|Ben代墊|Ariel代墊|中信銀行共用""), REGEXMATCH(F6724, ""Ben帳戶|Elsa帳戶|Ben代墊|Ariel代墊|中信銀行共用"")), ""內部轉帳(忽略)"",
  AND(E6724&lt;&gt;"""", F6724&lt;&gt;"""", N"&amp;"OT(REGEXMATCH(C6724, ""薪資""))), ""內部轉帳(忽略)"",
  REGEXMATCH(C6724, ""薪資""), ""薪資變動(不計入)"",
  REGEXMATCH(C6724, ""押金""), ""押金往來"",
  AND(E6724&lt;&gt;"""", F6724=""""), ""真實支出"",
  AND(E6724="""", F6724&lt;&gt;""""), ""真實收入"",
  TRUE, ""其他""
)"),"其他")</f>
        <v>其他</v>
      </c>
      <c r="K6724" s="270" t="str">
        <f t="shared" si="2"/>
        <v/>
      </c>
      <c r="L6724">
        <f t="shared" si="3"/>
        <v>0</v>
      </c>
    </row>
    <row r="6725">
      <c r="A6725" s="107"/>
      <c r="D6725" s="270"/>
      <c r="H6725" s="106" t="str">
        <f t="shared" si="1"/>
        <v/>
      </c>
      <c r="J6725" t="str">
        <f>IFERROR(__xludf.DUMMYFUNCTION("IFS(
  AND(REGEXMATCH(E6725, ""台銀籌備帳戶|玉山帳戶""), REGEXMATCH(C6725, ""薪資"")), ""分潤支出"",
  AND(REGEXMATCH(E6725, ""Ben帳戶|Elsa帳戶|Ben代墊|Ariel代墊|中信銀行共用""), REGEXMATCH(F6725, ""Ben帳戶|Elsa帳戶|Ben代墊|Ariel代墊|中信銀行共用"")), ""內部轉帳(忽略)"",
  AND(E6725&lt;&gt;"""", F6725&lt;&gt;"""", N"&amp;"OT(REGEXMATCH(C6725, ""薪資""))), ""內部轉帳(忽略)"",
  REGEXMATCH(C6725, ""薪資""), ""薪資變動(不計入)"",
  REGEXMATCH(C6725, ""押金""), ""押金往來"",
  AND(E6725&lt;&gt;"""", F6725=""""), ""真實支出"",
  AND(E6725="""", F6725&lt;&gt;""""), ""真實收入"",
  TRUE, ""其他""
)"),"其他")</f>
        <v>其他</v>
      </c>
      <c r="K6725" s="270" t="str">
        <f t="shared" si="2"/>
        <v/>
      </c>
      <c r="L6725">
        <f t="shared" si="3"/>
        <v>0</v>
      </c>
    </row>
    <row r="6726">
      <c r="A6726" s="107"/>
      <c r="D6726" s="270"/>
      <c r="H6726" s="106" t="str">
        <f t="shared" si="1"/>
        <v/>
      </c>
      <c r="J6726" t="str">
        <f>IFERROR(__xludf.DUMMYFUNCTION("IFS(
  AND(REGEXMATCH(E6726, ""台銀籌備帳戶|玉山帳戶""), REGEXMATCH(C6726, ""薪資"")), ""分潤支出"",
  AND(REGEXMATCH(E6726, ""Ben帳戶|Elsa帳戶|Ben代墊|Ariel代墊|中信銀行共用""), REGEXMATCH(F6726, ""Ben帳戶|Elsa帳戶|Ben代墊|Ariel代墊|中信銀行共用"")), ""內部轉帳(忽略)"",
  AND(E6726&lt;&gt;"""", F6726&lt;&gt;"""", N"&amp;"OT(REGEXMATCH(C6726, ""薪資""))), ""內部轉帳(忽略)"",
  REGEXMATCH(C6726, ""薪資""), ""薪資變動(不計入)"",
  REGEXMATCH(C6726, ""押金""), ""押金往來"",
  AND(E6726&lt;&gt;"""", F6726=""""), ""真實支出"",
  AND(E6726="""", F6726&lt;&gt;""""), ""真實收入"",
  TRUE, ""其他""
)"),"其他")</f>
        <v>其他</v>
      </c>
      <c r="K6726" s="270" t="str">
        <f t="shared" si="2"/>
        <v/>
      </c>
      <c r="L6726">
        <f t="shared" si="3"/>
        <v>0</v>
      </c>
    </row>
    <row r="6727">
      <c r="A6727" s="107"/>
      <c r="D6727" s="270"/>
      <c r="H6727" s="106" t="str">
        <f t="shared" si="1"/>
        <v/>
      </c>
      <c r="J6727" t="str">
        <f>IFERROR(__xludf.DUMMYFUNCTION("IFS(
  AND(REGEXMATCH(E6727, ""台銀籌備帳戶|玉山帳戶""), REGEXMATCH(C6727, ""薪資"")), ""分潤支出"",
  AND(REGEXMATCH(E6727, ""Ben帳戶|Elsa帳戶|Ben代墊|Ariel代墊|中信銀行共用""), REGEXMATCH(F6727, ""Ben帳戶|Elsa帳戶|Ben代墊|Ariel代墊|中信銀行共用"")), ""內部轉帳(忽略)"",
  AND(E6727&lt;&gt;"""", F6727&lt;&gt;"""", N"&amp;"OT(REGEXMATCH(C6727, ""薪資""))), ""內部轉帳(忽略)"",
  REGEXMATCH(C6727, ""薪資""), ""薪資變動(不計入)"",
  REGEXMATCH(C6727, ""押金""), ""押金往來"",
  AND(E6727&lt;&gt;"""", F6727=""""), ""真實支出"",
  AND(E6727="""", F6727&lt;&gt;""""), ""真實收入"",
  TRUE, ""其他""
)"),"其他")</f>
        <v>其他</v>
      </c>
      <c r="K6727" s="270" t="str">
        <f t="shared" si="2"/>
        <v/>
      </c>
      <c r="L6727">
        <f t="shared" si="3"/>
        <v>0</v>
      </c>
    </row>
    <row r="6728">
      <c r="A6728" s="107"/>
      <c r="D6728" s="270"/>
      <c r="H6728" s="106" t="str">
        <f t="shared" si="1"/>
        <v/>
      </c>
      <c r="J6728" t="str">
        <f>IFERROR(__xludf.DUMMYFUNCTION("IFS(
  AND(REGEXMATCH(E6728, ""台銀籌備帳戶|玉山帳戶""), REGEXMATCH(C6728, ""薪資"")), ""分潤支出"",
  AND(REGEXMATCH(E6728, ""Ben帳戶|Elsa帳戶|Ben代墊|Ariel代墊|中信銀行共用""), REGEXMATCH(F6728, ""Ben帳戶|Elsa帳戶|Ben代墊|Ariel代墊|中信銀行共用"")), ""內部轉帳(忽略)"",
  AND(E6728&lt;&gt;"""", F6728&lt;&gt;"""", N"&amp;"OT(REGEXMATCH(C6728, ""薪資""))), ""內部轉帳(忽略)"",
  REGEXMATCH(C6728, ""薪資""), ""薪資變動(不計入)"",
  REGEXMATCH(C6728, ""押金""), ""押金往來"",
  AND(E6728&lt;&gt;"""", F6728=""""), ""真實支出"",
  AND(E6728="""", F6728&lt;&gt;""""), ""真實收入"",
  TRUE, ""其他""
)"),"其他")</f>
        <v>其他</v>
      </c>
      <c r="K6728" s="270" t="str">
        <f t="shared" si="2"/>
        <v/>
      </c>
      <c r="L6728">
        <f t="shared" si="3"/>
        <v>0</v>
      </c>
    </row>
    <row r="6729">
      <c r="A6729" s="107"/>
      <c r="D6729" s="270"/>
      <c r="H6729" s="106" t="str">
        <f t="shared" si="1"/>
        <v/>
      </c>
      <c r="J6729" t="str">
        <f>IFERROR(__xludf.DUMMYFUNCTION("IFS(
  AND(REGEXMATCH(E6729, ""台銀籌備帳戶|玉山帳戶""), REGEXMATCH(C6729, ""薪資"")), ""分潤支出"",
  AND(REGEXMATCH(E6729, ""Ben帳戶|Elsa帳戶|Ben代墊|Ariel代墊|中信銀行共用""), REGEXMATCH(F6729, ""Ben帳戶|Elsa帳戶|Ben代墊|Ariel代墊|中信銀行共用"")), ""內部轉帳(忽略)"",
  AND(E6729&lt;&gt;"""", F6729&lt;&gt;"""", N"&amp;"OT(REGEXMATCH(C6729, ""薪資""))), ""內部轉帳(忽略)"",
  REGEXMATCH(C6729, ""薪資""), ""薪資變動(不計入)"",
  REGEXMATCH(C6729, ""押金""), ""押金往來"",
  AND(E6729&lt;&gt;"""", F6729=""""), ""真實支出"",
  AND(E6729="""", F6729&lt;&gt;""""), ""真實收入"",
  TRUE, ""其他""
)"),"其他")</f>
        <v>其他</v>
      </c>
      <c r="K6729" s="270" t="str">
        <f t="shared" si="2"/>
        <v/>
      </c>
      <c r="L6729">
        <f t="shared" si="3"/>
        <v>0</v>
      </c>
    </row>
    <row r="6730">
      <c r="A6730" s="107"/>
      <c r="D6730" s="270"/>
      <c r="H6730" s="106" t="str">
        <f t="shared" si="1"/>
        <v/>
      </c>
      <c r="J6730" t="str">
        <f>IFERROR(__xludf.DUMMYFUNCTION("IFS(
  AND(REGEXMATCH(E6730, ""台銀籌備帳戶|玉山帳戶""), REGEXMATCH(C6730, ""薪資"")), ""分潤支出"",
  AND(REGEXMATCH(E6730, ""Ben帳戶|Elsa帳戶|Ben代墊|Ariel代墊|中信銀行共用""), REGEXMATCH(F6730, ""Ben帳戶|Elsa帳戶|Ben代墊|Ariel代墊|中信銀行共用"")), ""內部轉帳(忽略)"",
  AND(E6730&lt;&gt;"""", F6730&lt;&gt;"""", N"&amp;"OT(REGEXMATCH(C6730, ""薪資""))), ""內部轉帳(忽略)"",
  REGEXMATCH(C6730, ""薪資""), ""薪資變動(不計入)"",
  REGEXMATCH(C6730, ""押金""), ""押金往來"",
  AND(E6730&lt;&gt;"""", F6730=""""), ""真實支出"",
  AND(E6730="""", F6730&lt;&gt;""""), ""真實收入"",
  TRUE, ""其他""
)"),"其他")</f>
        <v>其他</v>
      </c>
      <c r="K6730" s="270" t="str">
        <f t="shared" si="2"/>
        <v/>
      </c>
      <c r="L6730">
        <f t="shared" si="3"/>
        <v>0</v>
      </c>
    </row>
    <row r="6731">
      <c r="A6731" s="107"/>
      <c r="D6731" s="270"/>
      <c r="H6731" s="106" t="str">
        <f t="shared" si="1"/>
        <v/>
      </c>
      <c r="J6731" t="str">
        <f>IFERROR(__xludf.DUMMYFUNCTION("IFS(
  AND(REGEXMATCH(E6731, ""台銀籌備帳戶|玉山帳戶""), REGEXMATCH(C6731, ""薪資"")), ""分潤支出"",
  AND(REGEXMATCH(E6731, ""Ben帳戶|Elsa帳戶|Ben代墊|Ariel代墊|中信銀行共用""), REGEXMATCH(F6731, ""Ben帳戶|Elsa帳戶|Ben代墊|Ariel代墊|中信銀行共用"")), ""內部轉帳(忽略)"",
  AND(E6731&lt;&gt;"""", F6731&lt;&gt;"""", N"&amp;"OT(REGEXMATCH(C6731, ""薪資""))), ""內部轉帳(忽略)"",
  REGEXMATCH(C6731, ""薪資""), ""薪資變動(不計入)"",
  REGEXMATCH(C6731, ""押金""), ""押金往來"",
  AND(E6731&lt;&gt;"""", F6731=""""), ""真實支出"",
  AND(E6731="""", F6731&lt;&gt;""""), ""真實收入"",
  TRUE, ""其他""
)"),"其他")</f>
        <v>其他</v>
      </c>
      <c r="K6731" s="270" t="str">
        <f t="shared" si="2"/>
        <v/>
      </c>
      <c r="L6731">
        <f t="shared" si="3"/>
        <v>0</v>
      </c>
    </row>
    <row r="6732">
      <c r="A6732" s="107"/>
      <c r="D6732" s="270"/>
      <c r="H6732" s="106" t="str">
        <f t="shared" si="1"/>
        <v/>
      </c>
      <c r="J6732" t="str">
        <f>IFERROR(__xludf.DUMMYFUNCTION("IFS(
  AND(REGEXMATCH(E6732, ""台銀籌備帳戶|玉山帳戶""), REGEXMATCH(C6732, ""薪資"")), ""分潤支出"",
  AND(REGEXMATCH(E6732, ""Ben帳戶|Elsa帳戶|Ben代墊|Ariel代墊|中信銀行共用""), REGEXMATCH(F6732, ""Ben帳戶|Elsa帳戶|Ben代墊|Ariel代墊|中信銀行共用"")), ""內部轉帳(忽略)"",
  AND(E6732&lt;&gt;"""", F6732&lt;&gt;"""", N"&amp;"OT(REGEXMATCH(C6732, ""薪資""))), ""內部轉帳(忽略)"",
  REGEXMATCH(C6732, ""薪資""), ""薪資變動(不計入)"",
  REGEXMATCH(C6732, ""押金""), ""押金往來"",
  AND(E6732&lt;&gt;"""", F6732=""""), ""真實支出"",
  AND(E6732="""", F6732&lt;&gt;""""), ""真實收入"",
  TRUE, ""其他""
)"),"其他")</f>
        <v>其他</v>
      </c>
      <c r="K6732" s="270" t="str">
        <f t="shared" si="2"/>
        <v/>
      </c>
      <c r="L6732">
        <f t="shared" si="3"/>
        <v>0</v>
      </c>
    </row>
    <row r="6733">
      <c r="A6733" s="107"/>
      <c r="D6733" s="270"/>
      <c r="H6733" s="106" t="str">
        <f t="shared" si="1"/>
        <v/>
      </c>
      <c r="J6733" t="str">
        <f>IFERROR(__xludf.DUMMYFUNCTION("IFS(
  AND(REGEXMATCH(E6733, ""台銀籌備帳戶|玉山帳戶""), REGEXMATCH(C6733, ""薪資"")), ""分潤支出"",
  AND(REGEXMATCH(E6733, ""Ben帳戶|Elsa帳戶|Ben代墊|Ariel代墊|中信銀行共用""), REGEXMATCH(F6733, ""Ben帳戶|Elsa帳戶|Ben代墊|Ariel代墊|中信銀行共用"")), ""內部轉帳(忽略)"",
  AND(E6733&lt;&gt;"""", F6733&lt;&gt;"""", N"&amp;"OT(REGEXMATCH(C6733, ""薪資""))), ""內部轉帳(忽略)"",
  REGEXMATCH(C6733, ""薪資""), ""薪資變動(不計入)"",
  REGEXMATCH(C6733, ""押金""), ""押金往來"",
  AND(E6733&lt;&gt;"""", F6733=""""), ""真實支出"",
  AND(E6733="""", F6733&lt;&gt;""""), ""真實收入"",
  TRUE, ""其他""
)"),"其他")</f>
        <v>其他</v>
      </c>
      <c r="K6733" s="270" t="str">
        <f t="shared" si="2"/>
        <v/>
      </c>
      <c r="L6733">
        <f t="shared" si="3"/>
        <v>0</v>
      </c>
    </row>
    <row r="6734">
      <c r="A6734" s="107"/>
      <c r="D6734" s="270"/>
      <c r="H6734" s="106" t="str">
        <f t="shared" si="1"/>
        <v/>
      </c>
      <c r="J6734" t="str">
        <f>IFERROR(__xludf.DUMMYFUNCTION("IFS(
  AND(REGEXMATCH(E6734, ""台銀籌備帳戶|玉山帳戶""), REGEXMATCH(C6734, ""薪資"")), ""分潤支出"",
  AND(REGEXMATCH(E6734, ""Ben帳戶|Elsa帳戶|Ben代墊|Ariel代墊|中信銀行共用""), REGEXMATCH(F6734, ""Ben帳戶|Elsa帳戶|Ben代墊|Ariel代墊|中信銀行共用"")), ""內部轉帳(忽略)"",
  AND(E6734&lt;&gt;"""", F6734&lt;&gt;"""", N"&amp;"OT(REGEXMATCH(C6734, ""薪資""))), ""內部轉帳(忽略)"",
  REGEXMATCH(C6734, ""薪資""), ""薪資變動(不計入)"",
  REGEXMATCH(C6734, ""押金""), ""押金往來"",
  AND(E6734&lt;&gt;"""", F6734=""""), ""真實支出"",
  AND(E6734="""", F6734&lt;&gt;""""), ""真實收入"",
  TRUE, ""其他""
)"),"其他")</f>
        <v>其他</v>
      </c>
      <c r="K6734" s="270" t="str">
        <f t="shared" si="2"/>
        <v/>
      </c>
      <c r="L6734">
        <f t="shared" si="3"/>
        <v>0</v>
      </c>
    </row>
    <row r="6735">
      <c r="A6735" s="107"/>
      <c r="D6735" s="270"/>
      <c r="H6735" s="106" t="str">
        <f t="shared" si="1"/>
        <v/>
      </c>
      <c r="J6735" t="str">
        <f>IFERROR(__xludf.DUMMYFUNCTION("IFS(
  AND(REGEXMATCH(E6735, ""台銀籌備帳戶|玉山帳戶""), REGEXMATCH(C6735, ""薪資"")), ""分潤支出"",
  AND(REGEXMATCH(E6735, ""Ben帳戶|Elsa帳戶|Ben代墊|Ariel代墊|中信銀行共用""), REGEXMATCH(F6735, ""Ben帳戶|Elsa帳戶|Ben代墊|Ariel代墊|中信銀行共用"")), ""內部轉帳(忽略)"",
  AND(E6735&lt;&gt;"""", F6735&lt;&gt;"""", N"&amp;"OT(REGEXMATCH(C6735, ""薪資""))), ""內部轉帳(忽略)"",
  REGEXMATCH(C6735, ""薪資""), ""薪資變動(不計入)"",
  REGEXMATCH(C6735, ""押金""), ""押金往來"",
  AND(E6735&lt;&gt;"""", F6735=""""), ""真實支出"",
  AND(E6735="""", F6735&lt;&gt;""""), ""真實收入"",
  TRUE, ""其他""
)"),"其他")</f>
        <v>其他</v>
      </c>
      <c r="K6735" s="270" t="str">
        <f t="shared" si="2"/>
        <v/>
      </c>
      <c r="L6735">
        <f t="shared" si="3"/>
        <v>0</v>
      </c>
    </row>
    <row r="6736">
      <c r="A6736" s="107"/>
      <c r="D6736" s="270"/>
      <c r="H6736" s="106" t="str">
        <f t="shared" si="1"/>
        <v/>
      </c>
      <c r="J6736" t="str">
        <f>IFERROR(__xludf.DUMMYFUNCTION("IFS(
  AND(REGEXMATCH(E6736, ""台銀籌備帳戶|玉山帳戶""), REGEXMATCH(C6736, ""薪資"")), ""分潤支出"",
  AND(REGEXMATCH(E6736, ""Ben帳戶|Elsa帳戶|Ben代墊|Ariel代墊|中信銀行共用""), REGEXMATCH(F6736, ""Ben帳戶|Elsa帳戶|Ben代墊|Ariel代墊|中信銀行共用"")), ""內部轉帳(忽略)"",
  AND(E6736&lt;&gt;"""", F6736&lt;&gt;"""", N"&amp;"OT(REGEXMATCH(C6736, ""薪資""))), ""內部轉帳(忽略)"",
  REGEXMATCH(C6736, ""薪資""), ""薪資變動(不計入)"",
  REGEXMATCH(C6736, ""押金""), ""押金往來"",
  AND(E6736&lt;&gt;"""", F6736=""""), ""真實支出"",
  AND(E6736="""", F6736&lt;&gt;""""), ""真實收入"",
  TRUE, ""其他""
)"),"其他")</f>
        <v>其他</v>
      </c>
      <c r="K6736" s="270" t="str">
        <f t="shared" si="2"/>
        <v/>
      </c>
      <c r="L6736">
        <f t="shared" si="3"/>
        <v>0</v>
      </c>
    </row>
    <row r="6737">
      <c r="A6737" s="107"/>
      <c r="D6737" s="270"/>
      <c r="H6737" s="106" t="str">
        <f t="shared" si="1"/>
        <v/>
      </c>
      <c r="J6737" t="str">
        <f>IFERROR(__xludf.DUMMYFUNCTION("IFS(
  AND(REGEXMATCH(E6737, ""台銀籌備帳戶|玉山帳戶""), REGEXMATCH(C6737, ""薪資"")), ""分潤支出"",
  AND(REGEXMATCH(E6737, ""Ben帳戶|Elsa帳戶|Ben代墊|Ariel代墊|中信銀行共用""), REGEXMATCH(F6737, ""Ben帳戶|Elsa帳戶|Ben代墊|Ariel代墊|中信銀行共用"")), ""內部轉帳(忽略)"",
  AND(E6737&lt;&gt;"""", F6737&lt;&gt;"""", N"&amp;"OT(REGEXMATCH(C6737, ""薪資""))), ""內部轉帳(忽略)"",
  REGEXMATCH(C6737, ""薪資""), ""薪資變動(不計入)"",
  REGEXMATCH(C6737, ""押金""), ""押金往來"",
  AND(E6737&lt;&gt;"""", F6737=""""), ""真實支出"",
  AND(E6737="""", F6737&lt;&gt;""""), ""真實收入"",
  TRUE, ""其他""
)"),"其他")</f>
        <v>其他</v>
      </c>
      <c r="K6737" s="270" t="str">
        <f t="shared" si="2"/>
        <v/>
      </c>
      <c r="L6737">
        <f t="shared" si="3"/>
        <v>0</v>
      </c>
    </row>
    <row r="6738">
      <c r="A6738" s="107"/>
      <c r="D6738" s="270"/>
      <c r="H6738" s="106" t="str">
        <f t="shared" si="1"/>
        <v/>
      </c>
      <c r="J6738" t="str">
        <f>IFERROR(__xludf.DUMMYFUNCTION("IFS(
  AND(REGEXMATCH(E6738, ""台銀籌備帳戶|玉山帳戶""), REGEXMATCH(C6738, ""薪資"")), ""分潤支出"",
  AND(REGEXMATCH(E6738, ""Ben帳戶|Elsa帳戶|Ben代墊|Ariel代墊|中信銀行共用""), REGEXMATCH(F6738, ""Ben帳戶|Elsa帳戶|Ben代墊|Ariel代墊|中信銀行共用"")), ""內部轉帳(忽略)"",
  AND(E6738&lt;&gt;"""", F6738&lt;&gt;"""", N"&amp;"OT(REGEXMATCH(C6738, ""薪資""))), ""內部轉帳(忽略)"",
  REGEXMATCH(C6738, ""薪資""), ""薪資變動(不計入)"",
  REGEXMATCH(C6738, ""押金""), ""押金往來"",
  AND(E6738&lt;&gt;"""", F6738=""""), ""真實支出"",
  AND(E6738="""", F6738&lt;&gt;""""), ""真實收入"",
  TRUE, ""其他""
)"),"其他")</f>
        <v>其他</v>
      </c>
      <c r="K6738" s="270" t="str">
        <f t="shared" si="2"/>
        <v/>
      </c>
      <c r="L6738">
        <f t="shared" si="3"/>
        <v>0</v>
      </c>
    </row>
    <row r="6739">
      <c r="A6739" s="107"/>
      <c r="D6739" s="270"/>
      <c r="H6739" s="106" t="str">
        <f t="shared" si="1"/>
        <v/>
      </c>
      <c r="J6739" t="str">
        <f>IFERROR(__xludf.DUMMYFUNCTION("IFS(
  AND(REGEXMATCH(E6739, ""台銀籌備帳戶|玉山帳戶""), REGEXMATCH(C6739, ""薪資"")), ""分潤支出"",
  AND(REGEXMATCH(E6739, ""Ben帳戶|Elsa帳戶|Ben代墊|Ariel代墊|中信銀行共用""), REGEXMATCH(F6739, ""Ben帳戶|Elsa帳戶|Ben代墊|Ariel代墊|中信銀行共用"")), ""內部轉帳(忽略)"",
  AND(E6739&lt;&gt;"""", F6739&lt;&gt;"""", N"&amp;"OT(REGEXMATCH(C6739, ""薪資""))), ""內部轉帳(忽略)"",
  REGEXMATCH(C6739, ""薪資""), ""薪資變動(不計入)"",
  REGEXMATCH(C6739, ""押金""), ""押金往來"",
  AND(E6739&lt;&gt;"""", F6739=""""), ""真實支出"",
  AND(E6739="""", F6739&lt;&gt;""""), ""真實收入"",
  TRUE, ""其他""
)"),"其他")</f>
        <v>其他</v>
      </c>
      <c r="K6739" s="270" t="str">
        <f t="shared" si="2"/>
        <v/>
      </c>
      <c r="L6739">
        <f t="shared" si="3"/>
        <v>0</v>
      </c>
    </row>
    <row r="6740">
      <c r="A6740" s="107"/>
      <c r="D6740" s="270"/>
      <c r="H6740" s="106" t="str">
        <f t="shared" si="1"/>
        <v/>
      </c>
      <c r="J6740" t="str">
        <f>IFERROR(__xludf.DUMMYFUNCTION("IFS(
  AND(REGEXMATCH(E6740, ""台銀籌備帳戶|玉山帳戶""), REGEXMATCH(C6740, ""薪資"")), ""分潤支出"",
  AND(REGEXMATCH(E6740, ""Ben帳戶|Elsa帳戶|Ben代墊|Ariel代墊|中信銀行共用""), REGEXMATCH(F6740, ""Ben帳戶|Elsa帳戶|Ben代墊|Ariel代墊|中信銀行共用"")), ""內部轉帳(忽略)"",
  AND(E6740&lt;&gt;"""", F6740&lt;&gt;"""", N"&amp;"OT(REGEXMATCH(C6740, ""薪資""))), ""內部轉帳(忽略)"",
  REGEXMATCH(C6740, ""薪資""), ""薪資變動(不計入)"",
  REGEXMATCH(C6740, ""押金""), ""押金往來"",
  AND(E6740&lt;&gt;"""", F6740=""""), ""真實支出"",
  AND(E6740="""", F6740&lt;&gt;""""), ""真實收入"",
  TRUE, ""其他""
)"),"其他")</f>
        <v>其他</v>
      </c>
      <c r="K6740" s="270" t="str">
        <f t="shared" si="2"/>
        <v/>
      </c>
      <c r="L6740">
        <f t="shared" si="3"/>
        <v>0</v>
      </c>
    </row>
    <row r="6741">
      <c r="A6741" s="107"/>
      <c r="D6741" s="270"/>
      <c r="H6741" s="106" t="str">
        <f t="shared" si="1"/>
        <v/>
      </c>
      <c r="J6741" t="str">
        <f>IFERROR(__xludf.DUMMYFUNCTION("IFS(
  AND(REGEXMATCH(E6741, ""台銀籌備帳戶|玉山帳戶""), REGEXMATCH(C6741, ""薪資"")), ""分潤支出"",
  AND(REGEXMATCH(E6741, ""Ben帳戶|Elsa帳戶|Ben代墊|Ariel代墊|中信銀行共用""), REGEXMATCH(F6741, ""Ben帳戶|Elsa帳戶|Ben代墊|Ariel代墊|中信銀行共用"")), ""內部轉帳(忽略)"",
  AND(E6741&lt;&gt;"""", F6741&lt;&gt;"""", N"&amp;"OT(REGEXMATCH(C6741, ""薪資""))), ""內部轉帳(忽略)"",
  REGEXMATCH(C6741, ""薪資""), ""薪資變動(不計入)"",
  REGEXMATCH(C6741, ""押金""), ""押金往來"",
  AND(E6741&lt;&gt;"""", F6741=""""), ""真實支出"",
  AND(E6741="""", F6741&lt;&gt;""""), ""真實收入"",
  TRUE, ""其他""
)"),"其他")</f>
        <v>其他</v>
      </c>
      <c r="K6741" s="270" t="str">
        <f t="shared" si="2"/>
        <v/>
      </c>
      <c r="L6741">
        <f t="shared" si="3"/>
        <v>0</v>
      </c>
    </row>
    <row r="6742">
      <c r="A6742" s="107"/>
      <c r="D6742" s="270"/>
      <c r="H6742" s="106" t="str">
        <f t="shared" si="1"/>
        <v/>
      </c>
      <c r="J6742" t="str">
        <f>IFERROR(__xludf.DUMMYFUNCTION("IFS(
  AND(REGEXMATCH(E6742, ""台銀籌備帳戶|玉山帳戶""), REGEXMATCH(C6742, ""薪資"")), ""分潤支出"",
  AND(REGEXMATCH(E6742, ""Ben帳戶|Elsa帳戶|Ben代墊|Ariel代墊|中信銀行共用""), REGEXMATCH(F6742, ""Ben帳戶|Elsa帳戶|Ben代墊|Ariel代墊|中信銀行共用"")), ""內部轉帳(忽略)"",
  AND(E6742&lt;&gt;"""", F6742&lt;&gt;"""", N"&amp;"OT(REGEXMATCH(C6742, ""薪資""))), ""內部轉帳(忽略)"",
  REGEXMATCH(C6742, ""薪資""), ""薪資變動(不計入)"",
  REGEXMATCH(C6742, ""押金""), ""押金往來"",
  AND(E6742&lt;&gt;"""", F6742=""""), ""真實支出"",
  AND(E6742="""", F6742&lt;&gt;""""), ""真實收入"",
  TRUE, ""其他""
)"),"其他")</f>
        <v>其他</v>
      </c>
      <c r="K6742" s="270" t="str">
        <f t="shared" si="2"/>
        <v/>
      </c>
      <c r="L6742">
        <f t="shared" si="3"/>
        <v>0</v>
      </c>
    </row>
    <row r="6743">
      <c r="A6743" s="107"/>
      <c r="D6743" s="270"/>
      <c r="H6743" s="106" t="str">
        <f t="shared" si="1"/>
        <v/>
      </c>
      <c r="J6743" t="str">
        <f>IFERROR(__xludf.DUMMYFUNCTION("IFS(
  AND(REGEXMATCH(E6743, ""台銀籌備帳戶|玉山帳戶""), REGEXMATCH(C6743, ""薪資"")), ""分潤支出"",
  AND(REGEXMATCH(E6743, ""Ben帳戶|Elsa帳戶|Ben代墊|Ariel代墊|中信銀行共用""), REGEXMATCH(F6743, ""Ben帳戶|Elsa帳戶|Ben代墊|Ariel代墊|中信銀行共用"")), ""內部轉帳(忽略)"",
  AND(E6743&lt;&gt;"""", F6743&lt;&gt;"""", N"&amp;"OT(REGEXMATCH(C6743, ""薪資""))), ""內部轉帳(忽略)"",
  REGEXMATCH(C6743, ""薪資""), ""薪資變動(不計入)"",
  REGEXMATCH(C6743, ""押金""), ""押金往來"",
  AND(E6743&lt;&gt;"""", F6743=""""), ""真實支出"",
  AND(E6743="""", F6743&lt;&gt;""""), ""真實收入"",
  TRUE, ""其他""
)"),"其他")</f>
        <v>其他</v>
      </c>
      <c r="K6743" s="270" t="str">
        <f t="shared" si="2"/>
        <v/>
      </c>
      <c r="L6743">
        <f t="shared" si="3"/>
        <v>0</v>
      </c>
    </row>
    <row r="6744">
      <c r="A6744" s="107"/>
      <c r="D6744" s="270"/>
      <c r="H6744" s="106" t="str">
        <f t="shared" si="1"/>
        <v/>
      </c>
      <c r="J6744" t="str">
        <f>IFERROR(__xludf.DUMMYFUNCTION("IFS(
  AND(REGEXMATCH(E6744, ""台銀籌備帳戶|玉山帳戶""), REGEXMATCH(C6744, ""薪資"")), ""分潤支出"",
  AND(REGEXMATCH(E6744, ""Ben帳戶|Elsa帳戶|Ben代墊|Ariel代墊|中信銀行共用""), REGEXMATCH(F6744, ""Ben帳戶|Elsa帳戶|Ben代墊|Ariel代墊|中信銀行共用"")), ""內部轉帳(忽略)"",
  AND(E6744&lt;&gt;"""", F6744&lt;&gt;"""", N"&amp;"OT(REGEXMATCH(C6744, ""薪資""))), ""內部轉帳(忽略)"",
  REGEXMATCH(C6744, ""薪資""), ""薪資變動(不計入)"",
  REGEXMATCH(C6744, ""押金""), ""押金往來"",
  AND(E6744&lt;&gt;"""", F6744=""""), ""真實支出"",
  AND(E6744="""", F6744&lt;&gt;""""), ""真實收入"",
  TRUE, ""其他""
)"),"其他")</f>
        <v>其他</v>
      </c>
      <c r="K6744" s="270" t="str">
        <f t="shared" si="2"/>
        <v/>
      </c>
      <c r="L6744">
        <f t="shared" si="3"/>
        <v>0</v>
      </c>
    </row>
    <row r="6745">
      <c r="A6745" s="107"/>
      <c r="D6745" s="270"/>
      <c r="H6745" s="106" t="str">
        <f t="shared" si="1"/>
        <v/>
      </c>
      <c r="J6745" t="str">
        <f>IFERROR(__xludf.DUMMYFUNCTION("IFS(
  AND(REGEXMATCH(E6745, ""台銀籌備帳戶|玉山帳戶""), REGEXMATCH(C6745, ""薪資"")), ""分潤支出"",
  AND(REGEXMATCH(E6745, ""Ben帳戶|Elsa帳戶|Ben代墊|Ariel代墊|中信銀行共用""), REGEXMATCH(F6745, ""Ben帳戶|Elsa帳戶|Ben代墊|Ariel代墊|中信銀行共用"")), ""內部轉帳(忽略)"",
  AND(E6745&lt;&gt;"""", F6745&lt;&gt;"""", N"&amp;"OT(REGEXMATCH(C6745, ""薪資""))), ""內部轉帳(忽略)"",
  REGEXMATCH(C6745, ""薪資""), ""薪資變動(不計入)"",
  REGEXMATCH(C6745, ""押金""), ""押金往來"",
  AND(E6745&lt;&gt;"""", F6745=""""), ""真實支出"",
  AND(E6745="""", F6745&lt;&gt;""""), ""真實收入"",
  TRUE, ""其他""
)"),"其他")</f>
        <v>其他</v>
      </c>
      <c r="K6745" s="270" t="str">
        <f t="shared" si="2"/>
        <v/>
      </c>
      <c r="L6745">
        <f t="shared" si="3"/>
        <v>0</v>
      </c>
    </row>
    <row r="6746">
      <c r="A6746" s="107"/>
      <c r="D6746" s="270"/>
      <c r="H6746" s="106" t="str">
        <f t="shared" si="1"/>
        <v/>
      </c>
      <c r="J6746" t="str">
        <f>IFERROR(__xludf.DUMMYFUNCTION("IFS(
  AND(REGEXMATCH(E6746, ""台銀籌備帳戶|玉山帳戶""), REGEXMATCH(C6746, ""薪資"")), ""分潤支出"",
  AND(REGEXMATCH(E6746, ""Ben帳戶|Elsa帳戶|Ben代墊|Ariel代墊|中信銀行共用""), REGEXMATCH(F6746, ""Ben帳戶|Elsa帳戶|Ben代墊|Ariel代墊|中信銀行共用"")), ""內部轉帳(忽略)"",
  AND(E6746&lt;&gt;"""", F6746&lt;&gt;"""", N"&amp;"OT(REGEXMATCH(C6746, ""薪資""))), ""內部轉帳(忽略)"",
  REGEXMATCH(C6746, ""薪資""), ""薪資變動(不計入)"",
  REGEXMATCH(C6746, ""押金""), ""押金往來"",
  AND(E6746&lt;&gt;"""", F6746=""""), ""真實支出"",
  AND(E6746="""", F6746&lt;&gt;""""), ""真實收入"",
  TRUE, ""其他""
)"),"其他")</f>
        <v>其他</v>
      </c>
      <c r="K6746" s="270" t="str">
        <f t="shared" si="2"/>
        <v/>
      </c>
      <c r="L6746">
        <f t="shared" si="3"/>
        <v>0</v>
      </c>
    </row>
    <row r="6747">
      <c r="A6747" s="107"/>
      <c r="D6747" s="270"/>
      <c r="H6747" s="106" t="str">
        <f t="shared" si="1"/>
        <v/>
      </c>
      <c r="J6747" t="str">
        <f>IFERROR(__xludf.DUMMYFUNCTION("IFS(
  AND(REGEXMATCH(E6747, ""台銀籌備帳戶|玉山帳戶""), REGEXMATCH(C6747, ""薪資"")), ""分潤支出"",
  AND(REGEXMATCH(E6747, ""Ben帳戶|Elsa帳戶|Ben代墊|Ariel代墊|中信銀行共用""), REGEXMATCH(F6747, ""Ben帳戶|Elsa帳戶|Ben代墊|Ariel代墊|中信銀行共用"")), ""內部轉帳(忽略)"",
  AND(E6747&lt;&gt;"""", F6747&lt;&gt;"""", N"&amp;"OT(REGEXMATCH(C6747, ""薪資""))), ""內部轉帳(忽略)"",
  REGEXMATCH(C6747, ""薪資""), ""薪資變動(不計入)"",
  REGEXMATCH(C6747, ""押金""), ""押金往來"",
  AND(E6747&lt;&gt;"""", F6747=""""), ""真實支出"",
  AND(E6747="""", F6747&lt;&gt;""""), ""真實收入"",
  TRUE, ""其他""
)"),"其他")</f>
        <v>其他</v>
      </c>
      <c r="K6747" s="270" t="str">
        <f t="shared" si="2"/>
        <v/>
      </c>
      <c r="L6747">
        <f t="shared" si="3"/>
        <v>0</v>
      </c>
    </row>
    <row r="6748">
      <c r="A6748" s="107"/>
      <c r="D6748" s="270"/>
      <c r="H6748" s="106" t="str">
        <f t="shared" si="1"/>
        <v/>
      </c>
      <c r="J6748" t="str">
        <f>IFERROR(__xludf.DUMMYFUNCTION("IFS(
  AND(REGEXMATCH(E6748, ""台銀籌備帳戶|玉山帳戶""), REGEXMATCH(C6748, ""薪資"")), ""分潤支出"",
  AND(REGEXMATCH(E6748, ""Ben帳戶|Elsa帳戶|Ben代墊|Ariel代墊|中信銀行共用""), REGEXMATCH(F6748, ""Ben帳戶|Elsa帳戶|Ben代墊|Ariel代墊|中信銀行共用"")), ""內部轉帳(忽略)"",
  AND(E6748&lt;&gt;"""", F6748&lt;&gt;"""", N"&amp;"OT(REGEXMATCH(C6748, ""薪資""))), ""內部轉帳(忽略)"",
  REGEXMATCH(C6748, ""薪資""), ""薪資變動(不計入)"",
  REGEXMATCH(C6748, ""押金""), ""押金往來"",
  AND(E6748&lt;&gt;"""", F6748=""""), ""真實支出"",
  AND(E6748="""", F6748&lt;&gt;""""), ""真實收入"",
  TRUE, ""其他""
)"),"其他")</f>
        <v>其他</v>
      </c>
      <c r="K6748" s="270" t="str">
        <f t="shared" si="2"/>
        <v/>
      </c>
      <c r="L6748">
        <f t="shared" si="3"/>
        <v>0</v>
      </c>
    </row>
    <row r="6749">
      <c r="A6749" s="107"/>
      <c r="D6749" s="270"/>
      <c r="H6749" s="106" t="str">
        <f t="shared" si="1"/>
        <v/>
      </c>
      <c r="J6749" t="str">
        <f>IFERROR(__xludf.DUMMYFUNCTION("IFS(
  AND(REGEXMATCH(E6749, ""台銀籌備帳戶|玉山帳戶""), REGEXMATCH(C6749, ""薪資"")), ""分潤支出"",
  AND(REGEXMATCH(E6749, ""Ben帳戶|Elsa帳戶|Ben代墊|Ariel代墊|中信銀行共用""), REGEXMATCH(F6749, ""Ben帳戶|Elsa帳戶|Ben代墊|Ariel代墊|中信銀行共用"")), ""內部轉帳(忽略)"",
  AND(E6749&lt;&gt;"""", F6749&lt;&gt;"""", N"&amp;"OT(REGEXMATCH(C6749, ""薪資""))), ""內部轉帳(忽略)"",
  REGEXMATCH(C6749, ""薪資""), ""薪資變動(不計入)"",
  REGEXMATCH(C6749, ""押金""), ""押金往來"",
  AND(E6749&lt;&gt;"""", F6749=""""), ""真實支出"",
  AND(E6749="""", F6749&lt;&gt;""""), ""真實收入"",
  TRUE, ""其他""
)"),"其他")</f>
        <v>其他</v>
      </c>
      <c r="K6749" s="270" t="str">
        <f t="shared" si="2"/>
        <v/>
      </c>
      <c r="L6749">
        <f t="shared" si="3"/>
        <v>0</v>
      </c>
    </row>
    <row r="6750">
      <c r="A6750" s="107"/>
      <c r="D6750" s="270"/>
      <c r="H6750" s="106" t="str">
        <f t="shared" si="1"/>
        <v/>
      </c>
      <c r="J6750" t="str">
        <f>IFERROR(__xludf.DUMMYFUNCTION("IFS(
  AND(REGEXMATCH(E6750, ""台銀籌備帳戶|玉山帳戶""), REGEXMATCH(C6750, ""薪資"")), ""分潤支出"",
  AND(REGEXMATCH(E6750, ""Ben帳戶|Elsa帳戶|Ben代墊|Ariel代墊|中信銀行共用""), REGEXMATCH(F6750, ""Ben帳戶|Elsa帳戶|Ben代墊|Ariel代墊|中信銀行共用"")), ""內部轉帳(忽略)"",
  AND(E6750&lt;&gt;"""", F6750&lt;&gt;"""", N"&amp;"OT(REGEXMATCH(C6750, ""薪資""))), ""內部轉帳(忽略)"",
  REGEXMATCH(C6750, ""薪資""), ""薪資變動(不計入)"",
  REGEXMATCH(C6750, ""押金""), ""押金往來"",
  AND(E6750&lt;&gt;"""", F6750=""""), ""真實支出"",
  AND(E6750="""", F6750&lt;&gt;""""), ""真實收入"",
  TRUE, ""其他""
)"),"其他")</f>
        <v>其他</v>
      </c>
      <c r="K6750" s="270" t="str">
        <f t="shared" si="2"/>
        <v/>
      </c>
      <c r="L6750">
        <f t="shared" si="3"/>
        <v>0</v>
      </c>
    </row>
    <row r="6751">
      <c r="A6751" s="107"/>
      <c r="D6751" s="270"/>
      <c r="H6751" s="106" t="str">
        <f t="shared" si="1"/>
        <v/>
      </c>
      <c r="J6751" t="str">
        <f>IFERROR(__xludf.DUMMYFUNCTION("IFS(
  AND(REGEXMATCH(E6751, ""台銀籌備帳戶|玉山帳戶""), REGEXMATCH(C6751, ""薪資"")), ""分潤支出"",
  AND(REGEXMATCH(E6751, ""Ben帳戶|Elsa帳戶|Ben代墊|Ariel代墊|中信銀行共用""), REGEXMATCH(F6751, ""Ben帳戶|Elsa帳戶|Ben代墊|Ariel代墊|中信銀行共用"")), ""內部轉帳(忽略)"",
  AND(E6751&lt;&gt;"""", F6751&lt;&gt;"""", N"&amp;"OT(REGEXMATCH(C6751, ""薪資""))), ""內部轉帳(忽略)"",
  REGEXMATCH(C6751, ""薪資""), ""薪資變動(不計入)"",
  REGEXMATCH(C6751, ""押金""), ""押金往來"",
  AND(E6751&lt;&gt;"""", F6751=""""), ""真實支出"",
  AND(E6751="""", F6751&lt;&gt;""""), ""真實收入"",
  TRUE, ""其他""
)"),"其他")</f>
        <v>其他</v>
      </c>
      <c r="K6751" s="270" t="str">
        <f t="shared" si="2"/>
        <v/>
      </c>
      <c r="L6751">
        <f t="shared" si="3"/>
        <v>0</v>
      </c>
    </row>
    <row r="6752">
      <c r="A6752" s="107"/>
      <c r="D6752" s="270"/>
      <c r="H6752" s="106" t="str">
        <f t="shared" si="1"/>
        <v/>
      </c>
      <c r="J6752" t="str">
        <f>IFERROR(__xludf.DUMMYFUNCTION("IFS(
  AND(REGEXMATCH(E6752, ""台銀籌備帳戶|玉山帳戶""), REGEXMATCH(C6752, ""薪資"")), ""分潤支出"",
  AND(REGEXMATCH(E6752, ""Ben帳戶|Elsa帳戶|Ben代墊|Ariel代墊|中信銀行共用""), REGEXMATCH(F6752, ""Ben帳戶|Elsa帳戶|Ben代墊|Ariel代墊|中信銀行共用"")), ""內部轉帳(忽略)"",
  AND(E6752&lt;&gt;"""", F6752&lt;&gt;"""", N"&amp;"OT(REGEXMATCH(C6752, ""薪資""))), ""內部轉帳(忽略)"",
  REGEXMATCH(C6752, ""薪資""), ""薪資變動(不計入)"",
  REGEXMATCH(C6752, ""押金""), ""押金往來"",
  AND(E6752&lt;&gt;"""", F6752=""""), ""真實支出"",
  AND(E6752="""", F6752&lt;&gt;""""), ""真實收入"",
  TRUE, ""其他""
)"),"其他")</f>
        <v>其他</v>
      </c>
      <c r="K6752" s="270" t="str">
        <f t="shared" si="2"/>
        <v/>
      </c>
      <c r="L6752">
        <f t="shared" si="3"/>
        <v>0</v>
      </c>
    </row>
    <row r="6753">
      <c r="A6753" s="107"/>
      <c r="D6753" s="270"/>
      <c r="H6753" s="106" t="str">
        <f t="shared" si="1"/>
        <v/>
      </c>
      <c r="J6753" t="str">
        <f>IFERROR(__xludf.DUMMYFUNCTION("IFS(
  AND(REGEXMATCH(E6753, ""台銀籌備帳戶|玉山帳戶""), REGEXMATCH(C6753, ""薪資"")), ""分潤支出"",
  AND(REGEXMATCH(E6753, ""Ben帳戶|Elsa帳戶|Ben代墊|Ariel代墊|中信銀行共用""), REGEXMATCH(F6753, ""Ben帳戶|Elsa帳戶|Ben代墊|Ariel代墊|中信銀行共用"")), ""內部轉帳(忽略)"",
  AND(E6753&lt;&gt;"""", F6753&lt;&gt;"""", N"&amp;"OT(REGEXMATCH(C6753, ""薪資""))), ""內部轉帳(忽略)"",
  REGEXMATCH(C6753, ""薪資""), ""薪資變動(不計入)"",
  REGEXMATCH(C6753, ""押金""), ""押金往來"",
  AND(E6753&lt;&gt;"""", F6753=""""), ""真實支出"",
  AND(E6753="""", F6753&lt;&gt;""""), ""真實收入"",
  TRUE, ""其他""
)"),"其他")</f>
        <v>其他</v>
      </c>
      <c r="K6753" s="270" t="str">
        <f t="shared" si="2"/>
        <v/>
      </c>
      <c r="L6753">
        <f t="shared" si="3"/>
        <v>0</v>
      </c>
    </row>
    <row r="6754">
      <c r="A6754" s="107"/>
      <c r="D6754" s="270"/>
      <c r="H6754" s="106" t="str">
        <f t="shared" si="1"/>
        <v/>
      </c>
      <c r="J6754" t="str">
        <f>IFERROR(__xludf.DUMMYFUNCTION("IFS(
  AND(REGEXMATCH(E6754, ""台銀籌備帳戶|玉山帳戶""), REGEXMATCH(C6754, ""薪資"")), ""分潤支出"",
  AND(REGEXMATCH(E6754, ""Ben帳戶|Elsa帳戶|Ben代墊|Ariel代墊|中信銀行共用""), REGEXMATCH(F6754, ""Ben帳戶|Elsa帳戶|Ben代墊|Ariel代墊|中信銀行共用"")), ""內部轉帳(忽略)"",
  AND(E6754&lt;&gt;"""", F6754&lt;&gt;"""", N"&amp;"OT(REGEXMATCH(C6754, ""薪資""))), ""內部轉帳(忽略)"",
  REGEXMATCH(C6754, ""薪資""), ""薪資變動(不計入)"",
  REGEXMATCH(C6754, ""押金""), ""押金往來"",
  AND(E6754&lt;&gt;"""", F6754=""""), ""真實支出"",
  AND(E6754="""", F6754&lt;&gt;""""), ""真實收入"",
  TRUE, ""其他""
)"),"其他")</f>
        <v>其他</v>
      </c>
      <c r="K6754" s="270" t="str">
        <f t="shared" si="2"/>
        <v/>
      </c>
      <c r="L6754">
        <f t="shared" si="3"/>
        <v>0</v>
      </c>
    </row>
    <row r="6755">
      <c r="A6755" s="107"/>
      <c r="D6755" s="270"/>
      <c r="H6755" s="106" t="str">
        <f t="shared" si="1"/>
        <v/>
      </c>
      <c r="J6755" t="str">
        <f>IFERROR(__xludf.DUMMYFUNCTION("IFS(
  AND(REGEXMATCH(E6755, ""台銀籌備帳戶|玉山帳戶""), REGEXMATCH(C6755, ""薪資"")), ""分潤支出"",
  AND(REGEXMATCH(E6755, ""Ben帳戶|Elsa帳戶|Ben代墊|Ariel代墊|中信銀行共用""), REGEXMATCH(F6755, ""Ben帳戶|Elsa帳戶|Ben代墊|Ariel代墊|中信銀行共用"")), ""內部轉帳(忽略)"",
  AND(E6755&lt;&gt;"""", F6755&lt;&gt;"""", N"&amp;"OT(REGEXMATCH(C6755, ""薪資""))), ""內部轉帳(忽略)"",
  REGEXMATCH(C6755, ""薪資""), ""薪資變動(不計入)"",
  REGEXMATCH(C6755, ""押金""), ""押金往來"",
  AND(E6755&lt;&gt;"""", F6755=""""), ""真實支出"",
  AND(E6755="""", F6755&lt;&gt;""""), ""真實收入"",
  TRUE, ""其他""
)"),"其他")</f>
        <v>其他</v>
      </c>
      <c r="K6755" s="270" t="str">
        <f t="shared" si="2"/>
        <v/>
      </c>
      <c r="L6755">
        <f t="shared" si="3"/>
        <v>0</v>
      </c>
    </row>
    <row r="6756">
      <c r="A6756" s="107"/>
      <c r="D6756" s="270"/>
      <c r="H6756" s="106" t="str">
        <f t="shared" si="1"/>
        <v/>
      </c>
      <c r="J6756" t="str">
        <f>IFERROR(__xludf.DUMMYFUNCTION("IFS(
  AND(REGEXMATCH(E6756, ""台銀籌備帳戶|玉山帳戶""), REGEXMATCH(C6756, ""薪資"")), ""分潤支出"",
  AND(REGEXMATCH(E6756, ""Ben帳戶|Elsa帳戶|Ben代墊|Ariel代墊|中信銀行共用""), REGEXMATCH(F6756, ""Ben帳戶|Elsa帳戶|Ben代墊|Ariel代墊|中信銀行共用"")), ""內部轉帳(忽略)"",
  AND(E6756&lt;&gt;"""", F6756&lt;&gt;"""", N"&amp;"OT(REGEXMATCH(C6756, ""薪資""))), ""內部轉帳(忽略)"",
  REGEXMATCH(C6756, ""薪資""), ""薪資變動(不計入)"",
  REGEXMATCH(C6756, ""押金""), ""押金往來"",
  AND(E6756&lt;&gt;"""", F6756=""""), ""真實支出"",
  AND(E6756="""", F6756&lt;&gt;""""), ""真實收入"",
  TRUE, ""其他""
)"),"其他")</f>
        <v>其他</v>
      </c>
      <c r="K6756" s="270" t="str">
        <f t="shared" si="2"/>
        <v/>
      </c>
      <c r="L6756">
        <f t="shared" si="3"/>
        <v>0</v>
      </c>
    </row>
    <row r="6757">
      <c r="A6757" s="107"/>
      <c r="D6757" s="270"/>
      <c r="H6757" s="106" t="str">
        <f t="shared" si="1"/>
        <v/>
      </c>
      <c r="J6757" t="str">
        <f>IFERROR(__xludf.DUMMYFUNCTION("IFS(
  AND(REGEXMATCH(E6757, ""台銀籌備帳戶|玉山帳戶""), REGEXMATCH(C6757, ""薪資"")), ""分潤支出"",
  AND(REGEXMATCH(E6757, ""Ben帳戶|Elsa帳戶|Ben代墊|Ariel代墊|中信銀行共用""), REGEXMATCH(F6757, ""Ben帳戶|Elsa帳戶|Ben代墊|Ariel代墊|中信銀行共用"")), ""內部轉帳(忽略)"",
  AND(E6757&lt;&gt;"""", F6757&lt;&gt;"""", N"&amp;"OT(REGEXMATCH(C6757, ""薪資""))), ""內部轉帳(忽略)"",
  REGEXMATCH(C6757, ""薪資""), ""薪資變動(不計入)"",
  REGEXMATCH(C6757, ""押金""), ""押金往來"",
  AND(E6757&lt;&gt;"""", F6757=""""), ""真實支出"",
  AND(E6757="""", F6757&lt;&gt;""""), ""真實收入"",
  TRUE, ""其他""
)"),"其他")</f>
        <v>其他</v>
      </c>
      <c r="K6757" s="270" t="str">
        <f t="shared" si="2"/>
        <v/>
      </c>
      <c r="L6757">
        <f t="shared" si="3"/>
        <v>0</v>
      </c>
    </row>
    <row r="6758">
      <c r="A6758" s="107"/>
      <c r="D6758" s="270"/>
      <c r="H6758" s="106" t="str">
        <f t="shared" si="1"/>
        <v/>
      </c>
      <c r="J6758" t="str">
        <f>IFERROR(__xludf.DUMMYFUNCTION("IFS(
  AND(REGEXMATCH(E6758, ""台銀籌備帳戶|玉山帳戶""), REGEXMATCH(C6758, ""薪資"")), ""分潤支出"",
  AND(REGEXMATCH(E6758, ""Ben帳戶|Elsa帳戶|Ben代墊|Ariel代墊|中信銀行共用""), REGEXMATCH(F6758, ""Ben帳戶|Elsa帳戶|Ben代墊|Ariel代墊|中信銀行共用"")), ""內部轉帳(忽略)"",
  AND(E6758&lt;&gt;"""", F6758&lt;&gt;"""", N"&amp;"OT(REGEXMATCH(C6758, ""薪資""))), ""內部轉帳(忽略)"",
  REGEXMATCH(C6758, ""薪資""), ""薪資變動(不計入)"",
  REGEXMATCH(C6758, ""押金""), ""押金往來"",
  AND(E6758&lt;&gt;"""", F6758=""""), ""真實支出"",
  AND(E6758="""", F6758&lt;&gt;""""), ""真實收入"",
  TRUE, ""其他""
)"),"其他")</f>
        <v>其他</v>
      </c>
      <c r="K6758" s="270" t="str">
        <f t="shared" si="2"/>
        <v/>
      </c>
      <c r="L6758">
        <f t="shared" si="3"/>
        <v>0</v>
      </c>
    </row>
    <row r="6759">
      <c r="A6759" s="107"/>
      <c r="D6759" s="270"/>
      <c r="H6759" s="106" t="str">
        <f t="shared" si="1"/>
        <v/>
      </c>
      <c r="J6759" t="str">
        <f>IFERROR(__xludf.DUMMYFUNCTION("IFS(
  AND(REGEXMATCH(E6759, ""台銀籌備帳戶|玉山帳戶""), REGEXMATCH(C6759, ""薪資"")), ""分潤支出"",
  AND(REGEXMATCH(E6759, ""Ben帳戶|Elsa帳戶|Ben代墊|Ariel代墊|中信銀行共用""), REGEXMATCH(F6759, ""Ben帳戶|Elsa帳戶|Ben代墊|Ariel代墊|中信銀行共用"")), ""內部轉帳(忽略)"",
  AND(E6759&lt;&gt;"""", F6759&lt;&gt;"""", N"&amp;"OT(REGEXMATCH(C6759, ""薪資""))), ""內部轉帳(忽略)"",
  REGEXMATCH(C6759, ""薪資""), ""薪資變動(不計入)"",
  REGEXMATCH(C6759, ""押金""), ""押金往來"",
  AND(E6759&lt;&gt;"""", F6759=""""), ""真實支出"",
  AND(E6759="""", F6759&lt;&gt;""""), ""真實收入"",
  TRUE, ""其他""
)"),"其他")</f>
        <v>其他</v>
      </c>
      <c r="K6759" s="270" t="str">
        <f t="shared" si="2"/>
        <v/>
      </c>
      <c r="L6759">
        <f t="shared" si="3"/>
        <v>0</v>
      </c>
    </row>
    <row r="6760">
      <c r="A6760" s="107"/>
      <c r="D6760" s="270"/>
      <c r="H6760" s="106" t="str">
        <f t="shared" si="1"/>
        <v/>
      </c>
      <c r="J6760" t="str">
        <f>IFERROR(__xludf.DUMMYFUNCTION("IFS(
  AND(REGEXMATCH(E6760, ""台銀籌備帳戶|玉山帳戶""), REGEXMATCH(C6760, ""薪資"")), ""分潤支出"",
  AND(REGEXMATCH(E6760, ""Ben帳戶|Elsa帳戶|Ben代墊|Ariel代墊|中信銀行共用""), REGEXMATCH(F6760, ""Ben帳戶|Elsa帳戶|Ben代墊|Ariel代墊|中信銀行共用"")), ""內部轉帳(忽略)"",
  AND(E6760&lt;&gt;"""", F6760&lt;&gt;"""", N"&amp;"OT(REGEXMATCH(C6760, ""薪資""))), ""內部轉帳(忽略)"",
  REGEXMATCH(C6760, ""薪資""), ""薪資變動(不計入)"",
  REGEXMATCH(C6760, ""押金""), ""押金往來"",
  AND(E6760&lt;&gt;"""", F6760=""""), ""真實支出"",
  AND(E6760="""", F6760&lt;&gt;""""), ""真實收入"",
  TRUE, ""其他""
)"),"其他")</f>
        <v>其他</v>
      </c>
      <c r="K6760" s="270" t="str">
        <f t="shared" si="2"/>
        <v/>
      </c>
      <c r="L6760">
        <f t="shared" si="3"/>
        <v>0</v>
      </c>
    </row>
    <row r="6761">
      <c r="A6761" s="107"/>
      <c r="D6761" s="270"/>
      <c r="H6761" s="106" t="str">
        <f t="shared" si="1"/>
        <v/>
      </c>
      <c r="J6761" t="str">
        <f>IFERROR(__xludf.DUMMYFUNCTION("IFS(
  AND(REGEXMATCH(E6761, ""台銀籌備帳戶|玉山帳戶""), REGEXMATCH(C6761, ""薪資"")), ""分潤支出"",
  AND(REGEXMATCH(E6761, ""Ben帳戶|Elsa帳戶|Ben代墊|Ariel代墊|中信銀行共用""), REGEXMATCH(F6761, ""Ben帳戶|Elsa帳戶|Ben代墊|Ariel代墊|中信銀行共用"")), ""內部轉帳(忽略)"",
  AND(E6761&lt;&gt;"""", F6761&lt;&gt;"""", N"&amp;"OT(REGEXMATCH(C6761, ""薪資""))), ""內部轉帳(忽略)"",
  REGEXMATCH(C6761, ""薪資""), ""薪資變動(不計入)"",
  REGEXMATCH(C6761, ""押金""), ""押金往來"",
  AND(E6761&lt;&gt;"""", F6761=""""), ""真實支出"",
  AND(E6761="""", F6761&lt;&gt;""""), ""真實收入"",
  TRUE, ""其他""
)"),"其他")</f>
        <v>其他</v>
      </c>
      <c r="K6761" s="270" t="str">
        <f t="shared" si="2"/>
        <v/>
      </c>
      <c r="L6761">
        <f t="shared" si="3"/>
        <v>0</v>
      </c>
    </row>
    <row r="6762">
      <c r="A6762" s="107"/>
      <c r="D6762" s="270"/>
      <c r="H6762" s="106" t="str">
        <f t="shared" si="1"/>
        <v/>
      </c>
      <c r="J6762" t="str">
        <f>IFERROR(__xludf.DUMMYFUNCTION("IFS(
  AND(REGEXMATCH(E6762, ""台銀籌備帳戶|玉山帳戶""), REGEXMATCH(C6762, ""薪資"")), ""分潤支出"",
  AND(REGEXMATCH(E6762, ""Ben帳戶|Elsa帳戶|Ben代墊|Ariel代墊|中信銀行共用""), REGEXMATCH(F6762, ""Ben帳戶|Elsa帳戶|Ben代墊|Ariel代墊|中信銀行共用"")), ""內部轉帳(忽略)"",
  AND(E6762&lt;&gt;"""", F6762&lt;&gt;"""", N"&amp;"OT(REGEXMATCH(C6762, ""薪資""))), ""內部轉帳(忽略)"",
  REGEXMATCH(C6762, ""薪資""), ""薪資變動(不計入)"",
  REGEXMATCH(C6762, ""押金""), ""押金往來"",
  AND(E6762&lt;&gt;"""", F6762=""""), ""真實支出"",
  AND(E6762="""", F6762&lt;&gt;""""), ""真實收入"",
  TRUE, ""其他""
)"),"其他")</f>
        <v>其他</v>
      </c>
      <c r="K6762" s="270" t="str">
        <f t="shared" si="2"/>
        <v/>
      </c>
      <c r="L6762">
        <f t="shared" si="3"/>
        <v>0</v>
      </c>
    </row>
    <row r="6763">
      <c r="A6763" s="107"/>
      <c r="D6763" s="270"/>
      <c r="H6763" s="106" t="str">
        <f t="shared" si="1"/>
        <v/>
      </c>
      <c r="J6763" t="str">
        <f>IFERROR(__xludf.DUMMYFUNCTION("IFS(
  AND(REGEXMATCH(E6763, ""台銀籌備帳戶|玉山帳戶""), REGEXMATCH(C6763, ""薪資"")), ""分潤支出"",
  AND(REGEXMATCH(E6763, ""Ben帳戶|Elsa帳戶|Ben代墊|Ariel代墊|中信銀行共用""), REGEXMATCH(F6763, ""Ben帳戶|Elsa帳戶|Ben代墊|Ariel代墊|中信銀行共用"")), ""內部轉帳(忽略)"",
  AND(E6763&lt;&gt;"""", F6763&lt;&gt;"""", N"&amp;"OT(REGEXMATCH(C6763, ""薪資""))), ""內部轉帳(忽略)"",
  REGEXMATCH(C6763, ""薪資""), ""薪資變動(不計入)"",
  REGEXMATCH(C6763, ""押金""), ""押金往來"",
  AND(E6763&lt;&gt;"""", F6763=""""), ""真實支出"",
  AND(E6763="""", F6763&lt;&gt;""""), ""真實收入"",
  TRUE, ""其他""
)"),"其他")</f>
        <v>其他</v>
      </c>
      <c r="K6763" s="270" t="str">
        <f t="shared" si="2"/>
        <v/>
      </c>
      <c r="L6763">
        <f t="shared" si="3"/>
        <v>0</v>
      </c>
    </row>
    <row r="6764">
      <c r="A6764" s="107"/>
      <c r="D6764" s="270"/>
      <c r="H6764" s="106" t="str">
        <f t="shared" si="1"/>
        <v/>
      </c>
      <c r="J6764" t="str">
        <f>IFERROR(__xludf.DUMMYFUNCTION("IFS(
  AND(REGEXMATCH(E6764, ""台銀籌備帳戶|玉山帳戶""), REGEXMATCH(C6764, ""薪資"")), ""分潤支出"",
  AND(REGEXMATCH(E6764, ""Ben帳戶|Elsa帳戶|Ben代墊|Ariel代墊|中信銀行共用""), REGEXMATCH(F6764, ""Ben帳戶|Elsa帳戶|Ben代墊|Ariel代墊|中信銀行共用"")), ""內部轉帳(忽略)"",
  AND(E6764&lt;&gt;"""", F6764&lt;&gt;"""", N"&amp;"OT(REGEXMATCH(C6764, ""薪資""))), ""內部轉帳(忽略)"",
  REGEXMATCH(C6764, ""薪資""), ""薪資變動(不計入)"",
  REGEXMATCH(C6764, ""押金""), ""押金往來"",
  AND(E6764&lt;&gt;"""", F6764=""""), ""真實支出"",
  AND(E6764="""", F6764&lt;&gt;""""), ""真實收入"",
  TRUE, ""其他""
)"),"其他")</f>
        <v>其他</v>
      </c>
      <c r="K6764" s="270" t="str">
        <f t="shared" si="2"/>
        <v/>
      </c>
      <c r="L6764">
        <f t="shared" si="3"/>
        <v>0</v>
      </c>
    </row>
    <row r="6765">
      <c r="A6765" s="107"/>
      <c r="D6765" s="270"/>
      <c r="H6765" s="106" t="str">
        <f t="shared" si="1"/>
        <v/>
      </c>
      <c r="J6765" t="str">
        <f>IFERROR(__xludf.DUMMYFUNCTION("IFS(
  AND(REGEXMATCH(E6765, ""台銀籌備帳戶|玉山帳戶""), REGEXMATCH(C6765, ""薪資"")), ""分潤支出"",
  AND(REGEXMATCH(E6765, ""Ben帳戶|Elsa帳戶|Ben代墊|Ariel代墊|中信銀行共用""), REGEXMATCH(F6765, ""Ben帳戶|Elsa帳戶|Ben代墊|Ariel代墊|中信銀行共用"")), ""內部轉帳(忽略)"",
  AND(E6765&lt;&gt;"""", F6765&lt;&gt;"""", N"&amp;"OT(REGEXMATCH(C6765, ""薪資""))), ""內部轉帳(忽略)"",
  REGEXMATCH(C6765, ""薪資""), ""薪資變動(不計入)"",
  REGEXMATCH(C6765, ""押金""), ""押金往來"",
  AND(E6765&lt;&gt;"""", F6765=""""), ""真實支出"",
  AND(E6765="""", F6765&lt;&gt;""""), ""真實收入"",
  TRUE, ""其他""
)"),"其他")</f>
        <v>其他</v>
      </c>
      <c r="K6765" s="270" t="str">
        <f t="shared" si="2"/>
        <v/>
      </c>
      <c r="L6765">
        <f t="shared" si="3"/>
        <v>0</v>
      </c>
    </row>
    <row r="6766">
      <c r="A6766" s="107"/>
      <c r="D6766" s="270"/>
      <c r="H6766" s="106" t="str">
        <f t="shared" si="1"/>
        <v/>
      </c>
      <c r="J6766" t="str">
        <f>IFERROR(__xludf.DUMMYFUNCTION("IFS(
  AND(REGEXMATCH(E6766, ""台銀籌備帳戶|玉山帳戶""), REGEXMATCH(C6766, ""薪資"")), ""分潤支出"",
  AND(REGEXMATCH(E6766, ""Ben帳戶|Elsa帳戶|Ben代墊|Ariel代墊|中信銀行共用""), REGEXMATCH(F6766, ""Ben帳戶|Elsa帳戶|Ben代墊|Ariel代墊|中信銀行共用"")), ""內部轉帳(忽略)"",
  AND(E6766&lt;&gt;"""", F6766&lt;&gt;"""", N"&amp;"OT(REGEXMATCH(C6766, ""薪資""))), ""內部轉帳(忽略)"",
  REGEXMATCH(C6766, ""薪資""), ""薪資變動(不計入)"",
  REGEXMATCH(C6766, ""押金""), ""押金往來"",
  AND(E6766&lt;&gt;"""", F6766=""""), ""真實支出"",
  AND(E6766="""", F6766&lt;&gt;""""), ""真實收入"",
  TRUE, ""其他""
)"),"其他")</f>
        <v>其他</v>
      </c>
      <c r="K6766" s="270" t="str">
        <f t="shared" si="2"/>
        <v/>
      </c>
      <c r="L6766">
        <f t="shared" si="3"/>
        <v>0</v>
      </c>
    </row>
    <row r="6767">
      <c r="A6767" s="107"/>
      <c r="D6767" s="270"/>
      <c r="H6767" s="106" t="str">
        <f t="shared" si="1"/>
        <v/>
      </c>
      <c r="J6767" t="str">
        <f>IFERROR(__xludf.DUMMYFUNCTION("IFS(
  AND(REGEXMATCH(E6767, ""台銀籌備帳戶|玉山帳戶""), REGEXMATCH(C6767, ""薪資"")), ""分潤支出"",
  AND(REGEXMATCH(E6767, ""Ben帳戶|Elsa帳戶|Ben代墊|Ariel代墊|中信銀行共用""), REGEXMATCH(F6767, ""Ben帳戶|Elsa帳戶|Ben代墊|Ariel代墊|中信銀行共用"")), ""內部轉帳(忽略)"",
  AND(E6767&lt;&gt;"""", F6767&lt;&gt;"""", N"&amp;"OT(REGEXMATCH(C6767, ""薪資""))), ""內部轉帳(忽略)"",
  REGEXMATCH(C6767, ""薪資""), ""薪資變動(不計入)"",
  REGEXMATCH(C6767, ""押金""), ""押金往來"",
  AND(E6767&lt;&gt;"""", F6767=""""), ""真實支出"",
  AND(E6767="""", F6767&lt;&gt;""""), ""真實收入"",
  TRUE, ""其他""
)"),"其他")</f>
        <v>其他</v>
      </c>
      <c r="K6767" s="270" t="str">
        <f t="shared" si="2"/>
        <v/>
      </c>
      <c r="L6767">
        <f t="shared" si="3"/>
        <v>0</v>
      </c>
    </row>
    <row r="6768">
      <c r="A6768" s="107"/>
      <c r="D6768" s="270"/>
      <c r="H6768" s="106" t="str">
        <f t="shared" si="1"/>
        <v/>
      </c>
      <c r="J6768" t="str">
        <f>IFERROR(__xludf.DUMMYFUNCTION("IFS(
  AND(REGEXMATCH(E6768, ""台銀籌備帳戶|玉山帳戶""), REGEXMATCH(C6768, ""薪資"")), ""分潤支出"",
  AND(REGEXMATCH(E6768, ""Ben帳戶|Elsa帳戶|Ben代墊|Ariel代墊|中信銀行共用""), REGEXMATCH(F6768, ""Ben帳戶|Elsa帳戶|Ben代墊|Ariel代墊|中信銀行共用"")), ""內部轉帳(忽略)"",
  AND(E6768&lt;&gt;"""", F6768&lt;&gt;"""", N"&amp;"OT(REGEXMATCH(C6768, ""薪資""))), ""內部轉帳(忽略)"",
  REGEXMATCH(C6768, ""薪資""), ""薪資變動(不計入)"",
  REGEXMATCH(C6768, ""押金""), ""押金往來"",
  AND(E6768&lt;&gt;"""", F6768=""""), ""真實支出"",
  AND(E6768="""", F6768&lt;&gt;""""), ""真實收入"",
  TRUE, ""其他""
)"),"其他")</f>
        <v>其他</v>
      </c>
      <c r="K6768" s="270" t="str">
        <f t="shared" si="2"/>
        <v/>
      </c>
      <c r="L6768">
        <f t="shared" si="3"/>
        <v>0</v>
      </c>
    </row>
    <row r="6769">
      <c r="A6769" s="107"/>
      <c r="D6769" s="270"/>
      <c r="H6769" s="106" t="str">
        <f t="shared" si="1"/>
        <v/>
      </c>
      <c r="J6769" t="str">
        <f>IFERROR(__xludf.DUMMYFUNCTION("IFS(
  AND(REGEXMATCH(E6769, ""台銀籌備帳戶|玉山帳戶""), REGEXMATCH(C6769, ""薪資"")), ""分潤支出"",
  AND(REGEXMATCH(E6769, ""Ben帳戶|Elsa帳戶|Ben代墊|Ariel代墊|中信銀行共用""), REGEXMATCH(F6769, ""Ben帳戶|Elsa帳戶|Ben代墊|Ariel代墊|中信銀行共用"")), ""內部轉帳(忽略)"",
  AND(E6769&lt;&gt;"""", F6769&lt;&gt;"""", N"&amp;"OT(REGEXMATCH(C6769, ""薪資""))), ""內部轉帳(忽略)"",
  REGEXMATCH(C6769, ""薪資""), ""薪資變動(不計入)"",
  REGEXMATCH(C6769, ""押金""), ""押金往來"",
  AND(E6769&lt;&gt;"""", F6769=""""), ""真實支出"",
  AND(E6769="""", F6769&lt;&gt;""""), ""真實收入"",
  TRUE, ""其他""
)"),"其他")</f>
        <v>其他</v>
      </c>
      <c r="K6769" s="270" t="str">
        <f t="shared" si="2"/>
        <v/>
      </c>
      <c r="L6769">
        <f t="shared" si="3"/>
        <v>0</v>
      </c>
    </row>
    <row r="6770">
      <c r="A6770" s="107"/>
      <c r="D6770" s="270"/>
      <c r="H6770" s="106" t="str">
        <f t="shared" si="1"/>
        <v/>
      </c>
      <c r="J6770" t="str">
        <f>IFERROR(__xludf.DUMMYFUNCTION("IFS(
  AND(REGEXMATCH(E6770, ""台銀籌備帳戶|玉山帳戶""), REGEXMATCH(C6770, ""薪資"")), ""分潤支出"",
  AND(REGEXMATCH(E6770, ""Ben帳戶|Elsa帳戶|Ben代墊|Ariel代墊|中信銀行共用""), REGEXMATCH(F6770, ""Ben帳戶|Elsa帳戶|Ben代墊|Ariel代墊|中信銀行共用"")), ""內部轉帳(忽略)"",
  AND(E6770&lt;&gt;"""", F6770&lt;&gt;"""", N"&amp;"OT(REGEXMATCH(C6770, ""薪資""))), ""內部轉帳(忽略)"",
  REGEXMATCH(C6770, ""薪資""), ""薪資變動(不計入)"",
  REGEXMATCH(C6770, ""押金""), ""押金往來"",
  AND(E6770&lt;&gt;"""", F6770=""""), ""真實支出"",
  AND(E6770="""", F6770&lt;&gt;""""), ""真實收入"",
  TRUE, ""其他""
)"),"其他")</f>
        <v>其他</v>
      </c>
      <c r="K6770" s="270" t="str">
        <f t="shared" si="2"/>
        <v/>
      </c>
      <c r="L6770">
        <f t="shared" si="3"/>
        <v>0</v>
      </c>
    </row>
    <row r="6771">
      <c r="A6771" s="107"/>
      <c r="D6771" s="270"/>
      <c r="H6771" s="106" t="str">
        <f t="shared" si="1"/>
        <v/>
      </c>
      <c r="J6771" t="str">
        <f>IFERROR(__xludf.DUMMYFUNCTION("IFS(
  AND(REGEXMATCH(E6771, ""台銀籌備帳戶|玉山帳戶""), REGEXMATCH(C6771, ""薪資"")), ""分潤支出"",
  AND(REGEXMATCH(E6771, ""Ben帳戶|Elsa帳戶|Ben代墊|Ariel代墊|中信銀行共用""), REGEXMATCH(F6771, ""Ben帳戶|Elsa帳戶|Ben代墊|Ariel代墊|中信銀行共用"")), ""內部轉帳(忽略)"",
  AND(E6771&lt;&gt;"""", F6771&lt;&gt;"""", N"&amp;"OT(REGEXMATCH(C6771, ""薪資""))), ""內部轉帳(忽略)"",
  REGEXMATCH(C6771, ""薪資""), ""薪資變動(不計入)"",
  REGEXMATCH(C6771, ""押金""), ""押金往來"",
  AND(E6771&lt;&gt;"""", F6771=""""), ""真實支出"",
  AND(E6771="""", F6771&lt;&gt;""""), ""真實收入"",
  TRUE, ""其他""
)"),"其他")</f>
        <v>其他</v>
      </c>
      <c r="K6771" s="270" t="str">
        <f t="shared" si="2"/>
        <v/>
      </c>
      <c r="L6771">
        <f t="shared" si="3"/>
        <v>0</v>
      </c>
    </row>
    <row r="6772">
      <c r="A6772" s="107"/>
      <c r="D6772" s="270"/>
      <c r="H6772" s="106" t="str">
        <f t="shared" si="1"/>
        <v/>
      </c>
      <c r="J6772" t="str">
        <f>IFERROR(__xludf.DUMMYFUNCTION("IFS(
  AND(REGEXMATCH(E6772, ""台銀籌備帳戶|玉山帳戶""), REGEXMATCH(C6772, ""薪資"")), ""分潤支出"",
  AND(REGEXMATCH(E6772, ""Ben帳戶|Elsa帳戶|Ben代墊|Ariel代墊|中信銀行共用""), REGEXMATCH(F6772, ""Ben帳戶|Elsa帳戶|Ben代墊|Ariel代墊|中信銀行共用"")), ""內部轉帳(忽略)"",
  AND(E6772&lt;&gt;"""", F6772&lt;&gt;"""", N"&amp;"OT(REGEXMATCH(C6772, ""薪資""))), ""內部轉帳(忽略)"",
  REGEXMATCH(C6772, ""薪資""), ""薪資變動(不計入)"",
  REGEXMATCH(C6772, ""押金""), ""押金往來"",
  AND(E6772&lt;&gt;"""", F6772=""""), ""真實支出"",
  AND(E6772="""", F6772&lt;&gt;""""), ""真實收入"",
  TRUE, ""其他""
)"),"其他")</f>
        <v>其他</v>
      </c>
      <c r="K6772" s="270" t="str">
        <f t="shared" si="2"/>
        <v/>
      </c>
      <c r="L6772">
        <f t="shared" si="3"/>
        <v>0</v>
      </c>
    </row>
    <row r="6773">
      <c r="A6773" s="107"/>
      <c r="D6773" s="270"/>
      <c r="H6773" s="106" t="str">
        <f t="shared" si="1"/>
        <v/>
      </c>
      <c r="J6773" t="str">
        <f>IFERROR(__xludf.DUMMYFUNCTION("IFS(
  AND(REGEXMATCH(E6773, ""台銀籌備帳戶|玉山帳戶""), REGEXMATCH(C6773, ""薪資"")), ""分潤支出"",
  AND(REGEXMATCH(E6773, ""Ben帳戶|Elsa帳戶|Ben代墊|Ariel代墊|中信銀行共用""), REGEXMATCH(F6773, ""Ben帳戶|Elsa帳戶|Ben代墊|Ariel代墊|中信銀行共用"")), ""內部轉帳(忽略)"",
  AND(E6773&lt;&gt;"""", F6773&lt;&gt;"""", N"&amp;"OT(REGEXMATCH(C6773, ""薪資""))), ""內部轉帳(忽略)"",
  REGEXMATCH(C6773, ""薪資""), ""薪資變動(不計入)"",
  REGEXMATCH(C6773, ""押金""), ""押金往來"",
  AND(E6773&lt;&gt;"""", F6773=""""), ""真實支出"",
  AND(E6773="""", F6773&lt;&gt;""""), ""真實收入"",
  TRUE, ""其他""
)"),"其他")</f>
        <v>其他</v>
      </c>
      <c r="K6773" s="270" t="str">
        <f t="shared" si="2"/>
        <v/>
      </c>
      <c r="L6773">
        <f t="shared" si="3"/>
        <v>0</v>
      </c>
    </row>
    <row r="6774">
      <c r="A6774" s="107"/>
      <c r="D6774" s="270"/>
      <c r="H6774" s="106" t="str">
        <f t="shared" si="1"/>
        <v/>
      </c>
      <c r="J6774" t="str">
        <f>IFERROR(__xludf.DUMMYFUNCTION("IFS(
  AND(REGEXMATCH(E6774, ""台銀籌備帳戶|玉山帳戶""), REGEXMATCH(C6774, ""薪資"")), ""分潤支出"",
  AND(REGEXMATCH(E6774, ""Ben帳戶|Elsa帳戶|Ben代墊|Ariel代墊|中信銀行共用""), REGEXMATCH(F6774, ""Ben帳戶|Elsa帳戶|Ben代墊|Ariel代墊|中信銀行共用"")), ""內部轉帳(忽略)"",
  AND(E6774&lt;&gt;"""", F6774&lt;&gt;"""", N"&amp;"OT(REGEXMATCH(C6774, ""薪資""))), ""內部轉帳(忽略)"",
  REGEXMATCH(C6774, ""薪資""), ""薪資變動(不計入)"",
  REGEXMATCH(C6774, ""押金""), ""押金往來"",
  AND(E6774&lt;&gt;"""", F6774=""""), ""真實支出"",
  AND(E6774="""", F6774&lt;&gt;""""), ""真實收入"",
  TRUE, ""其他""
)"),"其他")</f>
        <v>其他</v>
      </c>
      <c r="K6774" s="270" t="str">
        <f t="shared" si="2"/>
        <v/>
      </c>
      <c r="L6774">
        <f t="shared" si="3"/>
        <v>0</v>
      </c>
    </row>
    <row r="6775">
      <c r="A6775" s="107"/>
      <c r="D6775" s="270"/>
      <c r="H6775" s="106" t="str">
        <f t="shared" si="1"/>
        <v/>
      </c>
      <c r="J6775" t="str">
        <f>IFERROR(__xludf.DUMMYFUNCTION("IFS(
  AND(REGEXMATCH(E6775, ""台銀籌備帳戶|玉山帳戶""), REGEXMATCH(C6775, ""薪資"")), ""分潤支出"",
  AND(REGEXMATCH(E6775, ""Ben帳戶|Elsa帳戶|Ben代墊|Ariel代墊|中信銀行共用""), REGEXMATCH(F6775, ""Ben帳戶|Elsa帳戶|Ben代墊|Ariel代墊|中信銀行共用"")), ""內部轉帳(忽略)"",
  AND(E6775&lt;&gt;"""", F6775&lt;&gt;"""", N"&amp;"OT(REGEXMATCH(C6775, ""薪資""))), ""內部轉帳(忽略)"",
  REGEXMATCH(C6775, ""薪資""), ""薪資變動(不計入)"",
  REGEXMATCH(C6775, ""押金""), ""押金往來"",
  AND(E6775&lt;&gt;"""", F6775=""""), ""真實支出"",
  AND(E6775="""", F6775&lt;&gt;""""), ""真實收入"",
  TRUE, ""其他""
)"),"其他")</f>
        <v>其他</v>
      </c>
      <c r="K6775" s="270" t="str">
        <f t="shared" si="2"/>
        <v/>
      </c>
      <c r="L6775">
        <f t="shared" si="3"/>
        <v>0</v>
      </c>
    </row>
    <row r="6776">
      <c r="A6776" s="107"/>
      <c r="D6776" s="270"/>
      <c r="H6776" s="106" t="str">
        <f t="shared" si="1"/>
        <v/>
      </c>
      <c r="J6776" t="str">
        <f>IFERROR(__xludf.DUMMYFUNCTION("IFS(
  AND(REGEXMATCH(E6776, ""台銀籌備帳戶|玉山帳戶""), REGEXMATCH(C6776, ""薪資"")), ""分潤支出"",
  AND(REGEXMATCH(E6776, ""Ben帳戶|Elsa帳戶|Ben代墊|Ariel代墊|中信銀行共用""), REGEXMATCH(F6776, ""Ben帳戶|Elsa帳戶|Ben代墊|Ariel代墊|中信銀行共用"")), ""內部轉帳(忽略)"",
  AND(E6776&lt;&gt;"""", F6776&lt;&gt;"""", N"&amp;"OT(REGEXMATCH(C6776, ""薪資""))), ""內部轉帳(忽略)"",
  REGEXMATCH(C6776, ""薪資""), ""薪資變動(不計入)"",
  REGEXMATCH(C6776, ""押金""), ""押金往來"",
  AND(E6776&lt;&gt;"""", F6776=""""), ""真實支出"",
  AND(E6776="""", F6776&lt;&gt;""""), ""真實收入"",
  TRUE, ""其他""
)"),"其他")</f>
        <v>其他</v>
      </c>
      <c r="K6776" s="270" t="str">
        <f t="shared" si="2"/>
        <v/>
      </c>
      <c r="L6776">
        <f t="shared" si="3"/>
        <v>0</v>
      </c>
    </row>
    <row r="6777">
      <c r="A6777" s="107"/>
      <c r="D6777" s="270"/>
      <c r="H6777" s="106" t="str">
        <f t="shared" si="1"/>
        <v/>
      </c>
      <c r="J6777" t="str">
        <f>IFERROR(__xludf.DUMMYFUNCTION("IFS(
  AND(REGEXMATCH(E6777, ""台銀籌備帳戶|玉山帳戶""), REGEXMATCH(C6777, ""薪資"")), ""分潤支出"",
  AND(REGEXMATCH(E6777, ""Ben帳戶|Elsa帳戶|Ben代墊|Ariel代墊|中信銀行共用""), REGEXMATCH(F6777, ""Ben帳戶|Elsa帳戶|Ben代墊|Ariel代墊|中信銀行共用"")), ""內部轉帳(忽略)"",
  AND(E6777&lt;&gt;"""", F6777&lt;&gt;"""", N"&amp;"OT(REGEXMATCH(C6777, ""薪資""))), ""內部轉帳(忽略)"",
  REGEXMATCH(C6777, ""薪資""), ""薪資變動(不計入)"",
  REGEXMATCH(C6777, ""押金""), ""押金往來"",
  AND(E6777&lt;&gt;"""", F6777=""""), ""真實支出"",
  AND(E6777="""", F6777&lt;&gt;""""), ""真實收入"",
  TRUE, ""其他""
)"),"其他")</f>
        <v>其他</v>
      </c>
      <c r="K6777" s="270" t="str">
        <f t="shared" si="2"/>
        <v/>
      </c>
      <c r="L6777">
        <f t="shared" si="3"/>
        <v>0</v>
      </c>
    </row>
    <row r="6778">
      <c r="A6778" s="107"/>
      <c r="D6778" s="270"/>
      <c r="H6778" s="106" t="str">
        <f t="shared" si="1"/>
        <v/>
      </c>
      <c r="J6778" t="str">
        <f>IFERROR(__xludf.DUMMYFUNCTION("IFS(
  AND(REGEXMATCH(E6778, ""台銀籌備帳戶|玉山帳戶""), REGEXMATCH(C6778, ""薪資"")), ""分潤支出"",
  AND(REGEXMATCH(E6778, ""Ben帳戶|Elsa帳戶|Ben代墊|Ariel代墊|中信銀行共用""), REGEXMATCH(F6778, ""Ben帳戶|Elsa帳戶|Ben代墊|Ariel代墊|中信銀行共用"")), ""內部轉帳(忽略)"",
  AND(E6778&lt;&gt;"""", F6778&lt;&gt;"""", N"&amp;"OT(REGEXMATCH(C6778, ""薪資""))), ""內部轉帳(忽略)"",
  REGEXMATCH(C6778, ""薪資""), ""薪資變動(不計入)"",
  REGEXMATCH(C6778, ""押金""), ""押金往來"",
  AND(E6778&lt;&gt;"""", F6778=""""), ""真實支出"",
  AND(E6778="""", F6778&lt;&gt;""""), ""真實收入"",
  TRUE, ""其他""
)"),"其他")</f>
        <v>其他</v>
      </c>
      <c r="K6778" s="270" t="str">
        <f t="shared" si="2"/>
        <v/>
      </c>
      <c r="L6778">
        <f t="shared" si="3"/>
        <v>0</v>
      </c>
    </row>
    <row r="6779">
      <c r="A6779" s="107"/>
      <c r="D6779" s="270"/>
      <c r="H6779" s="106" t="str">
        <f t="shared" si="1"/>
        <v/>
      </c>
      <c r="J6779" t="str">
        <f>IFERROR(__xludf.DUMMYFUNCTION("IFS(
  AND(REGEXMATCH(E6779, ""台銀籌備帳戶|玉山帳戶""), REGEXMATCH(C6779, ""薪資"")), ""分潤支出"",
  AND(REGEXMATCH(E6779, ""Ben帳戶|Elsa帳戶|Ben代墊|Ariel代墊|中信銀行共用""), REGEXMATCH(F6779, ""Ben帳戶|Elsa帳戶|Ben代墊|Ariel代墊|中信銀行共用"")), ""內部轉帳(忽略)"",
  AND(E6779&lt;&gt;"""", F6779&lt;&gt;"""", N"&amp;"OT(REGEXMATCH(C6779, ""薪資""))), ""內部轉帳(忽略)"",
  REGEXMATCH(C6779, ""薪資""), ""薪資變動(不計入)"",
  REGEXMATCH(C6779, ""押金""), ""押金往來"",
  AND(E6779&lt;&gt;"""", F6779=""""), ""真實支出"",
  AND(E6779="""", F6779&lt;&gt;""""), ""真實收入"",
  TRUE, ""其他""
)"),"其他")</f>
        <v>其他</v>
      </c>
      <c r="K6779" s="270" t="str">
        <f t="shared" si="2"/>
        <v/>
      </c>
      <c r="L6779">
        <f t="shared" si="3"/>
        <v>0</v>
      </c>
    </row>
    <row r="6780">
      <c r="A6780" s="107"/>
      <c r="D6780" s="270"/>
      <c r="H6780" s="106" t="str">
        <f t="shared" si="1"/>
        <v/>
      </c>
      <c r="J6780" t="str">
        <f>IFERROR(__xludf.DUMMYFUNCTION("IFS(
  AND(REGEXMATCH(E6780, ""台銀籌備帳戶|玉山帳戶""), REGEXMATCH(C6780, ""薪資"")), ""分潤支出"",
  AND(REGEXMATCH(E6780, ""Ben帳戶|Elsa帳戶|Ben代墊|Ariel代墊|中信銀行共用""), REGEXMATCH(F6780, ""Ben帳戶|Elsa帳戶|Ben代墊|Ariel代墊|中信銀行共用"")), ""內部轉帳(忽略)"",
  AND(E6780&lt;&gt;"""", F6780&lt;&gt;"""", N"&amp;"OT(REGEXMATCH(C6780, ""薪資""))), ""內部轉帳(忽略)"",
  REGEXMATCH(C6780, ""薪資""), ""薪資變動(不計入)"",
  REGEXMATCH(C6780, ""押金""), ""押金往來"",
  AND(E6780&lt;&gt;"""", F6780=""""), ""真實支出"",
  AND(E6780="""", F6780&lt;&gt;""""), ""真實收入"",
  TRUE, ""其他""
)"),"其他")</f>
        <v>其他</v>
      </c>
      <c r="K6780" s="270" t="str">
        <f t="shared" si="2"/>
        <v/>
      </c>
      <c r="L6780">
        <f t="shared" si="3"/>
        <v>0</v>
      </c>
    </row>
    <row r="6781">
      <c r="A6781" s="107"/>
      <c r="D6781" s="270"/>
      <c r="H6781" s="106" t="str">
        <f t="shared" si="1"/>
        <v/>
      </c>
      <c r="J6781" t="str">
        <f>IFERROR(__xludf.DUMMYFUNCTION("IFS(
  AND(REGEXMATCH(E6781, ""台銀籌備帳戶|玉山帳戶""), REGEXMATCH(C6781, ""薪資"")), ""分潤支出"",
  AND(REGEXMATCH(E6781, ""Ben帳戶|Elsa帳戶|Ben代墊|Ariel代墊|中信銀行共用""), REGEXMATCH(F6781, ""Ben帳戶|Elsa帳戶|Ben代墊|Ariel代墊|中信銀行共用"")), ""內部轉帳(忽略)"",
  AND(E6781&lt;&gt;"""", F6781&lt;&gt;"""", N"&amp;"OT(REGEXMATCH(C6781, ""薪資""))), ""內部轉帳(忽略)"",
  REGEXMATCH(C6781, ""薪資""), ""薪資變動(不計入)"",
  REGEXMATCH(C6781, ""押金""), ""押金往來"",
  AND(E6781&lt;&gt;"""", F6781=""""), ""真實支出"",
  AND(E6781="""", F6781&lt;&gt;""""), ""真實收入"",
  TRUE, ""其他""
)"),"其他")</f>
        <v>其他</v>
      </c>
      <c r="K6781" s="270" t="str">
        <f t="shared" si="2"/>
        <v/>
      </c>
      <c r="L6781">
        <f t="shared" si="3"/>
        <v>0</v>
      </c>
    </row>
    <row r="6782">
      <c r="A6782" s="107"/>
      <c r="D6782" s="270"/>
      <c r="H6782" s="106" t="str">
        <f t="shared" si="1"/>
        <v/>
      </c>
      <c r="J6782" t="str">
        <f>IFERROR(__xludf.DUMMYFUNCTION("IFS(
  AND(REGEXMATCH(E6782, ""台銀籌備帳戶|玉山帳戶""), REGEXMATCH(C6782, ""薪資"")), ""分潤支出"",
  AND(REGEXMATCH(E6782, ""Ben帳戶|Elsa帳戶|Ben代墊|Ariel代墊|中信銀行共用""), REGEXMATCH(F6782, ""Ben帳戶|Elsa帳戶|Ben代墊|Ariel代墊|中信銀行共用"")), ""內部轉帳(忽略)"",
  AND(E6782&lt;&gt;"""", F6782&lt;&gt;"""", N"&amp;"OT(REGEXMATCH(C6782, ""薪資""))), ""內部轉帳(忽略)"",
  REGEXMATCH(C6782, ""薪資""), ""薪資變動(不計入)"",
  REGEXMATCH(C6782, ""押金""), ""押金往來"",
  AND(E6782&lt;&gt;"""", F6782=""""), ""真實支出"",
  AND(E6782="""", F6782&lt;&gt;""""), ""真實收入"",
  TRUE, ""其他""
)"),"其他")</f>
        <v>其他</v>
      </c>
      <c r="K6782" s="270" t="str">
        <f t="shared" si="2"/>
        <v/>
      </c>
      <c r="L6782">
        <f t="shared" si="3"/>
        <v>0</v>
      </c>
    </row>
    <row r="6783">
      <c r="A6783" s="107"/>
      <c r="D6783" s="270"/>
      <c r="H6783" s="106" t="str">
        <f t="shared" si="1"/>
        <v/>
      </c>
      <c r="J6783" t="str">
        <f>IFERROR(__xludf.DUMMYFUNCTION("IFS(
  AND(REGEXMATCH(E6783, ""台銀籌備帳戶|玉山帳戶""), REGEXMATCH(C6783, ""薪資"")), ""分潤支出"",
  AND(REGEXMATCH(E6783, ""Ben帳戶|Elsa帳戶|Ben代墊|Ariel代墊|中信銀行共用""), REGEXMATCH(F6783, ""Ben帳戶|Elsa帳戶|Ben代墊|Ariel代墊|中信銀行共用"")), ""內部轉帳(忽略)"",
  AND(E6783&lt;&gt;"""", F6783&lt;&gt;"""", N"&amp;"OT(REGEXMATCH(C6783, ""薪資""))), ""內部轉帳(忽略)"",
  REGEXMATCH(C6783, ""薪資""), ""薪資變動(不計入)"",
  REGEXMATCH(C6783, ""押金""), ""押金往來"",
  AND(E6783&lt;&gt;"""", F6783=""""), ""真實支出"",
  AND(E6783="""", F6783&lt;&gt;""""), ""真實收入"",
  TRUE, ""其他""
)"),"其他")</f>
        <v>其他</v>
      </c>
      <c r="K6783" s="270" t="str">
        <f t="shared" si="2"/>
        <v/>
      </c>
      <c r="L6783">
        <f t="shared" si="3"/>
        <v>0</v>
      </c>
    </row>
    <row r="6784">
      <c r="A6784" s="107"/>
      <c r="D6784" s="270"/>
      <c r="H6784" s="106" t="str">
        <f t="shared" si="1"/>
        <v/>
      </c>
      <c r="J6784" t="str">
        <f>IFERROR(__xludf.DUMMYFUNCTION("IFS(
  AND(REGEXMATCH(E6784, ""台銀籌備帳戶|玉山帳戶""), REGEXMATCH(C6784, ""薪資"")), ""分潤支出"",
  AND(REGEXMATCH(E6784, ""Ben帳戶|Elsa帳戶|Ben代墊|Ariel代墊|中信銀行共用""), REGEXMATCH(F6784, ""Ben帳戶|Elsa帳戶|Ben代墊|Ariel代墊|中信銀行共用"")), ""內部轉帳(忽略)"",
  AND(E6784&lt;&gt;"""", F6784&lt;&gt;"""", N"&amp;"OT(REGEXMATCH(C6784, ""薪資""))), ""內部轉帳(忽略)"",
  REGEXMATCH(C6784, ""薪資""), ""薪資變動(不計入)"",
  REGEXMATCH(C6784, ""押金""), ""押金往來"",
  AND(E6784&lt;&gt;"""", F6784=""""), ""真實支出"",
  AND(E6784="""", F6784&lt;&gt;""""), ""真實收入"",
  TRUE, ""其他""
)"),"其他")</f>
        <v>其他</v>
      </c>
      <c r="K6784" s="270" t="str">
        <f t="shared" si="2"/>
        <v/>
      </c>
      <c r="L6784">
        <f t="shared" si="3"/>
        <v>0</v>
      </c>
    </row>
    <row r="6785">
      <c r="A6785" s="107"/>
      <c r="D6785" s="270"/>
      <c r="H6785" s="106" t="str">
        <f t="shared" si="1"/>
        <v/>
      </c>
      <c r="J6785" t="str">
        <f>IFERROR(__xludf.DUMMYFUNCTION("IFS(
  AND(REGEXMATCH(E6785, ""台銀籌備帳戶|玉山帳戶""), REGEXMATCH(C6785, ""薪資"")), ""分潤支出"",
  AND(REGEXMATCH(E6785, ""Ben帳戶|Elsa帳戶|Ben代墊|Ariel代墊|中信銀行共用""), REGEXMATCH(F6785, ""Ben帳戶|Elsa帳戶|Ben代墊|Ariel代墊|中信銀行共用"")), ""內部轉帳(忽略)"",
  AND(E6785&lt;&gt;"""", F6785&lt;&gt;"""", N"&amp;"OT(REGEXMATCH(C6785, ""薪資""))), ""內部轉帳(忽略)"",
  REGEXMATCH(C6785, ""薪資""), ""薪資變動(不計入)"",
  REGEXMATCH(C6785, ""押金""), ""押金往來"",
  AND(E6785&lt;&gt;"""", F6785=""""), ""真實支出"",
  AND(E6785="""", F6785&lt;&gt;""""), ""真實收入"",
  TRUE, ""其他""
)"),"其他")</f>
        <v>其他</v>
      </c>
      <c r="K6785" s="270" t="str">
        <f t="shared" si="2"/>
        <v/>
      </c>
      <c r="L6785">
        <f t="shared" si="3"/>
        <v>0</v>
      </c>
    </row>
    <row r="6786">
      <c r="A6786" s="107"/>
      <c r="D6786" s="270"/>
      <c r="H6786" s="106" t="str">
        <f t="shared" si="1"/>
        <v/>
      </c>
      <c r="J6786" t="str">
        <f>IFERROR(__xludf.DUMMYFUNCTION("IFS(
  AND(REGEXMATCH(E6786, ""台銀籌備帳戶|玉山帳戶""), REGEXMATCH(C6786, ""薪資"")), ""分潤支出"",
  AND(REGEXMATCH(E6786, ""Ben帳戶|Elsa帳戶|Ben代墊|Ariel代墊|中信銀行共用""), REGEXMATCH(F6786, ""Ben帳戶|Elsa帳戶|Ben代墊|Ariel代墊|中信銀行共用"")), ""內部轉帳(忽略)"",
  AND(E6786&lt;&gt;"""", F6786&lt;&gt;"""", N"&amp;"OT(REGEXMATCH(C6786, ""薪資""))), ""內部轉帳(忽略)"",
  REGEXMATCH(C6786, ""薪資""), ""薪資變動(不計入)"",
  REGEXMATCH(C6786, ""押金""), ""押金往來"",
  AND(E6786&lt;&gt;"""", F6786=""""), ""真實支出"",
  AND(E6786="""", F6786&lt;&gt;""""), ""真實收入"",
  TRUE, ""其他""
)"),"其他")</f>
        <v>其他</v>
      </c>
      <c r="K6786" s="270" t="str">
        <f t="shared" si="2"/>
        <v/>
      </c>
      <c r="L6786">
        <f t="shared" si="3"/>
        <v>0</v>
      </c>
    </row>
    <row r="6787">
      <c r="A6787" s="107"/>
      <c r="D6787" s="270"/>
      <c r="H6787" s="106" t="str">
        <f t="shared" si="1"/>
        <v/>
      </c>
      <c r="J6787" t="str">
        <f>IFERROR(__xludf.DUMMYFUNCTION("IFS(
  AND(REGEXMATCH(E6787, ""台銀籌備帳戶|玉山帳戶""), REGEXMATCH(C6787, ""薪資"")), ""分潤支出"",
  AND(REGEXMATCH(E6787, ""Ben帳戶|Elsa帳戶|Ben代墊|Ariel代墊|中信銀行共用""), REGEXMATCH(F6787, ""Ben帳戶|Elsa帳戶|Ben代墊|Ariel代墊|中信銀行共用"")), ""內部轉帳(忽略)"",
  AND(E6787&lt;&gt;"""", F6787&lt;&gt;"""", N"&amp;"OT(REGEXMATCH(C6787, ""薪資""))), ""內部轉帳(忽略)"",
  REGEXMATCH(C6787, ""薪資""), ""薪資變動(不計入)"",
  REGEXMATCH(C6787, ""押金""), ""押金往來"",
  AND(E6787&lt;&gt;"""", F6787=""""), ""真實支出"",
  AND(E6787="""", F6787&lt;&gt;""""), ""真實收入"",
  TRUE, ""其他""
)"),"其他")</f>
        <v>其他</v>
      </c>
      <c r="K6787" s="270" t="str">
        <f t="shared" si="2"/>
        <v/>
      </c>
      <c r="L6787">
        <f t="shared" si="3"/>
        <v>0</v>
      </c>
    </row>
    <row r="6788">
      <c r="A6788" s="107"/>
      <c r="D6788" s="270"/>
      <c r="H6788" s="106" t="str">
        <f t="shared" si="1"/>
        <v/>
      </c>
      <c r="J6788" t="str">
        <f>IFERROR(__xludf.DUMMYFUNCTION("IFS(
  AND(REGEXMATCH(E6788, ""台銀籌備帳戶|玉山帳戶""), REGEXMATCH(C6788, ""薪資"")), ""分潤支出"",
  AND(REGEXMATCH(E6788, ""Ben帳戶|Elsa帳戶|Ben代墊|Ariel代墊|中信銀行共用""), REGEXMATCH(F6788, ""Ben帳戶|Elsa帳戶|Ben代墊|Ariel代墊|中信銀行共用"")), ""內部轉帳(忽略)"",
  AND(E6788&lt;&gt;"""", F6788&lt;&gt;"""", N"&amp;"OT(REGEXMATCH(C6788, ""薪資""))), ""內部轉帳(忽略)"",
  REGEXMATCH(C6788, ""薪資""), ""薪資變動(不計入)"",
  REGEXMATCH(C6788, ""押金""), ""押金往來"",
  AND(E6788&lt;&gt;"""", F6788=""""), ""真實支出"",
  AND(E6788="""", F6788&lt;&gt;""""), ""真實收入"",
  TRUE, ""其他""
)"),"其他")</f>
        <v>其他</v>
      </c>
      <c r="K6788" s="270" t="str">
        <f t="shared" si="2"/>
        <v/>
      </c>
      <c r="L6788">
        <f t="shared" si="3"/>
        <v>0</v>
      </c>
    </row>
    <row r="6789">
      <c r="A6789" s="107"/>
      <c r="D6789" s="270"/>
      <c r="H6789" s="106" t="str">
        <f t="shared" si="1"/>
        <v/>
      </c>
      <c r="J6789" t="str">
        <f>IFERROR(__xludf.DUMMYFUNCTION("IFS(
  AND(REGEXMATCH(E6789, ""台銀籌備帳戶|玉山帳戶""), REGEXMATCH(C6789, ""薪資"")), ""分潤支出"",
  AND(REGEXMATCH(E6789, ""Ben帳戶|Elsa帳戶|Ben代墊|Ariel代墊|中信銀行共用""), REGEXMATCH(F6789, ""Ben帳戶|Elsa帳戶|Ben代墊|Ariel代墊|中信銀行共用"")), ""內部轉帳(忽略)"",
  AND(E6789&lt;&gt;"""", F6789&lt;&gt;"""", N"&amp;"OT(REGEXMATCH(C6789, ""薪資""))), ""內部轉帳(忽略)"",
  REGEXMATCH(C6789, ""薪資""), ""薪資變動(不計入)"",
  REGEXMATCH(C6789, ""押金""), ""押金往來"",
  AND(E6789&lt;&gt;"""", F6789=""""), ""真實支出"",
  AND(E6789="""", F6789&lt;&gt;""""), ""真實收入"",
  TRUE, ""其他""
)"),"其他")</f>
        <v>其他</v>
      </c>
      <c r="K6789" s="270" t="str">
        <f t="shared" si="2"/>
        <v/>
      </c>
      <c r="L6789">
        <f t="shared" si="3"/>
        <v>0</v>
      </c>
    </row>
    <row r="6790">
      <c r="A6790" s="107"/>
      <c r="D6790" s="270"/>
      <c r="H6790" s="106" t="str">
        <f t="shared" si="1"/>
        <v/>
      </c>
      <c r="J6790" t="str">
        <f>IFERROR(__xludf.DUMMYFUNCTION("IFS(
  AND(REGEXMATCH(E6790, ""台銀籌備帳戶|玉山帳戶""), REGEXMATCH(C6790, ""薪資"")), ""分潤支出"",
  AND(REGEXMATCH(E6790, ""Ben帳戶|Elsa帳戶|Ben代墊|Ariel代墊|中信銀行共用""), REGEXMATCH(F6790, ""Ben帳戶|Elsa帳戶|Ben代墊|Ariel代墊|中信銀行共用"")), ""內部轉帳(忽略)"",
  AND(E6790&lt;&gt;"""", F6790&lt;&gt;"""", N"&amp;"OT(REGEXMATCH(C6790, ""薪資""))), ""內部轉帳(忽略)"",
  REGEXMATCH(C6790, ""薪資""), ""薪資變動(不計入)"",
  REGEXMATCH(C6790, ""押金""), ""押金往來"",
  AND(E6790&lt;&gt;"""", F6790=""""), ""真實支出"",
  AND(E6790="""", F6790&lt;&gt;""""), ""真實收入"",
  TRUE, ""其他""
)"),"其他")</f>
        <v>其他</v>
      </c>
      <c r="K6790" s="270" t="str">
        <f t="shared" si="2"/>
        <v/>
      </c>
      <c r="L6790">
        <f t="shared" si="3"/>
        <v>0</v>
      </c>
    </row>
    <row r="6791">
      <c r="A6791" s="107"/>
      <c r="D6791" s="270"/>
      <c r="H6791" s="106" t="str">
        <f t="shared" si="1"/>
        <v/>
      </c>
      <c r="J6791" t="str">
        <f>IFERROR(__xludf.DUMMYFUNCTION("IFS(
  AND(REGEXMATCH(E6791, ""台銀籌備帳戶|玉山帳戶""), REGEXMATCH(C6791, ""薪資"")), ""分潤支出"",
  AND(REGEXMATCH(E6791, ""Ben帳戶|Elsa帳戶|Ben代墊|Ariel代墊|中信銀行共用""), REGEXMATCH(F6791, ""Ben帳戶|Elsa帳戶|Ben代墊|Ariel代墊|中信銀行共用"")), ""內部轉帳(忽略)"",
  AND(E6791&lt;&gt;"""", F6791&lt;&gt;"""", N"&amp;"OT(REGEXMATCH(C6791, ""薪資""))), ""內部轉帳(忽略)"",
  REGEXMATCH(C6791, ""薪資""), ""薪資變動(不計入)"",
  REGEXMATCH(C6791, ""押金""), ""押金往來"",
  AND(E6791&lt;&gt;"""", F6791=""""), ""真實支出"",
  AND(E6791="""", F6791&lt;&gt;""""), ""真實收入"",
  TRUE, ""其他""
)"),"其他")</f>
        <v>其他</v>
      </c>
      <c r="K6791" s="270" t="str">
        <f t="shared" si="2"/>
        <v/>
      </c>
      <c r="L6791">
        <f t="shared" si="3"/>
        <v>0</v>
      </c>
    </row>
    <row r="6792">
      <c r="A6792" s="107"/>
      <c r="D6792" s="270"/>
      <c r="H6792" s="106" t="str">
        <f t="shared" si="1"/>
        <v/>
      </c>
      <c r="J6792" t="str">
        <f>IFERROR(__xludf.DUMMYFUNCTION("IFS(
  AND(REGEXMATCH(E6792, ""台銀籌備帳戶|玉山帳戶""), REGEXMATCH(C6792, ""薪資"")), ""分潤支出"",
  AND(REGEXMATCH(E6792, ""Ben帳戶|Elsa帳戶|Ben代墊|Ariel代墊|中信銀行共用""), REGEXMATCH(F6792, ""Ben帳戶|Elsa帳戶|Ben代墊|Ariel代墊|中信銀行共用"")), ""內部轉帳(忽略)"",
  AND(E6792&lt;&gt;"""", F6792&lt;&gt;"""", N"&amp;"OT(REGEXMATCH(C6792, ""薪資""))), ""內部轉帳(忽略)"",
  REGEXMATCH(C6792, ""薪資""), ""薪資變動(不計入)"",
  REGEXMATCH(C6792, ""押金""), ""押金往來"",
  AND(E6792&lt;&gt;"""", F6792=""""), ""真實支出"",
  AND(E6792="""", F6792&lt;&gt;""""), ""真實收入"",
  TRUE, ""其他""
)"),"其他")</f>
        <v>其他</v>
      </c>
      <c r="K6792" s="270" t="str">
        <f t="shared" si="2"/>
        <v/>
      </c>
      <c r="L6792">
        <f t="shared" si="3"/>
        <v>0</v>
      </c>
    </row>
    <row r="6793">
      <c r="A6793" s="107"/>
      <c r="D6793" s="270"/>
      <c r="H6793" s="106" t="str">
        <f t="shared" si="1"/>
        <v/>
      </c>
      <c r="J6793" t="str">
        <f>IFERROR(__xludf.DUMMYFUNCTION("IFS(
  AND(REGEXMATCH(E6793, ""台銀籌備帳戶|玉山帳戶""), REGEXMATCH(C6793, ""薪資"")), ""分潤支出"",
  AND(REGEXMATCH(E6793, ""Ben帳戶|Elsa帳戶|Ben代墊|Ariel代墊|中信銀行共用""), REGEXMATCH(F6793, ""Ben帳戶|Elsa帳戶|Ben代墊|Ariel代墊|中信銀行共用"")), ""內部轉帳(忽略)"",
  AND(E6793&lt;&gt;"""", F6793&lt;&gt;"""", N"&amp;"OT(REGEXMATCH(C6793, ""薪資""))), ""內部轉帳(忽略)"",
  REGEXMATCH(C6793, ""薪資""), ""薪資變動(不計入)"",
  REGEXMATCH(C6793, ""押金""), ""押金往來"",
  AND(E6793&lt;&gt;"""", F6793=""""), ""真實支出"",
  AND(E6793="""", F6793&lt;&gt;""""), ""真實收入"",
  TRUE, ""其他""
)"),"其他")</f>
        <v>其他</v>
      </c>
      <c r="K6793" s="270" t="str">
        <f t="shared" si="2"/>
        <v/>
      </c>
      <c r="L6793">
        <f t="shared" si="3"/>
        <v>0</v>
      </c>
    </row>
    <row r="6794">
      <c r="A6794" s="107"/>
      <c r="D6794" s="270"/>
      <c r="H6794" s="106" t="str">
        <f t="shared" si="1"/>
        <v/>
      </c>
      <c r="J6794" t="str">
        <f>IFERROR(__xludf.DUMMYFUNCTION("IFS(
  AND(REGEXMATCH(E6794, ""台銀籌備帳戶|玉山帳戶""), REGEXMATCH(C6794, ""薪資"")), ""分潤支出"",
  AND(REGEXMATCH(E6794, ""Ben帳戶|Elsa帳戶|Ben代墊|Ariel代墊|中信銀行共用""), REGEXMATCH(F6794, ""Ben帳戶|Elsa帳戶|Ben代墊|Ariel代墊|中信銀行共用"")), ""內部轉帳(忽略)"",
  AND(E6794&lt;&gt;"""", F6794&lt;&gt;"""", N"&amp;"OT(REGEXMATCH(C6794, ""薪資""))), ""內部轉帳(忽略)"",
  REGEXMATCH(C6794, ""薪資""), ""薪資變動(不計入)"",
  REGEXMATCH(C6794, ""押金""), ""押金往來"",
  AND(E6794&lt;&gt;"""", F6794=""""), ""真實支出"",
  AND(E6794="""", F6794&lt;&gt;""""), ""真實收入"",
  TRUE, ""其他""
)"),"其他")</f>
        <v>其他</v>
      </c>
      <c r="K6794" s="270" t="str">
        <f t="shared" si="2"/>
        <v/>
      </c>
      <c r="L6794">
        <f t="shared" si="3"/>
        <v>0</v>
      </c>
    </row>
    <row r="6795">
      <c r="A6795" s="107"/>
      <c r="D6795" s="270"/>
      <c r="H6795" s="106" t="str">
        <f t="shared" si="1"/>
        <v/>
      </c>
      <c r="J6795" t="str">
        <f>IFERROR(__xludf.DUMMYFUNCTION("IFS(
  AND(REGEXMATCH(E6795, ""台銀籌備帳戶|玉山帳戶""), REGEXMATCH(C6795, ""薪資"")), ""分潤支出"",
  AND(REGEXMATCH(E6795, ""Ben帳戶|Elsa帳戶|Ben代墊|Ariel代墊|中信銀行共用""), REGEXMATCH(F6795, ""Ben帳戶|Elsa帳戶|Ben代墊|Ariel代墊|中信銀行共用"")), ""內部轉帳(忽略)"",
  AND(E6795&lt;&gt;"""", F6795&lt;&gt;"""", N"&amp;"OT(REGEXMATCH(C6795, ""薪資""))), ""內部轉帳(忽略)"",
  REGEXMATCH(C6795, ""薪資""), ""薪資變動(不計入)"",
  REGEXMATCH(C6795, ""押金""), ""押金往來"",
  AND(E6795&lt;&gt;"""", F6795=""""), ""真實支出"",
  AND(E6795="""", F6795&lt;&gt;""""), ""真實收入"",
  TRUE, ""其他""
)"),"其他")</f>
        <v>其他</v>
      </c>
      <c r="K6795" s="270" t="str">
        <f t="shared" si="2"/>
        <v/>
      </c>
      <c r="L6795">
        <f t="shared" si="3"/>
        <v>0</v>
      </c>
    </row>
    <row r="6796">
      <c r="A6796" s="107"/>
      <c r="D6796" s="270"/>
      <c r="H6796" s="106" t="str">
        <f t="shared" si="1"/>
        <v/>
      </c>
      <c r="J6796" t="str">
        <f>IFERROR(__xludf.DUMMYFUNCTION("IFS(
  AND(REGEXMATCH(E6796, ""台銀籌備帳戶|玉山帳戶""), REGEXMATCH(C6796, ""薪資"")), ""分潤支出"",
  AND(REGEXMATCH(E6796, ""Ben帳戶|Elsa帳戶|Ben代墊|Ariel代墊|中信銀行共用""), REGEXMATCH(F6796, ""Ben帳戶|Elsa帳戶|Ben代墊|Ariel代墊|中信銀行共用"")), ""內部轉帳(忽略)"",
  AND(E6796&lt;&gt;"""", F6796&lt;&gt;"""", N"&amp;"OT(REGEXMATCH(C6796, ""薪資""))), ""內部轉帳(忽略)"",
  REGEXMATCH(C6796, ""薪資""), ""薪資變動(不計入)"",
  REGEXMATCH(C6796, ""押金""), ""押金往來"",
  AND(E6796&lt;&gt;"""", F6796=""""), ""真實支出"",
  AND(E6796="""", F6796&lt;&gt;""""), ""真實收入"",
  TRUE, ""其他""
)"),"其他")</f>
        <v>其他</v>
      </c>
      <c r="K6796" s="270" t="str">
        <f t="shared" si="2"/>
        <v/>
      </c>
      <c r="L6796">
        <f t="shared" si="3"/>
        <v>0</v>
      </c>
    </row>
    <row r="6797">
      <c r="A6797" s="107"/>
      <c r="D6797" s="270"/>
      <c r="H6797" s="106" t="str">
        <f t="shared" si="1"/>
        <v/>
      </c>
      <c r="J6797" t="str">
        <f>IFERROR(__xludf.DUMMYFUNCTION("IFS(
  AND(REGEXMATCH(E6797, ""台銀籌備帳戶|玉山帳戶""), REGEXMATCH(C6797, ""薪資"")), ""分潤支出"",
  AND(REGEXMATCH(E6797, ""Ben帳戶|Elsa帳戶|Ben代墊|Ariel代墊|中信銀行共用""), REGEXMATCH(F6797, ""Ben帳戶|Elsa帳戶|Ben代墊|Ariel代墊|中信銀行共用"")), ""內部轉帳(忽略)"",
  AND(E6797&lt;&gt;"""", F6797&lt;&gt;"""", N"&amp;"OT(REGEXMATCH(C6797, ""薪資""))), ""內部轉帳(忽略)"",
  REGEXMATCH(C6797, ""薪資""), ""薪資變動(不計入)"",
  REGEXMATCH(C6797, ""押金""), ""押金往來"",
  AND(E6797&lt;&gt;"""", F6797=""""), ""真實支出"",
  AND(E6797="""", F6797&lt;&gt;""""), ""真實收入"",
  TRUE, ""其他""
)"),"其他")</f>
        <v>其他</v>
      </c>
      <c r="K6797" s="270" t="str">
        <f t="shared" si="2"/>
        <v/>
      </c>
      <c r="L6797">
        <f t="shared" si="3"/>
        <v>0</v>
      </c>
    </row>
    <row r="6798">
      <c r="A6798" s="107"/>
      <c r="D6798" s="270"/>
      <c r="H6798" s="106" t="str">
        <f t="shared" si="1"/>
        <v/>
      </c>
      <c r="J6798" t="str">
        <f>IFERROR(__xludf.DUMMYFUNCTION("IFS(
  AND(REGEXMATCH(E6798, ""台銀籌備帳戶|玉山帳戶""), REGEXMATCH(C6798, ""薪資"")), ""分潤支出"",
  AND(REGEXMATCH(E6798, ""Ben帳戶|Elsa帳戶|Ben代墊|Ariel代墊|中信銀行共用""), REGEXMATCH(F6798, ""Ben帳戶|Elsa帳戶|Ben代墊|Ariel代墊|中信銀行共用"")), ""內部轉帳(忽略)"",
  AND(E6798&lt;&gt;"""", F6798&lt;&gt;"""", N"&amp;"OT(REGEXMATCH(C6798, ""薪資""))), ""內部轉帳(忽略)"",
  REGEXMATCH(C6798, ""薪資""), ""薪資變動(不計入)"",
  REGEXMATCH(C6798, ""押金""), ""押金往來"",
  AND(E6798&lt;&gt;"""", F6798=""""), ""真實支出"",
  AND(E6798="""", F6798&lt;&gt;""""), ""真實收入"",
  TRUE, ""其他""
)"),"其他")</f>
        <v>其他</v>
      </c>
      <c r="K6798" s="270" t="str">
        <f t="shared" si="2"/>
        <v/>
      </c>
      <c r="L6798">
        <f t="shared" si="3"/>
        <v>0</v>
      </c>
    </row>
    <row r="6799">
      <c r="A6799" s="107"/>
      <c r="D6799" s="270"/>
      <c r="H6799" s="106" t="str">
        <f t="shared" si="1"/>
        <v/>
      </c>
      <c r="J6799" t="str">
        <f>IFERROR(__xludf.DUMMYFUNCTION("IFS(
  AND(REGEXMATCH(E6799, ""台銀籌備帳戶|玉山帳戶""), REGEXMATCH(C6799, ""薪資"")), ""分潤支出"",
  AND(REGEXMATCH(E6799, ""Ben帳戶|Elsa帳戶|Ben代墊|Ariel代墊|中信銀行共用""), REGEXMATCH(F6799, ""Ben帳戶|Elsa帳戶|Ben代墊|Ariel代墊|中信銀行共用"")), ""內部轉帳(忽略)"",
  AND(E6799&lt;&gt;"""", F6799&lt;&gt;"""", N"&amp;"OT(REGEXMATCH(C6799, ""薪資""))), ""內部轉帳(忽略)"",
  REGEXMATCH(C6799, ""薪資""), ""薪資變動(不計入)"",
  REGEXMATCH(C6799, ""押金""), ""押金往來"",
  AND(E6799&lt;&gt;"""", F6799=""""), ""真實支出"",
  AND(E6799="""", F6799&lt;&gt;""""), ""真實收入"",
  TRUE, ""其他""
)"),"其他")</f>
        <v>其他</v>
      </c>
      <c r="K6799" s="270" t="str">
        <f t="shared" si="2"/>
        <v/>
      </c>
      <c r="L6799">
        <f t="shared" si="3"/>
        <v>0</v>
      </c>
    </row>
    <row r="6800">
      <c r="A6800" s="107"/>
      <c r="D6800" s="270"/>
      <c r="H6800" s="106" t="str">
        <f t="shared" si="1"/>
        <v/>
      </c>
      <c r="J6800" t="str">
        <f>IFERROR(__xludf.DUMMYFUNCTION("IFS(
  AND(REGEXMATCH(E6800, ""台銀籌備帳戶|玉山帳戶""), REGEXMATCH(C6800, ""薪資"")), ""分潤支出"",
  AND(REGEXMATCH(E6800, ""Ben帳戶|Elsa帳戶|Ben代墊|Ariel代墊|中信銀行共用""), REGEXMATCH(F6800, ""Ben帳戶|Elsa帳戶|Ben代墊|Ariel代墊|中信銀行共用"")), ""內部轉帳(忽略)"",
  AND(E6800&lt;&gt;"""", F6800&lt;&gt;"""", N"&amp;"OT(REGEXMATCH(C6800, ""薪資""))), ""內部轉帳(忽略)"",
  REGEXMATCH(C6800, ""薪資""), ""薪資變動(不計入)"",
  REGEXMATCH(C6800, ""押金""), ""押金往來"",
  AND(E6800&lt;&gt;"""", F6800=""""), ""真實支出"",
  AND(E6800="""", F6800&lt;&gt;""""), ""真實收入"",
  TRUE, ""其他""
)"),"其他")</f>
        <v>其他</v>
      </c>
      <c r="K6800" s="270" t="str">
        <f t="shared" si="2"/>
        <v/>
      </c>
      <c r="L6800">
        <f t="shared" si="3"/>
        <v>0</v>
      </c>
    </row>
    <row r="6801">
      <c r="A6801" s="107"/>
      <c r="D6801" s="270"/>
      <c r="H6801" s="106" t="str">
        <f t="shared" si="1"/>
        <v/>
      </c>
      <c r="J6801" t="str">
        <f>IFERROR(__xludf.DUMMYFUNCTION("IFS(
  AND(REGEXMATCH(E6801, ""台銀籌備帳戶|玉山帳戶""), REGEXMATCH(C6801, ""薪資"")), ""分潤支出"",
  AND(REGEXMATCH(E6801, ""Ben帳戶|Elsa帳戶|Ben代墊|Ariel代墊|中信銀行共用""), REGEXMATCH(F6801, ""Ben帳戶|Elsa帳戶|Ben代墊|Ariel代墊|中信銀行共用"")), ""內部轉帳(忽略)"",
  AND(E6801&lt;&gt;"""", F6801&lt;&gt;"""", N"&amp;"OT(REGEXMATCH(C6801, ""薪資""))), ""內部轉帳(忽略)"",
  REGEXMATCH(C6801, ""薪資""), ""薪資變動(不計入)"",
  REGEXMATCH(C6801, ""押金""), ""押金往來"",
  AND(E6801&lt;&gt;"""", F6801=""""), ""真實支出"",
  AND(E6801="""", F6801&lt;&gt;""""), ""真實收入"",
  TRUE, ""其他""
)"),"其他")</f>
        <v>其他</v>
      </c>
      <c r="K6801" s="270" t="str">
        <f t="shared" si="2"/>
        <v/>
      </c>
      <c r="L6801">
        <f t="shared" si="3"/>
        <v>0</v>
      </c>
    </row>
    <row r="6802">
      <c r="A6802" s="107"/>
      <c r="D6802" s="270"/>
      <c r="H6802" s="106" t="str">
        <f t="shared" si="1"/>
        <v/>
      </c>
      <c r="J6802" t="str">
        <f>IFERROR(__xludf.DUMMYFUNCTION("IFS(
  AND(REGEXMATCH(E6802, ""台銀籌備帳戶|玉山帳戶""), REGEXMATCH(C6802, ""薪資"")), ""分潤支出"",
  AND(REGEXMATCH(E6802, ""Ben帳戶|Elsa帳戶|Ben代墊|Ariel代墊|中信銀行共用""), REGEXMATCH(F6802, ""Ben帳戶|Elsa帳戶|Ben代墊|Ariel代墊|中信銀行共用"")), ""內部轉帳(忽略)"",
  AND(E6802&lt;&gt;"""", F6802&lt;&gt;"""", N"&amp;"OT(REGEXMATCH(C6802, ""薪資""))), ""內部轉帳(忽略)"",
  REGEXMATCH(C6802, ""薪資""), ""薪資變動(不計入)"",
  REGEXMATCH(C6802, ""押金""), ""押金往來"",
  AND(E6802&lt;&gt;"""", F6802=""""), ""真實支出"",
  AND(E6802="""", F6802&lt;&gt;""""), ""真實收入"",
  TRUE, ""其他""
)"),"其他")</f>
        <v>其他</v>
      </c>
      <c r="K6802" s="270" t="str">
        <f t="shared" si="2"/>
        <v/>
      </c>
      <c r="L6802">
        <f t="shared" si="3"/>
        <v>0</v>
      </c>
    </row>
    <row r="6803">
      <c r="A6803" s="107"/>
      <c r="D6803" s="270"/>
      <c r="H6803" s="106" t="str">
        <f t="shared" si="1"/>
        <v/>
      </c>
      <c r="J6803" t="str">
        <f>IFERROR(__xludf.DUMMYFUNCTION("IFS(
  AND(REGEXMATCH(E6803, ""台銀籌備帳戶|玉山帳戶""), REGEXMATCH(C6803, ""薪資"")), ""分潤支出"",
  AND(REGEXMATCH(E6803, ""Ben帳戶|Elsa帳戶|Ben代墊|Ariel代墊|中信銀行共用""), REGEXMATCH(F6803, ""Ben帳戶|Elsa帳戶|Ben代墊|Ariel代墊|中信銀行共用"")), ""內部轉帳(忽略)"",
  AND(E6803&lt;&gt;"""", F6803&lt;&gt;"""", N"&amp;"OT(REGEXMATCH(C6803, ""薪資""))), ""內部轉帳(忽略)"",
  REGEXMATCH(C6803, ""薪資""), ""薪資變動(不計入)"",
  REGEXMATCH(C6803, ""押金""), ""押金往來"",
  AND(E6803&lt;&gt;"""", F6803=""""), ""真實支出"",
  AND(E6803="""", F6803&lt;&gt;""""), ""真實收入"",
  TRUE, ""其他""
)"),"其他")</f>
        <v>其他</v>
      </c>
      <c r="K6803" s="270" t="str">
        <f t="shared" si="2"/>
        <v/>
      </c>
      <c r="L6803">
        <f t="shared" si="3"/>
        <v>0</v>
      </c>
    </row>
    <row r="6804">
      <c r="A6804" s="107"/>
      <c r="D6804" s="270"/>
      <c r="H6804" s="106" t="str">
        <f t="shared" si="1"/>
        <v/>
      </c>
      <c r="J6804" t="str">
        <f>IFERROR(__xludf.DUMMYFUNCTION("IFS(
  AND(REGEXMATCH(E6804, ""台銀籌備帳戶|玉山帳戶""), REGEXMATCH(C6804, ""薪資"")), ""分潤支出"",
  AND(REGEXMATCH(E6804, ""Ben帳戶|Elsa帳戶|Ben代墊|Ariel代墊|中信銀行共用""), REGEXMATCH(F6804, ""Ben帳戶|Elsa帳戶|Ben代墊|Ariel代墊|中信銀行共用"")), ""內部轉帳(忽略)"",
  AND(E6804&lt;&gt;"""", F6804&lt;&gt;"""", N"&amp;"OT(REGEXMATCH(C6804, ""薪資""))), ""內部轉帳(忽略)"",
  REGEXMATCH(C6804, ""薪資""), ""薪資變動(不計入)"",
  REGEXMATCH(C6804, ""押金""), ""押金往來"",
  AND(E6804&lt;&gt;"""", F6804=""""), ""真實支出"",
  AND(E6804="""", F6804&lt;&gt;""""), ""真實收入"",
  TRUE, ""其他""
)"),"其他")</f>
        <v>其他</v>
      </c>
      <c r="K6804" s="270" t="str">
        <f t="shared" si="2"/>
        <v/>
      </c>
      <c r="L6804">
        <f t="shared" si="3"/>
        <v>0</v>
      </c>
    </row>
    <row r="6805">
      <c r="A6805" s="107"/>
      <c r="D6805" s="270"/>
      <c r="H6805" s="106" t="str">
        <f t="shared" si="1"/>
        <v/>
      </c>
      <c r="J6805" t="str">
        <f>IFERROR(__xludf.DUMMYFUNCTION("IFS(
  AND(REGEXMATCH(E6805, ""台銀籌備帳戶|玉山帳戶""), REGEXMATCH(C6805, ""薪資"")), ""分潤支出"",
  AND(REGEXMATCH(E6805, ""Ben帳戶|Elsa帳戶|Ben代墊|Ariel代墊|中信銀行共用""), REGEXMATCH(F6805, ""Ben帳戶|Elsa帳戶|Ben代墊|Ariel代墊|中信銀行共用"")), ""內部轉帳(忽略)"",
  AND(E6805&lt;&gt;"""", F6805&lt;&gt;"""", N"&amp;"OT(REGEXMATCH(C6805, ""薪資""))), ""內部轉帳(忽略)"",
  REGEXMATCH(C6805, ""薪資""), ""薪資變動(不計入)"",
  REGEXMATCH(C6805, ""押金""), ""押金往來"",
  AND(E6805&lt;&gt;"""", F6805=""""), ""真實支出"",
  AND(E6805="""", F6805&lt;&gt;""""), ""真實收入"",
  TRUE, ""其他""
)"),"其他")</f>
        <v>其他</v>
      </c>
      <c r="K6805" s="270" t="str">
        <f t="shared" si="2"/>
        <v/>
      </c>
      <c r="L6805">
        <f t="shared" si="3"/>
        <v>0</v>
      </c>
    </row>
    <row r="6806">
      <c r="A6806" s="107"/>
      <c r="D6806" s="270"/>
      <c r="H6806" s="106" t="str">
        <f t="shared" si="1"/>
        <v/>
      </c>
      <c r="J6806" t="str">
        <f>IFERROR(__xludf.DUMMYFUNCTION("IFS(
  AND(REGEXMATCH(E6806, ""台銀籌備帳戶|玉山帳戶""), REGEXMATCH(C6806, ""薪資"")), ""分潤支出"",
  AND(REGEXMATCH(E6806, ""Ben帳戶|Elsa帳戶|Ben代墊|Ariel代墊|中信銀行共用""), REGEXMATCH(F6806, ""Ben帳戶|Elsa帳戶|Ben代墊|Ariel代墊|中信銀行共用"")), ""內部轉帳(忽略)"",
  AND(E6806&lt;&gt;"""", F6806&lt;&gt;"""", N"&amp;"OT(REGEXMATCH(C6806, ""薪資""))), ""內部轉帳(忽略)"",
  REGEXMATCH(C6806, ""薪資""), ""薪資變動(不計入)"",
  REGEXMATCH(C6806, ""押金""), ""押金往來"",
  AND(E6806&lt;&gt;"""", F6806=""""), ""真實支出"",
  AND(E6806="""", F6806&lt;&gt;""""), ""真實收入"",
  TRUE, ""其他""
)"),"其他")</f>
        <v>其他</v>
      </c>
      <c r="K6806" s="270" t="str">
        <f t="shared" si="2"/>
        <v/>
      </c>
      <c r="L6806">
        <f t="shared" si="3"/>
        <v>0</v>
      </c>
    </row>
    <row r="6807">
      <c r="A6807" s="107"/>
      <c r="D6807" s="270"/>
      <c r="H6807" s="106" t="str">
        <f t="shared" si="1"/>
        <v/>
      </c>
      <c r="J6807" t="str">
        <f>IFERROR(__xludf.DUMMYFUNCTION("IFS(
  AND(REGEXMATCH(E6807, ""台銀籌備帳戶|玉山帳戶""), REGEXMATCH(C6807, ""薪資"")), ""分潤支出"",
  AND(REGEXMATCH(E6807, ""Ben帳戶|Elsa帳戶|Ben代墊|Ariel代墊|中信銀行共用""), REGEXMATCH(F6807, ""Ben帳戶|Elsa帳戶|Ben代墊|Ariel代墊|中信銀行共用"")), ""內部轉帳(忽略)"",
  AND(E6807&lt;&gt;"""", F6807&lt;&gt;"""", N"&amp;"OT(REGEXMATCH(C6807, ""薪資""))), ""內部轉帳(忽略)"",
  REGEXMATCH(C6807, ""薪資""), ""薪資變動(不計入)"",
  REGEXMATCH(C6807, ""押金""), ""押金往來"",
  AND(E6807&lt;&gt;"""", F6807=""""), ""真實支出"",
  AND(E6807="""", F6807&lt;&gt;""""), ""真實收入"",
  TRUE, ""其他""
)"),"其他")</f>
        <v>其他</v>
      </c>
      <c r="K6807" s="270" t="str">
        <f t="shared" si="2"/>
        <v/>
      </c>
      <c r="L6807">
        <f t="shared" si="3"/>
        <v>0</v>
      </c>
    </row>
    <row r="6808">
      <c r="A6808" s="107"/>
      <c r="D6808" s="270"/>
      <c r="H6808" s="106" t="str">
        <f t="shared" si="1"/>
        <v/>
      </c>
      <c r="J6808" t="str">
        <f>IFERROR(__xludf.DUMMYFUNCTION("IFS(
  AND(REGEXMATCH(E6808, ""台銀籌備帳戶|玉山帳戶""), REGEXMATCH(C6808, ""薪資"")), ""分潤支出"",
  AND(REGEXMATCH(E6808, ""Ben帳戶|Elsa帳戶|Ben代墊|Ariel代墊|中信銀行共用""), REGEXMATCH(F6808, ""Ben帳戶|Elsa帳戶|Ben代墊|Ariel代墊|中信銀行共用"")), ""內部轉帳(忽略)"",
  AND(E6808&lt;&gt;"""", F6808&lt;&gt;"""", N"&amp;"OT(REGEXMATCH(C6808, ""薪資""))), ""內部轉帳(忽略)"",
  REGEXMATCH(C6808, ""薪資""), ""薪資變動(不計入)"",
  REGEXMATCH(C6808, ""押金""), ""押金往來"",
  AND(E6808&lt;&gt;"""", F6808=""""), ""真實支出"",
  AND(E6808="""", F6808&lt;&gt;""""), ""真實收入"",
  TRUE, ""其他""
)"),"其他")</f>
        <v>其他</v>
      </c>
      <c r="K6808" s="270" t="str">
        <f t="shared" si="2"/>
        <v/>
      </c>
      <c r="L6808">
        <f t="shared" si="3"/>
        <v>0</v>
      </c>
    </row>
    <row r="6809">
      <c r="A6809" s="107"/>
      <c r="D6809" s="270"/>
      <c r="H6809" s="106" t="str">
        <f t="shared" si="1"/>
        <v/>
      </c>
      <c r="J6809" t="str">
        <f>IFERROR(__xludf.DUMMYFUNCTION("IFS(
  AND(REGEXMATCH(E6809, ""台銀籌備帳戶|玉山帳戶""), REGEXMATCH(C6809, ""薪資"")), ""分潤支出"",
  AND(REGEXMATCH(E6809, ""Ben帳戶|Elsa帳戶|Ben代墊|Ariel代墊|中信銀行共用""), REGEXMATCH(F6809, ""Ben帳戶|Elsa帳戶|Ben代墊|Ariel代墊|中信銀行共用"")), ""內部轉帳(忽略)"",
  AND(E6809&lt;&gt;"""", F6809&lt;&gt;"""", N"&amp;"OT(REGEXMATCH(C6809, ""薪資""))), ""內部轉帳(忽略)"",
  REGEXMATCH(C6809, ""薪資""), ""薪資變動(不計入)"",
  REGEXMATCH(C6809, ""押金""), ""押金往來"",
  AND(E6809&lt;&gt;"""", F6809=""""), ""真實支出"",
  AND(E6809="""", F6809&lt;&gt;""""), ""真實收入"",
  TRUE, ""其他""
)"),"其他")</f>
        <v>其他</v>
      </c>
      <c r="K6809" s="270" t="str">
        <f t="shared" si="2"/>
        <v/>
      </c>
      <c r="L6809">
        <f t="shared" si="3"/>
        <v>0</v>
      </c>
    </row>
    <row r="6810">
      <c r="A6810" s="107"/>
      <c r="D6810" s="270"/>
      <c r="H6810" s="106" t="str">
        <f t="shared" si="1"/>
        <v/>
      </c>
      <c r="J6810" t="str">
        <f>IFERROR(__xludf.DUMMYFUNCTION("IFS(
  AND(REGEXMATCH(E6810, ""台銀籌備帳戶|玉山帳戶""), REGEXMATCH(C6810, ""薪資"")), ""分潤支出"",
  AND(REGEXMATCH(E6810, ""Ben帳戶|Elsa帳戶|Ben代墊|Ariel代墊|中信銀行共用""), REGEXMATCH(F6810, ""Ben帳戶|Elsa帳戶|Ben代墊|Ariel代墊|中信銀行共用"")), ""內部轉帳(忽略)"",
  AND(E6810&lt;&gt;"""", F6810&lt;&gt;"""", N"&amp;"OT(REGEXMATCH(C6810, ""薪資""))), ""內部轉帳(忽略)"",
  REGEXMATCH(C6810, ""薪資""), ""薪資變動(不計入)"",
  REGEXMATCH(C6810, ""押金""), ""押金往來"",
  AND(E6810&lt;&gt;"""", F6810=""""), ""真實支出"",
  AND(E6810="""", F6810&lt;&gt;""""), ""真實收入"",
  TRUE, ""其他""
)"),"其他")</f>
        <v>其他</v>
      </c>
      <c r="K6810" s="270" t="str">
        <f t="shared" si="2"/>
        <v/>
      </c>
      <c r="L6810">
        <f t="shared" si="3"/>
        <v>0</v>
      </c>
    </row>
    <row r="6811">
      <c r="A6811" s="107"/>
      <c r="D6811" s="270"/>
      <c r="H6811" s="106" t="str">
        <f t="shared" si="1"/>
        <v/>
      </c>
      <c r="J6811" t="str">
        <f>IFERROR(__xludf.DUMMYFUNCTION("IFS(
  AND(REGEXMATCH(E6811, ""台銀籌備帳戶|玉山帳戶""), REGEXMATCH(C6811, ""薪資"")), ""分潤支出"",
  AND(REGEXMATCH(E6811, ""Ben帳戶|Elsa帳戶|Ben代墊|Ariel代墊|中信銀行共用""), REGEXMATCH(F6811, ""Ben帳戶|Elsa帳戶|Ben代墊|Ariel代墊|中信銀行共用"")), ""內部轉帳(忽略)"",
  AND(E6811&lt;&gt;"""", F6811&lt;&gt;"""", N"&amp;"OT(REGEXMATCH(C6811, ""薪資""))), ""內部轉帳(忽略)"",
  REGEXMATCH(C6811, ""薪資""), ""薪資變動(不計入)"",
  REGEXMATCH(C6811, ""押金""), ""押金往來"",
  AND(E6811&lt;&gt;"""", F6811=""""), ""真實支出"",
  AND(E6811="""", F6811&lt;&gt;""""), ""真實收入"",
  TRUE, ""其他""
)"),"其他")</f>
        <v>其他</v>
      </c>
      <c r="K6811" s="270" t="str">
        <f t="shared" si="2"/>
        <v/>
      </c>
      <c r="L6811">
        <f t="shared" si="3"/>
        <v>0</v>
      </c>
    </row>
    <row r="6812">
      <c r="A6812" s="107"/>
      <c r="D6812" s="270"/>
      <c r="H6812" s="106" t="str">
        <f t="shared" si="1"/>
        <v/>
      </c>
      <c r="J6812" t="str">
        <f>IFERROR(__xludf.DUMMYFUNCTION("IFS(
  AND(REGEXMATCH(E6812, ""台銀籌備帳戶|玉山帳戶""), REGEXMATCH(C6812, ""薪資"")), ""分潤支出"",
  AND(REGEXMATCH(E6812, ""Ben帳戶|Elsa帳戶|Ben代墊|Ariel代墊|中信銀行共用""), REGEXMATCH(F6812, ""Ben帳戶|Elsa帳戶|Ben代墊|Ariel代墊|中信銀行共用"")), ""內部轉帳(忽略)"",
  AND(E6812&lt;&gt;"""", F6812&lt;&gt;"""", N"&amp;"OT(REGEXMATCH(C6812, ""薪資""))), ""內部轉帳(忽略)"",
  REGEXMATCH(C6812, ""薪資""), ""薪資變動(不計入)"",
  REGEXMATCH(C6812, ""押金""), ""押金往來"",
  AND(E6812&lt;&gt;"""", F6812=""""), ""真實支出"",
  AND(E6812="""", F6812&lt;&gt;""""), ""真實收入"",
  TRUE, ""其他""
)"),"其他")</f>
        <v>其他</v>
      </c>
      <c r="K6812" s="270" t="str">
        <f t="shared" si="2"/>
        <v/>
      </c>
      <c r="L6812">
        <f t="shared" si="3"/>
        <v>0</v>
      </c>
    </row>
    <row r="6813">
      <c r="A6813" s="107"/>
      <c r="D6813" s="270"/>
      <c r="H6813" s="106" t="str">
        <f t="shared" si="1"/>
        <v/>
      </c>
      <c r="J6813" t="str">
        <f>IFERROR(__xludf.DUMMYFUNCTION("IFS(
  AND(REGEXMATCH(E6813, ""台銀籌備帳戶|玉山帳戶""), REGEXMATCH(C6813, ""薪資"")), ""分潤支出"",
  AND(REGEXMATCH(E6813, ""Ben帳戶|Elsa帳戶|Ben代墊|Ariel代墊|中信銀行共用""), REGEXMATCH(F6813, ""Ben帳戶|Elsa帳戶|Ben代墊|Ariel代墊|中信銀行共用"")), ""內部轉帳(忽略)"",
  AND(E6813&lt;&gt;"""", F6813&lt;&gt;"""", N"&amp;"OT(REGEXMATCH(C6813, ""薪資""))), ""內部轉帳(忽略)"",
  REGEXMATCH(C6813, ""薪資""), ""薪資變動(不計入)"",
  REGEXMATCH(C6813, ""押金""), ""押金往來"",
  AND(E6813&lt;&gt;"""", F6813=""""), ""真實支出"",
  AND(E6813="""", F6813&lt;&gt;""""), ""真實收入"",
  TRUE, ""其他""
)"),"其他")</f>
        <v>其他</v>
      </c>
      <c r="K6813" s="270" t="str">
        <f t="shared" si="2"/>
        <v/>
      </c>
      <c r="L6813">
        <f t="shared" si="3"/>
        <v>0</v>
      </c>
    </row>
    <row r="6814">
      <c r="A6814" s="107"/>
      <c r="D6814" s="270"/>
      <c r="H6814" s="106" t="str">
        <f t="shared" si="1"/>
        <v/>
      </c>
      <c r="J6814" t="str">
        <f>IFERROR(__xludf.DUMMYFUNCTION("IFS(
  AND(REGEXMATCH(E6814, ""台銀籌備帳戶|玉山帳戶""), REGEXMATCH(C6814, ""薪資"")), ""分潤支出"",
  AND(REGEXMATCH(E6814, ""Ben帳戶|Elsa帳戶|Ben代墊|Ariel代墊|中信銀行共用""), REGEXMATCH(F6814, ""Ben帳戶|Elsa帳戶|Ben代墊|Ariel代墊|中信銀行共用"")), ""內部轉帳(忽略)"",
  AND(E6814&lt;&gt;"""", F6814&lt;&gt;"""", N"&amp;"OT(REGEXMATCH(C6814, ""薪資""))), ""內部轉帳(忽略)"",
  REGEXMATCH(C6814, ""薪資""), ""薪資變動(不計入)"",
  REGEXMATCH(C6814, ""押金""), ""押金往來"",
  AND(E6814&lt;&gt;"""", F6814=""""), ""真實支出"",
  AND(E6814="""", F6814&lt;&gt;""""), ""真實收入"",
  TRUE, ""其他""
)"),"其他")</f>
        <v>其他</v>
      </c>
      <c r="K6814" s="270" t="str">
        <f t="shared" si="2"/>
        <v/>
      </c>
      <c r="L6814">
        <f t="shared" si="3"/>
        <v>0</v>
      </c>
    </row>
    <row r="6815">
      <c r="A6815" s="107"/>
      <c r="D6815" s="270"/>
      <c r="H6815" s="106" t="str">
        <f t="shared" si="1"/>
        <v/>
      </c>
      <c r="J6815" t="str">
        <f>IFERROR(__xludf.DUMMYFUNCTION("IFS(
  AND(REGEXMATCH(E6815, ""台銀籌備帳戶|玉山帳戶""), REGEXMATCH(C6815, ""薪資"")), ""分潤支出"",
  AND(REGEXMATCH(E6815, ""Ben帳戶|Elsa帳戶|Ben代墊|Ariel代墊|中信銀行共用""), REGEXMATCH(F6815, ""Ben帳戶|Elsa帳戶|Ben代墊|Ariel代墊|中信銀行共用"")), ""內部轉帳(忽略)"",
  AND(E6815&lt;&gt;"""", F6815&lt;&gt;"""", N"&amp;"OT(REGEXMATCH(C6815, ""薪資""))), ""內部轉帳(忽略)"",
  REGEXMATCH(C6815, ""薪資""), ""薪資變動(不計入)"",
  REGEXMATCH(C6815, ""押金""), ""押金往來"",
  AND(E6815&lt;&gt;"""", F6815=""""), ""真實支出"",
  AND(E6815="""", F6815&lt;&gt;""""), ""真實收入"",
  TRUE, ""其他""
)"),"其他")</f>
        <v>其他</v>
      </c>
      <c r="K6815" s="270" t="str">
        <f t="shared" si="2"/>
        <v/>
      </c>
      <c r="L6815">
        <f t="shared" si="3"/>
        <v>0</v>
      </c>
    </row>
    <row r="6816">
      <c r="A6816" s="107"/>
      <c r="D6816" s="270"/>
      <c r="H6816" s="106" t="str">
        <f t="shared" si="1"/>
        <v/>
      </c>
      <c r="J6816" t="str">
        <f>IFERROR(__xludf.DUMMYFUNCTION("IFS(
  AND(REGEXMATCH(E6816, ""台銀籌備帳戶|玉山帳戶""), REGEXMATCH(C6816, ""薪資"")), ""分潤支出"",
  AND(REGEXMATCH(E6816, ""Ben帳戶|Elsa帳戶|Ben代墊|Ariel代墊|中信銀行共用""), REGEXMATCH(F6816, ""Ben帳戶|Elsa帳戶|Ben代墊|Ariel代墊|中信銀行共用"")), ""內部轉帳(忽略)"",
  AND(E6816&lt;&gt;"""", F6816&lt;&gt;"""", N"&amp;"OT(REGEXMATCH(C6816, ""薪資""))), ""內部轉帳(忽略)"",
  REGEXMATCH(C6816, ""薪資""), ""薪資變動(不計入)"",
  REGEXMATCH(C6816, ""押金""), ""押金往來"",
  AND(E6816&lt;&gt;"""", F6816=""""), ""真實支出"",
  AND(E6816="""", F6816&lt;&gt;""""), ""真實收入"",
  TRUE, ""其他""
)"),"其他")</f>
        <v>其他</v>
      </c>
      <c r="K6816" s="270" t="str">
        <f t="shared" si="2"/>
        <v/>
      </c>
      <c r="L6816">
        <f t="shared" si="3"/>
        <v>0</v>
      </c>
    </row>
    <row r="6817">
      <c r="A6817" s="107"/>
      <c r="D6817" s="270"/>
      <c r="H6817" s="106" t="str">
        <f t="shared" si="1"/>
        <v/>
      </c>
      <c r="J6817" t="str">
        <f>IFERROR(__xludf.DUMMYFUNCTION("IFS(
  AND(REGEXMATCH(E6817, ""台銀籌備帳戶|玉山帳戶""), REGEXMATCH(C6817, ""薪資"")), ""分潤支出"",
  AND(REGEXMATCH(E6817, ""Ben帳戶|Elsa帳戶|Ben代墊|Ariel代墊|中信銀行共用""), REGEXMATCH(F6817, ""Ben帳戶|Elsa帳戶|Ben代墊|Ariel代墊|中信銀行共用"")), ""內部轉帳(忽略)"",
  AND(E6817&lt;&gt;"""", F6817&lt;&gt;"""", N"&amp;"OT(REGEXMATCH(C6817, ""薪資""))), ""內部轉帳(忽略)"",
  REGEXMATCH(C6817, ""薪資""), ""薪資變動(不計入)"",
  REGEXMATCH(C6817, ""押金""), ""押金往來"",
  AND(E6817&lt;&gt;"""", F6817=""""), ""真實支出"",
  AND(E6817="""", F6817&lt;&gt;""""), ""真實收入"",
  TRUE, ""其他""
)"),"其他")</f>
        <v>其他</v>
      </c>
      <c r="K6817" s="270" t="str">
        <f t="shared" si="2"/>
        <v/>
      </c>
      <c r="L6817">
        <f t="shared" si="3"/>
        <v>0</v>
      </c>
    </row>
    <row r="6818">
      <c r="A6818" s="107"/>
      <c r="D6818" s="270"/>
      <c r="H6818" s="106" t="str">
        <f t="shared" si="1"/>
        <v/>
      </c>
      <c r="J6818" t="str">
        <f>IFERROR(__xludf.DUMMYFUNCTION("IFS(
  AND(REGEXMATCH(E6818, ""台銀籌備帳戶|玉山帳戶""), REGEXMATCH(C6818, ""薪資"")), ""分潤支出"",
  AND(REGEXMATCH(E6818, ""Ben帳戶|Elsa帳戶|Ben代墊|Ariel代墊|中信銀行共用""), REGEXMATCH(F6818, ""Ben帳戶|Elsa帳戶|Ben代墊|Ariel代墊|中信銀行共用"")), ""內部轉帳(忽略)"",
  AND(E6818&lt;&gt;"""", F6818&lt;&gt;"""", N"&amp;"OT(REGEXMATCH(C6818, ""薪資""))), ""內部轉帳(忽略)"",
  REGEXMATCH(C6818, ""薪資""), ""薪資變動(不計入)"",
  REGEXMATCH(C6818, ""押金""), ""押金往來"",
  AND(E6818&lt;&gt;"""", F6818=""""), ""真實支出"",
  AND(E6818="""", F6818&lt;&gt;""""), ""真實收入"",
  TRUE, ""其他""
)"),"其他")</f>
        <v>其他</v>
      </c>
      <c r="K6818" s="270" t="str">
        <f t="shared" si="2"/>
        <v/>
      </c>
      <c r="L6818">
        <f t="shared" si="3"/>
        <v>0</v>
      </c>
    </row>
    <row r="6819">
      <c r="A6819" s="107"/>
      <c r="D6819" s="270"/>
      <c r="H6819" s="106" t="str">
        <f t="shared" si="1"/>
        <v/>
      </c>
      <c r="J6819" t="str">
        <f>IFERROR(__xludf.DUMMYFUNCTION("IFS(
  AND(REGEXMATCH(E6819, ""台銀籌備帳戶|玉山帳戶""), REGEXMATCH(C6819, ""薪資"")), ""分潤支出"",
  AND(REGEXMATCH(E6819, ""Ben帳戶|Elsa帳戶|Ben代墊|Ariel代墊|中信銀行共用""), REGEXMATCH(F6819, ""Ben帳戶|Elsa帳戶|Ben代墊|Ariel代墊|中信銀行共用"")), ""內部轉帳(忽略)"",
  AND(E6819&lt;&gt;"""", F6819&lt;&gt;"""", N"&amp;"OT(REGEXMATCH(C6819, ""薪資""))), ""內部轉帳(忽略)"",
  REGEXMATCH(C6819, ""薪資""), ""薪資變動(不計入)"",
  REGEXMATCH(C6819, ""押金""), ""押金往來"",
  AND(E6819&lt;&gt;"""", F6819=""""), ""真實支出"",
  AND(E6819="""", F6819&lt;&gt;""""), ""真實收入"",
  TRUE, ""其他""
)"),"其他")</f>
        <v>其他</v>
      </c>
      <c r="K6819" s="270" t="str">
        <f t="shared" si="2"/>
        <v/>
      </c>
      <c r="L6819">
        <f t="shared" si="3"/>
        <v>0</v>
      </c>
    </row>
    <row r="6820">
      <c r="A6820" s="107"/>
      <c r="D6820" s="270"/>
      <c r="H6820" s="106" t="str">
        <f t="shared" si="1"/>
        <v/>
      </c>
      <c r="J6820" t="str">
        <f>IFERROR(__xludf.DUMMYFUNCTION("IFS(
  AND(REGEXMATCH(E6820, ""台銀籌備帳戶|玉山帳戶""), REGEXMATCH(C6820, ""薪資"")), ""分潤支出"",
  AND(REGEXMATCH(E6820, ""Ben帳戶|Elsa帳戶|Ben代墊|Ariel代墊|中信銀行共用""), REGEXMATCH(F6820, ""Ben帳戶|Elsa帳戶|Ben代墊|Ariel代墊|中信銀行共用"")), ""內部轉帳(忽略)"",
  AND(E6820&lt;&gt;"""", F6820&lt;&gt;"""", N"&amp;"OT(REGEXMATCH(C6820, ""薪資""))), ""內部轉帳(忽略)"",
  REGEXMATCH(C6820, ""薪資""), ""薪資變動(不計入)"",
  REGEXMATCH(C6820, ""押金""), ""押金往來"",
  AND(E6820&lt;&gt;"""", F6820=""""), ""真實支出"",
  AND(E6820="""", F6820&lt;&gt;""""), ""真實收入"",
  TRUE, ""其他""
)"),"其他")</f>
        <v>其他</v>
      </c>
      <c r="K6820" s="270" t="str">
        <f t="shared" si="2"/>
        <v/>
      </c>
      <c r="L6820">
        <f t="shared" si="3"/>
        <v>0</v>
      </c>
    </row>
    <row r="6821">
      <c r="A6821" s="107"/>
      <c r="D6821" s="270"/>
      <c r="H6821" s="106" t="str">
        <f t="shared" si="1"/>
        <v/>
      </c>
      <c r="J6821" t="str">
        <f>IFERROR(__xludf.DUMMYFUNCTION("IFS(
  AND(REGEXMATCH(E6821, ""台銀籌備帳戶|玉山帳戶""), REGEXMATCH(C6821, ""薪資"")), ""分潤支出"",
  AND(REGEXMATCH(E6821, ""Ben帳戶|Elsa帳戶|Ben代墊|Ariel代墊|中信銀行共用""), REGEXMATCH(F6821, ""Ben帳戶|Elsa帳戶|Ben代墊|Ariel代墊|中信銀行共用"")), ""內部轉帳(忽略)"",
  AND(E6821&lt;&gt;"""", F6821&lt;&gt;"""", N"&amp;"OT(REGEXMATCH(C6821, ""薪資""))), ""內部轉帳(忽略)"",
  REGEXMATCH(C6821, ""薪資""), ""薪資變動(不計入)"",
  REGEXMATCH(C6821, ""押金""), ""押金往來"",
  AND(E6821&lt;&gt;"""", F6821=""""), ""真實支出"",
  AND(E6821="""", F6821&lt;&gt;""""), ""真實收入"",
  TRUE, ""其他""
)"),"其他")</f>
        <v>其他</v>
      </c>
      <c r="K6821" s="270" t="str">
        <f t="shared" si="2"/>
        <v/>
      </c>
      <c r="L6821">
        <f t="shared" si="3"/>
        <v>0</v>
      </c>
    </row>
    <row r="6822">
      <c r="A6822" s="107"/>
      <c r="D6822" s="270"/>
      <c r="H6822" s="106" t="str">
        <f t="shared" si="1"/>
        <v/>
      </c>
      <c r="J6822" t="str">
        <f>IFERROR(__xludf.DUMMYFUNCTION("IFS(
  AND(REGEXMATCH(E6822, ""台銀籌備帳戶|玉山帳戶""), REGEXMATCH(C6822, ""薪資"")), ""分潤支出"",
  AND(REGEXMATCH(E6822, ""Ben帳戶|Elsa帳戶|Ben代墊|Ariel代墊|中信銀行共用""), REGEXMATCH(F6822, ""Ben帳戶|Elsa帳戶|Ben代墊|Ariel代墊|中信銀行共用"")), ""內部轉帳(忽略)"",
  AND(E6822&lt;&gt;"""", F6822&lt;&gt;"""", N"&amp;"OT(REGEXMATCH(C6822, ""薪資""))), ""內部轉帳(忽略)"",
  REGEXMATCH(C6822, ""薪資""), ""薪資變動(不計入)"",
  REGEXMATCH(C6822, ""押金""), ""押金往來"",
  AND(E6822&lt;&gt;"""", F6822=""""), ""真實支出"",
  AND(E6822="""", F6822&lt;&gt;""""), ""真實收入"",
  TRUE, ""其他""
)"),"其他")</f>
        <v>其他</v>
      </c>
      <c r="K6822" s="270" t="str">
        <f t="shared" si="2"/>
        <v/>
      </c>
      <c r="L6822">
        <f t="shared" si="3"/>
        <v>0</v>
      </c>
    </row>
    <row r="6823">
      <c r="A6823" s="107"/>
      <c r="D6823" s="270"/>
      <c r="H6823" s="106" t="str">
        <f t="shared" si="1"/>
        <v/>
      </c>
      <c r="J6823" t="str">
        <f>IFERROR(__xludf.DUMMYFUNCTION("IFS(
  AND(REGEXMATCH(E6823, ""台銀籌備帳戶|玉山帳戶""), REGEXMATCH(C6823, ""薪資"")), ""分潤支出"",
  AND(REGEXMATCH(E6823, ""Ben帳戶|Elsa帳戶|Ben代墊|Ariel代墊|中信銀行共用""), REGEXMATCH(F6823, ""Ben帳戶|Elsa帳戶|Ben代墊|Ariel代墊|中信銀行共用"")), ""內部轉帳(忽略)"",
  AND(E6823&lt;&gt;"""", F6823&lt;&gt;"""", N"&amp;"OT(REGEXMATCH(C6823, ""薪資""))), ""內部轉帳(忽略)"",
  REGEXMATCH(C6823, ""薪資""), ""薪資變動(不計入)"",
  REGEXMATCH(C6823, ""押金""), ""押金往來"",
  AND(E6823&lt;&gt;"""", F6823=""""), ""真實支出"",
  AND(E6823="""", F6823&lt;&gt;""""), ""真實收入"",
  TRUE, ""其他""
)"),"其他")</f>
        <v>其他</v>
      </c>
      <c r="K6823" s="270" t="str">
        <f t="shared" si="2"/>
        <v/>
      </c>
      <c r="L6823">
        <f t="shared" si="3"/>
        <v>0</v>
      </c>
    </row>
    <row r="6824">
      <c r="A6824" s="107"/>
      <c r="D6824" s="270"/>
      <c r="H6824" s="106" t="str">
        <f t="shared" si="1"/>
        <v/>
      </c>
      <c r="J6824" t="str">
        <f>IFERROR(__xludf.DUMMYFUNCTION("IFS(
  AND(REGEXMATCH(E6824, ""台銀籌備帳戶|玉山帳戶""), REGEXMATCH(C6824, ""薪資"")), ""分潤支出"",
  AND(REGEXMATCH(E6824, ""Ben帳戶|Elsa帳戶|Ben代墊|Ariel代墊|中信銀行共用""), REGEXMATCH(F6824, ""Ben帳戶|Elsa帳戶|Ben代墊|Ariel代墊|中信銀行共用"")), ""內部轉帳(忽略)"",
  AND(E6824&lt;&gt;"""", F6824&lt;&gt;"""", N"&amp;"OT(REGEXMATCH(C6824, ""薪資""))), ""內部轉帳(忽略)"",
  REGEXMATCH(C6824, ""薪資""), ""薪資變動(不計入)"",
  REGEXMATCH(C6824, ""押金""), ""押金往來"",
  AND(E6824&lt;&gt;"""", F6824=""""), ""真實支出"",
  AND(E6824="""", F6824&lt;&gt;""""), ""真實收入"",
  TRUE, ""其他""
)"),"其他")</f>
        <v>其他</v>
      </c>
      <c r="K6824" s="270" t="str">
        <f t="shared" si="2"/>
        <v/>
      </c>
      <c r="L6824">
        <f t="shared" si="3"/>
        <v>0</v>
      </c>
    </row>
    <row r="6825">
      <c r="A6825" s="107"/>
      <c r="D6825" s="270"/>
      <c r="H6825" s="106" t="str">
        <f t="shared" si="1"/>
        <v/>
      </c>
      <c r="J6825" t="str">
        <f>IFERROR(__xludf.DUMMYFUNCTION("IFS(
  AND(REGEXMATCH(E6825, ""台銀籌備帳戶|玉山帳戶""), REGEXMATCH(C6825, ""薪資"")), ""分潤支出"",
  AND(REGEXMATCH(E6825, ""Ben帳戶|Elsa帳戶|Ben代墊|Ariel代墊|中信銀行共用""), REGEXMATCH(F6825, ""Ben帳戶|Elsa帳戶|Ben代墊|Ariel代墊|中信銀行共用"")), ""內部轉帳(忽略)"",
  AND(E6825&lt;&gt;"""", F6825&lt;&gt;"""", N"&amp;"OT(REGEXMATCH(C6825, ""薪資""))), ""內部轉帳(忽略)"",
  REGEXMATCH(C6825, ""薪資""), ""薪資變動(不計入)"",
  REGEXMATCH(C6825, ""押金""), ""押金往來"",
  AND(E6825&lt;&gt;"""", F6825=""""), ""真實支出"",
  AND(E6825="""", F6825&lt;&gt;""""), ""真實收入"",
  TRUE, ""其他""
)"),"其他")</f>
        <v>其他</v>
      </c>
      <c r="K6825" s="270" t="str">
        <f t="shared" si="2"/>
        <v/>
      </c>
      <c r="L6825">
        <f t="shared" si="3"/>
        <v>0</v>
      </c>
    </row>
    <row r="6826">
      <c r="A6826" s="107"/>
      <c r="D6826" s="270"/>
      <c r="H6826" s="106" t="str">
        <f t="shared" si="1"/>
        <v/>
      </c>
      <c r="J6826" t="str">
        <f>IFERROR(__xludf.DUMMYFUNCTION("IFS(
  AND(REGEXMATCH(E6826, ""台銀籌備帳戶|玉山帳戶""), REGEXMATCH(C6826, ""薪資"")), ""分潤支出"",
  AND(REGEXMATCH(E6826, ""Ben帳戶|Elsa帳戶|Ben代墊|Ariel代墊|中信銀行共用""), REGEXMATCH(F6826, ""Ben帳戶|Elsa帳戶|Ben代墊|Ariel代墊|中信銀行共用"")), ""內部轉帳(忽略)"",
  AND(E6826&lt;&gt;"""", F6826&lt;&gt;"""", N"&amp;"OT(REGEXMATCH(C6826, ""薪資""))), ""內部轉帳(忽略)"",
  REGEXMATCH(C6826, ""薪資""), ""薪資變動(不計入)"",
  REGEXMATCH(C6826, ""押金""), ""押金往來"",
  AND(E6826&lt;&gt;"""", F6826=""""), ""真實支出"",
  AND(E6826="""", F6826&lt;&gt;""""), ""真實收入"",
  TRUE, ""其他""
)"),"其他")</f>
        <v>其他</v>
      </c>
      <c r="K6826" s="270" t="str">
        <f t="shared" si="2"/>
        <v/>
      </c>
      <c r="L6826">
        <f t="shared" si="3"/>
        <v>0</v>
      </c>
    </row>
    <row r="6827">
      <c r="A6827" s="107"/>
      <c r="D6827" s="270"/>
      <c r="H6827" s="106" t="str">
        <f t="shared" si="1"/>
        <v/>
      </c>
      <c r="J6827" t="str">
        <f>IFERROR(__xludf.DUMMYFUNCTION("IFS(
  AND(REGEXMATCH(E6827, ""台銀籌備帳戶|玉山帳戶""), REGEXMATCH(C6827, ""薪資"")), ""分潤支出"",
  AND(REGEXMATCH(E6827, ""Ben帳戶|Elsa帳戶|Ben代墊|Ariel代墊|中信銀行共用""), REGEXMATCH(F6827, ""Ben帳戶|Elsa帳戶|Ben代墊|Ariel代墊|中信銀行共用"")), ""內部轉帳(忽略)"",
  AND(E6827&lt;&gt;"""", F6827&lt;&gt;"""", N"&amp;"OT(REGEXMATCH(C6827, ""薪資""))), ""內部轉帳(忽略)"",
  REGEXMATCH(C6827, ""薪資""), ""薪資變動(不計入)"",
  REGEXMATCH(C6827, ""押金""), ""押金往來"",
  AND(E6827&lt;&gt;"""", F6827=""""), ""真實支出"",
  AND(E6827="""", F6827&lt;&gt;""""), ""真實收入"",
  TRUE, ""其他""
)"),"其他")</f>
        <v>其他</v>
      </c>
      <c r="K6827" s="270" t="str">
        <f t="shared" si="2"/>
        <v/>
      </c>
      <c r="L6827">
        <f t="shared" si="3"/>
        <v>0</v>
      </c>
    </row>
    <row r="6828">
      <c r="A6828" s="107"/>
      <c r="D6828" s="270"/>
      <c r="H6828" s="106" t="str">
        <f t="shared" si="1"/>
        <v/>
      </c>
      <c r="J6828" t="str">
        <f>IFERROR(__xludf.DUMMYFUNCTION("IFS(
  AND(REGEXMATCH(E6828, ""台銀籌備帳戶|玉山帳戶""), REGEXMATCH(C6828, ""薪資"")), ""分潤支出"",
  AND(REGEXMATCH(E6828, ""Ben帳戶|Elsa帳戶|Ben代墊|Ariel代墊|中信銀行共用""), REGEXMATCH(F6828, ""Ben帳戶|Elsa帳戶|Ben代墊|Ariel代墊|中信銀行共用"")), ""內部轉帳(忽略)"",
  AND(E6828&lt;&gt;"""", F6828&lt;&gt;"""", N"&amp;"OT(REGEXMATCH(C6828, ""薪資""))), ""內部轉帳(忽略)"",
  REGEXMATCH(C6828, ""薪資""), ""薪資變動(不計入)"",
  REGEXMATCH(C6828, ""押金""), ""押金往來"",
  AND(E6828&lt;&gt;"""", F6828=""""), ""真實支出"",
  AND(E6828="""", F6828&lt;&gt;""""), ""真實收入"",
  TRUE, ""其他""
)"),"其他")</f>
        <v>其他</v>
      </c>
      <c r="K6828" s="270" t="str">
        <f t="shared" si="2"/>
        <v/>
      </c>
      <c r="L6828">
        <f t="shared" si="3"/>
        <v>0</v>
      </c>
    </row>
    <row r="6829">
      <c r="A6829" s="107"/>
      <c r="D6829" s="270"/>
      <c r="H6829" s="106" t="str">
        <f t="shared" si="1"/>
        <v/>
      </c>
      <c r="J6829" t="str">
        <f>IFERROR(__xludf.DUMMYFUNCTION("IFS(
  AND(REGEXMATCH(E6829, ""台銀籌備帳戶|玉山帳戶""), REGEXMATCH(C6829, ""薪資"")), ""分潤支出"",
  AND(REGEXMATCH(E6829, ""Ben帳戶|Elsa帳戶|Ben代墊|Ariel代墊|中信銀行共用""), REGEXMATCH(F6829, ""Ben帳戶|Elsa帳戶|Ben代墊|Ariel代墊|中信銀行共用"")), ""內部轉帳(忽略)"",
  AND(E6829&lt;&gt;"""", F6829&lt;&gt;"""", N"&amp;"OT(REGEXMATCH(C6829, ""薪資""))), ""內部轉帳(忽略)"",
  REGEXMATCH(C6829, ""薪資""), ""薪資變動(不計入)"",
  REGEXMATCH(C6829, ""押金""), ""押金往來"",
  AND(E6829&lt;&gt;"""", F6829=""""), ""真實支出"",
  AND(E6829="""", F6829&lt;&gt;""""), ""真實收入"",
  TRUE, ""其他""
)"),"其他")</f>
        <v>其他</v>
      </c>
      <c r="K6829" s="270" t="str">
        <f t="shared" si="2"/>
        <v/>
      </c>
      <c r="L6829">
        <f t="shared" si="3"/>
        <v>0</v>
      </c>
    </row>
    <row r="6830">
      <c r="A6830" s="107"/>
      <c r="D6830" s="270"/>
      <c r="H6830" s="106" t="str">
        <f t="shared" si="1"/>
        <v/>
      </c>
      <c r="J6830" t="str">
        <f>IFERROR(__xludf.DUMMYFUNCTION("IFS(
  AND(REGEXMATCH(E6830, ""台銀籌備帳戶|玉山帳戶""), REGEXMATCH(C6830, ""薪資"")), ""分潤支出"",
  AND(REGEXMATCH(E6830, ""Ben帳戶|Elsa帳戶|Ben代墊|Ariel代墊|中信銀行共用""), REGEXMATCH(F6830, ""Ben帳戶|Elsa帳戶|Ben代墊|Ariel代墊|中信銀行共用"")), ""內部轉帳(忽略)"",
  AND(E6830&lt;&gt;"""", F6830&lt;&gt;"""", N"&amp;"OT(REGEXMATCH(C6830, ""薪資""))), ""內部轉帳(忽略)"",
  REGEXMATCH(C6830, ""薪資""), ""薪資變動(不計入)"",
  REGEXMATCH(C6830, ""押金""), ""押金往來"",
  AND(E6830&lt;&gt;"""", F6830=""""), ""真實支出"",
  AND(E6830="""", F6830&lt;&gt;""""), ""真實收入"",
  TRUE, ""其他""
)"),"其他")</f>
        <v>其他</v>
      </c>
      <c r="K6830" s="270" t="str">
        <f t="shared" si="2"/>
        <v/>
      </c>
      <c r="L6830">
        <f t="shared" si="3"/>
        <v>0</v>
      </c>
    </row>
    <row r="6831">
      <c r="A6831" s="107"/>
      <c r="D6831" s="270"/>
      <c r="H6831" s="106" t="str">
        <f t="shared" si="1"/>
        <v/>
      </c>
      <c r="J6831" t="str">
        <f>IFERROR(__xludf.DUMMYFUNCTION("IFS(
  AND(REGEXMATCH(E6831, ""台銀籌備帳戶|玉山帳戶""), REGEXMATCH(C6831, ""薪資"")), ""分潤支出"",
  AND(REGEXMATCH(E6831, ""Ben帳戶|Elsa帳戶|Ben代墊|Ariel代墊|中信銀行共用""), REGEXMATCH(F6831, ""Ben帳戶|Elsa帳戶|Ben代墊|Ariel代墊|中信銀行共用"")), ""內部轉帳(忽略)"",
  AND(E6831&lt;&gt;"""", F6831&lt;&gt;"""", N"&amp;"OT(REGEXMATCH(C6831, ""薪資""))), ""內部轉帳(忽略)"",
  REGEXMATCH(C6831, ""薪資""), ""薪資變動(不計入)"",
  REGEXMATCH(C6831, ""押金""), ""押金往來"",
  AND(E6831&lt;&gt;"""", F6831=""""), ""真實支出"",
  AND(E6831="""", F6831&lt;&gt;""""), ""真實收入"",
  TRUE, ""其他""
)"),"其他")</f>
        <v>其他</v>
      </c>
      <c r="K6831" s="270" t="str">
        <f t="shared" si="2"/>
        <v/>
      </c>
      <c r="L6831">
        <f t="shared" si="3"/>
        <v>0</v>
      </c>
    </row>
    <row r="6832">
      <c r="A6832" s="107"/>
      <c r="D6832" s="270"/>
      <c r="H6832" s="106" t="str">
        <f t="shared" si="1"/>
        <v/>
      </c>
      <c r="J6832" t="str">
        <f>IFERROR(__xludf.DUMMYFUNCTION("IFS(
  AND(REGEXMATCH(E6832, ""台銀籌備帳戶|玉山帳戶""), REGEXMATCH(C6832, ""薪資"")), ""分潤支出"",
  AND(REGEXMATCH(E6832, ""Ben帳戶|Elsa帳戶|Ben代墊|Ariel代墊|中信銀行共用""), REGEXMATCH(F6832, ""Ben帳戶|Elsa帳戶|Ben代墊|Ariel代墊|中信銀行共用"")), ""內部轉帳(忽略)"",
  AND(E6832&lt;&gt;"""", F6832&lt;&gt;"""", N"&amp;"OT(REGEXMATCH(C6832, ""薪資""))), ""內部轉帳(忽略)"",
  REGEXMATCH(C6832, ""薪資""), ""薪資變動(不計入)"",
  REGEXMATCH(C6832, ""押金""), ""押金往來"",
  AND(E6832&lt;&gt;"""", F6832=""""), ""真實支出"",
  AND(E6832="""", F6832&lt;&gt;""""), ""真實收入"",
  TRUE, ""其他""
)"),"其他")</f>
        <v>其他</v>
      </c>
      <c r="K6832" s="270" t="str">
        <f t="shared" si="2"/>
        <v/>
      </c>
      <c r="L6832">
        <f t="shared" si="3"/>
        <v>0</v>
      </c>
    </row>
    <row r="6833">
      <c r="A6833" s="107"/>
      <c r="D6833" s="270"/>
      <c r="H6833" s="106" t="str">
        <f t="shared" si="1"/>
        <v/>
      </c>
      <c r="J6833" t="str">
        <f>IFERROR(__xludf.DUMMYFUNCTION("IFS(
  AND(REGEXMATCH(E6833, ""台銀籌備帳戶|玉山帳戶""), REGEXMATCH(C6833, ""薪資"")), ""分潤支出"",
  AND(REGEXMATCH(E6833, ""Ben帳戶|Elsa帳戶|Ben代墊|Ariel代墊|中信銀行共用""), REGEXMATCH(F6833, ""Ben帳戶|Elsa帳戶|Ben代墊|Ariel代墊|中信銀行共用"")), ""內部轉帳(忽略)"",
  AND(E6833&lt;&gt;"""", F6833&lt;&gt;"""", N"&amp;"OT(REGEXMATCH(C6833, ""薪資""))), ""內部轉帳(忽略)"",
  REGEXMATCH(C6833, ""薪資""), ""薪資變動(不計入)"",
  REGEXMATCH(C6833, ""押金""), ""押金往來"",
  AND(E6833&lt;&gt;"""", F6833=""""), ""真實支出"",
  AND(E6833="""", F6833&lt;&gt;""""), ""真實收入"",
  TRUE, ""其他""
)"),"其他")</f>
        <v>其他</v>
      </c>
      <c r="K6833" s="270" t="str">
        <f t="shared" si="2"/>
        <v/>
      </c>
      <c r="L6833">
        <f t="shared" si="3"/>
        <v>0</v>
      </c>
    </row>
    <row r="6834">
      <c r="A6834" s="107"/>
      <c r="D6834" s="270"/>
      <c r="H6834" s="106" t="str">
        <f t="shared" si="1"/>
        <v/>
      </c>
      <c r="J6834" t="str">
        <f>IFERROR(__xludf.DUMMYFUNCTION("IFS(
  AND(REGEXMATCH(E6834, ""台銀籌備帳戶|玉山帳戶""), REGEXMATCH(C6834, ""薪資"")), ""分潤支出"",
  AND(REGEXMATCH(E6834, ""Ben帳戶|Elsa帳戶|Ben代墊|Ariel代墊|中信銀行共用""), REGEXMATCH(F6834, ""Ben帳戶|Elsa帳戶|Ben代墊|Ariel代墊|中信銀行共用"")), ""內部轉帳(忽略)"",
  AND(E6834&lt;&gt;"""", F6834&lt;&gt;"""", N"&amp;"OT(REGEXMATCH(C6834, ""薪資""))), ""內部轉帳(忽略)"",
  REGEXMATCH(C6834, ""薪資""), ""薪資變動(不計入)"",
  REGEXMATCH(C6834, ""押金""), ""押金往來"",
  AND(E6834&lt;&gt;"""", F6834=""""), ""真實支出"",
  AND(E6834="""", F6834&lt;&gt;""""), ""真實收入"",
  TRUE, ""其他""
)"),"其他")</f>
        <v>其他</v>
      </c>
      <c r="K6834" s="270" t="str">
        <f t="shared" si="2"/>
        <v/>
      </c>
      <c r="L6834">
        <f t="shared" si="3"/>
        <v>0</v>
      </c>
    </row>
    <row r="6835">
      <c r="A6835" s="107"/>
      <c r="D6835" s="270"/>
      <c r="H6835" s="106" t="str">
        <f t="shared" si="1"/>
        <v/>
      </c>
      <c r="J6835" t="str">
        <f>IFERROR(__xludf.DUMMYFUNCTION("IFS(
  AND(REGEXMATCH(E6835, ""台銀籌備帳戶|玉山帳戶""), REGEXMATCH(C6835, ""薪資"")), ""分潤支出"",
  AND(REGEXMATCH(E6835, ""Ben帳戶|Elsa帳戶|Ben代墊|Ariel代墊|中信銀行共用""), REGEXMATCH(F6835, ""Ben帳戶|Elsa帳戶|Ben代墊|Ariel代墊|中信銀行共用"")), ""內部轉帳(忽略)"",
  AND(E6835&lt;&gt;"""", F6835&lt;&gt;"""", N"&amp;"OT(REGEXMATCH(C6835, ""薪資""))), ""內部轉帳(忽略)"",
  REGEXMATCH(C6835, ""薪資""), ""薪資變動(不計入)"",
  REGEXMATCH(C6835, ""押金""), ""押金往來"",
  AND(E6835&lt;&gt;"""", F6835=""""), ""真實支出"",
  AND(E6835="""", F6835&lt;&gt;""""), ""真實收入"",
  TRUE, ""其他""
)"),"其他")</f>
        <v>其他</v>
      </c>
      <c r="K6835" s="270" t="str">
        <f t="shared" si="2"/>
        <v/>
      </c>
      <c r="L6835">
        <f t="shared" si="3"/>
        <v>0</v>
      </c>
    </row>
    <row r="6836">
      <c r="A6836" s="107"/>
      <c r="D6836" s="270"/>
      <c r="H6836" s="106" t="str">
        <f t="shared" si="1"/>
        <v/>
      </c>
      <c r="J6836" t="str">
        <f>IFERROR(__xludf.DUMMYFUNCTION("IFS(
  AND(REGEXMATCH(E6836, ""台銀籌備帳戶|玉山帳戶""), REGEXMATCH(C6836, ""薪資"")), ""分潤支出"",
  AND(REGEXMATCH(E6836, ""Ben帳戶|Elsa帳戶|Ben代墊|Ariel代墊|中信銀行共用""), REGEXMATCH(F6836, ""Ben帳戶|Elsa帳戶|Ben代墊|Ariel代墊|中信銀行共用"")), ""內部轉帳(忽略)"",
  AND(E6836&lt;&gt;"""", F6836&lt;&gt;"""", N"&amp;"OT(REGEXMATCH(C6836, ""薪資""))), ""內部轉帳(忽略)"",
  REGEXMATCH(C6836, ""薪資""), ""薪資變動(不計入)"",
  REGEXMATCH(C6836, ""押金""), ""押金往來"",
  AND(E6836&lt;&gt;"""", F6836=""""), ""真實支出"",
  AND(E6836="""", F6836&lt;&gt;""""), ""真實收入"",
  TRUE, ""其他""
)"),"其他")</f>
        <v>其他</v>
      </c>
      <c r="K6836" s="270" t="str">
        <f t="shared" si="2"/>
        <v/>
      </c>
      <c r="L6836">
        <f t="shared" si="3"/>
        <v>0</v>
      </c>
    </row>
    <row r="6837">
      <c r="A6837" s="107"/>
      <c r="D6837" s="270"/>
      <c r="H6837" s="106" t="str">
        <f t="shared" si="1"/>
        <v/>
      </c>
      <c r="J6837" t="str">
        <f>IFERROR(__xludf.DUMMYFUNCTION("IFS(
  AND(REGEXMATCH(E6837, ""台銀籌備帳戶|玉山帳戶""), REGEXMATCH(C6837, ""薪資"")), ""分潤支出"",
  AND(REGEXMATCH(E6837, ""Ben帳戶|Elsa帳戶|Ben代墊|Ariel代墊|中信銀行共用""), REGEXMATCH(F6837, ""Ben帳戶|Elsa帳戶|Ben代墊|Ariel代墊|中信銀行共用"")), ""內部轉帳(忽略)"",
  AND(E6837&lt;&gt;"""", F6837&lt;&gt;"""", N"&amp;"OT(REGEXMATCH(C6837, ""薪資""))), ""內部轉帳(忽略)"",
  REGEXMATCH(C6837, ""薪資""), ""薪資變動(不計入)"",
  REGEXMATCH(C6837, ""押金""), ""押金往來"",
  AND(E6837&lt;&gt;"""", F6837=""""), ""真實支出"",
  AND(E6837="""", F6837&lt;&gt;""""), ""真實收入"",
  TRUE, ""其他""
)"),"其他")</f>
        <v>其他</v>
      </c>
      <c r="K6837" s="270" t="str">
        <f t="shared" si="2"/>
        <v/>
      </c>
      <c r="L6837">
        <f t="shared" si="3"/>
        <v>0</v>
      </c>
    </row>
    <row r="6838">
      <c r="A6838" s="107"/>
      <c r="D6838" s="270"/>
      <c r="H6838" s="106" t="str">
        <f t="shared" si="1"/>
        <v/>
      </c>
      <c r="J6838" t="str">
        <f>IFERROR(__xludf.DUMMYFUNCTION("IFS(
  AND(REGEXMATCH(E6838, ""台銀籌備帳戶|玉山帳戶""), REGEXMATCH(C6838, ""薪資"")), ""分潤支出"",
  AND(REGEXMATCH(E6838, ""Ben帳戶|Elsa帳戶|Ben代墊|Ariel代墊|中信銀行共用""), REGEXMATCH(F6838, ""Ben帳戶|Elsa帳戶|Ben代墊|Ariel代墊|中信銀行共用"")), ""內部轉帳(忽略)"",
  AND(E6838&lt;&gt;"""", F6838&lt;&gt;"""", N"&amp;"OT(REGEXMATCH(C6838, ""薪資""))), ""內部轉帳(忽略)"",
  REGEXMATCH(C6838, ""薪資""), ""薪資變動(不計入)"",
  REGEXMATCH(C6838, ""押金""), ""押金往來"",
  AND(E6838&lt;&gt;"""", F6838=""""), ""真實支出"",
  AND(E6838="""", F6838&lt;&gt;""""), ""真實收入"",
  TRUE, ""其他""
)"),"其他")</f>
        <v>其他</v>
      </c>
      <c r="K6838" s="270" t="str">
        <f t="shared" si="2"/>
        <v/>
      </c>
      <c r="L6838">
        <f t="shared" si="3"/>
        <v>0</v>
      </c>
    </row>
    <row r="6839">
      <c r="A6839" s="107"/>
      <c r="D6839" s="270"/>
      <c r="H6839" s="106" t="str">
        <f t="shared" si="1"/>
        <v/>
      </c>
      <c r="J6839" t="str">
        <f>IFERROR(__xludf.DUMMYFUNCTION("IFS(
  AND(REGEXMATCH(E6839, ""台銀籌備帳戶|玉山帳戶""), REGEXMATCH(C6839, ""薪資"")), ""分潤支出"",
  AND(REGEXMATCH(E6839, ""Ben帳戶|Elsa帳戶|Ben代墊|Ariel代墊|中信銀行共用""), REGEXMATCH(F6839, ""Ben帳戶|Elsa帳戶|Ben代墊|Ariel代墊|中信銀行共用"")), ""內部轉帳(忽略)"",
  AND(E6839&lt;&gt;"""", F6839&lt;&gt;"""", N"&amp;"OT(REGEXMATCH(C6839, ""薪資""))), ""內部轉帳(忽略)"",
  REGEXMATCH(C6839, ""薪資""), ""薪資變動(不計入)"",
  REGEXMATCH(C6839, ""押金""), ""押金往來"",
  AND(E6839&lt;&gt;"""", F6839=""""), ""真實支出"",
  AND(E6839="""", F6839&lt;&gt;""""), ""真實收入"",
  TRUE, ""其他""
)"),"其他")</f>
        <v>其他</v>
      </c>
      <c r="K6839" s="270" t="str">
        <f t="shared" si="2"/>
        <v/>
      </c>
      <c r="L6839">
        <f t="shared" si="3"/>
        <v>0</v>
      </c>
    </row>
    <row r="6840">
      <c r="A6840" s="107"/>
      <c r="D6840" s="270"/>
      <c r="H6840" s="106" t="str">
        <f t="shared" si="1"/>
        <v/>
      </c>
      <c r="J6840" t="str">
        <f>IFERROR(__xludf.DUMMYFUNCTION("IFS(
  AND(REGEXMATCH(E6840, ""台銀籌備帳戶|玉山帳戶""), REGEXMATCH(C6840, ""薪資"")), ""分潤支出"",
  AND(REGEXMATCH(E6840, ""Ben帳戶|Elsa帳戶|Ben代墊|Ariel代墊|中信銀行共用""), REGEXMATCH(F6840, ""Ben帳戶|Elsa帳戶|Ben代墊|Ariel代墊|中信銀行共用"")), ""內部轉帳(忽略)"",
  AND(E6840&lt;&gt;"""", F6840&lt;&gt;"""", N"&amp;"OT(REGEXMATCH(C6840, ""薪資""))), ""內部轉帳(忽略)"",
  REGEXMATCH(C6840, ""薪資""), ""薪資變動(不計入)"",
  REGEXMATCH(C6840, ""押金""), ""押金往來"",
  AND(E6840&lt;&gt;"""", F6840=""""), ""真實支出"",
  AND(E6840="""", F6840&lt;&gt;""""), ""真實收入"",
  TRUE, ""其他""
)"),"其他")</f>
        <v>其他</v>
      </c>
      <c r="K6840" s="270" t="str">
        <f t="shared" si="2"/>
        <v/>
      </c>
      <c r="L6840">
        <f t="shared" si="3"/>
        <v>0</v>
      </c>
    </row>
    <row r="6841">
      <c r="A6841" s="107"/>
      <c r="D6841" s="270"/>
      <c r="H6841" s="106" t="str">
        <f t="shared" si="1"/>
        <v/>
      </c>
      <c r="J6841" t="str">
        <f>IFERROR(__xludf.DUMMYFUNCTION("IFS(
  AND(REGEXMATCH(E6841, ""台銀籌備帳戶|玉山帳戶""), REGEXMATCH(C6841, ""薪資"")), ""分潤支出"",
  AND(REGEXMATCH(E6841, ""Ben帳戶|Elsa帳戶|Ben代墊|Ariel代墊|中信銀行共用""), REGEXMATCH(F6841, ""Ben帳戶|Elsa帳戶|Ben代墊|Ariel代墊|中信銀行共用"")), ""內部轉帳(忽略)"",
  AND(E6841&lt;&gt;"""", F6841&lt;&gt;"""", N"&amp;"OT(REGEXMATCH(C6841, ""薪資""))), ""內部轉帳(忽略)"",
  REGEXMATCH(C6841, ""薪資""), ""薪資變動(不計入)"",
  REGEXMATCH(C6841, ""押金""), ""押金往來"",
  AND(E6841&lt;&gt;"""", F6841=""""), ""真實支出"",
  AND(E6841="""", F6841&lt;&gt;""""), ""真實收入"",
  TRUE, ""其他""
)"),"其他")</f>
        <v>其他</v>
      </c>
      <c r="K6841" s="270" t="str">
        <f t="shared" si="2"/>
        <v/>
      </c>
      <c r="L6841">
        <f t="shared" si="3"/>
        <v>0</v>
      </c>
    </row>
    <row r="6842">
      <c r="A6842" s="107"/>
      <c r="D6842" s="270"/>
      <c r="H6842" s="106" t="str">
        <f t="shared" si="1"/>
        <v/>
      </c>
      <c r="J6842" t="str">
        <f>IFERROR(__xludf.DUMMYFUNCTION("IFS(
  AND(REGEXMATCH(E6842, ""台銀籌備帳戶|玉山帳戶""), REGEXMATCH(C6842, ""薪資"")), ""分潤支出"",
  AND(REGEXMATCH(E6842, ""Ben帳戶|Elsa帳戶|Ben代墊|Ariel代墊|中信銀行共用""), REGEXMATCH(F6842, ""Ben帳戶|Elsa帳戶|Ben代墊|Ariel代墊|中信銀行共用"")), ""內部轉帳(忽略)"",
  AND(E6842&lt;&gt;"""", F6842&lt;&gt;"""", N"&amp;"OT(REGEXMATCH(C6842, ""薪資""))), ""內部轉帳(忽略)"",
  REGEXMATCH(C6842, ""薪資""), ""薪資變動(不計入)"",
  REGEXMATCH(C6842, ""押金""), ""押金往來"",
  AND(E6842&lt;&gt;"""", F6842=""""), ""真實支出"",
  AND(E6842="""", F6842&lt;&gt;""""), ""真實收入"",
  TRUE, ""其他""
)"),"其他")</f>
        <v>其他</v>
      </c>
      <c r="K6842" s="270" t="str">
        <f t="shared" si="2"/>
        <v/>
      </c>
      <c r="L6842">
        <f t="shared" si="3"/>
        <v>0</v>
      </c>
    </row>
    <row r="6843">
      <c r="A6843" s="107"/>
      <c r="D6843" s="270"/>
      <c r="H6843" s="106" t="str">
        <f t="shared" si="1"/>
        <v/>
      </c>
      <c r="J6843" t="str">
        <f>IFERROR(__xludf.DUMMYFUNCTION("IFS(
  AND(REGEXMATCH(E6843, ""台銀籌備帳戶|玉山帳戶""), REGEXMATCH(C6843, ""薪資"")), ""分潤支出"",
  AND(REGEXMATCH(E6843, ""Ben帳戶|Elsa帳戶|Ben代墊|Ariel代墊|中信銀行共用""), REGEXMATCH(F6843, ""Ben帳戶|Elsa帳戶|Ben代墊|Ariel代墊|中信銀行共用"")), ""內部轉帳(忽略)"",
  AND(E6843&lt;&gt;"""", F6843&lt;&gt;"""", N"&amp;"OT(REGEXMATCH(C6843, ""薪資""))), ""內部轉帳(忽略)"",
  REGEXMATCH(C6843, ""薪資""), ""薪資變動(不計入)"",
  REGEXMATCH(C6843, ""押金""), ""押金往來"",
  AND(E6843&lt;&gt;"""", F6843=""""), ""真實支出"",
  AND(E6843="""", F6843&lt;&gt;""""), ""真實收入"",
  TRUE, ""其他""
)"),"其他")</f>
        <v>其他</v>
      </c>
      <c r="K6843" s="270" t="str">
        <f t="shared" si="2"/>
        <v/>
      </c>
      <c r="L6843">
        <f t="shared" si="3"/>
        <v>0</v>
      </c>
    </row>
    <row r="6844">
      <c r="A6844" s="107"/>
      <c r="D6844" s="270"/>
      <c r="H6844" s="106" t="str">
        <f t="shared" si="1"/>
        <v/>
      </c>
      <c r="J6844" t="str">
        <f>IFERROR(__xludf.DUMMYFUNCTION("IFS(
  AND(REGEXMATCH(E6844, ""台銀籌備帳戶|玉山帳戶""), REGEXMATCH(C6844, ""薪資"")), ""分潤支出"",
  AND(REGEXMATCH(E6844, ""Ben帳戶|Elsa帳戶|Ben代墊|Ariel代墊|中信銀行共用""), REGEXMATCH(F6844, ""Ben帳戶|Elsa帳戶|Ben代墊|Ariel代墊|中信銀行共用"")), ""內部轉帳(忽略)"",
  AND(E6844&lt;&gt;"""", F6844&lt;&gt;"""", N"&amp;"OT(REGEXMATCH(C6844, ""薪資""))), ""內部轉帳(忽略)"",
  REGEXMATCH(C6844, ""薪資""), ""薪資變動(不計入)"",
  REGEXMATCH(C6844, ""押金""), ""押金往來"",
  AND(E6844&lt;&gt;"""", F6844=""""), ""真實支出"",
  AND(E6844="""", F6844&lt;&gt;""""), ""真實收入"",
  TRUE, ""其他""
)"),"其他")</f>
        <v>其他</v>
      </c>
      <c r="K6844" s="270" t="str">
        <f t="shared" si="2"/>
        <v/>
      </c>
      <c r="L6844">
        <f t="shared" si="3"/>
        <v>0</v>
      </c>
    </row>
    <row r="6845">
      <c r="A6845" s="107"/>
      <c r="D6845" s="270"/>
      <c r="H6845" s="106" t="str">
        <f t="shared" si="1"/>
        <v/>
      </c>
      <c r="J6845" t="str">
        <f>IFERROR(__xludf.DUMMYFUNCTION("IFS(
  AND(REGEXMATCH(E6845, ""台銀籌備帳戶|玉山帳戶""), REGEXMATCH(C6845, ""薪資"")), ""分潤支出"",
  AND(REGEXMATCH(E6845, ""Ben帳戶|Elsa帳戶|Ben代墊|Ariel代墊|中信銀行共用""), REGEXMATCH(F6845, ""Ben帳戶|Elsa帳戶|Ben代墊|Ariel代墊|中信銀行共用"")), ""內部轉帳(忽略)"",
  AND(E6845&lt;&gt;"""", F6845&lt;&gt;"""", N"&amp;"OT(REGEXMATCH(C6845, ""薪資""))), ""內部轉帳(忽略)"",
  REGEXMATCH(C6845, ""薪資""), ""薪資變動(不計入)"",
  REGEXMATCH(C6845, ""押金""), ""押金往來"",
  AND(E6845&lt;&gt;"""", F6845=""""), ""真實支出"",
  AND(E6845="""", F6845&lt;&gt;""""), ""真實收入"",
  TRUE, ""其他""
)"),"其他")</f>
        <v>其他</v>
      </c>
      <c r="K6845" s="270" t="str">
        <f t="shared" si="2"/>
        <v/>
      </c>
      <c r="L6845">
        <f t="shared" si="3"/>
        <v>0</v>
      </c>
    </row>
    <row r="6846">
      <c r="A6846" s="107"/>
      <c r="D6846" s="270"/>
      <c r="H6846" s="106" t="str">
        <f t="shared" si="1"/>
        <v/>
      </c>
      <c r="J6846" t="str">
        <f>IFERROR(__xludf.DUMMYFUNCTION("IFS(
  AND(REGEXMATCH(E6846, ""台銀籌備帳戶|玉山帳戶""), REGEXMATCH(C6846, ""薪資"")), ""分潤支出"",
  AND(REGEXMATCH(E6846, ""Ben帳戶|Elsa帳戶|Ben代墊|Ariel代墊|中信銀行共用""), REGEXMATCH(F6846, ""Ben帳戶|Elsa帳戶|Ben代墊|Ariel代墊|中信銀行共用"")), ""內部轉帳(忽略)"",
  AND(E6846&lt;&gt;"""", F6846&lt;&gt;"""", N"&amp;"OT(REGEXMATCH(C6846, ""薪資""))), ""內部轉帳(忽略)"",
  REGEXMATCH(C6846, ""薪資""), ""薪資變動(不計入)"",
  REGEXMATCH(C6846, ""押金""), ""押金往來"",
  AND(E6846&lt;&gt;"""", F6846=""""), ""真實支出"",
  AND(E6846="""", F6846&lt;&gt;""""), ""真實收入"",
  TRUE, ""其他""
)"),"其他")</f>
        <v>其他</v>
      </c>
      <c r="K6846" s="270" t="str">
        <f t="shared" si="2"/>
        <v/>
      </c>
      <c r="L6846">
        <f t="shared" si="3"/>
        <v>0</v>
      </c>
    </row>
    <row r="6847">
      <c r="A6847" s="107"/>
      <c r="D6847" s="270"/>
      <c r="H6847" s="106" t="str">
        <f t="shared" si="1"/>
        <v/>
      </c>
      <c r="J6847" t="str">
        <f>IFERROR(__xludf.DUMMYFUNCTION("IFS(
  AND(REGEXMATCH(E6847, ""台銀籌備帳戶|玉山帳戶""), REGEXMATCH(C6847, ""薪資"")), ""分潤支出"",
  AND(REGEXMATCH(E6847, ""Ben帳戶|Elsa帳戶|Ben代墊|Ariel代墊|中信銀行共用""), REGEXMATCH(F6847, ""Ben帳戶|Elsa帳戶|Ben代墊|Ariel代墊|中信銀行共用"")), ""內部轉帳(忽略)"",
  AND(E6847&lt;&gt;"""", F6847&lt;&gt;"""", N"&amp;"OT(REGEXMATCH(C6847, ""薪資""))), ""內部轉帳(忽略)"",
  REGEXMATCH(C6847, ""薪資""), ""薪資變動(不計入)"",
  REGEXMATCH(C6847, ""押金""), ""押金往來"",
  AND(E6847&lt;&gt;"""", F6847=""""), ""真實支出"",
  AND(E6847="""", F6847&lt;&gt;""""), ""真實收入"",
  TRUE, ""其他""
)"),"其他")</f>
        <v>其他</v>
      </c>
      <c r="K6847" s="270" t="str">
        <f t="shared" si="2"/>
        <v/>
      </c>
      <c r="L6847">
        <f t="shared" si="3"/>
        <v>0</v>
      </c>
    </row>
    <row r="6848">
      <c r="A6848" s="107"/>
      <c r="D6848" s="270"/>
      <c r="H6848" s="106" t="str">
        <f t="shared" si="1"/>
        <v/>
      </c>
      <c r="J6848" t="str">
        <f>IFERROR(__xludf.DUMMYFUNCTION("IFS(
  AND(REGEXMATCH(E6848, ""台銀籌備帳戶|玉山帳戶""), REGEXMATCH(C6848, ""薪資"")), ""分潤支出"",
  AND(REGEXMATCH(E6848, ""Ben帳戶|Elsa帳戶|Ben代墊|Ariel代墊|中信銀行共用""), REGEXMATCH(F6848, ""Ben帳戶|Elsa帳戶|Ben代墊|Ariel代墊|中信銀行共用"")), ""內部轉帳(忽略)"",
  AND(E6848&lt;&gt;"""", F6848&lt;&gt;"""", N"&amp;"OT(REGEXMATCH(C6848, ""薪資""))), ""內部轉帳(忽略)"",
  REGEXMATCH(C6848, ""薪資""), ""薪資變動(不計入)"",
  REGEXMATCH(C6848, ""押金""), ""押金往來"",
  AND(E6848&lt;&gt;"""", F6848=""""), ""真實支出"",
  AND(E6848="""", F6848&lt;&gt;""""), ""真實收入"",
  TRUE, ""其他""
)"),"其他")</f>
        <v>其他</v>
      </c>
      <c r="K6848" s="270" t="str">
        <f t="shared" si="2"/>
        <v/>
      </c>
      <c r="L6848">
        <f t="shared" si="3"/>
        <v>0</v>
      </c>
    </row>
    <row r="6849">
      <c r="A6849" s="107"/>
      <c r="D6849" s="270"/>
      <c r="H6849" s="106" t="str">
        <f t="shared" si="1"/>
        <v/>
      </c>
      <c r="J6849" t="str">
        <f>IFERROR(__xludf.DUMMYFUNCTION("IFS(
  AND(REGEXMATCH(E6849, ""台銀籌備帳戶|玉山帳戶""), REGEXMATCH(C6849, ""薪資"")), ""分潤支出"",
  AND(REGEXMATCH(E6849, ""Ben帳戶|Elsa帳戶|Ben代墊|Ariel代墊|中信銀行共用""), REGEXMATCH(F6849, ""Ben帳戶|Elsa帳戶|Ben代墊|Ariel代墊|中信銀行共用"")), ""內部轉帳(忽略)"",
  AND(E6849&lt;&gt;"""", F6849&lt;&gt;"""", N"&amp;"OT(REGEXMATCH(C6849, ""薪資""))), ""內部轉帳(忽略)"",
  REGEXMATCH(C6849, ""薪資""), ""薪資變動(不計入)"",
  REGEXMATCH(C6849, ""押金""), ""押金往來"",
  AND(E6849&lt;&gt;"""", F6849=""""), ""真實支出"",
  AND(E6849="""", F6849&lt;&gt;""""), ""真實收入"",
  TRUE, ""其他""
)"),"其他")</f>
        <v>其他</v>
      </c>
      <c r="K6849" s="270" t="str">
        <f t="shared" si="2"/>
        <v/>
      </c>
      <c r="L6849">
        <f t="shared" si="3"/>
        <v>0</v>
      </c>
    </row>
    <row r="6850">
      <c r="A6850" s="107"/>
      <c r="D6850" s="270"/>
      <c r="H6850" s="106" t="str">
        <f t="shared" si="1"/>
        <v/>
      </c>
      <c r="J6850" t="str">
        <f>IFERROR(__xludf.DUMMYFUNCTION("IFS(
  AND(REGEXMATCH(E6850, ""台銀籌備帳戶|玉山帳戶""), REGEXMATCH(C6850, ""薪資"")), ""分潤支出"",
  AND(REGEXMATCH(E6850, ""Ben帳戶|Elsa帳戶|Ben代墊|Ariel代墊|中信銀行共用""), REGEXMATCH(F6850, ""Ben帳戶|Elsa帳戶|Ben代墊|Ariel代墊|中信銀行共用"")), ""內部轉帳(忽略)"",
  AND(E6850&lt;&gt;"""", F6850&lt;&gt;"""", N"&amp;"OT(REGEXMATCH(C6850, ""薪資""))), ""內部轉帳(忽略)"",
  REGEXMATCH(C6850, ""薪資""), ""薪資變動(不計入)"",
  REGEXMATCH(C6850, ""押金""), ""押金往來"",
  AND(E6850&lt;&gt;"""", F6850=""""), ""真實支出"",
  AND(E6850="""", F6850&lt;&gt;""""), ""真實收入"",
  TRUE, ""其他""
)"),"其他")</f>
        <v>其他</v>
      </c>
      <c r="K6850" s="270" t="str">
        <f t="shared" si="2"/>
        <v/>
      </c>
      <c r="L6850">
        <f t="shared" si="3"/>
        <v>0</v>
      </c>
    </row>
    <row r="6851">
      <c r="A6851" s="107"/>
      <c r="D6851" s="270"/>
      <c r="H6851" s="106" t="str">
        <f t="shared" si="1"/>
        <v/>
      </c>
      <c r="J6851" t="str">
        <f>IFERROR(__xludf.DUMMYFUNCTION("IFS(
  AND(REGEXMATCH(E6851, ""台銀籌備帳戶|玉山帳戶""), REGEXMATCH(C6851, ""薪資"")), ""分潤支出"",
  AND(REGEXMATCH(E6851, ""Ben帳戶|Elsa帳戶|Ben代墊|Ariel代墊|中信銀行共用""), REGEXMATCH(F6851, ""Ben帳戶|Elsa帳戶|Ben代墊|Ariel代墊|中信銀行共用"")), ""內部轉帳(忽略)"",
  AND(E6851&lt;&gt;"""", F6851&lt;&gt;"""", N"&amp;"OT(REGEXMATCH(C6851, ""薪資""))), ""內部轉帳(忽略)"",
  REGEXMATCH(C6851, ""薪資""), ""薪資變動(不計入)"",
  REGEXMATCH(C6851, ""押金""), ""押金往來"",
  AND(E6851&lt;&gt;"""", F6851=""""), ""真實支出"",
  AND(E6851="""", F6851&lt;&gt;""""), ""真實收入"",
  TRUE, ""其他""
)"),"其他")</f>
        <v>其他</v>
      </c>
      <c r="K6851" s="270" t="str">
        <f t="shared" si="2"/>
        <v/>
      </c>
      <c r="L6851">
        <f t="shared" si="3"/>
        <v>0</v>
      </c>
    </row>
    <row r="6852">
      <c r="A6852" s="107"/>
      <c r="D6852" s="270"/>
      <c r="H6852" s="106" t="str">
        <f t="shared" si="1"/>
        <v/>
      </c>
      <c r="J6852" t="str">
        <f>IFERROR(__xludf.DUMMYFUNCTION("IFS(
  AND(REGEXMATCH(E6852, ""台銀籌備帳戶|玉山帳戶""), REGEXMATCH(C6852, ""薪資"")), ""分潤支出"",
  AND(REGEXMATCH(E6852, ""Ben帳戶|Elsa帳戶|Ben代墊|Ariel代墊|中信銀行共用""), REGEXMATCH(F6852, ""Ben帳戶|Elsa帳戶|Ben代墊|Ariel代墊|中信銀行共用"")), ""內部轉帳(忽略)"",
  AND(E6852&lt;&gt;"""", F6852&lt;&gt;"""", N"&amp;"OT(REGEXMATCH(C6852, ""薪資""))), ""內部轉帳(忽略)"",
  REGEXMATCH(C6852, ""薪資""), ""薪資變動(不計入)"",
  REGEXMATCH(C6852, ""押金""), ""押金往來"",
  AND(E6852&lt;&gt;"""", F6852=""""), ""真實支出"",
  AND(E6852="""", F6852&lt;&gt;""""), ""真實收入"",
  TRUE, ""其他""
)"),"其他")</f>
        <v>其他</v>
      </c>
      <c r="K6852" s="270" t="str">
        <f t="shared" si="2"/>
        <v/>
      </c>
      <c r="L6852">
        <f t="shared" si="3"/>
        <v>0</v>
      </c>
    </row>
    <row r="6853">
      <c r="A6853" s="107"/>
      <c r="D6853" s="270"/>
      <c r="H6853" s="106" t="str">
        <f t="shared" si="1"/>
        <v/>
      </c>
      <c r="J6853" t="str">
        <f>IFERROR(__xludf.DUMMYFUNCTION("IFS(
  AND(REGEXMATCH(E6853, ""台銀籌備帳戶|玉山帳戶""), REGEXMATCH(C6853, ""薪資"")), ""分潤支出"",
  AND(REGEXMATCH(E6853, ""Ben帳戶|Elsa帳戶|Ben代墊|Ariel代墊|中信銀行共用""), REGEXMATCH(F6853, ""Ben帳戶|Elsa帳戶|Ben代墊|Ariel代墊|中信銀行共用"")), ""內部轉帳(忽略)"",
  AND(E6853&lt;&gt;"""", F6853&lt;&gt;"""", N"&amp;"OT(REGEXMATCH(C6853, ""薪資""))), ""內部轉帳(忽略)"",
  REGEXMATCH(C6853, ""薪資""), ""薪資變動(不計入)"",
  REGEXMATCH(C6853, ""押金""), ""押金往來"",
  AND(E6853&lt;&gt;"""", F6853=""""), ""真實支出"",
  AND(E6853="""", F6853&lt;&gt;""""), ""真實收入"",
  TRUE, ""其他""
)"),"其他")</f>
        <v>其他</v>
      </c>
      <c r="K6853" s="270" t="str">
        <f t="shared" si="2"/>
        <v/>
      </c>
      <c r="L6853">
        <f t="shared" si="3"/>
        <v>0</v>
      </c>
    </row>
    <row r="6854">
      <c r="A6854" s="107"/>
      <c r="D6854" s="270"/>
      <c r="H6854" s="106" t="str">
        <f t="shared" si="1"/>
        <v/>
      </c>
      <c r="J6854" t="str">
        <f>IFERROR(__xludf.DUMMYFUNCTION("IFS(
  AND(REGEXMATCH(E6854, ""台銀籌備帳戶|玉山帳戶""), REGEXMATCH(C6854, ""薪資"")), ""分潤支出"",
  AND(REGEXMATCH(E6854, ""Ben帳戶|Elsa帳戶|Ben代墊|Ariel代墊|中信銀行共用""), REGEXMATCH(F6854, ""Ben帳戶|Elsa帳戶|Ben代墊|Ariel代墊|中信銀行共用"")), ""內部轉帳(忽略)"",
  AND(E6854&lt;&gt;"""", F6854&lt;&gt;"""", N"&amp;"OT(REGEXMATCH(C6854, ""薪資""))), ""內部轉帳(忽略)"",
  REGEXMATCH(C6854, ""薪資""), ""薪資變動(不計入)"",
  REGEXMATCH(C6854, ""押金""), ""押金往來"",
  AND(E6854&lt;&gt;"""", F6854=""""), ""真實支出"",
  AND(E6854="""", F6854&lt;&gt;""""), ""真實收入"",
  TRUE, ""其他""
)"),"其他")</f>
        <v>其他</v>
      </c>
      <c r="K6854" s="270" t="str">
        <f t="shared" si="2"/>
        <v/>
      </c>
      <c r="L6854">
        <f t="shared" si="3"/>
        <v>0</v>
      </c>
    </row>
    <row r="6855">
      <c r="A6855" s="107"/>
      <c r="D6855" s="270"/>
      <c r="H6855" s="106" t="str">
        <f t="shared" si="1"/>
        <v/>
      </c>
      <c r="J6855" t="str">
        <f>IFERROR(__xludf.DUMMYFUNCTION("IFS(
  AND(REGEXMATCH(E6855, ""台銀籌備帳戶|玉山帳戶""), REGEXMATCH(C6855, ""薪資"")), ""分潤支出"",
  AND(REGEXMATCH(E6855, ""Ben帳戶|Elsa帳戶|Ben代墊|Ariel代墊|中信銀行共用""), REGEXMATCH(F6855, ""Ben帳戶|Elsa帳戶|Ben代墊|Ariel代墊|中信銀行共用"")), ""內部轉帳(忽略)"",
  AND(E6855&lt;&gt;"""", F6855&lt;&gt;"""", N"&amp;"OT(REGEXMATCH(C6855, ""薪資""))), ""內部轉帳(忽略)"",
  REGEXMATCH(C6855, ""薪資""), ""薪資變動(不計入)"",
  REGEXMATCH(C6855, ""押金""), ""押金往來"",
  AND(E6855&lt;&gt;"""", F6855=""""), ""真實支出"",
  AND(E6855="""", F6855&lt;&gt;""""), ""真實收入"",
  TRUE, ""其他""
)"),"其他")</f>
        <v>其他</v>
      </c>
      <c r="K6855" s="270" t="str">
        <f t="shared" si="2"/>
        <v/>
      </c>
      <c r="L6855">
        <f t="shared" si="3"/>
        <v>0</v>
      </c>
    </row>
    <row r="6856">
      <c r="A6856" s="107"/>
      <c r="D6856" s="270"/>
      <c r="H6856" s="106" t="str">
        <f t="shared" si="1"/>
        <v/>
      </c>
      <c r="J6856" t="str">
        <f>IFERROR(__xludf.DUMMYFUNCTION("IFS(
  AND(REGEXMATCH(E6856, ""台銀籌備帳戶|玉山帳戶""), REGEXMATCH(C6856, ""薪資"")), ""分潤支出"",
  AND(REGEXMATCH(E6856, ""Ben帳戶|Elsa帳戶|Ben代墊|Ariel代墊|中信銀行共用""), REGEXMATCH(F6856, ""Ben帳戶|Elsa帳戶|Ben代墊|Ariel代墊|中信銀行共用"")), ""內部轉帳(忽略)"",
  AND(E6856&lt;&gt;"""", F6856&lt;&gt;"""", N"&amp;"OT(REGEXMATCH(C6856, ""薪資""))), ""內部轉帳(忽略)"",
  REGEXMATCH(C6856, ""薪資""), ""薪資變動(不計入)"",
  REGEXMATCH(C6856, ""押金""), ""押金往來"",
  AND(E6856&lt;&gt;"""", F6856=""""), ""真實支出"",
  AND(E6856="""", F6856&lt;&gt;""""), ""真實收入"",
  TRUE, ""其他""
)"),"其他")</f>
        <v>其他</v>
      </c>
      <c r="K6856" s="270" t="str">
        <f t="shared" si="2"/>
        <v/>
      </c>
      <c r="L6856">
        <f t="shared" si="3"/>
        <v>0</v>
      </c>
    </row>
    <row r="6857">
      <c r="A6857" s="107"/>
      <c r="D6857" s="270"/>
      <c r="H6857" s="106" t="str">
        <f t="shared" si="1"/>
        <v/>
      </c>
      <c r="J6857" t="str">
        <f>IFERROR(__xludf.DUMMYFUNCTION("IFS(
  AND(REGEXMATCH(E6857, ""台銀籌備帳戶|玉山帳戶""), REGEXMATCH(C6857, ""薪資"")), ""分潤支出"",
  AND(REGEXMATCH(E6857, ""Ben帳戶|Elsa帳戶|Ben代墊|Ariel代墊|中信銀行共用""), REGEXMATCH(F6857, ""Ben帳戶|Elsa帳戶|Ben代墊|Ariel代墊|中信銀行共用"")), ""內部轉帳(忽略)"",
  AND(E6857&lt;&gt;"""", F6857&lt;&gt;"""", N"&amp;"OT(REGEXMATCH(C6857, ""薪資""))), ""內部轉帳(忽略)"",
  REGEXMATCH(C6857, ""薪資""), ""薪資變動(不計入)"",
  REGEXMATCH(C6857, ""押金""), ""押金往來"",
  AND(E6857&lt;&gt;"""", F6857=""""), ""真實支出"",
  AND(E6857="""", F6857&lt;&gt;""""), ""真實收入"",
  TRUE, ""其他""
)"),"其他")</f>
        <v>其他</v>
      </c>
      <c r="K6857" s="270" t="str">
        <f t="shared" si="2"/>
        <v/>
      </c>
      <c r="L6857">
        <f t="shared" si="3"/>
        <v>0</v>
      </c>
    </row>
    <row r="6858">
      <c r="A6858" s="107"/>
      <c r="D6858" s="270"/>
      <c r="H6858" s="106" t="str">
        <f t="shared" si="1"/>
        <v/>
      </c>
      <c r="J6858" t="str">
        <f>IFERROR(__xludf.DUMMYFUNCTION("IFS(
  AND(REGEXMATCH(E6858, ""台銀籌備帳戶|玉山帳戶""), REGEXMATCH(C6858, ""薪資"")), ""分潤支出"",
  AND(REGEXMATCH(E6858, ""Ben帳戶|Elsa帳戶|Ben代墊|Ariel代墊|中信銀行共用""), REGEXMATCH(F6858, ""Ben帳戶|Elsa帳戶|Ben代墊|Ariel代墊|中信銀行共用"")), ""內部轉帳(忽略)"",
  AND(E6858&lt;&gt;"""", F6858&lt;&gt;"""", N"&amp;"OT(REGEXMATCH(C6858, ""薪資""))), ""內部轉帳(忽略)"",
  REGEXMATCH(C6858, ""薪資""), ""薪資變動(不計入)"",
  REGEXMATCH(C6858, ""押金""), ""押金往來"",
  AND(E6858&lt;&gt;"""", F6858=""""), ""真實支出"",
  AND(E6858="""", F6858&lt;&gt;""""), ""真實收入"",
  TRUE, ""其他""
)"),"其他")</f>
        <v>其他</v>
      </c>
      <c r="K6858" s="270" t="str">
        <f t="shared" si="2"/>
        <v/>
      </c>
      <c r="L6858">
        <f t="shared" si="3"/>
        <v>0</v>
      </c>
    </row>
    <row r="6859">
      <c r="A6859" s="107"/>
      <c r="D6859" s="270"/>
      <c r="H6859" s="106" t="str">
        <f t="shared" si="1"/>
        <v/>
      </c>
      <c r="J6859" t="str">
        <f>IFERROR(__xludf.DUMMYFUNCTION("IFS(
  AND(REGEXMATCH(E6859, ""台銀籌備帳戶|玉山帳戶""), REGEXMATCH(C6859, ""薪資"")), ""分潤支出"",
  AND(REGEXMATCH(E6859, ""Ben帳戶|Elsa帳戶|Ben代墊|Ariel代墊|中信銀行共用""), REGEXMATCH(F6859, ""Ben帳戶|Elsa帳戶|Ben代墊|Ariel代墊|中信銀行共用"")), ""內部轉帳(忽略)"",
  AND(E6859&lt;&gt;"""", F6859&lt;&gt;"""", N"&amp;"OT(REGEXMATCH(C6859, ""薪資""))), ""內部轉帳(忽略)"",
  REGEXMATCH(C6859, ""薪資""), ""薪資變動(不計入)"",
  REGEXMATCH(C6859, ""押金""), ""押金往來"",
  AND(E6859&lt;&gt;"""", F6859=""""), ""真實支出"",
  AND(E6859="""", F6859&lt;&gt;""""), ""真實收入"",
  TRUE, ""其他""
)"),"其他")</f>
        <v>其他</v>
      </c>
      <c r="K6859" s="270" t="str">
        <f t="shared" si="2"/>
        <v/>
      </c>
      <c r="L6859">
        <f t="shared" si="3"/>
        <v>0</v>
      </c>
    </row>
    <row r="6860">
      <c r="A6860" s="107"/>
      <c r="D6860" s="270"/>
      <c r="H6860" s="106" t="str">
        <f t="shared" si="1"/>
        <v/>
      </c>
      <c r="J6860" t="str">
        <f>IFERROR(__xludf.DUMMYFUNCTION("IFS(
  AND(REGEXMATCH(E6860, ""台銀籌備帳戶|玉山帳戶""), REGEXMATCH(C6860, ""薪資"")), ""分潤支出"",
  AND(REGEXMATCH(E6860, ""Ben帳戶|Elsa帳戶|Ben代墊|Ariel代墊|中信銀行共用""), REGEXMATCH(F6860, ""Ben帳戶|Elsa帳戶|Ben代墊|Ariel代墊|中信銀行共用"")), ""內部轉帳(忽略)"",
  AND(E6860&lt;&gt;"""", F6860&lt;&gt;"""", N"&amp;"OT(REGEXMATCH(C6860, ""薪資""))), ""內部轉帳(忽略)"",
  REGEXMATCH(C6860, ""薪資""), ""薪資變動(不計入)"",
  REGEXMATCH(C6860, ""押金""), ""押金往來"",
  AND(E6860&lt;&gt;"""", F6860=""""), ""真實支出"",
  AND(E6860="""", F6860&lt;&gt;""""), ""真實收入"",
  TRUE, ""其他""
)"),"其他")</f>
        <v>其他</v>
      </c>
      <c r="K6860" s="270" t="str">
        <f t="shared" si="2"/>
        <v/>
      </c>
      <c r="L6860">
        <f t="shared" si="3"/>
        <v>0</v>
      </c>
    </row>
    <row r="6861">
      <c r="A6861" s="107"/>
      <c r="D6861" s="270"/>
      <c r="H6861" s="106" t="str">
        <f t="shared" si="1"/>
        <v/>
      </c>
      <c r="J6861" t="str">
        <f>IFERROR(__xludf.DUMMYFUNCTION("IFS(
  AND(REGEXMATCH(E6861, ""台銀籌備帳戶|玉山帳戶""), REGEXMATCH(C6861, ""薪資"")), ""分潤支出"",
  AND(REGEXMATCH(E6861, ""Ben帳戶|Elsa帳戶|Ben代墊|Ariel代墊|中信銀行共用""), REGEXMATCH(F6861, ""Ben帳戶|Elsa帳戶|Ben代墊|Ariel代墊|中信銀行共用"")), ""內部轉帳(忽略)"",
  AND(E6861&lt;&gt;"""", F6861&lt;&gt;"""", N"&amp;"OT(REGEXMATCH(C6861, ""薪資""))), ""內部轉帳(忽略)"",
  REGEXMATCH(C6861, ""薪資""), ""薪資變動(不計入)"",
  REGEXMATCH(C6861, ""押金""), ""押金往來"",
  AND(E6861&lt;&gt;"""", F6861=""""), ""真實支出"",
  AND(E6861="""", F6861&lt;&gt;""""), ""真實收入"",
  TRUE, ""其他""
)"),"其他")</f>
        <v>其他</v>
      </c>
      <c r="K6861" s="270" t="str">
        <f t="shared" si="2"/>
        <v/>
      </c>
      <c r="L6861">
        <f t="shared" si="3"/>
        <v>0</v>
      </c>
    </row>
    <row r="6862">
      <c r="A6862" s="107"/>
      <c r="D6862" s="270"/>
      <c r="H6862" s="106" t="str">
        <f t="shared" si="1"/>
        <v/>
      </c>
      <c r="J6862" t="str">
        <f>IFERROR(__xludf.DUMMYFUNCTION("IFS(
  AND(REGEXMATCH(E6862, ""台銀籌備帳戶|玉山帳戶""), REGEXMATCH(C6862, ""薪資"")), ""分潤支出"",
  AND(REGEXMATCH(E6862, ""Ben帳戶|Elsa帳戶|Ben代墊|Ariel代墊|中信銀行共用""), REGEXMATCH(F6862, ""Ben帳戶|Elsa帳戶|Ben代墊|Ariel代墊|中信銀行共用"")), ""內部轉帳(忽略)"",
  AND(E6862&lt;&gt;"""", F6862&lt;&gt;"""", N"&amp;"OT(REGEXMATCH(C6862, ""薪資""))), ""內部轉帳(忽略)"",
  REGEXMATCH(C6862, ""薪資""), ""薪資變動(不計入)"",
  REGEXMATCH(C6862, ""押金""), ""押金往來"",
  AND(E6862&lt;&gt;"""", F6862=""""), ""真實支出"",
  AND(E6862="""", F6862&lt;&gt;""""), ""真實收入"",
  TRUE, ""其他""
)"),"其他")</f>
        <v>其他</v>
      </c>
      <c r="K6862" s="270" t="str">
        <f t="shared" si="2"/>
        <v/>
      </c>
      <c r="L6862">
        <f t="shared" si="3"/>
        <v>0</v>
      </c>
    </row>
    <row r="6863">
      <c r="A6863" s="107"/>
      <c r="D6863" s="270"/>
      <c r="H6863" s="106" t="str">
        <f t="shared" si="1"/>
        <v/>
      </c>
      <c r="J6863" t="str">
        <f>IFERROR(__xludf.DUMMYFUNCTION("IFS(
  AND(REGEXMATCH(E6863, ""台銀籌備帳戶|玉山帳戶""), REGEXMATCH(C6863, ""薪資"")), ""分潤支出"",
  AND(REGEXMATCH(E6863, ""Ben帳戶|Elsa帳戶|Ben代墊|Ariel代墊|中信銀行共用""), REGEXMATCH(F6863, ""Ben帳戶|Elsa帳戶|Ben代墊|Ariel代墊|中信銀行共用"")), ""內部轉帳(忽略)"",
  AND(E6863&lt;&gt;"""", F6863&lt;&gt;"""", N"&amp;"OT(REGEXMATCH(C6863, ""薪資""))), ""內部轉帳(忽略)"",
  REGEXMATCH(C6863, ""薪資""), ""薪資變動(不計入)"",
  REGEXMATCH(C6863, ""押金""), ""押金往來"",
  AND(E6863&lt;&gt;"""", F6863=""""), ""真實支出"",
  AND(E6863="""", F6863&lt;&gt;""""), ""真實收入"",
  TRUE, ""其他""
)"),"其他")</f>
        <v>其他</v>
      </c>
      <c r="K6863" s="270" t="str">
        <f t="shared" si="2"/>
        <v/>
      </c>
      <c r="L6863">
        <f t="shared" si="3"/>
        <v>0</v>
      </c>
    </row>
    <row r="6864">
      <c r="A6864" s="107"/>
      <c r="D6864" s="270"/>
      <c r="H6864" s="106" t="str">
        <f t="shared" si="1"/>
        <v/>
      </c>
      <c r="J6864" t="str">
        <f>IFERROR(__xludf.DUMMYFUNCTION("IFS(
  AND(REGEXMATCH(E6864, ""台銀籌備帳戶|玉山帳戶""), REGEXMATCH(C6864, ""薪資"")), ""分潤支出"",
  AND(REGEXMATCH(E6864, ""Ben帳戶|Elsa帳戶|Ben代墊|Ariel代墊|中信銀行共用""), REGEXMATCH(F6864, ""Ben帳戶|Elsa帳戶|Ben代墊|Ariel代墊|中信銀行共用"")), ""內部轉帳(忽略)"",
  AND(E6864&lt;&gt;"""", F6864&lt;&gt;"""", N"&amp;"OT(REGEXMATCH(C6864, ""薪資""))), ""內部轉帳(忽略)"",
  REGEXMATCH(C6864, ""薪資""), ""薪資變動(不計入)"",
  REGEXMATCH(C6864, ""押金""), ""押金往來"",
  AND(E6864&lt;&gt;"""", F6864=""""), ""真實支出"",
  AND(E6864="""", F6864&lt;&gt;""""), ""真實收入"",
  TRUE, ""其他""
)"),"其他")</f>
        <v>其他</v>
      </c>
      <c r="K6864" s="270" t="str">
        <f t="shared" si="2"/>
        <v/>
      </c>
      <c r="L6864">
        <f t="shared" si="3"/>
        <v>0</v>
      </c>
    </row>
    <row r="6865">
      <c r="A6865" s="107"/>
      <c r="D6865" s="270"/>
      <c r="H6865" s="106" t="str">
        <f t="shared" si="1"/>
        <v/>
      </c>
      <c r="J6865" t="str">
        <f>IFERROR(__xludf.DUMMYFUNCTION("IFS(
  AND(REGEXMATCH(E6865, ""台銀籌備帳戶|玉山帳戶""), REGEXMATCH(C6865, ""薪資"")), ""分潤支出"",
  AND(REGEXMATCH(E6865, ""Ben帳戶|Elsa帳戶|Ben代墊|Ariel代墊|中信銀行共用""), REGEXMATCH(F6865, ""Ben帳戶|Elsa帳戶|Ben代墊|Ariel代墊|中信銀行共用"")), ""內部轉帳(忽略)"",
  AND(E6865&lt;&gt;"""", F6865&lt;&gt;"""", N"&amp;"OT(REGEXMATCH(C6865, ""薪資""))), ""內部轉帳(忽略)"",
  REGEXMATCH(C6865, ""薪資""), ""薪資變動(不計入)"",
  REGEXMATCH(C6865, ""押金""), ""押金往來"",
  AND(E6865&lt;&gt;"""", F6865=""""), ""真實支出"",
  AND(E6865="""", F6865&lt;&gt;""""), ""真實收入"",
  TRUE, ""其他""
)"),"其他")</f>
        <v>其他</v>
      </c>
      <c r="K6865" s="270" t="str">
        <f t="shared" si="2"/>
        <v/>
      </c>
      <c r="L6865">
        <f t="shared" si="3"/>
        <v>0</v>
      </c>
    </row>
    <row r="6866">
      <c r="A6866" s="107"/>
      <c r="D6866" s="270"/>
      <c r="H6866" s="106" t="str">
        <f t="shared" si="1"/>
        <v/>
      </c>
      <c r="J6866" t="str">
        <f>IFERROR(__xludf.DUMMYFUNCTION("IFS(
  AND(REGEXMATCH(E6866, ""台銀籌備帳戶|玉山帳戶""), REGEXMATCH(C6866, ""薪資"")), ""分潤支出"",
  AND(REGEXMATCH(E6866, ""Ben帳戶|Elsa帳戶|Ben代墊|Ariel代墊|中信銀行共用""), REGEXMATCH(F6866, ""Ben帳戶|Elsa帳戶|Ben代墊|Ariel代墊|中信銀行共用"")), ""內部轉帳(忽略)"",
  AND(E6866&lt;&gt;"""", F6866&lt;&gt;"""", N"&amp;"OT(REGEXMATCH(C6866, ""薪資""))), ""內部轉帳(忽略)"",
  REGEXMATCH(C6866, ""薪資""), ""薪資變動(不計入)"",
  REGEXMATCH(C6866, ""押金""), ""押金往來"",
  AND(E6866&lt;&gt;"""", F6866=""""), ""真實支出"",
  AND(E6866="""", F6866&lt;&gt;""""), ""真實收入"",
  TRUE, ""其他""
)"),"其他")</f>
        <v>其他</v>
      </c>
      <c r="K6866" s="270" t="str">
        <f t="shared" si="2"/>
        <v/>
      </c>
      <c r="L6866">
        <f t="shared" si="3"/>
        <v>0</v>
      </c>
    </row>
    <row r="6867">
      <c r="A6867" s="107"/>
      <c r="D6867" s="270"/>
      <c r="H6867" s="106" t="str">
        <f t="shared" si="1"/>
        <v/>
      </c>
      <c r="J6867" t="str">
        <f>IFERROR(__xludf.DUMMYFUNCTION("IFS(
  AND(REGEXMATCH(E6867, ""台銀籌備帳戶|玉山帳戶""), REGEXMATCH(C6867, ""薪資"")), ""分潤支出"",
  AND(REGEXMATCH(E6867, ""Ben帳戶|Elsa帳戶|Ben代墊|Ariel代墊|中信銀行共用""), REGEXMATCH(F6867, ""Ben帳戶|Elsa帳戶|Ben代墊|Ariel代墊|中信銀行共用"")), ""內部轉帳(忽略)"",
  AND(E6867&lt;&gt;"""", F6867&lt;&gt;"""", N"&amp;"OT(REGEXMATCH(C6867, ""薪資""))), ""內部轉帳(忽略)"",
  REGEXMATCH(C6867, ""薪資""), ""薪資變動(不計入)"",
  REGEXMATCH(C6867, ""押金""), ""押金往來"",
  AND(E6867&lt;&gt;"""", F6867=""""), ""真實支出"",
  AND(E6867="""", F6867&lt;&gt;""""), ""真實收入"",
  TRUE, ""其他""
)"),"其他")</f>
        <v>其他</v>
      </c>
      <c r="K6867" s="270" t="str">
        <f t="shared" si="2"/>
        <v/>
      </c>
      <c r="L6867">
        <f t="shared" si="3"/>
        <v>0</v>
      </c>
    </row>
    <row r="6868">
      <c r="A6868" s="107"/>
      <c r="D6868" s="270"/>
      <c r="H6868" s="106" t="str">
        <f t="shared" si="1"/>
        <v/>
      </c>
      <c r="J6868" t="str">
        <f>IFERROR(__xludf.DUMMYFUNCTION("IFS(
  AND(REGEXMATCH(E6868, ""台銀籌備帳戶|玉山帳戶""), REGEXMATCH(C6868, ""薪資"")), ""分潤支出"",
  AND(REGEXMATCH(E6868, ""Ben帳戶|Elsa帳戶|Ben代墊|Ariel代墊|中信銀行共用""), REGEXMATCH(F6868, ""Ben帳戶|Elsa帳戶|Ben代墊|Ariel代墊|中信銀行共用"")), ""內部轉帳(忽略)"",
  AND(E6868&lt;&gt;"""", F6868&lt;&gt;"""", N"&amp;"OT(REGEXMATCH(C6868, ""薪資""))), ""內部轉帳(忽略)"",
  REGEXMATCH(C6868, ""薪資""), ""薪資變動(不計入)"",
  REGEXMATCH(C6868, ""押金""), ""押金往來"",
  AND(E6868&lt;&gt;"""", F6868=""""), ""真實支出"",
  AND(E6868="""", F6868&lt;&gt;""""), ""真實收入"",
  TRUE, ""其他""
)"),"其他")</f>
        <v>其他</v>
      </c>
      <c r="K6868" s="270" t="str">
        <f t="shared" si="2"/>
        <v/>
      </c>
      <c r="L6868">
        <f t="shared" si="3"/>
        <v>0</v>
      </c>
    </row>
    <row r="6869">
      <c r="A6869" s="107"/>
      <c r="D6869" s="270"/>
      <c r="H6869" s="106" t="str">
        <f t="shared" si="1"/>
        <v/>
      </c>
      <c r="J6869" t="str">
        <f>IFERROR(__xludf.DUMMYFUNCTION("IFS(
  AND(REGEXMATCH(E6869, ""台銀籌備帳戶|玉山帳戶""), REGEXMATCH(C6869, ""薪資"")), ""分潤支出"",
  AND(REGEXMATCH(E6869, ""Ben帳戶|Elsa帳戶|Ben代墊|Ariel代墊|中信銀行共用""), REGEXMATCH(F6869, ""Ben帳戶|Elsa帳戶|Ben代墊|Ariel代墊|中信銀行共用"")), ""內部轉帳(忽略)"",
  AND(E6869&lt;&gt;"""", F6869&lt;&gt;"""", N"&amp;"OT(REGEXMATCH(C6869, ""薪資""))), ""內部轉帳(忽略)"",
  REGEXMATCH(C6869, ""薪資""), ""薪資變動(不計入)"",
  REGEXMATCH(C6869, ""押金""), ""押金往來"",
  AND(E6869&lt;&gt;"""", F6869=""""), ""真實支出"",
  AND(E6869="""", F6869&lt;&gt;""""), ""真實收入"",
  TRUE, ""其他""
)"),"其他")</f>
        <v>其他</v>
      </c>
      <c r="K6869" s="270" t="str">
        <f t="shared" si="2"/>
        <v/>
      </c>
      <c r="L6869">
        <f t="shared" si="3"/>
        <v>0</v>
      </c>
    </row>
    <row r="6870">
      <c r="A6870" s="107"/>
      <c r="D6870" s="270"/>
      <c r="H6870" s="106" t="str">
        <f t="shared" si="1"/>
        <v/>
      </c>
      <c r="J6870" t="str">
        <f>IFERROR(__xludf.DUMMYFUNCTION("IFS(
  AND(REGEXMATCH(E6870, ""台銀籌備帳戶|玉山帳戶""), REGEXMATCH(C6870, ""薪資"")), ""分潤支出"",
  AND(REGEXMATCH(E6870, ""Ben帳戶|Elsa帳戶|Ben代墊|Ariel代墊|中信銀行共用""), REGEXMATCH(F6870, ""Ben帳戶|Elsa帳戶|Ben代墊|Ariel代墊|中信銀行共用"")), ""內部轉帳(忽略)"",
  AND(E6870&lt;&gt;"""", F6870&lt;&gt;"""", N"&amp;"OT(REGEXMATCH(C6870, ""薪資""))), ""內部轉帳(忽略)"",
  REGEXMATCH(C6870, ""薪資""), ""薪資變動(不計入)"",
  REGEXMATCH(C6870, ""押金""), ""押金往來"",
  AND(E6870&lt;&gt;"""", F6870=""""), ""真實支出"",
  AND(E6870="""", F6870&lt;&gt;""""), ""真實收入"",
  TRUE, ""其他""
)"),"其他")</f>
        <v>其他</v>
      </c>
      <c r="K6870" s="270" t="str">
        <f t="shared" si="2"/>
        <v/>
      </c>
      <c r="L6870">
        <f t="shared" si="3"/>
        <v>0</v>
      </c>
    </row>
    <row r="6871">
      <c r="A6871" s="107"/>
      <c r="D6871" s="270"/>
      <c r="H6871" s="106" t="str">
        <f t="shared" si="1"/>
        <v/>
      </c>
      <c r="J6871" t="str">
        <f>IFERROR(__xludf.DUMMYFUNCTION("IFS(
  AND(REGEXMATCH(E6871, ""台銀籌備帳戶|玉山帳戶""), REGEXMATCH(C6871, ""薪資"")), ""分潤支出"",
  AND(REGEXMATCH(E6871, ""Ben帳戶|Elsa帳戶|Ben代墊|Ariel代墊|中信銀行共用""), REGEXMATCH(F6871, ""Ben帳戶|Elsa帳戶|Ben代墊|Ariel代墊|中信銀行共用"")), ""內部轉帳(忽略)"",
  AND(E6871&lt;&gt;"""", F6871&lt;&gt;"""", N"&amp;"OT(REGEXMATCH(C6871, ""薪資""))), ""內部轉帳(忽略)"",
  REGEXMATCH(C6871, ""薪資""), ""薪資變動(不計入)"",
  REGEXMATCH(C6871, ""押金""), ""押金往來"",
  AND(E6871&lt;&gt;"""", F6871=""""), ""真實支出"",
  AND(E6871="""", F6871&lt;&gt;""""), ""真實收入"",
  TRUE, ""其他""
)"),"其他")</f>
        <v>其他</v>
      </c>
      <c r="K6871" s="270" t="str">
        <f t="shared" si="2"/>
        <v/>
      </c>
      <c r="L6871">
        <f t="shared" si="3"/>
        <v>0</v>
      </c>
    </row>
    <row r="6872">
      <c r="A6872" s="107"/>
      <c r="D6872" s="270"/>
      <c r="H6872" s="106" t="str">
        <f t="shared" si="1"/>
        <v/>
      </c>
      <c r="J6872" t="str">
        <f>IFERROR(__xludf.DUMMYFUNCTION("IFS(
  AND(REGEXMATCH(E6872, ""台銀籌備帳戶|玉山帳戶""), REGEXMATCH(C6872, ""薪資"")), ""分潤支出"",
  AND(REGEXMATCH(E6872, ""Ben帳戶|Elsa帳戶|Ben代墊|Ariel代墊|中信銀行共用""), REGEXMATCH(F6872, ""Ben帳戶|Elsa帳戶|Ben代墊|Ariel代墊|中信銀行共用"")), ""內部轉帳(忽略)"",
  AND(E6872&lt;&gt;"""", F6872&lt;&gt;"""", N"&amp;"OT(REGEXMATCH(C6872, ""薪資""))), ""內部轉帳(忽略)"",
  REGEXMATCH(C6872, ""薪資""), ""薪資變動(不計入)"",
  REGEXMATCH(C6872, ""押金""), ""押金往來"",
  AND(E6872&lt;&gt;"""", F6872=""""), ""真實支出"",
  AND(E6872="""", F6872&lt;&gt;""""), ""真實收入"",
  TRUE, ""其他""
)"),"其他")</f>
        <v>其他</v>
      </c>
      <c r="K6872" s="270" t="str">
        <f t="shared" si="2"/>
        <v/>
      </c>
      <c r="L6872">
        <f t="shared" si="3"/>
        <v>0</v>
      </c>
    </row>
    <row r="6873">
      <c r="A6873" s="107"/>
      <c r="D6873" s="270"/>
      <c r="H6873" s="106" t="str">
        <f t="shared" si="1"/>
        <v/>
      </c>
      <c r="J6873" t="str">
        <f>IFERROR(__xludf.DUMMYFUNCTION("IFS(
  AND(REGEXMATCH(E6873, ""台銀籌備帳戶|玉山帳戶""), REGEXMATCH(C6873, ""薪資"")), ""分潤支出"",
  AND(REGEXMATCH(E6873, ""Ben帳戶|Elsa帳戶|Ben代墊|Ariel代墊|中信銀行共用""), REGEXMATCH(F6873, ""Ben帳戶|Elsa帳戶|Ben代墊|Ariel代墊|中信銀行共用"")), ""內部轉帳(忽略)"",
  AND(E6873&lt;&gt;"""", F6873&lt;&gt;"""", N"&amp;"OT(REGEXMATCH(C6873, ""薪資""))), ""內部轉帳(忽略)"",
  REGEXMATCH(C6873, ""薪資""), ""薪資變動(不計入)"",
  REGEXMATCH(C6873, ""押金""), ""押金往來"",
  AND(E6873&lt;&gt;"""", F6873=""""), ""真實支出"",
  AND(E6873="""", F6873&lt;&gt;""""), ""真實收入"",
  TRUE, ""其他""
)"),"其他")</f>
        <v>其他</v>
      </c>
      <c r="K6873" s="270" t="str">
        <f t="shared" si="2"/>
        <v/>
      </c>
      <c r="L6873">
        <f t="shared" si="3"/>
        <v>0</v>
      </c>
    </row>
    <row r="6874">
      <c r="A6874" s="107"/>
      <c r="D6874" s="270"/>
      <c r="H6874" s="106" t="str">
        <f t="shared" si="1"/>
        <v/>
      </c>
      <c r="J6874" t="str">
        <f>IFERROR(__xludf.DUMMYFUNCTION("IFS(
  AND(REGEXMATCH(E6874, ""台銀籌備帳戶|玉山帳戶""), REGEXMATCH(C6874, ""薪資"")), ""分潤支出"",
  AND(REGEXMATCH(E6874, ""Ben帳戶|Elsa帳戶|Ben代墊|Ariel代墊|中信銀行共用""), REGEXMATCH(F6874, ""Ben帳戶|Elsa帳戶|Ben代墊|Ariel代墊|中信銀行共用"")), ""內部轉帳(忽略)"",
  AND(E6874&lt;&gt;"""", F6874&lt;&gt;"""", N"&amp;"OT(REGEXMATCH(C6874, ""薪資""))), ""內部轉帳(忽略)"",
  REGEXMATCH(C6874, ""薪資""), ""薪資變動(不計入)"",
  REGEXMATCH(C6874, ""押金""), ""押金往來"",
  AND(E6874&lt;&gt;"""", F6874=""""), ""真實支出"",
  AND(E6874="""", F6874&lt;&gt;""""), ""真實收入"",
  TRUE, ""其他""
)"),"其他")</f>
        <v>其他</v>
      </c>
      <c r="K6874" s="270" t="str">
        <f t="shared" si="2"/>
        <v/>
      </c>
      <c r="L6874">
        <f t="shared" si="3"/>
        <v>0</v>
      </c>
    </row>
    <row r="6875">
      <c r="A6875" s="107"/>
      <c r="D6875" s="270"/>
      <c r="H6875" s="106" t="str">
        <f t="shared" si="1"/>
        <v/>
      </c>
      <c r="J6875" t="str">
        <f>IFERROR(__xludf.DUMMYFUNCTION("IFS(
  AND(REGEXMATCH(E6875, ""台銀籌備帳戶|玉山帳戶""), REGEXMATCH(C6875, ""薪資"")), ""分潤支出"",
  AND(REGEXMATCH(E6875, ""Ben帳戶|Elsa帳戶|Ben代墊|Ariel代墊|中信銀行共用""), REGEXMATCH(F6875, ""Ben帳戶|Elsa帳戶|Ben代墊|Ariel代墊|中信銀行共用"")), ""內部轉帳(忽略)"",
  AND(E6875&lt;&gt;"""", F6875&lt;&gt;"""", N"&amp;"OT(REGEXMATCH(C6875, ""薪資""))), ""內部轉帳(忽略)"",
  REGEXMATCH(C6875, ""薪資""), ""薪資變動(不計入)"",
  REGEXMATCH(C6875, ""押金""), ""押金往來"",
  AND(E6875&lt;&gt;"""", F6875=""""), ""真實支出"",
  AND(E6875="""", F6875&lt;&gt;""""), ""真實收入"",
  TRUE, ""其他""
)"),"其他")</f>
        <v>其他</v>
      </c>
      <c r="K6875" s="270" t="str">
        <f t="shared" si="2"/>
        <v/>
      </c>
      <c r="L6875">
        <f t="shared" si="3"/>
        <v>0</v>
      </c>
    </row>
    <row r="6876">
      <c r="A6876" s="107"/>
      <c r="D6876" s="270"/>
      <c r="H6876" s="106" t="str">
        <f t="shared" si="1"/>
        <v/>
      </c>
      <c r="J6876" t="str">
        <f>IFERROR(__xludf.DUMMYFUNCTION("IFS(
  AND(REGEXMATCH(E6876, ""台銀籌備帳戶|玉山帳戶""), REGEXMATCH(C6876, ""薪資"")), ""分潤支出"",
  AND(REGEXMATCH(E6876, ""Ben帳戶|Elsa帳戶|Ben代墊|Ariel代墊|中信銀行共用""), REGEXMATCH(F6876, ""Ben帳戶|Elsa帳戶|Ben代墊|Ariel代墊|中信銀行共用"")), ""內部轉帳(忽略)"",
  AND(E6876&lt;&gt;"""", F6876&lt;&gt;"""", N"&amp;"OT(REGEXMATCH(C6876, ""薪資""))), ""內部轉帳(忽略)"",
  REGEXMATCH(C6876, ""薪資""), ""薪資變動(不計入)"",
  REGEXMATCH(C6876, ""押金""), ""押金往來"",
  AND(E6876&lt;&gt;"""", F6876=""""), ""真實支出"",
  AND(E6876="""", F6876&lt;&gt;""""), ""真實收入"",
  TRUE, ""其他""
)"),"其他")</f>
        <v>其他</v>
      </c>
      <c r="K6876" s="270" t="str">
        <f t="shared" si="2"/>
        <v/>
      </c>
      <c r="L6876">
        <f t="shared" si="3"/>
        <v>0</v>
      </c>
    </row>
    <row r="6877">
      <c r="A6877" s="107"/>
      <c r="D6877" s="270"/>
      <c r="H6877" s="106" t="str">
        <f t="shared" si="1"/>
        <v/>
      </c>
      <c r="J6877" t="str">
        <f>IFERROR(__xludf.DUMMYFUNCTION("IFS(
  AND(REGEXMATCH(E6877, ""台銀籌備帳戶|玉山帳戶""), REGEXMATCH(C6877, ""薪資"")), ""分潤支出"",
  AND(REGEXMATCH(E6877, ""Ben帳戶|Elsa帳戶|Ben代墊|Ariel代墊|中信銀行共用""), REGEXMATCH(F6877, ""Ben帳戶|Elsa帳戶|Ben代墊|Ariel代墊|中信銀行共用"")), ""內部轉帳(忽略)"",
  AND(E6877&lt;&gt;"""", F6877&lt;&gt;"""", N"&amp;"OT(REGEXMATCH(C6877, ""薪資""))), ""內部轉帳(忽略)"",
  REGEXMATCH(C6877, ""薪資""), ""薪資變動(不計入)"",
  REGEXMATCH(C6877, ""押金""), ""押金往來"",
  AND(E6877&lt;&gt;"""", F6877=""""), ""真實支出"",
  AND(E6877="""", F6877&lt;&gt;""""), ""真實收入"",
  TRUE, ""其他""
)"),"其他")</f>
        <v>其他</v>
      </c>
      <c r="K6877" s="270" t="str">
        <f t="shared" si="2"/>
        <v/>
      </c>
      <c r="L6877">
        <f t="shared" si="3"/>
        <v>0</v>
      </c>
    </row>
    <row r="6878">
      <c r="A6878" s="107"/>
      <c r="D6878" s="270"/>
      <c r="H6878" s="106" t="str">
        <f t="shared" si="1"/>
        <v/>
      </c>
      <c r="J6878" t="str">
        <f>IFERROR(__xludf.DUMMYFUNCTION("IFS(
  AND(REGEXMATCH(E6878, ""台銀籌備帳戶|玉山帳戶""), REGEXMATCH(C6878, ""薪資"")), ""分潤支出"",
  AND(REGEXMATCH(E6878, ""Ben帳戶|Elsa帳戶|Ben代墊|Ariel代墊|中信銀行共用""), REGEXMATCH(F6878, ""Ben帳戶|Elsa帳戶|Ben代墊|Ariel代墊|中信銀行共用"")), ""內部轉帳(忽略)"",
  AND(E6878&lt;&gt;"""", F6878&lt;&gt;"""", N"&amp;"OT(REGEXMATCH(C6878, ""薪資""))), ""內部轉帳(忽略)"",
  REGEXMATCH(C6878, ""薪資""), ""薪資變動(不計入)"",
  REGEXMATCH(C6878, ""押金""), ""押金往來"",
  AND(E6878&lt;&gt;"""", F6878=""""), ""真實支出"",
  AND(E6878="""", F6878&lt;&gt;""""), ""真實收入"",
  TRUE, ""其他""
)"),"其他")</f>
        <v>其他</v>
      </c>
      <c r="K6878" s="270" t="str">
        <f t="shared" si="2"/>
        <v/>
      </c>
      <c r="L6878">
        <f t="shared" si="3"/>
        <v>0</v>
      </c>
    </row>
    <row r="6879">
      <c r="A6879" s="107"/>
      <c r="D6879" s="270"/>
      <c r="H6879" s="106" t="str">
        <f t="shared" si="1"/>
        <v/>
      </c>
      <c r="J6879" t="str">
        <f>IFERROR(__xludf.DUMMYFUNCTION("IFS(
  AND(REGEXMATCH(E6879, ""台銀籌備帳戶|玉山帳戶""), REGEXMATCH(C6879, ""薪資"")), ""分潤支出"",
  AND(REGEXMATCH(E6879, ""Ben帳戶|Elsa帳戶|Ben代墊|Ariel代墊|中信銀行共用""), REGEXMATCH(F6879, ""Ben帳戶|Elsa帳戶|Ben代墊|Ariel代墊|中信銀行共用"")), ""內部轉帳(忽略)"",
  AND(E6879&lt;&gt;"""", F6879&lt;&gt;"""", N"&amp;"OT(REGEXMATCH(C6879, ""薪資""))), ""內部轉帳(忽略)"",
  REGEXMATCH(C6879, ""薪資""), ""薪資變動(不計入)"",
  REGEXMATCH(C6879, ""押金""), ""押金往來"",
  AND(E6879&lt;&gt;"""", F6879=""""), ""真實支出"",
  AND(E6879="""", F6879&lt;&gt;""""), ""真實收入"",
  TRUE, ""其他""
)"),"其他")</f>
        <v>其他</v>
      </c>
      <c r="K6879" s="270" t="str">
        <f t="shared" si="2"/>
        <v/>
      </c>
      <c r="L6879">
        <f t="shared" si="3"/>
        <v>0</v>
      </c>
    </row>
    <row r="6880">
      <c r="A6880" s="107"/>
      <c r="D6880" s="270"/>
      <c r="H6880" s="106" t="str">
        <f t="shared" si="1"/>
        <v/>
      </c>
      <c r="J6880" t="str">
        <f>IFERROR(__xludf.DUMMYFUNCTION("IFS(
  AND(REGEXMATCH(E6880, ""台銀籌備帳戶|玉山帳戶""), REGEXMATCH(C6880, ""薪資"")), ""分潤支出"",
  AND(REGEXMATCH(E6880, ""Ben帳戶|Elsa帳戶|Ben代墊|Ariel代墊|中信銀行共用""), REGEXMATCH(F6880, ""Ben帳戶|Elsa帳戶|Ben代墊|Ariel代墊|中信銀行共用"")), ""內部轉帳(忽略)"",
  AND(E6880&lt;&gt;"""", F6880&lt;&gt;"""", N"&amp;"OT(REGEXMATCH(C6880, ""薪資""))), ""內部轉帳(忽略)"",
  REGEXMATCH(C6880, ""薪資""), ""薪資變動(不計入)"",
  REGEXMATCH(C6880, ""押金""), ""押金往來"",
  AND(E6880&lt;&gt;"""", F6880=""""), ""真實支出"",
  AND(E6880="""", F6880&lt;&gt;""""), ""真實收入"",
  TRUE, ""其他""
)"),"其他")</f>
        <v>其他</v>
      </c>
      <c r="K6880" s="270" t="str">
        <f t="shared" si="2"/>
        <v/>
      </c>
      <c r="L6880">
        <f t="shared" si="3"/>
        <v>0</v>
      </c>
    </row>
    <row r="6881">
      <c r="A6881" s="107"/>
      <c r="D6881" s="270"/>
      <c r="H6881" s="106" t="str">
        <f t="shared" si="1"/>
        <v/>
      </c>
      <c r="J6881" t="str">
        <f>IFERROR(__xludf.DUMMYFUNCTION("IFS(
  AND(REGEXMATCH(E6881, ""台銀籌備帳戶|玉山帳戶""), REGEXMATCH(C6881, ""薪資"")), ""分潤支出"",
  AND(REGEXMATCH(E6881, ""Ben帳戶|Elsa帳戶|Ben代墊|Ariel代墊|中信銀行共用""), REGEXMATCH(F6881, ""Ben帳戶|Elsa帳戶|Ben代墊|Ariel代墊|中信銀行共用"")), ""內部轉帳(忽略)"",
  AND(E6881&lt;&gt;"""", F6881&lt;&gt;"""", N"&amp;"OT(REGEXMATCH(C6881, ""薪資""))), ""內部轉帳(忽略)"",
  REGEXMATCH(C6881, ""薪資""), ""薪資變動(不計入)"",
  REGEXMATCH(C6881, ""押金""), ""押金往來"",
  AND(E6881&lt;&gt;"""", F6881=""""), ""真實支出"",
  AND(E6881="""", F6881&lt;&gt;""""), ""真實收入"",
  TRUE, ""其他""
)"),"其他")</f>
        <v>其他</v>
      </c>
      <c r="K6881" s="270" t="str">
        <f t="shared" si="2"/>
        <v/>
      </c>
      <c r="L6881">
        <f t="shared" si="3"/>
        <v>0</v>
      </c>
    </row>
    <row r="6882">
      <c r="A6882" s="107"/>
      <c r="D6882" s="270"/>
      <c r="H6882" s="106" t="str">
        <f t="shared" si="1"/>
        <v/>
      </c>
      <c r="J6882" t="str">
        <f>IFERROR(__xludf.DUMMYFUNCTION("IFS(
  AND(REGEXMATCH(E6882, ""台銀籌備帳戶|玉山帳戶""), REGEXMATCH(C6882, ""薪資"")), ""分潤支出"",
  AND(REGEXMATCH(E6882, ""Ben帳戶|Elsa帳戶|Ben代墊|Ariel代墊|中信銀行共用""), REGEXMATCH(F6882, ""Ben帳戶|Elsa帳戶|Ben代墊|Ariel代墊|中信銀行共用"")), ""內部轉帳(忽略)"",
  AND(E6882&lt;&gt;"""", F6882&lt;&gt;"""", N"&amp;"OT(REGEXMATCH(C6882, ""薪資""))), ""內部轉帳(忽略)"",
  REGEXMATCH(C6882, ""薪資""), ""薪資變動(不計入)"",
  REGEXMATCH(C6882, ""押金""), ""押金往來"",
  AND(E6882&lt;&gt;"""", F6882=""""), ""真實支出"",
  AND(E6882="""", F6882&lt;&gt;""""), ""真實收入"",
  TRUE, ""其他""
)"),"其他")</f>
        <v>其他</v>
      </c>
      <c r="K6882" s="270" t="str">
        <f t="shared" si="2"/>
        <v/>
      </c>
      <c r="L6882">
        <f t="shared" si="3"/>
        <v>0</v>
      </c>
    </row>
    <row r="6883">
      <c r="A6883" s="107"/>
      <c r="D6883" s="270"/>
      <c r="H6883" s="106" t="str">
        <f t="shared" si="1"/>
        <v/>
      </c>
      <c r="J6883" t="str">
        <f>IFERROR(__xludf.DUMMYFUNCTION("IFS(
  AND(REGEXMATCH(E6883, ""台銀籌備帳戶|玉山帳戶""), REGEXMATCH(C6883, ""薪資"")), ""分潤支出"",
  AND(REGEXMATCH(E6883, ""Ben帳戶|Elsa帳戶|Ben代墊|Ariel代墊|中信銀行共用""), REGEXMATCH(F6883, ""Ben帳戶|Elsa帳戶|Ben代墊|Ariel代墊|中信銀行共用"")), ""內部轉帳(忽略)"",
  AND(E6883&lt;&gt;"""", F6883&lt;&gt;"""", N"&amp;"OT(REGEXMATCH(C6883, ""薪資""))), ""內部轉帳(忽略)"",
  REGEXMATCH(C6883, ""薪資""), ""薪資變動(不計入)"",
  REGEXMATCH(C6883, ""押金""), ""押金往來"",
  AND(E6883&lt;&gt;"""", F6883=""""), ""真實支出"",
  AND(E6883="""", F6883&lt;&gt;""""), ""真實收入"",
  TRUE, ""其他""
)"),"其他")</f>
        <v>其他</v>
      </c>
      <c r="K6883" s="270" t="str">
        <f t="shared" si="2"/>
        <v/>
      </c>
      <c r="L6883">
        <f t="shared" si="3"/>
        <v>0</v>
      </c>
    </row>
    <row r="6884">
      <c r="A6884" s="107"/>
      <c r="D6884" s="270"/>
      <c r="H6884" s="106" t="str">
        <f t="shared" si="1"/>
        <v/>
      </c>
      <c r="J6884" t="str">
        <f>IFERROR(__xludf.DUMMYFUNCTION("IFS(
  AND(REGEXMATCH(E6884, ""台銀籌備帳戶|玉山帳戶""), REGEXMATCH(C6884, ""薪資"")), ""分潤支出"",
  AND(REGEXMATCH(E6884, ""Ben帳戶|Elsa帳戶|Ben代墊|Ariel代墊|中信銀行共用""), REGEXMATCH(F6884, ""Ben帳戶|Elsa帳戶|Ben代墊|Ariel代墊|中信銀行共用"")), ""內部轉帳(忽略)"",
  AND(E6884&lt;&gt;"""", F6884&lt;&gt;"""", N"&amp;"OT(REGEXMATCH(C6884, ""薪資""))), ""內部轉帳(忽略)"",
  REGEXMATCH(C6884, ""薪資""), ""薪資變動(不計入)"",
  REGEXMATCH(C6884, ""押金""), ""押金往來"",
  AND(E6884&lt;&gt;"""", F6884=""""), ""真實支出"",
  AND(E6884="""", F6884&lt;&gt;""""), ""真實收入"",
  TRUE, ""其他""
)"),"其他")</f>
        <v>其他</v>
      </c>
      <c r="K6884" s="270" t="str">
        <f t="shared" si="2"/>
        <v/>
      </c>
      <c r="L6884">
        <f t="shared" si="3"/>
        <v>0</v>
      </c>
    </row>
    <row r="6885">
      <c r="A6885" s="107"/>
      <c r="D6885" s="270"/>
      <c r="H6885" s="106" t="str">
        <f t="shared" si="1"/>
        <v/>
      </c>
      <c r="J6885" t="str">
        <f>IFERROR(__xludf.DUMMYFUNCTION("IFS(
  AND(REGEXMATCH(E6885, ""台銀籌備帳戶|玉山帳戶""), REGEXMATCH(C6885, ""薪資"")), ""分潤支出"",
  AND(REGEXMATCH(E6885, ""Ben帳戶|Elsa帳戶|Ben代墊|Ariel代墊|中信銀行共用""), REGEXMATCH(F6885, ""Ben帳戶|Elsa帳戶|Ben代墊|Ariel代墊|中信銀行共用"")), ""內部轉帳(忽略)"",
  AND(E6885&lt;&gt;"""", F6885&lt;&gt;"""", N"&amp;"OT(REGEXMATCH(C6885, ""薪資""))), ""內部轉帳(忽略)"",
  REGEXMATCH(C6885, ""薪資""), ""薪資變動(不計入)"",
  REGEXMATCH(C6885, ""押金""), ""押金往來"",
  AND(E6885&lt;&gt;"""", F6885=""""), ""真實支出"",
  AND(E6885="""", F6885&lt;&gt;""""), ""真實收入"",
  TRUE, ""其他""
)"),"其他")</f>
        <v>其他</v>
      </c>
      <c r="K6885" s="270" t="str">
        <f t="shared" si="2"/>
        <v/>
      </c>
      <c r="L6885">
        <f t="shared" si="3"/>
        <v>0</v>
      </c>
    </row>
    <row r="6886">
      <c r="A6886" s="107"/>
      <c r="D6886" s="270"/>
      <c r="H6886" s="106" t="str">
        <f t="shared" si="1"/>
        <v/>
      </c>
      <c r="J6886" t="str">
        <f>IFERROR(__xludf.DUMMYFUNCTION("IFS(
  AND(REGEXMATCH(E6886, ""台銀籌備帳戶|玉山帳戶""), REGEXMATCH(C6886, ""薪資"")), ""分潤支出"",
  AND(REGEXMATCH(E6886, ""Ben帳戶|Elsa帳戶|Ben代墊|Ariel代墊|中信銀行共用""), REGEXMATCH(F6886, ""Ben帳戶|Elsa帳戶|Ben代墊|Ariel代墊|中信銀行共用"")), ""內部轉帳(忽略)"",
  AND(E6886&lt;&gt;"""", F6886&lt;&gt;"""", N"&amp;"OT(REGEXMATCH(C6886, ""薪資""))), ""內部轉帳(忽略)"",
  REGEXMATCH(C6886, ""薪資""), ""薪資變動(不計入)"",
  REGEXMATCH(C6886, ""押金""), ""押金往來"",
  AND(E6886&lt;&gt;"""", F6886=""""), ""真實支出"",
  AND(E6886="""", F6886&lt;&gt;""""), ""真實收入"",
  TRUE, ""其他""
)"),"其他")</f>
        <v>其他</v>
      </c>
      <c r="K6886" s="270" t="str">
        <f t="shared" si="2"/>
        <v/>
      </c>
      <c r="L6886">
        <f t="shared" si="3"/>
        <v>0</v>
      </c>
    </row>
    <row r="6887">
      <c r="A6887" s="107"/>
      <c r="D6887" s="270"/>
      <c r="H6887" s="106" t="str">
        <f t="shared" si="1"/>
        <v/>
      </c>
      <c r="J6887" t="str">
        <f>IFERROR(__xludf.DUMMYFUNCTION("IFS(
  AND(REGEXMATCH(E6887, ""台銀籌備帳戶|玉山帳戶""), REGEXMATCH(C6887, ""薪資"")), ""分潤支出"",
  AND(REGEXMATCH(E6887, ""Ben帳戶|Elsa帳戶|Ben代墊|Ariel代墊|中信銀行共用""), REGEXMATCH(F6887, ""Ben帳戶|Elsa帳戶|Ben代墊|Ariel代墊|中信銀行共用"")), ""內部轉帳(忽略)"",
  AND(E6887&lt;&gt;"""", F6887&lt;&gt;"""", N"&amp;"OT(REGEXMATCH(C6887, ""薪資""))), ""內部轉帳(忽略)"",
  REGEXMATCH(C6887, ""薪資""), ""薪資變動(不計入)"",
  REGEXMATCH(C6887, ""押金""), ""押金往來"",
  AND(E6887&lt;&gt;"""", F6887=""""), ""真實支出"",
  AND(E6887="""", F6887&lt;&gt;""""), ""真實收入"",
  TRUE, ""其他""
)"),"其他")</f>
        <v>其他</v>
      </c>
      <c r="K6887" s="270" t="str">
        <f t="shared" si="2"/>
        <v/>
      </c>
      <c r="L6887">
        <f t="shared" si="3"/>
        <v>0</v>
      </c>
    </row>
    <row r="6888">
      <c r="A6888" s="107"/>
      <c r="D6888" s="270"/>
      <c r="H6888" s="106" t="str">
        <f t="shared" si="1"/>
        <v/>
      </c>
      <c r="J6888" t="str">
        <f>IFERROR(__xludf.DUMMYFUNCTION("IFS(
  AND(REGEXMATCH(E6888, ""台銀籌備帳戶|玉山帳戶""), REGEXMATCH(C6888, ""薪資"")), ""分潤支出"",
  AND(REGEXMATCH(E6888, ""Ben帳戶|Elsa帳戶|Ben代墊|Ariel代墊|中信銀行共用""), REGEXMATCH(F6888, ""Ben帳戶|Elsa帳戶|Ben代墊|Ariel代墊|中信銀行共用"")), ""內部轉帳(忽略)"",
  AND(E6888&lt;&gt;"""", F6888&lt;&gt;"""", N"&amp;"OT(REGEXMATCH(C6888, ""薪資""))), ""內部轉帳(忽略)"",
  REGEXMATCH(C6888, ""薪資""), ""薪資變動(不計入)"",
  REGEXMATCH(C6888, ""押金""), ""押金往來"",
  AND(E6888&lt;&gt;"""", F6888=""""), ""真實支出"",
  AND(E6888="""", F6888&lt;&gt;""""), ""真實收入"",
  TRUE, ""其他""
)"),"其他")</f>
        <v>其他</v>
      </c>
      <c r="K6888" s="270" t="str">
        <f t="shared" si="2"/>
        <v/>
      </c>
      <c r="L6888">
        <f t="shared" si="3"/>
        <v>0</v>
      </c>
    </row>
    <row r="6889">
      <c r="A6889" s="107"/>
      <c r="D6889" s="270"/>
      <c r="H6889" s="106" t="str">
        <f t="shared" si="1"/>
        <v/>
      </c>
      <c r="J6889" t="str">
        <f>IFERROR(__xludf.DUMMYFUNCTION("IFS(
  AND(REGEXMATCH(E6889, ""台銀籌備帳戶|玉山帳戶""), REGEXMATCH(C6889, ""薪資"")), ""分潤支出"",
  AND(REGEXMATCH(E6889, ""Ben帳戶|Elsa帳戶|Ben代墊|Ariel代墊|中信銀行共用""), REGEXMATCH(F6889, ""Ben帳戶|Elsa帳戶|Ben代墊|Ariel代墊|中信銀行共用"")), ""內部轉帳(忽略)"",
  AND(E6889&lt;&gt;"""", F6889&lt;&gt;"""", N"&amp;"OT(REGEXMATCH(C6889, ""薪資""))), ""內部轉帳(忽略)"",
  REGEXMATCH(C6889, ""薪資""), ""薪資變動(不計入)"",
  REGEXMATCH(C6889, ""押金""), ""押金往來"",
  AND(E6889&lt;&gt;"""", F6889=""""), ""真實支出"",
  AND(E6889="""", F6889&lt;&gt;""""), ""真實收入"",
  TRUE, ""其他""
)"),"其他")</f>
        <v>其他</v>
      </c>
      <c r="K6889" s="270" t="str">
        <f t="shared" si="2"/>
        <v/>
      </c>
      <c r="L6889">
        <f t="shared" si="3"/>
        <v>0</v>
      </c>
    </row>
    <row r="6890">
      <c r="A6890" s="107"/>
      <c r="D6890" s="270"/>
      <c r="H6890" s="106" t="str">
        <f t="shared" si="1"/>
        <v/>
      </c>
      <c r="J6890" t="str">
        <f>IFERROR(__xludf.DUMMYFUNCTION("IFS(
  AND(REGEXMATCH(E6890, ""台銀籌備帳戶|玉山帳戶""), REGEXMATCH(C6890, ""薪資"")), ""分潤支出"",
  AND(REGEXMATCH(E6890, ""Ben帳戶|Elsa帳戶|Ben代墊|Ariel代墊|中信銀行共用""), REGEXMATCH(F6890, ""Ben帳戶|Elsa帳戶|Ben代墊|Ariel代墊|中信銀行共用"")), ""內部轉帳(忽略)"",
  AND(E6890&lt;&gt;"""", F6890&lt;&gt;"""", N"&amp;"OT(REGEXMATCH(C6890, ""薪資""))), ""內部轉帳(忽略)"",
  REGEXMATCH(C6890, ""薪資""), ""薪資變動(不計入)"",
  REGEXMATCH(C6890, ""押金""), ""押金往來"",
  AND(E6890&lt;&gt;"""", F6890=""""), ""真實支出"",
  AND(E6890="""", F6890&lt;&gt;""""), ""真實收入"",
  TRUE, ""其他""
)"),"其他")</f>
        <v>其他</v>
      </c>
      <c r="K6890" s="270" t="str">
        <f t="shared" si="2"/>
        <v/>
      </c>
      <c r="L6890">
        <f t="shared" si="3"/>
        <v>0</v>
      </c>
    </row>
    <row r="6891">
      <c r="A6891" s="107"/>
      <c r="D6891" s="270"/>
      <c r="H6891" s="106" t="str">
        <f t="shared" si="1"/>
        <v/>
      </c>
      <c r="J6891" t="str">
        <f>IFERROR(__xludf.DUMMYFUNCTION("IFS(
  AND(REGEXMATCH(E6891, ""台銀籌備帳戶|玉山帳戶""), REGEXMATCH(C6891, ""薪資"")), ""分潤支出"",
  AND(REGEXMATCH(E6891, ""Ben帳戶|Elsa帳戶|Ben代墊|Ariel代墊|中信銀行共用""), REGEXMATCH(F6891, ""Ben帳戶|Elsa帳戶|Ben代墊|Ariel代墊|中信銀行共用"")), ""內部轉帳(忽略)"",
  AND(E6891&lt;&gt;"""", F6891&lt;&gt;"""", N"&amp;"OT(REGEXMATCH(C6891, ""薪資""))), ""內部轉帳(忽略)"",
  REGEXMATCH(C6891, ""薪資""), ""薪資變動(不計入)"",
  REGEXMATCH(C6891, ""押金""), ""押金往來"",
  AND(E6891&lt;&gt;"""", F6891=""""), ""真實支出"",
  AND(E6891="""", F6891&lt;&gt;""""), ""真實收入"",
  TRUE, ""其他""
)"),"其他")</f>
        <v>其他</v>
      </c>
      <c r="K6891" s="270" t="str">
        <f t="shared" si="2"/>
        <v/>
      </c>
      <c r="L6891">
        <f t="shared" si="3"/>
        <v>0</v>
      </c>
    </row>
    <row r="6892">
      <c r="A6892" s="107"/>
      <c r="D6892" s="270"/>
      <c r="H6892" s="106" t="str">
        <f t="shared" si="1"/>
        <v/>
      </c>
      <c r="J6892" t="str">
        <f>IFERROR(__xludf.DUMMYFUNCTION("IFS(
  AND(REGEXMATCH(E6892, ""台銀籌備帳戶|玉山帳戶""), REGEXMATCH(C6892, ""薪資"")), ""分潤支出"",
  AND(REGEXMATCH(E6892, ""Ben帳戶|Elsa帳戶|Ben代墊|Ariel代墊|中信銀行共用""), REGEXMATCH(F6892, ""Ben帳戶|Elsa帳戶|Ben代墊|Ariel代墊|中信銀行共用"")), ""內部轉帳(忽略)"",
  AND(E6892&lt;&gt;"""", F6892&lt;&gt;"""", N"&amp;"OT(REGEXMATCH(C6892, ""薪資""))), ""內部轉帳(忽略)"",
  REGEXMATCH(C6892, ""薪資""), ""薪資變動(不計入)"",
  REGEXMATCH(C6892, ""押金""), ""押金往來"",
  AND(E6892&lt;&gt;"""", F6892=""""), ""真實支出"",
  AND(E6892="""", F6892&lt;&gt;""""), ""真實收入"",
  TRUE, ""其他""
)"),"其他")</f>
        <v>其他</v>
      </c>
      <c r="K6892" s="270" t="str">
        <f t="shared" si="2"/>
        <v/>
      </c>
      <c r="L6892">
        <f t="shared" si="3"/>
        <v>0</v>
      </c>
    </row>
    <row r="6893">
      <c r="A6893" s="107"/>
      <c r="D6893" s="270"/>
      <c r="H6893" s="106" t="str">
        <f t="shared" si="1"/>
        <v/>
      </c>
      <c r="J6893" t="str">
        <f>IFERROR(__xludf.DUMMYFUNCTION("IFS(
  AND(REGEXMATCH(E6893, ""台銀籌備帳戶|玉山帳戶""), REGEXMATCH(C6893, ""薪資"")), ""分潤支出"",
  AND(REGEXMATCH(E6893, ""Ben帳戶|Elsa帳戶|Ben代墊|Ariel代墊|中信銀行共用""), REGEXMATCH(F6893, ""Ben帳戶|Elsa帳戶|Ben代墊|Ariel代墊|中信銀行共用"")), ""內部轉帳(忽略)"",
  AND(E6893&lt;&gt;"""", F6893&lt;&gt;"""", N"&amp;"OT(REGEXMATCH(C6893, ""薪資""))), ""內部轉帳(忽略)"",
  REGEXMATCH(C6893, ""薪資""), ""薪資變動(不計入)"",
  REGEXMATCH(C6893, ""押金""), ""押金往來"",
  AND(E6893&lt;&gt;"""", F6893=""""), ""真實支出"",
  AND(E6893="""", F6893&lt;&gt;""""), ""真實收入"",
  TRUE, ""其他""
)"),"其他")</f>
        <v>其他</v>
      </c>
      <c r="K6893" s="270" t="str">
        <f t="shared" si="2"/>
        <v/>
      </c>
      <c r="L6893">
        <f t="shared" si="3"/>
        <v>0</v>
      </c>
    </row>
    <row r="6894">
      <c r="A6894" s="107"/>
      <c r="D6894" s="270"/>
      <c r="H6894" s="106" t="str">
        <f t="shared" si="1"/>
        <v/>
      </c>
      <c r="J6894" t="str">
        <f>IFERROR(__xludf.DUMMYFUNCTION("IFS(
  AND(REGEXMATCH(E6894, ""台銀籌備帳戶|玉山帳戶""), REGEXMATCH(C6894, ""薪資"")), ""分潤支出"",
  AND(REGEXMATCH(E6894, ""Ben帳戶|Elsa帳戶|Ben代墊|Ariel代墊|中信銀行共用""), REGEXMATCH(F6894, ""Ben帳戶|Elsa帳戶|Ben代墊|Ariel代墊|中信銀行共用"")), ""內部轉帳(忽略)"",
  AND(E6894&lt;&gt;"""", F6894&lt;&gt;"""", N"&amp;"OT(REGEXMATCH(C6894, ""薪資""))), ""內部轉帳(忽略)"",
  REGEXMATCH(C6894, ""薪資""), ""薪資變動(不計入)"",
  REGEXMATCH(C6894, ""押金""), ""押金往來"",
  AND(E6894&lt;&gt;"""", F6894=""""), ""真實支出"",
  AND(E6894="""", F6894&lt;&gt;""""), ""真實收入"",
  TRUE, ""其他""
)"),"其他")</f>
        <v>其他</v>
      </c>
      <c r="K6894" s="270" t="str">
        <f t="shared" si="2"/>
        <v/>
      </c>
      <c r="L6894">
        <f t="shared" si="3"/>
        <v>0</v>
      </c>
    </row>
    <row r="6895">
      <c r="A6895" s="107"/>
      <c r="D6895" s="270"/>
      <c r="H6895" s="106" t="str">
        <f t="shared" si="1"/>
        <v/>
      </c>
      <c r="J6895" t="str">
        <f>IFERROR(__xludf.DUMMYFUNCTION("IFS(
  AND(REGEXMATCH(E6895, ""台銀籌備帳戶|玉山帳戶""), REGEXMATCH(C6895, ""薪資"")), ""分潤支出"",
  AND(REGEXMATCH(E6895, ""Ben帳戶|Elsa帳戶|Ben代墊|Ariel代墊|中信銀行共用""), REGEXMATCH(F6895, ""Ben帳戶|Elsa帳戶|Ben代墊|Ariel代墊|中信銀行共用"")), ""內部轉帳(忽略)"",
  AND(E6895&lt;&gt;"""", F6895&lt;&gt;"""", N"&amp;"OT(REGEXMATCH(C6895, ""薪資""))), ""內部轉帳(忽略)"",
  REGEXMATCH(C6895, ""薪資""), ""薪資變動(不計入)"",
  REGEXMATCH(C6895, ""押金""), ""押金往來"",
  AND(E6895&lt;&gt;"""", F6895=""""), ""真實支出"",
  AND(E6895="""", F6895&lt;&gt;""""), ""真實收入"",
  TRUE, ""其他""
)"),"其他")</f>
        <v>其他</v>
      </c>
      <c r="K6895" s="270" t="str">
        <f t="shared" si="2"/>
        <v/>
      </c>
      <c r="L6895">
        <f t="shared" si="3"/>
        <v>0</v>
      </c>
    </row>
    <row r="6896">
      <c r="A6896" s="107"/>
      <c r="D6896" s="270"/>
      <c r="H6896" s="106" t="str">
        <f t="shared" si="1"/>
        <v/>
      </c>
      <c r="J6896" t="str">
        <f>IFERROR(__xludf.DUMMYFUNCTION("IFS(
  AND(REGEXMATCH(E6896, ""台銀籌備帳戶|玉山帳戶""), REGEXMATCH(C6896, ""薪資"")), ""分潤支出"",
  AND(REGEXMATCH(E6896, ""Ben帳戶|Elsa帳戶|Ben代墊|Ariel代墊|中信銀行共用""), REGEXMATCH(F6896, ""Ben帳戶|Elsa帳戶|Ben代墊|Ariel代墊|中信銀行共用"")), ""內部轉帳(忽略)"",
  AND(E6896&lt;&gt;"""", F6896&lt;&gt;"""", N"&amp;"OT(REGEXMATCH(C6896, ""薪資""))), ""內部轉帳(忽略)"",
  REGEXMATCH(C6896, ""薪資""), ""薪資變動(不計入)"",
  REGEXMATCH(C6896, ""押金""), ""押金往來"",
  AND(E6896&lt;&gt;"""", F6896=""""), ""真實支出"",
  AND(E6896="""", F6896&lt;&gt;""""), ""真實收入"",
  TRUE, ""其他""
)"),"其他")</f>
        <v>其他</v>
      </c>
      <c r="K6896" s="270" t="str">
        <f t="shared" si="2"/>
        <v/>
      </c>
      <c r="L6896">
        <f t="shared" si="3"/>
        <v>0</v>
      </c>
    </row>
    <row r="6897">
      <c r="A6897" s="107"/>
      <c r="D6897" s="270"/>
      <c r="H6897" s="106" t="str">
        <f t="shared" si="1"/>
        <v/>
      </c>
      <c r="J6897" t="str">
        <f>IFERROR(__xludf.DUMMYFUNCTION("IFS(
  AND(REGEXMATCH(E6897, ""台銀籌備帳戶|玉山帳戶""), REGEXMATCH(C6897, ""薪資"")), ""分潤支出"",
  AND(REGEXMATCH(E6897, ""Ben帳戶|Elsa帳戶|Ben代墊|Ariel代墊|中信銀行共用""), REGEXMATCH(F6897, ""Ben帳戶|Elsa帳戶|Ben代墊|Ariel代墊|中信銀行共用"")), ""內部轉帳(忽略)"",
  AND(E6897&lt;&gt;"""", F6897&lt;&gt;"""", N"&amp;"OT(REGEXMATCH(C6897, ""薪資""))), ""內部轉帳(忽略)"",
  REGEXMATCH(C6897, ""薪資""), ""薪資變動(不計入)"",
  REGEXMATCH(C6897, ""押金""), ""押金往來"",
  AND(E6897&lt;&gt;"""", F6897=""""), ""真實支出"",
  AND(E6897="""", F6897&lt;&gt;""""), ""真實收入"",
  TRUE, ""其他""
)"),"其他")</f>
        <v>其他</v>
      </c>
      <c r="K6897" s="270" t="str">
        <f t="shared" si="2"/>
        <v/>
      </c>
      <c r="L6897">
        <f t="shared" si="3"/>
        <v>0</v>
      </c>
    </row>
    <row r="6898">
      <c r="A6898" s="107"/>
      <c r="D6898" s="270"/>
      <c r="H6898" s="106" t="str">
        <f t="shared" si="1"/>
        <v/>
      </c>
      <c r="J6898" t="str">
        <f>IFERROR(__xludf.DUMMYFUNCTION("IFS(
  AND(REGEXMATCH(E6898, ""台銀籌備帳戶|玉山帳戶""), REGEXMATCH(C6898, ""薪資"")), ""分潤支出"",
  AND(REGEXMATCH(E6898, ""Ben帳戶|Elsa帳戶|Ben代墊|Ariel代墊|中信銀行共用""), REGEXMATCH(F6898, ""Ben帳戶|Elsa帳戶|Ben代墊|Ariel代墊|中信銀行共用"")), ""內部轉帳(忽略)"",
  AND(E6898&lt;&gt;"""", F6898&lt;&gt;"""", N"&amp;"OT(REGEXMATCH(C6898, ""薪資""))), ""內部轉帳(忽略)"",
  REGEXMATCH(C6898, ""薪資""), ""薪資變動(不計入)"",
  REGEXMATCH(C6898, ""押金""), ""押金往來"",
  AND(E6898&lt;&gt;"""", F6898=""""), ""真實支出"",
  AND(E6898="""", F6898&lt;&gt;""""), ""真實收入"",
  TRUE, ""其他""
)"),"其他")</f>
        <v>其他</v>
      </c>
      <c r="K6898" s="270" t="str">
        <f t="shared" si="2"/>
        <v/>
      </c>
      <c r="L6898">
        <f t="shared" si="3"/>
        <v>0</v>
      </c>
    </row>
    <row r="6899">
      <c r="A6899" s="107"/>
      <c r="D6899" s="270"/>
      <c r="H6899" s="106" t="str">
        <f t="shared" si="1"/>
        <v/>
      </c>
      <c r="J6899" t="str">
        <f>IFERROR(__xludf.DUMMYFUNCTION("IFS(
  AND(REGEXMATCH(E6899, ""台銀籌備帳戶|玉山帳戶""), REGEXMATCH(C6899, ""薪資"")), ""分潤支出"",
  AND(REGEXMATCH(E6899, ""Ben帳戶|Elsa帳戶|Ben代墊|Ariel代墊|中信銀行共用""), REGEXMATCH(F6899, ""Ben帳戶|Elsa帳戶|Ben代墊|Ariel代墊|中信銀行共用"")), ""內部轉帳(忽略)"",
  AND(E6899&lt;&gt;"""", F6899&lt;&gt;"""", N"&amp;"OT(REGEXMATCH(C6899, ""薪資""))), ""內部轉帳(忽略)"",
  REGEXMATCH(C6899, ""薪資""), ""薪資變動(不計入)"",
  REGEXMATCH(C6899, ""押金""), ""押金往來"",
  AND(E6899&lt;&gt;"""", F6899=""""), ""真實支出"",
  AND(E6899="""", F6899&lt;&gt;""""), ""真實收入"",
  TRUE, ""其他""
)"),"其他")</f>
        <v>其他</v>
      </c>
      <c r="K6899" s="270" t="str">
        <f t="shared" si="2"/>
        <v/>
      </c>
      <c r="L6899">
        <f t="shared" si="3"/>
        <v>0</v>
      </c>
    </row>
    <row r="6900">
      <c r="A6900" s="107"/>
      <c r="D6900" s="270"/>
      <c r="H6900" s="106" t="str">
        <f t="shared" si="1"/>
        <v/>
      </c>
      <c r="J6900" t="str">
        <f>IFERROR(__xludf.DUMMYFUNCTION("IFS(
  AND(REGEXMATCH(E6900, ""台銀籌備帳戶|玉山帳戶""), REGEXMATCH(C6900, ""薪資"")), ""分潤支出"",
  AND(REGEXMATCH(E6900, ""Ben帳戶|Elsa帳戶|Ben代墊|Ariel代墊|中信銀行共用""), REGEXMATCH(F6900, ""Ben帳戶|Elsa帳戶|Ben代墊|Ariel代墊|中信銀行共用"")), ""內部轉帳(忽略)"",
  AND(E6900&lt;&gt;"""", F6900&lt;&gt;"""", N"&amp;"OT(REGEXMATCH(C6900, ""薪資""))), ""內部轉帳(忽略)"",
  REGEXMATCH(C6900, ""薪資""), ""薪資變動(不計入)"",
  REGEXMATCH(C6900, ""押金""), ""押金往來"",
  AND(E6900&lt;&gt;"""", F6900=""""), ""真實支出"",
  AND(E6900="""", F6900&lt;&gt;""""), ""真實收入"",
  TRUE, ""其他""
)"),"其他")</f>
        <v>其他</v>
      </c>
      <c r="K6900" s="270" t="str">
        <f t="shared" si="2"/>
        <v/>
      </c>
      <c r="L6900">
        <f t="shared" si="3"/>
        <v>0</v>
      </c>
    </row>
    <row r="6901">
      <c r="A6901" s="107"/>
      <c r="D6901" s="270"/>
      <c r="H6901" s="106" t="str">
        <f t="shared" si="1"/>
        <v/>
      </c>
      <c r="J6901" t="str">
        <f>IFERROR(__xludf.DUMMYFUNCTION("IFS(
  AND(REGEXMATCH(E6901, ""台銀籌備帳戶|玉山帳戶""), REGEXMATCH(C6901, ""薪資"")), ""分潤支出"",
  AND(REGEXMATCH(E6901, ""Ben帳戶|Elsa帳戶|Ben代墊|Ariel代墊|中信銀行共用""), REGEXMATCH(F6901, ""Ben帳戶|Elsa帳戶|Ben代墊|Ariel代墊|中信銀行共用"")), ""內部轉帳(忽略)"",
  AND(E6901&lt;&gt;"""", F6901&lt;&gt;"""", N"&amp;"OT(REGEXMATCH(C6901, ""薪資""))), ""內部轉帳(忽略)"",
  REGEXMATCH(C6901, ""薪資""), ""薪資變動(不計入)"",
  REGEXMATCH(C6901, ""押金""), ""押金往來"",
  AND(E6901&lt;&gt;"""", F6901=""""), ""真實支出"",
  AND(E6901="""", F6901&lt;&gt;""""), ""真實收入"",
  TRUE, ""其他""
)"),"其他")</f>
        <v>其他</v>
      </c>
      <c r="K6901" s="270" t="str">
        <f t="shared" si="2"/>
        <v/>
      </c>
      <c r="L6901">
        <f t="shared" si="3"/>
        <v>0</v>
      </c>
    </row>
    <row r="6902">
      <c r="A6902" s="107"/>
      <c r="D6902" s="270"/>
      <c r="H6902" s="106" t="str">
        <f t="shared" si="1"/>
        <v/>
      </c>
      <c r="J6902" t="str">
        <f>IFERROR(__xludf.DUMMYFUNCTION("IFS(
  AND(REGEXMATCH(E6902, ""台銀籌備帳戶|玉山帳戶""), REGEXMATCH(C6902, ""薪資"")), ""分潤支出"",
  AND(REGEXMATCH(E6902, ""Ben帳戶|Elsa帳戶|Ben代墊|Ariel代墊|中信銀行共用""), REGEXMATCH(F6902, ""Ben帳戶|Elsa帳戶|Ben代墊|Ariel代墊|中信銀行共用"")), ""內部轉帳(忽略)"",
  AND(E6902&lt;&gt;"""", F6902&lt;&gt;"""", N"&amp;"OT(REGEXMATCH(C6902, ""薪資""))), ""內部轉帳(忽略)"",
  REGEXMATCH(C6902, ""薪資""), ""薪資變動(不計入)"",
  REGEXMATCH(C6902, ""押金""), ""押金往來"",
  AND(E6902&lt;&gt;"""", F6902=""""), ""真實支出"",
  AND(E6902="""", F6902&lt;&gt;""""), ""真實收入"",
  TRUE, ""其他""
)"),"其他")</f>
        <v>其他</v>
      </c>
      <c r="K6902" s="270" t="str">
        <f t="shared" si="2"/>
        <v/>
      </c>
      <c r="L6902">
        <f t="shared" si="3"/>
        <v>0</v>
      </c>
    </row>
    <row r="6903">
      <c r="A6903" s="107"/>
      <c r="D6903" s="270"/>
      <c r="H6903" s="106" t="str">
        <f t="shared" si="1"/>
        <v/>
      </c>
      <c r="J6903" t="str">
        <f>IFERROR(__xludf.DUMMYFUNCTION("IFS(
  AND(REGEXMATCH(E6903, ""台銀籌備帳戶|玉山帳戶""), REGEXMATCH(C6903, ""薪資"")), ""分潤支出"",
  AND(REGEXMATCH(E6903, ""Ben帳戶|Elsa帳戶|Ben代墊|Ariel代墊|中信銀行共用""), REGEXMATCH(F6903, ""Ben帳戶|Elsa帳戶|Ben代墊|Ariel代墊|中信銀行共用"")), ""內部轉帳(忽略)"",
  AND(E6903&lt;&gt;"""", F6903&lt;&gt;"""", N"&amp;"OT(REGEXMATCH(C6903, ""薪資""))), ""內部轉帳(忽略)"",
  REGEXMATCH(C6903, ""薪資""), ""薪資變動(不計入)"",
  REGEXMATCH(C6903, ""押金""), ""押金往來"",
  AND(E6903&lt;&gt;"""", F6903=""""), ""真實支出"",
  AND(E6903="""", F6903&lt;&gt;""""), ""真實收入"",
  TRUE, ""其他""
)"),"其他")</f>
        <v>其他</v>
      </c>
      <c r="K6903" s="270" t="str">
        <f t="shared" si="2"/>
        <v/>
      </c>
      <c r="L6903">
        <f t="shared" si="3"/>
        <v>0</v>
      </c>
    </row>
    <row r="6904">
      <c r="A6904" s="107"/>
      <c r="D6904" s="270"/>
      <c r="H6904" s="106" t="str">
        <f t="shared" si="1"/>
        <v/>
      </c>
      <c r="J6904" t="str">
        <f>IFERROR(__xludf.DUMMYFUNCTION("IFS(
  AND(REGEXMATCH(E6904, ""台銀籌備帳戶|玉山帳戶""), REGEXMATCH(C6904, ""薪資"")), ""分潤支出"",
  AND(REGEXMATCH(E6904, ""Ben帳戶|Elsa帳戶|Ben代墊|Ariel代墊|中信銀行共用""), REGEXMATCH(F6904, ""Ben帳戶|Elsa帳戶|Ben代墊|Ariel代墊|中信銀行共用"")), ""內部轉帳(忽略)"",
  AND(E6904&lt;&gt;"""", F6904&lt;&gt;"""", N"&amp;"OT(REGEXMATCH(C6904, ""薪資""))), ""內部轉帳(忽略)"",
  REGEXMATCH(C6904, ""薪資""), ""薪資變動(不計入)"",
  REGEXMATCH(C6904, ""押金""), ""押金往來"",
  AND(E6904&lt;&gt;"""", F6904=""""), ""真實支出"",
  AND(E6904="""", F6904&lt;&gt;""""), ""真實收入"",
  TRUE, ""其他""
)"),"其他")</f>
        <v>其他</v>
      </c>
      <c r="K6904" s="270" t="str">
        <f t="shared" si="2"/>
        <v/>
      </c>
      <c r="L6904">
        <f t="shared" si="3"/>
        <v>0</v>
      </c>
    </row>
    <row r="6905">
      <c r="A6905" s="107"/>
      <c r="D6905" s="270"/>
      <c r="H6905" s="106" t="str">
        <f t="shared" si="1"/>
        <v/>
      </c>
      <c r="J6905" t="str">
        <f>IFERROR(__xludf.DUMMYFUNCTION("IFS(
  AND(REGEXMATCH(E6905, ""台銀籌備帳戶|玉山帳戶""), REGEXMATCH(C6905, ""薪資"")), ""分潤支出"",
  AND(REGEXMATCH(E6905, ""Ben帳戶|Elsa帳戶|Ben代墊|Ariel代墊|中信銀行共用""), REGEXMATCH(F6905, ""Ben帳戶|Elsa帳戶|Ben代墊|Ariel代墊|中信銀行共用"")), ""內部轉帳(忽略)"",
  AND(E6905&lt;&gt;"""", F6905&lt;&gt;"""", N"&amp;"OT(REGEXMATCH(C6905, ""薪資""))), ""內部轉帳(忽略)"",
  REGEXMATCH(C6905, ""薪資""), ""薪資變動(不計入)"",
  REGEXMATCH(C6905, ""押金""), ""押金往來"",
  AND(E6905&lt;&gt;"""", F6905=""""), ""真實支出"",
  AND(E6905="""", F6905&lt;&gt;""""), ""真實收入"",
  TRUE, ""其他""
)"),"其他")</f>
        <v>其他</v>
      </c>
      <c r="K6905" s="270" t="str">
        <f t="shared" si="2"/>
        <v/>
      </c>
      <c r="L6905">
        <f t="shared" si="3"/>
        <v>0</v>
      </c>
    </row>
    <row r="6906">
      <c r="A6906" s="107"/>
      <c r="D6906" s="270"/>
      <c r="H6906" s="106" t="str">
        <f t="shared" si="1"/>
        <v/>
      </c>
      <c r="J6906" t="str">
        <f>IFERROR(__xludf.DUMMYFUNCTION("IFS(
  AND(REGEXMATCH(E6906, ""台銀籌備帳戶|玉山帳戶""), REGEXMATCH(C6906, ""薪資"")), ""分潤支出"",
  AND(REGEXMATCH(E6906, ""Ben帳戶|Elsa帳戶|Ben代墊|Ariel代墊|中信銀行共用""), REGEXMATCH(F6906, ""Ben帳戶|Elsa帳戶|Ben代墊|Ariel代墊|中信銀行共用"")), ""內部轉帳(忽略)"",
  AND(E6906&lt;&gt;"""", F6906&lt;&gt;"""", N"&amp;"OT(REGEXMATCH(C6906, ""薪資""))), ""內部轉帳(忽略)"",
  REGEXMATCH(C6906, ""薪資""), ""薪資變動(不計入)"",
  REGEXMATCH(C6906, ""押金""), ""押金往來"",
  AND(E6906&lt;&gt;"""", F6906=""""), ""真實支出"",
  AND(E6906="""", F6906&lt;&gt;""""), ""真實收入"",
  TRUE, ""其他""
)"),"其他")</f>
        <v>其他</v>
      </c>
      <c r="K6906" s="270" t="str">
        <f t="shared" si="2"/>
        <v/>
      </c>
      <c r="L6906">
        <f t="shared" si="3"/>
        <v>0</v>
      </c>
    </row>
    <row r="6907">
      <c r="A6907" s="107"/>
      <c r="D6907" s="270"/>
      <c r="H6907" s="106" t="str">
        <f t="shared" si="1"/>
        <v/>
      </c>
      <c r="J6907" t="str">
        <f>IFERROR(__xludf.DUMMYFUNCTION("IFS(
  AND(REGEXMATCH(E6907, ""台銀籌備帳戶|玉山帳戶""), REGEXMATCH(C6907, ""薪資"")), ""分潤支出"",
  AND(REGEXMATCH(E6907, ""Ben帳戶|Elsa帳戶|Ben代墊|Ariel代墊|中信銀行共用""), REGEXMATCH(F6907, ""Ben帳戶|Elsa帳戶|Ben代墊|Ariel代墊|中信銀行共用"")), ""內部轉帳(忽略)"",
  AND(E6907&lt;&gt;"""", F6907&lt;&gt;"""", N"&amp;"OT(REGEXMATCH(C6907, ""薪資""))), ""內部轉帳(忽略)"",
  REGEXMATCH(C6907, ""薪資""), ""薪資變動(不計入)"",
  REGEXMATCH(C6907, ""押金""), ""押金往來"",
  AND(E6907&lt;&gt;"""", F6907=""""), ""真實支出"",
  AND(E6907="""", F6907&lt;&gt;""""), ""真實收入"",
  TRUE, ""其他""
)"),"其他")</f>
        <v>其他</v>
      </c>
      <c r="K6907" s="270" t="str">
        <f t="shared" si="2"/>
        <v/>
      </c>
      <c r="L6907">
        <f t="shared" si="3"/>
        <v>0</v>
      </c>
    </row>
    <row r="6908">
      <c r="A6908" s="107"/>
      <c r="D6908" s="270"/>
      <c r="H6908" s="106" t="str">
        <f t="shared" si="1"/>
        <v/>
      </c>
      <c r="J6908" t="str">
        <f>IFERROR(__xludf.DUMMYFUNCTION("IFS(
  AND(REGEXMATCH(E6908, ""台銀籌備帳戶|玉山帳戶""), REGEXMATCH(C6908, ""薪資"")), ""分潤支出"",
  AND(REGEXMATCH(E6908, ""Ben帳戶|Elsa帳戶|Ben代墊|Ariel代墊|中信銀行共用""), REGEXMATCH(F6908, ""Ben帳戶|Elsa帳戶|Ben代墊|Ariel代墊|中信銀行共用"")), ""內部轉帳(忽略)"",
  AND(E6908&lt;&gt;"""", F6908&lt;&gt;"""", N"&amp;"OT(REGEXMATCH(C6908, ""薪資""))), ""內部轉帳(忽略)"",
  REGEXMATCH(C6908, ""薪資""), ""薪資變動(不計入)"",
  REGEXMATCH(C6908, ""押金""), ""押金往來"",
  AND(E6908&lt;&gt;"""", F6908=""""), ""真實支出"",
  AND(E6908="""", F6908&lt;&gt;""""), ""真實收入"",
  TRUE, ""其他""
)"),"其他")</f>
        <v>其他</v>
      </c>
      <c r="K6908" s="270" t="str">
        <f t="shared" si="2"/>
        <v/>
      </c>
      <c r="L6908">
        <f t="shared" si="3"/>
        <v>0</v>
      </c>
    </row>
    <row r="6909">
      <c r="A6909" s="107"/>
      <c r="D6909" s="270"/>
      <c r="H6909" s="106" t="str">
        <f t="shared" si="1"/>
        <v/>
      </c>
      <c r="J6909" t="str">
        <f>IFERROR(__xludf.DUMMYFUNCTION("IFS(
  AND(REGEXMATCH(E6909, ""台銀籌備帳戶|玉山帳戶""), REGEXMATCH(C6909, ""薪資"")), ""分潤支出"",
  AND(REGEXMATCH(E6909, ""Ben帳戶|Elsa帳戶|Ben代墊|Ariel代墊|中信銀行共用""), REGEXMATCH(F6909, ""Ben帳戶|Elsa帳戶|Ben代墊|Ariel代墊|中信銀行共用"")), ""內部轉帳(忽略)"",
  AND(E6909&lt;&gt;"""", F6909&lt;&gt;"""", N"&amp;"OT(REGEXMATCH(C6909, ""薪資""))), ""內部轉帳(忽略)"",
  REGEXMATCH(C6909, ""薪資""), ""薪資變動(不計入)"",
  REGEXMATCH(C6909, ""押金""), ""押金往來"",
  AND(E6909&lt;&gt;"""", F6909=""""), ""真實支出"",
  AND(E6909="""", F6909&lt;&gt;""""), ""真實收入"",
  TRUE, ""其他""
)"),"其他")</f>
        <v>其他</v>
      </c>
      <c r="K6909" s="270" t="str">
        <f t="shared" si="2"/>
        <v/>
      </c>
      <c r="L6909">
        <f t="shared" si="3"/>
        <v>0</v>
      </c>
    </row>
    <row r="6910">
      <c r="A6910" s="107"/>
      <c r="D6910" s="270"/>
      <c r="H6910" s="106" t="str">
        <f t="shared" si="1"/>
        <v/>
      </c>
      <c r="J6910" t="str">
        <f>IFERROR(__xludf.DUMMYFUNCTION("IFS(
  AND(REGEXMATCH(E6910, ""台銀籌備帳戶|玉山帳戶""), REGEXMATCH(C6910, ""薪資"")), ""分潤支出"",
  AND(REGEXMATCH(E6910, ""Ben帳戶|Elsa帳戶|Ben代墊|Ariel代墊|中信銀行共用""), REGEXMATCH(F6910, ""Ben帳戶|Elsa帳戶|Ben代墊|Ariel代墊|中信銀行共用"")), ""內部轉帳(忽略)"",
  AND(E6910&lt;&gt;"""", F6910&lt;&gt;"""", N"&amp;"OT(REGEXMATCH(C6910, ""薪資""))), ""內部轉帳(忽略)"",
  REGEXMATCH(C6910, ""薪資""), ""薪資變動(不計入)"",
  REGEXMATCH(C6910, ""押金""), ""押金往來"",
  AND(E6910&lt;&gt;"""", F6910=""""), ""真實支出"",
  AND(E6910="""", F6910&lt;&gt;""""), ""真實收入"",
  TRUE, ""其他""
)"),"其他")</f>
        <v>其他</v>
      </c>
      <c r="K6910" s="270" t="str">
        <f t="shared" si="2"/>
        <v/>
      </c>
      <c r="L6910">
        <f t="shared" si="3"/>
        <v>0</v>
      </c>
    </row>
    <row r="6911">
      <c r="A6911" s="107"/>
      <c r="D6911" s="270"/>
      <c r="H6911" s="106" t="str">
        <f t="shared" si="1"/>
        <v/>
      </c>
      <c r="J6911" t="str">
        <f>IFERROR(__xludf.DUMMYFUNCTION("IFS(
  AND(REGEXMATCH(E6911, ""台銀籌備帳戶|玉山帳戶""), REGEXMATCH(C6911, ""薪資"")), ""分潤支出"",
  AND(REGEXMATCH(E6911, ""Ben帳戶|Elsa帳戶|Ben代墊|Ariel代墊|中信銀行共用""), REGEXMATCH(F6911, ""Ben帳戶|Elsa帳戶|Ben代墊|Ariel代墊|中信銀行共用"")), ""內部轉帳(忽略)"",
  AND(E6911&lt;&gt;"""", F6911&lt;&gt;"""", N"&amp;"OT(REGEXMATCH(C6911, ""薪資""))), ""內部轉帳(忽略)"",
  REGEXMATCH(C6911, ""薪資""), ""薪資變動(不計入)"",
  REGEXMATCH(C6911, ""押金""), ""押金往來"",
  AND(E6911&lt;&gt;"""", F6911=""""), ""真實支出"",
  AND(E6911="""", F6911&lt;&gt;""""), ""真實收入"",
  TRUE, ""其他""
)"),"其他")</f>
        <v>其他</v>
      </c>
      <c r="K6911" s="270" t="str">
        <f t="shared" si="2"/>
        <v/>
      </c>
      <c r="L6911">
        <f t="shared" si="3"/>
        <v>0</v>
      </c>
    </row>
    <row r="6912">
      <c r="A6912" s="107"/>
      <c r="D6912" s="270"/>
      <c r="H6912" s="106" t="str">
        <f t="shared" si="1"/>
        <v/>
      </c>
      <c r="J6912" t="str">
        <f>IFERROR(__xludf.DUMMYFUNCTION("IFS(
  AND(REGEXMATCH(E6912, ""台銀籌備帳戶|玉山帳戶""), REGEXMATCH(C6912, ""薪資"")), ""分潤支出"",
  AND(REGEXMATCH(E6912, ""Ben帳戶|Elsa帳戶|Ben代墊|Ariel代墊|中信銀行共用""), REGEXMATCH(F6912, ""Ben帳戶|Elsa帳戶|Ben代墊|Ariel代墊|中信銀行共用"")), ""內部轉帳(忽略)"",
  AND(E6912&lt;&gt;"""", F6912&lt;&gt;"""", N"&amp;"OT(REGEXMATCH(C6912, ""薪資""))), ""內部轉帳(忽略)"",
  REGEXMATCH(C6912, ""薪資""), ""薪資變動(不計入)"",
  REGEXMATCH(C6912, ""押金""), ""押金往來"",
  AND(E6912&lt;&gt;"""", F6912=""""), ""真實支出"",
  AND(E6912="""", F6912&lt;&gt;""""), ""真實收入"",
  TRUE, ""其他""
)"),"其他")</f>
        <v>其他</v>
      </c>
      <c r="K6912" s="270" t="str">
        <f t="shared" si="2"/>
        <v/>
      </c>
      <c r="L6912">
        <f t="shared" si="3"/>
        <v>0</v>
      </c>
    </row>
    <row r="6913">
      <c r="A6913" s="107"/>
      <c r="D6913" s="270"/>
      <c r="H6913" s="106" t="str">
        <f t="shared" si="1"/>
        <v/>
      </c>
      <c r="J6913" t="str">
        <f>IFERROR(__xludf.DUMMYFUNCTION("IFS(
  AND(REGEXMATCH(E6913, ""台銀籌備帳戶|玉山帳戶""), REGEXMATCH(C6913, ""薪資"")), ""分潤支出"",
  AND(REGEXMATCH(E6913, ""Ben帳戶|Elsa帳戶|Ben代墊|Ariel代墊|中信銀行共用""), REGEXMATCH(F6913, ""Ben帳戶|Elsa帳戶|Ben代墊|Ariel代墊|中信銀行共用"")), ""內部轉帳(忽略)"",
  AND(E6913&lt;&gt;"""", F6913&lt;&gt;"""", N"&amp;"OT(REGEXMATCH(C6913, ""薪資""))), ""內部轉帳(忽略)"",
  REGEXMATCH(C6913, ""薪資""), ""薪資變動(不計入)"",
  REGEXMATCH(C6913, ""押金""), ""押金往來"",
  AND(E6913&lt;&gt;"""", F6913=""""), ""真實支出"",
  AND(E6913="""", F6913&lt;&gt;""""), ""真實收入"",
  TRUE, ""其他""
)"),"其他")</f>
        <v>其他</v>
      </c>
      <c r="K6913" s="270" t="str">
        <f t="shared" si="2"/>
        <v/>
      </c>
      <c r="L6913">
        <f t="shared" si="3"/>
        <v>0</v>
      </c>
    </row>
    <row r="6914">
      <c r="A6914" s="107"/>
      <c r="D6914" s="270"/>
      <c r="H6914" s="106" t="str">
        <f t="shared" si="1"/>
        <v/>
      </c>
      <c r="J6914" t="str">
        <f>IFERROR(__xludf.DUMMYFUNCTION("IFS(
  AND(REGEXMATCH(E6914, ""台銀籌備帳戶|玉山帳戶""), REGEXMATCH(C6914, ""薪資"")), ""分潤支出"",
  AND(REGEXMATCH(E6914, ""Ben帳戶|Elsa帳戶|Ben代墊|Ariel代墊|中信銀行共用""), REGEXMATCH(F6914, ""Ben帳戶|Elsa帳戶|Ben代墊|Ariel代墊|中信銀行共用"")), ""內部轉帳(忽略)"",
  AND(E6914&lt;&gt;"""", F6914&lt;&gt;"""", N"&amp;"OT(REGEXMATCH(C6914, ""薪資""))), ""內部轉帳(忽略)"",
  REGEXMATCH(C6914, ""薪資""), ""薪資變動(不計入)"",
  REGEXMATCH(C6914, ""押金""), ""押金往來"",
  AND(E6914&lt;&gt;"""", F6914=""""), ""真實支出"",
  AND(E6914="""", F6914&lt;&gt;""""), ""真實收入"",
  TRUE, ""其他""
)"),"其他")</f>
        <v>其他</v>
      </c>
      <c r="K6914" s="270" t="str">
        <f t="shared" si="2"/>
        <v/>
      </c>
      <c r="L6914">
        <f t="shared" si="3"/>
        <v>0</v>
      </c>
    </row>
    <row r="6915">
      <c r="A6915" s="107"/>
      <c r="D6915" s="270"/>
      <c r="H6915" s="106" t="str">
        <f t="shared" si="1"/>
        <v/>
      </c>
      <c r="J6915" t="str">
        <f>IFERROR(__xludf.DUMMYFUNCTION("IFS(
  AND(REGEXMATCH(E6915, ""台銀籌備帳戶|玉山帳戶""), REGEXMATCH(C6915, ""薪資"")), ""分潤支出"",
  AND(REGEXMATCH(E6915, ""Ben帳戶|Elsa帳戶|Ben代墊|Ariel代墊|中信銀行共用""), REGEXMATCH(F6915, ""Ben帳戶|Elsa帳戶|Ben代墊|Ariel代墊|中信銀行共用"")), ""內部轉帳(忽略)"",
  AND(E6915&lt;&gt;"""", F6915&lt;&gt;"""", N"&amp;"OT(REGEXMATCH(C6915, ""薪資""))), ""內部轉帳(忽略)"",
  REGEXMATCH(C6915, ""薪資""), ""薪資變動(不計入)"",
  REGEXMATCH(C6915, ""押金""), ""押金往來"",
  AND(E6915&lt;&gt;"""", F6915=""""), ""真實支出"",
  AND(E6915="""", F6915&lt;&gt;""""), ""真實收入"",
  TRUE, ""其他""
)"),"其他")</f>
        <v>其他</v>
      </c>
      <c r="K6915" s="270" t="str">
        <f t="shared" si="2"/>
        <v/>
      </c>
      <c r="L6915">
        <f t="shared" si="3"/>
        <v>0</v>
      </c>
    </row>
    <row r="6916">
      <c r="A6916" s="107"/>
      <c r="D6916" s="270"/>
      <c r="H6916" s="106" t="str">
        <f t="shared" si="1"/>
        <v/>
      </c>
      <c r="J6916" t="str">
        <f>IFERROR(__xludf.DUMMYFUNCTION("IFS(
  AND(REGEXMATCH(E6916, ""台銀籌備帳戶|玉山帳戶""), REGEXMATCH(C6916, ""薪資"")), ""分潤支出"",
  AND(REGEXMATCH(E6916, ""Ben帳戶|Elsa帳戶|Ben代墊|Ariel代墊|中信銀行共用""), REGEXMATCH(F6916, ""Ben帳戶|Elsa帳戶|Ben代墊|Ariel代墊|中信銀行共用"")), ""內部轉帳(忽略)"",
  AND(E6916&lt;&gt;"""", F6916&lt;&gt;"""", N"&amp;"OT(REGEXMATCH(C6916, ""薪資""))), ""內部轉帳(忽略)"",
  REGEXMATCH(C6916, ""薪資""), ""薪資變動(不計入)"",
  REGEXMATCH(C6916, ""押金""), ""押金往來"",
  AND(E6916&lt;&gt;"""", F6916=""""), ""真實支出"",
  AND(E6916="""", F6916&lt;&gt;""""), ""真實收入"",
  TRUE, ""其他""
)"),"其他")</f>
        <v>其他</v>
      </c>
      <c r="K6916" s="270" t="str">
        <f t="shared" si="2"/>
        <v/>
      </c>
      <c r="L6916">
        <f t="shared" si="3"/>
        <v>0</v>
      </c>
    </row>
    <row r="6917">
      <c r="A6917" s="107"/>
      <c r="D6917" s="270"/>
      <c r="H6917" s="106" t="str">
        <f t="shared" si="1"/>
        <v/>
      </c>
      <c r="J6917" t="str">
        <f>IFERROR(__xludf.DUMMYFUNCTION("IFS(
  AND(REGEXMATCH(E6917, ""台銀籌備帳戶|玉山帳戶""), REGEXMATCH(C6917, ""薪資"")), ""分潤支出"",
  AND(REGEXMATCH(E6917, ""Ben帳戶|Elsa帳戶|Ben代墊|Ariel代墊|中信銀行共用""), REGEXMATCH(F6917, ""Ben帳戶|Elsa帳戶|Ben代墊|Ariel代墊|中信銀行共用"")), ""內部轉帳(忽略)"",
  AND(E6917&lt;&gt;"""", F6917&lt;&gt;"""", N"&amp;"OT(REGEXMATCH(C6917, ""薪資""))), ""內部轉帳(忽略)"",
  REGEXMATCH(C6917, ""薪資""), ""薪資變動(不計入)"",
  REGEXMATCH(C6917, ""押金""), ""押金往來"",
  AND(E6917&lt;&gt;"""", F6917=""""), ""真實支出"",
  AND(E6917="""", F6917&lt;&gt;""""), ""真實收入"",
  TRUE, ""其他""
)"),"其他")</f>
        <v>其他</v>
      </c>
      <c r="K6917" s="270" t="str">
        <f t="shared" si="2"/>
        <v/>
      </c>
      <c r="L6917">
        <f t="shared" si="3"/>
        <v>0</v>
      </c>
    </row>
    <row r="6918">
      <c r="A6918" s="107"/>
      <c r="D6918" s="270"/>
      <c r="H6918" s="106" t="str">
        <f t="shared" si="1"/>
        <v/>
      </c>
      <c r="J6918" t="str">
        <f>IFERROR(__xludf.DUMMYFUNCTION("IFS(
  AND(REGEXMATCH(E6918, ""台銀籌備帳戶|玉山帳戶""), REGEXMATCH(C6918, ""薪資"")), ""分潤支出"",
  AND(REGEXMATCH(E6918, ""Ben帳戶|Elsa帳戶|Ben代墊|Ariel代墊|中信銀行共用""), REGEXMATCH(F6918, ""Ben帳戶|Elsa帳戶|Ben代墊|Ariel代墊|中信銀行共用"")), ""內部轉帳(忽略)"",
  AND(E6918&lt;&gt;"""", F6918&lt;&gt;"""", N"&amp;"OT(REGEXMATCH(C6918, ""薪資""))), ""內部轉帳(忽略)"",
  REGEXMATCH(C6918, ""薪資""), ""薪資變動(不計入)"",
  REGEXMATCH(C6918, ""押金""), ""押金往來"",
  AND(E6918&lt;&gt;"""", F6918=""""), ""真實支出"",
  AND(E6918="""", F6918&lt;&gt;""""), ""真實收入"",
  TRUE, ""其他""
)"),"其他")</f>
        <v>其他</v>
      </c>
      <c r="K6918" s="270" t="str">
        <f t="shared" si="2"/>
        <v/>
      </c>
      <c r="L6918">
        <f t="shared" si="3"/>
        <v>0</v>
      </c>
    </row>
    <row r="6919">
      <c r="A6919" s="107"/>
      <c r="D6919" s="270"/>
      <c r="H6919" s="106" t="str">
        <f t="shared" si="1"/>
        <v/>
      </c>
      <c r="J6919" t="str">
        <f>IFERROR(__xludf.DUMMYFUNCTION("IFS(
  AND(REGEXMATCH(E6919, ""台銀籌備帳戶|玉山帳戶""), REGEXMATCH(C6919, ""薪資"")), ""分潤支出"",
  AND(REGEXMATCH(E6919, ""Ben帳戶|Elsa帳戶|Ben代墊|Ariel代墊|中信銀行共用""), REGEXMATCH(F6919, ""Ben帳戶|Elsa帳戶|Ben代墊|Ariel代墊|中信銀行共用"")), ""內部轉帳(忽略)"",
  AND(E6919&lt;&gt;"""", F6919&lt;&gt;"""", N"&amp;"OT(REGEXMATCH(C6919, ""薪資""))), ""內部轉帳(忽略)"",
  REGEXMATCH(C6919, ""薪資""), ""薪資變動(不計入)"",
  REGEXMATCH(C6919, ""押金""), ""押金往來"",
  AND(E6919&lt;&gt;"""", F6919=""""), ""真實支出"",
  AND(E6919="""", F6919&lt;&gt;""""), ""真實收入"",
  TRUE, ""其他""
)"),"其他")</f>
        <v>其他</v>
      </c>
      <c r="K6919" s="270" t="str">
        <f t="shared" si="2"/>
        <v/>
      </c>
      <c r="L6919">
        <f t="shared" si="3"/>
        <v>0</v>
      </c>
    </row>
    <row r="6920">
      <c r="A6920" s="107"/>
      <c r="D6920" s="270"/>
      <c r="H6920" s="106" t="str">
        <f t="shared" si="1"/>
        <v/>
      </c>
      <c r="J6920" t="str">
        <f>IFERROR(__xludf.DUMMYFUNCTION("IFS(
  AND(REGEXMATCH(E6920, ""台銀籌備帳戶|玉山帳戶""), REGEXMATCH(C6920, ""薪資"")), ""分潤支出"",
  AND(REGEXMATCH(E6920, ""Ben帳戶|Elsa帳戶|Ben代墊|Ariel代墊|中信銀行共用""), REGEXMATCH(F6920, ""Ben帳戶|Elsa帳戶|Ben代墊|Ariel代墊|中信銀行共用"")), ""內部轉帳(忽略)"",
  AND(E6920&lt;&gt;"""", F6920&lt;&gt;"""", N"&amp;"OT(REGEXMATCH(C6920, ""薪資""))), ""內部轉帳(忽略)"",
  REGEXMATCH(C6920, ""薪資""), ""薪資變動(不計入)"",
  REGEXMATCH(C6920, ""押金""), ""押金往來"",
  AND(E6920&lt;&gt;"""", F6920=""""), ""真實支出"",
  AND(E6920="""", F6920&lt;&gt;""""), ""真實收入"",
  TRUE, ""其他""
)"),"其他")</f>
        <v>其他</v>
      </c>
      <c r="K6920" s="270" t="str">
        <f t="shared" si="2"/>
        <v/>
      </c>
      <c r="L6920">
        <f t="shared" si="3"/>
        <v>0</v>
      </c>
    </row>
    <row r="6921">
      <c r="A6921" s="107"/>
      <c r="D6921" s="270"/>
      <c r="H6921" s="106" t="str">
        <f t="shared" si="1"/>
        <v/>
      </c>
      <c r="J6921" t="str">
        <f>IFERROR(__xludf.DUMMYFUNCTION("IFS(
  AND(REGEXMATCH(E6921, ""台銀籌備帳戶|玉山帳戶""), REGEXMATCH(C6921, ""薪資"")), ""分潤支出"",
  AND(REGEXMATCH(E6921, ""Ben帳戶|Elsa帳戶|Ben代墊|Ariel代墊|中信銀行共用""), REGEXMATCH(F6921, ""Ben帳戶|Elsa帳戶|Ben代墊|Ariel代墊|中信銀行共用"")), ""內部轉帳(忽略)"",
  AND(E6921&lt;&gt;"""", F6921&lt;&gt;"""", N"&amp;"OT(REGEXMATCH(C6921, ""薪資""))), ""內部轉帳(忽略)"",
  REGEXMATCH(C6921, ""薪資""), ""薪資變動(不計入)"",
  REGEXMATCH(C6921, ""押金""), ""押金往來"",
  AND(E6921&lt;&gt;"""", F6921=""""), ""真實支出"",
  AND(E6921="""", F6921&lt;&gt;""""), ""真實收入"",
  TRUE, ""其他""
)"),"其他")</f>
        <v>其他</v>
      </c>
      <c r="K6921" s="270" t="str">
        <f t="shared" si="2"/>
        <v/>
      </c>
      <c r="L6921">
        <f t="shared" si="3"/>
        <v>0</v>
      </c>
    </row>
    <row r="6922">
      <c r="A6922" s="107"/>
      <c r="D6922" s="270"/>
      <c r="H6922" s="106" t="str">
        <f t="shared" si="1"/>
        <v/>
      </c>
      <c r="J6922" t="str">
        <f>IFERROR(__xludf.DUMMYFUNCTION("IFS(
  AND(REGEXMATCH(E6922, ""台銀籌備帳戶|玉山帳戶""), REGEXMATCH(C6922, ""薪資"")), ""分潤支出"",
  AND(REGEXMATCH(E6922, ""Ben帳戶|Elsa帳戶|Ben代墊|Ariel代墊|中信銀行共用""), REGEXMATCH(F6922, ""Ben帳戶|Elsa帳戶|Ben代墊|Ariel代墊|中信銀行共用"")), ""內部轉帳(忽略)"",
  AND(E6922&lt;&gt;"""", F6922&lt;&gt;"""", N"&amp;"OT(REGEXMATCH(C6922, ""薪資""))), ""內部轉帳(忽略)"",
  REGEXMATCH(C6922, ""薪資""), ""薪資變動(不計入)"",
  REGEXMATCH(C6922, ""押金""), ""押金往來"",
  AND(E6922&lt;&gt;"""", F6922=""""), ""真實支出"",
  AND(E6922="""", F6922&lt;&gt;""""), ""真實收入"",
  TRUE, ""其他""
)"),"其他")</f>
        <v>其他</v>
      </c>
      <c r="K6922" s="270" t="str">
        <f t="shared" si="2"/>
        <v/>
      </c>
      <c r="L6922">
        <f t="shared" si="3"/>
        <v>0</v>
      </c>
    </row>
    <row r="6923">
      <c r="A6923" s="107"/>
      <c r="D6923" s="270"/>
      <c r="H6923" s="106" t="str">
        <f t="shared" si="1"/>
        <v/>
      </c>
      <c r="J6923" t="str">
        <f>IFERROR(__xludf.DUMMYFUNCTION("IFS(
  AND(REGEXMATCH(E6923, ""台銀籌備帳戶|玉山帳戶""), REGEXMATCH(C6923, ""薪資"")), ""分潤支出"",
  AND(REGEXMATCH(E6923, ""Ben帳戶|Elsa帳戶|Ben代墊|Ariel代墊|中信銀行共用""), REGEXMATCH(F6923, ""Ben帳戶|Elsa帳戶|Ben代墊|Ariel代墊|中信銀行共用"")), ""內部轉帳(忽略)"",
  AND(E6923&lt;&gt;"""", F6923&lt;&gt;"""", N"&amp;"OT(REGEXMATCH(C6923, ""薪資""))), ""內部轉帳(忽略)"",
  REGEXMATCH(C6923, ""薪資""), ""薪資變動(不計入)"",
  REGEXMATCH(C6923, ""押金""), ""押金往來"",
  AND(E6923&lt;&gt;"""", F6923=""""), ""真實支出"",
  AND(E6923="""", F6923&lt;&gt;""""), ""真實收入"",
  TRUE, ""其他""
)"),"其他")</f>
        <v>其他</v>
      </c>
      <c r="K6923" s="270" t="str">
        <f t="shared" si="2"/>
        <v/>
      </c>
      <c r="L6923">
        <f t="shared" si="3"/>
        <v>0</v>
      </c>
    </row>
    <row r="6924">
      <c r="A6924" s="107"/>
      <c r="D6924" s="270"/>
      <c r="H6924" s="106" t="str">
        <f t="shared" si="1"/>
        <v/>
      </c>
      <c r="J6924" t="str">
        <f>IFERROR(__xludf.DUMMYFUNCTION("IFS(
  AND(REGEXMATCH(E6924, ""台銀籌備帳戶|玉山帳戶""), REGEXMATCH(C6924, ""薪資"")), ""分潤支出"",
  AND(REGEXMATCH(E6924, ""Ben帳戶|Elsa帳戶|Ben代墊|Ariel代墊|中信銀行共用""), REGEXMATCH(F6924, ""Ben帳戶|Elsa帳戶|Ben代墊|Ariel代墊|中信銀行共用"")), ""內部轉帳(忽略)"",
  AND(E6924&lt;&gt;"""", F6924&lt;&gt;"""", N"&amp;"OT(REGEXMATCH(C6924, ""薪資""))), ""內部轉帳(忽略)"",
  REGEXMATCH(C6924, ""薪資""), ""薪資變動(不計入)"",
  REGEXMATCH(C6924, ""押金""), ""押金往來"",
  AND(E6924&lt;&gt;"""", F6924=""""), ""真實支出"",
  AND(E6924="""", F6924&lt;&gt;""""), ""真實收入"",
  TRUE, ""其他""
)"),"其他")</f>
        <v>其他</v>
      </c>
      <c r="K6924" s="270" t="str">
        <f t="shared" si="2"/>
        <v/>
      </c>
      <c r="L6924">
        <f t="shared" si="3"/>
        <v>0</v>
      </c>
    </row>
    <row r="6925">
      <c r="A6925" s="107"/>
      <c r="D6925" s="270"/>
      <c r="H6925" s="106" t="str">
        <f t="shared" si="1"/>
        <v/>
      </c>
      <c r="J6925" t="str">
        <f>IFERROR(__xludf.DUMMYFUNCTION("IFS(
  AND(REGEXMATCH(E6925, ""台銀籌備帳戶|玉山帳戶""), REGEXMATCH(C6925, ""薪資"")), ""分潤支出"",
  AND(REGEXMATCH(E6925, ""Ben帳戶|Elsa帳戶|Ben代墊|Ariel代墊|中信銀行共用""), REGEXMATCH(F6925, ""Ben帳戶|Elsa帳戶|Ben代墊|Ariel代墊|中信銀行共用"")), ""內部轉帳(忽略)"",
  AND(E6925&lt;&gt;"""", F6925&lt;&gt;"""", N"&amp;"OT(REGEXMATCH(C6925, ""薪資""))), ""內部轉帳(忽略)"",
  REGEXMATCH(C6925, ""薪資""), ""薪資變動(不計入)"",
  REGEXMATCH(C6925, ""押金""), ""押金往來"",
  AND(E6925&lt;&gt;"""", F6925=""""), ""真實支出"",
  AND(E6925="""", F6925&lt;&gt;""""), ""真實收入"",
  TRUE, ""其他""
)"),"其他")</f>
        <v>其他</v>
      </c>
      <c r="K6925" s="270" t="str">
        <f t="shared" si="2"/>
        <v/>
      </c>
      <c r="L6925">
        <f t="shared" si="3"/>
        <v>0</v>
      </c>
    </row>
    <row r="6926">
      <c r="A6926" s="107"/>
      <c r="D6926" s="270"/>
      <c r="H6926" s="106" t="str">
        <f t="shared" si="1"/>
        <v/>
      </c>
      <c r="J6926" t="str">
        <f>IFERROR(__xludf.DUMMYFUNCTION("IFS(
  AND(REGEXMATCH(E6926, ""台銀籌備帳戶|玉山帳戶""), REGEXMATCH(C6926, ""薪資"")), ""分潤支出"",
  AND(REGEXMATCH(E6926, ""Ben帳戶|Elsa帳戶|Ben代墊|Ariel代墊|中信銀行共用""), REGEXMATCH(F6926, ""Ben帳戶|Elsa帳戶|Ben代墊|Ariel代墊|中信銀行共用"")), ""內部轉帳(忽略)"",
  AND(E6926&lt;&gt;"""", F6926&lt;&gt;"""", N"&amp;"OT(REGEXMATCH(C6926, ""薪資""))), ""內部轉帳(忽略)"",
  REGEXMATCH(C6926, ""薪資""), ""薪資變動(不計入)"",
  REGEXMATCH(C6926, ""押金""), ""押金往來"",
  AND(E6926&lt;&gt;"""", F6926=""""), ""真實支出"",
  AND(E6926="""", F6926&lt;&gt;""""), ""真實收入"",
  TRUE, ""其他""
)"),"其他")</f>
        <v>其他</v>
      </c>
      <c r="K6926" s="270" t="str">
        <f t="shared" si="2"/>
        <v/>
      </c>
      <c r="L6926">
        <f t="shared" si="3"/>
        <v>0</v>
      </c>
    </row>
    <row r="6927">
      <c r="A6927" s="107"/>
      <c r="D6927" s="270"/>
      <c r="H6927" s="106" t="str">
        <f t="shared" si="1"/>
        <v/>
      </c>
      <c r="J6927" t="str">
        <f>IFERROR(__xludf.DUMMYFUNCTION("IFS(
  AND(REGEXMATCH(E6927, ""台銀籌備帳戶|玉山帳戶""), REGEXMATCH(C6927, ""薪資"")), ""分潤支出"",
  AND(REGEXMATCH(E6927, ""Ben帳戶|Elsa帳戶|Ben代墊|Ariel代墊|中信銀行共用""), REGEXMATCH(F6927, ""Ben帳戶|Elsa帳戶|Ben代墊|Ariel代墊|中信銀行共用"")), ""內部轉帳(忽略)"",
  AND(E6927&lt;&gt;"""", F6927&lt;&gt;"""", N"&amp;"OT(REGEXMATCH(C6927, ""薪資""))), ""內部轉帳(忽略)"",
  REGEXMATCH(C6927, ""薪資""), ""薪資變動(不計入)"",
  REGEXMATCH(C6927, ""押金""), ""押金往來"",
  AND(E6927&lt;&gt;"""", F6927=""""), ""真實支出"",
  AND(E6927="""", F6927&lt;&gt;""""), ""真實收入"",
  TRUE, ""其他""
)"),"其他")</f>
        <v>其他</v>
      </c>
      <c r="K6927" s="270" t="str">
        <f t="shared" si="2"/>
        <v/>
      </c>
      <c r="L6927">
        <f t="shared" si="3"/>
        <v>0</v>
      </c>
    </row>
    <row r="6928">
      <c r="A6928" s="107"/>
      <c r="D6928" s="270"/>
      <c r="H6928" s="106" t="str">
        <f t="shared" si="1"/>
        <v/>
      </c>
      <c r="J6928" t="str">
        <f>IFERROR(__xludf.DUMMYFUNCTION("IFS(
  AND(REGEXMATCH(E6928, ""台銀籌備帳戶|玉山帳戶""), REGEXMATCH(C6928, ""薪資"")), ""分潤支出"",
  AND(REGEXMATCH(E6928, ""Ben帳戶|Elsa帳戶|Ben代墊|Ariel代墊|中信銀行共用""), REGEXMATCH(F6928, ""Ben帳戶|Elsa帳戶|Ben代墊|Ariel代墊|中信銀行共用"")), ""內部轉帳(忽略)"",
  AND(E6928&lt;&gt;"""", F6928&lt;&gt;"""", N"&amp;"OT(REGEXMATCH(C6928, ""薪資""))), ""內部轉帳(忽略)"",
  REGEXMATCH(C6928, ""薪資""), ""薪資變動(不計入)"",
  REGEXMATCH(C6928, ""押金""), ""押金往來"",
  AND(E6928&lt;&gt;"""", F6928=""""), ""真實支出"",
  AND(E6928="""", F6928&lt;&gt;""""), ""真實收入"",
  TRUE, ""其他""
)"),"其他")</f>
        <v>其他</v>
      </c>
      <c r="K6928" s="270" t="str">
        <f t="shared" si="2"/>
        <v/>
      </c>
      <c r="L6928">
        <f t="shared" si="3"/>
        <v>0</v>
      </c>
    </row>
    <row r="6929">
      <c r="A6929" s="107"/>
      <c r="D6929" s="270"/>
      <c r="H6929" s="106" t="str">
        <f t="shared" si="1"/>
        <v/>
      </c>
      <c r="J6929" t="str">
        <f>IFERROR(__xludf.DUMMYFUNCTION("IFS(
  AND(REGEXMATCH(E6929, ""台銀籌備帳戶|玉山帳戶""), REGEXMATCH(C6929, ""薪資"")), ""分潤支出"",
  AND(REGEXMATCH(E6929, ""Ben帳戶|Elsa帳戶|Ben代墊|Ariel代墊|中信銀行共用""), REGEXMATCH(F6929, ""Ben帳戶|Elsa帳戶|Ben代墊|Ariel代墊|中信銀行共用"")), ""內部轉帳(忽略)"",
  AND(E6929&lt;&gt;"""", F6929&lt;&gt;"""", N"&amp;"OT(REGEXMATCH(C6929, ""薪資""))), ""內部轉帳(忽略)"",
  REGEXMATCH(C6929, ""薪資""), ""薪資變動(不計入)"",
  REGEXMATCH(C6929, ""押金""), ""押金往來"",
  AND(E6929&lt;&gt;"""", F6929=""""), ""真實支出"",
  AND(E6929="""", F6929&lt;&gt;""""), ""真實收入"",
  TRUE, ""其他""
)"),"其他")</f>
        <v>其他</v>
      </c>
      <c r="K6929" s="270" t="str">
        <f t="shared" si="2"/>
        <v/>
      </c>
      <c r="L6929">
        <f t="shared" si="3"/>
        <v>0</v>
      </c>
    </row>
    <row r="6930">
      <c r="A6930" s="107"/>
      <c r="D6930" s="270"/>
      <c r="H6930" s="106" t="str">
        <f t="shared" si="1"/>
        <v/>
      </c>
      <c r="J6930" t="str">
        <f>IFERROR(__xludf.DUMMYFUNCTION("IFS(
  AND(REGEXMATCH(E6930, ""台銀籌備帳戶|玉山帳戶""), REGEXMATCH(C6930, ""薪資"")), ""分潤支出"",
  AND(REGEXMATCH(E6930, ""Ben帳戶|Elsa帳戶|Ben代墊|Ariel代墊|中信銀行共用""), REGEXMATCH(F6930, ""Ben帳戶|Elsa帳戶|Ben代墊|Ariel代墊|中信銀行共用"")), ""內部轉帳(忽略)"",
  AND(E6930&lt;&gt;"""", F6930&lt;&gt;"""", N"&amp;"OT(REGEXMATCH(C6930, ""薪資""))), ""內部轉帳(忽略)"",
  REGEXMATCH(C6930, ""薪資""), ""薪資變動(不計入)"",
  REGEXMATCH(C6930, ""押金""), ""押金往來"",
  AND(E6930&lt;&gt;"""", F6930=""""), ""真實支出"",
  AND(E6930="""", F6930&lt;&gt;""""), ""真實收入"",
  TRUE, ""其他""
)"),"其他")</f>
        <v>其他</v>
      </c>
      <c r="K6930" s="270" t="str">
        <f t="shared" si="2"/>
        <v/>
      </c>
      <c r="L6930">
        <f t="shared" si="3"/>
        <v>0</v>
      </c>
    </row>
    <row r="6931">
      <c r="A6931" s="107"/>
      <c r="D6931" s="270"/>
      <c r="H6931" s="106" t="str">
        <f t="shared" si="1"/>
        <v/>
      </c>
      <c r="J6931" t="str">
        <f>IFERROR(__xludf.DUMMYFUNCTION("IFS(
  AND(REGEXMATCH(E6931, ""台銀籌備帳戶|玉山帳戶""), REGEXMATCH(C6931, ""薪資"")), ""分潤支出"",
  AND(REGEXMATCH(E6931, ""Ben帳戶|Elsa帳戶|Ben代墊|Ariel代墊|中信銀行共用""), REGEXMATCH(F6931, ""Ben帳戶|Elsa帳戶|Ben代墊|Ariel代墊|中信銀行共用"")), ""內部轉帳(忽略)"",
  AND(E6931&lt;&gt;"""", F6931&lt;&gt;"""", N"&amp;"OT(REGEXMATCH(C6931, ""薪資""))), ""內部轉帳(忽略)"",
  REGEXMATCH(C6931, ""薪資""), ""薪資變動(不計入)"",
  REGEXMATCH(C6931, ""押金""), ""押金往來"",
  AND(E6931&lt;&gt;"""", F6931=""""), ""真實支出"",
  AND(E6931="""", F6931&lt;&gt;""""), ""真實收入"",
  TRUE, ""其他""
)"),"其他")</f>
        <v>其他</v>
      </c>
      <c r="K6931" s="270" t="str">
        <f t="shared" si="2"/>
        <v/>
      </c>
      <c r="L6931">
        <f t="shared" si="3"/>
        <v>0</v>
      </c>
    </row>
    <row r="6932">
      <c r="A6932" s="107"/>
      <c r="D6932" s="270"/>
      <c r="H6932" s="106" t="str">
        <f t="shared" si="1"/>
        <v/>
      </c>
      <c r="J6932" t="str">
        <f>IFERROR(__xludf.DUMMYFUNCTION("IFS(
  AND(REGEXMATCH(E6932, ""台銀籌備帳戶|玉山帳戶""), REGEXMATCH(C6932, ""薪資"")), ""分潤支出"",
  AND(REGEXMATCH(E6932, ""Ben帳戶|Elsa帳戶|Ben代墊|Ariel代墊|中信銀行共用""), REGEXMATCH(F6932, ""Ben帳戶|Elsa帳戶|Ben代墊|Ariel代墊|中信銀行共用"")), ""內部轉帳(忽略)"",
  AND(E6932&lt;&gt;"""", F6932&lt;&gt;"""", N"&amp;"OT(REGEXMATCH(C6932, ""薪資""))), ""內部轉帳(忽略)"",
  REGEXMATCH(C6932, ""薪資""), ""薪資變動(不計入)"",
  REGEXMATCH(C6932, ""押金""), ""押金往來"",
  AND(E6932&lt;&gt;"""", F6932=""""), ""真實支出"",
  AND(E6932="""", F6932&lt;&gt;""""), ""真實收入"",
  TRUE, ""其他""
)"),"其他")</f>
        <v>其他</v>
      </c>
      <c r="K6932" s="270" t="str">
        <f t="shared" si="2"/>
        <v/>
      </c>
      <c r="L6932">
        <f t="shared" si="3"/>
        <v>0</v>
      </c>
    </row>
    <row r="6933">
      <c r="A6933" s="107"/>
      <c r="D6933" s="270"/>
      <c r="H6933" s="106" t="str">
        <f t="shared" si="1"/>
        <v/>
      </c>
      <c r="J6933" t="str">
        <f>IFERROR(__xludf.DUMMYFUNCTION("IFS(
  AND(REGEXMATCH(E6933, ""台銀籌備帳戶|玉山帳戶""), REGEXMATCH(C6933, ""薪資"")), ""分潤支出"",
  AND(REGEXMATCH(E6933, ""Ben帳戶|Elsa帳戶|Ben代墊|Ariel代墊|中信銀行共用""), REGEXMATCH(F6933, ""Ben帳戶|Elsa帳戶|Ben代墊|Ariel代墊|中信銀行共用"")), ""內部轉帳(忽略)"",
  AND(E6933&lt;&gt;"""", F6933&lt;&gt;"""", N"&amp;"OT(REGEXMATCH(C6933, ""薪資""))), ""內部轉帳(忽略)"",
  REGEXMATCH(C6933, ""薪資""), ""薪資變動(不計入)"",
  REGEXMATCH(C6933, ""押金""), ""押金往來"",
  AND(E6933&lt;&gt;"""", F6933=""""), ""真實支出"",
  AND(E6933="""", F6933&lt;&gt;""""), ""真實收入"",
  TRUE, ""其他""
)"),"其他")</f>
        <v>其他</v>
      </c>
      <c r="K6933" s="270" t="str">
        <f t="shared" si="2"/>
        <v/>
      </c>
      <c r="L6933">
        <f t="shared" si="3"/>
        <v>0</v>
      </c>
    </row>
    <row r="6934">
      <c r="A6934" s="107"/>
      <c r="D6934" s="270"/>
      <c r="H6934" s="106" t="str">
        <f t="shared" si="1"/>
        <v/>
      </c>
      <c r="J6934" t="str">
        <f>IFERROR(__xludf.DUMMYFUNCTION("IFS(
  AND(REGEXMATCH(E6934, ""台銀籌備帳戶|玉山帳戶""), REGEXMATCH(C6934, ""薪資"")), ""分潤支出"",
  AND(REGEXMATCH(E6934, ""Ben帳戶|Elsa帳戶|Ben代墊|Ariel代墊|中信銀行共用""), REGEXMATCH(F6934, ""Ben帳戶|Elsa帳戶|Ben代墊|Ariel代墊|中信銀行共用"")), ""內部轉帳(忽略)"",
  AND(E6934&lt;&gt;"""", F6934&lt;&gt;"""", N"&amp;"OT(REGEXMATCH(C6934, ""薪資""))), ""內部轉帳(忽略)"",
  REGEXMATCH(C6934, ""薪資""), ""薪資變動(不計入)"",
  REGEXMATCH(C6934, ""押金""), ""押金往來"",
  AND(E6934&lt;&gt;"""", F6934=""""), ""真實支出"",
  AND(E6934="""", F6934&lt;&gt;""""), ""真實收入"",
  TRUE, ""其他""
)"),"其他")</f>
        <v>其他</v>
      </c>
      <c r="K6934" s="270" t="str">
        <f t="shared" si="2"/>
        <v/>
      </c>
      <c r="L6934">
        <f t="shared" si="3"/>
        <v>0</v>
      </c>
    </row>
    <row r="6935">
      <c r="A6935" s="107"/>
      <c r="D6935" s="270"/>
      <c r="H6935" s="106" t="str">
        <f t="shared" si="1"/>
        <v/>
      </c>
      <c r="J6935" t="str">
        <f>IFERROR(__xludf.DUMMYFUNCTION("IFS(
  AND(REGEXMATCH(E6935, ""台銀籌備帳戶|玉山帳戶""), REGEXMATCH(C6935, ""薪資"")), ""分潤支出"",
  AND(REGEXMATCH(E6935, ""Ben帳戶|Elsa帳戶|Ben代墊|Ariel代墊|中信銀行共用""), REGEXMATCH(F6935, ""Ben帳戶|Elsa帳戶|Ben代墊|Ariel代墊|中信銀行共用"")), ""內部轉帳(忽略)"",
  AND(E6935&lt;&gt;"""", F6935&lt;&gt;"""", N"&amp;"OT(REGEXMATCH(C6935, ""薪資""))), ""內部轉帳(忽略)"",
  REGEXMATCH(C6935, ""薪資""), ""薪資變動(不計入)"",
  REGEXMATCH(C6935, ""押金""), ""押金往來"",
  AND(E6935&lt;&gt;"""", F6935=""""), ""真實支出"",
  AND(E6935="""", F6935&lt;&gt;""""), ""真實收入"",
  TRUE, ""其他""
)"),"其他")</f>
        <v>其他</v>
      </c>
      <c r="K6935" s="270" t="str">
        <f t="shared" si="2"/>
        <v/>
      </c>
      <c r="L6935">
        <f t="shared" si="3"/>
        <v>0</v>
      </c>
    </row>
    <row r="6936">
      <c r="A6936" s="107"/>
      <c r="D6936" s="270"/>
      <c r="H6936" s="106" t="str">
        <f t="shared" si="1"/>
        <v/>
      </c>
      <c r="J6936" t="str">
        <f>IFERROR(__xludf.DUMMYFUNCTION("IFS(
  AND(REGEXMATCH(E6936, ""台銀籌備帳戶|玉山帳戶""), REGEXMATCH(C6936, ""薪資"")), ""分潤支出"",
  AND(REGEXMATCH(E6936, ""Ben帳戶|Elsa帳戶|Ben代墊|Ariel代墊|中信銀行共用""), REGEXMATCH(F6936, ""Ben帳戶|Elsa帳戶|Ben代墊|Ariel代墊|中信銀行共用"")), ""內部轉帳(忽略)"",
  AND(E6936&lt;&gt;"""", F6936&lt;&gt;"""", N"&amp;"OT(REGEXMATCH(C6936, ""薪資""))), ""內部轉帳(忽略)"",
  REGEXMATCH(C6936, ""薪資""), ""薪資變動(不計入)"",
  REGEXMATCH(C6936, ""押金""), ""押金往來"",
  AND(E6936&lt;&gt;"""", F6936=""""), ""真實支出"",
  AND(E6936="""", F6936&lt;&gt;""""), ""真實收入"",
  TRUE, ""其他""
)"),"其他")</f>
        <v>其他</v>
      </c>
      <c r="K6936" s="270" t="str">
        <f t="shared" si="2"/>
        <v/>
      </c>
      <c r="L6936">
        <f t="shared" si="3"/>
        <v>0</v>
      </c>
    </row>
    <row r="6937">
      <c r="A6937" s="107"/>
      <c r="D6937" s="270"/>
      <c r="H6937" s="106" t="str">
        <f t="shared" si="1"/>
        <v/>
      </c>
      <c r="J6937" t="str">
        <f>IFERROR(__xludf.DUMMYFUNCTION("IFS(
  AND(REGEXMATCH(E6937, ""台銀籌備帳戶|玉山帳戶""), REGEXMATCH(C6937, ""薪資"")), ""分潤支出"",
  AND(REGEXMATCH(E6937, ""Ben帳戶|Elsa帳戶|Ben代墊|Ariel代墊|中信銀行共用""), REGEXMATCH(F6937, ""Ben帳戶|Elsa帳戶|Ben代墊|Ariel代墊|中信銀行共用"")), ""內部轉帳(忽略)"",
  AND(E6937&lt;&gt;"""", F6937&lt;&gt;"""", N"&amp;"OT(REGEXMATCH(C6937, ""薪資""))), ""內部轉帳(忽略)"",
  REGEXMATCH(C6937, ""薪資""), ""薪資變動(不計入)"",
  REGEXMATCH(C6937, ""押金""), ""押金往來"",
  AND(E6937&lt;&gt;"""", F6937=""""), ""真實支出"",
  AND(E6937="""", F6937&lt;&gt;""""), ""真實收入"",
  TRUE, ""其他""
)"),"其他")</f>
        <v>其他</v>
      </c>
      <c r="K6937" s="270" t="str">
        <f t="shared" si="2"/>
        <v/>
      </c>
      <c r="L6937">
        <f t="shared" si="3"/>
        <v>0</v>
      </c>
    </row>
    <row r="6938">
      <c r="A6938" s="107"/>
      <c r="D6938" s="270"/>
      <c r="H6938" s="106" t="str">
        <f t="shared" si="1"/>
        <v/>
      </c>
      <c r="J6938" t="str">
        <f>IFERROR(__xludf.DUMMYFUNCTION("IFS(
  AND(REGEXMATCH(E6938, ""台銀籌備帳戶|玉山帳戶""), REGEXMATCH(C6938, ""薪資"")), ""分潤支出"",
  AND(REGEXMATCH(E6938, ""Ben帳戶|Elsa帳戶|Ben代墊|Ariel代墊|中信銀行共用""), REGEXMATCH(F6938, ""Ben帳戶|Elsa帳戶|Ben代墊|Ariel代墊|中信銀行共用"")), ""內部轉帳(忽略)"",
  AND(E6938&lt;&gt;"""", F6938&lt;&gt;"""", N"&amp;"OT(REGEXMATCH(C6938, ""薪資""))), ""內部轉帳(忽略)"",
  REGEXMATCH(C6938, ""薪資""), ""薪資變動(不計入)"",
  REGEXMATCH(C6938, ""押金""), ""押金往來"",
  AND(E6938&lt;&gt;"""", F6938=""""), ""真實支出"",
  AND(E6938="""", F6938&lt;&gt;""""), ""真實收入"",
  TRUE, ""其他""
)"),"其他")</f>
        <v>其他</v>
      </c>
      <c r="K6938" s="270" t="str">
        <f t="shared" si="2"/>
        <v/>
      </c>
      <c r="L6938">
        <f t="shared" si="3"/>
        <v>0</v>
      </c>
    </row>
    <row r="6939">
      <c r="A6939" s="107"/>
      <c r="D6939" s="270"/>
      <c r="H6939" s="106" t="str">
        <f t="shared" si="1"/>
        <v/>
      </c>
      <c r="J6939" t="str">
        <f>IFERROR(__xludf.DUMMYFUNCTION("IFS(
  AND(REGEXMATCH(E6939, ""台銀籌備帳戶|玉山帳戶""), REGEXMATCH(C6939, ""薪資"")), ""分潤支出"",
  AND(REGEXMATCH(E6939, ""Ben帳戶|Elsa帳戶|Ben代墊|Ariel代墊|中信銀行共用""), REGEXMATCH(F6939, ""Ben帳戶|Elsa帳戶|Ben代墊|Ariel代墊|中信銀行共用"")), ""內部轉帳(忽略)"",
  AND(E6939&lt;&gt;"""", F6939&lt;&gt;"""", N"&amp;"OT(REGEXMATCH(C6939, ""薪資""))), ""內部轉帳(忽略)"",
  REGEXMATCH(C6939, ""薪資""), ""薪資變動(不計入)"",
  REGEXMATCH(C6939, ""押金""), ""押金往來"",
  AND(E6939&lt;&gt;"""", F6939=""""), ""真實支出"",
  AND(E6939="""", F6939&lt;&gt;""""), ""真實收入"",
  TRUE, ""其他""
)"),"其他")</f>
        <v>其他</v>
      </c>
      <c r="K6939" s="270" t="str">
        <f t="shared" si="2"/>
        <v/>
      </c>
      <c r="L6939">
        <f t="shared" si="3"/>
        <v>0</v>
      </c>
    </row>
    <row r="6940">
      <c r="A6940" s="107"/>
      <c r="D6940" s="270"/>
      <c r="H6940" s="106" t="str">
        <f t="shared" si="1"/>
        <v/>
      </c>
      <c r="J6940" t="str">
        <f>IFERROR(__xludf.DUMMYFUNCTION("IFS(
  AND(REGEXMATCH(E6940, ""台銀籌備帳戶|玉山帳戶""), REGEXMATCH(C6940, ""薪資"")), ""分潤支出"",
  AND(REGEXMATCH(E6940, ""Ben帳戶|Elsa帳戶|Ben代墊|Ariel代墊|中信銀行共用""), REGEXMATCH(F6940, ""Ben帳戶|Elsa帳戶|Ben代墊|Ariel代墊|中信銀行共用"")), ""內部轉帳(忽略)"",
  AND(E6940&lt;&gt;"""", F6940&lt;&gt;"""", N"&amp;"OT(REGEXMATCH(C6940, ""薪資""))), ""內部轉帳(忽略)"",
  REGEXMATCH(C6940, ""薪資""), ""薪資變動(不計入)"",
  REGEXMATCH(C6940, ""押金""), ""押金往來"",
  AND(E6940&lt;&gt;"""", F6940=""""), ""真實支出"",
  AND(E6940="""", F6940&lt;&gt;""""), ""真實收入"",
  TRUE, ""其他""
)"),"其他")</f>
        <v>其他</v>
      </c>
      <c r="K6940" s="270" t="str">
        <f t="shared" si="2"/>
        <v/>
      </c>
      <c r="L6940">
        <f t="shared" si="3"/>
        <v>0</v>
      </c>
    </row>
    <row r="6941">
      <c r="A6941" s="107"/>
      <c r="D6941" s="270"/>
      <c r="H6941" s="106" t="str">
        <f t="shared" si="1"/>
        <v/>
      </c>
      <c r="J6941" t="str">
        <f>IFERROR(__xludf.DUMMYFUNCTION("IFS(
  AND(REGEXMATCH(E6941, ""台銀籌備帳戶|玉山帳戶""), REGEXMATCH(C6941, ""薪資"")), ""分潤支出"",
  AND(REGEXMATCH(E6941, ""Ben帳戶|Elsa帳戶|Ben代墊|Ariel代墊|中信銀行共用""), REGEXMATCH(F6941, ""Ben帳戶|Elsa帳戶|Ben代墊|Ariel代墊|中信銀行共用"")), ""內部轉帳(忽略)"",
  AND(E6941&lt;&gt;"""", F6941&lt;&gt;"""", N"&amp;"OT(REGEXMATCH(C6941, ""薪資""))), ""內部轉帳(忽略)"",
  REGEXMATCH(C6941, ""薪資""), ""薪資變動(不計入)"",
  REGEXMATCH(C6941, ""押金""), ""押金往來"",
  AND(E6941&lt;&gt;"""", F6941=""""), ""真實支出"",
  AND(E6941="""", F6941&lt;&gt;""""), ""真實收入"",
  TRUE, ""其他""
)"),"其他")</f>
        <v>其他</v>
      </c>
      <c r="K6941" s="270" t="str">
        <f t="shared" si="2"/>
        <v/>
      </c>
      <c r="L6941">
        <f t="shared" si="3"/>
        <v>0</v>
      </c>
    </row>
    <row r="6942">
      <c r="A6942" s="107"/>
      <c r="D6942" s="270"/>
      <c r="H6942" s="106" t="str">
        <f t="shared" si="1"/>
        <v/>
      </c>
      <c r="J6942" t="str">
        <f>IFERROR(__xludf.DUMMYFUNCTION("IFS(
  AND(REGEXMATCH(E6942, ""台銀籌備帳戶|玉山帳戶""), REGEXMATCH(C6942, ""薪資"")), ""分潤支出"",
  AND(REGEXMATCH(E6942, ""Ben帳戶|Elsa帳戶|Ben代墊|Ariel代墊|中信銀行共用""), REGEXMATCH(F6942, ""Ben帳戶|Elsa帳戶|Ben代墊|Ariel代墊|中信銀行共用"")), ""內部轉帳(忽略)"",
  AND(E6942&lt;&gt;"""", F6942&lt;&gt;"""", N"&amp;"OT(REGEXMATCH(C6942, ""薪資""))), ""內部轉帳(忽略)"",
  REGEXMATCH(C6942, ""薪資""), ""薪資變動(不計入)"",
  REGEXMATCH(C6942, ""押金""), ""押金往來"",
  AND(E6942&lt;&gt;"""", F6942=""""), ""真實支出"",
  AND(E6942="""", F6942&lt;&gt;""""), ""真實收入"",
  TRUE, ""其他""
)"),"其他")</f>
        <v>其他</v>
      </c>
      <c r="K6942" s="270" t="str">
        <f t="shared" si="2"/>
        <v/>
      </c>
      <c r="L6942">
        <f t="shared" si="3"/>
        <v>0</v>
      </c>
    </row>
    <row r="6943">
      <c r="A6943" s="107"/>
      <c r="D6943" s="270"/>
      <c r="H6943" s="106" t="str">
        <f t="shared" si="1"/>
        <v/>
      </c>
      <c r="J6943" t="str">
        <f>IFERROR(__xludf.DUMMYFUNCTION("IFS(
  AND(REGEXMATCH(E6943, ""台銀籌備帳戶|玉山帳戶""), REGEXMATCH(C6943, ""薪資"")), ""分潤支出"",
  AND(REGEXMATCH(E6943, ""Ben帳戶|Elsa帳戶|Ben代墊|Ariel代墊|中信銀行共用""), REGEXMATCH(F6943, ""Ben帳戶|Elsa帳戶|Ben代墊|Ariel代墊|中信銀行共用"")), ""內部轉帳(忽略)"",
  AND(E6943&lt;&gt;"""", F6943&lt;&gt;"""", N"&amp;"OT(REGEXMATCH(C6943, ""薪資""))), ""內部轉帳(忽略)"",
  REGEXMATCH(C6943, ""薪資""), ""薪資變動(不計入)"",
  REGEXMATCH(C6943, ""押金""), ""押金往來"",
  AND(E6943&lt;&gt;"""", F6943=""""), ""真實支出"",
  AND(E6943="""", F6943&lt;&gt;""""), ""真實收入"",
  TRUE, ""其他""
)"),"其他")</f>
        <v>其他</v>
      </c>
      <c r="K6943" s="270" t="str">
        <f t="shared" si="2"/>
        <v/>
      </c>
      <c r="L6943">
        <f t="shared" si="3"/>
        <v>0</v>
      </c>
    </row>
    <row r="6944">
      <c r="A6944" s="107"/>
      <c r="D6944" s="270"/>
      <c r="H6944" s="106" t="str">
        <f t="shared" si="1"/>
        <v/>
      </c>
      <c r="J6944" t="str">
        <f>IFERROR(__xludf.DUMMYFUNCTION("IFS(
  AND(REGEXMATCH(E6944, ""台銀籌備帳戶|玉山帳戶""), REGEXMATCH(C6944, ""薪資"")), ""分潤支出"",
  AND(REGEXMATCH(E6944, ""Ben帳戶|Elsa帳戶|Ben代墊|Ariel代墊|中信銀行共用""), REGEXMATCH(F6944, ""Ben帳戶|Elsa帳戶|Ben代墊|Ariel代墊|中信銀行共用"")), ""內部轉帳(忽略)"",
  AND(E6944&lt;&gt;"""", F6944&lt;&gt;"""", N"&amp;"OT(REGEXMATCH(C6944, ""薪資""))), ""內部轉帳(忽略)"",
  REGEXMATCH(C6944, ""薪資""), ""薪資變動(不計入)"",
  REGEXMATCH(C6944, ""押金""), ""押金往來"",
  AND(E6944&lt;&gt;"""", F6944=""""), ""真實支出"",
  AND(E6944="""", F6944&lt;&gt;""""), ""真實收入"",
  TRUE, ""其他""
)"),"其他")</f>
        <v>其他</v>
      </c>
      <c r="K6944" s="270" t="str">
        <f t="shared" si="2"/>
        <v/>
      </c>
      <c r="L6944">
        <f t="shared" si="3"/>
        <v>0</v>
      </c>
    </row>
    <row r="6945">
      <c r="A6945" s="107"/>
      <c r="D6945" s="270"/>
      <c r="H6945" s="106" t="str">
        <f t="shared" si="1"/>
        <v/>
      </c>
      <c r="J6945" t="str">
        <f>IFERROR(__xludf.DUMMYFUNCTION("IFS(
  AND(REGEXMATCH(E6945, ""台銀籌備帳戶|玉山帳戶""), REGEXMATCH(C6945, ""薪資"")), ""分潤支出"",
  AND(REGEXMATCH(E6945, ""Ben帳戶|Elsa帳戶|Ben代墊|Ariel代墊|中信銀行共用""), REGEXMATCH(F6945, ""Ben帳戶|Elsa帳戶|Ben代墊|Ariel代墊|中信銀行共用"")), ""內部轉帳(忽略)"",
  AND(E6945&lt;&gt;"""", F6945&lt;&gt;"""", N"&amp;"OT(REGEXMATCH(C6945, ""薪資""))), ""內部轉帳(忽略)"",
  REGEXMATCH(C6945, ""薪資""), ""薪資變動(不計入)"",
  REGEXMATCH(C6945, ""押金""), ""押金往來"",
  AND(E6945&lt;&gt;"""", F6945=""""), ""真實支出"",
  AND(E6945="""", F6945&lt;&gt;""""), ""真實收入"",
  TRUE, ""其他""
)"),"其他")</f>
        <v>其他</v>
      </c>
      <c r="K6945" s="270" t="str">
        <f t="shared" si="2"/>
        <v/>
      </c>
      <c r="L6945">
        <f t="shared" si="3"/>
        <v>0</v>
      </c>
    </row>
    <row r="6946">
      <c r="A6946" s="107"/>
      <c r="D6946" s="270"/>
      <c r="H6946" s="106" t="str">
        <f t="shared" si="1"/>
        <v/>
      </c>
      <c r="J6946" t="str">
        <f>IFERROR(__xludf.DUMMYFUNCTION("IFS(
  AND(REGEXMATCH(E6946, ""台銀籌備帳戶|玉山帳戶""), REGEXMATCH(C6946, ""薪資"")), ""分潤支出"",
  AND(REGEXMATCH(E6946, ""Ben帳戶|Elsa帳戶|Ben代墊|Ariel代墊|中信銀行共用""), REGEXMATCH(F6946, ""Ben帳戶|Elsa帳戶|Ben代墊|Ariel代墊|中信銀行共用"")), ""內部轉帳(忽略)"",
  AND(E6946&lt;&gt;"""", F6946&lt;&gt;"""", N"&amp;"OT(REGEXMATCH(C6946, ""薪資""))), ""內部轉帳(忽略)"",
  REGEXMATCH(C6946, ""薪資""), ""薪資變動(不計入)"",
  REGEXMATCH(C6946, ""押金""), ""押金往來"",
  AND(E6946&lt;&gt;"""", F6946=""""), ""真實支出"",
  AND(E6946="""", F6946&lt;&gt;""""), ""真實收入"",
  TRUE, ""其他""
)"),"其他")</f>
        <v>其他</v>
      </c>
      <c r="K6946" s="270" t="str">
        <f t="shared" si="2"/>
        <v/>
      </c>
      <c r="L6946">
        <f t="shared" si="3"/>
        <v>0</v>
      </c>
    </row>
    <row r="6947">
      <c r="A6947" s="107"/>
      <c r="D6947" s="270"/>
      <c r="H6947" s="106" t="str">
        <f t="shared" si="1"/>
        <v/>
      </c>
      <c r="J6947" t="str">
        <f>IFERROR(__xludf.DUMMYFUNCTION("IFS(
  AND(REGEXMATCH(E6947, ""台銀籌備帳戶|玉山帳戶""), REGEXMATCH(C6947, ""薪資"")), ""分潤支出"",
  AND(REGEXMATCH(E6947, ""Ben帳戶|Elsa帳戶|Ben代墊|Ariel代墊|中信銀行共用""), REGEXMATCH(F6947, ""Ben帳戶|Elsa帳戶|Ben代墊|Ariel代墊|中信銀行共用"")), ""內部轉帳(忽略)"",
  AND(E6947&lt;&gt;"""", F6947&lt;&gt;"""", N"&amp;"OT(REGEXMATCH(C6947, ""薪資""))), ""內部轉帳(忽略)"",
  REGEXMATCH(C6947, ""薪資""), ""薪資變動(不計入)"",
  REGEXMATCH(C6947, ""押金""), ""押金往來"",
  AND(E6947&lt;&gt;"""", F6947=""""), ""真實支出"",
  AND(E6947="""", F6947&lt;&gt;""""), ""真實收入"",
  TRUE, ""其他""
)"),"其他")</f>
        <v>其他</v>
      </c>
      <c r="K6947" s="270" t="str">
        <f t="shared" si="2"/>
        <v/>
      </c>
      <c r="L6947">
        <f t="shared" si="3"/>
        <v>0</v>
      </c>
    </row>
    <row r="6948">
      <c r="A6948" s="107"/>
      <c r="D6948" s="270"/>
      <c r="H6948" s="106" t="str">
        <f t="shared" si="1"/>
        <v/>
      </c>
      <c r="J6948" t="str">
        <f>IFERROR(__xludf.DUMMYFUNCTION("IFS(
  AND(REGEXMATCH(E6948, ""台銀籌備帳戶|玉山帳戶""), REGEXMATCH(C6948, ""薪資"")), ""分潤支出"",
  AND(REGEXMATCH(E6948, ""Ben帳戶|Elsa帳戶|Ben代墊|Ariel代墊|中信銀行共用""), REGEXMATCH(F6948, ""Ben帳戶|Elsa帳戶|Ben代墊|Ariel代墊|中信銀行共用"")), ""內部轉帳(忽略)"",
  AND(E6948&lt;&gt;"""", F6948&lt;&gt;"""", N"&amp;"OT(REGEXMATCH(C6948, ""薪資""))), ""內部轉帳(忽略)"",
  REGEXMATCH(C6948, ""薪資""), ""薪資變動(不計入)"",
  REGEXMATCH(C6948, ""押金""), ""押金往來"",
  AND(E6948&lt;&gt;"""", F6948=""""), ""真實支出"",
  AND(E6948="""", F6948&lt;&gt;""""), ""真實收入"",
  TRUE, ""其他""
)"),"其他")</f>
        <v>其他</v>
      </c>
      <c r="K6948" s="270" t="str">
        <f t="shared" si="2"/>
        <v/>
      </c>
      <c r="L6948">
        <f t="shared" si="3"/>
        <v>0</v>
      </c>
    </row>
    <row r="6949">
      <c r="A6949" s="107"/>
      <c r="D6949" s="270"/>
      <c r="H6949" s="106" t="str">
        <f t="shared" si="1"/>
        <v/>
      </c>
      <c r="J6949" t="str">
        <f>IFERROR(__xludf.DUMMYFUNCTION("IFS(
  AND(REGEXMATCH(E6949, ""台銀籌備帳戶|玉山帳戶""), REGEXMATCH(C6949, ""薪資"")), ""分潤支出"",
  AND(REGEXMATCH(E6949, ""Ben帳戶|Elsa帳戶|Ben代墊|Ariel代墊|中信銀行共用""), REGEXMATCH(F6949, ""Ben帳戶|Elsa帳戶|Ben代墊|Ariel代墊|中信銀行共用"")), ""內部轉帳(忽略)"",
  AND(E6949&lt;&gt;"""", F6949&lt;&gt;"""", N"&amp;"OT(REGEXMATCH(C6949, ""薪資""))), ""內部轉帳(忽略)"",
  REGEXMATCH(C6949, ""薪資""), ""薪資變動(不計入)"",
  REGEXMATCH(C6949, ""押金""), ""押金往來"",
  AND(E6949&lt;&gt;"""", F6949=""""), ""真實支出"",
  AND(E6949="""", F6949&lt;&gt;""""), ""真實收入"",
  TRUE, ""其他""
)"),"其他")</f>
        <v>其他</v>
      </c>
      <c r="K6949" s="270" t="str">
        <f t="shared" si="2"/>
        <v/>
      </c>
      <c r="L6949">
        <f t="shared" si="3"/>
        <v>0</v>
      </c>
    </row>
    <row r="6950">
      <c r="A6950" s="107"/>
      <c r="D6950" s="270"/>
      <c r="H6950" s="106" t="str">
        <f t="shared" si="1"/>
        <v/>
      </c>
      <c r="J6950" t="str">
        <f>IFERROR(__xludf.DUMMYFUNCTION("IFS(
  AND(REGEXMATCH(E6950, ""台銀籌備帳戶|玉山帳戶""), REGEXMATCH(C6950, ""薪資"")), ""分潤支出"",
  AND(REGEXMATCH(E6950, ""Ben帳戶|Elsa帳戶|Ben代墊|Ariel代墊|中信銀行共用""), REGEXMATCH(F6950, ""Ben帳戶|Elsa帳戶|Ben代墊|Ariel代墊|中信銀行共用"")), ""內部轉帳(忽略)"",
  AND(E6950&lt;&gt;"""", F6950&lt;&gt;"""", N"&amp;"OT(REGEXMATCH(C6950, ""薪資""))), ""內部轉帳(忽略)"",
  REGEXMATCH(C6950, ""薪資""), ""薪資變動(不計入)"",
  REGEXMATCH(C6950, ""押金""), ""押金往來"",
  AND(E6950&lt;&gt;"""", F6950=""""), ""真實支出"",
  AND(E6950="""", F6950&lt;&gt;""""), ""真實收入"",
  TRUE, ""其他""
)"),"其他")</f>
        <v>其他</v>
      </c>
      <c r="K6950" s="270" t="str">
        <f t="shared" si="2"/>
        <v/>
      </c>
      <c r="L6950">
        <f t="shared" si="3"/>
        <v>0</v>
      </c>
    </row>
    <row r="6951">
      <c r="A6951" s="107"/>
      <c r="D6951" s="270"/>
      <c r="H6951" s="106" t="str">
        <f t="shared" si="1"/>
        <v/>
      </c>
      <c r="J6951" t="str">
        <f>IFERROR(__xludf.DUMMYFUNCTION("IFS(
  AND(REGEXMATCH(E6951, ""台銀籌備帳戶|玉山帳戶""), REGEXMATCH(C6951, ""薪資"")), ""分潤支出"",
  AND(REGEXMATCH(E6951, ""Ben帳戶|Elsa帳戶|Ben代墊|Ariel代墊|中信銀行共用""), REGEXMATCH(F6951, ""Ben帳戶|Elsa帳戶|Ben代墊|Ariel代墊|中信銀行共用"")), ""內部轉帳(忽略)"",
  AND(E6951&lt;&gt;"""", F6951&lt;&gt;"""", N"&amp;"OT(REGEXMATCH(C6951, ""薪資""))), ""內部轉帳(忽略)"",
  REGEXMATCH(C6951, ""薪資""), ""薪資變動(不計入)"",
  REGEXMATCH(C6951, ""押金""), ""押金往來"",
  AND(E6951&lt;&gt;"""", F6951=""""), ""真實支出"",
  AND(E6951="""", F6951&lt;&gt;""""), ""真實收入"",
  TRUE, ""其他""
)"),"其他")</f>
        <v>其他</v>
      </c>
      <c r="K6951" s="270" t="str">
        <f t="shared" si="2"/>
        <v/>
      </c>
      <c r="L6951">
        <f t="shared" si="3"/>
        <v>0</v>
      </c>
    </row>
    <row r="6952">
      <c r="A6952" s="107"/>
      <c r="D6952" s="270"/>
      <c r="H6952" s="106" t="str">
        <f t="shared" si="1"/>
        <v/>
      </c>
      <c r="J6952" t="str">
        <f>IFERROR(__xludf.DUMMYFUNCTION("IFS(
  AND(REGEXMATCH(E6952, ""台銀籌備帳戶|玉山帳戶""), REGEXMATCH(C6952, ""薪資"")), ""分潤支出"",
  AND(REGEXMATCH(E6952, ""Ben帳戶|Elsa帳戶|Ben代墊|Ariel代墊|中信銀行共用""), REGEXMATCH(F6952, ""Ben帳戶|Elsa帳戶|Ben代墊|Ariel代墊|中信銀行共用"")), ""內部轉帳(忽略)"",
  AND(E6952&lt;&gt;"""", F6952&lt;&gt;"""", N"&amp;"OT(REGEXMATCH(C6952, ""薪資""))), ""內部轉帳(忽略)"",
  REGEXMATCH(C6952, ""薪資""), ""薪資變動(不計入)"",
  REGEXMATCH(C6952, ""押金""), ""押金往來"",
  AND(E6952&lt;&gt;"""", F6952=""""), ""真實支出"",
  AND(E6952="""", F6952&lt;&gt;""""), ""真實收入"",
  TRUE, ""其他""
)"),"其他")</f>
        <v>其他</v>
      </c>
      <c r="K6952" s="270" t="str">
        <f t="shared" si="2"/>
        <v/>
      </c>
      <c r="L6952">
        <f t="shared" si="3"/>
        <v>0</v>
      </c>
    </row>
    <row r="6953">
      <c r="A6953" s="107"/>
      <c r="D6953" s="270"/>
      <c r="H6953" s="106" t="str">
        <f t="shared" si="1"/>
        <v/>
      </c>
      <c r="J6953" t="str">
        <f>IFERROR(__xludf.DUMMYFUNCTION("IFS(
  AND(REGEXMATCH(E6953, ""台銀籌備帳戶|玉山帳戶""), REGEXMATCH(C6953, ""薪資"")), ""分潤支出"",
  AND(REGEXMATCH(E6953, ""Ben帳戶|Elsa帳戶|Ben代墊|Ariel代墊|中信銀行共用""), REGEXMATCH(F6953, ""Ben帳戶|Elsa帳戶|Ben代墊|Ariel代墊|中信銀行共用"")), ""內部轉帳(忽略)"",
  AND(E6953&lt;&gt;"""", F6953&lt;&gt;"""", N"&amp;"OT(REGEXMATCH(C6953, ""薪資""))), ""內部轉帳(忽略)"",
  REGEXMATCH(C6953, ""薪資""), ""薪資變動(不計入)"",
  REGEXMATCH(C6953, ""押金""), ""押金往來"",
  AND(E6953&lt;&gt;"""", F6953=""""), ""真實支出"",
  AND(E6953="""", F6953&lt;&gt;""""), ""真實收入"",
  TRUE, ""其他""
)"),"其他")</f>
        <v>其他</v>
      </c>
      <c r="K6953" s="270" t="str">
        <f t="shared" si="2"/>
        <v/>
      </c>
      <c r="L6953">
        <f t="shared" si="3"/>
        <v>0</v>
      </c>
    </row>
    <row r="6954">
      <c r="A6954" s="107"/>
      <c r="D6954" s="270"/>
      <c r="H6954" s="106" t="str">
        <f t="shared" si="1"/>
        <v/>
      </c>
      <c r="J6954" t="str">
        <f>IFERROR(__xludf.DUMMYFUNCTION("IFS(
  AND(REGEXMATCH(E6954, ""台銀籌備帳戶|玉山帳戶""), REGEXMATCH(C6954, ""薪資"")), ""分潤支出"",
  AND(REGEXMATCH(E6954, ""Ben帳戶|Elsa帳戶|Ben代墊|Ariel代墊|中信銀行共用""), REGEXMATCH(F6954, ""Ben帳戶|Elsa帳戶|Ben代墊|Ariel代墊|中信銀行共用"")), ""內部轉帳(忽略)"",
  AND(E6954&lt;&gt;"""", F6954&lt;&gt;"""", N"&amp;"OT(REGEXMATCH(C6954, ""薪資""))), ""內部轉帳(忽略)"",
  REGEXMATCH(C6954, ""薪資""), ""薪資變動(不計入)"",
  REGEXMATCH(C6954, ""押金""), ""押金往來"",
  AND(E6954&lt;&gt;"""", F6954=""""), ""真實支出"",
  AND(E6954="""", F6954&lt;&gt;""""), ""真實收入"",
  TRUE, ""其他""
)"),"其他")</f>
        <v>其他</v>
      </c>
      <c r="K6954" s="270" t="str">
        <f t="shared" si="2"/>
        <v/>
      </c>
      <c r="L6954">
        <f t="shared" si="3"/>
        <v>0</v>
      </c>
    </row>
    <row r="6955">
      <c r="A6955" s="107"/>
      <c r="D6955" s="270"/>
      <c r="H6955" s="106" t="str">
        <f t="shared" si="1"/>
        <v/>
      </c>
      <c r="J6955" t="str">
        <f>IFERROR(__xludf.DUMMYFUNCTION("IFS(
  AND(REGEXMATCH(E6955, ""台銀籌備帳戶|玉山帳戶""), REGEXMATCH(C6955, ""薪資"")), ""分潤支出"",
  AND(REGEXMATCH(E6955, ""Ben帳戶|Elsa帳戶|Ben代墊|Ariel代墊|中信銀行共用""), REGEXMATCH(F6955, ""Ben帳戶|Elsa帳戶|Ben代墊|Ariel代墊|中信銀行共用"")), ""內部轉帳(忽略)"",
  AND(E6955&lt;&gt;"""", F6955&lt;&gt;"""", N"&amp;"OT(REGEXMATCH(C6955, ""薪資""))), ""內部轉帳(忽略)"",
  REGEXMATCH(C6955, ""薪資""), ""薪資變動(不計入)"",
  REGEXMATCH(C6955, ""押金""), ""押金往來"",
  AND(E6955&lt;&gt;"""", F6955=""""), ""真實支出"",
  AND(E6955="""", F6955&lt;&gt;""""), ""真實收入"",
  TRUE, ""其他""
)"),"其他")</f>
        <v>其他</v>
      </c>
      <c r="K6955" s="270" t="str">
        <f t="shared" si="2"/>
        <v/>
      </c>
      <c r="L6955">
        <f t="shared" si="3"/>
        <v>0</v>
      </c>
    </row>
    <row r="6956">
      <c r="A6956" s="107"/>
      <c r="D6956" s="270"/>
      <c r="H6956" s="106" t="str">
        <f t="shared" si="1"/>
        <v/>
      </c>
      <c r="J6956" t="str">
        <f>IFERROR(__xludf.DUMMYFUNCTION("IFS(
  AND(REGEXMATCH(E6956, ""台銀籌備帳戶|玉山帳戶""), REGEXMATCH(C6956, ""薪資"")), ""分潤支出"",
  AND(REGEXMATCH(E6956, ""Ben帳戶|Elsa帳戶|Ben代墊|Ariel代墊|中信銀行共用""), REGEXMATCH(F6956, ""Ben帳戶|Elsa帳戶|Ben代墊|Ariel代墊|中信銀行共用"")), ""內部轉帳(忽略)"",
  AND(E6956&lt;&gt;"""", F6956&lt;&gt;"""", N"&amp;"OT(REGEXMATCH(C6956, ""薪資""))), ""內部轉帳(忽略)"",
  REGEXMATCH(C6956, ""薪資""), ""薪資變動(不計入)"",
  REGEXMATCH(C6956, ""押金""), ""押金往來"",
  AND(E6956&lt;&gt;"""", F6956=""""), ""真實支出"",
  AND(E6956="""", F6956&lt;&gt;""""), ""真實收入"",
  TRUE, ""其他""
)"),"其他")</f>
        <v>其他</v>
      </c>
      <c r="K6956" s="270" t="str">
        <f t="shared" si="2"/>
        <v/>
      </c>
      <c r="L6956">
        <f t="shared" si="3"/>
        <v>0</v>
      </c>
    </row>
    <row r="6957">
      <c r="A6957" s="107"/>
      <c r="D6957" s="270"/>
      <c r="H6957" s="106" t="str">
        <f t="shared" si="1"/>
        <v/>
      </c>
      <c r="J6957" t="str">
        <f>IFERROR(__xludf.DUMMYFUNCTION("IFS(
  AND(REGEXMATCH(E6957, ""台銀籌備帳戶|玉山帳戶""), REGEXMATCH(C6957, ""薪資"")), ""分潤支出"",
  AND(REGEXMATCH(E6957, ""Ben帳戶|Elsa帳戶|Ben代墊|Ariel代墊|中信銀行共用""), REGEXMATCH(F6957, ""Ben帳戶|Elsa帳戶|Ben代墊|Ariel代墊|中信銀行共用"")), ""內部轉帳(忽略)"",
  AND(E6957&lt;&gt;"""", F6957&lt;&gt;"""", N"&amp;"OT(REGEXMATCH(C6957, ""薪資""))), ""內部轉帳(忽略)"",
  REGEXMATCH(C6957, ""薪資""), ""薪資變動(不計入)"",
  REGEXMATCH(C6957, ""押金""), ""押金往來"",
  AND(E6957&lt;&gt;"""", F6957=""""), ""真實支出"",
  AND(E6957="""", F6957&lt;&gt;""""), ""真實收入"",
  TRUE, ""其他""
)"),"其他")</f>
        <v>其他</v>
      </c>
      <c r="K6957" s="270" t="str">
        <f t="shared" si="2"/>
        <v/>
      </c>
      <c r="L6957">
        <f t="shared" si="3"/>
        <v>0</v>
      </c>
    </row>
    <row r="6958">
      <c r="A6958" s="107"/>
      <c r="D6958" s="270"/>
      <c r="H6958" s="106" t="str">
        <f t="shared" si="1"/>
        <v/>
      </c>
      <c r="J6958" t="str">
        <f>IFERROR(__xludf.DUMMYFUNCTION("IFS(
  AND(REGEXMATCH(E6958, ""台銀籌備帳戶|玉山帳戶""), REGEXMATCH(C6958, ""薪資"")), ""分潤支出"",
  AND(REGEXMATCH(E6958, ""Ben帳戶|Elsa帳戶|Ben代墊|Ariel代墊|中信銀行共用""), REGEXMATCH(F6958, ""Ben帳戶|Elsa帳戶|Ben代墊|Ariel代墊|中信銀行共用"")), ""內部轉帳(忽略)"",
  AND(E6958&lt;&gt;"""", F6958&lt;&gt;"""", N"&amp;"OT(REGEXMATCH(C6958, ""薪資""))), ""內部轉帳(忽略)"",
  REGEXMATCH(C6958, ""薪資""), ""薪資變動(不計入)"",
  REGEXMATCH(C6958, ""押金""), ""押金往來"",
  AND(E6958&lt;&gt;"""", F6958=""""), ""真實支出"",
  AND(E6958="""", F6958&lt;&gt;""""), ""真實收入"",
  TRUE, ""其他""
)"),"其他")</f>
        <v>其他</v>
      </c>
      <c r="K6958" s="270" t="str">
        <f t="shared" si="2"/>
        <v/>
      </c>
      <c r="L6958">
        <f t="shared" si="3"/>
        <v>0</v>
      </c>
    </row>
    <row r="6959">
      <c r="A6959" s="107"/>
      <c r="D6959" s="270"/>
      <c r="H6959" s="106" t="str">
        <f t="shared" si="1"/>
        <v/>
      </c>
      <c r="J6959" t="str">
        <f>IFERROR(__xludf.DUMMYFUNCTION("IFS(
  AND(REGEXMATCH(E6959, ""台銀籌備帳戶|玉山帳戶""), REGEXMATCH(C6959, ""薪資"")), ""分潤支出"",
  AND(REGEXMATCH(E6959, ""Ben帳戶|Elsa帳戶|Ben代墊|Ariel代墊|中信銀行共用""), REGEXMATCH(F6959, ""Ben帳戶|Elsa帳戶|Ben代墊|Ariel代墊|中信銀行共用"")), ""內部轉帳(忽略)"",
  AND(E6959&lt;&gt;"""", F6959&lt;&gt;"""", N"&amp;"OT(REGEXMATCH(C6959, ""薪資""))), ""內部轉帳(忽略)"",
  REGEXMATCH(C6959, ""薪資""), ""薪資變動(不計入)"",
  REGEXMATCH(C6959, ""押金""), ""押金往來"",
  AND(E6959&lt;&gt;"""", F6959=""""), ""真實支出"",
  AND(E6959="""", F6959&lt;&gt;""""), ""真實收入"",
  TRUE, ""其他""
)"),"其他")</f>
        <v>其他</v>
      </c>
      <c r="K6959" s="270" t="str">
        <f t="shared" si="2"/>
        <v/>
      </c>
      <c r="L6959">
        <f t="shared" si="3"/>
        <v>0</v>
      </c>
    </row>
    <row r="6960">
      <c r="A6960" s="107"/>
      <c r="D6960" s="270"/>
      <c r="H6960" s="106" t="str">
        <f t="shared" si="1"/>
        <v/>
      </c>
      <c r="J6960" t="str">
        <f>IFERROR(__xludf.DUMMYFUNCTION("IFS(
  AND(REGEXMATCH(E6960, ""台銀籌備帳戶|玉山帳戶""), REGEXMATCH(C6960, ""薪資"")), ""分潤支出"",
  AND(REGEXMATCH(E6960, ""Ben帳戶|Elsa帳戶|Ben代墊|Ariel代墊|中信銀行共用""), REGEXMATCH(F6960, ""Ben帳戶|Elsa帳戶|Ben代墊|Ariel代墊|中信銀行共用"")), ""內部轉帳(忽略)"",
  AND(E6960&lt;&gt;"""", F6960&lt;&gt;"""", N"&amp;"OT(REGEXMATCH(C6960, ""薪資""))), ""內部轉帳(忽略)"",
  REGEXMATCH(C6960, ""薪資""), ""薪資變動(不計入)"",
  REGEXMATCH(C6960, ""押金""), ""押金往來"",
  AND(E6960&lt;&gt;"""", F6960=""""), ""真實支出"",
  AND(E6960="""", F6960&lt;&gt;""""), ""真實收入"",
  TRUE, ""其他""
)"),"其他")</f>
        <v>其他</v>
      </c>
      <c r="K6960" s="270" t="str">
        <f t="shared" si="2"/>
        <v/>
      </c>
      <c r="L6960">
        <f t="shared" si="3"/>
        <v>0</v>
      </c>
    </row>
    <row r="6961">
      <c r="A6961" s="107"/>
      <c r="D6961" s="270"/>
      <c r="H6961" s="106" t="str">
        <f t="shared" si="1"/>
        <v/>
      </c>
      <c r="J6961" t="str">
        <f>IFERROR(__xludf.DUMMYFUNCTION("IFS(
  AND(REGEXMATCH(E6961, ""台銀籌備帳戶|玉山帳戶""), REGEXMATCH(C6961, ""薪資"")), ""分潤支出"",
  AND(REGEXMATCH(E6961, ""Ben帳戶|Elsa帳戶|Ben代墊|Ariel代墊|中信銀行共用""), REGEXMATCH(F6961, ""Ben帳戶|Elsa帳戶|Ben代墊|Ariel代墊|中信銀行共用"")), ""內部轉帳(忽略)"",
  AND(E6961&lt;&gt;"""", F6961&lt;&gt;"""", N"&amp;"OT(REGEXMATCH(C6961, ""薪資""))), ""內部轉帳(忽略)"",
  REGEXMATCH(C6961, ""薪資""), ""薪資變動(不計入)"",
  REGEXMATCH(C6961, ""押金""), ""押金往來"",
  AND(E6961&lt;&gt;"""", F6961=""""), ""真實支出"",
  AND(E6961="""", F6961&lt;&gt;""""), ""真實收入"",
  TRUE, ""其他""
)"),"其他")</f>
        <v>其他</v>
      </c>
      <c r="K6961" s="270" t="str">
        <f t="shared" si="2"/>
        <v/>
      </c>
      <c r="L6961">
        <f t="shared" si="3"/>
        <v>0</v>
      </c>
    </row>
    <row r="6962">
      <c r="A6962" s="107"/>
      <c r="D6962" s="270"/>
      <c r="H6962" s="106" t="str">
        <f t="shared" si="1"/>
        <v/>
      </c>
      <c r="J6962" t="str">
        <f>IFERROR(__xludf.DUMMYFUNCTION("IFS(
  AND(REGEXMATCH(E6962, ""台銀籌備帳戶|玉山帳戶""), REGEXMATCH(C6962, ""薪資"")), ""分潤支出"",
  AND(REGEXMATCH(E6962, ""Ben帳戶|Elsa帳戶|Ben代墊|Ariel代墊|中信銀行共用""), REGEXMATCH(F6962, ""Ben帳戶|Elsa帳戶|Ben代墊|Ariel代墊|中信銀行共用"")), ""內部轉帳(忽略)"",
  AND(E6962&lt;&gt;"""", F6962&lt;&gt;"""", N"&amp;"OT(REGEXMATCH(C6962, ""薪資""))), ""內部轉帳(忽略)"",
  REGEXMATCH(C6962, ""薪資""), ""薪資變動(不計入)"",
  REGEXMATCH(C6962, ""押金""), ""押金往來"",
  AND(E6962&lt;&gt;"""", F6962=""""), ""真實支出"",
  AND(E6962="""", F6962&lt;&gt;""""), ""真實收入"",
  TRUE, ""其他""
)"),"其他")</f>
        <v>其他</v>
      </c>
      <c r="K6962" s="270" t="str">
        <f t="shared" si="2"/>
        <v/>
      </c>
      <c r="L6962">
        <f t="shared" si="3"/>
        <v>0</v>
      </c>
    </row>
    <row r="6963">
      <c r="A6963" s="107"/>
      <c r="D6963" s="270"/>
      <c r="H6963" s="106" t="str">
        <f t="shared" si="1"/>
        <v/>
      </c>
      <c r="J6963" t="str">
        <f>IFERROR(__xludf.DUMMYFUNCTION("IFS(
  AND(REGEXMATCH(E6963, ""台銀籌備帳戶|玉山帳戶""), REGEXMATCH(C6963, ""薪資"")), ""分潤支出"",
  AND(REGEXMATCH(E6963, ""Ben帳戶|Elsa帳戶|Ben代墊|Ariel代墊|中信銀行共用""), REGEXMATCH(F6963, ""Ben帳戶|Elsa帳戶|Ben代墊|Ariel代墊|中信銀行共用"")), ""內部轉帳(忽略)"",
  AND(E6963&lt;&gt;"""", F6963&lt;&gt;"""", N"&amp;"OT(REGEXMATCH(C6963, ""薪資""))), ""內部轉帳(忽略)"",
  REGEXMATCH(C6963, ""薪資""), ""薪資變動(不計入)"",
  REGEXMATCH(C6963, ""押金""), ""押金往來"",
  AND(E6963&lt;&gt;"""", F6963=""""), ""真實支出"",
  AND(E6963="""", F6963&lt;&gt;""""), ""真實收入"",
  TRUE, ""其他""
)"),"其他")</f>
        <v>其他</v>
      </c>
      <c r="K6963" s="270" t="str">
        <f t="shared" si="2"/>
        <v/>
      </c>
      <c r="L6963">
        <f t="shared" si="3"/>
        <v>0</v>
      </c>
    </row>
    <row r="6964">
      <c r="A6964" s="107"/>
      <c r="D6964" s="270"/>
      <c r="H6964" s="106" t="str">
        <f t="shared" si="1"/>
        <v/>
      </c>
      <c r="J6964" t="str">
        <f>IFERROR(__xludf.DUMMYFUNCTION("IFS(
  AND(REGEXMATCH(E6964, ""台銀籌備帳戶|玉山帳戶""), REGEXMATCH(C6964, ""薪資"")), ""分潤支出"",
  AND(REGEXMATCH(E6964, ""Ben帳戶|Elsa帳戶|Ben代墊|Ariel代墊|中信銀行共用""), REGEXMATCH(F6964, ""Ben帳戶|Elsa帳戶|Ben代墊|Ariel代墊|中信銀行共用"")), ""內部轉帳(忽略)"",
  AND(E6964&lt;&gt;"""", F6964&lt;&gt;"""", N"&amp;"OT(REGEXMATCH(C6964, ""薪資""))), ""內部轉帳(忽略)"",
  REGEXMATCH(C6964, ""薪資""), ""薪資變動(不計入)"",
  REGEXMATCH(C6964, ""押金""), ""押金往來"",
  AND(E6964&lt;&gt;"""", F6964=""""), ""真實支出"",
  AND(E6964="""", F6964&lt;&gt;""""), ""真實收入"",
  TRUE, ""其他""
)"),"其他")</f>
        <v>其他</v>
      </c>
      <c r="K6964" s="270" t="str">
        <f t="shared" si="2"/>
        <v/>
      </c>
      <c r="L6964">
        <f t="shared" si="3"/>
        <v>0</v>
      </c>
    </row>
    <row r="6965">
      <c r="A6965" s="107"/>
      <c r="D6965" s="270"/>
      <c r="H6965" s="106" t="str">
        <f t="shared" si="1"/>
        <v/>
      </c>
      <c r="J6965" t="str">
        <f>IFERROR(__xludf.DUMMYFUNCTION("IFS(
  AND(REGEXMATCH(E6965, ""台銀籌備帳戶|玉山帳戶""), REGEXMATCH(C6965, ""薪資"")), ""分潤支出"",
  AND(REGEXMATCH(E6965, ""Ben帳戶|Elsa帳戶|Ben代墊|Ariel代墊|中信銀行共用""), REGEXMATCH(F6965, ""Ben帳戶|Elsa帳戶|Ben代墊|Ariel代墊|中信銀行共用"")), ""內部轉帳(忽略)"",
  AND(E6965&lt;&gt;"""", F6965&lt;&gt;"""", N"&amp;"OT(REGEXMATCH(C6965, ""薪資""))), ""內部轉帳(忽略)"",
  REGEXMATCH(C6965, ""薪資""), ""薪資變動(不計入)"",
  REGEXMATCH(C6965, ""押金""), ""押金往來"",
  AND(E6965&lt;&gt;"""", F6965=""""), ""真實支出"",
  AND(E6965="""", F6965&lt;&gt;""""), ""真實收入"",
  TRUE, ""其他""
)"),"其他")</f>
        <v>其他</v>
      </c>
      <c r="K6965" s="270" t="str">
        <f t="shared" si="2"/>
        <v/>
      </c>
      <c r="L6965">
        <f t="shared" si="3"/>
        <v>0</v>
      </c>
    </row>
    <row r="6966">
      <c r="A6966" s="107"/>
      <c r="D6966" s="270"/>
      <c r="H6966" s="106" t="str">
        <f t="shared" si="1"/>
        <v/>
      </c>
      <c r="J6966" t="str">
        <f>IFERROR(__xludf.DUMMYFUNCTION("IFS(
  AND(REGEXMATCH(E6966, ""台銀籌備帳戶|玉山帳戶""), REGEXMATCH(C6966, ""薪資"")), ""分潤支出"",
  AND(REGEXMATCH(E6966, ""Ben帳戶|Elsa帳戶|Ben代墊|Ariel代墊|中信銀行共用""), REGEXMATCH(F6966, ""Ben帳戶|Elsa帳戶|Ben代墊|Ariel代墊|中信銀行共用"")), ""內部轉帳(忽略)"",
  AND(E6966&lt;&gt;"""", F6966&lt;&gt;"""", N"&amp;"OT(REGEXMATCH(C6966, ""薪資""))), ""內部轉帳(忽略)"",
  REGEXMATCH(C6966, ""薪資""), ""薪資變動(不計入)"",
  REGEXMATCH(C6966, ""押金""), ""押金往來"",
  AND(E6966&lt;&gt;"""", F6966=""""), ""真實支出"",
  AND(E6966="""", F6966&lt;&gt;""""), ""真實收入"",
  TRUE, ""其他""
)"),"其他")</f>
        <v>其他</v>
      </c>
      <c r="K6966" s="270" t="str">
        <f t="shared" si="2"/>
        <v/>
      </c>
      <c r="L6966">
        <f t="shared" si="3"/>
        <v>0</v>
      </c>
    </row>
    <row r="6967">
      <c r="A6967" s="107"/>
      <c r="D6967" s="270"/>
      <c r="H6967" s="106" t="str">
        <f t="shared" si="1"/>
        <v/>
      </c>
      <c r="J6967" t="str">
        <f>IFERROR(__xludf.DUMMYFUNCTION("IFS(
  AND(REGEXMATCH(E6967, ""台銀籌備帳戶|玉山帳戶""), REGEXMATCH(C6967, ""薪資"")), ""分潤支出"",
  AND(REGEXMATCH(E6967, ""Ben帳戶|Elsa帳戶|Ben代墊|Ariel代墊|中信銀行共用""), REGEXMATCH(F6967, ""Ben帳戶|Elsa帳戶|Ben代墊|Ariel代墊|中信銀行共用"")), ""內部轉帳(忽略)"",
  AND(E6967&lt;&gt;"""", F6967&lt;&gt;"""", N"&amp;"OT(REGEXMATCH(C6967, ""薪資""))), ""內部轉帳(忽略)"",
  REGEXMATCH(C6967, ""薪資""), ""薪資變動(不計入)"",
  REGEXMATCH(C6967, ""押金""), ""押金往來"",
  AND(E6967&lt;&gt;"""", F6967=""""), ""真實支出"",
  AND(E6967="""", F6967&lt;&gt;""""), ""真實收入"",
  TRUE, ""其他""
)"),"其他")</f>
        <v>其他</v>
      </c>
      <c r="K6967" s="270" t="str">
        <f t="shared" si="2"/>
        <v/>
      </c>
      <c r="L6967">
        <f t="shared" si="3"/>
        <v>0</v>
      </c>
    </row>
    <row r="6968">
      <c r="A6968" s="107"/>
      <c r="D6968" s="270"/>
      <c r="H6968" s="106" t="str">
        <f t="shared" si="1"/>
        <v/>
      </c>
      <c r="J6968" t="str">
        <f>IFERROR(__xludf.DUMMYFUNCTION("IFS(
  AND(REGEXMATCH(E6968, ""台銀籌備帳戶|玉山帳戶""), REGEXMATCH(C6968, ""薪資"")), ""分潤支出"",
  AND(REGEXMATCH(E6968, ""Ben帳戶|Elsa帳戶|Ben代墊|Ariel代墊|中信銀行共用""), REGEXMATCH(F6968, ""Ben帳戶|Elsa帳戶|Ben代墊|Ariel代墊|中信銀行共用"")), ""內部轉帳(忽略)"",
  AND(E6968&lt;&gt;"""", F6968&lt;&gt;"""", N"&amp;"OT(REGEXMATCH(C6968, ""薪資""))), ""內部轉帳(忽略)"",
  REGEXMATCH(C6968, ""薪資""), ""薪資變動(不計入)"",
  REGEXMATCH(C6968, ""押金""), ""押金往來"",
  AND(E6968&lt;&gt;"""", F6968=""""), ""真實支出"",
  AND(E6968="""", F6968&lt;&gt;""""), ""真實收入"",
  TRUE, ""其他""
)"),"其他")</f>
        <v>其他</v>
      </c>
      <c r="K6968" s="270" t="str">
        <f t="shared" si="2"/>
        <v/>
      </c>
      <c r="L6968">
        <f t="shared" si="3"/>
        <v>0</v>
      </c>
    </row>
    <row r="6969">
      <c r="A6969" s="107"/>
      <c r="D6969" s="270"/>
      <c r="H6969" s="106" t="str">
        <f t="shared" si="1"/>
        <v/>
      </c>
      <c r="J6969" t="str">
        <f>IFERROR(__xludf.DUMMYFUNCTION("IFS(
  AND(REGEXMATCH(E6969, ""台銀籌備帳戶|玉山帳戶""), REGEXMATCH(C6969, ""薪資"")), ""分潤支出"",
  AND(REGEXMATCH(E6969, ""Ben帳戶|Elsa帳戶|Ben代墊|Ariel代墊|中信銀行共用""), REGEXMATCH(F6969, ""Ben帳戶|Elsa帳戶|Ben代墊|Ariel代墊|中信銀行共用"")), ""內部轉帳(忽略)"",
  AND(E6969&lt;&gt;"""", F6969&lt;&gt;"""", N"&amp;"OT(REGEXMATCH(C6969, ""薪資""))), ""內部轉帳(忽略)"",
  REGEXMATCH(C6969, ""薪資""), ""薪資變動(不計入)"",
  REGEXMATCH(C6969, ""押金""), ""押金往來"",
  AND(E6969&lt;&gt;"""", F6969=""""), ""真實支出"",
  AND(E6969="""", F6969&lt;&gt;""""), ""真實收入"",
  TRUE, ""其他""
)"),"其他")</f>
        <v>其他</v>
      </c>
      <c r="K6969" s="270" t="str">
        <f t="shared" si="2"/>
        <v/>
      </c>
      <c r="L6969">
        <f t="shared" si="3"/>
        <v>0</v>
      </c>
    </row>
    <row r="6970">
      <c r="A6970" s="107"/>
      <c r="D6970" s="270"/>
      <c r="H6970" s="106" t="str">
        <f t="shared" si="1"/>
        <v/>
      </c>
      <c r="J6970" t="str">
        <f>IFERROR(__xludf.DUMMYFUNCTION("IFS(
  AND(REGEXMATCH(E6970, ""台銀籌備帳戶|玉山帳戶""), REGEXMATCH(C6970, ""薪資"")), ""分潤支出"",
  AND(REGEXMATCH(E6970, ""Ben帳戶|Elsa帳戶|Ben代墊|Ariel代墊|中信銀行共用""), REGEXMATCH(F6970, ""Ben帳戶|Elsa帳戶|Ben代墊|Ariel代墊|中信銀行共用"")), ""內部轉帳(忽略)"",
  AND(E6970&lt;&gt;"""", F6970&lt;&gt;"""", N"&amp;"OT(REGEXMATCH(C6970, ""薪資""))), ""內部轉帳(忽略)"",
  REGEXMATCH(C6970, ""薪資""), ""薪資變動(不計入)"",
  REGEXMATCH(C6970, ""押金""), ""押金往來"",
  AND(E6970&lt;&gt;"""", F6970=""""), ""真實支出"",
  AND(E6970="""", F6970&lt;&gt;""""), ""真實收入"",
  TRUE, ""其他""
)"),"其他")</f>
        <v>其他</v>
      </c>
      <c r="K6970" s="270" t="str">
        <f t="shared" si="2"/>
        <v/>
      </c>
      <c r="L6970">
        <f t="shared" si="3"/>
        <v>0</v>
      </c>
    </row>
    <row r="6971">
      <c r="A6971" s="107"/>
      <c r="D6971" s="270"/>
      <c r="H6971" s="106" t="str">
        <f t="shared" si="1"/>
        <v/>
      </c>
      <c r="J6971" t="str">
        <f>IFERROR(__xludf.DUMMYFUNCTION("IFS(
  AND(REGEXMATCH(E6971, ""台銀籌備帳戶|玉山帳戶""), REGEXMATCH(C6971, ""薪資"")), ""分潤支出"",
  AND(REGEXMATCH(E6971, ""Ben帳戶|Elsa帳戶|Ben代墊|Ariel代墊|中信銀行共用""), REGEXMATCH(F6971, ""Ben帳戶|Elsa帳戶|Ben代墊|Ariel代墊|中信銀行共用"")), ""內部轉帳(忽略)"",
  AND(E6971&lt;&gt;"""", F6971&lt;&gt;"""", N"&amp;"OT(REGEXMATCH(C6971, ""薪資""))), ""內部轉帳(忽略)"",
  REGEXMATCH(C6971, ""薪資""), ""薪資變動(不計入)"",
  REGEXMATCH(C6971, ""押金""), ""押金往來"",
  AND(E6971&lt;&gt;"""", F6971=""""), ""真實支出"",
  AND(E6971="""", F6971&lt;&gt;""""), ""真實收入"",
  TRUE, ""其他""
)"),"其他")</f>
        <v>其他</v>
      </c>
      <c r="K6971" s="270" t="str">
        <f t="shared" si="2"/>
        <v/>
      </c>
      <c r="L6971">
        <f t="shared" si="3"/>
        <v>0</v>
      </c>
    </row>
    <row r="6972">
      <c r="A6972" s="107"/>
      <c r="D6972" s="270"/>
      <c r="H6972" s="106" t="str">
        <f t="shared" si="1"/>
        <v/>
      </c>
      <c r="J6972" t="str">
        <f>IFERROR(__xludf.DUMMYFUNCTION("IFS(
  AND(REGEXMATCH(E6972, ""台銀籌備帳戶|玉山帳戶""), REGEXMATCH(C6972, ""薪資"")), ""分潤支出"",
  AND(REGEXMATCH(E6972, ""Ben帳戶|Elsa帳戶|Ben代墊|Ariel代墊|中信銀行共用""), REGEXMATCH(F6972, ""Ben帳戶|Elsa帳戶|Ben代墊|Ariel代墊|中信銀行共用"")), ""內部轉帳(忽略)"",
  AND(E6972&lt;&gt;"""", F6972&lt;&gt;"""", N"&amp;"OT(REGEXMATCH(C6972, ""薪資""))), ""內部轉帳(忽略)"",
  REGEXMATCH(C6972, ""薪資""), ""薪資變動(不計入)"",
  REGEXMATCH(C6972, ""押金""), ""押金往來"",
  AND(E6972&lt;&gt;"""", F6972=""""), ""真實支出"",
  AND(E6972="""", F6972&lt;&gt;""""), ""真實收入"",
  TRUE, ""其他""
)"),"其他")</f>
        <v>其他</v>
      </c>
      <c r="K6972" s="270" t="str">
        <f t="shared" si="2"/>
        <v/>
      </c>
      <c r="L6972">
        <f t="shared" si="3"/>
        <v>0</v>
      </c>
    </row>
    <row r="6973">
      <c r="A6973" s="107"/>
      <c r="D6973" s="270"/>
      <c r="H6973" s="106" t="str">
        <f t="shared" si="1"/>
        <v/>
      </c>
      <c r="J6973" t="str">
        <f>IFERROR(__xludf.DUMMYFUNCTION("IFS(
  AND(REGEXMATCH(E6973, ""台銀籌備帳戶|玉山帳戶""), REGEXMATCH(C6973, ""薪資"")), ""分潤支出"",
  AND(REGEXMATCH(E6973, ""Ben帳戶|Elsa帳戶|Ben代墊|Ariel代墊|中信銀行共用""), REGEXMATCH(F6973, ""Ben帳戶|Elsa帳戶|Ben代墊|Ariel代墊|中信銀行共用"")), ""內部轉帳(忽略)"",
  AND(E6973&lt;&gt;"""", F6973&lt;&gt;"""", N"&amp;"OT(REGEXMATCH(C6973, ""薪資""))), ""內部轉帳(忽略)"",
  REGEXMATCH(C6973, ""薪資""), ""薪資變動(不計入)"",
  REGEXMATCH(C6973, ""押金""), ""押金往來"",
  AND(E6973&lt;&gt;"""", F6973=""""), ""真實支出"",
  AND(E6973="""", F6973&lt;&gt;""""), ""真實收入"",
  TRUE, ""其他""
)"),"其他")</f>
        <v>其他</v>
      </c>
      <c r="K6973" s="270" t="str">
        <f t="shared" si="2"/>
        <v/>
      </c>
      <c r="L6973">
        <f t="shared" si="3"/>
        <v>0</v>
      </c>
    </row>
    <row r="6974">
      <c r="A6974" s="107"/>
      <c r="D6974" s="270"/>
      <c r="H6974" s="106" t="str">
        <f t="shared" si="1"/>
        <v/>
      </c>
      <c r="J6974" t="str">
        <f>IFERROR(__xludf.DUMMYFUNCTION("IFS(
  AND(REGEXMATCH(E6974, ""台銀籌備帳戶|玉山帳戶""), REGEXMATCH(C6974, ""薪資"")), ""分潤支出"",
  AND(REGEXMATCH(E6974, ""Ben帳戶|Elsa帳戶|Ben代墊|Ariel代墊|中信銀行共用""), REGEXMATCH(F6974, ""Ben帳戶|Elsa帳戶|Ben代墊|Ariel代墊|中信銀行共用"")), ""內部轉帳(忽略)"",
  AND(E6974&lt;&gt;"""", F6974&lt;&gt;"""", N"&amp;"OT(REGEXMATCH(C6974, ""薪資""))), ""內部轉帳(忽略)"",
  REGEXMATCH(C6974, ""薪資""), ""薪資變動(不計入)"",
  REGEXMATCH(C6974, ""押金""), ""押金往來"",
  AND(E6974&lt;&gt;"""", F6974=""""), ""真實支出"",
  AND(E6974="""", F6974&lt;&gt;""""), ""真實收入"",
  TRUE, ""其他""
)"),"其他")</f>
        <v>其他</v>
      </c>
      <c r="K6974" s="270" t="str">
        <f t="shared" si="2"/>
        <v/>
      </c>
      <c r="L6974">
        <f t="shared" si="3"/>
        <v>0</v>
      </c>
    </row>
    <row r="6975">
      <c r="A6975" s="107"/>
      <c r="D6975" s="270"/>
      <c r="H6975" s="106" t="str">
        <f t="shared" si="1"/>
        <v/>
      </c>
      <c r="J6975" t="str">
        <f>IFERROR(__xludf.DUMMYFUNCTION("IFS(
  AND(REGEXMATCH(E6975, ""台銀籌備帳戶|玉山帳戶""), REGEXMATCH(C6975, ""薪資"")), ""分潤支出"",
  AND(REGEXMATCH(E6975, ""Ben帳戶|Elsa帳戶|Ben代墊|Ariel代墊|中信銀行共用""), REGEXMATCH(F6975, ""Ben帳戶|Elsa帳戶|Ben代墊|Ariel代墊|中信銀行共用"")), ""內部轉帳(忽略)"",
  AND(E6975&lt;&gt;"""", F6975&lt;&gt;"""", N"&amp;"OT(REGEXMATCH(C6975, ""薪資""))), ""內部轉帳(忽略)"",
  REGEXMATCH(C6975, ""薪資""), ""薪資變動(不計入)"",
  REGEXMATCH(C6975, ""押金""), ""押金往來"",
  AND(E6975&lt;&gt;"""", F6975=""""), ""真實支出"",
  AND(E6975="""", F6975&lt;&gt;""""), ""真實收入"",
  TRUE, ""其他""
)"),"其他")</f>
        <v>其他</v>
      </c>
      <c r="K6975" s="270" t="str">
        <f t="shared" si="2"/>
        <v/>
      </c>
      <c r="L6975">
        <f t="shared" si="3"/>
        <v>0</v>
      </c>
    </row>
    <row r="6976">
      <c r="A6976" s="107"/>
      <c r="D6976" s="270"/>
      <c r="H6976" s="106" t="str">
        <f t="shared" si="1"/>
        <v/>
      </c>
      <c r="J6976" t="str">
        <f>IFERROR(__xludf.DUMMYFUNCTION("IFS(
  AND(REGEXMATCH(E6976, ""台銀籌備帳戶|玉山帳戶""), REGEXMATCH(C6976, ""薪資"")), ""分潤支出"",
  AND(REGEXMATCH(E6976, ""Ben帳戶|Elsa帳戶|Ben代墊|Ariel代墊|中信銀行共用""), REGEXMATCH(F6976, ""Ben帳戶|Elsa帳戶|Ben代墊|Ariel代墊|中信銀行共用"")), ""內部轉帳(忽略)"",
  AND(E6976&lt;&gt;"""", F6976&lt;&gt;"""", N"&amp;"OT(REGEXMATCH(C6976, ""薪資""))), ""內部轉帳(忽略)"",
  REGEXMATCH(C6976, ""薪資""), ""薪資變動(不計入)"",
  REGEXMATCH(C6976, ""押金""), ""押金往來"",
  AND(E6976&lt;&gt;"""", F6976=""""), ""真實支出"",
  AND(E6976="""", F6976&lt;&gt;""""), ""真實收入"",
  TRUE, ""其他""
)"),"其他")</f>
        <v>其他</v>
      </c>
      <c r="K6976" s="270" t="str">
        <f t="shared" si="2"/>
        <v/>
      </c>
      <c r="L6976">
        <f t="shared" si="3"/>
        <v>0</v>
      </c>
    </row>
    <row r="6977">
      <c r="A6977" s="107"/>
      <c r="D6977" s="270"/>
      <c r="H6977" s="106" t="str">
        <f t="shared" si="1"/>
        <v/>
      </c>
      <c r="J6977" t="str">
        <f>IFERROR(__xludf.DUMMYFUNCTION("IFS(
  AND(REGEXMATCH(E6977, ""台銀籌備帳戶|玉山帳戶""), REGEXMATCH(C6977, ""薪資"")), ""分潤支出"",
  AND(REGEXMATCH(E6977, ""Ben帳戶|Elsa帳戶|Ben代墊|Ariel代墊|中信銀行共用""), REGEXMATCH(F6977, ""Ben帳戶|Elsa帳戶|Ben代墊|Ariel代墊|中信銀行共用"")), ""內部轉帳(忽略)"",
  AND(E6977&lt;&gt;"""", F6977&lt;&gt;"""", N"&amp;"OT(REGEXMATCH(C6977, ""薪資""))), ""內部轉帳(忽略)"",
  REGEXMATCH(C6977, ""薪資""), ""薪資變動(不計入)"",
  REGEXMATCH(C6977, ""押金""), ""押金往來"",
  AND(E6977&lt;&gt;"""", F6977=""""), ""真實支出"",
  AND(E6977="""", F6977&lt;&gt;""""), ""真實收入"",
  TRUE, ""其他""
)"),"其他")</f>
        <v>其他</v>
      </c>
      <c r="K6977" s="270" t="str">
        <f t="shared" si="2"/>
        <v/>
      </c>
      <c r="L6977">
        <f t="shared" si="3"/>
        <v>0</v>
      </c>
    </row>
    <row r="6978">
      <c r="A6978" s="107"/>
      <c r="D6978" s="270"/>
      <c r="H6978" s="106" t="str">
        <f t="shared" si="1"/>
        <v/>
      </c>
      <c r="J6978" t="str">
        <f>IFERROR(__xludf.DUMMYFUNCTION("IFS(
  AND(REGEXMATCH(E6978, ""台銀籌備帳戶|玉山帳戶""), REGEXMATCH(C6978, ""薪資"")), ""分潤支出"",
  AND(REGEXMATCH(E6978, ""Ben帳戶|Elsa帳戶|Ben代墊|Ariel代墊|中信銀行共用""), REGEXMATCH(F6978, ""Ben帳戶|Elsa帳戶|Ben代墊|Ariel代墊|中信銀行共用"")), ""內部轉帳(忽略)"",
  AND(E6978&lt;&gt;"""", F6978&lt;&gt;"""", N"&amp;"OT(REGEXMATCH(C6978, ""薪資""))), ""內部轉帳(忽略)"",
  REGEXMATCH(C6978, ""薪資""), ""薪資變動(不計入)"",
  REGEXMATCH(C6978, ""押金""), ""押金往來"",
  AND(E6978&lt;&gt;"""", F6978=""""), ""真實支出"",
  AND(E6978="""", F6978&lt;&gt;""""), ""真實收入"",
  TRUE, ""其他""
)"),"其他")</f>
        <v>其他</v>
      </c>
      <c r="K6978" s="270" t="str">
        <f t="shared" si="2"/>
        <v/>
      </c>
      <c r="L6978">
        <f t="shared" si="3"/>
        <v>0</v>
      </c>
    </row>
    <row r="6979">
      <c r="A6979" s="107"/>
      <c r="D6979" s="270"/>
      <c r="H6979" s="106" t="str">
        <f t="shared" si="1"/>
        <v/>
      </c>
      <c r="J6979" t="str">
        <f>IFERROR(__xludf.DUMMYFUNCTION("IFS(
  AND(REGEXMATCH(E6979, ""台銀籌備帳戶|玉山帳戶""), REGEXMATCH(C6979, ""薪資"")), ""分潤支出"",
  AND(REGEXMATCH(E6979, ""Ben帳戶|Elsa帳戶|Ben代墊|Ariel代墊|中信銀行共用""), REGEXMATCH(F6979, ""Ben帳戶|Elsa帳戶|Ben代墊|Ariel代墊|中信銀行共用"")), ""內部轉帳(忽略)"",
  AND(E6979&lt;&gt;"""", F6979&lt;&gt;"""", N"&amp;"OT(REGEXMATCH(C6979, ""薪資""))), ""內部轉帳(忽略)"",
  REGEXMATCH(C6979, ""薪資""), ""薪資變動(不計入)"",
  REGEXMATCH(C6979, ""押金""), ""押金往來"",
  AND(E6979&lt;&gt;"""", F6979=""""), ""真實支出"",
  AND(E6979="""", F6979&lt;&gt;""""), ""真實收入"",
  TRUE, ""其他""
)"),"其他")</f>
        <v>其他</v>
      </c>
      <c r="K6979" s="270" t="str">
        <f t="shared" si="2"/>
        <v/>
      </c>
      <c r="L6979">
        <f t="shared" si="3"/>
        <v>0</v>
      </c>
    </row>
    <row r="6980">
      <c r="A6980" s="107"/>
      <c r="D6980" s="270"/>
      <c r="H6980" s="106" t="str">
        <f t="shared" si="1"/>
        <v/>
      </c>
      <c r="J6980" t="str">
        <f>IFERROR(__xludf.DUMMYFUNCTION("IFS(
  AND(REGEXMATCH(E6980, ""台銀籌備帳戶|玉山帳戶""), REGEXMATCH(C6980, ""薪資"")), ""分潤支出"",
  AND(REGEXMATCH(E6980, ""Ben帳戶|Elsa帳戶|Ben代墊|Ariel代墊|中信銀行共用""), REGEXMATCH(F6980, ""Ben帳戶|Elsa帳戶|Ben代墊|Ariel代墊|中信銀行共用"")), ""內部轉帳(忽略)"",
  AND(E6980&lt;&gt;"""", F6980&lt;&gt;"""", N"&amp;"OT(REGEXMATCH(C6980, ""薪資""))), ""內部轉帳(忽略)"",
  REGEXMATCH(C6980, ""薪資""), ""薪資變動(不計入)"",
  REGEXMATCH(C6980, ""押金""), ""押金往來"",
  AND(E6980&lt;&gt;"""", F6980=""""), ""真實支出"",
  AND(E6980="""", F6980&lt;&gt;""""), ""真實收入"",
  TRUE, ""其他""
)"),"其他")</f>
        <v>其他</v>
      </c>
      <c r="K6980" s="270" t="str">
        <f t="shared" si="2"/>
        <v/>
      </c>
      <c r="L6980">
        <f t="shared" si="3"/>
        <v>0</v>
      </c>
    </row>
    <row r="6981">
      <c r="A6981" s="107"/>
      <c r="D6981" s="270"/>
      <c r="H6981" s="106" t="str">
        <f t="shared" si="1"/>
        <v/>
      </c>
      <c r="J6981" t="str">
        <f>IFERROR(__xludf.DUMMYFUNCTION("IFS(
  AND(REGEXMATCH(E6981, ""台銀籌備帳戶|玉山帳戶""), REGEXMATCH(C6981, ""薪資"")), ""分潤支出"",
  AND(REGEXMATCH(E6981, ""Ben帳戶|Elsa帳戶|Ben代墊|Ariel代墊|中信銀行共用""), REGEXMATCH(F6981, ""Ben帳戶|Elsa帳戶|Ben代墊|Ariel代墊|中信銀行共用"")), ""內部轉帳(忽略)"",
  AND(E6981&lt;&gt;"""", F6981&lt;&gt;"""", N"&amp;"OT(REGEXMATCH(C6981, ""薪資""))), ""內部轉帳(忽略)"",
  REGEXMATCH(C6981, ""薪資""), ""薪資變動(不計入)"",
  REGEXMATCH(C6981, ""押金""), ""押金往來"",
  AND(E6981&lt;&gt;"""", F6981=""""), ""真實支出"",
  AND(E6981="""", F6981&lt;&gt;""""), ""真實收入"",
  TRUE, ""其他""
)"),"其他")</f>
        <v>其他</v>
      </c>
      <c r="K6981" s="270" t="str">
        <f t="shared" si="2"/>
        <v/>
      </c>
      <c r="L6981">
        <f t="shared" si="3"/>
        <v>0</v>
      </c>
    </row>
    <row r="6982">
      <c r="A6982" s="107"/>
      <c r="D6982" s="270"/>
      <c r="H6982" s="106" t="str">
        <f t="shared" si="1"/>
        <v/>
      </c>
      <c r="J6982" t="str">
        <f>IFERROR(__xludf.DUMMYFUNCTION("IFS(
  AND(REGEXMATCH(E6982, ""台銀籌備帳戶|玉山帳戶""), REGEXMATCH(C6982, ""薪資"")), ""分潤支出"",
  AND(REGEXMATCH(E6982, ""Ben帳戶|Elsa帳戶|Ben代墊|Ariel代墊|中信銀行共用""), REGEXMATCH(F6982, ""Ben帳戶|Elsa帳戶|Ben代墊|Ariel代墊|中信銀行共用"")), ""內部轉帳(忽略)"",
  AND(E6982&lt;&gt;"""", F6982&lt;&gt;"""", N"&amp;"OT(REGEXMATCH(C6982, ""薪資""))), ""內部轉帳(忽略)"",
  REGEXMATCH(C6982, ""薪資""), ""薪資變動(不計入)"",
  REGEXMATCH(C6982, ""押金""), ""押金往來"",
  AND(E6982&lt;&gt;"""", F6982=""""), ""真實支出"",
  AND(E6982="""", F6982&lt;&gt;""""), ""真實收入"",
  TRUE, ""其他""
)"),"其他")</f>
        <v>其他</v>
      </c>
      <c r="K6982" s="270" t="str">
        <f t="shared" si="2"/>
        <v/>
      </c>
      <c r="L6982">
        <f t="shared" si="3"/>
        <v>0</v>
      </c>
    </row>
    <row r="6983">
      <c r="A6983" s="107"/>
      <c r="D6983" s="270"/>
      <c r="H6983" s="106" t="str">
        <f t="shared" si="1"/>
        <v/>
      </c>
      <c r="J6983" t="str">
        <f>IFERROR(__xludf.DUMMYFUNCTION("IFS(
  AND(REGEXMATCH(E6983, ""台銀籌備帳戶|玉山帳戶""), REGEXMATCH(C6983, ""薪資"")), ""分潤支出"",
  AND(REGEXMATCH(E6983, ""Ben帳戶|Elsa帳戶|Ben代墊|Ariel代墊|中信銀行共用""), REGEXMATCH(F6983, ""Ben帳戶|Elsa帳戶|Ben代墊|Ariel代墊|中信銀行共用"")), ""內部轉帳(忽略)"",
  AND(E6983&lt;&gt;"""", F6983&lt;&gt;"""", N"&amp;"OT(REGEXMATCH(C6983, ""薪資""))), ""內部轉帳(忽略)"",
  REGEXMATCH(C6983, ""薪資""), ""薪資變動(不計入)"",
  REGEXMATCH(C6983, ""押金""), ""押金往來"",
  AND(E6983&lt;&gt;"""", F6983=""""), ""真實支出"",
  AND(E6983="""", F6983&lt;&gt;""""), ""真實收入"",
  TRUE, ""其他""
)"),"其他")</f>
        <v>其他</v>
      </c>
      <c r="K6983" s="270" t="str">
        <f t="shared" si="2"/>
        <v/>
      </c>
      <c r="L6983">
        <f t="shared" si="3"/>
        <v>0</v>
      </c>
    </row>
    <row r="6984">
      <c r="A6984" s="107"/>
      <c r="D6984" s="270"/>
      <c r="H6984" s="106" t="str">
        <f t="shared" si="1"/>
        <v/>
      </c>
      <c r="J6984" t="str">
        <f>IFERROR(__xludf.DUMMYFUNCTION("IFS(
  AND(REGEXMATCH(E6984, ""台銀籌備帳戶|玉山帳戶""), REGEXMATCH(C6984, ""薪資"")), ""分潤支出"",
  AND(REGEXMATCH(E6984, ""Ben帳戶|Elsa帳戶|Ben代墊|Ariel代墊|中信銀行共用""), REGEXMATCH(F6984, ""Ben帳戶|Elsa帳戶|Ben代墊|Ariel代墊|中信銀行共用"")), ""內部轉帳(忽略)"",
  AND(E6984&lt;&gt;"""", F6984&lt;&gt;"""", N"&amp;"OT(REGEXMATCH(C6984, ""薪資""))), ""內部轉帳(忽略)"",
  REGEXMATCH(C6984, ""薪資""), ""薪資變動(不計入)"",
  REGEXMATCH(C6984, ""押金""), ""押金往來"",
  AND(E6984&lt;&gt;"""", F6984=""""), ""真實支出"",
  AND(E6984="""", F6984&lt;&gt;""""), ""真實收入"",
  TRUE, ""其他""
)"),"其他")</f>
        <v>其他</v>
      </c>
      <c r="K6984" s="270" t="str">
        <f t="shared" si="2"/>
        <v/>
      </c>
      <c r="L6984">
        <f t="shared" si="3"/>
        <v>0</v>
      </c>
    </row>
    <row r="6985">
      <c r="A6985" s="107"/>
      <c r="D6985" s="270"/>
      <c r="H6985" s="106" t="str">
        <f t="shared" si="1"/>
        <v/>
      </c>
      <c r="J6985" t="str">
        <f>IFERROR(__xludf.DUMMYFUNCTION("IFS(
  AND(REGEXMATCH(E6985, ""台銀籌備帳戶|玉山帳戶""), REGEXMATCH(C6985, ""薪資"")), ""分潤支出"",
  AND(REGEXMATCH(E6985, ""Ben帳戶|Elsa帳戶|Ben代墊|Ariel代墊|中信銀行共用""), REGEXMATCH(F6985, ""Ben帳戶|Elsa帳戶|Ben代墊|Ariel代墊|中信銀行共用"")), ""內部轉帳(忽略)"",
  AND(E6985&lt;&gt;"""", F6985&lt;&gt;"""", N"&amp;"OT(REGEXMATCH(C6985, ""薪資""))), ""內部轉帳(忽略)"",
  REGEXMATCH(C6985, ""薪資""), ""薪資變動(不計入)"",
  REGEXMATCH(C6985, ""押金""), ""押金往來"",
  AND(E6985&lt;&gt;"""", F6985=""""), ""真實支出"",
  AND(E6985="""", F6985&lt;&gt;""""), ""真實收入"",
  TRUE, ""其他""
)"),"其他")</f>
        <v>其他</v>
      </c>
      <c r="K6985" s="270" t="str">
        <f t="shared" si="2"/>
        <v/>
      </c>
      <c r="L6985">
        <f t="shared" si="3"/>
        <v>0</v>
      </c>
    </row>
    <row r="6986">
      <c r="A6986" s="107"/>
      <c r="D6986" s="270"/>
      <c r="H6986" s="106" t="str">
        <f t="shared" si="1"/>
        <v/>
      </c>
      <c r="J6986" t="str">
        <f>IFERROR(__xludf.DUMMYFUNCTION("IFS(
  AND(REGEXMATCH(E6986, ""台銀籌備帳戶|玉山帳戶""), REGEXMATCH(C6986, ""薪資"")), ""分潤支出"",
  AND(REGEXMATCH(E6986, ""Ben帳戶|Elsa帳戶|Ben代墊|Ariel代墊|中信銀行共用""), REGEXMATCH(F6986, ""Ben帳戶|Elsa帳戶|Ben代墊|Ariel代墊|中信銀行共用"")), ""內部轉帳(忽略)"",
  AND(E6986&lt;&gt;"""", F6986&lt;&gt;"""", N"&amp;"OT(REGEXMATCH(C6986, ""薪資""))), ""內部轉帳(忽略)"",
  REGEXMATCH(C6986, ""薪資""), ""薪資變動(不計入)"",
  REGEXMATCH(C6986, ""押金""), ""押金往來"",
  AND(E6986&lt;&gt;"""", F6986=""""), ""真實支出"",
  AND(E6986="""", F6986&lt;&gt;""""), ""真實收入"",
  TRUE, ""其他""
)"),"其他")</f>
        <v>其他</v>
      </c>
      <c r="K6986" s="270" t="str">
        <f t="shared" si="2"/>
        <v/>
      </c>
      <c r="L6986">
        <f t="shared" si="3"/>
        <v>0</v>
      </c>
    </row>
    <row r="6987">
      <c r="A6987" s="107"/>
      <c r="D6987" s="270"/>
      <c r="H6987" s="106" t="str">
        <f t="shared" si="1"/>
        <v/>
      </c>
      <c r="J6987" t="str">
        <f>IFERROR(__xludf.DUMMYFUNCTION("IFS(
  AND(REGEXMATCH(E6987, ""台銀籌備帳戶|玉山帳戶""), REGEXMATCH(C6987, ""薪資"")), ""分潤支出"",
  AND(REGEXMATCH(E6987, ""Ben帳戶|Elsa帳戶|Ben代墊|Ariel代墊|中信銀行共用""), REGEXMATCH(F6987, ""Ben帳戶|Elsa帳戶|Ben代墊|Ariel代墊|中信銀行共用"")), ""內部轉帳(忽略)"",
  AND(E6987&lt;&gt;"""", F6987&lt;&gt;"""", N"&amp;"OT(REGEXMATCH(C6987, ""薪資""))), ""內部轉帳(忽略)"",
  REGEXMATCH(C6987, ""薪資""), ""薪資變動(不計入)"",
  REGEXMATCH(C6987, ""押金""), ""押金往來"",
  AND(E6987&lt;&gt;"""", F6987=""""), ""真實支出"",
  AND(E6987="""", F6987&lt;&gt;""""), ""真實收入"",
  TRUE, ""其他""
)"),"其他")</f>
        <v>其他</v>
      </c>
      <c r="K6987" s="270" t="str">
        <f t="shared" si="2"/>
        <v/>
      </c>
      <c r="L6987">
        <f t="shared" si="3"/>
        <v>0</v>
      </c>
    </row>
    <row r="6988">
      <c r="A6988" s="107"/>
      <c r="D6988" s="270"/>
      <c r="H6988" s="106" t="str">
        <f t="shared" si="1"/>
        <v/>
      </c>
      <c r="J6988" t="str">
        <f>IFERROR(__xludf.DUMMYFUNCTION("IFS(
  AND(REGEXMATCH(E6988, ""台銀籌備帳戶|玉山帳戶""), REGEXMATCH(C6988, ""薪資"")), ""分潤支出"",
  AND(REGEXMATCH(E6988, ""Ben帳戶|Elsa帳戶|Ben代墊|Ariel代墊|中信銀行共用""), REGEXMATCH(F6988, ""Ben帳戶|Elsa帳戶|Ben代墊|Ariel代墊|中信銀行共用"")), ""內部轉帳(忽略)"",
  AND(E6988&lt;&gt;"""", F6988&lt;&gt;"""", N"&amp;"OT(REGEXMATCH(C6988, ""薪資""))), ""內部轉帳(忽略)"",
  REGEXMATCH(C6988, ""薪資""), ""薪資變動(不計入)"",
  REGEXMATCH(C6988, ""押金""), ""押金往來"",
  AND(E6988&lt;&gt;"""", F6988=""""), ""真實支出"",
  AND(E6988="""", F6988&lt;&gt;""""), ""真實收入"",
  TRUE, ""其他""
)"),"其他")</f>
        <v>其他</v>
      </c>
      <c r="K6988" s="270" t="str">
        <f t="shared" si="2"/>
        <v/>
      </c>
      <c r="L6988">
        <f t="shared" si="3"/>
        <v>0</v>
      </c>
    </row>
    <row r="6989">
      <c r="A6989" s="107"/>
      <c r="D6989" s="270"/>
      <c r="H6989" s="106" t="str">
        <f t="shared" si="1"/>
        <v/>
      </c>
      <c r="J6989" t="str">
        <f>IFERROR(__xludf.DUMMYFUNCTION("IFS(
  AND(REGEXMATCH(E6989, ""台銀籌備帳戶|玉山帳戶""), REGEXMATCH(C6989, ""薪資"")), ""分潤支出"",
  AND(REGEXMATCH(E6989, ""Ben帳戶|Elsa帳戶|Ben代墊|Ariel代墊|中信銀行共用""), REGEXMATCH(F6989, ""Ben帳戶|Elsa帳戶|Ben代墊|Ariel代墊|中信銀行共用"")), ""內部轉帳(忽略)"",
  AND(E6989&lt;&gt;"""", F6989&lt;&gt;"""", N"&amp;"OT(REGEXMATCH(C6989, ""薪資""))), ""內部轉帳(忽略)"",
  REGEXMATCH(C6989, ""薪資""), ""薪資變動(不計入)"",
  REGEXMATCH(C6989, ""押金""), ""押金往來"",
  AND(E6989&lt;&gt;"""", F6989=""""), ""真實支出"",
  AND(E6989="""", F6989&lt;&gt;""""), ""真實收入"",
  TRUE, ""其他""
)"),"其他")</f>
        <v>其他</v>
      </c>
      <c r="K6989" s="270" t="str">
        <f t="shared" si="2"/>
        <v/>
      </c>
      <c r="L6989">
        <f t="shared" si="3"/>
        <v>0</v>
      </c>
    </row>
    <row r="6990">
      <c r="A6990" s="107"/>
      <c r="D6990" s="270"/>
      <c r="H6990" s="106" t="str">
        <f t="shared" si="1"/>
        <v/>
      </c>
      <c r="J6990" t="str">
        <f>IFERROR(__xludf.DUMMYFUNCTION("IFS(
  AND(REGEXMATCH(E6990, ""台銀籌備帳戶|玉山帳戶""), REGEXMATCH(C6990, ""薪資"")), ""分潤支出"",
  AND(REGEXMATCH(E6990, ""Ben帳戶|Elsa帳戶|Ben代墊|Ariel代墊|中信銀行共用""), REGEXMATCH(F6990, ""Ben帳戶|Elsa帳戶|Ben代墊|Ariel代墊|中信銀行共用"")), ""內部轉帳(忽略)"",
  AND(E6990&lt;&gt;"""", F6990&lt;&gt;"""", N"&amp;"OT(REGEXMATCH(C6990, ""薪資""))), ""內部轉帳(忽略)"",
  REGEXMATCH(C6990, ""薪資""), ""薪資變動(不計入)"",
  REGEXMATCH(C6990, ""押金""), ""押金往來"",
  AND(E6990&lt;&gt;"""", F6990=""""), ""真實支出"",
  AND(E6990="""", F6990&lt;&gt;""""), ""真實收入"",
  TRUE, ""其他""
)"),"其他")</f>
        <v>其他</v>
      </c>
      <c r="K6990" s="270" t="str">
        <f t="shared" si="2"/>
        <v/>
      </c>
      <c r="L6990">
        <f t="shared" si="3"/>
        <v>0</v>
      </c>
    </row>
    <row r="6991">
      <c r="A6991" s="107"/>
      <c r="D6991" s="270"/>
      <c r="H6991" s="106" t="str">
        <f t="shared" si="1"/>
        <v/>
      </c>
      <c r="J6991" t="str">
        <f>IFERROR(__xludf.DUMMYFUNCTION("IFS(
  AND(REGEXMATCH(E6991, ""台銀籌備帳戶|玉山帳戶""), REGEXMATCH(C6991, ""薪資"")), ""分潤支出"",
  AND(REGEXMATCH(E6991, ""Ben帳戶|Elsa帳戶|Ben代墊|Ariel代墊|中信銀行共用""), REGEXMATCH(F6991, ""Ben帳戶|Elsa帳戶|Ben代墊|Ariel代墊|中信銀行共用"")), ""內部轉帳(忽略)"",
  AND(E6991&lt;&gt;"""", F6991&lt;&gt;"""", N"&amp;"OT(REGEXMATCH(C6991, ""薪資""))), ""內部轉帳(忽略)"",
  REGEXMATCH(C6991, ""薪資""), ""薪資變動(不計入)"",
  REGEXMATCH(C6991, ""押金""), ""押金往來"",
  AND(E6991&lt;&gt;"""", F6991=""""), ""真實支出"",
  AND(E6991="""", F6991&lt;&gt;""""), ""真實收入"",
  TRUE, ""其他""
)"),"其他")</f>
        <v>其他</v>
      </c>
      <c r="K6991" s="270" t="str">
        <f t="shared" si="2"/>
        <v/>
      </c>
      <c r="L6991">
        <f t="shared" si="3"/>
        <v>0</v>
      </c>
    </row>
    <row r="6992">
      <c r="A6992" s="107"/>
      <c r="D6992" s="270"/>
      <c r="H6992" s="106" t="str">
        <f t="shared" si="1"/>
        <v/>
      </c>
      <c r="J6992" t="str">
        <f>IFERROR(__xludf.DUMMYFUNCTION("IFS(
  AND(REGEXMATCH(E6992, ""台銀籌備帳戶|玉山帳戶""), REGEXMATCH(C6992, ""薪資"")), ""分潤支出"",
  AND(REGEXMATCH(E6992, ""Ben帳戶|Elsa帳戶|Ben代墊|Ariel代墊|中信銀行共用""), REGEXMATCH(F6992, ""Ben帳戶|Elsa帳戶|Ben代墊|Ariel代墊|中信銀行共用"")), ""內部轉帳(忽略)"",
  AND(E6992&lt;&gt;"""", F6992&lt;&gt;"""", N"&amp;"OT(REGEXMATCH(C6992, ""薪資""))), ""內部轉帳(忽略)"",
  REGEXMATCH(C6992, ""薪資""), ""薪資變動(不計入)"",
  REGEXMATCH(C6992, ""押金""), ""押金往來"",
  AND(E6992&lt;&gt;"""", F6992=""""), ""真實支出"",
  AND(E6992="""", F6992&lt;&gt;""""), ""真實收入"",
  TRUE, ""其他""
)"),"其他")</f>
        <v>其他</v>
      </c>
      <c r="K6992" s="270" t="str">
        <f t="shared" si="2"/>
        <v/>
      </c>
      <c r="L6992">
        <f t="shared" si="3"/>
        <v>0</v>
      </c>
    </row>
    <row r="6993">
      <c r="A6993" s="107"/>
      <c r="D6993" s="270"/>
      <c r="H6993" s="106" t="str">
        <f t="shared" si="1"/>
        <v/>
      </c>
      <c r="J6993" t="str">
        <f>IFERROR(__xludf.DUMMYFUNCTION("IFS(
  AND(REGEXMATCH(E6993, ""台銀籌備帳戶|玉山帳戶""), REGEXMATCH(C6993, ""薪資"")), ""分潤支出"",
  AND(REGEXMATCH(E6993, ""Ben帳戶|Elsa帳戶|Ben代墊|Ariel代墊|中信銀行共用""), REGEXMATCH(F6993, ""Ben帳戶|Elsa帳戶|Ben代墊|Ariel代墊|中信銀行共用"")), ""內部轉帳(忽略)"",
  AND(E6993&lt;&gt;"""", F6993&lt;&gt;"""", N"&amp;"OT(REGEXMATCH(C6993, ""薪資""))), ""內部轉帳(忽略)"",
  REGEXMATCH(C6993, ""薪資""), ""薪資變動(不計入)"",
  REGEXMATCH(C6993, ""押金""), ""押金往來"",
  AND(E6993&lt;&gt;"""", F6993=""""), ""真實支出"",
  AND(E6993="""", F6993&lt;&gt;""""), ""真實收入"",
  TRUE, ""其他""
)"),"其他")</f>
        <v>其他</v>
      </c>
      <c r="K6993" s="270" t="str">
        <f t="shared" si="2"/>
        <v/>
      </c>
      <c r="L6993">
        <f t="shared" si="3"/>
        <v>0</v>
      </c>
    </row>
    <row r="6994">
      <c r="A6994" s="107"/>
      <c r="D6994" s="270"/>
      <c r="H6994" s="106" t="str">
        <f t="shared" si="1"/>
        <v/>
      </c>
      <c r="J6994" t="str">
        <f>IFERROR(__xludf.DUMMYFUNCTION("IFS(
  AND(REGEXMATCH(E6994, ""台銀籌備帳戶|玉山帳戶""), REGEXMATCH(C6994, ""薪資"")), ""分潤支出"",
  AND(REGEXMATCH(E6994, ""Ben帳戶|Elsa帳戶|Ben代墊|Ariel代墊|中信銀行共用""), REGEXMATCH(F6994, ""Ben帳戶|Elsa帳戶|Ben代墊|Ariel代墊|中信銀行共用"")), ""內部轉帳(忽略)"",
  AND(E6994&lt;&gt;"""", F6994&lt;&gt;"""", N"&amp;"OT(REGEXMATCH(C6994, ""薪資""))), ""內部轉帳(忽略)"",
  REGEXMATCH(C6994, ""薪資""), ""薪資變動(不計入)"",
  REGEXMATCH(C6994, ""押金""), ""押金往來"",
  AND(E6994&lt;&gt;"""", F6994=""""), ""真實支出"",
  AND(E6994="""", F6994&lt;&gt;""""), ""真實收入"",
  TRUE, ""其他""
)"),"其他")</f>
        <v>其他</v>
      </c>
      <c r="K6994" s="270" t="str">
        <f t="shared" si="2"/>
        <v/>
      </c>
      <c r="L6994">
        <f t="shared" si="3"/>
        <v>0</v>
      </c>
    </row>
    <row r="6995">
      <c r="A6995" s="107"/>
      <c r="D6995" s="270"/>
      <c r="H6995" s="106" t="str">
        <f t="shared" si="1"/>
        <v/>
      </c>
      <c r="J6995" t="str">
        <f>IFERROR(__xludf.DUMMYFUNCTION("IFS(
  AND(REGEXMATCH(E6995, ""台銀籌備帳戶|玉山帳戶""), REGEXMATCH(C6995, ""薪資"")), ""分潤支出"",
  AND(REGEXMATCH(E6995, ""Ben帳戶|Elsa帳戶|Ben代墊|Ariel代墊|中信銀行共用""), REGEXMATCH(F6995, ""Ben帳戶|Elsa帳戶|Ben代墊|Ariel代墊|中信銀行共用"")), ""內部轉帳(忽略)"",
  AND(E6995&lt;&gt;"""", F6995&lt;&gt;"""", N"&amp;"OT(REGEXMATCH(C6995, ""薪資""))), ""內部轉帳(忽略)"",
  REGEXMATCH(C6995, ""薪資""), ""薪資變動(不計入)"",
  REGEXMATCH(C6995, ""押金""), ""押金往來"",
  AND(E6995&lt;&gt;"""", F6995=""""), ""真實支出"",
  AND(E6995="""", F6995&lt;&gt;""""), ""真實收入"",
  TRUE, ""其他""
)"),"其他")</f>
        <v>其他</v>
      </c>
      <c r="K6995" s="270" t="str">
        <f t="shared" si="2"/>
        <v/>
      </c>
      <c r="L6995">
        <f t="shared" si="3"/>
        <v>0</v>
      </c>
    </row>
    <row r="6996">
      <c r="A6996" s="107"/>
      <c r="D6996" s="270"/>
      <c r="H6996" s="106" t="str">
        <f t="shared" si="1"/>
        <v/>
      </c>
      <c r="J6996" t="str">
        <f>IFERROR(__xludf.DUMMYFUNCTION("IFS(
  AND(REGEXMATCH(E6996, ""台銀籌備帳戶|玉山帳戶""), REGEXMATCH(C6996, ""薪資"")), ""分潤支出"",
  AND(REGEXMATCH(E6996, ""Ben帳戶|Elsa帳戶|Ben代墊|Ariel代墊|中信銀行共用""), REGEXMATCH(F6996, ""Ben帳戶|Elsa帳戶|Ben代墊|Ariel代墊|中信銀行共用"")), ""內部轉帳(忽略)"",
  AND(E6996&lt;&gt;"""", F6996&lt;&gt;"""", N"&amp;"OT(REGEXMATCH(C6996, ""薪資""))), ""內部轉帳(忽略)"",
  REGEXMATCH(C6996, ""薪資""), ""薪資變動(不計入)"",
  REGEXMATCH(C6996, ""押金""), ""押金往來"",
  AND(E6996&lt;&gt;"""", F6996=""""), ""真實支出"",
  AND(E6996="""", F6996&lt;&gt;""""), ""真實收入"",
  TRUE, ""其他""
)"),"其他")</f>
        <v>其他</v>
      </c>
      <c r="K6996" s="270" t="str">
        <f t="shared" si="2"/>
        <v/>
      </c>
      <c r="L6996">
        <f t="shared" si="3"/>
        <v>0</v>
      </c>
    </row>
    <row r="6997">
      <c r="A6997" s="107"/>
      <c r="D6997" s="270"/>
      <c r="H6997" s="106" t="str">
        <f t="shared" si="1"/>
        <v/>
      </c>
      <c r="J6997" t="str">
        <f>IFERROR(__xludf.DUMMYFUNCTION("IFS(
  AND(REGEXMATCH(E6997, ""台銀籌備帳戶|玉山帳戶""), REGEXMATCH(C6997, ""薪資"")), ""分潤支出"",
  AND(REGEXMATCH(E6997, ""Ben帳戶|Elsa帳戶|Ben代墊|Ariel代墊|中信銀行共用""), REGEXMATCH(F6997, ""Ben帳戶|Elsa帳戶|Ben代墊|Ariel代墊|中信銀行共用"")), ""內部轉帳(忽略)"",
  AND(E6997&lt;&gt;"""", F6997&lt;&gt;"""", N"&amp;"OT(REGEXMATCH(C6997, ""薪資""))), ""內部轉帳(忽略)"",
  REGEXMATCH(C6997, ""薪資""), ""薪資變動(不計入)"",
  REGEXMATCH(C6997, ""押金""), ""押金往來"",
  AND(E6997&lt;&gt;"""", F6997=""""), ""真實支出"",
  AND(E6997="""", F6997&lt;&gt;""""), ""真實收入"",
  TRUE, ""其他""
)"),"其他")</f>
        <v>其他</v>
      </c>
      <c r="K6997" s="270" t="str">
        <f t="shared" si="2"/>
        <v/>
      </c>
      <c r="L6997">
        <f t="shared" si="3"/>
        <v>0</v>
      </c>
    </row>
    <row r="6998">
      <c r="A6998" s="107"/>
      <c r="D6998" s="270"/>
      <c r="H6998" s="106" t="str">
        <f t="shared" si="1"/>
        <v/>
      </c>
      <c r="J6998" t="str">
        <f>IFERROR(__xludf.DUMMYFUNCTION("IFS(
  AND(REGEXMATCH(E6998, ""台銀籌備帳戶|玉山帳戶""), REGEXMATCH(C6998, ""薪資"")), ""分潤支出"",
  AND(REGEXMATCH(E6998, ""Ben帳戶|Elsa帳戶|Ben代墊|Ariel代墊|中信銀行共用""), REGEXMATCH(F6998, ""Ben帳戶|Elsa帳戶|Ben代墊|Ariel代墊|中信銀行共用"")), ""內部轉帳(忽略)"",
  AND(E6998&lt;&gt;"""", F6998&lt;&gt;"""", N"&amp;"OT(REGEXMATCH(C6998, ""薪資""))), ""內部轉帳(忽略)"",
  REGEXMATCH(C6998, ""薪資""), ""薪資變動(不計入)"",
  REGEXMATCH(C6998, ""押金""), ""押金往來"",
  AND(E6998&lt;&gt;"""", F6998=""""), ""真實支出"",
  AND(E6998="""", F6998&lt;&gt;""""), ""真實收入"",
  TRUE, ""其他""
)"),"其他")</f>
        <v>其他</v>
      </c>
      <c r="K6998" s="270" t="str">
        <f t="shared" si="2"/>
        <v/>
      </c>
      <c r="L6998">
        <f t="shared" si="3"/>
        <v>0</v>
      </c>
    </row>
    <row r="6999">
      <c r="A6999" s="107"/>
      <c r="D6999" s="270"/>
      <c r="H6999" s="106" t="str">
        <f t="shared" si="1"/>
        <v/>
      </c>
      <c r="J6999" t="str">
        <f>IFERROR(__xludf.DUMMYFUNCTION("IFS(
  AND(REGEXMATCH(E6999, ""台銀籌備帳戶|玉山帳戶""), REGEXMATCH(C6999, ""薪資"")), ""分潤支出"",
  AND(REGEXMATCH(E6999, ""Ben帳戶|Elsa帳戶|Ben代墊|Ariel代墊|中信銀行共用""), REGEXMATCH(F6999, ""Ben帳戶|Elsa帳戶|Ben代墊|Ariel代墊|中信銀行共用"")), ""內部轉帳(忽略)"",
  AND(E6999&lt;&gt;"""", F6999&lt;&gt;"""", N"&amp;"OT(REGEXMATCH(C6999, ""薪資""))), ""內部轉帳(忽略)"",
  REGEXMATCH(C6999, ""薪資""), ""薪資變動(不計入)"",
  REGEXMATCH(C6999, ""押金""), ""押金往來"",
  AND(E6999&lt;&gt;"""", F6999=""""), ""真實支出"",
  AND(E6999="""", F6999&lt;&gt;""""), ""真實收入"",
  TRUE, ""其他""
)"),"其他")</f>
        <v>其他</v>
      </c>
      <c r="K6999" s="270" t="str">
        <f t="shared" si="2"/>
        <v/>
      </c>
      <c r="L6999">
        <f t="shared" si="3"/>
        <v>0</v>
      </c>
    </row>
    <row r="7000">
      <c r="A7000" s="107"/>
      <c r="D7000" s="270"/>
      <c r="H7000" s="106" t="str">
        <f t="shared" si="1"/>
        <v/>
      </c>
      <c r="J7000" t="str">
        <f>IFERROR(__xludf.DUMMYFUNCTION("IFS(
  AND(REGEXMATCH(E7000, ""台銀籌備帳戶|玉山帳戶""), REGEXMATCH(C7000, ""薪資"")), ""分潤支出"",
  AND(REGEXMATCH(E7000, ""Ben帳戶|Elsa帳戶|Ben代墊|Ariel代墊|中信銀行共用""), REGEXMATCH(F7000, ""Ben帳戶|Elsa帳戶|Ben代墊|Ariel代墊|中信銀行共用"")), ""內部轉帳(忽略)"",
  AND(E7000&lt;&gt;"""", F7000&lt;&gt;"""", N"&amp;"OT(REGEXMATCH(C7000, ""薪資""))), ""內部轉帳(忽略)"",
  REGEXMATCH(C7000, ""薪資""), ""薪資變動(不計入)"",
  REGEXMATCH(C7000, ""押金""), ""押金往來"",
  AND(E7000&lt;&gt;"""", F7000=""""), ""真實支出"",
  AND(E7000="""", F7000&lt;&gt;""""), ""真實收入"",
  TRUE, ""其他""
)"),"其他")</f>
        <v>其他</v>
      </c>
      <c r="K7000" s="270" t="str">
        <f t="shared" si="2"/>
        <v/>
      </c>
      <c r="L7000">
        <f t="shared" si="3"/>
        <v>0</v>
      </c>
    </row>
    <row r="7001">
      <c r="A7001" s="107"/>
      <c r="D7001" s="270"/>
      <c r="H7001" s="106" t="str">
        <f t="shared" si="1"/>
        <v/>
      </c>
      <c r="J7001" t="str">
        <f>IFERROR(__xludf.DUMMYFUNCTION("IFS(
  AND(REGEXMATCH(E7001, ""台銀籌備帳戶|玉山帳戶""), REGEXMATCH(C7001, ""薪資"")), ""分潤支出"",
  AND(REGEXMATCH(E7001, ""Ben帳戶|Elsa帳戶|Ben代墊|Ariel代墊|中信銀行共用""), REGEXMATCH(F7001, ""Ben帳戶|Elsa帳戶|Ben代墊|Ariel代墊|中信銀行共用"")), ""內部轉帳(忽略)"",
  AND(E7001&lt;&gt;"""", F7001&lt;&gt;"""", N"&amp;"OT(REGEXMATCH(C7001, ""薪資""))), ""內部轉帳(忽略)"",
  REGEXMATCH(C7001, ""薪資""), ""薪資變動(不計入)"",
  REGEXMATCH(C7001, ""押金""), ""押金往來"",
  AND(E7001&lt;&gt;"""", F7001=""""), ""真實支出"",
  AND(E7001="""", F7001&lt;&gt;""""), ""真實收入"",
  TRUE, ""其他""
)"),"其他")</f>
        <v>其他</v>
      </c>
      <c r="K7001" s="270" t="str">
        <f t="shared" si="2"/>
        <v/>
      </c>
      <c r="L7001">
        <f t="shared" si="3"/>
        <v>0</v>
      </c>
    </row>
    <row r="7002">
      <c r="A7002" s="107"/>
      <c r="D7002" s="270"/>
      <c r="H7002" s="106" t="str">
        <f t="shared" si="1"/>
        <v/>
      </c>
      <c r="J7002" t="str">
        <f>IFERROR(__xludf.DUMMYFUNCTION("IFS(
  AND(REGEXMATCH(E7002, ""台銀籌備帳戶|玉山帳戶""), REGEXMATCH(C7002, ""薪資"")), ""分潤支出"",
  AND(REGEXMATCH(E7002, ""Ben帳戶|Elsa帳戶|Ben代墊|Ariel代墊|中信銀行共用""), REGEXMATCH(F7002, ""Ben帳戶|Elsa帳戶|Ben代墊|Ariel代墊|中信銀行共用"")), ""內部轉帳(忽略)"",
  AND(E7002&lt;&gt;"""", F7002&lt;&gt;"""", N"&amp;"OT(REGEXMATCH(C7002, ""薪資""))), ""內部轉帳(忽略)"",
  REGEXMATCH(C7002, ""薪資""), ""薪資變動(不計入)"",
  REGEXMATCH(C7002, ""押金""), ""押金往來"",
  AND(E7002&lt;&gt;"""", F7002=""""), ""真實支出"",
  AND(E7002="""", F7002&lt;&gt;""""), ""真實收入"",
  TRUE, ""其他""
)"),"其他")</f>
        <v>其他</v>
      </c>
      <c r="K7002" s="270" t="str">
        <f t="shared" si="2"/>
        <v/>
      </c>
      <c r="L7002">
        <f t="shared" si="3"/>
        <v>0</v>
      </c>
    </row>
    <row r="7003">
      <c r="A7003" s="107"/>
      <c r="D7003" s="270"/>
      <c r="H7003" s="106" t="str">
        <f t="shared" si="1"/>
        <v/>
      </c>
      <c r="J7003" t="str">
        <f>IFERROR(__xludf.DUMMYFUNCTION("IFS(
  AND(REGEXMATCH(E7003, ""台銀籌備帳戶|玉山帳戶""), REGEXMATCH(C7003, ""薪資"")), ""分潤支出"",
  AND(REGEXMATCH(E7003, ""Ben帳戶|Elsa帳戶|Ben代墊|Ariel代墊|中信銀行共用""), REGEXMATCH(F7003, ""Ben帳戶|Elsa帳戶|Ben代墊|Ariel代墊|中信銀行共用"")), ""內部轉帳(忽略)"",
  AND(E7003&lt;&gt;"""", F7003&lt;&gt;"""", N"&amp;"OT(REGEXMATCH(C7003, ""薪資""))), ""內部轉帳(忽略)"",
  REGEXMATCH(C7003, ""薪資""), ""薪資變動(不計入)"",
  REGEXMATCH(C7003, ""押金""), ""押金往來"",
  AND(E7003&lt;&gt;"""", F7003=""""), ""真實支出"",
  AND(E7003="""", F7003&lt;&gt;""""), ""真實收入"",
  TRUE, ""其他""
)"),"其他")</f>
        <v>其他</v>
      </c>
      <c r="K7003" s="270" t="str">
        <f t="shared" si="2"/>
        <v/>
      </c>
      <c r="L7003">
        <f t="shared" si="3"/>
        <v>0</v>
      </c>
    </row>
    <row r="7004">
      <c r="A7004" s="107"/>
      <c r="D7004" s="270"/>
      <c r="H7004" s="106" t="str">
        <f t="shared" si="1"/>
        <v/>
      </c>
      <c r="J7004" t="str">
        <f>IFERROR(__xludf.DUMMYFUNCTION("IFS(
  AND(REGEXMATCH(E7004, ""台銀籌備帳戶|玉山帳戶""), REGEXMATCH(C7004, ""薪資"")), ""分潤支出"",
  AND(REGEXMATCH(E7004, ""Ben帳戶|Elsa帳戶|Ben代墊|Ariel代墊|中信銀行共用""), REGEXMATCH(F7004, ""Ben帳戶|Elsa帳戶|Ben代墊|Ariel代墊|中信銀行共用"")), ""內部轉帳(忽略)"",
  AND(E7004&lt;&gt;"""", F7004&lt;&gt;"""", N"&amp;"OT(REGEXMATCH(C7004, ""薪資""))), ""內部轉帳(忽略)"",
  REGEXMATCH(C7004, ""薪資""), ""薪資變動(不計入)"",
  REGEXMATCH(C7004, ""押金""), ""押金往來"",
  AND(E7004&lt;&gt;"""", F7004=""""), ""真實支出"",
  AND(E7004="""", F7004&lt;&gt;""""), ""真實收入"",
  TRUE, ""其他""
)"),"其他")</f>
        <v>其他</v>
      </c>
      <c r="K7004" s="270" t="str">
        <f t="shared" si="2"/>
        <v/>
      </c>
      <c r="L7004">
        <f t="shared" si="3"/>
        <v>0</v>
      </c>
    </row>
    <row r="7005">
      <c r="A7005" s="107"/>
      <c r="D7005" s="270"/>
      <c r="H7005" s="106" t="str">
        <f t="shared" si="1"/>
        <v/>
      </c>
      <c r="J7005" t="str">
        <f>IFERROR(__xludf.DUMMYFUNCTION("IFS(
  AND(REGEXMATCH(E7005, ""台銀籌備帳戶|玉山帳戶""), REGEXMATCH(C7005, ""薪資"")), ""分潤支出"",
  AND(REGEXMATCH(E7005, ""Ben帳戶|Elsa帳戶|Ben代墊|Ariel代墊|中信銀行共用""), REGEXMATCH(F7005, ""Ben帳戶|Elsa帳戶|Ben代墊|Ariel代墊|中信銀行共用"")), ""內部轉帳(忽略)"",
  AND(E7005&lt;&gt;"""", F7005&lt;&gt;"""", N"&amp;"OT(REGEXMATCH(C7005, ""薪資""))), ""內部轉帳(忽略)"",
  REGEXMATCH(C7005, ""薪資""), ""薪資變動(不計入)"",
  REGEXMATCH(C7005, ""押金""), ""押金往來"",
  AND(E7005&lt;&gt;"""", F7005=""""), ""真實支出"",
  AND(E7005="""", F7005&lt;&gt;""""), ""真實收入"",
  TRUE, ""其他""
)"),"其他")</f>
        <v>其他</v>
      </c>
      <c r="K7005" s="270" t="str">
        <f t="shared" si="2"/>
        <v/>
      </c>
      <c r="L7005">
        <f t="shared" si="3"/>
        <v>0</v>
      </c>
    </row>
    <row r="7006">
      <c r="A7006" s="107"/>
      <c r="D7006" s="270"/>
      <c r="H7006" s="106" t="str">
        <f t="shared" si="1"/>
        <v/>
      </c>
      <c r="J7006" t="str">
        <f>IFERROR(__xludf.DUMMYFUNCTION("IFS(
  AND(REGEXMATCH(E7006, ""台銀籌備帳戶|玉山帳戶""), REGEXMATCH(C7006, ""薪資"")), ""分潤支出"",
  AND(REGEXMATCH(E7006, ""Ben帳戶|Elsa帳戶|Ben代墊|Ariel代墊|中信銀行共用""), REGEXMATCH(F7006, ""Ben帳戶|Elsa帳戶|Ben代墊|Ariel代墊|中信銀行共用"")), ""內部轉帳(忽略)"",
  AND(E7006&lt;&gt;"""", F7006&lt;&gt;"""", N"&amp;"OT(REGEXMATCH(C7006, ""薪資""))), ""內部轉帳(忽略)"",
  REGEXMATCH(C7006, ""薪資""), ""薪資變動(不計入)"",
  REGEXMATCH(C7006, ""押金""), ""押金往來"",
  AND(E7006&lt;&gt;"""", F7006=""""), ""真實支出"",
  AND(E7006="""", F7006&lt;&gt;""""), ""真實收入"",
  TRUE, ""其他""
)"),"其他")</f>
        <v>其他</v>
      </c>
      <c r="K7006" s="270" t="str">
        <f t="shared" si="2"/>
        <v/>
      </c>
      <c r="L7006">
        <f t="shared" si="3"/>
        <v>0</v>
      </c>
    </row>
    <row r="7007">
      <c r="A7007" s="107"/>
      <c r="D7007" s="270"/>
      <c r="H7007" s="106" t="str">
        <f t="shared" si="1"/>
        <v/>
      </c>
      <c r="J7007" t="str">
        <f>IFERROR(__xludf.DUMMYFUNCTION("IFS(
  AND(REGEXMATCH(E7007, ""台銀籌備帳戶|玉山帳戶""), REGEXMATCH(C7007, ""薪資"")), ""分潤支出"",
  AND(REGEXMATCH(E7007, ""Ben帳戶|Elsa帳戶|Ben代墊|Ariel代墊|中信銀行共用""), REGEXMATCH(F7007, ""Ben帳戶|Elsa帳戶|Ben代墊|Ariel代墊|中信銀行共用"")), ""內部轉帳(忽略)"",
  AND(E7007&lt;&gt;"""", F7007&lt;&gt;"""", N"&amp;"OT(REGEXMATCH(C7007, ""薪資""))), ""內部轉帳(忽略)"",
  REGEXMATCH(C7007, ""薪資""), ""薪資變動(不計入)"",
  REGEXMATCH(C7007, ""押金""), ""押金往來"",
  AND(E7007&lt;&gt;"""", F7007=""""), ""真實支出"",
  AND(E7007="""", F7007&lt;&gt;""""), ""真實收入"",
  TRUE, ""其他""
)"),"其他")</f>
        <v>其他</v>
      </c>
      <c r="K7007" s="270" t="str">
        <f t="shared" si="2"/>
        <v/>
      </c>
      <c r="L7007">
        <f t="shared" si="3"/>
        <v>0</v>
      </c>
    </row>
    <row r="7008">
      <c r="A7008" s="107"/>
      <c r="D7008" s="270"/>
      <c r="H7008" s="106" t="str">
        <f t="shared" si="1"/>
        <v/>
      </c>
      <c r="J7008" t="str">
        <f>IFERROR(__xludf.DUMMYFUNCTION("IFS(
  AND(REGEXMATCH(E7008, ""台銀籌備帳戶|玉山帳戶""), REGEXMATCH(C7008, ""薪資"")), ""分潤支出"",
  AND(REGEXMATCH(E7008, ""Ben帳戶|Elsa帳戶|Ben代墊|Ariel代墊|中信銀行共用""), REGEXMATCH(F7008, ""Ben帳戶|Elsa帳戶|Ben代墊|Ariel代墊|中信銀行共用"")), ""內部轉帳(忽略)"",
  AND(E7008&lt;&gt;"""", F7008&lt;&gt;"""", N"&amp;"OT(REGEXMATCH(C7008, ""薪資""))), ""內部轉帳(忽略)"",
  REGEXMATCH(C7008, ""薪資""), ""薪資變動(不計入)"",
  REGEXMATCH(C7008, ""押金""), ""押金往來"",
  AND(E7008&lt;&gt;"""", F7008=""""), ""真實支出"",
  AND(E7008="""", F7008&lt;&gt;""""), ""真實收入"",
  TRUE, ""其他""
)"),"其他")</f>
        <v>其他</v>
      </c>
      <c r="K7008" s="270" t="str">
        <f t="shared" si="2"/>
        <v/>
      </c>
      <c r="L7008">
        <f t="shared" si="3"/>
        <v>0</v>
      </c>
    </row>
    <row r="7009">
      <c r="A7009" s="107"/>
      <c r="D7009" s="270"/>
      <c r="H7009" s="106" t="str">
        <f t="shared" si="1"/>
        <v/>
      </c>
      <c r="J7009" t="str">
        <f>IFERROR(__xludf.DUMMYFUNCTION("IFS(
  AND(REGEXMATCH(E7009, ""台銀籌備帳戶|玉山帳戶""), REGEXMATCH(C7009, ""薪資"")), ""分潤支出"",
  AND(REGEXMATCH(E7009, ""Ben帳戶|Elsa帳戶|Ben代墊|Ariel代墊|中信銀行共用""), REGEXMATCH(F7009, ""Ben帳戶|Elsa帳戶|Ben代墊|Ariel代墊|中信銀行共用"")), ""內部轉帳(忽略)"",
  AND(E7009&lt;&gt;"""", F7009&lt;&gt;"""", N"&amp;"OT(REGEXMATCH(C7009, ""薪資""))), ""內部轉帳(忽略)"",
  REGEXMATCH(C7009, ""薪資""), ""薪資變動(不計入)"",
  REGEXMATCH(C7009, ""押金""), ""押金往來"",
  AND(E7009&lt;&gt;"""", F7009=""""), ""真實支出"",
  AND(E7009="""", F7009&lt;&gt;""""), ""真實收入"",
  TRUE, ""其他""
)"),"其他")</f>
        <v>其他</v>
      </c>
      <c r="K7009" s="270" t="str">
        <f t="shared" si="2"/>
        <v/>
      </c>
      <c r="L7009">
        <f t="shared" si="3"/>
        <v>0</v>
      </c>
    </row>
    <row r="7010">
      <c r="A7010" s="107"/>
      <c r="D7010" s="270"/>
      <c r="H7010" s="106" t="str">
        <f t="shared" si="1"/>
        <v/>
      </c>
      <c r="J7010" t="str">
        <f>IFERROR(__xludf.DUMMYFUNCTION("IFS(
  AND(REGEXMATCH(E7010, ""台銀籌備帳戶|玉山帳戶""), REGEXMATCH(C7010, ""薪資"")), ""分潤支出"",
  AND(REGEXMATCH(E7010, ""Ben帳戶|Elsa帳戶|Ben代墊|Ariel代墊|中信銀行共用""), REGEXMATCH(F7010, ""Ben帳戶|Elsa帳戶|Ben代墊|Ariel代墊|中信銀行共用"")), ""內部轉帳(忽略)"",
  AND(E7010&lt;&gt;"""", F7010&lt;&gt;"""", N"&amp;"OT(REGEXMATCH(C7010, ""薪資""))), ""內部轉帳(忽略)"",
  REGEXMATCH(C7010, ""薪資""), ""薪資變動(不計入)"",
  REGEXMATCH(C7010, ""押金""), ""押金往來"",
  AND(E7010&lt;&gt;"""", F7010=""""), ""真實支出"",
  AND(E7010="""", F7010&lt;&gt;""""), ""真實收入"",
  TRUE, ""其他""
)"),"其他")</f>
        <v>其他</v>
      </c>
      <c r="K7010" s="270" t="str">
        <f t="shared" si="2"/>
        <v/>
      </c>
      <c r="L7010">
        <f t="shared" si="3"/>
        <v>0</v>
      </c>
    </row>
    <row r="7011">
      <c r="A7011" s="107"/>
      <c r="D7011" s="270"/>
      <c r="H7011" s="106" t="str">
        <f t="shared" si="1"/>
        <v/>
      </c>
      <c r="J7011" t="str">
        <f>IFERROR(__xludf.DUMMYFUNCTION("IFS(
  AND(REGEXMATCH(E7011, ""台銀籌備帳戶|玉山帳戶""), REGEXMATCH(C7011, ""薪資"")), ""分潤支出"",
  AND(REGEXMATCH(E7011, ""Ben帳戶|Elsa帳戶|Ben代墊|Ariel代墊|中信銀行共用""), REGEXMATCH(F7011, ""Ben帳戶|Elsa帳戶|Ben代墊|Ariel代墊|中信銀行共用"")), ""內部轉帳(忽略)"",
  AND(E7011&lt;&gt;"""", F7011&lt;&gt;"""", N"&amp;"OT(REGEXMATCH(C7011, ""薪資""))), ""內部轉帳(忽略)"",
  REGEXMATCH(C7011, ""薪資""), ""薪資變動(不計入)"",
  REGEXMATCH(C7011, ""押金""), ""押金往來"",
  AND(E7011&lt;&gt;"""", F7011=""""), ""真實支出"",
  AND(E7011="""", F7011&lt;&gt;""""), ""真實收入"",
  TRUE, ""其他""
)"),"其他")</f>
        <v>其他</v>
      </c>
      <c r="K7011" s="270" t="str">
        <f t="shared" si="2"/>
        <v/>
      </c>
      <c r="L7011">
        <f t="shared" si="3"/>
        <v>0</v>
      </c>
    </row>
    <row r="7012">
      <c r="A7012" s="107"/>
      <c r="D7012" s="270"/>
      <c r="H7012" s="106" t="str">
        <f t="shared" si="1"/>
        <v/>
      </c>
      <c r="J7012" t="str">
        <f>IFERROR(__xludf.DUMMYFUNCTION("IFS(
  AND(REGEXMATCH(E7012, ""台銀籌備帳戶|玉山帳戶""), REGEXMATCH(C7012, ""薪資"")), ""分潤支出"",
  AND(REGEXMATCH(E7012, ""Ben帳戶|Elsa帳戶|Ben代墊|Ariel代墊|中信銀行共用""), REGEXMATCH(F7012, ""Ben帳戶|Elsa帳戶|Ben代墊|Ariel代墊|中信銀行共用"")), ""內部轉帳(忽略)"",
  AND(E7012&lt;&gt;"""", F7012&lt;&gt;"""", N"&amp;"OT(REGEXMATCH(C7012, ""薪資""))), ""內部轉帳(忽略)"",
  REGEXMATCH(C7012, ""薪資""), ""薪資變動(不計入)"",
  REGEXMATCH(C7012, ""押金""), ""押金往來"",
  AND(E7012&lt;&gt;"""", F7012=""""), ""真實支出"",
  AND(E7012="""", F7012&lt;&gt;""""), ""真實收入"",
  TRUE, ""其他""
)"),"其他")</f>
        <v>其他</v>
      </c>
      <c r="K7012" s="270" t="str">
        <f t="shared" si="2"/>
        <v/>
      </c>
      <c r="L7012">
        <f t="shared" si="3"/>
        <v>0</v>
      </c>
    </row>
    <row r="7013">
      <c r="A7013" s="107"/>
      <c r="D7013" s="270"/>
      <c r="H7013" s="106" t="str">
        <f t="shared" si="1"/>
        <v/>
      </c>
      <c r="J7013" t="str">
        <f>IFERROR(__xludf.DUMMYFUNCTION("IFS(
  AND(REGEXMATCH(E7013, ""台銀籌備帳戶|玉山帳戶""), REGEXMATCH(C7013, ""薪資"")), ""分潤支出"",
  AND(REGEXMATCH(E7013, ""Ben帳戶|Elsa帳戶|Ben代墊|Ariel代墊|中信銀行共用""), REGEXMATCH(F7013, ""Ben帳戶|Elsa帳戶|Ben代墊|Ariel代墊|中信銀行共用"")), ""內部轉帳(忽略)"",
  AND(E7013&lt;&gt;"""", F7013&lt;&gt;"""", N"&amp;"OT(REGEXMATCH(C7013, ""薪資""))), ""內部轉帳(忽略)"",
  REGEXMATCH(C7013, ""薪資""), ""薪資變動(不計入)"",
  REGEXMATCH(C7013, ""押金""), ""押金往來"",
  AND(E7013&lt;&gt;"""", F7013=""""), ""真實支出"",
  AND(E7013="""", F7013&lt;&gt;""""), ""真實收入"",
  TRUE, ""其他""
)"),"其他")</f>
        <v>其他</v>
      </c>
      <c r="K7013" s="270" t="str">
        <f t="shared" si="2"/>
        <v/>
      </c>
      <c r="L7013">
        <f t="shared" si="3"/>
        <v>0</v>
      </c>
    </row>
    <row r="7014">
      <c r="A7014" s="107"/>
      <c r="D7014" s="270"/>
      <c r="H7014" s="106" t="str">
        <f t="shared" si="1"/>
        <v/>
      </c>
      <c r="J7014" t="str">
        <f>IFERROR(__xludf.DUMMYFUNCTION("IFS(
  AND(REGEXMATCH(E7014, ""台銀籌備帳戶|玉山帳戶""), REGEXMATCH(C7014, ""薪資"")), ""分潤支出"",
  AND(REGEXMATCH(E7014, ""Ben帳戶|Elsa帳戶|Ben代墊|Ariel代墊|中信銀行共用""), REGEXMATCH(F7014, ""Ben帳戶|Elsa帳戶|Ben代墊|Ariel代墊|中信銀行共用"")), ""內部轉帳(忽略)"",
  AND(E7014&lt;&gt;"""", F7014&lt;&gt;"""", N"&amp;"OT(REGEXMATCH(C7014, ""薪資""))), ""內部轉帳(忽略)"",
  REGEXMATCH(C7014, ""薪資""), ""薪資變動(不計入)"",
  REGEXMATCH(C7014, ""押金""), ""押金往來"",
  AND(E7014&lt;&gt;"""", F7014=""""), ""真實支出"",
  AND(E7014="""", F7014&lt;&gt;""""), ""真實收入"",
  TRUE, ""其他""
)"),"其他")</f>
        <v>其他</v>
      </c>
      <c r="K7014" s="270" t="str">
        <f t="shared" si="2"/>
        <v/>
      </c>
      <c r="L7014">
        <f t="shared" si="3"/>
        <v>0</v>
      </c>
    </row>
    <row r="7015">
      <c r="A7015" s="107"/>
      <c r="D7015" s="270"/>
      <c r="H7015" s="106" t="str">
        <f t="shared" si="1"/>
        <v/>
      </c>
      <c r="J7015" t="str">
        <f>IFERROR(__xludf.DUMMYFUNCTION("IFS(
  AND(REGEXMATCH(E7015, ""台銀籌備帳戶|玉山帳戶""), REGEXMATCH(C7015, ""薪資"")), ""分潤支出"",
  AND(REGEXMATCH(E7015, ""Ben帳戶|Elsa帳戶|Ben代墊|Ariel代墊|中信銀行共用""), REGEXMATCH(F7015, ""Ben帳戶|Elsa帳戶|Ben代墊|Ariel代墊|中信銀行共用"")), ""內部轉帳(忽略)"",
  AND(E7015&lt;&gt;"""", F7015&lt;&gt;"""", N"&amp;"OT(REGEXMATCH(C7015, ""薪資""))), ""內部轉帳(忽略)"",
  REGEXMATCH(C7015, ""薪資""), ""薪資變動(不計入)"",
  REGEXMATCH(C7015, ""押金""), ""押金往來"",
  AND(E7015&lt;&gt;"""", F7015=""""), ""真實支出"",
  AND(E7015="""", F7015&lt;&gt;""""), ""真實收入"",
  TRUE, ""其他""
)"),"其他")</f>
        <v>其他</v>
      </c>
      <c r="K7015" s="270" t="str">
        <f t="shared" si="2"/>
        <v/>
      </c>
      <c r="L7015">
        <f t="shared" si="3"/>
        <v>0</v>
      </c>
    </row>
    <row r="7016">
      <c r="A7016" s="107"/>
      <c r="D7016" s="270"/>
      <c r="H7016" s="106" t="str">
        <f t="shared" si="1"/>
        <v/>
      </c>
      <c r="J7016" t="str">
        <f>IFERROR(__xludf.DUMMYFUNCTION("IFS(
  AND(REGEXMATCH(E7016, ""台銀籌備帳戶|玉山帳戶""), REGEXMATCH(C7016, ""薪資"")), ""分潤支出"",
  AND(REGEXMATCH(E7016, ""Ben帳戶|Elsa帳戶|Ben代墊|Ariel代墊|中信銀行共用""), REGEXMATCH(F7016, ""Ben帳戶|Elsa帳戶|Ben代墊|Ariel代墊|中信銀行共用"")), ""內部轉帳(忽略)"",
  AND(E7016&lt;&gt;"""", F7016&lt;&gt;"""", N"&amp;"OT(REGEXMATCH(C7016, ""薪資""))), ""內部轉帳(忽略)"",
  REGEXMATCH(C7016, ""薪資""), ""薪資變動(不計入)"",
  REGEXMATCH(C7016, ""押金""), ""押金往來"",
  AND(E7016&lt;&gt;"""", F7016=""""), ""真實支出"",
  AND(E7016="""", F7016&lt;&gt;""""), ""真實收入"",
  TRUE, ""其他""
)"),"其他")</f>
        <v>其他</v>
      </c>
      <c r="K7016" s="270" t="str">
        <f t="shared" si="2"/>
        <v/>
      </c>
      <c r="L7016">
        <f t="shared" si="3"/>
        <v>0</v>
      </c>
    </row>
    <row r="7017">
      <c r="A7017" s="107"/>
      <c r="D7017" s="270"/>
      <c r="H7017" s="106" t="str">
        <f t="shared" si="1"/>
        <v/>
      </c>
      <c r="J7017" t="str">
        <f>IFERROR(__xludf.DUMMYFUNCTION("IFS(
  AND(REGEXMATCH(E7017, ""台銀籌備帳戶|玉山帳戶""), REGEXMATCH(C7017, ""薪資"")), ""分潤支出"",
  AND(REGEXMATCH(E7017, ""Ben帳戶|Elsa帳戶|Ben代墊|Ariel代墊|中信銀行共用""), REGEXMATCH(F7017, ""Ben帳戶|Elsa帳戶|Ben代墊|Ariel代墊|中信銀行共用"")), ""內部轉帳(忽略)"",
  AND(E7017&lt;&gt;"""", F7017&lt;&gt;"""", N"&amp;"OT(REGEXMATCH(C7017, ""薪資""))), ""內部轉帳(忽略)"",
  REGEXMATCH(C7017, ""薪資""), ""薪資變動(不計入)"",
  REGEXMATCH(C7017, ""押金""), ""押金往來"",
  AND(E7017&lt;&gt;"""", F7017=""""), ""真實支出"",
  AND(E7017="""", F7017&lt;&gt;""""), ""真實收入"",
  TRUE, ""其他""
)"),"其他")</f>
        <v>其他</v>
      </c>
      <c r="K7017" s="270" t="str">
        <f t="shared" si="2"/>
        <v/>
      </c>
      <c r="L7017">
        <f t="shared" si="3"/>
        <v>0</v>
      </c>
    </row>
    <row r="7018">
      <c r="A7018" s="107"/>
      <c r="D7018" s="270"/>
      <c r="H7018" s="106" t="str">
        <f t="shared" si="1"/>
        <v/>
      </c>
      <c r="J7018" t="str">
        <f>IFERROR(__xludf.DUMMYFUNCTION("IFS(
  AND(REGEXMATCH(E7018, ""台銀籌備帳戶|玉山帳戶""), REGEXMATCH(C7018, ""薪資"")), ""分潤支出"",
  AND(REGEXMATCH(E7018, ""Ben帳戶|Elsa帳戶|Ben代墊|Ariel代墊|中信銀行共用""), REGEXMATCH(F7018, ""Ben帳戶|Elsa帳戶|Ben代墊|Ariel代墊|中信銀行共用"")), ""內部轉帳(忽略)"",
  AND(E7018&lt;&gt;"""", F7018&lt;&gt;"""", N"&amp;"OT(REGEXMATCH(C7018, ""薪資""))), ""內部轉帳(忽略)"",
  REGEXMATCH(C7018, ""薪資""), ""薪資變動(不計入)"",
  REGEXMATCH(C7018, ""押金""), ""押金往來"",
  AND(E7018&lt;&gt;"""", F7018=""""), ""真實支出"",
  AND(E7018="""", F7018&lt;&gt;""""), ""真實收入"",
  TRUE, ""其他""
)"),"其他")</f>
        <v>其他</v>
      </c>
      <c r="K7018" s="270" t="str">
        <f t="shared" si="2"/>
        <v/>
      </c>
      <c r="L7018">
        <f t="shared" si="3"/>
        <v>0</v>
      </c>
    </row>
    <row r="7019">
      <c r="A7019" s="107"/>
      <c r="D7019" s="270"/>
      <c r="H7019" s="106" t="str">
        <f t="shared" si="1"/>
        <v/>
      </c>
      <c r="J7019" t="str">
        <f>IFERROR(__xludf.DUMMYFUNCTION("IFS(
  AND(REGEXMATCH(E7019, ""台銀籌備帳戶|玉山帳戶""), REGEXMATCH(C7019, ""薪資"")), ""分潤支出"",
  AND(REGEXMATCH(E7019, ""Ben帳戶|Elsa帳戶|Ben代墊|Ariel代墊|中信銀行共用""), REGEXMATCH(F7019, ""Ben帳戶|Elsa帳戶|Ben代墊|Ariel代墊|中信銀行共用"")), ""內部轉帳(忽略)"",
  AND(E7019&lt;&gt;"""", F7019&lt;&gt;"""", N"&amp;"OT(REGEXMATCH(C7019, ""薪資""))), ""內部轉帳(忽略)"",
  REGEXMATCH(C7019, ""薪資""), ""薪資變動(不計入)"",
  REGEXMATCH(C7019, ""押金""), ""押金往來"",
  AND(E7019&lt;&gt;"""", F7019=""""), ""真實支出"",
  AND(E7019="""", F7019&lt;&gt;""""), ""真實收入"",
  TRUE, ""其他""
)"),"其他")</f>
        <v>其他</v>
      </c>
      <c r="K7019" s="270" t="str">
        <f t="shared" si="2"/>
        <v/>
      </c>
      <c r="L7019">
        <f t="shared" si="3"/>
        <v>0</v>
      </c>
    </row>
    <row r="7020">
      <c r="A7020" s="107"/>
      <c r="D7020" s="270"/>
      <c r="H7020" s="106" t="str">
        <f t="shared" si="1"/>
        <v/>
      </c>
      <c r="J7020" t="str">
        <f>IFERROR(__xludf.DUMMYFUNCTION("IFS(
  AND(REGEXMATCH(E7020, ""台銀籌備帳戶|玉山帳戶""), REGEXMATCH(C7020, ""薪資"")), ""分潤支出"",
  AND(REGEXMATCH(E7020, ""Ben帳戶|Elsa帳戶|Ben代墊|Ariel代墊|中信銀行共用""), REGEXMATCH(F7020, ""Ben帳戶|Elsa帳戶|Ben代墊|Ariel代墊|中信銀行共用"")), ""內部轉帳(忽略)"",
  AND(E7020&lt;&gt;"""", F7020&lt;&gt;"""", N"&amp;"OT(REGEXMATCH(C7020, ""薪資""))), ""內部轉帳(忽略)"",
  REGEXMATCH(C7020, ""薪資""), ""薪資變動(不計入)"",
  REGEXMATCH(C7020, ""押金""), ""押金往來"",
  AND(E7020&lt;&gt;"""", F7020=""""), ""真實支出"",
  AND(E7020="""", F7020&lt;&gt;""""), ""真實收入"",
  TRUE, ""其他""
)"),"其他")</f>
        <v>其他</v>
      </c>
      <c r="K7020" s="270" t="str">
        <f t="shared" si="2"/>
        <v/>
      </c>
      <c r="L7020">
        <f t="shared" si="3"/>
        <v>0</v>
      </c>
    </row>
    <row r="7021">
      <c r="A7021" s="107"/>
      <c r="D7021" s="270"/>
      <c r="H7021" s="106" t="str">
        <f t="shared" si="1"/>
        <v/>
      </c>
      <c r="J7021" t="str">
        <f>IFERROR(__xludf.DUMMYFUNCTION("IFS(
  AND(REGEXMATCH(E7021, ""台銀籌備帳戶|玉山帳戶""), REGEXMATCH(C7021, ""薪資"")), ""分潤支出"",
  AND(REGEXMATCH(E7021, ""Ben帳戶|Elsa帳戶|Ben代墊|Ariel代墊|中信銀行共用""), REGEXMATCH(F7021, ""Ben帳戶|Elsa帳戶|Ben代墊|Ariel代墊|中信銀行共用"")), ""內部轉帳(忽略)"",
  AND(E7021&lt;&gt;"""", F7021&lt;&gt;"""", N"&amp;"OT(REGEXMATCH(C7021, ""薪資""))), ""內部轉帳(忽略)"",
  REGEXMATCH(C7021, ""薪資""), ""薪資變動(不計入)"",
  REGEXMATCH(C7021, ""押金""), ""押金往來"",
  AND(E7021&lt;&gt;"""", F7021=""""), ""真實支出"",
  AND(E7021="""", F7021&lt;&gt;""""), ""真實收入"",
  TRUE, ""其他""
)"),"其他")</f>
        <v>其他</v>
      </c>
      <c r="K7021" s="270" t="str">
        <f t="shared" si="2"/>
        <v/>
      </c>
      <c r="L7021">
        <f t="shared" si="3"/>
        <v>0</v>
      </c>
    </row>
    <row r="7022">
      <c r="A7022" s="107"/>
      <c r="D7022" s="270"/>
      <c r="H7022" s="106" t="str">
        <f t="shared" si="1"/>
        <v/>
      </c>
      <c r="J7022" t="str">
        <f>IFERROR(__xludf.DUMMYFUNCTION("IFS(
  AND(REGEXMATCH(E7022, ""台銀籌備帳戶|玉山帳戶""), REGEXMATCH(C7022, ""薪資"")), ""分潤支出"",
  AND(REGEXMATCH(E7022, ""Ben帳戶|Elsa帳戶|Ben代墊|Ariel代墊|中信銀行共用""), REGEXMATCH(F7022, ""Ben帳戶|Elsa帳戶|Ben代墊|Ariel代墊|中信銀行共用"")), ""內部轉帳(忽略)"",
  AND(E7022&lt;&gt;"""", F7022&lt;&gt;"""", N"&amp;"OT(REGEXMATCH(C7022, ""薪資""))), ""內部轉帳(忽略)"",
  REGEXMATCH(C7022, ""薪資""), ""薪資變動(不計入)"",
  REGEXMATCH(C7022, ""押金""), ""押金往來"",
  AND(E7022&lt;&gt;"""", F7022=""""), ""真實支出"",
  AND(E7022="""", F7022&lt;&gt;""""), ""真實收入"",
  TRUE, ""其他""
)"),"其他")</f>
        <v>其他</v>
      </c>
      <c r="K7022" s="270" t="str">
        <f t="shared" si="2"/>
        <v/>
      </c>
      <c r="L7022">
        <f t="shared" si="3"/>
        <v>0</v>
      </c>
    </row>
    <row r="7023">
      <c r="A7023" s="107"/>
      <c r="D7023" s="270"/>
      <c r="H7023" s="106" t="str">
        <f t="shared" si="1"/>
        <v/>
      </c>
      <c r="J7023" t="str">
        <f>IFERROR(__xludf.DUMMYFUNCTION("IFS(
  AND(REGEXMATCH(E7023, ""台銀籌備帳戶|玉山帳戶""), REGEXMATCH(C7023, ""薪資"")), ""分潤支出"",
  AND(REGEXMATCH(E7023, ""Ben帳戶|Elsa帳戶|Ben代墊|Ariel代墊|中信銀行共用""), REGEXMATCH(F7023, ""Ben帳戶|Elsa帳戶|Ben代墊|Ariel代墊|中信銀行共用"")), ""內部轉帳(忽略)"",
  AND(E7023&lt;&gt;"""", F7023&lt;&gt;"""", N"&amp;"OT(REGEXMATCH(C7023, ""薪資""))), ""內部轉帳(忽略)"",
  REGEXMATCH(C7023, ""薪資""), ""薪資變動(不計入)"",
  REGEXMATCH(C7023, ""押金""), ""押金往來"",
  AND(E7023&lt;&gt;"""", F7023=""""), ""真實支出"",
  AND(E7023="""", F7023&lt;&gt;""""), ""真實收入"",
  TRUE, ""其他""
)"),"其他")</f>
        <v>其他</v>
      </c>
      <c r="K7023" s="270" t="str">
        <f t="shared" si="2"/>
        <v/>
      </c>
      <c r="L7023">
        <f t="shared" si="3"/>
        <v>0</v>
      </c>
    </row>
    <row r="7024">
      <c r="A7024" s="107"/>
      <c r="D7024" s="270"/>
      <c r="H7024" s="106" t="str">
        <f t="shared" si="1"/>
        <v/>
      </c>
      <c r="J7024" t="str">
        <f>IFERROR(__xludf.DUMMYFUNCTION("IFS(
  AND(REGEXMATCH(E7024, ""台銀籌備帳戶|玉山帳戶""), REGEXMATCH(C7024, ""薪資"")), ""分潤支出"",
  AND(REGEXMATCH(E7024, ""Ben帳戶|Elsa帳戶|Ben代墊|Ariel代墊|中信銀行共用""), REGEXMATCH(F7024, ""Ben帳戶|Elsa帳戶|Ben代墊|Ariel代墊|中信銀行共用"")), ""內部轉帳(忽略)"",
  AND(E7024&lt;&gt;"""", F7024&lt;&gt;"""", N"&amp;"OT(REGEXMATCH(C7024, ""薪資""))), ""內部轉帳(忽略)"",
  REGEXMATCH(C7024, ""薪資""), ""薪資變動(不計入)"",
  REGEXMATCH(C7024, ""押金""), ""押金往來"",
  AND(E7024&lt;&gt;"""", F7024=""""), ""真實支出"",
  AND(E7024="""", F7024&lt;&gt;""""), ""真實收入"",
  TRUE, ""其他""
)"),"其他")</f>
        <v>其他</v>
      </c>
      <c r="K7024" s="270" t="str">
        <f t="shared" si="2"/>
        <v/>
      </c>
      <c r="L7024">
        <f t="shared" si="3"/>
        <v>0</v>
      </c>
    </row>
    <row r="7025">
      <c r="A7025" s="107"/>
      <c r="D7025" s="270"/>
      <c r="H7025" s="106" t="str">
        <f t="shared" si="1"/>
        <v/>
      </c>
      <c r="J7025" t="str">
        <f>IFERROR(__xludf.DUMMYFUNCTION("IFS(
  AND(REGEXMATCH(E7025, ""台銀籌備帳戶|玉山帳戶""), REGEXMATCH(C7025, ""薪資"")), ""分潤支出"",
  AND(REGEXMATCH(E7025, ""Ben帳戶|Elsa帳戶|Ben代墊|Ariel代墊|中信銀行共用""), REGEXMATCH(F7025, ""Ben帳戶|Elsa帳戶|Ben代墊|Ariel代墊|中信銀行共用"")), ""內部轉帳(忽略)"",
  AND(E7025&lt;&gt;"""", F7025&lt;&gt;"""", N"&amp;"OT(REGEXMATCH(C7025, ""薪資""))), ""內部轉帳(忽略)"",
  REGEXMATCH(C7025, ""薪資""), ""薪資變動(不計入)"",
  REGEXMATCH(C7025, ""押金""), ""押金往來"",
  AND(E7025&lt;&gt;"""", F7025=""""), ""真實支出"",
  AND(E7025="""", F7025&lt;&gt;""""), ""真實收入"",
  TRUE, ""其他""
)"),"其他")</f>
        <v>其他</v>
      </c>
      <c r="K7025" s="270" t="str">
        <f t="shared" si="2"/>
        <v/>
      </c>
      <c r="L7025">
        <f t="shared" si="3"/>
        <v>0</v>
      </c>
    </row>
    <row r="7026">
      <c r="A7026" s="107"/>
      <c r="D7026" s="270"/>
      <c r="H7026" s="106" t="str">
        <f t="shared" si="1"/>
        <v/>
      </c>
      <c r="J7026" t="str">
        <f>IFERROR(__xludf.DUMMYFUNCTION("IFS(
  AND(REGEXMATCH(E7026, ""台銀籌備帳戶|玉山帳戶""), REGEXMATCH(C7026, ""薪資"")), ""分潤支出"",
  AND(REGEXMATCH(E7026, ""Ben帳戶|Elsa帳戶|Ben代墊|Ariel代墊|中信銀行共用""), REGEXMATCH(F7026, ""Ben帳戶|Elsa帳戶|Ben代墊|Ariel代墊|中信銀行共用"")), ""內部轉帳(忽略)"",
  AND(E7026&lt;&gt;"""", F7026&lt;&gt;"""", N"&amp;"OT(REGEXMATCH(C7026, ""薪資""))), ""內部轉帳(忽略)"",
  REGEXMATCH(C7026, ""薪資""), ""薪資變動(不計入)"",
  REGEXMATCH(C7026, ""押金""), ""押金往來"",
  AND(E7026&lt;&gt;"""", F7026=""""), ""真實支出"",
  AND(E7026="""", F7026&lt;&gt;""""), ""真實收入"",
  TRUE, ""其他""
)"),"其他")</f>
        <v>其他</v>
      </c>
      <c r="K7026" s="270" t="str">
        <f t="shared" si="2"/>
        <v/>
      </c>
      <c r="L7026">
        <f t="shared" si="3"/>
        <v>0</v>
      </c>
    </row>
    <row r="7027">
      <c r="A7027" s="107"/>
      <c r="D7027" s="270"/>
      <c r="H7027" s="106" t="str">
        <f t="shared" si="1"/>
        <v/>
      </c>
      <c r="J7027" t="str">
        <f>IFERROR(__xludf.DUMMYFUNCTION("IFS(
  AND(REGEXMATCH(E7027, ""台銀籌備帳戶|玉山帳戶""), REGEXMATCH(C7027, ""薪資"")), ""分潤支出"",
  AND(REGEXMATCH(E7027, ""Ben帳戶|Elsa帳戶|Ben代墊|Ariel代墊|中信銀行共用""), REGEXMATCH(F7027, ""Ben帳戶|Elsa帳戶|Ben代墊|Ariel代墊|中信銀行共用"")), ""內部轉帳(忽略)"",
  AND(E7027&lt;&gt;"""", F7027&lt;&gt;"""", N"&amp;"OT(REGEXMATCH(C7027, ""薪資""))), ""內部轉帳(忽略)"",
  REGEXMATCH(C7027, ""薪資""), ""薪資變動(不計入)"",
  REGEXMATCH(C7027, ""押金""), ""押金往來"",
  AND(E7027&lt;&gt;"""", F7027=""""), ""真實支出"",
  AND(E7027="""", F7027&lt;&gt;""""), ""真實收入"",
  TRUE, ""其他""
)"),"其他")</f>
        <v>其他</v>
      </c>
      <c r="K7027" s="270" t="str">
        <f t="shared" si="2"/>
        <v/>
      </c>
      <c r="L7027">
        <f t="shared" si="3"/>
        <v>0</v>
      </c>
    </row>
    <row r="7028">
      <c r="A7028" s="107"/>
      <c r="D7028" s="270"/>
      <c r="H7028" s="106" t="str">
        <f t="shared" si="1"/>
        <v/>
      </c>
      <c r="J7028" t="str">
        <f>IFERROR(__xludf.DUMMYFUNCTION("IFS(
  AND(REGEXMATCH(E7028, ""台銀籌備帳戶|玉山帳戶""), REGEXMATCH(C7028, ""薪資"")), ""分潤支出"",
  AND(REGEXMATCH(E7028, ""Ben帳戶|Elsa帳戶|Ben代墊|Ariel代墊|中信銀行共用""), REGEXMATCH(F7028, ""Ben帳戶|Elsa帳戶|Ben代墊|Ariel代墊|中信銀行共用"")), ""內部轉帳(忽略)"",
  AND(E7028&lt;&gt;"""", F7028&lt;&gt;"""", N"&amp;"OT(REGEXMATCH(C7028, ""薪資""))), ""內部轉帳(忽略)"",
  REGEXMATCH(C7028, ""薪資""), ""薪資變動(不計入)"",
  REGEXMATCH(C7028, ""押金""), ""押金往來"",
  AND(E7028&lt;&gt;"""", F7028=""""), ""真實支出"",
  AND(E7028="""", F7028&lt;&gt;""""), ""真實收入"",
  TRUE, ""其他""
)"),"其他")</f>
        <v>其他</v>
      </c>
      <c r="K7028" s="270" t="str">
        <f t="shared" si="2"/>
        <v/>
      </c>
      <c r="L7028">
        <f t="shared" si="3"/>
        <v>0</v>
      </c>
    </row>
    <row r="7029">
      <c r="A7029" s="107"/>
      <c r="D7029" s="270"/>
      <c r="H7029" s="106" t="str">
        <f t="shared" si="1"/>
        <v/>
      </c>
      <c r="J7029" t="str">
        <f>IFERROR(__xludf.DUMMYFUNCTION("IFS(
  AND(REGEXMATCH(E7029, ""台銀籌備帳戶|玉山帳戶""), REGEXMATCH(C7029, ""薪資"")), ""分潤支出"",
  AND(REGEXMATCH(E7029, ""Ben帳戶|Elsa帳戶|Ben代墊|Ariel代墊|中信銀行共用""), REGEXMATCH(F7029, ""Ben帳戶|Elsa帳戶|Ben代墊|Ariel代墊|中信銀行共用"")), ""內部轉帳(忽略)"",
  AND(E7029&lt;&gt;"""", F7029&lt;&gt;"""", N"&amp;"OT(REGEXMATCH(C7029, ""薪資""))), ""內部轉帳(忽略)"",
  REGEXMATCH(C7029, ""薪資""), ""薪資變動(不計入)"",
  REGEXMATCH(C7029, ""押金""), ""押金往來"",
  AND(E7029&lt;&gt;"""", F7029=""""), ""真實支出"",
  AND(E7029="""", F7029&lt;&gt;""""), ""真實收入"",
  TRUE, ""其他""
)"),"其他")</f>
        <v>其他</v>
      </c>
      <c r="K7029" s="270" t="str">
        <f t="shared" si="2"/>
        <v/>
      </c>
      <c r="L7029">
        <f t="shared" si="3"/>
        <v>0</v>
      </c>
    </row>
    <row r="7030">
      <c r="A7030" s="107"/>
      <c r="D7030" s="270"/>
      <c r="H7030" s="106" t="str">
        <f t="shared" si="1"/>
        <v/>
      </c>
      <c r="J7030" t="str">
        <f>IFERROR(__xludf.DUMMYFUNCTION("IFS(
  AND(REGEXMATCH(E7030, ""台銀籌備帳戶|玉山帳戶""), REGEXMATCH(C7030, ""薪資"")), ""分潤支出"",
  AND(REGEXMATCH(E7030, ""Ben帳戶|Elsa帳戶|Ben代墊|Ariel代墊|中信銀行共用""), REGEXMATCH(F7030, ""Ben帳戶|Elsa帳戶|Ben代墊|Ariel代墊|中信銀行共用"")), ""內部轉帳(忽略)"",
  AND(E7030&lt;&gt;"""", F7030&lt;&gt;"""", N"&amp;"OT(REGEXMATCH(C7030, ""薪資""))), ""內部轉帳(忽略)"",
  REGEXMATCH(C7030, ""薪資""), ""薪資變動(不計入)"",
  REGEXMATCH(C7030, ""押金""), ""押金往來"",
  AND(E7030&lt;&gt;"""", F7030=""""), ""真實支出"",
  AND(E7030="""", F7030&lt;&gt;""""), ""真實收入"",
  TRUE, ""其他""
)"),"其他")</f>
        <v>其他</v>
      </c>
      <c r="K7030" s="270" t="str">
        <f t="shared" si="2"/>
        <v/>
      </c>
      <c r="L7030">
        <f t="shared" si="3"/>
        <v>0</v>
      </c>
    </row>
    <row r="7031">
      <c r="A7031" s="107"/>
      <c r="D7031" s="270"/>
      <c r="H7031" s="106" t="str">
        <f t="shared" si="1"/>
        <v/>
      </c>
      <c r="J7031" t="str">
        <f>IFERROR(__xludf.DUMMYFUNCTION("IFS(
  AND(REGEXMATCH(E7031, ""台銀籌備帳戶|玉山帳戶""), REGEXMATCH(C7031, ""薪資"")), ""分潤支出"",
  AND(REGEXMATCH(E7031, ""Ben帳戶|Elsa帳戶|Ben代墊|Ariel代墊|中信銀行共用""), REGEXMATCH(F7031, ""Ben帳戶|Elsa帳戶|Ben代墊|Ariel代墊|中信銀行共用"")), ""內部轉帳(忽略)"",
  AND(E7031&lt;&gt;"""", F7031&lt;&gt;"""", N"&amp;"OT(REGEXMATCH(C7031, ""薪資""))), ""內部轉帳(忽略)"",
  REGEXMATCH(C7031, ""薪資""), ""薪資變動(不計入)"",
  REGEXMATCH(C7031, ""押金""), ""押金往來"",
  AND(E7031&lt;&gt;"""", F7031=""""), ""真實支出"",
  AND(E7031="""", F7031&lt;&gt;""""), ""真實收入"",
  TRUE, ""其他""
)"),"其他")</f>
        <v>其他</v>
      </c>
      <c r="K7031" s="270" t="str">
        <f t="shared" si="2"/>
        <v/>
      </c>
      <c r="L7031">
        <f t="shared" si="3"/>
        <v>0</v>
      </c>
    </row>
    <row r="7032">
      <c r="A7032" s="107"/>
      <c r="D7032" s="270"/>
      <c r="H7032" s="106" t="str">
        <f t="shared" si="1"/>
        <v/>
      </c>
      <c r="J7032" t="str">
        <f>IFERROR(__xludf.DUMMYFUNCTION("IFS(
  AND(REGEXMATCH(E7032, ""台銀籌備帳戶|玉山帳戶""), REGEXMATCH(C7032, ""薪資"")), ""分潤支出"",
  AND(REGEXMATCH(E7032, ""Ben帳戶|Elsa帳戶|Ben代墊|Ariel代墊|中信銀行共用""), REGEXMATCH(F7032, ""Ben帳戶|Elsa帳戶|Ben代墊|Ariel代墊|中信銀行共用"")), ""內部轉帳(忽略)"",
  AND(E7032&lt;&gt;"""", F7032&lt;&gt;"""", N"&amp;"OT(REGEXMATCH(C7032, ""薪資""))), ""內部轉帳(忽略)"",
  REGEXMATCH(C7032, ""薪資""), ""薪資變動(不計入)"",
  REGEXMATCH(C7032, ""押金""), ""押金往來"",
  AND(E7032&lt;&gt;"""", F7032=""""), ""真實支出"",
  AND(E7032="""", F7032&lt;&gt;""""), ""真實收入"",
  TRUE, ""其他""
)"),"其他")</f>
        <v>其他</v>
      </c>
      <c r="K7032" s="270" t="str">
        <f t="shared" si="2"/>
        <v/>
      </c>
      <c r="L7032">
        <f t="shared" si="3"/>
        <v>0</v>
      </c>
    </row>
    <row r="7033">
      <c r="A7033" s="107"/>
      <c r="D7033" s="270"/>
      <c r="H7033" s="106" t="str">
        <f t="shared" si="1"/>
        <v/>
      </c>
      <c r="J7033" t="str">
        <f>IFERROR(__xludf.DUMMYFUNCTION("IFS(
  AND(REGEXMATCH(E7033, ""台銀籌備帳戶|玉山帳戶""), REGEXMATCH(C7033, ""薪資"")), ""分潤支出"",
  AND(REGEXMATCH(E7033, ""Ben帳戶|Elsa帳戶|Ben代墊|Ariel代墊|中信銀行共用""), REGEXMATCH(F7033, ""Ben帳戶|Elsa帳戶|Ben代墊|Ariel代墊|中信銀行共用"")), ""內部轉帳(忽略)"",
  AND(E7033&lt;&gt;"""", F7033&lt;&gt;"""", N"&amp;"OT(REGEXMATCH(C7033, ""薪資""))), ""內部轉帳(忽略)"",
  REGEXMATCH(C7033, ""薪資""), ""薪資變動(不計入)"",
  REGEXMATCH(C7033, ""押金""), ""押金往來"",
  AND(E7033&lt;&gt;"""", F7033=""""), ""真實支出"",
  AND(E7033="""", F7033&lt;&gt;""""), ""真實收入"",
  TRUE, ""其他""
)"),"其他")</f>
        <v>其他</v>
      </c>
      <c r="K7033" s="270" t="str">
        <f t="shared" si="2"/>
        <v/>
      </c>
      <c r="L7033">
        <f t="shared" si="3"/>
        <v>0</v>
      </c>
    </row>
    <row r="7034">
      <c r="A7034" s="107"/>
      <c r="D7034" s="270"/>
      <c r="H7034" s="106" t="str">
        <f t="shared" si="1"/>
        <v/>
      </c>
      <c r="J7034" t="str">
        <f>IFERROR(__xludf.DUMMYFUNCTION("IFS(
  AND(REGEXMATCH(E7034, ""台銀籌備帳戶|玉山帳戶""), REGEXMATCH(C7034, ""薪資"")), ""分潤支出"",
  AND(REGEXMATCH(E7034, ""Ben帳戶|Elsa帳戶|Ben代墊|Ariel代墊|中信銀行共用""), REGEXMATCH(F7034, ""Ben帳戶|Elsa帳戶|Ben代墊|Ariel代墊|中信銀行共用"")), ""內部轉帳(忽略)"",
  AND(E7034&lt;&gt;"""", F7034&lt;&gt;"""", N"&amp;"OT(REGEXMATCH(C7034, ""薪資""))), ""內部轉帳(忽略)"",
  REGEXMATCH(C7034, ""薪資""), ""薪資變動(不計入)"",
  REGEXMATCH(C7034, ""押金""), ""押金往來"",
  AND(E7034&lt;&gt;"""", F7034=""""), ""真實支出"",
  AND(E7034="""", F7034&lt;&gt;""""), ""真實收入"",
  TRUE, ""其他""
)"),"其他")</f>
        <v>其他</v>
      </c>
      <c r="K7034" s="270" t="str">
        <f t="shared" si="2"/>
        <v/>
      </c>
      <c r="L7034">
        <f t="shared" si="3"/>
        <v>0</v>
      </c>
    </row>
    <row r="7035">
      <c r="A7035" s="107"/>
      <c r="D7035" s="270"/>
      <c r="H7035" s="106" t="str">
        <f t="shared" si="1"/>
        <v/>
      </c>
      <c r="J7035" t="str">
        <f>IFERROR(__xludf.DUMMYFUNCTION("IFS(
  AND(REGEXMATCH(E7035, ""台銀籌備帳戶|玉山帳戶""), REGEXMATCH(C7035, ""薪資"")), ""分潤支出"",
  AND(REGEXMATCH(E7035, ""Ben帳戶|Elsa帳戶|Ben代墊|Ariel代墊|中信銀行共用""), REGEXMATCH(F7035, ""Ben帳戶|Elsa帳戶|Ben代墊|Ariel代墊|中信銀行共用"")), ""內部轉帳(忽略)"",
  AND(E7035&lt;&gt;"""", F7035&lt;&gt;"""", N"&amp;"OT(REGEXMATCH(C7035, ""薪資""))), ""內部轉帳(忽略)"",
  REGEXMATCH(C7035, ""薪資""), ""薪資變動(不計入)"",
  REGEXMATCH(C7035, ""押金""), ""押金往來"",
  AND(E7035&lt;&gt;"""", F7035=""""), ""真實支出"",
  AND(E7035="""", F7035&lt;&gt;""""), ""真實收入"",
  TRUE, ""其他""
)"),"其他")</f>
        <v>其他</v>
      </c>
      <c r="K7035" s="270" t="str">
        <f t="shared" si="2"/>
        <v/>
      </c>
      <c r="L7035">
        <f t="shared" si="3"/>
        <v>0</v>
      </c>
    </row>
    <row r="7036">
      <c r="A7036" s="107"/>
      <c r="D7036" s="270"/>
      <c r="H7036" s="106" t="str">
        <f t="shared" si="1"/>
        <v/>
      </c>
      <c r="J7036" t="str">
        <f>IFERROR(__xludf.DUMMYFUNCTION("IFS(
  AND(REGEXMATCH(E7036, ""台銀籌備帳戶|玉山帳戶""), REGEXMATCH(C7036, ""薪資"")), ""分潤支出"",
  AND(REGEXMATCH(E7036, ""Ben帳戶|Elsa帳戶|Ben代墊|Ariel代墊|中信銀行共用""), REGEXMATCH(F7036, ""Ben帳戶|Elsa帳戶|Ben代墊|Ariel代墊|中信銀行共用"")), ""內部轉帳(忽略)"",
  AND(E7036&lt;&gt;"""", F7036&lt;&gt;"""", N"&amp;"OT(REGEXMATCH(C7036, ""薪資""))), ""內部轉帳(忽略)"",
  REGEXMATCH(C7036, ""薪資""), ""薪資變動(不計入)"",
  REGEXMATCH(C7036, ""押金""), ""押金往來"",
  AND(E7036&lt;&gt;"""", F7036=""""), ""真實支出"",
  AND(E7036="""", F7036&lt;&gt;""""), ""真實收入"",
  TRUE, ""其他""
)"),"其他")</f>
        <v>其他</v>
      </c>
      <c r="K7036" s="270" t="str">
        <f t="shared" si="2"/>
        <v/>
      </c>
      <c r="L7036">
        <f t="shared" si="3"/>
        <v>0</v>
      </c>
    </row>
    <row r="7037">
      <c r="A7037" s="107"/>
      <c r="D7037" s="270"/>
      <c r="H7037" s="106" t="str">
        <f t="shared" si="1"/>
        <v/>
      </c>
      <c r="J7037" t="str">
        <f>IFERROR(__xludf.DUMMYFUNCTION("IFS(
  AND(REGEXMATCH(E7037, ""台銀籌備帳戶|玉山帳戶""), REGEXMATCH(C7037, ""薪資"")), ""分潤支出"",
  AND(REGEXMATCH(E7037, ""Ben帳戶|Elsa帳戶|Ben代墊|Ariel代墊|中信銀行共用""), REGEXMATCH(F7037, ""Ben帳戶|Elsa帳戶|Ben代墊|Ariel代墊|中信銀行共用"")), ""內部轉帳(忽略)"",
  AND(E7037&lt;&gt;"""", F7037&lt;&gt;"""", N"&amp;"OT(REGEXMATCH(C7037, ""薪資""))), ""內部轉帳(忽略)"",
  REGEXMATCH(C7037, ""薪資""), ""薪資變動(不計入)"",
  REGEXMATCH(C7037, ""押金""), ""押金往來"",
  AND(E7037&lt;&gt;"""", F7037=""""), ""真實支出"",
  AND(E7037="""", F7037&lt;&gt;""""), ""真實收入"",
  TRUE, ""其他""
)"),"其他")</f>
        <v>其他</v>
      </c>
      <c r="K7037" s="270" t="str">
        <f t="shared" si="2"/>
        <v/>
      </c>
      <c r="L7037">
        <f t="shared" si="3"/>
        <v>0</v>
      </c>
    </row>
    <row r="7038">
      <c r="A7038" s="107"/>
      <c r="D7038" s="270"/>
      <c r="H7038" s="106" t="str">
        <f t="shared" si="1"/>
        <v/>
      </c>
      <c r="J7038" t="str">
        <f>IFERROR(__xludf.DUMMYFUNCTION("IFS(
  AND(REGEXMATCH(E7038, ""台銀籌備帳戶|玉山帳戶""), REGEXMATCH(C7038, ""薪資"")), ""分潤支出"",
  AND(REGEXMATCH(E7038, ""Ben帳戶|Elsa帳戶|Ben代墊|Ariel代墊|中信銀行共用""), REGEXMATCH(F7038, ""Ben帳戶|Elsa帳戶|Ben代墊|Ariel代墊|中信銀行共用"")), ""內部轉帳(忽略)"",
  AND(E7038&lt;&gt;"""", F7038&lt;&gt;"""", N"&amp;"OT(REGEXMATCH(C7038, ""薪資""))), ""內部轉帳(忽略)"",
  REGEXMATCH(C7038, ""薪資""), ""薪資變動(不計入)"",
  REGEXMATCH(C7038, ""押金""), ""押金往來"",
  AND(E7038&lt;&gt;"""", F7038=""""), ""真實支出"",
  AND(E7038="""", F7038&lt;&gt;""""), ""真實收入"",
  TRUE, ""其他""
)"),"其他")</f>
        <v>其他</v>
      </c>
      <c r="K7038" s="270" t="str">
        <f t="shared" si="2"/>
        <v/>
      </c>
      <c r="L7038">
        <f t="shared" si="3"/>
        <v>0</v>
      </c>
    </row>
    <row r="7039">
      <c r="A7039" s="107"/>
      <c r="D7039" s="270"/>
      <c r="H7039" s="106" t="str">
        <f t="shared" si="1"/>
        <v/>
      </c>
      <c r="J7039" t="str">
        <f>IFERROR(__xludf.DUMMYFUNCTION("IFS(
  AND(REGEXMATCH(E7039, ""台銀籌備帳戶|玉山帳戶""), REGEXMATCH(C7039, ""薪資"")), ""分潤支出"",
  AND(REGEXMATCH(E7039, ""Ben帳戶|Elsa帳戶|Ben代墊|Ariel代墊|中信銀行共用""), REGEXMATCH(F7039, ""Ben帳戶|Elsa帳戶|Ben代墊|Ariel代墊|中信銀行共用"")), ""內部轉帳(忽略)"",
  AND(E7039&lt;&gt;"""", F7039&lt;&gt;"""", N"&amp;"OT(REGEXMATCH(C7039, ""薪資""))), ""內部轉帳(忽略)"",
  REGEXMATCH(C7039, ""薪資""), ""薪資變動(不計入)"",
  REGEXMATCH(C7039, ""押金""), ""押金往來"",
  AND(E7039&lt;&gt;"""", F7039=""""), ""真實支出"",
  AND(E7039="""", F7039&lt;&gt;""""), ""真實收入"",
  TRUE, ""其他""
)"),"其他")</f>
        <v>其他</v>
      </c>
      <c r="K7039" s="270" t="str">
        <f t="shared" si="2"/>
        <v/>
      </c>
      <c r="L7039">
        <f t="shared" si="3"/>
        <v>0</v>
      </c>
    </row>
    <row r="7040">
      <c r="A7040" s="107"/>
      <c r="D7040" s="270"/>
      <c r="H7040" s="106" t="str">
        <f t="shared" si="1"/>
        <v/>
      </c>
      <c r="J7040" t="str">
        <f>IFERROR(__xludf.DUMMYFUNCTION("IFS(
  AND(REGEXMATCH(E7040, ""台銀籌備帳戶|玉山帳戶""), REGEXMATCH(C7040, ""薪資"")), ""分潤支出"",
  AND(REGEXMATCH(E7040, ""Ben帳戶|Elsa帳戶|Ben代墊|Ariel代墊|中信銀行共用""), REGEXMATCH(F7040, ""Ben帳戶|Elsa帳戶|Ben代墊|Ariel代墊|中信銀行共用"")), ""內部轉帳(忽略)"",
  AND(E7040&lt;&gt;"""", F7040&lt;&gt;"""", N"&amp;"OT(REGEXMATCH(C7040, ""薪資""))), ""內部轉帳(忽略)"",
  REGEXMATCH(C7040, ""薪資""), ""薪資變動(不計入)"",
  REGEXMATCH(C7040, ""押金""), ""押金往來"",
  AND(E7040&lt;&gt;"""", F7040=""""), ""真實支出"",
  AND(E7040="""", F7040&lt;&gt;""""), ""真實收入"",
  TRUE, ""其他""
)"),"其他")</f>
        <v>其他</v>
      </c>
      <c r="K7040" s="270" t="str">
        <f t="shared" si="2"/>
        <v/>
      </c>
      <c r="L7040">
        <f t="shared" si="3"/>
        <v>0</v>
      </c>
    </row>
    <row r="7041">
      <c r="A7041" s="107"/>
      <c r="D7041" s="270"/>
      <c r="H7041" s="106" t="str">
        <f t="shared" si="1"/>
        <v/>
      </c>
      <c r="J7041" t="str">
        <f>IFERROR(__xludf.DUMMYFUNCTION("IFS(
  AND(REGEXMATCH(E7041, ""台銀籌備帳戶|玉山帳戶""), REGEXMATCH(C7041, ""薪資"")), ""分潤支出"",
  AND(REGEXMATCH(E7041, ""Ben帳戶|Elsa帳戶|Ben代墊|Ariel代墊|中信銀行共用""), REGEXMATCH(F7041, ""Ben帳戶|Elsa帳戶|Ben代墊|Ariel代墊|中信銀行共用"")), ""內部轉帳(忽略)"",
  AND(E7041&lt;&gt;"""", F7041&lt;&gt;"""", N"&amp;"OT(REGEXMATCH(C7041, ""薪資""))), ""內部轉帳(忽略)"",
  REGEXMATCH(C7041, ""薪資""), ""薪資變動(不計入)"",
  REGEXMATCH(C7041, ""押金""), ""押金往來"",
  AND(E7041&lt;&gt;"""", F7041=""""), ""真實支出"",
  AND(E7041="""", F7041&lt;&gt;""""), ""真實收入"",
  TRUE, ""其他""
)"),"其他")</f>
        <v>其他</v>
      </c>
      <c r="K7041" s="270" t="str">
        <f t="shared" si="2"/>
        <v/>
      </c>
      <c r="L7041">
        <f t="shared" si="3"/>
        <v>0</v>
      </c>
    </row>
    <row r="7042">
      <c r="A7042" s="107"/>
      <c r="D7042" s="270"/>
      <c r="H7042" s="106" t="str">
        <f t="shared" si="1"/>
        <v/>
      </c>
      <c r="J7042" t="str">
        <f>IFERROR(__xludf.DUMMYFUNCTION("IFS(
  AND(REGEXMATCH(E7042, ""台銀籌備帳戶|玉山帳戶""), REGEXMATCH(C7042, ""薪資"")), ""分潤支出"",
  AND(REGEXMATCH(E7042, ""Ben帳戶|Elsa帳戶|Ben代墊|Ariel代墊|中信銀行共用""), REGEXMATCH(F7042, ""Ben帳戶|Elsa帳戶|Ben代墊|Ariel代墊|中信銀行共用"")), ""內部轉帳(忽略)"",
  AND(E7042&lt;&gt;"""", F7042&lt;&gt;"""", N"&amp;"OT(REGEXMATCH(C7042, ""薪資""))), ""內部轉帳(忽略)"",
  REGEXMATCH(C7042, ""薪資""), ""薪資變動(不計入)"",
  REGEXMATCH(C7042, ""押金""), ""押金往來"",
  AND(E7042&lt;&gt;"""", F7042=""""), ""真實支出"",
  AND(E7042="""", F7042&lt;&gt;""""), ""真實收入"",
  TRUE, ""其他""
)"),"其他")</f>
        <v>其他</v>
      </c>
      <c r="K7042" s="270" t="str">
        <f t="shared" si="2"/>
        <v/>
      </c>
      <c r="L7042">
        <f t="shared" si="3"/>
        <v>0</v>
      </c>
    </row>
    <row r="7043">
      <c r="A7043" s="107"/>
      <c r="D7043" s="270"/>
      <c r="H7043" s="106" t="str">
        <f t="shared" si="1"/>
        <v/>
      </c>
      <c r="J7043" t="str">
        <f>IFERROR(__xludf.DUMMYFUNCTION("IFS(
  AND(REGEXMATCH(E7043, ""台銀籌備帳戶|玉山帳戶""), REGEXMATCH(C7043, ""薪資"")), ""分潤支出"",
  AND(REGEXMATCH(E7043, ""Ben帳戶|Elsa帳戶|Ben代墊|Ariel代墊|中信銀行共用""), REGEXMATCH(F7043, ""Ben帳戶|Elsa帳戶|Ben代墊|Ariel代墊|中信銀行共用"")), ""內部轉帳(忽略)"",
  AND(E7043&lt;&gt;"""", F7043&lt;&gt;"""", N"&amp;"OT(REGEXMATCH(C7043, ""薪資""))), ""內部轉帳(忽略)"",
  REGEXMATCH(C7043, ""薪資""), ""薪資變動(不計入)"",
  REGEXMATCH(C7043, ""押金""), ""押金往來"",
  AND(E7043&lt;&gt;"""", F7043=""""), ""真實支出"",
  AND(E7043="""", F7043&lt;&gt;""""), ""真實收入"",
  TRUE, ""其他""
)"),"其他")</f>
        <v>其他</v>
      </c>
      <c r="K7043" s="270" t="str">
        <f t="shared" si="2"/>
        <v/>
      </c>
      <c r="L7043">
        <f t="shared" si="3"/>
        <v>0</v>
      </c>
    </row>
    <row r="7044">
      <c r="A7044" s="107"/>
      <c r="D7044" s="270"/>
      <c r="H7044" s="106" t="str">
        <f t="shared" si="1"/>
        <v/>
      </c>
      <c r="J7044" t="str">
        <f>IFERROR(__xludf.DUMMYFUNCTION("IFS(
  AND(REGEXMATCH(E7044, ""台銀籌備帳戶|玉山帳戶""), REGEXMATCH(C7044, ""薪資"")), ""分潤支出"",
  AND(REGEXMATCH(E7044, ""Ben帳戶|Elsa帳戶|Ben代墊|Ariel代墊|中信銀行共用""), REGEXMATCH(F7044, ""Ben帳戶|Elsa帳戶|Ben代墊|Ariel代墊|中信銀行共用"")), ""內部轉帳(忽略)"",
  AND(E7044&lt;&gt;"""", F7044&lt;&gt;"""", N"&amp;"OT(REGEXMATCH(C7044, ""薪資""))), ""內部轉帳(忽略)"",
  REGEXMATCH(C7044, ""薪資""), ""薪資變動(不計入)"",
  REGEXMATCH(C7044, ""押金""), ""押金往來"",
  AND(E7044&lt;&gt;"""", F7044=""""), ""真實支出"",
  AND(E7044="""", F7044&lt;&gt;""""), ""真實收入"",
  TRUE, ""其他""
)"),"其他")</f>
        <v>其他</v>
      </c>
      <c r="K7044" s="270" t="str">
        <f t="shared" si="2"/>
        <v/>
      </c>
      <c r="L7044">
        <f t="shared" si="3"/>
        <v>0</v>
      </c>
    </row>
    <row r="7045">
      <c r="A7045" s="107"/>
      <c r="D7045" s="270"/>
      <c r="H7045" s="106" t="str">
        <f t="shared" si="1"/>
        <v/>
      </c>
      <c r="J7045" t="str">
        <f>IFERROR(__xludf.DUMMYFUNCTION("IFS(
  AND(REGEXMATCH(E7045, ""台銀籌備帳戶|玉山帳戶""), REGEXMATCH(C7045, ""薪資"")), ""分潤支出"",
  AND(REGEXMATCH(E7045, ""Ben帳戶|Elsa帳戶|Ben代墊|Ariel代墊|中信銀行共用""), REGEXMATCH(F7045, ""Ben帳戶|Elsa帳戶|Ben代墊|Ariel代墊|中信銀行共用"")), ""內部轉帳(忽略)"",
  AND(E7045&lt;&gt;"""", F7045&lt;&gt;"""", N"&amp;"OT(REGEXMATCH(C7045, ""薪資""))), ""內部轉帳(忽略)"",
  REGEXMATCH(C7045, ""薪資""), ""薪資變動(不計入)"",
  REGEXMATCH(C7045, ""押金""), ""押金往來"",
  AND(E7045&lt;&gt;"""", F7045=""""), ""真實支出"",
  AND(E7045="""", F7045&lt;&gt;""""), ""真實收入"",
  TRUE, ""其他""
)"),"其他")</f>
        <v>其他</v>
      </c>
      <c r="K7045" s="270" t="str">
        <f t="shared" si="2"/>
        <v/>
      </c>
      <c r="L7045">
        <f t="shared" si="3"/>
        <v>0</v>
      </c>
    </row>
    <row r="7046">
      <c r="A7046" s="107"/>
      <c r="D7046" s="270"/>
      <c r="H7046" s="106" t="str">
        <f t="shared" si="1"/>
        <v/>
      </c>
      <c r="J7046" t="str">
        <f>IFERROR(__xludf.DUMMYFUNCTION("IFS(
  AND(REGEXMATCH(E7046, ""台銀籌備帳戶|玉山帳戶""), REGEXMATCH(C7046, ""薪資"")), ""分潤支出"",
  AND(REGEXMATCH(E7046, ""Ben帳戶|Elsa帳戶|Ben代墊|Ariel代墊|中信銀行共用""), REGEXMATCH(F7046, ""Ben帳戶|Elsa帳戶|Ben代墊|Ariel代墊|中信銀行共用"")), ""內部轉帳(忽略)"",
  AND(E7046&lt;&gt;"""", F7046&lt;&gt;"""", N"&amp;"OT(REGEXMATCH(C7046, ""薪資""))), ""內部轉帳(忽略)"",
  REGEXMATCH(C7046, ""薪資""), ""薪資變動(不計入)"",
  REGEXMATCH(C7046, ""押金""), ""押金往來"",
  AND(E7046&lt;&gt;"""", F7046=""""), ""真實支出"",
  AND(E7046="""", F7046&lt;&gt;""""), ""真實收入"",
  TRUE, ""其他""
)"),"其他")</f>
        <v>其他</v>
      </c>
      <c r="K7046" s="270" t="str">
        <f t="shared" si="2"/>
        <v/>
      </c>
      <c r="L7046">
        <f t="shared" si="3"/>
        <v>0</v>
      </c>
    </row>
    <row r="7047">
      <c r="A7047" s="107"/>
      <c r="D7047" s="270"/>
      <c r="H7047" s="106" t="str">
        <f t="shared" si="1"/>
        <v/>
      </c>
      <c r="J7047" t="str">
        <f>IFERROR(__xludf.DUMMYFUNCTION("IFS(
  AND(REGEXMATCH(E7047, ""台銀籌備帳戶|玉山帳戶""), REGEXMATCH(C7047, ""薪資"")), ""分潤支出"",
  AND(REGEXMATCH(E7047, ""Ben帳戶|Elsa帳戶|Ben代墊|Ariel代墊|中信銀行共用""), REGEXMATCH(F7047, ""Ben帳戶|Elsa帳戶|Ben代墊|Ariel代墊|中信銀行共用"")), ""內部轉帳(忽略)"",
  AND(E7047&lt;&gt;"""", F7047&lt;&gt;"""", N"&amp;"OT(REGEXMATCH(C7047, ""薪資""))), ""內部轉帳(忽略)"",
  REGEXMATCH(C7047, ""薪資""), ""薪資變動(不計入)"",
  REGEXMATCH(C7047, ""押金""), ""押金往來"",
  AND(E7047&lt;&gt;"""", F7047=""""), ""真實支出"",
  AND(E7047="""", F7047&lt;&gt;""""), ""真實收入"",
  TRUE, ""其他""
)"),"其他")</f>
        <v>其他</v>
      </c>
      <c r="K7047" s="270" t="str">
        <f t="shared" si="2"/>
        <v/>
      </c>
      <c r="L7047">
        <f t="shared" si="3"/>
        <v>0</v>
      </c>
    </row>
    <row r="7048">
      <c r="A7048" s="107"/>
      <c r="D7048" s="270"/>
      <c r="H7048" s="106" t="str">
        <f t="shared" si="1"/>
        <v/>
      </c>
      <c r="J7048" t="str">
        <f>IFERROR(__xludf.DUMMYFUNCTION("IFS(
  AND(REGEXMATCH(E7048, ""台銀籌備帳戶|玉山帳戶""), REGEXMATCH(C7048, ""薪資"")), ""分潤支出"",
  AND(REGEXMATCH(E7048, ""Ben帳戶|Elsa帳戶|Ben代墊|Ariel代墊|中信銀行共用""), REGEXMATCH(F7048, ""Ben帳戶|Elsa帳戶|Ben代墊|Ariel代墊|中信銀行共用"")), ""內部轉帳(忽略)"",
  AND(E7048&lt;&gt;"""", F7048&lt;&gt;"""", N"&amp;"OT(REGEXMATCH(C7048, ""薪資""))), ""內部轉帳(忽略)"",
  REGEXMATCH(C7048, ""薪資""), ""薪資變動(不計入)"",
  REGEXMATCH(C7048, ""押金""), ""押金往來"",
  AND(E7048&lt;&gt;"""", F7048=""""), ""真實支出"",
  AND(E7048="""", F7048&lt;&gt;""""), ""真實收入"",
  TRUE, ""其他""
)"),"其他")</f>
        <v>其他</v>
      </c>
      <c r="K7048" s="270" t="str">
        <f t="shared" si="2"/>
        <v/>
      </c>
      <c r="L7048">
        <f t="shared" si="3"/>
        <v>0</v>
      </c>
    </row>
    <row r="7049">
      <c r="A7049" s="107"/>
      <c r="D7049" s="270"/>
      <c r="H7049" s="106" t="str">
        <f t="shared" si="1"/>
        <v/>
      </c>
      <c r="J7049" t="str">
        <f>IFERROR(__xludf.DUMMYFUNCTION("IFS(
  AND(REGEXMATCH(E7049, ""台銀籌備帳戶|玉山帳戶""), REGEXMATCH(C7049, ""薪資"")), ""分潤支出"",
  AND(REGEXMATCH(E7049, ""Ben帳戶|Elsa帳戶|Ben代墊|Ariel代墊|中信銀行共用""), REGEXMATCH(F7049, ""Ben帳戶|Elsa帳戶|Ben代墊|Ariel代墊|中信銀行共用"")), ""內部轉帳(忽略)"",
  AND(E7049&lt;&gt;"""", F7049&lt;&gt;"""", N"&amp;"OT(REGEXMATCH(C7049, ""薪資""))), ""內部轉帳(忽略)"",
  REGEXMATCH(C7049, ""薪資""), ""薪資變動(不計入)"",
  REGEXMATCH(C7049, ""押金""), ""押金往來"",
  AND(E7049&lt;&gt;"""", F7049=""""), ""真實支出"",
  AND(E7049="""", F7049&lt;&gt;""""), ""真實收入"",
  TRUE, ""其他""
)"),"其他")</f>
        <v>其他</v>
      </c>
      <c r="K7049" s="270" t="str">
        <f t="shared" si="2"/>
        <v/>
      </c>
      <c r="L7049">
        <f t="shared" si="3"/>
        <v>0</v>
      </c>
    </row>
    <row r="7050">
      <c r="A7050" s="107"/>
      <c r="D7050" s="270"/>
      <c r="H7050" s="106" t="str">
        <f t="shared" si="1"/>
        <v/>
      </c>
      <c r="J7050" t="str">
        <f>IFERROR(__xludf.DUMMYFUNCTION("IFS(
  AND(REGEXMATCH(E7050, ""台銀籌備帳戶|玉山帳戶""), REGEXMATCH(C7050, ""薪資"")), ""分潤支出"",
  AND(REGEXMATCH(E7050, ""Ben帳戶|Elsa帳戶|Ben代墊|Ariel代墊|中信銀行共用""), REGEXMATCH(F7050, ""Ben帳戶|Elsa帳戶|Ben代墊|Ariel代墊|中信銀行共用"")), ""內部轉帳(忽略)"",
  AND(E7050&lt;&gt;"""", F7050&lt;&gt;"""", N"&amp;"OT(REGEXMATCH(C7050, ""薪資""))), ""內部轉帳(忽略)"",
  REGEXMATCH(C7050, ""薪資""), ""薪資變動(不計入)"",
  REGEXMATCH(C7050, ""押金""), ""押金往來"",
  AND(E7050&lt;&gt;"""", F7050=""""), ""真實支出"",
  AND(E7050="""", F7050&lt;&gt;""""), ""真實收入"",
  TRUE, ""其他""
)"),"其他")</f>
        <v>其他</v>
      </c>
      <c r="K7050" s="270" t="str">
        <f t="shared" si="2"/>
        <v/>
      </c>
      <c r="L7050">
        <f t="shared" si="3"/>
        <v>0</v>
      </c>
    </row>
    <row r="7051">
      <c r="A7051" s="107"/>
      <c r="D7051" s="270"/>
      <c r="H7051" s="106" t="str">
        <f t="shared" si="1"/>
        <v/>
      </c>
      <c r="J7051" t="str">
        <f>IFERROR(__xludf.DUMMYFUNCTION("IFS(
  AND(REGEXMATCH(E7051, ""台銀籌備帳戶|玉山帳戶""), REGEXMATCH(C7051, ""薪資"")), ""分潤支出"",
  AND(REGEXMATCH(E7051, ""Ben帳戶|Elsa帳戶|Ben代墊|Ariel代墊|中信銀行共用""), REGEXMATCH(F7051, ""Ben帳戶|Elsa帳戶|Ben代墊|Ariel代墊|中信銀行共用"")), ""內部轉帳(忽略)"",
  AND(E7051&lt;&gt;"""", F7051&lt;&gt;"""", N"&amp;"OT(REGEXMATCH(C7051, ""薪資""))), ""內部轉帳(忽略)"",
  REGEXMATCH(C7051, ""薪資""), ""薪資變動(不計入)"",
  REGEXMATCH(C7051, ""押金""), ""押金往來"",
  AND(E7051&lt;&gt;"""", F7051=""""), ""真實支出"",
  AND(E7051="""", F7051&lt;&gt;""""), ""真實收入"",
  TRUE, ""其他""
)"),"其他")</f>
        <v>其他</v>
      </c>
      <c r="K7051" s="270" t="str">
        <f t="shared" si="2"/>
        <v/>
      </c>
      <c r="L7051">
        <f t="shared" si="3"/>
        <v>0</v>
      </c>
    </row>
    <row r="7052">
      <c r="A7052" s="107"/>
      <c r="D7052" s="270"/>
      <c r="H7052" s="106" t="str">
        <f t="shared" si="1"/>
        <v/>
      </c>
      <c r="J7052" t="str">
        <f>IFERROR(__xludf.DUMMYFUNCTION("IFS(
  AND(REGEXMATCH(E7052, ""台銀籌備帳戶|玉山帳戶""), REGEXMATCH(C7052, ""薪資"")), ""分潤支出"",
  AND(REGEXMATCH(E7052, ""Ben帳戶|Elsa帳戶|Ben代墊|Ariel代墊|中信銀行共用""), REGEXMATCH(F7052, ""Ben帳戶|Elsa帳戶|Ben代墊|Ariel代墊|中信銀行共用"")), ""內部轉帳(忽略)"",
  AND(E7052&lt;&gt;"""", F7052&lt;&gt;"""", N"&amp;"OT(REGEXMATCH(C7052, ""薪資""))), ""內部轉帳(忽略)"",
  REGEXMATCH(C7052, ""薪資""), ""薪資變動(不計入)"",
  REGEXMATCH(C7052, ""押金""), ""押金往來"",
  AND(E7052&lt;&gt;"""", F7052=""""), ""真實支出"",
  AND(E7052="""", F7052&lt;&gt;""""), ""真實收入"",
  TRUE, ""其他""
)"),"其他")</f>
        <v>其他</v>
      </c>
      <c r="K7052" s="270" t="str">
        <f t="shared" si="2"/>
        <v/>
      </c>
      <c r="L7052">
        <f t="shared" si="3"/>
        <v>0</v>
      </c>
    </row>
    <row r="7053">
      <c r="A7053" s="107"/>
      <c r="D7053" s="270"/>
      <c r="H7053" s="106" t="str">
        <f t="shared" si="1"/>
        <v/>
      </c>
      <c r="J7053" t="str">
        <f>IFERROR(__xludf.DUMMYFUNCTION("IFS(
  AND(REGEXMATCH(E7053, ""台銀籌備帳戶|玉山帳戶""), REGEXMATCH(C7053, ""薪資"")), ""分潤支出"",
  AND(REGEXMATCH(E7053, ""Ben帳戶|Elsa帳戶|Ben代墊|Ariel代墊|中信銀行共用""), REGEXMATCH(F7053, ""Ben帳戶|Elsa帳戶|Ben代墊|Ariel代墊|中信銀行共用"")), ""內部轉帳(忽略)"",
  AND(E7053&lt;&gt;"""", F7053&lt;&gt;"""", N"&amp;"OT(REGEXMATCH(C7053, ""薪資""))), ""內部轉帳(忽略)"",
  REGEXMATCH(C7053, ""薪資""), ""薪資變動(不計入)"",
  REGEXMATCH(C7053, ""押金""), ""押金往來"",
  AND(E7053&lt;&gt;"""", F7053=""""), ""真實支出"",
  AND(E7053="""", F7053&lt;&gt;""""), ""真實收入"",
  TRUE, ""其他""
)"),"其他")</f>
        <v>其他</v>
      </c>
      <c r="K7053" s="270" t="str">
        <f t="shared" si="2"/>
        <v/>
      </c>
      <c r="L7053">
        <f t="shared" si="3"/>
        <v>0</v>
      </c>
    </row>
    <row r="7054">
      <c r="A7054" s="107"/>
      <c r="D7054" s="270"/>
      <c r="H7054" s="106" t="str">
        <f t="shared" si="1"/>
        <v/>
      </c>
      <c r="J7054" t="str">
        <f>IFERROR(__xludf.DUMMYFUNCTION("IFS(
  AND(REGEXMATCH(E7054, ""台銀籌備帳戶|玉山帳戶""), REGEXMATCH(C7054, ""薪資"")), ""分潤支出"",
  AND(REGEXMATCH(E7054, ""Ben帳戶|Elsa帳戶|Ben代墊|Ariel代墊|中信銀行共用""), REGEXMATCH(F7054, ""Ben帳戶|Elsa帳戶|Ben代墊|Ariel代墊|中信銀行共用"")), ""內部轉帳(忽略)"",
  AND(E7054&lt;&gt;"""", F7054&lt;&gt;"""", N"&amp;"OT(REGEXMATCH(C7054, ""薪資""))), ""內部轉帳(忽略)"",
  REGEXMATCH(C7054, ""薪資""), ""薪資變動(不計入)"",
  REGEXMATCH(C7054, ""押金""), ""押金往來"",
  AND(E7054&lt;&gt;"""", F7054=""""), ""真實支出"",
  AND(E7054="""", F7054&lt;&gt;""""), ""真實收入"",
  TRUE, ""其他""
)"),"其他")</f>
        <v>其他</v>
      </c>
      <c r="K7054" s="270" t="str">
        <f t="shared" si="2"/>
        <v/>
      </c>
      <c r="L7054">
        <f t="shared" si="3"/>
        <v>0</v>
      </c>
    </row>
    <row r="7055">
      <c r="A7055" s="107"/>
      <c r="D7055" s="270"/>
      <c r="H7055" s="106" t="str">
        <f t="shared" si="1"/>
        <v/>
      </c>
      <c r="J7055" t="str">
        <f>IFERROR(__xludf.DUMMYFUNCTION("IFS(
  AND(REGEXMATCH(E7055, ""台銀籌備帳戶|玉山帳戶""), REGEXMATCH(C7055, ""薪資"")), ""分潤支出"",
  AND(REGEXMATCH(E7055, ""Ben帳戶|Elsa帳戶|Ben代墊|Ariel代墊|中信銀行共用""), REGEXMATCH(F7055, ""Ben帳戶|Elsa帳戶|Ben代墊|Ariel代墊|中信銀行共用"")), ""內部轉帳(忽略)"",
  AND(E7055&lt;&gt;"""", F7055&lt;&gt;"""", N"&amp;"OT(REGEXMATCH(C7055, ""薪資""))), ""內部轉帳(忽略)"",
  REGEXMATCH(C7055, ""薪資""), ""薪資變動(不計入)"",
  REGEXMATCH(C7055, ""押金""), ""押金往來"",
  AND(E7055&lt;&gt;"""", F7055=""""), ""真實支出"",
  AND(E7055="""", F7055&lt;&gt;""""), ""真實收入"",
  TRUE, ""其他""
)"),"其他")</f>
        <v>其他</v>
      </c>
      <c r="K7055" s="270" t="str">
        <f t="shared" si="2"/>
        <v/>
      </c>
      <c r="L7055">
        <f t="shared" si="3"/>
        <v>0</v>
      </c>
    </row>
    <row r="7056">
      <c r="A7056" s="107"/>
      <c r="D7056" s="270"/>
      <c r="H7056" s="106" t="str">
        <f t="shared" si="1"/>
        <v/>
      </c>
      <c r="J7056" t="str">
        <f>IFERROR(__xludf.DUMMYFUNCTION("IFS(
  AND(REGEXMATCH(E7056, ""台銀籌備帳戶|玉山帳戶""), REGEXMATCH(C7056, ""薪資"")), ""分潤支出"",
  AND(REGEXMATCH(E7056, ""Ben帳戶|Elsa帳戶|Ben代墊|Ariel代墊|中信銀行共用""), REGEXMATCH(F7056, ""Ben帳戶|Elsa帳戶|Ben代墊|Ariel代墊|中信銀行共用"")), ""內部轉帳(忽略)"",
  AND(E7056&lt;&gt;"""", F7056&lt;&gt;"""", N"&amp;"OT(REGEXMATCH(C7056, ""薪資""))), ""內部轉帳(忽略)"",
  REGEXMATCH(C7056, ""薪資""), ""薪資變動(不計入)"",
  REGEXMATCH(C7056, ""押金""), ""押金往來"",
  AND(E7056&lt;&gt;"""", F7056=""""), ""真實支出"",
  AND(E7056="""", F7056&lt;&gt;""""), ""真實收入"",
  TRUE, ""其他""
)"),"其他")</f>
        <v>其他</v>
      </c>
      <c r="K7056" s="270" t="str">
        <f t="shared" si="2"/>
        <v/>
      </c>
      <c r="L7056">
        <f t="shared" si="3"/>
        <v>0</v>
      </c>
    </row>
    <row r="7057">
      <c r="A7057" s="107"/>
      <c r="D7057" s="270"/>
      <c r="H7057" s="106" t="str">
        <f t="shared" si="1"/>
        <v/>
      </c>
      <c r="J7057" t="str">
        <f>IFERROR(__xludf.DUMMYFUNCTION("IFS(
  AND(REGEXMATCH(E7057, ""台銀籌備帳戶|玉山帳戶""), REGEXMATCH(C7057, ""薪資"")), ""分潤支出"",
  AND(REGEXMATCH(E7057, ""Ben帳戶|Elsa帳戶|Ben代墊|Ariel代墊|中信銀行共用""), REGEXMATCH(F7057, ""Ben帳戶|Elsa帳戶|Ben代墊|Ariel代墊|中信銀行共用"")), ""內部轉帳(忽略)"",
  AND(E7057&lt;&gt;"""", F7057&lt;&gt;"""", N"&amp;"OT(REGEXMATCH(C7057, ""薪資""))), ""內部轉帳(忽略)"",
  REGEXMATCH(C7057, ""薪資""), ""薪資變動(不計入)"",
  REGEXMATCH(C7057, ""押金""), ""押金往來"",
  AND(E7057&lt;&gt;"""", F7057=""""), ""真實支出"",
  AND(E7057="""", F7057&lt;&gt;""""), ""真實收入"",
  TRUE, ""其他""
)"),"其他")</f>
        <v>其他</v>
      </c>
      <c r="K7057" s="270" t="str">
        <f t="shared" si="2"/>
        <v/>
      </c>
      <c r="L7057">
        <f t="shared" si="3"/>
        <v>0</v>
      </c>
    </row>
    <row r="7058">
      <c r="A7058" s="107"/>
      <c r="D7058" s="270"/>
      <c r="H7058" s="106" t="str">
        <f t="shared" si="1"/>
        <v/>
      </c>
      <c r="J7058" t="str">
        <f>IFERROR(__xludf.DUMMYFUNCTION("IFS(
  AND(REGEXMATCH(E7058, ""台銀籌備帳戶|玉山帳戶""), REGEXMATCH(C7058, ""薪資"")), ""分潤支出"",
  AND(REGEXMATCH(E7058, ""Ben帳戶|Elsa帳戶|Ben代墊|Ariel代墊|中信銀行共用""), REGEXMATCH(F7058, ""Ben帳戶|Elsa帳戶|Ben代墊|Ariel代墊|中信銀行共用"")), ""內部轉帳(忽略)"",
  AND(E7058&lt;&gt;"""", F7058&lt;&gt;"""", N"&amp;"OT(REGEXMATCH(C7058, ""薪資""))), ""內部轉帳(忽略)"",
  REGEXMATCH(C7058, ""薪資""), ""薪資變動(不計入)"",
  REGEXMATCH(C7058, ""押金""), ""押金往來"",
  AND(E7058&lt;&gt;"""", F7058=""""), ""真實支出"",
  AND(E7058="""", F7058&lt;&gt;""""), ""真實收入"",
  TRUE, ""其他""
)"),"其他")</f>
        <v>其他</v>
      </c>
      <c r="K7058" s="270" t="str">
        <f t="shared" si="2"/>
        <v/>
      </c>
      <c r="L7058">
        <f t="shared" si="3"/>
        <v>0</v>
      </c>
    </row>
    <row r="7059">
      <c r="A7059" s="107"/>
      <c r="D7059" s="270"/>
      <c r="H7059" s="106" t="str">
        <f t="shared" si="1"/>
        <v/>
      </c>
      <c r="J7059" t="str">
        <f>IFERROR(__xludf.DUMMYFUNCTION("IFS(
  AND(REGEXMATCH(E7059, ""台銀籌備帳戶|玉山帳戶""), REGEXMATCH(C7059, ""薪資"")), ""分潤支出"",
  AND(REGEXMATCH(E7059, ""Ben帳戶|Elsa帳戶|Ben代墊|Ariel代墊|中信銀行共用""), REGEXMATCH(F7059, ""Ben帳戶|Elsa帳戶|Ben代墊|Ariel代墊|中信銀行共用"")), ""內部轉帳(忽略)"",
  AND(E7059&lt;&gt;"""", F7059&lt;&gt;"""", N"&amp;"OT(REGEXMATCH(C7059, ""薪資""))), ""內部轉帳(忽略)"",
  REGEXMATCH(C7059, ""薪資""), ""薪資變動(不計入)"",
  REGEXMATCH(C7059, ""押金""), ""押金往來"",
  AND(E7059&lt;&gt;"""", F7059=""""), ""真實支出"",
  AND(E7059="""", F7059&lt;&gt;""""), ""真實收入"",
  TRUE, ""其他""
)"),"其他")</f>
        <v>其他</v>
      </c>
      <c r="K7059" s="270" t="str">
        <f t="shared" si="2"/>
        <v/>
      </c>
      <c r="L7059">
        <f t="shared" si="3"/>
        <v>0</v>
      </c>
    </row>
    <row r="7060">
      <c r="A7060" s="107"/>
      <c r="D7060" s="270"/>
      <c r="H7060" s="106" t="str">
        <f t="shared" si="1"/>
        <v/>
      </c>
      <c r="J7060" t="str">
        <f>IFERROR(__xludf.DUMMYFUNCTION("IFS(
  AND(REGEXMATCH(E7060, ""台銀籌備帳戶|玉山帳戶""), REGEXMATCH(C7060, ""薪資"")), ""分潤支出"",
  AND(REGEXMATCH(E7060, ""Ben帳戶|Elsa帳戶|Ben代墊|Ariel代墊|中信銀行共用""), REGEXMATCH(F7060, ""Ben帳戶|Elsa帳戶|Ben代墊|Ariel代墊|中信銀行共用"")), ""內部轉帳(忽略)"",
  AND(E7060&lt;&gt;"""", F7060&lt;&gt;"""", N"&amp;"OT(REGEXMATCH(C7060, ""薪資""))), ""內部轉帳(忽略)"",
  REGEXMATCH(C7060, ""薪資""), ""薪資變動(不計入)"",
  REGEXMATCH(C7060, ""押金""), ""押金往來"",
  AND(E7060&lt;&gt;"""", F7060=""""), ""真實支出"",
  AND(E7060="""", F7060&lt;&gt;""""), ""真實收入"",
  TRUE, ""其他""
)"),"其他")</f>
        <v>其他</v>
      </c>
      <c r="K7060" s="270" t="str">
        <f t="shared" si="2"/>
        <v/>
      </c>
      <c r="L7060">
        <f t="shared" si="3"/>
        <v>0</v>
      </c>
    </row>
    <row r="7061">
      <c r="A7061" s="107"/>
      <c r="D7061" s="270"/>
      <c r="H7061" s="106" t="str">
        <f t="shared" si="1"/>
        <v/>
      </c>
      <c r="J7061" t="str">
        <f>IFERROR(__xludf.DUMMYFUNCTION("IFS(
  AND(REGEXMATCH(E7061, ""台銀籌備帳戶|玉山帳戶""), REGEXMATCH(C7061, ""薪資"")), ""分潤支出"",
  AND(REGEXMATCH(E7061, ""Ben帳戶|Elsa帳戶|Ben代墊|Ariel代墊|中信銀行共用""), REGEXMATCH(F7061, ""Ben帳戶|Elsa帳戶|Ben代墊|Ariel代墊|中信銀行共用"")), ""內部轉帳(忽略)"",
  AND(E7061&lt;&gt;"""", F7061&lt;&gt;"""", N"&amp;"OT(REGEXMATCH(C7061, ""薪資""))), ""內部轉帳(忽略)"",
  REGEXMATCH(C7061, ""薪資""), ""薪資變動(不計入)"",
  REGEXMATCH(C7061, ""押金""), ""押金往來"",
  AND(E7061&lt;&gt;"""", F7061=""""), ""真實支出"",
  AND(E7061="""", F7061&lt;&gt;""""), ""真實收入"",
  TRUE, ""其他""
)"),"其他")</f>
        <v>其他</v>
      </c>
      <c r="K7061" s="270" t="str">
        <f t="shared" si="2"/>
        <v/>
      </c>
      <c r="L7061">
        <f t="shared" si="3"/>
        <v>0</v>
      </c>
    </row>
    <row r="7062">
      <c r="A7062" s="107"/>
      <c r="D7062" s="270"/>
      <c r="H7062" s="106" t="str">
        <f t="shared" si="1"/>
        <v/>
      </c>
      <c r="J7062" t="str">
        <f>IFERROR(__xludf.DUMMYFUNCTION("IFS(
  AND(REGEXMATCH(E7062, ""台銀籌備帳戶|玉山帳戶""), REGEXMATCH(C7062, ""薪資"")), ""分潤支出"",
  AND(REGEXMATCH(E7062, ""Ben帳戶|Elsa帳戶|Ben代墊|Ariel代墊|中信銀行共用""), REGEXMATCH(F7062, ""Ben帳戶|Elsa帳戶|Ben代墊|Ariel代墊|中信銀行共用"")), ""內部轉帳(忽略)"",
  AND(E7062&lt;&gt;"""", F7062&lt;&gt;"""", N"&amp;"OT(REGEXMATCH(C7062, ""薪資""))), ""內部轉帳(忽略)"",
  REGEXMATCH(C7062, ""薪資""), ""薪資變動(不計入)"",
  REGEXMATCH(C7062, ""押金""), ""押金往來"",
  AND(E7062&lt;&gt;"""", F7062=""""), ""真實支出"",
  AND(E7062="""", F7062&lt;&gt;""""), ""真實收入"",
  TRUE, ""其他""
)"),"其他")</f>
        <v>其他</v>
      </c>
      <c r="K7062" s="270" t="str">
        <f t="shared" si="2"/>
        <v/>
      </c>
      <c r="L7062">
        <f t="shared" si="3"/>
        <v>0</v>
      </c>
    </row>
    <row r="7063">
      <c r="A7063" s="107"/>
      <c r="D7063" s="270"/>
      <c r="H7063" s="106" t="str">
        <f t="shared" si="1"/>
        <v/>
      </c>
      <c r="J7063" t="str">
        <f>IFERROR(__xludf.DUMMYFUNCTION("IFS(
  AND(REGEXMATCH(E7063, ""台銀籌備帳戶|玉山帳戶""), REGEXMATCH(C7063, ""薪資"")), ""分潤支出"",
  AND(REGEXMATCH(E7063, ""Ben帳戶|Elsa帳戶|Ben代墊|Ariel代墊|中信銀行共用""), REGEXMATCH(F7063, ""Ben帳戶|Elsa帳戶|Ben代墊|Ariel代墊|中信銀行共用"")), ""內部轉帳(忽略)"",
  AND(E7063&lt;&gt;"""", F7063&lt;&gt;"""", N"&amp;"OT(REGEXMATCH(C7063, ""薪資""))), ""內部轉帳(忽略)"",
  REGEXMATCH(C7063, ""薪資""), ""薪資變動(不計入)"",
  REGEXMATCH(C7063, ""押金""), ""押金往來"",
  AND(E7063&lt;&gt;"""", F7063=""""), ""真實支出"",
  AND(E7063="""", F7063&lt;&gt;""""), ""真實收入"",
  TRUE, ""其他""
)"),"其他")</f>
        <v>其他</v>
      </c>
      <c r="K7063" s="270" t="str">
        <f t="shared" si="2"/>
        <v/>
      </c>
      <c r="L7063">
        <f t="shared" si="3"/>
        <v>0</v>
      </c>
    </row>
    <row r="7064">
      <c r="A7064" s="107"/>
      <c r="D7064" s="270"/>
      <c r="H7064" s="106" t="str">
        <f t="shared" si="1"/>
        <v/>
      </c>
      <c r="J7064" t="str">
        <f>IFERROR(__xludf.DUMMYFUNCTION("IFS(
  AND(REGEXMATCH(E7064, ""台銀籌備帳戶|玉山帳戶""), REGEXMATCH(C7064, ""薪資"")), ""分潤支出"",
  AND(REGEXMATCH(E7064, ""Ben帳戶|Elsa帳戶|Ben代墊|Ariel代墊|中信銀行共用""), REGEXMATCH(F7064, ""Ben帳戶|Elsa帳戶|Ben代墊|Ariel代墊|中信銀行共用"")), ""內部轉帳(忽略)"",
  AND(E7064&lt;&gt;"""", F7064&lt;&gt;"""", N"&amp;"OT(REGEXMATCH(C7064, ""薪資""))), ""內部轉帳(忽略)"",
  REGEXMATCH(C7064, ""薪資""), ""薪資變動(不計入)"",
  REGEXMATCH(C7064, ""押金""), ""押金往來"",
  AND(E7064&lt;&gt;"""", F7064=""""), ""真實支出"",
  AND(E7064="""", F7064&lt;&gt;""""), ""真實收入"",
  TRUE, ""其他""
)"),"其他")</f>
        <v>其他</v>
      </c>
      <c r="K7064" s="270" t="str">
        <f t="shared" si="2"/>
        <v/>
      </c>
      <c r="L7064">
        <f t="shared" si="3"/>
        <v>0</v>
      </c>
    </row>
    <row r="7065">
      <c r="A7065" s="107"/>
      <c r="D7065" s="270"/>
      <c r="H7065" s="106" t="str">
        <f t="shared" si="1"/>
        <v/>
      </c>
      <c r="J7065" t="str">
        <f>IFERROR(__xludf.DUMMYFUNCTION("IFS(
  AND(REGEXMATCH(E7065, ""台銀籌備帳戶|玉山帳戶""), REGEXMATCH(C7065, ""薪資"")), ""分潤支出"",
  AND(REGEXMATCH(E7065, ""Ben帳戶|Elsa帳戶|Ben代墊|Ariel代墊|中信銀行共用""), REGEXMATCH(F7065, ""Ben帳戶|Elsa帳戶|Ben代墊|Ariel代墊|中信銀行共用"")), ""內部轉帳(忽略)"",
  AND(E7065&lt;&gt;"""", F7065&lt;&gt;"""", N"&amp;"OT(REGEXMATCH(C7065, ""薪資""))), ""內部轉帳(忽略)"",
  REGEXMATCH(C7065, ""薪資""), ""薪資變動(不計入)"",
  REGEXMATCH(C7065, ""押金""), ""押金往來"",
  AND(E7065&lt;&gt;"""", F7065=""""), ""真實支出"",
  AND(E7065="""", F7065&lt;&gt;""""), ""真實收入"",
  TRUE, ""其他""
)"),"其他")</f>
        <v>其他</v>
      </c>
      <c r="K7065" s="270" t="str">
        <f t="shared" si="2"/>
        <v/>
      </c>
      <c r="L7065">
        <f t="shared" si="3"/>
        <v>0</v>
      </c>
    </row>
    <row r="7066">
      <c r="A7066" s="107"/>
      <c r="D7066" s="270"/>
      <c r="H7066" s="106" t="str">
        <f t="shared" si="1"/>
        <v/>
      </c>
      <c r="J7066" t="str">
        <f>IFERROR(__xludf.DUMMYFUNCTION("IFS(
  AND(REGEXMATCH(E7066, ""台銀籌備帳戶|玉山帳戶""), REGEXMATCH(C7066, ""薪資"")), ""分潤支出"",
  AND(REGEXMATCH(E7066, ""Ben帳戶|Elsa帳戶|Ben代墊|Ariel代墊|中信銀行共用""), REGEXMATCH(F7066, ""Ben帳戶|Elsa帳戶|Ben代墊|Ariel代墊|中信銀行共用"")), ""內部轉帳(忽略)"",
  AND(E7066&lt;&gt;"""", F7066&lt;&gt;"""", N"&amp;"OT(REGEXMATCH(C7066, ""薪資""))), ""內部轉帳(忽略)"",
  REGEXMATCH(C7066, ""薪資""), ""薪資變動(不計入)"",
  REGEXMATCH(C7066, ""押金""), ""押金往來"",
  AND(E7066&lt;&gt;"""", F7066=""""), ""真實支出"",
  AND(E7066="""", F7066&lt;&gt;""""), ""真實收入"",
  TRUE, ""其他""
)"),"其他")</f>
        <v>其他</v>
      </c>
      <c r="K7066" s="270" t="str">
        <f t="shared" si="2"/>
        <v/>
      </c>
      <c r="L7066">
        <f t="shared" si="3"/>
        <v>0</v>
      </c>
    </row>
    <row r="7067">
      <c r="A7067" s="107"/>
      <c r="D7067" s="270"/>
      <c r="H7067" s="106" t="str">
        <f t="shared" si="1"/>
        <v/>
      </c>
      <c r="J7067" t="str">
        <f>IFERROR(__xludf.DUMMYFUNCTION("IFS(
  AND(REGEXMATCH(E7067, ""台銀籌備帳戶|玉山帳戶""), REGEXMATCH(C7067, ""薪資"")), ""分潤支出"",
  AND(REGEXMATCH(E7067, ""Ben帳戶|Elsa帳戶|Ben代墊|Ariel代墊|中信銀行共用""), REGEXMATCH(F7067, ""Ben帳戶|Elsa帳戶|Ben代墊|Ariel代墊|中信銀行共用"")), ""內部轉帳(忽略)"",
  AND(E7067&lt;&gt;"""", F7067&lt;&gt;"""", N"&amp;"OT(REGEXMATCH(C7067, ""薪資""))), ""內部轉帳(忽略)"",
  REGEXMATCH(C7067, ""薪資""), ""薪資變動(不計入)"",
  REGEXMATCH(C7067, ""押金""), ""押金往來"",
  AND(E7067&lt;&gt;"""", F7067=""""), ""真實支出"",
  AND(E7067="""", F7067&lt;&gt;""""), ""真實收入"",
  TRUE, ""其他""
)"),"其他")</f>
        <v>其他</v>
      </c>
      <c r="K7067" s="270" t="str">
        <f t="shared" si="2"/>
        <v/>
      </c>
      <c r="L7067">
        <f t="shared" si="3"/>
        <v>0</v>
      </c>
    </row>
    <row r="7068">
      <c r="A7068" s="107"/>
      <c r="D7068" s="270"/>
      <c r="H7068" s="106" t="str">
        <f t="shared" si="1"/>
        <v/>
      </c>
      <c r="J7068" t="str">
        <f>IFERROR(__xludf.DUMMYFUNCTION("IFS(
  AND(REGEXMATCH(E7068, ""台銀籌備帳戶|玉山帳戶""), REGEXMATCH(C7068, ""薪資"")), ""分潤支出"",
  AND(REGEXMATCH(E7068, ""Ben帳戶|Elsa帳戶|Ben代墊|Ariel代墊|中信銀行共用""), REGEXMATCH(F7068, ""Ben帳戶|Elsa帳戶|Ben代墊|Ariel代墊|中信銀行共用"")), ""內部轉帳(忽略)"",
  AND(E7068&lt;&gt;"""", F7068&lt;&gt;"""", N"&amp;"OT(REGEXMATCH(C7068, ""薪資""))), ""內部轉帳(忽略)"",
  REGEXMATCH(C7068, ""薪資""), ""薪資變動(不計入)"",
  REGEXMATCH(C7068, ""押金""), ""押金往來"",
  AND(E7068&lt;&gt;"""", F7068=""""), ""真實支出"",
  AND(E7068="""", F7068&lt;&gt;""""), ""真實收入"",
  TRUE, ""其他""
)"),"其他")</f>
        <v>其他</v>
      </c>
      <c r="K7068" s="270" t="str">
        <f t="shared" si="2"/>
        <v/>
      </c>
      <c r="L7068">
        <f t="shared" si="3"/>
        <v>0</v>
      </c>
    </row>
    <row r="7069">
      <c r="A7069" s="107"/>
      <c r="D7069" s="270"/>
      <c r="H7069" s="106" t="str">
        <f t="shared" si="1"/>
        <v/>
      </c>
      <c r="J7069" t="str">
        <f>IFERROR(__xludf.DUMMYFUNCTION("IFS(
  AND(REGEXMATCH(E7069, ""台銀籌備帳戶|玉山帳戶""), REGEXMATCH(C7069, ""薪資"")), ""分潤支出"",
  AND(REGEXMATCH(E7069, ""Ben帳戶|Elsa帳戶|Ben代墊|Ariel代墊|中信銀行共用""), REGEXMATCH(F7069, ""Ben帳戶|Elsa帳戶|Ben代墊|Ariel代墊|中信銀行共用"")), ""內部轉帳(忽略)"",
  AND(E7069&lt;&gt;"""", F7069&lt;&gt;"""", N"&amp;"OT(REGEXMATCH(C7069, ""薪資""))), ""內部轉帳(忽略)"",
  REGEXMATCH(C7069, ""薪資""), ""薪資變動(不計入)"",
  REGEXMATCH(C7069, ""押金""), ""押金往來"",
  AND(E7069&lt;&gt;"""", F7069=""""), ""真實支出"",
  AND(E7069="""", F7069&lt;&gt;""""), ""真實收入"",
  TRUE, ""其他""
)"),"其他")</f>
        <v>其他</v>
      </c>
      <c r="K7069" s="270" t="str">
        <f t="shared" si="2"/>
        <v/>
      </c>
      <c r="L7069">
        <f t="shared" si="3"/>
        <v>0</v>
      </c>
    </row>
    <row r="7070">
      <c r="A7070" s="107"/>
      <c r="D7070" s="270"/>
      <c r="H7070" s="106" t="str">
        <f t="shared" si="1"/>
        <v/>
      </c>
      <c r="J7070" t="str">
        <f>IFERROR(__xludf.DUMMYFUNCTION("IFS(
  AND(REGEXMATCH(E7070, ""台銀籌備帳戶|玉山帳戶""), REGEXMATCH(C7070, ""薪資"")), ""分潤支出"",
  AND(REGEXMATCH(E7070, ""Ben帳戶|Elsa帳戶|Ben代墊|Ariel代墊|中信銀行共用""), REGEXMATCH(F7070, ""Ben帳戶|Elsa帳戶|Ben代墊|Ariel代墊|中信銀行共用"")), ""內部轉帳(忽略)"",
  AND(E7070&lt;&gt;"""", F7070&lt;&gt;"""", N"&amp;"OT(REGEXMATCH(C7070, ""薪資""))), ""內部轉帳(忽略)"",
  REGEXMATCH(C7070, ""薪資""), ""薪資變動(不計入)"",
  REGEXMATCH(C7070, ""押金""), ""押金往來"",
  AND(E7070&lt;&gt;"""", F7070=""""), ""真實支出"",
  AND(E7070="""", F7070&lt;&gt;""""), ""真實收入"",
  TRUE, ""其他""
)"),"其他")</f>
        <v>其他</v>
      </c>
      <c r="K7070" s="270" t="str">
        <f t="shared" si="2"/>
        <v/>
      </c>
      <c r="L7070">
        <f t="shared" si="3"/>
        <v>0</v>
      </c>
    </row>
    <row r="7071">
      <c r="A7071" s="107"/>
      <c r="D7071" s="270"/>
      <c r="H7071" s="106" t="str">
        <f t="shared" si="1"/>
        <v/>
      </c>
      <c r="J7071" t="str">
        <f>IFERROR(__xludf.DUMMYFUNCTION("IFS(
  AND(REGEXMATCH(E7071, ""台銀籌備帳戶|玉山帳戶""), REGEXMATCH(C7071, ""薪資"")), ""分潤支出"",
  AND(REGEXMATCH(E7071, ""Ben帳戶|Elsa帳戶|Ben代墊|Ariel代墊|中信銀行共用""), REGEXMATCH(F7071, ""Ben帳戶|Elsa帳戶|Ben代墊|Ariel代墊|中信銀行共用"")), ""內部轉帳(忽略)"",
  AND(E7071&lt;&gt;"""", F7071&lt;&gt;"""", N"&amp;"OT(REGEXMATCH(C7071, ""薪資""))), ""內部轉帳(忽略)"",
  REGEXMATCH(C7071, ""薪資""), ""薪資變動(不計入)"",
  REGEXMATCH(C7071, ""押金""), ""押金往來"",
  AND(E7071&lt;&gt;"""", F7071=""""), ""真實支出"",
  AND(E7071="""", F7071&lt;&gt;""""), ""真實收入"",
  TRUE, ""其他""
)"),"其他")</f>
        <v>其他</v>
      </c>
      <c r="K7071" s="270" t="str">
        <f t="shared" si="2"/>
        <v/>
      </c>
      <c r="L7071">
        <f t="shared" si="3"/>
        <v>0</v>
      </c>
    </row>
    <row r="7072">
      <c r="A7072" s="107"/>
      <c r="D7072" s="270"/>
      <c r="H7072" s="106" t="str">
        <f t="shared" si="1"/>
        <v/>
      </c>
      <c r="J7072" t="str">
        <f>IFERROR(__xludf.DUMMYFUNCTION("IFS(
  AND(REGEXMATCH(E7072, ""台銀籌備帳戶|玉山帳戶""), REGEXMATCH(C7072, ""薪資"")), ""分潤支出"",
  AND(REGEXMATCH(E7072, ""Ben帳戶|Elsa帳戶|Ben代墊|Ariel代墊|中信銀行共用""), REGEXMATCH(F7072, ""Ben帳戶|Elsa帳戶|Ben代墊|Ariel代墊|中信銀行共用"")), ""內部轉帳(忽略)"",
  AND(E7072&lt;&gt;"""", F7072&lt;&gt;"""", N"&amp;"OT(REGEXMATCH(C7072, ""薪資""))), ""內部轉帳(忽略)"",
  REGEXMATCH(C7072, ""薪資""), ""薪資變動(不計入)"",
  REGEXMATCH(C7072, ""押金""), ""押金往來"",
  AND(E7072&lt;&gt;"""", F7072=""""), ""真實支出"",
  AND(E7072="""", F7072&lt;&gt;""""), ""真實收入"",
  TRUE, ""其他""
)"),"其他")</f>
        <v>其他</v>
      </c>
      <c r="K7072" s="270" t="str">
        <f t="shared" si="2"/>
        <v/>
      </c>
      <c r="L7072">
        <f t="shared" si="3"/>
        <v>0</v>
      </c>
    </row>
    <row r="7073">
      <c r="A7073" s="107"/>
      <c r="D7073" s="270"/>
      <c r="H7073" s="106" t="str">
        <f t="shared" si="1"/>
        <v/>
      </c>
      <c r="J7073" t="str">
        <f>IFERROR(__xludf.DUMMYFUNCTION("IFS(
  AND(REGEXMATCH(E7073, ""台銀籌備帳戶|玉山帳戶""), REGEXMATCH(C7073, ""薪資"")), ""分潤支出"",
  AND(REGEXMATCH(E7073, ""Ben帳戶|Elsa帳戶|Ben代墊|Ariel代墊|中信銀行共用""), REGEXMATCH(F7073, ""Ben帳戶|Elsa帳戶|Ben代墊|Ariel代墊|中信銀行共用"")), ""內部轉帳(忽略)"",
  AND(E7073&lt;&gt;"""", F7073&lt;&gt;"""", N"&amp;"OT(REGEXMATCH(C7073, ""薪資""))), ""內部轉帳(忽略)"",
  REGEXMATCH(C7073, ""薪資""), ""薪資變動(不計入)"",
  REGEXMATCH(C7073, ""押金""), ""押金往來"",
  AND(E7073&lt;&gt;"""", F7073=""""), ""真實支出"",
  AND(E7073="""", F7073&lt;&gt;""""), ""真實收入"",
  TRUE, ""其他""
)"),"其他")</f>
        <v>其他</v>
      </c>
      <c r="K7073" s="270" t="str">
        <f t="shared" si="2"/>
        <v/>
      </c>
      <c r="L7073">
        <f t="shared" si="3"/>
        <v>0</v>
      </c>
    </row>
    <row r="7074">
      <c r="A7074" s="107"/>
      <c r="D7074" s="270"/>
      <c r="H7074" s="106" t="str">
        <f t="shared" si="1"/>
        <v/>
      </c>
      <c r="J7074" t="str">
        <f>IFERROR(__xludf.DUMMYFUNCTION("IFS(
  AND(REGEXMATCH(E7074, ""台銀籌備帳戶|玉山帳戶""), REGEXMATCH(C7074, ""薪資"")), ""分潤支出"",
  AND(REGEXMATCH(E7074, ""Ben帳戶|Elsa帳戶|Ben代墊|Ariel代墊|中信銀行共用""), REGEXMATCH(F7074, ""Ben帳戶|Elsa帳戶|Ben代墊|Ariel代墊|中信銀行共用"")), ""內部轉帳(忽略)"",
  AND(E7074&lt;&gt;"""", F7074&lt;&gt;"""", N"&amp;"OT(REGEXMATCH(C7074, ""薪資""))), ""內部轉帳(忽略)"",
  REGEXMATCH(C7074, ""薪資""), ""薪資變動(不計入)"",
  REGEXMATCH(C7074, ""押金""), ""押金往來"",
  AND(E7074&lt;&gt;"""", F7074=""""), ""真實支出"",
  AND(E7074="""", F7074&lt;&gt;""""), ""真實收入"",
  TRUE, ""其他""
)"),"其他")</f>
        <v>其他</v>
      </c>
      <c r="K7074" s="270" t="str">
        <f t="shared" si="2"/>
        <v/>
      </c>
      <c r="L7074">
        <f t="shared" si="3"/>
        <v>0</v>
      </c>
    </row>
    <row r="7075">
      <c r="A7075" s="107"/>
      <c r="D7075" s="270"/>
      <c r="H7075" s="106" t="str">
        <f t="shared" si="1"/>
        <v/>
      </c>
      <c r="J7075" t="str">
        <f>IFERROR(__xludf.DUMMYFUNCTION("IFS(
  AND(REGEXMATCH(E7075, ""台銀籌備帳戶|玉山帳戶""), REGEXMATCH(C7075, ""薪資"")), ""分潤支出"",
  AND(REGEXMATCH(E7075, ""Ben帳戶|Elsa帳戶|Ben代墊|Ariel代墊|中信銀行共用""), REGEXMATCH(F7075, ""Ben帳戶|Elsa帳戶|Ben代墊|Ariel代墊|中信銀行共用"")), ""內部轉帳(忽略)"",
  AND(E7075&lt;&gt;"""", F7075&lt;&gt;"""", N"&amp;"OT(REGEXMATCH(C7075, ""薪資""))), ""內部轉帳(忽略)"",
  REGEXMATCH(C7075, ""薪資""), ""薪資變動(不計入)"",
  REGEXMATCH(C7075, ""押金""), ""押金往來"",
  AND(E7075&lt;&gt;"""", F7075=""""), ""真實支出"",
  AND(E7075="""", F7075&lt;&gt;""""), ""真實收入"",
  TRUE, ""其他""
)"),"其他")</f>
        <v>其他</v>
      </c>
      <c r="K7075" s="270" t="str">
        <f t="shared" si="2"/>
        <v/>
      </c>
      <c r="L7075">
        <f t="shared" si="3"/>
        <v>0</v>
      </c>
    </row>
    <row r="7076">
      <c r="A7076" s="107"/>
      <c r="D7076" s="270"/>
      <c r="H7076" s="106" t="str">
        <f t="shared" si="1"/>
        <v/>
      </c>
      <c r="J7076" t="str">
        <f>IFERROR(__xludf.DUMMYFUNCTION("IFS(
  AND(REGEXMATCH(E7076, ""台銀籌備帳戶|玉山帳戶""), REGEXMATCH(C7076, ""薪資"")), ""分潤支出"",
  AND(REGEXMATCH(E7076, ""Ben帳戶|Elsa帳戶|Ben代墊|Ariel代墊|中信銀行共用""), REGEXMATCH(F7076, ""Ben帳戶|Elsa帳戶|Ben代墊|Ariel代墊|中信銀行共用"")), ""內部轉帳(忽略)"",
  AND(E7076&lt;&gt;"""", F7076&lt;&gt;"""", N"&amp;"OT(REGEXMATCH(C7076, ""薪資""))), ""內部轉帳(忽略)"",
  REGEXMATCH(C7076, ""薪資""), ""薪資變動(不計入)"",
  REGEXMATCH(C7076, ""押金""), ""押金往來"",
  AND(E7076&lt;&gt;"""", F7076=""""), ""真實支出"",
  AND(E7076="""", F7076&lt;&gt;""""), ""真實收入"",
  TRUE, ""其他""
)"),"其他")</f>
        <v>其他</v>
      </c>
      <c r="K7076" s="270" t="str">
        <f t="shared" si="2"/>
        <v/>
      </c>
      <c r="L7076">
        <f t="shared" si="3"/>
        <v>0</v>
      </c>
    </row>
    <row r="7077">
      <c r="A7077" s="107"/>
      <c r="D7077" s="270"/>
      <c r="H7077" s="106" t="str">
        <f t="shared" si="1"/>
        <v/>
      </c>
      <c r="J7077" t="str">
        <f>IFERROR(__xludf.DUMMYFUNCTION("IFS(
  AND(REGEXMATCH(E7077, ""台銀籌備帳戶|玉山帳戶""), REGEXMATCH(C7077, ""薪資"")), ""分潤支出"",
  AND(REGEXMATCH(E7077, ""Ben帳戶|Elsa帳戶|Ben代墊|Ariel代墊|中信銀行共用""), REGEXMATCH(F7077, ""Ben帳戶|Elsa帳戶|Ben代墊|Ariel代墊|中信銀行共用"")), ""內部轉帳(忽略)"",
  AND(E7077&lt;&gt;"""", F7077&lt;&gt;"""", N"&amp;"OT(REGEXMATCH(C7077, ""薪資""))), ""內部轉帳(忽略)"",
  REGEXMATCH(C7077, ""薪資""), ""薪資變動(不計入)"",
  REGEXMATCH(C7077, ""押金""), ""押金往來"",
  AND(E7077&lt;&gt;"""", F7077=""""), ""真實支出"",
  AND(E7077="""", F7077&lt;&gt;""""), ""真實收入"",
  TRUE, ""其他""
)"),"其他")</f>
        <v>其他</v>
      </c>
      <c r="K7077" s="270" t="str">
        <f t="shared" si="2"/>
        <v/>
      </c>
      <c r="L7077">
        <f t="shared" si="3"/>
        <v>0</v>
      </c>
    </row>
    <row r="7078">
      <c r="A7078" s="107"/>
      <c r="D7078" s="270"/>
      <c r="H7078" s="106" t="str">
        <f t="shared" si="1"/>
        <v/>
      </c>
      <c r="J7078" t="str">
        <f>IFERROR(__xludf.DUMMYFUNCTION("IFS(
  AND(REGEXMATCH(E7078, ""台銀籌備帳戶|玉山帳戶""), REGEXMATCH(C7078, ""薪資"")), ""分潤支出"",
  AND(REGEXMATCH(E7078, ""Ben帳戶|Elsa帳戶|Ben代墊|Ariel代墊|中信銀行共用""), REGEXMATCH(F7078, ""Ben帳戶|Elsa帳戶|Ben代墊|Ariel代墊|中信銀行共用"")), ""內部轉帳(忽略)"",
  AND(E7078&lt;&gt;"""", F7078&lt;&gt;"""", N"&amp;"OT(REGEXMATCH(C7078, ""薪資""))), ""內部轉帳(忽略)"",
  REGEXMATCH(C7078, ""薪資""), ""薪資變動(不計入)"",
  REGEXMATCH(C7078, ""押金""), ""押金往來"",
  AND(E7078&lt;&gt;"""", F7078=""""), ""真實支出"",
  AND(E7078="""", F7078&lt;&gt;""""), ""真實收入"",
  TRUE, ""其他""
)"),"其他")</f>
        <v>其他</v>
      </c>
      <c r="K7078" s="270" t="str">
        <f t="shared" si="2"/>
        <v/>
      </c>
      <c r="L7078">
        <f t="shared" si="3"/>
        <v>0</v>
      </c>
    </row>
    <row r="7079">
      <c r="A7079" s="107"/>
      <c r="D7079" s="270"/>
      <c r="H7079" s="106" t="str">
        <f t="shared" si="1"/>
        <v/>
      </c>
      <c r="J7079" t="str">
        <f>IFERROR(__xludf.DUMMYFUNCTION("IFS(
  AND(REGEXMATCH(E7079, ""台銀籌備帳戶|玉山帳戶""), REGEXMATCH(C7079, ""薪資"")), ""分潤支出"",
  AND(REGEXMATCH(E7079, ""Ben帳戶|Elsa帳戶|Ben代墊|Ariel代墊|中信銀行共用""), REGEXMATCH(F7079, ""Ben帳戶|Elsa帳戶|Ben代墊|Ariel代墊|中信銀行共用"")), ""內部轉帳(忽略)"",
  AND(E7079&lt;&gt;"""", F7079&lt;&gt;"""", N"&amp;"OT(REGEXMATCH(C7079, ""薪資""))), ""內部轉帳(忽略)"",
  REGEXMATCH(C7079, ""薪資""), ""薪資變動(不計入)"",
  REGEXMATCH(C7079, ""押金""), ""押金往來"",
  AND(E7079&lt;&gt;"""", F7079=""""), ""真實支出"",
  AND(E7079="""", F7079&lt;&gt;""""), ""真實收入"",
  TRUE, ""其他""
)"),"其他")</f>
        <v>其他</v>
      </c>
      <c r="K7079" s="270" t="str">
        <f t="shared" si="2"/>
        <v/>
      </c>
      <c r="L7079">
        <f t="shared" si="3"/>
        <v>0</v>
      </c>
    </row>
    <row r="7080">
      <c r="A7080" s="107"/>
      <c r="D7080" s="270"/>
      <c r="H7080" s="106" t="str">
        <f t="shared" si="1"/>
        <v/>
      </c>
      <c r="J7080" t="str">
        <f>IFERROR(__xludf.DUMMYFUNCTION("IFS(
  AND(REGEXMATCH(E7080, ""台銀籌備帳戶|玉山帳戶""), REGEXMATCH(C7080, ""薪資"")), ""分潤支出"",
  AND(REGEXMATCH(E7080, ""Ben帳戶|Elsa帳戶|Ben代墊|Ariel代墊|中信銀行共用""), REGEXMATCH(F7080, ""Ben帳戶|Elsa帳戶|Ben代墊|Ariel代墊|中信銀行共用"")), ""內部轉帳(忽略)"",
  AND(E7080&lt;&gt;"""", F7080&lt;&gt;"""", N"&amp;"OT(REGEXMATCH(C7080, ""薪資""))), ""內部轉帳(忽略)"",
  REGEXMATCH(C7080, ""薪資""), ""薪資變動(不計入)"",
  REGEXMATCH(C7080, ""押金""), ""押金往來"",
  AND(E7080&lt;&gt;"""", F7080=""""), ""真實支出"",
  AND(E7080="""", F7080&lt;&gt;""""), ""真實收入"",
  TRUE, ""其他""
)"),"其他")</f>
        <v>其他</v>
      </c>
      <c r="K7080" s="270" t="str">
        <f t="shared" si="2"/>
        <v/>
      </c>
      <c r="L7080">
        <f t="shared" si="3"/>
        <v>0</v>
      </c>
    </row>
    <row r="7081">
      <c r="A7081" s="107"/>
      <c r="D7081" s="270"/>
      <c r="H7081" s="106" t="str">
        <f t="shared" si="1"/>
        <v/>
      </c>
      <c r="J7081" t="str">
        <f>IFERROR(__xludf.DUMMYFUNCTION("IFS(
  AND(REGEXMATCH(E7081, ""台銀籌備帳戶|玉山帳戶""), REGEXMATCH(C7081, ""薪資"")), ""分潤支出"",
  AND(REGEXMATCH(E7081, ""Ben帳戶|Elsa帳戶|Ben代墊|Ariel代墊|中信銀行共用""), REGEXMATCH(F7081, ""Ben帳戶|Elsa帳戶|Ben代墊|Ariel代墊|中信銀行共用"")), ""內部轉帳(忽略)"",
  AND(E7081&lt;&gt;"""", F7081&lt;&gt;"""", N"&amp;"OT(REGEXMATCH(C7081, ""薪資""))), ""內部轉帳(忽略)"",
  REGEXMATCH(C7081, ""薪資""), ""薪資變動(不計入)"",
  REGEXMATCH(C7081, ""押金""), ""押金往來"",
  AND(E7081&lt;&gt;"""", F7081=""""), ""真實支出"",
  AND(E7081="""", F7081&lt;&gt;""""), ""真實收入"",
  TRUE, ""其他""
)"),"其他")</f>
        <v>其他</v>
      </c>
      <c r="K7081" s="270" t="str">
        <f t="shared" si="2"/>
        <v/>
      </c>
      <c r="L7081">
        <f t="shared" si="3"/>
        <v>0</v>
      </c>
    </row>
    <row r="7082">
      <c r="A7082" s="107"/>
      <c r="D7082" s="270"/>
      <c r="H7082" s="106" t="str">
        <f t="shared" si="1"/>
        <v/>
      </c>
      <c r="J7082" t="str">
        <f>IFERROR(__xludf.DUMMYFUNCTION("IFS(
  AND(REGEXMATCH(E7082, ""台銀籌備帳戶|玉山帳戶""), REGEXMATCH(C7082, ""薪資"")), ""分潤支出"",
  AND(REGEXMATCH(E7082, ""Ben帳戶|Elsa帳戶|Ben代墊|Ariel代墊|中信銀行共用""), REGEXMATCH(F7082, ""Ben帳戶|Elsa帳戶|Ben代墊|Ariel代墊|中信銀行共用"")), ""內部轉帳(忽略)"",
  AND(E7082&lt;&gt;"""", F7082&lt;&gt;"""", N"&amp;"OT(REGEXMATCH(C7082, ""薪資""))), ""內部轉帳(忽略)"",
  REGEXMATCH(C7082, ""薪資""), ""薪資變動(不計入)"",
  REGEXMATCH(C7082, ""押金""), ""押金往來"",
  AND(E7082&lt;&gt;"""", F7082=""""), ""真實支出"",
  AND(E7082="""", F7082&lt;&gt;""""), ""真實收入"",
  TRUE, ""其他""
)"),"其他")</f>
        <v>其他</v>
      </c>
      <c r="K7082" s="270" t="str">
        <f t="shared" si="2"/>
        <v/>
      </c>
      <c r="L7082">
        <f t="shared" si="3"/>
        <v>0</v>
      </c>
    </row>
    <row r="7083">
      <c r="A7083" s="107"/>
      <c r="D7083" s="270"/>
      <c r="H7083" s="106" t="str">
        <f t="shared" si="1"/>
        <v/>
      </c>
      <c r="J7083" t="str">
        <f>IFERROR(__xludf.DUMMYFUNCTION("IFS(
  AND(REGEXMATCH(E7083, ""台銀籌備帳戶|玉山帳戶""), REGEXMATCH(C7083, ""薪資"")), ""分潤支出"",
  AND(REGEXMATCH(E7083, ""Ben帳戶|Elsa帳戶|Ben代墊|Ariel代墊|中信銀行共用""), REGEXMATCH(F7083, ""Ben帳戶|Elsa帳戶|Ben代墊|Ariel代墊|中信銀行共用"")), ""內部轉帳(忽略)"",
  AND(E7083&lt;&gt;"""", F7083&lt;&gt;"""", N"&amp;"OT(REGEXMATCH(C7083, ""薪資""))), ""內部轉帳(忽略)"",
  REGEXMATCH(C7083, ""薪資""), ""薪資變動(不計入)"",
  REGEXMATCH(C7083, ""押金""), ""押金往來"",
  AND(E7083&lt;&gt;"""", F7083=""""), ""真實支出"",
  AND(E7083="""", F7083&lt;&gt;""""), ""真實收入"",
  TRUE, ""其他""
)"),"其他")</f>
        <v>其他</v>
      </c>
      <c r="K7083" s="270" t="str">
        <f t="shared" si="2"/>
        <v/>
      </c>
      <c r="L7083">
        <f t="shared" si="3"/>
        <v>0</v>
      </c>
    </row>
    <row r="7084">
      <c r="A7084" s="107"/>
      <c r="D7084" s="270"/>
      <c r="H7084" s="106" t="str">
        <f t="shared" si="1"/>
        <v/>
      </c>
      <c r="J7084" t="str">
        <f>IFERROR(__xludf.DUMMYFUNCTION("IFS(
  AND(REGEXMATCH(E7084, ""台銀籌備帳戶|玉山帳戶""), REGEXMATCH(C7084, ""薪資"")), ""分潤支出"",
  AND(REGEXMATCH(E7084, ""Ben帳戶|Elsa帳戶|Ben代墊|Ariel代墊|中信銀行共用""), REGEXMATCH(F7084, ""Ben帳戶|Elsa帳戶|Ben代墊|Ariel代墊|中信銀行共用"")), ""內部轉帳(忽略)"",
  AND(E7084&lt;&gt;"""", F7084&lt;&gt;"""", N"&amp;"OT(REGEXMATCH(C7084, ""薪資""))), ""內部轉帳(忽略)"",
  REGEXMATCH(C7084, ""薪資""), ""薪資變動(不計入)"",
  REGEXMATCH(C7084, ""押金""), ""押金往來"",
  AND(E7084&lt;&gt;"""", F7084=""""), ""真實支出"",
  AND(E7084="""", F7084&lt;&gt;""""), ""真實收入"",
  TRUE, ""其他""
)"),"其他")</f>
        <v>其他</v>
      </c>
      <c r="K7084" s="270" t="str">
        <f t="shared" si="2"/>
        <v/>
      </c>
      <c r="L7084">
        <f t="shared" si="3"/>
        <v>0</v>
      </c>
    </row>
    <row r="7085">
      <c r="A7085" s="107"/>
      <c r="D7085" s="270"/>
      <c r="H7085" s="106" t="str">
        <f t="shared" si="1"/>
        <v/>
      </c>
      <c r="J7085" t="str">
        <f>IFERROR(__xludf.DUMMYFUNCTION("IFS(
  AND(REGEXMATCH(E7085, ""台銀籌備帳戶|玉山帳戶""), REGEXMATCH(C7085, ""薪資"")), ""分潤支出"",
  AND(REGEXMATCH(E7085, ""Ben帳戶|Elsa帳戶|Ben代墊|Ariel代墊|中信銀行共用""), REGEXMATCH(F7085, ""Ben帳戶|Elsa帳戶|Ben代墊|Ariel代墊|中信銀行共用"")), ""內部轉帳(忽略)"",
  AND(E7085&lt;&gt;"""", F7085&lt;&gt;"""", N"&amp;"OT(REGEXMATCH(C7085, ""薪資""))), ""內部轉帳(忽略)"",
  REGEXMATCH(C7085, ""薪資""), ""薪資變動(不計入)"",
  REGEXMATCH(C7085, ""押金""), ""押金往來"",
  AND(E7085&lt;&gt;"""", F7085=""""), ""真實支出"",
  AND(E7085="""", F7085&lt;&gt;""""), ""真實收入"",
  TRUE, ""其他""
)"),"其他")</f>
        <v>其他</v>
      </c>
      <c r="K7085" s="270" t="str">
        <f t="shared" si="2"/>
        <v/>
      </c>
      <c r="L7085">
        <f t="shared" si="3"/>
        <v>0</v>
      </c>
    </row>
    <row r="7086">
      <c r="A7086" s="107"/>
      <c r="D7086" s="270"/>
      <c r="H7086" s="106" t="str">
        <f t="shared" si="1"/>
        <v/>
      </c>
      <c r="J7086" t="str">
        <f>IFERROR(__xludf.DUMMYFUNCTION("IFS(
  AND(REGEXMATCH(E7086, ""台銀籌備帳戶|玉山帳戶""), REGEXMATCH(C7086, ""薪資"")), ""分潤支出"",
  AND(REGEXMATCH(E7086, ""Ben帳戶|Elsa帳戶|Ben代墊|Ariel代墊|中信銀行共用""), REGEXMATCH(F7086, ""Ben帳戶|Elsa帳戶|Ben代墊|Ariel代墊|中信銀行共用"")), ""內部轉帳(忽略)"",
  AND(E7086&lt;&gt;"""", F7086&lt;&gt;"""", N"&amp;"OT(REGEXMATCH(C7086, ""薪資""))), ""內部轉帳(忽略)"",
  REGEXMATCH(C7086, ""薪資""), ""薪資變動(不計入)"",
  REGEXMATCH(C7086, ""押金""), ""押金往來"",
  AND(E7086&lt;&gt;"""", F7086=""""), ""真實支出"",
  AND(E7086="""", F7086&lt;&gt;""""), ""真實收入"",
  TRUE, ""其他""
)"),"其他")</f>
        <v>其他</v>
      </c>
      <c r="K7086" s="270" t="str">
        <f t="shared" si="2"/>
        <v/>
      </c>
      <c r="L7086">
        <f t="shared" si="3"/>
        <v>0</v>
      </c>
    </row>
    <row r="7087">
      <c r="A7087" s="107"/>
      <c r="D7087" s="270"/>
      <c r="H7087" s="106" t="str">
        <f t="shared" si="1"/>
        <v/>
      </c>
      <c r="J7087" t="str">
        <f>IFERROR(__xludf.DUMMYFUNCTION("IFS(
  AND(REGEXMATCH(E7087, ""台銀籌備帳戶|玉山帳戶""), REGEXMATCH(C7087, ""薪資"")), ""分潤支出"",
  AND(REGEXMATCH(E7087, ""Ben帳戶|Elsa帳戶|Ben代墊|Ariel代墊|中信銀行共用""), REGEXMATCH(F7087, ""Ben帳戶|Elsa帳戶|Ben代墊|Ariel代墊|中信銀行共用"")), ""內部轉帳(忽略)"",
  AND(E7087&lt;&gt;"""", F7087&lt;&gt;"""", N"&amp;"OT(REGEXMATCH(C7087, ""薪資""))), ""內部轉帳(忽略)"",
  REGEXMATCH(C7087, ""薪資""), ""薪資變動(不計入)"",
  REGEXMATCH(C7087, ""押金""), ""押金往來"",
  AND(E7087&lt;&gt;"""", F7087=""""), ""真實支出"",
  AND(E7087="""", F7087&lt;&gt;""""), ""真實收入"",
  TRUE, ""其他""
)"),"其他")</f>
        <v>其他</v>
      </c>
      <c r="K7087" s="270" t="str">
        <f t="shared" si="2"/>
        <v/>
      </c>
      <c r="L7087">
        <f t="shared" si="3"/>
        <v>0</v>
      </c>
    </row>
    <row r="7088">
      <c r="A7088" s="107"/>
      <c r="D7088" s="270"/>
      <c r="H7088" s="106" t="str">
        <f t="shared" si="1"/>
        <v/>
      </c>
      <c r="J7088" t="str">
        <f>IFERROR(__xludf.DUMMYFUNCTION("IFS(
  AND(REGEXMATCH(E7088, ""台銀籌備帳戶|玉山帳戶""), REGEXMATCH(C7088, ""薪資"")), ""分潤支出"",
  AND(REGEXMATCH(E7088, ""Ben帳戶|Elsa帳戶|Ben代墊|Ariel代墊|中信銀行共用""), REGEXMATCH(F7088, ""Ben帳戶|Elsa帳戶|Ben代墊|Ariel代墊|中信銀行共用"")), ""內部轉帳(忽略)"",
  AND(E7088&lt;&gt;"""", F7088&lt;&gt;"""", N"&amp;"OT(REGEXMATCH(C7088, ""薪資""))), ""內部轉帳(忽略)"",
  REGEXMATCH(C7088, ""薪資""), ""薪資變動(不計入)"",
  REGEXMATCH(C7088, ""押金""), ""押金往來"",
  AND(E7088&lt;&gt;"""", F7088=""""), ""真實支出"",
  AND(E7088="""", F7088&lt;&gt;""""), ""真實收入"",
  TRUE, ""其他""
)"),"其他")</f>
        <v>其他</v>
      </c>
      <c r="K7088" s="270" t="str">
        <f t="shared" si="2"/>
        <v/>
      </c>
      <c r="L7088">
        <f t="shared" si="3"/>
        <v>0</v>
      </c>
    </row>
    <row r="7089">
      <c r="A7089" s="107"/>
      <c r="D7089" s="270"/>
      <c r="H7089" s="106" t="str">
        <f t="shared" si="1"/>
        <v/>
      </c>
      <c r="J7089" t="str">
        <f>IFERROR(__xludf.DUMMYFUNCTION("IFS(
  AND(REGEXMATCH(E7089, ""台銀籌備帳戶|玉山帳戶""), REGEXMATCH(C7089, ""薪資"")), ""分潤支出"",
  AND(REGEXMATCH(E7089, ""Ben帳戶|Elsa帳戶|Ben代墊|Ariel代墊|中信銀行共用""), REGEXMATCH(F7089, ""Ben帳戶|Elsa帳戶|Ben代墊|Ariel代墊|中信銀行共用"")), ""內部轉帳(忽略)"",
  AND(E7089&lt;&gt;"""", F7089&lt;&gt;"""", N"&amp;"OT(REGEXMATCH(C7089, ""薪資""))), ""內部轉帳(忽略)"",
  REGEXMATCH(C7089, ""薪資""), ""薪資變動(不計入)"",
  REGEXMATCH(C7089, ""押金""), ""押金往來"",
  AND(E7089&lt;&gt;"""", F7089=""""), ""真實支出"",
  AND(E7089="""", F7089&lt;&gt;""""), ""真實收入"",
  TRUE, ""其他""
)"),"其他")</f>
        <v>其他</v>
      </c>
      <c r="K7089" s="270" t="str">
        <f t="shared" si="2"/>
        <v/>
      </c>
      <c r="L7089">
        <f t="shared" si="3"/>
        <v>0</v>
      </c>
    </row>
    <row r="7090">
      <c r="A7090" s="107"/>
      <c r="D7090" s="270"/>
      <c r="H7090" s="106" t="str">
        <f t="shared" si="1"/>
        <v/>
      </c>
      <c r="J7090" t="str">
        <f>IFERROR(__xludf.DUMMYFUNCTION("IFS(
  AND(REGEXMATCH(E7090, ""台銀籌備帳戶|玉山帳戶""), REGEXMATCH(C7090, ""薪資"")), ""分潤支出"",
  AND(REGEXMATCH(E7090, ""Ben帳戶|Elsa帳戶|Ben代墊|Ariel代墊|中信銀行共用""), REGEXMATCH(F7090, ""Ben帳戶|Elsa帳戶|Ben代墊|Ariel代墊|中信銀行共用"")), ""內部轉帳(忽略)"",
  AND(E7090&lt;&gt;"""", F7090&lt;&gt;"""", N"&amp;"OT(REGEXMATCH(C7090, ""薪資""))), ""內部轉帳(忽略)"",
  REGEXMATCH(C7090, ""薪資""), ""薪資變動(不計入)"",
  REGEXMATCH(C7090, ""押金""), ""押金往來"",
  AND(E7090&lt;&gt;"""", F7090=""""), ""真實支出"",
  AND(E7090="""", F7090&lt;&gt;""""), ""真實收入"",
  TRUE, ""其他""
)"),"其他")</f>
        <v>其他</v>
      </c>
      <c r="K7090" s="270" t="str">
        <f t="shared" si="2"/>
        <v/>
      </c>
      <c r="L7090">
        <f t="shared" si="3"/>
        <v>0</v>
      </c>
    </row>
    <row r="7091">
      <c r="A7091" s="107"/>
      <c r="D7091" s="270"/>
      <c r="H7091" s="106" t="str">
        <f t="shared" si="1"/>
        <v/>
      </c>
      <c r="J7091" t="str">
        <f>IFERROR(__xludf.DUMMYFUNCTION("IFS(
  AND(REGEXMATCH(E7091, ""台銀籌備帳戶|玉山帳戶""), REGEXMATCH(C7091, ""薪資"")), ""分潤支出"",
  AND(REGEXMATCH(E7091, ""Ben帳戶|Elsa帳戶|Ben代墊|Ariel代墊|中信銀行共用""), REGEXMATCH(F7091, ""Ben帳戶|Elsa帳戶|Ben代墊|Ariel代墊|中信銀行共用"")), ""內部轉帳(忽略)"",
  AND(E7091&lt;&gt;"""", F7091&lt;&gt;"""", N"&amp;"OT(REGEXMATCH(C7091, ""薪資""))), ""內部轉帳(忽略)"",
  REGEXMATCH(C7091, ""薪資""), ""薪資變動(不計入)"",
  REGEXMATCH(C7091, ""押金""), ""押金往來"",
  AND(E7091&lt;&gt;"""", F7091=""""), ""真實支出"",
  AND(E7091="""", F7091&lt;&gt;""""), ""真實收入"",
  TRUE, ""其他""
)"),"其他")</f>
        <v>其他</v>
      </c>
      <c r="K7091" s="270" t="str">
        <f t="shared" si="2"/>
        <v/>
      </c>
      <c r="L7091">
        <f t="shared" si="3"/>
        <v>0</v>
      </c>
    </row>
    <row r="7092">
      <c r="A7092" s="107"/>
      <c r="D7092" s="270"/>
      <c r="H7092" s="106" t="str">
        <f t="shared" si="1"/>
        <v/>
      </c>
      <c r="J7092" t="str">
        <f>IFERROR(__xludf.DUMMYFUNCTION("IFS(
  AND(REGEXMATCH(E7092, ""台銀籌備帳戶|玉山帳戶""), REGEXMATCH(C7092, ""薪資"")), ""分潤支出"",
  AND(REGEXMATCH(E7092, ""Ben帳戶|Elsa帳戶|Ben代墊|Ariel代墊|中信銀行共用""), REGEXMATCH(F7092, ""Ben帳戶|Elsa帳戶|Ben代墊|Ariel代墊|中信銀行共用"")), ""內部轉帳(忽略)"",
  AND(E7092&lt;&gt;"""", F7092&lt;&gt;"""", N"&amp;"OT(REGEXMATCH(C7092, ""薪資""))), ""內部轉帳(忽略)"",
  REGEXMATCH(C7092, ""薪資""), ""薪資變動(不計入)"",
  REGEXMATCH(C7092, ""押金""), ""押金往來"",
  AND(E7092&lt;&gt;"""", F7092=""""), ""真實支出"",
  AND(E7092="""", F7092&lt;&gt;""""), ""真實收入"",
  TRUE, ""其他""
)"),"其他")</f>
        <v>其他</v>
      </c>
      <c r="K7092" s="270" t="str">
        <f t="shared" si="2"/>
        <v/>
      </c>
      <c r="L7092">
        <f t="shared" si="3"/>
        <v>0</v>
      </c>
    </row>
    <row r="7093">
      <c r="A7093" s="107"/>
      <c r="D7093" s="270"/>
      <c r="H7093" s="106" t="str">
        <f t="shared" si="1"/>
        <v/>
      </c>
      <c r="J7093" t="str">
        <f>IFERROR(__xludf.DUMMYFUNCTION("IFS(
  AND(REGEXMATCH(E7093, ""台銀籌備帳戶|玉山帳戶""), REGEXMATCH(C7093, ""薪資"")), ""分潤支出"",
  AND(REGEXMATCH(E7093, ""Ben帳戶|Elsa帳戶|Ben代墊|Ariel代墊|中信銀行共用""), REGEXMATCH(F7093, ""Ben帳戶|Elsa帳戶|Ben代墊|Ariel代墊|中信銀行共用"")), ""內部轉帳(忽略)"",
  AND(E7093&lt;&gt;"""", F7093&lt;&gt;"""", N"&amp;"OT(REGEXMATCH(C7093, ""薪資""))), ""內部轉帳(忽略)"",
  REGEXMATCH(C7093, ""薪資""), ""薪資變動(不計入)"",
  REGEXMATCH(C7093, ""押金""), ""押金往來"",
  AND(E7093&lt;&gt;"""", F7093=""""), ""真實支出"",
  AND(E7093="""", F7093&lt;&gt;""""), ""真實收入"",
  TRUE, ""其他""
)"),"其他")</f>
        <v>其他</v>
      </c>
      <c r="K7093" s="270" t="str">
        <f t="shared" si="2"/>
        <v/>
      </c>
      <c r="L7093">
        <f t="shared" si="3"/>
        <v>0</v>
      </c>
    </row>
    <row r="7094">
      <c r="A7094" s="107"/>
      <c r="D7094" s="270"/>
      <c r="H7094" s="106" t="str">
        <f t="shared" si="1"/>
        <v/>
      </c>
      <c r="J7094" t="str">
        <f>IFERROR(__xludf.DUMMYFUNCTION("IFS(
  AND(REGEXMATCH(E7094, ""台銀籌備帳戶|玉山帳戶""), REGEXMATCH(C7094, ""薪資"")), ""分潤支出"",
  AND(REGEXMATCH(E7094, ""Ben帳戶|Elsa帳戶|Ben代墊|Ariel代墊|中信銀行共用""), REGEXMATCH(F7094, ""Ben帳戶|Elsa帳戶|Ben代墊|Ariel代墊|中信銀行共用"")), ""內部轉帳(忽略)"",
  AND(E7094&lt;&gt;"""", F7094&lt;&gt;"""", N"&amp;"OT(REGEXMATCH(C7094, ""薪資""))), ""內部轉帳(忽略)"",
  REGEXMATCH(C7094, ""薪資""), ""薪資變動(不計入)"",
  REGEXMATCH(C7094, ""押金""), ""押金往來"",
  AND(E7094&lt;&gt;"""", F7094=""""), ""真實支出"",
  AND(E7094="""", F7094&lt;&gt;""""), ""真實收入"",
  TRUE, ""其他""
)"),"其他")</f>
        <v>其他</v>
      </c>
      <c r="K7094" s="270" t="str">
        <f t="shared" si="2"/>
        <v/>
      </c>
      <c r="L7094">
        <f t="shared" si="3"/>
        <v>0</v>
      </c>
    </row>
    <row r="7095">
      <c r="A7095" s="107"/>
      <c r="D7095" s="270"/>
      <c r="H7095" s="106" t="str">
        <f t="shared" si="1"/>
        <v/>
      </c>
      <c r="J7095" t="str">
        <f>IFERROR(__xludf.DUMMYFUNCTION("IFS(
  AND(REGEXMATCH(E7095, ""台銀籌備帳戶|玉山帳戶""), REGEXMATCH(C7095, ""薪資"")), ""分潤支出"",
  AND(REGEXMATCH(E7095, ""Ben帳戶|Elsa帳戶|Ben代墊|Ariel代墊|中信銀行共用""), REGEXMATCH(F7095, ""Ben帳戶|Elsa帳戶|Ben代墊|Ariel代墊|中信銀行共用"")), ""內部轉帳(忽略)"",
  AND(E7095&lt;&gt;"""", F7095&lt;&gt;"""", N"&amp;"OT(REGEXMATCH(C7095, ""薪資""))), ""內部轉帳(忽略)"",
  REGEXMATCH(C7095, ""薪資""), ""薪資變動(不計入)"",
  REGEXMATCH(C7095, ""押金""), ""押金往來"",
  AND(E7095&lt;&gt;"""", F7095=""""), ""真實支出"",
  AND(E7095="""", F7095&lt;&gt;""""), ""真實收入"",
  TRUE, ""其他""
)"),"其他")</f>
        <v>其他</v>
      </c>
      <c r="K7095" s="270" t="str">
        <f t="shared" si="2"/>
        <v/>
      </c>
      <c r="L7095">
        <f t="shared" si="3"/>
        <v>0</v>
      </c>
    </row>
    <row r="7096">
      <c r="A7096" s="107"/>
      <c r="D7096" s="270"/>
      <c r="H7096" s="106" t="str">
        <f t="shared" si="1"/>
        <v/>
      </c>
      <c r="J7096" t="str">
        <f>IFERROR(__xludf.DUMMYFUNCTION("IFS(
  AND(REGEXMATCH(E7096, ""台銀籌備帳戶|玉山帳戶""), REGEXMATCH(C7096, ""薪資"")), ""分潤支出"",
  AND(REGEXMATCH(E7096, ""Ben帳戶|Elsa帳戶|Ben代墊|Ariel代墊|中信銀行共用""), REGEXMATCH(F7096, ""Ben帳戶|Elsa帳戶|Ben代墊|Ariel代墊|中信銀行共用"")), ""內部轉帳(忽略)"",
  AND(E7096&lt;&gt;"""", F7096&lt;&gt;"""", N"&amp;"OT(REGEXMATCH(C7096, ""薪資""))), ""內部轉帳(忽略)"",
  REGEXMATCH(C7096, ""薪資""), ""薪資變動(不計入)"",
  REGEXMATCH(C7096, ""押金""), ""押金往來"",
  AND(E7096&lt;&gt;"""", F7096=""""), ""真實支出"",
  AND(E7096="""", F7096&lt;&gt;""""), ""真實收入"",
  TRUE, ""其他""
)"),"其他")</f>
        <v>其他</v>
      </c>
      <c r="K7096" s="270" t="str">
        <f t="shared" si="2"/>
        <v/>
      </c>
      <c r="L7096">
        <f t="shared" si="3"/>
        <v>0</v>
      </c>
    </row>
    <row r="7097">
      <c r="A7097" s="107"/>
      <c r="D7097" s="270"/>
      <c r="H7097" s="106" t="str">
        <f t="shared" si="1"/>
        <v/>
      </c>
      <c r="J7097" t="str">
        <f>IFERROR(__xludf.DUMMYFUNCTION("IFS(
  AND(REGEXMATCH(E7097, ""台銀籌備帳戶|玉山帳戶""), REGEXMATCH(C7097, ""薪資"")), ""分潤支出"",
  AND(REGEXMATCH(E7097, ""Ben帳戶|Elsa帳戶|Ben代墊|Ariel代墊|中信銀行共用""), REGEXMATCH(F7097, ""Ben帳戶|Elsa帳戶|Ben代墊|Ariel代墊|中信銀行共用"")), ""內部轉帳(忽略)"",
  AND(E7097&lt;&gt;"""", F7097&lt;&gt;"""", N"&amp;"OT(REGEXMATCH(C7097, ""薪資""))), ""內部轉帳(忽略)"",
  REGEXMATCH(C7097, ""薪資""), ""薪資變動(不計入)"",
  REGEXMATCH(C7097, ""押金""), ""押金往來"",
  AND(E7097&lt;&gt;"""", F7097=""""), ""真實支出"",
  AND(E7097="""", F7097&lt;&gt;""""), ""真實收入"",
  TRUE, ""其他""
)"),"其他")</f>
        <v>其他</v>
      </c>
      <c r="K7097" s="270" t="str">
        <f t="shared" si="2"/>
        <v/>
      </c>
      <c r="L7097">
        <f t="shared" si="3"/>
        <v>0</v>
      </c>
    </row>
    <row r="7098">
      <c r="A7098" s="107"/>
      <c r="D7098" s="270"/>
      <c r="H7098" s="106" t="str">
        <f t="shared" si="1"/>
        <v/>
      </c>
      <c r="J7098" t="str">
        <f>IFERROR(__xludf.DUMMYFUNCTION("IFS(
  AND(REGEXMATCH(E7098, ""台銀籌備帳戶|玉山帳戶""), REGEXMATCH(C7098, ""薪資"")), ""分潤支出"",
  AND(REGEXMATCH(E7098, ""Ben帳戶|Elsa帳戶|Ben代墊|Ariel代墊|中信銀行共用""), REGEXMATCH(F7098, ""Ben帳戶|Elsa帳戶|Ben代墊|Ariel代墊|中信銀行共用"")), ""內部轉帳(忽略)"",
  AND(E7098&lt;&gt;"""", F7098&lt;&gt;"""", N"&amp;"OT(REGEXMATCH(C7098, ""薪資""))), ""內部轉帳(忽略)"",
  REGEXMATCH(C7098, ""薪資""), ""薪資變動(不計入)"",
  REGEXMATCH(C7098, ""押金""), ""押金往來"",
  AND(E7098&lt;&gt;"""", F7098=""""), ""真實支出"",
  AND(E7098="""", F7098&lt;&gt;""""), ""真實收入"",
  TRUE, ""其他""
)"),"其他")</f>
        <v>其他</v>
      </c>
      <c r="K7098" s="270" t="str">
        <f t="shared" si="2"/>
        <v/>
      </c>
      <c r="L7098">
        <f t="shared" si="3"/>
        <v>0</v>
      </c>
    </row>
    <row r="7099">
      <c r="A7099" s="107"/>
      <c r="D7099" s="270"/>
      <c r="H7099" s="106" t="str">
        <f t="shared" si="1"/>
        <v/>
      </c>
      <c r="J7099" t="str">
        <f>IFERROR(__xludf.DUMMYFUNCTION("IFS(
  AND(REGEXMATCH(E7099, ""台銀籌備帳戶|玉山帳戶""), REGEXMATCH(C7099, ""薪資"")), ""分潤支出"",
  AND(REGEXMATCH(E7099, ""Ben帳戶|Elsa帳戶|Ben代墊|Ariel代墊|中信銀行共用""), REGEXMATCH(F7099, ""Ben帳戶|Elsa帳戶|Ben代墊|Ariel代墊|中信銀行共用"")), ""內部轉帳(忽略)"",
  AND(E7099&lt;&gt;"""", F7099&lt;&gt;"""", N"&amp;"OT(REGEXMATCH(C7099, ""薪資""))), ""內部轉帳(忽略)"",
  REGEXMATCH(C7099, ""薪資""), ""薪資變動(不計入)"",
  REGEXMATCH(C7099, ""押金""), ""押金往來"",
  AND(E7099&lt;&gt;"""", F7099=""""), ""真實支出"",
  AND(E7099="""", F7099&lt;&gt;""""), ""真實收入"",
  TRUE, ""其他""
)"),"其他")</f>
        <v>其他</v>
      </c>
      <c r="K7099" s="270" t="str">
        <f t="shared" si="2"/>
        <v/>
      </c>
      <c r="L7099">
        <f t="shared" si="3"/>
        <v>0</v>
      </c>
    </row>
    <row r="7100">
      <c r="A7100" s="107"/>
      <c r="D7100" s="270"/>
      <c r="H7100" s="106" t="str">
        <f t="shared" si="1"/>
        <v/>
      </c>
      <c r="J7100" t="str">
        <f>IFERROR(__xludf.DUMMYFUNCTION("IFS(
  AND(REGEXMATCH(E7100, ""台銀籌備帳戶|玉山帳戶""), REGEXMATCH(C7100, ""薪資"")), ""分潤支出"",
  AND(REGEXMATCH(E7100, ""Ben帳戶|Elsa帳戶|Ben代墊|Ariel代墊|中信銀行共用""), REGEXMATCH(F7100, ""Ben帳戶|Elsa帳戶|Ben代墊|Ariel代墊|中信銀行共用"")), ""內部轉帳(忽略)"",
  AND(E7100&lt;&gt;"""", F7100&lt;&gt;"""", N"&amp;"OT(REGEXMATCH(C7100, ""薪資""))), ""內部轉帳(忽略)"",
  REGEXMATCH(C7100, ""薪資""), ""薪資變動(不計入)"",
  REGEXMATCH(C7100, ""押金""), ""押金往來"",
  AND(E7100&lt;&gt;"""", F7100=""""), ""真實支出"",
  AND(E7100="""", F7100&lt;&gt;""""), ""真實收入"",
  TRUE, ""其他""
)"),"其他")</f>
        <v>其他</v>
      </c>
      <c r="K7100" s="270" t="str">
        <f t="shared" si="2"/>
        <v/>
      </c>
      <c r="L7100">
        <f t="shared" si="3"/>
        <v>0</v>
      </c>
    </row>
    <row r="7101">
      <c r="A7101" s="107"/>
      <c r="D7101" s="270"/>
      <c r="H7101" s="106" t="str">
        <f t="shared" si="1"/>
        <v/>
      </c>
      <c r="J7101" t="str">
        <f>IFERROR(__xludf.DUMMYFUNCTION("IFS(
  AND(REGEXMATCH(E7101, ""台銀籌備帳戶|玉山帳戶""), REGEXMATCH(C7101, ""薪資"")), ""分潤支出"",
  AND(REGEXMATCH(E7101, ""Ben帳戶|Elsa帳戶|Ben代墊|Ariel代墊|中信銀行共用""), REGEXMATCH(F7101, ""Ben帳戶|Elsa帳戶|Ben代墊|Ariel代墊|中信銀行共用"")), ""內部轉帳(忽略)"",
  AND(E7101&lt;&gt;"""", F7101&lt;&gt;"""", N"&amp;"OT(REGEXMATCH(C7101, ""薪資""))), ""內部轉帳(忽略)"",
  REGEXMATCH(C7101, ""薪資""), ""薪資變動(不計入)"",
  REGEXMATCH(C7101, ""押金""), ""押金往來"",
  AND(E7101&lt;&gt;"""", F7101=""""), ""真實支出"",
  AND(E7101="""", F7101&lt;&gt;""""), ""真實收入"",
  TRUE, ""其他""
)"),"其他")</f>
        <v>其他</v>
      </c>
      <c r="K7101" s="270" t="str">
        <f t="shared" si="2"/>
        <v/>
      </c>
      <c r="L7101">
        <f t="shared" si="3"/>
        <v>0</v>
      </c>
    </row>
    <row r="7102">
      <c r="A7102" s="107"/>
      <c r="D7102" s="270"/>
      <c r="H7102" s="106" t="str">
        <f t="shared" si="1"/>
        <v/>
      </c>
      <c r="J7102" t="str">
        <f>IFERROR(__xludf.DUMMYFUNCTION("IFS(
  AND(REGEXMATCH(E7102, ""台銀籌備帳戶|玉山帳戶""), REGEXMATCH(C7102, ""薪資"")), ""分潤支出"",
  AND(REGEXMATCH(E7102, ""Ben帳戶|Elsa帳戶|Ben代墊|Ariel代墊|中信銀行共用""), REGEXMATCH(F7102, ""Ben帳戶|Elsa帳戶|Ben代墊|Ariel代墊|中信銀行共用"")), ""內部轉帳(忽略)"",
  AND(E7102&lt;&gt;"""", F7102&lt;&gt;"""", N"&amp;"OT(REGEXMATCH(C7102, ""薪資""))), ""內部轉帳(忽略)"",
  REGEXMATCH(C7102, ""薪資""), ""薪資變動(不計入)"",
  REGEXMATCH(C7102, ""押金""), ""押金往來"",
  AND(E7102&lt;&gt;"""", F7102=""""), ""真實支出"",
  AND(E7102="""", F7102&lt;&gt;""""), ""真實收入"",
  TRUE, ""其他""
)"),"其他")</f>
        <v>其他</v>
      </c>
      <c r="K7102" s="270" t="str">
        <f t="shared" si="2"/>
        <v/>
      </c>
      <c r="L7102">
        <f t="shared" si="3"/>
        <v>0</v>
      </c>
    </row>
    <row r="7103">
      <c r="A7103" s="107"/>
      <c r="D7103" s="270"/>
      <c r="H7103" s="106" t="str">
        <f t="shared" si="1"/>
        <v/>
      </c>
      <c r="J7103" t="str">
        <f>IFERROR(__xludf.DUMMYFUNCTION("IFS(
  AND(REGEXMATCH(E7103, ""台銀籌備帳戶|玉山帳戶""), REGEXMATCH(C7103, ""薪資"")), ""分潤支出"",
  AND(REGEXMATCH(E7103, ""Ben帳戶|Elsa帳戶|Ben代墊|Ariel代墊|中信銀行共用""), REGEXMATCH(F7103, ""Ben帳戶|Elsa帳戶|Ben代墊|Ariel代墊|中信銀行共用"")), ""內部轉帳(忽略)"",
  AND(E7103&lt;&gt;"""", F7103&lt;&gt;"""", N"&amp;"OT(REGEXMATCH(C7103, ""薪資""))), ""內部轉帳(忽略)"",
  REGEXMATCH(C7103, ""薪資""), ""薪資變動(不計入)"",
  REGEXMATCH(C7103, ""押金""), ""押金往來"",
  AND(E7103&lt;&gt;"""", F7103=""""), ""真實支出"",
  AND(E7103="""", F7103&lt;&gt;""""), ""真實收入"",
  TRUE, ""其他""
)"),"其他")</f>
        <v>其他</v>
      </c>
      <c r="K7103" s="270" t="str">
        <f t="shared" si="2"/>
        <v/>
      </c>
      <c r="L7103">
        <f t="shared" si="3"/>
        <v>0</v>
      </c>
    </row>
    <row r="7104">
      <c r="A7104" s="107"/>
      <c r="D7104" s="270"/>
      <c r="H7104" s="106" t="str">
        <f t="shared" si="1"/>
        <v/>
      </c>
      <c r="J7104" t="str">
        <f>IFERROR(__xludf.DUMMYFUNCTION("IFS(
  AND(REGEXMATCH(E7104, ""台銀籌備帳戶|玉山帳戶""), REGEXMATCH(C7104, ""薪資"")), ""分潤支出"",
  AND(REGEXMATCH(E7104, ""Ben帳戶|Elsa帳戶|Ben代墊|Ariel代墊|中信銀行共用""), REGEXMATCH(F7104, ""Ben帳戶|Elsa帳戶|Ben代墊|Ariel代墊|中信銀行共用"")), ""內部轉帳(忽略)"",
  AND(E7104&lt;&gt;"""", F7104&lt;&gt;"""", N"&amp;"OT(REGEXMATCH(C7104, ""薪資""))), ""內部轉帳(忽略)"",
  REGEXMATCH(C7104, ""薪資""), ""薪資變動(不計入)"",
  REGEXMATCH(C7104, ""押金""), ""押金往來"",
  AND(E7104&lt;&gt;"""", F7104=""""), ""真實支出"",
  AND(E7104="""", F7104&lt;&gt;""""), ""真實收入"",
  TRUE, ""其他""
)"),"其他")</f>
        <v>其他</v>
      </c>
      <c r="K7104" s="270" t="str">
        <f t="shared" si="2"/>
        <v/>
      </c>
      <c r="L7104">
        <f t="shared" si="3"/>
        <v>0</v>
      </c>
    </row>
    <row r="7105">
      <c r="A7105" s="107"/>
      <c r="D7105" s="270"/>
      <c r="H7105" s="106" t="str">
        <f t="shared" si="1"/>
        <v/>
      </c>
      <c r="J7105" t="str">
        <f>IFERROR(__xludf.DUMMYFUNCTION("IFS(
  AND(REGEXMATCH(E7105, ""台銀籌備帳戶|玉山帳戶""), REGEXMATCH(C7105, ""薪資"")), ""分潤支出"",
  AND(REGEXMATCH(E7105, ""Ben帳戶|Elsa帳戶|Ben代墊|Ariel代墊|中信銀行共用""), REGEXMATCH(F7105, ""Ben帳戶|Elsa帳戶|Ben代墊|Ariel代墊|中信銀行共用"")), ""內部轉帳(忽略)"",
  AND(E7105&lt;&gt;"""", F7105&lt;&gt;"""", N"&amp;"OT(REGEXMATCH(C7105, ""薪資""))), ""內部轉帳(忽略)"",
  REGEXMATCH(C7105, ""薪資""), ""薪資變動(不計入)"",
  REGEXMATCH(C7105, ""押金""), ""押金往來"",
  AND(E7105&lt;&gt;"""", F7105=""""), ""真實支出"",
  AND(E7105="""", F7105&lt;&gt;""""), ""真實收入"",
  TRUE, ""其他""
)"),"其他")</f>
        <v>其他</v>
      </c>
      <c r="K7105" s="270" t="str">
        <f t="shared" si="2"/>
        <v/>
      </c>
      <c r="L7105">
        <f t="shared" si="3"/>
        <v>0</v>
      </c>
    </row>
    <row r="7106">
      <c r="A7106" s="107"/>
      <c r="D7106" s="270"/>
      <c r="H7106" s="106" t="str">
        <f t="shared" si="1"/>
        <v/>
      </c>
      <c r="J7106" t="str">
        <f>IFERROR(__xludf.DUMMYFUNCTION("IFS(
  AND(REGEXMATCH(E7106, ""台銀籌備帳戶|玉山帳戶""), REGEXMATCH(C7106, ""薪資"")), ""分潤支出"",
  AND(REGEXMATCH(E7106, ""Ben帳戶|Elsa帳戶|Ben代墊|Ariel代墊|中信銀行共用""), REGEXMATCH(F7106, ""Ben帳戶|Elsa帳戶|Ben代墊|Ariel代墊|中信銀行共用"")), ""內部轉帳(忽略)"",
  AND(E7106&lt;&gt;"""", F7106&lt;&gt;"""", N"&amp;"OT(REGEXMATCH(C7106, ""薪資""))), ""內部轉帳(忽略)"",
  REGEXMATCH(C7106, ""薪資""), ""薪資變動(不計入)"",
  REGEXMATCH(C7106, ""押金""), ""押金往來"",
  AND(E7106&lt;&gt;"""", F7106=""""), ""真實支出"",
  AND(E7106="""", F7106&lt;&gt;""""), ""真實收入"",
  TRUE, ""其他""
)"),"其他")</f>
        <v>其他</v>
      </c>
      <c r="K7106" s="270" t="str">
        <f t="shared" si="2"/>
        <v/>
      </c>
      <c r="L7106">
        <f t="shared" si="3"/>
        <v>0</v>
      </c>
    </row>
    <row r="7107">
      <c r="A7107" s="107"/>
      <c r="D7107" s="270"/>
      <c r="H7107" s="106" t="str">
        <f t="shared" si="1"/>
        <v/>
      </c>
      <c r="J7107" t="str">
        <f>IFERROR(__xludf.DUMMYFUNCTION("IFS(
  AND(REGEXMATCH(E7107, ""台銀籌備帳戶|玉山帳戶""), REGEXMATCH(C7107, ""薪資"")), ""分潤支出"",
  AND(REGEXMATCH(E7107, ""Ben帳戶|Elsa帳戶|Ben代墊|Ariel代墊|中信銀行共用""), REGEXMATCH(F7107, ""Ben帳戶|Elsa帳戶|Ben代墊|Ariel代墊|中信銀行共用"")), ""內部轉帳(忽略)"",
  AND(E7107&lt;&gt;"""", F7107&lt;&gt;"""", N"&amp;"OT(REGEXMATCH(C7107, ""薪資""))), ""內部轉帳(忽略)"",
  REGEXMATCH(C7107, ""薪資""), ""薪資變動(不計入)"",
  REGEXMATCH(C7107, ""押金""), ""押金往來"",
  AND(E7107&lt;&gt;"""", F7107=""""), ""真實支出"",
  AND(E7107="""", F7107&lt;&gt;""""), ""真實收入"",
  TRUE, ""其他""
)"),"其他")</f>
        <v>其他</v>
      </c>
      <c r="K7107" s="270" t="str">
        <f t="shared" si="2"/>
        <v/>
      </c>
      <c r="L7107">
        <f t="shared" si="3"/>
        <v>0</v>
      </c>
    </row>
    <row r="7108">
      <c r="A7108" s="107"/>
      <c r="D7108" s="270"/>
      <c r="H7108" s="106" t="str">
        <f t="shared" si="1"/>
        <v/>
      </c>
      <c r="J7108" t="str">
        <f>IFERROR(__xludf.DUMMYFUNCTION("IFS(
  AND(REGEXMATCH(E7108, ""台銀籌備帳戶|玉山帳戶""), REGEXMATCH(C7108, ""薪資"")), ""分潤支出"",
  AND(REGEXMATCH(E7108, ""Ben帳戶|Elsa帳戶|Ben代墊|Ariel代墊|中信銀行共用""), REGEXMATCH(F7108, ""Ben帳戶|Elsa帳戶|Ben代墊|Ariel代墊|中信銀行共用"")), ""內部轉帳(忽略)"",
  AND(E7108&lt;&gt;"""", F7108&lt;&gt;"""", N"&amp;"OT(REGEXMATCH(C7108, ""薪資""))), ""內部轉帳(忽略)"",
  REGEXMATCH(C7108, ""薪資""), ""薪資變動(不計入)"",
  REGEXMATCH(C7108, ""押金""), ""押金往來"",
  AND(E7108&lt;&gt;"""", F7108=""""), ""真實支出"",
  AND(E7108="""", F7108&lt;&gt;""""), ""真實收入"",
  TRUE, ""其他""
)"),"其他")</f>
        <v>其他</v>
      </c>
      <c r="K7108" s="270" t="str">
        <f t="shared" si="2"/>
        <v/>
      </c>
      <c r="L7108">
        <f t="shared" si="3"/>
        <v>0</v>
      </c>
    </row>
    <row r="7109">
      <c r="A7109" s="107"/>
      <c r="D7109" s="270"/>
      <c r="H7109" s="106" t="str">
        <f t="shared" si="1"/>
        <v/>
      </c>
      <c r="J7109" t="str">
        <f>IFERROR(__xludf.DUMMYFUNCTION("IFS(
  AND(REGEXMATCH(E7109, ""台銀籌備帳戶|玉山帳戶""), REGEXMATCH(C7109, ""薪資"")), ""分潤支出"",
  AND(REGEXMATCH(E7109, ""Ben帳戶|Elsa帳戶|Ben代墊|Ariel代墊|中信銀行共用""), REGEXMATCH(F7109, ""Ben帳戶|Elsa帳戶|Ben代墊|Ariel代墊|中信銀行共用"")), ""內部轉帳(忽略)"",
  AND(E7109&lt;&gt;"""", F7109&lt;&gt;"""", N"&amp;"OT(REGEXMATCH(C7109, ""薪資""))), ""內部轉帳(忽略)"",
  REGEXMATCH(C7109, ""薪資""), ""薪資變動(不計入)"",
  REGEXMATCH(C7109, ""押金""), ""押金往來"",
  AND(E7109&lt;&gt;"""", F7109=""""), ""真實支出"",
  AND(E7109="""", F7109&lt;&gt;""""), ""真實收入"",
  TRUE, ""其他""
)"),"其他")</f>
        <v>其他</v>
      </c>
      <c r="K7109" s="270" t="str">
        <f t="shared" si="2"/>
        <v/>
      </c>
      <c r="L7109">
        <f t="shared" si="3"/>
        <v>0</v>
      </c>
    </row>
    <row r="7110">
      <c r="A7110" s="107"/>
      <c r="D7110" s="270"/>
      <c r="H7110" s="106" t="str">
        <f t="shared" si="1"/>
        <v/>
      </c>
      <c r="J7110" t="str">
        <f>IFERROR(__xludf.DUMMYFUNCTION("IFS(
  AND(REGEXMATCH(E7110, ""台銀籌備帳戶|玉山帳戶""), REGEXMATCH(C7110, ""薪資"")), ""分潤支出"",
  AND(REGEXMATCH(E7110, ""Ben帳戶|Elsa帳戶|Ben代墊|Ariel代墊|中信銀行共用""), REGEXMATCH(F7110, ""Ben帳戶|Elsa帳戶|Ben代墊|Ariel代墊|中信銀行共用"")), ""內部轉帳(忽略)"",
  AND(E7110&lt;&gt;"""", F7110&lt;&gt;"""", N"&amp;"OT(REGEXMATCH(C7110, ""薪資""))), ""內部轉帳(忽略)"",
  REGEXMATCH(C7110, ""薪資""), ""薪資變動(不計入)"",
  REGEXMATCH(C7110, ""押金""), ""押金往來"",
  AND(E7110&lt;&gt;"""", F7110=""""), ""真實支出"",
  AND(E7110="""", F7110&lt;&gt;""""), ""真實收入"",
  TRUE, ""其他""
)"),"其他")</f>
        <v>其他</v>
      </c>
      <c r="K7110" s="270" t="str">
        <f t="shared" si="2"/>
        <v/>
      </c>
      <c r="L7110">
        <f t="shared" si="3"/>
        <v>0</v>
      </c>
    </row>
    <row r="7111">
      <c r="A7111" s="107"/>
      <c r="D7111" s="270"/>
      <c r="H7111" s="106" t="str">
        <f t="shared" si="1"/>
        <v/>
      </c>
      <c r="J7111" t="str">
        <f>IFERROR(__xludf.DUMMYFUNCTION("IFS(
  AND(REGEXMATCH(E7111, ""台銀籌備帳戶|玉山帳戶""), REGEXMATCH(C7111, ""薪資"")), ""分潤支出"",
  AND(REGEXMATCH(E7111, ""Ben帳戶|Elsa帳戶|Ben代墊|Ariel代墊|中信銀行共用""), REGEXMATCH(F7111, ""Ben帳戶|Elsa帳戶|Ben代墊|Ariel代墊|中信銀行共用"")), ""內部轉帳(忽略)"",
  AND(E7111&lt;&gt;"""", F7111&lt;&gt;"""", N"&amp;"OT(REGEXMATCH(C7111, ""薪資""))), ""內部轉帳(忽略)"",
  REGEXMATCH(C7111, ""薪資""), ""薪資變動(不計入)"",
  REGEXMATCH(C7111, ""押金""), ""押金往來"",
  AND(E7111&lt;&gt;"""", F7111=""""), ""真實支出"",
  AND(E7111="""", F7111&lt;&gt;""""), ""真實收入"",
  TRUE, ""其他""
)"),"其他")</f>
        <v>其他</v>
      </c>
      <c r="K7111" s="270" t="str">
        <f t="shared" si="2"/>
        <v/>
      </c>
      <c r="L7111">
        <f t="shared" si="3"/>
        <v>0</v>
      </c>
    </row>
    <row r="7112">
      <c r="A7112" s="107"/>
      <c r="D7112" s="270"/>
      <c r="H7112" s="106" t="str">
        <f t="shared" si="1"/>
        <v/>
      </c>
      <c r="J7112" t="str">
        <f>IFERROR(__xludf.DUMMYFUNCTION("IFS(
  AND(REGEXMATCH(E7112, ""台銀籌備帳戶|玉山帳戶""), REGEXMATCH(C7112, ""薪資"")), ""分潤支出"",
  AND(REGEXMATCH(E7112, ""Ben帳戶|Elsa帳戶|Ben代墊|Ariel代墊|中信銀行共用""), REGEXMATCH(F7112, ""Ben帳戶|Elsa帳戶|Ben代墊|Ariel代墊|中信銀行共用"")), ""內部轉帳(忽略)"",
  AND(E7112&lt;&gt;"""", F7112&lt;&gt;"""", N"&amp;"OT(REGEXMATCH(C7112, ""薪資""))), ""內部轉帳(忽略)"",
  REGEXMATCH(C7112, ""薪資""), ""薪資變動(不計入)"",
  REGEXMATCH(C7112, ""押金""), ""押金往來"",
  AND(E7112&lt;&gt;"""", F7112=""""), ""真實支出"",
  AND(E7112="""", F7112&lt;&gt;""""), ""真實收入"",
  TRUE, ""其他""
)"),"其他")</f>
        <v>其他</v>
      </c>
      <c r="K7112" s="270" t="str">
        <f t="shared" si="2"/>
        <v/>
      </c>
      <c r="L7112">
        <f t="shared" si="3"/>
        <v>0</v>
      </c>
    </row>
    <row r="7113">
      <c r="A7113" s="107"/>
      <c r="D7113" s="270"/>
      <c r="H7113" s="106" t="str">
        <f t="shared" si="1"/>
        <v/>
      </c>
      <c r="J7113" t="str">
        <f>IFERROR(__xludf.DUMMYFUNCTION("IFS(
  AND(REGEXMATCH(E7113, ""台銀籌備帳戶|玉山帳戶""), REGEXMATCH(C7113, ""薪資"")), ""分潤支出"",
  AND(REGEXMATCH(E7113, ""Ben帳戶|Elsa帳戶|Ben代墊|Ariel代墊|中信銀行共用""), REGEXMATCH(F7113, ""Ben帳戶|Elsa帳戶|Ben代墊|Ariel代墊|中信銀行共用"")), ""內部轉帳(忽略)"",
  AND(E7113&lt;&gt;"""", F7113&lt;&gt;"""", N"&amp;"OT(REGEXMATCH(C7113, ""薪資""))), ""內部轉帳(忽略)"",
  REGEXMATCH(C7113, ""薪資""), ""薪資變動(不計入)"",
  REGEXMATCH(C7113, ""押金""), ""押金往來"",
  AND(E7113&lt;&gt;"""", F7113=""""), ""真實支出"",
  AND(E7113="""", F7113&lt;&gt;""""), ""真實收入"",
  TRUE, ""其他""
)"),"其他")</f>
        <v>其他</v>
      </c>
      <c r="K7113" s="270" t="str">
        <f t="shared" si="2"/>
        <v/>
      </c>
      <c r="L7113">
        <f t="shared" si="3"/>
        <v>0</v>
      </c>
    </row>
    <row r="7114">
      <c r="A7114" s="107"/>
      <c r="D7114" s="270"/>
      <c r="H7114" s="106" t="str">
        <f t="shared" si="1"/>
        <v/>
      </c>
      <c r="J7114" t="str">
        <f>IFERROR(__xludf.DUMMYFUNCTION("IFS(
  AND(REGEXMATCH(E7114, ""台銀籌備帳戶|玉山帳戶""), REGEXMATCH(C7114, ""薪資"")), ""分潤支出"",
  AND(REGEXMATCH(E7114, ""Ben帳戶|Elsa帳戶|Ben代墊|Ariel代墊|中信銀行共用""), REGEXMATCH(F7114, ""Ben帳戶|Elsa帳戶|Ben代墊|Ariel代墊|中信銀行共用"")), ""內部轉帳(忽略)"",
  AND(E7114&lt;&gt;"""", F7114&lt;&gt;"""", N"&amp;"OT(REGEXMATCH(C7114, ""薪資""))), ""內部轉帳(忽略)"",
  REGEXMATCH(C7114, ""薪資""), ""薪資變動(不計入)"",
  REGEXMATCH(C7114, ""押金""), ""押金往來"",
  AND(E7114&lt;&gt;"""", F7114=""""), ""真實支出"",
  AND(E7114="""", F7114&lt;&gt;""""), ""真實收入"",
  TRUE, ""其他""
)"),"其他")</f>
        <v>其他</v>
      </c>
      <c r="K7114" s="270" t="str">
        <f t="shared" si="2"/>
        <v/>
      </c>
      <c r="L7114">
        <f t="shared" si="3"/>
        <v>0</v>
      </c>
    </row>
    <row r="7115">
      <c r="A7115" s="107"/>
      <c r="D7115" s="270"/>
      <c r="H7115" s="106" t="str">
        <f t="shared" si="1"/>
        <v/>
      </c>
      <c r="J7115" t="str">
        <f>IFERROR(__xludf.DUMMYFUNCTION("IFS(
  AND(REGEXMATCH(E7115, ""台銀籌備帳戶|玉山帳戶""), REGEXMATCH(C7115, ""薪資"")), ""分潤支出"",
  AND(REGEXMATCH(E7115, ""Ben帳戶|Elsa帳戶|Ben代墊|Ariel代墊|中信銀行共用""), REGEXMATCH(F7115, ""Ben帳戶|Elsa帳戶|Ben代墊|Ariel代墊|中信銀行共用"")), ""內部轉帳(忽略)"",
  AND(E7115&lt;&gt;"""", F7115&lt;&gt;"""", N"&amp;"OT(REGEXMATCH(C7115, ""薪資""))), ""內部轉帳(忽略)"",
  REGEXMATCH(C7115, ""薪資""), ""薪資變動(不計入)"",
  REGEXMATCH(C7115, ""押金""), ""押金往來"",
  AND(E7115&lt;&gt;"""", F7115=""""), ""真實支出"",
  AND(E7115="""", F7115&lt;&gt;""""), ""真實收入"",
  TRUE, ""其他""
)"),"其他")</f>
        <v>其他</v>
      </c>
      <c r="K7115" s="270" t="str">
        <f t="shared" si="2"/>
        <v/>
      </c>
      <c r="L7115">
        <f t="shared" si="3"/>
        <v>0</v>
      </c>
    </row>
    <row r="7116">
      <c r="A7116" s="107"/>
      <c r="D7116" s="270"/>
      <c r="H7116" s="106" t="str">
        <f t="shared" si="1"/>
        <v/>
      </c>
      <c r="J7116" t="str">
        <f>IFERROR(__xludf.DUMMYFUNCTION("IFS(
  AND(REGEXMATCH(E7116, ""台銀籌備帳戶|玉山帳戶""), REGEXMATCH(C7116, ""薪資"")), ""分潤支出"",
  AND(REGEXMATCH(E7116, ""Ben帳戶|Elsa帳戶|Ben代墊|Ariel代墊|中信銀行共用""), REGEXMATCH(F7116, ""Ben帳戶|Elsa帳戶|Ben代墊|Ariel代墊|中信銀行共用"")), ""內部轉帳(忽略)"",
  AND(E7116&lt;&gt;"""", F7116&lt;&gt;"""", N"&amp;"OT(REGEXMATCH(C7116, ""薪資""))), ""內部轉帳(忽略)"",
  REGEXMATCH(C7116, ""薪資""), ""薪資變動(不計入)"",
  REGEXMATCH(C7116, ""押金""), ""押金往來"",
  AND(E7116&lt;&gt;"""", F7116=""""), ""真實支出"",
  AND(E7116="""", F7116&lt;&gt;""""), ""真實收入"",
  TRUE, ""其他""
)"),"其他")</f>
        <v>其他</v>
      </c>
      <c r="K7116" s="270" t="str">
        <f t="shared" si="2"/>
        <v/>
      </c>
      <c r="L7116">
        <f t="shared" si="3"/>
        <v>0</v>
      </c>
    </row>
    <row r="7117">
      <c r="A7117" s="107"/>
      <c r="D7117" s="270"/>
      <c r="H7117" s="106" t="str">
        <f t="shared" si="1"/>
        <v/>
      </c>
      <c r="J7117" t="str">
        <f>IFERROR(__xludf.DUMMYFUNCTION("IFS(
  AND(REGEXMATCH(E7117, ""台銀籌備帳戶|玉山帳戶""), REGEXMATCH(C7117, ""薪資"")), ""分潤支出"",
  AND(REGEXMATCH(E7117, ""Ben帳戶|Elsa帳戶|Ben代墊|Ariel代墊|中信銀行共用""), REGEXMATCH(F7117, ""Ben帳戶|Elsa帳戶|Ben代墊|Ariel代墊|中信銀行共用"")), ""內部轉帳(忽略)"",
  AND(E7117&lt;&gt;"""", F7117&lt;&gt;"""", N"&amp;"OT(REGEXMATCH(C7117, ""薪資""))), ""內部轉帳(忽略)"",
  REGEXMATCH(C7117, ""薪資""), ""薪資變動(不計入)"",
  REGEXMATCH(C7117, ""押金""), ""押金往來"",
  AND(E7117&lt;&gt;"""", F7117=""""), ""真實支出"",
  AND(E7117="""", F7117&lt;&gt;""""), ""真實收入"",
  TRUE, ""其他""
)"),"其他")</f>
        <v>其他</v>
      </c>
      <c r="K7117" s="270" t="str">
        <f t="shared" si="2"/>
        <v/>
      </c>
      <c r="L7117">
        <f t="shared" si="3"/>
        <v>0</v>
      </c>
    </row>
    <row r="7118">
      <c r="A7118" s="107"/>
      <c r="D7118" s="270"/>
      <c r="H7118" s="106" t="str">
        <f t="shared" si="1"/>
        <v/>
      </c>
      <c r="J7118" t="str">
        <f>IFERROR(__xludf.DUMMYFUNCTION("IFS(
  AND(REGEXMATCH(E7118, ""台銀籌備帳戶|玉山帳戶""), REGEXMATCH(C7118, ""薪資"")), ""分潤支出"",
  AND(REGEXMATCH(E7118, ""Ben帳戶|Elsa帳戶|Ben代墊|Ariel代墊|中信銀行共用""), REGEXMATCH(F7118, ""Ben帳戶|Elsa帳戶|Ben代墊|Ariel代墊|中信銀行共用"")), ""內部轉帳(忽略)"",
  AND(E7118&lt;&gt;"""", F7118&lt;&gt;"""", N"&amp;"OT(REGEXMATCH(C7118, ""薪資""))), ""內部轉帳(忽略)"",
  REGEXMATCH(C7118, ""薪資""), ""薪資變動(不計入)"",
  REGEXMATCH(C7118, ""押金""), ""押金往來"",
  AND(E7118&lt;&gt;"""", F7118=""""), ""真實支出"",
  AND(E7118="""", F7118&lt;&gt;""""), ""真實收入"",
  TRUE, ""其他""
)"),"其他")</f>
        <v>其他</v>
      </c>
      <c r="K7118" s="270" t="str">
        <f t="shared" si="2"/>
        <v/>
      </c>
      <c r="L7118">
        <f t="shared" si="3"/>
        <v>0</v>
      </c>
    </row>
    <row r="7119">
      <c r="A7119" s="107"/>
      <c r="D7119" s="270"/>
      <c r="H7119" s="106" t="str">
        <f t="shared" si="1"/>
        <v/>
      </c>
      <c r="J7119" t="str">
        <f>IFERROR(__xludf.DUMMYFUNCTION("IFS(
  AND(REGEXMATCH(E7119, ""台銀籌備帳戶|玉山帳戶""), REGEXMATCH(C7119, ""薪資"")), ""分潤支出"",
  AND(REGEXMATCH(E7119, ""Ben帳戶|Elsa帳戶|Ben代墊|Ariel代墊|中信銀行共用""), REGEXMATCH(F7119, ""Ben帳戶|Elsa帳戶|Ben代墊|Ariel代墊|中信銀行共用"")), ""內部轉帳(忽略)"",
  AND(E7119&lt;&gt;"""", F7119&lt;&gt;"""", N"&amp;"OT(REGEXMATCH(C7119, ""薪資""))), ""內部轉帳(忽略)"",
  REGEXMATCH(C7119, ""薪資""), ""薪資變動(不計入)"",
  REGEXMATCH(C7119, ""押金""), ""押金往來"",
  AND(E7119&lt;&gt;"""", F7119=""""), ""真實支出"",
  AND(E7119="""", F7119&lt;&gt;""""), ""真實收入"",
  TRUE, ""其他""
)"),"其他")</f>
        <v>其他</v>
      </c>
      <c r="K7119" s="270" t="str">
        <f t="shared" si="2"/>
        <v/>
      </c>
      <c r="L7119">
        <f t="shared" si="3"/>
        <v>0</v>
      </c>
    </row>
    <row r="7120">
      <c r="A7120" s="107"/>
      <c r="D7120" s="270"/>
      <c r="H7120" s="106" t="str">
        <f t="shared" si="1"/>
        <v/>
      </c>
      <c r="J7120" t="str">
        <f>IFERROR(__xludf.DUMMYFUNCTION("IFS(
  AND(REGEXMATCH(E7120, ""台銀籌備帳戶|玉山帳戶""), REGEXMATCH(C7120, ""薪資"")), ""分潤支出"",
  AND(REGEXMATCH(E7120, ""Ben帳戶|Elsa帳戶|Ben代墊|Ariel代墊|中信銀行共用""), REGEXMATCH(F7120, ""Ben帳戶|Elsa帳戶|Ben代墊|Ariel代墊|中信銀行共用"")), ""內部轉帳(忽略)"",
  AND(E7120&lt;&gt;"""", F7120&lt;&gt;"""", N"&amp;"OT(REGEXMATCH(C7120, ""薪資""))), ""內部轉帳(忽略)"",
  REGEXMATCH(C7120, ""薪資""), ""薪資變動(不計入)"",
  REGEXMATCH(C7120, ""押金""), ""押金往來"",
  AND(E7120&lt;&gt;"""", F7120=""""), ""真實支出"",
  AND(E7120="""", F7120&lt;&gt;""""), ""真實收入"",
  TRUE, ""其他""
)"),"其他")</f>
        <v>其他</v>
      </c>
      <c r="K7120" s="270" t="str">
        <f t="shared" si="2"/>
        <v/>
      </c>
      <c r="L7120">
        <f t="shared" si="3"/>
        <v>0</v>
      </c>
    </row>
    <row r="7121">
      <c r="A7121" s="107"/>
      <c r="D7121" s="270"/>
      <c r="H7121" s="106" t="str">
        <f t="shared" si="1"/>
        <v/>
      </c>
      <c r="J7121" t="str">
        <f>IFERROR(__xludf.DUMMYFUNCTION("IFS(
  AND(REGEXMATCH(E7121, ""台銀籌備帳戶|玉山帳戶""), REGEXMATCH(C7121, ""薪資"")), ""分潤支出"",
  AND(REGEXMATCH(E7121, ""Ben帳戶|Elsa帳戶|Ben代墊|Ariel代墊|中信銀行共用""), REGEXMATCH(F7121, ""Ben帳戶|Elsa帳戶|Ben代墊|Ariel代墊|中信銀行共用"")), ""內部轉帳(忽略)"",
  AND(E7121&lt;&gt;"""", F7121&lt;&gt;"""", N"&amp;"OT(REGEXMATCH(C7121, ""薪資""))), ""內部轉帳(忽略)"",
  REGEXMATCH(C7121, ""薪資""), ""薪資變動(不計入)"",
  REGEXMATCH(C7121, ""押金""), ""押金往來"",
  AND(E7121&lt;&gt;"""", F7121=""""), ""真實支出"",
  AND(E7121="""", F7121&lt;&gt;""""), ""真實收入"",
  TRUE, ""其他""
)"),"其他")</f>
        <v>其他</v>
      </c>
      <c r="K7121" s="270" t="str">
        <f t="shared" si="2"/>
        <v/>
      </c>
      <c r="L7121">
        <f t="shared" si="3"/>
        <v>0</v>
      </c>
    </row>
    <row r="7122">
      <c r="A7122" s="107"/>
      <c r="D7122" s="270"/>
      <c r="H7122" s="106" t="str">
        <f t="shared" si="1"/>
        <v/>
      </c>
      <c r="J7122" t="str">
        <f>IFERROR(__xludf.DUMMYFUNCTION("IFS(
  AND(REGEXMATCH(E7122, ""台銀籌備帳戶|玉山帳戶""), REGEXMATCH(C7122, ""薪資"")), ""分潤支出"",
  AND(REGEXMATCH(E7122, ""Ben帳戶|Elsa帳戶|Ben代墊|Ariel代墊|中信銀行共用""), REGEXMATCH(F7122, ""Ben帳戶|Elsa帳戶|Ben代墊|Ariel代墊|中信銀行共用"")), ""內部轉帳(忽略)"",
  AND(E7122&lt;&gt;"""", F7122&lt;&gt;"""", N"&amp;"OT(REGEXMATCH(C7122, ""薪資""))), ""內部轉帳(忽略)"",
  REGEXMATCH(C7122, ""薪資""), ""薪資變動(不計入)"",
  REGEXMATCH(C7122, ""押金""), ""押金往來"",
  AND(E7122&lt;&gt;"""", F7122=""""), ""真實支出"",
  AND(E7122="""", F7122&lt;&gt;""""), ""真實收入"",
  TRUE, ""其他""
)"),"其他")</f>
        <v>其他</v>
      </c>
      <c r="K7122" s="270" t="str">
        <f t="shared" si="2"/>
        <v/>
      </c>
      <c r="L7122">
        <f t="shared" si="3"/>
        <v>0</v>
      </c>
    </row>
    <row r="7123">
      <c r="A7123" s="107"/>
      <c r="D7123" s="270"/>
      <c r="H7123" s="106" t="str">
        <f t="shared" si="1"/>
        <v/>
      </c>
      <c r="J7123" t="str">
        <f>IFERROR(__xludf.DUMMYFUNCTION("IFS(
  AND(REGEXMATCH(E7123, ""台銀籌備帳戶|玉山帳戶""), REGEXMATCH(C7123, ""薪資"")), ""分潤支出"",
  AND(REGEXMATCH(E7123, ""Ben帳戶|Elsa帳戶|Ben代墊|Ariel代墊|中信銀行共用""), REGEXMATCH(F7123, ""Ben帳戶|Elsa帳戶|Ben代墊|Ariel代墊|中信銀行共用"")), ""內部轉帳(忽略)"",
  AND(E7123&lt;&gt;"""", F7123&lt;&gt;"""", N"&amp;"OT(REGEXMATCH(C7123, ""薪資""))), ""內部轉帳(忽略)"",
  REGEXMATCH(C7123, ""薪資""), ""薪資變動(不計入)"",
  REGEXMATCH(C7123, ""押金""), ""押金往來"",
  AND(E7123&lt;&gt;"""", F7123=""""), ""真實支出"",
  AND(E7123="""", F7123&lt;&gt;""""), ""真實收入"",
  TRUE, ""其他""
)"),"其他")</f>
        <v>其他</v>
      </c>
      <c r="K7123" s="270" t="str">
        <f t="shared" si="2"/>
        <v/>
      </c>
      <c r="L7123">
        <f t="shared" si="3"/>
        <v>0</v>
      </c>
    </row>
    <row r="7124">
      <c r="A7124" s="107"/>
      <c r="D7124" s="270"/>
      <c r="H7124" s="106" t="str">
        <f t="shared" si="1"/>
        <v/>
      </c>
      <c r="J7124" t="str">
        <f>IFERROR(__xludf.DUMMYFUNCTION("IFS(
  AND(REGEXMATCH(E7124, ""台銀籌備帳戶|玉山帳戶""), REGEXMATCH(C7124, ""薪資"")), ""分潤支出"",
  AND(REGEXMATCH(E7124, ""Ben帳戶|Elsa帳戶|Ben代墊|Ariel代墊|中信銀行共用""), REGEXMATCH(F7124, ""Ben帳戶|Elsa帳戶|Ben代墊|Ariel代墊|中信銀行共用"")), ""內部轉帳(忽略)"",
  AND(E7124&lt;&gt;"""", F7124&lt;&gt;"""", N"&amp;"OT(REGEXMATCH(C7124, ""薪資""))), ""內部轉帳(忽略)"",
  REGEXMATCH(C7124, ""薪資""), ""薪資變動(不計入)"",
  REGEXMATCH(C7124, ""押金""), ""押金往來"",
  AND(E7124&lt;&gt;"""", F7124=""""), ""真實支出"",
  AND(E7124="""", F7124&lt;&gt;""""), ""真實收入"",
  TRUE, ""其他""
)"),"其他")</f>
        <v>其他</v>
      </c>
      <c r="K7124" s="270" t="str">
        <f t="shared" si="2"/>
        <v/>
      </c>
      <c r="L7124">
        <f t="shared" si="3"/>
        <v>0</v>
      </c>
    </row>
    <row r="7125">
      <c r="A7125" s="107"/>
      <c r="D7125" s="270"/>
      <c r="H7125" s="106" t="str">
        <f t="shared" si="1"/>
        <v/>
      </c>
      <c r="J7125" t="str">
        <f>IFERROR(__xludf.DUMMYFUNCTION("IFS(
  AND(REGEXMATCH(E7125, ""台銀籌備帳戶|玉山帳戶""), REGEXMATCH(C7125, ""薪資"")), ""分潤支出"",
  AND(REGEXMATCH(E7125, ""Ben帳戶|Elsa帳戶|Ben代墊|Ariel代墊|中信銀行共用""), REGEXMATCH(F7125, ""Ben帳戶|Elsa帳戶|Ben代墊|Ariel代墊|中信銀行共用"")), ""內部轉帳(忽略)"",
  AND(E7125&lt;&gt;"""", F7125&lt;&gt;"""", N"&amp;"OT(REGEXMATCH(C7125, ""薪資""))), ""內部轉帳(忽略)"",
  REGEXMATCH(C7125, ""薪資""), ""薪資變動(不計入)"",
  REGEXMATCH(C7125, ""押金""), ""押金往來"",
  AND(E7125&lt;&gt;"""", F7125=""""), ""真實支出"",
  AND(E7125="""", F7125&lt;&gt;""""), ""真實收入"",
  TRUE, ""其他""
)"),"其他")</f>
        <v>其他</v>
      </c>
      <c r="K7125" s="270" t="str">
        <f t="shared" si="2"/>
        <v/>
      </c>
      <c r="L7125">
        <f t="shared" si="3"/>
        <v>0</v>
      </c>
    </row>
    <row r="7126">
      <c r="A7126" s="107"/>
      <c r="D7126" s="270"/>
      <c r="H7126" s="106" t="str">
        <f t="shared" si="1"/>
        <v/>
      </c>
      <c r="J7126" t="str">
        <f>IFERROR(__xludf.DUMMYFUNCTION("IFS(
  AND(REGEXMATCH(E7126, ""台銀籌備帳戶|玉山帳戶""), REGEXMATCH(C7126, ""薪資"")), ""分潤支出"",
  AND(REGEXMATCH(E7126, ""Ben帳戶|Elsa帳戶|Ben代墊|Ariel代墊|中信銀行共用""), REGEXMATCH(F7126, ""Ben帳戶|Elsa帳戶|Ben代墊|Ariel代墊|中信銀行共用"")), ""內部轉帳(忽略)"",
  AND(E7126&lt;&gt;"""", F7126&lt;&gt;"""", N"&amp;"OT(REGEXMATCH(C7126, ""薪資""))), ""內部轉帳(忽略)"",
  REGEXMATCH(C7126, ""薪資""), ""薪資變動(不計入)"",
  REGEXMATCH(C7126, ""押金""), ""押金往來"",
  AND(E7126&lt;&gt;"""", F7126=""""), ""真實支出"",
  AND(E7126="""", F7126&lt;&gt;""""), ""真實收入"",
  TRUE, ""其他""
)"),"其他")</f>
        <v>其他</v>
      </c>
      <c r="K7126" s="270" t="str">
        <f t="shared" si="2"/>
        <v/>
      </c>
      <c r="L7126">
        <f t="shared" si="3"/>
        <v>0</v>
      </c>
    </row>
    <row r="7127">
      <c r="A7127" s="107"/>
      <c r="D7127" s="270"/>
      <c r="H7127" s="106" t="str">
        <f t="shared" si="1"/>
        <v/>
      </c>
      <c r="J7127" t="str">
        <f>IFERROR(__xludf.DUMMYFUNCTION("IFS(
  AND(REGEXMATCH(E7127, ""台銀籌備帳戶|玉山帳戶""), REGEXMATCH(C7127, ""薪資"")), ""分潤支出"",
  AND(REGEXMATCH(E7127, ""Ben帳戶|Elsa帳戶|Ben代墊|Ariel代墊|中信銀行共用""), REGEXMATCH(F7127, ""Ben帳戶|Elsa帳戶|Ben代墊|Ariel代墊|中信銀行共用"")), ""內部轉帳(忽略)"",
  AND(E7127&lt;&gt;"""", F7127&lt;&gt;"""", N"&amp;"OT(REGEXMATCH(C7127, ""薪資""))), ""內部轉帳(忽略)"",
  REGEXMATCH(C7127, ""薪資""), ""薪資變動(不計入)"",
  REGEXMATCH(C7127, ""押金""), ""押金往來"",
  AND(E7127&lt;&gt;"""", F7127=""""), ""真實支出"",
  AND(E7127="""", F7127&lt;&gt;""""), ""真實收入"",
  TRUE, ""其他""
)"),"其他")</f>
        <v>其他</v>
      </c>
      <c r="K7127" s="270" t="str">
        <f t="shared" si="2"/>
        <v/>
      </c>
      <c r="L7127">
        <f t="shared" si="3"/>
        <v>0</v>
      </c>
    </row>
    <row r="7128">
      <c r="A7128" s="107"/>
      <c r="D7128" s="270"/>
      <c r="H7128" s="106" t="str">
        <f t="shared" si="1"/>
        <v/>
      </c>
      <c r="J7128" t="str">
        <f>IFERROR(__xludf.DUMMYFUNCTION("IFS(
  AND(REGEXMATCH(E7128, ""台銀籌備帳戶|玉山帳戶""), REGEXMATCH(C7128, ""薪資"")), ""分潤支出"",
  AND(REGEXMATCH(E7128, ""Ben帳戶|Elsa帳戶|Ben代墊|Ariel代墊|中信銀行共用""), REGEXMATCH(F7128, ""Ben帳戶|Elsa帳戶|Ben代墊|Ariel代墊|中信銀行共用"")), ""內部轉帳(忽略)"",
  AND(E7128&lt;&gt;"""", F7128&lt;&gt;"""", N"&amp;"OT(REGEXMATCH(C7128, ""薪資""))), ""內部轉帳(忽略)"",
  REGEXMATCH(C7128, ""薪資""), ""薪資變動(不計入)"",
  REGEXMATCH(C7128, ""押金""), ""押金往來"",
  AND(E7128&lt;&gt;"""", F7128=""""), ""真實支出"",
  AND(E7128="""", F7128&lt;&gt;""""), ""真實收入"",
  TRUE, ""其他""
)"),"其他")</f>
        <v>其他</v>
      </c>
      <c r="K7128" s="270" t="str">
        <f t="shared" si="2"/>
        <v/>
      </c>
      <c r="L7128">
        <f t="shared" si="3"/>
        <v>0</v>
      </c>
    </row>
    <row r="7129">
      <c r="A7129" s="107"/>
      <c r="D7129" s="270"/>
      <c r="H7129" s="106" t="str">
        <f t="shared" si="1"/>
        <v/>
      </c>
      <c r="J7129" t="str">
        <f>IFERROR(__xludf.DUMMYFUNCTION("IFS(
  AND(REGEXMATCH(E7129, ""台銀籌備帳戶|玉山帳戶""), REGEXMATCH(C7129, ""薪資"")), ""分潤支出"",
  AND(REGEXMATCH(E7129, ""Ben帳戶|Elsa帳戶|Ben代墊|Ariel代墊|中信銀行共用""), REGEXMATCH(F7129, ""Ben帳戶|Elsa帳戶|Ben代墊|Ariel代墊|中信銀行共用"")), ""內部轉帳(忽略)"",
  AND(E7129&lt;&gt;"""", F7129&lt;&gt;"""", N"&amp;"OT(REGEXMATCH(C7129, ""薪資""))), ""內部轉帳(忽略)"",
  REGEXMATCH(C7129, ""薪資""), ""薪資變動(不計入)"",
  REGEXMATCH(C7129, ""押金""), ""押金往來"",
  AND(E7129&lt;&gt;"""", F7129=""""), ""真實支出"",
  AND(E7129="""", F7129&lt;&gt;""""), ""真實收入"",
  TRUE, ""其他""
)"),"其他")</f>
        <v>其他</v>
      </c>
      <c r="K7129" s="270" t="str">
        <f t="shared" si="2"/>
        <v/>
      </c>
      <c r="L7129">
        <f t="shared" si="3"/>
        <v>0</v>
      </c>
    </row>
    <row r="7130">
      <c r="A7130" s="107"/>
      <c r="D7130" s="270"/>
      <c r="H7130" s="106" t="str">
        <f t="shared" si="1"/>
        <v/>
      </c>
      <c r="J7130" t="str">
        <f>IFERROR(__xludf.DUMMYFUNCTION("IFS(
  AND(REGEXMATCH(E7130, ""台銀籌備帳戶|玉山帳戶""), REGEXMATCH(C7130, ""薪資"")), ""分潤支出"",
  AND(REGEXMATCH(E7130, ""Ben帳戶|Elsa帳戶|Ben代墊|Ariel代墊|中信銀行共用""), REGEXMATCH(F7130, ""Ben帳戶|Elsa帳戶|Ben代墊|Ariel代墊|中信銀行共用"")), ""內部轉帳(忽略)"",
  AND(E7130&lt;&gt;"""", F7130&lt;&gt;"""", N"&amp;"OT(REGEXMATCH(C7130, ""薪資""))), ""內部轉帳(忽略)"",
  REGEXMATCH(C7130, ""薪資""), ""薪資變動(不計入)"",
  REGEXMATCH(C7130, ""押金""), ""押金往來"",
  AND(E7130&lt;&gt;"""", F7130=""""), ""真實支出"",
  AND(E7130="""", F7130&lt;&gt;""""), ""真實收入"",
  TRUE, ""其他""
)"),"其他")</f>
        <v>其他</v>
      </c>
      <c r="K7130" s="270" t="str">
        <f t="shared" si="2"/>
        <v/>
      </c>
      <c r="L7130">
        <f t="shared" si="3"/>
        <v>0</v>
      </c>
    </row>
    <row r="7131">
      <c r="A7131" s="107"/>
      <c r="D7131" s="270"/>
      <c r="H7131" s="106" t="str">
        <f t="shared" si="1"/>
        <v/>
      </c>
      <c r="J7131" t="str">
        <f>IFERROR(__xludf.DUMMYFUNCTION("IFS(
  AND(REGEXMATCH(E7131, ""台銀籌備帳戶|玉山帳戶""), REGEXMATCH(C7131, ""薪資"")), ""分潤支出"",
  AND(REGEXMATCH(E7131, ""Ben帳戶|Elsa帳戶|Ben代墊|Ariel代墊|中信銀行共用""), REGEXMATCH(F7131, ""Ben帳戶|Elsa帳戶|Ben代墊|Ariel代墊|中信銀行共用"")), ""內部轉帳(忽略)"",
  AND(E7131&lt;&gt;"""", F7131&lt;&gt;"""", N"&amp;"OT(REGEXMATCH(C7131, ""薪資""))), ""內部轉帳(忽略)"",
  REGEXMATCH(C7131, ""薪資""), ""薪資變動(不計入)"",
  REGEXMATCH(C7131, ""押金""), ""押金往來"",
  AND(E7131&lt;&gt;"""", F7131=""""), ""真實支出"",
  AND(E7131="""", F7131&lt;&gt;""""), ""真實收入"",
  TRUE, ""其他""
)"),"其他")</f>
        <v>其他</v>
      </c>
      <c r="K7131" s="270" t="str">
        <f t="shared" si="2"/>
        <v/>
      </c>
      <c r="L7131">
        <f t="shared" si="3"/>
        <v>0</v>
      </c>
    </row>
    <row r="7132">
      <c r="A7132" s="107"/>
      <c r="D7132" s="270"/>
      <c r="H7132" s="106" t="str">
        <f t="shared" si="1"/>
        <v/>
      </c>
      <c r="J7132" t="str">
        <f>IFERROR(__xludf.DUMMYFUNCTION("IFS(
  AND(REGEXMATCH(E7132, ""台銀籌備帳戶|玉山帳戶""), REGEXMATCH(C7132, ""薪資"")), ""分潤支出"",
  AND(REGEXMATCH(E7132, ""Ben帳戶|Elsa帳戶|Ben代墊|Ariel代墊|中信銀行共用""), REGEXMATCH(F7132, ""Ben帳戶|Elsa帳戶|Ben代墊|Ariel代墊|中信銀行共用"")), ""內部轉帳(忽略)"",
  AND(E7132&lt;&gt;"""", F7132&lt;&gt;"""", N"&amp;"OT(REGEXMATCH(C7132, ""薪資""))), ""內部轉帳(忽略)"",
  REGEXMATCH(C7132, ""薪資""), ""薪資變動(不計入)"",
  REGEXMATCH(C7132, ""押金""), ""押金往來"",
  AND(E7132&lt;&gt;"""", F7132=""""), ""真實支出"",
  AND(E7132="""", F7132&lt;&gt;""""), ""真實收入"",
  TRUE, ""其他""
)"),"其他")</f>
        <v>其他</v>
      </c>
      <c r="K7132" s="270" t="str">
        <f t="shared" si="2"/>
        <v/>
      </c>
      <c r="L7132">
        <f t="shared" si="3"/>
        <v>0</v>
      </c>
    </row>
    <row r="7133">
      <c r="A7133" s="107"/>
      <c r="D7133" s="270"/>
      <c r="H7133" s="106" t="str">
        <f t="shared" si="1"/>
        <v/>
      </c>
      <c r="J7133" t="str">
        <f>IFERROR(__xludf.DUMMYFUNCTION("IFS(
  AND(REGEXMATCH(E7133, ""台銀籌備帳戶|玉山帳戶""), REGEXMATCH(C7133, ""薪資"")), ""分潤支出"",
  AND(REGEXMATCH(E7133, ""Ben帳戶|Elsa帳戶|Ben代墊|Ariel代墊|中信銀行共用""), REGEXMATCH(F7133, ""Ben帳戶|Elsa帳戶|Ben代墊|Ariel代墊|中信銀行共用"")), ""內部轉帳(忽略)"",
  AND(E7133&lt;&gt;"""", F7133&lt;&gt;"""", N"&amp;"OT(REGEXMATCH(C7133, ""薪資""))), ""內部轉帳(忽略)"",
  REGEXMATCH(C7133, ""薪資""), ""薪資變動(不計入)"",
  REGEXMATCH(C7133, ""押金""), ""押金往來"",
  AND(E7133&lt;&gt;"""", F7133=""""), ""真實支出"",
  AND(E7133="""", F7133&lt;&gt;""""), ""真實收入"",
  TRUE, ""其他""
)"),"其他")</f>
        <v>其他</v>
      </c>
      <c r="K7133" s="270" t="str">
        <f t="shared" si="2"/>
        <v/>
      </c>
      <c r="L7133">
        <f t="shared" si="3"/>
        <v>0</v>
      </c>
    </row>
    <row r="7134">
      <c r="A7134" s="107"/>
      <c r="D7134" s="270"/>
      <c r="H7134" s="106" t="str">
        <f t="shared" si="1"/>
        <v/>
      </c>
      <c r="J7134" t="str">
        <f>IFERROR(__xludf.DUMMYFUNCTION("IFS(
  AND(REGEXMATCH(E7134, ""台銀籌備帳戶|玉山帳戶""), REGEXMATCH(C7134, ""薪資"")), ""分潤支出"",
  AND(REGEXMATCH(E7134, ""Ben帳戶|Elsa帳戶|Ben代墊|Ariel代墊|中信銀行共用""), REGEXMATCH(F7134, ""Ben帳戶|Elsa帳戶|Ben代墊|Ariel代墊|中信銀行共用"")), ""內部轉帳(忽略)"",
  AND(E7134&lt;&gt;"""", F7134&lt;&gt;"""", N"&amp;"OT(REGEXMATCH(C7134, ""薪資""))), ""內部轉帳(忽略)"",
  REGEXMATCH(C7134, ""薪資""), ""薪資變動(不計入)"",
  REGEXMATCH(C7134, ""押金""), ""押金往來"",
  AND(E7134&lt;&gt;"""", F7134=""""), ""真實支出"",
  AND(E7134="""", F7134&lt;&gt;""""), ""真實收入"",
  TRUE, ""其他""
)"),"其他")</f>
        <v>其他</v>
      </c>
      <c r="K7134" s="270" t="str">
        <f t="shared" si="2"/>
        <v/>
      </c>
      <c r="L7134">
        <f t="shared" si="3"/>
        <v>0</v>
      </c>
    </row>
    <row r="7135">
      <c r="A7135" s="107"/>
      <c r="D7135" s="270"/>
      <c r="H7135" s="106" t="str">
        <f t="shared" si="1"/>
        <v/>
      </c>
      <c r="J7135" t="str">
        <f>IFERROR(__xludf.DUMMYFUNCTION("IFS(
  AND(REGEXMATCH(E7135, ""台銀籌備帳戶|玉山帳戶""), REGEXMATCH(C7135, ""薪資"")), ""分潤支出"",
  AND(REGEXMATCH(E7135, ""Ben帳戶|Elsa帳戶|Ben代墊|Ariel代墊|中信銀行共用""), REGEXMATCH(F7135, ""Ben帳戶|Elsa帳戶|Ben代墊|Ariel代墊|中信銀行共用"")), ""內部轉帳(忽略)"",
  AND(E7135&lt;&gt;"""", F7135&lt;&gt;"""", N"&amp;"OT(REGEXMATCH(C7135, ""薪資""))), ""內部轉帳(忽略)"",
  REGEXMATCH(C7135, ""薪資""), ""薪資變動(不計入)"",
  REGEXMATCH(C7135, ""押金""), ""押金往來"",
  AND(E7135&lt;&gt;"""", F7135=""""), ""真實支出"",
  AND(E7135="""", F7135&lt;&gt;""""), ""真實收入"",
  TRUE, ""其他""
)"),"其他")</f>
        <v>其他</v>
      </c>
      <c r="K7135" s="270" t="str">
        <f t="shared" si="2"/>
        <v/>
      </c>
      <c r="L7135">
        <f t="shared" si="3"/>
        <v>0</v>
      </c>
    </row>
    <row r="7136">
      <c r="A7136" s="107"/>
      <c r="D7136" s="270"/>
      <c r="H7136" s="106" t="str">
        <f t="shared" si="1"/>
        <v/>
      </c>
      <c r="J7136" t="str">
        <f>IFERROR(__xludf.DUMMYFUNCTION("IFS(
  AND(REGEXMATCH(E7136, ""台銀籌備帳戶|玉山帳戶""), REGEXMATCH(C7136, ""薪資"")), ""分潤支出"",
  AND(REGEXMATCH(E7136, ""Ben帳戶|Elsa帳戶|Ben代墊|Ariel代墊|中信銀行共用""), REGEXMATCH(F7136, ""Ben帳戶|Elsa帳戶|Ben代墊|Ariel代墊|中信銀行共用"")), ""內部轉帳(忽略)"",
  AND(E7136&lt;&gt;"""", F7136&lt;&gt;"""", N"&amp;"OT(REGEXMATCH(C7136, ""薪資""))), ""內部轉帳(忽略)"",
  REGEXMATCH(C7136, ""薪資""), ""薪資變動(不計入)"",
  REGEXMATCH(C7136, ""押金""), ""押金往來"",
  AND(E7136&lt;&gt;"""", F7136=""""), ""真實支出"",
  AND(E7136="""", F7136&lt;&gt;""""), ""真實收入"",
  TRUE, ""其他""
)"),"其他")</f>
        <v>其他</v>
      </c>
      <c r="K7136" s="270" t="str">
        <f t="shared" si="2"/>
        <v/>
      </c>
      <c r="L7136">
        <f t="shared" si="3"/>
        <v>0</v>
      </c>
    </row>
    <row r="7137">
      <c r="A7137" s="107"/>
      <c r="D7137" s="270"/>
      <c r="H7137" s="106" t="str">
        <f t="shared" si="1"/>
        <v/>
      </c>
      <c r="J7137" t="str">
        <f>IFERROR(__xludf.DUMMYFUNCTION("IFS(
  AND(REGEXMATCH(E7137, ""台銀籌備帳戶|玉山帳戶""), REGEXMATCH(C7137, ""薪資"")), ""分潤支出"",
  AND(REGEXMATCH(E7137, ""Ben帳戶|Elsa帳戶|Ben代墊|Ariel代墊|中信銀行共用""), REGEXMATCH(F7137, ""Ben帳戶|Elsa帳戶|Ben代墊|Ariel代墊|中信銀行共用"")), ""內部轉帳(忽略)"",
  AND(E7137&lt;&gt;"""", F7137&lt;&gt;"""", N"&amp;"OT(REGEXMATCH(C7137, ""薪資""))), ""內部轉帳(忽略)"",
  REGEXMATCH(C7137, ""薪資""), ""薪資變動(不計入)"",
  REGEXMATCH(C7137, ""押金""), ""押金往來"",
  AND(E7137&lt;&gt;"""", F7137=""""), ""真實支出"",
  AND(E7137="""", F7137&lt;&gt;""""), ""真實收入"",
  TRUE, ""其他""
)"),"其他")</f>
        <v>其他</v>
      </c>
      <c r="K7137" s="270" t="str">
        <f t="shared" si="2"/>
        <v/>
      </c>
      <c r="L7137">
        <f t="shared" si="3"/>
        <v>0</v>
      </c>
    </row>
    <row r="7138">
      <c r="A7138" s="107"/>
      <c r="D7138" s="270"/>
      <c r="H7138" s="106" t="str">
        <f t="shared" si="1"/>
        <v/>
      </c>
      <c r="J7138" t="str">
        <f>IFERROR(__xludf.DUMMYFUNCTION("IFS(
  AND(REGEXMATCH(E7138, ""台銀籌備帳戶|玉山帳戶""), REGEXMATCH(C7138, ""薪資"")), ""分潤支出"",
  AND(REGEXMATCH(E7138, ""Ben帳戶|Elsa帳戶|Ben代墊|Ariel代墊|中信銀行共用""), REGEXMATCH(F7138, ""Ben帳戶|Elsa帳戶|Ben代墊|Ariel代墊|中信銀行共用"")), ""內部轉帳(忽略)"",
  AND(E7138&lt;&gt;"""", F7138&lt;&gt;"""", N"&amp;"OT(REGEXMATCH(C7138, ""薪資""))), ""內部轉帳(忽略)"",
  REGEXMATCH(C7138, ""薪資""), ""薪資變動(不計入)"",
  REGEXMATCH(C7138, ""押金""), ""押金往來"",
  AND(E7138&lt;&gt;"""", F7138=""""), ""真實支出"",
  AND(E7138="""", F7138&lt;&gt;""""), ""真實收入"",
  TRUE, ""其他""
)"),"其他")</f>
        <v>其他</v>
      </c>
      <c r="K7138" s="270" t="str">
        <f t="shared" si="2"/>
        <v/>
      </c>
      <c r="L7138">
        <f t="shared" si="3"/>
        <v>0</v>
      </c>
    </row>
    <row r="7139">
      <c r="A7139" s="107"/>
      <c r="D7139" s="270"/>
      <c r="H7139" s="106" t="str">
        <f t="shared" si="1"/>
        <v/>
      </c>
      <c r="J7139" t="str">
        <f>IFERROR(__xludf.DUMMYFUNCTION("IFS(
  AND(REGEXMATCH(E7139, ""台銀籌備帳戶|玉山帳戶""), REGEXMATCH(C7139, ""薪資"")), ""分潤支出"",
  AND(REGEXMATCH(E7139, ""Ben帳戶|Elsa帳戶|Ben代墊|Ariel代墊|中信銀行共用""), REGEXMATCH(F7139, ""Ben帳戶|Elsa帳戶|Ben代墊|Ariel代墊|中信銀行共用"")), ""內部轉帳(忽略)"",
  AND(E7139&lt;&gt;"""", F7139&lt;&gt;"""", N"&amp;"OT(REGEXMATCH(C7139, ""薪資""))), ""內部轉帳(忽略)"",
  REGEXMATCH(C7139, ""薪資""), ""薪資變動(不計入)"",
  REGEXMATCH(C7139, ""押金""), ""押金往來"",
  AND(E7139&lt;&gt;"""", F7139=""""), ""真實支出"",
  AND(E7139="""", F7139&lt;&gt;""""), ""真實收入"",
  TRUE, ""其他""
)"),"其他")</f>
        <v>其他</v>
      </c>
      <c r="K7139" s="270" t="str">
        <f t="shared" si="2"/>
        <v/>
      </c>
      <c r="L7139">
        <f t="shared" si="3"/>
        <v>0</v>
      </c>
    </row>
    <row r="7140">
      <c r="A7140" s="107"/>
      <c r="D7140" s="270"/>
      <c r="H7140" s="106" t="str">
        <f t="shared" si="1"/>
        <v/>
      </c>
      <c r="J7140" t="str">
        <f>IFERROR(__xludf.DUMMYFUNCTION("IFS(
  AND(REGEXMATCH(E7140, ""台銀籌備帳戶|玉山帳戶""), REGEXMATCH(C7140, ""薪資"")), ""分潤支出"",
  AND(REGEXMATCH(E7140, ""Ben帳戶|Elsa帳戶|Ben代墊|Ariel代墊|中信銀行共用""), REGEXMATCH(F7140, ""Ben帳戶|Elsa帳戶|Ben代墊|Ariel代墊|中信銀行共用"")), ""內部轉帳(忽略)"",
  AND(E7140&lt;&gt;"""", F7140&lt;&gt;"""", N"&amp;"OT(REGEXMATCH(C7140, ""薪資""))), ""內部轉帳(忽略)"",
  REGEXMATCH(C7140, ""薪資""), ""薪資變動(不計入)"",
  REGEXMATCH(C7140, ""押金""), ""押金往來"",
  AND(E7140&lt;&gt;"""", F7140=""""), ""真實支出"",
  AND(E7140="""", F7140&lt;&gt;""""), ""真實收入"",
  TRUE, ""其他""
)"),"其他")</f>
        <v>其他</v>
      </c>
      <c r="K7140" s="270" t="str">
        <f t="shared" si="2"/>
        <v/>
      </c>
      <c r="L7140">
        <f t="shared" si="3"/>
        <v>0</v>
      </c>
    </row>
    <row r="7141">
      <c r="A7141" s="107"/>
      <c r="D7141" s="270"/>
      <c r="H7141" s="106" t="str">
        <f t="shared" si="1"/>
        <v/>
      </c>
      <c r="J7141" t="str">
        <f>IFERROR(__xludf.DUMMYFUNCTION("IFS(
  AND(REGEXMATCH(E7141, ""台銀籌備帳戶|玉山帳戶""), REGEXMATCH(C7141, ""薪資"")), ""分潤支出"",
  AND(REGEXMATCH(E7141, ""Ben帳戶|Elsa帳戶|Ben代墊|Ariel代墊|中信銀行共用""), REGEXMATCH(F7141, ""Ben帳戶|Elsa帳戶|Ben代墊|Ariel代墊|中信銀行共用"")), ""內部轉帳(忽略)"",
  AND(E7141&lt;&gt;"""", F7141&lt;&gt;"""", N"&amp;"OT(REGEXMATCH(C7141, ""薪資""))), ""內部轉帳(忽略)"",
  REGEXMATCH(C7141, ""薪資""), ""薪資變動(不計入)"",
  REGEXMATCH(C7141, ""押金""), ""押金往來"",
  AND(E7141&lt;&gt;"""", F7141=""""), ""真實支出"",
  AND(E7141="""", F7141&lt;&gt;""""), ""真實收入"",
  TRUE, ""其他""
)"),"其他")</f>
        <v>其他</v>
      </c>
      <c r="K7141" s="270" t="str">
        <f t="shared" si="2"/>
        <v/>
      </c>
      <c r="L7141">
        <f t="shared" si="3"/>
        <v>0</v>
      </c>
    </row>
    <row r="7142">
      <c r="A7142" s="107"/>
      <c r="D7142" s="270"/>
      <c r="H7142" s="106" t="str">
        <f t="shared" si="1"/>
        <v/>
      </c>
      <c r="J7142" t="str">
        <f>IFERROR(__xludf.DUMMYFUNCTION("IFS(
  AND(REGEXMATCH(E7142, ""台銀籌備帳戶|玉山帳戶""), REGEXMATCH(C7142, ""薪資"")), ""分潤支出"",
  AND(REGEXMATCH(E7142, ""Ben帳戶|Elsa帳戶|Ben代墊|Ariel代墊|中信銀行共用""), REGEXMATCH(F7142, ""Ben帳戶|Elsa帳戶|Ben代墊|Ariel代墊|中信銀行共用"")), ""內部轉帳(忽略)"",
  AND(E7142&lt;&gt;"""", F7142&lt;&gt;"""", N"&amp;"OT(REGEXMATCH(C7142, ""薪資""))), ""內部轉帳(忽略)"",
  REGEXMATCH(C7142, ""薪資""), ""薪資變動(不計入)"",
  REGEXMATCH(C7142, ""押金""), ""押金往來"",
  AND(E7142&lt;&gt;"""", F7142=""""), ""真實支出"",
  AND(E7142="""", F7142&lt;&gt;""""), ""真實收入"",
  TRUE, ""其他""
)"),"其他")</f>
        <v>其他</v>
      </c>
      <c r="K7142" s="270" t="str">
        <f t="shared" si="2"/>
        <v/>
      </c>
      <c r="L7142">
        <f t="shared" si="3"/>
        <v>0</v>
      </c>
    </row>
    <row r="7143">
      <c r="A7143" s="107"/>
      <c r="D7143" s="270"/>
      <c r="H7143" s="106" t="str">
        <f t="shared" si="1"/>
        <v/>
      </c>
      <c r="J7143" t="str">
        <f>IFERROR(__xludf.DUMMYFUNCTION("IFS(
  AND(REGEXMATCH(E7143, ""台銀籌備帳戶|玉山帳戶""), REGEXMATCH(C7143, ""薪資"")), ""分潤支出"",
  AND(REGEXMATCH(E7143, ""Ben帳戶|Elsa帳戶|Ben代墊|Ariel代墊|中信銀行共用""), REGEXMATCH(F7143, ""Ben帳戶|Elsa帳戶|Ben代墊|Ariel代墊|中信銀行共用"")), ""內部轉帳(忽略)"",
  AND(E7143&lt;&gt;"""", F7143&lt;&gt;"""", N"&amp;"OT(REGEXMATCH(C7143, ""薪資""))), ""內部轉帳(忽略)"",
  REGEXMATCH(C7143, ""薪資""), ""薪資變動(不計入)"",
  REGEXMATCH(C7143, ""押金""), ""押金往來"",
  AND(E7143&lt;&gt;"""", F7143=""""), ""真實支出"",
  AND(E7143="""", F7143&lt;&gt;""""), ""真實收入"",
  TRUE, ""其他""
)"),"其他")</f>
        <v>其他</v>
      </c>
      <c r="K7143" s="270" t="str">
        <f t="shared" si="2"/>
        <v/>
      </c>
      <c r="L7143">
        <f t="shared" si="3"/>
        <v>0</v>
      </c>
    </row>
    <row r="7144">
      <c r="A7144" s="107"/>
      <c r="D7144" s="270"/>
      <c r="H7144" s="106" t="str">
        <f t="shared" si="1"/>
        <v/>
      </c>
      <c r="J7144" t="str">
        <f>IFERROR(__xludf.DUMMYFUNCTION("IFS(
  AND(REGEXMATCH(E7144, ""台銀籌備帳戶|玉山帳戶""), REGEXMATCH(C7144, ""薪資"")), ""分潤支出"",
  AND(REGEXMATCH(E7144, ""Ben帳戶|Elsa帳戶|Ben代墊|Ariel代墊|中信銀行共用""), REGEXMATCH(F7144, ""Ben帳戶|Elsa帳戶|Ben代墊|Ariel代墊|中信銀行共用"")), ""內部轉帳(忽略)"",
  AND(E7144&lt;&gt;"""", F7144&lt;&gt;"""", N"&amp;"OT(REGEXMATCH(C7144, ""薪資""))), ""內部轉帳(忽略)"",
  REGEXMATCH(C7144, ""薪資""), ""薪資變動(不計入)"",
  REGEXMATCH(C7144, ""押金""), ""押金往來"",
  AND(E7144&lt;&gt;"""", F7144=""""), ""真實支出"",
  AND(E7144="""", F7144&lt;&gt;""""), ""真實收入"",
  TRUE, ""其他""
)"),"其他")</f>
        <v>其他</v>
      </c>
      <c r="K7144" s="270" t="str">
        <f t="shared" si="2"/>
        <v/>
      </c>
      <c r="L7144">
        <f t="shared" si="3"/>
        <v>0</v>
      </c>
    </row>
    <row r="7145">
      <c r="A7145" s="107"/>
      <c r="D7145" s="270"/>
      <c r="H7145" s="106" t="str">
        <f t="shared" si="1"/>
        <v/>
      </c>
      <c r="J7145" t="str">
        <f>IFERROR(__xludf.DUMMYFUNCTION("IFS(
  AND(REGEXMATCH(E7145, ""台銀籌備帳戶|玉山帳戶""), REGEXMATCH(C7145, ""薪資"")), ""分潤支出"",
  AND(REGEXMATCH(E7145, ""Ben帳戶|Elsa帳戶|Ben代墊|Ariel代墊|中信銀行共用""), REGEXMATCH(F7145, ""Ben帳戶|Elsa帳戶|Ben代墊|Ariel代墊|中信銀行共用"")), ""內部轉帳(忽略)"",
  AND(E7145&lt;&gt;"""", F7145&lt;&gt;"""", N"&amp;"OT(REGEXMATCH(C7145, ""薪資""))), ""內部轉帳(忽略)"",
  REGEXMATCH(C7145, ""薪資""), ""薪資變動(不計入)"",
  REGEXMATCH(C7145, ""押金""), ""押金往來"",
  AND(E7145&lt;&gt;"""", F7145=""""), ""真實支出"",
  AND(E7145="""", F7145&lt;&gt;""""), ""真實收入"",
  TRUE, ""其他""
)"),"其他")</f>
        <v>其他</v>
      </c>
      <c r="K7145" s="270" t="str">
        <f t="shared" si="2"/>
        <v/>
      </c>
      <c r="L7145">
        <f t="shared" si="3"/>
        <v>0</v>
      </c>
    </row>
    <row r="7146">
      <c r="A7146" s="107"/>
      <c r="D7146" s="270"/>
      <c r="H7146" s="106" t="str">
        <f t="shared" si="1"/>
        <v/>
      </c>
      <c r="J7146" t="str">
        <f>IFERROR(__xludf.DUMMYFUNCTION("IFS(
  AND(REGEXMATCH(E7146, ""台銀籌備帳戶|玉山帳戶""), REGEXMATCH(C7146, ""薪資"")), ""分潤支出"",
  AND(REGEXMATCH(E7146, ""Ben帳戶|Elsa帳戶|Ben代墊|Ariel代墊|中信銀行共用""), REGEXMATCH(F7146, ""Ben帳戶|Elsa帳戶|Ben代墊|Ariel代墊|中信銀行共用"")), ""內部轉帳(忽略)"",
  AND(E7146&lt;&gt;"""", F7146&lt;&gt;"""", N"&amp;"OT(REGEXMATCH(C7146, ""薪資""))), ""內部轉帳(忽略)"",
  REGEXMATCH(C7146, ""薪資""), ""薪資變動(不計入)"",
  REGEXMATCH(C7146, ""押金""), ""押金往來"",
  AND(E7146&lt;&gt;"""", F7146=""""), ""真實支出"",
  AND(E7146="""", F7146&lt;&gt;""""), ""真實收入"",
  TRUE, ""其他""
)"),"其他")</f>
        <v>其他</v>
      </c>
      <c r="K7146" s="270" t="str">
        <f t="shared" si="2"/>
        <v/>
      </c>
      <c r="L7146">
        <f t="shared" si="3"/>
        <v>0</v>
      </c>
    </row>
    <row r="7147">
      <c r="A7147" s="107"/>
      <c r="D7147" s="270"/>
      <c r="H7147" s="106" t="str">
        <f t="shared" si="1"/>
        <v/>
      </c>
      <c r="J7147" t="str">
        <f>IFERROR(__xludf.DUMMYFUNCTION("IFS(
  AND(REGEXMATCH(E7147, ""台銀籌備帳戶|玉山帳戶""), REGEXMATCH(C7147, ""薪資"")), ""分潤支出"",
  AND(REGEXMATCH(E7147, ""Ben帳戶|Elsa帳戶|Ben代墊|Ariel代墊|中信銀行共用""), REGEXMATCH(F7147, ""Ben帳戶|Elsa帳戶|Ben代墊|Ariel代墊|中信銀行共用"")), ""內部轉帳(忽略)"",
  AND(E7147&lt;&gt;"""", F7147&lt;&gt;"""", N"&amp;"OT(REGEXMATCH(C7147, ""薪資""))), ""內部轉帳(忽略)"",
  REGEXMATCH(C7147, ""薪資""), ""薪資變動(不計入)"",
  REGEXMATCH(C7147, ""押金""), ""押金往來"",
  AND(E7147&lt;&gt;"""", F7147=""""), ""真實支出"",
  AND(E7147="""", F7147&lt;&gt;""""), ""真實收入"",
  TRUE, ""其他""
)"),"其他")</f>
        <v>其他</v>
      </c>
      <c r="K7147" s="270" t="str">
        <f t="shared" si="2"/>
        <v/>
      </c>
      <c r="L7147">
        <f t="shared" si="3"/>
        <v>0</v>
      </c>
    </row>
    <row r="7148">
      <c r="A7148" s="107"/>
      <c r="D7148" s="270"/>
      <c r="H7148" s="106" t="str">
        <f t="shared" si="1"/>
        <v/>
      </c>
      <c r="J7148" t="str">
        <f>IFERROR(__xludf.DUMMYFUNCTION("IFS(
  AND(REGEXMATCH(E7148, ""台銀籌備帳戶|玉山帳戶""), REGEXMATCH(C7148, ""薪資"")), ""分潤支出"",
  AND(REGEXMATCH(E7148, ""Ben帳戶|Elsa帳戶|Ben代墊|Ariel代墊|中信銀行共用""), REGEXMATCH(F7148, ""Ben帳戶|Elsa帳戶|Ben代墊|Ariel代墊|中信銀行共用"")), ""內部轉帳(忽略)"",
  AND(E7148&lt;&gt;"""", F7148&lt;&gt;"""", N"&amp;"OT(REGEXMATCH(C7148, ""薪資""))), ""內部轉帳(忽略)"",
  REGEXMATCH(C7148, ""薪資""), ""薪資變動(不計入)"",
  REGEXMATCH(C7148, ""押金""), ""押金往來"",
  AND(E7148&lt;&gt;"""", F7148=""""), ""真實支出"",
  AND(E7148="""", F7148&lt;&gt;""""), ""真實收入"",
  TRUE, ""其他""
)"),"其他")</f>
        <v>其他</v>
      </c>
      <c r="K7148" s="270" t="str">
        <f t="shared" si="2"/>
        <v/>
      </c>
      <c r="L7148">
        <f t="shared" si="3"/>
        <v>0</v>
      </c>
    </row>
    <row r="7149">
      <c r="A7149" s="107"/>
      <c r="D7149" s="270"/>
      <c r="H7149" s="106" t="str">
        <f t="shared" si="1"/>
        <v/>
      </c>
      <c r="J7149" t="str">
        <f>IFERROR(__xludf.DUMMYFUNCTION("IFS(
  AND(REGEXMATCH(E7149, ""台銀籌備帳戶|玉山帳戶""), REGEXMATCH(C7149, ""薪資"")), ""分潤支出"",
  AND(REGEXMATCH(E7149, ""Ben帳戶|Elsa帳戶|Ben代墊|Ariel代墊|中信銀行共用""), REGEXMATCH(F7149, ""Ben帳戶|Elsa帳戶|Ben代墊|Ariel代墊|中信銀行共用"")), ""內部轉帳(忽略)"",
  AND(E7149&lt;&gt;"""", F7149&lt;&gt;"""", N"&amp;"OT(REGEXMATCH(C7149, ""薪資""))), ""內部轉帳(忽略)"",
  REGEXMATCH(C7149, ""薪資""), ""薪資變動(不計入)"",
  REGEXMATCH(C7149, ""押金""), ""押金往來"",
  AND(E7149&lt;&gt;"""", F7149=""""), ""真實支出"",
  AND(E7149="""", F7149&lt;&gt;""""), ""真實收入"",
  TRUE, ""其他""
)"),"其他")</f>
        <v>其他</v>
      </c>
      <c r="K7149" s="270" t="str">
        <f t="shared" si="2"/>
        <v/>
      </c>
      <c r="L7149">
        <f t="shared" si="3"/>
        <v>0</v>
      </c>
    </row>
    <row r="7150">
      <c r="A7150" s="107"/>
      <c r="D7150" s="270"/>
      <c r="H7150" s="106" t="str">
        <f t="shared" si="1"/>
        <v/>
      </c>
      <c r="J7150" t="str">
        <f>IFERROR(__xludf.DUMMYFUNCTION("IFS(
  AND(REGEXMATCH(E7150, ""台銀籌備帳戶|玉山帳戶""), REGEXMATCH(C7150, ""薪資"")), ""分潤支出"",
  AND(REGEXMATCH(E7150, ""Ben帳戶|Elsa帳戶|Ben代墊|Ariel代墊|中信銀行共用""), REGEXMATCH(F7150, ""Ben帳戶|Elsa帳戶|Ben代墊|Ariel代墊|中信銀行共用"")), ""內部轉帳(忽略)"",
  AND(E7150&lt;&gt;"""", F7150&lt;&gt;"""", N"&amp;"OT(REGEXMATCH(C7150, ""薪資""))), ""內部轉帳(忽略)"",
  REGEXMATCH(C7150, ""薪資""), ""薪資變動(不計入)"",
  REGEXMATCH(C7150, ""押金""), ""押金往來"",
  AND(E7150&lt;&gt;"""", F7150=""""), ""真實支出"",
  AND(E7150="""", F7150&lt;&gt;""""), ""真實收入"",
  TRUE, ""其他""
)"),"其他")</f>
        <v>其他</v>
      </c>
      <c r="K7150" s="270" t="str">
        <f t="shared" si="2"/>
        <v/>
      </c>
      <c r="L7150">
        <f t="shared" si="3"/>
        <v>0</v>
      </c>
    </row>
    <row r="7151">
      <c r="A7151" s="107"/>
      <c r="D7151" s="270"/>
      <c r="H7151" s="106" t="str">
        <f t="shared" si="1"/>
        <v/>
      </c>
      <c r="J7151" t="str">
        <f>IFERROR(__xludf.DUMMYFUNCTION("IFS(
  AND(REGEXMATCH(E7151, ""台銀籌備帳戶|玉山帳戶""), REGEXMATCH(C7151, ""薪資"")), ""分潤支出"",
  AND(REGEXMATCH(E7151, ""Ben帳戶|Elsa帳戶|Ben代墊|Ariel代墊|中信銀行共用""), REGEXMATCH(F7151, ""Ben帳戶|Elsa帳戶|Ben代墊|Ariel代墊|中信銀行共用"")), ""內部轉帳(忽略)"",
  AND(E7151&lt;&gt;"""", F7151&lt;&gt;"""", N"&amp;"OT(REGEXMATCH(C7151, ""薪資""))), ""內部轉帳(忽略)"",
  REGEXMATCH(C7151, ""薪資""), ""薪資變動(不計入)"",
  REGEXMATCH(C7151, ""押金""), ""押金往來"",
  AND(E7151&lt;&gt;"""", F7151=""""), ""真實支出"",
  AND(E7151="""", F7151&lt;&gt;""""), ""真實收入"",
  TRUE, ""其他""
)"),"其他")</f>
        <v>其他</v>
      </c>
      <c r="K7151" s="270" t="str">
        <f t="shared" si="2"/>
        <v/>
      </c>
      <c r="L7151">
        <f t="shared" si="3"/>
        <v>0</v>
      </c>
    </row>
    <row r="7152">
      <c r="A7152" s="107"/>
      <c r="D7152" s="270"/>
      <c r="H7152" s="106" t="str">
        <f t="shared" si="1"/>
        <v/>
      </c>
      <c r="J7152" t="str">
        <f>IFERROR(__xludf.DUMMYFUNCTION("IFS(
  AND(REGEXMATCH(E7152, ""台銀籌備帳戶|玉山帳戶""), REGEXMATCH(C7152, ""薪資"")), ""分潤支出"",
  AND(REGEXMATCH(E7152, ""Ben帳戶|Elsa帳戶|Ben代墊|Ariel代墊|中信銀行共用""), REGEXMATCH(F7152, ""Ben帳戶|Elsa帳戶|Ben代墊|Ariel代墊|中信銀行共用"")), ""內部轉帳(忽略)"",
  AND(E7152&lt;&gt;"""", F7152&lt;&gt;"""", N"&amp;"OT(REGEXMATCH(C7152, ""薪資""))), ""內部轉帳(忽略)"",
  REGEXMATCH(C7152, ""薪資""), ""薪資變動(不計入)"",
  REGEXMATCH(C7152, ""押金""), ""押金往來"",
  AND(E7152&lt;&gt;"""", F7152=""""), ""真實支出"",
  AND(E7152="""", F7152&lt;&gt;""""), ""真實收入"",
  TRUE, ""其他""
)"),"其他")</f>
        <v>其他</v>
      </c>
      <c r="K7152" s="270" t="str">
        <f t="shared" si="2"/>
        <v/>
      </c>
      <c r="L7152">
        <f t="shared" si="3"/>
        <v>0</v>
      </c>
    </row>
    <row r="7153">
      <c r="A7153" s="107"/>
      <c r="D7153" s="270"/>
      <c r="H7153" s="106" t="str">
        <f t="shared" si="1"/>
        <v/>
      </c>
      <c r="J7153" t="str">
        <f>IFERROR(__xludf.DUMMYFUNCTION("IFS(
  AND(REGEXMATCH(E7153, ""台銀籌備帳戶|玉山帳戶""), REGEXMATCH(C7153, ""薪資"")), ""分潤支出"",
  AND(REGEXMATCH(E7153, ""Ben帳戶|Elsa帳戶|Ben代墊|Ariel代墊|中信銀行共用""), REGEXMATCH(F7153, ""Ben帳戶|Elsa帳戶|Ben代墊|Ariel代墊|中信銀行共用"")), ""內部轉帳(忽略)"",
  AND(E7153&lt;&gt;"""", F7153&lt;&gt;"""", N"&amp;"OT(REGEXMATCH(C7153, ""薪資""))), ""內部轉帳(忽略)"",
  REGEXMATCH(C7153, ""薪資""), ""薪資變動(不計入)"",
  REGEXMATCH(C7153, ""押金""), ""押金往來"",
  AND(E7153&lt;&gt;"""", F7153=""""), ""真實支出"",
  AND(E7153="""", F7153&lt;&gt;""""), ""真實收入"",
  TRUE, ""其他""
)"),"其他")</f>
        <v>其他</v>
      </c>
      <c r="K7153" s="270" t="str">
        <f t="shared" si="2"/>
        <v/>
      </c>
      <c r="L7153">
        <f t="shared" si="3"/>
        <v>0</v>
      </c>
    </row>
    <row r="7154">
      <c r="A7154" s="107"/>
      <c r="D7154" s="270"/>
      <c r="H7154" s="106" t="str">
        <f t="shared" si="1"/>
        <v/>
      </c>
      <c r="J7154" t="str">
        <f>IFERROR(__xludf.DUMMYFUNCTION("IFS(
  AND(REGEXMATCH(E7154, ""台銀籌備帳戶|玉山帳戶""), REGEXMATCH(C7154, ""薪資"")), ""分潤支出"",
  AND(REGEXMATCH(E7154, ""Ben帳戶|Elsa帳戶|Ben代墊|Ariel代墊|中信銀行共用""), REGEXMATCH(F7154, ""Ben帳戶|Elsa帳戶|Ben代墊|Ariel代墊|中信銀行共用"")), ""內部轉帳(忽略)"",
  AND(E7154&lt;&gt;"""", F7154&lt;&gt;"""", N"&amp;"OT(REGEXMATCH(C7154, ""薪資""))), ""內部轉帳(忽略)"",
  REGEXMATCH(C7154, ""薪資""), ""薪資變動(不計入)"",
  REGEXMATCH(C7154, ""押金""), ""押金往來"",
  AND(E7154&lt;&gt;"""", F7154=""""), ""真實支出"",
  AND(E7154="""", F7154&lt;&gt;""""), ""真實收入"",
  TRUE, ""其他""
)"),"其他")</f>
        <v>其他</v>
      </c>
      <c r="K7154" s="270" t="str">
        <f t="shared" si="2"/>
        <v/>
      </c>
      <c r="L7154">
        <f t="shared" si="3"/>
        <v>0</v>
      </c>
    </row>
    <row r="7155">
      <c r="A7155" s="107"/>
      <c r="D7155" s="270"/>
      <c r="H7155" s="106" t="str">
        <f t="shared" si="1"/>
        <v/>
      </c>
      <c r="J7155" t="str">
        <f>IFERROR(__xludf.DUMMYFUNCTION("IFS(
  AND(REGEXMATCH(E7155, ""台銀籌備帳戶|玉山帳戶""), REGEXMATCH(C7155, ""薪資"")), ""分潤支出"",
  AND(REGEXMATCH(E7155, ""Ben帳戶|Elsa帳戶|Ben代墊|Ariel代墊|中信銀行共用""), REGEXMATCH(F7155, ""Ben帳戶|Elsa帳戶|Ben代墊|Ariel代墊|中信銀行共用"")), ""內部轉帳(忽略)"",
  AND(E7155&lt;&gt;"""", F7155&lt;&gt;"""", N"&amp;"OT(REGEXMATCH(C7155, ""薪資""))), ""內部轉帳(忽略)"",
  REGEXMATCH(C7155, ""薪資""), ""薪資變動(不計入)"",
  REGEXMATCH(C7155, ""押金""), ""押金往來"",
  AND(E7155&lt;&gt;"""", F7155=""""), ""真實支出"",
  AND(E7155="""", F7155&lt;&gt;""""), ""真實收入"",
  TRUE, ""其他""
)"),"其他")</f>
        <v>其他</v>
      </c>
      <c r="K7155" s="270" t="str">
        <f t="shared" si="2"/>
        <v/>
      </c>
      <c r="L7155">
        <f t="shared" si="3"/>
        <v>0</v>
      </c>
    </row>
    <row r="7156">
      <c r="A7156" s="107"/>
      <c r="D7156" s="270"/>
      <c r="H7156" s="106" t="str">
        <f t="shared" si="1"/>
        <v/>
      </c>
      <c r="J7156" t="str">
        <f>IFERROR(__xludf.DUMMYFUNCTION("IFS(
  AND(REGEXMATCH(E7156, ""台銀籌備帳戶|玉山帳戶""), REGEXMATCH(C7156, ""薪資"")), ""分潤支出"",
  AND(REGEXMATCH(E7156, ""Ben帳戶|Elsa帳戶|Ben代墊|Ariel代墊|中信銀行共用""), REGEXMATCH(F7156, ""Ben帳戶|Elsa帳戶|Ben代墊|Ariel代墊|中信銀行共用"")), ""內部轉帳(忽略)"",
  AND(E7156&lt;&gt;"""", F7156&lt;&gt;"""", N"&amp;"OT(REGEXMATCH(C7156, ""薪資""))), ""內部轉帳(忽略)"",
  REGEXMATCH(C7156, ""薪資""), ""薪資變動(不計入)"",
  REGEXMATCH(C7156, ""押金""), ""押金往來"",
  AND(E7156&lt;&gt;"""", F7156=""""), ""真實支出"",
  AND(E7156="""", F7156&lt;&gt;""""), ""真實收入"",
  TRUE, ""其他""
)"),"其他")</f>
        <v>其他</v>
      </c>
      <c r="K7156" s="270" t="str">
        <f t="shared" si="2"/>
        <v/>
      </c>
      <c r="L7156">
        <f t="shared" si="3"/>
        <v>0</v>
      </c>
    </row>
    <row r="7157">
      <c r="A7157" s="107"/>
      <c r="D7157" s="270"/>
      <c r="H7157" s="106" t="str">
        <f t="shared" si="1"/>
        <v/>
      </c>
      <c r="J7157" t="str">
        <f>IFERROR(__xludf.DUMMYFUNCTION("IFS(
  AND(REGEXMATCH(E7157, ""台銀籌備帳戶|玉山帳戶""), REGEXMATCH(C7157, ""薪資"")), ""分潤支出"",
  AND(REGEXMATCH(E7157, ""Ben帳戶|Elsa帳戶|Ben代墊|Ariel代墊|中信銀行共用""), REGEXMATCH(F7157, ""Ben帳戶|Elsa帳戶|Ben代墊|Ariel代墊|中信銀行共用"")), ""內部轉帳(忽略)"",
  AND(E7157&lt;&gt;"""", F7157&lt;&gt;"""", N"&amp;"OT(REGEXMATCH(C7157, ""薪資""))), ""內部轉帳(忽略)"",
  REGEXMATCH(C7157, ""薪資""), ""薪資變動(不計入)"",
  REGEXMATCH(C7157, ""押金""), ""押金往來"",
  AND(E7157&lt;&gt;"""", F7157=""""), ""真實支出"",
  AND(E7157="""", F7157&lt;&gt;""""), ""真實收入"",
  TRUE, ""其他""
)"),"其他")</f>
        <v>其他</v>
      </c>
      <c r="K7157" s="270" t="str">
        <f t="shared" si="2"/>
        <v/>
      </c>
      <c r="L7157">
        <f t="shared" si="3"/>
        <v>0</v>
      </c>
    </row>
    <row r="7158">
      <c r="A7158" s="107"/>
      <c r="D7158" s="270"/>
      <c r="H7158" s="106" t="str">
        <f t="shared" si="1"/>
        <v/>
      </c>
      <c r="J7158" t="str">
        <f>IFERROR(__xludf.DUMMYFUNCTION("IFS(
  AND(REGEXMATCH(E7158, ""台銀籌備帳戶|玉山帳戶""), REGEXMATCH(C7158, ""薪資"")), ""分潤支出"",
  AND(REGEXMATCH(E7158, ""Ben帳戶|Elsa帳戶|Ben代墊|Ariel代墊|中信銀行共用""), REGEXMATCH(F7158, ""Ben帳戶|Elsa帳戶|Ben代墊|Ariel代墊|中信銀行共用"")), ""內部轉帳(忽略)"",
  AND(E7158&lt;&gt;"""", F7158&lt;&gt;"""", N"&amp;"OT(REGEXMATCH(C7158, ""薪資""))), ""內部轉帳(忽略)"",
  REGEXMATCH(C7158, ""薪資""), ""薪資變動(不計入)"",
  REGEXMATCH(C7158, ""押金""), ""押金往來"",
  AND(E7158&lt;&gt;"""", F7158=""""), ""真實支出"",
  AND(E7158="""", F7158&lt;&gt;""""), ""真實收入"",
  TRUE, ""其他""
)"),"其他")</f>
        <v>其他</v>
      </c>
      <c r="K7158" s="270" t="str">
        <f t="shared" si="2"/>
        <v/>
      </c>
      <c r="L7158">
        <f t="shared" si="3"/>
        <v>0</v>
      </c>
    </row>
    <row r="7159">
      <c r="A7159" s="107"/>
      <c r="D7159" s="270"/>
      <c r="H7159" s="106" t="str">
        <f t="shared" si="1"/>
        <v/>
      </c>
      <c r="J7159" t="str">
        <f>IFERROR(__xludf.DUMMYFUNCTION("IFS(
  AND(REGEXMATCH(E7159, ""台銀籌備帳戶|玉山帳戶""), REGEXMATCH(C7159, ""薪資"")), ""分潤支出"",
  AND(REGEXMATCH(E7159, ""Ben帳戶|Elsa帳戶|Ben代墊|Ariel代墊|中信銀行共用""), REGEXMATCH(F7159, ""Ben帳戶|Elsa帳戶|Ben代墊|Ariel代墊|中信銀行共用"")), ""內部轉帳(忽略)"",
  AND(E7159&lt;&gt;"""", F7159&lt;&gt;"""", N"&amp;"OT(REGEXMATCH(C7159, ""薪資""))), ""內部轉帳(忽略)"",
  REGEXMATCH(C7159, ""薪資""), ""薪資變動(不計入)"",
  REGEXMATCH(C7159, ""押金""), ""押金往來"",
  AND(E7159&lt;&gt;"""", F7159=""""), ""真實支出"",
  AND(E7159="""", F7159&lt;&gt;""""), ""真實收入"",
  TRUE, ""其他""
)"),"其他")</f>
        <v>其他</v>
      </c>
      <c r="K7159" s="270" t="str">
        <f t="shared" si="2"/>
        <v/>
      </c>
      <c r="L7159">
        <f t="shared" si="3"/>
        <v>0</v>
      </c>
    </row>
    <row r="7160">
      <c r="A7160" s="107"/>
      <c r="D7160" s="270"/>
      <c r="H7160" s="106" t="str">
        <f t="shared" si="1"/>
        <v/>
      </c>
      <c r="J7160" t="str">
        <f>IFERROR(__xludf.DUMMYFUNCTION("IFS(
  AND(REGEXMATCH(E7160, ""台銀籌備帳戶|玉山帳戶""), REGEXMATCH(C7160, ""薪資"")), ""分潤支出"",
  AND(REGEXMATCH(E7160, ""Ben帳戶|Elsa帳戶|Ben代墊|Ariel代墊|中信銀行共用""), REGEXMATCH(F7160, ""Ben帳戶|Elsa帳戶|Ben代墊|Ariel代墊|中信銀行共用"")), ""內部轉帳(忽略)"",
  AND(E7160&lt;&gt;"""", F7160&lt;&gt;"""", N"&amp;"OT(REGEXMATCH(C7160, ""薪資""))), ""內部轉帳(忽略)"",
  REGEXMATCH(C7160, ""薪資""), ""薪資變動(不計入)"",
  REGEXMATCH(C7160, ""押金""), ""押金往來"",
  AND(E7160&lt;&gt;"""", F7160=""""), ""真實支出"",
  AND(E7160="""", F7160&lt;&gt;""""), ""真實收入"",
  TRUE, ""其他""
)"),"其他")</f>
        <v>其他</v>
      </c>
      <c r="K7160" s="270" t="str">
        <f t="shared" si="2"/>
        <v/>
      </c>
      <c r="L7160">
        <f t="shared" si="3"/>
        <v>0</v>
      </c>
    </row>
    <row r="7161">
      <c r="A7161" s="107"/>
      <c r="D7161" s="270"/>
      <c r="H7161" s="106" t="str">
        <f t="shared" si="1"/>
        <v/>
      </c>
      <c r="J7161" t="str">
        <f>IFERROR(__xludf.DUMMYFUNCTION("IFS(
  AND(REGEXMATCH(E7161, ""台銀籌備帳戶|玉山帳戶""), REGEXMATCH(C7161, ""薪資"")), ""分潤支出"",
  AND(REGEXMATCH(E7161, ""Ben帳戶|Elsa帳戶|Ben代墊|Ariel代墊|中信銀行共用""), REGEXMATCH(F7161, ""Ben帳戶|Elsa帳戶|Ben代墊|Ariel代墊|中信銀行共用"")), ""內部轉帳(忽略)"",
  AND(E7161&lt;&gt;"""", F7161&lt;&gt;"""", N"&amp;"OT(REGEXMATCH(C7161, ""薪資""))), ""內部轉帳(忽略)"",
  REGEXMATCH(C7161, ""薪資""), ""薪資變動(不計入)"",
  REGEXMATCH(C7161, ""押金""), ""押金往來"",
  AND(E7161&lt;&gt;"""", F7161=""""), ""真實支出"",
  AND(E7161="""", F7161&lt;&gt;""""), ""真實收入"",
  TRUE, ""其他""
)"),"其他")</f>
        <v>其他</v>
      </c>
      <c r="K7161" s="270" t="str">
        <f t="shared" si="2"/>
        <v/>
      </c>
      <c r="L7161">
        <f t="shared" si="3"/>
        <v>0</v>
      </c>
    </row>
    <row r="7162">
      <c r="A7162" s="107"/>
      <c r="D7162" s="270"/>
      <c r="H7162" s="106" t="str">
        <f t="shared" si="1"/>
        <v/>
      </c>
      <c r="J7162" t="str">
        <f>IFERROR(__xludf.DUMMYFUNCTION("IFS(
  AND(REGEXMATCH(E7162, ""台銀籌備帳戶|玉山帳戶""), REGEXMATCH(C7162, ""薪資"")), ""分潤支出"",
  AND(REGEXMATCH(E7162, ""Ben帳戶|Elsa帳戶|Ben代墊|Ariel代墊|中信銀行共用""), REGEXMATCH(F7162, ""Ben帳戶|Elsa帳戶|Ben代墊|Ariel代墊|中信銀行共用"")), ""內部轉帳(忽略)"",
  AND(E7162&lt;&gt;"""", F7162&lt;&gt;"""", N"&amp;"OT(REGEXMATCH(C7162, ""薪資""))), ""內部轉帳(忽略)"",
  REGEXMATCH(C7162, ""薪資""), ""薪資變動(不計入)"",
  REGEXMATCH(C7162, ""押金""), ""押金往來"",
  AND(E7162&lt;&gt;"""", F7162=""""), ""真實支出"",
  AND(E7162="""", F7162&lt;&gt;""""), ""真實收入"",
  TRUE, ""其他""
)"),"其他")</f>
        <v>其他</v>
      </c>
      <c r="K7162" s="270" t="str">
        <f t="shared" si="2"/>
        <v/>
      </c>
      <c r="L7162">
        <f t="shared" si="3"/>
        <v>0</v>
      </c>
    </row>
    <row r="7163">
      <c r="A7163" s="107"/>
      <c r="D7163" s="270"/>
      <c r="H7163" s="106" t="str">
        <f t="shared" si="1"/>
        <v/>
      </c>
      <c r="J7163" t="str">
        <f>IFERROR(__xludf.DUMMYFUNCTION("IFS(
  AND(REGEXMATCH(E7163, ""台銀籌備帳戶|玉山帳戶""), REGEXMATCH(C7163, ""薪資"")), ""分潤支出"",
  AND(REGEXMATCH(E7163, ""Ben帳戶|Elsa帳戶|Ben代墊|Ariel代墊|中信銀行共用""), REGEXMATCH(F7163, ""Ben帳戶|Elsa帳戶|Ben代墊|Ariel代墊|中信銀行共用"")), ""內部轉帳(忽略)"",
  AND(E7163&lt;&gt;"""", F7163&lt;&gt;"""", N"&amp;"OT(REGEXMATCH(C7163, ""薪資""))), ""內部轉帳(忽略)"",
  REGEXMATCH(C7163, ""薪資""), ""薪資變動(不計入)"",
  REGEXMATCH(C7163, ""押金""), ""押金往來"",
  AND(E7163&lt;&gt;"""", F7163=""""), ""真實支出"",
  AND(E7163="""", F7163&lt;&gt;""""), ""真實收入"",
  TRUE, ""其他""
)"),"其他")</f>
        <v>其他</v>
      </c>
      <c r="K7163" s="270" t="str">
        <f t="shared" si="2"/>
        <v/>
      </c>
      <c r="L7163">
        <f t="shared" si="3"/>
        <v>0</v>
      </c>
    </row>
    <row r="7164">
      <c r="A7164" s="107"/>
      <c r="D7164" s="270"/>
      <c r="H7164" s="106" t="str">
        <f t="shared" si="1"/>
        <v/>
      </c>
      <c r="J7164" t="str">
        <f>IFERROR(__xludf.DUMMYFUNCTION("IFS(
  AND(REGEXMATCH(E7164, ""台銀籌備帳戶|玉山帳戶""), REGEXMATCH(C7164, ""薪資"")), ""分潤支出"",
  AND(REGEXMATCH(E7164, ""Ben帳戶|Elsa帳戶|Ben代墊|Ariel代墊|中信銀行共用""), REGEXMATCH(F7164, ""Ben帳戶|Elsa帳戶|Ben代墊|Ariel代墊|中信銀行共用"")), ""內部轉帳(忽略)"",
  AND(E7164&lt;&gt;"""", F7164&lt;&gt;"""", N"&amp;"OT(REGEXMATCH(C7164, ""薪資""))), ""內部轉帳(忽略)"",
  REGEXMATCH(C7164, ""薪資""), ""薪資變動(不計入)"",
  REGEXMATCH(C7164, ""押金""), ""押金往來"",
  AND(E7164&lt;&gt;"""", F7164=""""), ""真實支出"",
  AND(E7164="""", F7164&lt;&gt;""""), ""真實收入"",
  TRUE, ""其他""
)"),"其他")</f>
        <v>其他</v>
      </c>
      <c r="K7164" s="270" t="str">
        <f t="shared" si="2"/>
        <v/>
      </c>
      <c r="L7164">
        <f t="shared" si="3"/>
        <v>0</v>
      </c>
    </row>
    <row r="7165">
      <c r="A7165" s="107"/>
      <c r="D7165" s="270"/>
      <c r="H7165" s="106" t="str">
        <f t="shared" si="1"/>
        <v/>
      </c>
      <c r="J7165" t="str">
        <f>IFERROR(__xludf.DUMMYFUNCTION("IFS(
  AND(REGEXMATCH(E7165, ""台銀籌備帳戶|玉山帳戶""), REGEXMATCH(C7165, ""薪資"")), ""分潤支出"",
  AND(REGEXMATCH(E7165, ""Ben帳戶|Elsa帳戶|Ben代墊|Ariel代墊|中信銀行共用""), REGEXMATCH(F7165, ""Ben帳戶|Elsa帳戶|Ben代墊|Ariel代墊|中信銀行共用"")), ""內部轉帳(忽略)"",
  AND(E7165&lt;&gt;"""", F7165&lt;&gt;"""", N"&amp;"OT(REGEXMATCH(C7165, ""薪資""))), ""內部轉帳(忽略)"",
  REGEXMATCH(C7165, ""薪資""), ""薪資變動(不計入)"",
  REGEXMATCH(C7165, ""押金""), ""押金往來"",
  AND(E7165&lt;&gt;"""", F7165=""""), ""真實支出"",
  AND(E7165="""", F7165&lt;&gt;""""), ""真實收入"",
  TRUE, ""其他""
)"),"其他")</f>
        <v>其他</v>
      </c>
      <c r="K7165" s="270" t="str">
        <f t="shared" si="2"/>
        <v/>
      </c>
      <c r="L7165">
        <f t="shared" si="3"/>
        <v>0</v>
      </c>
    </row>
    <row r="7166">
      <c r="A7166" s="107"/>
      <c r="D7166" s="270"/>
      <c r="H7166" s="106" t="str">
        <f t="shared" si="1"/>
        <v/>
      </c>
      <c r="J7166" t="str">
        <f>IFERROR(__xludf.DUMMYFUNCTION("IFS(
  AND(REGEXMATCH(E7166, ""台銀籌備帳戶|玉山帳戶""), REGEXMATCH(C7166, ""薪資"")), ""分潤支出"",
  AND(REGEXMATCH(E7166, ""Ben帳戶|Elsa帳戶|Ben代墊|Ariel代墊|中信銀行共用""), REGEXMATCH(F7166, ""Ben帳戶|Elsa帳戶|Ben代墊|Ariel代墊|中信銀行共用"")), ""內部轉帳(忽略)"",
  AND(E7166&lt;&gt;"""", F7166&lt;&gt;"""", N"&amp;"OT(REGEXMATCH(C7166, ""薪資""))), ""內部轉帳(忽略)"",
  REGEXMATCH(C7166, ""薪資""), ""薪資變動(不計入)"",
  REGEXMATCH(C7166, ""押金""), ""押金往來"",
  AND(E7166&lt;&gt;"""", F7166=""""), ""真實支出"",
  AND(E7166="""", F7166&lt;&gt;""""), ""真實收入"",
  TRUE, ""其他""
)"),"其他")</f>
        <v>其他</v>
      </c>
      <c r="K7166" s="270" t="str">
        <f t="shared" si="2"/>
        <v/>
      </c>
      <c r="L7166">
        <f t="shared" si="3"/>
        <v>0</v>
      </c>
    </row>
    <row r="7167">
      <c r="A7167" s="107"/>
      <c r="D7167" s="270"/>
      <c r="H7167" s="106" t="str">
        <f t="shared" si="1"/>
        <v/>
      </c>
      <c r="J7167" t="str">
        <f>IFERROR(__xludf.DUMMYFUNCTION("IFS(
  AND(REGEXMATCH(E7167, ""台銀籌備帳戶|玉山帳戶""), REGEXMATCH(C7167, ""薪資"")), ""分潤支出"",
  AND(REGEXMATCH(E7167, ""Ben帳戶|Elsa帳戶|Ben代墊|Ariel代墊|中信銀行共用""), REGEXMATCH(F7167, ""Ben帳戶|Elsa帳戶|Ben代墊|Ariel代墊|中信銀行共用"")), ""內部轉帳(忽略)"",
  AND(E7167&lt;&gt;"""", F7167&lt;&gt;"""", N"&amp;"OT(REGEXMATCH(C7167, ""薪資""))), ""內部轉帳(忽略)"",
  REGEXMATCH(C7167, ""薪資""), ""薪資變動(不計入)"",
  REGEXMATCH(C7167, ""押金""), ""押金往來"",
  AND(E7167&lt;&gt;"""", F7167=""""), ""真實支出"",
  AND(E7167="""", F7167&lt;&gt;""""), ""真實收入"",
  TRUE, ""其他""
)"),"其他")</f>
        <v>其他</v>
      </c>
      <c r="K7167" s="270" t="str">
        <f t="shared" si="2"/>
        <v/>
      </c>
      <c r="L7167">
        <f t="shared" si="3"/>
        <v>0</v>
      </c>
    </row>
    <row r="7168">
      <c r="A7168" s="107"/>
      <c r="D7168" s="270"/>
      <c r="H7168" s="106" t="str">
        <f t="shared" si="1"/>
        <v/>
      </c>
      <c r="J7168" t="str">
        <f>IFERROR(__xludf.DUMMYFUNCTION("IFS(
  AND(REGEXMATCH(E7168, ""台銀籌備帳戶|玉山帳戶""), REGEXMATCH(C7168, ""薪資"")), ""分潤支出"",
  AND(REGEXMATCH(E7168, ""Ben帳戶|Elsa帳戶|Ben代墊|Ariel代墊|中信銀行共用""), REGEXMATCH(F7168, ""Ben帳戶|Elsa帳戶|Ben代墊|Ariel代墊|中信銀行共用"")), ""內部轉帳(忽略)"",
  AND(E7168&lt;&gt;"""", F7168&lt;&gt;"""", N"&amp;"OT(REGEXMATCH(C7168, ""薪資""))), ""內部轉帳(忽略)"",
  REGEXMATCH(C7168, ""薪資""), ""薪資變動(不計入)"",
  REGEXMATCH(C7168, ""押金""), ""押金往來"",
  AND(E7168&lt;&gt;"""", F7168=""""), ""真實支出"",
  AND(E7168="""", F7168&lt;&gt;""""), ""真實收入"",
  TRUE, ""其他""
)"),"其他")</f>
        <v>其他</v>
      </c>
      <c r="K7168" s="270" t="str">
        <f t="shared" si="2"/>
        <v/>
      </c>
      <c r="L7168">
        <f t="shared" si="3"/>
        <v>0</v>
      </c>
    </row>
    <row r="7169">
      <c r="A7169" s="107"/>
      <c r="D7169" s="270"/>
      <c r="H7169" s="106" t="str">
        <f t="shared" si="1"/>
        <v/>
      </c>
      <c r="J7169" t="str">
        <f>IFERROR(__xludf.DUMMYFUNCTION("IFS(
  AND(REGEXMATCH(E7169, ""台銀籌備帳戶|玉山帳戶""), REGEXMATCH(C7169, ""薪資"")), ""分潤支出"",
  AND(REGEXMATCH(E7169, ""Ben帳戶|Elsa帳戶|Ben代墊|Ariel代墊|中信銀行共用""), REGEXMATCH(F7169, ""Ben帳戶|Elsa帳戶|Ben代墊|Ariel代墊|中信銀行共用"")), ""內部轉帳(忽略)"",
  AND(E7169&lt;&gt;"""", F7169&lt;&gt;"""", N"&amp;"OT(REGEXMATCH(C7169, ""薪資""))), ""內部轉帳(忽略)"",
  REGEXMATCH(C7169, ""薪資""), ""薪資變動(不計入)"",
  REGEXMATCH(C7169, ""押金""), ""押金往來"",
  AND(E7169&lt;&gt;"""", F7169=""""), ""真實支出"",
  AND(E7169="""", F7169&lt;&gt;""""), ""真實收入"",
  TRUE, ""其他""
)"),"其他")</f>
        <v>其他</v>
      </c>
      <c r="K7169" s="270" t="str">
        <f t="shared" si="2"/>
        <v/>
      </c>
      <c r="L7169">
        <f t="shared" si="3"/>
        <v>0</v>
      </c>
    </row>
    <row r="7170">
      <c r="A7170" s="107"/>
      <c r="D7170" s="270"/>
      <c r="H7170" s="106" t="str">
        <f t="shared" si="1"/>
        <v/>
      </c>
      <c r="J7170" t="str">
        <f>IFERROR(__xludf.DUMMYFUNCTION("IFS(
  AND(REGEXMATCH(E7170, ""台銀籌備帳戶|玉山帳戶""), REGEXMATCH(C7170, ""薪資"")), ""分潤支出"",
  AND(REGEXMATCH(E7170, ""Ben帳戶|Elsa帳戶|Ben代墊|Ariel代墊|中信銀行共用""), REGEXMATCH(F7170, ""Ben帳戶|Elsa帳戶|Ben代墊|Ariel代墊|中信銀行共用"")), ""內部轉帳(忽略)"",
  AND(E7170&lt;&gt;"""", F7170&lt;&gt;"""", N"&amp;"OT(REGEXMATCH(C7170, ""薪資""))), ""內部轉帳(忽略)"",
  REGEXMATCH(C7170, ""薪資""), ""薪資變動(不計入)"",
  REGEXMATCH(C7170, ""押金""), ""押金往來"",
  AND(E7170&lt;&gt;"""", F7170=""""), ""真實支出"",
  AND(E7170="""", F7170&lt;&gt;""""), ""真實收入"",
  TRUE, ""其他""
)"),"其他")</f>
        <v>其他</v>
      </c>
      <c r="K7170" s="270" t="str">
        <f t="shared" si="2"/>
        <v/>
      </c>
      <c r="L7170">
        <f t="shared" si="3"/>
        <v>0</v>
      </c>
    </row>
    <row r="7171">
      <c r="A7171" s="107"/>
      <c r="D7171" s="270"/>
      <c r="H7171" s="106" t="str">
        <f t="shared" si="1"/>
        <v/>
      </c>
      <c r="J7171" t="str">
        <f>IFERROR(__xludf.DUMMYFUNCTION("IFS(
  AND(REGEXMATCH(E7171, ""台銀籌備帳戶|玉山帳戶""), REGEXMATCH(C7171, ""薪資"")), ""分潤支出"",
  AND(REGEXMATCH(E7171, ""Ben帳戶|Elsa帳戶|Ben代墊|Ariel代墊|中信銀行共用""), REGEXMATCH(F7171, ""Ben帳戶|Elsa帳戶|Ben代墊|Ariel代墊|中信銀行共用"")), ""內部轉帳(忽略)"",
  AND(E7171&lt;&gt;"""", F7171&lt;&gt;"""", N"&amp;"OT(REGEXMATCH(C7171, ""薪資""))), ""內部轉帳(忽略)"",
  REGEXMATCH(C7171, ""薪資""), ""薪資變動(不計入)"",
  REGEXMATCH(C7171, ""押金""), ""押金往來"",
  AND(E7171&lt;&gt;"""", F7171=""""), ""真實支出"",
  AND(E7171="""", F7171&lt;&gt;""""), ""真實收入"",
  TRUE, ""其他""
)"),"其他")</f>
        <v>其他</v>
      </c>
      <c r="K7171" s="270" t="str">
        <f t="shared" si="2"/>
        <v/>
      </c>
      <c r="L7171">
        <f t="shared" si="3"/>
        <v>0</v>
      </c>
    </row>
    <row r="7172">
      <c r="A7172" s="107"/>
      <c r="D7172" s="270"/>
      <c r="H7172" s="106" t="str">
        <f t="shared" si="1"/>
        <v/>
      </c>
      <c r="J7172" t="str">
        <f>IFERROR(__xludf.DUMMYFUNCTION("IFS(
  AND(REGEXMATCH(E7172, ""台銀籌備帳戶|玉山帳戶""), REGEXMATCH(C7172, ""薪資"")), ""分潤支出"",
  AND(REGEXMATCH(E7172, ""Ben帳戶|Elsa帳戶|Ben代墊|Ariel代墊|中信銀行共用""), REGEXMATCH(F7172, ""Ben帳戶|Elsa帳戶|Ben代墊|Ariel代墊|中信銀行共用"")), ""內部轉帳(忽略)"",
  AND(E7172&lt;&gt;"""", F7172&lt;&gt;"""", N"&amp;"OT(REGEXMATCH(C7172, ""薪資""))), ""內部轉帳(忽略)"",
  REGEXMATCH(C7172, ""薪資""), ""薪資變動(不計入)"",
  REGEXMATCH(C7172, ""押金""), ""押金往來"",
  AND(E7172&lt;&gt;"""", F7172=""""), ""真實支出"",
  AND(E7172="""", F7172&lt;&gt;""""), ""真實收入"",
  TRUE, ""其他""
)"),"其他")</f>
        <v>其他</v>
      </c>
      <c r="K7172" s="270" t="str">
        <f t="shared" si="2"/>
        <v/>
      </c>
      <c r="L7172">
        <f t="shared" si="3"/>
        <v>0</v>
      </c>
    </row>
    <row r="7173">
      <c r="A7173" s="107"/>
      <c r="D7173" s="270"/>
      <c r="H7173" s="106" t="str">
        <f t="shared" si="1"/>
        <v/>
      </c>
      <c r="J7173" t="str">
        <f>IFERROR(__xludf.DUMMYFUNCTION("IFS(
  AND(REGEXMATCH(E7173, ""台銀籌備帳戶|玉山帳戶""), REGEXMATCH(C7173, ""薪資"")), ""分潤支出"",
  AND(REGEXMATCH(E7173, ""Ben帳戶|Elsa帳戶|Ben代墊|Ariel代墊|中信銀行共用""), REGEXMATCH(F7173, ""Ben帳戶|Elsa帳戶|Ben代墊|Ariel代墊|中信銀行共用"")), ""內部轉帳(忽略)"",
  AND(E7173&lt;&gt;"""", F7173&lt;&gt;"""", N"&amp;"OT(REGEXMATCH(C7173, ""薪資""))), ""內部轉帳(忽略)"",
  REGEXMATCH(C7173, ""薪資""), ""薪資變動(不計入)"",
  REGEXMATCH(C7173, ""押金""), ""押金往來"",
  AND(E7173&lt;&gt;"""", F7173=""""), ""真實支出"",
  AND(E7173="""", F7173&lt;&gt;""""), ""真實收入"",
  TRUE, ""其他""
)"),"其他")</f>
        <v>其他</v>
      </c>
      <c r="K7173" s="270" t="str">
        <f t="shared" si="2"/>
        <v/>
      </c>
      <c r="L7173">
        <f t="shared" si="3"/>
        <v>0</v>
      </c>
    </row>
    <row r="7174">
      <c r="A7174" s="107"/>
      <c r="D7174" s="270"/>
      <c r="H7174" s="106" t="str">
        <f t="shared" si="1"/>
        <v/>
      </c>
      <c r="J7174" t="str">
        <f>IFERROR(__xludf.DUMMYFUNCTION("IFS(
  AND(REGEXMATCH(E7174, ""台銀籌備帳戶|玉山帳戶""), REGEXMATCH(C7174, ""薪資"")), ""分潤支出"",
  AND(REGEXMATCH(E7174, ""Ben帳戶|Elsa帳戶|Ben代墊|Ariel代墊|中信銀行共用""), REGEXMATCH(F7174, ""Ben帳戶|Elsa帳戶|Ben代墊|Ariel代墊|中信銀行共用"")), ""內部轉帳(忽略)"",
  AND(E7174&lt;&gt;"""", F7174&lt;&gt;"""", N"&amp;"OT(REGEXMATCH(C7174, ""薪資""))), ""內部轉帳(忽略)"",
  REGEXMATCH(C7174, ""薪資""), ""薪資變動(不計入)"",
  REGEXMATCH(C7174, ""押金""), ""押金往來"",
  AND(E7174&lt;&gt;"""", F7174=""""), ""真實支出"",
  AND(E7174="""", F7174&lt;&gt;""""), ""真實收入"",
  TRUE, ""其他""
)"),"其他")</f>
        <v>其他</v>
      </c>
      <c r="K7174" s="270" t="str">
        <f t="shared" si="2"/>
        <v/>
      </c>
      <c r="L7174">
        <f t="shared" si="3"/>
        <v>0</v>
      </c>
    </row>
    <row r="7175">
      <c r="A7175" s="107"/>
      <c r="D7175" s="270"/>
      <c r="H7175" s="106" t="str">
        <f t="shared" si="1"/>
        <v/>
      </c>
      <c r="J7175" t="str">
        <f>IFERROR(__xludf.DUMMYFUNCTION("IFS(
  AND(REGEXMATCH(E7175, ""台銀籌備帳戶|玉山帳戶""), REGEXMATCH(C7175, ""薪資"")), ""分潤支出"",
  AND(REGEXMATCH(E7175, ""Ben帳戶|Elsa帳戶|Ben代墊|Ariel代墊|中信銀行共用""), REGEXMATCH(F7175, ""Ben帳戶|Elsa帳戶|Ben代墊|Ariel代墊|中信銀行共用"")), ""內部轉帳(忽略)"",
  AND(E7175&lt;&gt;"""", F7175&lt;&gt;"""", N"&amp;"OT(REGEXMATCH(C7175, ""薪資""))), ""內部轉帳(忽略)"",
  REGEXMATCH(C7175, ""薪資""), ""薪資變動(不計入)"",
  REGEXMATCH(C7175, ""押金""), ""押金往來"",
  AND(E7175&lt;&gt;"""", F7175=""""), ""真實支出"",
  AND(E7175="""", F7175&lt;&gt;""""), ""真實收入"",
  TRUE, ""其他""
)"),"其他")</f>
        <v>其他</v>
      </c>
      <c r="K7175" s="270" t="str">
        <f t="shared" si="2"/>
        <v/>
      </c>
      <c r="L7175">
        <f t="shared" si="3"/>
        <v>0</v>
      </c>
    </row>
    <row r="7176">
      <c r="A7176" s="107"/>
      <c r="D7176" s="270"/>
      <c r="H7176" s="106" t="str">
        <f t="shared" si="1"/>
        <v/>
      </c>
      <c r="J7176" t="str">
        <f>IFERROR(__xludf.DUMMYFUNCTION("IFS(
  AND(REGEXMATCH(E7176, ""台銀籌備帳戶|玉山帳戶""), REGEXMATCH(C7176, ""薪資"")), ""分潤支出"",
  AND(REGEXMATCH(E7176, ""Ben帳戶|Elsa帳戶|Ben代墊|Ariel代墊|中信銀行共用""), REGEXMATCH(F7176, ""Ben帳戶|Elsa帳戶|Ben代墊|Ariel代墊|中信銀行共用"")), ""內部轉帳(忽略)"",
  AND(E7176&lt;&gt;"""", F7176&lt;&gt;"""", N"&amp;"OT(REGEXMATCH(C7176, ""薪資""))), ""內部轉帳(忽略)"",
  REGEXMATCH(C7176, ""薪資""), ""薪資變動(不計入)"",
  REGEXMATCH(C7176, ""押金""), ""押金往來"",
  AND(E7176&lt;&gt;"""", F7176=""""), ""真實支出"",
  AND(E7176="""", F7176&lt;&gt;""""), ""真實收入"",
  TRUE, ""其他""
)"),"其他")</f>
        <v>其他</v>
      </c>
      <c r="K7176" s="270" t="str">
        <f t="shared" si="2"/>
        <v/>
      </c>
      <c r="L7176">
        <f t="shared" si="3"/>
        <v>0</v>
      </c>
    </row>
    <row r="7177">
      <c r="A7177" s="107"/>
      <c r="D7177" s="270"/>
      <c r="H7177" s="106" t="str">
        <f t="shared" si="1"/>
        <v/>
      </c>
      <c r="J7177" t="str">
        <f>IFERROR(__xludf.DUMMYFUNCTION("IFS(
  AND(REGEXMATCH(E7177, ""台銀籌備帳戶|玉山帳戶""), REGEXMATCH(C7177, ""薪資"")), ""分潤支出"",
  AND(REGEXMATCH(E7177, ""Ben帳戶|Elsa帳戶|Ben代墊|Ariel代墊|中信銀行共用""), REGEXMATCH(F7177, ""Ben帳戶|Elsa帳戶|Ben代墊|Ariel代墊|中信銀行共用"")), ""內部轉帳(忽略)"",
  AND(E7177&lt;&gt;"""", F7177&lt;&gt;"""", N"&amp;"OT(REGEXMATCH(C7177, ""薪資""))), ""內部轉帳(忽略)"",
  REGEXMATCH(C7177, ""薪資""), ""薪資變動(不計入)"",
  REGEXMATCH(C7177, ""押金""), ""押金往來"",
  AND(E7177&lt;&gt;"""", F7177=""""), ""真實支出"",
  AND(E7177="""", F7177&lt;&gt;""""), ""真實收入"",
  TRUE, ""其他""
)"),"其他")</f>
        <v>其他</v>
      </c>
      <c r="K7177" s="270" t="str">
        <f t="shared" si="2"/>
        <v/>
      </c>
      <c r="L7177">
        <f t="shared" si="3"/>
        <v>0</v>
      </c>
    </row>
    <row r="7178">
      <c r="A7178" s="107"/>
      <c r="D7178" s="270"/>
      <c r="H7178" s="106" t="str">
        <f t="shared" si="1"/>
        <v/>
      </c>
      <c r="J7178" t="str">
        <f>IFERROR(__xludf.DUMMYFUNCTION("IFS(
  AND(REGEXMATCH(E7178, ""台銀籌備帳戶|玉山帳戶""), REGEXMATCH(C7178, ""薪資"")), ""分潤支出"",
  AND(REGEXMATCH(E7178, ""Ben帳戶|Elsa帳戶|Ben代墊|Ariel代墊|中信銀行共用""), REGEXMATCH(F7178, ""Ben帳戶|Elsa帳戶|Ben代墊|Ariel代墊|中信銀行共用"")), ""內部轉帳(忽略)"",
  AND(E7178&lt;&gt;"""", F7178&lt;&gt;"""", N"&amp;"OT(REGEXMATCH(C7178, ""薪資""))), ""內部轉帳(忽略)"",
  REGEXMATCH(C7178, ""薪資""), ""薪資變動(不計入)"",
  REGEXMATCH(C7178, ""押金""), ""押金往來"",
  AND(E7178&lt;&gt;"""", F7178=""""), ""真實支出"",
  AND(E7178="""", F7178&lt;&gt;""""), ""真實收入"",
  TRUE, ""其他""
)"),"其他")</f>
        <v>其他</v>
      </c>
      <c r="K7178" s="270" t="str">
        <f t="shared" si="2"/>
        <v/>
      </c>
      <c r="L7178">
        <f t="shared" si="3"/>
        <v>0</v>
      </c>
    </row>
    <row r="7179">
      <c r="A7179" s="107"/>
      <c r="D7179" s="270"/>
      <c r="H7179" s="106" t="str">
        <f t="shared" si="1"/>
        <v/>
      </c>
      <c r="J7179" t="str">
        <f>IFERROR(__xludf.DUMMYFUNCTION("IFS(
  AND(REGEXMATCH(E7179, ""台銀籌備帳戶|玉山帳戶""), REGEXMATCH(C7179, ""薪資"")), ""分潤支出"",
  AND(REGEXMATCH(E7179, ""Ben帳戶|Elsa帳戶|Ben代墊|Ariel代墊|中信銀行共用""), REGEXMATCH(F7179, ""Ben帳戶|Elsa帳戶|Ben代墊|Ariel代墊|中信銀行共用"")), ""內部轉帳(忽略)"",
  AND(E7179&lt;&gt;"""", F7179&lt;&gt;"""", N"&amp;"OT(REGEXMATCH(C7179, ""薪資""))), ""內部轉帳(忽略)"",
  REGEXMATCH(C7179, ""薪資""), ""薪資變動(不計入)"",
  REGEXMATCH(C7179, ""押金""), ""押金往來"",
  AND(E7179&lt;&gt;"""", F7179=""""), ""真實支出"",
  AND(E7179="""", F7179&lt;&gt;""""), ""真實收入"",
  TRUE, ""其他""
)"),"其他")</f>
        <v>其他</v>
      </c>
      <c r="K7179" s="270" t="str">
        <f t="shared" si="2"/>
        <v/>
      </c>
      <c r="L7179">
        <f t="shared" si="3"/>
        <v>0</v>
      </c>
    </row>
    <row r="7180">
      <c r="A7180" s="107"/>
      <c r="D7180" s="270"/>
      <c r="H7180" s="106" t="str">
        <f t="shared" si="1"/>
        <v/>
      </c>
      <c r="J7180" t="str">
        <f>IFERROR(__xludf.DUMMYFUNCTION("IFS(
  AND(REGEXMATCH(E7180, ""台銀籌備帳戶|玉山帳戶""), REGEXMATCH(C7180, ""薪資"")), ""分潤支出"",
  AND(REGEXMATCH(E7180, ""Ben帳戶|Elsa帳戶|Ben代墊|Ariel代墊|中信銀行共用""), REGEXMATCH(F7180, ""Ben帳戶|Elsa帳戶|Ben代墊|Ariel代墊|中信銀行共用"")), ""內部轉帳(忽略)"",
  AND(E7180&lt;&gt;"""", F7180&lt;&gt;"""", N"&amp;"OT(REGEXMATCH(C7180, ""薪資""))), ""內部轉帳(忽略)"",
  REGEXMATCH(C7180, ""薪資""), ""薪資變動(不計入)"",
  REGEXMATCH(C7180, ""押金""), ""押金往來"",
  AND(E7180&lt;&gt;"""", F7180=""""), ""真實支出"",
  AND(E7180="""", F7180&lt;&gt;""""), ""真實收入"",
  TRUE, ""其他""
)"),"其他")</f>
        <v>其他</v>
      </c>
      <c r="K7180" s="270" t="str">
        <f t="shared" si="2"/>
        <v/>
      </c>
      <c r="L7180">
        <f t="shared" si="3"/>
        <v>0</v>
      </c>
    </row>
    <row r="7181">
      <c r="A7181" s="107"/>
      <c r="D7181" s="270"/>
      <c r="H7181" s="106" t="str">
        <f t="shared" si="1"/>
        <v/>
      </c>
      <c r="J7181" t="str">
        <f>IFERROR(__xludf.DUMMYFUNCTION("IFS(
  AND(REGEXMATCH(E7181, ""台銀籌備帳戶|玉山帳戶""), REGEXMATCH(C7181, ""薪資"")), ""分潤支出"",
  AND(REGEXMATCH(E7181, ""Ben帳戶|Elsa帳戶|Ben代墊|Ariel代墊|中信銀行共用""), REGEXMATCH(F7181, ""Ben帳戶|Elsa帳戶|Ben代墊|Ariel代墊|中信銀行共用"")), ""內部轉帳(忽略)"",
  AND(E7181&lt;&gt;"""", F7181&lt;&gt;"""", N"&amp;"OT(REGEXMATCH(C7181, ""薪資""))), ""內部轉帳(忽略)"",
  REGEXMATCH(C7181, ""薪資""), ""薪資變動(不計入)"",
  REGEXMATCH(C7181, ""押金""), ""押金往來"",
  AND(E7181&lt;&gt;"""", F7181=""""), ""真實支出"",
  AND(E7181="""", F7181&lt;&gt;""""), ""真實收入"",
  TRUE, ""其他""
)"),"其他")</f>
        <v>其他</v>
      </c>
      <c r="K7181" s="270" t="str">
        <f t="shared" si="2"/>
        <v/>
      </c>
      <c r="L7181">
        <f t="shared" si="3"/>
        <v>0</v>
      </c>
    </row>
    <row r="7182">
      <c r="A7182" s="107"/>
      <c r="D7182" s="270"/>
      <c r="H7182" s="106" t="str">
        <f t="shared" si="1"/>
        <v/>
      </c>
      <c r="J7182" t="str">
        <f>IFERROR(__xludf.DUMMYFUNCTION("IFS(
  AND(REGEXMATCH(E7182, ""台銀籌備帳戶|玉山帳戶""), REGEXMATCH(C7182, ""薪資"")), ""分潤支出"",
  AND(REGEXMATCH(E7182, ""Ben帳戶|Elsa帳戶|Ben代墊|Ariel代墊|中信銀行共用""), REGEXMATCH(F7182, ""Ben帳戶|Elsa帳戶|Ben代墊|Ariel代墊|中信銀行共用"")), ""內部轉帳(忽略)"",
  AND(E7182&lt;&gt;"""", F7182&lt;&gt;"""", N"&amp;"OT(REGEXMATCH(C7182, ""薪資""))), ""內部轉帳(忽略)"",
  REGEXMATCH(C7182, ""薪資""), ""薪資變動(不計入)"",
  REGEXMATCH(C7182, ""押金""), ""押金往來"",
  AND(E7182&lt;&gt;"""", F7182=""""), ""真實支出"",
  AND(E7182="""", F7182&lt;&gt;""""), ""真實收入"",
  TRUE, ""其他""
)"),"其他")</f>
        <v>其他</v>
      </c>
      <c r="K7182" s="270" t="str">
        <f t="shared" si="2"/>
        <v/>
      </c>
      <c r="L7182">
        <f t="shared" si="3"/>
        <v>0</v>
      </c>
    </row>
    <row r="7183">
      <c r="A7183" s="107"/>
      <c r="D7183" s="270"/>
      <c r="H7183" s="106" t="str">
        <f t="shared" si="1"/>
        <v/>
      </c>
      <c r="J7183" t="str">
        <f>IFERROR(__xludf.DUMMYFUNCTION("IFS(
  AND(REGEXMATCH(E7183, ""台銀籌備帳戶|玉山帳戶""), REGEXMATCH(C7183, ""薪資"")), ""分潤支出"",
  AND(REGEXMATCH(E7183, ""Ben帳戶|Elsa帳戶|Ben代墊|Ariel代墊|中信銀行共用""), REGEXMATCH(F7183, ""Ben帳戶|Elsa帳戶|Ben代墊|Ariel代墊|中信銀行共用"")), ""內部轉帳(忽略)"",
  AND(E7183&lt;&gt;"""", F7183&lt;&gt;"""", N"&amp;"OT(REGEXMATCH(C7183, ""薪資""))), ""內部轉帳(忽略)"",
  REGEXMATCH(C7183, ""薪資""), ""薪資變動(不計入)"",
  REGEXMATCH(C7183, ""押金""), ""押金往來"",
  AND(E7183&lt;&gt;"""", F7183=""""), ""真實支出"",
  AND(E7183="""", F7183&lt;&gt;""""), ""真實收入"",
  TRUE, ""其他""
)"),"其他")</f>
        <v>其他</v>
      </c>
      <c r="K7183" s="270" t="str">
        <f t="shared" si="2"/>
        <v/>
      </c>
      <c r="L7183">
        <f t="shared" si="3"/>
        <v>0</v>
      </c>
    </row>
    <row r="7184">
      <c r="A7184" s="107"/>
      <c r="D7184" s="270"/>
      <c r="H7184" s="106" t="str">
        <f t="shared" si="1"/>
        <v/>
      </c>
      <c r="J7184" t="str">
        <f>IFERROR(__xludf.DUMMYFUNCTION("IFS(
  AND(REGEXMATCH(E7184, ""台銀籌備帳戶|玉山帳戶""), REGEXMATCH(C7184, ""薪資"")), ""分潤支出"",
  AND(REGEXMATCH(E7184, ""Ben帳戶|Elsa帳戶|Ben代墊|Ariel代墊|中信銀行共用""), REGEXMATCH(F7184, ""Ben帳戶|Elsa帳戶|Ben代墊|Ariel代墊|中信銀行共用"")), ""內部轉帳(忽略)"",
  AND(E7184&lt;&gt;"""", F7184&lt;&gt;"""", N"&amp;"OT(REGEXMATCH(C7184, ""薪資""))), ""內部轉帳(忽略)"",
  REGEXMATCH(C7184, ""薪資""), ""薪資變動(不計入)"",
  REGEXMATCH(C7184, ""押金""), ""押金往來"",
  AND(E7184&lt;&gt;"""", F7184=""""), ""真實支出"",
  AND(E7184="""", F7184&lt;&gt;""""), ""真實收入"",
  TRUE, ""其他""
)"),"其他")</f>
        <v>其他</v>
      </c>
      <c r="K7184" s="270" t="str">
        <f t="shared" si="2"/>
        <v/>
      </c>
      <c r="L7184">
        <f t="shared" si="3"/>
        <v>0</v>
      </c>
    </row>
    <row r="7185">
      <c r="A7185" s="107"/>
      <c r="D7185" s="270"/>
      <c r="H7185" s="106" t="str">
        <f t="shared" si="1"/>
        <v/>
      </c>
      <c r="J7185" t="str">
        <f>IFERROR(__xludf.DUMMYFUNCTION("IFS(
  AND(REGEXMATCH(E7185, ""台銀籌備帳戶|玉山帳戶""), REGEXMATCH(C7185, ""薪資"")), ""分潤支出"",
  AND(REGEXMATCH(E7185, ""Ben帳戶|Elsa帳戶|Ben代墊|Ariel代墊|中信銀行共用""), REGEXMATCH(F7185, ""Ben帳戶|Elsa帳戶|Ben代墊|Ariel代墊|中信銀行共用"")), ""內部轉帳(忽略)"",
  AND(E7185&lt;&gt;"""", F7185&lt;&gt;"""", N"&amp;"OT(REGEXMATCH(C7185, ""薪資""))), ""內部轉帳(忽略)"",
  REGEXMATCH(C7185, ""薪資""), ""薪資變動(不計入)"",
  REGEXMATCH(C7185, ""押金""), ""押金往來"",
  AND(E7185&lt;&gt;"""", F7185=""""), ""真實支出"",
  AND(E7185="""", F7185&lt;&gt;""""), ""真實收入"",
  TRUE, ""其他""
)"),"其他")</f>
        <v>其他</v>
      </c>
      <c r="K7185" s="270" t="str">
        <f t="shared" si="2"/>
        <v/>
      </c>
      <c r="L7185">
        <f t="shared" si="3"/>
        <v>0</v>
      </c>
    </row>
    <row r="7186">
      <c r="A7186" s="107"/>
      <c r="D7186" s="270"/>
      <c r="H7186" s="106" t="str">
        <f t="shared" si="1"/>
        <v/>
      </c>
      <c r="J7186" t="str">
        <f>IFERROR(__xludf.DUMMYFUNCTION("IFS(
  AND(REGEXMATCH(E7186, ""台銀籌備帳戶|玉山帳戶""), REGEXMATCH(C7186, ""薪資"")), ""分潤支出"",
  AND(REGEXMATCH(E7186, ""Ben帳戶|Elsa帳戶|Ben代墊|Ariel代墊|中信銀行共用""), REGEXMATCH(F7186, ""Ben帳戶|Elsa帳戶|Ben代墊|Ariel代墊|中信銀行共用"")), ""內部轉帳(忽略)"",
  AND(E7186&lt;&gt;"""", F7186&lt;&gt;"""", N"&amp;"OT(REGEXMATCH(C7186, ""薪資""))), ""內部轉帳(忽略)"",
  REGEXMATCH(C7186, ""薪資""), ""薪資變動(不計入)"",
  REGEXMATCH(C7186, ""押金""), ""押金往來"",
  AND(E7186&lt;&gt;"""", F7186=""""), ""真實支出"",
  AND(E7186="""", F7186&lt;&gt;""""), ""真實收入"",
  TRUE, ""其他""
)"),"其他")</f>
        <v>其他</v>
      </c>
      <c r="K7186" s="270" t="str">
        <f t="shared" si="2"/>
        <v/>
      </c>
      <c r="L7186">
        <f t="shared" si="3"/>
        <v>0</v>
      </c>
    </row>
    <row r="7187">
      <c r="A7187" s="107"/>
      <c r="D7187" s="270"/>
      <c r="H7187" s="106" t="str">
        <f t="shared" si="1"/>
        <v/>
      </c>
      <c r="J7187" t="str">
        <f>IFERROR(__xludf.DUMMYFUNCTION("IFS(
  AND(REGEXMATCH(E7187, ""台銀籌備帳戶|玉山帳戶""), REGEXMATCH(C7187, ""薪資"")), ""分潤支出"",
  AND(REGEXMATCH(E7187, ""Ben帳戶|Elsa帳戶|Ben代墊|Ariel代墊|中信銀行共用""), REGEXMATCH(F7187, ""Ben帳戶|Elsa帳戶|Ben代墊|Ariel代墊|中信銀行共用"")), ""內部轉帳(忽略)"",
  AND(E7187&lt;&gt;"""", F7187&lt;&gt;"""", N"&amp;"OT(REGEXMATCH(C7187, ""薪資""))), ""內部轉帳(忽略)"",
  REGEXMATCH(C7187, ""薪資""), ""薪資變動(不計入)"",
  REGEXMATCH(C7187, ""押金""), ""押金往來"",
  AND(E7187&lt;&gt;"""", F7187=""""), ""真實支出"",
  AND(E7187="""", F7187&lt;&gt;""""), ""真實收入"",
  TRUE, ""其他""
)"),"其他")</f>
        <v>其他</v>
      </c>
      <c r="K7187" s="270" t="str">
        <f t="shared" si="2"/>
        <v/>
      </c>
      <c r="L7187">
        <f t="shared" si="3"/>
        <v>0</v>
      </c>
    </row>
    <row r="7188">
      <c r="A7188" s="107"/>
      <c r="D7188" s="270"/>
      <c r="H7188" s="106" t="str">
        <f t="shared" si="1"/>
        <v/>
      </c>
      <c r="J7188" t="str">
        <f>IFERROR(__xludf.DUMMYFUNCTION("IFS(
  AND(REGEXMATCH(E7188, ""台銀籌備帳戶|玉山帳戶""), REGEXMATCH(C7188, ""薪資"")), ""分潤支出"",
  AND(REGEXMATCH(E7188, ""Ben帳戶|Elsa帳戶|Ben代墊|Ariel代墊|中信銀行共用""), REGEXMATCH(F7188, ""Ben帳戶|Elsa帳戶|Ben代墊|Ariel代墊|中信銀行共用"")), ""內部轉帳(忽略)"",
  AND(E7188&lt;&gt;"""", F7188&lt;&gt;"""", N"&amp;"OT(REGEXMATCH(C7188, ""薪資""))), ""內部轉帳(忽略)"",
  REGEXMATCH(C7188, ""薪資""), ""薪資變動(不計入)"",
  REGEXMATCH(C7188, ""押金""), ""押金往來"",
  AND(E7188&lt;&gt;"""", F7188=""""), ""真實支出"",
  AND(E7188="""", F7188&lt;&gt;""""), ""真實收入"",
  TRUE, ""其他""
)"),"其他")</f>
        <v>其他</v>
      </c>
      <c r="K7188" s="270" t="str">
        <f t="shared" si="2"/>
        <v/>
      </c>
      <c r="L7188">
        <f t="shared" si="3"/>
        <v>0</v>
      </c>
    </row>
    <row r="7189">
      <c r="A7189" s="107"/>
      <c r="D7189" s="270"/>
      <c r="H7189" s="106" t="str">
        <f t="shared" si="1"/>
        <v/>
      </c>
      <c r="J7189" t="str">
        <f>IFERROR(__xludf.DUMMYFUNCTION("IFS(
  AND(REGEXMATCH(E7189, ""台銀籌備帳戶|玉山帳戶""), REGEXMATCH(C7189, ""薪資"")), ""分潤支出"",
  AND(REGEXMATCH(E7189, ""Ben帳戶|Elsa帳戶|Ben代墊|Ariel代墊|中信銀行共用""), REGEXMATCH(F7189, ""Ben帳戶|Elsa帳戶|Ben代墊|Ariel代墊|中信銀行共用"")), ""內部轉帳(忽略)"",
  AND(E7189&lt;&gt;"""", F7189&lt;&gt;"""", N"&amp;"OT(REGEXMATCH(C7189, ""薪資""))), ""內部轉帳(忽略)"",
  REGEXMATCH(C7189, ""薪資""), ""薪資變動(不計入)"",
  REGEXMATCH(C7189, ""押金""), ""押金往來"",
  AND(E7189&lt;&gt;"""", F7189=""""), ""真實支出"",
  AND(E7189="""", F7189&lt;&gt;""""), ""真實收入"",
  TRUE, ""其他""
)"),"其他")</f>
        <v>其他</v>
      </c>
      <c r="K7189" s="270" t="str">
        <f t="shared" si="2"/>
        <v/>
      </c>
      <c r="L7189">
        <f t="shared" si="3"/>
        <v>0</v>
      </c>
    </row>
    <row r="7190">
      <c r="A7190" s="107"/>
      <c r="D7190" s="270"/>
      <c r="H7190" s="106" t="str">
        <f t="shared" si="1"/>
        <v/>
      </c>
      <c r="J7190" t="str">
        <f>IFERROR(__xludf.DUMMYFUNCTION("IFS(
  AND(REGEXMATCH(E7190, ""台銀籌備帳戶|玉山帳戶""), REGEXMATCH(C7190, ""薪資"")), ""分潤支出"",
  AND(REGEXMATCH(E7190, ""Ben帳戶|Elsa帳戶|Ben代墊|Ariel代墊|中信銀行共用""), REGEXMATCH(F7190, ""Ben帳戶|Elsa帳戶|Ben代墊|Ariel代墊|中信銀行共用"")), ""內部轉帳(忽略)"",
  AND(E7190&lt;&gt;"""", F7190&lt;&gt;"""", N"&amp;"OT(REGEXMATCH(C7190, ""薪資""))), ""內部轉帳(忽略)"",
  REGEXMATCH(C7190, ""薪資""), ""薪資變動(不計入)"",
  REGEXMATCH(C7190, ""押金""), ""押金往來"",
  AND(E7190&lt;&gt;"""", F7190=""""), ""真實支出"",
  AND(E7190="""", F7190&lt;&gt;""""), ""真實收入"",
  TRUE, ""其他""
)"),"其他")</f>
        <v>其他</v>
      </c>
      <c r="K7190" s="270" t="str">
        <f t="shared" si="2"/>
        <v/>
      </c>
      <c r="L7190">
        <f t="shared" si="3"/>
        <v>0</v>
      </c>
    </row>
    <row r="7191">
      <c r="A7191" s="107"/>
      <c r="D7191" s="270"/>
      <c r="H7191" s="106" t="str">
        <f t="shared" si="1"/>
        <v/>
      </c>
      <c r="J7191" t="str">
        <f>IFERROR(__xludf.DUMMYFUNCTION("IFS(
  AND(REGEXMATCH(E7191, ""台銀籌備帳戶|玉山帳戶""), REGEXMATCH(C7191, ""薪資"")), ""分潤支出"",
  AND(REGEXMATCH(E7191, ""Ben帳戶|Elsa帳戶|Ben代墊|Ariel代墊|中信銀行共用""), REGEXMATCH(F7191, ""Ben帳戶|Elsa帳戶|Ben代墊|Ariel代墊|中信銀行共用"")), ""內部轉帳(忽略)"",
  AND(E7191&lt;&gt;"""", F7191&lt;&gt;"""", N"&amp;"OT(REGEXMATCH(C7191, ""薪資""))), ""內部轉帳(忽略)"",
  REGEXMATCH(C7191, ""薪資""), ""薪資變動(不計入)"",
  REGEXMATCH(C7191, ""押金""), ""押金往來"",
  AND(E7191&lt;&gt;"""", F7191=""""), ""真實支出"",
  AND(E7191="""", F7191&lt;&gt;""""), ""真實收入"",
  TRUE, ""其他""
)"),"其他")</f>
        <v>其他</v>
      </c>
      <c r="K7191" s="270" t="str">
        <f t="shared" si="2"/>
        <v/>
      </c>
      <c r="L7191">
        <f t="shared" si="3"/>
        <v>0</v>
      </c>
    </row>
    <row r="7192">
      <c r="A7192" s="107"/>
      <c r="D7192" s="270"/>
      <c r="H7192" s="106" t="str">
        <f t="shared" si="1"/>
        <v/>
      </c>
      <c r="J7192" t="str">
        <f>IFERROR(__xludf.DUMMYFUNCTION("IFS(
  AND(REGEXMATCH(E7192, ""台銀籌備帳戶|玉山帳戶""), REGEXMATCH(C7192, ""薪資"")), ""分潤支出"",
  AND(REGEXMATCH(E7192, ""Ben帳戶|Elsa帳戶|Ben代墊|Ariel代墊|中信銀行共用""), REGEXMATCH(F7192, ""Ben帳戶|Elsa帳戶|Ben代墊|Ariel代墊|中信銀行共用"")), ""內部轉帳(忽略)"",
  AND(E7192&lt;&gt;"""", F7192&lt;&gt;"""", N"&amp;"OT(REGEXMATCH(C7192, ""薪資""))), ""內部轉帳(忽略)"",
  REGEXMATCH(C7192, ""薪資""), ""薪資變動(不計入)"",
  REGEXMATCH(C7192, ""押金""), ""押金往來"",
  AND(E7192&lt;&gt;"""", F7192=""""), ""真實支出"",
  AND(E7192="""", F7192&lt;&gt;""""), ""真實收入"",
  TRUE, ""其他""
)"),"其他")</f>
        <v>其他</v>
      </c>
      <c r="K7192" s="270" t="str">
        <f t="shared" si="2"/>
        <v/>
      </c>
      <c r="L7192">
        <f t="shared" si="3"/>
        <v>0</v>
      </c>
    </row>
    <row r="7193">
      <c r="A7193" s="107"/>
      <c r="D7193" s="270"/>
      <c r="H7193" s="106" t="str">
        <f t="shared" si="1"/>
        <v/>
      </c>
      <c r="J7193" t="str">
        <f>IFERROR(__xludf.DUMMYFUNCTION("IFS(
  AND(REGEXMATCH(E7193, ""台銀籌備帳戶|玉山帳戶""), REGEXMATCH(C7193, ""薪資"")), ""分潤支出"",
  AND(REGEXMATCH(E7193, ""Ben帳戶|Elsa帳戶|Ben代墊|Ariel代墊|中信銀行共用""), REGEXMATCH(F7193, ""Ben帳戶|Elsa帳戶|Ben代墊|Ariel代墊|中信銀行共用"")), ""內部轉帳(忽略)"",
  AND(E7193&lt;&gt;"""", F7193&lt;&gt;"""", N"&amp;"OT(REGEXMATCH(C7193, ""薪資""))), ""內部轉帳(忽略)"",
  REGEXMATCH(C7193, ""薪資""), ""薪資變動(不計入)"",
  REGEXMATCH(C7193, ""押金""), ""押金往來"",
  AND(E7193&lt;&gt;"""", F7193=""""), ""真實支出"",
  AND(E7193="""", F7193&lt;&gt;""""), ""真實收入"",
  TRUE, ""其他""
)"),"其他")</f>
        <v>其他</v>
      </c>
      <c r="K7193" s="270" t="str">
        <f t="shared" si="2"/>
        <v/>
      </c>
      <c r="L7193">
        <f t="shared" si="3"/>
        <v>0</v>
      </c>
    </row>
    <row r="7194">
      <c r="A7194" s="107"/>
      <c r="D7194" s="270"/>
      <c r="H7194" s="106" t="str">
        <f t="shared" si="1"/>
        <v/>
      </c>
      <c r="J7194" t="str">
        <f>IFERROR(__xludf.DUMMYFUNCTION("IFS(
  AND(REGEXMATCH(E7194, ""台銀籌備帳戶|玉山帳戶""), REGEXMATCH(C7194, ""薪資"")), ""分潤支出"",
  AND(REGEXMATCH(E7194, ""Ben帳戶|Elsa帳戶|Ben代墊|Ariel代墊|中信銀行共用""), REGEXMATCH(F7194, ""Ben帳戶|Elsa帳戶|Ben代墊|Ariel代墊|中信銀行共用"")), ""內部轉帳(忽略)"",
  AND(E7194&lt;&gt;"""", F7194&lt;&gt;"""", N"&amp;"OT(REGEXMATCH(C7194, ""薪資""))), ""內部轉帳(忽略)"",
  REGEXMATCH(C7194, ""薪資""), ""薪資變動(不計入)"",
  REGEXMATCH(C7194, ""押金""), ""押金往來"",
  AND(E7194&lt;&gt;"""", F7194=""""), ""真實支出"",
  AND(E7194="""", F7194&lt;&gt;""""), ""真實收入"",
  TRUE, ""其他""
)"),"其他")</f>
        <v>其他</v>
      </c>
      <c r="K7194" s="270" t="str">
        <f t="shared" si="2"/>
        <v/>
      </c>
      <c r="L7194">
        <f t="shared" si="3"/>
        <v>0</v>
      </c>
    </row>
    <row r="7195">
      <c r="A7195" s="107"/>
      <c r="D7195" s="270"/>
      <c r="H7195" s="106" t="str">
        <f t="shared" si="1"/>
        <v/>
      </c>
      <c r="J7195" t="str">
        <f>IFERROR(__xludf.DUMMYFUNCTION("IFS(
  AND(REGEXMATCH(E7195, ""台銀籌備帳戶|玉山帳戶""), REGEXMATCH(C7195, ""薪資"")), ""分潤支出"",
  AND(REGEXMATCH(E7195, ""Ben帳戶|Elsa帳戶|Ben代墊|Ariel代墊|中信銀行共用""), REGEXMATCH(F7195, ""Ben帳戶|Elsa帳戶|Ben代墊|Ariel代墊|中信銀行共用"")), ""內部轉帳(忽略)"",
  AND(E7195&lt;&gt;"""", F7195&lt;&gt;"""", N"&amp;"OT(REGEXMATCH(C7195, ""薪資""))), ""內部轉帳(忽略)"",
  REGEXMATCH(C7195, ""薪資""), ""薪資變動(不計入)"",
  REGEXMATCH(C7195, ""押金""), ""押金往來"",
  AND(E7195&lt;&gt;"""", F7195=""""), ""真實支出"",
  AND(E7195="""", F7195&lt;&gt;""""), ""真實收入"",
  TRUE, ""其他""
)"),"其他")</f>
        <v>其他</v>
      </c>
      <c r="K7195" s="270" t="str">
        <f t="shared" si="2"/>
        <v/>
      </c>
      <c r="L7195">
        <f t="shared" si="3"/>
        <v>0</v>
      </c>
    </row>
    <row r="7196">
      <c r="A7196" s="107"/>
      <c r="D7196" s="270"/>
      <c r="H7196" s="106" t="str">
        <f t="shared" si="1"/>
        <v/>
      </c>
      <c r="J7196" t="str">
        <f>IFERROR(__xludf.DUMMYFUNCTION("IFS(
  AND(REGEXMATCH(E7196, ""台銀籌備帳戶|玉山帳戶""), REGEXMATCH(C7196, ""薪資"")), ""分潤支出"",
  AND(REGEXMATCH(E7196, ""Ben帳戶|Elsa帳戶|Ben代墊|Ariel代墊|中信銀行共用""), REGEXMATCH(F7196, ""Ben帳戶|Elsa帳戶|Ben代墊|Ariel代墊|中信銀行共用"")), ""內部轉帳(忽略)"",
  AND(E7196&lt;&gt;"""", F7196&lt;&gt;"""", N"&amp;"OT(REGEXMATCH(C7196, ""薪資""))), ""內部轉帳(忽略)"",
  REGEXMATCH(C7196, ""薪資""), ""薪資變動(不計入)"",
  REGEXMATCH(C7196, ""押金""), ""押金往來"",
  AND(E7196&lt;&gt;"""", F7196=""""), ""真實支出"",
  AND(E7196="""", F7196&lt;&gt;""""), ""真實收入"",
  TRUE, ""其他""
)"),"其他")</f>
        <v>其他</v>
      </c>
      <c r="K7196" s="270" t="str">
        <f t="shared" si="2"/>
        <v/>
      </c>
      <c r="L7196">
        <f t="shared" si="3"/>
        <v>0</v>
      </c>
    </row>
    <row r="7197">
      <c r="A7197" s="107"/>
      <c r="D7197" s="270"/>
      <c r="H7197" s="106" t="str">
        <f t="shared" si="1"/>
        <v/>
      </c>
      <c r="J7197" t="str">
        <f>IFERROR(__xludf.DUMMYFUNCTION("IFS(
  AND(REGEXMATCH(E7197, ""台銀籌備帳戶|玉山帳戶""), REGEXMATCH(C7197, ""薪資"")), ""分潤支出"",
  AND(REGEXMATCH(E7197, ""Ben帳戶|Elsa帳戶|Ben代墊|Ariel代墊|中信銀行共用""), REGEXMATCH(F7197, ""Ben帳戶|Elsa帳戶|Ben代墊|Ariel代墊|中信銀行共用"")), ""內部轉帳(忽略)"",
  AND(E7197&lt;&gt;"""", F7197&lt;&gt;"""", N"&amp;"OT(REGEXMATCH(C7197, ""薪資""))), ""內部轉帳(忽略)"",
  REGEXMATCH(C7197, ""薪資""), ""薪資變動(不計入)"",
  REGEXMATCH(C7197, ""押金""), ""押金往來"",
  AND(E7197&lt;&gt;"""", F7197=""""), ""真實支出"",
  AND(E7197="""", F7197&lt;&gt;""""), ""真實收入"",
  TRUE, ""其他""
)"),"其他")</f>
        <v>其他</v>
      </c>
      <c r="K7197" s="270" t="str">
        <f t="shared" si="2"/>
        <v/>
      </c>
      <c r="L7197">
        <f t="shared" si="3"/>
        <v>0</v>
      </c>
    </row>
    <row r="7198">
      <c r="A7198" s="107"/>
      <c r="D7198" s="270"/>
      <c r="H7198" s="106" t="str">
        <f t="shared" si="1"/>
        <v/>
      </c>
      <c r="J7198" t="str">
        <f>IFERROR(__xludf.DUMMYFUNCTION("IFS(
  AND(REGEXMATCH(E7198, ""台銀籌備帳戶|玉山帳戶""), REGEXMATCH(C7198, ""薪資"")), ""分潤支出"",
  AND(REGEXMATCH(E7198, ""Ben帳戶|Elsa帳戶|Ben代墊|Ariel代墊|中信銀行共用""), REGEXMATCH(F7198, ""Ben帳戶|Elsa帳戶|Ben代墊|Ariel代墊|中信銀行共用"")), ""內部轉帳(忽略)"",
  AND(E7198&lt;&gt;"""", F7198&lt;&gt;"""", N"&amp;"OT(REGEXMATCH(C7198, ""薪資""))), ""內部轉帳(忽略)"",
  REGEXMATCH(C7198, ""薪資""), ""薪資變動(不計入)"",
  REGEXMATCH(C7198, ""押金""), ""押金往來"",
  AND(E7198&lt;&gt;"""", F7198=""""), ""真實支出"",
  AND(E7198="""", F7198&lt;&gt;""""), ""真實收入"",
  TRUE, ""其他""
)"),"其他")</f>
        <v>其他</v>
      </c>
      <c r="K7198" s="270" t="str">
        <f t="shared" si="2"/>
        <v/>
      </c>
      <c r="L7198">
        <f t="shared" si="3"/>
        <v>0</v>
      </c>
    </row>
    <row r="7199">
      <c r="A7199" s="107"/>
      <c r="D7199" s="270"/>
      <c r="H7199" s="106" t="str">
        <f t="shared" si="1"/>
        <v/>
      </c>
      <c r="J7199" t="str">
        <f>IFERROR(__xludf.DUMMYFUNCTION("IFS(
  AND(REGEXMATCH(E7199, ""台銀籌備帳戶|玉山帳戶""), REGEXMATCH(C7199, ""薪資"")), ""分潤支出"",
  AND(REGEXMATCH(E7199, ""Ben帳戶|Elsa帳戶|Ben代墊|Ariel代墊|中信銀行共用""), REGEXMATCH(F7199, ""Ben帳戶|Elsa帳戶|Ben代墊|Ariel代墊|中信銀行共用"")), ""內部轉帳(忽略)"",
  AND(E7199&lt;&gt;"""", F7199&lt;&gt;"""", N"&amp;"OT(REGEXMATCH(C7199, ""薪資""))), ""內部轉帳(忽略)"",
  REGEXMATCH(C7199, ""薪資""), ""薪資變動(不計入)"",
  REGEXMATCH(C7199, ""押金""), ""押金往來"",
  AND(E7199&lt;&gt;"""", F7199=""""), ""真實支出"",
  AND(E7199="""", F7199&lt;&gt;""""), ""真實收入"",
  TRUE, ""其他""
)"),"其他")</f>
        <v>其他</v>
      </c>
      <c r="K7199" s="270" t="str">
        <f t="shared" si="2"/>
        <v/>
      </c>
      <c r="L7199">
        <f t="shared" si="3"/>
        <v>0</v>
      </c>
    </row>
    <row r="7200">
      <c r="A7200" s="107"/>
      <c r="D7200" s="270"/>
      <c r="H7200" s="106" t="str">
        <f t="shared" si="1"/>
        <v/>
      </c>
      <c r="J7200" t="str">
        <f>IFERROR(__xludf.DUMMYFUNCTION("IFS(
  AND(REGEXMATCH(E7200, ""台銀籌備帳戶|玉山帳戶""), REGEXMATCH(C7200, ""薪資"")), ""分潤支出"",
  AND(REGEXMATCH(E7200, ""Ben帳戶|Elsa帳戶|Ben代墊|Ariel代墊|中信銀行共用""), REGEXMATCH(F7200, ""Ben帳戶|Elsa帳戶|Ben代墊|Ariel代墊|中信銀行共用"")), ""內部轉帳(忽略)"",
  AND(E7200&lt;&gt;"""", F7200&lt;&gt;"""", N"&amp;"OT(REGEXMATCH(C7200, ""薪資""))), ""內部轉帳(忽略)"",
  REGEXMATCH(C7200, ""薪資""), ""薪資變動(不計入)"",
  REGEXMATCH(C7200, ""押金""), ""押金往來"",
  AND(E7200&lt;&gt;"""", F7200=""""), ""真實支出"",
  AND(E7200="""", F7200&lt;&gt;""""), ""真實收入"",
  TRUE, ""其他""
)"),"其他")</f>
        <v>其他</v>
      </c>
      <c r="K7200" s="270" t="str">
        <f t="shared" si="2"/>
        <v/>
      </c>
      <c r="L7200">
        <f t="shared" si="3"/>
        <v>0</v>
      </c>
    </row>
    <row r="7201">
      <c r="A7201" s="107"/>
      <c r="D7201" s="270"/>
      <c r="H7201" s="106" t="str">
        <f t="shared" si="1"/>
        <v/>
      </c>
      <c r="J7201" t="str">
        <f>IFERROR(__xludf.DUMMYFUNCTION("IFS(
  AND(REGEXMATCH(E7201, ""台銀籌備帳戶|玉山帳戶""), REGEXMATCH(C7201, ""薪資"")), ""分潤支出"",
  AND(REGEXMATCH(E7201, ""Ben帳戶|Elsa帳戶|Ben代墊|Ariel代墊|中信銀行共用""), REGEXMATCH(F7201, ""Ben帳戶|Elsa帳戶|Ben代墊|Ariel代墊|中信銀行共用"")), ""內部轉帳(忽略)"",
  AND(E7201&lt;&gt;"""", F7201&lt;&gt;"""", N"&amp;"OT(REGEXMATCH(C7201, ""薪資""))), ""內部轉帳(忽略)"",
  REGEXMATCH(C7201, ""薪資""), ""薪資變動(不計入)"",
  REGEXMATCH(C7201, ""押金""), ""押金往來"",
  AND(E7201&lt;&gt;"""", F7201=""""), ""真實支出"",
  AND(E7201="""", F7201&lt;&gt;""""), ""真實收入"",
  TRUE, ""其他""
)"),"其他")</f>
        <v>其他</v>
      </c>
      <c r="K7201" s="270" t="str">
        <f t="shared" si="2"/>
        <v/>
      </c>
      <c r="L7201">
        <f t="shared" si="3"/>
        <v>0</v>
      </c>
    </row>
    <row r="7202">
      <c r="A7202" s="107"/>
      <c r="D7202" s="270"/>
      <c r="H7202" s="106" t="str">
        <f t="shared" si="1"/>
        <v/>
      </c>
      <c r="J7202" t="str">
        <f>IFERROR(__xludf.DUMMYFUNCTION("IFS(
  AND(REGEXMATCH(E7202, ""台銀籌備帳戶|玉山帳戶""), REGEXMATCH(C7202, ""薪資"")), ""分潤支出"",
  AND(REGEXMATCH(E7202, ""Ben帳戶|Elsa帳戶|Ben代墊|Ariel代墊|中信銀行共用""), REGEXMATCH(F7202, ""Ben帳戶|Elsa帳戶|Ben代墊|Ariel代墊|中信銀行共用"")), ""內部轉帳(忽略)"",
  AND(E7202&lt;&gt;"""", F7202&lt;&gt;"""", N"&amp;"OT(REGEXMATCH(C7202, ""薪資""))), ""內部轉帳(忽略)"",
  REGEXMATCH(C7202, ""薪資""), ""薪資變動(不計入)"",
  REGEXMATCH(C7202, ""押金""), ""押金往來"",
  AND(E7202&lt;&gt;"""", F7202=""""), ""真實支出"",
  AND(E7202="""", F7202&lt;&gt;""""), ""真實收入"",
  TRUE, ""其他""
)"),"其他")</f>
        <v>其他</v>
      </c>
      <c r="K7202" s="270" t="str">
        <f t="shared" si="2"/>
        <v/>
      </c>
      <c r="L7202">
        <f t="shared" si="3"/>
        <v>0</v>
      </c>
    </row>
    <row r="7203">
      <c r="A7203" s="107"/>
      <c r="D7203" s="270"/>
      <c r="H7203" s="106" t="str">
        <f t="shared" si="1"/>
        <v/>
      </c>
      <c r="J7203" t="str">
        <f>IFERROR(__xludf.DUMMYFUNCTION("IFS(
  AND(REGEXMATCH(E7203, ""台銀籌備帳戶|玉山帳戶""), REGEXMATCH(C7203, ""薪資"")), ""分潤支出"",
  AND(REGEXMATCH(E7203, ""Ben帳戶|Elsa帳戶|Ben代墊|Ariel代墊|中信銀行共用""), REGEXMATCH(F7203, ""Ben帳戶|Elsa帳戶|Ben代墊|Ariel代墊|中信銀行共用"")), ""內部轉帳(忽略)"",
  AND(E7203&lt;&gt;"""", F7203&lt;&gt;"""", N"&amp;"OT(REGEXMATCH(C7203, ""薪資""))), ""內部轉帳(忽略)"",
  REGEXMATCH(C7203, ""薪資""), ""薪資變動(不計入)"",
  REGEXMATCH(C7203, ""押金""), ""押金往來"",
  AND(E7203&lt;&gt;"""", F7203=""""), ""真實支出"",
  AND(E7203="""", F7203&lt;&gt;""""), ""真實收入"",
  TRUE, ""其他""
)"),"其他")</f>
        <v>其他</v>
      </c>
      <c r="K7203" s="270" t="str">
        <f t="shared" si="2"/>
        <v/>
      </c>
      <c r="L7203">
        <f t="shared" si="3"/>
        <v>0</v>
      </c>
    </row>
    <row r="7204">
      <c r="A7204" s="107"/>
      <c r="D7204" s="270"/>
      <c r="H7204" s="106" t="str">
        <f t="shared" si="1"/>
        <v/>
      </c>
      <c r="J7204" t="str">
        <f>IFERROR(__xludf.DUMMYFUNCTION("IFS(
  AND(REGEXMATCH(E7204, ""台銀籌備帳戶|玉山帳戶""), REGEXMATCH(C7204, ""薪資"")), ""分潤支出"",
  AND(REGEXMATCH(E7204, ""Ben帳戶|Elsa帳戶|Ben代墊|Ariel代墊|中信銀行共用""), REGEXMATCH(F7204, ""Ben帳戶|Elsa帳戶|Ben代墊|Ariel代墊|中信銀行共用"")), ""內部轉帳(忽略)"",
  AND(E7204&lt;&gt;"""", F7204&lt;&gt;"""", N"&amp;"OT(REGEXMATCH(C7204, ""薪資""))), ""內部轉帳(忽略)"",
  REGEXMATCH(C7204, ""薪資""), ""薪資變動(不計入)"",
  REGEXMATCH(C7204, ""押金""), ""押金往來"",
  AND(E7204&lt;&gt;"""", F7204=""""), ""真實支出"",
  AND(E7204="""", F7204&lt;&gt;""""), ""真實收入"",
  TRUE, ""其他""
)"),"其他")</f>
        <v>其他</v>
      </c>
      <c r="K7204" s="270" t="str">
        <f t="shared" si="2"/>
        <v/>
      </c>
      <c r="L7204">
        <f t="shared" si="3"/>
        <v>0</v>
      </c>
    </row>
    <row r="7205">
      <c r="A7205" s="107"/>
      <c r="D7205" s="270"/>
      <c r="H7205" s="106" t="str">
        <f t="shared" si="1"/>
        <v/>
      </c>
      <c r="J7205" t="str">
        <f>IFERROR(__xludf.DUMMYFUNCTION("IFS(
  AND(REGEXMATCH(E7205, ""台銀籌備帳戶|玉山帳戶""), REGEXMATCH(C7205, ""薪資"")), ""分潤支出"",
  AND(REGEXMATCH(E7205, ""Ben帳戶|Elsa帳戶|Ben代墊|Ariel代墊|中信銀行共用""), REGEXMATCH(F7205, ""Ben帳戶|Elsa帳戶|Ben代墊|Ariel代墊|中信銀行共用"")), ""內部轉帳(忽略)"",
  AND(E7205&lt;&gt;"""", F7205&lt;&gt;"""", N"&amp;"OT(REGEXMATCH(C7205, ""薪資""))), ""內部轉帳(忽略)"",
  REGEXMATCH(C7205, ""薪資""), ""薪資變動(不計入)"",
  REGEXMATCH(C7205, ""押金""), ""押金往來"",
  AND(E7205&lt;&gt;"""", F7205=""""), ""真實支出"",
  AND(E7205="""", F7205&lt;&gt;""""), ""真實收入"",
  TRUE, ""其他""
)"),"其他")</f>
        <v>其他</v>
      </c>
      <c r="K7205" s="270" t="str">
        <f t="shared" si="2"/>
        <v/>
      </c>
      <c r="L7205">
        <f t="shared" si="3"/>
        <v>0</v>
      </c>
    </row>
    <row r="7206">
      <c r="A7206" s="107"/>
      <c r="D7206" s="270"/>
      <c r="H7206" s="106" t="str">
        <f t="shared" si="1"/>
        <v/>
      </c>
      <c r="J7206" t="str">
        <f>IFERROR(__xludf.DUMMYFUNCTION("IFS(
  AND(REGEXMATCH(E7206, ""台銀籌備帳戶|玉山帳戶""), REGEXMATCH(C7206, ""薪資"")), ""分潤支出"",
  AND(REGEXMATCH(E7206, ""Ben帳戶|Elsa帳戶|Ben代墊|Ariel代墊|中信銀行共用""), REGEXMATCH(F7206, ""Ben帳戶|Elsa帳戶|Ben代墊|Ariel代墊|中信銀行共用"")), ""內部轉帳(忽略)"",
  AND(E7206&lt;&gt;"""", F7206&lt;&gt;"""", N"&amp;"OT(REGEXMATCH(C7206, ""薪資""))), ""內部轉帳(忽略)"",
  REGEXMATCH(C7206, ""薪資""), ""薪資變動(不計入)"",
  REGEXMATCH(C7206, ""押金""), ""押金往來"",
  AND(E7206&lt;&gt;"""", F7206=""""), ""真實支出"",
  AND(E7206="""", F7206&lt;&gt;""""), ""真實收入"",
  TRUE, ""其他""
)"),"其他")</f>
        <v>其他</v>
      </c>
      <c r="K7206" s="270" t="str">
        <f t="shared" si="2"/>
        <v/>
      </c>
      <c r="L7206">
        <f t="shared" si="3"/>
        <v>0</v>
      </c>
    </row>
    <row r="7207">
      <c r="A7207" s="107"/>
      <c r="D7207" s="270"/>
      <c r="H7207" s="106" t="str">
        <f t="shared" si="1"/>
        <v/>
      </c>
      <c r="J7207" t="str">
        <f>IFERROR(__xludf.DUMMYFUNCTION("IFS(
  AND(REGEXMATCH(E7207, ""台銀籌備帳戶|玉山帳戶""), REGEXMATCH(C7207, ""薪資"")), ""分潤支出"",
  AND(REGEXMATCH(E7207, ""Ben帳戶|Elsa帳戶|Ben代墊|Ariel代墊|中信銀行共用""), REGEXMATCH(F7207, ""Ben帳戶|Elsa帳戶|Ben代墊|Ariel代墊|中信銀行共用"")), ""內部轉帳(忽略)"",
  AND(E7207&lt;&gt;"""", F7207&lt;&gt;"""", N"&amp;"OT(REGEXMATCH(C7207, ""薪資""))), ""內部轉帳(忽略)"",
  REGEXMATCH(C7207, ""薪資""), ""薪資變動(不計入)"",
  REGEXMATCH(C7207, ""押金""), ""押金往來"",
  AND(E7207&lt;&gt;"""", F7207=""""), ""真實支出"",
  AND(E7207="""", F7207&lt;&gt;""""), ""真實收入"",
  TRUE, ""其他""
)"),"其他")</f>
        <v>其他</v>
      </c>
      <c r="K7207" s="270" t="str">
        <f t="shared" si="2"/>
        <v/>
      </c>
      <c r="L7207">
        <f t="shared" si="3"/>
        <v>0</v>
      </c>
    </row>
    <row r="7208">
      <c r="A7208" s="107"/>
      <c r="D7208" s="270"/>
      <c r="H7208" s="106" t="str">
        <f t="shared" si="1"/>
        <v/>
      </c>
      <c r="J7208" t="str">
        <f>IFERROR(__xludf.DUMMYFUNCTION("IFS(
  AND(REGEXMATCH(E7208, ""台銀籌備帳戶|玉山帳戶""), REGEXMATCH(C7208, ""薪資"")), ""分潤支出"",
  AND(REGEXMATCH(E7208, ""Ben帳戶|Elsa帳戶|Ben代墊|Ariel代墊|中信銀行共用""), REGEXMATCH(F7208, ""Ben帳戶|Elsa帳戶|Ben代墊|Ariel代墊|中信銀行共用"")), ""內部轉帳(忽略)"",
  AND(E7208&lt;&gt;"""", F7208&lt;&gt;"""", N"&amp;"OT(REGEXMATCH(C7208, ""薪資""))), ""內部轉帳(忽略)"",
  REGEXMATCH(C7208, ""薪資""), ""薪資變動(不計入)"",
  REGEXMATCH(C7208, ""押金""), ""押金往來"",
  AND(E7208&lt;&gt;"""", F7208=""""), ""真實支出"",
  AND(E7208="""", F7208&lt;&gt;""""), ""真實收入"",
  TRUE, ""其他""
)"),"其他")</f>
        <v>其他</v>
      </c>
      <c r="K7208" s="270" t="str">
        <f t="shared" si="2"/>
        <v/>
      </c>
      <c r="L7208">
        <f t="shared" si="3"/>
        <v>0</v>
      </c>
    </row>
    <row r="7209">
      <c r="A7209" s="107"/>
      <c r="D7209" s="270"/>
      <c r="H7209" s="106" t="str">
        <f t="shared" si="1"/>
        <v/>
      </c>
      <c r="J7209" t="str">
        <f>IFERROR(__xludf.DUMMYFUNCTION("IFS(
  AND(REGEXMATCH(E7209, ""台銀籌備帳戶|玉山帳戶""), REGEXMATCH(C7209, ""薪資"")), ""分潤支出"",
  AND(REGEXMATCH(E7209, ""Ben帳戶|Elsa帳戶|Ben代墊|Ariel代墊|中信銀行共用""), REGEXMATCH(F7209, ""Ben帳戶|Elsa帳戶|Ben代墊|Ariel代墊|中信銀行共用"")), ""內部轉帳(忽略)"",
  AND(E7209&lt;&gt;"""", F7209&lt;&gt;"""", N"&amp;"OT(REGEXMATCH(C7209, ""薪資""))), ""內部轉帳(忽略)"",
  REGEXMATCH(C7209, ""薪資""), ""薪資變動(不計入)"",
  REGEXMATCH(C7209, ""押金""), ""押金往來"",
  AND(E7209&lt;&gt;"""", F7209=""""), ""真實支出"",
  AND(E7209="""", F7209&lt;&gt;""""), ""真實收入"",
  TRUE, ""其他""
)"),"其他")</f>
        <v>其他</v>
      </c>
      <c r="K7209" s="270" t="str">
        <f t="shared" si="2"/>
        <v/>
      </c>
      <c r="L7209">
        <f t="shared" si="3"/>
        <v>0</v>
      </c>
    </row>
    <row r="7210">
      <c r="A7210" s="107"/>
      <c r="D7210" s="270"/>
      <c r="H7210" s="106" t="str">
        <f t="shared" si="1"/>
        <v/>
      </c>
      <c r="J7210" t="str">
        <f>IFERROR(__xludf.DUMMYFUNCTION("IFS(
  AND(REGEXMATCH(E7210, ""台銀籌備帳戶|玉山帳戶""), REGEXMATCH(C7210, ""薪資"")), ""分潤支出"",
  AND(REGEXMATCH(E7210, ""Ben帳戶|Elsa帳戶|Ben代墊|Ariel代墊|中信銀行共用""), REGEXMATCH(F7210, ""Ben帳戶|Elsa帳戶|Ben代墊|Ariel代墊|中信銀行共用"")), ""內部轉帳(忽略)"",
  AND(E7210&lt;&gt;"""", F7210&lt;&gt;"""", N"&amp;"OT(REGEXMATCH(C7210, ""薪資""))), ""內部轉帳(忽略)"",
  REGEXMATCH(C7210, ""薪資""), ""薪資變動(不計入)"",
  REGEXMATCH(C7210, ""押金""), ""押金往來"",
  AND(E7210&lt;&gt;"""", F7210=""""), ""真實支出"",
  AND(E7210="""", F7210&lt;&gt;""""), ""真實收入"",
  TRUE, ""其他""
)"),"其他")</f>
        <v>其他</v>
      </c>
      <c r="K7210" s="270" t="str">
        <f t="shared" si="2"/>
        <v/>
      </c>
      <c r="L7210">
        <f t="shared" si="3"/>
        <v>0</v>
      </c>
    </row>
    <row r="7211">
      <c r="A7211" s="107"/>
      <c r="D7211" s="270"/>
      <c r="H7211" s="106" t="str">
        <f t="shared" si="1"/>
        <v/>
      </c>
      <c r="J7211" t="str">
        <f>IFERROR(__xludf.DUMMYFUNCTION("IFS(
  AND(REGEXMATCH(E7211, ""台銀籌備帳戶|玉山帳戶""), REGEXMATCH(C7211, ""薪資"")), ""分潤支出"",
  AND(REGEXMATCH(E7211, ""Ben帳戶|Elsa帳戶|Ben代墊|Ariel代墊|中信銀行共用""), REGEXMATCH(F7211, ""Ben帳戶|Elsa帳戶|Ben代墊|Ariel代墊|中信銀行共用"")), ""內部轉帳(忽略)"",
  AND(E7211&lt;&gt;"""", F7211&lt;&gt;"""", N"&amp;"OT(REGEXMATCH(C7211, ""薪資""))), ""內部轉帳(忽略)"",
  REGEXMATCH(C7211, ""薪資""), ""薪資變動(不計入)"",
  REGEXMATCH(C7211, ""押金""), ""押金往來"",
  AND(E7211&lt;&gt;"""", F7211=""""), ""真實支出"",
  AND(E7211="""", F7211&lt;&gt;""""), ""真實收入"",
  TRUE, ""其他""
)"),"其他")</f>
        <v>其他</v>
      </c>
      <c r="K7211" s="270" t="str">
        <f t="shared" si="2"/>
        <v/>
      </c>
      <c r="L7211">
        <f t="shared" si="3"/>
        <v>0</v>
      </c>
    </row>
    <row r="7212">
      <c r="A7212" s="107"/>
      <c r="D7212" s="270"/>
      <c r="H7212" s="106" t="str">
        <f t="shared" si="1"/>
        <v/>
      </c>
      <c r="J7212" t="str">
        <f>IFERROR(__xludf.DUMMYFUNCTION("IFS(
  AND(REGEXMATCH(E7212, ""台銀籌備帳戶|玉山帳戶""), REGEXMATCH(C7212, ""薪資"")), ""分潤支出"",
  AND(REGEXMATCH(E7212, ""Ben帳戶|Elsa帳戶|Ben代墊|Ariel代墊|中信銀行共用""), REGEXMATCH(F7212, ""Ben帳戶|Elsa帳戶|Ben代墊|Ariel代墊|中信銀行共用"")), ""內部轉帳(忽略)"",
  AND(E7212&lt;&gt;"""", F7212&lt;&gt;"""", N"&amp;"OT(REGEXMATCH(C7212, ""薪資""))), ""內部轉帳(忽略)"",
  REGEXMATCH(C7212, ""薪資""), ""薪資變動(不計入)"",
  REGEXMATCH(C7212, ""押金""), ""押金往來"",
  AND(E7212&lt;&gt;"""", F7212=""""), ""真實支出"",
  AND(E7212="""", F7212&lt;&gt;""""), ""真實收入"",
  TRUE, ""其他""
)"),"其他")</f>
        <v>其他</v>
      </c>
      <c r="K7212" s="270" t="str">
        <f t="shared" si="2"/>
        <v/>
      </c>
      <c r="L7212">
        <f t="shared" si="3"/>
        <v>0</v>
      </c>
    </row>
    <row r="7213">
      <c r="A7213" s="107"/>
      <c r="D7213" s="270"/>
      <c r="H7213" s="106" t="str">
        <f t="shared" si="1"/>
        <v/>
      </c>
      <c r="J7213" t="str">
        <f>IFERROR(__xludf.DUMMYFUNCTION("IFS(
  AND(REGEXMATCH(E7213, ""台銀籌備帳戶|玉山帳戶""), REGEXMATCH(C7213, ""薪資"")), ""分潤支出"",
  AND(REGEXMATCH(E7213, ""Ben帳戶|Elsa帳戶|Ben代墊|Ariel代墊|中信銀行共用""), REGEXMATCH(F7213, ""Ben帳戶|Elsa帳戶|Ben代墊|Ariel代墊|中信銀行共用"")), ""內部轉帳(忽略)"",
  AND(E7213&lt;&gt;"""", F7213&lt;&gt;"""", N"&amp;"OT(REGEXMATCH(C7213, ""薪資""))), ""內部轉帳(忽略)"",
  REGEXMATCH(C7213, ""薪資""), ""薪資變動(不計入)"",
  REGEXMATCH(C7213, ""押金""), ""押金往來"",
  AND(E7213&lt;&gt;"""", F7213=""""), ""真實支出"",
  AND(E7213="""", F7213&lt;&gt;""""), ""真實收入"",
  TRUE, ""其他""
)"),"其他")</f>
        <v>其他</v>
      </c>
      <c r="K7213" s="270" t="str">
        <f t="shared" si="2"/>
        <v/>
      </c>
      <c r="L7213">
        <f t="shared" si="3"/>
        <v>0</v>
      </c>
    </row>
    <row r="7214">
      <c r="A7214" s="107"/>
      <c r="D7214" s="270"/>
      <c r="H7214" s="106" t="str">
        <f t="shared" si="1"/>
        <v/>
      </c>
      <c r="J7214" t="str">
        <f>IFERROR(__xludf.DUMMYFUNCTION("IFS(
  AND(REGEXMATCH(E7214, ""台銀籌備帳戶|玉山帳戶""), REGEXMATCH(C7214, ""薪資"")), ""分潤支出"",
  AND(REGEXMATCH(E7214, ""Ben帳戶|Elsa帳戶|Ben代墊|Ariel代墊|中信銀行共用""), REGEXMATCH(F7214, ""Ben帳戶|Elsa帳戶|Ben代墊|Ariel代墊|中信銀行共用"")), ""內部轉帳(忽略)"",
  AND(E7214&lt;&gt;"""", F7214&lt;&gt;"""", N"&amp;"OT(REGEXMATCH(C7214, ""薪資""))), ""內部轉帳(忽略)"",
  REGEXMATCH(C7214, ""薪資""), ""薪資變動(不計入)"",
  REGEXMATCH(C7214, ""押金""), ""押金往來"",
  AND(E7214&lt;&gt;"""", F7214=""""), ""真實支出"",
  AND(E7214="""", F7214&lt;&gt;""""), ""真實收入"",
  TRUE, ""其他""
)"),"其他")</f>
        <v>其他</v>
      </c>
      <c r="K7214" s="270" t="str">
        <f t="shared" si="2"/>
        <v/>
      </c>
      <c r="L7214">
        <f t="shared" si="3"/>
        <v>0</v>
      </c>
    </row>
    <row r="7215">
      <c r="A7215" s="107"/>
      <c r="D7215" s="270"/>
      <c r="H7215" s="106" t="str">
        <f t="shared" si="1"/>
        <v/>
      </c>
      <c r="J7215" t="str">
        <f>IFERROR(__xludf.DUMMYFUNCTION("IFS(
  AND(REGEXMATCH(E7215, ""台銀籌備帳戶|玉山帳戶""), REGEXMATCH(C7215, ""薪資"")), ""分潤支出"",
  AND(REGEXMATCH(E7215, ""Ben帳戶|Elsa帳戶|Ben代墊|Ariel代墊|中信銀行共用""), REGEXMATCH(F7215, ""Ben帳戶|Elsa帳戶|Ben代墊|Ariel代墊|中信銀行共用"")), ""內部轉帳(忽略)"",
  AND(E7215&lt;&gt;"""", F7215&lt;&gt;"""", N"&amp;"OT(REGEXMATCH(C7215, ""薪資""))), ""內部轉帳(忽略)"",
  REGEXMATCH(C7215, ""薪資""), ""薪資變動(不計入)"",
  REGEXMATCH(C7215, ""押金""), ""押金往來"",
  AND(E7215&lt;&gt;"""", F7215=""""), ""真實支出"",
  AND(E7215="""", F7215&lt;&gt;""""), ""真實收入"",
  TRUE, ""其他""
)"),"其他")</f>
        <v>其他</v>
      </c>
      <c r="K7215" s="270" t="str">
        <f t="shared" si="2"/>
        <v/>
      </c>
      <c r="L7215">
        <f t="shared" si="3"/>
        <v>0</v>
      </c>
    </row>
    <row r="7216">
      <c r="A7216" s="107"/>
      <c r="D7216" s="270"/>
      <c r="H7216" s="106" t="str">
        <f t="shared" si="1"/>
        <v/>
      </c>
      <c r="J7216" t="str">
        <f>IFERROR(__xludf.DUMMYFUNCTION("IFS(
  AND(REGEXMATCH(E7216, ""台銀籌備帳戶|玉山帳戶""), REGEXMATCH(C7216, ""薪資"")), ""分潤支出"",
  AND(REGEXMATCH(E7216, ""Ben帳戶|Elsa帳戶|Ben代墊|Ariel代墊|中信銀行共用""), REGEXMATCH(F7216, ""Ben帳戶|Elsa帳戶|Ben代墊|Ariel代墊|中信銀行共用"")), ""內部轉帳(忽略)"",
  AND(E7216&lt;&gt;"""", F7216&lt;&gt;"""", N"&amp;"OT(REGEXMATCH(C7216, ""薪資""))), ""內部轉帳(忽略)"",
  REGEXMATCH(C7216, ""薪資""), ""薪資變動(不計入)"",
  REGEXMATCH(C7216, ""押金""), ""押金往來"",
  AND(E7216&lt;&gt;"""", F7216=""""), ""真實支出"",
  AND(E7216="""", F7216&lt;&gt;""""), ""真實收入"",
  TRUE, ""其他""
)"),"其他")</f>
        <v>其他</v>
      </c>
      <c r="K7216" s="270" t="str">
        <f t="shared" si="2"/>
        <v/>
      </c>
      <c r="L7216">
        <f t="shared" si="3"/>
        <v>0</v>
      </c>
    </row>
    <row r="7217">
      <c r="A7217" s="107"/>
      <c r="D7217" s="270"/>
      <c r="H7217" s="106" t="str">
        <f t="shared" si="1"/>
        <v/>
      </c>
      <c r="J7217" t="str">
        <f>IFERROR(__xludf.DUMMYFUNCTION("IFS(
  AND(REGEXMATCH(E7217, ""台銀籌備帳戶|玉山帳戶""), REGEXMATCH(C7217, ""薪資"")), ""分潤支出"",
  AND(REGEXMATCH(E7217, ""Ben帳戶|Elsa帳戶|Ben代墊|Ariel代墊|中信銀行共用""), REGEXMATCH(F7217, ""Ben帳戶|Elsa帳戶|Ben代墊|Ariel代墊|中信銀行共用"")), ""內部轉帳(忽略)"",
  AND(E7217&lt;&gt;"""", F7217&lt;&gt;"""", N"&amp;"OT(REGEXMATCH(C7217, ""薪資""))), ""內部轉帳(忽略)"",
  REGEXMATCH(C7217, ""薪資""), ""薪資變動(不計入)"",
  REGEXMATCH(C7217, ""押金""), ""押金往來"",
  AND(E7217&lt;&gt;"""", F7217=""""), ""真實支出"",
  AND(E7217="""", F7217&lt;&gt;""""), ""真實收入"",
  TRUE, ""其他""
)"),"其他")</f>
        <v>其他</v>
      </c>
      <c r="K7217" s="270" t="str">
        <f t="shared" si="2"/>
        <v/>
      </c>
      <c r="L7217">
        <f t="shared" si="3"/>
        <v>0</v>
      </c>
    </row>
    <row r="7218">
      <c r="A7218" s="107"/>
      <c r="D7218" s="270"/>
      <c r="H7218" s="106" t="str">
        <f t="shared" si="1"/>
        <v/>
      </c>
      <c r="J7218" t="str">
        <f>IFERROR(__xludf.DUMMYFUNCTION("IFS(
  AND(REGEXMATCH(E7218, ""台銀籌備帳戶|玉山帳戶""), REGEXMATCH(C7218, ""薪資"")), ""分潤支出"",
  AND(REGEXMATCH(E7218, ""Ben帳戶|Elsa帳戶|Ben代墊|Ariel代墊|中信銀行共用""), REGEXMATCH(F7218, ""Ben帳戶|Elsa帳戶|Ben代墊|Ariel代墊|中信銀行共用"")), ""內部轉帳(忽略)"",
  AND(E7218&lt;&gt;"""", F7218&lt;&gt;"""", N"&amp;"OT(REGEXMATCH(C7218, ""薪資""))), ""內部轉帳(忽略)"",
  REGEXMATCH(C7218, ""薪資""), ""薪資變動(不計入)"",
  REGEXMATCH(C7218, ""押金""), ""押金往來"",
  AND(E7218&lt;&gt;"""", F7218=""""), ""真實支出"",
  AND(E7218="""", F7218&lt;&gt;""""), ""真實收入"",
  TRUE, ""其他""
)"),"其他")</f>
        <v>其他</v>
      </c>
      <c r="K7218" s="270" t="str">
        <f t="shared" si="2"/>
        <v/>
      </c>
      <c r="L7218">
        <f t="shared" si="3"/>
        <v>0</v>
      </c>
    </row>
    <row r="7219">
      <c r="A7219" s="107"/>
      <c r="D7219" s="270"/>
      <c r="H7219" s="106" t="str">
        <f t="shared" si="1"/>
        <v/>
      </c>
      <c r="J7219" t="str">
        <f>IFERROR(__xludf.DUMMYFUNCTION("IFS(
  AND(REGEXMATCH(E7219, ""台銀籌備帳戶|玉山帳戶""), REGEXMATCH(C7219, ""薪資"")), ""分潤支出"",
  AND(REGEXMATCH(E7219, ""Ben帳戶|Elsa帳戶|Ben代墊|Ariel代墊|中信銀行共用""), REGEXMATCH(F7219, ""Ben帳戶|Elsa帳戶|Ben代墊|Ariel代墊|中信銀行共用"")), ""內部轉帳(忽略)"",
  AND(E7219&lt;&gt;"""", F7219&lt;&gt;"""", N"&amp;"OT(REGEXMATCH(C7219, ""薪資""))), ""內部轉帳(忽略)"",
  REGEXMATCH(C7219, ""薪資""), ""薪資變動(不計入)"",
  REGEXMATCH(C7219, ""押金""), ""押金往來"",
  AND(E7219&lt;&gt;"""", F7219=""""), ""真實支出"",
  AND(E7219="""", F7219&lt;&gt;""""), ""真實收入"",
  TRUE, ""其他""
)"),"其他")</f>
        <v>其他</v>
      </c>
      <c r="K7219" s="270" t="str">
        <f t="shared" si="2"/>
        <v/>
      </c>
      <c r="L7219">
        <f t="shared" si="3"/>
        <v>0</v>
      </c>
    </row>
    <row r="7220">
      <c r="A7220" s="107"/>
      <c r="D7220" s="270"/>
      <c r="H7220" s="106" t="str">
        <f t="shared" si="1"/>
        <v/>
      </c>
      <c r="J7220" t="str">
        <f>IFERROR(__xludf.DUMMYFUNCTION("IFS(
  AND(REGEXMATCH(E7220, ""台銀籌備帳戶|玉山帳戶""), REGEXMATCH(C7220, ""薪資"")), ""分潤支出"",
  AND(REGEXMATCH(E7220, ""Ben帳戶|Elsa帳戶|Ben代墊|Ariel代墊|中信銀行共用""), REGEXMATCH(F7220, ""Ben帳戶|Elsa帳戶|Ben代墊|Ariel代墊|中信銀行共用"")), ""內部轉帳(忽略)"",
  AND(E7220&lt;&gt;"""", F7220&lt;&gt;"""", N"&amp;"OT(REGEXMATCH(C7220, ""薪資""))), ""內部轉帳(忽略)"",
  REGEXMATCH(C7220, ""薪資""), ""薪資變動(不計入)"",
  REGEXMATCH(C7220, ""押金""), ""押金往來"",
  AND(E7220&lt;&gt;"""", F7220=""""), ""真實支出"",
  AND(E7220="""", F7220&lt;&gt;""""), ""真實收入"",
  TRUE, ""其他""
)"),"其他")</f>
        <v>其他</v>
      </c>
      <c r="K7220" s="270" t="str">
        <f t="shared" si="2"/>
        <v/>
      </c>
      <c r="L7220">
        <f t="shared" si="3"/>
        <v>0</v>
      </c>
    </row>
    <row r="7221">
      <c r="A7221" s="107"/>
      <c r="D7221" s="270"/>
      <c r="H7221" s="106" t="str">
        <f t="shared" si="1"/>
        <v/>
      </c>
      <c r="J7221" t="str">
        <f>IFERROR(__xludf.DUMMYFUNCTION("IFS(
  AND(REGEXMATCH(E7221, ""台銀籌備帳戶|玉山帳戶""), REGEXMATCH(C7221, ""薪資"")), ""分潤支出"",
  AND(REGEXMATCH(E7221, ""Ben帳戶|Elsa帳戶|Ben代墊|Ariel代墊|中信銀行共用""), REGEXMATCH(F7221, ""Ben帳戶|Elsa帳戶|Ben代墊|Ariel代墊|中信銀行共用"")), ""內部轉帳(忽略)"",
  AND(E7221&lt;&gt;"""", F7221&lt;&gt;"""", N"&amp;"OT(REGEXMATCH(C7221, ""薪資""))), ""內部轉帳(忽略)"",
  REGEXMATCH(C7221, ""薪資""), ""薪資變動(不計入)"",
  REGEXMATCH(C7221, ""押金""), ""押金往來"",
  AND(E7221&lt;&gt;"""", F7221=""""), ""真實支出"",
  AND(E7221="""", F7221&lt;&gt;""""), ""真實收入"",
  TRUE, ""其他""
)"),"其他")</f>
        <v>其他</v>
      </c>
      <c r="K7221" s="270" t="str">
        <f t="shared" si="2"/>
        <v/>
      </c>
      <c r="L7221">
        <f t="shared" si="3"/>
        <v>0</v>
      </c>
    </row>
    <row r="7222">
      <c r="A7222" s="107"/>
      <c r="D7222" s="270"/>
      <c r="H7222" s="106" t="str">
        <f t="shared" si="1"/>
        <v/>
      </c>
      <c r="J7222" t="str">
        <f>IFERROR(__xludf.DUMMYFUNCTION("IFS(
  AND(REGEXMATCH(E7222, ""台銀籌備帳戶|玉山帳戶""), REGEXMATCH(C7222, ""薪資"")), ""分潤支出"",
  AND(REGEXMATCH(E7222, ""Ben帳戶|Elsa帳戶|Ben代墊|Ariel代墊|中信銀行共用""), REGEXMATCH(F7222, ""Ben帳戶|Elsa帳戶|Ben代墊|Ariel代墊|中信銀行共用"")), ""內部轉帳(忽略)"",
  AND(E7222&lt;&gt;"""", F7222&lt;&gt;"""", N"&amp;"OT(REGEXMATCH(C7222, ""薪資""))), ""內部轉帳(忽略)"",
  REGEXMATCH(C7222, ""薪資""), ""薪資變動(不計入)"",
  REGEXMATCH(C7222, ""押金""), ""押金往來"",
  AND(E7222&lt;&gt;"""", F7222=""""), ""真實支出"",
  AND(E7222="""", F7222&lt;&gt;""""), ""真實收入"",
  TRUE, ""其他""
)"),"其他")</f>
        <v>其他</v>
      </c>
      <c r="K7222" s="270" t="str">
        <f t="shared" si="2"/>
        <v/>
      </c>
      <c r="L7222">
        <f t="shared" si="3"/>
        <v>0</v>
      </c>
    </row>
    <row r="7223">
      <c r="A7223" s="107"/>
      <c r="D7223" s="270"/>
      <c r="H7223" s="106" t="str">
        <f t="shared" si="1"/>
        <v/>
      </c>
      <c r="J7223" t="str">
        <f>IFERROR(__xludf.DUMMYFUNCTION("IFS(
  AND(REGEXMATCH(E7223, ""台銀籌備帳戶|玉山帳戶""), REGEXMATCH(C7223, ""薪資"")), ""分潤支出"",
  AND(REGEXMATCH(E7223, ""Ben帳戶|Elsa帳戶|Ben代墊|Ariel代墊|中信銀行共用""), REGEXMATCH(F7223, ""Ben帳戶|Elsa帳戶|Ben代墊|Ariel代墊|中信銀行共用"")), ""內部轉帳(忽略)"",
  AND(E7223&lt;&gt;"""", F7223&lt;&gt;"""", N"&amp;"OT(REGEXMATCH(C7223, ""薪資""))), ""內部轉帳(忽略)"",
  REGEXMATCH(C7223, ""薪資""), ""薪資變動(不計入)"",
  REGEXMATCH(C7223, ""押金""), ""押金往來"",
  AND(E7223&lt;&gt;"""", F7223=""""), ""真實支出"",
  AND(E7223="""", F7223&lt;&gt;""""), ""真實收入"",
  TRUE, ""其他""
)"),"其他")</f>
        <v>其他</v>
      </c>
      <c r="K7223" s="270" t="str">
        <f t="shared" si="2"/>
        <v/>
      </c>
      <c r="L7223">
        <f t="shared" si="3"/>
        <v>0</v>
      </c>
    </row>
    <row r="7224">
      <c r="A7224" s="107"/>
      <c r="D7224" s="270"/>
      <c r="H7224" s="106" t="str">
        <f t="shared" si="1"/>
        <v/>
      </c>
      <c r="J7224" t="str">
        <f>IFERROR(__xludf.DUMMYFUNCTION("IFS(
  AND(REGEXMATCH(E7224, ""台銀籌備帳戶|玉山帳戶""), REGEXMATCH(C7224, ""薪資"")), ""分潤支出"",
  AND(REGEXMATCH(E7224, ""Ben帳戶|Elsa帳戶|Ben代墊|Ariel代墊|中信銀行共用""), REGEXMATCH(F7224, ""Ben帳戶|Elsa帳戶|Ben代墊|Ariel代墊|中信銀行共用"")), ""內部轉帳(忽略)"",
  AND(E7224&lt;&gt;"""", F7224&lt;&gt;"""", N"&amp;"OT(REGEXMATCH(C7224, ""薪資""))), ""內部轉帳(忽略)"",
  REGEXMATCH(C7224, ""薪資""), ""薪資變動(不計入)"",
  REGEXMATCH(C7224, ""押金""), ""押金往來"",
  AND(E7224&lt;&gt;"""", F7224=""""), ""真實支出"",
  AND(E7224="""", F7224&lt;&gt;""""), ""真實收入"",
  TRUE, ""其他""
)"),"其他")</f>
        <v>其他</v>
      </c>
      <c r="K7224" s="270" t="str">
        <f t="shared" si="2"/>
        <v/>
      </c>
      <c r="L7224">
        <f t="shared" si="3"/>
        <v>0</v>
      </c>
    </row>
    <row r="7225">
      <c r="A7225" s="107"/>
      <c r="D7225" s="270"/>
      <c r="H7225" s="106" t="str">
        <f t="shared" si="1"/>
        <v/>
      </c>
      <c r="J7225" t="str">
        <f>IFERROR(__xludf.DUMMYFUNCTION("IFS(
  AND(REGEXMATCH(E7225, ""台銀籌備帳戶|玉山帳戶""), REGEXMATCH(C7225, ""薪資"")), ""分潤支出"",
  AND(REGEXMATCH(E7225, ""Ben帳戶|Elsa帳戶|Ben代墊|Ariel代墊|中信銀行共用""), REGEXMATCH(F7225, ""Ben帳戶|Elsa帳戶|Ben代墊|Ariel代墊|中信銀行共用"")), ""內部轉帳(忽略)"",
  AND(E7225&lt;&gt;"""", F7225&lt;&gt;"""", N"&amp;"OT(REGEXMATCH(C7225, ""薪資""))), ""內部轉帳(忽略)"",
  REGEXMATCH(C7225, ""薪資""), ""薪資變動(不計入)"",
  REGEXMATCH(C7225, ""押金""), ""押金往來"",
  AND(E7225&lt;&gt;"""", F7225=""""), ""真實支出"",
  AND(E7225="""", F7225&lt;&gt;""""), ""真實收入"",
  TRUE, ""其他""
)"),"其他")</f>
        <v>其他</v>
      </c>
      <c r="K7225" s="270" t="str">
        <f t="shared" si="2"/>
        <v/>
      </c>
      <c r="L7225">
        <f t="shared" si="3"/>
        <v>0</v>
      </c>
    </row>
    <row r="7226">
      <c r="A7226" s="107"/>
      <c r="D7226" s="270"/>
      <c r="H7226" s="106" t="str">
        <f t="shared" si="1"/>
        <v/>
      </c>
      <c r="J7226" t="str">
        <f>IFERROR(__xludf.DUMMYFUNCTION("IFS(
  AND(REGEXMATCH(E7226, ""台銀籌備帳戶|玉山帳戶""), REGEXMATCH(C7226, ""薪資"")), ""分潤支出"",
  AND(REGEXMATCH(E7226, ""Ben帳戶|Elsa帳戶|Ben代墊|Ariel代墊|中信銀行共用""), REGEXMATCH(F7226, ""Ben帳戶|Elsa帳戶|Ben代墊|Ariel代墊|中信銀行共用"")), ""內部轉帳(忽略)"",
  AND(E7226&lt;&gt;"""", F7226&lt;&gt;"""", N"&amp;"OT(REGEXMATCH(C7226, ""薪資""))), ""內部轉帳(忽略)"",
  REGEXMATCH(C7226, ""薪資""), ""薪資變動(不計入)"",
  REGEXMATCH(C7226, ""押金""), ""押金往來"",
  AND(E7226&lt;&gt;"""", F7226=""""), ""真實支出"",
  AND(E7226="""", F7226&lt;&gt;""""), ""真實收入"",
  TRUE, ""其他""
)"),"其他")</f>
        <v>其他</v>
      </c>
      <c r="K7226" s="270" t="str">
        <f t="shared" si="2"/>
        <v/>
      </c>
      <c r="L7226">
        <f t="shared" si="3"/>
        <v>0</v>
      </c>
    </row>
    <row r="7227">
      <c r="A7227" s="107"/>
      <c r="D7227" s="270"/>
      <c r="H7227" s="106" t="str">
        <f t="shared" si="1"/>
        <v/>
      </c>
      <c r="J7227" t="str">
        <f>IFERROR(__xludf.DUMMYFUNCTION("IFS(
  AND(REGEXMATCH(E7227, ""台銀籌備帳戶|玉山帳戶""), REGEXMATCH(C7227, ""薪資"")), ""分潤支出"",
  AND(REGEXMATCH(E7227, ""Ben帳戶|Elsa帳戶|Ben代墊|Ariel代墊|中信銀行共用""), REGEXMATCH(F7227, ""Ben帳戶|Elsa帳戶|Ben代墊|Ariel代墊|中信銀行共用"")), ""內部轉帳(忽略)"",
  AND(E7227&lt;&gt;"""", F7227&lt;&gt;"""", N"&amp;"OT(REGEXMATCH(C7227, ""薪資""))), ""內部轉帳(忽略)"",
  REGEXMATCH(C7227, ""薪資""), ""薪資變動(不計入)"",
  REGEXMATCH(C7227, ""押金""), ""押金往來"",
  AND(E7227&lt;&gt;"""", F7227=""""), ""真實支出"",
  AND(E7227="""", F7227&lt;&gt;""""), ""真實收入"",
  TRUE, ""其他""
)"),"其他")</f>
        <v>其他</v>
      </c>
      <c r="K7227" s="270" t="str">
        <f t="shared" si="2"/>
        <v/>
      </c>
      <c r="L7227">
        <f t="shared" si="3"/>
        <v>0</v>
      </c>
    </row>
    <row r="7228">
      <c r="A7228" s="107"/>
      <c r="D7228" s="270"/>
      <c r="H7228" s="106" t="str">
        <f t="shared" si="1"/>
        <v/>
      </c>
      <c r="J7228" t="str">
        <f>IFERROR(__xludf.DUMMYFUNCTION("IFS(
  AND(REGEXMATCH(E7228, ""台銀籌備帳戶|玉山帳戶""), REGEXMATCH(C7228, ""薪資"")), ""分潤支出"",
  AND(REGEXMATCH(E7228, ""Ben帳戶|Elsa帳戶|Ben代墊|Ariel代墊|中信銀行共用""), REGEXMATCH(F7228, ""Ben帳戶|Elsa帳戶|Ben代墊|Ariel代墊|中信銀行共用"")), ""內部轉帳(忽略)"",
  AND(E7228&lt;&gt;"""", F7228&lt;&gt;"""", N"&amp;"OT(REGEXMATCH(C7228, ""薪資""))), ""內部轉帳(忽略)"",
  REGEXMATCH(C7228, ""薪資""), ""薪資變動(不計入)"",
  REGEXMATCH(C7228, ""押金""), ""押金往來"",
  AND(E7228&lt;&gt;"""", F7228=""""), ""真實支出"",
  AND(E7228="""", F7228&lt;&gt;""""), ""真實收入"",
  TRUE, ""其他""
)"),"其他")</f>
        <v>其他</v>
      </c>
      <c r="K7228" s="270" t="str">
        <f t="shared" si="2"/>
        <v/>
      </c>
      <c r="L7228">
        <f t="shared" si="3"/>
        <v>0</v>
      </c>
    </row>
    <row r="7229">
      <c r="A7229" s="107"/>
      <c r="D7229" s="270"/>
      <c r="H7229" s="106" t="str">
        <f t="shared" si="1"/>
        <v/>
      </c>
      <c r="J7229" t="str">
        <f>IFERROR(__xludf.DUMMYFUNCTION("IFS(
  AND(REGEXMATCH(E7229, ""台銀籌備帳戶|玉山帳戶""), REGEXMATCH(C7229, ""薪資"")), ""分潤支出"",
  AND(REGEXMATCH(E7229, ""Ben帳戶|Elsa帳戶|Ben代墊|Ariel代墊|中信銀行共用""), REGEXMATCH(F7229, ""Ben帳戶|Elsa帳戶|Ben代墊|Ariel代墊|中信銀行共用"")), ""內部轉帳(忽略)"",
  AND(E7229&lt;&gt;"""", F7229&lt;&gt;"""", N"&amp;"OT(REGEXMATCH(C7229, ""薪資""))), ""內部轉帳(忽略)"",
  REGEXMATCH(C7229, ""薪資""), ""薪資變動(不計入)"",
  REGEXMATCH(C7229, ""押金""), ""押金往來"",
  AND(E7229&lt;&gt;"""", F7229=""""), ""真實支出"",
  AND(E7229="""", F7229&lt;&gt;""""), ""真實收入"",
  TRUE, ""其他""
)"),"其他")</f>
        <v>其他</v>
      </c>
      <c r="K7229" s="270" t="str">
        <f t="shared" si="2"/>
        <v/>
      </c>
      <c r="L7229">
        <f t="shared" si="3"/>
        <v>0</v>
      </c>
    </row>
    <row r="7230">
      <c r="A7230" s="107"/>
      <c r="D7230" s="270"/>
      <c r="H7230" s="106" t="str">
        <f t="shared" si="1"/>
        <v/>
      </c>
      <c r="J7230" t="str">
        <f>IFERROR(__xludf.DUMMYFUNCTION("IFS(
  AND(REGEXMATCH(E7230, ""台銀籌備帳戶|玉山帳戶""), REGEXMATCH(C7230, ""薪資"")), ""分潤支出"",
  AND(REGEXMATCH(E7230, ""Ben帳戶|Elsa帳戶|Ben代墊|Ariel代墊|中信銀行共用""), REGEXMATCH(F7230, ""Ben帳戶|Elsa帳戶|Ben代墊|Ariel代墊|中信銀行共用"")), ""內部轉帳(忽略)"",
  AND(E7230&lt;&gt;"""", F7230&lt;&gt;"""", N"&amp;"OT(REGEXMATCH(C7230, ""薪資""))), ""內部轉帳(忽略)"",
  REGEXMATCH(C7230, ""薪資""), ""薪資變動(不計入)"",
  REGEXMATCH(C7230, ""押金""), ""押金往來"",
  AND(E7230&lt;&gt;"""", F7230=""""), ""真實支出"",
  AND(E7230="""", F7230&lt;&gt;""""), ""真實收入"",
  TRUE, ""其他""
)"),"其他")</f>
        <v>其他</v>
      </c>
      <c r="K7230" s="270" t="str">
        <f t="shared" si="2"/>
        <v/>
      </c>
      <c r="L7230">
        <f t="shared" si="3"/>
        <v>0</v>
      </c>
    </row>
    <row r="7231">
      <c r="A7231" s="107"/>
      <c r="D7231" s="270"/>
      <c r="H7231" s="106" t="str">
        <f t="shared" si="1"/>
        <v/>
      </c>
      <c r="J7231" t="str">
        <f>IFERROR(__xludf.DUMMYFUNCTION("IFS(
  AND(REGEXMATCH(E7231, ""台銀籌備帳戶|玉山帳戶""), REGEXMATCH(C7231, ""薪資"")), ""分潤支出"",
  AND(REGEXMATCH(E7231, ""Ben帳戶|Elsa帳戶|Ben代墊|Ariel代墊|中信銀行共用""), REGEXMATCH(F7231, ""Ben帳戶|Elsa帳戶|Ben代墊|Ariel代墊|中信銀行共用"")), ""內部轉帳(忽略)"",
  AND(E7231&lt;&gt;"""", F7231&lt;&gt;"""", N"&amp;"OT(REGEXMATCH(C7231, ""薪資""))), ""內部轉帳(忽略)"",
  REGEXMATCH(C7231, ""薪資""), ""薪資變動(不計入)"",
  REGEXMATCH(C7231, ""押金""), ""押金往來"",
  AND(E7231&lt;&gt;"""", F7231=""""), ""真實支出"",
  AND(E7231="""", F7231&lt;&gt;""""), ""真實收入"",
  TRUE, ""其他""
)"),"其他")</f>
        <v>其他</v>
      </c>
      <c r="K7231" s="270" t="str">
        <f t="shared" si="2"/>
        <v/>
      </c>
      <c r="L7231">
        <f t="shared" si="3"/>
        <v>0</v>
      </c>
    </row>
    <row r="7232">
      <c r="A7232" s="107"/>
      <c r="D7232" s="270"/>
      <c r="H7232" s="106" t="str">
        <f t="shared" si="1"/>
        <v/>
      </c>
      <c r="J7232" t="str">
        <f>IFERROR(__xludf.DUMMYFUNCTION("IFS(
  AND(REGEXMATCH(E7232, ""台銀籌備帳戶|玉山帳戶""), REGEXMATCH(C7232, ""薪資"")), ""分潤支出"",
  AND(REGEXMATCH(E7232, ""Ben帳戶|Elsa帳戶|Ben代墊|Ariel代墊|中信銀行共用""), REGEXMATCH(F7232, ""Ben帳戶|Elsa帳戶|Ben代墊|Ariel代墊|中信銀行共用"")), ""內部轉帳(忽略)"",
  AND(E7232&lt;&gt;"""", F7232&lt;&gt;"""", N"&amp;"OT(REGEXMATCH(C7232, ""薪資""))), ""內部轉帳(忽略)"",
  REGEXMATCH(C7232, ""薪資""), ""薪資變動(不計入)"",
  REGEXMATCH(C7232, ""押金""), ""押金往來"",
  AND(E7232&lt;&gt;"""", F7232=""""), ""真實支出"",
  AND(E7232="""", F7232&lt;&gt;""""), ""真實收入"",
  TRUE, ""其他""
)"),"其他")</f>
        <v>其他</v>
      </c>
      <c r="K7232" s="270" t="str">
        <f t="shared" si="2"/>
        <v/>
      </c>
      <c r="L7232">
        <f t="shared" si="3"/>
        <v>0</v>
      </c>
    </row>
    <row r="7233">
      <c r="A7233" s="107"/>
      <c r="D7233" s="270"/>
      <c r="H7233" s="106" t="str">
        <f t="shared" si="1"/>
        <v/>
      </c>
      <c r="J7233" t="str">
        <f>IFERROR(__xludf.DUMMYFUNCTION("IFS(
  AND(REGEXMATCH(E7233, ""台銀籌備帳戶|玉山帳戶""), REGEXMATCH(C7233, ""薪資"")), ""分潤支出"",
  AND(REGEXMATCH(E7233, ""Ben帳戶|Elsa帳戶|Ben代墊|Ariel代墊|中信銀行共用""), REGEXMATCH(F7233, ""Ben帳戶|Elsa帳戶|Ben代墊|Ariel代墊|中信銀行共用"")), ""內部轉帳(忽略)"",
  AND(E7233&lt;&gt;"""", F7233&lt;&gt;"""", N"&amp;"OT(REGEXMATCH(C7233, ""薪資""))), ""內部轉帳(忽略)"",
  REGEXMATCH(C7233, ""薪資""), ""薪資變動(不計入)"",
  REGEXMATCH(C7233, ""押金""), ""押金往來"",
  AND(E7233&lt;&gt;"""", F7233=""""), ""真實支出"",
  AND(E7233="""", F7233&lt;&gt;""""), ""真實收入"",
  TRUE, ""其他""
)"),"其他")</f>
        <v>其他</v>
      </c>
      <c r="K7233" s="270" t="str">
        <f t="shared" si="2"/>
        <v/>
      </c>
      <c r="L7233">
        <f t="shared" si="3"/>
        <v>0</v>
      </c>
    </row>
    <row r="7234">
      <c r="A7234" s="107"/>
      <c r="D7234" s="270"/>
      <c r="H7234" s="106" t="str">
        <f t="shared" si="1"/>
        <v/>
      </c>
      <c r="J7234" t="str">
        <f>IFERROR(__xludf.DUMMYFUNCTION("IFS(
  AND(REGEXMATCH(E7234, ""台銀籌備帳戶|玉山帳戶""), REGEXMATCH(C7234, ""薪資"")), ""分潤支出"",
  AND(REGEXMATCH(E7234, ""Ben帳戶|Elsa帳戶|Ben代墊|Ariel代墊|中信銀行共用""), REGEXMATCH(F7234, ""Ben帳戶|Elsa帳戶|Ben代墊|Ariel代墊|中信銀行共用"")), ""內部轉帳(忽略)"",
  AND(E7234&lt;&gt;"""", F7234&lt;&gt;"""", N"&amp;"OT(REGEXMATCH(C7234, ""薪資""))), ""內部轉帳(忽略)"",
  REGEXMATCH(C7234, ""薪資""), ""薪資變動(不計入)"",
  REGEXMATCH(C7234, ""押金""), ""押金往來"",
  AND(E7234&lt;&gt;"""", F7234=""""), ""真實支出"",
  AND(E7234="""", F7234&lt;&gt;""""), ""真實收入"",
  TRUE, ""其他""
)"),"其他")</f>
        <v>其他</v>
      </c>
      <c r="K7234" s="270" t="str">
        <f t="shared" si="2"/>
        <v/>
      </c>
      <c r="L7234">
        <f t="shared" si="3"/>
        <v>0</v>
      </c>
    </row>
    <row r="7235">
      <c r="A7235" s="107"/>
      <c r="D7235" s="270"/>
      <c r="H7235" s="106" t="str">
        <f t="shared" si="1"/>
        <v/>
      </c>
      <c r="J7235" t="str">
        <f>IFERROR(__xludf.DUMMYFUNCTION("IFS(
  AND(REGEXMATCH(E7235, ""台銀籌備帳戶|玉山帳戶""), REGEXMATCH(C7235, ""薪資"")), ""分潤支出"",
  AND(REGEXMATCH(E7235, ""Ben帳戶|Elsa帳戶|Ben代墊|Ariel代墊|中信銀行共用""), REGEXMATCH(F7235, ""Ben帳戶|Elsa帳戶|Ben代墊|Ariel代墊|中信銀行共用"")), ""內部轉帳(忽略)"",
  AND(E7235&lt;&gt;"""", F7235&lt;&gt;"""", N"&amp;"OT(REGEXMATCH(C7235, ""薪資""))), ""內部轉帳(忽略)"",
  REGEXMATCH(C7235, ""薪資""), ""薪資變動(不計入)"",
  REGEXMATCH(C7235, ""押金""), ""押金往來"",
  AND(E7235&lt;&gt;"""", F7235=""""), ""真實支出"",
  AND(E7235="""", F7235&lt;&gt;""""), ""真實收入"",
  TRUE, ""其他""
)"),"其他")</f>
        <v>其他</v>
      </c>
      <c r="K7235" s="270" t="str">
        <f t="shared" si="2"/>
        <v/>
      </c>
      <c r="L7235">
        <f t="shared" si="3"/>
        <v>0</v>
      </c>
    </row>
    <row r="7236">
      <c r="A7236" s="107"/>
      <c r="D7236" s="270"/>
      <c r="H7236" s="106" t="str">
        <f t="shared" si="1"/>
        <v/>
      </c>
      <c r="J7236" t="str">
        <f>IFERROR(__xludf.DUMMYFUNCTION("IFS(
  AND(REGEXMATCH(E7236, ""台銀籌備帳戶|玉山帳戶""), REGEXMATCH(C7236, ""薪資"")), ""分潤支出"",
  AND(REGEXMATCH(E7236, ""Ben帳戶|Elsa帳戶|Ben代墊|Ariel代墊|中信銀行共用""), REGEXMATCH(F7236, ""Ben帳戶|Elsa帳戶|Ben代墊|Ariel代墊|中信銀行共用"")), ""內部轉帳(忽略)"",
  AND(E7236&lt;&gt;"""", F7236&lt;&gt;"""", N"&amp;"OT(REGEXMATCH(C7236, ""薪資""))), ""內部轉帳(忽略)"",
  REGEXMATCH(C7236, ""薪資""), ""薪資變動(不計入)"",
  REGEXMATCH(C7236, ""押金""), ""押金往來"",
  AND(E7236&lt;&gt;"""", F7236=""""), ""真實支出"",
  AND(E7236="""", F7236&lt;&gt;""""), ""真實收入"",
  TRUE, ""其他""
)"),"其他")</f>
        <v>其他</v>
      </c>
      <c r="K7236" s="270" t="str">
        <f t="shared" si="2"/>
        <v/>
      </c>
      <c r="L7236">
        <f t="shared" si="3"/>
        <v>0</v>
      </c>
    </row>
    <row r="7237">
      <c r="A7237" s="107"/>
      <c r="D7237" s="270"/>
      <c r="H7237" s="106" t="str">
        <f t="shared" si="1"/>
        <v/>
      </c>
      <c r="J7237" t="str">
        <f>IFERROR(__xludf.DUMMYFUNCTION("IFS(
  AND(REGEXMATCH(E7237, ""台銀籌備帳戶|玉山帳戶""), REGEXMATCH(C7237, ""薪資"")), ""分潤支出"",
  AND(REGEXMATCH(E7237, ""Ben帳戶|Elsa帳戶|Ben代墊|Ariel代墊|中信銀行共用""), REGEXMATCH(F7237, ""Ben帳戶|Elsa帳戶|Ben代墊|Ariel代墊|中信銀行共用"")), ""內部轉帳(忽略)"",
  AND(E7237&lt;&gt;"""", F7237&lt;&gt;"""", N"&amp;"OT(REGEXMATCH(C7237, ""薪資""))), ""內部轉帳(忽略)"",
  REGEXMATCH(C7237, ""薪資""), ""薪資變動(不計入)"",
  REGEXMATCH(C7237, ""押金""), ""押金往來"",
  AND(E7237&lt;&gt;"""", F7237=""""), ""真實支出"",
  AND(E7237="""", F7237&lt;&gt;""""), ""真實收入"",
  TRUE, ""其他""
)"),"其他")</f>
        <v>其他</v>
      </c>
      <c r="K7237" s="270" t="str">
        <f t="shared" si="2"/>
        <v/>
      </c>
      <c r="L7237">
        <f t="shared" si="3"/>
        <v>0</v>
      </c>
    </row>
    <row r="7238">
      <c r="A7238" s="107"/>
      <c r="D7238" s="270"/>
      <c r="H7238" s="106" t="str">
        <f t="shared" si="1"/>
        <v/>
      </c>
      <c r="J7238" t="str">
        <f>IFERROR(__xludf.DUMMYFUNCTION("IFS(
  AND(REGEXMATCH(E7238, ""台銀籌備帳戶|玉山帳戶""), REGEXMATCH(C7238, ""薪資"")), ""分潤支出"",
  AND(REGEXMATCH(E7238, ""Ben帳戶|Elsa帳戶|Ben代墊|Ariel代墊|中信銀行共用""), REGEXMATCH(F7238, ""Ben帳戶|Elsa帳戶|Ben代墊|Ariel代墊|中信銀行共用"")), ""內部轉帳(忽略)"",
  AND(E7238&lt;&gt;"""", F7238&lt;&gt;"""", N"&amp;"OT(REGEXMATCH(C7238, ""薪資""))), ""內部轉帳(忽略)"",
  REGEXMATCH(C7238, ""薪資""), ""薪資變動(不計入)"",
  REGEXMATCH(C7238, ""押金""), ""押金往來"",
  AND(E7238&lt;&gt;"""", F7238=""""), ""真實支出"",
  AND(E7238="""", F7238&lt;&gt;""""), ""真實收入"",
  TRUE, ""其他""
)"),"其他")</f>
        <v>其他</v>
      </c>
      <c r="K7238" s="270" t="str">
        <f t="shared" si="2"/>
        <v/>
      </c>
      <c r="L7238">
        <f t="shared" si="3"/>
        <v>0</v>
      </c>
    </row>
    <row r="7239">
      <c r="A7239" s="107"/>
      <c r="D7239" s="270"/>
      <c r="H7239" s="106" t="str">
        <f t="shared" si="1"/>
        <v/>
      </c>
      <c r="J7239" t="str">
        <f>IFERROR(__xludf.DUMMYFUNCTION("IFS(
  AND(REGEXMATCH(E7239, ""台銀籌備帳戶|玉山帳戶""), REGEXMATCH(C7239, ""薪資"")), ""分潤支出"",
  AND(REGEXMATCH(E7239, ""Ben帳戶|Elsa帳戶|Ben代墊|Ariel代墊|中信銀行共用""), REGEXMATCH(F7239, ""Ben帳戶|Elsa帳戶|Ben代墊|Ariel代墊|中信銀行共用"")), ""內部轉帳(忽略)"",
  AND(E7239&lt;&gt;"""", F7239&lt;&gt;"""", N"&amp;"OT(REGEXMATCH(C7239, ""薪資""))), ""內部轉帳(忽略)"",
  REGEXMATCH(C7239, ""薪資""), ""薪資變動(不計入)"",
  REGEXMATCH(C7239, ""押金""), ""押金往來"",
  AND(E7239&lt;&gt;"""", F7239=""""), ""真實支出"",
  AND(E7239="""", F7239&lt;&gt;""""), ""真實收入"",
  TRUE, ""其他""
)"),"其他")</f>
        <v>其他</v>
      </c>
      <c r="K7239" s="270" t="str">
        <f t="shared" si="2"/>
        <v/>
      </c>
      <c r="L7239">
        <f t="shared" si="3"/>
        <v>0</v>
      </c>
    </row>
    <row r="7240">
      <c r="A7240" s="107"/>
      <c r="D7240" s="270"/>
      <c r="H7240" s="106" t="str">
        <f t="shared" si="1"/>
        <v/>
      </c>
      <c r="J7240" t="str">
        <f>IFERROR(__xludf.DUMMYFUNCTION("IFS(
  AND(REGEXMATCH(E7240, ""台銀籌備帳戶|玉山帳戶""), REGEXMATCH(C7240, ""薪資"")), ""分潤支出"",
  AND(REGEXMATCH(E7240, ""Ben帳戶|Elsa帳戶|Ben代墊|Ariel代墊|中信銀行共用""), REGEXMATCH(F7240, ""Ben帳戶|Elsa帳戶|Ben代墊|Ariel代墊|中信銀行共用"")), ""內部轉帳(忽略)"",
  AND(E7240&lt;&gt;"""", F7240&lt;&gt;"""", N"&amp;"OT(REGEXMATCH(C7240, ""薪資""))), ""內部轉帳(忽略)"",
  REGEXMATCH(C7240, ""薪資""), ""薪資變動(不計入)"",
  REGEXMATCH(C7240, ""押金""), ""押金往來"",
  AND(E7240&lt;&gt;"""", F7240=""""), ""真實支出"",
  AND(E7240="""", F7240&lt;&gt;""""), ""真實收入"",
  TRUE, ""其他""
)"),"其他")</f>
        <v>其他</v>
      </c>
      <c r="K7240" s="270" t="str">
        <f t="shared" si="2"/>
        <v/>
      </c>
      <c r="L7240">
        <f t="shared" si="3"/>
        <v>0</v>
      </c>
    </row>
    <row r="7241">
      <c r="A7241" s="107"/>
      <c r="D7241" s="270"/>
      <c r="H7241" s="106" t="str">
        <f t="shared" si="1"/>
        <v/>
      </c>
      <c r="J7241" t="str">
        <f>IFERROR(__xludf.DUMMYFUNCTION("IFS(
  AND(REGEXMATCH(E7241, ""台銀籌備帳戶|玉山帳戶""), REGEXMATCH(C7241, ""薪資"")), ""分潤支出"",
  AND(REGEXMATCH(E7241, ""Ben帳戶|Elsa帳戶|Ben代墊|Ariel代墊|中信銀行共用""), REGEXMATCH(F7241, ""Ben帳戶|Elsa帳戶|Ben代墊|Ariel代墊|中信銀行共用"")), ""內部轉帳(忽略)"",
  AND(E7241&lt;&gt;"""", F7241&lt;&gt;"""", N"&amp;"OT(REGEXMATCH(C7241, ""薪資""))), ""內部轉帳(忽略)"",
  REGEXMATCH(C7241, ""薪資""), ""薪資變動(不計入)"",
  REGEXMATCH(C7241, ""押金""), ""押金往來"",
  AND(E7241&lt;&gt;"""", F7241=""""), ""真實支出"",
  AND(E7241="""", F7241&lt;&gt;""""), ""真實收入"",
  TRUE, ""其他""
)"),"其他")</f>
        <v>其他</v>
      </c>
      <c r="K7241" s="270" t="str">
        <f t="shared" si="2"/>
        <v/>
      </c>
      <c r="L7241">
        <f t="shared" si="3"/>
        <v>0</v>
      </c>
    </row>
    <row r="7242">
      <c r="A7242" s="107"/>
      <c r="D7242" s="270"/>
      <c r="H7242" s="106" t="str">
        <f t="shared" si="1"/>
        <v/>
      </c>
      <c r="J7242" t="str">
        <f>IFERROR(__xludf.DUMMYFUNCTION("IFS(
  AND(REGEXMATCH(E7242, ""台銀籌備帳戶|玉山帳戶""), REGEXMATCH(C7242, ""薪資"")), ""分潤支出"",
  AND(REGEXMATCH(E7242, ""Ben帳戶|Elsa帳戶|Ben代墊|Ariel代墊|中信銀行共用""), REGEXMATCH(F7242, ""Ben帳戶|Elsa帳戶|Ben代墊|Ariel代墊|中信銀行共用"")), ""內部轉帳(忽略)"",
  AND(E7242&lt;&gt;"""", F7242&lt;&gt;"""", N"&amp;"OT(REGEXMATCH(C7242, ""薪資""))), ""內部轉帳(忽略)"",
  REGEXMATCH(C7242, ""薪資""), ""薪資變動(不計入)"",
  REGEXMATCH(C7242, ""押金""), ""押金往來"",
  AND(E7242&lt;&gt;"""", F7242=""""), ""真實支出"",
  AND(E7242="""", F7242&lt;&gt;""""), ""真實收入"",
  TRUE, ""其他""
)"),"其他")</f>
        <v>其他</v>
      </c>
      <c r="K7242" s="270" t="str">
        <f t="shared" si="2"/>
        <v/>
      </c>
      <c r="L7242">
        <f t="shared" si="3"/>
        <v>0</v>
      </c>
    </row>
    <row r="7243">
      <c r="A7243" s="107"/>
      <c r="D7243" s="270"/>
      <c r="H7243" s="106" t="str">
        <f t="shared" si="1"/>
        <v/>
      </c>
      <c r="J7243" t="str">
        <f>IFERROR(__xludf.DUMMYFUNCTION("IFS(
  AND(REGEXMATCH(E7243, ""台銀籌備帳戶|玉山帳戶""), REGEXMATCH(C7243, ""薪資"")), ""分潤支出"",
  AND(REGEXMATCH(E7243, ""Ben帳戶|Elsa帳戶|Ben代墊|Ariel代墊|中信銀行共用""), REGEXMATCH(F7243, ""Ben帳戶|Elsa帳戶|Ben代墊|Ariel代墊|中信銀行共用"")), ""內部轉帳(忽略)"",
  AND(E7243&lt;&gt;"""", F7243&lt;&gt;"""", N"&amp;"OT(REGEXMATCH(C7243, ""薪資""))), ""內部轉帳(忽略)"",
  REGEXMATCH(C7243, ""薪資""), ""薪資變動(不計入)"",
  REGEXMATCH(C7243, ""押金""), ""押金往來"",
  AND(E7243&lt;&gt;"""", F7243=""""), ""真實支出"",
  AND(E7243="""", F7243&lt;&gt;""""), ""真實收入"",
  TRUE, ""其他""
)"),"其他")</f>
        <v>其他</v>
      </c>
      <c r="K7243" s="270" t="str">
        <f t="shared" si="2"/>
        <v/>
      </c>
      <c r="L7243">
        <f t="shared" si="3"/>
        <v>0</v>
      </c>
    </row>
    <row r="7244">
      <c r="A7244" s="107"/>
      <c r="D7244" s="270"/>
      <c r="H7244" s="106" t="str">
        <f t="shared" si="1"/>
        <v/>
      </c>
      <c r="J7244" t="str">
        <f>IFERROR(__xludf.DUMMYFUNCTION("IFS(
  AND(REGEXMATCH(E7244, ""台銀籌備帳戶|玉山帳戶""), REGEXMATCH(C7244, ""薪資"")), ""分潤支出"",
  AND(REGEXMATCH(E7244, ""Ben帳戶|Elsa帳戶|Ben代墊|Ariel代墊|中信銀行共用""), REGEXMATCH(F7244, ""Ben帳戶|Elsa帳戶|Ben代墊|Ariel代墊|中信銀行共用"")), ""內部轉帳(忽略)"",
  AND(E7244&lt;&gt;"""", F7244&lt;&gt;"""", N"&amp;"OT(REGEXMATCH(C7244, ""薪資""))), ""內部轉帳(忽略)"",
  REGEXMATCH(C7244, ""薪資""), ""薪資變動(不計入)"",
  REGEXMATCH(C7244, ""押金""), ""押金往來"",
  AND(E7244&lt;&gt;"""", F7244=""""), ""真實支出"",
  AND(E7244="""", F7244&lt;&gt;""""), ""真實收入"",
  TRUE, ""其他""
)"),"其他")</f>
        <v>其他</v>
      </c>
      <c r="K7244" s="270" t="str">
        <f t="shared" si="2"/>
        <v/>
      </c>
      <c r="L7244">
        <f t="shared" si="3"/>
        <v>0</v>
      </c>
    </row>
    <row r="7245">
      <c r="A7245" s="107"/>
      <c r="D7245" s="270"/>
      <c r="H7245" s="106" t="str">
        <f t="shared" si="1"/>
        <v/>
      </c>
      <c r="J7245" t="str">
        <f>IFERROR(__xludf.DUMMYFUNCTION("IFS(
  AND(REGEXMATCH(E7245, ""台銀籌備帳戶|玉山帳戶""), REGEXMATCH(C7245, ""薪資"")), ""分潤支出"",
  AND(REGEXMATCH(E7245, ""Ben帳戶|Elsa帳戶|Ben代墊|Ariel代墊|中信銀行共用""), REGEXMATCH(F7245, ""Ben帳戶|Elsa帳戶|Ben代墊|Ariel代墊|中信銀行共用"")), ""內部轉帳(忽略)"",
  AND(E7245&lt;&gt;"""", F7245&lt;&gt;"""", N"&amp;"OT(REGEXMATCH(C7245, ""薪資""))), ""內部轉帳(忽略)"",
  REGEXMATCH(C7245, ""薪資""), ""薪資變動(不計入)"",
  REGEXMATCH(C7245, ""押金""), ""押金往來"",
  AND(E7245&lt;&gt;"""", F7245=""""), ""真實支出"",
  AND(E7245="""", F7245&lt;&gt;""""), ""真實收入"",
  TRUE, ""其他""
)"),"其他")</f>
        <v>其他</v>
      </c>
      <c r="K7245" s="270" t="str">
        <f t="shared" si="2"/>
        <v/>
      </c>
      <c r="L7245">
        <f t="shared" si="3"/>
        <v>0</v>
      </c>
    </row>
    <row r="7246">
      <c r="A7246" s="107"/>
      <c r="D7246" s="270"/>
      <c r="H7246" s="106" t="str">
        <f t="shared" si="1"/>
        <v/>
      </c>
      <c r="J7246" t="str">
        <f>IFERROR(__xludf.DUMMYFUNCTION("IFS(
  AND(REGEXMATCH(E7246, ""台銀籌備帳戶|玉山帳戶""), REGEXMATCH(C7246, ""薪資"")), ""分潤支出"",
  AND(REGEXMATCH(E7246, ""Ben帳戶|Elsa帳戶|Ben代墊|Ariel代墊|中信銀行共用""), REGEXMATCH(F7246, ""Ben帳戶|Elsa帳戶|Ben代墊|Ariel代墊|中信銀行共用"")), ""內部轉帳(忽略)"",
  AND(E7246&lt;&gt;"""", F7246&lt;&gt;"""", N"&amp;"OT(REGEXMATCH(C7246, ""薪資""))), ""內部轉帳(忽略)"",
  REGEXMATCH(C7246, ""薪資""), ""薪資變動(不計入)"",
  REGEXMATCH(C7246, ""押金""), ""押金往來"",
  AND(E7246&lt;&gt;"""", F7246=""""), ""真實支出"",
  AND(E7246="""", F7246&lt;&gt;""""), ""真實收入"",
  TRUE, ""其他""
)"),"其他")</f>
        <v>其他</v>
      </c>
      <c r="K7246" s="270" t="str">
        <f t="shared" si="2"/>
        <v/>
      </c>
      <c r="L7246">
        <f t="shared" si="3"/>
        <v>0</v>
      </c>
    </row>
    <row r="7247">
      <c r="A7247" s="107"/>
      <c r="D7247" s="270"/>
      <c r="H7247" s="106" t="str">
        <f t="shared" si="1"/>
        <v/>
      </c>
      <c r="J7247" t="str">
        <f>IFERROR(__xludf.DUMMYFUNCTION("IFS(
  AND(REGEXMATCH(E7247, ""台銀籌備帳戶|玉山帳戶""), REGEXMATCH(C7247, ""薪資"")), ""分潤支出"",
  AND(REGEXMATCH(E7247, ""Ben帳戶|Elsa帳戶|Ben代墊|Ariel代墊|中信銀行共用""), REGEXMATCH(F7247, ""Ben帳戶|Elsa帳戶|Ben代墊|Ariel代墊|中信銀行共用"")), ""內部轉帳(忽略)"",
  AND(E7247&lt;&gt;"""", F7247&lt;&gt;"""", N"&amp;"OT(REGEXMATCH(C7247, ""薪資""))), ""內部轉帳(忽略)"",
  REGEXMATCH(C7247, ""薪資""), ""薪資變動(不計入)"",
  REGEXMATCH(C7247, ""押金""), ""押金往來"",
  AND(E7247&lt;&gt;"""", F7247=""""), ""真實支出"",
  AND(E7247="""", F7247&lt;&gt;""""), ""真實收入"",
  TRUE, ""其他""
)"),"其他")</f>
        <v>其他</v>
      </c>
      <c r="K7247" s="270" t="str">
        <f t="shared" si="2"/>
        <v/>
      </c>
      <c r="L7247">
        <f t="shared" si="3"/>
        <v>0</v>
      </c>
    </row>
    <row r="7248">
      <c r="A7248" s="107"/>
      <c r="D7248" s="270"/>
      <c r="H7248" s="106" t="str">
        <f t="shared" si="1"/>
        <v/>
      </c>
      <c r="J7248" t="str">
        <f>IFERROR(__xludf.DUMMYFUNCTION("IFS(
  AND(REGEXMATCH(E7248, ""台銀籌備帳戶|玉山帳戶""), REGEXMATCH(C7248, ""薪資"")), ""分潤支出"",
  AND(REGEXMATCH(E7248, ""Ben帳戶|Elsa帳戶|Ben代墊|Ariel代墊|中信銀行共用""), REGEXMATCH(F7248, ""Ben帳戶|Elsa帳戶|Ben代墊|Ariel代墊|中信銀行共用"")), ""內部轉帳(忽略)"",
  AND(E7248&lt;&gt;"""", F7248&lt;&gt;"""", N"&amp;"OT(REGEXMATCH(C7248, ""薪資""))), ""內部轉帳(忽略)"",
  REGEXMATCH(C7248, ""薪資""), ""薪資變動(不計入)"",
  REGEXMATCH(C7248, ""押金""), ""押金往來"",
  AND(E7248&lt;&gt;"""", F7248=""""), ""真實支出"",
  AND(E7248="""", F7248&lt;&gt;""""), ""真實收入"",
  TRUE, ""其他""
)"),"其他")</f>
        <v>其他</v>
      </c>
      <c r="K7248" s="270" t="str">
        <f t="shared" si="2"/>
        <v/>
      </c>
      <c r="L7248">
        <f t="shared" si="3"/>
        <v>0</v>
      </c>
    </row>
    <row r="7249">
      <c r="A7249" s="107"/>
      <c r="D7249" s="270"/>
      <c r="H7249" s="106" t="str">
        <f t="shared" si="1"/>
        <v/>
      </c>
      <c r="J7249" t="str">
        <f>IFERROR(__xludf.DUMMYFUNCTION("IFS(
  AND(REGEXMATCH(E7249, ""台銀籌備帳戶|玉山帳戶""), REGEXMATCH(C7249, ""薪資"")), ""分潤支出"",
  AND(REGEXMATCH(E7249, ""Ben帳戶|Elsa帳戶|Ben代墊|Ariel代墊|中信銀行共用""), REGEXMATCH(F7249, ""Ben帳戶|Elsa帳戶|Ben代墊|Ariel代墊|中信銀行共用"")), ""內部轉帳(忽略)"",
  AND(E7249&lt;&gt;"""", F7249&lt;&gt;"""", N"&amp;"OT(REGEXMATCH(C7249, ""薪資""))), ""內部轉帳(忽略)"",
  REGEXMATCH(C7249, ""薪資""), ""薪資變動(不計入)"",
  REGEXMATCH(C7249, ""押金""), ""押金往來"",
  AND(E7249&lt;&gt;"""", F7249=""""), ""真實支出"",
  AND(E7249="""", F7249&lt;&gt;""""), ""真實收入"",
  TRUE, ""其他""
)"),"其他")</f>
        <v>其他</v>
      </c>
      <c r="K7249" s="270" t="str">
        <f t="shared" si="2"/>
        <v/>
      </c>
      <c r="L7249">
        <f t="shared" si="3"/>
        <v>0</v>
      </c>
    </row>
    <row r="7250">
      <c r="A7250" s="107"/>
      <c r="D7250" s="270"/>
      <c r="H7250" s="106" t="str">
        <f t="shared" si="1"/>
        <v/>
      </c>
      <c r="J7250" t="str">
        <f>IFERROR(__xludf.DUMMYFUNCTION("IFS(
  AND(REGEXMATCH(E7250, ""台銀籌備帳戶|玉山帳戶""), REGEXMATCH(C7250, ""薪資"")), ""分潤支出"",
  AND(REGEXMATCH(E7250, ""Ben帳戶|Elsa帳戶|Ben代墊|Ariel代墊|中信銀行共用""), REGEXMATCH(F7250, ""Ben帳戶|Elsa帳戶|Ben代墊|Ariel代墊|中信銀行共用"")), ""內部轉帳(忽略)"",
  AND(E7250&lt;&gt;"""", F7250&lt;&gt;"""", N"&amp;"OT(REGEXMATCH(C7250, ""薪資""))), ""內部轉帳(忽略)"",
  REGEXMATCH(C7250, ""薪資""), ""薪資變動(不計入)"",
  REGEXMATCH(C7250, ""押金""), ""押金往來"",
  AND(E7250&lt;&gt;"""", F7250=""""), ""真實支出"",
  AND(E7250="""", F7250&lt;&gt;""""), ""真實收入"",
  TRUE, ""其他""
)"),"其他")</f>
        <v>其他</v>
      </c>
      <c r="K7250" s="270" t="str">
        <f t="shared" si="2"/>
        <v/>
      </c>
      <c r="L7250">
        <f t="shared" si="3"/>
        <v>0</v>
      </c>
    </row>
    <row r="7251">
      <c r="A7251" s="107"/>
      <c r="D7251" s="270"/>
      <c r="H7251" s="106" t="str">
        <f t="shared" si="1"/>
        <v/>
      </c>
      <c r="J7251" t="str">
        <f>IFERROR(__xludf.DUMMYFUNCTION("IFS(
  AND(REGEXMATCH(E7251, ""台銀籌備帳戶|玉山帳戶""), REGEXMATCH(C7251, ""薪資"")), ""分潤支出"",
  AND(REGEXMATCH(E7251, ""Ben帳戶|Elsa帳戶|Ben代墊|Ariel代墊|中信銀行共用""), REGEXMATCH(F7251, ""Ben帳戶|Elsa帳戶|Ben代墊|Ariel代墊|中信銀行共用"")), ""內部轉帳(忽略)"",
  AND(E7251&lt;&gt;"""", F7251&lt;&gt;"""", N"&amp;"OT(REGEXMATCH(C7251, ""薪資""))), ""內部轉帳(忽略)"",
  REGEXMATCH(C7251, ""薪資""), ""薪資變動(不計入)"",
  REGEXMATCH(C7251, ""押金""), ""押金往來"",
  AND(E7251&lt;&gt;"""", F7251=""""), ""真實支出"",
  AND(E7251="""", F7251&lt;&gt;""""), ""真實收入"",
  TRUE, ""其他""
)"),"其他")</f>
        <v>其他</v>
      </c>
      <c r="K7251" s="270" t="str">
        <f t="shared" si="2"/>
        <v/>
      </c>
      <c r="L7251">
        <f t="shared" si="3"/>
        <v>0</v>
      </c>
    </row>
    <row r="7252">
      <c r="A7252" s="107"/>
      <c r="D7252" s="270"/>
      <c r="H7252" s="106" t="str">
        <f t="shared" si="1"/>
        <v/>
      </c>
      <c r="J7252" t="str">
        <f>IFERROR(__xludf.DUMMYFUNCTION("IFS(
  AND(REGEXMATCH(E7252, ""台銀籌備帳戶|玉山帳戶""), REGEXMATCH(C7252, ""薪資"")), ""分潤支出"",
  AND(REGEXMATCH(E7252, ""Ben帳戶|Elsa帳戶|Ben代墊|Ariel代墊|中信銀行共用""), REGEXMATCH(F7252, ""Ben帳戶|Elsa帳戶|Ben代墊|Ariel代墊|中信銀行共用"")), ""內部轉帳(忽略)"",
  AND(E7252&lt;&gt;"""", F7252&lt;&gt;"""", N"&amp;"OT(REGEXMATCH(C7252, ""薪資""))), ""內部轉帳(忽略)"",
  REGEXMATCH(C7252, ""薪資""), ""薪資變動(不計入)"",
  REGEXMATCH(C7252, ""押金""), ""押金往來"",
  AND(E7252&lt;&gt;"""", F7252=""""), ""真實支出"",
  AND(E7252="""", F7252&lt;&gt;""""), ""真實收入"",
  TRUE, ""其他""
)"),"其他")</f>
        <v>其他</v>
      </c>
      <c r="K7252" s="270" t="str">
        <f t="shared" si="2"/>
        <v/>
      </c>
      <c r="L7252">
        <f t="shared" si="3"/>
        <v>0</v>
      </c>
    </row>
    <row r="7253">
      <c r="A7253" s="107"/>
      <c r="D7253" s="270"/>
      <c r="H7253" s="106" t="str">
        <f t="shared" si="1"/>
        <v/>
      </c>
      <c r="J7253" t="str">
        <f>IFERROR(__xludf.DUMMYFUNCTION("IFS(
  AND(REGEXMATCH(E7253, ""台銀籌備帳戶|玉山帳戶""), REGEXMATCH(C7253, ""薪資"")), ""分潤支出"",
  AND(REGEXMATCH(E7253, ""Ben帳戶|Elsa帳戶|Ben代墊|Ariel代墊|中信銀行共用""), REGEXMATCH(F7253, ""Ben帳戶|Elsa帳戶|Ben代墊|Ariel代墊|中信銀行共用"")), ""內部轉帳(忽略)"",
  AND(E7253&lt;&gt;"""", F7253&lt;&gt;"""", N"&amp;"OT(REGEXMATCH(C7253, ""薪資""))), ""內部轉帳(忽略)"",
  REGEXMATCH(C7253, ""薪資""), ""薪資變動(不計入)"",
  REGEXMATCH(C7253, ""押金""), ""押金往來"",
  AND(E7253&lt;&gt;"""", F7253=""""), ""真實支出"",
  AND(E7253="""", F7253&lt;&gt;""""), ""真實收入"",
  TRUE, ""其他""
)"),"其他")</f>
        <v>其他</v>
      </c>
      <c r="K7253" s="270" t="str">
        <f t="shared" si="2"/>
        <v/>
      </c>
      <c r="L7253">
        <f t="shared" si="3"/>
        <v>0</v>
      </c>
    </row>
    <row r="7254">
      <c r="A7254" s="107"/>
      <c r="D7254" s="270"/>
      <c r="H7254" s="106" t="str">
        <f t="shared" si="1"/>
        <v/>
      </c>
      <c r="J7254" t="str">
        <f>IFERROR(__xludf.DUMMYFUNCTION("IFS(
  AND(REGEXMATCH(E7254, ""台銀籌備帳戶|玉山帳戶""), REGEXMATCH(C7254, ""薪資"")), ""分潤支出"",
  AND(REGEXMATCH(E7254, ""Ben帳戶|Elsa帳戶|Ben代墊|Ariel代墊|中信銀行共用""), REGEXMATCH(F7254, ""Ben帳戶|Elsa帳戶|Ben代墊|Ariel代墊|中信銀行共用"")), ""內部轉帳(忽略)"",
  AND(E7254&lt;&gt;"""", F7254&lt;&gt;"""", N"&amp;"OT(REGEXMATCH(C7254, ""薪資""))), ""內部轉帳(忽略)"",
  REGEXMATCH(C7254, ""薪資""), ""薪資變動(不計入)"",
  REGEXMATCH(C7254, ""押金""), ""押金往來"",
  AND(E7254&lt;&gt;"""", F7254=""""), ""真實支出"",
  AND(E7254="""", F7254&lt;&gt;""""), ""真實收入"",
  TRUE, ""其他""
)"),"其他")</f>
        <v>其他</v>
      </c>
      <c r="K7254" s="270" t="str">
        <f t="shared" si="2"/>
        <v/>
      </c>
      <c r="L7254">
        <f t="shared" si="3"/>
        <v>0</v>
      </c>
    </row>
    <row r="7255">
      <c r="A7255" s="107"/>
      <c r="D7255" s="270"/>
      <c r="H7255" s="106" t="str">
        <f t="shared" si="1"/>
        <v/>
      </c>
      <c r="J7255" t="str">
        <f>IFERROR(__xludf.DUMMYFUNCTION("IFS(
  AND(REGEXMATCH(E7255, ""台銀籌備帳戶|玉山帳戶""), REGEXMATCH(C7255, ""薪資"")), ""分潤支出"",
  AND(REGEXMATCH(E7255, ""Ben帳戶|Elsa帳戶|Ben代墊|Ariel代墊|中信銀行共用""), REGEXMATCH(F7255, ""Ben帳戶|Elsa帳戶|Ben代墊|Ariel代墊|中信銀行共用"")), ""內部轉帳(忽略)"",
  AND(E7255&lt;&gt;"""", F7255&lt;&gt;"""", N"&amp;"OT(REGEXMATCH(C7255, ""薪資""))), ""內部轉帳(忽略)"",
  REGEXMATCH(C7255, ""薪資""), ""薪資變動(不計入)"",
  REGEXMATCH(C7255, ""押金""), ""押金往來"",
  AND(E7255&lt;&gt;"""", F7255=""""), ""真實支出"",
  AND(E7255="""", F7255&lt;&gt;""""), ""真實收入"",
  TRUE, ""其他""
)"),"其他")</f>
        <v>其他</v>
      </c>
      <c r="K7255" s="270" t="str">
        <f t="shared" si="2"/>
        <v/>
      </c>
      <c r="L7255">
        <f t="shared" si="3"/>
        <v>0</v>
      </c>
    </row>
    <row r="7256">
      <c r="A7256" s="107"/>
      <c r="D7256" s="270"/>
      <c r="H7256" s="106" t="str">
        <f t="shared" si="1"/>
        <v/>
      </c>
      <c r="J7256" t="str">
        <f>IFERROR(__xludf.DUMMYFUNCTION("IFS(
  AND(REGEXMATCH(E7256, ""台銀籌備帳戶|玉山帳戶""), REGEXMATCH(C7256, ""薪資"")), ""分潤支出"",
  AND(REGEXMATCH(E7256, ""Ben帳戶|Elsa帳戶|Ben代墊|Ariel代墊|中信銀行共用""), REGEXMATCH(F7256, ""Ben帳戶|Elsa帳戶|Ben代墊|Ariel代墊|中信銀行共用"")), ""內部轉帳(忽略)"",
  AND(E7256&lt;&gt;"""", F7256&lt;&gt;"""", N"&amp;"OT(REGEXMATCH(C7256, ""薪資""))), ""內部轉帳(忽略)"",
  REGEXMATCH(C7256, ""薪資""), ""薪資變動(不計入)"",
  REGEXMATCH(C7256, ""押金""), ""押金往來"",
  AND(E7256&lt;&gt;"""", F7256=""""), ""真實支出"",
  AND(E7256="""", F7256&lt;&gt;""""), ""真實收入"",
  TRUE, ""其他""
)"),"其他")</f>
        <v>其他</v>
      </c>
      <c r="K7256" s="270" t="str">
        <f t="shared" si="2"/>
        <v/>
      </c>
      <c r="L7256">
        <f t="shared" si="3"/>
        <v>0</v>
      </c>
    </row>
    <row r="7257">
      <c r="A7257" s="107"/>
      <c r="D7257" s="270"/>
      <c r="H7257" s="106" t="str">
        <f t="shared" si="1"/>
        <v/>
      </c>
      <c r="J7257" t="str">
        <f>IFERROR(__xludf.DUMMYFUNCTION("IFS(
  AND(REGEXMATCH(E7257, ""台銀籌備帳戶|玉山帳戶""), REGEXMATCH(C7257, ""薪資"")), ""分潤支出"",
  AND(REGEXMATCH(E7257, ""Ben帳戶|Elsa帳戶|Ben代墊|Ariel代墊|中信銀行共用""), REGEXMATCH(F7257, ""Ben帳戶|Elsa帳戶|Ben代墊|Ariel代墊|中信銀行共用"")), ""內部轉帳(忽略)"",
  AND(E7257&lt;&gt;"""", F7257&lt;&gt;"""", N"&amp;"OT(REGEXMATCH(C7257, ""薪資""))), ""內部轉帳(忽略)"",
  REGEXMATCH(C7257, ""薪資""), ""薪資變動(不計入)"",
  REGEXMATCH(C7257, ""押金""), ""押金往來"",
  AND(E7257&lt;&gt;"""", F7257=""""), ""真實支出"",
  AND(E7257="""", F7257&lt;&gt;""""), ""真實收入"",
  TRUE, ""其他""
)"),"其他")</f>
        <v>其他</v>
      </c>
      <c r="K7257" s="270" t="str">
        <f t="shared" si="2"/>
        <v/>
      </c>
      <c r="L7257">
        <f t="shared" si="3"/>
        <v>0</v>
      </c>
    </row>
    <row r="7258">
      <c r="A7258" s="107"/>
      <c r="D7258" s="270"/>
      <c r="H7258" s="106" t="str">
        <f t="shared" si="1"/>
        <v/>
      </c>
      <c r="J7258" t="str">
        <f>IFERROR(__xludf.DUMMYFUNCTION("IFS(
  AND(REGEXMATCH(E7258, ""台銀籌備帳戶|玉山帳戶""), REGEXMATCH(C7258, ""薪資"")), ""分潤支出"",
  AND(REGEXMATCH(E7258, ""Ben帳戶|Elsa帳戶|Ben代墊|Ariel代墊|中信銀行共用""), REGEXMATCH(F7258, ""Ben帳戶|Elsa帳戶|Ben代墊|Ariel代墊|中信銀行共用"")), ""內部轉帳(忽略)"",
  AND(E7258&lt;&gt;"""", F7258&lt;&gt;"""", N"&amp;"OT(REGEXMATCH(C7258, ""薪資""))), ""內部轉帳(忽略)"",
  REGEXMATCH(C7258, ""薪資""), ""薪資變動(不計入)"",
  REGEXMATCH(C7258, ""押金""), ""押金往來"",
  AND(E7258&lt;&gt;"""", F7258=""""), ""真實支出"",
  AND(E7258="""", F7258&lt;&gt;""""), ""真實收入"",
  TRUE, ""其他""
)"),"其他")</f>
        <v>其他</v>
      </c>
      <c r="K7258" s="270" t="str">
        <f t="shared" si="2"/>
        <v/>
      </c>
      <c r="L7258">
        <f t="shared" si="3"/>
        <v>0</v>
      </c>
    </row>
    <row r="7259">
      <c r="A7259" s="107"/>
      <c r="D7259" s="270"/>
      <c r="H7259" s="106" t="str">
        <f t="shared" si="1"/>
        <v/>
      </c>
      <c r="J7259" t="str">
        <f>IFERROR(__xludf.DUMMYFUNCTION("IFS(
  AND(REGEXMATCH(E7259, ""台銀籌備帳戶|玉山帳戶""), REGEXMATCH(C7259, ""薪資"")), ""分潤支出"",
  AND(REGEXMATCH(E7259, ""Ben帳戶|Elsa帳戶|Ben代墊|Ariel代墊|中信銀行共用""), REGEXMATCH(F7259, ""Ben帳戶|Elsa帳戶|Ben代墊|Ariel代墊|中信銀行共用"")), ""內部轉帳(忽略)"",
  AND(E7259&lt;&gt;"""", F7259&lt;&gt;"""", N"&amp;"OT(REGEXMATCH(C7259, ""薪資""))), ""內部轉帳(忽略)"",
  REGEXMATCH(C7259, ""薪資""), ""薪資變動(不計入)"",
  REGEXMATCH(C7259, ""押金""), ""押金往來"",
  AND(E7259&lt;&gt;"""", F7259=""""), ""真實支出"",
  AND(E7259="""", F7259&lt;&gt;""""), ""真實收入"",
  TRUE, ""其他""
)"),"其他")</f>
        <v>其他</v>
      </c>
      <c r="K7259" s="270" t="str">
        <f t="shared" si="2"/>
        <v/>
      </c>
      <c r="L7259">
        <f t="shared" si="3"/>
        <v>0</v>
      </c>
    </row>
    <row r="7260">
      <c r="A7260" s="107"/>
      <c r="D7260" s="270"/>
      <c r="H7260" s="106" t="str">
        <f t="shared" si="1"/>
        <v/>
      </c>
      <c r="J7260" t="str">
        <f>IFERROR(__xludf.DUMMYFUNCTION("IFS(
  AND(REGEXMATCH(E7260, ""台銀籌備帳戶|玉山帳戶""), REGEXMATCH(C7260, ""薪資"")), ""分潤支出"",
  AND(REGEXMATCH(E7260, ""Ben帳戶|Elsa帳戶|Ben代墊|Ariel代墊|中信銀行共用""), REGEXMATCH(F7260, ""Ben帳戶|Elsa帳戶|Ben代墊|Ariel代墊|中信銀行共用"")), ""內部轉帳(忽略)"",
  AND(E7260&lt;&gt;"""", F7260&lt;&gt;"""", N"&amp;"OT(REGEXMATCH(C7260, ""薪資""))), ""內部轉帳(忽略)"",
  REGEXMATCH(C7260, ""薪資""), ""薪資變動(不計入)"",
  REGEXMATCH(C7260, ""押金""), ""押金往來"",
  AND(E7260&lt;&gt;"""", F7260=""""), ""真實支出"",
  AND(E7260="""", F7260&lt;&gt;""""), ""真實收入"",
  TRUE, ""其他""
)"),"其他")</f>
        <v>其他</v>
      </c>
      <c r="K7260" s="270" t="str">
        <f t="shared" si="2"/>
        <v/>
      </c>
      <c r="L7260">
        <f t="shared" si="3"/>
        <v>0</v>
      </c>
    </row>
    <row r="7261">
      <c r="A7261" s="107"/>
      <c r="D7261" s="270"/>
      <c r="H7261" s="106" t="str">
        <f t="shared" si="1"/>
        <v/>
      </c>
      <c r="J7261" t="str">
        <f>IFERROR(__xludf.DUMMYFUNCTION("IFS(
  AND(REGEXMATCH(E7261, ""台銀籌備帳戶|玉山帳戶""), REGEXMATCH(C7261, ""薪資"")), ""分潤支出"",
  AND(REGEXMATCH(E7261, ""Ben帳戶|Elsa帳戶|Ben代墊|Ariel代墊|中信銀行共用""), REGEXMATCH(F7261, ""Ben帳戶|Elsa帳戶|Ben代墊|Ariel代墊|中信銀行共用"")), ""內部轉帳(忽略)"",
  AND(E7261&lt;&gt;"""", F7261&lt;&gt;"""", N"&amp;"OT(REGEXMATCH(C7261, ""薪資""))), ""內部轉帳(忽略)"",
  REGEXMATCH(C7261, ""薪資""), ""薪資變動(不計入)"",
  REGEXMATCH(C7261, ""押金""), ""押金往來"",
  AND(E7261&lt;&gt;"""", F7261=""""), ""真實支出"",
  AND(E7261="""", F7261&lt;&gt;""""), ""真實收入"",
  TRUE, ""其他""
)"),"其他")</f>
        <v>其他</v>
      </c>
      <c r="K7261" s="270" t="str">
        <f t="shared" si="2"/>
        <v/>
      </c>
      <c r="L7261">
        <f t="shared" si="3"/>
        <v>0</v>
      </c>
    </row>
    <row r="7262">
      <c r="A7262" s="107"/>
      <c r="D7262" s="270"/>
      <c r="H7262" s="106" t="str">
        <f t="shared" si="1"/>
        <v/>
      </c>
      <c r="J7262" t="str">
        <f>IFERROR(__xludf.DUMMYFUNCTION("IFS(
  AND(REGEXMATCH(E7262, ""台銀籌備帳戶|玉山帳戶""), REGEXMATCH(C7262, ""薪資"")), ""分潤支出"",
  AND(REGEXMATCH(E7262, ""Ben帳戶|Elsa帳戶|Ben代墊|Ariel代墊|中信銀行共用""), REGEXMATCH(F7262, ""Ben帳戶|Elsa帳戶|Ben代墊|Ariel代墊|中信銀行共用"")), ""內部轉帳(忽略)"",
  AND(E7262&lt;&gt;"""", F7262&lt;&gt;"""", N"&amp;"OT(REGEXMATCH(C7262, ""薪資""))), ""內部轉帳(忽略)"",
  REGEXMATCH(C7262, ""薪資""), ""薪資變動(不計入)"",
  REGEXMATCH(C7262, ""押金""), ""押金往來"",
  AND(E7262&lt;&gt;"""", F7262=""""), ""真實支出"",
  AND(E7262="""", F7262&lt;&gt;""""), ""真實收入"",
  TRUE, ""其他""
)"),"其他")</f>
        <v>其他</v>
      </c>
      <c r="K7262" s="270" t="str">
        <f t="shared" si="2"/>
        <v/>
      </c>
      <c r="L7262">
        <f t="shared" si="3"/>
        <v>0</v>
      </c>
    </row>
    <row r="7263">
      <c r="A7263" s="107"/>
      <c r="D7263" s="270"/>
      <c r="H7263" s="106" t="str">
        <f t="shared" si="1"/>
        <v/>
      </c>
      <c r="J7263" t="str">
        <f>IFERROR(__xludf.DUMMYFUNCTION("IFS(
  AND(REGEXMATCH(E7263, ""台銀籌備帳戶|玉山帳戶""), REGEXMATCH(C7263, ""薪資"")), ""分潤支出"",
  AND(REGEXMATCH(E7263, ""Ben帳戶|Elsa帳戶|Ben代墊|Ariel代墊|中信銀行共用""), REGEXMATCH(F7263, ""Ben帳戶|Elsa帳戶|Ben代墊|Ariel代墊|中信銀行共用"")), ""內部轉帳(忽略)"",
  AND(E7263&lt;&gt;"""", F7263&lt;&gt;"""", N"&amp;"OT(REGEXMATCH(C7263, ""薪資""))), ""內部轉帳(忽略)"",
  REGEXMATCH(C7263, ""薪資""), ""薪資變動(不計入)"",
  REGEXMATCH(C7263, ""押金""), ""押金往來"",
  AND(E7263&lt;&gt;"""", F7263=""""), ""真實支出"",
  AND(E7263="""", F7263&lt;&gt;""""), ""真實收入"",
  TRUE, ""其他""
)"),"其他")</f>
        <v>其他</v>
      </c>
      <c r="K7263" s="270" t="str">
        <f t="shared" si="2"/>
        <v/>
      </c>
      <c r="L7263">
        <f t="shared" si="3"/>
        <v>0</v>
      </c>
    </row>
    <row r="7264">
      <c r="A7264" s="107"/>
      <c r="D7264" s="270"/>
      <c r="H7264" s="106" t="str">
        <f t="shared" si="1"/>
        <v/>
      </c>
      <c r="J7264" t="str">
        <f>IFERROR(__xludf.DUMMYFUNCTION("IFS(
  AND(REGEXMATCH(E7264, ""台銀籌備帳戶|玉山帳戶""), REGEXMATCH(C7264, ""薪資"")), ""分潤支出"",
  AND(REGEXMATCH(E7264, ""Ben帳戶|Elsa帳戶|Ben代墊|Ariel代墊|中信銀行共用""), REGEXMATCH(F7264, ""Ben帳戶|Elsa帳戶|Ben代墊|Ariel代墊|中信銀行共用"")), ""內部轉帳(忽略)"",
  AND(E7264&lt;&gt;"""", F7264&lt;&gt;"""", N"&amp;"OT(REGEXMATCH(C7264, ""薪資""))), ""內部轉帳(忽略)"",
  REGEXMATCH(C7264, ""薪資""), ""薪資變動(不計入)"",
  REGEXMATCH(C7264, ""押金""), ""押金往來"",
  AND(E7264&lt;&gt;"""", F7264=""""), ""真實支出"",
  AND(E7264="""", F7264&lt;&gt;""""), ""真實收入"",
  TRUE, ""其他""
)"),"其他")</f>
        <v>其他</v>
      </c>
      <c r="K7264" s="270" t="str">
        <f t="shared" si="2"/>
        <v/>
      </c>
      <c r="L7264">
        <f t="shared" si="3"/>
        <v>0</v>
      </c>
    </row>
    <row r="7265">
      <c r="A7265" s="107"/>
      <c r="D7265" s="270"/>
      <c r="H7265" s="106" t="str">
        <f t="shared" si="1"/>
        <v/>
      </c>
      <c r="J7265" t="str">
        <f>IFERROR(__xludf.DUMMYFUNCTION("IFS(
  AND(REGEXMATCH(E7265, ""台銀籌備帳戶|玉山帳戶""), REGEXMATCH(C7265, ""薪資"")), ""分潤支出"",
  AND(REGEXMATCH(E7265, ""Ben帳戶|Elsa帳戶|Ben代墊|Ariel代墊|中信銀行共用""), REGEXMATCH(F7265, ""Ben帳戶|Elsa帳戶|Ben代墊|Ariel代墊|中信銀行共用"")), ""內部轉帳(忽略)"",
  AND(E7265&lt;&gt;"""", F7265&lt;&gt;"""", N"&amp;"OT(REGEXMATCH(C7265, ""薪資""))), ""內部轉帳(忽略)"",
  REGEXMATCH(C7265, ""薪資""), ""薪資變動(不計入)"",
  REGEXMATCH(C7265, ""押金""), ""押金往來"",
  AND(E7265&lt;&gt;"""", F7265=""""), ""真實支出"",
  AND(E7265="""", F7265&lt;&gt;""""), ""真實收入"",
  TRUE, ""其他""
)"),"其他")</f>
        <v>其他</v>
      </c>
      <c r="K7265" s="270" t="str">
        <f t="shared" si="2"/>
        <v/>
      </c>
      <c r="L7265">
        <f t="shared" si="3"/>
        <v>0</v>
      </c>
    </row>
    <row r="7266">
      <c r="A7266" s="107"/>
      <c r="D7266" s="270"/>
      <c r="H7266" s="106" t="str">
        <f t="shared" si="1"/>
        <v/>
      </c>
      <c r="J7266" t="str">
        <f>IFERROR(__xludf.DUMMYFUNCTION("IFS(
  AND(REGEXMATCH(E7266, ""台銀籌備帳戶|玉山帳戶""), REGEXMATCH(C7266, ""薪資"")), ""分潤支出"",
  AND(REGEXMATCH(E7266, ""Ben帳戶|Elsa帳戶|Ben代墊|Ariel代墊|中信銀行共用""), REGEXMATCH(F7266, ""Ben帳戶|Elsa帳戶|Ben代墊|Ariel代墊|中信銀行共用"")), ""內部轉帳(忽略)"",
  AND(E7266&lt;&gt;"""", F7266&lt;&gt;"""", N"&amp;"OT(REGEXMATCH(C7266, ""薪資""))), ""內部轉帳(忽略)"",
  REGEXMATCH(C7266, ""薪資""), ""薪資變動(不計入)"",
  REGEXMATCH(C7266, ""押金""), ""押金往來"",
  AND(E7266&lt;&gt;"""", F7266=""""), ""真實支出"",
  AND(E7266="""", F7266&lt;&gt;""""), ""真實收入"",
  TRUE, ""其他""
)"),"其他")</f>
        <v>其他</v>
      </c>
      <c r="K7266" s="270" t="str">
        <f t="shared" si="2"/>
        <v/>
      </c>
      <c r="L7266">
        <f t="shared" si="3"/>
        <v>0</v>
      </c>
    </row>
    <row r="7267">
      <c r="A7267" s="107"/>
      <c r="D7267" s="270"/>
      <c r="H7267" s="106" t="str">
        <f t="shared" si="1"/>
        <v/>
      </c>
      <c r="J7267" t="str">
        <f>IFERROR(__xludf.DUMMYFUNCTION("IFS(
  AND(REGEXMATCH(E7267, ""台銀籌備帳戶|玉山帳戶""), REGEXMATCH(C7267, ""薪資"")), ""分潤支出"",
  AND(REGEXMATCH(E7267, ""Ben帳戶|Elsa帳戶|Ben代墊|Ariel代墊|中信銀行共用""), REGEXMATCH(F7267, ""Ben帳戶|Elsa帳戶|Ben代墊|Ariel代墊|中信銀行共用"")), ""內部轉帳(忽略)"",
  AND(E7267&lt;&gt;"""", F7267&lt;&gt;"""", N"&amp;"OT(REGEXMATCH(C7267, ""薪資""))), ""內部轉帳(忽略)"",
  REGEXMATCH(C7267, ""薪資""), ""薪資變動(不計入)"",
  REGEXMATCH(C7267, ""押金""), ""押金往來"",
  AND(E7267&lt;&gt;"""", F7267=""""), ""真實支出"",
  AND(E7267="""", F7267&lt;&gt;""""), ""真實收入"",
  TRUE, ""其他""
)"),"其他")</f>
        <v>其他</v>
      </c>
      <c r="K7267" s="270" t="str">
        <f t="shared" si="2"/>
        <v/>
      </c>
      <c r="L7267">
        <f t="shared" si="3"/>
        <v>0</v>
      </c>
    </row>
    <row r="7268">
      <c r="A7268" s="107"/>
      <c r="D7268" s="270"/>
      <c r="H7268" s="106" t="str">
        <f t="shared" si="1"/>
        <v/>
      </c>
      <c r="J7268" t="str">
        <f>IFERROR(__xludf.DUMMYFUNCTION("IFS(
  AND(REGEXMATCH(E7268, ""台銀籌備帳戶|玉山帳戶""), REGEXMATCH(C7268, ""薪資"")), ""分潤支出"",
  AND(REGEXMATCH(E7268, ""Ben帳戶|Elsa帳戶|Ben代墊|Ariel代墊|中信銀行共用""), REGEXMATCH(F7268, ""Ben帳戶|Elsa帳戶|Ben代墊|Ariel代墊|中信銀行共用"")), ""內部轉帳(忽略)"",
  AND(E7268&lt;&gt;"""", F7268&lt;&gt;"""", N"&amp;"OT(REGEXMATCH(C7268, ""薪資""))), ""內部轉帳(忽略)"",
  REGEXMATCH(C7268, ""薪資""), ""薪資變動(不計入)"",
  REGEXMATCH(C7268, ""押金""), ""押金往來"",
  AND(E7268&lt;&gt;"""", F7268=""""), ""真實支出"",
  AND(E7268="""", F7268&lt;&gt;""""), ""真實收入"",
  TRUE, ""其他""
)"),"其他")</f>
        <v>其他</v>
      </c>
      <c r="K7268" s="270" t="str">
        <f t="shared" si="2"/>
        <v/>
      </c>
      <c r="L7268">
        <f t="shared" si="3"/>
        <v>0</v>
      </c>
    </row>
    <row r="7269">
      <c r="A7269" s="107"/>
      <c r="D7269" s="270"/>
      <c r="H7269" s="106" t="str">
        <f t="shared" si="1"/>
        <v/>
      </c>
      <c r="J7269" t="str">
        <f>IFERROR(__xludf.DUMMYFUNCTION("IFS(
  AND(REGEXMATCH(E7269, ""台銀籌備帳戶|玉山帳戶""), REGEXMATCH(C7269, ""薪資"")), ""分潤支出"",
  AND(REGEXMATCH(E7269, ""Ben帳戶|Elsa帳戶|Ben代墊|Ariel代墊|中信銀行共用""), REGEXMATCH(F7269, ""Ben帳戶|Elsa帳戶|Ben代墊|Ariel代墊|中信銀行共用"")), ""內部轉帳(忽略)"",
  AND(E7269&lt;&gt;"""", F7269&lt;&gt;"""", N"&amp;"OT(REGEXMATCH(C7269, ""薪資""))), ""內部轉帳(忽略)"",
  REGEXMATCH(C7269, ""薪資""), ""薪資變動(不計入)"",
  REGEXMATCH(C7269, ""押金""), ""押金往來"",
  AND(E7269&lt;&gt;"""", F7269=""""), ""真實支出"",
  AND(E7269="""", F7269&lt;&gt;""""), ""真實收入"",
  TRUE, ""其他""
)"),"其他")</f>
        <v>其他</v>
      </c>
      <c r="K7269" s="270" t="str">
        <f t="shared" si="2"/>
        <v/>
      </c>
      <c r="L7269">
        <f t="shared" si="3"/>
        <v>0</v>
      </c>
    </row>
    <row r="7270">
      <c r="A7270" s="107"/>
      <c r="D7270" s="270"/>
      <c r="H7270" s="106" t="str">
        <f t="shared" si="1"/>
        <v/>
      </c>
      <c r="J7270" t="str">
        <f>IFERROR(__xludf.DUMMYFUNCTION("IFS(
  AND(REGEXMATCH(E7270, ""台銀籌備帳戶|玉山帳戶""), REGEXMATCH(C7270, ""薪資"")), ""分潤支出"",
  AND(REGEXMATCH(E7270, ""Ben帳戶|Elsa帳戶|Ben代墊|Ariel代墊|中信銀行共用""), REGEXMATCH(F7270, ""Ben帳戶|Elsa帳戶|Ben代墊|Ariel代墊|中信銀行共用"")), ""內部轉帳(忽略)"",
  AND(E7270&lt;&gt;"""", F7270&lt;&gt;"""", N"&amp;"OT(REGEXMATCH(C7270, ""薪資""))), ""內部轉帳(忽略)"",
  REGEXMATCH(C7270, ""薪資""), ""薪資變動(不計入)"",
  REGEXMATCH(C7270, ""押金""), ""押金往來"",
  AND(E7270&lt;&gt;"""", F7270=""""), ""真實支出"",
  AND(E7270="""", F7270&lt;&gt;""""), ""真實收入"",
  TRUE, ""其他""
)"),"其他")</f>
        <v>其他</v>
      </c>
      <c r="K7270" s="270" t="str">
        <f t="shared" si="2"/>
        <v/>
      </c>
      <c r="L7270">
        <f t="shared" si="3"/>
        <v>0</v>
      </c>
    </row>
    <row r="7271">
      <c r="A7271" s="107"/>
      <c r="D7271" s="270"/>
      <c r="H7271" s="106" t="str">
        <f t="shared" si="1"/>
        <v/>
      </c>
      <c r="J7271" t="str">
        <f>IFERROR(__xludf.DUMMYFUNCTION("IFS(
  AND(REGEXMATCH(E7271, ""台銀籌備帳戶|玉山帳戶""), REGEXMATCH(C7271, ""薪資"")), ""分潤支出"",
  AND(REGEXMATCH(E7271, ""Ben帳戶|Elsa帳戶|Ben代墊|Ariel代墊|中信銀行共用""), REGEXMATCH(F7271, ""Ben帳戶|Elsa帳戶|Ben代墊|Ariel代墊|中信銀行共用"")), ""內部轉帳(忽略)"",
  AND(E7271&lt;&gt;"""", F7271&lt;&gt;"""", N"&amp;"OT(REGEXMATCH(C7271, ""薪資""))), ""內部轉帳(忽略)"",
  REGEXMATCH(C7271, ""薪資""), ""薪資變動(不計入)"",
  REGEXMATCH(C7271, ""押金""), ""押金往來"",
  AND(E7271&lt;&gt;"""", F7271=""""), ""真實支出"",
  AND(E7271="""", F7271&lt;&gt;""""), ""真實收入"",
  TRUE, ""其他""
)"),"其他")</f>
        <v>其他</v>
      </c>
      <c r="K7271" s="270" t="str">
        <f t="shared" si="2"/>
        <v/>
      </c>
      <c r="L7271">
        <f t="shared" si="3"/>
        <v>0</v>
      </c>
    </row>
    <row r="7272">
      <c r="A7272" s="107"/>
      <c r="D7272" s="270"/>
      <c r="H7272" s="106" t="str">
        <f t="shared" si="1"/>
        <v/>
      </c>
      <c r="J7272" t="str">
        <f>IFERROR(__xludf.DUMMYFUNCTION("IFS(
  AND(REGEXMATCH(E7272, ""台銀籌備帳戶|玉山帳戶""), REGEXMATCH(C7272, ""薪資"")), ""分潤支出"",
  AND(REGEXMATCH(E7272, ""Ben帳戶|Elsa帳戶|Ben代墊|Ariel代墊|中信銀行共用""), REGEXMATCH(F7272, ""Ben帳戶|Elsa帳戶|Ben代墊|Ariel代墊|中信銀行共用"")), ""內部轉帳(忽略)"",
  AND(E7272&lt;&gt;"""", F7272&lt;&gt;"""", N"&amp;"OT(REGEXMATCH(C7272, ""薪資""))), ""內部轉帳(忽略)"",
  REGEXMATCH(C7272, ""薪資""), ""薪資變動(不計入)"",
  REGEXMATCH(C7272, ""押金""), ""押金往來"",
  AND(E7272&lt;&gt;"""", F7272=""""), ""真實支出"",
  AND(E7272="""", F7272&lt;&gt;""""), ""真實收入"",
  TRUE, ""其他""
)"),"其他")</f>
        <v>其他</v>
      </c>
      <c r="K7272" s="270" t="str">
        <f t="shared" si="2"/>
        <v/>
      </c>
      <c r="L7272">
        <f t="shared" si="3"/>
        <v>0</v>
      </c>
    </row>
    <row r="7273">
      <c r="A7273" s="107"/>
      <c r="D7273" s="270"/>
      <c r="H7273" s="106" t="str">
        <f t="shared" si="1"/>
        <v/>
      </c>
      <c r="J7273" t="str">
        <f>IFERROR(__xludf.DUMMYFUNCTION("IFS(
  AND(REGEXMATCH(E7273, ""台銀籌備帳戶|玉山帳戶""), REGEXMATCH(C7273, ""薪資"")), ""分潤支出"",
  AND(REGEXMATCH(E7273, ""Ben帳戶|Elsa帳戶|Ben代墊|Ariel代墊|中信銀行共用""), REGEXMATCH(F7273, ""Ben帳戶|Elsa帳戶|Ben代墊|Ariel代墊|中信銀行共用"")), ""內部轉帳(忽略)"",
  AND(E7273&lt;&gt;"""", F7273&lt;&gt;"""", N"&amp;"OT(REGEXMATCH(C7273, ""薪資""))), ""內部轉帳(忽略)"",
  REGEXMATCH(C7273, ""薪資""), ""薪資變動(不計入)"",
  REGEXMATCH(C7273, ""押金""), ""押金往來"",
  AND(E7273&lt;&gt;"""", F7273=""""), ""真實支出"",
  AND(E7273="""", F7273&lt;&gt;""""), ""真實收入"",
  TRUE, ""其他""
)"),"其他")</f>
        <v>其他</v>
      </c>
      <c r="K7273" s="270" t="str">
        <f t="shared" si="2"/>
        <v/>
      </c>
      <c r="L7273">
        <f t="shared" si="3"/>
        <v>0</v>
      </c>
    </row>
    <row r="7274">
      <c r="A7274" s="107"/>
      <c r="D7274" s="270"/>
      <c r="H7274" s="106" t="str">
        <f t="shared" si="1"/>
        <v/>
      </c>
      <c r="J7274" t="str">
        <f>IFERROR(__xludf.DUMMYFUNCTION("IFS(
  AND(REGEXMATCH(E7274, ""台銀籌備帳戶|玉山帳戶""), REGEXMATCH(C7274, ""薪資"")), ""分潤支出"",
  AND(REGEXMATCH(E7274, ""Ben帳戶|Elsa帳戶|Ben代墊|Ariel代墊|中信銀行共用""), REGEXMATCH(F7274, ""Ben帳戶|Elsa帳戶|Ben代墊|Ariel代墊|中信銀行共用"")), ""內部轉帳(忽略)"",
  AND(E7274&lt;&gt;"""", F7274&lt;&gt;"""", N"&amp;"OT(REGEXMATCH(C7274, ""薪資""))), ""內部轉帳(忽略)"",
  REGEXMATCH(C7274, ""薪資""), ""薪資變動(不計入)"",
  REGEXMATCH(C7274, ""押金""), ""押金往來"",
  AND(E7274&lt;&gt;"""", F7274=""""), ""真實支出"",
  AND(E7274="""", F7274&lt;&gt;""""), ""真實收入"",
  TRUE, ""其他""
)"),"其他")</f>
        <v>其他</v>
      </c>
      <c r="K7274" s="270" t="str">
        <f t="shared" si="2"/>
        <v/>
      </c>
      <c r="L7274">
        <f t="shared" si="3"/>
        <v>0</v>
      </c>
    </row>
    <row r="7275">
      <c r="A7275" s="107"/>
      <c r="D7275" s="270"/>
      <c r="H7275" s="106" t="str">
        <f t="shared" si="1"/>
        <v/>
      </c>
      <c r="J7275" t="str">
        <f>IFERROR(__xludf.DUMMYFUNCTION("IFS(
  AND(REGEXMATCH(E7275, ""台銀籌備帳戶|玉山帳戶""), REGEXMATCH(C7275, ""薪資"")), ""分潤支出"",
  AND(REGEXMATCH(E7275, ""Ben帳戶|Elsa帳戶|Ben代墊|Ariel代墊|中信銀行共用""), REGEXMATCH(F7275, ""Ben帳戶|Elsa帳戶|Ben代墊|Ariel代墊|中信銀行共用"")), ""內部轉帳(忽略)"",
  AND(E7275&lt;&gt;"""", F7275&lt;&gt;"""", N"&amp;"OT(REGEXMATCH(C7275, ""薪資""))), ""內部轉帳(忽略)"",
  REGEXMATCH(C7275, ""薪資""), ""薪資變動(不計入)"",
  REGEXMATCH(C7275, ""押金""), ""押金往來"",
  AND(E7275&lt;&gt;"""", F7275=""""), ""真實支出"",
  AND(E7275="""", F7275&lt;&gt;""""), ""真實收入"",
  TRUE, ""其他""
)"),"其他")</f>
        <v>其他</v>
      </c>
      <c r="K7275" s="270" t="str">
        <f t="shared" si="2"/>
        <v/>
      </c>
      <c r="L7275">
        <f t="shared" si="3"/>
        <v>0</v>
      </c>
    </row>
    <row r="7276">
      <c r="A7276" s="107"/>
      <c r="D7276" s="270"/>
      <c r="H7276" s="106" t="str">
        <f t="shared" si="1"/>
        <v/>
      </c>
      <c r="J7276" t="str">
        <f>IFERROR(__xludf.DUMMYFUNCTION("IFS(
  AND(REGEXMATCH(E7276, ""台銀籌備帳戶|玉山帳戶""), REGEXMATCH(C7276, ""薪資"")), ""分潤支出"",
  AND(REGEXMATCH(E7276, ""Ben帳戶|Elsa帳戶|Ben代墊|Ariel代墊|中信銀行共用""), REGEXMATCH(F7276, ""Ben帳戶|Elsa帳戶|Ben代墊|Ariel代墊|中信銀行共用"")), ""內部轉帳(忽略)"",
  AND(E7276&lt;&gt;"""", F7276&lt;&gt;"""", N"&amp;"OT(REGEXMATCH(C7276, ""薪資""))), ""內部轉帳(忽略)"",
  REGEXMATCH(C7276, ""薪資""), ""薪資變動(不計入)"",
  REGEXMATCH(C7276, ""押金""), ""押金往來"",
  AND(E7276&lt;&gt;"""", F7276=""""), ""真實支出"",
  AND(E7276="""", F7276&lt;&gt;""""), ""真實收入"",
  TRUE, ""其他""
)"),"其他")</f>
        <v>其他</v>
      </c>
      <c r="K7276" s="270" t="str">
        <f t="shared" si="2"/>
        <v/>
      </c>
      <c r="L7276">
        <f t="shared" si="3"/>
        <v>0</v>
      </c>
    </row>
    <row r="7277">
      <c r="A7277" s="107"/>
      <c r="D7277" s="270"/>
      <c r="H7277" s="106" t="str">
        <f t="shared" si="1"/>
        <v/>
      </c>
      <c r="J7277" t="str">
        <f>IFERROR(__xludf.DUMMYFUNCTION("IFS(
  AND(REGEXMATCH(E7277, ""台銀籌備帳戶|玉山帳戶""), REGEXMATCH(C7277, ""薪資"")), ""分潤支出"",
  AND(REGEXMATCH(E7277, ""Ben帳戶|Elsa帳戶|Ben代墊|Ariel代墊|中信銀行共用""), REGEXMATCH(F7277, ""Ben帳戶|Elsa帳戶|Ben代墊|Ariel代墊|中信銀行共用"")), ""內部轉帳(忽略)"",
  AND(E7277&lt;&gt;"""", F7277&lt;&gt;"""", N"&amp;"OT(REGEXMATCH(C7277, ""薪資""))), ""內部轉帳(忽略)"",
  REGEXMATCH(C7277, ""薪資""), ""薪資變動(不計入)"",
  REGEXMATCH(C7277, ""押金""), ""押金往來"",
  AND(E7277&lt;&gt;"""", F7277=""""), ""真實支出"",
  AND(E7277="""", F7277&lt;&gt;""""), ""真實收入"",
  TRUE, ""其他""
)"),"其他")</f>
        <v>其他</v>
      </c>
      <c r="K7277" s="270" t="str">
        <f t="shared" si="2"/>
        <v/>
      </c>
      <c r="L7277">
        <f t="shared" si="3"/>
        <v>0</v>
      </c>
    </row>
    <row r="7278">
      <c r="A7278" s="107"/>
      <c r="D7278" s="270"/>
      <c r="H7278" s="106" t="str">
        <f t="shared" si="1"/>
        <v/>
      </c>
      <c r="J7278" t="str">
        <f>IFERROR(__xludf.DUMMYFUNCTION("IFS(
  AND(REGEXMATCH(E7278, ""台銀籌備帳戶|玉山帳戶""), REGEXMATCH(C7278, ""薪資"")), ""分潤支出"",
  AND(REGEXMATCH(E7278, ""Ben帳戶|Elsa帳戶|Ben代墊|Ariel代墊|中信銀行共用""), REGEXMATCH(F7278, ""Ben帳戶|Elsa帳戶|Ben代墊|Ariel代墊|中信銀行共用"")), ""內部轉帳(忽略)"",
  AND(E7278&lt;&gt;"""", F7278&lt;&gt;"""", N"&amp;"OT(REGEXMATCH(C7278, ""薪資""))), ""內部轉帳(忽略)"",
  REGEXMATCH(C7278, ""薪資""), ""薪資變動(不計入)"",
  REGEXMATCH(C7278, ""押金""), ""押金往來"",
  AND(E7278&lt;&gt;"""", F7278=""""), ""真實支出"",
  AND(E7278="""", F7278&lt;&gt;""""), ""真實收入"",
  TRUE, ""其他""
)"),"其他")</f>
        <v>其他</v>
      </c>
      <c r="K7278" s="270" t="str">
        <f t="shared" si="2"/>
        <v/>
      </c>
      <c r="L7278">
        <f t="shared" si="3"/>
        <v>0</v>
      </c>
    </row>
    <row r="7279">
      <c r="A7279" s="107"/>
      <c r="D7279" s="270"/>
      <c r="H7279" s="106" t="str">
        <f t="shared" si="1"/>
        <v/>
      </c>
      <c r="J7279" t="str">
        <f>IFERROR(__xludf.DUMMYFUNCTION("IFS(
  AND(REGEXMATCH(E7279, ""台銀籌備帳戶|玉山帳戶""), REGEXMATCH(C7279, ""薪資"")), ""分潤支出"",
  AND(REGEXMATCH(E7279, ""Ben帳戶|Elsa帳戶|Ben代墊|Ariel代墊|中信銀行共用""), REGEXMATCH(F7279, ""Ben帳戶|Elsa帳戶|Ben代墊|Ariel代墊|中信銀行共用"")), ""內部轉帳(忽略)"",
  AND(E7279&lt;&gt;"""", F7279&lt;&gt;"""", N"&amp;"OT(REGEXMATCH(C7279, ""薪資""))), ""內部轉帳(忽略)"",
  REGEXMATCH(C7279, ""薪資""), ""薪資變動(不計入)"",
  REGEXMATCH(C7279, ""押金""), ""押金往來"",
  AND(E7279&lt;&gt;"""", F7279=""""), ""真實支出"",
  AND(E7279="""", F7279&lt;&gt;""""), ""真實收入"",
  TRUE, ""其他""
)"),"其他")</f>
        <v>其他</v>
      </c>
      <c r="K7279" s="270" t="str">
        <f t="shared" si="2"/>
        <v/>
      </c>
      <c r="L7279">
        <f t="shared" si="3"/>
        <v>0</v>
      </c>
    </row>
    <row r="7280">
      <c r="A7280" s="107"/>
      <c r="D7280" s="270"/>
      <c r="H7280" s="106" t="str">
        <f t="shared" si="1"/>
        <v/>
      </c>
      <c r="J7280" t="str">
        <f>IFERROR(__xludf.DUMMYFUNCTION("IFS(
  AND(REGEXMATCH(E7280, ""台銀籌備帳戶|玉山帳戶""), REGEXMATCH(C7280, ""薪資"")), ""分潤支出"",
  AND(REGEXMATCH(E7280, ""Ben帳戶|Elsa帳戶|Ben代墊|Ariel代墊|中信銀行共用""), REGEXMATCH(F7280, ""Ben帳戶|Elsa帳戶|Ben代墊|Ariel代墊|中信銀行共用"")), ""內部轉帳(忽略)"",
  AND(E7280&lt;&gt;"""", F7280&lt;&gt;"""", N"&amp;"OT(REGEXMATCH(C7280, ""薪資""))), ""內部轉帳(忽略)"",
  REGEXMATCH(C7280, ""薪資""), ""薪資變動(不計入)"",
  REGEXMATCH(C7280, ""押金""), ""押金往來"",
  AND(E7280&lt;&gt;"""", F7280=""""), ""真實支出"",
  AND(E7280="""", F7280&lt;&gt;""""), ""真實收入"",
  TRUE, ""其他""
)"),"其他")</f>
        <v>其他</v>
      </c>
      <c r="K7280" s="270" t="str">
        <f t="shared" si="2"/>
        <v/>
      </c>
      <c r="L7280">
        <f t="shared" si="3"/>
        <v>0</v>
      </c>
    </row>
    <row r="7281">
      <c r="A7281" s="107"/>
      <c r="D7281" s="270"/>
      <c r="H7281" s="106" t="str">
        <f t="shared" si="1"/>
        <v/>
      </c>
      <c r="J7281" t="str">
        <f>IFERROR(__xludf.DUMMYFUNCTION("IFS(
  AND(REGEXMATCH(E7281, ""台銀籌備帳戶|玉山帳戶""), REGEXMATCH(C7281, ""薪資"")), ""分潤支出"",
  AND(REGEXMATCH(E7281, ""Ben帳戶|Elsa帳戶|Ben代墊|Ariel代墊|中信銀行共用""), REGEXMATCH(F7281, ""Ben帳戶|Elsa帳戶|Ben代墊|Ariel代墊|中信銀行共用"")), ""內部轉帳(忽略)"",
  AND(E7281&lt;&gt;"""", F7281&lt;&gt;"""", N"&amp;"OT(REGEXMATCH(C7281, ""薪資""))), ""內部轉帳(忽略)"",
  REGEXMATCH(C7281, ""薪資""), ""薪資變動(不計入)"",
  REGEXMATCH(C7281, ""押金""), ""押金往來"",
  AND(E7281&lt;&gt;"""", F7281=""""), ""真實支出"",
  AND(E7281="""", F7281&lt;&gt;""""), ""真實收入"",
  TRUE, ""其他""
)"),"其他")</f>
        <v>其他</v>
      </c>
      <c r="K7281" s="270" t="str">
        <f t="shared" si="2"/>
        <v/>
      </c>
      <c r="L7281">
        <f t="shared" si="3"/>
        <v>0</v>
      </c>
    </row>
    <row r="7282">
      <c r="A7282" s="107"/>
      <c r="D7282" s="270"/>
      <c r="H7282" s="106" t="str">
        <f t="shared" si="1"/>
        <v/>
      </c>
      <c r="J7282" t="str">
        <f>IFERROR(__xludf.DUMMYFUNCTION("IFS(
  AND(REGEXMATCH(E7282, ""台銀籌備帳戶|玉山帳戶""), REGEXMATCH(C7282, ""薪資"")), ""分潤支出"",
  AND(REGEXMATCH(E7282, ""Ben帳戶|Elsa帳戶|Ben代墊|Ariel代墊|中信銀行共用""), REGEXMATCH(F7282, ""Ben帳戶|Elsa帳戶|Ben代墊|Ariel代墊|中信銀行共用"")), ""內部轉帳(忽略)"",
  AND(E7282&lt;&gt;"""", F7282&lt;&gt;"""", N"&amp;"OT(REGEXMATCH(C7282, ""薪資""))), ""內部轉帳(忽略)"",
  REGEXMATCH(C7282, ""薪資""), ""薪資變動(不計入)"",
  REGEXMATCH(C7282, ""押金""), ""押金往來"",
  AND(E7282&lt;&gt;"""", F7282=""""), ""真實支出"",
  AND(E7282="""", F7282&lt;&gt;""""), ""真實收入"",
  TRUE, ""其他""
)"),"其他")</f>
        <v>其他</v>
      </c>
      <c r="K7282" s="270" t="str">
        <f t="shared" si="2"/>
        <v/>
      </c>
      <c r="L7282">
        <f t="shared" si="3"/>
        <v>0</v>
      </c>
    </row>
    <row r="7283">
      <c r="A7283" s="107"/>
      <c r="D7283" s="270"/>
      <c r="H7283" s="106" t="str">
        <f t="shared" si="1"/>
        <v/>
      </c>
      <c r="J7283" t="str">
        <f>IFERROR(__xludf.DUMMYFUNCTION("IFS(
  AND(REGEXMATCH(E7283, ""台銀籌備帳戶|玉山帳戶""), REGEXMATCH(C7283, ""薪資"")), ""分潤支出"",
  AND(REGEXMATCH(E7283, ""Ben帳戶|Elsa帳戶|Ben代墊|Ariel代墊|中信銀行共用""), REGEXMATCH(F7283, ""Ben帳戶|Elsa帳戶|Ben代墊|Ariel代墊|中信銀行共用"")), ""內部轉帳(忽略)"",
  AND(E7283&lt;&gt;"""", F7283&lt;&gt;"""", N"&amp;"OT(REGEXMATCH(C7283, ""薪資""))), ""內部轉帳(忽略)"",
  REGEXMATCH(C7283, ""薪資""), ""薪資變動(不計入)"",
  REGEXMATCH(C7283, ""押金""), ""押金往來"",
  AND(E7283&lt;&gt;"""", F7283=""""), ""真實支出"",
  AND(E7283="""", F7283&lt;&gt;""""), ""真實收入"",
  TRUE, ""其他""
)"),"其他")</f>
        <v>其他</v>
      </c>
      <c r="K7283" s="270" t="str">
        <f t="shared" si="2"/>
        <v/>
      </c>
      <c r="L7283">
        <f t="shared" si="3"/>
        <v>0</v>
      </c>
    </row>
    <row r="7284">
      <c r="A7284" s="107"/>
      <c r="D7284" s="270"/>
      <c r="H7284" s="106" t="str">
        <f t="shared" si="1"/>
        <v/>
      </c>
      <c r="J7284" t="str">
        <f>IFERROR(__xludf.DUMMYFUNCTION("IFS(
  AND(REGEXMATCH(E7284, ""台銀籌備帳戶|玉山帳戶""), REGEXMATCH(C7284, ""薪資"")), ""分潤支出"",
  AND(REGEXMATCH(E7284, ""Ben帳戶|Elsa帳戶|Ben代墊|Ariel代墊|中信銀行共用""), REGEXMATCH(F7284, ""Ben帳戶|Elsa帳戶|Ben代墊|Ariel代墊|中信銀行共用"")), ""內部轉帳(忽略)"",
  AND(E7284&lt;&gt;"""", F7284&lt;&gt;"""", N"&amp;"OT(REGEXMATCH(C7284, ""薪資""))), ""內部轉帳(忽略)"",
  REGEXMATCH(C7284, ""薪資""), ""薪資變動(不計入)"",
  REGEXMATCH(C7284, ""押金""), ""押金往來"",
  AND(E7284&lt;&gt;"""", F7284=""""), ""真實支出"",
  AND(E7284="""", F7284&lt;&gt;""""), ""真實收入"",
  TRUE, ""其他""
)"),"其他")</f>
        <v>其他</v>
      </c>
      <c r="K7284" s="270" t="str">
        <f t="shared" si="2"/>
        <v/>
      </c>
      <c r="L7284">
        <f t="shared" si="3"/>
        <v>0</v>
      </c>
    </row>
    <row r="7285">
      <c r="A7285" s="107"/>
      <c r="D7285" s="270"/>
      <c r="H7285" s="106" t="str">
        <f t="shared" si="1"/>
        <v/>
      </c>
      <c r="J7285" t="str">
        <f>IFERROR(__xludf.DUMMYFUNCTION("IFS(
  AND(REGEXMATCH(E7285, ""台銀籌備帳戶|玉山帳戶""), REGEXMATCH(C7285, ""薪資"")), ""分潤支出"",
  AND(REGEXMATCH(E7285, ""Ben帳戶|Elsa帳戶|Ben代墊|Ariel代墊|中信銀行共用""), REGEXMATCH(F7285, ""Ben帳戶|Elsa帳戶|Ben代墊|Ariel代墊|中信銀行共用"")), ""內部轉帳(忽略)"",
  AND(E7285&lt;&gt;"""", F7285&lt;&gt;"""", N"&amp;"OT(REGEXMATCH(C7285, ""薪資""))), ""內部轉帳(忽略)"",
  REGEXMATCH(C7285, ""薪資""), ""薪資變動(不計入)"",
  REGEXMATCH(C7285, ""押金""), ""押金往來"",
  AND(E7285&lt;&gt;"""", F7285=""""), ""真實支出"",
  AND(E7285="""", F7285&lt;&gt;""""), ""真實收入"",
  TRUE, ""其他""
)"),"其他")</f>
        <v>其他</v>
      </c>
      <c r="K7285" s="270" t="str">
        <f t="shared" si="2"/>
        <v/>
      </c>
      <c r="L7285">
        <f t="shared" si="3"/>
        <v>0</v>
      </c>
    </row>
    <row r="7286">
      <c r="A7286" s="107"/>
      <c r="D7286" s="270"/>
      <c r="H7286" s="106" t="str">
        <f t="shared" si="1"/>
        <v/>
      </c>
      <c r="J7286" t="str">
        <f>IFERROR(__xludf.DUMMYFUNCTION("IFS(
  AND(REGEXMATCH(E7286, ""台銀籌備帳戶|玉山帳戶""), REGEXMATCH(C7286, ""薪資"")), ""分潤支出"",
  AND(REGEXMATCH(E7286, ""Ben帳戶|Elsa帳戶|Ben代墊|Ariel代墊|中信銀行共用""), REGEXMATCH(F7286, ""Ben帳戶|Elsa帳戶|Ben代墊|Ariel代墊|中信銀行共用"")), ""內部轉帳(忽略)"",
  AND(E7286&lt;&gt;"""", F7286&lt;&gt;"""", N"&amp;"OT(REGEXMATCH(C7286, ""薪資""))), ""內部轉帳(忽略)"",
  REGEXMATCH(C7286, ""薪資""), ""薪資變動(不計入)"",
  REGEXMATCH(C7286, ""押金""), ""押金往來"",
  AND(E7286&lt;&gt;"""", F7286=""""), ""真實支出"",
  AND(E7286="""", F7286&lt;&gt;""""), ""真實收入"",
  TRUE, ""其他""
)"),"其他")</f>
        <v>其他</v>
      </c>
      <c r="K7286" s="270" t="str">
        <f t="shared" si="2"/>
        <v/>
      </c>
      <c r="L7286">
        <f t="shared" si="3"/>
        <v>0</v>
      </c>
    </row>
    <row r="7287">
      <c r="A7287" s="107"/>
      <c r="D7287" s="270"/>
      <c r="H7287" s="106" t="str">
        <f t="shared" si="1"/>
        <v/>
      </c>
      <c r="J7287" t="str">
        <f>IFERROR(__xludf.DUMMYFUNCTION("IFS(
  AND(REGEXMATCH(E7287, ""台銀籌備帳戶|玉山帳戶""), REGEXMATCH(C7287, ""薪資"")), ""分潤支出"",
  AND(REGEXMATCH(E7287, ""Ben帳戶|Elsa帳戶|Ben代墊|Ariel代墊|中信銀行共用""), REGEXMATCH(F7287, ""Ben帳戶|Elsa帳戶|Ben代墊|Ariel代墊|中信銀行共用"")), ""內部轉帳(忽略)"",
  AND(E7287&lt;&gt;"""", F7287&lt;&gt;"""", N"&amp;"OT(REGEXMATCH(C7287, ""薪資""))), ""內部轉帳(忽略)"",
  REGEXMATCH(C7287, ""薪資""), ""薪資變動(不計入)"",
  REGEXMATCH(C7287, ""押金""), ""押金往來"",
  AND(E7287&lt;&gt;"""", F7287=""""), ""真實支出"",
  AND(E7287="""", F7287&lt;&gt;""""), ""真實收入"",
  TRUE, ""其他""
)"),"其他")</f>
        <v>其他</v>
      </c>
      <c r="K7287" s="270" t="str">
        <f t="shared" si="2"/>
        <v/>
      </c>
      <c r="L7287">
        <f t="shared" si="3"/>
        <v>0</v>
      </c>
    </row>
    <row r="7288">
      <c r="A7288" s="107"/>
      <c r="D7288" s="270"/>
      <c r="H7288" s="106" t="str">
        <f t="shared" si="1"/>
        <v/>
      </c>
      <c r="J7288" t="str">
        <f>IFERROR(__xludf.DUMMYFUNCTION("IFS(
  AND(REGEXMATCH(E7288, ""台銀籌備帳戶|玉山帳戶""), REGEXMATCH(C7288, ""薪資"")), ""分潤支出"",
  AND(REGEXMATCH(E7288, ""Ben帳戶|Elsa帳戶|Ben代墊|Ariel代墊|中信銀行共用""), REGEXMATCH(F7288, ""Ben帳戶|Elsa帳戶|Ben代墊|Ariel代墊|中信銀行共用"")), ""內部轉帳(忽略)"",
  AND(E7288&lt;&gt;"""", F7288&lt;&gt;"""", N"&amp;"OT(REGEXMATCH(C7288, ""薪資""))), ""內部轉帳(忽略)"",
  REGEXMATCH(C7288, ""薪資""), ""薪資變動(不計入)"",
  REGEXMATCH(C7288, ""押金""), ""押金往來"",
  AND(E7288&lt;&gt;"""", F7288=""""), ""真實支出"",
  AND(E7288="""", F7288&lt;&gt;""""), ""真實收入"",
  TRUE, ""其他""
)"),"其他")</f>
        <v>其他</v>
      </c>
      <c r="K7288" s="270" t="str">
        <f t="shared" si="2"/>
        <v/>
      </c>
      <c r="L7288">
        <f t="shared" si="3"/>
        <v>0</v>
      </c>
    </row>
    <row r="7289">
      <c r="A7289" s="107"/>
      <c r="D7289" s="270"/>
      <c r="H7289" s="106" t="str">
        <f t="shared" si="1"/>
        <v/>
      </c>
      <c r="J7289" t="str">
        <f>IFERROR(__xludf.DUMMYFUNCTION("IFS(
  AND(REGEXMATCH(E7289, ""台銀籌備帳戶|玉山帳戶""), REGEXMATCH(C7289, ""薪資"")), ""分潤支出"",
  AND(REGEXMATCH(E7289, ""Ben帳戶|Elsa帳戶|Ben代墊|Ariel代墊|中信銀行共用""), REGEXMATCH(F7289, ""Ben帳戶|Elsa帳戶|Ben代墊|Ariel代墊|中信銀行共用"")), ""內部轉帳(忽略)"",
  AND(E7289&lt;&gt;"""", F7289&lt;&gt;"""", N"&amp;"OT(REGEXMATCH(C7289, ""薪資""))), ""內部轉帳(忽略)"",
  REGEXMATCH(C7289, ""薪資""), ""薪資變動(不計入)"",
  REGEXMATCH(C7289, ""押金""), ""押金往來"",
  AND(E7289&lt;&gt;"""", F7289=""""), ""真實支出"",
  AND(E7289="""", F7289&lt;&gt;""""), ""真實收入"",
  TRUE, ""其他""
)"),"其他")</f>
        <v>其他</v>
      </c>
      <c r="K7289" s="270" t="str">
        <f t="shared" si="2"/>
        <v/>
      </c>
      <c r="L7289">
        <f t="shared" si="3"/>
        <v>0</v>
      </c>
    </row>
    <row r="7290">
      <c r="A7290" s="107"/>
      <c r="D7290" s="270"/>
      <c r="H7290" s="106" t="str">
        <f t="shared" si="1"/>
        <v/>
      </c>
      <c r="J7290" t="str">
        <f>IFERROR(__xludf.DUMMYFUNCTION("IFS(
  AND(REGEXMATCH(E7290, ""台銀籌備帳戶|玉山帳戶""), REGEXMATCH(C7290, ""薪資"")), ""分潤支出"",
  AND(REGEXMATCH(E7290, ""Ben帳戶|Elsa帳戶|Ben代墊|Ariel代墊|中信銀行共用""), REGEXMATCH(F7290, ""Ben帳戶|Elsa帳戶|Ben代墊|Ariel代墊|中信銀行共用"")), ""內部轉帳(忽略)"",
  AND(E7290&lt;&gt;"""", F7290&lt;&gt;"""", N"&amp;"OT(REGEXMATCH(C7290, ""薪資""))), ""內部轉帳(忽略)"",
  REGEXMATCH(C7290, ""薪資""), ""薪資變動(不計入)"",
  REGEXMATCH(C7290, ""押金""), ""押金往來"",
  AND(E7290&lt;&gt;"""", F7290=""""), ""真實支出"",
  AND(E7290="""", F7290&lt;&gt;""""), ""真實收入"",
  TRUE, ""其他""
)"),"其他")</f>
        <v>其他</v>
      </c>
      <c r="K7290" s="270" t="str">
        <f t="shared" si="2"/>
        <v/>
      </c>
      <c r="L7290">
        <f t="shared" si="3"/>
        <v>0</v>
      </c>
    </row>
    <row r="7291">
      <c r="A7291" s="107"/>
      <c r="D7291" s="270"/>
      <c r="H7291" s="106" t="str">
        <f t="shared" si="1"/>
        <v/>
      </c>
      <c r="J7291" t="str">
        <f>IFERROR(__xludf.DUMMYFUNCTION("IFS(
  AND(REGEXMATCH(E7291, ""台銀籌備帳戶|玉山帳戶""), REGEXMATCH(C7291, ""薪資"")), ""分潤支出"",
  AND(REGEXMATCH(E7291, ""Ben帳戶|Elsa帳戶|Ben代墊|Ariel代墊|中信銀行共用""), REGEXMATCH(F7291, ""Ben帳戶|Elsa帳戶|Ben代墊|Ariel代墊|中信銀行共用"")), ""內部轉帳(忽略)"",
  AND(E7291&lt;&gt;"""", F7291&lt;&gt;"""", N"&amp;"OT(REGEXMATCH(C7291, ""薪資""))), ""內部轉帳(忽略)"",
  REGEXMATCH(C7291, ""薪資""), ""薪資變動(不計入)"",
  REGEXMATCH(C7291, ""押金""), ""押金往來"",
  AND(E7291&lt;&gt;"""", F7291=""""), ""真實支出"",
  AND(E7291="""", F7291&lt;&gt;""""), ""真實收入"",
  TRUE, ""其他""
)"),"其他")</f>
        <v>其他</v>
      </c>
      <c r="K7291" s="270" t="str">
        <f t="shared" si="2"/>
        <v/>
      </c>
      <c r="L7291">
        <f t="shared" si="3"/>
        <v>0</v>
      </c>
    </row>
    <row r="7292">
      <c r="A7292" s="107"/>
      <c r="D7292" s="270"/>
      <c r="H7292" s="106" t="str">
        <f t="shared" si="1"/>
        <v/>
      </c>
      <c r="J7292" t="str">
        <f>IFERROR(__xludf.DUMMYFUNCTION("IFS(
  AND(REGEXMATCH(E7292, ""台銀籌備帳戶|玉山帳戶""), REGEXMATCH(C7292, ""薪資"")), ""分潤支出"",
  AND(REGEXMATCH(E7292, ""Ben帳戶|Elsa帳戶|Ben代墊|Ariel代墊|中信銀行共用""), REGEXMATCH(F7292, ""Ben帳戶|Elsa帳戶|Ben代墊|Ariel代墊|中信銀行共用"")), ""內部轉帳(忽略)"",
  AND(E7292&lt;&gt;"""", F7292&lt;&gt;"""", N"&amp;"OT(REGEXMATCH(C7292, ""薪資""))), ""內部轉帳(忽略)"",
  REGEXMATCH(C7292, ""薪資""), ""薪資變動(不計入)"",
  REGEXMATCH(C7292, ""押金""), ""押金往來"",
  AND(E7292&lt;&gt;"""", F7292=""""), ""真實支出"",
  AND(E7292="""", F7292&lt;&gt;""""), ""真實收入"",
  TRUE, ""其他""
)"),"其他")</f>
        <v>其他</v>
      </c>
      <c r="K7292" s="270" t="str">
        <f t="shared" si="2"/>
        <v/>
      </c>
      <c r="L7292">
        <f t="shared" si="3"/>
        <v>0</v>
      </c>
    </row>
    <row r="7293">
      <c r="A7293" s="107"/>
      <c r="D7293" s="270"/>
      <c r="H7293" s="106" t="str">
        <f t="shared" si="1"/>
        <v/>
      </c>
      <c r="J7293" t="str">
        <f>IFERROR(__xludf.DUMMYFUNCTION("IFS(
  AND(REGEXMATCH(E7293, ""台銀籌備帳戶|玉山帳戶""), REGEXMATCH(C7293, ""薪資"")), ""分潤支出"",
  AND(REGEXMATCH(E7293, ""Ben帳戶|Elsa帳戶|Ben代墊|Ariel代墊|中信銀行共用""), REGEXMATCH(F7293, ""Ben帳戶|Elsa帳戶|Ben代墊|Ariel代墊|中信銀行共用"")), ""內部轉帳(忽略)"",
  AND(E7293&lt;&gt;"""", F7293&lt;&gt;"""", N"&amp;"OT(REGEXMATCH(C7293, ""薪資""))), ""內部轉帳(忽略)"",
  REGEXMATCH(C7293, ""薪資""), ""薪資變動(不計入)"",
  REGEXMATCH(C7293, ""押金""), ""押金往來"",
  AND(E7293&lt;&gt;"""", F7293=""""), ""真實支出"",
  AND(E7293="""", F7293&lt;&gt;""""), ""真實收入"",
  TRUE, ""其他""
)"),"其他")</f>
        <v>其他</v>
      </c>
      <c r="K7293" s="270" t="str">
        <f t="shared" si="2"/>
        <v/>
      </c>
      <c r="L7293">
        <f t="shared" si="3"/>
        <v>0</v>
      </c>
    </row>
    <row r="7294">
      <c r="A7294" s="107"/>
      <c r="D7294" s="270"/>
      <c r="H7294" s="106" t="str">
        <f t="shared" si="1"/>
        <v/>
      </c>
      <c r="J7294" t="str">
        <f>IFERROR(__xludf.DUMMYFUNCTION("IFS(
  AND(REGEXMATCH(E7294, ""台銀籌備帳戶|玉山帳戶""), REGEXMATCH(C7294, ""薪資"")), ""分潤支出"",
  AND(REGEXMATCH(E7294, ""Ben帳戶|Elsa帳戶|Ben代墊|Ariel代墊|中信銀行共用""), REGEXMATCH(F7294, ""Ben帳戶|Elsa帳戶|Ben代墊|Ariel代墊|中信銀行共用"")), ""內部轉帳(忽略)"",
  AND(E7294&lt;&gt;"""", F7294&lt;&gt;"""", N"&amp;"OT(REGEXMATCH(C7294, ""薪資""))), ""內部轉帳(忽略)"",
  REGEXMATCH(C7294, ""薪資""), ""薪資變動(不計入)"",
  REGEXMATCH(C7294, ""押金""), ""押金往來"",
  AND(E7294&lt;&gt;"""", F7294=""""), ""真實支出"",
  AND(E7294="""", F7294&lt;&gt;""""), ""真實收入"",
  TRUE, ""其他""
)"),"其他")</f>
        <v>其他</v>
      </c>
      <c r="K7294" s="270" t="str">
        <f t="shared" si="2"/>
        <v/>
      </c>
      <c r="L7294">
        <f t="shared" si="3"/>
        <v>0</v>
      </c>
    </row>
    <row r="7295">
      <c r="A7295" s="107"/>
      <c r="D7295" s="270"/>
      <c r="H7295" s="106" t="str">
        <f t="shared" si="1"/>
        <v/>
      </c>
      <c r="J7295" t="str">
        <f>IFERROR(__xludf.DUMMYFUNCTION("IFS(
  AND(REGEXMATCH(E7295, ""台銀籌備帳戶|玉山帳戶""), REGEXMATCH(C7295, ""薪資"")), ""分潤支出"",
  AND(REGEXMATCH(E7295, ""Ben帳戶|Elsa帳戶|Ben代墊|Ariel代墊|中信銀行共用""), REGEXMATCH(F7295, ""Ben帳戶|Elsa帳戶|Ben代墊|Ariel代墊|中信銀行共用"")), ""內部轉帳(忽略)"",
  AND(E7295&lt;&gt;"""", F7295&lt;&gt;"""", N"&amp;"OT(REGEXMATCH(C7295, ""薪資""))), ""內部轉帳(忽略)"",
  REGEXMATCH(C7295, ""薪資""), ""薪資變動(不計入)"",
  REGEXMATCH(C7295, ""押金""), ""押金往來"",
  AND(E7295&lt;&gt;"""", F7295=""""), ""真實支出"",
  AND(E7295="""", F7295&lt;&gt;""""), ""真實收入"",
  TRUE, ""其他""
)"),"其他")</f>
        <v>其他</v>
      </c>
      <c r="K7295" s="270" t="str">
        <f t="shared" si="2"/>
        <v/>
      </c>
      <c r="L7295">
        <f t="shared" si="3"/>
        <v>0</v>
      </c>
    </row>
    <row r="7296">
      <c r="A7296" s="107"/>
      <c r="D7296" s="270"/>
      <c r="H7296" s="106" t="str">
        <f t="shared" si="1"/>
        <v/>
      </c>
      <c r="J7296" t="str">
        <f>IFERROR(__xludf.DUMMYFUNCTION("IFS(
  AND(REGEXMATCH(E7296, ""台銀籌備帳戶|玉山帳戶""), REGEXMATCH(C7296, ""薪資"")), ""分潤支出"",
  AND(REGEXMATCH(E7296, ""Ben帳戶|Elsa帳戶|Ben代墊|Ariel代墊|中信銀行共用""), REGEXMATCH(F7296, ""Ben帳戶|Elsa帳戶|Ben代墊|Ariel代墊|中信銀行共用"")), ""內部轉帳(忽略)"",
  AND(E7296&lt;&gt;"""", F7296&lt;&gt;"""", N"&amp;"OT(REGEXMATCH(C7296, ""薪資""))), ""內部轉帳(忽略)"",
  REGEXMATCH(C7296, ""薪資""), ""薪資變動(不計入)"",
  REGEXMATCH(C7296, ""押金""), ""押金往來"",
  AND(E7296&lt;&gt;"""", F7296=""""), ""真實支出"",
  AND(E7296="""", F7296&lt;&gt;""""), ""真實收入"",
  TRUE, ""其他""
)"),"其他")</f>
        <v>其他</v>
      </c>
      <c r="K7296" s="270" t="str">
        <f t="shared" si="2"/>
        <v/>
      </c>
      <c r="L7296">
        <f t="shared" si="3"/>
        <v>0</v>
      </c>
    </row>
    <row r="7297">
      <c r="A7297" s="107"/>
      <c r="D7297" s="270"/>
      <c r="H7297" s="106" t="str">
        <f t="shared" si="1"/>
        <v/>
      </c>
      <c r="J7297" t="str">
        <f>IFERROR(__xludf.DUMMYFUNCTION("IFS(
  AND(REGEXMATCH(E7297, ""台銀籌備帳戶|玉山帳戶""), REGEXMATCH(C7297, ""薪資"")), ""分潤支出"",
  AND(REGEXMATCH(E7297, ""Ben帳戶|Elsa帳戶|Ben代墊|Ariel代墊|中信銀行共用""), REGEXMATCH(F7297, ""Ben帳戶|Elsa帳戶|Ben代墊|Ariel代墊|中信銀行共用"")), ""內部轉帳(忽略)"",
  AND(E7297&lt;&gt;"""", F7297&lt;&gt;"""", N"&amp;"OT(REGEXMATCH(C7297, ""薪資""))), ""內部轉帳(忽略)"",
  REGEXMATCH(C7297, ""薪資""), ""薪資變動(不計入)"",
  REGEXMATCH(C7297, ""押金""), ""押金往來"",
  AND(E7297&lt;&gt;"""", F7297=""""), ""真實支出"",
  AND(E7297="""", F7297&lt;&gt;""""), ""真實收入"",
  TRUE, ""其他""
)"),"其他")</f>
        <v>其他</v>
      </c>
      <c r="K7297" s="270" t="str">
        <f t="shared" si="2"/>
        <v/>
      </c>
      <c r="L7297">
        <f t="shared" si="3"/>
        <v>0</v>
      </c>
    </row>
    <row r="7298">
      <c r="A7298" s="107"/>
      <c r="D7298" s="270"/>
      <c r="H7298" s="106" t="str">
        <f t="shared" si="1"/>
        <v/>
      </c>
      <c r="J7298" t="str">
        <f>IFERROR(__xludf.DUMMYFUNCTION("IFS(
  AND(REGEXMATCH(E7298, ""台銀籌備帳戶|玉山帳戶""), REGEXMATCH(C7298, ""薪資"")), ""分潤支出"",
  AND(REGEXMATCH(E7298, ""Ben帳戶|Elsa帳戶|Ben代墊|Ariel代墊|中信銀行共用""), REGEXMATCH(F7298, ""Ben帳戶|Elsa帳戶|Ben代墊|Ariel代墊|中信銀行共用"")), ""內部轉帳(忽略)"",
  AND(E7298&lt;&gt;"""", F7298&lt;&gt;"""", N"&amp;"OT(REGEXMATCH(C7298, ""薪資""))), ""內部轉帳(忽略)"",
  REGEXMATCH(C7298, ""薪資""), ""薪資變動(不計入)"",
  REGEXMATCH(C7298, ""押金""), ""押金往來"",
  AND(E7298&lt;&gt;"""", F7298=""""), ""真實支出"",
  AND(E7298="""", F7298&lt;&gt;""""), ""真實收入"",
  TRUE, ""其他""
)"),"其他")</f>
        <v>其他</v>
      </c>
      <c r="K7298" s="270" t="str">
        <f t="shared" si="2"/>
        <v/>
      </c>
      <c r="L7298">
        <f t="shared" si="3"/>
        <v>0</v>
      </c>
    </row>
    <row r="7299">
      <c r="A7299" s="107"/>
      <c r="D7299" s="270"/>
      <c r="H7299" s="106" t="str">
        <f t="shared" si="1"/>
        <v/>
      </c>
      <c r="J7299" t="str">
        <f>IFERROR(__xludf.DUMMYFUNCTION("IFS(
  AND(REGEXMATCH(E7299, ""台銀籌備帳戶|玉山帳戶""), REGEXMATCH(C7299, ""薪資"")), ""分潤支出"",
  AND(REGEXMATCH(E7299, ""Ben帳戶|Elsa帳戶|Ben代墊|Ariel代墊|中信銀行共用""), REGEXMATCH(F7299, ""Ben帳戶|Elsa帳戶|Ben代墊|Ariel代墊|中信銀行共用"")), ""內部轉帳(忽略)"",
  AND(E7299&lt;&gt;"""", F7299&lt;&gt;"""", N"&amp;"OT(REGEXMATCH(C7299, ""薪資""))), ""內部轉帳(忽略)"",
  REGEXMATCH(C7299, ""薪資""), ""薪資變動(不計入)"",
  REGEXMATCH(C7299, ""押金""), ""押金往來"",
  AND(E7299&lt;&gt;"""", F7299=""""), ""真實支出"",
  AND(E7299="""", F7299&lt;&gt;""""), ""真實收入"",
  TRUE, ""其他""
)"),"其他")</f>
        <v>其他</v>
      </c>
      <c r="K7299" s="270" t="str">
        <f t="shared" si="2"/>
        <v/>
      </c>
      <c r="L7299">
        <f t="shared" si="3"/>
        <v>0</v>
      </c>
    </row>
    <row r="7300">
      <c r="A7300" s="107"/>
      <c r="D7300" s="270"/>
      <c r="H7300" s="106" t="str">
        <f t="shared" si="1"/>
        <v/>
      </c>
      <c r="J7300" t="str">
        <f>IFERROR(__xludf.DUMMYFUNCTION("IFS(
  AND(REGEXMATCH(E7300, ""台銀籌備帳戶|玉山帳戶""), REGEXMATCH(C7300, ""薪資"")), ""分潤支出"",
  AND(REGEXMATCH(E7300, ""Ben帳戶|Elsa帳戶|Ben代墊|Ariel代墊|中信銀行共用""), REGEXMATCH(F7300, ""Ben帳戶|Elsa帳戶|Ben代墊|Ariel代墊|中信銀行共用"")), ""內部轉帳(忽略)"",
  AND(E7300&lt;&gt;"""", F7300&lt;&gt;"""", N"&amp;"OT(REGEXMATCH(C7300, ""薪資""))), ""內部轉帳(忽略)"",
  REGEXMATCH(C7300, ""薪資""), ""薪資變動(不計入)"",
  REGEXMATCH(C7300, ""押金""), ""押金往來"",
  AND(E7300&lt;&gt;"""", F7300=""""), ""真實支出"",
  AND(E7300="""", F7300&lt;&gt;""""), ""真實收入"",
  TRUE, ""其他""
)"),"其他")</f>
        <v>其他</v>
      </c>
      <c r="K7300" s="270" t="str">
        <f t="shared" si="2"/>
        <v/>
      </c>
      <c r="L7300">
        <f t="shared" si="3"/>
        <v>0</v>
      </c>
    </row>
    <row r="7301">
      <c r="A7301" s="107"/>
      <c r="D7301" s="270"/>
      <c r="H7301" s="106" t="str">
        <f t="shared" si="1"/>
        <v/>
      </c>
      <c r="J7301" t="str">
        <f>IFERROR(__xludf.DUMMYFUNCTION("IFS(
  AND(REGEXMATCH(E7301, ""台銀籌備帳戶|玉山帳戶""), REGEXMATCH(C7301, ""薪資"")), ""分潤支出"",
  AND(REGEXMATCH(E7301, ""Ben帳戶|Elsa帳戶|Ben代墊|Ariel代墊|中信銀行共用""), REGEXMATCH(F7301, ""Ben帳戶|Elsa帳戶|Ben代墊|Ariel代墊|中信銀行共用"")), ""內部轉帳(忽略)"",
  AND(E7301&lt;&gt;"""", F7301&lt;&gt;"""", N"&amp;"OT(REGEXMATCH(C7301, ""薪資""))), ""內部轉帳(忽略)"",
  REGEXMATCH(C7301, ""薪資""), ""薪資變動(不計入)"",
  REGEXMATCH(C7301, ""押金""), ""押金往來"",
  AND(E7301&lt;&gt;"""", F7301=""""), ""真實支出"",
  AND(E7301="""", F7301&lt;&gt;""""), ""真實收入"",
  TRUE, ""其他""
)"),"其他")</f>
        <v>其他</v>
      </c>
      <c r="K7301" s="270" t="str">
        <f t="shared" si="2"/>
        <v/>
      </c>
      <c r="L7301">
        <f t="shared" si="3"/>
        <v>0</v>
      </c>
    </row>
    <row r="7302">
      <c r="A7302" s="107"/>
      <c r="D7302" s="270"/>
      <c r="H7302" s="106" t="str">
        <f t="shared" si="1"/>
        <v/>
      </c>
      <c r="J7302" t="str">
        <f>IFERROR(__xludf.DUMMYFUNCTION("IFS(
  AND(REGEXMATCH(E7302, ""台銀籌備帳戶|玉山帳戶""), REGEXMATCH(C7302, ""薪資"")), ""分潤支出"",
  AND(REGEXMATCH(E7302, ""Ben帳戶|Elsa帳戶|Ben代墊|Ariel代墊|中信銀行共用""), REGEXMATCH(F7302, ""Ben帳戶|Elsa帳戶|Ben代墊|Ariel代墊|中信銀行共用"")), ""內部轉帳(忽略)"",
  AND(E7302&lt;&gt;"""", F7302&lt;&gt;"""", N"&amp;"OT(REGEXMATCH(C7302, ""薪資""))), ""內部轉帳(忽略)"",
  REGEXMATCH(C7302, ""薪資""), ""薪資變動(不計入)"",
  REGEXMATCH(C7302, ""押金""), ""押金往來"",
  AND(E7302&lt;&gt;"""", F7302=""""), ""真實支出"",
  AND(E7302="""", F7302&lt;&gt;""""), ""真實收入"",
  TRUE, ""其他""
)"),"其他")</f>
        <v>其他</v>
      </c>
      <c r="K7302" s="270" t="str">
        <f t="shared" si="2"/>
        <v/>
      </c>
      <c r="L7302">
        <f t="shared" si="3"/>
        <v>0</v>
      </c>
    </row>
    <row r="7303">
      <c r="A7303" s="107"/>
      <c r="D7303" s="270"/>
      <c r="H7303" s="106" t="str">
        <f t="shared" si="1"/>
        <v/>
      </c>
      <c r="J7303" t="str">
        <f>IFERROR(__xludf.DUMMYFUNCTION("IFS(
  AND(REGEXMATCH(E7303, ""台銀籌備帳戶|玉山帳戶""), REGEXMATCH(C7303, ""薪資"")), ""分潤支出"",
  AND(REGEXMATCH(E7303, ""Ben帳戶|Elsa帳戶|Ben代墊|Ariel代墊|中信銀行共用""), REGEXMATCH(F7303, ""Ben帳戶|Elsa帳戶|Ben代墊|Ariel代墊|中信銀行共用"")), ""內部轉帳(忽略)"",
  AND(E7303&lt;&gt;"""", F7303&lt;&gt;"""", N"&amp;"OT(REGEXMATCH(C7303, ""薪資""))), ""內部轉帳(忽略)"",
  REGEXMATCH(C7303, ""薪資""), ""薪資變動(不計入)"",
  REGEXMATCH(C7303, ""押金""), ""押金往來"",
  AND(E7303&lt;&gt;"""", F7303=""""), ""真實支出"",
  AND(E7303="""", F7303&lt;&gt;""""), ""真實收入"",
  TRUE, ""其他""
)"),"其他")</f>
        <v>其他</v>
      </c>
      <c r="K7303" s="270" t="str">
        <f t="shared" si="2"/>
        <v/>
      </c>
      <c r="L7303">
        <f t="shared" si="3"/>
        <v>0</v>
      </c>
    </row>
    <row r="7304">
      <c r="A7304" s="107"/>
      <c r="D7304" s="270"/>
      <c r="H7304" s="106" t="str">
        <f t="shared" si="1"/>
        <v/>
      </c>
      <c r="J7304" t="str">
        <f>IFERROR(__xludf.DUMMYFUNCTION("IFS(
  AND(REGEXMATCH(E7304, ""台銀籌備帳戶|玉山帳戶""), REGEXMATCH(C7304, ""薪資"")), ""分潤支出"",
  AND(REGEXMATCH(E7304, ""Ben帳戶|Elsa帳戶|Ben代墊|Ariel代墊|中信銀行共用""), REGEXMATCH(F7304, ""Ben帳戶|Elsa帳戶|Ben代墊|Ariel代墊|中信銀行共用"")), ""內部轉帳(忽略)"",
  AND(E7304&lt;&gt;"""", F7304&lt;&gt;"""", N"&amp;"OT(REGEXMATCH(C7304, ""薪資""))), ""內部轉帳(忽略)"",
  REGEXMATCH(C7304, ""薪資""), ""薪資變動(不計入)"",
  REGEXMATCH(C7304, ""押金""), ""押金往來"",
  AND(E7304&lt;&gt;"""", F7304=""""), ""真實支出"",
  AND(E7304="""", F7304&lt;&gt;""""), ""真實收入"",
  TRUE, ""其他""
)"),"其他")</f>
        <v>其他</v>
      </c>
      <c r="K7304" s="270" t="str">
        <f t="shared" si="2"/>
        <v/>
      </c>
      <c r="L7304">
        <f t="shared" si="3"/>
        <v>0</v>
      </c>
    </row>
    <row r="7305">
      <c r="A7305" s="107"/>
      <c r="D7305" s="270"/>
      <c r="H7305" s="106" t="str">
        <f t="shared" si="1"/>
        <v/>
      </c>
      <c r="J7305" t="str">
        <f>IFERROR(__xludf.DUMMYFUNCTION("IFS(
  AND(REGEXMATCH(E7305, ""台銀籌備帳戶|玉山帳戶""), REGEXMATCH(C7305, ""薪資"")), ""分潤支出"",
  AND(REGEXMATCH(E7305, ""Ben帳戶|Elsa帳戶|Ben代墊|Ariel代墊|中信銀行共用""), REGEXMATCH(F7305, ""Ben帳戶|Elsa帳戶|Ben代墊|Ariel代墊|中信銀行共用"")), ""內部轉帳(忽略)"",
  AND(E7305&lt;&gt;"""", F7305&lt;&gt;"""", N"&amp;"OT(REGEXMATCH(C7305, ""薪資""))), ""內部轉帳(忽略)"",
  REGEXMATCH(C7305, ""薪資""), ""薪資變動(不計入)"",
  REGEXMATCH(C7305, ""押金""), ""押金往來"",
  AND(E7305&lt;&gt;"""", F7305=""""), ""真實支出"",
  AND(E7305="""", F7305&lt;&gt;""""), ""真實收入"",
  TRUE, ""其他""
)"),"其他")</f>
        <v>其他</v>
      </c>
      <c r="K7305" s="270" t="str">
        <f t="shared" si="2"/>
        <v/>
      </c>
      <c r="L7305">
        <f t="shared" si="3"/>
        <v>0</v>
      </c>
    </row>
    <row r="7306">
      <c r="A7306" s="107"/>
      <c r="D7306" s="270"/>
      <c r="H7306" s="106" t="str">
        <f t="shared" si="1"/>
        <v/>
      </c>
      <c r="J7306" t="str">
        <f>IFERROR(__xludf.DUMMYFUNCTION("IFS(
  AND(REGEXMATCH(E7306, ""台銀籌備帳戶|玉山帳戶""), REGEXMATCH(C7306, ""薪資"")), ""分潤支出"",
  AND(REGEXMATCH(E7306, ""Ben帳戶|Elsa帳戶|Ben代墊|Ariel代墊|中信銀行共用""), REGEXMATCH(F7306, ""Ben帳戶|Elsa帳戶|Ben代墊|Ariel代墊|中信銀行共用"")), ""內部轉帳(忽略)"",
  AND(E7306&lt;&gt;"""", F7306&lt;&gt;"""", N"&amp;"OT(REGEXMATCH(C7306, ""薪資""))), ""內部轉帳(忽略)"",
  REGEXMATCH(C7306, ""薪資""), ""薪資變動(不計入)"",
  REGEXMATCH(C7306, ""押金""), ""押金往來"",
  AND(E7306&lt;&gt;"""", F7306=""""), ""真實支出"",
  AND(E7306="""", F7306&lt;&gt;""""), ""真實收入"",
  TRUE, ""其他""
)"),"其他")</f>
        <v>其他</v>
      </c>
      <c r="K7306" s="270" t="str">
        <f t="shared" si="2"/>
        <v/>
      </c>
      <c r="L7306">
        <f t="shared" si="3"/>
        <v>0</v>
      </c>
    </row>
    <row r="7307">
      <c r="A7307" s="107"/>
      <c r="D7307" s="270"/>
      <c r="H7307" s="106" t="str">
        <f t="shared" si="1"/>
        <v/>
      </c>
      <c r="J7307" t="str">
        <f>IFERROR(__xludf.DUMMYFUNCTION("IFS(
  AND(REGEXMATCH(E7307, ""台銀籌備帳戶|玉山帳戶""), REGEXMATCH(C7307, ""薪資"")), ""分潤支出"",
  AND(REGEXMATCH(E7307, ""Ben帳戶|Elsa帳戶|Ben代墊|Ariel代墊|中信銀行共用""), REGEXMATCH(F7307, ""Ben帳戶|Elsa帳戶|Ben代墊|Ariel代墊|中信銀行共用"")), ""內部轉帳(忽略)"",
  AND(E7307&lt;&gt;"""", F7307&lt;&gt;"""", N"&amp;"OT(REGEXMATCH(C7307, ""薪資""))), ""內部轉帳(忽略)"",
  REGEXMATCH(C7307, ""薪資""), ""薪資變動(不計入)"",
  REGEXMATCH(C7307, ""押金""), ""押金往來"",
  AND(E7307&lt;&gt;"""", F7307=""""), ""真實支出"",
  AND(E7307="""", F7307&lt;&gt;""""), ""真實收入"",
  TRUE, ""其他""
)"),"其他")</f>
        <v>其他</v>
      </c>
      <c r="K7307" s="270" t="str">
        <f t="shared" si="2"/>
        <v/>
      </c>
      <c r="L7307">
        <f t="shared" si="3"/>
        <v>0</v>
      </c>
    </row>
    <row r="7308">
      <c r="A7308" s="107"/>
      <c r="D7308" s="270"/>
      <c r="H7308" s="106" t="str">
        <f t="shared" si="1"/>
        <v/>
      </c>
      <c r="J7308" t="str">
        <f>IFERROR(__xludf.DUMMYFUNCTION("IFS(
  AND(REGEXMATCH(E7308, ""台銀籌備帳戶|玉山帳戶""), REGEXMATCH(C7308, ""薪資"")), ""分潤支出"",
  AND(REGEXMATCH(E7308, ""Ben帳戶|Elsa帳戶|Ben代墊|Ariel代墊|中信銀行共用""), REGEXMATCH(F7308, ""Ben帳戶|Elsa帳戶|Ben代墊|Ariel代墊|中信銀行共用"")), ""內部轉帳(忽略)"",
  AND(E7308&lt;&gt;"""", F7308&lt;&gt;"""", N"&amp;"OT(REGEXMATCH(C7308, ""薪資""))), ""內部轉帳(忽略)"",
  REGEXMATCH(C7308, ""薪資""), ""薪資變動(不計入)"",
  REGEXMATCH(C7308, ""押金""), ""押金往來"",
  AND(E7308&lt;&gt;"""", F7308=""""), ""真實支出"",
  AND(E7308="""", F7308&lt;&gt;""""), ""真實收入"",
  TRUE, ""其他""
)"),"其他")</f>
        <v>其他</v>
      </c>
      <c r="K7308" s="270" t="str">
        <f t="shared" si="2"/>
        <v/>
      </c>
      <c r="L7308">
        <f t="shared" si="3"/>
        <v>0</v>
      </c>
    </row>
    <row r="7309">
      <c r="A7309" s="107"/>
      <c r="D7309" s="270"/>
      <c r="H7309" s="106" t="str">
        <f t="shared" si="1"/>
        <v/>
      </c>
      <c r="J7309" t="str">
        <f>IFERROR(__xludf.DUMMYFUNCTION("IFS(
  AND(REGEXMATCH(E7309, ""台銀籌備帳戶|玉山帳戶""), REGEXMATCH(C7309, ""薪資"")), ""分潤支出"",
  AND(REGEXMATCH(E7309, ""Ben帳戶|Elsa帳戶|Ben代墊|Ariel代墊|中信銀行共用""), REGEXMATCH(F7309, ""Ben帳戶|Elsa帳戶|Ben代墊|Ariel代墊|中信銀行共用"")), ""內部轉帳(忽略)"",
  AND(E7309&lt;&gt;"""", F7309&lt;&gt;"""", N"&amp;"OT(REGEXMATCH(C7309, ""薪資""))), ""內部轉帳(忽略)"",
  REGEXMATCH(C7309, ""薪資""), ""薪資變動(不計入)"",
  REGEXMATCH(C7309, ""押金""), ""押金往來"",
  AND(E7309&lt;&gt;"""", F7309=""""), ""真實支出"",
  AND(E7309="""", F7309&lt;&gt;""""), ""真實收入"",
  TRUE, ""其他""
)"),"其他")</f>
        <v>其他</v>
      </c>
      <c r="K7309" s="270" t="str">
        <f t="shared" si="2"/>
        <v/>
      </c>
      <c r="L7309">
        <f t="shared" si="3"/>
        <v>0</v>
      </c>
    </row>
    <row r="7310">
      <c r="A7310" s="107"/>
      <c r="D7310" s="270"/>
      <c r="H7310" s="106" t="str">
        <f t="shared" si="1"/>
        <v/>
      </c>
      <c r="J7310" t="str">
        <f>IFERROR(__xludf.DUMMYFUNCTION("IFS(
  AND(REGEXMATCH(E7310, ""台銀籌備帳戶|玉山帳戶""), REGEXMATCH(C7310, ""薪資"")), ""分潤支出"",
  AND(REGEXMATCH(E7310, ""Ben帳戶|Elsa帳戶|Ben代墊|Ariel代墊|中信銀行共用""), REGEXMATCH(F7310, ""Ben帳戶|Elsa帳戶|Ben代墊|Ariel代墊|中信銀行共用"")), ""內部轉帳(忽略)"",
  AND(E7310&lt;&gt;"""", F7310&lt;&gt;"""", N"&amp;"OT(REGEXMATCH(C7310, ""薪資""))), ""內部轉帳(忽略)"",
  REGEXMATCH(C7310, ""薪資""), ""薪資變動(不計入)"",
  REGEXMATCH(C7310, ""押金""), ""押金往來"",
  AND(E7310&lt;&gt;"""", F7310=""""), ""真實支出"",
  AND(E7310="""", F7310&lt;&gt;""""), ""真實收入"",
  TRUE, ""其他""
)"),"其他")</f>
        <v>其他</v>
      </c>
      <c r="K7310" s="270" t="str">
        <f t="shared" si="2"/>
        <v/>
      </c>
      <c r="L7310">
        <f t="shared" si="3"/>
        <v>0</v>
      </c>
    </row>
    <row r="7311">
      <c r="A7311" s="107"/>
      <c r="D7311" s="270"/>
      <c r="H7311" s="106" t="str">
        <f t="shared" si="1"/>
        <v/>
      </c>
      <c r="J7311" t="str">
        <f>IFERROR(__xludf.DUMMYFUNCTION("IFS(
  AND(REGEXMATCH(E7311, ""台銀籌備帳戶|玉山帳戶""), REGEXMATCH(C7311, ""薪資"")), ""分潤支出"",
  AND(REGEXMATCH(E7311, ""Ben帳戶|Elsa帳戶|Ben代墊|Ariel代墊|中信銀行共用""), REGEXMATCH(F7311, ""Ben帳戶|Elsa帳戶|Ben代墊|Ariel代墊|中信銀行共用"")), ""內部轉帳(忽略)"",
  AND(E7311&lt;&gt;"""", F7311&lt;&gt;"""", N"&amp;"OT(REGEXMATCH(C7311, ""薪資""))), ""內部轉帳(忽略)"",
  REGEXMATCH(C7311, ""薪資""), ""薪資變動(不計入)"",
  REGEXMATCH(C7311, ""押金""), ""押金往來"",
  AND(E7311&lt;&gt;"""", F7311=""""), ""真實支出"",
  AND(E7311="""", F7311&lt;&gt;""""), ""真實收入"",
  TRUE, ""其他""
)"),"其他")</f>
        <v>其他</v>
      </c>
      <c r="K7311" s="270" t="str">
        <f t="shared" si="2"/>
        <v/>
      </c>
      <c r="L7311">
        <f t="shared" si="3"/>
        <v>0</v>
      </c>
    </row>
    <row r="7312">
      <c r="A7312" s="107"/>
      <c r="D7312" s="270"/>
      <c r="H7312" s="106" t="str">
        <f t="shared" si="1"/>
        <v/>
      </c>
      <c r="J7312" t="str">
        <f>IFERROR(__xludf.DUMMYFUNCTION("IFS(
  AND(REGEXMATCH(E7312, ""台銀籌備帳戶|玉山帳戶""), REGEXMATCH(C7312, ""薪資"")), ""分潤支出"",
  AND(REGEXMATCH(E7312, ""Ben帳戶|Elsa帳戶|Ben代墊|Ariel代墊|中信銀行共用""), REGEXMATCH(F7312, ""Ben帳戶|Elsa帳戶|Ben代墊|Ariel代墊|中信銀行共用"")), ""內部轉帳(忽略)"",
  AND(E7312&lt;&gt;"""", F7312&lt;&gt;"""", N"&amp;"OT(REGEXMATCH(C7312, ""薪資""))), ""內部轉帳(忽略)"",
  REGEXMATCH(C7312, ""薪資""), ""薪資變動(不計入)"",
  REGEXMATCH(C7312, ""押金""), ""押金往來"",
  AND(E7312&lt;&gt;"""", F7312=""""), ""真實支出"",
  AND(E7312="""", F7312&lt;&gt;""""), ""真實收入"",
  TRUE, ""其他""
)"),"其他")</f>
        <v>其他</v>
      </c>
      <c r="K7312" s="270" t="str">
        <f t="shared" si="2"/>
        <v/>
      </c>
      <c r="L7312">
        <f t="shared" si="3"/>
        <v>0</v>
      </c>
    </row>
    <row r="7313">
      <c r="A7313" s="107"/>
      <c r="D7313" s="270"/>
      <c r="H7313" s="106" t="str">
        <f t="shared" si="1"/>
        <v/>
      </c>
      <c r="J7313" t="str">
        <f>IFERROR(__xludf.DUMMYFUNCTION("IFS(
  AND(REGEXMATCH(E7313, ""台銀籌備帳戶|玉山帳戶""), REGEXMATCH(C7313, ""薪資"")), ""分潤支出"",
  AND(REGEXMATCH(E7313, ""Ben帳戶|Elsa帳戶|Ben代墊|Ariel代墊|中信銀行共用""), REGEXMATCH(F7313, ""Ben帳戶|Elsa帳戶|Ben代墊|Ariel代墊|中信銀行共用"")), ""內部轉帳(忽略)"",
  AND(E7313&lt;&gt;"""", F7313&lt;&gt;"""", N"&amp;"OT(REGEXMATCH(C7313, ""薪資""))), ""內部轉帳(忽略)"",
  REGEXMATCH(C7313, ""薪資""), ""薪資變動(不計入)"",
  REGEXMATCH(C7313, ""押金""), ""押金往來"",
  AND(E7313&lt;&gt;"""", F7313=""""), ""真實支出"",
  AND(E7313="""", F7313&lt;&gt;""""), ""真實收入"",
  TRUE, ""其他""
)"),"其他")</f>
        <v>其他</v>
      </c>
      <c r="K7313" s="270" t="str">
        <f t="shared" si="2"/>
        <v/>
      </c>
      <c r="L7313">
        <f t="shared" si="3"/>
        <v>0</v>
      </c>
    </row>
    <row r="7314">
      <c r="A7314" s="107"/>
      <c r="D7314" s="270"/>
      <c r="H7314" s="106" t="str">
        <f t="shared" si="1"/>
        <v/>
      </c>
      <c r="J7314" t="str">
        <f>IFERROR(__xludf.DUMMYFUNCTION("IFS(
  AND(REGEXMATCH(E7314, ""台銀籌備帳戶|玉山帳戶""), REGEXMATCH(C7314, ""薪資"")), ""分潤支出"",
  AND(REGEXMATCH(E7314, ""Ben帳戶|Elsa帳戶|Ben代墊|Ariel代墊|中信銀行共用""), REGEXMATCH(F7314, ""Ben帳戶|Elsa帳戶|Ben代墊|Ariel代墊|中信銀行共用"")), ""內部轉帳(忽略)"",
  AND(E7314&lt;&gt;"""", F7314&lt;&gt;"""", N"&amp;"OT(REGEXMATCH(C7314, ""薪資""))), ""內部轉帳(忽略)"",
  REGEXMATCH(C7314, ""薪資""), ""薪資變動(不計入)"",
  REGEXMATCH(C7314, ""押金""), ""押金往來"",
  AND(E7314&lt;&gt;"""", F7314=""""), ""真實支出"",
  AND(E7314="""", F7314&lt;&gt;""""), ""真實收入"",
  TRUE, ""其他""
)"),"其他")</f>
        <v>其他</v>
      </c>
      <c r="K7314" s="270" t="str">
        <f t="shared" si="2"/>
        <v/>
      </c>
      <c r="L7314">
        <f t="shared" si="3"/>
        <v>0</v>
      </c>
    </row>
    <row r="7315">
      <c r="A7315" s="107"/>
      <c r="D7315" s="270"/>
      <c r="H7315" s="106" t="str">
        <f t="shared" si="1"/>
        <v/>
      </c>
      <c r="J7315" t="str">
        <f>IFERROR(__xludf.DUMMYFUNCTION("IFS(
  AND(REGEXMATCH(E7315, ""台銀籌備帳戶|玉山帳戶""), REGEXMATCH(C7315, ""薪資"")), ""分潤支出"",
  AND(REGEXMATCH(E7315, ""Ben帳戶|Elsa帳戶|Ben代墊|Ariel代墊|中信銀行共用""), REGEXMATCH(F7315, ""Ben帳戶|Elsa帳戶|Ben代墊|Ariel代墊|中信銀行共用"")), ""內部轉帳(忽略)"",
  AND(E7315&lt;&gt;"""", F7315&lt;&gt;"""", N"&amp;"OT(REGEXMATCH(C7315, ""薪資""))), ""內部轉帳(忽略)"",
  REGEXMATCH(C7315, ""薪資""), ""薪資變動(不計入)"",
  REGEXMATCH(C7315, ""押金""), ""押金往來"",
  AND(E7315&lt;&gt;"""", F7315=""""), ""真實支出"",
  AND(E7315="""", F7315&lt;&gt;""""), ""真實收入"",
  TRUE, ""其他""
)"),"其他")</f>
        <v>其他</v>
      </c>
      <c r="K7315" s="270" t="str">
        <f t="shared" si="2"/>
        <v/>
      </c>
      <c r="L7315">
        <f t="shared" si="3"/>
        <v>0</v>
      </c>
    </row>
    <row r="7316">
      <c r="A7316" s="107"/>
      <c r="D7316" s="270"/>
      <c r="H7316" s="106" t="str">
        <f t="shared" si="1"/>
        <v/>
      </c>
      <c r="J7316" t="str">
        <f>IFERROR(__xludf.DUMMYFUNCTION("IFS(
  AND(REGEXMATCH(E7316, ""台銀籌備帳戶|玉山帳戶""), REGEXMATCH(C7316, ""薪資"")), ""分潤支出"",
  AND(REGEXMATCH(E7316, ""Ben帳戶|Elsa帳戶|Ben代墊|Ariel代墊|中信銀行共用""), REGEXMATCH(F7316, ""Ben帳戶|Elsa帳戶|Ben代墊|Ariel代墊|中信銀行共用"")), ""內部轉帳(忽略)"",
  AND(E7316&lt;&gt;"""", F7316&lt;&gt;"""", N"&amp;"OT(REGEXMATCH(C7316, ""薪資""))), ""內部轉帳(忽略)"",
  REGEXMATCH(C7316, ""薪資""), ""薪資變動(不計入)"",
  REGEXMATCH(C7316, ""押金""), ""押金往來"",
  AND(E7316&lt;&gt;"""", F7316=""""), ""真實支出"",
  AND(E7316="""", F7316&lt;&gt;""""), ""真實收入"",
  TRUE, ""其他""
)"),"其他")</f>
        <v>其他</v>
      </c>
      <c r="K7316" s="270" t="str">
        <f t="shared" si="2"/>
        <v/>
      </c>
      <c r="L7316">
        <f t="shared" si="3"/>
        <v>0</v>
      </c>
    </row>
    <row r="7317">
      <c r="A7317" s="107"/>
      <c r="D7317" s="270"/>
      <c r="H7317" s="106" t="str">
        <f t="shared" si="1"/>
        <v/>
      </c>
      <c r="J7317" t="str">
        <f>IFERROR(__xludf.DUMMYFUNCTION("IFS(
  AND(REGEXMATCH(E7317, ""台銀籌備帳戶|玉山帳戶""), REGEXMATCH(C7317, ""薪資"")), ""分潤支出"",
  AND(REGEXMATCH(E7317, ""Ben帳戶|Elsa帳戶|Ben代墊|Ariel代墊|中信銀行共用""), REGEXMATCH(F7317, ""Ben帳戶|Elsa帳戶|Ben代墊|Ariel代墊|中信銀行共用"")), ""內部轉帳(忽略)"",
  AND(E7317&lt;&gt;"""", F7317&lt;&gt;"""", N"&amp;"OT(REGEXMATCH(C7317, ""薪資""))), ""內部轉帳(忽略)"",
  REGEXMATCH(C7317, ""薪資""), ""薪資變動(不計入)"",
  REGEXMATCH(C7317, ""押金""), ""押金往來"",
  AND(E7317&lt;&gt;"""", F7317=""""), ""真實支出"",
  AND(E7317="""", F7317&lt;&gt;""""), ""真實收入"",
  TRUE, ""其他""
)"),"其他")</f>
        <v>其他</v>
      </c>
      <c r="K7317" s="270" t="str">
        <f t="shared" si="2"/>
        <v/>
      </c>
      <c r="L7317">
        <f t="shared" si="3"/>
        <v>0</v>
      </c>
    </row>
    <row r="7318">
      <c r="A7318" s="107"/>
      <c r="D7318" s="270"/>
      <c r="H7318" s="106" t="str">
        <f t="shared" si="1"/>
        <v/>
      </c>
      <c r="J7318" t="str">
        <f>IFERROR(__xludf.DUMMYFUNCTION("IFS(
  AND(REGEXMATCH(E7318, ""台銀籌備帳戶|玉山帳戶""), REGEXMATCH(C7318, ""薪資"")), ""分潤支出"",
  AND(REGEXMATCH(E7318, ""Ben帳戶|Elsa帳戶|Ben代墊|Ariel代墊|中信銀行共用""), REGEXMATCH(F7318, ""Ben帳戶|Elsa帳戶|Ben代墊|Ariel代墊|中信銀行共用"")), ""內部轉帳(忽略)"",
  AND(E7318&lt;&gt;"""", F7318&lt;&gt;"""", N"&amp;"OT(REGEXMATCH(C7318, ""薪資""))), ""內部轉帳(忽略)"",
  REGEXMATCH(C7318, ""薪資""), ""薪資變動(不計入)"",
  REGEXMATCH(C7318, ""押金""), ""押金往來"",
  AND(E7318&lt;&gt;"""", F7318=""""), ""真實支出"",
  AND(E7318="""", F7318&lt;&gt;""""), ""真實收入"",
  TRUE, ""其他""
)"),"其他")</f>
        <v>其他</v>
      </c>
      <c r="K7318" s="270" t="str">
        <f t="shared" si="2"/>
        <v/>
      </c>
      <c r="L7318">
        <f t="shared" si="3"/>
        <v>0</v>
      </c>
    </row>
    <row r="7319">
      <c r="A7319" s="107"/>
      <c r="D7319" s="270"/>
      <c r="H7319" s="106" t="str">
        <f t="shared" si="1"/>
        <v/>
      </c>
      <c r="J7319" t="str">
        <f>IFERROR(__xludf.DUMMYFUNCTION("IFS(
  AND(REGEXMATCH(E7319, ""台銀籌備帳戶|玉山帳戶""), REGEXMATCH(C7319, ""薪資"")), ""分潤支出"",
  AND(REGEXMATCH(E7319, ""Ben帳戶|Elsa帳戶|Ben代墊|Ariel代墊|中信銀行共用""), REGEXMATCH(F7319, ""Ben帳戶|Elsa帳戶|Ben代墊|Ariel代墊|中信銀行共用"")), ""內部轉帳(忽略)"",
  AND(E7319&lt;&gt;"""", F7319&lt;&gt;"""", N"&amp;"OT(REGEXMATCH(C7319, ""薪資""))), ""內部轉帳(忽略)"",
  REGEXMATCH(C7319, ""薪資""), ""薪資變動(不計入)"",
  REGEXMATCH(C7319, ""押金""), ""押金往來"",
  AND(E7319&lt;&gt;"""", F7319=""""), ""真實支出"",
  AND(E7319="""", F7319&lt;&gt;""""), ""真實收入"",
  TRUE, ""其他""
)"),"其他")</f>
        <v>其他</v>
      </c>
      <c r="K7319" s="270" t="str">
        <f t="shared" si="2"/>
        <v/>
      </c>
      <c r="L7319">
        <f t="shared" si="3"/>
        <v>0</v>
      </c>
    </row>
    <row r="7320">
      <c r="A7320" s="107"/>
      <c r="D7320" s="270"/>
      <c r="H7320" s="106" t="str">
        <f t="shared" si="1"/>
        <v/>
      </c>
      <c r="J7320" t="str">
        <f>IFERROR(__xludf.DUMMYFUNCTION("IFS(
  AND(REGEXMATCH(E7320, ""台銀籌備帳戶|玉山帳戶""), REGEXMATCH(C7320, ""薪資"")), ""分潤支出"",
  AND(REGEXMATCH(E7320, ""Ben帳戶|Elsa帳戶|Ben代墊|Ariel代墊|中信銀行共用""), REGEXMATCH(F7320, ""Ben帳戶|Elsa帳戶|Ben代墊|Ariel代墊|中信銀行共用"")), ""內部轉帳(忽略)"",
  AND(E7320&lt;&gt;"""", F7320&lt;&gt;"""", N"&amp;"OT(REGEXMATCH(C7320, ""薪資""))), ""內部轉帳(忽略)"",
  REGEXMATCH(C7320, ""薪資""), ""薪資變動(不計入)"",
  REGEXMATCH(C7320, ""押金""), ""押金往來"",
  AND(E7320&lt;&gt;"""", F7320=""""), ""真實支出"",
  AND(E7320="""", F7320&lt;&gt;""""), ""真實收入"",
  TRUE, ""其他""
)"),"其他")</f>
        <v>其他</v>
      </c>
      <c r="K7320" s="270" t="str">
        <f t="shared" si="2"/>
        <v/>
      </c>
      <c r="L7320">
        <f t="shared" si="3"/>
        <v>0</v>
      </c>
    </row>
    <row r="7321">
      <c r="A7321" s="107"/>
      <c r="D7321" s="270"/>
      <c r="H7321" s="106" t="str">
        <f t="shared" si="1"/>
        <v/>
      </c>
      <c r="J7321" t="str">
        <f>IFERROR(__xludf.DUMMYFUNCTION("IFS(
  AND(REGEXMATCH(E7321, ""台銀籌備帳戶|玉山帳戶""), REGEXMATCH(C7321, ""薪資"")), ""分潤支出"",
  AND(REGEXMATCH(E7321, ""Ben帳戶|Elsa帳戶|Ben代墊|Ariel代墊|中信銀行共用""), REGEXMATCH(F7321, ""Ben帳戶|Elsa帳戶|Ben代墊|Ariel代墊|中信銀行共用"")), ""內部轉帳(忽略)"",
  AND(E7321&lt;&gt;"""", F7321&lt;&gt;"""", N"&amp;"OT(REGEXMATCH(C7321, ""薪資""))), ""內部轉帳(忽略)"",
  REGEXMATCH(C7321, ""薪資""), ""薪資變動(不計入)"",
  REGEXMATCH(C7321, ""押金""), ""押金往來"",
  AND(E7321&lt;&gt;"""", F7321=""""), ""真實支出"",
  AND(E7321="""", F7321&lt;&gt;""""), ""真實收入"",
  TRUE, ""其他""
)"),"其他")</f>
        <v>其他</v>
      </c>
      <c r="K7321" s="270" t="str">
        <f t="shared" si="2"/>
        <v/>
      </c>
      <c r="L7321">
        <f t="shared" si="3"/>
        <v>0</v>
      </c>
    </row>
    <row r="7322">
      <c r="A7322" s="107"/>
      <c r="D7322" s="270"/>
      <c r="H7322" s="106" t="str">
        <f t="shared" si="1"/>
        <v/>
      </c>
      <c r="J7322" t="str">
        <f>IFERROR(__xludf.DUMMYFUNCTION("IFS(
  AND(REGEXMATCH(E7322, ""台銀籌備帳戶|玉山帳戶""), REGEXMATCH(C7322, ""薪資"")), ""分潤支出"",
  AND(REGEXMATCH(E7322, ""Ben帳戶|Elsa帳戶|Ben代墊|Ariel代墊|中信銀行共用""), REGEXMATCH(F7322, ""Ben帳戶|Elsa帳戶|Ben代墊|Ariel代墊|中信銀行共用"")), ""內部轉帳(忽略)"",
  AND(E7322&lt;&gt;"""", F7322&lt;&gt;"""", N"&amp;"OT(REGEXMATCH(C7322, ""薪資""))), ""內部轉帳(忽略)"",
  REGEXMATCH(C7322, ""薪資""), ""薪資變動(不計入)"",
  REGEXMATCH(C7322, ""押金""), ""押金往來"",
  AND(E7322&lt;&gt;"""", F7322=""""), ""真實支出"",
  AND(E7322="""", F7322&lt;&gt;""""), ""真實收入"",
  TRUE, ""其他""
)"),"其他")</f>
        <v>其他</v>
      </c>
      <c r="K7322" s="270" t="str">
        <f t="shared" si="2"/>
        <v/>
      </c>
      <c r="L7322">
        <f t="shared" si="3"/>
        <v>0</v>
      </c>
    </row>
    <row r="7323">
      <c r="A7323" s="107"/>
      <c r="D7323" s="270"/>
      <c r="H7323" s="106" t="str">
        <f t="shared" si="1"/>
        <v/>
      </c>
      <c r="J7323" t="str">
        <f>IFERROR(__xludf.DUMMYFUNCTION("IFS(
  AND(REGEXMATCH(E7323, ""台銀籌備帳戶|玉山帳戶""), REGEXMATCH(C7323, ""薪資"")), ""分潤支出"",
  AND(REGEXMATCH(E7323, ""Ben帳戶|Elsa帳戶|Ben代墊|Ariel代墊|中信銀行共用""), REGEXMATCH(F7323, ""Ben帳戶|Elsa帳戶|Ben代墊|Ariel代墊|中信銀行共用"")), ""內部轉帳(忽略)"",
  AND(E7323&lt;&gt;"""", F7323&lt;&gt;"""", N"&amp;"OT(REGEXMATCH(C7323, ""薪資""))), ""內部轉帳(忽略)"",
  REGEXMATCH(C7323, ""薪資""), ""薪資變動(不計入)"",
  REGEXMATCH(C7323, ""押金""), ""押金往來"",
  AND(E7323&lt;&gt;"""", F7323=""""), ""真實支出"",
  AND(E7323="""", F7323&lt;&gt;""""), ""真實收入"",
  TRUE, ""其他""
)"),"其他")</f>
        <v>其他</v>
      </c>
      <c r="K7323" s="270" t="str">
        <f t="shared" si="2"/>
        <v/>
      </c>
      <c r="L7323">
        <f t="shared" si="3"/>
        <v>0</v>
      </c>
    </row>
    <row r="7324">
      <c r="A7324" s="107"/>
      <c r="D7324" s="270"/>
      <c r="H7324" s="106" t="str">
        <f t="shared" si="1"/>
        <v/>
      </c>
      <c r="J7324" t="str">
        <f>IFERROR(__xludf.DUMMYFUNCTION("IFS(
  AND(REGEXMATCH(E7324, ""台銀籌備帳戶|玉山帳戶""), REGEXMATCH(C7324, ""薪資"")), ""分潤支出"",
  AND(REGEXMATCH(E7324, ""Ben帳戶|Elsa帳戶|Ben代墊|Ariel代墊|中信銀行共用""), REGEXMATCH(F7324, ""Ben帳戶|Elsa帳戶|Ben代墊|Ariel代墊|中信銀行共用"")), ""內部轉帳(忽略)"",
  AND(E7324&lt;&gt;"""", F7324&lt;&gt;"""", N"&amp;"OT(REGEXMATCH(C7324, ""薪資""))), ""內部轉帳(忽略)"",
  REGEXMATCH(C7324, ""薪資""), ""薪資變動(不計入)"",
  REGEXMATCH(C7324, ""押金""), ""押金往來"",
  AND(E7324&lt;&gt;"""", F7324=""""), ""真實支出"",
  AND(E7324="""", F7324&lt;&gt;""""), ""真實收入"",
  TRUE, ""其他""
)"),"其他")</f>
        <v>其他</v>
      </c>
      <c r="K7324" s="270" t="str">
        <f t="shared" si="2"/>
        <v/>
      </c>
      <c r="L7324">
        <f t="shared" si="3"/>
        <v>0</v>
      </c>
    </row>
    <row r="7325">
      <c r="A7325" s="107"/>
      <c r="D7325" s="270"/>
      <c r="H7325" s="106" t="str">
        <f t="shared" si="1"/>
        <v/>
      </c>
      <c r="J7325" t="str">
        <f>IFERROR(__xludf.DUMMYFUNCTION("IFS(
  AND(REGEXMATCH(E7325, ""台銀籌備帳戶|玉山帳戶""), REGEXMATCH(C7325, ""薪資"")), ""分潤支出"",
  AND(REGEXMATCH(E7325, ""Ben帳戶|Elsa帳戶|Ben代墊|Ariel代墊|中信銀行共用""), REGEXMATCH(F7325, ""Ben帳戶|Elsa帳戶|Ben代墊|Ariel代墊|中信銀行共用"")), ""內部轉帳(忽略)"",
  AND(E7325&lt;&gt;"""", F7325&lt;&gt;"""", N"&amp;"OT(REGEXMATCH(C7325, ""薪資""))), ""內部轉帳(忽略)"",
  REGEXMATCH(C7325, ""薪資""), ""薪資變動(不計入)"",
  REGEXMATCH(C7325, ""押金""), ""押金往來"",
  AND(E7325&lt;&gt;"""", F7325=""""), ""真實支出"",
  AND(E7325="""", F7325&lt;&gt;""""), ""真實收入"",
  TRUE, ""其他""
)"),"其他")</f>
        <v>其他</v>
      </c>
      <c r="K7325" s="270" t="str">
        <f t="shared" si="2"/>
        <v/>
      </c>
      <c r="L7325">
        <f t="shared" si="3"/>
        <v>0</v>
      </c>
    </row>
    <row r="7326">
      <c r="A7326" s="107"/>
      <c r="D7326" s="270"/>
      <c r="H7326" s="106" t="str">
        <f t="shared" si="1"/>
        <v/>
      </c>
      <c r="J7326" t="str">
        <f>IFERROR(__xludf.DUMMYFUNCTION("IFS(
  AND(REGEXMATCH(E7326, ""台銀籌備帳戶|玉山帳戶""), REGEXMATCH(C7326, ""薪資"")), ""分潤支出"",
  AND(REGEXMATCH(E7326, ""Ben帳戶|Elsa帳戶|Ben代墊|Ariel代墊|中信銀行共用""), REGEXMATCH(F7326, ""Ben帳戶|Elsa帳戶|Ben代墊|Ariel代墊|中信銀行共用"")), ""內部轉帳(忽略)"",
  AND(E7326&lt;&gt;"""", F7326&lt;&gt;"""", N"&amp;"OT(REGEXMATCH(C7326, ""薪資""))), ""內部轉帳(忽略)"",
  REGEXMATCH(C7326, ""薪資""), ""薪資變動(不計入)"",
  REGEXMATCH(C7326, ""押金""), ""押金往來"",
  AND(E7326&lt;&gt;"""", F7326=""""), ""真實支出"",
  AND(E7326="""", F7326&lt;&gt;""""), ""真實收入"",
  TRUE, ""其他""
)"),"其他")</f>
        <v>其他</v>
      </c>
      <c r="K7326" s="270" t="str">
        <f t="shared" si="2"/>
        <v/>
      </c>
      <c r="L7326">
        <f t="shared" si="3"/>
        <v>0</v>
      </c>
    </row>
    <row r="7327">
      <c r="A7327" s="107"/>
      <c r="D7327" s="270"/>
      <c r="H7327" s="106" t="str">
        <f t="shared" si="1"/>
        <v/>
      </c>
      <c r="J7327" t="str">
        <f>IFERROR(__xludf.DUMMYFUNCTION("IFS(
  AND(REGEXMATCH(E7327, ""台銀籌備帳戶|玉山帳戶""), REGEXMATCH(C7327, ""薪資"")), ""分潤支出"",
  AND(REGEXMATCH(E7327, ""Ben帳戶|Elsa帳戶|Ben代墊|Ariel代墊|中信銀行共用""), REGEXMATCH(F7327, ""Ben帳戶|Elsa帳戶|Ben代墊|Ariel代墊|中信銀行共用"")), ""內部轉帳(忽略)"",
  AND(E7327&lt;&gt;"""", F7327&lt;&gt;"""", N"&amp;"OT(REGEXMATCH(C7327, ""薪資""))), ""內部轉帳(忽略)"",
  REGEXMATCH(C7327, ""薪資""), ""薪資變動(不計入)"",
  REGEXMATCH(C7327, ""押金""), ""押金往來"",
  AND(E7327&lt;&gt;"""", F7327=""""), ""真實支出"",
  AND(E7327="""", F7327&lt;&gt;""""), ""真實收入"",
  TRUE, ""其他""
)"),"其他")</f>
        <v>其他</v>
      </c>
      <c r="K7327" s="270" t="str">
        <f t="shared" si="2"/>
        <v/>
      </c>
      <c r="L7327">
        <f t="shared" si="3"/>
        <v>0</v>
      </c>
    </row>
    <row r="7328">
      <c r="A7328" s="107"/>
      <c r="D7328" s="270"/>
      <c r="H7328" s="106" t="str">
        <f t="shared" si="1"/>
        <v/>
      </c>
      <c r="J7328" t="str">
        <f>IFERROR(__xludf.DUMMYFUNCTION("IFS(
  AND(REGEXMATCH(E7328, ""台銀籌備帳戶|玉山帳戶""), REGEXMATCH(C7328, ""薪資"")), ""分潤支出"",
  AND(REGEXMATCH(E7328, ""Ben帳戶|Elsa帳戶|Ben代墊|Ariel代墊|中信銀行共用""), REGEXMATCH(F7328, ""Ben帳戶|Elsa帳戶|Ben代墊|Ariel代墊|中信銀行共用"")), ""內部轉帳(忽略)"",
  AND(E7328&lt;&gt;"""", F7328&lt;&gt;"""", N"&amp;"OT(REGEXMATCH(C7328, ""薪資""))), ""內部轉帳(忽略)"",
  REGEXMATCH(C7328, ""薪資""), ""薪資變動(不計入)"",
  REGEXMATCH(C7328, ""押金""), ""押金往來"",
  AND(E7328&lt;&gt;"""", F7328=""""), ""真實支出"",
  AND(E7328="""", F7328&lt;&gt;""""), ""真實收入"",
  TRUE, ""其他""
)"),"其他")</f>
        <v>其他</v>
      </c>
      <c r="K7328" s="270" t="str">
        <f t="shared" si="2"/>
        <v/>
      </c>
      <c r="L7328">
        <f t="shared" si="3"/>
        <v>0</v>
      </c>
    </row>
    <row r="7329">
      <c r="A7329" s="107"/>
      <c r="D7329" s="270"/>
      <c r="H7329" s="106" t="str">
        <f t="shared" si="1"/>
        <v/>
      </c>
      <c r="J7329" t="str">
        <f>IFERROR(__xludf.DUMMYFUNCTION("IFS(
  AND(REGEXMATCH(E7329, ""台銀籌備帳戶|玉山帳戶""), REGEXMATCH(C7329, ""薪資"")), ""分潤支出"",
  AND(REGEXMATCH(E7329, ""Ben帳戶|Elsa帳戶|Ben代墊|Ariel代墊|中信銀行共用""), REGEXMATCH(F7329, ""Ben帳戶|Elsa帳戶|Ben代墊|Ariel代墊|中信銀行共用"")), ""內部轉帳(忽略)"",
  AND(E7329&lt;&gt;"""", F7329&lt;&gt;"""", N"&amp;"OT(REGEXMATCH(C7329, ""薪資""))), ""內部轉帳(忽略)"",
  REGEXMATCH(C7329, ""薪資""), ""薪資變動(不計入)"",
  REGEXMATCH(C7329, ""押金""), ""押金往來"",
  AND(E7329&lt;&gt;"""", F7329=""""), ""真實支出"",
  AND(E7329="""", F7329&lt;&gt;""""), ""真實收入"",
  TRUE, ""其他""
)"),"其他")</f>
        <v>其他</v>
      </c>
      <c r="K7329" s="270" t="str">
        <f t="shared" si="2"/>
        <v/>
      </c>
      <c r="L7329">
        <f t="shared" si="3"/>
        <v>0</v>
      </c>
    </row>
    <row r="7330">
      <c r="A7330" s="107"/>
      <c r="D7330" s="270"/>
      <c r="H7330" s="106" t="str">
        <f t="shared" si="1"/>
        <v/>
      </c>
      <c r="J7330" t="str">
        <f>IFERROR(__xludf.DUMMYFUNCTION("IFS(
  AND(REGEXMATCH(E7330, ""台銀籌備帳戶|玉山帳戶""), REGEXMATCH(C7330, ""薪資"")), ""分潤支出"",
  AND(REGEXMATCH(E7330, ""Ben帳戶|Elsa帳戶|Ben代墊|Ariel代墊|中信銀行共用""), REGEXMATCH(F7330, ""Ben帳戶|Elsa帳戶|Ben代墊|Ariel代墊|中信銀行共用"")), ""內部轉帳(忽略)"",
  AND(E7330&lt;&gt;"""", F7330&lt;&gt;"""", N"&amp;"OT(REGEXMATCH(C7330, ""薪資""))), ""內部轉帳(忽略)"",
  REGEXMATCH(C7330, ""薪資""), ""薪資變動(不計入)"",
  REGEXMATCH(C7330, ""押金""), ""押金往來"",
  AND(E7330&lt;&gt;"""", F7330=""""), ""真實支出"",
  AND(E7330="""", F7330&lt;&gt;""""), ""真實收入"",
  TRUE, ""其他""
)"),"其他")</f>
        <v>其他</v>
      </c>
      <c r="K7330" s="270" t="str">
        <f t="shared" si="2"/>
        <v/>
      </c>
      <c r="L7330">
        <f t="shared" si="3"/>
        <v>0</v>
      </c>
    </row>
    <row r="7331">
      <c r="A7331" s="107"/>
      <c r="D7331" s="270"/>
      <c r="H7331" s="106" t="str">
        <f t="shared" si="1"/>
        <v/>
      </c>
      <c r="J7331" t="str">
        <f>IFERROR(__xludf.DUMMYFUNCTION("IFS(
  AND(REGEXMATCH(E7331, ""台銀籌備帳戶|玉山帳戶""), REGEXMATCH(C7331, ""薪資"")), ""分潤支出"",
  AND(REGEXMATCH(E7331, ""Ben帳戶|Elsa帳戶|Ben代墊|Ariel代墊|中信銀行共用""), REGEXMATCH(F7331, ""Ben帳戶|Elsa帳戶|Ben代墊|Ariel代墊|中信銀行共用"")), ""內部轉帳(忽略)"",
  AND(E7331&lt;&gt;"""", F7331&lt;&gt;"""", N"&amp;"OT(REGEXMATCH(C7331, ""薪資""))), ""內部轉帳(忽略)"",
  REGEXMATCH(C7331, ""薪資""), ""薪資變動(不計入)"",
  REGEXMATCH(C7331, ""押金""), ""押金往來"",
  AND(E7331&lt;&gt;"""", F7331=""""), ""真實支出"",
  AND(E7331="""", F7331&lt;&gt;""""), ""真實收入"",
  TRUE, ""其他""
)"),"其他")</f>
        <v>其他</v>
      </c>
      <c r="K7331" s="270" t="str">
        <f t="shared" si="2"/>
        <v/>
      </c>
      <c r="L7331">
        <f t="shared" si="3"/>
        <v>0</v>
      </c>
    </row>
    <row r="7332">
      <c r="A7332" s="107"/>
      <c r="D7332" s="270"/>
      <c r="H7332" s="106" t="str">
        <f t="shared" si="1"/>
        <v/>
      </c>
      <c r="J7332" t="str">
        <f>IFERROR(__xludf.DUMMYFUNCTION("IFS(
  AND(REGEXMATCH(E7332, ""台銀籌備帳戶|玉山帳戶""), REGEXMATCH(C7332, ""薪資"")), ""分潤支出"",
  AND(REGEXMATCH(E7332, ""Ben帳戶|Elsa帳戶|Ben代墊|Ariel代墊|中信銀行共用""), REGEXMATCH(F7332, ""Ben帳戶|Elsa帳戶|Ben代墊|Ariel代墊|中信銀行共用"")), ""內部轉帳(忽略)"",
  AND(E7332&lt;&gt;"""", F7332&lt;&gt;"""", N"&amp;"OT(REGEXMATCH(C7332, ""薪資""))), ""內部轉帳(忽略)"",
  REGEXMATCH(C7332, ""薪資""), ""薪資變動(不計入)"",
  REGEXMATCH(C7332, ""押金""), ""押金往來"",
  AND(E7332&lt;&gt;"""", F7332=""""), ""真實支出"",
  AND(E7332="""", F7332&lt;&gt;""""), ""真實收入"",
  TRUE, ""其他""
)"),"其他")</f>
        <v>其他</v>
      </c>
      <c r="K7332" s="270" t="str">
        <f t="shared" si="2"/>
        <v/>
      </c>
      <c r="L7332">
        <f t="shared" si="3"/>
        <v>0</v>
      </c>
    </row>
    <row r="7333">
      <c r="A7333" s="107"/>
      <c r="D7333" s="270"/>
      <c r="H7333" s="106" t="str">
        <f t="shared" si="1"/>
        <v/>
      </c>
      <c r="J7333" t="str">
        <f>IFERROR(__xludf.DUMMYFUNCTION("IFS(
  AND(REGEXMATCH(E7333, ""台銀籌備帳戶|玉山帳戶""), REGEXMATCH(C7333, ""薪資"")), ""分潤支出"",
  AND(REGEXMATCH(E7333, ""Ben帳戶|Elsa帳戶|Ben代墊|Ariel代墊|中信銀行共用""), REGEXMATCH(F7333, ""Ben帳戶|Elsa帳戶|Ben代墊|Ariel代墊|中信銀行共用"")), ""內部轉帳(忽略)"",
  AND(E7333&lt;&gt;"""", F7333&lt;&gt;"""", N"&amp;"OT(REGEXMATCH(C7333, ""薪資""))), ""內部轉帳(忽略)"",
  REGEXMATCH(C7333, ""薪資""), ""薪資變動(不計入)"",
  REGEXMATCH(C7333, ""押金""), ""押金往來"",
  AND(E7333&lt;&gt;"""", F7333=""""), ""真實支出"",
  AND(E7333="""", F7333&lt;&gt;""""), ""真實收入"",
  TRUE, ""其他""
)"),"其他")</f>
        <v>其他</v>
      </c>
      <c r="K7333" s="270" t="str">
        <f t="shared" si="2"/>
        <v/>
      </c>
      <c r="L7333">
        <f t="shared" si="3"/>
        <v>0</v>
      </c>
    </row>
    <row r="7334">
      <c r="A7334" s="107"/>
      <c r="D7334" s="270"/>
      <c r="H7334" s="106" t="str">
        <f t="shared" si="1"/>
        <v/>
      </c>
      <c r="J7334" t="str">
        <f>IFERROR(__xludf.DUMMYFUNCTION("IFS(
  AND(REGEXMATCH(E7334, ""台銀籌備帳戶|玉山帳戶""), REGEXMATCH(C7334, ""薪資"")), ""分潤支出"",
  AND(REGEXMATCH(E7334, ""Ben帳戶|Elsa帳戶|Ben代墊|Ariel代墊|中信銀行共用""), REGEXMATCH(F7334, ""Ben帳戶|Elsa帳戶|Ben代墊|Ariel代墊|中信銀行共用"")), ""內部轉帳(忽略)"",
  AND(E7334&lt;&gt;"""", F7334&lt;&gt;"""", N"&amp;"OT(REGEXMATCH(C7334, ""薪資""))), ""內部轉帳(忽略)"",
  REGEXMATCH(C7334, ""薪資""), ""薪資變動(不計入)"",
  REGEXMATCH(C7334, ""押金""), ""押金往來"",
  AND(E7334&lt;&gt;"""", F7334=""""), ""真實支出"",
  AND(E7334="""", F7334&lt;&gt;""""), ""真實收入"",
  TRUE, ""其他""
)"),"其他")</f>
        <v>其他</v>
      </c>
      <c r="K7334" s="270" t="str">
        <f t="shared" si="2"/>
        <v/>
      </c>
      <c r="L7334">
        <f t="shared" si="3"/>
        <v>0</v>
      </c>
    </row>
    <row r="7335">
      <c r="A7335" s="107"/>
      <c r="D7335" s="270"/>
      <c r="H7335" s="106" t="str">
        <f t="shared" si="1"/>
        <v/>
      </c>
      <c r="J7335" t="str">
        <f>IFERROR(__xludf.DUMMYFUNCTION("IFS(
  AND(REGEXMATCH(E7335, ""台銀籌備帳戶|玉山帳戶""), REGEXMATCH(C7335, ""薪資"")), ""分潤支出"",
  AND(REGEXMATCH(E7335, ""Ben帳戶|Elsa帳戶|Ben代墊|Ariel代墊|中信銀行共用""), REGEXMATCH(F7335, ""Ben帳戶|Elsa帳戶|Ben代墊|Ariel代墊|中信銀行共用"")), ""內部轉帳(忽略)"",
  AND(E7335&lt;&gt;"""", F7335&lt;&gt;"""", N"&amp;"OT(REGEXMATCH(C7335, ""薪資""))), ""內部轉帳(忽略)"",
  REGEXMATCH(C7335, ""薪資""), ""薪資變動(不計入)"",
  REGEXMATCH(C7335, ""押金""), ""押金往來"",
  AND(E7335&lt;&gt;"""", F7335=""""), ""真實支出"",
  AND(E7335="""", F7335&lt;&gt;""""), ""真實收入"",
  TRUE, ""其他""
)"),"其他")</f>
        <v>其他</v>
      </c>
      <c r="K7335" s="270" t="str">
        <f t="shared" si="2"/>
        <v/>
      </c>
      <c r="L7335">
        <f t="shared" si="3"/>
        <v>0</v>
      </c>
    </row>
    <row r="7336">
      <c r="A7336" s="107"/>
      <c r="D7336" s="270"/>
      <c r="H7336" s="106" t="str">
        <f t="shared" si="1"/>
        <v/>
      </c>
      <c r="J7336" t="str">
        <f>IFERROR(__xludf.DUMMYFUNCTION("IFS(
  AND(REGEXMATCH(E7336, ""台銀籌備帳戶|玉山帳戶""), REGEXMATCH(C7336, ""薪資"")), ""分潤支出"",
  AND(REGEXMATCH(E7336, ""Ben帳戶|Elsa帳戶|Ben代墊|Ariel代墊|中信銀行共用""), REGEXMATCH(F7336, ""Ben帳戶|Elsa帳戶|Ben代墊|Ariel代墊|中信銀行共用"")), ""內部轉帳(忽略)"",
  AND(E7336&lt;&gt;"""", F7336&lt;&gt;"""", N"&amp;"OT(REGEXMATCH(C7336, ""薪資""))), ""內部轉帳(忽略)"",
  REGEXMATCH(C7336, ""薪資""), ""薪資變動(不計入)"",
  REGEXMATCH(C7336, ""押金""), ""押金往來"",
  AND(E7336&lt;&gt;"""", F7336=""""), ""真實支出"",
  AND(E7336="""", F7336&lt;&gt;""""), ""真實收入"",
  TRUE, ""其他""
)"),"其他")</f>
        <v>其他</v>
      </c>
      <c r="K7336" s="270" t="str">
        <f t="shared" si="2"/>
        <v/>
      </c>
      <c r="L7336">
        <f t="shared" si="3"/>
        <v>0</v>
      </c>
    </row>
    <row r="7337">
      <c r="A7337" s="107"/>
      <c r="D7337" s="270"/>
      <c r="H7337" s="106" t="str">
        <f t="shared" si="1"/>
        <v/>
      </c>
      <c r="J7337" t="str">
        <f>IFERROR(__xludf.DUMMYFUNCTION("IFS(
  AND(REGEXMATCH(E7337, ""台銀籌備帳戶|玉山帳戶""), REGEXMATCH(C7337, ""薪資"")), ""分潤支出"",
  AND(REGEXMATCH(E7337, ""Ben帳戶|Elsa帳戶|Ben代墊|Ariel代墊|中信銀行共用""), REGEXMATCH(F7337, ""Ben帳戶|Elsa帳戶|Ben代墊|Ariel代墊|中信銀行共用"")), ""內部轉帳(忽略)"",
  AND(E7337&lt;&gt;"""", F7337&lt;&gt;"""", N"&amp;"OT(REGEXMATCH(C7337, ""薪資""))), ""內部轉帳(忽略)"",
  REGEXMATCH(C7337, ""薪資""), ""薪資變動(不計入)"",
  REGEXMATCH(C7337, ""押金""), ""押金往來"",
  AND(E7337&lt;&gt;"""", F7337=""""), ""真實支出"",
  AND(E7337="""", F7337&lt;&gt;""""), ""真實收入"",
  TRUE, ""其他""
)"),"其他")</f>
        <v>其他</v>
      </c>
      <c r="K7337" s="270" t="str">
        <f t="shared" si="2"/>
        <v/>
      </c>
      <c r="L7337">
        <f t="shared" si="3"/>
        <v>0</v>
      </c>
    </row>
    <row r="7338">
      <c r="A7338" s="107"/>
      <c r="D7338" s="270"/>
      <c r="H7338" s="106" t="str">
        <f t="shared" si="1"/>
        <v/>
      </c>
      <c r="J7338" t="str">
        <f>IFERROR(__xludf.DUMMYFUNCTION("IFS(
  AND(REGEXMATCH(E7338, ""台銀籌備帳戶|玉山帳戶""), REGEXMATCH(C7338, ""薪資"")), ""分潤支出"",
  AND(REGEXMATCH(E7338, ""Ben帳戶|Elsa帳戶|Ben代墊|Ariel代墊|中信銀行共用""), REGEXMATCH(F7338, ""Ben帳戶|Elsa帳戶|Ben代墊|Ariel代墊|中信銀行共用"")), ""內部轉帳(忽略)"",
  AND(E7338&lt;&gt;"""", F7338&lt;&gt;"""", N"&amp;"OT(REGEXMATCH(C7338, ""薪資""))), ""內部轉帳(忽略)"",
  REGEXMATCH(C7338, ""薪資""), ""薪資變動(不計入)"",
  REGEXMATCH(C7338, ""押金""), ""押金往來"",
  AND(E7338&lt;&gt;"""", F7338=""""), ""真實支出"",
  AND(E7338="""", F7338&lt;&gt;""""), ""真實收入"",
  TRUE, ""其他""
)"),"其他")</f>
        <v>其他</v>
      </c>
      <c r="K7338" s="270" t="str">
        <f t="shared" si="2"/>
        <v/>
      </c>
      <c r="L7338">
        <f t="shared" si="3"/>
        <v>0</v>
      </c>
    </row>
    <row r="7339">
      <c r="A7339" s="107"/>
      <c r="D7339" s="270"/>
      <c r="H7339" s="106" t="str">
        <f t="shared" si="1"/>
        <v/>
      </c>
      <c r="J7339" t="str">
        <f>IFERROR(__xludf.DUMMYFUNCTION("IFS(
  AND(REGEXMATCH(E7339, ""台銀籌備帳戶|玉山帳戶""), REGEXMATCH(C7339, ""薪資"")), ""分潤支出"",
  AND(REGEXMATCH(E7339, ""Ben帳戶|Elsa帳戶|Ben代墊|Ariel代墊|中信銀行共用""), REGEXMATCH(F7339, ""Ben帳戶|Elsa帳戶|Ben代墊|Ariel代墊|中信銀行共用"")), ""內部轉帳(忽略)"",
  AND(E7339&lt;&gt;"""", F7339&lt;&gt;"""", N"&amp;"OT(REGEXMATCH(C7339, ""薪資""))), ""內部轉帳(忽略)"",
  REGEXMATCH(C7339, ""薪資""), ""薪資變動(不計入)"",
  REGEXMATCH(C7339, ""押金""), ""押金往來"",
  AND(E7339&lt;&gt;"""", F7339=""""), ""真實支出"",
  AND(E7339="""", F7339&lt;&gt;""""), ""真實收入"",
  TRUE, ""其他""
)"),"其他")</f>
        <v>其他</v>
      </c>
      <c r="K7339" s="270" t="str">
        <f t="shared" si="2"/>
        <v/>
      </c>
      <c r="L7339">
        <f t="shared" si="3"/>
        <v>0</v>
      </c>
    </row>
    <row r="7340">
      <c r="A7340" s="107"/>
      <c r="D7340" s="270"/>
      <c r="H7340" s="106" t="str">
        <f t="shared" si="1"/>
        <v/>
      </c>
      <c r="J7340" t="str">
        <f>IFERROR(__xludf.DUMMYFUNCTION("IFS(
  AND(REGEXMATCH(E7340, ""台銀籌備帳戶|玉山帳戶""), REGEXMATCH(C7340, ""薪資"")), ""分潤支出"",
  AND(REGEXMATCH(E7340, ""Ben帳戶|Elsa帳戶|Ben代墊|Ariel代墊|中信銀行共用""), REGEXMATCH(F7340, ""Ben帳戶|Elsa帳戶|Ben代墊|Ariel代墊|中信銀行共用"")), ""內部轉帳(忽略)"",
  AND(E7340&lt;&gt;"""", F7340&lt;&gt;"""", N"&amp;"OT(REGEXMATCH(C7340, ""薪資""))), ""內部轉帳(忽略)"",
  REGEXMATCH(C7340, ""薪資""), ""薪資變動(不計入)"",
  REGEXMATCH(C7340, ""押金""), ""押金往來"",
  AND(E7340&lt;&gt;"""", F7340=""""), ""真實支出"",
  AND(E7340="""", F7340&lt;&gt;""""), ""真實收入"",
  TRUE, ""其他""
)"),"其他")</f>
        <v>其他</v>
      </c>
      <c r="K7340" s="270" t="str">
        <f t="shared" si="2"/>
        <v/>
      </c>
      <c r="L7340">
        <f t="shared" si="3"/>
        <v>0</v>
      </c>
    </row>
    <row r="7341">
      <c r="A7341" s="107"/>
      <c r="D7341" s="270"/>
      <c r="H7341" s="106" t="str">
        <f t="shared" si="1"/>
        <v/>
      </c>
      <c r="J7341" t="str">
        <f>IFERROR(__xludf.DUMMYFUNCTION("IFS(
  AND(REGEXMATCH(E7341, ""台銀籌備帳戶|玉山帳戶""), REGEXMATCH(C7341, ""薪資"")), ""分潤支出"",
  AND(REGEXMATCH(E7341, ""Ben帳戶|Elsa帳戶|Ben代墊|Ariel代墊|中信銀行共用""), REGEXMATCH(F7341, ""Ben帳戶|Elsa帳戶|Ben代墊|Ariel代墊|中信銀行共用"")), ""內部轉帳(忽略)"",
  AND(E7341&lt;&gt;"""", F7341&lt;&gt;"""", N"&amp;"OT(REGEXMATCH(C7341, ""薪資""))), ""內部轉帳(忽略)"",
  REGEXMATCH(C7341, ""薪資""), ""薪資變動(不計入)"",
  REGEXMATCH(C7341, ""押金""), ""押金往來"",
  AND(E7341&lt;&gt;"""", F7341=""""), ""真實支出"",
  AND(E7341="""", F7341&lt;&gt;""""), ""真實收入"",
  TRUE, ""其他""
)"),"其他")</f>
        <v>其他</v>
      </c>
      <c r="K7341" s="270" t="str">
        <f t="shared" si="2"/>
        <v/>
      </c>
      <c r="L7341">
        <f t="shared" si="3"/>
        <v>0</v>
      </c>
    </row>
    <row r="7342">
      <c r="A7342" s="107"/>
      <c r="D7342" s="270"/>
      <c r="H7342" s="106" t="str">
        <f t="shared" si="1"/>
        <v/>
      </c>
      <c r="J7342" t="str">
        <f>IFERROR(__xludf.DUMMYFUNCTION("IFS(
  AND(REGEXMATCH(E7342, ""台銀籌備帳戶|玉山帳戶""), REGEXMATCH(C7342, ""薪資"")), ""分潤支出"",
  AND(REGEXMATCH(E7342, ""Ben帳戶|Elsa帳戶|Ben代墊|Ariel代墊|中信銀行共用""), REGEXMATCH(F7342, ""Ben帳戶|Elsa帳戶|Ben代墊|Ariel代墊|中信銀行共用"")), ""內部轉帳(忽略)"",
  AND(E7342&lt;&gt;"""", F7342&lt;&gt;"""", N"&amp;"OT(REGEXMATCH(C7342, ""薪資""))), ""內部轉帳(忽略)"",
  REGEXMATCH(C7342, ""薪資""), ""薪資變動(不計入)"",
  REGEXMATCH(C7342, ""押金""), ""押金往來"",
  AND(E7342&lt;&gt;"""", F7342=""""), ""真實支出"",
  AND(E7342="""", F7342&lt;&gt;""""), ""真實收入"",
  TRUE, ""其他""
)"),"其他")</f>
        <v>其他</v>
      </c>
      <c r="K7342" s="270" t="str">
        <f t="shared" si="2"/>
        <v/>
      </c>
      <c r="L7342">
        <f t="shared" si="3"/>
        <v>0</v>
      </c>
    </row>
    <row r="7343">
      <c r="A7343" s="107"/>
      <c r="D7343" s="270"/>
      <c r="H7343" s="106" t="str">
        <f t="shared" si="1"/>
        <v/>
      </c>
      <c r="J7343" t="str">
        <f>IFERROR(__xludf.DUMMYFUNCTION("IFS(
  AND(REGEXMATCH(E7343, ""台銀籌備帳戶|玉山帳戶""), REGEXMATCH(C7343, ""薪資"")), ""分潤支出"",
  AND(REGEXMATCH(E7343, ""Ben帳戶|Elsa帳戶|Ben代墊|Ariel代墊|中信銀行共用""), REGEXMATCH(F7343, ""Ben帳戶|Elsa帳戶|Ben代墊|Ariel代墊|中信銀行共用"")), ""內部轉帳(忽略)"",
  AND(E7343&lt;&gt;"""", F7343&lt;&gt;"""", N"&amp;"OT(REGEXMATCH(C7343, ""薪資""))), ""內部轉帳(忽略)"",
  REGEXMATCH(C7343, ""薪資""), ""薪資變動(不計入)"",
  REGEXMATCH(C7343, ""押金""), ""押金往來"",
  AND(E7343&lt;&gt;"""", F7343=""""), ""真實支出"",
  AND(E7343="""", F7343&lt;&gt;""""), ""真實收入"",
  TRUE, ""其他""
)"),"其他")</f>
        <v>其他</v>
      </c>
      <c r="K7343" s="270" t="str">
        <f t="shared" si="2"/>
        <v/>
      </c>
      <c r="L7343">
        <f t="shared" si="3"/>
        <v>0</v>
      </c>
    </row>
    <row r="7344">
      <c r="A7344" s="107"/>
      <c r="D7344" s="270"/>
      <c r="H7344" s="106" t="str">
        <f t="shared" si="1"/>
        <v/>
      </c>
      <c r="J7344" t="str">
        <f>IFERROR(__xludf.DUMMYFUNCTION("IFS(
  AND(REGEXMATCH(E7344, ""台銀籌備帳戶|玉山帳戶""), REGEXMATCH(C7344, ""薪資"")), ""分潤支出"",
  AND(REGEXMATCH(E7344, ""Ben帳戶|Elsa帳戶|Ben代墊|Ariel代墊|中信銀行共用""), REGEXMATCH(F7344, ""Ben帳戶|Elsa帳戶|Ben代墊|Ariel代墊|中信銀行共用"")), ""內部轉帳(忽略)"",
  AND(E7344&lt;&gt;"""", F7344&lt;&gt;"""", N"&amp;"OT(REGEXMATCH(C7344, ""薪資""))), ""內部轉帳(忽略)"",
  REGEXMATCH(C7344, ""薪資""), ""薪資變動(不計入)"",
  REGEXMATCH(C7344, ""押金""), ""押金往來"",
  AND(E7344&lt;&gt;"""", F7344=""""), ""真實支出"",
  AND(E7344="""", F7344&lt;&gt;""""), ""真實收入"",
  TRUE, ""其他""
)"),"其他")</f>
        <v>其他</v>
      </c>
      <c r="K7344" s="270" t="str">
        <f t="shared" si="2"/>
        <v/>
      </c>
      <c r="L7344">
        <f t="shared" si="3"/>
        <v>0</v>
      </c>
    </row>
    <row r="7345">
      <c r="A7345" s="107"/>
      <c r="D7345" s="270"/>
      <c r="H7345" s="106" t="str">
        <f t="shared" si="1"/>
        <v/>
      </c>
      <c r="J7345" t="str">
        <f>IFERROR(__xludf.DUMMYFUNCTION("IFS(
  AND(REGEXMATCH(E7345, ""台銀籌備帳戶|玉山帳戶""), REGEXMATCH(C7345, ""薪資"")), ""分潤支出"",
  AND(REGEXMATCH(E7345, ""Ben帳戶|Elsa帳戶|Ben代墊|Ariel代墊|中信銀行共用""), REGEXMATCH(F7345, ""Ben帳戶|Elsa帳戶|Ben代墊|Ariel代墊|中信銀行共用"")), ""內部轉帳(忽略)"",
  AND(E7345&lt;&gt;"""", F7345&lt;&gt;"""", N"&amp;"OT(REGEXMATCH(C7345, ""薪資""))), ""內部轉帳(忽略)"",
  REGEXMATCH(C7345, ""薪資""), ""薪資變動(不計入)"",
  REGEXMATCH(C7345, ""押金""), ""押金往來"",
  AND(E7345&lt;&gt;"""", F7345=""""), ""真實支出"",
  AND(E7345="""", F7345&lt;&gt;""""), ""真實收入"",
  TRUE, ""其他""
)"),"其他")</f>
        <v>其他</v>
      </c>
      <c r="K7345" s="270" t="str">
        <f t="shared" si="2"/>
        <v/>
      </c>
      <c r="L7345">
        <f t="shared" si="3"/>
        <v>0</v>
      </c>
    </row>
    <row r="7346">
      <c r="A7346" s="107"/>
      <c r="D7346" s="270"/>
      <c r="H7346" s="106" t="str">
        <f t="shared" si="1"/>
        <v/>
      </c>
      <c r="J7346" t="str">
        <f>IFERROR(__xludf.DUMMYFUNCTION("IFS(
  AND(REGEXMATCH(E7346, ""台銀籌備帳戶|玉山帳戶""), REGEXMATCH(C7346, ""薪資"")), ""分潤支出"",
  AND(REGEXMATCH(E7346, ""Ben帳戶|Elsa帳戶|Ben代墊|Ariel代墊|中信銀行共用""), REGEXMATCH(F7346, ""Ben帳戶|Elsa帳戶|Ben代墊|Ariel代墊|中信銀行共用"")), ""內部轉帳(忽略)"",
  AND(E7346&lt;&gt;"""", F7346&lt;&gt;"""", N"&amp;"OT(REGEXMATCH(C7346, ""薪資""))), ""內部轉帳(忽略)"",
  REGEXMATCH(C7346, ""薪資""), ""薪資變動(不計入)"",
  REGEXMATCH(C7346, ""押金""), ""押金往來"",
  AND(E7346&lt;&gt;"""", F7346=""""), ""真實支出"",
  AND(E7346="""", F7346&lt;&gt;""""), ""真實收入"",
  TRUE, ""其他""
)"),"其他")</f>
        <v>其他</v>
      </c>
      <c r="K7346" s="270" t="str">
        <f t="shared" si="2"/>
        <v/>
      </c>
      <c r="L7346">
        <f t="shared" si="3"/>
        <v>0</v>
      </c>
    </row>
    <row r="7347">
      <c r="A7347" s="107"/>
      <c r="D7347" s="270"/>
      <c r="H7347" s="106" t="str">
        <f t="shared" si="1"/>
        <v/>
      </c>
      <c r="J7347" t="str">
        <f>IFERROR(__xludf.DUMMYFUNCTION("IFS(
  AND(REGEXMATCH(E7347, ""台銀籌備帳戶|玉山帳戶""), REGEXMATCH(C7347, ""薪資"")), ""分潤支出"",
  AND(REGEXMATCH(E7347, ""Ben帳戶|Elsa帳戶|Ben代墊|Ariel代墊|中信銀行共用""), REGEXMATCH(F7347, ""Ben帳戶|Elsa帳戶|Ben代墊|Ariel代墊|中信銀行共用"")), ""內部轉帳(忽略)"",
  AND(E7347&lt;&gt;"""", F7347&lt;&gt;"""", N"&amp;"OT(REGEXMATCH(C7347, ""薪資""))), ""內部轉帳(忽略)"",
  REGEXMATCH(C7347, ""薪資""), ""薪資變動(不計入)"",
  REGEXMATCH(C7347, ""押金""), ""押金往來"",
  AND(E7347&lt;&gt;"""", F7347=""""), ""真實支出"",
  AND(E7347="""", F7347&lt;&gt;""""), ""真實收入"",
  TRUE, ""其他""
)"),"其他")</f>
        <v>其他</v>
      </c>
      <c r="K7347" s="270" t="str">
        <f t="shared" si="2"/>
        <v/>
      </c>
      <c r="L7347">
        <f t="shared" si="3"/>
        <v>0</v>
      </c>
    </row>
    <row r="7348">
      <c r="A7348" s="107"/>
      <c r="D7348" s="270"/>
      <c r="H7348" s="106" t="str">
        <f t="shared" si="1"/>
        <v/>
      </c>
      <c r="J7348" t="str">
        <f>IFERROR(__xludf.DUMMYFUNCTION("IFS(
  AND(REGEXMATCH(E7348, ""台銀籌備帳戶|玉山帳戶""), REGEXMATCH(C7348, ""薪資"")), ""分潤支出"",
  AND(REGEXMATCH(E7348, ""Ben帳戶|Elsa帳戶|Ben代墊|Ariel代墊|中信銀行共用""), REGEXMATCH(F7348, ""Ben帳戶|Elsa帳戶|Ben代墊|Ariel代墊|中信銀行共用"")), ""內部轉帳(忽略)"",
  AND(E7348&lt;&gt;"""", F7348&lt;&gt;"""", N"&amp;"OT(REGEXMATCH(C7348, ""薪資""))), ""內部轉帳(忽略)"",
  REGEXMATCH(C7348, ""薪資""), ""薪資變動(不計入)"",
  REGEXMATCH(C7348, ""押金""), ""押金往來"",
  AND(E7348&lt;&gt;"""", F7348=""""), ""真實支出"",
  AND(E7348="""", F7348&lt;&gt;""""), ""真實收入"",
  TRUE, ""其他""
)"),"其他")</f>
        <v>其他</v>
      </c>
      <c r="K7348" s="270" t="str">
        <f t="shared" si="2"/>
        <v/>
      </c>
      <c r="L7348">
        <f t="shared" si="3"/>
        <v>0</v>
      </c>
    </row>
    <row r="7349">
      <c r="A7349" s="107"/>
      <c r="D7349" s="270"/>
      <c r="H7349" s="106" t="str">
        <f t="shared" si="1"/>
        <v/>
      </c>
      <c r="J7349" t="str">
        <f>IFERROR(__xludf.DUMMYFUNCTION("IFS(
  AND(REGEXMATCH(E7349, ""台銀籌備帳戶|玉山帳戶""), REGEXMATCH(C7349, ""薪資"")), ""分潤支出"",
  AND(REGEXMATCH(E7349, ""Ben帳戶|Elsa帳戶|Ben代墊|Ariel代墊|中信銀行共用""), REGEXMATCH(F7349, ""Ben帳戶|Elsa帳戶|Ben代墊|Ariel代墊|中信銀行共用"")), ""內部轉帳(忽略)"",
  AND(E7349&lt;&gt;"""", F7349&lt;&gt;"""", N"&amp;"OT(REGEXMATCH(C7349, ""薪資""))), ""內部轉帳(忽略)"",
  REGEXMATCH(C7349, ""薪資""), ""薪資變動(不計入)"",
  REGEXMATCH(C7349, ""押金""), ""押金往來"",
  AND(E7349&lt;&gt;"""", F7349=""""), ""真實支出"",
  AND(E7349="""", F7349&lt;&gt;""""), ""真實收入"",
  TRUE, ""其他""
)"),"其他")</f>
        <v>其他</v>
      </c>
      <c r="K7349" s="270" t="str">
        <f t="shared" si="2"/>
        <v/>
      </c>
      <c r="L7349">
        <f t="shared" si="3"/>
        <v>0</v>
      </c>
    </row>
    <row r="7350">
      <c r="A7350" s="107"/>
      <c r="D7350" s="270"/>
      <c r="H7350" s="106" t="str">
        <f t="shared" si="1"/>
        <v/>
      </c>
      <c r="J7350" t="str">
        <f>IFERROR(__xludf.DUMMYFUNCTION("IFS(
  AND(REGEXMATCH(E7350, ""台銀籌備帳戶|玉山帳戶""), REGEXMATCH(C7350, ""薪資"")), ""分潤支出"",
  AND(REGEXMATCH(E7350, ""Ben帳戶|Elsa帳戶|Ben代墊|Ariel代墊|中信銀行共用""), REGEXMATCH(F7350, ""Ben帳戶|Elsa帳戶|Ben代墊|Ariel代墊|中信銀行共用"")), ""內部轉帳(忽略)"",
  AND(E7350&lt;&gt;"""", F7350&lt;&gt;"""", N"&amp;"OT(REGEXMATCH(C7350, ""薪資""))), ""內部轉帳(忽略)"",
  REGEXMATCH(C7350, ""薪資""), ""薪資變動(不計入)"",
  REGEXMATCH(C7350, ""押金""), ""押金往來"",
  AND(E7350&lt;&gt;"""", F7350=""""), ""真實支出"",
  AND(E7350="""", F7350&lt;&gt;""""), ""真實收入"",
  TRUE, ""其他""
)"),"其他")</f>
        <v>其他</v>
      </c>
      <c r="K7350" s="270" t="str">
        <f t="shared" si="2"/>
        <v/>
      </c>
      <c r="L7350">
        <f t="shared" si="3"/>
        <v>0</v>
      </c>
    </row>
    <row r="7351">
      <c r="A7351" s="107"/>
      <c r="D7351" s="270"/>
      <c r="H7351" s="106" t="str">
        <f t="shared" si="1"/>
        <v/>
      </c>
      <c r="J7351" t="str">
        <f>IFERROR(__xludf.DUMMYFUNCTION("IFS(
  AND(REGEXMATCH(E7351, ""台銀籌備帳戶|玉山帳戶""), REGEXMATCH(C7351, ""薪資"")), ""分潤支出"",
  AND(REGEXMATCH(E7351, ""Ben帳戶|Elsa帳戶|Ben代墊|Ariel代墊|中信銀行共用""), REGEXMATCH(F7351, ""Ben帳戶|Elsa帳戶|Ben代墊|Ariel代墊|中信銀行共用"")), ""內部轉帳(忽略)"",
  AND(E7351&lt;&gt;"""", F7351&lt;&gt;"""", N"&amp;"OT(REGEXMATCH(C7351, ""薪資""))), ""內部轉帳(忽略)"",
  REGEXMATCH(C7351, ""薪資""), ""薪資變動(不計入)"",
  REGEXMATCH(C7351, ""押金""), ""押金往來"",
  AND(E7351&lt;&gt;"""", F7351=""""), ""真實支出"",
  AND(E7351="""", F7351&lt;&gt;""""), ""真實收入"",
  TRUE, ""其他""
)"),"其他")</f>
        <v>其他</v>
      </c>
      <c r="K7351" s="270" t="str">
        <f t="shared" si="2"/>
        <v/>
      </c>
      <c r="L7351">
        <f t="shared" si="3"/>
        <v>0</v>
      </c>
    </row>
    <row r="7352">
      <c r="A7352" s="107"/>
      <c r="D7352" s="270"/>
      <c r="H7352" s="106" t="str">
        <f t="shared" si="1"/>
        <v/>
      </c>
      <c r="J7352" t="str">
        <f>IFERROR(__xludf.DUMMYFUNCTION("IFS(
  AND(REGEXMATCH(E7352, ""台銀籌備帳戶|玉山帳戶""), REGEXMATCH(C7352, ""薪資"")), ""分潤支出"",
  AND(REGEXMATCH(E7352, ""Ben帳戶|Elsa帳戶|Ben代墊|Ariel代墊|中信銀行共用""), REGEXMATCH(F7352, ""Ben帳戶|Elsa帳戶|Ben代墊|Ariel代墊|中信銀行共用"")), ""內部轉帳(忽略)"",
  AND(E7352&lt;&gt;"""", F7352&lt;&gt;"""", N"&amp;"OT(REGEXMATCH(C7352, ""薪資""))), ""內部轉帳(忽略)"",
  REGEXMATCH(C7352, ""薪資""), ""薪資變動(不計入)"",
  REGEXMATCH(C7352, ""押金""), ""押金往來"",
  AND(E7352&lt;&gt;"""", F7352=""""), ""真實支出"",
  AND(E7352="""", F7352&lt;&gt;""""), ""真實收入"",
  TRUE, ""其他""
)"),"其他")</f>
        <v>其他</v>
      </c>
      <c r="K7352" s="270" t="str">
        <f t="shared" si="2"/>
        <v/>
      </c>
      <c r="L7352">
        <f t="shared" si="3"/>
        <v>0</v>
      </c>
    </row>
    <row r="7353">
      <c r="A7353" s="107"/>
      <c r="D7353" s="270"/>
      <c r="H7353" s="106" t="str">
        <f t="shared" si="1"/>
        <v/>
      </c>
      <c r="J7353" t="str">
        <f>IFERROR(__xludf.DUMMYFUNCTION("IFS(
  AND(REGEXMATCH(E7353, ""台銀籌備帳戶|玉山帳戶""), REGEXMATCH(C7353, ""薪資"")), ""分潤支出"",
  AND(REGEXMATCH(E7353, ""Ben帳戶|Elsa帳戶|Ben代墊|Ariel代墊|中信銀行共用""), REGEXMATCH(F7353, ""Ben帳戶|Elsa帳戶|Ben代墊|Ariel代墊|中信銀行共用"")), ""內部轉帳(忽略)"",
  AND(E7353&lt;&gt;"""", F7353&lt;&gt;"""", N"&amp;"OT(REGEXMATCH(C7353, ""薪資""))), ""內部轉帳(忽略)"",
  REGEXMATCH(C7353, ""薪資""), ""薪資變動(不計入)"",
  REGEXMATCH(C7353, ""押金""), ""押金往來"",
  AND(E7353&lt;&gt;"""", F7353=""""), ""真實支出"",
  AND(E7353="""", F7353&lt;&gt;""""), ""真實收入"",
  TRUE, ""其他""
)"),"其他")</f>
        <v>其他</v>
      </c>
      <c r="K7353" s="270" t="str">
        <f t="shared" si="2"/>
        <v/>
      </c>
      <c r="L7353">
        <f t="shared" si="3"/>
        <v>0</v>
      </c>
    </row>
    <row r="7354">
      <c r="A7354" s="107"/>
      <c r="D7354" s="270"/>
      <c r="H7354" s="106" t="str">
        <f t="shared" si="1"/>
        <v/>
      </c>
      <c r="J7354" t="str">
        <f>IFERROR(__xludf.DUMMYFUNCTION("IFS(
  AND(REGEXMATCH(E7354, ""台銀籌備帳戶|玉山帳戶""), REGEXMATCH(C7354, ""薪資"")), ""分潤支出"",
  AND(REGEXMATCH(E7354, ""Ben帳戶|Elsa帳戶|Ben代墊|Ariel代墊|中信銀行共用""), REGEXMATCH(F7354, ""Ben帳戶|Elsa帳戶|Ben代墊|Ariel代墊|中信銀行共用"")), ""內部轉帳(忽略)"",
  AND(E7354&lt;&gt;"""", F7354&lt;&gt;"""", N"&amp;"OT(REGEXMATCH(C7354, ""薪資""))), ""內部轉帳(忽略)"",
  REGEXMATCH(C7354, ""薪資""), ""薪資變動(不計入)"",
  REGEXMATCH(C7354, ""押金""), ""押金往來"",
  AND(E7354&lt;&gt;"""", F7354=""""), ""真實支出"",
  AND(E7354="""", F7354&lt;&gt;""""), ""真實收入"",
  TRUE, ""其他""
)"),"其他")</f>
        <v>其他</v>
      </c>
      <c r="K7354" s="270" t="str">
        <f t="shared" si="2"/>
        <v/>
      </c>
      <c r="L7354">
        <f t="shared" si="3"/>
        <v>0</v>
      </c>
    </row>
    <row r="7355">
      <c r="A7355" s="107"/>
      <c r="D7355" s="270"/>
      <c r="H7355" s="106" t="str">
        <f t="shared" si="1"/>
        <v/>
      </c>
      <c r="J7355" t="str">
        <f>IFERROR(__xludf.DUMMYFUNCTION("IFS(
  AND(REGEXMATCH(E7355, ""台銀籌備帳戶|玉山帳戶""), REGEXMATCH(C7355, ""薪資"")), ""分潤支出"",
  AND(REGEXMATCH(E7355, ""Ben帳戶|Elsa帳戶|Ben代墊|Ariel代墊|中信銀行共用""), REGEXMATCH(F7355, ""Ben帳戶|Elsa帳戶|Ben代墊|Ariel代墊|中信銀行共用"")), ""內部轉帳(忽略)"",
  AND(E7355&lt;&gt;"""", F7355&lt;&gt;"""", N"&amp;"OT(REGEXMATCH(C7355, ""薪資""))), ""內部轉帳(忽略)"",
  REGEXMATCH(C7355, ""薪資""), ""薪資變動(不計入)"",
  REGEXMATCH(C7355, ""押金""), ""押金往來"",
  AND(E7355&lt;&gt;"""", F7355=""""), ""真實支出"",
  AND(E7355="""", F7355&lt;&gt;""""), ""真實收入"",
  TRUE, ""其他""
)"),"其他")</f>
        <v>其他</v>
      </c>
      <c r="K7355" s="270" t="str">
        <f t="shared" si="2"/>
        <v/>
      </c>
      <c r="L7355">
        <f t="shared" si="3"/>
        <v>0</v>
      </c>
    </row>
    <row r="7356">
      <c r="A7356" s="107"/>
      <c r="D7356" s="270"/>
      <c r="H7356" s="106" t="str">
        <f t="shared" si="1"/>
        <v/>
      </c>
      <c r="J7356" t="str">
        <f>IFERROR(__xludf.DUMMYFUNCTION("IFS(
  AND(REGEXMATCH(E7356, ""台銀籌備帳戶|玉山帳戶""), REGEXMATCH(C7356, ""薪資"")), ""分潤支出"",
  AND(REGEXMATCH(E7356, ""Ben帳戶|Elsa帳戶|Ben代墊|Ariel代墊|中信銀行共用""), REGEXMATCH(F7356, ""Ben帳戶|Elsa帳戶|Ben代墊|Ariel代墊|中信銀行共用"")), ""內部轉帳(忽略)"",
  AND(E7356&lt;&gt;"""", F7356&lt;&gt;"""", N"&amp;"OT(REGEXMATCH(C7356, ""薪資""))), ""內部轉帳(忽略)"",
  REGEXMATCH(C7356, ""薪資""), ""薪資變動(不計入)"",
  REGEXMATCH(C7356, ""押金""), ""押金往來"",
  AND(E7356&lt;&gt;"""", F7356=""""), ""真實支出"",
  AND(E7356="""", F7356&lt;&gt;""""), ""真實收入"",
  TRUE, ""其他""
)"),"其他")</f>
        <v>其他</v>
      </c>
      <c r="K7356" s="270" t="str">
        <f t="shared" si="2"/>
        <v/>
      </c>
      <c r="L7356">
        <f t="shared" si="3"/>
        <v>0</v>
      </c>
    </row>
    <row r="7357">
      <c r="A7357" s="107"/>
      <c r="D7357" s="270"/>
      <c r="H7357" s="106" t="str">
        <f t="shared" si="1"/>
        <v/>
      </c>
      <c r="J7357" t="str">
        <f>IFERROR(__xludf.DUMMYFUNCTION("IFS(
  AND(REGEXMATCH(E7357, ""台銀籌備帳戶|玉山帳戶""), REGEXMATCH(C7357, ""薪資"")), ""分潤支出"",
  AND(REGEXMATCH(E7357, ""Ben帳戶|Elsa帳戶|Ben代墊|Ariel代墊|中信銀行共用""), REGEXMATCH(F7357, ""Ben帳戶|Elsa帳戶|Ben代墊|Ariel代墊|中信銀行共用"")), ""內部轉帳(忽略)"",
  AND(E7357&lt;&gt;"""", F7357&lt;&gt;"""", N"&amp;"OT(REGEXMATCH(C7357, ""薪資""))), ""內部轉帳(忽略)"",
  REGEXMATCH(C7357, ""薪資""), ""薪資變動(不計入)"",
  REGEXMATCH(C7357, ""押金""), ""押金往來"",
  AND(E7357&lt;&gt;"""", F7357=""""), ""真實支出"",
  AND(E7357="""", F7357&lt;&gt;""""), ""真實收入"",
  TRUE, ""其他""
)"),"其他")</f>
        <v>其他</v>
      </c>
      <c r="K7357" s="270" t="str">
        <f t="shared" si="2"/>
        <v/>
      </c>
      <c r="L7357">
        <f t="shared" si="3"/>
        <v>0</v>
      </c>
    </row>
    <row r="7358">
      <c r="A7358" s="107"/>
      <c r="D7358" s="270"/>
      <c r="H7358" s="106" t="str">
        <f t="shared" si="1"/>
        <v/>
      </c>
      <c r="J7358" t="str">
        <f>IFERROR(__xludf.DUMMYFUNCTION("IFS(
  AND(REGEXMATCH(E7358, ""台銀籌備帳戶|玉山帳戶""), REGEXMATCH(C7358, ""薪資"")), ""分潤支出"",
  AND(REGEXMATCH(E7358, ""Ben帳戶|Elsa帳戶|Ben代墊|Ariel代墊|中信銀行共用""), REGEXMATCH(F7358, ""Ben帳戶|Elsa帳戶|Ben代墊|Ariel代墊|中信銀行共用"")), ""內部轉帳(忽略)"",
  AND(E7358&lt;&gt;"""", F7358&lt;&gt;"""", N"&amp;"OT(REGEXMATCH(C7358, ""薪資""))), ""內部轉帳(忽略)"",
  REGEXMATCH(C7358, ""薪資""), ""薪資變動(不計入)"",
  REGEXMATCH(C7358, ""押金""), ""押金往來"",
  AND(E7358&lt;&gt;"""", F7358=""""), ""真實支出"",
  AND(E7358="""", F7358&lt;&gt;""""), ""真實收入"",
  TRUE, ""其他""
)"),"其他")</f>
        <v>其他</v>
      </c>
      <c r="K7358" s="270" t="str">
        <f t="shared" si="2"/>
        <v/>
      </c>
      <c r="L7358">
        <f t="shared" si="3"/>
        <v>0</v>
      </c>
    </row>
    <row r="7359">
      <c r="A7359" s="107"/>
      <c r="D7359" s="270"/>
      <c r="H7359" s="106" t="str">
        <f t="shared" si="1"/>
        <v/>
      </c>
      <c r="J7359" t="str">
        <f>IFERROR(__xludf.DUMMYFUNCTION("IFS(
  AND(REGEXMATCH(E7359, ""台銀籌備帳戶|玉山帳戶""), REGEXMATCH(C7359, ""薪資"")), ""分潤支出"",
  AND(REGEXMATCH(E7359, ""Ben帳戶|Elsa帳戶|Ben代墊|Ariel代墊|中信銀行共用""), REGEXMATCH(F7359, ""Ben帳戶|Elsa帳戶|Ben代墊|Ariel代墊|中信銀行共用"")), ""內部轉帳(忽略)"",
  AND(E7359&lt;&gt;"""", F7359&lt;&gt;"""", N"&amp;"OT(REGEXMATCH(C7359, ""薪資""))), ""內部轉帳(忽略)"",
  REGEXMATCH(C7359, ""薪資""), ""薪資變動(不計入)"",
  REGEXMATCH(C7359, ""押金""), ""押金往來"",
  AND(E7359&lt;&gt;"""", F7359=""""), ""真實支出"",
  AND(E7359="""", F7359&lt;&gt;""""), ""真實收入"",
  TRUE, ""其他""
)"),"其他")</f>
        <v>其他</v>
      </c>
      <c r="K7359" s="270" t="str">
        <f t="shared" si="2"/>
        <v/>
      </c>
      <c r="L7359">
        <f t="shared" si="3"/>
        <v>0</v>
      </c>
    </row>
    <row r="7360">
      <c r="A7360" s="107"/>
      <c r="D7360" s="270"/>
      <c r="H7360" s="106" t="str">
        <f t="shared" si="1"/>
        <v/>
      </c>
      <c r="J7360" t="str">
        <f>IFERROR(__xludf.DUMMYFUNCTION("IFS(
  AND(REGEXMATCH(E7360, ""台銀籌備帳戶|玉山帳戶""), REGEXMATCH(C7360, ""薪資"")), ""分潤支出"",
  AND(REGEXMATCH(E7360, ""Ben帳戶|Elsa帳戶|Ben代墊|Ariel代墊|中信銀行共用""), REGEXMATCH(F7360, ""Ben帳戶|Elsa帳戶|Ben代墊|Ariel代墊|中信銀行共用"")), ""內部轉帳(忽略)"",
  AND(E7360&lt;&gt;"""", F7360&lt;&gt;"""", N"&amp;"OT(REGEXMATCH(C7360, ""薪資""))), ""內部轉帳(忽略)"",
  REGEXMATCH(C7360, ""薪資""), ""薪資變動(不計入)"",
  REGEXMATCH(C7360, ""押金""), ""押金往來"",
  AND(E7360&lt;&gt;"""", F7360=""""), ""真實支出"",
  AND(E7360="""", F7360&lt;&gt;""""), ""真實收入"",
  TRUE, ""其他""
)"),"其他")</f>
        <v>其他</v>
      </c>
      <c r="K7360" s="270" t="str">
        <f t="shared" si="2"/>
        <v/>
      </c>
      <c r="L7360">
        <f t="shared" si="3"/>
        <v>0</v>
      </c>
    </row>
    <row r="7361">
      <c r="A7361" s="107"/>
      <c r="D7361" s="270"/>
      <c r="H7361" s="106" t="str">
        <f t="shared" si="1"/>
        <v/>
      </c>
      <c r="J7361" t="str">
        <f>IFERROR(__xludf.DUMMYFUNCTION("IFS(
  AND(REGEXMATCH(E7361, ""台銀籌備帳戶|玉山帳戶""), REGEXMATCH(C7361, ""薪資"")), ""分潤支出"",
  AND(REGEXMATCH(E7361, ""Ben帳戶|Elsa帳戶|Ben代墊|Ariel代墊|中信銀行共用""), REGEXMATCH(F7361, ""Ben帳戶|Elsa帳戶|Ben代墊|Ariel代墊|中信銀行共用"")), ""內部轉帳(忽略)"",
  AND(E7361&lt;&gt;"""", F7361&lt;&gt;"""", N"&amp;"OT(REGEXMATCH(C7361, ""薪資""))), ""內部轉帳(忽略)"",
  REGEXMATCH(C7361, ""薪資""), ""薪資變動(不計入)"",
  REGEXMATCH(C7361, ""押金""), ""押金往來"",
  AND(E7361&lt;&gt;"""", F7361=""""), ""真實支出"",
  AND(E7361="""", F7361&lt;&gt;""""), ""真實收入"",
  TRUE, ""其他""
)"),"其他")</f>
        <v>其他</v>
      </c>
      <c r="K7361" s="270" t="str">
        <f t="shared" si="2"/>
        <v/>
      </c>
      <c r="L7361">
        <f t="shared" si="3"/>
        <v>0</v>
      </c>
    </row>
    <row r="7362">
      <c r="A7362" s="107"/>
      <c r="D7362" s="270"/>
      <c r="H7362" s="106" t="str">
        <f t="shared" si="1"/>
        <v/>
      </c>
      <c r="J7362" t="str">
        <f>IFERROR(__xludf.DUMMYFUNCTION("IFS(
  AND(REGEXMATCH(E7362, ""台銀籌備帳戶|玉山帳戶""), REGEXMATCH(C7362, ""薪資"")), ""分潤支出"",
  AND(REGEXMATCH(E7362, ""Ben帳戶|Elsa帳戶|Ben代墊|Ariel代墊|中信銀行共用""), REGEXMATCH(F7362, ""Ben帳戶|Elsa帳戶|Ben代墊|Ariel代墊|中信銀行共用"")), ""內部轉帳(忽略)"",
  AND(E7362&lt;&gt;"""", F7362&lt;&gt;"""", N"&amp;"OT(REGEXMATCH(C7362, ""薪資""))), ""內部轉帳(忽略)"",
  REGEXMATCH(C7362, ""薪資""), ""薪資變動(不計入)"",
  REGEXMATCH(C7362, ""押金""), ""押金往來"",
  AND(E7362&lt;&gt;"""", F7362=""""), ""真實支出"",
  AND(E7362="""", F7362&lt;&gt;""""), ""真實收入"",
  TRUE, ""其他""
)"),"其他")</f>
        <v>其他</v>
      </c>
      <c r="K7362" s="270" t="str">
        <f t="shared" si="2"/>
        <v/>
      </c>
      <c r="L7362">
        <f t="shared" si="3"/>
        <v>0</v>
      </c>
    </row>
    <row r="7363">
      <c r="A7363" s="107"/>
      <c r="D7363" s="270"/>
      <c r="H7363" s="106" t="str">
        <f t="shared" si="1"/>
        <v/>
      </c>
      <c r="J7363" t="str">
        <f>IFERROR(__xludf.DUMMYFUNCTION("IFS(
  AND(REGEXMATCH(E7363, ""台銀籌備帳戶|玉山帳戶""), REGEXMATCH(C7363, ""薪資"")), ""分潤支出"",
  AND(REGEXMATCH(E7363, ""Ben帳戶|Elsa帳戶|Ben代墊|Ariel代墊|中信銀行共用""), REGEXMATCH(F7363, ""Ben帳戶|Elsa帳戶|Ben代墊|Ariel代墊|中信銀行共用"")), ""內部轉帳(忽略)"",
  AND(E7363&lt;&gt;"""", F7363&lt;&gt;"""", N"&amp;"OT(REGEXMATCH(C7363, ""薪資""))), ""內部轉帳(忽略)"",
  REGEXMATCH(C7363, ""薪資""), ""薪資變動(不計入)"",
  REGEXMATCH(C7363, ""押金""), ""押金往來"",
  AND(E7363&lt;&gt;"""", F7363=""""), ""真實支出"",
  AND(E7363="""", F7363&lt;&gt;""""), ""真實收入"",
  TRUE, ""其他""
)"),"其他")</f>
        <v>其他</v>
      </c>
      <c r="K7363" s="270" t="str">
        <f t="shared" si="2"/>
        <v/>
      </c>
      <c r="L7363">
        <f t="shared" si="3"/>
        <v>0</v>
      </c>
    </row>
    <row r="7364">
      <c r="A7364" s="107"/>
      <c r="D7364" s="270"/>
      <c r="H7364" s="106" t="str">
        <f t="shared" si="1"/>
        <v/>
      </c>
      <c r="J7364" t="str">
        <f>IFERROR(__xludf.DUMMYFUNCTION("IFS(
  AND(REGEXMATCH(E7364, ""台銀籌備帳戶|玉山帳戶""), REGEXMATCH(C7364, ""薪資"")), ""分潤支出"",
  AND(REGEXMATCH(E7364, ""Ben帳戶|Elsa帳戶|Ben代墊|Ariel代墊|中信銀行共用""), REGEXMATCH(F7364, ""Ben帳戶|Elsa帳戶|Ben代墊|Ariel代墊|中信銀行共用"")), ""內部轉帳(忽略)"",
  AND(E7364&lt;&gt;"""", F7364&lt;&gt;"""", N"&amp;"OT(REGEXMATCH(C7364, ""薪資""))), ""內部轉帳(忽略)"",
  REGEXMATCH(C7364, ""薪資""), ""薪資變動(不計入)"",
  REGEXMATCH(C7364, ""押金""), ""押金往來"",
  AND(E7364&lt;&gt;"""", F7364=""""), ""真實支出"",
  AND(E7364="""", F7364&lt;&gt;""""), ""真實收入"",
  TRUE, ""其他""
)"),"其他")</f>
        <v>其他</v>
      </c>
      <c r="K7364" s="270" t="str">
        <f t="shared" si="2"/>
        <v/>
      </c>
      <c r="L7364">
        <f t="shared" si="3"/>
        <v>0</v>
      </c>
    </row>
    <row r="7365">
      <c r="A7365" s="107"/>
      <c r="D7365" s="270"/>
      <c r="H7365" s="106" t="str">
        <f t="shared" si="1"/>
        <v/>
      </c>
      <c r="J7365" t="str">
        <f>IFERROR(__xludf.DUMMYFUNCTION("IFS(
  AND(REGEXMATCH(E7365, ""台銀籌備帳戶|玉山帳戶""), REGEXMATCH(C7365, ""薪資"")), ""分潤支出"",
  AND(REGEXMATCH(E7365, ""Ben帳戶|Elsa帳戶|Ben代墊|Ariel代墊|中信銀行共用""), REGEXMATCH(F7365, ""Ben帳戶|Elsa帳戶|Ben代墊|Ariel代墊|中信銀行共用"")), ""內部轉帳(忽略)"",
  AND(E7365&lt;&gt;"""", F7365&lt;&gt;"""", N"&amp;"OT(REGEXMATCH(C7365, ""薪資""))), ""內部轉帳(忽略)"",
  REGEXMATCH(C7365, ""薪資""), ""薪資變動(不計入)"",
  REGEXMATCH(C7365, ""押金""), ""押金往來"",
  AND(E7365&lt;&gt;"""", F7365=""""), ""真實支出"",
  AND(E7365="""", F7365&lt;&gt;""""), ""真實收入"",
  TRUE, ""其他""
)"),"其他")</f>
        <v>其他</v>
      </c>
      <c r="K7365" s="270" t="str">
        <f t="shared" si="2"/>
        <v/>
      </c>
      <c r="L7365">
        <f t="shared" si="3"/>
        <v>0</v>
      </c>
    </row>
    <row r="7366">
      <c r="A7366" s="107"/>
      <c r="D7366" s="270"/>
      <c r="H7366" s="106" t="str">
        <f t="shared" si="1"/>
        <v/>
      </c>
      <c r="J7366" t="str">
        <f>IFERROR(__xludf.DUMMYFUNCTION("IFS(
  AND(REGEXMATCH(E7366, ""台銀籌備帳戶|玉山帳戶""), REGEXMATCH(C7366, ""薪資"")), ""分潤支出"",
  AND(REGEXMATCH(E7366, ""Ben帳戶|Elsa帳戶|Ben代墊|Ariel代墊|中信銀行共用""), REGEXMATCH(F7366, ""Ben帳戶|Elsa帳戶|Ben代墊|Ariel代墊|中信銀行共用"")), ""內部轉帳(忽略)"",
  AND(E7366&lt;&gt;"""", F7366&lt;&gt;"""", N"&amp;"OT(REGEXMATCH(C7366, ""薪資""))), ""內部轉帳(忽略)"",
  REGEXMATCH(C7366, ""薪資""), ""薪資變動(不計入)"",
  REGEXMATCH(C7366, ""押金""), ""押金往來"",
  AND(E7366&lt;&gt;"""", F7366=""""), ""真實支出"",
  AND(E7366="""", F7366&lt;&gt;""""), ""真實收入"",
  TRUE, ""其他""
)"),"其他")</f>
        <v>其他</v>
      </c>
      <c r="K7366" s="270" t="str">
        <f t="shared" si="2"/>
        <v/>
      </c>
      <c r="L7366">
        <f t="shared" si="3"/>
        <v>0</v>
      </c>
    </row>
    <row r="7367">
      <c r="A7367" s="107"/>
      <c r="D7367" s="270"/>
      <c r="H7367" s="106" t="str">
        <f t="shared" si="1"/>
        <v/>
      </c>
      <c r="J7367" t="str">
        <f>IFERROR(__xludf.DUMMYFUNCTION("IFS(
  AND(REGEXMATCH(E7367, ""台銀籌備帳戶|玉山帳戶""), REGEXMATCH(C7367, ""薪資"")), ""分潤支出"",
  AND(REGEXMATCH(E7367, ""Ben帳戶|Elsa帳戶|Ben代墊|Ariel代墊|中信銀行共用""), REGEXMATCH(F7367, ""Ben帳戶|Elsa帳戶|Ben代墊|Ariel代墊|中信銀行共用"")), ""內部轉帳(忽略)"",
  AND(E7367&lt;&gt;"""", F7367&lt;&gt;"""", N"&amp;"OT(REGEXMATCH(C7367, ""薪資""))), ""內部轉帳(忽略)"",
  REGEXMATCH(C7367, ""薪資""), ""薪資變動(不計入)"",
  REGEXMATCH(C7367, ""押金""), ""押金往來"",
  AND(E7367&lt;&gt;"""", F7367=""""), ""真實支出"",
  AND(E7367="""", F7367&lt;&gt;""""), ""真實收入"",
  TRUE, ""其他""
)"),"其他")</f>
        <v>其他</v>
      </c>
      <c r="K7367" s="270" t="str">
        <f t="shared" si="2"/>
        <v/>
      </c>
      <c r="L7367">
        <f t="shared" si="3"/>
        <v>0</v>
      </c>
    </row>
    <row r="7368">
      <c r="A7368" s="107"/>
      <c r="D7368" s="270"/>
      <c r="H7368" s="106" t="str">
        <f t="shared" si="1"/>
        <v/>
      </c>
      <c r="J7368" t="str">
        <f>IFERROR(__xludf.DUMMYFUNCTION("IFS(
  AND(REGEXMATCH(E7368, ""台銀籌備帳戶|玉山帳戶""), REGEXMATCH(C7368, ""薪資"")), ""分潤支出"",
  AND(REGEXMATCH(E7368, ""Ben帳戶|Elsa帳戶|Ben代墊|Ariel代墊|中信銀行共用""), REGEXMATCH(F7368, ""Ben帳戶|Elsa帳戶|Ben代墊|Ariel代墊|中信銀行共用"")), ""內部轉帳(忽略)"",
  AND(E7368&lt;&gt;"""", F7368&lt;&gt;"""", N"&amp;"OT(REGEXMATCH(C7368, ""薪資""))), ""內部轉帳(忽略)"",
  REGEXMATCH(C7368, ""薪資""), ""薪資變動(不計入)"",
  REGEXMATCH(C7368, ""押金""), ""押金往來"",
  AND(E7368&lt;&gt;"""", F7368=""""), ""真實支出"",
  AND(E7368="""", F7368&lt;&gt;""""), ""真實收入"",
  TRUE, ""其他""
)"),"其他")</f>
        <v>其他</v>
      </c>
      <c r="K7368" s="270" t="str">
        <f t="shared" si="2"/>
        <v/>
      </c>
      <c r="L7368">
        <f t="shared" si="3"/>
        <v>0</v>
      </c>
    </row>
    <row r="7369">
      <c r="A7369" s="107"/>
      <c r="D7369" s="270"/>
      <c r="H7369" s="106" t="str">
        <f t="shared" si="1"/>
        <v/>
      </c>
      <c r="J7369" t="str">
        <f>IFERROR(__xludf.DUMMYFUNCTION("IFS(
  AND(REGEXMATCH(E7369, ""台銀籌備帳戶|玉山帳戶""), REGEXMATCH(C7369, ""薪資"")), ""分潤支出"",
  AND(REGEXMATCH(E7369, ""Ben帳戶|Elsa帳戶|Ben代墊|Ariel代墊|中信銀行共用""), REGEXMATCH(F7369, ""Ben帳戶|Elsa帳戶|Ben代墊|Ariel代墊|中信銀行共用"")), ""內部轉帳(忽略)"",
  AND(E7369&lt;&gt;"""", F7369&lt;&gt;"""", N"&amp;"OT(REGEXMATCH(C7369, ""薪資""))), ""內部轉帳(忽略)"",
  REGEXMATCH(C7369, ""薪資""), ""薪資變動(不計入)"",
  REGEXMATCH(C7369, ""押金""), ""押金往來"",
  AND(E7369&lt;&gt;"""", F7369=""""), ""真實支出"",
  AND(E7369="""", F7369&lt;&gt;""""), ""真實收入"",
  TRUE, ""其他""
)"),"其他")</f>
        <v>其他</v>
      </c>
      <c r="K7369" s="270" t="str">
        <f t="shared" si="2"/>
        <v/>
      </c>
      <c r="L7369">
        <f t="shared" si="3"/>
        <v>0</v>
      </c>
    </row>
    <row r="7370">
      <c r="A7370" s="107"/>
      <c r="D7370" s="270"/>
      <c r="H7370" s="106" t="str">
        <f t="shared" si="1"/>
        <v/>
      </c>
      <c r="J7370" t="str">
        <f>IFERROR(__xludf.DUMMYFUNCTION("IFS(
  AND(REGEXMATCH(E7370, ""台銀籌備帳戶|玉山帳戶""), REGEXMATCH(C7370, ""薪資"")), ""分潤支出"",
  AND(REGEXMATCH(E7370, ""Ben帳戶|Elsa帳戶|Ben代墊|Ariel代墊|中信銀行共用""), REGEXMATCH(F7370, ""Ben帳戶|Elsa帳戶|Ben代墊|Ariel代墊|中信銀行共用"")), ""內部轉帳(忽略)"",
  AND(E7370&lt;&gt;"""", F7370&lt;&gt;"""", N"&amp;"OT(REGEXMATCH(C7370, ""薪資""))), ""內部轉帳(忽略)"",
  REGEXMATCH(C7370, ""薪資""), ""薪資變動(不計入)"",
  REGEXMATCH(C7370, ""押金""), ""押金往來"",
  AND(E7370&lt;&gt;"""", F7370=""""), ""真實支出"",
  AND(E7370="""", F7370&lt;&gt;""""), ""真實收入"",
  TRUE, ""其他""
)"),"其他")</f>
        <v>其他</v>
      </c>
      <c r="K7370" s="270" t="str">
        <f t="shared" si="2"/>
        <v/>
      </c>
      <c r="L7370">
        <f t="shared" si="3"/>
        <v>0</v>
      </c>
    </row>
    <row r="7371">
      <c r="A7371" s="107"/>
      <c r="D7371" s="270"/>
      <c r="H7371" s="106" t="str">
        <f t="shared" si="1"/>
        <v/>
      </c>
      <c r="J7371" t="str">
        <f>IFERROR(__xludf.DUMMYFUNCTION("IFS(
  AND(REGEXMATCH(E7371, ""台銀籌備帳戶|玉山帳戶""), REGEXMATCH(C7371, ""薪資"")), ""分潤支出"",
  AND(REGEXMATCH(E7371, ""Ben帳戶|Elsa帳戶|Ben代墊|Ariel代墊|中信銀行共用""), REGEXMATCH(F7371, ""Ben帳戶|Elsa帳戶|Ben代墊|Ariel代墊|中信銀行共用"")), ""內部轉帳(忽略)"",
  AND(E7371&lt;&gt;"""", F7371&lt;&gt;"""", N"&amp;"OT(REGEXMATCH(C7371, ""薪資""))), ""內部轉帳(忽略)"",
  REGEXMATCH(C7371, ""薪資""), ""薪資變動(不計入)"",
  REGEXMATCH(C7371, ""押金""), ""押金往來"",
  AND(E7371&lt;&gt;"""", F7371=""""), ""真實支出"",
  AND(E7371="""", F7371&lt;&gt;""""), ""真實收入"",
  TRUE, ""其他""
)"),"其他")</f>
        <v>其他</v>
      </c>
      <c r="K7371" s="270" t="str">
        <f t="shared" si="2"/>
        <v/>
      </c>
      <c r="L7371">
        <f t="shared" si="3"/>
        <v>0</v>
      </c>
    </row>
    <row r="7372">
      <c r="A7372" s="107"/>
      <c r="D7372" s="270"/>
      <c r="H7372" s="106" t="str">
        <f t="shared" si="1"/>
        <v/>
      </c>
      <c r="J7372" t="str">
        <f>IFERROR(__xludf.DUMMYFUNCTION("IFS(
  AND(REGEXMATCH(E7372, ""台銀籌備帳戶|玉山帳戶""), REGEXMATCH(C7372, ""薪資"")), ""分潤支出"",
  AND(REGEXMATCH(E7372, ""Ben帳戶|Elsa帳戶|Ben代墊|Ariel代墊|中信銀行共用""), REGEXMATCH(F7372, ""Ben帳戶|Elsa帳戶|Ben代墊|Ariel代墊|中信銀行共用"")), ""內部轉帳(忽略)"",
  AND(E7372&lt;&gt;"""", F7372&lt;&gt;"""", N"&amp;"OT(REGEXMATCH(C7372, ""薪資""))), ""內部轉帳(忽略)"",
  REGEXMATCH(C7372, ""薪資""), ""薪資變動(不計入)"",
  REGEXMATCH(C7372, ""押金""), ""押金往來"",
  AND(E7372&lt;&gt;"""", F7372=""""), ""真實支出"",
  AND(E7372="""", F7372&lt;&gt;""""), ""真實收入"",
  TRUE, ""其他""
)"),"其他")</f>
        <v>其他</v>
      </c>
      <c r="K7372" s="270" t="str">
        <f t="shared" si="2"/>
        <v/>
      </c>
      <c r="L7372">
        <f t="shared" si="3"/>
        <v>0</v>
      </c>
    </row>
    <row r="7373">
      <c r="A7373" s="107"/>
      <c r="D7373" s="270"/>
      <c r="H7373" s="106" t="str">
        <f t="shared" si="1"/>
        <v/>
      </c>
      <c r="J7373" t="str">
        <f>IFERROR(__xludf.DUMMYFUNCTION("IFS(
  AND(REGEXMATCH(E7373, ""台銀籌備帳戶|玉山帳戶""), REGEXMATCH(C7373, ""薪資"")), ""分潤支出"",
  AND(REGEXMATCH(E7373, ""Ben帳戶|Elsa帳戶|Ben代墊|Ariel代墊|中信銀行共用""), REGEXMATCH(F7373, ""Ben帳戶|Elsa帳戶|Ben代墊|Ariel代墊|中信銀行共用"")), ""內部轉帳(忽略)"",
  AND(E7373&lt;&gt;"""", F7373&lt;&gt;"""", N"&amp;"OT(REGEXMATCH(C7373, ""薪資""))), ""內部轉帳(忽略)"",
  REGEXMATCH(C7373, ""薪資""), ""薪資變動(不計入)"",
  REGEXMATCH(C7373, ""押金""), ""押金往來"",
  AND(E7373&lt;&gt;"""", F7373=""""), ""真實支出"",
  AND(E7373="""", F7373&lt;&gt;""""), ""真實收入"",
  TRUE, ""其他""
)"),"其他")</f>
        <v>其他</v>
      </c>
      <c r="K7373" s="270" t="str">
        <f t="shared" si="2"/>
        <v/>
      </c>
      <c r="L7373">
        <f t="shared" si="3"/>
        <v>0</v>
      </c>
    </row>
    <row r="7374">
      <c r="A7374" s="107"/>
      <c r="D7374" s="270"/>
      <c r="H7374" s="106" t="str">
        <f t="shared" si="1"/>
        <v/>
      </c>
      <c r="J7374" t="str">
        <f>IFERROR(__xludf.DUMMYFUNCTION("IFS(
  AND(REGEXMATCH(E7374, ""台銀籌備帳戶|玉山帳戶""), REGEXMATCH(C7374, ""薪資"")), ""分潤支出"",
  AND(REGEXMATCH(E7374, ""Ben帳戶|Elsa帳戶|Ben代墊|Ariel代墊|中信銀行共用""), REGEXMATCH(F7374, ""Ben帳戶|Elsa帳戶|Ben代墊|Ariel代墊|中信銀行共用"")), ""內部轉帳(忽略)"",
  AND(E7374&lt;&gt;"""", F7374&lt;&gt;"""", N"&amp;"OT(REGEXMATCH(C7374, ""薪資""))), ""內部轉帳(忽略)"",
  REGEXMATCH(C7374, ""薪資""), ""薪資變動(不計入)"",
  REGEXMATCH(C7374, ""押金""), ""押金往來"",
  AND(E7374&lt;&gt;"""", F7374=""""), ""真實支出"",
  AND(E7374="""", F7374&lt;&gt;""""), ""真實收入"",
  TRUE, ""其他""
)"),"其他")</f>
        <v>其他</v>
      </c>
      <c r="K7374" s="270" t="str">
        <f t="shared" si="2"/>
        <v/>
      </c>
      <c r="L7374">
        <f t="shared" si="3"/>
        <v>0</v>
      </c>
    </row>
    <row r="7375">
      <c r="A7375" s="107"/>
      <c r="D7375" s="270"/>
      <c r="H7375" s="106" t="str">
        <f t="shared" si="1"/>
        <v/>
      </c>
      <c r="J7375" t="str">
        <f>IFERROR(__xludf.DUMMYFUNCTION("IFS(
  AND(REGEXMATCH(E7375, ""台銀籌備帳戶|玉山帳戶""), REGEXMATCH(C7375, ""薪資"")), ""分潤支出"",
  AND(REGEXMATCH(E7375, ""Ben帳戶|Elsa帳戶|Ben代墊|Ariel代墊|中信銀行共用""), REGEXMATCH(F7375, ""Ben帳戶|Elsa帳戶|Ben代墊|Ariel代墊|中信銀行共用"")), ""內部轉帳(忽略)"",
  AND(E7375&lt;&gt;"""", F7375&lt;&gt;"""", N"&amp;"OT(REGEXMATCH(C7375, ""薪資""))), ""內部轉帳(忽略)"",
  REGEXMATCH(C7375, ""薪資""), ""薪資變動(不計入)"",
  REGEXMATCH(C7375, ""押金""), ""押金往來"",
  AND(E7375&lt;&gt;"""", F7375=""""), ""真實支出"",
  AND(E7375="""", F7375&lt;&gt;""""), ""真實收入"",
  TRUE, ""其他""
)"),"其他")</f>
        <v>其他</v>
      </c>
      <c r="K7375" s="270" t="str">
        <f t="shared" si="2"/>
        <v/>
      </c>
      <c r="L7375">
        <f t="shared" si="3"/>
        <v>0</v>
      </c>
    </row>
    <row r="7376">
      <c r="A7376" s="107"/>
      <c r="D7376" s="270"/>
      <c r="H7376" s="106" t="str">
        <f t="shared" si="1"/>
        <v/>
      </c>
      <c r="J7376" t="str">
        <f>IFERROR(__xludf.DUMMYFUNCTION("IFS(
  AND(REGEXMATCH(E7376, ""台銀籌備帳戶|玉山帳戶""), REGEXMATCH(C7376, ""薪資"")), ""分潤支出"",
  AND(REGEXMATCH(E7376, ""Ben帳戶|Elsa帳戶|Ben代墊|Ariel代墊|中信銀行共用""), REGEXMATCH(F7376, ""Ben帳戶|Elsa帳戶|Ben代墊|Ariel代墊|中信銀行共用"")), ""內部轉帳(忽略)"",
  AND(E7376&lt;&gt;"""", F7376&lt;&gt;"""", N"&amp;"OT(REGEXMATCH(C7376, ""薪資""))), ""內部轉帳(忽略)"",
  REGEXMATCH(C7376, ""薪資""), ""薪資變動(不計入)"",
  REGEXMATCH(C7376, ""押金""), ""押金往來"",
  AND(E7376&lt;&gt;"""", F7376=""""), ""真實支出"",
  AND(E7376="""", F7376&lt;&gt;""""), ""真實收入"",
  TRUE, ""其他""
)"),"其他")</f>
        <v>其他</v>
      </c>
      <c r="K7376" s="270" t="str">
        <f t="shared" si="2"/>
        <v/>
      </c>
      <c r="L7376">
        <f t="shared" si="3"/>
        <v>0</v>
      </c>
    </row>
    <row r="7377">
      <c r="A7377" s="107"/>
      <c r="D7377" s="270"/>
      <c r="H7377" s="106" t="str">
        <f t="shared" si="1"/>
        <v/>
      </c>
      <c r="J7377" t="str">
        <f>IFERROR(__xludf.DUMMYFUNCTION("IFS(
  AND(REGEXMATCH(E7377, ""台銀籌備帳戶|玉山帳戶""), REGEXMATCH(C7377, ""薪資"")), ""分潤支出"",
  AND(REGEXMATCH(E7377, ""Ben帳戶|Elsa帳戶|Ben代墊|Ariel代墊|中信銀行共用""), REGEXMATCH(F7377, ""Ben帳戶|Elsa帳戶|Ben代墊|Ariel代墊|中信銀行共用"")), ""內部轉帳(忽略)"",
  AND(E7377&lt;&gt;"""", F7377&lt;&gt;"""", N"&amp;"OT(REGEXMATCH(C7377, ""薪資""))), ""內部轉帳(忽略)"",
  REGEXMATCH(C7377, ""薪資""), ""薪資變動(不計入)"",
  REGEXMATCH(C7377, ""押金""), ""押金往來"",
  AND(E7377&lt;&gt;"""", F7377=""""), ""真實支出"",
  AND(E7377="""", F7377&lt;&gt;""""), ""真實收入"",
  TRUE, ""其他""
)"),"其他")</f>
        <v>其他</v>
      </c>
      <c r="K7377" s="270" t="str">
        <f t="shared" si="2"/>
        <v/>
      </c>
      <c r="L7377">
        <f t="shared" si="3"/>
        <v>0</v>
      </c>
    </row>
    <row r="7378">
      <c r="A7378" s="107"/>
      <c r="D7378" s="270"/>
      <c r="H7378" s="106" t="str">
        <f t="shared" si="1"/>
        <v/>
      </c>
      <c r="J7378" t="str">
        <f>IFERROR(__xludf.DUMMYFUNCTION("IFS(
  AND(REGEXMATCH(E7378, ""台銀籌備帳戶|玉山帳戶""), REGEXMATCH(C7378, ""薪資"")), ""分潤支出"",
  AND(REGEXMATCH(E7378, ""Ben帳戶|Elsa帳戶|Ben代墊|Ariel代墊|中信銀行共用""), REGEXMATCH(F7378, ""Ben帳戶|Elsa帳戶|Ben代墊|Ariel代墊|中信銀行共用"")), ""內部轉帳(忽略)"",
  AND(E7378&lt;&gt;"""", F7378&lt;&gt;"""", N"&amp;"OT(REGEXMATCH(C7378, ""薪資""))), ""內部轉帳(忽略)"",
  REGEXMATCH(C7378, ""薪資""), ""薪資變動(不計入)"",
  REGEXMATCH(C7378, ""押金""), ""押金往來"",
  AND(E7378&lt;&gt;"""", F7378=""""), ""真實支出"",
  AND(E7378="""", F7378&lt;&gt;""""), ""真實收入"",
  TRUE, ""其他""
)"),"其他")</f>
        <v>其他</v>
      </c>
      <c r="K7378" s="270" t="str">
        <f t="shared" si="2"/>
        <v/>
      </c>
      <c r="L7378">
        <f t="shared" si="3"/>
        <v>0</v>
      </c>
    </row>
    <row r="7379">
      <c r="A7379" s="107"/>
      <c r="D7379" s="270"/>
      <c r="H7379" s="106" t="str">
        <f t="shared" si="1"/>
        <v/>
      </c>
      <c r="J7379" t="str">
        <f>IFERROR(__xludf.DUMMYFUNCTION("IFS(
  AND(REGEXMATCH(E7379, ""台銀籌備帳戶|玉山帳戶""), REGEXMATCH(C7379, ""薪資"")), ""分潤支出"",
  AND(REGEXMATCH(E7379, ""Ben帳戶|Elsa帳戶|Ben代墊|Ariel代墊|中信銀行共用""), REGEXMATCH(F7379, ""Ben帳戶|Elsa帳戶|Ben代墊|Ariel代墊|中信銀行共用"")), ""內部轉帳(忽略)"",
  AND(E7379&lt;&gt;"""", F7379&lt;&gt;"""", N"&amp;"OT(REGEXMATCH(C7379, ""薪資""))), ""內部轉帳(忽略)"",
  REGEXMATCH(C7379, ""薪資""), ""薪資變動(不計入)"",
  REGEXMATCH(C7379, ""押金""), ""押金往來"",
  AND(E7379&lt;&gt;"""", F7379=""""), ""真實支出"",
  AND(E7379="""", F7379&lt;&gt;""""), ""真實收入"",
  TRUE, ""其他""
)"),"其他")</f>
        <v>其他</v>
      </c>
      <c r="K7379" s="270" t="str">
        <f t="shared" si="2"/>
        <v/>
      </c>
      <c r="L7379">
        <f t="shared" si="3"/>
        <v>0</v>
      </c>
    </row>
    <row r="7380">
      <c r="A7380" s="107"/>
      <c r="D7380" s="270"/>
      <c r="H7380" s="106" t="str">
        <f t="shared" si="1"/>
        <v/>
      </c>
      <c r="J7380" t="str">
        <f>IFERROR(__xludf.DUMMYFUNCTION("IFS(
  AND(REGEXMATCH(E7380, ""台銀籌備帳戶|玉山帳戶""), REGEXMATCH(C7380, ""薪資"")), ""分潤支出"",
  AND(REGEXMATCH(E7380, ""Ben帳戶|Elsa帳戶|Ben代墊|Ariel代墊|中信銀行共用""), REGEXMATCH(F7380, ""Ben帳戶|Elsa帳戶|Ben代墊|Ariel代墊|中信銀行共用"")), ""內部轉帳(忽略)"",
  AND(E7380&lt;&gt;"""", F7380&lt;&gt;"""", N"&amp;"OT(REGEXMATCH(C7380, ""薪資""))), ""內部轉帳(忽略)"",
  REGEXMATCH(C7380, ""薪資""), ""薪資變動(不計入)"",
  REGEXMATCH(C7380, ""押金""), ""押金往來"",
  AND(E7380&lt;&gt;"""", F7380=""""), ""真實支出"",
  AND(E7380="""", F7380&lt;&gt;""""), ""真實收入"",
  TRUE, ""其他""
)"),"其他")</f>
        <v>其他</v>
      </c>
      <c r="K7380" s="270" t="str">
        <f t="shared" si="2"/>
        <v/>
      </c>
      <c r="L7380">
        <f t="shared" si="3"/>
        <v>0</v>
      </c>
    </row>
    <row r="7381">
      <c r="A7381" s="107"/>
      <c r="D7381" s="270"/>
      <c r="H7381" s="106" t="str">
        <f t="shared" si="1"/>
        <v/>
      </c>
      <c r="J7381" t="str">
        <f>IFERROR(__xludf.DUMMYFUNCTION("IFS(
  AND(REGEXMATCH(E7381, ""台銀籌備帳戶|玉山帳戶""), REGEXMATCH(C7381, ""薪資"")), ""分潤支出"",
  AND(REGEXMATCH(E7381, ""Ben帳戶|Elsa帳戶|Ben代墊|Ariel代墊|中信銀行共用""), REGEXMATCH(F7381, ""Ben帳戶|Elsa帳戶|Ben代墊|Ariel代墊|中信銀行共用"")), ""內部轉帳(忽略)"",
  AND(E7381&lt;&gt;"""", F7381&lt;&gt;"""", N"&amp;"OT(REGEXMATCH(C7381, ""薪資""))), ""內部轉帳(忽略)"",
  REGEXMATCH(C7381, ""薪資""), ""薪資變動(不計入)"",
  REGEXMATCH(C7381, ""押金""), ""押金往來"",
  AND(E7381&lt;&gt;"""", F7381=""""), ""真實支出"",
  AND(E7381="""", F7381&lt;&gt;""""), ""真實收入"",
  TRUE, ""其他""
)"),"其他")</f>
        <v>其他</v>
      </c>
      <c r="K7381" s="270" t="str">
        <f t="shared" si="2"/>
        <v/>
      </c>
      <c r="L7381">
        <f t="shared" si="3"/>
        <v>0</v>
      </c>
    </row>
    <row r="7382">
      <c r="A7382" s="107"/>
      <c r="D7382" s="270"/>
      <c r="H7382" s="106" t="str">
        <f t="shared" si="1"/>
        <v/>
      </c>
      <c r="J7382" t="str">
        <f>IFERROR(__xludf.DUMMYFUNCTION("IFS(
  AND(REGEXMATCH(E7382, ""台銀籌備帳戶|玉山帳戶""), REGEXMATCH(C7382, ""薪資"")), ""分潤支出"",
  AND(REGEXMATCH(E7382, ""Ben帳戶|Elsa帳戶|Ben代墊|Ariel代墊|中信銀行共用""), REGEXMATCH(F7382, ""Ben帳戶|Elsa帳戶|Ben代墊|Ariel代墊|中信銀行共用"")), ""內部轉帳(忽略)"",
  AND(E7382&lt;&gt;"""", F7382&lt;&gt;"""", N"&amp;"OT(REGEXMATCH(C7382, ""薪資""))), ""內部轉帳(忽略)"",
  REGEXMATCH(C7382, ""薪資""), ""薪資變動(不計入)"",
  REGEXMATCH(C7382, ""押金""), ""押金往來"",
  AND(E7382&lt;&gt;"""", F7382=""""), ""真實支出"",
  AND(E7382="""", F7382&lt;&gt;""""), ""真實收入"",
  TRUE, ""其他""
)"),"其他")</f>
        <v>其他</v>
      </c>
      <c r="K7382" s="270" t="str">
        <f t="shared" si="2"/>
        <v/>
      </c>
      <c r="L7382">
        <f t="shared" si="3"/>
        <v>0</v>
      </c>
    </row>
    <row r="7383">
      <c r="A7383" s="107"/>
      <c r="D7383" s="270"/>
      <c r="H7383" s="106" t="str">
        <f t="shared" si="1"/>
        <v/>
      </c>
      <c r="J7383" t="str">
        <f>IFERROR(__xludf.DUMMYFUNCTION("IFS(
  AND(REGEXMATCH(E7383, ""台銀籌備帳戶|玉山帳戶""), REGEXMATCH(C7383, ""薪資"")), ""分潤支出"",
  AND(REGEXMATCH(E7383, ""Ben帳戶|Elsa帳戶|Ben代墊|Ariel代墊|中信銀行共用""), REGEXMATCH(F7383, ""Ben帳戶|Elsa帳戶|Ben代墊|Ariel代墊|中信銀行共用"")), ""內部轉帳(忽略)"",
  AND(E7383&lt;&gt;"""", F7383&lt;&gt;"""", N"&amp;"OT(REGEXMATCH(C7383, ""薪資""))), ""內部轉帳(忽略)"",
  REGEXMATCH(C7383, ""薪資""), ""薪資變動(不計入)"",
  REGEXMATCH(C7383, ""押金""), ""押金往來"",
  AND(E7383&lt;&gt;"""", F7383=""""), ""真實支出"",
  AND(E7383="""", F7383&lt;&gt;""""), ""真實收入"",
  TRUE, ""其他""
)"),"其他")</f>
        <v>其他</v>
      </c>
      <c r="K7383" s="270" t="str">
        <f t="shared" si="2"/>
        <v/>
      </c>
      <c r="L7383">
        <f t="shared" si="3"/>
        <v>0</v>
      </c>
    </row>
    <row r="7384">
      <c r="A7384" s="107"/>
      <c r="D7384" s="270"/>
      <c r="H7384" s="106" t="str">
        <f t="shared" si="1"/>
        <v/>
      </c>
      <c r="J7384" t="str">
        <f>IFERROR(__xludf.DUMMYFUNCTION("IFS(
  AND(REGEXMATCH(E7384, ""台銀籌備帳戶|玉山帳戶""), REGEXMATCH(C7384, ""薪資"")), ""分潤支出"",
  AND(REGEXMATCH(E7384, ""Ben帳戶|Elsa帳戶|Ben代墊|Ariel代墊|中信銀行共用""), REGEXMATCH(F7384, ""Ben帳戶|Elsa帳戶|Ben代墊|Ariel代墊|中信銀行共用"")), ""內部轉帳(忽略)"",
  AND(E7384&lt;&gt;"""", F7384&lt;&gt;"""", N"&amp;"OT(REGEXMATCH(C7384, ""薪資""))), ""內部轉帳(忽略)"",
  REGEXMATCH(C7384, ""薪資""), ""薪資變動(不計入)"",
  REGEXMATCH(C7384, ""押金""), ""押金往來"",
  AND(E7384&lt;&gt;"""", F7384=""""), ""真實支出"",
  AND(E7384="""", F7384&lt;&gt;""""), ""真實收入"",
  TRUE, ""其他""
)"),"其他")</f>
        <v>其他</v>
      </c>
      <c r="K7384" s="270" t="str">
        <f t="shared" si="2"/>
        <v/>
      </c>
      <c r="L7384">
        <f t="shared" si="3"/>
        <v>0</v>
      </c>
    </row>
    <row r="7385">
      <c r="A7385" s="107"/>
      <c r="D7385" s="270"/>
      <c r="H7385" s="106" t="str">
        <f t="shared" si="1"/>
        <v/>
      </c>
      <c r="J7385" t="str">
        <f>IFERROR(__xludf.DUMMYFUNCTION("IFS(
  AND(REGEXMATCH(E7385, ""台銀籌備帳戶|玉山帳戶""), REGEXMATCH(C7385, ""薪資"")), ""分潤支出"",
  AND(REGEXMATCH(E7385, ""Ben帳戶|Elsa帳戶|Ben代墊|Ariel代墊|中信銀行共用""), REGEXMATCH(F7385, ""Ben帳戶|Elsa帳戶|Ben代墊|Ariel代墊|中信銀行共用"")), ""內部轉帳(忽略)"",
  AND(E7385&lt;&gt;"""", F7385&lt;&gt;"""", N"&amp;"OT(REGEXMATCH(C7385, ""薪資""))), ""內部轉帳(忽略)"",
  REGEXMATCH(C7385, ""薪資""), ""薪資變動(不計入)"",
  REGEXMATCH(C7385, ""押金""), ""押金往來"",
  AND(E7385&lt;&gt;"""", F7385=""""), ""真實支出"",
  AND(E7385="""", F7385&lt;&gt;""""), ""真實收入"",
  TRUE, ""其他""
)"),"其他")</f>
        <v>其他</v>
      </c>
      <c r="K7385" s="270" t="str">
        <f t="shared" si="2"/>
        <v/>
      </c>
      <c r="L7385">
        <f t="shared" si="3"/>
        <v>0</v>
      </c>
    </row>
    <row r="7386">
      <c r="A7386" s="107"/>
      <c r="D7386" s="270"/>
      <c r="H7386" s="106" t="str">
        <f t="shared" si="1"/>
        <v/>
      </c>
      <c r="J7386" t="str">
        <f>IFERROR(__xludf.DUMMYFUNCTION("IFS(
  AND(REGEXMATCH(E7386, ""台銀籌備帳戶|玉山帳戶""), REGEXMATCH(C7386, ""薪資"")), ""分潤支出"",
  AND(REGEXMATCH(E7386, ""Ben帳戶|Elsa帳戶|Ben代墊|Ariel代墊|中信銀行共用""), REGEXMATCH(F7386, ""Ben帳戶|Elsa帳戶|Ben代墊|Ariel代墊|中信銀行共用"")), ""內部轉帳(忽略)"",
  AND(E7386&lt;&gt;"""", F7386&lt;&gt;"""", N"&amp;"OT(REGEXMATCH(C7386, ""薪資""))), ""內部轉帳(忽略)"",
  REGEXMATCH(C7386, ""薪資""), ""薪資變動(不計入)"",
  REGEXMATCH(C7386, ""押金""), ""押金往來"",
  AND(E7386&lt;&gt;"""", F7386=""""), ""真實支出"",
  AND(E7386="""", F7386&lt;&gt;""""), ""真實收入"",
  TRUE, ""其他""
)"),"其他")</f>
        <v>其他</v>
      </c>
      <c r="K7386" s="270" t="str">
        <f t="shared" si="2"/>
        <v/>
      </c>
      <c r="L7386">
        <f t="shared" si="3"/>
        <v>0</v>
      </c>
    </row>
    <row r="7387">
      <c r="A7387" s="107"/>
      <c r="D7387" s="270"/>
      <c r="H7387" s="106" t="str">
        <f t="shared" si="1"/>
        <v/>
      </c>
      <c r="J7387" t="str">
        <f>IFERROR(__xludf.DUMMYFUNCTION("IFS(
  AND(REGEXMATCH(E7387, ""台銀籌備帳戶|玉山帳戶""), REGEXMATCH(C7387, ""薪資"")), ""分潤支出"",
  AND(REGEXMATCH(E7387, ""Ben帳戶|Elsa帳戶|Ben代墊|Ariel代墊|中信銀行共用""), REGEXMATCH(F7387, ""Ben帳戶|Elsa帳戶|Ben代墊|Ariel代墊|中信銀行共用"")), ""內部轉帳(忽略)"",
  AND(E7387&lt;&gt;"""", F7387&lt;&gt;"""", N"&amp;"OT(REGEXMATCH(C7387, ""薪資""))), ""內部轉帳(忽略)"",
  REGEXMATCH(C7387, ""薪資""), ""薪資變動(不計入)"",
  REGEXMATCH(C7387, ""押金""), ""押金往來"",
  AND(E7387&lt;&gt;"""", F7387=""""), ""真實支出"",
  AND(E7387="""", F7387&lt;&gt;""""), ""真實收入"",
  TRUE, ""其他""
)"),"其他")</f>
        <v>其他</v>
      </c>
      <c r="K7387" s="270" t="str">
        <f t="shared" si="2"/>
        <v/>
      </c>
      <c r="L7387">
        <f t="shared" si="3"/>
        <v>0</v>
      </c>
    </row>
    <row r="7388">
      <c r="A7388" s="107"/>
      <c r="D7388" s="270"/>
      <c r="H7388" s="106" t="str">
        <f t="shared" si="1"/>
        <v/>
      </c>
      <c r="J7388" t="str">
        <f>IFERROR(__xludf.DUMMYFUNCTION("IFS(
  AND(REGEXMATCH(E7388, ""台銀籌備帳戶|玉山帳戶""), REGEXMATCH(C7388, ""薪資"")), ""分潤支出"",
  AND(REGEXMATCH(E7388, ""Ben帳戶|Elsa帳戶|Ben代墊|Ariel代墊|中信銀行共用""), REGEXMATCH(F7388, ""Ben帳戶|Elsa帳戶|Ben代墊|Ariel代墊|中信銀行共用"")), ""內部轉帳(忽略)"",
  AND(E7388&lt;&gt;"""", F7388&lt;&gt;"""", N"&amp;"OT(REGEXMATCH(C7388, ""薪資""))), ""內部轉帳(忽略)"",
  REGEXMATCH(C7388, ""薪資""), ""薪資變動(不計入)"",
  REGEXMATCH(C7388, ""押金""), ""押金往來"",
  AND(E7388&lt;&gt;"""", F7388=""""), ""真實支出"",
  AND(E7388="""", F7388&lt;&gt;""""), ""真實收入"",
  TRUE, ""其他""
)"),"其他")</f>
        <v>其他</v>
      </c>
      <c r="K7388" s="270" t="str">
        <f t="shared" si="2"/>
        <v/>
      </c>
      <c r="L7388">
        <f t="shared" si="3"/>
        <v>0</v>
      </c>
    </row>
    <row r="7389">
      <c r="A7389" s="107"/>
      <c r="D7389" s="270"/>
      <c r="H7389" s="106" t="str">
        <f t="shared" si="1"/>
        <v/>
      </c>
      <c r="J7389" t="str">
        <f>IFERROR(__xludf.DUMMYFUNCTION("IFS(
  AND(REGEXMATCH(E7389, ""台銀籌備帳戶|玉山帳戶""), REGEXMATCH(C7389, ""薪資"")), ""分潤支出"",
  AND(REGEXMATCH(E7389, ""Ben帳戶|Elsa帳戶|Ben代墊|Ariel代墊|中信銀行共用""), REGEXMATCH(F7389, ""Ben帳戶|Elsa帳戶|Ben代墊|Ariel代墊|中信銀行共用"")), ""內部轉帳(忽略)"",
  AND(E7389&lt;&gt;"""", F7389&lt;&gt;"""", N"&amp;"OT(REGEXMATCH(C7389, ""薪資""))), ""內部轉帳(忽略)"",
  REGEXMATCH(C7389, ""薪資""), ""薪資變動(不計入)"",
  REGEXMATCH(C7389, ""押金""), ""押金往來"",
  AND(E7389&lt;&gt;"""", F7389=""""), ""真實支出"",
  AND(E7389="""", F7389&lt;&gt;""""), ""真實收入"",
  TRUE, ""其他""
)"),"其他")</f>
        <v>其他</v>
      </c>
      <c r="K7389" s="270" t="str">
        <f t="shared" si="2"/>
        <v/>
      </c>
      <c r="L7389">
        <f t="shared" si="3"/>
        <v>0</v>
      </c>
    </row>
    <row r="7390">
      <c r="A7390" s="107"/>
      <c r="D7390" s="270"/>
      <c r="H7390" s="106" t="str">
        <f t="shared" si="1"/>
        <v/>
      </c>
      <c r="J7390" t="str">
        <f>IFERROR(__xludf.DUMMYFUNCTION("IFS(
  AND(REGEXMATCH(E7390, ""台銀籌備帳戶|玉山帳戶""), REGEXMATCH(C7390, ""薪資"")), ""分潤支出"",
  AND(REGEXMATCH(E7390, ""Ben帳戶|Elsa帳戶|Ben代墊|Ariel代墊|中信銀行共用""), REGEXMATCH(F7390, ""Ben帳戶|Elsa帳戶|Ben代墊|Ariel代墊|中信銀行共用"")), ""內部轉帳(忽略)"",
  AND(E7390&lt;&gt;"""", F7390&lt;&gt;"""", N"&amp;"OT(REGEXMATCH(C7390, ""薪資""))), ""內部轉帳(忽略)"",
  REGEXMATCH(C7390, ""薪資""), ""薪資變動(不計入)"",
  REGEXMATCH(C7390, ""押金""), ""押金往來"",
  AND(E7390&lt;&gt;"""", F7390=""""), ""真實支出"",
  AND(E7390="""", F7390&lt;&gt;""""), ""真實收入"",
  TRUE, ""其他""
)"),"其他")</f>
        <v>其他</v>
      </c>
      <c r="K7390" s="270" t="str">
        <f t="shared" si="2"/>
        <v/>
      </c>
      <c r="L7390">
        <f t="shared" si="3"/>
        <v>0</v>
      </c>
    </row>
    <row r="7391">
      <c r="A7391" s="107"/>
      <c r="D7391" s="270"/>
      <c r="H7391" s="106" t="str">
        <f t="shared" si="1"/>
        <v/>
      </c>
      <c r="J7391" t="str">
        <f>IFERROR(__xludf.DUMMYFUNCTION("IFS(
  AND(REGEXMATCH(E7391, ""台銀籌備帳戶|玉山帳戶""), REGEXMATCH(C7391, ""薪資"")), ""分潤支出"",
  AND(REGEXMATCH(E7391, ""Ben帳戶|Elsa帳戶|Ben代墊|Ariel代墊|中信銀行共用""), REGEXMATCH(F7391, ""Ben帳戶|Elsa帳戶|Ben代墊|Ariel代墊|中信銀行共用"")), ""內部轉帳(忽略)"",
  AND(E7391&lt;&gt;"""", F7391&lt;&gt;"""", N"&amp;"OT(REGEXMATCH(C7391, ""薪資""))), ""內部轉帳(忽略)"",
  REGEXMATCH(C7391, ""薪資""), ""薪資變動(不計入)"",
  REGEXMATCH(C7391, ""押金""), ""押金往來"",
  AND(E7391&lt;&gt;"""", F7391=""""), ""真實支出"",
  AND(E7391="""", F7391&lt;&gt;""""), ""真實收入"",
  TRUE, ""其他""
)"),"其他")</f>
        <v>其他</v>
      </c>
      <c r="K7391" s="270" t="str">
        <f t="shared" si="2"/>
        <v/>
      </c>
      <c r="L7391">
        <f t="shared" si="3"/>
        <v>0</v>
      </c>
    </row>
    <row r="7392">
      <c r="A7392" s="107"/>
      <c r="D7392" s="270"/>
      <c r="H7392" s="106" t="str">
        <f t="shared" si="1"/>
        <v/>
      </c>
      <c r="J7392" t="str">
        <f>IFERROR(__xludf.DUMMYFUNCTION("IFS(
  AND(REGEXMATCH(E7392, ""台銀籌備帳戶|玉山帳戶""), REGEXMATCH(C7392, ""薪資"")), ""分潤支出"",
  AND(REGEXMATCH(E7392, ""Ben帳戶|Elsa帳戶|Ben代墊|Ariel代墊|中信銀行共用""), REGEXMATCH(F7392, ""Ben帳戶|Elsa帳戶|Ben代墊|Ariel代墊|中信銀行共用"")), ""內部轉帳(忽略)"",
  AND(E7392&lt;&gt;"""", F7392&lt;&gt;"""", N"&amp;"OT(REGEXMATCH(C7392, ""薪資""))), ""內部轉帳(忽略)"",
  REGEXMATCH(C7392, ""薪資""), ""薪資變動(不計入)"",
  REGEXMATCH(C7392, ""押金""), ""押金往來"",
  AND(E7392&lt;&gt;"""", F7392=""""), ""真實支出"",
  AND(E7392="""", F7392&lt;&gt;""""), ""真實收入"",
  TRUE, ""其他""
)"),"其他")</f>
        <v>其他</v>
      </c>
      <c r="K7392" s="270" t="str">
        <f t="shared" si="2"/>
        <v/>
      </c>
      <c r="L7392">
        <f t="shared" si="3"/>
        <v>0</v>
      </c>
    </row>
    <row r="7393">
      <c r="A7393" s="107"/>
      <c r="D7393" s="270"/>
      <c r="H7393" s="106" t="str">
        <f t="shared" si="1"/>
        <v/>
      </c>
      <c r="J7393" t="str">
        <f>IFERROR(__xludf.DUMMYFUNCTION("IFS(
  AND(REGEXMATCH(E7393, ""台銀籌備帳戶|玉山帳戶""), REGEXMATCH(C7393, ""薪資"")), ""分潤支出"",
  AND(REGEXMATCH(E7393, ""Ben帳戶|Elsa帳戶|Ben代墊|Ariel代墊|中信銀行共用""), REGEXMATCH(F7393, ""Ben帳戶|Elsa帳戶|Ben代墊|Ariel代墊|中信銀行共用"")), ""內部轉帳(忽略)"",
  AND(E7393&lt;&gt;"""", F7393&lt;&gt;"""", N"&amp;"OT(REGEXMATCH(C7393, ""薪資""))), ""內部轉帳(忽略)"",
  REGEXMATCH(C7393, ""薪資""), ""薪資變動(不計入)"",
  REGEXMATCH(C7393, ""押金""), ""押金往來"",
  AND(E7393&lt;&gt;"""", F7393=""""), ""真實支出"",
  AND(E7393="""", F7393&lt;&gt;""""), ""真實收入"",
  TRUE, ""其他""
)"),"其他")</f>
        <v>其他</v>
      </c>
      <c r="K7393" s="270" t="str">
        <f t="shared" si="2"/>
        <v/>
      </c>
      <c r="L7393">
        <f t="shared" si="3"/>
        <v>0</v>
      </c>
    </row>
    <row r="7394">
      <c r="A7394" s="107"/>
      <c r="D7394" s="270"/>
      <c r="H7394" s="106" t="str">
        <f t="shared" si="1"/>
        <v/>
      </c>
      <c r="J7394" t="str">
        <f>IFERROR(__xludf.DUMMYFUNCTION("IFS(
  AND(REGEXMATCH(E7394, ""台銀籌備帳戶|玉山帳戶""), REGEXMATCH(C7394, ""薪資"")), ""分潤支出"",
  AND(REGEXMATCH(E7394, ""Ben帳戶|Elsa帳戶|Ben代墊|Ariel代墊|中信銀行共用""), REGEXMATCH(F7394, ""Ben帳戶|Elsa帳戶|Ben代墊|Ariel代墊|中信銀行共用"")), ""內部轉帳(忽略)"",
  AND(E7394&lt;&gt;"""", F7394&lt;&gt;"""", N"&amp;"OT(REGEXMATCH(C7394, ""薪資""))), ""內部轉帳(忽略)"",
  REGEXMATCH(C7394, ""薪資""), ""薪資變動(不計入)"",
  REGEXMATCH(C7394, ""押金""), ""押金往來"",
  AND(E7394&lt;&gt;"""", F7394=""""), ""真實支出"",
  AND(E7394="""", F7394&lt;&gt;""""), ""真實收入"",
  TRUE, ""其他""
)"),"其他")</f>
        <v>其他</v>
      </c>
      <c r="K7394" s="270" t="str">
        <f t="shared" si="2"/>
        <v/>
      </c>
      <c r="L7394">
        <f t="shared" si="3"/>
        <v>0</v>
      </c>
    </row>
    <row r="7395">
      <c r="A7395" s="107"/>
      <c r="D7395" s="270"/>
      <c r="H7395" s="106" t="str">
        <f t="shared" si="1"/>
        <v/>
      </c>
      <c r="J7395" t="str">
        <f>IFERROR(__xludf.DUMMYFUNCTION("IFS(
  AND(REGEXMATCH(E7395, ""台銀籌備帳戶|玉山帳戶""), REGEXMATCH(C7395, ""薪資"")), ""分潤支出"",
  AND(REGEXMATCH(E7395, ""Ben帳戶|Elsa帳戶|Ben代墊|Ariel代墊|中信銀行共用""), REGEXMATCH(F7395, ""Ben帳戶|Elsa帳戶|Ben代墊|Ariel代墊|中信銀行共用"")), ""內部轉帳(忽略)"",
  AND(E7395&lt;&gt;"""", F7395&lt;&gt;"""", N"&amp;"OT(REGEXMATCH(C7395, ""薪資""))), ""內部轉帳(忽略)"",
  REGEXMATCH(C7395, ""薪資""), ""薪資變動(不計入)"",
  REGEXMATCH(C7395, ""押金""), ""押金往來"",
  AND(E7395&lt;&gt;"""", F7395=""""), ""真實支出"",
  AND(E7395="""", F7395&lt;&gt;""""), ""真實收入"",
  TRUE, ""其他""
)"),"其他")</f>
        <v>其他</v>
      </c>
      <c r="K7395" s="270" t="str">
        <f t="shared" si="2"/>
        <v/>
      </c>
      <c r="L7395">
        <f t="shared" si="3"/>
        <v>0</v>
      </c>
    </row>
    <row r="7396">
      <c r="A7396" s="107"/>
      <c r="D7396" s="270"/>
      <c r="H7396" s="106" t="str">
        <f t="shared" si="1"/>
        <v/>
      </c>
      <c r="J7396" t="str">
        <f>IFERROR(__xludf.DUMMYFUNCTION("IFS(
  AND(REGEXMATCH(E7396, ""台銀籌備帳戶|玉山帳戶""), REGEXMATCH(C7396, ""薪資"")), ""分潤支出"",
  AND(REGEXMATCH(E7396, ""Ben帳戶|Elsa帳戶|Ben代墊|Ariel代墊|中信銀行共用""), REGEXMATCH(F7396, ""Ben帳戶|Elsa帳戶|Ben代墊|Ariel代墊|中信銀行共用"")), ""內部轉帳(忽略)"",
  AND(E7396&lt;&gt;"""", F7396&lt;&gt;"""", N"&amp;"OT(REGEXMATCH(C7396, ""薪資""))), ""內部轉帳(忽略)"",
  REGEXMATCH(C7396, ""薪資""), ""薪資變動(不計入)"",
  REGEXMATCH(C7396, ""押金""), ""押金往來"",
  AND(E7396&lt;&gt;"""", F7396=""""), ""真實支出"",
  AND(E7396="""", F7396&lt;&gt;""""), ""真實收入"",
  TRUE, ""其他""
)"),"其他")</f>
        <v>其他</v>
      </c>
      <c r="K7396" s="270" t="str">
        <f t="shared" si="2"/>
        <v/>
      </c>
      <c r="L7396">
        <f t="shared" si="3"/>
        <v>0</v>
      </c>
    </row>
    <row r="7397">
      <c r="A7397" s="107"/>
      <c r="D7397" s="270"/>
      <c r="H7397" s="106" t="str">
        <f t="shared" si="1"/>
        <v/>
      </c>
      <c r="J7397" t="str">
        <f>IFERROR(__xludf.DUMMYFUNCTION("IFS(
  AND(REGEXMATCH(E7397, ""台銀籌備帳戶|玉山帳戶""), REGEXMATCH(C7397, ""薪資"")), ""分潤支出"",
  AND(REGEXMATCH(E7397, ""Ben帳戶|Elsa帳戶|Ben代墊|Ariel代墊|中信銀行共用""), REGEXMATCH(F7397, ""Ben帳戶|Elsa帳戶|Ben代墊|Ariel代墊|中信銀行共用"")), ""內部轉帳(忽略)"",
  AND(E7397&lt;&gt;"""", F7397&lt;&gt;"""", N"&amp;"OT(REGEXMATCH(C7397, ""薪資""))), ""內部轉帳(忽略)"",
  REGEXMATCH(C7397, ""薪資""), ""薪資變動(不計入)"",
  REGEXMATCH(C7397, ""押金""), ""押金往來"",
  AND(E7397&lt;&gt;"""", F7397=""""), ""真實支出"",
  AND(E7397="""", F7397&lt;&gt;""""), ""真實收入"",
  TRUE, ""其他""
)"),"其他")</f>
        <v>其他</v>
      </c>
      <c r="K7397" s="270" t="str">
        <f t="shared" si="2"/>
        <v/>
      </c>
      <c r="L7397">
        <f t="shared" si="3"/>
        <v>0</v>
      </c>
    </row>
    <row r="7398">
      <c r="A7398" s="107"/>
      <c r="D7398" s="270"/>
      <c r="H7398" s="106" t="str">
        <f t="shared" si="1"/>
        <v/>
      </c>
      <c r="J7398" t="str">
        <f>IFERROR(__xludf.DUMMYFUNCTION("IFS(
  AND(REGEXMATCH(E7398, ""台銀籌備帳戶|玉山帳戶""), REGEXMATCH(C7398, ""薪資"")), ""分潤支出"",
  AND(REGEXMATCH(E7398, ""Ben帳戶|Elsa帳戶|Ben代墊|Ariel代墊|中信銀行共用""), REGEXMATCH(F7398, ""Ben帳戶|Elsa帳戶|Ben代墊|Ariel代墊|中信銀行共用"")), ""內部轉帳(忽略)"",
  AND(E7398&lt;&gt;"""", F7398&lt;&gt;"""", N"&amp;"OT(REGEXMATCH(C7398, ""薪資""))), ""內部轉帳(忽略)"",
  REGEXMATCH(C7398, ""薪資""), ""薪資變動(不計入)"",
  REGEXMATCH(C7398, ""押金""), ""押金往來"",
  AND(E7398&lt;&gt;"""", F7398=""""), ""真實支出"",
  AND(E7398="""", F7398&lt;&gt;""""), ""真實收入"",
  TRUE, ""其他""
)"),"其他")</f>
        <v>其他</v>
      </c>
      <c r="K7398" s="270" t="str">
        <f t="shared" si="2"/>
        <v/>
      </c>
      <c r="L7398">
        <f t="shared" si="3"/>
        <v>0</v>
      </c>
    </row>
    <row r="7399">
      <c r="A7399" s="107"/>
      <c r="D7399" s="270"/>
      <c r="H7399" s="106" t="str">
        <f t="shared" si="1"/>
        <v/>
      </c>
      <c r="J7399" t="str">
        <f>IFERROR(__xludf.DUMMYFUNCTION("IFS(
  AND(REGEXMATCH(E7399, ""台銀籌備帳戶|玉山帳戶""), REGEXMATCH(C7399, ""薪資"")), ""分潤支出"",
  AND(REGEXMATCH(E7399, ""Ben帳戶|Elsa帳戶|Ben代墊|Ariel代墊|中信銀行共用""), REGEXMATCH(F7399, ""Ben帳戶|Elsa帳戶|Ben代墊|Ariel代墊|中信銀行共用"")), ""內部轉帳(忽略)"",
  AND(E7399&lt;&gt;"""", F7399&lt;&gt;"""", N"&amp;"OT(REGEXMATCH(C7399, ""薪資""))), ""內部轉帳(忽略)"",
  REGEXMATCH(C7399, ""薪資""), ""薪資變動(不計入)"",
  REGEXMATCH(C7399, ""押金""), ""押金往來"",
  AND(E7399&lt;&gt;"""", F7399=""""), ""真實支出"",
  AND(E7399="""", F7399&lt;&gt;""""), ""真實收入"",
  TRUE, ""其他""
)"),"其他")</f>
        <v>其他</v>
      </c>
      <c r="K7399" s="270" t="str">
        <f t="shared" si="2"/>
        <v/>
      </c>
      <c r="L7399">
        <f t="shared" si="3"/>
        <v>0</v>
      </c>
    </row>
    <row r="7400">
      <c r="A7400" s="107"/>
      <c r="D7400" s="270"/>
      <c r="H7400" s="106" t="str">
        <f t="shared" si="1"/>
        <v/>
      </c>
      <c r="J7400" t="str">
        <f>IFERROR(__xludf.DUMMYFUNCTION("IFS(
  AND(REGEXMATCH(E7400, ""台銀籌備帳戶|玉山帳戶""), REGEXMATCH(C7400, ""薪資"")), ""分潤支出"",
  AND(REGEXMATCH(E7400, ""Ben帳戶|Elsa帳戶|Ben代墊|Ariel代墊|中信銀行共用""), REGEXMATCH(F7400, ""Ben帳戶|Elsa帳戶|Ben代墊|Ariel代墊|中信銀行共用"")), ""內部轉帳(忽略)"",
  AND(E7400&lt;&gt;"""", F7400&lt;&gt;"""", N"&amp;"OT(REGEXMATCH(C7400, ""薪資""))), ""內部轉帳(忽略)"",
  REGEXMATCH(C7400, ""薪資""), ""薪資變動(不計入)"",
  REGEXMATCH(C7400, ""押金""), ""押金往來"",
  AND(E7400&lt;&gt;"""", F7400=""""), ""真實支出"",
  AND(E7400="""", F7400&lt;&gt;""""), ""真實收入"",
  TRUE, ""其他""
)"),"其他")</f>
        <v>其他</v>
      </c>
      <c r="K7400" s="270" t="str">
        <f t="shared" si="2"/>
        <v/>
      </c>
      <c r="L7400">
        <f t="shared" si="3"/>
        <v>0</v>
      </c>
    </row>
    <row r="7401">
      <c r="A7401" s="107"/>
      <c r="D7401" s="270"/>
      <c r="H7401" s="106" t="str">
        <f t="shared" si="1"/>
        <v/>
      </c>
      <c r="J7401" t="str">
        <f>IFERROR(__xludf.DUMMYFUNCTION("IFS(
  AND(REGEXMATCH(E7401, ""台銀籌備帳戶|玉山帳戶""), REGEXMATCH(C7401, ""薪資"")), ""分潤支出"",
  AND(REGEXMATCH(E7401, ""Ben帳戶|Elsa帳戶|Ben代墊|Ariel代墊|中信銀行共用""), REGEXMATCH(F7401, ""Ben帳戶|Elsa帳戶|Ben代墊|Ariel代墊|中信銀行共用"")), ""內部轉帳(忽略)"",
  AND(E7401&lt;&gt;"""", F7401&lt;&gt;"""", N"&amp;"OT(REGEXMATCH(C7401, ""薪資""))), ""內部轉帳(忽略)"",
  REGEXMATCH(C7401, ""薪資""), ""薪資變動(不計入)"",
  REGEXMATCH(C7401, ""押金""), ""押金往來"",
  AND(E7401&lt;&gt;"""", F7401=""""), ""真實支出"",
  AND(E7401="""", F7401&lt;&gt;""""), ""真實收入"",
  TRUE, ""其他""
)"),"其他")</f>
        <v>其他</v>
      </c>
      <c r="K7401" s="270" t="str">
        <f t="shared" si="2"/>
        <v/>
      </c>
      <c r="L7401">
        <f t="shared" si="3"/>
        <v>0</v>
      </c>
    </row>
    <row r="7402">
      <c r="A7402" s="107"/>
      <c r="D7402" s="270"/>
      <c r="H7402" s="106" t="str">
        <f t="shared" si="1"/>
        <v/>
      </c>
      <c r="J7402" t="str">
        <f>IFERROR(__xludf.DUMMYFUNCTION("IFS(
  AND(REGEXMATCH(E7402, ""台銀籌備帳戶|玉山帳戶""), REGEXMATCH(C7402, ""薪資"")), ""分潤支出"",
  AND(REGEXMATCH(E7402, ""Ben帳戶|Elsa帳戶|Ben代墊|Ariel代墊|中信銀行共用""), REGEXMATCH(F7402, ""Ben帳戶|Elsa帳戶|Ben代墊|Ariel代墊|中信銀行共用"")), ""內部轉帳(忽略)"",
  AND(E7402&lt;&gt;"""", F7402&lt;&gt;"""", N"&amp;"OT(REGEXMATCH(C7402, ""薪資""))), ""內部轉帳(忽略)"",
  REGEXMATCH(C7402, ""薪資""), ""薪資變動(不計入)"",
  REGEXMATCH(C7402, ""押金""), ""押金往來"",
  AND(E7402&lt;&gt;"""", F7402=""""), ""真實支出"",
  AND(E7402="""", F7402&lt;&gt;""""), ""真實收入"",
  TRUE, ""其他""
)"),"其他")</f>
        <v>其他</v>
      </c>
      <c r="K7402" s="270" t="str">
        <f t="shared" si="2"/>
        <v/>
      </c>
      <c r="L7402">
        <f t="shared" si="3"/>
        <v>0</v>
      </c>
    </row>
    <row r="7403">
      <c r="A7403" s="107"/>
      <c r="D7403" s="270"/>
      <c r="H7403" s="106" t="str">
        <f t="shared" si="1"/>
        <v/>
      </c>
      <c r="J7403" t="str">
        <f>IFERROR(__xludf.DUMMYFUNCTION("IFS(
  AND(REGEXMATCH(E7403, ""台銀籌備帳戶|玉山帳戶""), REGEXMATCH(C7403, ""薪資"")), ""分潤支出"",
  AND(REGEXMATCH(E7403, ""Ben帳戶|Elsa帳戶|Ben代墊|Ariel代墊|中信銀行共用""), REGEXMATCH(F7403, ""Ben帳戶|Elsa帳戶|Ben代墊|Ariel代墊|中信銀行共用"")), ""內部轉帳(忽略)"",
  AND(E7403&lt;&gt;"""", F7403&lt;&gt;"""", N"&amp;"OT(REGEXMATCH(C7403, ""薪資""))), ""內部轉帳(忽略)"",
  REGEXMATCH(C7403, ""薪資""), ""薪資變動(不計入)"",
  REGEXMATCH(C7403, ""押金""), ""押金往來"",
  AND(E7403&lt;&gt;"""", F7403=""""), ""真實支出"",
  AND(E7403="""", F7403&lt;&gt;""""), ""真實收入"",
  TRUE, ""其他""
)"),"其他")</f>
        <v>其他</v>
      </c>
      <c r="K7403" s="270" t="str">
        <f t="shared" si="2"/>
        <v/>
      </c>
      <c r="L7403">
        <f t="shared" si="3"/>
        <v>0</v>
      </c>
    </row>
    <row r="7404">
      <c r="A7404" s="107"/>
      <c r="D7404" s="270"/>
      <c r="H7404" s="106" t="str">
        <f t="shared" si="1"/>
        <v/>
      </c>
      <c r="J7404" t="str">
        <f>IFERROR(__xludf.DUMMYFUNCTION("IFS(
  AND(REGEXMATCH(E7404, ""台銀籌備帳戶|玉山帳戶""), REGEXMATCH(C7404, ""薪資"")), ""分潤支出"",
  AND(REGEXMATCH(E7404, ""Ben帳戶|Elsa帳戶|Ben代墊|Ariel代墊|中信銀行共用""), REGEXMATCH(F7404, ""Ben帳戶|Elsa帳戶|Ben代墊|Ariel代墊|中信銀行共用"")), ""內部轉帳(忽略)"",
  AND(E7404&lt;&gt;"""", F7404&lt;&gt;"""", N"&amp;"OT(REGEXMATCH(C7404, ""薪資""))), ""內部轉帳(忽略)"",
  REGEXMATCH(C7404, ""薪資""), ""薪資變動(不計入)"",
  REGEXMATCH(C7404, ""押金""), ""押金往來"",
  AND(E7404&lt;&gt;"""", F7404=""""), ""真實支出"",
  AND(E7404="""", F7404&lt;&gt;""""), ""真實收入"",
  TRUE, ""其他""
)"),"其他")</f>
        <v>其他</v>
      </c>
      <c r="K7404" s="270" t="str">
        <f t="shared" si="2"/>
        <v/>
      </c>
      <c r="L7404">
        <f t="shared" si="3"/>
        <v>0</v>
      </c>
    </row>
    <row r="7405">
      <c r="A7405" s="107"/>
      <c r="D7405" s="270"/>
      <c r="H7405" s="106" t="str">
        <f t="shared" si="1"/>
        <v/>
      </c>
      <c r="J7405" t="str">
        <f>IFERROR(__xludf.DUMMYFUNCTION("IFS(
  AND(REGEXMATCH(E7405, ""台銀籌備帳戶|玉山帳戶""), REGEXMATCH(C7405, ""薪資"")), ""分潤支出"",
  AND(REGEXMATCH(E7405, ""Ben帳戶|Elsa帳戶|Ben代墊|Ariel代墊|中信銀行共用""), REGEXMATCH(F7405, ""Ben帳戶|Elsa帳戶|Ben代墊|Ariel代墊|中信銀行共用"")), ""內部轉帳(忽略)"",
  AND(E7405&lt;&gt;"""", F7405&lt;&gt;"""", N"&amp;"OT(REGEXMATCH(C7405, ""薪資""))), ""內部轉帳(忽略)"",
  REGEXMATCH(C7405, ""薪資""), ""薪資變動(不計入)"",
  REGEXMATCH(C7405, ""押金""), ""押金往來"",
  AND(E7405&lt;&gt;"""", F7405=""""), ""真實支出"",
  AND(E7405="""", F7405&lt;&gt;""""), ""真實收入"",
  TRUE, ""其他""
)"),"其他")</f>
        <v>其他</v>
      </c>
      <c r="K7405" s="270" t="str">
        <f t="shared" si="2"/>
        <v/>
      </c>
      <c r="L7405">
        <f t="shared" si="3"/>
        <v>0</v>
      </c>
    </row>
    <row r="7406">
      <c r="A7406" s="107"/>
      <c r="D7406" s="270"/>
      <c r="H7406" s="106" t="str">
        <f t="shared" si="1"/>
        <v/>
      </c>
      <c r="J7406" t="str">
        <f>IFERROR(__xludf.DUMMYFUNCTION("IFS(
  AND(REGEXMATCH(E7406, ""台銀籌備帳戶|玉山帳戶""), REGEXMATCH(C7406, ""薪資"")), ""分潤支出"",
  AND(REGEXMATCH(E7406, ""Ben帳戶|Elsa帳戶|Ben代墊|Ariel代墊|中信銀行共用""), REGEXMATCH(F7406, ""Ben帳戶|Elsa帳戶|Ben代墊|Ariel代墊|中信銀行共用"")), ""內部轉帳(忽略)"",
  AND(E7406&lt;&gt;"""", F7406&lt;&gt;"""", N"&amp;"OT(REGEXMATCH(C7406, ""薪資""))), ""內部轉帳(忽略)"",
  REGEXMATCH(C7406, ""薪資""), ""薪資變動(不計入)"",
  REGEXMATCH(C7406, ""押金""), ""押金往來"",
  AND(E7406&lt;&gt;"""", F7406=""""), ""真實支出"",
  AND(E7406="""", F7406&lt;&gt;""""), ""真實收入"",
  TRUE, ""其他""
)"),"其他")</f>
        <v>其他</v>
      </c>
      <c r="K7406" s="270" t="str">
        <f t="shared" si="2"/>
        <v/>
      </c>
      <c r="L7406">
        <f t="shared" si="3"/>
        <v>0</v>
      </c>
    </row>
    <row r="7407">
      <c r="A7407" s="107"/>
      <c r="D7407" s="270"/>
      <c r="H7407" s="106" t="str">
        <f t="shared" si="1"/>
        <v/>
      </c>
      <c r="J7407" t="str">
        <f>IFERROR(__xludf.DUMMYFUNCTION("IFS(
  AND(REGEXMATCH(E7407, ""台銀籌備帳戶|玉山帳戶""), REGEXMATCH(C7407, ""薪資"")), ""分潤支出"",
  AND(REGEXMATCH(E7407, ""Ben帳戶|Elsa帳戶|Ben代墊|Ariel代墊|中信銀行共用""), REGEXMATCH(F7407, ""Ben帳戶|Elsa帳戶|Ben代墊|Ariel代墊|中信銀行共用"")), ""內部轉帳(忽略)"",
  AND(E7407&lt;&gt;"""", F7407&lt;&gt;"""", N"&amp;"OT(REGEXMATCH(C7407, ""薪資""))), ""內部轉帳(忽略)"",
  REGEXMATCH(C7407, ""薪資""), ""薪資變動(不計入)"",
  REGEXMATCH(C7407, ""押金""), ""押金往來"",
  AND(E7407&lt;&gt;"""", F7407=""""), ""真實支出"",
  AND(E7407="""", F7407&lt;&gt;""""), ""真實收入"",
  TRUE, ""其他""
)"),"其他")</f>
        <v>其他</v>
      </c>
      <c r="K7407" s="270" t="str">
        <f t="shared" si="2"/>
        <v/>
      </c>
      <c r="L7407">
        <f t="shared" si="3"/>
        <v>0</v>
      </c>
    </row>
    <row r="7408">
      <c r="A7408" s="107"/>
      <c r="D7408" s="270"/>
      <c r="H7408" s="106" t="str">
        <f t="shared" si="1"/>
        <v/>
      </c>
      <c r="J7408" t="str">
        <f>IFERROR(__xludf.DUMMYFUNCTION("IFS(
  AND(REGEXMATCH(E7408, ""台銀籌備帳戶|玉山帳戶""), REGEXMATCH(C7408, ""薪資"")), ""分潤支出"",
  AND(REGEXMATCH(E7408, ""Ben帳戶|Elsa帳戶|Ben代墊|Ariel代墊|中信銀行共用""), REGEXMATCH(F7408, ""Ben帳戶|Elsa帳戶|Ben代墊|Ariel代墊|中信銀行共用"")), ""內部轉帳(忽略)"",
  AND(E7408&lt;&gt;"""", F7408&lt;&gt;"""", N"&amp;"OT(REGEXMATCH(C7408, ""薪資""))), ""內部轉帳(忽略)"",
  REGEXMATCH(C7408, ""薪資""), ""薪資變動(不計入)"",
  REGEXMATCH(C7408, ""押金""), ""押金往來"",
  AND(E7408&lt;&gt;"""", F7408=""""), ""真實支出"",
  AND(E7408="""", F7408&lt;&gt;""""), ""真實收入"",
  TRUE, ""其他""
)"),"其他")</f>
        <v>其他</v>
      </c>
      <c r="K7408" s="270" t="str">
        <f t="shared" si="2"/>
        <v/>
      </c>
      <c r="L7408">
        <f t="shared" si="3"/>
        <v>0</v>
      </c>
    </row>
    <row r="7409">
      <c r="A7409" s="107"/>
      <c r="D7409" s="270"/>
      <c r="H7409" s="106" t="str">
        <f t="shared" si="1"/>
        <v/>
      </c>
      <c r="J7409" t="str">
        <f>IFERROR(__xludf.DUMMYFUNCTION("IFS(
  AND(REGEXMATCH(E7409, ""台銀籌備帳戶|玉山帳戶""), REGEXMATCH(C7409, ""薪資"")), ""分潤支出"",
  AND(REGEXMATCH(E7409, ""Ben帳戶|Elsa帳戶|Ben代墊|Ariel代墊|中信銀行共用""), REGEXMATCH(F7409, ""Ben帳戶|Elsa帳戶|Ben代墊|Ariel代墊|中信銀行共用"")), ""內部轉帳(忽略)"",
  AND(E7409&lt;&gt;"""", F7409&lt;&gt;"""", N"&amp;"OT(REGEXMATCH(C7409, ""薪資""))), ""內部轉帳(忽略)"",
  REGEXMATCH(C7409, ""薪資""), ""薪資變動(不計入)"",
  REGEXMATCH(C7409, ""押金""), ""押金往來"",
  AND(E7409&lt;&gt;"""", F7409=""""), ""真實支出"",
  AND(E7409="""", F7409&lt;&gt;""""), ""真實收入"",
  TRUE, ""其他""
)"),"其他")</f>
        <v>其他</v>
      </c>
      <c r="K7409" s="270" t="str">
        <f t="shared" si="2"/>
        <v/>
      </c>
      <c r="L7409">
        <f t="shared" si="3"/>
        <v>0</v>
      </c>
    </row>
    <row r="7410">
      <c r="A7410" s="107"/>
      <c r="D7410" s="270"/>
      <c r="H7410" s="106" t="str">
        <f t="shared" si="1"/>
        <v/>
      </c>
      <c r="J7410" t="str">
        <f>IFERROR(__xludf.DUMMYFUNCTION("IFS(
  AND(REGEXMATCH(E7410, ""台銀籌備帳戶|玉山帳戶""), REGEXMATCH(C7410, ""薪資"")), ""分潤支出"",
  AND(REGEXMATCH(E7410, ""Ben帳戶|Elsa帳戶|Ben代墊|Ariel代墊|中信銀行共用""), REGEXMATCH(F7410, ""Ben帳戶|Elsa帳戶|Ben代墊|Ariel代墊|中信銀行共用"")), ""內部轉帳(忽略)"",
  AND(E7410&lt;&gt;"""", F7410&lt;&gt;"""", N"&amp;"OT(REGEXMATCH(C7410, ""薪資""))), ""內部轉帳(忽略)"",
  REGEXMATCH(C7410, ""薪資""), ""薪資變動(不計入)"",
  REGEXMATCH(C7410, ""押金""), ""押金往來"",
  AND(E7410&lt;&gt;"""", F7410=""""), ""真實支出"",
  AND(E7410="""", F7410&lt;&gt;""""), ""真實收入"",
  TRUE, ""其他""
)"),"其他")</f>
        <v>其他</v>
      </c>
      <c r="K7410" s="270" t="str">
        <f t="shared" si="2"/>
        <v/>
      </c>
      <c r="L7410">
        <f t="shared" si="3"/>
        <v>0</v>
      </c>
    </row>
    <row r="7411">
      <c r="A7411" s="107"/>
      <c r="D7411" s="270"/>
      <c r="H7411" s="106" t="str">
        <f t="shared" si="1"/>
        <v/>
      </c>
      <c r="J7411" t="str">
        <f>IFERROR(__xludf.DUMMYFUNCTION("IFS(
  AND(REGEXMATCH(E7411, ""台銀籌備帳戶|玉山帳戶""), REGEXMATCH(C7411, ""薪資"")), ""分潤支出"",
  AND(REGEXMATCH(E7411, ""Ben帳戶|Elsa帳戶|Ben代墊|Ariel代墊|中信銀行共用""), REGEXMATCH(F7411, ""Ben帳戶|Elsa帳戶|Ben代墊|Ariel代墊|中信銀行共用"")), ""內部轉帳(忽略)"",
  AND(E7411&lt;&gt;"""", F7411&lt;&gt;"""", N"&amp;"OT(REGEXMATCH(C7411, ""薪資""))), ""內部轉帳(忽略)"",
  REGEXMATCH(C7411, ""薪資""), ""薪資變動(不計入)"",
  REGEXMATCH(C7411, ""押金""), ""押金往來"",
  AND(E7411&lt;&gt;"""", F7411=""""), ""真實支出"",
  AND(E7411="""", F7411&lt;&gt;""""), ""真實收入"",
  TRUE, ""其他""
)"),"其他")</f>
        <v>其他</v>
      </c>
      <c r="K7411" s="270" t="str">
        <f t="shared" si="2"/>
        <v/>
      </c>
      <c r="L7411">
        <f t="shared" si="3"/>
        <v>0</v>
      </c>
    </row>
    <row r="7412">
      <c r="A7412" s="107"/>
      <c r="D7412" s="270"/>
      <c r="H7412" s="106" t="str">
        <f t="shared" si="1"/>
        <v/>
      </c>
      <c r="J7412" t="str">
        <f>IFERROR(__xludf.DUMMYFUNCTION("IFS(
  AND(REGEXMATCH(E7412, ""台銀籌備帳戶|玉山帳戶""), REGEXMATCH(C7412, ""薪資"")), ""分潤支出"",
  AND(REGEXMATCH(E7412, ""Ben帳戶|Elsa帳戶|Ben代墊|Ariel代墊|中信銀行共用""), REGEXMATCH(F7412, ""Ben帳戶|Elsa帳戶|Ben代墊|Ariel代墊|中信銀行共用"")), ""內部轉帳(忽略)"",
  AND(E7412&lt;&gt;"""", F7412&lt;&gt;"""", N"&amp;"OT(REGEXMATCH(C7412, ""薪資""))), ""內部轉帳(忽略)"",
  REGEXMATCH(C7412, ""薪資""), ""薪資變動(不計入)"",
  REGEXMATCH(C7412, ""押金""), ""押金往來"",
  AND(E7412&lt;&gt;"""", F7412=""""), ""真實支出"",
  AND(E7412="""", F7412&lt;&gt;""""), ""真實收入"",
  TRUE, ""其他""
)"),"其他")</f>
        <v>其他</v>
      </c>
      <c r="K7412" s="270" t="str">
        <f t="shared" si="2"/>
        <v/>
      </c>
      <c r="L7412">
        <f t="shared" si="3"/>
        <v>0</v>
      </c>
    </row>
    <row r="7413">
      <c r="A7413" s="107"/>
      <c r="D7413" s="270"/>
      <c r="H7413" s="106" t="str">
        <f t="shared" si="1"/>
        <v/>
      </c>
      <c r="J7413" t="str">
        <f>IFERROR(__xludf.DUMMYFUNCTION("IFS(
  AND(REGEXMATCH(E7413, ""台銀籌備帳戶|玉山帳戶""), REGEXMATCH(C7413, ""薪資"")), ""分潤支出"",
  AND(REGEXMATCH(E7413, ""Ben帳戶|Elsa帳戶|Ben代墊|Ariel代墊|中信銀行共用""), REGEXMATCH(F7413, ""Ben帳戶|Elsa帳戶|Ben代墊|Ariel代墊|中信銀行共用"")), ""內部轉帳(忽略)"",
  AND(E7413&lt;&gt;"""", F7413&lt;&gt;"""", N"&amp;"OT(REGEXMATCH(C7413, ""薪資""))), ""內部轉帳(忽略)"",
  REGEXMATCH(C7413, ""薪資""), ""薪資變動(不計入)"",
  REGEXMATCH(C7413, ""押金""), ""押金往來"",
  AND(E7413&lt;&gt;"""", F7413=""""), ""真實支出"",
  AND(E7413="""", F7413&lt;&gt;""""), ""真實收入"",
  TRUE, ""其他""
)"),"其他")</f>
        <v>其他</v>
      </c>
      <c r="K7413" s="270" t="str">
        <f t="shared" si="2"/>
        <v/>
      </c>
      <c r="L7413">
        <f t="shared" si="3"/>
        <v>0</v>
      </c>
    </row>
    <row r="7414">
      <c r="A7414" s="107"/>
      <c r="D7414" s="270"/>
      <c r="H7414" s="106" t="str">
        <f t="shared" si="1"/>
        <v/>
      </c>
      <c r="J7414" t="str">
        <f>IFERROR(__xludf.DUMMYFUNCTION("IFS(
  AND(REGEXMATCH(E7414, ""台銀籌備帳戶|玉山帳戶""), REGEXMATCH(C7414, ""薪資"")), ""分潤支出"",
  AND(REGEXMATCH(E7414, ""Ben帳戶|Elsa帳戶|Ben代墊|Ariel代墊|中信銀行共用""), REGEXMATCH(F7414, ""Ben帳戶|Elsa帳戶|Ben代墊|Ariel代墊|中信銀行共用"")), ""內部轉帳(忽略)"",
  AND(E7414&lt;&gt;"""", F7414&lt;&gt;"""", N"&amp;"OT(REGEXMATCH(C7414, ""薪資""))), ""內部轉帳(忽略)"",
  REGEXMATCH(C7414, ""薪資""), ""薪資變動(不計入)"",
  REGEXMATCH(C7414, ""押金""), ""押金往來"",
  AND(E7414&lt;&gt;"""", F7414=""""), ""真實支出"",
  AND(E7414="""", F7414&lt;&gt;""""), ""真實收入"",
  TRUE, ""其他""
)"),"其他")</f>
        <v>其他</v>
      </c>
      <c r="K7414" s="270" t="str">
        <f t="shared" si="2"/>
        <v/>
      </c>
      <c r="L7414">
        <f t="shared" si="3"/>
        <v>0</v>
      </c>
    </row>
    <row r="7415">
      <c r="A7415" s="107"/>
      <c r="D7415" s="270"/>
      <c r="H7415" s="106" t="str">
        <f t="shared" si="1"/>
        <v/>
      </c>
      <c r="J7415" t="str">
        <f>IFERROR(__xludf.DUMMYFUNCTION("IFS(
  AND(REGEXMATCH(E7415, ""台銀籌備帳戶|玉山帳戶""), REGEXMATCH(C7415, ""薪資"")), ""分潤支出"",
  AND(REGEXMATCH(E7415, ""Ben帳戶|Elsa帳戶|Ben代墊|Ariel代墊|中信銀行共用""), REGEXMATCH(F7415, ""Ben帳戶|Elsa帳戶|Ben代墊|Ariel代墊|中信銀行共用"")), ""內部轉帳(忽略)"",
  AND(E7415&lt;&gt;"""", F7415&lt;&gt;"""", N"&amp;"OT(REGEXMATCH(C7415, ""薪資""))), ""內部轉帳(忽略)"",
  REGEXMATCH(C7415, ""薪資""), ""薪資變動(不計入)"",
  REGEXMATCH(C7415, ""押金""), ""押金往來"",
  AND(E7415&lt;&gt;"""", F7415=""""), ""真實支出"",
  AND(E7415="""", F7415&lt;&gt;""""), ""真實收入"",
  TRUE, ""其他""
)"),"其他")</f>
        <v>其他</v>
      </c>
      <c r="K7415" s="270" t="str">
        <f t="shared" si="2"/>
        <v/>
      </c>
      <c r="L7415">
        <f t="shared" si="3"/>
        <v>0</v>
      </c>
    </row>
    <row r="7416">
      <c r="A7416" s="107"/>
      <c r="D7416" s="270"/>
      <c r="H7416" s="106" t="str">
        <f t="shared" si="1"/>
        <v/>
      </c>
      <c r="J7416" t="str">
        <f>IFERROR(__xludf.DUMMYFUNCTION("IFS(
  AND(REGEXMATCH(E7416, ""台銀籌備帳戶|玉山帳戶""), REGEXMATCH(C7416, ""薪資"")), ""分潤支出"",
  AND(REGEXMATCH(E7416, ""Ben帳戶|Elsa帳戶|Ben代墊|Ariel代墊|中信銀行共用""), REGEXMATCH(F7416, ""Ben帳戶|Elsa帳戶|Ben代墊|Ariel代墊|中信銀行共用"")), ""內部轉帳(忽略)"",
  AND(E7416&lt;&gt;"""", F7416&lt;&gt;"""", N"&amp;"OT(REGEXMATCH(C7416, ""薪資""))), ""內部轉帳(忽略)"",
  REGEXMATCH(C7416, ""薪資""), ""薪資變動(不計入)"",
  REGEXMATCH(C7416, ""押金""), ""押金往來"",
  AND(E7416&lt;&gt;"""", F7416=""""), ""真實支出"",
  AND(E7416="""", F7416&lt;&gt;""""), ""真實收入"",
  TRUE, ""其他""
)"),"其他")</f>
        <v>其他</v>
      </c>
      <c r="K7416" s="270" t="str">
        <f t="shared" si="2"/>
        <v/>
      </c>
      <c r="L7416">
        <f t="shared" si="3"/>
        <v>0</v>
      </c>
    </row>
    <row r="7417">
      <c r="A7417" s="107"/>
      <c r="D7417" s="270"/>
      <c r="H7417" s="106" t="str">
        <f t="shared" si="1"/>
        <v/>
      </c>
      <c r="J7417" t="str">
        <f>IFERROR(__xludf.DUMMYFUNCTION("IFS(
  AND(REGEXMATCH(E7417, ""台銀籌備帳戶|玉山帳戶""), REGEXMATCH(C7417, ""薪資"")), ""分潤支出"",
  AND(REGEXMATCH(E7417, ""Ben帳戶|Elsa帳戶|Ben代墊|Ariel代墊|中信銀行共用""), REGEXMATCH(F7417, ""Ben帳戶|Elsa帳戶|Ben代墊|Ariel代墊|中信銀行共用"")), ""內部轉帳(忽略)"",
  AND(E7417&lt;&gt;"""", F7417&lt;&gt;"""", N"&amp;"OT(REGEXMATCH(C7417, ""薪資""))), ""內部轉帳(忽略)"",
  REGEXMATCH(C7417, ""薪資""), ""薪資變動(不計入)"",
  REGEXMATCH(C7417, ""押金""), ""押金往來"",
  AND(E7417&lt;&gt;"""", F7417=""""), ""真實支出"",
  AND(E7417="""", F7417&lt;&gt;""""), ""真實收入"",
  TRUE, ""其他""
)"),"其他")</f>
        <v>其他</v>
      </c>
      <c r="K7417" s="270" t="str">
        <f t="shared" si="2"/>
        <v/>
      </c>
      <c r="L7417">
        <f t="shared" si="3"/>
        <v>0</v>
      </c>
    </row>
    <row r="7418">
      <c r="A7418" s="107"/>
      <c r="D7418" s="270"/>
      <c r="H7418" s="106" t="str">
        <f t="shared" si="1"/>
        <v/>
      </c>
      <c r="J7418" t="str">
        <f>IFERROR(__xludf.DUMMYFUNCTION("IFS(
  AND(REGEXMATCH(E7418, ""台銀籌備帳戶|玉山帳戶""), REGEXMATCH(C7418, ""薪資"")), ""分潤支出"",
  AND(REGEXMATCH(E7418, ""Ben帳戶|Elsa帳戶|Ben代墊|Ariel代墊|中信銀行共用""), REGEXMATCH(F7418, ""Ben帳戶|Elsa帳戶|Ben代墊|Ariel代墊|中信銀行共用"")), ""內部轉帳(忽略)"",
  AND(E7418&lt;&gt;"""", F7418&lt;&gt;"""", N"&amp;"OT(REGEXMATCH(C7418, ""薪資""))), ""內部轉帳(忽略)"",
  REGEXMATCH(C7418, ""薪資""), ""薪資變動(不計入)"",
  REGEXMATCH(C7418, ""押金""), ""押金往來"",
  AND(E7418&lt;&gt;"""", F7418=""""), ""真實支出"",
  AND(E7418="""", F7418&lt;&gt;""""), ""真實收入"",
  TRUE, ""其他""
)"),"其他")</f>
        <v>其他</v>
      </c>
      <c r="K7418" s="270" t="str">
        <f t="shared" si="2"/>
        <v/>
      </c>
      <c r="L7418">
        <f t="shared" si="3"/>
        <v>0</v>
      </c>
    </row>
    <row r="7419">
      <c r="A7419" s="107"/>
      <c r="D7419" s="270"/>
      <c r="H7419" s="106" t="str">
        <f t="shared" si="1"/>
        <v/>
      </c>
      <c r="J7419" t="str">
        <f>IFERROR(__xludf.DUMMYFUNCTION("IFS(
  AND(REGEXMATCH(E7419, ""台銀籌備帳戶|玉山帳戶""), REGEXMATCH(C7419, ""薪資"")), ""分潤支出"",
  AND(REGEXMATCH(E7419, ""Ben帳戶|Elsa帳戶|Ben代墊|Ariel代墊|中信銀行共用""), REGEXMATCH(F7419, ""Ben帳戶|Elsa帳戶|Ben代墊|Ariel代墊|中信銀行共用"")), ""內部轉帳(忽略)"",
  AND(E7419&lt;&gt;"""", F7419&lt;&gt;"""", N"&amp;"OT(REGEXMATCH(C7419, ""薪資""))), ""內部轉帳(忽略)"",
  REGEXMATCH(C7419, ""薪資""), ""薪資變動(不計入)"",
  REGEXMATCH(C7419, ""押金""), ""押金往來"",
  AND(E7419&lt;&gt;"""", F7419=""""), ""真實支出"",
  AND(E7419="""", F7419&lt;&gt;""""), ""真實收入"",
  TRUE, ""其他""
)"),"其他")</f>
        <v>其他</v>
      </c>
      <c r="K7419" s="270" t="str">
        <f t="shared" si="2"/>
        <v/>
      </c>
      <c r="L7419">
        <f t="shared" si="3"/>
        <v>0</v>
      </c>
    </row>
    <row r="7420">
      <c r="A7420" s="107"/>
      <c r="D7420" s="270"/>
      <c r="H7420" s="106" t="str">
        <f t="shared" si="1"/>
        <v/>
      </c>
      <c r="J7420" t="str">
        <f>IFERROR(__xludf.DUMMYFUNCTION("IFS(
  AND(REGEXMATCH(E7420, ""台銀籌備帳戶|玉山帳戶""), REGEXMATCH(C7420, ""薪資"")), ""分潤支出"",
  AND(REGEXMATCH(E7420, ""Ben帳戶|Elsa帳戶|Ben代墊|Ariel代墊|中信銀行共用""), REGEXMATCH(F7420, ""Ben帳戶|Elsa帳戶|Ben代墊|Ariel代墊|中信銀行共用"")), ""內部轉帳(忽略)"",
  AND(E7420&lt;&gt;"""", F7420&lt;&gt;"""", N"&amp;"OT(REGEXMATCH(C7420, ""薪資""))), ""內部轉帳(忽略)"",
  REGEXMATCH(C7420, ""薪資""), ""薪資變動(不計入)"",
  REGEXMATCH(C7420, ""押金""), ""押金往來"",
  AND(E7420&lt;&gt;"""", F7420=""""), ""真實支出"",
  AND(E7420="""", F7420&lt;&gt;""""), ""真實收入"",
  TRUE, ""其他""
)"),"其他")</f>
        <v>其他</v>
      </c>
      <c r="K7420" s="270" t="str">
        <f t="shared" si="2"/>
        <v/>
      </c>
      <c r="L7420">
        <f t="shared" si="3"/>
        <v>0</v>
      </c>
    </row>
    <row r="7421">
      <c r="A7421" s="107"/>
      <c r="D7421" s="270"/>
      <c r="H7421" s="106" t="str">
        <f t="shared" si="1"/>
        <v/>
      </c>
      <c r="J7421" t="str">
        <f>IFERROR(__xludf.DUMMYFUNCTION("IFS(
  AND(REGEXMATCH(E7421, ""台銀籌備帳戶|玉山帳戶""), REGEXMATCH(C7421, ""薪資"")), ""分潤支出"",
  AND(REGEXMATCH(E7421, ""Ben帳戶|Elsa帳戶|Ben代墊|Ariel代墊|中信銀行共用""), REGEXMATCH(F7421, ""Ben帳戶|Elsa帳戶|Ben代墊|Ariel代墊|中信銀行共用"")), ""內部轉帳(忽略)"",
  AND(E7421&lt;&gt;"""", F7421&lt;&gt;"""", N"&amp;"OT(REGEXMATCH(C7421, ""薪資""))), ""內部轉帳(忽略)"",
  REGEXMATCH(C7421, ""薪資""), ""薪資變動(不計入)"",
  REGEXMATCH(C7421, ""押金""), ""押金往來"",
  AND(E7421&lt;&gt;"""", F7421=""""), ""真實支出"",
  AND(E7421="""", F7421&lt;&gt;""""), ""真實收入"",
  TRUE, ""其他""
)"),"其他")</f>
        <v>其他</v>
      </c>
      <c r="K7421" s="270" t="str">
        <f t="shared" si="2"/>
        <v/>
      </c>
      <c r="L7421">
        <f t="shared" si="3"/>
        <v>0</v>
      </c>
    </row>
    <row r="7422">
      <c r="A7422" s="107"/>
      <c r="D7422" s="270"/>
      <c r="H7422" s="106" t="str">
        <f t="shared" si="1"/>
        <v/>
      </c>
      <c r="J7422" t="str">
        <f>IFERROR(__xludf.DUMMYFUNCTION("IFS(
  AND(REGEXMATCH(E7422, ""台銀籌備帳戶|玉山帳戶""), REGEXMATCH(C7422, ""薪資"")), ""分潤支出"",
  AND(REGEXMATCH(E7422, ""Ben帳戶|Elsa帳戶|Ben代墊|Ariel代墊|中信銀行共用""), REGEXMATCH(F7422, ""Ben帳戶|Elsa帳戶|Ben代墊|Ariel代墊|中信銀行共用"")), ""內部轉帳(忽略)"",
  AND(E7422&lt;&gt;"""", F7422&lt;&gt;"""", N"&amp;"OT(REGEXMATCH(C7422, ""薪資""))), ""內部轉帳(忽略)"",
  REGEXMATCH(C7422, ""薪資""), ""薪資變動(不計入)"",
  REGEXMATCH(C7422, ""押金""), ""押金往來"",
  AND(E7422&lt;&gt;"""", F7422=""""), ""真實支出"",
  AND(E7422="""", F7422&lt;&gt;""""), ""真實收入"",
  TRUE, ""其他""
)"),"其他")</f>
        <v>其他</v>
      </c>
      <c r="K7422" s="270" t="str">
        <f t="shared" si="2"/>
        <v/>
      </c>
      <c r="L7422">
        <f t="shared" si="3"/>
        <v>0</v>
      </c>
    </row>
    <row r="7423">
      <c r="A7423" s="107"/>
      <c r="D7423" s="270"/>
      <c r="H7423" s="106" t="str">
        <f t="shared" si="1"/>
        <v/>
      </c>
      <c r="J7423" t="str">
        <f>IFERROR(__xludf.DUMMYFUNCTION("IFS(
  AND(REGEXMATCH(E7423, ""台銀籌備帳戶|玉山帳戶""), REGEXMATCH(C7423, ""薪資"")), ""分潤支出"",
  AND(REGEXMATCH(E7423, ""Ben帳戶|Elsa帳戶|Ben代墊|Ariel代墊|中信銀行共用""), REGEXMATCH(F7423, ""Ben帳戶|Elsa帳戶|Ben代墊|Ariel代墊|中信銀行共用"")), ""內部轉帳(忽略)"",
  AND(E7423&lt;&gt;"""", F7423&lt;&gt;"""", N"&amp;"OT(REGEXMATCH(C7423, ""薪資""))), ""內部轉帳(忽略)"",
  REGEXMATCH(C7423, ""薪資""), ""薪資變動(不計入)"",
  REGEXMATCH(C7423, ""押金""), ""押金往來"",
  AND(E7423&lt;&gt;"""", F7423=""""), ""真實支出"",
  AND(E7423="""", F7423&lt;&gt;""""), ""真實收入"",
  TRUE, ""其他""
)"),"其他")</f>
        <v>其他</v>
      </c>
      <c r="K7423" s="270" t="str">
        <f t="shared" si="2"/>
        <v/>
      </c>
      <c r="L7423">
        <f t="shared" si="3"/>
        <v>0</v>
      </c>
    </row>
    <row r="7424">
      <c r="A7424" s="107"/>
      <c r="D7424" s="270"/>
      <c r="H7424" s="106" t="str">
        <f t="shared" si="1"/>
        <v/>
      </c>
      <c r="J7424" t="str">
        <f>IFERROR(__xludf.DUMMYFUNCTION("IFS(
  AND(REGEXMATCH(E7424, ""台銀籌備帳戶|玉山帳戶""), REGEXMATCH(C7424, ""薪資"")), ""分潤支出"",
  AND(REGEXMATCH(E7424, ""Ben帳戶|Elsa帳戶|Ben代墊|Ariel代墊|中信銀行共用""), REGEXMATCH(F7424, ""Ben帳戶|Elsa帳戶|Ben代墊|Ariel代墊|中信銀行共用"")), ""內部轉帳(忽略)"",
  AND(E7424&lt;&gt;"""", F7424&lt;&gt;"""", N"&amp;"OT(REGEXMATCH(C7424, ""薪資""))), ""內部轉帳(忽略)"",
  REGEXMATCH(C7424, ""薪資""), ""薪資變動(不計入)"",
  REGEXMATCH(C7424, ""押金""), ""押金往來"",
  AND(E7424&lt;&gt;"""", F7424=""""), ""真實支出"",
  AND(E7424="""", F7424&lt;&gt;""""), ""真實收入"",
  TRUE, ""其他""
)"),"其他")</f>
        <v>其他</v>
      </c>
      <c r="K7424" s="270" t="str">
        <f t="shared" si="2"/>
        <v/>
      </c>
      <c r="L7424">
        <f t="shared" si="3"/>
        <v>0</v>
      </c>
    </row>
    <row r="7425">
      <c r="A7425" s="107"/>
      <c r="D7425" s="270"/>
      <c r="H7425" s="106" t="str">
        <f t="shared" si="1"/>
        <v/>
      </c>
      <c r="J7425" t="str">
        <f>IFERROR(__xludf.DUMMYFUNCTION("IFS(
  AND(REGEXMATCH(E7425, ""台銀籌備帳戶|玉山帳戶""), REGEXMATCH(C7425, ""薪資"")), ""分潤支出"",
  AND(REGEXMATCH(E7425, ""Ben帳戶|Elsa帳戶|Ben代墊|Ariel代墊|中信銀行共用""), REGEXMATCH(F7425, ""Ben帳戶|Elsa帳戶|Ben代墊|Ariel代墊|中信銀行共用"")), ""內部轉帳(忽略)"",
  AND(E7425&lt;&gt;"""", F7425&lt;&gt;"""", N"&amp;"OT(REGEXMATCH(C7425, ""薪資""))), ""內部轉帳(忽略)"",
  REGEXMATCH(C7425, ""薪資""), ""薪資變動(不計入)"",
  REGEXMATCH(C7425, ""押金""), ""押金往來"",
  AND(E7425&lt;&gt;"""", F7425=""""), ""真實支出"",
  AND(E7425="""", F7425&lt;&gt;""""), ""真實收入"",
  TRUE, ""其他""
)"),"其他")</f>
        <v>其他</v>
      </c>
      <c r="K7425" s="270" t="str">
        <f t="shared" si="2"/>
        <v/>
      </c>
      <c r="L7425">
        <f t="shared" si="3"/>
        <v>0</v>
      </c>
    </row>
    <row r="7426">
      <c r="A7426" s="107"/>
      <c r="D7426" s="270"/>
      <c r="H7426" s="106" t="str">
        <f t="shared" si="1"/>
        <v/>
      </c>
      <c r="J7426" t="str">
        <f>IFERROR(__xludf.DUMMYFUNCTION("IFS(
  AND(REGEXMATCH(E7426, ""台銀籌備帳戶|玉山帳戶""), REGEXMATCH(C7426, ""薪資"")), ""分潤支出"",
  AND(REGEXMATCH(E7426, ""Ben帳戶|Elsa帳戶|Ben代墊|Ariel代墊|中信銀行共用""), REGEXMATCH(F7426, ""Ben帳戶|Elsa帳戶|Ben代墊|Ariel代墊|中信銀行共用"")), ""內部轉帳(忽略)"",
  AND(E7426&lt;&gt;"""", F7426&lt;&gt;"""", N"&amp;"OT(REGEXMATCH(C7426, ""薪資""))), ""內部轉帳(忽略)"",
  REGEXMATCH(C7426, ""薪資""), ""薪資變動(不計入)"",
  REGEXMATCH(C7426, ""押金""), ""押金往來"",
  AND(E7426&lt;&gt;"""", F7426=""""), ""真實支出"",
  AND(E7426="""", F7426&lt;&gt;""""), ""真實收入"",
  TRUE, ""其他""
)"),"其他")</f>
        <v>其他</v>
      </c>
      <c r="K7426" s="270" t="str">
        <f t="shared" si="2"/>
        <v/>
      </c>
      <c r="L7426">
        <f t="shared" si="3"/>
        <v>0</v>
      </c>
    </row>
    <row r="7427">
      <c r="A7427" s="107"/>
      <c r="D7427" s="270"/>
      <c r="H7427" s="106" t="str">
        <f t="shared" si="1"/>
        <v/>
      </c>
      <c r="J7427" t="str">
        <f>IFERROR(__xludf.DUMMYFUNCTION("IFS(
  AND(REGEXMATCH(E7427, ""台銀籌備帳戶|玉山帳戶""), REGEXMATCH(C7427, ""薪資"")), ""分潤支出"",
  AND(REGEXMATCH(E7427, ""Ben帳戶|Elsa帳戶|Ben代墊|Ariel代墊|中信銀行共用""), REGEXMATCH(F7427, ""Ben帳戶|Elsa帳戶|Ben代墊|Ariel代墊|中信銀行共用"")), ""內部轉帳(忽略)"",
  AND(E7427&lt;&gt;"""", F7427&lt;&gt;"""", N"&amp;"OT(REGEXMATCH(C7427, ""薪資""))), ""內部轉帳(忽略)"",
  REGEXMATCH(C7427, ""薪資""), ""薪資變動(不計入)"",
  REGEXMATCH(C7427, ""押金""), ""押金往來"",
  AND(E7427&lt;&gt;"""", F7427=""""), ""真實支出"",
  AND(E7427="""", F7427&lt;&gt;""""), ""真實收入"",
  TRUE, ""其他""
)"),"其他")</f>
        <v>其他</v>
      </c>
      <c r="K7427" s="270" t="str">
        <f t="shared" si="2"/>
        <v/>
      </c>
      <c r="L7427">
        <f t="shared" si="3"/>
        <v>0</v>
      </c>
    </row>
    <row r="7428">
      <c r="A7428" s="107"/>
      <c r="D7428" s="270"/>
      <c r="H7428" s="106" t="str">
        <f t="shared" si="1"/>
        <v/>
      </c>
      <c r="J7428" t="str">
        <f>IFERROR(__xludf.DUMMYFUNCTION("IFS(
  AND(REGEXMATCH(E7428, ""台銀籌備帳戶|玉山帳戶""), REGEXMATCH(C7428, ""薪資"")), ""分潤支出"",
  AND(REGEXMATCH(E7428, ""Ben帳戶|Elsa帳戶|Ben代墊|Ariel代墊|中信銀行共用""), REGEXMATCH(F7428, ""Ben帳戶|Elsa帳戶|Ben代墊|Ariel代墊|中信銀行共用"")), ""內部轉帳(忽略)"",
  AND(E7428&lt;&gt;"""", F7428&lt;&gt;"""", N"&amp;"OT(REGEXMATCH(C7428, ""薪資""))), ""內部轉帳(忽略)"",
  REGEXMATCH(C7428, ""薪資""), ""薪資變動(不計入)"",
  REGEXMATCH(C7428, ""押金""), ""押金往來"",
  AND(E7428&lt;&gt;"""", F7428=""""), ""真實支出"",
  AND(E7428="""", F7428&lt;&gt;""""), ""真實收入"",
  TRUE, ""其他""
)"),"其他")</f>
        <v>其他</v>
      </c>
      <c r="K7428" s="270" t="str">
        <f t="shared" si="2"/>
        <v/>
      </c>
      <c r="L7428">
        <f t="shared" si="3"/>
        <v>0</v>
      </c>
    </row>
    <row r="7429">
      <c r="A7429" s="107"/>
      <c r="D7429" s="270"/>
      <c r="H7429" s="106" t="str">
        <f t="shared" si="1"/>
        <v/>
      </c>
      <c r="J7429" t="str">
        <f>IFERROR(__xludf.DUMMYFUNCTION("IFS(
  AND(REGEXMATCH(E7429, ""台銀籌備帳戶|玉山帳戶""), REGEXMATCH(C7429, ""薪資"")), ""分潤支出"",
  AND(REGEXMATCH(E7429, ""Ben帳戶|Elsa帳戶|Ben代墊|Ariel代墊|中信銀行共用""), REGEXMATCH(F7429, ""Ben帳戶|Elsa帳戶|Ben代墊|Ariel代墊|中信銀行共用"")), ""內部轉帳(忽略)"",
  AND(E7429&lt;&gt;"""", F7429&lt;&gt;"""", N"&amp;"OT(REGEXMATCH(C7429, ""薪資""))), ""內部轉帳(忽略)"",
  REGEXMATCH(C7429, ""薪資""), ""薪資變動(不計入)"",
  REGEXMATCH(C7429, ""押金""), ""押金往來"",
  AND(E7429&lt;&gt;"""", F7429=""""), ""真實支出"",
  AND(E7429="""", F7429&lt;&gt;""""), ""真實收入"",
  TRUE, ""其他""
)"),"其他")</f>
        <v>其他</v>
      </c>
      <c r="K7429" s="270" t="str">
        <f t="shared" si="2"/>
        <v/>
      </c>
      <c r="L7429">
        <f t="shared" si="3"/>
        <v>0</v>
      </c>
    </row>
    <row r="7430">
      <c r="A7430" s="107"/>
      <c r="D7430" s="270"/>
      <c r="H7430" s="106" t="str">
        <f t="shared" si="1"/>
        <v/>
      </c>
      <c r="J7430" t="str">
        <f>IFERROR(__xludf.DUMMYFUNCTION("IFS(
  AND(REGEXMATCH(E7430, ""台銀籌備帳戶|玉山帳戶""), REGEXMATCH(C7430, ""薪資"")), ""分潤支出"",
  AND(REGEXMATCH(E7430, ""Ben帳戶|Elsa帳戶|Ben代墊|Ariel代墊|中信銀行共用""), REGEXMATCH(F7430, ""Ben帳戶|Elsa帳戶|Ben代墊|Ariel代墊|中信銀行共用"")), ""內部轉帳(忽略)"",
  AND(E7430&lt;&gt;"""", F7430&lt;&gt;"""", N"&amp;"OT(REGEXMATCH(C7430, ""薪資""))), ""內部轉帳(忽略)"",
  REGEXMATCH(C7430, ""薪資""), ""薪資變動(不計入)"",
  REGEXMATCH(C7430, ""押金""), ""押金往來"",
  AND(E7430&lt;&gt;"""", F7430=""""), ""真實支出"",
  AND(E7430="""", F7430&lt;&gt;""""), ""真實收入"",
  TRUE, ""其他""
)"),"其他")</f>
        <v>其他</v>
      </c>
      <c r="K7430" s="270" t="str">
        <f t="shared" si="2"/>
        <v/>
      </c>
      <c r="L7430">
        <f t="shared" si="3"/>
        <v>0</v>
      </c>
    </row>
    <row r="7431">
      <c r="A7431" s="107"/>
      <c r="D7431" s="270"/>
      <c r="H7431" s="106" t="str">
        <f t="shared" si="1"/>
        <v/>
      </c>
      <c r="J7431" t="str">
        <f>IFERROR(__xludf.DUMMYFUNCTION("IFS(
  AND(REGEXMATCH(E7431, ""台銀籌備帳戶|玉山帳戶""), REGEXMATCH(C7431, ""薪資"")), ""分潤支出"",
  AND(REGEXMATCH(E7431, ""Ben帳戶|Elsa帳戶|Ben代墊|Ariel代墊|中信銀行共用""), REGEXMATCH(F7431, ""Ben帳戶|Elsa帳戶|Ben代墊|Ariel代墊|中信銀行共用"")), ""內部轉帳(忽略)"",
  AND(E7431&lt;&gt;"""", F7431&lt;&gt;"""", N"&amp;"OT(REGEXMATCH(C7431, ""薪資""))), ""內部轉帳(忽略)"",
  REGEXMATCH(C7431, ""薪資""), ""薪資變動(不計入)"",
  REGEXMATCH(C7431, ""押金""), ""押金往來"",
  AND(E7431&lt;&gt;"""", F7431=""""), ""真實支出"",
  AND(E7431="""", F7431&lt;&gt;""""), ""真實收入"",
  TRUE, ""其他""
)"),"其他")</f>
        <v>其他</v>
      </c>
      <c r="K7431" s="270" t="str">
        <f t="shared" si="2"/>
        <v/>
      </c>
      <c r="L7431">
        <f t="shared" si="3"/>
        <v>0</v>
      </c>
    </row>
    <row r="7432">
      <c r="A7432" s="107"/>
      <c r="D7432" s="270"/>
      <c r="H7432" s="106" t="str">
        <f t="shared" si="1"/>
        <v/>
      </c>
      <c r="J7432" t="str">
        <f>IFERROR(__xludf.DUMMYFUNCTION("IFS(
  AND(REGEXMATCH(E7432, ""台銀籌備帳戶|玉山帳戶""), REGEXMATCH(C7432, ""薪資"")), ""分潤支出"",
  AND(REGEXMATCH(E7432, ""Ben帳戶|Elsa帳戶|Ben代墊|Ariel代墊|中信銀行共用""), REGEXMATCH(F7432, ""Ben帳戶|Elsa帳戶|Ben代墊|Ariel代墊|中信銀行共用"")), ""內部轉帳(忽略)"",
  AND(E7432&lt;&gt;"""", F7432&lt;&gt;"""", N"&amp;"OT(REGEXMATCH(C7432, ""薪資""))), ""內部轉帳(忽略)"",
  REGEXMATCH(C7432, ""薪資""), ""薪資變動(不計入)"",
  REGEXMATCH(C7432, ""押金""), ""押金往來"",
  AND(E7432&lt;&gt;"""", F7432=""""), ""真實支出"",
  AND(E7432="""", F7432&lt;&gt;""""), ""真實收入"",
  TRUE, ""其他""
)"),"其他")</f>
        <v>其他</v>
      </c>
      <c r="K7432" s="270" t="str">
        <f t="shared" si="2"/>
        <v/>
      </c>
      <c r="L7432">
        <f t="shared" si="3"/>
        <v>0</v>
      </c>
    </row>
    <row r="7433">
      <c r="A7433" s="107"/>
      <c r="D7433" s="270"/>
      <c r="H7433" s="106" t="str">
        <f t="shared" si="1"/>
        <v/>
      </c>
      <c r="J7433" t="str">
        <f>IFERROR(__xludf.DUMMYFUNCTION("IFS(
  AND(REGEXMATCH(E7433, ""台銀籌備帳戶|玉山帳戶""), REGEXMATCH(C7433, ""薪資"")), ""分潤支出"",
  AND(REGEXMATCH(E7433, ""Ben帳戶|Elsa帳戶|Ben代墊|Ariel代墊|中信銀行共用""), REGEXMATCH(F7433, ""Ben帳戶|Elsa帳戶|Ben代墊|Ariel代墊|中信銀行共用"")), ""內部轉帳(忽略)"",
  AND(E7433&lt;&gt;"""", F7433&lt;&gt;"""", N"&amp;"OT(REGEXMATCH(C7433, ""薪資""))), ""內部轉帳(忽略)"",
  REGEXMATCH(C7433, ""薪資""), ""薪資變動(不計入)"",
  REGEXMATCH(C7433, ""押金""), ""押金往來"",
  AND(E7433&lt;&gt;"""", F7433=""""), ""真實支出"",
  AND(E7433="""", F7433&lt;&gt;""""), ""真實收入"",
  TRUE, ""其他""
)"),"其他")</f>
        <v>其他</v>
      </c>
      <c r="K7433" s="270" t="str">
        <f t="shared" si="2"/>
        <v/>
      </c>
      <c r="L7433">
        <f t="shared" si="3"/>
        <v>0</v>
      </c>
    </row>
    <row r="7434">
      <c r="A7434" s="107"/>
      <c r="D7434" s="270"/>
      <c r="H7434" s="106" t="str">
        <f t="shared" si="1"/>
        <v/>
      </c>
      <c r="J7434" t="str">
        <f>IFERROR(__xludf.DUMMYFUNCTION("IFS(
  AND(REGEXMATCH(E7434, ""台銀籌備帳戶|玉山帳戶""), REGEXMATCH(C7434, ""薪資"")), ""分潤支出"",
  AND(REGEXMATCH(E7434, ""Ben帳戶|Elsa帳戶|Ben代墊|Ariel代墊|中信銀行共用""), REGEXMATCH(F7434, ""Ben帳戶|Elsa帳戶|Ben代墊|Ariel代墊|中信銀行共用"")), ""內部轉帳(忽略)"",
  AND(E7434&lt;&gt;"""", F7434&lt;&gt;"""", N"&amp;"OT(REGEXMATCH(C7434, ""薪資""))), ""內部轉帳(忽略)"",
  REGEXMATCH(C7434, ""薪資""), ""薪資變動(不計入)"",
  REGEXMATCH(C7434, ""押金""), ""押金往來"",
  AND(E7434&lt;&gt;"""", F7434=""""), ""真實支出"",
  AND(E7434="""", F7434&lt;&gt;""""), ""真實收入"",
  TRUE, ""其他""
)"),"其他")</f>
        <v>其他</v>
      </c>
      <c r="K7434" s="270" t="str">
        <f t="shared" si="2"/>
        <v/>
      </c>
      <c r="L7434">
        <f t="shared" si="3"/>
        <v>0</v>
      </c>
    </row>
    <row r="7435">
      <c r="A7435" s="107"/>
      <c r="D7435" s="270"/>
      <c r="H7435" s="106" t="str">
        <f t="shared" si="1"/>
        <v/>
      </c>
      <c r="J7435" t="str">
        <f>IFERROR(__xludf.DUMMYFUNCTION("IFS(
  AND(REGEXMATCH(E7435, ""台銀籌備帳戶|玉山帳戶""), REGEXMATCH(C7435, ""薪資"")), ""分潤支出"",
  AND(REGEXMATCH(E7435, ""Ben帳戶|Elsa帳戶|Ben代墊|Ariel代墊|中信銀行共用""), REGEXMATCH(F7435, ""Ben帳戶|Elsa帳戶|Ben代墊|Ariel代墊|中信銀行共用"")), ""內部轉帳(忽略)"",
  AND(E7435&lt;&gt;"""", F7435&lt;&gt;"""", N"&amp;"OT(REGEXMATCH(C7435, ""薪資""))), ""內部轉帳(忽略)"",
  REGEXMATCH(C7435, ""薪資""), ""薪資變動(不計入)"",
  REGEXMATCH(C7435, ""押金""), ""押金往來"",
  AND(E7435&lt;&gt;"""", F7435=""""), ""真實支出"",
  AND(E7435="""", F7435&lt;&gt;""""), ""真實收入"",
  TRUE, ""其他""
)"),"其他")</f>
        <v>其他</v>
      </c>
      <c r="K7435" s="270" t="str">
        <f t="shared" si="2"/>
        <v/>
      </c>
      <c r="L7435">
        <f t="shared" si="3"/>
        <v>0</v>
      </c>
    </row>
    <row r="7436">
      <c r="A7436" s="107"/>
      <c r="D7436" s="270"/>
      <c r="H7436" s="106" t="str">
        <f t="shared" si="1"/>
        <v/>
      </c>
      <c r="J7436" t="str">
        <f>IFERROR(__xludf.DUMMYFUNCTION("IFS(
  AND(REGEXMATCH(E7436, ""台銀籌備帳戶|玉山帳戶""), REGEXMATCH(C7436, ""薪資"")), ""分潤支出"",
  AND(REGEXMATCH(E7436, ""Ben帳戶|Elsa帳戶|Ben代墊|Ariel代墊|中信銀行共用""), REGEXMATCH(F7436, ""Ben帳戶|Elsa帳戶|Ben代墊|Ariel代墊|中信銀行共用"")), ""內部轉帳(忽略)"",
  AND(E7436&lt;&gt;"""", F7436&lt;&gt;"""", N"&amp;"OT(REGEXMATCH(C7436, ""薪資""))), ""內部轉帳(忽略)"",
  REGEXMATCH(C7436, ""薪資""), ""薪資變動(不計入)"",
  REGEXMATCH(C7436, ""押金""), ""押金往來"",
  AND(E7436&lt;&gt;"""", F7436=""""), ""真實支出"",
  AND(E7436="""", F7436&lt;&gt;""""), ""真實收入"",
  TRUE, ""其他""
)"),"其他")</f>
        <v>其他</v>
      </c>
      <c r="K7436" s="270" t="str">
        <f t="shared" si="2"/>
        <v/>
      </c>
      <c r="L7436">
        <f t="shared" si="3"/>
        <v>0</v>
      </c>
    </row>
    <row r="7437">
      <c r="A7437" s="107"/>
      <c r="D7437" s="270"/>
      <c r="H7437" s="106" t="str">
        <f t="shared" si="1"/>
        <v/>
      </c>
      <c r="J7437" t="str">
        <f>IFERROR(__xludf.DUMMYFUNCTION("IFS(
  AND(REGEXMATCH(E7437, ""台銀籌備帳戶|玉山帳戶""), REGEXMATCH(C7437, ""薪資"")), ""分潤支出"",
  AND(REGEXMATCH(E7437, ""Ben帳戶|Elsa帳戶|Ben代墊|Ariel代墊|中信銀行共用""), REGEXMATCH(F7437, ""Ben帳戶|Elsa帳戶|Ben代墊|Ariel代墊|中信銀行共用"")), ""內部轉帳(忽略)"",
  AND(E7437&lt;&gt;"""", F7437&lt;&gt;"""", N"&amp;"OT(REGEXMATCH(C7437, ""薪資""))), ""內部轉帳(忽略)"",
  REGEXMATCH(C7437, ""薪資""), ""薪資變動(不計入)"",
  REGEXMATCH(C7437, ""押金""), ""押金往來"",
  AND(E7437&lt;&gt;"""", F7437=""""), ""真實支出"",
  AND(E7437="""", F7437&lt;&gt;""""), ""真實收入"",
  TRUE, ""其他""
)"),"其他")</f>
        <v>其他</v>
      </c>
      <c r="K7437" s="270" t="str">
        <f t="shared" si="2"/>
        <v/>
      </c>
      <c r="L7437">
        <f t="shared" si="3"/>
        <v>0</v>
      </c>
    </row>
    <row r="7438">
      <c r="A7438" s="107"/>
      <c r="D7438" s="270"/>
      <c r="H7438" s="106" t="str">
        <f t="shared" si="1"/>
        <v/>
      </c>
      <c r="J7438" t="str">
        <f>IFERROR(__xludf.DUMMYFUNCTION("IFS(
  AND(REGEXMATCH(E7438, ""台銀籌備帳戶|玉山帳戶""), REGEXMATCH(C7438, ""薪資"")), ""分潤支出"",
  AND(REGEXMATCH(E7438, ""Ben帳戶|Elsa帳戶|Ben代墊|Ariel代墊|中信銀行共用""), REGEXMATCH(F7438, ""Ben帳戶|Elsa帳戶|Ben代墊|Ariel代墊|中信銀行共用"")), ""內部轉帳(忽略)"",
  AND(E7438&lt;&gt;"""", F7438&lt;&gt;"""", N"&amp;"OT(REGEXMATCH(C7438, ""薪資""))), ""內部轉帳(忽略)"",
  REGEXMATCH(C7438, ""薪資""), ""薪資變動(不計入)"",
  REGEXMATCH(C7438, ""押金""), ""押金往來"",
  AND(E7438&lt;&gt;"""", F7438=""""), ""真實支出"",
  AND(E7438="""", F7438&lt;&gt;""""), ""真實收入"",
  TRUE, ""其他""
)"),"其他")</f>
        <v>其他</v>
      </c>
      <c r="K7438" s="270" t="str">
        <f t="shared" si="2"/>
        <v/>
      </c>
      <c r="L7438">
        <f t="shared" si="3"/>
        <v>0</v>
      </c>
    </row>
    <row r="7439">
      <c r="A7439" s="107"/>
      <c r="D7439" s="270"/>
      <c r="H7439" s="106" t="str">
        <f t="shared" si="1"/>
        <v/>
      </c>
      <c r="J7439" t="str">
        <f>IFERROR(__xludf.DUMMYFUNCTION("IFS(
  AND(REGEXMATCH(E7439, ""台銀籌備帳戶|玉山帳戶""), REGEXMATCH(C7439, ""薪資"")), ""分潤支出"",
  AND(REGEXMATCH(E7439, ""Ben帳戶|Elsa帳戶|Ben代墊|Ariel代墊|中信銀行共用""), REGEXMATCH(F7439, ""Ben帳戶|Elsa帳戶|Ben代墊|Ariel代墊|中信銀行共用"")), ""內部轉帳(忽略)"",
  AND(E7439&lt;&gt;"""", F7439&lt;&gt;"""", N"&amp;"OT(REGEXMATCH(C7439, ""薪資""))), ""內部轉帳(忽略)"",
  REGEXMATCH(C7439, ""薪資""), ""薪資變動(不計入)"",
  REGEXMATCH(C7439, ""押金""), ""押金往來"",
  AND(E7439&lt;&gt;"""", F7439=""""), ""真實支出"",
  AND(E7439="""", F7439&lt;&gt;""""), ""真實收入"",
  TRUE, ""其他""
)"),"其他")</f>
        <v>其他</v>
      </c>
      <c r="K7439" s="270" t="str">
        <f t="shared" si="2"/>
        <v/>
      </c>
      <c r="L7439">
        <f t="shared" si="3"/>
        <v>0</v>
      </c>
    </row>
    <row r="7440">
      <c r="A7440" s="107"/>
      <c r="D7440" s="270"/>
      <c r="H7440" s="106" t="str">
        <f t="shared" si="1"/>
        <v/>
      </c>
      <c r="J7440" t="str">
        <f>IFERROR(__xludf.DUMMYFUNCTION("IFS(
  AND(REGEXMATCH(E7440, ""台銀籌備帳戶|玉山帳戶""), REGEXMATCH(C7440, ""薪資"")), ""分潤支出"",
  AND(REGEXMATCH(E7440, ""Ben帳戶|Elsa帳戶|Ben代墊|Ariel代墊|中信銀行共用""), REGEXMATCH(F7440, ""Ben帳戶|Elsa帳戶|Ben代墊|Ariel代墊|中信銀行共用"")), ""內部轉帳(忽略)"",
  AND(E7440&lt;&gt;"""", F7440&lt;&gt;"""", N"&amp;"OT(REGEXMATCH(C7440, ""薪資""))), ""內部轉帳(忽略)"",
  REGEXMATCH(C7440, ""薪資""), ""薪資變動(不計入)"",
  REGEXMATCH(C7440, ""押金""), ""押金往來"",
  AND(E7440&lt;&gt;"""", F7440=""""), ""真實支出"",
  AND(E7440="""", F7440&lt;&gt;""""), ""真實收入"",
  TRUE, ""其他""
)"),"其他")</f>
        <v>其他</v>
      </c>
      <c r="K7440" s="270" t="str">
        <f t="shared" si="2"/>
        <v/>
      </c>
      <c r="L7440">
        <f t="shared" si="3"/>
        <v>0</v>
      </c>
    </row>
    <row r="7441">
      <c r="A7441" s="107"/>
      <c r="D7441" s="270"/>
      <c r="H7441" s="106" t="str">
        <f t="shared" si="1"/>
        <v/>
      </c>
      <c r="J7441" t="str">
        <f>IFERROR(__xludf.DUMMYFUNCTION("IFS(
  AND(REGEXMATCH(E7441, ""台銀籌備帳戶|玉山帳戶""), REGEXMATCH(C7441, ""薪資"")), ""分潤支出"",
  AND(REGEXMATCH(E7441, ""Ben帳戶|Elsa帳戶|Ben代墊|Ariel代墊|中信銀行共用""), REGEXMATCH(F7441, ""Ben帳戶|Elsa帳戶|Ben代墊|Ariel代墊|中信銀行共用"")), ""內部轉帳(忽略)"",
  AND(E7441&lt;&gt;"""", F7441&lt;&gt;"""", N"&amp;"OT(REGEXMATCH(C7441, ""薪資""))), ""內部轉帳(忽略)"",
  REGEXMATCH(C7441, ""薪資""), ""薪資變動(不計入)"",
  REGEXMATCH(C7441, ""押金""), ""押金往來"",
  AND(E7441&lt;&gt;"""", F7441=""""), ""真實支出"",
  AND(E7441="""", F7441&lt;&gt;""""), ""真實收入"",
  TRUE, ""其他""
)"),"其他")</f>
        <v>其他</v>
      </c>
      <c r="K7441" s="270" t="str">
        <f t="shared" si="2"/>
        <v/>
      </c>
      <c r="L7441">
        <f t="shared" si="3"/>
        <v>0</v>
      </c>
    </row>
    <row r="7442">
      <c r="A7442" s="107"/>
      <c r="D7442" s="270"/>
      <c r="H7442" s="106" t="str">
        <f t="shared" si="1"/>
        <v/>
      </c>
      <c r="J7442" t="str">
        <f>IFERROR(__xludf.DUMMYFUNCTION("IFS(
  AND(REGEXMATCH(E7442, ""台銀籌備帳戶|玉山帳戶""), REGEXMATCH(C7442, ""薪資"")), ""分潤支出"",
  AND(REGEXMATCH(E7442, ""Ben帳戶|Elsa帳戶|Ben代墊|Ariel代墊|中信銀行共用""), REGEXMATCH(F7442, ""Ben帳戶|Elsa帳戶|Ben代墊|Ariel代墊|中信銀行共用"")), ""內部轉帳(忽略)"",
  AND(E7442&lt;&gt;"""", F7442&lt;&gt;"""", N"&amp;"OT(REGEXMATCH(C7442, ""薪資""))), ""內部轉帳(忽略)"",
  REGEXMATCH(C7442, ""薪資""), ""薪資變動(不計入)"",
  REGEXMATCH(C7442, ""押金""), ""押金往來"",
  AND(E7442&lt;&gt;"""", F7442=""""), ""真實支出"",
  AND(E7442="""", F7442&lt;&gt;""""), ""真實收入"",
  TRUE, ""其他""
)"),"其他")</f>
        <v>其他</v>
      </c>
      <c r="K7442" s="270" t="str">
        <f t="shared" si="2"/>
        <v/>
      </c>
      <c r="L7442">
        <f t="shared" si="3"/>
        <v>0</v>
      </c>
    </row>
    <row r="7443">
      <c r="A7443" s="107"/>
      <c r="D7443" s="270"/>
      <c r="H7443" s="106" t="str">
        <f t="shared" si="1"/>
        <v/>
      </c>
      <c r="J7443" t="str">
        <f>IFERROR(__xludf.DUMMYFUNCTION("IFS(
  AND(REGEXMATCH(E7443, ""台銀籌備帳戶|玉山帳戶""), REGEXMATCH(C7443, ""薪資"")), ""分潤支出"",
  AND(REGEXMATCH(E7443, ""Ben帳戶|Elsa帳戶|Ben代墊|Ariel代墊|中信銀行共用""), REGEXMATCH(F7443, ""Ben帳戶|Elsa帳戶|Ben代墊|Ariel代墊|中信銀行共用"")), ""內部轉帳(忽略)"",
  AND(E7443&lt;&gt;"""", F7443&lt;&gt;"""", N"&amp;"OT(REGEXMATCH(C7443, ""薪資""))), ""內部轉帳(忽略)"",
  REGEXMATCH(C7443, ""薪資""), ""薪資變動(不計入)"",
  REGEXMATCH(C7443, ""押金""), ""押金往來"",
  AND(E7443&lt;&gt;"""", F7443=""""), ""真實支出"",
  AND(E7443="""", F7443&lt;&gt;""""), ""真實收入"",
  TRUE, ""其他""
)"),"其他")</f>
        <v>其他</v>
      </c>
      <c r="K7443" s="270" t="str">
        <f t="shared" si="2"/>
        <v/>
      </c>
      <c r="L7443">
        <f t="shared" si="3"/>
        <v>0</v>
      </c>
    </row>
    <row r="7444">
      <c r="A7444" s="107"/>
      <c r="D7444" s="270"/>
      <c r="H7444" s="106" t="str">
        <f t="shared" si="1"/>
        <v/>
      </c>
      <c r="J7444" t="str">
        <f>IFERROR(__xludf.DUMMYFUNCTION("IFS(
  AND(REGEXMATCH(E7444, ""台銀籌備帳戶|玉山帳戶""), REGEXMATCH(C7444, ""薪資"")), ""分潤支出"",
  AND(REGEXMATCH(E7444, ""Ben帳戶|Elsa帳戶|Ben代墊|Ariel代墊|中信銀行共用""), REGEXMATCH(F7444, ""Ben帳戶|Elsa帳戶|Ben代墊|Ariel代墊|中信銀行共用"")), ""內部轉帳(忽略)"",
  AND(E7444&lt;&gt;"""", F7444&lt;&gt;"""", N"&amp;"OT(REGEXMATCH(C7444, ""薪資""))), ""內部轉帳(忽略)"",
  REGEXMATCH(C7444, ""薪資""), ""薪資變動(不計入)"",
  REGEXMATCH(C7444, ""押金""), ""押金往來"",
  AND(E7444&lt;&gt;"""", F7444=""""), ""真實支出"",
  AND(E7444="""", F7444&lt;&gt;""""), ""真實收入"",
  TRUE, ""其他""
)"),"其他")</f>
        <v>其他</v>
      </c>
      <c r="K7444" s="270" t="str">
        <f t="shared" si="2"/>
        <v/>
      </c>
      <c r="L7444">
        <f t="shared" si="3"/>
        <v>0</v>
      </c>
    </row>
    <row r="7445">
      <c r="A7445" s="107"/>
      <c r="D7445" s="270"/>
      <c r="H7445" s="106" t="str">
        <f t="shared" si="1"/>
        <v/>
      </c>
      <c r="J7445" t="str">
        <f>IFERROR(__xludf.DUMMYFUNCTION("IFS(
  AND(REGEXMATCH(E7445, ""台銀籌備帳戶|玉山帳戶""), REGEXMATCH(C7445, ""薪資"")), ""分潤支出"",
  AND(REGEXMATCH(E7445, ""Ben帳戶|Elsa帳戶|Ben代墊|Ariel代墊|中信銀行共用""), REGEXMATCH(F7445, ""Ben帳戶|Elsa帳戶|Ben代墊|Ariel代墊|中信銀行共用"")), ""內部轉帳(忽略)"",
  AND(E7445&lt;&gt;"""", F7445&lt;&gt;"""", N"&amp;"OT(REGEXMATCH(C7445, ""薪資""))), ""內部轉帳(忽略)"",
  REGEXMATCH(C7445, ""薪資""), ""薪資變動(不計入)"",
  REGEXMATCH(C7445, ""押金""), ""押金往來"",
  AND(E7445&lt;&gt;"""", F7445=""""), ""真實支出"",
  AND(E7445="""", F7445&lt;&gt;""""), ""真實收入"",
  TRUE, ""其他""
)"),"其他")</f>
        <v>其他</v>
      </c>
      <c r="K7445" s="270" t="str">
        <f t="shared" si="2"/>
        <v/>
      </c>
      <c r="L7445">
        <f t="shared" si="3"/>
        <v>0</v>
      </c>
    </row>
    <row r="7446">
      <c r="A7446" s="107"/>
      <c r="D7446" s="270"/>
      <c r="H7446" s="106" t="str">
        <f t="shared" si="1"/>
        <v/>
      </c>
      <c r="J7446" t="str">
        <f>IFERROR(__xludf.DUMMYFUNCTION("IFS(
  AND(REGEXMATCH(E7446, ""台銀籌備帳戶|玉山帳戶""), REGEXMATCH(C7446, ""薪資"")), ""分潤支出"",
  AND(REGEXMATCH(E7446, ""Ben帳戶|Elsa帳戶|Ben代墊|Ariel代墊|中信銀行共用""), REGEXMATCH(F7446, ""Ben帳戶|Elsa帳戶|Ben代墊|Ariel代墊|中信銀行共用"")), ""內部轉帳(忽略)"",
  AND(E7446&lt;&gt;"""", F7446&lt;&gt;"""", N"&amp;"OT(REGEXMATCH(C7446, ""薪資""))), ""內部轉帳(忽略)"",
  REGEXMATCH(C7446, ""薪資""), ""薪資變動(不計入)"",
  REGEXMATCH(C7446, ""押金""), ""押金往來"",
  AND(E7446&lt;&gt;"""", F7446=""""), ""真實支出"",
  AND(E7446="""", F7446&lt;&gt;""""), ""真實收入"",
  TRUE, ""其他""
)"),"其他")</f>
        <v>其他</v>
      </c>
      <c r="K7446" s="270" t="str">
        <f t="shared" si="2"/>
        <v/>
      </c>
      <c r="L7446">
        <f t="shared" si="3"/>
        <v>0</v>
      </c>
    </row>
    <row r="7447">
      <c r="A7447" s="107"/>
      <c r="D7447" s="270"/>
      <c r="H7447" s="106" t="str">
        <f t="shared" si="1"/>
        <v/>
      </c>
      <c r="J7447" t="str">
        <f>IFERROR(__xludf.DUMMYFUNCTION("IFS(
  AND(REGEXMATCH(E7447, ""台銀籌備帳戶|玉山帳戶""), REGEXMATCH(C7447, ""薪資"")), ""分潤支出"",
  AND(REGEXMATCH(E7447, ""Ben帳戶|Elsa帳戶|Ben代墊|Ariel代墊|中信銀行共用""), REGEXMATCH(F7447, ""Ben帳戶|Elsa帳戶|Ben代墊|Ariel代墊|中信銀行共用"")), ""內部轉帳(忽略)"",
  AND(E7447&lt;&gt;"""", F7447&lt;&gt;"""", N"&amp;"OT(REGEXMATCH(C7447, ""薪資""))), ""內部轉帳(忽略)"",
  REGEXMATCH(C7447, ""薪資""), ""薪資變動(不計入)"",
  REGEXMATCH(C7447, ""押金""), ""押金往來"",
  AND(E7447&lt;&gt;"""", F7447=""""), ""真實支出"",
  AND(E7447="""", F7447&lt;&gt;""""), ""真實收入"",
  TRUE, ""其他""
)"),"其他")</f>
        <v>其他</v>
      </c>
      <c r="K7447" s="270" t="str">
        <f t="shared" si="2"/>
        <v/>
      </c>
      <c r="L7447">
        <f t="shared" si="3"/>
        <v>0</v>
      </c>
    </row>
    <row r="7448">
      <c r="A7448" s="107"/>
      <c r="D7448" s="270"/>
      <c r="H7448" s="106" t="str">
        <f t="shared" si="1"/>
        <v/>
      </c>
      <c r="J7448" t="str">
        <f>IFERROR(__xludf.DUMMYFUNCTION("IFS(
  AND(REGEXMATCH(E7448, ""台銀籌備帳戶|玉山帳戶""), REGEXMATCH(C7448, ""薪資"")), ""分潤支出"",
  AND(REGEXMATCH(E7448, ""Ben帳戶|Elsa帳戶|Ben代墊|Ariel代墊|中信銀行共用""), REGEXMATCH(F7448, ""Ben帳戶|Elsa帳戶|Ben代墊|Ariel代墊|中信銀行共用"")), ""內部轉帳(忽略)"",
  AND(E7448&lt;&gt;"""", F7448&lt;&gt;"""", N"&amp;"OT(REGEXMATCH(C7448, ""薪資""))), ""內部轉帳(忽略)"",
  REGEXMATCH(C7448, ""薪資""), ""薪資變動(不計入)"",
  REGEXMATCH(C7448, ""押金""), ""押金往來"",
  AND(E7448&lt;&gt;"""", F7448=""""), ""真實支出"",
  AND(E7448="""", F7448&lt;&gt;""""), ""真實收入"",
  TRUE, ""其他""
)"),"其他")</f>
        <v>其他</v>
      </c>
      <c r="K7448" s="270" t="str">
        <f t="shared" si="2"/>
        <v/>
      </c>
      <c r="L7448">
        <f t="shared" si="3"/>
        <v>0</v>
      </c>
    </row>
    <row r="7449">
      <c r="A7449" s="107"/>
      <c r="D7449" s="270"/>
      <c r="H7449" s="106" t="str">
        <f t="shared" si="1"/>
        <v/>
      </c>
      <c r="J7449" t="str">
        <f>IFERROR(__xludf.DUMMYFUNCTION("IFS(
  AND(REGEXMATCH(E7449, ""台銀籌備帳戶|玉山帳戶""), REGEXMATCH(C7449, ""薪資"")), ""分潤支出"",
  AND(REGEXMATCH(E7449, ""Ben帳戶|Elsa帳戶|Ben代墊|Ariel代墊|中信銀行共用""), REGEXMATCH(F7449, ""Ben帳戶|Elsa帳戶|Ben代墊|Ariel代墊|中信銀行共用"")), ""內部轉帳(忽略)"",
  AND(E7449&lt;&gt;"""", F7449&lt;&gt;"""", N"&amp;"OT(REGEXMATCH(C7449, ""薪資""))), ""內部轉帳(忽略)"",
  REGEXMATCH(C7449, ""薪資""), ""薪資變動(不計入)"",
  REGEXMATCH(C7449, ""押金""), ""押金往來"",
  AND(E7449&lt;&gt;"""", F7449=""""), ""真實支出"",
  AND(E7449="""", F7449&lt;&gt;""""), ""真實收入"",
  TRUE, ""其他""
)"),"其他")</f>
        <v>其他</v>
      </c>
      <c r="K7449" s="270" t="str">
        <f t="shared" si="2"/>
        <v/>
      </c>
      <c r="L7449">
        <f t="shared" si="3"/>
        <v>0</v>
      </c>
    </row>
    <row r="7450">
      <c r="A7450" s="107"/>
      <c r="D7450" s="270"/>
      <c r="H7450" s="106" t="str">
        <f t="shared" si="1"/>
        <v/>
      </c>
      <c r="J7450" t="str">
        <f>IFERROR(__xludf.DUMMYFUNCTION("IFS(
  AND(REGEXMATCH(E7450, ""台銀籌備帳戶|玉山帳戶""), REGEXMATCH(C7450, ""薪資"")), ""分潤支出"",
  AND(REGEXMATCH(E7450, ""Ben帳戶|Elsa帳戶|Ben代墊|Ariel代墊|中信銀行共用""), REGEXMATCH(F7450, ""Ben帳戶|Elsa帳戶|Ben代墊|Ariel代墊|中信銀行共用"")), ""內部轉帳(忽略)"",
  AND(E7450&lt;&gt;"""", F7450&lt;&gt;"""", N"&amp;"OT(REGEXMATCH(C7450, ""薪資""))), ""內部轉帳(忽略)"",
  REGEXMATCH(C7450, ""薪資""), ""薪資變動(不計入)"",
  REGEXMATCH(C7450, ""押金""), ""押金往來"",
  AND(E7450&lt;&gt;"""", F7450=""""), ""真實支出"",
  AND(E7450="""", F7450&lt;&gt;""""), ""真實收入"",
  TRUE, ""其他""
)"),"其他")</f>
        <v>其他</v>
      </c>
      <c r="K7450" s="270" t="str">
        <f t="shared" si="2"/>
        <v/>
      </c>
      <c r="L7450">
        <f t="shared" si="3"/>
        <v>0</v>
      </c>
    </row>
    <row r="7451">
      <c r="A7451" s="107"/>
      <c r="D7451" s="270"/>
      <c r="H7451" s="106" t="str">
        <f t="shared" si="1"/>
        <v/>
      </c>
      <c r="J7451" t="str">
        <f>IFERROR(__xludf.DUMMYFUNCTION("IFS(
  AND(REGEXMATCH(E7451, ""台銀籌備帳戶|玉山帳戶""), REGEXMATCH(C7451, ""薪資"")), ""分潤支出"",
  AND(REGEXMATCH(E7451, ""Ben帳戶|Elsa帳戶|Ben代墊|Ariel代墊|中信銀行共用""), REGEXMATCH(F7451, ""Ben帳戶|Elsa帳戶|Ben代墊|Ariel代墊|中信銀行共用"")), ""內部轉帳(忽略)"",
  AND(E7451&lt;&gt;"""", F7451&lt;&gt;"""", N"&amp;"OT(REGEXMATCH(C7451, ""薪資""))), ""內部轉帳(忽略)"",
  REGEXMATCH(C7451, ""薪資""), ""薪資變動(不計入)"",
  REGEXMATCH(C7451, ""押金""), ""押金往來"",
  AND(E7451&lt;&gt;"""", F7451=""""), ""真實支出"",
  AND(E7451="""", F7451&lt;&gt;""""), ""真實收入"",
  TRUE, ""其他""
)"),"其他")</f>
        <v>其他</v>
      </c>
      <c r="K7451" s="270" t="str">
        <f t="shared" si="2"/>
        <v/>
      </c>
      <c r="L7451">
        <f t="shared" si="3"/>
        <v>0</v>
      </c>
    </row>
    <row r="7452">
      <c r="A7452" s="107"/>
      <c r="D7452" s="270"/>
      <c r="H7452" s="106" t="str">
        <f t="shared" si="1"/>
        <v/>
      </c>
      <c r="J7452" t="str">
        <f>IFERROR(__xludf.DUMMYFUNCTION("IFS(
  AND(REGEXMATCH(E7452, ""台銀籌備帳戶|玉山帳戶""), REGEXMATCH(C7452, ""薪資"")), ""分潤支出"",
  AND(REGEXMATCH(E7452, ""Ben帳戶|Elsa帳戶|Ben代墊|Ariel代墊|中信銀行共用""), REGEXMATCH(F7452, ""Ben帳戶|Elsa帳戶|Ben代墊|Ariel代墊|中信銀行共用"")), ""內部轉帳(忽略)"",
  AND(E7452&lt;&gt;"""", F7452&lt;&gt;"""", N"&amp;"OT(REGEXMATCH(C7452, ""薪資""))), ""內部轉帳(忽略)"",
  REGEXMATCH(C7452, ""薪資""), ""薪資變動(不計入)"",
  REGEXMATCH(C7452, ""押金""), ""押金往來"",
  AND(E7452&lt;&gt;"""", F7452=""""), ""真實支出"",
  AND(E7452="""", F7452&lt;&gt;""""), ""真實收入"",
  TRUE, ""其他""
)"),"其他")</f>
        <v>其他</v>
      </c>
      <c r="K7452" s="270" t="str">
        <f t="shared" si="2"/>
        <v/>
      </c>
      <c r="L7452">
        <f t="shared" si="3"/>
        <v>0</v>
      </c>
    </row>
    <row r="7453">
      <c r="A7453" s="107"/>
      <c r="D7453" s="270"/>
      <c r="H7453" s="106" t="str">
        <f t="shared" si="1"/>
        <v/>
      </c>
      <c r="J7453" t="str">
        <f>IFERROR(__xludf.DUMMYFUNCTION("IFS(
  AND(REGEXMATCH(E7453, ""台銀籌備帳戶|玉山帳戶""), REGEXMATCH(C7453, ""薪資"")), ""分潤支出"",
  AND(REGEXMATCH(E7453, ""Ben帳戶|Elsa帳戶|Ben代墊|Ariel代墊|中信銀行共用""), REGEXMATCH(F7453, ""Ben帳戶|Elsa帳戶|Ben代墊|Ariel代墊|中信銀行共用"")), ""內部轉帳(忽略)"",
  AND(E7453&lt;&gt;"""", F7453&lt;&gt;"""", N"&amp;"OT(REGEXMATCH(C7453, ""薪資""))), ""內部轉帳(忽略)"",
  REGEXMATCH(C7453, ""薪資""), ""薪資變動(不計入)"",
  REGEXMATCH(C7453, ""押金""), ""押金往來"",
  AND(E7453&lt;&gt;"""", F7453=""""), ""真實支出"",
  AND(E7453="""", F7453&lt;&gt;""""), ""真實收入"",
  TRUE, ""其他""
)"),"其他")</f>
        <v>其他</v>
      </c>
      <c r="K7453" s="270" t="str">
        <f t="shared" si="2"/>
        <v/>
      </c>
      <c r="L7453">
        <f t="shared" si="3"/>
        <v>0</v>
      </c>
    </row>
    <row r="7454">
      <c r="A7454" s="107"/>
      <c r="D7454" s="270"/>
      <c r="H7454" s="106" t="str">
        <f t="shared" si="1"/>
        <v/>
      </c>
      <c r="J7454" t="str">
        <f>IFERROR(__xludf.DUMMYFUNCTION("IFS(
  AND(REGEXMATCH(E7454, ""台銀籌備帳戶|玉山帳戶""), REGEXMATCH(C7454, ""薪資"")), ""分潤支出"",
  AND(REGEXMATCH(E7454, ""Ben帳戶|Elsa帳戶|Ben代墊|Ariel代墊|中信銀行共用""), REGEXMATCH(F7454, ""Ben帳戶|Elsa帳戶|Ben代墊|Ariel代墊|中信銀行共用"")), ""內部轉帳(忽略)"",
  AND(E7454&lt;&gt;"""", F7454&lt;&gt;"""", N"&amp;"OT(REGEXMATCH(C7454, ""薪資""))), ""內部轉帳(忽略)"",
  REGEXMATCH(C7454, ""薪資""), ""薪資變動(不計入)"",
  REGEXMATCH(C7454, ""押金""), ""押金往來"",
  AND(E7454&lt;&gt;"""", F7454=""""), ""真實支出"",
  AND(E7454="""", F7454&lt;&gt;""""), ""真實收入"",
  TRUE, ""其他""
)"),"其他")</f>
        <v>其他</v>
      </c>
      <c r="K7454" s="270" t="str">
        <f t="shared" si="2"/>
        <v/>
      </c>
      <c r="L7454">
        <f t="shared" si="3"/>
        <v>0</v>
      </c>
    </row>
    <row r="7455">
      <c r="A7455" s="107"/>
      <c r="D7455" s="270"/>
      <c r="H7455" s="106" t="str">
        <f t="shared" si="1"/>
        <v/>
      </c>
      <c r="J7455" t="str">
        <f>IFERROR(__xludf.DUMMYFUNCTION("IFS(
  AND(REGEXMATCH(E7455, ""台銀籌備帳戶|玉山帳戶""), REGEXMATCH(C7455, ""薪資"")), ""分潤支出"",
  AND(REGEXMATCH(E7455, ""Ben帳戶|Elsa帳戶|Ben代墊|Ariel代墊|中信銀行共用""), REGEXMATCH(F7455, ""Ben帳戶|Elsa帳戶|Ben代墊|Ariel代墊|中信銀行共用"")), ""內部轉帳(忽略)"",
  AND(E7455&lt;&gt;"""", F7455&lt;&gt;"""", N"&amp;"OT(REGEXMATCH(C7455, ""薪資""))), ""內部轉帳(忽略)"",
  REGEXMATCH(C7455, ""薪資""), ""薪資變動(不計入)"",
  REGEXMATCH(C7455, ""押金""), ""押金往來"",
  AND(E7455&lt;&gt;"""", F7455=""""), ""真實支出"",
  AND(E7455="""", F7455&lt;&gt;""""), ""真實收入"",
  TRUE, ""其他""
)"),"其他")</f>
        <v>其他</v>
      </c>
      <c r="K7455" s="270" t="str">
        <f t="shared" si="2"/>
        <v/>
      </c>
      <c r="L7455">
        <f t="shared" si="3"/>
        <v>0</v>
      </c>
    </row>
    <row r="7456">
      <c r="A7456" s="107"/>
      <c r="D7456" s="270"/>
      <c r="H7456" s="106" t="str">
        <f t="shared" si="1"/>
        <v/>
      </c>
      <c r="J7456" t="str">
        <f>IFERROR(__xludf.DUMMYFUNCTION("IFS(
  AND(REGEXMATCH(E7456, ""台銀籌備帳戶|玉山帳戶""), REGEXMATCH(C7456, ""薪資"")), ""分潤支出"",
  AND(REGEXMATCH(E7456, ""Ben帳戶|Elsa帳戶|Ben代墊|Ariel代墊|中信銀行共用""), REGEXMATCH(F7456, ""Ben帳戶|Elsa帳戶|Ben代墊|Ariel代墊|中信銀行共用"")), ""內部轉帳(忽略)"",
  AND(E7456&lt;&gt;"""", F7456&lt;&gt;"""", N"&amp;"OT(REGEXMATCH(C7456, ""薪資""))), ""內部轉帳(忽略)"",
  REGEXMATCH(C7456, ""薪資""), ""薪資變動(不計入)"",
  REGEXMATCH(C7456, ""押金""), ""押金往來"",
  AND(E7456&lt;&gt;"""", F7456=""""), ""真實支出"",
  AND(E7456="""", F7456&lt;&gt;""""), ""真實收入"",
  TRUE, ""其他""
)"),"其他")</f>
        <v>其他</v>
      </c>
      <c r="K7456" s="270" t="str">
        <f t="shared" si="2"/>
        <v/>
      </c>
      <c r="L7456">
        <f t="shared" si="3"/>
        <v>0</v>
      </c>
    </row>
    <row r="7457">
      <c r="A7457" s="107"/>
      <c r="D7457" s="270"/>
      <c r="H7457" s="106" t="str">
        <f t="shared" si="1"/>
        <v/>
      </c>
      <c r="J7457" t="str">
        <f>IFERROR(__xludf.DUMMYFUNCTION("IFS(
  AND(REGEXMATCH(E7457, ""台銀籌備帳戶|玉山帳戶""), REGEXMATCH(C7457, ""薪資"")), ""分潤支出"",
  AND(REGEXMATCH(E7457, ""Ben帳戶|Elsa帳戶|Ben代墊|Ariel代墊|中信銀行共用""), REGEXMATCH(F7457, ""Ben帳戶|Elsa帳戶|Ben代墊|Ariel代墊|中信銀行共用"")), ""內部轉帳(忽略)"",
  AND(E7457&lt;&gt;"""", F7457&lt;&gt;"""", N"&amp;"OT(REGEXMATCH(C7457, ""薪資""))), ""內部轉帳(忽略)"",
  REGEXMATCH(C7457, ""薪資""), ""薪資變動(不計入)"",
  REGEXMATCH(C7457, ""押金""), ""押金往來"",
  AND(E7457&lt;&gt;"""", F7457=""""), ""真實支出"",
  AND(E7457="""", F7457&lt;&gt;""""), ""真實收入"",
  TRUE, ""其他""
)"),"其他")</f>
        <v>其他</v>
      </c>
      <c r="K7457" s="270" t="str">
        <f t="shared" si="2"/>
        <v/>
      </c>
      <c r="L7457">
        <f t="shared" si="3"/>
        <v>0</v>
      </c>
    </row>
    <row r="7458">
      <c r="A7458" s="107"/>
      <c r="D7458" s="270"/>
      <c r="H7458" s="106" t="str">
        <f t="shared" si="1"/>
        <v/>
      </c>
      <c r="J7458" t="str">
        <f>IFERROR(__xludf.DUMMYFUNCTION("IFS(
  AND(REGEXMATCH(E7458, ""台銀籌備帳戶|玉山帳戶""), REGEXMATCH(C7458, ""薪資"")), ""分潤支出"",
  AND(REGEXMATCH(E7458, ""Ben帳戶|Elsa帳戶|Ben代墊|Ariel代墊|中信銀行共用""), REGEXMATCH(F7458, ""Ben帳戶|Elsa帳戶|Ben代墊|Ariel代墊|中信銀行共用"")), ""內部轉帳(忽略)"",
  AND(E7458&lt;&gt;"""", F7458&lt;&gt;"""", N"&amp;"OT(REGEXMATCH(C7458, ""薪資""))), ""內部轉帳(忽略)"",
  REGEXMATCH(C7458, ""薪資""), ""薪資變動(不計入)"",
  REGEXMATCH(C7458, ""押金""), ""押金往來"",
  AND(E7458&lt;&gt;"""", F7458=""""), ""真實支出"",
  AND(E7458="""", F7458&lt;&gt;""""), ""真實收入"",
  TRUE, ""其他""
)"),"其他")</f>
        <v>其他</v>
      </c>
      <c r="K7458" s="270" t="str">
        <f t="shared" si="2"/>
        <v/>
      </c>
      <c r="L7458">
        <f t="shared" si="3"/>
        <v>0</v>
      </c>
    </row>
    <row r="7459">
      <c r="A7459" s="107"/>
      <c r="D7459" s="270"/>
      <c r="H7459" s="106" t="str">
        <f t="shared" si="1"/>
        <v/>
      </c>
      <c r="J7459" t="str">
        <f>IFERROR(__xludf.DUMMYFUNCTION("IFS(
  AND(REGEXMATCH(E7459, ""台銀籌備帳戶|玉山帳戶""), REGEXMATCH(C7459, ""薪資"")), ""分潤支出"",
  AND(REGEXMATCH(E7459, ""Ben帳戶|Elsa帳戶|Ben代墊|Ariel代墊|中信銀行共用""), REGEXMATCH(F7459, ""Ben帳戶|Elsa帳戶|Ben代墊|Ariel代墊|中信銀行共用"")), ""內部轉帳(忽略)"",
  AND(E7459&lt;&gt;"""", F7459&lt;&gt;"""", N"&amp;"OT(REGEXMATCH(C7459, ""薪資""))), ""內部轉帳(忽略)"",
  REGEXMATCH(C7459, ""薪資""), ""薪資變動(不計入)"",
  REGEXMATCH(C7459, ""押金""), ""押金往來"",
  AND(E7459&lt;&gt;"""", F7459=""""), ""真實支出"",
  AND(E7459="""", F7459&lt;&gt;""""), ""真實收入"",
  TRUE, ""其他""
)"),"其他")</f>
        <v>其他</v>
      </c>
      <c r="K7459" s="270" t="str">
        <f t="shared" si="2"/>
        <v/>
      </c>
      <c r="L7459">
        <f t="shared" si="3"/>
        <v>0</v>
      </c>
    </row>
    <row r="7460">
      <c r="A7460" s="107"/>
      <c r="D7460" s="270"/>
      <c r="H7460" s="106" t="str">
        <f t="shared" si="1"/>
        <v/>
      </c>
      <c r="J7460" t="str">
        <f>IFERROR(__xludf.DUMMYFUNCTION("IFS(
  AND(REGEXMATCH(E7460, ""台銀籌備帳戶|玉山帳戶""), REGEXMATCH(C7460, ""薪資"")), ""分潤支出"",
  AND(REGEXMATCH(E7460, ""Ben帳戶|Elsa帳戶|Ben代墊|Ariel代墊|中信銀行共用""), REGEXMATCH(F7460, ""Ben帳戶|Elsa帳戶|Ben代墊|Ariel代墊|中信銀行共用"")), ""內部轉帳(忽略)"",
  AND(E7460&lt;&gt;"""", F7460&lt;&gt;"""", N"&amp;"OT(REGEXMATCH(C7460, ""薪資""))), ""內部轉帳(忽略)"",
  REGEXMATCH(C7460, ""薪資""), ""薪資變動(不計入)"",
  REGEXMATCH(C7460, ""押金""), ""押金往來"",
  AND(E7460&lt;&gt;"""", F7460=""""), ""真實支出"",
  AND(E7460="""", F7460&lt;&gt;""""), ""真實收入"",
  TRUE, ""其他""
)"),"其他")</f>
        <v>其他</v>
      </c>
      <c r="K7460" s="270" t="str">
        <f t="shared" si="2"/>
        <v/>
      </c>
      <c r="L7460">
        <f t="shared" si="3"/>
        <v>0</v>
      </c>
    </row>
    <row r="7461">
      <c r="A7461" s="107"/>
      <c r="D7461" s="270"/>
      <c r="H7461" s="106" t="str">
        <f t="shared" si="1"/>
        <v/>
      </c>
      <c r="J7461" t="str">
        <f>IFERROR(__xludf.DUMMYFUNCTION("IFS(
  AND(REGEXMATCH(E7461, ""台銀籌備帳戶|玉山帳戶""), REGEXMATCH(C7461, ""薪資"")), ""分潤支出"",
  AND(REGEXMATCH(E7461, ""Ben帳戶|Elsa帳戶|Ben代墊|Ariel代墊|中信銀行共用""), REGEXMATCH(F7461, ""Ben帳戶|Elsa帳戶|Ben代墊|Ariel代墊|中信銀行共用"")), ""內部轉帳(忽略)"",
  AND(E7461&lt;&gt;"""", F7461&lt;&gt;"""", N"&amp;"OT(REGEXMATCH(C7461, ""薪資""))), ""內部轉帳(忽略)"",
  REGEXMATCH(C7461, ""薪資""), ""薪資變動(不計入)"",
  REGEXMATCH(C7461, ""押金""), ""押金往來"",
  AND(E7461&lt;&gt;"""", F7461=""""), ""真實支出"",
  AND(E7461="""", F7461&lt;&gt;""""), ""真實收入"",
  TRUE, ""其他""
)"),"其他")</f>
        <v>其他</v>
      </c>
      <c r="K7461" s="270" t="str">
        <f t="shared" si="2"/>
        <v/>
      </c>
      <c r="L7461">
        <f t="shared" si="3"/>
        <v>0</v>
      </c>
    </row>
    <row r="7462">
      <c r="A7462" s="107"/>
      <c r="D7462" s="270"/>
      <c r="H7462" s="106" t="str">
        <f t="shared" si="1"/>
        <v/>
      </c>
      <c r="J7462" t="str">
        <f>IFERROR(__xludf.DUMMYFUNCTION("IFS(
  AND(REGEXMATCH(E7462, ""台銀籌備帳戶|玉山帳戶""), REGEXMATCH(C7462, ""薪資"")), ""分潤支出"",
  AND(REGEXMATCH(E7462, ""Ben帳戶|Elsa帳戶|Ben代墊|Ariel代墊|中信銀行共用""), REGEXMATCH(F7462, ""Ben帳戶|Elsa帳戶|Ben代墊|Ariel代墊|中信銀行共用"")), ""內部轉帳(忽略)"",
  AND(E7462&lt;&gt;"""", F7462&lt;&gt;"""", N"&amp;"OT(REGEXMATCH(C7462, ""薪資""))), ""內部轉帳(忽略)"",
  REGEXMATCH(C7462, ""薪資""), ""薪資變動(不計入)"",
  REGEXMATCH(C7462, ""押金""), ""押金往來"",
  AND(E7462&lt;&gt;"""", F7462=""""), ""真實支出"",
  AND(E7462="""", F7462&lt;&gt;""""), ""真實收入"",
  TRUE, ""其他""
)"),"其他")</f>
        <v>其他</v>
      </c>
      <c r="K7462" s="270" t="str">
        <f t="shared" si="2"/>
        <v/>
      </c>
      <c r="L7462">
        <f t="shared" si="3"/>
        <v>0</v>
      </c>
    </row>
    <row r="7463">
      <c r="A7463" s="107"/>
      <c r="D7463" s="270"/>
      <c r="H7463" s="106" t="str">
        <f t="shared" si="1"/>
        <v/>
      </c>
      <c r="J7463" t="str">
        <f>IFERROR(__xludf.DUMMYFUNCTION("IFS(
  AND(REGEXMATCH(E7463, ""台銀籌備帳戶|玉山帳戶""), REGEXMATCH(C7463, ""薪資"")), ""分潤支出"",
  AND(REGEXMATCH(E7463, ""Ben帳戶|Elsa帳戶|Ben代墊|Ariel代墊|中信銀行共用""), REGEXMATCH(F7463, ""Ben帳戶|Elsa帳戶|Ben代墊|Ariel代墊|中信銀行共用"")), ""內部轉帳(忽略)"",
  AND(E7463&lt;&gt;"""", F7463&lt;&gt;"""", N"&amp;"OT(REGEXMATCH(C7463, ""薪資""))), ""內部轉帳(忽略)"",
  REGEXMATCH(C7463, ""薪資""), ""薪資變動(不計入)"",
  REGEXMATCH(C7463, ""押金""), ""押金往來"",
  AND(E7463&lt;&gt;"""", F7463=""""), ""真實支出"",
  AND(E7463="""", F7463&lt;&gt;""""), ""真實收入"",
  TRUE, ""其他""
)"),"其他")</f>
        <v>其他</v>
      </c>
      <c r="K7463" s="270" t="str">
        <f t="shared" si="2"/>
        <v/>
      </c>
      <c r="L7463">
        <f t="shared" si="3"/>
        <v>0</v>
      </c>
    </row>
    <row r="7464">
      <c r="A7464" s="107"/>
      <c r="D7464" s="270"/>
      <c r="H7464" s="106" t="str">
        <f t="shared" si="1"/>
        <v/>
      </c>
      <c r="J7464" t="str">
        <f>IFERROR(__xludf.DUMMYFUNCTION("IFS(
  AND(REGEXMATCH(E7464, ""台銀籌備帳戶|玉山帳戶""), REGEXMATCH(C7464, ""薪資"")), ""分潤支出"",
  AND(REGEXMATCH(E7464, ""Ben帳戶|Elsa帳戶|Ben代墊|Ariel代墊|中信銀行共用""), REGEXMATCH(F7464, ""Ben帳戶|Elsa帳戶|Ben代墊|Ariel代墊|中信銀行共用"")), ""內部轉帳(忽略)"",
  AND(E7464&lt;&gt;"""", F7464&lt;&gt;"""", N"&amp;"OT(REGEXMATCH(C7464, ""薪資""))), ""內部轉帳(忽略)"",
  REGEXMATCH(C7464, ""薪資""), ""薪資變動(不計入)"",
  REGEXMATCH(C7464, ""押金""), ""押金往來"",
  AND(E7464&lt;&gt;"""", F7464=""""), ""真實支出"",
  AND(E7464="""", F7464&lt;&gt;""""), ""真實收入"",
  TRUE, ""其他""
)"),"其他")</f>
        <v>其他</v>
      </c>
      <c r="K7464" s="270" t="str">
        <f t="shared" si="2"/>
        <v/>
      </c>
      <c r="L7464">
        <f t="shared" si="3"/>
        <v>0</v>
      </c>
    </row>
    <row r="7465">
      <c r="A7465" s="107"/>
      <c r="D7465" s="270"/>
      <c r="H7465" s="106" t="str">
        <f t="shared" si="1"/>
        <v/>
      </c>
      <c r="J7465" t="str">
        <f>IFERROR(__xludf.DUMMYFUNCTION("IFS(
  AND(REGEXMATCH(E7465, ""台銀籌備帳戶|玉山帳戶""), REGEXMATCH(C7465, ""薪資"")), ""分潤支出"",
  AND(REGEXMATCH(E7465, ""Ben帳戶|Elsa帳戶|Ben代墊|Ariel代墊|中信銀行共用""), REGEXMATCH(F7465, ""Ben帳戶|Elsa帳戶|Ben代墊|Ariel代墊|中信銀行共用"")), ""內部轉帳(忽略)"",
  AND(E7465&lt;&gt;"""", F7465&lt;&gt;"""", N"&amp;"OT(REGEXMATCH(C7465, ""薪資""))), ""內部轉帳(忽略)"",
  REGEXMATCH(C7465, ""薪資""), ""薪資變動(不計入)"",
  REGEXMATCH(C7465, ""押金""), ""押金往來"",
  AND(E7465&lt;&gt;"""", F7465=""""), ""真實支出"",
  AND(E7465="""", F7465&lt;&gt;""""), ""真實收入"",
  TRUE, ""其他""
)"),"其他")</f>
        <v>其他</v>
      </c>
      <c r="K7465" s="270" t="str">
        <f t="shared" si="2"/>
        <v/>
      </c>
      <c r="L7465">
        <f t="shared" si="3"/>
        <v>0</v>
      </c>
    </row>
    <row r="7466">
      <c r="A7466" s="107"/>
      <c r="D7466" s="270"/>
      <c r="H7466" s="106" t="str">
        <f t="shared" si="1"/>
        <v/>
      </c>
      <c r="J7466" t="str">
        <f>IFERROR(__xludf.DUMMYFUNCTION("IFS(
  AND(REGEXMATCH(E7466, ""台銀籌備帳戶|玉山帳戶""), REGEXMATCH(C7466, ""薪資"")), ""分潤支出"",
  AND(REGEXMATCH(E7466, ""Ben帳戶|Elsa帳戶|Ben代墊|Ariel代墊|中信銀行共用""), REGEXMATCH(F7466, ""Ben帳戶|Elsa帳戶|Ben代墊|Ariel代墊|中信銀行共用"")), ""內部轉帳(忽略)"",
  AND(E7466&lt;&gt;"""", F7466&lt;&gt;"""", N"&amp;"OT(REGEXMATCH(C7466, ""薪資""))), ""內部轉帳(忽略)"",
  REGEXMATCH(C7466, ""薪資""), ""薪資變動(不計入)"",
  REGEXMATCH(C7466, ""押金""), ""押金往來"",
  AND(E7466&lt;&gt;"""", F7466=""""), ""真實支出"",
  AND(E7466="""", F7466&lt;&gt;""""), ""真實收入"",
  TRUE, ""其他""
)"),"其他")</f>
        <v>其他</v>
      </c>
      <c r="K7466" s="270" t="str">
        <f t="shared" si="2"/>
        <v/>
      </c>
      <c r="L7466">
        <f t="shared" si="3"/>
        <v>0</v>
      </c>
    </row>
    <row r="7467">
      <c r="A7467" s="107"/>
      <c r="D7467" s="270"/>
      <c r="H7467" s="106" t="str">
        <f t="shared" si="1"/>
        <v/>
      </c>
      <c r="J7467" t="str">
        <f>IFERROR(__xludf.DUMMYFUNCTION("IFS(
  AND(REGEXMATCH(E7467, ""台銀籌備帳戶|玉山帳戶""), REGEXMATCH(C7467, ""薪資"")), ""分潤支出"",
  AND(REGEXMATCH(E7467, ""Ben帳戶|Elsa帳戶|Ben代墊|Ariel代墊|中信銀行共用""), REGEXMATCH(F7467, ""Ben帳戶|Elsa帳戶|Ben代墊|Ariel代墊|中信銀行共用"")), ""內部轉帳(忽略)"",
  AND(E7467&lt;&gt;"""", F7467&lt;&gt;"""", N"&amp;"OT(REGEXMATCH(C7467, ""薪資""))), ""內部轉帳(忽略)"",
  REGEXMATCH(C7467, ""薪資""), ""薪資變動(不計入)"",
  REGEXMATCH(C7467, ""押金""), ""押金往來"",
  AND(E7467&lt;&gt;"""", F7467=""""), ""真實支出"",
  AND(E7467="""", F7467&lt;&gt;""""), ""真實收入"",
  TRUE, ""其他""
)"),"其他")</f>
        <v>其他</v>
      </c>
      <c r="K7467" s="270" t="str">
        <f t="shared" si="2"/>
        <v/>
      </c>
      <c r="L7467">
        <f t="shared" si="3"/>
        <v>0</v>
      </c>
    </row>
    <row r="7468">
      <c r="A7468" s="107"/>
      <c r="D7468" s="270"/>
      <c r="H7468" s="106" t="str">
        <f t="shared" si="1"/>
        <v/>
      </c>
      <c r="J7468" t="str">
        <f>IFERROR(__xludf.DUMMYFUNCTION("IFS(
  AND(REGEXMATCH(E7468, ""台銀籌備帳戶|玉山帳戶""), REGEXMATCH(C7468, ""薪資"")), ""分潤支出"",
  AND(REGEXMATCH(E7468, ""Ben帳戶|Elsa帳戶|Ben代墊|Ariel代墊|中信銀行共用""), REGEXMATCH(F7468, ""Ben帳戶|Elsa帳戶|Ben代墊|Ariel代墊|中信銀行共用"")), ""內部轉帳(忽略)"",
  AND(E7468&lt;&gt;"""", F7468&lt;&gt;"""", N"&amp;"OT(REGEXMATCH(C7468, ""薪資""))), ""內部轉帳(忽略)"",
  REGEXMATCH(C7468, ""薪資""), ""薪資變動(不計入)"",
  REGEXMATCH(C7468, ""押金""), ""押金往來"",
  AND(E7468&lt;&gt;"""", F7468=""""), ""真實支出"",
  AND(E7468="""", F7468&lt;&gt;""""), ""真實收入"",
  TRUE, ""其他""
)"),"其他")</f>
        <v>其他</v>
      </c>
      <c r="K7468" s="270" t="str">
        <f t="shared" si="2"/>
        <v/>
      </c>
      <c r="L7468">
        <f t="shared" si="3"/>
        <v>0</v>
      </c>
    </row>
    <row r="7469">
      <c r="A7469" s="107"/>
      <c r="D7469" s="270"/>
      <c r="H7469" s="106" t="str">
        <f t="shared" si="1"/>
        <v/>
      </c>
      <c r="J7469" t="str">
        <f>IFERROR(__xludf.DUMMYFUNCTION("IFS(
  AND(REGEXMATCH(E7469, ""台銀籌備帳戶|玉山帳戶""), REGEXMATCH(C7469, ""薪資"")), ""分潤支出"",
  AND(REGEXMATCH(E7469, ""Ben帳戶|Elsa帳戶|Ben代墊|Ariel代墊|中信銀行共用""), REGEXMATCH(F7469, ""Ben帳戶|Elsa帳戶|Ben代墊|Ariel代墊|中信銀行共用"")), ""內部轉帳(忽略)"",
  AND(E7469&lt;&gt;"""", F7469&lt;&gt;"""", N"&amp;"OT(REGEXMATCH(C7469, ""薪資""))), ""內部轉帳(忽略)"",
  REGEXMATCH(C7469, ""薪資""), ""薪資變動(不計入)"",
  REGEXMATCH(C7469, ""押金""), ""押金往來"",
  AND(E7469&lt;&gt;"""", F7469=""""), ""真實支出"",
  AND(E7469="""", F7469&lt;&gt;""""), ""真實收入"",
  TRUE, ""其他""
)"),"其他")</f>
        <v>其他</v>
      </c>
      <c r="K7469" s="270" t="str">
        <f t="shared" si="2"/>
        <v/>
      </c>
      <c r="L7469">
        <f t="shared" si="3"/>
        <v>0</v>
      </c>
    </row>
    <row r="7470">
      <c r="A7470" s="107"/>
      <c r="D7470" s="270"/>
      <c r="H7470" s="106" t="str">
        <f t="shared" si="1"/>
        <v/>
      </c>
      <c r="J7470" t="str">
        <f>IFERROR(__xludf.DUMMYFUNCTION("IFS(
  AND(REGEXMATCH(E7470, ""台銀籌備帳戶|玉山帳戶""), REGEXMATCH(C7470, ""薪資"")), ""分潤支出"",
  AND(REGEXMATCH(E7470, ""Ben帳戶|Elsa帳戶|Ben代墊|Ariel代墊|中信銀行共用""), REGEXMATCH(F7470, ""Ben帳戶|Elsa帳戶|Ben代墊|Ariel代墊|中信銀行共用"")), ""內部轉帳(忽略)"",
  AND(E7470&lt;&gt;"""", F7470&lt;&gt;"""", N"&amp;"OT(REGEXMATCH(C7470, ""薪資""))), ""內部轉帳(忽略)"",
  REGEXMATCH(C7470, ""薪資""), ""薪資變動(不計入)"",
  REGEXMATCH(C7470, ""押金""), ""押金往來"",
  AND(E7470&lt;&gt;"""", F7470=""""), ""真實支出"",
  AND(E7470="""", F7470&lt;&gt;""""), ""真實收入"",
  TRUE, ""其他""
)"),"其他")</f>
        <v>其他</v>
      </c>
      <c r="K7470" s="270" t="str">
        <f t="shared" si="2"/>
        <v/>
      </c>
      <c r="L7470">
        <f t="shared" si="3"/>
        <v>0</v>
      </c>
    </row>
    <row r="7471">
      <c r="A7471" s="107"/>
      <c r="D7471" s="270"/>
      <c r="H7471" s="106" t="str">
        <f t="shared" si="1"/>
        <v/>
      </c>
      <c r="J7471" t="str">
        <f>IFERROR(__xludf.DUMMYFUNCTION("IFS(
  AND(REGEXMATCH(E7471, ""台銀籌備帳戶|玉山帳戶""), REGEXMATCH(C7471, ""薪資"")), ""分潤支出"",
  AND(REGEXMATCH(E7471, ""Ben帳戶|Elsa帳戶|Ben代墊|Ariel代墊|中信銀行共用""), REGEXMATCH(F7471, ""Ben帳戶|Elsa帳戶|Ben代墊|Ariel代墊|中信銀行共用"")), ""內部轉帳(忽略)"",
  AND(E7471&lt;&gt;"""", F7471&lt;&gt;"""", N"&amp;"OT(REGEXMATCH(C7471, ""薪資""))), ""內部轉帳(忽略)"",
  REGEXMATCH(C7471, ""薪資""), ""薪資變動(不計入)"",
  REGEXMATCH(C7471, ""押金""), ""押金往來"",
  AND(E7471&lt;&gt;"""", F7471=""""), ""真實支出"",
  AND(E7471="""", F7471&lt;&gt;""""), ""真實收入"",
  TRUE, ""其他""
)"),"其他")</f>
        <v>其他</v>
      </c>
      <c r="K7471" s="270" t="str">
        <f t="shared" si="2"/>
        <v/>
      </c>
      <c r="L7471">
        <f t="shared" si="3"/>
        <v>0</v>
      </c>
    </row>
    <row r="7472">
      <c r="A7472" s="107"/>
      <c r="D7472" s="270"/>
      <c r="H7472" s="106" t="str">
        <f t="shared" si="1"/>
        <v/>
      </c>
      <c r="J7472" t="str">
        <f>IFERROR(__xludf.DUMMYFUNCTION("IFS(
  AND(REGEXMATCH(E7472, ""台銀籌備帳戶|玉山帳戶""), REGEXMATCH(C7472, ""薪資"")), ""分潤支出"",
  AND(REGEXMATCH(E7472, ""Ben帳戶|Elsa帳戶|Ben代墊|Ariel代墊|中信銀行共用""), REGEXMATCH(F7472, ""Ben帳戶|Elsa帳戶|Ben代墊|Ariel代墊|中信銀行共用"")), ""內部轉帳(忽略)"",
  AND(E7472&lt;&gt;"""", F7472&lt;&gt;"""", N"&amp;"OT(REGEXMATCH(C7472, ""薪資""))), ""內部轉帳(忽略)"",
  REGEXMATCH(C7472, ""薪資""), ""薪資變動(不計入)"",
  REGEXMATCH(C7472, ""押金""), ""押金往來"",
  AND(E7472&lt;&gt;"""", F7472=""""), ""真實支出"",
  AND(E7472="""", F7472&lt;&gt;""""), ""真實收入"",
  TRUE, ""其他""
)"),"其他")</f>
        <v>其他</v>
      </c>
      <c r="K7472" s="270" t="str">
        <f t="shared" si="2"/>
        <v/>
      </c>
      <c r="L7472">
        <f t="shared" si="3"/>
        <v>0</v>
      </c>
    </row>
    <row r="7473">
      <c r="A7473" s="107"/>
      <c r="D7473" s="270"/>
      <c r="H7473" s="106" t="str">
        <f t="shared" si="1"/>
        <v/>
      </c>
      <c r="J7473" t="str">
        <f>IFERROR(__xludf.DUMMYFUNCTION("IFS(
  AND(REGEXMATCH(E7473, ""台銀籌備帳戶|玉山帳戶""), REGEXMATCH(C7473, ""薪資"")), ""分潤支出"",
  AND(REGEXMATCH(E7473, ""Ben帳戶|Elsa帳戶|Ben代墊|Ariel代墊|中信銀行共用""), REGEXMATCH(F7473, ""Ben帳戶|Elsa帳戶|Ben代墊|Ariel代墊|中信銀行共用"")), ""內部轉帳(忽略)"",
  AND(E7473&lt;&gt;"""", F7473&lt;&gt;"""", N"&amp;"OT(REGEXMATCH(C7473, ""薪資""))), ""內部轉帳(忽略)"",
  REGEXMATCH(C7473, ""薪資""), ""薪資變動(不計入)"",
  REGEXMATCH(C7473, ""押金""), ""押金往來"",
  AND(E7473&lt;&gt;"""", F7473=""""), ""真實支出"",
  AND(E7473="""", F7473&lt;&gt;""""), ""真實收入"",
  TRUE, ""其他""
)"),"其他")</f>
        <v>其他</v>
      </c>
      <c r="K7473" s="270" t="str">
        <f t="shared" si="2"/>
        <v/>
      </c>
      <c r="L7473">
        <f t="shared" si="3"/>
        <v>0</v>
      </c>
    </row>
    <row r="7474">
      <c r="A7474" s="107"/>
      <c r="D7474" s="270"/>
      <c r="H7474" s="106" t="str">
        <f t="shared" si="1"/>
        <v/>
      </c>
      <c r="J7474" t="str">
        <f>IFERROR(__xludf.DUMMYFUNCTION("IFS(
  AND(REGEXMATCH(E7474, ""台銀籌備帳戶|玉山帳戶""), REGEXMATCH(C7474, ""薪資"")), ""分潤支出"",
  AND(REGEXMATCH(E7474, ""Ben帳戶|Elsa帳戶|Ben代墊|Ariel代墊|中信銀行共用""), REGEXMATCH(F7474, ""Ben帳戶|Elsa帳戶|Ben代墊|Ariel代墊|中信銀行共用"")), ""內部轉帳(忽略)"",
  AND(E7474&lt;&gt;"""", F7474&lt;&gt;"""", N"&amp;"OT(REGEXMATCH(C7474, ""薪資""))), ""內部轉帳(忽略)"",
  REGEXMATCH(C7474, ""薪資""), ""薪資變動(不計入)"",
  REGEXMATCH(C7474, ""押金""), ""押金往來"",
  AND(E7474&lt;&gt;"""", F7474=""""), ""真實支出"",
  AND(E7474="""", F7474&lt;&gt;""""), ""真實收入"",
  TRUE, ""其他""
)"),"其他")</f>
        <v>其他</v>
      </c>
      <c r="K7474" s="270" t="str">
        <f t="shared" si="2"/>
        <v/>
      </c>
      <c r="L7474">
        <f t="shared" si="3"/>
        <v>0</v>
      </c>
    </row>
    <row r="7475">
      <c r="A7475" s="107"/>
      <c r="D7475" s="270"/>
      <c r="H7475" s="106" t="str">
        <f t="shared" si="1"/>
        <v/>
      </c>
      <c r="J7475" t="str">
        <f>IFERROR(__xludf.DUMMYFUNCTION("IFS(
  AND(REGEXMATCH(E7475, ""台銀籌備帳戶|玉山帳戶""), REGEXMATCH(C7475, ""薪資"")), ""分潤支出"",
  AND(REGEXMATCH(E7475, ""Ben帳戶|Elsa帳戶|Ben代墊|Ariel代墊|中信銀行共用""), REGEXMATCH(F7475, ""Ben帳戶|Elsa帳戶|Ben代墊|Ariel代墊|中信銀行共用"")), ""內部轉帳(忽略)"",
  AND(E7475&lt;&gt;"""", F7475&lt;&gt;"""", N"&amp;"OT(REGEXMATCH(C7475, ""薪資""))), ""內部轉帳(忽略)"",
  REGEXMATCH(C7475, ""薪資""), ""薪資變動(不計入)"",
  REGEXMATCH(C7475, ""押金""), ""押金往來"",
  AND(E7475&lt;&gt;"""", F7475=""""), ""真實支出"",
  AND(E7475="""", F7475&lt;&gt;""""), ""真實收入"",
  TRUE, ""其他""
)"),"其他")</f>
        <v>其他</v>
      </c>
      <c r="K7475" s="270" t="str">
        <f t="shared" si="2"/>
        <v/>
      </c>
      <c r="L7475">
        <f t="shared" si="3"/>
        <v>0</v>
      </c>
    </row>
    <row r="7476">
      <c r="A7476" s="107"/>
      <c r="D7476" s="270"/>
      <c r="H7476" s="106" t="str">
        <f t="shared" si="1"/>
        <v/>
      </c>
      <c r="J7476" t="str">
        <f>IFERROR(__xludf.DUMMYFUNCTION("IFS(
  AND(REGEXMATCH(E7476, ""台銀籌備帳戶|玉山帳戶""), REGEXMATCH(C7476, ""薪資"")), ""分潤支出"",
  AND(REGEXMATCH(E7476, ""Ben帳戶|Elsa帳戶|Ben代墊|Ariel代墊|中信銀行共用""), REGEXMATCH(F7476, ""Ben帳戶|Elsa帳戶|Ben代墊|Ariel代墊|中信銀行共用"")), ""內部轉帳(忽略)"",
  AND(E7476&lt;&gt;"""", F7476&lt;&gt;"""", N"&amp;"OT(REGEXMATCH(C7476, ""薪資""))), ""內部轉帳(忽略)"",
  REGEXMATCH(C7476, ""薪資""), ""薪資變動(不計入)"",
  REGEXMATCH(C7476, ""押金""), ""押金往來"",
  AND(E7476&lt;&gt;"""", F7476=""""), ""真實支出"",
  AND(E7476="""", F7476&lt;&gt;""""), ""真實收入"",
  TRUE, ""其他""
)"),"其他")</f>
        <v>其他</v>
      </c>
      <c r="K7476" s="270" t="str">
        <f t="shared" si="2"/>
        <v/>
      </c>
      <c r="L7476">
        <f t="shared" si="3"/>
        <v>0</v>
      </c>
    </row>
    <row r="7477">
      <c r="A7477" s="107"/>
      <c r="D7477" s="270"/>
      <c r="H7477" s="106" t="str">
        <f t="shared" si="1"/>
        <v/>
      </c>
      <c r="J7477" t="str">
        <f>IFERROR(__xludf.DUMMYFUNCTION("IFS(
  AND(REGEXMATCH(E7477, ""台銀籌備帳戶|玉山帳戶""), REGEXMATCH(C7477, ""薪資"")), ""分潤支出"",
  AND(REGEXMATCH(E7477, ""Ben帳戶|Elsa帳戶|Ben代墊|Ariel代墊|中信銀行共用""), REGEXMATCH(F7477, ""Ben帳戶|Elsa帳戶|Ben代墊|Ariel代墊|中信銀行共用"")), ""內部轉帳(忽略)"",
  AND(E7477&lt;&gt;"""", F7477&lt;&gt;"""", N"&amp;"OT(REGEXMATCH(C7477, ""薪資""))), ""內部轉帳(忽略)"",
  REGEXMATCH(C7477, ""薪資""), ""薪資變動(不計入)"",
  REGEXMATCH(C7477, ""押金""), ""押金往來"",
  AND(E7477&lt;&gt;"""", F7477=""""), ""真實支出"",
  AND(E7477="""", F7477&lt;&gt;""""), ""真實收入"",
  TRUE, ""其他""
)"),"其他")</f>
        <v>其他</v>
      </c>
      <c r="K7477" s="270" t="str">
        <f t="shared" si="2"/>
        <v/>
      </c>
      <c r="L7477">
        <f t="shared" si="3"/>
        <v>0</v>
      </c>
    </row>
    <row r="7478">
      <c r="A7478" s="107"/>
      <c r="D7478" s="270"/>
      <c r="H7478" s="106" t="str">
        <f t="shared" si="1"/>
        <v/>
      </c>
      <c r="J7478" t="str">
        <f>IFERROR(__xludf.DUMMYFUNCTION("IFS(
  AND(REGEXMATCH(E7478, ""台銀籌備帳戶|玉山帳戶""), REGEXMATCH(C7478, ""薪資"")), ""分潤支出"",
  AND(REGEXMATCH(E7478, ""Ben帳戶|Elsa帳戶|Ben代墊|Ariel代墊|中信銀行共用""), REGEXMATCH(F7478, ""Ben帳戶|Elsa帳戶|Ben代墊|Ariel代墊|中信銀行共用"")), ""內部轉帳(忽略)"",
  AND(E7478&lt;&gt;"""", F7478&lt;&gt;"""", N"&amp;"OT(REGEXMATCH(C7478, ""薪資""))), ""內部轉帳(忽略)"",
  REGEXMATCH(C7478, ""薪資""), ""薪資變動(不計入)"",
  REGEXMATCH(C7478, ""押金""), ""押金往來"",
  AND(E7478&lt;&gt;"""", F7478=""""), ""真實支出"",
  AND(E7478="""", F7478&lt;&gt;""""), ""真實收入"",
  TRUE, ""其他""
)"),"其他")</f>
        <v>其他</v>
      </c>
      <c r="K7478" s="270" t="str">
        <f t="shared" si="2"/>
        <v/>
      </c>
      <c r="L7478">
        <f t="shared" si="3"/>
        <v>0</v>
      </c>
    </row>
    <row r="7479">
      <c r="A7479" s="107"/>
      <c r="D7479" s="270"/>
      <c r="H7479" s="106" t="str">
        <f t="shared" si="1"/>
        <v/>
      </c>
      <c r="J7479" t="str">
        <f>IFERROR(__xludf.DUMMYFUNCTION("IFS(
  AND(REGEXMATCH(E7479, ""台銀籌備帳戶|玉山帳戶""), REGEXMATCH(C7479, ""薪資"")), ""分潤支出"",
  AND(REGEXMATCH(E7479, ""Ben帳戶|Elsa帳戶|Ben代墊|Ariel代墊|中信銀行共用""), REGEXMATCH(F7479, ""Ben帳戶|Elsa帳戶|Ben代墊|Ariel代墊|中信銀行共用"")), ""內部轉帳(忽略)"",
  AND(E7479&lt;&gt;"""", F7479&lt;&gt;"""", N"&amp;"OT(REGEXMATCH(C7479, ""薪資""))), ""內部轉帳(忽略)"",
  REGEXMATCH(C7479, ""薪資""), ""薪資變動(不計入)"",
  REGEXMATCH(C7479, ""押金""), ""押金往來"",
  AND(E7479&lt;&gt;"""", F7479=""""), ""真實支出"",
  AND(E7479="""", F7479&lt;&gt;""""), ""真實收入"",
  TRUE, ""其他""
)"),"其他")</f>
        <v>其他</v>
      </c>
      <c r="K7479" s="270" t="str">
        <f t="shared" si="2"/>
        <v/>
      </c>
      <c r="L7479">
        <f t="shared" si="3"/>
        <v>0</v>
      </c>
    </row>
    <row r="7480">
      <c r="A7480" s="107"/>
      <c r="D7480" s="270"/>
      <c r="H7480" s="106" t="str">
        <f t="shared" si="1"/>
        <v/>
      </c>
      <c r="J7480" t="str">
        <f>IFERROR(__xludf.DUMMYFUNCTION("IFS(
  AND(REGEXMATCH(E7480, ""台銀籌備帳戶|玉山帳戶""), REGEXMATCH(C7480, ""薪資"")), ""分潤支出"",
  AND(REGEXMATCH(E7480, ""Ben帳戶|Elsa帳戶|Ben代墊|Ariel代墊|中信銀行共用""), REGEXMATCH(F7480, ""Ben帳戶|Elsa帳戶|Ben代墊|Ariel代墊|中信銀行共用"")), ""內部轉帳(忽略)"",
  AND(E7480&lt;&gt;"""", F7480&lt;&gt;"""", N"&amp;"OT(REGEXMATCH(C7480, ""薪資""))), ""內部轉帳(忽略)"",
  REGEXMATCH(C7480, ""薪資""), ""薪資變動(不計入)"",
  REGEXMATCH(C7480, ""押金""), ""押金往來"",
  AND(E7480&lt;&gt;"""", F7480=""""), ""真實支出"",
  AND(E7480="""", F7480&lt;&gt;""""), ""真實收入"",
  TRUE, ""其他""
)"),"其他")</f>
        <v>其他</v>
      </c>
      <c r="K7480" s="270" t="str">
        <f t="shared" si="2"/>
        <v/>
      </c>
      <c r="L7480">
        <f t="shared" si="3"/>
        <v>0</v>
      </c>
    </row>
    <row r="7481">
      <c r="A7481" s="107"/>
      <c r="D7481" s="270"/>
      <c r="H7481" s="106" t="str">
        <f t="shared" si="1"/>
        <v/>
      </c>
      <c r="J7481" t="str">
        <f>IFERROR(__xludf.DUMMYFUNCTION("IFS(
  AND(REGEXMATCH(E7481, ""台銀籌備帳戶|玉山帳戶""), REGEXMATCH(C7481, ""薪資"")), ""分潤支出"",
  AND(REGEXMATCH(E7481, ""Ben帳戶|Elsa帳戶|Ben代墊|Ariel代墊|中信銀行共用""), REGEXMATCH(F7481, ""Ben帳戶|Elsa帳戶|Ben代墊|Ariel代墊|中信銀行共用"")), ""內部轉帳(忽略)"",
  AND(E7481&lt;&gt;"""", F7481&lt;&gt;"""", N"&amp;"OT(REGEXMATCH(C7481, ""薪資""))), ""內部轉帳(忽略)"",
  REGEXMATCH(C7481, ""薪資""), ""薪資變動(不計入)"",
  REGEXMATCH(C7481, ""押金""), ""押金往來"",
  AND(E7481&lt;&gt;"""", F7481=""""), ""真實支出"",
  AND(E7481="""", F7481&lt;&gt;""""), ""真實收入"",
  TRUE, ""其他""
)"),"其他")</f>
        <v>其他</v>
      </c>
      <c r="K7481" s="270" t="str">
        <f t="shared" si="2"/>
        <v/>
      </c>
      <c r="L7481">
        <f t="shared" si="3"/>
        <v>0</v>
      </c>
    </row>
    <row r="7482">
      <c r="A7482" s="107"/>
      <c r="D7482" s="270"/>
      <c r="H7482" s="106" t="str">
        <f t="shared" si="1"/>
        <v/>
      </c>
      <c r="J7482" t="str">
        <f>IFERROR(__xludf.DUMMYFUNCTION("IFS(
  AND(REGEXMATCH(E7482, ""台銀籌備帳戶|玉山帳戶""), REGEXMATCH(C7482, ""薪資"")), ""分潤支出"",
  AND(REGEXMATCH(E7482, ""Ben帳戶|Elsa帳戶|Ben代墊|Ariel代墊|中信銀行共用""), REGEXMATCH(F7482, ""Ben帳戶|Elsa帳戶|Ben代墊|Ariel代墊|中信銀行共用"")), ""內部轉帳(忽略)"",
  AND(E7482&lt;&gt;"""", F7482&lt;&gt;"""", N"&amp;"OT(REGEXMATCH(C7482, ""薪資""))), ""內部轉帳(忽略)"",
  REGEXMATCH(C7482, ""薪資""), ""薪資變動(不計入)"",
  REGEXMATCH(C7482, ""押金""), ""押金往來"",
  AND(E7482&lt;&gt;"""", F7482=""""), ""真實支出"",
  AND(E7482="""", F7482&lt;&gt;""""), ""真實收入"",
  TRUE, ""其他""
)"),"其他")</f>
        <v>其他</v>
      </c>
      <c r="K7482" s="270" t="str">
        <f t="shared" si="2"/>
        <v/>
      </c>
      <c r="L7482">
        <f t="shared" si="3"/>
        <v>0</v>
      </c>
    </row>
    <row r="7483">
      <c r="A7483" s="107"/>
      <c r="D7483" s="270"/>
      <c r="H7483" s="106" t="str">
        <f t="shared" si="1"/>
        <v/>
      </c>
      <c r="J7483" t="str">
        <f>IFERROR(__xludf.DUMMYFUNCTION("IFS(
  AND(REGEXMATCH(E7483, ""台銀籌備帳戶|玉山帳戶""), REGEXMATCH(C7483, ""薪資"")), ""分潤支出"",
  AND(REGEXMATCH(E7483, ""Ben帳戶|Elsa帳戶|Ben代墊|Ariel代墊|中信銀行共用""), REGEXMATCH(F7483, ""Ben帳戶|Elsa帳戶|Ben代墊|Ariel代墊|中信銀行共用"")), ""內部轉帳(忽略)"",
  AND(E7483&lt;&gt;"""", F7483&lt;&gt;"""", N"&amp;"OT(REGEXMATCH(C7483, ""薪資""))), ""內部轉帳(忽略)"",
  REGEXMATCH(C7483, ""薪資""), ""薪資變動(不計入)"",
  REGEXMATCH(C7483, ""押金""), ""押金往來"",
  AND(E7483&lt;&gt;"""", F7483=""""), ""真實支出"",
  AND(E7483="""", F7483&lt;&gt;""""), ""真實收入"",
  TRUE, ""其他""
)"),"其他")</f>
        <v>其他</v>
      </c>
      <c r="K7483" s="270" t="str">
        <f t="shared" si="2"/>
        <v/>
      </c>
      <c r="L7483">
        <f t="shared" si="3"/>
        <v>0</v>
      </c>
    </row>
    <row r="7484">
      <c r="A7484" s="107"/>
      <c r="D7484" s="270"/>
      <c r="H7484" s="106" t="str">
        <f t="shared" si="1"/>
        <v/>
      </c>
      <c r="J7484" t="str">
        <f>IFERROR(__xludf.DUMMYFUNCTION("IFS(
  AND(REGEXMATCH(E7484, ""台銀籌備帳戶|玉山帳戶""), REGEXMATCH(C7484, ""薪資"")), ""分潤支出"",
  AND(REGEXMATCH(E7484, ""Ben帳戶|Elsa帳戶|Ben代墊|Ariel代墊|中信銀行共用""), REGEXMATCH(F7484, ""Ben帳戶|Elsa帳戶|Ben代墊|Ariel代墊|中信銀行共用"")), ""內部轉帳(忽略)"",
  AND(E7484&lt;&gt;"""", F7484&lt;&gt;"""", N"&amp;"OT(REGEXMATCH(C7484, ""薪資""))), ""內部轉帳(忽略)"",
  REGEXMATCH(C7484, ""薪資""), ""薪資變動(不計入)"",
  REGEXMATCH(C7484, ""押金""), ""押金往來"",
  AND(E7484&lt;&gt;"""", F7484=""""), ""真實支出"",
  AND(E7484="""", F7484&lt;&gt;""""), ""真實收入"",
  TRUE, ""其他""
)"),"其他")</f>
        <v>其他</v>
      </c>
      <c r="K7484" s="270" t="str">
        <f t="shared" si="2"/>
        <v/>
      </c>
      <c r="L7484">
        <f t="shared" si="3"/>
        <v>0</v>
      </c>
    </row>
    <row r="7485">
      <c r="A7485" s="107"/>
      <c r="D7485" s="270"/>
      <c r="H7485" s="106" t="str">
        <f t="shared" si="1"/>
        <v/>
      </c>
      <c r="J7485" t="str">
        <f>IFERROR(__xludf.DUMMYFUNCTION("IFS(
  AND(REGEXMATCH(E7485, ""台銀籌備帳戶|玉山帳戶""), REGEXMATCH(C7485, ""薪資"")), ""分潤支出"",
  AND(REGEXMATCH(E7485, ""Ben帳戶|Elsa帳戶|Ben代墊|Ariel代墊|中信銀行共用""), REGEXMATCH(F7485, ""Ben帳戶|Elsa帳戶|Ben代墊|Ariel代墊|中信銀行共用"")), ""內部轉帳(忽略)"",
  AND(E7485&lt;&gt;"""", F7485&lt;&gt;"""", N"&amp;"OT(REGEXMATCH(C7485, ""薪資""))), ""內部轉帳(忽略)"",
  REGEXMATCH(C7485, ""薪資""), ""薪資變動(不計入)"",
  REGEXMATCH(C7485, ""押金""), ""押金往來"",
  AND(E7485&lt;&gt;"""", F7485=""""), ""真實支出"",
  AND(E7485="""", F7485&lt;&gt;""""), ""真實收入"",
  TRUE, ""其他""
)"),"其他")</f>
        <v>其他</v>
      </c>
      <c r="K7485" s="270" t="str">
        <f t="shared" si="2"/>
        <v/>
      </c>
      <c r="L7485">
        <f t="shared" si="3"/>
        <v>0</v>
      </c>
    </row>
    <row r="7486">
      <c r="A7486" s="107"/>
      <c r="D7486" s="270"/>
      <c r="H7486" s="106" t="str">
        <f t="shared" si="1"/>
        <v/>
      </c>
      <c r="J7486" t="str">
        <f>IFERROR(__xludf.DUMMYFUNCTION("IFS(
  AND(REGEXMATCH(E7486, ""台銀籌備帳戶|玉山帳戶""), REGEXMATCH(C7486, ""薪資"")), ""分潤支出"",
  AND(REGEXMATCH(E7486, ""Ben帳戶|Elsa帳戶|Ben代墊|Ariel代墊|中信銀行共用""), REGEXMATCH(F7486, ""Ben帳戶|Elsa帳戶|Ben代墊|Ariel代墊|中信銀行共用"")), ""內部轉帳(忽略)"",
  AND(E7486&lt;&gt;"""", F7486&lt;&gt;"""", N"&amp;"OT(REGEXMATCH(C7486, ""薪資""))), ""內部轉帳(忽略)"",
  REGEXMATCH(C7486, ""薪資""), ""薪資變動(不計入)"",
  REGEXMATCH(C7486, ""押金""), ""押金往來"",
  AND(E7486&lt;&gt;"""", F7486=""""), ""真實支出"",
  AND(E7486="""", F7486&lt;&gt;""""), ""真實收入"",
  TRUE, ""其他""
)"),"其他")</f>
        <v>其他</v>
      </c>
      <c r="K7486" s="270" t="str">
        <f t="shared" si="2"/>
        <v/>
      </c>
      <c r="L7486">
        <f t="shared" si="3"/>
        <v>0</v>
      </c>
    </row>
    <row r="7487">
      <c r="A7487" s="107"/>
      <c r="D7487" s="270"/>
      <c r="H7487" s="106" t="str">
        <f t="shared" si="1"/>
        <v/>
      </c>
      <c r="J7487" t="str">
        <f>IFERROR(__xludf.DUMMYFUNCTION("IFS(
  AND(REGEXMATCH(E7487, ""台銀籌備帳戶|玉山帳戶""), REGEXMATCH(C7487, ""薪資"")), ""分潤支出"",
  AND(REGEXMATCH(E7487, ""Ben帳戶|Elsa帳戶|Ben代墊|Ariel代墊|中信銀行共用""), REGEXMATCH(F7487, ""Ben帳戶|Elsa帳戶|Ben代墊|Ariel代墊|中信銀行共用"")), ""內部轉帳(忽略)"",
  AND(E7487&lt;&gt;"""", F7487&lt;&gt;"""", N"&amp;"OT(REGEXMATCH(C7487, ""薪資""))), ""內部轉帳(忽略)"",
  REGEXMATCH(C7487, ""薪資""), ""薪資變動(不計入)"",
  REGEXMATCH(C7487, ""押金""), ""押金往來"",
  AND(E7487&lt;&gt;"""", F7487=""""), ""真實支出"",
  AND(E7487="""", F7487&lt;&gt;""""), ""真實收入"",
  TRUE, ""其他""
)"),"其他")</f>
        <v>其他</v>
      </c>
      <c r="K7487" s="270" t="str">
        <f t="shared" si="2"/>
        <v/>
      </c>
      <c r="L7487">
        <f t="shared" si="3"/>
        <v>0</v>
      </c>
    </row>
    <row r="7488">
      <c r="A7488" s="107"/>
      <c r="D7488" s="270"/>
      <c r="H7488" s="106" t="str">
        <f t="shared" si="1"/>
        <v/>
      </c>
      <c r="J7488" t="str">
        <f>IFERROR(__xludf.DUMMYFUNCTION("IFS(
  AND(REGEXMATCH(E7488, ""台銀籌備帳戶|玉山帳戶""), REGEXMATCH(C7488, ""薪資"")), ""分潤支出"",
  AND(REGEXMATCH(E7488, ""Ben帳戶|Elsa帳戶|Ben代墊|Ariel代墊|中信銀行共用""), REGEXMATCH(F7488, ""Ben帳戶|Elsa帳戶|Ben代墊|Ariel代墊|中信銀行共用"")), ""內部轉帳(忽略)"",
  AND(E7488&lt;&gt;"""", F7488&lt;&gt;"""", N"&amp;"OT(REGEXMATCH(C7488, ""薪資""))), ""內部轉帳(忽略)"",
  REGEXMATCH(C7488, ""薪資""), ""薪資變動(不計入)"",
  REGEXMATCH(C7488, ""押金""), ""押金往來"",
  AND(E7488&lt;&gt;"""", F7488=""""), ""真實支出"",
  AND(E7488="""", F7488&lt;&gt;""""), ""真實收入"",
  TRUE, ""其他""
)"),"其他")</f>
        <v>其他</v>
      </c>
      <c r="K7488" s="270" t="str">
        <f t="shared" si="2"/>
        <v/>
      </c>
      <c r="L7488">
        <f t="shared" si="3"/>
        <v>0</v>
      </c>
    </row>
    <row r="7489">
      <c r="A7489" s="107"/>
      <c r="D7489" s="270"/>
      <c r="H7489" s="106" t="str">
        <f t="shared" si="1"/>
        <v/>
      </c>
      <c r="J7489" t="str">
        <f>IFERROR(__xludf.DUMMYFUNCTION("IFS(
  AND(REGEXMATCH(E7489, ""台銀籌備帳戶|玉山帳戶""), REGEXMATCH(C7489, ""薪資"")), ""分潤支出"",
  AND(REGEXMATCH(E7489, ""Ben帳戶|Elsa帳戶|Ben代墊|Ariel代墊|中信銀行共用""), REGEXMATCH(F7489, ""Ben帳戶|Elsa帳戶|Ben代墊|Ariel代墊|中信銀行共用"")), ""內部轉帳(忽略)"",
  AND(E7489&lt;&gt;"""", F7489&lt;&gt;"""", N"&amp;"OT(REGEXMATCH(C7489, ""薪資""))), ""內部轉帳(忽略)"",
  REGEXMATCH(C7489, ""薪資""), ""薪資變動(不計入)"",
  REGEXMATCH(C7489, ""押金""), ""押金往來"",
  AND(E7489&lt;&gt;"""", F7489=""""), ""真實支出"",
  AND(E7489="""", F7489&lt;&gt;""""), ""真實收入"",
  TRUE, ""其他""
)"),"其他")</f>
        <v>其他</v>
      </c>
      <c r="K7489" s="270" t="str">
        <f t="shared" si="2"/>
        <v/>
      </c>
      <c r="L7489">
        <f t="shared" si="3"/>
        <v>0</v>
      </c>
    </row>
    <row r="7490">
      <c r="A7490" s="107"/>
      <c r="D7490" s="270"/>
      <c r="H7490" s="106" t="str">
        <f t="shared" si="1"/>
        <v/>
      </c>
      <c r="J7490" t="str">
        <f>IFERROR(__xludf.DUMMYFUNCTION("IFS(
  AND(REGEXMATCH(E7490, ""台銀籌備帳戶|玉山帳戶""), REGEXMATCH(C7490, ""薪資"")), ""分潤支出"",
  AND(REGEXMATCH(E7490, ""Ben帳戶|Elsa帳戶|Ben代墊|Ariel代墊|中信銀行共用""), REGEXMATCH(F7490, ""Ben帳戶|Elsa帳戶|Ben代墊|Ariel代墊|中信銀行共用"")), ""內部轉帳(忽略)"",
  AND(E7490&lt;&gt;"""", F7490&lt;&gt;"""", N"&amp;"OT(REGEXMATCH(C7490, ""薪資""))), ""內部轉帳(忽略)"",
  REGEXMATCH(C7490, ""薪資""), ""薪資變動(不計入)"",
  REGEXMATCH(C7490, ""押金""), ""押金往來"",
  AND(E7490&lt;&gt;"""", F7490=""""), ""真實支出"",
  AND(E7490="""", F7490&lt;&gt;""""), ""真實收入"",
  TRUE, ""其他""
)"),"其他")</f>
        <v>其他</v>
      </c>
      <c r="K7490" s="270" t="str">
        <f t="shared" si="2"/>
        <v/>
      </c>
      <c r="L7490">
        <f t="shared" si="3"/>
        <v>0</v>
      </c>
    </row>
    <row r="7491">
      <c r="A7491" s="107"/>
      <c r="D7491" s="270"/>
      <c r="H7491" s="106" t="str">
        <f t="shared" si="1"/>
        <v/>
      </c>
      <c r="J7491" t="str">
        <f>IFERROR(__xludf.DUMMYFUNCTION("IFS(
  AND(REGEXMATCH(E7491, ""台銀籌備帳戶|玉山帳戶""), REGEXMATCH(C7491, ""薪資"")), ""分潤支出"",
  AND(REGEXMATCH(E7491, ""Ben帳戶|Elsa帳戶|Ben代墊|Ariel代墊|中信銀行共用""), REGEXMATCH(F7491, ""Ben帳戶|Elsa帳戶|Ben代墊|Ariel代墊|中信銀行共用"")), ""內部轉帳(忽略)"",
  AND(E7491&lt;&gt;"""", F7491&lt;&gt;"""", N"&amp;"OT(REGEXMATCH(C7491, ""薪資""))), ""內部轉帳(忽略)"",
  REGEXMATCH(C7491, ""薪資""), ""薪資變動(不計入)"",
  REGEXMATCH(C7491, ""押金""), ""押金往來"",
  AND(E7491&lt;&gt;"""", F7491=""""), ""真實支出"",
  AND(E7491="""", F7491&lt;&gt;""""), ""真實收入"",
  TRUE, ""其他""
)"),"其他")</f>
        <v>其他</v>
      </c>
      <c r="K7491" s="270" t="str">
        <f t="shared" si="2"/>
        <v/>
      </c>
      <c r="L7491">
        <f t="shared" si="3"/>
        <v>0</v>
      </c>
    </row>
    <row r="7492">
      <c r="A7492" s="107"/>
      <c r="D7492" s="270"/>
      <c r="H7492" s="106" t="str">
        <f t="shared" si="1"/>
        <v/>
      </c>
      <c r="J7492" t="str">
        <f>IFERROR(__xludf.DUMMYFUNCTION("IFS(
  AND(REGEXMATCH(E7492, ""台銀籌備帳戶|玉山帳戶""), REGEXMATCH(C7492, ""薪資"")), ""分潤支出"",
  AND(REGEXMATCH(E7492, ""Ben帳戶|Elsa帳戶|Ben代墊|Ariel代墊|中信銀行共用""), REGEXMATCH(F7492, ""Ben帳戶|Elsa帳戶|Ben代墊|Ariel代墊|中信銀行共用"")), ""內部轉帳(忽略)"",
  AND(E7492&lt;&gt;"""", F7492&lt;&gt;"""", N"&amp;"OT(REGEXMATCH(C7492, ""薪資""))), ""內部轉帳(忽略)"",
  REGEXMATCH(C7492, ""薪資""), ""薪資變動(不計入)"",
  REGEXMATCH(C7492, ""押金""), ""押金往來"",
  AND(E7492&lt;&gt;"""", F7492=""""), ""真實支出"",
  AND(E7492="""", F7492&lt;&gt;""""), ""真實收入"",
  TRUE, ""其他""
)"),"其他")</f>
        <v>其他</v>
      </c>
      <c r="K7492" s="270" t="str">
        <f t="shared" si="2"/>
        <v/>
      </c>
      <c r="L7492">
        <f t="shared" si="3"/>
        <v>0</v>
      </c>
    </row>
    <row r="7493">
      <c r="A7493" s="107"/>
      <c r="D7493" s="270"/>
      <c r="H7493" s="106" t="str">
        <f t="shared" si="1"/>
        <v/>
      </c>
      <c r="J7493" t="str">
        <f>IFERROR(__xludf.DUMMYFUNCTION("IFS(
  AND(REGEXMATCH(E7493, ""台銀籌備帳戶|玉山帳戶""), REGEXMATCH(C7493, ""薪資"")), ""分潤支出"",
  AND(REGEXMATCH(E7493, ""Ben帳戶|Elsa帳戶|Ben代墊|Ariel代墊|中信銀行共用""), REGEXMATCH(F7493, ""Ben帳戶|Elsa帳戶|Ben代墊|Ariel代墊|中信銀行共用"")), ""內部轉帳(忽略)"",
  AND(E7493&lt;&gt;"""", F7493&lt;&gt;"""", N"&amp;"OT(REGEXMATCH(C7493, ""薪資""))), ""內部轉帳(忽略)"",
  REGEXMATCH(C7493, ""薪資""), ""薪資變動(不計入)"",
  REGEXMATCH(C7493, ""押金""), ""押金往來"",
  AND(E7493&lt;&gt;"""", F7493=""""), ""真實支出"",
  AND(E7493="""", F7493&lt;&gt;""""), ""真實收入"",
  TRUE, ""其他""
)"),"其他")</f>
        <v>其他</v>
      </c>
      <c r="K7493" s="270" t="str">
        <f t="shared" si="2"/>
        <v/>
      </c>
      <c r="L7493">
        <f t="shared" si="3"/>
        <v>0</v>
      </c>
    </row>
    <row r="7494">
      <c r="A7494" s="107"/>
      <c r="D7494" s="270"/>
      <c r="H7494" s="106" t="str">
        <f t="shared" si="1"/>
        <v/>
      </c>
      <c r="J7494" t="str">
        <f>IFERROR(__xludf.DUMMYFUNCTION("IFS(
  AND(REGEXMATCH(E7494, ""台銀籌備帳戶|玉山帳戶""), REGEXMATCH(C7494, ""薪資"")), ""分潤支出"",
  AND(REGEXMATCH(E7494, ""Ben帳戶|Elsa帳戶|Ben代墊|Ariel代墊|中信銀行共用""), REGEXMATCH(F7494, ""Ben帳戶|Elsa帳戶|Ben代墊|Ariel代墊|中信銀行共用"")), ""內部轉帳(忽略)"",
  AND(E7494&lt;&gt;"""", F7494&lt;&gt;"""", N"&amp;"OT(REGEXMATCH(C7494, ""薪資""))), ""內部轉帳(忽略)"",
  REGEXMATCH(C7494, ""薪資""), ""薪資變動(不計入)"",
  REGEXMATCH(C7494, ""押金""), ""押金往來"",
  AND(E7494&lt;&gt;"""", F7494=""""), ""真實支出"",
  AND(E7494="""", F7494&lt;&gt;""""), ""真實收入"",
  TRUE, ""其他""
)"),"其他")</f>
        <v>其他</v>
      </c>
      <c r="K7494" s="270" t="str">
        <f t="shared" si="2"/>
        <v/>
      </c>
      <c r="L7494">
        <f t="shared" si="3"/>
        <v>0</v>
      </c>
    </row>
    <row r="7495">
      <c r="A7495" s="107"/>
      <c r="D7495" s="270"/>
      <c r="H7495" s="106" t="str">
        <f t="shared" si="1"/>
        <v/>
      </c>
      <c r="J7495" t="str">
        <f>IFERROR(__xludf.DUMMYFUNCTION("IFS(
  AND(REGEXMATCH(E7495, ""台銀籌備帳戶|玉山帳戶""), REGEXMATCH(C7495, ""薪資"")), ""分潤支出"",
  AND(REGEXMATCH(E7495, ""Ben帳戶|Elsa帳戶|Ben代墊|Ariel代墊|中信銀行共用""), REGEXMATCH(F7495, ""Ben帳戶|Elsa帳戶|Ben代墊|Ariel代墊|中信銀行共用"")), ""內部轉帳(忽略)"",
  AND(E7495&lt;&gt;"""", F7495&lt;&gt;"""", N"&amp;"OT(REGEXMATCH(C7495, ""薪資""))), ""內部轉帳(忽略)"",
  REGEXMATCH(C7495, ""薪資""), ""薪資變動(不計入)"",
  REGEXMATCH(C7495, ""押金""), ""押金往來"",
  AND(E7495&lt;&gt;"""", F7495=""""), ""真實支出"",
  AND(E7495="""", F7495&lt;&gt;""""), ""真實收入"",
  TRUE, ""其他""
)"),"其他")</f>
        <v>其他</v>
      </c>
      <c r="K7495" s="270" t="str">
        <f t="shared" si="2"/>
        <v/>
      </c>
      <c r="L7495">
        <f t="shared" si="3"/>
        <v>0</v>
      </c>
    </row>
    <row r="7496">
      <c r="A7496" s="107"/>
      <c r="D7496" s="270"/>
      <c r="H7496" s="106" t="str">
        <f t="shared" si="1"/>
        <v/>
      </c>
      <c r="J7496" t="str">
        <f>IFERROR(__xludf.DUMMYFUNCTION("IFS(
  AND(REGEXMATCH(E7496, ""台銀籌備帳戶|玉山帳戶""), REGEXMATCH(C7496, ""薪資"")), ""分潤支出"",
  AND(REGEXMATCH(E7496, ""Ben帳戶|Elsa帳戶|Ben代墊|Ariel代墊|中信銀行共用""), REGEXMATCH(F7496, ""Ben帳戶|Elsa帳戶|Ben代墊|Ariel代墊|中信銀行共用"")), ""內部轉帳(忽略)"",
  AND(E7496&lt;&gt;"""", F7496&lt;&gt;"""", N"&amp;"OT(REGEXMATCH(C7496, ""薪資""))), ""內部轉帳(忽略)"",
  REGEXMATCH(C7496, ""薪資""), ""薪資變動(不計入)"",
  REGEXMATCH(C7496, ""押金""), ""押金往來"",
  AND(E7496&lt;&gt;"""", F7496=""""), ""真實支出"",
  AND(E7496="""", F7496&lt;&gt;""""), ""真實收入"",
  TRUE, ""其他""
)"),"其他")</f>
        <v>其他</v>
      </c>
      <c r="K7496" s="270" t="str">
        <f t="shared" si="2"/>
        <v/>
      </c>
      <c r="L7496">
        <f t="shared" si="3"/>
        <v>0</v>
      </c>
    </row>
    <row r="7497">
      <c r="A7497" s="107"/>
      <c r="D7497" s="270"/>
      <c r="H7497" s="106" t="str">
        <f t="shared" si="1"/>
        <v/>
      </c>
      <c r="J7497" t="str">
        <f>IFERROR(__xludf.DUMMYFUNCTION("IFS(
  AND(REGEXMATCH(E7497, ""台銀籌備帳戶|玉山帳戶""), REGEXMATCH(C7497, ""薪資"")), ""分潤支出"",
  AND(REGEXMATCH(E7497, ""Ben帳戶|Elsa帳戶|Ben代墊|Ariel代墊|中信銀行共用""), REGEXMATCH(F7497, ""Ben帳戶|Elsa帳戶|Ben代墊|Ariel代墊|中信銀行共用"")), ""內部轉帳(忽略)"",
  AND(E7497&lt;&gt;"""", F7497&lt;&gt;"""", N"&amp;"OT(REGEXMATCH(C7497, ""薪資""))), ""內部轉帳(忽略)"",
  REGEXMATCH(C7497, ""薪資""), ""薪資變動(不計入)"",
  REGEXMATCH(C7497, ""押金""), ""押金往來"",
  AND(E7497&lt;&gt;"""", F7497=""""), ""真實支出"",
  AND(E7497="""", F7497&lt;&gt;""""), ""真實收入"",
  TRUE, ""其他""
)"),"其他")</f>
        <v>其他</v>
      </c>
      <c r="K7497" s="270" t="str">
        <f t="shared" si="2"/>
        <v/>
      </c>
      <c r="L7497">
        <f t="shared" si="3"/>
        <v>0</v>
      </c>
    </row>
    <row r="7498">
      <c r="A7498" s="107"/>
      <c r="D7498" s="270"/>
      <c r="H7498" s="106" t="str">
        <f t="shared" si="1"/>
        <v/>
      </c>
      <c r="J7498" t="str">
        <f>IFERROR(__xludf.DUMMYFUNCTION("IFS(
  AND(REGEXMATCH(E7498, ""台銀籌備帳戶|玉山帳戶""), REGEXMATCH(C7498, ""薪資"")), ""分潤支出"",
  AND(REGEXMATCH(E7498, ""Ben帳戶|Elsa帳戶|Ben代墊|Ariel代墊|中信銀行共用""), REGEXMATCH(F7498, ""Ben帳戶|Elsa帳戶|Ben代墊|Ariel代墊|中信銀行共用"")), ""內部轉帳(忽略)"",
  AND(E7498&lt;&gt;"""", F7498&lt;&gt;"""", N"&amp;"OT(REGEXMATCH(C7498, ""薪資""))), ""內部轉帳(忽略)"",
  REGEXMATCH(C7498, ""薪資""), ""薪資變動(不計入)"",
  REGEXMATCH(C7498, ""押金""), ""押金往來"",
  AND(E7498&lt;&gt;"""", F7498=""""), ""真實支出"",
  AND(E7498="""", F7498&lt;&gt;""""), ""真實收入"",
  TRUE, ""其他""
)"),"其他")</f>
        <v>其他</v>
      </c>
      <c r="K7498" s="270" t="str">
        <f t="shared" si="2"/>
        <v/>
      </c>
      <c r="L7498">
        <f t="shared" si="3"/>
        <v>0</v>
      </c>
    </row>
    <row r="7499">
      <c r="A7499" s="107"/>
      <c r="D7499" s="270"/>
      <c r="H7499" s="106" t="str">
        <f t="shared" si="1"/>
        <v/>
      </c>
      <c r="J7499" t="str">
        <f>IFERROR(__xludf.DUMMYFUNCTION("IFS(
  AND(REGEXMATCH(E7499, ""台銀籌備帳戶|玉山帳戶""), REGEXMATCH(C7499, ""薪資"")), ""分潤支出"",
  AND(REGEXMATCH(E7499, ""Ben帳戶|Elsa帳戶|Ben代墊|Ariel代墊|中信銀行共用""), REGEXMATCH(F7499, ""Ben帳戶|Elsa帳戶|Ben代墊|Ariel代墊|中信銀行共用"")), ""內部轉帳(忽略)"",
  AND(E7499&lt;&gt;"""", F7499&lt;&gt;"""", N"&amp;"OT(REGEXMATCH(C7499, ""薪資""))), ""內部轉帳(忽略)"",
  REGEXMATCH(C7499, ""薪資""), ""薪資變動(不計入)"",
  REGEXMATCH(C7499, ""押金""), ""押金往來"",
  AND(E7499&lt;&gt;"""", F7499=""""), ""真實支出"",
  AND(E7499="""", F7499&lt;&gt;""""), ""真實收入"",
  TRUE, ""其他""
)"),"其他")</f>
        <v>其他</v>
      </c>
      <c r="K7499" s="270" t="str">
        <f t="shared" si="2"/>
        <v/>
      </c>
      <c r="L7499">
        <f t="shared" si="3"/>
        <v>0</v>
      </c>
    </row>
    <row r="7500">
      <c r="A7500" s="107"/>
      <c r="D7500" s="270"/>
      <c r="H7500" s="106" t="str">
        <f t="shared" si="1"/>
        <v/>
      </c>
      <c r="J7500" t="str">
        <f>IFERROR(__xludf.DUMMYFUNCTION("IFS(
  AND(REGEXMATCH(E7500, ""台銀籌備帳戶|玉山帳戶""), REGEXMATCH(C7500, ""薪資"")), ""分潤支出"",
  AND(REGEXMATCH(E7500, ""Ben帳戶|Elsa帳戶|Ben代墊|Ariel代墊|中信銀行共用""), REGEXMATCH(F7500, ""Ben帳戶|Elsa帳戶|Ben代墊|Ariel代墊|中信銀行共用"")), ""內部轉帳(忽略)"",
  AND(E7500&lt;&gt;"""", F7500&lt;&gt;"""", N"&amp;"OT(REGEXMATCH(C7500, ""薪資""))), ""內部轉帳(忽略)"",
  REGEXMATCH(C7500, ""薪資""), ""薪資變動(不計入)"",
  REGEXMATCH(C7500, ""押金""), ""押金往來"",
  AND(E7500&lt;&gt;"""", F7500=""""), ""真實支出"",
  AND(E7500="""", F7500&lt;&gt;""""), ""真實收入"",
  TRUE, ""其他""
)"),"其他")</f>
        <v>其他</v>
      </c>
      <c r="K7500" s="270" t="str">
        <f t="shared" si="2"/>
        <v/>
      </c>
      <c r="L7500">
        <f t="shared" si="3"/>
        <v>0</v>
      </c>
    </row>
    <row r="7501">
      <c r="A7501" s="107"/>
      <c r="D7501" s="270"/>
      <c r="H7501" s="106" t="str">
        <f t="shared" si="1"/>
        <v/>
      </c>
      <c r="J7501" t="str">
        <f>IFERROR(__xludf.DUMMYFUNCTION("IFS(
  AND(REGEXMATCH(E7501, ""台銀籌備帳戶|玉山帳戶""), REGEXMATCH(C7501, ""薪資"")), ""分潤支出"",
  AND(REGEXMATCH(E7501, ""Ben帳戶|Elsa帳戶|Ben代墊|Ariel代墊|中信銀行共用""), REGEXMATCH(F7501, ""Ben帳戶|Elsa帳戶|Ben代墊|Ariel代墊|中信銀行共用"")), ""內部轉帳(忽略)"",
  AND(E7501&lt;&gt;"""", F7501&lt;&gt;"""", N"&amp;"OT(REGEXMATCH(C7501, ""薪資""))), ""內部轉帳(忽略)"",
  REGEXMATCH(C7501, ""薪資""), ""薪資變動(不計入)"",
  REGEXMATCH(C7501, ""押金""), ""押金往來"",
  AND(E7501&lt;&gt;"""", F7501=""""), ""真實支出"",
  AND(E7501="""", F7501&lt;&gt;""""), ""真實收入"",
  TRUE, ""其他""
)"),"其他")</f>
        <v>其他</v>
      </c>
      <c r="K7501" s="270" t="str">
        <f t="shared" si="2"/>
        <v/>
      </c>
      <c r="L7501">
        <f t="shared" si="3"/>
        <v>0</v>
      </c>
    </row>
    <row r="7502">
      <c r="A7502" s="107"/>
      <c r="D7502" s="270"/>
      <c r="H7502" s="106" t="str">
        <f t="shared" si="1"/>
        <v/>
      </c>
      <c r="J7502" t="str">
        <f>IFERROR(__xludf.DUMMYFUNCTION("IFS(
  AND(REGEXMATCH(E7502, ""台銀籌備帳戶|玉山帳戶""), REGEXMATCH(C7502, ""薪資"")), ""分潤支出"",
  AND(REGEXMATCH(E7502, ""Ben帳戶|Elsa帳戶|Ben代墊|Ariel代墊|中信銀行共用""), REGEXMATCH(F7502, ""Ben帳戶|Elsa帳戶|Ben代墊|Ariel代墊|中信銀行共用"")), ""內部轉帳(忽略)"",
  AND(E7502&lt;&gt;"""", F7502&lt;&gt;"""", N"&amp;"OT(REGEXMATCH(C7502, ""薪資""))), ""內部轉帳(忽略)"",
  REGEXMATCH(C7502, ""薪資""), ""薪資變動(不計入)"",
  REGEXMATCH(C7502, ""押金""), ""押金往來"",
  AND(E7502&lt;&gt;"""", F7502=""""), ""真實支出"",
  AND(E7502="""", F7502&lt;&gt;""""), ""真實收入"",
  TRUE, ""其他""
)"),"其他")</f>
        <v>其他</v>
      </c>
      <c r="K7502" s="270" t="str">
        <f t="shared" si="2"/>
        <v/>
      </c>
      <c r="L7502">
        <f t="shared" si="3"/>
        <v>0</v>
      </c>
    </row>
    <row r="7503">
      <c r="A7503" s="107"/>
      <c r="D7503" s="270"/>
      <c r="H7503" s="106" t="str">
        <f t="shared" si="1"/>
        <v/>
      </c>
      <c r="J7503" t="str">
        <f>IFERROR(__xludf.DUMMYFUNCTION("IFS(
  AND(REGEXMATCH(E7503, ""台銀籌備帳戶|玉山帳戶""), REGEXMATCH(C7503, ""薪資"")), ""分潤支出"",
  AND(REGEXMATCH(E7503, ""Ben帳戶|Elsa帳戶|Ben代墊|Ariel代墊|中信銀行共用""), REGEXMATCH(F7503, ""Ben帳戶|Elsa帳戶|Ben代墊|Ariel代墊|中信銀行共用"")), ""內部轉帳(忽略)"",
  AND(E7503&lt;&gt;"""", F7503&lt;&gt;"""", N"&amp;"OT(REGEXMATCH(C7503, ""薪資""))), ""內部轉帳(忽略)"",
  REGEXMATCH(C7503, ""薪資""), ""薪資變動(不計入)"",
  REGEXMATCH(C7503, ""押金""), ""押金往來"",
  AND(E7503&lt;&gt;"""", F7503=""""), ""真實支出"",
  AND(E7503="""", F7503&lt;&gt;""""), ""真實收入"",
  TRUE, ""其他""
)"),"其他")</f>
        <v>其他</v>
      </c>
      <c r="K7503" s="270" t="str">
        <f t="shared" si="2"/>
        <v/>
      </c>
      <c r="L7503">
        <f t="shared" si="3"/>
        <v>0</v>
      </c>
    </row>
    <row r="7504">
      <c r="A7504" s="107"/>
      <c r="D7504" s="270"/>
      <c r="H7504" s="106" t="str">
        <f t="shared" si="1"/>
        <v/>
      </c>
      <c r="J7504" t="str">
        <f>IFERROR(__xludf.DUMMYFUNCTION("IFS(
  AND(REGEXMATCH(E7504, ""台銀籌備帳戶|玉山帳戶""), REGEXMATCH(C7504, ""薪資"")), ""分潤支出"",
  AND(REGEXMATCH(E7504, ""Ben帳戶|Elsa帳戶|Ben代墊|Ariel代墊|中信銀行共用""), REGEXMATCH(F7504, ""Ben帳戶|Elsa帳戶|Ben代墊|Ariel代墊|中信銀行共用"")), ""內部轉帳(忽略)"",
  AND(E7504&lt;&gt;"""", F7504&lt;&gt;"""", N"&amp;"OT(REGEXMATCH(C7504, ""薪資""))), ""內部轉帳(忽略)"",
  REGEXMATCH(C7504, ""薪資""), ""薪資變動(不計入)"",
  REGEXMATCH(C7504, ""押金""), ""押金往來"",
  AND(E7504&lt;&gt;"""", F7504=""""), ""真實支出"",
  AND(E7504="""", F7504&lt;&gt;""""), ""真實收入"",
  TRUE, ""其他""
)"),"其他")</f>
        <v>其他</v>
      </c>
      <c r="K7504" s="270" t="str">
        <f t="shared" si="2"/>
        <v/>
      </c>
      <c r="L7504">
        <f t="shared" si="3"/>
        <v>0</v>
      </c>
    </row>
    <row r="7505">
      <c r="A7505" s="107"/>
      <c r="D7505" s="270"/>
      <c r="H7505" s="106" t="str">
        <f t="shared" si="1"/>
        <v/>
      </c>
      <c r="J7505" t="str">
        <f>IFERROR(__xludf.DUMMYFUNCTION("IFS(
  AND(REGEXMATCH(E7505, ""台銀籌備帳戶|玉山帳戶""), REGEXMATCH(C7505, ""薪資"")), ""分潤支出"",
  AND(REGEXMATCH(E7505, ""Ben帳戶|Elsa帳戶|Ben代墊|Ariel代墊|中信銀行共用""), REGEXMATCH(F7505, ""Ben帳戶|Elsa帳戶|Ben代墊|Ariel代墊|中信銀行共用"")), ""內部轉帳(忽略)"",
  AND(E7505&lt;&gt;"""", F7505&lt;&gt;"""", N"&amp;"OT(REGEXMATCH(C7505, ""薪資""))), ""內部轉帳(忽略)"",
  REGEXMATCH(C7505, ""薪資""), ""薪資變動(不計入)"",
  REGEXMATCH(C7505, ""押金""), ""押金往來"",
  AND(E7505&lt;&gt;"""", F7505=""""), ""真實支出"",
  AND(E7505="""", F7505&lt;&gt;""""), ""真實收入"",
  TRUE, ""其他""
)"),"其他")</f>
        <v>其他</v>
      </c>
      <c r="K7505" s="270" t="str">
        <f t="shared" si="2"/>
        <v/>
      </c>
      <c r="L7505">
        <f t="shared" si="3"/>
        <v>0</v>
      </c>
    </row>
    <row r="7506">
      <c r="A7506" s="107"/>
      <c r="D7506" s="270"/>
      <c r="H7506" s="106" t="str">
        <f t="shared" si="1"/>
        <v/>
      </c>
      <c r="J7506" t="str">
        <f>IFERROR(__xludf.DUMMYFUNCTION("IFS(
  AND(REGEXMATCH(E7506, ""台銀籌備帳戶|玉山帳戶""), REGEXMATCH(C7506, ""薪資"")), ""分潤支出"",
  AND(REGEXMATCH(E7506, ""Ben帳戶|Elsa帳戶|Ben代墊|Ariel代墊|中信銀行共用""), REGEXMATCH(F7506, ""Ben帳戶|Elsa帳戶|Ben代墊|Ariel代墊|中信銀行共用"")), ""內部轉帳(忽略)"",
  AND(E7506&lt;&gt;"""", F7506&lt;&gt;"""", N"&amp;"OT(REGEXMATCH(C7506, ""薪資""))), ""內部轉帳(忽略)"",
  REGEXMATCH(C7506, ""薪資""), ""薪資變動(不計入)"",
  REGEXMATCH(C7506, ""押金""), ""押金往來"",
  AND(E7506&lt;&gt;"""", F7506=""""), ""真實支出"",
  AND(E7506="""", F7506&lt;&gt;""""), ""真實收入"",
  TRUE, ""其他""
)"),"其他")</f>
        <v>其他</v>
      </c>
      <c r="K7506" s="270" t="str">
        <f t="shared" si="2"/>
        <v/>
      </c>
      <c r="L7506">
        <f t="shared" si="3"/>
        <v>0</v>
      </c>
    </row>
    <row r="7507">
      <c r="A7507" s="107"/>
      <c r="D7507" s="270"/>
      <c r="H7507" s="106" t="str">
        <f t="shared" si="1"/>
        <v/>
      </c>
      <c r="J7507" t="str">
        <f>IFERROR(__xludf.DUMMYFUNCTION("IFS(
  AND(REGEXMATCH(E7507, ""台銀籌備帳戶|玉山帳戶""), REGEXMATCH(C7507, ""薪資"")), ""分潤支出"",
  AND(REGEXMATCH(E7507, ""Ben帳戶|Elsa帳戶|Ben代墊|Ariel代墊|中信銀行共用""), REGEXMATCH(F7507, ""Ben帳戶|Elsa帳戶|Ben代墊|Ariel代墊|中信銀行共用"")), ""內部轉帳(忽略)"",
  AND(E7507&lt;&gt;"""", F7507&lt;&gt;"""", N"&amp;"OT(REGEXMATCH(C7507, ""薪資""))), ""內部轉帳(忽略)"",
  REGEXMATCH(C7507, ""薪資""), ""薪資變動(不計入)"",
  REGEXMATCH(C7507, ""押金""), ""押金往來"",
  AND(E7507&lt;&gt;"""", F7507=""""), ""真實支出"",
  AND(E7507="""", F7507&lt;&gt;""""), ""真實收入"",
  TRUE, ""其他""
)"),"其他")</f>
        <v>其他</v>
      </c>
      <c r="K7507" s="270" t="str">
        <f t="shared" si="2"/>
        <v/>
      </c>
      <c r="L7507">
        <f t="shared" si="3"/>
        <v>0</v>
      </c>
    </row>
    <row r="7508">
      <c r="A7508" s="107"/>
      <c r="D7508" s="270"/>
      <c r="H7508" s="106" t="str">
        <f t="shared" si="1"/>
        <v/>
      </c>
      <c r="J7508" t="str">
        <f>IFERROR(__xludf.DUMMYFUNCTION("IFS(
  AND(REGEXMATCH(E7508, ""台銀籌備帳戶|玉山帳戶""), REGEXMATCH(C7508, ""薪資"")), ""分潤支出"",
  AND(REGEXMATCH(E7508, ""Ben帳戶|Elsa帳戶|Ben代墊|Ariel代墊|中信銀行共用""), REGEXMATCH(F7508, ""Ben帳戶|Elsa帳戶|Ben代墊|Ariel代墊|中信銀行共用"")), ""內部轉帳(忽略)"",
  AND(E7508&lt;&gt;"""", F7508&lt;&gt;"""", N"&amp;"OT(REGEXMATCH(C7508, ""薪資""))), ""內部轉帳(忽略)"",
  REGEXMATCH(C7508, ""薪資""), ""薪資變動(不計入)"",
  REGEXMATCH(C7508, ""押金""), ""押金往來"",
  AND(E7508&lt;&gt;"""", F7508=""""), ""真實支出"",
  AND(E7508="""", F7508&lt;&gt;""""), ""真實收入"",
  TRUE, ""其他""
)"),"其他")</f>
        <v>其他</v>
      </c>
      <c r="K7508" s="270" t="str">
        <f t="shared" si="2"/>
        <v/>
      </c>
      <c r="L7508">
        <f t="shared" si="3"/>
        <v>0</v>
      </c>
    </row>
    <row r="7509">
      <c r="A7509" s="107"/>
      <c r="D7509" s="270"/>
      <c r="H7509" s="106" t="str">
        <f t="shared" si="1"/>
        <v/>
      </c>
      <c r="J7509" t="str">
        <f>IFERROR(__xludf.DUMMYFUNCTION("IFS(
  AND(REGEXMATCH(E7509, ""台銀籌備帳戶|玉山帳戶""), REGEXMATCH(C7509, ""薪資"")), ""分潤支出"",
  AND(REGEXMATCH(E7509, ""Ben帳戶|Elsa帳戶|Ben代墊|Ariel代墊|中信銀行共用""), REGEXMATCH(F7509, ""Ben帳戶|Elsa帳戶|Ben代墊|Ariel代墊|中信銀行共用"")), ""內部轉帳(忽略)"",
  AND(E7509&lt;&gt;"""", F7509&lt;&gt;"""", N"&amp;"OT(REGEXMATCH(C7509, ""薪資""))), ""內部轉帳(忽略)"",
  REGEXMATCH(C7509, ""薪資""), ""薪資變動(不計入)"",
  REGEXMATCH(C7509, ""押金""), ""押金往來"",
  AND(E7509&lt;&gt;"""", F7509=""""), ""真實支出"",
  AND(E7509="""", F7509&lt;&gt;""""), ""真實收入"",
  TRUE, ""其他""
)"),"其他")</f>
        <v>其他</v>
      </c>
      <c r="K7509" s="270" t="str">
        <f t="shared" si="2"/>
        <v/>
      </c>
      <c r="L7509">
        <f t="shared" si="3"/>
        <v>0</v>
      </c>
    </row>
    <row r="7510">
      <c r="A7510" s="107"/>
      <c r="D7510" s="270"/>
      <c r="H7510" s="106" t="str">
        <f t="shared" si="1"/>
        <v/>
      </c>
      <c r="J7510" t="str">
        <f>IFERROR(__xludf.DUMMYFUNCTION("IFS(
  AND(REGEXMATCH(E7510, ""台銀籌備帳戶|玉山帳戶""), REGEXMATCH(C7510, ""薪資"")), ""分潤支出"",
  AND(REGEXMATCH(E7510, ""Ben帳戶|Elsa帳戶|Ben代墊|Ariel代墊|中信銀行共用""), REGEXMATCH(F7510, ""Ben帳戶|Elsa帳戶|Ben代墊|Ariel代墊|中信銀行共用"")), ""內部轉帳(忽略)"",
  AND(E7510&lt;&gt;"""", F7510&lt;&gt;"""", N"&amp;"OT(REGEXMATCH(C7510, ""薪資""))), ""內部轉帳(忽略)"",
  REGEXMATCH(C7510, ""薪資""), ""薪資變動(不計入)"",
  REGEXMATCH(C7510, ""押金""), ""押金往來"",
  AND(E7510&lt;&gt;"""", F7510=""""), ""真實支出"",
  AND(E7510="""", F7510&lt;&gt;""""), ""真實收入"",
  TRUE, ""其他""
)"),"其他")</f>
        <v>其他</v>
      </c>
      <c r="K7510" s="270" t="str">
        <f t="shared" si="2"/>
        <v/>
      </c>
      <c r="L7510">
        <f t="shared" si="3"/>
        <v>0</v>
      </c>
    </row>
    <row r="7511">
      <c r="A7511" s="107"/>
      <c r="D7511" s="270"/>
      <c r="H7511" s="106" t="str">
        <f t="shared" si="1"/>
        <v/>
      </c>
      <c r="J7511" t="str">
        <f>IFERROR(__xludf.DUMMYFUNCTION("IFS(
  AND(REGEXMATCH(E7511, ""台銀籌備帳戶|玉山帳戶""), REGEXMATCH(C7511, ""薪資"")), ""分潤支出"",
  AND(REGEXMATCH(E7511, ""Ben帳戶|Elsa帳戶|Ben代墊|Ariel代墊|中信銀行共用""), REGEXMATCH(F7511, ""Ben帳戶|Elsa帳戶|Ben代墊|Ariel代墊|中信銀行共用"")), ""內部轉帳(忽略)"",
  AND(E7511&lt;&gt;"""", F7511&lt;&gt;"""", N"&amp;"OT(REGEXMATCH(C7511, ""薪資""))), ""內部轉帳(忽略)"",
  REGEXMATCH(C7511, ""薪資""), ""薪資變動(不計入)"",
  REGEXMATCH(C7511, ""押金""), ""押金往來"",
  AND(E7511&lt;&gt;"""", F7511=""""), ""真實支出"",
  AND(E7511="""", F7511&lt;&gt;""""), ""真實收入"",
  TRUE, ""其他""
)"),"其他")</f>
        <v>其他</v>
      </c>
      <c r="K7511" s="270" t="str">
        <f t="shared" si="2"/>
        <v/>
      </c>
      <c r="L7511">
        <f t="shared" si="3"/>
        <v>0</v>
      </c>
    </row>
    <row r="7512">
      <c r="A7512" s="107"/>
      <c r="D7512" s="270"/>
      <c r="H7512" s="106" t="str">
        <f t="shared" si="1"/>
        <v/>
      </c>
      <c r="J7512" t="str">
        <f>IFERROR(__xludf.DUMMYFUNCTION("IFS(
  AND(REGEXMATCH(E7512, ""台銀籌備帳戶|玉山帳戶""), REGEXMATCH(C7512, ""薪資"")), ""分潤支出"",
  AND(REGEXMATCH(E7512, ""Ben帳戶|Elsa帳戶|Ben代墊|Ariel代墊|中信銀行共用""), REGEXMATCH(F7512, ""Ben帳戶|Elsa帳戶|Ben代墊|Ariel代墊|中信銀行共用"")), ""內部轉帳(忽略)"",
  AND(E7512&lt;&gt;"""", F7512&lt;&gt;"""", N"&amp;"OT(REGEXMATCH(C7512, ""薪資""))), ""內部轉帳(忽略)"",
  REGEXMATCH(C7512, ""薪資""), ""薪資變動(不計入)"",
  REGEXMATCH(C7512, ""押金""), ""押金往來"",
  AND(E7512&lt;&gt;"""", F7512=""""), ""真實支出"",
  AND(E7512="""", F7512&lt;&gt;""""), ""真實收入"",
  TRUE, ""其他""
)"),"其他")</f>
        <v>其他</v>
      </c>
      <c r="K7512" s="270" t="str">
        <f t="shared" si="2"/>
        <v/>
      </c>
      <c r="L7512">
        <f t="shared" si="3"/>
        <v>0</v>
      </c>
    </row>
    <row r="7513">
      <c r="A7513" s="107"/>
      <c r="D7513" s="270"/>
      <c r="H7513" s="106" t="str">
        <f t="shared" si="1"/>
        <v/>
      </c>
      <c r="J7513" t="str">
        <f>IFERROR(__xludf.DUMMYFUNCTION("IFS(
  AND(REGEXMATCH(E7513, ""台銀籌備帳戶|玉山帳戶""), REGEXMATCH(C7513, ""薪資"")), ""分潤支出"",
  AND(REGEXMATCH(E7513, ""Ben帳戶|Elsa帳戶|Ben代墊|Ariel代墊|中信銀行共用""), REGEXMATCH(F7513, ""Ben帳戶|Elsa帳戶|Ben代墊|Ariel代墊|中信銀行共用"")), ""內部轉帳(忽略)"",
  AND(E7513&lt;&gt;"""", F7513&lt;&gt;"""", N"&amp;"OT(REGEXMATCH(C7513, ""薪資""))), ""內部轉帳(忽略)"",
  REGEXMATCH(C7513, ""薪資""), ""薪資變動(不計入)"",
  REGEXMATCH(C7513, ""押金""), ""押金往來"",
  AND(E7513&lt;&gt;"""", F7513=""""), ""真實支出"",
  AND(E7513="""", F7513&lt;&gt;""""), ""真實收入"",
  TRUE, ""其他""
)"),"其他")</f>
        <v>其他</v>
      </c>
      <c r="K7513" s="270" t="str">
        <f t="shared" si="2"/>
        <v/>
      </c>
      <c r="L7513">
        <f t="shared" si="3"/>
        <v>0</v>
      </c>
    </row>
    <row r="7514">
      <c r="A7514" s="107"/>
      <c r="D7514" s="270"/>
      <c r="H7514" s="106" t="str">
        <f t="shared" si="1"/>
        <v/>
      </c>
      <c r="J7514" t="str">
        <f>IFERROR(__xludf.DUMMYFUNCTION("IFS(
  AND(REGEXMATCH(E7514, ""台銀籌備帳戶|玉山帳戶""), REGEXMATCH(C7514, ""薪資"")), ""分潤支出"",
  AND(REGEXMATCH(E7514, ""Ben帳戶|Elsa帳戶|Ben代墊|Ariel代墊|中信銀行共用""), REGEXMATCH(F7514, ""Ben帳戶|Elsa帳戶|Ben代墊|Ariel代墊|中信銀行共用"")), ""內部轉帳(忽略)"",
  AND(E7514&lt;&gt;"""", F7514&lt;&gt;"""", N"&amp;"OT(REGEXMATCH(C7514, ""薪資""))), ""內部轉帳(忽略)"",
  REGEXMATCH(C7514, ""薪資""), ""薪資變動(不計入)"",
  REGEXMATCH(C7514, ""押金""), ""押金往來"",
  AND(E7514&lt;&gt;"""", F7514=""""), ""真實支出"",
  AND(E7514="""", F7514&lt;&gt;""""), ""真實收入"",
  TRUE, ""其他""
)"),"其他")</f>
        <v>其他</v>
      </c>
      <c r="K7514" s="270" t="str">
        <f t="shared" si="2"/>
        <v/>
      </c>
      <c r="L7514">
        <f t="shared" si="3"/>
        <v>0</v>
      </c>
    </row>
    <row r="7515">
      <c r="A7515" s="107"/>
      <c r="D7515" s="270"/>
      <c r="H7515" s="106" t="str">
        <f t="shared" si="1"/>
        <v/>
      </c>
      <c r="J7515" t="str">
        <f>IFERROR(__xludf.DUMMYFUNCTION("IFS(
  AND(REGEXMATCH(E7515, ""台銀籌備帳戶|玉山帳戶""), REGEXMATCH(C7515, ""薪資"")), ""分潤支出"",
  AND(REGEXMATCH(E7515, ""Ben帳戶|Elsa帳戶|Ben代墊|Ariel代墊|中信銀行共用""), REGEXMATCH(F7515, ""Ben帳戶|Elsa帳戶|Ben代墊|Ariel代墊|中信銀行共用"")), ""內部轉帳(忽略)"",
  AND(E7515&lt;&gt;"""", F7515&lt;&gt;"""", N"&amp;"OT(REGEXMATCH(C7515, ""薪資""))), ""內部轉帳(忽略)"",
  REGEXMATCH(C7515, ""薪資""), ""薪資變動(不計入)"",
  REGEXMATCH(C7515, ""押金""), ""押金往來"",
  AND(E7515&lt;&gt;"""", F7515=""""), ""真實支出"",
  AND(E7515="""", F7515&lt;&gt;""""), ""真實收入"",
  TRUE, ""其他""
)"),"其他")</f>
        <v>其他</v>
      </c>
      <c r="K7515" s="270" t="str">
        <f t="shared" si="2"/>
        <v/>
      </c>
      <c r="L7515">
        <f t="shared" si="3"/>
        <v>0</v>
      </c>
    </row>
    <row r="7516">
      <c r="A7516" s="107"/>
      <c r="D7516" s="270"/>
      <c r="H7516" s="106" t="str">
        <f t="shared" si="1"/>
        <v/>
      </c>
      <c r="J7516" t="str">
        <f>IFERROR(__xludf.DUMMYFUNCTION("IFS(
  AND(REGEXMATCH(E7516, ""台銀籌備帳戶|玉山帳戶""), REGEXMATCH(C7516, ""薪資"")), ""分潤支出"",
  AND(REGEXMATCH(E7516, ""Ben帳戶|Elsa帳戶|Ben代墊|Ariel代墊|中信銀行共用""), REGEXMATCH(F7516, ""Ben帳戶|Elsa帳戶|Ben代墊|Ariel代墊|中信銀行共用"")), ""內部轉帳(忽略)"",
  AND(E7516&lt;&gt;"""", F7516&lt;&gt;"""", N"&amp;"OT(REGEXMATCH(C7516, ""薪資""))), ""內部轉帳(忽略)"",
  REGEXMATCH(C7516, ""薪資""), ""薪資變動(不計入)"",
  REGEXMATCH(C7516, ""押金""), ""押金往來"",
  AND(E7516&lt;&gt;"""", F7516=""""), ""真實支出"",
  AND(E7516="""", F7516&lt;&gt;""""), ""真實收入"",
  TRUE, ""其他""
)"),"其他")</f>
        <v>其他</v>
      </c>
      <c r="K7516" s="270" t="str">
        <f t="shared" si="2"/>
        <v/>
      </c>
      <c r="L7516">
        <f t="shared" si="3"/>
        <v>0</v>
      </c>
    </row>
    <row r="7517">
      <c r="A7517" s="107"/>
      <c r="D7517" s="270"/>
      <c r="H7517" s="106" t="str">
        <f t="shared" si="1"/>
        <v/>
      </c>
      <c r="J7517" t="str">
        <f>IFERROR(__xludf.DUMMYFUNCTION("IFS(
  AND(REGEXMATCH(E7517, ""台銀籌備帳戶|玉山帳戶""), REGEXMATCH(C7517, ""薪資"")), ""分潤支出"",
  AND(REGEXMATCH(E7517, ""Ben帳戶|Elsa帳戶|Ben代墊|Ariel代墊|中信銀行共用""), REGEXMATCH(F7517, ""Ben帳戶|Elsa帳戶|Ben代墊|Ariel代墊|中信銀行共用"")), ""內部轉帳(忽略)"",
  AND(E7517&lt;&gt;"""", F7517&lt;&gt;"""", N"&amp;"OT(REGEXMATCH(C7517, ""薪資""))), ""內部轉帳(忽略)"",
  REGEXMATCH(C7517, ""薪資""), ""薪資變動(不計入)"",
  REGEXMATCH(C7517, ""押金""), ""押金往來"",
  AND(E7517&lt;&gt;"""", F7517=""""), ""真實支出"",
  AND(E7517="""", F7517&lt;&gt;""""), ""真實收入"",
  TRUE, ""其他""
)"),"其他")</f>
        <v>其他</v>
      </c>
      <c r="K7517" s="270" t="str">
        <f t="shared" si="2"/>
        <v/>
      </c>
      <c r="L7517">
        <f t="shared" si="3"/>
        <v>0</v>
      </c>
    </row>
    <row r="7518">
      <c r="A7518" s="107"/>
      <c r="D7518" s="270"/>
      <c r="H7518" s="106" t="str">
        <f t="shared" si="1"/>
        <v/>
      </c>
      <c r="J7518" t="str">
        <f>IFERROR(__xludf.DUMMYFUNCTION("IFS(
  AND(REGEXMATCH(E7518, ""台銀籌備帳戶|玉山帳戶""), REGEXMATCH(C7518, ""薪資"")), ""分潤支出"",
  AND(REGEXMATCH(E7518, ""Ben帳戶|Elsa帳戶|Ben代墊|Ariel代墊|中信銀行共用""), REGEXMATCH(F7518, ""Ben帳戶|Elsa帳戶|Ben代墊|Ariel代墊|中信銀行共用"")), ""內部轉帳(忽略)"",
  AND(E7518&lt;&gt;"""", F7518&lt;&gt;"""", N"&amp;"OT(REGEXMATCH(C7518, ""薪資""))), ""內部轉帳(忽略)"",
  REGEXMATCH(C7518, ""薪資""), ""薪資變動(不計入)"",
  REGEXMATCH(C7518, ""押金""), ""押金往來"",
  AND(E7518&lt;&gt;"""", F7518=""""), ""真實支出"",
  AND(E7518="""", F7518&lt;&gt;""""), ""真實收入"",
  TRUE, ""其他""
)"),"其他")</f>
        <v>其他</v>
      </c>
      <c r="K7518" s="270" t="str">
        <f t="shared" si="2"/>
        <v/>
      </c>
      <c r="L7518">
        <f t="shared" si="3"/>
        <v>0</v>
      </c>
    </row>
    <row r="7519">
      <c r="A7519" s="107"/>
      <c r="D7519" s="270"/>
      <c r="H7519" s="106" t="str">
        <f t="shared" si="1"/>
        <v/>
      </c>
      <c r="J7519" t="str">
        <f>IFERROR(__xludf.DUMMYFUNCTION("IFS(
  AND(REGEXMATCH(E7519, ""台銀籌備帳戶|玉山帳戶""), REGEXMATCH(C7519, ""薪資"")), ""分潤支出"",
  AND(REGEXMATCH(E7519, ""Ben帳戶|Elsa帳戶|Ben代墊|Ariel代墊|中信銀行共用""), REGEXMATCH(F7519, ""Ben帳戶|Elsa帳戶|Ben代墊|Ariel代墊|中信銀行共用"")), ""內部轉帳(忽略)"",
  AND(E7519&lt;&gt;"""", F7519&lt;&gt;"""", N"&amp;"OT(REGEXMATCH(C7519, ""薪資""))), ""內部轉帳(忽略)"",
  REGEXMATCH(C7519, ""薪資""), ""薪資變動(不計入)"",
  REGEXMATCH(C7519, ""押金""), ""押金往來"",
  AND(E7519&lt;&gt;"""", F7519=""""), ""真實支出"",
  AND(E7519="""", F7519&lt;&gt;""""), ""真實收入"",
  TRUE, ""其他""
)"),"其他")</f>
        <v>其他</v>
      </c>
      <c r="K7519" s="270" t="str">
        <f t="shared" si="2"/>
        <v/>
      </c>
      <c r="L7519">
        <f t="shared" si="3"/>
        <v>0</v>
      </c>
    </row>
    <row r="7520">
      <c r="A7520" s="107"/>
      <c r="D7520" s="270"/>
      <c r="H7520" s="106" t="str">
        <f t="shared" si="1"/>
        <v/>
      </c>
      <c r="J7520" t="str">
        <f>IFERROR(__xludf.DUMMYFUNCTION("IFS(
  AND(REGEXMATCH(E7520, ""台銀籌備帳戶|玉山帳戶""), REGEXMATCH(C7520, ""薪資"")), ""分潤支出"",
  AND(REGEXMATCH(E7520, ""Ben帳戶|Elsa帳戶|Ben代墊|Ariel代墊|中信銀行共用""), REGEXMATCH(F7520, ""Ben帳戶|Elsa帳戶|Ben代墊|Ariel代墊|中信銀行共用"")), ""內部轉帳(忽略)"",
  AND(E7520&lt;&gt;"""", F7520&lt;&gt;"""", N"&amp;"OT(REGEXMATCH(C7520, ""薪資""))), ""內部轉帳(忽略)"",
  REGEXMATCH(C7520, ""薪資""), ""薪資變動(不計入)"",
  REGEXMATCH(C7520, ""押金""), ""押金往來"",
  AND(E7520&lt;&gt;"""", F7520=""""), ""真實支出"",
  AND(E7520="""", F7520&lt;&gt;""""), ""真實收入"",
  TRUE, ""其他""
)"),"其他")</f>
        <v>其他</v>
      </c>
      <c r="K7520" s="270" t="str">
        <f t="shared" si="2"/>
        <v/>
      </c>
      <c r="L7520">
        <f t="shared" si="3"/>
        <v>0</v>
      </c>
    </row>
    <row r="7521">
      <c r="A7521" s="107"/>
      <c r="D7521" s="270"/>
      <c r="H7521" s="106" t="str">
        <f t="shared" si="1"/>
        <v/>
      </c>
      <c r="J7521" t="str">
        <f>IFERROR(__xludf.DUMMYFUNCTION("IFS(
  AND(REGEXMATCH(E7521, ""台銀籌備帳戶|玉山帳戶""), REGEXMATCH(C7521, ""薪資"")), ""分潤支出"",
  AND(REGEXMATCH(E7521, ""Ben帳戶|Elsa帳戶|Ben代墊|Ariel代墊|中信銀行共用""), REGEXMATCH(F7521, ""Ben帳戶|Elsa帳戶|Ben代墊|Ariel代墊|中信銀行共用"")), ""內部轉帳(忽略)"",
  AND(E7521&lt;&gt;"""", F7521&lt;&gt;"""", N"&amp;"OT(REGEXMATCH(C7521, ""薪資""))), ""內部轉帳(忽略)"",
  REGEXMATCH(C7521, ""薪資""), ""薪資變動(不計入)"",
  REGEXMATCH(C7521, ""押金""), ""押金往來"",
  AND(E7521&lt;&gt;"""", F7521=""""), ""真實支出"",
  AND(E7521="""", F7521&lt;&gt;""""), ""真實收入"",
  TRUE, ""其他""
)"),"其他")</f>
        <v>其他</v>
      </c>
      <c r="K7521" s="270" t="str">
        <f t="shared" si="2"/>
        <v/>
      </c>
      <c r="L7521">
        <f t="shared" si="3"/>
        <v>0</v>
      </c>
    </row>
    <row r="7522">
      <c r="A7522" s="107"/>
      <c r="D7522" s="270"/>
      <c r="H7522" s="106" t="str">
        <f t="shared" si="1"/>
        <v/>
      </c>
      <c r="J7522" t="str">
        <f>IFERROR(__xludf.DUMMYFUNCTION("IFS(
  AND(REGEXMATCH(E7522, ""台銀籌備帳戶|玉山帳戶""), REGEXMATCH(C7522, ""薪資"")), ""分潤支出"",
  AND(REGEXMATCH(E7522, ""Ben帳戶|Elsa帳戶|Ben代墊|Ariel代墊|中信銀行共用""), REGEXMATCH(F7522, ""Ben帳戶|Elsa帳戶|Ben代墊|Ariel代墊|中信銀行共用"")), ""內部轉帳(忽略)"",
  AND(E7522&lt;&gt;"""", F7522&lt;&gt;"""", N"&amp;"OT(REGEXMATCH(C7522, ""薪資""))), ""內部轉帳(忽略)"",
  REGEXMATCH(C7522, ""薪資""), ""薪資變動(不計入)"",
  REGEXMATCH(C7522, ""押金""), ""押金往來"",
  AND(E7522&lt;&gt;"""", F7522=""""), ""真實支出"",
  AND(E7522="""", F7522&lt;&gt;""""), ""真實收入"",
  TRUE, ""其他""
)"),"其他")</f>
        <v>其他</v>
      </c>
      <c r="K7522" s="270" t="str">
        <f t="shared" si="2"/>
        <v/>
      </c>
      <c r="L7522">
        <f t="shared" si="3"/>
        <v>0</v>
      </c>
    </row>
    <row r="7523">
      <c r="A7523" s="107"/>
      <c r="D7523" s="270"/>
      <c r="H7523" s="106" t="str">
        <f t="shared" si="1"/>
        <v/>
      </c>
      <c r="J7523" t="str">
        <f>IFERROR(__xludf.DUMMYFUNCTION("IFS(
  AND(REGEXMATCH(E7523, ""台銀籌備帳戶|玉山帳戶""), REGEXMATCH(C7523, ""薪資"")), ""分潤支出"",
  AND(REGEXMATCH(E7523, ""Ben帳戶|Elsa帳戶|Ben代墊|Ariel代墊|中信銀行共用""), REGEXMATCH(F7523, ""Ben帳戶|Elsa帳戶|Ben代墊|Ariel代墊|中信銀行共用"")), ""內部轉帳(忽略)"",
  AND(E7523&lt;&gt;"""", F7523&lt;&gt;"""", N"&amp;"OT(REGEXMATCH(C7523, ""薪資""))), ""內部轉帳(忽略)"",
  REGEXMATCH(C7523, ""薪資""), ""薪資變動(不計入)"",
  REGEXMATCH(C7523, ""押金""), ""押金往來"",
  AND(E7523&lt;&gt;"""", F7523=""""), ""真實支出"",
  AND(E7523="""", F7523&lt;&gt;""""), ""真實收入"",
  TRUE, ""其他""
)"),"其他")</f>
        <v>其他</v>
      </c>
      <c r="K7523" s="270" t="str">
        <f t="shared" si="2"/>
        <v/>
      </c>
      <c r="L7523">
        <f t="shared" si="3"/>
        <v>0</v>
      </c>
    </row>
    <row r="7524">
      <c r="A7524" s="107"/>
      <c r="D7524" s="270"/>
      <c r="H7524" s="106" t="str">
        <f t="shared" si="1"/>
        <v/>
      </c>
      <c r="J7524" t="str">
        <f>IFERROR(__xludf.DUMMYFUNCTION("IFS(
  AND(REGEXMATCH(E7524, ""台銀籌備帳戶|玉山帳戶""), REGEXMATCH(C7524, ""薪資"")), ""分潤支出"",
  AND(REGEXMATCH(E7524, ""Ben帳戶|Elsa帳戶|Ben代墊|Ariel代墊|中信銀行共用""), REGEXMATCH(F7524, ""Ben帳戶|Elsa帳戶|Ben代墊|Ariel代墊|中信銀行共用"")), ""內部轉帳(忽略)"",
  AND(E7524&lt;&gt;"""", F7524&lt;&gt;"""", N"&amp;"OT(REGEXMATCH(C7524, ""薪資""))), ""內部轉帳(忽略)"",
  REGEXMATCH(C7524, ""薪資""), ""薪資變動(不計入)"",
  REGEXMATCH(C7524, ""押金""), ""押金往來"",
  AND(E7524&lt;&gt;"""", F7524=""""), ""真實支出"",
  AND(E7524="""", F7524&lt;&gt;""""), ""真實收入"",
  TRUE, ""其他""
)"),"其他")</f>
        <v>其他</v>
      </c>
      <c r="K7524" s="270" t="str">
        <f t="shared" si="2"/>
        <v/>
      </c>
      <c r="L7524">
        <f t="shared" si="3"/>
        <v>0</v>
      </c>
    </row>
    <row r="7525">
      <c r="A7525" s="107"/>
      <c r="D7525" s="270"/>
      <c r="H7525" s="106" t="str">
        <f t="shared" si="1"/>
        <v/>
      </c>
      <c r="J7525" t="str">
        <f>IFERROR(__xludf.DUMMYFUNCTION("IFS(
  AND(REGEXMATCH(E7525, ""台銀籌備帳戶|玉山帳戶""), REGEXMATCH(C7525, ""薪資"")), ""分潤支出"",
  AND(REGEXMATCH(E7525, ""Ben帳戶|Elsa帳戶|Ben代墊|Ariel代墊|中信銀行共用""), REGEXMATCH(F7525, ""Ben帳戶|Elsa帳戶|Ben代墊|Ariel代墊|中信銀行共用"")), ""內部轉帳(忽略)"",
  AND(E7525&lt;&gt;"""", F7525&lt;&gt;"""", N"&amp;"OT(REGEXMATCH(C7525, ""薪資""))), ""內部轉帳(忽略)"",
  REGEXMATCH(C7525, ""薪資""), ""薪資變動(不計入)"",
  REGEXMATCH(C7525, ""押金""), ""押金往來"",
  AND(E7525&lt;&gt;"""", F7525=""""), ""真實支出"",
  AND(E7525="""", F7525&lt;&gt;""""), ""真實收入"",
  TRUE, ""其他""
)"),"其他")</f>
        <v>其他</v>
      </c>
      <c r="K7525" s="270" t="str">
        <f t="shared" si="2"/>
        <v/>
      </c>
      <c r="L7525">
        <f t="shared" si="3"/>
        <v>0</v>
      </c>
    </row>
    <row r="7526">
      <c r="A7526" s="107"/>
      <c r="D7526" s="270"/>
      <c r="H7526" s="106" t="str">
        <f t="shared" si="1"/>
        <v/>
      </c>
      <c r="J7526" t="str">
        <f>IFERROR(__xludf.DUMMYFUNCTION("IFS(
  AND(REGEXMATCH(E7526, ""台銀籌備帳戶|玉山帳戶""), REGEXMATCH(C7526, ""薪資"")), ""分潤支出"",
  AND(REGEXMATCH(E7526, ""Ben帳戶|Elsa帳戶|Ben代墊|Ariel代墊|中信銀行共用""), REGEXMATCH(F7526, ""Ben帳戶|Elsa帳戶|Ben代墊|Ariel代墊|中信銀行共用"")), ""內部轉帳(忽略)"",
  AND(E7526&lt;&gt;"""", F7526&lt;&gt;"""", N"&amp;"OT(REGEXMATCH(C7526, ""薪資""))), ""內部轉帳(忽略)"",
  REGEXMATCH(C7526, ""薪資""), ""薪資變動(不計入)"",
  REGEXMATCH(C7526, ""押金""), ""押金往來"",
  AND(E7526&lt;&gt;"""", F7526=""""), ""真實支出"",
  AND(E7526="""", F7526&lt;&gt;""""), ""真實收入"",
  TRUE, ""其他""
)"),"其他")</f>
        <v>其他</v>
      </c>
      <c r="K7526" s="270" t="str">
        <f t="shared" si="2"/>
        <v/>
      </c>
      <c r="L7526">
        <f t="shared" si="3"/>
        <v>0</v>
      </c>
    </row>
    <row r="7527">
      <c r="A7527" s="107"/>
      <c r="D7527" s="270"/>
      <c r="H7527" s="106" t="str">
        <f t="shared" si="1"/>
        <v/>
      </c>
      <c r="J7527" t="str">
        <f>IFERROR(__xludf.DUMMYFUNCTION("IFS(
  AND(REGEXMATCH(E7527, ""台銀籌備帳戶|玉山帳戶""), REGEXMATCH(C7527, ""薪資"")), ""分潤支出"",
  AND(REGEXMATCH(E7527, ""Ben帳戶|Elsa帳戶|Ben代墊|Ariel代墊|中信銀行共用""), REGEXMATCH(F7527, ""Ben帳戶|Elsa帳戶|Ben代墊|Ariel代墊|中信銀行共用"")), ""內部轉帳(忽略)"",
  AND(E7527&lt;&gt;"""", F7527&lt;&gt;"""", N"&amp;"OT(REGEXMATCH(C7527, ""薪資""))), ""內部轉帳(忽略)"",
  REGEXMATCH(C7527, ""薪資""), ""薪資變動(不計入)"",
  REGEXMATCH(C7527, ""押金""), ""押金往來"",
  AND(E7527&lt;&gt;"""", F7527=""""), ""真實支出"",
  AND(E7527="""", F7527&lt;&gt;""""), ""真實收入"",
  TRUE, ""其他""
)"),"其他")</f>
        <v>其他</v>
      </c>
      <c r="K7527" s="270" t="str">
        <f t="shared" si="2"/>
        <v/>
      </c>
      <c r="L7527">
        <f t="shared" si="3"/>
        <v>0</v>
      </c>
    </row>
    <row r="7528">
      <c r="A7528" s="107"/>
      <c r="D7528" s="270"/>
      <c r="H7528" s="106" t="str">
        <f t="shared" si="1"/>
        <v/>
      </c>
      <c r="J7528" t="str">
        <f>IFERROR(__xludf.DUMMYFUNCTION("IFS(
  AND(REGEXMATCH(E7528, ""台銀籌備帳戶|玉山帳戶""), REGEXMATCH(C7528, ""薪資"")), ""分潤支出"",
  AND(REGEXMATCH(E7528, ""Ben帳戶|Elsa帳戶|Ben代墊|Ariel代墊|中信銀行共用""), REGEXMATCH(F7528, ""Ben帳戶|Elsa帳戶|Ben代墊|Ariel代墊|中信銀行共用"")), ""內部轉帳(忽略)"",
  AND(E7528&lt;&gt;"""", F7528&lt;&gt;"""", N"&amp;"OT(REGEXMATCH(C7528, ""薪資""))), ""內部轉帳(忽略)"",
  REGEXMATCH(C7528, ""薪資""), ""薪資變動(不計入)"",
  REGEXMATCH(C7528, ""押金""), ""押金往來"",
  AND(E7528&lt;&gt;"""", F7528=""""), ""真實支出"",
  AND(E7528="""", F7528&lt;&gt;""""), ""真實收入"",
  TRUE, ""其他""
)"),"其他")</f>
        <v>其他</v>
      </c>
      <c r="K7528" s="270" t="str">
        <f t="shared" si="2"/>
        <v/>
      </c>
      <c r="L7528">
        <f t="shared" si="3"/>
        <v>0</v>
      </c>
    </row>
    <row r="7529">
      <c r="A7529" s="107"/>
      <c r="D7529" s="270"/>
      <c r="H7529" s="106" t="str">
        <f t="shared" si="1"/>
        <v/>
      </c>
      <c r="J7529" t="str">
        <f>IFERROR(__xludf.DUMMYFUNCTION("IFS(
  AND(REGEXMATCH(E7529, ""台銀籌備帳戶|玉山帳戶""), REGEXMATCH(C7529, ""薪資"")), ""分潤支出"",
  AND(REGEXMATCH(E7529, ""Ben帳戶|Elsa帳戶|Ben代墊|Ariel代墊|中信銀行共用""), REGEXMATCH(F7529, ""Ben帳戶|Elsa帳戶|Ben代墊|Ariel代墊|中信銀行共用"")), ""內部轉帳(忽略)"",
  AND(E7529&lt;&gt;"""", F7529&lt;&gt;"""", N"&amp;"OT(REGEXMATCH(C7529, ""薪資""))), ""內部轉帳(忽略)"",
  REGEXMATCH(C7529, ""薪資""), ""薪資變動(不計入)"",
  REGEXMATCH(C7529, ""押金""), ""押金往來"",
  AND(E7529&lt;&gt;"""", F7529=""""), ""真實支出"",
  AND(E7529="""", F7529&lt;&gt;""""), ""真實收入"",
  TRUE, ""其他""
)"),"其他")</f>
        <v>其他</v>
      </c>
      <c r="K7529" s="270" t="str">
        <f t="shared" si="2"/>
        <v/>
      </c>
      <c r="L7529">
        <f t="shared" si="3"/>
        <v>0</v>
      </c>
    </row>
    <row r="7530">
      <c r="A7530" s="107"/>
      <c r="D7530" s="270"/>
      <c r="H7530" s="106" t="str">
        <f t="shared" si="1"/>
        <v/>
      </c>
      <c r="J7530" t="str">
        <f>IFERROR(__xludf.DUMMYFUNCTION("IFS(
  AND(REGEXMATCH(E7530, ""台銀籌備帳戶|玉山帳戶""), REGEXMATCH(C7530, ""薪資"")), ""分潤支出"",
  AND(REGEXMATCH(E7530, ""Ben帳戶|Elsa帳戶|Ben代墊|Ariel代墊|中信銀行共用""), REGEXMATCH(F7530, ""Ben帳戶|Elsa帳戶|Ben代墊|Ariel代墊|中信銀行共用"")), ""內部轉帳(忽略)"",
  AND(E7530&lt;&gt;"""", F7530&lt;&gt;"""", N"&amp;"OT(REGEXMATCH(C7530, ""薪資""))), ""內部轉帳(忽略)"",
  REGEXMATCH(C7530, ""薪資""), ""薪資變動(不計入)"",
  REGEXMATCH(C7530, ""押金""), ""押金往來"",
  AND(E7530&lt;&gt;"""", F7530=""""), ""真實支出"",
  AND(E7530="""", F7530&lt;&gt;""""), ""真實收入"",
  TRUE, ""其他""
)"),"其他")</f>
        <v>其他</v>
      </c>
      <c r="K7530" s="270" t="str">
        <f t="shared" si="2"/>
        <v/>
      </c>
      <c r="L7530">
        <f t="shared" si="3"/>
        <v>0</v>
      </c>
    </row>
    <row r="7531">
      <c r="A7531" s="107"/>
      <c r="D7531" s="270"/>
      <c r="H7531" s="106" t="str">
        <f t="shared" si="1"/>
        <v/>
      </c>
      <c r="J7531" t="str">
        <f>IFERROR(__xludf.DUMMYFUNCTION("IFS(
  AND(REGEXMATCH(E7531, ""台銀籌備帳戶|玉山帳戶""), REGEXMATCH(C7531, ""薪資"")), ""分潤支出"",
  AND(REGEXMATCH(E7531, ""Ben帳戶|Elsa帳戶|Ben代墊|Ariel代墊|中信銀行共用""), REGEXMATCH(F7531, ""Ben帳戶|Elsa帳戶|Ben代墊|Ariel代墊|中信銀行共用"")), ""內部轉帳(忽略)"",
  AND(E7531&lt;&gt;"""", F7531&lt;&gt;"""", N"&amp;"OT(REGEXMATCH(C7531, ""薪資""))), ""內部轉帳(忽略)"",
  REGEXMATCH(C7531, ""薪資""), ""薪資變動(不計入)"",
  REGEXMATCH(C7531, ""押金""), ""押金往來"",
  AND(E7531&lt;&gt;"""", F7531=""""), ""真實支出"",
  AND(E7531="""", F7531&lt;&gt;""""), ""真實收入"",
  TRUE, ""其他""
)"),"其他")</f>
        <v>其他</v>
      </c>
      <c r="K7531" s="270" t="str">
        <f t="shared" si="2"/>
        <v/>
      </c>
      <c r="L7531">
        <f t="shared" si="3"/>
        <v>0</v>
      </c>
    </row>
    <row r="7532">
      <c r="A7532" s="107"/>
      <c r="D7532" s="270"/>
      <c r="H7532" s="106" t="str">
        <f t="shared" si="1"/>
        <v/>
      </c>
      <c r="J7532" t="str">
        <f>IFERROR(__xludf.DUMMYFUNCTION("IFS(
  AND(REGEXMATCH(E7532, ""台銀籌備帳戶|玉山帳戶""), REGEXMATCH(C7532, ""薪資"")), ""分潤支出"",
  AND(REGEXMATCH(E7532, ""Ben帳戶|Elsa帳戶|Ben代墊|Ariel代墊|中信銀行共用""), REGEXMATCH(F7532, ""Ben帳戶|Elsa帳戶|Ben代墊|Ariel代墊|中信銀行共用"")), ""內部轉帳(忽略)"",
  AND(E7532&lt;&gt;"""", F7532&lt;&gt;"""", N"&amp;"OT(REGEXMATCH(C7532, ""薪資""))), ""內部轉帳(忽略)"",
  REGEXMATCH(C7532, ""薪資""), ""薪資變動(不計入)"",
  REGEXMATCH(C7532, ""押金""), ""押金往來"",
  AND(E7532&lt;&gt;"""", F7532=""""), ""真實支出"",
  AND(E7532="""", F7532&lt;&gt;""""), ""真實收入"",
  TRUE, ""其他""
)"),"其他")</f>
        <v>其他</v>
      </c>
      <c r="K7532" s="270" t="str">
        <f t="shared" si="2"/>
        <v/>
      </c>
      <c r="L7532">
        <f t="shared" si="3"/>
        <v>0</v>
      </c>
    </row>
    <row r="7533">
      <c r="A7533" s="107"/>
      <c r="D7533" s="270"/>
      <c r="H7533" s="106" t="str">
        <f t="shared" si="1"/>
        <v/>
      </c>
      <c r="J7533" t="str">
        <f>IFERROR(__xludf.DUMMYFUNCTION("IFS(
  AND(REGEXMATCH(E7533, ""台銀籌備帳戶|玉山帳戶""), REGEXMATCH(C7533, ""薪資"")), ""分潤支出"",
  AND(REGEXMATCH(E7533, ""Ben帳戶|Elsa帳戶|Ben代墊|Ariel代墊|中信銀行共用""), REGEXMATCH(F7533, ""Ben帳戶|Elsa帳戶|Ben代墊|Ariel代墊|中信銀行共用"")), ""內部轉帳(忽略)"",
  AND(E7533&lt;&gt;"""", F7533&lt;&gt;"""", N"&amp;"OT(REGEXMATCH(C7533, ""薪資""))), ""內部轉帳(忽略)"",
  REGEXMATCH(C7533, ""薪資""), ""薪資變動(不計入)"",
  REGEXMATCH(C7533, ""押金""), ""押金往來"",
  AND(E7533&lt;&gt;"""", F7533=""""), ""真實支出"",
  AND(E7533="""", F7533&lt;&gt;""""), ""真實收入"",
  TRUE, ""其他""
)"),"其他")</f>
        <v>其他</v>
      </c>
      <c r="K7533" s="270" t="str">
        <f t="shared" si="2"/>
        <v/>
      </c>
      <c r="L7533">
        <f t="shared" si="3"/>
        <v>0</v>
      </c>
    </row>
    <row r="7534">
      <c r="A7534" s="107"/>
      <c r="D7534" s="270"/>
      <c r="H7534" s="106" t="str">
        <f t="shared" si="1"/>
        <v/>
      </c>
      <c r="J7534" t="str">
        <f>IFERROR(__xludf.DUMMYFUNCTION("IFS(
  AND(REGEXMATCH(E7534, ""台銀籌備帳戶|玉山帳戶""), REGEXMATCH(C7534, ""薪資"")), ""分潤支出"",
  AND(REGEXMATCH(E7534, ""Ben帳戶|Elsa帳戶|Ben代墊|Ariel代墊|中信銀行共用""), REGEXMATCH(F7534, ""Ben帳戶|Elsa帳戶|Ben代墊|Ariel代墊|中信銀行共用"")), ""內部轉帳(忽略)"",
  AND(E7534&lt;&gt;"""", F7534&lt;&gt;"""", N"&amp;"OT(REGEXMATCH(C7534, ""薪資""))), ""內部轉帳(忽略)"",
  REGEXMATCH(C7534, ""薪資""), ""薪資變動(不計入)"",
  REGEXMATCH(C7534, ""押金""), ""押金往來"",
  AND(E7534&lt;&gt;"""", F7534=""""), ""真實支出"",
  AND(E7534="""", F7534&lt;&gt;""""), ""真實收入"",
  TRUE, ""其他""
)"),"其他")</f>
        <v>其他</v>
      </c>
      <c r="K7534" s="270" t="str">
        <f t="shared" si="2"/>
        <v/>
      </c>
      <c r="L7534">
        <f t="shared" si="3"/>
        <v>0</v>
      </c>
    </row>
    <row r="7535">
      <c r="A7535" s="107"/>
      <c r="D7535" s="270"/>
      <c r="H7535" s="106" t="str">
        <f t="shared" si="1"/>
        <v/>
      </c>
      <c r="J7535" t="str">
        <f>IFERROR(__xludf.DUMMYFUNCTION("IFS(
  AND(REGEXMATCH(E7535, ""台銀籌備帳戶|玉山帳戶""), REGEXMATCH(C7535, ""薪資"")), ""分潤支出"",
  AND(REGEXMATCH(E7535, ""Ben帳戶|Elsa帳戶|Ben代墊|Ariel代墊|中信銀行共用""), REGEXMATCH(F7535, ""Ben帳戶|Elsa帳戶|Ben代墊|Ariel代墊|中信銀行共用"")), ""內部轉帳(忽略)"",
  AND(E7535&lt;&gt;"""", F7535&lt;&gt;"""", N"&amp;"OT(REGEXMATCH(C7535, ""薪資""))), ""內部轉帳(忽略)"",
  REGEXMATCH(C7535, ""薪資""), ""薪資變動(不計入)"",
  REGEXMATCH(C7535, ""押金""), ""押金往來"",
  AND(E7535&lt;&gt;"""", F7535=""""), ""真實支出"",
  AND(E7535="""", F7535&lt;&gt;""""), ""真實收入"",
  TRUE, ""其他""
)"),"其他")</f>
        <v>其他</v>
      </c>
      <c r="K7535" s="270" t="str">
        <f t="shared" si="2"/>
        <v/>
      </c>
      <c r="L7535">
        <f t="shared" si="3"/>
        <v>0</v>
      </c>
    </row>
    <row r="7536">
      <c r="A7536" s="107"/>
      <c r="D7536" s="270"/>
      <c r="H7536" s="106" t="str">
        <f t="shared" si="1"/>
        <v/>
      </c>
      <c r="J7536" t="str">
        <f>IFERROR(__xludf.DUMMYFUNCTION("IFS(
  AND(REGEXMATCH(E7536, ""台銀籌備帳戶|玉山帳戶""), REGEXMATCH(C7536, ""薪資"")), ""分潤支出"",
  AND(REGEXMATCH(E7536, ""Ben帳戶|Elsa帳戶|Ben代墊|Ariel代墊|中信銀行共用""), REGEXMATCH(F7536, ""Ben帳戶|Elsa帳戶|Ben代墊|Ariel代墊|中信銀行共用"")), ""內部轉帳(忽略)"",
  AND(E7536&lt;&gt;"""", F7536&lt;&gt;"""", N"&amp;"OT(REGEXMATCH(C7536, ""薪資""))), ""內部轉帳(忽略)"",
  REGEXMATCH(C7536, ""薪資""), ""薪資變動(不計入)"",
  REGEXMATCH(C7536, ""押金""), ""押金往來"",
  AND(E7536&lt;&gt;"""", F7536=""""), ""真實支出"",
  AND(E7536="""", F7536&lt;&gt;""""), ""真實收入"",
  TRUE, ""其他""
)"),"其他")</f>
        <v>其他</v>
      </c>
      <c r="K7536" s="270" t="str">
        <f t="shared" si="2"/>
        <v/>
      </c>
      <c r="L7536">
        <f t="shared" si="3"/>
        <v>0</v>
      </c>
    </row>
    <row r="7537">
      <c r="A7537" s="107"/>
      <c r="D7537" s="270"/>
      <c r="H7537" s="106" t="str">
        <f t="shared" si="1"/>
        <v/>
      </c>
      <c r="J7537" t="str">
        <f>IFERROR(__xludf.DUMMYFUNCTION("IFS(
  AND(REGEXMATCH(E7537, ""台銀籌備帳戶|玉山帳戶""), REGEXMATCH(C7537, ""薪資"")), ""分潤支出"",
  AND(REGEXMATCH(E7537, ""Ben帳戶|Elsa帳戶|Ben代墊|Ariel代墊|中信銀行共用""), REGEXMATCH(F7537, ""Ben帳戶|Elsa帳戶|Ben代墊|Ariel代墊|中信銀行共用"")), ""內部轉帳(忽略)"",
  AND(E7537&lt;&gt;"""", F7537&lt;&gt;"""", N"&amp;"OT(REGEXMATCH(C7537, ""薪資""))), ""內部轉帳(忽略)"",
  REGEXMATCH(C7537, ""薪資""), ""薪資變動(不計入)"",
  REGEXMATCH(C7537, ""押金""), ""押金往來"",
  AND(E7537&lt;&gt;"""", F7537=""""), ""真實支出"",
  AND(E7537="""", F7537&lt;&gt;""""), ""真實收入"",
  TRUE, ""其他""
)"),"其他")</f>
        <v>其他</v>
      </c>
      <c r="K7537" s="270" t="str">
        <f t="shared" si="2"/>
        <v/>
      </c>
      <c r="L7537">
        <f t="shared" si="3"/>
        <v>0</v>
      </c>
    </row>
    <row r="7538">
      <c r="A7538" s="107"/>
      <c r="D7538" s="270"/>
      <c r="H7538" s="106" t="str">
        <f t="shared" si="1"/>
        <v/>
      </c>
      <c r="J7538" t="str">
        <f>IFERROR(__xludf.DUMMYFUNCTION("IFS(
  AND(REGEXMATCH(E7538, ""台銀籌備帳戶|玉山帳戶""), REGEXMATCH(C7538, ""薪資"")), ""分潤支出"",
  AND(REGEXMATCH(E7538, ""Ben帳戶|Elsa帳戶|Ben代墊|Ariel代墊|中信銀行共用""), REGEXMATCH(F7538, ""Ben帳戶|Elsa帳戶|Ben代墊|Ariel代墊|中信銀行共用"")), ""內部轉帳(忽略)"",
  AND(E7538&lt;&gt;"""", F7538&lt;&gt;"""", N"&amp;"OT(REGEXMATCH(C7538, ""薪資""))), ""內部轉帳(忽略)"",
  REGEXMATCH(C7538, ""薪資""), ""薪資變動(不計入)"",
  REGEXMATCH(C7538, ""押金""), ""押金往來"",
  AND(E7538&lt;&gt;"""", F7538=""""), ""真實支出"",
  AND(E7538="""", F7538&lt;&gt;""""), ""真實收入"",
  TRUE, ""其他""
)"),"其他")</f>
        <v>其他</v>
      </c>
      <c r="K7538" s="270" t="str">
        <f t="shared" si="2"/>
        <v/>
      </c>
      <c r="L7538">
        <f t="shared" si="3"/>
        <v>0</v>
      </c>
    </row>
    <row r="7539">
      <c r="A7539" s="107"/>
      <c r="D7539" s="270"/>
      <c r="H7539" s="106" t="str">
        <f t="shared" si="1"/>
        <v/>
      </c>
      <c r="J7539" t="str">
        <f>IFERROR(__xludf.DUMMYFUNCTION("IFS(
  AND(REGEXMATCH(E7539, ""台銀籌備帳戶|玉山帳戶""), REGEXMATCH(C7539, ""薪資"")), ""分潤支出"",
  AND(REGEXMATCH(E7539, ""Ben帳戶|Elsa帳戶|Ben代墊|Ariel代墊|中信銀行共用""), REGEXMATCH(F7539, ""Ben帳戶|Elsa帳戶|Ben代墊|Ariel代墊|中信銀行共用"")), ""內部轉帳(忽略)"",
  AND(E7539&lt;&gt;"""", F7539&lt;&gt;"""", N"&amp;"OT(REGEXMATCH(C7539, ""薪資""))), ""內部轉帳(忽略)"",
  REGEXMATCH(C7539, ""薪資""), ""薪資變動(不計入)"",
  REGEXMATCH(C7539, ""押金""), ""押金往來"",
  AND(E7539&lt;&gt;"""", F7539=""""), ""真實支出"",
  AND(E7539="""", F7539&lt;&gt;""""), ""真實收入"",
  TRUE, ""其他""
)"),"其他")</f>
        <v>其他</v>
      </c>
      <c r="K7539" s="270" t="str">
        <f t="shared" si="2"/>
        <v/>
      </c>
      <c r="L7539">
        <f t="shared" si="3"/>
        <v>0</v>
      </c>
    </row>
    <row r="7540">
      <c r="A7540" s="107"/>
      <c r="D7540" s="270"/>
      <c r="H7540" s="106" t="str">
        <f t="shared" si="1"/>
        <v/>
      </c>
      <c r="J7540" t="str">
        <f>IFERROR(__xludf.DUMMYFUNCTION("IFS(
  AND(REGEXMATCH(E7540, ""台銀籌備帳戶|玉山帳戶""), REGEXMATCH(C7540, ""薪資"")), ""分潤支出"",
  AND(REGEXMATCH(E7540, ""Ben帳戶|Elsa帳戶|Ben代墊|Ariel代墊|中信銀行共用""), REGEXMATCH(F7540, ""Ben帳戶|Elsa帳戶|Ben代墊|Ariel代墊|中信銀行共用"")), ""內部轉帳(忽略)"",
  AND(E7540&lt;&gt;"""", F7540&lt;&gt;"""", N"&amp;"OT(REGEXMATCH(C7540, ""薪資""))), ""內部轉帳(忽略)"",
  REGEXMATCH(C7540, ""薪資""), ""薪資變動(不計入)"",
  REGEXMATCH(C7540, ""押金""), ""押金往來"",
  AND(E7540&lt;&gt;"""", F7540=""""), ""真實支出"",
  AND(E7540="""", F7540&lt;&gt;""""), ""真實收入"",
  TRUE, ""其他""
)"),"其他")</f>
        <v>其他</v>
      </c>
      <c r="K7540" s="270" t="str">
        <f t="shared" si="2"/>
        <v/>
      </c>
      <c r="L7540">
        <f t="shared" si="3"/>
        <v>0</v>
      </c>
    </row>
    <row r="7541">
      <c r="A7541" s="107"/>
      <c r="D7541" s="270"/>
      <c r="H7541" s="106" t="str">
        <f t="shared" si="1"/>
        <v/>
      </c>
      <c r="J7541" t="str">
        <f>IFERROR(__xludf.DUMMYFUNCTION("IFS(
  AND(REGEXMATCH(E7541, ""台銀籌備帳戶|玉山帳戶""), REGEXMATCH(C7541, ""薪資"")), ""分潤支出"",
  AND(REGEXMATCH(E7541, ""Ben帳戶|Elsa帳戶|Ben代墊|Ariel代墊|中信銀行共用""), REGEXMATCH(F7541, ""Ben帳戶|Elsa帳戶|Ben代墊|Ariel代墊|中信銀行共用"")), ""內部轉帳(忽略)"",
  AND(E7541&lt;&gt;"""", F7541&lt;&gt;"""", N"&amp;"OT(REGEXMATCH(C7541, ""薪資""))), ""內部轉帳(忽略)"",
  REGEXMATCH(C7541, ""薪資""), ""薪資變動(不計入)"",
  REGEXMATCH(C7541, ""押金""), ""押金往來"",
  AND(E7541&lt;&gt;"""", F7541=""""), ""真實支出"",
  AND(E7541="""", F7541&lt;&gt;""""), ""真實收入"",
  TRUE, ""其他""
)"),"其他")</f>
        <v>其他</v>
      </c>
      <c r="K7541" s="270" t="str">
        <f t="shared" si="2"/>
        <v/>
      </c>
      <c r="L7541">
        <f t="shared" si="3"/>
        <v>0</v>
      </c>
    </row>
    <row r="7542">
      <c r="A7542" s="107"/>
      <c r="D7542" s="270"/>
      <c r="H7542" s="106" t="str">
        <f t="shared" si="1"/>
        <v/>
      </c>
      <c r="J7542" t="str">
        <f>IFERROR(__xludf.DUMMYFUNCTION("IFS(
  AND(REGEXMATCH(E7542, ""台銀籌備帳戶|玉山帳戶""), REGEXMATCH(C7542, ""薪資"")), ""分潤支出"",
  AND(REGEXMATCH(E7542, ""Ben帳戶|Elsa帳戶|Ben代墊|Ariel代墊|中信銀行共用""), REGEXMATCH(F7542, ""Ben帳戶|Elsa帳戶|Ben代墊|Ariel代墊|中信銀行共用"")), ""內部轉帳(忽略)"",
  AND(E7542&lt;&gt;"""", F7542&lt;&gt;"""", N"&amp;"OT(REGEXMATCH(C7542, ""薪資""))), ""內部轉帳(忽略)"",
  REGEXMATCH(C7542, ""薪資""), ""薪資變動(不計入)"",
  REGEXMATCH(C7542, ""押金""), ""押金往來"",
  AND(E7542&lt;&gt;"""", F7542=""""), ""真實支出"",
  AND(E7542="""", F7542&lt;&gt;""""), ""真實收入"",
  TRUE, ""其他""
)"),"其他")</f>
        <v>其他</v>
      </c>
      <c r="K7542" s="270" t="str">
        <f t="shared" si="2"/>
        <v/>
      </c>
      <c r="L7542">
        <f t="shared" si="3"/>
        <v>0</v>
      </c>
    </row>
    <row r="7543">
      <c r="A7543" s="107"/>
      <c r="D7543" s="270"/>
      <c r="H7543" s="106" t="str">
        <f t="shared" si="1"/>
        <v/>
      </c>
      <c r="J7543" t="str">
        <f>IFERROR(__xludf.DUMMYFUNCTION("IFS(
  AND(REGEXMATCH(E7543, ""台銀籌備帳戶|玉山帳戶""), REGEXMATCH(C7543, ""薪資"")), ""分潤支出"",
  AND(REGEXMATCH(E7543, ""Ben帳戶|Elsa帳戶|Ben代墊|Ariel代墊|中信銀行共用""), REGEXMATCH(F7543, ""Ben帳戶|Elsa帳戶|Ben代墊|Ariel代墊|中信銀行共用"")), ""內部轉帳(忽略)"",
  AND(E7543&lt;&gt;"""", F7543&lt;&gt;"""", N"&amp;"OT(REGEXMATCH(C7543, ""薪資""))), ""內部轉帳(忽略)"",
  REGEXMATCH(C7543, ""薪資""), ""薪資變動(不計入)"",
  REGEXMATCH(C7543, ""押金""), ""押金往來"",
  AND(E7543&lt;&gt;"""", F7543=""""), ""真實支出"",
  AND(E7543="""", F7543&lt;&gt;""""), ""真實收入"",
  TRUE, ""其他""
)"),"其他")</f>
        <v>其他</v>
      </c>
      <c r="K7543" s="270" t="str">
        <f t="shared" si="2"/>
        <v/>
      </c>
      <c r="L7543">
        <f t="shared" si="3"/>
        <v>0</v>
      </c>
    </row>
    <row r="7544">
      <c r="A7544" s="107"/>
      <c r="D7544" s="270"/>
      <c r="H7544" s="106" t="str">
        <f t="shared" si="1"/>
        <v/>
      </c>
      <c r="J7544" t="str">
        <f>IFERROR(__xludf.DUMMYFUNCTION("IFS(
  AND(REGEXMATCH(E7544, ""台銀籌備帳戶|玉山帳戶""), REGEXMATCH(C7544, ""薪資"")), ""分潤支出"",
  AND(REGEXMATCH(E7544, ""Ben帳戶|Elsa帳戶|Ben代墊|Ariel代墊|中信銀行共用""), REGEXMATCH(F7544, ""Ben帳戶|Elsa帳戶|Ben代墊|Ariel代墊|中信銀行共用"")), ""內部轉帳(忽略)"",
  AND(E7544&lt;&gt;"""", F7544&lt;&gt;"""", N"&amp;"OT(REGEXMATCH(C7544, ""薪資""))), ""內部轉帳(忽略)"",
  REGEXMATCH(C7544, ""薪資""), ""薪資變動(不計入)"",
  REGEXMATCH(C7544, ""押金""), ""押金往來"",
  AND(E7544&lt;&gt;"""", F7544=""""), ""真實支出"",
  AND(E7544="""", F7544&lt;&gt;""""), ""真實收入"",
  TRUE, ""其他""
)"),"其他")</f>
        <v>其他</v>
      </c>
      <c r="K7544" s="270" t="str">
        <f t="shared" si="2"/>
        <v/>
      </c>
      <c r="L7544">
        <f t="shared" si="3"/>
        <v>0</v>
      </c>
    </row>
    <row r="7545">
      <c r="A7545" s="107"/>
      <c r="D7545" s="270"/>
      <c r="H7545" s="106" t="str">
        <f t="shared" si="1"/>
        <v/>
      </c>
      <c r="J7545" t="str">
        <f>IFERROR(__xludf.DUMMYFUNCTION("IFS(
  AND(REGEXMATCH(E7545, ""台銀籌備帳戶|玉山帳戶""), REGEXMATCH(C7545, ""薪資"")), ""分潤支出"",
  AND(REGEXMATCH(E7545, ""Ben帳戶|Elsa帳戶|Ben代墊|Ariel代墊|中信銀行共用""), REGEXMATCH(F7545, ""Ben帳戶|Elsa帳戶|Ben代墊|Ariel代墊|中信銀行共用"")), ""內部轉帳(忽略)"",
  AND(E7545&lt;&gt;"""", F7545&lt;&gt;"""", N"&amp;"OT(REGEXMATCH(C7545, ""薪資""))), ""內部轉帳(忽略)"",
  REGEXMATCH(C7545, ""薪資""), ""薪資變動(不計入)"",
  REGEXMATCH(C7545, ""押金""), ""押金往來"",
  AND(E7545&lt;&gt;"""", F7545=""""), ""真實支出"",
  AND(E7545="""", F7545&lt;&gt;""""), ""真實收入"",
  TRUE, ""其他""
)"),"其他")</f>
        <v>其他</v>
      </c>
      <c r="K7545" s="270" t="str">
        <f t="shared" si="2"/>
        <v/>
      </c>
      <c r="L7545">
        <f t="shared" si="3"/>
        <v>0</v>
      </c>
    </row>
    <row r="7546">
      <c r="A7546" s="107"/>
      <c r="D7546" s="270"/>
      <c r="H7546" s="106" t="str">
        <f t="shared" si="1"/>
        <v/>
      </c>
      <c r="J7546" t="str">
        <f>IFERROR(__xludf.DUMMYFUNCTION("IFS(
  AND(REGEXMATCH(E7546, ""台銀籌備帳戶|玉山帳戶""), REGEXMATCH(C7546, ""薪資"")), ""分潤支出"",
  AND(REGEXMATCH(E7546, ""Ben帳戶|Elsa帳戶|Ben代墊|Ariel代墊|中信銀行共用""), REGEXMATCH(F7546, ""Ben帳戶|Elsa帳戶|Ben代墊|Ariel代墊|中信銀行共用"")), ""內部轉帳(忽略)"",
  AND(E7546&lt;&gt;"""", F7546&lt;&gt;"""", N"&amp;"OT(REGEXMATCH(C7546, ""薪資""))), ""內部轉帳(忽略)"",
  REGEXMATCH(C7546, ""薪資""), ""薪資變動(不計入)"",
  REGEXMATCH(C7546, ""押金""), ""押金往來"",
  AND(E7546&lt;&gt;"""", F7546=""""), ""真實支出"",
  AND(E7546="""", F7546&lt;&gt;""""), ""真實收入"",
  TRUE, ""其他""
)"),"其他")</f>
        <v>其他</v>
      </c>
      <c r="K7546" s="270" t="str">
        <f t="shared" si="2"/>
        <v/>
      </c>
      <c r="L7546">
        <f t="shared" si="3"/>
        <v>0</v>
      </c>
    </row>
    <row r="7547">
      <c r="A7547" s="107"/>
      <c r="D7547" s="270"/>
      <c r="H7547" s="106" t="str">
        <f t="shared" si="1"/>
        <v/>
      </c>
      <c r="J7547" t="str">
        <f>IFERROR(__xludf.DUMMYFUNCTION("IFS(
  AND(REGEXMATCH(E7547, ""台銀籌備帳戶|玉山帳戶""), REGEXMATCH(C7547, ""薪資"")), ""分潤支出"",
  AND(REGEXMATCH(E7547, ""Ben帳戶|Elsa帳戶|Ben代墊|Ariel代墊|中信銀行共用""), REGEXMATCH(F7547, ""Ben帳戶|Elsa帳戶|Ben代墊|Ariel代墊|中信銀行共用"")), ""內部轉帳(忽略)"",
  AND(E7547&lt;&gt;"""", F7547&lt;&gt;"""", N"&amp;"OT(REGEXMATCH(C7547, ""薪資""))), ""內部轉帳(忽略)"",
  REGEXMATCH(C7547, ""薪資""), ""薪資變動(不計入)"",
  REGEXMATCH(C7547, ""押金""), ""押金往來"",
  AND(E7547&lt;&gt;"""", F7547=""""), ""真實支出"",
  AND(E7547="""", F7547&lt;&gt;""""), ""真實收入"",
  TRUE, ""其他""
)"),"其他")</f>
        <v>其他</v>
      </c>
      <c r="K7547" s="270" t="str">
        <f t="shared" si="2"/>
        <v/>
      </c>
      <c r="L7547">
        <f t="shared" si="3"/>
        <v>0</v>
      </c>
    </row>
    <row r="7548">
      <c r="A7548" s="107"/>
      <c r="D7548" s="270"/>
      <c r="H7548" s="106" t="str">
        <f t="shared" si="1"/>
        <v/>
      </c>
      <c r="J7548" t="str">
        <f>IFERROR(__xludf.DUMMYFUNCTION("IFS(
  AND(REGEXMATCH(E7548, ""台銀籌備帳戶|玉山帳戶""), REGEXMATCH(C7548, ""薪資"")), ""分潤支出"",
  AND(REGEXMATCH(E7548, ""Ben帳戶|Elsa帳戶|Ben代墊|Ariel代墊|中信銀行共用""), REGEXMATCH(F7548, ""Ben帳戶|Elsa帳戶|Ben代墊|Ariel代墊|中信銀行共用"")), ""內部轉帳(忽略)"",
  AND(E7548&lt;&gt;"""", F7548&lt;&gt;"""", N"&amp;"OT(REGEXMATCH(C7548, ""薪資""))), ""內部轉帳(忽略)"",
  REGEXMATCH(C7548, ""薪資""), ""薪資變動(不計入)"",
  REGEXMATCH(C7548, ""押金""), ""押金往來"",
  AND(E7548&lt;&gt;"""", F7548=""""), ""真實支出"",
  AND(E7548="""", F7548&lt;&gt;""""), ""真實收入"",
  TRUE, ""其他""
)"),"其他")</f>
        <v>其他</v>
      </c>
      <c r="K7548" s="270" t="str">
        <f t="shared" si="2"/>
        <v/>
      </c>
      <c r="L7548">
        <f t="shared" si="3"/>
        <v>0</v>
      </c>
    </row>
    <row r="7549">
      <c r="A7549" s="107"/>
      <c r="D7549" s="270"/>
      <c r="H7549" s="106" t="str">
        <f t="shared" si="1"/>
        <v/>
      </c>
      <c r="J7549" t="str">
        <f>IFERROR(__xludf.DUMMYFUNCTION("IFS(
  AND(REGEXMATCH(E7549, ""台銀籌備帳戶|玉山帳戶""), REGEXMATCH(C7549, ""薪資"")), ""分潤支出"",
  AND(REGEXMATCH(E7549, ""Ben帳戶|Elsa帳戶|Ben代墊|Ariel代墊|中信銀行共用""), REGEXMATCH(F7549, ""Ben帳戶|Elsa帳戶|Ben代墊|Ariel代墊|中信銀行共用"")), ""內部轉帳(忽略)"",
  AND(E7549&lt;&gt;"""", F7549&lt;&gt;"""", N"&amp;"OT(REGEXMATCH(C7549, ""薪資""))), ""內部轉帳(忽略)"",
  REGEXMATCH(C7549, ""薪資""), ""薪資變動(不計入)"",
  REGEXMATCH(C7549, ""押金""), ""押金往來"",
  AND(E7549&lt;&gt;"""", F7549=""""), ""真實支出"",
  AND(E7549="""", F7549&lt;&gt;""""), ""真實收入"",
  TRUE, ""其他""
)"),"其他")</f>
        <v>其他</v>
      </c>
      <c r="K7549" s="270" t="str">
        <f t="shared" si="2"/>
        <v/>
      </c>
      <c r="L7549">
        <f t="shared" si="3"/>
        <v>0</v>
      </c>
    </row>
    <row r="7550">
      <c r="A7550" s="107"/>
      <c r="D7550" s="270"/>
      <c r="H7550" s="106" t="str">
        <f t="shared" si="1"/>
        <v/>
      </c>
      <c r="J7550" t="str">
        <f>IFERROR(__xludf.DUMMYFUNCTION("IFS(
  AND(REGEXMATCH(E7550, ""台銀籌備帳戶|玉山帳戶""), REGEXMATCH(C7550, ""薪資"")), ""分潤支出"",
  AND(REGEXMATCH(E7550, ""Ben帳戶|Elsa帳戶|Ben代墊|Ariel代墊|中信銀行共用""), REGEXMATCH(F7550, ""Ben帳戶|Elsa帳戶|Ben代墊|Ariel代墊|中信銀行共用"")), ""內部轉帳(忽略)"",
  AND(E7550&lt;&gt;"""", F7550&lt;&gt;"""", N"&amp;"OT(REGEXMATCH(C7550, ""薪資""))), ""內部轉帳(忽略)"",
  REGEXMATCH(C7550, ""薪資""), ""薪資變動(不計入)"",
  REGEXMATCH(C7550, ""押金""), ""押金往來"",
  AND(E7550&lt;&gt;"""", F7550=""""), ""真實支出"",
  AND(E7550="""", F7550&lt;&gt;""""), ""真實收入"",
  TRUE, ""其他""
)"),"其他")</f>
        <v>其他</v>
      </c>
      <c r="K7550" s="270" t="str">
        <f t="shared" si="2"/>
        <v/>
      </c>
      <c r="L7550">
        <f t="shared" si="3"/>
        <v>0</v>
      </c>
    </row>
    <row r="7551">
      <c r="A7551" s="107"/>
      <c r="D7551" s="270"/>
      <c r="H7551" s="106" t="str">
        <f t="shared" si="1"/>
        <v/>
      </c>
      <c r="J7551" t="str">
        <f>IFERROR(__xludf.DUMMYFUNCTION("IFS(
  AND(REGEXMATCH(E7551, ""台銀籌備帳戶|玉山帳戶""), REGEXMATCH(C7551, ""薪資"")), ""分潤支出"",
  AND(REGEXMATCH(E7551, ""Ben帳戶|Elsa帳戶|Ben代墊|Ariel代墊|中信銀行共用""), REGEXMATCH(F7551, ""Ben帳戶|Elsa帳戶|Ben代墊|Ariel代墊|中信銀行共用"")), ""內部轉帳(忽略)"",
  AND(E7551&lt;&gt;"""", F7551&lt;&gt;"""", N"&amp;"OT(REGEXMATCH(C7551, ""薪資""))), ""內部轉帳(忽略)"",
  REGEXMATCH(C7551, ""薪資""), ""薪資變動(不計入)"",
  REGEXMATCH(C7551, ""押金""), ""押金往來"",
  AND(E7551&lt;&gt;"""", F7551=""""), ""真實支出"",
  AND(E7551="""", F7551&lt;&gt;""""), ""真實收入"",
  TRUE, ""其他""
)"),"其他")</f>
        <v>其他</v>
      </c>
      <c r="K7551" s="270" t="str">
        <f t="shared" si="2"/>
        <v/>
      </c>
      <c r="L7551">
        <f t="shared" si="3"/>
        <v>0</v>
      </c>
    </row>
    <row r="7552">
      <c r="A7552" s="107"/>
      <c r="D7552" s="270"/>
      <c r="H7552" s="106" t="str">
        <f t="shared" si="1"/>
        <v/>
      </c>
      <c r="J7552" t="str">
        <f>IFERROR(__xludf.DUMMYFUNCTION("IFS(
  AND(REGEXMATCH(E7552, ""台銀籌備帳戶|玉山帳戶""), REGEXMATCH(C7552, ""薪資"")), ""分潤支出"",
  AND(REGEXMATCH(E7552, ""Ben帳戶|Elsa帳戶|Ben代墊|Ariel代墊|中信銀行共用""), REGEXMATCH(F7552, ""Ben帳戶|Elsa帳戶|Ben代墊|Ariel代墊|中信銀行共用"")), ""內部轉帳(忽略)"",
  AND(E7552&lt;&gt;"""", F7552&lt;&gt;"""", N"&amp;"OT(REGEXMATCH(C7552, ""薪資""))), ""內部轉帳(忽略)"",
  REGEXMATCH(C7552, ""薪資""), ""薪資變動(不計入)"",
  REGEXMATCH(C7552, ""押金""), ""押金往來"",
  AND(E7552&lt;&gt;"""", F7552=""""), ""真實支出"",
  AND(E7552="""", F7552&lt;&gt;""""), ""真實收入"",
  TRUE, ""其他""
)"),"其他")</f>
        <v>其他</v>
      </c>
      <c r="K7552" s="270" t="str">
        <f t="shared" si="2"/>
        <v/>
      </c>
      <c r="L7552">
        <f t="shared" si="3"/>
        <v>0</v>
      </c>
    </row>
    <row r="7553">
      <c r="A7553" s="107"/>
      <c r="D7553" s="270"/>
      <c r="H7553" s="106" t="str">
        <f t="shared" si="1"/>
        <v/>
      </c>
      <c r="J7553" t="str">
        <f>IFERROR(__xludf.DUMMYFUNCTION("IFS(
  AND(REGEXMATCH(E7553, ""台銀籌備帳戶|玉山帳戶""), REGEXMATCH(C7553, ""薪資"")), ""分潤支出"",
  AND(REGEXMATCH(E7553, ""Ben帳戶|Elsa帳戶|Ben代墊|Ariel代墊|中信銀行共用""), REGEXMATCH(F7553, ""Ben帳戶|Elsa帳戶|Ben代墊|Ariel代墊|中信銀行共用"")), ""內部轉帳(忽略)"",
  AND(E7553&lt;&gt;"""", F7553&lt;&gt;"""", N"&amp;"OT(REGEXMATCH(C7553, ""薪資""))), ""內部轉帳(忽略)"",
  REGEXMATCH(C7553, ""薪資""), ""薪資變動(不計入)"",
  REGEXMATCH(C7553, ""押金""), ""押金往來"",
  AND(E7553&lt;&gt;"""", F7553=""""), ""真實支出"",
  AND(E7553="""", F7553&lt;&gt;""""), ""真實收入"",
  TRUE, ""其他""
)"),"其他")</f>
        <v>其他</v>
      </c>
      <c r="K7553" s="270" t="str">
        <f t="shared" si="2"/>
        <v/>
      </c>
      <c r="L7553">
        <f t="shared" si="3"/>
        <v>0</v>
      </c>
    </row>
    <row r="7554">
      <c r="A7554" s="107"/>
      <c r="D7554" s="270"/>
      <c r="H7554" s="106" t="str">
        <f t="shared" si="1"/>
        <v/>
      </c>
      <c r="J7554" t="str">
        <f>IFERROR(__xludf.DUMMYFUNCTION("IFS(
  AND(REGEXMATCH(E7554, ""台銀籌備帳戶|玉山帳戶""), REGEXMATCH(C7554, ""薪資"")), ""分潤支出"",
  AND(REGEXMATCH(E7554, ""Ben帳戶|Elsa帳戶|Ben代墊|Ariel代墊|中信銀行共用""), REGEXMATCH(F7554, ""Ben帳戶|Elsa帳戶|Ben代墊|Ariel代墊|中信銀行共用"")), ""內部轉帳(忽略)"",
  AND(E7554&lt;&gt;"""", F7554&lt;&gt;"""", N"&amp;"OT(REGEXMATCH(C7554, ""薪資""))), ""內部轉帳(忽略)"",
  REGEXMATCH(C7554, ""薪資""), ""薪資變動(不計入)"",
  REGEXMATCH(C7554, ""押金""), ""押金往來"",
  AND(E7554&lt;&gt;"""", F7554=""""), ""真實支出"",
  AND(E7554="""", F7554&lt;&gt;""""), ""真實收入"",
  TRUE, ""其他""
)"),"其他")</f>
        <v>其他</v>
      </c>
      <c r="K7554" s="270" t="str">
        <f t="shared" si="2"/>
        <v/>
      </c>
      <c r="L7554">
        <f t="shared" si="3"/>
        <v>0</v>
      </c>
    </row>
    <row r="7555">
      <c r="A7555" s="107"/>
      <c r="D7555" s="270"/>
      <c r="H7555" s="106" t="str">
        <f t="shared" si="1"/>
        <v/>
      </c>
      <c r="J7555" t="str">
        <f>IFERROR(__xludf.DUMMYFUNCTION("IFS(
  AND(REGEXMATCH(E7555, ""台銀籌備帳戶|玉山帳戶""), REGEXMATCH(C7555, ""薪資"")), ""分潤支出"",
  AND(REGEXMATCH(E7555, ""Ben帳戶|Elsa帳戶|Ben代墊|Ariel代墊|中信銀行共用""), REGEXMATCH(F7555, ""Ben帳戶|Elsa帳戶|Ben代墊|Ariel代墊|中信銀行共用"")), ""內部轉帳(忽略)"",
  AND(E7555&lt;&gt;"""", F7555&lt;&gt;"""", N"&amp;"OT(REGEXMATCH(C7555, ""薪資""))), ""內部轉帳(忽略)"",
  REGEXMATCH(C7555, ""薪資""), ""薪資變動(不計入)"",
  REGEXMATCH(C7555, ""押金""), ""押金往來"",
  AND(E7555&lt;&gt;"""", F7555=""""), ""真實支出"",
  AND(E7555="""", F7555&lt;&gt;""""), ""真實收入"",
  TRUE, ""其他""
)"),"其他")</f>
        <v>其他</v>
      </c>
      <c r="K7555" s="270" t="str">
        <f t="shared" si="2"/>
        <v/>
      </c>
      <c r="L7555">
        <f t="shared" si="3"/>
        <v>0</v>
      </c>
    </row>
    <row r="7556">
      <c r="A7556" s="107"/>
      <c r="D7556" s="270"/>
      <c r="H7556" s="106" t="str">
        <f t="shared" si="1"/>
        <v/>
      </c>
      <c r="J7556" t="str">
        <f>IFERROR(__xludf.DUMMYFUNCTION("IFS(
  AND(REGEXMATCH(E7556, ""台銀籌備帳戶|玉山帳戶""), REGEXMATCH(C7556, ""薪資"")), ""分潤支出"",
  AND(REGEXMATCH(E7556, ""Ben帳戶|Elsa帳戶|Ben代墊|Ariel代墊|中信銀行共用""), REGEXMATCH(F7556, ""Ben帳戶|Elsa帳戶|Ben代墊|Ariel代墊|中信銀行共用"")), ""內部轉帳(忽略)"",
  AND(E7556&lt;&gt;"""", F7556&lt;&gt;"""", N"&amp;"OT(REGEXMATCH(C7556, ""薪資""))), ""內部轉帳(忽略)"",
  REGEXMATCH(C7556, ""薪資""), ""薪資變動(不計入)"",
  REGEXMATCH(C7556, ""押金""), ""押金往來"",
  AND(E7556&lt;&gt;"""", F7556=""""), ""真實支出"",
  AND(E7556="""", F7556&lt;&gt;""""), ""真實收入"",
  TRUE, ""其他""
)"),"其他")</f>
        <v>其他</v>
      </c>
      <c r="K7556" s="270" t="str">
        <f t="shared" si="2"/>
        <v/>
      </c>
      <c r="L7556">
        <f t="shared" si="3"/>
        <v>0</v>
      </c>
    </row>
    <row r="7557">
      <c r="A7557" s="107"/>
      <c r="D7557" s="270"/>
      <c r="H7557" s="106" t="str">
        <f t="shared" si="1"/>
        <v/>
      </c>
      <c r="J7557" t="str">
        <f>IFERROR(__xludf.DUMMYFUNCTION("IFS(
  AND(REGEXMATCH(E7557, ""台銀籌備帳戶|玉山帳戶""), REGEXMATCH(C7557, ""薪資"")), ""分潤支出"",
  AND(REGEXMATCH(E7557, ""Ben帳戶|Elsa帳戶|Ben代墊|Ariel代墊|中信銀行共用""), REGEXMATCH(F7557, ""Ben帳戶|Elsa帳戶|Ben代墊|Ariel代墊|中信銀行共用"")), ""內部轉帳(忽略)"",
  AND(E7557&lt;&gt;"""", F7557&lt;&gt;"""", N"&amp;"OT(REGEXMATCH(C7557, ""薪資""))), ""內部轉帳(忽略)"",
  REGEXMATCH(C7557, ""薪資""), ""薪資變動(不計入)"",
  REGEXMATCH(C7557, ""押金""), ""押金往來"",
  AND(E7557&lt;&gt;"""", F7557=""""), ""真實支出"",
  AND(E7557="""", F7557&lt;&gt;""""), ""真實收入"",
  TRUE, ""其他""
)"),"其他")</f>
        <v>其他</v>
      </c>
      <c r="K7557" s="270" t="str">
        <f t="shared" si="2"/>
        <v/>
      </c>
      <c r="L7557">
        <f t="shared" si="3"/>
        <v>0</v>
      </c>
    </row>
    <row r="7558">
      <c r="A7558" s="107"/>
      <c r="D7558" s="270"/>
      <c r="H7558" s="106" t="str">
        <f t="shared" si="1"/>
        <v/>
      </c>
      <c r="J7558" t="str">
        <f>IFERROR(__xludf.DUMMYFUNCTION("IFS(
  AND(REGEXMATCH(E7558, ""台銀籌備帳戶|玉山帳戶""), REGEXMATCH(C7558, ""薪資"")), ""分潤支出"",
  AND(REGEXMATCH(E7558, ""Ben帳戶|Elsa帳戶|Ben代墊|Ariel代墊|中信銀行共用""), REGEXMATCH(F7558, ""Ben帳戶|Elsa帳戶|Ben代墊|Ariel代墊|中信銀行共用"")), ""內部轉帳(忽略)"",
  AND(E7558&lt;&gt;"""", F7558&lt;&gt;"""", N"&amp;"OT(REGEXMATCH(C7558, ""薪資""))), ""內部轉帳(忽略)"",
  REGEXMATCH(C7558, ""薪資""), ""薪資變動(不計入)"",
  REGEXMATCH(C7558, ""押金""), ""押金往來"",
  AND(E7558&lt;&gt;"""", F7558=""""), ""真實支出"",
  AND(E7558="""", F7558&lt;&gt;""""), ""真實收入"",
  TRUE, ""其他""
)"),"其他")</f>
        <v>其他</v>
      </c>
      <c r="K7558" s="270" t="str">
        <f t="shared" si="2"/>
        <v/>
      </c>
      <c r="L7558">
        <f t="shared" si="3"/>
        <v>0</v>
      </c>
    </row>
    <row r="7559">
      <c r="A7559" s="107"/>
      <c r="D7559" s="270"/>
      <c r="H7559" s="106" t="str">
        <f t="shared" si="1"/>
        <v/>
      </c>
      <c r="J7559" t="str">
        <f>IFERROR(__xludf.DUMMYFUNCTION("IFS(
  AND(REGEXMATCH(E7559, ""台銀籌備帳戶|玉山帳戶""), REGEXMATCH(C7559, ""薪資"")), ""分潤支出"",
  AND(REGEXMATCH(E7559, ""Ben帳戶|Elsa帳戶|Ben代墊|Ariel代墊|中信銀行共用""), REGEXMATCH(F7559, ""Ben帳戶|Elsa帳戶|Ben代墊|Ariel代墊|中信銀行共用"")), ""內部轉帳(忽略)"",
  AND(E7559&lt;&gt;"""", F7559&lt;&gt;"""", N"&amp;"OT(REGEXMATCH(C7559, ""薪資""))), ""內部轉帳(忽略)"",
  REGEXMATCH(C7559, ""薪資""), ""薪資變動(不計入)"",
  REGEXMATCH(C7559, ""押金""), ""押金往來"",
  AND(E7559&lt;&gt;"""", F7559=""""), ""真實支出"",
  AND(E7559="""", F7559&lt;&gt;""""), ""真實收入"",
  TRUE, ""其他""
)"),"其他")</f>
        <v>其他</v>
      </c>
      <c r="K7559" s="270" t="str">
        <f t="shared" si="2"/>
        <v/>
      </c>
      <c r="L7559">
        <f t="shared" si="3"/>
        <v>0</v>
      </c>
    </row>
    <row r="7560">
      <c r="A7560" s="107"/>
      <c r="D7560" s="270"/>
      <c r="H7560" s="106" t="str">
        <f t="shared" si="1"/>
        <v/>
      </c>
      <c r="J7560" t="str">
        <f>IFERROR(__xludf.DUMMYFUNCTION("IFS(
  AND(REGEXMATCH(E7560, ""台銀籌備帳戶|玉山帳戶""), REGEXMATCH(C7560, ""薪資"")), ""分潤支出"",
  AND(REGEXMATCH(E7560, ""Ben帳戶|Elsa帳戶|Ben代墊|Ariel代墊|中信銀行共用""), REGEXMATCH(F7560, ""Ben帳戶|Elsa帳戶|Ben代墊|Ariel代墊|中信銀行共用"")), ""內部轉帳(忽略)"",
  AND(E7560&lt;&gt;"""", F7560&lt;&gt;"""", N"&amp;"OT(REGEXMATCH(C7560, ""薪資""))), ""內部轉帳(忽略)"",
  REGEXMATCH(C7560, ""薪資""), ""薪資變動(不計入)"",
  REGEXMATCH(C7560, ""押金""), ""押金往來"",
  AND(E7560&lt;&gt;"""", F7560=""""), ""真實支出"",
  AND(E7560="""", F7560&lt;&gt;""""), ""真實收入"",
  TRUE, ""其他""
)"),"其他")</f>
        <v>其他</v>
      </c>
      <c r="K7560" s="270" t="str">
        <f t="shared" si="2"/>
        <v/>
      </c>
      <c r="L7560">
        <f t="shared" si="3"/>
        <v>0</v>
      </c>
    </row>
    <row r="7561">
      <c r="A7561" s="107"/>
      <c r="D7561" s="270"/>
      <c r="H7561" s="106" t="str">
        <f t="shared" si="1"/>
        <v/>
      </c>
      <c r="J7561" t="str">
        <f>IFERROR(__xludf.DUMMYFUNCTION("IFS(
  AND(REGEXMATCH(E7561, ""台銀籌備帳戶|玉山帳戶""), REGEXMATCH(C7561, ""薪資"")), ""分潤支出"",
  AND(REGEXMATCH(E7561, ""Ben帳戶|Elsa帳戶|Ben代墊|Ariel代墊|中信銀行共用""), REGEXMATCH(F7561, ""Ben帳戶|Elsa帳戶|Ben代墊|Ariel代墊|中信銀行共用"")), ""內部轉帳(忽略)"",
  AND(E7561&lt;&gt;"""", F7561&lt;&gt;"""", N"&amp;"OT(REGEXMATCH(C7561, ""薪資""))), ""內部轉帳(忽略)"",
  REGEXMATCH(C7561, ""薪資""), ""薪資變動(不計入)"",
  REGEXMATCH(C7561, ""押金""), ""押金往來"",
  AND(E7561&lt;&gt;"""", F7561=""""), ""真實支出"",
  AND(E7561="""", F7561&lt;&gt;""""), ""真實收入"",
  TRUE, ""其他""
)"),"其他")</f>
        <v>其他</v>
      </c>
      <c r="K7561" s="270" t="str">
        <f t="shared" si="2"/>
        <v/>
      </c>
      <c r="L7561">
        <f t="shared" si="3"/>
        <v>0</v>
      </c>
    </row>
    <row r="7562">
      <c r="A7562" s="107"/>
      <c r="D7562" s="270"/>
      <c r="H7562" s="106" t="str">
        <f t="shared" si="1"/>
        <v/>
      </c>
      <c r="J7562" t="str">
        <f>IFERROR(__xludf.DUMMYFUNCTION("IFS(
  AND(REGEXMATCH(E7562, ""台銀籌備帳戶|玉山帳戶""), REGEXMATCH(C7562, ""薪資"")), ""分潤支出"",
  AND(REGEXMATCH(E7562, ""Ben帳戶|Elsa帳戶|Ben代墊|Ariel代墊|中信銀行共用""), REGEXMATCH(F7562, ""Ben帳戶|Elsa帳戶|Ben代墊|Ariel代墊|中信銀行共用"")), ""內部轉帳(忽略)"",
  AND(E7562&lt;&gt;"""", F7562&lt;&gt;"""", N"&amp;"OT(REGEXMATCH(C7562, ""薪資""))), ""內部轉帳(忽略)"",
  REGEXMATCH(C7562, ""薪資""), ""薪資變動(不計入)"",
  REGEXMATCH(C7562, ""押金""), ""押金往來"",
  AND(E7562&lt;&gt;"""", F7562=""""), ""真實支出"",
  AND(E7562="""", F7562&lt;&gt;""""), ""真實收入"",
  TRUE, ""其他""
)"),"其他")</f>
        <v>其他</v>
      </c>
      <c r="K7562" s="270" t="str">
        <f t="shared" si="2"/>
        <v/>
      </c>
      <c r="L7562">
        <f t="shared" si="3"/>
        <v>0</v>
      </c>
    </row>
    <row r="7563">
      <c r="A7563" s="107"/>
      <c r="D7563" s="270"/>
      <c r="H7563" s="106" t="str">
        <f t="shared" si="1"/>
        <v/>
      </c>
      <c r="J7563" t="str">
        <f>IFERROR(__xludf.DUMMYFUNCTION("IFS(
  AND(REGEXMATCH(E7563, ""台銀籌備帳戶|玉山帳戶""), REGEXMATCH(C7563, ""薪資"")), ""分潤支出"",
  AND(REGEXMATCH(E7563, ""Ben帳戶|Elsa帳戶|Ben代墊|Ariel代墊|中信銀行共用""), REGEXMATCH(F7563, ""Ben帳戶|Elsa帳戶|Ben代墊|Ariel代墊|中信銀行共用"")), ""內部轉帳(忽略)"",
  AND(E7563&lt;&gt;"""", F7563&lt;&gt;"""", N"&amp;"OT(REGEXMATCH(C7563, ""薪資""))), ""內部轉帳(忽略)"",
  REGEXMATCH(C7563, ""薪資""), ""薪資變動(不計入)"",
  REGEXMATCH(C7563, ""押金""), ""押金往來"",
  AND(E7563&lt;&gt;"""", F7563=""""), ""真實支出"",
  AND(E7563="""", F7563&lt;&gt;""""), ""真實收入"",
  TRUE, ""其他""
)"),"其他")</f>
        <v>其他</v>
      </c>
      <c r="K7563" s="270" t="str">
        <f t="shared" si="2"/>
        <v/>
      </c>
      <c r="L7563">
        <f t="shared" si="3"/>
        <v>0</v>
      </c>
    </row>
    <row r="7564">
      <c r="A7564" s="107"/>
      <c r="D7564" s="270"/>
      <c r="H7564" s="106" t="str">
        <f t="shared" si="1"/>
        <v/>
      </c>
      <c r="J7564" t="str">
        <f>IFERROR(__xludf.DUMMYFUNCTION("IFS(
  AND(REGEXMATCH(E7564, ""台銀籌備帳戶|玉山帳戶""), REGEXMATCH(C7564, ""薪資"")), ""分潤支出"",
  AND(REGEXMATCH(E7564, ""Ben帳戶|Elsa帳戶|Ben代墊|Ariel代墊|中信銀行共用""), REGEXMATCH(F7564, ""Ben帳戶|Elsa帳戶|Ben代墊|Ariel代墊|中信銀行共用"")), ""內部轉帳(忽略)"",
  AND(E7564&lt;&gt;"""", F7564&lt;&gt;"""", N"&amp;"OT(REGEXMATCH(C7564, ""薪資""))), ""內部轉帳(忽略)"",
  REGEXMATCH(C7564, ""薪資""), ""薪資變動(不計入)"",
  REGEXMATCH(C7564, ""押金""), ""押金往來"",
  AND(E7564&lt;&gt;"""", F7564=""""), ""真實支出"",
  AND(E7564="""", F7564&lt;&gt;""""), ""真實收入"",
  TRUE, ""其他""
)"),"其他")</f>
        <v>其他</v>
      </c>
      <c r="K7564" s="270" t="str">
        <f t="shared" si="2"/>
        <v/>
      </c>
      <c r="L7564">
        <f t="shared" si="3"/>
        <v>0</v>
      </c>
    </row>
    <row r="7565">
      <c r="A7565" s="107"/>
      <c r="D7565" s="270"/>
      <c r="H7565" s="106" t="str">
        <f t="shared" si="1"/>
        <v/>
      </c>
      <c r="J7565" t="str">
        <f>IFERROR(__xludf.DUMMYFUNCTION("IFS(
  AND(REGEXMATCH(E7565, ""台銀籌備帳戶|玉山帳戶""), REGEXMATCH(C7565, ""薪資"")), ""分潤支出"",
  AND(REGEXMATCH(E7565, ""Ben帳戶|Elsa帳戶|Ben代墊|Ariel代墊|中信銀行共用""), REGEXMATCH(F7565, ""Ben帳戶|Elsa帳戶|Ben代墊|Ariel代墊|中信銀行共用"")), ""內部轉帳(忽略)"",
  AND(E7565&lt;&gt;"""", F7565&lt;&gt;"""", N"&amp;"OT(REGEXMATCH(C7565, ""薪資""))), ""內部轉帳(忽略)"",
  REGEXMATCH(C7565, ""薪資""), ""薪資變動(不計入)"",
  REGEXMATCH(C7565, ""押金""), ""押金往來"",
  AND(E7565&lt;&gt;"""", F7565=""""), ""真實支出"",
  AND(E7565="""", F7565&lt;&gt;""""), ""真實收入"",
  TRUE, ""其他""
)"),"其他")</f>
        <v>其他</v>
      </c>
      <c r="K7565" s="270" t="str">
        <f t="shared" si="2"/>
        <v/>
      </c>
      <c r="L7565">
        <f t="shared" si="3"/>
        <v>0</v>
      </c>
    </row>
    <row r="7566">
      <c r="A7566" s="107"/>
      <c r="D7566" s="270"/>
      <c r="H7566" s="106" t="str">
        <f t="shared" si="1"/>
        <v/>
      </c>
      <c r="J7566" t="str">
        <f>IFERROR(__xludf.DUMMYFUNCTION("IFS(
  AND(REGEXMATCH(E7566, ""台銀籌備帳戶|玉山帳戶""), REGEXMATCH(C7566, ""薪資"")), ""分潤支出"",
  AND(REGEXMATCH(E7566, ""Ben帳戶|Elsa帳戶|Ben代墊|Ariel代墊|中信銀行共用""), REGEXMATCH(F7566, ""Ben帳戶|Elsa帳戶|Ben代墊|Ariel代墊|中信銀行共用"")), ""內部轉帳(忽略)"",
  AND(E7566&lt;&gt;"""", F7566&lt;&gt;"""", N"&amp;"OT(REGEXMATCH(C7566, ""薪資""))), ""內部轉帳(忽略)"",
  REGEXMATCH(C7566, ""薪資""), ""薪資變動(不計入)"",
  REGEXMATCH(C7566, ""押金""), ""押金往來"",
  AND(E7566&lt;&gt;"""", F7566=""""), ""真實支出"",
  AND(E7566="""", F7566&lt;&gt;""""), ""真實收入"",
  TRUE, ""其他""
)"),"其他")</f>
        <v>其他</v>
      </c>
      <c r="K7566" s="270" t="str">
        <f t="shared" si="2"/>
        <v/>
      </c>
      <c r="L7566">
        <f t="shared" si="3"/>
        <v>0</v>
      </c>
    </row>
    <row r="7567">
      <c r="A7567" s="107"/>
      <c r="D7567" s="270"/>
      <c r="H7567" s="106" t="str">
        <f t="shared" si="1"/>
        <v/>
      </c>
      <c r="J7567" t="str">
        <f>IFERROR(__xludf.DUMMYFUNCTION("IFS(
  AND(REGEXMATCH(E7567, ""台銀籌備帳戶|玉山帳戶""), REGEXMATCH(C7567, ""薪資"")), ""分潤支出"",
  AND(REGEXMATCH(E7567, ""Ben帳戶|Elsa帳戶|Ben代墊|Ariel代墊|中信銀行共用""), REGEXMATCH(F7567, ""Ben帳戶|Elsa帳戶|Ben代墊|Ariel代墊|中信銀行共用"")), ""內部轉帳(忽略)"",
  AND(E7567&lt;&gt;"""", F7567&lt;&gt;"""", N"&amp;"OT(REGEXMATCH(C7567, ""薪資""))), ""內部轉帳(忽略)"",
  REGEXMATCH(C7567, ""薪資""), ""薪資變動(不計入)"",
  REGEXMATCH(C7567, ""押金""), ""押金往來"",
  AND(E7567&lt;&gt;"""", F7567=""""), ""真實支出"",
  AND(E7567="""", F7567&lt;&gt;""""), ""真實收入"",
  TRUE, ""其他""
)"),"其他")</f>
        <v>其他</v>
      </c>
      <c r="K7567" s="270" t="str">
        <f t="shared" si="2"/>
        <v/>
      </c>
      <c r="L7567">
        <f t="shared" si="3"/>
        <v>0</v>
      </c>
    </row>
    <row r="7568">
      <c r="A7568" s="107"/>
      <c r="D7568" s="270"/>
      <c r="H7568" s="106" t="str">
        <f t="shared" si="1"/>
        <v/>
      </c>
      <c r="J7568" t="str">
        <f>IFERROR(__xludf.DUMMYFUNCTION("IFS(
  AND(REGEXMATCH(E7568, ""台銀籌備帳戶|玉山帳戶""), REGEXMATCH(C7568, ""薪資"")), ""分潤支出"",
  AND(REGEXMATCH(E7568, ""Ben帳戶|Elsa帳戶|Ben代墊|Ariel代墊|中信銀行共用""), REGEXMATCH(F7568, ""Ben帳戶|Elsa帳戶|Ben代墊|Ariel代墊|中信銀行共用"")), ""內部轉帳(忽略)"",
  AND(E7568&lt;&gt;"""", F7568&lt;&gt;"""", N"&amp;"OT(REGEXMATCH(C7568, ""薪資""))), ""內部轉帳(忽略)"",
  REGEXMATCH(C7568, ""薪資""), ""薪資變動(不計入)"",
  REGEXMATCH(C7568, ""押金""), ""押金往來"",
  AND(E7568&lt;&gt;"""", F7568=""""), ""真實支出"",
  AND(E7568="""", F7568&lt;&gt;""""), ""真實收入"",
  TRUE, ""其他""
)"),"其他")</f>
        <v>其他</v>
      </c>
      <c r="K7568" s="270" t="str">
        <f t="shared" si="2"/>
        <v/>
      </c>
      <c r="L7568">
        <f t="shared" si="3"/>
        <v>0</v>
      </c>
    </row>
    <row r="7569">
      <c r="A7569" s="107"/>
      <c r="D7569" s="270"/>
      <c r="H7569" s="106" t="str">
        <f t="shared" si="1"/>
        <v/>
      </c>
      <c r="J7569" t="str">
        <f>IFERROR(__xludf.DUMMYFUNCTION("IFS(
  AND(REGEXMATCH(E7569, ""台銀籌備帳戶|玉山帳戶""), REGEXMATCH(C7569, ""薪資"")), ""分潤支出"",
  AND(REGEXMATCH(E7569, ""Ben帳戶|Elsa帳戶|Ben代墊|Ariel代墊|中信銀行共用""), REGEXMATCH(F7569, ""Ben帳戶|Elsa帳戶|Ben代墊|Ariel代墊|中信銀行共用"")), ""內部轉帳(忽略)"",
  AND(E7569&lt;&gt;"""", F7569&lt;&gt;"""", N"&amp;"OT(REGEXMATCH(C7569, ""薪資""))), ""內部轉帳(忽略)"",
  REGEXMATCH(C7569, ""薪資""), ""薪資變動(不計入)"",
  REGEXMATCH(C7569, ""押金""), ""押金往來"",
  AND(E7569&lt;&gt;"""", F7569=""""), ""真實支出"",
  AND(E7569="""", F7569&lt;&gt;""""), ""真實收入"",
  TRUE, ""其他""
)"),"其他")</f>
        <v>其他</v>
      </c>
      <c r="K7569" s="270" t="str">
        <f t="shared" si="2"/>
        <v/>
      </c>
      <c r="L7569">
        <f t="shared" si="3"/>
        <v>0</v>
      </c>
    </row>
    <row r="7570">
      <c r="A7570" s="107"/>
      <c r="D7570" s="270"/>
      <c r="H7570" s="106" t="str">
        <f t="shared" si="1"/>
        <v/>
      </c>
      <c r="J7570" t="str">
        <f>IFERROR(__xludf.DUMMYFUNCTION("IFS(
  AND(REGEXMATCH(E7570, ""台銀籌備帳戶|玉山帳戶""), REGEXMATCH(C7570, ""薪資"")), ""分潤支出"",
  AND(REGEXMATCH(E7570, ""Ben帳戶|Elsa帳戶|Ben代墊|Ariel代墊|中信銀行共用""), REGEXMATCH(F7570, ""Ben帳戶|Elsa帳戶|Ben代墊|Ariel代墊|中信銀行共用"")), ""內部轉帳(忽略)"",
  AND(E7570&lt;&gt;"""", F7570&lt;&gt;"""", N"&amp;"OT(REGEXMATCH(C7570, ""薪資""))), ""內部轉帳(忽略)"",
  REGEXMATCH(C7570, ""薪資""), ""薪資變動(不計入)"",
  REGEXMATCH(C7570, ""押金""), ""押金往來"",
  AND(E7570&lt;&gt;"""", F7570=""""), ""真實支出"",
  AND(E7570="""", F7570&lt;&gt;""""), ""真實收入"",
  TRUE, ""其他""
)"),"其他")</f>
        <v>其他</v>
      </c>
      <c r="K7570" s="270" t="str">
        <f t="shared" si="2"/>
        <v/>
      </c>
      <c r="L7570">
        <f t="shared" si="3"/>
        <v>0</v>
      </c>
    </row>
    <row r="7571">
      <c r="A7571" s="107"/>
      <c r="D7571" s="270"/>
      <c r="H7571" s="106" t="str">
        <f t="shared" si="1"/>
        <v/>
      </c>
      <c r="J7571" t="str">
        <f>IFERROR(__xludf.DUMMYFUNCTION("IFS(
  AND(REGEXMATCH(E7571, ""台銀籌備帳戶|玉山帳戶""), REGEXMATCH(C7571, ""薪資"")), ""分潤支出"",
  AND(REGEXMATCH(E7571, ""Ben帳戶|Elsa帳戶|Ben代墊|Ariel代墊|中信銀行共用""), REGEXMATCH(F7571, ""Ben帳戶|Elsa帳戶|Ben代墊|Ariel代墊|中信銀行共用"")), ""內部轉帳(忽略)"",
  AND(E7571&lt;&gt;"""", F7571&lt;&gt;"""", N"&amp;"OT(REGEXMATCH(C7571, ""薪資""))), ""內部轉帳(忽略)"",
  REGEXMATCH(C7571, ""薪資""), ""薪資變動(不計入)"",
  REGEXMATCH(C7571, ""押金""), ""押金往來"",
  AND(E7571&lt;&gt;"""", F7571=""""), ""真實支出"",
  AND(E7571="""", F7571&lt;&gt;""""), ""真實收入"",
  TRUE, ""其他""
)"),"其他")</f>
        <v>其他</v>
      </c>
      <c r="K7571" s="270" t="str">
        <f t="shared" si="2"/>
        <v/>
      </c>
      <c r="L7571">
        <f t="shared" si="3"/>
        <v>0</v>
      </c>
    </row>
    <row r="7572">
      <c r="A7572" s="107"/>
      <c r="D7572" s="270"/>
      <c r="H7572" s="106" t="str">
        <f t="shared" si="1"/>
        <v/>
      </c>
      <c r="J7572" t="str">
        <f>IFERROR(__xludf.DUMMYFUNCTION("IFS(
  AND(REGEXMATCH(E7572, ""台銀籌備帳戶|玉山帳戶""), REGEXMATCH(C7572, ""薪資"")), ""分潤支出"",
  AND(REGEXMATCH(E7572, ""Ben帳戶|Elsa帳戶|Ben代墊|Ariel代墊|中信銀行共用""), REGEXMATCH(F7572, ""Ben帳戶|Elsa帳戶|Ben代墊|Ariel代墊|中信銀行共用"")), ""內部轉帳(忽略)"",
  AND(E7572&lt;&gt;"""", F7572&lt;&gt;"""", N"&amp;"OT(REGEXMATCH(C7572, ""薪資""))), ""內部轉帳(忽略)"",
  REGEXMATCH(C7572, ""薪資""), ""薪資變動(不計入)"",
  REGEXMATCH(C7572, ""押金""), ""押金往來"",
  AND(E7572&lt;&gt;"""", F7572=""""), ""真實支出"",
  AND(E7572="""", F7572&lt;&gt;""""), ""真實收入"",
  TRUE, ""其他""
)"),"其他")</f>
        <v>其他</v>
      </c>
      <c r="K7572" s="270" t="str">
        <f t="shared" si="2"/>
        <v/>
      </c>
      <c r="L7572">
        <f t="shared" si="3"/>
        <v>0</v>
      </c>
    </row>
    <row r="7573">
      <c r="A7573" s="107"/>
      <c r="D7573" s="270"/>
      <c r="H7573" s="106" t="str">
        <f t="shared" si="1"/>
        <v/>
      </c>
      <c r="J7573" t="str">
        <f>IFERROR(__xludf.DUMMYFUNCTION("IFS(
  AND(REGEXMATCH(E7573, ""台銀籌備帳戶|玉山帳戶""), REGEXMATCH(C7573, ""薪資"")), ""分潤支出"",
  AND(REGEXMATCH(E7573, ""Ben帳戶|Elsa帳戶|Ben代墊|Ariel代墊|中信銀行共用""), REGEXMATCH(F7573, ""Ben帳戶|Elsa帳戶|Ben代墊|Ariel代墊|中信銀行共用"")), ""內部轉帳(忽略)"",
  AND(E7573&lt;&gt;"""", F7573&lt;&gt;"""", N"&amp;"OT(REGEXMATCH(C7573, ""薪資""))), ""內部轉帳(忽略)"",
  REGEXMATCH(C7573, ""薪資""), ""薪資變動(不計入)"",
  REGEXMATCH(C7573, ""押金""), ""押金往來"",
  AND(E7573&lt;&gt;"""", F7573=""""), ""真實支出"",
  AND(E7573="""", F7573&lt;&gt;""""), ""真實收入"",
  TRUE, ""其他""
)"),"其他")</f>
        <v>其他</v>
      </c>
      <c r="K7573" s="270" t="str">
        <f t="shared" si="2"/>
        <v/>
      </c>
      <c r="L7573">
        <f t="shared" si="3"/>
        <v>0</v>
      </c>
    </row>
    <row r="7574">
      <c r="A7574" s="107"/>
      <c r="D7574" s="270"/>
      <c r="H7574" s="106" t="str">
        <f t="shared" si="1"/>
        <v/>
      </c>
      <c r="J7574" t="str">
        <f>IFERROR(__xludf.DUMMYFUNCTION("IFS(
  AND(REGEXMATCH(E7574, ""台銀籌備帳戶|玉山帳戶""), REGEXMATCH(C7574, ""薪資"")), ""分潤支出"",
  AND(REGEXMATCH(E7574, ""Ben帳戶|Elsa帳戶|Ben代墊|Ariel代墊|中信銀行共用""), REGEXMATCH(F7574, ""Ben帳戶|Elsa帳戶|Ben代墊|Ariel代墊|中信銀行共用"")), ""內部轉帳(忽略)"",
  AND(E7574&lt;&gt;"""", F7574&lt;&gt;"""", N"&amp;"OT(REGEXMATCH(C7574, ""薪資""))), ""內部轉帳(忽略)"",
  REGEXMATCH(C7574, ""薪資""), ""薪資變動(不計入)"",
  REGEXMATCH(C7574, ""押金""), ""押金往來"",
  AND(E7574&lt;&gt;"""", F7574=""""), ""真實支出"",
  AND(E7574="""", F7574&lt;&gt;""""), ""真實收入"",
  TRUE, ""其他""
)"),"其他")</f>
        <v>其他</v>
      </c>
      <c r="K7574" s="270" t="str">
        <f t="shared" si="2"/>
        <v/>
      </c>
      <c r="L7574">
        <f t="shared" si="3"/>
        <v>0</v>
      </c>
    </row>
    <row r="7575">
      <c r="A7575" s="107"/>
      <c r="D7575" s="270"/>
      <c r="H7575" s="106" t="str">
        <f t="shared" si="1"/>
        <v/>
      </c>
      <c r="J7575" t="str">
        <f>IFERROR(__xludf.DUMMYFUNCTION("IFS(
  AND(REGEXMATCH(E7575, ""台銀籌備帳戶|玉山帳戶""), REGEXMATCH(C7575, ""薪資"")), ""分潤支出"",
  AND(REGEXMATCH(E7575, ""Ben帳戶|Elsa帳戶|Ben代墊|Ariel代墊|中信銀行共用""), REGEXMATCH(F7575, ""Ben帳戶|Elsa帳戶|Ben代墊|Ariel代墊|中信銀行共用"")), ""內部轉帳(忽略)"",
  AND(E7575&lt;&gt;"""", F7575&lt;&gt;"""", N"&amp;"OT(REGEXMATCH(C7575, ""薪資""))), ""內部轉帳(忽略)"",
  REGEXMATCH(C7575, ""薪資""), ""薪資變動(不計入)"",
  REGEXMATCH(C7575, ""押金""), ""押金往來"",
  AND(E7575&lt;&gt;"""", F7575=""""), ""真實支出"",
  AND(E7575="""", F7575&lt;&gt;""""), ""真實收入"",
  TRUE, ""其他""
)"),"其他")</f>
        <v>其他</v>
      </c>
      <c r="K7575" s="270" t="str">
        <f t="shared" si="2"/>
        <v/>
      </c>
      <c r="L7575">
        <f t="shared" si="3"/>
        <v>0</v>
      </c>
    </row>
    <row r="7576">
      <c r="A7576" s="107"/>
      <c r="D7576" s="270"/>
      <c r="H7576" s="106" t="str">
        <f t="shared" si="1"/>
        <v/>
      </c>
      <c r="J7576" t="str">
        <f>IFERROR(__xludf.DUMMYFUNCTION("IFS(
  AND(REGEXMATCH(E7576, ""台銀籌備帳戶|玉山帳戶""), REGEXMATCH(C7576, ""薪資"")), ""分潤支出"",
  AND(REGEXMATCH(E7576, ""Ben帳戶|Elsa帳戶|Ben代墊|Ariel代墊|中信銀行共用""), REGEXMATCH(F7576, ""Ben帳戶|Elsa帳戶|Ben代墊|Ariel代墊|中信銀行共用"")), ""內部轉帳(忽略)"",
  AND(E7576&lt;&gt;"""", F7576&lt;&gt;"""", N"&amp;"OT(REGEXMATCH(C7576, ""薪資""))), ""內部轉帳(忽略)"",
  REGEXMATCH(C7576, ""薪資""), ""薪資變動(不計入)"",
  REGEXMATCH(C7576, ""押金""), ""押金往來"",
  AND(E7576&lt;&gt;"""", F7576=""""), ""真實支出"",
  AND(E7576="""", F7576&lt;&gt;""""), ""真實收入"",
  TRUE, ""其他""
)"),"其他")</f>
        <v>其他</v>
      </c>
      <c r="K7576" s="270" t="str">
        <f t="shared" si="2"/>
        <v/>
      </c>
      <c r="L7576">
        <f t="shared" si="3"/>
        <v>0</v>
      </c>
    </row>
    <row r="7577">
      <c r="A7577" s="107"/>
      <c r="D7577" s="270"/>
      <c r="H7577" s="106" t="str">
        <f t="shared" si="1"/>
        <v/>
      </c>
      <c r="J7577" t="str">
        <f>IFERROR(__xludf.DUMMYFUNCTION("IFS(
  AND(REGEXMATCH(E7577, ""台銀籌備帳戶|玉山帳戶""), REGEXMATCH(C7577, ""薪資"")), ""分潤支出"",
  AND(REGEXMATCH(E7577, ""Ben帳戶|Elsa帳戶|Ben代墊|Ariel代墊|中信銀行共用""), REGEXMATCH(F7577, ""Ben帳戶|Elsa帳戶|Ben代墊|Ariel代墊|中信銀行共用"")), ""內部轉帳(忽略)"",
  AND(E7577&lt;&gt;"""", F7577&lt;&gt;"""", N"&amp;"OT(REGEXMATCH(C7577, ""薪資""))), ""內部轉帳(忽略)"",
  REGEXMATCH(C7577, ""薪資""), ""薪資變動(不計入)"",
  REGEXMATCH(C7577, ""押金""), ""押金往來"",
  AND(E7577&lt;&gt;"""", F7577=""""), ""真實支出"",
  AND(E7577="""", F7577&lt;&gt;""""), ""真實收入"",
  TRUE, ""其他""
)"),"其他")</f>
        <v>其他</v>
      </c>
      <c r="K7577" s="270" t="str">
        <f t="shared" si="2"/>
        <v/>
      </c>
      <c r="L7577">
        <f t="shared" si="3"/>
        <v>0</v>
      </c>
    </row>
    <row r="7578">
      <c r="A7578" s="107"/>
      <c r="D7578" s="270"/>
      <c r="H7578" s="106" t="str">
        <f t="shared" si="1"/>
        <v/>
      </c>
      <c r="J7578" t="str">
        <f>IFERROR(__xludf.DUMMYFUNCTION("IFS(
  AND(REGEXMATCH(E7578, ""台銀籌備帳戶|玉山帳戶""), REGEXMATCH(C7578, ""薪資"")), ""分潤支出"",
  AND(REGEXMATCH(E7578, ""Ben帳戶|Elsa帳戶|Ben代墊|Ariel代墊|中信銀行共用""), REGEXMATCH(F7578, ""Ben帳戶|Elsa帳戶|Ben代墊|Ariel代墊|中信銀行共用"")), ""內部轉帳(忽略)"",
  AND(E7578&lt;&gt;"""", F7578&lt;&gt;"""", N"&amp;"OT(REGEXMATCH(C7578, ""薪資""))), ""內部轉帳(忽略)"",
  REGEXMATCH(C7578, ""薪資""), ""薪資變動(不計入)"",
  REGEXMATCH(C7578, ""押金""), ""押金往來"",
  AND(E7578&lt;&gt;"""", F7578=""""), ""真實支出"",
  AND(E7578="""", F7578&lt;&gt;""""), ""真實收入"",
  TRUE, ""其他""
)"),"其他")</f>
        <v>其他</v>
      </c>
      <c r="K7578" s="270" t="str">
        <f t="shared" si="2"/>
        <v/>
      </c>
      <c r="L7578">
        <f t="shared" si="3"/>
        <v>0</v>
      </c>
    </row>
    <row r="7579">
      <c r="A7579" s="107"/>
      <c r="D7579" s="270"/>
      <c r="H7579" s="106" t="str">
        <f t="shared" si="1"/>
        <v/>
      </c>
      <c r="J7579" t="str">
        <f>IFERROR(__xludf.DUMMYFUNCTION("IFS(
  AND(REGEXMATCH(E7579, ""台銀籌備帳戶|玉山帳戶""), REGEXMATCH(C7579, ""薪資"")), ""分潤支出"",
  AND(REGEXMATCH(E7579, ""Ben帳戶|Elsa帳戶|Ben代墊|Ariel代墊|中信銀行共用""), REGEXMATCH(F7579, ""Ben帳戶|Elsa帳戶|Ben代墊|Ariel代墊|中信銀行共用"")), ""內部轉帳(忽略)"",
  AND(E7579&lt;&gt;"""", F7579&lt;&gt;"""", N"&amp;"OT(REGEXMATCH(C7579, ""薪資""))), ""內部轉帳(忽略)"",
  REGEXMATCH(C7579, ""薪資""), ""薪資變動(不計入)"",
  REGEXMATCH(C7579, ""押金""), ""押金往來"",
  AND(E7579&lt;&gt;"""", F7579=""""), ""真實支出"",
  AND(E7579="""", F7579&lt;&gt;""""), ""真實收入"",
  TRUE, ""其他""
)"),"其他")</f>
        <v>其他</v>
      </c>
      <c r="K7579" s="270" t="str">
        <f t="shared" si="2"/>
        <v/>
      </c>
      <c r="L7579">
        <f t="shared" si="3"/>
        <v>0</v>
      </c>
    </row>
    <row r="7580">
      <c r="A7580" s="107"/>
      <c r="D7580" s="270"/>
      <c r="H7580" s="106" t="str">
        <f t="shared" si="1"/>
        <v/>
      </c>
      <c r="J7580" t="str">
        <f>IFERROR(__xludf.DUMMYFUNCTION("IFS(
  AND(REGEXMATCH(E7580, ""台銀籌備帳戶|玉山帳戶""), REGEXMATCH(C7580, ""薪資"")), ""分潤支出"",
  AND(REGEXMATCH(E7580, ""Ben帳戶|Elsa帳戶|Ben代墊|Ariel代墊|中信銀行共用""), REGEXMATCH(F7580, ""Ben帳戶|Elsa帳戶|Ben代墊|Ariel代墊|中信銀行共用"")), ""內部轉帳(忽略)"",
  AND(E7580&lt;&gt;"""", F7580&lt;&gt;"""", N"&amp;"OT(REGEXMATCH(C7580, ""薪資""))), ""內部轉帳(忽略)"",
  REGEXMATCH(C7580, ""薪資""), ""薪資變動(不計入)"",
  REGEXMATCH(C7580, ""押金""), ""押金往來"",
  AND(E7580&lt;&gt;"""", F7580=""""), ""真實支出"",
  AND(E7580="""", F7580&lt;&gt;""""), ""真實收入"",
  TRUE, ""其他""
)"),"其他")</f>
        <v>其他</v>
      </c>
      <c r="K7580" s="270" t="str">
        <f t="shared" si="2"/>
        <v/>
      </c>
      <c r="L7580">
        <f t="shared" si="3"/>
        <v>0</v>
      </c>
    </row>
    <row r="7581">
      <c r="A7581" s="107"/>
      <c r="D7581" s="270"/>
      <c r="H7581" s="106" t="str">
        <f t="shared" si="1"/>
        <v/>
      </c>
      <c r="J7581" t="str">
        <f>IFERROR(__xludf.DUMMYFUNCTION("IFS(
  AND(REGEXMATCH(E7581, ""台銀籌備帳戶|玉山帳戶""), REGEXMATCH(C7581, ""薪資"")), ""分潤支出"",
  AND(REGEXMATCH(E7581, ""Ben帳戶|Elsa帳戶|Ben代墊|Ariel代墊|中信銀行共用""), REGEXMATCH(F7581, ""Ben帳戶|Elsa帳戶|Ben代墊|Ariel代墊|中信銀行共用"")), ""內部轉帳(忽略)"",
  AND(E7581&lt;&gt;"""", F7581&lt;&gt;"""", N"&amp;"OT(REGEXMATCH(C7581, ""薪資""))), ""內部轉帳(忽略)"",
  REGEXMATCH(C7581, ""薪資""), ""薪資變動(不計入)"",
  REGEXMATCH(C7581, ""押金""), ""押金往來"",
  AND(E7581&lt;&gt;"""", F7581=""""), ""真實支出"",
  AND(E7581="""", F7581&lt;&gt;""""), ""真實收入"",
  TRUE, ""其他""
)"),"其他")</f>
        <v>其他</v>
      </c>
      <c r="K7581" s="270" t="str">
        <f t="shared" si="2"/>
        <v/>
      </c>
      <c r="L7581">
        <f t="shared" si="3"/>
        <v>0</v>
      </c>
    </row>
    <row r="7582">
      <c r="A7582" s="107"/>
      <c r="D7582" s="270"/>
      <c r="H7582" s="106" t="str">
        <f t="shared" si="1"/>
        <v/>
      </c>
      <c r="J7582" t="str">
        <f>IFERROR(__xludf.DUMMYFUNCTION("IFS(
  AND(REGEXMATCH(E7582, ""台銀籌備帳戶|玉山帳戶""), REGEXMATCH(C7582, ""薪資"")), ""分潤支出"",
  AND(REGEXMATCH(E7582, ""Ben帳戶|Elsa帳戶|Ben代墊|Ariel代墊|中信銀行共用""), REGEXMATCH(F7582, ""Ben帳戶|Elsa帳戶|Ben代墊|Ariel代墊|中信銀行共用"")), ""內部轉帳(忽略)"",
  AND(E7582&lt;&gt;"""", F7582&lt;&gt;"""", N"&amp;"OT(REGEXMATCH(C7582, ""薪資""))), ""內部轉帳(忽略)"",
  REGEXMATCH(C7582, ""薪資""), ""薪資變動(不計入)"",
  REGEXMATCH(C7582, ""押金""), ""押金往來"",
  AND(E7582&lt;&gt;"""", F7582=""""), ""真實支出"",
  AND(E7582="""", F7582&lt;&gt;""""), ""真實收入"",
  TRUE, ""其他""
)"),"其他")</f>
        <v>其他</v>
      </c>
      <c r="K7582" s="270" t="str">
        <f t="shared" si="2"/>
        <v/>
      </c>
      <c r="L7582">
        <f t="shared" si="3"/>
        <v>0</v>
      </c>
    </row>
    <row r="7583">
      <c r="A7583" s="107"/>
      <c r="D7583" s="270"/>
      <c r="H7583" s="106" t="str">
        <f t="shared" si="1"/>
        <v/>
      </c>
      <c r="J7583" t="str">
        <f>IFERROR(__xludf.DUMMYFUNCTION("IFS(
  AND(REGEXMATCH(E7583, ""台銀籌備帳戶|玉山帳戶""), REGEXMATCH(C7583, ""薪資"")), ""分潤支出"",
  AND(REGEXMATCH(E7583, ""Ben帳戶|Elsa帳戶|Ben代墊|Ariel代墊|中信銀行共用""), REGEXMATCH(F7583, ""Ben帳戶|Elsa帳戶|Ben代墊|Ariel代墊|中信銀行共用"")), ""內部轉帳(忽略)"",
  AND(E7583&lt;&gt;"""", F7583&lt;&gt;"""", N"&amp;"OT(REGEXMATCH(C7583, ""薪資""))), ""內部轉帳(忽略)"",
  REGEXMATCH(C7583, ""薪資""), ""薪資變動(不計入)"",
  REGEXMATCH(C7583, ""押金""), ""押金往來"",
  AND(E7583&lt;&gt;"""", F7583=""""), ""真實支出"",
  AND(E7583="""", F7583&lt;&gt;""""), ""真實收入"",
  TRUE, ""其他""
)"),"其他")</f>
        <v>其他</v>
      </c>
      <c r="K7583" s="270" t="str">
        <f t="shared" si="2"/>
        <v/>
      </c>
      <c r="L7583">
        <f t="shared" si="3"/>
        <v>0</v>
      </c>
    </row>
    <row r="7584">
      <c r="A7584" s="107"/>
      <c r="D7584" s="270"/>
      <c r="H7584" s="106" t="str">
        <f t="shared" si="1"/>
        <v/>
      </c>
      <c r="J7584" t="str">
        <f>IFERROR(__xludf.DUMMYFUNCTION("IFS(
  AND(REGEXMATCH(E7584, ""台銀籌備帳戶|玉山帳戶""), REGEXMATCH(C7584, ""薪資"")), ""分潤支出"",
  AND(REGEXMATCH(E7584, ""Ben帳戶|Elsa帳戶|Ben代墊|Ariel代墊|中信銀行共用""), REGEXMATCH(F7584, ""Ben帳戶|Elsa帳戶|Ben代墊|Ariel代墊|中信銀行共用"")), ""內部轉帳(忽略)"",
  AND(E7584&lt;&gt;"""", F7584&lt;&gt;"""", N"&amp;"OT(REGEXMATCH(C7584, ""薪資""))), ""內部轉帳(忽略)"",
  REGEXMATCH(C7584, ""薪資""), ""薪資變動(不計入)"",
  REGEXMATCH(C7584, ""押金""), ""押金往來"",
  AND(E7584&lt;&gt;"""", F7584=""""), ""真實支出"",
  AND(E7584="""", F7584&lt;&gt;""""), ""真實收入"",
  TRUE, ""其他""
)"),"其他")</f>
        <v>其他</v>
      </c>
      <c r="K7584" s="270" t="str">
        <f t="shared" si="2"/>
        <v/>
      </c>
      <c r="L7584">
        <f t="shared" si="3"/>
        <v>0</v>
      </c>
    </row>
    <row r="7585">
      <c r="A7585" s="107"/>
      <c r="D7585" s="270"/>
      <c r="H7585" s="106" t="str">
        <f t="shared" si="1"/>
        <v/>
      </c>
      <c r="J7585" t="str">
        <f>IFERROR(__xludf.DUMMYFUNCTION("IFS(
  AND(REGEXMATCH(E7585, ""台銀籌備帳戶|玉山帳戶""), REGEXMATCH(C7585, ""薪資"")), ""分潤支出"",
  AND(REGEXMATCH(E7585, ""Ben帳戶|Elsa帳戶|Ben代墊|Ariel代墊|中信銀行共用""), REGEXMATCH(F7585, ""Ben帳戶|Elsa帳戶|Ben代墊|Ariel代墊|中信銀行共用"")), ""內部轉帳(忽略)"",
  AND(E7585&lt;&gt;"""", F7585&lt;&gt;"""", N"&amp;"OT(REGEXMATCH(C7585, ""薪資""))), ""內部轉帳(忽略)"",
  REGEXMATCH(C7585, ""薪資""), ""薪資變動(不計入)"",
  REGEXMATCH(C7585, ""押金""), ""押金往來"",
  AND(E7585&lt;&gt;"""", F7585=""""), ""真實支出"",
  AND(E7585="""", F7585&lt;&gt;""""), ""真實收入"",
  TRUE, ""其他""
)"),"其他")</f>
        <v>其他</v>
      </c>
      <c r="K7585" s="270" t="str">
        <f t="shared" si="2"/>
        <v/>
      </c>
      <c r="L7585">
        <f t="shared" si="3"/>
        <v>0</v>
      </c>
    </row>
    <row r="7586">
      <c r="A7586" s="107"/>
      <c r="D7586" s="270"/>
      <c r="H7586" s="106" t="str">
        <f t="shared" si="1"/>
        <v/>
      </c>
      <c r="J7586" t="str">
        <f>IFERROR(__xludf.DUMMYFUNCTION("IFS(
  AND(REGEXMATCH(E7586, ""台銀籌備帳戶|玉山帳戶""), REGEXMATCH(C7586, ""薪資"")), ""分潤支出"",
  AND(REGEXMATCH(E7586, ""Ben帳戶|Elsa帳戶|Ben代墊|Ariel代墊|中信銀行共用""), REGEXMATCH(F7586, ""Ben帳戶|Elsa帳戶|Ben代墊|Ariel代墊|中信銀行共用"")), ""內部轉帳(忽略)"",
  AND(E7586&lt;&gt;"""", F7586&lt;&gt;"""", N"&amp;"OT(REGEXMATCH(C7586, ""薪資""))), ""內部轉帳(忽略)"",
  REGEXMATCH(C7586, ""薪資""), ""薪資變動(不計入)"",
  REGEXMATCH(C7586, ""押金""), ""押金往來"",
  AND(E7586&lt;&gt;"""", F7586=""""), ""真實支出"",
  AND(E7586="""", F7586&lt;&gt;""""), ""真實收入"",
  TRUE, ""其他""
)"),"其他")</f>
        <v>其他</v>
      </c>
      <c r="K7586" s="270" t="str">
        <f t="shared" si="2"/>
        <v/>
      </c>
      <c r="L7586">
        <f t="shared" si="3"/>
        <v>0</v>
      </c>
    </row>
    <row r="7587">
      <c r="A7587" s="107"/>
      <c r="D7587" s="270"/>
      <c r="H7587" s="106" t="str">
        <f t="shared" si="1"/>
        <v/>
      </c>
      <c r="J7587" t="str">
        <f>IFERROR(__xludf.DUMMYFUNCTION("IFS(
  AND(REGEXMATCH(E7587, ""台銀籌備帳戶|玉山帳戶""), REGEXMATCH(C7587, ""薪資"")), ""分潤支出"",
  AND(REGEXMATCH(E7587, ""Ben帳戶|Elsa帳戶|Ben代墊|Ariel代墊|中信銀行共用""), REGEXMATCH(F7587, ""Ben帳戶|Elsa帳戶|Ben代墊|Ariel代墊|中信銀行共用"")), ""內部轉帳(忽略)"",
  AND(E7587&lt;&gt;"""", F7587&lt;&gt;"""", N"&amp;"OT(REGEXMATCH(C7587, ""薪資""))), ""內部轉帳(忽略)"",
  REGEXMATCH(C7587, ""薪資""), ""薪資變動(不計入)"",
  REGEXMATCH(C7587, ""押金""), ""押金往來"",
  AND(E7587&lt;&gt;"""", F7587=""""), ""真實支出"",
  AND(E7587="""", F7587&lt;&gt;""""), ""真實收入"",
  TRUE, ""其他""
)"),"其他")</f>
        <v>其他</v>
      </c>
      <c r="K7587" s="270" t="str">
        <f t="shared" si="2"/>
        <v/>
      </c>
      <c r="L7587">
        <f t="shared" si="3"/>
        <v>0</v>
      </c>
    </row>
    <row r="7588">
      <c r="A7588" s="107"/>
      <c r="D7588" s="270"/>
      <c r="H7588" s="106" t="str">
        <f t="shared" si="1"/>
        <v/>
      </c>
      <c r="J7588" t="str">
        <f>IFERROR(__xludf.DUMMYFUNCTION("IFS(
  AND(REGEXMATCH(E7588, ""台銀籌備帳戶|玉山帳戶""), REGEXMATCH(C7588, ""薪資"")), ""分潤支出"",
  AND(REGEXMATCH(E7588, ""Ben帳戶|Elsa帳戶|Ben代墊|Ariel代墊|中信銀行共用""), REGEXMATCH(F7588, ""Ben帳戶|Elsa帳戶|Ben代墊|Ariel代墊|中信銀行共用"")), ""內部轉帳(忽略)"",
  AND(E7588&lt;&gt;"""", F7588&lt;&gt;"""", N"&amp;"OT(REGEXMATCH(C7588, ""薪資""))), ""內部轉帳(忽略)"",
  REGEXMATCH(C7588, ""薪資""), ""薪資變動(不計入)"",
  REGEXMATCH(C7588, ""押金""), ""押金往來"",
  AND(E7588&lt;&gt;"""", F7588=""""), ""真實支出"",
  AND(E7588="""", F7588&lt;&gt;""""), ""真實收入"",
  TRUE, ""其他""
)"),"其他")</f>
        <v>其他</v>
      </c>
      <c r="K7588" s="270" t="str">
        <f t="shared" si="2"/>
        <v/>
      </c>
      <c r="L7588">
        <f t="shared" si="3"/>
        <v>0</v>
      </c>
    </row>
    <row r="7589">
      <c r="A7589" s="107"/>
      <c r="D7589" s="270"/>
      <c r="H7589" s="106" t="str">
        <f t="shared" si="1"/>
        <v/>
      </c>
      <c r="J7589" t="str">
        <f>IFERROR(__xludf.DUMMYFUNCTION("IFS(
  AND(REGEXMATCH(E7589, ""台銀籌備帳戶|玉山帳戶""), REGEXMATCH(C7589, ""薪資"")), ""分潤支出"",
  AND(REGEXMATCH(E7589, ""Ben帳戶|Elsa帳戶|Ben代墊|Ariel代墊|中信銀行共用""), REGEXMATCH(F7589, ""Ben帳戶|Elsa帳戶|Ben代墊|Ariel代墊|中信銀行共用"")), ""內部轉帳(忽略)"",
  AND(E7589&lt;&gt;"""", F7589&lt;&gt;"""", N"&amp;"OT(REGEXMATCH(C7589, ""薪資""))), ""內部轉帳(忽略)"",
  REGEXMATCH(C7589, ""薪資""), ""薪資變動(不計入)"",
  REGEXMATCH(C7589, ""押金""), ""押金往來"",
  AND(E7589&lt;&gt;"""", F7589=""""), ""真實支出"",
  AND(E7589="""", F7589&lt;&gt;""""), ""真實收入"",
  TRUE, ""其他""
)"),"其他")</f>
        <v>其他</v>
      </c>
      <c r="K7589" s="270" t="str">
        <f t="shared" si="2"/>
        <v/>
      </c>
      <c r="L7589">
        <f t="shared" si="3"/>
        <v>0</v>
      </c>
    </row>
    <row r="7590">
      <c r="A7590" s="107"/>
      <c r="D7590" s="270"/>
      <c r="H7590" s="106" t="str">
        <f t="shared" si="1"/>
        <v/>
      </c>
      <c r="J7590" t="str">
        <f>IFERROR(__xludf.DUMMYFUNCTION("IFS(
  AND(REGEXMATCH(E7590, ""台銀籌備帳戶|玉山帳戶""), REGEXMATCH(C7590, ""薪資"")), ""分潤支出"",
  AND(REGEXMATCH(E7590, ""Ben帳戶|Elsa帳戶|Ben代墊|Ariel代墊|中信銀行共用""), REGEXMATCH(F7590, ""Ben帳戶|Elsa帳戶|Ben代墊|Ariel代墊|中信銀行共用"")), ""內部轉帳(忽略)"",
  AND(E7590&lt;&gt;"""", F7590&lt;&gt;"""", N"&amp;"OT(REGEXMATCH(C7590, ""薪資""))), ""內部轉帳(忽略)"",
  REGEXMATCH(C7590, ""薪資""), ""薪資變動(不計入)"",
  REGEXMATCH(C7590, ""押金""), ""押金往來"",
  AND(E7590&lt;&gt;"""", F7590=""""), ""真實支出"",
  AND(E7590="""", F7590&lt;&gt;""""), ""真實收入"",
  TRUE, ""其他""
)"),"其他")</f>
        <v>其他</v>
      </c>
      <c r="K7590" s="270" t="str">
        <f t="shared" si="2"/>
        <v/>
      </c>
      <c r="L7590">
        <f t="shared" si="3"/>
        <v>0</v>
      </c>
    </row>
    <row r="7591">
      <c r="A7591" s="107"/>
      <c r="D7591" s="270"/>
      <c r="H7591" s="106" t="str">
        <f t="shared" si="1"/>
        <v/>
      </c>
      <c r="J7591" t="str">
        <f>IFERROR(__xludf.DUMMYFUNCTION("IFS(
  AND(REGEXMATCH(E7591, ""台銀籌備帳戶|玉山帳戶""), REGEXMATCH(C7591, ""薪資"")), ""分潤支出"",
  AND(REGEXMATCH(E7591, ""Ben帳戶|Elsa帳戶|Ben代墊|Ariel代墊|中信銀行共用""), REGEXMATCH(F7591, ""Ben帳戶|Elsa帳戶|Ben代墊|Ariel代墊|中信銀行共用"")), ""內部轉帳(忽略)"",
  AND(E7591&lt;&gt;"""", F7591&lt;&gt;"""", N"&amp;"OT(REGEXMATCH(C7591, ""薪資""))), ""內部轉帳(忽略)"",
  REGEXMATCH(C7591, ""薪資""), ""薪資變動(不計入)"",
  REGEXMATCH(C7591, ""押金""), ""押金往來"",
  AND(E7591&lt;&gt;"""", F7591=""""), ""真實支出"",
  AND(E7591="""", F7591&lt;&gt;""""), ""真實收入"",
  TRUE, ""其他""
)"),"其他")</f>
        <v>其他</v>
      </c>
      <c r="K7591" s="270" t="str">
        <f t="shared" si="2"/>
        <v/>
      </c>
      <c r="L7591">
        <f t="shared" si="3"/>
        <v>0</v>
      </c>
    </row>
    <row r="7592">
      <c r="A7592" s="107"/>
      <c r="D7592" s="270"/>
      <c r="H7592" s="106" t="str">
        <f t="shared" si="1"/>
        <v/>
      </c>
      <c r="J7592" t="str">
        <f>IFERROR(__xludf.DUMMYFUNCTION("IFS(
  AND(REGEXMATCH(E7592, ""台銀籌備帳戶|玉山帳戶""), REGEXMATCH(C7592, ""薪資"")), ""分潤支出"",
  AND(REGEXMATCH(E7592, ""Ben帳戶|Elsa帳戶|Ben代墊|Ariel代墊|中信銀行共用""), REGEXMATCH(F7592, ""Ben帳戶|Elsa帳戶|Ben代墊|Ariel代墊|中信銀行共用"")), ""內部轉帳(忽略)"",
  AND(E7592&lt;&gt;"""", F7592&lt;&gt;"""", N"&amp;"OT(REGEXMATCH(C7592, ""薪資""))), ""內部轉帳(忽略)"",
  REGEXMATCH(C7592, ""薪資""), ""薪資變動(不計入)"",
  REGEXMATCH(C7592, ""押金""), ""押金往來"",
  AND(E7592&lt;&gt;"""", F7592=""""), ""真實支出"",
  AND(E7592="""", F7592&lt;&gt;""""), ""真實收入"",
  TRUE, ""其他""
)"),"其他")</f>
        <v>其他</v>
      </c>
      <c r="K7592" s="270" t="str">
        <f t="shared" si="2"/>
        <v/>
      </c>
      <c r="L7592">
        <f t="shared" si="3"/>
        <v>0</v>
      </c>
    </row>
    <row r="7593">
      <c r="A7593" s="107"/>
      <c r="D7593" s="270"/>
      <c r="H7593" s="106" t="str">
        <f t="shared" si="1"/>
        <v/>
      </c>
      <c r="J7593" t="str">
        <f>IFERROR(__xludf.DUMMYFUNCTION("IFS(
  AND(REGEXMATCH(E7593, ""台銀籌備帳戶|玉山帳戶""), REGEXMATCH(C7593, ""薪資"")), ""分潤支出"",
  AND(REGEXMATCH(E7593, ""Ben帳戶|Elsa帳戶|Ben代墊|Ariel代墊|中信銀行共用""), REGEXMATCH(F7593, ""Ben帳戶|Elsa帳戶|Ben代墊|Ariel代墊|中信銀行共用"")), ""內部轉帳(忽略)"",
  AND(E7593&lt;&gt;"""", F7593&lt;&gt;"""", N"&amp;"OT(REGEXMATCH(C7593, ""薪資""))), ""內部轉帳(忽略)"",
  REGEXMATCH(C7593, ""薪資""), ""薪資變動(不計入)"",
  REGEXMATCH(C7593, ""押金""), ""押金往來"",
  AND(E7593&lt;&gt;"""", F7593=""""), ""真實支出"",
  AND(E7593="""", F7593&lt;&gt;""""), ""真實收入"",
  TRUE, ""其他""
)"),"其他")</f>
        <v>其他</v>
      </c>
      <c r="K7593" s="270" t="str">
        <f t="shared" si="2"/>
        <v/>
      </c>
      <c r="L7593">
        <f t="shared" si="3"/>
        <v>0</v>
      </c>
    </row>
    <row r="7594">
      <c r="A7594" s="107"/>
      <c r="D7594" s="270"/>
      <c r="H7594" s="106" t="str">
        <f t="shared" si="1"/>
        <v/>
      </c>
      <c r="J7594" t="str">
        <f>IFERROR(__xludf.DUMMYFUNCTION("IFS(
  AND(REGEXMATCH(E7594, ""台銀籌備帳戶|玉山帳戶""), REGEXMATCH(C7594, ""薪資"")), ""分潤支出"",
  AND(REGEXMATCH(E7594, ""Ben帳戶|Elsa帳戶|Ben代墊|Ariel代墊|中信銀行共用""), REGEXMATCH(F7594, ""Ben帳戶|Elsa帳戶|Ben代墊|Ariel代墊|中信銀行共用"")), ""內部轉帳(忽略)"",
  AND(E7594&lt;&gt;"""", F7594&lt;&gt;"""", N"&amp;"OT(REGEXMATCH(C7594, ""薪資""))), ""內部轉帳(忽略)"",
  REGEXMATCH(C7594, ""薪資""), ""薪資變動(不計入)"",
  REGEXMATCH(C7594, ""押金""), ""押金往來"",
  AND(E7594&lt;&gt;"""", F7594=""""), ""真實支出"",
  AND(E7594="""", F7594&lt;&gt;""""), ""真實收入"",
  TRUE, ""其他""
)"),"其他")</f>
        <v>其他</v>
      </c>
      <c r="K7594" s="270" t="str">
        <f t="shared" si="2"/>
        <v/>
      </c>
      <c r="L7594">
        <f t="shared" si="3"/>
        <v>0</v>
      </c>
    </row>
    <row r="7595">
      <c r="A7595" s="107"/>
      <c r="D7595" s="270"/>
      <c r="H7595" s="106" t="str">
        <f t="shared" si="1"/>
        <v/>
      </c>
      <c r="J7595" t="str">
        <f>IFERROR(__xludf.DUMMYFUNCTION("IFS(
  AND(REGEXMATCH(E7595, ""台銀籌備帳戶|玉山帳戶""), REGEXMATCH(C7595, ""薪資"")), ""分潤支出"",
  AND(REGEXMATCH(E7595, ""Ben帳戶|Elsa帳戶|Ben代墊|Ariel代墊|中信銀行共用""), REGEXMATCH(F7595, ""Ben帳戶|Elsa帳戶|Ben代墊|Ariel代墊|中信銀行共用"")), ""內部轉帳(忽略)"",
  AND(E7595&lt;&gt;"""", F7595&lt;&gt;"""", N"&amp;"OT(REGEXMATCH(C7595, ""薪資""))), ""內部轉帳(忽略)"",
  REGEXMATCH(C7595, ""薪資""), ""薪資變動(不計入)"",
  REGEXMATCH(C7595, ""押金""), ""押金往來"",
  AND(E7595&lt;&gt;"""", F7595=""""), ""真實支出"",
  AND(E7595="""", F7595&lt;&gt;""""), ""真實收入"",
  TRUE, ""其他""
)"),"其他")</f>
        <v>其他</v>
      </c>
      <c r="K7595" s="270" t="str">
        <f t="shared" si="2"/>
        <v/>
      </c>
      <c r="L7595">
        <f t="shared" si="3"/>
        <v>0</v>
      </c>
    </row>
    <row r="7596">
      <c r="A7596" s="107"/>
      <c r="D7596" s="270"/>
      <c r="H7596" s="106" t="str">
        <f t="shared" si="1"/>
        <v/>
      </c>
      <c r="J7596" t="str">
        <f>IFERROR(__xludf.DUMMYFUNCTION("IFS(
  AND(REGEXMATCH(E7596, ""台銀籌備帳戶|玉山帳戶""), REGEXMATCH(C7596, ""薪資"")), ""分潤支出"",
  AND(REGEXMATCH(E7596, ""Ben帳戶|Elsa帳戶|Ben代墊|Ariel代墊|中信銀行共用""), REGEXMATCH(F7596, ""Ben帳戶|Elsa帳戶|Ben代墊|Ariel代墊|中信銀行共用"")), ""內部轉帳(忽略)"",
  AND(E7596&lt;&gt;"""", F7596&lt;&gt;"""", N"&amp;"OT(REGEXMATCH(C7596, ""薪資""))), ""內部轉帳(忽略)"",
  REGEXMATCH(C7596, ""薪資""), ""薪資變動(不計入)"",
  REGEXMATCH(C7596, ""押金""), ""押金往來"",
  AND(E7596&lt;&gt;"""", F7596=""""), ""真實支出"",
  AND(E7596="""", F7596&lt;&gt;""""), ""真實收入"",
  TRUE, ""其他""
)"),"其他")</f>
        <v>其他</v>
      </c>
      <c r="K7596" s="270" t="str">
        <f t="shared" si="2"/>
        <v/>
      </c>
      <c r="L7596">
        <f t="shared" si="3"/>
        <v>0</v>
      </c>
    </row>
    <row r="7597">
      <c r="A7597" s="107"/>
      <c r="D7597" s="270"/>
      <c r="H7597" s="106" t="str">
        <f t="shared" si="1"/>
        <v/>
      </c>
      <c r="J7597" t="str">
        <f>IFERROR(__xludf.DUMMYFUNCTION("IFS(
  AND(REGEXMATCH(E7597, ""台銀籌備帳戶|玉山帳戶""), REGEXMATCH(C7597, ""薪資"")), ""分潤支出"",
  AND(REGEXMATCH(E7597, ""Ben帳戶|Elsa帳戶|Ben代墊|Ariel代墊|中信銀行共用""), REGEXMATCH(F7597, ""Ben帳戶|Elsa帳戶|Ben代墊|Ariel代墊|中信銀行共用"")), ""內部轉帳(忽略)"",
  AND(E7597&lt;&gt;"""", F7597&lt;&gt;"""", N"&amp;"OT(REGEXMATCH(C7597, ""薪資""))), ""內部轉帳(忽略)"",
  REGEXMATCH(C7597, ""薪資""), ""薪資變動(不計入)"",
  REGEXMATCH(C7597, ""押金""), ""押金往來"",
  AND(E7597&lt;&gt;"""", F7597=""""), ""真實支出"",
  AND(E7597="""", F7597&lt;&gt;""""), ""真實收入"",
  TRUE, ""其他""
)"),"其他")</f>
        <v>其他</v>
      </c>
      <c r="K7597" s="270" t="str">
        <f t="shared" si="2"/>
        <v/>
      </c>
      <c r="L7597">
        <f t="shared" si="3"/>
        <v>0</v>
      </c>
    </row>
    <row r="7598">
      <c r="A7598" s="107"/>
      <c r="D7598" s="270"/>
      <c r="H7598" s="106" t="str">
        <f t="shared" si="1"/>
        <v/>
      </c>
      <c r="J7598" t="str">
        <f>IFERROR(__xludf.DUMMYFUNCTION("IFS(
  AND(REGEXMATCH(E7598, ""台銀籌備帳戶|玉山帳戶""), REGEXMATCH(C7598, ""薪資"")), ""分潤支出"",
  AND(REGEXMATCH(E7598, ""Ben帳戶|Elsa帳戶|Ben代墊|Ariel代墊|中信銀行共用""), REGEXMATCH(F7598, ""Ben帳戶|Elsa帳戶|Ben代墊|Ariel代墊|中信銀行共用"")), ""內部轉帳(忽略)"",
  AND(E7598&lt;&gt;"""", F7598&lt;&gt;"""", N"&amp;"OT(REGEXMATCH(C7598, ""薪資""))), ""內部轉帳(忽略)"",
  REGEXMATCH(C7598, ""薪資""), ""薪資變動(不計入)"",
  REGEXMATCH(C7598, ""押金""), ""押金往來"",
  AND(E7598&lt;&gt;"""", F7598=""""), ""真實支出"",
  AND(E7598="""", F7598&lt;&gt;""""), ""真實收入"",
  TRUE, ""其他""
)"),"其他")</f>
        <v>其他</v>
      </c>
      <c r="K7598" s="270" t="str">
        <f t="shared" si="2"/>
        <v/>
      </c>
      <c r="L7598">
        <f t="shared" si="3"/>
        <v>0</v>
      </c>
    </row>
    <row r="7599">
      <c r="A7599" s="107"/>
      <c r="D7599" s="270"/>
      <c r="H7599" s="106" t="str">
        <f t="shared" si="1"/>
        <v/>
      </c>
      <c r="J7599" t="str">
        <f>IFERROR(__xludf.DUMMYFUNCTION("IFS(
  AND(REGEXMATCH(E7599, ""台銀籌備帳戶|玉山帳戶""), REGEXMATCH(C7599, ""薪資"")), ""分潤支出"",
  AND(REGEXMATCH(E7599, ""Ben帳戶|Elsa帳戶|Ben代墊|Ariel代墊|中信銀行共用""), REGEXMATCH(F7599, ""Ben帳戶|Elsa帳戶|Ben代墊|Ariel代墊|中信銀行共用"")), ""內部轉帳(忽略)"",
  AND(E7599&lt;&gt;"""", F7599&lt;&gt;"""", N"&amp;"OT(REGEXMATCH(C7599, ""薪資""))), ""內部轉帳(忽略)"",
  REGEXMATCH(C7599, ""薪資""), ""薪資變動(不計入)"",
  REGEXMATCH(C7599, ""押金""), ""押金往來"",
  AND(E7599&lt;&gt;"""", F7599=""""), ""真實支出"",
  AND(E7599="""", F7599&lt;&gt;""""), ""真實收入"",
  TRUE, ""其他""
)"),"其他")</f>
        <v>其他</v>
      </c>
      <c r="K7599" s="270" t="str">
        <f t="shared" si="2"/>
        <v/>
      </c>
      <c r="L7599">
        <f t="shared" si="3"/>
        <v>0</v>
      </c>
    </row>
    <row r="7600">
      <c r="A7600" s="107"/>
      <c r="D7600" s="270"/>
      <c r="H7600" s="106" t="str">
        <f t="shared" si="1"/>
        <v/>
      </c>
      <c r="J7600" t="str">
        <f>IFERROR(__xludf.DUMMYFUNCTION("IFS(
  AND(REGEXMATCH(E7600, ""台銀籌備帳戶|玉山帳戶""), REGEXMATCH(C7600, ""薪資"")), ""分潤支出"",
  AND(REGEXMATCH(E7600, ""Ben帳戶|Elsa帳戶|Ben代墊|Ariel代墊|中信銀行共用""), REGEXMATCH(F7600, ""Ben帳戶|Elsa帳戶|Ben代墊|Ariel代墊|中信銀行共用"")), ""內部轉帳(忽略)"",
  AND(E7600&lt;&gt;"""", F7600&lt;&gt;"""", N"&amp;"OT(REGEXMATCH(C7600, ""薪資""))), ""內部轉帳(忽略)"",
  REGEXMATCH(C7600, ""薪資""), ""薪資變動(不計入)"",
  REGEXMATCH(C7600, ""押金""), ""押金往來"",
  AND(E7600&lt;&gt;"""", F7600=""""), ""真實支出"",
  AND(E7600="""", F7600&lt;&gt;""""), ""真實收入"",
  TRUE, ""其他""
)"),"其他")</f>
        <v>其他</v>
      </c>
      <c r="K7600" s="270" t="str">
        <f t="shared" si="2"/>
        <v/>
      </c>
      <c r="L7600">
        <f t="shared" si="3"/>
        <v>0</v>
      </c>
    </row>
    <row r="7601">
      <c r="A7601" s="107"/>
      <c r="D7601" s="270"/>
      <c r="H7601" s="106" t="str">
        <f t="shared" si="1"/>
        <v/>
      </c>
      <c r="J7601" t="str">
        <f>IFERROR(__xludf.DUMMYFUNCTION("IFS(
  AND(REGEXMATCH(E7601, ""台銀籌備帳戶|玉山帳戶""), REGEXMATCH(C7601, ""薪資"")), ""分潤支出"",
  AND(REGEXMATCH(E7601, ""Ben帳戶|Elsa帳戶|Ben代墊|Ariel代墊|中信銀行共用""), REGEXMATCH(F7601, ""Ben帳戶|Elsa帳戶|Ben代墊|Ariel代墊|中信銀行共用"")), ""內部轉帳(忽略)"",
  AND(E7601&lt;&gt;"""", F7601&lt;&gt;"""", N"&amp;"OT(REGEXMATCH(C7601, ""薪資""))), ""內部轉帳(忽略)"",
  REGEXMATCH(C7601, ""薪資""), ""薪資變動(不計入)"",
  REGEXMATCH(C7601, ""押金""), ""押金往來"",
  AND(E7601&lt;&gt;"""", F7601=""""), ""真實支出"",
  AND(E7601="""", F7601&lt;&gt;""""), ""真實收入"",
  TRUE, ""其他""
)"),"其他")</f>
        <v>其他</v>
      </c>
      <c r="K7601" s="270" t="str">
        <f t="shared" si="2"/>
        <v/>
      </c>
      <c r="L7601">
        <f t="shared" si="3"/>
        <v>0</v>
      </c>
    </row>
    <row r="7602">
      <c r="A7602" s="107"/>
      <c r="D7602" s="270"/>
      <c r="H7602" s="106" t="str">
        <f t="shared" si="1"/>
        <v/>
      </c>
      <c r="J7602" t="str">
        <f>IFERROR(__xludf.DUMMYFUNCTION("IFS(
  AND(REGEXMATCH(E7602, ""台銀籌備帳戶|玉山帳戶""), REGEXMATCH(C7602, ""薪資"")), ""分潤支出"",
  AND(REGEXMATCH(E7602, ""Ben帳戶|Elsa帳戶|Ben代墊|Ariel代墊|中信銀行共用""), REGEXMATCH(F7602, ""Ben帳戶|Elsa帳戶|Ben代墊|Ariel代墊|中信銀行共用"")), ""內部轉帳(忽略)"",
  AND(E7602&lt;&gt;"""", F7602&lt;&gt;"""", N"&amp;"OT(REGEXMATCH(C7602, ""薪資""))), ""內部轉帳(忽略)"",
  REGEXMATCH(C7602, ""薪資""), ""薪資變動(不計入)"",
  REGEXMATCH(C7602, ""押金""), ""押金往來"",
  AND(E7602&lt;&gt;"""", F7602=""""), ""真實支出"",
  AND(E7602="""", F7602&lt;&gt;""""), ""真實收入"",
  TRUE, ""其他""
)"),"其他")</f>
        <v>其他</v>
      </c>
      <c r="K7602" s="270" t="str">
        <f t="shared" si="2"/>
        <v/>
      </c>
      <c r="L7602">
        <f t="shared" si="3"/>
        <v>0</v>
      </c>
    </row>
    <row r="7603">
      <c r="A7603" s="107"/>
      <c r="D7603" s="270"/>
      <c r="H7603" s="106" t="str">
        <f t="shared" si="1"/>
        <v/>
      </c>
      <c r="J7603" t="str">
        <f>IFERROR(__xludf.DUMMYFUNCTION("IFS(
  AND(REGEXMATCH(E7603, ""台銀籌備帳戶|玉山帳戶""), REGEXMATCH(C7603, ""薪資"")), ""分潤支出"",
  AND(REGEXMATCH(E7603, ""Ben帳戶|Elsa帳戶|Ben代墊|Ariel代墊|中信銀行共用""), REGEXMATCH(F7603, ""Ben帳戶|Elsa帳戶|Ben代墊|Ariel代墊|中信銀行共用"")), ""內部轉帳(忽略)"",
  AND(E7603&lt;&gt;"""", F7603&lt;&gt;"""", N"&amp;"OT(REGEXMATCH(C7603, ""薪資""))), ""內部轉帳(忽略)"",
  REGEXMATCH(C7603, ""薪資""), ""薪資變動(不計入)"",
  REGEXMATCH(C7603, ""押金""), ""押金往來"",
  AND(E7603&lt;&gt;"""", F7603=""""), ""真實支出"",
  AND(E7603="""", F7603&lt;&gt;""""), ""真實收入"",
  TRUE, ""其他""
)"),"其他")</f>
        <v>其他</v>
      </c>
      <c r="K7603" s="270" t="str">
        <f t="shared" si="2"/>
        <v/>
      </c>
      <c r="L7603">
        <f t="shared" si="3"/>
        <v>0</v>
      </c>
    </row>
    <row r="7604">
      <c r="A7604" s="107"/>
      <c r="D7604" s="270"/>
      <c r="H7604" s="106" t="str">
        <f t="shared" si="1"/>
        <v/>
      </c>
      <c r="J7604" t="str">
        <f>IFERROR(__xludf.DUMMYFUNCTION("IFS(
  AND(REGEXMATCH(E7604, ""台銀籌備帳戶|玉山帳戶""), REGEXMATCH(C7604, ""薪資"")), ""分潤支出"",
  AND(REGEXMATCH(E7604, ""Ben帳戶|Elsa帳戶|Ben代墊|Ariel代墊|中信銀行共用""), REGEXMATCH(F7604, ""Ben帳戶|Elsa帳戶|Ben代墊|Ariel代墊|中信銀行共用"")), ""內部轉帳(忽略)"",
  AND(E7604&lt;&gt;"""", F7604&lt;&gt;"""", N"&amp;"OT(REGEXMATCH(C7604, ""薪資""))), ""內部轉帳(忽略)"",
  REGEXMATCH(C7604, ""薪資""), ""薪資變動(不計入)"",
  REGEXMATCH(C7604, ""押金""), ""押金往來"",
  AND(E7604&lt;&gt;"""", F7604=""""), ""真實支出"",
  AND(E7604="""", F7604&lt;&gt;""""), ""真實收入"",
  TRUE, ""其他""
)"),"其他")</f>
        <v>其他</v>
      </c>
      <c r="K7604" s="270" t="str">
        <f t="shared" si="2"/>
        <v/>
      </c>
      <c r="L7604">
        <f t="shared" si="3"/>
        <v>0</v>
      </c>
    </row>
    <row r="7605">
      <c r="A7605" s="107"/>
      <c r="D7605" s="270"/>
      <c r="H7605" s="106" t="str">
        <f t="shared" si="1"/>
        <v/>
      </c>
      <c r="J7605" t="str">
        <f>IFERROR(__xludf.DUMMYFUNCTION("IFS(
  AND(REGEXMATCH(E7605, ""台銀籌備帳戶|玉山帳戶""), REGEXMATCH(C7605, ""薪資"")), ""分潤支出"",
  AND(REGEXMATCH(E7605, ""Ben帳戶|Elsa帳戶|Ben代墊|Ariel代墊|中信銀行共用""), REGEXMATCH(F7605, ""Ben帳戶|Elsa帳戶|Ben代墊|Ariel代墊|中信銀行共用"")), ""內部轉帳(忽略)"",
  AND(E7605&lt;&gt;"""", F7605&lt;&gt;"""", N"&amp;"OT(REGEXMATCH(C7605, ""薪資""))), ""內部轉帳(忽略)"",
  REGEXMATCH(C7605, ""薪資""), ""薪資變動(不計入)"",
  REGEXMATCH(C7605, ""押金""), ""押金往來"",
  AND(E7605&lt;&gt;"""", F7605=""""), ""真實支出"",
  AND(E7605="""", F7605&lt;&gt;""""), ""真實收入"",
  TRUE, ""其他""
)"),"其他")</f>
        <v>其他</v>
      </c>
      <c r="K7605" s="270" t="str">
        <f t="shared" si="2"/>
        <v/>
      </c>
      <c r="L7605">
        <f t="shared" si="3"/>
        <v>0</v>
      </c>
    </row>
    <row r="7606">
      <c r="A7606" s="107"/>
      <c r="D7606" s="270"/>
      <c r="H7606" s="106" t="str">
        <f t="shared" si="1"/>
        <v/>
      </c>
      <c r="J7606" t="str">
        <f>IFERROR(__xludf.DUMMYFUNCTION("IFS(
  AND(REGEXMATCH(E7606, ""台銀籌備帳戶|玉山帳戶""), REGEXMATCH(C7606, ""薪資"")), ""分潤支出"",
  AND(REGEXMATCH(E7606, ""Ben帳戶|Elsa帳戶|Ben代墊|Ariel代墊|中信銀行共用""), REGEXMATCH(F7606, ""Ben帳戶|Elsa帳戶|Ben代墊|Ariel代墊|中信銀行共用"")), ""內部轉帳(忽略)"",
  AND(E7606&lt;&gt;"""", F7606&lt;&gt;"""", N"&amp;"OT(REGEXMATCH(C7606, ""薪資""))), ""內部轉帳(忽略)"",
  REGEXMATCH(C7606, ""薪資""), ""薪資變動(不計入)"",
  REGEXMATCH(C7606, ""押金""), ""押金往來"",
  AND(E7606&lt;&gt;"""", F7606=""""), ""真實支出"",
  AND(E7606="""", F7606&lt;&gt;""""), ""真實收入"",
  TRUE, ""其他""
)"),"其他")</f>
        <v>其他</v>
      </c>
      <c r="K7606" s="270" t="str">
        <f t="shared" si="2"/>
        <v/>
      </c>
      <c r="L7606">
        <f t="shared" si="3"/>
        <v>0</v>
      </c>
    </row>
    <row r="7607">
      <c r="A7607" s="107"/>
      <c r="D7607" s="270"/>
      <c r="H7607" s="106" t="str">
        <f t="shared" si="1"/>
        <v/>
      </c>
      <c r="J7607" t="str">
        <f>IFERROR(__xludf.DUMMYFUNCTION("IFS(
  AND(REGEXMATCH(E7607, ""台銀籌備帳戶|玉山帳戶""), REGEXMATCH(C7607, ""薪資"")), ""分潤支出"",
  AND(REGEXMATCH(E7607, ""Ben帳戶|Elsa帳戶|Ben代墊|Ariel代墊|中信銀行共用""), REGEXMATCH(F7607, ""Ben帳戶|Elsa帳戶|Ben代墊|Ariel代墊|中信銀行共用"")), ""內部轉帳(忽略)"",
  AND(E7607&lt;&gt;"""", F7607&lt;&gt;"""", N"&amp;"OT(REGEXMATCH(C7607, ""薪資""))), ""內部轉帳(忽略)"",
  REGEXMATCH(C7607, ""薪資""), ""薪資變動(不計入)"",
  REGEXMATCH(C7607, ""押金""), ""押金往來"",
  AND(E7607&lt;&gt;"""", F7607=""""), ""真實支出"",
  AND(E7607="""", F7607&lt;&gt;""""), ""真實收入"",
  TRUE, ""其他""
)"),"其他")</f>
        <v>其他</v>
      </c>
      <c r="K7607" s="270" t="str">
        <f t="shared" si="2"/>
        <v/>
      </c>
      <c r="L7607">
        <f t="shared" si="3"/>
        <v>0</v>
      </c>
    </row>
    <row r="7608">
      <c r="A7608" s="107"/>
      <c r="D7608" s="270"/>
      <c r="H7608" s="106" t="str">
        <f t="shared" si="1"/>
        <v/>
      </c>
      <c r="J7608" t="str">
        <f>IFERROR(__xludf.DUMMYFUNCTION("IFS(
  AND(REGEXMATCH(E7608, ""台銀籌備帳戶|玉山帳戶""), REGEXMATCH(C7608, ""薪資"")), ""分潤支出"",
  AND(REGEXMATCH(E7608, ""Ben帳戶|Elsa帳戶|Ben代墊|Ariel代墊|中信銀行共用""), REGEXMATCH(F7608, ""Ben帳戶|Elsa帳戶|Ben代墊|Ariel代墊|中信銀行共用"")), ""內部轉帳(忽略)"",
  AND(E7608&lt;&gt;"""", F7608&lt;&gt;"""", N"&amp;"OT(REGEXMATCH(C7608, ""薪資""))), ""內部轉帳(忽略)"",
  REGEXMATCH(C7608, ""薪資""), ""薪資變動(不計入)"",
  REGEXMATCH(C7608, ""押金""), ""押金往來"",
  AND(E7608&lt;&gt;"""", F7608=""""), ""真實支出"",
  AND(E7608="""", F7608&lt;&gt;""""), ""真實收入"",
  TRUE, ""其他""
)"),"其他")</f>
        <v>其他</v>
      </c>
      <c r="K7608" s="270" t="str">
        <f t="shared" si="2"/>
        <v/>
      </c>
      <c r="L7608">
        <f t="shared" si="3"/>
        <v>0</v>
      </c>
    </row>
    <row r="7609">
      <c r="A7609" s="107"/>
      <c r="D7609" s="270"/>
      <c r="H7609" s="106" t="str">
        <f t="shared" si="1"/>
        <v/>
      </c>
      <c r="J7609" t="str">
        <f>IFERROR(__xludf.DUMMYFUNCTION("IFS(
  AND(REGEXMATCH(E7609, ""台銀籌備帳戶|玉山帳戶""), REGEXMATCH(C7609, ""薪資"")), ""分潤支出"",
  AND(REGEXMATCH(E7609, ""Ben帳戶|Elsa帳戶|Ben代墊|Ariel代墊|中信銀行共用""), REGEXMATCH(F7609, ""Ben帳戶|Elsa帳戶|Ben代墊|Ariel代墊|中信銀行共用"")), ""內部轉帳(忽略)"",
  AND(E7609&lt;&gt;"""", F7609&lt;&gt;"""", N"&amp;"OT(REGEXMATCH(C7609, ""薪資""))), ""內部轉帳(忽略)"",
  REGEXMATCH(C7609, ""薪資""), ""薪資變動(不計入)"",
  REGEXMATCH(C7609, ""押金""), ""押金往來"",
  AND(E7609&lt;&gt;"""", F7609=""""), ""真實支出"",
  AND(E7609="""", F7609&lt;&gt;""""), ""真實收入"",
  TRUE, ""其他""
)"),"其他")</f>
        <v>其他</v>
      </c>
      <c r="K7609" s="270" t="str">
        <f t="shared" si="2"/>
        <v/>
      </c>
      <c r="L7609">
        <f t="shared" si="3"/>
        <v>0</v>
      </c>
    </row>
    <row r="7610">
      <c r="A7610" s="107"/>
      <c r="D7610" s="270"/>
      <c r="H7610" s="106" t="str">
        <f t="shared" si="1"/>
        <v/>
      </c>
      <c r="J7610" t="str">
        <f>IFERROR(__xludf.DUMMYFUNCTION("IFS(
  AND(REGEXMATCH(E7610, ""台銀籌備帳戶|玉山帳戶""), REGEXMATCH(C7610, ""薪資"")), ""分潤支出"",
  AND(REGEXMATCH(E7610, ""Ben帳戶|Elsa帳戶|Ben代墊|Ariel代墊|中信銀行共用""), REGEXMATCH(F7610, ""Ben帳戶|Elsa帳戶|Ben代墊|Ariel代墊|中信銀行共用"")), ""內部轉帳(忽略)"",
  AND(E7610&lt;&gt;"""", F7610&lt;&gt;"""", N"&amp;"OT(REGEXMATCH(C7610, ""薪資""))), ""內部轉帳(忽略)"",
  REGEXMATCH(C7610, ""薪資""), ""薪資變動(不計入)"",
  REGEXMATCH(C7610, ""押金""), ""押金往來"",
  AND(E7610&lt;&gt;"""", F7610=""""), ""真實支出"",
  AND(E7610="""", F7610&lt;&gt;""""), ""真實收入"",
  TRUE, ""其他""
)"),"其他")</f>
        <v>其他</v>
      </c>
      <c r="K7610" s="270" t="str">
        <f t="shared" si="2"/>
        <v/>
      </c>
      <c r="L7610">
        <f t="shared" si="3"/>
        <v>0</v>
      </c>
    </row>
    <row r="7611">
      <c r="A7611" s="107"/>
      <c r="D7611" s="270"/>
      <c r="H7611" s="106" t="str">
        <f t="shared" si="1"/>
        <v/>
      </c>
      <c r="J7611" t="str">
        <f>IFERROR(__xludf.DUMMYFUNCTION("IFS(
  AND(REGEXMATCH(E7611, ""台銀籌備帳戶|玉山帳戶""), REGEXMATCH(C7611, ""薪資"")), ""分潤支出"",
  AND(REGEXMATCH(E7611, ""Ben帳戶|Elsa帳戶|Ben代墊|Ariel代墊|中信銀行共用""), REGEXMATCH(F7611, ""Ben帳戶|Elsa帳戶|Ben代墊|Ariel代墊|中信銀行共用"")), ""內部轉帳(忽略)"",
  AND(E7611&lt;&gt;"""", F7611&lt;&gt;"""", N"&amp;"OT(REGEXMATCH(C7611, ""薪資""))), ""內部轉帳(忽略)"",
  REGEXMATCH(C7611, ""薪資""), ""薪資變動(不計入)"",
  REGEXMATCH(C7611, ""押金""), ""押金往來"",
  AND(E7611&lt;&gt;"""", F7611=""""), ""真實支出"",
  AND(E7611="""", F7611&lt;&gt;""""), ""真實收入"",
  TRUE, ""其他""
)"),"其他")</f>
        <v>其他</v>
      </c>
      <c r="K7611" s="270" t="str">
        <f t="shared" si="2"/>
        <v/>
      </c>
      <c r="L7611">
        <f t="shared" si="3"/>
        <v>0</v>
      </c>
    </row>
    <row r="7612">
      <c r="A7612" s="107"/>
      <c r="D7612" s="270"/>
      <c r="H7612" s="106" t="str">
        <f t="shared" si="1"/>
        <v/>
      </c>
      <c r="J7612" t="str">
        <f>IFERROR(__xludf.DUMMYFUNCTION("IFS(
  AND(REGEXMATCH(E7612, ""台銀籌備帳戶|玉山帳戶""), REGEXMATCH(C7612, ""薪資"")), ""分潤支出"",
  AND(REGEXMATCH(E7612, ""Ben帳戶|Elsa帳戶|Ben代墊|Ariel代墊|中信銀行共用""), REGEXMATCH(F7612, ""Ben帳戶|Elsa帳戶|Ben代墊|Ariel代墊|中信銀行共用"")), ""內部轉帳(忽略)"",
  AND(E7612&lt;&gt;"""", F7612&lt;&gt;"""", N"&amp;"OT(REGEXMATCH(C7612, ""薪資""))), ""內部轉帳(忽略)"",
  REGEXMATCH(C7612, ""薪資""), ""薪資變動(不計入)"",
  REGEXMATCH(C7612, ""押金""), ""押金往來"",
  AND(E7612&lt;&gt;"""", F7612=""""), ""真實支出"",
  AND(E7612="""", F7612&lt;&gt;""""), ""真實收入"",
  TRUE, ""其他""
)"),"其他")</f>
        <v>其他</v>
      </c>
      <c r="K7612" s="270" t="str">
        <f t="shared" si="2"/>
        <v/>
      </c>
      <c r="L7612">
        <f t="shared" si="3"/>
        <v>0</v>
      </c>
    </row>
    <row r="7613">
      <c r="A7613" s="107"/>
      <c r="D7613" s="270"/>
      <c r="H7613" s="106" t="str">
        <f t="shared" si="1"/>
        <v/>
      </c>
      <c r="J7613" t="str">
        <f>IFERROR(__xludf.DUMMYFUNCTION("IFS(
  AND(REGEXMATCH(E7613, ""台銀籌備帳戶|玉山帳戶""), REGEXMATCH(C7613, ""薪資"")), ""分潤支出"",
  AND(REGEXMATCH(E7613, ""Ben帳戶|Elsa帳戶|Ben代墊|Ariel代墊|中信銀行共用""), REGEXMATCH(F7613, ""Ben帳戶|Elsa帳戶|Ben代墊|Ariel代墊|中信銀行共用"")), ""內部轉帳(忽略)"",
  AND(E7613&lt;&gt;"""", F7613&lt;&gt;"""", N"&amp;"OT(REGEXMATCH(C7613, ""薪資""))), ""內部轉帳(忽略)"",
  REGEXMATCH(C7613, ""薪資""), ""薪資變動(不計入)"",
  REGEXMATCH(C7613, ""押金""), ""押金往來"",
  AND(E7613&lt;&gt;"""", F7613=""""), ""真實支出"",
  AND(E7613="""", F7613&lt;&gt;""""), ""真實收入"",
  TRUE, ""其他""
)"),"其他")</f>
        <v>其他</v>
      </c>
      <c r="K7613" s="270" t="str">
        <f t="shared" si="2"/>
        <v/>
      </c>
      <c r="L7613">
        <f t="shared" si="3"/>
        <v>0</v>
      </c>
    </row>
    <row r="7614">
      <c r="A7614" s="107"/>
      <c r="D7614" s="270"/>
      <c r="H7614" s="106" t="str">
        <f t="shared" si="1"/>
        <v/>
      </c>
      <c r="J7614" t="str">
        <f>IFERROR(__xludf.DUMMYFUNCTION("IFS(
  AND(REGEXMATCH(E7614, ""台銀籌備帳戶|玉山帳戶""), REGEXMATCH(C7614, ""薪資"")), ""分潤支出"",
  AND(REGEXMATCH(E7614, ""Ben帳戶|Elsa帳戶|Ben代墊|Ariel代墊|中信銀行共用""), REGEXMATCH(F7614, ""Ben帳戶|Elsa帳戶|Ben代墊|Ariel代墊|中信銀行共用"")), ""內部轉帳(忽略)"",
  AND(E7614&lt;&gt;"""", F7614&lt;&gt;"""", N"&amp;"OT(REGEXMATCH(C7614, ""薪資""))), ""內部轉帳(忽略)"",
  REGEXMATCH(C7614, ""薪資""), ""薪資變動(不計入)"",
  REGEXMATCH(C7614, ""押金""), ""押金往來"",
  AND(E7614&lt;&gt;"""", F7614=""""), ""真實支出"",
  AND(E7614="""", F7614&lt;&gt;""""), ""真實收入"",
  TRUE, ""其他""
)"),"其他")</f>
        <v>其他</v>
      </c>
      <c r="K7614" s="270" t="str">
        <f t="shared" si="2"/>
        <v/>
      </c>
      <c r="L7614">
        <f t="shared" si="3"/>
        <v>0</v>
      </c>
    </row>
    <row r="7615">
      <c r="A7615" s="107"/>
      <c r="D7615" s="270"/>
      <c r="H7615" s="106" t="str">
        <f t="shared" si="1"/>
        <v/>
      </c>
      <c r="J7615" t="str">
        <f>IFERROR(__xludf.DUMMYFUNCTION("IFS(
  AND(REGEXMATCH(E7615, ""台銀籌備帳戶|玉山帳戶""), REGEXMATCH(C7615, ""薪資"")), ""分潤支出"",
  AND(REGEXMATCH(E7615, ""Ben帳戶|Elsa帳戶|Ben代墊|Ariel代墊|中信銀行共用""), REGEXMATCH(F7615, ""Ben帳戶|Elsa帳戶|Ben代墊|Ariel代墊|中信銀行共用"")), ""內部轉帳(忽略)"",
  AND(E7615&lt;&gt;"""", F7615&lt;&gt;"""", N"&amp;"OT(REGEXMATCH(C7615, ""薪資""))), ""內部轉帳(忽略)"",
  REGEXMATCH(C7615, ""薪資""), ""薪資變動(不計入)"",
  REGEXMATCH(C7615, ""押金""), ""押金往來"",
  AND(E7615&lt;&gt;"""", F7615=""""), ""真實支出"",
  AND(E7615="""", F7615&lt;&gt;""""), ""真實收入"",
  TRUE, ""其他""
)"),"其他")</f>
        <v>其他</v>
      </c>
      <c r="K7615" s="270" t="str">
        <f t="shared" si="2"/>
        <v/>
      </c>
      <c r="L7615">
        <f t="shared" si="3"/>
        <v>0</v>
      </c>
    </row>
    <row r="7616">
      <c r="A7616" s="107"/>
      <c r="D7616" s="270"/>
      <c r="H7616" s="106" t="str">
        <f t="shared" si="1"/>
        <v/>
      </c>
      <c r="J7616" t="str">
        <f>IFERROR(__xludf.DUMMYFUNCTION("IFS(
  AND(REGEXMATCH(E7616, ""台銀籌備帳戶|玉山帳戶""), REGEXMATCH(C7616, ""薪資"")), ""分潤支出"",
  AND(REGEXMATCH(E7616, ""Ben帳戶|Elsa帳戶|Ben代墊|Ariel代墊|中信銀行共用""), REGEXMATCH(F7616, ""Ben帳戶|Elsa帳戶|Ben代墊|Ariel代墊|中信銀行共用"")), ""內部轉帳(忽略)"",
  AND(E7616&lt;&gt;"""", F7616&lt;&gt;"""", N"&amp;"OT(REGEXMATCH(C7616, ""薪資""))), ""內部轉帳(忽略)"",
  REGEXMATCH(C7616, ""薪資""), ""薪資變動(不計入)"",
  REGEXMATCH(C7616, ""押金""), ""押金往來"",
  AND(E7616&lt;&gt;"""", F7616=""""), ""真實支出"",
  AND(E7616="""", F7616&lt;&gt;""""), ""真實收入"",
  TRUE, ""其他""
)"),"其他")</f>
        <v>其他</v>
      </c>
      <c r="K7616" s="270" t="str">
        <f t="shared" si="2"/>
        <v/>
      </c>
      <c r="L7616">
        <f t="shared" si="3"/>
        <v>0</v>
      </c>
    </row>
    <row r="7617">
      <c r="A7617" s="107"/>
      <c r="D7617" s="270"/>
      <c r="H7617" s="106" t="str">
        <f t="shared" si="1"/>
        <v/>
      </c>
      <c r="J7617" t="str">
        <f>IFERROR(__xludf.DUMMYFUNCTION("IFS(
  AND(REGEXMATCH(E7617, ""台銀籌備帳戶|玉山帳戶""), REGEXMATCH(C7617, ""薪資"")), ""分潤支出"",
  AND(REGEXMATCH(E7617, ""Ben帳戶|Elsa帳戶|Ben代墊|Ariel代墊|中信銀行共用""), REGEXMATCH(F7617, ""Ben帳戶|Elsa帳戶|Ben代墊|Ariel代墊|中信銀行共用"")), ""內部轉帳(忽略)"",
  AND(E7617&lt;&gt;"""", F7617&lt;&gt;"""", N"&amp;"OT(REGEXMATCH(C7617, ""薪資""))), ""內部轉帳(忽略)"",
  REGEXMATCH(C7617, ""薪資""), ""薪資變動(不計入)"",
  REGEXMATCH(C7617, ""押金""), ""押金往來"",
  AND(E7617&lt;&gt;"""", F7617=""""), ""真實支出"",
  AND(E7617="""", F7617&lt;&gt;""""), ""真實收入"",
  TRUE, ""其他""
)"),"其他")</f>
        <v>其他</v>
      </c>
      <c r="K7617" s="270" t="str">
        <f t="shared" si="2"/>
        <v/>
      </c>
      <c r="L7617">
        <f t="shared" si="3"/>
        <v>0</v>
      </c>
    </row>
    <row r="7618">
      <c r="A7618" s="107"/>
      <c r="D7618" s="270"/>
      <c r="H7618" s="106" t="str">
        <f t="shared" si="1"/>
        <v/>
      </c>
      <c r="J7618" t="str">
        <f>IFERROR(__xludf.DUMMYFUNCTION("IFS(
  AND(REGEXMATCH(E7618, ""台銀籌備帳戶|玉山帳戶""), REGEXMATCH(C7618, ""薪資"")), ""分潤支出"",
  AND(REGEXMATCH(E7618, ""Ben帳戶|Elsa帳戶|Ben代墊|Ariel代墊|中信銀行共用""), REGEXMATCH(F7618, ""Ben帳戶|Elsa帳戶|Ben代墊|Ariel代墊|中信銀行共用"")), ""內部轉帳(忽略)"",
  AND(E7618&lt;&gt;"""", F7618&lt;&gt;"""", N"&amp;"OT(REGEXMATCH(C7618, ""薪資""))), ""內部轉帳(忽略)"",
  REGEXMATCH(C7618, ""薪資""), ""薪資變動(不計入)"",
  REGEXMATCH(C7618, ""押金""), ""押金往來"",
  AND(E7618&lt;&gt;"""", F7618=""""), ""真實支出"",
  AND(E7618="""", F7618&lt;&gt;""""), ""真實收入"",
  TRUE, ""其他""
)"),"其他")</f>
        <v>其他</v>
      </c>
      <c r="K7618" s="270" t="str">
        <f t="shared" si="2"/>
        <v/>
      </c>
      <c r="L7618">
        <f t="shared" si="3"/>
        <v>0</v>
      </c>
    </row>
    <row r="7619">
      <c r="A7619" s="107"/>
      <c r="D7619" s="270"/>
      <c r="H7619" s="106" t="str">
        <f t="shared" si="1"/>
        <v/>
      </c>
      <c r="J7619" t="str">
        <f>IFERROR(__xludf.DUMMYFUNCTION("IFS(
  AND(REGEXMATCH(E7619, ""台銀籌備帳戶|玉山帳戶""), REGEXMATCH(C7619, ""薪資"")), ""分潤支出"",
  AND(REGEXMATCH(E7619, ""Ben帳戶|Elsa帳戶|Ben代墊|Ariel代墊|中信銀行共用""), REGEXMATCH(F7619, ""Ben帳戶|Elsa帳戶|Ben代墊|Ariel代墊|中信銀行共用"")), ""內部轉帳(忽略)"",
  AND(E7619&lt;&gt;"""", F7619&lt;&gt;"""", N"&amp;"OT(REGEXMATCH(C7619, ""薪資""))), ""內部轉帳(忽略)"",
  REGEXMATCH(C7619, ""薪資""), ""薪資變動(不計入)"",
  REGEXMATCH(C7619, ""押金""), ""押金往來"",
  AND(E7619&lt;&gt;"""", F7619=""""), ""真實支出"",
  AND(E7619="""", F7619&lt;&gt;""""), ""真實收入"",
  TRUE, ""其他""
)"),"其他")</f>
        <v>其他</v>
      </c>
      <c r="K7619" s="270" t="str">
        <f t="shared" si="2"/>
        <v/>
      </c>
      <c r="L7619">
        <f t="shared" si="3"/>
        <v>0</v>
      </c>
    </row>
    <row r="7620">
      <c r="A7620" s="107"/>
      <c r="D7620" s="270"/>
      <c r="H7620" s="106" t="str">
        <f t="shared" si="1"/>
        <v/>
      </c>
      <c r="J7620" t="str">
        <f>IFERROR(__xludf.DUMMYFUNCTION("IFS(
  AND(REGEXMATCH(E7620, ""台銀籌備帳戶|玉山帳戶""), REGEXMATCH(C7620, ""薪資"")), ""分潤支出"",
  AND(REGEXMATCH(E7620, ""Ben帳戶|Elsa帳戶|Ben代墊|Ariel代墊|中信銀行共用""), REGEXMATCH(F7620, ""Ben帳戶|Elsa帳戶|Ben代墊|Ariel代墊|中信銀行共用"")), ""內部轉帳(忽略)"",
  AND(E7620&lt;&gt;"""", F7620&lt;&gt;"""", N"&amp;"OT(REGEXMATCH(C7620, ""薪資""))), ""內部轉帳(忽略)"",
  REGEXMATCH(C7620, ""薪資""), ""薪資變動(不計入)"",
  REGEXMATCH(C7620, ""押金""), ""押金往來"",
  AND(E7620&lt;&gt;"""", F7620=""""), ""真實支出"",
  AND(E7620="""", F7620&lt;&gt;""""), ""真實收入"",
  TRUE, ""其他""
)"),"其他")</f>
        <v>其他</v>
      </c>
      <c r="K7620" s="270" t="str">
        <f t="shared" si="2"/>
        <v/>
      </c>
      <c r="L7620">
        <f t="shared" si="3"/>
        <v>0</v>
      </c>
    </row>
    <row r="7621">
      <c r="A7621" s="107"/>
      <c r="D7621" s="270"/>
      <c r="H7621" s="106" t="str">
        <f t="shared" si="1"/>
        <v/>
      </c>
      <c r="J7621" t="str">
        <f>IFERROR(__xludf.DUMMYFUNCTION("IFS(
  AND(REGEXMATCH(E7621, ""台銀籌備帳戶|玉山帳戶""), REGEXMATCH(C7621, ""薪資"")), ""分潤支出"",
  AND(REGEXMATCH(E7621, ""Ben帳戶|Elsa帳戶|Ben代墊|Ariel代墊|中信銀行共用""), REGEXMATCH(F7621, ""Ben帳戶|Elsa帳戶|Ben代墊|Ariel代墊|中信銀行共用"")), ""內部轉帳(忽略)"",
  AND(E7621&lt;&gt;"""", F7621&lt;&gt;"""", N"&amp;"OT(REGEXMATCH(C7621, ""薪資""))), ""內部轉帳(忽略)"",
  REGEXMATCH(C7621, ""薪資""), ""薪資變動(不計入)"",
  REGEXMATCH(C7621, ""押金""), ""押金往來"",
  AND(E7621&lt;&gt;"""", F7621=""""), ""真實支出"",
  AND(E7621="""", F7621&lt;&gt;""""), ""真實收入"",
  TRUE, ""其他""
)"),"其他")</f>
        <v>其他</v>
      </c>
      <c r="K7621" s="270" t="str">
        <f t="shared" si="2"/>
        <v/>
      </c>
      <c r="L7621">
        <f t="shared" si="3"/>
        <v>0</v>
      </c>
    </row>
    <row r="7622">
      <c r="A7622" s="107"/>
      <c r="D7622" s="270"/>
      <c r="H7622" s="106" t="str">
        <f t="shared" si="1"/>
        <v/>
      </c>
      <c r="J7622" t="str">
        <f>IFERROR(__xludf.DUMMYFUNCTION("IFS(
  AND(REGEXMATCH(E7622, ""台銀籌備帳戶|玉山帳戶""), REGEXMATCH(C7622, ""薪資"")), ""分潤支出"",
  AND(REGEXMATCH(E7622, ""Ben帳戶|Elsa帳戶|Ben代墊|Ariel代墊|中信銀行共用""), REGEXMATCH(F7622, ""Ben帳戶|Elsa帳戶|Ben代墊|Ariel代墊|中信銀行共用"")), ""內部轉帳(忽略)"",
  AND(E7622&lt;&gt;"""", F7622&lt;&gt;"""", N"&amp;"OT(REGEXMATCH(C7622, ""薪資""))), ""內部轉帳(忽略)"",
  REGEXMATCH(C7622, ""薪資""), ""薪資變動(不計入)"",
  REGEXMATCH(C7622, ""押金""), ""押金往來"",
  AND(E7622&lt;&gt;"""", F7622=""""), ""真實支出"",
  AND(E7622="""", F7622&lt;&gt;""""), ""真實收入"",
  TRUE, ""其他""
)"),"其他")</f>
        <v>其他</v>
      </c>
      <c r="K7622" s="270" t="str">
        <f t="shared" si="2"/>
        <v/>
      </c>
      <c r="L7622">
        <f t="shared" si="3"/>
        <v>0</v>
      </c>
    </row>
    <row r="7623">
      <c r="A7623" s="107"/>
      <c r="D7623" s="270"/>
      <c r="H7623" s="106" t="str">
        <f t="shared" si="1"/>
        <v/>
      </c>
      <c r="J7623" t="str">
        <f>IFERROR(__xludf.DUMMYFUNCTION("IFS(
  AND(REGEXMATCH(E7623, ""台銀籌備帳戶|玉山帳戶""), REGEXMATCH(C7623, ""薪資"")), ""分潤支出"",
  AND(REGEXMATCH(E7623, ""Ben帳戶|Elsa帳戶|Ben代墊|Ariel代墊|中信銀行共用""), REGEXMATCH(F7623, ""Ben帳戶|Elsa帳戶|Ben代墊|Ariel代墊|中信銀行共用"")), ""內部轉帳(忽略)"",
  AND(E7623&lt;&gt;"""", F7623&lt;&gt;"""", N"&amp;"OT(REGEXMATCH(C7623, ""薪資""))), ""內部轉帳(忽略)"",
  REGEXMATCH(C7623, ""薪資""), ""薪資變動(不計入)"",
  REGEXMATCH(C7623, ""押金""), ""押金往來"",
  AND(E7623&lt;&gt;"""", F7623=""""), ""真實支出"",
  AND(E7623="""", F7623&lt;&gt;""""), ""真實收入"",
  TRUE, ""其他""
)"),"其他")</f>
        <v>其他</v>
      </c>
      <c r="K7623" s="270" t="str">
        <f t="shared" si="2"/>
        <v/>
      </c>
      <c r="L7623">
        <f t="shared" si="3"/>
        <v>0</v>
      </c>
    </row>
    <row r="7624">
      <c r="A7624" s="107"/>
      <c r="D7624" s="270"/>
      <c r="H7624" s="106" t="str">
        <f t="shared" si="1"/>
        <v/>
      </c>
      <c r="J7624" t="str">
        <f>IFERROR(__xludf.DUMMYFUNCTION("IFS(
  AND(REGEXMATCH(E7624, ""台銀籌備帳戶|玉山帳戶""), REGEXMATCH(C7624, ""薪資"")), ""分潤支出"",
  AND(REGEXMATCH(E7624, ""Ben帳戶|Elsa帳戶|Ben代墊|Ariel代墊|中信銀行共用""), REGEXMATCH(F7624, ""Ben帳戶|Elsa帳戶|Ben代墊|Ariel代墊|中信銀行共用"")), ""內部轉帳(忽略)"",
  AND(E7624&lt;&gt;"""", F7624&lt;&gt;"""", N"&amp;"OT(REGEXMATCH(C7624, ""薪資""))), ""內部轉帳(忽略)"",
  REGEXMATCH(C7624, ""薪資""), ""薪資變動(不計入)"",
  REGEXMATCH(C7624, ""押金""), ""押金往來"",
  AND(E7624&lt;&gt;"""", F7624=""""), ""真實支出"",
  AND(E7624="""", F7624&lt;&gt;""""), ""真實收入"",
  TRUE, ""其他""
)"),"其他")</f>
        <v>其他</v>
      </c>
      <c r="K7624" s="270" t="str">
        <f t="shared" si="2"/>
        <v/>
      </c>
      <c r="L7624">
        <f t="shared" si="3"/>
        <v>0</v>
      </c>
    </row>
    <row r="7625">
      <c r="A7625" s="107"/>
      <c r="D7625" s="270"/>
      <c r="H7625" s="106" t="str">
        <f t="shared" si="1"/>
        <v/>
      </c>
      <c r="J7625" t="str">
        <f>IFERROR(__xludf.DUMMYFUNCTION("IFS(
  AND(REGEXMATCH(E7625, ""台銀籌備帳戶|玉山帳戶""), REGEXMATCH(C7625, ""薪資"")), ""分潤支出"",
  AND(REGEXMATCH(E7625, ""Ben帳戶|Elsa帳戶|Ben代墊|Ariel代墊|中信銀行共用""), REGEXMATCH(F7625, ""Ben帳戶|Elsa帳戶|Ben代墊|Ariel代墊|中信銀行共用"")), ""內部轉帳(忽略)"",
  AND(E7625&lt;&gt;"""", F7625&lt;&gt;"""", N"&amp;"OT(REGEXMATCH(C7625, ""薪資""))), ""內部轉帳(忽略)"",
  REGEXMATCH(C7625, ""薪資""), ""薪資變動(不計入)"",
  REGEXMATCH(C7625, ""押金""), ""押金往來"",
  AND(E7625&lt;&gt;"""", F7625=""""), ""真實支出"",
  AND(E7625="""", F7625&lt;&gt;""""), ""真實收入"",
  TRUE, ""其他""
)"),"其他")</f>
        <v>其他</v>
      </c>
      <c r="K7625" s="270" t="str">
        <f t="shared" si="2"/>
        <v/>
      </c>
      <c r="L7625">
        <f t="shared" si="3"/>
        <v>0</v>
      </c>
    </row>
    <row r="7626">
      <c r="A7626" s="107"/>
      <c r="D7626" s="270"/>
      <c r="H7626" s="106" t="str">
        <f t="shared" si="1"/>
        <v/>
      </c>
      <c r="J7626" t="str">
        <f>IFERROR(__xludf.DUMMYFUNCTION("IFS(
  AND(REGEXMATCH(E7626, ""台銀籌備帳戶|玉山帳戶""), REGEXMATCH(C7626, ""薪資"")), ""分潤支出"",
  AND(REGEXMATCH(E7626, ""Ben帳戶|Elsa帳戶|Ben代墊|Ariel代墊|中信銀行共用""), REGEXMATCH(F7626, ""Ben帳戶|Elsa帳戶|Ben代墊|Ariel代墊|中信銀行共用"")), ""內部轉帳(忽略)"",
  AND(E7626&lt;&gt;"""", F7626&lt;&gt;"""", N"&amp;"OT(REGEXMATCH(C7626, ""薪資""))), ""內部轉帳(忽略)"",
  REGEXMATCH(C7626, ""薪資""), ""薪資變動(不計入)"",
  REGEXMATCH(C7626, ""押金""), ""押金往來"",
  AND(E7626&lt;&gt;"""", F7626=""""), ""真實支出"",
  AND(E7626="""", F7626&lt;&gt;""""), ""真實收入"",
  TRUE, ""其他""
)"),"其他")</f>
        <v>其他</v>
      </c>
      <c r="K7626" s="270" t="str">
        <f t="shared" si="2"/>
        <v/>
      </c>
      <c r="L7626">
        <f t="shared" si="3"/>
        <v>0</v>
      </c>
    </row>
    <row r="7627">
      <c r="A7627" s="107"/>
      <c r="D7627" s="270"/>
      <c r="H7627" s="106" t="str">
        <f t="shared" si="1"/>
        <v/>
      </c>
      <c r="J7627" t="str">
        <f>IFERROR(__xludf.DUMMYFUNCTION("IFS(
  AND(REGEXMATCH(E7627, ""台銀籌備帳戶|玉山帳戶""), REGEXMATCH(C7627, ""薪資"")), ""分潤支出"",
  AND(REGEXMATCH(E7627, ""Ben帳戶|Elsa帳戶|Ben代墊|Ariel代墊|中信銀行共用""), REGEXMATCH(F7627, ""Ben帳戶|Elsa帳戶|Ben代墊|Ariel代墊|中信銀行共用"")), ""內部轉帳(忽略)"",
  AND(E7627&lt;&gt;"""", F7627&lt;&gt;"""", N"&amp;"OT(REGEXMATCH(C7627, ""薪資""))), ""內部轉帳(忽略)"",
  REGEXMATCH(C7627, ""薪資""), ""薪資變動(不計入)"",
  REGEXMATCH(C7627, ""押金""), ""押金往來"",
  AND(E7627&lt;&gt;"""", F7627=""""), ""真實支出"",
  AND(E7627="""", F7627&lt;&gt;""""), ""真實收入"",
  TRUE, ""其他""
)"),"其他")</f>
        <v>其他</v>
      </c>
      <c r="K7627" s="270" t="str">
        <f t="shared" si="2"/>
        <v/>
      </c>
      <c r="L7627">
        <f t="shared" si="3"/>
        <v>0</v>
      </c>
    </row>
    <row r="7628">
      <c r="A7628" s="107"/>
      <c r="D7628" s="270"/>
      <c r="H7628" s="106" t="str">
        <f t="shared" si="1"/>
        <v/>
      </c>
      <c r="J7628" t="str">
        <f>IFERROR(__xludf.DUMMYFUNCTION("IFS(
  AND(REGEXMATCH(E7628, ""台銀籌備帳戶|玉山帳戶""), REGEXMATCH(C7628, ""薪資"")), ""分潤支出"",
  AND(REGEXMATCH(E7628, ""Ben帳戶|Elsa帳戶|Ben代墊|Ariel代墊|中信銀行共用""), REGEXMATCH(F7628, ""Ben帳戶|Elsa帳戶|Ben代墊|Ariel代墊|中信銀行共用"")), ""內部轉帳(忽略)"",
  AND(E7628&lt;&gt;"""", F7628&lt;&gt;"""", N"&amp;"OT(REGEXMATCH(C7628, ""薪資""))), ""內部轉帳(忽略)"",
  REGEXMATCH(C7628, ""薪資""), ""薪資變動(不計入)"",
  REGEXMATCH(C7628, ""押金""), ""押金往來"",
  AND(E7628&lt;&gt;"""", F7628=""""), ""真實支出"",
  AND(E7628="""", F7628&lt;&gt;""""), ""真實收入"",
  TRUE, ""其他""
)"),"其他")</f>
        <v>其他</v>
      </c>
      <c r="K7628" s="270" t="str">
        <f t="shared" si="2"/>
        <v/>
      </c>
      <c r="L7628">
        <f t="shared" si="3"/>
        <v>0</v>
      </c>
    </row>
    <row r="7629">
      <c r="A7629" s="107"/>
      <c r="D7629" s="270"/>
      <c r="H7629" s="106" t="str">
        <f t="shared" si="1"/>
        <v/>
      </c>
      <c r="J7629" t="str">
        <f>IFERROR(__xludf.DUMMYFUNCTION("IFS(
  AND(REGEXMATCH(E7629, ""台銀籌備帳戶|玉山帳戶""), REGEXMATCH(C7629, ""薪資"")), ""分潤支出"",
  AND(REGEXMATCH(E7629, ""Ben帳戶|Elsa帳戶|Ben代墊|Ariel代墊|中信銀行共用""), REGEXMATCH(F7629, ""Ben帳戶|Elsa帳戶|Ben代墊|Ariel代墊|中信銀行共用"")), ""內部轉帳(忽略)"",
  AND(E7629&lt;&gt;"""", F7629&lt;&gt;"""", N"&amp;"OT(REGEXMATCH(C7629, ""薪資""))), ""內部轉帳(忽略)"",
  REGEXMATCH(C7629, ""薪資""), ""薪資變動(不計入)"",
  REGEXMATCH(C7629, ""押金""), ""押金往來"",
  AND(E7629&lt;&gt;"""", F7629=""""), ""真實支出"",
  AND(E7629="""", F7629&lt;&gt;""""), ""真實收入"",
  TRUE, ""其他""
)"),"其他")</f>
        <v>其他</v>
      </c>
      <c r="K7629" s="270" t="str">
        <f t="shared" si="2"/>
        <v/>
      </c>
      <c r="L7629">
        <f t="shared" si="3"/>
        <v>0</v>
      </c>
    </row>
    <row r="7630">
      <c r="A7630" s="107"/>
      <c r="D7630" s="270"/>
      <c r="H7630" s="106" t="str">
        <f t="shared" si="1"/>
        <v/>
      </c>
      <c r="J7630" t="str">
        <f>IFERROR(__xludf.DUMMYFUNCTION("IFS(
  AND(REGEXMATCH(E7630, ""台銀籌備帳戶|玉山帳戶""), REGEXMATCH(C7630, ""薪資"")), ""分潤支出"",
  AND(REGEXMATCH(E7630, ""Ben帳戶|Elsa帳戶|Ben代墊|Ariel代墊|中信銀行共用""), REGEXMATCH(F7630, ""Ben帳戶|Elsa帳戶|Ben代墊|Ariel代墊|中信銀行共用"")), ""內部轉帳(忽略)"",
  AND(E7630&lt;&gt;"""", F7630&lt;&gt;"""", N"&amp;"OT(REGEXMATCH(C7630, ""薪資""))), ""內部轉帳(忽略)"",
  REGEXMATCH(C7630, ""薪資""), ""薪資變動(不計入)"",
  REGEXMATCH(C7630, ""押金""), ""押金往來"",
  AND(E7630&lt;&gt;"""", F7630=""""), ""真實支出"",
  AND(E7630="""", F7630&lt;&gt;""""), ""真實收入"",
  TRUE, ""其他""
)"),"其他")</f>
        <v>其他</v>
      </c>
      <c r="K7630" s="270" t="str">
        <f t="shared" si="2"/>
        <v/>
      </c>
      <c r="L7630">
        <f t="shared" si="3"/>
        <v>0</v>
      </c>
    </row>
    <row r="7631">
      <c r="A7631" s="107"/>
      <c r="D7631" s="270"/>
      <c r="H7631" s="106" t="str">
        <f t="shared" si="1"/>
        <v/>
      </c>
      <c r="J7631" t="str">
        <f>IFERROR(__xludf.DUMMYFUNCTION("IFS(
  AND(REGEXMATCH(E7631, ""台銀籌備帳戶|玉山帳戶""), REGEXMATCH(C7631, ""薪資"")), ""分潤支出"",
  AND(REGEXMATCH(E7631, ""Ben帳戶|Elsa帳戶|Ben代墊|Ariel代墊|中信銀行共用""), REGEXMATCH(F7631, ""Ben帳戶|Elsa帳戶|Ben代墊|Ariel代墊|中信銀行共用"")), ""內部轉帳(忽略)"",
  AND(E7631&lt;&gt;"""", F7631&lt;&gt;"""", N"&amp;"OT(REGEXMATCH(C7631, ""薪資""))), ""內部轉帳(忽略)"",
  REGEXMATCH(C7631, ""薪資""), ""薪資變動(不計入)"",
  REGEXMATCH(C7631, ""押金""), ""押金往來"",
  AND(E7631&lt;&gt;"""", F7631=""""), ""真實支出"",
  AND(E7631="""", F7631&lt;&gt;""""), ""真實收入"",
  TRUE, ""其他""
)"),"其他")</f>
        <v>其他</v>
      </c>
      <c r="K7631" s="270" t="str">
        <f t="shared" si="2"/>
        <v/>
      </c>
      <c r="L7631">
        <f t="shared" si="3"/>
        <v>0</v>
      </c>
    </row>
    <row r="7632">
      <c r="A7632" s="107"/>
      <c r="D7632" s="270"/>
      <c r="H7632" s="106" t="str">
        <f t="shared" si="1"/>
        <v/>
      </c>
      <c r="J7632" t="str">
        <f>IFERROR(__xludf.DUMMYFUNCTION("IFS(
  AND(REGEXMATCH(E7632, ""台銀籌備帳戶|玉山帳戶""), REGEXMATCH(C7632, ""薪資"")), ""分潤支出"",
  AND(REGEXMATCH(E7632, ""Ben帳戶|Elsa帳戶|Ben代墊|Ariel代墊|中信銀行共用""), REGEXMATCH(F7632, ""Ben帳戶|Elsa帳戶|Ben代墊|Ariel代墊|中信銀行共用"")), ""內部轉帳(忽略)"",
  AND(E7632&lt;&gt;"""", F7632&lt;&gt;"""", N"&amp;"OT(REGEXMATCH(C7632, ""薪資""))), ""內部轉帳(忽略)"",
  REGEXMATCH(C7632, ""薪資""), ""薪資變動(不計入)"",
  REGEXMATCH(C7632, ""押金""), ""押金往來"",
  AND(E7632&lt;&gt;"""", F7632=""""), ""真實支出"",
  AND(E7632="""", F7632&lt;&gt;""""), ""真實收入"",
  TRUE, ""其他""
)"),"其他")</f>
        <v>其他</v>
      </c>
      <c r="K7632" s="270" t="str">
        <f t="shared" si="2"/>
        <v/>
      </c>
      <c r="L7632">
        <f t="shared" si="3"/>
        <v>0</v>
      </c>
    </row>
    <row r="7633">
      <c r="A7633" s="107"/>
      <c r="D7633" s="270"/>
      <c r="H7633" s="106" t="str">
        <f t="shared" si="1"/>
        <v/>
      </c>
      <c r="J7633" t="str">
        <f>IFERROR(__xludf.DUMMYFUNCTION("IFS(
  AND(REGEXMATCH(E7633, ""台銀籌備帳戶|玉山帳戶""), REGEXMATCH(C7633, ""薪資"")), ""分潤支出"",
  AND(REGEXMATCH(E7633, ""Ben帳戶|Elsa帳戶|Ben代墊|Ariel代墊|中信銀行共用""), REGEXMATCH(F7633, ""Ben帳戶|Elsa帳戶|Ben代墊|Ariel代墊|中信銀行共用"")), ""內部轉帳(忽略)"",
  AND(E7633&lt;&gt;"""", F7633&lt;&gt;"""", N"&amp;"OT(REGEXMATCH(C7633, ""薪資""))), ""內部轉帳(忽略)"",
  REGEXMATCH(C7633, ""薪資""), ""薪資變動(不計入)"",
  REGEXMATCH(C7633, ""押金""), ""押金往來"",
  AND(E7633&lt;&gt;"""", F7633=""""), ""真實支出"",
  AND(E7633="""", F7633&lt;&gt;""""), ""真實收入"",
  TRUE, ""其他""
)"),"其他")</f>
        <v>其他</v>
      </c>
      <c r="K7633" s="270" t="str">
        <f t="shared" si="2"/>
        <v/>
      </c>
      <c r="L7633">
        <f t="shared" si="3"/>
        <v>0</v>
      </c>
    </row>
    <row r="7634">
      <c r="A7634" s="107"/>
      <c r="D7634" s="270"/>
      <c r="H7634" s="106" t="str">
        <f t="shared" si="1"/>
        <v/>
      </c>
      <c r="J7634" t="str">
        <f>IFERROR(__xludf.DUMMYFUNCTION("IFS(
  AND(REGEXMATCH(E7634, ""台銀籌備帳戶|玉山帳戶""), REGEXMATCH(C7634, ""薪資"")), ""分潤支出"",
  AND(REGEXMATCH(E7634, ""Ben帳戶|Elsa帳戶|Ben代墊|Ariel代墊|中信銀行共用""), REGEXMATCH(F7634, ""Ben帳戶|Elsa帳戶|Ben代墊|Ariel代墊|中信銀行共用"")), ""內部轉帳(忽略)"",
  AND(E7634&lt;&gt;"""", F7634&lt;&gt;"""", N"&amp;"OT(REGEXMATCH(C7634, ""薪資""))), ""內部轉帳(忽略)"",
  REGEXMATCH(C7634, ""薪資""), ""薪資變動(不計入)"",
  REGEXMATCH(C7634, ""押金""), ""押金往來"",
  AND(E7634&lt;&gt;"""", F7634=""""), ""真實支出"",
  AND(E7634="""", F7634&lt;&gt;""""), ""真實收入"",
  TRUE, ""其他""
)"),"其他")</f>
        <v>其他</v>
      </c>
      <c r="K7634" s="270" t="str">
        <f t="shared" si="2"/>
        <v/>
      </c>
      <c r="L7634">
        <f t="shared" si="3"/>
        <v>0</v>
      </c>
    </row>
    <row r="7635">
      <c r="A7635" s="107"/>
      <c r="D7635" s="270"/>
      <c r="H7635" s="106" t="str">
        <f t="shared" si="1"/>
        <v/>
      </c>
      <c r="J7635" t="str">
        <f>IFERROR(__xludf.DUMMYFUNCTION("IFS(
  AND(REGEXMATCH(E7635, ""台銀籌備帳戶|玉山帳戶""), REGEXMATCH(C7635, ""薪資"")), ""分潤支出"",
  AND(REGEXMATCH(E7635, ""Ben帳戶|Elsa帳戶|Ben代墊|Ariel代墊|中信銀行共用""), REGEXMATCH(F7635, ""Ben帳戶|Elsa帳戶|Ben代墊|Ariel代墊|中信銀行共用"")), ""內部轉帳(忽略)"",
  AND(E7635&lt;&gt;"""", F7635&lt;&gt;"""", N"&amp;"OT(REGEXMATCH(C7635, ""薪資""))), ""內部轉帳(忽略)"",
  REGEXMATCH(C7635, ""薪資""), ""薪資變動(不計入)"",
  REGEXMATCH(C7635, ""押金""), ""押金往來"",
  AND(E7635&lt;&gt;"""", F7635=""""), ""真實支出"",
  AND(E7635="""", F7635&lt;&gt;""""), ""真實收入"",
  TRUE, ""其他""
)"),"其他")</f>
        <v>其他</v>
      </c>
      <c r="K7635" s="270" t="str">
        <f t="shared" si="2"/>
        <v/>
      </c>
      <c r="L7635">
        <f t="shared" si="3"/>
        <v>0</v>
      </c>
    </row>
    <row r="7636">
      <c r="A7636" s="107"/>
      <c r="D7636" s="270"/>
      <c r="H7636" s="106" t="str">
        <f t="shared" si="1"/>
        <v/>
      </c>
      <c r="J7636" t="str">
        <f>IFERROR(__xludf.DUMMYFUNCTION("IFS(
  AND(REGEXMATCH(E7636, ""台銀籌備帳戶|玉山帳戶""), REGEXMATCH(C7636, ""薪資"")), ""分潤支出"",
  AND(REGEXMATCH(E7636, ""Ben帳戶|Elsa帳戶|Ben代墊|Ariel代墊|中信銀行共用""), REGEXMATCH(F7636, ""Ben帳戶|Elsa帳戶|Ben代墊|Ariel代墊|中信銀行共用"")), ""內部轉帳(忽略)"",
  AND(E7636&lt;&gt;"""", F7636&lt;&gt;"""", N"&amp;"OT(REGEXMATCH(C7636, ""薪資""))), ""內部轉帳(忽略)"",
  REGEXMATCH(C7636, ""薪資""), ""薪資變動(不計入)"",
  REGEXMATCH(C7636, ""押金""), ""押金往來"",
  AND(E7636&lt;&gt;"""", F7636=""""), ""真實支出"",
  AND(E7636="""", F7636&lt;&gt;""""), ""真實收入"",
  TRUE, ""其他""
)"),"其他")</f>
        <v>其他</v>
      </c>
      <c r="K7636" s="270" t="str">
        <f t="shared" si="2"/>
        <v/>
      </c>
      <c r="L7636">
        <f t="shared" si="3"/>
        <v>0</v>
      </c>
    </row>
    <row r="7637">
      <c r="A7637" s="107"/>
      <c r="D7637" s="270"/>
      <c r="H7637" s="106" t="str">
        <f t="shared" si="1"/>
        <v/>
      </c>
      <c r="J7637" t="str">
        <f>IFERROR(__xludf.DUMMYFUNCTION("IFS(
  AND(REGEXMATCH(E7637, ""台銀籌備帳戶|玉山帳戶""), REGEXMATCH(C7637, ""薪資"")), ""分潤支出"",
  AND(REGEXMATCH(E7637, ""Ben帳戶|Elsa帳戶|Ben代墊|Ariel代墊|中信銀行共用""), REGEXMATCH(F7637, ""Ben帳戶|Elsa帳戶|Ben代墊|Ariel代墊|中信銀行共用"")), ""內部轉帳(忽略)"",
  AND(E7637&lt;&gt;"""", F7637&lt;&gt;"""", N"&amp;"OT(REGEXMATCH(C7637, ""薪資""))), ""內部轉帳(忽略)"",
  REGEXMATCH(C7637, ""薪資""), ""薪資變動(不計入)"",
  REGEXMATCH(C7637, ""押金""), ""押金往來"",
  AND(E7637&lt;&gt;"""", F7637=""""), ""真實支出"",
  AND(E7637="""", F7637&lt;&gt;""""), ""真實收入"",
  TRUE, ""其他""
)"),"其他")</f>
        <v>其他</v>
      </c>
      <c r="K7637" s="270" t="str">
        <f t="shared" si="2"/>
        <v/>
      </c>
      <c r="L7637">
        <f t="shared" si="3"/>
        <v>0</v>
      </c>
    </row>
    <row r="7638">
      <c r="A7638" s="107"/>
      <c r="D7638" s="270"/>
      <c r="H7638" s="106" t="str">
        <f t="shared" si="1"/>
        <v/>
      </c>
      <c r="J7638" t="str">
        <f>IFERROR(__xludf.DUMMYFUNCTION("IFS(
  AND(REGEXMATCH(E7638, ""台銀籌備帳戶|玉山帳戶""), REGEXMATCH(C7638, ""薪資"")), ""分潤支出"",
  AND(REGEXMATCH(E7638, ""Ben帳戶|Elsa帳戶|Ben代墊|Ariel代墊|中信銀行共用""), REGEXMATCH(F7638, ""Ben帳戶|Elsa帳戶|Ben代墊|Ariel代墊|中信銀行共用"")), ""內部轉帳(忽略)"",
  AND(E7638&lt;&gt;"""", F7638&lt;&gt;"""", N"&amp;"OT(REGEXMATCH(C7638, ""薪資""))), ""內部轉帳(忽略)"",
  REGEXMATCH(C7638, ""薪資""), ""薪資變動(不計入)"",
  REGEXMATCH(C7638, ""押金""), ""押金往來"",
  AND(E7638&lt;&gt;"""", F7638=""""), ""真實支出"",
  AND(E7638="""", F7638&lt;&gt;""""), ""真實收入"",
  TRUE, ""其他""
)"),"其他")</f>
        <v>其他</v>
      </c>
      <c r="K7638" s="270" t="str">
        <f t="shared" si="2"/>
        <v/>
      </c>
      <c r="L7638">
        <f t="shared" si="3"/>
        <v>0</v>
      </c>
    </row>
    <row r="7639">
      <c r="A7639" s="107"/>
      <c r="D7639" s="270"/>
      <c r="H7639" s="106" t="str">
        <f t="shared" si="1"/>
        <v/>
      </c>
      <c r="J7639" t="str">
        <f>IFERROR(__xludf.DUMMYFUNCTION("IFS(
  AND(REGEXMATCH(E7639, ""台銀籌備帳戶|玉山帳戶""), REGEXMATCH(C7639, ""薪資"")), ""分潤支出"",
  AND(REGEXMATCH(E7639, ""Ben帳戶|Elsa帳戶|Ben代墊|Ariel代墊|中信銀行共用""), REGEXMATCH(F7639, ""Ben帳戶|Elsa帳戶|Ben代墊|Ariel代墊|中信銀行共用"")), ""內部轉帳(忽略)"",
  AND(E7639&lt;&gt;"""", F7639&lt;&gt;"""", N"&amp;"OT(REGEXMATCH(C7639, ""薪資""))), ""內部轉帳(忽略)"",
  REGEXMATCH(C7639, ""薪資""), ""薪資變動(不計入)"",
  REGEXMATCH(C7639, ""押金""), ""押金往來"",
  AND(E7639&lt;&gt;"""", F7639=""""), ""真實支出"",
  AND(E7639="""", F7639&lt;&gt;""""), ""真實收入"",
  TRUE, ""其他""
)"),"其他")</f>
        <v>其他</v>
      </c>
      <c r="K7639" s="270" t="str">
        <f t="shared" si="2"/>
        <v/>
      </c>
      <c r="L7639">
        <f t="shared" si="3"/>
        <v>0</v>
      </c>
    </row>
    <row r="7640">
      <c r="A7640" s="107"/>
      <c r="D7640" s="270"/>
      <c r="H7640" s="106" t="str">
        <f t="shared" si="1"/>
        <v/>
      </c>
      <c r="J7640" t="str">
        <f>IFERROR(__xludf.DUMMYFUNCTION("IFS(
  AND(REGEXMATCH(E7640, ""台銀籌備帳戶|玉山帳戶""), REGEXMATCH(C7640, ""薪資"")), ""分潤支出"",
  AND(REGEXMATCH(E7640, ""Ben帳戶|Elsa帳戶|Ben代墊|Ariel代墊|中信銀行共用""), REGEXMATCH(F7640, ""Ben帳戶|Elsa帳戶|Ben代墊|Ariel代墊|中信銀行共用"")), ""內部轉帳(忽略)"",
  AND(E7640&lt;&gt;"""", F7640&lt;&gt;"""", N"&amp;"OT(REGEXMATCH(C7640, ""薪資""))), ""內部轉帳(忽略)"",
  REGEXMATCH(C7640, ""薪資""), ""薪資變動(不計入)"",
  REGEXMATCH(C7640, ""押金""), ""押金往來"",
  AND(E7640&lt;&gt;"""", F7640=""""), ""真實支出"",
  AND(E7640="""", F7640&lt;&gt;""""), ""真實收入"",
  TRUE, ""其他""
)"),"其他")</f>
        <v>其他</v>
      </c>
      <c r="K7640" s="270" t="str">
        <f t="shared" si="2"/>
        <v/>
      </c>
      <c r="L7640">
        <f t="shared" si="3"/>
        <v>0</v>
      </c>
    </row>
    <row r="7641">
      <c r="A7641" s="107"/>
      <c r="D7641" s="270"/>
      <c r="H7641" s="106" t="str">
        <f t="shared" si="1"/>
        <v/>
      </c>
      <c r="J7641" t="str">
        <f>IFERROR(__xludf.DUMMYFUNCTION("IFS(
  AND(REGEXMATCH(E7641, ""台銀籌備帳戶|玉山帳戶""), REGEXMATCH(C7641, ""薪資"")), ""分潤支出"",
  AND(REGEXMATCH(E7641, ""Ben帳戶|Elsa帳戶|Ben代墊|Ariel代墊|中信銀行共用""), REGEXMATCH(F7641, ""Ben帳戶|Elsa帳戶|Ben代墊|Ariel代墊|中信銀行共用"")), ""內部轉帳(忽略)"",
  AND(E7641&lt;&gt;"""", F7641&lt;&gt;"""", N"&amp;"OT(REGEXMATCH(C7641, ""薪資""))), ""內部轉帳(忽略)"",
  REGEXMATCH(C7641, ""薪資""), ""薪資變動(不計入)"",
  REGEXMATCH(C7641, ""押金""), ""押金往來"",
  AND(E7641&lt;&gt;"""", F7641=""""), ""真實支出"",
  AND(E7641="""", F7641&lt;&gt;""""), ""真實收入"",
  TRUE, ""其他""
)"),"其他")</f>
        <v>其他</v>
      </c>
      <c r="K7641" s="270" t="str">
        <f t="shared" si="2"/>
        <v/>
      </c>
      <c r="L7641">
        <f t="shared" si="3"/>
        <v>0</v>
      </c>
    </row>
    <row r="7642">
      <c r="A7642" s="107"/>
      <c r="D7642" s="270"/>
      <c r="H7642" s="106" t="str">
        <f t="shared" si="1"/>
        <v/>
      </c>
      <c r="J7642" t="str">
        <f>IFERROR(__xludf.DUMMYFUNCTION("IFS(
  AND(REGEXMATCH(E7642, ""台銀籌備帳戶|玉山帳戶""), REGEXMATCH(C7642, ""薪資"")), ""分潤支出"",
  AND(REGEXMATCH(E7642, ""Ben帳戶|Elsa帳戶|Ben代墊|Ariel代墊|中信銀行共用""), REGEXMATCH(F7642, ""Ben帳戶|Elsa帳戶|Ben代墊|Ariel代墊|中信銀行共用"")), ""內部轉帳(忽略)"",
  AND(E7642&lt;&gt;"""", F7642&lt;&gt;"""", N"&amp;"OT(REGEXMATCH(C7642, ""薪資""))), ""內部轉帳(忽略)"",
  REGEXMATCH(C7642, ""薪資""), ""薪資變動(不計入)"",
  REGEXMATCH(C7642, ""押金""), ""押金往來"",
  AND(E7642&lt;&gt;"""", F7642=""""), ""真實支出"",
  AND(E7642="""", F7642&lt;&gt;""""), ""真實收入"",
  TRUE, ""其他""
)"),"其他")</f>
        <v>其他</v>
      </c>
      <c r="K7642" s="270" t="str">
        <f t="shared" si="2"/>
        <v/>
      </c>
      <c r="L7642">
        <f t="shared" si="3"/>
        <v>0</v>
      </c>
    </row>
    <row r="7643">
      <c r="A7643" s="107"/>
      <c r="D7643" s="270"/>
      <c r="H7643" s="106" t="str">
        <f t="shared" si="1"/>
        <v/>
      </c>
      <c r="J7643" t="str">
        <f>IFERROR(__xludf.DUMMYFUNCTION("IFS(
  AND(REGEXMATCH(E7643, ""台銀籌備帳戶|玉山帳戶""), REGEXMATCH(C7643, ""薪資"")), ""分潤支出"",
  AND(REGEXMATCH(E7643, ""Ben帳戶|Elsa帳戶|Ben代墊|Ariel代墊|中信銀行共用""), REGEXMATCH(F7643, ""Ben帳戶|Elsa帳戶|Ben代墊|Ariel代墊|中信銀行共用"")), ""內部轉帳(忽略)"",
  AND(E7643&lt;&gt;"""", F7643&lt;&gt;"""", N"&amp;"OT(REGEXMATCH(C7643, ""薪資""))), ""內部轉帳(忽略)"",
  REGEXMATCH(C7643, ""薪資""), ""薪資變動(不計入)"",
  REGEXMATCH(C7643, ""押金""), ""押金往來"",
  AND(E7643&lt;&gt;"""", F7643=""""), ""真實支出"",
  AND(E7643="""", F7643&lt;&gt;""""), ""真實收入"",
  TRUE, ""其他""
)"),"其他")</f>
        <v>其他</v>
      </c>
      <c r="K7643" s="270" t="str">
        <f t="shared" si="2"/>
        <v/>
      </c>
      <c r="L7643">
        <f t="shared" si="3"/>
        <v>0</v>
      </c>
    </row>
    <row r="7644">
      <c r="A7644" s="107"/>
      <c r="D7644" s="270"/>
      <c r="H7644" s="106" t="str">
        <f t="shared" si="1"/>
        <v/>
      </c>
      <c r="J7644" t="str">
        <f>IFERROR(__xludf.DUMMYFUNCTION("IFS(
  AND(REGEXMATCH(E7644, ""台銀籌備帳戶|玉山帳戶""), REGEXMATCH(C7644, ""薪資"")), ""分潤支出"",
  AND(REGEXMATCH(E7644, ""Ben帳戶|Elsa帳戶|Ben代墊|Ariel代墊|中信銀行共用""), REGEXMATCH(F7644, ""Ben帳戶|Elsa帳戶|Ben代墊|Ariel代墊|中信銀行共用"")), ""內部轉帳(忽略)"",
  AND(E7644&lt;&gt;"""", F7644&lt;&gt;"""", N"&amp;"OT(REGEXMATCH(C7644, ""薪資""))), ""內部轉帳(忽略)"",
  REGEXMATCH(C7644, ""薪資""), ""薪資變動(不計入)"",
  REGEXMATCH(C7644, ""押金""), ""押金往來"",
  AND(E7644&lt;&gt;"""", F7644=""""), ""真實支出"",
  AND(E7644="""", F7644&lt;&gt;""""), ""真實收入"",
  TRUE, ""其他""
)"),"其他")</f>
        <v>其他</v>
      </c>
      <c r="K7644" s="270" t="str">
        <f t="shared" si="2"/>
        <v/>
      </c>
      <c r="L7644">
        <f t="shared" si="3"/>
        <v>0</v>
      </c>
    </row>
    <row r="7645">
      <c r="A7645" s="107"/>
      <c r="D7645" s="270"/>
      <c r="H7645" s="106" t="str">
        <f t="shared" si="1"/>
        <v/>
      </c>
      <c r="J7645" t="str">
        <f>IFERROR(__xludf.DUMMYFUNCTION("IFS(
  AND(REGEXMATCH(E7645, ""台銀籌備帳戶|玉山帳戶""), REGEXMATCH(C7645, ""薪資"")), ""分潤支出"",
  AND(REGEXMATCH(E7645, ""Ben帳戶|Elsa帳戶|Ben代墊|Ariel代墊|中信銀行共用""), REGEXMATCH(F7645, ""Ben帳戶|Elsa帳戶|Ben代墊|Ariel代墊|中信銀行共用"")), ""內部轉帳(忽略)"",
  AND(E7645&lt;&gt;"""", F7645&lt;&gt;"""", N"&amp;"OT(REGEXMATCH(C7645, ""薪資""))), ""內部轉帳(忽略)"",
  REGEXMATCH(C7645, ""薪資""), ""薪資變動(不計入)"",
  REGEXMATCH(C7645, ""押金""), ""押金往來"",
  AND(E7645&lt;&gt;"""", F7645=""""), ""真實支出"",
  AND(E7645="""", F7645&lt;&gt;""""), ""真實收入"",
  TRUE, ""其他""
)"),"其他")</f>
        <v>其他</v>
      </c>
      <c r="K7645" s="270" t="str">
        <f t="shared" si="2"/>
        <v/>
      </c>
      <c r="L7645">
        <f t="shared" si="3"/>
        <v>0</v>
      </c>
    </row>
    <row r="7646">
      <c r="A7646" s="107"/>
      <c r="D7646" s="270"/>
      <c r="H7646" s="106" t="str">
        <f t="shared" si="1"/>
        <v/>
      </c>
      <c r="J7646" t="str">
        <f>IFERROR(__xludf.DUMMYFUNCTION("IFS(
  AND(REGEXMATCH(E7646, ""台銀籌備帳戶|玉山帳戶""), REGEXMATCH(C7646, ""薪資"")), ""分潤支出"",
  AND(REGEXMATCH(E7646, ""Ben帳戶|Elsa帳戶|Ben代墊|Ariel代墊|中信銀行共用""), REGEXMATCH(F7646, ""Ben帳戶|Elsa帳戶|Ben代墊|Ariel代墊|中信銀行共用"")), ""內部轉帳(忽略)"",
  AND(E7646&lt;&gt;"""", F7646&lt;&gt;"""", N"&amp;"OT(REGEXMATCH(C7646, ""薪資""))), ""內部轉帳(忽略)"",
  REGEXMATCH(C7646, ""薪資""), ""薪資變動(不計入)"",
  REGEXMATCH(C7646, ""押金""), ""押金往來"",
  AND(E7646&lt;&gt;"""", F7646=""""), ""真實支出"",
  AND(E7646="""", F7646&lt;&gt;""""), ""真實收入"",
  TRUE, ""其他""
)"),"其他")</f>
        <v>其他</v>
      </c>
      <c r="K7646" s="270" t="str">
        <f t="shared" si="2"/>
        <v/>
      </c>
      <c r="L7646">
        <f t="shared" si="3"/>
        <v>0</v>
      </c>
    </row>
    <row r="7647">
      <c r="A7647" s="107"/>
      <c r="D7647" s="270"/>
      <c r="H7647" s="106" t="str">
        <f t="shared" si="1"/>
        <v/>
      </c>
      <c r="J7647" t="str">
        <f>IFERROR(__xludf.DUMMYFUNCTION("IFS(
  AND(REGEXMATCH(E7647, ""台銀籌備帳戶|玉山帳戶""), REGEXMATCH(C7647, ""薪資"")), ""分潤支出"",
  AND(REGEXMATCH(E7647, ""Ben帳戶|Elsa帳戶|Ben代墊|Ariel代墊|中信銀行共用""), REGEXMATCH(F7647, ""Ben帳戶|Elsa帳戶|Ben代墊|Ariel代墊|中信銀行共用"")), ""內部轉帳(忽略)"",
  AND(E7647&lt;&gt;"""", F7647&lt;&gt;"""", N"&amp;"OT(REGEXMATCH(C7647, ""薪資""))), ""內部轉帳(忽略)"",
  REGEXMATCH(C7647, ""薪資""), ""薪資變動(不計入)"",
  REGEXMATCH(C7647, ""押金""), ""押金往來"",
  AND(E7647&lt;&gt;"""", F7647=""""), ""真實支出"",
  AND(E7647="""", F7647&lt;&gt;""""), ""真實收入"",
  TRUE, ""其他""
)"),"其他")</f>
        <v>其他</v>
      </c>
      <c r="K7647" s="270" t="str">
        <f t="shared" si="2"/>
        <v/>
      </c>
      <c r="L7647">
        <f t="shared" si="3"/>
        <v>0</v>
      </c>
    </row>
    <row r="7648">
      <c r="A7648" s="107"/>
      <c r="D7648" s="270"/>
      <c r="H7648" s="106" t="str">
        <f t="shared" si="1"/>
        <v/>
      </c>
      <c r="J7648" t="str">
        <f>IFERROR(__xludf.DUMMYFUNCTION("IFS(
  AND(REGEXMATCH(E7648, ""台銀籌備帳戶|玉山帳戶""), REGEXMATCH(C7648, ""薪資"")), ""分潤支出"",
  AND(REGEXMATCH(E7648, ""Ben帳戶|Elsa帳戶|Ben代墊|Ariel代墊|中信銀行共用""), REGEXMATCH(F7648, ""Ben帳戶|Elsa帳戶|Ben代墊|Ariel代墊|中信銀行共用"")), ""內部轉帳(忽略)"",
  AND(E7648&lt;&gt;"""", F7648&lt;&gt;"""", N"&amp;"OT(REGEXMATCH(C7648, ""薪資""))), ""內部轉帳(忽略)"",
  REGEXMATCH(C7648, ""薪資""), ""薪資變動(不計入)"",
  REGEXMATCH(C7648, ""押金""), ""押金往來"",
  AND(E7648&lt;&gt;"""", F7648=""""), ""真實支出"",
  AND(E7648="""", F7648&lt;&gt;""""), ""真實收入"",
  TRUE, ""其他""
)"),"其他")</f>
        <v>其他</v>
      </c>
      <c r="K7648" s="270" t="str">
        <f t="shared" si="2"/>
        <v/>
      </c>
      <c r="L7648">
        <f t="shared" si="3"/>
        <v>0</v>
      </c>
    </row>
    <row r="7649">
      <c r="A7649" s="107"/>
      <c r="D7649" s="270"/>
      <c r="H7649" s="106" t="str">
        <f t="shared" si="1"/>
        <v/>
      </c>
      <c r="J7649" t="str">
        <f>IFERROR(__xludf.DUMMYFUNCTION("IFS(
  AND(REGEXMATCH(E7649, ""台銀籌備帳戶|玉山帳戶""), REGEXMATCH(C7649, ""薪資"")), ""分潤支出"",
  AND(REGEXMATCH(E7649, ""Ben帳戶|Elsa帳戶|Ben代墊|Ariel代墊|中信銀行共用""), REGEXMATCH(F7649, ""Ben帳戶|Elsa帳戶|Ben代墊|Ariel代墊|中信銀行共用"")), ""內部轉帳(忽略)"",
  AND(E7649&lt;&gt;"""", F7649&lt;&gt;"""", N"&amp;"OT(REGEXMATCH(C7649, ""薪資""))), ""內部轉帳(忽略)"",
  REGEXMATCH(C7649, ""薪資""), ""薪資變動(不計入)"",
  REGEXMATCH(C7649, ""押金""), ""押金往來"",
  AND(E7649&lt;&gt;"""", F7649=""""), ""真實支出"",
  AND(E7649="""", F7649&lt;&gt;""""), ""真實收入"",
  TRUE, ""其他""
)"),"其他")</f>
        <v>其他</v>
      </c>
      <c r="K7649" s="270" t="str">
        <f t="shared" si="2"/>
        <v/>
      </c>
      <c r="L7649">
        <f t="shared" si="3"/>
        <v>0</v>
      </c>
    </row>
    <row r="7650">
      <c r="A7650" s="107"/>
      <c r="D7650" s="270"/>
      <c r="H7650" s="106" t="str">
        <f t="shared" si="1"/>
        <v/>
      </c>
      <c r="J7650" t="str">
        <f>IFERROR(__xludf.DUMMYFUNCTION("IFS(
  AND(REGEXMATCH(E7650, ""台銀籌備帳戶|玉山帳戶""), REGEXMATCH(C7650, ""薪資"")), ""分潤支出"",
  AND(REGEXMATCH(E7650, ""Ben帳戶|Elsa帳戶|Ben代墊|Ariel代墊|中信銀行共用""), REGEXMATCH(F7650, ""Ben帳戶|Elsa帳戶|Ben代墊|Ariel代墊|中信銀行共用"")), ""內部轉帳(忽略)"",
  AND(E7650&lt;&gt;"""", F7650&lt;&gt;"""", N"&amp;"OT(REGEXMATCH(C7650, ""薪資""))), ""內部轉帳(忽略)"",
  REGEXMATCH(C7650, ""薪資""), ""薪資變動(不計入)"",
  REGEXMATCH(C7650, ""押金""), ""押金往來"",
  AND(E7650&lt;&gt;"""", F7650=""""), ""真實支出"",
  AND(E7650="""", F7650&lt;&gt;""""), ""真實收入"",
  TRUE, ""其他""
)"),"其他")</f>
        <v>其他</v>
      </c>
      <c r="K7650" s="270" t="str">
        <f t="shared" si="2"/>
        <v/>
      </c>
      <c r="L7650">
        <f t="shared" si="3"/>
        <v>0</v>
      </c>
    </row>
    <row r="7651">
      <c r="A7651" s="107"/>
      <c r="D7651" s="270"/>
      <c r="H7651" s="106" t="str">
        <f t="shared" si="1"/>
        <v/>
      </c>
      <c r="J7651" t="str">
        <f>IFERROR(__xludf.DUMMYFUNCTION("IFS(
  AND(REGEXMATCH(E7651, ""台銀籌備帳戶|玉山帳戶""), REGEXMATCH(C7651, ""薪資"")), ""分潤支出"",
  AND(REGEXMATCH(E7651, ""Ben帳戶|Elsa帳戶|Ben代墊|Ariel代墊|中信銀行共用""), REGEXMATCH(F7651, ""Ben帳戶|Elsa帳戶|Ben代墊|Ariel代墊|中信銀行共用"")), ""內部轉帳(忽略)"",
  AND(E7651&lt;&gt;"""", F7651&lt;&gt;"""", N"&amp;"OT(REGEXMATCH(C7651, ""薪資""))), ""內部轉帳(忽略)"",
  REGEXMATCH(C7651, ""薪資""), ""薪資變動(不計入)"",
  REGEXMATCH(C7651, ""押金""), ""押金往來"",
  AND(E7651&lt;&gt;"""", F7651=""""), ""真實支出"",
  AND(E7651="""", F7651&lt;&gt;""""), ""真實收入"",
  TRUE, ""其他""
)"),"其他")</f>
        <v>其他</v>
      </c>
      <c r="K7651" s="270" t="str">
        <f t="shared" si="2"/>
        <v/>
      </c>
      <c r="L7651">
        <f t="shared" si="3"/>
        <v>0</v>
      </c>
    </row>
    <row r="7652">
      <c r="A7652" s="107"/>
      <c r="D7652" s="270"/>
      <c r="H7652" s="106" t="str">
        <f t="shared" si="1"/>
        <v/>
      </c>
      <c r="J7652" t="str">
        <f>IFERROR(__xludf.DUMMYFUNCTION("IFS(
  AND(REGEXMATCH(E7652, ""台銀籌備帳戶|玉山帳戶""), REGEXMATCH(C7652, ""薪資"")), ""分潤支出"",
  AND(REGEXMATCH(E7652, ""Ben帳戶|Elsa帳戶|Ben代墊|Ariel代墊|中信銀行共用""), REGEXMATCH(F7652, ""Ben帳戶|Elsa帳戶|Ben代墊|Ariel代墊|中信銀行共用"")), ""內部轉帳(忽略)"",
  AND(E7652&lt;&gt;"""", F7652&lt;&gt;"""", N"&amp;"OT(REGEXMATCH(C7652, ""薪資""))), ""內部轉帳(忽略)"",
  REGEXMATCH(C7652, ""薪資""), ""薪資變動(不計入)"",
  REGEXMATCH(C7652, ""押金""), ""押金往來"",
  AND(E7652&lt;&gt;"""", F7652=""""), ""真實支出"",
  AND(E7652="""", F7652&lt;&gt;""""), ""真實收入"",
  TRUE, ""其他""
)"),"其他")</f>
        <v>其他</v>
      </c>
      <c r="K7652" s="270" t="str">
        <f t="shared" si="2"/>
        <v/>
      </c>
      <c r="L7652">
        <f t="shared" si="3"/>
        <v>0</v>
      </c>
    </row>
    <row r="7653">
      <c r="A7653" s="107"/>
      <c r="D7653" s="270"/>
      <c r="H7653" s="106" t="str">
        <f t="shared" si="1"/>
        <v/>
      </c>
      <c r="J7653" t="str">
        <f>IFERROR(__xludf.DUMMYFUNCTION("IFS(
  AND(REGEXMATCH(E7653, ""台銀籌備帳戶|玉山帳戶""), REGEXMATCH(C7653, ""薪資"")), ""分潤支出"",
  AND(REGEXMATCH(E7653, ""Ben帳戶|Elsa帳戶|Ben代墊|Ariel代墊|中信銀行共用""), REGEXMATCH(F7653, ""Ben帳戶|Elsa帳戶|Ben代墊|Ariel代墊|中信銀行共用"")), ""內部轉帳(忽略)"",
  AND(E7653&lt;&gt;"""", F7653&lt;&gt;"""", N"&amp;"OT(REGEXMATCH(C7653, ""薪資""))), ""內部轉帳(忽略)"",
  REGEXMATCH(C7653, ""薪資""), ""薪資變動(不計入)"",
  REGEXMATCH(C7653, ""押金""), ""押金往來"",
  AND(E7653&lt;&gt;"""", F7653=""""), ""真實支出"",
  AND(E7653="""", F7653&lt;&gt;""""), ""真實收入"",
  TRUE, ""其他""
)"),"其他")</f>
        <v>其他</v>
      </c>
      <c r="K7653" s="270" t="str">
        <f t="shared" si="2"/>
        <v/>
      </c>
      <c r="L7653">
        <f t="shared" si="3"/>
        <v>0</v>
      </c>
    </row>
    <row r="7654">
      <c r="A7654" s="107"/>
      <c r="D7654" s="270"/>
      <c r="H7654" s="106" t="str">
        <f t="shared" si="1"/>
        <v/>
      </c>
      <c r="J7654" t="str">
        <f>IFERROR(__xludf.DUMMYFUNCTION("IFS(
  AND(REGEXMATCH(E7654, ""台銀籌備帳戶|玉山帳戶""), REGEXMATCH(C7654, ""薪資"")), ""分潤支出"",
  AND(REGEXMATCH(E7654, ""Ben帳戶|Elsa帳戶|Ben代墊|Ariel代墊|中信銀行共用""), REGEXMATCH(F7654, ""Ben帳戶|Elsa帳戶|Ben代墊|Ariel代墊|中信銀行共用"")), ""內部轉帳(忽略)"",
  AND(E7654&lt;&gt;"""", F7654&lt;&gt;"""", N"&amp;"OT(REGEXMATCH(C7654, ""薪資""))), ""內部轉帳(忽略)"",
  REGEXMATCH(C7654, ""薪資""), ""薪資變動(不計入)"",
  REGEXMATCH(C7654, ""押金""), ""押金往來"",
  AND(E7654&lt;&gt;"""", F7654=""""), ""真實支出"",
  AND(E7654="""", F7654&lt;&gt;""""), ""真實收入"",
  TRUE, ""其他""
)"),"其他")</f>
        <v>其他</v>
      </c>
      <c r="K7654" s="270" t="str">
        <f t="shared" si="2"/>
        <v/>
      </c>
      <c r="L7654">
        <f t="shared" si="3"/>
        <v>0</v>
      </c>
    </row>
    <row r="7655">
      <c r="A7655" s="107"/>
      <c r="D7655" s="270"/>
      <c r="H7655" s="106" t="str">
        <f t="shared" si="1"/>
        <v/>
      </c>
      <c r="J7655" t="str">
        <f>IFERROR(__xludf.DUMMYFUNCTION("IFS(
  AND(REGEXMATCH(E7655, ""台銀籌備帳戶|玉山帳戶""), REGEXMATCH(C7655, ""薪資"")), ""分潤支出"",
  AND(REGEXMATCH(E7655, ""Ben帳戶|Elsa帳戶|Ben代墊|Ariel代墊|中信銀行共用""), REGEXMATCH(F7655, ""Ben帳戶|Elsa帳戶|Ben代墊|Ariel代墊|中信銀行共用"")), ""內部轉帳(忽略)"",
  AND(E7655&lt;&gt;"""", F7655&lt;&gt;"""", N"&amp;"OT(REGEXMATCH(C7655, ""薪資""))), ""內部轉帳(忽略)"",
  REGEXMATCH(C7655, ""薪資""), ""薪資變動(不計入)"",
  REGEXMATCH(C7655, ""押金""), ""押金往來"",
  AND(E7655&lt;&gt;"""", F7655=""""), ""真實支出"",
  AND(E7655="""", F7655&lt;&gt;""""), ""真實收入"",
  TRUE, ""其他""
)"),"其他")</f>
        <v>其他</v>
      </c>
      <c r="K7655" s="270" t="str">
        <f t="shared" si="2"/>
        <v/>
      </c>
      <c r="L7655">
        <f t="shared" si="3"/>
        <v>0</v>
      </c>
    </row>
    <row r="7656">
      <c r="A7656" s="107"/>
      <c r="D7656" s="270"/>
      <c r="H7656" s="106" t="str">
        <f t="shared" si="1"/>
        <v/>
      </c>
      <c r="J7656" t="str">
        <f>IFERROR(__xludf.DUMMYFUNCTION("IFS(
  AND(REGEXMATCH(E7656, ""台銀籌備帳戶|玉山帳戶""), REGEXMATCH(C7656, ""薪資"")), ""分潤支出"",
  AND(REGEXMATCH(E7656, ""Ben帳戶|Elsa帳戶|Ben代墊|Ariel代墊|中信銀行共用""), REGEXMATCH(F7656, ""Ben帳戶|Elsa帳戶|Ben代墊|Ariel代墊|中信銀行共用"")), ""內部轉帳(忽略)"",
  AND(E7656&lt;&gt;"""", F7656&lt;&gt;"""", N"&amp;"OT(REGEXMATCH(C7656, ""薪資""))), ""內部轉帳(忽略)"",
  REGEXMATCH(C7656, ""薪資""), ""薪資變動(不計入)"",
  REGEXMATCH(C7656, ""押金""), ""押金往來"",
  AND(E7656&lt;&gt;"""", F7656=""""), ""真實支出"",
  AND(E7656="""", F7656&lt;&gt;""""), ""真實收入"",
  TRUE, ""其他""
)"),"其他")</f>
        <v>其他</v>
      </c>
      <c r="K7656" s="270" t="str">
        <f t="shared" si="2"/>
        <v/>
      </c>
      <c r="L7656">
        <f t="shared" si="3"/>
        <v>0</v>
      </c>
    </row>
    <row r="7657">
      <c r="A7657" s="107"/>
      <c r="D7657" s="270"/>
      <c r="H7657" s="106" t="str">
        <f t="shared" si="1"/>
        <v/>
      </c>
      <c r="J7657" t="str">
        <f>IFERROR(__xludf.DUMMYFUNCTION("IFS(
  AND(REGEXMATCH(E7657, ""台銀籌備帳戶|玉山帳戶""), REGEXMATCH(C7657, ""薪資"")), ""分潤支出"",
  AND(REGEXMATCH(E7657, ""Ben帳戶|Elsa帳戶|Ben代墊|Ariel代墊|中信銀行共用""), REGEXMATCH(F7657, ""Ben帳戶|Elsa帳戶|Ben代墊|Ariel代墊|中信銀行共用"")), ""內部轉帳(忽略)"",
  AND(E7657&lt;&gt;"""", F7657&lt;&gt;"""", N"&amp;"OT(REGEXMATCH(C7657, ""薪資""))), ""內部轉帳(忽略)"",
  REGEXMATCH(C7657, ""薪資""), ""薪資變動(不計入)"",
  REGEXMATCH(C7657, ""押金""), ""押金往來"",
  AND(E7657&lt;&gt;"""", F7657=""""), ""真實支出"",
  AND(E7657="""", F7657&lt;&gt;""""), ""真實收入"",
  TRUE, ""其他""
)"),"其他")</f>
        <v>其他</v>
      </c>
      <c r="K7657" s="270" t="str">
        <f t="shared" si="2"/>
        <v/>
      </c>
      <c r="L7657">
        <f t="shared" si="3"/>
        <v>0</v>
      </c>
    </row>
    <row r="7658">
      <c r="A7658" s="107"/>
      <c r="D7658" s="270"/>
      <c r="H7658" s="106" t="str">
        <f t="shared" si="1"/>
        <v/>
      </c>
      <c r="J7658" t="str">
        <f>IFERROR(__xludf.DUMMYFUNCTION("IFS(
  AND(REGEXMATCH(E7658, ""台銀籌備帳戶|玉山帳戶""), REGEXMATCH(C7658, ""薪資"")), ""分潤支出"",
  AND(REGEXMATCH(E7658, ""Ben帳戶|Elsa帳戶|Ben代墊|Ariel代墊|中信銀行共用""), REGEXMATCH(F7658, ""Ben帳戶|Elsa帳戶|Ben代墊|Ariel代墊|中信銀行共用"")), ""內部轉帳(忽略)"",
  AND(E7658&lt;&gt;"""", F7658&lt;&gt;"""", N"&amp;"OT(REGEXMATCH(C7658, ""薪資""))), ""內部轉帳(忽略)"",
  REGEXMATCH(C7658, ""薪資""), ""薪資變動(不計入)"",
  REGEXMATCH(C7658, ""押金""), ""押金往來"",
  AND(E7658&lt;&gt;"""", F7658=""""), ""真實支出"",
  AND(E7658="""", F7658&lt;&gt;""""), ""真實收入"",
  TRUE, ""其他""
)"),"其他")</f>
        <v>其他</v>
      </c>
      <c r="K7658" s="270" t="str">
        <f t="shared" si="2"/>
        <v/>
      </c>
      <c r="L7658">
        <f t="shared" si="3"/>
        <v>0</v>
      </c>
    </row>
    <row r="7659">
      <c r="A7659" s="107"/>
      <c r="D7659" s="270"/>
      <c r="H7659" s="106" t="str">
        <f t="shared" si="1"/>
        <v/>
      </c>
      <c r="J7659" t="str">
        <f>IFERROR(__xludf.DUMMYFUNCTION("IFS(
  AND(REGEXMATCH(E7659, ""台銀籌備帳戶|玉山帳戶""), REGEXMATCH(C7659, ""薪資"")), ""分潤支出"",
  AND(REGEXMATCH(E7659, ""Ben帳戶|Elsa帳戶|Ben代墊|Ariel代墊|中信銀行共用""), REGEXMATCH(F7659, ""Ben帳戶|Elsa帳戶|Ben代墊|Ariel代墊|中信銀行共用"")), ""內部轉帳(忽略)"",
  AND(E7659&lt;&gt;"""", F7659&lt;&gt;"""", N"&amp;"OT(REGEXMATCH(C7659, ""薪資""))), ""內部轉帳(忽略)"",
  REGEXMATCH(C7659, ""薪資""), ""薪資變動(不計入)"",
  REGEXMATCH(C7659, ""押金""), ""押金往來"",
  AND(E7659&lt;&gt;"""", F7659=""""), ""真實支出"",
  AND(E7659="""", F7659&lt;&gt;""""), ""真實收入"",
  TRUE, ""其他""
)"),"其他")</f>
        <v>其他</v>
      </c>
      <c r="K7659" s="270" t="str">
        <f t="shared" si="2"/>
        <v/>
      </c>
      <c r="L7659">
        <f t="shared" si="3"/>
        <v>0</v>
      </c>
    </row>
    <row r="7660">
      <c r="A7660" s="107"/>
      <c r="D7660" s="270"/>
      <c r="H7660" s="106" t="str">
        <f t="shared" si="1"/>
        <v/>
      </c>
      <c r="J7660" t="str">
        <f>IFERROR(__xludf.DUMMYFUNCTION("IFS(
  AND(REGEXMATCH(E7660, ""台銀籌備帳戶|玉山帳戶""), REGEXMATCH(C7660, ""薪資"")), ""分潤支出"",
  AND(REGEXMATCH(E7660, ""Ben帳戶|Elsa帳戶|Ben代墊|Ariel代墊|中信銀行共用""), REGEXMATCH(F7660, ""Ben帳戶|Elsa帳戶|Ben代墊|Ariel代墊|中信銀行共用"")), ""內部轉帳(忽略)"",
  AND(E7660&lt;&gt;"""", F7660&lt;&gt;"""", N"&amp;"OT(REGEXMATCH(C7660, ""薪資""))), ""內部轉帳(忽略)"",
  REGEXMATCH(C7660, ""薪資""), ""薪資變動(不計入)"",
  REGEXMATCH(C7660, ""押金""), ""押金往來"",
  AND(E7660&lt;&gt;"""", F7660=""""), ""真實支出"",
  AND(E7660="""", F7660&lt;&gt;""""), ""真實收入"",
  TRUE, ""其他""
)"),"其他")</f>
        <v>其他</v>
      </c>
      <c r="K7660" s="270" t="str">
        <f t="shared" si="2"/>
        <v/>
      </c>
      <c r="L7660">
        <f t="shared" si="3"/>
        <v>0</v>
      </c>
    </row>
    <row r="7661">
      <c r="A7661" s="107"/>
      <c r="D7661" s="270"/>
      <c r="H7661" s="106" t="str">
        <f t="shared" si="1"/>
        <v/>
      </c>
      <c r="J7661" t="str">
        <f>IFERROR(__xludf.DUMMYFUNCTION("IFS(
  AND(REGEXMATCH(E7661, ""台銀籌備帳戶|玉山帳戶""), REGEXMATCH(C7661, ""薪資"")), ""分潤支出"",
  AND(REGEXMATCH(E7661, ""Ben帳戶|Elsa帳戶|Ben代墊|Ariel代墊|中信銀行共用""), REGEXMATCH(F7661, ""Ben帳戶|Elsa帳戶|Ben代墊|Ariel代墊|中信銀行共用"")), ""內部轉帳(忽略)"",
  AND(E7661&lt;&gt;"""", F7661&lt;&gt;"""", N"&amp;"OT(REGEXMATCH(C7661, ""薪資""))), ""內部轉帳(忽略)"",
  REGEXMATCH(C7661, ""薪資""), ""薪資變動(不計入)"",
  REGEXMATCH(C7661, ""押金""), ""押金往來"",
  AND(E7661&lt;&gt;"""", F7661=""""), ""真實支出"",
  AND(E7661="""", F7661&lt;&gt;""""), ""真實收入"",
  TRUE, ""其他""
)"),"其他")</f>
        <v>其他</v>
      </c>
      <c r="K7661" s="270" t="str">
        <f t="shared" si="2"/>
        <v/>
      </c>
      <c r="L7661">
        <f t="shared" si="3"/>
        <v>0</v>
      </c>
    </row>
    <row r="7662">
      <c r="A7662" s="107"/>
      <c r="D7662" s="270"/>
      <c r="H7662" s="106" t="str">
        <f t="shared" si="1"/>
        <v/>
      </c>
      <c r="J7662" t="str">
        <f>IFERROR(__xludf.DUMMYFUNCTION("IFS(
  AND(REGEXMATCH(E7662, ""台銀籌備帳戶|玉山帳戶""), REGEXMATCH(C7662, ""薪資"")), ""分潤支出"",
  AND(REGEXMATCH(E7662, ""Ben帳戶|Elsa帳戶|Ben代墊|Ariel代墊|中信銀行共用""), REGEXMATCH(F7662, ""Ben帳戶|Elsa帳戶|Ben代墊|Ariel代墊|中信銀行共用"")), ""內部轉帳(忽略)"",
  AND(E7662&lt;&gt;"""", F7662&lt;&gt;"""", N"&amp;"OT(REGEXMATCH(C7662, ""薪資""))), ""內部轉帳(忽略)"",
  REGEXMATCH(C7662, ""薪資""), ""薪資變動(不計入)"",
  REGEXMATCH(C7662, ""押金""), ""押金往來"",
  AND(E7662&lt;&gt;"""", F7662=""""), ""真實支出"",
  AND(E7662="""", F7662&lt;&gt;""""), ""真實收入"",
  TRUE, ""其他""
)"),"其他")</f>
        <v>其他</v>
      </c>
      <c r="K7662" s="270" t="str">
        <f t="shared" si="2"/>
        <v/>
      </c>
      <c r="L7662">
        <f t="shared" si="3"/>
        <v>0</v>
      </c>
    </row>
    <row r="7663">
      <c r="A7663" s="107"/>
      <c r="D7663" s="270"/>
      <c r="H7663" s="106" t="str">
        <f t="shared" si="1"/>
        <v/>
      </c>
      <c r="J7663" t="str">
        <f>IFERROR(__xludf.DUMMYFUNCTION("IFS(
  AND(REGEXMATCH(E7663, ""台銀籌備帳戶|玉山帳戶""), REGEXMATCH(C7663, ""薪資"")), ""分潤支出"",
  AND(REGEXMATCH(E7663, ""Ben帳戶|Elsa帳戶|Ben代墊|Ariel代墊|中信銀行共用""), REGEXMATCH(F7663, ""Ben帳戶|Elsa帳戶|Ben代墊|Ariel代墊|中信銀行共用"")), ""內部轉帳(忽略)"",
  AND(E7663&lt;&gt;"""", F7663&lt;&gt;"""", N"&amp;"OT(REGEXMATCH(C7663, ""薪資""))), ""內部轉帳(忽略)"",
  REGEXMATCH(C7663, ""薪資""), ""薪資變動(不計入)"",
  REGEXMATCH(C7663, ""押金""), ""押金往來"",
  AND(E7663&lt;&gt;"""", F7663=""""), ""真實支出"",
  AND(E7663="""", F7663&lt;&gt;""""), ""真實收入"",
  TRUE, ""其他""
)"),"其他")</f>
        <v>其他</v>
      </c>
      <c r="K7663" s="270" t="str">
        <f t="shared" si="2"/>
        <v/>
      </c>
      <c r="L7663">
        <f t="shared" si="3"/>
        <v>0</v>
      </c>
    </row>
    <row r="7664">
      <c r="A7664" s="107"/>
      <c r="D7664" s="270"/>
      <c r="H7664" s="106" t="str">
        <f t="shared" si="1"/>
        <v/>
      </c>
      <c r="J7664" t="str">
        <f>IFERROR(__xludf.DUMMYFUNCTION("IFS(
  AND(REGEXMATCH(E7664, ""台銀籌備帳戶|玉山帳戶""), REGEXMATCH(C7664, ""薪資"")), ""分潤支出"",
  AND(REGEXMATCH(E7664, ""Ben帳戶|Elsa帳戶|Ben代墊|Ariel代墊|中信銀行共用""), REGEXMATCH(F7664, ""Ben帳戶|Elsa帳戶|Ben代墊|Ariel代墊|中信銀行共用"")), ""內部轉帳(忽略)"",
  AND(E7664&lt;&gt;"""", F7664&lt;&gt;"""", N"&amp;"OT(REGEXMATCH(C7664, ""薪資""))), ""內部轉帳(忽略)"",
  REGEXMATCH(C7664, ""薪資""), ""薪資變動(不計入)"",
  REGEXMATCH(C7664, ""押金""), ""押金往來"",
  AND(E7664&lt;&gt;"""", F7664=""""), ""真實支出"",
  AND(E7664="""", F7664&lt;&gt;""""), ""真實收入"",
  TRUE, ""其他""
)"),"其他")</f>
        <v>其他</v>
      </c>
      <c r="K7664" s="270" t="str">
        <f t="shared" si="2"/>
        <v/>
      </c>
      <c r="L7664">
        <f t="shared" si="3"/>
        <v>0</v>
      </c>
    </row>
    <row r="7665">
      <c r="A7665" s="107"/>
      <c r="D7665" s="270"/>
      <c r="H7665" s="106" t="str">
        <f t="shared" si="1"/>
        <v/>
      </c>
      <c r="J7665" t="str">
        <f>IFERROR(__xludf.DUMMYFUNCTION("IFS(
  AND(REGEXMATCH(E7665, ""台銀籌備帳戶|玉山帳戶""), REGEXMATCH(C7665, ""薪資"")), ""分潤支出"",
  AND(REGEXMATCH(E7665, ""Ben帳戶|Elsa帳戶|Ben代墊|Ariel代墊|中信銀行共用""), REGEXMATCH(F7665, ""Ben帳戶|Elsa帳戶|Ben代墊|Ariel代墊|中信銀行共用"")), ""內部轉帳(忽略)"",
  AND(E7665&lt;&gt;"""", F7665&lt;&gt;"""", N"&amp;"OT(REGEXMATCH(C7665, ""薪資""))), ""內部轉帳(忽略)"",
  REGEXMATCH(C7665, ""薪資""), ""薪資變動(不計入)"",
  REGEXMATCH(C7665, ""押金""), ""押金往來"",
  AND(E7665&lt;&gt;"""", F7665=""""), ""真實支出"",
  AND(E7665="""", F7665&lt;&gt;""""), ""真實收入"",
  TRUE, ""其他""
)"),"其他")</f>
        <v>其他</v>
      </c>
      <c r="K7665" s="270" t="str">
        <f t="shared" si="2"/>
        <v/>
      </c>
      <c r="L7665">
        <f t="shared" si="3"/>
        <v>0</v>
      </c>
    </row>
    <row r="7666">
      <c r="A7666" s="107"/>
      <c r="D7666" s="270"/>
      <c r="H7666" s="106" t="str">
        <f t="shared" si="1"/>
        <v/>
      </c>
      <c r="J7666" t="str">
        <f>IFERROR(__xludf.DUMMYFUNCTION("IFS(
  AND(REGEXMATCH(E7666, ""台銀籌備帳戶|玉山帳戶""), REGEXMATCH(C7666, ""薪資"")), ""分潤支出"",
  AND(REGEXMATCH(E7666, ""Ben帳戶|Elsa帳戶|Ben代墊|Ariel代墊|中信銀行共用""), REGEXMATCH(F7666, ""Ben帳戶|Elsa帳戶|Ben代墊|Ariel代墊|中信銀行共用"")), ""內部轉帳(忽略)"",
  AND(E7666&lt;&gt;"""", F7666&lt;&gt;"""", N"&amp;"OT(REGEXMATCH(C7666, ""薪資""))), ""內部轉帳(忽略)"",
  REGEXMATCH(C7666, ""薪資""), ""薪資變動(不計入)"",
  REGEXMATCH(C7666, ""押金""), ""押金往來"",
  AND(E7666&lt;&gt;"""", F7666=""""), ""真實支出"",
  AND(E7666="""", F7666&lt;&gt;""""), ""真實收入"",
  TRUE, ""其他""
)"),"其他")</f>
        <v>其他</v>
      </c>
      <c r="K7666" s="270" t="str">
        <f t="shared" si="2"/>
        <v/>
      </c>
      <c r="L7666">
        <f t="shared" si="3"/>
        <v>0</v>
      </c>
    </row>
    <row r="7667">
      <c r="A7667" s="107"/>
      <c r="D7667" s="270"/>
      <c r="H7667" s="106" t="str">
        <f t="shared" si="1"/>
        <v/>
      </c>
      <c r="J7667" t="str">
        <f>IFERROR(__xludf.DUMMYFUNCTION("IFS(
  AND(REGEXMATCH(E7667, ""台銀籌備帳戶|玉山帳戶""), REGEXMATCH(C7667, ""薪資"")), ""分潤支出"",
  AND(REGEXMATCH(E7667, ""Ben帳戶|Elsa帳戶|Ben代墊|Ariel代墊|中信銀行共用""), REGEXMATCH(F7667, ""Ben帳戶|Elsa帳戶|Ben代墊|Ariel代墊|中信銀行共用"")), ""內部轉帳(忽略)"",
  AND(E7667&lt;&gt;"""", F7667&lt;&gt;"""", N"&amp;"OT(REGEXMATCH(C7667, ""薪資""))), ""內部轉帳(忽略)"",
  REGEXMATCH(C7667, ""薪資""), ""薪資變動(不計入)"",
  REGEXMATCH(C7667, ""押金""), ""押金往來"",
  AND(E7667&lt;&gt;"""", F7667=""""), ""真實支出"",
  AND(E7667="""", F7667&lt;&gt;""""), ""真實收入"",
  TRUE, ""其他""
)"),"其他")</f>
        <v>其他</v>
      </c>
      <c r="K7667" s="270" t="str">
        <f t="shared" si="2"/>
        <v/>
      </c>
      <c r="L7667">
        <f t="shared" si="3"/>
        <v>0</v>
      </c>
    </row>
    <row r="7668">
      <c r="A7668" s="107"/>
      <c r="D7668" s="270"/>
      <c r="H7668" s="106" t="str">
        <f t="shared" si="1"/>
        <v/>
      </c>
      <c r="J7668" t="str">
        <f>IFERROR(__xludf.DUMMYFUNCTION("IFS(
  AND(REGEXMATCH(E7668, ""台銀籌備帳戶|玉山帳戶""), REGEXMATCH(C7668, ""薪資"")), ""分潤支出"",
  AND(REGEXMATCH(E7668, ""Ben帳戶|Elsa帳戶|Ben代墊|Ariel代墊|中信銀行共用""), REGEXMATCH(F7668, ""Ben帳戶|Elsa帳戶|Ben代墊|Ariel代墊|中信銀行共用"")), ""內部轉帳(忽略)"",
  AND(E7668&lt;&gt;"""", F7668&lt;&gt;"""", N"&amp;"OT(REGEXMATCH(C7668, ""薪資""))), ""內部轉帳(忽略)"",
  REGEXMATCH(C7668, ""薪資""), ""薪資變動(不計入)"",
  REGEXMATCH(C7668, ""押金""), ""押金往來"",
  AND(E7668&lt;&gt;"""", F7668=""""), ""真實支出"",
  AND(E7668="""", F7668&lt;&gt;""""), ""真實收入"",
  TRUE, ""其他""
)"),"其他")</f>
        <v>其他</v>
      </c>
      <c r="K7668" s="270" t="str">
        <f t="shared" si="2"/>
        <v/>
      </c>
      <c r="L7668">
        <f t="shared" si="3"/>
        <v>0</v>
      </c>
    </row>
    <row r="7669">
      <c r="A7669" s="107"/>
      <c r="D7669" s="270"/>
      <c r="H7669" s="106" t="str">
        <f t="shared" si="1"/>
        <v/>
      </c>
      <c r="J7669" t="str">
        <f>IFERROR(__xludf.DUMMYFUNCTION("IFS(
  AND(REGEXMATCH(E7669, ""台銀籌備帳戶|玉山帳戶""), REGEXMATCH(C7669, ""薪資"")), ""分潤支出"",
  AND(REGEXMATCH(E7669, ""Ben帳戶|Elsa帳戶|Ben代墊|Ariel代墊|中信銀行共用""), REGEXMATCH(F7669, ""Ben帳戶|Elsa帳戶|Ben代墊|Ariel代墊|中信銀行共用"")), ""內部轉帳(忽略)"",
  AND(E7669&lt;&gt;"""", F7669&lt;&gt;"""", N"&amp;"OT(REGEXMATCH(C7669, ""薪資""))), ""內部轉帳(忽略)"",
  REGEXMATCH(C7669, ""薪資""), ""薪資變動(不計入)"",
  REGEXMATCH(C7669, ""押金""), ""押金往來"",
  AND(E7669&lt;&gt;"""", F7669=""""), ""真實支出"",
  AND(E7669="""", F7669&lt;&gt;""""), ""真實收入"",
  TRUE, ""其他""
)"),"其他")</f>
        <v>其他</v>
      </c>
      <c r="K7669" s="270" t="str">
        <f t="shared" si="2"/>
        <v/>
      </c>
      <c r="L7669">
        <f t="shared" si="3"/>
        <v>0</v>
      </c>
    </row>
    <row r="7670">
      <c r="A7670" s="107"/>
      <c r="D7670" s="270"/>
      <c r="H7670" s="106" t="str">
        <f t="shared" si="1"/>
        <v/>
      </c>
      <c r="J7670" t="str">
        <f>IFERROR(__xludf.DUMMYFUNCTION("IFS(
  AND(REGEXMATCH(E7670, ""台銀籌備帳戶|玉山帳戶""), REGEXMATCH(C7670, ""薪資"")), ""分潤支出"",
  AND(REGEXMATCH(E7670, ""Ben帳戶|Elsa帳戶|Ben代墊|Ariel代墊|中信銀行共用""), REGEXMATCH(F7670, ""Ben帳戶|Elsa帳戶|Ben代墊|Ariel代墊|中信銀行共用"")), ""內部轉帳(忽略)"",
  AND(E7670&lt;&gt;"""", F7670&lt;&gt;"""", N"&amp;"OT(REGEXMATCH(C7670, ""薪資""))), ""內部轉帳(忽略)"",
  REGEXMATCH(C7670, ""薪資""), ""薪資變動(不計入)"",
  REGEXMATCH(C7670, ""押金""), ""押金往來"",
  AND(E7670&lt;&gt;"""", F7670=""""), ""真實支出"",
  AND(E7670="""", F7670&lt;&gt;""""), ""真實收入"",
  TRUE, ""其他""
)"),"其他")</f>
        <v>其他</v>
      </c>
      <c r="K7670" s="270" t="str">
        <f t="shared" si="2"/>
        <v/>
      </c>
      <c r="L7670">
        <f t="shared" si="3"/>
        <v>0</v>
      </c>
    </row>
    <row r="7671">
      <c r="A7671" s="107"/>
      <c r="D7671" s="270"/>
      <c r="H7671" s="106" t="str">
        <f t="shared" si="1"/>
        <v/>
      </c>
      <c r="J7671" t="str">
        <f>IFERROR(__xludf.DUMMYFUNCTION("IFS(
  AND(REGEXMATCH(E7671, ""台銀籌備帳戶|玉山帳戶""), REGEXMATCH(C7671, ""薪資"")), ""分潤支出"",
  AND(REGEXMATCH(E7671, ""Ben帳戶|Elsa帳戶|Ben代墊|Ariel代墊|中信銀行共用""), REGEXMATCH(F7671, ""Ben帳戶|Elsa帳戶|Ben代墊|Ariel代墊|中信銀行共用"")), ""內部轉帳(忽略)"",
  AND(E7671&lt;&gt;"""", F7671&lt;&gt;"""", N"&amp;"OT(REGEXMATCH(C7671, ""薪資""))), ""內部轉帳(忽略)"",
  REGEXMATCH(C7671, ""薪資""), ""薪資變動(不計入)"",
  REGEXMATCH(C7671, ""押金""), ""押金往來"",
  AND(E7671&lt;&gt;"""", F7671=""""), ""真實支出"",
  AND(E7671="""", F7671&lt;&gt;""""), ""真實收入"",
  TRUE, ""其他""
)"),"其他")</f>
        <v>其他</v>
      </c>
      <c r="K7671" s="270" t="str">
        <f t="shared" si="2"/>
        <v/>
      </c>
      <c r="L7671">
        <f t="shared" si="3"/>
        <v>0</v>
      </c>
    </row>
    <row r="7672">
      <c r="A7672" s="107"/>
      <c r="D7672" s="270"/>
      <c r="H7672" s="106" t="str">
        <f t="shared" si="1"/>
        <v/>
      </c>
      <c r="J7672" t="str">
        <f>IFERROR(__xludf.DUMMYFUNCTION("IFS(
  AND(REGEXMATCH(E7672, ""台銀籌備帳戶|玉山帳戶""), REGEXMATCH(C7672, ""薪資"")), ""分潤支出"",
  AND(REGEXMATCH(E7672, ""Ben帳戶|Elsa帳戶|Ben代墊|Ariel代墊|中信銀行共用""), REGEXMATCH(F7672, ""Ben帳戶|Elsa帳戶|Ben代墊|Ariel代墊|中信銀行共用"")), ""內部轉帳(忽略)"",
  AND(E7672&lt;&gt;"""", F7672&lt;&gt;"""", N"&amp;"OT(REGEXMATCH(C7672, ""薪資""))), ""內部轉帳(忽略)"",
  REGEXMATCH(C7672, ""薪資""), ""薪資變動(不計入)"",
  REGEXMATCH(C7672, ""押金""), ""押金往來"",
  AND(E7672&lt;&gt;"""", F7672=""""), ""真實支出"",
  AND(E7672="""", F7672&lt;&gt;""""), ""真實收入"",
  TRUE, ""其他""
)"),"其他")</f>
        <v>其他</v>
      </c>
      <c r="K7672" s="270" t="str">
        <f t="shared" si="2"/>
        <v/>
      </c>
      <c r="L7672">
        <f t="shared" si="3"/>
        <v>0</v>
      </c>
    </row>
    <row r="7673">
      <c r="A7673" s="107"/>
      <c r="D7673" s="270"/>
      <c r="H7673" s="106" t="str">
        <f t="shared" si="1"/>
        <v/>
      </c>
      <c r="J7673" t="str">
        <f>IFERROR(__xludf.DUMMYFUNCTION("IFS(
  AND(REGEXMATCH(E7673, ""台銀籌備帳戶|玉山帳戶""), REGEXMATCH(C7673, ""薪資"")), ""分潤支出"",
  AND(REGEXMATCH(E7673, ""Ben帳戶|Elsa帳戶|Ben代墊|Ariel代墊|中信銀行共用""), REGEXMATCH(F7673, ""Ben帳戶|Elsa帳戶|Ben代墊|Ariel代墊|中信銀行共用"")), ""內部轉帳(忽略)"",
  AND(E7673&lt;&gt;"""", F7673&lt;&gt;"""", N"&amp;"OT(REGEXMATCH(C7673, ""薪資""))), ""內部轉帳(忽略)"",
  REGEXMATCH(C7673, ""薪資""), ""薪資變動(不計入)"",
  REGEXMATCH(C7673, ""押金""), ""押金往來"",
  AND(E7673&lt;&gt;"""", F7673=""""), ""真實支出"",
  AND(E7673="""", F7673&lt;&gt;""""), ""真實收入"",
  TRUE, ""其他""
)"),"其他")</f>
        <v>其他</v>
      </c>
      <c r="K7673" s="270" t="str">
        <f t="shared" si="2"/>
        <v/>
      </c>
      <c r="L7673">
        <f t="shared" si="3"/>
        <v>0</v>
      </c>
    </row>
    <row r="7674">
      <c r="A7674" s="107"/>
      <c r="D7674" s="270"/>
      <c r="H7674" s="106" t="str">
        <f t="shared" si="1"/>
        <v/>
      </c>
      <c r="J7674" t="str">
        <f>IFERROR(__xludf.DUMMYFUNCTION("IFS(
  AND(REGEXMATCH(E7674, ""台銀籌備帳戶|玉山帳戶""), REGEXMATCH(C7674, ""薪資"")), ""分潤支出"",
  AND(REGEXMATCH(E7674, ""Ben帳戶|Elsa帳戶|Ben代墊|Ariel代墊|中信銀行共用""), REGEXMATCH(F7674, ""Ben帳戶|Elsa帳戶|Ben代墊|Ariel代墊|中信銀行共用"")), ""內部轉帳(忽略)"",
  AND(E7674&lt;&gt;"""", F7674&lt;&gt;"""", N"&amp;"OT(REGEXMATCH(C7674, ""薪資""))), ""內部轉帳(忽略)"",
  REGEXMATCH(C7674, ""薪資""), ""薪資變動(不計入)"",
  REGEXMATCH(C7674, ""押金""), ""押金往來"",
  AND(E7674&lt;&gt;"""", F7674=""""), ""真實支出"",
  AND(E7674="""", F7674&lt;&gt;""""), ""真實收入"",
  TRUE, ""其他""
)"),"其他")</f>
        <v>其他</v>
      </c>
      <c r="K7674" s="270" t="str">
        <f t="shared" si="2"/>
        <v/>
      </c>
      <c r="L7674">
        <f t="shared" si="3"/>
        <v>0</v>
      </c>
    </row>
    <row r="7675">
      <c r="A7675" s="107"/>
      <c r="D7675" s="270"/>
      <c r="H7675" s="106" t="str">
        <f t="shared" si="1"/>
        <v/>
      </c>
      <c r="J7675" t="str">
        <f>IFERROR(__xludf.DUMMYFUNCTION("IFS(
  AND(REGEXMATCH(E7675, ""台銀籌備帳戶|玉山帳戶""), REGEXMATCH(C7675, ""薪資"")), ""分潤支出"",
  AND(REGEXMATCH(E7675, ""Ben帳戶|Elsa帳戶|Ben代墊|Ariel代墊|中信銀行共用""), REGEXMATCH(F7675, ""Ben帳戶|Elsa帳戶|Ben代墊|Ariel代墊|中信銀行共用"")), ""內部轉帳(忽略)"",
  AND(E7675&lt;&gt;"""", F7675&lt;&gt;"""", N"&amp;"OT(REGEXMATCH(C7675, ""薪資""))), ""內部轉帳(忽略)"",
  REGEXMATCH(C7675, ""薪資""), ""薪資變動(不計入)"",
  REGEXMATCH(C7675, ""押金""), ""押金往來"",
  AND(E7675&lt;&gt;"""", F7675=""""), ""真實支出"",
  AND(E7675="""", F7675&lt;&gt;""""), ""真實收入"",
  TRUE, ""其他""
)"),"其他")</f>
        <v>其他</v>
      </c>
      <c r="K7675" s="270" t="str">
        <f t="shared" si="2"/>
        <v/>
      </c>
      <c r="L7675">
        <f t="shared" si="3"/>
        <v>0</v>
      </c>
    </row>
    <row r="7676">
      <c r="A7676" s="107"/>
      <c r="D7676" s="270"/>
      <c r="H7676" s="106" t="str">
        <f t="shared" si="1"/>
        <v/>
      </c>
      <c r="J7676" t="str">
        <f>IFERROR(__xludf.DUMMYFUNCTION("IFS(
  AND(REGEXMATCH(E7676, ""台銀籌備帳戶|玉山帳戶""), REGEXMATCH(C7676, ""薪資"")), ""分潤支出"",
  AND(REGEXMATCH(E7676, ""Ben帳戶|Elsa帳戶|Ben代墊|Ariel代墊|中信銀行共用""), REGEXMATCH(F7676, ""Ben帳戶|Elsa帳戶|Ben代墊|Ariel代墊|中信銀行共用"")), ""內部轉帳(忽略)"",
  AND(E7676&lt;&gt;"""", F7676&lt;&gt;"""", N"&amp;"OT(REGEXMATCH(C7676, ""薪資""))), ""內部轉帳(忽略)"",
  REGEXMATCH(C7676, ""薪資""), ""薪資變動(不計入)"",
  REGEXMATCH(C7676, ""押金""), ""押金往來"",
  AND(E7676&lt;&gt;"""", F7676=""""), ""真實支出"",
  AND(E7676="""", F7676&lt;&gt;""""), ""真實收入"",
  TRUE, ""其他""
)"),"其他")</f>
        <v>其他</v>
      </c>
      <c r="K7676" s="270" t="str">
        <f t="shared" si="2"/>
        <v/>
      </c>
      <c r="L7676">
        <f t="shared" si="3"/>
        <v>0</v>
      </c>
    </row>
    <row r="7677">
      <c r="A7677" s="107"/>
      <c r="D7677" s="270"/>
      <c r="H7677" s="106" t="str">
        <f t="shared" si="1"/>
        <v/>
      </c>
      <c r="J7677" t="str">
        <f>IFERROR(__xludf.DUMMYFUNCTION("IFS(
  AND(REGEXMATCH(E7677, ""台銀籌備帳戶|玉山帳戶""), REGEXMATCH(C7677, ""薪資"")), ""分潤支出"",
  AND(REGEXMATCH(E7677, ""Ben帳戶|Elsa帳戶|Ben代墊|Ariel代墊|中信銀行共用""), REGEXMATCH(F7677, ""Ben帳戶|Elsa帳戶|Ben代墊|Ariel代墊|中信銀行共用"")), ""內部轉帳(忽略)"",
  AND(E7677&lt;&gt;"""", F7677&lt;&gt;"""", N"&amp;"OT(REGEXMATCH(C7677, ""薪資""))), ""內部轉帳(忽略)"",
  REGEXMATCH(C7677, ""薪資""), ""薪資變動(不計入)"",
  REGEXMATCH(C7677, ""押金""), ""押金往來"",
  AND(E7677&lt;&gt;"""", F7677=""""), ""真實支出"",
  AND(E7677="""", F7677&lt;&gt;""""), ""真實收入"",
  TRUE, ""其他""
)"),"其他")</f>
        <v>其他</v>
      </c>
      <c r="K7677" s="270" t="str">
        <f t="shared" si="2"/>
        <v/>
      </c>
      <c r="L7677">
        <f t="shared" si="3"/>
        <v>0</v>
      </c>
    </row>
    <row r="7678">
      <c r="A7678" s="107"/>
      <c r="D7678" s="270"/>
      <c r="H7678" s="106" t="str">
        <f t="shared" si="1"/>
        <v/>
      </c>
      <c r="J7678" t="str">
        <f>IFERROR(__xludf.DUMMYFUNCTION("IFS(
  AND(REGEXMATCH(E7678, ""台銀籌備帳戶|玉山帳戶""), REGEXMATCH(C7678, ""薪資"")), ""分潤支出"",
  AND(REGEXMATCH(E7678, ""Ben帳戶|Elsa帳戶|Ben代墊|Ariel代墊|中信銀行共用""), REGEXMATCH(F7678, ""Ben帳戶|Elsa帳戶|Ben代墊|Ariel代墊|中信銀行共用"")), ""內部轉帳(忽略)"",
  AND(E7678&lt;&gt;"""", F7678&lt;&gt;"""", N"&amp;"OT(REGEXMATCH(C7678, ""薪資""))), ""內部轉帳(忽略)"",
  REGEXMATCH(C7678, ""薪資""), ""薪資變動(不計入)"",
  REGEXMATCH(C7678, ""押金""), ""押金往來"",
  AND(E7678&lt;&gt;"""", F7678=""""), ""真實支出"",
  AND(E7678="""", F7678&lt;&gt;""""), ""真實收入"",
  TRUE, ""其他""
)"),"其他")</f>
        <v>其他</v>
      </c>
      <c r="K7678" s="270" t="str">
        <f t="shared" si="2"/>
        <v/>
      </c>
      <c r="L7678">
        <f t="shared" si="3"/>
        <v>0</v>
      </c>
    </row>
    <row r="7679">
      <c r="A7679" s="107"/>
      <c r="D7679" s="270"/>
      <c r="H7679" s="106" t="str">
        <f t="shared" si="1"/>
        <v/>
      </c>
      <c r="J7679" t="str">
        <f>IFERROR(__xludf.DUMMYFUNCTION("IFS(
  AND(REGEXMATCH(E7679, ""台銀籌備帳戶|玉山帳戶""), REGEXMATCH(C7679, ""薪資"")), ""分潤支出"",
  AND(REGEXMATCH(E7679, ""Ben帳戶|Elsa帳戶|Ben代墊|Ariel代墊|中信銀行共用""), REGEXMATCH(F7679, ""Ben帳戶|Elsa帳戶|Ben代墊|Ariel代墊|中信銀行共用"")), ""內部轉帳(忽略)"",
  AND(E7679&lt;&gt;"""", F7679&lt;&gt;"""", N"&amp;"OT(REGEXMATCH(C7679, ""薪資""))), ""內部轉帳(忽略)"",
  REGEXMATCH(C7679, ""薪資""), ""薪資變動(不計入)"",
  REGEXMATCH(C7679, ""押金""), ""押金往來"",
  AND(E7679&lt;&gt;"""", F7679=""""), ""真實支出"",
  AND(E7679="""", F7679&lt;&gt;""""), ""真實收入"",
  TRUE, ""其他""
)"),"其他")</f>
        <v>其他</v>
      </c>
      <c r="K7679" s="270" t="str">
        <f t="shared" si="2"/>
        <v/>
      </c>
      <c r="L7679">
        <f t="shared" si="3"/>
        <v>0</v>
      </c>
    </row>
    <row r="7680">
      <c r="A7680" s="107"/>
      <c r="D7680" s="270"/>
      <c r="H7680" s="106" t="str">
        <f t="shared" si="1"/>
        <v/>
      </c>
      <c r="J7680" t="str">
        <f>IFERROR(__xludf.DUMMYFUNCTION("IFS(
  AND(REGEXMATCH(E7680, ""台銀籌備帳戶|玉山帳戶""), REGEXMATCH(C7680, ""薪資"")), ""分潤支出"",
  AND(REGEXMATCH(E7680, ""Ben帳戶|Elsa帳戶|Ben代墊|Ariel代墊|中信銀行共用""), REGEXMATCH(F7680, ""Ben帳戶|Elsa帳戶|Ben代墊|Ariel代墊|中信銀行共用"")), ""內部轉帳(忽略)"",
  AND(E7680&lt;&gt;"""", F7680&lt;&gt;"""", N"&amp;"OT(REGEXMATCH(C7680, ""薪資""))), ""內部轉帳(忽略)"",
  REGEXMATCH(C7680, ""薪資""), ""薪資變動(不計入)"",
  REGEXMATCH(C7680, ""押金""), ""押金往來"",
  AND(E7680&lt;&gt;"""", F7680=""""), ""真實支出"",
  AND(E7680="""", F7680&lt;&gt;""""), ""真實收入"",
  TRUE, ""其他""
)"),"其他")</f>
        <v>其他</v>
      </c>
      <c r="K7680" s="270" t="str">
        <f t="shared" si="2"/>
        <v/>
      </c>
      <c r="L7680">
        <f t="shared" si="3"/>
        <v>0</v>
      </c>
    </row>
    <row r="7681">
      <c r="A7681" s="107"/>
      <c r="D7681" s="270"/>
      <c r="H7681" s="106" t="str">
        <f t="shared" si="1"/>
        <v/>
      </c>
      <c r="J7681" t="str">
        <f>IFERROR(__xludf.DUMMYFUNCTION("IFS(
  AND(REGEXMATCH(E7681, ""台銀籌備帳戶|玉山帳戶""), REGEXMATCH(C7681, ""薪資"")), ""分潤支出"",
  AND(REGEXMATCH(E7681, ""Ben帳戶|Elsa帳戶|Ben代墊|Ariel代墊|中信銀行共用""), REGEXMATCH(F7681, ""Ben帳戶|Elsa帳戶|Ben代墊|Ariel代墊|中信銀行共用"")), ""內部轉帳(忽略)"",
  AND(E7681&lt;&gt;"""", F7681&lt;&gt;"""", N"&amp;"OT(REGEXMATCH(C7681, ""薪資""))), ""內部轉帳(忽略)"",
  REGEXMATCH(C7681, ""薪資""), ""薪資變動(不計入)"",
  REGEXMATCH(C7681, ""押金""), ""押金往來"",
  AND(E7681&lt;&gt;"""", F7681=""""), ""真實支出"",
  AND(E7681="""", F7681&lt;&gt;""""), ""真實收入"",
  TRUE, ""其他""
)"),"其他")</f>
        <v>其他</v>
      </c>
      <c r="K7681" s="270" t="str">
        <f t="shared" si="2"/>
        <v/>
      </c>
      <c r="L7681">
        <f t="shared" si="3"/>
        <v>0</v>
      </c>
    </row>
    <row r="7682">
      <c r="A7682" s="107"/>
      <c r="D7682" s="270"/>
      <c r="H7682" s="106" t="str">
        <f t="shared" si="1"/>
        <v/>
      </c>
      <c r="J7682" t="str">
        <f>IFERROR(__xludf.DUMMYFUNCTION("IFS(
  AND(REGEXMATCH(E7682, ""台銀籌備帳戶|玉山帳戶""), REGEXMATCH(C7682, ""薪資"")), ""分潤支出"",
  AND(REGEXMATCH(E7682, ""Ben帳戶|Elsa帳戶|Ben代墊|Ariel代墊|中信銀行共用""), REGEXMATCH(F7682, ""Ben帳戶|Elsa帳戶|Ben代墊|Ariel代墊|中信銀行共用"")), ""內部轉帳(忽略)"",
  AND(E7682&lt;&gt;"""", F7682&lt;&gt;"""", N"&amp;"OT(REGEXMATCH(C7682, ""薪資""))), ""內部轉帳(忽略)"",
  REGEXMATCH(C7682, ""薪資""), ""薪資變動(不計入)"",
  REGEXMATCH(C7682, ""押金""), ""押金往來"",
  AND(E7682&lt;&gt;"""", F7682=""""), ""真實支出"",
  AND(E7682="""", F7682&lt;&gt;""""), ""真實收入"",
  TRUE, ""其他""
)"),"其他")</f>
        <v>其他</v>
      </c>
      <c r="K7682" s="270" t="str">
        <f t="shared" si="2"/>
        <v/>
      </c>
      <c r="L7682">
        <f t="shared" si="3"/>
        <v>0</v>
      </c>
    </row>
    <row r="7683">
      <c r="A7683" s="107"/>
      <c r="D7683" s="270"/>
      <c r="H7683" s="106" t="str">
        <f t="shared" si="1"/>
        <v/>
      </c>
      <c r="J7683" t="str">
        <f>IFERROR(__xludf.DUMMYFUNCTION("IFS(
  AND(REGEXMATCH(E7683, ""台銀籌備帳戶|玉山帳戶""), REGEXMATCH(C7683, ""薪資"")), ""分潤支出"",
  AND(REGEXMATCH(E7683, ""Ben帳戶|Elsa帳戶|Ben代墊|Ariel代墊|中信銀行共用""), REGEXMATCH(F7683, ""Ben帳戶|Elsa帳戶|Ben代墊|Ariel代墊|中信銀行共用"")), ""內部轉帳(忽略)"",
  AND(E7683&lt;&gt;"""", F7683&lt;&gt;"""", N"&amp;"OT(REGEXMATCH(C7683, ""薪資""))), ""內部轉帳(忽略)"",
  REGEXMATCH(C7683, ""薪資""), ""薪資變動(不計入)"",
  REGEXMATCH(C7683, ""押金""), ""押金往來"",
  AND(E7683&lt;&gt;"""", F7683=""""), ""真實支出"",
  AND(E7683="""", F7683&lt;&gt;""""), ""真實收入"",
  TRUE, ""其他""
)"),"其他")</f>
        <v>其他</v>
      </c>
      <c r="K7683" s="270" t="str">
        <f t="shared" si="2"/>
        <v/>
      </c>
      <c r="L7683">
        <f t="shared" si="3"/>
        <v>0</v>
      </c>
    </row>
    <row r="7684">
      <c r="A7684" s="107"/>
      <c r="D7684" s="270"/>
      <c r="H7684" s="106" t="str">
        <f t="shared" si="1"/>
        <v/>
      </c>
      <c r="J7684" t="str">
        <f>IFERROR(__xludf.DUMMYFUNCTION("IFS(
  AND(REGEXMATCH(E7684, ""台銀籌備帳戶|玉山帳戶""), REGEXMATCH(C7684, ""薪資"")), ""分潤支出"",
  AND(REGEXMATCH(E7684, ""Ben帳戶|Elsa帳戶|Ben代墊|Ariel代墊|中信銀行共用""), REGEXMATCH(F7684, ""Ben帳戶|Elsa帳戶|Ben代墊|Ariel代墊|中信銀行共用"")), ""內部轉帳(忽略)"",
  AND(E7684&lt;&gt;"""", F7684&lt;&gt;"""", N"&amp;"OT(REGEXMATCH(C7684, ""薪資""))), ""內部轉帳(忽略)"",
  REGEXMATCH(C7684, ""薪資""), ""薪資變動(不計入)"",
  REGEXMATCH(C7684, ""押金""), ""押金往來"",
  AND(E7684&lt;&gt;"""", F7684=""""), ""真實支出"",
  AND(E7684="""", F7684&lt;&gt;""""), ""真實收入"",
  TRUE, ""其他""
)"),"其他")</f>
        <v>其他</v>
      </c>
      <c r="K7684" s="270" t="str">
        <f t="shared" si="2"/>
        <v/>
      </c>
      <c r="L7684">
        <f t="shared" si="3"/>
        <v>0</v>
      </c>
    </row>
    <row r="7685">
      <c r="A7685" s="107"/>
      <c r="D7685" s="270"/>
      <c r="H7685" s="106" t="str">
        <f t="shared" si="1"/>
        <v/>
      </c>
      <c r="J7685" t="str">
        <f>IFERROR(__xludf.DUMMYFUNCTION("IFS(
  AND(REGEXMATCH(E7685, ""台銀籌備帳戶|玉山帳戶""), REGEXMATCH(C7685, ""薪資"")), ""分潤支出"",
  AND(REGEXMATCH(E7685, ""Ben帳戶|Elsa帳戶|Ben代墊|Ariel代墊|中信銀行共用""), REGEXMATCH(F7685, ""Ben帳戶|Elsa帳戶|Ben代墊|Ariel代墊|中信銀行共用"")), ""內部轉帳(忽略)"",
  AND(E7685&lt;&gt;"""", F7685&lt;&gt;"""", N"&amp;"OT(REGEXMATCH(C7685, ""薪資""))), ""內部轉帳(忽略)"",
  REGEXMATCH(C7685, ""薪資""), ""薪資變動(不計入)"",
  REGEXMATCH(C7685, ""押金""), ""押金往來"",
  AND(E7685&lt;&gt;"""", F7685=""""), ""真實支出"",
  AND(E7685="""", F7685&lt;&gt;""""), ""真實收入"",
  TRUE, ""其他""
)"),"其他")</f>
        <v>其他</v>
      </c>
      <c r="K7685" s="270" t="str">
        <f t="shared" si="2"/>
        <v/>
      </c>
      <c r="L7685">
        <f t="shared" si="3"/>
        <v>0</v>
      </c>
    </row>
    <row r="7686">
      <c r="A7686" s="107"/>
      <c r="D7686" s="270"/>
      <c r="H7686" s="106" t="str">
        <f t="shared" si="1"/>
        <v/>
      </c>
      <c r="J7686" t="str">
        <f>IFERROR(__xludf.DUMMYFUNCTION("IFS(
  AND(REGEXMATCH(E7686, ""台銀籌備帳戶|玉山帳戶""), REGEXMATCH(C7686, ""薪資"")), ""分潤支出"",
  AND(REGEXMATCH(E7686, ""Ben帳戶|Elsa帳戶|Ben代墊|Ariel代墊|中信銀行共用""), REGEXMATCH(F7686, ""Ben帳戶|Elsa帳戶|Ben代墊|Ariel代墊|中信銀行共用"")), ""內部轉帳(忽略)"",
  AND(E7686&lt;&gt;"""", F7686&lt;&gt;"""", N"&amp;"OT(REGEXMATCH(C7686, ""薪資""))), ""內部轉帳(忽略)"",
  REGEXMATCH(C7686, ""薪資""), ""薪資變動(不計入)"",
  REGEXMATCH(C7686, ""押金""), ""押金往來"",
  AND(E7686&lt;&gt;"""", F7686=""""), ""真實支出"",
  AND(E7686="""", F7686&lt;&gt;""""), ""真實收入"",
  TRUE, ""其他""
)"),"其他")</f>
        <v>其他</v>
      </c>
      <c r="K7686" s="270" t="str">
        <f t="shared" si="2"/>
        <v/>
      </c>
      <c r="L7686">
        <f t="shared" si="3"/>
        <v>0</v>
      </c>
    </row>
    <row r="7687">
      <c r="A7687" s="107"/>
      <c r="D7687" s="270"/>
      <c r="H7687" s="106" t="str">
        <f t="shared" si="1"/>
        <v/>
      </c>
      <c r="J7687" t="str">
        <f>IFERROR(__xludf.DUMMYFUNCTION("IFS(
  AND(REGEXMATCH(E7687, ""台銀籌備帳戶|玉山帳戶""), REGEXMATCH(C7687, ""薪資"")), ""分潤支出"",
  AND(REGEXMATCH(E7687, ""Ben帳戶|Elsa帳戶|Ben代墊|Ariel代墊|中信銀行共用""), REGEXMATCH(F7687, ""Ben帳戶|Elsa帳戶|Ben代墊|Ariel代墊|中信銀行共用"")), ""內部轉帳(忽略)"",
  AND(E7687&lt;&gt;"""", F7687&lt;&gt;"""", N"&amp;"OT(REGEXMATCH(C7687, ""薪資""))), ""內部轉帳(忽略)"",
  REGEXMATCH(C7687, ""薪資""), ""薪資變動(不計入)"",
  REGEXMATCH(C7687, ""押金""), ""押金往來"",
  AND(E7687&lt;&gt;"""", F7687=""""), ""真實支出"",
  AND(E7687="""", F7687&lt;&gt;""""), ""真實收入"",
  TRUE, ""其他""
)"),"其他")</f>
        <v>其他</v>
      </c>
      <c r="K7687" s="270" t="str">
        <f t="shared" si="2"/>
        <v/>
      </c>
      <c r="L7687">
        <f t="shared" si="3"/>
        <v>0</v>
      </c>
    </row>
    <row r="7688">
      <c r="A7688" s="107"/>
      <c r="D7688" s="270"/>
      <c r="H7688" s="106" t="str">
        <f t="shared" si="1"/>
        <v/>
      </c>
      <c r="J7688" t="str">
        <f>IFERROR(__xludf.DUMMYFUNCTION("IFS(
  AND(REGEXMATCH(E7688, ""台銀籌備帳戶|玉山帳戶""), REGEXMATCH(C7688, ""薪資"")), ""分潤支出"",
  AND(REGEXMATCH(E7688, ""Ben帳戶|Elsa帳戶|Ben代墊|Ariel代墊|中信銀行共用""), REGEXMATCH(F7688, ""Ben帳戶|Elsa帳戶|Ben代墊|Ariel代墊|中信銀行共用"")), ""內部轉帳(忽略)"",
  AND(E7688&lt;&gt;"""", F7688&lt;&gt;"""", N"&amp;"OT(REGEXMATCH(C7688, ""薪資""))), ""內部轉帳(忽略)"",
  REGEXMATCH(C7688, ""薪資""), ""薪資變動(不計入)"",
  REGEXMATCH(C7688, ""押金""), ""押金往來"",
  AND(E7688&lt;&gt;"""", F7688=""""), ""真實支出"",
  AND(E7688="""", F7688&lt;&gt;""""), ""真實收入"",
  TRUE, ""其他""
)"),"其他")</f>
        <v>其他</v>
      </c>
      <c r="K7688" s="270" t="str">
        <f t="shared" si="2"/>
        <v/>
      </c>
      <c r="L7688">
        <f t="shared" si="3"/>
        <v>0</v>
      </c>
    </row>
    <row r="7689">
      <c r="A7689" s="107"/>
      <c r="D7689" s="270"/>
      <c r="H7689" s="106" t="str">
        <f t="shared" si="1"/>
        <v/>
      </c>
      <c r="J7689" t="str">
        <f>IFERROR(__xludf.DUMMYFUNCTION("IFS(
  AND(REGEXMATCH(E7689, ""台銀籌備帳戶|玉山帳戶""), REGEXMATCH(C7689, ""薪資"")), ""分潤支出"",
  AND(REGEXMATCH(E7689, ""Ben帳戶|Elsa帳戶|Ben代墊|Ariel代墊|中信銀行共用""), REGEXMATCH(F7689, ""Ben帳戶|Elsa帳戶|Ben代墊|Ariel代墊|中信銀行共用"")), ""內部轉帳(忽略)"",
  AND(E7689&lt;&gt;"""", F7689&lt;&gt;"""", N"&amp;"OT(REGEXMATCH(C7689, ""薪資""))), ""內部轉帳(忽略)"",
  REGEXMATCH(C7689, ""薪資""), ""薪資變動(不計入)"",
  REGEXMATCH(C7689, ""押金""), ""押金往來"",
  AND(E7689&lt;&gt;"""", F7689=""""), ""真實支出"",
  AND(E7689="""", F7689&lt;&gt;""""), ""真實收入"",
  TRUE, ""其他""
)"),"其他")</f>
        <v>其他</v>
      </c>
      <c r="K7689" s="270" t="str">
        <f t="shared" si="2"/>
        <v/>
      </c>
      <c r="L7689">
        <f t="shared" si="3"/>
        <v>0</v>
      </c>
    </row>
    <row r="7690">
      <c r="A7690" s="107"/>
      <c r="D7690" s="270"/>
      <c r="H7690" s="106" t="str">
        <f t="shared" si="1"/>
        <v/>
      </c>
      <c r="J7690" t="str">
        <f>IFERROR(__xludf.DUMMYFUNCTION("IFS(
  AND(REGEXMATCH(E7690, ""台銀籌備帳戶|玉山帳戶""), REGEXMATCH(C7690, ""薪資"")), ""分潤支出"",
  AND(REGEXMATCH(E7690, ""Ben帳戶|Elsa帳戶|Ben代墊|Ariel代墊|中信銀行共用""), REGEXMATCH(F7690, ""Ben帳戶|Elsa帳戶|Ben代墊|Ariel代墊|中信銀行共用"")), ""內部轉帳(忽略)"",
  AND(E7690&lt;&gt;"""", F7690&lt;&gt;"""", N"&amp;"OT(REGEXMATCH(C7690, ""薪資""))), ""內部轉帳(忽略)"",
  REGEXMATCH(C7690, ""薪資""), ""薪資變動(不計入)"",
  REGEXMATCH(C7690, ""押金""), ""押金往來"",
  AND(E7690&lt;&gt;"""", F7690=""""), ""真實支出"",
  AND(E7690="""", F7690&lt;&gt;""""), ""真實收入"",
  TRUE, ""其他""
)"),"其他")</f>
        <v>其他</v>
      </c>
      <c r="K7690" s="270" t="str">
        <f t="shared" si="2"/>
        <v/>
      </c>
      <c r="L7690">
        <f t="shared" si="3"/>
        <v>0</v>
      </c>
    </row>
    <row r="7691">
      <c r="A7691" s="107"/>
      <c r="D7691" s="270"/>
      <c r="H7691" s="106" t="str">
        <f t="shared" si="1"/>
        <v/>
      </c>
      <c r="J7691" t="str">
        <f>IFERROR(__xludf.DUMMYFUNCTION("IFS(
  AND(REGEXMATCH(E7691, ""台銀籌備帳戶|玉山帳戶""), REGEXMATCH(C7691, ""薪資"")), ""分潤支出"",
  AND(REGEXMATCH(E7691, ""Ben帳戶|Elsa帳戶|Ben代墊|Ariel代墊|中信銀行共用""), REGEXMATCH(F7691, ""Ben帳戶|Elsa帳戶|Ben代墊|Ariel代墊|中信銀行共用"")), ""內部轉帳(忽略)"",
  AND(E7691&lt;&gt;"""", F7691&lt;&gt;"""", N"&amp;"OT(REGEXMATCH(C7691, ""薪資""))), ""內部轉帳(忽略)"",
  REGEXMATCH(C7691, ""薪資""), ""薪資變動(不計入)"",
  REGEXMATCH(C7691, ""押金""), ""押金往來"",
  AND(E7691&lt;&gt;"""", F7691=""""), ""真實支出"",
  AND(E7691="""", F7691&lt;&gt;""""), ""真實收入"",
  TRUE, ""其他""
)"),"其他")</f>
        <v>其他</v>
      </c>
      <c r="K7691" s="270" t="str">
        <f t="shared" si="2"/>
        <v/>
      </c>
      <c r="L7691">
        <f t="shared" si="3"/>
        <v>0</v>
      </c>
    </row>
    <row r="7692">
      <c r="A7692" s="107"/>
      <c r="D7692" s="270"/>
      <c r="H7692" s="106" t="str">
        <f t="shared" si="1"/>
        <v/>
      </c>
      <c r="J7692" t="str">
        <f>IFERROR(__xludf.DUMMYFUNCTION("IFS(
  AND(REGEXMATCH(E7692, ""台銀籌備帳戶|玉山帳戶""), REGEXMATCH(C7692, ""薪資"")), ""分潤支出"",
  AND(REGEXMATCH(E7692, ""Ben帳戶|Elsa帳戶|Ben代墊|Ariel代墊|中信銀行共用""), REGEXMATCH(F7692, ""Ben帳戶|Elsa帳戶|Ben代墊|Ariel代墊|中信銀行共用"")), ""內部轉帳(忽略)"",
  AND(E7692&lt;&gt;"""", F7692&lt;&gt;"""", N"&amp;"OT(REGEXMATCH(C7692, ""薪資""))), ""內部轉帳(忽略)"",
  REGEXMATCH(C7692, ""薪資""), ""薪資變動(不計入)"",
  REGEXMATCH(C7692, ""押金""), ""押金往來"",
  AND(E7692&lt;&gt;"""", F7692=""""), ""真實支出"",
  AND(E7692="""", F7692&lt;&gt;""""), ""真實收入"",
  TRUE, ""其他""
)"),"其他")</f>
        <v>其他</v>
      </c>
      <c r="K7692" s="270" t="str">
        <f t="shared" si="2"/>
        <v/>
      </c>
      <c r="L7692">
        <f t="shared" si="3"/>
        <v>0</v>
      </c>
    </row>
    <row r="7693">
      <c r="A7693" s="107"/>
      <c r="D7693" s="270"/>
      <c r="H7693" s="106" t="str">
        <f t="shared" si="1"/>
        <v/>
      </c>
      <c r="J7693" t="str">
        <f>IFERROR(__xludf.DUMMYFUNCTION("IFS(
  AND(REGEXMATCH(E7693, ""台銀籌備帳戶|玉山帳戶""), REGEXMATCH(C7693, ""薪資"")), ""分潤支出"",
  AND(REGEXMATCH(E7693, ""Ben帳戶|Elsa帳戶|Ben代墊|Ariel代墊|中信銀行共用""), REGEXMATCH(F7693, ""Ben帳戶|Elsa帳戶|Ben代墊|Ariel代墊|中信銀行共用"")), ""內部轉帳(忽略)"",
  AND(E7693&lt;&gt;"""", F7693&lt;&gt;"""", N"&amp;"OT(REGEXMATCH(C7693, ""薪資""))), ""內部轉帳(忽略)"",
  REGEXMATCH(C7693, ""薪資""), ""薪資變動(不計入)"",
  REGEXMATCH(C7693, ""押金""), ""押金往來"",
  AND(E7693&lt;&gt;"""", F7693=""""), ""真實支出"",
  AND(E7693="""", F7693&lt;&gt;""""), ""真實收入"",
  TRUE, ""其他""
)"),"其他")</f>
        <v>其他</v>
      </c>
      <c r="K7693" s="270" t="str">
        <f t="shared" si="2"/>
        <v/>
      </c>
      <c r="L7693">
        <f t="shared" si="3"/>
        <v>0</v>
      </c>
    </row>
    <row r="7694">
      <c r="A7694" s="107"/>
      <c r="D7694" s="270"/>
      <c r="H7694" s="106" t="str">
        <f t="shared" si="1"/>
        <v/>
      </c>
      <c r="J7694" t="str">
        <f>IFERROR(__xludf.DUMMYFUNCTION("IFS(
  AND(REGEXMATCH(E7694, ""台銀籌備帳戶|玉山帳戶""), REGEXMATCH(C7694, ""薪資"")), ""分潤支出"",
  AND(REGEXMATCH(E7694, ""Ben帳戶|Elsa帳戶|Ben代墊|Ariel代墊|中信銀行共用""), REGEXMATCH(F7694, ""Ben帳戶|Elsa帳戶|Ben代墊|Ariel代墊|中信銀行共用"")), ""內部轉帳(忽略)"",
  AND(E7694&lt;&gt;"""", F7694&lt;&gt;"""", N"&amp;"OT(REGEXMATCH(C7694, ""薪資""))), ""內部轉帳(忽略)"",
  REGEXMATCH(C7694, ""薪資""), ""薪資變動(不計入)"",
  REGEXMATCH(C7694, ""押金""), ""押金往來"",
  AND(E7694&lt;&gt;"""", F7694=""""), ""真實支出"",
  AND(E7694="""", F7694&lt;&gt;""""), ""真實收入"",
  TRUE, ""其他""
)"),"其他")</f>
        <v>其他</v>
      </c>
      <c r="K7694" s="270" t="str">
        <f t="shared" si="2"/>
        <v/>
      </c>
      <c r="L7694">
        <f t="shared" si="3"/>
        <v>0</v>
      </c>
    </row>
    <row r="7695">
      <c r="A7695" s="107"/>
      <c r="D7695" s="270"/>
      <c r="H7695" s="106" t="str">
        <f t="shared" si="1"/>
        <v/>
      </c>
      <c r="J7695" t="str">
        <f>IFERROR(__xludf.DUMMYFUNCTION("IFS(
  AND(REGEXMATCH(E7695, ""台銀籌備帳戶|玉山帳戶""), REGEXMATCH(C7695, ""薪資"")), ""分潤支出"",
  AND(REGEXMATCH(E7695, ""Ben帳戶|Elsa帳戶|Ben代墊|Ariel代墊|中信銀行共用""), REGEXMATCH(F7695, ""Ben帳戶|Elsa帳戶|Ben代墊|Ariel代墊|中信銀行共用"")), ""內部轉帳(忽略)"",
  AND(E7695&lt;&gt;"""", F7695&lt;&gt;"""", N"&amp;"OT(REGEXMATCH(C7695, ""薪資""))), ""內部轉帳(忽略)"",
  REGEXMATCH(C7695, ""薪資""), ""薪資變動(不計入)"",
  REGEXMATCH(C7695, ""押金""), ""押金往來"",
  AND(E7695&lt;&gt;"""", F7695=""""), ""真實支出"",
  AND(E7695="""", F7695&lt;&gt;""""), ""真實收入"",
  TRUE, ""其他""
)"),"其他")</f>
        <v>其他</v>
      </c>
      <c r="K7695" s="270" t="str">
        <f t="shared" si="2"/>
        <v/>
      </c>
      <c r="L7695">
        <f t="shared" si="3"/>
        <v>0</v>
      </c>
    </row>
    <row r="7696">
      <c r="A7696" s="107"/>
      <c r="D7696" s="270"/>
      <c r="H7696" s="106" t="str">
        <f t="shared" si="1"/>
        <v/>
      </c>
      <c r="J7696" t="str">
        <f>IFERROR(__xludf.DUMMYFUNCTION("IFS(
  AND(REGEXMATCH(E7696, ""台銀籌備帳戶|玉山帳戶""), REGEXMATCH(C7696, ""薪資"")), ""分潤支出"",
  AND(REGEXMATCH(E7696, ""Ben帳戶|Elsa帳戶|Ben代墊|Ariel代墊|中信銀行共用""), REGEXMATCH(F7696, ""Ben帳戶|Elsa帳戶|Ben代墊|Ariel代墊|中信銀行共用"")), ""內部轉帳(忽略)"",
  AND(E7696&lt;&gt;"""", F7696&lt;&gt;"""", N"&amp;"OT(REGEXMATCH(C7696, ""薪資""))), ""內部轉帳(忽略)"",
  REGEXMATCH(C7696, ""薪資""), ""薪資變動(不計入)"",
  REGEXMATCH(C7696, ""押金""), ""押金往來"",
  AND(E7696&lt;&gt;"""", F7696=""""), ""真實支出"",
  AND(E7696="""", F7696&lt;&gt;""""), ""真實收入"",
  TRUE, ""其他""
)"),"其他")</f>
        <v>其他</v>
      </c>
      <c r="K7696" s="270" t="str">
        <f t="shared" si="2"/>
        <v/>
      </c>
      <c r="L7696">
        <f t="shared" si="3"/>
        <v>0</v>
      </c>
    </row>
    <row r="7697">
      <c r="A7697" s="107"/>
      <c r="D7697" s="270"/>
      <c r="H7697" s="106" t="str">
        <f t="shared" si="1"/>
        <v/>
      </c>
      <c r="J7697" t="str">
        <f>IFERROR(__xludf.DUMMYFUNCTION("IFS(
  AND(REGEXMATCH(E7697, ""台銀籌備帳戶|玉山帳戶""), REGEXMATCH(C7697, ""薪資"")), ""分潤支出"",
  AND(REGEXMATCH(E7697, ""Ben帳戶|Elsa帳戶|Ben代墊|Ariel代墊|中信銀行共用""), REGEXMATCH(F7697, ""Ben帳戶|Elsa帳戶|Ben代墊|Ariel代墊|中信銀行共用"")), ""內部轉帳(忽略)"",
  AND(E7697&lt;&gt;"""", F7697&lt;&gt;"""", N"&amp;"OT(REGEXMATCH(C7697, ""薪資""))), ""內部轉帳(忽略)"",
  REGEXMATCH(C7697, ""薪資""), ""薪資變動(不計入)"",
  REGEXMATCH(C7697, ""押金""), ""押金往來"",
  AND(E7697&lt;&gt;"""", F7697=""""), ""真實支出"",
  AND(E7697="""", F7697&lt;&gt;""""), ""真實收入"",
  TRUE, ""其他""
)"),"其他")</f>
        <v>其他</v>
      </c>
      <c r="K7697" s="270" t="str">
        <f t="shared" si="2"/>
        <v/>
      </c>
      <c r="L7697">
        <f t="shared" si="3"/>
        <v>0</v>
      </c>
    </row>
    <row r="7698">
      <c r="A7698" s="107"/>
      <c r="D7698" s="270"/>
      <c r="H7698" s="106" t="str">
        <f t="shared" si="1"/>
        <v/>
      </c>
      <c r="J7698" t="str">
        <f>IFERROR(__xludf.DUMMYFUNCTION("IFS(
  AND(REGEXMATCH(E7698, ""台銀籌備帳戶|玉山帳戶""), REGEXMATCH(C7698, ""薪資"")), ""分潤支出"",
  AND(REGEXMATCH(E7698, ""Ben帳戶|Elsa帳戶|Ben代墊|Ariel代墊|中信銀行共用""), REGEXMATCH(F7698, ""Ben帳戶|Elsa帳戶|Ben代墊|Ariel代墊|中信銀行共用"")), ""內部轉帳(忽略)"",
  AND(E7698&lt;&gt;"""", F7698&lt;&gt;"""", N"&amp;"OT(REGEXMATCH(C7698, ""薪資""))), ""內部轉帳(忽略)"",
  REGEXMATCH(C7698, ""薪資""), ""薪資變動(不計入)"",
  REGEXMATCH(C7698, ""押金""), ""押金往來"",
  AND(E7698&lt;&gt;"""", F7698=""""), ""真實支出"",
  AND(E7698="""", F7698&lt;&gt;""""), ""真實收入"",
  TRUE, ""其他""
)"),"其他")</f>
        <v>其他</v>
      </c>
      <c r="K7698" s="270" t="str">
        <f t="shared" si="2"/>
        <v/>
      </c>
      <c r="L7698">
        <f t="shared" si="3"/>
        <v>0</v>
      </c>
    </row>
    <row r="7699">
      <c r="A7699" s="107"/>
      <c r="D7699" s="270"/>
      <c r="H7699" s="106" t="str">
        <f t="shared" si="1"/>
        <v/>
      </c>
      <c r="J7699" t="str">
        <f>IFERROR(__xludf.DUMMYFUNCTION("IFS(
  AND(REGEXMATCH(E7699, ""台銀籌備帳戶|玉山帳戶""), REGEXMATCH(C7699, ""薪資"")), ""分潤支出"",
  AND(REGEXMATCH(E7699, ""Ben帳戶|Elsa帳戶|Ben代墊|Ariel代墊|中信銀行共用""), REGEXMATCH(F7699, ""Ben帳戶|Elsa帳戶|Ben代墊|Ariel代墊|中信銀行共用"")), ""內部轉帳(忽略)"",
  AND(E7699&lt;&gt;"""", F7699&lt;&gt;"""", N"&amp;"OT(REGEXMATCH(C7699, ""薪資""))), ""內部轉帳(忽略)"",
  REGEXMATCH(C7699, ""薪資""), ""薪資變動(不計入)"",
  REGEXMATCH(C7699, ""押金""), ""押金往來"",
  AND(E7699&lt;&gt;"""", F7699=""""), ""真實支出"",
  AND(E7699="""", F7699&lt;&gt;""""), ""真實收入"",
  TRUE, ""其他""
)"),"其他")</f>
        <v>其他</v>
      </c>
      <c r="K7699" s="270" t="str">
        <f t="shared" si="2"/>
        <v/>
      </c>
      <c r="L7699">
        <f t="shared" si="3"/>
        <v>0</v>
      </c>
    </row>
    <row r="7700">
      <c r="A7700" s="107"/>
      <c r="D7700" s="270"/>
      <c r="H7700" s="106" t="str">
        <f t="shared" si="1"/>
        <v/>
      </c>
      <c r="J7700" t="str">
        <f>IFERROR(__xludf.DUMMYFUNCTION("IFS(
  AND(REGEXMATCH(E7700, ""台銀籌備帳戶|玉山帳戶""), REGEXMATCH(C7700, ""薪資"")), ""分潤支出"",
  AND(REGEXMATCH(E7700, ""Ben帳戶|Elsa帳戶|Ben代墊|Ariel代墊|中信銀行共用""), REGEXMATCH(F7700, ""Ben帳戶|Elsa帳戶|Ben代墊|Ariel代墊|中信銀行共用"")), ""內部轉帳(忽略)"",
  AND(E7700&lt;&gt;"""", F7700&lt;&gt;"""", N"&amp;"OT(REGEXMATCH(C7700, ""薪資""))), ""內部轉帳(忽略)"",
  REGEXMATCH(C7700, ""薪資""), ""薪資變動(不計入)"",
  REGEXMATCH(C7700, ""押金""), ""押金往來"",
  AND(E7700&lt;&gt;"""", F7700=""""), ""真實支出"",
  AND(E7700="""", F7700&lt;&gt;""""), ""真實收入"",
  TRUE, ""其他""
)"),"其他")</f>
        <v>其他</v>
      </c>
      <c r="K7700" s="270" t="str">
        <f t="shared" si="2"/>
        <v/>
      </c>
      <c r="L7700">
        <f t="shared" si="3"/>
        <v>0</v>
      </c>
    </row>
    <row r="7701">
      <c r="A7701" s="107"/>
      <c r="D7701" s="270"/>
      <c r="H7701" s="106" t="str">
        <f t="shared" si="1"/>
        <v/>
      </c>
      <c r="J7701" t="str">
        <f>IFERROR(__xludf.DUMMYFUNCTION("IFS(
  AND(REGEXMATCH(E7701, ""台銀籌備帳戶|玉山帳戶""), REGEXMATCH(C7701, ""薪資"")), ""分潤支出"",
  AND(REGEXMATCH(E7701, ""Ben帳戶|Elsa帳戶|Ben代墊|Ariel代墊|中信銀行共用""), REGEXMATCH(F7701, ""Ben帳戶|Elsa帳戶|Ben代墊|Ariel代墊|中信銀行共用"")), ""內部轉帳(忽略)"",
  AND(E7701&lt;&gt;"""", F7701&lt;&gt;"""", N"&amp;"OT(REGEXMATCH(C7701, ""薪資""))), ""內部轉帳(忽略)"",
  REGEXMATCH(C7701, ""薪資""), ""薪資變動(不計入)"",
  REGEXMATCH(C7701, ""押金""), ""押金往來"",
  AND(E7701&lt;&gt;"""", F7701=""""), ""真實支出"",
  AND(E7701="""", F7701&lt;&gt;""""), ""真實收入"",
  TRUE, ""其他""
)"),"其他")</f>
        <v>其他</v>
      </c>
      <c r="K7701" s="270" t="str">
        <f t="shared" si="2"/>
        <v/>
      </c>
      <c r="L7701">
        <f t="shared" si="3"/>
        <v>0</v>
      </c>
    </row>
    <row r="7702">
      <c r="A7702" s="107"/>
      <c r="D7702" s="270"/>
      <c r="H7702" s="106" t="str">
        <f t="shared" si="1"/>
        <v/>
      </c>
      <c r="J7702" t="str">
        <f>IFERROR(__xludf.DUMMYFUNCTION("IFS(
  AND(REGEXMATCH(E7702, ""台銀籌備帳戶|玉山帳戶""), REGEXMATCH(C7702, ""薪資"")), ""分潤支出"",
  AND(REGEXMATCH(E7702, ""Ben帳戶|Elsa帳戶|Ben代墊|Ariel代墊|中信銀行共用""), REGEXMATCH(F7702, ""Ben帳戶|Elsa帳戶|Ben代墊|Ariel代墊|中信銀行共用"")), ""內部轉帳(忽略)"",
  AND(E7702&lt;&gt;"""", F7702&lt;&gt;"""", N"&amp;"OT(REGEXMATCH(C7702, ""薪資""))), ""內部轉帳(忽略)"",
  REGEXMATCH(C7702, ""薪資""), ""薪資變動(不計入)"",
  REGEXMATCH(C7702, ""押金""), ""押金往來"",
  AND(E7702&lt;&gt;"""", F7702=""""), ""真實支出"",
  AND(E7702="""", F7702&lt;&gt;""""), ""真實收入"",
  TRUE, ""其他""
)"),"其他")</f>
        <v>其他</v>
      </c>
      <c r="K7702" s="270" t="str">
        <f t="shared" si="2"/>
        <v/>
      </c>
      <c r="L7702">
        <f t="shared" si="3"/>
        <v>0</v>
      </c>
    </row>
    <row r="7703">
      <c r="A7703" s="107"/>
      <c r="D7703" s="270"/>
      <c r="H7703" s="106" t="str">
        <f t="shared" si="1"/>
        <v/>
      </c>
      <c r="J7703" t="str">
        <f>IFERROR(__xludf.DUMMYFUNCTION("IFS(
  AND(REGEXMATCH(E7703, ""台銀籌備帳戶|玉山帳戶""), REGEXMATCH(C7703, ""薪資"")), ""分潤支出"",
  AND(REGEXMATCH(E7703, ""Ben帳戶|Elsa帳戶|Ben代墊|Ariel代墊|中信銀行共用""), REGEXMATCH(F7703, ""Ben帳戶|Elsa帳戶|Ben代墊|Ariel代墊|中信銀行共用"")), ""內部轉帳(忽略)"",
  AND(E7703&lt;&gt;"""", F7703&lt;&gt;"""", N"&amp;"OT(REGEXMATCH(C7703, ""薪資""))), ""內部轉帳(忽略)"",
  REGEXMATCH(C7703, ""薪資""), ""薪資變動(不計入)"",
  REGEXMATCH(C7703, ""押金""), ""押金往來"",
  AND(E7703&lt;&gt;"""", F7703=""""), ""真實支出"",
  AND(E7703="""", F7703&lt;&gt;""""), ""真實收入"",
  TRUE, ""其他""
)"),"其他")</f>
        <v>其他</v>
      </c>
      <c r="K7703" s="270" t="str">
        <f t="shared" si="2"/>
        <v/>
      </c>
      <c r="L7703">
        <f t="shared" si="3"/>
        <v>0</v>
      </c>
    </row>
    <row r="7704">
      <c r="A7704" s="107"/>
      <c r="D7704" s="270"/>
      <c r="H7704" s="106" t="str">
        <f t="shared" si="1"/>
        <v/>
      </c>
      <c r="J7704" t="str">
        <f>IFERROR(__xludf.DUMMYFUNCTION("IFS(
  AND(REGEXMATCH(E7704, ""台銀籌備帳戶|玉山帳戶""), REGEXMATCH(C7704, ""薪資"")), ""分潤支出"",
  AND(REGEXMATCH(E7704, ""Ben帳戶|Elsa帳戶|Ben代墊|Ariel代墊|中信銀行共用""), REGEXMATCH(F7704, ""Ben帳戶|Elsa帳戶|Ben代墊|Ariel代墊|中信銀行共用"")), ""內部轉帳(忽略)"",
  AND(E7704&lt;&gt;"""", F7704&lt;&gt;"""", N"&amp;"OT(REGEXMATCH(C7704, ""薪資""))), ""內部轉帳(忽略)"",
  REGEXMATCH(C7704, ""薪資""), ""薪資變動(不計入)"",
  REGEXMATCH(C7704, ""押金""), ""押金往來"",
  AND(E7704&lt;&gt;"""", F7704=""""), ""真實支出"",
  AND(E7704="""", F7704&lt;&gt;""""), ""真實收入"",
  TRUE, ""其他""
)"),"其他")</f>
        <v>其他</v>
      </c>
      <c r="K7704" s="270" t="str">
        <f t="shared" si="2"/>
        <v/>
      </c>
      <c r="L7704">
        <f t="shared" si="3"/>
        <v>0</v>
      </c>
    </row>
    <row r="7705">
      <c r="A7705" s="107"/>
      <c r="D7705" s="270"/>
      <c r="H7705" s="106" t="str">
        <f t="shared" si="1"/>
        <v/>
      </c>
      <c r="J7705" t="str">
        <f>IFERROR(__xludf.DUMMYFUNCTION("IFS(
  AND(REGEXMATCH(E7705, ""台銀籌備帳戶|玉山帳戶""), REGEXMATCH(C7705, ""薪資"")), ""分潤支出"",
  AND(REGEXMATCH(E7705, ""Ben帳戶|Elsa帳戶|Ben代墊|Ariel代墊|中信銀行共用""), REGEXMATCH(F7705, ""Ben帳戶|Elsa帳戶|Ben代墊|Ariel代墊|中信銀行共用"")), ""內部轉帳(忽略)"",
  AND(E7705&lt;&gt;"""", F7705&lt;&gt;"""", N"&amp;"OT(REGEXMATCH(C7705, ""薪資""))), ""內部轉帳(忽略)"",
  REGEXMATCH(C7705, ""薪資""), ""薪資變動(不計入)"",
  REGEXMATCH(C7705, ""押金""), ""押金往來"",
  AND(E7705&lt;&gt;"""", F7705=""""), ""真實支出"",
  AND(E7705="""", F7705&lt;&gt;""""), ""真實收入"",
  TRUE, ""其他""
)"),"其他")</f>
        <v>其他</v>
      </c>
      <c r="K7705" s="270" t="str">
        <f t="shared" si="2"/>
        <v/>
      </c>
      <c r="L7705">
        <f t="shared" si="3"/>
        <v>0</v>
      </c>
    </row>
    <row r="7706">
      <c r="A7706" s="107"/>
      <c r="D7706" s="270"/>
      <c r="H7706" s="106" t="str">
        <f t="shared" si="1"/>
        <v/>
      </c>
      <c r="J7706" t="str">
        <f>IFERROR(__xludf.DUMMYFUNCTION("IFS(
  AND(REGEXMATCH(E7706, ""台銀籌備帳戶|玉山帳戶""), REGEXMATCH(C7706, ""薪資"")), ""分潤支出"",
  AND(REGEXMATCH(E7706, ""Ben帳戶|Elsa帳戶|Ben代墊|Ariel代墊|中信銀行共用""), REGEXMATCH(F7706, ""Ben帳戶|Elsa帳戶|Ben代墊|Ariel代墊|中信銀行共用"")), ""內部轉帳(忽略)"",
  AND(E7706&lt;&gt;"""", F7706&lt;&gt;"""", N"&amp;"OT(REGEXMATCH(C7706, ""薪資""))), ""內部轉帳(忽略)"",
  REGEXMATCH(C7706, ""薪資""), ""薪資變動(不計入)"",
  REGEXMATCH(C7706, ""押金""), ""押金往來"",
  AND(E7706&lt;&gt;"""", F7706=""""), ""真實支出"",
  AND(E7706="""", F7706&lt;&gt;""""), ""真實收入"",
  TRUE, ""其他""
)"),"其他")</f>
        <v>其他</v>
      </c>
      <c r="K7706" s="270" t="str">
        <f t="shared" si="2"/>
        <v/>
      </c>
      <c r="L7706">
        <f t="shared" si="3"/>
        <v>0</v>
      </c>
    </row>
    <row r="7707">
      <c r="A7707" s="107"/>
      <c r="D7707" s="270"/>
      <c r="H7707" s="106" t="str">
        <f t="shared" si="1"/>
        <v/>
      </c>
      <c r="J7707" t="str">
        <f>IFERROR(__xludf.DUMMYFUNCTION("IFS(
  AND(REGEXMATCH(E7707, ""台銀籌備帳戶|玉山帳戶""), REGEXMATCH(C7707, ""薪資"")), ""分潤支出"",
  AND(REGEXMATCH(E7707, ""Ben帳戶|Elsa帳戶|Ben代墊|Ariel代墊|中信銀行共用""), REGEXMATCH(F7707, ""Ben帳戶|Elsa帳戶|Ben代墊|Ariel代墊|中信銀行共用"")), ""內部轉帳(忽略)"",
  AND(E7707&lt;&gt;"""", F7707&lt;&gt;"""", N"&amp;"OT(REGEXMATCH(C7707, ""薪資""))), ""內部轉帳(忽略)"",
  REGEXMATCH(C7707, ""薪資""), ""薪資變動(不計入)"",
  REGEXMATCH(C7707, ""押金""), ""押金往來"",
  AND(E7707&lt;&gt;"""", F7707=""""), ""真實支出"",
  AND(E7707="""", F7707&lt;&gt;""""), ""真實收入"",
  TRUE, ""其他""
)"),"其他")</f>
        <v>其他</v>
      </c>
      <c r="K7707" s="270" t="str">
        <f t="shared" si="2"/>
        <v/>
      </c>
      <c r="L7707">
        <f t="shared" si="3"/>
        <v>0</v>
      </c>
    </row>
    <row r="7708">
      <c r="A7708" s="107"/>
      <c r="D7708" s="270"/>
      <c r="H7708" s="106" t="str">
        <f t="shared" si="1"/>
        <v/>
      </c>
      <c r="J7708" t="str">
        <f>IFERROR(__xludf.DUMMYFUNCTION("IFS(
  AND(REGEXMATCH(E7708, ""台銀籌備帳戶|玉山帳戶""), REGEXMATCH(C7708, ""薪資"")), ""分潤支出"",
  AND(REGEXMATCH(E7708, ""Ben帳戶|Elsa帳戶|Ben代墊|Ariel代墊|中信銀行共用""), REGEXMATCH(F7708, ""Ben帳戶|Elsa帳戶|Ben代墊|Ariel代墊|中信銀行共用"")), ""內部轉帳(忽略)"",
  AND(E7708&lt;&gt;"""", F7708&lt;&gt;"""", N"&amp;"OT(REGEXMATCH(C7708, ""薪資""))), ""內部轉帳(忽略)"",
  REGEXMATCH(C7708, ""薪資""), ""薪資變動(不計入)"",
  REGEXMATCH(C7708, ""押金""), ""押金往來"",
  AND(E7708&lt;&gt;"""", F7708=""""), ""真實支出"",
  AND(E7708="""", F7708&lt;&gt;""""), ""真實收入"",
  TRUE, ""其他""
)"),"其他")</f>
        <v>其他</v>
      </c>
      <c r="K7708" s="270" t="str">
        <f t="shared" si="2"/>
        <v/>
      </c>
      <c r="L7708">
        <f t="shared" si="3"/>
        <v>0</v>
      </c>
    </row>
    <row r="7709">
      <c r="A7709" s="107"/>
      <c r="D7709" s="270"/>
      <c r="H7709" s="106" t="str">
        <f t="shared" si="1"/>
        <v/>
      </c>
      <c r="J7709" t="str">
        <f>IFERROR(__xludf.DUMMYFUNCTION("IFS(
  AND(REGEXMATCH(E7709, ""台銀籌備帳戶|玉山帳戶""), REGEXMATCH(C7709, ""薪資"")), ""分潤支出"",
  AND(REGEXMATCH(E7709, ""Ben帳戶|Elsa帳戶|Ben代墊|Ariel代墊|中信銀行共用""), REGEXMATCH(F7709, ""Ben帳戶|Elsa帳戶|Ben代墊|Ariel代墊|中信銀行共用"")), ""內部轉帳(忽略)"",
  AND(E7709&lt;&gt;"""", F7709&lt;&gt;"""", N"&amp;"OT(REGEXMATCH(C7709, ""薪資""))), ""內部轉帳(忽略)"",
  REGEXMATCH(C7709, ""薪資""), ""薪資變動(不計入)"",
  REGEXMATCH(C7709, ""押金""), ""押金往來"",
  AND(E7709&lt;&gt;"""", F7709=""""), ""真實支出"",
  AND(E7709="""", F7709&lt;&gt;""""), ""真實收入"",
  TRUE, ""其他""
)"),"其他")</f>
        <v>其他</v>
      </c>
      <c r="K7709" s="270" t="str">
        <f t="shared" si="2"/>
        <v/>
      </c>
      <c r="L7709">
        <f t="shared" si="3"/>
        <v>0</v>
      </c>
    </row>
    <row r="7710">
      <c r="A7710" s="107"/>
      <c r="D7710" s="270"/>
      <c r="H7710" s="106" t="str">
        <f t="shared" si="1"/>
        <v/>
      </c>
      <c r="J7710" t="str">
        <f>IFERROR(__xludf.DUMMYFUNCTION("IFS(
  AND(REGEXMATCH(E7710, ""台銀籌備帳戶|玉山帳戶""), REGEXMATCH(C7710, ""薪資"")), ""分潤支出"",
  AND(REGEXMATCH(E7710, ""Ben帳戶|Elsa帳戶|Ben代墊|Ariel代墊|中信銀行共用""), REGEXMATCH(F7710, ""Ben帳戶|Elsa帳戶|Ben代墊|Ariel代墊|中信銀行共用"")), ""內部轉帳(忽略)"",
  AND(E7710&lt;&gt;"""", F7710&lt;&gt;"""", N"&amp;"OT(REGEXMATCH(C7710, ""薪資""))), ""內部轉帳(忽略)"",
  REGEXMATCH(C7710, ""薪資""), ""薪資變動(不計入)"",
  REGEXMATCH(C7710, ""押金""), ""押金往來"",
  AND(E7710&lt;&gt;"""", F7710=""""), ""真實支出"",
  AND(E7710="""", F7710&lt;&gt;""""), ""真實收入"",
  TRUE, ""其他""
)"),"其他")</f>
        <v>其他</v>
      </c>
      <c r="K7710" s="270" t="str">
        <f t="shared" si="2"/>
        <v/>
      </c>
      <c r="L7710">
        <f t="shared" si="3"/>
        <v>0</v>
      </c>
    </row>
    <row r="7711">
      <c r="A7711" s="107"/>
      <c r="D7711" s="270"/>
      <c r="H7711" s="106" t="str">
        <f t="shared" si="1"/>
        <v/>
      </c>
      <c r="J7711" t="str">
        <f>IFERROR(__xludf.DUMMYFUNCTION("IFS(
  AND(REGEXMATCH(E7711, ""台銀籌備帳戶|玉山帳戶""), REGEXMATCH(C7711, ""薪資"")), ""分潤支出"",
  AND(REGEXMATCH(E7711, ""Ben帳戶|Elsa帳戶|Ben代墊|Ariel代墊|中信銀行共用""), REGEXMATCH(F7711, ""Ben帳戶|Elsa帳戶|Ben代墊|Ariel代墊|中信銀行共用"")), ""內部轉帳(忽略)"",
  AND(E7711&lt;&gt;"""", F7711&lt;&gt;"""", N"&amp;"OT(REGEXMATCH(C7711, ""薪資""))), ""內部轉帳(忽略)"",
  REGEXMATCH(C7711, ""薪資""), ""薪資變動(不計入)"",
  REGEXMATCH(C7711, ""押金""), ""押金往來"",
  AND(E7711&lt;&gt;"""", F7711=""""), ""真實支出"",
  AND(E7711="""", F7711&lt;&gt;""""), ""真實收入"",
  TRUE, ""其他""
)"),"其他")</f>
        <v>其他</v>
      </c>
      <c r="K7711" s="270" t="str">
        <f t="shared" si="2"/>
        <v/>
      </c>
      <c r="L7711">
        <f t="shared" si="3"/>
        <v>0</v>
      </c>
    </row>
    <row r="7712">
      <c r="A7712" s="107"/>
      <c r="D7712" s="270"/>
      <c r="H7712" s="106" t="str">
        <f t="shared" si="1"/>
        <v/>
      </c>
      <c r="J7712" t="str">
        <f>IFERROR(__xludf.DUMMYFUNCTION("IFS(
  AND(REGEXMATCH(E7712, ""台銀籌備帳戶|玉山帳戶""), REGEXMATCH(C7712, ""薪資"")), ""分潤支出"",
  AND(REGEXMATCH(E7712, ""Ben帳戶|Elsa帳戶|Ben代墊|Ariel代墊|中信銀行共用""), REGEXMATCH(F7712, ""Ben帳戶|Elsa帳戶|Ben代墊|Ariel代墊|中信銀行共用"")), ""內部轉帳(忽略)"",
  AND(E7712&lt;&gt;"""", F7712&lt;&gt;"""", N"&amp;"OT(REGEXMATCH(C7712, ""薪資""))), ""內部轉帳(忽略)"",
  REGEXMATCH(C7712, ""薪資""), ""薪資變動(不計入)"",
  REGEXMATCH(C7712, ""押金""), ""押金往來"",
  AND(E7712&lt;&gt;"""", F7712=""""), ""真實支出"",
  AND(E7712="""", F7712&lt;&gt;""""), ""真實收入"",
  TRUE, ""其他""
)"),"其他")</f>
        <v>其他</v>
      </c>
      <c r="K7712" s="270" t="str">
        <f t="shared" si="2"/>
        <v/>
      </c>
      <c r="L7712">
        <f t="shared" si="3"/>
        <v>0</v>
      </c>
    </row>
    <row r="7713">
      <c r="A7713" s="107"/>
      <c r="D7713" s="270"/>
      <c r="H7713" s="106" t="str">
        <f t="shared" si="1"/>
        <v/>
      </c>
      <c r="J7713" t="str">
        <f>IFERROR(__xludf.DUMMYFUNCTION("IFS(
  AND(REGEXMATCH(E7713, ""台銀籌備帳戶|玉山帳戶""), REGEXMATCH(C7713, ""薪資"")), ""分潤支出"",
  AND(REGEXMATCH(E7713, ""Ben帳戶|Elsa帳戶|Ben代墊|Ariel代墊|中信銀行共用""), REGEXMATCH(F7713, ""Ben帳戶|Elsa帳戶|Ben代墊|Ariel代墊|中信銀行共用"")), ""內部轉帳(忽略)"",
  AND(E7713&lt;&gt;"""", F7713&lt;&gt;"""", N"&amp;"OT(REGEXMATCH(C7713, ""薪資""))), ""內部轉帳(忽略)"",
  REGEXMATCH(C7713, ""薪資""), ""薪資變動(不計入)"",
  REGEXMATCH(C7713, ""押金""), ""押金往來"",
  AND(E7713&lt;&gt;"""", F7713=""""), ""真實支出"",
  AND(E7713="""", F7713&lt;&gt;""""), ""真實收入"",
  TRUE, ""其他""
)"),"其他")</f>
        <v>其他</v>
      </c>
      <c r="K7713" s="270" t="str">
        <f t="shared" si="2"/>
        <v/>
      </c>
      <c r="L7713">
        <f t="shared" si="3"/>
        <v>0</v>
      </c>
    </row>
    <row r="7714">
      <c r="A7714" s="107"/>
      <c r="D7714" s="270"/>
      <c r="H7714" s="106" t="str">
        <f t="shared" si="1"/>
        <v/>
      </c>
      <c r="J7714" t="str">
        <f>IFERROR(__xludf.DUMMYFUNCTION("IFS(
  AND(REGEXMATCH(E7714, ""台銀籌備帳戶|玉山帳戶""), REGEXMATCH(C7714, ""薪資"")), ""分潤支出"",
  AND(REGEXMATCH(E7714, ""Ben帳戶|Elsa帳戶|Ben代墊|Ariel代墊|中信銀行共用""), REGEXMATCH(F7714, ""Ben帳戶|Elsa帳戶|Ben代墊|Ariel代墊|中信銀行共用"")), ""內部轉帳(忽略)"",
  AND(E7714&lt;&gt;"""", F7714&lt;&gt;"""", N"&amp;"OT(REGEXMATCH(C7714, ""薪資""))), ""內部轉帳(忽略)"",
  REGEXMATCH(C7714, ""薪資""), ""薪資變動(不計入)"",
  REGEXMATCH(C7714, ""押金""), ""押金往來"",
  AND(E7714&lt;&gt;"""", F7714=""""), ""真實支出"",
  AND(E7714="""", F7714&lt;&gt;""""), ""真實收入"",
  TRUE, ""其他""
)"),"其他")</f>
        <v>其他</v>
      </c>
      <c r="K7714" s="270" t="str">
        <f t="shared" si="2"/>
        <v/>
      </c>
      <c r="L7714">
        <f t="shared" si="3"/>
        <v>0</v>
      </c>
    </row>
    <row r="7715">
      <c r="A7715" s="107"/>
      <c r="D7715" s="270"/>
      <c r="H7715" s="106" t="str">
        <f t="shared" si="1"/>
        <v/>
      </c>
      <c r="J7715" t="str">
        <f>IFERROR(__xludf.DUMMYFUNCTION("IFS(
  AND(REGEXMATCH(E7715, ""台銀籌備帳戶|玉山帳戶""), REGEXMATCH(C7715, ""薪資"")), ""分潤支出"",
  AND(REGEXMATCH(E7715, ""Ben帳戶|Elsa帳戶|Ben代墊|Ariel代墊|中信銀行共用""), REGEXMATCH(F7715, ""Ben帳戶|Elsa帳戶|Ben代墊|Ariel代墊|中信銀行共用"")), ""內部轉帳(忽略)"",
  AND(E7715&lt;&gt;"""", F7715&lt;&gt;"""", N"&amp;"OT(REGEXMATCH(C7715, ""薪資""))), ""內部轉帳(忽略)"",
  REGEXMATCH(C7715, ""薪資""), ""薪資變動(不計入)"",
  REGEXMATCH(C7715, ""押金""), ""押金往來"",
  AND(E7715&lt;&gt;"""", F7715=""""), ""真實支出"",
  AND(E7715="""", F7715&lt;&gt;""""), ""真實收入"",
  TRUE, ""其他""
)"),"其他")</f>
        <v>其他</v>
      </c>
      <c r="K7715" s="270" t="str">
        <f t="shared" si="2"/>
        <v/>
      </c>
      <c r="L7715">
        <f t="shared" si="3"/>
        <v>0</v>
      </c>
    </row>
    <row r="7716">
      <c r="A7716" s="107"/>
      <c r="D7716" s="270"/>
      <c r="H7716" s="106" t="str">
        <f t="shared" si="1"/>
        <v/>
      </c>
      <c r="J7716" t="str">
        <f>IFERROR(__xludf.DUMMYFUNCTION("IFS(
  AND(REGEXMATCH(E7716, ""台銀籌備帳戶|玉山帳戶""), REGEXMATCH(C7716, ""薪資"")), ""分潤支出"",
  AND(REGEXMATCH(E7716, ""Ben帳戶|Elsa帳戶|Ben代墊|Ariel代墊|中信銀行共用""), REGEXMATCH(F7716, ""Ben帳戶|Elsa帳戶|Ben代墊|Ariel代墊|中信銀行共用"")), ""內部轉帳(忽略)"",
  AND(E7716&lt;&gt;"""", F7716&lt;&gt;"""", N"&amp;"OT(REGEXMATCH(C7716, ""薪資""))), ""內部轉帳(忽略)"",
  REGEXMATCH(C7716, ""薪資""), ""薪資變動(不計入)"",
  REGEXMATCH(C7716, ""押金""), ""押金往來"",
  AND(E7716&lt;&gt;"""", F7716=""""), ""真實支出"",
  AND(E7716="""", F7716&lt;&gt;""""), ""真實收入"",
  TRUE, ""其他""
)"),"其他")</f>
        <v>其他</v>
      </c>
      <c r="K7716" s="270" t="str">
        <f t="shared" si="2"/>
        <v/>
      </c>
      <c r="L7716">
        <f t="shared" si="3"/>
        <v>0</v>
      </c>
    </row>
    <row r="7717">
      <c r="A7717" s="107"/>
      <c r="D7717" s="270"/>
      <c r="H7717" s="106" t="str">
        <f t="shared" si="1"/>
        <v/>
      </c>
      <c r="J7717" t="str">
        <f>IFERROR(__xludf.DUMMYFUNCTION("IFS(
  AND(REGEXMATCH(E7717, ""台銀籌備帳戶|玉山帳戶""), REGEXMATCH(C7717, ""薪資"")), ""分潤支出"",
  AND(REGEXMATCH(E7717, ""Ben帳戶|Elsa帳戶|Ben代墊|Ariel代墊|中信銀行共用""), REGEXMATCH(F7717, ""Ben帳戶|Elsa帳戶|Ben代墊|Ariel代墊|中信銀行共用"")), ""內部轉帳(忽略)"",
  AND(E7717&lt;&gt;"""", F7717&lt;&gt;"""", N"&amp;"OT(REGEXMATCH(C7717, ""薪資""))), ""內部轉帳(忽略)"",
  REGEXMATCH(C7717, ""薪資""), ""薪資變動(不計入)"",
  REGEXMATCH(C7717, ""押金""), ""押金往來"",
  AND(E7717&lt;&gt;"""", F7717=""""), ""真實支出"",
  AND(E7717="""", F7717&lt;&gt;""""), ""真實收入"",
  TRUE, ""其他""
)"),"其他")</f>
        <v>其他</v>
      </c>
      <c r="K7717" s="270" t="str">
        <f t="shared" si="2"/>
        <v/>
      </c>
      <c r="L7717">
        <f t="shared" si="3"/>
        <v>0</v>
      </c>
    </row>
    <row r="7718">
      <c r="A7718" s="107"/>
      <c r="D7718" s="270"/>
      <c r="H7718" s="106" t="str">
        <f t="shared" si="1"/>
        <v/>
      </c>
      <c r="J7718" t="str">
        <f>IFERROR(__xludf.DUMMYFUNCTION("IFS(
  AND(REGEXMATCH(E7718, ""台銀籌備帳戶|玉山帳戶""), REGEXMATCH(C7718, ""薪資"")), ""分潤支出"",
  AND(REGEXMATCH(E7718, ""Ben帳戶|Elsa帳戶|Ben代墊|Ariel代墊|中信銀行共用""), REGEXMATCH(F7718, ""Ben帳戶|Elsa帳戶|Ben代墊|Ariel代墊|中信銀行共用"")), ""內部轉帳(忽略)"",
  AND(E7718&lt;&gt;"""", F7718&lt;&gt;"""", N"&amp;"OT(REGEXMATCH(C7718, ""薪資""))), ""內部轉帳(忽略)"",
  REGEXMATCH(C7718, ""薪資""), ""薪資變動(不計入)"",
  REGEXMATCH(C7718, ""押金""), ""押金往來"",
  AND(E7718&lt;&gt;"""", F7718=""""), ""真實支出"",
  AND(E7718="""", F7718&lt;&gt;""""), ""真實收入"",
  TRUE, ""其他""
)"),"其他")</f>
        <v>其他</v>
      </c>
      <c r="K7718" s="270" t="str">
        <f t="shared" si="2"/>
        <v/>
      </c>
      <c r="L7718">
        <f t="shared" si="3"/>
        <v>0</v>
      </c>
    </row>
    <row r="7719">
      <c r="A7719" s="107"/>
      <c r="D7719" s="270"/>
      <c r="H7719" s="106" t="str">
        <f t="shared" si="1"/>
        <v/>
      </c>
      <c r="J7719" t="str">
        <f>IFERROR(__xludf.DUMMYFUNCTION("IFS(
  AND(REGEXMATCH(E7719, ""台銀籌備帳戶|玉山帳戶""), REGEXMATCH(C7719, ""薪資"")), ""分潤支出"",
  AND(REGEXMATCH(E7719, ""Ben帳戶|Elsa帳戶|Ben代墊|Ariel代墊|中信銀行共用""), REGEXMATCH(F7719, ""Ben帳戶|Elsa帳戶|Ben代墊|Ariel代墊|中信銀行共用"")), ""內部轉帳(忽略)"",
  AND(E7719&lt;&gt;"""", F7719&lt;&gt;"""", N"&amp;"OT(REGEXMATCH(C7719, ""薪資""))), ""內部轉帳(忽略)"",
  REGEXMATCH(C7719, ""薪資""), ""薪資變動(不計入)"",
  REGEXMATCH(C7719, ""押金""), ""押金往來"",
  AND(E7719&lt;&gt;"""", F7719=""""), ""真實支出"",
  AND(E7719="""", F7719&lt;&gt;""""), ""真實收入"",
  TRUE, ""其他""
)"),"其他")</f>
        <v>其他</v>
      </c>
      <c r="K7719" s="270" t="str">
        <f t="shared" si="2"/>
        <v/>
      </c>
      <c r="L7719">
        <f t="shared" si="3"/>
        <v>0</v>
      </c>
    </row>
    <row r="7720">
      <c r="A7720" s="107"/>
      <c r="D7720" s="270"/>
      <c r="H7720" s="106" t="str">
        <f t="shared" si="1"/>
        <v/>
      </c>
      <c r="J7720" t="str">
        <f>IFERROR(__xludf.DUMMYFUNCTION("IFS(
  AND(REGEXMATCH(E7720, ""台銀籌備帳戶|玉山帳戶""), REGEXMATCH(C7720, ""薪資"")), ""分潤支出"",
  AND(REGEXMATCH(E7720, ""Ben帳戶|Elsa帳戶|Ben代墊|Ariel代墊|中信銀行共用""), REGEXMATCH(F7720, ""Ben帳戶|Elsa帳戶|Ben代墊|Ariel代墊|中信銀行共用"")), ""內部轉帳(忽略)"",
  AND(E7720&lt;&gt;"""", F7720&lt;&gt;"""", N"&amp;"OT(REGEXMATCH(C7720, ""薪資""))), ""內部轉帳(忽略)"",
  REGEXMATCH(C7720, ""薪資""), ""薪資變動(不計入)"",
  REGEXMATCH(C7720, ""押金""), ""押金往來"",
  AND(E7720&lt;&gt;"""", F7720=""""), ""真實支出"",
  AND(E7720="""", F7720&lt;&gt;""""), ""真實收入"",
  TRUE, ""其他""
)"),"其他")</f>
        <v>其他</v>
      </c>
      <c r="K7720" s="270" t="str">
        <f t="shared" si="2"/>
        <v/>
      </c>
      <c r="L7720">
        <f t="shared" si="3"/>
        <v>0</v>
      </c>
    </row>
    <row r="7721">
      <c r="A7721" s="107"/>
      <c r="D7721" s="270"/>
      <c r="H7721" s="106" t="str">
        <f t="shared" si="1"/>
        <v/>
      </c>
      <c r="J7721" t="str">
        <f>IFERROR(__xludf.DUMMYFUNCTION("IFS(
  AND(REGEXMATCH(E7721, ""台銀籌備帳戶|玉山帳戶""), REGEXMATCH(C7721, ""薪資"")), ""分潤支出"",
  AND(REGEXMATCH(E7721, ""Ben帳戶|Elsa帳戶|Ben代墊|Ariel代墊|中信銀行共用""), REGEXMATCH(F7721, ""Ben帳戶|Elsa帳戶|Ben代墊|Ariel代墊|中信銀行共用"")), ""內部轉帳(忽略)"",
  AND(E7721&lt;&gt;"""", F7721&lt;&gt;"""", N"&amp;"OT(REGEXMATCH(C7721, ""薪資""))), ""內部轉帳(忽略)"",
  REGEXMATCH(C7721, ""薪資""), ""薪資變動(不計入)"",
  REGEXMATCH(C7721, ""押金""), ""押金往來"",
  AND(E7721&lt;&gt;"""", F7721=""""), ""真實支出"",
  AND(E7721="""", F7721&lt;&gt;""""), ""真實收入"",
  TRUE, ""其他""
)"),"其他")</f>
        <v>其他</v>
      </c>
      <c r="K7721" s="270" t="str">
        <f t="shared" si="2"/>
        <v/>
      </c>
      <c r="L7721">
        <f t="shared" si="3"/>
        <v>0</v>
      </c>
    </row>
    <row r="7722">
      <c r="A7722" s="107"/>
      <c r="D7722" s="270"/>
      <c r="H7722" s="106" t="str">
        <f t="shared" si="1"/>
        <v/>
      </c>
      <c r="J7722" t="str">
        <f>IFERROR(__xludf.DUMMYFUNCTION("IFS(
  AND(REGEXMATCH(E7722, ""台銀籌備帳戶|玉山帳戶""), REGEXMATCH(C7722, ""薪資"")), ""分潤支出"",
  AND(REGEXMATCH(E7722, ""Ben帳戶|Elsa帳戶|Ben代墊|Ariel代墊|中信銀行共用""), REGEXMATCH(F7722, ""Ben帳戶|Elsa帳戶|Ben代墊|Ariel代墊|中信銀行共用"")), ""內部轉帳(忽略)"",
  AND(E7722&lt;&gt;"""", F7722&lt;&gt;"""", N"&amp;"OT(REGEXMATCH(C7722, ""薪資""))), ""內部轉帳(忽略)"",
  REGEXMATCH(C7722, ""薪資""), ""薪資變動(不計入)"",
  REGEXMATCH(C7722, ""押金""), ""押金往來"",
  AND(E7722&lt;&gt;"""", F7722=""""), ""真實支出"",
  AND(E7722="""", F7722&lt;&gt;""""), ""真實收入"",
  TRUE, ""其他""
)"),"其他")</f>
        <v>其他</v>
      </c>
      <c r="K7722" s="270" t="str">
        <f t="shared" si="2"/>
        <v/>
      </c>
      <c r="L7722">
        <f t="shared" si="3"/>
        <v>0</v>
      </c>
    </row>
    <row r="7723">
      <c r="A7723" s="107"/>
      <c r="D7723" s="270"/>
      <c r="H7723" s="106" t="str">
        <f t="shared" si="1"/>
        <v/>
      </c>
      <c r="J7723" t="str">
        <f>IFERROR(__xludf.DUMMYFUNCTION("IFS(
  AND(REGEXMATCH(E7723, ""台銀籌備帳戶|玉山帳戶""), REGEXMATCH(C7723, ""薪資"")), ""分潤支出"",
  AND(REGEXMATCH(E7723, ""Ben帳戶|Elsa帳戶|Ben代墊|Ariel代墊|中信銀行共用""), REGEXMATCH(F7723, ""Ben帳戶|Elsa帳戶|Ben代墊|Ariel代墊|中信銀行共用"")), ""內部轉帳(忽略)"",
  AND(E7723&lt;&gt;"""", F7723&lt;&gt;"""", N"&amp;"OT(REGEXMATCH(C7723, ""薪資""))), ""內部轉帳(忽略)"",
  REGEXMATCH(C7723, ""薪資""), ""薪資變動(不計入)"",
  REGEXMATCH(C7723, ""押金""), ""押金往來"",
  AND(E7723&lt;&gt;"""", F7723=""""), ""真實支出"",
  AND(E7723="""", F7723&lt;&gt;""""), ""真實收入"",
  TRUE, ""其他""
)"),"其他")</f>
        <v>其他</v>
      </c>
      <c r="K7723" s="270" t="str">
        <f t="shared" si="2"/>
        <v/>
      </c>
      <c r="L7723">
        <f t="shared" si="3"/>
        <v>0</v>
      </c>
    </row>
    <row r="7724">
      <c r="A7724" s="107"/>
      <c r="D7724" s="270"/>
      <c r="H7724" s="106" t="str">
        <f t="shared" si="1"/>
        <v/>
      </c>
      <c r="J7724" t="str">
        <f>IFERROR(__xludf.DUMMYFUNCTION("IFS(
  AND(REGEXMATCH(E7724, ""台銀籌備帳戶|玉山帳戶""), REGEXMATCH(C7724, ""薪資"")), ""分潤支出"",
  AND(REGEXMATCH(E7724, ""Ben帳戶|Elsa帳戶|Ben代墊|Ariel代墊|中信銀行共用""), REGEXMATCH(F7724, ""Ben帳戶|Elsa帳戶|Ben代墊|Ariel代墊|中信銀行共用"")), ""內部轉帳(忽略)"",
  AND(E7724&lt;&gt;"""", F7724&lt;&gt;"""", N"&amp;"OT(REGEXMATCH(C7724, ""薪資""))), ""內部轉帳(忽略)"",
  REGEXMATCH(C7724, ""薪資""), ""薪資變動(不計入)"",
  REGEXMATCH(C7724, ""押金""), ""押金往來"",
  AND(E7724&lt;&gt;"""", F7724=""""), ""真實支出"",
  AND(E7724="""", F7724&lt;&gt;""""), ""真實收入"",
  TRUE, ""其他""
)"),"其他")</f>
        <v>其他</v>
      </c>
      <c r="K7724" s="270" t="str">
        <f t="shared" si="2"/>
        <v/>
      </c>
      <c r="L7724">
        <f t="shared" si="3"/>
        <v>0</v>
      </c>
    </row>
    <row r="7725">
      <c r="A7725" s="107"/>
      <c r="D7725" s="270"/>
      <c r="H7725" s="106" t="str">
        <f t="shared" si="1"/>
        <v/>
      </c>
      <c r="J7725" t="str">
        <f>IFERROR(__xludf.DUMMYFUNCTION("IFS(
  AND(REGEXMATCH(E7725, ""台銀籌備帳戶|玉山帳戶""), REGEXMATCH(C7725, ""薪資"")), ""分潤支出"",
  AND(REGEXMATCH(E7725, ""Ben帳戶|Elsa帳戶|Ben代墊|Ariel代墊|中信銀行共用""), REGEXMATCH(F7725, ""Ben帳戶|Elsa帳戶|Ben代墊|Ariel代墊|中信銀行共用"")), ""內部轉帳(忽略)"",
  AND(E7725&lt;&gt;"""", F7725&lt;&gt;"""", N"&amp;"OT(REGEXMATCH(C7725, ""薪資""))), ""內部轉帳(忽略)"",
  REGEXMATCH(C7725, ""薪資""), ""薪資變動(不計入)"",
  REGEXMATCH(C7725, ""押金""), ""押金往來"",
  AND(E7725&lt;&gt;"""", F7725=""""), ""真實支出"",
  AND(E7725="""", F7725&lt;&gt;""""), ""真實收入"",
  TRUE, ""其他""
)"),"其他")</f>
        <v>其他</v>
      </c>
      <c r="K7725" s="270" t="str">
        <f t="shared" si="2"/>
        <v/>
      </c>
      <c r="L7725">
        <f t="shared" si="3"/>
        <v>0</v>
      </c>
    </row>
    <row r="7726">
      <c r="A7726" s="107"/>
      <c r="D7726" s="270"/>
      <c r="H7726" s="106" t="str">
        <f t="shared" si="1"/>
        <v/>
      </c>
      <c r="J7726" t="str">
        <f>IFERROR(__xludf.DUMMYFUNCTION("IFS(
  AND(REGEXMATCH(E7726, ""台銀籌備帳戶|玉山帳戶""), REGEXMATCH(C7726, ""薪資"")), ""分潤支出"",
  AND(REGEXMATCH(E7726, ""Ben帳戶|Elsa帳戶|Ben代墊|Ariel代墊|中信銀行共用""), REGEXMATCH(F7726, ""Ben帳戶|Elsa帳戶|Ben代墊|Ariel代墊|中信銀行共用"")), ""內部轉帳(忽略)"",
  AND(E7726&lt;&gt;"""", F7726&lt;&gt;"""", N"&amp;"OT(REGEXMATCH(C7726, ""薪資""))), ""內部轉帳(忽略)"",
  REGEXMATCH(C7726, ""薪資""), ""薪資變動(不計入)"",
  REGEXMATCH(C7726, ""押金""), ""押金往來"",
  AND(E7726&lt;&gt;"""", F7726=""""), ""真實支出"",
  AND(E7726="""", F7726&lt;&gt;""""), ""真實收入"",
  TRUE, ""其他""
)"),"其他")</f>
        <v>其他</v>
      </c>
      <c r="K7726" s="270" t="str">
        <f t="shared" si="2"/>
        <v/>
      </c>
      <c r="L7726">
        <f t="shared" si="3"/>
        <v>0</v>
      </c>
    </row>
    <row r="7727">
      <c r="A7727" s="107"/>
      <c r="D7727" s="270"/>
      <c r="H7727" s="106" t="str">
        <f t="shared" si="1"/>
        <v/>
      </c>
      <c r="J7727" t="str">
        <f>IFERROR(__xludf.DUMMYFUNCTION("IFS(
  AND(REGEXMATCH(E7727, ""台銀籌備帳戶|玉山帳戶""), REGEXMATCH(C7727, ""薪資"")), ""分潤支出"",
  AND(REGEXMATCH(E7727, ""Ben帳戶|Elsa帳戶|Ben代墊|Ariel代墊|中信銀行共用""), REGEXMATCH(F7727, ""Ben帳戶|Elsa帳戶|Ben代墊|Ariel代墊|中信銀行共用"")), ""內部轉帳(忽略)"",
  AND(E7727&lt;&gt;"""", F7727&lt;&gt;"""", N"&amp;"OT(REGEXMATCH(C7727, ""薪資""))), ""內部轉帳(忽略)"",
  REGEXMATCH(C7727, ""薪資""), ""薪資變動(不計入)"",
  REGEXMATCH(C7727, ""押金""), ""押金往來"",
  AND(E7727&lt;&gt;"""", F7727=""""), ""真實支出"",
  AND(E7727="""", F7727&lt;&gt;""""), ""真實收入"",
  TRUE, ""其他""
)"),"其他")</f>
        <v>其他</v>
      </c>
      <c r="K7727" s="270" t="str">
        <f t="shared" si="2"/>
        <v/>
      </c>
      <c r="L7727">
        <f t="shared" si="3"/>
        <v>0</v>
      </c>
    </row>
    <row r="7728">
      <c r="A7728" s="107"/>
      <c r="D7728" s="270"/>
      <c r="H7728" s="106" t="str">
        <f t="shared" si="1"/>
        <v/>
      </c>
      <c r="J7728" t="str">
        <f>IFERROR(__xludf.DUMMYFUNCTION("IFS(
  AND(REGEXMATCH(E7728, ""台銀籌備帳戶|玉山帳戶""), REGEXMATCH(C7728, ""薪資"")), ""分潤支出"",
  AND(REGEXMATCH(E7728, ""Ben帳戶|Elsa帳戶|Ben代墊|Ariel代墊|中信銀行共用""), REGEXMATCH(F7728, ""Ben帳戶|Elsa帳戶|Ben代墊|Ariel代墊|中信銀行共用"")), ""內部轉帳(忽略)"",
  AND(E7728&lt;&gt;"""", F7728&lt;&gt;"""", N"&amp;"OT(REGEXMATCH(C7728, ""薪資""))), ""內部轉帳(忽略)"",
  REGEXMATCH(C7728, ""薪資""), ""薪資變動(不計入)"",
  REGEXMATCH(C7728, ""押金""), ""押金往來"",
  AND(E7728&lt;&gt;"""", F7728=""""), ""真實支出"",
  AND(E7728="""", F7728&lt;&gt;""""), ""真實收入"",
  TRUE, ""其他""
)"),"其他")</f>
        <v>其他</v>
      </c>
      <c r="K7728" s="270" t="str">
        <f t="shared" si="2"/>
        <v/>
      </c>
      <c r="L7728">
        <f t="shared" si="3"/>
        <v>0</v>
      </c>
    </row>
    <row r="7729">
      <c r="A7729" s="107"/>
      <c r="D7729" s="270"/>
      <c r="H7729" s="106" t="str">
        <f t="shared" si="1"/>
        <v/>
      </c>
      <c r="J7729" t="str">
        <f>IFERROR(__xludf.DUMMYFUNCTION("IFS(
  AND(REGEXMATCH(E7729, ""台銀籌備帳戶|玉山帳戶""), REGEXMATCH(C7729, ""薪資"")), ""分潤支出"",
  AND(REGEXMATCH(E7729, ""Ben帳戶|Elsa帳戶|Ben代墊|Ariel代墊|中信銀行共用""), REGEXMATCH(F7729, ""Ben帳戶|Elsa帳戶|Ben代墊|Ariel代墊|中信銀行共用"")), ""內部轉帳(忽略)"",
  AND(E7729&lt;&gt;"""", F7729&lt;&gt;"""", N"&amp;"OT(REGEXMATCH(C7729, ""薪資""))), ""內部轉帳(忽略)"",
  REGEXMATCH(C7729, ""薪資""), ""薪資變動(不計入)"",
  REGEXMATCH(C7729, ""押金""), ""押金往來"",
  AND(E7729&lt;&gt;"""", F7729=""""), ""真實支出"",
  AND(E7729="""", F7729&lt;&gt;""""), ""真實收入"",
  TRUE, ""其他""
)"),"其他")</f>
        <v>其他</v>
      </c>
      <c r="K7729" s="270" t="str">
        <f t="shared" si="2"/>
        <v/>
      </c>
      <c r="L7729">
        <f t="shared" si="3"/>
        <v>0</v>
      </c>
    </row>
    <row r="7730">
      <c r="A7730" s="107"/>
      <c r="D7730" s="270"/>
      <c r="H7730" s="106" t="str">
        <f t="shared" si="1"/>
        <v/>
      </c>
      <c r="J7730" t="str">
        <f>IFERROR(__xludf.DUMMYFUNCTION("IFS(
  AND(REGEXMATCH(E7730, ""台銀籌備帳戶|玉山帳戶""), REGEXMATCH(C7730, ""薪資"")), ""分潤支出"",
  AND(REGEXMATCH(E7730, ""Ben帳戶|Elsa帳戶|Ben代墊|Ariel代墊|中信銀行共用""), REGEXMATCH(F7730, ""Ben帳戶|Elsa帳戶|Ben代墊|Ariel代墊|中信銀行共用"")), ""內部轉帳(忽略)"",
  AND(E7730&lt;&gt;"""", F7730&lt;&gt;"""", N"&amp;"OT(REGEXMATCH(C7730, ""薪資""))), ""內部轉帳(忽略)"",
  REGEXMATCH(C7730, ""薪資""), ""薪資變動(不計入)"",
  REGEXMATCH(C7730, ""押金""), ""押金往來"",
  AND(E7730&lt;&gt;"""", F7730=""""), ""真實支出"",
  AND(E7730="""", F7730&lt;&gt;""""), ""真實收入"",
  TRUE, ""其他""
)"),"其他")</f>
        <v>其他</v>
      </c>
      <c r="K7730" s="270" t="str">
        <f t="shared" si="2"/>
        <v/>
      </c>
      <c r="L7730">
        <f t="shared" si="3"/>
        <v>0</v>
      </c>
    </row>
    <row r="7731">
      <c r="A7731" s="107"/>
      <c r="D7731" s="270"/>
      <c r="H7731" s="106" t="str">
        <f t="shared" si="1"/>
        <v/>
      </c>
      <c r="J7731" t="str">
        <f>IFERROR(__xludf.DUMMYFUNCTION("IFS(
  AND(REGEXMATCH(E7731, ""台銀籌備帳戶|玉山帳戶""), REGEXMATCH(C7731, ""薪資"")), ""分潤支出"",
  AND(REGEXMATCH(E7731, ""Ben帳戶|Elsa帳戶|Ben代墊|Ariel代墊|中信銀行共用""), REGEXMATCH(F7731, ""Ben帳戶|Elsa帳戶|Ben代墊|Ariel代墊|中信銀行共用"")), ""內部轉帳(忽略)"",
  AND(E7731&lt;&gt;"""", F7731&lt;&gt;"""", N"&amp;"OT(REGEXMATCH(C7731, ""薪資""))), ""內部轉帳(忽略)"",
  REGEXMATCH(C7731, ""薪資""), ""薪資變動(不計入)"",
  REGEXMATCH(C7731, ""押金""), ""押金往來"",
  AND(E7731&lt;&gt;"""", F7731=""""), ""真實支出"",
  AND(E7731="""", F7731&lt;&gt;""""), ""真實收入"",
  TRUE, ""其他""
)"),"其他")</f>
        <v>其他</v>
      </c>
      <c r="K7731" s="270" t="str">
        <f t="shared" si="2"/>
        <v/>
      </c>
      <c r="L7731">
        <f t="shared" si="3"/>
        <v>0</v>
      </c>
    </row>
    <row r="7732">
      <c r="A7732" s="107"/>
      <c r="D7732" s="270"/>
      <c r="H7732" s="106" t="str">
        <f t="shared" si="1"/>
        <v/>
      </c>
      <c r="J7732" t="str">
        <f>IFERROR(__xludf.DUMMYFUNCTION("IFS(
  AND(REGEXMATCH(E7732, ""台銀籌備帳戶|玉山帳戶""), REGEXMATCH(C7732, ""薪資"")), ""分潤支出"",
  AND(REGEXMATCH(E7732, ""Ben帳戶|Elsa帳戶|Ben代墊|Ariel代墊|中信銀行共用""), REGEXMATCH(F7732, ""Ben帳戶|Elsa帳戶|Ben代墊|Ariel代墊|中信銀行共用"")), ""內部轉帳(忽略)"",
  AND(E7732&lt;&gt;"""", F7732&lt;&gt;"""", N"&amp;"OT(REGEXMATCH(C7732, ""薪資""))), ""內部轉帳(忽略)"",
  REGEXMATCH(C7732, ""薪資""), ""薪資變動(不計入)"",
  REGEXMATCH(C7732, ""押金""), ""押金往來"",
  AND(E7732&lt;&gt;"""", F7732=""""), ""真實支出"",
  AND(E7732="""", F7732&lt;&gt;""""), ""真實收入"",
  TRUE, ""其他""
)"),"其他")</f>
        <v>其他</v>
      </c>
      <c r="K7732" s="270" t="str">
        <f t="shared" si="2"/>
        <v/>
      </c>
      <c r="L7732">
        <f t="shared" si="3"/>
        <v>0</v>
      </c>
    </row>
    <row r="7733">
      <c r="A7733" s="107"/>
      <c r="D7733" s="270"/>
      <c r="H7733" s="106" t="str">
        <f t="shared" si="1"/>
        <v/>
      </c>
      <c r="J7733" t="str">
        <f>IFERROR(__xludf.DUMMYFUNCTION("IFS(
  AND(REGEXMATCH(E7733, ""台銀籌備帳戶|玉山帳戶""), REGEXMATCH(C7733, ""薪資"")), ""分潤支出"",
  AND(REGEXMATCH(E7733, ""Ben帳戶|Elsa帳戶|Ben代墊|Ariel代墊|中信銀行共用""), REGEXMATCH(F7733, ""Ben帳戶|Elsa帳戶|Ben代墊|Ariel代墊|中信銀行共用"")), ""內部轉帳(忽略)"",
  AND(E7733&lt;&gt;"""", F7733&lt;&gt;"""", N"&amp;"OT(REGEXMATCH(C7733, ""薪資""))), ""內部轉帳(忽略)"",
  REGEXMATCH(C7733, ""薪資""), ""薪資變動(不計入)"",
  REGEXMATCH(C7733, ""押金""), ""押金往來"",
  AND(E7733&lt;&gt;"""", F7733=""""), ""真實支出"",
  AND(E7733="""", F7733&lt;&gt;""""), ""真實收入"",
  TRUE, ""其他""
)"),"其他")</f>
        <v>其他</v>
      </c>
      <c r="K7733" s="270" t="str">
        <f t="shared" si="2"/>
        <v/>
      </c>
      <c r="L7733">
        <f t="shared" si="3"/>
        <v>0</v>
      </c>
    </row>
    <row r="7734">
      <c r="A7734" s="107"/>
      <c r="D7734" s="270"/>
      <c r="H7734" s="106" t="str">
        <f t="shared" si="1"/>
        <v/>
      </c>
      <c r="J7734" t="str">
        <f>IFERROR(__xludf.DUMMYFUNCTION("IFS(
  AND(REGEXMATCH(E7734, ""台銀籌備帳戶|玉山帳戶""), REGEXMATCH(C7734, ""薪資"")), ""分潤支出"",
  AND(REGEXMATCH(E7734, ""Ben帳戶|Elsa帳戶|Ben代墊|Ariel代墊|中信銀行共用""), REGEXMATCH(F7734, ""Ben帳戶|Elsa帳戶|Ben代墊|Ariel代墊|中信銀行共用"")), ""內部轉帳(忽略)"",
  AND(E7734&lt;&gt;"""", F7734&lt;&gt;"""", N"&amp;"OT(REGEXMATCH(C7734, ""薪資""))), ""內部轉帳(忽略)"",
  REGEXMATCH(C7734, ""薪資""), ""薪資變動(不計入)"",
  REGEXMATCH(C7734, ""押金""), ""押金往來"",
  AND(E7734&lt;&gt;"""", F7734=""""), ""真實支出"",
  AND(E7734="""", F7734&lt;&gt;""""), ""真實收入"",
  TRUE, ""其他""
)"),"其他")</f>
        <v>其他</v>
      </c>
      <c r="K7734" s="270" t="str">
        <f t="shared" si="2"/>
        <v/>
      </c>
      <c r="L7734">
        <f t="shared" si="3"/>
        <v>0</v>
      </c>
    </row>
    <row r="7735">
      <c r="A7735" s="107"/>
      <c r="D7735" s="270"/>
      <c r="H7735" s="106" t="str">
        <f t="shared" si="1"/>
        <v/>
      </c>
      <c r="J7735" t="str">
        <f>IFERROR(__xludf.DUMMYFUNCTION("IFS(
  AND(REGEXMATCH(E7735, ""台銀籌備帳戶|玉山帳戶""), REGEXMATCH(C7735, ""薪資"")), ""分潤支出"",
  AND(REGEXMATCH(E7735, ""Ben帳戶|Elsa帳戶|Ben代墊|Ariel代墊|中信銀行共用""), REGEXMATCH(F7735, ""Ben帳戶|Elsa帳戶|Ben代墊|Ariel代墊|中信銀行共用"")), ""內部轉帳(忽略)"",
  AND(E7735&lt;&gt;"""", F7735&lt;&gt;"""", N"&amp;"OT(REGEXMATCH(C7735, ""薪資""))), ""內部轉帳(忽略)"",
  REGEXMATCH(C7735, ""薪資""), ""薪資變動(不計入)"",
  REGEXMATCH(C7735, ""押金""), ""押金往來"",
  AND(E7735&lt;&gt;"""", F7735=""""), ""真實支出"",
  AND(E7735="""", F7735&lt;&gt;""""), ""真實收入"",
  TRUE, ""其他""
)"),"其他")</f>
        <v>其他</v>
      </c>
      <c r="K7735" s="270" t="str">
        <f t="shared" si="2"/>
        <v/>
      </c>
      <c r="L7735">
        <f t="shared" si="3"/>
        <v>0</v>
      </c>
    </row>
    <row r="7736">
      <c r="A7736" s="107"/>
      <c r="D7736" s="270"/>
      <c r="H7736" s="106" t="str">
        <f t="shared" si="1"/>
        <v/>
      </c>
      <c r="J7736" t="str">
        <f>IFERROR(__xludf.DUMMYFUNCTION("IFS(
  AND(REGEXMATCH(E7736, ""台銀籌備帳戶|玉山帳戶""), REGEXMATCH(C7736, ""薪資"")), ""分潤支出"",
  AND(REGEXMATCH(E7736, ""Ben帳戶|Elsa帳戶|Ben代墊|Ariel代墊|中信銀行共用""), REGEXMATCH(F7736, ""Ben帳戶|Elsa帳戶|Ben代墊|Ariel代墊|中信銀行共用"")), ""內部轉帳(忽略)"",
  AND(E7736&lt;&gt;"""", F7736&lt;&gt;"""", N"&amp;"OT(REGEXMATCH(C7736, ""薪資""))), ""內部轉帳(忽略)"",
  REGEXMATCH(C7736, ""薪資""), ""薪資變動(不計入)"",
  REGEXMATCH(C7736, ""押金""), ""押金往來"",
  AND(E7736&lt;&gt;"""", F7736=""""), ""真實支出"",
  AND(E7736="""", F7736&lt;&gt;""""), ""真實收入"",
  TRUE, ""其他""
)"),"其他")</f>
        <v>其他</v>
      </c>
      <c r="K7736" s="270" t="str">
        <f t="shared" si="2"/>
        <v/>
      </c>
      <c r="L7736">
        <f t="shared" si="3"/>
        <v>0</v>
      </c>
    </row>
    <row r="7737">
      <c r="A7737" s="107"/>
      <c r="D7737" s="270"/>
      <c r="H7737" s="106" t="str">
        <f t="shared" si="1"/>
        <v/>
      </c>
      <c r="J7737" t="str">
        <f>IFERROR(__xludf.DUMMYFUNCTION("IFS(
  AND(REGEXMATCH(E7737, ""台銀籌備帳戶|玉山帳戶""), REGEXMATCH(C7737, ""薪資"")), ""分潤支出"",
  AND(REGEXMATCH(E7737, ""Ben帳戶|Elsa帳戶|Ben代墊|Ariel代墊|中信銀行共用""), REGEXMATCH(F7737, ""Ben帳戶|Elsa帳戶|Ben代墊|Ariel代墊|中信銀行共用"")), ""內部轉帳(忽略)"",
  AND(E7737&lt;&gt;"""", F7737&lt;&gt;"""", N"&amp;"OT(REGEXMATCH(C7737, ""薪資""))), ""內部轉帳(忽略)"",
  REGEXMATCH(C7737, ""薪資""), ""薪資變動(不計入)"",
  REGEXMATCH(C7737, ""押金""), ""押金往來"",
  AND(E7737&lt;&gt;"""", F7737=""""), ""真實支出"",
  AND(E7737="""", F7737&lt;&gt;""""), ""真實收入"",
  TRUE, ""其他""
)"),"其他")</f>
        <v>其他</v>
      </c>
      <c r="K7737" s="270" t="str">
        <f t="shared" si="2"/>
        <v/>
      </c>
      <c r="L7737">
        <f t="shared" si="3"/>
        <v>0</v>
      </c>
    </row>
    <row r="7738">
      <c r="A7738" s="107"/>
      <c r="D7738" s="270"/>
      <c r="H7738" s="106" t="str">
        <f t="shared" si="1"/>
        <v/>
      </c>
      <c r="J7738" t="str">
        <f>IFERROR(__xludf.DUMMYFUNCTION("IFS(
  AND(REGEXMATCH(E7738, ""台銀籌備帳戶|玉山帳戶""), REGEXMATCH(C7738, ""薪資"")), ""分潤支出"",
  AND(REGEXMATCH(E7738, ""Ben帳戶|Elsa帳戶|Ben代墊|Ariel代墊|中信銀行共用""), REGEXMATCH(F7738, ""Ben帳戶|Elsa帳戶|Ben代墊|Ariel代墊|中信銀行共用"")), ""內部轉帳(忽略)"",
  AND(E7738&lt;&gt;"""", F7738&lt;&gt;"""", N"&amp;"OT(REGEXMATCH(C7738, ""薪資""))), ""內部轉帳(忽略)"",
  REGEXMATCH(C7738, ""薪資""), ""薪資變動(不計入)"",
  REGEXMATCH(C7738, ""押金""), ""押金往來"",
  AND(E7738&lt;&gt;"""", F7738=""""), ""真實支出"",
  AND(E7738="""", F7738&lt;&gt;""""), ""真實收入"",
  TRUE, ""其他""
)"),"其他")</f>
        <v>其他</v>
      </c>
      <c r="K7738" s="270" t="str">
        <f t="shared" si="2"/>
        <v/>
      </c>
      <c r="L7738">
        <f t="shared" si="3"/>
        <v>0</v>
      </c>
    </row>
    <row r="7739">
      <c r="A7739" s="107"/>
      <c r="D7739" s="270"/>
      <c r="H7739" s="106" t="str">
        <f t="shared" si="1"/>
        <v/>
      </c>
      <c r="J7739" t="str">
        <f>IFERROR(__xludf.DUMMYFUNCTION("IFS(
  AND(REGEXMATCH(E7739, ""台銀籌備帳戶|玉山帳戶""), REGEXMATCH(C7739, ""薪資"")), ""分潤支出"",
  AND(REGEXMATCH(E7739, ""Ben帳戶|Elsa帳戶|Ben代墊|Ariel代墊|中信銀行共用""), REGEXMATCH(F7739, ""Ben帳戶|Elsa帳戶|Ben代墊|Ariel代墊|中信銀行共用"")), ""內部轉帳(忽略)"",
  AND(E7739&lt;&gt;"""", F7739&lt;&gt;"""", N"&amp;"OT(REGEXMATCH(C7739, ""薪資""))), ""內部轉帳(忽略)"",
  REGEXMATCH(C7739, ""薪資""), ""薪資變動(不計入)"",
  REGEXMATCH(C7739, ""押金""), ""押金往來"",
  AND(E7739&lt;&gt;"""", F7739=""""), ""真實支出"",
  AND(E7739="""", F7739&lt;&gt;""""), ""真實收入"",
  TRUE, ""其他""
)"),"其他")</f>
        <v>其他</v>
      </c>
      <c r="K7739" s="270" t="str">
        <f t="shared" si="2"/>
        <v/>
      </c>
      <c r="L7739">
        <f t="shared" si="3"/>
        <v>0</v>
      </c>
    </row>
    <row r="7740">
      <c r="A7740" s="107"/>
      <c r="D7740" s="270"/>
      <c r="H7740" s="106" t="str">
        <f t="shared" si="1"/>
        <v/>
      </c>
      <c r="J7740" t="str">
        <f>IFERROR(__xludf.DUMMYFUNCTION("IFS(
  AND(REGEXMATCH(E7740, ""台銀籌備帳戶|玉山帳戶""), REGEXMATCH(C7740, ""薪資"")), ""分潤支出"",
  AND(REGEXMATCH(E7740, ""Ben帳戶|Elsa帳戶|Ben代墊|Ariel代墊|中信銀行共用""), REGEXMATCH(F7740, ""Ben帳戶|Elsa帳戶|Ben代墊|Ariel代墊|中信銀行共用"")), ""內部轉帳(忽略)"",
  AND(E7740&lt;&gt;"""", F7740&lt;&gt;"""", N"&amp;"OT(REGEXMATCH(C7740, ""薪資""))), ""內部轉帳(忽略)"",
  REGEXMATCH(C7740, ""薪資""), ""薪資變動(不計入)"",
  REGEXMATCH(C7740, ""押金""), ""押金往來"",
  AND(E7740&lt;&gt;"""", F7740=""""), ""真實支出"",
  AND(E7740="""", F7740&lt;&gt;""""), ""真實收入"",
  TRUE, ""其他""
)"),"其他")</f>
        <v>其他</v>
      </c>
      <c r="K7740" s="270" t="str">
        <f t="shared" si="2"/>
        <v/>
      </c>
      <c r="L7740">
        <f t="shared" si="3"/>
        <v>0</v>
      </c>
    </row>
    <row r="7741">
      <c r="A7741" s="107"/>
      <c r="D7741" s="270"/>
      <c r="H7741" s="106" t="str">
        <f t="shared" si="1"/>
        <v/>
      </c>
      <c r="J7741" t="str">
        <f>IFERROR(__xludf.DUMMYFUNCTION("IFS(
  AND(REGEXMATCH(E7741, ""台銀籌備帳戶|玉山帳戶""), REGEXMATCH(C7741, ""薪資"")), ""分潤支出"",
  AND(REGEXMATCH(E7741, ""Ben帳戶|Elsa帳戶|Ben代墊|Ariel代墊|中信銀行共用""), REGEXMATCH(F7741, ""Ben帳戶|Elsa帳戶|Ben代墊|Ariel代墊|中信銀行共用"")), ""內部轉帳(忽略)"",
  AND(E7741&lt;&gt;"""", F7741&lt;&gt;"""", N"&amp;"OT(REGEXMATCH(C7741, ""薪資""))), ""內部轉帳(忽略)"",
  REGEXMATCH(C7741, ""薪資""), ""薪資變動(不計入)"",
  REGEXMATCH(C7741, ""押金""), ""押金往來"",
  AND(E7741&lt;&gt;"""", F7741=""""), ""真實支出"",
  AND(E7741="""", F7741&lt;&gt;""""), ""真實收入"",
  TRUE, ""其他""
)"),"其他")</f>
        <v>其他</v>
      </c>
      <c r="K7741" s="270" t="str">
        <f t="shared" si="2"/>
        <v/>
      </c>
      <c r="L7741">
        <f t="shared" si="3"/>
        <v>0</v>
      </c>
    </row>
    <row r="7742">
      <c r="A7742" s="107"/>
      <c r="D7742" s="270"/>
      <c r="H7742" s="106" t="str">
        <f t="shared" si="1"/>
        <v/>
      </c>
      <c r="J7742" t="str">
        <f>IFERROR(__xludf.DUMMYFUNCTION("IFS(
  AND(REGEXMATCH(E7742, ""台銀籌備帳戶|玉山帳戶""), REGEXMATCH(C7742, ""薪資"")), ""分潤支出"",
  AND(REGEXMATCH(E7742, ""Ben帳戶|Elsa帳戶|Ben代墊|Ariel代墊|中信銀行共用""), REGEXMATCH(F7742, ""Ben帳戶|Elsa帳戶|Ben代墊|Ariel代墊|中信銀行共用"")), ""內部轉帳(忽略)"",
  AND(E7742&lt;&gt;"""", F7742&lt;&gt;"""", N"&amp;"OT(REGEXMATCH(C7742, ""薪資""))), ""內部轉帳(忽略)"",
  REGEXMATCH(C7742, ""薪資""), ""薪資變動(不計入)"",
  REGEXMATCH(C7742, ""押金""), ""押金往來"",
  AND(E7742&lt;&gt;"""", F7742=""""), ""真實支出"",
  AND(E7742="""", F7742&lt;&gt;""""), ""真實收入"",
  TRUE, ""其他""
)"),"其他")</f>
        <v>其他</v>
      </c>
      <c r="K7742" s="270" t="str">
        <f t="shared" si="2"/>
        <v/>
      </c>
      <c r="L7742">
        <f t="shared" si="3"/>
        <v>0</v>
      </c>
    </row>
    <row r="7743">
      <c r="A7743" s="107"/>
      <c r="D7743" s="270"/>
      <c r="H7743" s="106" t="str">
        <f t="shared" si="1"/>
        <v/>
      </c>
      <c r="J7743" t="str">
        <f>IFERROR(__xludf.DUMMYFUNCTION("IFS(
  AND(REGEXMATCH(E7743, ""台銀籌備帳戶|玉山帳戶""), REGEXMATCH(C7743, ""薪資"")), ""分潤支出"",
  AND(REGEXMATCH(E7743, ""Ben帳戶|Elsa帳戶|Ben代墊|Ariel代墊|中信銀行共用""), REGEXMATCH(F7743, ""Ben帳戶|Elsa帳戶|Ben代墊|Ariel代墊|中信銀行共用"")), ""內部轉帳(忽略)"",
  AND(E7743&lt;&gt;"""", F7743&lt;&gt;"""", N"&amp;"OT(REGEXMATCH(C7743, ""薪資""))), ""內部轉帳(忽略)"",
  REGEXMATCH(C7743, ""薪資""), ""薪資變動(不計入)"",
  REGEXMATCH(C7743, ""押金""), ""押金往來"",
  AND(E7743&lt;&gt;"""", F7743=""""), ""真實支出"",
  AND(E7743="""", F7743&lt;&gt;""""), ""真實收入"",
  TRUE, ""其他""
)"),"其他")</f>
        <v>其他</v>
      </c>
      <c r="K7743" s="270" t="str">
        <f t="shared" si="2"/>
        <v/>
      </c>
      <c r="L7743">
        <f t="shared" si="3"/>
        <v>0</v>
      </c>
    </row>
    <row r="7744">
      <c r="A7744" s="107"/>
      <c r="D7744" s="270"/>
      <c r="H7744" s="106" t="str">
        <f t="shared" si="1"/>
        <v/>
      </c>
      <c r="J7744" t="str">
        <f>IFERROR(__xludf.DUMMYFUNCTION("IFS(
  AND(REGEXMATCH(E7744, ""台銀籌備帳戶|玉山帳戶""), REGEXMATCH(C7744, ""薪資"")), ""分潤支出"",
  AND(REGEXMATCH(E7744, ""Ben帳戶|Elsa帳戶|Ben代墊|Ariel代墊|中信銀行共用""), REGEXMATCH(F7744, ""Ben帳戶|Elsa帳戶|Ben代墊|Ariel代墊|中信銀行共用"")), ""內部轉帳(忽略)"",
  AND(E7744&lt;&gt;"""", F7744&lt;&gt;"""", N"&amp;"OT(REGEXMATCH(C7744, ""薪資""))), ""內部轉帳(忽略)"",
  REGEXMATCH(C7744, ""薪資""), ""薪資變動(不計入)"",
  REGEXMATCH(C7744, ""押金""), ""押金往來"",
  AND(E7744&lt;&gt;"""", F7744=""""), ""真實支出"",
  AND(E7744="""", F7744&lt;&gt;""""), ""真實收入"",
  TRUE, ""其他""
)"),"其他")</f>
        <v>其他</v>
      </c>
      <c r="K7744" s="270" t="str">
        <f t="shared" si="2"/>
        <v/>
      </c>
      <c r="L7744">
        <f t="shared" si="3"/>
        <v>0</v>
      </c>
    </row>
    <row r="7745">
      <c r="A7745" s="107"/>
      <c r="D7745" s="270"/>
      <c r="H7745" s="106" t="str">
        <f t="shared" si="1"/>
        <v/>
      </c>
      <c r="J7745" t="str">
        <f>IFERROR(__xludf.DUMMYFUNCTION("IFS(
  AND(REGEXMATCH(E7745, ""台銀籌備帳戶|玉山帳戶""), REGEXMATCH(C7745, ""薪資"")), ""分潤支出"",
  AND(REGEXMATCH(E7745, ""Ben帳戶|Elsa帳戶|Ben代墊|Ariel代墊|中信銀行共用""), REGEXMATCH(F7745, ""Ben帳戶|Elsa帳戶|Ben代墊|Ariel代墊|中信銀行共用"")), ""內部轉帳(忽略)"",
  AND(E7745&lt;&gt;"""", F7745&lt;&gt;"""", N"&amp;"OT(REGEXMATCH(C7745, ""薪資""))), ""內部轉帳(忽略)"",
  REGEXMATCH(C7745, ""薪資""), ""薪資變動(不計入)"",
  REGEXMATCH(C7745, ""押金""), ""押金往來"",
  AND(E7745&lt;&gt;"""", F7745=""""), ""真實支出"",
  AND(E7745="""", F7745&lt;&gt;""""), ""真實收入"",
  TRUE, ""其他""
)"),"其他")</f>
        <v>其他</v>
      </c>
      <c r="K7745" s="270" t="str">
        <f t="shared" si="2"/>
        <v/>
      </c>
      <c r="L7745">
        <f t="shared" si="3"/>
        <v>0</v>
      </c>
    </row>
    <row r="7746">
      <c r="A7746" s="107"/>
      <c r="D7746" s="270"/>
      <c r="H7746" s="106" t="str">
        <f t="shared" si="1"/>
        <v/>
      </c>
      <c r="J7746" t="str">
        <f>IFERROR(__xludf.DUMMYFUNCTION("IFS(
  AND(REGEXMATCH(E7746, ""台銀籌備帳戶|玉山帳戶""), REGEXMATCH(C7746, ""薪資"")), ""分潤支出"",
  AND(REGEXMATCH(E7746, ""Ben帳戶|Elsa帳戶|Ben代墊|Ariel代墊|中信銀行共用""), REGEXMATCH(F7746, ""Ben帳戶|Elsa帳戶|Ben代墊|Ariel代墊|中信銀行共用"")), ""內部轉帳(忽略)"",
  AND(E7746&lt;&gt;"""", F7746&lt;&gt;"""", N"&amp;"OT(REGEXMATCH(C7746, ""薪資""))), ""內部轉帳(忽略)"",
  REGEXMATCH(C7746, ""薪資""), ""薪資變動(不計入)"",
  REGEXMATCH(C7746, ""押金""), ""押金往來"",
  AND(E7746&lt;&gt;"""", F7746=""""), ""真實支出"",
  AND(E7746="""", F7746&lt;&gt;""""), ""真實收入"",
  TRUE, ""其他""
)"),"其他")</f>
        <v>其他</v>
      </c>
      <c r="K7746" s="270" t="str">
        <f t="shared" si="2"/>
        <v/>
      </c>
      <c r="L7746">
        <f t="shared" si="3"/>
        <v>0</v>
      </c>
    </row>
    <row r="7747">
      <c r="A7747" s="107"/>
      <c r="D7747" s="270"/>
      <c r="H7747" s="106" t="str">
        <f t="shared" si="1"/>
        <v/>
      </c>
      <c r="J7747" t="str">
        <f>IFERROR(__xludf.DUMMYFUNCTION("IFS(
  AND(REGEXMATCH(E7747, ""台銀籌備帳戶|玉山帳戶""), REGEXMATCH(C7747, ""薪資"")), ""分潤支出"",
  AND(REGEXMATCH(E7747, ""Ben帳戶|Elsa帳戶|Ben代墊|Ariel代墊|中信銀行共用""), REGEXMATCH(F7747, ""Ben帳戶|Elsa帳戶|Ben代墊|Ariel代墊|中信銀行共用"")), ""內部轉帳(忽略)"",
  AND(E7747&lt;&gt;"""", F7747&lt;&gt;"""", N"&amp;"OT(REGEXMATCH(C7747, ""薪資""))), ""內部轉帳(忽略)"",
  REGEXMATCH(C7747, ""薪資""), ""薪資變動(不計入)"",
  REGEXMATCH(C7747, ""押金""), ""押金往來"",
  AND(E7747&lt;&gt;"""", F7747=""""), ""真實支出"",
  AND(E7747="""", F7747&lt;&gt;""""), ""真實收入"",
  TRUE, ""其他""
)"),"其他")</f>
        <v>其他</v>
      </c>
      <c r="K7747" s="270" t="str">
        <f t="shared" si="2"/>
        <v/>
      </c>
      <c r="L7747">
        <f t="shared" si="3"/>
        <v>0</v>
      </c>
    </row>
    <row r="7748">
      <c r="A7748" s="107"/>
      <c r="D7748" s="270"/>
      <c r="H7748" s="106" t="str">
        <f t="shared" si="1"/>
        <v/>
      </c>
      <c r="J7748" t="str">
        <f>IFERROR(__xludf.DUMMYFUNCTION("IFS(
  AND(REGEXMATCH(E7748, ""台銀籌備帳戶|玉山帳戶""), REGEXMATCH(C7748, ""薪資"")), ""分潤支出"",
  AND(REGEXMATCH(E7748, ""Ben帳戶|Elsa帳戶|Ben代墊|Ariel代墊|中信銀行共用""), REGEXMATCH(F7748, ""Ben帳戶|Elsa帳戶|Ben代墊|Ariel代墊|中信銀行共用"")), ""內部轉帳(忽略)"",
  AND(E7748&lt;&gt;"""", F7748&lt;&gt;"""", N"&amp;"OT(REGEXMATCH(C7748, ""薪資""))), ""內部轉帳(忽略)"",
  REGEXMATCH(C7748, ""薪資""), ""薪資變動(不計入)"",
  REGEXMATCH(C7748, ""押金""), ""押金往來"",
  AND(E7748&lt;&gt;"""", F7748=""""), ""真實支出"",
  AND(E7748="""", F7748&lt;&gt;""""), ""真實收入"",
  TRUE, ""其他""
)"),"其他")</f>
        <v>其他</v>
      </c>
      <c r="K7748" s="270" t="str">
        <f t="shared" si="2"/>
        <v/>
      </c>
      <c r="L7748">
        <f t="shared" si="3"/>
        <v>0</v>
      </c>
    </row>
    <row r="7749">
      <c r="A7749" s="107"/>
      <c r="D7749" s="270"/>
      <c r="H7749" s="106" t="str">
        <f t="shared" si="1"/>
        <v/>
      </c>
      <c r="J7749" t="str">
        <f>IFERROR(__xludf.DUMMYFUNCTION("IFS(
  AND(REGEXMATCH(E7749, ""台銀籌備帳戶|玉山帳戶""), REGEXMATCH(C7749, ""薪資"")), ""分潤支出"",
  AND(REGEXMATCH(E7749, ""Ben帳戶|Elsa帳戶|Ben代墊|Ariel代墊|中信銀行共用""), REGEXMATCH(F7749, ""Ben帳戶|Elsa帳戶|Ben代墊|Ariel代墊|中信銀行共用"")), ""內部轉帳(忽略)"",
  AND(E7749&lt;&gt;"""", F7749&lt;&gt;"""", N"&amp;"OT(REGEXMATCH(C7749, ""薪資""))), ""內部轉帳(忽略)"",
  REGEXMATCH(C7749, ""薪資""), ""薪資變動(不計入)"",
  REGEXMATCH(C7749, ""押金""), ""押金往來"",
  AND(E7749&lt;&gt;"""", F7749=""""), ""真實支出"",
  AND(E7749="""", F7749&lt;&gt;""""), ""真實收入"",
  TRUE, ""其他""
)"),"其他")</f>
        <v>其他</v>
      </c>
      <c r="K7749" s="270" t="str">
        <f t="shared" si="2"/>
        <v/>
      </c>
      <c r="L7749">
        <f t="shared" si="3"/>
        <v>0</v>
      </c>
    </row>
    <row r="7750">
      <c r="A7750" s="107"/>
      <c r="D7750" s="270"/>
      <c r="H7750" s="106" t="str">
        <f t="shared" si="1"/>
        <v/>
      </c>
      <c r="J7750" t="str">
        <f>IFERROR(__xludf.DUMMYFUNCTION("IFS(
  AND(REGEXMATCH(E7750, ""台銀籌備帳戶|玉山帳戶""), REGEXMATCH(C7750, ""薪資"")), ""分潤支出"",
  AND(REGEXMATCH(E7750, ""Ben帳戶|Elsa帳戶|Ben代墊|Ariel代墊|中信銀行共用""), REGEXMATCH(F7750, ""Ben帳戶|Elsa帳戶|Ben代墊|Ariel代墊|中信銀行共用"")), ""內部轉帳(忽略)"",
  AND(E7750&lt;&gt;"""", F7750&lt;&gt;"""", N"&amp;"OT(REGEXMATCH(C7750, ""薪資""))), ""內部轉帳(忽略)"",
  REGEXMATCH(C7750, ""薪資""), ""薪資變動(不計入)"",
  REGEXMATCH(C7750, ""押金""), ""押金往來"",
  AND(E7750&lt;&gt;"""", F7750=""""), ""真實支出"",
  AND(E7750="""", F7750&lt;&gt;""""), ""真實收入"",
  TRUE, ""其他""
)"),"其他")</f>
        <v>其他</v>
      </c>
      <c r="K7750" s="270" t="str">
        <f t="shared" si="2"/>
        <v/>
      </c>
      <c r="L7750">
        <f t="shared" si="3"/>
        <v>0</v>
      </c>
    </row>
    <row r="7751">
      <c r="A7751" s="107"/>
      <c r="D7751" s="270"/>
      <c r="H7751" s="106" t="str">
        <f t="shared" si="1"/>
        <v/>
      </c>
      <c r="J7751" t="str">
        <f>IFERROR(__xludf.DUMMYFUNCTION("IFS(
  AND(REGEXMATCH(E7751, ""台銀籌備帳戶|玉山帳戶""), REGEXMATCH(C7751, ""薪資"")), ""分潤支出"",
  AND(REGEXMATCH(E7751, ""Ben帳戶|Elsa帳戶|Ben代墊|Ariel代墊|中信銀行共用""), REGEXMATCH(F7751, ""Ben帳戶|Elsa帳戶|Ben代墊|Ariel代墊|中信銀行共用"")), ""內部轉帳(忽略)"",
  AND(E7751&lt;&gt;"""", F7751&lt;&gt;"""", N"&amp;"OT(REGEXMATCH(C7751, ""薪資""))), ""內部轉帳(忽略)"",
  REGEXMATCH(C7751, ""薪資""), ""薪資變動(不計入)"",
  REGEXMATCH(C7751, ""押金""), ""押金往來"",
  AND(E7751&lt;&gt;"""", F7751=""""), ""真實支出"",
  AND(E7751="""", F7751&lt;&gt;""""), ""真實收入"",
  TRUE, ""其他""
)"),"其他")</f>
        <v>其他</v>
      </c>
      <c r="K7751" s="270" t="str">
        <f t="shared" si="2"/>
        <v/>
      </c>
      <c r="L7751">
        <f t="shared" si="3"/>
        <v>0</v>
      </c>
    </row>
    <row r="7752">
      <c r="A7752" s="107"/>
      <c r="D7752" s="270"/>
      <c r="H7752" s="106" t="str">
        <f t="shared" si="1"/>
        <v/>
      </c>
      <c r="J7752" t="str">
        <f>IFERROR(__xludf.DUMMYFUNCTION("IFS(
  AND(REGEXMATCH(E7752, ""台銀籌備帳戶|玉山帳戶""), REGEXMATCH(C7752, ""薪資"")), ""分潤支出"",
  AND(REGEXMATCH(E7752, ""Ben帳戶|Elsa帳戶|Ben代墊|Ariel代墊|中信銀行共用""), REGEXMATCH(F7752, ""Ben帳戶|Elsa帳戶|Ben代墊|Ariel代墊|中信銀行共用"")), ""內部轉帳(忽略)"",
  AND(E7752&lt;&gt;"""", F7752&lt;&gt;"""", N"&amp;"OT(REGEXMATCH(C7752, ""薪資""))), ""內部轉帳(忽略)"",
  REGEXMATCH(C7752, ""薪資""), ""薪資變動(不計入)"",
  REGEXMATCH(C7752, ""押金""), ""押金往來"",
  AND(E7752&lt;&gt;"""", F7752=""""), ""真實支出"",
  AND(E7752="""", F7752&lt;&gt;""""), ""真實收入"",
  TRUE, ""其他""
)"),"其他")</f>
        <v>其他</v>
      </c>
      <c r="K7752" s="270" t="str">
        <f t="shared" si="2"/>
        <v/>
      </c>
      <c r="L7752">
        <f t="shared" si="3"/>
        <v>0</v>
      </c>
    </row>
    <row r="7753">
      <c r="A7753" s="107"/>
      <c r="D7753" s="270"/>
      <c r="H7753" s="106" t="str">
        <f t="shared" si="1"/>
        <v/>
      </c>
      <c r="J7753" t="str">
        <f>IFERROR(__xludf.DUMMYFUNCTION("IFS(
  AND(REGEXMATCH(E7753, ""台銀籌備帳戶|玉山帳戶""), REGEXMATCH(C7753, ""薪資"")), ""分潤支出"",
  AND(REGEXMATCH(E7753, ""Ben帳戶|Elsa帳戶|Ben代墊|Ariel代墊|中信銀行共用""), REGEXMATCH(F7753, ""Ben帳戶|Elsa帳戶|Ben代墊|Ariel代墊|中信銀行共用"")), ""內部轉帳(忽略)"",
  AND(E7753&lt;&gt;"""", F7753&lt;&gt;"""", N"&amp;"OT(REGEXMATCH(C7753, ""薪資""))), ""內部轉帳(忽略)"",
  REGEXMATCH(C7753, ""薪資""), ""薪資變動(不計入)"",
  REGEXMATCH(C7753, ""押金""), ""押金往來"",
  AND(E7753&lt;&gt;"""", F7753=""""), ""真實支出"",
  AND(E7753="""", F7753&lt;&gt;""""), ""真實收入"",
  TRUE, ""其他""
)"),"其他")</f>
        <v>其他</v>
      </c>
      <c r="K7753" s="270" t="str">
        <f t="shared" si="2"/>
        <v/>
      </c>
      <c r="L7753">
        <f t="shared" si="3"/>
        <v>0</v>
      </c>
    </row>
    <row r="7754">
      <c r="A7754" s="107"/>
      <c r="D7754" s="270"/>
      <c r="H7754" s="106" t="str">
        <f t="shared" si="1"/>
        <v/>
      </c>
      <c r="J7754" t="str">
        <f>IFERROR(__xludf.DUMMYFUNCTION("IFS(
  AND(REGEXMATCH(E7754, ""台銀籌備帳戶|玉山帳戶""), REGEXMATCH(C7754, ""薪資"")), ""分潤支出"",
  AND(REGEXMATCH(E7754, ""Ben帳戶|Elsa帳戶|Ben代墊|Ariel代墊|中信銀行共用""), REGEXMATCH(F7754, ""Ben帳戶|Elsa帳戶|Ben代墊|Ariel代墊|中信銀行共用"")), ""內部轉帳(忽略)"",
  AND(E7754&lt;&gt;"""", F7754&lt;&gt;"""", N"&amp;"OT(REGEXMATCH(C7754, ""薪資""))), ""內部轉帳(忽略)"",
  REGEXMATCH(C7754, ""薪資""), ""薪資變動(不計入)"",
  REGEXMATCH(C7754, ""押金""), ""押金往來"",
  AND(E7754&lt;&gt;"""", F7754=""""), ""真實支出"",
  AND(E7754="""", F7754&lt;&gt;""""), ""真實收入"",
  TRUE, ""其他""
)"),"其他")</f>
        <v>其他</v>
      </c>
      <c r="K7754" s="270" t="str">
        <f t="shared" si="2"/>
        <v/>
      </c>
      <c r="L7754">
        <f t="shared" si="3"/>
        <v>0</v>
      </c>
    </row>
    <row r="7755">
      <c r="A7755" s="107"/>
      <c r="D7755" s="270"/>
      <c r="H7755" s="106" t="str">
        <f t="shared" si="1"/>
        <v/>
      </c>
      <c r="J7755" t="str">
        <f>IFERROR(__xludf.DUMMYFUNCTION("IFS(
  AND(REGEXMATCH(E7755, ""台銀籌備帳戶|玉山帳戶""), REGEXMATCH(C7755, ""薪資"")), ""分潤支出"",
  AND(REGEXMATCH(E7755, ""Ben帳戶|Elsa帳戶|Ben代墊|Ariel代墊|中信銀行共用""), REGEXMATCH(F7755, ""Ben帳戶|Elsa帳戶|Ben代墊|Ariel代墊|中信銀行共用"")), ""內部轉帳(忽略)"",
  AND(E7755&lt;&gt;"""", F7755&lt;&gt;"""", N"&amp;"OT(REGEXMATCH(C7755, ""薪資""))), ""內部轉帳(忽略)"",
  REGEXMATCH(C7755, ""薪資""), ""薪資變動(不計入)"",
  REGEXMATCH(C7755, ""押金""), ""押金往來"",
  AND(E7755&lt;&gt;"""", F7755=""""), ""真實支出"",
  AND(E7755="""", F7755&lt;&gt;""""), ""真實收入"",
  TRUE, ""其他""
)"),"其他")</f>
        <v>其他</v>
      </c>
      <c r="K7755" s="270" t="str">
        <f t="shared" si="2"/>
        <v/>
      </c>
      <c r="L7755">
        <f t="shared" si="3"/>
        <v>0</v>
      </c>
    </row>
    <row r="7756">
      <c r="A7756" s="107"/>
      <c r="D7756" s="270"/>
      <c r="H7756" s="106" t="str">
        <f t="shared" si="1"/>
        <v/>
      </c>
      <c r="J7756" t="str">
        <f>IFERROR(__xludf.DUMMYFUNCTION("IFS(
  AND(REGEXMATCH(E7756, ""台銀籌備帳戶|玉山帳戶""), REGEXMATCH(C7756, ""薪資"")), ""分潤支出"",
  AND(REGEXMATCH(E7756, ""Ben帳戶|Elsa帳戶|Ben代墊|Ariel代墊|中信銀行共用""), REGEXMATCH(F7756, ""Ben帳戶|Elsa帳戶|Ben代墊|Ariel代墊|中信銀行共用"")), ""內部轉帳(忽略)"",
  AND(E7756&lt;&gt;"""", F7756&lt;&gt;"""", N"&amp;"OT(REGEXMATCH(C7756, ""薪資""))), ""內部轉帳(忽略)"",
  REGEXMATCH(C7756, ""薪資""), ""薪資變動(不計入)"",
  REGEXMATCH(C7756, ""押金""), ""押金往來"",
  AND(E7756&lt;&gt;"""", F7756=""""), ""真實支出"",
  AND(E7756="""", F7756&lt;&gt;""""), ""真實收入"",
  TRUE, ""其他""
)"),"其他")</f>
        <v>其他</v>
      </c>
      <c r="K7756" s="270" t="str">
        <f t="shared" si="2"/>
        <v/>
      </c>
      <c r="L7756">
        <f t="shared" si="3"/>
        <v>0</v>
      </c>
    </row>
    <row r="7757">
      <c r="A7757" s="107"/>
      <c r="D7757" s="270"/>
      <c r="H7757" s="106" t="str">
        <f t="shared" si="1"/>
        <v/>
      </c>
      <c r="J7757" t="str">
        <f>IFERROR(__xludf.DUMMYFUNCTION("IFS(
  AND(REGEXMATCH(E7757, ""台銀籌備帳戶|玉山帳戶""), REGEXMATCH(C7757, ""薪資"")), ""分潤支出"",
  AND(REGEXMATCH(E7757, ""Ben帳戶|Elsa帳戶|Ben代墊|Ariel代墊|中信銀行共用""), REGEXMATCH(F7757, ""Ben帳戶|Elsa帳戶|Ben代墊|Ariel代墊|中信銀行共用"")), ""內部轉帳(忽略)"",
  AND(E7757&lt;&gt;"""", F7757&lt;&gt;"""", N"&amp;"OT(REGEXMATCH(C7757, ""薪資""))), ""內部轉帳(忽略)"",
  REGEXMATCH(C7757, ""薪資""), ""薪資變動(不計入)"",
  REGEXMATCH(C7757, ""押金""), ""押金往來"",
  AND(E7757&lt;&gt;"""", F7757=""""), ""真實支出"",
  AND(E7757="""", F7757&lt;&gt;""""), ""真實收入"",
  TRUE, ""其他""
)"),"其他")</f>
        <v>其他</v>
      </c>
      <c r="K7757" s="270" t="str">
        <f t="shared" si="2"/>
        <v/>
      </c>
      <c r="L7757">
        <f t="shared" si="3"/>
        <v>0</v>
      </c>
    </row>
    <row r="7758">
      <c r="A7758" s="107"/>
      <c r="D7758" s="270"/>
      <c r="H7758" s="106" t="str">
        <f t="shared" si="1"/>
        <v/>
      </c>
      <c r="J7758" t="str">
        <f>IFERROR(__xludf.DUMMYFUNCTION("IFS(
  AND(REGEXMATCH(E7758, ""台銀籌備帳戶|玉山帳戶""), REGEXMATCH(C7758, ""薪資"")), ""分潤支出"",
  AND(REGEXMATCH(E7758, ""Ben帳戶|Elsa帳戶|Ben代墊|Ariel代墊|中信銀行共用""), REGEXMATCH(F7758, ""Ben帳戶|Elsa帳戶|Ben代墊|Ariel代墊|中信銀行共用"")), ""內部轉帳(忽略)"",
  AND(E7758&lt;&gt;"""", F7758&lt;&gt;"""", N"&amp;"OT(REGEXMATCH(C7758, ""薪資""))), ""內部轉帳(忽略)"",
  REGEXMATCH(C7758, ""薪資""), ""薪資變動(不計入)"",
  REGEXMATCH(C7758, ""押金""), ""押金往來"",
  AND(E7758&lt;&gt;"""", F7758=""""), ""真實支出"",
  AND(E7758="""", F7758&lt;&gt;""""), ""真實收入"",
  TRUE, ""其他""
)"),"其他")</f>
        <v>其他</v>
      </c>
      <c r="K7758" s="270" t="str">
        <f t="shared" si="2"/>
        <v/>
      </c>
      <c r="L7758">
        <f t="shared" si="3"/>
        <v>0</v>
      </c>
    </row>
    <row r="7759">
      <c r="A7759" s="107"/>
      <c r="D7759" s="270"/>
      <c r="H7759" s="106" t="str">
        <f t="shared" si="1"/>
        <v/>
      </c>
      <c r="J7759" t="str">
        <f>IFERROR(__xludf.DUMMYFUNCTION("IFS(
  AND(REGEXMATCH(E7759, ""台銀籌備帳戶|玉山帳戶""), REGEXMATCH(C7759, ""薪資"")), ""分潤支出"",
  AND(REGEXMATCH(E7759, ""Ben帳戶|Elsa帳戶|Ben代墊|Ariel代墊|中信銀行共用""), REGEXMATCH(F7759, ""Ben帳戶|Elsa帳戶|Ben代墊|Ariel代墊|中信銀行共用"")), ""內部轉帳(忽略)"",
  AND(E7759&lt;&gt;"""", F7759&lt;&gt;"""", N"&amp;"OT(REGEXMATCH(C7759, ""薪資""))), ""內部轉帳(忽略)"",
  REGEXMATCH(C7759, ""薪資""), ""薪資變動(不計入)"",
  REGEXMATCH(C7759, ""押金""), ""押金往來"",
  AND(E7759&lt;&gt;"""", F7759=""""), ""真實支出"",
  AND(E7759="""", F7759&lt;&gt;""""), ""真實收入"",
  TRUE, ""其他""
)"),"其他")</f>
        <v>其他</v>
      </c>
      <c r="K7759" s="270" t="str">
        <f t="shared" si="2"/>
        <v/>
      </c>
      <c r="L7759">
        <f t="shared" si="3"/>
        <v>0</v>
      </c>
    </row>
    <row r="7760">
      <c r="A7760" s="107"/>
      <c r="D7760" s="270"/>
      <c r="H7760" s="106" t="str">
        <f t="shared" si="1"/>
        <v/>
      </c>
      <c r="J7760" t="str">
        <f>IFERROR(__xludf.DUMMYFUNCTION("IFS(
  AND(REGEXMATCH(E7760, ""台銀籌備帳戶|玉山帳戶""), REGEXMATCH(C7760, ""薪資"")), ""分潤支出"",
  AND(REGEXMATCH(E7760, ""Ben帳戶|Elsa帳戶|Ben代墊|Ariel代墊|中信銀行共用""), REGEXMATCH(F7760, ""Ben帳戶|Elsa帳戶|Ben代墊|Ariel代墊|中信銀行共用"")), ""內部轉帳(忽略)"",
  AND(E7760&lt;&gt;"""", F7760&lt;&gt;"""", N"&amp;"OT(REGEXMATCH(C7760, ""薪資""))), ""內部轉帳(忽略)"",
  REGEXMATCH(C7760, ""薪資""), ""薪資變動(不計入)"",
  REGEXMATCH(C7760, ""押金""), ""押金往來"",
  AND(E7760&lt;&gt;"""", F7760=""""), ""真實支出"",
  AND(E7760="""", F7760&lt;&gt;""""), ""真實收入"",
  TRUE, ""其他""
)"),"其他")</f>
        <v>其他</v>
      </c>
      <c r="K7760" s="270" t="str">
        <f t="shared" si="2"/>
        <v/>
      </c>
      <c r="L7760">
        <f t="shared" si="3"/>
        <v>0</v>
      </c>
    </row>
    <row r="7761">
      <c r="A7761" s="107"/>
      <c r="D7761" s="270"/>
      <c r="H7761" s="106" t="str">
        <f t="shared" si="1"/>
        <v/>
      </c>
      <c r="J7761" t="str">
        <f>IFERROR(__xludf.DUMMYFUNCTION("IFS(
  AND(REGEXMATCH(E7761, ""台銀籌備帳戶|玉山帳戶""), REGEXMATCH(C7761, ""薪資"")), ""分潤支出"",
  AND(REGEXMATCH(E7761, ""Ben帳戶|Elsa帳戶|Ben代墊|Ariel代墊|中信銀行共用""), REGEXMATCH(F7761, ""Ben帳戶|Elsa帳戶|Ben代墊|Ariel代墊|中信銀行共用"")), ""內部轉帳(忽略)"",
  AND(E7761&lt;&gt;"""", F7761&lt;&gt;"""", N"&amp;"OT(REGEXMATCH(C7761, ""薪資""))), ""內部轉帳(忽略)"",
  REGEXMATCH(C7761, ""薪資""), ""薪資變動(不計入)"",
  REGEXMATCH(C7761, ""押金""), ""押金往來"",
  AND(E7761&lt;&gt;"""", F7761=""""), ""真實支出"",
  AND(E7761="""", F7761&lt;&gt;""""), ""真實收入"",
  TRUE, ""其他""
)"),"其他")</f>
        <v>其他</v>
      </c>
      <c r="K7761" s="270" t="str">
        <f t="shared" si="2"/>
        <v/>
      </c>
      <c r="L7761">
        <f t="shared" si="3"/>
        <v>0</v>
      </c>
    </row>
    <row r="7762">
      <c r="A7762" s="107"/>
      <c r="D7762" s="270"/>
      <c r="H7762" s="106" t="str">
        <f t="shared" si="1"/>
        <v/>
      </c>
      <c r="J7762" t="str">
        <f>IFERROR(__xludf.DUMMYFUNCTION("IFS(
  AND(REGEXMATCH(E7762, ""台銀籌備帳戶|玉山帳戶""), REGEXMATCH(C7762, ""薪資"")), ""分潤支出"",
  AND(REGEXMATCH(E7762, ""Ben帳戶|Elsa帳戶|Ben代墊|Ariel代墊|中信銀行共用""), REGEXMATCH(F7762, ""Ben帳戶|Elsa帳戶|Ben代墊|Ariel代墊|中信銀行共用"")), ""內部轉帳(忽略)"",
  AND(E7762&lt;&gt;"""", F7762&lt;&gt;"""", N"&amp;"OT(REGEXMATCH(C7762, ""薪資""))), ""內部轉帳(忽略)"",
  REGEXMATCH(C7762, ""薪資""), ""薪資變動(不計入)"",
  REGEXMATCH(C7762, ""押金""), ""押金往來"",
  AND(E7762&lt;&gt;"""", F7762=""""), ""真實支出"",
  AND(E7762="""", F7762&lt;&gt;""""), ""真實收入"",
  TRUE, ""其他""
)"),"其他")</f>
        <v>其他</v>
      </c>
      <c r="K7762" s="270" t="str">
        <f t="shared" si="2"/>
        <v/>
      </c>
      <c r="L7762">
        <f t="shared" si="3"/>
        <v>0</v>
      </c>
    </row>
    <row r="7763">
      <c r="A7763" s="107"/>
      <c r="D7763" s="270"/>
      <c r="H7763" s="106" t="str">
        <f t="shared" si="1"/>
        <v/>
      </c>
      <c r="J7763" t="str">
        <f>IFERROR(__xludf.DUMMYFUNCTION("IFS(
  AND(REGEXMATCH(E7763, ""台銀籌備帳戶|玉山帳戶""), REGEXMATCH(C7763, ""薪資"")), ""分潤支出"",
  AND(REGEXMATCH(E7763, ""Ben帳戶|Elsa帳戶|Ben代墊|Ariel代墊|中信銀行共用""), REGEXMATCH(F7763, ""Ben帳戶|Elsa帳戶|Ben代墊|Ariel代墊|中信銀行共用"")), ""內部轉帳(忽略)"",
  AND(E7763&lt;&gt;"""", F7763&lt;&gt;"""", N"&amp;"OT(REGEXMATCH(C7763, ""薪資""))), ""內部轉帳(忽略)"",
  REGEXMATCH(C7763, ""薪資""), ""薪資變動(不計入)"",
  REGEXMATCH(C7763, ""押金""), ""押金往來"",
  AND(E7763&lt;&gt;"""", F7763=""""), ""真實支出"",
  AND(E7763="""", F7763&lt;&gt;""""), ""真實收入"",
  TRUE, ""其他""
)"),"其他")</f>
        <v>其他</v>
      </c>
      <c r="K7763" s="270" t="str">
        <f t="shared" si="2"/>
        <v/>
      </c>
      <c r="L7763">
        <f t="shared" si="3"/>
        <v>0</v>
      </c>
    </row>
    <row r="7764">
      <c r="A7764" s="107"/>
      <c r="D7764" s="270"/>
      <c r="H7764" s="106" t="str">
        <f t="shared" si="1"/>
        <v/>
      </c>
      <c r="J7764" t="str">
        <f>IFERROR(__xludf.DUMMYFUNCTION("IFS(
  AND(REGEXMATCH(E7764, ""台銀籌備帳戶|玉山帳戶""), REGEXMATCH(C7764, ""薪資"")), ""分潤支出"",
  AND(REGEXMATCH(E7764, ""Ben帳戶|Elsa帳戶|Ben代墊|Ariel代墊|中信銀行共用""), REGEXMATCH(F7764, ""Ben帳戶|Elsa帳戶|Ben代墊|Ariel代墊|中信銀行共用"")), ""內部轉帳(忽略)"",
  AND(E7764&lt;&gt;"""", F7764&lt;&gt;"""", N"&amp;"OT(REGEXMATCH(C7764, ""薪資""))), ""內部轉帳(忽略)"",
  REGEXMATCH(C7764, ""薪資""), ""薪資變動(不計入)"",
  REGEXMATCH(C7764, ""押金""), ""押金往來"",
  AND(E7764&lt;&gt;"""", F7764=""""), ""真實支出"",
  AND(E7764="""", F7764&lt;&gt;""""), ""真實收入"",
  TRUE, ""其他""
)"),"其他")</f>
        <v>其他</v>
      </c>
      <c r="K7764" s="270" t="str">
        <f t="shared" si="2"/>
        <v/>
      </c>
      <c r="L7764">
        <f t="shared" si="3"/>
        <v>0</v>
      </c>
    </row>
    <row r="7765">
      <c r="A7765" s="107"/>
      <c r="D7765" s="270"/>
      <c r="H7765" s="106" t="str">
        <f t="shared" si="1"/>
        <v/>
      </c>
      <c r="J7765" t="str">
        <f>IFERROR(__xludf.DUMMYFUNCTION("IFS(
  AND(REGEXMATCH(E7765, ""台銀籌備帳戶|玉山帳戶""), REGEXMATCH(C7765, ""薪資"")), ""分潤支出"",
  AND(REGEXMATCH(E7765, ""Ben帳戶|Elsa帳戶|Ben代墊|Ariel代墊|中信銀行共用""), REGEXMATCH(F7765, ""Ben帳戶|Elsa帳戶|Ben代墊|Ariel代墊|中信銀行共用"")), ""內部轉帳(忽略)"",
  AND(E7765&lt;&gt;"""", F7765&lt;&gt;"""", N"&amp;"OT(REGEXMATCH(C7765, ""薪資""))), ""內部轉帳(忽略)"",
  REGEXMATCH(C7765, ""薪資""), ""薪資變動(不計入)"",
  REGEXMATCH(C7765, ""押金""), ""押金往來"",
  AND(E7765&lt;&gt;"""", F7765=""""), ""真實支出"",
  AND(E7765="""", F7765&lt;&gt;""""), ""真實收入"",
  TRUE, ""其他""
)"),"其他")</f>
        <v>其他</v>
      </c>
      <c r="K7765" s="270" t="str">
        <f t="shared" si="2"/>
        <v/>
      </c>
      <c r="L7765">
        <f t="shared" si="3"/>
        <v>0</v>
      </c>
    </row>
    <row r="7766">
      <c r="A7766" s="107"/>
      <c r="D7766" s="270"/>
      <c r="H7766" s="106" t="str">
        <f t="shared" si="1"/>
        <v/>
      </c>
      <c r="J7766" t="str">
        <f>IFERROR(__xludf.DUMMYFUNCTION("IFS(
  AND(REGEXMATCH(E7766, ""台銀籌備帳戶|玉山帳戶""), REGEXMATCH(C7766, ""薪資"")), ""分潤支出"",
  AND(REGEXMATCH(E7766, ""Ben帳戶|Elsa帳戶|Ben代墊|Ariel代墊|中信銀行共用""), REGEXMATCH(F7766, ""Ben帳戶|Elsa帳戶|Ben代墊|Ariel代墊|中信銀行共用"")), ""內部轉帳(忽略)"",
  AND(E7766&lt;&gt;"""", F7766&lt;&gt;"""", N"&amp;"OT(REGEXMATCH(C7766, ""薪資""))), ""內部轉帳(忽略)"",
  REGEXMATCH(C7766, ""薪資""), ""薪資變動(不計入)"",
  REGEXMATCH(C7766, ""押金""), ""押金往來"",
  AND(E7766&lt;&gt;"""", F7766=""""), ""真實支出"",
  AND(E7766="""", F7766&lt;&gt;""""), ""真實收入"",
  TRUE, ""其他""
)"),"其他")</f>
        <v>其他</v>
      </c>
      <c r="K7766" s="270" t="str">
        <f t="shared" si="2"/>
        <v/>
      </c>
      <c r="L7766">
        <f t="shared" si="3"/>
        <v>0</v>
      </c>
    </row>
    <row r="7767">
      <c r="A7767" s="107"/>
      <c r="D7767" s="270"/>
      <c r="H7767" s="106" t="str">
        <f t="shared" si="1"/>
        <v/>
      </c>
      <c r="J7767" t="str">
        <f>IFERROR(__xludf.DUMMYFUNCTION("IFS(
  AND(REGEXMATCH(E7767, ""台銀籌備帳戶|玉山帳戶""), REGEXMATCH(C7767, ""薪資"")), ""分潤支出"",
  AND(REGEXMATCH(E7767, ""Ben帳戶|Elsa帳戶|Ben代墊|Ariel代墊|中信銀行共用""), REGEXMATCH(F7767, ""Ben帳戶|Elsa帳戶|Ben代墊|Ariel代墊|中信銀行共用"")), ""內部轉帳(忽略)"",
  AND(E7767&lt;&gt;"""", F7767&lt;&gt;"""", N"&amp;"OT(REGEXMATCH(C7767, ""薪資""))), ""內部轉帳(忽略)"",
  REGEXMATCH(C7767, ""薪資""), ""薪資變動(不計入)"",
  REGEXMATCH(C7767, ""押金""), ""押金往來"",
  AND(E7767&lt;&gt;"""", F7767=""""), ""真實支出"",
  AND(E7767="""", F7767&lt;&gt;""""), ""真實收入"",
  TRUE, ""其他""
)"),"其他")</f>
        <v>其他</v>
      </c>
      <c r="K7767" s="270" t="str">
        <f t="shared" si="2"/>
        <v/>
      </c>
      <c r="L7767">
        <f t="shared" si="3"/>
        <v>0</v>
      </c>
    </row>
    <row r="7768">
      <c r="A7768" s="107"/>
      <c r="D7768" s="270"/>
      <c r="H7768" s="106" t="str">
        <f t="shared" si="1"/>
        <v/>
      </c>
      <c r="J7768" t="str">
        <f>IFERROR(__xludf.DUMMYFUNCTION("IFS(
  AND(REGEXMATCH(E7768, ""台銀籌備帳戶|玉山帳戶""), REGEXMATCH(C7768, ""薪資"")), ""分潤支出"",
  AND(REGEXMATCH(E7768, ""Ben帳戶|Elsa帳戶|Ben代墊|Ariel代墊|中信銀行共用""), REGEXMATCH(F7768, ""Ben帳戶|Elsa帳戶|Ben代墊|Ariel代墊|中信銀行共用"")), ""內部轉帳(忽略)"",
  AND(E7768&lt;&gt;"""", F7768&lt;&gt;"""", N"&amp;"OT(REGEXMATCH(C7768, ""薪資""))), ""內部轉帳(忽略)"",
  REGEXMATCH(C7768, ""薪資""), ""薪資變動(不計入)"",
  REGEXMATCH(C7768, ""押金""), ""押金往來"",
  AND(E7768&lt;&gt;"""", F7768=""""), ""真實支出"",
  AND(E7768="""", F7768&lt;&gt;""""), ""真實收入"",
  TRUE, ""其他""
)"),"其他")</f>
        <v>其他</v>
      </c>
      <c r="K7768" s="270" t="str">
        <f t="shared" si="2"/>
        <v/>
      </c>
      <c r="L7768">
        <f t="shared" si="3"/>
        <v>0</v>
      </c>
    </row>
    <row r="7769">
      <c r="A7769" s="107"/>
      <c r="D7769" s="270"/>
      <c r="H7769" s="106" t="str">
        <f t="shared" si="1"/>
        <v/>
      </c>
      <c r="J7769" t="str">
        <f>IFERROR(__xludf.DUMMYFUNCTION("IFS(
  AND(REGEXMATCH(E7769, ""台銀籌備帳戶|玉山帳戶""), REGEXMATCH(C7769, ""薪資"")), ""分潤支出"",
  AND(REGEXMATCH(E7769, ""Ben帳戶|Elsa帳戶|Ben代墊|Ariel代墊|中信銀行共用""), REGEXMATCH(F7769, ""Ben帳戶|Elsa帳戶|Ben代墊|Ariel代墊|中信銀行共用"")), ""內部轉帳(忽略)"",
  AND(E7769&lt;&gt;"""", F7769&lt;&gt;"""", N"&amp;"OT(REGEXMATCH(C7769, ""薪資""))), ""內部轉帳(忽略)"",
  REGEXMATCH(C7769, ""薪資""), ""薪資變動(不計入)"",
  REGEXMATCH(C7769, ""押金""), ""押金往來"",
  AND(E7769&lt;&gt;"""", F7769=""""), ""真實支出"",
  AND(E7769="""", F7769&lt;&gt;""""), ""真實收入"",
  TRUE, ""其他""
)"),"其他")</f>
        <v>其他</v>
      </c>
      <c r="K7769" s="270" t="str">
        <f t="shared" si="2"/>
        <v/>
      </c>
      <c r="L7769">
        <f t="shared" si="3"/>
        <v>0</v>
      </c>
    </row>
    <row r="7770">
      <c r="A7770" s="107"/>
      <c r="D7770" s="270"/>
      <c r="H7770" s="106" t="str">
        <f t="shared" si="1"/>
        <v/>
      </c>
      <c r="J7770" t="str">
        <f>IFERROR(__xludf.DUMMYFUNCTION("IFS(
  AND(REGEXMATCH(E7770, ""台銀籌備帳戶|玉山帳戶""), REGEXMATCH(C7770, ""薪資"")), ""分潤支出"",
  AND(REGEXMATCH(E7770, ""Ben帳戶|Elsa帳戶|Ben代墊|Ariel代墊|中信銀行共用""), REGEXMATCH(F7770, ""Ben帳戶|Elsa帳戶|Ben代墊|Ariel代墊|中信銀行共用"")), ""內部轉帳(忽略)"",
  AND(E7770&lt;&gt;"""", F7770&lt;&gt;"""", N"&amp;"OT(REGEXMATCH(C7770, ""薪資""))), ""內部轉帳(忽略)"",
  REGEXMATCH(C7770, ""薪資""), ""薪資變動(不計入)"",
  REGEXMATCH(C7770, ""押金""), ""押金往來"",
  AND(E7770&lt;&gt;"""", F7770=""""), ""真實支出"",
  AND(E7770="""", F7770&lt;&gt;""""), ""真實收入"",
  TRUE, ""其他""
)"),"其他")</f>
        <v>其他</v>
      </c>
      <c r="K7770" s="270" t="str">
        <f t="shared" si="2"/>
        <v/>
      </c>
      <c r="L7770">
        <f t="shared" si="3"/>
        <v>0</v>
      </c>
    </row>
    <row r="7771">
      <c r="A7771" s="107"/>
      <c r="D7771" s="270"/>
      <c r="H7771" s="106" t="str">
        <f t="shared" si="1"/>
        <v/>
      </c>
      <c r="J7771" t="str">
        <f>IFERROR(__xludf.DUMMYFUNCTION("IFS(
  AND(REGEXMATCH(E7771, ""台銀籌備帳戶|玉山帳戶""), REGEXMATCH(C7771, ""薪資"")), ""分潤支出"",
  AND(REGEXMATCH(E7771, ""Ben帳戶|Elsa帳戶|Ben代墊|Ariel代墊|中信銀行共用""), REGEXMATCH(F7771, ""Ben帳戶|Elsa帳戶|Ben代墊|Ariel代墊|中信銀行共用"")), ""內部轉帳(忽略)"",
  AND(E7771&lt;&gt;"""", F7771&lt;&gt;"""", N"&amp;"OT(REGEXMATCH(C7771, ""薪資""))), ""內部轉帳(忽略)"",
  REGEXMATCH(C7771, ""薪資""), ""薪資變動(不計入)"",
  REGEXMATCH(C7771, ""押金""), ""押金往來"",
  AND(E7771&lt;&gt;"""", F7771=""""), ""真實支出"",
  AND(E7771="""", F7771&lt;&gt;""""), ""真實收入"",
  TRUE, ""其他""
)"),"其他")</f>
        <v>其他</v>
      </c>
      <c r="K7771" s="270" t="str">
        <f t="shared" si="2"/>
        <v/>
      </c>
      <c r="L7771">
        <f t="shared" si="3"/>
        <v>0</v>
      </c>
    </row>
    <row r="7772">
      <c r="A7772" s="107"/>
      <c r="D7772" s="270"/>
      <c r="H7772" s="106" t="str">
        <f t="shared" si="1"/>
        <v/>
      </c>
      <c r="J7772" t="str">
        <f>IFERROR(__xludf.DUMMYFUNCTION("IFS(
  AND(REGEXMATCH(E7772, ""台銀籌備帳戶|玉山帳戶""), REGEXMATCH(C7772, ""薪資"")), ""分潤支出"",
  AND(REGEXMATCH(E7772, ""Ben帳戶|Elsa帳戶|Ben代墊|Ariel代墊|中信銀行共用""), REGEXMATCH(F7772, ""Ben帳戶|Elsa帳戶|Ben代墊|Ariel代墊|中信銀行共用"")), ""內部轉帳(忽略)"",
  AND(E7772&lt;&gt;"""", F7772&lt;&gt;"""", N"&amp;"OT(REGEXMATCH(C7772, ""薪資""))), ""內部轉帳(忽略)"",
  REGEXMATCH(C7772, ""薪資""), ""薪資變動(不計入)"",
  REGEXMATCH(C7772, ""押金""), ""押金往來"",
  AND(E7772&lt;&gt;"""", F7772=""""), ""真實支出"",
  AND(E7772="""", F7772&lt;&gt;""""), ""真實收入"",
  TRUE, ""其他""
)"),"其他")</f>
        <v>其他</v>
      </c>
      <c r="K7772" s="270" t="str">
        <f t="shared" si="2"/>
        <v/>
      </c>
      <c r="L7772">
        <f t="shared" si="3"/>
        <v>0</v>
      </c>
    </row>
    <row r="7773">
      <c r="A7773" s="107"/>
      <c r="D7773" s="270"/>
      <c r="H7773" s="106" t="str">
        <f t="shared" si="1"/>
        <v/>
      </c>
      <c r="J7773" t="str">
        <f>IFERROR(__xludf.DUMMYFUNCTION("IFS(
  AND(REGEXMATCH(E7773, ""台銀籌備帳戶|玉山帳戶""), REGEXMATCH(C7773, ""薪資"")), ""分潤支出"",
  AND(REGEXMATCH(E7773, ""Ben帳戶|Elsa帳戶|Ben代墊|Ariel代墊|中信銀行共用""), REGEXMATCH(F7773, ""Ben帳戶|Elsa帳戶|Ben代墊|Ariel代墊|中信銀行共用"")), ""內部轉帳(忽略)"",
  AND(E7773&lt;&gt;"""", F7773&lt;&gt;"""", N"&amp;"OT(REGEXMATCH(C7773, ""薪資""))), ""內部轉帳(忽略)"",
  REGEXMATCH(C7773, ""薪資""), ""薪資變動(不計入)"",
  REGEXMATCH(C7773, ""押金""), ""押金往來"",
  AND(E7773&lt;&gt;"""", F7773=""""), ""真實支出"",
  AND(E7773="""", F7773&lt;&gt;""""), ""真實收入"",
  TRUE, ""其他""
)"),"其他")</f>
        <v>其他</v>
      </c>
      <c r="K7773" s="270" t="str">
        <f t="shared" si="2"/>
        <v/>
      </c>
      <c r="L7773">
        <f t="shared" si="3"/>
        <v>0</v>
      </c>
    </row>
    <row r="7774">
      <c r="A7774" s="107"/>
      <c r="D7774" s="270"/>
      <c r="H7774" s="106" t="str">
        <f t="shared" si="1"/>
        <v/>
      </c>
      <c r="J7774" t="str">
        <f>IFERROR(__xludf.DUMMYFUNCTION("IFS(
  AND(REGEXMATCH(E7774, ""台銀籌備帳戶|玉山帳戶""), REGEXMATCH(C7774, ""薪資"")), ""分潤支出"",
  AND(REGEXMATCH(E7774, ""Ben帳戶|Elsa帳戶|Ben代墊|Ariel代墊|中信銀行共用""), REGEXMATCH(F7774, ""Ben帳戶|Elsa帳戶|Ben代墊|Ariel代墊|中信銀行共用"")), ""內部轉帳(忽略)"",
  AND(E7774&lt;&gt;"""", F7774&lt;&gt;"""", N"&amp;"OT(REGEXMATCH(C7774, ""薪資""))), ""內部轉帳(忽略)"",
  REGEXMATCH(C7774, ""薪資""), ""薪資變動(不計入)"",
  REGEXMATCH(C7774, ""押金""), ""押金往來"",
  AND(E7774&lt;&gt;"""", F7774=""""), ""真實支出"",
  AND(E7774="""", F7774&lt;&gt;""""), ""真實收入"",
  TRUE, ""其他""
)"),"其他")</f>
        <v>其他</v>
      </c>
      <c r="K7774" s="270" t="str">
        <f t="shared" si="2"/>
        <v/>
      </c>
      <c r="L7774">
        <f t="shared" si="3"/>
        <v>0</v>
      </c>
    </row>
    <row r="7775">
      <c r="A7775" s="107"/>
      <c r="D7775" s="270"/>
      <c r="H7775" s="106" t="str">
        <f t="shared" si="1"/>
        <v/>
      </c>
      <c r="J7775" t="str">
        <f>IFERROR(__xludf.DUMMYFUNCTION("IFS(
  AND(REGEXMATCH(E7775, ""台銀籌備帳戶|玉山帳戶""), REGEXMATCH(C7775, ""薪資"")), ""分潤支出"",
  AND(REGEXMATCH(E7775, ""Ben帳戶|Elsa帳戶|Ben代墊|Ariel代墊|中信銀行共用""), REGEXMATCH(F7775, ""Ben帳戶|Elsa帳戶|Ben代墊|Ariel代墊|中信銀行共用"")), ""內部轉帳(忽略)"",
  AND(E7775&lt;&gt;"""", F7775&lt;&gt;"""", N"&amp;"OT(REGEXMATCH(C7775, ""薪資""))), ""內部轉帳(忽略)"",
  REGEXMATCH(C7775, ""薪資""), ""薪資變動(不計入)"",
  REGEXMATCH(C7775, ""押金""), ""押金往來"",
  AND(E7775&lt;&gt;"""", F7775=""""), ""真實支出"",
  AND(E7775="""", F7775&lt;&gt;""""), ""真實收入"",
  TRUE, ""其他""
)"),"其他")</f>
        <v>其他</v>
      </c>
      <c r="K7775" s="270" t="str">
        <f t="shared" si="2"/>
        <v/>
      </c>
      <c r="L7775">
        <f t="shared" si="3"/>
        <v>0</v>
      </c>
    </row>
    <row r="7776">
      <c r="A7776" s="107"/>
      <c r="D7776" s="270"/>
      <c r="H7776" s="106" t="str">
        <f t="shared" si="1"/>
        <v/>
      </c>
      <c r="J7776" t="str">
        <f>IFERROR(__xludf.DUMMYFUNCTION("IFS(
  AND(REGEXMATCH(E7776, ""台銀籌備帳戶|玉山帳戶""), REGEXMATCH(C7776, ""薪資"")), ""分潤支出"",
  AND(REGEXMATCH(E7776, ""Ben帳戶|Elsa帳戶|Ben代墊|Ariel代墊|中信銀行共用""), REGEXMATCH(F7776, ""Ben帳戶|Elsa帳戶|Ben代墊|Ariel代墊|中信銀行共用"")), ""內部轉帳(忽略)"",
  AND(E7776&lt;&gt;"""", F7776&lt;&gt;"""", N"&amp;"OT(REGEXMATCH(C7776, ""薪資""))), ""內部轉帳(忽略)"",
  REGEXMATCH(C7776, ""薪資""), ""薪資變動(不計入)"",
  REGEXMATCH(C7776, ""押金""), ""押金往來"",
  AND(E7776&lt;&gt;"""", F7776=""""), ""真實支出"",
  AND(E7776="""", F7776&lt;&gt;""""), ""真實收入"",
  TRUE, ""其他""
)"),"其他")</f>
        <v>其他</v>
      </c>
      <c r="K7776" s="270" t="str">
        <f t="shared" si="2"/>
        <v/>
      </c>
      <c r="L7776">
        <f t="shared" si="3"/>
        <v>0</v>
      </c>
    </row>
    <row r="7777">
      <c r="A7777" s="107"/>
      <c r="D7777" s="270"/>
      <c r="H7777" s="106" t="str">
        <f t="shared" si="1"/>
        <v/>
      </c>
      <c r="J7777" t="str">
        <f>IFERROR(__xludf.DUMMYFUNCTION("IFS(
  AND(REGEXMATCH(E7777, ""台銀籌備帳戶|玉山帳戶""), REGEXMATCH(C7777, ""薪資"")), ""分潤支出"",
  AND(REGEXMATCH(E7777, ""Ben帳戶|Elsa帳戶|Ben代墊|Ariel代墊|中信銀行共用""), REGEXMATCH(F7777, ""Ben帳戶|Elsa帳戶|Ben代墊|Ariel代墊|中信銀行共用"")), ""內部轉帳(忽略)"",
  AND(E7777&lt;&gt;"""", F7777&lt;&gt;"""", N"&amp;"OT(REGEXMATCH(C7777, ""薪資""))), ""內部轉帳(忽略)"",
  REGEXMATCH(C7777, ""薪資""), ""薪資變動(不計入)"",
  REGEXMATCH(C7777, ""押金""), ""押金往來"",
  AND(E7777&lt;&gt;"""", F7777=""""), ""真實支出"",
  AND(E7777="""", F7777&lt;&gt;""""), ""真實收入"",
  TRUE, ""其他""
)"),"其他")</f>
        <v>其他</v>
      </c>
      <c r="K7777" s="270" t="str">
        <f t="shared" si="2"/>
        <v/>
      </c>
      <c r="L7777">
        <f t="shared" si="3"/>
        <v>0</v>
      </c>
    </row>
    <row r="7778">
      <c r="A7778" s="107"/>
      <c r="D7778" s="270"/>
      <c r="H7778" s="106" t="str">
        <f t="shared" si="1"/>
        <v/>
      </c>
      <c r="J7778" t="str">
        <f>IFERROR(__xludf.DUMMYFUNCTION("IFS(
  AND(REGEXMATCH(E7778, ""台銀籌備帳戶|玉山帳戶""), REGEXMATCH(C7778, ""薪資"")), ""分潤支出"",
  AND(REGEXMATCH(E7778, ""Ben帳戶|Elsa帳戶|Ben代墊|Ariel代墊|中信銀行共用""), REGEXMATCH(F7778, ""Ben帳戶|Elsa帳戶|Ben代墊|Ariel代墊|中信銀行共用"")), ""內部轉帳(忽略)"",
  AND(E7778&lt;&gt;"""", F7778&lt;&gt;"""", N"&amp;"OT(REGEXMATCH(C7778, ""薪資""))), ""內部轉帳(忽略)"",
  REGEXMATCH(C7778, ""薪資""), ""薪資變動(不計入)"",
  REGEXMATCH(C7778, ""押金""), ""押金往來"",
  AND(E7778&lt;&gt;"""", F7778=""""), ""真實支出"",
  AND(E7778="""", F7778&lt;&gt;""""), ""真實收入"",
  TRUE, ""其他""
)"),"其他")</f>
        <v>其他</v>
      </c>
      <c r="K7778" s="270" t="str">
        <f t="shared" si="2"/>
        <v/>
      </c>
      <c r="L7778">
        <f t="shared" si="3"/>
        <v>0</v>
      </c>
    </row>
    <row r="7779">
      <c r="A7779" s="107"/>
      <c r="D7779" s="270"/>
      <c r="H7779" s="106" t="str">
        <f t="shared" si="1"/>
        <v/>
      </c>
      <c r="J7779" t="str">
        <f>IFERROR(__xludf.DUMMYFUNCTION("IFS(
  AND(REGEXMATCH(E7779, ""台銀籌備帳戶|玉山帳戶""), REGEXMATCH(C7779, ""薪資"")), ""分潤支出"",
  AND(REGEXMATCH(E7779, ""Ben帳戶|Elsa帳戶|Ben代墊|Ariel代墊|中信銀行共用""), REGEXMATCH(F7779, ""Ben帳戶|Elsa帳戶|Ben代墊|Ariel代墊|中信銀行共用"")), ""內部轉帳(忽略)"",
  AND(E7779&lt;&gt;"""", F7779&lt;&gt;"""", N"&amp;"OT(REGEXMATCH(C7779, ""薪資""))), ""內部轉帳(忽略)"",
  REGEXMATCH(C7779, ""薪資""), ""薪資變動(不計入)"",
  REGEXMATCH(C7779, ""押金""), ""押金往來"",
  AND(E7779&lt;&gt;"""", F7779=""""), ""真實支出"",
  AND(E7779="""", F7779&lt;&gt;""""), ""真實收入"",
  TRUE, ""其他""
)"),"其他")</f>
        <v>其他</v>
      </c>
      <c r="K7779" s="270" t="str">
        <f t="shared" si="2"/>
        <v/>
      </c>
      <c r="L7779">
        <f t="shared" si="3"/>
        <v>0</v>
      </c>
    </row>
    <row r="7780">
      <c r="A7780" s="107"/>
      <c r="D7780" s="270"/>
      <c r="H7780" s="106" t="str">
        <f t="shared" si="1"/>
        <v/>
      </c>
      <c r="J7780" t="str">
        <f>IFERROR(__xludf.DUMMYFUNCTION("IFS(
  AND(REGEXMATCH(E7780, ""台銀籌備帳戶|玉山帳戶""), REGEXMATCH(C7780, ""薪資"")), ""分潤支出"",
  AND(REGEXMATCH(E7780, ""Ben帳戶|Elsa帳戶|Ben代墊|Ariel代墊|中信銀行共用""), REGEXMATCH(F7780, ""Ben帳戶|Elsa帳戶|Ben代墊|Ariel代墊|中信銀行共用"")), ""內部轉帳(忽略)"",
  AND(E7780&lt;&gt;"""", F7780&lt;&gt;"""", N"&amp;"OT(REGEXMATCH(C7780, ""薪資""))), ""內部轉帳(忽略)"",
  REGEXMATCH(C7780, ""薪資""), ""薪資變動(不計入)"",
  REGEXMATCH(C7780, ""押金""), ""押金往來"",
  AND(E7780&lt;&gt;"""", F7780=""""), ""真實支出"",
  AND(E7780="""", F7780&lt;&gt;""""), ""真實收入"",
  TRUE, ""其他""
)"),"其他")</f>
        <v>其他</v>
      </c>
      <c r="K7780" s="270" t="str">
        <f t="shared" si="2"/>
        <v/>
      </c>
      <c r="L7780">
        <f t="shared" si="3"/>
        <v>0</v>
      </c>
    </row>
    <row r="7781">
      <c r="A7781" s="107"/>
      <c r="D7781" s="270"/>
      <c r="H7781" s="106" t="str">
        <f t="shared" si="1"/>
        <v/>
      </c>
      <c r="J7781" t="str">
        <f>IFERROR(__xludf.DUMMYFUNCTION("IFS(
  AND(REGEXMATCH(E7781, ""台銀籌備帳戶|玉山帳戶""), REGEXMATCH(C7781, ""薪資"")), ""分潤支出"",
  AND(REGEXMATCH(E7781, ""Ben帳戶|Elsa帳戶|Ben代墊|Ariel代墊|中信銀行共用""), REGEXMATCH(F7781, ""Ben帳戶|Elsa帳戶|Ben代墊|Ariel代墊|中信銀行共用"")), ""內部轉帳(忽略)"",
  AND(E7781&lt;&gt;"""", F7781&lt;&gt;"""", N"&amp;"OT(REGEXMATCH(C7781, ""薪資""))), ""內部轉帳(忽略)"",
  REGEXMATCH(C7781, ""薪資""), ""薪資變動(不計入)"",
  REGEXMATCH(C7781, ""押金""), ""押金往來"",
  AND(E7781&lt;&gt;"""", F7781=""""), ""真實支出"",
  AND(E7781="""", F7781&lt;&gt;""""), ""真實收入"",
  TRUE, ""其他""
)"),"其他")</f>
        <v>其他</v>
      </c>
      <c r="K7781" s="270" t="str">
        <f t="shared" si="2"/>
        <v/>
      </c>
      <c r="L7781">
        <f t="shared" si="3"/>
        <v>0</v>
      </c>
    </row>
    <row r="7782">
      <c r="A7782" s="107"/>
      <c r="D7782" s="270"/>
      <c r="H7782" s="106" t="str">
        <f t="shared" si="1"/>
        <v/>
      </c>
      <c r="J7782" t="str">
        <f>IFERROR(__xludf.DUMMYFUNCTION("IFS(
  AND(REGEXMATCH(E7782, ""台銀籌備帳戶|玉山帳戶""), REGEXMATCH(C7782, ""薪資"")), ""分潤支出"",
  AND(REGEXMATCH(E7782, ""Ben帳戶|Elsa帳戶|Ben代墊|Ariel代墊|中信銀行共用""), REGEXMATCH(F7782, ""Ben帳戶|Elsa帳戶|Ben代墊|Ariel代墊|中信銀行共用"")), ""內部轉帳(忽略)"",
  AND(E7782&lt;&gt;"""", F7782&lt;&gt;"""", N"&amp;"OT(REGEXMATCH(C7782, ""薪資""))), ""內部轉帳(忽略)"",
  REGEXMATCH(C7782, ""薪資""), ""薪資變動(不計入)"",
  REGEXMATCH(C7782, ""押金""), ""押金往來"",
  AND(E7782&lt;&gt;"""", F7782=""""), ""真實支出"",
  AND(E7782="""", F7782&lt;&gt;""""), ""真實收入"",
  TRUE, ""其他""
)"),"其他")</f>
        <v>其他</v>
      </c>
      <c r="K7782" s="270" t="str">
        <f t="shared" si="2"/>
        <v/>
      </c>
      <c r="L7782">
        <f t="shared" si="3"/>
        <v>0</v>
      </c>
    </row>
    <row r="7783">
      <c r="A7783" s="107"/>
      <c r="D7783" s="270"/>
      <c r="H7783" s="106" t="str">
        <f t="shared" si="1"/>
        <v/>
      </c>
      <c r="J7783" t="str">
        <f>IFERROR(__xludf.DUMMYFUNCTION("IFS(
  AND(REGEXMATCH(E7783, ""台銀籌備帳戶|玉山帳戶""), REGEXMATCH(C7783, ""薪資"")), ""分潤支出"",
  AND(REGEXMATCH(E7783, ""Ben帳戶|Elsa帳戶|Ben代墊|Ariel代墊|中信銀行共用""), REGEXMATCH(F7783, ""Ben帳戶|Elsa帳戶|Ben代墊|Ariel代墊|中信銀行共用"")), ""內部轉帳(忽略)"",
  AND(E7783&lt;&gt;"""", F7783&lt;&gt;"""", N"&amp;"OT(REGEXMATCH(C7783, ""薪資""))), ""內部轉帳(忽略)"",
  REGEXMATCH(C7783, ""薪資""), ""薪資變動(不計入)"",
  REGEXMATCH(C7783, ""押金""), ""押金往來"",
  AND(E7783&lt;&gt;"""", F7783=""""), ""真實支出"",
  AND(E7783="""", F7783&lt;&gt;""""), ""真實收入"",
  TRUE, ""其他""
)"),"其他")</f>
        <v>其他</v>
      </c>
      <c r="K7783" s="270" t="str">
        <f t="shared" si="2"/>
        <v/>
      </c>
      <c r="L7783">
        <f t="shared" si="3"/>
        <v>0</v>
      </c>
    </row>
    <row r="7784">
      <c r="A7784" s="107"/>
      <c r="D7784" s="270"/>
      <c r="H7784" s="106" t="str">
        <f t="shared" si="1"/>
        <v/>
      </c>
      <c r="J7784" t="str">
        <f>IFERROR(__xludf.DUMMYFUNCTION("IFS(
  AND(REGEXMATCH(E7784, ""台銀籌備帳戶|玉山帳戶""), REGEXMATCH(C7784, ""薪資"")), ""分潤支出"",
  AND(REGEXMATCH(E7784, ""Ben帳戶|Elsa帳戶|Ben代墊|Ariel代墊|中信銀行共用""), REGEXMATCH(F7784, ""Ben帳戶|Elsa帳戶|Ben代墊|Ariel代墊|中信銀行共用"")), ""內部轉帳(忽略)"",
  AND(E7784&lt;&gt;"""", F7784&lt;&gt;"""", N"&amp;"OT(REGEXMATCH(C7784, ""薪資""))), ""內部轉帳(忽略)"",
  REGEXMATCH(C7784, ""薪資""), ""薪資變動(不計入)"",
  REGEXMATCH(C7784, ""押金""), ""押金往來"",
  AND(E7784&lt;&gt;"""", F7784=""""), ""真實支出"",
  AND(E7784="""", F7784&lt;&gt;""""), ""真實收入"",
  TRUE, ""其他""
)"),"其他")</f>
        <v>其他</v>
      </c>
      <c r="K7784" s="270" t="str">
        <f t="shared" si="2"/>
        <v/>
      </c>
      <c r="L7784">
        <f t="shared" si="3"/>
        <v>0</v>
      </c>
    </row>
    <row r="7785">
      <c r="A7785" s="107"/>
      <c r="D7785" s="270"/>
      <c r="H7785" s="106" t="str">
        <f t="shared" si="1"/>
        <v/>
      </c>
      <c r="J7785" t="str">
        <f>IFERROR(__xludf.DUMMYFUNCTION("IFS(
  AND(REGEXMATCH(E7785, ""台銀籌備帳戶|玉山帳戶""), REGEXMATCH(C7785, ""薪資"")), ""分潤支出"",
  AND(REGEXMATCH(E7785, ""Ben帳戶|Elsa帳戶|Ben代墊|Ariel代墊|中信銀行共用""), REGEXMATCH(F7785, ""Ben帳戶|Elsa帳戶|Ben代墊|Ariel代墊|中信銀行共用"")), ""內部轉帳(忽略)"",
  AND(E7785&lt;&gt;"""", F7785&lt;&gt;"""", N"&amp;"OT(REGEXMATCH(C7785, ""薪資""))), ""內部轉帳(忽略)"",
  REGEXMATCH(C7785, ""薪資""), ""薪資變動(不計入)"",
  REGEXMATCH(C7785, ""押金""), ""押金往來"",
  AND(E7785&lt;&gt;"""", F7785=""""), ""真實支出"",
  AND(E7785="""", F7785&lt;&gt;""""), ""真實收入"",
  TRUE, ""其他""
)"),"其他")</f>
        <v>其他</v>
      </c>
      <c r="K7785" s="270" t="str">
        <f t="shared" si="2"/>
        <v/>
      </c>
      <c r="L7785">
        <f t="shared" si="3"/>
        <v>0</v>
      </c>
    </row>
    <row r="7786">
      <c r="A7786" s="107"/>
      <c r="D7786" s="270"/>
      <c r="H7786" s="106" t="str">
        <f t="shared" si="1"/>
        <v/>
      </c>
      <c r="J7786" t="str">
        <f>IFERROR(__xludf.DUMMYFUNCTION("IFS(
  AND(REGEXMATCH(E7786, ""台銀籌備帳戶|玉山帳戶""), REGEXMATCH(C7786, ""薪資"")), ""分潤支出"",
  AND(REGEXMATCH(E7786, ""Ben帳戶|Elsa帳戶|Ben代墊|Ariel代墊|中信銀行共用""), REGEXMATCH(F7786, ""Ben帳戶|Elsa帳戶|Ben代墊|Ariel代墊|中信銀行共用"")), ""內部轉帳(忽略)"",
  AND(E7786&lt;&gt;"""", F7786&lt;&gt;"""", N"&amp;"OT(REGEXMATCH(C7786, ""薪資""))), ""內部轉帳(忽略)"",
  REGEXMATCH(C7786, ""薪資""), ""薪資變動(不計入)"",
  REGEXMATCH(C7786, ""押金""), ""押金往來"",
  AND(E7786&lt;&gt;"""", F7786=""""), ""真實支出"",
  AND(E7786="""", F7786&lt;&gt;""""), ""真實收入"",
  TRUE, ""其他""
)"),"其他")</f>
        <v>其他</v>
      </c>
      <c r="K7786" s="270" t="str">
        <f t="shared" si="2"/>
        <v/>
      </c>
      <c r="L7786">
        <f t="shared" si="3"/>
        <v>0</v>
      </c>
    </row>
    <row r="7787">
      <c r="A7787" s="107"/>
      <c r="D7787" s="270"/>
      <c r="H7787" s="106" t="str">
        <f t="shared" si="1"/>
        <v/>
      </c>
      <c r="J7787" t="str">
        <f>IFERROR(__xludf.DUMMYFUNCTION("IFS(
  AND(REGEXMATCH(E7787, ""台銀籌備帳戶|玉山帳戶""), REGEXMATCH(C7787, ""薪資"")), ""分潤支出"",
  AND(REGEXMATCH(E7787, ""Ben帳戶|Elsa帳戶|Ben代墊|Ariel代墊|中信銀行共用""), REGEXMATCH(F7787, ""Ben帳戶|Elsa帳戶|Ben代墊|Ariel代墊|中信銀行共用"")), ""內部轉帳(忽略)"",
  AND(E7787&lt;&gt;"""", F7787&lt;&gt;"""", N"&amp;"OT(REGEXMATCH(C7787, ""薪資""))), ""內部轉帳(忽略)"",
  REGEXMATCH(C7787, ""薪資""), ""薪資變動(不計入)"",
  REGEXMATCH(C7787, ""押金""), ""押金往來"",
  AND(E7787&lt;&gt;"""", F7787=""""), ""真實支出"",
  AND(E7787="""", F7787&lt;&gt;""""), ""真實收入"",
  TRUE, ""其他""
)"),"其他")</f>
        <v>其他</v>
      </c>
      <c r="K7787" s="270" t="str">
        <f t="shared" si="2"/>
        <v/>
      </c>
      <c r="L7787">
        <f t="shared" si="3"/>
        <v>0</v>
      </c>
    </row>
    <row r="7788">
      <c r="A7788" s="107"/>
      <c r="D7788" s="270"/>
      <c r="H7788" s="106" t="str">
        <f t="shared" si="1"/>
        <v/>
      </c>
      <c r="J7788" t="str">
        <f>IFERROR(__xludf.DUMMYFUNCTION("IFS(
  AND(REGEXMATCH(E7788, ""台銀籌備帳戶|玉山帳戶""), REGEXMATCH(C7788, ""薪資"")), ""分潤支出"",
  AND(REGEXMATCH(E7788, ""Ben帳戶|Elsa帳戶|Ben代墊|Ariel代墊|中信銀行共用""), REGEXMATCH(F7788, ""Ben帳戶|Elsa帳戶|Ben代墊|Ariel代墊|中信銀行共用"")), ""內部轉帳(忽略)"",
  AND(E7788&lt;&gt;"""", F7788&lt;&gt;"""", N"&amp;"OT(REGEXMATCH(C7788, ""薪資""))), ""內部轉帳(忽略)"",
  REGEXMATCH(C7788, ""薪資""), ""薪資變動(不計入)"",
  REGEXMATCH(C7788, ""押金""), ""押金往來"",
  AND(E7788&lt;&gt;"""", F7788=""""), ""真實支出"",
  AND(E7788="""", F7788&lt;&gt;""""), ""真實收入"",
  TRUE, ""其他""
)"),"其他")</f>
        <v>其他</v>
      </c>
      <c r="K7788" s="270" t="str">
        <f t="shared" si="2"/>
        <v/>
      </c>
      <c r="L7788">
        <f t="shared" si="3"/>
        <v>0</v>
      </c>
    </row>
    <row r="7789">
      <c r="A7789" s="107"/>
      <c r="D7789" s="270"/>
      <c r="H7789" s="106" t="str">
        <f t="shared" si="1"/>
        <v/>
      </c>
      <c r="J7789" t="str">
        <f>IFERROR(__xludf.DUMMYFUNCTION("IFS(
  AND(REGEXMATCH(E7789, ""台銀籌備帳戶|玉山帳戶""), REGEXMATCH(C7789, ""薪資"")), ""分潤支出"",
  AND(REGEXMATCH(E7789, ""Ben帳戶|Elsa帳戶|Ben代墊|Ariel代墊|中信銀行共用""), REGEXMATCH(F7789, ""Ben帳戶|Elsa帳戶|Ben代墊|Ariel代墊|中信銀行共用"")), ""內部轉帳(忽略)"",
  AND(E7789&lt;&gt;"""", F7789&lt;&gt;"""", N"&amp;"OT(REGEXMATCH(C7789, ""薪資""))), ""內部轉帳(忽略)"",
  REGEXMATCH(C7789, ""薪資""), ""薪資變動(不計入)"",
  REGEXMATCH(C7789, ""押金""), ""押金往來"",
  AND(E7789&lt;&gt;"""", F7789=""""), ""真實支出"",
  AND(E7789="""", F7789&lt;&gt;""""), ""真實收入"",
  TRUE, ""其他""
)"),"其他")</f>
        <v>其他</v>
      </c>
      <c r="K7789" s="270" t="str">
        <f t="shared" si="2"/>
        <v/>
      </c>
      <c r="L7789">
        <f t="shared" si="3"/>
        <v>0</v>
      </c>
    </row>
    <row r="7790">
      <c r="A7790" s="107"/>
      <c r="D7790" s="270"/>
      <c r="H7790" s="106" t="str">
        <f t="shared" si="1"/>
        <v/>
      </c>
      <c r="J7790" t="str">
        <f>IFERROR(__xludf.DUMMYFUNCTION("IFS(
  AND(REGEXMATCH(E7790, ""台銀籌備帳戶|玉山帳戶""), REGEXMATCH(C7790, ""薪資"")), ""分潤支出"",
  AND(REGEXMATCH(E7790, ""Ben帳戶|Elsa帳戶|Ben代墊|Ariel代墊|中信銀行共用""), REGEXMATCH(F7790, ""Ben帳戶|Elsa帳戶|Ben代墊|Ariel代墊|中信銀行共用"")), ""內部轉帳(忽略)"",
  AND(E7790&lt;&gt;"""", F7790&lt;&gt;"""", N"&amp;"OT(REGEXMATCH(C7790, ""薪資""))), ""內部轉帳(忽略)"",
  REGEXMATCH(C7790, ""薪資""), ""薪資變動(不計入)"",
  REGEXMATCH(C7790, ""押金""), ""押金往來"",
  AND(E7790&lt;&gt;"""", F7790=""""), ""真實支出"",
  AND(E7790="""", F7790&lt;&gt;""""), ""真實收入"",
  TRUE, ""其他""
)"),"其他")</f>
        <v>其他</v>
      </c>
      <c r="K7790" s="270" t="str">
        <f t="shared" si="2"/>
        <v/>
      </c>
      <c r="L7790">
        <f t="shared" si="3"/>
        <v>0</v>
      </c>
    </row>
    <row r="7791">
      <c r="A7791" s="107"/>
      <c r="D7791" s="270"/>
      <c r="H7791" s="106" t="str">
        <f t="shared" si="1"/>
        <v/>
      </c>
      <c r="J7791" t="str">
        <f>IFERROR(__xludf.DUMMYFUNCTION("IFS(
  AND(REGEXMATCH(E7791, ""台銀籌備帳戶|玉山帳戶""), REGEXMATCH(C7791, ""薪資"")), ""分潤支出"",
  AND(REGEXMATCH(E7791, ""Ben帳戶|Elsa帳戶|Ben代墊|Ariel代墊|中信銀行共用""), REGEXMATCH(F7791, ""Ben帳戶|Elsa帳戶|Ben代墊|Ariel代墊|中信銀行共用"")), ""內部轉帳(忽略)"",
  AND(E7791&lt;&gt;"""", F7791&lt;&gt;"""", N"&amp;"OT(REGEXMATCH(C7791, ""薪資""))), ""內部轉帳(忽略)"",
  REGEXMATCH(C7791, ""薪資""), ""薪資變動(不計入)"",
  REGEXMATCH(C7791, ""押金""), ""押金往來"",
  AND(E7791&lt;&gt;"""", F7791=""""), ""真實支出"",
  AND(E7791="""", F7791&lt;&gt;""""), ""真實收入"",
  TRUE, ""其他""
)"),"其他")</f>
        <v>其他</v>
      </c>
      <c r="K7791" s="270" t="str">
        <f t="shared" si="2"/>
        <v/>
      </c>
      <c r="L7791">
        <f t="shared" si="3"/>
        <v>0</v>
      </c>
    </row>
    <row r="7792">
      <c r="A7792" s="107"/>
      <c r="D7792" s="270"/>
      <c r="H7792" s="106" t="str">
        <f t="shared" si="1"/>
        <v/>
      </c>
      <c r="J7792" t="str">
        <f>IFERROR(__xludf.DUMMYFUNCTION("IFS(
  AND(REGEXMATCH(E7792, ""台銀籌備帳戶|玉山帳戶""), REGEXMATCH(C7792, ""薪資"")), ""分潤支出"",
  AND(REGEXMATCH(E7792, ""Ben帳戶|Elsa帳戶|Ben代墊|Ariel代墊|中信銀行共用""), REGEXMATCH(F7792, ""Ben帳戶|Elsa帳戶|Ben代墊|Ariel代墊|中信銀行共用"")), ""內部轉帳(忽略)"",
  AND(E7792&lt;&gt;"""", F7792&lt;&gt;"""", N"&amp;"OT(REGEXMATCH(C7792, ""薪資""))), ""內部轉帳(忽略)"",
  REGEXMATCH(C7792, ""薪資""), ""薪資變動(不計入)"",
  REGEXMATCH(C7792, ""押金""), ""押金往來"",
  AND(E7792&lt;&gt;"""", F7792=""""), ""真實支出"",
  AND(E7792="""", F7792&lt;&gt;""""), ""真實收入"",
  TRUE, ""其他""
)"),"其他")</f>
        <v>其他</v>
      </c>
      <c r="K7792" s="270" t="str">
        <f t="shared" si="2"/>
        <v/>
      </c>
      <c r="L7792">
        <f t="shared" si="3"/>
        <v>0</v>
      </c>
    </row>
    <row r="7793">
      <c r="A7793" s="107"/>
      <c r="D7793" s="270"/>
      <c r="H7793" s="106" t="str">
        <f t="shared" si="1"/>
        <v/>
      </c>
      <c r="J7793" t="str">
        <f>IFERROR(__xludf.DUMMYFUNCTION("IFS(
  AND(REGEXMATCH(E7793, ""台銀籌備帳戶|玉山帳戶""), REGEXMATCH(C7793, ""薪資"")), ""分潤支出"",
  AND(REGEXMATCH(E7793, ""Ben帳戶|Elsa帳戶|Ben代墊|Ariel代墊|中信銀行共用""), REGEXMATCH(F7793, ""Ben帳戶|Elsa帳戶|Ben代墊|Ariel代墊|中信銀行共用"")), ""內部轉帳(忽略)"",
  AND(E7793&lt;&gt;"""", F7793&lt;&gt;"""", N"&amp;"OT(REGEXMATCH(C7793, ""薪資""))), ""內部轉帳(忽略)"",
  REGEXMATCH(C7793, ""薪資""), ""薪資變動(不計入)"",
  REGEXMATCH(C7793, ""押金""), ""押金往來"",
  AND(E7793&lt;&gt;"""", F7793=""""), ""真實支出"",
  AND(E7793="""", F7793&lt;&gt;""""), ""真實收入"",
  TRUE, ""其他""
)"),"其他")</f>
        <v>其他</v>
      </c>
      <c r="K7793" s="270" t="str">
        <f t="shared" si="2"/>
        <v/>
      </c>
      <c r="L7793">
        <f t="shared" si="3"/>
        <v>0</v>
      </c>
    </row>
    <row r="7794">
      <c r="A7794" s="107"/>
      <c r="D7794" s="270"/>
      <c r="H7794" s="106" t="str">
        <f t="shared" si="1"/>
        <v/>
      </c>
      <c r="J7794" t="str">
        <f>IFERROR(__xludf.DUMMYFUNCTION("IFS(
  AND(REGEXMATCH(E7794, ""台銀籌備帳戶|玉山帳戶""), REGEXMATCH(C7794, ""薪資"")), ""分潤支出"",
  AND(REGEXMATCH(E7794, ""Ben帳戶|Elsa帳戶|Ben代墊|Ariel代墊|中信銀行共用""), REGEXMATCH(F7794, ""Ben帳戶|Elsa帳戶|Ben代墊|Ariel代墊|中信銀行共用"")), ""內部轉帳(忽略)"",
  AND(E7794&lt;&gt;"""", F7794&lt;&gt;"""", N"&amp;"OT(REGEXMATCH(C7794, ""薪資""))), ""內部轉帳(忽略)"",
  REGEXMATCH(C7794, ""薪資""), ""薪資變動(不計入)"",
  REGEXMATCH(C7794, ""押金""), ""押金往來"",
  AND(E7794&lt;&gt;"""", F7794=""""), ""真實支出"",
  AND(E7794="""", F7794&lt;&gt;""""), ""真實收入"",
  TRUE, ""其他""
)"),"其他")</f>
        <v>其他</v>
      </c>
      <c r="K7794" s="270" t="str">
        <f t="shared" si="2"/>
        <v/>
      </c>
      <c r="L7794">
        <f t="shared" si="3"/>
        <v>0</v>
      </c>
    </row>
    <row r="7795">
      <c r="A7795" s="107"/>
      <c r="D7795" s="270"/>
      <c r="H7795" s="106" t="str">
        <f t="shared" si="1"/>
        <v/>
      </c>
      <c r="J7795" t="str">
        <f>IFERROR(__xludf.DUMMYFUNCTION("IFS(
  AND(REGEXMATCH(E7795, ""台銀籌備帳戶|玉山帳戶""), REGEXMATCH(C7795, ""薪資"")), ""分潤支出"",
  AND(REGEXMATCH(E7795, ""Ben帳戶|Elsa帳戶|Ben代墊|Ariel代墊|中信銀行共用""), REGEXMATCH(F7795, ""Ben帳戶|Elsa帳戶|Ben代墊|Ariel代墊|中信銀行共用"")), ""內部轉帳(忽略)"",
  AND(E7795&lt;&gt;"""", F7795&lt;&gt;"""", N"&amp;"OT(REGEXMATCH(C7795, ""薪資""))), ""內部轉帳(忽略)"",
  REGEXMATCH(C7795, ""薪資""), ""薪資變動(不計入)"",
  REGEXMATCH(C7795, ""押金""), ""押金往來"",
  AND(E7795&lt;&gt;"""", F7795=""""), ""真實支出"",
  AND(E7795="""", F7795&lt;&gt;""""), ""真實收入"",
  TRUE, ""其他""
)"),"其他")</f>
        <v>其他</v>
      </c>
      <c r="K7795" s="270" t="str">
        <f t="shared" si="2"/>
        <v/>
      </c>
      <c r="L7795">
        <f t="shared" si="3"/>
        <v>0</v>
      </c>
    </row>
    <row r="7796">
      <c r="A7796" s="107"/>
      <c r="D7796" s="270"/>
      <c r="H7796" s="106" t="str">
        <f t="shared" si="1"/>
        <v/>
      </c>
      <c r="J7796" t="str">
        <f>IFERROR(__xludf.DUMMYFUNCTION("IFS(
  AND(REGEXMATCH(E7796, ""台銀籌備帳戶|玉山帳戶""), REGEXMATCH(C7796, ""薪資"")), ""分潤支出"",
  AND(REGEXMATCH(E7796, ""Ben帳戶|Elsa帳戶|Ben代墊|Ariel代墊|中信銀行共用""), REGEXMATCH(F7796, ""Ben帳戶|Elsa帳戶|Ben代墊|Ariel代墊|中信銀行共用"")), ""內部轉帳(忽略)"",
  AND(E7796&lt;&gt;"""", F7796&lt;&gt;"""", N"&amp;"OT(REGEXMATCH(C7796, ""薪資""))), ""內部轉帳(忽略)"",
  REGEXMATCH(C7796, ""薪資""), ""薪資變動(不計入)"",
  REGEXMATCH(C7796, ""押金""), ""押金往來"",
  AND(E7796&lt;&gt;"""", F7796=""""), ""真實支出"",
  AND(E7796="""", F7796&lt;&gt;""""), ""真實收入"",
  TRUE, ""其他""
)"),"其他")</f>
        <v>其他</v>
      </c>
      <c r="K7796" s="270" t="str">
        <f t="shared" si="2"/>
        <v/>
      </c>
      <c r="L7796">
        <f t="shared" si="3"/>
        <v>0</v>
      </c>
    </row>
    <row r="7797">
      <c r="A7797" s="107"/>
      <c r="D7797" s="270"/>
      <c r="H7797" s="106" t="str">
        <f t="shared" si="1"/>
        <v/>
      </c>
      <c r="J7797" t="str">
        <f>IFERROR(__xludf.DUMMYFUNCTION("IFS(
  AND(REGEXMATCH(E7797, ""台銀籌備帳戶|玉山帳戶""), REGEXMATCH(C7797, ""薪資"")), ""分潤支出"",
  AND(REGEXMATCH(E7797, ""Ben帳戶|Elsa帳戶|Ben代墊|Ariel代墊|中信銀行共用""), REGEXMATCH(F7797, ""Ben帳戶|Elsa帳戶|Ben代墊|Ariel代墊|中信銀行共用"")), ""內部轉帳(忽略)"",
  AND(E7797&lt;&gt;"""", F7797&lt;&gt;"""", N"&amp;"OT(REGEXMATCH(C7797, ""薪資""))), ""內部轉帳(忽略)"",
  REGEXMATCH(C7797, ""薪資""), ""薪資變動(不計入)"",
  REGEXMATCH(C7797, ""押金""), ""押金往來"",
  AND(E7797&lt;&gt;"""", F7797=""""), ""真實支出"",
  AND(E7797="""", F7797&lt;&gt;""""), ""真實收入"",
  TRUE, ""其他""
)"),"其他")</f>
        <v>其他</v>
      </c>
      <c r="K7797" s="270" t="str">
        <f t="shared" si="2"/>
        <v/>
      </c>
      <c r="L7797">
        <f t="shared" si="3"/>
        <v>0</v>
      </c>
    </row>
    <row r="7798">
      <c r="A7798" s="107"/>
      <c r="D7798" s="270"/>
      <c r="H7798" s="106" t="str">
        <f t="shared" si="1"/>
        <v/>
      </c>
      <c r="J7798" t="str">
        <f>IFERROR(__xludf.DUMMYFUNCTION("IFS(
  AND(REGEXMATCH(E7798, ""台銀籌備帳戶|玉山帳戶""), REGEXMATCH(C7798, ""薪資"")), ""分潤支出"",
  AND(REGEXMATCH(E7798, ""Ben帳戶|Elsa帳戶|Ben代墊|Ariel代墊|中信銀行共用""), REGEXMATCH(F7798, ""Ben帳戶|Elsa帳戶|Ben代墊|Ariel代墊|中信銀行共用"")), ""內部轉帳(忽略)"",
  AND(E7798&lt;&gt;"""", F7798&lt;&gt;"""", N"&amp;"OT(REGEXMATCH(C7798, ""薪資""))), ""內部轉帳(忽略)"",
  REGEXMATCH(C7798, ""薪資""), ""薪資變動(不計入)"",
  REGEXMATCH(C7798, ""押金""), ""押金往來"",
  AND(E7798&lt;&gt;"""", F7798=""""), ""真實支出"",
  AND(E7798="""", F7798&lt;&gt;""""), ""真實收入"",
  TRUE, ""其他""
)"),"其他")</f>
        <v>其他</v>
      </c>
      <c r="K7798" s="270" t="str">
        <f t="shared" si="2"/>
        <v/>
      </c>
      <c r="L7798">
        <f t="shared" si="3"/>
        <v>0</v>
      </c>
    </row>
    <row r="7799">
      <c r="A7799" s="107"/>
      <c r="D7799" s="270"/>
      <c r="H7799" s="106" t="str">
        <f t="shared" si="1"/>
        <v/>
      </c>
      <c r="J7799" t="str">
        <f>IFERROR(__xludf.DUMMYFUNCTION("IFS(
  AND(REGEXMATCH(E7799, ""台銀籌備帳戶|玉山帳戶""), REGEXMATCH(C7799, ""薪資"")), ""分潤支出"",
  AND(REGEXMATCH(E7799, ""Ben帳戶|Elsa帳戶|Ben代墊|Ariel代墊|中信銀行共用""), REGEXMATCH(F7799, ""Ben帳戶|Elsa帳戶|Ben代墊|Ariel代墊|中信銀行共用"")), ""內部轉帳(忽略)"",
  AND(E7799&lt;&gt;"""", F7799&lt;&gt;"""", N"&amp;"OT(REGEXMATCH(C7799, ""薪資""))), ""內部轉帳(忽略)"",
  REGEXMATCH(C7799, ""薪資""), ""薪資變動(不計入)"",
  REGEXMATCH(C7799, ""押金""), ""押金往來"",
  AND(E7799&lt;&gt;"""", F7799=""""), ""真實支出"",
  AND(E7799="""", F7799&lt;&gt;""""), ""真實收入"",
  TRUE, ""其他""
)"),"其他")</f>
        <v>其他</v>
      </c>
      <c r="K7799" s="270" t="str">
        <f t="shared" si="2"/>
        <v/>
      </c>
      <c r="L7799">
        <f t="shared" si="3"/>
        <v>0</v>
      </c>
    </row>
    <row r="7800">
      <c r="A7800" s="107"/>
      <c r="D7800" s="270"/>
      <c r="H7800" s="106" t="str">
        <f t="shared" si="1"/>
        <v/>
      </c>
      <c r="J7800" t="str">
        <f>IFERROR(__xludf.DUMMYFUNCTION("IFS(
  AND(REGEXMATCH(E7800, ""台銀籌備帳戶|玉山帳戶""), REGEXMATCH(C7800, ""薪資"")), ""分潤支出"",
  AND(REGEXMATCH(E7800, ""Ben帳戶|Elsa帳戶|Ben代墊|Ariel代墊|中信銀行共用""), REGEXMATCH(F7800, ""Ben帳戶|Elsa帳戶|Ben代墊|Ariel代墊|中信銀行共用"")), ""內部轉帳(忽略)"",
  AND(E7800&lt;&gt;"""", F7800&lt;&gt;"""", N"&amp;"OT(REGEXMATCH(C7800, ""薪資""))), ""內部轉帳(忽略)"",
  REGEXMATCH(C7800, ""薪資""), ""薪資變動(不計入)"",
  REGEXMATCH(C7800, ""押金""), ""押金往來"",
  AND(E7800&lt;&gt;"""", F7800=""""), ""真實支出"",
  AND(E7800="""", F7800&lt;&gt;""""), ""真實收入"",
  TRUE, ""其他""
)"),"其他")</f>
        <v>其他</v>
      </c>
      <c r="K7800" s="270" t="str">
        <f t="shared" si="2"/>
        <v/>
      </c>
      <c r="L7800">
        <f t="shared" si="3"/>
        <v>0</v>
      </c>
    </row>
    <row r="7801">
      <c r="A7801" s="107"/>
      <c r="D7801" s="270"/>
      <c r="H7801" s="106" t="str">
        <f t="shared" si="1"/>
        <v/>
      </c>
      <c r="J7801" t="str">
        <f>IFERROR(__xludf.DUMMYFUNCTION("IFS(
  AND(REGEXMATCH(E7801, ""台銀籌備帳戶|玉山帳戶""), REGEXMATCH(C7801, ""薪資"")), ""分潤支出"",
  AND(REGEXMATCH(E7801, ""Ben帳戶|Elsa帳戶|Ben代墊|Ariel代墊|中信銀行共用""), REGEXMATCH(F7801, ""Ben帳戶|Elsa帳戶|Ben代墊|Ariel代墊|中信銀行共用"")), ""內部轉帳(忽略)"",
  AND(E7801&lt;&gt;"""", F7801&lt;&gt;"""", N"&amp;"OT(REGEXMATCH(C7801, ""薪資""))), ""內部轉帳(忽略)"",
  REGEXMATCH(C7801, ""薪資""), ""薪資變動(不計入)"",
  REGEXMATCH(C7801, ""押金""), ""押金往來"",
  AND(E7801&lt;&gt;"""", F7801=""""), ""真實支出"",
  AND(E7801="""", F7801&lt;&gt;""""), ""真實收入"",
  TRUE, ""其他""
)"),"其他")</f>
        <v>其他</v>
      </c>
      <c r="K7801" s="270" t="str">
        <f t="shared" si="2"/>
        <v/>
      </c>
      <c r="L7801">
        <f t="shared" si="3"/>
        <v>0</v>
      </c>
    </row>
    <row r="7802">
      <c r="A7802" s="107"/>
      <c r="D7802" s="270"/>
      <c r="H7802" s="106" t="str">
        <f t="shared" si="1"/>
        <v/>
      </c>
      <c r="J7802" t="str">
        <f>IFERROR(__xludf.DUMMYFUNCTION("IFS(
  AND(REGEXMATCH(E7802, ""台銀籌備帳戶|玉山帳戶""), REGEXMATCH(C7802, ""薪資"")), ""分潤支出"",
  AND(REGEXMATCH(E7802, ""Ben帳戶|Elsa帳戶|Ben代墊|Ariel代墊|中信銀行共用""), REGEXMATCH(F7802, ""Ben帳戶|Elsa帳戶|Ben代墊|Ariel代墊|中信銀行共用"")), ""內部轉帳(忽略)"",
  AND(E7802&lt;&gt;"""", F7802&lt;&gt;"""", N"&amp;"OT(REGEXMATCH(C7802, ""薪資""))), ""內部轉帳(忽略)"",
  REGEXMATCH(C7802, ""薪資""), ""薪資變動(不計入)"",
  REGEXMATCH(C7802, ""押金""), ""押金往來"",
  AND(E7802&lt;&gt;"""", F7802=""""), ""真實支出"",
  AND(E7802="""", F7802&lt;&gt;""""), ""真實收入"",
  TRUE, ""其他""
)"),"其他")</f>
        <v>其他</v>
      </c>
      <c r="K7802" s="270" t="str">
        <f t="shared" si="2"/>
        <v/>
      </c>
      <c r="L7802">
        <f t="shared" si="3"/>
        <v>0</v>
      </c>
    </row>
    <row r="7803">
      <c r="A7803" s="107"/>
      <c r="D7803" s="270"/>
      <c r="H7803" s="106" t="str">
        <f t="shared" si="1"/>
        <v/>
      </c>
      <c r="J7803" t="str">
        <f>IFERROR(__xludf.DUMMYFUNCTION("IFS(
  AND(REGEXMATCH(E7803, ""台銀籌備帳戶|玉山帳戶""), REGEXMATCH(C7803, ""薪資"")), ""分潤支出"",
  AND(REGEXMATCH(E7803, ""Ben帳戶|Elsa帳戶|Ben代墊|Ariel代墊|中信銀行共用""), REGEXMATCH(F7803, ""Ben帳戶|Elsa帳戶|Ben代墊|Ariel代墊|中信銀行共用"")), ""內部轉帳(忽略)"",
  AND(E7803&lt;&gt;"""", F7803&lt;&gt;"""", N"&amp;"OT(REGEXMATCH(C7803, ""薪資""))), ""內部轉帳(忽略)"",
  REGEXMATCH(C7803, ""薪資""), ""薪資變動(不計入)"",
  REGEXMATCH(C7803, ""押金""), ""押金往來"",
  AND(E7803&lt;&gt;"""", F7803=""""), ""真實支出"",
  AND(E7803="""", F7803&lt;&gt;""""), ""真實收入"",
  TRUE, ""其他""
)"),"其他")</f>
        <v>其他</v>
      </c>
      <c r="K7803" s="270" t="str">
        <f t="shared" si="2"/>
        <v/>
      </c>
      <c r="L7803">
        <f t="shared" si="3"/>
        <v>0</v>
      </c>
    </row>
    <row r="7804">
      <c r="A7804" s="107"/>
      <c r="D7804" s="270"/>
      <c r="H7804" s="106" t="str">
        <f t="shared" si="1"/>
        <v/>
      </c>
      <c r="J7804" t="str">
        <f>IFERROR(__xludf.DUMMYFUNCTION("IFS(
  AND(REGEXMATCH(E7804, ""台銀籌備帳戶|玉山帳戶""), REGEXMATCH(C7804, ""薪資"")), ""分潤支出"",
  AND(REGEXMATCH(E7804, ""Ben帳戶|Elsa帳戶|Ben代墊|Ariel代墊|中信銀行共用""), REGEXMATCH(F7804, ""Ben帳戶|Elsa帳戶|Ben代墊|Ariel代墊|中信銀行共用"")), ""內部轉帳(忽略)"",
  AND(E7804&lt;&gt;"""", F7804&lt;&gt;"""", N"&amp;"OT(REGEXMATCH(C7804, ""薪資""))), ""內部轉帳(忽略)"",
  REGEXMATCH(C7804, ""薪資""), ""薪資變動(不計入)"",
  REGEXMATCH(C7804, ""押金""), ""押金往來"",
  AND(E7804&lt;&gt;"""", F7804=""""), ""真實支出"",
  AND(E7804="""", F7804&lt;&gt;""""), ""真實收入"",
  TRUE, ""其他""
)"),"其他")</f>
        <v>其他</v>
      </c>
      <c r="K7804" s="270" t="str">
        <f t="shared" si="2"/>
        <v/>
      </c>
      <c r="L7804">
        <f t="shared" si="3"/>
        <v>0</v>
      </c>
    </row>
    <row r="7805">
      <c r="A7805" s="107"/>
      <c r="D7805" s="270"/>
      <c r="H7805" s="106" t="str">
        <f t="shared" si="1"/>
        <v/>
      </c>
      <c r="J7805" t="str">
        <f>IFERROR(__xludf.DUMMYFUNCTION("IFS(
  AND(REGEXMATCH(E7805, ""台銀籌備帳戶|玉山帳戶""), REGEXMATCH(C7805, ""薪資"")), ""分潤支出"",
  AND(REGEXMATCH(E7805, ""Ben帳戶|Elsa帳戶|Ben代墊|Ariel代墊|中信銀行共用""), REGEXMATCH(F7805, ""Ben帳戶|Elsa帳戶|Ben代墊|Ariel代墊|中信銀行共用"")), ""內部轉帳(忽略)"",
  AND(E7805&lt;&gt;"""", F7805&lt;&gt;"""", N"&amp;"OT(REGEXMATCH(C7805, ""薪資""))), ""內部轉帳(忽略)"",
  REGEXMATCH(C7805, ""薪資""), ""薪資變動(不計入)"",
  REGEXMATCH(C7805, ""押金""), ""押金往來"",
  AND(E7805&lt;&gt;"""", F7805=""""), ""真實支出"",
  AND(E7805="""", F7805&lt;&gt;""""), ""真實收入"",
  TRUE, ""其他""
)"),"其他")</f>
        <v>其他</v>
      </c>
      <c r="K7805" s="270" t="str">
        <f t="shared" si="2"/>
        <v/>
      </c>
      <c r="L7805">
        <f t="shared" si="3"/>
        <v>0</v>
      </c>
    </row>
    <row r="7806">
      <c r="A7806" s="107"/>
      <c r="D7806" s="270"/>
      <c r="H7806" s="106" t="str">
        <f t="shared" si="1"/>
        <v/>
      </c>
      <c r="J7806" t="str">
        <f>IFERROR(__xludf.DUMMYFUNCTION("IFS(
  AND(REGEXMATCH(E7806, ""台銀籌備帳戶|玉山帳戶""), REGEXMATCH(C7806, ""薪資"")), ""分潤支出"",
  AND(REGEXMATCH(E7806, ""Ben帳戶|Elsa帳戶|Ben代墊|Ariel代墊|中信銀行共用""), REGEXMATCH(F7806, ""Ben帳戶|Elsa帳戶|Ben代墊|Ariel代墊|中信銀行共用"")), ""內部轉帳(忽略)"",
  AND(E7806&lt;&gt;"""", F7806&lt;&gt;"""", N"&amp;"OT(REGEXMATCH(C7806, ""薪資""))), ""內部轉帳(忽略)"",
  REGEXMATCH(C7806, ""薪資""), ""薪資變動(不計入)"",
  REGEXMATCH(C7806, ""押金""), ""押金往來"",
  AND(E7806&lt;&gt;"""", F7806=""""), ""真實支出"",
  AND(E7806="""", F7806&lt;&gt;""""), ""真實收入"",
  TRUE, ""其他""
)"),"其他")</f>
        <v>其他</v>
      </c>
      <c r="K7806" s="270" t="str">
        <f t="shared" si="2"/>
        <v/>
      </c>
      <c r="L7806">
        <f t="shared" si="3"/>
        <v>0</v>
      </c>
    </row>
    <row r="7807">
      <c r="A7807" s="107"/>
      <c r="D7807" s="270"/>
      <c r="H7807" s="106" t="str">
        <f t="shared" si="1"/>
        <v/>
      </c>
      <c r="J7807" t="str">
        <f>IFERROR(__xludf.DUMMYFUNCTION("IFS(
  AND(REGEXMATCH(E7807, ""台銀籌備帳戶|玉山帳戶""), REGEXMATCH(C7807, ""薪資"")), ""分潤支出"",
  AND(REGEXMATCH(E7807, ""Ben帳戶|Elsa帳戶|Ben代墊|Ariel代墊|中信銀行共用""), REGEXMATCH(F7807, ""Ben帳戶|Elsa帳戶|Ben代墊|Ariel代墊|中信銀行共用"")), ""內部轉帳(忽略)"",
  AND(E7807&lt;&gt;"""", F7807&lt;&gt;"""", N"&amp;"OT(REGEXMATCH(C7807, ""薪資""))), ""內部轉帳(忽略)"",
  REGEXMATCH(C7807, ""薪資""), ""薪資變動(不計入)"",
  REGEXMATCH(C7807, ""押金""), ""押金往來"",
  AND(E7807&lt;&gt;"""", F7807=""""), ""真實支出"",
  AND(E7807="""", F7807&lt;&gt;""""), ""真實收入"",
  TRUE, ""其他""
)"),"其他")</f>
        <v>其他</v>
      </c>
      <c r="K7807" s="270" t="str">
        <f t="shared" si="2"/>
        <v/>
      </c>
      <c r="L7807">
        <f t="shared" si="3"/>
        <v>0</v>
      </c>
    </row>
    <row r="7808">
      <c r="A7808" s="107"/>
      <c r="D7808" s="270"/>
      <c r="H7808" s="106" t="str">
        <f t="shared" si="1"/>
        <v/>
      </c>
      <c r="J7808" t="str">
        <f>IFERROR(__xludf.DUMMYFUNCTION("IFS(
  AND(REGEXMATCH(E7808, ""台銀籌備帳戶|玉山帳戶""), REGEXMATCH(C7808, ""薪資"")), ""分潤支出"",
  AND(REGEXMATCH(E7808, ""Ben帳戶|Elsa帳戶|Ben代墊|Ariel代墊|中信銀行共用""), REGEXMATCH(F7808, ""Ben帳戶|Elsa帳戶|Ben代墊|Ariel代墊|中信銀行共用"")), ""內部轉帳(忽略)"",
  AND(E7808&lt;&gt;"""", F7808&lt;&gt;"""", N"&amp;"OT(REGEXMATCH(C7808, ""薪資""))), ""內部轉帳(忽略)"",
  REGEXMATCH(C7808, ""薪資""), ""薪資變動(不計入)"",
  REGEXMATCH(C7808, ""押金""), ""押金往來"",
  AND(E7808&lt;&gt;"""", F7808=""""), ""真實支出"",
  AND(E7808="""", F7808&lt;&gt;""""), ""真實收入"",
  TRUE, ""其他""
)"),"其他")</f>
        <v>其他</v>
      </c>
      <c r="K7808" s="270" t="str">
        <f t="shared" si="2"/>
        <v/>
      </c>
      <c r="L7808">
        <f t="shared" si="3"/>
        <v>0</v>
      </c>
    </row>
    <row r="7809">
      <c r="A7809" s="107"/>
      <c r="D7809" s="270"/>
      <c r="H7809" s="106" t="str">
        <f t="shared" si="1"/>
        <v/>
      </c>
      <c r="J7809" t="str">
        <f>IFERROR(__xludf.DUMMYFUNCTION("IFS(
  AND(REGEXMATCH(E7809, ""台銀籌備帳戶|玉山帳戶""), REGEXMATCH(C7809, ""薪資"")), ""分潤支出"",
  AND(REGEXMATCH(E7809, ""Ben帳戶|Elsa帳戶|Ben代墊|Ariel代墊|中信銀行共用""), REGEXMATCH(F7809, ""Ben帳戶|Elsa帳戶|Ben代墊|Ariel代墊|中信銀行共用"")), ""內部轉帳(忽略)"",
  AND(E7809&lt;&gt;"""", F7809&lt;&gt;"""", N"&amp;"OT(REGEXMATCH(C7809, ""薪資""))), ""內部轉帳(忽略)"",
  REGEXMATCH(C7809, ""薪資""), ""薪資變動(不計入)"",
  REGEXMATCH(C7809, ""押金""), ""押金往來"",
  AND(E7809&lt;&gt;"""", F7809=""""), ""真實支出"",
  AND(E7809="""", F7809&lt;&gt;""""), ""真實收入"",
  TRUE, ""其他""
)"),"其他")</f>
        <v>其他</v>
      </c>
      <c r="K7809" s="270" t="str">
        <f t="shared" si="2"/>
        <v/>
      </c>
      <c r="L7809">
        <f t="shared" si="3"/>
        <v>0</v>
      </c>
    </row>
    <row r="7810">
      <c r="A7810" s="107"/>
      <c r="D7810" s="270"/>
      <c r="H7810" s="106" t="str">
        <f t="shared" si="1"/>
        <v/>
      </c>
      <c r="J7810" t="str">
        <f>IFERROR(__xludf.DUMMYFUNCTION("IFS(
  AND(REGEXMATCH(E7810, ""台銀籌備帳戶|玉山帳戶""), REGEXMATCH(C7810, ""薪資"")), ""分潤支出"",
  AND(REGEXMATCH(E7810, ""Ben帳戶|Elsa帳戶|Ben代墊|Ariel代墊|中信銀行共用""), REGEXMATCH(F7810, ""Ben帳戶|Elsa帳戶|Ben代墊|Ariel代墊|中信銀行共用"")), ""內部轉帳(忽略)"",
  AND(E7810&lt;&gt;"""", F7810&lt;&gt;"""", N"&amp;"OT(REGEXMATCH(C7810, ""薪資""))), ""內部轉帳(忽略)"",
  REGEXMATCH(C7810, ""薪資""), ""薪資變動(不計入)"",
  REGEXMATCH(C7810, ""押金""), ""押金往來"",
  AND(E7810&lt;&gt;"""", F7810=""""), ""真實支出"",
  AND(E7810="""", F7810&lt;&gt;""""), ""真實收入"",
  TRUE, ""其他""
)"),"其他")</f>
        <v>其他</v>
      </c>
      <c r="K7810" s="270" t="str">
        <f t="shared" si="2"/>
        <v/>
      </c>
      <c r="L7810">
        <f t="shared" si="3"/>
        <v>0</v>
      </c>
    </row>
    <row r="7811">
      <c r="A7811" s="107"/>
      <c r="D7811" s="270"/>
      <c r="H7811" s="106" t="str">
        <f t="shared" si="1"/>
        <v/>
      </c>
      <c r="J7811" t="str">
        <f>IFERROR(__xludf.DUMMYFUNCTION("IFS(
  AND(REGEXMATCH(E7811, ""台銀籌備帳戶|玉山帳戶""), REGEXMATCH(C7811, ""薪資"")), ""分潤支出"",
  AND(REGEXMATCH(E7811, ""Ben帳戶|Elsa帳戶|Ben代墊|Ariel代墊|中信銀行共用""), REGEXMATCH(F7811, ""Ben帳戶|Elsa帳戶|Ben代墊|Ariel代墊|中信銀行共用"")), ""內部轉帳(忽略)"",
  AND(E7811&lt;&gt;"""", F7811&lt;&gt;"""", N"&amp;"OT(REGEXMATCH(C7811, ""薪資""))), ""內部轉帳(忽略)"",
  REGEXMATCH(C7811, ""薪資""), ""薪資變動(不計入)"",
  REGEXMATCH(C7811, ""押金""), ""押金往來"",
  AND(E7811&lt;&gt;"""", F7811=""""), ""真實支出"",
  AND(E7811="""", F7811&lt;&gt;""""), ""真實收入"",
  TRUE, ""其他""
)"),"其他")</f>
        <v>其他</v>
      </c>
      <c r="K7811" s="270" t="str">
        <f t="shared" si="2"/>
        <v/>
      </c>
      <c r="L7811">
        <f t="shared" si="3"/>
        <v>0</v>
      </c>
    </row>
    <row r="7812">
      <c r="A7812" s="107"/>
      <c r="D7812" s="270"/>
      <c r="H7812" s="106" t="str">
        <f t="shared" si="1"/>
        <v/>
      </c>
      <c r="J7812" t="str">
        <f>IFERROR(__xludf.DUMMYFUNCTION("IFS(
  AND(REGEXMATCH(E7812, ""台銀籌備帳戶|玉山帳戶""), REGEXMATCH(C7812, ""薪資"")), ""分潤支出"",
  AND(REGEXMATCH(E7812, ""Ben帳戶|Elsa帳戶|Ben代墊|Ariel代墊|中信銀行共用""), REGEXMATCH(F7812, ""Ben帳戶|Elsa帳戶|Ben代墊|Ariel代墊|中信銀行共用"")), ""內部轉帳(忽略)"",
  AND(E7812&lt;&gt;"""", F7812&lt;&gt;"""", N"&amp;"OT(REGEXMATCH(C7812, ""薪資""))), ""內部轉帳(忽略)"",
  REGEXMATCH(C7812, ""薪資""), ""薪資變動(不計入)"",
  REGEXMATCH(C7812, ""押金""), ""押金往來"",
  AND(E7812&lt;&gt;"""", F7812=""""), ""真實支出"",
  AND(E7812="""", F7812&lt;&gt;""""), ""真實收入"",
  TRUE, ""其他""
)"),"其他")</f>
        <v>其他</v>
      </c>
      <c r="K7812" s="270" t="str">
        <f t="shared" si="2"/>
        <v/>
      </c>
      <c r="L7812">
        <f t="shared" si="3"/>
        <v>0</v>
      </c>
    </row>
    <row r="7813">
      <c r="A7813" s="107"/>
      <c r="D7813" s="270"/>
      <c r="H7813" s="106" t="str">
        <f t="shared" si="1"/>
        <v/>
      </c>
      <c r="J7813" t="str">
        <f>IFERROR(__xludf.DUMMYFUNCTION("IFS(
  AND(REGEXMATCH(E7813, ""台銀籌備帳戶|玉山帳戶""), REGEXMATCH(C7813, ""薪資"")), ""分潤支出"",
  AND(REGEXMATCH(E7813, ""Ben帳戶|Elsa帳戶|Ben代墊|Ariel代墊|中信銀行共用""), REGEXMATCH(F7813, ""Ben帳戶|Elsa帳戶|Ben代墊|Ariel代墊|中信銀行共用"")), ""內部轉帳(忽略)"",
  AND(E7813&lt;&gt;"""", F7813&lt;&gt;"""", N"&amp;"OT(REGEXMATCH(C7813, ""薪資""))), ""內部轉帳(忽略)"",
  REGEXMATCH(C7813, ""薪資""), ""薪資變動(不計入)"",
  REGEXMATCH(C7813, ""押金""), ""押金往來"",
  AND(E7813&lt;&gt;"""", F7813=""""), ""真實支出"",
  AND(E7813="""", F7813&lt;&gt;""""), ""真實收入"",
  TRUE, ""其他""
)"),"其他")</f>
        <v>其他</v>
      </c>
      <c r="K7813" s="270" t="str">
        <f t="shared" si="2"/>
        <v/>
      </c>
      <c r="L7813">
        <f t="shared" si="3"/>
        <v>0</v>
      </c>
    </row>
    <row r="7814">
      <c r="A7814" s="107"/>
      <c r="D7814" s="270"/>
      <c r="H7814" s="106" t="str">
        <f t="shared" si="1"/>
        <v/>
      </c>
      <c r="J7814" t="str">
        <f>IFERROR(__xludf.DUMMYFUNCTION("IFS(
  AND(REGEXMATCH(E7814, ""台銀籌備帳戶|玉山帳戶""), REGEXMATCH(C7814, ""薪資"")), ""分潤支出"",
  AND(REGEXMATCH(E7814, ""Ben帳戶|Elsa帳戶|Ben代墊|Ariel代墊|中信銀行共用""), REGEXMATCH(F7814, ""Ben帳戶|Elsa帳戶|Ben代墊|Ariel代墊|中信銀行共用"")), ""內部轉帳(忽略)"",
  AND(E7814&lt;&gt;"""", F7814&lt;&gt;"""", N"&amp;"OT(REGEXMATCH(C7814, ""薪資""))), ""內部轉帳(忽略)"",
  REGEXMATCH(C7814, ""薪資""), ""薪資變動(不計入)"",
  REGEXMATCH(C7814, ""押金""), ""押金往來"",
  AND(E7814&lt;&gt;"""", F7814=""""), ""真實支出"",
  AND(E7814="""", F7814&lt;&gt;""""), ""真實收入"",
  TRUE, ""其他""
)"),"其他")</f>
        <v>其他</v>
      </c>
      <c r="K7814" s="270" t="str">
        <f t="shared" si="2"/>
        <v/>
      </c>
      <c r="L7814">
        <f t="shared" si="3"/>
        <v>0</v>
      </c>
    </row>
    <row r="7815">
      <c r="A7815" s="107"/>
      <c r="D7815" s="270"/>
      <c r="H7815" s="106" t="str">
        <f t="shared" si="1"/>
        <v/>
      </c>
      <c r="J7815" t="str">
        <f>IFERROR(__xludf.DUMMYFUNCTION("IFS(
  AND(REGEXMATCH(E7815, ""台銀籌備帳戶|玉山帳戶""), REGEXMATCH(C7815, ""薪資"")), ""分潤支出"",
  AND(REGEXMATCH(E7815, ""Ben帳戶|Elsa帳戶|Ben代墊|Ariel代墊|中信銀行共用""), REGEXMATCH(F7815, ""Ben帳戶|Elsa帳戶|Ben代墊|Ariel代墊|中信銀行共用"")), ""內部轉帳(忽略)"",
  AND(E7815&lt;&gt;"""", F7815&lt;&gt;"""", N"&amp;"OT(REGEXMATCH(C7815, ""薪資""))), ""內部轉帳(忽略)"",
  REGEXMATCH(C7815, ""薪資""), ""薪資變動(不計入)"",
  REGEXMATCH(C7815, ""押金""), ""押金往來"",
  AND(E7815&lt;&gt;"""", F7815=""""), ""真實支出"",
  AND(E7815="""", F7815&lt;&gt;""""), ""真實收入"",
  TRUE, ""其他""
)"),"其他")</f>
        <v>其他</v>
      </c>
      <c r="K7815" s="270" t="str">
        <f t="shared" si="2"/>
        <v/>
      </c>
      <c r="L7815">
        <f t="shared" si="3"/>
        <v>0</v>
      </c>
    </row>
    <row r="7816">
      <c r="A7816" s="107"/>
      <c r="D7816" s="270"/>
      <c r="H7816" s="106" t="str">
        <f t="shared" si="1"/>
        <v/>
      </c>
      <c r="J7816" t="str">
        <f>IFERROR(__xludf.DUMMYFUNCTION("IFS(
  AND(REGEXMATCH(E7816, ""台銀籌備帳戶|玉山帳戶""), REGEXMATCH(C7816, ""薪資"")), ""分潤支出"",
  AND(REGEXMATCH(E7816, ""Ben帳戶|Elsa帳戶|Ben代墊|Ariel代墊|中信銀行共用""), REGEXMATCH(F7816, ""Ben帳戶|Elsa帳戶|Ben代墊|Ariel代墊|中信銀行共用"")), ""內部轉帳(忽略)"",
  AND(E7816&lt;&gt;"""", F7816&lt;&gt;"""", N"&amp;"OT(REGEXMATCH(C7816, ""薪資""))), ""內部轉帳(忽略)"",
  REGEXMATCH(C7816, ""薪資""), ""薪資變動(不計入)"",
  REGEXMATCH(C7816, ""押金""), ""押金往來"",
  AND(E7816&lt;&gt;"""", F7816=""""), ""真實支出"",
  AND(E7816="""", F7816&lt;&gt;""""), ""真實收入"",
  TRUE, ""其他""
)"),"其他")</f>
        <v>其他</v>
      </c>
      <c r="K7816" s="270" t="str">
        <f t="shared" si="2"/>
        <v/>
      </c>
      <c r="L7816">
        <f t="shared" si="3"/>
        <v>0</v>
      </c>
    </row>
    <row r="7817">
      <c r="A7817" s="107"/>
      <c r="D7817" s="270"/>
      <c r="H7817" s="106" t="str">
        <f t="shared" si="1"/>
        <v/>
      </c>
      <c r="J7817" t="str">
        <f>IFERROR(__xludf.DUMMYFUNCTION("IFS(
  AND(REGEXMATCH(E7817, ""台銀籌備帳戶|玉山帳戶""), REGEXMATCH(C7817, ""薪資"")), ""分潤支出"",
  AND(REGEXMATCH(E7817, ""Ben帳戶|Elsa帳戶|Ben代墊|Ariel代墊|中信銀行共用""), REGEXMATCH(F7817, ""Ben帳戶|Elsa帳戶|Ben代墊|Ariel代墊|中信銀行共用"")), ""內部轉帳(忽略)"",
  AND(E7817&lt;&gt;"""", F7817&lt;&gt;"""", N"&amp;"OT(REGEXMATCH(C7817, ""薪資""))), ""內部轉帳(忽略)"",
  REGEXMATCH(C7817, ""薪資""), ""薪資變動(不計入)"",
  REGEXMATCH(C7817, ""押金""), ""押金往來"",
  AND(E7817&lt;&gt;"""", F7817=""""), ""真實支出"",
  AND(E7817="""", F7817&lt;&gt;""""), ""真實收入"",
  TRUE, ""其他""
)"),"其他")</f>
        <v>其他</v>
      </c>
      <c r="K7817" s="270" t="str">
        <f t="shared" si="2"/>
        <v/>
      </c>
      <c r="L7817">
        <f t="shared" si="3"/>
        <v>0</v>
      </c>
    </row>
    <row r="7818">
      <c r="A7818" s="107"/>
      <c r="D7818" s="270"/>
      <c r="H7818" s="106" t="str">
        <f t="shared" si="1"/>
        <v/>
      </c>
      <c r="J7818" t="str">
        <f>IFERROR(__xludf.DUMMYFUNCTION("IFS(
  AND(REGEXMATCH(E7818, ""台銀籌備帳戶|玉山帳戶""), REGEXMATCH(C7818, ""薪資"")), ""分潤支出"",
  AND(REGEXMATCH(E7818, ""Ben帳戶|Elsa帳戶|Ben代墊|Ariel代墊|中信銀行共用""), REGEXMATCH(F7818, ""Ben帳戶|Elsa帳戶|Ben代墊|Ariel代墊|中信銀行共用"")), ""內部轉帳(忽略)"",
  AND(E7818&lt;&gt;"""", F7818&lt;&gt;"""", N"&amp;"OT(REGEXMATCH(C7818, ""薪資""))), ""內部轉帳(忽略)"",
  REGEXMATCH(C7818, ""薪資""), ""薪資變動(不計入)"",
  REGEXMATCH(C7818, ""押金""), ""押金往來"",
  AND(E7818&lt;&gt;"""", F7818=""""), ""真實支出"",
  AND(E7818="""", F7818&lt;&gt;""""), ""真實收入"",
  TRUE, ""其他""
)"),"其他")</f>
        <v>其他</v>
      </c>
      <c r="K7818" s="270" t="str">
        <f t="shared" si="2"/>
        <v/>
      </c>
      <c r="L7818">
        <f t="shared" si="3"/>
        <v>0</v>
      </c>
    </row>
    <row r="7819">
      <c r="A7819" s="107"/>
      <c r="D7819" s="270"/>
      <c r="H7819" s="106" t="str">
        <f t="shared" si="1"/>
        <v/>
      </c>
      <c r="J7819" t="str">
        <f>IFERROR(__xludf.DUMMYFUNCTION("IFS(
  AND(REGEXMATCH(E7819, ""台銀籌備帳戶|玉山帳戶""), REGEXMATCH(C7819, ""薪資"")), ""分潤支出"",
  AND(REGEXMATCH(E7819, ""Ben帳戶|Elsa帳戶|Ben代墊|Ariel代墊|中信銀行共用""), REGEXMATCH(F7819, ""Ben帳戶|Elsa帳戶|Ben代墊|Ariel代墊|中信銀行共用"")), ""內部轉帳(忽略)"",
  AND(E7819&lt;&gt;"""", F7819&lt;&gt;"""", N"&amp;"OT(REGEXMATCH(C7819, ""薪資""))), ""內部轉帳(忽略)"",
  REGEXMATCH(C7819, ""薪資""), ""薪資變動(不計入)"",
  REGEXMATCH(C7819, ""押金""), ""押金往來"",
  AND(E7819&lt;&gt;"""", F7819=""""), ""真實支出"",
  AND(E7819="""", F7819&lt;&gt;""""), ""真實收入"",
  TRUE, ""其他""
)"),"其他")</f>
        <v>其他</v>
      </c>
      <c r="K7819" s="270" t="str">
        <f t="shared" si="2"/>
        <v/>
      </c>
      <c r="L7819">
        <f t="shared" si="3"/>
        <v>0</v>
      </c>
    </row>
    <row r="7820">
      <c r="A7820" s="107"/>
      <c r="D7820" s="270"/>
      <c r="H7820" s="106" t="str">
        <f t="shared" si="1"/>
        <v/>
      </c>
      <c r="J7820" t="str">
        <f>IFERROR(__xludf.DUMMYFUNCTION("IFS(
  AND(REGEXMATCH(E7820, ""台銀籌備帳戶|玉山帳戶""), REGEXMATCH(C7820, ""薪資"")), ""分潤支出"",
  AND(REGEXMATCH(E7820, ""Ben帳戶|Elsa帳戶|Ben代墊|Ariel代墊|中信銀行共用""), REGEXMATCH(F7820, ""Ben帳戶|Elsa帳戶|Ben代墊|Ariel代墊|中信銀行共用"")), ""內部轉帳(忽略)"",
  AND(E7820&lt;&gt;"""", F7820&lt;&gt;"""", N"&amp;"OT(REGEXMATCH(C7820, ""薪資""))), ""內部轉帳(忽略)"",
  REGEXMATCH(C7820, ""薪資""), ""薪資變動(不計入)"",
  REGEXMATCH(C7820, ""押金""), ""押金往來"",
  AND(E7820&lt;&gt;"""", F7820=""""), ""真實支出"",
  AND(E7820="""", F7820&lt;&gt;""""), ""真實收入"",
  TRUE, ""其他""
)"),"其他")</f>
        <v>其他</v>
      </c>
      <c r="K7820" s="270" t="str">
        <f t="shared" si="2"/>
        <v/>
      </c>
      <c r="L7820">
        <f t="shared" si="3"/>
        <v>0</v>
      </c>
    </row>
    <row r="7821">
      <c r="A7821" s="107"/>
      <c r="D7821" s="270"/>
      <c r="H7821" s="106" t="str">
        <f t="shared" si="1"/>
        <v/>
      </c>
      <c r="J7821" t="str">
        <f>IFERROR(__xludf.DUMMYFUNCTION("IFS(
  AND(REGEXMATCH(E7821, ""台銀籌備帳戶|玉山帳戶""), REGEXMATCH(C7821, ""薪資"")), ""分潤支出"",
  AND(REGEXMATCH(E7821, ""Ben帳戶|Elsa帳戶|Ben代墊|Ariel代墊|中信銀行共用""), REGEXMATCH(F7821, ""Ben帳戶|Elsa帳戶|Ben代墊|Ariel代墊|中信銀行共用"")), ""內部轉帳(忽略)"",
  AND(E7821&lt;&gt;"""", F7821&lt;&gt;"""", N"&amp;"OT(REGEXMATCH(C7821, ""薪資""))), ""內部轉帳(忽略)"",
  REGEXMATCH(C7821, ""薪資""), ""薪資變動(不計入)"",
  REGEXMATCH(C7821, ""押金""), ""押金往來"",
  AND(E7821&lt;&gt;"""", F7821=""""), ""真實支出"",
  AND(E7821="""", F7821&lt;&gt;""""), ""真實收入"",
  TRUE, ""其他""
)"),"其他")</f>
        <v>其他</v>
      </c>
      <c r="K7821" s="270" t="str">
        <f t="shared" si="2"/>
        <v/>
      </c>
      <c r="L7821">
        <f t="shared" si="3"/>
        <v>0</v>
      </c>
    </row>
    <row r="7822">
      <c r="A7822" s="107"/>
      <c r="D7822" s="270"/>
      <c r="H7822" s="106" t="str">
        <f t="shared" si="1"/>
        <v/>
      </c>
      <c r="J7822" t="str">
        <f>IFERROR(__xludf.DUMMYFUNCTION("IFS(
  AND(REGEXMATCH(E7822, ""台銀籌備帳戶|玉山帳戶""), REGEXMATCH(C7822, ""薪資"")), ""分潤支出"",
  AND(REGEXMATCH(E7822, ""Ben帳戶|Elsa帳戶|Ben代墊|Ariel代墊|中信銀行共用""), REGEXMATCH(F7822, ""Ben帳戶|Elsa帳戶|Ben代墊|Ariel代墊|中信銀行共用"")), ""內部轉帳(忽略)"",
  AND(E7822&lt;&gt;"""", F7822&lt;&gt;"""", N"&amp;"OT(REGEXMATCH(C7822, ""薪資""))), ""內部轉帳(忽略)"",
  REGEXMATCH(C7822, ""薪資""), ""薪資變動(不計入)"",
  REGEXMATCH(C7822, ""押金""), ""押金往來"",
  AND(E7822&lt;&gt;"""", F7822=""""), ""真實支出"",
  AND(E7822="""", F7822&lt;&gt;""""), ""真實收入"",
  TRUE, ""其他""
)"),"其他")</f>
        <v>其他</v>
      </c>
      <c r="K7822" s="270" t="str">
        <f t="shared" si="2"/>
        <v/>
      </c>
      <c r="L7822">
        <f t="shared" si="3"/>
        <v>0</v>
      </c>
    </row>
    <row r="7823">
      <c r="A7823" s="107"/>
      <c r="D7823" s="270"/>
      <c r="H7823" s="106" t="str">
        <f t="shared" si="1"/>
        <v/>
      </c>
      <c r="J7823" t="str">
        <f>IFERROR(__xludf.DUMMYFUNCTION("IFS(
  AND(REGEXMATCH(E7823, ""台銀籌備帳戶|玉山帳戶""), REGEXMATCH(C7823, ""薪資"")), ""分潤支出"",
  AND(REGEXMATCH(E7823, ""Ben帳戶|Elsa帳戶|Ben代墊|Ariel代墊|中信銀行共用""), REGEXMATCH(F7823, ""Ben帳戶|Elsa帳戶|Ben代墊|Ariel代墊|中信銀行共用"")), ""內部轉帳(忽略)"",
  AND(E7823&lt;&gt;"""", F7823&lt;&gt;"""", N"&amp;"OT(REGEXMATCH(C7823, ""薪資""))), ""內部轉帳(忽略)"",
  REGEXMATCH(C7823, ""薪資""), ""薪資變動(不計入)"",
  REGEXMATCH(C7823, ""押金""), ""押金往來"",
  AND(E7823&lt;&gt;"""", F7823=""""), ""真實支出"",
  AND(E7823="""", F7823&lt;&gt;""""), ""真實收入"",
  TRUE, ""其他""
)"),"其他")</f>
        <v>其他</v>
      </c>
      <c r="K7823" s="270" t="str">
        <f t="shared" si="2"/>
        <v/>
      </c>
      <c r="L7823">
        <f t="shared" si="3"/>
        <v>0</v>
      </c>
    </row>
    <row r="7824">
      <c r="A7824" s="107"/>
      <c r="D7824" s="270"/>
      <c r="H7824" s="106" t="str">
        <f t="shared" si="1"/>
        <v/>
      </c>
      <c r="J7824" t="str">
        <f>IFERROR(__xludf.DUMMYFUNCTION("IFS(
  AND(REGEXMATCH(E7824, ""台銀籌備帳戶|玉山帳戶""), REGEXMATCH(C7824, ""薪資"")), ""分潤支出"",
  AND(REGEXMATCH(E7824, ""Ben帳戶|Elsa帳戶|Ben代墊|Ariel代墊|中信銀行共用""), REGEXMATCH(F7824, ""Ben帳戶|Elsa帳戶|Ben代墊|Ariel代墊|中信銀行共用"")), ""內部轉帳(忽略)"",
  AND(E7824&lt;&gt;"""", F7824&lt;&gt;"""", N"&amp;"OT(REGEXMATCH(C7824, ""薪資""))), ""內部轉帳(忽略)"",
  REGEXMATCH(C7824, ""薪資""), ""薪資變動(不計入)"",
  REGEXMATCH(C7824, ""押金""), ""押金往來"",
  AND(E7824&lt;&gt;"""", F7824=""""), ""真實支出"",
  AND(E7824="""", F7824&lt;&gt;""""), ""真實收入"",
  TRUE, ""其他""
)"),"其他")</f>
        <v>其他</v>
      </c>
      <c r="K7824" s="270" t="str">
        <f t="shared" si="2"/>
        <v/>
      </c>
      <c r="L7824">
        <f t="shared" si="3"/>
        <v>0</v>
      </c>
    </row>
    <row r="7825">
      <c r="A7825" s="107"/>
      <c r="D7825" s="270"/>
      <c r="H7825" s="106" t="str">
        <f t="shared" si="1"/>
        <v/>
      </c>
      <c r="J7825" t="str">
        <f>IFERROR(__xludf.DUMMYFUNCTION("IFS(
  AND(REGEXMATCH(E7825, ""台銀籌備帳戶|玉山帳戶""), REGEXMATCH(C7825, ""薪資"")), ""分潤支出"",
  AND(REGEXMATCH(E7825, ""Ben帳戶|Elsa帳戶|Ben代墊|Ariel代墊|中信銀行共用""), REGEXMATCH(F7825, ""Ben帳戶|Elsa帳戶|Ben代墊|Ariel代墊|中信銀行共用"")), ""內部轉帳(忽略)"",
  AND(E7825&lt;&gt;"""", F7825&lt;&gt;"""", N"&amp;"OT(REGEXMATCH(C7825, ""薪資""))), ""內部轉帳(忽略)"",
  REGEXMATCH(C7825, ""薪資""), ""薪資變動(不計入)"",
  REGEXMATCH(C7825, ""押金""), ""押金往來"",
  AND(E7825&lt;&gt;"""", F7825=""""), ""真實支出"",
  AND(E7825="""", F7825&lt;&gt;""""), ""真實收入"",
  TRUE, ""其他""
)"),"其他")</f>
        <v>其他</v>
      </c>
      <c r="K7825" s="270" t="str">
        <f t="shared" si="2"/>
        <v/>
      </c>
      <c r="L7825">
        <f t="shared" si="3"/>
        <v>0</v>
      </c>
    </row>
    <row r="7826">
      <c r="A7826" s="107"/>
      <c r="D7826" s="270"/>
      <c r="H7826" s="106" t="str">
        <f t="shared" si="1"/>
        <v/>
      </c>
      <c r="J7826" t="str">
        <f>IFERROR(__xludf.DUMMYFUNCTION("IFS(
  AND(REGEXMATCH(E7826, ""台銀籌備帳戶|玉山帳戶""), REGEXMATCH(C7826, ""薪資"")), ""分潤支出"",
  AND(REGEXMATCH(E7826, ""Ben帳戶|Elsa帳戶|Ben代墊|Ariel代墊|中信銀行共用""), REGEXMATCH(F7826, ""Ben帳戶|Elsa帳戶|Ben代墊|Ariel代墊|中信銀行共用"")), ""內部轉帳(忽略)"",
  AND(E7826&lt;&gt;"""", F7826&lt;&gt;"""", N"&amp;"OT(REGEXMATCH(C7826, ""薪資""))), ""內部轉帳(忽略)"",
  REGEXMATCH(C7826, ""薪資""), ""薪資變動(不計入)"",
  REGEXMATCH(C7826, ""押金""), ""押金往來"",
  AND(E7826&lt;&gt;"""", F7826=""""), ""真實支出"",
  AND(E7826="""", F7826&lt;&gt;""""), ""真實收入"",
  TRUE, ""其他""
)"),"其他")</f>
        <v>其他</v>
      </c>
      <c r="K7826" s="270" t="str">
        <f t="shared" si="2"/>
        <v/>
      </c>
      <c r="L7826">
        <f t="shared" si="3"/>
        <v>0</v>
      </c>
    </row>
    <row r="7827">
      <c r="A7827" s="107"/>
      <c r="D7827" s="270"/>
      <c r="H7827" s="106" t="str">
        <f t="shared" si="1"/>
        <v/>
      </c>
      <c r="J7827" t="str">
        <f>IFERROR(__xludf.DUMMYFUNCTION("IFS(
  AND(REGEXMATCH(E7827, ""台銀籌備帳戶|玉山帳戶""), REGEXMATCH(C7827, ""薪資"")), ""分潤支出"",
  AND(REGEXMATCH(E7827, ""Ben帳戶|Elsa帳戶|Ben代墊|Ariel代墊|中信銀行共用""), REGEXMATCH(F7827, ""Ben帳戶|Elsa帳戶|Ben代墊|Ariel代墊|中信銀行共用"")), ""內部轉帳(忽略)"",
  AND(E7827&lt;&gt;"""", F7827&lt;&gt;"""", N"&amp;"OT(REGEXMATCH(C7827, ""薪資""))), ""內部轉帳(忽略)"",
  REGEXMATCH(C7827, ""薪資""), ""薪資變動(不計入)"",
  REGEXMATCH(C7827, ""押金""), ""押金往來"",
  AND(E7827&lt;&gt;"""", F7827=""""), ""真實支出"",
  AND(E7827="""", F7827&lt;&gt;""""), ""真實收入"",
  TRUE, ""其他""
)"),"其他")</f>
        <v>其他</v>
      </c>
      <c r="K7827" s="270" t="str">
        <f t="shared" si="2"/>
        <v/>
      </c>
      <c r="L7827">
        <f t="shared" si="3"/>
        <v>0</v>
      </c>
    </row>
    <row r="7828">
      <c r="A7828" s="107"/>
      <c r="D7828" s="270"/>
      <c r="H7828" s="106" t="str">
        <f t="shared" si="1"/>
        <v/>
      </c>
      <c r="J7828" t="str">
        <f>IFERROR(__xludf.DUMMYFUNCTION("IFS(
  AND(REGEXMATCH(E7828, ""台銀籌備帳戶|玉山帳戶""), REGEXMATCH(C7828, ""薪資"")), ""分潤支出"",
  AND(REGEXMATCH(E7828, ""Ben帳戶|Elsa帳戶|Ben代墊|Ariel代墊|中信銀行共用""), REGEXMATCH(F7828, ""Ben帳戶|Elsa帳戶|Ben代墊|Ariel代墊|中信銀行共用"")), ""內部轉帳(忽略)"",
  AND(E7828&lt;&gt;"""", F7828&lt;&gt;"""", N"&amp;"OT(REGEXMATCH(C7828, ""薪資""))), ""內部轉帳(忽略)"",
  REGEXMATCH(C7828, ""薪資""), ""薪資變動(不計入)"",
  REGEXMATCH(C7828, ""押金""), ""押金往來"",
  AND(E7828&lt;&gt;"""", F7828=""""), ""真實支出"",
  AND(E7828="""", F7828&lt;&gt;""""), ""真實收入"",
  TRUE, ""其他""
)"),"其他")</f>
        <v>其他</v>
      </c>
      <c r="K7828" s="270" t="str">
        <f t="shared" si="2"/>
        <v/>
      </c>
      <c r="L7828">
        <f t="shared" si="3"/>
        <v>0</v>
      </c>
    </row>
    <row r="7829">
      <c r="A7829" s="107"/>
      <c r="D7829" s="270"/>
      <c r="H7829" s="106" t="str">
        <f t="shared" si="1"/>
        <v/>
      </c>
      <c r="J7829" t="str">
        <f>IFERROR(__xludf.DUMMYFUNCTION("IFS(
  AND(REGEXMATCH(E7829, ""台銀籌備帳戶|玉山帳戶""), REGEXMATCH(C7829, ""薪資"")), ""分潤支出"",
  AND(REGEXMATCH(E7829, ""Ben帳戶|Elsa帳戶|Ben代墊|Ariel代墊|中信銀行共用""), REGEXMATCH(F7829, ""Ben帳戶|Elsa帳戶|Ben代墊|Ariel代墊|中信銀行共用"")), ""內部轉帳(忽略)"",
  AND(E7829&lt;&gt;"""", F7829&lt;&gt;"""", N"&amp;"OT(REGEXMATCH(C7829, ""薪資""))), ""內部轉帳(忽略)"",
  REGEXMATCH(C7829, ""薪資""), ""薪資變動(不計入)"",
  REGEXMATCH(C7829, ""押金""), ""押金往來"",
  AND(E7829&lt;&gt;"""", F7829=""""), ""真實支出"",
  AND(E7829="""", F7829&lt;&gt;""""), ""真實收入"",
  TRUE, ""其他""
)"),"其他")</f>
        <v>其他</v>
      </c>
      <c r="K7829" s="270" t="str">
        <f t="shared" si="2"/>
        <v/>
      </c>
      <c r="L7829">
        <f t="shared" si="3"/>
        <v>0</v>
      </c>
    </row>
    <row r="7830">
      <c r="A7830" s="107"/>
      <c r="D7830" s="270"/>
      <c r="H7830" s="106" t="str">
        <f t="shared" si="1"/>
        <v/>
      </c>
      <c r="J7830" t="str">
        <f>IFERROR(__xludf.DUMMYFUNCTION("IFS(
  AND(REGEXMATCH(E7830, ""台銀籌備帳戶|玉山帳戶""), REGEXMATCH(C7830, ""薪資"")), ""分潤支出"",
  AND(REGEXMATCH(E7830, ""Ben帳戶|Elsa帳戶|Ben代墊|Ariel代墊|中信銀行共用""), REGEXMATCH(F7830, ""Ben帳戶|Elsa帳戶|Ben代墊|Ariel代墊|中信銀行共用"")), ""內部轉帳(忽略)"",
  AND(E7830&lt;&gt;"""", F7830&lt;&gt;"""", N"&amp;"OT(REGEXMATCH(C7830, ""薪資""))), ""內部轉帳(忽略)"",
  REGEXMATCH(C7830, ""薪資""), ""薪資變動(不計入)"",
  REGEXMATCH(C7830, ""押金""), ""押金往來"",
  AND(E7830&lt;&gt;"""", F7830=""""), ""真實支出"",
  AND(E7830="""", F7830&lt;&gt;""""), ""真實收入"",
  TRUE, ""其他""
)"),"其他")</f>
        <v>其他</v>
      </c>
      <c r="K7830" s="270" t="str">
        <f t="shared" si="2"/>
        <v/>
      </c>
      <c r="L7830">
        <f t="shared" si="3"/>
        <v>0</v>
      </c>
    </row>
    <row r="7831">
      <c r="A7831" s="107"/>
      <c r="D7831" s="270"/>
      <c r="H7831" s="106" t="str">
        <f t="shared" si="1"/>
        <v/>
      </c>
      <c r="J7831" t="str">
        <f>IFERROR(__xludf.DUMMYFUNCTION("IFS(
  AND(REGEXMATCH(E7831, ""台銀籌備帳戶|玉山帳戶""), REGEXMATCH(C7831, ""薪資"")), ""分潤支出"",
  AND(REGEXMATCH(E7831, ""Ben帳戶|Elsa帳戶|Ben代墊|Ariel代墊|中信銀行共用""), REGEXMATCH(F7831, ""Ben帳戶|Elsa帳戶|Ben代墊|Ariel代墊|中信銀行共用"")), ""內部轉帳(忽略)"",
  AND(E7831&lt;&gt;"""", F7831&lt;&gt;"""", N"&amp;"OT(REGEXMATCH(C7831, ""薪資""))), ""內部轉帳(忽略)"",
  REGEXMATCH(C7831, ""薪資""), ""薪資變動(不計入)"",
  REGEXMATCH(C7831, ""押金""), ""押金往來"",
  AND(E7831&lt;&gt;"""", F7831=""""), ""真實支出"",
  AND(E7831="""", F7831&lt;&gt;""""), ""真實收入"",
  TRUE, ""其他""
)"),"其他")</f>
        <v>其他</v>
      </c>
      <c r="K7831" s="270" t="str">
        <f t="shared" si="2"/>
        <v/>
      </c>
      <c r="L7831">
        <f t="shared" si="3"/>
        <v>0</v>
      </c>
    </row>
    <row r="7832">
      <c r="A7832" s="107"/>
      <c r="D7832" s="270"/>
      <c r="H7832" s="106" t="str">
        <f t="shared" si="1"/>
        <v/>
      </c>
      <c r="J7832" t="str">
        <f>IFERROR(__xludf.DUMMYFUNCTION("IFS(
  AND(REGEXMATCH(E7832, ""台銀籌備帳戶|玉山帳戶""), REGEXMATCH(C7832, ""薪資"")), ""分潤支出"",
  AND(REGEXMATCH(E7832, ""Ben帳戶|Elsa帳戶|Ben代墊|Ariel代墊|中信銀行共用""), REGEXMATCH(F7832, ""Ben帳戶|Elsa帳戶|Ben代墊|Ariel代墊|中信銀行共用"")), ""內部轉帳(忽略)"",
  AND(E7832&lt;&gt;"""", F7832&lt;&gt;"""", N"&amp;"OT(REGEXMATCH(C7832, ""薪資""))), ""內部轉帳(忽略)"",
  REGEXMATCH(C7832, ""薪資""), ""薪資變動(不計入)"",
  REGEXMATCH(C7832, ""押金""), ""押金往來"",
  AND(E7832&lt;&gt;"""", F7832=""""), ""真實支出"",
  AND(E7832="""", F7832&lt;&gt;""""), ""真實收入"",
  TRUE, ""其他""
)"),"其他")</f>
        <v>其他</v>
      </c>
      <c r="K7832" s="270" t="str">
        <f t="shared" si="2"/>
        <v/>
      </c>
      <c r="L7832">
        <f t="shared" si="3"/>
        <v>0</v>
      </c>
    </row>
    <row r="7833">
      <c r="A7833" s="107"/>
      <c r="D7833" s="270"/>
      <c r="H7833" s="106" t="str">
        <f t="shared" si="1"/>
        <v/>
      </c>
      <c r="J7833" t="str">
        <f>IFERROR(__xludf.DUMMYFUNCTION("IFS(
  AND(REGEXMATCH(E7833, ""台銀籌備帳戶|玉山帳戶""), REGEXMATCH(C7833, ""薪資"")), ""分潤支出"",
  AND(REGEXMATCH(E7833, ""Ben帳戶|Elsa帳戶|Ben代墊|Ariel代墊|中信銀行共用""), REGEXMATCH(F7833, ""Ben帳戶|Elsa帳戶|Ben代墊|Ariel代墊|中信銀行共用"")), ""內部轉帳(忽略)"",
  AND(E7833&lt;&gt;"""", F7833&lt;&gt;"""", N"&amp;"OT(REGEXMATCH(C7833, ""薪資""))), ""內部轉帳(忽略)"",
  REGEXMATCH(C7833, ""薪資""), ""薪資變動(不計入)"",
  REGEXMATCH(C7833, ""押金""), ""押金往來"",
  AND(E7833&lt;&gt;"""", F7833=""""), ""真實支出"",
  AND(E7833="""", F7833&lt;&gt;""""), ""真實收入"",
  TRUE, ""其他""
)"),"其他")</f>
        <v>其他</v>
      </c>
      <c r="K7833" s="270" t="str">
        <f t="shared" si="2"/>
        <v/>
      </c>
      <c r="L7833">
        <f t="shared" si="3"/>
        <v>0</v>
      </c>
    </row>
    <row r="7834">
      <c r="A7834" s="107"/>
      <c r="D7834" s="270"/>
      <c r="H7834" s="106" t="str">
        <f t="shared" si="1"/>
        <v/>
      </c>
      <c r="J7834" t="str">
        <f>IFERROR(__xludf.DUMMYFUNCTION("IFS(
  AND(REGEXMATCH(E7834, ""台銀籌備帳戶|玉山帳戶""), REGEXMATCH(C7834, ""薪資"")), ""分潤支出"",
  AND(REGEXMATCH(E7834, ""Ben帳戶|Elsa帳戶|Ben代墊|Ariel代墊|中信銀行共用""), REGEXMATCH(F7834, ""Ben帳戶|Elsa帳戶|Ben代墊|Ariel代墊|中信銀行共用"")), ""內部轉帳(忽略)"",
  AND(E7834&lt;&gt;"""", F7834&lt;&gt;"""", N"&amp;"OT(REGEXMATCH(C7834, ""薪資""))), ""內部轉帳(忽略)"",
  REGEXMATCH(C7834, ""薪資""), ""薪資變動(不計入)"",
  REGEXMATCH(C7834, ""押金""), ""押金往來"",
  AND(E7834&lt;&gt;"""", F7834=""""), ""真實支出"",
  AND(E7834="""", F7834&lt;&gt;""""), ""真實收入"",
  TRUE, ""其他""
)"),"其他")</f>
        <v>其他</v>
      </c>
      <c r="K7834" s="270" t="str">
        <f t="shared" si="2"/>
        <v/>
      </c>
      <c r="L7834">
        <f t="shared" si="3"/>
        <v>0</v>
      </c>
    </row>
    <row r="7835">
      <c r="A7835" s="107"/>
      <c r="D7835" s="270"/>
      <c r="H7835" s="106" t="str">
        <f t="shared" si="1"/>
        <v/>
      </c>
      <c r="J7835" t="str">
        <f>IFERROR(__xludf.DUMMYFUNCTION("IFS(
  AND(REGEXMATCH(E7835, ""台銀籌備帳戶|玉山帳戶""), REGEXMATCH(C7835, ""薪資"")), ""分潤支出"",
  AND(REGEXMATCH(E7835, ""Ben帳戶|Elsa帳戶|Ben代墊|Ariel代墊|中信銀行共用""), REGEXMATCH(F7835, ""Ben帳戶|Elsa帳戶|Ben代墊|Ariel代墊|中信銀行共用"")), ""內部轉帳(忽略)"",
  AND(E7835&lt;&gt;"""", F7835&lt;&gt;"""", N"&amp;"OT(REGEXMATCH(C7835, ""薪資""))), ""內部轉帳(忽略)"",
  REGEXMATCH(C7835, ""薪資""), ""薪資變動(不計入)"",
  REGEXMATCH(C7835, ""押金""), ""押金往來"",
  AND(E7835&lt;&gt;"""", F7835=""""), ""真實支出"",
  AND(E7835="""", F7835&lt;&gt;""""), ""真實收入"",
  TRUE, ""其他""
)"),"其他")</f>
        <v>其他</v>
      </c>
      <c r="K7835" s="270" t="str">
        <f t="shared" si="2"/>
        <v/>
      </c>
      <c r="L7835">
        <f t="shared" si="3"/>
        <v>0</v>
      </c>
    </row>
    <row r="7836">
      <c r="A7836" s="107"/>
      <c r="D7836" s="270"/>
      <c r="H7836" s="106" t="str">
        <f t="shared" si="1"/>
        <v/>
      </c>
      <c r="J7836" t="str">
        <f>IFERROR(__xludf.DUMMYFUNCTION("IFS(
  AND(REGEXMATCH(E7836, ""台銀籌備帳戶|玉山帳戶""), REGEXMATCH(C7836, ""薪資"")), ""分潤支出"",
  AND(REGEXMATCH(E7836, ""Ben帳戶|Elsa帳戶|Ben代墊|Ariel代墊|中信銀行共用""), REGEXMATCH(F7836, ""Ben帳戶|Elsa帳戶|Ben代墊|Ariel代墊|中信銀行共用"")), ""內部轉帳(忽略)"",
  AND(E7836&lt;&gt;"""", F7836&lt;&gt;"""", N"&amp;"OT(REGEXMATCH(C7836, ""薪資""))), ""內部轉帳(忽略)"",
  REGEXMATCH(C7836, ""薪資""), ""薪資變動(不計入)"",
  REGEXMATCH(C7836, ""押金""), ""押金往來"",
  AND(E7836&lt;&gt;"""", F7836=""""), ""真實支出"",
  AND(E7836="""", F7836&lt;&gt;""""), ""真實收入"",
  TRUE, ""其他""
)"),"其他")</f>
        <v>其他</v>
      </c>
      <c r="K7836" s="270" t="str">
        <f t="shared" si="2"/>
        <v/>
      </c>
      <c r="L7836">
        <f t="shared" si="3"/>
        <v>0</v>
      </c>
    </row>
    <row r="7837">
      <c r="A7837" s="107"/>
      <c r="D7837" s="270"/>
      <c r="H7837" s="106" t="str">
        <f t="shared" si="1"/>
        <v/>
      </c>
      <c r="J7837" t="str">
        <f>IFERROR(__xludf.DUMMYFUNCTION("IFS(
  AND(REGEXMATCH(E7837, ""台銀籌備帳戶|玉山帳戶""), REGEXMATCH(C7837, ""薪資"")), ""分潤支出"",
  AND(REGEXMATCH(E7837, ""Ben帳戶|Elsa帳戶|Ben代墊|Ariel代墊|中信銀行共用""), REGEXMATCH(F7837, ""Ben帳戶|Elsa帳戶|Ben代墊|Ariel代墊|中信銀行共用"")), ""內部轉帳(忽略)"",
  AND(E7837&lt;&gt;"""", F7837&lt;&gt;"""", N"&amp;"OT(REGEXMATCH(C7837, ""薪資""))), ""內部轉帳(忽略)"",
  REGEXMATCH(C7837, ""薪資""), ""薪資變動(不計入)"",
  REGEXMATCH(C7837, ""押金""), ""押金往來"",
  AND(E7837&lt;&gt;"""", F7837=""""), ""真實支出"",
  AND(E7837="""", F7837&lt;&gt;""""), ""真實收入"",
  TRUE, ""其他""
)"),"其他")</f>
        <v>其他</v>
      </c>
      <c r="K7837" s="270" t="str">
        <f t="shared" si="2"/>
        <v/>
      </c>
      <c r="L7837">
        <f t="shared" si="3"/>
        <v>0</v>
      </c>
    </row>
    <row r="7838">
      <c r="A7838" s="107"/>
      <c r="D7838" s="270"/>
      <c r="H7838" s="106" t="str">
        <f t="shared" si="1"/>
        <v/>
      </c>
      <c r="J7838" t="str">
        <f>IFERROR(__xludf.DUMMYFUNCTION("IFS(
  AND(REGEXMATCH(E7838, ""台銀籌備帳戶|玉山帳戶""), REGEXMATCH(C7838, ""薪資"")), ""分潤支出"",
  AND(REGEXMATCH(E7838, ""Ben帳戶|Elsa帳戶|Ben代墊|Ariel代墊|中信銀行共用""), REGEXMATCH(F7838, ""Ben帳戶|Elsa帳戶|Ben代墊|Ariel代墊|中信銀行共用"")), ""內部轉帳(忽略)"",
  AND(E7838&lt;&gt;"""", F7838&lt;&gt;"""", N"&amp;"OT(REGEXMATCH(C7838, ""薪資""))), ""內部轉帳(忽略)"",
  REGEXMATCH(C7838, ""薪資""), ""薪資變動(不計入)"",
  REGEXMATCH(C7838, ""押金""), ""押金往來"",
  AND(E7838&lt;&gt;"""", F7838=""""), ""真實支出"",
  AND(E7838="""", F7838&lt;&gt;""""), ""真實收入"",
  TRUE, ""其他""
)"),"其他")</f>
        <v>其他</v>
      </c>
      <c r="K7838" s="270" t="str">
        <f t="shared" si="2"/>
        <v/>
      </c>
      <c r="L7838">
        <f t="shared" si="3"/>
        <v>0</v>
      </c>
    </row>
    <row r="7839">
      <c r="A7839" s="107"/>
      <c r="D7839" s="270"/>
      <c r="H7839" s="106" t="str">
        <f t="shared" si="1"/>
        <v/>
      </c>
      <c r="J7839" t="str">
        <f>IFERROR(__xludf.DUMMYFUNCTION("IFS(
  AND(REGEXMATCH(E7839, ""台銀籌備帳戶|玉山帳戶""), REGEXMATCH(C7839, ""薪資"")), ""分潤支出"",
  AND(REGEXMATCH(E7839, ""Ben帳戶|Elsa帳戶|Ben代墊|Ariel代墊|中信銀行共用""), REGEXMATCH(F7839, ""Ben帳戶|Elsa帳戶|Ben代墊|Ariel代墊|中信銀行共用"")), ""內部轉帳(忽略)"",
  AND(E7839&lt;&gt;"""", F7839&lt;&gt;"""", N"&amp;"OT(REGEXMATCH(C7839, ""薪資""))), ""內部轉帳(忽略)"",
  REGEXMATCH(C7839, ""薪資""), ""薪資變動(不計入)"",
  REGEXMATCH(C7839, ""押金""), ""押金往來"",
  AND(E7839&lt;&gt;"""", F7839=""""), ""真實支出"",
  AND(E7839="""", F7839&lt;&gt;""""), ""真實收入"",
  TRUE, ""其他""
)"),"其他")</f>
        <v>其他</v>
      </c>
      <c r="K7839" s="270" t="str">
        <f t="shared" si="2"/>
        <v/>
      </c>
      <c r="L7839">
        <f t="shared" si="3"/>
        <v>0</v>
      </c>
    </row>
    <row r="7840">
      <c r="A7840" s="107"/>
      <c r="D7840" s="270"/>
      <c r="H7840" s="106" t="str">
        <f t="shared" si="1"/>
        <v/>
      </c>
      <c r="J7840" t="str">
        <f>IFERROR(__xludf.DUMMYFUNCTION("IFS(
  AND(REGEXMATCH(E7840, ""台銀籌備帳戶|玉山帳戶""), REGEXMATCH(C7840, ""薪資"")), ""分潤支出"",
  AND(REGEXMATCH(E7840, ""Ben帳戶|Elsa帳戶|Ben代墊|Ariel代墊|中信銀行共用""), REGEXMATCH(F7840, ""Ben帳戶|Elsa帳戶|Ben代墊|Ariel代墊|中信銀行共用"")), ""內部轉帳(忽略)"",
  AND(E7840&lt;&gt;"""", F7840&lt;&gt;"""", N"&amp;"OT(REGEXMATCH(C7840, ""薪資""))), ""內部轉帳(忽略)"",
  REGEXMATCH(C7840, ""薪資""), ""薪資變動(不計入)"",
  REGEXMATCH(C7840, ""押金""), ""押金往來"",
  AND(E7840&lt;&gt;"""", F7840=""""), ""真實支出"",
  AND(E7840="""", F7840&lt;&gt;""""), ""真實收入"",
  TRUE, ""其他""
)"),"其他")</f>
        <v>其他</v>
      </c>
      <c r="K7840" s="270" t="str">
        <f t="shared" si="2"/>
        <v/>
      </c>
      <c r="L7840">
        <f t="shared" si="3"/>
        <v>0</v>
      </c>
    </row>
    <row r="7841">
      <c r="A7841" s="107"/>
      <c r="D7841" s="270"/>
      <c r="H7841" s="106" t="str">
        <f t="shared" si="1"/>
        <v/>
      </c>
      <c r="J7841" t="str">
        <f>IFERROR(__xludf.DUMMYFUNCTION("IFS(
  AND(REGEXMATCH(E7841, ""台銀籌備帳戶|玉山帳戶""), REGEXMATCH(C7841, ""薪資"")), ""分潤支出"",
  AND(REGEXMATCH(E7841, ""Ben帳戶|Elsa帳戶|Ben代墊|Ariel代墊|中信銀行共用""), REGEXMATCH(F7841, ""Ben帳戶|Elsa帳戶|Ben代墊|Ariel代墊|中信銀行共用"")), ""內部轉帳(忽略)"",
  AND(E7841&lt;&gt;"""", F7841&lt;&gt;"""", N"&amp;"OT(REGEXMATCH(C7841, ""薪資""))), ""內部轉帳(忽略)"",
  REGEXMATCH(C7841, ""薪資""), ""薪資變動(不計入)"",
  REGEXMATCH(C7841, ""押金""), ""押金往來"",
  AND(E7841&lt;&gt;"""", F7841=""""), ""真實支出"",
  AND(E7841="""", F7841&lt;&gt;""""), ""真實收入"",
  TRUE, ""其他""
)"),"其他")</f>
        <v>其他</v>
      </c>
      <c r="K7841" s="270" t="str">
        <f t="shared" si="2"/>
        <v/>
      </c>
      <c r="L7841">
        <f t="shared" si="3"/>
        <v>0</v>
      </c>
    </row>
    <row r="7842">
      <c r="A7842" s="107"/>
      <c r="D7842" s="270"/>
      <c r="H7842" s="106" t="str">
        <f t="shared" si="1"/>
        <v/>
      </c>
      <c r="J7842" t="str">
        <f>IFERROR(__xludf.DUMMYFUNCTION("IFS(
  AND(REGEXMATCH(E7842, ""台銀籌備帳戶|玉山帳戶""), REGEXMATCH(C7842, ""薪資"")), ""分潤支出"",
  AND(REGEXMATCH(E7842, ""Ben帳戶|Elsa帳戶|Ben代墊|Ariel代墊|中信銀行共用""), REGEXMATCH(F7842, ""Ben帳戶|Elsa帳戶|Ben代墊|Ariel代墊|中信銀行共用"")), ""內部轉帳(忽略)"",
  AND(E7842&lt;&gt;"""", F7842&lt;&gt;"""", N"&amp;"OT(REGEXMATCH(C7842, ""薪資""))), ""內部轉帳(忽略)"",
  REGEXMATCH(C7842, ""薪資""), ""薪資變動(不計入)"",
  REGEXMATCH(C7842, ""押金""), ""押金往來"",
  AND(E7842&lt;&gt;"""", F7842=""""), ""真實支出"",
  AND(E7842="""", F7842&lt;&gt;""""), ""真實收入"",
  TRUE, ""其他""
)"),"其他")</f>
        <v>其他</v>
      </c>
      <c r="K7842" s="270" t="str">
        <f t="shared" si="2"/>
        <v/>
      </c>
      <c r="L7842">
        <f t="shared" si="3"/>
        <v>0</v>
      </c>
    </row>
    <row r="7843">
      <c r="A7843" s="107"/>
      <c r="D7843" s="270"/>
      <c r="H7843" s="106" t="str">
        <f t="shared" si="1"/>
        <v/>
      </c>
      <c r="J7843" t="str">
        <f>IFERROR(__xludf.DUMMYFUNCTION("IFS(
  AND(REGEXMATCH(E7843, ""台銀籌備帳戶|玉山帳戶""), REGEXMATCH(C7843, ""薪資"")), ""分潤支出"",
  AND(REGEXMATCH(E7843, ""Ben帳戶|Elsa帳戶|Ben代墊|Ariel代墊|中信銀行共用""), REGEXMATCH(F7843, ""Ben帳戶|Elsa帳戶|Ben代墊|Ariel代墊|中信銀行共用"")), ""內部轉帳(忽略)"",
  AND(E7843&lt;&gt;"""", F7843&lt;&gt;"""", N"&amp;"OT(REGEXMATCH(C7843, ""薪資""))), ""內部轉帳(忽略)"",
  REGEXMATCH(C7843, ""薪資""), ""薪資變動(不計入)"",
  REGEXMATCH(C7843, ""押金""), ""押金往來"",
  AND(E7843&lt;&gt;"""", F7843=""""), ""真實支出"",
  AND(E7843="""", F7843&lt;&gt;""""), ""真實收入"",
  TRUE, ""其他""
)"),"其他")</f>
        <v>其他</v>
      </c>
      <c r="K7843" s="270" t="str">
        <f t="shared" si="2"/>
        <v/>
      </c>
      <c r="L7843">
        <f t="shared" si="3"/>
        <v>0</v>
      </c>
    </row>
    <row r="7844">
      <c r="A7844" s="107"/>
      <c r="D7844" s="270"/>
      <c r="H7844" s="106" t="str">
        <f t="shared" si="1"/>
        <v/>
      </c>
      <c r="J7844" t="str">
        <f>IFERROR(__xludf.DUMMYFUNCTION("IFS(
  AND(REGEXMATCH(E7844, ""台銀籌備帳戶|玉山帳戶""), REGEXMATCH(C7844, ""薪資"")), ""分潤支出"",
  AND(REGEXMATCH(E7844, ""Ben帳戶|Elsa帳戶|Ben代墊|Ariel代墊|中信銀行共用""), REGEXMATCH(F7844, ""Ben帳戶|Elsa帳戶|Ben代墊|Ariel代墊|中信銀行共用"")), ""內部轉帳(忽略)"",
  AND(E7844&lt;&gt;"""", F7844&lt;&gt;"""", N"&amp;"OT(REGEXMATCH(C7844, ""薪資""))), ""內部轉帳(忽略)"",
  REGEXMATCH(C7844, ""薪資""), ""薪資變動(不計入)"",
  REGEXMATCH(C7844, ""押金""), ""押金往來"",
  AND(E7844&lt;&gt;"""", F7844=""""), ""真實支出"",
  AND(E7844="""", F7844&lt;&gt;""""), ""真實收入"",
  TRUE, ""其他""
)"),"其他")</f>
        <v>其他</v>
      </c>
      <c r="K7844" s="270" t="str">
        <f t="shared" si="2"/>
        <v/>
      </c>
      <c r="L7844">
        <f t="shared" si="3"/>
        <v>0</v>
      </c>
    </row>
    <row r="7845">
      <c r="A7845" s="107"/>
      <c r="D7845" s="270"/>
      <c r="H7845" s="106" t="str">
        <f t="shared" si="1"/>
        <v/>
      </c>
      <c r="J7845" t="str">
        <f>IFERROR(__xludf.DUMMYFUNCTION("IFS(
  AND(REGEXMATCH(E7845, ""台銀籌備帳戶|玉山帳戶""), REGEXMATCH(C7845, ""薪資"")), ""分潤支出"",
  AND(REGEXMATCH(E7845, ""Ben帳戶|Elsa帳戶|Ben代墊|Ariel代墊|中信銀行共用""), REGEXMATCH(F7845, ""Ben帳戶|Elsa帳戶|Ben代墊|Ariel代墊|中信銀行共用"")), ""內部轉帳(忽略)"",
  AND(E7845&lt;&gt;"""", F7845&lt;&gt;"""", N"&amp;"OT(REGEXMATCH(C7845, ""薪資""))), ""內部轉帳(忽略)"",
  REGEXMATCH(C7845, ""薪資""), ""薪資變動(不計入)"",
  REGEXMATCH(C7845, ""押金""), ""押金往來"",
  AND(E7845&lt;&gt;"""", F7845=""""), ""真實支出"",
  AND(E7845="""", F7845&lt;&gt;""""), ""真實收入"",
  TRUE, ""其他""
)"),"其他")</f>
        <v>其他</v>
      </c>
      <c r="K7845" s="270" t="str">
        <f t="shared" si="2"/>
        <v/>
      </c>
      <c r="L7845">
        <f t="shared" si="3"/>
        <v>0</v>
      </c>
    </row>
    <row r="7846">
      <c r="A7846" s="107"/>
      <c r="D7846" s="270"/>
      <c r="H7846" s="106" t="str">
        <f t="shared" si="1"/>
        <v/>
      </c>
      <c r="J7846" t="str">
        <f>IFERROR(__xludf.DUMMYFUNCTION("IFS(
  AND(REGEXMATCH(E7846, ""台銀籌備帳戶|玉山帳戶""), REGEXMATCH(C7846, ""薪資"")), ""分潤支出"",
  AND(REGEXMATCH(E7846, ""Ben帳戶|Elsa帳戶|Ben代墊|Ariel代墊|中信銀行共用""), REGEXMATCH(F7846, ""Ben帳戶|Elsa帳戶|Ben代墊|Ariel代墊|中信銀行共用"")), ""內部轉帳(忽略)"",
  AND(E7846&lt;&gt;"""", F7846&lt;&gt;"""", N"&amp;"OT(REGEXMATCH(C7846, ""薪資""))), ""內部轉帳(忽略)"",
  REGEXMATCH(C7846, ""薪資""), ""薪資變動(不計入)"",
  REGEXMATCH(C7846, ""押金""), ""押金往來"",
  AND(E7846&lt;&gt;"""", F7846=""""), ""真實支出"",
  AND(E7846="""", F7846&lt;&gt;""""), ""真實收入"",
  TRUE, ""其他""
)"),"其他")</f>
        <v>其他</v>
      </c>
      <c r="K7846" s="270" t="str">
        <f t="shared" si="2"/>
        <v/>
      </c>
      <c r="L7846">
        <f t="shared" si="3"/>
        <v>0</v>
      </c>
    </row>
    <row r="7847">
      <c r="A7847" s="107"/>
      <c r="D7847" s="270"/>
      <c r="H7847" s="106" t="str">
        <f t="shared" si="1"/>
        <v/>
      </c>
      <c r="J7847" t="str">
        <f>IFERROR(__xludf.DUMMYFUNCTION("IFS(
  AND(REGEXMATCH(E7847, ""台銀籌備帳戶|玉山帳戶""), REGEXMATCH(C7847, ""薪資"")), ""分潤支出"",
  AND(REGEXMATCH(E7847, ""Ben帳戶|Elsa帳戶|Ben代墊|Ariel代墊|中信銀行共用""), REGEXMATCH(F7847, ""Ben帳戶|Elsa帳戶|Ben代墊|Ariel代墊|中信銀行共用"")), ""內部轉帳(忽略)"",
  AND(E7847&lt;&gt;"""", F7847&lt;&gt;"""", N"&amp;"OT(REGEXMATCH(C7847, ""薪資""))), ""內部轉帳(忽略)"",
  REGEXMATCH(C7847, ""薪資""), ""薪資變動(不計入)"",
  REGEXMATCH(C7847, ""押金""), ""押金往來"",
  AND(E7847&lt;&gt;"""", F7847=""""), ""真實支出"",
  AND(E7847="""", F7847&lt;&gt;""""), ""真實收入"",
  TRUE, ""其他""
)"),"其他")</f>
        <v>其他</v>
      </c>
      <c r="K7847" s="270" t="str">
        <f t="shared" si="2"/>
        <v/>
      </c>
      <c r="L7847">
        <f t="shared" si="3"/>
        <v>0</v>
      </c>
    </row>
    <row r="7848">
      <c r="A7848" s="107"/>
      <c r="D7848" s="270"/>
      <c r="H7848" s="106" t="str">
        <f t="shared" si="1"/>
        <v/>
      </c>
      <c r="J7848" t="str">
        <f>IFERROR(__xludf.DUMMYFUNCTION("IFS(
  AND(REGEXMATCH(E7848, ""台銀籌備帳戶|玉山帳戶""), REGEXMATCH(C7848, ""薪資"")), ""分潤支出"",
  AND(REGEXMATCH(E7848, ""Ben帳戶|Elsa帳戶|Ben代墊|Ariel代墊|中信銀行共用""), REGEXMATCH(F7848, ""Ben帳戶|Elsa帳戶|Ben代墊|Ariel代墊|中信銀行共用"")), ""內部轉帳(忽略)"",
  AND(E7848&lt;&gt;"""", F7848&lt;&gt;"""", N"&amp;"OT(REGEXMATCH(C7848, ""薪資""))), ""內部轉帳(忽略)"",
  REGEXMATCH(C7848, ""薪資""), ""薪資變動(不計入)"",
  REGEXMATCH(C7848, ""押金""), ""押金往來"",
  AND(E7848&lt;&gt;"""", F7848=""""), ""真實支出"",
  AND(E7848="""", F7848&lt;&gt;""""), ""真實收入"",
  TRUE, ""其他""
)"),"其他")</f>
        <v>其他</v>
      </c>
      <c r="K7848" s="270" t="str">
        <f t="shared" si="2"/>
        <v/>
      </c>
      <c r="L7848">
        <f t="shared" si="3"/>
        <v>0</v>
      </c>
    </row>
    <row r="7849">
      <c r="A7849" s="107"/>
      <c r="D7849" s="270"/>
      <c r="H7849" s="106" t="str">
        <f t="shared" si="1"/>
        <v/>
      </c>
      <c r="J7849" t="str">
        <f>IFERROR(__xludf.DUMMYFUNCTION("IFS(
  AND(REGEXMATCH(E7849, ""台銀籌備帳戶|玉山帳戶""), REGEXMATCH(C7849, ""薪資"")), ""分潤支出"",
  AND(REGEXMATCH(E7849, ""Ben帳戶|Elsa帳戶|Ben代墊|Ariel代墊|中信銀行共用""), REGEXMATCH(F7849, ""Ben帳戶|Elsa帳戶|Ben代墊|Ariel代墊|中信銀行共用"")), ""內部轉帳(忽略)"",
  AND(E7849&lt;&gt;"""", F7849&lt;&gt;"""", N"&amp;"OT(REGEXMATCH(C7849, ""薪資""))), ""內部轉帳(忽略)"",
  REGEXMATCH(C7849, ""薪資""), ""薪資變動(不計入)"",
  REGEXMATCH(C7849, ""押金""), ""押金往來"",
  AND(E7849&lt;&gt;"""", F7849=""""), ""真實支出"",
  AND(E7849="""", F7849&lt;&gt;""""), ""真實收入"",
  TRUE, ""其他""
)"),"其他")</f>
        <v>其他</v>
      </c>
      <c r="K7849" s="270" t="str">
        <f t="shared" si="2"/>
        <v/>
      </c>
      <c r="L7849">
        <f t="shared" si="3"/>
        <v>0</v>
      </c>
    </row>
    <row r="7850">
      <c r="A7850" s="107"/>
      <c r="D7850" s="270"/>
      <c r="H7850" s="106" t="str">
        <f t="shared" si="1"/>
        <v/>
      </c>
      <c r="J7850" t="str">
        <f>IFERROR(__xludf.DUMMYFUNCTION("IFS(
  AND(REGEXMATCH(E7850, ""台銀籌備帳戶|玉山帳戶""), REGEXMATCH(C7850, ""薪資"")), ""分潤支出"",
  AND(REGEXMATCH(E7850, ""Ben帳戶|Elsa帳戶|Ben代墊|Ariel代墊|中信銀行共用""), REGEXMATCH(F7850, ""Ben帳戶|Elsa帳戶|Ben代墊|Ariel代墊|中信銀行共用"")), ""內部轉帳(忽略)"",
  AND(E7850&lt;&gt;"""", F7850&lt;&gt;"""", N"&amp;"OT(REGEXMATCH(C7850, ""薪資""))), ""內部轉帳(忽略)"",
  REGEXMATCH(C7850, ""薪資""), ""薪資變動(不計入)"",
  REGEXMATCH(C7850, ""押金""), ""押金往來"",
  AND(E7850&lt;&gt;"""", F7850=""""), ""真實支出"",
  AND(E7850="""", F7850&lt;&gt;""""), ""真實收入"",
  TRUE, ""其他""
)"),"其他")</f>
        <v>其他</v>
      </c>
      <c r="K7850" s="270" t="str">
        <f t="shared" si="2"/>
        <v/>
      </c>
      <c r="L7850">
        <f t="shared" si="3"/>
        <v>0</v>
      </c>
    </row>
    <row r="7851">
      <c r="A7851" s="107"/>
      <c r="D7851" s="270"/>
      <c r="H7851" s="106" t="str">
        <f t="shared" si="1"/>
        <v/>
      </c>
      <c r="J7851" t="str">
        <f>IFERROR(__xludf.DUMMYFUNCTION("IFS(
  AND(REGEXMATCH(E7851, ""台銀籌備帳戶|玉山帳戶""), REGEXMATCH(C7851, ""薪資"")), ""分潤支出"",
  AND(REGEXMATCH(E7851, ""Ben帳戶|Elsa帳戶|Ben代墊|Ariel代墊|中信銀行共用""), REGEXMATCH(F7851, ""Ben帳戶|Elsa帳戶|Ben代墊|Ariel代墊|中信銀行共用"")), ""內部轉帳(忽略)"",
  AND(E7851&lt;&gt;"""", F7851&lt;&gt;"""", N"&amp;"OT(REGEXMATCH(C7851, ""薪資""))), ""內部轉帳(忽略)"",
  REGEXMATCH(C7851, ""薪資""), ""薪資變動(不計入)"",
  REGEXMATCH(C7851, ""押金""), ""押金往來"",
  AND(E7851&lt;&gt;"""", F7851=""""), ""真實支出"",
  AND(E7851="""", F7851&lt;&gt;""""), ""真實收入"",
  TRUE, ""其他""
)"),"其他")</f>
        <v>其他</v>
      </c>
      <c r="K7851" s="270" t="str">
        <f t="shared" si="2"/>
        <v/>
      </c>
      <c r="L7851">
        <f t="shared" si="3"/>
        <v>0</v>
      </c>
    </row>
    <row r="7852">
      <c r="A7852" s="107"/>
      <c r="D7852" s="270"/>
      <c r="H7852" s="106" t="str">
        <f t="shared" si="1"/>
        <v/>
      </c>
      <c r="J7852" t="str">
        <f>IFERROR(__xludf.DUMMYFUNCTION("IFS(
  AND(REGEXMATCH(E7852, ""台銀籌備帳戶|玉山帳戶""), REGEXMATCH(C7852, ""薪資"")), ""分潤支出"",
  AND(REGEXMATCH(E7852, ""Ben帳戶|Elsa帳戶|Ben代墊|Ariel代墊|中信銀行共用""), REGEXMATCH(F7852, ""Ben帳戶|Elsa帳戶|Ben代墊|Ariel代墊|中信銀行共用"")), ""內部轉帳(忽略)"",
  AND(E7852&lt;&gt;"""", F7852&lt;&gt;"""", N"&amp;"OT(REGEXMATCH(C7852, ""薪資""))), ""內部轉帳(忽略)"",
  REGEXMATCH(C7852, ""薪資""), ""薪資變動(不計入)"",
  REGEXMATCH(C7852, ""押金""), ""押金往來"",
  AND(E7852&lt;&gt;"""", F7852=""""), ""真實支出"",
  AND(E7852="""", F7852&lt;&gt;""""), ""真實收入"",
  TRUE, ""其他""
)"),"其他")</f>
        <v>其他</v>
      </c>
      <c r="K7852" s="270" t="str">
        <f t="shared" si="2"/>
        <v/>
      </c>
      <c r="L7852">
        <f t="shared" si="3"/>
        <v>0</v>
      </c>
    </row>
    <row r="7853">
      <c r="A7853" s="107"/>
      <c r="D7853" s="270"/>
      <c r="H7853" s="106" t="str">
        <f t="shared" si="1"/>
        <v/>
      </c>
      <c r="J7853" t="str">
        <f>IFERROR(__xludf.DUMMYFUNCTION("IFS(
  AND(REGEXMATCH(E7853, ""台銀籌備帳戶|玉山帳戶""), REGEXMATCH(C7853, ""薪資"")), ""分潤支出"",
  AND(REGEXMATCH(E7853, ""Ben帳戶|Elsa帳戶|Ben代墊|Ariel代墊|中信銀行共用""), REGEXMATCH(F7853, ""Ben帳戶|Elsa帳戶|Ben代墊|Ariel代墊|中信銀行共用"")), ""內部轉帳(忽略)"",
  AND(E7853&lt;&gt;"""", F7853&lt;&gt;"""", N"&amp;"OT(REGEXMATCH(C7853, ""薪資""))), ""內部轉帳(忽略)"",
  REGEXMATCH(C7853, ""薪資""), ""薪資變動(不計入)"",
  REGEXMATCH(C7853, ""押金""), ""押金往來"",
  AND(E7853&lt;&gt;"""", F7853=""""), ""真實支出"",
  AND(E7853="""", F7853&lt;&gt;""""), ""真實收入"",
  TRUE, ""其他""
)"),"其他")</f>
        <v>其他</v>
      </c>
      <c r="K7853" s="270" t="str">
        <f t="shared" si="2"/>
        <v/>
      </c>
      <c r="L7853">
        <f t="shared" si="3"/>
        <v>0</v>
      </c>
    </row>
    <row r="7854">
      <c r="A7854" s="107"/>
      <c r="D7854" s="270"/>
      <c r="H7854" s="106" t="str">
        <f t="shared" si="1"/>
        <v/>
      </c>
      <c r="J7854" t="str">
        <f>IFERROR(__xludf.DUMMYFUNCTION("IFS(
  AND(REGEXMATCH(E7854, ""台銀籌備帳戶|玉山帳戶""), REGEXMATCH(C7854, ""薪資"")), ""分潤支出"",
  AND(REGEXMATCH(E7854, ""Ben帳戶|Elsa帳戶|Ben代墊|Ariel代墊|中信銀行共用""), REGEXMATCH(F7854, ""Ben帳戶|Elsa帳戶|Ben代墊|Ariel代墊|中信銀行共用"")), ""內部轉帳(忽略)"",
  AND(E7854&lt;&gt;"""", F7854&lt;&gt;"""", N"&amp;"OT(REGEXMATCH(C7854, ""薪資""))), ""內部轉帳(忽略)"",
  REGEXMATCH(C7854, ""薪資""), ""薪資變動(不計入)"",
  REGEXMATCH(C7854, ""押金""), ""押金往來"",
  AND(E7854&lt;&gt;"""", F7854=""""), ""真實支出"",
  AND(E7854="""", F7854&lt;&gt;""""), ""真實收入"",
  TRUE, ""其他""
)"),"其他")</f>
        <v>其他</v>
      </c>
      <c r="K7854" s="270" t="str">
        <f t="shared" si="2"/>
        <v/>
      </c>
      <c r="L7854">
        <f t="shared" si="3"/>
        <v>0</v>
      </c>
    </row>
    <row r="7855">
      <c r="A7855" s="107"/>
      <c r="D7855" s="270"/>
      <c r="H7855" s="106" t="str">
        <f t="shared" si="1"/>
        <v/>
      </c>
      <c r="J7855" t="str">
        <f>IFERROR(__xludf.DUMMYFUNCTION("IFS(
  AND(REGEXMATCH(E7855, ""台銀籌備帳戶|玉山帳戶""), REGEXMATCH(C7855, ""薪資"")), ""分潤支出"",
  AND(REGEXMATCH(E7855, ""Ben帳戶|Elsa帳戶|Ben代墊|Ariel代墊|中信銀行共用""), REGEXMATCH(F7855, ""Ben帳戶|Elsa帳戶|Ben代墊|Ariel代墊|中信銀行共用"")), ""內部轉帳(忽略)"",
  AND(E7855&lt;&gt;"""", F7855&lt;&gt;"""", N"&amp;"OT(REGEXMATCH(C7855, ""薪資""))), ""內部轉帳(忽略)"",
  REGEXMATCH(C7855, ""薪資""), ""薪資變動(不計入)"",
  REGEXMATCH(C7855, ""押金""), ""押金往來"",
  AND(E7855&lt;&gt;"""", F7855=""""), ""真實支出"",
  AND(E7855="""", F7855&lt;&gt;""""), ""真實收入"",
  TRUE, ""其他""
)"),"其他")</f>
        <v>其他</v>
      </c>
      <c r="K7855" s="270" t="str">
        <f t="shared" si="2"/>
        <v/>
      </c>
      <c r="L7855">
        <f t="shared" si="3"/>
        <v>0</v>
      </c>
    </row>
    <row r="7856">
      <c r="A7856" s="107"/>
      <c r="D7856" s="270"/>
      <c r="H7856" s="106" t="str">
        <f t="shared" si="1"/>
        <v/>
      </c>
      <c r="J7856" t="str">
        <f>IFERROR(__xludf.DUMMYFUNCTION("IFS(
  AND(REGEXMATCH(E7856, ""台銀籌備帳戶|玉山帳戶""), REGEXMATCH(C7856, ""薪資"")), ""分潤支出"",
  AND(REGEXMATCH(E7856, ""Ben帳戶|Elsa帳戶|Ben代墊|Ariel代墊|中信銀行共用""), REGEXMATCH(F7856, ""Ben帳戶|Elsa帳戶|Ben代墊|Ariel代墊|中信銀行共用"")), ""內部轉帳(忽略)"",
  AND(E7856&lt;&gt;"""", F7856&lt;&gt;"""", N"&amp;"OT(REGEXMATCH(C7856, ""薪資""))), ""內部轉帳(忽略)"",
  REGEXMATCH(C7856, ""薪資""), ""薪資變動(不計入)"",
  REGEXMATCH(C7856, ""押金""), ""押金往來"",
  AND(E7856&lt;&gt;"""", F7856=""""), ""真實支出"",
  AND(E7856="""", F7856&lt;&gt;""""), ""真實收入"",
  TRUE, ""其他""
)"),"其他")</f>
        <v>其他</v>
      </c>
      <c r="K7856" s="270" t="str">
        <f t="shared" si="2"/>
        <v/>
      </c>
      <c r="L7856">
        <f t="shared" si="3"/>
        <v>0</v>
      </c>
    </row>
    <row r="7857">
      <c r="A7857" s="107"/>
      <c r="D7857" s="270"/>
      <c r="H7857" s="106" t="str">
        <f t="shared" si="1"/>
        <v/>
      </c>
      <c r="J7857" t="str">
        <f>IFERROR(__xludf.DUMMYFUNCTION("IFS(
  AND(REGEXMATCH(E7857, ""台銀籌備帳戶|玉山帳戶""), REGEXMATCH(C7857, ""薪資"")), ""分潤支出"",
  AND(REGEXMATCH(E7857, ""Ben帳戶|Elsa帳戶|Ben代墊|Ariel代墊|中信銀行共用""), REGEXMATCH(F7857, ""Ben帳戶|Elsa帳戶|Ben代墊|Ariel代墊|中信銀行共用"")), ""內部轉帳(忽略)"",
  AND(E7857&lt;&gt;"""", F7857&lt;&gt;"""", N"&amp;"OT(REGEXMATCH(C7857, ""薪資""))), ""內部轉帳(忽略)"",
  REGEXMATCH(C7857, ""薪資""), ""薪資變動(不計入)"",
  REGEXMATCH(C7857, ""押金""), ""押金往來"",
  AND(E7857&lt;&gt;"""", F7857=""""), ""真實支出"",
  AND(E7857="""", F7857&lt;&gt;""""), ""真實收入"",
  TRUE, ""其他""
)"),"其他")</f>
        <v>其他</v>
      </c>
      <c r="K7857" s="270" t="str">
        <f t="shared" si="2"/>
        <v/>
      </c>
      <c r="L7857">
        <f t="shared" si="3"/>
        <v>0</v>
      </c>
    </row>
    <row r="7858">
      <c r="A7858" s="107"/>
      <c r="D7858" s="270"/>
      <c r="H7858" s="106" t="str">
        <f t="shared" si="1"/>
        <v/>
      </c>
      <c r="J7858" t="str">
        <f>IFERROR(__xludf.DUMMYFUNCTION("IFS(
  AND(REGEXMATCH(E7858, ""台銀籌備帳戶|玉山帳戶""), REGEXMATCH(C7858, ""薪資"")), ""分潤支出"",
  AND(REGEXMATCH(E7858, ""Ben帳戶|Elsa帳戶|Ben代墊|Ariel代墊|中信銀行共用""), REGEXMATCH(F7858, ""Ben帳戶|Elsa帳戶|Ben代墊|Ariel代墊|中信銀行共用"")), ""內部轉帳(忽略)"",
  AND(E7858&lt;&gt;"""", F7858&lt;&gt;"""", N"&amp;"OT(REGEXMATCH(C7858, ""薪資""))), ""內部轉帳(忽略)"",
  REGEXMATCH(C7858, ""薪資""), ""薪資變動(不計入)"",
  REGEXMATCH(C7858, ""押金""), ""押金往來"",
  AND(E7858&lt;&gt;"""", F7858=""""), ""真實支出"",
  AND(E7858="""", F7858&lt;&gt;""""), ""真實收入"",
  TRUE, ""其他""
)"),"其他")</f>
        <v>其他</v>
      </c>
      <c r="K7858" s="270" t="str">
        <f t="shared" si="2"/>
        <v/>
      </c>
      <c r="L7858">
        <f t="shared" si="3"/>
        <v>0</v>
      </c>
    </row>
    <row r="7859">
      <c r="A7859" s="107"/>
      <c r="D7859" s="270"/>
      <c r="H7859" s="106" t="str">
        <f t="shared" si="1"/>
        <v/>
      </c>
      <c r="J7859" t="str">
        <f>IFERROR(__xludf.DUMMYFUNCTION("IFS(
  AND(REGEXMATCH(E7859, ""台銀籌備帳戶|玉山帳戶""), REGEXMATCH(C7859, ""薪資"")), ""分潤支出"",
  AND(REGEXMATCH(E7859, ""Ben帳戶|Elsa帳戶|Ben代墊|Ariel代墊|中信銀行共用""), REGEXMATCH(F7859, ""Ben帳戶|Elsa帳戶|Ben代墊|Ariel代墊|中信銀行共用"")), ""內部轉帳(忽略)"",
  AND(E7859&lt;&gt;"""", F7859&lt;&gt;"""", N"&amp;"OT(REGEXMATCH(C7859, ""薪資""))), ""內部轉帳(忽略)"",
  REGEXMATCH(C7859, ""薪資""), ""薪資變動(不計入)"",
  REGEXMATCH(C7859, ""押金""), ""押金往來"",
  AND(E7859&lt;&gt;"""", F7859=""""), ""真實支出"",
  AND(E7859="""", F7859&lt;&gt;""""), ""真實收入"",
  TRUE, ""其他""
)"),"其他")</f>
        <v>其他</v>
      </c>
      <c r="K7859" s="270" t="str">
        <f t="shared" si="2"/>
        <v/>
      </c>
      <c r="L7859">
        <f t="shared" si="3"/>
        <v>0</v>
      </c>
    </row>
    <row r="7860">
      <c r="A7860" s="107"/>
      <c r="D7860" s="270"/>
      <c r="H7860" s="106" t="str">
        <f t="shared" si="1"/>
        <v/>
      </c>
      <c r="J7860" t="str">
        <f>IFERROR(__xludf.DUMMYFUNCTION("IFS(
  AND(REGEXMATCH(E7860, ""台銀籌備帳戶|玉山帳戶""), REGEXMATCH(C7860, ""薪資"")), ""分潤支出"",
  AND(REGEXMATCH(E7860, ""Ben帳戶|Elsa帳戶|Ben代墊|Ariel代墊|中信銀行共用""), REGEXMATCH(F7860, ""Ben帳戶|Elsa帳戶|Ben代墊|Ariel代墊|中信銀行共用"")), ""內部轉帳(忽略)"",
  AND(E7860&lt;&gt;"""", F7860&lt;&gt;"""", N"&amp;"OT(REGEXMATCH(C7860, ""薪資""))), ""內部轉帳(忽略)"",
  REGEXMATCH(C7860, ""薪資""), ""薪資變動(不計入)"",
  REGEXMATCH(C7860, ""押金""), ""押金往來"",
  AND(E7860&lt;&gt;"""", F7860=""""), ""真實支出"",
  AND(E7860="""", F7860&lt;&gt;""""), ""真實收入"",
  TRUE, ""其他""
)"),"其他")</f>
        <v>其他</v>
      </c>
      <c r="K7860" s="270" t="str">
        <f t="shared" si="2"/>
        <v/>
      </c>
      <c r="L7860">
        <f t="shared" si="3"/>
        <v>0</v>
      </c>
    </row>
    <row r="7861">
      <c r="A7861" s="107"/>
      <c r="D7861" s="270"/>
      <c r="H7861" s="106" t="str">
        <f t="shared" si="1"/>
        <v/>
      </c>
      <c r="J7861" t="str">
        <f>IFERROR(__xludf.DUMMYFUNCTION("IFS(
  AND(REGEXMATCH(E7861, ""台銀籌備帳戶|玉山帳戶""), REGEXMATCH(C7861, ""薪資"")), ""分潤支出"",
  AND(REGEXMATCH(E7861, ""Ben帳戶|Elsa帳戶|Ben代墊|Ariel代墊|中信銀行共用""), REGEXMATCH(F7861, ""Ben帳戶|Elsa帳戶|Ben代墊|Ariel代墊|中信銀行共用"")), ""內部轉帳(忽略)"",
  AND(E7861&lt;&gt;"""", F7861&lt;&gt;"""", N"&amp;"OT(REGEXMATCH(C7861, ""薪資""))), ""內部轉帳(忽略)"",
  REGEXMATCH(C7861, ""薪資""), ""薪資變動(不計入)"",
  REGEXMATCH(C7861, ""押金""), ""押金往來"",
  AND(E7861&lt;&gt;"""", F7861=""""), ""真實支出"",
  AND(E7861="""", F7861&lt;&gt;""""), ""真實收入"",
  TRUE, ""其他""
)"),"其他")</f>
        <v>其他</v>
      </c>
      <c r="K7861" s="270" t="str">
        <f t="shared" si="2"/>
        <v/>
      </c>
      <c r="L7861">
        <f t="shared" si="3"/>
        <v>0</v>
      </c>
    </row>
    <row r="7862">
      <c r="A7862" s="107"/>
      <c r="D7862" s="270"/>
      <c r="H7862" s="106" t="str">
        <f t="shared" si="1"/>
        <v/>
      </c>
      <c r="J7862" t="str">
        <f>IFERROR(__xludf.DUMMYFUNCTION("IFS(
  AND(REGEXMATCH(E7862, ""台銀籌備帳戶|玉山帳戶""), REGEXMATCH(C7862, ""薪資"")), ""分潤支出"",
  AND(REGEXMATCH(E7862, ""Ben帳戶|Elsa帳戶|Ben代墊|Ariel代墊|中信銀行共用""), REGEXMATCH(F7862, ""Ben帳戶|Elsa帳戶|Ben代墊|Ariel代墊|中信銀行共用"")), ""內部轉帳(忽略)"",
  AND(E7862&lt;&gt;"""", F7862&lt;&gt;"""", N"&amp;"OT(REGEXMATCH(C7862, ""薪資""))), ""內部轉帳(忽略)"",
  REGEXMATCH(C7862, ""薪資""), ""薪資變動(不計入)"",
  REGEXMATCH(C7862, ""押金""), ""押金往來"",
  AND(E7862&lt;&gt;"""", F7862=""""), ""真實支出"",
  AND(E7862="""", F7862&lt;&gt;""""), ""真實收入"",
  TRUE, ""其他""
)"),"其他")</f>
        <v>其他</v>
      </c>
      <c r="K7862" s="270" t="str">
        <f t="shared" si="2"/>
        <v/>
      </c>
      <c r="L7862">
        <f t="shared" si="3"/>
        <v>0</v>
      </c>
    </row>
    <row r="7863">
      <c r="A7863" s="107"/>
      <c r="D7863" s="270"/>
      <c r="H7863" s="106" t="str">
        <f t="shared" si="1"/>
        <v/>
      </c>
      <c r="J7863" t="str">
        <f>IFERROR(__xludf.DUMMYFUNCTION("IFS(
  AND(REGEXMATCH(E7863, ""台銀籌備帳戶|玉山帳戶""), REGEXMATCH(C7863, ""薪資"")), ""分潤支出"",
  AND(REGEXMATCH(E7863, ""Ben帳戶|Elsa帳戶|Ben代墊|Ariel代墊|中信銀行共用""), REGEXMATCH(F7863, ""Ben帳戶|Elsa帳戶|Ben代墊|Ariel代墊|中信銀行共用"")), ""內部轉帳(忽略)"",
  AND(E7863&lt;&gt;"""", F7863&lt;&gt;"""", N"&amp;"OT(REGEXMATCH(C7863, ""薪資""))), ""內部轉帳(忽略)"",
  REGEXMATCH(C7863, ""薪資""), ""薪資變動(不計入)"",
  REGEXMATCH(C7863, ""押金""), ""押金往來"",
  AND(E7863&lt;&gt;"""", F7863=""""), ""真實支出"",
  AND(E7863="""", F7863&lt;&gt;""""), ""真實收入"",
  TRUE, ""其他""
)"),"其他")</f>
        <v>其他</v>
      </c>
      <c r="K7863" s="270" t="str">
        <f t="shared" si="2"/>
        <v/>
      </c>
      <c r="L7863">
        <f t="shared" si="3"/>
        <v>0</v>
      </c>
    </row>
    <row r="7864">
      <c r="A7864" s="107"/>
      <c r="D7864" s="270"/>
      <c r="H7864" s="106" t="str">
        <f t="shared" si="1"/>
        <v/>
      </c>
      <c r="J7864" t="str">
        <f>IFERROR(__xludf.DUMMYFUNCTION("IFS(
  AND(REGEXMATCH(E7864, ""台銀籌備帳戶|玉山帳戶""), REGEXMATCH(C7864, ""薪資"")), ""分潤支出"",
  AND(REGEXMATCH(E7864, ""Ben帳戶|Elsa帳戶|Ben代墊|Ariel代墊|中信銀行共用""), REGEXMATCH(F7864, ""Ben帳戶|Elsa帳戶|Ben代墊|Ariel代墊|中信銀行共用"")), ""內部轉帳(忽略)"",
  AND(E7864&lt;&gt;"""", F7864&lt;&gt;"""", N"&amp;"OT(REGEXMATCH(C7864, ""薪資""))), ""內部轉帳(忽略)"",
  REGEXMATCH(C7864, ""薪資""), ""薪資變動(不計入)"",
  REGEXMATCH(C7864, ""押金""), ""押金往來"",
  AND(E7864&lt;&gt;"""", F7864=""""), ""真實支出"",
  AND(E7864="""", F7864&lt;&gt;""""), ""真實收入"",
  TRUE, ""其他""
)"),"其他")</f>
        <v>其他</v>
      </c>
      <c r="K7864" s="270" t="str">
        <f t="shared" si="2"/>
        <v/>
      </c>
      <c r="L7864">
        <f t="shared" si="3"/>
        <v>0</v>
      </c>
    </row>
    <row r="7865">
      <c r="A7865" s="107"/>
      <c r="D7865" s="270"/>
      <c r="H7865" s="106" t="str">
        <f t="shared" si="1"/>
        <v/>
      </c>
      <c r="J7865" t="str">
        <f>IFERROR(__xludf.DUMMYFUNCTION("IFS(
  AND(REGEXMATCH(E7865, ""台銀籌備帳戶|玉山帳戶""), REGEXMATCH(C7865, ""薪資"")), ""分潤支出"",
  AND(REGEXMATCH(E7865, ""Ben帳戶|Elsa帳戶|Ben代墊|Ariel代墊|中信銀行共用""), REGEXMATCH(F7865, ""Ben帳戶|Elsa帳戶|Ben代墊|Ariel代墊|中信銀行共用"")), ""內部轉帳(忽略)"",
  AND(E7865&lt;&gt;"""", F7865&lt;&gt;"""", N"&amp;"OT(REGEXMATCH(C7865, ""薪資""))), ""內部轉帳(忽略)"",
  REGEXMATCH(C7865, ""薪資""), ""薪資變動(不計入)"",
  REGEXMATCH(C7865, ""押金""), ""押金往來"",
  AND(E7865&lt;&gt;"""", F7865=""""), ""真實支出"",
  AND(E7865="""", F7865&lt;&gt;""""), ""真實收入"",
  TRUE, ""其他""
)"),"其他")</f>
        <v>其他</v>
      </c>
      <c r="K7865" s="270" t="str">
        <f t="shared" si="2"/>
        <v/>
      </c>
      <c r="L7865">
        <f t="shared" si="3"/>
        <v>0</v>
      </c>
    </row>
    <row r="7866">
      <c r="A7866" s="107"/>
      <c r="D7866" s="270"/>
      <c r="H7866" s="106" t="str">
        <f t="shared" si="1"/>
        <v/>
      </c>
      <c r="J7866" t="str">
        <f>IFERROR(__xludf.DUMMYFUNCTION("IFS(
  AND(REGEXMATCH(E7866, ""台銀籌備帳戶|玉山帳戶""), REGEXMATCH(C7866, ""薪資"")), ""分潤支出"",
  AND(REGEXMATCH(E7866, ""Ben帳戶|Elsa帳戶|Ben代墊|Ariel代墊|中信銀行共用""), REGEXMATCH(F7866, ""Ben帳戶|Elsa帳戶|Ben代墊|Ariel代墊|中信銀行共用"")), ""內部轉帳(忽略)"",
  AND(E7866&lt;&gt;"""", F7866&lt;&gt;"""", N"&amp;"OT(REGEXMATCH(C7866, ""薪資""))), ""內部轉帳(忽略)"",
  REGEXMATCH(C7866, ""薪資""), ""薪資變動(不計入)"",
  REGEXMATCH(C7866, ""押金""), ""押金往來"",
  AND(E7866&lt;&gt;"""", F7866=""""), ""真實支出"",
  AND(E7866="""", F7866&lt;&gt;""""), ""真實收入"",
  TRUE, ""其他""
)"),"其他")</f>
        <v>其他</v>
      </c>
      <c r="K7866" s="270" t="str">
        <f t="shared" si="2"/>
        <v/>
      </c>
      <c r="L7866">
        <f t="shared" si="3"/>
        <v>0</v>
      </c>
    </row>
    <row r="7867">
      <c r="A7867" s="107"/>
      <c r="D7867" s="270"/>
      <c r="H7867" s="106" t="str">
        <f t="shared" si="1"/>
        <v/>
      </c>
      <c r="J7867" t="str">
        <f>IFERROR(__xludf.DUMMYFUNCTION("IFS(
  AND(REGEXMATCH(E7867, ""台銀籌備帳戶|玉山帳戶""), REGEXMATCH(C7867, ""薪資"")), ""分潤支出"",
  AND(REGEXMATCH(E7867, ""Ben帳戶|Elsa帳戶|Ben代墊|Ariel代墊|中信銀行共用""), REGEXMATCH(F7867, ""Ben帳戶|Elsa帳戶|Ben代墊|Ariel代墊|中信銀行共用"")), ""內部轉帳(忽略)"",
  AND(E7867&lt;&gt;"""", F7867&lt;&gt;"""", N"&amp;"OT(REGEXMATCH(C7867, ""薪資""))), ""內部轉帳(忽略)"",
  REGEXMATCH(C7867, ""薪資""), ""薪資變動(不計入)"",
  REGEXMATCH(C7867, ""押金""), ""押金往來"",
  AND(E7867&lt;&gt;"""", F7867=""""), ""真實支出"",
  AND(E7867="""", F7867&lt;&gt;""""), ""真實收入"",
  TRUE, ""其他""
)"),"其他")</f>
        <v>其他</v>
      </c>
      <c r="K7867" s="270" t="str">
        <f t="shared" si="2"/>
        <v/>
      </c>
      <c r="L7867">
        <f t="shared" si="3"/>
        <v>0</v>
      </c>
    </row>
    <row r="7868">
      <c r="A7868" s="107"/>
      <c r="D7868" s="270"/>
      <c r="H7868" s="106" t="str">
        <f t="shared" si="1"/>
        <v/>
      </c>
      <c r="J7868" t="str">
        <f>IFERROR(__xludf.DUMMYFUNCTION("IFS(
  AND(REGEXMATCH(E7868, ""台銀籌備帳戶|玉山帳戶""), REGEXMATCH(C7868, ""薪資"")), ""分潤支出"",
  AND(REGEXMATCH(E7868, ""Ben帳戶|Elsa帳戶|Ben代墊|Ariel代墊|中信銀行共用""), REGEXMATCH(F7868, ""Ben帳戶|Elsa帳戶|Ben代墊|Ariel代墊|中信銀行共用"")), ""內部轉帳(忽略)"",
  AND(E7868&lt;&gt;"""", F7868&lt;&gt;"""", N"&amp;"OT(REGEXMATCH(C7868, ""薪資""))), ""內部轉帳(忽略)"",
  REGEXMATCH(C7868, ""薪資""), ""薪資變動(不計入)"",
  REGEXMATCH(C7868, ""押金""), ""押金往來"",
  AND(E7868&lt;&gt;"""", F7868=""""), ""真實支出"",
  AND(E7868="""", F7868&lt;&gt;""""), ""真實收入"",
  TRUE, ""其他""
)"),"其他")</f>
        <v>其他</v>
      </c>
      <c r="K7868" s="270" t="str">
        <f t="shared" si="2"/>
        <v/>
      </c>
      <c r="L7868">
        <f t="shared" si="3"/>
        <v>0</v>
      </c>
    </row>
    <row r="7869">
      <c r="A7869" s="107"/>
      <c r="D7869" s="270"/>
      <c r="H7869" s="106" t="str">
        <f t="shared" si="1"/>
        <v/>
      </c>
      <c r="J7869" t="str">
        <f>IFERROR(__xludf.DUMMYFUNCTION("IFS(
  AND(REGEXMATCH(E7869, ""台銀籌備帳戶|玉山帳戶""), REGEXMATCH(C7869, ""薪資"")), ""分潤支出"",
  AND(REGEXMATCH(E7869, ""Ben帳戶|Elsa帳戶|Ben代墊|Ariel代墊|中信銀行共用""), REGEXMATCH(F7869, ""Ben帳戶|Elsa帳戶|Ben代墊|Ariel代墊|中信銀行共用"")), ""內部轉帳(忽略)"",
  AND(E7869&lt;&gt;"""", F7869&lt;&gt;"""", N"&amp;"OT(REGEXMATCH(C7869, ""薪資""))), ""內部轉帳(忽略)"",
  REGEXMATCH(C7869, ""薪資""), ""薪資變動(不計入)"",
  REGEXMATCH(C7869, ""押金""), ""押金往來"",
  AND(E7869&lt;&gt;"""", F7869=""""), ""真實支出"",
  AND(E7869="""", F7869&lt;&gt;""""), ""真實收入"",
  TRUE, ""其他""
)"),"其他")</f>
        <v>其他</v>
      </c>
      <c r="K7869" s="270" t="str">
        <f t="shared" si="2"/>
        <v/>
      </c>
      <c r="L7869">
        <f t="shared" si="3"/>
        <v>0</v>
      </c>
    </row>
    <row r="7870">
      <c r="A7870" s="107"/>
      <c r="D7870" s="270"/>
      <c r="H7870" s="106" t="str">
        <f t="shared" si="1"/>
        <v/>
      </c>
      <c r="J7870" t="str">
        <f>IFERROR(__xludf.DUMMYFUNCTION("IFS(
  AND(REGEXMATCH(E7870, ""台銀籌備帳戶|玉山帳戶""), REGEXMATCH(C7870, ""薪資"")), ""分潤支出"",
  AND(REGEXMATCH(E7870, ""Ben帳戶|Elsa帳戶|Ben代墊|Ariel代墊|中信銀行共用""), REGEXMATCH(F7870, ""Ben帳戶|Elsa帳戶|Ben代墊|Ariel代墊|中信銀行共用"")), ""內部轉帳(忽略)"",
  AND(E7870&lt;&gt;"""", F7870&lt;&gt;"""", N"&amp;"OT(REGEXMATCH(C7870, ""薪資""))), ""內部轉帳(忽略)"",
  REGEXMATCH(C7870, ""薪資""), ""薪資變動(不計入)"",
  REGEXMATCH(C7870, ""押金""), ""押金往來"",
  AND(E7870&lt;&gt;"""", F7870=""""), ""真實支出"",
  AND(E7870="""", F7870&lt;&gt;""""), ""真實收入"",
  TRUE, ""其他""
)"),"其他")</f>
        <v>其他</v>
      </c>
      <c r="K7870" s="270" t="str">
        <f t="shared" si="2"/>
        <v/>
      </c>
      <c r="L7870">
        <f t="shared" si="3"/>
        <v>0</v>
      </c>
    </row>
    <row r="7871">
      <c r="A7871" s="107"/>
      <c r="D7871" s="270"/>
      <c r="H7871" s="106" t="str">
        <f t="shared" si="1"/>
        <v/>
      </c>
      <c r="J7871" t="str">
        <f>IFERROR(__xludf.DUMMYFUNCTION("IFS(
  AND(REGEXMATCH(E7871, ""台銀籌備帳戶|玉山帳戶""), REGEXMATCH(C7871, ""薪資"")), ""分潤支出"",
  AND(REGEXMATCH(E7871, ""Ben帳戶|Elsa帳戶|Ben代墊|Ariel代墊|中信銀行共用""), REGEXMATCH(F7871, ""Ben帳戶|Elsa帳戶|Ben代墊|Ariel代墊|中信銀行共用"")), ""內部轉帳(忽略)"",
  AND(E7871&lt;&gt;"""", F7871&lt;&gt;"""", N"&amp;"OT(REGEXMATCH(C7871, ""薪資""))), ""內部轉帳(忽略)"",
  REGEXMATCH(C7871, ""薪資""), ""薪資變動(不計入)"",
  REGEXMATCH(C7871, ""押金""), ""押金往來"",
  AND(E7871&lt;&gt;"""", F7871=""""), ""真實支出"",
  AND(E7871="""", F7871&lt;&gt;""""), ""真實收入"",
  TRUE, ""其他""
)"),"其他")</f>
        <v>其他</v>
      </c>
      <c r="K7871" s="270" t="str">
        <f t="shared" si="2"/>
        <v/>
      </c>
      <c r="L7871">
        <f t="shared" si="3"/>
        <v>0</v>
      </c>
    </row>
    <row r="7872">
      <c r="A7872" s="107"/>
      <c r="D7872" s="270"/>
      <c r="H7872" s="106" t="str">
        <f t="shared" si="1"/>
        <v/>
      </c>
      <c r="J7872" t="str">
        <f>IFERROR(__xludf.DUMMYFUNCTION("IFS(
  AND(REGEXMATCH(E7872, ""台銀籌備帳戶|玉山帳戶""), REGEXMATCH(C7872, ""薪資"")), ""分潤支出"",
  AND(REGEXMATCH(E7872, ""Ben帳戶|Elsa帳戶|Ben代墊|Ariel代墊|中信銀行共用""), REGEXMATCH(F7872, ""Ben帳戶|Elsa帳戶|Ben代墊|Ariel代墊|中信銀行共用"")), ""內部轉帳(忽略)"",
  AND(E7872&lt;&gt;"""", F7872&lt;&gt;"""", N"&amp;"OT(REGEXMATCH(C7872, ""薪資""))), ""內部轉帳(忽略)"",
  REGEXMATCH(C7872, ""薪資""), ""薪資變動(不計入)"",
  REGEXMATCH(C7872, ""押金""), ""押金往來"",
  AND(E7872&lt;&gt;"""", F7872=""""), ""真實支出"",
  AND(E7872="""", F7872&lt;&gt;""""), ""真實收入"",
  TRUE, ""其他""
)"),"其他")</f>
        <v>其他</v>
      </c>
      <c r="K7872" s="270" t="str">
        <f t="shared" si="2"/>
        <v/>
      </c>
      <c r="L7872">
        <f t="shared" si="3"/>
        <v>0</v>
      </c>
    </row>
    <row r="7873">
      <c r="A7873" s="107"/>
      <c r="D7873" s="270"/>
      <c r="H7873" s="106" t="str">
        <f t="shared" si="1"/>
        <v/>
      </c>
      <c r="J7873" t="str">
        <f>IFERROR(__xludf.DUMMYFUNCTION("IFS(
  AND(REGEXMATCH(E7873, ""台銀籌備帳戶|玉山帳戶""), REGEXMATCH(C7873, ""薪資"")), ""分潤支出"",
  AND(REGEXMATCH(E7873, ""Ben帳戶|Elsa帳戶|Ben代墊|Ariel代墊|中信銀行共用""), REGEXMATCH(F7873, ""Ben帳戶|Elsa帳戶|Ben代墊|Ariel代墊|中信銀行共用"")), ""內部轉帳(忽略)"",
  AND(E7873&lt;&gt;"""", F7873&lt;&gt;"""", N"&amp;"OT(REGEXMATCH(C7873, ""薪資""))), ""內部轉帳(忽略)"",
  REGEXMATCH(C7873, ""薪資""), ""薪資變動(不計入)"",
  REGEXMATCH(C7873, ""押金""), ""押金往來"",
  AND(E7873&lt;&gt;"""", F7873=""""), ""真實支出"",
  AND(E7873="""", F7873&lt;&gt;""""), ""真實收入"",
  TRUE, ""其他""
)"),"其他")</f>
        <v>其他</v>
      </c>
      <c r="K7873" s="270" t="str">
        <f t="shared" si="2"/>
        <v/>
      </c>
      <c r="L7873">
        <f t="shared" si="3"/>
        <v>0</v>
      </c>
    </row>
    <row r="7874">
      <c r="A7874" s="107"/>
      <c r="D7874" s="270"/>
      <c r="H7874" s="106" t="str">
        <f t="shared" si="1"/>
        <v/>
      </c>
      <c r="J7874" t="str">
        <f>IFERROR(__xludf.DUMMYFUNCTION("IFS(
  AND(REGEXMATCH(E7874, ""台銀籌備帳戶|玉山帳戶""), REGEXMATCH(C7874, ""薪資"")), ""分潤支出"",
  AND(REGEXMATCH(E7874, ""Ben帳戶|Elsa帳戶|Ben代墊|Ariel代墊|中信銀行共用""), REGEXMATCH(F7874, ""Ben帳戶|Elsa帳戶|Ben代墊|Ariel代墊|中信銀行共用"")), ""內部轉帳(忽略)"",
  AND(E7874&lt;&gt;"""", F7874&lt;&gt;"""", N"&amp;"OT(REGEXMATCH(C7874, ""薪資""))), ""內部轉帳(忽略)"",
  REGEXMATCH(C7874, ""薪資""), ""薪資變動(不計入)"",
  REGEXMATCH(C7874, ""押金""), ""押金往來"",
  AND(E7874&lt;&gt;"""", F7874=""""), ""真實支出"",
  AND(E7874="""", F7874&lt;&gt;""""), ""真實收入"",
  TRUE, ""其他""
)"),"其他")</f>
        <v>其他</v>
      </c>
      <c r="K7874" s="270" t="str">
        <f t="shared" si="2"/>
        <v/>
      </c>
      <c r="L7874">
        <f t="shared" si="3"/>
        <v>0</v>
      </c>
    </row>
    <row r="7875">
      <c r="A7875" s="107"/>
      <c r="D7875" s="270"/>
      <c r="H7875" s="106" t="str">
        <f t="shared" si="1"/>
        <v/>
      </c>
      <c r="J7875" t="str">
        <f>IFERROR(__xludf.DUMMYFUNCTION("IFS(
  AND(REGEXMATCH(E7875, ""台銀籌備帳戶|玉山帳戶""), REGEXMATCH(C7875, ""薪資"")), ""分潤支出"",
  AND(REGEXMATCH(E7875, ""Ben帳戶|Elsa帳戶|Ben代墊|Ariel代墊|中信銀行共用""), REGEXMATCH(F7875, ""Ben帳戶|Elsa帳戶|Ben代墊|Ariel代墊|中信銀行共用"")), ""內部轉帳(忽略)"",
  AND(E7875&lt;&gt;"""", F7875&lt;&gt;"""", N"&amp;"OT(REGEXMATCH(C7875, ""薪資""))), ""內部轉帳(忽略)"",
  REGEXMATCH(C7875, ""薪資""), ""薪資變動(不計入)"",
  REGEXMATCH(C7875, ""押金""), ""押金往來"",
  AND(E7875&lt;&gt;"""", F7875=""""), ""真實支出"",
  AND(E7875="""", F7875&lt;&gt;""""), ""真實收入"",
  TRUE, ""其他""
)"),"其他")</f>
        <v>其他</v>
      </c>
      <c r="K7875" s="270" t="str">
        <f t="shared" si="2"/>
        <v/>
      </c>
      <c r="L7875">
        <f t="shared" si="3"/>
        <v>0</v>
      </c>
    </row>
    <row r="7876">
      <c r="A7876" s="107"/>
      <c r="D7876" s="270"/>
      <c r="H7876" s="106" t="str">
        <f t="shared" si="1"/>
        <v/>
      </c>
      <c r="J7876" t="str">
        <f>IFERROR(__xludf.DUMMYFUNCTION("IFS(
  AND(REGEXMATCH(E7876, ""台銀籌備帳戶|玉山帳戶""), REGEXMATCH(C7876, ""薪資"")), ""分潤支出"",
  AND(REGEXMATCH(E7876, ""Ben帳戶|Elsa帳戶|Ben代墊|Ariel代墊|中信銀行共用""), REGEXMATCH(F7876, ""Ben帳戶|Elsa帳戶|Ben代墊|Ariel代墊|中信銀行共用"")), ""內部轉帳(忽略)"",
  AND(E7876&lt;&gt;"""", F7876&lt;&gt;"""", N"&amp;"OT(REGEXMATCH(C7876, ""薪資""))), ""內部轉帳(忽略)"",
  REGEXMATCH(C7876, ""薪資""), ""薪資變動(不計入)"",
  REGEXMATCH(C7876, ""押金""), ""押金往來"",
  AND(E7876&lt;&gt;"""", F7876=""""), ""真實支出"",
  AND(E7876="""", F7876&lt;&gt;""""), ""真實收入"",
  TRUE, ""其他""
)"),"其他")</f>
        <v>其他</v>
      </c>
      <c r="K7876" s="270" t="str">
        <f t="shared" si="2"/>
        <v/>
      </c>
      <c r="L7876">
        <f t="shared" si="3"/>
        <v>0</v>
      </c>
    </row>
    <row r="7877">
      <c r="A7877" s="107"/>
      <c r="D7877" s="270"/>
      <c r="H7877" s="106" t="str">
        <f t="shared" si="1"/>
        <v/>
      </c>
      <c r="J7877" t="str">
        <f>IFERROR(__xludf.DUMMYFUNCTION("IFS(
  AND(REGEXMATCH(E7877, ""台銀籌備帳戶|玉山帳戶""), REGEXMATCH(C7877, ""薪資"")), ""分潤支出"",
  AND(REGEXMATCH(E7877, ""Ben帳戶|Elsa帳戶|Ben代墊|Ariel代墊|中信銀行共用""), REGEXMATCH(F7877, ""Ben帳戶|Elsa帳戶|Ben代墊|Ariel代墊|中信銀行共用"")), ""內部轉帳(忽略)"",
  AND(E7877&lt;&gt;"""", F7877&lt;&gt;"""", N"&amp;"OT(REGEXMATCH(C7877, ""薪資""))), ""內部轉帳(忽略)"",
  REGEXMATCH(C7877, ""薪資""), ""薪資變動(不計入)"",
  REGEXMATCH(C7877, ""押金""), ""押金往來"",
  AND(E7877&lt;&gt;"""", F7877=""""), ""真實支出"",
  AND(E7877="""", F7877&lt;&gt;""""), ""真實收入"",
  TRUE, ""其他""
)"),"其他")</f>
        <v>其他</v>
      </c>
      <c r="K7877" s="270" t="str">
        <f t="shared" si="2"/>
        <v/>
      </c>
      <c r="L7877">
        <f t="shared" si="3"/>
        <v>0</v>
      </c>
    </row>
    <row r="7878">
      <c r="A7878" s="107"/>
      <c r="D7878" s="270"/>
      <c r="H7878" s="106" t="str">
        <f t="shared" si="1"/>
        <v/>
      </c>
      <c r="J7878" t="str">
        <f>IFERROR(__xludf.DUMMYFUNCTION("IFS(
  AND(REGEXMATCH(E7878, ""台銀籌備帳戶|玉山帳戶""), REGEXMATCH(C7878, ""薪資"")), ""分潤支出"",
  AND(REGEXMATCH(E7878, ""Ben帳戶|Elsa帳戶|Ben代墊|Ariel代墊|中信銀行共用""), REGEXMATCH(F7878, ""Ben帳戶|Elsa帳戶|Ben代墊|Ariel代墊|中信銀行共用"")), ""內部轉帳(忽略)"",
  AND(E7878&lt;&gt;"""", F7878&lt;&gt;"""", N"&amp;"OT(REGEXMATCH(C7878, ""薪資""))), ""內部轉帳(忽略)"",
  REGEXMATCH(C7878, ""薪資""), ""薪資變動(不計入)"",
  REGEXMATCH(C7878, ""押金""), ""押金往來"",
  AND(E7878&lt;&gt;"""", F7878=""""), ""真實支出"",
  AND(E7878="""", F7878&lt;&gt;""""), ""真實收入"",
  TRUE, ""其他""
)"),"其他")</f>
        <v>其他</v>
      </c>
      <c r="K7878" s="270" t="str">
        <f t="shared" si="2"/>
        <v/>
      </c>
      <c r="L7878">
        <f t="shared" si="3"/>
        <v>0</v>
      </c>
    </row>
    <row r="7879">
      <c r="A7879" s="107"/>
      <c r="D7879" s="270"/>
      <c r="H7879" s="106" t="str">
        <f t="shared" si="1"/>
        <v/>
      </c>
      <c r="J7879" t="str">
        <f>IFERROR(__xludf.DUMMYFUNCTION("IFS(
  AND(REGEXMATCH(E7879, ""台銀籌備帳戶|玉山帳戶""), REGEXMATCH(C7879, ""薪資"")), ""分潤支出"",
  AND(REGEXMATCH(E7879, ""Ben帳戶|Elsa帳戶|Ben代墊|Ariel代墊|中信銀行共用""), REGEXMATCH(F7879, ""Ben帳戶|Elsa帳戶|Ben代墊|Ariel代墊|中信銀行共用"")), ""內部轉帳(忽略)"",
  AND(E7879&lt;&gt;"""", F7879&lt;&gt;"""", N"&amp;"OT(REGEXMATCH(C7879, ""薪資""))), ""內部轉帳(忽略)"",
  REGEXMATCH(C7879, ""薪資""), ""薪資變動(不計入)"",
  REGEXMATCH(C7879, ""押金""), ""押金往來"",
  AND(E7879&lt;&gt;"""", F7879=""""), ""真實支出"",
  AND(E7879="""", F7879&lt;&gt;""""), ""真實收入"",
  TRUE, ""其他""
)"),"其他")</f>
        <v>其他</v>
      </c>
      <c r="K7879" s="270" t="str">
        <f t="shared" si="2"/>
        <v/>
      </c>
      <c r="L7879">
        <f t="shared" si="3"/>
        <v>0</v>
      </c>
    </row>
    <row r="7880">
      <c r="A7880" s="107"/>
      <c r="D7880" s="270"/>
      <c r="H7880" s="106" t="str">
        <f t="shared" si="1"/>
        <v/>
      </c>
      <c r="J7880" t="str">
        <f>IFERROR(__xludf.DUMMYFUNCTION("IFS(
  AND(REGEXMATCH(E7880, ""台銀籌備帳戶|玉山帳戶""), REGEXMATCH(C7880, ""薪資"")), ""分潤支出"",
  AND(REGEXMATCH(E7880, ""Ben帳戶|Elsa帳戶|Ben代墊|Ariel代墊|中信銀行共用""), REGEXMATCH(F7880, ""Ben帳戶|Elsa帳戶|Ben代墊|Ariel代墊|中信銀行共用"")), ""內部轉帳(忽略)"",
  AND(E7880&lt;&gt;"""", F7880&lt;&gt;"""", N"&amp;"OT(REGEXMATCH(C7880, ""薪資""))), ""內部轉帳(忽略)"",
  REGEXMATCH(C7880, ""薪資""), ""薪資變動(不計入)"",
  REGEXMATCH(C7880, ""押金""), ""押金往來"",
  AND(E7880&lt;&gt;"""", F7880=""""), ""真實支出"",
  AND(E7880="""", F7880&lt;&gt;""""), ""真實收入"",
  TRUE, ""其他""
)"),"其他")</f>
        <v>其他</v>
      </c>
      <c r="K7880" s="270" t="str">
        <f t="shared" si="2"/>
        <v/>
      </c>
      <c r="L7880">
        <f t="shared" si="3"/>
        <v>0</v>
      </c>
    </row>
    <row r="7881">
      <c r="A7881" s="107"/>
      <c r="D7881" s="270"/>
      <c r="H7881" s="106" t="str">
        <f t="shared" si="1"/>
        <v/>
      </c>
      <c r="J7881" t="str">
        <f>IFERROR(__xludf.DUMMYFUNCTION("IFS(
  AND(REGEXMATCH(E7881, ""台銀籌備帳戶|玉山帳戶""), REGEXMATCH(C7881, ""薪資"")), ""分潤支出"",
  AND(REGEXMATCH(E7881, ""Ben帳戶|Elsa帳戶|Ben代墊|Ariel代墊|中信銀行共用""), REGEXMATCH(F7881, ""Ben帳戶|Elsa帳戶|Ben代墊|Ariel代墊|中信銀行共用"")), ""內部轉帳(忽略)"",
  AND(E7881&lt;&gt;"""", F7881&lt;&gt;"""", N"&amp;"OT(REGEXMATCH(C7881, ""薪資""))), ""內部轉帳(忽略)"",
  REGEXMATCH(C7881, ""薪資""), ""薪資變動(不計入)"",
  REGEXMATCH(C7881, ""押金""), ""押金往來"",
  AND(E7881&lt;&gt;"""", F7881=""""), ""真實支出"",
  AND(E7881="""", F7881&lt;&gt;""""), ""真實收入"",
  TRUE, ""其他""
)"),"其他")</f>
        <v>其他</v>
      </c>
      <c r="K7881" s="270" t="str">
        <f t="shared" si="2"/>
        <v/>
      </c>
      <c r="L7881">
        <f t="shared" si="3"/>
        <v>0</v>
      </c>
    </row>
    <row r="7882">
      <c r="A7882" s="107"/>
      <c r="D7882" s="270"/>
      <c r="H7882" s="106" t="str">
        <f t="shared" si="1"/>
        <v/>
      </c>
      <c r="J7882" t="str">
        <f>IFERROR(__xludf.DUMMYFUNCTION("IFS(
  AND(REGEXMATCH(E7882, ""台銀籌備帳戶|玉山帳戶""), REGEXMATCH(C7882, ""薪資"")), ""分潤支出"",
  AND(REGEXMATCH(E7882, ""Ben帳戶|Elsa帳戶|Ben代墊|Ariel代墊|中信銀行共用""), REGEXMATCH(F7882, ""Ben帳戶|Elsa帳戶|Ben代墊|Ariel代墊|中信銀行共用"")), ""內部轉帳(忽略)"",
  AND(E7882&lt;&gt;"""", F7882&lt;&gt;"""", N"&amp;"OT(REGEXMATCH(C7882, ""薪資""))), ""內部轉帳(忽略)"",
  REGEXMATCH(C7882, ""薪資""), ""薪資變動(不計入)"",
  REGEXMATCH(C7882, ""押金""), ""押金往來"",
  AND(E7882&lt;&gt;"""", F7882=""""), ""真實支出"",
  AND(E7882="""", F7882&lt;&gt;""""), ""真實收入"",
  TRUE, ""其他""
)"),"其他")</f>
        <v>其他</v>
      </c>
      <c r="K7882" s="270" t="str">
        <f t="shared" si="2"/>
        <v/>
      </c>
      <c r="L7882">
        <f t="shared" si="3"/>
        <v>0</v>
      </c>
    </row>
    <row r="7883">
      <c r="A7883" s="107"/>
      <c r="D7883" s="270"/>
      <c r="H7883" s="106" t="str">
        <f t="shared" si="1"/>
        <v/>
      </c>
      <c r="J7883" t="str">
        <f>IFERROR(__xludf.DUMMYFUNCTION("IFS(
  AND(REGEXMATCH(E7883, ""台銀籌備帳戶|玉山帳戶""), REGEXMATCH(C7883, ""薪資"")), ""分潤支出"",
  AND(REGEXMATCH(E7883, ""Ben帳戶|Elsa帳戶|Ben代墊|Ariel代墊|中信銀行共用""), REGEXMATCH(F7883, ""Ben帳戶|Elsa帳戶|Ben代墊|Ariel代墊|中信銀行共用"")), ""內部轉帳(忽略)"",
  AND(E7883&lt;&gt;"""", F7883&lt;&gt;"""", N"&amp;"OT(REGEXMATCH(C7883, ""薪資""))), ""內部轉帳(忽略)"",
  REGEXMATCH(C7883, ""薪資""), ""薪資變動(不計入)"",
  REGEXMATCH(C7883, ""押金""), ""押金往來"",
  AND(E7883&lt;&gt;"""", F7883=""""), ""真實支出"",
  AND(E7883="""", F7883&lt;&gt;""""), ""真實收入"",
  TRUE, ""其他""
)"),"其他")</f>
        <v>其他</v>
      </c>
      <c r="K7883" s="270" t="str">
        <f t="shared" si="2"/>
        <v/>
      </c>
      <c r="L7883">
        <f t="shared" si="3"/>
        <v>0</v>
      </c>
    </row>
    <row r="7884">
      <c r="A7884" s="107"/>
      <c r="D7884" s="270"/>
      <c r="H7884" s="106" t="str">
        <f t="shared" si="1"/>
        <v/>
      </c>
      <c r="J7884" t="str">
        <f>IFERROR(__xludf.DUMMYFUNCTION("IFS(
  AND(REGEXMATCH(E7884, ""台銀籌備帳戶|玉山帳戶""), REGEXMATCH(C7884, ""薪資"")), ""分潤支出"",
  AND(REGEXMATCH(E7884, ""Ben帳戶|Elsa帳戶|Ben代墊|Ariel代墊|中信銀行共用""), REGEXMATCH(F7884, ""Ben帳戶|Elsa帳戶|Ben代墊|Ariel代墊|中信銀行共用"")), ""內部轉帳(忽略)"",
  AND(E7884&lt;&gt;"""", F7884&lt;&gt;"""", N"&amp;"OT(REGEXMATCH(C7884, ""薪資""))), ""內部轉帳(忽略)"",
  REGEXMATCH(C7884, ""薪資""), ""薪資變動(不計入)"",
  REGEXMATCH(C7884, ""押金""), ""押金往來"",
  AND(E7884&lt;&gt;"""", F7884=""""), ""真實支出"",
  AND(E7884="""", F7884&lt;&gt;""""), ""真實收入"",
  TRUE, ""其他""
)"),"其他")</f>
        <v>其他</v>
      </c>
      <c r="K7884" s="270" t="str">
        <f t="shared" si="2"/>
        <v/>
      </c>
      <c r="L7884">
        <f t="shared" si="3"/>
        <v>0</v>
      </c>
    </row>
    <row r="7885">
      <c r="A7885" s="107"/>
      <c r="D7885" s="270"/>
      <c r="H7885" s="106" t="str">
        <f t="shared" si="1"/>
        <v/>
      </c>
      <c r="J7885" t="str">
        <f>IFERROR(__xludf.DUMMYFUNCTION("IFS(
  AND(REGEXMATCH(E7885, ""台銀籌備帳戶|玉山帳戶""), REGEXMATCH(C7885, ""薪資"")), ""分潤支出"",
  AND(REGEXMATCH(E7885, ""Ben帳戶|Elsa帳戶|Ben代墊|Ariel代墊|中信銀行共用""), REGEXMATCH(F7885, ""Ben帳戶|Elsa帳戶|Ben代墊|Ariel代墊|中信銀行共用"")), ""內部轉帳(忽略)"",
  AND(E7885&lt;&gt;"""", F7885&lt;&gt;"""", N"&amp;"OT(REGEXMATCH(C7885, ""薪資""))), ""內部轉帳(忽略)"",
  REGEXMATCH(C7885, ""薪資""), ""薪資變動(不計入)"",
  REGEXMATCH(C7885, ""押金""), ""押金往來"",
  AND(E7885&lt;&gt;"""", F7885=""""), ""真實支出"",
  AND(E7885="""", F7885&lt;&gt;""""), ""真實收入"",
  TRUE, ""其他""
)"),"其他")</f>
        <v>其他</v>
      </c>
      <c r="K7885" s="270" t="str">
        <f t="shared" si="2"/>
        <v/>
      </c>
      <c r="L7885">
        <f t="shared" si="3"/>
        <v>0</v>
      </c>
    </row>
    <row r="7886">
      <c r="A7886" s="107"/>
      <c r="D7886" s="270"/>
      <c r="H7886" s="106" t="str">
        <f t="shared" si="1"/>
        <v/>
      </c>
      <c r="J7886" t="str">
        <f>IFERROR(__xludf.DUMMYFUNCTION("IFS(
  AND(REGEXMATCH(E7886, ""台銀籌備帳戶|玉山帳戶""), REGEXMATCH(C7886, ""薪資"")), ""分潤支出"",
  AND(REGEXMATCH(E7886, ""Ben帳戶|Elsa帳戶|Ben代墊|Ariel代墊|中信銀行共用""), REGEXMATCH(F7886, ""Ben帳戶|Elsa帳戶|Ben代墊|Ariel代墊|中信銀行共用"")), ""內部轉帳(忽略)"",
  AND(E7886&lt;&gt;"""", F7886&lt;&gt;"""", N"&amp;"OT(REGEXMATCH(C7886, ""薪資""))), ""內部轉帳(忽略)"",
  REGEXMATCH(C7886, ""薪資""), ""薪資變動(不計入)"",
  REGEXMATCH(C7886, ""押金""), ""押金往來"",
  AND(E7886&lt;&gt;"""", F7886=""""), ""真實支出"",
  AND(E7886="""", F7886&lt;&gt;""""), ""真實收入"",
  TRUE, ""其他""
)"),"其他")</f>
        <v>其他</v>
      </c>
      <c r="K7886" s="270" t="str">
        <f t="shared" si="2"/>
        <v/>
      </c>
      <c r="L7886">
        <f t="shared" si="3"/>
        <v>0</v>
      </c>
    </row>
    <row r="7887">
      <c r="A7887" s="107"/>
      <c r="D7887" s="270"/>
      <c r="H7887" s="106" t="str">
        <f t="shared" si="1"/>
        <v/>
      </c>
      <c r="J7887" t="str">
        <f>IFERROR(__xludf.DUMMYFUNCTION("IFS(
  AND(REGEXMATCH(E7887, ""台銀籌備帳戶|玉山帳戶""), REGEXMATCH(C7887, ""薪資"")), ""分潤支出"",
  AND(REGEXMATCH(E7887, ""Ben帳戶|Elsa帳戶|Ben代墊|Ariel代墊|中信銀行共用""), REGEXMATCH(F7887, ""Ben帳戶|Elsa帳戶|Ben代墊|Ariel代墊|中信銀行共用"")), ""內部轉帳(忽略)"",
  AND(E7887&lt;&gt;"""", F7887&lt;&gt;"""", N"&amp;"OT(REGEXMATCH(C7887, ""薪資""))), ""內部轉帳(忽略)"",
  REGEXMATCH(C7887, ""薪資""), ""薪資變動(不計入)"",
  REGEXMATCH(C7887, ""押金""), ""押金往來"",
  AND(E7887&lt;&gt;"""", F7887=""""), ""真實支出"",
  AND(E7887="""", F7887&lt;&gt;""""), ""真實收入"",
  TRUE, ""其他""
)"),"其他")</f>
        <v>其他</v>
      </c>
      <c r="K7887" s="270" t="str">
        <f t="shared" si="2"/>
        <v/>
      </c>
      <c r="L7887">
        <f t="shared" si="3"/>
        <v>0</v>
      </c>
    </row>
    <row r="7888">
      <c r="A7888" s="107"/>
      <c r="D7888" s="270"/>
      <c r="H7888" s="106" t="str">
        <f t="shared" si="1"/>
        <v/>
      </c>
      <c r="J7888" t="str">
        <f>IFERROR(__xludf.DUMMYFUNCTION("IFS(
  AND(REGEXMATCH(E7888, ""台銀籌備帳戶|玉山帳戶""), REGEXMATCH(C7888, ""薪資"")), ""分潤支出"",
  AND(REGEXMATCH(E7888, ""Ben帳戶|Elsa帳戶|Ben代墊|Ariel代墊|中信銀行共用""), REGEXMATCH(F7888, ""Ben帳戶|Elsa帳戶|Ben代墊|Ariel代墊|中信銀行共用"")), ""內部轉帳(忽略)"",
  AND(E7888&lt;&gt;"""", F7888&lt;&gt;"""", N"&amp;"OT(REGEXMATCH(C7888, ""薪資""))), ""內部轉帳(忽略)"",
  REGEXMATCH(C7888, ""薪資""), ""薪資變動(不計入)"",
  REGEXMATCH(C7888, ""押金""), ""押金往來"",
  AND(E7888&lt;&gt;"""", F7888=""""), ""真實支出"",
  AND(E7888="""", F7888&lt;&gt;""""), ""真實收入"",
  TRUE, ""其他""
)"),"其他")</f>
        <v>其他</v>
      </c>
      <c r="K7888" s="270" t="str">
        <f t="shared" si="2"/>
        <v/>
      </c>
      <c r="L7888">
        <f t="shared" si="3"/>
        <v>0</v>
      </c>
    </row>
    <row r="7889">
      <c r="A7889" s="107"/>
      <c r="D7889" s="270"/>
      <c r="H7889" s="106" t="str">
        <f t="shared" si="1"/>
        <v/>
      </c>
      <c r="J7889" t="str">
        <f>IFERROR(__xludf.DUMMYFUNCTION("IFS(
  AND(REGEXMATCH(E7889, ""台銀籌備帳戶|玉山帳戶""), REGEXMATCH(C7889, ""薪資"")), ""分潤支出"",
  AND(REGEXMATCH(E7889, ""Ben帳戶|Elsa帳戶|Ben代墊|Ariel代墊|中信銀行共用""), REGEXMATCH(F7889, ""Ben帳戶|Elsa帳戶|Ben代墊|Ariel代墊|中信銀行共用"")), ""內部轉帳(忽略)"",
  AND(E7889&lt;&gt;"""", F7889&lt;&gt;"""", N"&amp;"OT(REGEXMATCH(C7889, ""薪資""))), ""內部轉帳(忽略)"",
  REGEXMATCH(C7889, ""薪資""), ""薪資變動(不計入)"",
  REGEXMATCH(C7889, ""押金""), ""押金往來"",
  AND(E7889&lt;&gt;"""", F7889=""""), ""真實支出"",
  AND(E7889="""", F7889&lt;&gt;""""), ""真實收入"",
  TRUE, ""其他""
)"),"其他")</f>
        <v>其他</v>
      </c>
      <c r="K7889" s="270" t="str">
        <f t="shared" si="2"/>
        <v/>
      </c>
      <c r="L7889">
        <f t="shared" si="3"/>
        <v>0</v>
      </c>
    </row>
    <row r="7890">
      <c r="A7890" s="107"/>
      <c r="D7890" s="270"/>
      <c r="H7890" s="106" t="str">
        <f t="shared" si="1"/>
        <v/>
      </c>
      <c r="J7890" t="str">
        <f>IFERROR(__xludf.DUMMYFUNCTION("IFS(
  AND(REGEXMATCH(E7890, ""台銀籌備帳戶|玉山帳戶""), REGEXMATCH(C7890, ""薪資"")), ""分潤支出"",
  AND(REGEXMATCH(E7890, ""Ben帳戶|Elsa帳戶|Ben代墊|Ariel代墊|中信銀行共用""), REGEXMATCH(F7890, ""Ben帳戶|Elsa帳戶|Ben代墊|Ariel代墊|中信銀行共用"")), ""內部轉帳(忽略)"",
  AND(E7890&lt;&gt;"""", F7890&lt;&gt;"""", N"&amp;"OT(REGEXMATCH(C7890, ""薪資""))), ""內部轉帳(忽略)"",
  REGEXMATCH(C7890, ""薪資""), ""薪資變動(不計入)"",
  REGEXMATCH(C7890, ""押金""), ""押金往來"",
  AND(E7890&lt;&gt;"""", F7890=""""), ""真實支出"",
  AND(E7890="""", F7890&lt;&gt;""""), ""真實收入"",
  TRUE, ""其他""
)"),"其他")</f>
        <v>其他</v>
      </c>
      <c r="K7890" s="270" t="str">
        <f t="shared" si="2"/>
        <v/>
      </c>
      <c r="L7890">
        <f t="shared" si="3"/>
        <v>0</v>
      </c>
    </row>
    <row r="7891">
      <c r="A7891" s="107"/>
      <c r="D7891" s="270"/>
      <c r="H7891" s="106" t="str">
        <f t="shared" si="1"/>
        <v/>
      </c>
      <c r="J7891" t="str">
        <f>IFERROR(__xludf.DUMMYFUNCTION("IFS(
  AND(REGEXMATCH(E7891, ""台銀籌備帳戶|玉山帳戶""), REGEXMATCH(C7891, ""薪資"")), ""分潤支出"",
  AND(REGEXMATCH(E7891, ""Ben帳戶|Elsa帳戶|Ben代墊|Ariel代墊|中信銀行共用""), REGEXMATCH(F7891, ""Ben帳戶|Elsa帳戶|Ben代墊|Ariel代墊|中信銀行共用"")), ""內部轉帳(忽略)"",
  AND(E7891&lt;&gt;"""", F7891&lt;&gt;"""", N"&amp;"OT(REGEXMATCH(C7891, ""薪資""))), ""內部轉帳(忽略)"",
  REGEXMATCH(C7891, ""薪資""), ""薪資變動(不計入)"",
  REGEXMATCH(C7891, ""押金""), ""押金往來"",
  AND(E7891&lt;&gt;"""", F7891=""""), ""真實支出"",
  AND(E7891="""", F7891&lt;&gt;""""), ""真實收入"",
  TRUE, ""其他""
)"),"其他")</f>
        <v>其他</v>
      </c>
      <c r="K7891" s="270" t="str">
        <f t="shared" si="2"/>
        <v/>
      </c>
      <c r="L7891">
        <f t="shared" si="3"/>
        <v>0</v>
      </c>
    </row>
    <row r="7892">
      <c r="A7892" s="107"/>
      <c r="D7892" s="270"/>
      <c r="H7892" s="106" t="str">
        <f t="shared" si="1"/>
        <v/>
      </c>
      <c r="J7892" t="str">
        <f>IFERROR(__xludf.DUMMYFUNCTION("IFS(
  AND(REGEXMATCH(E7892, ""台銀籌備帳戶|玉山帳戶""), REGEXMATCH(C7892, ""薪資"")), ""分潤支出"",
  AND(REGEXMATCH(E7892, ""Ben帳戶|Elsa帳戶|Ben代墊|Ariel代墊|中信銀行共用""), REGEXMATCH(F7892, ""Ben帳戶|Elsa帳戶|Ben代墊|Ariel代墊|中信銀行共用"")), ""內部轉帳(忽略)"",
  AND(E7892&lt;&gt;"""", F7892&lt;&gt;"""", N"&amp;"OT(REGEXMATCH(C7892, ""薪資""))), ""內部轉帳(忽略)"",
  REGEXMATCH(C7892, ""薪資""), ""薪資變動(不計入)"",
  REGEXMATCH(C7892, ""押金""), ""押金往來"",
  AND(E7892&lt;&gt;"""", F7892=""""), ""真實支出"",
  AND(E7892="""", F7892&lt;&gt;""""), ""真實收入"",
  TRUE, ""其他""
)"),"其他")</f>
        <v>其他</v>
      </c>
      <c r="K7892" s="270" t="str">
        <f t="shared" si="2"/>
        <v/>
      </c>
      <c r="L7892">
        <f t="shared" si="3"/>
        <v>0</v>
      </c>
    </row>
    <row r="7893">
      <c r="A7893" s="107"/>
      <c r="D7893" s="270"/>
      <c r="H7893" s="106" t="str">
        <f t="shared" si="1"/>
        <v/>
      </c>
      <c r="J7893" t="str">
        <f>IFERROR(__xludf.DUMMYFUNCTION("IFS(
  AND(REGEXMATCH(E7893, ""台銀籌備帳戶|玉山帳戶""), REGEXMATCH(C7893, ""薪資"")), ""分潤支出"",
  AND(REGEXMATCH(E7893, ""Ben帳戶|Elsa帳戶|Ben代墊|Ariel代墊|中信銀行共用""), REGEXMATCH(F7893, ""Ben帳戶|Elsa帳戶|Ben代墊|Ariel代墊|中信銀行共用"")), ""內部轉帳(忽略)"",
  AND(E7893&lt;&gt;"""", F7893&lt;&gt;"""", N"&amp;"OT(REGEXMATCH(C7893, ""薪資""))), ""內部轉帳(忽略)"",
  REGEXMATCH(C7893, ""薪資""), ""薪資變動(不計入)"",
  REGEXMATCH(C7893, ""押金""), ""押金往來"",
  AND(E7893&lt;&gt;"""", F7893=""""), ""真實支出"",
  AND(E7893="""", F7893&lt;&gt;""""), ""真實收入"",
  TRUE, ""其他""
)"),"其他")</f>
        <v>其他</v>
      </c>
      <c r="K7893" s="270" t="str">
        <f t="shared" si="2"/>
        <v/>
      </c>
      <c r="L7893">
        <f t="shared" si="3"/>
        <v>0</v>
      </c>
    </row>
    <row r="7894">
      <c r="A7894" s="107"/>
      <c r="D7894" s="270"/>
      <c r="H7894" s="106" t="str">
        <f t="shared" si="1"/>
        <v/>
      </c>
      <c r="J7894" t="str">
        <f>IFERROR(__xludf.DUMMYFUNCTION("IFS(
  AND(REGEXMATCH(E7894, ""台銀籌備帳戶|玉山帳戶""), REGEXMATCH(C7894, ""薪資"")), ""分潤支出"",
  AND(REGEXMATCH(E7894, ""Ben帳戶|Elsa帳戶|Ben代墊|Ariel代墊|中信銀行共用""), REGEXMATCH(F7894, ""Ben帳戶|Elsa帳戶|Ben代墊|Ariel代墊|中信銀行共用"")), ""內部轉帳(忽略)"",
  AND(E7894&lt;&gt;"""", F7894&lt;&gt;"""", N"&amp;"OT(REGEXMATCH(C7894, ""薪資""))), ""內部轉帳(忽略)"",
  REGEXMATCH(C7894, ""薪資""), ""薪資變動(不計入)"",
  REGEXMATCH(C7894, ""押金""), ""押金往來"",
  AND(E7894&lt;&gt;"""", F7894=""""), ""真實支出"",
  AND(E7894="""", F7894&lt;&gt;""""), ""真實收入"",
  TRUE, ""其他""
)"),"其他")</f>
        <v>其他</v>
      </c>
      <c r="K7894" s="270" t="str">
        <f t="shared" si="2"/>
        <v/>
      </c>
      <c r="L7894">
        <f t="shared" si="3"/>
        <v>0</v>
      </c>
    </row>
    <row r="7895">
      <c r="A7895" s="107"/>
      <c r="D7895" s="270"/>
      <c r="H7895" s="106" t="str">
        <f t="shared" si="1"/>
        <v/>
      </c>
      <c r="J7895" t="str">
        <f>IFERROR(__xludf.DUMMYFUNCTION("IFS(
  AND(REGEXMATCH(E7895, ""台銀籌備帳戶|玉山帳戶""), REGEXMATCH(C7895, ""薪資"")), ""分潤支出"",
  AND(REGEXMATCH(E7895, ""Ben帳戶|Elsa帳戶|Ben代墊|Ariel代墊|中信銀行共用""), REGEXMATCH(F7895, ""Ben帳戶|Elsa帳戶|Ben代墊|Ariel代墊|中信銀行共用"")), ""內部轉帳(忽略)"",
  AND(E7895&lt;&gt;"""", F7895&lt;&gt;"""", N"&amp;"OT(REGEXMATCH(C7895, ""薪資""))), ""內部轉帳(忽略)"",
  REGEXMATCH(C7895, ""薪資""), ""薪資變動(不計入)"",
  REGEXMATCH(C7895, ""押金""), ""押金往來"",
  AND(E7895&lt;&gt;"""", F7895=""""), ""真實支出"",
  AND(E7895="""", F7895&lt;&gt;""""), ""真實收入"",
  TRUE, ""其他""
)"),"其他")</f>
        <v>其他</v>
      </c>
      <c r="K7895" s="270" t="str">
        <f t="shared" si="2"/>
        <v/>
      </c>
      <c r="L7895">
        <f t="shared" si="3"/>
        <v>0</v>
      </c>
    </row>
    <row r="7896">
      <c r="A7896" s="107"/>
      <c r="D7896" s="270"/>
      <c r="H7896" s="106" t="str">
        <f t="shared" si="1"/>
        <v/>
      </c>
      <c r="J7896" t="str">
        <f>IFERROR(__xludf.DUMMYFUNCTION("IFS(
  AND(REGEXMATCH(E7896, ""台銀籌備帳戶|玉山帳戶""), REGEXMATCH(C7896, ""薪資"")), ""分潤支出"",
  AND(REGEXMATCH(E7896, ""Ben帳戶|Elsa帳戶|Ben代墊|Ariel代墊|中信銀行共用""), REGEXMATCH(F7896, ""Ben帳戶|Elsa帳戶|Ben代墊|Ariel代墊|中信銀行共用"")), ""內部轉帳(忽略)"",
  AND(E7896&lt;&gt;"""", F7896&lt;&gt;"""", N"&amp;"OT(REGEXMATCH(C7896, ""薪資""))), ""內部轉帳(忽略)"",
  REGEXMATCH(C7896, ""薪資""), ""薪資變動(不計入)"",
  REGEXMATCH(C7896, ""押金""), ""押金往來"",
  AND(E7896&lt;&gt;"""", F7896=""""), ""真實支出"",
  AND(E7896="""", F7896&lt;&gt;""""), ""真實收入"",
  TRUE, ""其他""
)"),"其他")</f>
        <v>其他</v>
      </c>
      <c r="K7896" s="270" t="str">
        <f t="shared" si="2"/>
        <v/>
      </c>
      <c r="L7896">
        <f t="shared" si="3"/>
        <v>0</v>
      </c>
    </row>
    <row r="7897">
      <c r="A7897" s="107"/>
      <c r="D7897" s="270"/>
      <c r="H7897" s="106" t="str">
        <f t="shared" si="1"/>
        <v/>
      </c>
      <c r="J7897" t="str">
        <f>IFERROR(__xludf.DUMMYFUNCTION("IFS(
  AND(REGEXMATCH(E7897, ""台銀籌備帳戶|玉山帳戶""), REGEXMATCH(C7897, ""薪資"")), ""分潤支出"",
  AND(REGEXMATCH(E7897, ""Ben帳戶|Elsa帳戶|Ben代墊|Ariel代墊|中信銀行共用""), REGEXMATCH(F7897, ""Ben帳戶|Elsa帳戶|Ben代墊|Ariel代墊|中信銀行共用"")), ""內部轉帳(忽略)"",
  AND(E7897&lt;&gt;"""", F7897&lt;&gt;"""", N"&amp;"OT(REGEXMATCH(C7897, ""薪資""))), ""內部轉帳(忽略)"",
  REGEXMATCH(C7897, ""薪資""), ""薪資變動(不計入)"",
  REGEXMATCH(C7897, ""押金""), ""押金往來"",
  AND(E7897&lt;&gt;"""", F7897=""""), ""真實支出"",
  AND(E7897="""", F7897&lt;&gt;""""), ""真實收入"",
  TRUE, ""其他""
)"),"其他")</f>
        <v>其他</v>
      </c>
      <c r="K7897" s="270" t="str">
        <f t="shared" si="2"/>
        <v/>
      </c>
      <c r="L7897">
        <f t="shared" si="3"/>
        <v>0</v>
      </c>
    </row>
    <row r="7898">
      <c r="A7898" s="107"/>
      <c r="D7898" s="270"/>
      <c r="H7898" s="106" t="str">
        <f t="shared" si="1"/>
        <v/>
      </c>
      <c r="J7898" t="str">
        <f>IFERROR(__xludf.DUMMYFUNCTION("IFS(
  AND(REGEXMATCH(E7898, ""台銀籌備帳戶|玉山帳戶""), REGEXMATCH(C7898, ""薪資"")), ""分潤支出"",
  AND(REGEXMATCH(E7898, ""Ben帳戶|Elsa帳戶|Ben代墊|Ariel代墊|中信銀行共用""), REGEXMATCH(F7898, ""Ben帳戶|Elsa帳戶|Ben代墊|Ariel代墊|中信銀行共用"")), ""內部轉帳(忽略)"",
  AND(E7898&lt;&gt;"""", F7898&lt;&gt;"""", N"&amp;"OT(REGEXMATCH(C7898, ""薪資""))), ""內部轉帳(忽略)"",
  REGEXMATCH(C7898, ""薪資""), ""薪資變動(不計入)"",
  REGEXMATCH(C7898, ""押金""), ""押金往來"",
  AND(E7898&lt;&gt;"""", F7898=""""), ""真實支出"",
  AND(E7898="""", F7898&lt;&gt;""""), ""真實收入"",
  TRUE, ""其他""
)"),"其他")</f>
        <v>其他</v>
      </c>
      <c r="K7898" s="270" t="str">
        <f t="shared" si="2"/>
        <v/>
      </c>
      <c r="L7898">
        <f t="shared" si="3"/>
        <v>0</v>
      </c>
    </row>
    <row r="7899">
      <c r="A7899" s="107"/>
      <c r="D7899" s="270"/>
      <c r="H7899" s="106" t="str">
        <f t="shared" si="1"/>
        <v/>
      </c>
      <c r="J7899" t="str">
        <f>IFERROR(__xludf.DUMMYFUNCTION("IFS(
  AND(REGEXMATCH(E7899, ""台銀籌備帳戶|玉山帳戶""), REGEXMATCH(C7899, ""薪資"")), ""分潤支出"",
  AND(REGEXMATCH(E7899, ""Ben帳戶|Elsa帳戶|Ben代墊|Ariel代墊|中信銀行共用""), REGEXMATCH(F7899, ""Ben帳戶|Elsa帳戶|Ben代墊|Ariel代墊|中信銀行共用"")), ""內部轉帳(忽略)"",
  AND(E7899&lt;&gt;"""", F7899&lt;&gt;"""", N"&amp;"OT(REGEXMATCH(C7899, ""薪資""))), ""內部轉帳(忽略)"",
  REGEXMATCH(C7899, ""薪資""), ""薪資變動(不計入)"",
  REGEXMATCH(C7899, ""押金""), ""押金往來"",
  AND(E7899&lt;&gt;"""", F7899=""""), ""真實支出"",
  AND(E7899="""", F7899&lt;&gt;""""), ""真實收入"",
  TRUE, ""其他""
)"),"其他")</f>
        <v>其他</v>
      </c>
      <c r="K7899" s="270" t="str">
        <f t="shared" si="2"/>
        <v/>
      </c>
      <c r="L7899">
        <f t="shared" si="3"/>
        <v>0</v>
      </c>
    </row>
    <row r="7900">
      <c r="A7900" s="107"/>
      <c r="D7900" s="270"/>
      <c r="H7900" s="106" t="str">
        <f t="shared" si="1"/>
        <v/>
      </c>
      <c r="J7900" t="str">
        <f>IFERROR(__xludf.DUMMYFUNCTION("IFS(
  AND(REGEXMATCH(E7900, ""台銀籌備帳戶|玉山帳戶""), REGEXMATCH(C7900, ""薪資"")), ""分潤支出"",
  AND(REGEXMATCH(E7900, ""Ben帳戶|Elsa帳戶|Ben代墊|Ariel代墊|中信銀行共用""), REGEXMATCH(F7900, ""Ben帳戶|Elsa帳戶|Ben代墊|Ariel代墊|中信銀行共用"")), ""內部轉帳(忽略)"",
  AND(E7900&lt;&gt;"""", F7900&lt;&gt;"""", N"&amp;"OT(REGEXMATCH(C7900, ""薪資""))), ""內部轉帳(忽略)"",
  REGEXMATCH(C7900, ""薪資""), ""薪資變動(不計入)"",
  REGEXMATCH(C7900, ""押金""), ""押金往來"",
  AND(E7900&lt;&gt;"""", F7900=""""), ""真實支出"",
  AND(E7900="""", F7900&lt;&gt;""""), ""真實收入"",
  TRUE, ""其他""
)"),"其他")</f>
        <v>其他</v>
      </c>
      <c r="K7900" s="270" t="str">
        <f t="shared" si="2"/>
        <v/>
      </c>
      <c r="L7900">
        <f t="shared" si="3"/>
        <v>0</v>
      </c>
    </row>
    <row r="7901">
      <c r="A7901" s="107"/>
      <c r="D7901" s="270"/>
      <c r="H7901" s="106" t="str">
        <f t="shared" si="1"/>
        <v/>
      </c>
      <c r="J7901" t="str">
        <f>IFERROR(__xludf.DUMMYFUNCTION("IFS(
  AND(REGEXMATCH(E7901, ""台銀籌備帳戶|玉山帳戶""), REGEXMATCH(C7901, ""薪資"")), ""分潤支出"",
  AND(REGEXMATCH(E7901, ""Ben帳戶|Elsa帳戶|Ben代墊|Ariel代墊|中信銀行共用""), REGEXMATCH(F7901, ""Ben帳戶|Elsa帳戶|Ben代墊|Ariel代墊|中信銀行共用"")), ""內部轉帳(忽略)"",
  AND(E7901&lt;&gt;"""", F7901&lt;&gt;"""", N"&amp;"OT(REGEXMATCH(C7901, ""薪資""))), ""內部轉帳(忽略)"",
  REGEXMATCH(C7901, ""薪資""), ""薪資變動(不計入)"",
  REGEXMATCH(C7901, ""押金""), ""押金往來"",
  AND(E7901&lt;&gt;"""", F7901=""""), ""真實支出"",
  AND(E7901="""", F7901&lt;&gt;""""), ""真實收入"",
  TRUE, ""其他""
)"),"其他")</f>
        <v>其他</v>
      </c>
      <c r="K7901" s="270" t="str">
        <f t="shared" si="2"/>
        <v/>
      </c>
      <c r="L7901">
        <f t="shared" si="3"/>
        <v>0</v>
      </c>
    </row>
    <row r="7902">
      <c r="A7902" s="107"/>
      <c r="D7902" s="270"/>
      <c r="H7902" s="106" t="str">
        <f t="shared" si="1"/>
        <v/>
      </c>
      <c r="J7902" t="str">
        <f>IFERROR(__xludf.DUMMYFUNCTION("IFS(
  AND(REGEXMATCH(E7902, ""台銀籌備帳戶|玉山帳戶""), REGEXMATCH(C7902, ""薪資"")), ""分潤支出"",
  AND(REGEXMATCH(E7902, ""Ben帳戶|Elsa帳戶|Ben代墊|Ariel代墊|中信銀行共用""), REGEXMATCH(F7902, ""Ben帳戶|Elsa帳戶|Ben代墊|Ariel代墊|中信銀行共用"")), ""內部轉帳(忽略)"",
  AND(E7902&lt;&gt;"""", F7902&lt;&gt;"""", N"&amp;"OT(REGEXMATCH(C7902, ""薪資""))), ""內部轉帳(忽略)"",
  REGEXMATCH(C7902, ""薪資""), ""薪資變動(不計入)"",
  REGEXMATCH(C7902, ""押金""), ""押金往來"",
  AND(E7902&lt;&gt;"""", F7902=""""), ""真實支出"",
  AND(E7902="""", F7902&lt;&gt;""""), ""真實收入"",
  TRUE, ""其他""
)"),"其他")</f>
        <v>其他</v>
      </c>
      <c r="K7902" s="270" t="str">
        <f t="shared" si="2"/>
        <v/>
      </c>
      <c r="L7902">
        <f t="shared" si="3"/>
        <v>0</v>
      </c>
    </row>
    <row r="7903">
      <c r="A7903" s="107"/>
      <c r="D7903" s="270"/>
      <c r="H7903" s="106" t="str">
        <f t="shared" si="1"/>
        <v/>
      </c>
      <c r="J7903" t="str">
        <f>IFERROR(__xludf.DUMMYFUNCTION("IFS(
  AND(REGEXMATCH(E7903, ""台銀籌備帳戶|玉山帳戶""), REGEXMATCH(C7903, ""薪資"")), ""分潤支出"",
  AND(REGEXMATCH(E7903, ""Ben帳戶|Elsa帳戶|Ben代墊|Ariel代墊|中信銀行共用""), REGEXMATCH(F7903, ""Ben帳戶|Elsa帳戶|Ben代墊|Ariel代墊|中信銀行共用"")), ""內部轉帳(忽略)"",
  AND(E7903&lt;&gt;"""", F7903&lt;&gt;"""", N"&amp;"OT(REGEXMATCH(C7903, ""薪資""))), ""內部轉帳(忽略)"",
  REGEXMATCH(C7903, ""薪資""), ""薪資變動(不計入)"",
  REGEXMATCH(C7903, ""押金""), ""押金往來"",
  AND(E7903&lt;&gt;"""", F7903=""""), ""真實支出"",
  AND(E7903="""", F7903&lt;&gt;""""), ""真實收入"",
  TRUE, ""其他""
)"),"其他")</f>
        <v>其他</v>
      </c>
      <c r="K7903" s="270" t="str">
        <f t="shared" si="2"/>
        <v/>
      </c>
      <c r="L7903">
        <f t="shared" si="3"/>
        <v>0</v>
      </c>
    </row>
    <row r="7904">
      <c r="A7904" s="107"/>
      <c r="D7904" s="270"/>
      <c r="H7904" s="106" t="str">
        <f t="shared" si="1"/>
        <v/>
      </c>
      <c r="J7904" t="str">
        <f>IFERROR(__xludf.DUMMYFUNCTION("IFS(
  AND(REGEXMATCH(E7904, ""台銀籌備帳戶|玉山帳戶""), REGEXMATCH(C7904, ""薪資"")), ""分潤支出"",
  AND(REGEXMATCH(E7904, ""Ben帳戶|Elsa帳戶|Ben代墊|Ariel代墊|中信銀行共用""), REGEXMATCH(F7904, ""Ben帳戶|Elsa帳戶|Ben代墊|Ariel代墊|中信銀行共用"")), ""內部轉帳(忽略)"",
  AND(E7904&lt;&gt;"""", F7904&lt;&gt;"""", N"&amp;"OT(REGEXMATCH(C7904, ""薪資""))), ""內部轉帳(忽略)"",
  REGEXMATCH(C7904, ""薪資""), ""薪資變動(不計入)"",
  REGEXMATCH(C7904, ""押金""), ""押金往來"",
  AND(E7904&lt;&gt;"""", F7904=""""), ""真實支出"",
  AND(E7904="""", F7904&lt;&gt;""""), ""真實收入"",
  TRUE, ""其他""
)"),"其他")</f>
        <v>其他</v>
      </c>
      <c r="K7904" s="270" t="str">
        <f t="shared" si="2"/>
        <v/>
      </c>
      <c r="L7904">
        <f t="shared" si="3"/>
        <v>0</v>
      </c>
    </row>
    <row r="7905">
      <c r="A7905" s="107"/>
      <c r="D7905" s="270"/>
      <c r="H7905" s="106" t="str">
        <f t="shared" si="1"/>
        <v/>
      </c>
      <c r="J7905" t="str">
        <f>IFERROR(__xludf.DUMMYFUNCTION("IFS(
  AND(REGEXMATCH(E7905, ""台銀籌備帳戶|玉山帳戶""), REGEXMATCH(C7905, ""薪資"")), ""分潤支出"",
  AND(REGEXMATCH(E7905, ""Ben帳戶|Elsa帳戶|Ben代墊|Ariel代墊|中信銀行共用""), REGEXMATCH(F7905, ""Ben帳戶|Elsa帳戶|Ben代墊|Ariel代墊|中信銀行共用"")), ""內部轉帳(忽略)"",
  AND(E7905&lt;&gt;"""", F7905&lt;&gt;"""", N"&amp;"OT(REGEXMATCH(C7905, ""薪資""))), ""內部轉帳(忽略)"",
  REGEXMATCH(C7905, ""薪資""), ""薪資變動(不計入)"",
  REGEXMATCH(C7905, ""押金""), ""押金往來"",
  AND(E7905&lt;&gt;"""", F7905=""""), ""真實支出"",
  AND(E7905="""", F7905&lt;&gt;""""), ""真實收入"",
  TRUE, ""其他""
)"),"其他")</f>
        <v>其他</v>
      </c>
      <c r="K7905" s="270" t="str">
        <f t="shared" si="2"/>
        <v/>
      </c>
      <c r="L7905">
        <f t="shared" si="3"/>
        <v>0</v>
      </c>
    </row>
    <row r="7906">
      <c r="A7906" s="107"/>
      <c r="D7906" s="270"/>
      <c r="H7906" s="106" t="str">
        <f t="shared" si="1"/>
        <v/>
      </c>
      <c r="J7906" t="str">
        <f>IFERROR(__xludf.DUMMYFUNCTION("IFS(
  AND(REGEXMATCH(E7906, ""台銀籌備帳戶|玉山帳戶""), REGEXMATCH(C7906, ""薪資"")), ""分潤支出"",
  AND(REGEXMATCH(E7906, ""Ben帳戶|Elsa帳戶|Ben代墊|Ariel代墊|中信銀行共用""), REGEXMATCH(F7906, ""Ben帳戶|Elsa帳戶|Ben代墊|Ariel代墊|中信銀行共用"")), ""內部轉帳(忽略)"",
  AND(E7906&lt;&gt;"""", F7906&lt;&gt;"""", N"&amp;"OT(REGEXMATCH(C7906, ""薪資""))), ""內部轉帳(忽略)"",
  REGEXMATCH(C7906, ""薪資""), ""薪資變動(不計入)"",
  REGEXMATCH(C7906, ""押金""), ""押金往來"",
  AND(E7906&lt;&gt;"""", F7906=""""), ""真實支出"",
  AND(E7906="""", F7906&lt;&gt;""""), ""真實收入"",
  TRUE, ""其他""
)"),"其他")</f>
        <v>其他</v>
      </c>
      <c r="K7906" s="270" t="str">
        <f t="shared" si="2"/>
        <v/>
      </c>
      <c r="L7906">
        <f t="shared" si="3"/>
        <v>0</v>
      </c>
    </row>
    <row r="7907">
      <c r="A7907" s="107"/>
      <c r="D7907" s="270"/>
      <c r="H7907" s="106" t="str">
        <f t="shared" si="1"/>
        <v/>
      </c>
      <c r="J7907" t="str">
        <f>IFERROR(__xludf.DUMMYFUNCTION("IFS(
  AND(REGEXMATCH(E7907, ""台銀籌備帳戶|玉山帳戶""), REGEXMATCH(C7907, ""薪資"")), ""分潤支出"",
  AND(REGEXMATCH(E7907, ""Ben帳戶|Elsa帳戶|Ben代墊|Ariel代墊|中信銀行共用""), REGEXMATCH(F7907, ""Ben帳戶|Elsa帳戶|Ben代墊|Ariel代墊|中信銀行共用"")), ""內部轉帳(忽略)"",
  AND(E7907&lt;&gt;"""", F7907&lt;&gt;"""", N"&amp;"OT(REGEXMATCH(C7907, ""薪資""))), ""內部轉帳(忽略)"",
  REGEXMATCH(C7907, ""薪資""), ""薪資變動(不計入)"",
  REGEXMATCH(C7907, ""押金""), ""押金往來"",
  AND(E7907&lt;&gt;"""", F7907=""""), ""真實支出"",
  AND(E7907="""", F7907&lt;&gt;""""), ""真實收入"",
  TRUE, ""其他""
)"),"其他")</f>
        <v>其他</v>
      </c>
      <c r="K7907" s="270" t="str">
        <f t="shared" si="2"/>
        <v/>
      </c>
      <c r="L7907">
        <f t="shared" si="3"/>
        <v>0</v>
      </c>
    </row>
    <row r="7908">
      <c r="A7908" s="107"/>
      <c r="D7908" s="270"/>
      <c r="H7908" s="106" t="str">
        <f t="shared" si="1"/>
        <v/>
      </c>
      <c r="J7908" t="str">
        <f>IFERROR(__xludf.DUMMYFUNCTION("IFS(
  AND(REGEXMATCH(E7908, ""台銀籌備帳戶|玉山帳戶""), REGEXMATCH(C7908, ""薪資"")), ""分潤支出"",
  AND(REGEXMATCH(E7908, ""Ben帳戶|Elsa帳戶|Ben代墊|Ariel代墊|中信銀行共用""), REGEXMATCH(F7908, ""Ben帳戶|Elsa帳戶|Ben代墊|Ariel代墊|中信銀行共用"")), ""內部轉帳(忽略)"",
  AND(E7908&lt;&gt;"""", F7908&lt;&gt;"""", N"&amp;"OT(REGEXMATCH(C7908, ""薪資""))), ""內部轉帳(忽略)"",
  REGEXMATCH(C7908, ""薪資""), ""薪資變動(不計入)"",
  REGEXMATCH(C7908, ""押金""), ""押金往來"",
  AND(E7908&lt;&gt;"""", F7908=""""), ""真實支出"",
  AND(E7908="""", F7908&lt;&gt;""""), ""真實收入"",
  TRUE, ""其他""
)"),"其他")</f>
        <v>其他</v>
      </c>
      <c r="K7908" s="270" t="str">
        <f t="shared" si="2"/>
        <v/>
      </c>
      <c r="L7908">
        <f t="shared" si="3"/>
        <v>0</v>
      </c>
    </row>
    <row r="7909">
      <c r="A7909" s="107"/>
      <c r="D7909" s="270"/>
      <c r="H7909" s="106" t="str">
        <f t="shared" si="1"/>
        <v/>
      </c>
      <c r="J7909" t="str">
        <f>IFERROR(__xludf.DUMMYFUNCTION("IFS(
  AND(REGEXMATCH(E7909, ""台銀籌備帳戶|玉山帳戶""), REGEXMATCH(C7909, ""薪資"")), ""分潤支出"",
  AND(REGEXMATCH(E7909, ""Ben帳戶|Elsa帳戶|Ben代墊|Ariel代墊|中信銀行共用""), REGEXMATCH(F7909, ""Ben帳戶|Elsa帳戶|Ben代墊|Ariel代墊|中信銀行共用"")), ""內部轉帳(忽略)"",
  AND(E7909&lt;&gt;"""", F7909&lt;&gt;"""", N"&amp;"OT(REGEXMATCH(C7909, ""薪資""))), ""內部轉帳(忽略)"",
  REGEXMATCH(C7909, ""薪資""), ""薪資變動(不計入)"",
  REGEXMATCH(C7909, ""押金""), ""押金往來"",
  AND(E7909&lt;&gt;"""", F7909=""""), ""真實支出"",
  AND(E7909="""", F7909&lt;&gt;""""), ""真實收入"",
  TRUE, ""其他""
)"),"其他")</f>
        <v>其他</v>
      </c>
      <c r="K7909" s="270" t="str">
        <f t="shared" si="2"/>
        <v/>
      </c>
      <c r="L7909">
        <f t="shared" si="3"/>
        <v>0</v>
      </c>
    </row>
    <row r="7910">
      <c r="A7910" s="107"/>
      <c r="D7910" s="270"/>
      <c r="H7910" s="106" t="str">
        <f t="shared" si="1"/>
        <v/>
      </c>
      <c r="J7910" t="str">
        <f>IFERROR(__xludf.DUMMYFUNCTION("IFS(
  AND(REGEXMATCH(E7910, ""台銀籌備帳戶|玉山帳戶""), REGEXMATCH(C7910, ""薪資"")), ""分潤支出"",
  AND(REGEXMATCH(E7910, ""Ben帳戶|Elsa帳戶|Ben代墊|Ariel代墊|中信銀行共用""), REGEXMATCH(F7910, ""Ben帳戶|Elsa帳戶|Ben代墊|Ariel代墊|中信銀行共用"")), ""內部轉帳(忽略)"",
  AND(E7910&lt;&gt;"""", F7910&lt;&gt;"""", N"&amp;"OT(REGEXMATCH(C7910, ""薪資""))), ""內部轉帳(忽略)"",
  REGEXMATCH(C7910, ""薪資""), ""薪資變動(不計入)"",
  REGEXMATCH(C7910, ""押金""), ""押金往來"",
  AND(E7910&lt;&gt;"""", F7910=""""), ""真實支出"",
  AND(E7910="""", F7910&lt;&gt;""""), ""真實收入"",
  TRUE, ""其他""
)"),"其他")</f>
        <v>其他</v>
      </c>
      <c r="K7910" s="270" t="str">
        <f t="shared" si="2"/>
        <v/>
      </c>
      <c r="L7910">
        <f t="shared" si="3"/>
        <v>0</v>
      </c>
    </row>
    <row r="7911">
      <c r="A7911" s="107"/>
      <c r="D7911" s="270"/>
      <c r="H7911" s="106" t="str">
        <f t="shared" si="1"/>
        <v/>
      </c>
      <c r="J7911" t="str">
        <f>IFERROR(__xludf.DUMMYFUNCTION("IFS(
  AND(REGEXMATCH(E7911, ""台銀籌備帳戶|玉山帳戶""), REGEXMATCH(C7911, ""薪資"")), ""分潤支出"",
  AND(REGEXMATCH(E7911, ""Ben帳戶|Elsa帳戶|Ben代墊|Ariel代墊|中信銀行共用""), REGEXMATCH(F7911, ""Ben帳戶|Elsa帳戶|Ben代墊|Ariel代墊|中信銀行共用"")), ""內部轉帳(忽略)"",
  AND(E7911&lt;&gt;"""", F7911&lt;&gt;"""", N"&amp;"OT(REGEXMATCH(C7911, ""薪資""))), ""內部轉帳(忽略)"",
  REGEXMATCH(C7911, ""薪資""), ""薪資變動(不計入)"",
  REGEXMATCH(C7911, ""押金""), ""押金往來"",
  AND(E7911&lt;&gt;"""", F7911=""""), ""真實支出"",
  AND(E7911="""", F7911&lt;&gt;""""), ""真實收入"",
  TRUE, ""其他""
)"),"其他")</f>
        <v>其他</v>
      </c>
      <c r="K7911" s="270" t="str">
        <f t="shared" si="2"/>
        <v/>
      </c>
      <c r="L7911">
        <f t="shared" si="3"/>
        <v>0</v>
      </c>
    </row>
    <row r="7912">
      <c r="A7912" s="107"/>
      <c r="D7912" s="270"/>
      <c r="H7912" s="106" t="str">
        <f t="shared" si="1"/>
        <v/>
      </c>
      <c r="J7912" t="str">
        <f>IFERROR(__xludf.DUMMYFUNCTION("IFS(
  AND(REGEXMATCH(E7912, ""台銀籌備帳戶|玉山帳戶""), REGEXMATCH(C7912, ""薪資"")), ""分潤支出"",
  AND(REGEXMATCH(E7912, ""Ben帳戶|Elsa帳戶|Ben代墊|Ariel代墊|中信銀行共用""), REGEXMATCH(F7912, ""Ben帳戶|Elsa帳戶|Ben代墊|Ariel代墊|中信銀行共用"")), ""內部轉帳(忽略)"",
  AND(E7912&lt;&gt;"""", F7912&lt;&gt;"""", N"&amp;"OT(REGEXMATCH(C7912, ""薪資""))), ""內部轉帳(忽略)"",
  REGEXMATCH(C7912, ""薪資""), ""薪資變動(不計入)"",
  REGEXMATCH(C7912, ""押金""), ""押金往來"",
  AND(E7912&lt;&gt;"""", F7912=""""), ""真實支出"",
  AND(E7912="""", F7912&lt;&gt;""""), ""真實收入"",
  TRUE, ""其他""
)"),"其他")</f>
        <v>其他</v>
      </c>
      <c r="K7912" s="270" t="str">
        <f t="shared" si="2"/>
        <v/>
      </c>
      <c r="L7912">
        <f t="shared" si="3"/>
        <v>0</v>
      </c>
    </row>
    <row r="7913">
      <c r="A7913" s="107"/>
      <c r="D7913" s="270"/>
      <c r="H7913" s="106" t="str">
        <f t="shared" si="1"/>
        <v/>
      </c>
      <c r="J7913" t="str">
        <f>IFERROR(__xludf.DUMMYFUNCTION("IFS(
  AND(REGEXMATCH(E7913, ""台銀籌備帳戶|玉山帳戶""), REGEXMATCH(C7913, ""薪資"")), ""分潤支出"",
  AND(REGEXMATCH(E7913, ""Ben帳戶|Elsa帳戶|Ben代墊|Ariel代墊|中信銀行共用""), REGEXMATCH(F7913, ""Ben帳戶|Elsa帳戶|Ben代墊|Ariel代墊|中信銀行共用"")), ""內部轉帳(忽略)"",
  AND(E7913&lt;&gt;"""", F7913&lt;&gt;"""", N"&amp;"OT(REGEXMATCH(C7913, ""薪資""))), ""內部轉帳(忽略)"",
  REGEXMATCH(C7913, ""薪資""), ""薪資變動(不計入)"",
  REGEXMATCH(C7913, ""押金""), ""押金往來"",
  AND(E7913&lt;&gt;"""", F7913=""""), ""真實支出"",
  AND(E7913="""", F7913&lt;&gt;""""), ""真實收入"",
  TRUE, ""其他""
)"),"其他")</f>
        <v>其他</v>
      </c>
      <c r="K7913" s="270" t="str">
        <f t="shared" si="2"/>
        <v/>
      </c>
      <c r="L7913">
        <f t="shared" si="3"/>
        <v>0</v>
      </c>
    </row>
    <row r="7914">
      <c r="A7914" s="107"/>
      <c r="D7914" s="270"/>
      <c r="H7914" s="106" t="str">
        <f t="shared" si="1"/>
        <v/>
      </c>
      <c r="J7914" t="str">
        <f>IFERROR(__xludf.DUMMYFUNCTION("IFS(
  AND(REGEXMATCH(E7914, ""台銀籌備帳戶|玉山帳戶""), REGEXMATCH(C7914, ""薪資"")), ""分潤支出"",
  AND(REGEXMATCH(E7914, ""Ben帳戶|Elsa帳戶|Ben代墊|Ariel代墊|中信銀行共用""), REGEXMATCH(F7914, ""Ben帳戶|Elsa帳戶|Ben代墊|Ariel代墊|中信銀行共用"")), ""內部轉帳(忽略)"",
  AND(E7914&lt;&gt;"""", F7914&lt;&gt;"""", N"&amp;"OT(REGEXMATCH(C7914, ""薪資""))), ""內部轉帳(忽略)"",
  REGEXMATCH(C7914, ""薪資""), ""薪資變動(不計入)"",
  REGEXMATCH(C7914, ""押金""), ""押金往來"",
  AND(E7914&lt;&gt;"""", F7914=""""), ""真實支出"",
  AND(E7914="""", F7914&lt;&gt;""""), ""真實收入"",
  TRUE, ""其他""
)"),"其他")</f>
        <v>其他</v>
      </c>
      <c r="K7914" s="270" t="str">
        <f t="shared" si="2"/>
        <v/>
      </c>
      <c r="L7914">
        <f t="shared" si="3"/>
        <v>0</v>
      </c>
    </row>
    <row r="7915">
      <c r="A7915" s="107"/>
      <c r="D7915" s="270"/>
      <c r="H7915" s="106" t="str">
        <f t="shared" si="1"/>
        <v/>
      </c>
      <c r="J7915" t="str">
        <f>IFERROR(__xludf.DUMMYFUNCTION("IFS(
  AND(REGEXMATCH(E7915, ""台銀籌備帳戶|玉山帳戶""), REGEXMATCH(C7915, ""薪資"")), ""分潤支出"",
  AND(REGEXMATCH(E7915, ""Ben帳戶|Elsa帳戶|Ben代墊|Ariel代墊|中信銀行共用""), REGEXMATCH(F7915, ""Ben帳戶|Elsa帳戶|Ben代墊|Ariel代墊|中信銀行共用"")), ""內部轉帳(忽略)"",
  AND(E7915&lt;&gt;"""", F7915&lt;&gt;"""", N"&amp;"OT(REGEXMATCH(C7915, ""薪資""))), ""內部轉帳(忽略)"",
  REGEXMATCH(C7915, ""薪資""), ""薪資變動(不計入)"",
  REGEXMATCH(C7915, ""押金""), ""押金往來"",
  AND(E7915&lt;&gt;"""", F7915=""""), ""真實支出"",
  AND(E7915="""", F7915&lt;&gt;""""), ""真實收入"",
  TRUE, ""其他""
)"),"其他")</f>
        <v>其他</v>
      </c>
      <c r="K7915" s="270" t="str">
        <f t="shared" si="2"/>
        <v/>
      </c>
      <c r="L7915">
        <f t="shared" si="3"/>
        <v>0</v>
      </c>
    </row>
    <row r="7916">
      <c r="A7916" s="107"/>
      <c r="D7916" s="270"/>
      <c r="H7916" s="106" t="str">
        <f t="shared" si="1"/>
        <v/>
      </c>
      <c r="J7916" t="str">
        <f>IFERROR(__xludf.DUMMYFUNCTION("IFS(
  AND(REGEXMATCH(E7916, ""台銀籌備帳戶|玉山帳戶""), REGEXMATCH(C7916, ""薪資"")), ""分潤支出"",
  AND(REGEXMATCH(E7916, ""Ben帳戶|Elsa帳戶|Ben代墊|Ariel代墊|中信銀行共用""), REGEXMATCH(F7916, ""Ben帳戶|Elsa帳戶|Ben代墊|Ariel代墊|中信銀行共用"")), ""內部轉帳(忽略)"",
  AND(E7916&lt;&gt;"""", F7916&lt;&gt;"""", N"&amp;"OT(REGEXMATCH(C7916, ""薪資""))), ""內部轉帳(忽略)"",
  REGEXMATCH(C7916, ""薪資""), ""薪資變動(不計入)"",
  REGEXMATCH(C7916, ""押金""), ""押金往來"",
  AND(E7916&lt;&gt;"""", F7916=""""), ""真實支出"",
  AND(E7916="""", F7916&lt;&gt;""""), ""真實收入"",
  TRUE, ""其他""
)"),"其他")</f>
        <v>其他</v>
      </c>
      <c r="K7916" s="270" t="str">
        <f t="shared" si="2"/>
        <v/>
      </c>
      <c r="L7916">
        <f t="shared" si="3"/>
        <v>0</v>
      </c>
    </row>
    <row r="7917">
      <c r="A7917" s="107"/>
      <c r="D7917" s="270"/>
      <c r="H7917" s="106" t="str">
        <f t="shared" si="1"/>
        <v/>
      </c>
      <c r="J7917" t="str">
        <f>IFERROR(__xludf.DUMMYFUNCTION("IFS(
  AND(REGEXMATCH(E7917, ""台銀籌備帳戶|玉山帳戶""), REGEXMATCH(C7917, ""薪資"")), ""分潤支出"",
  AND(REGEXMATCH(E7917, ""Ben帳戶|Elsa帳戶|Ben代墊|Ariel代墊|中信銀行共用""), REGEXMATCH(F7917, ""Ben帳戶|Elsa帳戶|Ben代墊|Ariel代墊|中信銀行共用"")), ""內部轉帳(忽略)"",
  AND(E7917&lt;&gt;"""", F7917&lt;&gt;"""", N"&amp;"OT(REGEXMATCH(C7917, ""薪資""))), ""內部轉帳(忽略)"",
  REGEXMATCH(C7917, ""薪資""), ""薪資變動(不計入)"",
  REGEXMATCH(C7917, ""押金""), ""押金往來"",
  AND(E7917&lt;&gt;"""", F7917=""""), ""真實支出"",
  AND(E7917="""", F7917&lt;&gt;""""), ""真實收入"",
  TRUE, ""其他""
)"),"其他")</f>
        <v>其他</v>
      </c>
      <c r="K7917" s="270" t="str">
        <f t="shared" si="2"/>
        <v/>
      </c>
      <c r="L7917">
        <f t="shared" si="3"/>
        <v>0</v>
      </c>
    </row>
    <row r="7918">
      <c r="A7918" s="107"/>
      <c r="D7918" s="270"/>
      <c r="H7918" s="106" t="str">
        <f t="shared" si="1"/>
        <v/>
      </c>
      <c r="J7918" t="str">
        <f>IFERROR(__xludf.DUMMYFUNCTION("IFS(
  AND(REGEXMATCH(E7918, ""台銀籌備帳戶|玉山帳戶""), REGEXMATCH(C7918, ""薪資"")), ""分潤支出"",
  AND(REGEXMATCH(E7918, ""Ben帳戶|Elsa帳戶|Ben代墊|Ariel代墊|中信銀行共用""), REGEXMATCH(F7918, ""Ben帳戶|Elsa帳戶|Ben代墊|Ariel代墊|中信銀行共用"")), ""內部轉帳(忽略)"",
  AND(E7918&lt;&gt;"""", F7918&lt;&gt;"""", N"&amp;"OT(REGEXMATCH(C7918, ""薪資""))), ""內部轉帳(忽略)"",
  REGEXMATCH(C7918, ""薪資""), ""薪資變動(不計入)"",
  REGEXMATCH(C7918, ""押金""), ""押金往來"",
  AND(E7918&lt;&gt;"""", F7918=""""), ""真實支出"",
  AND(E7918="""", F7918&lt;&gt;""""), ""真實收入"",
  TRUE, ""其他""
)"),"其他")</f>
        <v>其他</v>
      </c>
      <c r="K7918" s="270" t="str">
        <f t="shared" si="2"/>
        <v/>
      </c>
      <c r="L7918">
        <f t="shared" si="3"/>
        <v>0</v>
      </c>
    </row>
    <row r="7919">
      <c r="A7919" s="107"/>
      <c r="D7919" s="270"/>
      <c r="H7919" s="106" t="str">
        <f t="shared" si="1"/>
        <v/>
      </c>
      <c r="J7919" t="str">
        <f>IFERROR(__xludf.DUMMYFUNCTION("IFS(
  AND(REGEXMATCH(E7919, ""台銀籌備帳戶|玉山帳戶""), REGEXMATCH(C7919, ""薪資"")), ""分潤支出"",
  AND(REGEXMATCH(E7919, ""Ben帳戶|Elsa帳戶|Ben代墊|Ariel代墊|中信銀行共用""), REGEXMATCH(F7919, ""Ben帳戶|Elsa帳戶|Ben代墊|Ariel代墊|中信銀行共用"")), ""內部轉帳(忽略)"",
  AND(E7919&lt;&gt;"""", F7919&lt;&gt;"""", N"&amp;"OT(REGEXMATCH(C7919, ""薪資""))), ""內部轉帳(忽略)"",
  REGEXMATCH(C7919, ""薪資""), ""薪資變動(不計入)"",
  REGEXMATCH(C7919, ""押金""), ""押金往來"",
  AND(E7919&lt;&gt;"""", F7919=""""), ""真實支出"",
  AND(E7919="""", F7919&lt;&gt;""""), ""真實收入"",
  TRUE, ""其他""
)"),"其他")</f>
        <v>其他</v>
      </c>
      <c r="K7919" s="270" t="str">
        <f t="shared" si="2"/>
        <v/>
      </c>
      <c r="L7919">
        <f t="shared" si="3"/>
        <v>0</v>
      </c>
    </row>
    <row r="7920">
      <c r="A7920" s="107"/>
      <c r="D7920" s="270"/>
      <c r="H7920" s="106" t="str">
        <f t="shared" si="1"/>
        <v/>
      </c>
      <c r="J7920" t="str">
        <f>IFERROR(__xludf.DUMMYFUNCTION("IFS(
  AND(REGEXMATCH(E7920, ""台銀籌備帳戶|玉山帳戶""), REGEXMATCH(C7920, ""薪資"")), ""分潤支出"",
  AND(REGEXMATCH(E7920, ""Ben帳戶|Elsa帳戶|Ben代墊|Ariel代墊|中信銀行共用""), REGEXMATCH(F7920, ""Ben帳戶|Elsa帳戶|Ben代墊|Ariel代墊|中信銀行共用"")), ""內部轉帳(忽略)"",
  AND(E7920&lt;&gt;"""", F7920&lt;&gt;"""", N"&amp;"OT(REGEXMATCH(C7920, ""薪資""))), ""內部轉帳(忽略)"",
  REGEXMATCH(C7920, ""薪資""), ""薪資變動(不計入)"",
  REGEXMATCH(C7920, ""押金""), ""押金往來"",
  AND(E7920&lt;&gt;"""", F7920=""""), ""真實支出"",
  AND(E7920="""", F7920&lt;&gt;""""), ""真實收入"",
  TRUE, ""其他""
)"),"其他")</f>
        <v>其他</v>
      </c>
      <c r="K7920" s="270" t="str">
        <f t="shared" si="2"/>
        <v/>
      </c>
      <c r="L7920">
        <f t="shared" si="3"/>
        <v>0</v>
      </c>
    </row>
    <row r="7921">
      <c r="A7921" s="107"/>
      <c r="D7921" s="270"/>
      <c r="H7921" s="106" t="str">
        <f t="shared" si="1"/>
        <v/>
      </c>
      <c r="J7921" t="str">
        <f>IFERROR(__xludf.DUMMYFUNCTION("IFS(
  AND(REGEXMATCH(E7921, ""台銀籌備帳戶|玉山帳戶""), REGEXMATCH(C7921, ""薪資"")), ""分潤支出"",
  AND(REGEXMATCH(E7921, ""Ben帳戶|Elsa帳戶|Ben代墊|Ariel代墊|中信銀行共用""), REGEXMATCH(F7921, ""Ben帳戶|Elsa帳戶|Ben代墊|Ariel代墊|中信銀行共用"")), ""內部轉帳(忽略)"",
  AND(E7921&lt;&gt;"""", F7921&lt;&gt;"""", N"&amp;"OT(REGEXMATCH(C7921, ""薪資""))), ""內部轉帳(忽略)"",
  REGEXMATCH(C7921, ""薪資""), ""薪資變動(不計入)"",
  REGEXMATCH(C7921, ""押金""), ""押金往來"",
  AND(E7921&lt;&gt;"""", F7921=""""), ""真實支出"",
  AND(E7921="""", F7921&lt;&gt;""""), ""真實收入"",
  TRUE, ""其他""
)"),"其他")</f>
        <v>其他</v>
      </c>
      <c r="K7921" s="270" t="str">
        <f t="shared" si="2"/>
        <v/>
      </c>
      <c r="L7921">
        <f t="shared" si="3"/>
        <v>0</v>
      </c>
    </row>
    <row r="7922">
      <c r="A7922" s="107"/>
      <c r="D7922" s="270"/>
      <c r="H7922" s="106" t="str">
        <f t="shared" si="1"/>
        <v/>
      </c>
      <c r="J7922" t="str">
        <f>IFERROR(__xludf.DUMMYFUNCTION("IFS(
  AND(REGEXMATCH(E7922, ""台銀籌備帳戶|玉山帳戶""), REGEXMATCH(C7922, ""薪資"")), ""分潤支出"",
  AND(REGEXMATCH(E7922, ""Ben帳戶|Elsa帳戶|Ben代墊|Ariel代墊|中信銀行共用""), REGEXMATCH(F7922, ""Ben帳戶|Elsa帳戶|Ben代墊|Ariel代墊|中信銀行共用"")), ""內部轉帳(忽略)"",
  AND(E7922&lt;&gt;"""", F7922&lt;&gt;"""", N"&amp;"OT(REGEXMATCH(C7922, ""薪資""))), ""內部轉帳(忽略)"",
  REGEXMATCH(C7922, ""薪資""), ""薪資變動(不計入)"",
  REGEXMATCH(C7922, ""押金""), ""押金往來"",
  AND(E7922&lt;&gt;"""", F7922=""""), ""真實支出"",
  AND(E7922="""", F7922&lt;&gt;""""), ""真實收入"",
  TRUE, ""其他""
)"),"其他")</f>
        <v>其他</v>
      </c>
      <c r="K7922" s="270" t="str">
        <f t="shared" si="2"/>
        <v/>
      </c>
      <c r="L7922">
        <f t="shared" si="3"/>
        <v>0</v>
      </c>
    </row>
    <row r="7923">
      <c r="A7923" s="107"/>
      <c r="D7923" s="270"/>
      <c r="H7923" s="106" t="str">
        <f t="shared" si="1"/>
        <v/>
      </c>
      <c r="J7923" t="str">
        <f>IFERROR(__xludf.DUMMYFUNCTION("IFS(
  AND(REGEXMATCH(E7923, ""台銀籌備帳戶|玉山帳戶""), REGEXMATCH(C7923, ""薪資"")), ""分潤支出"",
  AND(REGEXMATCH(E7923, ""Ben帳戶|Elsa帳戶|Ben代墊|Ariel代墊|中信銀行共用""), REGEXMATCH(F7923, ""Ben帳戶|Elsa帳戶|Ben代墊|Ariel代墊|中信銀行共用"")), ""內部轉帳(忽略)"",
  AND(E7923&lt;&gt;"""", F7923&lt;&gt;"""", N"&amp;"OT(REGEXMATCH(C7923, ""薪資""))), ""內部轉帳(忽略)"",
  REGEXMATCH(C7923, ""薪資""), ""薪資變動(不計入)"",
  REGEXMATCH(C7923, ""押金""), ""押金往來"",
  AND(E7923&lt;&gt;"""", F7923=""""), ""真實支出"",
  AND(E7923="""", F7923&lt;&gt;""""), ""真實收入"",
  TRUE, ""其他""
)"),"其他")</f>
        <v>其他</v>
      </c>
      <c r="K7923" s="270" t="str">
        <f t="shared" si="2"/>
        <v/>
      </c>
      <c r="L7923">
        <f t="shared" si="3"/>
        <v>0</v>
      </c>
    </row>
    <row r="7924">
      <c r="A7924" s="107"/>
      <c r="D7924" s="270"/>
      <c r="H7924" s="106" t="str">
        <f t="shared" si="1"/>
        <v/>
      </c>
      <c r="J7924" t="str">
        <f>IFERROR(__xludf.DUMMYFUNCTION("IFS(
  AND(REGEXMATCH(E7924, ""台銀籌備帳戶|玉山帳戶""), REGEXMATCH(C7924, ""薪資"")), ""分潤支出"",
  AND(REGEXMATCH(E7924, ""Ben帳戶|Elsa帳戶|Ben代墊|Ariel代墊|中信銀行共用""), REGEXMATCH(F7924, ""Ben帳戶|Elsa帳戶|Ben代墊|Ariel代墊|中信銀行共用"")), ""內部轉帳(忽略)"",
  AND(E7924&lt;&gt;"""", F7924&lt;&gt;"""", N"&amp;"OT(REGEXMATCH(C7924, ""薪資""))), ""內部轉帳(忽略)"",
  REGEXMATCH(C7924, ""薪資""), ""薪資變動(不計入)"",
  REGEXMATCH(C7924, ""押金""), ""押金往來"",
  AND(E7924&lt;&gt;"""", F7924=""""), ""真實支出"",
  AND(E7924="""", F7924&lt;&gt;""""), ""真實收入"",
  TRUE, ""其他""
)"),"其他")</f>
        <v>其他</v>
      </c>
      <c r="K7924" s="270" t="str">
        <f t="shared" si="2"/>
        <v/>
      </c>
      <c r="L7924">
        <f t="shared" si="3"/>
        <v>0</v>
      </c>
    </row>
    <row r="7925">
      <c r="A7925" s="107"/>
      <c r="D7925" s="270"/>
      <c r="H7925" s="106" t="str">
        <f t="shared" si="1"/>
        <v/>
      </c>
      <c r="J7925" t="str">
        <f>IFERROR(__xludf.DUMMYFUNCTION("IFS(
  AND(REGEXMATCH(E7925, ""台銀籌備帳戶|玉山帳戶""), REGEXMATCH(C7925, ""薪資"")), ""分潤支出"",
  AND(REGEXMATCH(E7925, ""Ben帳戶|Elsa帳戶|Ben代墊|Ariel代墊|中信銀行共用""), REGEXMATCH(F7925, ""Ben帳戶|Elsa帳戶|Ben代墊|Ariel代墊|中信銀行共用"")), ""內部轉帳(忽略)"",
  AND(E7925&lt;&gt;"""", F7925&lt;&gt;"""", N"&amp;"OT(REGEXMATCH(C7925, ""薪資""))), ""內部轉帳(忽略)"",
  REGEXMATCH(C7925, ""薪資""), ""薪資變動(不計入)"",
  REGEXMATCH(C7925, ""押金""), ""押金往來"",
  AND(E7925&lt;&gt;"""", F7925=""""), ""真實支出"",
  AND(E7925="""", F7925&lt;&gt;""""), ""真實收入"",
  TRUE, ""其他""
)"),"其他")</f>
        <v>其他</v>
      </c>
      <c r="K7925" s="270" t="str">
        <f t="shared" si="2"/>
        <v/>
      </c>
      <c r="L7925">
        <f t="shared" si="3"/>
        <v>0</v>
      </c>
    </row>
    <row r="7926">
      <c r="A7926" s="107"/>
      <c r="D7926" s="270"/>
      <c r="H7926" s="106" t="str">
        <f t="shared" si="1"/>
        <v/>
      </c>
      <c r="J7926" t="str">
        <f>IFERROR(__xludf.DUMMYFUNCTION("IFS(
  AND(REGEXMATCH(E7926, ""台銀籌備帳戶|玉山帳戶""), REGEXMATCH(C7926, ""薪資"")), ""分潤支出"",
  AND(REGEXMATCH(E7926, ""Ben帳戶|Elsa帳戶|Ben代墊|Ariel代墊|中信銀行共用""), REGEXMATCH(F7926, ""Ben帳戶|Elsa帳戶|Ben代墊|Ariel代墊|中信銀行共用"")), ""內部轉帳(忽略)"",
  AND(E7926&lt;&gt;"""", F7926&lt;&gt;"""", N"&amp;"OT(REGEXMATCH(C7926, ""薪資""))), ""內部轉帳(忽略)"",
  REGEXMATCH(C7926, ""薪資""), ""薪資變動(不計入)"",
  REGEXMATCH(C7926, ""押金""), ""押金往來"",
  AND(E7926&lt;&gt;"""", F7926=""""), ""真實支出"",
  AND(E7926="""", F7926&lt;&gt;""""), ""真實收入"",
  TRUE, ""其他""
)"),"其他")</f>
        <v>其他</v>
      </c>
      <c r="K7926" s="270" t="str">
        <f t="shared" si="2"/>
        <v/>
      </c>
      <c r="L7926">
        <f t="shared" si="3"/>
        <v>0</v>
      </c>
    </row>
    <row r="7927">
      <c r="A7927" s="107"/>
      <c r="D7927" s="270"/>
      <c r="H7927" s="106" t="str">
        <f t="shared" si="1"/>
        <v/>
      </c>
      <c r="J7927" t="str">
        <f>IFERROR(__xludf.DUMMYFUNCTION("IFS(
  AND(REGEXMATCH(E7927, ""台銀籌備帳戶|玉山帳戶""), REGEXMATCH(C7927, ""薪資"")), ""分潤支出"",
  AND(REGEXMATCH(E7927, ""Ben帳戶|Elsa帳戶|Ben代墊|Ariel代墊|中信銀行共用""), REGEXMATCH(F7927, ""Ben帳戶|Elsa帳戶|Ben代墊|Ariel代墊|中信銀行共用"")), ""內部轉帳(忽略)"",
  AND(E7927&lt;&gt;"""", F7927&lt;&gt;"""", N"&amp;"OT(REGEXMATCH(C7927, ""薪資""))), ""內部轉帳(忽略)"",
  REGEXMATCH(C7927, ""薪資""), ""薪資變動(不計入)"",
  REGEXMATCH(C7927, ""押金""), ""押金往來"",
  AND(E7927&lt;&gt;"""", F7927=""""), ""真實支出"",
  AND(E7927="""", F7927&lt;&gt;""""), ""真實收入"",
  TRUE, ""其他""
)"),"其他")</f>
        <v>其他</v>
      </c>
      <c r="K7927" s="270" t="str">
        <f t="shared" si="2"/>
        <v/>
      </c>
      <c r="L7927">
        <f t="shared" si="3"/>
        <v>0</v>
      </c>
    </row>
    <row r="7928">
      <c r="A7928" s="107"/>
      <c r="D7928" s="270"/>
      <c r="H7928" s="106" t="str">
        <f t="shared" si="1"/>
        <v/>
      </c>
      <c r="J7928" t="str">
        <f>IFERROR(__xludf.DUMMYFUNCTION("IFS(
  AND(REGEXMATCH(E7928, ""台銀籌備帳戶|玉山帳戶""), REGEXMATCH(C7928, ""薪資"")), ""分潤支出"",
  AND(REGEXMATCH(E7928, ""Ben帳戶|Elsa帳戶|Ben代墊|Ariel代墊|中信銀行共用""), REGEXMATCH(F7928, ""Ben帳戶|Elsa帳戶|Ben代墊|Ariel代墊|中信銀行共用"")), ""內部轉帳(忽略)"",
  AND(E7928&lt;&gt;"""", F7928&lt;&gt;"""", N"&amp;"OT(REGEXMATCH(C7928, ""薪資""))), ""內部轉帳(忽略)"",
  REGEXMATCH(C7928, ""薪資""), ""薪資變動(不計入)"",
  REGEXMATCH(C7928, ""押金""), ""押金往來"",
  AND(E7928&lt;&gt;"""", F7928=""""), ""真實支出"",
  AND(E7928="""", F7928&lt;&gt;""""), ""真實收入"",
  TRUE, ""其他""
)"),"其他")</f>
        <v>其他</v>
      </c>
      <c r="K7928" s="270" t="str">
        <f t="shared" si="2"/>
        <v/>
      </c>
      <c r="L7928">
        <f t="shared" si="3"/>
        <v>0</v>
      </c>
    </row>
    <row r="7929">
      <c r="A7929" s="107"/>
      <c r="D7929" s="270"/>
      <c r="H7929" s="106" t="str">
        <f t="shared" si="1"/>
        <v/>
      </c>
      <c r="J7929" t="str">
        <f>IFERROR(__xludf.DUMMYFUNCTION("IFS(
  AND(REGEXMATCH(E7929, ""台銀籌備帳戶|玉山帳戶""), REGEXMATCH(C7929, ""薪資"")), ""分潤支出"",
  AND(REGEXMATCH(E7929, ""Ben帳戶|Elsa帳戶|Ben代墊|Ariel代墊|中信銀行共用""), REGEXMATCH(F7929, ""Ben帳戶|Elsa帳戶|Ben代墊|Ariel代墊|中信銀行共用"")), ""內部轉帳(忽略)"",
  AND(E7929&lt;&gt;"""", F7929&lt;&gt;"""", N"&amp;"OT(REGEXMATCH(C7929, ""薪資""))), ""內部轉帳(忽略)"",
  REGEXMATCH(C7929, ""薪資""), ""薪資變動(不計入)"",
  REGEXMATCH(C7929, ""押金""), ""押金往來"",
  AND(E7929&lt;&gt;"""", F7929=""""), ""真實支出"",
  AND(E7929="""", F7929&lt;&gt;""""), ""真實收入"",
  TRUE, ""其他""
)"),"其他")</f>
        <v>其他</v>
      </c>
      <c r="K7929" s="270" t="str">
        <f t="shared" si="2"/>
        <v/>
      </c>
      <c r="L7929">
        <f t="shared" si="3"/>
        <v>0</v>
      </c>
    </row>
    <row r="7930">
      <c r="A7930" s="107"/>
      <c r="D7930" s="270"/>
      <c r="H7930" s="106" t="str">
        <f t="shared" si="1"/>
        <v/>
      </c>
      <c r="J7930" t="str">
        <f>IFERROR(__xludf.DUMMYFUNCTION("IFS(
  AND(REGEXMATCH(E7930, ""台銀籌備帳戶|玉山帳戶""), REGEXMATCH(C7930, ""薪資"")), ""分潤支出"",
  AND(REGEXMATCH(E7930, ""Ben帳戶|Elsa帳戶|Ben代墊|Ariel代墊|中信銀行共用""), REGEXMATCH(F7930, ""Ben帳戶|Elsa帳戶|Ben代墊|Ariel代墊|中信銀行共用"")), ""內部轉帳(忽略)"",
  AND(E7930&lt;&gt;"""", F7930&lt;&gt;"""", N"&amp;"OT(REGEXMATCH(C7930, ""薪資""))), ""內部轉帳(忽略)"",
  REGEXMATCH(C7930, ""薪資""), ""薪資變動(不計入)"",
  REGEXMATCH(C7930, ""押金""), ""押金往來"",
  AND(E7930&lt;&gt;"""", F7930=""""), ""真實支出"",
  AND(E7930="""", F7930&lt;&gt;""""), ""真實收入"",
  TRUE, ""其他""
)"),"其他")</f>
        <v>其他</v>
      </c>
      <c r="K7930" s="270" t="str">
        <f t="shared" si="2"/>
        <v/>
      </c>
      <c r="L7930">
        <f t="shared" si="3"/>
        <v>0</v>
      </c>
    </row>
    <row r="7931">
      <c r="A7931" s="107"/>
      <c r="D7931" s="270"/>
      <c r="H7931" s="106" t="str">
        <f t="shared" si="1"/>
        <v/>
      </c>
      <c r="J7931" t="str">
        <f>IFERROR(__xludf.DUMMYFUNCTION("IFS(
  AND(REGEXMATCH(E7931, ""台銀籌備帳戶|玉山帳戶""), REGEXMATCH(C7931, ""薪資"")), ""分潤支出"",
  AND(REGEXMATCH(E7931, ""Ben帳戶|Elsa帳戶|Ben代墊|Ariel代墊|中信銀行共用""), REGEXMATCH(F7931, ""Ben帳戶|Elsa帳戶|Ben代墊|Ariel代墊|中信銀行共用"")), ""內部轉帳(忽略)"",
  AND(E7931&lt;&gt;"""", F7931&lt;&gt;"""", N"&amp;"OT(REGEXMATCH(C7931, ""薪資""))), ""內部轉帳(忽略)"",
  REGEXMATCH(C7931, ""薪資""), ""薪資變動(不計入)"",
  REGEXMATCH(C7931, ""押金""), ""押金往來"",
  AND(E7931&lt;&gt;"""", F7931=""""), ""真實支出"",
  AND(E7931="""", F7931&lt;&gt;""""), ""真實收入"",
  TRUE, ""其他""
)"),"其他")</f>
        <v>其他</v>
      </c>
      <c r="K7931" s="270" t="str">
        <f t="shared" si="2"/>
        <v/>
      </c>
      <c r="L7931">
        <f t="shared" si="3"/>
        <v>0</v>
      </c>
    </row>
    <row r="7932">
      <c r="A7932" s="107"/>
      <c r="D7932" s="270"/>
      <c r="H7932" s="106" t="str">
        <f t="shared" si="1"/>
        <v/>
      </c>
      <c r="J7932" t="str">
        <f>IFERROR(__xludf.DUMMYFUNCTION("IFS(
  AND(REGEXMATCH(E7932, ""台銀籌備帳戶|玉山帳戶""), REGEXMATCH(C7932, ""薪資"")), ""分潤支出"",
  AND(REGEXMATCH(E7932, ""Ben帳戶|Elsa帳戶|Ben代墊|Ariel代墊|中信銀行共用""), REGEXMATCH(F7932, ""Ben帳戶|Elsa帳戶|Ben代墊|Ariel代墊|中信銀行共用"")), ""內部轉帳(忽略)"",
  AND(E7932&lt;&gt;"""", F7932&lt;&gt;"""", N"&amp;"OT(REGEXMATCH(C7932, ""薪資""))), ""內部轉帳(忽略)"",
  REGEXMATCH(C7932, ""薪資""), ""薪資變動(不計入)"",
  REGEXMATCH(C7932, ""押金""), ""押金往來"",
  AND(E7932&lt;&gt;"""", F7932=""""), ""真實支出"",
  AND(E7932="""", F7932&lt;&gt;""""), ""真實收入"",
  TRUE, ""其他""
)"),"其他")</f>
        <v>其他</v>
      </c>
      <c r="K7932" s="270" t="str">
        <f t="shared" si="2"/>
        <v/>
      </c>
      <c r="L7932">
        <f t="shared" si="3"/>
        <v>0</v>
      </c>
    </row>
    <row r="7933">
      <c r="A7933" s="107"/>
      <c r="D7933" s="270"/>
      <c r="H7933" s="106" t="str">
        <f t="shared" si="1"/>
        <v/>
      </c>
      <c r="J7933" t="str">
        <f>IFERROR(__xludf.DUMMYFUNCTION("IFS(
  AND(REGEXMATCH(E7933, ""台銀籌備帳戶|玉山帳戶""), REGEXMATCH(C7933, ""薪資"")), ""分潤支出"",
  AND(REGEXMATCH(E7933, ""Ben帳戶|Elsa帳戶|Ben代墊|Ariel代墊|中信銀行共用""), REGEXMATCH(F7933, ""Ben帳戶|Elsa帳戶|Ben代墊|Ariel代墊|中信銀行共用"")), ""內部轉帳(忽略)"",
  AND(E7933&lt;&gt;"""", F7933&lt;&gt;"""", N"&amp;"OT(REGEXMATCH(C7933, ""薪資""))), ""內部轉帳(忽略)"",
  REGEXMATCH(C7933, ""薪資""), ""薪資變動(不計入)"",
  REGEXMATCH(C7933, ""押金""), ""押金往來"",
  AND(E7933&lt;&gt;"""", F7933=""""), ""真實支出"",
  AND(E7933="""", F7933&lt;&gt;""""), ""真實收入"",
  TRUE, ""其他""
)"),"其他")</f>
        <v>其他</v>
      </c>
      <c r="K7933" s="270" t="str">
        <f t="shared" si="2"/>
        <v/>
      </c>
      <c r="L7933">
        <f t="shared" si="3"/>
        <v>0</v>
      </c>
    </row>
    <row r="7934">
      <c r="A7934" s="107"/>
      <c r="D7934" s="270"/>
      <c r="H7934" s="106" t="str">
        <f t="shared" si="1"/>
        <v/>
      </c>
      <c r="J7934" t="str">
        <f>IFERROR(__xludf.DUMMYFUNCTION("IFS(
  AND(REGEXMATCH(E7934, ""台銀籌備帳戶|玉山帳戶""), REGEXMATCH(C7934, ""薪資"")), ""分潤支出"",
  AND(REGEXMATCH(E7934, ""Ben帳戶|Elsa帳戶|Ben代墊|Ariel代墊|中信銀行共用""), REGEXMATCH(F7934, ""Ben帳戶|Elsa帳戶|Ben代墊|Ariel代墊|中信銀行共用"")), ""內部轉帳(忽略)"",
  AND(E7934&lt;&gt;"""", F7934&lt;&gt;"""", N"&amp;"OT(REGEXMATCH(C7934, ""薪資""))), ""內部轉帳(忽略)"",
  REGEXMATCH(C7934, ""薪資""), ""薪資變動(不計入)"",
  REGEXMATCH(C7934, ""押金""), ""押金往來"",
  AND(E7934&lt;&gt;"""", F7934=""""), ""真實支出"",
  AND(E7934="""", F7934&lt;&gt;""""), ""真實收入"",
  TRUE, ""其他""
)"),"其他")</f>
        <v>其他</v>
      </c>
      <c r="K7934" s="270" t="str">
        <f t="shared" si="2"/>
        <v/>
      </c>
      <c r="L7934">
        <f t="shared" si="3"/>
        <v>0</v>
      </c>
    </row>
    <row r="7935">
      <c r="A7935" s="107"/>
      <c r="D7935" s="270"/>
      <c r="H7935" s="106" t="str">
        <f t="shared" si="1"/>
        <v/>
      </c>
      <c r="J7935" t="str">
        <f>IFERROR(__xludf.DUMMYFUNCTION("IFS(
  AND(REGEXMATCH(E7935, ""台銀籌備帳戶|玉山帳戶""), REGEXMATCH(C7935, ""薪資"")), ""分潤支出"",
  AND(REGEXMATCH(E7935, ""Ben帳戶|Elsa帳戶|Ben代墊|Ariel代墊|中信銀行共用""), REGEXMATCH(F7935, ""Ben帳戶|Elsa帳戶|Ben代墊|Ariel代墊|中信銀行共用"")), ""內部轉帳(忽略)"",
  AND(E7935&lt;&gt;"""", F7935&lt;&gt;"""", N"&amp;"OT(REGEXMATCH(C7935, ""薪資""))), ""內部轉帳(忽略)"",
  REGEXMATCH(C7935, ""薪資""), ""薪資變動(不計入)"",
  REGEXMATCH(C7935, ""押金""), ""押金往來"",
  AND(E7935&lt;&gt;"""", F7935=""""), ""真實支出"",
  AND(E7935="""", F7935&lt;&gt;""""), ""真實收入"",
  TRUE, ""其他""
)"),"其他")</f>
        <v>其他</v>
      </c>
      <c r="K7935" s="270" t="str">
        <f t="shared" si="2"/>
        <v/>
      </c>
      <c r="L7935">
        <f t="shared" si="3"/>
        <v>0</v>
      </c>
    </row>
    <row r="7936">
      <c r="A7936" s="107"/>
      <c r="D7936" s="270"/>
      <c r="H7936" s="106" t="str">
        <f t="shared" si="1"/>
        <v/>
      </c>
      <c r="J7936" t="str">
        <f>IFERROR(__xludf.DUMMYFUNCTION("IFS(
  AND(REGEXMATCH(E7936, ""台銀籌備帳戶|玉山帳戶""), REGEXMATCH(C7936, ""薪資"")), ""分潤支出"",
  AND(REGEXMATCH(E7936, ""Ben帳戶|Elsa帳戶|Ben代墊|Ariel代墊|中信銀行共用""), REGEXMATCH(F7936, ""Ben帳戶|Elsa帳戶|Ben代墊|Ariel代墊|中信銀行共用"")), ""內部轉帳(忽略)"",
  AND(E7936&lt;&gt;"""", F7936&lt;&gt;"""", N"&amp;"OT(REGEXMATCH(C7936, ""薪資""))), ""內部轉帳(忽略)"",
  REGEXMATCH(C7936, ""薪資""), ""薪資變動(不計入)"",
  REGEXMATCH(C7936, ""押金""), ""押金往來"",
  AND(E7936&lt;&gt;"""", F7936=""""), ""真實支出"",
  AND(E7936="""", F7936&lt;&gt;""""), ""真實收入"",
  TRUE, ""其他""
)"),"其他")</f>
        <v>其他</v>
      </c>
      <c r="K7936" s="270" t="str">
        <f t="shared" si="2"/>
        <v/>
      </c>
      <c r="L7936">
        <f t="shared" si="3"/>
        <v>0</v>
      </c>
    </row>
    <row r="7937">
      <c r="A7937" s="107"/>
      <c r="D7937" s="270"/>
      <c r="H7937" s="106" t="str">
        <f t="shared" si="1"/>
        <v/>
      </c>
      <c r="J7937" t="str">
        <f>IFERROR(__xludf.DUMMYFUNCTION("IFS(
  AND(REGEXMATCH(E7937, ""台銀籌備帳戶|玉山帳戶""), REGEXMATCH(C7937, ""薪資"")), ""分潤支出"",
  AND(REGEXMATCH(E7937, ""Ben帳戶|Elsa帳戶|Ben代墊|Ariel代墊|中信銀行共用""), REGEXMATCH(F7937, ""Ben帳戶|Elsa帳戶|Ben代墊|Ariel代墊|中信銀行共用"")), ""內部轉帳(忽略)"",
  AND(E7937&lt;&gt;"""", F7937&lt;&gt;"""", N"&amp;"OT(REGEXMATCH(C7937, ""薪資""))), ""內部轉帳(忽略)"",
  REGEXMATCH(C7937, ""薪資""), ""薪資變動(不計入)"",
  REGEXMATCH(C7937, ""押金""), ""押金往來"",
  AND(E7937&lt;&gt;"""", F7937=""""), ""真實支出"",
  AND(E7937="""", F7937&lt;&gt;""""), ""真實收入"",
  TRUE, ""其他""
)"),"其他")</f>
        <v>其他</v>
      </c>
      <c r="K7937" s="270" t="str">
        <f t="shared" si="2"/>
        <v/>
      </c>
      <c r="L7937">
        <f t="shared" si="3"/>
        <v>0</v>
      </c>
    </row>
    <row r="7938">
      <c r="A7938" s="107"/>
      <c r="D7938" s="270"/>
      <c r="H7938" s="106" t="str">
        <f t="shared" si="1"/>
        <v/>
      </c>
      <c r="J7938" t="str">
        <f>IFERROR(__xludf.DUMMYFUNCTION("IFS(
  AND(REGEXMATCH(E7938, ""台銀籌備帳戶|玉山帳戶""), REGEXMATCH(C7938, ""薪資"")), ""分潤支出"",
  AND(REGEXMATCH(E7938, ""Ben帳戶|Elsa帳戶|Ben代墊|Ariel代墊|中信銀行共用""), REGEXMATCH(F7938, ""Ben帳戶|Elsa帳戶|Ben代墊|Ariel代墊|中信銀行共用"")), ""內部轉帳(忽略)"",
  AND(E7938&lt;&gt;"""", F7938&lt;&gt;"""", N"&amp;"OT(REGEXMATCH(C7938, ""薪資""))), ""內部轉帳(忽略)"",
  REGEXMATCH(C7938, ""薪資""), ""薪資變動(不計入)"",
  REGEXMATCH(C7938, ""押金""), ""押金往來"",
  AND(E7938&lt;&gt;"""", F7938=""""), ""真實支出"",
  AND(E7938="""", F7938&lt;&gt;""""), ""真實收入"",
  TRUE, ""其他""
)"),"其他")</f>
        <v>其他</v>
      </c>
      <c r="K7938" s="270" t="str">
        <f t="shared" si="2"/>
        <v/>
      </c>
      <c r="L7938">
        <f t="shared" si="3"/>
        <v>0</v>
      </c>
    </row>
    <row r="7939">
      <c r="A7939" s="107"/>
      <c r="D7939" s="270"/>
      <c r="H7939" s="106" t="str">
        <f t="shared" si="1"/>
        <v/>
      </c>
      <c r="J7939" t="str">
        <f>IFERROR(__xludf.DUMMYFUNCTION("IFS(
  AND(REGEXMATCH(E7939, ""台銀籌備帳戶|玉山帳戶""), REGEXMATCH(C7939, ""薪資"")), ""分潤支出"",
  AND(REGEXMATCH(E7939, ""Ben帳戶|Elsa帳戶|Ben代墊|Ariel代墊|中信銀行共用""), REGEXMATCH(F7939, ""Ben帳戶|Elsa帳戶|Ben代墊|Ariel代墊|中信銀行共用"")), ""內部轉帳(忽略)"",
  AND(E7939&lt;&gt;"""", F7939&lt;&gt;"""", N"&amp;"OT(REGEXMATCH(C7939, ""薪資""))), ""內部轉帳(忽略)"",
  REGEXMATCH(C7939, ""薪資""), ""薪資變動(不計入)"",
  REGEXMATCH(C7939, ""押金""), ""押金往來"",
  AND(E7939&lt;&gt;"""", F7939=""""), ""真實支出"",
  AND(E7939="""", F7939&lt;&gt;""""), ""真實收入"",
  TRUE, ""其他""
)"),"其他")</f>
        <v>其他</v>
      </c>
      <c r="K7939" s="270" t="str">
        <f t="shared" si="2"/>
        <v/>
      </c>
      <c r="L7939">
        <f t="shared" si="3"/>
        <v>0</v>
      </c>
    </row>
    <row r="7940">
      <c r="A7940" s="107"/>
      <c r="D7940" s="270"/>
      <c r="H7940" s="106" t="str">
        <f t="shared" si="1"/>
        <v/>
      </c>
      <c r="J7940" t="str">
        <f>IFERROR(__xludf.DUMMYFUNCTION("IFS(
  AND(REGEXMATCH(E7940, ""台銀籌備帳戶|玉山帳戶""), REGEXMATCH(C7940, ""薪資"")), ""分潤支出"",
  AND(REGEXMATCH(E7940, ""Ben帳戶|Elsa帳戶|Ben代墊|Ariel代墊|中信銀行共用""), REGEXMATCH(F7940, ""Ben帳戶|Elsa帳戶|Ben代墊|Ariel代墊|中信銀行共用"")), ""內部轉帳(忽略)"",
  AND(E7940&lt;&gt;"""", F7940&lt;&gt;"""", N"&amp;"OT(REGEXMATCH(C7940, ""薪資""))), ""內部轉帳(忽略)"",
  REGEXMATCH(C7940, ""薪資""), ""薪資變動(不計入)"",
  REGEXMATCH(C7940, ""押金""), ""押金往來"",
  AND(E7940&lt;&gt;"""", F7940=""""), ""真實支出"",
  AND(E7940="""", F7940&lt;&gt;""""), ""真實收入"",
  TRUE, ""其他""
)"),"其他")</f>
        <v>其他</v>
      </c>
      <c r="K7940" s="270" t="str">
        <f t="shared" si="2"/>
        <v/>
      </c>
      <c r="L7940">
        <f t="shared" si="3"/>
        <v>0</v>
      </c>
    </row>
    <row r="7941">
      <c r="A7941" s="107"/>
      <c r="D7941" s="270"/>
      <c r="H7941" s="106" t="str">
        <f t="shared" si="1"/>
        <v/>
      </c>
      <c r="J7941" t="str">
        <f>IFERROR(__xludf.DUMMYFUNCTION("IFS(
  AND(REGEXMATCH(E7941, ""台銀籌備帳戶|玉山帳戶""), REGEXMATCH(C7941, ""薪資"")), ""分潤支出"",
  AND(REGEXMATCH(E7941, ""Ben帳戶|Elsa帳戶|Ben代墊|Ariel代墊|中信銀行共用""), REGEXMATCH(F7941, ""Ben帳戶|Elsa帳戶|Ben代墊|Ariel代墊|中信銀行共用"")), ""內部轉帳(忽略)"",
  AND(E7941&lt;&gt;"""", F7941&lt;&gt;"""", N"&amp;"OT(REGEXMATCH(C7941, ""薪資""))), ""內部轉帳(忽略)"",
  REGEXMATCH(C7941, ""薪資""), ""薪資變動(不計入)"",
  REGEXMATCH(C7941, ""押金""), ""押金往來"",
  AND(E7941&lt;&gt;"""", F7941=""""), ""真實支出"",
  AND(E7941="""", F7941&lt;&gt;""""), ""真實收入"",
  TRUE, ""其他""
)"),"其他")</f>
        <v>其他</v>
      </c>
      <c r="K7941" s="270" t="str">
        <f t="shared" si="2"/>
        <v/>
      </c>
      <c r="L7941">
        <f t="shared" si="3"/>
        <v>0</v>
      </c>
    </row>
    <row r="7942">
      <c r="A7942" s="107"/>
      <c r="D7942" s="270"/>
      <c r="H7942" s="106" t="str">
        <f t="shared" si="1"/>
        <v/>
      </c>
      <c r="J7942" t="str">
        <f>IFERROR(__xludf.DUMMYFUNCTION("IFS(
  AND(REGEXMATCH(E7942, ""台銀籌備帳戶|玉山帳戶""), REGEXMATCH(C7942, ""薪資"")), ""分潤支出"",
  AND(REGEXMATCH(E7942, ""Ben帳戶|Elsa帳戶|Ben代墊|Ariel代墊|中信銀行共用""), REGEXMATCH(F7942, ""Ben帳戶|Elsa帳戶|Ben代墊|Ariel代墊|中信銀行共用"")), ""內部轉帳(忽略)"",
  AND(E7942&lt;&gt;"""", F7942&lt;&gt;"""", N"&amp;"OT(REGEXMATCH(C7942, ""薪資""))), ""內部轉帳(忽略)"",
  REGEXMATCH(C7942, ""薪資""), ""薪資變動(不計入)"",
  REGEXMATCH(C7942, ""押金""), ""押金往來"",
  AND(E7942&lt;&gt;"""", F7942=""""), ""真實支出"",
  AND(E7942="""", F7942&lt;&gt;""""), ""真實收入"",
  TRUE, ""其他""
)"),"其他")</f>
        <v>其他</v>
      </c>
      <c r="K7942" s="270" t="str">
        <f t="shared" si="2"/>
        <v/>
      </c>
      <c r="L7942">
        <f t="shared" si="3"/>
        <v>0</v>
      </c>
    </row>
    <row r="7943">
      <c r="A7943" s="107"/>
      <c r="D7943" s="270"/>
      <c r="H7943" s="106" t="str">
        <f t="shared" si="1"/>
        <v/>
      </c>
      <c r="J7943" t="str">
        <f>IFERROR(__xludf.DUMMYFUNCTION("IFS(
  AND(REGEXMATCH(E7943, ""台銀籌備帳戶|玉山帳戶""), REGEXMATCH(C7943, ""薪資"")), ""分潤支出"",
  AND(REGEXMATCH(E7943, ""Ben帳戶|Elsa帳戶|Ben代墊|Ariel代墊|中信銀行共用""), REGEXMATCH(F7943, ""Ben帳戶|Elsa帳戶|Ben代墊|Ariel代墊|中信銀行共用"")), ""內部轉帳(忽略)"",
  AND(E7943&lt;&gt;"""", F7943&lt;&gt;"""", N"&amp;"OT(REGEXMATCH(C7943, ""薪資""))), ""內部轉帳(忽略)"",
  REGEXMATCH(C7943, ""薪資""), ""薪資變動(不計入)"",
  REGEXMATCH(C7943, ""押金""), ""押金往來"",
  AND(E7943&lt;&gt;"""", F7943=""""), ""真實支出"",
  AND(E7943="""", F7943&lt;&gt;""""), ""真實收入"",
  TRUE, ""其他""
)"),"其他")</f>
        <v>其他</v>
      </c>
      <c r="K7943" s="270" t="str">
        <f t="shared" si="2"/>
        <v/>
      </c>
      <c r="L7943">
        <f t="shared" si="3"/>
        <v>0</v>
      </c>
    </row>
    <row r="7944">
      <c r="A7944" s="107"/>
      <c r="D7944" s="270"/>
      <c r="H7944" s="106" t="str">
        <f t="shared" si="1"/>
        <v/>
      </c>
      <c r="J7944" t="str">
        <f>IFERROR(__xludf.DUMMYFUNCTION("IFS(
  AND(REGEXMATCH(E7944, ""台銀籌備帳戶|玉山帳戶""), REGEXMATCH(C7944, ""薪資"")), ""分潤支出"",
  AND(REGEXMATCH(E7944, ""Ben帳戶|Elsa帳戶|Ben代墊|Ariel代墊|中信銀行共用""), REGEXMATCH(F7944, ""Ben帳戶|Elsa帳戶|Ben代墊|Ariel代墊|中信銀行共用"")), ""內部轉帳(忽略)"",
  AND(E7944&lt;&gt;"""", F7944&lt;&gt;"""", N"&amp;"OT(REGEXMATCH(C7944, ""薪資""))), ""內部轉帳(忽略)"",
  REGEXMATCH(C7944, ""薪資""), ""薪資變動(不計入)"",
  REGEXMATCH(C7944, ""押金""), ""押金往來"",
  AND(E7944&lt;&gt;"""", F7944=""""), ""真實支出"",
  AND(E7944="""", F7944&lt;&gt;""""), ""真實收入"",
  TRUE, ""其他""
)"),"其他")</f>
        <v>其他</v>
      </c>
      <c r="K7944" s="270" t="str">
        <f t="shared" si="2"/>
        <v/>
      </c>
      <c r="L7944">
        <f t="shared" si="3"/>
        <v>0</v>
      </c>
    </row>
    <row r="7945">
      <c r="A7945" s="107"/>
      <c r="D7945" s="270"/>
      <c r="H7945" s="106" t="str">
        <f t="shared" si="1"/>
        <v/>
      </c>
      <c r="J7945" t="str">
        <f>IFERROR(__xludf.DUMMYFUNCTION("IFS(
  AND(REGEXMATCH(E7945, ""台銀籌備帳戶|玉山帳戶""), REGEXMATCH(C7945, ""薪資"")), ""分潤支出"",
  AND(REGEXMATCH(E7945, ""Ben帳戶|Elsa帳戶|Ben代墊|Ariel代墊|中信銀行共用""), REGEXMATCH(F7945, ""Ben帳戶|Elsa帳戶|Ben代墊|Ariel代墊|中信銀行共用"")), ""內部轉帳(忽略)"",
  AND(E7945&lt;&gt;"""", F7945&lt;&gt;"""", N"&amp;"OT(REGEXMATCH(C7945, ""薪資""))), ""內部轉帳(忽略)"",
  REGEXMATCH(C7945, ""薪資""), ""薪資變動(不計入)"",
  REGEXMATCH(C7945, ""押金""), ""押金往來"",
  AND(E7945&lt;&gt;"""", F7945=""""), ""真實支出"",
  AND(E7945="""", F7945&lt;&gt;""""), ""真實收入"",
  TRUE, ""其他""
)"),"其他")</f>
        <v>其他</v>
      </c>
      <c r="K7945" s="270" t="str">
        <f t="shared" si="2"/>
        <v/>
      </c>
      <c r="L7945">
        <f t="shared" si="3"/>
        <v>0</v>
      </c>
    </row>
    <row r="7946">
      <c r="A7946" s="107"/>
      <c r="D7946" s="270"/>
      <c r="H7946" s="106" t="str">
        <f t="shared" si="1"/>
        <v/>
      </c>
      <c r="J7946" t="str">
        <f>IFERROR(__xludf.DUMMYFUNCTION("IFS(
  AND(REGEXMATCH(E7946, ""台銀籌備帳戶|玉山帳戶""), REGEXMATCH(C7946, ""薪資"")), ""分潤支出"",
  AND(REGEXMATCH(E7946, ""Ben帳戶|Elsa帳戶|Ben代墊|Ariel代墊|中信銀行共用""), REGEXMATCH(F7946, ""Ben帳戶|Elsa帳戶|Ben代墊|Ariel代墊|中信銀行共用"")), ""內部轉帳(忽略)"",
  AND(E7946&lt;&gt;"""", F7946&lt;&gt;"""", N"&amp;"OT(REGEXMATCH(C7946, ""薪資""))), ""內部轉帳(忽略)"",
  REGEXMATCH(C7946, ""薪資""), ""薪資變動(不計入)"",
  REGEXMATCH(C7946, ""押金""), ""押金往來"",
  AND(E7946&lt;&gt;"""", F7946=""""), ""真實支出"",
  AND(E7946="""", F7946&lt;&gt;""""), ""真實收入"",
  TRUE, ""其他""
)"),"其他")</f>
        <v>其他</v>
      </c>
      <c r="K7946" s="270" t="str">
        <f t="shared" si="2"/>
        <v/>
      </c>
      <c r="L7946">
        <f t="shared" si="3"/>
        <v>0</v>
      </c>
    </row>
    <row r="7947">
      <c r="A7947" s="107"/>
      <c r="D7947" s="270"/>
      <c r="H7947" s="106" t="str">
        <f t="shared" si="1"/>
        <v/>
      </c>
      <c r="J7947" t="str">
        <f>IFERROR(__xludf.DUMMYFUNCTION("IFS(
  AND(REGEXMATCH(E7947, ""台銀籌備帳戶|玉山帳戶""), REGEXMATCH(C7947, ""薪資"")), ""分潤支出"",
  AND(REGEXMATCH(E7947, ""Ben帳戶|Elsa帳戶|Ben代墊|Ariel代墊|中信銀行共用""), REGEXMATCH(F7947, ""Ben帳戶|Elsa帳戶|Ben代墊|Ariel代墊|中信銀行共用"")), ""內部轉帳(忽略)"",
  AND(E7947&lt;&gt;"""", F7947&lt;&gt;"""", N"&amp;"OT(REGEXMATCH(C7947, ""薪資""))), ""內部轉帳(忽略)"",
  REGEXMATCH(C7947, ""薪資""), ""薪資變動(不計入)"",
  REGEXMATCH(C7947, ""押金""), ""押金往來"",
  AND(E7947&lt;&gt;"""", F7947=""""), ""真實支出"",
  AND(E7947="""", F7947&lt;&gt;""""), ""真實收入"",
  TRUE, ""其他""
)"),"其他")</f>
        <v>其他</v>
      </c>
      <c r="K7947" s="270" t="str">
        <f t="shared" si="2"/>
        <v/>
      </c>
      <c r="L7947">
        <f t="shared" si="3"/>
        <v>0</v>
      </c>
    </row>
    <row r="7948">
      <c r="A7948" s="107"/>
      <c r="D7948" s="270"/>
      <c r="H7948" s="106" t="str">
        <f t="shared" si="1"/>
        <v/>
      </c>
      <c r="J7948" t="str">
        <f>IFERROR(__xludf.DUMMYFUNCTION("IFS(
  AND(REGEXMATCH(E7948, ""台銀籌備帳戶|玉山帳戶""), REGEXMATCH(C7948, ""薪資"")), ""分潤支出"",
  AND(REGEXMATCH(E7948, ""Ben帳戶|Elsa帳戶|Ben代墊|Ariel代墊|中信銀行共用""), REGEXMATCH(F7948, ""Ben帳戶|Elsa帳戶|Ben代墊|Ariel代墊|中信銀行共用"")), ""內部轉帳(忽略)"",
  AND(E7948&lt;&gt;"""", F7948&lt;&gt;"""", N"&amp;"OT(REGEXMATCH(C7948, ""薪資""))), ""內部轉帳(忽略)"",
  REGEXMATCH(C7948, ""薪資""), ""薪資變動(不計入)"",
  REGEXMATCH(C7948, ""押金""), ""押金往來"",
  AND(E7948&lt;&gt;"""", F7948=""""), ""真實支出"",
  AND(E7948="""", F7948&lt;&gt;""""), ""真實收入"",
  TRUE, ""其他""
)"),"其他")</f>
        <v>其他</v>
      </c>
      <c r="K7948" s="270" t="str">
        <f t="shared" si="2"/>
        <v/>
      </c>
      <c r="L7948">
        <f t="shared" si="3"/>
        <v>0</v>
      </c>
    </row>
    <row r="7949">
      <c r="A7949" s="107"/>
      <c r="D7949" s="270"/>
      <c r="H7949" s="106" t="str">
        <f t="shared" si="1"/>
        <v/>
      </c>
      <c r="J7949" t="str">
        <f>IFERROR(__xludf.DUMMYFUNCTION("IFS(
  AND(REGEXMATCH(E7949, ""台銀籌備帳戶|玉山帳戶""), REGEXMATCH(C7949, ""薪資"")), ""分潤支出"",
  AND(REGEXMATCH(E7949, ""Ben帳戶|Elsa帳戶|Ben代墊|Ariel代墊|中信銀行共用""), REGEXMATCH(F7949, ""Ben帳戶|Elsa帳戶|Ben代墊|Ariel代墊|中信銀行共用"")), ""內部轉帳(忽略)"",
  AND(E7949&lt;&gt;"""", F7949&lt;&gt;"""", N"&amp;"OT(REGEXMATCH(C7949, ""薪資""))), ""內部轉帳(忽略)"",
  REGEXMATCH(C7949, ""薪資""), ""薪資變動(不計入)"",
  REGEXMATCH(C7949, ""押金""), ""押金往來"",
  AND(E7949&lt;&gt;"""", F7949=""""), ""真實支出"",
  AND(E7949="""", F7949&lt;&gt;""""), ""真實收入"",
  TRUE, ""其他""
)"),"其他")</f>
        <v>其他</v>
      </c>
      <c r="K7949" s="270" t="str">
        <f t="shared" si="2"/>
        <v/>
      </c>
      <c r="L7949">
        <f t="shared" si="3"/>
        <v>0</v>
      </c>
    </row>
    <row r="7950">
      <c r="A7950" s="107"/>
      <c r="D7950" s="270"/>
      <c r="H7950" s="106" t="str">
        <f t="shared" si="1"/>
        <v/>
      </c>
      <c r="J7950" t="str">
        <f>IFERROR(__xludf.DUMMYFUNCTION("IFS(
  AND(REGEXMATCH(E7950, ""台銀籌備帳戶|玉山帳戶""), REGEXMATCH(C7950, ""薪資"")), ""分潤支出"",
  AND(REGEXMATCH(E7950, ""Ben帳戶|Elsa帳戶|Ben代墊|Ariel代墊|中信銀行共用""), REGEXMATCH(F7950, ""Ben帳戶|Elsa帳戶|Ben代墊|Ariel代墊|中信銀行共用"")), ""內部轉帳(忽略)"",
  AND(E7950&lt;&gt;"""", F7950&lt;&gt;"""", N"&amp;"OT(REGEXMATCH(C7950, ""薪資""))), ""內部轉帳(忽略)"",
  REGEXMATCH(C7950, ""薪資""), ""薪資變動(不計入)"",
  REGEXMATCH(C7950, ""押金""), ""押金往來"",
  AND(E7950&lt;&gt;"""", F7950=""""), ""真實支出"",
  AND(E7950="""", F7950&lt;&gt;""""), ""真實收入"",
  TRUE, ""其他""
)"),"其他")</f>
        <v>其他</v>
      </c>
      <c r="K7950" s="270" t="str">
        <f t="shared" si="2"/>
        <v/>
      </c>
      <c r="L7950">
        <f t="shared" si="3"/>
        <v>0</v>
      </c>
    </row>
    <row r="7951">
      <c r="A7951" s="107"/>
      <c r="D7951" s="270"/>
      <c r="H7951" s="106" t="str">
        <f t="shared" si="1"/>
        <v/>
      </c>
      <c r="J7951" t="str">
        <f>IFERROR(__xludf.DUMMYFUNCTION("IFS(
  AND(REGEXMATCH(E7951, ""台銀籌備帳戶|玉山帳戶""), REGEXMATCH(C7951, ""薪資"")), ""分潤支出"",
  AND(REGEXMATCH(E7951, ""Ben帳戶|Elsa帳戶|Ben代墊|Ariel代墊|中信銀行共用""), REGEXMATCH(F7951, ""Ben帳戶|Elsa帳戶|Ben代墊|Ariel代墊|中信銀行共用"")), ""內部轉帳(忽略)"",
  AND(E7951&lt;&gt;"""", F7951&lt;&gt;"""", N"&amp;"OT(REGEXMATCH(C7951, ""薪資""))), ""內部轉帳(忽略)"",
  REGEXMATCH(C7951, ""薪資""), ""薪資變動(不計入)"",
  REGEXMATCH(C7951, ""押金""), ""押金往來"",
  AND(E7951&lt;&gt;"""", F7951=""""), ""真實支出"",
  AND(E7951="""", F7951&lt;&gt;""""), ""真實收入"",
  TRUE, ""其他""
)"),"其他")</f>
        <v>其他</v>
      </c>
      <c r="K7951" s="270" t="str">
        <f t="shared" si="2"/>
        <v/>
      </c>
      <c r="L7951">
        <f t="shared" si="3"/>
        <v>0</v>
      </c>
    </row>
    <row r="7952">
      <c r="A7952" s="107"/>
      <c r="D7952" s="270"/>
      <c r="H7952" s="106" t="str">
        <f t="shared" si="1"/>
        <v/>
      </c>
      <c r="J7952" t="str">
        <f>IFERROR(__xludf.DUMMYFUNCTION("IFS(
  AND(REGEXMATCH(E7952, ""台銀籌備帳戶|玉山帳戶""), REGEXMATCH(C7952, ""薪資"")), ""分潤支出"",
  AND(REGEXMATCH(E7952, ""Ben帳戶|Elsa帳戶|Ben代墊|Ariel代墊|中信銀行共用""), REGEXMATCH(F7952, ""Ben帳戶|Elsa帳戶|Ben代墊|Ariel代墊|中信銀行共用"")), ""內部轉帳(忽略)"",
  AND(E7952&lt;&gt;"""", F7952&lt;&gt;"""", N"&amp;"OT(REGEXMATCH(C7952, ""薪資""))), ""內部轉帳(忽略)"",
  REGEXMATCH(C7952, ""薪資""), ""薪資變動(不計入)"",
  REGEXMATCH(C7952, ""押金""), ""押金往來"",
  AND(E7952&lt;&gt;"""", F7952=""""), ""真實支出"",
  AND(E7952="""", F7952&lt;&gt;""""), ""真實收入"",
  TRUE, ""其他""
)"),"其他")</f>
        <v>其他</v>
      </c>
      <c r="K7952" s="270" t="str">
        <f t="shared" si="2"/>
        <v/>
      </c>
      <c r="L7952">
        <f t="shared" si="3"/>
        <v>0</v>
      </c>
    </row>
    <row r="7953">
      <c r="A7953" s="107"/>
      <c r="D7953" s="270"/>
      <c r="H7953" s="106" t="str">
        <f t="shared" si="1"/>
        <v/>
      </c>
      <c r="J7953" t="str">
        <f>IFERROR(__xludf.DUMMYFUNCTION("IFS(
  AND(REGEXMATCH(E7953, ""台銀籌備帳戶|玉山帳戶""), REGEXMATCH(C7953, ""薪資"")), ""分潤支出"",
  AND(REGEXMATCH(E7953, ""Ben帳戶|Elsa帳戶|Ben代墊|Ariel代墊|中信銀行共用""), REGEXMATCH(F7953, ""Ben帳戶|Elsa帳戶|Ben代墊|Ariel代墊|中信銀行共用"")), ""內部轉帳(忽略)"",
  AND(E7953&lt;&gt;"""", F7953&lt;&gt;"""", N"&amp;"OT(REGEXMATCH(C7953, ""薪資""))), ""內部轉帳(忽略)"",
  REGEXMATCH(C7953, ""薪資""), ""薪資變動(不計入)"",
  REGEXMATCH(C7953, ""押金""), ""押金往來"",
  AND(E7953&lt;&gt;"""", F7953=""""), ""真實支出"",
  AND(E7953="""", F7953&lt;&gt;""""), ""真實收入"",
  TRUE, ""其他""
)"),"其他")</f>
        <v>其他</v>
      </c>
      <c r="K7953" s="270" t="str">
        <f t="shared" si="2"/>
        <v/>
      </c>
      <c r="L7953">
        <f t="shared" si="3"/>
        <v>0</v>
      </c>
    </row>
    <row r="7954">
      <c r="A7954" s="107"/>
      <c r="D7954" s="270"/>
      <c r="H7954" s="106" t="str">
        <f t="shared" si="1"/>
        <v/>
      </c>
      <c r="J7954" t="str">
        <f>IFERROR(__xludf.DUMMYFUNCTION("IFS(
  AND(REGEXMATCH(E7954, ""台銀籌備帳戶|玉山帳戶""), REGEXMATCH(C7954, ""薪資"")), ""分潤支出"",
  AND(REGEXMATCH(E7954, ""Ben帳戶|Elsa帳戶|Ben代墊|Ariel代墊|中信銀行共用""), REGEXMATCH(F7954, ""Ben帳戶|Elsa帳戶|Ben代墊|Ariel代墊|中信銀行共用"")), ""內部轉帳(忽略)"",
  AND(E7954&lt;&gt;"""", F7954&lt;&gt;"""", N"&amp;"OT(REGEXMATCH(C7954, ""薪資""))), ""內部轉帳(忽略)"",
  REGEXMATCH(C7954, ""薪資""), ""薪資變動(不計入)"",
  REGEXMATCH(C7954, ""押金""), ""押金往來"",
  AND(E7954&lt;&gt;"""", F7954=""""), ""真實支出"",
  AND(E7954="""", F7954&lt;&gt;""""), ""真實收入"",
  TRUE, ""其他""
)"),"其他")</f>
        <v>其他</v>
      </c>
      <c r="K7954" s="270" t="str">
        <f t="shared" si="2"/>
        <v/>
      </c>
      <c r="L7954">
        <f t="shared" si="3"/>
        <v>0</v>
      </c>
    </row>
    <row r="7955">
      <c r="A7955" s="107"/>
      <c r="D7955" s="270"/>
      <c r="H7955" s="106" t="str">
        <f t="shared" si="1"/>
        <v/>
      </c>
      <c r="J7955" t="str">
        <f>IFERROR(__xludf.DUMMYFUNCTION("IFS(
  AND(REGEXMATCH(E7955, ""台銀籌備帳戶|玉山帳戶""), REGEXMATCH(C7955, ""薪資"")), ""分潤支出"",
  AND(REGEXMATCH(E7955, ""Ben帳戶|Elsa帳戶|Ben代墊|Ariel代墊|中信銀行共用""), REGEXMATCH(F7955, ""Ben帳戶|Elsa帳戶|Ben代墊|Ariel代墊|中信銀行共用"")), ""內部轉帳(忽略)"",
  AND(E7955&lt;&gt;"""", F7955&lt;&gt;"""", N"&amp;"OT(REGEXMATCH(C7955, ""薪資""))), ""內部轉帳(忽略)"",
  REGEXMATCH(C7955, ""薪資""), ""薪資變動(不計入)"",
  REGEXMATCH(C7955, ""押金""), ""押金往來"",
  AND(E7955&lt;&gt;"""", F7955=""""), ""真實支出"",
  AND(E7955="""", F7955&lt;&gt;""""), ""真實收入"",
  TRUE, ""其他""
)"),"其他")</f>
        <v>其他</v>
      </c>
      <c r="K7955" s="270" t="str">
        <f t="shared" si="2"/>
        <v/>
      </c>
      <c r="L7955">
        <f t="shared" si="3"/>
        <v>0</v>
      </c>
    </row>
    <row r="7956">
      <c r="A7956" s="107"/>
      <c r="D7956" s="270"/>
      <c r="H7956" s="106" t="str">
        <f t="shared" si="1"/>
        <v/>
      </c>
      <c r="J7956" t="str">
        <f>IFERROR(__xludf.DUMMYFUNCTION("IFS(
  AND(REGEXMATCH(E7956, ""台銀籌備帳戶|玉山帳戶""), REGEXMATCH(C7956, ""薪資"")), ""分潤支出"",
  AND(REGEXMATCH(E7956, ""Ben帳戶|Elsa帳戶|Ben代墊|Ariel代墊|中信銀行共用""), REGEXMATCH(F7956, ""Ben帳戶|Elsa帳戶|Ben代墊|Ariel代墊|中信銀行共用"")), ""內部轉帳(忽略)"",
  AND(E7956&lt;&gt;"""", F7956&lt;&gt;"""", N"&amp;"OT(REGEXMATCH(C7956, ""薪資""))), ""內部轉帳(忽略)"",
  REGEXMATCH(C7956, ""薪資""), ""薪資變動(不計入)"",
  REGEXMATCH(C7956, ""押金""), ""押金往來"",
  AND(E7956&lt;&gt;"""", F7956=""""), ""真實支出"",
  AND(E7956="""", F7956&lt;&gt;""""), ""真實收入"",
  TRUE, ""其他""
)"),"其他")</f>
        <v>其他</v>
      </c>
      <c r="K7956" s="270" t="str">
        <f t="shared" si="2"/>
        <v/>
      </c>
      <c r="L7956">
        <f t="shared" si="3"/>
        <v>0</v>
      </c>
    </row>
    <row r="7957">
      <c r="A7957" s="107"/>
      <c r="D7957" s="270"/>
      <c r="H7957" s="106" t="str">
        <f t="shared" si="1"/>
        <v/>
      </c>
      <c r="J7957" t="str">
        <f>IFERROR(__xludf.DUMMYFUNCTION("IFS(
  AND(REGEXMATCH(E7957, ""台銀籌備帳戶|玉山帳戶""), REGEXMATCH(C7957, ""薪資"")), ""分潤支出"",
  AND(REGEXMATCH(E7957, ""Ben帳戶|Elsa帳戶|Ben代墊|Ariel代墊|中信銀行共用""), REGEXMATCH(F7957, ""Ben帳戶|Elsa帳戶|Ben代墊|Ariel代墊|中信銀行共用"")), ""內部轉帳(忽略)"",
  AND(E7957&lt;&gt;"""", F7957&lt;&gt;"""", N"&amp;"OT(REGEXMATCH(C7957, ""薪資""))), ""內部轉帳(忽略)"",
  REGEXMATCH(C7957, ""薪資""), ""薪資變動(不計入)"",
  REGEXMATCH(C7957, ""押金""), ""押金往來"",
  AND(E7957&lt;&gt;"""", F7957=""""), ""真實支出"",
  AND(E7957="""", F7957&lt;&gt;""""), ""真實收入"",
  TRUE, ""其他""
)"),"其他")</f>
        <v>其他</v>
      </c>
      <c r="K7957" s="270" t="str">
        <f t="shared" si="2"/>
        <v/>
      </c>
      <c r="L7957">
        <f t="shared" si="3"/>
        <v>0</v>
      </c>
    </row>
    <row r="7958">
      <c r="A7958" s="107"/>
      <c r="D7958" s="270"/>
      <c r="H7958" s="106" t="str">
        <f t="shared" si="1"/>
        <v/>
      </c>
      <c r="J7958" t="str">
        <f>IFERROR(__xludf.DUMMYFUNCTION("IFS(
  AND(REGEXMATCH(E7958, ""台銀籌備帳戶|玉山帳戶""), REGEXMATCH(C7958, ""薪資"")), ""分潤支出"",
  AND(REGEXMATCH(E7958, ""Ben帳戶|Elsa帳戶|Ben代墊|Ariel代墊|中信銀行共用""), REGEXMATCH(F7958, ""Ben帳戶|Elsa帳戶|Ben代墊|Ariel代墊|中信銀行共用"")), ""內部轉帳(忽略)"",
  AND(E7958&lt;&gt;"""", F7958&lt;&gt;"""", N"&amp;"OT(REGEXMATCH(C7958, ""薪資""))), ""內部轉帳(忽略)"",
  REGEXMATCH(C7958, ""薪資""), ""薪資變動(不計入)"",
  REGEXMATCH(C7958, ""押金""), ""押金往來"",
  AND(E7958&lt;&gt;"""", F7958=""""), ""真實支出"",
  AND(E7958="""", F7958&lt;&gt;""""), ""真實收入"",
  TRUE, ""其他""
)"),"其他")</f>
        <v>其他</v>
      </c>
      <c r="K7958" s="270" t="str">
        <f t="shared" si="2"/>
        <v/>
      </c>
      <c r="L7958">
        <f t="shared" si="3"/>
        <v>0</v>
      </c>
    </row>
    <row r="7959">
      <c r="A7959" s="107"/>
      <c r="D7959" s="270"/>
      <c r="H7959" s="106" t="str">
        <f t="shared" si="1"/>
        <v/>
      </c>
      <c r="J7959" t="str">
        <f>IFERROR(__xludf.DUMMYFUNCTION("IFS(
  AND(REGEXMATCH(E7959, ""台銀籌備帳戶|玉山帳戶""), REGEXMATCH(C7959, ""薪資"")), ""分潤支出"",
  AND(REGEXMATCH(E7959, ""Ben帳戶|Elsa帳戶|Ben代墊|Ariel代墊|中信銀行共用""), REGEXMATCH(F7959, ""Ben帳戶|Elsa帳戶|Ben代墊|Ariel代墊|中信銀行共用"")), ""內部轉帳(忽略)"",
  AND(E7959&lt;&gt;"""", F7959&lt;&gt;"""", N"&amp;"OT(REGEXMATCH(C7959, ""薪資""))), ""內部轉帳(忽略)"",
  REGEXMATCH(C7959, ""薪資""), ""薪資變動(不計入)"",
  REGEXMATCH(C7959, ""押金""), ""押金往來"",
  AND(E7959&lt;&gt;"""", F7959=""""), ""真實支出"",
  AND(E7959="""", F7959&lt;&gt;""""), ""真實收入"",
  TRUE, ""其他""
)"),"其他")</f>
        <v>其他</v>
      </c>
      <c r="K7959" s="270" t="str">
        <f t="shared" si="2"/>
        <v/>
      </c>
      <c r="L7959">
        <f t="shared" si="3"/>
        <v>0</v>
      </c>
    </row>
    <row r="7960">
      <c r="A7960" s="107"/>
      <c r="D7960" s="270"/>
      <c r="H7960" s="106" t="str">
        <f t="shared" si="1"/>
        <v/>
      </c>
      <c r="J7960" t="str">
        <f>IFERROR(__xludf.DUMMYFUNCTION("IFS(
  AND(REGEXMATCH(E7960, ""台銀籌備帳戶|玉山帳戶""), REGEXMATCH(C7960, ""薪資"")), ""分潤支出"",
  AND(REGEXMATCH(E7960, ""Ben帳戶|Elsa帳戶|Ben代墊|Ariel代墊|中信銀行共用""), REGEXMATCH(F7960, ""Ben帳戶|Elsa帳戶|Ben代墊|Ariel代墊|中信銀行共用"")), ""內部轉帳(忽略)"",
  AND(E7960&lt;&gt;"""", F7960&lt;&gt;"""", N"&amp;"OT(REGEXMATCH(C7960, ""薪資""))), ""內部轉帳(忽略)"",
  REGEXMATCH(C7960, ""薪資""), ""薪資變動(不計入)"",
  REGEXMATCH(C7960, ""押金""), ""押金往來"",
  AND(E7960&lt;&gt;"""", F7960=""""), ""真實支出"",
  AND(E7960="""", F7960&lt;&gt;""""), ""真實收入"",
  TRUE, ""其他""
)"),"其他")</f>
        <v>其他</v>
      </c>
      <c r="K7960" s="270" t="str">
        <f t="shared" si="2"/>
        <v/>
      </c>
      <c r="L7960">
        <f t="shared" si="3"/>
        <v>0</v>
      </c>
    </row>
    <row r="7961">
      <c r="A7961" s="107"/>
      <c r="D7961" s="270"/>
      <c r="H7961" s="106" t="str">
        <f t="shared" si="1"/>
        <v/>
      </c>
      <c r="J7961" t="str">
        <f>IFERROR(__xludf.DUMMYFUNCTION("IFS(
  AND(REGEXMATCH(E7961, ""台銀籌備帳戶|玉山帳戶""), REGEXMATCH(C7961, ""薪資"")), ""分潤支出"",
  AND(REGEXMATCH(E7961, ""Ben帳戶|Elsa帳戶|Ben代墊|Ariel代墊|中信銀行共用""), REGEXMATCH(F7961, ""Ben帳戶|Elsa帳戶|Ben代墊|Ariel代墊|中信銀行共用"")), ""內部轉帳(忽略)"",
  AND(E7961&lt;&gt;"""", F7961&lt;&gt;"""", N"&amp;"OT(REGEXMATCH(C7961, ""薪資""))), ""內部轉帳(忽略)"",
  REGEXMATCH(C7961, ""薪資""), ""薪資變動(不計入)"",
  REGEXMATCH(C7961, ""押金""), ""押金往來"",
  AND(E7961&lt;&gt;"""", F7961=""""), ""真實支出"",
  AND(E7961="""", F7961&lt;&gt;""""), ""真實收入"",
  TRUE, ""其他""
)"),"其他")</f>
        <v>其他</v>
      </c>
      <c r="K7961" s="270" t="str">
        <f t="shared" si="2"/>
        <v/>
      </c>
      <c r="L7961">
        <f t="shared" si="3"/>
        <v>0</v>
      </c>
    </row>
    <row r="7962">
      <c r="A7962" s="107"/>
      <c r="D7962" s="270"/>
      <c r="H7962" s="106" t="str">
        <f t="shared" si="1"/>
        <v/>
      </c>
      <c r="J7962" t="str">
        <f>IFERROR(__xludf.DUMMYFUNCTION("IFS(
  AND(REGEXMATCH(E7962, ""台銀籌備帳戶|玉山帳戶""), REGEXMATCH(C7962, ""薪資"")), ""分潤支出"",
  AND(REGEXMATCH(E7962, ""Ben帳戶|Elsa帳戶|Ben代墊|Ariel代墊|中信銀行共用""), REGEXMATCH(F7962, ""Ben帳戶|Elsa帳戶|Ben代墊|Ariel代墊|中信銀行共用"")), ""內部轉帳(忽略)"",
  AND(E7962&lt;&gt;"""", F7962&lt;&gt;"""", N"&amp;"OT(REGEXMATCH(C7962, ""薪資""))), ""內部轉帳(忽略)"",
  REGEXMATCH(C7962, ""薪資""), ""薪資變動(不計入)"",
  REGEXMATCH(C7962, ""押金""), ""押金往來"",
  AND(E7962&lt;&gt;"""", F7962=""""), ""真實支出"",
  AND(E7962="""", F7962&lt;&gt;""""), ""真實收入"",
  TRUE, ""其他""
)"),"其他")</f>
        <v>其他</v>
      </c>
      <c r="K7962" s="270" t="str">
        <f t="shared" si="2"/>
        <v/>
      </c>
      <c r="L7962">
        <f t="shared" si="3"/>
        <v>0</v>
      </c>
    </row>
    <row r="7963">
      <c r="A7963" s="107"/>
      <c r="D7963" s="270"/>
      <c r="H7963" s="106" t="str">
        <f t="shared" si="1"/>
        <v/>
      </c>
      <c r="J7963" t="str">
        <f>IFERROR(__xludf.DUMMYFUNCTION("IFS(
  AND(REGEXMATCH(E7963, ""台銀籌備帳戶|玉山帳戶""), REGEXMATCH(C7963, ""薪資"")), ""分潤支出"",
  AND(REGEXMATCH(E7963, ""Ben帳戶|Elsa帳戶|Ben代墊|Ariel代墊|中信銀行共用""), REGEXMATCH(F7963, ""Ben帳戶|Elsa帳戶|Ben代墊|Ariel代墊|中信銀行共用"")), ""內部轉帳(忽略)"",
  AND(E7963&lt;&gt;"""", F7963&lt;&gt;"""", N"&amp;"OT(REGEXMATCH(C7963, ""薪資""))), ""內部轉帳(忽略)"",
  REGEXMATCH(C7963, ""薪資""), ""薪資變動(不計入)"",
  REGEXMATCH(C7963, ""押金""), ""押金往來"",
  AND(E7963&lt;&gt;"""", F7963=""""), ""真實支出"",
  AND(E7963="""", F7963&lt;&gt;""""), ""真實收入"",
  TRUE, ""其他""
)"),"其他")</f>
        <v>其他</v>
      </c>
      <c r="K7963" s="270" t="str">
        <f t="shared" si="2"/>
        <v/>
      </c>
      <c r="L7963">
        <f t="shared" si="3"/>
        <v>0</v>
      </c>
    </row>
    <row r="7964">
      <c r="A7964" s="107"/>
      <c r="D7964" s="270"/>
      <c r="H7964" s="106" t="str">
        <f t="shared" si="1"/>
        <v/>
      </c>
      <c r="J7964" t="str">
        <f>IFERROR(__xludf.DUMMYFUNCTION("IFS(
  AND(REGEXMATCH(E7964, ""台銀籌備帳戶|玉山帳戶""), REGEXMATCH(C7964, ""薪資"")), ""分潤支出"",
  AND(REGEXMATCH(E7964, ""Ben帳戶|Elsa帳戶|Ben代墊|Ariel代墊|中信銀行共用""), REGEXMATCH(F7964, ""Ben帳戶|Elsa帳戶|Ben代墊|Ariel代墊|中信銀行共用"")), ""內部轉帳(忽略)"",
  AND(E7964&lt;&gt;"""", F7964&lt;&gt;"""", N"&amp;"OT(REGEXMATCH(C7964, ""薪資""))), ""內部轉帳(忽略)"",
  REGEXMATCH(C7964, ""薪資""), ""薪資變動(不計入)"",
  REGEXMATCH(C7964, ""押金""), ""押金往來"",
  AND(E7964&lt;&gt;"""", F7964=""""), ""真實支出"",
  AND(E7964="""", F7964&lt;&gt;""""), ""真實收入"",
  TRUE, ""其他""
)"),"其他")</f>
        <v>其他</v>
      </c>
      <c r="K7964" s="270" t="str">
        <f t="shared" si="2"/>
        <v/>
      </c>
      <c r="L7964">
        <f t="shared" si="3"/>
        <v>0</v>
      </c>
    </row>
    <row r="7965">
      <c r="A7965" s="107"/>
      <c r="D7965" s="270"/>
      <c r="H7965" s="106" t="str">
        <f t="shared" si="1"/>
        <v/>
      </c>
      <c r="J7965" t="str">
        <f>IFERROR(__xludf.DUMMYFUNCTION("IFS(
  AND(REGEXMATCH(E7965, ""台銀籌備帳戶|玉山帳戶""), REGEXMATCH(C7965, ""薪資"")), ""分潤支出"",
  AND(REGEXMATCH(E7965, ""Ben帳戶|Elsa帳戶|Ben代墊|Ariel代墊|中信銀行共用""), REGEXMATCH(F7965, ""Ben帳戶|Elsa帳戶|Ben代墊|Ariel代墊|中信銀行共用"")), ""內部轉帳(忽略)"",
  AND(E7965&lt;&gt;"""", F7965&lt;&gt;"""", N"&amp;"OT(REGEXMATCH(C7965, ""薪資""))), ""內部轉帳(忽略)"",
  REGEXMATCH(C7965, ""薪資""), ""薪資變動(不計入)"",
  REGEXMATCH(C7965, ""押金""), ""押金往來"",
  AND(E7965&lt;&gt;"""", F7965=""""), ""真實支出"",
  AND(E7965="""", F7965&lt;&gt;""""), ""真實收入"",
  TRUE, ""其他""
)"),"其他")</f>
        <v>其他</v>
      </c>
      <c r="K7965" s="270" t="str">
        <f t="shared" si="2"/>
        <v/>
      </c>
      <c r="L7965">
        <f t="shared" si="3"/>
        <v>0</v>
      </c>
    </row>
    <row r="7966">
      <c r="A7966" s="107"/>
      <c r="D7966" s="270"/>
      <c r="H7966" s="106" t="str">
        <f t="shared" si="1"/>
        <v/>
      </c>
      <c r="J7966" t="str">
        <f>IFERROR(__xludf.DUMMYFUNCTION("IFS(
  AND(REGEXMATCH(E7966, ""台銀籌備帳戶|玉山帳戶""), REGEXMATCH(C7966, ""薪資"")), ""分潤支出"",
  AND(REGEXMATCH(E7966, ""Ben帳戶|Elsa帳戶|Ben代墊|Ariel代墊|中信銀行共用""), REGEXMATCH(F7966, ""Ben帳戶|Elsa帳戶|Ben代墊|Ariel代墊|中信銀行共用"")), ""內部轉帳(忽略)"",
  AND(E7966&lt;&gt;"""", F7966&lt;&gt;"""", N"&amp;"OT(REGEXMATCH(C7966, ""薪資""))), ""內部轉帳(忽略)"",
  REGEXMATCH(C7966, ""薪資""), ""薪資變動(不計入)"",
  REGEXMATCH(C7966, ""押金""), ""押金往來"",
  AND(E7966&lt;&gt;"""", F7966=""""), ""真實支出"",
  AND(E7966="""", F7966&lt;&gt;""""), ""真實收入"",
  TRUE, ""其他""
)"),"其他")</f>
        <v>其他</v>
      </c>
      <c r="K7966" s="270" t="str">
        <f t="shared" si="2"/>
        <v/>
      </c>
      <c r="L7966">
        <f t="shared" si="3"/>
        <v>0</v>
      </c>
    </row>
    <row r="7967">
      <c r="A7967" s="107"/>
      <c r="D7967" s="270"/>
      <c r="H7967" s="106" t="str">
        <f t="shared" si="1"/>
        <v/>
      </c>
      <c r="J7967" t="str">
        <f>IFERROR(__xludf.DUMMYFUNCTION("IFS(
  AND(REGEXMATCH(E7967, ""台銀籌備帳戶|玉山帳戶""), REGEXMATCH(C7967, ""薪資"")), ""分潤支出"",
  AND(REGEXMATCH(E7967, ""Ben帳戶|Elsa帳戶|Ben代墊|Ariel代墊|中信銀行共用""), REGEXMATCH(F7967, ""Ben帳戶|Elsa帳戶|Ben代墊|Ariel代墊|中信銀行共用"")), ""內部轉帳(忽略)"",
  AND(E7967&lt;&gt;"""", F7967&lt;&gt;"""", N"&amp;"OT(REGEXMATCH(C7967, ""薪資""))), ""內部轉帳(忽略)"",
  REGEXMATCH(C7967, ""薪資""), ""薪資變動(不計入)"",
  REGEXMATCH(C7967, ""押金""), ""押金往來"",
  AND(E7967&lt;&gt;"""", F7967=""""), ""真實支出"",
  AND(E7967="""", F7967&lt;&gt;""""), ""真實收入"",
  TRUE, ""其他""
)"),"其他")</f>
        <v>其他</v>
      </c>
      <c r="K7967" s="270" t="str">
        <f t="shared" si="2"/>
        <v/>
      </c>
      <c r="L7967">
        <f t="shared" si="3"/>
        <v>0</v>
      </c>
    </row>
    <row r="7968">
      <c r="A7968" s="107"/>
      <c r="D7968" s="270"/>
      <c r="H7968" s="106" t="str">
        <f t="shared" si="1"/>
        <v/>
      </c>
      <c r="J7968" t="str">
        <f>IFERROR(__xludf.DUMMYFUNCTION("IFS(
  AND(REGEXMATCH(E7968, ""台銀籌備帳戶|玉山帳戶""), REGEXMATCH(C7968, ""薪資"")), ""分潤支出"",
  AND(REGEXMATCH(E7968, ""Ben帳戶|Elsa帳戶|Ben代墊|Ariel代墊|中信銀行共用""), REGEXMATCH(F7968, ""Ben帳戶|Elsa帳戶|Ben代墊|Ariel代墊|中信銀行共用"")), ""內部轉帳(忽略)"",
  AND(E7968&lt;&gt;"""", F7968&lt;&gt;"""", N"&amp;"OT(REGEXMATCH(C7968, ""薪資""))), ""內部轉帳(忽略)"",
  REGEXMATCH(C7968, ""薪資""), ""薪資變動(不計入)"",
  REGEXMATCH(C7968, ""押金""), ""押金往來"",
  AND(E7968&lt;&gt;"""", F7968=""""), ""真實支出"",
  AND(E7968="""", F7968&lt;&gt;""""), ""真實收入"",
  TRUE, ""其他""
)"),"其他")</f>
        <v>其他</v>
      </c>
      <c r="K7968" s="270" t="str">
        <f t="shared" si="2"/>
        <v/>
      </c>
      <c r="L7968">
        <f t="shared" si="3"/>
        <v>0</v>
      </c>
    </row>
    <row r="7969">
      <c r="A7969" s="107"/>
      <c r="D7969" s="270"/>
      <c r="H7969" s="106" t="str">
        <f t="shared" si="1"/>
        <v/>
      </c>
      <c r="J7969" t="str">
        <f>IFERROR(__xludf.DUMMYFUNCTION("IFS(
  AND(REGEXMATCH(E7969, ""台銀籌備帳戶|玉山帳戶""), REGEXMATCH(C7969, ""薪資"")), ""分潤支出"",
  AND(REGEXMATCH(E7969, ""Ben帳戶|Elsa帳戶|Ben代墊|Ariel代墊|中信銀行共用""), REGEXMATCH(F7969, ""Ben帳戶|Elsa帳戶|Ben代墊|Ariel代墊|中信銀行共用"")), ""內部轉帳(忽略)"",
  AND(E7969&lt;&gt;"""", F7969&lt;&gt;"""", N"&amp;"OT(REGEXMATCH(C7969, ""薪資""))), ""內部轉帳(忽略)"",
  REGEXMATCH(C7969, ""薪資""), ""薪資變動(不計入)"",
  REGEXMATCH(C7969, ""押金""), ""押金往來"",
  AND(E7969&lt;&gt;"""", F7969=""""), ""真實支出"",
  AND(E7969="""", F7969&lt;&gt;""""), ""真實收入"",
  TRUE, ""其他""
)"),"其他")</f>
        <v>其他</v>
      </c>
      <c r="K7969" s="270" t="str">
        <f t="shared" si="2"/>
        <v/>
      </c>
      <c r="L7969">
        <f t="shared" si="3"/>
        <v>0</v>
      </c>
    </row>
    <row r="7970">
      <c r="A7970" s="107"/>
      <c r="D7970" s="270"/>
      <c r="H7970" s="106" t="str">
        <f t="shared" si="1"/>
        <v/>
      </c>
      <c r="J7970" t="str">
        <f>IFERROR(__xludf.DUMMYFUNCTION("IFS(
  AND(REGEXMATCH(E7970, ""台銀籌備帳戶|玉山帳戶""), REGEXMATCH(C7970, ""薪資"")), ""分潤支出"",
  AND(REGEXMATCH(E7970, ""Ben帳戶|Elsa帳戶|Ben代墊|Ariel代墊|中信銀行共用""), REGEXMATCH(F7970, ""Ben帳戶|Elsa帳戶|Ben代墊|Ariel代墊|中信銀行共用"")), ""內部轉帳(忽略)"",
  AND(E7970&lt;&gt;"""", F7970&lt;&gt;"""", N"&amp;"OT(REGEXMATCH(C7970, ""薪資""))), ""內部轉帳(忽略)"",
  REGEXMATCH(C7970, ""薪資""), ""薪資變動(不計入)"",
  REGEXMATCH(C7970, ""押金""), ""押金往來"",
  AND(E7970&lt;&gt;"""", F7970=""""), ""真實支出"",
  AND(E7970="""", F7970&lt;&gt;""""), ""真實收入"",
  TRUE, ""其他""
)"),"其他")</f>
        <v>其他</v>
      </c>
      <c r="K7970" s="270" t="str">
        <f t="shared" si="2"/>
        <v/>
      </c>
      <c r="L7970">
        <f t="shared" si="3"/>
        <v>0</v>
      </c>
    </row>
    <row r="7971">
      <c r="A7971" s="107"/>
      <c r="D7971" s="270"/>
      <c r="H7971" s="106" t="str">
        <f t="shared" si="1"/>
        <v/>
      </c>
      <c r="J7971" t="str">
        <f>IFERROR(__xludf.DUMMYFUNCTION("IFS(
  AND(REGEXMATCH(E7971, ""台銀籌備帳戶|玉山帳戶""), REGEXMATCH(C7971, ""薪資"")), ""分潤支出"",
  AND(REGEXMATCH(E7971, ""Ben帳戶|Elsa帳戶|Ben代墊|Ariel代墊|中信銀行共用""), REGEXMATCH(F7971, ""Ben帳戶|Elsa帳戶|Ben代墊|Ariel代墊|中信銀行共用"")), ""內部轉帳(忽略)"",
  AND(E7971&lt;&gt;"""", F7971&lt;&gt;"""", N"&amp;"OT(REGEXMATCH(C7971, ""薪資""))), ""內部轉帳(忽略)"",
  REGEXMATCH(C7971, ""薪資""), ""薪資變動(不計入)"",
  REGEXMATCH(C7971, ""押金""), ""押金往來"",
  AND(E7971&lt;&gt;"""", F7971=""""), ""真實支出"",
  AND(E7971="""", F7971&lt;&gt;""""), ""真實收入"",
  TRUE, ""其他""
)"),"其他")</f>
        <v>其他</v>
      </c>
      <c r="K7971" s="270" t="str">
        <f t="shared" si="2"/>
        <v/>
      </c>
      <c r="L7971">
        <f t="shared" si="3"/>
        <v>0</v>
      </c>
    </row>
    <row r="7972">
      <c r="A7972" s="107"/>
      <c r="D7972" s="270"/>
      <c r="H7972" s="106" t="str">
        <f t="shared" si="1"/>
        <v/>
      </c>
      <c r="J7972" t="str">
        <f>IFERROR(__xludf.DUMMYFUNCTION("IFS(
  AND(REGEXMATCH(E7972, ""台銀籌備帳戶|玉山帳戶""), REGEXMATCH(C7972, ""薪資"")), ""分潤支出"",
  AND(REGEXMATCH(E7972, ""Ben帳戶|Elsa帳戶|Ben代墊|Ariel代墊|中信銀行共用""), REGEXMATCH(F7972, ""Ben帳戶|Elsa帳戶|Ben代墊|Ariel代墊|中信銀行共用"")), ""內部轉帳(忽略)"",
  AND(E7972&lt;&gt;"""", F7972&lt;&gt;"""", N"&amp;"OT(REGEXMATCH(C7972, ""薪資""))), ""內部轉帳(忽略)"",
  REGEXMATCH(C7972, ""薪資""), ""薪資變動(不計入)"",
  REGEXMATCH(C7972, ""押金""), ""押金往來"",
  AND(E7972&lt;&gt;"""", F7972=""""), ""真實支出"",
  AND(E7972="""", F7972&lt;&gt;""""), ""真實收入"",
  TRUE, ""其他""
)"),"其他")</f>
        <v>其他</v>
      </c>
      <c r="K7972" s="270" t="str">
        <f t="shared" si="2"/>
        <v/>
      </c>
      <c r="L7972">
        <f t="shared" si="3"/>
        <v>0</v>
      </c>
    </row>
    <row r="7973">
      <c r="A7973" s="107"/>
      <c r="D7973" s="270"/>
      <c r="H7973" s="106" t="str">
        <f t="shared" si="1"/>
        <v/>
      </c>
      <c r="J7973" t="str">
        <f>IFERROR(__xludf.DUMMYFUNCTION("IFS(
  AND(REGEXMATCH(E7973, ""台銀籌備帳戶|玉山帳戶""), REGEXMATCH(C7973, ""薪資"")), ""分潤支出"",
  AND(REGEXMATCH(E7973, ""Ben帳戶|Elsa帳戶|Ben代墊|Ariel代墊|中信銀行共用""), REGEXMATCH(F7973, ""Ben帳戶|Elsa帳戶|Ben代墊|Ariel代墊|中信銀行共用"")), ""內部轉帳(忽略)"",
  AND(E7973&lt;&gt;"""", F7973&lt;&gt;"""", N"&amp;"OT(REGEXMATCH(C7973, ""薪資""))), ""內部轉帳(忽略)"",
  REGEXMATCH(C7973, ""薪資""), ""薪資變動(不計入)"",
  REGEXMATCH(C7973, ""押金""), ""押金往來"",
  AND(E7973&lt;&gt;"""", F7973=""""), ""真實支出"",
  AND(E7973="""", F7973&lt;&gt;""""), ""真實收入"",
  TRUE, ""其他""
)"),"其他")</f>
        <v>其他</v>
      </c>
      <c r="K7973" s="270" t="str">
        <f t="shared" si="2"/>
        <v/>
      </c>
      <c r="L7973">
        <f t="shared" si="3"/>
        <v>0</v>
      </c>
    </row>
    <row r="7974">
      <c r="A7974" s="107"/>
      <c r="D7974" s="270"/>
      <c r="H7974" s="106" t="str">
        <f t="shared" si="1"/>
        <v/>
      </c>
      <c r="J7974" t="str">
        <f>IFERROR(__xludf.DUMMYFUNCTION("IFS(
  AND(REGEXMATCH(E7974, ""台銀籌備帳戶|玉山帳戶""), REGEXMATCH(C7974, ""薪資"")), ""分潤支出"",
  AND(REGEXMATCH(E7974, ""Ben帳戶|Elsa帳戶|Ben代墊|Ariel代墊|中信銀行共用""), REGEXMATCH(F7974, ""Ben帳戶|Elsa帳戶|Ben代墊|Ariel代墊|中信銀行共用"")), ""內部轉帳(忽略)"",
  AND(E7974&lt;&gt;"""", F7974&lt;&gt;"""", N"&amp;"OT(REGEXMATCH(C7974, ""薪資""))), ""內部轉帳(忽略)"",
  REGEXMATCH(C7974, ""薪資""), ""薪資變動(不計入)"",
  REGEXMATCH(C7974, ""押金""), ""押金往來"",
  AND(E7974&lt;&gt;"""", F7974=""""), ""真實支出"",
  AND(E7974="""", F7974&lt;&gt;""""), ""真實收入"",
  TRUE, ""其他""
)"),"其他")</f>
        <v>其他</v>
      </c>
      <c r="K7974" s="270" t="str">
        <f t="shared" si="2"/>
        <v/>
      </c>
      <c r="L7974">
        <f t="shared" si="3"/>
        <v>0</v>
      </c>
    </row>
    <row r="7975">
      <c r="A7975" s="107"/>
      <c r="D7975" s="270"/>
      <c r="H7975" s="106" t="str">
        <f t="shared" si="1"/>
        <v/>
      </c>
      <c r="J7975" t="str">
        <f>IFERROR(__xludf.DUMMYFUNCTION("IFS(
  AND(REGEXMATCH(E7975, ""台銀籌備帳戶|玉山帳戶""), REGEXMATCH(C7975, ""薪資"")), ""分潤支出"",
  AND(REGEXMATCH(E7975, ""Ben帳戶|Elsa帳戶|Ben代墊|Ariel代墊|中信銀行共用""), REGEXMATCH(F7975, ""Ben帳戶|Elsa帳戶|Ben代墊|Ariel代墊|中信銀行共用"")), ""內部轉帳(忽略)"",
  AND(E7975&lt;&gt;"""", F7975&lt;&gt;"""", N"&amp;"OT(REGEXMATCH(C7975, ""薪資""))), ""內部轉帳(忽略)"",
  REGEXMATCH(C7975, ""薪資""), ""薪資變動(不計入)"",
  REGEXMATCH(C7975, ""押金""), ""押金往來"",
  AND(E7975&lt;&gt;"""", F7975=""""), ""真實支出"",
  AND(E7975="""", F7975&lt;&gt;""""), ""真實收入"",
  TRUE, ""其他""
)"),"其他")</f>
        <v>其他</v>
      </c>
      <c r="K7975" s="270" t="str">
        <f t="shared" si="2"/>
        <v/>
      </c>
      <c r="L7975">
        <f t="shared" si="3"/>
        <v>0</v>
      </c>
    </row>
    <row r="7976">
      <c r="A7976" s="107"/>
      <c r="D7976" s="270"/>
      <c r="H7976" s="106" t="str">
        <f t="shared" si="1"/>
        <v/>
      </c>
      <c r="J7976" t="str">
        <f>IFERROR(__xludf.DUMMYFUNCTION("IFS(
  AND(REGEXMATCH(E7976, ""台銀籌備帳戶|玉山帳戶""), REGEXMATCH(C7976, ""薪資"")), ""分潤支出"",
  AND(REGEXMATCH(E7976, ""Ben帳戶|Elsa帳戶|Ben代墊|Ariel代墊|中信銀行共用""), REGEXMATCH(F7976, ""Ben帳戶|Elsa帳戶|Ben代墊|Ariel代墊|中信銀行共用"")), ""內部轉帳(忽略)"",
  AND(E7976&lt;&gt;"""", F7976&lt;&gt;"""", N"&amp;"OT(REGEXMATCH(C7976, ""薪資""))), ""內部轉帳(忽略)"",
  REGEXMATCH(C7976, ""薪資""), ""薪資變動(不計入)"",
  REGEXMATCH(C7976, ""押金""), ""押金往來"",
  AND(E7976&lt;&gt;"""", F7976=""""), ""真實支出"",
  AND(E7976="""", F7976&lt;&gt;""""), ""真實收入"",
  TRUE, ""其他""
)"),"其他")</f>
        <v>其他</v>
      </c>
      <c r="K7976" s="270" t="str">
        <f t="shared" si="2"/>
        <v/>
      </c>
      <c r="L7976">
        <f t="shared" si="3"/>
        <v>0</v>
      </c>
    </row>
    <row r="7977">
      <c r="A7977" s="107"/>
      <c r="D7977" s="270"/>
      <c r="H7977" s="106" t="str">
        <f t="shared" si="1"/>
        <v/>
      </c>
      <c r="J7977" t="str">
        <f>IFERROR(__xludf.DUMMYFUNCTION("IFS(
  AND(REGEXMATCH(E7977, ""台銀籌備帳戶|玉山帳戶""), REGEXMATCH(C7977, ""薪資"")), ""分潤支出"",
  AND(REGEXMATCH(E7977, ""Ben帳戶|Elsa帳戶|Ben代墊|Ariel代墊|中信銀行共用""), REGEXMATCH(F7977, ""Ben帳戶|Elsa帳戶|Ben代墊|Ariel代墊|中信銀行共用"")), ""內部轉帳(忽略)"",
  AND(E7977&lt;&gt;"""", F7977&lt;&gt;"""", N"&amp;"OT(REGEXMATCH(C7977, ""薪資""))), ""內部轉帳(忽略)"",
  REGEXMATCH(C7977, ""薪資""), ""薪資變動(不計入)"",
  REGEXMATCH(C7977, ""押金""), ""押金往來"",
  AND(E7977&lt;&gt;"""", F7977=""""), ""真實支出"",
  AND(E7977="""", F7977&lt;&gt;""""), ""真實收入"",
  TRUE, ""其他""
)"),"其他")</f>
        <v>其他</v>
      </c>
      <c r="K7977" s="270" t="str">
        <f t="shared" si="2"/>
        <v/>
      </c>
      <c r="L7977">
        <f t="shared" si="3"/>
        <v>0</v>
      </c>
    </row>
    <row r="7978">
      <c r="A7978" s="107"/>
      <c r="D7978" s="270"/>
      <c r="H7978" s="106" t="str">
        <f t="shared" si="1"/>
        <v/>
      </c>
      <c r="J7978" t="str">
        <f>IFERROR(__xludf.DUMMYFUNCTION("IFS(
  AND(REGEXMATCH(E7978, ""台銀籌備帳戶|玉山帳戶""), REGEXMATCH(C7978, ""薪資"")), ""分潤支出"",
  AND(REGEXMATCH(E7978, ""Ben帳戶|Elsa帳戶|Ben代墊|Ariel代墊|中信銀行共用""), REGEXMATCH(F7978, ""Ben帳戶|Elsa帳戶|Ben代墊|Ariel代墊|中信銀行共用"")), ""內部轉帳(忽略)"",
  AND(E7978&lt;&gt;"""", F7978&lt;&gt;"""", N"&amp;"OT(REGEXMATCH(C7978, ""薪資""))), ""內部轉帳(忽略)"",
  REGEXMATCH(C7978, ""薪資""), ""薪資變動(不計入)"",
  REGEXMATCH(C7978, ""押金""), ""押金往來"",
  AND(E7978&lt;&gt;"""", F7978=""""), ""真實支出"",
  AND(E7978="""", F7978&lt;&gt;""""), ""真實收入"",
  TRUE, ""其他""
)"),"其他")</f>
        <v>其他</v>
      </c>
      <c r="K7978" s="270" t="str">
        <f t="shared" si="2"/>
        <v/>
      </c>
      <c r="L7978">
        <f t="shared" si="3"/>
        <v>0</v>
      </c>
    </row>
    <row r="7979">
      <c r="A7979" s="107"/>
      <c r="D7979" s="270"/>
      <c r="H7979" s="106" t="str">
        <f t="shared" si="1"/>
        <v/>
      </c>
      <c r="J7979" t="str">
        <f>IFERROR(__xludf.DUMMYFUNCTION("IFS(
  AND(REGEXMATCH(E7979, ""台銀籌備帳戶|玉山帳戶""), REGEXMATCH(C7979, ""薪資"")), ""分潤支出"",
  AND(REGEXMATCH(E7979, ""Ben帳戶|Elsa帳戶|Ben代墊|Ariel代墊|中信銀行共用""), REGEXMATCH(F7979, ""Ben帳戶|Elsa帳戶|Ben代墊|Ariel代墊|中信銀行共用"")), ""內部轉帳(忽略)"",
  AND(E7979&lt;&gt;"""", F7979&lt;&gt;"""", N"&amp;"OT(REGEXMATCH(C7979, ""薪資""))), ""內部轉帳(忽略)"",
  REGEXMATCH(C7979, ""薪資""), ""薪資變動(不計入)"",
  REGEXMATCH(C7979, ""押金""), ""押金往來"",
  AND(E7979&lt;&gt;"""", F7979=""""), ""真實支出"",
  AND(E7979="""", F7979&lt;&gt;""""), ""真實收入"",
  TRUE, ""其他""
)"),"其他")</f>
        <v>其他</v>
      </c>
      <c r="K7979" s="270" t="str">
        <f t="shared" si="2"/>
        <v/>
      </c>
      <c r="L7979">
        <f t="shared" si="3"/>
        <v>0</v>
      </c>
    </row>
    <row r="7980">
      <c r="A7980" s="107"/>
      <c r="D7980" s="270"/>
      <c r="H7980" s="106" t="str">
        <f t="shared" si="1"/>
        <v/>
      </c>
      <c r="J7980" t="str">
        <f>IFERROR(__xludf.DUMMYFUNCTION("IFS(
  AND(REGEXMATCH(E7980, ""台銀籌備帳戶|玉山帳戶""), REGEXMATCH(C7980, ""薪資"")), ""分潤支出"",
  AND(REGEXMATCH(E7980, ""Ben帳戶|Elsa帳戶|Ben代墊|Ariel代墊|中信銀行共用""), REGEXMATCH(F7980, ""Ben帳戶|Elsa帳戶|Ben代墊|Ariel代墊|中信銀行共用"")), ""內部轉帳(忽略)"",
  AND(E7980&lt;&gt;"""", F7980&lt;&gt;"""", N"&amp;"OT(REGEXMATCH(C7980, ""薪資""))), ""內部轉帳(忽略)"",
  REGEXMATCH(C7980, ""薪資""), ""薪資變動(不計入)"",
  REGEXMATCH(C7980, ""押金""), ""押金往來"",
  AND(E7980&lt;&gt;"""", F7980=""""), ""真實支出"",
  AND(E7980="""", F7980&lt;&gt;""""), ""真實收入"",
  TRUE, ""其他""
)"),"其他")</f>
        <v>其他</v>
      </c>
      <c r="K7980" s="270" t="str">
        <f t="shared" si="2"/>
        <v/>
      </c>
      <c r="L7980">
        <f t="shared" si="3"/>
        <v>0</v>
      </c>
    </row>
    <row r="7981">
      <c r="A7981" s="107"/>
      <c r="D7981" s="270"/>
      <c r="H7981" s="106" t="str">
        <f t="shared" si="1"/>
        <v/>
      </c>
      <c r="J7981" t="str">
        <f>IFERROR(__xludf.DUMMYFUNCTION("IFS(
  AND(REGEXMATCH(E7981, ""台銀籌備帳戶|玉山帳戶""), REGEXMATCH(C7981, ""薪資"")), ""分潤支出"",
  AND(REGEXMATCH(E7981, ""Ben帳戶|Elsa帳戶|Ben代墊|Ariel代墊|中信銀行共用""), REGEXMATCH(F7981, ""Ben帳戶|Elsa帳戶|Ben代墊|Ariel代墊|中信銀行共用"")), ""內部轉帳(忽略)"",
  AND(E7981&lt;&gt;"""", F7981&lt;&gt;"""", N"&amp;"OT(REGEXMATCH(C7981, ""薪資""))), ""內部轉帳(忽略)"",
  REGEXMATCH(C7981, ""薪資""), ""薪資變動(不計入)"",
  REGEXMATCH(C7981, ""押金""), ""押金往來"",
  AND(E7981&lt;&gt;"""", F7981=""""), ""真實支出"",
  AND(E7981="""", F7981&lt;&gt;""""), ""真實收入"",
  TRUE, ""其他""
)"),"其他")</f>
        <v>其他</v>
      </c>
      <c r="K7981" s="270" t="str">
        <f t="shared" si="2"/>
        <v/>
      </c>
      <c r="L7981">
        <f t="shared" si="3"/>
        <v>0</v>
      </c>
    </row>
    <row r="7982">
      <c r="A7982" s="107"/>
      <c r="D7982" s="270"/>
      <c r="H7982" s="106" t="str">
        <f t="shared" si="1"/>
        <v/>
      </c>
      <c r="J7982" t="str">
        <f>IFERROR(__xludf.DUMMYFUNCTION("IFS(
  AND(REGEXMATCH(E7982, ""台銀籌備帳戶|玉山帳戶""), REGEXMATCH(C7982, ""薪資"")), ""分潤支出"",
  AND(REGEXMATCH(E7982, ""Ben帳戶|Elsa帳戶|Ben代墊|Ariel代墊|中信銀行共用""), REGEXMATCH(F7982, ""Ben帳戶|Elsa帳戶|Ben代墊|Ariel代墊|中信銀行共用"")), ""內部轉帳(忽略)"",
  AND(E7982&lt;&gt;"""", F7982&lt;&gt;"""", N"&amp;"OT(REGEXMATCH(C7982, ""薪資""))), ""內部轉帳(忽略)"",
  REGEXMATCH(C7982, ""薪資""), ""薪資變動(不計入)"",
  REGEXMATCH(C7982, ""押金""), ""押金往來"",
  AND(E7982&lt;&gt;"""", F7982=""""), ""真實支出"",
  AND(E7982="""", F7982&lt;&gt;""""), ""真實收入"",
  TRUE, ""其他""
)"),"其他")</f>
        <v>其他</v>
      </c>
      <c r="K7982" s="270" t="str">
        <f t="shared" si="2"/>
        <v/>
      </c>
      <c r="L7982">
        <f t="shared" si="3"/>
        <v>0</v>
      </c>
    </row>
    <row r="7983">
      <c r="A7983" s="107"/>
      <c r="D7983" s="270"/>
      <c r="H7983" s="106" t="str">
        <f t="shared" si="1"/>
        <v/>
      </c>
      <c r="J7983" t="str">
        <f>IFERROR(__xludf.DUMMYFUNCTION("IFS(
  AND(REGEXMATCH(E7983, ""台銀籌備帳戶|玉山帳戶""), REGEXMATCH(C7983, ""薪資"")), ""分潤支出"",
  AND(REGEXMATCH(E7983, ""Ben帳戶|Elsa帳戶|Ben代墊|Ariel代墊|中信銀行共用""), REGEXMATCH(F7983, ""Ben帳戶|Elsa帳戶|Ben代墊|Ariel代墊|中信銀行共用"")), ""內部轉帳(忽略)"",
  AND(E7983&lt;&gt;"""", F7983&lt;&gt;"""", N"&amp;"OT(REGEXMATCH(C7983, ""薪資""))), ""內部轉帳(忽略)"",
  REGEXMATCH(C7983, ""薪資""), ""薪資變動(不計入)"",
  REGEXMATCH(C7983, ""押金""), ""押金往來"",
  AND(E7983&lt;&gt;"""", F7983=""""), ""真實支出"",
  AND(E7983="""", F7983&lt;&gt;""""), ""真實收入"",
  TRUE, ""其他""
)"),"其他")</f>
        <v>其他</v>
      </c>
      <c r="K7983" s="270" t="str">
        <f t="shared" si="2"/>
        <v/>
      </c>
      <c r="L7983">
        <f t="shared" si="3"/>
        <v>0</v>
      </c>
    </row>
    <row r="7984">
      <c r="A7984" s="107"/>
      <c r="D7984" s="270"/>
      <c r="H7984" s="106" t="str">
        <f t="shared" si="1"/>
        <v/>
      </c>
      <c r="J7984" t="str">
        <f>IFERROR(__xludf.DUMMYFUNCTION("IFS(
  AND(REGEXMATCH(E7984, ""台銀籌備帳戶|玉山帳戶""), REGEXMATCH(C7984, ""薪資"")), ""分潤支出"",
  AND(REGEXMATCH(E7984, ""Ben帳戶|Elsa帳戶|Ben代墊|Ariel代墊|中信銀行共用""), REGEXMATCH(F7984, ""Ben帳戶|Elsa帳戶|Ben代墊|Ariel代墊|中信銀行共用"")), ""內部轉帳(忽略)"",
  AND(E7984&lt;&gt;"""", F7984&lt;&gt;"""", N"&amp;"OT(REGEXMATCH(C7984, ""薪資""))), ""內部轉帳(忽略)"",
  REGEXMATCH(C7984, ""薪資""), ""薪資變動(不計入)"",
  REGEXMATCH(C7984, ""押金""), ""押金往來"",
  AND(E7984&lt;&gt;"""", F7984=""""), ""真實支出"",
  AND(E7984="""", F7984&lt;&gt;""""), ""真實收入"",
  TRUE, ""其他""
)"),"其他")</f>
        <v>其他</v>
      </c>
      <c r="K7984" s="270" t="str">
        <f t="shared" si="2"/>
        <v/>
      </c>
      <c r="L7984">
        <f t="shared" si="3"/>
        <v>0</v>
      </c>
    </row>
    <row r="7985">
      <c r="A7985" s="107"/>
      <c r="D7985" s="270"/>
      <c r="H7985" s="106" t="str">
        <f t="shared" si="1"/>
        <v/>
      </c>
      <c r="J7985" t="str">
        <f>IFERROR(__xludf.DUMMYFUNCTION("IFS(
  AND(REGEXMATCH(E7985, ""台銀籌備帳戶|玉山帳戶""), REGEXMATCH(C7985, ""薪資"")), ""分潤支出"",
  AND(REGEXMATCH(E7985, ""Ben帳戶|Elsa帳戶|Ben代墊|Ariel代墊|中信銀行共用""), REGEXMATCH(F7985, ""Ben帳戶|Elsa帳戶|Ben代墊|Ariel代墊|中信銀行共用"")), ""內部轉帳(忽略)"",
  AND(E7985&lt;&gt;"""", F7985&lt;&gt;"""", N"&amp;"OT(REGEXMATCH(C7985, ""薪資""))), ""內部轉帳(忽略)"",
  REGEXMATCH(C7985, ""薪資""), ""薪資變動(不計入)"",
  REGEXMATCH(C7985, ""押金""), ""押金往來"",
  AND(E7985&lt;&gt;"""", F7985=""""), ""真實支出"",
  AND(E7985="""", F7985&lt;&gt;""""), ""真實收入"",
  TRUE, ""其他""
)"),"其他")</f>
        <v>其他</v>
      </c>
      <c r="K7985" s="270" t="str">
        <f t="shared" si="2"/>
        <v/>
      </c>
      <c r="L7985">
        <f t="shared" si="3"/>
        <v>0</v>
      </c>
    </row>
    <row r="7986">
      <c r="A7986" s="107"/>
      <c r="D7986" s="270"/>
      <c r="H7986" s="106" t="str">
        <f t="shared" si="1"/>
        <v/>
      </c>
      <c r="J7986" t="str">
        <f>IFERROR(__xludf.DUMMYFUNCTION("IFS(
  AND(REGEXMATCH(E7986, ""台銀籌備帳戶|玉山帳戶""), REGEXMATCH(C7986, ""薪資"")), ""分潤支出"",
  AND(REGEXMATCH(E7986, ""Ben帳戶|Elsa帳戶|Ben代墊|Ariel代墊|中信銀行共用""), REGEXMATCH(F7986, ""Ben帳戶|Elsa帳戶|Ben代墊|Ariel代墊|中信銀行共用"")), ""內部轉帳(忽略)"",
  AND(E7986&lt;&gt;"""", F7986&lt;&gt;"""", N"&amp;"OT(REGEXMATCH(C7986, ""薪資""))), ""內部轉帳(忽略)"",
  REGEXMATCH(C7986, ""薪資""), ""薪資變動(不計入)"",
  REGEXMATCH(C7986, ""押金""), ""押金往來"",
  AND(E7986&lt;&gt;"""", F7986=""""), ""真實支出"",
  AND(E7986="""", F7986&lt;&gt;""""), ""真實收入"",
  TRUE, ""其他""
)"),"其他")</f>
        <v>其他</v>
      </c>
      <c r="K7986" s="270" t="str">
        <f t="shared" si="2"/>
        <v/>
      </c>
      <c r="L7986">
        <f t="shared" si="3"/>
        <v>0</v>
      </c>
    </row>
    <row r="7987">
      <c r="A7987" s="107"/>
      <c r="D7987" s="270"/>
      <c r="H7987" s="106" t="str">
        <f t="shared" si="1"/>
        <v/>
      </c>
      <c r="J7987" t="str">
        <f>IFERROR(__xludf.DUMMYFUNCTION("IFS(
  AND(REGEXMATCH(E7987, ""台銀籌備帳戶|玉山帳戶""), REGEXMATCH(C7987, ""薪資"")), ""分潤支出"",
  AND(REGEXMATCH(E7987, ""Ben帳戶|Elsa帳戶|Ben代墊|Ariel代墊|中信銀行共用""), REGEXMATCH(F7987, ""Ben帳戶|Elsa帳戶|Ben代墊|Ariel代墊|中信銀行共用"")), ""內部轉帳(忽略)"",
  AND(E7987&lt;&gt;"""", F7987&lt;&gt;"""", N"&amp;"OT(REGEXMATCH(C7987, ""薪資""))), ""內部轉帳(忽略)"",
  REGEXMATCH(C7987, ""薪資""), ""薪資變動(不計入)"",
  REGEXMATCH(C7987, ""押金""), ""押金往來"",
  AND(E7987&lt;&gt;"""", F7987=""""), ""真實支出"",
  AND(E7987="""", F7987&lt;&gt;""""), ""真實收入"",
  TRUE, ""其他""
)"),"其他")</f>
        <v>其他</v>
      </c>
      <c r="K7987" s="270" t="str">
        <f t="shared" si="2"/>
        <v/>
      </c>
      <c r="L7987">
        <f t="shared" si="3"/>
        <v>0</v>
      </c>
    </row>
    <row r="7988">
      <c r="A7988" s="107"/>
      <c r="D7988" s="270"/>
      <c r="H7988" s="106" t="str">
        <f t="shared" si="1"/>
        <v/>
      </c>
      <c r="J7988" t="str">
        <f>IFERROR(__xludf.DUMMYFUNCTION("IFS(
  AND(REGEXMATCH(E7988, ""台銀籌備帳戶|玉山帳戶""), REGEXMATCH(C7988, ""薪資"")), ""分潤支出"",
  AND(REGEXMATCH(E7988, ""Ben帳戶|Elsa帳戶|Ben代墊|Ariel代墊|中信銀行共用""), REGEXMATCH(F7988, ""Ben帳戶|Elsa帳戶|Ben代墊|Ariel代墊|中信銀行共用"")), ""內部轉帳(忽略)"",
  AND(E7988&lt;&gt;"""", F7988&lt;&gt;"""", N"&amp;"OT(REGEXMATCH(C7988, ""薪資""))), ""內部轉帳(忽略)"",
  REGEXMATCH(C7988, ""薪資""), ""薪資變動(不計入)"",
  REGEXMATCH(C7988, ""押金""), ""押金往來"",
  AND(E7988&lt;&gt;"""", F7988=""""), ""真實支出"",
  AND(E7988="""", F7988&lt;&gt;""""), ""真實收入"",
  TRUE, ""其他""
)"),"其他")</f>
        <v>其他</v>
      </c>
      <c r="K7988" s="270" t="str">
        <f t="shared" si="2"/>
        <v/>
      </c>
      <c r="L7988">
        <f t="shared" si="3"/>
        <v>0</v>
      </c>
    </row>
    <row r="7989">
      <c r="A7989" s="107"/>
      <c r="D7989" s="270"/>
      <c r="H7989" s="106" t="str">
        <f t="shared" si="1"/>
        <v/>
      </c>
      <c r="J7989" t="str">
        <f>IFERROR(__xludf.DUMMYFUNCTION("IFS(
  AND(REGEXMATCH(E7989, ""台銀籌備帳戶|玉山帳戶""), REGEXMATCH(C7989, ""薪資"")), ""分潤支出"",
  AND(REGEXMATCH(E7989, ""Ben帳戶|Elsa帳戶|Ben代墊|Ariel代墊|中信銀行共用""), REGEXMATCH(F7989, ""Ben帳戶|Elsa帳戶|Ben代墊|Ariel代墊|中信銀行共用"")), ""內部轉帳(忽略)"",
  AND(E7989&lt;&gt;"""", F7989&lt;&gt;"""", N"&amp;"OT(REGEXMATCH(C7989, ""薪資""))), ""內部轉帳(忽略)"",
  REGEXMATCH(C7989, ""薪資""), ""薪資變動(不計入)"",
  REGEXMATCH(C7989, ""押金""), ""押金往來"",
  AND(E7989&lt;&gt;"""", F7989=""""), ""真實支出"",
  AND(E7989="""", F7989&lt;&gt;""""), ""真實收入"",
  TRUE, ""其他""
)"),"其他")</f>
        <v>其他</v>
      </c>
      <c r="K7989" s="270" t="str">
        <f t="shared" si="2"/>
        <v/>
      </c>
      <c r="L7989">
        <f t="shared" si="3"/>
        <v>0</v>
      </c>
    </row>
    <row r="7990">
      <c r="A7990" s="107"/>
      <c r="D7990" s="270"/>
      <c r="H7990" s="106" t="str">
        <f t="shared" si="1"/>
        <v/>
      </c>
      <c r="J7990" t="str">
        <f>IFERROR(__xludf.DUMMYFUNCTION("IFS(
  AND(REGEXMATCH(E7990, ""台銀籌備帳戶|玉山帳戶""), REGEXMATCH(C7990, ""薪資"")), ""分潤支出"",
  AND(REGEXMATCH(E7990, ""Ben帳戶|Elsa帳戶|Ben代墊|Ariel代墊|中信銀行共用""), REGEXMATCH(F7990, ""Ben帳戶|Elsa帳戶|Ben代墊|Ariel代墊|中信銀行共用"")), ""內部轉帳(忽略)"",
  AND(E7990&lt;&gt;"""", F7990&lt;&gt;"""", N"&amp;"OT(REGEXMATCH(C7990, ""薪資""))), ""內部轉帳(忽略)"",
  REGEXMATCH(C7990, ""薪資""), ""薪資變動(不計入)"",
  REGEXMATCH(C7990, ""押金""), ""押金往來"",
  AND(E7990&lt;&gt;"""", F7990=""""), ""真實支出"",
  AND(E7990="""", F7990&lt;&gt;""""), ""真實收入"",
  TRUE, ""其他""
)"),"其他")</f>
        <v>其他</v>
      </c>
      <c r="K7990" s="270" t="str">
        <f t="shared" si="2"/>
        <v/>
      </c>
      <c r="L7990">
        <f t="shared" si="3"/>
        <v>0</v>
      </c>
    </row>
    <row r="7991">
      <c r="A7991" s="107"/>
      <c r="D7991" s="270"/>
      <c r="H7991" s="106" t="str">
        <f t="shared" si="1"/>
        <v/>
      </c>
      <c r="J7991" t="str">
        <f>IFERROR(__xludf.DUMMYFUNCTION("IFS(
  AND(REGEXMATCH(E7991, ""台銀籌備帳戶|玉山帳戶""), REGEXMATCH(C7991, ""薪資"")), ""分潤支出"",
  AND(REGEXMATCH(E7991, ""Ben帳戶|Elsa帳戶|Ben代墊|Ariel代墊|中信銀行共用""), REGEXMATCH(F7991, ""Ben帳戶|Elsa帳戶|Ben代墊|Ariel代墊|中信銀行共用"")), ""內部轉帳(忽略)"",
  AND(E7991&lt;&gt;"""", F7991&lt;&gt;"""", N"&amp;"OT(REGEXMATCH(C7991, ""薪資""))), ""內部轉帳(忽略)"",
  REGEXMATCH(C7991, ""薪資""), ""薪資變動(不計入)"",
  REGEXMATCH(C7991, ""押金""), ""押金往來"",
  AND(E7991&lt;&gt;"""", F7991=""""), ""真實支出"",
  AND(E7991="""", F7991&lt;&gt;""""), ""真實收入"",
  TRUE, ""其他""
)"),"其他")</f>
        <v>其他</v>
      </c>
      <c r="K7991" s="270" t="str">
        <f t="shared" si="2"/>
        <v/>
      </c>
      <c r="L7991">
        <f t="shared" si="3"/>
        <v>0</v>
      </c>
    </row>
    <row r="7992">
      <c r="A7992" s="107"/>
      <c r="D7992" s="270"/>
      <c r="H7992" s="106" t="str">
        <f t="shared" si="1"/>
        <v/>
      </c>
      <c r="J7992" t="str">
        <f>IFERROR(__xludf.DUMMYFUNCTION("IFS(
  AND(REGEXMATCH(E7992, ""台銀籌備帳戶|玉山帳戶""), REGEXMATCH(C7992, ""薪資"")), ""分潤支出"",
  AND(REGEXMATCH(E7992, ""Ben帳戶|Elsa帳戶|Ben代墊|Ariel代墊|中信銀行共用""), REGEXMATCH(F7992, ""Ben帳戶|Elsa帳戶|Ben代墊|Ariel代墊|中信銀行共用"")), ""內部轉帳(忽略)"",
  AND(E7992&lt;&gt;"""", F7992&lt;&gt;"""", N"&amp;"OT(REGEXMATCH(C7992, ""薪資""))), ""內部轉帳(忽略)"",
  REGEXMATCH(C7992, ""薪資""), ""薪資變動(不計入)"",
  REGEXMATCH(C7992, ""押金""), ""押金往來"",
  AND(E7992&lt;&gt;"""", F7992=""""), ""真實支出"",
  AND(E7992="""", F7992&lt;&gt;""""), ""真實收入"",
  TRUE, ""其他""
)"),"其他")</f>
        <v>其他</v>
      </c>
      <c r="K7992" s="270" t="str">
        <f t="shared" si="2"/>
        <v/>
      </c>
      <c r="L7992">
        <f t="shared" si="3"/>
        <v>0</v>
      </c>
    </row>
    <row r="7993">
      <c r="A7993" s="107"/>
      <c r="D7993" s="270"/>
      <c r="H7993" s="106" t="str">
        <f t="shared" si="1"/>
        <v/>
      </c>
      <c r="J7993" t="str">
        <f>IFERROR(__xludf.DUMMYFUNCTION("IFS(
  AND(REGEXMATCH(E7993, ""台銀籌備帳戶|玉山帳戶""), REGEXMATCH(C7993, ""薪資"")), ""分潤支出"",
  AND(REGEXMATCH(E7993, ""Ben帳戶|Elsa帳戶|Ben代墊|Ariel代墊|中信銀行共用""), REGEXMATCH(F7993, ""Ben帳戶|Elsa帳戶|Ben代墊|Ariel代墊|中信銀行共用"")), ""內部轉帳(忽略)"",
  AND(E7993&lt;&gt;"""", F7993&lt;&gt;"""", N"&amp;"OT(REGEXMATCH(C7993, ""薪資""))), ""內部轉帳(忽略)"",
  REGEXMATCH(C7993, ""薪資""), ""薪資變動(不計入)"",
  REGEXMATCH(C7993, ""押金""), ""押金往來"",
  AND(E7993&lt;&gt;"""", F7993=""""), ""真實支出"",
  AND(E7993="""", F7993&lt;&gt;""""), ""真實收入"",
  TRUE, ""其他""
)"),"其他")</f>
        <v>其他</v>
      </c>
      <c r="K7993" s="270" t="str">
        <f t="shared" si="2"/>
        <v/>
      </c>
      <c r="L7993">
        <f t="shared" si="3"/>
        <v>0</v>
      </c>
    </row>
    <row r="7994">
      <c r="A7994" s="107"/>
      <c r="D7994" s="270"/>
      <c r="H7994" s="106" t="str">
        <f t="shared" si="1"/>
        <v/>
      </c>
      <c r="J7994" t="str">
        <f>IFERROR(__xludf.DUMMYFUNCTION("IFS(
  AND(REGEXMATCH(E7994, ""台銀籌備帳戶|玉山帳戶""), REGEXMATCH(C7994, ""薪資"")), ""分潤支出"",
  AND(REGEXMATCH(E7994, ""Ben帳戶|Elsa帳戶|Ben代墊|Ariel代墊|中信銀行共用""), REGEXMATCH(F7994, ""Ben帳戶|Elsa帳戶|Ben代墊|Ariel代墊|中信銀行共用"")), ""內部轉帳(忽略)"",
  AND(E7994&lt;&gt;"""", F7994&lt;&gt;"""", N"&amp;"OT(REGEXMATCH(C7994, ""薪資""))), ""內部轉帳(忽略)"",
  REGEXMATCH(C7994, ""薪資""), ""薪資變動(不計入)"",
  REGEXMATCH(C7994, ""押金""), ""押金往來"",
  AND(E7994&lt;&gt;"""", F7994=""""), ""真實支出"",
  AND(E7994="""", F7994&lt;&gt;""""), ""真實收入"",
  TRUE, ""其他""
)"),"其他")</f>
        <v>其他</v>
      </c>
      <c r="K7994" s="270" t="str">
        <f t="shared" si="2"/>
        <v/>
      </c>
      <c r="L7994">
        <f t="shared" si="3"/>
        <v>0</v>
      </c>
    </row>
    <row r="7995">
      <c r="A7995" s="107"/>
      <c r="D7995" s="270"/>
      <c r="H7995" s="106" t="str">
        <f t="shared" si="1"/>
        <v/>
      </c>
      <c r="J7995" t="str">
        <f>IFERROR(__xludf.DUMMYFUNCTION("IFS(
  AND(REGEXMATCH(E7995, ""台銀籌備帳戶|玉山帳戶""), REGEXMATCH(C7995, ""薪資"")), ""分潤支出"",
  AND(REGEXMATCH(E7995, ""Ben帳戶|Elsa帳戶|Ben代墊|Ariel代墊|中信銀行共用""), REGEXMATCH(F7995, ""Ben帳戶|Elsa帳戶|Ben代墊|Ariel代墊|中信銀行共用"")), ""內部轉帳(忽略)"",
  AND(E7995&lt;&gt;"""", F7995&lt;&gt;"""", N"&amp;"OT(REGEXMATCH(C7995, ""薪資""))), ""內部轉帳(忽略)"",
  REGEXMATCH(C7995, ""薪資""), ""薪資變動(不計入)"",
  REGEXMATCH(C7995, ""押金""), ""押金往來"",
  AND(E7995&lt;&gt;"""", F7995=""""), ""真實支出"",
  AND(E7995="""", F7995&lt;&gt;""""), ""真實收入"",
  TRUE, ""其他""
)"),"其他")</f>
        <v>其他</v>
      </c>
      <c r="K7995" s="270" t="str">
        <f t="shared" si="2"/>
        <v/>
      </c>
      <c r="L7995">
        <f t="shared" si="3"/>
        <v>0</v>
      </c>
    </row>
    <row r="7996">
      <c r="A7996" s="107"/>
      <c r="D7996" s="270"/>
      <c r="H7996" s="106" t="str">
        <f t="shared" si="1"/>
        <v/>
      </c>
      <c r="J7996" t="str">
        <f>IFERROR(__xludf.DUMMYFUNCTION("IFS(
  AND(REGEXMATCH(E7996, ""台銀籌備帳戶|玉山帳戶""), REGEXMATCH(C7996, ""薪資"")), ""分潤支出"",
  AND(REGEXMATCH(E7996, ""Ben帳戶|Elsa帳戶|Ben代墊|Ariel代墊|中信銀行共用""), REGEXMATCH(F7996, ""Ben帳戶|Elsa帳戶|Ben代墊|Ariel代墊|中信銀行共用"")), ""內部轉帳(忽略)"",
  AND(E7996&lt;&gt;"""", F7996&lt;&gt;"""", N"&amp;"OT(REGEXMATCH(C7996, ""薪資""))), ""內部轉帳(忽略)"",
  REGEXMATCH(C7996, ""薪資""), ""薪資變動(不計入)"",
  REGEXMATCH(C7996, ""押金""), ""押金往來"",
  AND(E7996&lt;&gt;"""", F7996=""""), ""真實支出"",
  AND(E7996="""", F7996&lt;&gt;""""), ""真實收入"",
  TRUE, ""其他""
)"),"其他")</f>
        <v>其他</v>
      </c>
      <c r="K7996" s="270" t="str">
        <f t="shared" si="2"/>
        <v/>
      </c>
      <c r="L7996">
        <f t="shared" si="3"/>
        <v>0</v>
      </c>
    </row>
    <row r="7997">
      <c r="A7997" s="107"/>
      <c r="D7997" s="270"/>
      <c r="H7997" s="106" t="str">
        <f t="shared" si="1"/>
        <v/>
      </c>
      <c r="J7997" t="str">
        <f>IFERROR(__xludf.DUMMYFUNCTION("IFS(
  AND(REGEXMATCH(E7997, ""台銀籌備帳戶|玉山帳戶""), REGEXMATCH(C7997, ""薪資"")), ""分潤支出"",
  AND(REGEXMATCH(E7997, ""Ben帳戶|Elsa帳戶|Ben代墊|Ariel代墊|中信銀行共用""), REGEXMATCH(F7997, ""Ben帳戶|Elsa帳戶|Ben代墊|Ariel代墊|中信銀行共用"")), ""內部轉帳(忽略)"",
  AND(E7997&lt;&gt;"""", F7997&lt;&gt;"""", N"&amp;"OT(REGEXMATCH(C7997, ""薪資""))), ""內部轉帳(忽略)"",
  REGEXMATCH(C7997, ""薪資""), ""薪資變動(不計入)"",
  REGEXMATCH(C7997, ""押金""), ""押金往來"",
  AND(E7997&lt;&gt;"""", F7997=""""), ""真實支出"",
  AND(E7997="""", F7997&lt;&gt;""""), ""真實收入"",
  TRUE, ""其他""
)"),"其他")</f>
        <v>其他</v>
      </c>
      <c r="K7997" s="270" t="str">
        <f t="shared" si="2"/>
        <v/>
      </c>
      <c r="L7997">
        <f t="shared" si="3"/>
        <v>0</v>
      </c>
    </row>
    <row r="7998">
      <c r="A7998" s="107"/>
      <c r="D7998" s="270"/>
      <c r="H7998" s="106" t="str">
        <f t="shared" si="1"/>
        <v/>
      </c>
      <c r="J7998" t="str">
        <f>IFERROR(__xludf.DUMMYFUNCTION("IFS(
  AND(REGEXMATCH(E7998, ""台銀籌備帳戶|玉山帳戶""), REGEXMATCH(C7998, ""薪資"")), ""分潤支出"",
  AND(REGEXMATCH(E7998, ""Ben帳戶|Elsa帳戶|Ben代墊|Ariel代墊|中信銀行共用""), REGEXMATCH(F7998, ""Ben帳戶|Elsa帳戶|Ben代墊|Ariel代墊|中信銀行共用"")), ""內部轉帳(忽略)"",
  AND(E7998&lt;&gt;"""", F7998&lt;&gt;"""", N"&amp;"OT(REGEXMATCH(C7998, ""薪資""))), ""內部轉帳(忽略)"",
  REGEXMATCH(C7998, ""薪資""), ""薪資變動(不計入)"",
  REGEXMATCH(C7998, ""押金""), ""押金往來"",
  AND(E7998&lt;&gt;"""", F7998=""""), ""真實支出"",
  AND(E7998="""", F7998&lt;&gt;""""), ""真實收入"",
  TRUE, ""其他""
)"),"其他")</f>
        <v>其他</v>
      </c>
      <c r="K7998" s="270" t="str">
        <f t="shared" si="2"/>
        <v/>
      </c>
      <c r="L7998">
        <f t="shared" si="3"/>
        <v>0</v>
      </c>
    </row>
    <row r="7999">
      <c r="A7999" s="107"/>
      <c r="D7999" s="270"/>
      <c r="H7999" s="106" t="str">
        <f t="shared" si="1"/>
        <v/>
      </c>
      <c r="J7999" t="str">
        <f>IFERROR(__xludf.DUMMYFUNCTION("IFS(
  AND(REGEXMATCH(E7999, ""台銀籌備帳戶|玉山帳戶""), REGEXMATCH(C7999, ""薪資"")), ""分潤支出"",
  AND(REGEXMATCH(E7999, ""Ben帳戶|Elsa帳戶|Ben代墊|Ariel代墊|中信銀行共用""), REGEXMATCH(F7999, ""Ben帳戶|Elsa帳戶|Ben代墊|Ariel代墊|中信銀行共用"")), ""內部轉帳(忽略)"",
  AND(E7999&lt;&gt;"""", F7999&lt;&gt;"""", N"&amp;"OT(REGEXMATCH(C7999, ""薪資""))), ""內部轉帳(忽略)"",
  REGEXMATCH(C7999, ""薪資""), ""薪資變動(不計入)"",
  REGEXMATCH(C7999, ""押金""), ""押金往來"",
  AND(E7999&lt;&gt;"""", F7999=""""), ""真實支出"",
  AND(E7999="""", F7999&lt;&gt;""""), ""真實收入"",
  TRUE, ""其他""
)"),"其他")</f>
        <v>其他</v>
      </c>
      <c r="K7999" s="270" t="str">
        <f t="shared" si="2"/>
        <v/>
      </c>
      <c r="L7999">
        <f t="shared" si="3"/>
        <v>0</v>
      </c>
    </row>
    <row r="8000">
      <c r="A8000" s="107"/>
      <c r="D8000" s="270"/>
      <c r="H8000" s="106" t="str">
        <f t="shared" si="1"/>
        <v/>
      </c>
      <c r="J8000" t="str">
        <f>IFERROR(__xludf.DUMMYFUNCTION("IFS(
  AND(REGEXMATCH(E8000, ""台銀籌備帳戶|玉山帳戶""), REGEXMATCH(C8000, ""薪資"")), ""分潤支出"",
  AND(REGEXMATCH(E8000, ""Ben帳戶|Elsa帳戶|Ben代墊|Ariel代墊|中信銀行共用""), REGEXMATCH(F8000, ""Ben帳戶|Elsa帳戶|Ben代墊|Ariel代墊|中信銀行共用"")), ""內部轉帳(忽略)"",
  AND(E8000&lt;&gt;"""", F8000&lt;&gt;"""", N"&amp;"OT(REGEXMATCH(C8000, ""薪資""))), ""內部轉帳(忽略)"",
  REGEXMATCH(C8000, ""薪資""), ""薪資變動(不計入)"",
  REGEXMATCH(C8000, ""押金""), ""押金往來"",
  AND(E8000&lt;&gt;"""", F8000=""""), ""真實支出"",
  AND(E8000="""", F8000&lt;&gt;""""), ""真實收入"",
  TRUE, ""其他""
)"),"其他")</f>
        <v>其他</v>
      </c>
      <c r="K8000" s="270" t="str">
        <f t="shared" si="2"/>
        <v/>
      </c>
      <c r="L8000">
        <f t="shared" si="3"/>
        <v>0</v>
      </c>
    </row>
    <row r="8001">
      <c r="A8001" s="107"/>
      <c r="D8001" s="270"/>
      <c r="H8001" s="106" t="str">
        <f t="shared" si="1"/>
        <v/>
      </c>
      <c r="J8001" t="str">
        <f>IFERROR(__xludf.DUMMYFUNCTION("IFS(
  AND(REGEXMATCH(E8001, ""台銀籌備帳戶|玉山帳戶""), REGEXMATCH(C8001, ""薪資"")), ""分潤支出"",
  AND(REGEXMATCH(E8001, ""Ben帳戶|Elsa帳戶|Ben代墊|Ariel代墊|中信銀行共用""), REGEXMATCH(F8001, ""Ben帳戶|Elsa帳戶|Ben代墊|Ariel代墊|中信銀行共用"")), ""內部轉帳(忽略)"",
  AND(E8001&lt;&gt;"""", F8001&lt;&gt;"""", N"&amp;"OT(REGEXMATCH(C8001, ""薪資""))), ""內部轉帳(忽略)"",
  REGEXMATCH(C8001, ""薪資""), ""薪資變動(不計入)"",
  REGEXMATCH(C8001, ""押金""), ""押金往來"",
  AND(E8001&lt;&gt;"""", F8001=""""), ""真實支出"",
  AND(E8001="""", F8001&lt;&gt;""""), ""真實收入"",
  TRUE, ""其他""
)"),"其他")</f>
        <v>其他</v>
      </c>
      <c r="K8001" s="270" t="str">
        <f t="shared" si="2"/>
        <v/>
      </c>
      <c r="L8001">
        <f t="shared" si="3"/>
        <v>0</v>
      </c>
    </row>
    <row r="8002">
      <c r="A8002" s="107"/>
      <c r="D8002" s="270"/>
      <c r="H8002" s="106" t="str">
        <f t="shared" si="1"/>
        <v/>
      </c>
      <c r="J8002" t="str">
        <f>IFERROR(__xludf.DUMMYFUNCTION("IFS(
  AND(REGEXMATCH(E8002, ""台銀籌備帳戶|玉山帳戶""), REGEXMATCH(C8002, ""薪資"")), ""分潤支出"",
  AND(REGEXMATCH(E8002, ""Ben帳戶|Elsa帳戶|Ben代墊|Ariel代墊|中信銀行共用""), REGEXMATCH(F8002, ""Ben帳戶|Elsa帳戶|Ben代墊|Ariel代墊|中信銀行共用"")), ""內部轉帳(忽略)"",
  AND(E8002&lt;&gt;"""", F8002&lt;&gt;"""", N"&amp;"OT(REGEXMATCH(C8002, ""薪資""))), ""內部轉帳(忽略)"",
  REGEXMATCH(C8002, ""薪資""), ""薪資變動(不計入)"",
  REGEXMATCH(C8002, ""押金""), ""押金往來"",
  AND(E8002&lt;&gt;"""", F8002=""""), ""真實支出"",
  AND(E8002="""", F8002&lt;&gt;""""), ""真實收入"",
  TRUE, ""其他""
)"),"其他")</f>
        <v>其他</v>
      </c>
      <c r="K8002" s="270" t="str">
        <f t="shared" si="2"/>
        <v/>
      </c>
      <c r="L8002">
        <f t="shared" si="3"/>
        <v>0</v>
      </c>
    </row>
    <row r="8003">
      <c r="A8003" s="107"/>
      <c r="D8003" s="270"/>
      <c r="H8003" s="106" t="str">
        <f t="shared" si="1"/>
        <v/>
      </c>
      <c r="J8003" t="str">
        <f>IFERROR(__xludf.DUMMYFUNCTION("IFS(
  AND(REGEXMATCH(E8003, ""台銀籌備帳戶|玉山帳戶""), REGEXMATCH(C8003, ""薪資"")), ""分潤支出"",
  AND(REGEXMATCH(E8003, ""Ben帳戶|Elsa帳戶|Ben代墊|Ariel代墊|中信銀行共用""), REGEXMATCH(F8003, ""Ben帳戶|Elsa帳戶|Ben代墊|Ariel代墊|中信銀行共用"")), ""內部轉帳(忽略)"",
  AND(E8003&lt;&gt;"""", F8003&lt;&gt;"""", N"&amp;"OT(REGEXMATCH(C8003, ""薪資""))), ""內部轉帳(忽略)"",
  REGEXMATCH(C8003, ""薪資""), ""薪資變動(不計入)"",
  REGEXMATCH(C8003, ""押金""), ""押金往來"",
  AND(E8003&lt;&gt;"""", F8003=""""), ""真實支出"",
  AND(E8003="""", F8003&lt;&gt;""""), ""真實收入"",
  TRUE, ""其他""
)"),"其他")</f>
        <v>其他</v>
      </c>
      <c r="K8003" s="270" t="str">
        <f t="shared" si="2"/>
        <v/>
      </c>
      <c r="L8003">
        <f t="shared" si="3"/>
        <v>0</v>
      </c>
    </row>
    <row r="8004">
      <c r="A8004" s="107"/>
      <c r="D8004" s="270"/>
      <c r="H8004" s="106" t="str">
        <f t="shared" si="1"/>
        <v/>
      </c>
      <c r="J8004" t="str">
        <f>IFERROR(__xludf.DUMMYFUNCTION("IFS(
  AND(REGEXMATCH(E8004, ""台銀籌備帳戶|玉山帳戶""), REGEXMATCH(C8004, ""薪資"")), ""分潤支出"",
  AND(REGEXMATCH(E8004, ""Ben帳戶|Elsa帳戶|Ben代墊|Ariel代墊|中信銀行共用""), REGEXMATCH(F8004, ""Ben帳戶|Elsa帳戶|Ben代墊|Ariel代墊|中信銀行共用"")), ""內部轉帳(忽略)"",
  AND(E8004&lt;&gt;"""", F8004&lt;&gt;"""", N"&amp;"OT(REGEXMATCH(C8004, ""薪資""))), ""內部轉帳(忽略)"",
  REGEXMATCH(C8004, ""薪資""), ""薪資變動(不計入)"",
  REGEXMATCH(C8004, ""押金""), ""押金往來"",
  AND(E8004&lt;&gt;"""", F8004=""""), ""真實支出"",
  AND(E8004="""", F8004&lt;&gt;""""), ""真實收入"",
  TRUE, ""其他""
)"),"其他")</f>
        <v>其他</v>
      </c>
      <c r="K8004" s="270" t="str">
        <f t="shared" si="2"/>
        <v/>
      </c>
      <c r="L8004">
        <f t="shared" si="3"/>
        <v>0</v>
      </c>
    </row>
    <row r="8005">
      <c r="A8005" s="107"/>
      <c r="D8005" s="270"/>
      <c r="H8005" s="106" t="str">
        <f t="shared" si="1"/>
        <v/>
      </c>
      <c r="J8005" t="str">
        <f>IFERROR(__xludf.DUMMYFUNCTION("IFS(
  AND(REGEXMATCH(E8005, ""台銀籌備帳戶|玉山帳戶""), REGEXMATCH(C8005, ""薪資"")), ""分潤支出"",
  AND(REGEXMATCH(E8005, ""Ben帳戶|Elsa帳戶|Ben代墊|Ariel代墊|中信銀行共用""), REGEXMATCH(F8005, ""Ben帳戶|Elsa帳戶|Ben代墊|Ariel代墊|中信銀行共用"")), ""內部轉帳(忽略)"",
  AND(E8005&lt;&gt;"""", F8005&lt;&gt;"""", N"&amp;"OT(REGEXMATCH(C8005, ""薪資""))), ""內部轉帳(忽略)"",
  REGEXMATCH(C8005, ""薪資""), ""薪資變動(不計入)"",
  REGEXMATCH(C8005, ""押金""), ""押金往來"",
  AND(E8005&lt;&gt;"""", F8005=""""), ""真實支出"",
  AND(E8005="""", F8005&lt;&gt;""""), ""真實收入"",
  TRUE, ""其他""
)"),"其他")</f>
        <v>其他</v>
      </c>
      <c r="K8005" s="270" t="str">
        <f t="shared" si="2"/>
        <v/>
      </c>
      <c r="L8005">
        <f t="shared" si="3"/>
        <v>0</v>
      </c>
    </row>
    <row r="8006">
      <c r="A8006" s="107"/>
      <c r="D8006" s="270"/>
      <c r="H8006" s="106" t="str">
        <f t="shared" si="1"/>
        <v/>
      </c>
      <c r="J8006" t="str">
        <f>IFERROR(__xludf.DUMMYFUNCTION("IFS(
  AND(REGEXMATCH(E8006, ""台銀籌備帳戶|玉山帳戶""), REGEXMATCH(C8006, ""薪資"")), ""分潤支出"",
  AND(REGEXMATCH(E8006, ""Ben帳戶|Elsa帳戶|Ben代墊|Ariel代墊|中信銀行共用""), REGEXMATCH(F8006, ""Ben帳戶|Elsa帳戶|Ben代墊|Ariel代墊|中信銀行共用"")), ""內部轉帳(忽略)"",
  AND(E8006&lt;&gt;"""", F8006&lt;&gt;"""", N"&amp;"OT(REGEXMATCH(C8006, ""薪資""))), ""內部轉帳(忽略)"",
  REGEXMATCH(C8006, ""薪資""), ""薪資變動(不計入)"",
  REGEXMATCH(C8006, ""押金""), ""押金往來"",
  AND(E8006&lt;&gt;"""", F8006=""""), ""真實支出"",
  AND(E8006="""", F8006&lt;&gt;""""), ""真實收入"",
  TRUE, ""其他""
)"),"其他")</f>
        <v>其他</v>
      </c>
      <c r="K8006" s="270" t="str">
        <f t="shared" si="2"/>
        <v/>
      </c>
      <c r="L8006">
        <f t="shared" si="3"/>
        <v>0</v>
      </c>
    </row>
    <row r="8007">
      <c r="A8007" s="107"/>
      <c r="D8007" s="270"/>
      <c r="H8007" s="106" t="str">
        <f t="shared" si="1"/>
        <v/>
      </c>
      <c r="J8007" t="str">
        <f>IFERROR(__xludf.DUMMYFUNCTION("IFS(
  AND(REGEXMATCH(E8007, ""台銀籌備帳戶|玉山帳戶""), REGEXMATCH(C8007, ""薪資"")), ""分潤支出"",
  AND(REGEXMATCH(E8007, ""Ben帳戶|Elsa帳戶|Ben代墊|Ariel代墊|中信銀行共用""), REGEXMATCH(F8007, ""Ben帳戶|Elsa帳戶|Ben代墊|Ariel代墊|中信銀行共用"")), ""內部轉帳(忽略)"",
  AND(E8007&lt;&gt;"""", F8007&lt;&gt;"""", N"&amp;"OT(REGEXMATCH(C8007, ""薪資""))), ""內部轉帳(忽略)"",
  REGEXMATCH(C8007, ""薪資""), ""薪資變動(不計入)"",
  REGEXMATCH(C8007, ""押金""), ""押金往來"",
  AND(E8007&lt;&gt;"""", F8007=""""), ""真實支出"",
  AND(E8007="""", F8007&lt;&gt;""""), ""真實收入"",
  TRUE, ""其他""
)"),"其他")</f>
        <v>其他</v>
      </c>
      <c r="K8007" s="270" t="str">
        <f t="shared" si="2"/>
        <v/>
      </c>
      <c r="L8007">
        <f t="shared" si="3"/>
        <v>0</v>
      </c>
    </row>
    <row r="8008">
      <c r="A8008" s="107"/>
      <c r="D8008" s="270"/>
      <c r="H8008" s="106" t="str">
        <f t="shared" si="1"/>
        <v/>
      </c>
      <c r="J8008" t="str">
        <f>IFERROR(__xludf.DUMMYFUNCTION("IFS(
  AND(REGEXMATCH(E8008, ""台銀籌備帳戶|玉山帳戶""), REGEXMATCH(C8008, ""薪資"")), ""分潤支出"",
  AND(REGEXMATCH(E8008, ""Ben帳戶|Elsa帳戶|Ben代墊|Ariel代墊|中信銀行共用""), REGEXMATCH(F8008, ""Ben帳戶|Elsa帳戶|Ben代墊|Ariel代墊|中信銀行共用"")), ""內部轉帳(忽略)"",
  AND(E8008&lt;&gt;"""", F8008&lt;&gt;"""", N"&amp;"OT(REGEXMATCH(C8008, ""薪資""))), ""內部轉帳(忽略)"",
  REGEXMATCH(C8008, ""薪資""), ""薪資變動(不計入)"",
  REGEXMATCH(C8008, ""押金""), ""押金往來"",
  AND(E8008&lt;&gt;"""", F8008=""""), ""真實支出"",
  AND(E8008="""", F8008&lt;&gt;""""), ""真實收入"",
  TRUE, ""其他""
)"),"其他")</f>
        <v>其他</v>
      </c>
      <c r="K8008" s="270" t="str">
        <f t="shared" si="2"/>
        <v/>
      </c>
      <c r="L8008">
        <f t="shared" si="3"/>
        <v>0</v>
      </c>
    </row>
    <row r="8009">
      <c r="A8009" s="107"/>
      <c r="D8009" s="270"/>
      <c r="H8009" s="106" t="str">
        <f t="shared" si="1"/>
        <v/>
      </c>
      <c r="J8009" t="str">
        <f>IFERROR(__xludf.DUMMYFUNCTION("IFS(
  AND(REGEXMATCH(E8009, ""台銀籌備帳戶|玉山帳戶""), REGEXMATCH(C8009, ""薪資"")), ""分潤支出"",
  AND(REGEXMATCH(E8009, ""Ben帳戶|Elsa帳戶|Ben代墊|Ariel代墊|中信銀行共用""), REGEXMATCH(F8009, ""Ben帳戶|Elsa帳戶|Ben代墊|Ariel代墊|中信銀行共用"")), ""內部轉帳(忽略)"",
  AND(E8009&lt;&gt;"""", F8009&lt;&gt;"""", N"&amp;"OT(REGEXMATCH(C8009, ""薪資""))), ""內部轉帳(忽略)"",
  REGEXMATCH(C8009, ""薪資""), ""薪資變動(不計入)"",
  REGEXMATCH(C8009, ""押金""), ""押金往來"",
  AND(E8009&lt;&gt;"""", F8009=""""), ""真實支出"",
  AND(E8009="""", F8009&lt;&gt;""""), ""真實收入"",
  TRUE, ""其他""
)"),"其他")</f>
        <v>其他</v>
      </c>
      <c r="K8009" s="270" t="str">
        <f t="shared" si="2"/>
        <v/>
      </c>
      <c r="L8009">
        <f t="shared" si="3"/>
        <v>0</v>
      </c>
    </row>
    <row r="8010">
      <c r="A8010" s="107"/>
      <c r="D8010" s="270"/>
      <c r="H8010" s="106" t="str">
        <f t="shared" si="1"/>
        <v/>
      </c>
      <c r="J8010" t="str">
        <f>IFERROR(__xludf.DUMMYFUNCTION("IFS(
  AND(REGEXMATCH(E8010, ""台銀籌備帳戶|玉山帳戶""), REGEXMATCH(C8010, ""薪資"")), ""分潤支出"",
  AND(REGEXMATCH(E8010, ""Ben帳戶|Elsa帳戶|Ben代墊|Ariel代墊|中信銀行共用""), REGEXMATCH(F8010, ""Ben帳戶|Elsa帳戶|Ben代墊|Ariel代墊|中信銀行共用"")), ""內部轉帳(忽略)"",
  AND(E8010&lt;&gt;"""", F8010&lt;&gt;"""", N"&amp;"OT(REGEXMATCH(C8010, ""薪資""))), ""內部轉帳(忽略)"",
  REGEXMATCH(C8010, ""薪資""), ""薪資變動(不計入)"",
  REGEXMATCH(C8010, ""押金""), ""押金往來"",
  AND(E8010&lt;&gt;"""", F8010=""""), ""真實支出"",
  AND(E8010="""", F8010&lt;&gt;""""), ""真實收入"",
  TRUE, ""其他""
)"),"其他")</f>
        <v>其他</v>
      </c>
      <c r="K8010" s="270" t="str">
        <f t="shared" si="2"/>
        <v/>
      </c>
      <c r="L8010">
        <f t="shared" si="3"/>
        <v>0</v>
      </c>
    </row>
    <row r="8011">
      <c r="A8011" s="107"/>
      <c r="D8011" s="270"/>
      <c r="H8011" s="106" t="str">
        <f t="shared" si="1"/>
        <v/>
      </c>
      <c r="J8011" t="str">
        <f>IFERROR(__xludf.DUMMYFUNCTION("IFS(
  AND(REGEXMATCH(E8011, ""台銀籌備帳戶|玉山帳戶""), REGEXMATCH(C8011, ""薪資"")), ""分潤支出"",
  AND(REGEXMATCH(E8011, ""Ben帳戶|Elsa帳戶|Ben代墊|Ariel代墊|中信銀行共用""), REGEXMATCH(F8011, ""Ben帳戶|Elsa帳戶|Ben代墊|Ariel代墊|中信銀行共用"")), ""內部轉帳(忽略)"",
  AND(E8011&lt;&gt;"""", F8011&lt;&gt;"""", N"&amp;"OT(REGEXMATCH(C8011, ""薪資""))), ""內部轉帳(忽略)"",
  REGEXMATCH(C8011, ""薪資""), ""薪資變動(不計入)"",
  REGEXMATCH(C8011, ""押金""), ""押金往來"",
  AND(E8011&lt;&gt;"""", F8011=""""), ""真實支出"",
  AND(E8011="""", F8011&lt;&gt;""""), ""真實收入"",
  TRUE, ""其他""
)"),"其他")</f>
        <v>其他</v>
      </c>
      <c r="K8011" s="270" t="str">
        <f t="shared" si="2"/>
        <v/>
      </c>
      <c r="L8011">
        <f t="shared" si="3"/>
        <v>0</v>
      </c>
    </row>
    <row r="8012">
      <c r="A8012" s="107"/>
      <c r="D8012" s="270"/>
      <c r="H8012" s="106" t="str">
        <f t="shared" si="1"/>
        <v/>
      </c>
      <c r="J8012" t="str">
        <f>IFERROR(__xludf.DUMMYFUNCTION("IFS(
  AND(REGEXMATCH(E8012, ""台銀籌備帳戶|玉山帳戶""), REGEXMATCH(C8012, ""薪資"")), ""分潤支出"",
  AND(REGEXMATCH(E8012, ""Ben帳戶|Elsa帳戶|Ben代墊|Ariel代墊|中信銀行共用""), REGEXMATCH(F8012, ""Ben帳戶|Elsa帳戶|Ben代墊|Ariel代墊|中信銀行共用"")), ""內部轉帳(忽略)"",
  AND(E8012&lt;&gt;"""", F8012&lt;&gt;"""", N"&amp;"OT(REGEXMATCH(C8012, ""薪資""))), ""內部轉帳(忽略)"",
  REGEXMATCH(C8012, ""薪資""), ""薪資變動(不計入)"",
  REGEXMATCH(C8012, ""押金""), ""押金往來"",
  AND(E8012&lt;&gt;"""", F8012=""""), ""真實支出"",
  AND(E8012="""", F8012&lt;&gt;""""), ""真實收入"",
  TRUE, ""其他""
)"),"其他")</f>
        <v>其他</v>
      </c>
      <c r="K8012" s="270" t="str">
        <f t="shared" si="2"/>
        <v/>
      </c>
      <c r="L8012">
        <f t="shared" si="3"/>
        <v>0</v>
      </c>
    </row>
    <row r="8013">
      <c r="A8013" s="107"/>
      <c r="D8013" s="270"/>
      <c r="H8013" s="106" t="str">
        <f t="shared" si="1"/>
        <v/>
      </c>
      <c r="J8013" t="str">
        <f>IFERROR(__xludf.DUMMYFUNCTION("IFS(
  AND(REGEXMATCH(E8013, ""台銀籌備帳戶|玉山帳戶""), REGEXMATCH(C8013, ""薪資"")), ""分潤支出"",
  AND(REGEXMATCH(E8013, ""Ben帳戶|Elsa帳戶|Ben代墊|Ariel代墊|中信銀行共用""), REGEXMATCH(F8013, ""Ben帳戶|Elsa帳戶|Ben代墊|Ariel代墊|中信銀行共用"")), ""內部轉帳(忽略)"",
  AND(E8013&lt;&gt;"""", F8013&lt;&gt;"""", N"&amp;"OT(REGEXMATCH(C8013, ""薪資""))), ""內部轉帳(忽略)"",
  REGEXMATCH(C8013, ""薪資""), ""薪資變動(不計入)"",
  REGEXMATCH(C8013, ""押金""), ""押金往來"",
  AND(E8013&lt;&gt;"""", F8013=""""), ""真實支出"",
  AND(E8013="""", F8013&lt;&gt;""""), ""真實收入"",
  TRUE, ""其他""
)"),"其他")</f>
        <v>其他</v>
      </c>
      <c r="K8013" s="270" t="str">
        <f t="shared" si="2"/>
        <v/>
      </c>
      <c r="L8013">
        <f t="shared" si="3"/>
        <v>0</v>
      </c>
    </row>
    <row r="8014">
      <c r="A8014" s="107"/>
      <c r="D8014" s="270"/>
      <c r="H8014" s="106" t="str">
        <f t="shared" si="1"/>
        <v/>
      </c>
      <c r="J8014" t="str">
        <f>IFERROR(__xludf.DUMMYFUNCTION("IFS(
  AND(REGEXMATCH(E8014, ""台銀籌備帳戶|玉山帳戶""), REGEXMATCH(C8014, ""薪資"")), ""分潤支出"",
  AND(REGEXMATCH(E8014, ""Ben帳戶|Elsa帳戶|Ben代墊|Ariel代墊|中信銀行共用""), REGEXMATCH(F8014, ""Ben帳戶|Elsa帳戶|Ben代墊|Ariel代墊|中信銀行共用"")), ""內部轉帳(忽略)"",
  AND(E8014&lt;&gt;"""", F8014&lt;&gt;"""", N"&amp;"OT(REGEXMATCH(C8014, ""薪資""))), ""內部轉帳(忽略)"",
  REGEXMATCH(C8014, ""薪資""), ""薪資變動(不計入)"",
  REGEXMATCH(C8014, ""押金""), ""押金往來"",
  AND(E8014&lt;&gt;"""", F8014=""""), ""真實支出"",
  AND(E8014="""", F8014&lt;&gt;""""), ""真實收入"",
  TRUE, ""其他""
)"),"其他")</f>
        <v>其他</v>
      </c>
      <c r="K8014" s="270" t="str">
        <f t="shared" si="2"/>
        <v/>
      </c>
      <c r="L8014">
        <f t="shared" si="3"/>
        <v>0</v>
      </c>
    </row>
    <row r="8015">
      <c r="A8015" s="107"/>
      <c r="D8015" s="270"/>
      <c r="H8015" s="106" t="str">
        <f t="shared" si="1"/>
        <v/>
      </c>
      <c r="J8015" t="str">
        <f>IFERROR(__xludf.DUMMYFUNCTION("IFS(
  AND(REGEXMATCH(E8015, ""台銀籌備帳戶|玉山帳戶""), REGEXMATCH(C8015, ""薪資"")), ""分潤支出"",
  AND(REGEXMATCH(E8015, ""Ben帳戶|Elsa帳戶|Ben代墊|Ariel代墊|中信銀行共用""), REGEXMATCH(F8015, ""Ben帳戶|Elsa帳戶|Ben代墊|Ariel代墊|中信銀行共用"")), ""內部轉帳(忽略)"",
  AND(E8015&lt;&gt;"""", F8015&lt;&gt;"""", N"&amp;"OT(REGEXMATCH(C8015, ""薪資""))), ""內部轉帳(忽略)"",
  REGEXMATCH(C8015, ""薪資""), ""薪資變動(不計入)"",
  REGEXMATCH(C8015, ""押金""), ""押金往來"",
  AND(E8015&lt;&gt;"""", F8015=""""), ""真實支出"",
  AND(E8015="""", F8015&lt;&gt;""""), ""真實收入"",
  TRUE, ""其他""
)"),"其他")</f>
        <v>其他</v>
      </c>
      <c r="K8015" s="270" t="str">
        <f t="shared" si="2"/>
        <v/>
      </c>
      <c r="L8015">
        <f t="shared" si="3"/>
        <v>0</v>
      </c>
    </row>
    <row r="8016">
      <c r="A8016" s="107"/>
      <c r="D8016" s="270"/>
      <c r="H8016" s="106" t="str">
        <f t="shared" si="1"/>
        <v/>
      </c>
      <c r="J8016" t="str">
        <f>IFERROR(__xludf.DUMMYFUNCTION("IFS(
  AND(REGEXMATCH(E8016, ""台銀籌備帳戶|玉山帳戶""), REGEXMATCH(C8016, ""薪資"")), ""分潤支出"",
  AND(REGEXMATCH(E8016, ""Ben帳戶|Elsa帳戶|Ben代墊|Ariel代墊|中信銀行共用""), REGEXMATCH(F8016, ""Ben帳戶|Elsa帳戶|Ben代墊|Ariel代墊|中信銀行共用"")), ""內部轉帳(忽略)"",
  AND(E8016&lt;&gt;"""", F8016&lt;&gt;"""", N"&amp;"OT(REGEXMATCH(C8016, ""薪資""))), ""內部轉帳(忽略)"",
  REGEXMATCH(C8016, ""薪資""), ""薪資變動(不計入)"",
  REGEXMATCH(C8016, ""押金""), ""押金往來"",
  AND(E8016&lt;&gt;"""", F8016=""""), ""真實支出"",
  AND(E8016="""", F8016&lt;&gt;""""), ""真實收入"",
  TRUE, ""其他""
)"),"其他")</f>
        <v>其他</v>
      </c>
      <c r="K8016" s="270" t="str">
        <f t="shared" si="2"/>
        <v/>
      </c>
      <c r="L8016">
        <f t="shared" si="3"/>
        <v>0</v>
      </c>
    </row>
    <row r="8017">
      <c r="A8017" s="107"/>
      <c r="D8017" s="270"/>
      <c r="H8017" s="106" t="str">
        <f t="shared" si="1"/>
        <v/>
      </c>
      <c r="J8017" t="str">
        <f>IFERROR(__xludf.DUMMYFUNCTION("IFS(
  AND(REGEXMATCH(E8017, ""台銀籌備帳戶|玉山帳戶""), REGEXMATCH(C8017, ""薪資"")), ""分潤支出"",
  AND(REGEXMATCH(E8017, ""Ben帳戶|Elsa帳戶|Ben代墊|Ariel代墊|中信銀行共用""), REGEXMATCH(F8017, ""Ben帳戶|Elsa帳戶|Ben代墊|Ariel代墊|中信銀行共用"")), ""內部轉帳(忽略)"",
  AND(E8017&lt;&gt;"""", F8017&lt;&gt;"""", N"&amp;"OT(REGEXMATCH(C8017, ""薪資""))), ""內部轉帳(忽略)"",
  REGEXMATCH(C8017, ""薪資""), ""薪資變動(不計入)"",
  REGEXMATCH(C8017, ""押金""), ""押金往來"",
  AND(E8017&lt;&gt;"""", F8017=""""), ""真實支出"",
  AND(E8017="""", F8017&lt;&gt;""""), ""真實收入"",
  TRUE, ""其他""
)"),"其他")</f>
        <v>其他</v>
      </c>
      <c r="K8017" s="270" t="str">
        <f t="shared" si="2"/>
        <v/>
      </c>
      <c r="L8017">
        <f t="shared" si="3"/>
        <v>0</v>
      </c>
    </row>
    <row r="8018">
      <c r="A8018" s="107"/>
      <c r="D8018" s="270"/>
      <c r="H8018" s="106" t="str">
        <f t="shared" si="1"/>
        <v/>
      </c>
      <c r="J8018" t="str">
        <f>IFERROR(__xludf.DUMMYFUNCTION("IFS(
  AND(REGEXMATCH(E8018, ""台銀籌備帳戶|玉山帳戶""), REGEXMATCH(C8018, ""薪資"")), ""分潤支出"",
  AND(REGEXMATCH(E8018, ""Ben帳戶|Elsa帳戶|Ben代墊|Ariel代墊|中信銀行共用""), REGEXMATCH(F8018, ""Ben帳戶|Elsa帳戶|Ben代墊|Ariel代墊|中信銀行共用"")), ""內部轉帳(忽略)"",
  AND(E8018&lt;&gt;"""", F8018&lt;&gt;"""", N"&amp;"OT(REGEXMATCH(C8018, ""薪資""))), ""內部轉帳(忽略)"",
  REGEXMATCH(C8018, ""薪資""), ""薪資變動(不計入)"",
  REGEXMATCH(C8018, ""押金""), ""押金往來"",
  AND(E8018&lt;&gt;"""", F8018=""""), ""真實支出"",
  AND(E8018="""", F8018&lt;&gt;""""), ""真實收入"",
  TRUE, ""其他""
)"),"其他")</f>
        <v>其他</v>
      </c>
      <c r="K8018" s="270" t="str">
        <f t="shared" si="2"/>
        <v/>
      </c>
      <c r="L8018">
        <f t="shared" si="3"/>
        <v>0</v>
      </c>
    </row>
    <row r="8019">
      <c r="A8019" s="107"/>
      <c r="D8019" s="270"/>
      <c r="H8019" s="106" t="str">
        <f t="shared" si="1"/>
        <v/>
      </c>
      <c r="J8019" t="str">
        <f>IFERROR(__xludf.DUMMYFUNCTION("IFS(
  AND(REGEXMATCH(E8019, ""台銀籌備帳戶|玉山帳戶""), REGEXMATCH(C8019, ""薪資"")), ""分潤支出"",
  AND(REGEXMATCH(E8019, ""Ben帳戶|Elsa帳戶|Ben代墊|Ariel代墊|中信銀行共用""), REGEXMATCH(F8019, ""Ben帳戶|Elsa帳戶|Ben代墊|Ariel代墊|中信銀行共用"")), ""內部轉帳(忽略)"",
  AND(E8019&lt;&gt;"""", F8019&lt;&gt;"""", N"&amp;"OT(REGEXMATCH(C8019, ""薪資""))), ""內部轉帳(忽略)"",
  REGEXMATCH(C8019, ""薪資""), ""薪資變動(不計入)"",
  REGEXMATCH(C8019, ""押金""), ""押金往來"",
  AND(E8019&lt;&gt;"""", F8019=""""), ""真實支出"",
  AND(E8019="""", F8019&lt;&gt;""""), ""真實收入"",
  TRUE, ""其他""
)"),"其他")</f>
        <v>其他</v>
      </c>
      <c r="K8019" s="270" t="str">
        <f t="shared" si="2"/>
        <v/>
      </c>
      <c r="L8019">
        <f t="shared" si="3"/>
        <v>0</v>
      </c>
    </row>
    <row r="8020">
      <c r="A8020" s="107"/>
      <c r="D8020" s="270"/>
      <c r="H8020" s="106" t="str">
        <f t="shared" si="1"/>
        <v/>
      </c>
      <c r="J8020" t="str">
        <f>IFERROR(__xludf.DUMMYFUNCTION("IFS(
  AND(REGEXMATCH(E8020, ""台銀籌備帳戶|玉山帳戶""), REGEXMATCH(C8020, ""薪資"")), ""分潤支出"",
  AND(REGEXMATCH(E8020, ""Ben帳戶|Elsa帳戶|Ben代墊|Ariel代墊|中信銀行共用""), REGEXMATCH(F8020, ""Ben帳戶|Elsa帳戶|Ben代墊|Ariel代墊|中信銀行共用"")), ""內部轉帳(忽略)"",
  AND(E8020&lt;&gt;"""", F8020&lt;&gt;"""", N"&amp;"OT(REGEXMATCH(C8020, ""薪資""))), ""內部轉帳(忽略)"",
  REGEXMATCH(C8020, ""薪資""), ""薪資變動(不計入)"",
  REGEXMATCH(C8020, ""押金""), ""押金往來"",
  AND(E8020&lt;&gt;"""", F8020=""""), ""真實支出"",
  AND(E8020="""", F8020&lt;&gt;""""), ""真實收入"",
  TRUE, ""其他""
)"),"其他")</f>
        <v>其他</v>
      </c>
      <c r="K8020" s="270" t="str">
        <f t="shared" si="2"/>
        <v/>
      </c>
      <c r="L8020">
        <f t="shared" si="3"/>
        <v>0</v>
      </c>
    </row>
    <row r="8021">
      <c r="A8021" s="107"/>
      <c r="D8021" s="270"/>
      <c r="H8021" s="106" t="str">
        <f t="shared" si="1"/>
        <v/>
      </c>
      <c r="J8021" t="str">
        <f>IFERROR(__xludf.DUMMYFUNCTION("IFS(
  AND(REGEXMATCH(E8021, ""台銀籌備帳戶|玉山帳戶""), REGEXMATCH(C8021, ""薪資"")), ""分潤支出"",
  AND(REGEXMATCH(E8021, ""Ben帳戶|Elsa帳戶|Ben代墊|Ariel代墊|中信銀行共用""), REGEXMATCH(F8021, ""Ben帳戶|Elsa帳戶|Ben代墊|Ariel代墊|中信銀行共用"")), ""內部轉帳(忽略)"",
  AND(E8021&lt;&gt;"""", F8021&lt;&gt;"""", N"&amp;"OT(REGEXMATCH(C8021, ""薪資""))), ""內部轉帳(忽略)"",
  REGEXMATCH(C8021, ""薪資""), ""薪資變動(不計入)"",
  REGEXMATCH(C8021, ""押金""), ""押金往來"",
  AND(E8021&lt;&gt;"""", F8021=""""), ""真實支出"",
  AND(E8021="""", F8021&lt;&gt;""""), ""真實收入"",
  TRUE, ""其他""
)"),"其他")</f>
        <v>其他</v>
      </c>
      <c r="K8021" s="270" t="str">
        <f t="shared" si="2"/>
        <v/>
      </c>
      <c r="L8021">
        <f t="shared" si="3"/>
        <v>0</v>
      </c>
    </row>
    <row r="8022">
      <c r="A8022" s="107"/>
      <c r="D8022" s="270"/>
      <c r="H8022" s="106" t="str">
        <f t="shared" si="1"/>
        <v/>
      </c>
      <c r="J8022" t="str">
        <f>IFERROR(__xludf.DUMMYFUNCTION("IFS(
  AND(REGEXMATCH(E8022, ""台銀籌備帳戶|玉山帳戶""), REGEXMATCH(C8022, ""薪資"")), ""分潤支出"",
  AND(REGEXMATCH(E8022, ""Ben帳戶|Elsa帳戶|Ben代墊|Ariel代墊|中信銀行共用""), REGEXMATCH(F8022, ""Ben帳戶|Elsa帳戶|Ben代墊|Ariel代墊|中信銀行共用"")), ""內部轉帳(忽略)"",
  AND(E8022&lt;&gt;"""", F8022&lt;&gt;"""", N"&amp;"OT(REGEXMATCH(C8022, ""薪資""))), ""內部轉帳(忽略)"",
  REGEXMATCH(C8022, ""薪資""), ""薪資變動(不計入)"",
  REGEXMATCH(C8022, ""押金""), ""押金往來"",
  AND(E8022&lt;&gt;"""", F8022=""""), ""真實支出"",
  AND(E8022="""", F8022&lt;&gt;""""), ""真實收入"",
  TRUE, ""其他""
)"),"其他")</f>
        <v>其他</v>
      </c>
      <c r="K8022" s="270" t="str">
        <f t="shared" si="2"/>
        <v/>
      </c>
      <c r="L8022">
        <f t="shared" si="3"/>
        <v>0</v>
      </c>
    </row>
    <row r="8023">
      <c r="A8023" s="107"/>
      <c r="D8023" s="270"/>
      <c r="H8023" s="106" t="str">
        <f t="shared" si="1"/>
        <v/>
      </c>
      <c r="J8023" t="str">
        <f>IFERROR(__xludf.DUMMYFUNCTION("IFS(
  AND(REGEXMATCH(E8023, ""台銀籌備帳戶|玉山帳戶""), REGEXMATCH(C8023, ""薪資"")), ""分潤支出"",
  AND(REGEXMATCH(E8023, ""Ben帳戶|Elsa帳戶|Ben代墊|Ariel代墊|中信銀行共用""), REGEXMATCH(F8023, ""Ben帳戶|Elsa帳戶|Ben代墊|Ariel代墊|中信銀行共用"")), ""內部轉帳(忽略)"",
  AND(E8023&lt;&gt;"""", F8023&lt;&gt;"""", N"&amp;"OT(REGEXMATCH(C8023, ""薪資""))), ""內部轉帳(忽略)"",
  REGEXMATCH(C8023, ""薪資""), ""薪資變動(不計入)"",
  REGEXMATCH(C8023, ""押金""), ""押金往來"",
  AND(E8023&lt;&gt;"""", F8023=""""), ""真實支出"",
  AND(E8023="""", F8023&lt;&gt;""""), ""真實收入"",
  TRUE, ""其他""
)"),"其他")</f>
        <v>其他</v>
      </c>
      <c r="K8023" s="270" t="str">
        <f t="shared" si="2"/>
        <v/>
      </c>
      <c r="L8023">
        <f t="shared" si="3"/>
        <v>0</v>
      </c>
    </row>
    <row r="8024">
      <c r="A8024" s="107"/>
      <c r="D8024" s="270"/>
      <c r="H8024" s="106" t="str">
        <f t="shared" si="1"/>
        <v/>
      </c>
      <c r="J8024" t="str">
        <f>IFERROR(__xludf.DUMMYFUNCTION("IFS(
  AND(REGEXMATCH(E8024, ""台銀籌備帳戶|玉山帳戶""), REGEXMATCH(C8024, ""薪資"")), ""分潤支出"",
  AND(REGEXMATCH(E8024, ""Ben帳戶|Elsa帳戶|Ben代墊|Ariel代墊|中信銀行共用""), REGEXMATCH(F8024, ""Ben帳戶|Elsa帳戶|Ben代墊|Ariel代墊|中信銀行共用"")), ""內部轉帳(忽略)"",
  AND(E8024&lt;&gt;"""", F8024&lt;&gt;"""", N"&amp;"OT(REGEXMATCH(C8024, ""薪資""))), ""內部轉帳(忽略)"",
  REGEXMATCH(C8024, ""薪資""), ""薪資變動(不計入)"",
  REGEXMATCH(C8024, ""押金""), ""押金往來"",
  AND(E8024&lt;&gt;"""", F8024=""""), ""真實支出"",
  AND(E8024="""", F8024&lt;&gt;""""), ""真實收入"",
  TRUE, ""其他""
)"),"其他")</f>
        <v>其他</v>
      </c>
      <c r="K8024" s="270" t="str">
        <f t="shared" si="2"/>
        <v/>
      </c>
      <c r="L8024">
        <f t="shared" si="3"/>
        <v>0</v>
      </c>
    </row>
    <row r="8025">
      <c r="A8025" s="107"/>
      <c r="D8025" s="270"/>
      <c r="H8025" s="106" t="str">
        <f t="shared" si="1"/>
        <v/>
      </c>
      <c r="J8025" t="str">
        <f>IFERROR(__xludf.DUMMYFUNCTION("IFS(
  AND(REGEXMATCH(E8025, ""台銀籌備帳戶|玉山帳戶""), REGEXMATCH(C8025, ""薪資"")), ""分潤支出"",
  AND(REGEXMATCH(E8025, ""Ben帳戶|Elsa帳戶|Ben代墊|Ariel代墊|中信銀行共用""), REGEXMATCH(F8025, ""Ben帳戶|Elsa帳戶|Ben代墊|Ariel代墊|中信銀行共用"")), ""內部轉帳(忽略)"",
  AND(E8025&lt;&gt;"""", F8025&lt;&gt;"""", N"&amp;"OT(REGEXMATCH(C8025, ""薪資""))), ""內部轉帳(忽略)"",
  REGEXMATCH(C8025, ""薪資""), ""薪資變動(不計入)"",
  REGEXMATCH(C8025, ""押金""), ""押金往來"",
  AND(E8025&lt;&gt;"""", F8025=""""), ""真實支出"",
  AND(E8025="""", F8025&lt;&gt;""""), ""真實收入"",
  TRUE, ""其他""
)"),"其他")</f>
        <v>其他</v>
      </c>
      <c r="K8025" s="270" t="str">
        <f t="shared" si="2"/>
        <v/>
      </c>
      <c r="L8025">
        <f t="shared" si="3"/>
        <v>0</v>
      </c>
    </row>
    <row r="8026">
      <c r="A8026" s="107"/>
      <c r="D8026" s="270"/>
      <c r="H8026" s="106" t="str">
        <f t="shared" si="1"/>
        <v/>
      </c>
      <c r="J8026" t="str">
        <f>IFERROR(__xludf.DUMMYFUNCTION("IFS(
  AND(REGEXMATCH(E8026, ""台銀籌備帳戶|玉山帳戶""), REGEXMATCH(C8026, ""薪資"")), ""分潤支出"",
  AND(REGEXMATCH(E8026, ""Ben帳戶|Elsa帳戶|Ben代墊|Ariel代墊|中信銀行共用""), REGEXMATCH(F8026, ""Ben帳戶|Elsa帳戶|Ben代墊|Ariel代墊|中信銀行共用"")), ""內部轉帳(忽略)"",
  AND(E8026&lt;&gt;"""", F8026&lt;&gt;"""", N"&amp;"OT(REGEXMATCH(C8026, ""薪資""))), ""內部轉帳(忽略)"",
  REGEXMATCH(C8026, ""薪資""), ""薪資變動(不計入)"",
  REGEXMATCH(C8026, ""押金""), ""押金往來"",
  AND(E8026&lt;&gt;"""", F8026=""""), ""真實支出"",
  AND(E8026="""", F8026&lt;&gt;""""), ""真實收入"",
  TRUE, ""其他""
)"),"其他")</f>
        <v>其他</v>
      </c>
      <c r="K8026" s="270" t="str">
        <f t="shared" si="2"/>
        <v/>
      </c>
      <c r="L8026">
        <f t="shared" si="3"/>
        <v>0</v>
      </c>
    </row>
    <row r="8027">
      <c r="A8027" s="107"/>
      <c r="D8027" s="270"/>
      <c r="H8027" s="106" t="str">
        <f t="shared" si="1"/>
        <v/>
      </c>
      <c r="J8027" t="str">
        <f>IFERROR(__xludf.DUMMYFUNCTION("IFS(
  AND(REGEXMATCH(E8027, ""台銀籌備帳戶|玉山帳戶""), REGEXMATCH(C8027, ""薪資"")), ""分潤支出"",
  AND(REGEXMATCH(E8027, ""Ben帳戶|Elsa帳戶|Ben代墊|Ariel代墊|中信銀行共用""), REGEXMATCH(F8027, ""Ben帳戶|Elsa帳戶|Ben代墊|Ariel代墊|中信銀行共用"")), ""內部轉帳(忽略)"",
  AND(E8027&lt;&gt;"""", F8027&lt;&gt;"""", N"&amp;"OT(REGEXMATCH(C8027, ""薪資""))), ""內部轉帳(忽略)"",
  REGEXMATCH(C8027, ""薪資""), ""薪資變動(不計入)"",
  REGEXMATCH(C8027, ""押金""), ""押金往來"",
  AND(E8027&lt;&gt;"""", F8027=""""), ""真實支出"",
  AND(E8027="""", F8027&lt;&gt;""""), ""真實收入"",
  TRUE, ""其他""
)"),"其他")</f>
        <v>其他</v>
      </c>
      <c r="K8027" s="270" t="str">
        <f t="shared" si="2"/>
        <v/>
      </c>
      <c r="L8027">
        <f t="shared" si="3"/>
        <v>0</v>
      </c>
    </row>
    <row r="8028">
      <c r="A8028" s="107"/>
      <c r="D8028" s="270"/>
      <c r="H8028" s="106" t="str">
        <f t="shared" si="1"/>
        <v/>
      </c>
      <c r="J8028" t="str">
        <f>IFERROR(__xludf.DUMMYFUNCTION("IFS(
  AND(REGEXMATCH(E8028, ""台銀籌備帳戶|玉山帳戶""), REGEXMATCH(C8028, ""薪資"")), ""分潤支出"",
  AND(REGEXMATCH(E8028, ""Ben帳戶|Elsa帳戶|Ben代墊|Ariel代墊|中信銀行共用""), REGEXMATCH(F8028, ""Ben帳戶|Elsa帳戶|Ben代墊|Ariel代墊|中信銀行共用"")), ""內部轉帳(忽略)"",
  AND(E8028&lt;&gt;"""", F8028&lt;&gt;"""", N"&amp;"OT(REGEXMATCH(C8028, ""薪資""))), ""內部轉帳(忽略)"",
  REGEXMATCH(C8028, ""薪資""), ""薪資變動(不計入)"",
  REGEXMATCH(C8028, ""押金""), ""押金往來"",
  AND(E8028&lt;&gt;"""", F8028=""""), ""真實支出"",
  AND(E8028="""", F8028&lt;&gt;""""), ""真實收入"",
  TRUE, ""其他""
)"),"其他")</f>
        <v>其他</v>
      </c>
      <c r="K8028" s="270" t="str">
        <f t="shared" si="2"/>
        <v/>
      </c>
      <c r="L8028">
        <f t="shared" si="3"/>
        <v>0</v>
      </c>
    </row>
    <row r="8029">
      <c r="A8029" s="107"/>
      <c r="D8029" s="270"/>
      <c r="H8029" s="106" t="str">
        <f t="shared" si="1"/>
        <v/>
      </c>
      <c r="J8029" t="str">
        <f>IFERROR(__xludf.DUMMYFUNCTION("IFS(
  AND(REGEXMATCH(E8029, ""台銀籌備帳戶|玉山帳戶""), REGEXMATCH(C8029, ""薪資"")), ""分潤支出"",
  AND(REGEXMATCH(E8029, ""Ben帳戶|Elsa帳戶|Ben代墊|Ariel代墊|中信銀行共用""), REGEXMATCH(F8029, ""Ben帳戶|Elsa帳戶|Ben代墊|Ariel代墊|中信銀行共用"")), ""內部轉帳(忽略)"",
  AND(E8029&lt;&gt;"""", F8029&lt;&gt;"""", N"&amp;"OT(REGEXMATCH(C8029, ""薪資""))), ""內部轉帳(忽略)"",
  REGEXMATCH(C8029, ""薪資""), ""薪資變動(不計入)"",
  REGEXMATCH(C8029, ""押金""), ""押金往來"",
  AND(E8029&lt;&gt;"""", F8029=""""), ""真實支出"",
  AND(E8029="""", F8029&lt;&gt;""""), ""真實收入"",
  TRUE, ""其他""
)"),"其他")</f>
        <v>其他</v>
      </c>
      <c r="K8029" s="270" t="str">
        <f t="shared" si="2"/>
        <v/>
      </c>
      <c r="L8029">
        <f t="shared" si="3"/>
        <v>0</v>
      </c>
    </row>
    <row r="8030">
      <c r="A8030" s="107"/>
      <c r="D8030" s="270"/>
      <c r="H8030" s="106" t="str">
        <f t="shared" si="1"/>
        <v/>
      </c>
      <c r="J8030" t="str">
        <f>IFERROR(__xludf.DUMMYFUNCTION("IFS(
  AND(REGEXMATCH(E8030, ""台銀籌備帳戶|玉山帳戶""), REGEXMATCH(C8030, ""薪資"")), ""分潤支出"",
  AND(REGEXMATCH(E8030, ""Ben帳戶|Elsa帳戶|Ben代墊|Ariel代墊|中信銀行共用""), REGEXMATCH(F8030, ""Ben帳戶|Elsa帳戶|Ben代墊|Ariel代墊|中信銀行共用"")), ""內部轉帳(忽略)"",
  AND(E8030&lt;&gt;"""", F8030&lt;&gt;"""", N"&amp;"OT(REGEXMATCH(C8030, ""薪資""))), ""內部轉帳(忽略)"",
  REGEXMATCH(C8030, ""薪資""), ""薪資變動(不計入)"",
  REGEXMATCH(C8030, ""押金""), ""押金往來"",
  AND(E8030&lt;&gt;"""", F8030=""""), ""真實支出"",
  AND(E8030="""", F8030&lt;&gt;""""), ""真實收入"",
  TRUE, ""其他""
)"),"其他")</f>
        <v>其他</v>
      </c>
      <c r="K8030" s="270" t="str">
        <f t="shared" si="2"/>
        <v/>
      </c>
      <c r="L8030">
        <f t="shared" si="3"/>
        <v>0</v>
      </c>
    </row>
    <row r="8031">
      <c r="A8031" s="107"/>
      <c r="D8031" s="270"/>
      <c r="H8031" s="106" t="str">
        <f t="shared" si="1"/>
        <v/>
      </c>
      <c r="J8031" t="str">
        <f>IFERROR(__xludf.DUMMYFUNCTION("IFS(
  AND(REGEXMATCH(E8031, ""台銀籌備帳戶|玉山帳戶""), REGEXMATCH(C8031, ""薪資"")), ""分潤支出"",
  AND(REGEXMATCH(E8031, ""Ben帳戶|Elsa帳戶|Ben代墊|Ariel代墊|中信銀行共用""), REGEXMATCH(F8031, ""Ben帳戶|Elsa帳戶|Ben代墊|Ariel代墊|中信銀行共用"")), ""內部轉帳(忽略)"",
  AND(E8031&lt;&gt;"""", F8031&lt;&gt;"""", N"&amp;"OT(REGEXMATCH(C8031, ""薪資""))), ""內部轉帳(忽略)"",
  REGEXMATCH(C8031, ""薪資""), ""薪資變動(不計入)"",
  REGEXMATCH(C8031, ""押金""), ""押金往來"",
  AND(E8031&lt;&gt;"""", F8031=""""), ""真實支出"",
  AND(E8031="""", F8031&lt;&gt;""""), ""真實收入"",
  TRUE, ""其他""
)"),"其他")</f>
        <v>其他</v>
      </c>
      <c r="K8031" s="270" t="str">
        <f t="shared" si="2"/>
        <v/>
      </c>
      <c r="L8031">
        <f t="shared" si="3"/>
        <v>0</v>
      </c>
    </row>
    <row r="8032">
      <c r="A8032" s="107"/>
      <c r="D8032" s="270"/>
      <c r="H8032" s="106" t="str">
        <f t="shared" si="1"/>
        <v/>
      </c>
      <c r="J8032" t="str">
        <f>IFERROR(__xludf.DUMMYFUNCTION("IFS(
  AND(REGEXMATCH(E8032, ""台銀籌備帳戶|玉山帳戶""), REGEXMATCH(C8032, ""薪資"")), ""分潤支出"",
  AND(REGEXMATCH(E8032, ""Ben帳戶|Elsa帳戶|Ben代墊|Ariel代墊|中信銀行共用""), REGEXMATCH(F8032, ""Ben帳戶|Elsa帳戶|Ben代墊|Ariel代墊|中信銀行共用"")), ""內部轉帳(忽略)"",
  AND(E8032&lt;&gt;"""", F8032&lt;&gt;"""", N"&amp;"OT(REGEXMATCH(C8032, ""薪資""))), ""內部轉帳(忽略)"",
  REGEXMATCH(C8032, ""薪資""), ""薪資變動(不計入)"",
  REGEXMATCH(C8032, ""押金""), ""押金往來"",
  AND(E8032&lt;&gt;"""", F8032=""""), ""真實支出"",
  AND(E8032="""", F8032&lt;&gt;""""), ""真實收入"",
  TRUE, ""其他""
)"),"其他")</f>
        <v>其他</v>
      </c>
      <c r="K8032" s="270" t="str">
        <f t="shared" si="2"/>
        <v/>
      </c>
      <c r="L8032">
        <f t="shared" si="3"/>
        <v>0</v>
      </c>
    </row>
    <row r="8033">
      <c r="A8033" s="107"/>
      <c r="D8033" s="270"/>
      <c r="H8033" s="106" t="str">
        <f t="shared" si="1"/>
        <v/>
      </c>
      <c r="J8033" t="str">
        <f>IFERROR(__xludf.DUMMYFUNCTION("IFS(
  AND(REGEXMATCH(E8033, ""台銀籌備帳戶|玉山帳戶""), REGEXMATCH(C8033, ""薪資"")), ""分潤支出"",
  AND(REGEXMATCH(E8033, ""Ben帳戶|Elsa帳戶|Ben代墊|Ariel代墊|中信銀行共用""), REGEXMATCH(F8033, ""Ben帳戶|Elsa帳戶|Ben代墊|Ariel代墊|中信銀行共用"")), ""內部轉帳(忽略)"",
  AND(E8033&lt;&gt;"""", F8033&lt;&gt;"""", N"&amp;"OT(REGEXMATCH(C8033, ""薪資""))), ""內部轉帳(忽略)"",
  REGEXMATCH(C8033, ""薪資""), ""薪資變動(不計入)"",
  REGEXMATCH(C8033, ""押金""), ""押金往來"",
  AND(E8033&lt;&gt;"""", F8033=""""), ""真實支出"",
  AND(E8033="""", F8033&lt;&gt;""""), ""真實收入"",
  TRUE, ""其他""
)"),"其他")</f>
        <v>其他</v>
      </c>
      <c r="K8033" s="270" t="str">
        <f t="shared" si="2"/>
        <v/>
      </c>
      <c r="L8033">
        <f t="shared" si="3"/>
        <v>0</v>
      </c>
    </row>
    <row r="8034">
      <c r="A8034" s="107"/>
      <c r="D8034" s="270"/>
      <c r="H8034" s="106" t="str">
        <f t="shared" si="1"/>
        <v/>
      </c>
      <c r="J8034" t="str">
        <f>IFERROR(__xludf.DUMMYFUNCTION("IFS(
  AND(REGEXMATCH(E8034, ""台銀籌備帳戶|玉山帳戶""), REGEXMATCH(C8034, ""薪資"")), ""分潤支出"",
  AND(REGEXMATCH(E8034, ""Ben帳戶|Elsa帳戶|Ben代墊|Ariel代墊|中信銀行共用""), REGEXMATCH(F8034, ""Ben帳戶|Elsa帳戶|Ben代墊|Ariel代墊|中信銀行共用"")), ""內部轉帳(忽略)"",
  AND(E8034&lt;&gt;"""", F8034&lt;&gt;"""", N"&amp;"OT(REGEXMATCH(C8034, ""薪資""))), ""內部轉帳(忽略)"",
  REGEXMATCH(C8034, ""薪資""), ""薪資變動(不計入)"",
  REGEXMATCH(C8034, ""押金""), ""押金往來"",
  AND(E8034&lt;&gt;"""", F8034=""""), ""真實支出"",
  AND(E8034="""", F8034&lt;&gt;""""), ""真實收入"",
  TRUE, ""其他""
)"),"其他")</f>
        <v>其他</v>
      </c>
      <c r="K8034" s="270" t="str">
        <f t="shared" si="2"/>
        <v/>
      </c>
      <c r="L8034">
        <f t="shared" si="3"/>
        <v>0</v>
      </c>
    </row>
    <row r="8035">
      <c r="A8035" s="107"/>
      <c r="D8035" s="270"/>
      <c r="H8035" s="106" t="str">
        <f t="shared" si="1"/>
        <v/>
      </c>
      <c r="J8035" t="str">
        <f>IFERROR(__xludf.DUMMYFUNCTION("IFS(
  AND(REGEXMATCH(E8035, ""台銀籌備帳戶|玉山帳戶""), REGEXMATCH(C8035, ""薪資"")), ""分潤支出"",
  AND(REGEXMATCH(E8035, ""Ben帳戶|Elsa帳戶|Ben代墊|Ariel代墊|中信銀行共用""), REGEXMATCH(F8035, ""Ben帳戶|Elsa帳戶|Ben代墊|Ariel代墊|中信銀行共用"")), ""內部轉帳(忽略)"",
  AND(E8035&lt;&gt;"""", F8035&lt;&gt;"""", N"&amp;"OT(REGEXMATCH(C8035, ""薪資""))), ""內部轉帳(忽略)"",
  REGEXMATCH(C8035, ""薪資""), ""薪資變動(不計入)"",
  REGEXMATCH(C8035, ""押金""), ""押金往來"",
  AND(E8035&lt;&gt;"""", F8035=""""), ""真實支出"",
  AND(E8035="""", F8035&lt;&gt;""""), ""真實收入"",
  TRUE, ""其他""
)"),"其他")</f>
        <v>其他</v>
      </c>
      <c r="K8035" s="270" t="str">
        <f t="shared" si="2"/>
        <v/>
      </c>
      <c r="L8035">
        <f t="shared" si="3"/>
        <v>0</v>
      </c>
    </row>
    <row r="8036">
      <c r="A8036" s="107"/>
      <c r="D8036" s="270"/>
      <c r="H8036" s="106" t="str">
        <f t="shared" si="1"/>
        <v/>
      </c>
      <c r="J8036" t="str">
        <f>IFERROR(__xludf.DUMMYFUNCTION("IFS(
  AND(REGEXMATCH(E8036, ""台銀籌備帳戶|玉山帳戶""), REGEXMATCH(C8036, ""薪資"")), ""分潤支出"",
  AND(REGEXMATCH(E8036, ""Ben帳戶|Elsa帳戶|Ben代墊|Ariel代墊|中信銀行共用""), REGEXMATCH(F8036, ""Ben帳戶|Elsa帳戶|Ben代墊|Ariel代墊|中信銀行共用"")), ""內部轉帳(忽略)"",
  AND(E8036&lt;&gt;"""", F8036&lt;&gt;"""", N"&amp;"OT(REGEXMATCH(C8036, ""薪資""))), ""內部轉帳(忽略)"",
  REGEXMATCH(C8036, ""薪資""), ""薪資變動(不計入)"",
  REGEXMATCH(C8036, ""押金""), ""押金往來"",
  AND(E8036&lt;&gt;"""", F8036=""""), ""真實支出"",
  AND(E8036="""", F8036&lt;&gt;""""), ""真實收入"",
  TRUE, ""其他""
)"),"其他")</f>
        <v>其他</v>
      </c>
      <c r="K8036" s="270" t="str">
        <f t="shared" si="2"/>
        <v/>
      </c>
      <c r="L8036">
        <f t="shared" si="3"/>
        <v>0</v>
      </c>
    </row>
    <row r="8037">
      <c r="A8037" s="107"/>
      <c r="D8037" s="270"/>
      <c r="H8037" s="106" t="str">
        <f t="shared" si="1"/>
        <v/>
      </c>
      <c r="J8037" t="str">
        <f>IFERROR(__xludf.DUMMYFUNCTION("IFS(
  AND(REGEXMATCH(E8037, ""台銀籌備帳戶|玉山帳戶""), REGEXMATCH(C8037, ""薪資"")), ""分潤支出"",
  AND(REGEXMATCH(E8037, ""Ben帳戶|Elsa帳戶|Ben代墊|Ariel代墊|中信銀行共用""), REGEXMATCH(F8037, ""Ben帳戶|Elsa帳戶|Ben代墊|Ariel代墊|中信銀行共用"")), ""內部轉帳(忽略)"",
  AND(E8037&lt;&gt;"""", F8037&lt;&gt;"""", N"&amp;"OT(REGEXMATCH(C8037, ""薪資""))), ""內部轉帳(忽略)"",
  REGEXMATCH(C8037, ""薪資""), ""薪資變動(不計入)"",
  REGEXMATCH(C8037, ""押金""), ""押金往來"",
  AND(E8037&lt;&gt;"""", F8037=""""), ""真實支出"",
  AND(E8037="""", F8037&lt;&gt;""""), ""真實收入"",
  TRUE, ""其他""
)"),"其他")</f>
        <v>其他</v>
      </c>
      <c r="K8037" s="270" t="str">
        <f t="shared" si="2"/>
        <v/>
      </c>
      <c r="L8037">
        <f t="shared" si="3"/>
        <v>0</v>
      </c>
    </row>
    <row r="8038">
      <c r="A8038" s="107"/>
      <c r="D8038" s="270"/>
      <c r="H8038" s="106" t="str">
        <f t="shared" si="1"/>
        <v/>
      </c>
      <c r="J8038" t="str">
        <f>IFERROR(__xludf.DUMMYFUNCTION("IFS(
  AND(REGEXMATCH(E8038, ""台銀籌備帳戶|玉山帳戶""), REGEXMATCH(C8038, ""薪資"")), ""分潤支出"",
  AND(REGEXMATCH(E8038, ""Ben帳戶|Elsa帳戶|Ben代墊|Ariel代墊|中信銀行共用""), REGEXMATCH(F8038, ""Ben帳戶|Elsa帳戶|Ben代墊|Ariel代墊|中信銀行共用"")), ""內部轉帳(忽略)"",
  AND(E8038&lt;&gt;"""", F8038&lt;&gt;"""", N"&amp;"OT(REGEXMATCH(C8038, ""薪資""))), ""內部轉帳(忽略)"",
  REGEXMATCH(C8038, ""薪資""), ""薪資變動(不計入)"",
  REGEXMATCH(C8038, ""押金""), ""押金往來"",
  AND(E8038&lt;&gt;"""", F8038=""""), ""真實支出"",
  AND(E8038="""", F8038&lt;&gt;""""), ""真實收入"",
  TRUE, ""其他""
)"),"其他")</f>
        <v>其他</v>
      </c>
      <c r="K8038" s="270" t="str">
        <f t="shared" si="2"/>
        <v/>
      </c>
      <c r="L8038">
        <f t="shared" si="3"/>
        <v>0</v>
      </c>
    </row>
    <row r="8039">
      <c r="A8039" s="107"/>
      <c r="D8039" s="270"/>
      <c r="H8039" s="106" t="str">
        <f t="shared" si="1"/>
        <v/>
      </c>
      <c r="J8039" t="str">
        <f>IFERROR(__xludf.DUMMYFUNCTION("IFS(
  AND(REGEXMATCH(E8039, ""台銀籌備帳戶|玉山帳戶""), REGEXMATCH(C8039, ""薪資"")), ""分潤支出"",
  AND(REGEXMATCH(E8039, ""Ben帳戶|Elsa帳戶|Ben代墊|Ariel代墊|中信銀行共用""), REGEXMATCH(F8039, ""Ben帳戶|Elsa帳戶|Ben代墊|Ariel代墊|中信銀行共用"")), ""內部轉帳(忽略)"",
  AND(E8039&lt;&gt;"""", F8039&lt;&gt;"""", N"&amp;"OT(REGEXMATCH(C8039, ""薪資""))), ""內部轉帳(忽略)"",
  REGEXMATCH(C8039, ""薪資""), ""薪資變動(不計入)"",
  REGEXMATCH(C8039, ""押金""), ""押金往來"",
  AND(E8039&lt;&gt;"""", F8039=""""), ""真實支出"",
  AND(E8039="""", F8039&lt;&gt;""""), ""真實收入"",
  TRUE, ""其他""
)"),"其他")</f>
        <v>其他</v>
      </c>
      <c r="K8039" s="270" t="str">
        <f t="shared" si="2"/>
        <v/>
      </c>
      <c r="L8039">
        <f t="shared" si="3"/>
        <v>0</v>
      </c>
    </row>
    <row r="8040">
      <c r="A8040" s="107"/>
      <c r="D8040" s="270"/>
      <c r="H8040" s="106" t="str">
        <f t="shared" si="1"/>
        <v/>
      </c>
      <c r="J8040" t="str">
        <f>IFERROR(__xludf.DUMMYFUNCTION("IFS(
  AND(REGEXMATCH(E8040, ""台銀籌備帳戶|玉山帳戶""), REGEXMATCH(C8040, ""薪資"")), ""分潤支出"",
  AND(REGEXMATCH(E8040, ""Ben帳戶|Elsa帳戶|Ben代墊|Ariel代墊|中信銀行共用""), REGEXMATCH(F8040, ""Ben帳戶|Elsa帳戶|Ben代墊|Ariel代墊|中信銀行共用"")), ""內部轉帳(忽略)"",
  AND(E8040&lt;&gt;"""", F8040&lt;&gt;"""", N"&amp;"OT(REGEXMATCH(C8040, ""薪資""))), ""內部轉帳(忽略)"",
  REGEXMATCH(C8040, ""薪資""), ""薪資變動(不計入)"",
  REGEXMATCH(C8040, ""押金""), ""押金往來"",
  AND(E8040&lt;&gt;"""", F8040=""""), ""真實支出"",
  AND(E8040="""", F8040&lt;&gt;""""), ""真實收入"",
  TRUE, ""其他""
)"),"其他")</f>
        <v>其他</v>
      </c>
      <c r="K8040" s="270" t="str">
        <f t="shared" si="2"/>
        <v/>
      </c>
      <c r="L8040">
        <f t="shared" si="3"/>
        <v>0</v>
      </c>
    </row>
    <row r="8041">
      <c r="A8041" s="107"/>
      <c r="D8041" s="270"/>
      <c r="H8041" s="106" t="str">
        <f t="shared" si="1"/>
        <v/>
      </c>
      <c r="J8041" t="str">
        <f>IFERROR(__xludf.DUMMYFUNCTION("IFS(
  AND(REGEXMATCH(E8041, ""台銀籌備帳戶|玉山帳戶""), REGEXMATCH(C8041, ""薪資"")), ""分潤支出"",
  AND(REGEXMATCH(E8041, ""Ben帳戶|Elsa帳戶|Ben代墊|Ariel代墊|中信銀行共用""), REGEXMATCH(F8041, ""Ben帳戶|Elsa帳戶|Ben代墊|Ariel代墊|中信銀行共用"")), ""內部轉帳(忽略)"",
  AND(E8041&lt;&gt;"""", F8041&lt;&gt;"""", N"&amp;"OT(REGEXMATCH(C8041, ""薪資""))), ""內部轉帳(忽略)"",
  REGEXMATCH(C8041, ""薪資""), ""薪資變動(不計入)"",
  REGEXMATCH(C8041, ""押金""), ""押金往來"",
  AND(E8041&lt;&gt;"""", F8041=""""), ""真實支出"",
  AND(E8041="""", F8041&lt;&gt;""""), ""真實收入"",
  TRUE, ""其他""
)"),"其他")</f>
        <v>其他</v>
      </c>
      <c r="K8041" s="270" t="str">
        <f t="shared" si="2"/>
        <v/>
      </c>
      <c r="L8041">
        <f t="shared" si="3"/>
        <v>0</v>
      </c>
    </row>
    <row r="8042">
      <c r="A8042" s="107"/>
      <c r="D8042" s="270"/>
      <c r="H8042" s="106" t="str">
        <f t="shared" si="1"/>
        <v/>
      </c>
      <c r="J8042" t="str">
        <f>IFERROR(__xludf.DUMMYFUNCTION("IFS(
  AND(REGEXMATCH(E8042, ""台銀籌備帳戶|玉山帳戶""), REGEXMATCH(C8042, ""薪資"")), ""分潤支出"",
  AND(REGEXMATCH(E8042, ""Ben帳戶|Elsa帳戶|Ben代墊|Ariel代墊|中信銀行共用""), REGEXMATCH(F8042, ""Ben帳戶|Elsa帳戶|Ben代墊|Ariel代墊|中信銀行共用"")), ""內部轉帳(忽略)"",
  AND(E8042&lt;&gt;"""", F8042&lt;&gt;"""", N"&amp;"OT(REGEXMATCH(C8042, ""薪資""))), ""內部轉帳(忽略)"",
  REGEXMATCH(C8042, ""薪資""), ""薪資變動(不計入)"",
  REGEXMATCH(C8042, ""押金""), ""押金往來"",
  AND(E8042&lt;&gt;"""", F8042=""""), ""真實支出"",
  AND(E8042="""", F8042&lt;&gt;""""), ""真實收入"",
  TRUE, ""其他""
)"),"其他")</f>
        <v>其他</v>
      </c>
      <c r="K8042" s="270" t="str">
        <f t="shared" si="2"/>
        <v/>
      </c>
      <c r="L8042">
        <f t="shared" si="3"/>
        <v>0</v>
      </c>
    </row>
    <row r="8043">
      <c r="A8043" s="107"/>
      <c r="D8043" s="270"/>
      <c r="H8043" s="106" t="str">
        <f t="shared" si="1"/>
        <v/>
      </c>
      <c r="J8043" t="str">
        <f>IFERROR(__xludf.DUMMYFUNCTION("IFS(
  AND(REGEXMATCH(E8043, ""台銀籌備帳戶|玉山帳戶""), REGEXMATCH(C8043, ""薪資"")), ""分潤支出"",
  AND(REGEXMATCH(E8043, ""Ben帳戶|Elsa帳戶|Ben代墊|Ariel代墊|中信銀行共用""), REGEXMATCH(F8043, ""Ben帳戶|Elsa帳戶|Ben代墊|Ariel代墊|中信銀行共用"")), ""內部轉帳(忽略)"",
  AND(E8043&lt;&gt;"""", F8043&lt;&gt;"""", N"&amp;"OT(REGEXMATCH(C8043, ""薪資""))), ""內部轉帳(忽略)"",
  REGEXMATCH(C8043, ""薪資""), ""薪資變動(不計入)"",
  REGEXMATCH(C8043, ""押金""), ""押金往來"",
  AND(E8043&lt;&gt;"""", F8043=""""), ""真實支出"",
  AND(E8043="""", F8043&lt;&gt;""""), ""真實收入"",
  TRUE, ""其他""
)"),"其他")</f>
        <v>其他</v>
      </c>
      <c r="K8043" s="270" t="str">
        <f t="shared" si="2"/>
        <v/>
      </c>
      <c r="L8043">
        <f t="shared" si="3"/>
        <v>0</v>
      </c>
    </row>
    <row r="8044">
      <c r="A8044" s="107"/>
      <c r="D8044" s="270"/>
      <c r="H8044" s="106" t="str">
        <f t="shared" si="1"/>
        <v/>
      </c>
      <c r="J8044" t="str">
        <f>IFERROR(__xludf.DUMMYFUNCTION("IFS(
  AND(REGEXMATCH(E8044, ""台銀籌備帳戶|玉山帳戶""), REGEXMATCH(C8044, ""薪資"")), ""分潤支出"",
  AND(REGEXMATCH(E8044, ""Ben帳戶|Elsa帳戶|Ben代墊|Ariel代墊|中信銀行共用""), REGEXMATCH(F8044, ""Ben帳戶|Elsa帳戶|Ben代墊|Ariel代墊|中信銀行共用"")), ""內部轉帳(忽略)"",
  AND(E8044&lt;&gt;"""", F8044&lt;&gt;"""", N"&amp;"OT(REGEXMATCH(C8044, ""薪資""))), ""內部轉帳(忽略)"",
  REGEXMATCH(C8044, ""薪資""), ""薪資變動(不計入)"",
  REGEXMATCH(C8044, ""押金""), ""押金往來"",
  AND(E8044&lt;&gt;"""", F8044=""""), ""真實支出"",
  AND(E8044="""", F8044&lt;&gt;""""), ""真實收入"",
  TRUE, ""其他""
)"),"其他")</f>
        <v>其他</v>
      </c>
      <c r="K8044" s="270" t="str">
        <f t="shared" si="2"/>
        <v/>
      </c>
      <c r="L8044">
        <f t="shared" si="3"/>
        <v>0</v>
      </c>
    </row>
    <row r="8045">
      <c r="A8045" s="107"/>
      <c r="D8045" s="270"/>
      <c r="H8045" s="106" t="str">
        <f t="shared" si="1"/>
        <v/>
      </c>
      <c r="J8045" t="str">
        <f>IFERROR(__xludf.DUMMYFUNCTION("IFS(
  AND(REGEXMATCH(E8045, ""台銀籌備帳戶|玉山帳戶""), REGEXMATCH(C8045, ""薪資"")), ""分潤支出"",
  AND(REGEXMATCH(E8045, ""Ben帳戶|Elsa帳戶|Ben代墊|Ariel代墊|中信銀行共用""), REGEXMATCH(F8045, ""Ben帳戶|Elsa帳戶|Ben代墊|Ariel代墊|中信銀行共用"")), ""內部轉帳(忽略)"",
  AND(E8045&lt;&gt;"""", F8045&lt;&gt;"""", N"&amp;"OT(REGEXMATCH(C8045, ""薪資""))), ""內部轉帳(忽略)"",
  REGEXMATCH(C8045, ""薪資""), ""薪資變動(不計入)"",
  REGEXMATCH(C8045, ""押金""), ""押金往來"",
  AND(E8045&lt;&gt;"""", F8045=""""), ""真實支出"",
  AND(E8045="""", F8045&lt;&gt;""""), ""真實收入"",
  TRUE, ""其他""
)"),"其他")</f>
        <v>其他</v>
      </c>
      <c r="K8045" s="270" t="str">
        <f t="shared" si="2"/>
        <v/>
      </c>
      <c r="L8045">
        <f t="shared" si="3"/>
        <v>0</v>
      </c>
    </row>
    <row r="8046">
      <c r="A8046" s="107"/>
      <c r="D8046" s="270"/>
      <c r="H8046" s="106" t="str">
        <f t="shared" si="1"/>
        <v/>
      </c>
      <c r="J8046" t="str">
        <f>IFERROR(__xludf.DUMMYFUNCTION("IFS(
  AND(REGEXMATCH(E8046, ""台銀籌備帳戶|玉山帳戶""), REGEXMATCH(C8046, ""薪資"")), ""分潤支出"",
  AND(REGEXMATCH(E8046, ""Ben帳戶|Elsa帳戶|Ben代墊|Ariel代墊|中信銀行共用""), REGEXMATCH(F8046, ""Ben帳戶|Elsa帳戶|Ben代墊|Ariel代墊|中信銀行共用"")), ""內部轉帳(忽略)"",
  AND(E8046&lt;&gt;"""", F8046&lt;&gt;"""", N"&amp;"OT(REGEXMATCH(C8046, ""薪資""))), ""內部轉帳(忽略)"",
  REGEXMATCH(C8046, ""薪資""), ""薪資變動(不計入)"",
  REGEXMATCH(C8046, ""押金""), ""押金往來"",
  AND(E8046&lt;&gt;"""", F8046=""""), ""真實支出"",
  AND(E8046="""", F8046&lt;&gt;""""), ""真實收入"",
  TRUE, ""其他""
)"),"其他")</f>
        <v>其他</v>
      </c>
      <c r="K8046" s="270" t="str">
        <f t="shared" si="2"/>
        <v/>
      </c>
      <c r="L8046">
        <f t="shared" si="3"/>
        <v>0</v>
      </c>
    </row>
    <row r="8047">
      <c r="A8047" s="107"/>
      <c r="D8047" s="270"/>
      <c r="H8047" s="106" t="str">
        <f t="shared" si="1"/>
        <v/>
      </c>
      <c r="J8047" t="str">
        <f>IFERROR(__xludf.DUMMYFUNCTION("IFS(
  AND(REGEXMATCH(E8047, ""台銀籌備帳戶|玉山帳戶""), REGEXMATCH(C8047, ""薪資"")), ""分潤支出"",
  AND(REGEXMATCH(E8047, ""Ben帳戶|Elsa帳戶|Ben代墊|Ariel代墊|中信銀行共用""), REGEXMATCH(F8047, ""Ben帳戶|Elsa帳戶|Ben代墊|Ariel代墊|中信銀行共用"")), ""內部轉帳(忽略)"",
  AND(E8047&lt;&gt;"""", F8047&lt;&gt;"""", N"&amp;"OT(REGEXMATCH(C8047, ""薪資""))), ""內部轉帳(忽略)"",
  REGEXMATCH(C8047, ""薪資""), ""薪資變動(不計入)"",
  REGEXMATCH(C8047, ""押金""), ""押金往來"",
  AND(E8047&lt;&gt;"""", F8047=""""), ""真實支出"",
  AND(E8047="""", F8047&lt;&gt;""""), ""真實收入"",
  TRUE, ""其他""
)"),"其他")</f>
        <v>其他</v>
      </c>
      <c r="K8047" s="270" t="str">
        <f t="shared" si="2"/>
        <v/>
      </c>
      <c r="L8047">
        <f t="shared" si="3"/>
        <v>0</v>
      </c>
    </row>
    <row r="8048">
      <c r="A8048" s="107"/>
      <c r="D8048" s="270"/>
      <c r="H8048" s="106" t="str">
        <f t="shared" si="1"/>
        <v/>
      </c>
      <c r="J8048" t="str">
        <f>IFERROR(__xludf.DUMMYFUNCTION("IFS(
  AND(REGEXMATCH(E8048, ""台銀籌備帳戶|玉山帳戶""), REGEXMATCH(C8048, ""薪資"")), ""分潤支出"",
  AND(REGEXMATCH(E8048, ""Ben帳戶|Elsa帳戶|Ben代墊|Ariel代墊|中信銀行共用""), REGEXMATCH(F8048, ""Ben帳戶|Elsa帳戶|Ben代墊|Ariel代墊|中信銀行共用"")), ""內部轉帳(忽略)"",
  AND(E8048&lt;&gt;"""", F8048&lt;&gt;"""", N"&amp;"OT(REGEXMATCH(C8048, ""薪資""))), ""內部轉帳(忽略)"",
  REGEXMATCH(C8048, ""薪資""), ""薪資變動(不計入)"",
  REGEXMATCH(C8048, ""押金""), ""押金往來"",
  AND(E8048&lt;&gt;"""", F8048=""""), ""真實支出"",
  AND(E8048="""", F8048&lt;&gt;""""), ""真實收入"",
  TRUE, ""其他""
)"),"其他")</f>
        <v>其他</v>
      </c>
      <c r="K8048" s="270" t="str">
        <f t="shared" si="2"/>
        <v/>
      </c>
      <c r="L8048">
        <f t="shared" si="3"/>
        <v>0</v>
      </c>
    </row>
    <row r="8049">
      <c r="A8049" s="107"/>
      <c r="D8049" s="270"/>
      <c r="H8049" s="106" t="str">
        <f t="shared" si="1"/>
        <v/>
      </c>
      <c r="J8049" t="str">
        <f>IFERROR(__xludf.DUMMYFUNCTION("IFS(
  AND(REGEXMATCH(E8049, ""台銀籌備帳戶|玉山帳戶""), REGEXMATCH(C8049, ""薪資"")), ""分潤支出"",
  AND(REGEXMATCH(E8049, ""Ben帳戶|Elsa帳戶|Ben代墊|Ariel代墊|中信銀行共用""), REGEXMATCH(F8049, ""Ben帳戶|Elsa帳戶|Ben代墊|Ariel代墊|中信銀行共用"")), ""內部轉帳(忽略)"",
  AND(E8049&lt;&gt;"""", F8049&lt;&gt;"""", N"&amp;"OT(REGEXMATCH(C8049, ""薪資""))), ""內部轉帳(忽略)"",
  REGEXMATCH(C8049, ""薪資""), ""薪資變動(不計入)"",
  REGEXMATCH(C8049, ""押金""), ""押金往來"",
  AND(E8049&lt;&gt;"""", F8049=""""), ""真實支出"",
  AND(E8049="""", F8049&lt;&gt;""""), ""真實收入"",
  TRUE, ""其他""
)"),"其他")</f>
        <v>其他</v>
      </c>
      <c r="K8049" s="270" t="str">
        <f t="shared" si="2"/>
        <v/>
      </c>
      <c r="L8049">
        <f t="shared" si="3"/>
        <v>0</v>
      </c>
    </row>
    <row r="8050">
      <c r="A8050" s="107"/>
      <c r="D8050" s="270"/>
      <c r="H8050" s="106" t="str">
        <f t="shared" si="1"/>
        <v/>
      </c>
      <c r="J8050" t="str">
        <f>IFERROR(__xludf.DUMMYFUNCTION("IFS(
  AND(REGEXMATCH(E8050, ""台銀籌備帳戶|玉山帳戶""), REGEXMATCH(C8050, ""薪資"")), ""分潤支出"",
  AND(REGEXMATCH(E8050, ""Ben帳戶|Elsa帳戶|Ben代墊|Ariel代墊|中信銀行共用""), REGEXMATCH(F8050, ""Ben帳戶|Elsa帳戶|Ben代墊|Ariel代墊|中信銀行共用"")), ""內部轉帳(忽略)"",
  AND(E8050&lt;&gt;"""", F8050&lt;&gt;"""", N"&amp;"OT(REGEXMATCH(C8050, ""薪資""))), ""內部轉帳(忽略)"",
  REGEXMATCH(C8050, ""薪資""), ""薪資變動(不計入)"",
  REGEXMATCH(C8050, ""押金""), ""押金往來"",
  AND(E8050&lt;&gt;"""", F8050=""""), ""真實支出"",
  AND(E8050="""", F8050&lt;&gt;""""), ""真實收入"",
  TRUE, ""其他""
)"),"其他")</f>
        <v>其他</v>
      </c>
      <c r="K8050" s="270" t="str">
        <f t="shared" si="2"/>
        <v/>
      </c>
      <c r="L8050">
        <f t="shared" si="3"/>
        <v>0</v>
      </c>
    </row>
    <row r="8051">
      <c r="A8051" s="107"/>
      <c r="D8051" s="270"/>
      <c r="H8051" s="106" t="str">
        <f t="shared" si="1"/>
        <v/>
      </c>
      <c r="J8051" t="str">
        <f>IFERROR(__xludf.DUMMYFUNCTION("IFS(
  AND(REGEXMATCH(E8051, ""台銀籌備帳戶|玉山帳戶""), REGEXMATCH(C8051, ""薪資"")), ""分潤支出"",
  AND(REGEXMATCH(E8051, ""Ben帳戶|Elsa帳戶|Ben代墊|Ariel代墊|中信銀行共用""), REGEXMATCH(F8051, ""Ben帳戶|Elsa帳戶|Ben代墊|Ariel代墊|中信銀行共用"")), ""內部轉帳(忽略)"",
  AND(E8051&lt;&gt;"""", F8051&lt;&gt;"""", N"&amp;"OT(REGEXMATCH(C8051, ""薪資""))), ""內部轉帳(忽略)"",
  REGEXMATCH(C8051, ""薪資""), ""薪資變動(不計入)"",
  REGEXMATCH(C8051, ""押金""), ""押金往來"",
  AND(E8051&lt;&gt;"""", F8051=""""), ""真實支出"",
  AND(E8051="""", F8051&lt;&gt;""""), ""真實收入"",
  TRUE, ""其他""
)"),"其他")</f>
        <v>其他</v>
      </c>
      <c r="K8051" s="270" t="str">
        <f t="shared" si="2"/>
        <v/>
      </c>
      <c r="L8051">
        <f t="shared" si="3"/>
        <v>0</v>
      </c>
    </row>
    <row r="8052">
      <c r="A8052" s="107"/>
      <c r="D8052" s="270"/>
      <c r="H8052" s="106" t="str">
        <f t="shared" si="1"/>
        <v/>
      </c>
      <c r="J8052" t="str">
        <f>IFERROR(__xludf.DUMMYFUNCTION("IFS(
  AND(REGEXMATCH(E8052, ""台銀籌備帳戶|玉山帳戶""), REGEXMATCH(C8052, ""薪資"")), ""分潤支出"",
  AND(REGEXMATCH(E8052, ""Ben帳戶|Elsa帳戶|Ben代墊|Ariel代墊|中信銀行共用""), REGEXMATCH(F8052, ""Ben帳戶|Elsa帳戶|Ben代墊|Ariel代墊|中信銀行共用"")), ""內部轉帳(忽略)"",
  AND(E8052&lt;&gt;"""", F8052&lt;&gt;"""", N"&amp;"OT(REGEXMATCH(C8052, ""薪資""))), ""內部轉帳(忽略)"",
  REGEXMATCH(C8052, ""薪資""), ""薪資變動(不計入)"",
  REGEXMATCH(C8052, ""押金""), ""押金往來"",
  AND(E8052&lt;&gt;"""", F8052=""""), ""真實支出"",
  AND(E8052="""", F8052&lt;&gt;""""), ""真實收入"",
  TRUE, ""其他""
)"),"其他")</f>
        <v>其他</v>
      </c>
      <c r="K8052" s="270" t="str">
        <f t="shared" si="2"/>
        <v/>
      </c>
      <c r="L8052">
        <f t="shared" si="3"/>
        <v>0</v>
      </c>
    </row>
    <row r="8053">
      <c r="A8053" s="107"/>
      <c r="D8053" s="270"/>
      <c r="H8053" s="106" t="str">
        <f t="shared" si="1"/>
        <v/>
      </c>
      <c r="J8053" t="str">
        <f>IFERROR(__xludf.DUMMYFUNCTION("IFS(
  AND(REGEXMATCH(E8053, ""台銀籌備帳戶|玉山帳戶""), REGEXMATCH(C8053, ""薪資"")), ""分潤支出"",
  AND(REGEXMATCH(E8053, ""Ben帳戶|Elsa帳戶|Ben代墊|Ariel代墊|中信銀行共用""), REGEXMATCH(F8053, ""Ben帳戶|Elsa帳戶|Ben代墊|Ariel代墊|中信銀行共用"")), ""內部轉帳(忽略)"",
  AND(E8053&lt;&gt;"""", F8053&lt;&gt;"""", N"&amp;"OT(REGEXMATCH(C8053, ""薪資""))), ""內部轉帳(忽略)"",
  REGEXMATCH(C8053, ""薪資""), ""薪資變動(不計入)"",
  REGEXMATCH(C8053, ""押金""), ""押金往來"",
  AND(E8053&lt;&gt;"""", F8053=""""), ""真實支出"",
  AND(E8053="""", F8053&lt;&gt;""""), ""真實收入"",
  TRUE, ""其他""
)"),"其他")</f>
        <v>其他</v>
      </c>
      <c r="K8053" s="270" t="str">
        <f t="shared" si="2"/>
        <v/>
      </c>
      <c r="L8053">
        <f t="shared" si="3"/>
        <v>0</v>
      </c>
    </row>
    <row r="8054">
      <c r="A8054" s="107"/>
      <c r="D8054" s="270"/>
      <c r="H8054" s="106" t="str">
        <f t="shared" si="1"/>
        <v/>
      </c>
      <c r="J8054" t="str">
        <f>IFERROR(__xludf.DUMMYFUNCTION("IFS(
  AND(REGEXMATCH(E8054, ""台銀籌備帳戶|玉山帳戶""), REGEXMATCH(C8054, ""薪資"")), ""分潤支出"",
  AND(REGEXMATCH(E8054, ""Ben帳戶|Elsa帳戶|Ben代墊|Ariel代墊|中信銀行共用""), REGEXMATCH(F8054, ""Ben帳戶|Elsa帳戶|Ben代墊|Ariel代墊|中信銀行共用"")), ""內部轉帳(忽略)"",
  AND(E8054&lt;&gt;"""", F8054&lt;&gt;"""", N"&amp;"OT(REGEXMATCH(C8054, ""薪資""))), ""內部轉帳(忽略)"",
  REGEXMATCH(C8054, ""薪資""), ""薪資變動(不計入)"",
  REGEXMATCH(C8054, ""押金""), ""押金往來"",
  AND(E8054&lt;&gt;"""", F8054=""""), ""真實支出"",
  AND(E8054="""", F8054&lt;&gt;""""), ""真實收入"",
  TRUE, ""其他""
)"),"其他")</f>
        <v>其他</v>
      </c>
      <c r="K8054" s="270" t="str">
        <f t="shared" si="2"/>
        <v/>
      </c>
      <c r="L8054">
        <f t="shared" si="3"/>
        <v>0</v>
      </c>
    </row>
    <row r="8055">
      <c r="A8055" s="107"/>
      <c r="D8055" s="270"/>
      <c r="H8055" s="106" t="str">
        <f t="shared" si="1"/>
        <v/>
      </c>
      <c r="J8055" t="str">
        <f>IFERROR(__xludf.DUMMYFUNCTION("IFS(
  AND(REGEXMATCH(E8055, ""台銀籌備帳戶|玉山帳戶""), REGEXMATCH(C8055, ""薪資"")), ""分潤支出"",
  AND(REGEXMATCH(E8055, ""Ben帳戶|Elsa帳戶|Ben代墊|Ariel代墊|中信銀行共用""), REGEXMATCH(F8055, ""Ben帳戶|Elsa帳戶|Ben代墊|Ariel代墊|中信銀行共用"")), ""內部轉帳(忽略)"",
  AND(E8055&lt;&gt;"""", F8055&lt;&gt;"""", N"&amp;"OT(REGEXMATCH(C8055, ""薪資""))), ""內部轉帳(忽略)"",
  REGEXMATCH(C8055, ""薪資""), ""薪資變動(不計入)"",
  REGEXMATCH(C8055, ""押金""), ""押金往來"",
  AND(E8055&lt;&gt;"""", F8055=""""), ""真實支出"",
  AND(E8055="""", F8055&lt;&gt;""""), ""真實收入"",
  TRUE, ""其他""
)"),"其他")</f>
        <v>其他</v>
      </c>
      <c r="K8055" s="270" t="str">
        <f t="shared" si="2"/>
        <v/>
      </c>
      <c r="L8055">
        <f t="shared" si="3"/>
        <v>0</v>
      </c>
    </row>
    <row r="8056">
      <c r="A8056" s="107"/>
      <c r="D8056" s="270"/>
      <c r="H8056" s="106" t="str">
        <f t="shared" si="1"/>
        <v/>
      </c>
      <c r="J8056" t="str">
        <f>IFERROR(__xludf.DUMMYFUNCTION("IFS(
  AND(REGEXMATCH(E8056, ""台銀籌備帳戶|玉山帳戶""), REGEXMATCH(C8056, ""薪資"")), ""分潤支出"",
  AND(REGEXMATCH(E8056, ""Ben帳戶|Elsa帳戶|Ben代墊|Ariel代墊|中信銀行共用""), REGEXMATCH(F8056, ""Ben帳戶|Elsa帳戶|Ben代墊|Ariel代墊|中信銀行共用"")), ""內部轉帳(忽略)"",
  AND(E8056&lt;&gt;"""", F8056&lt;&gt;"""", N"&amp;"OT(REGEXMATCH(C8056, ""薪資""))), ""內部轉帳(忽略)"",
  REGEXMATCH(C8056, ""薪資""), ""薪資變動(不計入)"",
  REGEXMATCH(C8056, ""押金""), ""押金往來"",
  AND(E8056&lt;&gt;"""", F8056=""""), ""真實支出"",
  AND(E8056="""", F8056&lt;&gt;""""), ""真實收入"",
  TRUE, ""其他""
)"),"其他")</f>
        <v>其他</v>
      </c>
      <c r="K8056" s="270" t="str">
        <f t="shared" si="2"/>
        <v/>
      </c>
      <c r="L8056">
        <f t="shared" si="3"/>
        <v>0</v>
      </c>
    </row>
    <row r="8057">
      <c r="A8057" s="107"/>
      <c r="D8057" s="270"/>
      <c r="H8057" s="106" t="str">
        <f t="shared" si="1"/>
        <v/>
      </c>
      <c r="J8057" t="str">
        <f>IFERROR(__xludf.DUMMYFUNCTION("IFS(
  AND(REGEXMATCH(E8057, ""台銀籌備帳戶|玉山帳戶""), REGEXMATCH(C8057, ""薪資"")), ""分潤支出"",
  AND(REGEXMATCH(E8057, ""Ben帳戶|Elsa帳戶|Ben代墊|Ariel代墊|中信銀行共用""), REGEXMATCH(F8057, ""Ben帳戶|Elsa帳戶|Ben代墊|Ariel代墊|中信銀行共用"")), ""內部轉帳(忽略)"",
  AND(E8057&lt;&gt;"""", F8057&lt;&gt;"""", N"&amp;"OT(REGEXMATCH(C8057, ""薪資""))), ""內部轉帳(忽略)"",
  REGEXMATCH(C8057, ""薪資""), ""薪資變動(不計入)"",
  REGEXMATCH(C8057, ""押金""), ""押金往來"",
  AND(E8057&lt;&gt;"""", F8057=""""), ""真實支出"",
  AND(E8057="""", F8057&lt;&gt;""""), ""真實收入"",
  TRUE, ""其他""
)"),"其他")</f>
        <v>其他</v>
      </c>
      <c r="K8057" s="270" t="str">
        <f t="shared" si="2"/>
        <v/>
      </c>
      <c r="L8057">
        <f t="shared" si="3"/>
        <v>0</v>
      </c>
    </row>
    <row r="8058">
      <c r="A8058" s="107"/>
      <c r="D8058" s="270"/>
      <c r="H8058" s="106" t="str">
        <f t="shared" si="1"/>
        <v/>
      </c>
      <c r="J8058" t="str">
        <f>IFERROR(__xludf.DUMMYFUNCTION("IFS(
  AND(REGEXMATCH(E8058, ""台銀籌備帳戶|玉山帳戶""), REGEXMATCH(C8058, ""薪資"")), ""分潤支出"",
  AND(REGEXMATCH(E8058, ""Ben帳戶|Elsa帳戶|Ben代墊|Ariel代墊|中信銀行共用""), REGEXMATCH(F8058, ""Ben帳戶|Elsa帳戶|Ben代墊|Ariel代墊|中信銀行共用"")), ""內部轉帳(忽略)"",
  AND(E8058&lt;&gt;"""", F8058&lt;&gt;"""", N"&amp;"OT(REGEXMATCH(C8058, ""薪資""))), ""內部轉帳(忽略)"",
  REGEXMATCH(C8058, ""薪資""), ""薪資變動(不計入)"",
  REGEXMATCH(C8058, ""押金""), ""押金往來"",
  AND(E8058&lt;&gt;"""", F8058=""""), ""真實支出"",
  AND(E8058="""", F8058&lt;&gt;""""), ""真實收入"",
  TRUE, ""其他""
)"),"其他")</f>
        <v>其他</v>
      </c>
      <c r="K8058" s="270" t="str">
        <f t="shared" si="2"/>
        <v/>
      </c>
      <c r="L8058">
        <f t="shared" si="3"/>
        <v>0</v>
      </c>
    </row>
    <row r="8059">
      <c r="A8059" s="107"/>
      <c r="D8059" s="270"/>
      <c r="H8059" s="106" t="str">
        <f t="shared" si="1"/>
        <v/>
      </c>
      <c r="J8059" t="str">
        <f>IFERROR(__xludf.DUMMYFUNCTION("IFS(
  AND(REGEXMATCH(E8059, ""台銀籌備帳戶|玉山帳戶""), REGEXMATCH(C8059, ""薪資"")), ""分潤支出"",
  AND(REGEXMATCH(E8059, ""Ben帳戶|Elsa帳戶|Ben代墊|Ariel代墊|中信銀行共用""), REGEXMATCH(F8059, ""Ben帳戶|Elsa帳戶|Ben代墊|Ariel代墊|中信銀行共用"")), ""內部轉帳(忽略)"",
  AND(E8059&lt;&gt;"""", F8059&lt;&gt;"""", N"&amp;"OT(REGEXMATCH(C8059, ""薪資""))), ""內部轉帳(忽略)"",
  REGEXMATCH(C8059, ""薪資""), ""薪資變動(不計入)"",
  REGEXMATCH(C8059, ""押金""), ""押金往來"",
  AND(E8059&lt;&gt;"""", F8059=""""), ""真實支出"",
  AND(E8059="""", F8059&lt;&gt;""""), ""真實收入"",
  TRUE, ""其他""
)"),"其他")</f>
        <v>其他</v>
      </c>
      <c r="K8059" s="270" t="str">
        <f t="shared" si="2"/>
        <v/>
      </c>
      <c r="L8059">
        <f t="shared" si="3"/>
        <v>0</v>
      </c>
    </row>
    <row r="8060">
      <c r="A8060" s="107"/>
      <c r="D8060" s="270"/>
      <c r="H8060" s="106" t="str">
        <f t="shared" si="1"/>
        <v/>
      </c>
      <c r="J8060" t="str">
        <f>IFERROR(__xludf.DUMMYFUNCTION("IFS(
  AND(REGEXMATCH(E8060, ""台銀籌備帳戶|玉山帳戶""), REGEXMATCH(C8060, ""薪資"")), ""分潤支出"",
  AND(REGEXMATCH(E8060, ""Ben帳戶|Elsa帳戶|Ben代墊|Ariel代墊|中信銀行共用""), REGEXMATCH(F8060, ""Ben帳戶|Elsa帳戶|Ben代墊|Ariel代墊|中信銀行共用"")), ""內部轉帳(忽略)"",
  AND(E8060&lt;&gt;"""", F8060&lt;&gt;"""", N"&amp;"OT(REGEXMATCH(C8060, ""薪資""))), ""內部轉帳(忽略)"",
  REGEXMATCH(C8060, ""薪資""), ""薪資變動(不計入)"",
  REGEXMATCH(C8060, ""押金""), ""押金往來"",
  AND(E8060&lt;&gt;"""", F8060=""""), ""真實支出"",
  AND(E8060="""", F8060&lt;&gt;""""), ""真實收入"",
  TRUE, ""其他""
)"),"其他")</f>
        <v>其他</v>
      </c>
      <c r="K8060" s="270" t="str">
        <f t="shared" si="2"/>
        <v/>
      </c>
      <c r="L8060">
        <f t="shared" si="3"/>
        <v>0</v>
      </c>
    </row>
    <row r="8061">
      <c r="A8061" s="107"/>
      <c r="D8061" s="270"/>
      <c r="H8061" s="106" t="str">
        <f t="shared" si="1"/>
        <v/>
      </c>
      <c r="J8061" t="str">
        <f>IFERROR(__xludf.DUMMYFUNCTION("IFS(
  AND(REGEXMATCH(E8061, ""台銀籌備帳戶|玉山帳戶""), REGEXMATCH(C8061, ""薪資"")), ""分潤支出"",
  AND(REGEXMATCH(E8061, ""Ben帳戶|Elsa帳戶|Ben代墊|Ariel代墊|中信銀行共用""), REGEXMATCH(F8061, ""Ben帳戶|Elsa帳戶|Ben代墊|Ariel代墊|中信銀行共用"")), ""內部轉帳(忽略)"",
  AND(E8061&lt;&gt;"""", F8061&lt;&gt;"""", N"&amp;"OT(REGEXMATCH(C8061, ""薪資""))), ""內部轉帳(忽略)"",
  REGEXMATCH(C8061, ""薪資""), ""薪資變動(不計入)"",
  REGEXMATCH(C8061, ""押金""), ""押金往來"",
  AND(E8061&lt;&gt;"""", F8061=""""), ""真實支出"",
  AND(E8061="""", F8061&lt;&gt;""""), ""真實收入"",
  TRUE, ""其他""
)"),"其他")</f>
        <v>其他</v>
      </c>
      <c r="K8061" s="270" t="str">
        <f t="shared" si="2"/>
        <v/>
      </c>
      <c r="L8061">
        <f t="shared" si="3"/>
        <v>0</v>
      </c>
    </row>
    <row r="8062">
      <c r="A8062" s="107"/>
      <c r="D8062" s="270"/>
      <c r="H8062" s="106" t="str">
        <f t="shared" si="1"/>
        <v/>
      </c>
      <c r="J8062" t="str">
        <f>IFERROR(__xludf.DUMMYFUNCTION("IFS(
  AND(REGEXMATCH(E8062, ""台銀籌備帳戶|玉山帳戶""), REGEXMATCH(C8062, ""薪資"")), ""分潤支出"",
  AND(REGEXMATCH(E8062, ""Ben帳戶|Elsa帳戶|Ben代墊|Ariel代墊|中信銀行共用""), REGEXMATCH(F8062, ""Ben帳戶|Elsa帳戶|Ben代墊|Ariel代墊|中信銀行共用"")), ""內部轉帳(忽略)"",
  AND(E8062&lt;&gt;"""", F8062&lt;&gt;"""", N"&amp;"OT(REGEXMATCH(C8062, ""薪資""))), ""內部轉帳(忽略)"",
  REGEXMATCH(C8062, ""薪資""), ""薪資變動(不計入)"",
  REGEXMATCH(C8062, ""押金""), ""押金往來"",
  AND(E8062&lt;&gt;"""", F8062=""""), ""真實支出"",
  AND(E8062="""", F8062&lt;&gt;""""), ""真實收入"",
  TRUE, ""其他""
)"),"其他")</f>
        <v>其他</v>
      </c>
      <c r="K8062" s="270" t="str">
        <f t="shared" si="2"/>
        <v/>
      </c>
      <c r="L8062">
        <f t="shared" si="3"/>
        <v>0</v>
      </c>
    </row>
    <row r="8063">
      <c r="A8063" s="107"/>
      <c r="D8063" s="270"/>
      <c r="H8063" s="106" t="str">
        <f t="shared" si="1"/>
        <v/>
      </c>
      <c r="J8063" t="str">
        <f>IFERROR(__xludf.DUMMYFUNCTION("IFS(
  AND(REGEXMATCH(E8063, ""台銀籌備帳戶|玉山帳戶""), REGEXMATCH(C8063, ""薪資"")), ""分潤支出"",
  AND(REGEXMATCH(E8063, ""Ben帳戶|Elsa帳戶|Ben代墊|Ariel代墊|中信銀行共用""), REGEXMATCH(F8063, ""Ben帳戶|Elsa帳戶|Ben代墊|Ariel代墊|中信銀行共用"")), ""內部轉帳(忽略)"",
  AND(E8063&lt;&gt;"""", F8063&lt;&gt;"""", N"&amp;"OT(REGEXMATCH(C8063, ""薪資""))), ""內部轉帳(忽略)"",
  REGEXMATCH(C8063, ""薪資""), ""薪資變動(不計入)"",
  REGEXMATCH(C8063, ""押金""), ""押金往來"",
  AND(E8063&lt;&gt;"""", F8063=""""), ""真實支出"",
  AND(E8063="""", F8063&lt;&gt;""""), ""真實收入"",
  TRUE, ""其他""
)"),"其他")</f>
        <v>其他</v>
      </c>
      <c r="K8063" s="270" t="str">
        <f t="shared" si="2"/>
        <v/>
      </c>
      <c r="L8063">
        <f t="shared" si="3"/>
        <v>0</v>
      </c>
    </row>
    <row r="8064">
      <c r="A8064" s="107"/>
      <c r="D8064" s="270"/>
      <c r="H8064" s="106" t="str">
        <f t="shared" si="1"/>
        <v/>
      </c>
      <c r="J8064" t="str">
        <f>IFERROR(__xludf.DUMMYFUNCTION("IFS(
  AND(REGEXMATCH(E8064, ""台銀籌備帳戶|玉山帳戶""), REGEXMATCH(C8064, ""薪資"")), ""分潤支出"",
  AND(REGEXMATCH(E8064, ""Ben帳戶|Elsa帳戶|Ben代墊|Ariel代墊|中信銀行共用""), REGEXMATCH(F8064, ""Ben帳戶|Elsa帳戶|Ben代墊|Ariel代墊|中信銀行共用"")), ""內部轉帳(忽略)"",
  AND(E8064&lt;&gt;"""", F8064&lt;&gt;"""", N"&amp;"OT(REGEXMATCH(C8064, ""薪資""))), ""內部轉帳(忽略)"",
  REGEXMATCH(C8064, ""薪資""), ""薪資變動(不計入)"",
  REGEXMATCH(C8064, ""押金""), ""押金往來"",
  AND(E8064&lt;&gt;"""", F8064=""""), ""真實支出"",
  AND(E8064="""", F8064&lt;&gt;""""), ""真實收入"",
  TRUE, ""其他""
)"),"其他")</f>
        <v>其他</v>
      </c>
      <c r="K8064" s="270" t="str">
        <f t="shared" si="2"/>
        <v/>
      </c>
      <c r="L8064">
        <f t="shared" si="3"/>
        <v>0</v>
      </c>
    </row>
    <row r="8065">
      <c r="A8065" s="107"/>
      <c r="D8065" s="270"/>
      <c r="H8065" s="106" t="str">
        <f t="shared" si="1"/>
        <v/>
      </c>
      <c r="J8065" t="str">
        <f>IFERROR(__xludf.DUMMYFUNCTION("IFS(
  AND(REGEXMATCH(E8065, ""台銀籌備帳戶|玉山帳戶""), REGEXMATCH(C8065, ""薪資"")), ""分潤支出"",
  AND(REGEXMATCH(E8065, ""Ben帳戶|Elsa帳戶|Ben代墊|Ariel代墊|中信銀行共用""), REGEXMATCH(F8065, ""Ben帳戶|Elsa帳戶|Ben代墊|Ariel代墊|中信銀行共用"")), ""內部轉帳(忽略)"",
  AND(E8065&lt;&gt;"""", F8065&lt;&gt;"""", N"&amp;"OT(REGEXMATCH(C8065, ""薪資""))), ""內部轉帳(忽略)"",
  REGEXMATCH(C8065, ""薪資""), ""薪資變動(不計入)"",
  REGEXMATCH(C8065, ""押金""), ""押金往來"",
  AND(E8065&lt;&gt;"""", F8065=""""), ""真實支出"",
  AND(E8065="""", F8065&lt;&gt;""""), ""真實收入"",
  TRUE, ""其他""
)"),"其他")</f>
        <v>其他</v>
      </c>
      <c r="K8065" s="270" t="str">
        <f t="shared" si="2"/>
        <v/>
      </c>
      <c r="L8065">
        <f t="shared" si="3"/>
        <v>0</v>
      </c>
    </row>
    <row r="8066">
      <c r="A8066" s="107"/>
      <c r="D8066" s="270"/>
      <c r="H8066" s="106" t="str">
        <f t="shared" si="1"/>
        <v/>
      </c>
      <c r="J8066" t="str">
        <f>IFERROR(__xludf.DUMMYFUNCTION("IFS(
  AND(REGEXMATCH(E8066, ""台銀籌備帳戶|玉山帳戶""), REGEXMATCH(C8066, ""薪資"")), ""分潤支出"",
  AND(REGEXMATCH(E8066, ""Ben帳戶|Elsa帳戶|Ben代墊|Ariel代墊|中信銀行共用""), REGEXMATCH(F8066, ""Ben帳戶|Elsa帳戶|Ben代墊|Ariel代墊|中信銀行共用"")), ""內部轉帳(忽略)"",
  AND(E8066&lt;&gt;"""", F8066&lt;&gt;"""", N"&amp;"OT(REGEXMATCH(C8066, ""薪資""))), ""內部轉帳(忽略)"",
  REGEXMATCH(C8066, ""薪資""), ""薪資變動(不計入)"",
  REGEXMATCH(C8066, ""押金""), ""押金往來"",
  AND(E8066&lt;&gt;"""", F8066=""""), ""真實支出"",
  AND(E8066="""", F8066&lt;&gt;""""), ""真實收入"",
  TRUE, ""其他""
)"),"其他")</f>
        <v>其他</v>
      </c>
      <c r="K8066" s="270" t="str">
        <f t="shared" si="2"/>
        <v/>
      </c>
      <c r="L8066">
        <f t="shared" si="3"/>
        <v>0</v>
      </c>
    </row>
    <row r="8067">
      <c r="A8067" s="107"/>
      <c r="D8067" s="270"/>
      <c r="H8067" s="106" t="str">
        <f t="shared" si="1"/>
        <v/>
      </c>
      <c r="J8067" t="str">
        <f>IFERROR(__xludf.DUMMYFUNCTION("IFS(
  AND(REGEXMATCH(E8067, ""台銀籌備帳戶|玉山帳戶""), REGEXMATCH(C8067, ""薪資"")), ""分潤支出"",
  AND(REGEXMATCH(E8067, ""Ben帳戶|Elsa帳戶|Ben代墊|Ariel代墊|中信銀行共用""), REGEXMATCH(F8067, ""Ben帳戶|Elsa帳戶|Ben代墊|Ariel代墊|中信銀行共用"")), ""內部轉帳(忽略)"",
  AND(E8067&lt;&gt;"""", F8067&lt;&gt;"""", N"&amp;"OT(REGEXMATCH(C8067, ""薪資""))), ""內部轉帳(忽略)"",
  REGEXMATCH(C8067, ""薪資""), ""薪資變動(不計入)"",
  REGEXMATCH(C8067, ""押金""), ""押金往來"",
  AND(E8067&lt;&gt;"""", F8067=""""), ""真實支出"",
  AND(E8067="""", F8067&lt;&gt;""""), ""真實收入"",
  TRUE, ""其他""
)"),"其他")</f>
        <v>其他</v>
      </c>
      <c r="K8067" s="270" t="str">
        <f t="shared" si="2"/>
        <v/>
      </c>
      <c r="L8067">
        <f t="shared" si="3"/>
        <v>0</v>
      </c>
    </row>
    <row r="8068">
      <c r="A8068" s="107"/>
      <c r="D8068" s="270"/>
      <c r="H8068" s="106" t="str">
        <f t="shared" si="1"/>
        <v/>
      </c>
      <c r="J8068" t="str">
        <f>IFERROR(__xludf.DUMMYFUNCTION("IFS(
  AND(REGEXMATCH(E8068, ""台銀籌備帳戶|玉山帳戶""), REGEXMATCH(C8068, ""薪資"")), ""分潤支出"",
  AND(REGEXMATCH(E8068, ""Ben帳戶|Elsa帳戶|Ben代墊|Ariel代墊|中信銀行共用""), REGEXMATCH(F8068, ""Ben帳戶|Elsa帳戶|Ben代墊|Ariel代墊|中信銀行共用"")), ""內部轉帳(忽略)"",
  AND(E8068&lt;&gt;"""", F8068&lt;&gt;"""", N"&amp;"OT(REGEXMATCH(C8068, ""薪資""))), ""內部轉帳(忽略)"",
  REGEXMATCH(C8068, ""薪資""), ""薪資變動(不計入)"",
  REGEXMATCH(C8068, ""押金""), ""押金往來"",
  AND(E8068&lt;&gt;"""", F8068=""""), ""真實支出"",
  AND(E8068="""", F8068&lt;&gt;""""), ""真實收入"",
  TRUE, ""其他""
)"),"其他")</f>
        <v>其他</v>
      </c>
      <c r="K8068" s="270" t="str">
        <f t="shared" si="2"/>
        <v/>
      </c>
      <c r="L8068">
        <f t="shared" si="3"/>
        <v>0</v>
      </c>
    </row>
    <row r="8069">
      <c r="A8069" s="107"/>
      <c r="D8069" s="270"/>
      <c r="H8069" s="106" t="str">
        <f t="shared" si="1"/>
        <v/>
      </c>
      <c r="J8069" t="str">
        <f>IFERROR(__xludf.DUMMYFUNCTION("IFS(
  AND(REGEXMATCH(E8069, ""台銀籌備帳戶|玉山帳戶""), REGEXMATCH(C8069, ""薪資"")), ""分潤支出"",
  AND(REGEXMATCH(E8069, ""Ben帳戶|Elsa帳戶|Ben代墊|Ariel代墊|中信銀行共用""), REGEXMATCH(F8069, ""Ben帳戶|Elsa帳戶|Ben代墊|Ariel代墊|中信銀行共用"")), ""內部轉帳(忽略)"",
  AND(E8069&lt;&gt;"""", F8069&lt;&gt;"""", N"&amp;"OT(REGEXMATCH(C8069, ""薪資""))), ""內部轉帳(忽略)"",
  REGEXMATCH(C8069, ""薪資""), ""薪資變動(不計入)"",
  REGEXMATCH(C8069, ""押金""), ""押金往來"",
  AND(E8069&lt;&gt;"""", F8069=""""), ""真實支出"",
  AND(E8069="""", F8069&lt;&gt;""""), ""真實收入"",
  TRUE, ""其他""
)"),"其他")</f>
        <v>其他</v>
      </c>
      <c r="K8069" s="270" t="str">
        <f t="shared" si="2"/>
        <v/>
      </c>
      <c r="L8069">
        <f t="shared" si="3"/>
        <v>0</v>
      </c>
    </row>
    <row r="8070">
      <c r="A8070" s="107"/>
      <c r="D8070" s="270"/>
      <c r="H8070" s="106" t="str">
        <f t="shared" si="1"/>
        <v/>
      </c>
      <c r="J8070" t="str">
        <f>IFERROR(__xludf.DUMMYFUNCTION("IFS(
  AND(REGEXMATCH(E8070, ""台銀籌備帳戶|玉山帳戶""), REGEXMATCH(C8070, ""薪資"")), ""分潤支出"",
  AND(REGEXMATCH(E8070, ""Ben帳戶|Elsa帳戶|Ben代墊|Ariel代墊|中信銀行共用""), REGEXMATCH(F8070, ""Ben帳戶|Elsa帳戶|Ben代墊|Ariel代墊|中信銀行共用"")), ""內部轉帳(忽略)"",
  AND(E8070&lt;&gt;"""", F8070&lt;&gt;"""", N"&amp;"OT(REGEXMATCH(C8070, ""薪資""))), ""內部轉帳(忽略)"",
  REGEXMATCH(C8070, ""薪資""), ""薪資變動(不計入)"",
  REGEXMATCH(C8070, ""押金""), ""押金往來"",
  AND(E8070&lt;&gt;"""", F8070=""""), ""真實支出"",
  AND(E8070="""", F8070&lt;&gt;""""), ""真實收入"",
  TRUE, ""其他""
)"),"其他")</f>
        <v>其他</v>
      </c>
      <c r="K8070" s="270" t="str">
        <f t="shared" si="2"/>
        <v/>
      </c>
      <c r="L8070">
        <f t="shared" si="3"/>
        <v>0</v>
      </c>
    </row>
    <row r="8071">
      <c r="A8071" s="107"/>
      <c r="D8071" s="270"/>
      <c r="H8071" s="106" t="str">
        <f t="shared" si="1"/>
        <v/>
      </c>
      <c r="J8071" t="str">
        <f>IFERROR(__xludf.DUMMYFUNCTION("IFS(
  AND(REGEXMATCH(E8071, ""台銀籌備帳戶|玉山帳戶""), REGEXMATCH(C8071, ""薪資"")), ""分潤支出"",
  AND(REGEXMATCH(E8071, ""Ben帳戶|Elsa帳戶|Ben代墊|Ariel代墊|中信銀行共用""), REGEXMATCH(F8071, ""Ben帳戶|Elsa帳戶|Ben代墊|Ariel代墊|中信銀行共用"")), ""內部轉帳(忽略)"",
  AND(E8071&lt;&gt;"""", F8071&lt;&gt;"""", N"&amp;"OT(REGEXMATCH(C8071, ""薪資""))), ""內部轉帳(忽略)"",
  REGEXMATCH(C8071, ""薪資""), ""薪資變動(不計入)"",
  REGEXMATCH(C8071, ""押金""), ""押金往來"",
  AND(E8071&lt;&gt;"""", F8071=""""), ""真實支出"",
  AND(E8071="""", F8071&lt;&gt;""""), ""真實收入"",
  TRUE, ""其他""
)"),"其他")</f>
        <v>其他</v>
      </c>
      <c r="K8071" s="270" t="str">
        <f t="shared" si="2"/>
        <v/>
      </c>
      <c r="L8071">
        <f t="shared" si="3"/>
        <v>0</v>
      </c>
    </row>
    <row r="8072">
      <c r="A8072" s="107"/>
      <c r="D8072" s="270"/>
      <c r="H8072" s="106" t="str">
        <f t="shared" si="1"/>
        <v/>
      </c>
      <c r="J8072" t="str">
        <f>IFERROR(__xludf.DUMMYFUNCTION("IFS(
  AND(REGEXMATCH(E8072, ""台銀籌備帳戶|玉山帳戶""), REGEXMATCH(C8072, ""薪資"")), ""分潤支出"",
  AND(REGEXMATCH(E8072, ""Ben帳戶|Elsa帳戶|Ben代墊|Ariel代墊|中信銀行共用""), REGEXMATCH(F8072, ""Ben帳戶|Elsa帳戶|Ben代墊|Ariel代墊|中信銀行共用"")), ""內部轉帳(忽略)"",
  AND(E8072&lt;&gt;"""", F8072&lt;&gt;"""", N"&amp;"OT(REGEXMATCH(C8072, ""薪資""))), ""內部轉帳(忽略)"",
  REGEXMATCH(C8072, ""薪資""), ""薪資變動(不計入)"",
  REGEXMATCH(C8072, ""押金""), ""押金往來"",
  AND(E8072&lt;&gt;"""", F8072=""""), ""真實支出"",
  AND(E8072="""", F8072&lt;&gt;""""), ""真實收入"",
  TRUE, ""其他""
)"),"其他")</f>
        <v>其他</v>
      </c>
      <c r="K8072" s="270" t="str">
        <f t="shared" si="2"/>
        <v/>
      </c>
      <c r="L8072">
        <f t="shared" si="3"/>
        <v>0</v>
      </c>
    </row>
    <row r="8073">
      <c r="A8073" s="107"/>
      <c r="D8073" s="270"/>
      <c r="H8073" s="106" t="str">
        <f t="shared" si="1"/>
        <v/>
      </c>
      <c r="J8073" t="str">
        <f>IFERROR(__xludf.DUMMYFUNCTION("IFS(
  AND(REGEXMATCH(E8073, ""台銀籌備帳戶|玉山帳戶""), REGEXMATCH(C8073, ""薪資"")), ""分潤支出"",
  AND(REGEXMATCH(E8073, ""Ben帳戶|Elsa帳戶|Ben代墊|Ariel代墊|中信銀行共用""), REGEXMATCH(F8073, ""Ben帳戶|Elsa帳戶|Ben代墊|Ariel代墊|中信銀行共用"")), ""內部轉帳(忽略)"",
  AND(E8073&lt;&gt;"""", F8073&lt;&gt;"""", N"&amp;"OT(REGEXMATCH(C8073, ""薪資""))), ""內部轉帳(忽略)"",
  REGEXMATCH(C8073, ""薪資""), ""薪資變動(不計入)"",
  REGEXMATCH(C8073, ""押金""), ""押金往來"",
  AND(E8073&lt;&gt;"""", F8073=""""), ""真實支出"",
  AND(E8073="""", F8073&lt;&gt;""""), ""真實收入"",
  TRUE, ""其他""
)"),"其他")</f>
        <v>其他</v>
      </c>
      <c r="K8073" s="270" t="str">
        <f t="shared" si="2"/>
        <v/>
      </c>
      <c r="L8073">
        <f t="shared" si="3"/>
        <v>0</v>
      </c>
    </row>
    <row r="8074">
      <c r="A8074" s="107"/>
      <c r="D8074" s="270"/>
      <c r="H8074" s="106" t="str">
        <f t="shared" si="1"/>
        <v/>
      </c>
      <c r="J8074" t="str">
        <f>IFERROR(__xludf.DUMMYFUNCTION("IFS(
  AND(REGEXMATCH(E8074, ""台銀籌備帳戶|玉山帳戶""), REGEXMATCH(C8074, ""薪資"")), ""分潤支出"",
  AND(REGEXMATCH(E8074, ""Ben帳戶|Elsa帳戶|Ben代墊|Ariel代墊|中信銀行共用""), REGEXMATCH(F8074, ""Ben帳戶|Elsa帳戶|Ben代墊|Ariel代墊|中信銀行共用"")), ""內部轉帳(忽略)"",
  AND(E8074&lt;&gt;"""", F8074&lt;&gt;"""", N"&amp;"OT(REGEXMATCH(C8074, ""薪資""))), ""內部轉帳(忽略)"",
  REGEXMATCH(C8074, ""薪資""), ""薪資變動(不計入)"",
  REGEXMATCH(C8074, ""押金""), ""押金往來"",
  AND(E8074&lt;&gt;"""", F8074=""""), ""真實支出"",
  AND(E8074="""", F8074&lt;&gt;""""), ""真實收入"",
  TRUE, ""其他""
)"),"其他")</f>
        <v>其他</v>
      </c>
      <c r="K8074" s="270" t="str">
        <f t="shared" si="2"/>
        <v/>
      </c>
      <c r="L8074">
        <f t="shared" si="3"/>
        <v>0</v>
      </c>
    </row>
    <row r="8075">
      <c r="A8075" s="107"/>
      <c r="D8075" s="270"/>
      <c r="H8075" s="106" t="str">
        <f t="shared" si="1"/>
        <v/>
      </c>
      <c r="J8075" t="str">
        <f>IFERROR(__xludf.DUMMYFUNCTION("IFS(
  AND(REGEXMATCH(E8075, ""台銀籌備帳戶|玉山帳戶""), REGEXMATCH(C8075, ""薪資"")), ""分潤支出"",
  AND(REGEXMATCH(E8075, ""Ben帳戶|Elsa帳戶|Ben代墊|Ariel代墊|中信銀行共用""), REGEXMATCH(F8075, ""Ben帳戶|Elsa帳戶|Ben代墊|Ariel代墊|中信銀行共用"")), ""內部轉帳(忽略)"",
  AND(E8075&lt;&gt;"""", F8075&lt;&gt;"""", N"&amp;"OT(REGEXMATCH(C8075, ""薪資""))), ""內部轉帳(忽略)"",
  REGEXMATCH(C8075, ""薪資""), ""薪資變動(不計入)"",
  REGEXMATCH(C8075, ""押金""), ""押金往來"",
  AND(E8075&lt;&gt;"""", F8075=""""), ""真實支出"",
  AND(E8075="""", F8075&lt;&gt;""""), ""真實收入"",
  TRUE, ""其他""
)"),"其他")</f>
        <v>其他</v>
      </c>
      <c r="K8075" s="270" t="str">
        <f t="shared" si="2"/>
        <v/>
      </c>
      <c r="L8075">
        <f t="shared" si="3"/>
        <v>0</v>
      </c>
    </row>
    <row r="8076">
      <c r="A8076" s="107"/>
      <c r="D8076" s="270"/>
      <c r="H8076" s="106" t="str">
        <f t="shared" si="1"/>
        <v/>
      </c>
      <c r="J8076" t="str">
        <f>IFERROR(__xludf.DUMMYFUNCTION("IFS(
  AND(REGEXMATCH(E8076, ""台銀籌備帳戶|玉山帳戶""), REGEXMATCH(C8076, ""薪資"")), ""分潤支出"",
  AND(REGEXMATCH(E8076, ""Ben帳戶|Elsa帳戶|Ben代墊|Ariel代墊|中信銀行共用""), REGEXMATCH(F8076, ""Ben帳戶|Elsa帳戶|Ben代墊|Ariel代墊|中信銀行共用"")), ""內部轉帳(忽略)"",
  AND(E8076&lt;&gt;"""", F8076&lt;&gt;"""", N"&amp;"OT(REGEXMATCH(C8076, ""薪資""))), ""內部轉帳(忽略)"",
  REGEXMATCH(C8076, ""薪資""), ""薪資變動(不計入)"",
  REGEXMATCH(C8076, ""押金""), ""押金往來"",
  AND(E8076&lt;&gt;"""", F8076=""""), ""真實支出"",
  AND(E8076="""", F8076&lt;&gt;""""), ""真實收入"",
  TRUE, ""其他""
)"),"其他")</f>
        <v>其他</v>
      </c>
      <c r="K8076" s="270" t="str">
        <f t="shared" si="2"/>
        <v/>
      </c>
      <c r="L8076">
        <f t="shared" si="3"/>
        <v>0</v>
      </c>
    </row>
    <row r="8077">
      <c r="A8077" s="107"/>
      <c r="D8077" s="270"/>
      <c r="H8077" s="106" t="str">
        <f t="shared" si="1"/>
        <v/>
      </c>
      <c r="J8077" t="str">
        <f>IFERROR(__xludf.DUMMYFUNCTION("IFS(
  AND(REGEXMATCH(E8077, ""台銀籌備帳戶|玉山帳戶""), REGEXMATCH(C8077, ""薪資"")), ""分潤支出"",
  AND(REGEXMATCH(E8077, ""Ben帳戶|Elsa帳戶|Ben代墊|Ariel代墊|中信銀行共用""), REGEXMATCH(F8077, ""Ben帳戶|Elsa帳戶|Ben代墊|Ariel代墊|中信銀行共用"")), ""內部轉帳(忽略)"",
  AND(E8077&lt;&gt;"""", F8077&lt;&gt;"""", N"&amp;"OT(REGEXMATCH(C8077, ""薪資""))), ""內部轉帳(忽略)"",
  REGEXMATCH(C8077, ""薪資""), ""薪資變動(不計入)"",
  REGEXMATCH(C8077, ""押金""), ""押金往來"",
  AND(E8077&lt;&gt;"""", F8077=""""), ""真實支出"",
  AND(E8077="""", F8077&lt;&gt;""""), ""真實收入"",
  TRUE, ""其他""
)"),"其他")</f>
        <v>其他</v>
      </c>
      <c r="K8077" s="270" t="str">
        <f t="shared" si="2"/>
        <v/>
      </c>
      <c r="L8077">
        <f t="shared" si="3"/>
        <v>0</v>
      </c>
    </row>
    <row r="8078">
      <c r="A8078" s="107"/>
      <c r="D8078" s="270"/>
      <c r="H8078" s="106" t="str">
        <f t="shared" si="1"/>
        <v/>
      </c>
      <c r="J8078" t="str">
        <f>IFERROR(__xludf.DUMMYFUNCTION("IFS(
  AND(REGEXMATCH(E8078, ""台銀籌備帳戶|玉山帳戶""), REGEXMATCH(C8078, ""薪資"")), ""分潤支出"",
  AND(REGEXMATCH(E8078, ""Ben帳戶|Elsa帳戶|Ben代墊|Ariel代墊|中信銀行共用""), REGEXMATCH(F8078, ""Ben帳戶|Elsa帳戶|Ben代墊|Ariel代墊|中信銀行共用"")), ""內部轉帳(忽略)"",
  AND(E8078&lt;&gt;"""", F8078&lt;&gt;"""", N"&amp;"OT(REGEXMATCH(C8078, ""薪資""))), ""內部轉帳(忽略)"",
  REGEXMATCH(C8078, ""薪資""), ""薪資變動(不計入)"",
  REGEXMATCH(C8078, ""押金""), ""押金往來"",
  AND(E8078&lt;&gt;"""", F8078=""""), ""真實支出"",
  AND(E8078="""", F8078&lt;&gt;""""), ""真實收入"",
  TRUE, ""其他""
)"),"其他")</f>
        <v>其他</v>
      </c>
      <c r="K8078" s="270" t="str">
        <f t="shared" si="2"/>
        <v/>
      </c>
      <c r="L8078">
        <f t="shared" si="3"/>
        <v>0</v>
      </c>
    </row>
    <row r="8079">
      <c r="A8079" s="107"/>
      <c r="D8079" s="270"/>
      <c r="H8079" s="106" t="str">
        <f t="shared" si="1"/>
        <v/>
      </c>
      <c r="J8079" t="str">
        <f>IFERROR(__xludf.DUMMYFUNCTION("IFS(
  AND(REGEXMATCH(E8079, ""台銀籌備帳戶|玉山帳戶""), REGEXMATCH(C8079, ""薪資"")), ""分潤支出"",
  AND(REGEXMATCH(E8079, ""Ben帳戶|Elsa帳戶|Ben代墊|Ariel代墊|中信銀行共用""), REGEXMATCH(F8079, ""Ben帳戶|Elsa帳戶|Ben代墊|Ariel代墊|中信銀行共用"")), ""內部轉帳(忽略)"",
  AND(E8079&lt;&gt;"""", F8079&lt;&gt;"""", N"&amp;"OT(REGEXMATCH(C8079, ""薪資""))), ""內部轉帳(忽略)"",
  REGEXMATCH(C8079, ""薪資""), ""薪資變動(不計入)"",
  REGEXMATCH(C8079, ""押金""), ""押金往來"",
  AND(E8079&lt;&gt;"""", F8079=""""), ""真實支出"",
  AND(E8079="""", F8079&lt;&gt;""""), ""真實收入"",
  TRUE, ""其他""
)"),"其他")</f>
        <v>其他</v>
      </c>
      <c r="K8079" s="270" t="str">
        <f t="shared" si="2"/>
        <v/>
      </c>
      <c r="L8079">
        <f t="shared" si="3"/>
        <v>0</v>
      </c>
    </row>
    <row r="8080">
      <c r="A8080" s="107"/>
      <c r="D8080" s="270"/>
      <c r="H8080" s="106" t="str">
        <f t="shared" si="1"/>
        <v/>
      </c>
      <c r="J8080" t="str">
        <f>IFERROR(__xludf.DUMMYFUNCTION("IFS(
  AND(REGEXMATCH(E8080, ""台銀籌備帳戶|玉山帳戶""), REGEXMATCH(C8080, ""薪資"")), ""分潤支出"",
  AND(REGEXMATCH(E8080, ""Ben帳戶|Elsa帳戶|Ben代墊|Ariel代墊|中信銀行共用""), REGEXMATCH(F8080, ""Ben帳戶|Elsa帳戶|Ben代墊|Ariel代墊|中信銀行共用"")), ""內部轉帳(忽略)"",
  AND(E8080&lt;&gt;"""", F8080&lt;&gt;"""", N"&amp;"OT(REGEXMATCH(C8080, ""薪資""))), ""內部轉帳(忽略)"",
  REGEXMATCH(C8080, ""薪資""), ""薪資變動(不計入)"",
  REGEXMATCH(C8080, ""押金""), ""押金往來"",
  AND(E8080&lt;&gt;"""", F8080=""""), ""真實支出"",
  AND(E8080="""", F8080&lt;&gt;""""), ""真實收入"",
  TRUE, ""其他""
)"),"其他")</f>
        <v>其他</v>
      </c>
      <c r="K8080" s="270" t="str">
        <f t="shared" si="2"/>
        <v/>
      </c>
      <c r="L8080">
        <f t="shared" si="3"/>
        <v>0</v>
      </c>
    </row>
    <row r="8081">
      <c r="A8081" s="107"/>
      <c r="D8081" s="270"/>
      <c r="H8081" s="106" t="str">
        <f t="shared" si="1"/>
        <v/>
      </c>
      <c r="J8081" t="str">
        <f>IFERROR(__xludf.DUMMYFUNCTION("IFS(
  AND(REGEXMATCH(E8081, ""台銀籌備帳戶|玉山帳戶""), REGEXMATCH(C8081, ""薪資"")), ""分潤支出"",
  AND(REGEXMATCH(E8081, ""Ben帳戶|Elsa帳戶|Ben代墊|Ariel代墊|中信銀行共用""), REGEXMATCH(F8081, ""Ben帳戶|Elsa帳戶|Ben代墊|Ariel代墊|中信銀行共用"")), ""內部轉帳(忽略)"",
  AND(E8081&lt;&gt;"""", F8081&lt;&gt;"""", N"&amp;"OT(REGEXMATCH(C8081, ""薪資""))), ""內部轉帳(忽略)"",
  REGEXMATCH(C8081, ""薪資""), ""薪資變動(不計入)"",
  REGEXMATCH(C8081, ""押金""), ""押金往來"",
  AND(E8081&lt;&gt;"""", F8081=""""), ""真實支出"",
  AND(E8081="""", F8081&lt;&gt;""""), ""真實收入"",
  TRUE, ""其他""
)"),"其他")</f>
        <v>其他</v>
      </c>
      <c r="K8081" s="270" t="str">
        <f t="shared" si="2"/>
        <v/>
      </c>
      <c r="L8081">
        <f t="shared" si="3"/>
        <v>0</v>
      </c>
    </row>
    <row r="8082">
      <c r="A8082" s="107"/>
      <c r="D8082" s="270"/>
      <c r="H8082" s="106" t="str">
        <f t="shared" si="1"/>
        <v/>
      </c>
      <c r="J8082" t="str">
        <f>IFERROR(__xludf.DUMMYFUNCTION("IFS(
  AND(REGEXMATCH(E8082, ""台銀籌備帳戶|玉山帳戶""), REGEXMATCH(C8082, ""薪資"")), ""分潤支出"",
  AND(REGEXMATCH(E8082, ""Ben帳戶|Elsa帳戶|Ben代墊|Ariel代墊|中信銀行共用""), REGEXMATCH(F8082, ""Ben帳戶|Elsa帳戶|Ben代墊|Ariel代墊|中信銀行共用"")), ""內部轉帳(忽略)"",
  AND(E8082&lt;&gt;"""", F8082&lt;&gt;"""", N"&amp;"OT(REGEXMATCH(C8082, ""薪資""))), ""內部轉帳(忽略)"",
  REGEXMATCH(C8082, ""薪資""), ""薪資變動(不計入)"",
  REGEXMATCH(C8082, ""押金""), ""押金往來"",
  AND(E8082&lt;&gt;"""", F8082=""""), ""真實支出"",
  AND(E8082="""", F8082&lt;&gt;""""), ""真實收入"",
  TRUE, ""其他""
)"),"其他")</f>
        <v>其他</v>
      </c>
      <c r="K8082" s="270" t="str">
        <f t="shared" si="2"/>
        <v/>
      </c>
      <c r="L8082">
        <f t="shared" si="3"/>
        <v>0</v>
      </c>
    </row>
    <row r="8083">
      <c r="A8083" s="107"/>
      <c r="D8083" s="270"/>
      <c r="H8083" s="106" t="str">
        <f t="shared" si="1"/>
        <v/>
      </c>
      <c r="J8083" t="str">
        <f>IFERROR(__xludf.DUMMYFUNCTION("IFS(
  AND(REGEXMATCH(E8083, ""台銀籌備帳戶|玉山帳戶""), REGEXMATCH(C8083, ""薪資"")), ""分潤支出"",
  AND(REGEXMATCH(E8083, ""Ben帳戶|Elsa帳戶|Ben代墊|Ariel代墊|中信銀行共用""), REGEXMATCH(F8083, ""Ben帳戶|Elsa帳戶|Ben代墊|Ariel代墊|中信銀行共用"")), ""內部轉帳(忽略)"",
  AND(E8083&lt;&gt;"""", F8083&lt;&gt;"""", N"&amp;"OT(REGEXMATCH(C8083, ""薪資""))), ""內部轉帳(忽略)"",
  REGEXMATCH(C8083, ""薪資""), ""薪資變動(不計入)"",
  REGEXMATCH(C8083, ""押金""), ""押金往來"",
  AND(E8083&lt;&gt;"""", F8083=""""), ""真實支出"",
  AND(E8083="""", F8083&lt;&gt;""""), ""真實收入"",
  TRUE, ""其他""
)"),"其他")</f>
        <v>其他</v>
      </c>
      <c r="K8083" s="270" t="str">
        <f t="shared" si="2"/>
        <v/>
      </c>
      <c r="L8083">
        <f t="shared" si="3"/>
        <v>0</v>
      </c>
    </row>
    <row r="8084">
      <c r="A8084" s="107"/>
      <c r="D8084" s="270"/>
      <c r="H8084" s="106" t="str">
        <f t="shared" si="1"/>
        <v/>
      </c>
      <c r="J8084" t="str">
        <f>IFERROR(__xludf.DUMMYFUNCTION("IFS(
  AND(REGEXMATCH(E8084, ""台銀籌備帳戶|玉山帳戶""), REGEXMATCH(C8084, ""薪資"")), ""分潤支出"",
  AND(REGEXMATCH(E8084, ""Ben帳戶|Elsa帳戶|Ben代墊|Ariel代墊|中信銀行共用""), REGEXMATCH(F8084, ""Ben帳戶|Elsa帳戶|Ben代墊|Ariel代墊|中信銀行共用"")), ""內部轉帳(忽略)"",
  AND(E8084&lt;&gt;"""", F8084&lt;&gt;"""", N"&amp;"OT(REGEXMATCH(C8084, ""薪資""))), ""內部轉帳(忽略)"",
  REGEXMATCH(C8084, ""薪資""), ""薪資變動(不計入)"",
  REGEXMATCH(C8084, ""押金""), ""押金往來"",
  AND(E8084&lt;&gt;"""", F8084=""""), ""真實支出"",
  AND(E8084="""", F8084&lt;&gt;""""), ""真實收入"",
  TRUE, ""其他""
)"),"其他")</f>
        <v>其他</v>
      </c>
      <c r="K8084" s="270" t="str">
        <f t="shared" si="2"/>
        <v/>
      </c>
      <c r="L8084">
        <f t="shared" si="3"/>
        <v>0</v>
      </c>
    </row>
    <row r="8085">
      <c r="A8085" s="107"/>
      <c r="D8085" s="270"/>
      <c r="H8085" s="106" t="str">
        <f t="shared" si="1"/>
        <v/>
      </c>
      <c r="J8085" t="str">
        <f>IFERROR(__xludf.DUMMYFUNCTION("IFS(
  AND(REGEXMATCH(E8085, ""台銀籌備帳戶|玉山帳戶""), REGEXMATCH(C8085, ""薪資"")), ""分潤支出"",
  AND(REGEXMATCH(E8085, ""Ben帳戶|Elsa帳戶|Ben代墊|Ariel代墊|中信銀行共用""), REGEXMATCH(F8085, ""Ben帳戶|Elsa帳戶|Ben代墊|Ariel代墊|中信銀行共用"")), ""內部轉帳(忽略)"",
  AND(E8085&lt;&gt;"""", F8085&lt;&gt;"""", N"&amp;"OT(REGEXMATCH(C8085, ""薪資""))), ""內部轉帳(忽略)"",
  REGEXMATCH(C8085, ""薪資""), ""薪資變動(不計入)"",
  REGEXMATCH(C8085, ""押金""), ""押金往來"",
  AND(E8085&lt;&gt;"""", F8085=""""), ""真實支出"",
  AND(E8085="""", F8085&lt;&gt;""""), ""真實收入"",
  TRUE, ""其他""
)"),"其他")</f>
        <v>其他</v>
      </c>
      <c r="K8085" s="270" t="str">
        <f t="shared" si="2"/>
        <v/>
      </c>
      <c r="L8085">
        <f t="shared" si="3"/>
        <v>0</v>
      </c>
    </row>
    <row r="8086">
      <c r="A8086" s="107"/>
      <c r="D8086" s="270"/>
      <c r="H8086" s="106" t="str">
        <f t="shared" si="1"/>
        <v/>
      </c>
      <c r="J8086" t="str">
        <f>IFERROR(__xludf.DUMMYFUNCTION("IFS(
  AND(REGEXMATCH(E8086, ""台銀籌備帳戶|玉山帳戶""), REGEXMATCH(C8086, ""薪資"")), ""分潤支出"",
  AND(REGEXMATCH(E8086, ""Ben帳戶|Elsa帳戶|Ben代墊|Ariel代墊|中信銀行共用""), REGEXMATCH(F8086, ""Ben帳戶|Elsa帳戶|Ben代墊|Ariel代墊|中信銀行共用"")), ""內部轉帳(忽略)"",
  AND(E8086&lt;&gt;"""", F8086&lt;&gt;"""", N"&amp;"OT(REGEXMATCH(C8086, ""薪資""))), ""內部轉帳(忽略)"",
  REGEXMATCH(C8086, ""薪資""), ""薪資變動(不計入)"",
  REGEXMATCH(C8086, ""押金""), ""押金往來"",
  AND(E8086&lt;&gt;"""", F8086=""""), ""真實支出"",
  AND(E8086="""", F8086&lt;&gt;""""), ""真實收入"",
  TRUE, ""其他""
)"),"其他")</f>
        <v>其他</v>
      </c>
      <c r="K8086" s="270" t="str">
        <f t="shared" si="2"/>
        <v/>
      </c>
      <c r="L8086">
        <f t="shared" si="3"/>
        <v>0</v>
      </c>
    </row>
    <row r="8087">
      <c r="A8087" s="107"/>
      <c r="D8087" s="270"/>
      <c r="H8087" s="106" t="str">
        <f t="shared" si="1"/>
        <v/>
      </c>
      <c r="J8087" t="str">
        <f>IFERROR(__xludf.DUMMYFUNCTION("IFS(
  AND(REGEXMATCH(E8087, ""台銀籌備帳戶|玉山帳戶""), REGEXMATCH(C8087, ""薪資"")), ""分潤支出"",
  AND(REGEXMATCH(E8087, ""Ben帳戶|Elsa帳戶|Ben代墊|Ariel代墊|中信銀行共用""), REGEXMATCH(F8087, ""Ben帳戶|Elsa帳戶|Ben代墊|Ariel代墊|中信銀行共用"")), ""內部轉帳(忽略)"",
  AND(E8087&lt;&gt;"""", F8087&lt;&gt;"""", N"&amp;"OT(REGEXMATCH(C8087, ""薪資""))), ""內部轉帳(忽略)"",
  REGEXMATCH(C8087, ""薪資""), ""薪資變動(不計入)"",
  REGEXMATCH(C8087, ""押金""), ""押金往來"",
  AND(E8087&lt;&gt;"""", F8087=""""), ""真實支出"",
  AND(E8087="""", F8087&lt;&gt;""""), ""真實收入"",
  TRUE, ""其他""
)"),"其他")</f>
        <v>其他</v>
      </c>
      <c r="K8087" s="270" t="str">
        <f t="shared" si="2"/>
        <v/>
      </c>
      <c r="L8087">
        <f t="shared" si="3"/>
        <v>0</v>
      </c>
    </row>
    <row r="8088">
      <c r="A8088" s="107"/>
      <c r="D8088" s="270"/>
      <c r="H8088" s="106" t="str">
        <f t="shared" si="1"/>
        <v/>
      </c>
      <c r="J8088" t="str">
        <f>IFERROR(__xludf.DUMMYFUNCTION("IFS(
  AND(REGEXMATCH(E8088, ""台銀籌備帳戶|玉山帳戶""), REGEXMATCH(C8088, ""薪資"")), ""分潤支出"",
  AND(REGEXMATCH(E8088, ""Ben帳戶|Elsa帳戶|Ben代墊|Ariel代墊|中信銀行共用""), REGEXMATCH(F8088, ""Ben帳戶|Elsa帳戶|Ben代墊|Ariel代墊|中信銀行共用"")), ""內部轉帳(忽略)"",
  AND(E8088&lt;&gt;"""", F8088&lt;&gt;"""", N"&amp;"OT(REGEXMATCH(C8088, ""薪資""))), ""內部轉帳(忽略)"",
  REGEXMATCH(C8088, ""薪資""), ""薪資變動(不計入)"",
  REGEXMATCH(C8088, ""押金""), ""押金往來"",
  AND(E8088&lt;&gt;"""", F8088=""""), ""真實支出"",
  AND(E8088="""", F8088&lt;&gt;""""), ""真實收入"",
  TRUE, ""其他""
)"),"其他")</f>
        <v>其他</v>
      </c>
      <c r="K8088" s="270" t="str">
        <f t="shared" si="2"/>
        <v/>
      </c>
      <c r="L8088">
        <f t="shared" si="3"/>
        <v>0</v>
      </c>
    </row>
    <row r="8089">
      <c r="A8089" s="107"/>
      <c r="D8089" s="270"/>
      <c r="H8089" s="106" t="str">
        <f t="shared" si="1"/>
        <v/>
      </c>
      <c r="J8089" t="str">
        <f>IFERROR(__xludf.DUMMYFUNCTION("IFS(
  AND(REGEXMATCH(E8089, ""台銀籌備帳戶|玉山帳戶""), REGEXMATCH(C8089, ""薪資"")), ""分潤支出"",
  AND(REGEXMATCH(E8089, ""Ben帳戶|Elsa帳戶|Ben代墊|Ariel代墊|中信銀行共用""), REGEXMATCH(F8089, ""Ben帳戶|Elsa帳戶|Ben代墊|Ariel代墊|中信銀行共用"")), ""內部轉帳(忽略)"",
  AND(E8089&lt;&gt;"""", F8089&lt;&gt;"""", N"&amp;"OT(REGEXMATCH(C8089, ""薪資""))), ""內部轉帳(忽略)"",
  REGEXMATCH(C8089, ""薪資""), ""薪資變動(不計入)"",
  REGEXMATCH(C8089, ""押金""), ""押金往來"",
  AND(E8089&lt;&gt;"""", F8089=""""), ""真實支出"",
  AND(E8089="""", F8089&lt;&gt;""""), ""真實收入"",
  TRUE, ""其他""
)"),"其他")</f>
        <v>其他</v>
      </c>
      <c r="K8089" s="270" t="str">
        <f t="shared" si="2"/>
        <v/>
      </c>
      <c r="L8089">
        <f t="shared" si="3"/>
        <v>0</v>
      </c>
    </row>
    <row r="8090">
      <c r="A8090" s="107"/>
      <c r="D8090" s="270"/>
      <c r="H8090" s="106" t="str">
        <f t="shared" si="1"/>
        <v/>
      </c>
      <c r="J8090" t="str">
        <f>IFERROR(__xludf.DUMMYFUNCTION("IFS(
  AND(REGEXMATCH(E8090, ""台銀籌備帳戶|玉山帳戶""), REGEXMATCH(C8090, ""薪資"")), ""分潤支出"",
  AND(REGEXMATCH(E8090, ""Ben帳戶|Elsa帳戶|Ben代墊|Ariel代墊|中信銀行共用""), REGEXMATCH(F8090, ""Ben帳戶|Elsa帳戶|Ben代墊|Ariel代墊|中信銀行共用"")), ""內部轉帳(忽略)"",
  AND(E8090&lt;&gt;"""", F8090&lt;&gt;"""", N"&amp;"OT(REGEXMATCH(C8090, ""薪資""))), ""內部轉帳(忽略)"",
  REGEXMATCH(C8090, ""薪資""), ""薪資變動(不計入)"",
  REGEXMATCH(C8090, ""押金""), ""押金往來"",
  AND(E8090&lt;&gt;"""", F8090=""""), ""真實支出"",
  AND(E8090="""", F8090&lt;&gt;""""), ""真實收入"",
  TRUE, ""其他""
)"),"其他")</f>
        <v>其他</v>
      </c>
      <c r="K8090" s="270" t="str">
        <f t="shared" si="2"/>
        <v/>
      </c>
      <c r="L8090">
        <f t="shared" si="3"/>
        <v>0</v>
      </c>
    </row>
    <row r="8091">
      <c r="A8091" s="107"/>
      <c r="D8091" s="270"/>
      <c r="H8091" s="106" t="str">
        <f t="shared" si="1"/>
        <v/>
      </c>
      <c r="J8091" t="str">
        <f>IFERROR(__xludf.DUMMYFUNCTION("IFS(
  AND(REGEXMATCH(E8091, ""台銀籌備帳戶|玉山帳戶""), REGEXMATCH(C8091, ""薪資"")), ""分潤支出"",
  AND(REGEXMATCH(E8091, ""Ben帳戶|Elsa帳戶|Ben代墊|Ariel代墊|中信銀行共用""), REGEXMATCH(F8091, ""Ben帳戶|Elsa帳戶|Ben代墊|Ariel代墊|中信銀行共用"")), ""內部轉帳(忽略)"",
  AND(E8091&lt;&gt;"""", F8091&lt;&gt;"""", N"&amp;"OT(REGEXMATCH(C8091, ""薪資""))), ""內部轉帳(忽略)"",
  REGEXMATCH(C8091, ""薪資""), ""薪資變動(不計入)"",
  REGEXMATCH(C8091, ""押金""), ""押金往來"",
  AND(E8091&lt;&gt;"""", F8091=""""), ""真實支出"",
  AND(E8091="""", F8091&lt;&gt;""""), ""真實收入"",
  TRUE, ""其他""
)"),"其他")</f>
        <v>其他</v>
      </c>
      <c r="K8091" s="270" t="str">
        <f t="shared" si="2"/>
        <v/>
      </c>
      <c r="L8091">
        <f t="shared" si="3"/>
        <v>0</v>
      </c>
    </row>
    <row r="8092">
      <c r="A8092" s="107"/>
      <c r="D8092" s="270"/>
      <c r="H8092" s="106" t="str">
        <f t="shared" si="1"/>
        <v/>
      </c>
      <c r="J8092" t="str">
        <f>IFERROR(__xludf.DUMMYFUNCTION("IFS(
  AND(REGEXMATCH(E8092, ""台銀籌備帳戶|玉山帳戶""), REGEXMATCH(C8092, ""薪資"")), ""分潤支出"",
  AND(REGEXMATCH(E8092, ""Ben帳戶|Elsa帳戶|Ben代墊|Ariel代墊|中信銀行共用""), REGEXMATCH(F8092, ""Ben帳戶|Elsa帳戶|Ben代墊|Ariel代墊|中信銀行共用"")), ""內部轉帳(忽略)"",
  AND(E8092&lt;&gt;"""", F8092&lt;&gt;"""", N"&amp;"OT(REGEXMATCH(C8092, ""薪資""))), ""內部轉帳(忽略)"",
  REGEXMATCH(C8092, ""薪資""), ""薪資變動(不計入)"",
  REGEXMATCH(C8092, ""押金""), ""押金往來"",
  AND(E8092&lt;&gt;"""", F8092=""""), ""真實支出"",
  AND(E8092="""", F8092&lt;&gt;""""), ""真實收入"",
  TRUE, ""其他""
)"),"其他")</f>
        <v>其他</v>
      </c>
      <c r="K8092" s="270" t="str">
        <f t="shared" si="2"/>
        <v/>
      </c>
      <c r="L8092">
        <f t="shared" si="3"/>
        <v>0</v>
      </c>
    </row>
    <row r="8093">
      <c r="A8093" s="107"/>
      <c r="D8093" s="270"/>
      <c r="H8093" s="106" t="str">
        <f t="shared" si="1"/>
        <v/>
      </c>
      <c r="J8093" t="str">
        <f>IFERROR(__xludf.DUMMYFUNCTION("IFS(
  AND(REGEXMATCH(E8093, ""台銀籌備帳戶|玉山帳戶""), REGEXMATCH(C8093, ""薪資"")), ""分潤支出"",
  AND(REGEXMATCH(E8093, ""Ben帳戶|Elsa帳戶|Ben代墊|Ariel代墊|中信銀行共用""), REGEXMATCH(F8093, ""Ben帳戶|Elsa帳戶|Ben代墊|Ariel代墊|中信銀行共用"")), ""內部轉帳(忽略)"",
  AND(E8093&lt;&gt;"""", F8093&lt;&gt;"""", N"&amp;"OT(REGEXMATCH(C8093, ""薪資""))), ""內部轉帳(忽略)"",
  REGEXMATCH(C8093, ""薪資""), ""薪資變動(不計入)"",
  REGEXMATCH(C8093, ""押金""), ""押金往來"",
  AND(E8093&lt;&gt;"""", F8093=""""), ""真實支出"",
  AND(E8093="""", F8093&lt;&gt;""""), ""真實收入"",
  TRUE, ""其他""
)"),"其他")</f>
        <v>其他</v>
      </c>
      <c r="K8093" s="270" t="str">
        <f t="shared" si="2"/>
        <v/>
      </c>
      <c r="L8093">
        <f t="shared" si="3"/>
        <v>0</v>
      </c>
    </row>
    <row r="8094">
      <c r="A8094" s="107"/>
      <c r="D8094" s="270"/>
      <c r="H8094" s="106" t="str">
        <f t="shared" si="1"/>
        <v/>
      </c>
      <c r="J8094" t="str">
        <f>IFERROR(__xludf.DUMMYFUNCTION("IFS(
  AND(REGEXMATCH(E8094, ""台銀籌備帳戶|玉山帳戶""), REGEXMATCH(C8094, ""薪資"")), ""分潤支出"",
  AND(REGEXMATCH(E8094, ""Ben帳戶|Elsa帳戶|Ben代墊|Ariel代墊|中信銀行共用""), REGEXMATCH(F8094, ""Ben帳戶|Elsa帳戶|Ben代墊|Ariel代墊|中信銀行共用"")), ""內部轉帳(忽略)"",
  AND(E8094&lt;&gt;"""", F8094&lt;&gt;"""", N"&amp;"OT(REGEXMATCH(C8094, ""薪資""))), ""內部轉帳(忽略)"",
  REGEXMATCH(C8094, ""薪資""), ""薪資變動(不計入)"",
  REGEXMATCH(C8094, ""押金""), ""押金往來"",
  AND(E8094&lt;&gt;"""", F8094=""""), ""真實支出"",
  AND(E8094="""", F8094&lt;&gt;""""), ""真實收入"",
  TRUE, ""其他""
)"),"其他")</f>
        <v>其他</v>
      </c>
      <c r="K8094" s="270" t="str">
        <f t="shared" si="2"/>
        <v/>
      </c>
      <c r="L8094">
        <f t="shared" si="3"/>
        <v>0</v>
      </c>
    </row>
    <row r="8095">
      <c r="A8095" s="107"/>
      <c r="D8095" s="270"/>
      <c r="H8095" s="106" t="str">
        <f t="shared" si="1"/>
        <v/>
      </c>
      <c r="J8095" t="str">
        <f>IFERROR(__xludf.DUMMYFUNCTION("IFS(
  AND(REGEXMATCH(E8095, ""台銀籌備帳戶|玉山帳戶""), REGEXMATCH(C8095, ""薪資"")), ""分潤支出"",
  AND(REGEXMATCH(E8095, ""Ben帳戶|Elsa帳戶|Ben代墊|Ariel代墊|中信銀行共用""), REGEXMATCH(F8095, ""Ben帳戶|Elsa帳戶|Ben代墊|Ariel代墊|中信銀行共用"")), ""內部轉帳(忽略)"",
  AND(E8095&lt;&gt;"""", F8095&lt;&gt;"""", N"&amp;"OT(REGEXMATCH(C8095, ""薪資""))), ""內部轉帳(忽略)"",
  REGEXMATCH(C8095, ""薪資""), ""薪資變動(不計入)"",
  REGEXMATCH(C8095, ""押金""), ""押金往來"",
  AND(E8095&lt;&gt;"""", F8095=""""), ""真實支出"",
  AND(E8095="""", F8095&lt;&gt;""""), ""真實收入"",
  TRUE, ""其他""
)"),"其他")</f>
        <v>其他</v>
      </c>
      <c r="K8095" s="270" t="str">
        <f t="shared" si="2"/>
        <v/>
      </c>
      <c r="L8095">
        <f t="shared" si="3"/>
        <v>0</v>
      </c>
    </row>
    <row r="8096">
      <c r="A8096" s="107"/>
      <c r="D8096" s="270"/>
      <c r="H8096" s="106" t="str">
        <f t="shared" si="1"/>
        <v/>
      </c>
      <c r="J8096" t="str">
        <f>IFERROR(__xludf.DUMMYFUNCTION("IFS(
  AND(REGEXMATCH(E8096, ""台銀籌備帳戶|玉山帳戶""), REGEXMATCH(C8096, ""薪資"")), ""分潤支出"",
  AND(REGEXMATCH(E8096, ""Ben帳戶|Elsa帳戶|Ben代墊|Ariel代墊|中信銀行共用""), REGEXMATCH(F8096, ""Ben帳戶|Elsa帳戶|Ben代墊|Ariel代墊|中信銀行共用"")), ""內部轉帳(忽略)"",
  AND(E8096&lt;&gt;"""", F8096&lt;&gt;"""", N"&amp;"OT(REGEXMATCH(C8096, ""薪資""))), ""內部轉帳(忽略)"",
  REGEXMATCH(C8096, ""薪資""), ""薪資變動(不計入)"",
  REGEXMATCH(C8096, ""押金""), ""押金往來"",
  AND(E8096&lt;&gt;"""", F8096=""""), ""真實支出"",
  AND(E8096="""", F8096&lt;&gt;""""), ""真實收入"",
  TRUE, ""其他""
)"),"其他")</f>
        <v>其他</v>
      </c>
      <c r="K8096" s="270" t="str">
        <f t="shared" si="2"/>
        <v/>
      </c>
      <c r="L8096">
        <f t="shared" si="3"/>
        <v>0</v>
      </c>
    </row>
    <row r="8097">
      <c r="A8097" s="107"/>
      <c r="D8097" s="270"/>
      <c r="H8097" s="106" t="str">
        <f t="shared" si="1"/>
        <v/>
      </c>
      <c r="J8097" t="str">
        <f>IFERROR(__xludf.DUMMYFUNCTION("IFS(
  AND(REGEXMATCH(E8097, ""台銀籌備帳戶|玉山帳戶""), REGEXMATCH(C8097, ""薪資"")), ""分潤支出"",
  AND(REGEXMATCH(E8097, ""Ben帳戶|Elsa帳戶|Ben代墊|Ariel代墊|中信銀行共用""), REGEXMATCH(F8097, ""Ben帳戶|Elsa帳戶|Ben代墊|Ariel代墊|中信銀行共用"")), ""內部轉帳(忽略)"",
  AND(E8097&lt;&gt;"""", F8097&lt;&gt;"""", N"&amp;"OT(REGEXMATCH(C8097, ""薪資""))), ""內部轉帳(忽略)"",
  REGEXMATCH(C8097, ""薪資""), ""薪資變動(不計入)"",
  REGEXMATCH(C8097, ""押金""), ""押金往來"",
  AND(E8097&lt;&gt;"""", F8097=""""), ""真實支出"",
  AND(E8097="""", F8097&lt;&gt;""""), ""真實收入"",
  TRUE, ""其他""
)"),"其他")</f>
        <v>其他</v>
      </c>
      <c r="K8097" s="270" t="str">
        <f t="shared" si="2"/>
        <v/>
      </c>
      <c r="L8097">
        <f t="shared" si="3"/>
        <v>0</v>
      </c>
    </row>
    <row r="8098">
      <c r="A8098" s="107"/>
      <c r="D8098" s="270"/>
      <c r="H8098" s="106" t="str">
        <f t="shared" si="1"/>
        <v/>
      </c>
      <c r="J8098" t="str">
        <f>IFERROR(__xludf.DUMMYFUNCTION("IFS(
  AND(REGEXMATCH(E8098, ""台銀籌備帳戶|玉山帳戶""), REGEXMATCH(C8098, ""薪資"")), ""分潤支出"",
  AND(REGEXMATCH(E8098, ""Ben帳戶|Elsa帳戶|Ben代墊|Ariel代墊|中信銀行共用""), REGEXMATCH(F8098, ""Ben帳戶|Elsa帳戶|Ben代墊|Ariel代墊|中信銀行共用"")), ""內部轉帳(忽略)"",
  AND(E8098&lt;&gt;"""", F8098&lt;&gt;"""", N"&amp;"OT(REGEXMATCH(C8098, ""薪資""))), ""內部轉帳(忽略)"",
  REGEXMATCH(C8098, ""薪資""), ""薪資變動(不計入)"",
  REGEXMATCH(C8098, ""押金""), ""押金往來"",
  AND(E8098&lt;&gt;"""", F8098=""""), ""真實支出"",
  AND(E8098="""", F8098&lt;&gt;""""), ""真實收入"",
  TRUE, ""其他""
)"),"其他")</f>
        <v>其他</v>
      </c>
      <c r="K8098" s="270" t="str">
        <f t="shared" si="2"/>
        <v/>
      </c>
      <c r="L8098">
        <f t="shared" si="3"/>
        <v>0</v>
      </c>
    </row>
    <row r="8099">
      <c r="A8099" s="107"/>
      <c r="D8099" s="270"/>
      <c r="H8099" s="106" t="str">
        <f t="shared" si="1"/>
        <v/>
      </c>
      <c r="J8099" t="str">
        <f>IFERROR(__xludf.DUMMYFUNCTION("IFS(
  AND(REGEXMATCH(E8099, ""台銀籌備帳戶|玉山帳戶""), REGEXMATCH(C8099, ""薪資"")), ""分潤支出"",
  AND(REGEXMATCH(E8099, ""Ben帳戶|Elsa帳戶|Ben代墊|Ariel代墊|中信銀行共用""), REGEXMATCH(F8099, ""Ben帳戶|Elsa帳戶|Ben代墊|Ariel代墊|中信銀行共用"")), ""內部轉帳(忽略)"",
  AND(E8099&lt;&gt;"""", F8099&lt;&gt;"""", N"&amp;"OT(REGEXMATCH(C8099, ""薪資""))), ""內部轉帳(忽略)"",
  REGEXMATCH(C8099, ""薪資""), ""薪資變動(不計入)"",
  REGEXMATCH(C8099, ""押金""), ""押金往來"",
  AND(E8099&lt;&gt;"""", F8099=""""), ""真實支出"",
  AND(E8099="""", F8099&lt;&gt;""""), ""真實收入"",
  TRUE, ""其他""
)"),"其他")</f>
        <v>其他</v>
      </c>
      <c r="K8099" s="270" t="str">
        <f t="shared" si="2"/>
        <v/>
      </c>
      <c r="L8099">
        <f t="shared" si="3"/>
        <v>0</v>
      </c>
    </row>
    <row r="8100">
      <c r="A8100" s="107"/>
      <c r="D8100" s="270"/>
      <c r="H8100" s="106" t="str">
        <f t="shared" si="1"/>
        <v/>
      </c>
      <c r="J8100" t="str">
        <f>IFERROR(__xludf.DUMMYFUNCTION("IFS(
  AND(REGEXMATCH(E8100, ""台銀籌備帳戶|玉山帳戶""), REGEXMATCH(C8100, ""薪資"")), ""分潤支出"",
  AND(REGEXMATCH(E8100, ""Ben帳戶|Elsa帳戶|Ben代墊|Ariel代墊|中信銀行共用""), REGEXMATCH(F8100, ""Ben帳戶|Elsa帳戶|Ben代墊|Ariel代墊|中信銀行共用"")), ""內部轉帳(忽略)"",
  AND(E8100&lt;&gt;"""", F8100&lt;&gt;"""", N"&amp;"OT(REGEXMATCH(C8100, ""薪資""))), ""內部轉帳(忽略)"",
  REGEXMATCH(C8100, ""薪資""), ""薪資變動(不計入)"",
  REGEXMATCH(C8100, ""押金""), ""押金往來"",
  AND(E8100&lt;&gt;"""", F8100=""""), ""真實支出"",
  AND(E8100="""", F8100&lt;&gt;""""), ""真實收入"",
  TRUE, ""其他""
)"),"其他")</f>
        <v>其他</v>
      </c>
      <c r="K8100" s="270" t="str">
        <f t="shared" si="2"/>
        <v/>
      </c>
      <c r="L8100">
        <f t="shared" si="3"/>
        <v>0</v>
      </c>
    </row>
    <row r="8101">
      <c r="A8101" s="107"/>
      <c r="D8101" s="270"/>
      <c r="H8101" s="106" t="str">
        <f t="shared" si="1"/>
        <v/>
      </c>
      <c r="J8101" t="str">
        <f>IFERROR(__xludf.DUMMYFUNCTION("IFS(
  AND(REGEXMATCH(E8101, ""台銀籌備帳戶|玉山帳戶""), REGEXMATCH(C8101, ""薪資"")), ""分潤支出"",
  AND(REGEXMATCH(E8101, ""Ben帳戶|Elsa帳戶|Ben代墊|Ariel代墊|中信銀行共用""), REGEXMATCH(F8101, ""Ben帳戶|Elsa帳戶|Ben代墊|Ariel代墊|中信銀行共用"")), ""內部轉帳(忽略)"",
  AND(E8101&lt;&gt;"""", F8101&lt;&gt;"""", N"&amp;"OT(REGEXMATCH(C8101, ""薪資""))), ""內部轉帳(忽略)"",
  REGEXMATCH(C8101, ""薪資""), ""薪資變動(不計入)"",
  REGEXMATCH(C8101, ""押金""), ""押金往來"",
  AND(E8101&lt;&gt;"""", F8101=""""), ""真實支出"",
  AND(E8101="""", F8101&lt;&gt;""""), ""真實收入"",
  TRUE, ""其他""
)"),"其他")</f>
        <v>其他</v>
      </c>
      <c r="K8101" s="270" t="str">
        <f t="shared" si="2"/>
        <v/>
      </c>
      <c r="L8101">
        <f t="shared" si="3"/>
        <v>0</v>
      </c>
    </row>
    <row r="8102">
      <c r="A8102" s="107"/>
      <c r="D8102" s="270"/>
      <c r="H8102" s="106" t="str">
        <f t="shared" si="1"/>
        <v/>
      </c>
      <c r="J8102" t="str">
        <f>IFERROR(__xludf.DUMMYFUNCTION("IFS(
  AND(REGEXMATCH(E8102, ""台銀籌備帳戶|玉山帳戶""), REGEXMATCH(C8102, ""薪資"")), ""分潤支出"",
  AND(REGEXMATCH(E8102, ""Ben帳戶|Elsa帳戶|Ben代墊|Ariel代墊|中信銀行共用""), REGEXMATCH(F8102, ""Ben帳戶|Elsa帳戶|Ben代墊|Ariel代墊|中信銀行共用"")), ""內部轉帳(忽略)"",
  AND(E8102&lt;&gt;"""", F8102&lt;&gt;"""", N"&amp;"OT(REGEXMATCH(C8102, ""薪資""))), ""內部轉帳(忽略)"",
  REGEXMATCH(C8102, ""薪資""), ""薪資變動(不計入)"",
  REGEXMATCH(C8102, ""押金""), ""押金往來"",
  AND(E8102&lt;&gt;"""", F8102=""""), ""真實支出"",
  AND(E8102="""", F8102&lt;&gt;""""), ""真實收入"",
  TRUE, ""其他""
)"),"其他")</f>
        <v>其他</v>
      </c>
      <c r="K8102" s="270" t="str">
        <f t="shared" si="2"/>
        <v/>
      </c>
      <c r="L8102">
        <f t="shared" si="3"/>
        <v>0</v>
      </c>
    </row>
    <row r="8103">
      <c r="A8103" s="107"/>
      <c r="D8103" s="270"/>
      <c r="H8103" s="106" t="str">
        <f t="shared" si="1"/>
        <v/>
      </c>
      <c r="J8103" t="str">
        <f>IFERROR(__xludf.DUMMYFUNCTION("IFS(
  AND(REGEXMATCH(E8103, ""台銀籌備帳戶|玉山帳戶""), REGEXMATCH(C8103, ""薪資"")), ""分潤支出"",
  AND(REGEXMATCH(E8103, ""Ben帳戶|Elsa帳戶|Ben代墊|Ariel代墊|中信銀行共用""), REGEXMATCH(F8103, ""Ben帳戶|Elsa帳戶|Ben代墊|Ariel代墊|中信銀行共用"")), ""內部轉帳(忽略)"",
  AND(E8103&lt;&gt;"""", F8103&lt;&gt;"""", N"&amp;"OT(REGEXMATCH(C8103, ""薪資""))), ""內部轉帳(忽略)"",
  REGEXMATCH(C8103, ""薪資""), ""薪資變動(不計入)"",
  REGEXMATCH(C8103, ""押金""), ""押金往來"",
  AND(E8103&lt;&gt;"""", F8103=""""), ""真實支出"",
  AND(E8103="""", F8103&lt;&gt;""""), ""真實收入"",
  TRUE, ""其他""
)"),"其他")</f>
        <v>其他</v>
      </c>
      <c r="K8103" s="270" t="str">
        <f t="shared" si="2"/>
        <v/>
      </c>
      <c r="L8103">
        <f t="shared" si="3"/>
        <v>0</v>
      </c>
    </row>
    <row r="8104">
      <c r="A8104" s="107"/>
      <c r="D8104" s="270"/>
      <c r="H8104" s="106" t="str">
        <f t="shared" si="1"/>
        <v/>
      </c>
      <c r="J8104" t="str">
        <f>IFERROR(__xludf.DUMMYFUNCTION("IFS(
  AND(REGEXMATCH(E8104, ""台銀籌備帳戶|玉山帳戶""), REGEXMATCH(C8104, ""薪資"")), ""分潤支出"",
  AND(REGEXMATCH(E8104, ""Ben帳戶|Elsa帳戶|Ben代墊|Ariel代墊|中信銀行共用""), REGEXMATCH(F8104, ""Ben帳戶|Elsa帳戶|Ben代墊|Ariel代墊|中信銀行共用"")), ""內部轉帳(忽略)"",
  AND(E8104&lt;&gt;"""", F8104&lt;&gt;"""", N"&amp;"OT(REGEXMATCH(C8104, ""薪資""))), ""內部轉帳(忽略)"",
  REGEXMATCH(C8104, ""薪資""), ""薪資變動(不計入)"",
  REGEXMATCH(C8104, ""押金""), ""押金往來"",
  AND(E8104&lt;&gt;"""", F8104=""""), ""真實支出"",
  AND(E8104="""", F8104&lt;&gt;""""), ""真實收入"",
  TRUE, ""其他""
)"),"其他")</f>
        <v>其他</v>
      </c>
      <c r="K8104" s="270" t="str">
        <f t="shared" si="2"/>
        <v/>
      </c>
      <c r="L8104">
        <f t="shared" si="3"/>
        <v>0</v>
      </c>
    </row>
    <row r="8105">
      <c r="A8105" s="107"/>
      <c r="D8105" s="270"/>
      <c r="H8105" s="106" t="str">
        <f t="shared" si="1"/>
        <v/>
      </c>
      <c r="J8105" t="str">
        <f>IFERROR(__xludf.DUMMYFUNCTION("IFS(
  AND(REGEXMATCH(E8105, ""台銀籌備帳戶|玉山帳戶""), REGEXMATCH(C8105, ""薪資"")), ""分潤支出"",
  AND(REGEXMATCH(E8105, ""Ben帳戶|Elsa帳戶|Ben代墊|Ariel代墊|中信銀行共用""), REGEXMATCH(F8105, ""Ben帳戶|Elsa帳戶|Ben代墊|Ariel代墊|中信銀行共用"")), ""內部轉帳(忽略)"",
  AND(E8105&lt;&gt;"""", F8105&lt;&gt;"""", N"&amp;"OT(REGEXMATCH(C8105, ""薪資""))), ""內部轉帳(忽略)"",
  REGEXMATCH(C8105, ""薪資""), ""薪資變動(不計入)"",
  REGEXMATCH(C8105, ""押金""), ""押金往來"",
  AND(E8105&lt;&gt;"""", F8105=""""), ""真實支出"",
  AND(E8105="""", F8105&lt;&gt;""""), ""真實收入"",
  TRUE, ""其他""
)"),"其他")</f>
        <v>其他</v>
      </c>
      <c r="K8105" s="270" t="str">
        <f t="shared" si="2"/>
        <v/>
      </c>
      <c r="L8105">
        <f t="shared" si="3"/>
        <v>0</v>
      </c>
    </row>
    <row r="8106">
      <c r="A8106" s="107"/>
      <c r="D8106" s="270"/>
      <c r="H8106" s="106" t="str">
        <f t="shared" si="1"/>
        <v/>
      </c>
      <c r="J8106" t="str">
        <f>IFERROR(__xludf.DUMMYFUNCTION("IFS(
  AND(REGEXMATCH(E8106, ""台銀籌備帳戶|玉山帳戶""), REGEXMATCH(C8106, ""薪資"")), ""分潤支出"",
  AND(REGEXMATCH(E8106, ""Ben帳戶|Elsa帳戶|Ben代墊|Ariel代墊|中信銀行共用""), REGEXMATCH(F8106, ""Ben帳戶|Elsa帳戶|Ben代墊|Ariel代墊|中信銀行共用"")), ""內部轉帳(忽略)"",
  AND(E8106&lt;&gt;"""", F8106&lt;&gt;"""", N"&amp;"OT(REGEXMATCH(C8106, ""薪資""))), ""內部轉帳(忽略)"",
  REGEXMATCH(C8106, ""薪資""), ""薪資變動(不計入)"",
  REGEXMATCH(C8106, ""押金""), ""押金往來"",
  AND(E8106&lt;&gt;"""", F8106=""""), ""真實支出"",
  AND(E8106="""", F8106&lt;&gt;""""), ""真實收入"",
  TRUE, ""其他""
)"),"其他")</f>
        <v>其他</v>
      </c>
      <c r="K8106" s="270" t="str">
        <f t="shared" si="2"/>
        <v/>
      </c>
      <c r="L8106">
        <f t="shared" si="3"/>
        <v>0</v>
      </c>
    </row>
    <row r="8107">
      <c r="A8107" s="107"/>
      <c r="D8107" s="270"/>
      <c r="H8107" s="106" t="str">
        <f t="shared" si="1"/>
        <v/>
      </c>
      <c r="J8107" t="str">
        <f>IFERROR(__xludf.DUMMYFUNCTION("IFS(
  AND(REGEXMATCH(E8107, ""台銀籌備帳戶|玉山帳戶""), REGEXMATCH(C8107, ""薪資"")), ""分潤支出"",
  AND(REGEXMATCH(E8107, ""Ben帳戶|Elsa帳戶|Ben代墊|Ariel代墊|中信銀行共用""), REGEXMATCH(F8107, ""Ben帳戶|Elsa帳戶|Ben代墊|Ariel代墊|中信銀行共用"")), ""內部轉帳(忽略)"",
  AND(E8107&lt;&gt;"""", F8107&lt;&gt;"""", N"&amp;"OT(REGEXMATCH(C8107, ""薪資""))), ""內部轉帳(忽略)"",
  REGEXMATCH(C8107, ""薪資""), ""薪資變動(不計入)"",
  REGEXMATCH(C8107, ""押金""), ""押金往來"",
  AND(E8107&lt;&gt;"""", F8107=""""), ""真實支出"",
  AND(E8107="""", F8107&lt;&gt;""""), ""真實收入"",
  TRUE, ""其他""
)"),"其他")</f>
        <v>其他</v>
      </c>
      <c r="K8107" s="270" t="str">
        <f t="shared" si="2"/>
        <v/>
      </c>
      <c r="L8107">
        <f t="shared" si="3"/>
        <v>0</v>
      </c>
    </row>
    <row r="8108">
      <c r="A8108" s="107"/>
      <c r="D8108" s="270"/>
      <c r="H8108" s="106" t="str">
        <f t="shared" si="1"/>
        <v/>
      </c>
      <c r="J8108" t="str">
        <f>IFERROR(__xludf.DUMMYFUNCTION("IFS(
  AND(REGEXMATCH(E8108, ""台銀籌備帳戶|玉山帳戶""), REGEXMATCH(C8108, ""薪資"")), ""分潤支出"",
  AND(REGEXMATCH(E8108, ""Ben帳戶|Elsa帳戶|Ben代墊|Ariel代墊|中信銀行共用""), REGEXMATCH(F8108, ""Ben帳戶|Elsa帳戶|Ben代墊|Ariel代墊|中信銀行共用"")), ""內部轉帳(忽略)"",
  AND(E8108&lt;&gt;"""", F8108&lt;&gt;"""", N"&amp;"OT(REGEXMATCH(C8108, ""薪資""))), ""內部轉帳(忽略)"",
  REGEXMATCH(C8108, ""薪資""), ""薪資變動(不計入)"",
  REGEXMATCH(C8108, ""押金""), ""押金往來"",
  AND(E8108&lt;&gt;"""", F8108=""""), ""真實支出"",
  AND(E8108="""", F8108&lt;&gt;""""), ""真實收入"",
  TRUE, ""其他""
)"),"其他")</f>
        <v>其他</v>
      </c>
      <c r="K8108" s="270" t="str">
        <f t="shared" si="2"/>
        <v/>
      </c>
      <c r="L8108">
        <f t="shared" si="3"/>
        <v>0</v>
      </c>
    </row>
    <row r="8109">
      <c r="A8109" s="107"/>
      <c r="D8109" s="270"/>
      <c r="H8109" s="106" t="str">
        <f t="shared" si="1"/>
        <v/>
      </c>
      <c r="J8109" t="str">
        <f>IFERROR(__xludf.DUMMYFUNCTION("IFS(
  AND(REGEXMATCH(E8109, ""台銀籌備帳戶|玉山帳戶""), REGEXMATCH(C8109, ""薪資"")), ""分潤支出"",
  AND(REGEXMATCH(E8109, ""Ben帳戶|Elsa帳戶|Ben代墊|Ariel代墊|中信銀行共用""), REGEXMATCH(F8109, ""Ben帳戶|Elsa帳戶|Ben代墊|Ariel代墊|中信銀行共用"")), ""內部轉帳(忽略)"",
  AND(E8109&lt;&gt;"""", F8109&lt;&gt;"""", N"&amp;"OT(REGEXMATCH(C8109, ""薪資""))), ""內部轉帳(忽略)"",
  REGEXMATCH(C8109, ""薪資""), ""薪資變動(不計入)"",
  REGEXMATCH(C8109, ""押金""), ""押金往來"",
  AND(E8109&lt;&gt;"""", F8109=""""), ""真實支出"",
  AND(E8109="""", F8109&lt;&gt;""""), ""真實收入"",
  TRUE, ""其他""
)"),"其他")</f>
        <v>其他</v>
      </c>
      <c r="K8109" s="270" t="str">
        <f t="shared" si="2"/>
        <v/>
      </c>
      <c r="L8109">
        <f t="shared" si="3"/>
        <v>0</v>
      </c>
    </row>
    <row r="8110">
      <c r="A8110" s="107"/>
      <c r="D8110" s="270"/>
      <c r="H8110" s="106" t="str">
        <f t="shared" si="1"/>
        <v/>
      </c>
      <c r="J8110" t="str">
        <f>IFERROR(__xludf.DUMMYFUNCTION("IFS(
  AND(REGEXMATCH(E8110, ""台銀籌備帳戶|玉山帳戶""), REGEXMATCH(C8110, ""薪資"")), ""分潤支出"",
  AND(REGEXMATCH(E8110, ""Ben帳戶|Elsa帳戶|Ben代墊|Ariel代墊|中信銀行共用""), REGEXMATCH(F8110, ""Ben帳戶|Elsa帳戶|Ben代墊|Ariel代墊|中信銀行共用"")), ""內部轉帳(忽略)"",
  AND(E8110&lt;&gt;"""", F8110&lt;&gt;"""", N"&amp;"OT(REGEXMATCH(C8110, ""薪資""))), ""內部轉帳(忽略)"",
  REGEXMATCH(C8110, ""薪資""), ""薪資變動(不計入)"",
  REGEXMATCH(C8110, ""押金""), ""押金往來"",
  AND(E8110&lt;&gt;"""", F8110=""""), ""真實支出"",
  AND(E8110="""", F8110&lt;&gt;""""), ""真實收入"",
  TRUE, ""其他""
)"),"其他")</f>
        <v>其他</v>
      </c>
      <c r="K8110" s="270" t="str">
        <f t="shared" si="2"/>
        <v/>
      </c>
      <c r="L8110">
        <f t="shared" si="3"/>
        <v>0</v>
      </c>
    </row>
    <row r="8111">
      <c r="A8111" s="107"/>
      <c r="D8111" s="270"/>
      <c r="H8111" s="106" t="str">
        <f t="shared" si="1"/>
        <v/>
      </c>
      <c r="J8111" t="str">
        <f>IFERROR(__xludf.DUMMYFUNCTION("IFS(
  AND(REGEXMATCH(E8111, ""台銀籌備帳戶|玉山帳戶""), REGEXMATCH(C8111, ""薪資"")), ""分潤支出"",
  AND(REGEXMATCH(E8111, ""Ben帳戶|Elsa帳戶|Ben代墊|Ariel代墊|中信銀行共用""), REGEXMATCH(F8111, ""Ben帳戶|Elsa帳戶|Ben代墊|Ariel代墊|中信銀行共用"")), ""內部轉帳(忽略)"",
  AND(E8111&lt;&gt;"""", F8111&lt;&gt;"""", N"&amp;"OT(REGEXMATCH(C8111, ""薪資""))), ""內部轉帳(忽略)"",
  REGEXMATCH(C8111, ""薪資""), ""薪資變動(不計入)"",
  REGEXMATCH(C8111, ""押金""), ""押金往來"",
  AND(E8111&lt;&gt;"""", F8111=""""), ""真實支出"",
  AND(E8111="""", F8111&lt;&gt;""""), ""真實收入"",
  TRUE, ""其他""
)"),"其他")</f>
        <v>其他</v>
      </c>
      <c r="K8111" s="270" t="str">
        <f t="shared" si="2"/>
        <v/>
      </c>
      <c r="L8111">
        <f t="shared" si="3"/>
        <v>0</v>
      </c>
    </row>
    <row r="8112">
      <c r="A8112" s="107"/>
      <c r="D8112" s="270"/>
      <c r="H8112" s="106" t="str">
        <f t="shared" si="1"/>
        <v/>
      </c>
      <c r="J8112" t="str">
        <f>IFERROR(__xludf.DUMMYFUNCTION("IFS(
  AND(REGEXMATCH(E8112, ""台銀籌備帳戶|玉山帳戶""), REGEXMATCH(C8112, ""薪資"")), ""分潤支出"",
  AND(REGEXMATCH(E8112, ""Ben帳戶|Elsa帳戶|Ben代墊|Ariel代墊|中信銀行共用""), REGEXMATCH(F8112, ""Ben帳戶|Elsa帳戶|Ben代墊|Ariel代墊|中信銀行共用"")), ""內部轉帳(忽略)"",
  AND(E8112&lt;&gt;"""", F8112&lt;&gt;"""", N"&amp;"OT(REGEXMATCH(C8112, ""薪資""))), ""內部轉帳(忽略)"",
  REGEXMATCH(C8112, ""薪資""), ""薪資變動(不計入)"",
  REGEXMATCH(C8112, ""押金""), ""押金往來"",
  AND(E8112&lt;&gt;"""", F8112=""""), ""真實支出"",
  AND(E8112="""", F8112&lt;&gt;""""), ""真實收入"",
  TRUE, ""其他""
)"),"其他")</f>
        <v>其他</v>
      </c>
      <c r="K8112" s="270" t="str">
        <f t="shared" si="2"/>
        <v/>
      </c>
      <c r="L8112">
        <f t="shared" si="3"/>
        <v>0</v>
      </c>
    </row>
    <row r="8113">
      <c r="A8113" s="107"/>
      <c r="D8113" s="270"/>
      <c r="H8113" s="106" t="str">
        <f t="shared" si="1"/>
        <v/>
      </c>
      <c r="J8113" t="str">
        <f>IFERROR(__xludf.DUMMYFUNCTION("IFS(
  AND(REGEXMATCH(E8113, ""台銀籌備帳戶|玉山帳戶""), REGEXMATCH(C8113, ""薪資"")), ""分潤支出"",
  AND(REGEXMATCH(E8113, ""Ben帳戶|Elsa帳戶|Ben代墊|Ariel代墊|中信銀行共用""), REGEXMATCH(F8113, ""Ben帳戶|Elsa帳戶|Ben代墊|Ariel代墊|中信銀行共用"")), ""內部轉帳(忽略)"",
  AND(E8113&lt;&gt;"""", F8113&lt;&gt;"""", N"&amp;"OT(REGEXMATCH(C8113, ""薪資""))), ""內部轉帳(忽略)"",
  REGEXMATCH(C8113, ""薪資""), ""薪資變動(不計入)"",
  REGEXMATCH(C8113, ""押金""), ""押金往來"",
  AND(E8113&lt;&gt;"""", F8113=""""), ""真實支出"",
  AND(E8113="""", F8113&lt;&gt;""""), ""真實收入"",
  TRUE, ""其他""
)"),"其他")</f>
        <v>其他</v>
      </c>
      <c r="K8113" s="270" t="str">
        <f t="shared" si="2"/>
        <v/>
      </c>
      <c r="L8113">
        <f t="shared" si="3"/>
        <v>0</v>
      </c>
    </row>
    <row r="8114">
      <c r="A8114" s="107"/>
      <c r="D8114" s="270"/>
      <c r="H8114" s="106" t="str">
        <f t="shared" si="1"/>
        <v/>
      </c>
      <c r="J8114" t="str">
        <f>IFERROR(__xludf.DUMMYFUNCTION("IFS(
  AND(REGEXMATCH(E8114, ""台銀籌備帳戶|玉山帳戶""), REGEXMATCH(C8114, ""薪資"")), ""分潤支出"",
  AND(REGEXMATCH(E8114, ""Ben帳戶|Elsa帳戶|Ben代墊|Ariel代墊|中信銀行共用""), REGEXMATCH(F8114, ""Ben帳戶|Elsa帳戶|Ben代墊|Ariel代墊|中信銀行共用"")), ""內部轉帳(忽略)"",
  AND(E8114&lt;&gt;"""", F8114&lt;&gt;"""", N"&amp;"OT(REGEXMATCH(C8114, ""薪資""))), ""內部轉帳(忽略)"",
  REGEXMATCH(C8114, ""薪資""), ""薪資變動(不計入)"",
  REGEXMATCH(C8114, ""押金""), ""押金往來"",
  AND(E8114&lt;&gt;"""", F8114=""""), ""真實支出"",
  AND(E8114="""", F8114&lt;&gt;""""), ""真實收入"",
  TRUE, ""其他""
)"),"其他")</f>
        <v>其他</v>
      </c>
      <c r="K8114" s="270" t="str">
        <f t="shared" si="2"/>
        <v/>
      </c>
      <c r="L8114">
        <f t="shared" si="3"/>
        <v>0</v>
      </c>
    </row>
    <row r="8115">
      <c r="A8115" s="107"/>
      <c r="D8115" s="270"/>
      <c r="H8115" s="106" t="str">
        <f t="shared" si="1"/>
        <v/>
      </c>
      <c r="J8115" t="str">
        <f>IFERROR(__xludf.DUMMYFUNCTION("IFS(
  AND(REGEXMATCH(E8115, ""台銀籌備帳戶|玉山帳戶""), REGEXMATCH(C8115, ""薪資"")), ""分潤支出"",
  AND(REGEXMATCH(E8115, ""Ben帳戶|Elsa帳戶|Ben代墊|Ariel代墊|中信銀行共用""), REGEXMATCH(F8115, ""Ben帳戶|Elsa帳戶|Ben代墊|Ariel代墊|中信銀行共用"")), ""內部轉帳(忽略)"",
  AND(E8115&lt;&gt;"""", F8115&lt;&gt;"""", N"&amp;"OT(REGEXMATCH(C8115, ""薪資""))), ""內部轉帳(忽略)"",
  REGEXMATCH(C8115, ""薪資""), ""薪資變動(不計入)"",
  REGEXMATCH(C8115, ""押金""), ""押金往來"",
  AND(E8115&lt;&gt;"""", F8115=""""), ""真實支出"",
  AND(E8115="""", F8115&lt;&gt;""""), ""真實收入"",
  TRUE, ""其他""
)"),"其他")</f>
        <v>其他</v>
      </c>
      <c r="K8115" s="270" t="str">
        <f t="shared" si="2"/>
        <v/>
      </c>
      <c r="L8115">
        <f t="shared" si="3"/>
        <v>0</v>
      </c>
    </row>
    <row r="8116">
      <c r="A8116" s="107"/>
      <c r="D8116" s="270"/>
      <c r="H8116" s="106" t="str">
        <f t="shared" si="1"/>
        <v/>
      </c>
      <c r="J8116" t="str">
        <f>IFERROR(__xludf.DUMMYFUNCTION("IFS(
  AND(REGEXMATCH(E8116, ""台銀籌備帳戶|玉山帳戶""), REGEXMATCH(C8116, ""薪資"")), ""分潤支出"",
  AND(REGEXMATCH(E8116, ""Ben帳戶|Elsa帳戶|Ben代墊|Ariel代墊|中信銀行共用""), REGEXMATCH(F8116, ""Ben帳戶|Elsa帳戶|Ben代墊|Ariel代墊|中信銀行共用"")), ""內部轉帳(忽略)"",
  AND(E8116&lt;&gt;"""", F8116&lt;&gt;"""", N"&amp;"OT(REGEXMATCH(C8116, ""薪資""))), ""內部轉帳(忽略)"",
  REGEXMATCH(C8116, ""薪資""), ""薪資變動(不計入)"",
  REGEXMATCH(C8116, ""押金""), ""押金往來"",
  AND(E8116&lt;&gt;"""", F8116=""""), ""真實支出"",
  AND(E8116="""", F8116&lt;&gt;""""), ""真實收入"",
  TRUE, ""其他""
)"),"其他")</f>
        <v>其他</v>
      </c>
      <c r="K8116" s="270" t="str">
        <f t="shared" si="2"/>
        <v/>
      </c>
      <c r="L8116">
        <f t="shared" si="3"/>
        <v>0</v>
      </c>
    </row>
    <row r="8117">
      <c r="A8117" s="107"/>
      <c r="D8117" s="270"/>
      <c r="H8117" s="106" t="str">
        <f t="shared" si="1"/>
        <v/>
      </c>
      <c r="J8117" t="str">
        <f>IFERROR(__xludf.DUMMYFUNCTION("IFS(
  AND(REGEXMATCH(E8117, ""台銀籌備帳戶|玉山帳戶""), REGEXMATCH(C8117, ""薪資"")), ""分潤支出"",
  AND(REGEXMATCH(E8117, ""Ben帳戶|Elsa帳戶|Ben代墊|Ariel代墊|中信銀行共用""), REGEXMATCH(F8117, ""Ben帳戶|Elsa帳戶|Ben代墊|Ariel代墊|中信銀行共用"")), ""內部轉帳(忽略)"",
  AND(E8117&lt;&gt;"""", F8117&lt;&gt;"""", N"&amp;"OT(REGEXMATCH(C8117, ""薪資""))), ""內部轉帳(忽略)"",
  REGEXMATCH(C8117, ""薪資""), ""薪資變動(不計入)"",
  REGEXMATCH(C8117, ""押金""), ""押金往來"",
  AND(E8117&lt;&gt;"""", F8117=""""), ""真實支出"",
  AND(E8117="""", F8117&lt;&gt;""""), ""真實收入"",
  TRUE, ""其他""
)"),"其他")</f>
        <v>其他</v>
      </c>
      <c r="K8117" s="270" t="str">
        <f t="shared" si="2"/>
        <v/>
      </c>
      <c r="L8117">
        <f t="shared" si="3"/>
        <v>0</v>
      </c>
    </row>
    <row r="8118">
      <c r="A8118" s="107"/>
      <c r="D8118" s="270"/>
      <c r="H8118" s="106" t="str">
        <f t="shared" si="1"/>
        <v/>
      </c>
      <c r="J8118" t="str">
        <f>IFERROR(__xludf.DUMMYFUNCTION("IFS(
  AND(REGEXMATCH(E8118, ""台銀籌備帳戶|玉山帳戶""), REGEXMATCH(C8118, ""薪資"")), ""分潤支出"",
  AND(REGEXMATCH(E8118, ""Ben帳戶|Elsa帳戶|Ben代墊|Ariel代墊|中信銀行共用""), REGEXMATCH(F8118, ""Ben帳戶|Elsa帳戶|Ben代墊|Ariel代墊|中信銀行共用"")), ""內部轉帳(忽略)"",
  AND(E8118&lt;&gt;"""", F8118&lt;&gt;"""", N"&amp;"OT(REGEXMATCH(C8118, ""薪資""))), ""內部轉帳(忽略)"",
  REGEXMATCH(C8118, ""薪資""), ""薪資變動(不計入)"",
  REGEXMATCH(C8118, ""押金""), ""押金往來"",
  AND(E8118&lt;&gt;"""", F8118=""""), ""真實支出"",
  AND(E8118="""", F8118&lt;&gt;""""), ""真實收入"",
  TRUE, ""其他""
)"),"其他")</f>
        <v>其他</v>
      </c>
      <c r="K8118" s="270" t="str">
        <f t="shared" si="2"/>
        <v/>
      </c>
      <c r="L8118">
        <f t="shared" si="3"/>
        <v>0</v>
      </c>
    </row>
    <row r="8119">
      <c r="A8119" s="107"/>
      <c r="D8119" s="270"/>
      <c r="H8119" s="106" t="str">
        <f t="shared" si="1"/>
        <v/>
      </c>
      <c r="J8119" t="str">
        <f>IFERROR(__xludf.DUMMYFUNCTION("IFS(
  AND(REGEXMATCH(E8119, ""台銀籌備帳戶|玉山帳戶""), REGEXMATCH(C8119, ""薪資"")), ""分潤支出"",
  AND(REGEXMATCH(E8119, ""Ben帳戶|Elsa帳戶|Ben代墊|Ariel代墊|中信銀行共用""), REGEXMATCH(F8119, ""Ben帳戶|Elsa帳戶|Ben代墊|Ariel代墊|中信銀行共用"")), ""內部轉帳(忽略)"",
  AND(E8119&lt;&gt;"""", F8119&lt;&gt;"""", N"&amp;"OT(REGEXMATCH(C8119, ""薪資""))), ""內部轉帳(忽略)"",
  REGEXMATCH(C8119, ""薪資""), ""薪資變動(不計入)"",
  REGEXMATCH(C8119, ""押金""), ""押金往來"",
  AND(E8119&lt;&gt;"""", F8119=""""), ""真實支出"",
  AND(E8119="""", F8119&lt;&gt;""""), ""真實收入"",
  TRUE, ""其他""
)"),"其他")</f>
        <v>其他</v>
      </c>
      <c r="K8119" s="270" t="str">
        <f t="shared" si="2"/>
        <v/>
      </c>
      <c r="L8119">
        <f t="shared" si="3"/>
        <v>0</v>
      </c>
    </row>
    <row r="8120">
      <c r="A8120" s="107"/>
      <c r="D8120" s="270"/>
      <c r="H8120" s="106" t="str">
        <f t="shared" si="1"/>
        <v/>
      </c>
      <c r="J8120" t="str">
        <f>IFERROR(__xludf.DUMMYFUNCTION("IFS(
  AND(REGEXMATCH(E8120, ""台銀籌備帳戶|玉山帳戶""), REGEXMATCH(C8120, ""薪資"")), ""分潤支出"",
  AND(REGEXMATCH(E8120, ""Ben帳戶|Elsa帳戶|Ben代墊|Ariel代墊|中信銀行共用""), REGEXMATCH(F8120, ""Ben帳戶|Elsa帳戶|Ben代墊|Ariel代墊|中信銀行共用"")), ""內部轉帳(忽略)"",
  AND(E8120&lt;&gt;"""", F8120&lt;&gt;"""", N"&amp;"OT(REGEXMATCH(C8120, ""薪資""))), ""內部轉帳(忽略)"",
  REGEXMATCH(C8120, ""薪資""), ""薪資變動(不計入)"",
  REGEXMATCH(C8120, ""押金""), ""押金往來"",
  AND(E8120&lt;&gt;"""", F8120=""""), ""真實支出"",
  AND(E8120="""", F8120&lt;&gt;""""), ""真實收入"",
  TRUE, ""其他""
)"),"其他")</f>
        <v>其他</v>
      </c>
      <c r="K8120" s="270" t="str">
        <f t="shared" si="2"/>
        <v/>
      </c>
      <c r="L8120">
        <f t="shared" si="3"/>
        <v>0</v>
      </c>
    </row>
    <row r="8121">
      <c r="A8121" s="107"/>
      <c r="D8121" s="270"/>
      <c r="H8121" s="106" t="str">
        <f t="shared" si="1"/>
        <v/>
      </c>
      <c r="J8121" t="str">
        <f>IFERROR(__xludf.DUMMYFUNCTION("IFS(
  AND(REGEXMATCH(E8121, ""台銀籌備帳戶|玉山帳戶""), REGEXMATCH(C8121, ""薪資"")), ""分潤支出"",
  AND(REGEXMATCH(E8121, ""Ben帳戶|Elsa帳戶|Ben代墊|Ariel代墊|中信銀行共用""), REGEXMATCH(F8121, ""Ben帳戶|Elsa帳戶|Ben代墊|Ariel代墊|中信銀行共用"")), ""內部轉帳(忽略)"",
  AND(E8121&lt;&gt;"""", F8121&lt;&gt;"""", N"&amp;"OT(REGEXMATCH(C8121, ""薪資""))), ""內部轉帳(忽略)"",
  REGEXMATCH(C8121, ""薪資""), ""薪資變動(不計入)"",
  REGEXMATCH(C8121, ""押金""), ""押金往來"",
  AND(E8121&lt;&gt;"""", F8121=""""), ""真實支出"",
  AND(E8121="""", F8121&lt;&gt;""""), ""真實收入"",
  TRUE, ""其他""
)"),"其他")</f>
        <v>其他</v>
      </c>
      <c r="K8121" s="270" t="str">
        <f t="shared" si="2"/>
        <v/>
      </c>
      <c r="L8121">
        <f t="shared" si="3"/>
        <v>0</v>
      </c>
    </row>
    <row r="8122">
      <c r="A8122" s="107"/>
      <c r="D8122" s="270"/>
      <c r="H8122" s="106" t="str">
        <f t="shared" si="1"/>
        <v/>
      </c>
      <c r="J8122" t="str">
        <f>IFERROR(__xludf.DUMMYFUNCTION("IFS(
  AND(REGEXMATCH(E8122, ""台銀籌備帳戶|玉山帳戶""), REGEXMATCH(C8122, ""薪資"")), ""分潤支出"",
  AND(REGEXMATCH(E8122, ""Ben帳戶|Elsa帳戶|Ben代墊|Ariel代墊|中信銀行共用""), REGEXMATCH(F8122, ""Ben帳戶|Elsa帳戶|Ben代墊|Ariel代墊|中信銀行共用"")), ""內部轉帳(忽略)"",
  AND(E8122&lt;&gt;"""", F8122&lt;&gt;"""", N"&amp;"OT(REGEXMATCH(C8122, ""薪資""))), ""內部轉帳(忽略)"",
  REGEXMATCH(C8122, ""薪資""), ""薪資變動(不計入)"",
  REGEXMATCH(C8122, ""押金""), ""押金往來"",
  AND(E8122&lt;&gt;"""", F8122=""""), ""真實支出"",
  AND(E8122="""", F8122&lt;&gt;""""), ""真實收入"",
  TRUE, ""其他""
)"),"其他")</f>
        <v>其他</v>
      </c>
      <c r="K8122" s="270" t="str">
        <f t="shared" si="2"/>
        <v/>
      </c>
      <c r="L8122">
        <f t="shared" si="3"/>
        <v>0</v>
      </c>
    </row>
    <row r="8123">
      <c r="A8123" s="107"/>
      <c r="D8123" s="270"/>
      <c r="H8123" s="106" t="str">
        <f t="shared" si="1"/>
        <v/>
      </c>
      <c r="J8123" t="str">
        <f>IFERROR(__xludf.DUMMYFUNCTION("IFS(
  AND(REGEXMATCH(E8123, ""台銀籌備帳戶|玉山帳戶""), REGEXMATCH(C8123, ""薪資"")), ""分潤支出"",
  AND(REGEXMATCH(E8123, ""Ben帳戶|Elsa帳戶|Ben代墊|Ariel代墊|中信銀行共用""), REGEXMATCH(F8123, ""Ben帳戶|Elsa帳戶|Ben代墊|Ariel代墊|中信銀行共用"")), ""內部轉帳(忽略)"",
  AND(E8123&lt;&gt;"""", F8123&lt;&gt;"""", N"&amp;"OT(REGEXMATCH(C8123, ""薪資""))), ""內部轉帳(忽略)"",
  REGEXMATCH(C8123, ""薪資""), ""薪資變動(不計入)"",
  REGEXMATCH(C8123, ""押金""), ""押金往來"",
  AND(E8123&lt;&gt;"""", F8123=""""), ""真實支出"",
  AND(E8123="""", F8123&lt;&gt;""""), ""真實收入"",
  TRUE, ""其他""
)"),"其他")</f>
        <v>其他</v>
      </c>
      <c r="K8123" s="270" t="str">
        <f t="shared" si="2"/>
        <v/>
      </c>
      <c r="L8123">
        <f t="shared" si="3"/>
        <v>0</v>
      </c>
    </row>
    <row r="8124">
      <c r="A8124" s="107"/>
      <c r="D8124" s="270"/>
      <c r="H8124" s="106" t="str">
        <f t="shared" si="1"/>
        <v/>
      </c>
      <c r="J8124" t="str">
        <f>IFERROR(__xludf.DUMMYFUNCTION("IFS(
  AND(REGEXMATCH(E8124, ""台銀籌備帳戶|玉山帳戶""), REGEXMATCH(C8124, ""薪資"")), ""分潤支出"",
  AND(REGEXMATCH(E8124, ""Ben帳戶|Elsa帳戶|Ben代墊|Ariel代墊|中信銀行共用""), REGEXMATCH(F8124, ""Ben帳戶|Elsa帳戶|Ben代墊|Ariel代墊|中信銀行共用"")), ""內部轉帳(忽略)"",
  AND(E8124&lt;&gt;"""", F8124&lt;&gt;"""", N"&amp;"OT(REGEXMATCH(C8124, ""薪資""))), ""內部轉帳(忽略)"",
  REGEXMATCH(C8124, ""薪資""), ""薪資變動(不計入)"",
  REGEXMATCH(C8124, ""押金""), ""押金往來"",
  AND(E8124&lt;&gt;"""", F8124=""""), ""真實支出"",
  AND(E8124="""", F8124&lt;&gt;""""), ""真實收入"",
  TRUE, ""其他""
)"),"其他")</f>
        <v>其他</v>
      </c>
      <c r="K8124" s="270" t="str">
        <f t="shared" si="2"/>
        <v/>
      </c>
      <c r="L8124">
        <f t="shared" si="3"/>
        <v>0</v>
      </c>
    </row>
    <row r="8125">
      <c r="A8125" s="107"/>
      <c r="D8125" s="270"/>
      <c r="H8125" s="106" t="str">
        <f t="shared" si="1"/>
        <v/>
      </c>
      <c r="J8125" t="str">
        <f>IFERROR(__xludf.DUMMYFUNCTION("IFS(
  AND(REGEXMATCH(E8125, ""台銀籌備帳戶|玉山帳戶""), REGEXMATCH(C8125, ""薪資"")), ""分潤支出"",
  AND(REGEXMATCH(E8125, ""Ben帳戶|Elsa帳戶|Ben代墊|Ariel代墊|中信銀行共用""), REGEXMATCH(F8125, ""Ben帳戶|Elsa帳戶|Ben代墊|Ariel代墊|中信銀行共用"")), ""內部轉帳(忽略)"",
  AND(E8125&lt;&gt;"""", F8125&lt;&gt;"""", N"&amp;"OT(REGEXMATCH(C8125, ""薪資""))), ""內部轉帳(忽略)"",
  REGEXMATCH(C8125, ""薪資""), ""薪資變動(不計入)"",
  REGEXMATCH(C8125, ""押金""), ""押金往來"",
  AND(E8125&lt;&gt;"""", F8125=""""), ""真實支出"",
  AND(E8125="""", F8125&lt;&gt;""""), ""真實收入"",
  TRUE, ""其他""
)"),"其他")</f>
        <v>其他</v>
      </c>
      <c r="K8125" s="270" t="str">
        <f t="shared" si="2"/>
        <v/>
      </c>
      <c r="L8125">
        <f t="shared" si="3"/>
        <v>0</v>
      </c>
    </row>
    <row r="8126">
      <c r="A8126" s="107"/>
      <c r="D8126" s="270"/>
      <c r="H8126" s="106" t="str">
        <f t="shared" si="1"/>
        <v/>
      </c>
      <c r="J8126" t="str">
        <f>IFERROR(__xludf.DUMMYFUNCTION("IFS(
  AND(REGEXMATCH(E8126, ""台銀籌備帳戶|玉山帳戶""), REGEXMATCH(C8126, ""薪資"")), ""分潤支出"",
  AND(REGEXMATCH(E8126, ""Ben帳戶|Elsa帳戶|Ben代墊|Ariel代墊|中信銀行共用""), REGEXMATCH(F8126, ""Ben帳戶|Elsa帳戶|Ben代墊|Ariel代墊|中信銀行共用"")), ""內部轉帳(忽略)"",
  AND(E8126&lt;&gt;"""", F8126&lt;&gt;"""", N"&amp;"OT(REGEXMATCH(C8126, ""薪資""))), ""內部轉帳(忽略)"",
  REGEXMATCH(C8126, ""薪資""), ""薪資變動(不計入)"",
  REGEXMATCH(C8126, ""押金""), ""押金往來"",
  AND(E8126&lt;&gt;"""", F8126=""""), ""真實支出"",
  AND(E8126="""", F8126&lt;&gt;""""), ""真實收入"",
  TRUE, ""其他""
)"),"其他")</f>
        <v>其他</v>
      </c>
      <c r="K8126" s="270" t="str">
        <f t="shared" si="2"/>
        <v/>
      </c>
      <c r="L8126">
        <f t="shared" si="3"/>
        <v>0</v>
      </c>
    </row>
    <row r="8127">
      <c r="A8127" s="107"/>
      <c r="D8127" s="270"/>
      <c r="H8127" s="106" t="str">
        <f t="shared" si="1"/>
        <v/>
      </c>
      <c r="J8127" t="str">
        <f>IFERROR(__xludf.DUMMYFUNCTION("IFS(
  AND(REGEXMATCH(E8127, ""台銀籌備帳戶|玉山帳戶""), REGEXMATCH(C8127, ""薪資"")), ""分潤支出"",
  AND(REGEXMATCH(E8127, ""Ben帳戶|Elsa帳戶|Ben代墊|Ariel代墊|中信銀行共用""), REGEXMATCH(F8127, ""Ben帳戶|Elsa帳戶|Ben代墊|Ariel代墊|中信銀行共用"")), ""內部轉帳(忽略)"",
  AND(E8127&lt;&gt;"""", F8127&lt;&gt;"""", N"&amp;"OT(REGEXMATCH(C8127, ""薪資""))), ""內部轉帳(忽略)"",
  REGEXMATCH(C8127, ""薪資""), ""薪資變動(不計入)"",
  REGEXMATCH(C8127, ""押金""), ""押金往來"",
  AND(E8127&lt;&gt;"""", F8127=""""), ""真實支出"",
  AND(E8127="""", F8127&lt;&gt;""""), ""真實收入"",
  TRUE, ""其他""
)"),"其他")</f>
        <v>其他</v>
      </c>
      <c r="K8127" s="270" t="str">
        <f t="shared" si="2"/>
        <v/>
      </c>
      <c r="L8127">
        <f t="shared" si="3"/>
        <v>0</v>
      </c>
    </row>
    <row r="8128">
      <c r="A8128" s="107"/>
      <c r="D8128" s="270"/>
      <c r="H8128" s="106" t="str">
        <f t="shared" si="1"/>
        <v/>
      </c>
      <c r="J8128" t="str">
        <f>IFERROR(__xludf.DUMMYFUNCTION("IFS(
  AND(REGEXMATCH(E8128, ""台銀籌備帳戶|玉山帳戶""), REGEXMATCH(C8128, ""薪資"")), ""分潤支出"",
  AND(REGEXMATCH(E8128, ""Ben帳戶|Elsa帳戶|Ben代墊|Ariel代墊|中信銀行共用""), REGEXMATCH(F8128, ""Ben帳戶|Elsa帳戶|Ben代墊|Ariel代墊|中信銀行共用"")), ""內部轉帳(忽略)"",
  AND(E8128&lt;&gt;"""", F8128&lt;&gt;"""", N"&amp;"OT(REGEXMATCH(C8128, ""薪資""))), ""內部轉帳(忽略)"",
  REGEXMATCH(C8128, ""薪資""), ""薪資變動(不計入)"",
  REGEXMATCH(C8128, ""押金""), ""押金往來"",
  AND(E8128&lt;&gt;"""", F8128=""""), ""真實支出"",
  AND(E8128="""", F8128&lt;&gt;""""), ""真實收入"",
  TRUE, ""其他""
)"),"其他")</f>
        <v>其他</v>
      </c>
      <c r="K8128" s="270" t="str">
        <f t="shared" si="2"/>
        <v/>
      </c>
      <c r="L8128">
        <f t="shared" si="3"/>
        <v>0</v>
      </c>
    </row>
    <row r="8129">
      <c r="A8129" s="107"/>
      <c r="D8129" s="270"/>
      <c r="H8129" s="106" t="str">
        <f t="shared" si="1"/>
        <v/>
      </c>
      <c r="J8129" t="str">
        <f>IFERROR(__xludf.DUMMYFUNCTION("IFS(
  AND(REGEXMATCH(E8129, ""台銀籌備帳戶|玉山帳戶""), REGEXMATCH(C8129, ""薪資"")), ""分潤支出"",
  AND(REGEXMATCH(E8129, ""Ben帳戶|Elsa帳戶|Ben代墊|Ariel代墊|中信銀行共用""), REGEXMATCH(F8129, ""Ben帳戶|Elsa帳戶|Ben代墊|Ariel代墊|中信銀行共用"")), ""內部轉帳(忽略)"",
  AND(E8129&lt;&gt;"""", F8129&lt;&gt;"""", N"&amp;"OT(REGEXMATCH(C8129, ""薪資""))), ""內部轉帳(忽略)"",
  REGEXMATCH(C8129, ""薪資""), ""薪資變動(不計入)"",
  REGEXMATCH(C8129, ""押金""), ""押金往來"",
  AND(E8129&lt;&gt;"""", F8129=""""), ""真實支出"",
  AND(E8129="""", F8129&lt;&gt;""""), ""真實收入"",
  TRUE, ""其他""
)"),"其他")</f>
        <v>其他</v>
      </c>
      <c r="K8129" s="270" t="str">
        <f t="shared" si="2"/>
        <v/>
      </c>
      <c r="L8129">
        <f t="shared" si="3"/>
        <v>0</v>
      </c>
    </row>
    <row r="8130">
      <c r="A8130" s="107"/>
      <c r="D8130" s="270"/>
      <c r="H8130" s="106" t="str">
        <f t="shared" si="1"/>
        <v/>
      </c>
      <c r="J8130" t="str">
        <f>IFERROR(__xludf.DUMMYFUNCTION("IFS(
  AND(REGEXMATCH(E8130, ""台銀籌備帳戶|玉山帳戶""), REGEXMATCH(C8130, ""薪資"")), ""分潤支出"",
  AND(REGEXMATCH(E8130, ""Ben帳戶|Elsa帳戶|Ben代墊|Ariel代墊|中信銀行共用""), REGEXMATCH(F8130, ""Ben帳戶|Elsa帳戶|Ben代墊|Ariel代墊|中信銀行共用"")), ""內部轉帳(忽略)"",
  AND(E8130&lt;&gt;"""", F8130&lt;&gt;"""", N"&amp;"OT(REGEXMATCH(C8130, ""薪資""))), ""內部轉帳(忽略)"",
  REGEXMATCH(C8130, ""薪資""), ""薪資變動(不計入)"",
  REGEXMATCH(C8130, ""押金""), ""押金往來"",
  AND(E8130&lt;&gt;"""", F8130=""""), ""真實支出"",
  AND(E8130="""", F8130&lt;&gt;""""), ""真實收入"",
  TRUE, ""其他""
)"),"其他")</f>
        <v>其他</v>
      </c>
      <c r="K8130" s="270" t="str">
        <f t="shared" si="2"/>
        <v/>
      </c>
      <c r="L8130">
        <f t="shared" si="3"/>
        <v>0</v>
      </c>
    </row>
    <row r="8131">
      <c r="A8131" s="107"/>
      <c r="D8131" s="270"/>
      <c r="H8131" s="106" t="str">
        <f t="shared" si="1"/>
        <v/>
      </c>
      <c r="J8131" t="str">
        <f>IFERROR(__xludf.DUMMYFUNCTION("IFS(
  AND(REGEXMATCH(E8131, ""台銀籌備帳戶|玉山帳戶""), REGEXMATCH(C8131, ""薪資"")), ""分潤支出"",
  AND(REGEXMATCH(E8131, ""Ben帳戶|Elsa帳戶|Ben代墊|Ariel代墊|中信銀行共用""), REGEXMATCH(F8131, ""Ben帳戶|Elsa帳戶|Ben代墊|Ariel代墊|中信銀行共用"")), ""內部轉帳(忽略)"",
  AND(E8131&lt;&gt;"""", F8131&lt;&gt;"""", N"&amp;"OT(REGEXMATCH(C8131, ""薪資""))), ""內部轉帳(忽略)"",
  REGEXMATCH(C8131, ""薪資""), ""薪資變動(不計入)"",
  REGEXMATCH(C8131, ""押金""), ""押金往來"",
  AND(E8131&lt;&gt;"""", F8131=""""), ""真實支出"",
  AND(E8131="""", F8131&lt;&gt;""""), ""真實收入"",
  TRUE, ""其他""
)"),"其他")</f>
        <v>其他</v>
      </c>
      <c r="K8131" s="270" t="str">
        <f t="shared" si="2"/>
        <v/>
      </c>
      <c r="L8131">
        <f t="shared" si="3"/>
        <v>0</v>
      </c>
    </row>
    <row r="8132">
      <c r="A8132" s="107"/>
      <c r="D8132" s="270"/>
      <c r="H8132" s="106" t="str">
        <f t="shared" si="1"/>
        <v/>
      </c>
      <c r="J8132" t="str">
        <f>IFERROR(__xludf.DUMMYFUNCTION("IFS(
  AND(REGEXMATCH(E8132, ""台銀籌備帳戶|玉山帳戶""), REGEXMATCH(C8132, ""薪資"")), ""分潤支出"",
  AND(REGEXMATCH(E8132, ""Ben帳戶|Elsa帳戶|Ben代墊|Ariel代墊|中信銀行共用""), REGEXMATCH(F8132, ""Ben帳戶|Elsa帳戶|Ben代墊|Ariel代墊|中信銀行共用"")), ""內部轉帳(忽略)"",
  AND(E8132&lt;&gt;"""", F8132&lt;&gt;"""", N"&amp;"OT(REGEXMATCH(C8132, ""薪資""))), ""內部轉帳(忽略)"",
  REGEXMATCH(C8132, ""薪資""), ""薪資變動(不計入)"",
  REGEXMATCH(C8132, ""押金""), ""押金往來"",
  AND(E8132&lt;&gt;"""", F8132=""""), ""真實支出"",
  AND(E8132="""", F8132&lt;&gt;""""), ""真實收入"",
  TRUE, ""其他""
)"),"其他")</f>
        <v>其他</v>
      </c>
      <c r="K8132" s="270" t="str">
        <f t="shared" si="2"/>
        <v/>
      </c>
      <c r="L8132">
        <f t="shared" si="3"/>
        <v>0</v>
      </c>
    </row>
    <row r="8133">
      <c r="A8133" s="107"/>
      <c r="D8133" s="270"/>
      <c r="H8133" s="106" t="str">
        <f t="shared" si="1"/>
        <v/>
      </c>
      <c r="J8133" t="str">
        <f>IFERROR(__xludf.DUMMYFUNCTION("IFS(
  AND(REGEXMATCH(E8133, ""台銀籌備帳戶|玉山帳戶""), REGEXMATCH(C8133, ""薪資"")), ""分潤支出"",
  AND(REGEXMATCH(E8133, ""Ben帳戶|Elsa帳戶|Ben代墊|Ariel代墊|中信銀行共用""), REGEXMATCH(F8133, ""Ben帳戶|Elsa帳戶|Ben代墊|Ariel代墊|中信銀行共用"")), ""內部轉帳(忽略)"",
  AND(E8133&lt;&gt;"""", F8133&lt;&gt;"""", N"&amp;"OT(REGEXMATCH(C8133, ""薪資""))), ""內部轉帳(忽略)"",
  REGEXMATCH(C8133, ""薪資""), ""薪資變動(不計入)"",
  REGEXMATCH(C8133, ""押金""), ""押金往來"",
  AND(E8133&lt;&gt;"""", F8133=""""), ""真實支出"",
  AND(E8133="""", F8133&lt;&gt;""""), ""真實收入"",
  TRUE, ""其他""
)"),"其他")</f>
        <v>其他</v>
      </c>
      <c r="K8133" s="270" t="str">
        <f t="shared" si="2"/>
        <v/>
      </c>
      <c r="L8133">
        <f t="shared" si="3"/>
        <v>0</v>
      </c>
    </row>
    <row r="8134">
      <c r="A8134" s="107"/>
      <c r="D8134" s="270"/>
      <c r="H8134" s="106" t="str">
        <f t="shared" si="1"/>
        <v/>
      </c>
      <c r="J8134" t="str">
        <f>IFERROR(__xludf.DUMMYFUNCTION("IFS(
  AND(REGEXMATCH(E8134, ""台銀籌備帳戶|玉山帳戶""), REGEXMATCH(C8134, ""薪資"")), ""分潤支出"",
  AND(REGEXMATCH(E8134, ""Ben帳戶|Elsa帳戶|Ben代墊|Ariel代墊|中信銀行共用""), REGEXMATCH(F8134, ""Ben帳戶|Elsa帳戶|Ben代墊|Ariel代墊|中信銀行共用"")), ""內部轉帳(忽略)"",
  AND(E8134&lt;&gt;"""", F8134&lt;&gt;"""", N"&amp;"OT(REGEXMATCH(C8134, ""薪資""))), ""內部轉帳(忽略)"",
  REGEXMATCH(C8134, ""薪資""), ""薪資變動(不計入)"",
  REGEXMATCH(C8134, ""押金""), ""押金往來"",
  AND(E8134&lt;&gt;"""", F8134=""""), ""真實支出"",
  AND(E8134="""", F8134&lt;&gt;""""), ""真實收入"",
  TRUE, ""其他""
)"),"其他")</f>
        <v>其他</v>
      </c>
      <c r="K8134" s="270" t="str">
        <f t="shared" si="2"/>
        <v/>
      </c>
      <c r="L8134">
        <f t="shared" si="3"/>
        <v>0</v>
      </c>
    </row>
    <row r="8135">
      <c r="A8135" s="107"/>
      <c r="D8135" s="270"/>
      <c r="H8135" s="106" t="str">
        <f t="shared" si="1"/>
        <v/>
      </c>
      <c r="J8135" t="str">
        <f>IFERROR(__xludf.DUMMYFUNCTION("IFS(
  AND(REGEXMATCH(E8135, ""台銀籌備帳戶|玉山帳戶""), REGEXMATCH(C8135, ""薪資"")), ""分潤支出"",
  AND(REGEXMATCH(E8135, ""Ben帳戶|Elsa帳戶|Ben代墊|Ariel代墊|中信銀行共用""), REGEXMATCH(F8135, ""Ben帳戶|Elsa帳戶|Ben代墊|Ariel代墊|中信銀行共用"")), ""內部轉帳(忽略)"",
  AND(E8135&lt;&gt;"""", F8135&lt;&gt;"""", N"&amp;"OT(REGEXMATCH(C8135, ""薪資""))), ""內部轉帳(忽略)"",
  REGEXMATCH(C8135, ""薪資""), ""薪資變動(不計入)"",
  REGEXMATCH(C8135, ""押金""), ""押金往來"",
  AND(E8135&lt;&gt;"""", F8135=""""), ""真實支出"",
  AND(E8135="""", F8135&lt;&gt;""""), ""真實收入"",
  TRUE, ""其他""
)"),"其他")</f>
        <v>其他</v>
      </c>
      <c r="K8135" s="270" t="str">
        <f t="shared" si="2"/>
        <v/>
      </c>
      <c r="L8135">
        <f t="shared" si="3"/>
        <v>0</v>
      </c>
    </row>
    <row r="8136">
      <c r="A8136" s="107"/>
      <c r="D8136" s="270"/>
      <c r="H8136" s="106" t="str">
        <f t="shared" si="1"/>
        <v/>
      </c>
      <c r="J8136" t="str">
        <f>IFERROR(__xludf.DUMMYFUNCTION("IFS(
  AND(REGEXMATCH(E8136, ""台銀籌備帳戶|玉山帳戶""), REGEXMATCH(C8136, ""薪資"")), ""分潤支出"",
  AND(REGEXMATCH(E8136, ""Ben帳戶|Elsa帳戶|Ben代墊|Ariel代墊|中信銀行共用""), REGEXMATCH(F8136, ""Ben帳戶|Elsa帳戶|Ben代墊|Ariel代墊|中信銀行共用"")), ""內部轉帳(忽略)"",
  AND(E8136&lt;&gt;"""", F8136&lt;&gt;"""", N"&amp;"OT(REGEXMATCH(C8136, ""薪資""))), ""內部轉帳(忽略)"",
  REGEXMATCH(C8136, ""薪資""), ""薪資變動(不計入)"",
  REGEXMATCH(C8136, ""押金""), ""押金往來"",
  AND(E8136&lt;&gt;"""", F8136=""""), ""真實支出"",
  AND(E8136="""", F8136&lt;&gt;""""), ""真實收入"",
  TRUE, ""其他""
)"),"其他")</f>
        <v>其他</v>
      </c>
      <c r="K8136" s="270" t="str">
        <f t="shared" si="2"/>
        <v/>
      </c>
      <c r="L8136">
        <f t="shared" si="3"/>
        <v>0</v>
      </c>
    </row>
    <row r="8137">
      <c r="A8137" s="107"/>
      <c r="D8137" s="270"/>
      <c r="H8137" s="106" t="str">
        <f t="shared" si="1"/>
        <v/>
      </c>
      <c r="J8137" t="str">
        <f>IFERROR(__xludf.DUMMYFUNCTION("IFS(
  AND(REGEXMATCH(E8137, ""台銀籌備帳戶|玉山帳戶""), REGEXMATCH(C8137, ""薪資"")), ""分潤支出"",
  AND(REGEXMATCH(E8137, ""Ben帳戶|Elsa帳戶|Ben代墊|Ariel代墊|中信銀行共用""), REGEXMATCH(F8137, ""Ben帳戶|Elsa帳戶|Ben代墊|Ariel代墊|中信銀行共用"")), ""內部轉帳(忽略)"",
  AND(E8137&lt;&gt;"""", F8137&lt;&gt;"""", N"&amp;"OT(REGEXMATCH(C8137, ""薪資""))), ""內部轉帳(忽略)"",
  REGEXMATCH(C8137, ""薪資""), ""薪資變動(不計入)"",
  REGEXMATCH(C8137, ""押金""), ""押金往來"",
  AND(E8137&lt;&gt;"""", F8137=""""), ""真實支出"",
  AND(E8137="""", F8137&lt;&gt;""""), ""真實收入"",
  TRUE, ""其他""
)"),"其他")</f>
        <v>其他</v>
      </c>
      <c r="K8137" s="270" t="str">
        <f t="shared" si="2"/>
        <v/>
      </c>
      <c r="L8137">
        <f t="shared" si="3"/>
        <v>0</v>
      </c>
    </row>
    <row r="8138">
      <c r="A8138" s="107"/>
      <c r="D8138" s="270"/>
      <c r="H8138" s="106" t="str">
        <f t="shared" si="1"/>
        <v/>
      </c>
      <c r="J8138" t="str">
        <f>IFERROR(__xludf.DUMMYFUNCTION("IFS(
  AND(REGEXMATCH(E8138, ""台銀籌備帳戶|玉山帳戶""), REGEXMATCH(C8138, ""薪資"")), ""分潤支出"",
  AND(REGEXMATCH(E8138, ""Ben帳戶|Elsa帳戶|Ben代墊|Ariel代墊|中信銀行共用""), REGEXMATCH(F8138, ""Ben帳戶|Elsa帳戶|Ben代墊|Ariel代墊|中信銀行共用"")), ""內部轉帳(忽略)"",
  AND(E8138&lt;&gt;"""", F8138&lt;&gt;"""", N"&amp;"OT(REGEXMATCH(C8138, ""薪資""))), ""內部轉帳(忽略)"",
  REGEXMATCH(C8138, ""薪資""), ""薪資變動(不計入)"",
  REGEXMATCH(C8138, ""押金""), ""押金往來"",
  AND(E8138&lt;&gt;"""", F8138=""""), ""真實支出"",
  AND(E8138="""", F8138&lt;&gt;""""), ""真實收入"",
  TRUE, ""其他""
)"),"其他")</f>
        <v>其他</v>
      </c>
      <c r="K8138" s="270" t="str">
        <f t="shared" si="2"/>
        <v/>
      </c>
      <c r="L8138">
        <f t="shared" si="3"/>
        <v>0</v>
      </c>
    </row>
    <row r="8139">
      <c r="A8139" s="107"/>
      <c r="D8139" s="270"/>
      <c r="H8139" s="106" t="str">
        <f t="shared" si="1"/>
        <v/>
      </c>
      <c r="J8139" t="str">
        <f>IFERROR(__xludf.DUMMYFUNCTION("IFS(
  AND(REGEXMATCH(E8139, ""台銀籌備帳戶|玉山帳戶""), REGEXMATCH(C8139, ""薪資"")), ""分潤支出"",
  AND(REGEXMATCH(E8139, ""Ben帳戶|Elsa帳戶|Ben代墊|Ariel代墊|中信銀行共用""), REGEXMATCH(F8139, ""Ben帳戶|Elsa帳戶|Ben代墊|Ariel代墊|中信銀行共用"")), ""內部轉帳(忽略)"",
  AND(E8139&lt;&gt;"""", F8139&lt;&gt;"""", N"&amp;"OT(REGEXMATCH(C8139, ""薪資""))), ""內部轉帳(忽略)"",
  REGEXMATCH(C8139, ""薪資""), ""薪資變動(不計入)"",
  REGEXMATCH(C8139, ""押金""), ""押金往來"",
  AND(E8139&lt;&gt;"""", F8139=""""), ""真實支出"",
  AND(E8139="""", F8139&lt;&gt;""""), ""真實收入"",
  TRUE, ""其他""
)"),"其他")</f>
        <v>其他</v>
      </c>
      <c r="K8139" s="270" t="str">
        <f t="shared" si="2"/>
        <v/>
      </c>
      <c r="L8139">
        <f t="shared" si="3"/>
        <v>0</v>
      </c>
    </row>
    <row r="8140">
      <c r="A8140" s="107"/>
      <c r="D8140" s="270"/>
      <c r="H8140" s="106" t="str">
        <f t="shared" si="1"/>
        <v/>
      </c>
      <c r="J8140" t="str">
        <f>IFERROR(__xludf.DUMMYFUNCTION("IFS(
  AND(REGEXMATCH(E8140, ""台銀籌備帳戶|玉山帳戶""), REGEXMATCH(C8140, ""薪資"")), ""分潤支出"",
  AND(REGEXMATCH(E8140, ""Ben帳戶|Elsa帳戶|Ben代墊|Ariel代墊|中信銀行共用""), REGEXMATCH(F8140, ""Ben帳戶|Elsa帳戶|Ben代墊|Ariel代墊|中信銀行共用"")), ""內部轉帳(忽略)"",
  AND(E8140&lt;&gt;"""", F8140&lt;&gt;"""", N"&amp;"OT(REGEXMATCH(C8140, ""薪資""))), ""內部轉帳(忽略)"",
  REGEXMATCH(C8140, ""薪資""), ""薪資變動(不計入)"",
  REGEXMATCH(C8140, ""押金""), ""押金往來"",
  AND(E8140&lt;&gt;"""", F8140=""""), ""真實支出"",
  AND(E8140="""", F8140&lt;&gt;""""), ""真實收入"",
  TRUE, ""其他""
)"),"其他")</f>
        <v>其他</v>
      </c>
      <c r="K8140" s="270" t="str">
        <f t="shared" si="2"/>
        <v/>
      </c>
      <c r="L8140">
        <f t="shared" si="3"/>
        <v>0</v>
      </c>
    </row>
    <row r="8141">
      <c r="A8141" s="107"/>
      <c r="D8141" s="270"/>
      <c r="H8141" s="106" t="str">
        <f t="shared" si="1"/>
        <v/>
      </c>
      <c r="J8141" t="str">
        <f>IFERROR(__xludf.DUMMYFUNCTION("IFS(
  AND(REGEXMATCH(E8141, ""台銀籌備帳戶|玉山帳戶""), REGEXMATCH(C8141, ""薪資"")), ""分潤支出"",
  AND(REGEXMATCH(E8141, ""Ben帳戶|Elsa帳戶|Ben代墊|Ariel代墊|中信銀行共用""), REGEXMATCH(F8141, ""Ben帳戶|Elsa帳戶|Ben代墊|Ariel代墊|中信銀行共用"")), ""內部轉帳(忽略)"",
  AND(E8141&lt;&gt;"""", F8141&lt;&gt;"""", N"&amp;"OT(REGEXMATCH(C8141, ""薪資""))), ""內部轉帳(忽略)"",
  REGEXMATCH(C8141, ""薪資""), ""薪資變動(不計入)"",
  REGEXMATCH(C8141, ""押金""), ""押金往來"",
  AND(E8141&lt;&gt;"""", F8141=""""), ""真實支出"",
  AND(E8141="""", F8141&lt;&gt;""""), ""真實收入"",
  TRUE, ""其他""
)"),"其他")</f>
        <v>其他</v>
      </c>
      <c r="K8141" s="270" t="str">
        <f t="shared" si="2"/>
        <v/>
      </c>
      <c r="L8141">
        <f t="shared" si="3"/>
        <v>0</v>
      </c>
    </row>
    <row r="8142">
      <c r="A8142" s="107"/>
      <c r="D8142" s="270"/>
      <c r="H8142" s="106" t="str">
        <f t="shared" si="1"/>
        <v/>
      </c>
      <c r="J8142" t="str">
        <f>IFERROR(__xludf.DUMMYFUNCTION("IFS(
  AND(REGEXMATCH(E8142, ""台銀籌備帳戶|玉山帳戶""), REGEXMATCH(C8142, ""薪資"")), ""分潤支出"",
  AND(REGEXMATCH(E8142, ""Ben帳戶|Elsa帳戶|Ben代墊|Ariel代墊|中信銀行共用""), REGEXMATCH(F8142, ""Ben帳戶|Elsa帳戶|Ben代墊|Ariel代墊|中信銀行共用"")), ""內部轉帳(忽略)"",
  AND(E8142&lt;&gt;"""", F8142&lt;&gt;"""", N"&amp;"OT(REGEXMATCH(C8142, ""薪資""))), ""內部轉帳(忽略)"",
  REGEXMATCH(C8142, ""薪資""), ""薪資變動(不計入)"",
  REGEXMATCH(C8142, ""押金""), ""押金往來"",
  AND(E8142&lt;&gt;"""", F8142=""""), ""真實支出"",
  AND(E8142="""", F8142&lt;&gt;""""), ""真實收入"",
  TRUE, ""其他""
)"),"其他")</f>
        <v>其他</v>
      </c>
      <c r="K8142" s="270" t="str">
        <f t="shared" si="2"/>
        <v/>
      </c>
      <c r="L8142">
        <f t="shared" si="3"/>
        <v>0</v>
      </c>
    </row>
    <row r="8143">
      <c r="A8143" s="107"/>
      <c r="D8143" s="270"/>
      <c r="H8143" s="106" t="str">
        <f t="shared" si="1"/>
        <v/>
      </c>
      <c r="J8143" t="str">
        <f>IFERROR(__xludf.DUMMYFUNCTION("IFS(
  AND(REGEXMATCH(E8143, ""台銀籌備帳戶|玉山帳戶""), REGEXMATCH(C8143, ""薪資"")), ""分潤支出"",
  AND(REGEXMATCH(E8143, ""Ben帳戶|Elsa帳戶|Ben代墊|Ariel代墊|中信銀行共用""), REGEXMATCH(F8143, ""Ben帳戶|Elsa帳戶|Ben代墊|Ariel代墊|中信銀行共用"")), ""內部轉帳(忽略)"",
  AND(E8143&lt;&gt;"""", F8143&lt;&gt;"""", N"&amp;"OT(REGEXMATCH(C8143, ""薪資""))), ""內部轉帳(忽略)"",
  REGEXMATCH(C8143, ""薪資""), ""薪資變動(不計入)"",
  REGEXMATCH(C8143, ""押金""), ""押金往來"",
  AND(E8143&lt;&gt;"""", F8143=""""), ""真實支出"",
  AND(E8143="""", F8143&lt;&gt;""""), ""真實收入"",
  TRUE, ""其他""
)"),"其他")</f>
        <v>其他</v>
      </c>
      <c r="K8143" s="270" t="str">
        <f t="shared" si="2"/>
        <v/>
      </c>
      <c r="L8143">
        <f t="shared" si="3"/>
        <v>0</v>
      </c>
    </row>
    <row r="8144">
      <c r="A8144" s="107"/>
      <c r="D8144" s="270"/>
      <c r="H8144" s="106" t="str">
        <f t="shared" si="1"/>
        <v/>
      </c>
      <c r="J8144" t="str">
        <f>IFERROR(__xludf.DUMMYFUNCTION("IFS(
  AND(REGEXMATCH(E8144, ""台銀籌備帳戶|玉山帳戶""), REGEXMATCH(C8144, ""薪資"")), ""分潤支出"",
  AND(REGEXMATCH(E8144, ""Ben帳戶|Elsa帳戶|Ben代墊|Ariel代墊|中信銀行共用""), REGEXMATCH(F8144, ""Ben帳戶|Elsa帳戶|Ben代墊|Ariel代墊|中信銀行共用"")), ""內部轉帳(忽略)"",
  AND(E8144&lt;&gt;"""", F8144&lt;&gt;"""", N"&amp;"OT(REGEXMATCH(C8144, ""薪資""))), ""內部轉帳(忽略)"",
  REGEXMATCH(C8144, ""薪資""), ""薪資變動(不計入)"",
  REGEXMATCH(C8144, ""押金""), ""押金往來"",
  AND(E8144&lt;&gt;"""", F8144=""""), ""真實支出"",
  AND(E8144="""", F8144&lt;&gt;""""), ""真實收入"",
  TRUE, ""其他""
)"),"其他")</f>
        <v>其他</v>
      </c>
      <c r="K8144" s="270" t="str">
        <f t="shared" si="2"/>
        <v/>
      </c>
      <c r="L8144">
        <f t="shared" si="3"/>
        <v>0</v>
      </c>
    </row>
    <row r="8145">
      <c r="A8145" s="107"/>
      <c r="D8145" s="270"/>
      <c r="H8145" s="106" t="str">
        <f t="shared" si="1"/>
        <v/>
      </c>
      <c r="J8145" t="str">
        <f>IFERROR(__xludf.DUMMYFUNCTION("IFS(
  AND(REGEXMATCH(E8145, ""台銀籌備帳戶|玉山帳戶""), REGEXMATCH(C8145, ""薪資"")), ""分潤支出"",
  AND(REGEXMATCH(E8145, ""Ben帳戶|Elsa帳戶|Ben代墊|Ariel代墊|中信銀行共用""), REGEXMATCH(F8145, ""Ben帳戶|Elsa帳戶|Ben代墊|Ariel代墊|中信銀行共用"")), ""內部轉帳(忽略)"",
  AND(E8145&lt;&gt;"""", F8145&lt;&gt;"""", N"&amp;"OT(REGEXMATCH(C8145, ""薪資""))), ""內部轉帳(忽略)"",
  REGEXMATCH(C8145, ""薪資""), ""薪資變動(不計入)"",
  REGEXMATCH(C8145, ""押金""), ""押金往來"",
  AND(E8145&lt;&gt;"""", F8145=""""), ""真實支出"",
  AND(E8145="""", F8145&lt;&gt;""""), ""真實收入"",
  TRUE, ""其他""
)"),"其他")</f>
        <v>其他</v>
      </c>
      <c r="K8145" s="270" t="str">
        <f t="shared" si="2"/>
        <v/>
      </c>
      <c r="L8145">
        <f t="shared" si="3"/>
        <v>0</v>
      </c>
    </row>
    <row r="8146">
      <c r="A8146" s="107"/>
      <c r="D8146" s="270"/>
      <c r="H8146" s="106" t="str">
        <f t="shared" si="1"/>
        <v/>
      </c>
      <c r="J8146" t="str">
        <f>IFERROR(__xludf.DUMMYFUNCTION("IFS(
  AND(REGEXMATCH(E8146, ""台銀籌備帳戶|玉山帳戶""), REGEXMATCH(C8146, ""薪資"")), ""分潤支出"",
  AND(REGEXMATCH(E8146, ""Ben帳戶|Elsa帳戶|Ben代墊|Ariel代墊|中信銀行共用""), REGEXMATCH(F8146, ""Ben帳戶|Elsa帳戶|Ben代墊|Ariel代墊|中信銀行共用"")), ""內部轉帳(忽略)"",
  AND(E8146&lt;&gt;"""", F8146&lt;&gt;"""", N"&amp;"OT(REGEXMATCH(C8146, ""薪資""))), ""內部轉帳(忽略)"",
  REGEXMATCH(C8146, ""薪資""), ""薪資變動(不計入)"",
  REGEXMATCH(C8146, ""押金""), ""押金往來"",
  AND(E8146&lt;&gt;"""", F8146=""""), ""真實支出"",
  AND(E8146="""", F8146&lt;&gt;""""), ""真實收入"",
  TRUE, ""其他""
)"),"其他")</f>
        <v>其他</v>
      </c>
      <c r="K8146" s="270" t="str">
        <f t="shared" si="2"/>
        <v/>
      </c>
      <c r="L8146">
        <f t="shared" si="3"/>
        <v>0</v>
      </c>
    </row>
    <row r="8147">
      <c r="A8147" s="107"/>
      <c r="D8147" s="270"/>
      <c r="H8147" s="106" t="str">
        <f t="shared" si="1"/>
        <v/>
      </c>
      <c r="J8147" t="str">
        <f>IFERROR(__xludf.DUMMYFUNCTION("IFS(
  AND(REGEXMATCH(E8147, ""台銀籌備帳戶|玉山帳戶""), REGEXMATCH(C8147, ""薪資"")), ""分潤支出"",
  AND(REGEXMATCH(E8147, ""Ben帳戶|Elsa帳戶|Ben代墊|Ariel代墊|中信銀行共用""), REGEXMATCH(F8147, ""Ben帳戶|Elsa帳戶|Ben代墊|Ariel代墊|中信銀行共用"")), ""內部轉帳(忽略)"",
  AND(E8147&lt;&gt;"""", F8147&lt;&gt;"""", N"&amp;"OT(REGEXMATCH(C8147, ""薪資""))), ""內部轉帳(忽略)"",
  REGEXMATCH(C8147, ""薪資""), ""薪資變動(不計入)"",
  REGEXMATCH(C8147, ""押金""), ""押金往來"",
  AND(E8147&lt;&gt;"""", F8147=""""), ""真實支出"",
  AND(E8147="""", F8147&lt;&gt;""""), ""真實收入"",
  TRUE, ""其他""
)"),"其他")</f>
        <v>其他</v>
      </c>
      <c r="K8147" s="270" t="str">
        <f t="shared" si="2"/>
        <v/>
      </c>
      <c r="L8147">
        <f t="shared" si="3"/>
        <v>0</v>
      </c>
    </row>
    <row r="8148">
      <c r="A8148" s="107"/>
      <c r="D8148" s="270"/>
      <c r="H8148" s="106" t="str">
        <f t="shared" si="1"/>
        <v/>
      </c>
      <c r="J8148" t="str">
        <f>IFERROR(__xludf.DUMMYFUNCTION("IFS(
  AND(REGEXMATCH(E8148, ""台銀籌備帳戶|玉山帳戶""), REGEXMATCH(C8148, ""薪資"")), ""分潤支出"",
  AND(REGEXMATCH(E8148, ""Ben帳戶|Elsa帳戶|Ben代墊|Ariel代墊|中信銀行共用""), REGEXMATCH(F8148, ""Ben帳戶|Elsa帳戶|Ben代墊|Ariel代墊|中信銀行共用"")), ""內部轉帳(忽略)"",
  AND(E8148&lt;&gt;"""", F8148&lt;&gt;"""", N"&amp;"OT(REGEXMATCH(C8148, ""薪資""))), ""內部轉帳(忽略)"",
  REGEXMATCH(C8148, ""薪資""), ""薪資變動(不計入)"",
  REGEXMATCH(C8148, ""押金""), ""押金往來"",
  AND(E8148&lt;&gt;"""", F8148=""""), ""真實支出"",
  AND(E8148="""", F8148&lt;&gt;""""), ""真實收入"",
  TRUE, ""其他""
)"),"其他")</f>
        <v>其他</v>
      </c>
      <c r="K8148" s="270" t="str">
        <f t="shared" si="2"/>
        <v/>
      </c>
      <c r="L8148">
        <f t="shared" si="3"/>
        <v>0</v>
      </c>
    </row>
    <row r="8149">
      <c r="A8149" s="107"/>
      <c r="D8149" s="270"/>
      <c r="H8149" s="106" t="str">
        <f t="shared" si="1"/>
        <v/>
      </c>
      <c r="J8149" t="str">
        <f>IFERROR(__xludf.DUMMYFUNCTION("IFS(
  AND(REGEXMATCH(E8149, ""台銀籌備帳戶|玉山帳戶""), REGEXMATCH(C8149, ""薪資"")), ""分潤支出"",
  AND(REGEXMATCH(E8149, ""Ben帳戶|Elsa帳戶|Ben代墊|Ariel代墊|中信銀行共用""), REGEXMATCH(F8149, ""Ben帳戶|Elsa帳戶|Ben代墊|Ariel代墊|中信銀行共用"")), ""內部轉帳(忽略)"",
  AND(E8149&lt;&gt;"""", F8149&lt;&gt;"""", N"&amp;"OT(REGEXMATCH(C8149, ""薪資""))), ""內部轉帳(忽略)"",
  REGEXMATCH(C8149, ""薪資""), ""薪資變動(不計入)"",
  REGEXMATCH(C8149, ""押金""), ""押金往來"",
  AND(E8149&lt;&gt;"""", F8149=""""), ""真實支出"",
  AND(E8149="""", F8149&lt;&gt;""""), ""真實收入"",
  TRUE, ""其他""
)"),"其他")</f>
        <v>其他</v>
      </c>
      <c r="K8149" s="270" t="str">
        <f t="shared" si="2"/>
        <v/>
      </c>
      <c r="L8149">
        <f t="shared" si="3"/>
        <v>0</v>
      </c>
    </row>
    <row r="8150">
      <c r="A8150" s="107"/>
      <c r="D8150" s="270"/>
      <c r="H8150" s="106" t="str">
        <f t="shared" si="1"/>
        <v/>
      </c>
      <c r="J8150" t="str">
        <f>IFERROR(__xludf.DUMMYFUNCTION("IFS(
  AND(REGEXMATCH(E8150, ""台銀籌備帳戶|玉山帳戶""), REGEXMATCH(C8150, ""薪資"")), ""分潤支出"",
  AND(REGEXMATCH(E8150, ""Ben帳戶|Elsa帳戶|Ben代墊|Ariel代墊|中信銀行共用""), REGEXMATCH(F8150, ""Ben帳戶|Elsa帳戶|Ben代墊|Ariel代墊|中信銀行共用"")), ""內部轉帳(忽略)"",
  AND(E8150&lt;&gt;"""", F8150&lt;&gt;"""", N"&amp;"OT(REGEXMATCH(C8150, ""薪資""))), ""內部轉帳(忽略)"",
  REGEXMATCH(C8150, ""薪資""), ""薪資變動(不計入)"",
  REGEXMATCH(C8150, ""押金""), ""押金往來"",
  AND(E8150&lt;&gt;"""", F8150=""""), ""真實支出"",
  AND(E8150="""", F8150&lt;&gt;""""), ""真實收入"",
  TRUE, ""其他""
)"),"其他")</f>
        <v>其他</v>
      </c>
      <c r="K8150" s="270" t="str">
        <f t="shared" si="2"/>
        <v/>
      </c>
      <c r="L8150">
        <f t="shared" si="3"/>
        <v>0</v>
      </c>
    </row>
    <row r="8151">
      <c r="A8151" s="107"/>
      <c r="D8151" s="270"/>
      <c r="H8151" s="106" t="str">
        <f t="shared" si="1"/>
        <v/>
      </c>
      <c r="J8151" t="str">
        <f>IFERROR(__xludf.DUMMYFUNCTION("IFS(
  AND(REGEXMATCH(E8151, ""台銀籌備帳戶|玉山帳戶""), REGEXMATCH(C8151, ""薪資"")), ""分潤支出"",
  AND(REGEXMATCH(E8151, ""Ben帳戶|Elsa帳戶|Ben代墊|Ariel代墊|中信銀行共用""), REGEXMATCH(F8151, ""Ben帳戶|Elsa帳戶|Ben代墊|Ariel代墊|中信銀行共用"")), ""內部轉帳(忽略)"",
  AND(E8151&lt;&gt;"""", F8151&lt;&gt;"""", N"&amp;"OT(REGEXMATCH(C8151, ""薪資""))), ""內部轉帳(忽略)"",
  REGEXMATCH(C8151, ""薪資""), ""薪資變動(不計入)"",
  REGEXMATCH(C8151, ""押金""), ""押金往來"",
  AND(E8151&lt;&gt;"""", F8151=""""), ""真實支出"",
  AND(E8151="""", F8151&lt;&gt;""""), ""真實收入"",
  TRUE, ""其他""
)"),"其他")</f>
        <v>其他</v>
      </c>
      <c r="K8151" s="270" t="str">
        <f t="shared" si="2"/>
        <v/>
      </c>
      <c r="L8151">
        <f t="shared" si="3"/>
        <v>0</v>
      </c>
    </row>
    <row r="8152">
      <c r="A8152" s="107"/>
      <c r="D8152" s="270"/>
      <c r="H8152" s="106" t="str">
        <f t="shared" si="1"/>
        <v/>
      </c>
      <c r="J8152" t="str">
        <f>IFERROR(__xludf.DUMMYFUNCTION("IFS(
  AND(REGEXMATCH(E8152, ""台銀籌備帳戶|玉山帳戶""), REGEXMATCH(C8152, ""薪資"")), ""分潤支出"",
  AND(REGEXMATCH(E8152, ""Ben帳戶|Elsa帳戶|Ben代墊|Ariel代墊|中信銀行共用""), REGEXMATCH(F8152, ""Ben帳戶|Elsa帳戶|Ben代墊|Ariel代墊|中信銀行共用"")), ""內部轉帳(忽略)"",
  AND(E8152&lt;&gt;"""", F8152&lt;&gt;"""", N"&amp;"OT(REGEXMATCH(C8152, ""薪資""))), ""內部轉帳(忽略)"",
  REGEXMATCH(C8152, ""薪資""), ""薪資變動(不計入)"",
  REGEXMATCH(C8152, ""押金""), ""押金往來"",
  AND(E8152&lt;&gt;"""", F8152=""""), ""真實支出"",
  AND(E8152="""", F8152&lt;&gt;""""), ""真實收入"",
  TRUE, ""其他""
)"),"其他")</f>
        <v>其他</v>
      </c>
      <c r="K8152" s="270" t="str">
        <f t="shared" si="2"/>
        <v/>
      </c>
      <c r="L8152">
        <f t="shared" si="3"/>
        <v>0</v>
      </c>
    </row>
    <row r="8153">
      <c r="A8153" s="107"/>
      <c r="D8153" s="270"/>
      <c r="H8153" s="106" t="str">
        <f t="shared" si="1"/>
        <v/>
      </c>
      <c r="J8153" t="str">
        <f>IFERROR(__xludf.DUMMYFUNCTION("IFS(
  AND(REGEXMATCH(E8153, ""台銀籌備帳戶|玉山帳戶""), REGEXMATCH(C8153, ""薪資"")), ""分潤支出"",
  AND(REGEXMATCH(E8153, ""Ben帳戶|Elsa帳戶|Ben代墊|Ariel代墊|中信銀行共用""), REGEXMATCH(F8153, ""Ben帳戶|Elsa帳戶|Ben代墊|Ariel代墊|中信銀行共用"")), ""內部轉帳(忽略)"",
  AND(E8153&lt;&gt;"""", F8153&lt;&gt;"""", N"&amp;"OT(REGEXMATCH(C8153, ""薪資""))), ""內部轉帳(忽略)"",
  REGEXMATCH(C8153, ""薪資""), ""薪資變動(不計入)"",
  REGEXMATCH(C8153, ""押金""), ""押金往來"",
  AND(E8153&lt;&gt;"""", F8153=""""), ""真實支出"",
  AND(E8153="""", F8153&lt;&gt;""""), ""真實收入"",
  TRUE, ""其他""
)"),"其他")</f>
        <v>其他</v>
      </c>
      <c r="K8153" s="270" t="str">
        <f t="shared" si="2"/>
        <v/>
      </c>
      <c r="L8153">
        <f t="shared" si="3"/>
        <v>0</v>
      </c>
    </row>
    <row r="8154">
      <c r="A8154" s="107"/>
      <c r="D8154" s="270"/>
      <c r="H8154" s="106" t="str">
        <f t="shared" si="1"/>
        <v/>
      </c>
      <c r="J8154" t="str">
        <f>IFERROR(__xludf.DUMMYFUNCTION("IFS(
  AND(REGEXMATCH(E8154, ""台銀籌備帳戶|玉山帳戶""), REGEXMATCH(C8154, ""薪資"")), ""分潤支出"",
  AND(REGEXMATCH(E8154, ""Ben帳戶|Elsa帳戶|Ben代墊|Ariel代墊|中信銀行共用""), REGEXMATCH(F8154, ""Ben帳戶|Elsa帳戶|Ben代墊|Ariel代墊|中信銀行共用"")), ""內部轉帳(忽略)"",
  AND(E8154&lt;&gt;"""", F8154&lt;&gt;"""", N"&amp;"OT(REGEXMATCH(C8154, ""薪資""))), ""內部轉帳(忽略)"",
  REGEXMATCH(C8154, ""薪資""), ""薪資變動(不計入)"",
  REGEXMATCH(C8154, ""押金""), ""押金往來"",
  AND(E8154&lt;&gt;"""", F8154=""""), ""真實支出"",
  AND(E8154="""", F8154&lt;&gt;""""), ""真實收入"",
  TRUE, ""其他""
)"),"其他")</f>
        <v>其他</v>
      </c>
      <c r="K8154" s="270" t="str">
        <f t="shared" si="2"/>
        <v/>
      </c>
      <c r="L8154">
        <f t="shared" si="3"/>
        <v>0</v>
      </c>
    </row>
    <row r="8155">
      <c r="A8155" s="107"/>
      <c r="D8155" s="270"/>
      <c r="H8155" s="106" t="str">
        <f t="shared" si="1"/>
        <v/>
      </c>
      <c r="J8155" t="str">
        <f>IFERROR(__xludf.DUMMYFUNCTION("IFS(
  AND(REGEXMATCH(E8155, ""台銀籌備帳戶|玉山帳戶""), REGEXMATCH(C8155, ""薪資"")), ""分潤支出"",
  AND(REGEXMATCH(E8155, ""Ben帳戶|Elsa帳戶|Ben代墊|Ariel代墊|中信銀行共用""), REGEXMATCH(F8155, ""Ben帳戶|Elsa帳戶|Ben代墊|Ariel代墊|中信銀行共用"")), ""內部轉帳(忽略)"",
  AND(E8155&lt;&gt;"""", F8155&lt;&gt;"""", N"&amp;"OT(REGEXMATCH(C8155, ""薪資""))), ""內部轉帳(忽略)"",
  REGEXMATCH(C8155, ""薪資""), ""薪資變動(不計入)"",
  REGEXMATCH(C8155, ""押金""), ""押金往來"",
  AND(E8155&lt;&gt;"""", F8155=""""), ""真實支出"",
  AND(E8155="""", F8155&lt;&gt;""""), ""真實收入"",
  TRUE, ""其他""
)"),"其他")</f>
        <v>其他</v>
      </c>
      <c r="K8155" s="270" t="str">
        <f t="shared" si="2"/>
        <v/>
      </c>
      <c r="L8155">
        <f t="shared" si="3"/>
        <v>0</v>
      </c>
    </row>
    <row r="8156">
      <c r="A8156" s="107"/>
      <c r="D8156" s="270"/>
      <c r="H8156" s="106" t="str">
        <f t="shared" si="1"/>
        <v/>
      </c>
      <c r="J8156" t="str">
        <f>IFERROR(__xludf.DUMMYFUNCTION("IFS(
  AND(REGEXMATCH(E8156, ""台銀籌備帳戶|玉山帳戶""), REGEXMATCH(C8156, ""薪資"")), ""分潤支出"",
  AND(REGEXMATCH(E8156, ""Ben帳戶|Elsa帳戶|Ben代墊|Ariel代墊|中信銀行共用""), REGEXMATCH(F8156, ""Ben帳戶|Elsa帳戶|Ben代墊|Ariel代墊|中信銀行共用"")), ""內部轉帳(忽略)"",
  AND(E8156&lt;&gt;"""", F8156&lt;&gt;"""", N"&amp;"OT(REGEXMATCH(C8156, ""薪資""))), ""內部轉帳(忽略)"",
  REGEXMATCH(C8156, ""薪資""), ""薪資變動(不計入)"",
  REGEXMATCH(C8156, ""押金""), ""押金往來"",
  AND(E8156&lt;&gt;"""", F8156=""""), ""真實支出"",
  AND(E8156="""", F8156&lt;&gt;""""), ""真實收入"",
  TRUE, ""其他""
)"),"其他")</f>
        <v>其他</v>
      </c>
      <c r="K8156" s="270" t="str">
        <f t="shared" si="2"/>
        <v/>
      </c>
      <c r="L8156">
        <f t="shared" si="3"/>
        <v>0</v>
      </c>
    </row>
    <row r="8157">
      <c r="A8157" s="107"/>
      <c r="D8157" s="270"/>
      <c r="H8157" s="106" t="str">
        <f t="shared" si="1"/>
        <v/>
      </c>
      <c r="J8157" t="str">
        <f>IFERROR(__xludf.DUMMYFUNCTION("IFS(
  AND(REGEXMATCH(E8157, ""台銀籌備帳戶|玉山帳戶""), REGEXMATCH(C8157, ""薪資"")), ""分潤支出"",
  AND(REGEXMATCH(E8157, ""Ben帳戶|Elsa帳戶|Ben代墊|Ariel代墊|中信銀行共用""), REGEXMATCH(F8157, ""Ben帳戶|Elsa帳戶|Ben代墊|Ariel代墊|中信銀行共用"")), ""內部轉帳(忽略)"",
  AND(E8157&lt;&gt;"""", F8157&lt;&gt;"""", N"&amp;"OT(REGEXMATCH(C8157, ""薪資""))), ""內部轉帳(忽略)"",
  REGEXMATCH(C8157, ""薪資""), ""薪資變動(不計入)"",
  REGEXMATCH(C8157, ""押金""), ""押金往來"",
  AND(E8157&lt;&gt;"""", F8157=""""), ""真實支出"",
  AND(E8157="""", F8157&lt;&gt;""""), ""真實收入"",
  TRUE, ""其他""
)"),"其他")</f>
        <v>其他</v>
      </c>
      <c r="K8157" s="270" t="str">
        <f t="shared" si="2"/>
        <v/>
      </c>
      <c r="L8157">
        <f t="shared" si="3"/>
        <v>0</v>
      </c>
    </row>
    <row r="8158">
      <c r="A8158" s="107"/>
      <c r="D8158" s="270"/>
      <c r="H8158" s="106" t="str">
        <f t="shared" si="1"/>
        <v/>
      </c>
      <c r="J8158" t="str">
        <f>IFERROR(__xludf.DUMMYFUNCTION("IFS(
  AND(REGEXMATCH(E8158, ""台銀籌備帳戶|玉山帳戶""), REGEXMATCH(C8158, ""薪資"")), ""分潤支出"",
  AND(REGEXMATCH(E8158, ""Ben帳戶|Elsa帳戶|Ben代墊|Ariel代墊|中信銀行共用""), REGEXMATCH(F8158, ""Ben帳戶|Elsa帳戶|Ben代墊|Ariel代墊|中信銀行共用"")), ""內部轉帳(忽略)"",
  AND(E8158&lt;&gt;"""", F8158&lt;&gt;"""", N"&amp;"OT(REGEXMATCH(C8158, ""薪資""))), ""內部轉帳(忽略)"",
  REGEXMATCH(C8158, ""薪資""), ""薪資變動(不計入)"",
  REGEXMATCH(C8158, ""押金""), ""押金往來"",
  AND(E8158&lt;&gt;"""", F8158=""""), ""真實支出"",
  AND(E8158="""", F8158&lt;&gt;""""), ""真實收入"",
  TRUE, ""其他""
)"),"其他")</f>
        <v>其他</v>
      </c>
      <c r="K8158" s="270" t="str">
        <f t="shared" si="2"/>
        <v/>
      </c>
      <c r="L8158">
        <f t="shared" si="3"/>
        <v>0</v>
      </c>
    </row>
    <row r="8159">
      <c r="A8159" s="107"/>
      <c r="D8159" s="270"/>
      <c r="H8159" s="106" t="str">
        <f t="shared" si="1"/>
        <v/>
      </c>
      <c r="J8159" t="str">
        <f>IFERROR(__xludf.DUMMYFUNCTION("IFS(
  AND(REGEXMATCH(E8159, ""台銀籌備帳戶|玉山帳戶""), REGEXMATCH(C8159, ""薪資"")), ""分潤支出"",
  AND(REGEXMATCH(E8159, ""Ben帳戶|Elsa帳戶|Ben代墊|Ariel代墊|中信銀行共用""), REGEXMATCH(F8159, ""Ben帳戶|Elsa帳戶|Ben代墊|Ariel代墊|中信銀行共用"")), ""內部轉帳(忽略)"",
  AND(E8159&lt;&gt;"""", F8159&lt;&gt;"""", N"&amp;"OT(REGEXMATCH(C8159, ""薪資""))), ""內部轉帳(忽略)"",
  REGEXMATCH(C8159, ""薪資""), ""薪資變動(不計入)"",
  REGEXMATCH(C8159, ""押金""), ""押金往來"",
  AND(E8159&lt;&gt;"""", F8159=""""), ""真實支出"",
  AND(E8159="""", F8159&lt;&gt;""""), ""真實收入"",
  TRUE, ""其他""
)"),"其他")</f>
        <v>其他</v>
      </c>
      <c r="K8159" s="270" t="str">
        <f t="shared" si="2"/>
        <v/>
      </c>
      <c r="L8159">
        <f t="shared" si="3"/>
        <v>0</v>
      </c>
    </row>
    <row r="8160">
      <c r="A8160" s="107"/>
      <c r="D8160" s="270"/>
      <c r="H8160" s="106" t="str">
        <f t="shared" si="1"/>
        <v/>
      </c>
      <c r="J8160" t="str">
        <f>IFERROR(__xludf.DUMMYFUNCTION("IFS(
  AND(REGEXMATCH(E8160, ""台銀籌備帳戶|玉山帳戶""), REGEXMATCH(C8160, ""薪資"")), ""分潤支出"",
  AND(REGEXMATCH(E8160, ""Ben帳戶|Elsa帳戶|Ben代墊|Ariel代墊|中信銀行共用""), REGEXMATCH(F8160, ""Ben帳戶|Elsa帳戶|Ben代墊|Ariel代墊|中信銀行共用"")), ""內部轉帳(忽略)"",
  AND(E8160&lt;&gt;"""", F8160&lt;&gt;"""", N"&amp;"OT(REGEXMATCH(C8160, ""薪資""))), ""內部轉帳(忽略)"",
  REGEXMATCH(C8160, ""薪資""), ""薪資變動(不計入)"",
  REGEXMATCH(C8160, ""押金""), ""押金往來"",
  AND(E8160&lt;&gt;"""", F8160=""""), ""真實支出"",
  AND(E8160="""", F8160&lt;&gt;""""), ""真實收入"",
  TRUE, ""其他""
)"),"其他")</f>
        <v>其他</v>
      </c>
      <c r="K8160" s="270" t="str">
        <f t="shared" si="2"/>
        <v/>
      </c>
      <c r="L8160">
        <f t="shared" si="3"/>
        <v>0</v>
      </c>
    </row>
    <row r="8161">
      <c r="A8161" s="107"/>
      <c r="D8161" s="270"/>
      <c r="H8161" s="106" t="str">
        <f t="shared" si="1"/>
        <v/>
      </c>
      <c r="J8161" t="str">
        <f>IFERROR(__xludf.DUMMYFUNCTION("IFS(
  AND(REGEXMATCH(E8161, ""台銀籌備帳戶|玉山帳戶""), REGEXMATCH(C8161, ""薪資"")), ""分潤支出"",
  AND(REGEXMATCH(E8161, ""Ben帳戶|Elsa帳戶|Ben代墊|Ariel代墊|中信銀行共用""), REGEXMATCH(F8161, ""Ben帳戶|Elsa帳戶|Ben代墊|Ariel代墊|中信銀行共用"")), ""內部轉帳(忽略)"",
  AND(E8161&lt;&gt;"""", F8161&lt;&gt;"""", N"&amp;"OT(REGEXMATCH(C8161, ""薪資""))), ""內部轉帳(忽略)"",
  REGEXMATCH(C8161, ""薪資""), ""薪資變動(不計入)"",
  REGEXMATCH(C8161, ""押金""), ""押金往來"",
  AND(E8161&lt;&gt;"""", F8161=""""), ""真實支出"",
  AND(E8161="""", F8161&lt;&gt;""""), ""真實收入"",
  TRUE, ""其他""
)"),"其他")</f>
        <v>其他</v>
      </c>
      <c r="K8161" s="270" t="str">
        <f t="shared" si="2"/>
        <v/>
      </c>
      <c r="L8161">
        <f t="shared" si="3"/>
        <v>0</v>
      </c>
    </row>
    <row r="8162">
      <c r="A8162" s="107"/>
      <c r="D8162" s="270"/>
      <c r="H8162" s="106" t="str">
        <f t="shared" si="1"/>
        <v/>
      </c>
      <c r="J8162" t="str">
        <f>IFERROR(__xludf.DUMMYFUNCTION("IFS(
  AND(REGEXMATCH(E8162, ""台銀籌備帳戶|玉山帳戶""), REGEXMATCH(C8162, ""薪資"")), ""分潤支出"",
  AND(REGEXMATCH(E8162, ""Ben帳戶|Elsa帳戶|Ben代墊|Ariel代墊|中信銀行共用""), REGEXMATCH(F8162, ""Ben帳戶|Elsa帳戶|Ben代墊|Ariel代墊|中信銀行共用"")), ""內部轉帳(忽略)"",
  AND(E8162&lt;&gt;"""", F8162&lt;&gt;"""", N"&amp;"OT(REGEXMATCH(C8162, ""薪資""))), ""內部轉帳(忽略)"",
  REGEXMATCH(C8162, ""薪資""), ""薪資變動(不計入)"",
  REGEXMATCH(C8162, ""押金""), ""押金往來"",
  AND(E8162&lt;&gt;"""", F8162=""""), ""真實支出"",
  AND(E8162="""", F8162&lt;&gt;""""), ""真實收入"",
  TRUE, ""其他""
)"),"其他")</f>
        <v>其他</v>
      </c>
      <c r="K8162" s="270" t="str">
        <f t="shared" si="2"/>
        <v/>
      </c>
      <c r="L8162">
        <f t="shared" si="3"/>
        <v>0</v>
      </c>
    </row>
    <row r="8163">
      <c r="A8163" s="107"/>
      <c r="D8163" s="270"/>
      <c r="H8163" s="106" t="str">
        <f t="shared" si="1"/>
        <v/>
      </c>
      <c r="J8163" t="str">
        <f>IFERROR(__xludf.DUMMYFUNCTION("IFS(
  AND(REGEXMATCH(E8163, ""台銀籌備帳戶|玉山帳戶""), REGEXMATCH(C8163, ""薪資"")), ""分潤支出"",
  AND(REGEXMATCH(E8163, ""Ben帳戶|Elsa帳戶|Ben代墊|Ariel代墊|中信銀行共用""), REGEXMATCH(F8163, ""Ben帳戶|Elsa帳戶|Ben代墊|Ariel代墊|中信銀行共用"")), ""內部轉帳(忽略)"",
  AND(E8163&lt;&gt;"""", F8163&lt;&gt;"""", N"&amp;"OT(REGEXMATCH(C8163, ""薪資""))), ""內部轉帳(忽略)"",
  REGEXMATCH(C8163, ""薪資""), ""薪資變動(不計入)"",
  REGEXMATCH(C8163, ""押金""), ""押金往來"",
  AND(E8163&lt;&gt;"""", F8163=""""), ""真實支出"",
  AND(E8163="""", F8163&lt;&gt;""""), ""真實收入"",
  TRUE, ""其他""
)"),"其他")</f>
        <v>其他</v>
      </c>
      <c r="K8163" s="270" t="str">
        <f t="shared" si="2"/>
        <v/>
      </c>
      <c r="L8163">
        <f t="shared" si="3"/>
        <v>0</v>
      </c>
    </row>
    <row r="8164">
      <c r="A8164" s="107"/>
      <c r="D8164" s="270"/>
      <c r="H8164" s="106" t="str">
        <f t="shared" si="1"/>
        <v/>
      </c>
      <c r="J8164" t="str">
        <f>IFERROR(__xludf.DUMMYFUNCTION("IFS(
  AND(REGEXMATCH(E8164, ""台銀籌備帳戶|玉山帳戶""), REGEXMATCH(C8164, ""薪資"")), ""分潤支出"",
  AND(REGEXMATCH(E8164, ""Ben帳戶|Elsa帳戶|Ben代墊|Ariel代墊|中信銀行共用""), REGEXMATCH(F8164, ""Ben帳戶|Elsa帳戶|Ben代墊|Ariel代墊|中信銀行共用"")), ""內部轉帳(忽略)"",
  AND(E8164&lt;&gt;"""", F8164&lt;&gt;"""", N"&amp;"OT(REGEXMATCH(C8164, ""薪資""))), ""內部轉帳(忽略)"",
  REGEXMATCH(C8164, ""薪資""), ""薪資變動(不計入)"",
  REGEXMATCH(C8164, ""押金""), ""押金往來"",
  AND(E8164&lt;&gt;"""", F8164=""""), ""真實支出"",
  AND(E8164="""", F8164&lt;&gt;""""), ""真實收入"",
  TRUE, ""其他""
)"),"其他")</f>
        <v>其他</v>
      </c>
      <c r="K8164" s="270" t="str">
        <f t="shared" si="2"/>
        <v/>
      </c>
      <c r="L8164">
        <f t="shared" si="3"/>
        <v>0</v>
      </c>
    </row>
    <row r="8165">
      <c r="A8165" s="107"/>
      <c r="D8165" s="270"/>
      <c r="H8165" s="106" t="str">
        <f t="shared" si="1"/>
        <v/>
      </c>
      <c r="J8165" t="str">
        <f>IFERROR(__xludf.DUMMYFUNCTION("IFS(
  AND(REGEXMATCH(E8165, ""台銀籌備帳戶|玉山帳戶""), REGEXMATCH(C8165, ""薪資"")), ""分潤支出"",
  AND(REGEXMATCH(E8165, ""Ben帳戶|Elsa帳戶|Ben代墊|Ariel代墊|中信銀行共用""), REGEXMATCH(F8165, ""Ben帳戶|Elsa帳戶|Ben代墊|Ariel代墊|中信銀行共用"")), ""內部轉帳(忽略)"",
  AND(E8165&lt;&gt;"""", F8165&lt;&gt;"""", N"&amp;"OT(REGEXMATCH(C8165, ""薪資""))), ""內部轉帳(忽略)"",
  REGEXMATCH(C8165, ""薪資""), ""薪資變動(不計入)"",
  REGEXMATCH(C8165, ""押金""), ""押金往來"",
  AND(E8165&lt;&gt;"""", F8165=""""), ""真實支出"",
  AND(E8165="""", F8165&lt;&gt;""""), ""真實收入"",
  TRUE, ""其他""
)"),"其他")</f>
        <v>其他</v>
      </c>
      <c r="K8165" s="270" t="str">
        <f t="shared" si="2"/>
        <v/>
      </c>
      <c r="L8165">
        <f t="shared" si="3"/>
        <v>0</v>
      </c>
    </row>
    <row r="8166">
      <c r="A8166" s="107"/>
      <c r="D8166" s="270"/>
      <c r="H8166" s="106" t="str">
        <f t="shared" si="1"/>
        <v/>
      </c>
      <c r="J8166" t="str">
        <f>IFERROR(__xludf.DUMMYFUNCTION("IFS(
  AND(REGEXMATCH(E8166, ""台銀籌備帳戶|玉山帳戶""), REGEXMATCH(C8166, ""薪資"")), ""分潤支出"",
  AND(REGEXMATCH(E8166, ""Ben帳戶|Elsa帳戶|Ben代墊|Ariel代墊|中信銀行共用""), REGEXMATCH(F8166, ""Ben帳戶|Elsa帳戶|Ben代墊|Ariel代墊|中信銀行共用"")), ""內部轉帳(忽略)"",
  AND(E8166&lt;&gt;"""", F8166&lt;&gt;"""", N"&amp;"OT(REGEXMATCH(C8166, ""薪資""))), ""內部轉帳(忽略)"",
  REGEXMATCH(C8166, ""薪資""), ""薪資變動(不計入)"",
  REGEXMATCH(C8166, ""押金""), ""押金往來"",
  AND(E8166&lt;&gt;"""", F8166=""""), ""真實支出"",
  AND(E8166="""", F8166&lt;&gt;""""), ""真實收入"",
  TRUE, ""其他""
)"),"其他")</f>
        <v>其他</v>
      </c>
      <c r="K8166" s="270" t="str">
        <f t="shared" si="2"/>
        <v/>
      </c>
      <c r="L8166">
        <f t="shared" si="3"/>
        <v>0</v>
      </c>
    </row>
    <row r="8167">
      <c r="A8167" s="107"/>
      <c r="D8167" s="270"/>
      <c r="H8167" s="106" t="str">
        <f t="shared" si="1"/>
        <v/>
      </c>
      <c r="J8167" t="str">
        <f>IFERROR(__xludf.DUMMYFUNCTION("IFS(
  AND(REGEXMATCH(E8167, ""台銀籌備帳戶|玉山帳戶""), REGEXMATCH(C8167, ""薪資"")), ""分潤支出"",
  AND(REGEXMATCH(E8167, ""Ben帳戶|Elsa帳戶|Ben代墊|Ariel代墊|中信銀行共用""), REGEXMATCH(F8167, ""Ben帳戶|Elsa帳戶|Ben代墊|Ariel代墊|中信銀行共用"")), ""內部轉帳(忽略)"",
  AND(E8167&lt;&gt;"""", F8167&lt;&gt;"""", N"&amp;"OT(REGEXMATCH(C8167, ""薪資""))), ""內部轉帳(忽略)"",
  REGEXMATCH(C8167, ""薪資""), ""薪資變動(不計入)"",
  REGEXMATCH(C8167, ""押金""), ""押金往來"",
  AND(E8167&lt;&gt;"""", F8167=""""), ""真實支出"",
  AND(E8167="""", F8167&lt;&gt;""""), ""真實收入"",
  TRUE, ""其他""
)"),"其他")</f>
        <v>其他</v>
      </c>
      <c r="K8167" s="270" t="str">
        <f t="shared" si="2"/>
        <v/>
      </c>
      <c r="L8167">
        <f t="shared" si="3"/>
        <v>0</v>
      </c>
    </row>
    <row r="8168">
      <c r="A8168" s="107"/>
      <c r="D8168" s="270"/>
      <c r="H8168" s="106" t="str">
        <f t="shared" si="1"/>
        <v/>
      </c>
      <c r="J8168" t="str">
        <f>IFERROR(__xludf.DUMMYFUNCTION("IFS(
  AND(REGEXMATCH(E8168, ""台銀籌備帳戶|玉山帳戶""), REGEXMATCH(C8168, ""薪資"")), ""分潤支出"",
  AND(REGEXMATCH(E8168, ""Ben帳戶|Elsa帳戶|Ben代墊|Ariel代墊|中信銀行共用""), REGEXMATCH(F8168, ""Ben帳戶|Elsa帳戶|Ben代墊|Ariel代墊|中信銀行共用"")), ""內部轉帳(忽略)"",
  AND(E8168&lt;&gt;"""", F8168&lt;&gt;"""", N"&amp;"OT(REGEXMATCH(C8168, ""薪資""))), ""內部轉帳(忽略)"",
  REGEXMATCH(C8168, ""薪資""), ""薪資變動(不計入)"",
  REGEXMATCH(C8168, ""押金""), ""押金往來"",
  AND(E8168&lt;&gt;"""", F8168=""""), ""真實支出"",
  AND(E8168="""", F8168&lt;&gt;""""), ""真實收入"",
  TRUE, ""其他""
)"),"其他")</f>
        <v>其他</v>
      </c>
      <c r="K8168" s="270" t="str">
        <f t="shared" si="2"/>
        <v/>
      </c>
      <c r="L8168">
        <f t="shared" si="3"/>
        <v>0</v>
      </c>
    </row>
    <row r="8169">
      <c r="A8169" s="107"/>
      <c r="D8169" s="270"/>
      <c r="H8169" s="106" t="str">
        <f t="shared" si="1"/>
        <v/>
      </c>
      <c r="J8169" t="str">
        <f>IFERROR(__xludf.DUMMYFUNCTION("IFS(
  AND(REGEXMATCH(E8169, ""台銀籌備帳戶|玉山帳戶""), REGEXMATCH(C8169, ""薪資"")), ""分潤支出"",
  AND(REGEXMATCH(E8169, ""Ben帳戶|Elsa帳戶|Ben代墊|Ariel代墊|中信銀行共用""), REGEXMATCH(F8169, ""Ben帳戶|Elsa帳戶|Ben代墊|Ariel代墊|中信銀行共用"")), ""內部轉帳(忽略)"",
  AND(E8169&lt;&gt;"""", F8169&lt;&gt;"""", N"&amp;"OT(REGEXMATCH(C8169, ""薪資""))), ""內部轉帳(忽略)"",
  REGEXMATCH(C8169, ""薪資""), ""薪資變動(不計入)"",
  REGEXMATCH(C8169, ""押金""), ""押金往來"",
  AND(E8169&lt;&gt;"""", F8169=""""), ""真實支出"",
  AND(E8169="""", F8169&lt;&gt;""""), ""真實收入"",
  TRUE, ""其他""
)"),"其他")</f>
        <v>其他</v>
      </c>
      <c r="K8169" s="270" t="str">
        <f t="shared" si="2"/>
        <v/>
      </c>
      <c r="L8169">
        <f t="shared" si="3"/>
        <v>0</v>
      </c>
    </row>
    <row r="8170">
      <c r="A8170" s="107"/>
      <c r="D8170" s="270"/>
      <c r="H8170" s="106" t="str">
        <f t="shared" si="1"/>
        <v/>
      </c>
      <c r="J8170" t="str">
        <f>IFERROR(__xludf.DUMMYFUNCTION("IFS(
  AND(REGEXMATCH(E8170, ""台銀籌備帳戶|玉山帳戶""), REGEXMATCH(C8170, ""薪資"")), ""分潤支出"",
  AND(REGEXMATCH(E8170, ""Ben帳戶|Elsa帳戶|Ben代墊|Ariel代墊|中信銀行共用""), REGEXMATCH(F8170, ""Ben帳戶|Elsa帳戶|Ben代墊|Ariel代墊|中信銀行共用"")), ""內部轉帳(忽略)"",
  AND(E8170&lt;&gt;"""", F8170&lt;&gt;"""", N"&amp;"OT(REGEXMATCH(C8170, ""薪資""))), ""內部轉帳(忽略)"",
  REGEXMATCH(C8170, ""薪資""), ""薪資變動(不計入)"",
  REGEXMATCH(C8170, ""押金""), ""押金往來"",
  AND(E8170&lt;&gt;"""", F8170=""""), ""真實支出"",
  AND(E8170="""", F8170&lt;&gt;""""), ""真實收入"",
  TRUE, ""其他""
)"),"其他")</f>
        <v>其他</v>
      </c>
      <c r="K8170" s="270" t="str">
        <f t="shared" si="2"/>
        <v/>
      </c>
      <c r="L8170">
        <f t="shared" si="3"/>
        <v>0</v>
      </c>
    </row>
    <row r="8171">
      <c r="A8171" s="107"/>
      <c r="D8171" s="270"/>
      <c r="H8171" s="106" t="str">
        <f t="shared" si="1"/>
        <v/>
      </c>
      <c r="J8171" t="str">
        <f>IFERROR(__xludf.DUMMYFUNCTION("IFS(
  AND(REGEXMATCH(E8171, ""台銀籌備帳戶|玉山帳戶""), REGEXMATCH(C8171, ""薪資"")), ""分潤支出"",
  AND(REGEXMATCH(E8171, ""Ben帳戶|Elsa帳戶|Ben代墊|Ariel代墊|中信銀行共用""), REGEXMATCH(F8171, ""Ben帳戶|Elsa帳戶|Ben代墊|Ariel代墊|中信銀行共用"")), ""內部轉帳(忽略)"",
  AND(E8171&lt;&gt;"""", F8171&lt;&gt;"""", N"&amp;"OT(REGEXMATCH(C8171, ""薪資""))), ""內部轉帳(忽略)"",
  REGEXMATCH(C8171, ""薪資""), ""薪資變動(不計入)"",
  REGEXMATCH(C8171, ""押金""), ""押金往來"",
  AND(E8171&lt;&gt;"""", F8171=""""), ""真實支出"",
  AND(E8171="""", F8171&lt;&gt;""""), ""真實收入"",
  TRUE, ""其他""
)"),"其他")</f>
        <v>其他</v>
      </c>
      <c r="K8171" s="270" t="str">
        <f t="shared" si="2"/>
        <v/>
      </c>
      <c r="L8171">
        <f t="shared" si="3"/>
        <v>0</v>
      </c>
    </row>
    <row r="8172">
      <c r="A8172" s="107"/>
      <c r="D8172" s="270"/>
      <c r="H8172" s="106" t="str">
        <f t="shared" si="1"/>
        <v/>
      </c>
      <c r="J8172" t="str">
        <f>IFERROR(__xludf.DUMMYFUNCTION("IFS(
  AND(REGEXMATCH(E8172, ""台銀籌備帳戶|玉山帳戶""), REGEXMATCH(C8172, ""薪資"")), ""分潤支出"",
  AND(REGEXMATCH(E8172, ""Ben帳戶|Elsa帳戶|Ben代墊|Ariel代墊|中信銀行共用""), REGEXMATCH(F8172, ""Ben帳戶|Elsa帳戶|Ben代墊|Ariel代墊|中信銀行共用"")), ""內部轉帳(忽略)"",
  AND(E8172&lt;&gt;"""", F8172&lt;&gt;"""", N"&amp;"OT(REGEXMATCH(C8172, ""薪資""))), ""內部轉帳(忽略)"",
  REGEXMATCH(C8172, ""薪資""), ""薪資變動(不計入)"",
  REGEXMATCH(C8172, ""押金""), ""押金往來"",
  AND(E8172&lt;&gt;"""", F8172=""""), ""真實支出"",
  AND(E8172="""", F8172&lt;&gt;""""), ""真實收入"",
  TRUE, ""其他""
)"),"其他")</f>
        <v>其他</v>
      </c>
      <c r="K8172" s="270" t="str">
        <f t="shared" si="2"/>
        <v/>
      </c>
      <c r="L8172">
        <f t="shared" si="3"/>
        <v>0</v>
      </c>
    </row>
    <row r="8173">
      <c r="A8173" s="107"/>
      <c r="D8173" s="270"/>
      <c r="H8173" s="106" t="str">
        <f t="shared" si="1"/>
        <v/>
      </c>
      <c r="J8173" t="str">
        <f>IFERROR(__xludf.DUMMYFUNCTION("IFS(
  AND(REGEXMATCH(E8173, ""台銀籌備帳戶|玉山帳戶""), REGEXMATCH(C8173, ""薪資"")), ""分潤支出"",
  AND(REGEXMATCH(E8173, ""Ben帳戶|Elsa帳戶|Ben代墊|Ariel代墊|中信銀行共用""), REGEXMATCH(F8173, ""Ben帳戶|Elsa帳戶|Ben代墊|Ariel代墊|中信銀行共用"")), ""內部轉帳(忽略)"",
  AND(E8173&lt;&gt;"""", F8173&lt;&gt;"""", N"&amp;"OT(REGEXMATCH(C8173, ""薪資""))), ""內部轉帳(忽略)"",
  REGEXMATCH(C8173, ""薪資""), ""薪資變動(不計入)"",
  REGEXMATCH(C8173, ""押金""), ""押金往來"",
  AND(E8173&lt;&gt;"""", F8173=""""), ""真實支出"",
  AND(E8173="""", F8173&lt;&gt;""""), ""真實收入"",
  TRUE, ""其他""
)"),"其他")</f>
        <v>其他</v>
      </c>
      <c r="K8173" s="270" t="str">
        <f t="shared" si="2"/>
        <v/>
      </c>
      <c r="L8173">
        <f t="shared" si="3"/>
        <v>0</v>
      </c>
    </row>
    <row r="8174">
      <c r="A8174" s="107"/>
      <c r="D8174" s="270"/>
      <c r="H8174" s="106" t="str">
        <f t="shared" si="1"/>
        <v/>
      </c>
      <c r="J8174" t="str">
        <f>IFERROR(__xludf.DUMMYFUNCTION("IFS(
  AND(REGEXMATCH(E8174, ""台銀籌備帳戶|玉山帳戶""), REGEXMATCH(C8174, ""薪資"")), ""分潤支出"",
  AND(REGEXMATCH(E8174, ""Ben帳戶|Elsa帳戶|Ben代墊|Ariel代墊|中信銀行共用""), REGEXMATCH(F8174, ""Ben帳戶|Elsa帳戶|Ben代墊|Ariel代墊|中信銀行共用"")), ""內部轉帳(忽略)"",
  AND(E8174&lt;&gt;"""", F8174&lt;&gt;"""", N"&amp;"OT(REGEXMATCH(C8174, ""薪資""))), ""內部轉帳(忽略)"",
  REGEXMATCH(C8174, ""薪資""), ""薪資變動(不計入)"",
  REGEXMATCH(C8174, ""押金""), ""押金往來"",
  AND(E8174&lt;&gt;"""", F8174=""""), ""真實支出"",
  AND(E8174="""", F8174&lt;&gt;""""), ""真實收入"",
  TRUE, ""其他""
)"),"其他")</f>
        <v>其他</v>
      </c>
      <c r="K8174" s="270" t="str">
        <f t="shared" si="2"/>
        <v/>
      </c>
      <c r="L8174">
        <f t="shared" si="3"/>
        <v>0</v>
      </c>
    </row>
    <row r="8175">
      <c r="A8175" s="107"/>
      <c r="D8175" s="270"/>
      <c r="H8175" s="106" t="str">
        <f t="shared" si="1"/>
        <v/>
      </c>
      <c r="J8175" t="str">
        <f>IFERROR(__xludf.DUMMYFUNCTION("IFS(
  AND(REGEXMATCH(E8175, ""台銀籌備帳戶|玉山帳戶""), REGEXMATCH(C8175, ""薪資"")), ""分潤支出"",
  AND(REGEXMATCH(E8175, ""Ben帳戶|Elsa帳戶|Ben代墊|Ariel代墊|中信銀行共用""), REGEXMATCH(F8175, ""Ben帳戶|Elsa帳戶|Ben代墊|Ariel代墊|中信銀行共用"")), ""內部轉帳(忽略)"",
  AND(E8175&lt;&gt;"""", F8175&lt;&gt;"""", N"&amp;"OT(REGEXMATCH(C8175, ""薪資""))), ""內部轉帳(忽略)"",
  REGEXMATCH(C8175, ""薪資""), ""薪資變動(不計入)"",
  REGEXMATCH(C8175, ""押金""), ""押金往來"",
  AND(E8175&lt;&gt;"""", F8175=""""), ""真實支出"",
  AND(E8175="""", F8175&lt;&gt;""""), ""真實收入"",
  TRUE, ""其他""
)"),"其他")</f>
        <v>其他</v>
      </c>
      <c r="K8175" s="270" t="str">
        <f t="shared" si="2"/>
        <v/>
      </c>
      <c r="L8175">
        <f t="shared" si="3"/>
        <v>0</v>
      </c>
    </row>
    <row r="8176">
      <c r="A8176" s="107"/>
      <c r="D8176" s="270"/>
      <c r="H8176" s="106" t="str">
        <f t="shared" si="1"/>
        <v/>
      </c>
      <c r="J8176" t="str">
        <f>IFERROR(__xludf.DUMMYFUNCTION("IFS(
  AND(REGEXMATCH(E8176, ""台銀籌備帳戶|玉山帳戶""), REGEXMATCH(C8176, ""薪資"")), ""分潤支出"",
  AND(REGEXMATCH(E8176, ""Ben帳戶|Elsa帳戶|Ben代墊|Ariel代墊|中信銀行共用""), REGEXMATCH(F8176, ""Ben帳戶|Elsa帳戶|Ben代墊|Ariel代墊|中信銀行共用"")), ""內部轉帳(忽略)"",
  AND(E8176&lt;&gt;"""", F8176&lt;&gt;"""", N"&amp;"OT(REGEXMATCH(C8176, ""薪資""))), ""內部轉帳(忽略)"",
  REGEXMATCH(C8176, ""薪資""), ""薪資變動(不計入)"",
  REGEXMATCH(C8176, ""押金""), ""押金往來"",
  AND(E8176&lt;&gt;"""", F8176=""""), ""真實支出"",
  AND(E8176="""", F8176&lt;&gt;""""), ""真實收入"",
  TRUE, ""其他""
)"),"其他")</f>
        <v>其他</v>
      </c>
      <c r="K8176" s="270" t="str">
        <f t="shared" si="2"/>
        <v/>
      </c>
      <c r="L8176">
        <f t="shared" si="3"/>
        <v>0</v>
      </c>
    </row>
    <row r="8177">
      <c r="A8177" s="107"/>
      <c r="D8177" s="270"/>
      <c r="H8177" s="106" t="str">
        <f t="shared" si="1"/>
        <v/>
      </c>
      <c r="J8177" t="str">
        <f>IFERROR(__xludf.DUMMYFUNCTION("IFS(
  AND(REGEXMATCH(E8177, ""台銀籌備帳戶|玉山帳戶""), REGEXMATCH(C8177, ""薪資"")), ""分潤支出"",
  AND(REGEXMATCH(E8177, ""Ben帳戶|Elsa帳戶|Ben代墊|Ariel代墊|中信銀行共用""), REGEXMATCH(F8177, ""Ben帳戶|Elsa帳戶|Ben代墊|Ariel代墊|中信銀行共用"")), ""內部轉帳(忽略)"",
  AND(E8177&lt;&gt;"""", F8177&lt;&gt;"""", N"&amp;"OT(REGEXMATCH(C8177, ""薪資""))), ""內部轉帳(忽略)"",
  REGEXMATCH(C8177, ""薪資""), ""薪資變動(不計入)"",
  REGEXMATCH(C8177, ""押金""), ""押金往來"",
  AND(E8177&lt;&gt;"""", F8177=""""), ""真實支出"",
  AND(E8177="""", F8177&lt;&gt;""""), ""真實收入"",
  TRUE, ""其他""
)"),"其他")</f>
        <v>其他</v>
      </c>
      <c r="K8177" s="270" t="str">
        <f t="shared" si="2"/>
        <v/>
      </c>
      <c r="L8177">
        <f t="shared" si="3"/>
        <v>0</v>
      </c>
    </row>
    <row r="8178">
      <c r="A8178" s="107"/>
      <c r="D8178" s="270"/>
      <c r="H8178" s="106" t="str">
        <f t="shared" si="1"/>
        <v/>
      </c>
      <c r="J8178" t="str">
        <f>IFERROR(__xludf.DUMMYFUNCTION("IFS(
  AND(REGEXMATCH(E8178, ""台銀籌備帳戶|玉山帳戶""), REGEXMATCH(C8178, ""薪資"")), ""分潤支出"",
  AND(REGEXMATCH(E8178, ""Ben帳戶|Elsa帳戶|Ben代墊|Ariel代墊|中信銀行共用""), REGEXMATCH(F8178, ""Ben帳戶|Elsa帳戶|Ben代墊|Ariel代墊|中信銀行共用"")), ""內部轉帳(忽略)"",
  AND(E8178&lt;&gt;"""", F8178&lt;&gt;"""", N"&amp;"OT(REGEXMATCH(C8178, ""薪資""))), ""內部轉帳(忽略)"",
  REGEXMATCH(C8178, ""薪資""), ""薪資變動(不計入)"",
  REGEXMATCH(C8178, ""押金""), ""押金往來"",
  AND(E8178&lt;&gt;"""", F8178=""""), ""真實支出"",
  AND(E8178="""", F8178&lt;&gt;""""), ""真實收入"",
  TRUE, ""其他""
)"),"其他")</f>
        <v>其他</v>
      </c>
      <c r="K8178" s="270" t="str">
        <f t="shared" si="2"/>
        <v/>
      </c>
      <c r="L8178">
        <f t="shared" si="3"/>
        <v>0</v>
      </c>
    </row>
    <row r="8179">
      <c r="A8179" s="107"/>
      <c r="D8179" s="270"/>
      <c r="H8179" s="106" t="str">
        <f t="shared" si="1"/>
        <v/>
      </c>
      <c r="J8179" t="str">
        <f>IFERROR(__xludf.DUMMYFUNCTION("IFS(
  AND(REGEXMATCH(E8179, ""台銀籌備帳戶|玉山帳戶""), REGEXMATCH(C8179, ""薪資"")), ""分潤支出"",
  AND(REGEXMATCH(E8179, ""Ben帳戶|Elsa帳戶|Ben代墊|Ariel代墊|中信銀行共用""), REGEXMATCH(F8179, ""Ben帳戶|Elsa帳戶|Ben代墊|Ariel代墊|中信銀行共用"")), ""內部轉帳(忽略)"",
  AND(E8179&lt;&gt;"""", F8179&lt;&gt;"""", N"&amp;"OT(REGEXMATCH(C8179, ""薪資""))), ""內部轉帳(忽略)"",
  REGEXMATCH(C8179, ""薪資""), ""薪資變動(不計入)"",
  REGEXMATCH(C8179, ""押金""), ""押金往來"",
  AND(E8179&lt;&gt;"""", F8179=""""), ""真實支出"",
  AND(E8179="""", F8179&lt;&gt;""""), ""真實收入"",
  TRUE, ""其他""
)"),"其他")</f>
        <v>其他</v>
      </c>
      <c r="K8179" s="270" t="str">
        <f t="shared" si="2"/>
        <v/>
      </c>
      <c r="L8179">
        <f t="shared" si="3"/>
        <v>0</v>
      </c>
    </row>
    <row r="8180">
      <c r="A8180" s="107"/>
      <c r="D8180" s="270"/>
      <c r="H8180" s="106" t="str">
        <f t="shared" si="1"/>
        <v/>
      </c>
      <c r="J8180" t="str">
        <f>IFERROR(__xludf.DUMMYFUNCTION("IFS(
  AND(REGEXMATCH(E8180, ""台銀籌備帳戶|玉山帳戶""), REGEXMATCH(C8180, ""薪資"")), ""分潤支出"",
  AND(REGEXMATCH(E8180, ""Ben帳戶|Elsa帳戶|Ben代墊|Ariel代墊|中信銀行共用""), REGEXMATCH(F8180, ""Ben帳戶|Elsa帳戶|Ben代墊|Ariel代墊|中信銀行共用"")), ""內部轉帳(忽略)"",
  AND(E8180&lt;&gt;"""", F8180&lt;&gt;"""", N"&amp;"OT(REGEXMATCH(C8180, ""薪資""))), ""內部轉帳(忽略)"",
  REGEXMATCH(C8180, ""薪資""), ""薪資變動(不計入)"",
  REGEXMATCH(C8180, ""押金""), ""押金往來"",
  AND(E8180&lt;&gt;"""", F8180=""""), ""真實支出"",
  AND(E8180="""", F8180&lt;&gt;""""), ""真實收入"",
  TRUE, ""其他""
)"),"其他")</f>
        <v>其他</v>
      </c>
      <c r="K8180" s="270" t="str">
        <f t="shared" si="2"/>
        <v/>
      </c>
      <c r="L8180">
        <f t="shared" si="3"/>
        <v>0</v>
      </c>
    </row>
    <row r="8181">
      <c r="A8181" s="107"/>
      <c r="D8181" s="270"/>
      <c r="H8181" s="106" t="str">
        <f t="shared" si="1"/>
        <v/>
      </c>
      <c r="J8181" t="str">
        <f>IFERROR(__xludf.DUMMYFUNCTION("IFS(
  AND(REGEXMATCH(E8181, ""台銀籌備帳戶|玉山帳戶""), REGEXMATCH(C8181, ""薪資"")), ""分潤支出"",
  AND(REGEXMATCH(E8181, ""Ben帳戶|Elsa帳戶|Ben代墊|Ariel代墊|中信銀行共用""), REGEXMATCH(F8181, ""Ben帳戶|Elsa帳戶|Ben代墊|Ariel代墊|中信銀行共用"")), ""內部轉帳(忽略)"",
  AND(E8181&lt;&gt;"""", F8181&lt;&gt;"""", N"&amp;"OT(REGEXMATCH(C8181, ""薪資""))), ""內部轉帳(忽略)"",
  REGEXMATCH(C8181, ""薪資""), ""薪資變動(不計入)"",
  REGEXMATCH(C8181, ""押金""), ""押金往來"",
  AND(E8181&lt;&gt;"""", F8181=""""), ""真實支出"",
  AND(E8181="""", F8181&lt;&gt;""""), ""真實收入"",
  TRUE, ""其他""
)"),"其他")</f>
        <v>其他</v>
      </c>
      <c r="K8181" s="270" t="str">
        <f t="shared" si="2"/>
        <v/>
      </c>
      <c r="L8181">
        <f t="shared" si="3"/>
        <v>0</v>
      </c>
    </row>
    <row r="8182">
      <c r="A8182" s="107"/>
      <c r="D8182" s="270"/>
      <c r="H8182" s="106" t="str">
        <f t="shared" si="1"/>
        <v/>
      </c>
      <c r="J8182" t="str">
        <f>IFERROR(__xludf.DUMMYFUNCTION("IFS(
  AND(REGEXMATCH(E8182, ""台銀籌備帳戶|玉山帳戶""), REGEXMATCH(C8182, ""薪資"")), ""分潤支出"",
  AND(REGEXMATCH(E8182, ""Ben帳戶|Elsa帳戶|Ben代墊|Ariel代墊|中信銀行共用""), REGEXMATCH(F8182, ""Ben帳戶|Elsa帳戶|Ben代墊|Ariel代墊|中信銀行共用"")), ""內部轉帳(忽略)"",
  AND(E8182&lt;&gt;"""", F8182&lt;&gt;"""", N"&amp;"OT(REGEXMATCH(C8182, ""薪資""))), ""內部轉帳(忽略)"",
  REGEXMATCH(C8182, ""薪資""), ""薪資變動(不計入)"",
  REGEXMATCH(C8182, ""押金""), ""押金往來"",
  AND(E8182&lt;&gt;"""", F8182=""""), ""真實支出"",
  AND(E8182="""", F8182&lt;&gt;""""), ""真實收入"",
  TRUE, ""其他""
)"),"其他")</f>
        <v>其他</v>
      </c>
      <c r="K8182" s="270" t="str">
        <f t="shared" si="2"/>
        <v/>
      </c>
      <c r="L8182">
        <f t="shared" si="3"/>
        <v>0</v>
      </c>
    </row>
    <row r="8183">
      <c r="A8183" s="107"/>
      <c r="D8183" s="270"/>
      <c r="H8183" s="106" t="str">
        <f t="shared" si="1"/>
        <v/>
      </c>
      <c r="J8183" t="str">
        <f>IFERROR(__xludf.DUMMYFUNCTION("IFS(
  AND(REGEXMATCH(E8183, ""台銀籌備帳戶|玉山帳戶""), REGEXMATCH(C8183, ""薪資"")), ""分潤支出"",
  AND(REGEXMATCH(E8183, ""Ben帳戶|Elsa帳戶|Ben代墊|Ariel代墊|中信銀行共用""), REGEXMATCH(F8183, ""Ben帳戶|Elsa帳戶|Ben代墊|Ariel代墊|中信銀行共用"")), ""內部轉帳(忽略)"",
  AND(E8183&lt;&gt;"""", F8183&lt;&gt;"""", N"&amp;"OT(REGEXMATCH(C8183, ""薪資""))), ""內部轉帳(忽略)"",
  REGEXMATCH(C8183, ""薪資""), ""薪資變動(不計入)"",
  REGEXMATCH(C8183, ""押金""), ""押金往來"",
  AND(E8183&lt;&gt;"""", F8183=""""), ""真實支出"",
  AND(E8183="""", F8183&lt;&gt;""""), ""真實收入"",
  TRUE, ""其他""
)"),"其他")</f>
        <v>其他</v>
      </c>
      <c r="K8183" s="270" t="str">
        <f t="shared" si="2"/>
        <v/>
      </c>
      <c r="L8183">
        <f t="shared" si="3"/>
        <v>0</v>
      </c>
    </row>
    <row r="8184">
      <c r="A8184" s="107"/>
      <c r="D8184" s="270"/>
      <c r="H8184" s="106" t="str">
        <f t="shared" si="1"/>
        <v/>
      </c>
      <c r="J8184" t="str">
        <f>IFERROR(__xludf.DUMMYFUNCTION("IFS(
  AND(REGEXMATCH(E8184, ""台銀籌備帳戶|玉山帳戶""), REGEXMATCH(C8184, ""薪資"")), ""分潤支出"",
  AND(REGEXMATCH(E8184, ""Ben帳戶|Elsa帳戶|Ben代墊|Ariel代墊|中信銀行共用""), REGEXMATCH(F8184, ""Ben帳戶|Elsa帳戶|Ben代墊|Ariel代墊|中信銀行共用"")), ""內部轉帳(忽略)"",
  AND(E8184&lt;&gt;"""", F8184&lt;&gt;"""", N"&amp;"OT(REGEXMATCH(C8184, ""薪資""))), ""內部轉帳(忽略)"",
  REGEXMATCH(C8184, ""薪資""), ""薪資變動(不計入)"",
  REGEXMATCH(C8184, ""押金""), ""押金往來"",
  AND(E8184&lt;&gt;"""", F8184=""""), ""真實支出"",
  AND(E8184="""", F8184&lt;&gt;""""), ""真實收入"",
  TRUE, ""其他""
)"),"其他")</f>
        <v>其他</v>
      </c>
      <c r="K8184" s="270" t="str">
        <f t="shared" si="2"/>
        <v/>
      </c>
      <c r="L8184">
        <f t="shared" si="3"/>
        <v>0</v>
      </c>
    </row>
    <row r="8185">
      <c r="A8185" s="107"/>
      <c r="D8185" s="270"/>
      <c r="H8185" s="106" t="str">
        <f t="shared" si="1"/>
        <v/>
      </c>
      <c r="J8185" t="str">
        <f>IFERROR(__xludf.DUMMYFUNCTION("IFS(
  AND(REGEXMATCH(E8185, ""台銀籌備帳戶|玉山帳戶""), REGEXMATCH(C8185, ""薪資"")), ""分潤支出"",
  AND(REGEXMATCH(E8185, ""Ben帳戶|Elsa帳戶|Ben代墊|Ariel代墊|中信銀行共用""), REGEXMATCH(F8185, ""Ben帳戶|Elsa帳戶|Ben代墊|Ariel代墊|中信銀行共用"")), ""內部轉帳(忽略)"",
  AND(E8185&lt;&gt;"""", F8185&lt;&gt;"""", N"&amp;"OT(REGEXMATCH(C8185, ""薪資""))), ""內部轉帳(忽略)"",
  REGEXMATCH(C8185, ""薪資""), ""薪資變動(不計入)"",
  REGEXMATCH(C8185, ""押金""), ""押金往來"",
  AND(E8185&lt;&gt;"""", F8185=""""), ""真實支出"",
  AND(E8185="""", F8185&lt;&gt;""""), ""真實收入"",
  TRUE, ""其他""
)"),"其他")</f>
        <v>其他</v>
      </c>
      <c r="K8185" s="270" t="str">
        <f t="shared" si="2"/>
        <v/>
      </c>
      <c r="L8185">
        <f t="shared" si="3"/>
        <v>0</v>
      </c>
    </row>
    <row r="8186">
      <c r="A8186" s="107"/>
      <c r="D8186" s="270"/>
      <c r="H8186" s="106" t="str">
        <f t="shared" si="1"/>
        <v/>
      </c>
      <c r="J8186" t="str">
        <f>IFERROR(__xludf.DUMMYFUNCTION("IFS(
  AND(REGEXMATCH(E8186, ""台銀籌備帳戶|玉山帳戶""), REGEXMATCH(C8186, ""薪資"")), ""分潤支出"",
  AND(REGEXMATCH(E8186, ""Ben帳戶|Elsa帳戶|Ben代墊|Ariel代墊|中信銀行共用""), REGEXMATCH(F8186, ""Ben帳戶|Elsa帳戶|Ben代墊|Ariel代墊|中信銀行共用"")), ""內部轉帳(忽略)"",
  AND(E8186&lt;&gt;"""", F8186&lt;&gt;"""", N"&amp;"OT(REGEXMATCH(C8186, ""薪資""))), ""內部轉帳(忽略)"",
  REGEXMATCH(C8186, ""薪資""), ""薪資變動(不計入)"",
  REGEXMATCH(C8186, ""押金""), ""押金往來"",
  AND(E8186&lt;&gt;"""", F8186=""""), ""真實支出"",
  AND(E8186="""", F8186&lt;&gt;""""), ""真實收入"",
  TRUE, ""其他""
)"),"其他")</f>
        <v>其他</v>
      </c>
      <c r="K8186" s="270" t="str">
        <f t="shared" si="2"/>
        <v/>
      </c>
      <c r="L8186">
        <f t="shared" si="3"/>
        <v>0</v>
      </c>
    </row>
    <row r="8187">
      <c r="A8187" s="107"/>
      <c r="D8187" s="270"/>
      <c r="H8187" s="106" t="str">
        <f t="shared" si="1"/>
        <v/>
      </c>
      <c r="J8187" t="str">
        <f>IFERROR(__xludf.DUMMYFUNCTION("IFS(
  AND(REGEXMATCH(E8187, ""台銀籌備帳戶|玉山帳戶""), REGEXMATCH(C8187, ""薪資"")), ""分潤支出"",
  AND(REGEXMATCH(E8187, ""Ben帳戶|Elsa帳戶|Ben代墊|Ariel代墊|中信銀行共用""), REGEXMATCH(F8187, ""Ben帳戶|Elsa帳戶|Ben代墊|Ariel代墊|中信銀行共用"")), ""內部轉帳(忽略)"",
  AND(E8187&lt;&gt;"""", F8187&lt;&gt;"""", N"&amp;"OT(REGEXMATCH(C8187, ""薪資""))), ""內部轉帳(忽略)"",
  REGEXMATCH(C8187, ""薪資""), ""薪資變動(不計入)"",
  REGEXMATCH(C8187, ""押金""), ""押金往來"",
  AND(E8187&lt;&gt;"""", F8187=""""), ""真實支出"",
  AND(E8187="""", F8187&lt;&gt;""""), ""真實收入"",
  TRUE, ""其他""
)"),"其他")</f>
        <v>其他</v>
      </c>
      <c r="K8187" s="270" t="str">
        <f t="shared" si="2"/>
        <v/>
      </c>
      <c r="L8187">
        <f t="shared" si="3"/>
        <v>0</v>
      </c>
    </row>
    <row r="8188">
      <c r="A8188" s="107"/>
      <c r="D8188" s="270"/>
      <c r="H8188" s="106" t="str">
        <f t="shared" si="1"/>
        <v/>
      </c>
      <c r="J8188" t="str">
        <f>IFERROR(__xludf.DUMMYFUNCTION("IFS(
  AND(REGEXMATCH(E8188, ""台銀籌備帳戶|玉山帳戶""), REGEXMATCH(C8188, ""薪資"")), ""分潤支出"",
  AND(REGEXMATCH(E8188, ""Ben帳戶|Elsa帳戶|Ben代墊|Ariel代墊|中信銀行共用""), REGEXMATCH(F8188, ""Ben帳戶|Elsa帳戶|Ben代墊|Ariel代墊|中信銀行共用"")), ""內部轉帳(忽略)"",
  AND(E8188&lt;&gt;"""", F8188&lt;&gt;"""", N"&amp;"OT(REGEXMATCH(C8188, ""薪資""))), ""內部轉帳(忽略)"",
  REGEXMATCH(C8188, ""薪資""), ""薪資變動(不計入)"",
  REGEXMATCH(C8188, ""押金""), ""押金往來"",
  AND(E8188&lt;&gt;"""", F8188=""""), ""真實支出"",
  AND(E8188="""", F8188&lt;&gt;""""), ""真實收入"",
  TRUE, ""其他""
)"),"其他")</f>
        <v>其他</v>
      </c>
      <c r="K8188" s="270" t="str">
        <f t="shared" si="2"/>
        <v/>
      </c>
      <c r="L8188">
        <f t="shared" si="3"/>
        <v>0</v>
      </c>
    </row>
    <row r="8189">
      <c r="A8189" s="107"/>
      <c r="D8189" s="270"/>
      <c r="H8189" s="106" t="str">
        <f t="shared" si="1"/>
        <v/>
      </c>
      <c r="J8189" t="str">
        <f>IFERROR(__xludf.DUMMYFUNCTION("IFS(
  AND(REGEXMATCH(E8189, ""台銀籌備帳戶|玉山帳戶""), REGEXMATCH(C8189, ""薪資"")), ""分潤支出"",
  AND(REGEXMATCH(E8189, ""Ben帳戶|Elsa帳戶|Ben代墊|Ariel代墊|中信銀行共用""), REGEXMATCH(F8189, ""Ben帳戶|Elsa帳戶|Ben代墊|Ariel代墊|中信銀行共用"")), ""內部轉帳(忽略)"",
  AND(E8189&lt;&gt;"""", F8189&lt;&gt;"""", N"&amp;"OT(REGEXMATCH(C8189, ""薪資""))), ""內部轉帳(忽略)"",
  REGEXMATCH(C8189, ""薪資""), ""薪資變動(不計入)"",
  REGEXMATCH(C8189, ""押金""), ""押金往來"",
  AND(E8189&lt;&gt;"""", F8189=""""), ""真實支出"",
  AND(E8189="""", F8189&lt;&gt;""""), ""真實收入"",
  TRUE, ""其他""
)"),"其他")</f>
        <v>其他</v>
      </c>
      <c r="K8189" s="270" t="str">
        <f t="shared" si="2"/>
        <v/>
      </c>
      <c r="L8189">
        <f t="shared" si="3"/>
        <v>0</v>
      </c>
    </row>
    <row r="8190">
      <c r="A8190" s="107"/>
      <c r="D8190" s="270"/>
      <c r="H8190" s="106" t="str">
        <f t="shared" si="1"/>
        <v/>
      </c>
      <c r="J8190" t="str">
        <f>IFERROR(__xludf.DUMMYFUNCTION("IFS(
  AND(REGEXMATCH(E8190, ""台銀籌備帳戶|玉山帳戶""), REGEXMATCH(C8190, ""薪資"")), ""分潤支出"",
  AND(REGEXMATCH(E8190, ""Ben帳戶|Elsa帳戶|Ben代墊|Ariel代墊|中信銀行共用""), REGEXMATCH(F8190, ""Ben帳戶|Elsa帳戶|Ben代墊|Ariel代墊|中信銀行共用"")), ""內部轉帳(忽略)"",
  AND(E8190&lt;&gt;"""", F8190&lt;&gt;"""", N"&amp;"OT(REGEXMATCH(C8190, ""薪資""))), ""內部轉帳(忽略)"",
  REGEXMATCH(C8190, ""薪資""), ""薪資變動(不計入)"",
  REGEXMATCH(C8190, ""押金""), ""押金往來"",
  AND(E8190&lt;&gt;"""", F8190=""""), ""真實支出"",
  AND(E8190="""", F8190&lt;&gt;""""), ""真實收入"",
  TRUE, ""其他""
)"),"其他")</f>
        <v>其他</v>
      </c>
      <c r="K8190" s="270" t="str">
        <f t="shared" si="2"/>
        <v/>
      </c>
      <c r="L8190">
        <f t="shared" si="3"/>
        <v>0</v>
      </c>
    </row>
    <row r="8191">
      <c r="A8191" s="107"/>
      <c r="D8191" s="270"/>
      <c r="H8191" s="106" t="str">
        <f t="shared" si="1"/>
        <v/>
      </c>
      <c r="J8191" t="str">
        <f>IFERROR(__xludf.DUMMYFUNCTION("IFS(
  AND(REGEXMATCH(E8191, ""台銀籌備帳戶|玉山帳戶""), REGEXMATCH(C8191, ""薪資"")), ""分潤支出"",
  AND(REGEXMATCH(E8191, ""Ben帳戶|Elsa帳戶|Ben代墊|Ariel代墊|中信銀行共用""), REGEXMATCH(F8191, ""Ben帳戶|Elsa帳戶|Ben代墊|Ariel代墊|中信銀行共用"")), ""內部轉帳(忽略)"",
  AND(E8191&lt;&gt;"""", F8191&lt;&gt;"""", N"&amp;"OT(REGEXMATCH(C8191, ""薪資""))), ""內部轉帳(忽略)"",
  REGEXMATCH(C8191, ""薪資""), ""薪資變動(不計入)"",
  REGEXMATCH(C8191, ""押金""), ""押金往來"",
  AND(E8191&lt;&gt;"""", F8191=""""), ""真實支出"",
  AND(E8191="""", F8191&lt;&gt;""""), ""真實收入"",
  TRUE, ""其他""
)"),"其他")</f>
        <v>其他</v>
      </c>
      <c r="K8191" s="270" t="str">
        <f t="shared" si="2"/>
        <v/>
      </c>
      <c r="L8191">
        <f t="shared" si="3"/>
        <v>0</v>
      </c>
    </row>
    <row r="8192">
      <c r="A8192" s="107"/>
      <c r="D8192" s="270"/>
      <c r="H8192" s="106" t="str">
        <f t="shared" si="1"/>
        <v/>
      </c>
      <c r="J8192" t="str">
        <f>IFERROR(__xludf.DUMMYFUNCTION("IFS(
  AND(REGEXMATCH(E8192, ""台銀籌備帳戶|玉山帳戶""), REGEXMATCH(C8192, ""薪資"")), ""分潤支出"",
  AND(REGEXMATCH(E8192, ""Ben帳戶|Elsa帳戶|Ben代墊|Ariel代墊|中信銀行共用""), REGEXMATCH(F8192, ""Ben帳戶|Elsa帳戶|Ben代墊|Ariel代墊|中信銀行共用"")), ""內部轉帳(忽略)"",
  AND(E8192&lt;&gt;"""", F8192&lt;&gt;"""", N"&amp;"OT(REGEXMATCH(C8192, ""薪資""))), ""內部轉帳(忽略)"",
  REGEXMATCH(C8192, ""薪資""), ""薪資變動(不計入)"",
  REGEXMATCH(C8192, ""押金""), ""押金往來"",
  AND(E8192&lt;&gt;"""", F8192=""""), ""真實支出"",
  AND(E8192="""", F8192&lt;&gt;""""), ""真實收入"",
  TRUE, ""其他""
)"),"其他")</f>
        <v>其他</v>
      </c>
      <c r="K8192" s="270" t="str">
        <f t="shared" si="2"/>
        <v/>
      </c>
      <c r="L8192">
        <f t="shared" si="3"/>
        <v>0</v>
      </c>
    </row>
    <row r="8193">
      <c r="A8193" s="107"/>
      <c r="D8193" s="270"/>
      <c r="H8193" s="106" t="str">
        <f t="shared" si="1"/>
        <v/>
      </c>
      <c r="J8193" t="str">
        <f>IFERROR(__xludf.DUMMYFUNCTION("IFS(
  AND(REGEXMATCH(E8193, ""台銀籌備帳戶|玉山帳戶""), REGEXMATCH(C8193, ""薪資"")), ""分潤支出"",
  AND(REGEXMATCH(E8193, ""Ben帳戶|Elsa帳戶|Ben代墊|Ariel代墊|中信銀行共用""), REGEXMATCH(F8193, ""Ben帳戶|Elsa帳戶|Ben代墊|Ariel代墊|中信銀行共用"")), ""內部轉帳(忽略)"",
  AND(E8193&lt;&gt;"""", F8193&lt;&gt;"""", N"&amp;"OT(REGEXMATCH(C8193, ""薪資""))), ""內部轉帳(忽略)"",
  REGEXMATCH(C8193, ""薪資""), ""薪資變動(不計入)"",
  REGEXMATCH(C8193, ""押金""), ""押金往來"",
  AND(E8193&lt;&gt;"""", F8193=""""), ""真實支出"",
  AND(E8193="""", F8193&lt;&gt;""""), ""真實收入"",
  TRUE, ""其他""
)"),"其他")</f>
        <v>其他</v>
      </c>
      <c r="K8193" s="270" t="str">
        <f t="shared" si="2"/>
        <v/>
      </c>
      <c r="L8193">
        <f t="shared" si="3"/>
        <v>0</v>
      </c>
    </row>
    <row r="8194">
      <c r="A8194" s="107"/>
      <c r="D8194" s="270"/>
      <c r="H8194" s="106" t="str">
        <f t="shared" si="1"/>
        <v/>
      </c>
      <c r="J8194" t="str">
        <f>IFERROR(__xludf.DUMMYFUNCTION("IFS(
  AND(REGEXMATCH(E8194, ""台銀籌備帳戶|玉山帳戶""), REGEXMATCH(C8194, ""薪資"")), ""分潤支出"",
  AND(REGEXMATCH(E8194, ""Ben帳戶|Elsa帳戶|Ben代墊|Ariel代墊|中信銀行共用""), REGEXMATCH(F8194, ""Ben帳戶|Elsa帳戶|Ben代墊|Ariel代墊|中信銀行共用"")), ""內部轉帳(忽略)"",
  AND(E8194&lt;&gt;"""", F8194&lt;&gt;"""", N"&amp;"OT(REGEXMATCH(C8194, ""薪資""))), ""內部轉帳(忽略)"",
  REGEXMATCH(C8194, ""薪資""), ""薪資變動(不計入)"",
  REGEXMATCH(C8194, ""押金""), ""押金往來"",
  AND(E8194&lt;&gt;"""", F8194=""""), ""真實支出"",
  AND(E8194="""", F8194&lt;&gt;""""), ""真實收入"",
  TRUE, ""其他""
)"),"其他")</f>
        <v>其他</v>
      </c>
      <c r="K8194" s="270" t="str">
        <f t="shared" si="2"/>
        <v/>
      </c>
      <c r="L8194">
        <f t="shared" si="3"/>
        <v>0</v>
      </c>
    </row>
    <row r="8195">
      <c r="A8195" s="107"/>
      <c r="D8195" s="270"/>
      <c r="H8195" s="106" t="str">
        <f t="shared" si="1"/>
        <v/>
      </c>
      <c r="J8195" t="str">
        <f>IFERROR(__xludf.DUMMYFUNCTION("IFS(
  AND(REGEXMATCH(E8195, ""台銀籌備帳戶|玉山帳戶""), REGEXMATCH(C8195, ""薪資"")), ""分潤支出"",
  AND(REGEXMATCH(E8195, ""Ben帳戶|Elsa帳戶|Ben代墊|Ariel代墊|中信銀行共用""), REGEXMATCH(F8195, ""Ben帳戶|Elsa帳戶|Ben代墊|Ariel代墊|中信銀行共用"")), ""內部轉帳(忽略)"",
  AND(E8195&lt;&gt;"""", F8195&lt;&gt;"""", N"&amp;"OT(REGEXMATCH(C8195, ""薪資""))), ""內部轉帳(忽略)"",
  REGEXMATCH(C8195, ""薪資""), ""薪資變動(不計入)"",
  REGEXMATCH(C8195, ""押金""), ""押金往來"",
  AND(E8195&lt;&gt;"""", F8195=""""), ""真實支出"",
  AND(E8195="""", F8195&lt;&gt;""""), ""真實收入"",
  TRUE, ""其他""
)"),"其他")</f>
        <v>其他</v>
      </c>
      <c r="K8195" s="270" t="str">
        <f t="shared" si="2"/>
        <v/>
      </c>
      <c r="L8195">
        <f t="shared" si="3"/>
        <v>0</v>
      </c>
    </row>
    <row r="8196">
      <c r="A8196" s="107"/>
      <c r="D8196" s="270"/>
      <c r="H8196" s="106" t="str">
        <f t="shared" si="1"/>
        <v/>
      </c>
      <c r="J8196" t="str">
        <f>IFERROR(__xludf.DUMMYFUNCTION("IFS(
  AND(REGEXMATCH(E8196, ""台銀籌備帳戶|玉山帳戶""), REGEXMATCH(C8196, ""薪資"")), ""分潤支出"",
  AND(REGEXMATCH(E8196, ""Ben帳戶|Elsa帳戶|Ben代墊|Ariel代墊|中信銀行共用""), REGEXMATCH(F8196, ""Ben帳戶|Elsa帳戶|Ben代墊|Ariel代墊|中信銀行共用"")), ""內部轉帳(忽略)"",
  AND(E8196&lt;&gt;"""", F8196&lt;&gt;"""", N"&amp;"OT(REGEXMATCH(C8196, ""薪資""))), ""內部轉帳(忽略)"",
  REGEXMATCH(C8196, ""薪資""), ""薪資變動(不計入)"",
  REGEXMATCH(C8196, ""押金""), ""押金往來"",
  AND(E8196&lt;&gt;"""", F8196=""""), ""真實支出"",
  AND(E8196="""", F8196&lt;&gt;""""), ""真實收入"",
  TRUE, ""其他""
)"),"其他")</f>
        <v>其他</v>
      </c>
      <c r="K8196" s="270" t="str">
        <f t="shared" si="2"/>
        <v/>
      </c>
      <c r="L8196">
        <f t="shared" si="3"/>
        <v>0</v>
      </c>
    </row>
    <row r="8197">
      <c r="A8197" s="107"/>
      <c r="D8197" s="270"/>
      <c r="H8197" s="106" t="str">
        <f t="shared" si="1"/>
        <v/>
      </c>
      <c r="J8197" t="str">
        <f>IFERROR(__xludf.DUMMYFUNCTION("IFS(
  AND(REGEXMATCH(E8197, ""台銀籌備帳戶|玉山帳戶""), REGEXMATCH(C8197, ""薪資"")), ""分潤支出"",
  AND(REGEXMATCH(E8197, ""Ben帳戶|Elsa帳戶|Ben代墊|Ariel代墊|中信銀行共用""), REGEXMATCH(F8197, ""Ben帳戶|Elsa帳戶|Ben代墊|Ariel代墊|中信銀行共用"")), ""內部轉帳(忽略)"",
  AND(E8197&lt;&gt;"""", F8197&lt;&gt;"""", N"&amp;"OT(REGEXMATCH(C8197, ""薪資""))), ""內部轉帳(忽略)"",
  REGEXMATCH(C8197, ""薪資""), ""薪資變動(不計入)"",
  REGEXMATCH(C8197, ""押金""), ""押金往來"",
  AND(E8197&lt;&gt;"""", F8197=""""), ""真實支出"",
  AND(E8197="""", F8197&lt;&gt;""""), ""真實收入"",
  TRUE, ""其他""
)"),"其他")</f>
        <v>其他</v>
      </c>
      <c r="K8197" s="270" t="str">
        <f t="shared" si="2"/>
        <v/>
      </c>
      <c r="L8197">
        <f t="shared" si="3"/>
        <v>0</v>
      </c>
    </row>
    <row r="8198">
      <c r="A8198" s="107"/>
      <c r="D8198" s="270"/>
      <c r="H8198" s="106" t="str">
        <f t="shared" si="1"/>
        <v/>
      </c>
      <c r="J8198" t="str">
        <f>IFERROR(__xludf.DUMMYFUNCTION("IFS(
  AND(REGEXMATCH(E8198, ""台銀籌備帳戶|玉山帳戶""), REGEXMATCH(C8198, ""薪資"")), ""分潤支出"",
  AND(REGEXMATCH(E8198, ""Ben帳戶|Elsa帳戶|Ben代墊|Ariel代墊|中信銀行共用""), REGEXMATCH(F8198, ""Ben帳戶|Elsa帳戶|Ben代墊|Ariel代墊|中信銀行共用"")), ""內部轉帳(忽略)"",
  AND(E8198&lt;&gt;"""", F8198&lt;&gt;"""", N"&amp;"OT(REGEXMATCH(C8198, ""薪資""))), ""內部轉帳(忽略)"",
  REGEXMATCH(C8198, ""薪資""), ""薪資變動(不計入)"",
  REGEXMATCH(C8198, ""押金""), ""押金往來"",
  AND(E8198&lt;&gt;"""", F8198=""""), ""真實支出"",
  AND(E8198="""", F8198&lt;&gt;""""), ""真實收入"",
  TRUE, ""其他""
)"),"其他")</f>
        <v>其他</v>
      </c>
      <c r="K8198" s="270" t="str">
        <f t="shared" si="2"/>
        <v/>
      </c>
      <c r="L8198">
        <f t="shared" si="3"/>
        <v>0</v>
      </c>
    </row>
    <row r="8199">
      <c r="A8199" s="107"/>
      <c r="D8199" s="270"/>
      <c r="H8199" s="106" t="str">
        <f t="shared" si="1"/>
        <v/>
      </c>
      <c r="J8199" t="str">
        <f>IFERROR(__xludf.DUMMYFUNCTION("IFS(
  AND(REGEXMATCH(E8199, ""台銀籌備帳戶|玉山帳戶""), REGEXMATCH(C8199, ""薪資"")), ""分潤支出"",
  AND(REGEXMATCH(E8199, ""Ben帳戶|Elsa帳戶|Ben代墊|Ariel代墊|中信銀行共用""), REGEXMATCH(F8199, ""Ben帳戶|Elsa帳戶|Ben代墊|Ariel代墊|中信銀行共用"")), ""內部轉帳(忽略)"",
  AND(E8199&lt;&gt;"""", F8199&lt;&gt;"""", N"&amp;"OT(REGEXMATCH(C8199, ""薪資""))), ""內部轉帳(忽略)"",
  REGEXMATCH(C8199, ""薪資""), ""薪資變動(不計入)"",
  REGEXMATCH(C8199, ""押金""), ""押金往來"",
  AND(E8199&lt;&gt;"""", F8199=""""), ""真實支出"",
  AND(E8199="""", F8199&lt;&gt;""""), ""真實收入"",
  TRUE, ""其他""
)"),"其他")</f>
        <v>其他</v>
      </c>
      <c r="K8199" s="270" t="str">
        <f t="shared" si="2"/>
        <v/>
      </c>
      <c r="L8199">
        <f t="shared" si="3"/>
        <v>0</v>
      </c>
    </row>
    <row r="8200">
      <c r="A8200" s="107"/>
      <c r="D8200" s="270"/>
      <c r="H8200" s="106" t="str">
        <f t="shared" si="1"/>
        <v/>
      </c>
      <c r="J8200" t="str">
        <f>IFERROR(__xludf.DUMMYFUNCTION("IFS(
  AND(REGEXMATCH(E8200, ""台銀籌備帳戶|玉山帳戶""), REGEXMATCH(C8200, ""薪資"")), ""分潤支出"",
  AND(REGEXMATCH(E8200, ""Ben帳戶|Elsa帳戶|Ben代墊|Ariel代墊|中信銀行共用""), REGEXMATCH(F8200, ""Ben帳戶|Elsa帳戶|Ben代墊|Ariel代墊|中信銀行共用"")), ""內部轉帳(忽略)"",
  AND(E8200&lt;&gt;"""", F8200&lt;&gt;"""", N"&amp;"OT(REGEXMATCH(C8200, ""薪資""))), ""內部轉帳(忽略)"",
  REGEXMATCH(C8200, ""薪資""), ""薪資變動(不計入)"",
  REGEXMATCH(C8200, ""押金""), ""押金往來"",
  AND(E8200&lt;&gt;"""", F8200=""""), ""真實支出"",
  AND(E8200="""", F8200&lt;&gt;""""), ""真實收入"",
  TRUE, ""其他""
)"),"其他")</f>
        <v>其他</v>
      </c>
      <c r="K8200" s="270" t="str">
        <f t="shared" si="2"/>
        <v/>
      </c>
      <c r="L8200">
        <f t="shared" si="3"/>
        <v>0</v>
      </c>
    </row>
    <row r="8201">
      <c r="A8201" s="107"/>
      <c r="D8201" s="270"/>
      <c r="H8201" s="106" t="str">
        <f t="shared" si="1"/>
        <v/>
      </c>
      <c r="J8201" t="str">
        <f>IFERROR(__xludf.DUMMYFUNCTION("IFS(
  AND(REGEXMATCH(E8201, ""台銀籌備帳戶|玉山帳戶""), REGEXMATCH(C8201, ""薪資"")), ""分潤支出"",
  AND(REGEXMATCH(E8201, ""Ben帳戶|Elsa帳戶|Ben代墊|Ariel代墊|中信銀行共用""), REGEXMATCH(F8201, ""Ben帳戶|Elsa帳戶|Ben代墊|Ariel代墊|中信銀行共用"")), ""內部轉帳(忽略)"",
  AND(E8201&lt;&gt;"""", F8201&lt;&gt;"""", N"&amp;"OT(REGEXMATCH(C8201, ""薪資""))), ""內部轉帳(忽略)"",
  REGEXMATCH(C8201, ""薪資""), ""薪資變動(不計入)"",
  REGEXMATCH(C8201, ""押金""), ""押金往來"",
  AND(E8201&lt;&gt;"""", F8201=""""), ""真實支出"",
  AND(E8201="""", F8201&lt;&gt;""""), ""真實收入"",
  TRUE, ""其他""
)"),"其他")</f>
        <v>其他</v>
      </c>
      <c r="K8201" s="270" t="str">
        <f t="shared" si="2"/>
        <v/>
      </c>
      <c r="L8201">
        <f t="shared" si="3"/>
        <v>0</v>
      </c>
    </row>
    <row r="8202">
      <c r="A8202" s="107"/>
      <c r="D8202" s="270"/>
      <c r="H8202" s="106" t="str">
        <f t="shared" si="1"/>
        <v/>
      </c>
      <c r="J8202" t="str">
        <f>IFERROR(__xludf.DUMMYFUNCTION("IFS(
  AND(REGEXMATCH(E8202, ""台銀籌備帳戶|玉山帳戶""), REGEXMATCH(C8202, ""薪資"")), ""分潤支出"",
  AND(REGEXMATCH(E8202, ""Ben帳戶|Elsa帳戶|Ben代墊|Ariel代墊|中信銀行共用""), REGEXMATCH(F8202, ""Ben帳戶|Elsa帳戶|Ben代墊|Ariel代墊|中信銀行共用"")), ""內部轉帳(忽略)"",
  AND(E8202&lt;&gt;"""", F8202&lt;&gt;"""", N"&amp;"OT(REGEXMATCH(C8202, ""薪資""))), ""內部轉帳(忽略)"",
  REGEXMATCH(C8202, ""薪資""), ""薪資變動(不計入)"",
  REGEXMATCH(C8202, ""押金""), ""押金往來"",
  AND(E8202&lt;&gt;"""", F8202=""""), ""真實支出"",
  AND(E8202="""", F8202&lt;&gt;""""), ""真實收入"",
  TRUE, ""其他""
)"),"其他")</f>
        <v>其他</v>
      </c>
      <c r="K8202" s="270" t="str">
        <f t="shared" si="2"/>
        <v/>
      </c>
      <c r="L8202">
        <f t="shared" si="3"/>
        <v>0</v>
      </c>
    </row>
    <row r="8203">
      <c r="A8203" s="107"/>
      <c r="D8203" s="270"/>
      <c r="H8203" s="106" t="str">
        <f t="shared" si="1"/>
        <v/>
      </c>
      <c r="J8203" t="str">
        <f>IFERROR(__xludf.DUMMYFUNCTION("IFS(
  AND(REGEXMATCH(E8203, ""台銀籌備帳戶|玉山帳戶""), REGEXMATCH(C8203, ""薪資"")), ""分潤支出"",
  AND(REGEXMATCH(E8203, ""Ben帳戶|Elsa帳戶|Ben代墊|Ariel代墊|中信銀行共用""), REGEXMATCH(F8203, ""Ben帳戶|Elsa帳戶|Ben代墊|Ariel代墊|中信銀行共用"")), ""內部轉帳(忽略)"",
  AND(E8203&lt;&gt;"""", F8203&lt;&gt;"""", N"&amp;"OT(REGEXMATCH(C8203, ""薪資""))), ""內部轉帳(忽略)"",
  REGEXMATCH(C8203, ""薪資""), ""薪資變動(不計入)"",
  REGEXMATCH(C8203, ""押金""), ""押金往來"",
  AND(E8203&lt;&gt;"""", F8203=""""), ""真實支出"",
  AND(E8203="""", F8203&lt;&gt;""""), ""真實收入"",
  TRUE, ""其他""
)"),"其他")</f>
        <v>其他</v>
      </c>
      <c r="K8203" s="270" t="str">
        <f t="shared" si="2"/>
        <v/>
      </c>
      <c r="L8203">
        <f t="shared" si="3"/>
        <v>0</v>
      </c>
    </row>
    <row r="8204">
      <c r="A8204" s="107"/>
      <c r="D8204" s="270"/>
      <c r="H8204" s="106" t="str">
        <f t="shared" si="1"/>
        <v/>
      </c>
      <c r="J8204" t="str">
        <f>IFERROR(__xludf.DUMMYFUNCTION("IFS(
  AND(REGEXMATCH(E8204, ""台銀籌備帳戶|玉山帳戶""), REGEXMATCH(C8204, ""薪資"")), ""分潤支出"",
  AND(REGEXMATCH(E8204, ""Ben帳戶|Elsa帳戶|Ben代墊|Ariel代墊|中信銀行共用""), REGEXMATCH(F8204, ""Ben帳戶|Elsa帳戶|Ben代墊|Ariel代墊|中信銀行共用"")), ""內部轉帳(忽略)"",
  AND(E8204&lt;&gt;"""", F8204&lt;&gt;"""", N"&amp;"OT(REGEXMATCH(C8204, ""薪資""))), ""內部轉帳(忽略)"",
  REGEXMATCH(C8204, ""薪資""), ""薪資變動(不計入)"",
  REGEXMATCH(C8204, ""押金""), ""押金往來"",
  AND(E8204&lt;&gt;"""", F8204=""""), ""真實支出"",
  AND(E8204="""", F8204&lt;&gt;""""), ""真實收入"",
  TRUE, ""其他""
)"),"其他")</f>
        <v>其他</v>
      </c>
      <c r="K8204" s="270" t="str">
        <f t="shared" si="2"/>
        <v/>
      </c>
      <c r="L8204">
        <f t="shared" si="3"/>
        <v>0</v>
      </c>
    </row>
    <row r="8205">
      <c r="A8205" s="107"/>
      <c r="D8205" s="270"/>
      <c r="H8205" s="106" t="str">
        <f t="shared" si="1"/>
        <v/>
      </c>
      <c r="J8205" t="str">
        <f>IFERROR(__xludf.DUMMYFUNCTION("IFS(
  AND(REGEXMATCH(E8205, ""台銀籌備帳戶|玉山帳戶""), REGEXMATCH(C8205, ""薪資"")), ""分潤支出"",
  AND(REGEXMATCH(E8205, ""Ben帳戶|Elsa帳戶|Ben代墊|Ariel代墊|中信銀行共用""), REGEXMATCH(F8205, ""Ben帳戶|Elsa帳戶|Ben代墊|Ariel代墊|中信銀行共用"")), ""內部轉帳(忽略)"",
  AND(E8205&lt;&gt;"""", F8205&lt;&gt;"""", N"&amp;"OT(REGEXMATCH(C8205, ""薪資""))), ""內部轉帳(忽略)"",
  REGEXMATCH(C8205, ""薪資""), ""薪資變動(不計入)"",
  REGEXMATCH(C8205, ""押金""), ""押金往來"",
  AND(E8205&lt;&gt;"""", F8205=""""), ""真實支出"",
  AND(E8205="""", F8205&lt;&gt;""""), ""真實收入"",
  TRUE, ""其他""
)"),"其他")</f>
        <v>其他</v>
      </c>
      <c r="K8205" s="270" t="str">
        <f t="shared" si="2"/>
        <v/>
      </c>
      <c r="L8205">
        <f t="shared" si="3"/>
        <v>0</v>
      </c>
    </row>
    <row r="8206">
      <c r="A8206" s="107"/>
      <c r="D8206" s="270"/>
      <c r="H8206" s="106" t="str">
        <f t="shared" si="1"/>
        <v/>
      </c>
      <c r="J8206" t="str">
        <f>IFERROR(__xludf.DUMMYFUNCTION("IFS(
  AND(REGEXMATCH(E8206, ""台銀籌備帳戶|玉山帳戶""), REGEXMATCH(C8206, ""薪資"")), ""分潤支出"",
  AND(REGEXMATCH(E8206, ""Ben帳戶|Elsa帳戶|Ben代墊|Ariel代墊|中信銀行共用""), REGEXMATCH(F8206, ""Ben帳戶|Elsa帳戶|Ben代墊|Ariel代墊|中信銀行共用"")), ""內部轉帳(忽略)"",
  AND(E8206&lt;&gt;"""", F8206&lt;&gt;"""", N"&amp;"OT(REGEXMATCH(C8206, ""薪資""))), ""內部轉帳(忽略)"",
  REGEXMATCH(C8206, ""薪資""), ""薪資變動(不計入)"",
  REGEXMATCH(C8206, ""押金""), ""押金往來"",
  AND(E8206&lt;&gt;"""", F8206=""""), ""真實支出"",
  AND(E8206="""", F8206&lt;&gt;""""), ""真實收入"",
  TRUE, ""其他""
)"),"其他")</f>
        <v>其他</v>
      </c>
      <c r="K8206" s="270" t="str">
        <f t="shared" si="2"/>
        <v/>
      </c>
      <c r="L8206">
        <f t="shared" si="3"/>
        <v>0</v>
      </c>
    </row>
    <row r="8207">
      <c r="A8207" s="107"/>
      <c r="D8207" s="270"/>
      <c r="H8207" s="106" t="str">
        <f t="shared" si="1"/>
        <v/>
      </c>
      <c r="J8207" t="str">
        <f>IFERROR(__xludf.DUMMYFUNCTION("IFS(
  AND(REGEXMATCH(E8207, ""台銀籌備帳戶|玉山帳戶""), REGEXMATCH(C8207, ""薪資"")), ""分潤支出"",
  AND(REGEXMATCH(E8207, ""Ben帳戶|Elsa帳戶|Ben代墊|Ariel代墊|中信銀行共用""), REGEXMATCH(F8207, ""Ben帳戶|Elsa帳戶|Ben代墊|Ariel代墊|中信銀行共用"")), ""內部轉帳(忽略)"",
  AND(E8207&lt;&gt;"""", F8207&lt;&gt;"""", N"&amp;"OT(REGEXMATCH(C8207, ""薪資""))), ""內部轉帳(忽略)"",
  REGEXMATCH(C8207, ""薪資""), ""薪資變動(不計入)"",
  REGEXMATCH(C8207, ""押金""), ""押金往來"",
  AND(E8207&lt;&gt;"""", F8207=""""), ""真實支出"",
  AND(E8207="""", F8207&lt;&gt;""""), ""真實收入"",
  TRUE, ""其他""
)"),"其他")</f>
        <v>其他</v>
      </c>
      <c r="K8207" s="270" t="str">
        <f t="shared" si="2"/>
        <v/>
      </c>
      <c r="L8207">
        <f t="shared" si="3"/>
        <v>0</v>
      </c>
    </row>
    <row r="8208">
      <c r="A8208" s="107"/>
      <c r="D8208" s="270"/>
      <c r="H8208" s="106" t="str">
        <f t="shared" si="1"/>
        <v/>
      </c>
      <c r="J8208" t="str">
        <f>IFERROR(__xludf.DUMMYFUNCTION("IFS(
  AND(REGEXMATCH(E8208, ""台銀籌備帳戶|玉山帳戶""), REGEXMATCH(C8208, ""薪資"")), ""分潤支出"",
  AND(REGEXMATCH(E8208, ""Ben帳戶|Elsa帳戶|Ben代墊|Ariel代墊|中信銀行共用""), REGEXMATCH(F8208, ""Ben帳戶|Elsa帳戶|Ben代墊|Ariel代墊|中信銀行共用"")), ""內部轉帳(忽略)"",
  AND(E8208&lt;&gt;"""", F8208&lt;&gt;"""", N"&amp;"OT(REGEXMATCH(C8208, ""薪資""))), ""內部轉帳(忽略)"",
  REGEXMATCH(C8208, ""薪資""), ""薪資變動(不計入)"",
  REGEXMATCH(C8208, ""押金""), ""押金往來"",
  AND(E8208&lt;&gt;"""", F8208=""""), ""真實支出"",
  AND(E8208="""", F8208&lt;&gt;""""), ""真實收入"",
  TRUE, ""其他""
)"),"其他")</f>
        <v>其他</v>
      </c>
      <c r="K8208" s="270" t="str">
        <f t="shared" si="2"/>
        <v/>
      </c>
      <c r="L8208">
        <f t="shared" si="3"/>
        <v>0</v>
      </c>
    </row>
    <row r="8209">
      <c r="A8209" s="107"/>
      <c r="D8209" s="270"/>
      <c r="H8209" s="106" t="str">
        <f t="shared" si="1"/>
        <v/>
      </c>
      <c r="J8209" t="str">
        <f>IFERROR(__xludf.DUMMYFUNCTION("IFS(
  AND(REGEXMATCH(E8209, ""台銀籌備帳戶|玉山帳戶""), REGEXMATCH(C8209, ""薪資"")), ""分潤支出"",
  AND(REGEXMATCH(E8209, ""Ben帳戶|Elsa帳戶|Ben代墊|Ariel代墊|中信銀行共用""), REGEXMATCH(F8209, ""Ben帳戶|Elsa帳戶|Ben代墊|Ariel代墊|中信銀行共用"")), ""內部轉帳(忽略)"",
  AND(E8209&lt;&gt;"""", F8209&lt;&gt;"""", N"&amp;"OT(REGEXMATCH(C8209, ""薪資""))), ""內部轉帳(忽略)"",
  REGEXMATCH(C8209, ""薪資""), ""薪資變動(不計入)"",
  REGEXMATCH(C8209, ""押金""), ""押金往來"",
  AND(E8209&lt;&gt;"""", F8209=""""), ""真實支出"",
  AND(E8209="""", F8209&lt;&gt;""""), ""真實收入"",
  TRUE, ""其他""
)"),"其他")</f>
        <v>其他</v>
      </c>
      <c r="K8209" s="270" t="str">
        <f t="shared" si="2"/>
        <v/>
      </c>
      <c r="L8209">
        <f t="shared" si="3"/>
        <v>0</v>
      </c>
    </row>
    <row r="8210">
      <c r="A8210" s="107"/>
      <c r="D8210" s="270"/>
      <c r="H8210" s="106" t="str">
        <f t="shared" si="1"/>
        <v/>
      </c>
      <c r="J8210" t="str">
        <f>IFERROR(__xludf.DUMMYFUNCTION("IFS(
  AND(REGEXMATCH(E8210, ""台銀籌備帳戶|玉山帳戶""), REGEXMATCH(C8210, ""薪資"")), ""分潤支出"",
  AND(REGEXMATCH(E8210, ""Ben帳戶|Elsa帳戶|Ben代墊|Ariel代墊|中信銀行共用""), REGEXMATCH(F8210, ""Ben帳戶|Elsa帳戶|Ben代墊|Ariel代墊|中信銀行共用"")), ""內部轉帳(忽略)"",
  AND(E8210&lt;&gt;"""", F8210&lt;&gt;"""", N"&amp;"OT(REGEXMATCH(C8210, ""薪資""))), ""內部轉帳(忽略)"",
  REGEXMATCH(C8210, ""薪資""), ""薪資變動(不計入)"",
  REGEXMATCH(C8210, ""押金""), ""押金往來"",
  AND(E8210&lt;&gt;"""", F8210=""""), ""真實支出"",
  AND(E8210="""", F8210&lt;&gt;""""), ""真實收入"",
  TRUE, ""其他""
)"),"其他")</f>
        <v>其他</v>
      </c>
      <c r="K8210" s="270" t="str">
        <f t="shared" si="2"/>
        <v/>
      </c>
      <c r="L8210">
        <f t="shared" si="3"/>
        <v>0</v>
      </c>
    </row>
    <row r="8211">
      <c r="A8211" s="107"/>
      <c r="D8211" s="270"/>
      <c r="H8211" s="106" t="str">
        <f t="shared" si="1"/>
        <v/>
      </c>
      <c r="J8211" t="str">
        <f>IFERROR(__xludf.DUMMYFUNCTION("IFS(
  AND(REGEXMATCH(E8211, ""台銀籌備帳戶|玉山帳戶""), REGEXMATCH(C8211, ""薪資"")), ""分潤支出"",
  AND(REGEXMATCH(E8211, ""Ben帳戶|Elsa帳戶|Ben代墊|Ariel代墊|中信銀行共用""), REGEXMATCH(F8211, ""Ben帳戶|Elsa帳戶|Ben代墊|Ariel代墊|中信銀行共用"")), ""內部轉帳(忽略)"",
  AND(E8211&lt;&gt;"""", F8211&lt;&gt;"""", N"&amp;"OT(REGEXMATCH(C8211, ""薪資""))), ""內部轉帳(忽略)"",
  REGEXMATCH(C8211, ""薪資""), ""薪資變動(不計入)"",
  REGEXMATCH(C8211, ""押金""), ""押金往來"",
  AND(E8211&lt;&gt;"""", F8211=""""), ""真實支出"",
  AND(E8211="""", F8211&lt;&gt;""""), ""真實收入"",
  TRUE, ""其他""
)"),"其他")</f>
        <v>其他</v>
      </c>
      <c r="K8211" s="270" t="str">
        <f t="shared" si="2"/>
        <v/>
      </c>
      <c r="L8211">
        <f t="shared" si="3"/>
        <v>0</v>
      </c>
    </row>
    <row r="8212">
      <c r="A8212" s="107"/>
      <c r="D8212" s="270"/>
      <c r="H8212" s="106" t="str">
        <f t="shared" si="1"/>
        <v/>
      </c>
      <c r="J8212" t="str">
        <f>IFERROR(__xludf.DUMMYFUNCTION("IFS(
  AND(REGEXMATCH(E8212, ""台銀籌備帳戶|玉山帳戶""), REGEXMATCH(C8212, ""薪資"")), ""分潤支出"",
  AND(REGEXMATCH(E8212, ""Ben帳戶|Elsa帳戶|Ben代墊|Ariel代墊|中信銀行共用""), REGEXMATCH(F8212, ""Ben帳戶|Elsa帳戶|Ben代墊|Ariel代墊|中信銀行共用"")), ""內部轉帳(忽略)"",
  AND(E8212&lt;&gt;"""", F8212&lt;&gt;"""", N"&amp;"OT(REGEXMATCH(C8212, ""薪資""))), ""內部轉帳(忽略)"",
  REGEXMATCH(C8212, ""薪資""), ""薪資變動(不計入)"",
  REGEXMATCH(C8212, ""押金""), ""押金往來"",
  AND(E8212&lt;&gt;"""", F8212=""""), ""真實支出"",
  AND(E8212="""", F8212&lt;&gt;""""), ""真實收入"",
  TRUE, ""其他""
)"),"其他")</f>
        <v>其他</v>
      </c>
      <c r="K8212" s="270" t="str">
        <f t="shared" si="2"/>
        <v/>
      </c>
      <c r="L8212">
        <f t="shared" si="3"/>
        <v>0</v>
      </c>
    </row>
    <row r="8213">
      <c r="A8213" s="107"/>
      <c r="D8213" s="270"/>
      <c r="H8213" s="106" t="str">
        <f t="shared" si="1"/>
        <v/>
      </c>
      <c r="J8213" t="str">
        <f>IFERROR(__xludf.DUMMYFUNCTION("IFS(
  AND(REGEXMATCH(E8213, ""台銀籌備帳戶|玉山帳戶""), REGEXMATCH(C8213, ""薪資"")), ""分潤支出"",
  AND(REGEXMATCH(E8213, ""Ben帳戶|Elsa帳戶|Ben代墊|Ariel代墊|中信銀行共用""), REGEXMATCH(F8213, ""Ben帳戶|Elsa帳戶|Ben代墊|Ariel代墊|中信銀行共用"")), ""內部轉帳(忽略)"",
  AND(E8213&lt;&gt;"""", F8213&lt;&gt;"""", N"&amp;"OT(REGEXMATCH(C8213, ""薪資""))), ""內部轉帳(忽略)"",
  REGEXMATCH(C8213, ""薪資""), ""薪資變動(不計入)"",
  REGEXMATCH(C8213, ""押金""), ""押金往來"",
  AND(E8213&lt;&gt;"""", F8213=""""), ""真實支出"",
  AND(E8213="""", F8213&lt;&gt;""""), ""真實收入"",
  TRUE, ""其他""
)"),"其他")</f>
        <v>其他</v>
      </c>
      <c r="K8213" s="270" t="str">
        <f t="shared" si="2"/>
        <v/>
      </c>
      <c r="L8213">
        <f t="shared" si="3"/>
        <v>0</v>
      </c>
    </row>
    <row r="8214">
      <c r="A8214" s="107"/>
      <c r="D8214" s="270"/>
      <c r="H8214" s="106" t="str">
        <f t="shared" si="1"/>
        <v/>
      </c>
      <c r="J8214" t="str">
        <f>IFERROR(__xludf.DUMMYFUNCTION("IFS(
  AND(REGEXMATCH(E8214, ""台銀籌備帳戶|玉山帳戶""), REGEXMATCH(C8214, ""薪資"")), ""分潤支出"",
  AND(REGEXMATCH(E8214, ""Ben帳戶|Elsa帳戶|Ben代墊|Ariel代墊|中信銀行共用""), REGEXMATCH(F8214, ""Ben帳戶|Elsa帳戶|Ben代墊|Ariel代墊|中信銀行共用"")), ""內部轉帳(忽略)"",
  AND(E8214&lt;&gt;"""", F8214&lt;&gt;"""", N"&amp;"OT(REGEXMATCH(C8214, ""薪資""))), ""內部轉帳(忽略)"",
  REGEXMATCH(C8214, ""薪資""), ""薪資變動(不計入)"",
  REGEXMATCH(C8214, ""押金""), ""押金往來"",
  AND(E8214&lt;&gt;"""", F8214=""""), ""真實支出"",
  AND(E8214="""", F8214&lt;&gt;""""), ""真實收入"",
  TRUE, ""其他""
)"),"其他")</f>
        <v>其他</v>
      </c>
      <c r="K8214" s="270" t="str">
        <f t="shared" si="2"/>
        <v/>
      </c>
      <c r="L8214">
        <f t="shared" si="3"/>
        <v>0</v>
      </c>
    </row>
    <row r="8215">
      <c r="A8215" s="107"/>
      <c r="D8215" s="270"/>
      <c r="H8215" s="106" t="str">
        <f t="shared" si="1"/>
        <v/>
      </c>
      <c r="J8215" t="str">
        <f>IFERROR(__xludf.DUMMYFUNCTION("IFS(
  AND(REGEXMATCH(E8215, ""台銀籌備帳戶|玉山帳戶""), REGEXMATCH(C8215, ""薪資"")), ""分潤支出"",
  AND(REGEXMATCH(E8215, ""Ben帳戶|Elsa帳戶|Ben代墊|Ariel代墊|中信銀行共用""), REGEXMATCH(F8215, ""Ben帳戶|Elsa帳戶|Ben代墊|Ariel代墊|中信銀行共用"")), ""內部轉帳(忽略)"",
  AND(E8215&lt;&gt;"""", F8215&lt;&gt;"""", N"&amp;"OT(REGEXMATCH(C8215, ""薪資""))), ""內部轉帳(忽略)"",
  REGEXMATCH(C8215, ""薪資""), ""薪資變動(不計入)"",
  REGEXMATCH(C8215, ""押金""), ""押金往來"",
  AND(E8215&lt;&gt;"""", F8215=""""), ""真實支出"",
  AND(E8215="""", F8215&lt;&gt;""""), ""真實收入"",
  TRUE, ""其他""
)"),"其他")</f>
        <v>其他</v>
      </c>
      <c r="K8215" s="270" t="str">
        <f t="shared" si="2"/>
        <v/>
      </c>
      <c r="L8215">
        <f t="shared" si="3"/>
        <v>0</v>
      </c>
    </row>
    <row r="8216">
      <c r="A8216" s="107"/>
      <c r="D8216" s="270"/>
      <c r="H8216" s="106" t="str">
        <f t="shared" si="1"/>
        <v/>
      </c>
      <c r="J8216" t="str">
        <f>IFERROR(__xludf.DUMMYFUNCTION("IFS(
  AND(REGEXMATCH(E8216, ""台銀籌備帳戶|玉山帳戶""), REGEXMATCH(C8216, ""薪資"")), ""分潤支出"",
  AND(REGEXMATCH(E8216, ""Ben帳戶|Elsa帳戶|Ben代墊|Ariel代墊|中信銀行共用""), REGEXMATCH(F8216, ""Ben帳戶|Elsa帳戶|Ben代墊|Ariel代墊|中信銀行共用"")), ""內部轉帳(忽略)"",
  AND(E8216&lt;&gt;"""", F8216&lt;&gt;"""", N"&amp;"OT(REGEXMATCH(C8216, ""薪資""))), ""內部轉帳(忽略)"",
  REGEXMATCH(C8216, ""薪資""), ""薪資變動(不計入)"",
  REGEXMATCH(C8216, ""押金""), ""押金往來"",
  AND(E8216&lt;&gt;"""", F8216=""""), ""真實支出"",
  AND(E8216="""", F8216&lt;&gt;""""), ""真實收入"",
  TRUE, ""其他""
)"),"其他")</f>
        <v>其他</v>
      </c>
      <c r="K8216" s="270" t="str">
        <f t="shared" si="2"/>
        <v/>
      </c>
      <c r="L8216">
        <f t="shared" si="3"/>
        <v>0</v>
      </c>
    </row>
    <row r="8217">
      <c r="A8217" s="107"/>
      <c r="D8217" s="270"/>
      <c r="H8217" s="106" t="str">
        <f t="shared" si="1"/>
        <v/>
      </c>
      <c r="J8217" t="str">
        <f>IFERROR(__xludf.DUMMYFUNCTION("IFS(
  AND(REGEXMATCH(E8217, ""台銀籌備帳戶|玉山帳戶""), REGEXMATCH(C8217, ""薪資"")), ""分潤支出"",
  AND(REGEXMATCH(E8217, ""Ben帳戶|Elsa帳戶|Ben代墊|Ariel代墊|中信銀行共用""), REGEXMATCH(F8217, ""Ben帳戶|Elsa帳戶|Ben代墊|Ariel代墊|中信銀行共用"")), ""內部轉帳(忽略)"",
  AND(E8217&lt;&gt;"""", F8217&lt;&gt;"""", N"&amp;"OT(REGEXMATCH(C8217, ""薪資""))), ""內部轉帳(忽略)"",
  REGEXMATCH(C8217, ""薪資""), ""薪資變動(不計入)"",
  REGEXMATCH(C8217, ""押金""), ""押金往來"",
  AND(E8217&lt;&gt;"""", F8217=""""), ""真實支出"",
  AND(E8217="""", F8217&lt;&gt;""""), ""真實收入"",
  TRUE, ""其他""
)"),"其他")</f>
        <v>其他</v>
      </c>
      <c r="K8217" s="270" t="str">
        <f t="shared" si="2"/>
        <v/>
      </c>
      <c r="L8217">
        <f t="shared" si="3"/>
        <v>0</v>
      </c>
    </row>
    <row r="8218">
      <c r="A8218" s="107"/>
      <c r="D8218" s="270"/>
      <c r="H8218" s="106" t="str">
        <f t="shared" si="1"/>
        <v/>
      </c>
      <c r="J8218" t="str">
        <f>IFERROR(__xludf.DUMMYFUNCTION("IFS(
  AND(REGEXMATCH(E8218, ""台銀籌備帳戶|玉山帳戶""), REGEXMATCH(C8218, ""薪資"")), ""分潤支出"",
  AND(REGEXMATCH(E8218, ""Ben帳戶|Elsa帳戶|Ben代墊|Ariel代墊|中信銀行共用""), REGEXMATCH(F8218, ""Ben帳戶|Elsa帳戶|Ben代墊|Ariel代墊|中信銀行共用"")), ""內部轉帳(忽略)"",
  AND(E8218&lt;&gt;"""", F8218&lt;&gt;"""", N"&amp;"OT(REGEXMATCH(C8218, ""薪資""))), ""內部轉帳(忽略)"",
  REGEXMATCH(C8218, ""薪資""), ""薪資變動(不計入)"",
  REGEXMATCH(C8218, ""押金""), ""押金往來"",
  AND(E8218&lt;&gt;"""", F8218=""""), ""真實支出"",
  AND(E8218="""", F8218&lt;&gt;""""), ""真實收入"",
  TRUE, ""其他""
)"),"其他")</f>
        <v>其他</v>
      </c>
      <c r="K8218" s="270" t="str">
        <f t="shared" si="2"/>
        <v/>
      </c>
      <c r="L8218">
        <f t="shared" si="3"/>
        <v>0</v>
      </c>
    </row>
    <row r="8219">
      <c r="A8219" s="107"/>
      <c r="D8219" s="270"/>
      <c r="H8219" s="106" t="str">
        <f t="shared" si="1"/>
        <v/>
      </c>
      <c r="J8219" t="str">
        <f>IFERROR(__xludf.DUMMYFUNCTION("IFS(
  AND(REGEXMATCH(E8219, ""台銀籌備帳戶|玉山帳戶""), REGEXMATCH(C8219, ""薪資"")), ""分潤支出"",
  AND(REGEXMATCH(E8219, ""Ben帳戶|Elsa帳戶|Ben代墊|Ariel代墊|中信銀行共用""), REGEXMATCH(F8219, ""Ben帳戶|Elsa帳戶|Ben代墊|Ariel代墊|中信銀行共用"")), ""內部轉帳(忽略)"",
  AND(E8219&lt;&gt;"""", F8219&lt;&gt;"""", N"&amp;"OT(REGEXMATCH(C8219, ""薪資""))), ""內部轉帳(忽略)"",
  REGEXMATCH(C8219, ""薪資""), ""薪資變動(不計入)"",
  REGEXMATCH(C8219, ""押金""), ""押金往來"",
  AND(E8219&lt;&gt;"""", F8219=""""), ""真實支出"",
  AND(E8219="""", F8219&lt;&gt;""""), ""真實收入"",
  TRUE, ""其他""
)"),"其他")</f>
        <v>其他</v>
      </c>
      <c r="K8219" s="270" t="str">
        <f t="shared" si="2"/>
        <v/>
      </c>
      <c r="L8219">
        <f t="shared" si="3"/>
        <v>0</v>
      </c>
    </row>
    <row r="8220">
      <c r="A8220" s="107"/>
      <c r="D8220" s="270"/>
      <c r="H8220" s="106" t="str">
        <f t="shared" si="1"/>
        <v/>
      </c>
      <c r="J8220" t="str">
        <f>IFERROR(__xludf.DUMMYFUNCTION("IFS(
  AND(REGEXMATCH(E8220, ""台銀籌備帳戶|玉山帳戶""), REGEXMATCH(C8220, ""薪資"")), ""分潤支出"",
  AND(REGEXMATCH(E8220, ""Ben帳戶|Elsa帳戶|Ben代墊|Ariel代墊|中信銀行共用""), REGEXMATCH(F8220, ""Ben帳戶|Elsa帳戶|Ben代墊|Ariel代墊|中信銀行共用"")), ""內部轉帳(忽略)"",
  AND(E8220&lt;&gt;"""", F8220&lt;&gt;"""", N"&amp;"OT(REGEXMATCH(C8220, ""薪資""))), ""內部轉帳(忽略)"",
  REGEXMATCH(C8220, ""薪資""), ""薪資變動(不計入)"",
  REGEXMATCH(C8220, ""押金""), ""押金往來"",
  AND(E8220&lt;&gt;"""", F8220=""""), ""真實支出"",
  AND(E8220="""", F8220&lt;&gt;""""), ""真實收入"",
  TRUE, ""其他""
)"),"其他")</f>
        <v>其他</v>
      </c>
      <c r="K8220" s="270" t="str">
        <f t="shared" si="2"/>
        <v/>
      </c>
      <c r="L8220">
        <f t="shared" si="3"/>
        <v>0</v>
      </c>
    </row>
    <row r="8221">
      <c r="A8221" s="107"/>
      <c r="D8221" s="270"/>
      <c r="H8221" s="106" t="str">
        <f t="shared" si="1"/>
        <v/>
      </c>
      <c r="J8221" t="str">
        <f>IFERROR(__xludf.DUMMYFUNCTION("IFS(
  AND(REGEXMATCH(E8221, ""台銀籌備帳戶|玉山帳戶""), REGEXMATCH(C8221, ""薪資"")), ""分潤支出"",
  AND(REGEXMATCH(E8221, ""Ben帳戶|Elsa帳戶|Ben代墊|Ariel代墊|中信銀行共用""), REGEXMATCH(F8221, ""Ben帳戶|Elsa帳戶|Ben代墊|Ariel代墊|中信銀行共用"")), ""內部轉帳(忽略)"",
  AND(E8221&lt;&gt;"""", F8221&lt;&gt;"""", N"&amp;"OT(REGEXMATCH(C8221, ""薪資""))), ""內部轉帳(忽略)"",
  REGEXMATCH(C8221, ""薪資""), ""薪資變動(不計入)"",
  REGEXMATCH(C8221, ""押金""), ""押金往來"",
  AND(E8221&lt;&gt;"""", F8221=""""), ""真實支出"",
  AND(E8221="""", F8221&lt;&gt;""""), ""真實收入"",
  TRUE, ""其他""
)"),"其他")</f>
        <v>其他</v>
      </c>
      <c r="K8221" s="270" t="str">
        <f t="shared" si="2"/>
        <v/>
      </c>
      <c r="L8221">
        <f t="shared" si="3"/>
        <v>0</v>
      </c>
    </row>
    <row r="8222">
      <c r="A8222" s="107"/>
      <c r="D8222" s="270"/>
      <c r="H8222" s="106" t="str">
        <f t="shared" si="1"/>
        <v/>
      </c>
      <c r="J8222" t="str">
        <f>IFERROR(__xludf.DUMMYFUNCTION("IFS(
  AND(REGEXMATCH(E8222, ""台銀籌備帳戶|玉山帳戶""), REGEXMATCH(C8222, ""薪資"")), ""分潤支出"",
  AND(REGEXMATCH(E8222, ""Ben帳戶|Elsa帳戶|Ben代墊|Ariel代墊|中信銀行共用""), REGEXMATCH(F8222, ""Ben帳戶|Elsa帳戶|Ben代墊|Ariel代墊|中信銀行共用"")), ""內部轉帳(忽略)"",
  AND(E8222&lt;&gt;"""", F8222&lt;&gt;"""", N"&amp;"OT(REGEXMATCH(C8222, ""薪資""))), ""內部轉帳(忽略)"",
  REGEXMATCH(C8222, ""薪資""), ""薪資變動(不計入)"",
  REGEXMATCH(C8222, ""押金""), ""押金往來"",
  AND(E8222&lt;&gt;"""", F8222=""""), ""真實支出"",
  AND(E8222="""", F8222&lt;&gt;""""), ""真實收入"",
  TRUE, ""其他""
)"),"其他")</f>
        <v>其他</v>
      </c>
      <c r="K8222" s="270" t="str">
        <f t="shared" si="2"/>
        <v/>
      </c>
      <c r="L8222">
        <f t="shared" si="3"/>
        <v>0</v>
      </c>
    </row>
    <row r="8223">
      <c r="A8223" s="107"/>
      <c r="D8223" s="270"/>
      <c r="H8223" s="106" t="str">
        <f t="shared" si="1"/>
        <v/>
      </c>
      <c r="J8223" t="str">
        <f>IFERROR(__xludf.DUMMYFUNCTION("IFS(
  AND(REGEXMATCH(E8223, ""台銀籌備帳戶|玉山帳戶""), REGEXMATCH(C8223, ""薪資"")), ""分潤支出"",
  AND(REGEXMATCH(E8223, ""Ben帳戶|Elsa帳戶|Ben代墊|Ariel代墊|中信銀行共用""), REGEXMATCH(F8223, ""Ben帳戶|Elsa帳戶|Ben代墊|Ariel代墊|中信銀行共用"")), ""內部轉帳(忽略)"",
  AND(E8223&lt;&gt;"""", F8223&lt;&gt;"""", N"&amp;"OT(REGEXMATCH(C8223, ""薪資""))), ""內部轉帳(忽略)"",
  REGEXMATCH(C8223, ""薪資""), ""薪資變動(不計入)"",
  REGEXMATCH(C8223, ""押金""), ""押金往來"",
  AND(E8223&lt;&gt;"""", F8223=""""), ""真實支出"",
  AND(E8223="""", F8223&lt;&gt;""""), ""真實收入"",
  TRUE, ""其他""
)"),"其他")</f>
        <v>其他</v>
      </c>
      <c r="K8223" s="270" t="str">
        <f t="shared" si="2"/>
        <v/>
      </c>
      <c r="L8223">
        <f t="shared" si="3"/>
        <v>0</v>
      </c>
    </row>
    <row r="8224">
      <c r="A8224" s="107"/>
      <c r="D8224" s="270"/>
      <c r="H8224" s="106" t="str">
        <f t="shared" si="1"/>
        <v/>
      </c>
      <c r="J8224" t="str">
        <f>IFERROR(__xludf.DUMMYFUNCTION("IFS(
  AND(REGEXMATCH(E8224, ""台銀籌備帳戶|玉山帳戶""), REGEXMATCH(C8224, ""薪資"")), ""分潤支出"",
  AND(REGEXMATCH(E8224, ""Ben帳戶|Elsa帳戶|Ben代墊|Ariel代墊|中信銀行共用""), REGEXMATCH(F8224, ""Ben帳戶|Elsa帳戶|Ben代墊|Ariel代墊|中信銀行共用"")), ""內部轉帳(忽略)"",
  AND(E8224&lt;&gt;"""", F8224&lt;&gt;"""", N"&amp;"OT(REGEXMATCH(C8224, ""薪資""))), ""內部轉帳(忽略)"",
  REGEXMATCH(C8224, ""薪資""), ""薪資變動(不計入)"",
  REGEXMATCH(C8224, ""押金""), ""押金往來"",
  AND(E8224&lt;&gt;"""", F8224=""""), ""真實支出"",
  AND(E8224="""", F8224&lt;&gt;""""), ""真實收入"",
  TRUE, ""其他""
)"),"其他")</f>
        <v>其他</v>
      </c>
      <c r="K8224" s="270" t="str">
        <f t="shared" si="2"/>
        <v/>
      </c>
      <c r="L8224">
        <f t="shared" si="3"/>
        <v>0</v>
      </c>
    </row>
    <row r="8225">
      <c r="A8225" s="107"/>
      <c r="D8225" s="270"/>
      <c r="H8225" s="106" t="str">
        <f t="shared" si="1"/>
        <v/>
      </c>
      <c r="J8225" t="str">
        <f>IFERROR(__xludf.DUMMYFUNCTION("IFS(
  AND(REGEXMATCH(E8225, ""台銀籌備帳戶|玉山帳戶""), REGEXMATCH(C8225, ""薪資"")), ""分潤支出"",
  AND(REGEXMATCH(E8225, ""Ben帳戶|Elsa帳戶|Ben代墊|Ariel代墊|中信銀行共用""), REGEXMATCH(F8225, ""Ben帳戶|Elsa帳戶|Ben代墊|Ariel代墊|中信銀行共用"")), ""內部轉帳(忽略)"",
  AND(E8225&lt;&gt;"""", F8225&lt;&gt;"""", N"&amp;"OT(REGEXMATCH(C8225, ""薪資""))), ""內部轉帳(忽略)"",
  REGEXMATCH(C8225, ""薪資""), ""薪資變動(不計入)"",
  REGEXMATCH(C8225, ""押金""), ""押金往來"",
  AND(E8225&lt;&gt;"""", F8225=""""), ""真實支出"",
  AND(E8225="""", F8225&lt;&gt;""""), ""真實收入"",
  TRUE, ""其他""
)"),"其他")</f>
        <v>其他</v>
      </c>
      <c r="K8225" s="270" t="str">
        <f t="shared" si="2"/>
        <v/>
      </c>
      <c r="L8225">
        <f t="shared" si="3"/>
        <v>0</v>
      </c>
    </row>
    <row r="8226">
      <c r="A8226" s="107"/>
      <c r="D8226" s="270"/>
      <c r="H8226" s="106" t="str">
        <f t="shared" si="1"/>
        <v/>
      </c>
      <c r="J8226" t="str">
        <f>IFERROR(__xludf.DUMMYFUNCTION("IFS(
  AND(REGEXMATCH(E8226, ""台銀籌備帳戶|玉山帳戶""), REGEXMATCH(C8226, ""薪資"")), ""分潤支出"",
  AND(REGEXMATCH(E8226, ""Ben帳戶|Elsa帳戶|Ben代墊|Ariel代墊|中信銀行共用""), REGEXMATCH(F8226, ""Ben帳戶|Elsa帳戶|Ben代墊|Ariel代墊|中信銀行共用"")), ""內部轉帳(忽略)"",
  AND(E8226&lt;&gt;"""", F8226&lt;&gt;"""", N"&amp;"OT(REGEXMATCH(C8226, ""薪資""))), ""內部轉帳(忽略)"",
  REGEXMATCH(C8226, ""薪資""), ""薪資變動(不計入)"",
  REGEXMATCH(C8226, ""押金""), ""押金往來"",
  AND(E8226&lt;&gt;"""", F8226=""""), ""真實支出"",
  AND(E8226="""", F8226&lt;&gt;""""), ""真實收入"",
  TRUE, ""其他""
)"),"其他")</f>
        <v>其他</v>
      </c>
      <c r="K8226" s="270" t="str">
        <f t="shared" si="2"/>
        <v/>
      </c>
      <c r="L8226">
        <f t="shared" si="3"/>
        <v>0</v>
      </c>
    </row>
    <row r="8227">
      <c r="A8227" s="107"/>
      <c r="D8227" s="270"/>
      <c r="H8227" s="106" t="str">
        <f t="shared" si="1"/>
        <v/>
      </c>
      <c r="J8227" t="str">
        <f>IFERROR(__xludf.DUMMYFUNCTION("IFS(
  AND(REGEXMATCH(E8227, ""台銀籌備帳戶|玉山帳戶""), REGEXMATCH(C8227, ""薪資"")), ""分潤支出"",
  AND(REGEXMATCH(E8227, ""Ben帳戶|Elsa帳戶|Ben代墊|Ariel代墊|中信銀行共用""), REGEXMATCH(F8227, ""Ben帳戶|Elsa帳戶|Ben代墊|Ariel代墊|中信銀行共用"")), ""內部轉帳(忽略)"",
  AND(E8227&lt;&gt;"""", F8227&lt;&gt;"""", N"&amp;"OT(REGEXMATCH(C8227, ""薪資""))), ""內部轉帳(忽略)"",
  REGEXMATCH(C8227, ""薪資""), ""薪資變動(不計入)"",
  REGEXMATCH(C8227, ""押金""), ""押金往來"",
  AND(E8227&lt;&gt;"""", F8227=""""), ""真實支出"",
  AND(E8227="""", F8227&lt;&gt;""""), ""真實收入"",
  TRUE, ""其他""
)"),"其他")</f>
        <v>其他</v>
      </c>
      <c r="K8227" s="270" t="str">
        <f t="shared" si="2"/>
        <v/>
      </c>
      <c r="L8227">
        <f t="shared" si="3"/>
        <v>0</v>
      </c>
    </row>
    <row r="8228">
      <c r="A8228" s="107"/>
      <c r="D8228" s="270"/>
      <c r="H8228" s="106" t="str">
        <f t="shared" si="1"/>
        <v/>
      </c>
      <c r="J8228" t="str">
        <f>IFERROR(__xludf.DUMMYFUNCTION("IFS(
  AND(REGEXMATCH(E8228, ""台銀籌備帳戶|玉山帳戶""), REGEXMATCH(C8228, ""薪資"")), ""分潤支出"",
  AND(REGEXMATCH(E8228, ""Ben帳戶|Elsa帳戶|Ben代墊|Ariel代墊|中信銀行共用""), REGEXMATCH(F8228, ""Ben帳戶|Elsa帳戶|Ben代墊|Ariel代墊|中信銀行共用"")), ""內部轉帳(忽略)"",
  AND(E8228&lt;&gt;"""", F8228&lt;&gt;"""", N"&amp;"OT(REGEXMATCH(C8228, ""薪資""))), ""內部轉帳(忽略)"",
  REGEXMATCH(C8228, ""薪資""), ""薪資變動(不計入)"",
  REGEXMATCH(C8228, ""押金""), ""押金往來"",
  AND(E8228&lt;&gt;"""", F8228=""""), ""真實支出"",
  AND(E8228="""", F8228&lt;&gt;""""), ""真實收入"",
  TRUE, ""其他""
)"),"其他")</f>
        <v>其他</v>
      </c>
      <c r="K8228" s="270" t="str">
        <f t="shared" si="2"/>
        <v/>
      </c>
      <c r="L8228">
        <f t="shared" si="3"/>
        <v>0</v>
      </c>
    </row>
    <row r="8229">
      <c r="A8229" s="107"/>
      <c r="D8229" s="270"/>
      <c r="H8229" s="106" t="str">
        <f t="shared" si="1"/>
        <v/>
      </c>
      <c r="J8229" t="str">
        <f>IFERROR(__xludf.DUMMYFUNCTION("IFS(
  AND(REGEXMATCH(E8229, ""台銀籌備帳戶|玉山帳戶""), REGEXMATCH(C8229, ""薪資"")), ""分潤支出"",
  AND(REGEXMATCH(E8229, ""Ben帳戶|Elsa帳戶|Ben代墊|Ariel代墊|中信銀行共用""), REGEXMATCH(F8229, ""Ben帳戶|Elsa帳戶|Ben代墊|Ariel代墊|中信銀行共用"")), ""內部轉帳(忽略)"",
  AND(E8229&lt;&gt;"""", F8229&lt;&gt;"""", N"&amp;"OT(REGEXMATCH(C8229, ""薪資""))), ""內部轉帳(忽略)"",
  REGEXMATCH(C8229, ""薪資""), ""薪資變動(不計入)"",
  REGEXMATCH(C8229, ""押金""), ""押金往來"",
  AND(E8229&lt;&gt;"""", F8229=""""), ""真實支出"",
  AND(E8229="""", F8229&lt;&gt;""""), ""真實收入"",
  TRUE, ""其他""
)"),"其他")</f>
        <v>其他</v>
      </c>
      <c r="K8229" s="270" t="str">
        <f t="shared" si="2"/>
        <v/>
      </c>
      <c r="L8229">
        <f t="shared" si="3"/>
        <v>0</v>
      </c>
    </row>
    <row r="8230">
      <c r="A8230" s="107"/>
      <c r="D8230" s="270"/>
      <c r="H8230" s="106" t="str">
        <f t="shared" si="1"/>
        <v/>
      </c>
      <c r="J8230" t="str">
        <f>IFERROR(__xludf.DUMMYFUNCTION("IFS(
  AND(REGEXMATCH(E8230, ""台銀籌備帳戶|玉山帳戶""), REGEXMATCH(C8230, ""薪資"")), ""分潤支出"",
  AND(REGEXMATCH(E8230, ""Ben帳戶|Elsa帳戶|Ben代墊|Ariel代墊|中信銀行共用""), REGEXMATCH(F8230, ""Ben帳戶|Elsa帳戶|Ben代墊|Ariel代墊|中信銀行共用"")), ""內部轉帳(忽略)"",
  AND(E8230&lt;&gt;"""", F8230&lt;&gt;"""", N"&amp;"OT(REGEXMATCH(C8230, ""薪資""))), ""內部轉帳(忽略)"",
  REGEXMATCH(C8230, ""薪資""), ""薪資變動(不計入)"",
  REGEXMATCH(C8230, ""押金""), ""押金往來"",
  AND(E8230&lt;&gt;"""", F8230=""""), ""真實支出"",
  AND(E8230="""", F8230&lt;&gt;""""), ""真實收入"",
  TRUE, ""其他""
)"),"其他")</f>
        <v>其他</v>
      </c>
      <c r="K8230" s="270" t="str">
        <f t="shared" si="2"/>
        <v/>
      </c>
      <c r="L8230">
        <f t="shared" si="3"/>
        <v>0</v>
      </c>
    </row>
    <row r="8231">
      <c r="A8231" s="107"/>
      <c r="D8231" s="270"/>
      <c r="H8231" s="106" t="str">
        <f t="shared" si="1"/>
        <v/>
      </c>
      <c r="J8231" t="str">
        <f>IFERROR(__xludf.DUMMYFUNCTION("IFS(
  AND(REGEXMATCH(E8231, ""台銀籌備帳戶|玉山帳戶""), REGEXMATCH(C8231, ""薪資"")), ""分潤支出"",
  AND(REGEXMATCH(E8231, ""Ben帳戶|Elsa帳戶|Ben代墊|Ariel代墊|中信銀行共用""), REGEXMATCH(F8231, ""Ben帳戶|Elsa帳戶|Ben代墊|Ariel代墊|中信銀行共用"")), ""內部轉帳(忽略)"",
  AND(E8231&lt;&gt;"""", F8231&lt;&gt;"""", N"&amp;"OT(REGEXMATCH(C8231, ""薪資""))), ""內部轉帳(忽略)"",
  REGEXMATCH(C8231, ""薪資""), ""薪資變動(不計入)"",
  REGEXMATCH(C8231, ""押金""), ""押金往來"",
  AND(E8231&lt;&gt;"""", F8231=""""), ""真實支出"",
  AND(E8231="""", F8231&lt;&gt;""""), ""真實收入"",
  TRUE, ""其他""
)"),"其他")</f>
        <v>其他</v>
      </c>
      <c r="K8231" s="270" t="str">
        <f t="shared" si="2"/>
        <v/>
      </c>
      <c r="L8231">
        <f t="shared" si="3"/>
        <v>0</v>
      </c>
    </row>
    <row r="8232">
      <c r="A8232" s="107"/>
      <c r="D8232" s="270"/>
      <c r="H8232" s="106" t="str">
        <f t="shared" si="1"/>
        <v/>
      </c>
      <c r="J8232" t="str">
        <f>IFERROR(__xludf.DUMMYFUNCTION("IFS(
  AND(REGEXMATCH(E8232, ""台銀籌備帳戶|玉山帳戶""), REGEXMATCH(C8232, ""薪資"")), ""分潤支出"",
  AND(REGEXMATCH(E8232, ""Ben帳戶|Elsa帳戶|Ben代墊|Ariel代墊|中信銀行共用""), REGEXMATCH(F8232, ""Ben帳戶|Elsa帳戶|Ben代墊|Ariel代墊|中信銀行共用"")), ""內部轉帳(忽略)"",
  AND(E8232&lt;&gt;"""", F8232&lt;&gt;"""", N"&amp;"OT(REGEXMATCH(C8232, ""薪資""))), ""內部轉帳(忽略)"",
  REGEXMATCH(C8232, ""薪資""), ""薪資變動(不計入)"",
  REGEXMATCH(C8232, ""押金""), ""押金往來"",
  AND(E8232&lt;&gt;"""", F8232=""""), ""真實支出"",
  AND(E8232="""", F8232&lt;&gt;""""), ""真實收入"",
  TRUE, ""其他""
)"),"其他")</f>
        <v>其他</v>
      </c>
      <c r="K8232" s="270" t="str">
        <f t="shared" si="2"/>
        <v/>
      </c>
      <c r="L8232">
        <f t="shared" si="3"/>
        <v>0</v>
      </c>
    </row>
    <row r="8233">
      <c r="A8233" s="107"/>
      <c r="D8233" s="270"/>
      <c r="H8233" s="106" t="str">
        <f t="shared" si="1"/>
        <v/>
      </c>
      <c r="J8233" t="str">
        <f>IFERROR(__xludf.DUMMYFUNCTION("IFS(
  AND(REGEXMATCH(E8233, ""台銀籌備帳戶|玉山帳戶""), REGEXMATCH(C8233, ""薪資"")), ""分潤支出"",
  AND(REGEXMATCH(E8233, ""Ben帳戶|Elsa帳戶|Ben代墊|Ariel代墊|中信銀行共用""), REGEXMATCH(F8233, ""Ben帳戶|Elsa帳戶|Ben代墊|Ariel代墊|中信銀行共用"")), ""內部轉帳(忽略)"",
  AND(E8233&lt;&gt;"""", F8233&lt;&gt;"""", N"&amp;"OT(REGEXMATCH(C8233, ""薪資""))), ""內部轉帳(忽略)"",
  REGEXMATCH(C8233, ""薪資""), ""薪資變動(不計入)"",
  REGEXMATCH(C8233, ""押金""), ""押金往來"",
  AND(E8233&lt;&gt;"""", F8233=""""), ""真實支出"",
  AND(E8233="""", F8233&lt;&gt;""""), ""真實收入"",
  TRUE, ""其他""
)"),"其他")</f>
        <v>其他</v>
      </c>
      <c r="K8233" s="270" t="str">
        <f t="shared" si="2"/>
        <v/>
      </c>
      <c r="L8233">
        <f t="shared" si="3"/>
        <v>0</v>
      </c>
    </row>
    <row r="8234">
      <c r="A8234" s="107"/>
      <c r="D8234" s="270"/>
      <c r="H8234" s="106" t="str">
        <f t="shared" si="1"/>
        <v/>
      </c>
      <c r="J8234" t="str">
        <f>IFERROR(__xludf.DUMMYFUNCTION("IFS(
  AND(REGEXMATCH(E8234, ""台銀籌備帳戶|玉山帳戶""), REGEXMATCH(C8234, ""薪資"")), ""分潤支出"",
  AND(REGEXMATCH(E8234, ""Ben帳戶|Elsa帳戶|Ben代墊|Ariel代墊|中信銀行共用""), REGEXMATCH(F8234, ""Ben帳戶|Elsa帳戶|Ben代墊|Ariel代墊|中信銀行共用"")), ""內部轉帳(忽略)"",
  AND(E8234&lt;&gt;"""", F8234&lt;&gt;"""", N"&amp;"OT(REGEXMATCH(C8234, ""薪資""))), ""內部轉帳(忽略)"",
  REGEXMATCH(C8234, ""薪資""), ""薪資變動(不計入)"",
  REGEXMATCH(C8234, ""押金""), ""押金往來"",
  AND(E8234&lt;&gt;"""", F8234=""""), ""真實支出"",
  AND(E8234="""", F8234&lt;&gt;""""), ""真實收入"",
  TRUE, ""其他""
)"),"其他")</f>
        <v>其他</v>
      </c>
      <c r="K8234" s="270" t="str">
        <f t="shared" si="2"/>
        <v/>
      </c>
      <c r="L8234">
        <f t="shared" si="3"/>
        <v>0</v>
      </c>
    </row>
    <row r="8235">
      <c r="A8235" s="107"/>
      <c r="D8235" s="270"/>
      <c r="H8235" s="106" t="str">
        <f t="shared" si="1"/>
        <v/>
      </c>
      <c r="J8235" t="str">
        <f>IFERROR(__xludf.DUMMYFUNCTION("IFS(
  AND(REGEXMATCH(E8235, ""台銀籌備帳戶|玉山帳戶""), REGEXMATCH(C8235, ""薪資"")), ""分潤支出"",
  AND(REGEXMATCH(E8235, ""Ben帳戶|Elsa帳戶|Ben代墊|Ariel代墊|中信銀行共用""), REGEXMATCH(F8235, ""Ben帳戶|Elsa帳戶|Ben代墊|Ariel代墊|中信銀行共用"")), ""內部轉帳(忽略)"",
  AND(E8235&lt;&gt;"""", F8235&lt;&gt;"""", N"&amp;"OT(REGEXMATCH(C8235, ""薪資""))), ""內部轉帳(忽略)"",
  REGEXMATCH(C8235, ""薪資""), ""薪資變動(不計入)"",
  REGEXMATCH(C8235, ""押金""), ""押金往來"",
  AND(E8235&lt;&gt;"""", F8235=""""), ""真實支出"",
  AND(E8235="""", F8235&lt;&gt;""""), ""真實收入"",
  TRUE, ""其他""
)"),"其他")</f>
        <v>其他</v>
      </c>
      <c r="K8235" s="270" t="str">
        <f t="shared" si="2"/>
        <v/>
      </c>
      <c r="L8235">
        <f t="shared" si="3"/>
        <v>0</v>
      </c>
    </row>
    <row r="8236">
      <c r="A8236" s="107"/>
      <c r="D8236" s="270"/>
      <c r="H8236" s="106" t="str">
        <f t="shared" si="1"/>
        <v/>
      </c>
      <c r="J8236" t="str">
        <f>IFERROR(__xludf.DUMMYFUNCTION("IFS(
  AND(REGEXMATCH(E8236, ""台銀籌備帳戶|玉山帳戶""), REGEXMATCH(C8236, ""薪資"")), ""分潤支出"",
  AND(REGEXMATCH(E8236, ""Ben帳戶|Elsa帳戶|Ben代墊|Ariel代墊|中信銀行共用""), REGEXMATCH(F8236, ""Ben帳戶|Elsa帳戶|Ben代墊|Ariel代墊|中信銀行共用"")), ""內部轉帳(忽略)"",
  AND(E8236&lt;&gt;"""", F8236&lt;&gt;"""", N"&amp;"OT(REGEXMATCH(C8236, ""薪資""))), ""內部轉帳(忽略)"",
  REGEXMATCH(C8236, ""薪資""), ""薪資變動(不計入)"",
  REGEXMATCH(C8236, ""押金""), ""押金往來"",
  AND(E8236&lt;&gt;"""", F8236=""""), ""真實支出"",
  AND(E8236="""", F8236&lt;&gt;""""), ""真實收入"",
  TRUE, ""其他""
)"),"其他")</f>
        <v>其他</v>
      </c>
      <c r="K8236" s="270" t="str">
        <f t="shared" si="2"/>
        <v/>
      </c>
      <c r="L8236">
        <f t="shared" si="3"/>
        <v>0</v>
      </c>
    </row>
    <row r="8237">
      <c r="A8237" s="107"/>
      <c r="D8237" s="270"/>
      <c r="H8237" s="106" t="str">
        <f t="shared" si="1"/>
        <v/>
      </c>
      <c r="J8237" t="str">
        <f>IFERROR(__xludf.DUMMYFUNCTION("IFS(
  AND(REGEXMATCH(E8237, ""台銀籌備帳戶|玉山帳戶""), REGEXMATCH(C8237, ""薪資"")), ""分潤支出"",
  AND(REGEXMATCH(E8237, ""Ben帳戶|Elsa帳戶|Ben代墊|Ariel代墊|中信銀行共用""), REGEXMATCH(F8237, ""Ben帳戶|Elsa帳戶|Ben代墊|Ariel代墊|中信銀行共用"")), ""內部轉帳(忽略)"",
  AND(E8237&lt;&gt;"""", F8237&lt;&gt;"""", N"&amp;"OT(REGEXMATCH(C8237, ""薪資""))), ""內部轉帳(忽略)"",
  REGEXMATCH(C8237, ""薪資""), ""薪資變動(不計入)"",
  REGEXMATCH(C8237, ""押金""), ""押金往來"",
  AND(E8237&lt;&gt;"""", F8237=""""), ""真實支出"",
  AND(E8237="""", F8237&lt;&gt;""""), ""真實收入"",
  TRUE, ""其他""
)"),"其他")</f>
        <v>其他</v>
      </c>
      <c r="K8237" s="270" t="str">
        <f t="shared" si="2"/>
        <v/>
      </c>
      <c r="L8237">
        <f t="shared" si="3"/>
        <v>0</v>
      </c>
    </row>
    <row r="8238">
      <c r="A8238" s="107"/>
      <c r="D8238" s="270"/>
      <c r="H8238" s="106" t="str">
        <f t="shared" si="1"/>
        <v/>
      </c>
      <c r="J8238" t="str">
        <f>IFERROR(__xludf.DUMMYFUNCTION("IFS(
  AND(REGEXMATCH(E8238, ""台銀籌備帳戶|玉山帳戶""), REGEXMATCH(C8238, ""薪資"")), ""分潤支出"",
  AND(REGEXMATCH(E8238, ""Ben帳戶|Elsa帳戶|Ben代墊|Ariel代墊|中信銀行共用""), REGEXMATCH(F8238, ""Ben帳戶|Elsa帳戶|Ben代墊|Ariel代墊|中信銀行共用"")), ""內部轉帳(忽略)"",
  AND(E8238&lt;&gt;"""", F8238&lt;&gt;"""", N"&amp;"OT(REGEXMATCH(C8238, ""薪資""))), ""內部轉帳(忽略)"",
  REGEXMATCH(C8238, ""薪資""), ""薪資變動(不計入)"",
  REGEXMATCH(C8238, ""押金""), ""押金往來"",
  AND(E8238&lt;&gt;"""", F8238=""""), ""真實支出"",
  AND(E8238="""", F8238&lt;&gt;""""), ""真實收入"",
  TRUE, ""其他""
)"),"其他")</f>
        <v>其他</v>
      </c>
      <c r="K8238" s="270" t="str">
        <f t="shared" si="2"/>
        <v/>
      </c>
      <c r="L8238">
        <f t="shared" si="3"/>
        <v>0</v>
      </c>
    </row>
    <row r="8239">
      <c r="A8239" s="107"/>
      <c r="D8239" s="270"/>
      <c r="H8239" s="106" t="str">
        <f t="shared" si="1"/>
        <v/>
      </c>
      <c r="J8239" t="str">
        <f>IFERROR(__xludf.DUMMYFUNCTION("IFS(
  AND(REGEXMATCH(E8239, ""台銀籌備帳戶|玉山帳戶""), REGEXMATCH(C8239, ""薪資"")), ""分潤支出"",
  AND(REGEXMATCH(E8239, ""Ben帳戶|Elsa帳戶|Ben代墊|Ariel代墊|中信銀行共用""), REGEXMATCH(F8239, ""Ben帳戶|Elsa帳戶|Ben代墊|Ariel代墊|中信銀行共用"")), ""內部轉帳(忽略)"",
  AND(E8239&lt;&gt;"""", F8239&lt;&gt;"""", N"&amp;"OT(REGEXMATCH(C8239, ""薪資""))), ""內部轉帳(忽略)"",
  REGEXMATCH(C8239, ""薪資""), ""薪資變動(不計入)"",
  REGEXMATCH(C8239, ""押金""), ""押金往來"",
  AND(E8239&lt;&gt;"""", F8239=""""), ""真實支出"",
  AND(E8239="""", F8239&lt;&gt;""""), ""真實收入"",
  TRUE, ""其他""
)"),"其他")</f>
        <v>其他</v>
      </c>
      <c r="K8239" s="270" t="str">
        <f t="shared" si="2"/>
        <v/>
      </c>
      <c r="L8239">
        <f t="shared" si="3"/>
        <v>0</v>
      </c>
    </row>
    <row r="8240">
      <c r="A8240" s="107"/>
      <c r="D8240" s="270"/>
      <c r="H8240" s="106" t="str">
        <f t="shared" si="1"/>
        <v/>
      </c>
      <c r="J8240" t="str">
        <f>IFERROR(__xludf.DUMMYFUNCTION("IFS(
  AND(REGEXMATCH(E8240, ""台銀籌備帳戶|玉山帳戶""), REGEXMATCH(C8240, ""薪資"")), ""分潤支出"",
  AND(REGEXMATCH(E8240, ""Ben帳戶|Elsa帳戶|Ben代墊|Ariel代墊|中信銀行共用""), REGEXMATCH(F8240, ""Ben帳戶|Elsa帳戶|Ben代墊|Ariel代墊|中信銀行共用"")), ""內部轉帳(忽略)"",
  AND(E8240&lt;&gt;"""", F8240&lt;&gt;"""", N"&amp;"OT(REGEXMATCH(C8240, ""薪資""))), ""內部轉帳(忽略)"",
  REGEXMATCH(C8240, ""薪資""), ""薪資變動(不計入)"",
  REGEXMATCH(C8240, ""押金""), ""押金往來"",
  AND(E8240&lt;&gt;"""", F8240=""""), ""真實支出"",
  AND(E8240="""", F8240&lt;&gt;""""), ""真實收入"",
  TRUE, ""其他""
)"),"其他")</f>
        <v>其他</v>
      </c>
      <c r="K8240" s="270" t="str">
        <f t="shared" si="2"/>
        <v/>
      </c>
      <c r="L8240">
        <f t="shared" si="3"/>
        <v>0</v>
      </c>
    </row>
    <row r="8241">
      <c r="A8241" s="107"/>
      <c r="D8241" s="270"/>
      <c r="H8241" s="106" t="str">
        <f t="shared" si="1"/>
        <v/>
      </c>
      <c r="J8241" t="str">
        <f>IFERROR(__xludf.DUMMYFUNCTION("IFS(
  AND(REGEXMATCH(E8241, ""台銀籌備帳戶|玉山帳戶""), REGEXMATCH(C8241, ""薪資"")), ""分潤支出"",
  AND(REGEXMATCH(E8241, ""Ben帳戶|Elsa帳戶|Ben代墊|Ariel代墊|中信銀行共用""), REGEXMATCH(F8241, ""Ben帳戶|Elsa帳戶|Ben代墊|Ariel代墊|中信銀行共用"")), ""內部轉帳(忽略)"",
  AND(E8241&lt;&gt;"""", F8241&lt;&gt;"""", N"&amp;"OT(REGEXMATCH(C8241, ""薪資""))), ""內部轉帳(忽略)"",
  REGEXMATCH(C8241, ""薪資""), ""薪資變動(不計入)"",
  REGEXMATCH(C8241, ""押金""), ""押金往來"",
  AND(E8241&lt;&gt;"""", F8241=""""), ""真實支出"",
  AND(E8241="""", F8241&lt;&gt;""""), ""真實收入"",
  TRUE, ""其他""
)"),"其他")</f>
        <v>其他</v>
      </c>
      <c r="K8241" s="270" t="str">
        <f t="shared" si="2"/>
        <v/>
      </c>
      <c r="L8241">
        <f t="shared" si="3"/>
        <v>0</v>
      </c>
    </row>
    <row r="8242">
      <c r="A8242" s="107"/>
      <c r="D8242" s="270"/>
      <c r="H8242" s="106" t="str">
        <f t="shared" si="1"/>
        <v/>
      </c>
      <c r="J8242" t="str">
        <f>IFERROR(__xludf.DUMMYFUNCTION("IFS(
  AND(REGEXMATCH(E8242, ""台銀籌備帳戶|玉山帳戶""), REGEXMATCH(C8242, ""薪資"")), ""分潤支出"",
  AND(REGEXMATCH(E8242, ""Ben帳戶|Elsa帳戶|Ben代墊|Ariel代墊|中信銀行共用""), REGEXMATCH(F8242, ""Ben帳戶|Elsa帳戶|Ben代墊|Ariel代墊|中信銀行共用"")), ""內部轉帳(忽略)"",
  AND(E8242&lt;&gt;"""", F8242&lt;&gt;"""", N"&amp;"OT(REGEXMATCH(C8242, ""薪資""))), ""內部轉帳(忽略)"",
  REGEXMATCH(C8242, ""薪資""), ""薪資變動(不計入)"",
  REGEXMATCH(C8242, ""押金""), ""押金往來"",
  AND(E8242&lt;&gt;"""", F8242=""""), ""真實支出"",
  AND(E8242="""", F8242&lt;&gt;""""), ""真實收入"",
  TRUE, ""其他""
)"),"其他")</f>
        <v>其他</v>
      </c>
      <c r="K8242" s="270" t="str">
        <f t="shared" si="2"/>
        <v/>
      </c>
      <c r="L8242">
        <f t="shared" si="3"/>
        <v>0</v>
      </c>
    </row>
    <row r="8243">
      <c r="A8243" s="107"/>
      <c r="D8243" s="270"/>
      <c r="H8243" s="106" t="str">
        <f t="shared" si="1"/>
        <v/>
      </c>
      <c r="J8243" t="str">
        <f>IFERROR(__xludf.DUMMYFUNCTION("IFS(
  AND(REGEXMATCH(E8243, ""台銀籌備帳戶|玉山帳戶""), REGEXMATCH(C8243, ""薪資"")), ""分潤支出"",
  AND(REGEXMATCH(E8243, ""Ben帳戶|Elsa帳戶|Ben代墊|Ariel代墊|中信銀行共用""), REGEXMATCH(F8243, ""Ben帳戶|Elsa帳戶|Ben代墊|Ariel代墊|中信銀行共用"")), ""內部轉帳(忽略)"",
  AND(E8243&lt;&gt;"""", F8243&lt;&gt;"""", N"&amp;"OT(REGEXMATCH(C8243, ""薪資""))), ""內部轉帳(忽略)"",
  REGEXMATCH(C8243, ""薪資""), ""薪資變動(不計入)"",
  REGEXMATCH(C8243, ""押金""), ""押金往來"",
  AND(E8243&lt;&gt;"""", F8243=""""), ""真實支出"",
  AND(E8243="""", F8243&lt;&gt;""""), ""真實收入"",
  TRUE, ""其他""
)"),"其他")</f>
        <v>其他</v>
      </c>
      <c r="K8243" s="270" t="str">
        <f t="shared" si="2"/>
        <v/>
      </c>
      <c r="L8243">
        <f t="shared" si="3"/>
        <v>0</v>
      </c>
    </row>
    <row r="8244">
      <c r="A8244" s="107"/>
      <c r="D8244" s="270"/>
      <c r="H8244" s="106" t="str">
        <f t="shared" si="1"/>
        <v/>
      </c>
      <c r="J8244" t="str">
        <f>IFERROR(__xludf.DUMMYFUNCTION("IFS(
  AND(REGEXMATCH(E8244, ""台銀籌備帳戶|玉山帳戶""), REGEXMATCH(C8244, ""薪資"")), ""分潤支出"",
  AND(REGEXMATCH(E8244, ""Ben帳戶|Elsa帳戶|Ben代墊|Ariel代墊|中信銀行共用""), REGEXMATCH(F8244, ""Ben帳戶|Elsa帳戶|Ben代墊|Ariel代墊|中信銀行共用"")), ""內部轉帳(忽略)"",
  AND(E8244&lt;&gt;"""", F8244&lt;&gt;"""", N"&amp;"OT(REGEXMATCH(C8244, ""薪資""))), ""內部轉帳(忽略)"",
  REGEXMATCH(C8244, ""薪資""), ""薪資變動(不計入)"",
  REGEXMATCH(C8244, ""押金""), ""押金往來"",
  AND(E8244&lt;&gt;"""", F8244=""""), ""真實支出"",
  AND(E8244="""", F8244&lt;&gt;""""), ""真實收入"",
  TRUE, ""其他""
)"),"其他")</f>
        <v>其他</v>
      </c>
      <c r="K8244" s="270" t="str">
        <f t="shared" si="2"/>
        <v/>
      </c>
      <c r="L8244">
        <f t="shared" si="3"/>
        <v>0</v>
      </c>
    </row>
    <row r="8245">
      <c r="A8245" s="107"/>
      <c r="D8245" s="270"/>
      <c r="H8245" s="106" t="str">
        <f t="shared" si="1"/>
        <v/>
      </c>
      <c r="J8245" t="str">
        <f>IFERROR(__xludf.DUMMYFUNCTION("IFS(
  AND(REGEXMATCH(E8245, ""台銀籌備帳戶|玉山帳戶""), REGEXMATCH(C8245, ""薪資"")), ""分潤支出"",
  AND(REGEXMATCH(E8245, ""Ben帳戶|Elsa帳戶|Ben代墊|Ariel代墊|中信銀行共用""), REGEXMATCH(F8245, ""Ben帳戶|Elsa帳戶|Ben代墊|Ariel代墊|中信銀行共用"")), ""內部轉帳(忽略)"",
  AND(E8245&lt;&gt;"""", F8245&lt;&gt;"""", N"&amp;"OT(REGEXMATCH(C8245, ""薪資""))), ""內部轉帳(忽略)"",
  REGEXMATCH(C8245, ""薪資""), ""薪資變動(不計入)"",
  REGEXMATCH(C8245, ""押金""), ""押金往來"",
  AND(E8245&lt;&gt;"""", F8245=""""), ""真實支出"",
  AND(E8245="""", F8245&lt;&gt;""""), ""真實收入"",
  TRUE, ""其他""
)"),"其他")</f>
        <v>其他</v>
      </c>
      <c r="K8245" s="270" t="str">
        <f t="shared" si="2"/>
        <v/>
      </c>
      <c r="L8245">
        <f t="shared" si="3"/>
        <v>0</v>
      </c>
    </row>
    <row r="8246">
      <c r="A8246" s="107"/>
      <c r="D8246" s="270"/>
      <c r="H8246" s="106" t="str">
        <f t="shared" si="1"/>
        <v/>
      </c>
      <c r="J8246" t="str">
        <f>IFERROR(__xludf.DUMMYFUNCTION("IFS(
  AND(REGEXMATCH(E8246, ""台銀籌備帳戶|玉山帳戶""), REGEXMATCH(C8246, ""薪資"")), ""分潤支出"",
  AND(REGEXMATCH(E8246, ""Ben帳戶|Elsa帳戶|Ben代墊|Ariel代墊|中信銀行共用""), REGEXMATCH(F8246, ""Ben帳戶|Elsa帳戶|Ben代墊|Ariel代墊|中信銀行共用"")), ""內部轉帳(忽略)"",
  AND(E8246&lt;&gt;"""", F8246&lt;&gt;"""", N"&amp;"OT(REGEXMATCH(C8246, ""薪資""))), ""內部轉帳(忽略)"",
  REGEXMATCH(C8246, ""薪資""), ""薪資變動(不計入)"",
  REGEXMATCH(C8246, ""押金""), ""押金往來"",
  AND(E8246&lt;&gt;"""", F8246=""""), ""真實支出"",
  AND(E8246="""", F8246&lt;&gt;""""), ""真實收入"",
  TRUE, ""其他""
)"),"其他")</f>
        <v>其他</v>
      </c>
      <c r="K8246" s="270" t="str">
        <f t="shared" si="2"/>
        <v/>
      </c>
      <c r="L8246">
        <f t="shared" si="3"/>
        <v>0</v>
      </c>
    </row>
    <row r="8247">
      <c r="A8247" s="107"/>
      <c r="D8247" s="270"/>
      <c r="H8247" s="106" t="str">
        <f t="shared" si="1"/>
        <v/>
      </c>
      <c r="J8247" t="str">
        <f>IFERROR(__xludf.DUMMYFUNCTION("IFS(
  AND(REGEXMATCH(E8247, ""台銀籌備帳戶|玉山帳戶""), REGEXMATCH(C8247, ""薪資"")), ""分潤支出"",
  AND(REGEXMATCH(E8247, ""Ben帳戶|Elsa帳戶|Ben代墊|Ariel代墊|中信銀行共用""), REGEXMATCH(F8247, ""Ben帳戶|Elsa帳戶|Ben代墊|Ariel代墊|中信銀行共用"")), ""內部轉帳(忽略)"",
  AND(E8247&lt;&gt;"""", F8247&lt;&gt;"""", N"&amp;"OT(REGEXMATCH(C8247, ""薪資""))), ""內部轉帳(忽略)"",
  REGEXMATCH(C8247, ""薪資""), ""薪資變動(不計入)"",
  REGEXMATCH(C8247, ""押金""), ""押金往來"",
  AND(E8247&lt;&gt;"""", F8247=""""), ""真實支出"",
  AND(E8247="""", F8247&lt;&gt;""""), ""真實收入"",
  TRUE, ""其他""
)"),"其他")</f>
        <v>其他</v>
      </c>
      <c r="K8247" s="270" t="str">
        <f t="shared" si="2"/>
        <v/>
      </c>
      <c r="L8247">
        <f t="shared" si="3"/>
        <v>0</v>
      </c>
    </row>
    <row r="8248">
      <c r="A8248" s="107"/>
      <c r="D8248" s="270"/>
      <c r="H8248" s="106" t="str">
        <f t="shared" si="1"/>
        <v/>
      </c>
      <c r="J8248" t="str">
        <f>IFERROR(__xludf.DUMMYFUNCTION("IFS(
  AND(REGEXMATCH(E8248, ""台銀籌備帳戶|玉山帳戶""), REGEXMATCH(C8248, ""薪資"")), ""分潤支出"",
  AND(REGEXMATCH(E8248, ""Ben帳戶|Elsa帳戶|Ben代墊|Ariel代墊|中信銀行共用""), REGEXMATCH(F8248, ""Ben帳戶|Elsa帳戶|Ben代墊|Ariel代墊|中信銀行共用"")), ""內部轉帳(忽略)"",
  AND(E8248&lt;&gt;"""", F8248&lt;&gt;"""", N"&amp;"OT(REGEXMATCH(C8248, ""薪資""))), ""內部轉帳(忽略)"",
  REGEXMATCH(C8248, ""薪資""), ""薪資變動(不計入)"",
  REGEXMATCH(C8248, ""押金""), ""押金往來"",
  AND(E8248&lt;&gt;"""", F8248=""""), ""真實支出"",
  AND(E8248="""", F8248&lt;&gt;""""), ""真實收入"",
  TRUE, ""其他""
)"),"其他")</f>
        <v>其他</v>
      </c>
      <c r="K8248" s="270" t="str">
        <f t="shared" si="2"/>
        <v/>
      </c>
      <c r="L8248">
        <f t="shared" si="3"/>
        <v>0</v>
      </c>
    </row>
    <row r="8249">
      <c r="A8249" s="107"/>
      <c r="D8249" s="270"/>
      <c r="H8249" s="106" t="str">
        <f t="shared" si="1"/>
        <v/>
      </c>
      <c r="J8249" t="str">
        <f>IFERROR(__xludf.DUMMYFUNCTION("IFS(
  AND(REGEXMATCH(E8249, ""台銀籌備帳戶|玉山帳戶""), REGEXMATCH(C8249, ""薪資"")), ""分潤支出"",
  AND(REGEXMATCH(E8249, ""Ben帳戶|Elsa帳戶|Ben代墊|Ariel代墊|中信銀行共用""), REGEXMATCH(F8249, ""Ben帳戶|Elsa帳戶|Ben代墊|Ariel代墊|中信銀行共用"")), ""內部轉帳(忽略)"",
  AND(E8249&lt;&gt;"""", F8249&lt;&gt;"""", N"&amp;"OT(REGEXMATCH(C8249, ""薪資""))), ""內部轉帳(忽略)"",
  REGEXMATCH(C8249, ""薪資""), ""薪資變動(不計入)"",
  REGEXMATCH(C8249, ""押金""), ""押金往來"",
  AND(E8249&lt;&gt;"""", F8249=""""), ""真實支出"",
  AND(E8249="""", F8249&lt;&gt;""""), ""真實收入"",
  TRUE, ""其他""
)"),"其他")</f>
        <v>其他</v>
      </c>
      <c r="K8249" s="270" t="str">
        <f t="shared" si="2"/>
        <v/>
      </c>
      <c r="L8249">
        <f t="shared" si="3"/>
        <v>0</v>
      </c>
    </row>
    <row r="8250">
      <c r="A8250" s="107"/>
      <c r="D8250" s="270"/>
      <c r="H8250" s="106" t="str">
        <f t="shared" si="1"/>
        <v/>
      </c>
      <c r="J8250" t="str">
        <f>IFERROR(__xludf.DUMMYFUNCTION("IFS(
  AND(REGEXMATCH(E8250, ""台銀籌備帳戶|玉山帳戶""), REGEXMATCH(C8250, ""薪資"")), ""分潤支出"",
  AND(REGEXMATCH(E8250, ""Ben帳戶|Elsa帳戶|Ben代墊|Ariel代墊|中信銀行共用""), REGEXMATCH(F8250, ""Ben帳戶|Elsa帳戶|Ben代墊|Ariel代墊|中信銀行共用"")), ""內部轉帳(忽略)"",
  AND(E8250&lt;&gt;"""", F8250&lt;&gt;"""", N"&amp;"OT(REGEXMATCH(C8250, ""薪資""))), ""內部轉帳(忽略)"",
  REGEXMATCH(C8250, ""薪資""), ""薪資變動(不計入)"",
  REGEXMATCH(C8250, ""押金""), ""押金往來"",
  AND(E8250&lt;&gt;"""", F8250=""""), ""真實支出"",
  AND(E8250="""", F8250&lt;&gt;""""), ""真實收入"",
  TRUE, ""其他""
)"),"其他")</f>
        <v>其他</v>
      </c>
      <c r="K8250" s="270" t="str">
        <f t="shared" si="2"/>
        <v/>
      </c>
      <c r="L8250">
        <f t="shared" si="3"/>
        <v>0</v>
      </c>
    </row>
    <row r="8251">
      <c r="A8251" s="107"/>
      <c r="D8251" s="270"/>
      <c r="H8251" s="106" t="str">
        <f t="shared" si="1"/>
        <v/>
      </c>
      <c r="J8251" t="str">
        <f>IFERROR(__xludf.DUMMYFUNCTION("IFS(
  AND(REGEXMATCH(E8251, ""台銀籌備帳戶|玉山帳戶""), REGEXMATCH(C8251, ""薪資"")), ""分潤支出"",
  AND(REGEXMATCH(E8251, ""Ben帳戶|Elsa帳戶|Ben代墊|Ariel代墊|中信銀行共用""), REGEXMATCH(F8251, ""Ben帳戶|Elsa帳戶|Ben代墊|Ariel代墊|中信銀行共用"")), ""內部轉帳(忽略)"",
  AND(E8251&lt;&gt;"""", F8251&lt;&gt;"""", N"&amp;"OT(REGEXMATCH(C8251, ""薪資""))), ""內部轉帳(忽略)"",
  REGEXMATCH(C8251, ""薪資""), ""薪資變動(不計入)"",
  REGEXMATCH(C8251, ""押金""), ""押金往來"",
  AND(E8251&lt;&gt;"""", F8251=""""), ""真實支出"",
  AND(E8251="""", F8251&lt;&gt;""""), ""真實收入"",
  TRUE, ""其他""
)"),"其他")</f>
        <v>其他</v>
      </c>
      <c r="K8251" s="270" t="str">
        <f t="shared" si="2"/>
        <v/>
      </c>
      <c r="L8251">
        <f t="shared" si="3"/>
        <v>0</v>
      </c>
    </row>
    <row r="8252">
      <c r="A8252" s="107"/>
      <c r="D8252" s="270"/>
      <c r="H8252" s="106" t="str">
        <f t="shared" si="1"/>
        <v/>
      </c>
      <c r="J8252" t="str">
        <f>IFERROR(__xludf.DUMMYFUNCTION("IFS(
  AND(REGEXMATCH(E8252, ""台銀籌備帳戶|玉山帳戶""), REGEXMATCH(C8252, ""薪資"")), ""分潤支出"",
  AND(REGEXMATCH(E8252, ""Ben帳戶|Elsa帳戶|Ben代墊|Ariel代墊|中信銀行共用""), REGEXMATCH(F8252, ""Ben帳戶|Elsa帳戶|Ben代墊|Ariel代墊|中信銀行共用"")), ""內部轉帳(忽略)"",
  AND(E8252&lt;&gt;"""", F8252&lt;&gt;"""", N"&amp;"OT(REGEXMATCH(C8252, ""薪資""))), ""內部轉帳(忽略)"",
  REGEXMATCH(C8252, ""薪資""), ""薪資變動(不計入)"",
  REGEXMATCH(C8252, ""押金""), ""押金往來"",
  AND(E8252&lt;&gt;"""", F8252=""""), ""真實支出"",
  AND(E8252="""", F8252&lt;&gt;""""), ""真實收入"",
  TRUE, ""其他""
)"),"其他")</f>
        <v>其他</v>
      </c>
      <c r="K8252" s="270" t="str">
        <f t="shared" si="2"/>
        <v/>
      </c>
      <c r="L8252">
        <f t="shared" si="3"/>
        <v>0</v>
      </c>
    </row>
    <row r="8253">
      <c r="A8253" s="107"/>
      <c r="D8253" s="270"/>
      <c r="H8253" s="106" t="str">
        <f t="shared" si="1"/>
        <v/>
      </c>
      <c r="J8253" t="str">
        <f>IFERROR(__xludf.DUMMYFUNCTION("IFS(
  AND(REGEXMATCH(E8253, ""台銀籌備帳戶|玉山帳戶""), REGEXMATCH(C8253, ""薪資"")), ""分潤支出"",
  AND(REGEXMATCH(E8253, ""Ben帳戶|Elsa帳戶|Ben代墊|Ariel代墊|中信銀行共用""), REGEXMATCH(F8253, ""Ben帳戶|Elsa帳戶|Ben代墊|Ariel代墊|中信銀行共用"")), ""內部轉帳(忽略)"",
  AND(E8253&lt;&gt;"""", F8253&lt;&gt;"""", N"&amp;"OT(REGEXMATCH(C8253, ""薪資""))), ""內部轉帳(忽略)"",
  REGEXMATCH(C8253, ""薪資""), ""薪資變動(不計入)"",
  REGEXMATCH(C8253, ""押金""), ""押金往來"",
  AND(E8253&lt;&gt;"""", F8253=""""), ""真實支出"",
  AND(E8253="""", F8253&lt;&gt;""""), ""真實收入"",
  TRUE, ""其他""
)"),"其他")</f>
        <v>其他</v>
      </c>
      <c r="K8253" s="270" t="str">
        <f t="shared" si="2"/>
        <v/>
      </c>
      <c r="L8253">
        <f t="shared" si="3"/>
        <v>0</v>
      </c>
    </row>
    <row r="8254">
      <c r="A8254" s="107"/>
      <c r="D8254" s="270"/>
      <c r="H8254" s="106" t="str">
        <f t="shared" si="1"/>
        <v/>
      </c>
      <c r="J8254" t="str">
        <f>IFERROR(__xludf.DUMMYFUNCTION("IFS(
  AND(REGEXMATCH(E8254, ""台銀籌備帳戶|玉山帳戶""), REGEXMATCH(C8254, ""薪資"")), ""分潤支出"",
  AND(REGEXMATCH(E8254, ""Ben帳戶|Elsa帳戶|Ben代墊|Ariel代墊|中信銀行共用""), REGEXMATCH(F8254, ""Ben帳戶|Elsa帳戶|Ben代墊|Ariel代墊|中信銀行共用"")), ""內部轉帳(忽略)"",
  AND(E8254&lt;&gt;"""", F8254&lt;&gt;"""", N"&amp;"OT(REGEXMATCH(C8254, ""薪資""))), ""內部轉帳(忽略)"",
  REGEXMATCH(C8254, ""薪資""), ""薪資變動(不計入)"",
  REGEXMATCH(C8254, ""押金""), ""押金往來"",
  AND(E8254&lt;&gt;"""", F8254=""""), ""真實支出"",
  AND(E8254="""", F8254&lt;&gt;""""), ""真實收入"",
  TRUE, ""其他""
)"),"其他")</f>
        <v>其他</v>
      </c>
      <c r="K8254" s="270" t="str">
        <f t="shared" si="2"/>
        <v/>
      </c>
      <c r="L8254">
        <f t="shared" si="3"/>
        <v>0</v>
      </c>
    </row>
    <row r="8255">
      <c r="A8255" s="107"/>
      <c r="D8255" s="270"/>
      <c r="H8255" s="106" t="str">
        <f t="shared" si="1"/>
        <v/>
      </c>
      <c r="J8255" t="str">
        <f>IFERROR(__xludf.DUMMYFUNCTION("IFS(
  AND(REGEXMATCH(E8255, ""台銀籌備帳戶|玉山帳戶""), REGEXMATCH(C8255, ""薪資"")), ""分潤支出"",
  AND(REGEXMATCH(E8255, ""Ben帳戶|Elsa帳戶|Ben代墊|Ariel代墊|中信銀行共用""), REGEXMATCH(F8255, ""Ben帳戶|Elsa帳戶|Ben代墊|Ariel代墊|中信銀行共用"")), ""內部轉帳(忽略)"",
  AND(E8255&lt;&gt;"""", F8255&lt;&gt;"""", N"&amp;"OT(REGEXMATCH(C8255, ""薪資""))), ""內部轉帳(忽略)"",
  REGEXMATCH(C8255, ""薪資""), ""薪資變動(不計入)"",
  REGEXMATCH(C8255, ""押金""), ""押金往來"",
  AND(E8255&lt;&gt;"""", F8255=""""), ""真實支出"",
  AND(E8255="""", F8255&lt;&gt;""""), ""真實收入"",
  TRUE, ""其他""
)"),"其他")</f>
        <v>其他</v>
      </c>
      <c r="K8255" s="270" t="str">
        <f t="shared" si="2"/>
        <v/>
      </c>
      <c r="L8255">
        <f t="shared" si="3"/>
        <v>0</v>
      </c>
    </row>
    <row r="8256">
      <c r="A8256" s="107"/>
      <c r="D8256" s="270"/>
      <c r="H8256" s="106" t="str">
        <f t="shared" si="1"/>
        <v/>
      </c>
      <c r="J8256" t="str">
        <f>IFERROR(__xludf.DUMMYFUNCTION("IFS(
  AND(REGEXMATCH(E8256, ""台銀籌備帳戶|玉山帳戶""), REGEXMATCH(C8256, ""薪資"")), ""分潤支出"",
  AND(REGEXMATCH(E8256, ""Ben帳戶|Elsa帳戶|Ben代墊|Ariel代墊|中信銀行共用""), REGEXMATCH(F8256, ""Ben帳戶|Elsa帳戶|Ben代墊|Ariel代墊|中信銀行共用"")), ""內部轉帳(忽略)"",
  AND(E8256&lt;&gt;"""", F8256&lt;&gt;"""", N"&amp;"OT(REGEXMATCH(C8256, ""薪資""))), ""內部轉帳(忽略)"",
  REGEXMATCH(C8256, ""薪資""), ""薪資變動(不計入)"",
  REGEXMATCH(C8256, ""押金""), ""押金往來"",
  AND(E8256&lt;&gt;"""", F8256=""""), ""真實支出"",
  AND(E8256="""", F8256&lt;&gt;""""), ""真實收入"",
  TRUE, ""其他""
)"),"其他")</f>
        <v>其他</v>
      </c>
      <c r="K8256" s="270" t="str">
        <f t="shared" si="2"/>
        <v/>
      </c>
      <c r="L8256">
        <f t="shared" si="3"/>
        <v>0</v>
      </c>
    </row>
    <row r="8257">
      <c r="A8257" s="107"/>
      <c r="D8257" s="270"/>
      <c r="H8257" s="106" t="str">
        <f t="shared" si="1"/>
        <v/>
      </c>
      <c r="J8257" t="str">
        <f>IFERROR(__xludf.DUMMYFUNCTION("IFS(
  AND(REGEXMATCH(E8257, ""台銀籌備帳戶|玉山帳戶""), REGEXMATCH(C8257, ""薪資"")), ""分潤支出"",
  AND(REGEXMATCH(E8257, ""Ben帳戶|Elsa帳戶|Ben代墊|Ariel代墊|中信銀行共用""), REGEXMATCH(F8257, ""Ben帳戶|Elsa帳戶|Ben代墊|Ariel代墊|中信銀行共用"")), ""內部轉帳(忽略)"",
  AND(E8257&lt;&gt;"""", F8257&lt;&gt;"""", N"&amp;"OT(REGEXMATCH(C8257, ""薪資""))), ""內部轉帳(忽略)"",
  REGEXMATCH(C8257, ""薪資""), ""薪資變動(不計入)"",
  REGEXMATCH(C8257, ""押金""), ""押金往來"",
  AND(E8257&lt;&gt;"""", F8257=""""), ""真實支出"",
  AND(E8257="""", F8257&lt;&gt;""""), ""真實收入"",
  TRUE, ""其他""
)"),"其他")</f>
        <v>其他</v>
      </c>
      <c r="K8257" s="270" t="str">
        <f t="shared" si="2"/>
        <v/>
      </c>
      <c r="L8257">
        <f t="shared" si="3"/>
        <v>0</v>
      </c>
    </row>
    <row r="8258">
      <c r="A8258" s="107"/>
      <c r="D8258" s="270"/>
      <c r="H8258" s="106" t="str">
        <f t="shared" si="1"/>
        <v/>
      </c>
      <c r="J8258" t="str">
        <f>IFERROR(__xludf.DUMMYFUNCTION("IFS(
  AND(REGEXMATCH(E8258, ""台銀籌備帳戶|玉山帳戶""), REGEXMATCH(C8258, ""薪資"")), ""分潤支出"",
  AND(REGEXMATCH(E8258, ""Ben帳戶|Elsa帳戶|Ben代墊|Ariel代墊|中信銀行共用""), REGEXMATCH(F8258, ""Ben帳戶|Elsa帳戶|Ben代墊|Ariel代墊|中信銀行共用"")), ""內部轉帳(忽略)"",
  AND(E8258&lt;&gt;"""", F8258&lt;&gt;"""", N"&amp;"OT(REGEXMATCH(C8258, ""薪資""))), ""內部轉帳(忽略)"",
  REGEXMATCH(C8258, ""薪資""), ""薪資變動(不計入)"",
  REGEXMATCH(C8258, ""押金""), ""押金往來"",
  AND(E8258&lt;&gt;"""", F8258=""""), ""真實支出"",
  AND(E8258="""", F8258&lt;&gt;""""), ""真實收入"",
  TRUE, ""其他""
)"),"其他")</f>
        <v>其他</v>
      </c>
      <c r="K8258" s="270" t="str">
        <f t="shared" si="2"/>
        <v/>
      </c>
      <c r="L8258">
        <f t="shared" si="3"/>
        <v>0</v>
      </c>
    </row>
    <row r="8259">
      <c r="A8259" s="107"/>
      <c r="D8259" s="270"/>
      <c r="H8259" s="106" t="str">
        <f t="shared" si="1"/>
        <v/>
      </c>
      <c r="J8259" t="str">
        <f>IFERROR(__xludf.DUMMYFUNCTION("IFS(
  AND(REGEXMATCH(E8259, ""台銀籌備帳戶|玉山帳戶""), REGEXMATCH(C8259, ""薪資"")), ""分潤支出"",
  AND(REGEXMATCH(E8259, ""Ben帳戶|Elsa帳戶|Ben代墊|Ariel代墊|中信銀行共用""), REGEXMATCH(F8259, ""Ben帳戶|Elsa帳戶|Ben代墊|Ariel代墊|中信銀行共用"")), ""內部轉帳(忽略)"",
  AND(E8259&lt;&gt;"""", F8259&lt;&gt;"""", N"&amp;"OT(REGEXMATCH(C8259, ""薪資""))), ""內部轉帳(忽略)"",
  REGEXMATCH(C8259, ""薪資""), ""薪資變動(不計入)"",
  REGEXMATCH(C8259, ""押金""), ""押金往來"",
  AND(E8259&lt;&gt;"""", F8259=""""), ""真實支出"",
  AND(E8259="""", F8259&lt;&gt;""""), ""真實收入"",
  TRUE, ""其他""
)"),"其他")</f>
        <v>其他</v>
      </c>
      <c r="K8259" s="270" t="str">
        <f t="shared" si="2"/>
        <v/>
      </c>
      <c r="L8259">
        <f t="shared" si="3"/>
        <v>0</v>
      </c>
    </row>
    <row r="8260">
      <c r="A8260" s="107"/>
      <c r="D8260" s="270"/>
      <c r="H8260" s="106" t="str">
        <f t="shared" si="1"/>
        <v/>
      </c>
      <c r="J8260" t="str">
        <f>IFERROR(__xludf.DUMMYFUNCTION("IFS(
  AND(REGEXMATCH(E8260, ""台銀籌備帳戶|玉山帳戶""), REGEXMATCH(C8260, ""薪資"")), ""分潤支出"",
  AND(REGEXMATCH(E8260, ""Ben帳戶|Elsa帳戶|Ben代墊|Ariel代墊|中信銀行共用""), REGEXMATCH(F8260, ""Ben帳戶|Elsa帳戶|Ben代墊|Ariel代墊|中信銀行共用"")), ""內部轉帳(忽略)"",
  AND(E8260&lt;&gt;"""", F8260&lt;&gt;"""", N"&amp;"OT(REGEXMATCH(C8260, ""薪資""))), ""內部轉帳(忽略)"",
  REGEXMATCH(C8260, ""薪資""), ""薪資變動(不計入)"",
  REGEXMATCH(C8260, ""押金""), ""押金往來"",
  AND(E8260&lt;&gt;"""", F8260=""""), ""真實支出"",
  AND(E8260="""", F8260&lt;&gt;""""), ""真實收入"",
  TRUE, ""其他""
)"),"其他")</f>
        <v>其他</v>
      </c>
      <c r="K8260" s="270" t="str">
        <f t="shared" si="2"/>
        <v/>
      </c>
      <c r="L8260">
        <f t="shared" si="3"/>
        <v>0</v>
      </c>
    </row>
    <row r="8261">
      <c r="A8261" s="107"/>
      <c r="D8261" s="270"/>
      <c r="H8261" s="106" t="str">
        <f t="shared" si="1"/>
        <v/>
      </c>
      <c r="J8261" t="str">
        <f>IFERROR(__xludf.DUMMYFUNCTION("IFS(
  AND(REGEXMATCH(E8261, ""台銀籌備帳戶|玉山帳戶""), REGEXMATCH(C8261, ""薪資"")), ""分潤支出"",
  AND(REGEXMATCH(E8261, ""Ben帳戶|Elsa帳戶|Ben代墊|Ariel代墊|中信銀行共用""), REGEXMATCH(F8261, ""Ben帳戶|Elsa帳戶|Ben代墊|Ariel代墊|中信銀行共用"")), ""內部轉帳(忽略)"",
  AND(E8261&lt;&gt;"""", F8261&lt;&gt;"""", N"&amp;"OT(REGEXMATCH(C8261, ""薪資""))), ""內部轉帳(忽略)"",
  REGEXMATCH(C8261, ""薪資""), ""薪資變動(不計入)"",
  REGEXMATCH(C8261, ""押金""), ""押金往來"",
  AND(E8261&lt;&gt;"""", F8261=""""), ""真實支出"",
  AND(E8261="""", F8261&lt;&gt;""""), ""真實收入"",
  TRUE, ""其他""
)"),"其他")</f>
        <v>其他</v>
      </c>
      <c r="K8261" s="270" t="str">
        <f t="shared" si="2"/>
        <v/>
      </c>
      <c r="L8261">
        <f t="shared" si="3"/>
        <v>0</v>
      </c>
    </row>
    <row r="8262">
      <c r="A8262" s="107"/>
      <c r="D8262" s="270"/>
      <c r="H8262" s="106" t="str">
        <f t="shared" si="1"/>
        <v/>
      </c>
      <c r="J8262" t="str">
        <f>IFERROR(__xludf.DUMMYFUNCTION("IFS(
  AND(REGEXMATCH(E8262, ""台銀籌備帳戶|玉山帳戶""), REGEXMATCH(C8262, ""薪資"")), ""分潤支出"",
  AND(REGEXMATCH(E8262, ""Ben帳戶|Elsa帳戶|Ben代墊|Ariel代墊|中信銀行共用""), REGEXMATCH(F8262, ""Ben帳戶|Elsa帳戶|Ben代墊|Ariel代墊|中信銀行共用"")), ""內部轉帳(忽略)"",
  AND(E8262&lt;&gt;"""", F8262&lt;&gt;"""", N"&amp;"OT(REGEXMATCH(C8262, ""薪資""))), ""內部轉帳(忽略)"",
  REGEXMATCH(C8262, ""薪資""), ""薪資變動(不計入)"",
  REGEXMATCH(C8262, ""押金""), ""押金往來"",
  AND(E8262&lt;&gt;"""", F8262=""""), ""真實支出"",
  AND(E8262="""", F8262&lt;&gt;""""), ""真實收入"",
  TRUE, ""其他""
)"),"其他")</f>
        <v>其他</v>
      </c>
      <c r="K8262" s="270" t="str">
        <f t="shared" si="2"/>
        <v/>
      </c>
      <c r="L8262">
        <f t="shared" si="3"/>
        <v>0</v>
      </c>
    </row>
    <row r="8263">
      <c r="A8263" s="107"/>
      <c r="D8263" s="270"/>
      <c r="H8263" s="106" t="str">
        <f t="shared" si="1"/>
        <v/>
      </c>
      <c r="J8263" t="str">
        <f>IFERROR(__xludf.DUMMYFUNCTION("IFS(
  AND(REGEXMATCH(E8263, ""台銀籌備帳戶|玉山帳戶""), REGEXMATCH(C8263, ""薪資"")), ""分潤支出"",
  AND(REGEXMATCH(E8263, ""Ben帳戶|Elsa帳戶|Ben代墊|Ariel代墊|中信銀行共用""), REGEXMATCH(F8263, ""Ben帳戶|Elsa帳戶|Ben代墊|Ariel代墊|中信銀行共用"")), ""內部轉帳(忽略)"",
  AND(E8263&lt;&gt;"""", F8263&lt;&gt;"""", N"&amp;"OT(REGEXMATCH(C8263, ""薪資""))), ""內部轉帳(忽略)"",
  REGEXMATCH(C8263, ""薪資""), ""薪資變動(不計入)"",
  REGEXMATCH(C8263, ""押金""), ""押金往來"",
  AND(E8263&lt;&gt;"""", F8263=""""), ""真實支出"",
  AND(E8263="""", F8263&lt;&gt;""""), ""真實收入"",
  TRUE, ""其他""
)"),"其他")</f>
        <v>其他</v>
      </c>
      <c r="K8263" s="270" t="str">
        <f t="shared" si="2"/>
        <v/>
      </c>
      <c r="L8263">
        <f t="shared" si="3"/>
        <v>0</v>
      </c>
    </row>
    <row r="8264">
      <c r="A8264" s="107"/>
      <c r="D8264" s="270"/>
      <c r="H8264" s="106" t="str">
        <f t="shared" si="1"/>
        <v/>
      </c>
      <c r="J8264" t="str">
        <f>IFERROR(__xludf.DUMMYFUNCTION("IFS(
  AND(REGEXMATCH(E8264, ""台銀籌備帳戶|玉山帳戶""), REGEXMATCH(C8264, ""薪資"")), ""分潤支出"",
  AND(REGEXMATCH(E8264, ""Ben帳戶|Elsa帳戶|Ben代墊|Ariel代墊|中信銀行共用""), REGEXMATCH(F8264, ""Ben帳戶|Elsa帳戶|Ben代墊|Ariel代墊|中信銀行共用"")), ""內部轉帳(忽略)"",
  AND(E8264&lt;&gt;"""", F8264&lt;&gt;"""", N"&amp;"OT(REGEXMATCH(C8264, ""薪資""))), ""內部轉帳(忽略)"",
  REGEXMATCH(C8264, ""薪資""), ""薪資變動(不計入)"",
  REGEXMATCH(C8264, ""押金""), ""押金往來"",
  AND(E8264&lt;&gt;"""", F8264=""""), ""真實支出"",
  AND(E8264="""", F8264&lt;&gt;""""), ""真實收入"",
  TRUE, ""其他""
)"),"其他")</f>
        <v>其他</v>
      </c>
      <c r="K8264" s="270" t="str">
        <f t="shared" si="2"/>
        <v/>
      </c>
      <c r="L8264">
        <f t="shared" si="3"/>
        <v>0</v>
      </c>
    </row>
    <row r="8265">
      <c r="A8265" s="107"/>
      <c r="D8265" s="270"/>
      <c r="H8265" s="106" t="str">
        <f t="shared" si="1"/>
        <v/>
      </c>
      <c r="J8265" t="str">
        <f>IFERROR(__xludf.DUMMYFUNCTION("IFS(
  AND(REGEXMATCH(E8265, ""台銀籌備帳戶|玉山帳戶""), REGEXMATCH(C8265, ""薪資"")), ""分潤支出"",
  AND(REGEXMATCH(E8265, ""Ben帳戶|Elsa帳戶|Ben代墊|Ariel代墊|中信銀行共用""), REGEXMATCH(F8265, ""Ben帳戶|Elsa帳戶|Ben代墊|Ariel代墊|中信銀行共用"")), ""內部轉帳(忽略)"",
  AND(E8265&lt;&gt;"""", F8265&lt;&gt;"""", N"&amp;"OT(REGEXMATCH(C8265, ""薪資""))), ""內部轉帳(忽略)"",
  REGEXMATCH(C8265, ""薪資""), ""薪資變動(不計入)"",
  REGEXMATCH(C8265, ""押金""), ""押金往來"",
  AND(E8265&lt;&gt;"""", F8265=""""), ""真實支出"",
  AND(E8265="""", F8265&lt;&gt;""""), ""真實收入"",
  TRUE, ""其他""
)"),"其他")</f>
        <v>其他</v>
      </c>
      <c r="K8265" s="270" t="str">
        <f t="shared" si="2"/>
        <v/>
      </c>
      <c r="L8265">
        <f t="shared" si="3"/>
        <v>0</v>
      </c>
    </row>
    <row r="8266">
      <c r="A8266" s="107"/>
      <c r="D8266" s="270"/>
      <c r="H8266" s="106" t="str">
        <f t="shared" si="1"/>
        <v/>
      </c>
      <c r="J8266" t="str">
        <f>IFERROR(__xludf.DUMMYFUNCTION("IFS(
  AND(REGEXMATCH(E8266, ""台銀籌備帳戶|玉山帳戶""), REGEXMATCH(C8266, ""薪資"")), ""分潤支出"",
  AND(REGEXMATCH(E8266, ""Ben帳戶|Elsa帳戶|Ben代墊|Ariel代墊|中信銀行共用""), REGEXMATCH(F8266, ""Ben帳戶|Elsa帳戶|Ben代墊|Ariel代墊|中信銀行共用"")), ""內部轉帳(忽略)"",
  AND(E8266&lt;&gt;"""", F8266&lt;&gt;"""", N"&amp;"OT(REGEXMATCH(C8266, ""薪資""))), ""內部轉帳(忽略)"",
  REGEXMATCH(C8266, ""薪資""), ""薪資變動(不計入)"",
  REGEXMATCH(C8266, ""押金""), ""押金往來"",
  AND(E8266&lt;&gt;"""", F8266=""""), ""真實支出"",
  AND(E8266="""", F8266&lt;&gt;""""), ""真實收入"",
  TRUE, ""其他""
)"),"其他")</f>
        <v>其他</v>
      </c>
      <c r="K8266" s="270" t="str">
        <f t="shared" si="2"/>
        <v/>
      </c>
      <c r="L8266">
        <f t="shared" si="3"/>
        <v>0</v>
      </c>
    </row>
    <row r="8267">
      <c r="A8267" s="107"/>
      <c r="D8267" s="270"/>
      <c r="H8267" s="106" t="str">
        <f t="shared" si="1"/>
        <v/>
      </c>
      <c r="J8267" t="str">
        <f>IFERROR(__xludf.DUMMYFUNCTION("IFS(
  AND(REGEXMATCH(E8267, ""台銀籌備帳戶|玉山帳戶""), REGEXMATCH(C8267, ""薪資"")), ""分潤支出"",
  AND(REGEXMATCH(E8267, ""Ben帳戶|Elsa帳戶|Ben代墊|Ariel代墊|中信銀行共用""), REGEXMATCH(F8267, ""Ben帳戶|Elsa帳戶|Ben代墊|Ariel代墊|中信銀行共用"")), ""內部轉帳(忽略)"",
  AND(E8267&lt;&gt;"""", F8267&lt;&gt;"""", N"&amp;"OT(REGEXMATCH(C8267, ""薪資""))), ""內部轉帳(忽略)"",
  REGEXMATCH(C8267, ""薪資""), ""薪資變動(不計入)"",
  REGEXMATCH(C8267, ""押金""), ""押金往來"",
  AND(E8267&lt;&gt;"""", F8267=""""), ""真實支出"",
  AND(E8267="""", F8267&lt;&gt;""""), ""真實收入"",
  TRUE, ""其他""
)"),"其他")</f>
        <v>其他</v>
      </c>
      <c r="K8267" s="270" t="str">
        <f t="shared" si="2"/>
        <v/>
      </c>
      <c r="L8267">
        <f t="shared" si="3"/>
        <v>0</v>
      </c>
    </row>
    <row r="8268">
      <c r="A8268" s="107"/>
      <c r="D8268" s="270"/>
      <c r="H8268" s="106" t="str">
        <f t="shared" si="1"/>
        <v/>
      </c>
      <c r="J8268" t="str">
        <f>IFERROR(__xludf.DUMMYFUNCTION("IFS(
  AND(REGEXMATCH(E8268, ""台銀籌備帳戶|玉山帳戶""), REGEXMATCH(C8268, ""薪資"")), ""分潤支出"",
  AND(REGEXMATCH(E8268, ""Ben帳戶|Elsa帳戶|Ben代墊|Ariel代墊|中信銀行共用""), REGEXMATCH(F8268, ""Ben帳戶|Elsa帳戶|Ben代墊|Ariel代墊|中信銀行共用"")), ""內部轉帳(忽略)"",
  AND(E8268&lt;&gt;"""", F8268&lt;&gt;"""", N"&amp;"OT(REGEXMATCH(C8268, ""薪資""))), ""內部轉帳(忽略)"",
  REGEXMATCH(C8268, ""薪資""), ""薪資變動(不計入)"",
  REGEXMATCH(C8268, ""押金""), ""押金往來"",
  AND(E8268&lt;&gt;"""", F8268=""""), ""真實支出"",
  AND(E8268="""", F8268&lt;&gt;""""), ""真實收入"",
  TRUE, ""其他""
)"),"其他")</f>
        <v>其他</v>
      </c>
      <c r="K8268" s="270" t="str">
        <f t="shared" si="2"/>
        <v/>
      </c>
      <c r="L8268">
        <f t="shared" si="3"/>
        <v>0</v>
      </c>
    </row>
    <row r="8269">
      <c r="A8269" s="107"/>
      <c r="D8269" s="270"/>
      <c r="H8269" s="106" t="str">
        <f t="shared" si="1"/>
        <v/>
      </c>
      <c r="J8269" t="str">
        <f>IFERROR(__xludf.DUMMYFUNCTION("IFS(
  AND(REGEXMATCH(E8269, ""台銀籌備帳戶|玉山帳戶""), REGEXMATCH(C8269, ""薪資"")), ""分潤支出"",
  AND(REGEXMATCH(E8269, ""Ben帳戶|Elsa帳戶|Ben代墊|Ariel代墊|中信銀行共用""), REGEXMATCH(F8269, ""Ben帳戶|Elsa帳戶|Ben代墊|Ariel代墊|中信銀行共用"")), ""內部轉帳(忽略)"",
  AND(E8269&lt;&gt;"""", F8269&lt;&gt;"""", N"&amp;"OT(REGEXMATCH(C8269, ""薪資""))), ""內部轉帳(忽略)"",
  REGEXMATCH(C8269, ""薪資""), ""薪資變動(不計入)"",
  REGEXMATCH(C8269, ""押金""), ""押金往來"",
  AND(E8269&lt;&gt;"""", F8269=""""), ""真實支出"",
  AND(E8269="""", F8269&lt;&gt;""""), ""真實收入"",
  TRUE, ""其他""
)"),"其他")</f>
        <v>其他</v>
      </c>
      <c r="K8269" s="270" t="str">
        <f t="shared" si="2"/>
        <v/>
      </c>
      <c r="L8269">
        <f t="shared" si="3"/>
        <v>0</v>
      </c>
    </row>
    <row r="8270">
      <c r="A8270" s="107"/>
      <c r="D8270" s="270"/>
      <c r="H8270" s="106" t="str">
        <f t="shared" si="1"/>
        <v/>
      </c>
      <c r="J8270" t="str">
        <f>IFERROR(__xludf.DUMMYFUNCTION("IFS(
  AND(REGEXMATCH(E8270, ""台銀籌備帳戶|玉山帳戶""), REGEXMATCH(C8270, ""薪資"")), ""分潤支出"",
  AND(REGEXMATCH(E8270, ""Ben帳戶|Elsa帳戶|Ben代墊|Ariel代墊|中信銀行共用""), REGEXMATCH(F8270, ""Ben帳戶|Elsa帳戶|Ben代墊|Ariel代墊|中信銀行共用"")), ""內部轉帳(忽略)"",
  AND(E8270&lt;&gt;"""", F8270&lt;&gt;"""", N"&amp;"OT(REGEXMATCH(C8270, ""薪資""))), ""內部轉帳(忽略)"",
  REGEXMATCH(C8270, ""薪資""), ""薪資變動(不計入)"",
  REGEXMATCH(C8270, ""押金""), ""押金往來"",
  AND(E8270&lt;&gt;"""", F8270=""""), ""真實支出"",
  AND(E8270="""", F8270&lt;&gt;""""), ""真實收入"",
  TRUE, ""其他""
)"),"其他")</f>
        <v>其他</v>
      </c>
      <c r="K8270" s="270" t="str">
        <f t="shared" si="2"/>
        <v/>
      </c>
      <c r="L8270">
        <f t="shared" si="3"/>
        <v>0</v>
      </c>
    </row>
    <row r="8271">
      <c r="A8271" s="107"/>
      <c r="D8271" s="270"/>
      <c r="H8271" s="106" t="str">
        <f t="shared" si="1"/>
        <v/>
      </c>
      <c r="J8271" t="str">
        <f>IFERROR(__xludf.DUMMYFUNCTION("IFS(
  AND(REGEXMATCH(E8271, ""台銀籌備帳戶|玉山帳戶""), REGEXMATCH(C8271, ""薪資"")), ""分潤支出"",
  AND(REGEXMATCH(E8271, ""Ben帳戶|Elsa帳戶|Ben代墊|Ariel代墊|中信銀行共用""), REGEXMATCH(F8271, ""Ben帳戶|Elsa帳戶|Ben代墊|Ariel代墊|中信銀行共用"")), ""內部轉帳(忽略)"",
  AND(E8271&lt;&gt;"""", F8271&lt;&gt;"""", N"&amp;"OT(REGEXMATCH(C8271, ""薪資""))), ""內部轉帳(忽略)"",
  REGEXMATCH(C8271, ""薪資""), ""薪資變動(不計入)"",
  REGEXMATCH(C8271, ""押金""), ""押金往來"",
  AND(E8271&lt;&gt;"""", F8271=""""), ""真實支出"",
  AND(E8271="""", F8271&lt;&gt;""""), ""真實收入"",
  TRUE, ""其他""
)"),"其他")</f>
        <v>其他</v>
      </c>
      <c r="K8271" s="270" t="str">
        <f t="shared" si="2"/>
        <v/>
      </c>
      <c r="L8271">
        <f t="shared" si="3"/>
        <v>0</v>
      </c>
    </row>
    <row r="8272">
      <c r="A8272" s="107"/>
      <c r="D8272" s="270"/>
      <c r="H8272" s="106" t="str">
        <f t="shared" si="1"/>
        <v/>
      </c>
      <c r="J8272" t="str">
        <f>IFERROR(__xludf.DUMMYFUNCTION("IFS(
  AND(REGEXMATCH(E8272, ""台銀籌備帳戶|玉山帳戶""), REGEXMATCH(C8272, ""薪資"")), ""分潤支出"",
  AND(REGEXMATCH(E8272, ""Ben帳戶|Elsa帳戶|Ben代墊|Ariel代墊|中信銀行共用""), REGEXMATCH(F8272, ""Ben帳戶|Elsa帳戶|Ben代墊|Ariel代墊|中信銀行共用"")), ""內部轉帳(忽略)"",
  AND(E8272&lt;&gt;"""", F8272&lt;&gt;"""", N"&amp;"OT(REGEXMATCH(C8272, ""薪資""))), ""內部轉帳(忽略)"",
  REGEXMATCH(C8272, ""薪資""), ""薪資變動(不計入)"",
  REGEXMATCH(C8272, ""押金""), ""押金往來"",
  AND(E8272&lt;&gt;"""", F8272=""""), ""真實支出"",
  AND(E8272="""", F8272&lt;&gt;""""), ""真實收入"",
  TRUE, ""其他""
)"),"其他")</f>
        <v>其他</v>
      </c>
      <c r="K8272" s="270" t="str">
        <f t="shared" si="2"/>
        <v/>
      </c>
      <c r="L8272">
        <f t="shared" si="3"/>
        <v>0</v>
      </c>
    </row>
    <row r="8273">
      <c r="A8273" s="107"/>
      <c r="D8273" s="270"/>
      <c r="H8273" s="106" t="str">
        <f t="shared" si="1"/>
        <v/>
      </c>
      <c r="J8273" t="str">
        <f>IFERROR(__xludf.DUMMYFUNCTION("IFS(
  AND(REGEXMATCH(E8273, ""台銀籌備帳戶|玉山帳戶""), REGEXMATCH(C8273, ""薪資"")), ""分潤支出"",
  AND(REGEXMATCH(E8273, ""Ben帳戶|Elsa帳戶|Ben代墊|Ariel代墊|中信銀行共用""), REGEXMATCH(F8273, ""Ben帳戶|Elsa帳戶|Ben代墊|Ariel代墊|中信銀行共用"")), ""內部轉帳(忽略)"",
  AND(E8273&lt;&gt;"""", F8273&lt;&gt;"""", N"&amp;"OT(REGEXMATCH(C8273, ""薪資""))), ""內部轉帳(忽略)"",
  REGEXMATCH(C8273, ""薪資""), ""薪資變動(不計入)"",
  REGEXMATCH(C8273, ""押金""), ""押金往來"",
  AND(E8273&lt;&gt;"""", F8273=""""), ""真實支出"",
  AND(E8273="""", F8273&lt;&gt;""""), ""真實收入"",
  TRUE, ""其他""
)"),"其他")</f>
        <v>其他</v>
      </c>
      <c r="K8273" s="270" t="str">
        <f t="shared" si="2"/>
        <v/>
      </c>
      <c r="L8273">
        <f t="shared" si="3"/>
        <v>0</v>
      </c>
    </row>
    <row r="8274">
      <c r="A8274" s="107"/>
      <c r="D8274" s="270"/>
      <c r="H8274" s="106" t="str">
        <f t="shared" si="1"/>
        <v/>
      </c>
      <c r="J8274" t="str">
        <f>IFERROR(__xludf.DUMMYFUNCTION("IFS(
  AND(REGEXMATCH(E8274, ""台銀籌備帳戶|玉山帳戶""), REGEXMATCH(C8274, ""薪資"")), ""分潤支出"",
  AND(REGEXMATCH(E8274, ""Ben帳戶|Elsa帳戶|Ben代墊|Ariel代墊|中信銀行共用""), REGEXMATCH(F8274, ""Ben帳戶|Elsa帳戶|Ben代墊|Ariel代墊|中信銀行共用"")), ""內部轉帳(忽略)"",
  AND(E8274&lt;&gt;"""", F8274&lt;&gt;"""", N"&amp;"OT(REGEXMATCH(C8274, ""薪資""))), ""內部轉帳(忽略)"",
  REGEXMATCH(C8274, ""薪資""), ""薪資變動(不計入)"",
  REGEXMATCH(C8274, ""押金""), ""押金往來"",
  AND(E8274&lt;&gt;"""", F8274=""""), ""真實支出"",
  AND(E8274="""", F8274&lt;&gt;""""), ""真實收入"",
  TRUE, ""其他""
)"),"其他")</f>
        <v>其他</v>
      </c>
      <c r="K8274" s="270" t="str">
        <f t="shared" si="2"/>
        <v/>
      </c>
      <c r="L8274">
        <f t="shared" si="3"/>
        <v>0</v>
      </c>
    </row>
    <row r="8275">
      <c r="A8275" s="107"/>
      <c r="D8275" s="270"/>
      <c r="H8275" s="106" t="str">
        <f t="shared" si="1"/>
        <v/>
      </c>
      <c r="J8275" t="str">
        <f>IFERROR(__xludf.DUMMYFUNCTION("IFS(
  AND(REGEXMATCH(E8275, ""台銀籌備帳戶|玉山帳戶""), REGEXMATCH(C8275, ""薪資"")), ""分潤支出"",
  AND(REGEXMATCH(E8275, ""Ben帳戶|Elsa帳戶|Ben代墊|Ariel代墊|中信銀行共用""), REGEXMATCH(F8275, ""Ben帳戶|Elsa帳戶|Ben代墊|Ariel代墊|中信銀行共用"")), ""內部轉帳(忽略)"",
  AND(E8275&lt;&gt;"""", F8275&lt;&gt;"""", N"&amp;"OT(REGEXMATCH(C8275, ""薪資""))), ""內部轉帳(忽略)"",
  REGEXMATCH(C8275, ""薪資""), ""薪資變動(不計入)"",
  REGEXMATCH(C8275, ""押金""), ""押金往來"",
  AND(E8275&lt;&gt;"""", F8275=""""), ""真實支出"",
  AND(E8275="""", F8275&lt;&gt;""""), ""真實收入"",
  TRUE, ""其他""
)"),"其他")</f>
        <v>其他</v>
      </c>
      <c r="K8275" s="270" t="str">
        <f t="shared" si="2"/>
        <v/>
      </c>
      <c r="L8275">
        <f t="shared" si="3"/>
        <v>0</v>
      </c>
    </row>
    <row r="8276">
      <c r="A8276" s="107"/>
      <c r="D8276" s="270"/>
      <c r="H8276" s="106" t="str">
        <f t="shared" si="1"/>
        <v/>
      </c>
      <c r="J8276" t="str">
        <f>IFERROR(__xludf.DUMMYFUNCTION("IFS(
  AND(REGEXMATCH(E8276, ""台銀籌備帳戶|玉山帳戶""), REGEXMATCH(C8276, ""薪資"")), ""分潤支出"",
  AND(REGEXMATCH(E8276, ""Ben帳戶|Elsa帳戶|Ben代墊|Ariel代墊|中信銀行共用""), REGEXMATCH(F8276, ""Ben帳戶|Elsa帳戶|Ben代墊|Ariel代墊|中信銀行共用"")), ""內部轉帳(忽略)"",
  AND(E8276&lt;&gt;"""", F8276&lt;&gt;"""", N"&amp;"OT(REGEXMATCH(C8276, ""薪資""))), ""內部轉帳(忽略)"",
  REGEXMATCH(C8276, ""薪資""), ""薪資變動(不計入)"",
  REGEXMATCH(C8276, ""押金""), ""押金往來"",
  AND(E8276&lt;&gt;"""", F8276=""""), ""真實支出"",
  AND(E8276="""", F8276&lt;&gt;""""), ""真實收入"",
  TRUE, ""其他""
)"),"其他")</f>
        <v>其他</v>
      </c>
      <c r="K8276" s="270" t="str">
        <f t="shared" si="2"/>
        <v/>
      </c>
      <c r="L8276">
        <f t="shared" si="3"/>
        <v>0</v>
      </c>
    </row>
    <row r="8277">
      <c r="A8277" s="107"/>
      <c r="D8277" s="270"/>
      <c r="H8277" s="106" t="str">
        <f t="shared" si="1"/>
        <v/>
      </c>
      <c r="J8277" t="str">
        <f>IFERROR(__xludf.DUMMYFUNCTION("IFS(
  AND(REGEXMATCH(E8277, ""台銀籌備帳戶|玉山帳戶""), REGEXMATCH(C8277, ""薪資"")), ""分潤支出"",
  AND(REGEXMATCH(E8277, ""Ben帳戶|Elsa帳戶|Ben代墊|Ariel代墊|中信銀行共用""), REGEXMATCH(F8277, ""Ben帳戶|Elsa帳戶|Ben代墊|Ariel代墊|中信銀行共用"")), ""內部轉帳(忽略)"",
  AND(E8277&lt;&gt;"""", F8277&lt;&gt;"""", N"&amp;"OT(REGEXMATCH(C8277, ""薪資""))), ""內部轉帳(忽略)"",
  REGEXMATCH(C8277, ""薪資""), ""薪資變動(不計入)"",
  REGEXMATCH(C8277, ""押金""), ""押金往來"",
  AND(E8277&lt;&gt;"""", F8277=""""), ""真實支出"",
  AND(E8277="""", F8277&lt;&gt;""""), ""真實收入"",
  TRUE, ""其他""
)"),"其他")</f>
        <v>其他</v>
      </c>
      <c r="K8277" s="270" t="str">
        <f t="shared" si="2"/>
        <v/>
      </c>
      <c r="L8277">
        <f t="shared" si="3"/>
        <v>0</v>
      </c>
    </row>
    <row r="8278">
      <c r="A8278" s="107"/>
      <c r="D8278" s="270"/>
      <c r="H8278" s="106" t="str">
        <f t="shared" si="1"/>
        <v/>
      </c>
      <c r="J8278" t="str">
        <f>IFERROR(__xludf.DUMMYFUNCTION("IFS(
  AND(REGEXMATCH(E8278, ""台銀籌備帳戶|玉山帳戶""), REGEXMATCH(C8278, ""薪資"")), ""分潤支出"",
  AND(REGEXMATCH(E8278, ""Ben帳戶|Elsa帳戶|Ben代墊|Ariel代墊|中信銀行共用""), REGEXMATCH(F8278, ""Ben帳戶|Elsa帳戶|Ben代墊|Ariel代墊|中信銀行共用"")), ""內部轉帳(忽略)"",
  AND(E8278&lt;&gt;"""", F8278&lt;&gt;"""", N"&amp;"OT(REGEXMATCH(C8278, ""薪資""))), ""內部轉帳(忽略)"",
  REGEXMATCH(C8278, ""薪資""), ""薪資變動(不計入)"",
  REGEXMATCH(C8278, ""押金""), ""押金往來"",
  AND(E8278&lt;&gt;"""", F8278=""""), ""真實支出"",
  AND(E8278="""", F8278&lt;&gt;""""), ""真實收入"",
  TRUE, ""其他""
)"),"其他")</f>
        <v>其他</v>
      </c>
      <c r="K8278" s="270" t="str">
        <f t="shared" si="2"/>
        <v/>
      </c>
      <c r="L8278">
        <f t="shared" si="3"/>
        <v>0</v>
      </c>
    </row>
    <row r="8279">
      <c r="A8279" s="107"/>
      <c r="D8279" s="270"/>
      <c r="H8279" s="106" t="str">
        <f t="shared" si="1"/>
        <v/>
      </c>
      <c r="J8279" t="str">
        <f>IFERROR(__xludf.DUMMYFUNCTION("IFS(
  AND(REGEXMATCH(E8279, ""台銀籌備帳戶|玉山帳戶""), REGEXMATCH(C8279, ""薪資"")), ""分潤支出"",
  AND(REGEXMATCH(E8279, ""Ben帳戶|Elsa帳戶|Ben代墊|Ariel代墊|中信銀行共用""), REGEXMATCH(F8279, ""Ben帳戶|Elsa帳戶|Ben代墊|Ariel代墊|中信銀行共用"")), ""內部轉帳(忽略)"",
  AND(E8279&lt;&gt;"""", F8279&lt;&gt;"""", N"&amp;"OT(REGEXMATCH(C8279, ""薪資""))), ""內部轉帳(忽略)"",
  REGEXMATCH(C8279, ""薪資""), ""薪資變動(不計入)"",
  REGEXMATCH(C8279, ""押金""), ""押金往來"",
  AND(E8279&lt;&gt;"""", F8279=""""), ""真實支出"",
  AND(E8279="""", F8279&lt;&gt;""""), ""真實收入"",
  TRUE, ""其他""
)"),"其他")</f>
        <v>其他</v>
      </c>
      <c r="K8279" s="270" t="str">
        <f t="shared" si="2"/>
        <v/>
      </c>
      <c r="L8279">
        <f t="shared" si="3"/>
        <v>0</v>
      </c>
    </row>
    <row r="8280">
      <c r="A8280" s="107"/>
      <c r="D8280" s="270"/>
      <c r="H8280" s="106" t="str">
        <f t="shared" si="1"/>
        <v/>
      </c>
      <c r="J8280" t="str">
        <f>IFERROR(__xludf.DUMMYFUNCTION("IFS(
  AND(REGEXMATCH(E8280, ""台銀籌備帳戶|玉山帳戶""), REGEXMATCH(C8280, ""薪資"")), ""分潤支出"",
  AND(REGEXMATCH(E8280, ""Ben帳戶|Elsa帳戶|Ben代墊|Ariel代墊|中信銀行共用""), REGEXMATCH(F8280, ""Ben帳戶|Elsa帳戶|Ben代墊|Ariel代墊|中信銀行共用"")), ""內部轉帳(忽略)"",
  AND(E8280&lt;&gt;"""", F8280&lt;&gt;"""", N"&amp;"OT(REGEXMATCH(C8280, ""薪資""))), ""內部轉帳(忽略)"",
  REGEXMATCH(C8280, ""薪資""), ""薪資變動(不計入)"",
  REGEXMATCH(C8280, ""押金""), ""押金往來"",
  AND(E8280&lt;&gt;"""", F8280=""""), ""真實支出"",
  AND(E8280="""", F8280&lt;&gt;""""), ""真實收入"",
  TRUE, ""其他""
)"),"其他")</f>
        <v>其他</v>
      </c>
      <c r="K8280" s="270" t="str">
        <f t="shared" si="2"/>
        <v/>
      </c>
      <c r="L8280">
        <f t="shared" si="3"/>
        <v>0</v>
      </c>
    </row>
    <row r="8281">
      <c r="A8281" s="107"/>
      <c r="D8281" s="270"/>
      <c r="H8281" s="106" t="str">
        <f t="shared" si="1"/>
        <v/>
      </c>
      <c r="J8281" t="str">
        <f>IFERROR(__xludf.DUMMYFUNCTION("IFS(
  AND(REGEXMATCH(E8281, ""台銀籌備帳戶|玉山帳戶""), REGEXMATCH(C8281, ""薪資"")), ""分潤支出"",
  AND(REGEXMATCH(E8281, ""Ben帳戶|Elsa帳戶|Ben代墊|Ariel代墊|中信銀行共用""), REGEXMATCH(F8281, ""Ben帳戶|Elsa帳戶|Ben代墊|Ariel代墊|中信銀行共用"")), ""內部轉帳(忽略)"",
  AND(E8281&lt;&gt;"""", F8281&lt;&gt;"""", N"&amp;"OT(REGEXMATCH(C8281, ""薪資""))), ""內部轉帳(忽略)"",
  REGEXMATCH(C8281, ""薪資""), ""薪資變動(不計入)"",
  REGEXMATCH(C8281, ""押金""), ""押金往來"",
  AND(E8281&lt;&gt;"""", F8281=""""), ""真實支出"",
  AND(E8281="""", F8281&lt;&gt;""""), ""真實收入"",
  TRUE, ""其他""
)"),"其他")</f>
        <v>其他</v>
      </c>
      <c r="K8281" s="270" t="str">
        <f t="shared" si="2"/>
        <v/>
      </c>
      <c r="L8281">
        <f t="shared" si="3"/>
        <v>0</v>
      </c>
    </row>
    <row r="8282">
      <c r="A8282" s="107"/>
      <c r="D8282" s="270"/>
      <c r="H8282" s="106" t="str">
        <f t="shared" si="1"/>
        <v/>
      </c>
      <c r="J8282" t="str">
        <f>IFERROR(__xludf.DUMMYFUNCTION("IFS(
  AND(REGEXMATCH(E8282, ""台銀籌備帳戶|玉山帳戶""), REGEXMATCH(C8282, ""薪資"")), ""分潤支出"",
  AND(REGEXMATCH(E8282, ""Ben帳戶|Elsa帳戶|Ben代墊|Ariel代墊|中信銀行共用""), REGEXMATCH(F8282, ""Ben帳戶|Elsa帳戶|Ben代墊|Ariel代墊|中信銀行共用"")), ""內部轉帳(忽略)"",
  AND(E8282&lt;&gt;"""", F8282&lt;&gt;"""", N"&amp;"OT(REGEXMATCH(C8282, ""薪資""))), ""內部轉帳(忽略)"",
  REGEXMATCH(C8282, ""薪資""), ""薪資變動(不計入)"",
  REGEXMATCH(C8282, ""押金""), ""押金往來"",
  AND(E8282&lt;&gt;"""", F8282=""""), ""真實支出"",
  AND(E8282="""", F8282&lt;&gt;""""), ""真實收入"",
  TRUE, ""其他""
)"),"其他")</f>
        <v>其他</v>
      </c>
      <c r="K8282" s="270" t="str">
        <f t="shared" si="2"/>
        <v/>
      </c>
      <c r="L8282">
        <f t="shared" si="3"/>
        <v>0</v>
      </c>
    </row>
    <row r="8283">
      <c r="A8283" s="107"/>
      <c r="D8283" s="270"/>
      <c r="H8283" s="106" t="str">
        <f t="shared" si="1"/>
        <v/>
      </c>
      <c r="J8283" t="str">
        <f>IFERROR(__xludf.DUMMYFUNCTION("IFS(
  AND(REGEXMATCH(E8283, ""台銀籌備帳戶|玉山帳戶""), REGEXMATCH(C8283, ""薪資"")), ""分潤支出"",
  AND(REGEXMATCH(E8283, ""Ben帳戶|Elsa帳戶|Ben代墊|Ariel代墊|中信銀行共用""), REGEXMATCH(F8283, ""Ben帳戶|Elsa帳戶|Ben代墊|Ariel代墊|中信銀行共用"")), ""內部轉帳(忽略)"",
  AND(E8283&lt;&gt;"""", F8283&lt;&gt;"""", N"&amp;"OT(REGEXMATCH(C8283, ""薪資""))), ""內部轉帳(忽略)"",
  REGEXMATCH(C8283, ""薪資""), ""薪資變動(不計入)"",
  REGEXMATCH(C8283, ""押金""), ""押金往來"",
  AND(E8283&lt;&gt;"""", F8283=""""), ""真實支出"",
  AND(E8283="""", F8283&lt;&gt;""""), ""真實收入"",
  TRUE, ""其他""
)"),"其他")</f>
        <v>其他</v>
      </c>
      <c r="K8283" s="270" t="str">
        <f t="shared" si="2"/>
        <v/>
      </c>
      <c r="L8283">
        <f t="shared" si="3"/>
        <v>0</v>
      </c>
    </row>
    <row r="8284">
      <c r="A8284" s="107"/>
      <c r="D8284" s="270"/>
      <c r="H8284" s="106" t="str">
        <f t="shared" si="1"/>
        <v/>
      </c>
      <c r="J8284" t="str">
        <f>IFERROR(__xludf.DUMMYFUNCTION("IFS(
  AND(REGEXMATCH(E8284, ""台銀籌備帳戶|玉山帳戶""), REGEXMATCH(C8284, ""薪資"")), ""分潤支出"",
  AND(REGEXMATCH(E8284, ""Ben帳戶|Elsa帳戶|Ben代墊|Ariel代墊|中信銀行共用""), REGEXMATCH(F8284, ""Ben帳戶|Elsa帳戶|Ben代墊|Ariel代墊|中信銀行共用"")), ""內部轉帳(忽略)"",
  AND(E8284&lt;&gt;"""", F8284&lt;&gt;"""", N"&amp;"OT(REGEXMATCH(C8284, ""薪資""))), ""內部轉帳(忽略)"",
  REGEXMATCH(C8284, ""薪資""), ""薪資變動(不計入)"",
  REGEXMATCH(C8284, ""押金""), ""押金往來"",
  AND(E8284&lt;&gt;"""", F8284=""""), ""真實支出"",
  AND(E8284="""", F8284&lt;&gt;""""), ""真實收入"",
  TRUE, ""其他""
)"),"其他")</f>
        <v>其他</v>
      </c>
      <c r="K8284" s="270" t="str">
        <f t="shared" si="2"/>
        <v/>
      </c>
      <c r="L8284">
        <f t="shared" si="3"/>
        <v>0</v>
      </c>
    </row>
    <row r="8285">
      <c r="A8285" s="107"/>
      <c r="D8285" s="270"/>
      <c r="H8285" s="106" t="str">
        <f t="shared" si="1"/>
        <v/>
      </c>
      <c r="J8285" t="str">
        <f>IFERROR(__xludf.DUMMYFUNCTION("IFS(
  AND(REGEXMATCH(E8285, ""台銀籌備帳戶|玉山帳戶""), REGEXMATCH(C8285, ""薪資"")), ""分潤支出"",
  AND(REGEXMATCH(E8285, ""Ben帳戶|Elsa帳戶|Ben代墊|Ariel代墊|中信銀行共用""), REGEXMATCH(F8285, ""Ben帳戶|Elsa帳戶|Ben代墊|Ariel代墊|中信銀行共用"")), ""內部轉帳(忽略)"",
  AND(E8285&lt;&gt;"""", F8285&lt;&gt;"""", N"&amp;"OT(REGEXMATCH(C8285, ""薪資""))), ""內部轉帳(忽略)"",
  REGEXMATCH(C8285, ""薪資""), ""薪資變動(不計入)"",
  REGEXMATCH(C8285, ""押金""), ""押金往來"",
  AND(E8285&lt;&gt;"""", F8285=""""), ""真實支出"",
  AND(E8285="""", F8285&lt;&gt;""""), ""真實收入"",
  TRUE, ""其他""
)"),"其他")</f>
        <v>其他</v>
      </c>
      <c r="K8285" s="270" t="str">
        <f t="shared" si="2"/>
        <v/>
      </c>
      <c r="L8285">
        <f t="shared" si="3"/>
        <v>0</v>
      </c>
    </row>
    <row r="8286">
      <c r="A8286" s="107"/>
      <c r="D8286" s="270"/>
      <c r="H8286" s="106" t="str">
        <f t="shared" si="1"/>
        <v/>
      </c>
      <c r="J8286" t="str">
        <f>IFERROR(__xludf.DUMMYFUNCTION("IFS(
  AND(REGEXMATCH(E8286, ""台銀籌備帳戶|玉山帳戶""), REGEXMATCH(C8286, ""薪資"")), ""分潤支出"",
  AND(REGEXMATCH(E8286, ""Ben帳戶|Elsa帳戶|Ben代墊|Ariel代墊|中信銀行共用""), REGEXMATCH(F8286, ""Ben帳戶|Elsa帳戶|Ben代墊|Ariel代墊|中信銀行共用"")), ""內部轉帳(忽略)"",
  AND(E8286&lt;&gt;"""", F8286&lt;&gt;"""", N"&amp;"OT(REGEXMATCH(C8286, ""薪資""))), ""內部轉帳(忽略)"",
  REGEXMATCH(C8286, ""薪資""), ""薪資變動(不計入)"",
  REGEXMATCH(C8286, ""押金""), ""押金往來"",
  AND(E8286&lt;&gt;"""", F8286=""""), ""真實支出"",
  AND(E8286="""", F8286&lt;&gt;""""), ""真實收入"",
  TRUE, ""其他""
)"),"其他")</f>
        <v>其他</v>
      </c>
      <c r="K8286" s="270" t="str">
        <f t="shared" si="2"/>
        <v/>
      </c>
      <c r="L8286">
        <f t="shared" si="3"/>
        <v>0</v>
      </c>
    </row>
    <row r="8287">
      <c r="A8287" s="107"/>
      <c r="D8287" s="270"/>
      <c r="H8287" s="106" t="str">
        <f t="shared" si="1"/>
        <v/>
      </c>
      <c r="J8287" t="str">
        <f>IFERROR(__xludf.DUMMYFUNCTION("IFS(
  AND(REGEXMATCH(E8287, ""台銀籌備帳戶|玉山帳戶""), REGEXMATCH(C8287, ""薪資"")), ""分潤支出"",
  AND(REGEXMATCH(E8287, ""Ben帳戶|Elsa帳戶|Ben代墊|Ariel代墊|中信銀行共用""), REGEXMATCH(F8287, ""Ben帳戶|Elsa帳戶|Ben代墊|Ariel代墊|中信銀行共用"")), ""內部轉帳(忽略)"",
  AND(E8287&lt;&gt;"""", F8287&lt;&gt;"""", N"&amp;"OT(REGEXMATCH(C8287, ""薪資""))), ""內部轉帳(忽略)"",
  REGEXMATCH(C8287, ""薪資""), ""薪資變動(不計入)"",
  REGEXMATCH(C8287, ""押金""), ""押金往來"",
  AND(E8287&lt;&gt;"""", F8287=""""), ""真實支出"",
  AND(E8287="""", F8287&lt;&gt;""""), ""真實收入"",
  TRUE, ""其他""
)"),"其他")</f>
        <v>其他</v>
      </c>
      <c r="K8287" s="270" t="str">
        <f t="shared" si="2"/>
        <v/>
      </c>
      <c r="L8287">
        <f t="shared" si="3"/>
        <v>0</v>
      </c>
    </row>
    <row r="8288">
      <c r="A8288" s="107"/>
      <c r="D8288" s="270"/>
      <c r="H8288" s="106" t="str">
        <f t="shared" si="1"/>
        <v/>
      </c>
      <c r="J8288" t="str">
        <f>IFERROR(__xludf.DUMMYFUNCTION("IFS(
  AND(REGEXMATCH(E8288, ""台銀籌備帳戶|玉山帳戶""), REGEXMATCH(C8288, ""薪資"")), ""分潤支出"",
  AND(REGEXMATCH(E8288, ""Ben帳戶|Elsa帳戶|Ben代墊|Ariel代墊|中信銀行共用""), REGEXMATCH(F8288, ""Ben帳戶|Elsa帳戶|Ben代墊|Ariel代墊|中信銀行共用"")), ""內部轉帳(忽略)"",
  AND(E8288&lt;&gt;"""", F8288&lt;&gt;"""", N"&amp;"OT(REGEXMATCH(C8288, ""薪資""))), ""內部轉帳(忽略)"",
  REGEXMATCH(C8288, ""薪資""), ""薪資變動(不計入)"",
  REGEXMATCH(C8288, ""押金""), ""押金往來"",
  AND(E8288&lt;&gt;"""", F8288=""""), ""真實支出"",
  AND(E8288="""", F8288&lt;&gt;""""), ""真實收入"",
  TRUE, ""其他""
)"),"其他")</f>
        <v>其他</v>
      </c>
      <c r="K8288" s="270" t="str">
        <f t="shared" si="2"/>
        <v/>
      </c>
      <c r="L8288">
        <f t="shared" si="3"/>
        <v>0</v>
      </c>
    </row>
    <row r="8289">
      <c r="A8289" s="107"/>
      <c r="D8289" s="270"/>
      <c r="H8289" s="106" t="str">
        <f t="shared" si="1"/>
        <v/>
      </c>
      <c r="J8289" t="str">
        <f>IFERROR(__xludf.DUMMYFUNCTION("IFS(
  AND(REGEXMATCH(E8289, ""台銀籌備帳戶|玉山帳戶""), REGEXMATCH(C8289, ""薪資"")), ""分潤支出"",
  AND(REGEXMATCH(E8289, ""Ben帳戶|Elsa帳戶|Ben代墊|Ariel代墊|中信銀行共用""), REGEXMATCH(F8289, ""Ben帳戶|Elsa帳戶|Ben代墊|Ariel代墊|中信銀行共用"")), ""內部轉帳(忽略)"",
  AND(E8289&lt;&gt;"""", F8289&lt;&gt;"""", N"&amp;"OT(REGEXMATCH(C8289, ""薪資""))), ""內部轉帳(忽略)"",
  REGEXMATCH(C8289, ""薪資""), ""薪資變動(不計入)"",
  REGEXMATCH(C8289, ""押金""), ""押金往來"",
  AND(E8289&lt;&gt;"""", F8289=""""), ""真實支出"",
  AND(E8289="""", F8289&lt;&gt;""""), ""真實收入"",
  TRUE, ""其他""
)"),"其他")</f>
        <v>其他</v>
      </c>
      <c r="K8289" s="270" t="str">
        <f t="shared" si="2"/>
        <v/>
      </c>
      <c r="L8289">
        <f t="shared" si="3"/>
        <v>0</v>
      </c>
    </row>
    <row r="8290">
      <c r="A8290" s="107"/>
      <c r="D8290" s="270"/>
      <c r="H8290" s="106" t="str">
        <f t="shared" si="1"/>
        <v/>
      </c>
      <c r="J8290" t="str">
        <f>IFERROR(__xludf.DUMMYFUNCTION("IFS(
  AND(REGEXMATCH(E8290, ""台銀籌備帳戶|玉山帳戶""), REGEXMATCH(C8290, ""薪資"")), ""分潤支出"",
  AND(REGEXMATCH(E8290, ""Ben帳戶|Elsa帳戶|Ben代墊|Ariel代墊|中信銀行共用""), REGEXMATCH(F8290, ""Ben帳戶|Elsa帳戶|Ben代墊|Ariel代墊|中信銀行共用"")), ""內部轉帳(忽略)"",
  AND(E8290&lt;&gt;"""", F8290&lt;&gt;"""", N"&amp;"OT(REGEXMATCH(C8290, ""薪資""))), ""內部轉帳(忽略)"",
  REGEXMATCH(C8290, ""薪資""), ""薪資變動(不計入)"",
  REGEXMATCH(C8290, ""押金""), ""押金往來"",
  AND(E8290&lt;&gt;"""", F8290=""""), ""真實支出"",
  AND(E8290="""", F8290&lt;&gt;""""), ""真實收入"",
  TRUE, ""其他""
)"),"其他")</f>
        <v>其他</v>
      </c>
      <c r="K8290" s="270" t="str">
        <f t="shared" si="2"/>
        <v/>
      </c>
      <c r="L8290">
        <f t="shared" si="3"/>
        <v>0</v>
      </c>
    </row>
    <row r="8291">
      <c r="A8291" s="107"/>
      <c r="D8291" s="270"/>
      <c r="H8291" s="106" t="str">
        <f t="shared" si="1"/>
        <v/>
      </c>
      <c r="J8291" t="str">
        <f>IFERROR(__xludf.DUMMYFUNCTION("IFS(
  AND(REGEXMATCH(E8291, ""台銀籌備帳戶|玉山帳戶""), REGEXMATCH(C8291, ""薪資"")), ""分潤支出"",
  AND(REGEXMATCH(E8291, ""Ben帳戶|Elsa帳戶|Ben代墊|Ariel代墊|中信銀行共用""), REGEXMATCH(F8291, ""Ben帳戶|Elsa帳戶|Ben代墊|Ariel代墊|中信銀行共用"")), ""內部轉帳(忽略)"",
  AND(E8291&lt;&gt;"""", F8291&lt;&gt;"""", N"&amp;"OT(REGEXMATCH(C8291, ""薪資""))), ""內部轉帳(忽略)"",
  REGEXMATCH(C8291, ""薪資""), ""薪資變動(不計入)"",
  REGEXMATCH(C8291, ""押金""), ""押金往來"",
  AND(E8291&lt;&gt;"""", F8291=""""), ""真實支出"",
  AND(E8291="""", F8291&lt;&gt;""""), ""真實收入"",
  TRUE, ""其他""
)"),"其他")</f>
        <v>其他</v>
      </c>
      <c r="K8291" s="270" t="str">
        <f t="shared" si="2"/>
        <v/>
      </c>
      <c r="L8291">
        <f t="shared" si="3"/>
        <v>0</v>
      </c>
    </row>
    <row r="8292">
      <c r="A8292" s="107"/>
      <c r="D8292" s="270"/>
      <c r="H8292" s="106" t="str">
        <f t="shared" si="1"/>
        <v/>
      </c>
      <c r="J8292" t="str">
        <f>IFERROR(__xludf.DUMMYFUNCTION("IFS(
  AND(REGEXMATCH(E8292, ""台銀籌備帳戶|玉山帳戶""), REGEXMATCH(C8292, ""薪資"")), ""分潤支出"",
  AND(REGEXMATCH(E8292, ""Ben帳戶|Elsa帳戶|Ben代墊|Ariel代墊|中信銀行共用""), REGEXMATCH(F8292, ""Ben帳戶|Elsa帳戶|Ben代墊|Ariel代墊|中信銀行共用"")), ""內部轉帳(忽略)"",
  AND(E8292&lt;&gt;"""", F8292&lt;&gt;"""", N"&amp;"OT(REGEXMATCH(C8292, ""薪資""))), ""內部轉帳(忽略)"",
  REGEXMATCH(C8292, ""薪資""), ""薪資變動(不計入)"",
  REGEXMATCH(C8292, ""押金""), ""押金往來"",
  AND(E8292&lt;&gt;"""", F8292=""""), ""真實支出"",
  AND(E8292="""", F8292&lt;&gt;""""), ""真實收入"",
  TRUE, ""其他""
)"),"其他")</f>
        <v>其他</v>
      </c>
      <c r="K8292" s="270" t="str">
        <f t="shared" si="2"/>
        <v/>
      </c>
      <c r="L8292">
        <f t="shared" si="3"/>
        <v>0</v>
      </c>
    </row>
    <row r="8293">
      <c r="A8293" s="107"/>
      <c r="D8293" s="270"/>
      <c r="H8293" s="106" t="str">
        <f t="shared" si="1"/>
        <v/>
      </c>
      <c r="J8293" t="str">
        <f>IFERROR(__xludf.DUMMYFUNCTION("IFS(
  AND(REGEXMATCH(E8293, ""台銀籌備帳戶|玉山帳戶""), REGEXMATCH(C8293, ""薪資"")), ""分潤支出"",
  AND(REGEXMATCH(E8293, ""Ben帳戶|Elsa帳戶|Ben代墊|Ariel代墊|中信銀行共用""), REGEXMATCH(F8293, ""Ben帳戶|Elsa帳戶|Ben代墊|Ariel代墊|中信銀行共用"")), ""內部轉帳(忽略)"",
  AND(E8293&lt;&gt;"""", F8293&lt;&gt;"""", N"&amp;"OT(REGEXMATCH(C8293, ""薪資""))), ""內部轉帳(忽略)"",
  REGEXMATCH(C8293, ""薪資""), ""薪資變動(不計入)"",
  REGEXMATCH(C8293, ""押金""), ""押金往來"",
  AND(E8293&lt;&gt;"""", F8293=""""), ""真實支出"",
  AND(E8293="""", F8293&lt;&gt;""""), ""真實收入"",
  TRUE, ""其他""
)"),"其他")</f>
        <v>其他</v>
      </c>
      <c r="K8293" s="270" t="str">
        <f t="shared" si="2"/>
        <v/>
      </c>
      <c r="L8293">
        <f t="shared" si="3"/>
        <v>0</v>
      </c>
    </row>
    <row r="8294">
      <c r="A8294" s="107"/>
      <c r="D8294" s="270"/>
      <c r="H8294" s="106" t="str">
        <f t="shared" si="1"/>
        <v/>
      </c>
      <c r="J8294" t="str">
        <f>IFERROR(__xludf.DUMMYFUNCTION("IFS(
  AND(REGEXMATCH(E8294, ""台銀籌備帳戶|玉山帳戶""), REGEXMATCH(C8294, ""薪資"")), ""分潤支出"",
  AND(REGEXMATCH(E8294, ""Ben帳戶|Elsa帳戶|Ben代墊|Ariel代墊|中信銀行共用""), REGEXMATCH(F8294, ""Ben帳戶|Elsa帳戶|Ben代墊|Ariel代墊|中信銀行共用"")), ""內部轉帳(忽略)"",
  AND(E8294&lt;&gt;"""", F8294&lt;&gt;"""", N"&amp;"OT(REGEXMATCH(C8294, ""薪資""))), ""內部轉帳(忽略)"",
  REGEXMATCH(C8294, ""薪資""), ""薪資變動(不計入)"",
  REGEXMATCH(C8294, ""押金""), ""押金往來"",
  AND(E8294&lt;&gt;"""", F8294=""""), ""真實支出"",
  AND(E8294="""", F8294&lt;&gt;""""), ""真實收入"",
  TRUE, ""其他""
)"),"其他")</f>
        <v>其他</v>
      </c>
      <c r="K8294" s="270" t="str">
        <f t="shared" si="2"/>
        <v/>
      </c>
      <c r="L8294">
        <f t="shared" si="3"/>
        <v>0</v>
      </c>
    </row>
    <row r="8295">
      <c r="A8295" s="107"/>
      <c r="D8295" s="270"/>
      <c r="H8295" s="106" t="str">
        <f t="shared" si="1"/>
        <v/>
      </c>
      <c r="J8295" t="str">
        <f>IFERROR(__xludf.DUMMYFUNCTION("IFS(
  AND(REGEXMATCH(E8295, ""台銀籌備帳戶|玉山帳戶""), REGEXMATCH(C8295, ""薪資"")), ""分潤支出"",
  AND(REGEXMATCH(E8295, ""Ben帳戶|Elsa帳戶|Ben代墊|Ariel代墊|中信銀行共用""), REGEXMATCH(F8295, ""Ben帳戶|Elsa帳戶|Ben代墊|Ariel代墊|中信銀行共用"")), ""內部轉帳(忽略)"",
  AND(E8295&lt;&gt;"""", F8295&lt;&gt;"""", N"&amp;"OT(REGEXMATCH(C8295, ""薪資""))), ""內部轉帳(忽略)"",
  REGEXMATCH(C8295, ""薪資""), ""薪資變動(不計入)"",
  REGEXMATCH(C8295, ""押金""), ""押金往來"",
  AND(E8295&lt;&gt;"""", F8295=""""), ""真實支出"",
  AND(E8295="""", F8295&lt;&gt;""""), ""真實收入"",
  TRUE, ""其他""
)"),"其他")</f>
        <v>其他</v>
      </c>
      <c r="K8295" s="270" t="str">
        <f t="shared" si="2"/>
        <v/>
      </c>
      <c r="L8295">
        <f t="shared" si="3"/>
        <v>0</v>
      </c>
    </row>
    <row r="8296">
      <c r="A8296" s="107"/>
      <c r="D8296" s="270"/>
      <c r="H8296" s="106" t="str">
        <f t="shared" si="1"/>
        <v/>
      </c>
      <c r="J8296" t="str">
        <f>IFERROR(__xludf.DUMMYFUNCTION("IFS(
  AND(REGEXMATCH(E8296, ""台銀籌備帳戶|玉山帳戶""), REGEXMATCH(C8296, ""薪資"")), ""分潤支出"",
  AND(REGEXMATCH(E8296, ""Ben帳戶|Elsa帳戶|Ben代墊|Ariel代墊|中信銀行共用""), REGEXMATCH(F8296, ""Ben帳戶|Elsa帳戶|Ben代墊|Ariel代墊|中信銀行共用"")), ""內部轉帳(忽略)"",
  AND(E8296&lt;&gt;"""", F8296&lt;&gt;"""", N"&amp;"OT(REGEXMATCH(C8296, ""薪資""))), ""內部轉帳(忽略)"",
  REGEXMATCH(C8296, ""薪資""), ""薪資變動(不計入)"",
  REGEXMATCH(C8296, ""押金""), ""押金往來"",
  AND(E8296&lt;&gt;"""", F8296=""""), ""真實支出"",
  AND(E8296="""", F8296&lt;&gt;""""), ""真實收入"",
  TRUE, ""其他""
)"),"其他")</f>
        <v>其他</v>
      </c>
      <c r="K8296" s="270" t="str">
        <f t="shared" si="2"/>
        <v/>
      </c>
      <c r="L8296">
        <f t="shared" si="3"/>
        <v>0</v>
      </c>
    </row>
    <row r="8297">
      <c r="A8297" s="107"/>
      <c r="D8297" s="270"/>
      <c r="H8297" s="106" t="str">
        <f t="shared" si="1"/>
        <v/>
      </c>
      <c r="J8297" t="str">
        <f>IFERROR(__xludf.DUMMYFUNCTION("IFS(
  AND(REGEXMATCH(E8297, ""台銀籌備帳戶|玉山帳戶""), REGEXMATCH(C8297, ""薪資"")), ""分潤支出"",
  AND(REGEXMATCH(E8297, ""Ben帳戶|Elsa帳戶|Ben代墊|Ariel代墊|中信銀行共用""), REGEXMATCH(F8297, ""Ben帳戶|Elsa帳戶|Ben代墊|Ariel代墊|中信銀行共用"")), ""內部轉帳(忽略)"",
  AND(E8297&lt;&gt;"""", F8297&lt;&gt;"""", N"&amp;"OT(REGEXMATCH(C8297, ""薪資""))), ""內部轉帳(忽略)"",
  REGEXMATCH(C8297, ""薪資""), ""薪資變動(不計入)"",
  REGEXMATCH(C8297, ""押金""), ""押金往來"",
  AND(E8297&lt;&gt;"""", F8297=""""), ""真實支出"",
  AND(E8297="""", F8297&lt;&gt;""""), ""真實收入"",
  TRUE, ""其他""
)"),"其他")</f>
        <v>其他</v>
      </c>
      <c r="K8297" s="270" t="str">
        <f t="shared" si="2"/>
        <v/>
      </c>
      <c r="L8297">
        <f t="shared" si="3"/>
        <v>0</v>
      </c>
    </row>
    <row r="8298">
      <c r="A8298" s="107"/>
      <c r="D8298" s="270"/>
      <c r="H8298" s="106" t="str">
        <f t="shared" si="1"/>
        <v/>
      </c>
      <c r="J8298" t="str">
        <f>IFERROR(__xludf.DUMMYFUNCTION("IFS(
  AND(REGEXMATCH(E8298, ""台銀籌備帳戶|玉山帳戶""), REGEXMATCH(C8298, ""薪資"")), ""分潤支出"",
  AND(REGEXMATCH(E8298, ""Ben帳戶|Elsa帳戶|Ben代墊|Ariel代墊|中信銀行共用""), REGEXMATCH(F8298, ""Ben帳戶|Elsa帳戶|Ben代墊|Ariel代墊|中信銀行共用"")), ""內部轉帳(忽略)"",
  AND(E8298&lt;&gt;"""", F8298&lt;&gt;"""", N"&amp;"OT(REGEXMATCH(C8298, ""薪資""))), ""內部轉帳(忽略)"",
  REGEXMATCH(C8298, ""薪資""), ""薪資變動(不計入)"",
  REGEXMATCH(C8298, ""押金""), ""押金往來"",
  AND(E8298&lt;&gt;"""", F8298=""""), ""真實支出"",
  AND(E8298="""", F8298&lt;&gt;""""), ""真實收入"",
  TRUE, ""其他""
)"),"其他")</f>
        <v>其他</v>
      </c>
      <c r="K8298" s="270" t="str">
        <f t="shared" si="2"/>
        <v/>
      </c>
      <c r="L8298">
        <f t="shared" si="3"/>
        <v>0</v>
      </c>
    </row>
    <row r="8299">
      <c r="A8299" s="107"/>
      <c r="D8299" s="270"/>
      <c r="H8299" s="106" t="str">
        <f t="shared" si="1"/>
        <v/>
      </c>
      <c r="J8299" t="str">
        <f>IFERROR(__xludf.DUMMYFUNCTION("IFS(
  AND(REGEXMATCH(E8299, ""台銀籌備帳戶|玉山帳戶""), REGEXMATCH(C8299, ""薪資"")), ""分潤支出"",
  AND(REGEXMATCH(E8299, ""Ben帳戶|Elsa帳戶|Ben代墊|Ariel代墊|中信銀行共用""), REGEXMATCH(F8299, ""Ben帳戶|Elsa帳戶|Ben代墊|Ariel代墊|中信銀行共用"")), ""內部轉帳(忽略)"",
  AND(E8299&lt;&gt;"""", F8299&lt;&gt;"""", N"&amp;"OT(REGEXMATCH(C8299, ""薪資""))), ""內部轉帳(忽略)"",
  REGEXMATCH(C8299, ""薪資""), ""薪資變動(不計入)"",
  REGEXMATCH(C8299, ""押金""), ""押金往來"",
  AND(E8299&lt;&gt;"""", F8299=""""), ""真實支出"",
  AND(E8299="""", F8299&lt;&gt;""""), ""真實收入"",
  TRUE, ""其他""
)"),"其他")</f>
        <v>其他</v>
      </c>
      <c r="K8299" s="270" t="str">
        <f t="shared" si="2"/>
        <v/>
      </c>
      <c r="L8299">
        <f t="shared" si="3"/>
        <v>0</v>
      </c>
    </row>
    <row r="8300">
      <c r="A8300" s="107"/>
      <c r="D8300" s="270"/>
      <c r="H8300" s="106" t="str">
        <f t="shared" si="1"/>
        <v/>
      </c>
      <c r="J8300" t="str">
        <f>IFERROR(__xludf.DUMMYFUNCTION("IFS(
  AND(REGEXMATCH(E8300, ""台銀籌備帳戶|玉山帳戶""), REGEXMATCH(C8300, ""薪資"")), ""分潤支出"",
  AND(REGEXMATCH(E8300, ""Ben帳戶|Elsa帳戶|Ben代墊|Ariel代墊|中信銀行共用""), REGEXMATCH(F8300, ""Ben帳戶|Elsa帳戶|Ben代墊|Ariel代墊|中信銀行共用"")), ""內部轉帳(忽略)"",
  AND(E8300&lt;&gt;"""", F8300&lt;&gt;"""", N"&amp;"OT(REGEXMATCH(C8300, ""薪資""))), ""內部轉帳(忽略)"",
  REGEXMATCH(C8300, ""薪資""), ""薪資變動(不計入)"",
  REGEXMATCH(C8300, ""押金""), ""押金往來"",
  AND(E8300&lt;&gt;"""", F8300=""""), ""真實支出"",
  AND(E8300="""", F8300&lt;&gt;""""), ""真實收入"",
  TRUE, ""其他""
)"),"其他")</f>
        <v>其他</v>
      </c>
      <c r="K8300" s="270" t="str">
        <f t="shared" si="2"/>
        <v/>
      </c>
      <c r="L8300">
        <f t="shared" si="3"/>
        <v>0</v>
      </c>
    </row>
    <row r="8301">
      <c r="A8301" s="107"/>
      <c r="D8301" s="270"/>
      <c r="H8301" s="106" t="str">
        <f t="shared" si="1"/>
        <v/>
      </c>
      <c r="J8301" t="str">
        <f>IFERROR(__xludf.DUMMYFUNCTION("IFS(
  AND(REGEXMATCH(E8301, ""台銀籌備帳戶|玉山帳戶""), REGEXMATCH(C8301, ""薪資"")), ""分潤支出"",
  AND(REGEXMATCH(E8301, ""Ben帳戶|Elsa帳戶|Ben代墊|Ariel代墊|中信銀行共用""), REGEXMATCH(F8301, ""Ben帳戶|Elsa帳戶|Ben代墊|Ariel代墊|中信銀行共用"")), ""內部轉帳(忽略)"",
  AND(E8301&lt;&gt;"""", F8301&lt;&gt;"""", N"&amp;"OT(REGEXMATCH(C8301, ""薪資""))), ""內部轉帳(忽略)"",
  REGEXMATCH(C8301, ""薪資""), ""薪資變動(不計入)"",
  REGEXMATCH(C8301, ""押金""), ""押金往來"",
  AND(E8301&lt;&gt;"""", F8301=""""), ""真實支出"",
  AND(E8301="""", F8301&lt;&gt;""""), ""真實收入"",
  TRUE, ""其他""
)"),"其他")</f>
        <v>其他</v>
      </c>
      <c r="K8301" s="270" t="str">
        <f t="shared" si="2"/>
        <v/>
      </c>
      <c r="L8301">
        <f t="shared" si="3"/>
        <v>0</v>
      </c>
    </row>
    <row r="8302">
      <c r="A8302" s="107"/>
      <c r="D8302" s="270"/>
      <c r="H8302" s="106" t="str">
        <f t="shared" si="1"/>
        <v/>
      </c>
      <c r="J8302" t="str">
        <f>IFERROR(__xludf.DUMMYFUNCTION("IFS(
  AND(REGEXMATCH(E8302, ""台銀籌備帳戶|玉山帳戶""), REGEXMATCH(C8302, ""薪資"")), ""分潤支出"",
  AND(REGEXMATCH(E8302, ""Ben帳戶|Elsa帳戶|Ben代墊|Ariel代墊|中信銀行共用""), REGEXMATCH(F8302, ""Ben帳戶|Elsa帳戶|Ben代墊|Ariel代墊|中信銀行共用"")), ""內部轉帳(忽略)"",
  AND(E8302&lt;&gt;"""", F8302&lt;&gt;"""", N"&amp;"OT(REGEXMATCH(C8302, ""薪資""))), ""內部轉帳(忽略)"",
  REGEXMATCH(C8302, ""薪資""), ""薪資變動(不計入)"",
  REGEXMATCH(C8302, ""押金""), ""押金往來"",
  AND(E8302&lt;&gt;"""", F8302=""""), ""真實支出"",
  AND(E8302="""", F8302&lt;&gt;""""), ""真實收入"",
  TRUE, ""其他""
)"),"其他")</f>
        <v>其他</v>
      </c>
      <c r="K8302" s="270" t="str">
        <f t="shared" si="2"/>
        <v/>
      </c>
      <c r="L8302">
        <f t="shared" si="3"/>
        <v>0</v>
      </c>
    </row>
    <row r="8303">
      <c r="A8303" s="107"/>
      <c r="D8303" s="270"/>
      <c r="H8303" s="106" t="str">
        <f t="shared" si="1"/>
        <v/>
      </c>
      <c r="J8303" t="str">
        <f>IFERROR(__xludf.DUMMYFUNCTION("IFS(
  AND(REGEXMATCH(E8303, ""台銀籌備帳戶|玉山帳戶""), REGEXMATCH(C8303, ""薪資"")), ""分潤支出"",
  AND(REGEXMATCH(E8303, ""Ben帳戶|Elsa帳戶|Ben代墊|Ariel代墊|中信銀行共用""), REGEXMATCH(F8303, ""Ben帳戶|Elsa帳戶|Ben代墊|Ariel代墊|中信銀行共用"")), ""內部轉帳(忽略)"",
  AND(E8303&lt;&gt;"""", F8303&lt;&gt;"""", N"&amp;"OT(REGEXMATCH(C8303, ""薪資""))), ""內部轉帳(忽略)"",
  REGEXMATCH(C8303, ""薪資""), ""薪資變動(不計入)"",
  REGEXMATCH(C8303, ""押金""), ""押金往來"",
  AND(E8303&lt;&gt;"""", F8303=""""), ""真實支出"",
  AND(E8303="""", F8303&lt;&gt;""""), ""真實收入"",
  TRUE, ""其他""
)"),"其他")</f>
        <v>其他</v>
      </c>
      <c r="K8303" s="270" t="str">
        <f t="shared" si="2"/>
        <v/>
      </c>
      <c r="L8303">
        <f t="shared" si="3"/>
        <v>0</v>
      </c>
    </row>
    <row r="8304">
      <c r="A8304" s="107"/>
      <c r="D8304" s="270"/>
      <c r="H8304" s="106" t="str">
        <f t="shared" si="1"/>
        <v/>
      </c>
      <c r="J8304" t="str">
        <f>IFERROR(__xludf.DUMMYFUNCTION("IFS(
  AND(REGEXMATCH(E8304, ""台銀籌備帳戶|玉山帳戶""), REGEXMATCH(C8304, ""薪資"")), ""分潤支出"",
  AND(REGEXMATCH(E8304, ""Ben帳戶|Elsa帳戶|Ben代墊|Ariel代墊|中信銀行共用""), REGEXMATCH(F8304, ""Ben帳戶|Elsa帳戶|Ben代墊|Ariel代墊|中信銀行共用"")), ""內部轉帳(忽略)"",
  AND(E8304&lt;&gt;"""", F8304&lt;&gt;"""", N"&amp;"OT(REGEXMATCH(C8304, ""薪資""))), ""內部轉帳(忽略)"",
  REGEXMATCH(C8304, ""薪資""), ""薪資變動(不計入)"",
  REGEXMATCH(C8304, ""押金""), ""押金往來"",
  AND(E8304&lt;&gt;"""", F8304=""""), ""真實支出"",
  AND(E8304="""", F8304&lt;&gt;""""), ""真實收入"",
  TRUE, ""其他""
)"),"其他")</f>
        <v>其他</v>
      </c>
      <c r="K8304" s="270" t="str">
        <f t="shared" si="2"/>
        <v/>
      </c>
      <c r="L8304">
        <f t="shared" si="3"/>
        <v>0</v>
      </c>
    </row>
    <row r="8305">
      <c r="A8305" s="107"/>
      <c r="D8305" s="270"/>
      <c r="H8305" s="106" t="str">
        <f t="shared" si="1"/>
        <v/>
      </c>
      <c r="J8305" t="str">
        <f>IFERROR(__xludf.DUMMYFUNCTION("IFS(
  AND(REGEXMATCH(E8305, ""台銀籌備帳戶|玉山帳戶""), REGEXMATCH(C8305, ""薪資"")), ""分潤支出"",
  AND(REGEXMATCH(E8305, ""Ben帳戶|Elsa帳戶|Ben代墊|Ariel代墊|中信銀行共用""), REGEXMATCH(F8305, ""Ben帳戶|Elsa帳戶|Ben代墊|Ariel代墊|中信銀行共用"")), ""內部轉帳(忽略)"",
  AND(E8305&lt;&gt;"""", F8305&lt;&gt;"""", N"&amp;"OT(REGEXMATCH(C8305, ""薪資""))), ""內部轉帳(忽略)"",
  REGEXMATCH(C8305, ""薪資""), ""薪資變動(不計入)"",
  REGEXMATCH(C8305, ""押金""), ""押金往來"",
  AND(E8305&lt;&gt;"""", F8305=""""), ""真實支出"",
  AND(E8305="""", F8305&lt;&gt;""""), ""真實收入"",
  TRUE, ""其他""
)"),"其他")</f>
        <v>其他</v>
      </c>
      <c r="K8305" s="270" t="str">
        <f t="shared" si="2"/>
        <v/>
      </c>
      <c r="L8305">
        <f t="shared" si="3"/>
        <v>0</v>
      </c>
    </row>
    <row r="8306">
      <c r="A8306" s="107"/>
      <c r="D8306" s="270"/>
      <c r="H8306" s="106" t="str">
        <f t="shared" si="1"/>
        <v/>
      </c>
      <c r="J8306" t="str">
        <f>IFERROR(__xludf.DUMMYFUNCTION("IFS(
  AND(REGEXMATCH(E8306, ""台銀籌備帳戶|玉山帳戶""), REGEXMATCH(C8306, ""薪資"")), ""分潤支出"",
  AND(REGEXMATCH(E8306, ""Ben帳戶|Elsa帳戶|Ben代墊|Ariel代墊|中信銀行共用""), REGEXMATCH(F8306, ""Ben帳戶|Elsa帳戶|Ben代墊|Ariel代墊|中信銀行共用"")), ""內部轉帳(忽略)"",
  AND(E8306&lt;&gt;"""", F8306&lt;&gt;"""", N"&amp;"OT(REGEXMATCH(C8306, ""薪資""))), ""內部轉帳(忽略)"",
  REGEXMATCH(C8306, ""薪資""), ""薪資變動(不計入)"",
  REGEXMATCH(C8306, ""押金""), ""押金往來"",
  AND(E8306&lt;&gt;"""", F8306=""""), ""真實支出"",
  AND(E8306="""", F8306&lt;&gt;""""), ""真實收入"",
  TRUE, ""其他""
)"),"其他")</f>
        <v>其他</v>
      </c>
      <c r="K8306" s="270" t="str">
        <f t="shared" si="2"/>
        <v/>
      </c>
      <c r="L8306">
        <f t="shared" si="3"/>
        <v>0</v>
      </c>
    </row>
    <row r="8307">
      <c r="A8307" s="107"/>
      <c r="D8307" s="270"/>
      <c r="H8307" s="106" t="str">
        <f t="shared" si="1"/>
        <v/>
      </c>
      <c r="J8307" t="str">
        <f>IFERROR(__xludf.DUMMYFUNCTION("IFS(
  AND(REGEXMATCH(E8307, ""台銀籌備帳戶|玉山帳戶""), REGEXMATCH(C8307, ""薪資"")), ""分潤支出"",
  AND(REGEXMATCH(E8307, ""Ben帳戶|Elsa帳戶|Ben代墊|Ariel代墊|中信銀行共用""), REGEXMATCH(F8307, ""Ben帳戶|Elsa帳戶|Ben代墊|Ariel代墊|中信銀行共用"")), ""內部轉帳(忽略)"",
  AND(E8307&lt;&gt;"""", F8307&lt;&gt;"""", N"&amp;"OT(REGEXMATCH(C8307, ""薪資""))), ""內部轉帳(忽略)"",
  REGEXMATCH(C8307, ""薪資""), ""薪資變動(不計入)"",
  REGEXMATCH(C8307, ""押金""), ""押金往來"",
  AND(E8307&lt;&gt;"""", F8307=""""), ""真實支出"",
  AND(E8307="""", F8307&lt;&gt;""""), ""真實收入"",
  TRUE, ""其他""
)"),"其他")</f>
        <v>其他</v>
      </c>
      <c r="K8307" s="270" t="str">
        <f t="shared" si="2"/>
        <v/>
      </c>
      <c r="L8307">
        <f t="shared" si="3"/>
        <v>0</v>
      </c>
    </row>
    <row r="8308">
      <c r="A8308" s="107"/>
      <c r="D8308" s="270"/>
      <c r="H8308" s="106" t="str">
        <f t="shared" si="1"/>
        <v/>
      </c>
      <c r="J8308" t="str">
        <f>IFERROR(__xludf.DUMMYFUNCTION("IFS(
  AND(REGEXMATCH(E8308, ""台銀籌備帳戶|玉山帳戶""), REGEXMATCH(C8308, ""薪資"")), ""分潤支出"",
  AND(REGEXMATCH(E8308, ""Ben帳戶|Elsa帳戶|Ben代墊|Ariel代墊|中信銀行共用""), REGEXMATCH(F8308, ""Ben帳戶|Elsa帳戶|Ben代墊|Ariel代墊|中信銀行共用"")), ""內部轉帳(忽略)"",
  AND(E8308&lt;&gt;"""", F8308&lt;&gt;"""", N"&amp;"OT(REGEXMATCH(C8308, ""薪資""))), ""內部轉帳(忽略)"",
  REGEXMATCH(C8308, ""薪資""), ""薪資變動(不計入)"",
  REGEXMATCH(C8308, ""押金""), ""押金往來"",
  AND(E8308&lt;&gt;"""", F8308=""""), ""真實支出"",
  AND(E8308="""", F8308&lt;&gt;""""), ""真實收入"",
  TRUE, ""其他""
)"),"其他")</f>
        <v>其他</v>
      </c>
      <c r="K8308" s="270" t="str">
        <f t="shared" si="2"/>
        <v/>
      </c>
      <c r="L8308">
        <f t="shared" si="3"/>
        <v>0</v>
      </c>
    </row>
    <row r="8309">
      <c r="A8309" s="107"/>
      <c r="D8309" s="270"/>
      <c r="H8309" s="106" t="str">
        <f t="shared" si="1"/>
        <v/>
      </c>
      <c r="J8309" t="str">
        <f>IFERROR(__xludf.DUMMYFUNCTION("IFS(
  AND(REGEXMATCH(E8309, ""台銀籌備帳戶|玉山帳戶""), REGEXMATCH(C8309, ""薪資"")), ""分潤支出"",
  AND(REGEXMATCH(E8309, ""Ben帳戶|Elsa帳戶|Ben代墊|Ariel代墊|中信銀行共用""), REGEXMATCH(F8309, ""Ben帳戶|Elsa帳戶|Ben代墊|Ariel代墊|中信銀行共用"")), ""內部轉帳(忽略)"",
  AND(E8309&lt;&gt;"""", F8309&lt;&gt;"""", N"&amp;"OT(REGEXMATCH(C8309, ""薪資""))), ""內部轉帳(忽略)"",
  REGEXMATCH(C8309, ""薪資""), ""薪資變動(不計入)"",
  REGEXMATCH(C8309, ""押金""), ""押金往來"",
  AND(E8309&lt;&gt;"""", F8309=""""), ""真實支出"",
  AND(E8309="""", F8309&lt;&gt;""""), ""真實收入"",
  TRUE, ""其他""
)"),"其他")</f>
        <v>其他</v>
      </c>
      <c r="K8309" s="270" t="str">
        <f t="shared" si="2"/>
        <v/>
      </c>
      <c r="L8309">
        <f t="shared" si="3"/>
        <v>0</v>
      </c>
    </row>
    <row r="8310">
      <c r="A8310" s="107"/>
      <c r="D8310" s="270"/>
      <c r="H8310" s="106" t="str">
        <f t="shared" si="1"/>
        <v/>
      </c>
      <c r="J8310" t="str">
        <f>IFERROR(__xludf.DUMMYFUNCTION("IFS(
  AND(REGEXMATCH(E8310, ""台銀籌備帳戶|玉山帳戶""), REGEXMATCH(C8310, ""薪資"")), ""分潤支出"",
  AND(REGEXMATCH(E8310, ""Ben帳戶|Elsa帳戶|Ben代墊|Ariel代墊|中信銀行共用""), REGEXMATCH(F8310, ""Ben帳戶|Elsa帳戶|Ben代墊|Ariel代墊|中信銀行共用"")), ""內部轉帳(忽略)"",
  AND(E8310&lt;&gt;"""", F8310&lt;&gt;"""", N"&amp;"OT(REGEXMATCH(C8310, ""薪資""))), ""內部轉帳(忽略)"",
  REGEXMATCH(C8310, ""薪資""), ""薪資變動(不計入)"",
  REGEXMATCH(C8310, ""押金""), ""押金往來"",
  AND(E8310&lt;&gt;"""", F8310=""""), ""真實支出"",
  AND(E8310="""", F8310&lt;&gt;""""), ""真實收入"",
  TRUE, ""其他""
)"),"其他")</f>
        <v>其他</v>
      </c>
      <c r="K8310" s="270" t="str">
        <f t="shared" si="2"/>
        <v/>
      </c>
      <c r="L8310">
        <f t="shared" si="3"/>
        <v>0</v>
      </c>
    </row>
    <row r="8311">
      <c r="A8311" s="107"/>
      <c r="D8311" s="270"/>
      <c r="H8311" s="106" t="str">
        <f t="shared" si="1"/>
        <v/>
      </c>
      <c r="J8311" t="str">
        <f>IFERROR(__xludf.DUMMYFUNCTION("IFS(
  AND(REGEXMATCH(E8311, ""台銀籌備帳戶|玉山帳戶""), REGEXMATCH(C8311, ""薪資"")), ""分潤支出"",
  AND(REGEXMATCH(E8311, ""Ben帳戶|Elsa帳戶|Ben代墊|Ariel代墊|中信銀行共用""), REGEXMATCH(F8311, ""Ben帳戶|Elsa帳戶|Ben代墊|Ariel代墊|中信銀行共用"")), ""內部轉帳(忽略)"",
  AND(E8311&lt;&gt;"""", F8311&lt;&gt;"""", N"&amp;"OT(REGEXMATCH(C8311, ""薪資""))), ""內部轉帳(忽略)"",
  REGEXMATCH(C8311, ""薪資""), ""薪資變動(不計入)"",
  REGEXMATCH(C8311, ""押金""), ""押金往來"",
  AND(E8311&lt;&gt;"""", F8311=""""), ""真實支出"",
  AND(E8311="""", F8311&lt;&gt;""""), ""真實收入"",
  TRUE, ""其他""
)"),"其他")</f>
        <v>其他</v>
      </c>
      <c r="K8311" s="270" t="str">
        <f t="shared" si="2"/>
        <v/>
      </c>
      <c r="L8311">
        <f t="shared" si="3"/>
        <v>0</v>
      </c>
    </row>
    <row r="8312">
      <c r="A8312" s="107"/>
      <c r="D8312" s="270"/>
      <c r="H8312" s="106" t="str">
        <f t="shared" si="1"/>
        <v/>
      </c>
      <c r="J8312" t="str">
        <f>IFERROR(__xludf.DUMMYFUNCTION("IFS(
  AND(REGEXMATCH(E8312, ""台銀籌備帳戶|玉山帳戶""), REGEXMATCH(C8312, ""薪資"")), ""分潤支出"",
  AND(REGEXMATCH(E8312, ""Ben帳戶|Elsa帳戶|Ben代墊|Ariel代墊|中信銀行共用""), REGEXMATCH(F8312, ""Ben帳戶|Elsa帳戶|Ben代墊|Ariel代墊|中信銀行共用"")), ""內部轉帳(忽略)"",
  AND(E8312&lt;&gt;"""", F8312&lt;&gt;"""", N"&amp;"OT(REGEXMATCH(C8312, ""薪資""))), ""內部轉帳(忽略)"",
  REGEXMATCH(C8312, ""薪資""), ""薪資變動(不計入)"",
  REGEXMATCH(C8312, ""押金""), ""押金往來"",
  AND(E8312&lt;&gt;"""", F8312=""""), ""真實支出"",
  AND(E8312="""", F8312&lt;&gt;""""), ""真實收入"",
  TRUE, ""其他""
)"),"其他")</f>
        <v>其他</v>
      </c>
      <c r="K8312" s="270" t="str">
        <f t="shared" si="2"/>
        <v/>
      </c>
      <c r="L8312">
        <f t="shared" si="3"/>
        <v>0</v>
      </c>
    </row>
    <row r="8313">
      <c r="A8313" s="107"/>
      <c r="D8313" s="270"/>
      <c r="H8313" s="106" t="str">
        <f t="shared" si="1"/>
        <v/>
      </c>
      <c r="J8313" t="str">
        <f>IFERROR(__xludf.DUMMYFUNCTION("IFS(
  AND(REGEXMATCH(E8313, ""台銀籌備帳戶|玉山帳戶""), REGEXMATCH(C8313, ""薪資"")), ""分潤支出"",
  AND(REGEXMATCH(E8313, ""Ben帳戶|Elsa帳戶|Ben代墊|Ariel代墊|中信銀行共用""), REGEXMATCH(F8313, ""Ben帳戶|Elsa帳戶|Ben代墊|Ariel代墊|中信銀行共用"")), ""內部轉帳(忽略)"",
  AND(E8313&lt;&gt;"""", F8313&lt;&gt;"""", N"&amp;"OT(REGEXMATCH(C8313, ""薪資""))), ""內部轉帳(忽略)"",
  REGEXMATCH(C8313, ""薪資""), ""薪資變動(不計入)"",
  REGEXMATCH(C8313, ""押金""), ""押金往來"",
  AND(E8313&lt;&gt;"""", F8313=""""), ""真實支出"",
  AND(E8313="""", F8313&lt;&gt;""""), ""真實收入"",
  TRUE, ""其他""
)"),"其他")</f>
        <v>其他</v>
      </c>
      <c r="K8313" s="270" t="str">
        <f t="shared" si="2"/>
        <v/>
      </c>
      <c r="L8313">
        <f t="shared" si="3"/>
        <v>0</v>
      </c>
    </row>
    <row r="8314">
      <c r="A8314" s="107"/>
      <c r="D8314" s="270"/>
      <c r="H8314" s="106" t="str">
        <f t="shared" si="1"/>
        <v/>
      </c>
      <c r="J8314" t="str">
        <f>IFERROR(__xludf.DUMMYFUNCTION("IFS(
  AND(REGEXMATCH(E8314, ""台銀籌備帳戶|玉山帳戶""), REGEXMATCH(C8314, ""薪資"")), ""分潤支出"",
  AND(REGEXMATCH(E8314, ""Ben帳戶|Elsa帳戶|Ben代墊|Ariel代墊|中信銀行共用""), REGEXMATCH(F8314, ""Ben帳戶|Elsa帳戶|Ben代墊|Ariel代墊|中信銀行共用"")), ""內部轉帳(忽略)"",
  AND(E8314&lt;&gt;"""", F8314&lt;&gt;"""", N"&amp;"OT(REGEXMATCH(C8314, ""薪資""))), ""內部轉帳(忽略)"",
  REGEXMATCH(C8314, ""薪資""), ""薪資變動(不計入)"",
  REGEXMATCH(C8314, ""押金""), ""押金往來"",
  AND(E8314&lt;&gt;"""", F8314=""""), ""真實支出"",
  AND(E8314="""", F8314&lt;&gt;""""), ""真實收入"",
  TRUE, ""其他""
)"),"其他")</f>
        <v>其他</v>
      </c>
      <c r="K8314" s="270" t="str">
        <f t="shared" si="2"/>
        <v/>
      </c>
      <c r="L8314">
        <f t="shared" si="3"/>
        <v>0</v>
      </c>
    </row>
    <row r="8315">
      <c r="A8315" s="107"/>
      <c r="D8315" s="270"/>
      <c r="H8315" s="106" t="str">
        <f t="shared" si="1"/>
        <v/>
      </c>
      <c r="J8315" t="str">
        <f>IFERROR(__xludf.DUMMYFUNCTION("IFS(
  AND(REGEXMATCH(E8315, ""台銀籌備帳戶|玉山帳戶""), REGEXMATCH(C8315, ""薪資"")), ""分潤支出"",
  AND(REGEXMATCH(E8315, ""Ben帳戶|Elsa帳戶|Ben代墊|Ariel代墊|中信銀行共用""), REGEXMATCH(F8315, ""Ben帳戶|Elsa帳戶|Ben代墊|Ariel代墊|中信銀行共用"")), ""內部轉帳(忽略)"",
  AND(E8315&lt;&gt;"""", F8315&lt;&gt;"""", N"&amp;"OT(REGEXMATCH(C8315, ""薪資""))), ""內部轉帳(忽略)"",
  REGEXMATCH(C8315, ""薪資""), ""薪資變動(不計入)"",
  REGEXMATCH(C8315, ""押金""), ""押金往來"",
  AND(E8315&lt;&gt;"""", F8315=""""), ""真實支出"",
  AND(E8315="""", F8315&lt;&gt;""""), ""真實收入"",
  TRUE, ""其他""
)"),"其他")</f>
        <v>其他</v>
      </c>
      <c r="K8315" s="270" t="str">
        <f t="shared" si="2"/>
        <v/>
      </c>
      <c r="L8315">
        <f t="shared" si="3"/>
        <v>0</v>
      </c>
    </row>
    <row r="8316">
      <c r="A8316" s="107"/>
      <c r="D8316" s="270"/>
      <c r="H8316" s="106" t="str">
        <f t="shared" si="1"/>
        <v/>
      </c>
      <c r="J8316" t="str">
        <f>IFERROR(__xludf.DUMMYFUNCTION("IFS(
  AND(REGEXMATCH(E8316, ""台銀籌備帳戶|玉山帳戶""), REGEXMATCH(C8316, ""薪資"")), ""分潤支出"",
  AND(REGEXMATCH(E8316, ""Ben帳戶|Elsa帳戶|Ben代墊|Ariel代墊|中信銀行共用""), REGEXMATCH(F8316, ""Ben帳戶|Elsa帳戶|Ben代墊|Ariel代墊|中信銀行共用"")), ""內部轉帳(忽略)"",
  AND(E8316&lt;&gt;"""", F8316&lt;&gt;"""", N"&amp;"OT(REGEXMATCH(C8316, ""薪資""))), ""內部轉帳(忽略)"",
  REGEXMATCH(C8316, ""薪資""), ""薪資變動(不計入)"",
  REGEXMATCH(C8316, ""押金""), ""押金往來"",
  AND(E8316&lt;&gt;"""", F8316=""""), ""真實支出"",
  AND(E8316="""", F8316&lt;&gt;""""), ""真實收入"",
  TRUE, ""其他""
)"),"其他")</f>
        <v>其他</v>
      </c>
      <c r="K8316" s="270" t="str">
        <f t="shared" si="2"/>
        <v/>
      </c>
      <c r="L8316">
        <f t="shared" si="3"/>
        <v>0</v>
      </c>
    </row>
    <row r="8317">
      <c r="A8317" s="107"/>
      <c r="D8317" s="270"/>
      <c r="H8317" s="106" t="str">
        <f t="shared" si="1"/>
        <v/>
      </c>
      <c r="J8317" t="str">
        <f>IFERROR(__xludf.DUMMYFUNCTION("IFS(
  AND(REGEXMATCH(E8317, ""台銀籌備帳戶|玉山帳戶""), REGEXMATCH(C8317, ""薪資"")), ""分潤支出"",
  AND(REGEXMATCH(E8317, ""Ben帳戶|Elsa帳戶|Ben代墊|Ariel代墊|中信銀行共用""), REGEXMATCH(F8317, ""Ben帳戶|Elsa帳戶|Ben代墊|Ariel代墊|中信銀行共用"")), ""內部轉帳(忽略)"",
  AND(E8317&lt;&gt;"""", F8317&lt;&gt;"""", N"&amp;"OT(REGEXMATCH(C8317, ""薪資""))), ""內部轉帳(忽略)"",
  REGEXMATCH(C8317, ""薪資""), ""薪資變動(不計入)"",
  REGEXMATCH(C8317, ""押金""), ""押金往來"",
  AND(E8317&lt;&gt;"""", F8317=""""), ""真實支出"",
  AND(E8317="""", F8317&lt;&gt;""""), ""真實收入"",
  TRUE, ""其他""
)"),"其他")</f>
        <v>其他</v>
      </c>
      <c r="K8317" s="270" t="str">
        <f t="shared" si="2"/>
        <v/>
      </c>
      <c r="L8317">
        <f t="shared" si="3"/>
        <v>0</v>
      </c>
    </row>
    <row r="8318">
      <c r="A8318" s="107"/>
      <c r="D8318" s="270"/>
      <c r="H8318" s="106" t="str">
        <f t="shared" si="1"/>
        <v/>
      </c>
      <c r="J8318" t="str">
        <f>IFERROR(__xludf.DUMMYFUNCTION("IFS(
  AND(REGEXMATCH(E8318, ""台銀籌備帳戶|玉山帳戶""), REGEXMATCH(C8318, ""薪資"")), ""分潤支出"",
  AND(REGEXMATCH(E8318, ""Ben帳戶|Elsa帳戶|Ben代墊|Ariel代墊|中信銀行共用""), REGEXMATCH(F8318, ""Ben帳戶|Elsa帳戶|Ben代墊|Ariel代墊|中信銀行共用"")), ""內部轉帳(忽略)"",
  AND(E8318&lt;&gt;"""", F8318&lt;&gt;"""", N"&amp;"OT(REGEXMATCH(C8318, ""薪資""))), ""內部轉帳(忽略)"",
  REGEXMATCH(C8318, ""薪資""), ""薪資變動(不計入)"",
  REGEXMATCH(C8318, ""押金""), ""押金往來"",
  AND(E8318&lt;&gt;"""", F8318=""""), ""真實支出"",
  AND(E8318="""", F8318&lt;&gt;""""), ""真實收入"",
  TRUE, ""其他""
)"),"其他")</f>
        <v>其他</v>
      </c>
      <c r="K8318" s="270" t="str">
        <f t="shared" si="2"/>
        <v/>
      </c>
      <c r="L8318">
        <f t="shared" si="3"/>
        <v>0</v>
      </c>
    </row>
    <row r="8319">
      <c r="A8319" s="107"/>
      <c r="D8319" s="270"/>
      <c r="H8319" s="106" t="str">
        <f t="shared" si="1"/>
        <v/>
      </c>
      <c r="J8319" t="str">
        <f>IFERROR(__xludf.DUMMYFUNCTION("IFS(
  AND(REGEXMATCH(E8319, ""台銀籌備帳戶|玉山帳戶""), REGEXMATCH(C8319, ""薪資"")), ""分潤支出"",
  AND(REGEXMATCH(E8319, ""Ben帳戶|Elsa帳戶|Ben代墊|Ariel代墊|中信銀行共用""), REGEXMATCH(F8319, ""Ben帳戶|Elsa帳戶|Ben代墊|Ariel代墊|中信銀行共用"")), ""內部轉帳(忽略)"",
  AND(E8319&lt;&gt;"""", F8319&lt;&gt;"""", N"&amp;"OT(REGEXMATCH(C8319, ""薪資""))), ""內部轉帳(忽略)"",
  REGEXMATCH(C8319, ""薪資""), ""薪資變動(不計入)"",
  REGEXMATCH(C8319, ""押金""), ""押金往來"",
  AND(E8319&lt;&gt;"""", F8319=""""), ""真實支出"",
  AND(E8319="""", F8319&lt;&gt;""""), ""真實收入"",
  TRUE, ""其他""
)"),"其他")</f>
        <v>其他</v>
      </c>
      <c r="K8319" s="270" t="str">
        <f t="shared" si="2"/>
        <v/>
      </c>
      <c r="L8319">
        <f t="shared" si="3"/>
        <v>0</v>
      </c>
    </row>
    <row r="8320">
      <c r="A8320" s="107"/>
      <c r="D8320" s="270"/>
      <c r="H8320" s="106" t="str">
        <f t="shared" si="1"/>
        <v/>
      </c>
      <c r="J8320" t="str">
        <f>IFERROR(__xludf.DUMMYFUNCTION("IFS(
  AND(REGEXMATCH(E8320, ""台銀籌備帳戶|玉山帳戶""), REGEXMATCH(C8320, ""薪資"")), ""分潤支出"",
  AND(REGEXMATCH(E8320, ""Ben帳戶|Elsa帳戶|Ben代墊|Ariel代墊|中信銀行共用""), REGEXMATCH(F8320, ""Ben帳戶|Elsa帳戶|Ben代墊|Ariel代墊|中信銀行共用"")), ""內部轉帳(忽略)"",
  AND(E8320&lt;&gt;"""", F8320&lt;&gt;"""", N"&amp;"OT(REGEXMATCH(C8320, ""薪資""))), ""內部轉帳(忽略)"",
  REGEXMATCH(C8320, ""薪資""), ""薪資變動(不計入)"",
  REGEXMATCH(C8320, ""押金""), ""押金往來"",
  AND(E8320&lt;&gt;"""", F8320=""""), ""真實支出"",
  AND(E8320="""", F8320&lt;&gt;""""), ""真實收入"",
  TRUE, ""其他""
)"),"其他")</f>
        <v>其他</v>
      </c>
      <c r="K8320" s="270" t="str">
        <f t="shared" si="2"/>
        <v/>
      </c>
      <c r="L8320">
        <f t="shared" si="3"/>
        <v>0</v>
      </c>
    </row>
    <row r="8321">
      <c r="A8321" s="107"/>
      <c r="D8321" s="270"/>
      <c r="H8321" s="106" t="str">
        <f t="shared" si="1"/>
        <v/>
      </c>
      <c r="J8321" t="str">
        <f>IFERROR(__xludf.DUMMYFUNCTION("IFS(
  AND(REGEXMATCH(E8321, ""台銀籌備帳戶|玉山帳戶""), REGEXMATCH(C8321, ""薪資"")), ""分潤支出"",
  AND(REGEXMATCH(E8321, ""Ben帳戶|Elsa帳戶|Ben代墊|Ariel代墊|中信銀行共用""), REGEXMATCH(F8321, ""Ben帳戶|Elsa帳戶|Ben代墊|Ariel代墊|中信銀行共用"")), ""內部轉帳(忽略)"",
  AND(E8321&lt;&gt;"""", F8321&lt;&gt;"""", N"&amp;"OT(REGEXMATCH(C8321, ""薪資""))), ""內部轉帳(忽略)"",
  REGEXMATCH(C8321, ""薪資""), ""薪資變動(不計入)"",
  REGEXMATCH(C8321, ""押金""), ""押金往來"",
  AND(E8321&lt;&gt;"""", F8321=""""), ""真實支出"",
  AND(E8321="""", F8321&lt;&gt;""""), ""真實收入"",
  TRUE, ""其他""
)"),"其他")</f>
        <v>其他</v>
      </c>
      <c r="K8321" s="270" t="str">
        <f t="shared" si="2"/>
        <v/>
      </c>
      <c r="L8321">
        <f t="shared" si="3"/>
        <v>0</v>
      </c>
    </row>
    <row r="8322">
      <c r="A8322" s="107"/>
      <c r="D8322" s="270"/>
      <c r="H8322" s="106" t="str">
        <f t="shared" si="1"/>
        <v/>
      </c>
      <c r="J8322" t="str">
        <f>IFERROR(__xludf.DUMMYFUNCTION("IFS(
  AND(REGEXMATCH(E8322, ""台銀籌備帳戶|玉山帳戶""), REGEXMATCH(C8322, ""薪資"")), ""分潤支出"",
  AND(REGEXMATCH(E8322, ""Ben帳戶|Elsa帳戶|Ben代墊|Ariel代墊|中信銀行共用""), REGEXMATCH(F8322, ""Ben帳戶|Elsa帳戶|Ben代墊|Ariel代墊|中信銀行共用"")), ""內部轉帳(忽略)"",
  AND(E8322&lt;&gt;"""", F8322&lt;&gt;"""", N"&amp;"OT(REGEXMATCH(C8322, ""薪資""))), ""內部轉帳(忽略)"",
  REGEXMATCH(C8322, ""薪資""), ""薪資變動(不計入)"",
  REGEXMATCH(C8322, ""押金""), ""押金往來"",
  AND(E8322&lt;&gt;"""", F8322=""""), ""真實支出"",
  AND(E8322="""", F8322&lt;&gt;""""), ""真實收入"",
  TRUE, ""其他""
)"),"其他")</f>
        <v>其他</v>
      </c>
      <c r="K8322" s="270" t="str">
        <f t="shared" si="2"/>
        <v/>
      </c>
      <c r="L8322">
        <f t="shared" si="3"/>
        <v>0</v>
      </c>
    </row>
    <row r="8323">
      <c r="A8323" s="107"/>
      <c r="D8323" s="270"/>
      <c r="H8323" s="106" t="str">
        <f t="shared" si="1"/>
        <v/>
      </c>
      <c r="J8323" t="str">
        <f>IFERROR(__xludf.DUMMYFUNCTION("IFS(
  AND(REGEXMATCH(E8323, ""台銀籌備帳戶|玉山帳戶""), REGEXMATCH(C8323, ""薪資"")), ""分潤支出"",
  AND(REGEXMATCH(E8323, ""Ben帳戶|Elsa帳戶|Ben代墊|Ariel代墊|中信銀行共用""), REGEXMATCH(F8323, ""Ben帳戶|Elsa帳戶|Ben代墊|Ariel代墊|中信銀行共用"")), ""內部轉帳(忽略)"",
  AND(E8323&lt;&gt;"""", F8323&lt;&gt;"""", N"&amp;"OT(REGEXMATCH(C8323, ""薪資""))), ""內部轉帳(忽略)"",
  REGEXMATCH(C8323, ""薪資""), ""薪資變動(不計入)"",
  REGEXMATCH(C8323, ""押金""), ""押金往來"",
  AND(E8323&lt;&gt;"""", F8323=""""), ""真實支出"",
  AND(E8323="""", F8323&lt;&gt;""""), ""真實收入"",
  TRUE, ""其他""
)"),"其他")</f>
        <v>其他</v>
      </c>
      <c r="K8323" s="270" t="str">
        <f t="shared" si="2"/>
        <v/>
      </c>
      <c r="L8323">
        <f t="shared" si="3"/>
        <v>0</v>
      </c>
    </row>
    <row r="8324">
      <c r="A8324" s="107"/>
      <c r="D8324" s="270"/>
      <c r="H8324" s="106" t="str">
        <f t="shared" si="1"/>
        <v/>
      </c>
      <c r="J8324" t="str">
        <f>IFERROR(__xludf.DUMMYFUNCTION("IFS(
  AND(REGEXMATCH(E8324, ""台銀籌備帳戶|玉山帳戶""), REGEXMATCH(C8324, ""薪資"")), ""分潤支出"",
  AND(REGEXMATCH(E8324, ""Ben帳戶|Elsa帳戶|Ben代墊|Ariel代墊|中信銀行共用""), REGEXMATCH(F8324, ""Ben帳戶|Elsa帳戶|Ben代墊|Ariel代墊|中信銀行共用"")), ""內部轉帳(忽略)"",
  AND(E8324&lt;&gt;"""", F8324&lt;&gt;"""", N"&amp;"OT(REGEXMATCH(C8324, ""薪資""))), ""內部轉帳(忽略)"",
  REGEXMATCH(C8324, ""薪資""), ""薪資變動(不計入)"",
  REGEXMATCH(C8324, ""押金""), ""押金往來"",
  AND(E8324&lt;&gt;"""", F8324=""""), ""真實支出"",
  AND(E8324="""", F8324&lt;&gt;""""), ""真實收入"",
  TRUE, ""其他""
)"),"其他")</f>
        <v>其他</v>
      </c>
      <c r="K8324" s="270" t="str">
        <f t="shared" si="2"/>
        <v/>
      </c>
      <c r="L8324">
        <f t="shared" si="3"/>
        <v>0</v>
      </c>
    </row>
    <row r="8325">
      <c r="A8325" s="107"/>
      <c r="D8325" s="270"/>
      <c r="H8325" s="106" t="str">
        <f t="shared" si="1"/>
        <v/>
      </c>
      <c r="J8325" t="str">
        <f>IFERROR(__xludf.DUMMYFUNCTION("IFS(
  AND(REGEXMATCH(E8325, ""台銀籌備帳戶|玉山帳戶""), REGEXMATCH(C8325, ""薪資"")), ""分潤支出"",
  AND(REGEXMATCH(E8325, ""Ben帳戶|Elsa帳戶|Ben代墊|Ariel代墊|中信銀行共用""), REGEXMATCH(F8325, ""Ben帳戶|Elsa帳戶|Ben代墊|Ariel代墊|中信銀行共用"")), ""內部轉帳(忽略)"",
  AND(E8325&lt;&gt;"""", F8325&lt;&gt;"""", N"&amp;"OT(REGEXMATCH(C8325, ""薪資""))), ""內部轉帳(忽略)"",
  REGEXMATCH(C8325, ""薪資""), ""薪資變動(不計入)"",
  REGEXMATCH(C8325, ""押金""), ""押金往來"",
  AND(E8325&lt;&gt;"""", F8325=""""), ""真實支出"",
  AND(E8325="""", F8325&lt;&gt;""""), ""真實收入"",
  TRUE, ""其他""
)"),"其他")</f>
        <v>其他</v>
      </c>
      <c r="K8325" s="270" t="str">
        <f t="shared" si="2"/>
        <v/>
      </c>
      <c r="L8325">
        <f t="shared" si="3"/>
        <v>0</v>
      </c>
    </row>
    <row r="8326">
      <c r="A8326" s="107"/>
      <c r="D8326" s="270"/>
      <c r="H8326" s="106" t="str">
        <f t="shared" si="1"/>
        <v/>
      </c>
      <c r="J8326" t="str">
        <f>IFERROR(__xludf.DUMMYFUNCTION("IFS(
  AND(REGEXMATCH(E8326, ""台銀籌備帳戶|玉山帳戶""), REGEXMATCH(C8326, ""薪資"")), ""分潤支出"",
  AND(REGEXMATCH(E8326, ""Ben帳戶|Elsa帳戶|Ben代墊|Ariel代墊|中信銀行共用""), REGEXMATCH(F8326, ""Ben帳戶|Elsa帳戶|Ben代墊|Ariel代墊|中信銀行共用"")), ""內部轉帳(忽略)"",
  AND(E8326&lt;&gt;"""", F8326&lt;&gt;"""", N"&amp;"OT(REGEXMATCH(C8326, ""薪資""))), ""內部轉帳(忽略)"",
  REGEXMATCH(C8326, ""薪資""), ""薪資變動(不計入)"",
  REGEXMATCH(C8326, ""押金""), ""押金往來"",
  AND(E8326&lt;&gt;"""", F8326=""""), ""真實支出"",
  AND(E8326="""", F8326&lt;&gt;""""), ""真實收入"",
  TRUE, ""其他""
)"),"其他")</f>
        <v>其他</v>
      </c>
      <c r="K8326" s="270" t="str">
        <f t="shared" si="2"/>
        <v/>
      </c>
      <c r="L8326">
        <f t="shared" si="3"/>
        <v>0</v>
      </c>
    </row>
    <row r="8327">
      <c r="A8327" s="107"/>
      <c r="D8327" s="270"/>
      <c r="H8327" s="106" t="str">
        <f t="shared" si="1"/>
        <v/>
      </c>
      <c r="J8327" t="str">
        <f>IFERROR(__xludf.DUMMYFUNCTION("IFS(
  AND(REGEXMATCH(E8327, ""台銀籌備帳戶|玉山帳戶""), REGEXMATCH(C8327, ""薪資"")), ""分潤支出"",
  AND(REGEXMATCH(E8327, ""Ben帳戶|Elsa帳戶|Ben代墊|Ariel代墊|中信銀行共用""), REGEXMATCH(F8327, ""Ben帳戶|Elsa帳戶|Ben代墊|Ariel代墊|中信銀行共用"")), ""內部轉帳(忽略)"",
  AND(E8327&lt;&gt;"""", F8327&lt;&gt;"""", N"&amp;"OT(REGEXMATCH(C8327, ""薪資""))), ""內部轉帳(忽略)"",
  REGEXMATCH(C8327, ""薪資""), ""薪資變動(不計入)"",
  REGEXMATCH(C8327, ""押金""), ""押金往來"",
  AND(E8327&lt;&gt;"""", F8327=""""), ""真實支出"",
  AND(E8327="""", F8327&lt;&gt;""""), ""真實收入"",
  TRUE, ""其他""
)"),"其他")</f>
        <v>其他</v>
      </c>
      <c r="K8327" s="270" t="str">
        <f t="shared" si="2"/>
        <v/>
      </c>
      <c r="L8327">
        <f t="shared" si="3"/>
        <v>0</v>
      </c>
    </row>
    <row r="8328">
      <c r="A8328" s="107"/>
      <c r="D8328" s="270"/>
      <c r="H8328" s="106" t="str">
        <f t="shared" si="1"/>
        <v/>
      </c>
      <c r="J8328" t="str">
        <f>IFERROR(__xludf.DUMMYFUNCTION("IFS(
  AND(REGEXMATCH(E8328, ""台銀籌備帳戶|玉山帳戶""), REGEXMATCH(C8328, ""薪資"")), ""分潤支出"",
  AND(REGEXMATCH(E8328, ""Ben帳戶|Elsa帳戶|Ben代墊|Ariel代墊|中信銀行共用""), REGEXMATCH(F8328, ""Ben帳戶|Elsa帳戶|Ben代墊|Ariel代墊|中信銀行共用"")), ""內部轉帳(忽略)"",
  AND(E8328&lt;&gt;"""", F8328&lt;&gt;"""", N"&amp;"OT(REGEXMATCH(C8328, ""薪資""))), ""內部轉帳(忽略)"",
  REGEXMATCH(C8328, ""薪資""), ""薪資變動(不計入)"",
  REGEXMATCH(C8328, ""押金""), ""押金往來"",
  AND(E8328&lt;&gt;"""", F8328=""""), ""真實支出"",
  AND(E8328="""", F8328&lt;&gt;""""), ""真實收入"",
  TRUE, ""其他""
)"),"其他")</f>
        <v>其他</v>
      </c>
      <c r="K8328" s="270" t="str">
        <f t="shared" si="2"/>
        <v/>
      </c>
      <c r="L8328">
        <f t="shared" si="3"/>
        <v>0</v>
      </c>
    </row>
    <row r="8329">
      <c r="A8329" s="107"/>
      <c r="D8329" s="270"/>
      <c r="H8329" s="106" t="str">
        <f t="shared" si="1"/>
        <v/>
      </c>
      <c r="J8329" t="str">
        <f>IFERROR(__xludf.DUMMYFUNCTION("IFS(
  AND(REGEXMATCH(E8329, ""台銀籌備帳戶|玉山帳戶""), REGEXMATCH(C8329, ""薪資"")), ""分潤支出"",
  AND(REGEXMATCH(E8329, ""Ben帳戶|Elsa帳戶|Ben代墊|Ariel代墊|中信銀行共用""), REGEXMATCH(F8329, ""Ben帳戶|Elsa帳戶|Ben代墊|Ariel代墊|中信銀行共用"")), ""內部轉帳(忽略)"",
  AND(E8329&lt;&gt;"""", F8329&lt;&gt;"""", N"&amp;"OT(REGEXMATCH(C8329, ""薪資""))), ""內部轉帳(忽略)"",
  REGEXMATCH(C8329, ""薪資""), ""薪資變動(不計入)"",
  REGEXMATCH(C8329, ""押金""), ""押金往來"",
  AND(E8329&lt;&gt;"""", F8329=""""), ""真實支出"",
  AND(E8329="""", F8329&lt;&gt;""""), ""真實收入"",
  TRUE, ""其他""
)"),"其他")</f>
        <v>其他</v>
      </c>
      <c r="K8329" s="270" t="str">
        <f t="shared" si="2"/>
        <v/>
      </c>
      <c r="L8329">
        <f t="shared" si="3"/>
        <v>0</v>
      </c>
    </row>
    <row r="8330">
      <c r="A8330" s="107"/>
      <c r="D8330" s="270"/>
      <c r="H8330" s="106" t="str">
        <f t="shared" si="1"/>
        <v/>
      </c>
      <c r="J8330" t="str">
        <f>IFERROR(__xludf.DUMMYFUNCTION("IFS(
  AND(REGEXMATCH(E8330, ""台銀籌備帳戶|玉山帳戶""), REGEXMATCH(C8330, ""薪資"")), ""分潤支出"",
  AND(REGEXMATCH(E8330, ""Ben帳戶|Elsa帳戶|Ben代墊|Ariel代墊|中信銀行共用""), REGEXMATCH(F8330, ""Ben帳戶|Elsa帳戶|Ben代墊|Ariel代墊|中信銀行共用"")), ""內部轉帳(忽略)"",
  AND(E8330&lt;&gt;"""", F8330&lt;&gt;"""", N"&amp;"OT(REGEXMATCH(C8330, ""薪資""))), ""內部轉帳(忽略)"",
  REGEXMATCH(C8330, ""薪資""), ""薪資變動(不計入)"",
  REGEXMATCH(C8330, ""押金""), ""押金往來"",
  AND(E8330&lt;&gt;"""", F8330=""""), ""真實支出"",
  AND(E8330="""", F8330&lt;&gt;""""), ""真實收入"",
  TRUE, ""其他""
)"),"其他")</f>
        <v>其他</v>
      </c>
      <c r="K8330" s="270" t="str">
        <f t="shared" si="2"/>
        <v/>
      </c>
      <c r="L8330">
        <f t="shared" si="3"/>
        <v>0</v>
      </c>
    </row>
    <row r="8331">
      <c r="A8331" s="107"/>
      <c r="D8331" s="270"/>
      <c r="H8331" s="106" t="str">
        <f t="shared" si="1"/>
        <v/>
      </c>
      <c r="J8331" t="str">
        <f>IFERROR(__xludf.DUMMYFUNCTION("IFS(
  AND(REGEXMATCH(E8331, ""台銀籌備帳戶|玉山帳戶""), REGEXMATCH(C8331, ""薪資"")), ""分潤支出"",
  AND(REGEXMATCH(E8331, ""Ben帳戶|Elsa帳戶|Ben代墊|Ariel代墊|中信銀行共用""), REGEXMATCH(F8331, ""Ben帳戶|Elsa帳戶|Ben代墊|Ariel代墊|中信銀行共用"")), ""內部轉帳(忽略)"",
  AND(E8331&lt;&gt;"""", F8331&lt;&gt;"""", N"&amp;"OT(REGEXMATCH(C8331, ""薪資""))), ""內部轉帳(忽略)"",
  REGEXMATCH(C8331, ""薪資""), ""薪資變動(不計入)"",
  REGEXMATCH(C8331, ""押金""), ""押金往來"",
  AND(E8331&lt;&gt;"""", F8331=""""), ""真實支出"",
  AND(E8331="""", F8331&lt;&gt;""""), ""真實收入"",
  TRUE, ""其他""
)"),"其他")</f>
        <v>其他</v>
      </c>
      <c r="K8331" s="270" t="str">
        <f t="shared" si="2"/>
        <v/>
      </c>
      <c r="L8331">
        <f t="shared" si="3"/>
        <v>0</v>
      </c>
    </row>
    <row r="8332">
      <c r="A8332" s="107"/>
      <c r="D8332" s="270"/>
      <c r="H8332" s="106" t="str">
        <f t="shared" si="1"/>
        <v/>
      </c>
      <c r="J8332" t="str">
        <f>IFERROR(__xludf.DUMMYFUNCTION("IFS(
  AND(REGEXMATCH(E8332, ""台銀籌備帳戶|玉山帳戶""), REGEXMATCH(C8332, ""薪資"")), ""分潤支出"",
  AND(REGEXMATCH(E8332, ""Ben帳戶|Elsa帳戶|Ben代墊|Ariel代墊|中信銀行共用""), REGEXMATCH(F8332, ""Ben帳戶|Elsa帳戶|Ben代墊|Ariel代墊|中信銀行共用"")), ""內部轉帳(忽略)"",
  AND(E8332&lt;&gt;"""", F8332&lt;&gt;"""", N"&amp;"OT(REGEXMATCH(C8332, ""薪資""))), ""內部轉帳(忽略)"",
  REGEXMATCH(C8332, ""薪資""), ""薪資變動(不計入)"",
  REGEXMATCH(C8332, ""押金""), ""押金往來"",
  AND(E8332&lt;&gt;"""", F8332=""""), ""真實支出"",
  AND(E8332="""", F8332&lt;&gt;""""), ""真實收入"",
  TRUE, ""其他""
)"),"其他")</f>
        <v>其他</v>
      </c>
      <c r="K8332" s="270" t="str">
        <f t="shared" si="2"/>
        <v/>
      </c>
      <c r="L8332">
        <f t="shared" si="3"/>
        <v>0</v>
      </c>
    </row>
    <row r="8333">
      <c r="A8333" s="107"/>
      <c r="D8333" s="270"/>
      <c r="H8333" s="106" t="str">
        <f t="shared" si="1"/>
        <v/>
      </c>
      <c r="J8333" t="str">
        <f>IFERROR(__xludf.DUMMYFUNCTION("IFS(
  AND(REGEXMATCH(E8333, ""台銀籌備帳戶|玉山帳戶""), REGEXMATCH(C8333, ""薪資"")), ""分潤支出"",
  AND(REGEXMATCH(E8333, ""Ben帳戶|Elsa帳戶|Ben代墊|Ariel代墊|中信銀行共用""), REGEXMATCH(F8333, ""Ben帳戶|Elsa帳戶|Ben代墊|Ariel代墊|中信銀行共用"")), ""內部轉帳(忽略)"",
  AND(E8333&lt;&gt;"""", F8333&lt;&gt;"""", N"&amp;"OT(REGEXMATCH(C8333, ""薪資""))), ""內部轉帳(忽略)"",
  REGEXMATCH(C8333, ""薪資""), ""薪資變動(不計入)"",
  REGEXMATCH(C8333, ""押金""), ""押金往來"",
  AND(E8333&lt;&gt;"""", F8333=""""), ""真實支出"",
  AND(E8333="""", F8333&lt;&gt;""""), ""真實收入"",
  TRUE, ""其他""
)"),"其他")</f>
        <v>其他</v>
      </c>
      <c r="K8333" s="270" t="str">
        <f t="shared" si="2"/>
        <v/>
      </c>
      <c r="L8333">
        <f t="shared" si="3"/>
        <v>0</v>
      </c>
    </row>
    <row r="8334">
      <c r="A8334" s="107"/>
      <c r="D8334" s="270"/>
      <c r="H8334" s="106" t="str">
        <f t="shared" si="1"/>
        <v/>
      </c>
      <c r="J8334" t="str">
        <f>IFERROR(__xludf.DUMMYFUNCTION("IFS(
  AND(REGEXMATCH(E8334, ""台銀籌備帳戶|玉山帳戶""), REGEXMATCH(C8334, ""薪資"")), ""分潤支出"",
  AND(REGEXMATCH(E8334, ""Ben帳戶|Elsa帳戶|Ben代墊|Ariel代墊|中信銀行共用""), REGEXMATCH(F8334, ""Ben帳戶|Elsa帳戶|Ben代墊|Ariel代墊|中信銀行共用"")), ""內部轉帳(忽略)"",
  AND(E8334&lt;&gt;"""", F8334&lt;&gt;"""", N"&amp;"OT(REGEXMATCH(C8334, ""薪資""))), ""內部轉帳(忽略)"",
  REGEXMATCH(C8334, ""薪資""), ""薪資變動(不計入)"",
  REGEXMATCH(C8334, ""押金""), ""押金往來"",
  AND(E8334&lt;&gt;"""", F8334=""""), ""真實支出"",
  AND(E8334="""", F8334&lt;&gt;""""), ""真實收入"",
  TRUE, ""其他""
)"),"其他")</f>
        <v>其他</v>
      </c>
      <c r="K8334" s="270" t="str">
        <f t="shared" si="2"/>
        <v/>
      </c>
      <c r="L8334">
        <f t="shared" si="3"/>
        <v>0</v>
      </c>
    </row>
    <row r="8335">
      <c r="A8335" s="107"/>
      <c r="D8335" s="270"/>
      <c r="H8335" s="106" t="str">
        <f t="shared" si="1"/>
        <v/>
      </c>
      <c r="J8335" t="str">
        <f>IFERROR(__xludf.DUMMYFUNCTION("IFS(
  AND(REGEXMATCH(E8335, ""台銀籌備帳戶|玉山帳戶""), REGEXMATCH(C8335, ""薪資"")), ""分潤支出"",
  AND(REGEXMATCH(E8335, ""Ben帳戶|Elsa帳戶|Ben代墊|Ariel代墊|中信銀行共用""), REGEXMATCH(F8335, ""Ben帳戶|Elsa帳戶|Ben代墊|Ariel代墊|中信銀行共用"")), ""內部轉帳(忽略)"",
  AND(E8335&lt;&gt;"""", F8335&lt;&gt;"""", N"&amp;"OT(REGEXMATCH(C8335, ""薪資""))), ""內部轉帳(忽略)"",
  REGEXMATCH(C8335, ""薪資""), ""薪資變動(不計入)"",
  REGEXMATCH(C8335, ""押金""), ""押金往來"",
  AND(E8335&lt;&gt;"""", F8335=""""), ""真實支出"",
  AND(E8335="""", F8335&lt;&gt;""""), ""真實收入"",
  TRUE, ""其他""
)"),"其他")</f>
        <v>其他</v>
      </c>
      <c r="K8335" s="270" t="str">
        <f t="shared" si="2"/>
        <v/>
      </c>
      <c r="L8335">
        <f t="shared" si="3"/>
        <v>0</v>
      </c>
    </row>
    <row r="8336">
      <c r="A8336" s="107"/>
      <c r="D8336" s="270"/>
      <c r="H8336" s="106" t="str">
        <f t="shared" si="1"/>
        <v/>
      </c>
      <c r="J8336" t="str">
        <f>IFERROR(__xludf.DUMMYFUNCTION("IFS(
  AND(REGEXMATCH(E8336, ""台銀籌備帳戶|玉山帳戶""), REGEXMATCH(C8336, ""薪資"")), ""分潤支出"",
  AND(REGEXMATCH(E8336, ""Ben帳戶|Elsa帳戶|Ben代墊|Ariel代墊|中信銀行共用""), REGEXMATCH(F8336, ""Ben帳戶|Elsa帳戶|Ben代墊|Ariel代墊|中信銀行共用"")), ""內部轉帳(忽略)"",
  AND(E8336&lt;&gt;"""", F8336&lt;&gt;"""", N"&amp;"OT(REGEXMATCH(C8336, ""薪資""))), ""內部轉帳(忽略)"",
  REGEXMATCH(C8336, ""薪資""), ""薪資變動(不計入)"",
  REGEXMATCH(C8336, ""押金""), ""押金往來"",
  AND(E8336&lt;&gt;"""", F8336=""""), ""真實支出"",
  AND(E8336="""", F8336&lt;&gt;""""), ""真實收入"",
  TRUE, ""其他""
)"),"其他")</f>
        <v>其他</v>
      </c>
      <c r="K8336" s="270" t="str">
        <f t="shared" si="2"/>
        <v/>
      </c>
      <c r="L8336">
        <f t="shared" si="3"/>
        <v>0</v>
      </c>
    </row>
    <row r="8337">
      <c r="A8337" s="107"/>
      <c r="D8337" s="270"/>
      <c r="H8337" s="106" t="str">
        <f t="shared" si="1"/>
        <v/>
      </c>
      <c r="J8337" t="str">
        <f>IFERROR(__xludf.DUMMYFUNCTION("IFS(
  AND(REGEXMATCH(E8337, ""台銀籌備帳戶|玉山帳戶""), REGEXMATCH(C8337, ""薪資"")), ""分潤支出"",
  AND(REGEXMATCH(E8337, ""Ben帳戶|Elsa帳戶|Ben代墊|Ariel代墊|中信銀行共用""), REGEXMATCH(F8337, ""Ben帳戶|Elsa帳戶|Ben代墊|Ariel代墊|中信銀行共用"")), ""內部轉帳(忽略)"",
  AND(E8337&lt;&gt;"""", F8337&lt;&gt;"""", N"&amp;"OT(REGEXMATCH(C8337, ""薪資""))), ""內部轉帳(忽略)"",
  REGEXMATCH(C8337, ""薪資""), ""薪資變動(不計入)"",
  REGEXMATCH(C8337, ""押金""), ""押金往來"",
  AND(E8337&lt;&gt;"""", F8337=""""), ""真實支出"",
  AND(E8337="""", F8337&lt;&gt;""""), ""真實收入"",
  TRUE, ""其他""
)"),"其他")</f>
        <v>其他</v>
      </c>
      <c r="K8337" s="270" t="str">
        <f t="shared" si="2"/>
        <v/>
      </c>
      <c r="L8337">
        <f t="shared" si="3"/>
        <v>0</v>
      </c>
    </row>
    <row r="8338">
      <c r="A8338" s="107"/>
      <c r="D8338" s="270"/>
      <c r="H8338" s="106" t="str">
        <f t="shared" si="1"/>
        <v/>
      </c>
      <c r="J8338" t="str">
        <f>IFERROR(__xludf.DUMMYFUNCTION("IFS(
  AND(REGEXMATCH(E8338, ""台銀籌備帳戶|玉山帳戶""), REGEXMATCH(C8338, ""薪資"")), ""分潤支出"",
  AND(REGEXMATCH(E8338, ""Ben帳戶|Elsa帳戶|Ben代墊|Ariel代墊|中信銀行共用""), REGEXMATCH(F8338, ""Ben帳戶|Elsa帳戶|Ben代墊|Ariel代墊|中信銀行共用"")), ""內部轉帳(忽略)"",
  AND(E8338&lt;&gt;"""", F8338&lt;&gt;"""", N"&amp;"OT(REGEXMATCH(C8338, ""薪資""))), ""內部轉帳(忽略)"",
  REGEXMATCH(C8338, ""薪資""), ""薪資變動(不計入)"",
  REGEXMATCH(C8338, ""押金""), ""押金往來"",
  AND(E8338&lt;&gt;"""", F8338=""""), ""真實支出"",
  AND(E8338="""", F8338&lt;&gt;""""), ""真實收入"",
  TRUE, ""其他""
)"),"其他")</f>
        <v>其他</v>
      </c>
      <c r="K8338" s="270" t="str">
        <f t="shared" si="2"/>
        <v/>
      </c>
      <c r="L8338">
        <f t="shared" si="3"/>
        <v>0</v>
      </c>
    </row>
    <row r="8339">
      <c r="A8339" s="107"/>
      <c r="D8339" s="270"/>
      <c r="H8339" s="106" t="str">
        <f t="shared" si="1"/>
        <v/>
      </c>
      <c r="J8339" t="str">
        <f>IFERROR(__xludf.DUMMYFUNCTION("IFS(
  AND(REGEXMATCH(E8339, ""台銀籌備帳戶|玉山帳戶""), REGEXMATCH(C8339, ""薪資"")), ""分潤支出"",
  AND(REGEXMATCH(E8339, ""Ben帳戶|Elsa帳戶|Ben代墊|Ariel代墊|中信銀行共用""), REGEXMATCH(F8339, ""Ben帳戶|Elsa帳戶|Ben代墊|Ariel代墊|中信銀行共用"")), ""內部轉帳(忽略)"",
  AND(E8339&lt;&gt;"""", F8339&lt;&gt;"""", N"&amp;"OT(REGEXMATCH(C8339, ""薪資""))), ""內部轉帳(忽略)"",
  REGEXMATCH(C8339, ""薪資""), ""薪資變動(不計入)"",
  REGEXMATCH(C8339, ""押金""), ""押金往來"",
  AND(E8339&lt;&gt;"""", F8339=""""), ""真實支出"",
  AND(E8339="""", F8339&lt;&gt;""""), ""真實收入"",
  TRUE, ""其他""
)"),"其他")</f>
        <v>其他</v>
      </c>
      <c r="K8339" s="270" t="str">
        <f t="shared" si="2"/>
        <v/>
      </c>
      <c r="L8339">
        <f t="shared" si="3"/>
        <v>0</v>
      </c>
    </row>
    <row r="8340">
      <c r="A8340" s="107"/>
      <c r="D8340" s="270"/>
      <c r="H8340" s="106" t="str">
        <f t="shared" si="1"/>
        <v/>
      </c>
      <c r="J8340" t="str">
        <f>IFERROR(__xludf.DUMMYFUNCTION("IFS(
  AND(REGEXMATCH(E8340, ""台銀籌備帳戶|玉山帳戶""), REGEXMATCH(C8340, ""薪資"")), ""分潤支出"",
  AND(REGEXMATCH(E8340, ""Ben帳戶|Elsa帳戶|Ben代墊|Ariel代墊|中信銀行共用""), REGEXMATCH(F8340, ""Ben帳戶|Elsa帳戶|Ben代墊|Ariel代墊|中信銀行共用"")), ""內部轉帳(忽略)"",
  AND(E8340&lt;&gt;"""", F8340&lt;&gt;"""", N"&amp;"OT(REGEXMATCH(C8340, ""薪資""))), ""內部轉帳(忽略)"",
  REGEXMATCH(C8340, ""薪資""), ""薪資變動(不計入)"",
  REGEXMATCH(C8340, ""押金""), ""押金往來"",
  AND(E8340&lt;&gt;"""", F8340=""""), ""真實支出"",
  AND(E8340="""", F8340&lt;&gt;""""), ""真實收入"",
  TRUE, ""其他""
)"),"其他")</f>
        <v>其他</v>
      </c>
      <c r="K8340" s="270" t="str">
        <f t="shared" si="2"/>
        <v/>
      </c>
      <c r="L8340">
        <f t="shared" si="3"/>
        <v>0</v>
      </c>
    </row>
    <row r="8341">
      <c r="A8341" s="107"/>
      <c r="D8341" s="270"/>
      <c r="H8341" s="106" t="str">
        <f t="shared" si="1"/>
        <v/>
      </c>
      <c r="J8341" t="str">
        <f>IFERROR(__xludf.DUMMYFUNCTION("IFS(
  AND(REGEXMATCH(E8341, ""台銀籌備帳戶|玉山帳戶""), REGEXMATCH(C8341, ""薪資"")), ""分潤支出"",
  AND(REGEXMATCH(E8341, ""Ben帳戶|Elsa帳戶|Ben代墊|Ariel代墊|中信銀行共用""), REGEXMATCH(F8341, ""Ben帳戶|Elsa帳戶|Ben代墊|Ariel代墊|中信銀行共用"")), ""內部轉帳(忽略)"",
  AND(E8341&lt;&gt;"""", F8341&lt;&gt;"""", N"&amp;"OT(REGEXMATCH(C8341, ""薪資""))), ""內部轉帳(忽略)"",
  REGEXMATCH(C8341, ""薪資""), ""薪資變動(不計入)"",
  REGEXMATCH(C8341, ""押金""), ""押金往來"",
  AND(E8341&lt;&gt;"""", F8341=""""), ""真實支出"",
  AND(E8341="""", F8341&lt;&gt;""""), ""真實收入"",
  TRUE, ""其他""
)"),"其他")</f>
        <v>其他</v>
      </c>
      <c r="K8341" s="270" t="str">
        <f t="shared" si="2"/>
        <v/>
      </c>
      <c r="L8341">
        <f t="shared" si="3"/>
        <v>0</v>
      </c>
    </row>
    <row r="8342">
      <c r="A8342" s="107"/>
      <c r="D8342" s="270"/>
      <c r="H8342" s="106" t="str">
        <f t="shared" si="1"/>
        <v/>
      </c>
      <c r="J8342" t="str">
        <f>IFERROR(__xludf.DUMMYFUNCTION("IFS(
  AND(REGEXMATCH(E8342, ""台銀籌備帳戶|玉山帳戶""), REGEXMATCH(C8342, ""薪資"")), ""分潤支出"",
  AND(REGEXMATCH(E8342, ""Ben帳戶|Elsa帳戶|Ben代墊|Ariel代墊|中信銀行共用""), REGEXMATCH(F8342, ""Ben帳戶|Elsa帳戶|Ben代墊|Ariel代墊|中信銀行共用"")), ""內部轉帳(忽略)"",
  AND(E8342&lt;&gt;"""", F8342&lt;&gt;"""", N"&amp;"OT(REGEXMATCH(C8342, ""薪資""))), ""內部轉帳(忽略)"",
  REGEXMATCH(C8342, ""薪資""), ""薪資變動(不計入)"",
  REGEXMATCH(C8342, ""押金""), ""押金往來"",
  AND(E8342&lt;&gt;"""", F8342=""""), ""真實支出"",
  AND(E8342="""", F8342&lt;&gt;""""), ""真實收入"",
  TRUE, ""其他""
)"),"其他")</f>
        <v>其他</v>
      </c>
      <c r="K8342" s="270" t="str">
        <f t="shared" si="2"/>
        <v/>
      </c>
      <c r="L8342">
        <f t="shared" si="3"/>
        <v>0</v>
      </c>
    </row>
    <row r="8343">
      <c r="A8343" s="107"/>
      <c r="D8343" s="270"/>
      <c r="H8343" s="106" t="str">
        <f t="shared" si="1"/>
        <v/>
      </c>
      <c r="J8343" t="str">
        <f>IFERROR(__xludf.DUMMYFUNCTION("IFS(
  AND(REGEXMATCH(E8343, ""台銀籌備帳戶|玉山帳戶""), REGEXMATCH(C8343, ""薪資"")), ""分潤支出"",
  AND(REGEXMATCH(E8343, ""Ben帳戶|Elsa帳戶|Ben代墊|Ariel代墊|中信銀行共用""), REGEXMATCH(F8343, ""Ben帳戶|Elsa帳戶|Ben代墊|Ariel代墊|中信銀行共用"")), ""內部轉帳(忽略)"",
  AND(E8343&lt;&gt;"""", F8343&lt;&gt;"""", N"&amp;"OT(REGEXMATCH(C8343, ""薪資""))), ""內部轉帳(忽略)"",
  REGEXMATCH(C8343, ""薪資""), ""薪資變動(不計入)"",
  REGEXMATCH(C8343, ""押金""), ""押金往來"",
  AND(E8343&lt;&gt;"""", F8343=""""), ""真實支出"",
  AND(E8343="""", F8343&lt;&gt;""""), ""真實收入"",
  TRUE, ""其他""
)"),"其他")</f>
        <v>其他</v>
      </c>
      <c r="K8343" s="270" t="str">
        <f t="shared" si="2"/>
        <v/>
      </c>
      <c r="L8343">
        <f t="shared" si="3"/>
        <v>0</v>
      </c>
    </row>
    <row r="8344">
      <c r="A8344" s="107"/>
      <c r="D8344" s="270"/>
      <c r="H8344" s="106" t="str">
        <f t="shared" si="1"/>
        <v/>
      </c>
      <c r="J8344" t="str">
        <f>IFERROR(__xludf.DUMMYFUNCTION("IFS(
  AND(REGEXMATCH(E8344, ""台銀籌備帳戶|玉山帳戶""), REGEXMATCH(C8344, ""薪資"")), ""分潤支出"",
  AND(REGEXMATCH(E8344, ""Ben帳戶|Elsa帳戶|Ben代墊|Ariel代墊|中信銀行共用""), REGEXMATCH(F8344, ""Ben帳戶|Elsa帳戶|Ben代墊|Ariel代墊|中信銀行共用"")), ""內部轉帳(忽略)"",
  AND(E8344&lt;&gt;"""", F8344&lt;&gt;"""", N"&amp;"OT(REGEXMATCH(C8344, ""薪資""))), ""內部轉帳(忽略)"",
  REGEXMATCH(C8344, ""薪資""), ""薪資變動(不計入)"",
  REGEXMATCH(C8344, ""押金""), ""押金往來"",
  AND(E8344&lt;&gt;"""", F8344=""""), ""真實支出"",
  AND(E8344="""", F8344&lt;&gt;""""), ""真實收入"",
  TRUE, ""其他""
)"),"其他")</f>
        <v>其他</v>
      </c>
      <c r="K8344" s="270" t="str">
        <f t="shared" si="2"/>
        <v/>
      </c>
      <c r="L8344">
        <f t="shared" si="3"/>
        <v>0</v>
      </c>
    </row>
    <row r="8345">
      <c r="A8345" s="107"/>
      <c r="D8345" s="270"/>
      <c r="H8345" s="106" t="str">
        <f t="shared" si="1"/>
        <v/>
      </c>
      <c r="J8345" t="str">
        <f>IFERROR(__xludf.DUMMYFUNCTION("IFS(
  AND(REGEXMATCH(E8345, ""台銀籌備帳戶|玉山帳戶""), REGEXMATCH(C8345, ""薪資"")), ""分潤支出"",
  AND(REGEXMATCH(E8345, ""Ben帳戶|Elsa帳戶|Ben代墊|Ariel代墊|中信銀行共用""), REGEXMATCH(F8345, ""Ben帳戶|Elsa帳戶|Ben代墊|Ariel代墊|中信銀行共用"")), ""內部轉帳(忽略)"",
  AND(E8345&lt;&gt;"""", F8345&lt;&gt;"""", N"&amp;"OT(REGEXMATCH(C8345, ""薪資""))), ""內部轉帳(忽略)"",
  REGEXMATCH(C8345, ""薪資""), ""薪資變動(不計入)"",
  REGEXMATCH(C8345, ""押金""), ""押金往來"",
  AND(E8345&lt;&gt;"""", F8345=""""), ""真實支出"",
  AND(E8345="""", F8345&lt;&gt;""""), ""真實收入"",
  TRUE, ""其他""
)"),"其他")</f>
        <v>其他</v>
      </c>
      <c r="K8345" s="270" t="str">
        <f t="shared" si="2"/>
        <v/>
      </c>
      <c r="L8345">
        <f t="shared" si="3"/>
        <v>0</v>
      </c>
    </row>
    <row r="8346">
      <c r="A8346" s="107"/>
      <c r="D8346" s="270"/>
      <c r="H8346" s="106" t="str">
        <f t="shared" si="1"/>
        <v/>
      </c>
      <c r="J8346" t="str">
        <f>IFERROR(__xludf.DUMMYFUNCTION("IFS(
  AND(REGEXMATCH(E8346, ""台銀籌備帳戶|玉山帳戶""), REGEXMATCH(C8346, ""薪資"")), ""分潤支出"",
  AND(REGEXMATCH(E8346, ""Ben帳戶|Elsa帳戶|Ben代墊|Ariel代墊|中信銀行共用""), REGEXMATCH(F8346, ""Ben帳戶|Elsa帳戶|Ben代墊|Ariel代墊|中信銀行共用"")), ""內部轉帳(忽略)"",
  AND(E8346&lt;&gt;"""", F8346&lt;&gt;"""", N"&amp;"OT(REGEXMATCH(C8346, ""薪資""))), ""內部轉帳(忽略)"",
  REGEXMATCH(C8346, ""薪資""), ""薪資變動(不計入)"",
  REGEXMATCH(C8346, ""押金""), ""押金往來"",
  AND(E8346&lt;&gt;"""", F8346=""""), ""真實支出"",
  AND(E8346="""", F8346&lt;&gt;""""), ""真實收入"",
  TRUE, ""其他""
)"),"其他")</f>
        <v>其他</v>
      </c>
      <c r="K8346" s="270" t="str">
        <f t="shared" si="2"/>
        <v/>
      </c>
      <c r="L8346">
        <f t="shared" si="3"/>
        <v>0</v>
      </c>
    </row>
    <row r="8347">
      <c r="A8347" s="107"/>
      <c r="D8347" s="270"/>
      <c r="H8347" s="106" t="str">
        <f t="shared" si="1"/>
        <v/>
      </c>
      <c r="J8347" t="str">
        <f>IFERROR(__xludf.DUMMYFUNCTION("IFS(
  AND(REGEXMATCH(E8347, ""台銀籌備帳戶|玉山帳戶""), REGEXMATCH(C8347, ""薪資"")), ""分潤支出"",
  AND(REGEXMATCH(E8347, ""Ben帳戶|Elsa帳戶|Ben代墊|Ariel代墊|中信銀行共用""), REGEXMATCH(F8347, ""Ben帳戶|Elsa帳戶|Ben代墊|Ariel代墊|中信銀行共用"")), ""內部轉帳(忽略)"",
  AND(E8347&lt;&gt;"""", F8347&lt;&gt;"""", N"&amp;"OT(REGEXMATCH(C8347, ""薪資""))), ""內部轉帳(忽略)"",
  REGEXMATCH(C8347, ""薪資""), ""薪資變動(不計入)"",
  REGEXMATCH(C8347, ""押金""), ""押金往來"",
  AND(E8347&lt;&gt;"""", F8347=""""), ""真實支出"",
  AND(E8347="""", F8347&lt;&gt;""""), ""真實收入"",
  TRUE, ""其他""
)"),"其他")</f>
        <v>其他</v>
      </c>
      <c r="K8347" s="270" t="str">
        <f t="shared" si="2"/>
        <v/>
      </c>
      <c r="L8347">
        <f t="shared" si="3"/>
        <v>0</v>
      </c>
    </row>
    <row r="8348">
      <c r="A8348" s="107"/>
      <c r="D8348" s="270"/>
      <c r="H8348" s="106" t="str">
        <f t="shared" si="1"/>
        <v/>
      </c>
      <c r="J8348" t="str">
        <f>IFERROR(__xludf.DUMMYFUNCTION("IFS(
  AND(REGEXMATCH(E8348, ""台銀籌備帳戶|玉山帳戶""), REGEXMATCH(C8348, ""薪資"")), ""分潤支出"",
  AND(REGEXMATCH(E8348, ""Ben帳戶|Elsa帳戶|Ben代墊|Ariel代墊|中信銀行共用""), REGEXMATCH(F8348, ""Ben帳戶|Elsa帳戶|Ben代墊|Ariel代墊|中信銀行共用"")), ""內部轉帳(忽略)"",
  AND(E8348&lt;&gt;"""", F8348&lt;&gt;"""", N"&amp;"OT(REGEXMATCH(C8348, ""薪資""))), ""內部轉帳(忽略)"",
  REGEXMATCH(C8348, ""薪資""), ""薪資變動(不計入)"",
  REGEXMATCH(C8348, ""押金""), ""押金往來"",
  AND(E8348&lt;&gt;"""", F8348=""""), ""真實支出"",
  AND(E8348="""", F8348&lt;&gt;""""), ""真實收入"",
  TRUE, ""其他""
)"),"其他")</f>
        <v>其他</v>
      </c>
      <c r="K8348" s="270" t="str">
        <f t="shared" si="2"/>
        <v/>
      </c>
      <c r="L8348">
        <f t="shared" si="3"/>
        <v>0</v>
      </c>
    </row>
    <row r="8349">
      <c r="A8349" s="107"/>
      <c r="D8349" s="270"/>
      <c r="H8349" s="106" t="str">
        <f t="shared" si="1"/>
        <v/>
      </c>
      <c r="J8349" t="str">
        <f>IFERROR(__xludf.DUMMYFUNCTION("IFS(
  AND(REGEXMATCH(E8349, ""台銀籌備帳戶|玉山帳戶""), REGEXMATCH(C8349, ""薪資"")), ""分潤支出"",
  AND(REGEXMATCH(E8349, ""Ben帳戶|Elsa帳戶|Ben代墊|Ariel代墊|中信銀行共用""), REGEXMATCH(F8349, ""Ben帳戶|Elsa帳戶|Ben代墊|Ariel代墊|中信銀行共用"")), ""內部轉帳(忽略)"",
  AND(E8349&lt;&gt;"""", F8349&lt;&gt;"""", N"&amp;"OT(REGEXMATCH(C8349, ""薪資""))), ""內部轉帳(忽略)"",
  REGEXMATCH(C8349, ""薪資""), ""薪資變動(不計入)"",
  REGEXMATCH(C8349, ""押金""), ""押金往來"",
  AND(E8349&lt;&gt;"""", F8349=""""), ""真實支出"",
  AND(E8349="""", F8349&lt;&gt;""""), ""真實收入"",
  TRUE, ""其他""
)"),"其他")</f>
        <v>其他</v>
      </c>
      <c r="K8349" s="270" t="str">
        <f t="shared" si="2"/>
        <v/>
      </c>
      <c r="L8349">
        <f t="shared" si="3"/>
        <v>0</v>
      </c>
    </row>
    <row r="8350">
      <c r="A8350" s="107"/>
      <c r="D8350" s="270"/>
      <c r="H8350" s="106" t="str">
        <f t="shared" si="1"/>
        <v/>
      </c>
      <c r="J8350" t="str">
        <f>IFERROR(__xludf.DUMMYFUNCTION("IFS(
  AND(REGEXMATCH(E8350, ""台銀籌備帳戶|玉山帳戶""), REGEXMATCH(C8350, ""薪資"")), ""分潤支出"",
  AND(REGEXMATCH(E8350, ""Ben帳戶|Elsa帳戶|Ben代墊|Ariel代墊|中信銀行共用""), REGEXMATCH(F8350, ""Ben帳戶|Elsa帳戶|Ben代墊|Ariel代墊|中信銀行共用"")), ""內部轉帳(忽略)"",
  AND(E8350&lt;&gt;"""", F8350&lt;&gt;"""", N"&amp;"OT(REGEXMATCH(C8350, ""薪資""))), ""內部轉帳(忽略)"",
  REGEXMATCH(C8350, ""薪資""), ""薪資變動(不計入)"",
  REGEXMATCH(C8350, ""押金""), ""押金往來"",
  AND(E8350&lt;&gt;"""", F8350=""""), ""真實支出"",
  AND(E8350="""", F8350&lt;&gt;""""), ""真實收入"",
  TRUE, ""其他""
)"),"其他")</f>
        <v>其他</v>
      </c>
      <c r="K8350" s="270" t="str">
        <f t="shared" si="2"/>
        <v/>
      </c>
      <c r="L8350">
        <f t="shared" si="3"/>
        <v>0</v>
      </c>
    </row>
    <row r="8351">
      <c r="A8351" s="107"/>
      <c r="D8351" s="270"/>
      <c r="H8351" s="106" t="str">
        <f t="shared" si="1"/>
        <v/>
      </c>
      <c r="J8351" t="str">
        <f>IFERROR(__xludf.DUMMYFUNCTION("IFS(
  AND(REGEXMATCH(E8351, ""台銀籌備帳戶|玉山帳戶""), REGEXMATCH(C8351, ""薪資"")), ""分潤支出"",
  AND(REGEXMATCH(E8351, ""Ben帳戶|Elsa帳戶|Ben代墊|Ariel代墊|中信銀行共用""), REGEXMATCH(F8351, ""Ben帳戶|Elsa帳戶|Ben代墊|Ariel代墊|中信銀行共用"")), ""內部轉帳(忽略)"",
  AND(E8351&lt;&gt;"""", F8351&lt;&gt;"""", N"&amp;"OT(REGEXMATCH(C8351, ""薪資""))), ""內部轉帳(忽略)"",
  REGEXMATCH(C8351, ""薪資""), ""薪資變動(不計入)"",
  REGEXMATCH(C8351, ""押金""), ""押金往來"",
  AND(E8351&lt;&gt;"""", F8351=""""), ""真實支出"",
  AND(E8351="""", F8351&lt;&gt;""""), ""真實收入"",
  TRUE, ""其他""
)"),"其他")</f>
        <v>其他</v>
      </c>
      <c r="K8351" s="270" t="str">
        <f t="shared" si="2"/>
        <v/>
      </c>
      <c r="L8351">
        <f t="shared" si="3"/>
        <v>0</v>
      </c>
    </row>
    <row r="8352">
      <c r="A8352" s="107"/>
      <c r="D8352" s="270"/>
      <c r="H8352" s="106" t="str">
        <f t="shared" si="1"/>
        <v/>
      </c>
      <c r="J8352" t="str">
        <f>IFERROR(__xludf.DUMMYFUNCTION("IFS(
  AND(REGEXMATCH(E8352, ""台銀籌備帳戶|玉山帳戶""), REGEXMATCH(C8352, ""薪資"")), ""分潤支出"",
  AND(REGEXMATCH(E8352, ""Ben帳戶|Elsa帳戶|Ben代墊|Ariel代墊|中信銀行共用""), REGEXMATCH(F8352, ""Ben帳戶|Elsa帳戶|Ben代墊|Ariel代墊|中信銀行共用"")), ""內部轉帳(忽略)"",
  AND(E8352&lt;&gt;"""", F8352&lt;&gt;"""", N"&amp;"OT(REGEXMATCH(C8352, ""薪資""))), ""內部轉帳(忽略)"",
  REGEXMATCH(C8352, ""薪資""), ""薪資變動(不計入)"",
  REGEXMATCH(C8352, ""押金""), ""押金往來"",
  AND(E8352&lt;&gt;"""", F8352=""""), ""真實支出"",
  AND(E8352="""", F8352&lt;&gt;""""), ""真實收入"",
  TRUE, ""其他""
)"),"其他")</f>
        <v>其他</v>
      </c>
      <c r="K8352" s="270" t="str">
        <f t="shared" si="2"/>
        <v/>
      </c>
      <c r="L8352">
        <f t="shared" si="3"/>
        <v>0</v>
      </c>
    </row>
    <row r="8353">
      <c r="A8353" s="107"/>
      <c r="D8353" s="270"/>
      <c r="H8353" s="106" t="str">
        <f t="shared" si="1"/>
        <v/>
      </c>
      <c r="J8353" t="str">
        <f>IFERROR(__xludf.DUMMYFUNCTION("IFS(
  AND(REGEXMATCH(E8353, ""台銀籌備帳戶|玉山帳戶""), REGEXMATCH(C8353, ""薪資"")), ""分潤支出"",
  AND(REGEXMATCH(E8353, ""Ben帳戶|Elsa帳戶|Ben代墊|Ariel代墊|中信銀行共用""), REGEXMATCH(F8353, ""Ben帳戶|Elsa帳戶|Ben代墊|Ariel代墊|中信銀行共用"")), ""內部轉帳(忽略)"",
  AND(E8353&lt;&gt;"""", F8353&lt;&gt;"""", N"&amp;"OT(REGEXMATCH(C8353, ""薪資""))), ""內部轉帳(忽略)"",
  REGEXMATCH(C8353, ""薪資""), ""薪資變動(不計入)"",
  REGEXMATCH(C8353, ""押金""), ""押金往來"",
  AND(E8353&lt;&gt;"""", F8353=""""), ""真實支出"",
  AND(E8353="""", F8353&lt;&gt;""""), ""真實收入"",
  TRUE, ""其他""
)"),"其他")</f>
        <v>其他</v>
      </c>
      <c r="K8353" s="270" t="str">
        <f t="shared" si="2"/>
        <v/>
      </c>
      <c r="L8353">
        <f t="shared" si="3"/>
        <v>0</v>
      </c>
    </row>
    <row r="8354">
      <c r="A8354" s="107"/>
      <c r="D8354" s="270"/>
      <c r="H8354" s="106" t="str">
        <f t="shared" si="1"/>
        <v/>
      </c>
      <c r="J8354" t="str">
        <f>IFERROR(__xludf.DUMMYFUNCTION("IFS(
  AND(REGEXMATCH(E8354, ""台銀籌備帳戶|玉山帳戶""), REGEXMATCH(C8354, ""薪資"")), ""分潤支出"",
  AND(REGEXMATCH(E8354, ""Ben帳戶|Elsa帳戶|Ben代墊|Ariel代墊|中信銀行共用""), REGEXMATCH(F8354, ""Ben帳戶|Elsa帳戶|Ben代墊|Ariel代墊|中信銀行共用"")), ""內部轉帳(忽略)"",
  AND(E8354&lt;&gt;"""", F8354&lt;&gt;"""", N"&amp;"OT(REGEXMATCH(C8354, ""薪資""))), ""內部轉帳(忽略)"",
  REGEXMATCH(C8354, ""薪資""), ""薪資變動(不計入)"",
  REGEXMATCH(C8354, ""押金""), ""押金往來"",
  AND(E8354&lt;&gt;"""", F8354=""""), ""真實支出"",
  AND(E8354="""", F8354&lt;&gt;""""), ""真實收入"",
  TRUE, ""其他""
)"),"其他")</f>
        <v>其他</v>
      </c>
      <c r="K8354" s="270" t="str">
        <f t="shared" si="2"/>
        <v/>
      </c>
      <c r="L8354">
        <f t="shared" si="3"/>
        <v>0</v>
      </c>
    </row>
    <row r="8355">
      <c r="A8355" s="107"/>
      <c r="D8355" s="270"/>
      <c r="H8355" s="106" t="str">
        <f t="shared" si="1"/>
        <v/>
      </c>
      <c r="J8355" t="str">
        <f>IFERROR(__xludf.DUMMYFUNCTION("IFS(
  AND(REGEXMATCH(E8355, ""台銀籌備帳戶|玉山帳戶""), REGEXMATCH(C8355, ""薪資"")), ""分潤支出"",
  AND(REGEXMATCH(E8355, ""Ben帳戶|Elsa帳戶|Ben代墊|Ariel代墊|中信銀行共用""), REGEXMATCH(F8355, ""Ben帳戶|Elsa帳戶|Ben代墊|Ariel代墊|中信銀行共用"")), ""內部轉帳(忽略)"",
  AND(E8355&lt;&gt;"""", F8355&lt;&gt;"""", N"&amp;"OT(REGEXMATCH(C8355, ""薪資""))), ""內部轉帳(忽略)"",
  REGEXMATCH(C8355, ""薪資""), ""薪資變動(不計入)"",
  REGEXMATCH(C8355, ""押金""), ""押金往來"",
  AND(E8355&lt;&gt;"""", F8355=""""), ""真實支出"",
  AND(E8355="""", F8355&lt;&gt;""""), ""真實收入"",
  TRUE, ""其他""
)"),"其他")</f>
        <v>其他</v>
      </c>
      <c r="K8355" s="270" t="str">
        <f t="shared" si="2"/>
        <v/>
      </c>
      <c r="L8355">
        <f t="shared" si="3"/>
        <v>0</v>
      </c>
    </row>
    <row r="8356">
      <c r="A8356" s="107"/>
      <c r="D8356" s="270"/>
      <c r="H8356" s="106" t="str">
        <f t="shared" si="1"/>
        <v/>
      </c>
      <c r="J8356" t="str">
        <f>IFERROR(__xludf.DUMMYFUNCTION("IFS(
  AND(REGEXMATCH(E8356, ""台銀籌備帳戶|玉山帳戶""), REGEXMATCH(C8356, ""薪資"")), ""分潤支出"",
  AND(REGEXMATCH(E8356, ""Ben帳戶|Elsa帳戶|Ben代墊|Ariel代墊|中信銀行共用""), REGEXMATCH(F8356, ""Ben帳戶|Elsa帳戶|Ben代墊|Ariel代墊|中信銀行共用"")), ""內部轉帳(忽略)"",
  AND(E8356&lt;&gt;"""", F8356&lt;&gt;"""", N"&amp;"OT(REGEXMATCH(C8356, ""薪資""))), ""內部轉帳(忽略)"",
  REGEXMATCH(C8356, ""薪資""), ""薪資變動(不計入)"",
  REGEXMATCH(C8356, ""押金""), ""押金往來"",
  AND(E8356&lt;&gt;"""", F8356=""""), ""真實支出"",
  AND(E8356="""", F8356&lt;&gt;""""), ""真實收入"",
  TRUE, ""其他""
)"),"其他")</f>
        <v>其他</v>
      </c>
      <c r="K8356" s="270" t="str">
        <f t="shared" si="2"/>
        <v/>
      </c>
      <c r="L8356">
        <f t="shared" si="3"/>
        <v>0</v>
      </c>
    </row>
    <row r="8357">
      <c r="A8357" s="107"/>
      <c r="D8357" s="270"/>
      <c r="H8357" s="106" t="str">
        <f t="shared" si="1"/>
        <v/>
      </c>
      <c r="J8357" t="str">
        <f>IFERROR(__xludf.DUMMYFUNCTION("IFS(
  AND(REGEXMATCH(E8357, ""台銀籌備帳戶|玉山帳戶""), REGEXMATCH(C8357, ""薪資"")), ""分潤支出"",
  AND(REGEXMATCH(E8357, ""Ben帳戶|Elsa帳戶|Ben代墊|Ariel代墊|中信銀行共用""), REGEXMATCH(F8357, ""Ben帳戶|Elsa帳戶|Ben代墊|Ariel代墊|中信銀行共用"")), ""內部轉帳(忽略)"",
  AND(E8357&lt;&gt;"""", F8357&lt;&gt;"""", N"&amp;"OT(REGEXMATCH(C8357, ""薪資""))), ""內部轉帳(忽略)"",
  REGEXMATCH(C8357, ""薪資""), ""薪資變動(不計入)"",
  REGEXMATCH(C8357, ""押金""), ""押金往來"",
  AND(E8357&lt;&gt;"""", F8357=""""), ""真實支出"",
  AND(E8357="""", F8357&lt;&gt;""""), ""真實收入"",
  TRUE, ""其他""
)"),"其他")</f>
        <v>其他</v>
      </c>
      <c r="K8357" s="270" t="str">
        <f t="shared" si="2"/>
        <v/>
      </c>
      <c r="L8357">
        <f t="shared" si="3"/>
        <v>0</v>
      </c>
    </row>
    <row r="8358">
      <c r="A8358" s="107"/>
      <c r="D8358" s="270"/>
      <c r="H8358" s="106" t="str">
        <f t="shared" si="1"/>
        <v/>
      </c>
      <c r="J8358" t="str">
        <f>IFERROR(__xludf.DUMMYFUNCTION("IFS(
  AND(REGEXMATCH(E8358, ""台銀籌備帳戶|玉山帳戶""), REGEXMATCH(C8358, ""薪資"")), ""分潤支出"",
  AND(REGEXMATCH(E8358, ""Ben帳戶|Elsa帳戶|Ben代墊|Ariel代墊|中信銀行共用""), REGEXMATCH(F8358, ""Ben帳戶|Elsa帳戶|Ben代墊|Ariel代墊|中信銀行共用"")), ""內部轉帳(忽略)"",
  AND(E8358&lt;&gt;"""", F8358&lt;&gt;"""", N"&amp;"OT(REGEXMATCH(C8358, ""薪資""))), ""內部轉帳(忽略)"",
  REGEXMATCH(C8358, ""薪資""), ""薪資變動(不計入)"",
  REGEXMATCH(C8358, ""押金""), ""押金往來"",
  AND(E8358&lt;&gt;"""", F8358=""""), ""真實支出"",
  AND(E8358="""", F8358&lt;&gt;""""), ""真實收入"",
  TRUE, ""其他""
)"),"其他")</f>
        <v>其他</v>
      </c>
      <c r="K8358" s="270" t="str">
        <f t="shared" si="2"/>
        <v/>
      </c>
      <c r="L8358">
        <f t="shared" si="3"/>
        <v>0</v>
      </c>
    </row>
    <row r="8359">
      <c r="A8359" s="107"/>
      <c r="D8359" s="270"/>
      <c r="H8359" s="106" t="str">
        <f t="shared" si="1"/>
        <v/>
      </c>
      <c r="J8359" t="str">
        <f>IFERROR(__xludf.DUMMYFUNCTION("IFS(
  AND(REGEXMATCH(E8359, ""台銀籌備帳戶|玉山帳戶""), REGEXMATCH(C8359, ""薪資"")), ""分潤支出"",
  AND(REGEXMATCH(E8359, ""Ben帳戶|Elsa帳戶|Ben代墊|Ariel代墊|中信銀行共用""), REGEXMATCH(F8359, ""Ben帳戶|Elsa帳戶|Ben代墊|Ariel代墊|中信銀行共用"")), ""內部轉帳(忽略)"",
  AND(E8359&lt;&gt;"""", F8359&lt;&gt;"""", N"&amp;"OT(REGEXMATCH(C8359, ""薪資""))), ""內部轉帳(忽略)"",
  REGEXMATCH(C8359, ""薪資""), ""薪資變動(不計入)"",
  REGEXMATCH(C8359, ""押金""), ""押金往來"",
  AND(E8359&lt;&gt;"""", F8359=""""), ""真實支出"",
  AND(E8359="""", F8359&lt;&gt;""""), ""真實收入"",
  TRUE, ""其他""
)"),"其他")</f>
        <v>其他</v>
      </c>
      <c r="K8359" s="270" t="str">
        <f t="shared" si="2"/>
        <v/>
      </c>
      <c r="L8359">
        <f t="shared" si="3"/>
        <v>0</v>
      </c>
    </row>
    <row r="8360">
      <c r="A8360" s="107"/>
      <c r="D8360" s="270"/>
      <c r="H8360" s="106" t="str">
        <f t="shared" si="1"/>
        <v/>
      </c>
      <c r="J8360" t="str">
        <f>IFERROR(__xludf.DUMMYFUNCTION("IFS(
  AND(REGEXMATCH(E8360, ""台銀籌備帳戶|玉山帳戶""), REGEXMATCH(C8360, ""薪資"")), ""分潤支出"",
  AND(REGEXMATCH(E8360, ""Ben帳戶|Elsa帳戶|Ben代墊|Ariel代墊|中信銀行共用""), REGEXMATCH(F8360, ""Ben帳戶|Elsa帳戶|Ben代墊|Ariel代墊|中信銀行共用"")), ""內部轉帳(忽略)"",
  AND(E8360&lt;&gt;"""", F8360&lt;&gt;"""", N"&amp;"OT(REGEXMATCH(C8360, ""薪資""))), ""內部轉帳(忽略)"",
  REGEXMATCH(C8360, ""薪資""), ""薪資變動(不計入)"",
  REGEXMATCH(C8360, ""押金""), ""押金往來"",
  AND(E8360&lt;&gt;"""", F8360=""""), ""真實支出"",
  AND(E8360="""", F8360&lt;&gt;""""), ""真實收入"",
  TRUE, ""其他""
)"),"其他")</f>
        <v>其他</v>
      </c>
      <c r="K8360" s="270" t="str">
        <f t="shared" si="2"/>
        <v/>
      </c>
      <c r="L8360">
        <f t="shared" si="3"/>
        <v>0</v>
      </c>
    </row>
    <row r="8361">
      <c r="A8361" s="107"/>
      <c r="D8361" s="270"/>
      <c r="H8361" s="106" t="str">
        <f t="shared" si="1"/>
        <v/>
      </c>
      <c r="J8361" t="str">
        <f>IFERROR(__xludf.DUMMYFUNCTION("IFS(
  AND(REGEXMATCH(E8361, ""台銀籌備帳戶|玉山帳戶""), REGEXMATCH(C8361, ""薪資"")), ""分潤支出"",
  AND(REGEXMATCH(E8361, ""Ben帳戶|Elsa帳戶|Ben代墊|Ariel代墊|中信銀行共用""), REGEXMATCH(F8361, ""Ben帳戶|Elsa帳戶|Ben代墊|Ariel代墊|中信銀行共用"")), ""內部轉帳(忽略)"",
  AND(E8361&lt;&gt;"""", F8361&lt;&gt;"""", N"&amp;"OT(REGEXMATCH(C8361, ""薪資""))), ""內部轉帳(忽略)"",
  REGEXMATCH(C8361, ""薪資""), ""薪資變動(不計入)"",
  REGEXMATCH(C8361, ""押金""), ""押金往來"",
  AND(E8361&lt;&gt;"""", F8361=""""), ""真實支出"",
  AND(E8361="""", F8361&lt;&gt;""""), ""真實收入"",
  TRUE, ""其他""
)"),"其他")</f>
        <v>其他</v>
      </c>
      <c r="K8361" s="270" t="str">
        <f t="shared" si="2"/>
        <v/>
      </c>
      <c r="L8361">
        <f t="shared" si="3"/>
        <v>0</v>
      </c>
    </row>
    <row r="8362">
      <c r="A8362" s="107"/>
      <c r="D8362" s="270"/>
      <c r="H8362" s="106" t="str">
        <f t="shared" si="1"/>
        <v/>
      </c>
      <c r="J8362" t="str">
        <f>IFERROR(__xludf.DUMMYFUNCTION("IFS(
  AND(REGEXMATCH(E8362, ""台銀籌備帳戶|玉山帳戶""), REGEXMATCH(C8362, ""薪資"")), ""分潤支出"",
  AND(REGEXMATCH(E8362, ""Ben帳戶|Elsa帳戶|Ben代墊|Ariel代墊|中信銀行共用""), REGEXMATCH(F8362, ""Ben帳戶|Elsa帳戶|Ben代墊|Ariel代墊|中信銀行共用"")), ""內部轉帳(忽略)"",
  AND(E8362&lt;&gt;"""", F8362&lt;&gt;"""", N"&amp;"OT(REGEXMATCH(C8362, ""薪資""))), ""內部轉帳(忽略)"",
  REGEXMATCH(C8362, ""薪資""), ""薪資變動(不計入)"",
  REGEXMATCH(C8362, ""押金""), ""押金往來"",
  AND(E8362&lt;&gt;"""", F8362=""""), ""真實支出"",
  AND(E8362="""", F8362&lt;&gt;""""), ""真實收入"",
  TRUE, ""其他""
)"),"其他")</f>
        <v>其他</v>
      </c>
      <c r="K8362" s="270" t="str">
        <f t="shared" si="2"/>
        <v/>
      </c>
      <c r="L8362">
        <f t="shared" si="3"/>
        <v>0</v>
      </c>
    </row>
    <row r="8363">
      <c r="A8363" s="107"/>
      <c r="D8363" s="270"/>
      <c r="H8363" s="106" t="str">
        <f t="shared" si="1"/>
        <v/>
      </c>
      <c r="J8363" t="str">
        <f>IFERROR(__xludf.DUMMYFUNCTION("IFS(
  AND(REGEXMATCH(E8363, ""台銀籌備帳戶|玉山帳戶""), REGEXMATCH(C8363, ""薪資"")), ""分潤支出"",
  AND(REGEXMATCH(E8363, ""Ben帳戶|Elsa帳戶|Ben代墊|Ariel代墊|中信銀行共用""), REGEXMATCH(F8363, ""Ben帳戶|Elsa帳戶|Ben代墊|Ariel代墊|中信銀行共用"")), ""內部轉帳(忽略)"",
  AND(E8363&lt;&gt;"""", F8363&lt;&gt;"""", N"&amp;"OT(REGEXMATCH(C8363, ""薪資""))), ""內部轉帳(忽略)"",
  REGEXMATCH(C8363, ""薪資""), ""薪資變動(不計入)"",
  REGEXMATCH(C8363, ""押金""), ""押金往來"",
  AND(E8363&lt;&gt;"""", F8363=""""), ""真實支出"",
  AND(E8363="""", F8363&lt;&gt;""""), ""真實收入"",
  TRUE, ""其他""
)"),"其他")</f>
        <v>其他</v>
      </c>
      <c r="K8363" s="270" t="str">
        <f t="shared" si="2"/>
        <v/>
      </c>
      <c r="L8363">
        <f t="shared" si="3"/>
        <v>0</v>
      </c>
    </row>
    <row r="8364">
      <c r="A8364" s="107"/>
      <c r="D8364" s="270"/>
      <c r="H8364" s="106" t="str">
        <f t="shared" si="1"/>
        <v/>
      </c>
      <c r="J8364" t="str">
        <f>IFERROR(__xludf.DUMMYFUNCTION("IFS(
  AND(REGEXMATCH(E8364, ""台銀籌備帳戶|玉山帳戶""), REGEXMATCH(C8364, ""薪資"")), ""分潤支出"",
  AND(REGEXMATCH(E8364, ""Ben帳戶|Elsa帳戶|Ben代墊|Ariel代墊|中信銀行共用""), REGEXMATCH(F8364, ""Ben帳戶|Elsa帳戶|Ben代墊|Ariel代墊|中信銀行共用"")), ""內部轉帳(忽略)"",
  AND(E8364&lt;&gt;"""", F8364&lt;&gt;"""", N"&amp;"OT(REGEXMATCH(C8364, ""薪資""))), ""內部轉帳(忽略)"",
  REGEXMATCH(C8364, ""薪資""), ""薪資變動(不計入)"",
  REGEXMATCH(C8364, ""押金""), ""押金往來"",
  AND(E8364&lt;&gt;"""", F8364=""""), ""真實支出"",
  AND(E8364="""", F8364&lt;&gt;""""), ""真實收入"",
  TRUE, ""其他""
)"),"其他")</f>
        <v>其他</v>
      </c>
      <c r="K8364" s="270" t="str">
        <f t="shared" si="2"/>
        <v/>
      </c>
      <c r="L8364">
        <f t="shared" si="3"/>
        <v>0</v>
      </c>
    </row>
    <row r="8365">
      <c r="A8365" s="107"/>
      <c r="D8365" s="270"/>
      <c r="H8365" s="106" t="str">
        <f t="shared" si="1"/>
        <v/>
      </c>
      <c r="J8365" t="str">
        <f>IFERROR(__xludf.DUMMYFUNCTION("IFS(
  AND(REGEXMATCH(E8365, ""台銀籌備帳戶|玉山帳戶""), REGEXMATCH(C8365, ""薪資"")), ""分潤支出"",
  AND(REGEXMATCH(E8365, ""Ben帳戶|Elsa帳戶|Ben代墊|Ariel代墊|中信銀行共用""), REGEXMATCH(F8365, ""Ben帳戶|Elsa帳戶|Ben代墊|Ariel代墊|中信銀行共用"")), ""內部轉帳(忽略)"",
  AND(E8365&lt;&gt;"""", F8365&lt;&gt;"""", N"&amp;"OT(REGEXMATCH(C8365, ""薪資""))), ""內部轉帳(忽略)"",
  REGEXMATCH(C8365, ""薪資""), ""薪資變動(不計入)"",
  REGEXMATCH(C8365, ""押金""), ""押金往來"",
  AND(E8365&lt;&gt;"""", F8365=""""), ""真實支出"",
  AND(E8365="""", F8365&lt;&gt;""""), ""真實收入"",
  TRUE, ""其他""
)"),"其他")</f>
        <v>其他</v>
      </c>
      <c r="K8365" s="270" t="str">
        <f t="shared" si="2"/>
        <v/>
      </c>
      <c r="L8365">
        <f t="shared" si="3"/>
        <v>0</v>
      </c>
    </row>
    <row r="8366">
      <c r="A8366" s="107"/>
      <c r="D8366" s="270"/>
      <c r="H8366" s="106" t="str">
        <f t="shared" si="1"/>
        <v/>
      </c>
      <c r="J8366" t="str">
        <f>IFERROR(__xludf.DUMMYFUNCTION("IFS(
  AND(REGEXMATCH(E8366, ""台銀籌備帳戶|玉山帳戶""), REGEXMATCH(C8366, ""薪資"")), ""分潤支出"",
  AND(REGEXMATCH(E8366, ""Ben帳戶|Elsa帳戶|Ben代墊|Ariel代墊|中信銀行共用""), REGEXMATCH(F8366, ""Ben帳戶|Elsa帳戶|Ben代墊|Ariel代墊|中信銀行共用"")), ""內部轉帳(忽略)"",
  AND(E8366&lt;&gt;"""", F8366&lt;&gt;"""", N"&amp;"OT(REGEXMATCH(C8366, ""薪資""))), ""內部轉帳(忽略)"",
  REGEXMATCH(C8366, ""薪資""), ""薪資變動(不計入)"",
  REGEXMATCH(C8366, ""押金""), ""押金往來"",
  AND(E8366&lt;&gt;"""", F8366=""""), ""真實支出"",
  AND(E8366="""", F8366&lt;&gt;""""), ""真實收入"",
  TRUE, ""其他""
)"),"其他")</f>
        <v>其他</v>
      </c>
      <c r="K8366" s="270" t="str">
        <f t="shared" si="2"/>
        <v/>
      </c>
      <c r="L8366">
        <f t="shared" si="3"/>
        <v>0</v>
      </c>
    </row>
    <row r="8367">
      <c r="A8367" s="107"/>
      <c r="D8367" s="270"/>
      <c r="H8367" s="106" t="str">
        <f t="shared" si="1"/>
        <v/>
      </c>
      <c r="J8367" t="str">
        <f>IFERROR(__xludf.DUMMYFUNCTION("IFS(
  AND(REGEXMATCH(E8367, ""台銀籌備帳戶|玉山帳戶""), REGEXMATCH(C8367, ""薪資"")), ""分潤支出"",
  AND(REGEXMATCH(E8367, ""Ben帳戶|Elsa帳戶|Ben代墊|Ariel代墊|中信銀行共用""), REGEXMATCH(F8367, ""Ben帳戶|Elsa帳戶|Ben代墊|Ariel代墊|中信銀行共用"")), ""內部轉帳(忽略)"",
  AND(E8367&lt;&gt;"""", F8367&lt;&gt;"""", N"&amp;"OT(REGEXMATCH(C8367, ""薪資""))), ""內部轉帳(忽略)"",
  REGEXMATCH(C8367, ""薪資""), ""薪資變動(不計入)"",
  REGEXMATCH(C8367, ""押金""), ""押金往來"",
  AND(E8367&lt;&gt;"""", F8367=""""), ""真實支出"",
  AND(E8367="""", F8367&lt;&gt;""""), ""真實收入"",
  TRUE, ""其他""
)"),"其他")</f>
        <v>其他</v>
      </c>
      <c r="K8367" s="270" t="str">
        <f t="shared" si="2"/>
        <v/>
      </c>
      <c r="L8367">
        <f t="shared" si="3"/>
        <v>0</v>
      </c>
    </row>
    <row r="8368">
      <c r="A8368" s="107"/>
      <c r="D8368" s="270"/>
      <c r="H8368" s="106" t="str">
        <f t="shared" si="1"/>
        <v/>
      </c>
      <c r="J8368" t="str">
        <f>IFERROR(__xludf.DUMMYFUNCTION("IFS(
  AND(REGEXMATCH(E8368, ""台銀籌備帳戶|玉山帳戶""), REGEXMATCH(C8368, ""薪資"")), ""分潤支出"",
  AND(REGEXMATCH(E8368, ""Ben帳戶|Elsa帳戶|Ben代墊|Ariel代墊|中信銀行共用""), REGEXMATCH(F8368, ""Ben帳戶|Elsa帳戶|Ben代墊|Ariel代墊|中信銀行共用"")), ""內部轉帳(忽略)"",
  AND(E8368&lt;&gt;"""", F8368&lt;&gt;"""", N"&amp;"OT(REGEXMATCH(C8368, ""薪資""))), ""內部轉帳(忽略)"",
  REGEXMATCH(C8368, ""薪資""), ""薪資變動(不計入)"",
  REGEXMATCH(C8368, ""押金""), ""押金往來"",
  AND(E8368&lt;&gt;"""", F8368=""""), ""真實支出"",
  AND(E8368="""", F8368&lt;&gt;""""), ""真實收入"",
  TRUE, ""其他""
)"),"其他")</f>
        <v>其他</v>
      </c>
      <c r="K8368" s="270" t="str">
        <f t="shared" si="2"/>
        <v/>
      </c>
      <c r="L8368">
        <f t="shared" si="3"/>
        <v>0</v>
      </c>
    </row>
    <row r="8369">
      <c r="A8369" s="107"/>
      <c r="D8369" s="270"/>
      <c r="H8369" s="106" t="str">
        <f t="shared" si="1"/>
        <v/>
      </c>
      <c r="J8369" t="str">
        <f>IFERROR(__xludf.DUMMYFUNCTION("IFS(
  AND(REGEXMATCH(E8369, ""台銀籌備帳戶|玉山帳戶""), REGEXMATCH(C8369, ""薪資"")), ""分潤支出"",
  AND(REGEXMATCH(E8369, ""Ben帳戶|Elsa帳戶|Ben代墊|Ariel代墊|中信銀行共用""), REGEXMATCH(F8369, ""Ben帳戶|Elsa帳戶|Ben代墊|Ariel代墊|中信銀行共用"")), ""內部轉帳(忽略)"",
  AND(E8369&lt;&gt;"""", F8369&lt;&gt;"""", N"&amp;"OT(REGEXMATCH(C8369, ""薪資""))), ""內部轉帳(忽略)"",
  REGEXMATCH(C8369, ""薪資""), ""薪資變動(不計入)"",
  REGEXMATCH(C8369, ""押金""), ""押金往來"",
  AND(E8369&lt;&gt;"""", F8369=""""), ""真實支出"",
  AND(E8369="""", F8369&lt;&gt;""""), ""真實收入"",
  TRUE, ""其他""
)"),"其他")</f>
        <v>其他</v>
      </c>
      <c r="K8369" s="270" t="str">
        <f t="shared" si="2"/>
        <v/>
      </c>
      <c r="L8369">
        <f t="shared" si="3"/>
        <v>0</v>
      </c>
    </row>
    <row r="8370">
      <c r="A8370" s="107"/>
      <c r="D8370" s="270"/>
      <c r="H8370" s="106" t="str">
        <f t="shared" si="1"/>
        <v/>
      </c>
      <c r="J8370" t="str">
        <f>IFERROR(__xludf.DUMMYFUNCTION("IFS(
  AND(REGEXMATCH(E8370, ""台銀籌備帳戶|玉山帳戶""), REGEXMATCH(C8370, ""薪資"")), ""分潤支出"",
  AND(REGEXMATCH(E8370, ""Ben帳戶|Elsa帳戶|Ben代墊|Ariel代墊|中信銀行共用""), REGEXMATCH(F8370, ""Ben帳戶|Elsa帳戶|Ben代墊|Ariel代墊|中信銀行共用"")), ""內部轉帳(忽略)"",
  AND(E8370&lt;&gt;"""", F8370&lt;&gt;"""", N"&amp;"OT(REGEXMATCH(C8370, ""薪資""))), ""內部轉帳(忽略)"",
  REGEXMATCH(C8370, ""薪資""), ""薪資變動(不計入)"",
  REGEXMATCH(C8370, ""押金""), ""押金往來"",
  AND(E8370&lt;&gt;"""", F8370=""""), ""真實支出"",
  AND(E8370="""", F8370&lt;&gt;""""), ""真實收入"",
  TRUE, ""其他""
)"),"其他")</f>
        <v>其他</v>
      </c>
      <c r="K8370" s="270" t="str">
        <f t="shared" si="2"/>
        <v/>
      </c>
      <c r="L8370">
        <f t="shared" si="3"/>
        <v>0</v>
      </c>
    </row>
    <row r="8371">
      <c r="A8371" s="107"/>
      <c r="D8371" s="270"/>
      <c r="H8371" s="106" t="str">
        <f t="shared" si="1"/>
        <v/>
      </c>
      <c r="J8371" t="str">
        <f>IFERROR(__xludf.DUMMYFUNCTION("IFS(
  AND(REGEXMATCH(E8371, ""台銀籌備帳戶|玉山帳戶""), REGEXMATCH(C8371, ""薪資"")), ""分潤支出"",
  AND(REGEXMATCH(E8371, ""Ben帳戶|Elsa帳戶|Ben代墊|Ariel代墊|中信銀行共用""), REGEXMATCH(F8371, ""Ben帳戶|Elsa帳戶|Ben代墊|Ariel代墊|中信銀行共用"")), ""內部轉帳(忽略)"",
  AND(E8371&lt;&gt;"""", F8371&lt;&gt;"""", N"&amp;"OT(REGEXMATCH(C8371, ""薪資""))), ""內部轉帳(忽略)"",
  REGEXMATCH(C8371, ""薪資""), ""薪資變動(不計入)"",
  REGEXMATCH(C8371, ""押金""), ""押金往來"",
  AND(E8371&lt;&gt;"""", F8371=""""), ""真實支出"",
  AND(E8371="""", F8371&lt;&gt;""""), ""真實收入"",
  TRUE, ""其他""
)"),"其他")</f>
        <v>其他</v>
      </c>
      <c r="K8371" s="270" t="str">
        <f t="shared" si="2"/>
        <v/>
      </c>
      <c r="L8371">
        <f t="shared" si="3"/>
        <v>0</v>
      </c>
    </row>
    <row r="8372">
      <c r="A8372" s="107"/>
      <c r="D8372" s="270"/>
      <c r="H8372" s="106" t="str">
        <f t="shared" si="1"/>
        <v/>
      </c>
      <c r="J8372" t="str">
        <f>IFERROR(__xludf.DUMMYFUNCTION("IFS(
  AND(REGEXMATCH(E8372, ""台銀籌備帳戶|玉山帳戶""), REGEXMATCH(C8372, ""薪資"")), ""分潤支出"",
  AND(REGEXMATCH(E8372, ""Ben帳戶|Elsa帳戶|Ben代墊|Ariel代墊|中信銀行共用""), REGEXMATCH(F8372, ""Ben帳戶|Elsa帳戶|Ben代墊|Ariel代墊|中信銀行共用"")), ""內部轉帳(忽略)"",
  AND(E8372&lt;&gt;"""", F8372&lt;&gt;"""", N"&amp;"OT(REGEXMATCH(C8372, ""薪資""))), ""內部轉帳(忽略)"",
  REGEXMATCH(C8372, ""薪資""), ""薪資變動(不計入)"",
  REGEXMATCH(C8372, ""押金""), ""押金往來"",
  AND(E8372&lt;&gt;"""", F8372=""""), ""真實支出"",
  AND(E8372="""", F8372&lt;&gt;""""), ""真實收入"",
  TRUE, ""其他""
)"),"其他")</f>
        <v>其他</v>
      </c>
      <c r="K8372" s="270" t="str">
        <f t="shared" si="2"/>
        <v/>
      </c>
      <c r="L8372">
        <f t="shared" si="3"/>
        <v>0</v>
      </c>
    </row>
    <row r="8373">
      <c r="A8373" s="107"/>
      <c r="D8373" s="270"/>
      <c r="H8373" s="106" t="str">
        <f t="shared" si="1"/>
        <v/>
      </c>
      <c r="J8373" t="str">
        <f>IFERROR(__xludf.DUMMYFUNCTION("IFS(
  AND(REGEXMATCH(E8373, ""台銀籌備帳戶|玉山帳戶""), REGEXMATCH(C8373, ""薪資"")), ""分潤支出"",
  AND(REGEXMATCH(E8373, ""Ben帳戶|Elsa帳戶|Ben代墊|Ariel代墊|中信銀行共用""), REGEXMATCH(F8373, ""Ben帳戶|Elsa帳戶|Ben代墊|Ariel代墊|中信銀行共用"")), ""內部轉帳(忽略)"",
  AND(E8373&lt;&gt;"""", F8373&lt;&gt;"""", N"&amp;"OT(REGEXMATCH(C8373, ""薪資""))), ""內部轉帳(忽略)"",
  REGEXMATCH(C8373, ""薪資""), ""薪資變動(不計入)"",
  REGEXMATCH(C8373, ""押金""), ""押金往來"",
  AND(E8373&lt;&gt;"""", F8373=""""), ""真實支出"",
  AND(E8373="""", F8373&lt;&gt;""""), ""真實收入"",
  TRUE, ""其他""
)"),"其他")</f>
        <v>其他</v>
      </c>
      <c r="K8373" s="270" t="str">
        <f t="shared" si="2"/>
        <v/>
      </c>
      <c r="L8373">
        <f t="shared" si="3"/>
        <v>0</v>
      </c>
    </row>
    <row r="8374">
      <c r="A8374" s="107"/>
      <c r="D8374" s="270"/>
      <c r="H8374" s="106" t="str">
        <f t="shared" si="1"/>
        <v/>
      </c>
      <c r="J8374" t="str">
        <f>IFERROR(__xludf.DUMMYFUNCTION("IFS(
  AND(REGEXMATCH(E8374, ""台銀籌備帳戶|玉山帳戶""), REGEXMATCH(C8374, ""薪資"")), ""分潤支出"",
  AND(REGEXMATCH(E8374, ""Ben帳戶|Elsa帳戶|Ben代墊|Ariel代墊|中信銀行共用""), REGEXMATCH(F8374, ""Ben帳戶|Elsa帳戶|Ben代墊|Ariel代墊|中信銀行共用"")), ""內部轉帳(忽略)"",
  AND(E8374&lt;&gt;"""", F8374&lt;&gt;"""", N"&amp;"OT(REGEXMATCH(C8374, ""薪資""))), ""內部轉帳(忽略)"",
  REGEXMATCH(C8374, ""薪資""), ""薪資變動(不計入)"",
  REGEXMATCH(C8374, ""押金""), ""押金往來"",
  AND(E8374&lt;&gt;"""", F8374=""""), ""真實支出"",
  AND(E8374="""", F8374&lt;&gt;""""), ""真實收入"",
  TRUE, ""其他""
)"),"其他")</f>
        <v>其他</v>
      </c>
      <c r="K8374" s="270" t="str">
        <f t="shared" si="2"/>
        <v/>
      </c>
      <c r="L8374">
        <f t="shared" si="3"/>
        <v>0</v>
      </c>
    </row>
    <row r="8375">
      <c r="A8375" s="107"/>
      <c r="D8375" s="270"/>
      <c r="H8375" s="106" t="str">
        <f t="shared" si="1"/>
        <v/>
      </c>
      <c r="J8375" t="str">
        <f>IFERROR(__xludf.DUMMYFUNCTION("IFS(
  AND(REGEXMATCH(E8375, ""台銀籌備帳戶|玉山帳戶""), REGEXMATCH(C8375, ""薪資"")), ""分潤支出"",
  AND(REGEXMATCH(E8375, ""Ben帳戶|Elsa帳戶|Ben代墊|Ariel代墊|中信銀行共用""), REGEXMATCH(F8375, ""Ben帳戶|Elsa帳戶|Ben代墊|Ariel代墊|中信銀行共用"")), ""內部轉帳(忽略)"",
  AND(E8375&lt;&gt;"""", F8375&lt;&gt;"""", N"&amp;"OT(REGEXMATCH(C8375, ""薪資""))), ""內部轉帳(忽略)"",
  REGEXMATCH(C8375, ""薪資""), ""薪資變動(不計入)"",
  REGEXMATCH(C8375, ""押金""), ""押金往來"",
  AND(E8375&lt;&gt;"""", F8375=""""), ""真實支出"",
  AND(E8375="""", F8375&lt;&gt;""""), ""真實收入"",
  TRUE, ""其他""
)"),"其他")</f>
        <v>其他</v>
      </c>
      <c r="K8375" s="270" t="str">
        <f t="shared" si="2"/>
        <v/>
      </c>
      <c r="L8375">
        <f t="shared" si="3"/>
        <v>0</v>
      </c>
    </row>
    <row r="8376">
      <c r="A8376" s="107"/>
      <c r="D8376" s="270"/>
      <c r="H8376" s="106" t="str">
        <f t="shared" si="1"/>
        <v/>
      </c>
      <c r="J8376" t="str">
        <f>IFERROR(__xludf.DUMMYFUNCTION("IFS(
  AND(REGEXMATCH(E8376, ""台銀籌備帳戶|玉山帳戶""), REGEXMATCH(C8376, ""薪資"")), ""分潤支出"",
  AND(REGEXMATCH(E8376, ""Ben帳戶|Elsa帳戶|Ben代墊|Ariel代墊|中信銀行共用""), REGEXMATCH(F8376, ""Ben帳戶|Elsa帳戶|Ben代墊|Ariel代墊|中信銀行共用"")), ""內部轉帳(忽略)"",
  AND(E8376&lt;&gt;"""", F8376&lt;&gt;"""", N"&amp;"OT(REGEXMATCH(C8376, ""薪資""))), ""內部轉帳(忽略)"",
  REGEXMATCH(C8376, ""薪資""), ""薪資變動(不計入)"",
  REGEXMATCH(C8376, ""押金""), ""押金往來"",
  AND(E8376&lt;&gt;"""", F8376=""""), ""真實支出"",
  AND(E8376="""", F8376&lt;&gt;""""), ""真實收入"",
  TRUE, ""其他""
)"),"其他")</f>
        <v>其他</v>
      </c>
      <c r="K8376" s="270" t="str">
        <f t="shared" si="2"/>
        <v/>
      </c>
      <c r="L8376">
        <f t="shared" si="3"/>
        <v>0</v>
      </c>
    </row>
    <row r="8377">
      <c r="A8377" s="107"/>
      <c r="D8377" s="270"/>
      <c r="H8377" s="106" t="str">
        <f t="shared" si="1"/>
        <v/>
      </c>
      <c r="J8377" t="str">
        <f>IFERROR(__xludf.DUMMYFUNCTION("IFS(
  AND(REGEXMATCH(E8377, ""台銀籌備帳戶|玉山帳戶""), REGEXMATCH(C8377, ""薪資"")), ""分潤支出"",
  AND(REGEXMATCH(E8377, ""Ben帳戶|Elsa帳戶|Ben代墊|Ariel代墊|中信銀行共用""), REGEXMATCH(F8377, ""Ben帳戶|Elsa帳戶|Ben代墊|Ariel代墊|中信銀行共用"")), ""內部轉帳(忽略)"",
  AND(E8377&lt;&gt;"""", F8377&lt;&gt;"""", N"&amp;"OT(REGEXMATCH(C8377, ""薪資""))), ""內部轉帳(忽略)"",
  REGEXMATCH(C8377, ""薪資""), ""薪資變動(不計入)"",
  REGEXMATCH(C8377, ""押金""), ""押金往來"",
  AND(E8377&lt;&gt;"""", F8377=""""), ""真實支出"",
  AND(E8377="""", F8377&lt;&gt;""""), ""真實收入"",
  TRUE, ""其他""
)"),"其他")</f>
        <v>其他</v>
      </c>
      <c r="K8377" s="270" t="str">
        <f t="shared" si="2"/>
        <v/>
      </c>
      <c r="L8377">
        <f t="shared" si="3"/>
        <v>0</v>
      </c>
    </row>
    <row r="8378">
      <c r="A8378" s="107"/>
      <c r="D8378" s="270"/>
      <c r="H8378" s="106" t="str">
        <f t="shared" si="1"/>
        <v/>
      </c>
      <c r="J8378" t="str">
        <f>IFERROR(__xludf.DUMMYFUNCTION("IFS(
  AND(REGEXMATCH(E8378, ""台銀籌備帳戶|玉山帳戶""), REGEXMATCH(C8378, ""薪資"")), ""分潤支出"",
  AND(REGEXMATCH(E8378, ""Ben帳戶|Elsa帳戶|Ben代墊|Ariel代墊|中信銀行共用""), REGEXMATCH(F8378, ""Ben帳戶|Elsa帳戶|Ben代墊|Ariel代墊|中信銀行共用"")), ""內部轉帳(忽略)"",
  AND(E8378&lt;&gt;"""", F8378&lt;&gt;"""", N"&amp;"OT(REGEXMATCH(C8378, ""薪資""))), ""內部轉帳(忽略)"",
  REGEXMATCH(C8378, ""薪資""), ""薪資變動(不計入)"",
  REGEXMATCH(C8378, ""押金""), ""押金往來"",
  AND(E8378&lt;&gt;"""", F8378=""""), ""真實支出"",
  AND(E8378="""", F8378&lt;&gt;""""), ""真實收入"",
  TRUE, ""其他""
)"),"其他")</f>
        <v>其他</v>
      </c>
      <c r="K8378" s="270" t="str">
        <f t="shared" si="2"/>
        <v/>
      </c>
      <c r="L8378">
        <f t="shared" si="3"/>
        <v>0</v>
      </c>
    </row>
    <row r="8379">
      <c r="A8379" s="107"/>
      <c r="D8379" s="270"/>
      <c r="H8379" s="106" t="str">
        <f t="shared" si="1"/>
        <v/>
      </c>
      <c r="J8379" t="str">
        <f>IFERROR(__xludf.DUMMYFUNCTION("IFS(
  AND(REGEXMATCH(E8379, ""台銀籌備帳戶|玉山帳戶""), REGEXMATCH(C8379, ""薪資"")), ""分潤支出"",
  AND(REGEXMATCH(E8379, ""Ben帳戶|Elsa帳戶|Ben代墊|Ariel代墊|中信銀行共用""), REGEXMATCH(F8379, ""Ben帳戶|Elsa帳戶|Ben代墊|Ariel代墊|中信銀行共用"")), ""內部轉帳(忽略)"",
  AND(E8379&lt;&gt;"""", F8379&lt;&gt;"""", N"&amp;"OT(REGEXMATCH(C8379, ""薪資""))), ""內部轉帳(忽略)"",
  REGEXMATCH(C8379, ""薪資""), ""薪資變動(不計入)"",
  REGEXMATCH(C8379, ""押金""), ""押金往來"",
  AND(E8379&lt;&gt;"""", F8379=""""), ""真實支出"",
  AND(E8379="""", F8379&lt;&gt;""""), ""真實收入"",
  TRUE, ""其他""
)"),"其他")</f>
        <v>其他</v>
      </c>
      <c r="K8379" s="270" t="str">
        <f t="shared" si="2"/>
        <v/>
      </c>
      <c r="L8379">
        <f t="shared" si="3"/>
        <v>0</v>
      </c>
    </row>
    <row r="8380">
      <c r="A8380" s="107"/>
      <c r="D8380" s="270"/>
      <c r="H8380" s="106" t="str">
        <f t="shared" si="1"/>
        <v/>
      </c>
      <c r="J8380" t="str">
        <f>IFERROR(__xludf.DUMMYFUNCTION("IFS(
  AND(REGEXMATCH(E8380, ""台銀籌備帳戶|玉山帳戶""), REGEXMATCH(C8380, ""薪資"")), ""分潤支出"",
  AND(REGEXMATCH(E8380, ""Ben帳戶|Elsa帳戶|Ben代墊|Ariel代墊|中信銀行共用""), REGEXMATCH(F8380, ""Ben帳戶|Elsa帳戶|Ben代墊|Ariel代墊|中信銀行共用"")), ""內部轉帳(忽略)"",
  AND(E8380&lt;&gt;"""", F8380&lt;&gt;"""", N"&amp;"OT(REGEXMATCH(C8380, ""薪資""))), ""內部轉帳(忽略)"",
  REGEXMATCH(C8380, ""薪資""), ""薪資變動(不計入)"",
  REGEXMATCH(C8380, ""押金""), ""押金往來"",
  AND(E8380&lt;&gt;"""", F8380=""""), ""真實支出"",
  AND(E8380="""", F8380&lt;&gt;""""), ""真實收入"",
  TRUE, ""其他""
)"),"其他")</f>
        <v>其他</v>
      </c>
      <c r="K8380" s="270" t="str">
        <f t="shared" si="2"/>
        <v/>
      </c>
      <c r="L8380">
        <f t="shared" si="3"/>
        <v>0</v>
      </c>
    </row>
    <row r="8381">
      <c r="A8381" s="107"/>
      <c r="D8381" s="270"/>
      <c r="H8381" s="106" t="str">
        <f t="shared" si="1"/>
        <v/>
      </c>
      <c r="J8381" t="str">
        <f>IFERROR(__xludf.DUMMYFUNCTION("IFS(
  AND(REGEXMATCH(E8381, ""台銀籌備帳戶|玉山帳戶""), REGEXMATCH(C8381, ""薪資"")), ""分潤支出"",
  AND(REGEXMATCH(E8381, ""Ben帳戶|Elsa帳戶|Ben代墊|Ariel代墊|中信銀行共用""), REGEXMATCH(F8381, ""Ben帳戶|Elsa帳戶|Ben代墊|Ariel代墊|中信銀行共用"")), ""內部轉帳(忽略)"",
  AND(E8381&lt;&gt;"""", F8381&lt;&gt;"""", N"&amp;"OT(REGEXMATCH(C8381, ""薪資""))), ""內部轉帳(忽略)"",
  REGEXMATCH(C8381, ""薪資""), ""薪資變動(不計入)"",
  REGEXMATCH(C8381, ""押金""), ""押金往來"",
  AND(E8381&lt;&gt;"""", F8381=""""), ""真實支出"",
  AND(E8381="""", F8381&lt;&gt;""""), ""真實收入"",
  TRUE, ""其他""
)"),"其他")</f>
        <v>其他</v>
      </c>
      <c r="K8381" s="270" t="str">
        <f t="shared" si="2"/>
        <v/>
      </c>
      <c r="L8381">
        <f t="shared" si="3"/>
        <v>0</v>
      </c>
    </row>
    <row r="8382">
      <c r="A8382" s="107"/>
      <c r="D8382" s="270"/>
      <c r="H8382" s="106" t="str">
        <f t="shared" si="1"/>
        <v/>
      </c>
      <c r="J8382" t="str">
        <f>IFERROR(__xludf.DUMMYFUNCTION("IFS(
  AND(REGEXMATCH(E8382, ""台銀籌備帳戶|玉山帳戶""), REGEXMATCH(C8382, ""薪資"")), ""分潤支出"",
  AND(REGEXMATCH(E8382, ""Ben帳戶|Elsa帳戶|Ben代墊|Ariel代墊|中信銀行共用""), REGEXMATCH(F8382, ""Ben帳戶|Elsa帳戶|Ben代墊|Ariel代墊|中信銀行共用"")), ""內部轉帳(忽略)"",
  AND(E8382&lt;&gt;"""", F8382&lt;&gt;"""", N"&amp;"OT(REGEXMATCH(C8382, ""薪資""))), ""內部轉帳(忽略)"",
  REGEXMATCH(C8382, ""薪資""), ""薪資變動(不計入)"",
  REGEXMATCH(C8382, ""押金""), ""押金往來"",
  AND(E8382&lt;&gt;"""", F8382=""""), ""真實支出"",
  AND(E8382="""", F8382&lt;&gt;""""), ""真實收入"",
  TRUE, ""其他""
)"),"其他")</f>
        <v>其他</v>
      </c>
      <c r="K8382" s="270" t="str">
        <f t="shared" si="2"/>
        <v/>
      </c>
      <c r="L8382">
        <f t="shared" si="3"/>
        <v>0</v>
      </c>
    </row>
    <row r="8383">
      <c r="A8383" s="107"/>
      <c r="D8383" s="270"/>
      <c r="H8383" s="106" t="str">
        <f t="shared" si="1"/>
        <v/>
      </c>
      <c r="J8383" t="str">
        <f>IFERROR(__xludf.DUMMYFUNCTION("IFS(
  AND(REGEXMATCH(E8383, ""台銀籌備帳戶|玉山帳戶""), REGEXMATCH(C8383, ""薪資"")), ""分潤支出"",
  AND(REGEXMATCH(E8383, ""Ben帳戶|Elsa帳戶|Ben代墊|Ariel代墊|中信銀行共用""), REGEXMATCH(F8383, ""Ben帳戶|Elsa帳戶|Ben代墊|Ariel代墊|中信銀行共用"")), ""內部轉帳(忽略)"",
  AND(E8383&lt;&gt;"""", F8383&lt;&gt;"""", N"&amp;"OT(REGEXMATCH(C8383, ""薪資""))), ""內部轉帳(忽略)"",
  REGEXMATCH(C8383, ""薪資""), ""薪資變動(不計入)"",
  REGEXMATCH(C8383, ""押金""), ""押金往來"",
  AND(E8383&lt;&gt;"""", F8383=""""), ""真實支出"",
  AND(E8383="""", F8383&lt;&gt;""""), ""真實收入"",
  TRUE, ""其他""
)"),"其他")</f>
        <v>其他</v>
      </c>
      <c r="K8383" s="270" t="str">
        <f t="shared" si="2"/>
        <v/>
      </c>
      <c r="L8383">
        <f t="shared" si="3"/>
        <v>0</v>
      </c>
    </row>
    <row r="8384">
      <c r="A8384" s="107"/>
      <c r="D8384" s="270"/>
      <c r="H8384" s="106" t="str">
        <f t="shared" si="1"/>
        <v/>
      </c>
      <c r="J8384" t="str">
        <f>IFERROR(__xludf.DUMMYFUNCTION("IFS(
  AND(REGEXMATCH(E8384, ""台銀籌備帳戶|玉山帳戶""), REGEXMATCH(C8384, ""薪資"")), ""分潤支出"",
  AND(REGEXMATCH(E8384, ""Ben帳戶|Elsa帳戶|Ben代墊|Ariel代墊|中信銀行共用""), REGEXMATCH(F8384, ""Ben帳戶|Elsa帳戶|Ben代墊|Ariel代墊|中信銀行共用"")), ""內部轉帳(忽略)"",
  AND(E8384&lt;&gt;"""", F8384&lt;&gt;"""", N"&amp;"OT(REGEXMATCH(C8384, ""薪資""))), ""內部轉帳(忽略)"",
  REGEXMATCH(C8384, ""薪資""), ""薪資變動(不計入)"",
  REGEXMATCH(C8384, ""押金""), ""押金往來"",
  AND(E8384&lt;&gt;"""", F8384=""""), ""真實支出"",
  AND(E8384="""", F8384&lt;&gt;""""), ""真實收入"",
  TRUE, ""其他""
)"),"其他")</f>
        <v>其他</v>
      </c>
      <c r="K8384" s="270" t="str">
        <f t="shared" si="2"/>
        <v/>
      </c>
      <c r="L8384">
        <f t="shared" si="3"/>
        <v>0</v>
      </c>
    </row>
    <row r="8385">
      <c r="A8385" s="107"/>
      <c r="D8385" s="270"/>
      <c r="H8385" s="106" t="str">
        <f t="shared" si="1"/>
        <v/>
      </c>
      <c r="J8385" t="str">
        <f>IFERROR(__xludf.DUMMYFUNCTION("IFS(
  AND(REGEXMATCH(E8385, ""台銀籌備帳戶|玉山帳戶""), REGEXMATCH(C8385, ""薪資"")), ""分潤支出"",
  AND(REGEXMATCH(E8385, ""Ben帳戶|Elsa帳戶|Ben代墊|Ariel代墊|中信銀行共用""), REGEXMATCH(F8385, ""Ben帳戶|Elsa帳戶|Ben代墊|Ariel代墊|中信銀行共用"")), ""內部轉帳(忽略)"",
  AND(E8385&lt;&gt;"""", F8385&lt;&gt;"""", N"&amp;"OT(REGEXMATCH(C8385, ""薪資""))), ""內部轉帳(忽略)"",
  REGEXMATCH(C8385, ""薪資""), ""薪資變動(不計入)"",
  REGEXMATCH(C8385, ""押金""), ""押金往來"",
  AND(E8385&lt;&gt;"""", F8385=""""), ""真實支出"",
  AND(E8385="""", F8385&lt;&gt;""""), ""真實收入"",
  TRUE, ""其他""
)"),"其他")</f>
        <v>其他</v>
      </c>
      <c r="K8385" s="270" t="str">
        <f t="shared" si="2"/>
        <v/>
      </c>
      <c r="L8385">
        <f t="shared" si="3"/>
        <v>0</v>
      </c>
    </row>
    <row r="8386">
      <c r="A8386" s="107"/>
      <c r="D8386" s="270"/>
      <c r="H8386" s="106" t="str">
        <f t="shared" si="1"/>
        <v/>
      </c>
      <c r="J8386" t="str">
        <f>IFERROR(__xludf.DUMMYFUNCTION("IFS(
  AND(REGEXMATCH(E8386, ""台銀籌備帳戶|玉山帳戶""), REGEXMATCH(C8386, ""薪資"")), ""分潤支出"",
  AND(REGEXMATCH(E8386, ""Ben帳戶|Elsa帳戶|Ben代墊|Ariel代墊|中信銀行共用""), REGEXMATCH(F8386, ""Ben帳戶|Elsa帳戶|Ben代墊|Ariel代墊|中信銀行共用"")), ""內部轉帳(忽略)"",
  AND(E8386&lt;&gt;"""", F8386&lt;&gt;"""", N"&amp;"OT(REGEXMATCH(C8386, ""薪資""))), ""內部轉帳(忽略)"",
  REGEXMATCH(C8386, ""薪資""), ""薪資變動(不計入)"",
  REGEXMATCH(C8386, ""押金""), ""押金往來"",
  AND(E8386&lt;&gt;"""", F8386=""""), ""真實支出"",
  AND(E8386="""", F8386&lt;&gt;""""), ""真實收入"",
  TRUE, ""其他""
)"),"其他")</f>
        <v>其他</v>
      </c>
      <c r="K8386" s="270" t="str">
        <f t="shared" si="2"/>
        <v/>
      </c>
      <c r="L8386">
        <f t="shared" si="3"/>
        <v>0</v>
      </c>
    </row>
    <row r="8387">
      <c r="A8387" s="107"/>
      <c r="D8387" s="270"/>
      <c r="H8387" s="106" t="str">
        <f t="shared" si="1"/>
        <v/>
      </c>
      <c r="J8387" t="str">
        <f>IFERROR(__xludf.DUMMYFUNCTION("IFS(
  AND(REGEXMATCH(E8387, ""台銀籌備帳戶|玉山帳戶""), REGEXMATCH(C8387, ""薪資"")), ""分潤支出"",
  AND(REGEXMATCH(E8387, ""Ben帳戶|Elsa帳戶|Ben代墊|Ariel代墊|中信銀行共用""), REGEXMATCH(F8387, ""Ben帳戶|Elsa帳戶|Ben代墊|Ariel代墊|中信銀行共用"")), ""內部轉帳(忽略)"",
  AND(E8387&lt;&gt;"""", F8387&lt;&gt;"""", N"&amp;"OT(REGEXMATCH(C8387, ""薪資""))), ""內部轉帳(忽略)"",
  REGEXMATCH(C8387, ""薪資""), ""薪資變動(不計入)"",
  REGEXMATCH(C8387, ""押金""), ""押金往來"",
  AND(E8387&lt;&gt;"""", F8387=""""), ""真實支出"",
  AND(E8387="""", F8387&lt;&gt;""""), ""真實收入"",
  TRUE, ""其他""
)"),"其他")</f>
        <v>其他</v>
      </c>
      <c r="K8387" s="270" t="str">
        <f t="shared" si="2"/>
        <v/>
      </c>
      <c r="L8387">
        <f t="shared" si="3"/>
        <v>0</v>
      </c>
    </row>
    <row r="8388">
      <c r="A8388" s="107"/>
      <c r="D8388" s="270"/>
      <c r="H8388" s="106" t="str">
        <f t="shared" si="1"/>
        <v/>
      </c>
      <c r="J8388" t="str">
        <f>IFERROR(__xludf.DUMMYFUNCTION("IFS(
  AND(REGEXMATCH(E8388, ""台銀籌備帳戶|玉山帳戶""), REGEXMATCH(C8388, ""薪資"")), ""分潤支出"",
  AND(REGEXMATCH(E8388, ""Ben帳戶|Elsa帳戶|Ben代墊|Ariel代墊|中信銀行共用""), REGEXMATCH(F8388, ""Ben帳戶|Elsa帳戶|Ben代墊|Ariel代墊|中信銀行共用"")), ""內部轉帳(忽略)"",
  AND(E8388&lt;&gt;"""", F8388&lt;&gt;"""", N"&amp;"OT(REGEXMATCH(C8388, ""薪資""))), ""內部轉帳(忽略)"",
  REGEXMATCH(C8388, ""薪資""), ""薪資變動(不計入)"",
  REGEXMATCH(C8388, ""押金""), ""押金往來"",
  AND(E8388&lt;&gt;"""", F8388=""""), ""真實支出"",
  AND(E8388="""", F8388&lt;&gt;""""), ""真實收入"",
  TRUE, ""其他""
)"),"其他")</f>
        <v>其他</v>
      </c>
      <c r="K8388" s="270" t="str">
        <f t="shared" si="2"/>
        <v/>
      </c>
      <c r="L8388">
        <f t="shared" si="3"/>
        <v>0</v>
      </c>
    </row>
    <row r="8389">
      <c r="A8389" s="107"/>
      <c r="D8389" s="270"/>
      <c r="H8389" s="106" t="str">
        <f t="shared" si="1"/>
        <v/>
      </c>
      <c r="J8389" t="str">
        <f>IFERROR(__xludf.DUMMYFUNCTION("IFS(
  AND(REGEXMATCH(E8389, ""台銀籌備帳戶|玉山帳戶""), REGEXMATCH(C8389, ""薪資"")), ""分潤支出"",
  AND(REGEXMATCH(E8389, ""Ben帳戶|Elsa帳戶|Ben代墊|Ariel代墊|中信銀行共用""), REGEXMATCH(F8389, ""Ben帳戶|Elsa帳戶|Ben代墊|Ariel代墊|中信銀行共用"")), ""內部轉帳(忽略)"",
  AND(E8389&lt;&gt;"""", F8389&lt;&gt;"""", N"&amp;"OT(REGEXMATCH(C8389, ""薪資""))), ""內部轉帳(忽略)"",
  REGEXMATCH(C8389, ""薪資""), ""薪資變動(不計入)"",
  REGEXMATCH(C8389, ""押金""), ""押金往來"",
  AND(E8389&lt;&gt;"""", F8389=""""), ""真實支出"",
  AND(E8389="""", F8389&lt;&gt;""""), ""真實收入"",
  TRUE, ""其他""
)"),"其他")</f>
        <v>其他</v>
      </c>
      <c r="K8389" s="270" t="str">
        <f t="shared" si="2"/>
        <v/>
      </c>
      <c r="L8389">
        <f t="shared" si="3"/>
        <v>0</v>
      </c>
    </row>
    <row r="8390">
      <c r="A8390" s="107"/>
      <c r="D8390" s="270"/>
      <c r="H8390" s="106" t="str">
        <f t="shared" si="1"/>
        <v/>
      </c>
      <c r="J8390" t="str">
        <f>IFERROR(__xludf.DUMMYFUNCTION("IFS(
  AND(REGEXMATCH(E8390, ""台銀籌備帳戶|玉山帳戶""), REGEXMATCH(C8390, ""薪資"")), ""分潤支出"",
  AND(REGEXMATCH(E8390, ""Ben帳戶|Elsa帳戶|Ben代墊|Ariel代墊|中信銀行共用""), REGEXMATCH(F8390, ""Ben帳戶|Elsa帳戶|Ben代墊|Ariel代墊|中信銀行共用"")), ""內部轉帳(忽略)"",
  AND(E8390&lt;&gt;"""", F8390&lt;&gt;"""", N"&amp;"OT(REGEXMATCH(C8390, ""薪資""))), ""內部轉帳(忽略)"",
  REGEXMATCH(C8390, ""薪資""), ""薪資變動(不計入)"",
  REGEXMATCH(C8390, ""押金""), ""押金往來"",
  AND(E8390&lt;&gt;"""", F8390=""""), ""真實支出"",
  AND(E8390="""", F8390&lt;&gt;""""), ""真實收入"",
  TRUE, ""其他""
)"),"其他")</f>
        <v>其他</v>
      </c>
      <c r="K8390" s="270" t="str">
        <f t="shared" si="2"/>
        <v/>
      </c>
      <c r="L8390">
        <f t="shared" si="3"/>
        <v>0</v>
      </c>
    </row>
    <row r="8391">
      <c r="A8391" s="107"/>
      <c r="D8391" s="270"/>
      <c r="H8391" s="106" t="str">
        <f t="shared" si="1"/>
        <v/>
      </c>
      <c r="J8391" t="str">
        <f>IFERROR(__xludf.DUMMYFUNCTION("IFS(
  AND(REGEXMATCH(E8391, ""台銀籌備帳戶|玉山帳戶""), REGEXMATCH(C8391, ""薪資"")), ""分潤支出"",
  AND(REGEXMATCH(E8391, ""Ben帳戶|Elsa帳戶|Ben代墊|Ariel代墊|中信銀行共用""), REGEXMATCH(F8391, ""Ben帳戶|Elsa帳戶|Ben代墊|Ariel代墊|中信銀行共用"")), ""內部轉帳(忽略)"",
  AND(E8391&lt;&gt;"""", F8391&lt;&gt;"""", N"&amp;"OT(REGEXMATCH(C8391, ""薪資""))), ""內部轉帳(忽略)"",
  REGEXMATCH(C8391, ""薪資""), ""薪資變動(不計入)"",
  REGEXMATCH(C8391, ""押金""), ""押金往來"",
  AND(E8391&lt;&gt;"""", F8391=""""), ""真實支出"",
  AND(E8391="""", F8391&lt;&gt;""""), ""真實收入"",
  TRUE, ""其他""
)"),"其他")</f>
        <v>其他</v>
      </c>
      <c r="K8391" s="270" t="str">
        <f t="shared" si="2"/>
        <v/>
      </c>
      <c r="L8391">
        <f t="shared" si="3"/>
        <v>0</v>
      </c>
    </row>
    <row r="8392">
      <c r="A8392" s="107"/>
      <c r="D8392" s="270"/>
      <c r="H8392" s="106" t="str">
        <f t="shared" si="1"/>
        <v/>
      </c>
      <c r="J8392" t="str">
        <f>IFERROR(__xludf.DUMMYFUNCTION("IFS(
  AND(REGEXMATCH(E8392, ""台銀籌備帳戶|玉山帳戶""), REGEXMATCH(C8392, ""薪資"")), ""分潤支出"",
  AND(REGEXMATCH(E8392, ""Ben帳戶|Elsa帳戶|Ben代墊|Ariel代墊|中信銀行共用""), REGEXMATCH(F8392, ""Ben帳戶|Elsa帳戶|Ben代墊|Ariel代墊|中信銀行共用"")), ""內部轉帳(忽略)"",
  AND(E8392&lt;&gt;"""", F8392&lt;&gt;"""", N"&amp;"OT(REGEXMATCH(C8392, ""薪資""))), ""內部轉帳(忽略)"",
  REGEXMATCH(C8392, ""薪資""), ""薪資變動(不計入)"",
  REGEXMATCH(C8392, ""押金""), ""押金往來"",
  AND(E8392&lt;&gt;"""", F8392=""""), ""真實支出"",
  AND(E8392="""", F8392&lt;&gt;""""), ""真實收入"",
  TRUE, ""其他""
)"),"其他")</f>
        <v>其他</v>
      </c>
      <c r="K8392" s="270" t="str">
        <f t="shared" si="2"/>
        <v/>
      </c>
      <c r="L8392">
        <f t="shared" si="3"/>
        <v>0</v>
      </c>
    </row>
    <row r="8393">
      <c r="A8393" s="107"/>
      <c r="D8393" s="270"/>
      <c r="H8393" s="106" t="str">
        <f t="shared" si="1"/>
        <v/>
      </c>
      <c r="J8393" t="str">
        <f>IFERROR(__xludf.DUMMYFUNCTION("IFS(
  AND(REGEXMATCH(E8393, ""台銀籌備帳戶|玉山帳戶""), REGEXMATCH(C8393, ""薪資"")), ""分潤支出"",
  AND(REGEXMATCH(E8393, ""Ben帳戶|Elsa帳戶|Ben代墊|Ariel代墊|中信銀行共用""), REGEXMATCH(F8393, ""Ben帳戶|Elsa帳戶|Ben代墊|Ariel代墊|中信銀行共用"")), ""內部轉帳(忽略)"",
  AND(E8393&lt;&gt;"""", F8393&lt;&gt;"""", N"&amp;"OT(REGEXMATCH(C8393, ""薪資""))), ""內部轉帳(忽略)"",
  REGEXMATCH(C8393, ""薪資""), ""薪資變動(不計入)"",
  REGEXMATCH(C8393, ""押金""), ""押金往來"",
  AND(E8393&lt;&gt;"""", F8393=""""), ""真實支出"",
  AND(E8393="""", F8393&lt;&gt;""""), ""真實收入"",
  TRUE, ""其他""
)"),"其他")</f>
        <v>其他</v>
      </c>
      <c r="K8393" s="270" t="str">
        <f t="shared" si="2"/>
        <v/>
      </c>
      <c r="L8393">
        <f t="shared" si="3"/>
        <v>0</v>
      </c>
    </row>
    <row r="8394">
      <c r="A8394" s="107"/>
      <c r="D8394" s="270"/>
      <c r="H8394" s="106" t="str">
        <f t="shared" si="1"/>
        <v/>
      </c>
      <c r="J8394" t="str">
        <f>IFERROR(__xludf.DUMMYFUNCTION("IFS(
  AND(REGEXMATCH(E8394, ""台銀籌備帳戶|玉山帳戶""), REGEXMATCH(C8394, ""薪資"")), ""分潤支出"",
  AND(REGEXMATCH(E8394, ""Ben帳戶|Elsa帳戶|Ben代墊|Ariel代墊|中信銀行共用""), REGEXMATCH(F8394, ""Ben帳戶|Elsa帳戶|Ben代墊|Ariel代墊|中信銀行共用"")), ""內部轉帳(忽略)"",
  AND(E8394&lt;&gt;"""", F8394&lt;&gt;"""", N"&amp;"OT(REGEXMATCH(C8394, ""薪資""))), ""內部轉帳(忽略)"",
  REGEXMATCH(C8394, ""薪資""), ""薪資變動(不計入)"",
  REGEXMATCH(C8394, ""押金""), ""押金往來"",
  AND(E8394&lt;&gt;"""", F8394=""""), ""真實支出"",
  AND(E8394="""", F8394&lt;&gt;""""), ""真實收入"",
  TRUE, ""其他""
)"),"其他")</f>
        <v>其他</v>
      </c>
      <c r="K8394" s="270" t="str">
        <f t="shared" si="2"/>
        <v/>
      </c>
      <c r="L8394">
        <f t="shared" si="3"/>
        <v>0</v>
      </c>
    </row>
    <row r="8395">
      <c r="A8395" s="107"/>
      <c r="D8395" s="270"/>
      <c r="H8395" s="106" t="str">
        <f t="shared" si="1"/>
        <v/>
      </c>
      <c r="J8395" t="str">
        <f>IFERROR(__xludf.DUMMYFUNCTION("IFS(
  AND(REGEXMATCH(E8395, ""台銀籌備帳戶|玉山帳戶""), REGEXMATCH(C8395, ""薪資"")), ""分潤支出"",
  AND(REGEXMATCH(E8395, ""Ben帳戶|Elsa帳戶|Ben代墊|Ariel代墊|中信銀行共用""), REGEXMATCH(F8395, ""Ben帳戶|Elsa帳戶|Ben代墊|Ariel代墊|中信銀行共用"")), ""內部轉帳(忽略)"",
  AND(E8395&lt;&gt;"""", F8395&lt;&gt;"""", N"&amp;"OT(REGEXMATCH(C8395, ""薪資""))), ""內部轉帳(忽略)"",
  REGEXMATCH(C8395, ""薪資""), ""薪資變動(不計入)"",
  REGEXMATCH(C8395, ""押金""), ""押金往來"",
  AND(E8395&lt;&gt;"""", F8395=""""), ""真實支出"",
  AND(E8395="""", F8395&lt;&gt;""""), ""真實收入"",
  TRUE, ""其他""
)"),"其他")</f>
        <v>其他</v>
      </c>
      <c r="K8395" s="270" t="str">
        <f t="shared" si="2"/>
        <v/>
      </c>
      <c r="L8395">
        <f t="shared" si="3"/>
        <v>0</v>
      </c>
    </row>
    <row r="8396">
      <c r="A8396" s="107"/>
      <c r="D8396" s="270"/>
      <c r="H8396" s="106" t="str">
        <f t="shared" si="1"/>
        <v/>
      </c>
      <c r="J8396" t="str">
        <f>IFERROR(__xludf.DUMMYFUNCTION("IFS(
  AND(REGEXMATCH(E8396, ""台銀籌備帳戶|玉山帳戶""), REGEXMATCH(C8396, ""薪資"")), ""分潤支出"",
  AND(REGEXMATCH(E8396, ""Ben帳戶|Elsa帳戶|Ben代墊|Ariel代墊|中信銀行共用""), REGEXMATCH(F8396, ""Ben帳戶|Elsa帳戶|Ben代墊|Ariel代墊|中信銀行共用"")), ""內部轉帳(忽略)"",
  AND(E8396&lt;&gt;"""", F8396&lt;&gt;"""", N"&amp;"OT(REGEXMATCH(C8396, ""薪資""))), ""內部轉帳(忽略)"",
  REGEXMATCH(C8396, ""薪資""), ""薪資變動(不計入)"",
  REGEXMATCH(C8396, ""押金""), ""押金往來"",
  AND(E8396&lt;&gt;"""", F8396=""""), ""真實支出"",
  AND(E8396="""", F8396&lt;&gt;""""), ""真實收入"",
  TRUE, ""其他""
)"),"其他")</f>
        <v>其他</v>
      </c>
      <c r="K8396" s="270" t="str">
        <f t="shared" si="2"/>
        <v/>
      </c>
      <c r="L8396">
        <f t="shared" si="3"/>
        <v>0</v>
      </c>
    </row>
    <row r="8397">
      <c r="A8397" s="107"/>
      <c r="D8397" s="270"/>
      <c r="H8397" s="106" t="str">
        <f t="shared" si="1"/>
        <v/>
      </c>
      <c r="J8397" t="str">
        <f>IFERROR(__xludf.DUMMYFUNCTION("IFS(
  AND(REGEXMATCH(E8397, ""台銀籌備帳戶|玉山帳戶""), REGEXMATCH(C8397, ""薪資"")), ""分潤支出"",
  AND(REGEXMATCH(E8397, ""Ben帳戶|Elsa帳戶|Ben代墊|Ariel代墊|中信銀行共用""), REGEXMATCH(F8397, ""Ben帳戶|Elsa帳戶|Ben代墊|Ariel代墊|中信銀行共用"")), ""內部轉帳(忽略)"",
  AND(E8397&lt;&gt;"""", F8397&lt;&gt;"""", N"&amp;"OT(REGEXMATCH(C8397, ""薪資""))), ""內部轉帳(忽略)"",
  REGEXMATCH(C8397, ""薪資""), ""薪資變動(不計入)"",
  REGEXMATCH(C8397, ""押金""), ""押金往來"",
  AND(E8397&lt;&gt;"""", F8397=""""), ""真實支出"",
  AND(E8397="""", F8397&lt;&gt;""""), ""真實收入"",
  TRUE, ""其他""
)"),"其他")</f>
        <v>其他</v>
      </c>
      <c r="K8397" s="270" t="str">
        <f t="shared" si="2"/>
        <v/>
      </c>
      <c r="L8397">
        <f t="shared" si="3"/>
        <v>0</v>
      </c>
    </row>
    <row r="8398">
      <c r="A8398" s="107"/>
      <c r="D8398" s="270"/>
      <c r="H8398" s="106" t="str">
        <f t="shared" si="1"/>
        <v/>
      </c>
      <c r="J8398" t="str">
        <f>IFERROR(__xludf.DUMMYFUNCTION("IFS(
  AND(REGEXMATCH(E8398, ""台銀籌備帳戶|玉山帳戶""), REGEXMATCH(C8398, ""薪資"")), ""分潤支出"",
  AND(REGEXMATCH(E8398, ""Ben帳戶|Elsa帳戶|Ben代墊|Ariel代墊|中信銀行共用""), REGEXMATCH(F8398, ""Ben帳戶|Elsa帳戶|Ben代墊|Ariel代墊|中信銀行共用"")), ""內部轉帳(忽略)"",
  AND(E8398&lt;&gt;"""", F8398&lt;&gt;"""", N"&amp;"OT(REGEXMATCH(C8398, ""薪資""))), ""內部轉帳(忽略)"",
  REGEXMATCH(C8398, ""薪資""), ""薪資變動(不計入)"",
  REGEXMATCH(C8398, ""押金""), ""押金往來"",
  AND(E8398&lt;&gt;"""", F8398=""""), ""真實支出"",
  AND(E8398="""", F8398&lt;&gt;""""), ""真實收入"",
  TRUE, ""其他""
)"),"其他")</f>
        <v>其他</v>
      </c>
      <c r="K8398" s="270" t="str">
        <f t="shared" si="2"/>
        <v/>
      </c>
      <c r="L8398">
        <f t="shared" si="3"/>
        <v>0</v>
      </c>
    </row>
    <row r="8399">
      <c r="A8399" s="107"/>
      <c r="D8399" s="270"/>
      <c r="H8399" s="106" t="str">
        <f t="shared" si="1"/>
        <v/>
      </c>
      <c r="J8399" t="str">
        <f>IFERROR(__xludf.DUMMYFUNCTION("IFS(
  AND(REGEXMATCH(E8399, ""台銀籌備帳戶|玉山帳戶""), REGEXMATCH(C8399, ""薪資"")), ""分潤支出"",
  AND(REGEXMATCH(E8399, ""Ben帳戶|Elsa帳戶|Ben代墊|Ariel代墊|中信銀行共用""), REGEXMATCH(F8399, ""Ben帳戶|Elsa帳戶|Ben代墊|Ariel代墊|中信銀行共用"")), ""內部轉帳(忽略)"",
  AND(E8399&lt;&gt;"""", F8399&lt;&gt;"""", N"&amp;"OT(REGEXMATCH(C8399, ""薪資""))), ""內部轉帳(忽略)"",
  REGEXMATCH(C8399, ""薪資""), ""薪資變動(不計入)"",
  REGEXMATCH(C8399, ""押金""), ""押金往來"",
  AND(E8399&lt;&gt;"""", F8399=""""), ""真實支出"",
  AND(E8399="""", F8399&lt;&gt;""""), ""真實收入"",
  TRUE, ""其他""
)"),"其他")</f>
        <v>其他</v>
      </c>
      <c r="K8399" s="270" t="str">
        <f t="shared" si="2"/>
        <v/>
      </c>
      <c r="L8399">
        <f t="shared" si="3"/>
        <v>0</v>
      </c>
    </row>
    <row r="8400">
      <c r="A8400" s="107"/>
      <c r="D8400" s="270"/>
      <c r="H8400" s="106" t="str">
        <f t="shared" si="1"/>
        <v/>
      </c>
      <c r="J8400" t="str">
        <f>IFERROR(__xludf.DUMMYFUNCTION("IFS(
  AND(REGEXMATCH(E8400, ""台銀籌備帳戶|玉山帳戶""), REGEXMATCH(C8400, ""薪資"")), ""分潤支出"",
  AND(REGEXMATCH(E8400, ""Ben帳戶|Elsa帳戶|Ben代墊|Ariel代墊|中信銀行共用""), REGEXMATCH(F8400, ""Ben帳戶|Elsa帳戶|Ben代墊|Ariel代墊|中信銀行共用"")), ""內部轉帳(忽略)"",
  AND(E8400&lt;&gt;"""", F8400&lt;&gt;"""", N"&amp;"OT(REGEXMATCH(C8400, ""薪資""))), ""內部轉帳(忽略)"",
  REGEXMATCH(C8400, ""薪資""), ""薪資變動(不計入)"",
  REGEXMATCH(C8400, ""押金""), ""押金往來"",
  AND(E8400&lt;&gt;"""", F8400=""""), ""真實支出"",
  AND(E8400="""", F8400&lt;&gt;""""), ""真實收入"",
  TRUE, ""其他""
)"),"其他")</f>
        <v>其他</v>
      </c>
      <c r="K8400" s="270" t="str">
        <f t="shared" si="2"/>
        <v/>
      </c>
      <c r="L8400">
        <f t="shared" si="3"/>
        <v>0</v>
      </c>
    </row>
    <row r="8401">
      <c r="A8401" s="107"/>
      <c r="D8401" s="270"/>
      <c r="H8401" s="106" t="str">
        <f t="shared" si="1"/>
        <v/>
      </c>
      <c r="J8401" t="str">
        <f>IFERROR(__xludf.DUMMYFUNCTION("IFS(
  AND(REGEXMATCH(E8401, ""台銀籌備帳戶|玉山帳戶""), REGEXMATCH(C8401, ""薪資"")), ""分潤支出"",
  AND(REGEXMATCH(E8401, ""Ben帳戶|Elsa帳戶|Ben代墊|Ariel代墊|中信銀行共用""), REGEXMATCH(F8401, ""Ben帳戶|Elsa帳戶|Ben代墊|Ariel代墊|中信銀行共用"")), ""內部轉帳(忽略)"",
  AND(E8401&lt;&gt;"""", F8401&lt;&gt;"""", N"&amp;"OT(REGEXMATCH(C8401, ""薪資""))), ""內部轉帳(忽略)"",
  REGEXMATCH(C8401, ""薪資""), ""薪資變動(不計入)"",
  REGEXMATCH(C8401, ""押金""), ""押金往來"",
  AND(E8401&lt;&gt;"""", F8401=""""), ""真實支出"",
  AND(E8401="""", F8401&lt;&gt;""""), ""真實收入"",
  TRUE, ""其他""
)"),"其他")</f>
        <v>其他</v>
      </c>
      <c r="K8401" s="270" t="str">
        <f t="shared" si="2"/>
        <v/>
      </c>
      <c r="L8401">
        <f t="shared" si="3"/>
        <v>0</v>
      </c>
    </row>
    <row r="8402">
      <c r="A8402" s="107"/>
      <c r="D8402" s="270"/>
      <c r="H8402" s="106" t="str">
        <f t="shared" si="1"/>
        <v/>
      </c>
      <c r="J8402" t="str">
        <f>IFERROR(__xludf.DUMMYFUNCTION("IFS(
  AND(REGEXMATCH(E8402, ""台銀籌備帳戶|玉山帳戶""), REGEXMATCH(C8402, ""薪資"")), ""分潤支出"",
  AND(REGEXMATCH(E8402, ""Ben帳戶|Elsa帳戶|Ben代墊|Ariel代墊|中信銀行共用""), REGEXMATCH(F8402, ""Ben帳戶|Elsa帳戶|Ben代墊|Ariel代墊|中信銀行共用"")), ""內部轉帳(忽略)"",
  AND(E8402&lt;&gt;"""", F8402&lt;&gt;"""", N"&amp;"OT(REGEXMATCH(C8402, ""薪資""))), ""內部轉帳(忽略)"",
  REGEXMATCH(C8402, ""薪資""), ""薪資變動(不計入)"",
  REGEXMATCH(C8402, ""押金""), ""押金往來"",
  AND(E8402&lt;&gt;"""", F8402=""""), ""真實支出"",
  AND(E8402="""", F8402&lt;&gt;""""), ""真實收入"",
  TRUE, ""其他""
)"),"其他")</f>
        <v>其他</v>
      </c>
      <c r="K8402" s="270" t="str">
        <f t="shared" si="2"/>
        <v/>
      </c>
      <c r="L8402">
        <f t="shared" si="3"/>
        <v>0</v>
      </c>
    </row>
    <row r="8403">
      <c r="A8403" s="107"/>
      <c r="D8403" s="270"/>
      <c r="H8403" s="106" t="str">
        <f t="shared" si="1"/>
        <v/>
      </c>
      <c r="J8403" t="str">
        <f>IFERROR(__xludf.DUMMYFUNCTION("IFS(
  AND(REGEXMATCH(E8403, ""台銀籌備帳戶|玉山帳戶""), REGEXMATCH(C8403, ""薪資"")), ""分潤支出"",
  AND(REGEXMATCH(E8403, ""Ben帳戶|Elsa帳戶|Ben代墊|Ariel代墊|中信銀行共用""), REGEXMATCH(F8403, ""Ben帳戶|Elsa帳戶|Ben代墊|Ariel代墊|中信銀行共用"")), ""內部轉帳(忽略)"",
  AND(E8403&lt;&gt;"""", F8403&lt;&gt;"""", N"&amp;"OT(REGEXMATCH(C8403, ""薪資""))), ""內部轉帳(忽略)"",
  REGEXMATCH(C8403, ""薪資""), ""薪資變動(不計入)"",
  REGEXMATCH(C8403, ""押金""), ""押金往來"",
  AND(E8403&lt;&gt;"""", F8403=""""), ""真實支出"",
  AND(E8403="""", F8403&lt;&gt;""""), ""真實收入"",
  TRUE, ""其他""
)"),"其他")</f>
        <v>其他</v>
      </c>
      <c r="K8403" s="270" t="str">
        <f t="shared" si="2"/>
        <v/>
      </c>
      <c r="L8403">
        <f t="shared" si="3"/>
        <v>0</v>
      </c>
    </row>
    <row r="8404">
      <c r="A8404" s="107"/>
      <c r="D8404" s="270"/>
      <c r="H8404" s="106" t="str">
        <f t="shared" si="1"/>
        <v/>
      </c>
      <c r="J8404" t="str">
        <f>IFERROR(__xludf.DUMMYFUNCTION("IFS(
  AND(REGEXMATCH(E8404, ""台銀籌備帳戶|玉山帳戶""), REGEXMATCH(C8404, ""薪資"")), ""分潤支出"",
  AND(REGEXMATCH(E8404, ""Ben帳戶|Elsa帳戶|Ben代墊|Ariel代墊|中信銀行共用""), REGEXMATCH(F8404, ""Ben帳戶|Elsa帳戶|Ben代墊|Ariel代墊|中信銀行共用"")), ""內部轉帳(忽略)"",
  AND(E8404&lt;&gt;"""", F8404&lt;&gt;"""", N"&amp;"OT(REGEXMATCH(C8404, ""薪資""))), ""內部轉帳(忽略)"",
  REGEXMATCH(C8404, ""薪資""), ""薪資變動(不計入)"",
  REGEXMATCH(C8404, ""押金""), ""押金往來"",
  AND(E8404&lt;&gt;"""", F8404=""""), ""真實支出"",
  AND(E8404="""", F8404&lt;&gt;""""), ""真實收入"",
  TRUE, ""其他""
)"),"其他")</f>
        <v>其他</v>
      </c>
      <c r="K8404" s="270" t="str">
        <f t="shared" si="2"/>
        <v/>
      </c>
      <c r="L8404">
        <f t="shared" si="3"/>
        <v>0</v>
      </c>
    </row>
    <row r="8405">
      <c r="A8405" s="107"/>
      <c r="D8405" s="270"/>
      <c r="H8405" s="106" t="str">
        <f t="shared" si="1"/>
        <v/>
      </c>
      <c r="J8405" t="str">
        <f>IFERROR(__xludf.DUMMYFUNCTION("IFS(
  AND(REGEXMATCH(E8405, ""台銀籌備帳戶|玉山帳戶""), REGEXMATCH(C8405, ""薪資"")), ""分潤支出"",
  AND(REGEXMATCH(E8405, ""Ben帳戶|Elsa帳戶|Ben代墊|Ariel代墊|中信銀行共用""), REGEXMATCH(F8405, ""Ben帳戶|Elsa帳戶|Ben代墊|Ariel代墊|中信銀行共用"")), ""內部轉帳(忽略)"",
  AND(E8405&lt;&gt;"""", F8405&lt;&gt;"""", N"&amp;"OT(REGEXMATCH(C8405, ""薪資""))), ""內部轉帳(忽略)"",
  REGEXMATCH(C8405, ""薪資""), ""薪資變動(不計入)"",
  REGEXMATCH(C8405, ""押金""), ""押金往來"",
  AND(E8405&lt;&gt;"""", F8405=""""), ""真實支出"",
  AND(E8405="""", F8405&lt;&gt;""""), ""真實收入"",
  TRUE, ""其他""
)"),"其他")</f>
        <v>其他</v>
      </c>
      <c r="K8405" s="270" t="str">
        <f t="shared" si="2"/>
        <v/>
      </c>
      <c r="L8405">
        <f t="shared" si="3"/>
        <v>0</v>
      </c>
    </row>
    <row r="8406">
      <c r="A8406" s="107"/>
      <c r="D8406" s="270"/>
      <c r="H8406" s="106" t="str">
        <f t="shared" si="1"/>
        <v/>
      </c>
      <c r="J8406" t="str">
        <f>IFERROR(__xludf.DUMMYFUNCTION("IFS(
  AND(REGEXMATCH(E8406, ""台銀籌備帳戶|玉山帳戶""), REGEXMATCH(C8406, ""薪資"")), ""分潤支出"",
  AND(REGEXMATCH(E8406, ""Ben帳戶|Elsa帳戶|Ben代墊|Ariel代墊|中信銀行共用""), REGEXMATCH(F8406, ""Ben帳戶|Elsa帳戶|Ben代墊|Ariel代墊|中信銀行共用"")), ""內部轉帳(忽略)"",
  AND(E8406&lt;&gt;"""", F8406&lt;&gt;"""", N"&amp;"OT(REGEXMATCH(C8406, ""薪資""))), ""內部轉帳(忽略)"",
  REGEXMATCH(C8406, ""薪資""), ""薪資變動(不計入)"",
  REGEXMATCH(C8406, ""押金""), ""押金往來"",
  AND(E8406&lt;&gt;"""", F8406=""""), ""真實支出"",
  AND(E8406="""", F8406&lt;&gt;""""), ""真實收入"",
  TRUE, ""其他""
)"),"其他")</f>
        <v>其他</v>
      </c>
      <c r="K8406" s="270" t="str">
        <f t="shared" si="2"/>
        <v/>
      </c>
      <c r="L8406">
        <f t="shared" si="3"/>
        <v>0</v>
      </c>
    </row>
    <row r="8407">
      <c r="A8407" s="107"/>
      <c r="D8407" s="270"/>
      <c r="H8407" s="106" t="str">
        <f t="shared" si="1"/>
        <v/>
      </c>
      <c r="J8407" t="str">
        <f>IFERROR(__xludf.DUMMYFUNCTION("IFS(
  AND(REGEXMATCH(E8407, ""台銀籌備帳戶|玉山帳戶""), REGEXMATCH(C8407, ""薪資"")), ""分潤支出"",
  AND(REGEXMATCH(E8407, ""Ben帳戶|Elsa帳戶|Ben代墊|Ariel代墊|中信銀行共用""), REGEXMATCH(F8407, ""Ben帳戶|Elsa帳戶|Ben代墊|Ariel代墊|中信銀行共用"")), ""內部轉帳(忽略)"",
  AND(E8407&lt;&gt;"""", F8407&lt;&gt;"""", N"&amp;"OT(REGEXMATCH(C8407, ""薪資""))), ""內部轉帳(忽略)"",
  REGEXMATCH(C8407, ""薪資""), ""薪資變動(不計入)"",
  REGEXMATCH(C8407, ""押金""), ""押金往來"",
  AND(E8407&lt;&gt;"""", F8407=""""), ""真實支出"",
  AND(E8407="""", F8407&lt;&gt;""""), ""真實收入"",
  TRUE, ""其他""
)"),"其他")</f>
        <v>其他</v>
      </c>
      <c r="K8407" s="270" t="str">
        <f t="shared" si="2"/>
        <v/>
      </c>
      <c r="L8407">
        <f t="shared" si="3"/>
        <v>0</v>
      </c>
    </row>
    <row r="8408">
      <c r="A8408" s="107"/>
      <c r="D8408" s="270"/>
      <c r="H8408" s="106" t="str">
        <f t="shared" si="1"/>
        <v/>
      </c>
      <c r="J8408" t="str">
        <f>IFERROR(__xludf.DUMMYFUNCTION("IFS(
  AND(REGEXMATCH(E8408, ""台銀籌備帳戶|玉山帳戶""), REGEXMATCH(C8408, ""薪資"")), ""分潤支出"",
  AND(REGEXMATCH(E8408, ""Ben帳戶|Elsa帳戶|Ben代墊|Ariel代墊|中信銀行共用""), REGEXMATCH(F8408, ""Ben帳戶|Elsa帳戶|Ben代墊|Ariel代墊|中信銀行共用"")), ""內部轉帳(忽略)"",
  AND(E8408&lt;&gt;"""", F8408&lt;&gt;"""", N"&amp;"OT(REGEXMATCH(C8408, ""薪資""))), ""內部轉帳(忽略)"",
  REGEXMATCH(C8408, ""薪資""), ""薪資變動(不計入)"",
  REGEXMATCH(C8408, ""押金""), ""押金往來"",
  AND(E8408&lt;&gt;"""", F8408=""""), ""真實支出"",
  AND(E8408="""", F8408&lt;&gt;""""), ""真實收入"",
  TRUE, ""其他""
)"),"其他")</f>
        <v>其他</v>
      </c>
      <c r="K8408" s="270" t="str">
        <f t="shared" si="2"/>
        <v/>
      </c>
      <c r="L8408">
        <f t="shared" si="3"/>
        <v>0</v>
      </c>
    </row>
    <row r="8409">
      <c r="A8409" s="107"/>
      <c r="D8409" s="270"/>
      <c r="H8409" s="106" t="str">
        <f t="shared" si="1"/>
        <v/>
      </c>
      <c r="J8409" t="str">
        <f>IFERROR(__xludf.DUMMYFUNCTION("IFS(
  AND(REGEXMATCH(E8409, ""台銀籌備帳戶|玉山帳戶""), REGEXMATCH(C8409, ""薪資"")), ""分潤支出"",
  AND(REGEXMATCH(E8409, ""Ben帳戶|Elsa帳戶|Ben代墊|Ariel代墊|中信銀行共用""), REGEXMATCH(F8409, ""Ben帳戶|Elsa帳戶|Ben代墊|Ariel代墊|中信銀行共用"")), ""內部轉帳(忽略)"",
  AND(E8409&lt;&gt;"""", F8409&lt;&gt;"""", N"&amp;"OT(REGEXMATCH(C8409, ""薪資""))), ""內部轉帳(忽略)"",
  REGEXMATCH(C8409, ""薪資""), ""薪資變動(不計入)"",
  REGEXMATCH(C8409, ""押金""), ""押金往來"",
  AND(E8409&lt;&gt;"""", F8409=""""), ""真實支出"",
  AND(E8409="""", F8409&lt;&gt;""""), ""真實收入"",
  TRUE, ""其他""
)"),"其他")</f>
        <v>其他</v>
      </c>
      <c r="K8409" s="270" t="str">
        <f t="shared" si="2"/>
        <v/>
      </c>
      <c r="L8409">
        <f t="shared" si="3"/>
        <v>0</v>
      </c>
    </row>
    <row r="8410">
      <c r="A8410" s="107"/>
      <c r="D8410" s="270"/>
      <c r="H8410" s="106" t="str">
        <f t="shared" si="1"/>
        <v/>
      </c>
      <c r="J8410" t="str">
        <f>IFERROR(__xludf.DUMMYFUNCTION("IFS(
  AND(REGEXMATCH(E8410, ""台銀籌備帳戶|玉山帳戶""), REGEXMATCH(C8410, ""薪資"")), ""分潤支出"",
  AND(REGEXMATCH(E8410, ""Ben帳戶|Elsa帳戶|Ben代墊|Ariel代墊|中信銀行共用""), REGEXMATCH(F8410, ""Ben帳戶|Elsa帳戶|Ben代墊|Ariel代墊|中信銀行共用"")), ""內部轉帳(忽略)"",
  AND(E8410&lt;&gt;"""", F8410&lt;&gt;"""", N"&amp;"OT(REGEXMATCH(C8410, ""薪資""))), ""內部轉帳(忽略)"",
  REGEXMATCH(C8410, ""薪資""), ""薪資變動(不計入)"",
  REGEXMATCH(C8410, ""押金""), ""押金往來"",
  AND(E8410&lt;&gt;"""", F8410=""""), ""真實支出"",
  AND(E8410="""", F8410&lt;&gt;""""), ""真實收入"",
  TRUE, ""其他""
)"),"其他")</f>
        <v>其他</v>
      </c>
      <c r="K8410" s="270" t="str">
        <f t="shared" si="2"/>
        <v/>
      </c>
      <c r="L8410">
        <f t="shared" si="3"/>
        <v>0</v>
      </c>
    </row>
    <row r="8411">
      <c r="A8411" s="107"/>
      <c r="D8411" s="270"/>
      <c r="H8411" s="106" t="str">
        <f t="shared" si="1"/>
        <v/>
      </c>
      <c r="J8411" t="str">
        <f>IFERROR(__xludf.DUMMYFUNCTION("IFS(
  AND(REGEXMATCH(E8411, ""台銀籌備帳戶|玉山帳戶""), REGEXMATCH(C8411, ""薪資"")), ""分潤支出"",
  AND(REGEXMATCH(E8411, ""Ben帳戶|Elsa帳戶|Ben代墊|Ariel代墊|中信銀行共用""), REGEXMATCH(F8411, ""Ben帳戶|Elsa帳戶|Ben代墊|Ariel代墊|中信銀行共用"")), ""內部轉帳(忽略)"",
  AND(E8411&lt;&gt;"""", F8411&lt;&gt;"""", N"&amp;"OT(REGEXMATCH(C8411, ""薪資""))), ""內部轉帳(忽略)"",
  REGEXMATCH(C8411, ""薪資""), ""薪資變動(不計入)"",
  REGEXMATCH(C8411, ""押金""), ""押金往來"",
  AND(E8411&lt;&gt;"""", F8411=""""), ""真實支出"",
  AND(E8411="""", F8411&lt;&gt;""""), ""真實收入"",
  TRUE, ""其他""
)"),"其他")</f>
        <v>其他</v>
      </c>
      <c r="K8411" s="270" t="str">
        <f t="shared" si="2"/>
        <v/>
      </c>
      <c r="L8411">
        <f t="shared" si="3"/>
        <v>0</v>
      </c>
    </row>
    <row r="8412">
      <c r="A8412" s="107"/>
      <c r="D8412" s="270"/>
      <c r="H8412" s="106" t="str">
        <f t="shared" si="1"/>
        <v/>
      </c>
      <c r="J8412" t="str">
        <f>IFERROR(__xludf.DUMMYFUNCTION("IFS(
  AND(REGEXMATCH(E8412, ""台銀籌備帳戶|玉山帳戶""), REGEXMATCH(C8412, ""薪資"")), ""分潤支出"",
  AND(REGEXMATCH(E8412, ""Ben帳戶|Elsa帳戶|Ben代墊|Ariel代墊|中信銀行共用""), REGEXMATCH(F8412, ""Ben帳戶|Elsa帳戶|Ben代墊|Ariel代墊|中信銀行共用"")), ""內部轉帳(忽略)"",
  AND(E8412&lt;&gt;"""", F8412&lt;&gt;"""", N"&amp;"OT(REGEXMATCH(C8412, ""薪資""))), ""內部轉帳(忽略)"",
  REGEXMATCH(C8412, ""薪資""), ""薪資變動(不計入)"",
  REGEXMATCH(C8412, ""押金""), ""押金往來"",
  AND(E8412&lt;&gt;"""", F8412=""""), ""真實支出"",
  AND(E8412="""", F8412&lt;&gt;""""), ""真實收入"",
  TRUE, ""其他""
)"),"其他")</f>
        <v>其他</v>
      </c>
      <c r="K8412" s="270" t="str">
        <f t="shared" si="2"/>
        <v/>
      </c>
      <c r="L8412">
        <f t="shared" si="3"/>
        <v>0</v>
      </c>
    </row>
    <row r="8413">
      <c r="A8413" s="107"/>
      <c r="D8413" s="270"/>
      <c r="H8413" s="106" t="str">
        <f t="shared" si="1"/>
        <v/>
      </c>
      <c r="J8413" t="str">
        <f>IFERROR(__xludf.DUMMYFUNCTION("IFS(
  AND(REGEXMATCH(E8413, ""台銀籌備帳戶|玉山帳戶""), REGEXMATCH(C8413, ""薪資"")), ""分潤支出"",
  AND(REGEXMATCH(E8413, ""Ben帳戶|Elsa帳戶|Ben代墊|Ariel代墊|中信銀行共用""), REGEXMATCH(F8413, ""Ben帳戶|Elsa帳戶|Ben代墊|Ariel代墊|中信銀行共用"")), ""內部轉帳(忽略)"",
  AND(E8413&lt;&gt;"""", F8413&lt;&gt;"""", N"&amp;"OT(REGEXMATCH(C8413, ""薪資""))), ""內部轉帳(忽略)"",
  REGEXMATCH(C8413, ""薪資""), ""薪資變動(不計入)"",
  REGEXMATCH(C8413, ""押金""), ""押金往來"",
  AND(E8413&lt;&gt;"""", F8413=""""), ""真實支出"",
  AND(E8413="""", F8413&lt;&gt;""""), ""真實收入"",
  TRUE, ""其他""
)"),"其他")</f>
        <v>其他</v>
      </c>
      <c r="K8413" s="270" t="str">
        <f t="shared" si="2"/>
        <v/>
      </c>
      <c r="L8413">
        <f t="shared" si="3"/>
        <v>0</v>
      </c>
    </row>
    <row r="8414">
      <c r="A8414" s="107"/>
      <c r="D8414" s="270"/>
      <c r="H8414" s="106" t="str">
        <f t="shared" si="1"/>
        <v/>
      </c>
      <c r="J8414" t="str">
        <f>IFERROR(__xludf.DUMMYFUNCTION("IFS(
  AND(REGEXMATCH(E8414, ""台銀籌備帳戶|玉山帳戶""), REGEXMATCH(C8414, ""薪資"")), ""分潤支出"",
  AND(REGEXMATCH(E8414, ""Ben帳戶|Elsa帳戶|Ben代墊|Ariel代墊|中信銀行共用""), REGEXMATCH(F8414, ""Ben帳戶|Elsa帳戶|Ben代墊|Ariel代墊|中信銀行共用"")), ""內部轉帳(忽略)"",
  AND(E8414&lt;&gt;"""", F8414&lt;&gt;"""", N"&amp;"OT(REGEXMATCH(C8414, ""薪資""))), ""內部轉帳(忽略)"",
  REGEXMATCH(C8414, ""薪資""), ""薪資變動(不計入)"",
  REGEXMATCH(C8414, ""押金""), ""押金往來"",
  AND(E8414&lt;&gt;"""", F8414=""""), ""真實支出"",
  AND(E8414="""", F8414&lt;&gt;""""), ""真實收入"",
  TRUE, ""其他""
)"),"其他")</f>
        <v>其他</v>
      </c>
      <c r="K8414" s="270" t="str">
        <f t="shared" si="2"/>
        <v/>
      </c>
      <c r="L8414">
        <f t="shared" si="3"/>
        <v>0</v>
      </c>
    </row>
    <row r="8415">
      <c r="A8415" s="107"/>
      <c r="D8415" s="270"/>
      <c r="H8415" s="106" t="str">
        <f t="shared" si="1"/>
        <v/>
      </c>
      <c r="J8415" t="str">
        <f>IFERROR(__xludf.DUMMYFUNCTION("IFS(
  AND(REGEXMATCH(E8415, ""台銀籌備帳戶|玉山帳戶""), REGEXMATCH(C8415, ""薪資"")), ""分潤支出"",
  AND(REGEXMATCH(E8415, ""Ben帳戶|Elsa帳戶|Ben代墊|Ariel代墊|中信銀行共用""), REGEXMATCH(F8415, ""Ben帳戶|Elsa帳戶|Ben代墊|Ariel代墊|中信銀行共用"")), ""內部轉帳(忽略)"",
  AND(E8415&lt;&gt;"""", F8415&lt;&gt;"""", N"&amp;"OT(REGEXMATCH(C8415, ""薪資""))), ""內部轉帳(忽略)"",
  REGEXMATCH(C8415, ""薪資""), ""薪資變動(不計入)"",
  REGEXMATCH(C8415, ""押金""), ""押金往來"",
  AND(E8415&lt;&gt;"""", F8415=""""), ""真實支出"",
  AND(E8415="""", F8415&lt;&gt;""""), ""真實收入"",
  TRUE, ""其他""
)"),"其他")</f>
        <v>其他</v>
      </c>
      <c r="K8415" s="270" t="str">
        <f t="shared" si="2"/>
        <v/>
      </c>
      <c r="L8415">
        <f t="shared" si="3"/>
        <v>0</v>
      </c>
    </row>
    <row r="8416">
      <c r="A8416" s="107"/>
      <c r="D8416" s="270"/>
      <c r="H8416" s="106" t="str">
        <f t="shared" si="1"/>
        <v/>
      </c>
      <c r="J8416" t="str">
        <f>IFERROR(__xludf.DUMMYFUNCTION("IFS(
  AND(REGEXMATCH(E8416, ""台銀籌備帳戶|玉山帳戶""), REGEXMATCH(C8416, ""薪資"")), ""分潤支出"",
  AND(REGEXMATCH(E8416, ""Ben帳戶|Elsa帳戶|Ben代墊|Ariel代墊|中信銀行共用""), REGEXMATCH(F8416, ""Ben帳戶|Elsa帳戶|Ben代墊|Ariel代墊|中信銀行共用"")), ""內部轉帳(忽略)"",
  AND(E8416&lt;&gt;"""", F8416&lt;&gt;"""", N"&amp;"OT(REGEXMATCH(C8416, ""薪資""))), ""內部轉帳(忽略)"",
  REGEXMATCH(C8416, ""薪資""), ""薪資變動(不計入)"",
  REGEXMATCH(C8416, ""押金""), ""押金往來"",
  AND(E8416&lt;&gt;"""", F8416=""""), ""真實支出"",
  AND(E8416="""", F8416&lt;&gt;""""), ""真實收入"",
  TRUE, ""其他""
)"),"其他")</f>
        <v>其他</v>
      </c>
      <c r="K8416" s="270" t="str">
        <f t="shared" si="2"/>
        <v/>
      </c>
      <c r="L8416">
        <f t="shared" si="3"/>
        <v>0</v>
      </c>
    </row>
    <row r="8417">
      <c r="A8417" s="107"/>
      <c r="D8417" s="270"/>
      <c r="H8417" s="106" t="str">
        <f t="shared" si="1"/>
        <v/>
      </c>
      <c r="J8417" t="str">
        <f>IFERROR(__xludf.DUMMYFUNCTION("IFS(
  AND(REGEXMATCH(E8417, ""台銀籌備帳戶|玉山帳戶""), REGEXMATCH(C8417, ""薪資"")), ""分潤支出"",
  AND(REGEXMATCH(E8417, ""Ben帳戶|Elsa帳戶|Ben代墊|Ariel代墊|中信銀行共用""), REGEXMATCH(F8417, ""Ben帳戶|Elsa帳戶|Ben代墊|Ariel代墊|中信銀行共用"")), ""內部轉帳(忽略)"",
  AND(E8417&lt;&gt;"""", F8417&lt;&gt;"""", N"&amp;"OT(REGEXMATCH(C8417, ""薪資""))), ""內部轉帳(忽略)"",
  REGEXMATCH(C8417, ""薪資""), ""薪資變動(不計入)"",
  REGEXMATCH(C8417, ""押金""), ""押金往來"",
  AND(E8417&lt;&gt;"""", F8417=""""), ""真實支出"",
  AND(E8417="""", F8417&lt;&gt;""""), ""真實收入"",
  TRUE, ""其他""
)"),"其他")</f>
        <v>其他</v>
      </c>
      <c r="K8417" s="270" t="str">
        <f t="shared" si="2"/>
        <v/>
      </c>
      <c r="L8417">
        <f t="shared" si="3"/>
        <v>0</v>
      </c>
    </row>
    <row r="8418">
      <c r="A8418" s="107"/>
      <c r="D8418" s="270"/>
      <c r="H8418" s="106" t="str">
        <f t="shared" si="1"/>
        <v/>
      </c>
      <c r="J8418" t="str">
        <f>IFERROR(__xludf.DUMMYFUNCTION("IFS(
  AND(REGEXMATCH(E8418, ""台銀籌備帳戶|玉山帳戶""), REGEXMATCH(C8418, ""薪資"")), ""分潤支出"",
  AND(REGEXMATCH(E8418, ""Ben帳戶|Elsa帳戶|Ben代墊|Ariel代墊|中信銀行共用""), REGEXMATCH(F8418, ""Ben帳戶|Elsa帳戶|Ben代墊|Ariel代墊|中信銀行共用"")), ""內部轉帳(忽略)"",
  AND(E8418&lt;&gt;"""", F8418&lt;&gt;"""", N"&amp;"OT(REGEXMATCH(C8418, ""薪資""))), ""內部轉帳(忽略)"",
  REGEXMATCH(C8418, ""薪資""), ""薪資變動(不計入)"",
  REGEXMATCH(C8418, ""押金""), ""押金往來"",
  AND(E8418&lt;&gt;"""", F8418=""""), ""真實支出"",
  AND(E8418="""", F8418&lt;&gt;""""), ""真實收入"",
  TRUE, ""其他""
)"),"其他")</f>
        <v>其他</v>
      </c>
      <c r="K8418" s="270" t="str">
        <f t="shared" si="2"/>
        <v/>
      </c>
      <c r="L8418">
        <f t="shared" si="3"/>
        <v>0</v>
      </c>
    </row>
    <row r="8419">
      <c r="A8419" s="107"/>
      <c r="D8419" s="270"/>
      <c r="H8419" s="106" t="str">
        <f t="shared" si="1"/>
        <v/>
      </c>
      <c r="J8419" t="str">
        <f>IFERROR(__xludf.DUMMYFUNCTION("IFS(
  AND(REGEXMATCH(E8419, ""台銀籌備帳戶|玉山帳戶""), REGEXMATCH(C8419, ""薪資"")), ""分潤支出"",
  AND(REGEXMATCH(E8419, ""Ben帳戶|Elsa帳戶|Ben代墊|Ariel代墊|中信銀行共用""), REGEXMATCH(F8419, ""Ben帳戶|Elsa帳戶|Ben代墊|Ariel代墊|中信銀行共用"")), ""內部轉帳(忽略)"",
  AND(E8419&lt;&gt;"""", F8419&lt;&gt;"""", N"&amp;"OT(REGEXMATCH(C8419, ""薪資""))), ""內部轉帳(忽略)"",
  REGEXMATCH(C8419, ""薪資""), ""薪資變動(不計入)"",
  REGEXMATCH(C8419, ""押金""), ""押金往來"",
  AND(E8419&lt;&gt;"""", F8419=""""), ""真實支出"",
  AND(E8419="""", F8419&lt;&gt;""""), ""真實收入"",
  TRUE, ""其他""
)"),"其他")</f>
        <v>其他</v>
      </c>
      <c r="K8419" s="270" t="str">
        <f t="shared" si="2"/>
        <v/>
      </c>
      <c r="L8419">
        <f t="shared" si="3"/>
        <v>0</v>
      </c>
    </row>
    <row r="8420">
      <c r="A8420" s="107"/>
      <c r="D8420" s="270"/>
      <c r="H8420" s="106" t="str">
        <f t="shared" si="1"/>
        <v/>
      </c>
      <c r="J8420" t="str">
        <f>IFERROR(__xludf.DUMMYFUNCTION("IFS(
  AND(REGEXMATCH(E8420, ""台銀籌備帳戶|玉山帳戶""), REGEXMATCH(C8420, ""薪資"")), ""分潤支出"",
  AND(REGEXMATCH(E8420, ""Ben帳戶|Elsa帳戶|Ben代墊|Ariel代墊|中信銀行共用""), REGEXMATCH(F8420, ""Ben帳戶|Elsa帳戶|Ben代墊|Ariel代墊|中信銀行共用"")), ""內部轉帳(忽略)"",
  AND(E8420&lt;&gt;"""", F8420&lt;&gt;"""", N"&amp;"OT(REGEXMATCH(C8420, ""薪資""))), ""內部轉帳(忽略)"",
  REGEXMATCH(C8420, ""薪資""), ""薪資變動(不計入)"",
  REGEXMATCH(C8420, ""押金""), ""押金往來"",
  AND(E8420&lt;&gt;"""", F8420=""""), ""真實支出"",
  AND(E8420="""", F8420&lt;&gt;""""), ""真實收入"",
  TRUE, ""其他""
)"),"其他")</f>
        <v>其他</v>
      </c>
      <c r="K8420" s="270" t="str">
        <f t="shared" si="2"/>
        <v/>
      </c>
      <c r="L8420">
        <f t="shared" si="3"/>
        <v>0</v>
      </c>
    </row>
    <row r="8421">
      <c r="A8421" s="107"/>
      <c r="D8421" s="270"/>
      <c r="H8421" s="106" t="str">
        <f t="shared" si="1"/>
        <v/>
      </c>
      <c r="J8421" t="str">
        <f>IFERROR(__xludf.DUMMYFUNCTION("IFS(
  AND(REGEXMATCH(E8421, ""台銀籌備帳戶|玉山帳戶""), REGEXMATCH(C8421, ""薪資"")), ""分潤支出"",
  AND(REGEXMATCH(E8421, ""Ben帳戶|Elsa帳戶|Ben代墊|Ariel代墊|中信銀行共用""), REGEXMATCH(F8421, ""Ben帳戶|Elsa帳戶|Ben代墊|Ariel代墊|中信銀行共用"")), ""內部轉帳(忽略)"",
  AND(E8421&lt;&gt;"""", F8421&lt;&gt;"""", N"&amp;"OT(REGEXMATCH(C8421, ""薪資""))), ""內部轉帳(忽略)"",
  REGEXMATCH(C8421, ""薪資""), ""薪資變動(不計入)"",
  REGEXMATCH(C8421, ""押金""), ""押金往來"",
  AND(E8421&lt;&gt;"""", F8421=""""), ""真實支出"",
  AND(E8421="""", F8421&lt;&gt;""""), ""真實收入"",
  TRUE, ""其他""
)"),"其他")</f>
        <v>其他</v>
      </c>
      <c r="K8421" s="270" t="str">
        <f t="shared" si="2"/>
        <v/>
      </c>
      <c r="L8421">
        <f t="shared" si="3"/>
        <v>0</v>
      </c>
    </row>
    <row r="8422">
      <c r="A8422" s="107"/>
      <c r="D8422" s="270"/>
      <c r="H8422" s="106" t="str">
        <f t="shared" si="1"/>
        <v/>
      </c>
      <c r="J8422" t="str">
        <f>IFERROR(__xludf.DUMMYFUNCTION("IFS(
  AND(REGEXMATCH(E8422, ""台銀籌備帳戶|玉山帳戶""), REGEXMATCH(C8422, ""薪資"")), ""分潤支出"",
  AND(REGEXMATCH(E8422, ""Ben帳戶|Elsa帳戶|Ben代墊|Ariel代墊|中信銀行共用""), REGEXMATCH(F8422, ""Ben帳戶|Elsa帳戶|Ben代墊|Ariel代墊|中信銀行共用"")), ""內部轉帳(忽略)"",
  AND(E8422&lt;&gt;"""", F8422&lt;&gt;"""", N"&amp;"OT(REGEXMATCH(C8422, ""薪資""))), ""內部轉帳(忽略)"",
  REGEXMATCH(C8422, ""薪資""), ""薪資變動(不計入)"",
  REGEXMATCH(C8422, ""押金""), ""押金往來"",
  AND(E8422&lt;&gt;"""", F8422=""""), ""真實支出"",
  AND(E8422="""", F8422&lt;&gt;""""), ""真實收入"",
  TRUE, ""其他""
)"),"其他")</f>
        <v>其他</v>
      </c>
      <c r="K8422" s="270" t="str">
        <f t="shared" si="2"/>
        <v/>
      </c>
      <c r="L8422">
        <f t="shared" si="3"/>
        <v>0</v>
      </c>
    </row>
    <row r="8423">
      <c r="A8423" s="107"/>
      <c r="D8423" s="270"/>
      <c r="H8423" s="106" t="str">
        <f t="shared" si="1"/>
        <v/>
      </c>
      <c r="J8423" t="str">
        <f>IFERROR(__xludf.DUMMYFUNCTION("IFS(
  AND(REGEXMATCH(E8423, ""台銀籌備帳戶|玉山帳戶""), REGEXMATCH(C8423, ""薪資"")), ""分潤支出"",
  AND(REGEXMATCH(E8423, ""Ben帳戶|Elsa帳戶|Ben代墊|Ariel代墊|中信銀行共用""), REGEXMATCH(F8423, ""Ben帳戶|Elsa帳戶|Ben代墊|Ariel代墊|中信銀行共用"")), ""內部轉帳(忽略)"",
  AND(E8423&lt;&gt;"""", F8423&lt;&gt;"""", N"&amp;"OT(REGEXMATCH(C8423, ""薪資""))), ""內部轉帳(忽略)"",
  REGEXMATCH(C8423, ""薪資""), ""薪資變動(不計入)"",
  REGEXMATCH(C8423, ""押金""), ""押金往來"",
  AND(E8423&lt;&gt;"""", F8423=""""), ""真實支出"",
  AND(E8423="""", F8423&lt;&gt;""""), ""真實收入"",
  TRUE, ""其他""
)"),"其他")</f>
        <v>其他</v>
      </c>
      <c r="K8423" s="270" t="str">
        <f t="shared" si="2"/>
        <v/>
      </c>
      <c r="L8423">
        <f t="shared" si="3"/>
        <v>0</v>
      </c>
    </row>
    <row r="8424">
      <c r="A8424" s="107"/>
      <c r="D8424" s="270"/>
      <c r="H8424" s="106" t="str">
        <f t="shared" si="1"/>
        <v/>
      </c>
      <c r="J8424" t="str">
        <f>IFERROR(__xludf.DUMMYFUNCTION("IFS(
  AND(REGEXMATCH(E8424, ""台銀籌備帳戶|玉山帳戶""), REGEXMATCH(C8424, ""薪資"")), ""分潤支出"",
  AND(REGEXMATCH(E8424, ""Ben帳戶|Elsa帳戶|Ben代墊|Ariel代墊|中信銀行共用""), REGEXMATCH(F8424, ""Ben帳戶|Elsa帳戶|Ben代墊|Ariel代墊|中信銀行共用"")), ""內部轉帳(忽略)"",
  AND(E8424&lt;&gt;"""", F8424&lt;&gt;"""", N"&amp;"OT(REGEXMATCH(C8424, ""薪資""))), ""內部轉帳(忽略)"",
  REGEXMATCH(C8424, ""薪資""), ""薪資變動(不計入)"",
  REGEXMATCH(C8424, ""押金""), ""押金往來"",
  AND(E8424&lt;&gt;"""", F8424=""""), ""真實支出"",
  AND(E8424="""", F8424&lt;&gt;""""), ""真實收入"",
  TRUE, ""其他""
)"),"其他")</f>
        <v>其他</v>
      </c>
      <c r="K8424" s="270" t="str">
        <f t="shared" si="2"/>
        <v/>
      </c>
      <c r="L8424">
        <f t="shared" si="3"/>
        <v>0</v>
      </c>
    </row>
    <row r="8425">
      <c r="A8425" s="107"/>
      <c r="D8425" s="270"/>
      <c r="H8425" s="106" t="str">
        <f t="shared" si="1"/>
        <v/>
      </c>
      <c r="J8425" t="str">
        <f>IFERROR(__xludf.DUMMYFUNCTION("IFS(
  AND(REGEXMATCH(E8425, ""台銀籌備帳戶|玉山帳戶""), REGEXMATCH(C8425, ""薪資"")), ""分潤支出"",
  AND(REGEXMATCH(E8425, ""Ben帳戶|Elsa帳戶|Ben代墊|Ariel代墊|中信銀行共用""), REGEXMATCH(F8425, ""Ben帳戶|Elsa帳戶|Ben代墊|Ariel代墊|中信銀行共用"")), ""內部轉帳(忽略)"",
  AND(E8425&lt;&gt;"""", F8425&lt;&gt;"""", N"&amp;"OT(REGEXMATCH(C8425, ""薪資""))), ""內部轉帳(忽略)"",
  REGEXMATCH(C8425, ""薪資""), ""薪資變動(不計入)"",
  REGEXMATCH(C8425, ""押金""), ""押金往來"",
  AND(E8425&lt;&gt;"""", F8425=""""), ""真實支出"",
  AND(E8425="""", F8425&lt;&gt;""""), ""真實收入"",
  TRUE, ""其他""
)"),"其他")</f>
        <v>其他</v>
      </c>
      <c r="K8425" s="270" t="str">
        <f t="shared" si="2"/>
        <v/>
      </c>
      <c r="L8425">
        <f t="shared" si="3"/>
        <v>0</v>
      </c>
    </row>
    <row r="8426">
      <c r="A8426" s="107"/>
      <c r="D8426" s="270"/>
      <c r="H8426" s="106" t="str">
        <f t="shared" si="1"/>
        <v/>
      </c>
      <c r="J8426" t="str">
        <f>IFERROR(__xludf.DUMMYFUNCTION("IFS(
  AND(REGEXMATCH(E8426, ""台銀籌備帳戶|玉山帳戶""), REGEXMATCH(C8426, ""薪資"")), ""分潤支出"",
  AND(REGEXMATCH(E8426, ""Ben帳戶|Elsa帳戶|Ben代墊|Ariel代墊|中信銀行共用""), REGEXMATCH(F8426, ""Ben帳戶|Elsa帳戶|Ben代墊|Ariel代墊|中信銀行共用"")), ""內部轉帳(忽略)"",
  AND(E8426&lt;&gt;"""", F8426&lt;&gt;"""", N"&amp;"OT(REGEXMATCH(C8426, ""薪資""))), ""內部轉帳(忽略)"",
  REGEXMATCH(C8426, ""薪資""), ""薪資變動(不計入)"",
  REGEXMATCH(C8426, ""押金""), ""押金往來"",
  AND(E8426&lt;&gt;"""", F8426=""""), ""真實支出"",
  AND(E8426="""", F8426&lt;&gt;""""), ""真實收入"",
  TRUE, ""其他""
)"),"其他")</f>
        <v>其他</v>
      </c>
      <c r="K8426" s="270" t="str">
        <f t="shared" si="2"/>
        <v/>
      </c>
      <c r="L8426">
        <f t="shared" si="3"/>
        <v>0</v>
      </c>
    </row>
    <row r="8427">
      <c r="A8427" s="107"/>
      <c r="D8427" s="270"/>
      <c r="H8427" s="106" t="str">
        <f t="shared" si="1"/>
        <v/>
      </c>
      <c r="J8427" t="str">
        <f>IFERROR(__xludf.DUMMYFUNCTION("IFS(
  AND(REGEXMATCH(E8427, ""台銀籌備帳戶|玉山帳戶""), REGEXMATCH(C8427, ""薪資"")), ""分潤支出"",
  AND(REGEXMATCH(E8427, ""Ben帳戶|Elsa帳戶|Ben代墊|Ariel代墊|中信銀行共用""), REGEXMATCH(F8427, ""Ben帳戶|Elsa帳戶|Ben代墊|Ariel代墊|中信銀行共用"")), ""內部轉帳(忽略)"",
  AND(E8427&lt;&gt;"""", F8427&lt;&gt;"""", N"&amp;"OT(REGEXMATCH(C8427, ""薪資""))), ""內部轉帳(忽略)"",
  REGEXMATCH(C8427, ""薪資""), ""薪資變動(不計入)"",
  REGEXMATCH(C8427, ""押金""), ""押金往來"",
  AND(E8427&lt;&gt;"""", F8427=""""), ""真實支出"",
  AND(E8427="""", F8427&lt;&gt;""""), ""真實收入"",
  TRUE, ""其他""
)"),"其他")</f>
        <v>其他</v>
      </c>
      <c r="K8427" s="270" t="str">
        <f t="shared" si="2"/>
        <v/>
      </c>
      <c r="L8427">
        <f t="shared" si="3"/>
        <v>0</v>
      </c>
    </row>
    <row r="8428">
      <c r="A8428" s="107"/>
      <c r="D8428" s="270"/>
      <c r="H8428" s="106" t="str">
        <f t="shared" si="1"/>
        <v/>
      </c>
      <c r="J8428" t="str">
        <f>IFERROR(__xludf.DUMMYFUNCTION("IFS(
  AND(REGEXMATCH(E8428, ""台銀籌備帳戶|玉山帳戶""), REGEXMATCH(C8428, ""薪資"")), ""分潤支出"",
  AND(REGEXMATCH(E8428, ""Ben帳戶|Elsa帳戶|Ben代墊|Ariel代墊|中信銀行共用""), REGEXMATCH(F8428, ""Ben帳戶|Elsa帳戶|Ben代墊|Ariel代墊|中信銀行共用"")), ""內部轉帳(忽略)"",
  AND(E8428&lt;&gt;"""", F8428&lt;&gt;"""", N"&amp;"OT(REGEXMATCH(C8428, ""薪資""))), ""內部轉帳(忽略)"",
  REGEXMATCH(C8428, ""薪資""), ""薪資變動(不計入)"",
  REGEXMATCH(C8428, ""押金""), ""押金往來"",
  AND(E8428&lt;&gt;"""", F8428=""""), ""真實支出"",
  AND(E8428="""", F8428&lt;&gt;""""), ""真實收入"",
  TRUE, ""其他""
)"),"其他")</f>
        <v>其他</v>
      </c>
      <c r="K8428" s="270" t="str">
        <f t="shared" si="2"/>
        <v/>
      </c>
      <c r="L8428">
        <f t="shared" si="3"/>
        <v>0</v>
      </c>
    </row>
    <row r="8429">
      <c r="A8429" s="107"/>
      <c r="D8429" s="270"/>
      <c r="H8429" s="106" t="str">
        <f t="shared" si="1"/>
        <v/>
      </c>
      <c r="J8429" t="str">
        <f>IFERROR(__xludf.DUMMYFUNCTION("IFS(
  AND(REGEXMATCH(E8429, ""台銀籌備帳戶|玉山帳戶""), REGEXMATCH(C8429, ""薪資"")), ""分潤支出"",
  AND(REGEXMATCH(E8429, ""Ben帳戶|Elsa帳戶|Ben代墊|Ariel代墊|中信銀行共用""), REGEXMATCH(F8429, ""Ben帳戶|Elsa帳戶|Ben代墊|Ariel代墊|中信銀行共用"")), ""內部轉帳(忽略)"",
  AND(E8429&lt;&gt;"""", F8429&lt;&gt;"""", N"&amp;"OT(REGEXMATCH(C8429, ""薪資""))), ""內部轉帳(忽略)"",
  REGEXMATCH(C8429, ""薪資""), ""薪資變動(不計入)"",
  REGEXMATCH(C8429, ""押金""), ""押金往來"",
  AND(E8429&lt;&gt;"""", F8429=""""), ""真實支出"",
  AND(E8429="""", F8429&lt;&gt;""""), ""真實收入"",
  TRUE, ""其他""
)"),"其他")</f>
        <v>其他</v>
      </c>
      <c r="K8429" s="270" t="str">
        <f t="shared" si="2"/>
        <v/>
      </c>
      <c r="L8429">
        <f t="shared" si="3"/>
        <v>0</v>
      </c>
    </row>
    <row r="8430">
      <c r="A8430" s="107"/>
      <c r="D8430" s="270"/>
      <c r="H8430" s="106" t="str">
        <f t="shared" si="1"/>
        <v/>
      </c>
      <c r="J8430" t="str">
        <f>IFERROR(__xludf.DUMMYFUNCTION("IFS(
  AND(REGEXMATCH(E8430, ""台銀籌備帳戶|玉山帳戶""), REGEXMATCH(C8430, ""薪資"")), ""分潤支出"",
  AND(REGEXMATCH(E8430, ""Ben帳戶|Elsa帳戶|Ben代墊|Ariel代墊|中信銀行共用""), REGEXMATCH(F8430, ""Ben帳戶|Elsa帳戶|Ben代墊|Ariel代墊|中信銀行共用"")), ""內部轉帳(忽略)"",
  AND(E8430&lt;&gt;"""", F8430&lt;&gt;"""", N"&amp;"OT(REGEXMATCH(C8430, ""薪資""))), ""內部轉帳(忽略)"",
  REGEXMATCH(C8430, ""薪資""), ""薪資變動(不計入)"",
  REGEXMATCH(C8430, ""押金""), ""押金往來"",
  AND(E8430&lt;&gt;"""", F8430=""""), ""真實支出"",
  AND(E8430="""", F8430&lt;&gt;""""), ""真實收入"",
  TRUE, ""其他""
)"),"其他")</f>
        <v>其他</v>
      </c>
      <c r="K8430" s="270" t="str">
        <f t="shared" si="2"/>
        <v/>
      </c>
      <c r="L8430">
        <f t="shared" si="3"/>
        <v>0</v>
      </c>
    </row>
    <row r="8431">
      <c r="A8431" s="107"/>
      <c r="D8431" s="270"/>
      <c r="H8431" s="106" t="str">
        <f t="shared" si="1"/>
        <v/>
      </c>
      <c r="J8431" t="str">
        <f>IFERROR(__xludf.DUMMYFUNCTION("IFS(
  AND(REGEXMATCH(E8431, ""台銀籌備帳戶|玉山帳戶""), REGEXMATCH(C8431, ""薪資"")), ""分潤支出"",
  AND(REGEXMATCH(E8431, ""Ben帳戶|Elsa帳戶|Ben代墊|Ariel代墊|中信銀行共用""), REGEXMATCH(F8431, ""Ben帳戶|Elsa帳戶|Ben代墊|Ariel代墊|中信銀行共用"")), ""內部轉帳(忽略)"",
  AND(E8431&lt;&gt;"""", F8431&lt;&gt;"""", N"&amp;"OT(REGEXMATCH(C8431, ""薪資""))), ""內部轉帳(忽略)"",
  REGEXMATCH(C8431, ""薪資""), ""薪資變動(不計入)"",
  REGEXMATCH(C8431, ""押金""), ""押金往來"",
  AND(E8431&lt;&gt;"""", F8431=""""), ""真實支出"",
  AND(E8431="""", F8431&lt;&gt;""""), ""真實收入"",
  TRUE, ""其他""
)"),"其他")</f>
        <v>其他</v>
      </c>
      <c r="K8431" s="270" t="str">
        <f t="shared" si="2"/>
        <v/>
      </c>
      <c r="L8431">
        <f t="shared" si="3"/>
        <v>0</v>
      </c>
    </row>
    <row r="8432">
      <c r="A8432" s="107"/>
      <c r="D8432" s="270"/>
      <c r="H8432" s="106" t="str">
        <f t="shared" si="1"/>
        <v/>
      </c>
      <c r="J8432" t="str">
        <f>IFERROR(__xludf.DUMMYFUNCTION("IFS(
  AND(REGEXMATCH(E8432, ""台銀籌備帳戶|玉山帳戶""), REGEXMATCH(C8432, ""薪資"")), ""分潤支出"",
  AND(REGEXMATCH(E8432, ""Ben帳戶|Elsa帳戶|Ben代墊|Ariel代墊|中信銀行共用""), REGEXMATCH(F8432, ""Ben帳戶|Elsa帳戶|Ben代墊|Ariel代墊|中信銀行共用"")), ""內部轉帳(忽略)"",
  AND(E8432&lt;&gt;"""", F8432&lt;&gt;"""", N"&amp;"OT(REGEXMATCH(C8432, ""薪資""))), ""內部轉帳(忽略)"",
  REGEXMATCH(C8432, ""薪資""), ""薪資變動(不計入)"",
  REGEXMATCH(C8432, ""押金""), ""押金往來"",
  AND(E8432&lt;&gt;"""", F8432=""""), ""真實支出"",
  AND(E8432="""", F8432&lt;&gt;""""), ""真實收入"",
  TRUE, ""其他""
)"),"其他")</f>
        <v>其他</v>
      </c>
      <c r="K8432" s="270" t="str">
        <f t="shared" si="2"/>
        <v/>
      </c>
      <c r="L8432">
        <f t="shared" si="3"/>
        <v>0</v>
      </c>
    </row>
    <row r="8433">
      <c r="A8433" s="107"/>
      <c r="D8433" s="270"/>
      <c r="H8433" s="106" t="str">
        <f t="shared" si="1"/>
        <v/>
      </c>
      <c r="J8433" t="str">
        <f>IFERROR(__xludf.DUMMYFUNCTION("IFS(
  AND(REGEXMATCH(E8433, ""台銀籌備帳戶|玉山帳戶""), REGEXMATCH(C8433, ""薪資"")), ""分潤支出"",
  AND(REGEXMATCH(E8433, ""Ben帳戶|Elsa帳戶|Ben代墊|Ariel代墊|中信銀行共用""), REGEXMATCH(F8433, ""Ben帳戶|Elsa帳戶|Ben代墊|Ariel代墊|中信銀行共用"")), ""內部轉帳(忽略)"",
  AND(E8433&lt;&gt;"""", F8433&lt;&gt;"""", N"&amp;"OT(REGEXMATCH(C8433, ""薪資""))), ""內部轉帳(忽略)"",
  REGEXMATCH(C8433, ""薪資""), ""薪資變動(不計入)"",
  REGEXMATCH(C8433, ""押金""), ""押金往來"",
  AND(E8433&lt;&gt;"""", F8433=""""), ""真實支出"",
  AND(E8433="""", F8433&lt;&gt;""""), ""真實收入"",
  TRUE, ""其他""
)"),"其他")</f>
        <v>其他</v>
      </c>
      <c r="K8433" s="270" t="str">
        <f t="shared" si="2"/>
        <v/>
      </c>
      <c r="L8433">
        <f t="shared" si="3"/>
        <v>0</v>
      </c>
    </row>
    <row r="8434">
      <c r="A8434" s="107"/>
      <c r="D8434" s="270"/>
      <c r="H8434" s="106" t="str">
        <f t="shared" si="1"/>
        <v/>
      </c>
      <c r="J8434" t="str">
        <f>IFERROR(__xludf.DUMMYFUNCTION("IFS(
  AND(REGEXMATCH(E8434, ""台銀籌備帳戶|玉山帳戶""), REGEXMATCH(C8434, ""薪資"")), ""分潤支出"",
  AND(REGEXMATCH(E8434, ""Ben帳戶|Elsa帳戶|Ben代墊|Ariel代墊|中信銀行共用""), REGEXMATCH(F8434, ""Ben帳戶|Elsa帳戶|Ben代墊|Ariel代墊|中信銀行共用"")), ""內部轉帳(忽略)"",
  AND(E8434&lt;&gt;"""", F8434&lt;&gt;"""", N"&amp;"OT(REGEXMATCH(C8434, ""薪資""))), ""內部轉帳(忽略)"",
  REGEXMATCH(C8434, ""薪資""), ""薪資變動(不計入)"",
  REGEXMATCH(C8434, ""押金""), ""押金往來"",
  AND(E8434&lt;&gt;"""", F8434=""""), ""真實支出"",
  AND(E8434="""", F8434&lt;&gt;""""), ""真實收入"",
  TRUE, ""其他""
)"),"其他")</f>
        <v>其他</v>
      </c>
      <c r="K8434" s="270" t="str">
        <f t="shared" si="2"/>
        <v/>
      </c>
      <c r="L8434">
        <f t="shared" si="3"/>
        <v>0</v>
      </c>
    </row>
    <row r="8435">
      <c r="A8435" s="107"/>
      <c r="D8435" s="270"/>
      <c r="H8435" s="106" t="str">
        <f t="shared" si="1"/>
        <v/>
      </c>
      <c r="J8435" t="str">
        <f>IFERROR(__xludf.DUMMYFUNCTION("IFS(
  AND(REGEXMATCH(E8435, ""台銀籌備帳戶|玉山帳戶""), REGEXMATCH(C8435, ""薪資"")), ""分潤支出"",
  AND(REGEXMATCH(E8435, ""Ben帳戶|Elsa帳戶|Ben代墊|Ariel代墊|中信銀行共用""), REGEXMATCH(F8435, ""Ben帳戶|Elsa帳戶|Ben代墊|Ariel代墊|中信銀行共用"")), ""內部轉帳(忽略)"",
  AND(E8435&lt;&gt;"""", F8435&lt;&gt;"""", N"&amp;"OT(REGEXMATCH(C8435, ""薪資""))), ""內部轉帳(忽略)"",
  REGEXMATCH(C8435, ""薪資""), ""薪資變動(不計入)"",
  REGEXMATCH(C8435, ""押金""), ""押金往來"",
  AND(E8435&lt;&gt;"""", F8435=""""), ""真實支出"",
  AND(E8435="""", F8435&lt;&gt;""""), ""真實收入"",
  TRUE, ""其他""
)"),"其他")</f>
        <v>其他</v>
      </c>
      <c r="K8435" s="270" t="str">
        <f t="shared" si="2"/>
        <v/>
      </c>
      <c r="L8435">
        <f t="shared" si="3"/>
        <v>0</v>
      </c>
    </row>
    <row r="8436">
      <c r="A8436" s="107"/>
      <c r="D8436" s="270"/>
      <c r="H8436" s="106" t="str">
        <f t="shared" si="1"/>
        <v/>
      </c>
      <c r="J8436" t="str">
        <f>IFERROR(__xludf.DUMMYFUNCTION("IFS(
  AND(REGEXMATCH(E8436, ""台銀籌備帳戶|玉山帳戶""), REGEXMATCH(C8436, ""薪資"")), ""分潤支出"",
  AND(REGEXMATCH(E8436, ""Ben帳戶|Elsa帳戶|Ben代墊|Ariel代墊|中信銀行共用""), REGEXMATCH(F8436, ""Ben帳戶|Elsa帳戶|Ben代墊|Ariel代墊|中信銀行共用"")), ""內部轉帳(忽略)"",
  AND(E8436&lt;&gt;"""", F8436&lt;&gt;"""", N"&amp;"OT(REGEXMATCH(C8436, ""薪資""))), ""內部轉帳(忽略)"",
  REGEXMATCH(C8436, ""薪資""), ""薪資變動(不計入)"",
  REGEXMATCH(C8436, ""押金""), ""押金往來"",
  AND(E8436&lt;&gt;"""", F8436=""""), ""真實支出"",
  AND(E8436="""", F8436&lt;&gt;""""), ""真實收入"",
  TRUE, ""其他""
)"),"其他")</f>
        <v>其他</v>
      </c>
      <c r="K8436" s="270" t="str">
        <f t="shared" si="2"/>
        <v/>
      </c>
      <c r="L8436">
        <f t="shared" si="3"/>
        <v>0</v>
      </c>
    </row>
    <row r="8437">
      <c r="A8437" s="107"/>
      <c r="D8437" s="270"/>
      <c r="H8437" s="106" t="str">
        <f t="shared" si="1"/>
        <v/>
      </c>
      <c r="J8437" t="str">
        <f>IFERROR(__xludf.DUMMYFUNCTION("IFS(
  AND(REGEXMATCH(E8437, ""台銀籌備帳戶|玉山帳戶""), REGEXMATCH(C8437, ""薪資"")), ""分潤支出"",
  AND(REGEXMATCH(E8437, ""Ben帳戶|Elsa帳戶|Ben代墊|Ariel代墊|中信銀行共用""), REGEXMATCH(F8437, ""Ben帳戶|Elsa帳戶|Ben代墊|Ariel代墊|中信銀行共用"")), ""內部轉帳(忽略)"",
  AND(E8437&lt;&gt;"""", F8437&lt;&gt;"""", N"&amp;"OT(REGEXMATCH(C8437, ""薪資""))), ""內部轉帳(忽略)"",
  REGEXMATCH(C8437, ""薪資""), ""薪資變動(不計入)"",
  REGEXMATCH(C8437, ""押金""), ""押金往來"",
  AND(E8437&lt;&gt;"""", F8437=""""), ""真實支出"",
  AND(E8437="""", F8437&lt;&gt;""""), ""真實收入"",
  TRUE, ""其他""
)"),"其他")</f>
        <v>其他</v>
      </c>
      <c r="K8437" s="270" t="str">
        <f t="shared" si="2"/>
        <v/>
      </c>
      <c r="L8437">
        <f t="shared" si="3"/>
        <v>0</v>
      </c>
    </row>
    <row r="8438">
      <c r="A8438" s="107"/>
      <c r="D8438" s="270"/>
      <c r="H8438" s="106" t="str">
        <f t="shared" si="1"/>
        <v/>
      </c>
      <c r="J8438" t="str">
        <f>IFERROR(__xludf.DUMMYFUNCTION("IFS(
  AND(REGEXMATCH(E8438, ""台銀籌備帳戶|玉山帳戶""), REGEXMATCH(C8438, ""薪資"")), ""分潤支出"",
  AND(REGEXMATCH(E8438, ""Ben帳戶|Elsa帳戶|Ben代墊|Ariel代墊|中信銀行共用""), REGEXMATCH(F8438, ""Ben帳戶|Elsa帳戶|Ben代墊|Ariel代墊|中信銀行共用"")), ""內部轉帳(忽略)"",
  AND(E8438&lt;&gt;"""", F8438&lt;&gt;"""", N"&amp;"OT(REGEXMATCH(C8438, ""薪資""))), ""內部轉帳(忽略)"",
  REGEXMATCH(C8438, ""薪資""), ""薪資變動(不計入)"",
  REGEXMATCH(C8438, ""押金""), ""押金往來"",
  AND(E8438&lt;&gt;"""", F8438=""""), ""真實支出"",
  AND(E8438="""", F8438&lt;&gt;""""), ""真實收入"",
  TRUE, ""其他""
)"),"其他")</f>
        <v>其他</v>
      </c>
      <c r="K8438" s="270" t="str">
        <f t="shared" si="2"/>
        <v/>
      </c>
      <c r="L8438">
        <f t="shared" si="3"/>
        <v>0</v>
      </c>
    </row>
    <row r="8439">
      <c r="A8439" s="107"/>
      <c r="D8439" s="270"/>
      <c r="H8439" s="106" t="str">
        <f t="shared" si="1"/>
        <v/>
      </c>
      <c r="J8439" t="str">
        <f>IFERROR(__xludf.DUMMYFUNCTION("IFS(
  AND(REGEXMATCH(E8439, ""台銀籌備帳戶|玉山帳戶""), REGEXMATCH(C8439, ""薪資"")), ""分潤支出"",
  AND(REGEXMATCH(E8439, ""Ben帳戶|Elsa帳戶|Ben代墊|Ariel代墊|中信銀行共用""), REGEXMATCH(F8439, ""Ben帳戶|Elsa帳戶|Ben代墊|Ariel代墊|中信銀行共用"")), ""內部轉帳(忽略)"",
  AND(E8439&lt;&gt;"""", F8439&lt;&gt;"""", N"&amp;"OT(REGEXMATCH(C8439, ""薪資""))), ""內部轉帳(忽略)"",
  REGEXMATCH(C8439, ""薪資""), ""薪資變動(不計入)"",
  REGEXMATCH(C8439, ""押金""), ""押金往來"",
  AND(E8439&lt;&gt;"""", F8439=""""), ""真實支出"",
  AND(E8439="""", F8439&lt;&gt;""""), ""真實收入"",
  TRUE, ""其他""
)"),"其他")</f>
        <v>其他</v>
      </c>
      <c r="K8439" s="270" t="str">
        <f t="shared" si="2"/>
        <v/>
      </c>
      <c r="L8439">
        <f t="shared" si="3"/>
        <v>0</v>
      </c>
    </row>
    <row r="8440">
      <c r="A8440" s="107"/>
      <c r="D8440" s="270"/>
      <c r="H8440" s="106" t="str">
        <f t="shared" si="1"/>
        <v/>
      </c>
      <c r="J8440" t="str">
        <f>IFERROR(__xludf.DUMMYFUNCTION("IFS(
  AND(REGEXMATCH(E8440, ""台銀籌備帳戶|玉山帳戶""), REGEXMATCH(C8440, ""薪資"")), ""分潤支出"",
  AND(REGEXMATCH(E8440, ""Ben帳戶|Elsa帳戶|Ben代墊|Ariel代墊|中信銀行共用""), REGEXMATCH(F8440, ""Ben帳戶|Elsa帳戶|Ben代墊|Ariel代墊|中信銀行共用"")), ""內部轉帳(忽略)"",
  AND(E8440&lt;&gt;"""", F8440&lt;&gt;"""", N"&amp;"OT(REGEXMATCH(C8440, ""薪資""))), ""內部轉帳(忽略)"",
  REGEXMATCH(C8440, ""薪資""), ""薪資變動(不計入)"",
  REGEXMATCH(C8440, ""押金""), ""押金往來"",
  AND(E8440&lt;&gt;"""", F8440=""""), ""真實支出"",
  AND(E8440="""", F8440&lt;&gt;""""), ""真實收入"",
  TRUE, ""其他""
)"),"其他")</f>
        <v>其他</v>
      </c>
      <c r="K8440" s="270" t="str">
        <f t="shared" si="2"/>
        <v/>
      </c>
      <c r="L8440">
        <f t="shared" si="3"/>
        <v>0</v>
      </c>
    </row>
    <row r="8441">
      <c r="A8441" s="107"/>
      <c r="D8441" s="270"/>
      <c r="H8441" s="106" t="str">
        <f t="shared" si="1"/>
        <v/>
      </c>
      <c r="J8441" t="str">
        <f>IFERROR(__xludf.DUMMYFUNCTION("IFS(
  AND(REGEXMATCH(E8441, ""台銀籌備帳戶|玉山帳戶""), REGEXMATCH(C8441, ""薪資"")), ""分潤支出"",
  AND(REGEXMATCH(E8441, ""Ben帳戶|Elsa帳戶|Ben代墊|Ariel代墊|中信銀行共用""), REGEXMATCH(F8441, ""Ben帳戶|Elsa帳戶|Ben代墊|Ariel代墊|中信銀行共用"")), ""內部轉帳(忽略)"",
  AND(E8441&lt;&gt;"""", F8441&lt;&gt;"""", N"&amp;"OT(REGEXMATCH(C8441, ""薪資""))), ""內部轉帳(忽略)"",
  REGEXMATCH(C8441, ""薪資""), ""薪資變動(不計入)"",
  REGEXMATCH(C8441, ""押金""), ""押金往來"",
  AND(E8441&lt;&gt;"""", F8441=""""), ""真實支出"",
  AND(E8441="""", F8441&lt;&gt;""""), ""真實收入"",
  TRUE, ""其他""
)"),"其他")</f>
        <v>其他</v>
      </c>
      <c r="K8441" s="270" t="str">
        <f t="shared" si="2"/>
        <v/>
      </c>
      <c r="L8441">
        <f t="shared" si="3"/>
        <v>0</v>
      </c>
    </row>
    <row r="8442">
      <c r="A8442" s="107"/>
      <c r="D8442" s="270"/>
      <c r="H8442" s="106" t="str">
        <f t="shared" si="1"/>
        <v/>
      </c>
      <c r="J8442" t="str">
        <f>IFERROR(__xludf.DUMMYFUNCTION("IFS(
  AND(REGEXMATCH(E8442, ""台銀籌備帳戶|玉山帳戶""), REGEXMATCH(C8442, ""薪資"")), ""分潤支出"",
  AND(REGEXMATCH(E8442, ""Ben帳戶|Elsa帳戶|Ben代墊|Ariel代墊|中信銀行共用""), REGEXMATCH(F8442, ""Ben帳戶|Elsa帳戶|Ben代墊|Ariel代墊|中信銀行共用"")), ""內部轉帳(忽略)"",
  AND(E8442&lt;&gt;"""", F8442&lt;&gt;"""", N"&amp;"OT(REGEXMATCH(C8442, ""薪資""))), ""內部轉帳(忽略)"",
  REGEXMATCH(C8442, ""薪資""), ""薪資變動(不計入)"",
  REGEXMATCH(C8442, ""押金""), ""押金往來"",
  AND(E8442&lt;&gt;"""", F8442=""""), ""真實支出"",
  AND(E8442="""", F8442&lt;&gt;""""), ""真實收入"",
  TRUE, ""其他""
)"),"其他")</f>
        <v>其他</v>
      </c>
      <c r="K8442" s="270" t="str">
        <f t="shared" si="2"/>
        <v/>
      </c>
      <c r="L8442">
        <f t="shared" si="3"/>
        <v>0</v>
      </c>
    </row>
    <row r="8443">
      <c r="A8443" s="107"/>
      <c r="D8443" s="270"/>
      <c r="H8443" s="106" t="str">
        <f t="shared" si="1"/>
        <v/>
      </c>
      <c r="J8443" t="str">
        <f>IFERROR(__xludf.DUMMYFUNCTION("IFS(
  AND(REGEXMATCH(E8443, ""台銀籌備帳戶|玉山帳戶""), REGEXMATCH(C8443, ""薪資"")), ""分潤支出"",
  AND(REGEXMATCH(E8443, ""Ben帳戶|Elsa帳戶|Ben代墊|Ariel代墊|中信銀行共用""), REGEXMATCH(F8443, ""Ben帳戶|Elsa帳戶|Ben代墊|Ariel代墊|中信銀行共用"")), ""內部轉帳(忽略)"",
  AND(E8443&lt;&gt;"""", F8443&lt;&gt;"""", N"&amp;"OT(REGEXMATCH(C8443, ""薪資""))), ""內部轉帳(忽略)"",
  REGEXMATCH(C8443, ""薪資""), ""薪資變動(不計入)"",
  REGEXMATCH(C8443, ""押金""), ""押金往來"",
  AND(E8443&lt;&gt;"""", F8443=""""), ""真實支出"",
  AND(E8443="""", F8443&lt;&gt;""""), ""真實收入"",
  TRUE, ""其他""
)"),"其他")</f>
        <v>其他</v>
      </c>
      <c r="K8443" s="270" t="str">
        <f t="shared" si="2"/>
        <v/>
      </c>
      <c r="L8443">
        <f t="shared" si="3"/>
        <v>0</v>
      </c>
    </row>
    <row r="8444">
      <c r="A8444" s="107"/>
      <c r="D8444" s="270"/>
      <c r="H8444" s="106" t="str">
        <f t="shared" si="1"/>
        <v/>
      </c>
      <c r="J8444" t="str">
        <f>IFERROR(__xludf.DUMMYFUNCTION("IFS(
  AND(REGEXMATCH(E8444, ""台銀籌備帳戶|玉山帳戶""), REGEXMATCH(C8444, ""薪資"")), ""分潤支出"",
  AND(REGEXMATCH(E8444, ""Ben帳戶|Elsa帳戶|Ben代墊|Ariel代墊|中信銀行共用""), REGEXMATCH(F8444, ""Ben帳戶|Elsa帳戶|Ben代墊|Ariel代墊|中信銀行共用"")), ""內部轉帳(忽略)"",
  AND(E8444&lt;&gt;"""", F8444&lt;&gt;"""", N"&amp;"OT(REGEXMATCH(C8444, ""薪資""))), ""內部轉帳(忽略)"",
  REGEXMATCH(C8444, ""薪資""), ""薪資變動(不計入)"",
  REGEXMATCH(C8444, ""押金""), ""押金往來"",
  AND(E8444&lt;&gt;"""", F8444=""""), ""真實支出"",
  AND(E8444="""", F8444&lt;&gt;""""), ""真實收入"",
  TRUE, ""其他""
)"),"其他")</f>
        <v>其他</v>
      </c>
      <c r="K8444" s="270" t="str">
        <f t="shared" si="2"/>
        <v/>
      </c>
      <c r="L8444">
        <f t="shared" si="3"/>
        <v>0</v>
      </c>
    </row>
    <row r="8445">
      <c r="A8445" s="107"/>
      <c r="D8445" s="270"/>
      <c r="H8445" s="106" t="str">
        <f t="shared" si="1"/>
        <v/>
      </c>
      <c r="J8445" t="str">
        <f>IFERROR(__xludf.DUMMYFUNCTION("IFS(
  AND(REGEXMATCH(E8445, ""台銀籌備帳戶|玉山帳戶""), REGEXMATCH(C8445, ""薪資"")), ""分潤支出"",
  AND(REGEXMATCH(E8445, ""Ben帳戶|Elsa帳戶|Ben代墊|Ariel代墊|中信銀行共用""), REGEXMATCH(F8445, ""Ben帳戶|Elsa帳戶|Ben代墊|Ariel代墊|中信銀行共用"")), ""內部轉帳(忽略)"",
  AND(E8445&lt;&gt;"""", F8445&lt;&gt;"""", N"&amp;"OT(REGEXMATCH(C8445, ""薪資""))), ""內部轉帳(忽略)"",
  REGEXMATCH(C8445, ""薪資""), ""薪資變動(不計入)"",
  REGEXMATCH(C8445, ""押金""), ""押金往來"",
  AND(E8445&lt;&gt;"""", F8445=""""), ""真實支出"",
  AND(E8445="""", F8445&lt;&gt;""""), ""真實收入"",
  TRUE, ""其他""
)"),"其他")</f>
        <v>其他</v>
      </c>
      <c r="K8445" s="270" t="str">
        <f t="shared" si="2"/>
        <v/>
      </c>
      <c r="L8445">
        <f t="shared" si="3"/>
        <v>0</v>
      </c>
    </row>
    <row r="8446">
      <c r="A8446" s="107"/>
      <c r="D8446" s="270"/>
      <c r="H8446" s="106" t="str">
        <f t="shared" si="1"/>
        <v/>
      </c>
      <c r="J8446" t="str">
        <f>IFERROR(__xludf.DUMMYFUNCTION("IFS(
  AND(REGEXMATCH(E8446, ""台銀籌備帳戶|玉山帳戶""), REGEXMATCH(C8446, ""薪資"")), ""分潤支出"",
  AND(REGEXMATCH(E8446, ""Ben帳戶|Elsa帳戶|Ben代墊|Ariel代墊|中信銀行共用""), REGEXMATCH(F8446, ""Ben帳戶|Elsa帳戶|Ben代墊|Ariel代墊|中信銀行共用"")), ""內部轉帳(忽略)"",
  AND(E8446&lt;&gt;"""", F8446&lt;&gt;"""", N"&amp;"OT(REGEXMATCH(C8446, ""薪資""))), ""內部轉帳(忽略)"",
  REGEXMATCH(C8446, ""薪資""), ""薪資變動(不計入)"",
  REGEXMATCH(C8446, ""押金""), ""押金往來"",
  AND(E8446&lt;&gt;"""", F8446=""""), ""真實支出"",
  AND(E8446="""", F8446&lt;&gt;""""), ""真實收入"",
  TRUE, ""其他""
)"),"其他")</f>
        <v>其他</v>
      </c>
      <c r="K8446" s="270" t="str">
        <f t="shared" si="2"/>
        <v/>
      </c>
      <c r="L8446">
        <f t="shared" si="3"/>
        <v>0</v>
      </c>
    </row>
    <row r="8447">
      <c r="A8447" s="107"/>
      <c r="D8447" s="270"/>
      <c r="H8447" s="106" t="str">
        <f t="shared" si="1"/>
        <v/>
      </c>
      <c r="J8447" t="str">
        <f>IFERROR(__xludf.DUMMYFUNCTION("IFS(
  AND(REGEXMATCH(E8447, ""台銀籌備帳戶|玉山帳戶""), REGEXMATCH(C8447, ""薪資"")), ""分潤支出"",
  AND(REGEXMATCH(E8447, ""Ben帳戶|Elsa帳戶|Ben代墊|Ariel代墊|中信銀行共用""), REGEXMATCH(F8447, ""Ben帳戶|Elsa帳戶|Ben代墊|Ariel代墊|中信銀行共用"")), ""內部轉帳(忽略)"",
  AND(E8447&lt;&gt;"""", F8447&lt;&gt;"""", N"&amp;"OT(REGEXMATCH(C8447, ""薪資""))), ""內部轉帳(忽略)"",
  REGEXMATCH(C8447, ""薪資""), ""薪資變動(不計入)"",
  REGEXMATCH(C8447, ""押金""), ""押金往來"",
  AND(E8447&lt;&gt;"""", F8447=""""), ""真實支出"",
  AND(E8447="""", F8447&lt;&gt;""""), ""真實收入"",
  TRUE, ""其他""
)"),"其他")</f>
        <v>其他</v>
      </c>
      <c r="K8447" s="270" t="str">
        <f t="shared" si="2"/>
        <v/>
      </c>
      <c r="L8447">
        <f t="shared" si="3"/>
        <v>0</v>
      </c>
    </row>
    <row r="8448">
      <c r="A8448" s="107"/>
      <c r="D8448" s="270"/>
      <c r="H8448" s="106" t="str">
        <f t="shared" si="1"/>
        <v/>
      </c>
      <c r="J8448" t="str">
        <f>IFERROR(__xludf.DUMMYFUNCTION("IFS(
  AND(REGEXMATCH(E8448, ""台銀籌備帳戶|玉山帳戶""), REGEXMATCH(C8448, ""薪資"")), ""分潤支出"",
  AND(REGEXMATCH(E8448, ""Ben帳戶|Elsa帳戶|Ben代墊|Ariel代墊|中信銀行共用""), REGEXMATCH(F8448, ""Ben帳戶|Elsa帳戶|Ben代墊|Ariel代墊|中信銀行共用"")), ""內部轉帳(忽略)"",
  AND(E8448&lt;&gt;"""", F8448&lt;&gt;"""", N"&amp;"OT(REGEXMATCH(C8448, ""薪資""))), ""內部轉帳(忽略)"",
  REGEXMATCH(C8448, ""薪資""), ""薪資變動(不計入)"",
  REGEXMATCH(C8448, ""押金""), ""押金往來"",
  AND(E8448&lt;&gt;"""", F8448=""""), ""真實支出"",
  AND(E8448="""", F8448&lt;&gt;""""), ""真實收入"",
  TRUE, ""其他""
)"),"其他")</f>
        <v>其他</v>
      </c>
      <c r="K8448" s="270" t="str">
        <f t="shared" si="2"/>
        <v/>
      </c>
      <c r="L8448">
        <f t="shared" si="3"/>
        <v>0</v>
      </c>
    </row>
    <row r="8449">
      <c r="A8449" s="107"/>
      <c r="D8449" s="270"/>
      <c r="H8449" s="106" t="str">
        <f t="shared" si="1"/>
        <v/>
      </c>
      <c r="J8449" t="str">
        <f>IFERROR(__xludf.DUMMYFUNCTION("IFS(
  AND(REGEXMATCH(E8449, ""台銀籌備帳戶|玉山帳戶""), REGEXMATCH(C8449, ""薪資"")), ""分潤支出"",
  AND(REGEXMATCH(E8449, ""Ben帳戶|Elsa帳戶|Ben代墊|Ariel代墊|中信銀行共用""), REGEXMATCH(F8449, ""Ben帳戶|Elsa帳戶|Ben代墊|Ariel代墊|中信銀行共用"")), ""內部轉帳(忽略)"",
  AND(E8449&lt;&gt;"""", F8449&lt;&gt;"""", N"&amp;"OT(REGEXMATCH(C8449, ""薪資""))), ""內部轉帳(忽略)"",
  REGEXMATCH(C8449, ""薪資""), ""薪資變動(不計入)"",
  REGEXMATCH(C8449, ""押金""), ""押金往來"",
  AND(E8449&lt;&gt;"""", F8449=""""), ""真實支出"",
  AND(E8449="""", F8449&lt;&gt;""""), ""真實收入"",
  TRUE, ""其他""
)"),"其他")</f>
        <v>其他</v>
      </c>
      <c r="K8449" s="270" t="str">
        <f t="shared" si="2"/>
        <v/>
      </c>
      <c r="L8449">
        <f t="shared" si="3"/>
        <v>0</v>
      </c>
    </row>
    <row r="8450">
      <c r="A8450" s="107"/>
      <c r="D8450" s="270"/>
      <c r="H8450" s="106" t="str">
        <f t="shared" si="1"/>
        <v/>
      </c>
      <c r="J8450" t="str">
        <f>IFERROR(__xludf.DUMMYFUNCTION("IFS(
  AND(REGEXMATCH(E8450, ""台銀籌備帳戶|玉山帳戶""), REGEXMATCH(C8450, ""薪資"")), ""分潤支出"",
  AND(REGEXMATCH(E8450, ""Ben帳戶|Elsa帳戶|Ben代墊|Ariel代墊|中信銀行共用""), REGEXMATCH(F8450, ""Ben帳戶|Elsa帳戶|Ben代墊|Ariel代墊|中信銀行共用"")), ""內部轉帳(忽略)"",
  AND(E8450&lt;&gt;"""", F8450&lt;&gt;"""", N"&amp;"OT(REGEXMATCH(C8450, ""薪資""))), ""內部轉帳(忽略)"",
  REGEXMATCH(C8450, ""薪資""), ""薪資變動(不計入)"",
  REGEXMATCH(C8450, ""押金""), ""押金往來"",
  AND(E8450&lt;&gt;"""", F8450=""""), ""真實支出"",
  AND(E8450="""", F8450&lt;&gt;""""), ""真實收入"",
  TRUE, ""其他""
)"),"其他")</f>
        <v>其他</v>
      </c>
      <c r="K8450" s="270" t="str">
        <f t="shared" si="2"/>
        <v/>
      </c>
      <c r="L8450">
        <f t="shared" si="3"/>
        <v>0</v>
      </c>
    </row>
    <row r="8451">
      <c r="A8451" s="107"/>
      <c r="D8451" s="270"/>
      <c r="H8451" s="106" t="str">
        <f t="shared" si="1"/>
        <v/>
      </c>
      <c r="J8451" t="str">
        <f>IFERROR(__xludf.DUMMYFUNCTION("IFS(
  AND(REGEXMATCH(E8451, ""台銀籌備帳戶|玉山帳戶""), REGEXMATCH(C8451, ""薪資"")), ""分潤支出"",
  AND(REGEXMATCH(E8451, ""Ben帳戶|Elsa帳戶|Ben代墊|Ariel代墊|中信銀行共用""), REGEXMATCH(F8451, ""Ben帳戶|Elsa帳戶|Ben代墊|Ariel代墊|中信銀行共用"")), ""內部轉帳(忽略)"",
  AND(E8451&lt;&gt;"""", F8451&lt;&gt;"""", N"&amp;"OT(REGEXMATCH(C8451, ""薪資""))), ""內部轉帳(忽略)"",
  REGEXMATCH(C8451, ""薪資""), ""薪資變動(不計入)"",
  REGEXMATCH(C8451, ""押金""), ""押金往來"",
  AND(E8451&lt;&gt;"""", F8451=""""), ""真實支出"",
  AND(E8451="""", F8451&lt;&gt;""""), ""真實收入"",
  TRUE, ""其他""
)"),"其他")</f>
        <v>其他</v>
      </c>
      <c r="K8451" s="270" t="str">
        <f t="shared" si="2"/>
        <v/>
      </c>
      <c r="L8451">
        <f t="shared" si="3"/>
        <v>0</v>
      </c>
    </row>
    <row r="8452">
      <c r="A8452" s="107"/>
      <c r="D8452" s="270"/>
      <c r="H8452" s="106" t="str">
        <f t="shared" si="1"/>
        <v/>
      </c>
      <c r="J8452" t="str">
        <f>IFERROR(__xludf.DUMMYFUNCTION("IFS(
  AND(REGEXMATCH(E8452, ""台銀籌備帳戶|玉山帳戶""), REGEXMATCH(C8452, ""薪資"")), ""分潤支出"",
  AND(REGEXMATCH(E8452, ""Ben帳戶|Elsa帳戶|Ben代墊|Ariel代墊|中信銀行共用""), REGEXMATCH(F8452, ""Ben帳戶|Elsa帳戶|Ben代墊|Ariel代墊|中信銀行共用"")), ""內部轉帳(忽略)"",
  AND(E8452&lt;&gt;"""", F8452&lt;&gt;"""", N"&amp;"OT(REGEXMATCH(C8452, ""薪資""))), ""內部轉帳(忽略)"",
  REGEXMATCH(C8452, ""薪資""), ""薪資變動(不計入)"",
  REGEXMATCH(C8452, ""押金""), ""押金往來"",
  AND(E8452&lt;&gt;"""", F8452=""""), ""真實支出"",
  AND(E8452="""", F8452&lt;&gt;""""), ""真實收入"",
  TRUE, ""其他""
)"),"其他")</f>
        <v>其他</v>
      </c>
      <c r="K8452" s="270" t="str">
        <f t="shared" si="2"/>
        <v/>
      </c>
      <c r="L8452">
        <f t="shared" si="3"/>
        <v>0</v>
      </c>
    </row>
    <row r="8453">
      <c r="A8453" s="107"/>
      <c r="D8453" s="270"/>
      <c r="H8453" s="106" t="str">
        <f t="shared" si="1"/>
        <v/>
      </c>
      <c r="J8453" t="str">
        <f>IFERROR(__xludf.DUMMYFUNCTION("IFS(
  AND(REGEXMATCH(E8453, ""台銀籌備帳戶|玉山帳戶""), REGEXMATCH(C8453, ""薪資"")), ""分潤支出"",
  AND(REGEXMATCH(E8453, ""Ben帳戶|Elsa帳戶|Ben代墊|Ariel代墊|中信銀行共用""), REGEXMATCH(F8453, ""Ben帳戶|Elsa帳戶|Ben代墊|Ariel代墊|中信銀行共用"")), ""內部轉帳(忽略)"",
  AND(E8453&lt;&gt;"""", F8453&lt;&gt;"""", N"&amp;"OT(REGEXMATCH(C8453, ""薪資""))), ""內部轉帳(忽略)"",
  REGEXMATCH(C8453, ""薪資""), ""薪資變動(不計入)"",
  REGEXMATCH(C8453, ""押金""), ""押金往來"",
  AND(E8453&lt;&gt;"""", F8453=""""), ""真實支出"",
  AND(E8453="""", F8453&lt;&gt;""""), ""真實收入"",
  TRUE, ""其他""
)"),"其他")</f>
        <v>其他</v>
      </c>
      <c r="K8453" s="270" t="str">
        <f t="shared" si="2"/>
        <v/>
      </c>
      <c r="L8453">
        <f t="shared" si="3"/>
        <v>0</v>
      </c>
    </row>
    <row r="8454">
      <c r="A8454" s="107"/>
      <c r="D8454" s="270"/>
      <c r="H8454" s="106" t="str">
        <f t="shared" si="1"/>
        <v/>
      </c>
      <c r="J8454" t="str">
        <f>IFERROR(__xludf.DUMMYFUNCTION("IFS(
  AND(REGEXMATCH(E8454, ""台銀籌備帳戶|玉山帳戶""), REGEXMATCH(C8454, ""薪資"")), ""分潤支出"",
  AND(REGEXMATCH(E8454, ""Ben帳戶|Elsa帳戶|Ben代墊|Ariel代墊|中信銀行共用""), REGEXMATCH(F8454, ""Ben帳戶|Elsa帳戶|Ben代墊|Ariel代墊|中信銀行共用"")), ""內部轉帳(忽略)"",
  AND(E8454&lt;&gt;"""", F8454&lt;&gt;"""", N"&amp;"OT(REGEXMATCH(C8454, ""薪資""))), ""內部轉帳(忽略)"",
  REGEXMATCH(C8454, ""薪資""), ""薪資變動(不計入)"",
  REGEXMATCH(C8454, ""押金""), ""押金往來"",
  AND(E8454&lt;&gt;"""", F8454=""""), ""真實支出"",
  AND(E8454="""", F8454&lt;&gt;""""), ""真實收入"",
  TRUE, ""其他""
)"),"其他")</f>
        <v>其他</v>
      </c>
      <c r="K8454" s="270" t="str">
        <f t="shared" si="2"/>
        <v/>
      </c>
      <c r="L8454">
        <f t="shared" si="3"/>
        <v>0</v>
      </c>
    </row>
    <row r="8455">
      <c r="A8455" s="107"/>
      <c r="D8455" s="270"/>
      <c r="H8455" s="106" t="str">
        <f t="shared" si="1"/>
        <v/>
      </c>
      <c r="J8455" t="str">
        <f>IFERROR(__xludf.DUMMYFUNCTION("IFS(
  AND(REGEXMATCH(E8455, ""台銀籌備帳戶|玉山帳戶""), REGEXMATCH(C8455, ""薪資"")), ""分潤支出"",
  AND(REGEXMATCH(E8455, ""Ben帳戶|Elsa帳戶|Ben代墊|Ariel代墊|中信銀行共用""), REGEXMATCH(F8455, ""Ben帳戶|Elsa帳戶|Ben代墊|Ariel代墊|中信銀行共用"")), ""內部轉帳(忽略)"",
  AND(E8455&lt;&gt;"""", F8455&lt;&gt;"""", N"&amp;"OT(REGEXMATCH(C8455, ""薪資""))), ""內部轉帳(忽略)"",
  REGEXMATCH(C8455, ""薪資""), ""薪資變動(不計入)"",
  REGEXMATCH(C8455, ""押金""), ""押金往來"",
  AND(E8455&lt;&gt;"""", F8455=""""), ""真實支出"",
  AND(E8455="""", F8455&lt;&gt;""""), ""真實收入"",
  TRUE, ""其他""
)"),"其他")</f>
        <v>其他</v>
      </c>
      <c r="K8455" s="270" t="str">
        <f t="shared" si="2"/>
        <v/>
      </c>
      <c r="L8455">
        <f t="shared" si="3"/>
        <v>0</v>
      </c>
    </row>
    <row r="8456">
      <c r="A8456" s="107"/>
      <c r="D8456" s="270"/>
      <c r="H8456" s="106" t="str">
        <f t="shared" si="1"/>
        <v/>
      </c>
      <c r="J8456" t="str">
        <f>IFERROR(__xludf.DUMMYFUNCTION("IFS(
  AND(REGEXMATCH(E8456, ""台銀籌備帳戶|玉山帳戶""), REGEXMATCH(C8456, ""薪資"")), ""分潤支出"",
  AND(REGEXMATCH(E8456, ""Ben帳戶|Elsa帳戶|Ben代墊|Ariel代墊|中信銀行共用""), REGEXMATCH(F8456, ""Ben帳戶|Elsa帳戶|Ben代墊|Ariel代墊|中信銀行共用"")), ""內部轉帳(忽略)"",
  AND(E8456&lt;&gt;"""", F8456&lt;&gt;"""", N"&amp;"OT(REGEXMATCH(C8456, ""薪資""))), ""內部轉帳(忽略)"",
  REGEXMATCH(C8456, ""薪資""), ""薪資變動(不計入)"",
  REGEXMATCH(C8456, ""押金""), ""押金往來"",
  AND(E8456&lt;&gt;"""", F8456=""""), ""真實支出"",
  AND(E8456="""", F8456&lt;&gt;""""), ""真實收入"",
  TRUE, ""其他""
)"),"其他")</f>
        <v>其他</v>
      </c>
      <c r="K8456" s="270" t="str">
        <f t="shared" si="2"/>
        <v/>
      </c>
      <c r="L8456">
        <f t="shared" si="3"/>
        <v>0</v>
      </c>
    </row>
    <row r="8457">
      <c r="A8457" s="107"/>
      <c r="D8457" s="270"/>
      <c r="H8457" s="106" t="str">
        <f t="shared" si="1"/>
        <v/>
      </c>
      <c r="J8457" t="str">
        <f>IFERROR(__xludf.DUMMYFUNCTION("IFS(
  AND(REGEXMATCH(E8457, ""台銀籌備帳戶|玉山帳戶""), REGEXMATCH(C8457, ""薪資"")), ""分潤支出"",
  AND(REGEXMATCH(E8457, ""Ben帳戶|Elsa帳戶|Ben代墊|Ariel代墊|中信銀行共用""), REGEXMATCH(F8457, ""Ben帳戶|Elsa帳戶|Ben代墊|Ariel代墊|中信銀行共用"")), ""內部轉帳(忽略)"",
  AND(E8457&lt;&gt;"""", F8457&lt;&gt;"""", N"&amp;"OT(REGEXMATCH(C8457, ""薪資""))), ""內部轉帳(忽略)"",
  REGEXMATCH(C8457, ""薪資""), ""薪資變動(不計入)"",
  REGEXMATCH(C8457, ""押金""), ""押金往來"",
  AND(E8457&lt;&gt;"""", F8457=""""), ""真實支出"",
  AND(E8457="""", F8457&lt;&gt;""""), ""真實收入"",
  TRUE, ""其他""
)"),"其他")</f>
        <v>其他</v>
      </c>
      <c r="K8457" s="270" t="str">
        <f t="shared" si="2"/>
        <v/>
      </c>
      <c r="L8457">
        <f t="shared" si="3"/>
        <v>0</v>
      </c>
    </row>
    <row r="8458">
      <c r="A8458" s="107"/>
      <c r="D8458" s="270"/>
      <c r="H8458" s="106" t="str">
        <f t="shared" si="1"/>
        <v/>
      </c>
      <c r="J8458" t="str">
        <f>IFERROR(__xludf.DUMMYFUNCTION("IFS(
  AND(REGEXMATCH(E8458, ""台銀籌備帳戶|玉山帳戶""), REGEXMATCH(C8458, ""薪資"")), ""分潤支出"",
  AND(REGEXMATCH(E8458, ""Ben帳戶|Elsa帳戶|Ben代墊|Ariel代墊|中信銀行共用""), REGEXMATCH(F8458, ""Ben帳戶|Elsa帳戶|Ben代墊|Ariel代墊|中信銀行共用"")), ""內部轉帳(忽略)"",
  AND(E8458&lt;&gt;"""", F8458&lt;&gt;"""", N"&amp;"OT(REGEXMATCH(C8458, ""薪資""))), ""內部轉帳(忽略)"",
  REGEXMATCH(C8458, ""薪資""), ""薪資變動(不計入)"",
  REGEXMATCH(C8458, ""押金""), ""押金往來"",
  AND(E8458&lt;&gt;"""", F8458=""""), ""真實支出"",
  AND(E8458="""", F8458&lt;&gt;""""), ""真實收入"",
  TRUE, ""其他""
)"),"其他")</f>
        <v>其他</v>
      </c>
      <c r="K8458" s="270" t="str">
        <f t="shared" si="2"/>
        <v/>
      </c>
      <c r="L8458">
        <f t="shared" si="3"/>
        <v>0</v>
      </c>
    </row>
    <row r="8459">
      <c r="A8459" s="107"/>
      <c r="D8459" s="270"/>
      <c r="H8459" s="106" t="str">
        <f t="shared" si="1"/>
        <v/>
      </c>
      <c r="J8459" t="str">
        <f>IFERROR(__xludf.DUMMYFUNCTION("IFS(
  AND(REGEXMATCH(E8459, ""台銀籌備帳戶|玉山帳戶""), REGEXMATCH(C8459, ""薪資"")), ""分潤支出"",
  AND(REGEXMATCH(E8459, ""Ben帳戶|Elsa帳戶|Ben代墊|Ariel代墊|中信銀行共用""), REGEXMATCH(F8459, ""Ben帳戶|Elsa帳戶|Ben代墊|Ariel代墊|中信銀行共用"")), ""內部轉帳(忽略)"",
  AND(E8459&lt;&gt;"""", F8459&lt;&gt;"""", N"&amp;"OT(REGEXMATCH(C8459, ""薪資""))), ""內部轉帳(忽略)"",
  REGEXMATCH(C8459, ""薪資""), ""薪資變動(不計入)"",
  REGEXMATCH(C8459, ""押金""), ""押金往來"",
  AND(E8459&lt;&gt;"""", F8459=""""), ""真實支出"",
  AND(E8459="""", F8459&lt;&gt;""""), ""真實收入"",
  TRUE, ""其他""
)"),"其他")</f>
        <v>其他</v>
      </c>
      <c r="K8459" s="270" t="str">
        <f t="shared" si="2"/>
        <v/>
      </c>
      <c r="L8459">
        <f t="shared" si="3"/>
        <v>0</v>
      </c>
    </row>
    <row r="8460">
      <c r="A8460" s="107"/>
      <c r="D8460" s="270"/>
      <c r="H8460" s="106" t="str">
        <f t="shared" si="1"/>
        <v/>
      </c>
      <c r="J8460" t="str">
        <f>IFERROR(__xludf.DUMMYFUNCTION("IFS(
  AND(REGEXMATCH(E8460, ""台銀籌備帳戶|玉山帳戶""), REGEXMATCH(C8460, ""薪資"")), ""分潤支出"",
  AND(REGEXMATCH(E8460, ""Ben帳戶|Elsa帳戶|Ben代墊|Ariel代墊|中信銀行共用""), REGEXMATCH(F8460, ""Ben帳戶|Elsa帳戶|Ben代墊|Ariel代墊|中信銀行共用"")), ""內部轉帳(忽略)"",
  AND(E8460&lt;&gt;"""", F8460&lt;&gt;"""", N"&amp;"OT(REGEXMATCH(C8460, ""薪資""))), ""內部轉帳(忽略)"",
  REGEXMATCH(C8460, ""薪資""), ""薪資變動(不計入)"",
  REGEXMATCH(C8460, ""押金""), ""押金往來"",
  AND(E8460&lt;&gt;"""", F8460=""""), ""真實支出"",
  AND(E8460="""", F8460&lt;&gt;""""), ""真實收入"",
  TRUE, ""其他""
)"),"其他")</f>
        <v>其他</v>
      </c>
      <c r="K8460" s="270" t="str">
        <f t="shared" si="2"/>
        <v/>
      </c>
      <c r="L8460">
        <f t="shared" si="3"/>
        <v>0</v>
      </c>
    </row>
    <row r="8461">
      <c r="A8461" s="107"/>
      <c r="D8461" s="270"/>
      <c r="H8461" s="106" t="str">
        <f t="shared" si="1"/>
        <v/>
      </c>
      <c r="J8461" t="str">
        <f>IFERROR(__xludf.DUMMYFUNCTION("IFS(
  AND(REGEXMATCH(E8461, ""台銀籌備帳戶|玉山帳戶""), REGEXMATCH(C8461, ""薪資"")), ""分潤支出"",
  AND(REGEXMATCH(E8461, ""Ben帳戶|Elsa帳戶|Ben代墊|Ariel代墊|中信銀行共用""), REGEXMATCH(F8461, ""Ben帳戶|Elsa帳戶|Ben代墊|Ariel代墊|中信銀行共用"")), ""內部轉帳(忽略)"",
  AND(E8461&lt;&gt;"""", F8461&lt;&gt;"""", N"&amp;"OT(REGEXMATCH(C8461, ""薪資""))), ""內部轉帳(忽略)"",
  REGEXMATCH(C8461, ""薪資""), ""薪資變動(不計入)"",
  REGEXMATCH(C8461, ""押金""), ""押金往來"",
  AND(E8461&lt;&gt;"""", F8461=""""), ""真實支出"",
  AND(E8461="""", F8461&lt;&gt;""""), ""真實收入"",
  TRUE, ""其他""
)"),"其他")</f>
        <v>其他</v>
      </c>
      <c r="K8461" s="270" t="str">
        <f t="shared" si="2"/>
        <v/>
      </c>
      <c r="L8461">
        <f t="shared" si="3"/>
        <v>0</v>
      </c>
    </row>
    <row r="8462">
      <c r="A8462" s="107"/>
      <c r="D8462" s="270"/>
      <c r="H8462" s="106" t="str">
        <f t="shared" si="1"/>
        <v/>
      </c>
      <c r="J8462" t="str">
        <f>IFERROR(__xludf.DUMMYFUNCTION("IFS(
  AND(REGEXMATCH(E8462, ""台銀籌備帳戶|玉山帳戶""), REGEXMATCH(C8462, ""薪資"")), ""分潤支出"",
  AND(REGEXMATCH(E8462, ""Ben帳戶|Elsa帳戶|Ben代墊|Ariel代墊|中信銀行共用""), REGEXMATCH(F8462, ""Ben帳戶|Elsa帳戶|Ben代墊|Ariel代墊|中信銀行共用"")), ""內部轉帳(忽略)"",
  AND(E8462&lt;&gt;"""", F8462&lt;&gt;"""", N"&amp;"OT(REGEXMATCH(C8462, ""薪資""))), ""內部轉帳(忽略)"",
  REGEXMATCH(C8462, ""薪資""), ""薪資變動(不計入)"",
  REGEXMATCH(C8462, ""押金""), ""押金往來"",
  AND(E8462&lt;&gt;"""", F8462=""""), ""真實支出"",
  AND(E8462="""", F8462&lt;&gt;""""), ""真實收入"",
  TRUE, ""其他""
)"),"其他")</f>
        <v>其他</v>
      </c>
      <c r="K8462" s="270" t="str">
        <f t="shared" si="2"/>
        <v/>
      </c>
      <c r="L8462">
        <f t="shared" si="3"/>
        <v>0</v>
      </c>
    </row>
    <row r="8463">
      <c r="A8463" s="107"/>
      <c r="D8463" s="270"/>
      <c r="H8463" s="106" t="str">
        <f t="shared" si="1"/>
        <v/>
      </c>
      <c r="J8463" t="str">
        <f>IFERROR(__xludf.DUMMYFUNCTION("IFS(
  AND(REGEXMATCH(E8463, ""台銀籌備帳戶|玉山帳戶""), REGEXMATCH(C8463, ""薪資"")), ""分潤支出"",
  AND(REGEXMATCH(E8463, ""Ben帳戶|Elsa帳戶|Ben代墊|Ariel代墊|中信銀行共用""), REGEXMATCH(F8463, ""Ben帳戶|Elsa帳戶|Ben代墊|Ariel代墊|中信銀行共用"")), ""內部轉帳(忽略)"",
  AND(E8463&lt;&gt;"""", F8463&lt;&gt;"""", N"&amp;"OT(REGEXMATCH(C8463, ""薪資""))), ""內部轉帳(忽略)"",
  REGEXMATCH(C8463, ""薪資""), ""薪資變動(不計入)"",
  REGEXMATCH(C8463, ""押金""), ""押金往來"",
  AND(E8463&lt;&gt;"""", F8463=""""), ""真實支出"",
  AND(E8463="""", F8463&lt;&gt;""""), ""真實收入"",
  TRUE, ""其他""
)"),"其他")</f>
        <v>其他</v>
      </c>
      <c r="K8463" s="270" t="str">
        <f t="shared" si="2"/>
        <v/>
      </c>
      <c r="L8463">
        <f t="shared" si="3"/>
        <v>0</v>
      </c>
    </row>
    <row r="8464">
      <c r="A8464" s="107"/>
      <c r="D8464" s="270"/>
      <c r="H8464" s="106" t="str">
        <f t="shared" si="1"/>
        <v/>
      </c>
      <c r="J8464" t="str">
        <f>IFERROR(__xludf.DUMMYFUNCTION("IFS(
  AND(REGEXMATCH(E8464, ""台銀籌備帳戶|玉山帳戶""), REGEXMATCH(C8464, ""薪資"")), ""分潤支出"",
  AND(REGEXMATCH(E8464, ""Ben帳戶|Elsa帳戶|Ben代墊|Ariel代墊|中信銀行共用""), REGEXMATCH(F8464, ""Ben帳戶|Elsa帳戶|Ben代墊|Ariel代墊|中信銀行共用"")), ""內部轉帳(忽略)"",
  AND(E8464&lt;&gt;"""", F8464&lt;&gt;"""", N"&amp;"OT(REGEXMATCH(C8464, ""薪資""))), ""內部轉帳(忽略)"",
  REGEXMATCH(C8464, ""薪資""), ""薪資變動(不計入)"",
  REGEXMATCH(C8464, ""押金""), ""押金往來"",
  AND(E8464&lt;&gt;"""", F8464=""""), ""真實支出"",
  AND(E8464="""", F8464&lt;&gt;""""), ""真實收入"",
  TRUE, ""其他""
)"),"其他")</f>
        <v>其他</v>
      </c>
      <c r="K8464" s="270" t="str">
        <f t="shared" si="2"/>
        <v/>
      </c>
      <c r="L8464">
        <f t="shared" si="3"/>
        <v>0</v>
      </c>
    </row>
    <row r="8465">
      <c r="A8465" s="107"/>
      <c r="D8465" s="270"/>
      <c r="H8465" s="106" t="str">
        <f t="shared" si="1"/>
        <v/>
      </c>
      <c r="J8465" t="str">
        <f>IFERROR(__xludf.DUMMYFUNCTION("IFS(
  AND(REGEXMATCH(E8465, ""台銀籌備帳戶|玉山帳戶""), REGEXMATCH(C8465, ""薪資"")), ""分潤支出"",
  AND(REGEXMATCH(E8465, ""Ben帳戶|Elsa帳戶|Ben代墊|Ariel代墊|中信銀行共用""), REGEXMATCH(F8465, ""Ben帳戶|Elsa帳戶|Ben代墊|Ariel代墊|中信銀行共用"")), ""內部轉帳(忽略)"",
  AND(E8465&lt;&gt;"""", F8465&lt;&gt;"""", N"&amp;"OT(REGEXMATCH(C8465, ""薪資""))), ""內部轉帳(忽略)"",
  REGEXMATCH(C8465, ""薪資""), ""薪資變動(不計入)"",
  REGEXMATCH(C8465, ""押金""), ""押金往來"",
  AND(E8465&lt;&gt;"""", F8465=""""), ""真實支出"",
  AND(E8465="""", F8465&lt;&gt;""""), ""真實收入"",
  TRUE, ""其他""
)"),"其他")</f>
        <v>其他</v>
      </c>
      <c r="K8465" s="270" t="str">
        <f t="shared" si="2"/>
        <v/>
      </c>
      <c r="L8465">
        <f t="shared" si="3"/>
        <v>0</v>
      </c>
    </row>
    <row r="8466">
      <c r="A8466" s="107"/>
      <c r="D8466" s="270"/>
      <c r="H8466" s="106" t="str">
        <f t="shared" si="1"/>
        <v/>
      </c>
      <c r="J8466" t="str">
        <f>IFERROR(__xludf.DUMMYFUNCTION("IFS(
  AND(REGEXMATCH(E8466, ""台銀籌備帳戶|玉山帳戶""), REGEXMATCH(C8466, ""薪資"")), ""分潤支出"",
  AND(REGEXMATCH(E8466, ""Ben帳戶|Elsa帳戶|Ben代墊|Ariel代墊|中信銀行共用""), REGEXMATCH(F8466, ""Ben帳戶|Elsa帳戶|Ben代墊|Ariel代墊|中信銀行共用"")), ""內部轉帳(忽略)"",
  AND(E8466&lt;&gt;"""", F8466&lt;&gt;"""", N"&amp;"OT(REGEXMATCH(C8466, ""薪資""))), ""內部轉帳(忽略)"",
  REGEXMATCH(C8466, ""薪資""), ""薪資變動(不計入)"",
  REGEXMATCH(C8466, ""押金""), ""押金往來"",
  AND(E8466&lt;&gt;"""", F8466=""""), ""真實支出"",
  AND(E8466="""", F8466&lt;&gt;""""), ""真實收入"",
  TRUE, ""其他""
)"),"其他")</f>
        <v>其他</v>
      </c>
      <c r="K8466" s="270" t="str">
        <f t="shared" si="2"/>
        <v/>
      </c>
      <c r="L8466">
        <f t="shared" si="3"/>
        <v>0</v>
      </c>
    </row>
    <row r="8467">
      <c r="A8467" s="107"/>
      <c r="D8467" s="270"/>
      <c r="H8467" s="106" t="str">
        <f t="shared" si="1"/>
        <v/>
      </c>
      <c r="J8467" t="str">
        <f>IFERROR(__xludf.DUMMYFUNCTION("IFS(
  AND(REGEXMATCH(E8467, ""台銀籌備帳戶|玉山帳戶""), REGEXMATCH(C8467, ""薪資"")), ""分潤支出"",
  AND(REGEXMATCH(E8467, ""Ben帳戶|Elsa帳戶|Ben代墊|Ariel代墊|中信銀行共用""), REGEXMATCH(F8467, ""Ben帳戶|Elsa帳戶|Ben代墊|Ariel代墊|中信銀行共用"")), ""內部轉帳(忽略)"",
  AND(E8467&lt;&gt;"""", F8467&lt;&gt;"""", N"&amp;"OT(REGEXMATCH(C8467, ""薪資""))), ""內部轉帳(忽略)"",
  REGEXMATCH(C8467, ""薪資""), ""薪資變動(不計入)"",
  REGEXMATCH(C8467, ""押金""), ""押金往來"",
  AND(E8467&lt;&gt;"""", F8467=""""), ""真實支出"",
  AND(E8467="""", F8467&lt;&gt;""""), ""真實收入"",
  TRUE, ""其他""
)"),"其他")</f>
        <v>其他</v>
      </c>
      <c r="K8467" s="270" t="str">
        <f t="shared" si="2"/>
        <v/>
      </c>
      <c r="L8467">
        <f t="shared" si="3"/>
        <v>0</v>
      </c>
    </row>
    <row r="8468">
      <c r="A8468" s="107"/>
      <c r="D8468" s="270"/>
      <c r="H8468" s="106" t="str">
        <f t="shared" si="1"/>
        <v/>
      </c>
      <c r="J8468" t="str">
        <f>IFERROR(__xludf.DUMMYFUNCTION("IFS(
  AND(REGEXMATCH(E8468, ""台銀籌備帳戶|玉山帳戶""), REGEXMATCH(C8468, ""薪資"")), ""分潤支出"",
  AND(REGEXMATCH(E8468, ""Ben帳戶|Elsa帳戶|Ben代墊|Ariel代墊|中信銀行共用""), REGEXMATCH(F8468, ""Ben帳戶|Elsa帳戶|Ben代墊|Ariel代墊|中信銀行共用"")), ""內部轉帳(忽略)"",
  AND(E8468&lt;&gt;"""", F8468&lt;&gt;"""", N"&amp;"OT(REGEXMATCH(C8468, ""薪資""))), ""內部轉帳(忽略)"",
  REGEXMATCH(C8468, ""薪資""), ""薪資變動(不計入)"",
  REGEXMATCH(C8468, ""押金""), ""押金往來"",
  AND(E8468&lt;&gt;"""", F8468=""""), ""真實支出"",
  AND(E8468="""", F8468&lt;&gt;""""), ""真實收入"",
  TRUE, ""其他""
)"),"其他")</f>
        <v>其他</v>
      </c>
      <c r="K8468" s="270" t="str">
        <f t="shared" si="2"/>
        <v/>
      </c>
      <c r="L8468">
        <f t="shared" si="3"/>
        <v>0</v>
      </c>
    </row>
    <row r="8469">
      <c r="A8469" s="107"/>
      <c r="D8469" s="270"/>
      <c r="H8469" s="106" t="str">
        <f t="shared" si="1"/>
        <v/>
      </c>
      <c r="J8469" t="str">
        <f>IFERROR(__xludf.DUMMYFUNCTION("IFS(
  AND(REGEXMATCH(E8469, ""台銀籌備帳戶|玉山帳戶""), REGEXMATCH(C8469, ""薪資"")), ""分潤支出"",
  AND(REGEXMATCH(E8469, ""Ben帳戶|Elsa帳戶|Ben代墊|Ariel代墊|中信銀行共用""), REGEXMATCH(F8469, ""Ben帳戶|Elsa帳戶|Ben代墊|Ariel代墊|中信銀行共用"")), ""內部轉帳(忽略)"",
  AND(E8469&lt;&gt;"""", F8469&lt;&gt;"""", N"&amp;"OT(REGEXMATCH(C8469, ""薪資""))), ""內部轉帳(忽略)"",
  REGEXMATCH(C8469, ""薪資""), ""薪資變動(不計入)"",
  REGEXMATCH(C8469, ""押金""), ""押金往來"",
  AND(E8469&lt;&gt;"""", F8469=""""), ""真實支出"",
  AND(E8469="""", F8469&lt;&gt;""""), ""真實收入"",
  TRUE, ""其他""
)"),"其他")</f>
        <v>其他</v>
      </c>
      <c r="K8469" s="270" t="str">
        <f t="shared" si="2"/>
        <v/>
      </c>
      <c r="L8469">
        <f t="shared" si="3"/>
        <v>0</v>
      </c>
    </row>
    <row r="8470">
      <c r="A8470" s="107"/>
      <c r="D8470" s="270"/>
      <c r="H8470" s="106" t="str">
        <f t="shared" si="1"/>
        <v/>
      </c>
      <c r="J8470" t="str">
        <f>IFERROR(__xludf.DUMMYFUNCTION("IFS(
  AND(REGEXMATCH(E8470, ""台銀籌備帳戶|玉山帳戶""), REGEXMATCH(C8470, ""薪資"")), ""分潤支出"",
  AND(REGEXMATCH(E8470, ""Ben帳戶|Elsa帳戶|Ben代墊|Ariel代墊|中信銀行共用""), REGEXMATCH(F8470, ""Ben帳戶|Elsa帳戶|Ben代墊|Ariel代墊|中信銀行共用"")), ""內部轉帳(忽略)"",
  AND(E8470&lt;&gt;"""", F8470&lt;&gt;"""", N"&amp;"OT(REGEXMATCH(C8470, ""薪資""))), ""內部轉帳(忽略)"",
  REGEXMATCH(C8470, ""薪資""), ""薪資變動(不計入)"",
  REGEXMATCH(C8470, ""押金""), ""押金往來"",
  AND(E8470&lt;&gt;"""", F8470=""""), ""真實支出"",
  AND(E8470="""", F8470&lt;&gt;""""), ""真實收入"",
  TRUE, ""其他""
)"),"其他")</f>
        <v>其他</v>
      </c>
      <c r="K8470" s="270" t="str">
        <f t="shared" si="2"/>
        <v/>
      </c>
      <c r="L8470">
        <f t="shared" si="3"/>
        <v>0</v>
      </c>
    </row>
    <row r="8471">
      <c r="A8471" s="107"/>
      <c r="D8471" s="270"/>
      <c r="H8471" s="106" t="str">
        <f t="shared" si="1"/>
        <v/>
      </c>
      <c r="J8471" t="str">
        <f>IFERROR(__xludf.DUMMYFUNCTION("IFS(
  AND(REGEXMATCH(E8471, ""台銀籌備帳戶|玉山帳戶""), REGEXMATCH(C8471, ""薪資"")), ""分潤支出"",
  AND(REGEXMATCH(E8471, ""Ben帳戶|Elsa帳戶|Ben代墊|Ariel代墊|中信銀行共用""), REGEXMATCH(F8471, ""Ben帳戶|Elsa帳戶|Ben代墊|Ariel代墊|中信銀行共用"")), ""內部轉帳(忽略)"",
  AND(E8471&lt;&gt;"""", F8471&lt;&gt;"""", N"&amp;"OT(REGEXMATCH(C8471, ""薪資""))), ""內部轉帳(忽略)"",
  REGEXMATCH(C8471, ""薪資""), ""薪資變動(不計入)"",
  REGEXMATCH(C8471, ""押金""), ""押金往來"",
  AND(E8471&lt;&gt;"""", F8471=""""), ""真實支出"",
  AND(E8471="""", F8471&lt;&gt;""""), ""真實收入"",
  TRUE, ""其他""
)"),"其他")</f>
        <v>其他</v>
      </c>
      <c r="K8471" s="270" t="str">
        <f t="shared" si="2"/>
        <v/>
      </c>
      <c r="L8471">
        <f t="shared" si="3"/>
        <v>0</v>
      </c>
    </row>
    <row r="8472">
      <c r="A8472" s="107"/>
      <c r="D8472" s="270"/>
      <c r="H8472" s="106" t="str">
        <f t="shared" si="1"/>
        <v/>
      </c>
      <c r="J8472" t="str">
        <f>IFERROR(__xludf.DUMMYFUNCTION("IFS(
  AND(REGEXMATCH(E8472, ""台銀籌備帳戶|玉山帳戶""), REGEXMATCH(C8472, ""薪資"")), ""分潤支出"",
  AND(REGEXMATCH(E8472, ""Ben帳戶|Elsa帳戶|Ben代墊|Ariel代墊|中信銀行共用""), REGEXMATCH(F8472, ""Ben帳戶|Elsa帳戶|Ben代墊|Ariel代墊|中信銀行共用"")), ""內部轉帳(忽略)"",
  AND(E8472&lt;&gt;"""", F8472&lt;&gt;"""", N"&amp;"OT(REGEXMATCH(C8472, ""薪資""))), ""內部轉帳(忽略)"",
  REGEXMATCH(C8472, ""薪資""), ""薪資變動(不計入)"",
  REGEXMATCH(C8472, ""押金""), ""押金往來"",
  AND(E8472&lt;&gt;"""", F8472=""""), ""真實支出"",
  AND(E8472="""", F8472&lt;&gt;""""), ""真實收入"",
  TRUE, ""其他""
)"),"其他")</f>
        <v>其他</v>
      </c>
      <c r="K8472" s="270" t="str">
        <f t="shared" si="2"/>
        <v/>
      </c>
      <c r="L8472">
        <f t="shared" si="3"/>
        <v>0</v>
      </c>
    </row>
    <row r="8473">
      <c r="A8473" s="107"/>
      <c r="D8473" s="270"/>
      <c r="H8473" s="106" t="str">
        <f t="shared" si="1"/>
        <v/>
      </c>
      <c r="J8473" t="str">
        <f>IFERROR(__xludf.DUMMYFUNCTION("IFS(
  AND(REGEXMATCH(E8473, ""台銀籌備帳戶|玉山帳戶""), REGEXMATCH(C8473, ""薪資"")), ""分潤支出"",
  AND(REGEXMATCH(E8473, ""Ben帳戶|Elsa帳戶|Ben代墊|Ariel代墊|中信銀行共用""), REGEXMATCH(F8473, ""Ben帳戶|Elsa帳戶|Ben代墊|Ariel代墊|中信銀行共用"")), ""內部轉帳(忽略)"",
  AND(E8473&lt;&gt;"""", F8473&lt;&gt;"""", N"&amp;"OT(REGEXMATCH(C8473, ""薪資""))), ""內部轉帳(忽略)"",
  REGEXMATCH(C8473, ""薪資""), ""薪資變動(不計入)"",
  REGEXMATCH(C8473, ""押金""), ""押金往來"",
  AND(E8473&lt;&gt;"""", F8473=""""), ""真實支出"",
  AND(E8473="""", F8473&lt;&gt;""""), ""真實收入"",
  TRUE, ""其他""
)"),"其他")</f>
        <v>其他</v>
      </c>
      <c r="K8473" s="270" t="str">
        <f t="shared" si="2"/>
        <v/>
      </c>
      <c r="L8473">
        <f t="shared" si="3"/>
        <v>0</v>
      </c>
    </row>
    <row r="8474">
      <c r="A8474" s="107"/>
      <c r="D8474" s="270"/>
      <c r="H8474" s="106" t="str">
        <f t="shared" si="1"/>
        <v/>
      </c>
      <c r="J8474" t="str">
        <f>IFERROR(__xludf.DUMMYFUNCTION("IFS(
  AND(REGEXMATCH(E8474, ""台銀籌備帳戶|玉山帳戶""), REGEXMATCH(C8474, ""薪資"")), ""分潤支出"",
  AND(REGEXMATCH(E8474, ""Ben帳戶|Elsa帳戶|Ben代墊|Ariel代墊|中信銀行共用""), REGEXMATCH(F8474, ""Ben帳戶|Elsa帳戶|Ben代墊|Ariel代墊|中信銀行共用"")), ""內部轉帳(忽略)"",
  AND(E8474&lt;&gt;"""", F8474&lt;&gt;"""", N"&amp;"OT(REGEXMATCH(C8474, ""薪資""))), ""內部轉帳(忽略)"",
  REGEXMATCH(C8474, ""薪資""), ""薪資變動(不計入)"",
  REGEXMATCH(C8474, ""押金""), ""押金往來"",
  AND(E8474&lt;&gt;"""", F8474=""""), ""真實支出"",
  AND(E8474="""", F8474&lt;&gt;""""), ""真實收入"",
  TRUE, ""其他""
)"),"其他")</f>
        <v>其他</v>
      </c>
      <c r="K8474" s="270" t="str">
        <f t="shared" si="2"/>
        <v/>
      </c>
      <c r="L8474">
        <f t="shared" si="3"/>
        <v>0</v>
      </c>
    </row>
    <row r="8475">
      <c r="A8475" s="107"/>
      <c r="D8475" s="270"/>
      <c r="H8475" s="106" t="str">
        <f t="shared" si="1"/>
        <v/>
      </c>
      <c r="J8475" t="str">
        <f>IFERROR(__xludf.DUMMYFUNCTION("IFS(
  AND(REGEXMATCH(E8475, ""台銀籌備帳戶|玉山帳戶""), REGEXMATCH(C8475, ""薪資"")), ""分潤支出"",
  AND(REGEXMATCH(E8475, ""Ben帳戶|Elsa帳戶|Ben代墊|Ariel代墊|中信銀行共用""), REGEXMATCH(F8475, ""Ben帳戶|Elsa帳戶|Ben代墊|Ariel代墊|中信銀行共用"")), ""內部轉帳(忽略)"",
  AND(E8475&lt;&gt;"""", F8475&lt;&gt;"""", N"&amp;"OT(REGEXMATCH(C8475, ""薪資""))), ""內部轉帳(忽略)"",
  REGEXMATCH(C8475, ""薪資""), ""薪資變動(不計入)"",
  REGEXMATCH(C8475, ""押金""), ""押金往來"",
  AND(E8475&lt;&gt;"""", F8475=""""), ""真實支出"",
  AND(E8475="""", F8475&lt;&gt;""""), ""真實收入"",
  TRUE, ""其他""
)"),"其他")</f>
        <v>其他</v>
      </c>
      <c r="K8475" s="270" t="str">
        <f t="shared" si="2"/>
        <v/>
      </c>
      <c r="L8475">
        <f t="shared" si="3"/>
        <v>0</v>
      </c>
    </row>
    <row r="8476">
      <c r="A8476" s="107"/>
      <c r="D8476" s="270"/>
      <c r="H8476" s="106" t="str">
        <f t="shared" si="1"/>
        <v/>
      </c>
      <c r="J8476" t="str">
        <f>IFERROR(__xludf.DUMMYFUNCTION("IFS(
  AND(REGEXMATCH(E8476, ""台銀籌備帳戶|玉山帳戶""), REGEXMATCH(C8476, ""薪資"")), ""分潤支出"",
  AND(REGEXMATCH(E8476, ""Ben帳戶|Elsa帳戶|Ben代墊|Ariel代墊|中信銀行共用""), REGEXMATCH(F8476, ""Ben帳戶|Elsa帳戶|Ben代墊|Ariel代墊|中信銀行共用"")), ""內部轉帳(忽略)"",
  AND(E8476&lt;&gt;"""", F8476&lt;&gt;"""", N"&amp;"OT(REGEXMATCH(C8476, ""薪資""))), ""內部轉帳(忽略)"",
  REGEXMATCH(C8476, ""薪資""), ""薪資變動(不計入)"",
  REGEXMATCH(C8476, ""押金""), ""押金往來"",
  AND(E8476&lt;&gt;"""", F8476=""""), ""真實支出"",
  AND(E8476="""", F8476&lt;&gt;""""), ""真實收入"",
  TRUE, ""其他""
)"),"其他")</f>
        <v>其他</v>
      </c>
      <c r="K8476" s="270" t="str">
        <f t="shared" si="2"/>
        <v/>
      </c>
      <c r="L8476">
        <f t="shared" si="3"/>
        <v>0</v>
      </c>
    </row>
    <row r="8477">
      <c r="A8477" s="107"/>
      <c r="D8477" s="270"/>
      <c r="H8477" s="106" t="str">
        <f t="shared" si="1"/>
        <v/>
      </c>
      <c r="J8477" t="str">
        <f>IFERROR(__xludf.DUMMYFUNCTION("IFS(
  AND(REGEXMATCH(E8477, ""台銀籌備帳戶|玉山帳戶""), REGEXMATCH(C8477, ""薪資"")), ""分潤支出"",
  AND(REGEXMATCH(E8477, ""Ben帳戶|Elsa帳戶|Ben代墊|Ariel代墊|中信銀行共用""), REGEXMATCH(F8477, ""Ben帳戶|Elsa帳戶|Ben代墊|Ariel代墊|中信銀行共用"")), ""內部轉帳(忽略)"",
  AND(E8477&lt;&gt;"""", F8477&lt;&gt;"""", N"&amp;"OT(REGEXMATCH(C8477, ""薪資""))), ""內部轉帳(忽略)"",
  REGEXMATCH(C8477, ""薪資""), ""薪資變動(不計入)"",
  REGEXMATCH(C8477, ""押金""), ""押金往來"",
  AND(E8477&lt;&gt;"""", F8477=""""), ""真實支出"",
  AND(E8477="""", F8477&lt;&gt;""""), ""真實收入"",
  TRUE, ""其他""
)"),"其他")</f>
        <v>其他</v>
      </c>
      <c r="K8477" s="270" t="str">
        <f t="shared" si="2"/>
        <v/>
      </c>
      <c r="L8477">
        <f t="shared" si="3"/>
        <v>0</v>
      </c>
    </row>
    <row r="8478">
      <c r="A8478" s="107"/>
      <c r="D8478" s="270"/>
      <c r="H8478" s="106" t="str">
        <f t="shared" si="1"/>
        <v/>
      </c>
      <c r="J8478" t="str">
        <f>IFERROR(__xludf.DUMMYFUNCTION("IFS(
  AND(REGEXMATCH(E8478, ""台銀籌備帳戶|玉山帳戶""), REGEXMATCH(C8478, ""薪資"")), ""分潤支出"",
  AND(REGEXMATCH(E8478, ""Ben帳戶|Elsa帳戶|Ben代墊|Ariel代墊|中信銀行共用""), REGEXMATCH(F8478, ""Ben帳戶|Elsa帳戶|Ben代墊|Ariel代墊|中信銀行共用"")), ""內部轉帳(忽略)"",
  AND(E8478&lt;&gt;"""", F8478&lt;&gt;"""", N"&amp;"OT(REGEXMATCH(C8478, ""薪資""))), ""內部轉帳(忽略)"",
  REGEXMATCH(C8478, ""薪資""), ""薪資變動(不計入)"",
  REGEXMATCH(C8478, ""押金""), ""押金往來"",
  AND(E8478&lt;&gt;"""", F8478=""""), ""真實支出"",
  AND(E8478="""", F8478&lt;&gt;""""), ""真實收入"",
  TRUE, ""其他""
)"),"其他")</f>
        <v>其他</v>
      </c>
      <c r="K8478" s="270" t="str">
        <f t="shared" si="2"/>
        <v/>
      </c>
      <c r="L8478">
        <f t="shared" si="3"/>
        <v>0</v>
      </c>
    </row>
    <row r="8479">
      <c r="A8479" s="107"/>
      <c r="D8479" s="270"/>
      <c r="H8479" s="106" t="str">
        <f t="shared" si="1"/>
        <v/>
      </c>
      <c r="J8479" t="str">
        <f>IFERROR(__xludf.DUMMYFUNCTION("IFS(
  AND(REGEXMATCH(E8479, ""台銀籌備帳戶|玉山帳戶""), REGEXMATCH(C8479, ""薪資"")), ""分潤支出"",
  AND(REGEXMATCH(E8479, ""Ben帳戶|Elsa帳戶|Ben代墊|Ariel代墊|中信銀行共用""), REGEXMATCH(F8479, ""Ben帳戶|Elsa帳戶|Ben代墊|Ariel代墊|中信銀行共用"")), ""內部轉帳(忽略)"",
  AND(E8479&lt;&gt;"""", F8479&lt;&gt;"""", N"&amp;"OT(REGEXMATCH(C8479, ""薪資""))), ""內部轉帳(忽略)"",
  REGEXMATCH(C8479, ""薪資""), ""薪資變動(不計入)"",
  REGEXMATCH(C8479, ""押金""), ""押金往來"",
  AND(E8479&lt;&gt;"""", F8479=""""), ""真實支出"",
  AND(E8479="""", F8479&lt;&gt;""""), ""真實收入"",
  TRUE, ""其他""
)"),"其他")</f>
        <v>其他</v>
      </c>
      <c r="K8479" s="270" t="str">
        <f t="shared" si="2"/>
        <v/>
      </c>
      <c r="L8479">
        <f t="shared" si="3"/>
        <v>0</v>
      </c>
    </row>
    <row r="8480">
      <c r="A8480" s="107"/>
      <c r="D8480" s="270"/>
      <c r="H8480" s="106" t="str">
        <f t="shared" si="1"/>
        <v/>
      </c>
      <c r="J8480" t="str">
        <f>IFERROR(__xludf.DUMMYFUNCTION("IFS(
  AND(REGEXMATCH(E8480, ""台銀籌備帳戶|玉山帳戶""), REGEXMATCH(C8480, ""薪資"")), ""分潤支出"",
  AND(REGEXMATCH(E8480, ""Ben帳戶|Elsa帳戶|Ben代墊|Ariel代墊|中信銀行共用""), REGEXMATCH(F8480, ""Ben帳戶|Elsa帳戶|Ben代墊|Ariel代墊|中信銀行共用"")), ""內部轉帳(忽略)"",
  AND(E8480&lt;&gt;"""", F8480&lt;&gt;"""", N"&amp;"OT(REGEXMATCH(C8480, ""薪資""))), ""內部轉帳(忽略)"",
  REGEXMATCH(C8480, ""薪資""), ""薪資變動(不計入)"",
  REGEXMATCH(C8480, ""押金""), ""押金往來"",
  AND(E8480&lt;&gt;"""", F8480=""""), ""真實支出"",
  AND(E8480="""", F8480&lt;&gt;""""), ""真實收入"",
  TRUE, ""其他""
)"),"其他")</f>
        <v>其他</v>
      </c>
      <c r="K8480" s="270" t="str">
        <f t="shared" si="2"/>
        <v/>
      </c>
      <c r="L8480">
        <f t="shared" si="3"/>
        <v>0</v>
      </c>
    </row>
    <row r="8481">
      <c r="A8481" s="107"/>
      <c r="D8481" s="270"/>
      <c r="H8481" s="106" t="str">
        <f t="shared" si="1"/>
        <v/>
      </c>
      <c r="J8481" t="str">
        <f>IFERROR(__xludf.DUMMYFUNCTION("IFS(
  AND(REGEXMATCH(E8481, ""台銀籌備帳戶|玉山帳戶""), REGEXMATCH(C8481, ""薪資"")), ""分潤支出"",
  AND(REGEXMATCH(E8481, ""Ben帳戶|Elsa帳戶|Ben代墊|Ariel代墊|中信銀行共用""), REGEXMATCH(F8481, ""Ben帳戶|Elsa帳戶|Ben代墊|Ariel代墊|中信銀行共用"")), ""內部轉帳(忽略)"",
  AND(E8481&lt;&gt;"""", F8481&lt;&gt;"""", N"&amp;"OT(REGEXMATCH(C8481, ""薪資""))), ""內部轉帳(忽略)"",
  REGEXMATCH(C8481, ""薪資""), ""薪資變動(不計入)"",
  REGEXMATCH(C8481, ""押金""), ""押金往來"",
  AND(E8481&lt;&gt;"""", F8481=""""), ""真實支出"",
  AND(E8481="""", F8481&lt;&gt;""""), ""真實收入"",
  TRUE, ""其他""
)"),"其他")</f>
        <v>其他</v>
      </c>
      <c r="K8481" s="270" t="str">
        <f t="shared" si="2"/>
        <v/>
      </c>
      <c r="L8481">
        <f t="shared" si="3"/>
        <v>0</v>
      </c>
    </row>
    <row r="8482">
      <c r="A8482" s="107"/>
      <c r="D8482" s="270"/>
      <c r="H8482" s="106" t="str">
        <f t="shared" si="1"/>
        <v/>
      </c>
      <c r="J8482" t="str">
        <f>IFERROR(__xludf.DUMMYFUNCTION("IFS(
  AND(REGEXMATCH(E8482, ""台銀籌備帳戶|玉山帳戶""), REGEXMATCH(C8482, ""薪資"")), ""分潤支出"",
  AND(REGEXMATCH(E8482, ""Ben帳戶|Elsa帳戶|Ben代墊|Ariel代墊|中信銀行共用""), REGEXMATCH(F8482, ""Ben帳戶|Elsa帳戶|Ben代墊|Ariel代墊|中信銀行共用"")), ""內部轉帳(忽略)"",
  AND(E8482&lt;&gt;"""", F8482&lt;&gt;"""", N"&amp;"OT(REGEXMATCH(C8482, ""薪資""))), ""內部轉帳(忽略)"",
  REGEXMATCH(C8482, ""薪資""), ""薪資變動(不計入)"",
  REGEXMATCH(C8482, ""押金""), ""押金往來"",
  AND(E8482&lt;&gt;"""", F8482=""""), ""真實支出"",
  AND(E8482="""", F8482&lt;&gt;""""), ""真實收入"",
  TRUE, ""其他""
)"),"其他")</f>
        <v>其他</v>
      </c>
      <c r="K8482" s="270" t="str">
        <f t="shared" si="2"/>
        <v/>
      </c>
      <c r="L8482">
        <f t="shared" si="3"/>
        <v>0</v>
      </c>
    </row>
    <row r="8483">
      <c r="A8483" s="107"/>
      <c r="D8483" s="270"/>
      <c r="H8483" s="106" t="str">
        <f t="shared" si="1"/>
        <v/>
      </c>
      <c r="J8483" t="str">
        <f>IFERROR(__xludf.DUMMYFUNCTION("IFS(
  AND(REGEXMATCH(E8483, ""台銀籌備帳戶|玉山帳戶""), REGEXMATCH(C8483, ""薪資"")), ""分潤支出"",
  AND(REGEXMATCH(E8483, ""Ben帳戶|Elsa帳戶|Ben代墊|Ariel代墊|中信銀行共用""), REGEXMATCH(F8483, ""Ben帳戶|Elsa帳戶|Ben代墊|Ariel代墊|中信銀行共用"")), ""內部轉帳(忽略)"",
  AND(E8483&lt;&gt;"""", F8483&lt;&gt;"""", N"&amp;"OT(REGEXMATCH(C8483, ""薪資""))), ""內部轉帳(忽略)"",
  REGEXMATCH(C8483, ""薪資""), ""薪資變動(不計入)"",
  REGEXMATCH(C8483, ""押金""), ""押金往來"",
  AND(E8483&lt;&gt;"""", F8483=""""), ""真實支出"",
  AND(E8483="""", F8483&lt;&gt;""""), ""真實收入"",
  TRUE, ""其他""
)"),"其他")</f>
        <v>其他</v>
      </c>
      <c r="K8483" s="270" t="str">
        <f t="shared" si="2"/>
        <v/>
      </c>
      <c r="L8483">
        <f t="shared" si="3"/>
        <v>0</v>
      </c>
    </row>
    <row r="8484">
      <c r="A8484" s="107"/>
      <c r="D8484" s="270"/>
      <c r="H8484" s="106" t="str">
        <f t="shared" si="1"/>
        <v/>
      </c>
      <c r="J8484" t="str">
        <f>IFERROR(__xludf.DUMMYFUNCTION("IFS(
  AND(REGEXMATCH(E8484, ""台銀籌備帳戶|玉山帳戶""), REGEXMATCH(C8484, ""薪資"")), ""分潤支出"",
  AND(REGEXMATCH(E8484, ""Ben帳戶|Elsa帳戶|Ben代墊|Ariel代墊|中信銀行共用""), REGEXMATCH(F8484, ""Ben帳戶|Elsa帳戶|Ben代墊|Ariel代墊|中信銀行共用"")), ""內部轉帳(忽略)"",
  AND(E8484&lt;&gt;"""", F8484&lt;&gt;"""", N"&amp;"OT(REGEXMATCH(C8484, ""薪資""))), ""內部轉帳(忽略)"",
  REGEXMATCH(C8484, ""薪資""), ""薪資變動(不計入)"",
  REGEXMATCH(C8484, ""押金""), ""押金往來"",
  AND(E8484&lt;&gt;"""", F8484=""""), ""真實支出"",
  AND(E8484="""", F8484&lt;&gt;""""), ""真實收入"",
  TRUE, ""其他""
)"),"其他")</f>
        <v>其他</v>
      </c>
      <c r="K8484" s="270" t="str">
        <f t="shared" si="2"/>
        <v/>
      </c>
      <c r="L8484">
        <f t="shared" si="3"/>
        <v>0</v>
      </c>
    </row>
    <row r="8485">
      <c r="A8485" s="107"/>
      <c r="D8485" s="270"/>
      <c r="H8485" s="106" t="str">
        <f t="shared" si="1"/>
        <v/>
      </c>
      <c r="J8485" t="str">
        <f>IFERROR(__xludf.DUMMYFUNCTION("IFS(
  AND(REGEXMATCH(E8485, ""台銀籌備帳戶|玉山帳戶""), REGEXMATCH(C8485, ""薪資"")), ""分潤支出"",
  AND(REGEXMATCH(E8485, ""Ben帳戶|Elsa帳戶|Ben代墊|Ariel代墊|中信銀行共用""), REGEXMATCH(F8485, ""Ben帳戶|Elsa帳戶|Ben代墊|Ariel代墊|中信銀行共用"")), ""內部轉帳(忽略)"",
  AND(E8485&lt;&gt;"""", F8485&lt;&gt;"""", N"&amp;"OT(REGEXMATCH(C8485, ""薪資""))), ""內部轉帳(忽略)"",
  REGEXMATCH(C8485, ""薪資""), ""薪資變動(不計入)"",
  REGEXMATCH(C8485, ""押金""), ""押金往來"",
  AND(E8485&lt;&gt;"""", F8485=""""), ""真實支出"",
  AND(E8485="""", F8485&lt;&gt;""""), ""真實收入"",
  TRUE, ""其他""
)"),"其他")</f>
        <v>其他</v>
      </c>
      <c r="K8485" s="270" t="str">
        <f t="shared" si="2"/>
        <v/>
      </c>
      <c r="L8485">
        <f t="shared" si="3"/>
        <v>0</v>
      </c>
    </row>
    <row r="8486">
      <c r="A8486" s="107"/>
      <c r="D8486" s="270"/>
      <c r="H8486" s="106" t="str">
        <f t="shared" si="1"/>
        <v/>
      </c>
      <c r="J8486" t="str">
        <f>IFERROR(__xludf.DUMMYFUNCTION("IFS(
  AND(REGEXMATCH(E8486, ""台銀籌備帳戶|玉山帳戶""), REGEXMATCH(C8486, ""薪資"")), ""分潤支出"",
  AND(REGEXMATCH(E8486, ""Ben帳戶|Elsa帳戶|Ben代墊|Ariel代墊|中信銀行共用""), REGEXMATCH(F8486, ""Ben帳戶|Elsa帳戶|Ben代墊|Ariel代墊|中信銀行共用"")), ""內部轉帳(忽略)"",
  AND(E8486&lt;&gt;"""", F8486&lt;&gt;"""", N"&amp;"OT(REGEXMATCH(C8486, ""薪資""))), ""內部轉帳(忽略)"",
  REGEXMATCH(C8486, ""薪資""), ""薪資變動(不計入)"",
  REGEXMATCH(C8486, ""押金""), ""押金往來"",
  AND(E8486&lt;&gt;"""", F8486=""""), ""真實支出"",
  AND(E8486="""", F8486&lt;&gt;""""), ""真實收入"",
  TRUE, ""其他""
)"),"其他")</f>
        <v>其他</v>
      </c>
      <c r="K8486" s="270" t="str">
        <f t="shared" si="2"/>
        <v/>
      </c>
      <c r="L8486">
        <f t="shared" si="3"/>
        <v>0</v>
      </c>
    </row>
    <row r="8487">
      <c r="A8487" s="107"/>
      <c r="D8487" s="270"/>
      <c r="H8487" s="106" t="str">
        <f t="shared" si="1"/>
        <v/>
      </c>
      <c r="J8487" t="str">
        <f>IFERROR(__xludf.DUMMYFUNCTION("IFS(
  AND(REGEXMATCH(E8487, ""台銀籌備帳戶|玉山帳戶""), REGEXMATCH(C8487, ""薪資"")), ""分潤支出"",
  AND(REGEXMATCH(E8487, ""Ben帳戶|Elsa帳戶|Ben代墊|Ariel代墊|中信銀行共用""), REGEXMATCH(F8487, ""Ben帳戶|Elsa帳戶|Ben代墊|Ariel代墊|中信銀行共用"")), ""內部轉帳(忽略)"",
  AND(E8487&lt;&gt;"""", F8487&lt;&gt;"""", N"&amp;"OT(REGEXMATCH(C8487, ""薪資""))), ""內部轉帳(忽略)"",
  REGEXMATCH(C8487, ""薪資""), ""薪資變動(不計入)"",
  REGEXMATCH(C8487, ""押金""), ""押金往來"",
  AND(E8487&lt;&gt;"""", F8487=""""), ""真實支出"",
  AND(E8487="""", F8487&lt;&gt;""""), ""真實收入"",
  TRUE, ""其他""
)"),"其他")</f>
        <v>其他</v>
      </c>
      <c r="K8487" s="270" t="str">
        <f t="shared" si="2"/>
        <v/>
      </c>
      <c r="L8487">
        <f t="shared" si="3"/>
        <v>0</v>
      </c>
    </row>
    <row r="8488">
      <c r="A8488" s="107"/>
      <c r="D8488" s="270"/>
      <c r="H8488" s="106" t="str">
        <f t="shared" si="1"/>
        <v/>
      </c>
      <c r="J8488" t="str">
        <f>IFERROR(__xludf.DUMMYFUNCTION("IFS(
  AND(REGEXMATCH(E8488, ""台銀籌備帳戶|玉山帳戶""), REGEXMATCH(C8488, ""薪資"")), ""分潤支出"",
  AND(REGEXMATCH(E8488, ""Ben帳戶|Elsa帳戶|Ben代墊|Ariel代墊|中信銀行共用""), REGEXMATCH(F8488, ""Ben帳戶|Elsa帳戶|Ben代墊|Ariel代墊|中信銀行共用"")), ""內部轉帳(忽略)"",
  AND(E8488&lt;&gt;"""", F8488&lt;&gt;"""", N"&amp;"OT(REGEXMATCH(C8488, ""薪資""))), ""內部轉帳(忽略)"",
  REGEXMATCH(C8488, ""薪資""), ""薪資變動(不計入)"",
  REGEXMATCH(C8488, ""押金""), ""押金往來"",
  AND(E8488&lt;&gt;"""", F8488=""""), ""真實支出"",
  AND(E8488="""", F8488&lt;&gt;""""), ""真實收入"",
  TRUE, ""其他""
)"),"其他")</f>
        <v>其他</v>
      </c>
      <c r="K8488" s="270" t="str">
        <f t="shared" si="2"/>
        <v/>
      </c>
      <c r="L8488">
        <f t="shared" si="3"/>
        <v>0</v>
      </c>
    </row>
    <row r="8489">
      <c r="A8489" s="107"/>
      <c r="D8489" s="270"/>
      <c r="H8489" s="106" t="str">
        <f t="shared" si="1"/>
        <v/>
      </c>
      <c r="J8489" t="str">
        <f>IFERROR(__xludf.DUMMYFUNCTION("IFS(
  AND(REGEXMATCH(E8489, ""台銀籌備帳戶|玉山帳戶""), REGEXMATCH(C8489, ""薪資"")), ""分潤支出"",
  AND(REGEXMATCH(E8489, ""Ben帳戶|Elsa帳戶|Ben代墊|Ariel代墊|中信銀行共用""), REGEXMATCH(F8489, ""Ben帳戶|Elsa帳戶|Ben代墊|Ariel代墊|中信銀行共用"")), ""內部轉帳(忽略)"",
  AND(E8489&lt;&gt;"""", F8489&lt;&gt;"""", N"&amp;"OT(REGEXMATCH(C8489, ""薪資""))), ""內部轉帳(忽略)"",
  REGEXMATCH(C8489, ""薪資""), ""薪資變動(不計入)"",
  REGEXMATCH(C8489, ""押金""), ""押金往來"",
  AND(E8489&lt;&gt;"""", F8489=""""), ""真實支出"",
  AND(E8489="""", F8489&lt;&gt;""""), ""真實收入"",
  TRUE, ""其他""
)"),"其他")</f>
        <v>其他</v>
      </c>
      <c r="K8489" s="270" t="str">
        <f t="shared" si="2"/>
        <v/>
      </c>
      <c r="L8489">
        <f t="shared" si="3"/>
        <v>0</v>
      </c>
    </row>
    <row r="8490">
      <c r="A8490" s="107"/>
      <c r="D8490" s="270"/>
      <c r="H8490" s="106" t="str">
        <f t="shared" si="1"/>
        <v/>
      </c>
      <c r="J8490" t="str">
        <f>IFERROR(__xludf.DUMMYFUNCTION("IFS(
  AND(REGEXMATCH(E8490, ""台銀籌備帳戶|玉山帳戶""), REGEXMATCH(C8490, ""薪資"")), ""分潤支出"",
  AND(REGEXMATCH(E8490, ""Ben帳戶|Elsa帳戶|Ben代墊|Ariel代墊|中信銀行共用""), REGEXMATCH(F8490, ""Ben帳戶|Elsa帳戶|Ben代墊|Ariel代墊|中信銀行共用"")), ""內部轉帳(忽略)"",
  AND(E8490&lt;&gt;"""", F8490&lt;&gt;"""", N"&amp;"OT(REGEXMATCH(C8490, ""薪資""))), ""內部轉帳(忽略)"",
  REGEXMATCH(C8490, ""薪資""), ""薪資變動(不計入)"",
  REGEXMATCH(C8490, ""押金""), ""押金往來"",
  AND(E8490&lt;&gt;"""", F8490=""""), ""真實支出"",
  AND(E8490="""", F8490&lt;&gt;""""), ""真實收入"",
  TRUE, ""其他""
)"),"其他")</f>
        <v>其他</v>
      </c>
      <c r="K8490" s="270" t="str">
        <f t="shared" si="2"/>
        <v/>
      </c>
      <c r="L8490">
        <f t="shared" si="3"/>
        <v>0</v>
      </c>
    </row>
    <row r="8491">
      <c r="A8491" s="107"/>
      <c r="D8491" s="270"/>
      <c r="H8491" s="106" t="str">
        <f t="shared" si="1"/>
        <v/>
      </c>
      <c r="J8491" t="str">
        <f>IFERROR(__xludf.DUMMYFUNCTION("IFS(
  AND(REGEXMATCH(E8491, ""台銀籌備帳戶|玉山帳戶""), REGEXMATCH(C8491, ""薪資"")), ""分潤支出"",
  AND(REGEXMATCH(E8491, ""Ben帳戶|Elsa帳戶|Ben代墊|Ariel代墊|中信銀行共用""), REGEXMATCH(F8491, ""Ben帳戶|Elsa帳戶|Ben代墊|Ariel代墊|中信銀行共用"")), ""內部轉帳(忽略)"",
  AND(E8491&lt;&gt;"""", F8491&lt;&gt;"""", N"&amp;"OT(REGEXMATCH(C8491, ""薪資""))), ""內部轉帳(忽略)"",
  REGEXMATCH(C8491, ""薪資""), ""薪資變動(不計入)"",
  REGEXMATCH(C8491, ""押金""), ""押金往來"",
  AND(E8491&lt;&gt;"""", F8491=""""), ""真實支出"",
  AND(E8491="""", F8491&lt;&gt;""""), ""真實收入"",
  TRUE, ""其他""
)"),"其他")</f>
        <v>其他</v>
      </c>
      <c r="K8491" s="270" t="str">
        <f t="shared" si="2"/>
        <v/>
      </c>
      <c r="L8491">
        <f t="shared" si="3"/>
        <v>0</v>
      </c>
    </row>
    <row r="8492">
      <c r="A8492" s="107"/>
      <c r="D8492" s="270"/>
      <c r="H8492" s="106" t="str">
        <f t="shared" si="1"/>
        <v/>
      </c>
      <c r="J8492" t="str">
        <f>IFERROR(__xludf.DUMMYFUNCTION("IFS(
  AND(REGEXMATCH(E8492, ""台銀籌備帳戶|玉山帳戶""), REGEXMATCH(C8492, ""薪資"")), ""分潤支出"",
  AND(REGEXMATCH(E8492, ""Ben帳戶|Elsa帳戶|Ben代墊|Ariel代墊|中信銀行共用""), REGEXMATCH(F8492, ""Ben帳戶|Elsa帳戶|Ben代墊|Ariel代墊|中信銀行共用"")), ""內部轉帳(忽略)"",
  AND(E8492&lt;&gt;"""", F8492&lt;&gt;"""", N"&amp;"OT(REGEXMATCH(C8492, ""薪資""))), ""內部轉帳(忽略)"",
  REGEXMATCH(C8492, ""薪資""), ""薪資變動(不計入)"",
  REGEXMATCH(C8492, ""押金""), ""押金往來"",
  AND(E8492&lt;&gt;"""", F8492=""""), ""真實支出"",
  AND(E8492="""", F8492&lt;&gt;""""), ""真實收入"",
  TRUE, ""其他""
)"),"其他")</f>
        <v>其他</v>
      </c>
      <c r="K8492" s="270" t="str">
        <f t="shared" si="2"/>
        <v/>
      </c>
      <c r="L8492">
        <f t="shared" si="3"/>
        <v>0</v>
      </c>
    </row>
    <row r="8493">
      <c r="A8493" s="107"/>
      <c r="D8493" s="270"/>
      <c r="H8493" s="106" t="str">
        <f t="shared" si="1"/>
        <v/>
      </c>
      <c r="J8493" t="str">
        <f>IFERROR(__xludf.DUMMYFUNCTION("IFS(
  AND(REGEXMATCH(E8493, ""台銀籌備帳戶|玉山帳戶""), REGEXMATCH(C8493, ""薪資"")), ""分潤支出"",
  AND(REGEXMATCH(E8493, ""Ben帳戶|Elsa帳戶|Ben代墊|Ariel代墊|中信銀行共用""), REGEXMATCH(F8493, ""Ben帳戶|Elsa帳戶|Ben代墊|Ariel代墊|中信銀行共用"")), ""內部轉帳(忽略)"",
  AND(E8493&lt;&gt;"""", F8493&lt;&gt;"""", N"&amp;"OT(REGEXMATCH(C8493, ""薪資""))), ""內部轉帳(忽略)"",
  REGEXMATCH(C8493, ""薪資""), ""薪資變動(不計入)"",
  REGEXMATCH(C8493, ""押金""), ""押金往來"",
  AND(E8493&lt;&gt;"""", F8493=""""), ""真實支出"",
  AND(E8493="""", F8493&lt;&gt;""""), ""真實收入"",
  TRUE, ""其他""
)"),"其他")</f>
        <v>其他</v>
      </c>
      <c r="K8493" s="270" t="str">
        <f t="shared" si="2"/>
        <v/>
      </c>
      <c r="L8493">
        <f t="shared" si="3"/>
        <v>0</v>
      </c>
    </row>
    <row r="8494">
      <c r="A8494" s="107"/>
      <c r="D8494" s="270"/>
      <c r="H8494" s="106" t="str">
        <f t="shared" si="1"/>
        <v/>
      </c>
      <c r="J8494" t="str">
        <f>IFERROR(__xludf.DUMMYFUNCTION("IFS(
  AND(REGEXMATCH(E8494, ""台銀籌備帳戶|玉山帳戶""), REGEXMATCH(C8494, ""薪資"")), ""分潤支出"",
  AND(REGEXMATCH(E8494, ""Ben帳戶|Elsa帳戶|Ben代墊|Ariel代墊|中信銀行共用""), REGEXMATCH(F8494, ""Ben帳戶|Elsa帳戶|Ben代墊|Ariel代墊|中信銀行共用"")), ""內部轉帳(忽略)"",
  AND(E8494&lt;&gt;"""", F8494&lt;&gt;"""", N"&amp;"OT(REGEXMATCH(C8494, ""薪資""))), ""內部轉帳(忽略)"",
  REGEXMATCH(C8494, ""薪資""), ""薪資變動(不計入)"",
  REGEXMATCH(C8494, ""押金""), ""押金往來"",
  AND(E8494&lt;&gt;"""", F8494=""""), ""真實支出"",
  AND(E8494="""", F8494&lt;&gt;""""), ""真實收入"",
  TRUE, ""其他""
)"),"其他")</f>
        <v>其他</v>
      </c>
      <c r="K8494" s="270" t="str">
        <f t="shared" si="2"/>
        <v/>
      </c>
      <c r="L8494">
        <f t="shared" si="3"/>
        <v>0</v>
      </c>
    </row>
    <row r="8495">
      <c r="A8495" s="107"/>
      <c r="D8495" s="270"/>
      <c r="H8495" s="106" t="str">
        <f t="shared" si="1"/>
        <v/>
      </c>
      <c r="J8495" t="str">
        <f>IFERROR(__xludf.DUMMYFUNCTION("IFS(
  AND(REGEXMATCH(E8495, ""台銀籌備帳戶|玉山帳戶""), REGEXMATCH(C8495, ""薪資"")), ""分潤支出"",
  AND(REGEXMATCH(E8495, ""Ben帳戶|Elsa帳戶|Ben代墊|Ariel代墊|中信銀行共用""), REGEXMATCH(F8495, ""Ben帳戶|Elsa帳戶|Ben代墊|Ariel代墊|中信銀行共用"")), ""內部轉帳(忽略)"",
  AND(E8495&lt;&gt;"""", F8495&lt;&gt;"""", N"&amp;"OT(REGEXMATCH(C8495, ""薪資""))), ""內部轉帳(忽略)"",
  REGEXMATCH(C8495, ""薪資""), ""薪資變動(不計入)"",
  REGEXMATCH(C8495, ""押金""), ""押金往來"",
  AND(E8495&lt;&gt;"""", F8495=""""), ""真實支出"",
  AND(E8495="""", F8495&lt;&gt;""""), ""真實收入"",
  TRUE, ""其他""
)"),"其他")</f>
        <v>其他</v>
      </c>
      <c r="K8495" s="270" t="str">
        <f t="shared" si="2"/>
        <v/>
      </c>
      <c r="L8495">
        <f t="shared" si="3"/>
        <v>0</v>
      </c>
    </row>
    <row r="8496">
      <c r="A8496" s="107"/>
      <c r="D8496" s="270"/>
      <c r="H8496" s="106" t="str">
        <f t="shared" si="1"/>
        <v/>
      </c>
      <c r="J8496" t="str">
        <f>IFERROR(__xludf.DUMMYFUNCTION("IFS(
  AND(REGEXMATCH(E8496, ""台銀籌備帳戶|玉山帳戶""), REGEXMATCH(C8496, ""薪資"")), ""分潤支出"",
  AND(REGEXMATCH(E8496, ""Ben帳戶|Elsa帳戶|Ben代墊|Ariel代墊|中信銀行共用""), REGEXMATCH(F8496, ""Ben帳戶|Elsa帳戶|Ben代墊|Ariel代墊|中信銀行共用"")), ""內部轉帳(忽略)"",
  AND(E8496&lt;&gt;"""", F8496&lt;&gt;"""", N"&amp;"OT(REGEXMATCH(C8496, ""薪資""))), ""內部轉帳(忽略)"",
  REGEXMATCH(C8496, ""薪資""), ""薪資變動(不計入)"",
  REGEXMATCH(C8496, ""押金""), ""押金往來"",
  AND(E8496&lt;&gt;"""", F8496=""""), ""真實支出"",
  AND(E8496="""", F8496&lt;&gt;""""), ""真實收入"",
  TRUE, ""其他""
)"),"其他")</f>
        <v>其他</v>
      </c>
      <c r="K8496" s="270" t="str">
        <f t="shared" si="2"/>
        <v/>
      </c>
      <c r="L8496">
        <f t="shared" si="3"/>
        <v>0</v>
      </c>
    </row>
    <row r="8497">
      <c r="A8497" s="107"/>
      <c r="D8497" s="270"/>
      <c r="H8497" s="106" t="str">
        <f t="shared" si="1"/>
        <v/>
      </c>
      <c r="J8497" t="str">
        <f>IFERROR(__xludf.DUMMYFUNCTION("IFS(
  AND(REGEXMATCH(E8497, ""台銀籌備帳戶|玉山帳戶""), REGEXMATCH(C8497, ""薪資"")), ""分潤支出"",
  AND(REGEXMATCH(E8497, ""Ben帳戶|Elsa帳戶|Ben代墊|Ariel代墊|中信銀行共用""), REGEXMATCH(F8497, ""Ben帳戶|Elsa帳戶|Ben代墊|Ariel代墊|中信銀行共用"")), ""內部轉帳(忽略)"",
  AND(E8497&lt;&gt;"""", F8497&lt;&gt;"""", N"&amp;"OT(REGEXMATCH(C8497, ""薪資""))), ""內部轉帳(忽略)"",
  REGEXMATCH(C8497, ""薪資""), ""薪資變動(不計入)"",
  REGEXMATCH(C8497, ""押金""), ""押金往來"",
  AND(E8497&lt;&gt;"""", F8497=""""), ""真實支出"",
  AND(E8497="""", F8497&lt;&gt;""""), ""真實收入"",
  TRUE, ""其他""
)"),"其他")</f>
        <v>其他</v>
      </c>
      <c r="K8497" s="270" t="str">
        <f t="shared" si="2"/>
        <v/>
      </c>
      <c r="L8497">
        <f t="shared" si="3"/>
        <v>0</v>
      </c>
    </row>
    <row r="8498">
      <c r="A8498" s="107"/>
      <c r="D8498" s="270"/>
      <c r="H8498" s="106" t="str">
        <f t="shared" si="1"/>
        <v/>
      </c>
      <c r="J8498" t="str">
        <f>IFERROR(__xludf.DUMMYFUNCTION("IFS(
  AND(REGEXMATCH(E8498, ""台銀籌備帳戶|玉山帳戶""), REGEXMATCH(C8498, ""薪資"")), ""分潤支出"",
  AND(REGEXMATCH(E8498, ""Ben帳戶|Elsa帳戶|Ben代墊|Ariel代墊|中信銀行共用""), REGEXMATCH(F8498, ""Ben帳戶|Elsa帳戶|Ben代墊|Ariel代墊|中信銀行共用"")), ""內部轉帳(忽略)"",
  AND(E8498&lt;&gt;"""", F8498&lt;&gt;"""", N"&amp;"OT(REGEXMATCH(C8498, ""薪資""))), ""內部轉帳(忽略)"",
  REGEXMATCH(C8498, ""薪資""), ""薪資變動(不計入)"",
  REGEXMATCH(C8498, ""押金""), ""押金往來"",
  AND(E8498&lt;&gt;"""", F8498=""""), ""真實支出"",
  AND(E8498="""", F8498&lt;&gt;""""), ""真實收入"",
  TRUE, ""其他""
)"),"其他")</f>
        <v>其他</v>
      </c>
      <c r="K8498" s="270" t="str">
        <f t="shared" si="2"/>
        <v/>
      </c>
      <c r="L8498">
        <f t="shared" si="3"/>
        <v>0</v>
      </c>
    </row>
    <row r="8499">
      <c r="A8499" s="107"/>
      <c r="D8499" s="270"/>
      <c r="H8499" s="106" t="str">
        <f t="shared" si="1"/>
        <v/>
      </c>
      <c r="J8499" t="str">
        <f>IFERROR(__xludf.DUMMYFUNCTION("IFS(
  AND(REGEXMATCH(E8499, ""台銀籌備帳戶|玉山帳戶""), REGEXMATCH(C8499, ""薪資"")), ""分潤支出"",
  AND(REGEXMATCH(E8499, ""Ben帳戶|Elsa帳戶|Ben代墊|Ariel代墊|中信銀行共用""), REGEXMATCH(F8499, ""Ben帳戶|Elsa帳戶|Ben代墊|Ariel代墊|中信銀行共用"")), ""內部轉帳(忽略)"",
  AND(E8499&lt;&gt;"""", F8499&lt;&gt;"""", N"&amp;"OT(REGEXMATCH(C8499, ""薪資""))), ""內部轉帳(忽略)"",
  REGEXMATCH(C8499, ""薪資""), ""薪資變動(不計入)"",
  REGEXMATCH(C8499, ""押金""), ""押金往來"",
  AND(E8499&lt;&gt;"""", F8499=""""), ""真實支出"",
  AND(E8499="""", F8499&lt;&gt;""""), ""真實收入"",
  TRUE, ""其他""
)"),"其他")</f>
        <v>其他</v>
      </c>
      <c r="K8499" s="270" t="str">
        <f t="shared" si="2"/>
        <v/>
      </c>
      <c r="L8499">
        <f t="shared" si="3"/>
        <v>0</v>
      </c>
    </row>
    <row r="8500">
      <c r="A8500" s="107"/>
      <c r="D8500" s="270"/>
      <c r="H8500" s="106" t="str">
        <f t="shared" si="1"/>
        <v/>
      </c>
      <c r="J8500" t="str">
        <f>IFERROR(__xludf.DUMMYFUNCTION("IFS(
  AND(REGEXMATCH(E8500, ""台銀籌備帳戶|玉山帳戶""), REGEXMATCH(C8500, ""薪資"")), ""分潤支出"",
  AND(REGEXMATCH(E8500, ""Ben帳戶|Elsa帳戶|Ben代墊|Ariel代墊|中信銀行共用""), REGEXMATCH(F8500, ""Ben帳戶|Elsa帳戶|Ben代墊|Ariel代墊|中信銀行共用"")), ""內部轉帳(忽略)"",
  AND(E8500&lt;&gt;"""", F8500&lt;&gt;"""", N"&amp;"OT(REGEXMATCH(C8500, ""薪資""))), ""內部轉帳(忽略)"",
  REGEXMATCH(C8500, ""薪資""), ""薪資變動(不計入)"",
  REGEXMATCH(C8500, ""押金""), ""押金往來"",
  AND(E8500&lt;&gt;"""", F8500=""""), ""真實支出"",
  AND(E8500="""", F8500&lt;&gt;""""), ""真實收入"",
  TRUE, ""其他""
)"),"其他")</f>
        <v>其他</v>
      </c>
      <c r="K8500" s="270" t="str">
        <f t="shared" si="2"/>
        <v/>
      </c>
      <c r="L8500">
        <f t="shared" si="3"/>
        <v>0</v>
      </c>
    </row>
    <row r="8501">
      <c r="A8501" s="107"/>
      <c r="D8501" s="270"/>
      <c r="H8501" s="106" t="str">
        <f t="shared" si="1"/>
        <v/>
      </c>
      <c r="J8501" t="str">
        <f>IFERROR(__xludf.DUMMYFUNCTION("IFS(
  AND(REGEXMATCH(E8501, ""台銀籌備帳戶|玉山帳戶""), REGEXMATCH(C8501, ""薪資"")), ""分潤支出"",
  AND(REGEXMATCH(E8501, ""Ben帳戶|Elsa帳戶|Ben代墊|Ariel代墊|中信銀行共用""), REGEXMATCH(F8501, ""Ben帳戶|Elsa帳戶|Ben代墊|Ariel代墊|中信銀行共用"")), ""內部轉帳(忽略)"",
  AND(E8501&lt;&gt;"""", F8501&lt;&gt;"""", N"&amp;"OT(REGEXMATCH(C8501, ""薪資""))), ""內部轉帳(忽略)"",
  REGEXMATCH(C8501, ""薪資""), ""薪資變動(不計入)"",
  REGEXMATCH(C8501, ""押金""), ""押金往來"",
  AND(E8501&lt;&gt;"""", F8501=""""), ""真實支出"",
  AND(E8501="""", F8501&lt;&gt;""""), ""真實收入"",
  TRUE, ""其他""
)"),"其他")</f>
        <v>其他</v>
      </c>
      <c r="K8501" s="270" t="str">
        <f t="shared" si="2"/>
        <v/>
      </c>
      <c r="L8501">
        <f t="shared" si="3"/>
        <v>0</v>
      </c>
    </row>
    <row r="8502">
      <c r="A8502" s="107"/>
      <c r="D8502" s="270"/>
      <c r="H8502" s="106" t="str">
        <f t="shared" si="1"/>
        <v/>
      </c>
      <c r="J8502" t="str">
        <f>IFERROR(__xludf.DUMMYFUNCTION("IFS(
  AND(REGEXMATCH(E8502, ""台銀籌備帳戶|玉山帳戶""), REGEXMATCH(C8502, ""薪資"")), ""分潤支出"",
  AND(REGEXMATCH(E8502, ""Ben帳戶|Elsa帳戶|Ben代墊|Ariel代墊|中信銀行共用""), REGEXMATCH(F8502, ""Ben帳戶|Elsa帳戶|Ben代墊|Ariel代墊|中信銀行共用"")), ""內部轉帳(忽略)"",
  AND(E8502&lt;&gt;"""", F8502&lt;&gt;"""", N"&amp;"OT(REGEXMATCH(C8502, ""薪資""))), ""內部轉帳(忽略)"",
  REGEXMATCH(C8502, ""薪資""), ""薪資變動(不計入)"",
  REGEXMATCH(C8502, ""押金""), ""押金往來"",
  AND(E8502&lt;&gt;"""", F8502=""""), ""真實支出"",
  AND(E8502="""", F8502&lt;&gt;""""), ""真實收入"",
  TRUE, ""其他""
)"),"其他")</f>
        <v>其他</v>
      </c>
      <c r="K8502" s="270" t="str">
        <f t="shared" si="2"/>
        <v/>
      </c>
      <c r="L8502">
        <f t="shared" si="3"/>
        <v>0</v>
      </c>
    </row>
    <row r="8503">
      <c r="A8503" s="107"/>
      <c r="D8503" s="270"/>
      <c r="H8503" s="106" t="str">
        <f t="shared" si="1"/>
        <v/>
      </c>
      <c r="J8503" t="str">
        <f>IFERROR(__xludf.DUMMYFUNCTION("IFS(
  AND(REGEXMATCH(E8503, ""台銀籌備帳戶|玉山帳戶""), REGEXMATCH(C8503, ""薪資"")), ""分潤支出"",
  AND(REGEXMATCH(E8503, ""Ben帳戶|Elsa帳戶|Ben代墊|Ariel代墊|中信銀行共用""), REGEXMATCH(F8503, ""Ben帳戶|Elsa帳戶|Ben代墊|Ariel代墊|中信銀行共用"")), ""內部轉帳(忽略)"",
  AND(E8503&lt;&gt;"""", F8503&lt;&gt;"""", N"&amp;"OT(REGEXMATCH(C8503, ""薪資""))), ""內部轉帳(忽略)"",
  REGEXMATCH(C8503, ""薪資""), ""薪資變動(不計入)"",
  REGEXMATCH(C8503, ""押金""), ""押金往來"",
  AND(E8503&lt;&gt;"""", F8503=""""), ""真實支出"",
  AND(E8503="""", F8503&lt;&gt;""""), ""真實收入"",
  TRUE, ""其他""
)"),"其他")</f>
        <v>其他</v>
      </c>
      <c r="K8503" s="270" t="str">
        <f t="shared" si="2"/>
        <v/>
      </c>
      <c r="L8503">
        <f t="shared" si="3"/>
        <v>0</v>
      </c>
    </row>
    <row r="8504">
      <c r="A8504" s="107"/>
      <c r="D8504" s="270"/>
      <c r="H8504" s="106" t="str">
        <f t="shared" si="1"/>
        <v/>
      </c>
      <c r="J8504" t="str">
        <f>IFERROR(__xludf.DUMMYFUNCTION("IFS(
  AND(REGEXMATCH(E8504, ""台銀籌備帳戶|玉山帳戶""), REGEXMATCH(C8504, ""薪資"")), ""分潤支出"",
  AND(REGEXMATCH(E8504, ""Ben帳戶|Elsa帳戶|Ben代墊|Ariel代墊|中信銀行共用""), REGEXMATCH(F8504, ""Ben帳戶|Elsa帳戶|Ben代墊|Ariel代墊|中信銀行共用"")), ""內部轉帳(忽略)"",
  AND(E8504&lt;&gt;"""", F8504&lt;&gt;"""", N"&amp;"OT(REGEXMATCH(C8504, ""薪資""))), ""內部轉帳(忽略)"",
  REGEXMATCH(C8504, ""薪資""), ""薪資變動(不計入)"",
  REGEXMATCH(C8504, ""押金""), ""押金往來"",
  AND(E8504&lt;&gt;"""", F8504=""""), ""真實支出"",
  AND(E8504="""", F8504&lt;&gt;""""), ""真實收入"",
  TRUE, ""其他""
)"),"其他")</f>
        <v>其他</v>
      </c>
      <c r="K8504" s="270" t="str">
        <f t="shared" si="2"/>
        <v/>
      </c>
      <c r="L8504">
        <f t="shared" si="3"/>
        <v>0</v>
      </c>
    </row>
    <row r="8505">
      <c r="A8505" s="107"/>
      <c r="D8505" s="270"/>
      <c r="H8505" s="106" t="str">
        <f t="shared" si="1"/>
        <v/>
      </c>
      <c r="J8505" t="str">
        <f>IFERROR(__xludf.DUMMYFUNCTION("IFS(
  AND(REGEXMATCH(E8505, ""台銀籌備帳戶|玉山帳戶""), REGEXMATCH(C8505, ""薪資"")), ""分潤支出"",
  AND(REGEXMATCH(E8505, ""Ben帳戶|Elsa帳戶|Ben代墊|Ariel代墊|中信銀行共用""), REGEXMATCH(F8505, ""Ben帳戶|Elsa帳戶|Ben代墊|Ariel代墊|中信銀行共用"")), ""內部轉帳(忽略)"",
  AND(E8505&lt;&gt;"""", F8505&lt;&gt;"""", N"&amp;"OT(REGEXMATCH(C8505, ""薪資""))), ""內部轉帳(忽略)"",
  REGEXMATCH(C8505, ""薪資""), ""薪資變動(不計入)"",
  REGEXMATCH(C8505, ""押金""), ""押金往來"",
  AND(E8505&lt;&gt;"""", F8505=""""), ""真實支出"",
  AND(E8505="""", F8505&lt;&gt;""""), ""真實收入"",
  TRUE, ""其他""
)"),"其他")</f>
        <v>其他</v>
      </c>
      <c r="K8505" s="270" t="str">
        <f t="shared" si="2"/>
        <v/>
      </c>
      <c r="L8505">
        <f t="shared" si="3"/>
        <v>0</v>
      </c>
    </row>
    <row r="8506">
      <c r="A8506" s="107"/>
      <c r="D8506" s="270"/>
      <c r="H8506" s="106" t="str">
        <f t="shared" si="1"/>
        <v/>
      </c>
      <c r="J8506" t="str">
        <f>IFERROR(__xludf.DUMMYFUNCTION("IFS(
  AND(REGEXMATCH(E8506, ""台銀籌備帳戶|玉山帳戶""), REGEXMATCH(C8506, ""薪資"")), ""分潤支出"",
  AND(REGEXMATCH(E8506, ""Ben帳戶|Elsa帳戶|Ben代墊|Ariel代墊|中信銀行共用""), REGEXMATCH(F8506, ""Ben帳戶|Elsa帳戶|Ben代墊|Ariel代墊|中信銀行共用"")), ""內部轉帳(忽略)"",
  AND(E8506&lt;&gt;"""", F8506&lt;&gt;"""", N"&amp;"OT(REGEXMATCH(C8506, ""薪資""))), ""內部轉帳(忽略)"",
  REGEXMATCH(C8506, ""薪資""), ""薪資變動(不計入)"",
  REGEXMATCH(C8506, ""押金""), ""押金往來"",
  AND(E8506&lt;&gt;"""", F8506=""""), ""真實支出"",
  AND(E8506="""", F8506&lt;&gt;""""), ""真實收入"",
  TRUE, ""其他""
)"),"其他")</f>
        <v>其他</v>
      </c>
      <c r="K8506" s="270" t="str">
        <f t="shared" si="2"/>
        <v/>
      </c>
      <c r="L8506">
        <f t="shared" si="3"/>
        <v>0</v>
      </c>
    </row>
    <row r="8507">
      <c r="A8507" s="107"/>
      <c r="D8507" s="270"/>
      <c r="H8507" s="106" t="str">
        <f t="shared" si="1"/>
        <v/>
      </c>
      <c r="J8507" t="str">
        <f>IFERROR(__xludf.DUMMYFUNCTION("IFS(
  AND(REGEXMATCH(E8507, ""台銀籌備帳戶|玉山帳戶""), REGEXMATCH(C8507, ""薪資"")), ""分潤支出"",
  AND(REGEXMATCH(E8507, ""Ben帳戶|Elsa帳戶|Ben代墊|Ariel代墊|中信銀行共用""), REGEXMATCH(F8507, ""Ben帳戶|Elsa帳戶|Ben代墊|Ariel代墊|中信銀行共用"")), ""內部轉帳(忽略)"",
  AND(E8507&lt;&gt;"""", F8507&lt;&gt;"""", N"&amp;"OT(REGEXMATCH(C8507, ""薪資""))), ""內部轉帳(忽略)"",
  REGEXMATCH(C8507, ""薪資""), ""薪資變動(不計入)"",
  REGEXMATCH(C8507, ""押金""), ""押金往來"",
  AND(E8507&lt;&gt;"""", F8507=""""), ""真實支出"",
  AND(E8507="""", F8507&lt;&gt;""""), ""真實收入"",
  TRUE, ""其他""
)"),"其他")</f>
        <v>其他</v>
      </c>
      <c r="K8507" s="270" t="str">
        <f t="shared" si="2"/>
        <v/>
      </c>
      <c r="L8507">
        <f t="shared" si="3"/>
        <v>0</v>
      </c>
    </row>
    <row r="8508">
      <c r="A8508" s="107"/>
      <c r="D8508" s="270"/>
      <c r="H8508" s="106" t="str">
        <f t="shared" si="1"/>
        <v/>
      </c>
      <c r="J8508" t="str">
        <f>IFERROR(__xludf.DUMMYFUNCTION("IFS(
  AND(REGEXMATCH(E8508, ""台銀籌備帳戶|玉山帳戶""), REGEXMATCH(C8508, ""薪資"")), ""分潤支出"",
  AND(REGEXMATCH(E8508, ""Ben帳戶|Elsa帳戶|Ben代墊|Ariel代墊|中信銀行共用""), REGEXMATCH(F8508, ""Ben帳戶|Elsa帳戶|Ben代墊|Ariel代墊|中信銀行共用"")), ""內部轉帳(忽略)"",
  AND(E8508&lt;&gt;"""", F8508&lt;&gt;"""", N"&amp;"OT(REGEXMATCH(C8508, ""薪資""))), ""內部轉帳(忽略)"",
  REGEXMATCH(C8508, ""薪資""), ""薪資變動(不計入)"",
  REGEXMATCH(C8508, ""押金""), ""押金往來"",
  AND(E8508&lt;&gt;"""", F8508=""""), ""真實支出"",
  AND(E8508="""", F8508&lt;&gt;""""), ""真實收入"",
  TRUE, ""其他""
)"),"其他")</f>
        <v>其他</v>
      </c>
      <c r="K8508" s="270" t="str">
        <f t="shared" si="2"/>
        <v/>
      </c>
      <c r="L8508">
        <f t="shared" si="3"/>
        <v>0</v>
      </c>
    </row>
    <row r="8509">
      <c r="A8509" s="107"/>
      <c r="D8509" s="270"/>
      <c r="H8509" s="106" t="str">
        <f t="shared" si="1"/>
        <v/>
      </c>
      <c r="J8509" t="str">
        <f>IFERROR(__xludf.DUMMYFUNCTION("IFS(
  AND(REGEXMATCH(E8509, ""台銀籌備帳戶|玉山帳戶""), REGEXMATCH(C8509, ""薪資"")), ""分潤支出"",
  AND(REGEXMATCH(E8509, ""Ben帳戶|Elsa帳戶|Ben代墊|Ariel代墊|中信銀行共用""), REGEXMATCH(F8509, ""Ben帳戶|Elsa帳戶|Ben代墊|Ariel代墊|中信銀行共用"")), ""內部轉帳(忽略)"",
  AND(E8509&lt;&gt;"""", F8509&lt;&gt;"""", N"&amp;"OT(REGEXMATCH(C8509, ""薪資""))), ""內部轉帳(忽略)"",
  REGEXMATCH(C8509, ""薪資""), ""薪資變動(不計入)"",
  REGEXMATCH(C8509, ""押金""), ""押金往來"",
  AND(E8509&lt;&gt;"""", F8509=""""), ""真實支出"",
  AND(E8509="""", F8509&lt;&gt;""""), ""真實收入"",
  TRUE, ""其他""
)"),"其他")</f>
        <v>其他</v>
      </c>
      <c r="K8509" s="270" t="str">
        <f t="shared" si="2"/>
        <v/>
      </c>
      <c r="L8509">
        <f t="shared" si="3"/>
        <v>0</v>
      </c>
    </row>
    <row r="8510">
      <c r="A8510" s="107"/>
      <c r="D8510" s="270"/>
      <c r="H8510" s="106" t="str">
        <f t="shared" si="1"/>
        <v/>
      </c>
      <c r="J8510" t="str">
        <f>IFERROR(__xludf.DUMMYFUNCTION("IFS(
  AND(REGEXMATCH(E8510, ""台銀籌備帳戶|玉山帳戶""), REGEXMATCH(C8510, ""薪資"")), ""分潤支出"",
  AND(REGEXMATCH(E8510, ""Ben帳戶|Elsa帳戶|Ben代墊|Ariel代墊|中信銀行共用""), REGEXMATCH(F8510, ""Ben帳戶|Elsa帳戶|Ben代墊|Ariel代墊|中信銀行共用"")), ""內部轉帳(忽略)"",
  AND(E8510&lt;&gt;"""", F8510&lt;&gt;"""", N"&amp;"OT(REGEXMATCH(C8510, ""薪資""))), ""內部轉帳(忽略)"",
  REGEXMATCH(C8510, ""薪資""), ""薪資變動(不計入)"",
  REGEXMATCH(C8510, ""押金""), ""押金往來"",
  AND(E8510&lt;&gt;"""", F8510=""""), ""真實支出"",
  AND(E8510="""", F8510&lt;&gt;""""), ""真實收入"",
  TRUE, ""其他""
)"),"其他")</f>
        <v>其他</v>
      </c>
      <c r="K8510" s="270" t="str">
        <f t="shared" si="2"/>
        <v/>
      </c>
      <c r="L8510">
        <f t="shared" si="3"/>
        <v>0</v>
      </c>
    </row>
    <row r="8511">
      <c r="A8511" s="107"/>
      <c r="D8511" s="270"/>
      <c r="H8511" s="106" t="str">
        <f t="shared" si="1"/>
        <v/>
      </c>
      <c r="J8511" t="str">
        <f>IFERROR(__xludf.DUMMYFUNCTION("IFS(
  AND(REGEXMATCH(E8511, ""台銀籌備帳戶|玉山帳戶""), REGEXMATCH(C8511, ""薪資"")), ""分潤支出"",
  AND(REGEXMATCH(E8511, ""Ben帳戶|Elsa帳戶|Ben代墊|Ariel代墊|中信銀行共用""), REGEXMATCH(F8511, ""Ben帳戶|Elsa帳戶|Ben代墊|Ariel代墊|中信銀行共用"")), ""內部轉帳(忽略)"",
  AND(E8511&lt;&gt;"""", F8511&lt;&gt;"""", N"&amp;"OT(REGEXMATCH(C8511, ""薪資""))), ""內部轉帳(忽略)"",
  REGEXMATCH(C8511, ""薪資""), ""薪資變動(不計入)"",
  REGEXMATCH(C8511, ""押金""), ""押金往來"",
  AND(E8511&lt;&gt;"""", F8511=""""), ""真實支出"",
  AND(E8511="""", F8511&lt;&gt;""""), ""真實收入"",
  TRUE, ""其他""
)"),"其他")</f>
        <v>其他</v>
      </c>
      <c r="K8511" s="270" t="str">
        <f t="shared" si="2"/>
        <v/>
      </c>
      <c r="L8511">
        <f t="shared" si="3"/>
        <v>0</v>
      </c>
    </row>
    <row r="8512">
      <c r="A8512" s="107"/>
      <c r="D8512" s="270"/>
      <c r="H8512" s="106" t="str">
        <f t="shared" si="1"/>
        <v/>
      </c>
      <c r="J8512" t="str">
        <f>IFERROR(__xludf.DUMMYFUNCTION("IFS(
  AND(REGEXMATCH(E8512, ""台銀籌備帳戶|玉山帳戶""), REGEXMATCH(C8512, ""薪資"")), ""分潤支出"",
  AND(REGEXMATCH(E8512, ""Ben帳戶|Elsa帳戶|Ben代墊|Ariel代墊|中信銀行共用""), REGEXMATCH(F8512, ""Ben帳戶|Elsa帳戶|Ben代墊|Ariel代墊|中信銀行共用"")), ""內部轉帳(忽略)"",
  AND(E8512&lt;&gt;"""", F8512&lt;&gt;"""", N"&amp;"OT(REGEXMATCH(C8512, ""薪資""))), ""內部轉帳(忽略)"",
  REGEXMATCH(C8512, ""薪資""), ""薪資變動(不計入)"",
  REGEXMATCH(C8512, ""押金""), ""押金往來"",
  AND(E8512&lt;&gt;"""", F8512=""""), ""真實支出"",
  AND(E8512="""", F8512&lt;&gt;""""), ""真實收入"",
  TRUE, ""其他""
)"),"其他")</f>
        <v>其他</v>
      </c>
      <c r="K8512" s="270" t="str">
        <f t="shared" si="2"/>
        <v/>
      </c>
      <c r="L8512">
        <f t="shared" si="3"/>
        <v>0</v>
      </c>
    </row>
    <row r="8513">
      <c r="A8513" s="107"/>
      <c r="D8513" s="270"/>
      <c r="H8513" s="106" t="str">
        <f t="shared" si="1"/>
        <v/>
      </c>
      <c r="J8513" t="str">
        <f>IFERROR(__xludf.DUMMYFUNCTION("IFS(
  AND(REGEXMATCH(E8513, ""台銀籌備帳戶|玉山帳戶""), REGEXMATCH(C8513, ""薪資"")), ""分潤支出"",
  AND(REGEXMATCH(E8513, ""Ben帳戶|Elsa帳戶|Ben代墊|Ariel代墊|中信銀行共用""), REGEXMATCH(F8513, ""Ben帳戶|Elsa帳戶|Ben代墊|Ariel代墊|中信銀行共用"")), ""內部轉帳(忽略)"",
  AND(E8513&lt;&gt;"""", F8513&lt;&gt;"""", N"&amp;"OT(REGEXMATCH(C8513, ""薪資""))), ""內部轉帳(忽略)"",
  REGEXMATCH(C8513, ""薪資""), ""薪資變動(不計入)"",
  REGEXMATCH(C8513, ""押金""), ""押金往來"",
  AND(E8513&lt;&gt;"""", F8513=""""), ""真實支出"",
  AND(E8513="""", F8513&lt;&gt;""""), ""真實收入"",
  TRUE, ""其他""
)"),"其他")</f>
        <v>其他</v>
      </c>
      <c r="K8513" s="270" t="str">
        <f t="shared" si="2"/>
        <v/>
      </c>
      <c r="L8513">
        <f t="shared" si="3"/>
        <v>0</v>
      </c>
    </row>
    <row r="8514">
      <c r="A8514" s="107"/>
      <c r="D8514" s="270"/>
      <c r="H8514" s="106" t="str">
        <f t="shared" si="1"/>
        <v/>
      </c>
      <c r="J8514" t="str">
        <f>IFERROR(__xludf.DUMMYFUNCTION("IFS(
  AND(REGEXMATCH(E8514, ""台銀籌備帳戶|玉山帳戶""), REGEXMATCH(C8514, ""薪資"")), ""分潤支出"",
  AND(REGEXMATCH(E8514, ""Ben帳戶|Elsa帳戶|Ben代墊|Ariel代墊|中信銀行共用""), REGEXMATCH(F8514, ""Ben帳戶|Elsa帳戶|Ben代墊|Ariel代墊|中信銀行共用"")), ""內部轉帳(忽略)"",
  AND(E8514&lt;&gt;"""", F8514&lt;&gt;"""", N"&amp;"OT(REGEXMATCH(C8514, ""薪資""))), ""內部轉帳(忽略)"",
  REGEXMATCH(C8514, ""薪資""), ""薪資變動(不計入)"",
  REGEXMATCH(C8514, ""押金""), ""押金往來"",
  AND(E8514&lt;&gt;"""", F8514=""""), ""真實支出"",
  AND(E8514="""", F8514&lt;&gt;""""), ""真實收入"",
  TRUE, ""其他""
)"),"其他")</f>
        <v>其他</v>
      </c>
      <c r="K8514" s="270" t="str">
        <f t="shared" si="2"/>
        <v/>
      </c>
      <c r="L8514">
        <f t="shared" si="3"/>
        <v>0</v>
      </c>
    </row>
    <row r="8515">
      <c r="A8515" s="107"/>
      <c r="D8515" s="270"/>
      <c r="H8515" s="106" t="str">
        <f t="shared" si="1"/>
        <v/>
      </c>
      <c r="J8515" t="str">
        <f>IFERROR(__xludf.DUMMYFUNCTION("IFS(
  AND(REGEXMATCH(E8515, ""台銀籌備帳戶|玉山帳戶""), REGEXMATCH(C8515, ""薪資"")), ""分潤支出"",
  AND(REGEXMATCH(E8515, ""Ben帳戶|Elsa帳戶|Ben代墊|Ariel代墊|中信銀行共用""), REGEXMATCH(F8515, ""Ben帳戶|Elsa帳戶|Ben代墊|Ariel代墊|中信銀行共用"")), ""內部轉帳(忽略)"",
  AND(E8515&lt;&gt;"""", F8515&lt;&gt;"""", N"&amp;"OT(REGEXMATCH(C8515, ""薪資""))), ""內部轉帳(忽略)"",
  REGEXMATCH(C8515, ""薪資""), ""薪資變動(不計入)"",
  REGEXMATCH(C8515, ""押金""), ""押金往來"",
  AND(E8515&lt;&gt;"""", F8515=""""), ""真實支出"",
  AND(E8515="""", F8515&lt;&gt;""""), ""真實收入"",
  TRUE, ""其他""
)"),"其他")</f>
        <v>其他</v>
      </c>
      <c r="K8515" s="270" t="str">
        <f t="shared" si="2"/>
        <v/>
      </c>
      <c r="L8515">
        <f t="shared" si="3"/>
        <v>0</v>
      </c>
    </row>
    <row r="8516">
      <c r="A8516" s="107"/>
      <c r="D8516" s="270"/>
      <c r="H8516" s="106" t="str">
        <f t="shared" si="1"/>
        <v/>
      </c>
      <c r="J8516" t="str">
        <f>IFERROR(__xludf.DUMMYFUNCTION("IFS(
  AND(REGEXMATCH(E8516, ""台銀籌備帳戶|玉山帳戶""), REGEXMATCH(C8516, ""薪資"")), ""分潤支出"",
  AND(REGEXMATCH(E8516, ""Ben帳戶|Elsa帳戶|Ben代墊|Ariel代墊|中信銀行共用""), REGEXMATCH(F8516, ""Ben帳戶|Elsa帳戶|Ben代墊|Ariel代墊|中信銀行共用"")), ""內部轉帳(忽略)"",
  AND(E8516&lt;&gt;"""", F8516&lt;&gt;"""", N"&amp;"OT(REGEXMATCH(C8516, ""薪資""))), ""內部轉帳(忽略)"",
  REGEXMATCH(C8516, ""薪資""), ""薪資變動(不計入)"",
  REGEXMATCH(C8516, ""押金""), ""押金往來"",
  AND(E8516&lt;&gt;"""", F8516=""""), ""真實支出"",
  AND(E8516="""", F8516&lt;&gt;""""), ""真實收入"",
  TRUE, ""其他""
)"),"其他")</f>
        <v>其他</v>
      </c>
      <c r="K8516" s="270" t="str">
        <f t="shared" si="2"/>
        <v/>
      </c>
      <c r="L8516">
        <f t="shared" si="3"/>
        <v>0</v>
      </c>
    </row>
    <row r="8517">
      <c r="A8517" s="107"/>
      <c r="D8517" s="270"/>
      <c r="H8517" s="106" t="str">
        <f t="shared" si="1"/>
        <v/>
      </c>
      <c r="J8517" t="str">
        <f>IFERROR(__xludf.DUMMYFUNCTION("IFS(
  AND(REGEXMATCH(E8517, ""台銀籌備帳戶|玉山帳戶""), REGEXMATCH(C8517, ""薪資"")), ""分潤支出"",
  AND(REGEXMATCH(E8517, ""Ben帳戶|Elsa帳戶|Ben代墊|Ariel代墊|中信銀行共用""), REGEXMATCH(F8517, ""Ben帳戶|Elsa帳戶|Ben代墊|Ariel代墊|中信銀行共用"")), ""內部轉帳(忽略)"",
  AND(E8517&lt;&gt;"""", F8517&lt;&gt;"""", N"&amp;"OT(REGEXMATCH(C8517, ""薪資""))), ""內部轉帳(忽略)"",
  REGEXMATCH(C8517, ""薪資""), ""薪資變動(不計入)"",
  REGEXMATCH(C8517, ""押金""), ""押金往來"",
  AND(E8517&lt;&gt;"""", F8517=""""), ""真實支出"",
  AND(E8517="""", F8517&lt;&gt;""""), ""真實收入"",
  TRUE, ""其他""
)"),"其他")</f>
        <v>其他</v>
      </c>
      <c r="K8517" s="270" t="str">
        <f t="shared" si="2"/>
        <v/>
      </c>
      <c r="L8517">
        <f t="shared" si="3"/>
        <v>0</v>
      </c>
    </row>
    <row r="8518">
      <c r="A8518" s="107"/>
      <c r="D8518" s="270"/>
      <c r="H8518" s="106" t="str">
        <f t="shared" si="1"/>
        <v/>
      </c>
      <c r="J8518" t="str">
        <f>IFERROR(__xludf.DUMMYFUNCTION("IFS(
  AND(REGEXMATCH(E8518, ""台銀籌備帳戶|玉山帳戶""), REGEXMATCH(C8518, ""薪資"")), ""分潤支出"",
  AND(REGEXMATCH(E8518, ""Ben帳戶|Elsa帳戶|Ben代墊|Ariel代墊|中信銀行共用""), REGEXMATCH(F8518, ""Ben帳戶|Elsa帳戶|Ben代墊|Ariel代墊|中信銀行共用"")), ""內部轉帳(忽略)"",
  AND(E8518&lt;&gt;"""", F8518&lt;&gt;"""", N"&amp;"OT(REGEXMATCH(C8518, ""薪資""))), ""內部轉帳(忽略)"",
  REGEXMATCH(C8518, ""薪資""), ""薪資變動(不計入)"",
  REGEXMATCH(C8518, ""押金""), ""押金往來"",
  AND(E8518&lt;&gt;"""", F8518=""""), ""真實支出"",
  AND(E8518="""", F8518&lt;&gt;""""), ""真實收入"",
  TRUE, ""其他""
)"),"其他")</f>
        <v>其他</v>
      </c>
      <c r="K8518" s="270" t="str">
        <f t="shared" si="2"/>
        <v/>
      </c>
      <c r="L8518">
        <f t="shared" si="3"/>
        <v>0</v>
      </c>
    </row>
    <row r="8519">
      <c r="A8519" s="107"/>
      <c r="D8519" s="270"/>
      <c r="H8519" s="106" t="str">
        <f t="shared" si="1"/>
        <v/>
      </c>
      <c r="J8519" t="str">
        <f>IFERROR(__xludf.DUMMYFUNCTION("IFS(
  AND(REGEXMATCH(E8519, ""台銀籌備帳戶|玉山帳戶""), REGEXMATCH(C8519, ""薪資"")), ""分潤支出"",
  AND(REGEXMATCH(E8519, ""Ben帳戶|Elsa帳戶|Ben代墊|Ariel代墊|中信銀行共用""), REGEXMATCH(F8519, ""Ben帳戶|Elsa帳戶|Ben代墊|Ariel代墊|中信銀行共用"")), ""內部轉帳(忽略)"",
  AND(E8519&lt;&gt;"""", F8519&lt;&gt;"""", N"&amp;"OT(REGEXMATCH(C8519, ""薪資""))), ""內部轉帳(忽略)"",
  REGEXMATCH(C8519, ""薪資""), ""薪資變動(不計入)"",
  REGEXMATCH(C8519, ""押金""), ""押金往來"",
  AND(E8519&lt;&gt;"""", F8519=""""), ""真實支出"",
  AND(E8519="""", F8519&lt;&gt;""""), ""真實收入"",
  TRUE, ""其他""
)"),"其他")</f>
        <v>其他</v>
      </c>
      <c r="K8519" s="270" t="str">
        <f t="shared" si="2"/>
        <v/>
      </c>
      <c r="L8519">
        <f t="shared" si="3"/>
        <v>0</v>
      </c>
    </row>
    <row r="8520">
      <c r="A8520" s="107"/>
      <c r="D8520" s="270"/>
      <c r="H8520" s="106" t="str">
        <f t="shared" si="1"/>
        <v/>
      </c>
      <c r="J8520" t="str">
        <f>IFERROR(__xludf.DUMMYFUNCTION("IFS(
  AND(REGEXMATCH(E8520, ""台銀籌備帳戶|玉山帳戶""), REGEXMATCH(C8520, ""薪資"")), ""分潤支出"",
  AND(REGEXMATCH(E8520, ""Ben帳戶|Elsa帳戶|Ben代墊|Ariel代墊|中信銀行共用""), REGEXMATCH(F8520, ""Ben帳戶|Elsa帳戶|Ben代墊|Ariel代墊|中信銀行共用"")), ""內部轉帳(忽略)"",
  AND(E8520&lt;&gt;"""", F8520&lt;&gt;"""", N"&amp;"OT(REGEXMATCH(C8520, ""薪資""))), ""內部轉帳(忽略)"",
  REGEXMATCH(C8520, ""薪資""), ""薪資變動(不計入)"",
  REGEXMATCH(C8520, ""押金""), ""押金往來"",
  AND(E8520&lt;&gt;"""", F8520=""""), ""真實支出"",
  AND(E8520="""", F8520&lt;&gt;""""), ""真實收入"",
  TRUE, ""其他""
)"),"其他")</f>
        <v>其他</v>
      </c>
      <c r="K8520" s="270" t="str">
        <f t="shared" si="2"/>
        <v/>
      </c>
      <c r="L8520">
        <f t="shared" si="3"/>
        <v>0</v>
      </c>
    </row>
    <row r="8521">
      <c r="A8521" s="107"/>
      <c r="D8521" s="270"/>
      <c r="H8521" s="106" t="str">
        <f t="shared" si="1"/>
        <v/>
      </c>
      <c r="J8521" t="str">
        <f>IFERROR(__xludf.DUMMYFUNCTION("IFS(
  AND(REGEXMATCH(E8521, ""台銀籌備帳戶|玉山帳戶""), REGEXMATCH(C8521, ""薪資"")), ""分潤支出"",
  AND(REGEXMATCH(E8521, ""Ben帳戶|Elsa帳戶|Ben代墊|Ariel代墊|中信銀行共用""), REGEXMATCH(F8521, ""Ben帳戶|Elsa帳戶|Ben代墊|Ariel代墊|中信銀行共用"")), ""內部轉帳(忽略)"",
  AND(E8521&lt;&gt;"""", F8521&lt;&gt;"""", N"&amp;"OT(REGEXMATCH(C8521, ""薪資""))), ""內部轉帳(忽略)"",
  REGEXMATCH(C8521, ""薪資""), ""薪資變動(不計入)"",
  REGEXMATCH(C8521, ""押金""), ""押金往來"",
  AND(E8521&lt;&gt;"""", F8521=""""), ""真實支出"",
  AND(E8521="""", F8521&lt;&gt;""""), ""真實收入"",
  TRUE, ""其他""
)"),"其他")</f>
        <v>其他</v>
      </c>
      <c r="K8521" s="270" t="str">
        <f t="shared" si="2"/>
        <v/>
      </c>
      <c r="L8521">
        <f t="shared" si="3"/>
        <v>0</v>
      </c>
    </row>
    <row r="8522">
      <c r="A8522" s="107"/>
      <c r="D8522" s="270"/>
      <c r="H8522" s="106" t="str">
        <f t="shared" si="1"/>
        <v/>
      </c>
      <c r="J8522" t="str">
        <f>IFERROR(__xludf.DUMMYFUNCTION("IFS(
  AND(REGEXMATCH(E8522, ""台銀籌備帳戶|玉山帳戶""), REGEXMATCH(C8522, ""薪資"")), ""分潤支出"",
  AND(REGEXMATCH(E8522, ""Ben帳戶|Elsa帳戶|Ben代墊|Ariel代墊|中信銀行共用""), REGEXMATCH(F8522, ""Ben帳戶|Elsa帳戶|Ben代墊|Ariel代墊|中信銀行共用"")), ""內部轉帳(忽略)"",
  AND(E8522&lt;&gt;"""", F8522&lt;&gt;"""", N"&amp;"OT(REGEXMATCH(C8522, ""薪資""))), ""內部轉帳(忽略)"",
  REGEXMATCH(C8522, ""薪資""), ""薪資變動(不計入)"",
  REGEXMATCH(C8522, ""押金""), ""押金往來"",
  AND(E8522&lt;&gt;"""", F8522=""""), ""真實支出"",
  AND(E8522="""", F8522&lt;&gt;""""), ""真實收入"",
  TRUE, ""其他""
)"),"其他")</f>
        <v>其他</v>
      </c>
      <c r="K8522" s="270" t="str">
        <f t="shared" si="2"/>
        <v/>
      </c>
      <c r="L8522">
        <f t="shared" si="3"/>
        <v>0</v>
      </c>
    </row>
    <row r="8523">
      <c r="A8523" s="107"/>
      <c r="D8523" s="270"/>
      <c r="H8523" s="106" t="str">
        <f t="shared" si="1"/>
        <v/>
      </c>
      <c r="J8523" t="str">
        <f>IFERROR(__xludf.DUMMYFUNCTION("IFS(
  AND(REGEXMATCH(E8523, ""台銀籌備帳戶|玉山帳戶""), REGEXMATCH(C8523, ""薪資"")), ""分潤支出"",
  AND(REGEXMATCH(E8523, ""Ben帳戶|Elsa帳戶|Ben代墊|Ariel代墊|中信銀行共用""), REGEXMATCH(F8523, ""Ben帳戶|Elsa帳戶|Ben代墊|Ariel代墊|中信銀行共用"")), ""內部轉帳(忽略)"",
  AND(E8523&lt;&gt;"""", F8523&lt;&gt;"""", N"&amp;"OT(REGEXMATCH(C8523, ""薪資""))), ""內部轉帳(忽略)"",
  REGEXMATCH(C8523, ""薪資""), ""薪資變動(不計入)"",
  REGEXMATCH(C8523, ""押金""), ""押金往來"",
  AND(E8523&lt;&gt;"""", F8523=""""), ""真實支出"",
  AND(E8523="""", F8523&lt;&gt;""""), ""真實收入"",
  TRUE, ""其他""
)"),"其他")</f>
        <v>其他</v>
      </c>
      <c r="K8523" s="270" t="str">
        <f t="shared" si="2"/>
        <v/>
      </c>
      <c r="L8523">
        <f t="shared" si="3"/>
        <v>0</v>
      </c>
    </row>
    <row r="8524">
      <c r="A8524" s="107"/>
      <c r="D8524" s="270"/>
      <c r="H8524" s="106" t="str">
        <f t="shared" si="1"/>
        <v/>
      </c>
      <c r="J8524" t="str">
        <f>IFERROR(__xludf.DUMMYFUNCTION("IFS(
  AND(REGEXMATCH(E8524, ""台銀籌備帳戶|玉山帳戶""), REGEXMATCH(C8524, ""薪資"")), ""分潤支出"",
  AND(REGEXMATCH(E8524, ""Ben帳戶|Elsa帳戶|Ben代墊|Ariel代墊|中信銀行共用""), REGEXMATCH(F8524, ""Ben帳戶|Elsa帳戶|Ben代墊|Ariel代墊|中信銀行共用"")), ""內部轉帳(忽略)"",
  AND(E8524&lt;&gt;"""", F8524&lt;&gt;"""", N"&amp;"OT(REGEXMATCH(C8524, ""薪資""))), ""內部轉帳(忽略)"",
  REGEXMATCH(C8524, ""薪資""), ""薪資變動(不計入)"",
  REGEXMATCH(C8524, ""押金""), ""押金往來"",
  AND(E8524&lt;&gt;"""", F8524=""""), ""真實支出"",
  AND(E8524="""", F8524&lt;&gt;""""), ""真實收入"",
  TRUE, ""其他""
)"),"其他")</f>
        <v>其他</v>
      </c>
      <c r="K8524" s="270" t="str">
        <f t="shared" si="2"/>
        <v/>
      </c>
      <c r="L8524">
        <f t="shared" si="3"/>
        <v>0</v>
      </c>
    </row>
    <row r="8525">
      <c r="A8525" s="107"/>
      <c r="D8525" s="270"/>
      <c r="H8525" s="106" t="str">
        <f t="shared" si="1"/>
        <v/>
      </c>
      <c r="J8525" t="str">
        <f>IFERROR(__xludf.DUMMYFUNCTION("IFS(
  AND(REGEXMATCH(E8525, ""台銀籌備帳戶|玉山帳戶""), REGEXMATCH(C8525, ""薪資"")), ""分潤支出"",
  AND(REGEXMATCH(E8525, ""Ben帳戶|Elsa帳戶|Ben代墊|Ariel代墊|中信銀行共用""), REGEXMATCH(F8525, ""Ben帳戶|Elsa帳戶|Ben代墊|Ariel代墊|中信銀行共用"")), ""內部轉帳(忽略)"",
  AND(E8525&lt;&gt;"""", F8525&lt;&gt;"""", N"&amp;"OT(REGEXMATCH(C8525, ""薪資""))), ""內部轉帳(忽略)"",
  REGEXMATCH(C8525, ""薪資""), ""薪資變動(不計入)"",
  REGEXMATCH(C8525, ""押金""), ""押金往來"",
  AND(E8525&lt;&gt;"""", F8525=""""), ""真實支出"",
  AND(E8525="""", F8525&lt;&gt;""""), ""真實收入"",
  TRUE, ""其他""
)"),"其他")</f>
        <v>其他</v>
      </c>
      <c r="K8525" s="270" t="str">
        <f t="shared" si="2"/>
        <v/>
      </c>
      <c r="L8525">
        <f t="shared" si="3"/>
        <v>0</v>
      </c>
    </row>
    <row r="8526">
      <c r="A8526" s="107"/>
      <c r="D8526" s="270"/>
      <c r="H8526" s="106" t="str">
        <f t="shared" si="1"/>
        <v/>
      </c>
      <c r="J8526" t="str">
        <f>IFERROR(__xludf.DUMMYFUNCTION("IFS(
  AND(REGEXMATCH(E8526, ""台銀籌備帳戶|玉山帳戶""), REGEXMATCH(C8526, ""薪資"")), ""分潤支出"",
  AND(REGEXMATCH(E8526, ""Ben帳戶|Elsa帳戶|Ben代墊|Ariel代墊|中信銀行共用""), REGEXMATCH(F8526, ""Ben帳戶|Elsa帳戶|Ben代墊|Ariel代墊|中信銀行共用"")), ""內部轉帳(忽略)"",
  AND(E8526&lt;&gt;"""", F8526&lt;&gt;"""", N"&amp;"OT(REGEXMATCH(C8526, ""薪資""))), ""內部轉帳(忽略)"",
  REGEXMATCH(C8526, ""薪資""), ""薪資變動(不計入)"",
  REGEXMATCH(C8526, ""押金""), ""押金往來"",
  AND(E8526&lt;&gt;"""", F8526=""""), ""真實支出"",
  AND(E8526="""", F8526&lt;&gt;""""), ""真實收入"",
  TRUE, ""其他""
)"),"其他")</f>
        <v>其他</v>
      </c>
      <c r="K8526" s="270" t="str">
        <f t="shared" si="2"/>
        <v/>
      </c>
      <c r="L8526">
        <f t="shared" si="3"/>
        <v>0</v>
      </c>
    </row>
    <row r="8527">
      <c r="A8527" s="107"/>
      <c r="D8527" s="270"/>
      <c r="H8527" s="106" t="str">
        <f t="shared" si="1"/>
        <v/>
      </c>
      <c r="J8527" t="str">
        <f>IFERROR(__xludf.DUMMYFUNCTION("IFS(
  AND(REGEXMATCH(E8527, ""台銀籌備帳戶|玉山帳戶""), REGEXMATCH(C8527, ""薪資"")), ""分潤支出"",
  AND(REGEXMATCH(E8527, ""Ben帳戶|Elsa帳戶|Ben代墊|Ariel代墊|中信銀行共用""), REGEXMATCH(F8527, ""Ben帳戶|Elsa帳戶|Ben代墊|Ariel代墊|中信銀行共用"")), ""內部轉帳(忽略)"",
  AND(E8527&lt;&gt;"""", F8527&lt;&gt;"""", N"&amp;"OT(REGEXMATCH(C8527, ""薪資""))), ""內部轉帳(忽略)"",
  REGEXMATCH(C8527, ""薪資""), ""薪資變動(不計入)"",
  REGEXMATCH(C8527, ""押金""), ""押金往來"",
  AND(E8527&lt;&gt;"""", F8527=""""), ""真實支出"",
  AND(E8527="""", F8527&lt;&gt;""""), ""真實收入"",
  TRUE, ""其他""
)"),"其他")</f>
        <v>其他</v>
      </c>
      <c r="K8527" s="270" t="str">
        <f t="shared" si="2"/>
        <v/>
      </c>
      <c r="L8527">
        <f t="shared" si="3"/>
        <v>0</v>
      </c>
    </row>
    <row r="8528">
      <c r="A8528" s="107"/>
      <c r="D8528" s="270"/>
      <c r="H8528" s="106" t="str">
        <f t="shared" si="1"/>
        <v/>
      </c>
      <c r="J8528" t="str">
        <f>IFERROR(__xludf.DUMMYFUNCTION("IFS(
  AND(REGEXMATCH(E8528, ""台銀籌備帳戶|玉山帳戶""), REGEXMATCH(C8528, ""薪資"")), ""分潤支出"",
  AND(REGEXMATCH(E8528, ""Ben帳戶|Elsa帳戶|Ben代墊|Ariel代墊|中信銀行共用""), REGEXMATCH(F8528, ""Ben帳戶|Elsa帳戶|Ben代墊|Ariel代墊|中信銀行共用"")), ""內部轉帳(忽略)"",
  AND(E8528&lt;&gt;"""", F8528&lt;&gt;"""", N"&amp;"OT(REGEXMATCH(C8528, ""薪資""))), ""內部轉帳(忽略)"",
  REGEXMATCH(C8528, ""薪資""), ""薪資變動(不計入)"",
  REGEXMATCH(C8528, ""押金""), ""押金往來"",
  AND(E8528&lt;&gt;"""", F8528=""""), ""真實支出"",
  AND(E8528="""", F8528&lt;&gt;""""), ""真實收入"",
  TRUE, ""其他""
)"),"其他")</f>
        <v>其他</v>
      </c>
      <c r="K8528" s="270" t="str">
        <f t="shared" si="2"/>
        <v/>
      </c>
      <c r="L8528">
        <f t="shared" si="3"/>
        <v>0</v>
      </c>
    </row>
    <row r="8529">
      <c r="A8529" s="107"/>
      <c r="D8529" s="270"/>
      <c r="H8529" s="106" t="str">
        <f t="shared" si="1"/>
        <v/>
      </c>
      <c r="J8529" t="str">
        <f>IFERROR(__xludf.DUMMYFUNCTION("IFS(
  AND(REGEXMATCH(E8529, ""台銀籌備帳戶|玉山帳戶""), REGEXMATCH(C8529, ""薪資"")), ""分潤支出"",
  AND(REGEXMATCH(E8529, ""Ben帳戶|Elsa帳戶|Ben代墊|Ariel代墊|中信銀行共用""), REGEXMATCH(F8529, ""Ben帳戶|Elsa帳戶|Ben代墊|Ariel代墊|中信銀行共用"")), ""內部轉帳(忽略)"",
  AND(E8529&lt;&gt;"""", F8529&lt;&gt;"""", N"&amp;"OT(REGEXMATCH(C8529, ""薪資""))), ""內部轉帳(忽略)"",
  REGEXMATCH(C8529, ""薪資""), ""薪資變動(不計入)"",
  REGEXMATCH(C8529, ""押金""), ""押金往來"",
  AND(E8529&lt;&gt;"""", F8529=""""), ""真實支出"",
  AND(E8529="""", F8529&lt;&gt;""""), ""真實收入"",
  TRUE, ""其他""
)"),"其他")</f>
        <v>其他</v>
      </c>
      <c r="K8529" s="270" t="str">
        <f t="shared" si="2"/>
        <v/>
      </c>
      <c r="L8529">
        <f t="shared" si="3"/>
        <v>0</v>
      </c>
    </row>
    <row r="8530">
      <c r="A8530" s="107"/>
      <c r="D8530" s="270"/>
      <c r="H8530" s="106" t="str">
        <f t="shared" si="1"/>
        <v/>
      </c>
      <c r="J8530" t="str">
        <f>IFERROR(__xludf.DUMMYFUNCTION("IFS(
  AND(REGEXMATCH(E8530, ""台銀籌備帳戶|玉山帳戶""), REGEXMATCH(C8530, ""薪資"")), ""分潤支出"",
  AND(REGEXMATCH(E8530, ""Ben帳戶|Elsa帳戶|Ben代墊|Ariel代墊|中信銀行共用""), REGEXMATCH(F8530, ""Ben帳戶|Elsa帳戶|Ben代墊|Ariel代墊|中信銀行共用"")), ""內部轉帳(忽略)"",
  AND(E8530&lt;&gt;"""", F8530&lt;&gt;"""", N"&amp;"OT(REGEXMATCH(C8530, ""薪資""))), ""內部轉帳(忽略)"",
  REGEXMATCH(C8530, ""薪資""), ""薪資變動(不計入)"",
  REGEXMATCH(C8530, ""押金""), ""押金往來"",
  AND(E8530&lt;&gt;"""", F8530=""""), ""真實支出"",
  AND(E8530="""", F8530&lt;&gt;""""), ""真實收入"",
  TRUE, ""其他""
)"),"其他")</f>
        <v>其他</v>
      </c>
      <c r="K8530" s="270" t="str">
        <f t="shared" si="2"/>
        <v/>
      </c>
      <c r="L8530">
        <f t="shared" si="3"/>
        <v>0</v>
      </c>
    </row>
    <row r="8531">
      <c r="A8531" s="107"/>
      <c r="D8531" s="270"/>
      <c r="H8531" s="106" t="str">
        <f t="shared" si="1"/>
        <v/>
      </c>
      <c r="J8531" t="str">
        <f>IFERROR(__xludf.DUMMYFUNCTION("IFS(
  AND(REGEXMATCH(E8531, ""台銀籌備帳戶|玉山帳戶""), REGEXMATCH(C8531, ""薪資"")), ""分潤支出"",
  AND(REGEXMATCH(E8531, ""Ben帳戶|Elsa帳戶|Ben代墊|Ariel代墊|中信銀行共用""), REGEXMATCH(F8531, ""Ben帳戶|Elsa帳戶|Ben代墊|Ariel代墊|中信銀行共用"")), ""內部轉帳(忽略)"",
  AND(E8531&lt;&gt;"""", F8531&lt;&gt;"""", N"&amp;"OT(REGEXMATCH(C8531, ""薪資""))), ""內部轉帳(忽略)"",
  REGEXMATCH(C8531, ""薪資""), ""薪資變動(不計入)"",
  REGEXMATCH(C8531, ""押金""), ""押金往來"",
  AND(E8531&lt;&gt;"""", F8531=""""), ""真實支出"",
  AND(E8531="""", F8531&lt;&gt;""""), ""真實收入"",
  TRUE, ""其他""
)"),"其他")</f>
        <v>其他</v>
      </c>
      <c r="K8531" s="270" t="str">
        <f t="shared" si="2"/>
        <v/>
      </c>
      <c r="L8531">
        <f t="shared" si="3"/>
        <v>0</v>
      </c>
    </row>
    <row r="8532">
      <c r="A8532" s="107"/>
      <c r="D8532" s="270"/>
      <c r="H8532" s="106" t="str">
        <f t="shared" si="1"/>
        <v/>
      </c>
      <c r="J8532" t="str">
        <f>IFERROR(__xludf.DUMMYFUNCTION("IFS(
  AND(REGEXMATCH(E8532, ""台銀籌備帳戶|玉山帳戶""), REGEXMATCH(C8532, ""薪資"")), ""分潤支出"",
  AND(REGEXMATCH(E8532, ""Ben帳戶|Elsa帳戶|Ben代墊|Ariel代墊|中信銀行共用""), REGEXMATCH(F8532, ""Ben帳戶|Elsa帳戶|Ben代墊|Ariel代墊|中信銀行共用"")), ""內部轉帳(忽略)"",
  AND(E8532&lt;&gt;"""", F8532&lt;&gt;"""", N"&amp;"OT(REGEXMATCH(C8532, ""薪資""))), ""內部轉帳(忽略)"",
  REGEXMATCH(C8532, ""薪資""), ""薪資變動(不計入)"",
  REGEXMATCH(C8532, ""押金""), ""押金往來"",
  AND(E8532&lt;&gt;"""", F8532=""""), ""真實支出"",
  AND(E8532="""", F8532&lt;&gt;""""), ""真實收入"",
  TRUE, ""其他""
)"),"其他")</f>
        <v>其他</v>
      </c>
      <c r="K8532" s="270" t="str">
        <f t="shared" si="2"/>
        <v/>
      </c>
      <c r="L8532">
        <f t="shared" si="3"/>
        <v>0</v>
      </c>
    </row>
    <row r="8533">
      <c r="A8533" s="107"/>
      <c r="D8533" s="270"/>
      <c r="H8533" s="106" t="str">
        <f t="shared" si="1"/>
        <v/>
      </c>
      <c r="J8533" t="str">
        <f>IFERROR(__xludf.DUMMYFUNCTION("IFS(
  AND(REGEXMATCH(E8533, ""台銀籌備帳戶|玉山帳戶""), REGEXMATCH(C8533, ""薪資"")), ""分潤支出"",
  AND(REGEXMATCH(E8533, ""Ben帳戶|Elsa帳戶|Ben代墊|Ariel代墊|中信銀行共用""), REGEXMATCH(F8533, ""Ben帳戶|Elsa帳戶|Ben代墊|Ariel代墊|中信銀行共用"")), ""內部轉帳(忽略)"",
  AND(E8533&lt;&gt;"""", F8533&lt;&gt;"""", N"&amp;"OT(REGEXMATCH(C8533, ""薪資""))), ""內部轉帳(忽略)"",
  REGEXMATCH(C8533, ""薪資""), ""薪資變動(不計入)"",
  REGEXMATCH(C8533, ""押金""), ""押金往來"",
  AND(E8533&lt;&gt;"""", F8533=""""), ""真實支出"",
  AND(E8533="""", F8533&lt;&gt;""""), ""真實收入"",
  TRUE, ""其他""
)"),"其他")</f>
        <v>其他</v>
      </c>
      <c r="K8533" s="270" t="str">
        <f t="shared" si="2"/>
        <v/>
      </c>
      <c r="L8533">
        <f t="shared" si="3"/>
        <v>0</v>
      </c>
    </row>
    <row r="8534">
      <c r="A8534" s="107"/>
      <c r="D8534" s="270"/>
      <c r="H8534" s="106" t="str">
        <f t="shared" si="1"/>
        <v/>
      </c>
      <c r="J8534" t="str">
        <f>IFERROR(__xludf.DUMMYFUNCTION("IFS(
  AND(REGEXMATCH(E8534, ""台銀籌備帳戶|玉山帳戶""), REGEXMATCH(C8534, ""薪資"")), ""分潤支出"",
  AND(REGEXMATCH(E8534, ""Ben帳戶|Elsa帳戶|Ben代墊|Ariel代墊|中信銀行共用""), REGEXMATCH(F8534, ""Ben帳戶|Elsa帳戶|Ben代墊|Ariel代墊|中信銀行共用"")), ""內部轉帳(忽略)"",
  AND(E8534&lt;&gt;"""", F8534&lt;&gt;"""", N"&amp;"OT(REGEXMATCH(C8534, ""薪資""))), ""內部轉帳(忽略)"",
  REGEXMATCH(C8534, ""薪資""), ""薪資變動(不計入)"",
  REGEXMATCH(C8534, ""押金""), ""押金往來"",
  AND(E8534&lt;&gt;"""", F8534=""""), ""真實支出"",
  AND(E8534="""", F8534&lt;&gt;""""), ""真實收入"",
  TRUE, ""其他""
)"),"其他")</f>
        <v>其他</v>
      </c>
      <c r="K8534" s="270" t="str">
        <f t="shared" si="2"/>
        <v/>
      </c>
      <c r="L8534">
        <f t="shared" si="3"/>
        <v>0</v>
      </c>
    </row>
    <row r="8535">
      <c r="A8535" s="107"/>
      <c r="D8535" s="270"/>
      <c r="H8535" s="106" t="str">
        <f t="shared" si="1"/>
        <v/>
      </c>
      <c r="J8535" t="str">
        <f>IFERROR(__xludf.DUMMYFUNCTION("IFS(
  AND(REGEXMATCH(E8535, ""台銀籌備帳戶|玉山帳戶""), REGEXMATCH(C8535, ""薪資"")), ""分潤支出"",
  AND(REGEXMATCH(E8535, ""Ben帳戶|Elsa帳戶|Ben代墊|Ariel代墊|中信銀行共用""), REGEXMATCH(F8535, ""Ben帳戶|Elsa帳戶|Ben代墊|Ariel代墊|中信銀行共用"")), ""內部轉帳(忽略)"",
  AND(E8535&lt;&gt;"""", F8535&lt;&gt;"""", N"&amp;"OT(REGEXMATCH(C8535, ""薪資""))), ""內部轉帳(忽略)"",
  REGEXMATCH(C8535, ""薪資""), ""薪資變動(不計入)"",
  REGEXMATCH(C8535, ""押金""), ""押金往來"",
  AND(E8535&lt;&gt;"""", F8535=""""), ""真實支出"",
  AND(E8535="""", F8535&lt;&gt;""""), ""真實收入"",
  TRUE, ""其他""
)"),"其他")</f>
        <v>其他</v>
      </c>
      <c r="K8535" s="270" t="str">
        <f t="shared" si="2"/>
        <v/>
      </c>
      <c r="L8535">
        <f t="shared" si="3"/>
        <v>0</v>
      </c>
    </row>
    <row r="8536">
      <c r="A8536" s="107"/>
      <c r="D8536" s="270"/>
      <c r="H8536" s="106" t="str">
        <f t="shared" si="1"/>
        <v/>
      </c>
      <c r="J8536" t="str">
        <f>IFERROR(__xludf.DUMMYFUNCTION("IFS(
  AND(REGEXMATCH(E8536, ""台銀籌備帳戶|玉山帳戶""), REGEXMATCH(C8536, ""薪資"")), ""分潤支出"",
  AND(REGEXMATCH(E8536, ""Ben帳戶|Elsa帳戶|Ben代墊|Ariel代墊|中信銀行共用""), REGEXMATCH(F8536, ""Ben帳戶|Elsa帳戶|Ben代墊|Ariel代墊|中信銀行共用"")), ""內部轉帳(忽略)"",
  AND(E8536&lt;&gt;"""", F8536&lt;&gt;"""", N"&amp;"OT(REGEXMATCH(C8536, ""薪資""))), ""內部轉帳(忽略)"",
  REGEXMATCH(C8536, ""薪資""), ""薪資變動(不計入)"",
  REGEXMATCH(C8536, ""押金""), ""押金往來"",
  AND(E8536&lt;&gt;"""", F8536=""""), ""真實支出"",
  AND(E8536="""", F8536&lt;&gt;""""), ""真實收入"",
  TRUE, ""其他""
)"),"其他")</f>
        <v>其他</v>
      </c>
      <c r="K8536" s="270" t="str">
        <f t="shared" si="2"/>
        <v/>
      </c>
      <c r="L8536">
        <f t="shared" si="3"/>
        <v>0</v>
      </c>
    </row>
    <row r="8537">
      <c r="A8537" s="107"/>
      <c r="D8537" s="270"/>
      <c r="H8537" s="106" t="str">
        <f t="shared" si="1"/>
        <v/>
      </c>
      <c r="J8537" t="str">
        <f>IFERROR(__xludf.DUMMYFUNCTION("IFS(
  AND(REGEXMATCH(E8537, ""台銀籌備帳戶|玉山帳戶""), REGEXMATCH(C8537, ""薪資"")), ""分潤支出"",
  AND(REGEXMATCH(E8537, ""Ben帳戶|Elsa帳戶|Ben代墊|Ariel代墊|中信銀行共用""), REGEXMATCH(F8537, ""Ben帳戶|Elsa帳戶|Ben代墊|Ariel代墊|中信銀行共用"")), ""內部轉帳(忽略)"",
  AND(E8537&lt;&gt;"""", F8537&lt;&gt;"""", N"&amp;"OT(REGEXMATCH(C8537, ""薪資""))), ""內部轉帳(忽略)"",
  REGEXMATCH(C8537, ""薪資""), ""薪資變動(不計入)"",
  REGEXMATCH(C8537, ""押金""), ""押金往來"",
  AND(E8537&lt;&gt;"""", F8537=""""), ""真實支出"",
  AND(E8537="""", F8537&lt;&gt;""""), ""真實收入"",
  TRUE, ""其他""
)"),"其他")</f>
        <v>其他</v>
      </c>
      <c r="K8537" s="270" t="str">
        <f t="shared" si="2"/>
        <v/>
      </c>
      <c r="L8537">
        <f t="shared" si="3"/>
        <v>0</v>
      </c>
    </row>
    <row r="8538">
      <c r="A8538" s="107"/>
      <c r="D8538" s="270"/>
      <c r="H8538" s="106" t="str">
        <f t="shared" si="1"/>
        <v/>
      </c>
      <c r="J8538" t="str">
        <f>IFERROR(__xludf.DUMMYFUNCTION("IFS(
  AND(REGEXMATCH(E8538, ""台銀籌備帳戶|玉山帳戶""), REGEXMATCH(C8538, ""薪資"")), ""分潤支出"",
  AND(REGEXMATCH(E8538, ""Ben帳戶|Elsa帳戶|Ben代墊|Ariel代墊|中信銀行共用""), REGEXMATCH(F8538, ""Ben帳戶|Elsa帳戶|Ben代墊|Ariel代墊|中信銀行共用"")), ""內部轉帳(忽略)"",
  AND(E8538&lt;&gt;"""", F8538&lt;&gt;"""", N"&amp;"OT(REGEXMATCH(C8538, ""薪資""))), ""內部轉帳(忽略)"",
  REGEXMATCH(C8538, ""薪資""), ""薪資變動(不計入)"",
  REGEXMATCH(C8538, ""押金""), ""押金往來"",
  AND(E8538&lt;&gt;"""", F8538=""""), ""真實支出"",
  AND(E8538="""", F8538&lt;&gt;""""), ""真實收入"",
  TRUE, ""其他""
)"),"其他")</f>
        <v>其他</v>
      </c>
      <c r="K8538" s="270" t="str">
        <f t="shared" si="2"/>
        <v/>
      </c>
      <c r="L8538">
        <f t="shared" si="3"/>
        <v>0</v>
      </c>
    </row>
    <row r="8539">
      <c r="A8539" s="107"/>
      <c r="D8539" s="270"/>
      <c r="H8539" s="106" t="str">
        <f t="shared" si="1"/>
        <v/>
      </c>
      <c r="J8539" t="str">
        <f>IFERROR(__xludf.DUMMYFUNCTION("IFS(
  AND(REGEXMATCH(E8539, ""台銀籌備帳戶|玉山帳戶""), REGEXMATCH(C8539, ""薪資"")), ""分潤支出"",
  AND(REGEXMATCH(E8539, ""Ben帳戶|Elsa帳戶|Ben代墊|Ariel代墊|中信銀行共用""), REGEXMATCH(F8539, ""Ben帳戶|Elsa帳戶|Ben代墊|Ariel代墊|中信銀行共用"")), ""內部轉帳(忽略)"",
  AND(E8539&lt;&gt;"""", F8539&lt;&gt;"""", N"&amp;"OT(REGEXMATCH(C8539, ""薪資""))), ""內部轉帳(忽略)"",
  REGEXMATCH(C8539, ""薪資""), ""薪資變動(不計入)"",
  REGEXMATCH(C8539, ""押金""), ""押金往來"",
  AND(E8539&lt;&gt;"""", F8539=""""), ""真實支出"",
  AND(E8539="""", F8539&lt;&gt;""""), ""真實收入"",
  TRUE, ""其他""
)"),"其他")</f>
        <v>其他</v>
      </c>
      <c r="K8539" s="270" t="str">
        <f t="shared" si="2"/>
        <v/>
      </c>
      <c r="L8539">
        <f t="shared" si="3"/>
        <v>0</v>
      </c>
    </row>
    <row r="8540">
      <c r="A8540" s="107"/>
      <c r="D8540" s="270"/>
      <c r="H8540" s="106" t="str">
        <f t="shared" si="1"/>
        <v/>
      </c>
      <c r="J8540" t="str">
        <f>IFERROR(__xludf.DUMMYFUNCTION("IFS(
  AND(REGEXMATCH(E8540, ""台銀籌備帳戶|玉山帳戶""), REGEXMATCH(C8540, ""薪資"")), ""分潤支出"",
  AND(REGEXMATCH(E8540, ""Ben帳戶|Elsa帳戶|Ben代墊|Ariel代墊|中信銀行共用""), REGEXMATCH(F8540, ""Ben帳戶|Elsa帳戶|Ben代墊|Ariel代墊|中信銀行共用"")), ""內部轉帳(忽略)"",
  AND(E8540&lt;&gt;"""", F8540&lt;&gt;"""", N"&amp;"OT(REGEXMATCH(C8540, ""薪資""))), ""內部轉帳(忽略)"",
  REGEXMATCH(C8540, ""薪資""), ""薪資變動(不計入)"",
  REGEXMATCH(C8540, ""押金""), ""押金往來"",
  AND(E8540&lt;&gt;"""", F8540=""""), ""真實支出"",
  AND(E8540="""", F8540&lt;&gt;""""), ""真實收入"",
  TRUE, ""其他""
)"),"其他")</f>
        <v>其他</v>
      </c>
      <c r="K8540" s="270" t="str">
        <f t="shared" si="2"/>
        <v/>
      </c>
      <c r="L8540">
        <f t="shared" si="3"/>
        <v>0</v>
      </c>
    </row>
    <row r="8541">
      <c r="A8541" s="107"/>
      <c r="D8541" s="270"/>
      <c r="H8541" s="106" t="str">
        <f t="shared" si="1"/>
        <v/>
      </c>
      <c r="J8541" t="str">
        <f>IFERROR(__xludf.DUMMYFUNCTION("IFS(
  AND(REGEXMATCH(E8541, ""台銀籌備帳戶|玉山帳戶""), REGEXMATCH(C8541, ""薪資"")), ""分潤支出"",
  AND(REGEXMATCH(E8541, ""Ben帳戶|Elsa帳戶|Ben代墊|Ariel代墊|中信銀行共用""), REGEXMATCH(F8541, ""Ben帳戶|Elsa帳戶|Ben代墊|Ariel代墊|中信銀行共用"")), ""內部轉帳(忽略)"",
  AND(E8541&lt;&gt;"""", F8541&lt;&gt;"""", N"&amp;"OT(REGEXMATCH(C8541, ""薪資""))), ""內部轉帳(忽略)"",
  REGEXMATCH(C8541, ""薪資""), ""薪資變動(不計入)"",
  REGEXMATCH(C8541, ""押金""), ""押金往來"",
  AND(E8541&lt;&gt;"""", F8541=""""), ""真實支出"",
  AND(E8541="""", F8541&lt;&gt;""""), ""真實收入"",
  TRUE, ""其他""
)"),"其他")</f>
        <v>其他</v>
      </c>
      <c r="K8541" s="270" t="str">
        <f t="shared" si="2"/>
        <v/>
      </c>
      <c r="L8541">
        <f t="shared" si="3"/>
        <v>0</v>
      </c>
    </row>
    <row r="8542">
      <c r="A8542" s="107"/>
      <c r="D8542" s="270"/>
      <c r="H8542" s="106" t="str">
        <f t="shared" si="1"/>
        <v/>
      </c>
      <c r="J8542" t="str">
        <f>IFERROR(__xludf.DUMMYFUNCTION("IFS(
  AND(REGEXMATCH(E8542, ""台銀籌備帳戶|玉山帳戶""), REGEXMATCH(C8542, ""薪資"")), ""分潤支出"",
  AND(REGEXMATCH(E8542, ""Ben帳戶|Elsa帳戶|Ben代墊|Ariel代墊|中信銀行共用""), REGEXMATCH(F8542, ""Ben帳戶|Elsa帳戶|Ben代墊|Ariel代墊|中信銀行共用"")), ""內部轉帳(忽略)"",
  AND(E8542&lt;&gt;"""", F8542&lt;&gt;"""", N"&amp;"OT(REGEXMATCH(C8542, ""薪資""))), ""內部轉帳(忽略)"",
  REGEXMATCH(C8542, ""薪資""), ""薪資變動(不計入)"",
  REGEXMATCH(C8542, ""押金""), ""押金往來"",
  AND(E8542&lt;&gt;"""", F8542=""""), ""真實支出"",
  AND(E8542="""", F8542&lt;&gt;""""), ""真實收入"",
  TRUE, ""其他""
)"),"其他")</f>
        <v>其他</v>
      </c>
      <c r="K8542" s="270" t="str">
        <f t="shared" si="2"/>
        <v/>
      </c>
      <c r="L8542">
        <f t="shared" si="3"/>
        <v>0</v>
      </c>
    </row>
    <row r="8543">
      <c r="A8543" s="107"/>
      <c r="D8543" s="270"/>
      <c r="H8543" s="106" t="str">
        <f t="shared" si="1"/>
        <v/>
      </c>
      <c r="J8543" t="str">
        <f>IFERROR(__xludf.DUMMYFUNCTION("IFS(
  AND(REGEXMATCH(E8543, ""台銀籌備帳戶|玉山帳戶""), REGEXMATCH(C8543, ""薪資"")), ""分潤支出"",
  AND(REGEXMATCH(E8543, ""Ben帳戶|Elsa帳戶|Ben代墊|Ariel代墊|中信銀行共用""), REGEXMATCH(F8543, ""Ben帳戶|Elsa帳戶|Ben代墊|Ariel代墊|中信銀行共用"")), ""內部轉帳(忽略)"",
  AND(E8543&lt;&gt;"""", F8543&lt;&gt;"""", N"&amp;"OT(REGEXMATCH(C8543, ""薪資""))), ""內部轉帳(忽略)"",
  REGEXMATCH(C8543, ""薪資""), ""薪資變動(不計入)"",
  REGEXMATCH(C8543, ""押金""), ""押金往來"",
  AND(E8543&lt;&gt;"""", F8543=""""), ""真實支出"",
  AND(E8543="""", F8543&lt;&gt;""""), ""真實收入"",
  TRUE, ""其他""
)"),"其他")</f>
        <v>其他</v>
      </c>
      <c r="K8543" s="270" t="str">
        <f t="shared" si="2"/>
        <v/>
      </c>
      <c r="L8543">
        <f t="shared" si="3"/>
        <v>0</v>
      </c>
    </row>
    <row r="8544">
      <c r="A8544" s="107"/>
      <c r="D8544" s="270"/>
      <c r="H8544" s="106" t="str">
        <f t="shared" si="1"/>
        <v/>
      </c>
      <c r="J8544" t="str">
        <f>IFERROR(__xludf.DUMMYFUNCTION("IFS(
  AND(REGEXMATCH(E8544, ""台銀籌備帳戶|玉山帳戶""), REGEXMATCH(C8544, ""薪資"")), ""分潤支出"",
  AND(REGEXMATCH(E8544, ""Ben帳戶|Elsa帳戶|Ben代墊|Ariel代墊|中信銀行共用""), REGEXMATCH(F8544, ""Ben帳戶|Elsa帳戶|Ben代墊|Ariel代墊|中信銀行共用"")), ""內部轉帳(忽略)"",
  AND(E8544&lt;&gt;"""", F8544&lt;&gt;"""", N"&amp;"OT(REGEXMATCH(C8544, ""薪資""))), ""內部轉帳(忽略)"",
  REGEXMATCH(C8544, ""薪資""), ""薪資變動(不計入)"",
  REGEXMATCH(C8544, ""押金""), ""押金往來"",
  AND(E8544&lt;&gt;"""", F8544=""""), ""真實支出"",
  AND(E8544="""", F8544&lt;&gt;""""), ""真實收入"",
  TRUE, ""其他""
)"),"其他")</f>
        <v>其他</v>
      </c>
      <c r="K8544" s="270" t="str">
        <f t="shared" si="2"/>
        <v/>
      </c>
      <c r="L8544">
        <f t="shared" si="3"/>
        <v>0</v>
      </c>
    </row>
    <row r="8545">
      <c r="A8545" s="107"/>
      <c r="D8545" s="270"/>
      <c r="H8545" s="106" t="str">
        <f t="shared" si="1"/>
        <v/>
      </c>
      <c r="J8545" t="str">
        <f>IFERROR(__xludf.DUMMYFUNCTION("IFS(
  AND(REGEXMATCH(E8545, ""台銀籌備帳戶|玉山帳戶""), REGEXMATCH(C8545, ""薪資"")), ""分潤支出"",
  AND(REGEXMATCH(E8545, ""Ben帳戶|Elsa帳戶|Ben代墊|Ariel代墊|中信銀行共用""), REGEXMATCH(F8545, ""Ben帳戶|Elsa帳戶|Ben代墊|Ariel代墊|中信銀行共用"")), ""內部轉帳(忽略)"",
  AND(E8545&lt;&gt;"""", F8545&lt;&gt;"""", N"&amp;"OT(REGEXMATCH(C8545, ""薪資""))), ""內部轉帳(忽略)"",
  REGEXMATCH(C8545, ""薪資""), ""薪資變動(不計入)"",
  REGEXMATCH(C8545, ""押金""), ""押金往來"",
  AND(E8545&lt;&gt;"""", F8545=""""), ""真實支出"",
  AND(E8545="""", F8545&lt;&gt;""""), ""真實收入"",
  TRUE, ""其他""
)"),"其他")</f>
        <v>其他</v>
      </c>
      <c r="K8545" s="270" t="str">
        <f t="shared" si="2"/>
        <v/>
      </c>
      <c r="L8545">
        <f t="shared" si="3"/>
        <v>0</v>
      </c>
    </row>
    <row r="8546">
      <c r="A8546" s="107"/>
      <c r="D8546" s="270"/>
      <c r="H8546" s="106" t="str">
        <f t="shared" si="1"/>
        <v/>
      </c>
      <c r="J8546" t="str">
        <f>IFERROR(__xludf.DUMMYFUNCTION("IFS(
  AND(REGEXMATCH(E8546, ""台銀籌備帳戶|玉山帳戶""), REGEXMATCH(C8546, ""薪資"")), ""分潤支出"",
  AND(REGEXMATCH(E8546, ""Ben帳戶|Elsa帳戶|Ben代墊|Ariel代墊|中信銀行共用""), REGEXMATCH(F8546, ""Ben帳戶|Elsa帳戶|Ben代墊|Ariel代墊|中信銀行共用"")), ""內部轉帳(忽略)"",
  AND(E8546&lt;&gt;"""", F8546&lt;&gt;"""", N"&amp;"OT(REGEXMATCH(C8546, ""薪資""))), ""內部轉帳(忽略)"",
  REGEXMATCH(C8546, ""薪資""), ""薪資變動(不計入)"",
  REGEXMATCH(C8546, ""押金""), ""押金往來"",
  AND(E8546&lt;&gt;"""", F8546=""""), ""真實支出"",
  AND(E8546="""", F8546&lt;&gt;""""), ""真實收入"",
  TRUE, ""其他""
)"),"其他")</f>
        <v>其他</v>
      </c>
      <c r="K8546" s="270" t="str">
        <f t="shared" si="2"/>
        <v/>
      </c>
      <c r="L8546">
        <f t="shared" si="3"/>
        <v>0</v>
      </c>
    </row>
    <row r="8547">
      <c r="A8547" s="107"/>
      <c r="D8547" s="270"/>
      <c r="H8547" s="106" t="str">
        <f t="shared" si="1"/>
        <v/>
      </c>
      <c r="J8547" t="str">
        <f>IFERROR(__xludf.DUMMYFUNCTION("IFS(
  AND(REGEXMATCH(E8547, ""台銀籌備帳戶|玉山帳戶""), REGEXMATCH(C8547, ""薪資"")), ""分潤支出"",
  AND(REGEXMATCH(E8547, ""Ben帳戶|Elsa帳戶|Ben代墊|Ariel代墊|中信銀行共用""), REGEXMATCH(F8547, ""Ben帳戶|Elsa帳戶|Ben代墊|Ariel代墊|中信銀行共用"")), ""內部轉帳(忽略)"",
  AND(E8547&lt;&gt;"""", F8547&lt;&gt;"""", N"&amp;"OT(REGEXMATCH(C8547, ""薪資""))), ""內部轉帳(忽略)"",
  REGEXMATCH(C8547, ""薪資""), ""薪資變動(不計入)"",
  REGEXMATCH(C8547, ""押金""), ""押金往來"",
  AND(E8547&lt;&gt;"""", F8547=""""), ""真實支出"",
  AND(E8547="""", F8547&lt;&gt;""""), ""真實收入"",
  TRUE, ""其他""
)"),"其他")</f>
        <v>其他</v>
      </c>
      <c r="K8547" s="270" t="str">
        <f t="shared" si="2"/>
        <v/>
      </c>
      <c r="L8547">
        <f t="shared" si="3"/>
        <v>0</v>
      </c>
    </row>
    <row r="8548">
      <c r="A8548" s="107"/>
      <c r="D8548" s="270"/>
      <c r="H8548" s="106" t="str">
        <f t="shared" si="1"/>
        <v/>
      </c>
      <c r="J8548" t="str">
        <f>IFERROR(__xludf.DUMMYFUNCTION("IFS(
  AND(REGEXMATCH(E8548, ""台銀籌備帳戶|玉山帳戶""), REGEXMATCH(C8548, ""薪資"")), ""分潤支出"",
  AND(REGEXMATCH(E8548, ""Ben帳戶|Elsa帳戶|Ben代墊|Ariel代墊|中信銀行共用""), REGEXMATCH(F8548, ""Ben帳戶|Elsa帳戶|Ben代墊|Ariel代墊|中信銀行共用"")), ""內部轉帳(忽略)"",
  AND(E8548&lt;&gt;"""", F8548&lt;&gt;"""", N"&amp;"OT(REGEXMATCH(C8548, ""薪資""))), ""內部轉帳(忽略)"",
  REGEXMATCH(C8548, ""薪資""), ""薪資變動(不計入)"",
  REGEXMATCH(C8548, ""押金""), ""押金往來"",
  AND(E8548&lt;&gt;"""", F8548=""""), ""真實支出"",
  AND(E8548="""", F8548&lt;&gt;""""), ""真實收入"",
  TRUE, ""其他""
)"),"其他")</f>
        <v>其他</v>
      </c>
      <c r="K8548" s="270" t="str">
        <f t="shared" si="2"/>
        <v/>
      </c>
      <c r="L8548">
        <f t="shared" si="3"/>
        <v>0</v>
      </c>
    </row>
    <row r="8549">
      <c r="A8549" s="107"/>
      <c r="D8549" s="270"/>
      <c r="H8549" s="106" t="str">
        <f t="shared" si="1"/>
        <v/>
      </c>
      <c r="J8549" t="str">
        <f>IFERROR(__xludf.DUMMYFUNCTION("IFS(
  AND(REGEXMATCH(E8549, ""台銀籌備帳戶|玉山帳戶""), REGEXMATCH(C8549, ""薪資"")), ""分潤支出"",
  AND(REGEXMATCH(E8549, ""Ben帳戶|Elsa帳戶|Ben代墊|Ariel代墊|中信銀行共用""), REGEXMATCH(F8549, ""Ben帳戶|Elsa帳戶|Ben代墊|Ariel代墊|中信銀行共用"")), ""內部轉帳(忽略)"",
  AND(E8549&lt;&gt;"""", F8549&lt;&gt;"""", N"&amp;"OT(REGEXMATCH(C8549, ""薪資""))), ""內部轉帳(忽略)"",
  REGEXMATCH(C8549, ""薪資""), ""薪資變動(不計入)"",
  REGEXMATCH(C8549, ""押金""), ""押金往來"",
  AND(E8549&lt;&gt;"""", F8549=""""), ""真實支出"",
  AND(E8549="""", F8549&lt;&gt;""""), ""真實收入"",
  TRUE, ""其他""
)"),"其他")</f>
        <v>其他</v>
      </c>
      <c r="K8549" s="270" t="str">
        <f t="shared" si="2"/>
        <v/>
      </c>
      <c r="L8549">
        <f t="shared" si="3"/>
        <v>0</v>
      </c>
    </row>
    <row r="8550">
      <c r="A8550" s="107"/>
      <c r="D8550" s="270"/>
      <c r="H8550" s="106" t="str">
        <f t="shared" si="1"/>
        <v/>
      </c>
      <c r="J8550" t="str">
        <f>IFERROR(__xludf.DUMMYFUNCTION("IFS(
  AND(REGEXMATCH(E8550, ""台銀籌備帳戶|玉山帳戶""), REGEXMATCH(C8550, ""薪資"")), ""分潤支出"",
  AND(REGEXMATCH(E8550, ""Ben帳戶|Elsa帳戶|Ben代墊|Ariel代墊|中信銀行共用""), REGEXMATCH(F8550, ""Ben帳戶|Elsa帳戶|Ben代墊|Ariel代墊|中信銀行共用"")), ""內部轉帳(忽略)"",
  AND(E8550&lt;&gt;"""", F8550&lt;&gt;"""", N"&amp;"OT(REGEXMATCH(C8550, ""薪資""))), ""內部轉帳(忽略)"",
  REGEXMATCH(C8550, ""薪資""), ""薪資變動(不計入)"",
  REGEXMATCH(C8550, ""押金""), ""押金往來"",
  AND(E8550&lt;&gt;"""", F8550=""""), ""真實支出"",
  AND(E8550="""", F8550&lt;&gt;""""), ""真實收入"",
  TRUE, ""其他""
)"),"其他")</f>
        <v>其他</v>
      </c>
      <c r="K8550" s="270" t="str">
        <f t="shared" si="2"/>
        <v/>
      </c>
      <c r="L8550">
        <f t="shared" si="3"/>
        <v>0</v>
      </c>
    </row>
    <row r="8551">
      <c r="A8551" s="107"/>
      <c r="D8551" s="270"/>
      <c r="H8551" s="106" t="str">
        <f t="shared" si="1"/>
        <v/>
      </c>
      <c r="J8551" t="str">
        <f>IFERROR(__xludf.DUMMYFUNCTION("IFS(
  AND(REGEXMATCH(E8551, ""台銀籌備帳戶|玉山帳戶""), REGEXMATCH(C8551, ""薪資"")), ""分潤支出"",
  AND(REGEXMATCH(E8551, ""Ben帳戶|Elsa帳戶|Ben代墊|Ariel代墊|中信銀行共用""), REGEXMATCH(F8551, ""Ben帳戶|Elsa帳戶|Ben代墊|Ariel代墊|中信銀行共用"")), ""內部轉帳(忽略)"",
  AND(E8551&lt;&gt;"""", F8551&lt;&gt;"""", N"&amp;"OT(REGEXMATCH(C8551, ""薪資""))), ""內部轉帳(忽略)"",
  REGEXMATCH(C8551, ""薪資""), ""薪資變動(不計入)"",
  REGEXMATCH(C8551, ""押金""), ""押金往來"",
  AND(E8551&lt;&gt;"""", F8551=""""), ""真實支出"",
  AND(E8551="""", F8551&lt;&gt;""""), ""真實收入"",
  TRUE, ""其他""
)"),"其他")</f>
        <v>其他</v>
      </c>
      <c r="K8551" s="270" t="str">
        <f t="shared" si="2"/>
        <v/>
      </c>
      <c r="L8551">
        <f t="shared" si="3"/>
        <v>0</v>
      </c>
    </row>
    <row r="8552">
      <c r="A8552" s="107"/>
      <c r="D8552" s="270"/>
      <c r="H8552" s="106" t="str">
        <f t="shared" si="1"/>
        <v/>
      </c>
      <c r="J8552" t="str">
        <f>IFERROR(__xludf.DUMMYFUNCTION("IFS(
  AND(REGEXMATCH(E8552, ""台銀籌備帳戶|玉山帳戶""), REGEXMATCH(C8552, ""薪資"")), ""分潤支出"",
  AND(REGEXMATCH(E8552, ""Ben帳戶|Elsa帳戶|Ben代墊|Ariel代墊|中信銀行共用""), REGEXMATCH(F8552, ""Ben帳戶|Elsa帳戶|Ben代墊|Ariel代墊|中信銀行共用"")), ""內部轉帳(忽略)"",
  AND(E8552&lt;&gt;"""", F8552&lt;&gt;"""", N"&amp;"OT(REGEXMATCH(C8552, ""薪資""))), ""內部轉帳(忽略)"",
  REGEXMATCH(C8552, ""薪資""), ""薪資變動(不計入)"",
  REGEXMATCH(C8552, ""押金""), ""押金往來"",
  AND(E8552&lt;&gt;"""", F8552=""""), ""真實支出"",
  AND(E8552="""", F8552&lt;&gt;""""), ""真實收入"",
  TRUE, ""其他""
)"),"其他")</f>
        <v>其他</v>
      </c>
      <c r="K8552" s="270" t="str">
        <f t="shared" si="2"/>
        <v/>
      </c>
      <c r="L8552">
        <f t="shared" si="3"/>
        <v>0</v>
      </c>
    </row>
    <row r="8553">
      <c r="A8553" s="107"/>
      <c r="D8553" s="270"/>
      <c r="H8553" s="106" t="str">
        <f t="shared" si="1"/>
        <v/>
      </c>
      <c r="J8553" t="str">
        <f>IFERROR(__xludf.DUMMYFUNCTION("IFS(
  AND(REGEXMATCH(E8553, ""台銀籌備帳戶|玉山帳戶""), REGEXMATCH(C8553, ""薪資"")), ""分潤支出"",
  AND(REGEXMATCH(E8553, ""Ben帳戶|Elsa帳戶|Ben代墊|Ariel代墊|中信銀行共用""), REGEXMATCH(F8553, ""Ben帳戶|Elsa帳戶|Ben代墊|Ariel代墊|中信銀行共用"")), ""內部轉帳(忽略)"",
  AND(E8553&lt;&gt;"""", F8553&lt;&gt;"""", N"&amp;"OT(REGEXMATCH(C8553, ""薪資""))), ""內部轉帳(忽略)"",
  REGEXMATCH(C8553, ""薪資""), ""薪資變動(不計入)"",
  REGEXMATCH(C8553, ""押金""), ""押金往來"",
  AND(E8553&lt;&gt;"""", F8553=""""), ""真實支出"",
  AND(E8553="""", F8553&lt;&gt;""""), ""真實收入"",
  TRUE, ""其他""
)"),"其他")</f>
        <v>其他</v>
      </c>
      <c r="K8553" s="270" t="str">
        <f t="shared" si="2"/>
        <v/>
      </c>
      <c r="L8553">
        <f t="shared" si="3"/>
        <v>0</v>
      </c>
    </row>
    <row r="8554">
      <c r="A8554" s="107"/>
      <c r="D8554" s="270"/>
      <c r="H8554" s="106" t="str">
        <f t="shared" si="1"/>
        <v/>
      </c>
      <c r="J8554" t="str">
        <f>IFERROR(__xludf.DUMMYFUNCTION("IFS(
  AND(REGEXMATCH(E8554, ""台銀籌備帳戶|玉山帳戶""), REGEXMATCH(C8554, ""薪資"")), ""分潤支出"",
  AND(REGEXMATCH(E8554, ""Ben帳戶|Elsa帳戶|Ben代墊|Ariel代墊|中信銀行共用""), REGEXMATCH(F8554, ""Ben帳戶|Elsa帳戶|Ben代墊|Ariel代墊|中信銀行共用"")), ""內部轉帳(忽略)"",
  AND(E8554&lt;&gt;"""", F8554&lt;&gt;"""", N"&amp;"OT(REGEXMATCH(C8554, ""薪資""))), ""內部轉帳(忽略)"",
  REGEXMATCH(C8554, ""薪資""), ""薪資變動(不計入)"",
  REGEXMATCH(C8554, ""押金""), ""押金往來"",
  AND(E8554&lt;&gt;"""", F8554=""""), ""真實支出"",
  AND(E8554="""", F8554&lt;&gt;""""), ""真實收入"",
  TRUE, ""其他""
)"),"其他")</f>
        <v>其他</v>
      </c>
      <c r="K8554" s="270" t="str">
        <f t="shared" si="2"/>
        <v/>
      </c>
      <c r="L8554">
        <f t="shared" si="3"/>
        <v>0</v>
      </c>
    </row>
    <row r="8555">
      <c r="A8555" s="107"/>
      <c r="D8555" s="270"/>
      <c r="H8555" s="106" t="str">
        <f t="shared" si="1"/>
        <v/>
      </c>
      <c r="J8555" t="str">
        <f>IFERROR(__xludf.DUMMYFUNCTION("IFS(
  AND(REGEXMATCH(E8555, ""台銀籌備帳戶|玉山帳戶""), REGEXMATCH(C8555, ""薪資"")), ""分潤支出"",
  AND(REGEXMATCH(E8555, ""Ben帳戶|Elsa帳戶|Ben代墊|Ariel代墊|中信銀行共用""), REGEXMATCH(F8555, ""Ben帳戶|Elsa帳戶|Ben代墊|Ariel代墊|中信銀行共用"")), ""內部轉帳(忽略)"",
  AND(E8555&lt;&gt;"""", F8555&lt;&gt;"""", N"&amp;"OT(REGEXMATCH(C8555, ""薪資""))), ""內部轉帳(忽略)"",
  REGEXMATCH(C8555, ""薪資""), ""薪資變動(不計入)"",
  REGEXMATCH(C8555, ""押金""), ""押金往來"",
  AND(E8555&lt;&gt;"""", F8555=""""), ""真實支出"",
  AND(E8555="""", F8555&lt;&gt;""""), ""真實收入"",
  TRUE, ""其他""
)"),"其他")</f>
        <v>其他</v>
      </c>
      <c r="K8555" s="270" t="str">
        <f t="shared" si="2"/>
        <v/>
      </c>
      <c r="L8555">
        <f t="shared" si="3"/>
        <v>0</v>
      </c>
    </row>
    <row r="8556">
      <c r="A8556" s="107"/>
      <c r="D8556" s="270"/>
      <c r="H8556" s="106" t="str">
        <f t="shared" si="1"/>
        <v/>
      </c>
      <c r="J8556" t="str">
        <f>IFERROR(__xludf.DUMMYFUNCTION("IFS(
  AND(REGEXMATCH(E8556, ""台銀籌備帳戶|玉山帳戶""), REGEXMATCH(C8556, ""薪資"")), ""分潤支出"",
  AND(REGEXMATCH(E8556, ""Ben帳戶|Elsa帳戶|Ben代墊|Ariel代墊|中信銀行共用""), REGEXMATCH(F8556, ""Ben帳戶|Elsa帳戶|Ben代墊|Ariel代墊|中信銀行共用"")), ""內部轉帳(忽略)"",
  AND(E8556&lt;&gt;"""", F8556&lt;&gt;"""", N"&amp;"OT(REGEXMATCH(C8556, ""薪資""))), ""內部轉帳(忽略)"",
  REGEXMATCH(C8556, ""薪資""), ""薪資變動(不計入)"",
  REGEXMATCH(C8556, ""押金""), ""押金往來"",
  AND(E8556&lt;&gt;"""", F8556=""""), ""真實支出"",
  AND(E8556="""", F8556&lt;&gt;""""), ""真實收入"",
  TRUE, ""其他""
)"),"其他")</f>
        <v>其他</v>
      </c>
      <c r="K8556" s="270" t="str">
        <f t="shared" si="2"/>
        <v/>
      </c>
      <c r="L8556">
        <f t="shared" si="3"/>
        <v>0</v>
      </c>
    </row>
    <row r="8557">
      <c r="A8557" s="107"/>
      <c r="D8557" s="270"/>
      <c r="H8557" s="106" t="str">
        <f t="shared" si="1"/>
        <v/>
      </c>
      <c r="J8557" t="str">
        <f>IFERROR(__xludf.DUMMYFUNCTION("IFS(
  AND(REGEXMATCH(E8557, ""台銀籌備帳戶|玉山帳戶""), REGEXMATCH(C8557, ""薪資"")), ""分潤支出"",
  AND(REGEXMATCH(E8557, ""Ben帳戶|Elsa帳戶|Ben代墊|Ariel代墊|中信銀行共用""), REGEXMATCH(F8557, ""Ben帳戶|Elsa帳戶|Ben代墊|Ariel代墊|中信銀行共用"")), ""內部轉帳(忽略)"",
  AND(E8557&lt;&gt;"""", F8557&lt;&gt;"""", N"&amp;"OT(REGEXMATCH(C8557, ""薪資""))), ""內部轉帳(忽略)"",
  REGEXMATCH(C8557, ""薪資""), ""薪資變動(不計入)"",
  REGEXMATCH(C8557, ""押金""), ""押金往來"",
  AND(E8557&lt;&gt;"""", F8557=""""), ""真實支出"",
  AND(E8557="""", F8557&lt;&gt;""""), ""真實收入"",
  TRUE, ""其他""
)"),"其他")</f>
        <v>其他</v>
      </c>
      <c r="K8557" s="270" t="str">
        <f t="shared" si="2"/>
        <v/>
      </c>
      <c r="L8557">
        <f t="shared" si="3"/>
        <v>0</v>
      </c>
    </row>
    <row r="8558">
      <c r="A8558" s="107"/>
      <c r="D8558" s="270"/>
      <c r="H8558" s="106" t="str">
        <f t="shared" si="1"/>
        <v/>
      </c>
      <c r="J8558" t="str">
        <f>IFERROR(__xludf.DUMMYFUNCTION("IFS(
  AND(REGEXMATCH(E8558, ""台銀籌備帳戶|玉山帳戶""), REGEXMATCH(C8558, ""薪資"")), ""分潤支出"",
  AND(REGEXMATCH(E8558, ""Ben帳戶|Elsa帳戶|Ben代墊|Ariel代墊|中信銀行共用""), REGEXMATCH(F8558, ""Ben帳戶|Elsa帳戶|Ben代墊|Ariel代墊|中信銀行共用"")), ""內部轉帳(忽略)"",
  AND(E8558&lt;&gt;"""", F8558&lt;&gt;"""", N"&amp;"OT(REGEXMATCH(C8558, ""薪資""))), ""內部轉帳(忽略)"",
  REGEXMATCH(C8558, ""薪資""), ""薪資變動(不計入)"",
  REGEXMATCH(C8558, ""押金""), ""押金往來"",
  AND(E8558&lt;&gt;"""", F8558=""""), ""真實支出"",
  AND(E8558="""", F8558&lt;&gt;""""), ""真實收入"",
  TRUE, ""其他""
)"),"其他")</f>
        <v>其他</v>
      </c>
      <c r="K8558" s="270" t="str">
        <f t="shared" si="2"/>
        <v/>
      </c>
      <c r="L8558">
        <f t="shared" si="3"/>
        <v>0</v>
      </c>
    </row>
    <row r="8559">
      <c r="A8559" s="107"/>
      <c r="D8559" s="270"/>
      <c r="H8559" s="106" t="str">
        <f t="shared" si="1"/>
        <v/>
      </c>
      <c r="J8559" t="str">
        <f>IFERROR(__xludf.DUMMYFUNCTION("IFS(
  AND(REGEXMATCH(E8559, ""台銀籌備帳戶|玉山帳戶""), REGEXMATCH(C8559, ""薪資"")), ""分潤支出"",
  AND(REGEXMATCH(E8559, ""Ben帳戶|Elsa帳戶|Ben代墊|Ariel代墊|中信銀行共用""), REGEXMATCH(F8559, ""Ben帳戶|Elsa帳戶|Ben代墊|Ariel代墊|中信銀行共用"")), ""內部轉帳(忽略)"",
  AND(E8559&lt;&gt;"""", F8559&lt;&gt;"""", N"&amp;"OT(REGEXMATCH(C8559, ""薪資""))), ""內部轉帳(忽略)"",
  REGEXMATCH(C8559, ""薪資""), ""薪資變動(不計入)"",
  REGEXMATCH(C8559, ""押金""), ""押金往來"",
  AND(E8559&lt;&gt;"""", F8559=""""), ""真實支出"",
  AND(E8559="""", F8559&lt;&gt;""""), ""真實收入"",
  TRUE, ""其他""
)"),"其他")</f>
        <v>其他</v>
      </c>
      <c r="K8559" s="270" t="str">
        <f t="shared" si="2"/>
        <v/>
      </c>
      <c r="L8559">
        <f t="shared" si="3"/>
        <v>0</v>
      </c>
    </row>
    <row r="8560">
      <c r="A8560" s="107"/>
      <c r="D8560" s="270"/>
      <c r="H8560" s="106" t="str">
        <f t="shared" si="1"/>
        <v/>
      </c>
      <c r="J8560" t="str">
        <f>IFERROR(__xludf.DUMMYFUNCTION("IFS(
  AND(REGEXMATCH(E8560, ""台銀籌備帳戶|玉山帳戶""), REGEXMATCH(C8560, ""薪資"")), ""分潤支出"",
  AND(REGEXMATCH(E8560, ""Ben帳戶|Elsa帳戶|Ben代墊|Ariel代墊|中信銀行共用""), REGEXMATCH(F8560, ""Ben帳戶|Elsa帳戶|Ben代墊|Ariel代墊|中信銀行共用"")), ""內部轉帳(忽略)"",
  AND(E8560&lt;&gt;"""", F8560&lt;&gt;"""", N"&amp;"OT(REGEXMATCH(C8560, ""薪資""))), ""內部轉帳(忽略)"",
  REGEXMATCH(C8560, ""薪資""), ""薪資變動(不計入)"",
  REGEXMATCH(C8560, ""押金""), ""押金往來"",
  AND(E8560&lt;&gt;"""", F8560=""""), ""真實支出"",
  AND(E8560="""", F8560&lt;&gt;""""), ""真實收入"",
  TRUE, ""其他""
)"),"其他")</f>
        <v>其他</v>
      </c>
      <c r="K8560" s="270" t="str">
        <f t="shared" si="2"/>
        <v/>
      </c>
      <c r="L8560">
        <f t="shared" si="3"/>
        <v>0</v>
      </c>
    </row>
    <row r="8561">
      <c r="A8561" s="107"/>
      <c r="D8561" s="270"/>
      <c r="H8561" s="106" t="str">
        <f t="shared" si="1"/>
        <v/>
      </c>
      <c r="J8561" t="str">
        <f>IFERROR(__xludf.DUMMYFUNCTION("IFS(
  AND(REGEXMATCH(E8561, ""台銀籌備帳戶|玉山帳戶""), REGEXMATCH(C8561, ""薪資"")), ""分潤支出"",
  AND(REGEXMATCH(E8561, ""Ben帳戶|Elsa帳戶|Ben代墊|Ariel代墊|中信銀行共用""), REGEXMATCH(F8561, ""Ben帳戶|Elsa帳戶|Ben代墊|Ariel代墊|中信銀行共用"")), ""內部轉帳(忽略)"",
  AND(E8561&lt;&gt;"""", F8561&lt;&gt;"""", N"&amp;"OT(REGEXMATCH(C8561, ""薪資""))), ""內部轉帳(忽略)"",
  REGEXMATCH(C8561, ""薪資""), ""薪資變動(不計入)"",
  REGEXMATCH(C8561, ""押金""), ""押金往來"",
  AND(E8561&lt;&gt;"""", F8561=""""), ""真實支出"",
  AND(E8561="""", F8561&lt;&gt;""""), ""真實收入"",
  TRUE, ""其他""
)"),"其他")</f>
        <v>其他</v>
      </c>
      <c r="K8561" s="270" t="str">
        <f t="shared" si="2"/>
        <v/>
      </c>
      <c r="L8561">
        <f t="shared" si="3"/>
        <v>0</v>
      </c>
    </row>
    <row r="8562">
      <c r="A8562" s="107"/>
      <c r="D8562" s="270"/>
      <c r="H8562" s="106" t="str">
        <f t="shared" si="1"/>
        <v/>
      </c>
      <c r="J8562" t="str">
        <f>IFERROR(__xludf.DUMMYFUNCTION("IFS(
  AND(REGEXMATCH(E8562, ""台銀籌備帳戶|玉山帳戶""), REGEXMATCH(C8562, ""薪資"")), ""分潤支出"",
  AND(REGEXMATCH(E8562, ""Ben帳戶|Elsa帳戶|Ben代墊|Ariel代墊|中信銀行共用""), REGEXMATCH(F8562, ""Ben帳戶|Elsa帳戶|Ben代墊|Ariel代墊|中信銀行共用"")), ""內部轉帳(忽略)"",
  AND(E8562&lt;&gt;"""", F8562&lt;&gt;"""", N"&amp;"OT(REGEXMATCH(C8562, ""薪資""))), ""內部轉帳(忽略)"",
  REGEXMATCH(C8562, ""薪資""), ""薪資變動(不計入)"",
  REGEXMATCH(C8562, ""押金""), ""押金往來"",
  AND(E8562&lt;&gt;"""", F8562=""""), ""真實支出"",
  AND(E8562="""", F8562&lt;&gt;""""), ""真實收入"",
  TRUE, ""其他""
)"),"其他")</f>
        <v>其他</v>
      </c>
      <c r="K8562" s="270" t="str">
        <f t="shared" si="2"/>
        <v/>
      </c>
      <c r="L8562">
        <f t="shared" si="3"/>
        <v>0</v>
      </c>
    </row>
    <row r="8563">
      <c r="A8563" s="107"/>
      <c r="D8563" s="270"/>
      <c r="H8563" s="106" t="str">
        <f t="shared" si="1"/>
        <v/>
      </c>
      <c r="J8563" t="str">
        <f>IFERROR(__xludf.DUMMYFUNCTION("IFS(
  AND(REGEXMATCH(E8563, ""台銀籌備帳戶|玉山帳戶""), REGEXMATCH(C8563, ""薪資"")), ""分潤支出"",
  AND(REGEXMATCH(E8563, ""Ben帳戶|Elsa帳戶|Ben代墊|Ariel代墊|中信銀行共用""), REGEXMATCH(F8563, ""Ben帳戶|Elsa帳戶|Ben代墊|Ariel代墊|中信銀行共用"")), ""內部轉帳(忽略)"",
  AND(E8563&lt;&gt;"""", F8563&lt;&gt;"""", N"&amp;"OT(REGEXMATCH(C8563, ""薪資""))), ""內部轉帳(忽略)"",
  REGEXMATCH(C8563, ""薪資""), ""薪資變動(不計入)"",
  REGEXMATCH(C8563, ""押金""), ""押金往來"",
  AND(E8563&lt;&gt;"""", F8563=""""), ""真實支出"",
  AND(E8563="""", F8563&lt;&gt;""""), ""真實收入"",
  TRUE, ""其他""
)"),"其他")</f>
        <v>其他</v>
      </c>
      <c r="K8563" s="270" t="str">
        <f t="shared" si="2"/>
        <v/>
      </c>
      <c r="L8563">
        <f t="shared" si="3"/>
        <v>0</v>
      </c>
    </row>
    <row r="8564">
      <c r="A8564" s="107"/>
      <c r="D8564" s="270"/>
      <c r="H8564" s="106" t="str">
        <f t="shared" si="1"/>
        <v/>
      </c>
      <c r="J8564" t="str">
        <f>IFERROR(__xludf.DUMMYFUNCTION("IFS(
  AND(REGEXMATCH(E8564, ""台銀籌備帳戶|玉山帳戶""), REGEXMATCH(C8564, ""薪資"")), ""分潤支出"",
  AND(REGEXMATCH(E8564, ""Ben帳戶|Elsa帳戶|Ben代墊|Ariel代墊|中信銀行共用""), REGEXMATCH(F8564, ""Ben帳戶|Elsa帳戶|Ben代墊|Ariel代墊|中信銀行共用"")), ""內部轉帳(忽略)"",
  AND(E8564&lt;&gt;"""", F8564&lt;&gt;"""", N"&amp;"OT(REGEXMATCH(C8564, ""薪資""))), ""內部轉帳(忽略)"",
  REGEXMATCH(C8564, ""薪資""), ""薪資變動(不計入)"",
  REGEXMATCH(C8564, ""押金""), ""押金往來"",
  AND(E8564&lt;&gt;"""", F8564=""""), ""真實支出"",
  AND(E8564="""", F8564&lt;&gt;""""), ""真實收入"",
  TRUE, ""其他""
)"),"其他")</f>
        <v>其他</v>
      </c>
      <c r="K8564" s="270" t="str">
        <f t="shared" si="2"/>
        <v/>
      </c>
      <c r="L8564">
        <f t="shared" si="3"/>
        <v>0</v>
      </c>
    </row>
    <row r="8565">
      <c r="A8565" s="107"/>
      <c r="D8565" s="270"/>
      <c r="H8565" s="106" t="str">
        <f t="shared" si="1"/>
        <v/>
      </c>
      <c r="J8565" t="str">
        <f>IFERROR(__xludf.DUMMYFUNCTION("IFS(
  AND(REGEXMATCH(E8565, ""台銀籌備帳戶|玉山帳戶""), REGEXMATCH(C8565, ""薪資"")), ""分潤支出"",
  AND(REGEXMATCH(E8565, ""Ben帳戶|Elsa帳戶|Ben代墊|Ariel代墊|中信銀行共用""), REGEXMATCH(F8565, ""Ben帳戶|Elsa帳戶|Ben代墊|Ariel代墊|中信銀行共用"")), ""內部轉帳(忽略)"",
  AND(E8565&lt;&gt;"""", F8565&lt;&gt;"""", N"&amp;"OT(REGEXMATCH(C8565, ""薪資""))), ""內部轉帳(忽略)"",
  REGEXMATCH(C8565, ""薪資""), ""薪資變動(不計入)"",
  REGEXMATCH(C8565, ""押金""), ""押金往來"",
  AND(E8565&lt;&gt;"""", F8565=""""), ""真實支出"",
  AND(E8565="""", F8565&lt;&gt;""""), ""真實收入"",
  TRUE, ""其他""
)"),"其他")</f>
        <v>其他</v>
      </c>
      <c r="K8565" s="270" t="str">
        <f t="shared" si="2"/>
        <v/>
      </c>
      <c r="L8565">
        <f t="shared" si="3"/>
        <v>0</v>
      </c>
    </row>
    <row r="8566">
      <c r="A8566" s="107"/>
      <c r="D8566" s="270"/>
      <c r="H8566" s="106" t="str">
        <f t="shared" si="1"/>
        <v/>
      </c>
      <c r="J8566" t="str">
        <f>IFERROR(__xludf.DUMMYFUNCTION("IFS(
  AND(REGEXMATCH(E8566, ""台銀籌備帳戶|玉山帳戶""), REGEXMATCH(C8566, ""薪資"")), ""分潤支出"",
  AND(REGEXMATCH(E8566, ""Ben帳戶|Elsa帳戶|Ben代墊|Ariel代墊|中信銀行共用""), REGEXMATCH(F8566, ""Ben帳戶|Elsa帳戶|Ben代墊|Ariel代墊|中信銀行共用"")), ""內部轉帳(忽略)"",
  AND(E8566&lt;&gt;"""", F8566&lt;&gt;"""", N"&amp;"OT(REGEXMATCH(C8566, ""薪資""))), ""內部轉帳(忽略)"",
  REGEXMATCH(C8566, ""薪資""), ""薪資變動(不計入)"",
  REGEXMATCH(C8566, ""押金""), ""押金往來"",
  AND(E8566&lt;&gt;"""", F8566=""""), ""真實支出"",
  AND(E8566="""", F8566&lt;&gt;""""), ""真實收入"",
  TRUE, ""其他""
)"),"其他")</f>
        <v>其他</v>
      </c>
      <c r="K8566" s="270" t="str">
        <f t="shared" si="2"/>
        <v/>
      </c>
      <c r="L8566">
        <f t="shared" si="3"/>
        <v>0</v>
      </c>
    </row>
    <row r="8567">
      <c r="A8567" s="107"/>
      <c r="D8567" s="270"/>
      <c r="H8567" s="106" t="str">
        <f t="shared" si="1"/>
        <v/>
      </c>
      <c r="J8567" t="str">
        <f>IFERROR(__xludf.DUMMYFUNCTION("IFS(
  AND(REGEXMATCH(E8567, ""台銀籌備帳戶|玉山帳戶""), REGEXMATCH(C8567, ""薪資"")), ""分潤支出"",
  AND(REGEXMATCH(E8567, ""Ben帳戶|Elsa帳戶|Ben代墊|Ariel代墊|中信銀行共用""), REGEXMATCH(F8567, ""Ben帳戶|Elsa帳戶|Ben代墊|Ariel代墊|中信銀行共用"")), ""內部轉帳(忽略)"",
  AND(E8567&lt;&gt;"""", F8567&lt;&gt;"""", N"&amp;"OT(REGEXMATCH(C8567, ""薪資""))), ""內部轉帳(忽略)"",
  REGEXMATCH(C8567, ""薪資""), ""薪資變動(不計入)"",
  REGEXMATCH(C8567, ""押金""), ""押金往來"",
  AND(E8567&lt;&gt;"""", F8567=""""), ""真實支出"",
  AND(E8567="""", F8567&lt;&gt;""""), ""真實收入"",
  TRUE, ""其他""
)"),"其他")</f>
        <v>其他</v>
      </c>
      <c r="K8567" s="270" t="str">
        <f t="shared" si="2"/>
        <v/>
      </c>
      <c r="L8567">
        <f t="shared" si="3"/>
        <v>0</v>
      </c>
    </row>
    <row r="8568">
      <c r="A8568" s="107"/>
      <c r="D8568" s="270"/>
      <c r="H8568" s="106" t="str">
        <f t="shared" si="1"/>
        <v/>
      </c>
      <c r="J8568" t="str">
        <f>IFERROR(__xludf.DUMMYFUNCTION("IFS(
  AND(REGEXMATCH(E8568, ""台銀籌備帳戶|玉山帳戶""), REGEXMATCH(C8568, ""薪資"")), ""分潤支出"",
  AND(REGEXMATCH(E8568, ""Ben帳戶|Elsa帳戶|Ben代墊|Ariel代墊|中信銀行共用""), REGEXMATCH(F8568, ""Ben帳戶|Elsa帳戶|Ben代墊|Ariel代墊|中信銀行共用"")), ""內部轉帳(忽略)"",
  AND(E8568&lt;&gt;"""", F8568&lt;&gt;"""", N"&amp;"OT(REGEXMATCH(C8568, ""薪資""))), ""內部轉帳(忽略)"",
  REGEXMATCH(C8568, ""薪資""), ""薪資變動(不計入)"",
  REGEXMATCH(C8568, ""押金""), ""押金往來"",
  AND(E8568&lt;&gt;"""", F8568=""""), ""真實支出"",
  AND(E8568="""", F8568&lt;&gt;""""), ""真實收入"",
  TRUE, ""其他""
)"),"其他")</f>
        <v>其他</v>
      </c>
      <c r="K8568" s="270" t="str">
        <f t="shared" si="2"/>
        <v/>
      </c>
      <c r="L8568">
        <f t="shared" si="3"/>
        <v>0</v>
      </c>
    </row>
    <row r="8569">
      <c r="A8569" s="107"/>
      <c r="D8569" s="270"/>
      <c r="H8569" s="106" t="str">
        <f t="shared" si="1"/>
        <v/>
      </c>
      <c r="J8569" t="str">
        <f>IFERROR(__xludf.DUMMYFUNCTION("IFS(
  AND(REGEXMATCH(E8569, ""台銀籌備帳戶|玉山帳戶""), REGEXMATCH(C8569, ""薪資"")), ""分潤支出"",
  AND(REGEXMATCH(E8569, ""Ben帳戶|Elsa帳戶|Ben代墊|Ariel代墊|中信銀行共用""), REGEXMATCH(F8569, ""Ben帳戶|Elsa帳戶|Ben代墊|Ariel代墊|中信銀行共用"")), ""內部轉帳(忽略)"",
  AND(E8569&lt;&gt;"""", F8569&lt;&gt;"""", N"&amp;"OT(REGEXMATCH(C8569, ""薪資""))), ""內部轉帳(忽略)"",
  REGEXMATCH(C8569, ""薪資""), ""薪資變動(不計入)"",
  REGEXMATCH(C8569, ""押金""), ""押金往來"",
  AND(E8569&lt;&gt;"""", F8569=""""), ""真實支出"",
  AND(E8569="""", F8569&lt;&gt;""""), ""真實收入"",
  TRUE, ""其他""
)"),"其他")</f>
        <v>其他</v>
      </c>
      <c r="K8569" s="270" t="str">
        <f t="shared" si="2"/>
        <v/>
      </c>
      <c r="L8569">
        <f t="shared" si="3"/>
        <v>0</v>
      </c>
    </row>
    <row r="8570">
      <c r="A8570" s="107"/>
      <c r="D8570" s="270"/>
      <c r="H8570" s="106" t="str">
        <f t="shared" si="1"/>
        <v/>
      </c>
      <c r="J8570" t="str">
        <f>IFERROR(__xludf.DUMMYFUNCTION("IFS(
  AND(REGEXMATCH(E8570, ""台銀籌備帳戶|玉山帳戶""), REGEXMATCH(C8570, ""薪資"")), ""分潤支出"",
  AND(REGEXMATCH(E8570, ""Ben帳戶|Elsa帳戶|Ben代墊|Ariel代墊|中信銀行共用""), REGEXMATCH(F8570, ""Ben帳戶|Elsa帳戶|Ben代墊|Ariel代墊|中信銀行共用"")), ""內部轉帳(忽略)"",
  AND(E8570&lt;&gt;"""", F8570&lt;&gt;"""", N"&amp;"OT(REGEXMATCH(C8570, ""薪資""))), ""內部轉帳(忽略)"",
  REGEXMATCH(C8570, ""薪資""), ""薪資變動(不計入)"",
  REGEXMATCH(C8570, ""押金""), ""押金往來"",
  AND(E8570&lt;&gt;"""", F8570=""""), ""真實支出"",
  AND(E8570="""", F8570&lt;&gt;""""), ""真實收入"",
  TRUE, ""其他""
)"),"其他")</f>
        <v>其他</v>
      </c>
      <c r="K8570" s="270" t="str">
        <f t="shared" si="2"/>
        <v/>
      </c>
      <c r="L8570">
        <f t="shared" si="3"/>
        <v>0</v>
      </c>
    </row>
    <row r="8571">
      <c r="A8571" s="107"/>
      <c r="D8571" s="270"/>
      <c r="H8571" s="106" t="str">
        <f t="shared" si="1"/>
        <v/>
      </c>
      <c r="J8571" t="str">
        <f>IFERROR(__xludf.DUMMYFUNCTION("IFS(
  AND(REGEXMATCH(E8571, ""台銀籌備帳戶|玉山帳戶""), REGEXMATCH(C8571, ""薪資"")), ""分潤支出"",
  AND(REGEXMATCH(E8571, ""Ben帳戶|Elsa帳戶|Ben代墊|Ariel代墊|中信銀行共用""), REGEXMATCH(F8571, ""Ben帳戶|Elsa帳戶|Ben代墊|Ariel代墊|中信銀行共用"")), ""內部轉帳(忽略)"",
  AND(E8571&lt;&gt;"""", F8571&lt;&gt;"""", N"&amp;"OT(REGEXMATCH(C8571, ""薪資""))), ""內部轉帳(忽略)"",
  REGEXMATCH(C8571, ""薪資""), ""薪資變動(不計入)"",
  REGEXMATCH(C8571, ""押金""), ""押金往來"",
  AND(E8571&lt;&gt;"""", F8571=""""), ""真實支出"",
  AND(E8571="""", F8571&lt;&gt;""""), ""真實收入"",
  TRUE, ""其他""
)"),"其他")</f>
        <v>其他</v>
      </c>
      <c r="K8571" s="270" t="str">
        <f t="shared" si="2"/>
        <v/>
      </c>
      <c r="L8571">
        <f t="shared" si="3"/>
        <v>0</v>
      </c>
    </row>
    <row r="8572">
      <c r="A8572" s="107"/>
      <c r="D8572" s="270"/>
      <c r="H8572" s="106" t="str">
        <f t="shared" si="1"/>
        <v/>
      </c>
      <c r="J8572" t="str">
        <f>IFERROR(__xludf.DUMMYFUNCTION("IFS(
  AND(REGEXMATCH(E8572, ""台銀籌備帳戶|玉山帳戶""), REGEXMATCH(C8572, ""薪資"")), ""分潤支出"",
  AND(REGEXMATCH(E8572, ""Ben帳戶|Elsa帳戶|Ben代墊|Ariel代墊|中信銀行共用""), REGEXMATCH(F8572, ""Ben帳戶|Elsa帳戶|Ben代墊|Ariel代墊|中信銀行共用"")), ""內部轉帳(忽略)"",
  AND(E8572&lt;&gt;"""", F8572&lt;&gt;"""", N"&amp;"OT(REGEXMATCH(C8572, ""薪資""))), ""內部轉帳(忽略)"",
  REGEXMATCH(C8572, ""薪資""), ""薪資變動(不計入)"",
  REGEXMATCH(C8572, ""押金""), ""押金往來"",
  AND(E8572&lt;&gt;"""", F8572=""""), ""真實支出"",
  AND(E8572="""", F8572&lt;&gt;""""), ""真實收入"",
  TRUE, ""其他""
)"),"其他")</f>
        <v>其他</v>
      </c>
      <c r="K8572" s="270" t="str">
        <f t="shared" si="2"/>
        <v/>
      </c>
      <c r="L8572">
        <f t="shared" si="3"/>
        <v>0</v>
      </c>
    </row>
    <row r="8573">
      <c r="A8573" s="107"/>
      <c r="D8573" s="270"/>
      <c r="H8573" s="106" t="str">
        <f t="shared" si="1"/>
        <v/>
      </c>
      <c r="J8573" t="str">
        <f>IFERROR(__xludf.DUMMYFUNCTION("IFS(
  AND(REGEXMATCH(E8573, ""台銀籌備帳戶|玉山帳戶""), REGEXMATCH(C8573, ""薪資"")), ""分潤支出"",
  AND(REGEXMATCH(E8573, ""Ben帳戶|Elsa帳戶|Ben代墊|Ariel代墊|中信銀行共用""), REGEXMATCH(F8573, ""Ben帳戶|Elsa帳戶|Ben代墊|Ariel代墊|中信銀行共用"")), ""內部轉帳(忽略)"",
  AND(E8573&lt;&gt;"""", F8573&lt;&gt;"""", N"&amp;"OT(REGEXMATCH(C8573, ""薪資""))), ""內部轉帳(忽略)"",
  REGEXMATCH(C8573, ""薪資""), ""薪資變動(不計入)"",
  REGEXMATCH(C8573, ""押金""), ""押金往來"",
  AND(E8573&lt;&gt;"""", F8573=""""), ""真實支出"",
  AND(E8573="""", F8573&lt;&gt;""""), ""真實收入"",
  TRUE, ""其他""
)"),"其他")</f>
        <v>其他</v>
      </c>
      <c r="K8573" s="270" t="str">
        <f t="shared" si="2"/>
        <v/>
      </c>
      <c r="L8573">
        <f t="shared" si="3"/>
        <v>0</v>
      </c>
    </row>
    <row r="8574">
      <c r="A8574" s="107"/>
      <c r="D8574" s="270"/>
      <c r="H8574" s="106" t="str">
        <f t="shared" si="1"/>
        <v/>
      </c>
      <c r="J8574" t="str">
        <f>IFERROR(__xludf.DUMMYFUNCTION("IFS(
  AND(REGEXMATCH(E8574, ""台銀籌備帳戶|玉山帳戶""), REGEXMATCH(C8574, ""薪資"")), ""分潤支出"",
  AND(REGEXMATCH(E8574, ""Ben帳戶|Elsa帳戶|Ben代墊|Ariel代墊|中信銀行共用""), REGEXMATCH(F8574, ""Ben帳戶|Elsa帳戶|Ben代墊|Ariel代墊|中信銀行共用"")), ""內部轉帳(忽略)"",
  AND(E8574&lt;&gt;"""", F8574&lt;&gt;"""", N"&amp;"OT(REGEXMATCH(C8574, ""薪資""))), ""內部轉帳(忽略)"",
  REGEXMATCH(C8574, ""薪資""), ""薪資變動(不計入)"",
  REGEXMATCH(C8574, ""押金""), ""押金往來"",
  AND(E8574&lt;&gt;"""", F8574=""""), ""真實支出"",
  AND(E8574="""", F8574&lt;&gt;""""), ""真實收入"",
  TRUE, ""其他""
)"),"其他")</f>
        <v>其他</v>
      </c>
      <c r="K8574" s="270" t="str">
        <f t="shared" si="2"/>
        <v/>
      </c>
      <c r="L8574">
        <f t="shared" si="3"/>
        <v>0</v>
      </c>
    </row>
    <row r="8575">
      <c r="A8575" s="107"/>
      <c r="D8575" s="270"/>
      <c r="H8575" s="106" t="str">
        <f t="shared" si="1"/>
        <v/>
      </c>
      <c r="J8575" t="str">
        <f>IFERROR(__xludf.DUMMYFUNCTION("IFS(
  AND(REGEXMATCH(E8575, ""台銀籌備帳戶|玉山帳戶""), REGEXMATCH(C8575, ""薪資"")), ""分潤支出"",
  AND(REGEXMATCH(E8575, ""Ben帳戶|Elsa帳戶|Ben代墊|Ariel代墊|中信銀行共用""), REGEXMATCH(F8575, ""Ben帳戶|Elsa帳戶|Ben代墊|Ariel代墊|中信銀行共用"")), ""內部轉帳(忽略)"",
  AND(E8575&lt;&gt;"""", F8575&lt;&gt;"""", N"&amp;"OT(REGEXMATCH(C8575, ""薪資""))), ""內部轉帳(忽略)"",
  REGEXMATCH(C8575, ""薪資""), ""薪資變動(不計入)"",
  REGEXMATCH(C8575, ""押金""), ""押金往來"",
  AND(E8575&lt;&gt;"""", F8575=""""), ""真實支出"",
  AND(E8575="""", F8575&lt;&gt;""""), ""真實收入"",
  TRUE, ""其他""
)"),"其他")</f>
        <v>其他</v>
      </c>
      <c r="K8575" s="270" t="str">
        <f t="shared" si="2"/>
        <v/>
      </c>
      <c r="L8575">
        <f t="shared" si="3"/>
        <v>0</v>
      </c>
    </row>
    <row r="8576">
      <c r="A8576" s="107"/>
      <c r="D8576" s="270"/>
      <c r="H8576" s="106" t="str">
        <f t="shared" si="1"/>
        <v/>
      </c>
      <c r="J8576" t="str">
        <f>IFERROR(__xludf.DUMMYFUNCTION("IFS(
  AND(REGEXMATCH(E8576, ""台銀籌備帳戶|玉山帳戶""), REGEXMATCH(C8576, ""薪資"")), ""分潤支出"",
  AND(REGEXMATCH(E8576, ""Ben帳戶|Elsa帳戶|Ben代墊|Ariel代墊|中信銀行共用""), REGEXMATCH(F8576, ""Ben帳戶|Elsa帳戶|Ben代墊|Ariel代墊|中信銀行共用"")), ""內部轉帳(忽略)"",
  AND(E8576&lt;&gt;"""", F8576&lt;&gt;"""", N"&amp;"OT(REGEXMATCH(C8576, ""薪資""))), ""內部轉帳(忽略)"",
  REGEXMATCH(C8576, ""薪資""), ""薪資變動(不計入)"",
  REGEXMATCH(C8576, ""押金""), ""押金往來"",
  AND(E8576&lt;&gt;"""", F8576=""""), ""真實支出"",
  AND(E8576="""", F8576&lt;&gt;""""), ""真實收入"",
  TRUE, ""其他""
)"),"其他")</f>
        <v>其他</v>
      </c>
      <c r="K8576" s="270" t="str">
        <f t="shared" si="2"/>
        <v/>
      </c>
      <c r="L8576">
        <f t="shared" si="3"/>
        <v>0</v>
      </c>
    </row>
    <row r="8577">
      <c r="A8577" s="107"/>
      <c r="D8577" s="270"/>
      <c r="H8577" s="106" t="str">
        <f t="shared" si="1"/>
        <v/>
      </c>
      <c r="J8577" t="str">
        <f>IFERROR(__xludf.DUMMYFUNCTION("IFS(
  AND(REGEXMATCH(E8577, ""台銀籌備帳戶|玉山帳戶""), REGEXMATCH(C8577, ""薪資"")), ""分潤支出"",
  AND(REGEXMATCH(E8577, ""Ben帳戶|Elsa帳戶|Ben代墊|Ariel代墊|中信銀行共用""), REGEXMATCH(F8577, ""Ben帳戶|Elsa帳戶|Ben代墊|Ariel代墊|中信銀行共用"")), ""內部轉帳(忽略)"",
  AND(E8577&lt;&gt;"""", F8577&lt;&gt;"""", N"&amp;"OT(REGEXMATCH(C8577, ""薪資""))), ""內部轉帳(忽略)"",
  REGEXMATCH(C8577, ""薪資""), ""薪資變動(不計入)"",
  REGEXMATCH(C8577, ""押金""), ""押金往來"",
  AND(E8577&lt;&gt;"""", F8577=""""), ""真實支出"",
  AND(E8577="""", F8577&lt;&gt;""""), ""真實收入"",
  TRUE, ""其他""
)"),"其他")</f>
        <v>其他</v>
      </c>
      <c r="K8577" s="270" t="str">
        <f t="shared" si="2"/>
        <v/>
      </c>
      <c r="L8577">
        <f t="shared" si="3"/>
        <v>0</v>
      </c>
    </row>
    <row r="8578">
      <c r="A8578" s="107"/>
      <c r="D8578" s="270"/>
      <c r="H8578" s="106" t="str">
        <f t="shared" si="1"/>
        <v/>
      </c>
      <c r="J8578" t="str">
        <f>IFERROR(__xludf.DUMMYFUNCTION("IFS(
  AND(REGEXMATCH(E8578, ""台銀籌備帳戶|玉山帳戶""), REGEXMATCH(C8578, ""薪資"")), ""分潤支出"",
  AND(REGEXMATCH(E8578, ""Ben帳戶|Elsa帳戶|Ben代墊|Ariel代墊|中信銀行共用""), REGEXMATCH(F8578, ""Ben帳戶|Elsa帳戶|Ben代墊|Ariel代墊|中信銀行共用"")), ""內部轉帳(忽略)"",
  AND(E8578&lt;&gt;"""", F8578&lt;&gt;"""", N"&amp;"OT(REGEXMATCH(C8578, ""薪資""))), ""內部轉帳(忽略)"",
  REGEXMATCH(C8578, ""薪資""), ""薪資變動(不計入)"",
  REGEXMATCH(C8578, ""押金""), ""押金往來"",
  AND(E8578&lt;&gt;"""", F8578=""""), ""真實支出"",
  AND(E8578="""", F8578&lt;&gt;""""), ""真實收入"",
  TRUE, ""其他""
)"),"其他")</f>
        <v>其他</v>
      </c>
      <c r="K8578" s="270" t="str">
        <f t="shared" si="2"/>
        <v/>
      </c>
      <c r="L8578">
        <f t="shared" si="3"/>
        <v>0</v>
      </c>
    </row>
    <row r="8579">
      <c r="A8579" s="107"/>
      <c r="D8579" s="270"/>
      <c r="H8579" s="106" t="str">
        <f t="shared" si="1"/>
        <v/>
      </c>
      <c r="J8579" t="str">
        <f>IFERROR(__xludf.DUMMYFUNCTION("IFS(
  AND(REGEXMATCH(E8579, ""台銀籌備帳戶|玉山帳戶""), REGEXMATCH(C8579, ""薪資"")), ""分潤支出"",
  AND(REGEXMATCH(E8579, ""Ben帳戶|Elsa帳戶|Ben代墊|Ariel代墊|中信銀行共用""), REGEXMATCH(F8579, ""Ben帳戶|Elsa帳戶|Ben代墊|Ariel代墊|中信銀行共用"")), ""內部轉帳(忽略)"",
  AND(E8579&lt;&gt;"""", F8579&lt;&gt;"""", N"&amp;"OT(REGEXMATCH(C8579, ""薪資""))), ""內部轉帳(忽略)"",
  REGEXMATCH(C8579, ""薪資""), ""薪資變動(不計入)"",
  REGEXMATCH(C8579, ""押金""), ""押金往來"",
  AND(E8579&lt;&gt;"""", F8579=""""), ""真實支出"",
  AND(E8579="""", F8579&lt;&gt;""""), ""真實收入"",
  TRUE, ""其他""
)"),"其他")</f>
        <v>其他</v>
      </c>
      <c r="K8579" s="270" t="str">
        <f t="shared" si="2"/>
        <v/>
      </c>
      <c r="L8579">
        <f t="shared" si="3"/>
        <v>0</v>
      </c>
    </row>
    <row r="8580">
      <c r="A8580" s="107"/>
      <c r="D8580" s="270"/>
      <c r="H8580" s="106" t="str">
        <f t="shared" si="1"/>
        <v/>
      </c>
      <c r="J8580" t="str">
        <f>IFERROR(__xludf.DUMMYFUNCTION("IFS(
  AND(REGEXMATCH(E8580, ""台銀籌備帳戶|玉山帳戶""), REGEXMATCH(C8580, ""薪資"")), ""分潤支出"",
  AND(REGEXMATCH(E8580, ""Ben帳戶|Elsa帳戶|Ben代墊|Ariel代墊|中信銀行共用""), REGEXMATCH(F8580, ""Ben帳戶|Elsa帳戶|Ben代墊|Ariel代墊|中信銀行共用"")), ""內部轉帳(忽略)"",
  AND(E8580&lt;&gt;"""", F8580&lt;&gt;"""", N"&amp;"OT(REGEXMATCH(C8580, ""薪資""))), ""內部轉帳(忽略)"",
  REGEXMATCH(C8580, ""薪資""), ""薪資變動(不計入)"",
  REGEXMATCH(C8580, ""押金""), ""押金往來"",
  AND(E8580&lt;&gt;"""", F8580=""""), ""真實支出"",
  AND(E8580="""", F8580&lt;&gt;""""), ""真實收入"",
  TRUE, ""其他""
)"),"其他")</f>
        <v>其他</v>
      </c>
      <c r="K8580" s="270" t="str">
        <f t="shared" si="2"/>
        <v/>
      </c>
      <c r="L8580">
        <f t="shared" si="3"/>
        <v>0</v>
      </c>
    </row>
    <row r="8581">
      <c r="A8581" s="107"/>
      <c r="D8581" s="270"/>
      <c r="H8581" s="106" t="str">
        <f t="shared" si="1"/>
        <v/>
      </c>
      <c r="J8581" t="str">
        <f>IFERROR(__xludf.DUMMYFUNCTION("IFS(
  AND(REGEXMATCH(E8581, ""台銀籌備帳戶|玉山帳戶""), REGEXMATCH(C8581, ""薪資"")), ""分潤支出"",
  AND(REGEXMATCH(E8581, ""Ben帳戶|Elsa帳戶|Ben代墊|Ariel代墊|中信銀行共用""), REGEXMATCH(F8581, ""Ben帳戶|Elsa帳戶|Ben代墊|Ariel代墊|中信銀行共用"")), ""內部轉帳(忽略)"",
  AND(E8581&lt;&gt;"""", F8581&lt;&gt;"""", N"&amp;"OT(REGEXMATCH(C8581, ""薪資""))), ""內部轉帳(忽略)"",
  REGEXMATCH(C8581, ""薪資""), ""薪資變動(不計入)"",
  REGEXMATCH(C8581, ""押金""), ""押金往來"",
  AND(E8581&lt;&gt;"""", F8581=""""), ""真實支出"",
  AND(E8581="""", F8581&lt;&gt;""""), ""真實收入"",
  TRUE, ""其他""
)"),"其他")</f>
        <v>其他</v>
      </c>
      <c r="K8581" s="270" t="str">
        <f t="shared" si="2"/>
        <v/>
      </c>
      <c r="L8581">
        <f t="shared" si="3"/>
        <v>0</v>
      </c>
    </row>
    <row r="8582">
      <c r="A8582" s="107"/>
      <c r="D8582" s="270"/>
      <c r="H8582" s="106" t="str">
        <f t="shared" si="1"/>
        <v/>
      </c>
      <c r="J8582" t="str">
        <f>IFERROR(__xludf.DUMMYFUNCTION("IFS(
  AND(REGEXMATCH(E8582, ""台銀籌備帳戶|玉山帳戶""), REGEXMATCH(C8582, ""薪資"")), ""分潤支出"",
  AND(REGEXMATCH(E8582, ""Ben帳戶|Elsa帳戶|Ben代墊|Ariel代墊|中信銀行共用""), REGEXMATCH(F8582, ""Ben帳戶|Elsa帳戶|Ben代墊|Ariel代墊|中信銀行共用"")), ""內部轉帳(忽略)"",
  AND(E8582&lt;&gt;"""", F8582&lt;&gt;"""", N"&amp;"OT(REGEXMATCH(C8582, ""薪資""))), ""內部轉帳(忽略)"",
  REGEXMATCH(C8582, ""薪資""), ""薪資變動(不計入)"",
  REGEXMATCH(C8582, ""押金""), ""押金往來"",
  AND(E8582&lt;&gt;"""", F8582=""""), ""真實支出"",
  AND(E8582="""", F8582&lt;&gt;""""), ""真實收入"",
  TRUE, ""其他""
)"),"其他")</f>
        <v>其他</v>
      </c>
      <c r="K8582" s="270" t="str">
        <f t="shared" si="2"/>
        <v/>
      </c>
      <c r="L8582">
        <f t="shared" si="3"/>
        <v>0</v>
      </c>
    </row>
    <row r="8583">
      <c r="A8583" s="107"/>
      <c r="D8583" s="270"/>
      <c r="H8583" s="106" t="str">
        <f t="shared" si="1"/>
        <v/>
      </c>
      <c r="J8583" t="str">
        <f>IFERROR(__xludf.DUMMYFUNCTION("IFS(
  AND(REGEXMATCH(E8583, ""台銀籌備帳戶|玉山帳戶""), REGEXMATCH(C8583, ""薪資"")), ""分潤支出"",
  AND(REGEXMATCH(E8583, ""Ben帳戶|Elsa帳戶|Ben代墊|Ariel代墊|中信銀行共用""), REGEXMATCH(F8583, ""Ben帳戶|Elsa帳戶|Ben代墊|Ariel代墊|中信銀行共用"")), ""內部轉帳(忽略)"",
  AND(E8583&lt;&gt;"""", F8583&lt;&gt;"""", N"&amp;"OT(REGEXMATCH(C8583, ""薪資""))), ""內部轉帳(忽略)"",
  REGEXMATCH(C8583, ""薪資""), ""薪資變動(不計入)"",
  REGEXMATCH(C8583, ""押金""), ""押金往來"",
  AND(E8583&lt;&gt;"""", F8583=""""), ""真實支出"",
  AND(E8583="""", F8583&lt;&gt;""""), ""真實收入"",
  TRUE, ""其他""
)"),"其他")</f>
        <v>其他</v>
      </c>
      <c r="K8583" s="270" t="str">
        <f t="shared" si="2"/>
        <v/>
      </c>
      <c r="L8583">
        <f t="shared" si="3"/>
        <v>0</v>
      </c>
    </row>
    <row r="8584">
      <c r="A8584" s="107"/>
      <c r="D8584" s="270"/>
      <c r="H8584" s="106" t="str">
        <f t="shared" si="1"/>
        <v/>
      </c>
      <c r="J8584" t="str">
        <f>IFERROR(__xludf.DUMMYFUNCTION("IFS(
  AND(REGEXMATCH(E8584, ""台銀籌備帳戶|玉山帳戶""), REGEXMATCH(C8584, ""薪資"")), ""分潤支出"",
  AND(REGEXMATCH(E8584, ""Ben帳戶|Elsa帳戶|Ben代墊|Ariel代墊|中信銀行共用""), REGEXMATCH(F8584, ""Ben帳戶|Elsa帳戶|Ben代墊|Ariel代墊|中信銀行共用"")), ""內部轉帳(忽略)"",
  AND(E8584&lt;&gt;"""", F8584&lt;&gt;"""", N"&amp;"OT(REGEXMATCH(C8584, ""薪資""))), ""內部轉帳(忽略)"",
  REGEXMATCH(C8584, ""薪資""), ""薪資變動(不計入)"",
  REGEXMATCH(C8584, ""押金""), ""押金往來"",
  AND(E8584&lt;&gt;"""", F8584=""""), ""真實支出"",
  AND(E8584="""", F8584&lt;&gt;""""), ""真實收入"",
  TRUE, ""其他""
)"),"其他")</f>
        <v>其他</v>
      </c>
      <c r="K8584" s="270" t="str">
        <f t="shared" si="2"/>
        <v/>
      </c>
      <c r="L8584">
        <f t="shared" si="3"/>
        <v>0</v>
      </c>
    </row>
    <row r="8585">
      <c r="A8585" s="107"/>
      <c r="D8585" s="270"/>
      <c r="H8585" s="106" t="str">
        <f t="shared" si="1"/>
        <v/>
      </c>
      <c r="J8585" t="str">
        <f>IFERROR(__xludf.DUMMYFUNCTION("IFS(
  AND(REGEXMATCH(E8585, ""台銀籌備帳戶|玉山帳戶""), REGEXMATCH(C8585, ""薪資"")), ""分潤支出"",
  AND(REGEXMATCH(E8585, ""Ben帳戶|Elsa帳戶|Ben代墊|Ariel代墊|中信銀行共用""), REGEXMATCH(F8585, ""Ben帳戶|Elsa帳戶|Ben代墊|Ariel代墊|中信銀行共用"")), ""內部轉帳(忽略)"",
  AND(E8585&lt;&gt;"""", F8585&lt;&gt;"""", N"&amp;"OT(REGEXMATCH(C8585, ""薪資""))), ""內部轉帳(忽略)"",
  REGEXMATCH(C8585, ""薪資""), ""薪資變動(不計入)"",
  REGEXMATCH(C8585, ""押金""), ""押金往來"",
  AND(E8585&lt;&gt;"""", F8585=""""), ""真實支出"",
  AND(E8585="""", F8585&lt;&gt;""""), ""真實收入"",
  TRUE, ""其他""
)"),"其他")</f>
        <v>其他</v>
      </c>
      <c r="K8585" s="270" t="str">
        <f t="shared" si="2"/>
        <v/>
      </c>
      <c r="L8585">
        <f t="shared" si="3"/>
        <v>0</v>
      </c>
    </row>
    <row r="8586">
      <c r="A8586" s="107"/>
      <c r="D8586" s="270"/>
      <c r="H8586" s="106" t="str">
        <f t="shared" si="1"/>
        <v/>
      </c>
      <c r="J8586" t="str">
        <f>IFERROR(__xludf.DUMMYFUNCTION("IFS(
  AND(REGEXMATCH(E8586, ""台銀籌備帳戶|玉山帳戶""), REGEXMATCH(C8586, ""薪資"")), ""分潤支出"",
  AND(REGEXMATCH(E8586, ""Ben帳戶|Elsa帳戶|Ben代墊|Ariel代墊|中信銀行共用""), REGEXMATCH(F8586, ""Ben帳戶|Elsa帳戶|Ben代墊|Ariel代墊|中信銀行共用"")), ""內部轉帳(忽略)"",
  AND(E8586&lt;&gt;"""", F8586&lt;&gt;"""", N"&amp;"OT(REGEXMATCH(C8586, ""薪資""))), ""內部轉帳(忽略)"",
  REGEXMATCH(C8586, ""薪資""), ""薪資變動(不計入)"",
  REGEXMATCH(C8586, ""押金""), ""押金往來"",
  AND(E8586&lt;&gt;"""", F8586=""""), ""真實支出"",
  AND(E8586="""", F8586&lt;&gt;""""), ""真實收入"",
  TRUE, ""其他""
)"),"其他")</f>
        <v>其他</v>
      </c>
      <c r="K8586" s="270" t="str">
        <f t="shared" si="2"/>
        <v/>
      </c>
      <c r="L8586">
        <f t="shared" si="3"/>
        <v>0</v>
      </c>
    </row>
    <row r="8587">
      <c r="A8587" s="107"/>
      <c r="D8587" s="270"/>
      <c r="H8587" s="106" t="str">
        <f t="shared" si="1"/>
        <v/>
      </c>
      <c r="J8587" t="str">
        <f>IFERROR(__xludf.DUMMYFUNCTION("IFS(
  AND(REGEXMATCH(E8587, ""台銀籌備帳戶|玉山帳戶""), REGEXMATCH(C8587, ""薪資"")), ""分潤支出"",
  AND(REGEXMATCH(E8587, ""Ben帳戶|Elsa帳戶|Ben代墊|Ariel代墊|中信銀行共用""), REGEXMATCH(F8587, ""Ben帳戶|Elsa帳戶|Ben代墊|Ariel代墊|中信銀行共用"")), ""內部轉帳(忽略)"",
  AND(E8587&lt;&gt;"""", F8587&lt;&gt;"""", N"&amp;"OT(REGEXMATCH(C8587, ""薪資""))), ""內部轉帳(忽略)"",
  REGEXMATCH(C8587, ""薪資""), ""薪資變動(不計入)"",
  REGEXMATCH(C8587, ""押金""), ""押金往來"",
  AND(E8587&lt;&gt;"""", F8587=""""), ""真實支出"",
  AND(E8587="""", F8587&lt;&gt;""""), ""真實收入"",
  TRUE, ""其他""
)"),"其他")</f>
        <v>其他</v>
      </c>
      <c r="K8587" s="270" t="str">
        <f t="shared" si="2"/>
        <v/>
      </c>
      <c r="L8587">
        <f t="shared" si="3"/>
        <v>0</v>
      </c>
    </row>
    <row r="8588">
      <c r="A8588" s="107"/>
      <c r="D8588" s="270"/>
      <c r="H8588" s="106" t="str">
        <f t="shared" si="1"/>
        <v/>
      </c>
      <c r="J8588" t="str">
        <f>IFERROR(__xludf.DUMMYFUNCTION("IFS(
  AND(REGEXMATCH(E8588, ""台銀籌備帳戶|玉山帳戶""), REGEXMATCH(C8588, ""薪資"")), ""分潤支出"",
  AND(REGEXMATCH(E8588, ""Ben帳戶|Elsa帳戶|Ben代墊|Ariel代墊|中信銀行共用""), REGEXMATCH(F8588, ""Ben帳戶|Elsa帳戶|Ben代墊|Ariel代墊|中信銀行共用"")), ""內部轉帳(忽略)"",
  AND(E8588&lt;&gt;"""", F8588&lt;&gt;"""", N"&amp;"OT(REGEXMATCH(C8588, ""薪資""))), ""內部轉帳(忽略)"",
  REGEXMATCH(C8588, ""薪資""), ""薪資變動(不計入)"",
  REGEXMATCH(C8588, ""押金""), ""押金往來"",
  AND(E8588&lt;&gt;"""", F8588=""""), ""真實支出"",
  AND(E8588="""", F8588&lt;&gt;""""), ""真實收入"",
  TRUE, ""其他""
)"),"其他")</f>
        <v>其他</v>
      </c>
      <c r="K8588" s="270" t="str">
        <f t="shared" si="2"/>
        <v/>
      </c>
      <c r="L8588">
        <f t="shared" si="3"/>
        <v>0</v>
      </c>
    </row>
    <row r="8589">
      <c r="A8589" s="107"/>
      <c r="D8589" s="270"/>
      <c r="H8589" s="106" t="str">
        <f t="shared" si="1"/>
        <v/>
      </c>
      <c r="J8589" t="str">
        <f>IFERROR(__xludf.DUMMYFUNCTION("IFS(
  AND(REGEXMATCH(E8589, ""台銀籌備帳戶|玉山帳戶""), REGEXMATCH(C8589, ""薪資"")), ""分潤支出"",
  AND(REGEXMATCH(E8589, ""Ben帳戶|Elsa帳戶|Ben代墊|Ariel代墊|中信銀行共用""), REGEXMATCH(F8589, ""Ben帳戶|Elsa帳戶|Ben代墊|Ariel代墊|中信銀行共用"")), ""內部轉帳(忽略)"",
  AND(E8589&lt;&gt;"""", F8589&lt;&gt;"""", N"&amp;"OT(REGEXMATCH(C8589, ""薪資""))), ""內部轉帳(忽略)"",
  REGEXMATCH(C8589, ""薪資""), ""薪資變動(不計入)"",
  REGEXMATCH(C8589, ""押金""), ""押金往來"",
  AND(E8589&lt;&gt;"""", F8589=""""), ""真實支出"",
  AND(E8589="""", F8589&lt;&gt;""""), ""真實收入"",
  TRUE, ""其他""
)"),"其他")</f>
        <v>其他</v>
      </c>
      <c r="K8589" s="270" t="str">
        <f t="shared" si="2"/>
        <v/>
      </c>
      <c r="L8589">
        <f t="shared" si="3"/>
        <v>0</v>
      </c>
    </row>
    <row r="8590">
      <c r="A8590" s="107"/>
      <c r="D8590" s="270"/>
      <c r="H8590" s="106" t="str">
        <f t="shared" si="1"/>
        <v/>
      </c>
      <c r="J8590" t="str">
        <f>IFERROR(__xludf.DUMMYFUNCTION("IFS(
  AND(REGEXMATCH(E8590, ""台銀籌備帳戶|玉山帳戶""), REGEXMATCH(C8590, ""薪資"")), ""分潤支出"",
  AND(REGEXMATCH(E8590, ""Ben帳戶|Elsa帳戶|Ben代墊|Ariel代墊|中信銀行共用""), REGEXMATCH(F8590, ""Ben帳戶|Elsa帳戶|Ben代墊|Ariel代墊|中信銀行共用"")), ""內部轉帳(忽略)"",
  AND(E8590&lt;&gt;"""", F8590&lt;&gt;"""", N"&amp;"OT(REGEXMATCH(C8590, ""薪資""))), ""內部轉帳(忽略)"",
  REGEXMATCH(C8590, ""薪資""), ""薪資變動(不計入)"",
  REGEXMATCH(C8590, ""押金""), ""押金往來"",
  AND(E8590&lt;&gt;"""", F8590=""""), ""真實支出"",
  AND(E8590="""", F8590&lt;&gt;""""), ""真實收入"",
  TRUE, ""其他""
)"),"其他")</f>
        <v>其他</v>
      </c>
      <c r="K8590" s="270" t="str">
        <f t="shared" si="2"/>
        <v/>
      </c>
      <c r="L8590">
        <f t="shared" si="3"/>
        <v>0</v>
      </c>
    </row>
    <row r="8591">
      <c r="A8591" s="107"/>
      <c r="D8591" s="270"/>
      <c r="H8591" s="106" t="str">
        <f t="shared" si="1"/>
        <v/>
      </c>
      <c r="J8591" t="str">
        <f>IFERROR(__xludf.DUMMYFUNCTION("IFS(
  AND(REGEXMATCH(E8591, ""台銀籌備帳戶|玉山帳戶""), REGEXMATCH(C8591, ""薪資"")), ""分潤支出"",
  AND(REGEXMATCH(E8591, ""Ben帳戶|Elsa帳戶|Ben代墊|Ariel代墊|中信銀行共用""), REGEXMATCH(F8591, ""Ben帳戶|Elsa帳戶|Ben代墊|Ariel代墊|中信銀行共用"")), ""內部轉帳(忽略)"",
  AND(E8591&lt;&gt;"""", F8591&lt;&gt;"""", N"&amp;"OT(REGEXMATCH(C8591, ""薪資""))), ""內部轉帳(忽略)"",
  REGEXMATCH(C8591, ""薪資""), ""薪資變動(不計入)"",
  REGEXMATCH(C8591, ""押金""), ""押金往來"",
  AND(E8591&lt;&gt;"""", F8591=""""), ""真實支出"",
  AND(E8591="""", F8591&lt;&gt;""""), ""真實收入"",
  TRUE, ""其他""
)"),"其他")</f>
        <v>其他</v>
      </c>
      <c r="K8591" s="270" t="str">
        <f t="shared" si="2"/>
        <v/>
      </c>
      <c r="L8591">
        <f t="shared" si="3"/>
        <v>0</v>
      </c>
    </row>
    <row r="8592">
      <c r="A8592" s="107"/>
      <c r="D8592" s="270"/>
      <c r="H8592" s="106" t="str">
        <f t="shared" si="1"/>
        <v/>
      </c>
      <c r="J8592" t="str">
        <f>IFERROR(__xludf.DUMMYFUNCTION("IFS(
  AND(REGEXMATCH(E8592, ""台銀籌備帳戶|玉山帳戶""), REGEXMATCH(C8592, ""薪資"")), ""分潤支出"",
  AND(REGEXMATCH(E8592, ""Ben帳戶|Elsa帳戶|Ben代墊|Ariel代墊|中信銀行共用""), REGEXMATCH(F8592, ""Ben帳戶|Elsa帳戶|Ben代墊|Ariel代墊|中信銀行共用"")), ""內部轉帳(忽略)"",
  AND(E8592&lt;&gt;"""", F8592&lt;&gt;"""", N"&amp;"OT(REGEXMATCH(C8592, ""薪資""))), ""內部轉帳(忽略)"",
  REGEXMATCH(C8592, ""薪資""), ""薪資變動(不計入)"",
  REGEXMATCH(C8592, ""押金""), ""押金往來"",
  AND(E8592&lt;&gt;"""", F8592=""""), ""真實支出"",
  AND(E8592="""", F8592&lt;&gt;""""), ""真實收入"",
  TRUE, ""其他""
)"),"其他")</f>
        <v>其他</v>
      </c>
      <c r="K8592" s="270" t="str">
        <f t="shared" si="2"/>
        <v/>
      </c>
      <c r="L8592">
        <f t="shared" si="3"/>
        <v>0</v>
      </c>
    </row>
    <row r="8593">
      <c r="A8593" s="107"/>
      <c r="D8593" s="270"/>
      <c r="H8593" s="106" t="str">
        <f t="shared" si="1"/>
        <v/>
      </c>
      <c r="J8593" t="str">
        <f>IFERROR(__xludf.DUMMYFUNCTION("IFS(
  AND(REGEXMATCH(E8593, ""台銀籌備帳戶|玉山帳戶""), REGEXMATCH(C8593, ""薪資"")), ""分潤支出"",
  AND(REGEXMATCH(E8593, ""Ben帳戶|Elsa帳戶|Ben代墊|Ariel代墊|中信銀行共用""), REGEXMATCH(F8593, ""Ben帳戶|Elsa帳戶|Ben代墊|Ariel代墊|中信銀行共用"")), ""內部轉帳(忽略)"",
  AND(E8593&lt;&gt;"""", F8593&lt;&gt;"""", N"&amp;"OT(REGEXMATCH(C8593, ""薪資""))), ""內部轉帳(忽略)"",
  REGEXMATCH(C8593, ""薪資""), ""薪資變動(不計入)"",
  REGEXMATCH(C8593, ""押金""), ""押金往來"",
  AND(E8593&lt;&gt;"""", F8593=""""), ""真實支出"",
  AND(E8593="""", F8593&lt;&gt;""""), ""真實收入"",
  TRUE, ""其他""
)"),"其他")</f>
        <v>其他</v>
      </c>
      <c r="K8593" s="270" t="str">
        <f t="shared" si="2"/>
        <v/>
      </c>
      <c r="L8593">
        <f t="shared" si="3"/>
        <v>0</v>
      </c>
    </row>
    <row r="8594">
      <c r="A8594" s="107"/>
      <c r="D8594" s="270"/>
      <c r="H8594" s="106" t="str">
        <f t="shared" si="1"/>
        <v/>
      </c>
      <c r="J8594" t="str">
        <f>IFERROR(__xludf.DUMMYFUNCTION("IFS(
  AND(REGEXMATCH(E8594, ""台銀籌備帳戶|玉山帳戶""), REGEXMATCH(C8594, ""薪資"")), ""分潤支出"",
  AND(REGEXMATCH(E8594, ""Ben帳戶|Elsa帳戶|Ben代墊|Ariel代墊|中信銀行共用""), REGEXMATCH(F8594, ""Ben帳戶|Elsa帳戶|Ben代墊|Ariel代墊|中信銀行共用"")), ""內部轉帳(忽略)"",
  AND(E8594&lt;&gt;"""", F8594&lt;&gt;"""", N"&amp;"OT(REGEXMATCH(C8594, ""薪資""))), ""內部轉帳(忽略)"",
  REGEXMATCH(C8594, ""薪資""), ""薪資變動(不計入)"",
  REGEXMATCH(C8594, ""押金""), ""押金往來"",
  AND(E8594&lt;&gt;"""", F8594=""""), ""真實支出"",
  AND(E8594="""", F8594&lt;&gt;""""), ""真實收入"",
  TRUE, ""其他""
)"),"其他")</f>
        <v>其他</v>
      </c>
      <c r="K8594" s="270" t="str">
        <f t="shared" si="2"/>
        <v/>
      </c>
      <c r="L8594">
        <f t="shared" si="3"/>
        <v>0</v>
      </c>
    </row>
    <row r="8595">
      <c r="A8595" s="107"/>
      <c r="D8595" s="270"/>
      <c r="H8595" s="106" t="str">
        <f t="shared" si="1"/>
        <v/>
      </c>
      <c r="J8595" t="str">
        <f>IFERROR(__xludf.DUMMYFUNCTION("IFS(
  AND(REGEXMATCH(E8595, ""台銀籌備帳戶|玉山帳戶""), REGEXMATCH(C8595, ""薪資"")), ""分潤支出"",
  AND(REGEXMATCH(E8595, ""Ben帳戶|Elsa帳戶|Ben代墊|Ariel代墊|中信銀行共用""), REGEXMATCH(F8595, ""Ben帳戶|Elsa帳戶|Ben代墊|Ariel代墊|中信銀行共用"")), ""內部轉帳(忽略)"",
  AND(E8595&lt;&gt;"""", F8595&lt;&gt;"""", N"&amp;"OT(REGEXMATCH(C8595, ""薪資""))), ""內部轉帳(忽略)"",
  REGEXMATCH(C8595, ""薪資""), ""薪資變動(不計入)"",
  REGEXMATCH(C8595, ""押金""), ""押金往來"",
  AND(E8595&lt;&gt;"""", F8595=""""), ""真實支出"",
  AND(E8595="""", F8595&lt;&gt;""""), ""真實收入"",
  TRUE, ""其他""
)"),"其他")</f>
        <v>其他</v>
      </c>
      <c r="K8595" s="270" t="str">
        <f t="shared" si="2"/>
        <v/>
      </c>
      <c r="L8595">
        <f t="shared" si="3"/>
        <v>0</v>
      </c>
    </row>
    <row r="8596">
      <c r="A8596" s="107"/>
      <c r="D8596" s="270"/>
      <c r="H8596" s="106" t="str">
        <f t="shared" si="1"/>
        <v/>
      </c>
      <c r="J8596" t="str">
        <f>IFERROR(__xludf.DUMMYFUNCTION("IFS(
  AND(REGEXMATCH(E8596, ""台銀籌備帳戶|玉山帳戶""), REGEXMATCH(C8596, ""薪資"")), ""分潤支出"",
  AND(REGEXMATCH(E8596, ""Ben帳戶|Elsa帳戶|Ben代墊|Ariel代墊|中信銀行共用""), REGEXMATCH(F8596, ""Ben帳戶|Elsa帳戶|Ben代墊|Ariel代墊|中信銀行共用"")), ""內部轉帳(忽略)"",
  AND(E8596&lt;&gt;"""", F8596&lt;&gt;"""", N"&amp;"OT(REGEXMATCH(C8596, ""薪資""))), ""內部轉帳(忽略)"",
  REGEXMATCH(C8596, ""薪資""), ""薪資變動(不計入)"",
  REGEXMATCH(C8596, ""押金""), ""押金往來"",
  AND(E8596&lt;&gt;"""", F8596=""""), ""真實支出"",
  AND(E8596="""", F8596&lt;&gt;""""), ""真實收入"",
  TRUE, ""其他""
)"),"其他")</f>
        <v>其他</v>
      </c>
      <c r="K8596" s="270" t="str">
        <f t="shared" si="2"/>
        <v/>
      </c>
      <c r="L8596">
        <f t="shared" si="3"/>
        <v>0</v>
      </c>
    </row>
    <row r="8597">
      <c r="A8597" s="107"/>
      <c r="D8597" s="270"/>
      <c r="H8597" s="106" t="str">
        <f t="shared" si="1"/>
        <v/>
      </c>
      <c r="J8597" t="str">
        <f>IFERROR(__xludf.DUMMYFUNCTION("IFS(
  AND(REGEXMATCH(E8597, ""台銀籌備帳戶|玉山帳戶""), REGEXMATCH(C8597, ""薪資"")), ""分潤支出"",
  AND(REGEXMATCH(E8597, ""Ben帳戶|Elsa帳戶|Ben代墊|Ariel代墊|中信銀行共用""), REGEXMATCH(F8597, ""Ben帳戶|Elsa帳戶|Ben代墊|Ariel代墊|中信銀行共用"")), ""內部轉帳(忽略)"",
  AND(E8597&lt;&gt;"""", F8597&lt;&gt;"""", N"&amp;"OT(REGEXMATCH(C8597, ""薪資""))), ""內部轉帳(忽略)"",
  REGEXMATCH(C8597, ""薪資""), ""薪資變動(不計入)"",
  REGEXMATCH(C8597, ""押金""), ""押金往來"",
  AND(E8597&lt;&gt;"""", F8597=""""), ""真實支出"",
  AND(E8597="""", F8597&lt;&gt;""""), ""真實收入"",
  TRUE, ""其他""
)"),"其他")</f>
        <v>其他</v>
      </c>
      <c r="K8597" s="270" t="str">
        <f t="shared" si="2"/>
        <v/>
      </c>
      <c r="L8597">
        <f t="shared" si="3"/>
        <v>0</v>
      </c>
    </row>
    <row r="8598">
      <c r="A8598" s="107"/>
      <c r="D8598" s="270"/>
      <c r="H8598" s="106" t="str">
        <f t="shared" si="1"/>
        <v/>
      </c>
      <c r="J8598" t="str">
        <f>IFERROR(__xludf.DUMMYFUNCTION("IFS(
  AND(REGEXMATCH(E8598, ""台銀籌備帳戶|玉山帳戶""), REGEXMATCH(C8598, ""薪資"")), ""分潤支出"",
  AND(REGEXMATCH(E8598, ""Ben帳戶|Elsa帳戶|Ben代墊|Ariel代墊|中信銀行共用""), REGEXMATCH(F8598, ""Ben帳戶|Elsa帳戶|Ben代墊|Ariel代墊|中信銀行共用"")), ""內部轉帳(忽略)"",
  AND(E8598&lt;&gt;"""", F8598&lt;&gt;"""", N"&amp;"OT(REGEXMATCH(C8598, ""薪資""))), ""內部轉帳(忽略)"",
  REGEXMATCH(C8598, ""薪資""), ""薪資變動(不計入)"",
  REGEXMATCH(C8598, ""押金""), ""押金往來"",
  AND(E8598&lt;&gt;"""", F8598=""""), ""真實支出"",
  AND(E8598="""", F8598&lt;&gt;""""), ""真實收入"",
  TRUE, ""其他""
)"),"其他")</f>
        <v>其他</v>
      </c>
      <c r="K8598" s="270" t="str">
        <f t="shared" si="2"/>
        <v/>
      </c>
      <c r="L8598">
        <f t="shared" si="3"/>
        <v>0</v>
      </c>
    </row>
    <row r="8599">
      <c r="A8599" s="107"/>
      <c r="D8599" s="270"/>
      <c r="H8599" s="106" t="str">
        <f t="shared" si="1"/>
        <v/>
      </c>
      <c r="J8599" t="str">
        <f>IFERROR(__xludf.DUMMYFUNCTION("IFS(
  AND(REGEXMATCH(E8599, ""台銀籌備帳戶|玉山帳戶""), REGEXMATCH(C8599, ""薪資"")), ""分潤支出"",
  AND(REGEXMATCH(E8599, ""Ben帳戶|Elsa帳戶|Ben代墊|Ariel代墊|中信銀行共用""), REGEXMATCH(F8599, ""Ben帳戶|Elsa帳戶|Ben代墊|Ariel代墊|中信銀行共用"")), ""內部轉帳(忽略)"",
  AND(E8599&lt;&gt;"""", F8599&lt;&gt;"""", N"&amp;"OT(REGEXMATCH(C8599, ""薪資""))), ""內部轉帳(忽略)"",
  REGEXMATCH(C8599, ""薪資""), ""薪資變動(不計入)"",
  REGEXMATCH(C8599, ""押金""), ""押金往來"",
  AND(E8599&lt;&gt;"""", F8599=""""), ""真實支出"",
  AND(E8599="""", F8599&lt;&gt;""""), ""真實收入"",
  TRUE, ""其他""
)"),"其他")</f>
        <v>其他</v>
      </c>
      <c r="K8599" s="270" t="str">
        <f t="shared" si="2"/>
        <v/>
      </c>
      <c r="L8599">
        <f t="shared" si="3"/>
        <v>0</v>
      </c>
    </row>
    <row r="8600">
      <c r="A8600" s="107"/>
      <c r="D8600" s="270"/>
      <c r="H8600" s="106" t="str">
        <f t="shared" si="1"/>
        <v/>
      </c>
      <c r="J8600" t="str">
        <f>IFERROR(__xludf.DUMMYFUNCTION("IFS(
  AND(REGEXMATCH(E8600, ""台銀籌備帳戶|玉山帳戶""), REGEXMATCH(C8600, ""薪資"")), ""分潤支出"",
  AND(REGEXMATCH(E8600, ""Ben帳戶|Elsa帳戶|Ben代墊|Ariel代墊|中信銀行共用""), REGEXMATCH(F8600, ""Ben帳戶|Elsa帳戶|Ben代墊|Ariel代墊|中信銀行共用"")), ""內部轉帳(忽略)"",
  AND(E8600&lt;&gt;"""", F8600&lt;&gt;"""", N"&amp;"OT(REGEXMATCH(C8600, ""薪資""))), ""內部轉帳(忽略)"",
  REGEXMATCH(C8600, ""薪資""), ""薪資變動(不計入)"",
  REGEXMATCH(C8600, ""押金""), ""押金往來"",
  AND(E8600&lt;&gt;"""", F8600=""""), ""真實支出"",
  AND(E8600="""", F8600&lt;&gt;""""), ""真實收入"",
  TRUE, ""其他""
)"),"其他")</f>
        <v>其他</v>
      </c>
      <c r="K8600" s="270" t="str">
        <f t="shared" si="2"/>
        <v/>
      </c>
      <c r="L8600">
        <f t="shared" si="3"/>
        <v>0</v>
      </c>
    </row>
    <row r="8601">
      <c r="A8601" s="107"/>
      <c r="D8601" s="270"/>
      <c r="H8601" s="106" t="str">
        <f t="shared" si="1"/>
        <v/>
      </c>
      <c r="J8601" t="str">
        <f>IFERROR(__xludf.DUMMYFUNCTION("IFS(
  AND(REGEXMATCH(E8601, ""台銀籌備帳戶|玉山帳戶""), REGEXMATCH(C8601, ""薪資"")), ""分潤支出"",
  AND(REGEXMATCH(E8601, ""Ben帳戶|Elsa帳戶|Ben代墊|Ariel代墊|中信銀行共用""), REGEXMATCH(F8601, ""Ben帳戶|Elsa帳戶|Ben代墊|Ariel代墊|中信銀行共用"")), ""內部轉帳(忽略)"",
  AND(E8601&lt;&gt;"""", F8601&lt;&gt;"""", N"&amp;"OT(REGEXMATCH(C8601, ""薪資""))), ""內部轉帳(忽略)"",
  REGEXMATCH(C8601, ""薪資""), ""薪資變動(不計入)"",
  REGEXMATCH(C8601, ""押金""), ""押金往來"",
  AND(E8601&lt;&gt;"""", F8601=""""), ""真實支出"",
  AND(E8601="""", F8601&lt;&gt;""""), ""真實收入"",
  TRUE, ""其他""
)"),"其他")</f>
        <v>其他</v>
      </c>
      <c r="K8601" s="270" t="str">
        <f t="shared" si="2"/>
        <v/>
      </c>
      <c r="L8601">
        <f t="shared" si="3"/>
        <v>0</v>
      </c>
    </row>
    <row r="8602">
      <c r="A8602" s="107"/>
      <c r="D8602" s="270"/>
      <c r="H8602" s="106" t="str">
        <f t="shared" si="1"/>
        <v/>
      </c>
      <c r="J8602" t="str">
        <f>IFERROR(__xludf.DUMMYFUNCTION("IFS(
  AND(REGEXMATCH(E8602, ""台銀籌備帳戶|玉山帳戶""), REGEXMATCH(C8602, ""薪資"")), ""分潤支出"",
  AND(REGEXMATCH(E8602, ""Ben帳戶|Elsa帳戶|Ben代墊|Ariel代墊|中信銀行共用""), REGEXMATCH(F8602, ""Ben帳戶|Elsa帳戶|Ben代墊|Ariel代墊|中信銀行共用"")), ""內部轉帳(忽略)"",
  AND(E8602&lt;&gt;"""", F8602&lt;&gt;"""", N"&amp;"OT(REGEXMATCH(C8602, ""薪資""))), ""內部轉帳(忽略)"",
  REGEXMATCH(C8602, ""薪資""), ""薪資變動(不計入)"",
  REGEXMATCH(C8602, ""押金""), ""押金往來"",
  AND(E8602&lt;&gt;"""", F8602=""""), ""真實支出"",
  AND(E8602="""", F8602&lt;&gt;""""), ""真實收入"",
  TRUE, ""其他""
)"),"其他")</f>
        <v>其他</v>
      </c>
      <c r="K8602" s="270" t="str">
        <f t="shared" si="2"/>
        <v/>
      </c>
      <c r="L8602">
        <f t="shared" si="3"/>
        <v>0</v>
      </c>
    </row>
    <row r="8603">
      <c r="A8603" s="107"/>
      <c r="D8603" s="270"/>
      <c r="H8603" s="106" t="str">
        <f t="shared" si="1"/>
        <v/>
      </c>
      <c r="J8603" t="str">
        <f>IFERROR(__xludf.DUMMYFUNCTION("IFS(
  AND(REGEXMATCH(E8603, ""台銀籌備帳戶|玉山帳戶""), REGEXMATCH(C8603, ""薪資"")), ""分潤支出"",
  AND(REGEXMATCH(E8603, ""Ben帳戶|Elsa帳戶|Ben代墊|Ariel代墊|中信銀行共用""), REGEXMATCH(F8603, ""Ben帳戶|Elsa帳戶|Ben代墊|Ariel代墊|中信銀行共用"")), ""內部轉帳(忽略)"",
  AND(E8603&lt;&gt;"""", F8603&lt;&gt;"""", N"&amp;"OT(REGEXMATCH(C8603, ""薪資""))), ""內部轉帳(忽略)"",
  REGEXMATCH(C8603, ""薪資""), ""薪資變動(不計入)"",
  REGEXMATCH(C8603, ""押金""), ""押金往來"",
  AND(E8603&lt;&gt;"""", F8603=""""), ""真實支出"",
  AND(E8603="""", F8603&lt;&gt;""""), ""真實收入"",
  TRUE, ""其他""
)"),"其他")</f>
        <v>其他</v>
      </c>
      <c r="K8603" s="270" t="str">
        <f t="shared" si="2"/>
        <v/>
      </c>
      <c r="L8603">
        <f t="shared" si="3"/>
        <v>0</v>
      </c>
    </row>
    <row r="8604">
      <c r="A8604" s="107"/>
      <c r="D8604" s="270"/>
      <c r="H8604" s="106" t="str">
        <f t="shared" si="1"/>
        <v/>
      </c>
      <c r="J8604" t="str">
        <f>IFERROR(__xludf.DUMMYFUNCTION("IFS(
  AND(REGEXMATCH(E8604, ""台銀籌備帳戶|玉山帳戶""), REGEXMATCH(C8604, ""薪資"")), ""分潤支出"",
  AND(REGEXMATCH(E8604, ""Ben帳戶|Elsa帳戶|Ben代墊|Ariel代墊|中信銀行共用""), REGEXMATCH(F8604, ""Ben帳戶|Elsa帳戶|Ben代墊|Ariel代墊|中信銀行共用"")), ""內部轉帳(忽略)"",
  AND(E8604&lt;&gt;"""", F8604&lt;&gt;"""", N"&amp;"OT(REGEXMATCH(C8604, ""薪資""))), ""內部轉帳(忽略)"",
  REGEXMATCH(C8604, ""薪資""), ""薪資變動(不計入)"",
  REGEXMATCH(C8604, ""押金""), ""押金往來"",
  AND(E8604&lt;&gt;"""", F8604=""""), ""真實支出"",
  AND(E8604="""", F8604&lt;&gt;""""), ""真實收入"",
  TRUE, ""其他""
)"),"其他")</f>
        <v>其他</v>
      </c>
      <c r="K8604" s="270" t="str">
        <f t="shared" si="2"/>
        <v/>
      </c>
      <c r="L8604">
        <f t="shared" si="3"/>
        <v>0</v>
      </c>
    </row>
    <row r="8605">
      <c r="A8605" s="107"/>
      <c r="D8605" s="270"/>
      <c r="H8605" s="106" t="str">
        <f t="shared" si="1"/>
        <v/>
      </c>
      <c r="J8605" t="str">
        <f>IFERROR(__xludf.DUMMYFUNCTION("IFS(
  AND(REGEXMATCH(E8605, ""台銀籌備帳戶|玉山帳戶""), REGEXMATCH(C8605, ""薪資"")), ""分潤支出"",
  AND(REGEXMATCH(E8605, ""Ben帳戶|Elsa帳戶|Ben代墊|Ariel代墊|中信銀行共用""), REGEXMATCH(F8605, ""Ben帳戶|Elsa帳戶|Ben代墊|Ariel代墊|中信銀行共用"")), ""內部轉帳(忽略)"",
  AND(E8605&lt;&gt;"""", F8605&lt;&gt;"""", N"&amp;"OT(REGEXMATCH(C8605, ""薪資""))), ""內部轉帳(忽略)"",
  REGEXMATCH(C8605, ""薪資""), ""薪資變動(不計入)"",
  REGEXMATCH(C8605, ""押金""), ""押金往來"",
  AND(E8605&lt;&gt;"""", F8605=""""), ""真實支出"",
  AND(E8605="""", F8605&lt;&gt;""""), ""真實收入"",
  TRUE, ""其他""
)"),"其他")</f>
        <v>其他</v>
      </c>
      <c r="K8605" s="270" t="str">
        <f t="shared" si="2"/>
        <v/>
      </c>
      <c r="L8605">
        <f t="shared" si="3"/>
        <v>0</v>
      </c>
    </row>
    <row r="8606">
      <c r="A8606" s="107"/>
      <c r="D8606" s="270"/>
      <c r="H8606" s="106" t="str">
        <f t="shared" si="1"/>
        <v/>
      </c>
      <c r="J8606" t="str">
        <f>IFERROR(__xludf.DUMMYFUNCTION("IFS(
  AND(REGEXMATCH(E8606, ""台銀籌備帳戶|玉山帳戶""), REGEXMATCH(C8606, ""薪資"")), ""分潤支出"",
  AND(REGEXMATCH(E8606, ""Ben帳戶|Elsa帳戶|Ben代墊|Ariel代墊|中信銀行共用""), REGEXMATCH(F8606, ""Ben帳戶|Elsa帳戶|Ben代墊|Ariel代墊|中信銀行共用"")), ""內部轉帳(忽略)"",
  AND(E8606&lt;&gt;"""", F8606&lt;&gt;"""", N"&amp;"OT(REGEXMATCH(C8606, ""薪資""))), ""內部轉帳(忽略)"",
  REGEXMATCH(C8606, ""薪資""), ""薪資變動(不計入)"",
  REGEXMATCH(C8606, ""押金""), ""押金往來"",
  AND(E8606&lt;&gt;"""", F8606=""""), ""真實支出"",
  AND(E8606="""", F8606&lt;&gt;""""), ""真實收入"",
  TRUE, ""其他""
)"),"其他")</f>
        <v>其他</v>
      </c>
      <c r="K8606" s="270" t="str">
        <f t="shared" si="2"/>
        <v/>
      </c>
      <c r="L8606">
        <f t="shared" si="3"/>
        <v>0</v>
      </c>
    </row>
    <row r="8607">
      <c r="A8607" s="107"/>
      <c r="D8607" s="270"/>
      <c r="H8607" s="106" t="str">
        <f t="shared" si="1"/>
        <v/>
      </c>
      <c r="J8607" t="str">
        <f>IFERROR(__xludf.DUMMYFUNCTION("IFS(
  AND(REGEXMATCH(E8607, ""台銀籌備帳戶|玉山帳戶""), REGEXMATCH(C8607, ""薪資"")), ""分潤支出"",
  AND(REGEXMATCH(E8607, ""Ben帳戶|Elsa帳戶|Ben代墊|Ariel代墊|中信銀行共用""), REGEXMATCH(F8607, ""Ben帳戶|Elsa帳戶|Ben代墊|Ariel代墊|中信銀行共用"")), ""內部轉帳(忽略)"",
  AND(E8607&lt;&gt;"""", F8607&lt;&gt;"""", N"&amp;"OT(REGEXMATCH(C8607, ""薪資""))), ""內部轉帳(忽略)"",
  REGEXMATCH(C8607, ""薪資""), ""薪資變動(不計入)"",
  REGEXMATCH(C8607, ""押金""), ""押金往來"",
  AND(E8607&lt;&gt;"""", F8607=""""), ""真實支出"",
  AND(E8607="""", F8607&lt;&gt;""""), ""真實收入"",
  TRUE, ""其他""
)"),"其他")</f>
        <v>其他</v>
      </c>
      <c r="K8607" s="270" t="str">
        <f t="shared" si="2"/>
        <v/>
      </c>
      <c r="L8607">
        <f t="shared" si="3"/>
        <v>0</v>
      </c>
    </row>
    <row r="8608">
      <c r="A8608" s="107"/>
      <c r="D8608" s="270"/>
      <c r="H8608" s="106" t="str">
        <f t="shared" si="1"/>
        <v/>
      </c>
      <c r="J8608" t="str">
        <f>IFERROR(__xludf.DUMMYFUNCTION("IFS(
  AND(REGEXMATCH(E8608, ""台銀籌備帳戶|玉山帳戶""), REGEXMATCH(C8608, ""薪資"")), ""分潤支出"",
  AND(REGEXMATCH(E8608, ""Ben帳戶|Elsa帳戶|Ben代墊|Ariel代墊|中信銀行共用""), REGEXMATCH(F8608, ""Ben帳戶|Elsa帳戶|Ben代墊|Ariel代墊|中信銀行共用"")), ""內部轉帳(忽略)"",
  AND(E8608&lt;&gt;"""", F8608&lt;&gt;"""", N"&amp;"OT(REGEXMATCH(C8608, ""薪資""))), ""內部轉帳(忽略)"",
  REGEXMATCH(C8608, ""薪資""), ""薪資變動(不計入)"",
  REGEXMATCH(C8608, ""押金""), ""押金往來"",
  AND(E8608&lt;&gt;"""", F8608=""""), ""真實支出"",
  AND(E8608="""", F8608&lt;&gt;""""), ""真實收入"",
  TRUE, ""其他""
)"),"其他")</f>
        <v>其他</v>
      </c>
      <c r="K8608" s="270" t="str">
        <f t="shared" si="2"/>
        <v/>
      </c>
      <c r="L8608">
        <f t="shared" si="3"/>
        <v>0</v>
      </c>
    </row>
    <row r="8609">
      <c r="A8609" s="107"/>
      <c r="D8609" s="270"/>
      <c r="H8609" s="106" t="str">
        <f t="shared" si="1"/>
        <v/>
      </c>
      <c r="J8609" t="str">
        <f>IFERROR(__xludf.DUMMYFUNCTION("IFS(
  AND(REGEXMATCH(E8609, ""台銀籌備帳戶|玉山帳戶""), REGEXMATCH(C8609, ""薪資"")), ""分潤支出"",
  AND(REGEXMATCH(E8609, ""Ben帳戶|Elsa帳戶|Ben代墊|Ariel代墊|中信銀行共用""), REGEXMATCH(F8609, ""Ben帳戶|Elsa帳戶|Ben代墊|Ariel代墊|中信銀行共用"")), ""內部轉帳(忽略)"",
  AND(E8609&lt;&gt;"""", F8609&lt;&gt;"""", N"&amp;"OT(REGEXMATCH(C8609, ""薪資""))), ""內部轉帳(忽略)"",
  REGEXMATCH(C8609, ""薪資""), ""薪資變動(不計入)"",
  REGEXMATCH(C8609, ""押金""), ""押金往來"",
  AND(E8609&lt;&gt;"""", F8609=""""), ""真實支出"",
  AND(E8609="""", F8609&lt;&gt;""""), ""真實收入"",
  TRUE, ""其他""
)"),"其他")</f>
        <v>其他</v>
      </c>
      <c r="K8609" s="270" t="str">
        <f t="shared" si="2"/>
        <v/>
      </c>
      <c r="L8609">
        <f t="shared" si="3"/>
        <v>0</v>
      </c>
    </row>
    <row r="8610">
      <c r="A8610" s="107"/>
      <c r="D8610" s="270"/>
      <c r="H8610" s="106" t="str">
        <f t="shared" si="1"/>
        <v/>
      </c>
      <c r="J8610" t="str">
        <f>IFERROR(__xludf.DUMMYFUNCTION("IFS(
  AND(REGEXMATCH(E8610, ""台銀籌備帳戶|玉山帳戶""), REGEXMATCH(C8610, ""薪資"")), ""分潤支出"",
  AND(REGEXMATCH(E8610, ""Ben帳戶|Elsa帳戶|Ben代墊|Ariel代墊|中信銀行共用""), REGEXMATCH(F8610, ""Ben帳戶|Elsa帳戶|Ben代墊|Ariel代墊|中信銀行共用"")), ""內部轉帳(忽略)"",
  AND(E8610&lt;&gt;"""", F8610&lt;&gt;"""", N"&amp;"OT(REGEXMATCH(C8610, ""薪資""))), ""內部轉帳(忽略)"",
  REGEXMATCH(C8610, ""薪資""), ""薪資變動(不計入)"",
  REGEXMATCH(C8610, ""押金""), ""押金往來"",
  AND(E8610&lt;&gt;"""", F8610=""""), ""真實支出"",
  AND(E8610="""", F8610&lt;&gt;""""), ""真實收入"",
  TRUE, ""其他""
)"),"其他")</f>
        <v>其他</v>
      </c>
      <c r="K8610" s="270" t="str">
        <f t="shared" si="2"/>
        <v/>
      </c>
      <c r="L8610">
        <f t="shared" si="3"/>
        <v>0</v>
      </c>
    </row>
    <row r="8611">
      <c r="A8611" s="107"/>
      <c r="D8611" s="270"/>
      <c r="H8611" s="106" t="str">
        <f t="shared" si="1"/>
        <v/>
      </c>
      <c r="J8611" t="str">
        <f>IFERROR(__xludf.DUMMYFUNCTION("IFS(
  AND(REGEXMATCH(E8611, ""台銀籌備帳戶|玉山帳戶""), REGEXMATCH(C8611, ""薪資"")), ""分潤支出"",
  AND(REGEXMATCH(E8611, ""Ben帳戶|Elsa帳戶|Ben代墊|Ariel代墊|中信銀行共用""), REGEXMATCH(F8611, ""Ben帳戶|Elsa帳戶|Ben代墊|Ariel代墊|中信銀行共用"")), ""內部轉帳(忽略)"",
  AND(E8611&lt;&gt;"""", F8611&lt;&gt;"""", N"&amp;"OT(REGEXMATCH(C8611, ""薪資""))), ""內部轉帳(忽略)"",
  REGEXMATCH(C8611, ""薪資""), ""薪資變動(不計入)"",
  REGEXMATCH(C8611, ""押金""), ""押金往來"",
  AND(E8611&lt;&gt;"""", F8611=""""), ""真實支出"",
  AND(E8611="""", F8611&lt;&gt;""""), ""真實收入"",
  TRUE, ""其他""
)"),"其他")</f>
        <v>其他</v>
      </c>
      <c r="K8611" s="270" t="str">
        <f t="shared" si="2"/>
        <v/>
      </c>
      <c r="L8611">
        <f t="shared" si="3"/>
        <v>0</v>
      </c>
    </row>
    <row r="8612">
      <c r="A8612" s="107"/>
      <c r="D8612" s="270"/>
      <c r="H8612" s="106" t="str">
        <f t="shared" si="1"/>
        <v/>
      </c>
      <c r="J8612" t="str">
        <f>IFERROR(__xludf.DUMMYFUNCTION("IFS(
  AND(REGEXMATCH(E8612, ""台銀籌備帳戶|玉山帳戶""), REGEXMATCH(C8612, ""薪資"")), ""分潤支出"",
  AND(REGEXMATCH(E8612, ""Ben帳戶|Elsa帳戶|Ben代墊|Ariel代墊|中信銀行共用""), REGEXMATCH(F8612, ""Ben帳戶|Elsa帳戶|Ben代墊|Ariel代墊|中信銀行共用"")), ""內部轉帳(忽略)"",
  AND(E8612&lt;&gt;"""", F8612&lt;&gt;"""", N"&amp;"OT(REGEXMATCH(C8612, ""薪資""))), ""內部轉帳(忽略)"",
  REGEXMATCH(C8612, ""薪資""), ""薪資變動(不計入)"",
  REGEXMATCH(C8612, ""押金""), ""押金往來"",
  AND(E8612&lt;&gt;"""", F8612=""""), ""真實支出"",
  AND(E8612="""", F8612&lt;&gt;""""), ""真實收入"",
  TRUE, ""其他""
)"),"其他")</f>
        <v>其他</v>
      </c>
      <c r="K8612" s="270" t="str">
        <f t="shared" si="2"/>
        <v/>
      </c>
      <c r="L8612">
        <f t="shared" si="3"/>
        <v>0</v>
      </c>
    </row>
    <row r="8613">
      <c r="A8613" s="107"/>
      <c r="D8613" s="270"/>
      <c r="H8613" s="106" t="str">
        <f t="shared" si="1"/>
        <v/>
      </c>
      <c r="J8613" t="str">
        <f>IFERROR(__xludf.DUMMYFUNCTION("IFS(
  AND(REGEXMATCH(E8613, ""台銀籌備帳戶|玉山帳戶""), REGEXMATCH(C8613, ""薪資"")), ""分潤支出"",
  AND(REGEXMATCH(E8613, ""Ben帳戶|Elsa帳戶|Ben代墊|Ariel代墊|中信銀行共用""), REGEXMATCH(F8613, ""Ben帳戶|Elsa帳戶|Ben代墊|Ariel代墊|中信銀行共用"")), ""內部轉帳(忽略)"",
  AND(E8613&lt;&gt;"""", F8613&lt;&gt;"""", N"&amp;"OT(REGEXMATCH(C8613, ""薪資""))), ""內部轉帳(忽略)"",
  REGEXMATCH(C8613, ""薪資""), ""薪資變動(不計入)"",
  REGEXMATCH(C8613, ""押金""), ""押金往來"",
  AND(E8613&lt;&gt;"""", F8613=""""), ""真實支出"",
  AND(E8613="""", F8613&lt;&gt;""""), ""真實收入"",
  TRUE, ""其他""
)"),"其他")</f>
        <v>其他</v>
      </c>
      <c r="K8613" s="270" t="str">
        <f t="shared" si="2"/>
        <v/>
      </c>
      <c r="L8613">
        <f t="shared" si="3"/>
        <v>0</v>
      </c>
    </row>
    <row r="8614">
      <c r="A8614" s="107"/>
      <c r="D8614" s="270"/>
      <c r="H8614" s="106" t="str">
        <f t="shared" si="1"/>
        <v/>
      </c>
      <c r="J8614" t="str">
        <f>IFERROR(__xludf.DUMMYFUNCTION("IFS(
  AND(REGEXMATCH(E8614, ""台銀籌備帳戶|玉山帳戶""), REGEXMATCH(C8614, ""薪資"")), ""分潤支出"",
  AND(REGEXMATCH(E8614, ""Ben帳戶|Elsa帳戶|Ben代墊|Ariel代墊|中信銀行共用""), REGEXMATCH(F8614, ""Ben帳戶|Elsa帳戶|Ben代墊|Ariel代墊|中信銀行共用"")), ""內部轉帳(忽略)"",
  AND(E8614&lt;&gt;"""", F8614&lt;&gt;"""", N"&amp;"OT(REGEXMATCH(C8614, ""薪資""))), ""內部轉帳(忽略)"",
  REGEXMATCH(C8614, ""薪資""), ""薪資變動(不計入)"",
  REGEXMATCH(C8614, ""押金""), ""押金往來"",
  AND(E8614&lt;&gt;"""", F8614=""""), ""真實支出"",
  AND(E8614="""", F8614&lt;&gt;""""), ""真實收入"",
  TRUE, ""其他""
)"),"其他")</f>
        <v>其他</v>
      </c>
      <c r="K8614" s="270" t="str">
        <f t="shared" si="2"/>
        <v/>
      </c>
      <c r="L8614">
        <f t="shared" si="3"/>
        <v>0</v>
      </c>
    </row>
    <row r="8615">
      <c r="A8615" s="107"/>
      <c r="D8615" s="270"/>
      <c r="H8615" s="106" t="str">
        <f t="shared" si="1"/>
        <v/>
      </c>
      <c r="J8615" t="str">
        <f>IFERROR(__xludf.DUMMYFUNCTION("IFS(
  AND(REGEXMATCH(E8615, ""台銀籌備帳戶|玉山帳戶""), REGEXMATCH(C8615, ""薪資"")), ""分潤支出"",
  AND(REGEXMATCH(E8615, ""Ben帳戶|Elsa帳戶|Ben代墊|Ariel代墊|中信銀行共用""), REGEXMATCH(F8615, ""Ben帳戶|Elsa帳戶|Ben代墊|Ariel代墊|中信銀行共用"")), ""內部轉帳(忽略)"",
  AND(E8615&lt;&gt;"""", F8615&lt;&gt;"""", N"&amp;"OT(REGEXMATCH(C8615, ""薪資""))), ""內部轉帳(忽略)"",
  REGEXMATCH(C8615, ""薪資""), ""薪資變動(不計入)"",
  REGEXMATCH(C8615, ""押金""), ""押金往來"",
  AND(E8615&lt;&gt;"""", F8615=""""), ""真實支出"",
  AND(E8615="""", F8615&lt;&gt;""""), ""真實收入"",
  TRUE, ""其他""
)"),"其他")</f>
        <v>其他</v>
      </c>
      <c r="K8615" s="270" t="str">
        <f t="shared" si="2"/>
        <v/>
      </c>
      <c r="L8615">
        <f t="shared" si="3"/>
        <v>0</v>
      </c>
    </row>
    <row r="8616">
      <c r="A8616" s="107"/>
      <c r="D8616" s="270"/>
      <c r="H8616" s="106" t="str">
        <f t="shared" si="1"/>
        <v/>
      </c>
      <c r="J8616" t="str">
        <f>IFERROR(__xludf.DUMMYFUNCTION("IFS(
  AND(REGEXMATCH(E8616, ""台銀籌備帳戶|玉山帳戶""), REGEXMATCH(C8616, ""薪資"")), ""分潤支出"",
  AND(REGEXMATCH(E8616, ""Ben帳戶|Elsa帳戶|Ben代墊|Ariel代墊|中信銀行共用""), REGEXMATCH(F8616, ""Ben帳戶|Elsa帳戶|Ben代墊|Ariel代墊|中信銀行共用"")), ""內部轉帳(忽略)"",
  AND(E8616&lt;&gt;"""", F8616&lt;&gt;"""", N"&amp;"OT(REGEXMATCH(C8616, ""薪資""))), ""內部轉帳(忽略)"",
  REGEXMATCH(C8616, ""薪資""), ""薪資變動(不計入)"",
  REGEXMATCH(C8616, ""押金""), ""押金往來"",
  AND(E8616&lt;&gt;"""", F8616=""""), ""真實支出"",
  AND(E8616="""", F8616&lt;&gt;""""), ""真實收入"",
  TRUE, ""其他""
)"),"其他")</f>
        <v>其他</v>
      </c>
      <c r="K8616" s="270" t="str">
        <f t="shared" si="2"/>
        <v/>
      </c>
      <c r="L8616">
        <f t="shared" si="3"/>
        <v>0</v>
      </c>
    </row>
    <row r="8617">
      <c r="A8617" s="107"/>
      <c r="D8617" s="270"/>
      <c r="H8617" s="106" t="str">
        <f t="shared" si="1"/>
        <v/>
      </c>
      <c r="J8617" t="str">
        <f>IFERROR(__xludf.DUMMYFUNCTION("IFS(
  AND(REGEXMATCH(E8617, ""台銀籌備帳戶|玉山帳戶""), REGEXMATCH(C8617, ""薪資"")), ""分潤支出"",
  AND(REGEXMATCH(E8617, ""Ben帳戶|Elsa帳戶|Ben代墊|Ariel代墊|中信銀行共用""), REGEXMATCH(F8617, ""Ben帳戶|Elsa帳戶|Ben代墊|Ariel代墊|中信銀行共用"")), ""內部轉帳(忽略)"",
  AND(E8617&lt;&gt;"""", F8617&lt;&gt;"""", N"&amp;"OT(REGEXMATCH(C8617, ""薪資""))), ""內部轉帳(忽略)"",
  REGEXMATCH(C8617, ""薪資""), ""薪資變動(不計入)"",
  REGEXMATCH(C8617, ""押金""), ""押金往來"",
  AND(E8617&lt;&gt;"""", F8617=""""), ""真實支出"",
  AND(E8617="""", F8617&lt;&gt;""""), ""真實收入"",
  TRUE, ""其他""
)"),"其他")</f>
        <v>其他</v>
      </c>
      <c r="K8617" s="270" t="str">
        <f t="shared" si="2"/>
        <v/>
      </c>
      <c r="L8617">
        <f t="shared" si="3"/>
        <v>0</v>
      </c>
    </row>
    <row r="8618">
      <c r="A8618" s="107"/>
      <c r="D8618" s="270"/>
      <c r="H8618" s="106" t="str">
        <f t="shared" si="1"/>
        <v/>
      </c>
      <c r="J8618" t="str">
        <f>IFERROR(__xludf.DUMMYFUNCTION("IFS(
  AND(REGEXMATCH(E8618, ""台銀籌備帳戶|玉山帳戶""), REGEXMATCH(C8618, ""薪資"")), ""分潤支出"",
  AND(REGEXMATCH(E8618, ""Ben帳戶|Elsa帳戶|Ben代墊|Ariel代墊|中信銀行共用""), REGEXMATCH(F8618, ""Ben帳戶|Elsa帳戶|Ben代墊|Ariel代墊|中信銀行共用"")), ""內部轉帳(忽略)"",
  AND(E8618&lt;&gt;"""", F8618&lt;&gt;"""", N"&amp;"OT(REGEXMATCH(C8618, ""薪資""))), ""內部轉帳(忽略)"",
  REGEXMATCH(C8618, ""薪資""), ""薪資變動(不計入)"",
  REGEXMATCH(C8618, ""押金""), ""押金往來"",
  AND(E8618&lt;&gt;"""", F8618=""""), ""真實支出"",
  AND(E8618="""", F8618&lt;&gt;""""), ""真實收入"",
  TRUE, ""其他""
)"),"其他")</f>
        <v>其他</v>
      </c>
      <c r="K8618" s="270" t="str">
        <f t="shared" si="2"/>
        <v/>
      </c>
      <c r="L8618">
        <f t="shared" si="3"/>
        <v>0</v>
      </c>
    </row>
    <row r="8619">
      <c r="A8619" s="107"/>
      <c r="D8619" s="270"/>
      <c r="H8619" s="106" t="str">
        <f t="shared" si="1"/>
        <v/>
      </c>
      <c r="J8619" t="str">
        <f>IFERROR(__xludf.DUMMYFUNCTION("IFS(
  AND(REGEXMATCH(E8619, ""台銀籌備帳戶|玉山帳戶""), REGEXMATCH(C8619, ""薪資"")), ""分潤支出"",
  AND(REGEXMATCH(E8619, ""Ben帳戶|Elsa帳戶|Ben代墊|Ariel代墊|中信銀行共用""), REGEXMATCH(F8619, ""Ben帳戶|Elsa帳戶|Ben代墊|Ariel代墊|中信銀行共用"")), ""內部轉帳(忽略)"",
  AND(E8619&lt;&gt;"""", F8619&lt;&gt;"""", N"&amp;"OT(REGEXMATCH(C8619, ""薪資""))), ""內部轉帳(忽略)"",
  REGEXMATCH(C8619, ""薪資""), ""薪資變動(不計入)"",
  REGEXMATCH(C8619, ""押金""), ""押金往來"",
  AND(E8619&lt;&gt;"""", F8619=""""), ""真實支出"",
  AND(E8619="""", F8619&lt;&gt;""""), ""真實收入"",
  TRUE, ""其他""
)"),"其他")</f>
        <v>其他</v>
      </c>
      <c r="K8619" s="270" t="str">
        <f t="shared" si="2"/>
        <v/>
      </c>
      <c r="L8619">
        <f t="shared" si="3"/>
        <v>0</v>
      </c>
    </row>
    <row r="8620">
      <c r="A8620" s="107"/>
      <c r="D8620" s="270"/>
      <c r="H8620" s="106" t="str">
        <f t="shared" si="1"/>
        <v/>
      </c>
      <c r="J8620" t="str">
        <f>IFERROR(__xludf.DUMMYFUNCTION("IFS(
  AND(REGEXMATCH(E8620, ""台銀籌備帳戶|玉山帳戶""), REGEXMATCH(C8620, ""薪資"")), ""分潤支出"",
  AND(REGEXMATCH(E8620, ""Ben帳戶|Elsa帳戶|Ben代墊|Ariel代墊|中信銀行共用""), REGEXMATCH(F8620, ""Ben帳戶|Elsa帳戶|Ben代墊|Ariel代墊|中信銀行共用"")), ""內部轉帳(忽略)"",
  AND(E8620&lt;&gt;"""", F8620&lt;&gt;"""", N"&amp;"OT(REGEXMATCH(C8620, ""薪資""))), ""內部轉帳(忽略)"",
  REGEXMATCH(C8620, ""薪資""), ""薪資變動(不計入)"",
  REGEXMATCH(C8620, ""押金""), ""押金往來"",
  AND(E8620&lt;&gt;"""", F8620=""""), ""真實支出"",
  AND(E8620="""", F8620&lt;&gt;""""), ""真實收入"",
  TRUE, ""其他""
)"),"其他")</f>
        <v>其他</v>
      </c>
      <c r="K8620" s="270" t="str">
        <f t="shared" si="2"/>
        <v/>
      </c>
      <c r="L8620">
        <f t="shared" si="3"/>
        <v>0</v>
      </c>
    </row>
    <row r="8621">
      <c r="A8621" s="107"/>
      <c r="D8621" s="270"/>
      <c r="H8621" s="106" t="str">
        <f t="shared" si="1"/>
        <v/>
      </c>
      <c r="J8621" t="str">
        <f>IFERROR(__xludf.DUMMYFUNCTION("IFS(
  AND(REGEXMATCH(E8621, ""台銀籌備帳戶|玉山帳戶""), REGEXMATCH(C8621, ""薪資"")), ""分潤支出"",
  AND(REGEXMATCH(E8621, ""Ben帳戶|Elsa帳戶|Ben代墊|Ariel代墊|中信銀行共用""), REGEXMATCH(F8621, ""Ben帳戶|Elsa帳戶|Ben代墊|Ariel代墊|中信銀行共用"")), ""內部轉帳(忽略)"",
  AND(E8621&lt;&gt;"""", F8621&lt;&gt;"""", N"&amp;"OT(REGEXMATCH(C8621, ""薪資""))), ""內部轉帳(忽略)"",
  REGEXMATCH(C8621, ""薪資""), ""薪資變動(不計入)"",
  REGEXMATCH(C8621, ""押金""), ""押金往來"",
  AND(E8621&lt;&gt;"""", F8621=""""), ""真實支出"",
  AND(E8621="""", F8621&lt;&gt;""""), ""真實收入"",
  TRUE, ""其他""
)"),"其他")</f>
        <v>其他</v>
      </c>
      <c r="K8621" s="270" t="str">
        <f t="shared" si="2"/>
        <v/>
      </c>
      <c r="L8621">
        <f t="shared" si="3"/>
        <v>0</v>
      </c>
    </row>
    <row r="8622">
      <c r="A8622" s="107"/>
      <c r="D8622" s="270"/>
      <c r="H8622" s="106" t="str">
        <f t="shared" si="1"/>
        <v/>
      </c>
      <c r="J8622" t="str">
        <f>IFERROR(__xludf.DUMMYFUNCTION("IFS(
  AND(REGEXMATCH(E8622, ""台銀籌備帳戶|玉山帳戶""), REGEXMATCH(C8622, ""薪資"")), ""分潤支出"",
  AND(REGEXMATCH(E8622, ""Ben帳戶|Elsa帳戶|Ben代墊|Ariel代墊|中信銀行共用""), REGEXMATCH(F8622, ""Ben帳戶|Elsa帳戶|Ben代墊|Ariel代墊|中信銀行共用"")), ""內部轉帳(忽略)"",
  AND(E8622&lt;&gt;"""", F8622&lt;&gt;"""", N"&amp;"OT(REGEXMATCH(C8622, ""薪資""))), ""內部轉帳(忽略)"",
  REGEXMATCH(C8622, ""薪資""), ""薪資變動(不計入)"",
  REGEXMATCH(C8622, ""押金""), ""押金往來"",
  AND(E8622&lt;&gt;"""", F8622=""""), ""真實支出"",
  AND(E8622="""", F8622&lt;&gt;""""), ""真實收入"",
  TRUE, ""其他""
)"),"其他")</f>
        <v>其他</v>
      </c>
      <c r="K8622" s="270" t="str">
        <f t="shared" si="2"/>
        <v/>
      </c>
      <c r="L8622">
        <f t="shared" si="3"/>
        <v>0</v>
      </c>
    </row>
    <row r="8623">
      <c r="A8623" s="107"/>
      <c r="D8623" s="270"/>
      <c r="H8623" s="106" t="str">
        <f t="shared" si="1"/>
        <v/>
      </c>
      <c r="J8623" t="str">
        <f>IFERROR(__xludf.DUMMYFUNCTION("IFS(
  AND(REGEXMATCH(E8623, ""台銀籌備帳戶|玉山帳戶""), REGEXMATCH(C8623, ""薪資"")), ""分潤支出"",
  AND(REGEXMATCH(E8623, ""Ben帳戶|Elsa帳戶|Ben代墊|Ariel代墊|中信銀行共用""), REGEXMATCH(F8623, ""Ben帳戶|Elsa帳戶|Ben代墊|Ariel代墊|中信銀行共用"")), ""內部轉帳(忽略)"",
  AND(E8623&lt;&gt;"""", F8623&lt;&gt;"""", N"&amp;"OT(REGEXMATCH(C8623, ""薪資""))), ""內部轉帳(忽略)"",
  REGEXMATCH(C8623, ""薪資""), ""薪資變動(不計入)"",
  REGEXMATCH(C8623, ""押金""), ""押金往來"",
  AND(E8623&lt;&gt;"""", F8623=""""), ""真實支出"",
  AND(E8623="""", F8623&lt;&gt;""""), ""真實收入"",
  TRUE, ""其他""
)"),"其他")</f>
        <v>其他</v>
      </c>
      <c r="K8623" s="270" t="str">
        <f t="shared" si="2"/>
        <v/>
      </c>
      <c r="L8623">
        <f t="shared" si="3"/>
        <v>0</v>
      </c>
    </row>
    <row r="8624">
      <c r="A8624" s="107"/>
      <c r="D8624" s="270"/>
      <c r="H8624" s="106" t="str">
        <f t="shared" si="1"/>
        <v/>
      </c>
      <c r="J8624" t="str">
        <f>IFERROR(__xludf.DUMMYFUNCTION("IFS(
  AND(REGEXMATCH(E8624, ""台銀籌備帳戶|玉山帳戶""), REGEXMATCH(C8624, ""薪資"")), ""分潤支出"",
  AND(REGEXMATCH(E8624, ""Ben帳戶|Elsa帳戶|Ben代墊|Ariel代墊|中信銀行共用""), REGEXMATCH(F8624, ""Ben帳戶|Elsa帳戶|Ben代墊|Ariel代墊|中信銀行共用"")), ""內部轉帳(忽略)"",
  AND(E8624&lt;&gt;"""", F8624&lt;&gt;"""", N"&amp;"OT(REGEXMATCH(C8624, ""薪資""))), ""內部轉帳(忽略)"",
  REGEXMATCH(C8624, ""薪資""), ""薪資變動(不計入)"",
  REGEXMATCH(C8624, ""押金""), ""押金往來"",
  AND(E8624&lt;&gt;"""", F8624=""""), ""真實支出"",
  AND(E8624="""", F8624&lt;&gt;""""), ""真實收入"",
  TRUE, ""其他""
)"),"其他")</f>
        <v>其他</v>
      </c>
      <c r="K8624" s="270" t="str">
        <f t="shared" si="2"/>
        <v/>
      </c>
      <c r="L8624">
        <f t="shared" si="3"/>
        <v>0</v>
      </c>
    </row>
    <row r="8625">
      <c r="A8625" s="107"/>
      <c r="D8625" s="270"/>
      <c r="H8625" s="106" t="str">
        <f t="shared" si="1"/>
        <v/>
      </c>
      <c r="J8625" t="str">
        <f>IFERROR(__xludf.DUMMYFUNCTION("IFS(
  AND(REGEXMATCH(E8625, ""台銀籌備帳戶|玉山帳戶""), REGEXMATCH(C8625, ""薪資"")), ""分潤支出"",
  AND(REGEXMATCH(E8625, ""Ben帳戶|Elsa帳戶|Ben代墊|Ariel代墊|中信銀行共用""), REGEXMATCH(F8625, ""Ben帳戶|Elsa帳戶|Ben代墊|Ariel代墊|中信銀行共用"")), ""內部轉帳(忽略)"",
  AND(E8625&lt;&gt;"""", F8625&lt;&gt;"""", N"&amp;"OT(REGEXMATCH(C8625, ""薪資""))), ""內部轉帳(忽略)"",
  REGEXMATCH(C8625, ""薪資""), ""薪資變動(不計入)"",
  REGEXMATCH(C8625, ""押金""), ""押金往來"",
  AND(E8625&lt;&gt;"""", F8625=""""), ""真實支出"",
  AND(E8625="""", F8625&lt;&gt;""""), ""真實收入"",
  TRUE, ""其他""
)"),"其他")</f>
        <v>其他</v>
      </c>
      <c r="K8625" s="270" t="str">
        <f t="shared" si="2"/>
        <v/>
      </c>
      <c r="L8625">
        <f t="shared" si="3"/>
        <v>0</v>
      </c>
    </row>
    <row r="8626">
      <c r="A8626" s="107"/>
      <c r="D8626" s="270"/>
      <c r="H8626" s="106" t="str">
        <f t="shared" si="1"/>
        <v/>
      </c>
      <c r="J8626" t="str">
        <f>IFERROR(__xludf.DUMMYFUNCTION("IFS(
  AND(REGEXMATCH(E8626, ""台銀籌備帳戶|玉山帳戶""), REGEXMATCH(C8626, ""薪資"")), ""分潤支出"",
  AND(REGEXMATCH(E8626, ""Ben帳戶|Elsa帳戶|Ben代墊|Ariel代墊|中信銀行共用""), REGEXMATCH(F8626, ""Ben帳戶|Elsa帳戶|Ben代墊|Ariel代墊|中信銀行共用"")), ""內部轉帳(忽略)"",
  AND(E8626&lt;&gt;"""", F8626&lt;&gt;"""", N"&amp;"OT(REGEXMATCH(C8626, ""薪資""))), ""內部轉帳(忽略)"",
  REGEXMATCH(C8626, ""薪資""), ""薪資變動(不計入)"",
  REGEXMATCH(C8626, ""押金""), ""押金往來"",
  AND(E8626&lt;&gt;"""", F8626=""""), ""真實支出"",
  AND(E8626="""", F8626&lt;&gt;""""), ""真實收入"",
  TRUE, ""其他""
)"),"其他")</f>
        <v>其他</v>
      </c>
      <c r="K8626" s="270" t="str">
        <f t="shared" si="2"/>
        <v/>
      </c>
      <c r="L8626">
        <f t="shared" si="3"/>
        <v>0</v>
      </c>
    </row>
    <row r="8627">
      <c r="A8627" s="107"/>
      <c r="D8627" s="270"/>
      <c r="H8627" s="106" t="str">
        <f t="shared" si="1"/>
        <v/>
      </c>
      <c r="J8627" t="str">
        <f>IFERROR(__xludf.DUMMYFUNCTION("IFS(
  AND(REGEXMATCH(E8627, ""台銀籌備帳戶|玉山帳戶""), REGEXMATCH(C8627, ""薪資"")), ""分潤支出"",
  AND(REGEXMATCH(E8627, ""Ben帳戶|Elsa帳戶|Ben代墊|Ariel代墊|中信銀行共用""), REGEXMATCH(F8627, ""Ben帳戶|Elsa帳戶|Ben代墊|Ariel代墊|中信銀行共用"")), ""內部轉帳(忽略)"",
  AND(E8627&lt;&gt;"""", F8627&lt;&gt;"""", N"&amp;"OT(REGEXMATCH(C8627, ""薪資""))), ""內部轉帳(忽略)"",
  REGEXMATCH(C8627, ""薪資""), ""薪資變動(不計入)"",
  REGEXMATCH(C8627, ""押金""), ""押金往來"",
  AND(E8627&lt;&gt;"""", F8627=""""), ""真實支出"",
  AND(E8627="""", F8627&lt;&gt;""""), ""真實收入"",
  TRUE, ""其他""
)"),"其他")</f>
        <v>其他</v>
      </c>
      <c r="K8627" s="270" t="str">
        <f t="shared" si="2"/>
        <v/>
      </c>
      <c r="L8627">
        <f t="shared" si="3"/>
        <v>0</v>
      </c>
    </row>
    <row r="8628">
      <c r="A8628" s="107"/>
      <c r="D8628" s="270"/>
      <c r="H8628" s="106" t="str">
        <f t="shared" si="1"/>
        <v/>
      </c>
      <c r="J8628" t="str">
        <f>IFERROR(__xludf.DUMMYFUNCTION("IFS(
  AND(REGEXMATCH(E8628, ""台銀籌備帳戶|玉山帳戶""), REGEXMATCH(C8628, ""薪資"")), ""分潤支出"",
  AND(REGEXMATCH(E8628, ""Ben帳戶|Elsa帳戶|Ben代墊|Ariel代墊|中信銀行共用""), REGEXMATCH(F8628, ""Ben帳戶|Elsa帳戶|Ben代墊|Ariel代墊|中信銀行共用"")), ""內部轉帳(忽略)"",
  AND(E8628&lt;&gt;"""", F8628&lt;&gt;"""", N"&amp;"OT(REGEXMATCH(C8628, ""薪資""))), ""內部轉帳(忽略)"",
  REGEXMATCH(C8628, ""薪資""), ""薪資變動(不計入)"",
  REGEXMATCH(C8628, ""押金""), ""押金往來"",
  AND(E8628&lt;&gt;"""", F8628=""""), ""真實支出"",
  AND(E8628="""", F8628&lt;&gt;""""), ""真實收入"",
  TRUE, ""其他""
)"),"其他")</f>
        <v>其他</v>
      </c>
      <c r="K8628" s="270" t="str">
        <f t="shared" si="2"/>
        <v/>
      </c>
      <c r="L8628">
        <f t="shared" si="3"/>
        <v>0</v>
      </c>
    </row>
    <row r="8629">
      <c r="A8629" s="107"/>
      <c r="D8629" s="270"/>
      <c r="H8629" s="106" t="str">
        <f t="shared" si="1"/>
        <v/>
      </c>
      <c r="J8629" t="str">
        <f>IFERROR(__xludf.DUMMYFUNCTION("IFS(
  AND(REGEXMATCH(E8629, ""台銀籌備帳戶|玉山帳戶""), REGEXMATCH(C8629, ""薪資"")), ""分潤支出"",
  AND(REGEXMATCH(E8629, ""Ben帳戶|Elsa帳戶|Ben代墊|Ariel代墊|中信銀行共用""), REGEXMATCH(F8629, ""Ben帳戶|Elsa帳戶|Ben代墊|Ariel代墊|中信銀行共用"")), ""內部轉帳(忽略)"",
  AND(E8629&lt;&gt;"""", F8629&lt;&gt;"""", N"&amp;"OT(REGEXMATCH(C8629, ""薪資""))), ""內部轉帳(忽略)"",
  REGEXMATCH(C8629, ""薪資""), ""薪資變動(不計入)"",
  REGEXMATCH(C8629, ""押金""), ""押金往來"",
  AND(E8629&lt;&gt;"""", F8629=""""), ""真實支出"",
  AND(E8629="""", F8629&lt;&gt;""""), ""真實收入"",
  TRUE, ""其他""
)"),"其他")</f>
        <v>其他</v>
      </c>
      <c r="K8629" s="270" t="str">
        <f t="shared" si="2"/>
        <v/>
      </c>
      <c r="L8629">
        <f t="shared" si="3"/>
        <v>0</v>
      </c>
    </row>
    <row r="8630">
      <c r="A8630" s="107"/>
      <c r="D8630" s="270"/>
      <c r="H8630" s="106" t="str">
        <f t="shared" si="1"/>
        <v/>
      </c>
      <c r="J8630" t="str">
        <f>IFERROR(__xludf.DUMMYFUNCTION("IFS(
  AND(REGEXMATCH(E8630, ""台銀籌備帳戶|玉山帳戶""), REGEXMATCH(C8630, ""薪資"")), ""分潤支出"",
  AND(REGEXMATCH(E8630, ""Ben帳戶|Elsa帳戶|Ben代墊|Ariel代墊|中信銀行共用""), REGEXMATCH(F8630, ""Ben帳戶|Elsa帳戶|Ben代墊|Ariel代墊|中信銀行共用"")), ""內部轉帳(忽略)"",
  AND(E8630&lt;&gt;"""", F8630&lt;&gt;"""", N"&amp;"OT(REGEXMATCH(C8630, ""薪資""))), ""內部轉帳(忽略)"",
  REGEXMATCH(C8630, ""薪資""), ""薪資變動(不計入)"",
  REGEXMATCH(C8630, ""押金""), ""押金往來"",
  AND(E8630&lt;&gt;"""", F8630=""""), ""真實支出"",
  AND(E8630="""", F8630&lt;&gt;""""), ""真實收入"",
  TRUE, ""其他""
)"),"其他")</f>
        <v>其他</v>
      </c>
      <c r="K8630" s="270" t="str">
        <f t="shared" si="2"/>
        <v/>
      </c>
      <c r="L8630">
        <f t="shared" si="3"/>
        <v>0</v>
      </c>
    </row>
    <row r="8631">
      <c r="A8631" s="107"/>
      <c r="D8631" s="270"/>
      <c r="H8631" s="106" t="str">
        <f t="shared" si="1"/>
        <v/>
      </c>
      <c r="J8631" t="str">
        <f>IFERROR(__xludf.DUMMYFUNCTION("IFS(
  AND(REGEXMATCH(E8631, ""台銀籌備帳戶|玉山帳戶""), REGEXMATCH(C8631, ""薪資"")), ""分潤支出"",
  AND(REGEXMATCH(E8631, ""Ben帳戶|Elsa帳戶|Ben代墊|Ariel代墊|中信銀行共用""), REGEXMATCH(F8631, ""Ben帳戶|Elsa帳戶|Ben代墊|Ariel代墊|中信銀行共用"")), ""內部轉帳(忽略)"",
  AND(E8631&lt;&gt;"""", F8631&lt;&gt;"""", N"&amp;"OT(REGEXMATCH(C8631, ""薪資""))), ""內部轉帳(忽略)"",
  REGEXMATCH(C8631, ""薪資""), ""薪資變動(不計入)"",
  REGEXMATCH(C8631, ""押金""), ""押金往來"",
  AND(E8631&lt;&gt;"""", F8631=""""), ""真實支出"",
  AND(E8631="""", F8631&lt;&gt;""""), ""真實收入"",
  TRUE, ""其他""
)"),"其他")</f>
        <v>其他</v>
      </c>
      <c r="K8631" s="270" t="str">
        <f t="shared" si="2"/>
        <v/>
      </c>
      <c r="L8631">
        <f t="shared" si="3"/>
        <v>0</v>
      </c>
    </row>
    <row r="8632">
      <c r="A8632" s="107"/>
      <c r="D8632" s="270"/>
      <c r="H8632" s="106" t="str">
        <f t="shared" si="1"/>
        <v/>
      </c>
      <c r="J8632" t="str">
        <f>IFERROR(__xludf.DUMMYFUNCTION("IFS(
  AND(REGEXMATCH(E8632, ""台銀籌備帳戶|玉山帳戶""), REGEXMATCH(C8632, ""薪資"")), ""分潤支出"",
  AND(REGEXMATCH(E8632, ""Ben帳戶|Elsa帳戶|Ben代墊|Ariel代墊|中信銀行共用""), REGEXMATCH(F8632, ""Ben帳戶|Elsa帳戶|Ben代墊|Ariel代墊|中信銀行共用"")), ""內部轉帳(忽略)"",
  AND(E8632&lt;&gt;"""", F8632&lt;&gt;"""", N"&amp;"OT(REGEXMATCH(C8632, ""薪資""))), ""內部轉帳(忽略)"",
  REGEXMATCH(C8632, ""薪資""), ""薪資變動(不計入)"",
  REGEXMATCH(C8632, ""押金""), ""押金往來"",
  AND(E8632&lt;&gt;"""", F8632=""""), ""真實支出"",
  AND(E8632="""", F8632&lt;&gt;""""), ""真實收入"",
  TRUE, ""其他""
)"),"其他")</f>
        <v>其他</v>
      </c>
      <c r="K8632" s="270" t="str">
        <f t="shared" si="2"/>
        <v/>
      </c>
      <c r="L8632">
        <f t="shared" si="3"/>
        <v>0</v>
      </c>
    </row>
    <row r="8633">
      <c r="A8633" s="107"/>
      <c r="D8633" s="270"/>
      <c r="H8633" s="106" t="str">
        <f t="shared" si="1"/>
        <v/>
      </c>
      <c r="J8633" t="str">
        <f>IFERROR(__xludf.DUMMYFUNCTION("IFS(
  AND(REGEXMATCH(E8633, ""台銀籌備帳戶|玉山帳戶""), REGEXMATCH(C8633, ""薪資"")), ""分潤支出"",
  AND(REGEXMATCH(E8633, ""Ben帳戶|Elsa帳戶|Ben代墊|Ariel代墊|中信銀行共用""), REGEXMATCH(F8633, ""Ben帳戶|Elsa帳戶|Ben代墊|Ariel代墊|中信銀行共用"")), ""內部轉帳(忽略)"",
  AND(E8633&lt;&gt;"""", F8633&lt;&gt;"""", N"&amp;"OT(REGEXMATCH(C8633, ""薪資""))), ""內部轉帳(忽略)"",
  REGEXMATCH(C8633, ""薪資""), ""薪資變動(不計入)"",
  REGEXMATCH(C8633, ""押金""), ""押金往來"",
  AND(E8633&lt;&gt;"""", F8633=""""), ""真實支出"",
  AND(E8633="""", F8633&lt;&gt;""""), ""真實收入"",
  TRUE, ""其他""
)"),"其他")</f>
        <v>其他</v>
      </c>
      <c r="K8633" s="270" t="str">
        <f t="shared" si="2"/>
        <v/>
      </c>
      <c r="L8633">
        <f t="shared" si="3"/>
        <v>0</v>
      </c>
    </row>
    <row r="8634">
      <c r="A8634" s="107"/>
      <c r="D8634" s="270"/>
      <c r="H8634" s="106" t="str">
        <f t="shared" si="1"/>
        <v/>
      </c>
      <c r="J8634" t="str">
        <f>IFERROR(__xludf.DUMMYFUNCTION("IFS(
  AND(REGEXMATCH(E8634, ""台銀籌備帳戶|玉山帳戶""), REGEXMATCH(C8634, ""薪資"")), ""分潤支出"",
  AND(REGEXMATCH(E8634, ""Ben帳戶|Elsa帳戶|Ben代墊|Ariel代墊|中信銀行共用""), REGEXMATCH(F8634, ""Ben帳戶|Elsa帳戶|Ben代墊|Ariel代墊|中信銀行共用"")), ""內部轉帳(忽略)"",
  AND(E8634&lt;&gt;"""", F8634&lt;&gt;"""", N"&amp;"OT(REGEXMATCH(C8634, ""薪資""))), ""內部轉帳(忽略)"",
  REGEXMATCH(C8634, ""薪資""), ""薪資變動(不計入)"",
  REGEXMATCH(C8634, ""押金""), ""押金往來"",
  AND(E8634&lt;&gt;"""", F8634=""""), ""真實支出"",
  AND(E8634="""", F8634&lt;&gt;""""), ""真實收入"",
  TRUE, ""其他""
)"),"其他")</f>
        <v>其他</v>
      </c>
      <c r="K8634" s="270" t="str">
        <f t="shared" si="2"/>
        <v/>
      </c>
      <c r="L8634">
        <f t="shared" si="3"/>
        <v>0</v>
      </c>
    </row>
    <row r="8635">
      <c r="A8635" s="107"/>
      <c r="D8635" s="270"/>
      <c r="H8635" s="106" t="str">
        <f t="shared" si="1"/>
        <v/>
      </c>
      <c r="J8635" t="str">
        <f>IFERROR(__xludf.DUMMYFUNCTION("IFS(
  AND(REGEXMATCH(E8635, ""台銀籌備帳戶|玉山帳戶""), REGEXMATCH(C8635, ""薪資"")), ""分潤支出"",
  AND(REGEXMATCH(E8635, ""Ben帳戶|Elsa帳戶|Ben代墊|Ariel代墊|中信銀行共用""), REGEXMATCH(F8635, ""Ben帳戶|Elsa帳戶|Ben代墊|Ariel代墊|中信銀行共用"")), ""內部轉帳(忽略)"",
  AND(E8635&lt;&gt;"""", F8635&lt;&gt;"""", N"&amp;"OT(REGEXMATCH(C8635, ""薪資""))), ""內部轉帳(忽略)"",
  REGEXMATCH(C8635, ""薪資""), ""薪資變動(不計入)"",
  REGEXMATCH(C8635, ""押金""), ""押金往來"",
  AND(E8635&lt;&gt;"""", F8635=""""), ""真實支出"",
  AND(E8635="""", F8635&lt;&gt;""""), ""真實收入"",
  TRUE, ""其他""
)"),"其他")</f>
        <v>其他</v>
      </c>
      <c r="K8635" s="270" t="str">
        <f t="shared" si="2"/>
        <v/>
      </c>
      <c r="L8635">
        <f t="shared" si="3"/>
        <v>0</v>
      </c>
    </row>
    <row r="8636">
      <c r="A8636" s="107"/>
      <c r="D8636" s="270"/>
      <c r="H8636" s="106" t="str">
        <f t="shared" si="1"/>
        <v/>
      </c>
      <c r="J8636" t="str">
        <f>IFERROR(__xludf.DUMMYFUNCTION("IFS(
  AND(REGEXMATCH(E8636, ""台銀籌備帳戶|玉山帳戶""), REGEXMATCH(C8636, ""薪資"")), ""分潤支出"",
  AND(REGEXMATCH(E8636, ""Ben帳戶|Elsa帳戶|Ben代墊|Ariel代墊|中信銀行共用""), REGEXMATCH(F8636, ""Ben帳戶|Elsa帳戶|Ben代墊|Ariel代墊|中信銀行共用"")), ""內部轉帳(忽略)"",
  AND(E8636&lt;&gt;"""", F8636&lt;&gt;"""", N"&amp;"OT(REGEXMATCH(C8636, ""薪資""))), ""內部轉帳(忽略)"",
  REGEXMATCH(C8636, ""薪資""), ""薪資變動(不計入)"",
  REGEXMATCH(C8636, ""押金""), ""押金往來"",
  AND(E8636&lt;&gt;"""", F8636=""""), ""真實支出"",
  AND(E8636="""", F8636&lt;&gt;""""), ""真實收入"",
  TRUE, ""其他""
)"),"其他")</f>
        <v>其他</v>
      </c>
      <c r="K8636" s="270" t="str">
        <f t="shared" si="2"/>
        <v/>
      </c>
      <c r="L8636">
        <f t="shared" si="3"/>
        <v>0</v>
      </c>
    </row>
    <row r="8637">
      <c r="A8637" s="107"/>
      <c r="D8637" s="270"/>
      <c r="H8637" s="106" t="str">
        <f t="shared" si="1"/>
        <v/>
      </c>
      <c r="J8637" t="str">
        <f>IFERROR(__xludf.DUMMYFUNCTION("IFS(
  AND(REGEXMATCH(E8637, ""台銀籌備帳戶|玉山帳戶""), REGEXMATCH(C8637, ""薪資"")), ""分潤支出"",
  AND(REGEXMATCH(E8637, ""Ben帳戶|Elsa帳戶|Ben代墊|Ariel代墊|中信銀行共用""), REGEXMATCH(F8637, ""Ben帳戶|Elsa帳戶|Ben代墊|Ariel代墊|中信銀行共用"")), ""內部轉帳(忽略)"",
  AND(E8637&lt;&gt;"""", F8637&lt;&gt;"""", N"&amp;"OT(REGEXMATCH(C8637, ""薪資""))), ""內部轉帳(忽略)"",
  REGEXMATCH(C8637, ""薪資""), ""薪資變動(不計入)"",
  REGEXMATCH(C8637, ""押金""), ""押金往來"",
  AND(E8637&lt;&gt;"""", F8637=""""), ""真實支出"",
  AND(E8637="""", F8637&lt;&gt;""""), ""真實收入"",
  TRUE, ""其他""
)"),"其他")</f>
        <v>其他</v>
      </c>
      <c r="K8637" s="270" t="str">
        <f t="shared" si="2"/>
        <v/>
      </c>
      <c r="L8637">
        <f t="shared" si="3"/>
        <v>0</v>
      </c>
    </row>
    <row r="8638">
      <c r="A8638" s="107"/>
      <c r="D8638" s="270"/>
      <c r="H8638" s="106" t="str">
        <f t="shared" si="1"/>
        <v/>
      </c>
      <c r="J8638" t="str">
        <f>IFERROR(__xludf.DUMMYFUNCTION("IFS(
  AND(REGEXMATCH(E8638, ""台銀籌備帳戶|玉山帳戶""), REGEXMATCH(C8638, ""薪資"")), ""分潤支出"",
  AND(REGEXMATCH(E8638, ""Ben帳戶|Elsa帳戶|Ben代墊|Ariel代墊|中信銀行共用""), REGEXMATCH(F8638, ""Ben帳戶|Elsa帳戶|Ben代墊|Ariel代墊|中信銀行共用"")), ""內部轉帳(忽略)"",
  AND(E8638&lt;&gt;"""", F8638&lt;&gt;"""", N"&amp;"OT(REGEXMATCH(C8638, ""薪資""))), ""內部轉帳(忽略)"",
  REGEXMATCH(C8638, ""薪資""), ""薪資變動(不計入)"",
  REGEXMATCH(C8638, ""押金""), ""押金往來"",
  AND(E8638&lt;&gt;"""", F8638=""""), ""真實支出"",
  AND(E8638="""", F8638&lt;&gt;""""), ""真實收入"",
  TRUE, ""其他""
)"),"其他")</f>
        <v>其他</v>
      </c>
      <c r="K8638" s="270" t="str">
        <f t="shared" si="2"/>
        <v/>
      </c>
      <c r="L8638">
        <f t="shared" si="3"/>
        <v>0</v>
      </c>
    </row>
    <row r="8639">
      <c r="A8639" s="107"/>
      <c r="D8639" s="270"/>
      <c r="H8639" s="106" t="str">
        <f t="shared" si="1"/>
        <v/>
      </c>
      <c r="J8639" t="str">
        <f>IFERROR(__xludf.DUMMYFUNCTION("IFS(
  AND(REGEXMATCH(E8639, ""台銀籌備帳戶|玉山帳戶""), REGEXMATCH(C8639, ""薪資"")), ""分潤支出"",
  AND(REGEXMATCH(E8639, ""Ben帳戶|Elsa帳戶|Ben代墊|Ariel代墊|中信銀行共用""), REGEXMATCH(F8639, ""Ben帳戶|Elsa帳戶|Ben代墊|Ariel代墊|中信銀行共用"")), ""內部轉帳(忽略)"",
  AND(E8639&lt;&gt;"""", F8639&lt;&gt;"""", N"&amp;"OT(REGEXMATCH(C8639, ""薪資""))), ""內部轉帳(忽略)"",
  REGEXMATCH(C8639, ""薪資""), ""薪資變動(不計入)"",
  REGEXMATCH(C8639, ""押金""), ""押金往來"",
  AND(E8639&lt;&gt;"""", F8639=""""), ""真實支出"",
  AND(E8639="""", F8639&lt;&gt;""""), ""真實收入"",
  TRUE, ""其他""
)"),"其他")</f>
        <v>其他</v>
      </c>
      <c r="K8639" s="270" t="str">
        <f t="shared" si="2"/>
        <v/>
      </c>
      <c r="L8639">
        <f t="shared" si="3"/>
        <v>0</v>
      </c>
    </row>
    <row r="8640">
      <c r="A8640" s="107"/>
      <c r="D8640" s="270"/>
      <c r="H8640" s="106" t="str">
        <f t="shared" si="1"/>
        <v/>
      </c>
      <c r="J8640" t="str">
        <f>IFERROR(__xludf.DUMMYFUNCTION("IFS(
  AND(REGEXMATCH(E8640, ""台銀籌備帳戶|玉山帳戶""), REGEXMATCH(C8640, ""薪資"")), ""分潤支出"",
  AND(REGEXMATCH(E8640, ""Ben帳戶|Elsa帳戶|Ben代墊|Ariel代墊|中信銀行共用""), REGEXMATCH(F8640, ""Ben帳戶|Elsa帳戶|Ben代墊|Ariel代墊|中信銀行共用"")), ""內部轉帳(忽略)"",
  AND(E8640&lt;&gt;"""", F8640&lt;&gt;"""", N"&amp;"OT(REGEXMATCH(C8640, ""薪資""))), ""內部轉帳(忽略)"",
  REGEXMATCH(C8640, ""薪資""), ""薪資變動(不計入)"",
  REGEXMATCH(C8640, ""押金""), ""押金往來"",
  AND(E8640&lt;&gt;"""", F8640=""""), ""真實支出"",
  AND(E8640="""", F8640&lt;&gt;""""), ""真實收入"",
  TRUE, ""其他""
)"),"其他")</f>
        <v>其他</v>
      </c>
      <c r="K8640" s="270" t="str">
        <f t="shared" si="2"/>
        <v/>
      </c>
      <c r="L8640">
        <f t="shared" si="3"/>
        <v>0</v>
      </c>
    </row>
    <row r="8641">
      <c r="A8641" s="107"/>
      <c r="D8641" s="270"/>
      <c r="H8641" s="106" t="str">
        <f t="shared" si="1"/>
        <v/>
      </c>
      <c r="J8641" t="str">
        <f>IFERROR(__xludf.DUMMYFUNCTION("IFS(
  AND(REGEXMATCH(E8641, ""台銀籌備帳戶|玉山帳戶""), REGEXMATCH(C8641, ""薪資"")), ""分潤支出"",
  AND(REGEXMATCH(E8641, ""Ben帳戶|Elsa帳戶|Ben代墊|Ariel代墊|中信銀行共用""), REGEXMATCH(F8641, ""Ben帳戶|Elsa帳戶|Ben代墊|Ariel代墊|中信銀行共用"")), ""內部轉帳(忽略)"",
  AND(E8641&lt;&gt;"""", F8641&lt;&gt;"""", N"&amp;"OT(REGEXMATCH(C8641, ""薪資""))), ""內部轉帳(忽略)"",
  REGEXMATCH(C8641, ""薪資""), ""薪資變動(不計入)"",
  REGEXMATCH(C8641, ""押金""), ""押金往來"",
  AND(E8641&lt;&gt;"""", F8641=""""), ""真實支出"",
  AND(E8641="""", F8641&lt;&gt;""""), ""真實收入"",
  TRUE, ""其他""
)"),"其他")</f>
        <v>其他</v>
      </c>
      <c r="K8641" s="270" t="str">
        <f t="shared" si="2"/>
        <v/>
      </c>
      <c r="L8641">
        <f t="shared" si="3"/>
        <v>0</v>
      </c>
    </row>
    <row r="8642">
      <c r="A8642" s="107"/>
      <c r="D8642" s="270"/>
      <c r="H8642" s="106" t="str">
        <f t="shared" si="1"/>
        <v/>
      </c>
      <c r="J8642" t="str">
        <f>IFERROR(__xludf.DUMMYFUNCTION("IFS(
  AND(REGEXMATCH(E8642, ""台銀籌備帳戶|玉山帳戶""), REGEXMATCH(C8642, ""薪資"")), ""分潤支出"",
  AND(REGEXMATCH(E8642, ""Ben帳戶|Elsa帳戶|Ben代墊|Ariel代墊|中信銀行共用""), REGEXMATCH(F8642, ""Ben帳戶|Elsa帳戶|Ben代墊|Ariel代墊|中信銀行共用"")), ""內部轉帳(忽略)"",
  AND(E8642&lt;&gt;"""", F8642&lt;&gt;"""", N"&amp;"OT(REGEXMATCH(C8642, ""薪資""))), ""內部轉帳(忽略)"",
  REGEXMATCH(C8642, ""薪資""), ""薪資變動(不計入)"",
  REGEXMATCH(C8642, ""押金""), ""押金往來"",
  AND(E8642&lt;&gt;"""", F8642=""""), ""真實支出"",
  AND(E8642="""", F8642&lt;&gt;""""), ""真實收入"",
  TRUE, ""其他""
)"),"其他")</f>
        <v>其他</v>
      </c>
      <c r="K8642" s="270" t="str">
        <f t="shared" si="2"/>
        <v/>
      </c>
      <c r="L8642">
        <f t="shared" si="3"/>
        <v>0</v>
      </c>
    </row>
    <row r="8643">
      <c r="A8643" s="107"/>
      <c r="D8643" s="270"/>
      <c r="H8643" s="106" t="str">
        <f t="shared" si="1"/>
        <v/>
      </c>
      <c r="J8643" t="str">
        <f>IFERROR(__xludf.DUMMYFUNCTION("IFS(
  AND(REGEXMATCH(E8643, ""台銀籌備帳戶|玉山帳戶""), REGEXMATCH(C8643, ""薪資"")), ""分潤支出"",
  AND(REGEXMATCH(E8643, ""Ben帳戶|Elsa帳戶|Ben代墊|Ariel代墊|中信銀行共用""), REGEXMATCH(F8643, ""Ben帳戶|Elsa帳戶|Ben代墊|Ariel代墊|中信銀行共用"")), ""內部轉帳(忽略)"",
  AND(E8643&lt;&gt;"""", F8643&lt;&gt;"""", N"&amp;"OT(REGEXMATCH(C8643, ""薪資""))), ""內部轉帳(忽略)"",
  REGEXMATCH(C8643, ""薪資""), ""薪資變動(不計入)"",
  REGEXMATCH(C8643, ""押金""), ""押金往來"",
  AND(E8643&lt;&gt;"""", F8643=""""), ""真實支出"",
  AND(E8643="""", F8643&lt;&gt;""""), ""真實收入"",
  TRUE, ""其他""
)"),"其他")</f>
        <v>其他</v>
      </c>
      <c r="K8643" s="270" t="str">
        <f t="shared" si="2"/>
        <v/>
      </c>
      <c r="L8643">
        <f t="shared" si="3"/>
        <v>0</v>
      </c>
    </row>
    <row r="8644">
      <c r="A8644" s="107"/>
      <c r="D8644" s="270"/>
      <c r="H8644" s="106" t="str">
        <f t="shared" si="1"/>
        <v/>
      </c>
      <c r="J8644" t="str">
        <f>IFERROR(__xludf.DUMMYFUNCTION("IFS(
  AND(REGEXMATCH(E8644, ""台銀籌備帳戶|玉山帳戶""), REGEXMATCH(C8644, ""薪資"")), ""分潤支出"",
  AND(REGEXMATCH(E8644, ""Ben帳戶|Elsa帳戶|Ben代墊|Ariel代墊|中信銀行共用""), REGEXMATCH(F8644, ""Ben帳戶|Elsa帳戶|Ben代墊|Ariel代墊|中信銀行共用"")), ""內部轉帳(忽略)"",
  AND(E8644&lt;&gt;"""", F8644&lt;&gt;"""", N"&amp;"OT(REGEXMATCH(C8644, ""薪資""))), ""內部轉帳(忽略)"",
  REGEXMATCH(C8644, ""薪資""), ""薪資變動(不計入)"",
  REGEXMATCH(C8644, ""押金""), ""押金往來"",
  AND(E8644&lt;&gt;"""", F8644=""""), ""真實支出"",
  AND(E8644="""", F8644&lt;&gt;""""), ""真實收入"",
  TRUE, ""其他""
)"),"其他")</f>
        <v>其他</v>
      </c>
      <c r="K8644" s="270" t="str">
        <f t="shared" si="2"/>
        <v/>
      </c>
      <c r="L8644">
        <f t="shared" si="3"/>
        <v>0</v>
      </c>
    </row>
    <row r="8645">
      <c r="A8645" s="107"/>
      <c r="D8645" s="270"/>
      <c r="H8645" s="106" t="str">
        <f t="shared" si="1"/>
        <v/>
      </c>
      <c r="J8645" t="str">
        <f>IFERROR(__xludf.DUMMYFUNCTION("IFS(
  AND(REGEXMATCH(E8645, ""台銀籌備帳戶|玉山帳戶""), REGEXMATCH(C8645, ""薪資"")), ""分潤支出"",
  AND(REGEXMATCH(E8645, ""Ben帳戶|Elsa帳戶|Ben代墊|Ariel代墊|中信銀行共用""), REGEXMATCH(F8645, ""Ben帳戶|Elsa帳戶|Ben代墊|Ariel代墊|中信銀行共用"")), ""內部轉帳(忽略)"",
  AND(E8645&lt;&gt;"""", F8645&lt;&gt;"""", N"&amp;"OT(REGEXMATCH(C8645, ""薪資""))), ""內部轉帳(忽略)"",
  REGEXMATCH(C8645, ""薪資""), ""薪資變動(不計入)"",
  REGEXMATCH(C8645, ""押金""), ""押金往來"",
  AND(E8645&lt;&gt;"""", F8645=""""), ""真實支出"",
  AND(E8645="""", F8645&lt;&gt;""""), ""真實收入"",
  TRUE, ""其他""
)"),"其他")</f>
        <v>其他</v>
      </c>
      <c r="K8645" s="270" t="str">
        <f t="shared" si="2"/>
        <v/>
      </c>
      <c r="L8645">
        <f t="shared" si="3"/>
        <v>0</v>
      </c>
    </row>
    <row r="8646">
      <c r="A8646" s="107"/>
      <c r="D8646" s="270"/>
      <c r="H8646" s="106" t="str">
        <f t="shared" si="1"/>
        <v/>
      </c>
      <c r="J8646" t="str">
        <f>IFERROR(__xludf.DUMMYFUNCTION("IFS(
  AND(REGEXMATCH(E8646, ""台銀籌備帳戶|玉山帳戶""), REGEXMATCH(C8646, ""薪資"")), ""分潤支出"",
  AND(REGEXMATCH(E8646, ""Ben帳戶|Elsa帳戶|Ben代墊|Ariel代墊|中信銀行共用""), REGEXMATCH(F8646, ""Ben帳戶|Elsa帳戶|Ben代墊|Ariel代墊|中信銀行共用"")), ""內部轉帳(忽略)"",
  AND(E8646&lt;&gt;"""", F8646&lt;&gt;"""", N"&amp;"OT(REGEXMATCH(C8646, ""薪資""))), ""內部轉帳(忽略)"",
  REGEXMATCH(C8646, ""薪資""), ""薪資變動(不計入)"",
  REGEXMATCH(C8646, ""押金""), ""押金往來"",
  AND(E8646&lt;&gt;"""", F8646=""""), ""真實支出"",
  AND(E8646="""", F8646&lt;&gt;""""), ""真實收入"",
  TRUE, ""其他""
)"),"其他")</f>
        <v>其他</v>
      </c>
      <c r="K8646" s="270" t="str">
        <f t="shared" si="2"/>
        <v/>
      </c>
      <c r="L8646">
        <f t="shared" si="3"/>
        <v>0</v>
      </c>
    </row>
    <row r="8647">
      <c r="A8647" s="107"/>
      <c r="D8647" s="270"/>
      <c r="H8647" s="106" t="str">
        <f t="shared" si="1"/>
        <v/>
      </c>
      <c r="J8647" t="str">
        <f>IFERROR(__xludf.DUMMYFUNCTION("IFS(
  AND(REGEXMATCH(E8647, ""台銀籌備帳戶|玉山帳戶""), REGEXMATCH(C8647, ""薪資"")), ""分潤支出"",
  AND(REGEXMATCH(E8647, ""Ben帳戶|Elsa帳戶|Ben代墊|Ariel代墊|中信銀行共用""), REGEXMATCH(F8647, ""Ben帳戶|Elsa帳戶|Ben代墊|Ariel代墊|中信銀行共用"")), ""內部轉帳(忽略)"",
  AND(E8647&lt;&gt;"""", F8647&lt;&gt;"""", N"&amp;"OT(REGEXMATCH(C8647, ""薪資""))), ""內部轉帳(忽略)"",
  REGEXMATCH(C8647, ""薪資""), ""薪資變動(不計入)"",
  REGEXMATCH(C8647, ""押金""), ""押金往來"",
  AND(E8647&lt;&gt;"""", F8647=""""), ""真實支出"",
  AND(E8647="""", F8647&lt;&gt;""""), ""真實收入"",
  TRUE, ""其他""
)"),"其他")</f>
        <v>其他</v>
      </c>
      <c r="K8647" s="270" t="str">
        <f t="shared" si="2"/>
        <v/>
      </c>
      <c r="L8647">
        <f t="shared" si="3"/>
        <v>0</v>
      </c>
    </row>
    <row r="8648">
      <c r="A8648" s="107"/>
      <c r="D8648" s="270"/>
      <c r="H8648" s="106" t="str">
        <f t="shared" si="1"/>
        <v/>
      </c>
      <c r="J8648" t="str">
        <f>IFERROR(__xludf.DUMMYFUNCTION("IFS(
  AND(REGEXMATCH(E8648, ""台銀籌備帳戶|玉山帳戶""), REGEXMATCH(C8648, ""薪資"")), ""分潤支出"",
  AND(REGEXMATCH(E8648, ""Ben帳戶|Elsa帳戶|Ben代墊|Ariel代墊|中信銀行共用""), REGEXMATCH(F8648, ""Ben帳戶|Elsa帳戶|Ben代墊|Ariel代墊|中信銀行共用"")), ""內部轉帳(忽略)"",
  AND(E8648&lt;&gt;"""", F8648&lt;&gt;"""", N"&amp;"OT(REGEXMATCH(C8648, ""薪資""))), ""內部轉帳(忽略)"",
  REGEXMATCH(C8648, ""薪資""), ""薪資變動(不計入)"",
  REGEXMATCH(C8648, ""押金""), ""押金往來"",
  AND(E8648&lt;&gt;"""", F8648=""""), ""真實支出"",
  AND(E8648="""", F8648&lt;&gt;""""), ""真實收入"",
  TRUE, ""其他""
)"),"其他")</f>
        <v>其他</v>
      </c>
      <c r="K8648" s="270" t="str">
        <f t="shared" si="2"/>
        <v/>
      </c>
      <c r="L8648">
        <f t="shared" si="3"/>
        <v>0</v>
      </c>
    </row>
    <row r="8649">
      <c r="A8649" s="107"/>
      <c r="D8649" s="270"/>
      <c r="H8649" s="106" t="str">
        <f t="shared" si="1"/>
        <v/>
      </c>
      <c r="J8649" t="str">
        <f>IFERROR(__xludf.DUMMYFUNCTION("IFS(
  AND(REGEXMATCH(E8649, ""台銀籌備帳戶|玉山帳戶""), REGEXMATCH(C8649, ""薪資"")), ""分潤支出"",
  AND(REGEXMATCH(E8649, ""Ben帳戶|Elsa帳戶|Ben代墊|Ariel代墊|中信銀行共用""), REGEXMATCH(F8649, ""Ben帳戶|Elsa帳戶|Ben代墊|Ariel代墊|中信銀行共用"")), ""內部轉帳(忽略)"",
  AND(E8649&lt;&gt;"""", F8649&lt;&gt;"""", N"&amp;"OT(REGEXMATCH(C8649, ""薪資""))), ""內部轉帳(忽略)"",
  REGEXMATCH(C8649, ""薪資""), ""薪資變動(不計入)"",
  REGEXMATCH(C8649, ""押金""), ""押金往來"",
  AND(E8649&lt;&gt;"""", F8649=""""), ""真實支出"",
  AND(E8649="""", F8649&lt;&gt;""""), ""真實收入"",
  TRUE, ""其他""
)"),"其他")</f>
        <v>其他</v>
      </c>
      <c r="K8649" s="270" t="str">
        <f t="shared" si="2"/>
        <v/>
      </c>
      <c r="L8649">
        <f t="shared" si="3"/>
        <v>0</v>
      </c>
    </row>
    <row r="8650">
      <c r="A8650" s="107"/>
      <c r="D8650" s="270"/>
      <c r="H8650" s="106" t="str">
        <f t="shared" si="1"/>
        <v/>
      </c>
      <c r="J8650" t="str">
        <f>IFERROR(__xludf.DUMMYFUNCTION("IFS(
  AND(REGEXMATCH(E8650, ""台銀籌備帳戶|玉山帳戶""), REGEXMATCH(C8650, ""薪資"")), ""分潤支出"",
  AND(REGEXMATCH(E8650, ""Ben帳戶|Elsa帳戶|Ben代墊|Ariel代墊|中信銀行共用""), REGEXMATCH(F8650, ""Ben帳戶|Elsa帳戶|Ben代墊|Ariel代墊|中信銀行共用"")), ""內部轉帳(忽略)"",
  AND(E8650&lt;&gt;"""", F8650&lt;&gt;"""", N"&amp;"OT(REGEXMATCH(C8650, ""薪資""))), ""內部轉帳(忽略)"",
  REGEXMATCH(C8650, ""薪資""), ""薪資變動(不計入)"",
  REGEXMATCH(C8650, ""押金""), ""押金往來"",
  AND(E8650&lt;&gt;"""", F8650=""""), ""真實支出"",
  AND(E8650="""", F8650&lt;&gt;""""), ""真實收入"",
  TRUE, ""其他""
)"),"其他")</f>
        <v>其他</v>
      </c>
      <c r="K8650" s="270" t="str">
        <f t="shared" si="2"/>
        <v/>
      </c>
      <c r="L8650">
        <f t="shared" si="3"/>
        <v>0</v>
      </c>
    </row>
    <row r="8651">
      <c r="A8651" s="107"/>
      <c r="D8651" s="270"/>
      <c r="H8651" s="106" t="str">
        <f t="shared" si="1"/>
        <v/>
      </c>
      <c r="J8651" t="str">
        <f>IFERROR(__xludf.DUMMYFUNCTION("IFS(
  AND(REGEXMATCH(E8651, ""台銀籌備帳戶|玉山帳戶""), REGEXMATCH(C8651, ""薪資"")), ""分潤支出"",
  AND(REGEXMATCH(E8651, ""Ben帳戶|Elsa帳戶|Ben代墊|Ariel代墊|中信銀行共用""), REGEXMATCH(F8651, ""Ben帳戶|Elsa帳戶|Ben代墊|Ariel代墊|中信銀行共用"")), ""內部轉帳(忽略)"",
  AND(E8651&lt;&gt;"""", F8651&lt;&gt;"""", N"&amp;"OT(REGEXMATCH(C8651, ""薪資""))), ""內部轉帳(忽略)"",
  REGEXMATCH(C8651, ""薪資""), ""薪資變動(不計入)"",
  REGEXMATCH(C8651, ""押金""), ""押金往來"",
  AND(E8651&lt;&gt;"""", F8651=""""), ""真實支出"",
  AND(E8651="""", F8651&lt;&gt;""""), ""真實收入"",
  TRUE, ""其他""
)"),"其他")</f>
        <v>其他</v>
      </c>
      <c r="K8651" s="270" t="str">
        <f t="shared" si="2"/>
        <v/>
      </c>
      <c r="L8651">
        <f t="shared" si="3"/>
        <v>0</v>
      </c>
    </row>
    <row r="8652">
      <c r="A8652" s="107"/>
      <c r="D8652" s="270"/>
      <c r="H8652" s="106" t="str">
        <f t="shared" si="1"/>
        <v/>
      </c>
      <c r="J8652" t="str">
        <f>IFERROR(__xludf.DUMMYFUNCTION("IFS(
  AND(REGEXMATCH(E8652, ""台銀籌備帳戶|玉山帳戶""), REGEXMATCH(C8652, ""薪資"")), ""分潤支出"",
  AND(REGEXMATCH(E8652, ""Ben帳戶|Elsa帳戶|Ben代墊|Ariel代墊|中信銀行共用""), REGEXMATCH(F8652, ""Ben帳戶|Elsa帳戶|Ben代墊|Ariel代墊|中信銀行共用"")), ""內部轉帳(忽略)"",
  AND(E8652&lt;&gt;"""", F8652&lt;&gt;"""", N"&amp;"OT(REGEXMATCH(C8652, ""薪資""))), ""內部轉帳(忽略)"",
  REGEXMATCH(C8652, ""薪資""), ""薪資變動(不計入)"",
  REGEXMATCH(C8652, ""押金""), ""押金往來"",
  AND(E8652&lt;&gt;"""", F8652=""""), ""真實支出"",
  AND(E8652="""", F8652&lt;&gt;""""), ""真實收入"",
  TRUE, ""其他""
)"),"其他")</f>
        <v>其他</v>
      </c>
      <c r="K8652" s="270" t="str">
        <f t="shared" si="2"/>
        <v/>
      </c>
      <c r="L8652">
        <f t="shared" si="3"/>
        <v>0</v>
      </c>
    </row>
    <row r="8653">
      <c r="A8653" s="107"/>
      <c r="D8653" s="270"/>
      <c r="H8653" s="106" t="str">
        <f t="shared" si="1"/>
        <v/>
      </c>
      <c r="J8653" t="str">
        <f>IFERROR(__xludf.DUMMYFUNCTION("IFS(
  AND(REGEXMATCH(E8653, ""台銀籌備帳戶|玉山帳戶""), REGEXMATCH(C8653, ""薪資"")), ""分潤支出"",
  AND(REGEXMATCH(E8653, ""Ben帳戶|Elsa帳戶|Ben代墊|Ariel代墊|中信銀行共用""), REGEXMATCH(F8653, ""Ben帳戶|Elsa帳戶|Ben代墊|Ariel代墊|中信銀行共用"")), ""內部轉帳(忽略)"",
  AND(E8653&lt;&gt;"""", F8653&lt;&gt;"""", N"&amp;"OT(REGEXMATCH(C8653, ""薪資""))), ""內部轉帳(忽略)"",
  REGEXMATCH(C8653, ""薪資""), ""薪資變動(不計入)"",
  REGEXMATCH(C8653, ""押金""), ""押金往來"",
  AND(E8653&lt;&gt;"""", F8653=""""), ""真實支出"",
  AND(E8653="""", F8653&lt;&gt;""""), ""真實收入"",
  TRUE, ""其他""
)"),"其他")</f>
        <v>其他</v>
      </c>
      <c r="K8653" s="270" t="str">
        <f t="shared" si="2"/>
        <v/>
      </c>
      <c r="L8653">
        <f t="shared" si="3"/>
        <v>0</v>
      </c>
    </row>
    <row r="8654">
      <c r="A8654" s="107"/>
      <c r="D8654" s="270"/>
      <c r="H8654" s="106" t="str">
        <f t="shared" si="1"/>
        <v/>
      </c>
      <c r="J8654" t="str">
        <f>IFERROR(__xludf.DUMMYFUNCTION("IFS(
  AND(REGEXMATCH(E8654, ""台銀籌備帳戶|玉山帳戶""), REGEXMATCH(C8654, ""薪資"")), ""分潤支出"",
  AND(REGEXMATCH(E8654, ""Ben帳戶|Elsa帳戶|Ben代墊|Ariel代墊|中信銀行共用""), REGEXMATCH(F8654, ""Ben帳戶|Elsa帳戶|Ben代墊|Ariel代墊|中信銀行共用"")), ""內部轉帳(忽略)"",
  AND(E8654&lt;&gt;"""", F8654&lt;&gt;"""", N"&amp;"OT(REGEXMATCH(C8654, ""薪資""))), ""內部轉帳(忽略)"",
  REGEXMATCH(C8654, ""薪資""), ""薪資變動(不計入)"",
  REGEXMATCH(C8654, ""押金""), ""押金往來"",
  AND(E8654&lt;&gt;"""", F8654=""""), ""真實支出"",
  AND(E8654="""", F8654&lt;&gt;""""), ""真實收入"",
  TRUE, ""其他""
)"),"其他")</f>
        <v>其他</v>
      </c>
      <c r="K8654" s="270" t="str">
        <f t="shared" si="2"/>
        <v/>
      </c>
      <c r="L8654">
        <f t="shared" si="3"/>
        <v>0</v>
      </c>
    </row>
    <row r="8655">
      <c r="A8655" s="107"/>
      <c r="D8655" s="270"/>
      <c r="H8655" s="106" t="str">
        <f t="shared" si="1"/>
        <v/>
      </c>
      <c r="J8655" t="str">
        <f>IFERROR(__xludf.DUMMYFUNCTION("IFS(
  AND(REGEXMATCH(E8655, ""台銀籌備帳戶|玉山帳戶""), REGEXMATCH(C8655, ""薪資"")), ""分潤支出"",
  AND(REGEXMATCH(E8655, ""Ben帳戶|Elsa帳戶|Ben代墊|Ariel代墊|中信銀行共用""), REGEXMATCH(F8655, ""Ben帳戶|Elsa帳戶|Ben代墊|Ariel代墊|中信銀行共用"")), ""內部轉帳(忽略)"",
  AND(E8655&lt;&gt;"""", F8655&lt;&gt;"""", N"&amp;"OT(REGEXMATCH(C8655, ""薪資""))), ""內部轉帳(忽略)"",
  REGEXMATCH(C8655, ""薪資""), ""薪資變動(不計入)"",
  REGEXMATCH(C8655, ""押金""), ""押金往來"",
  AND(E8655&lt;&gt;"""", F8655=""""), ""真實支出"",
  AND(E8655="""", F8655&lt;&gt;""""), ""真實收入"",
  TRUE, ""其他""
)"),"其他")</f>
        <v>其他</v>
      </c>
      <c r="K8655" s="270" t="str">
        <f t="shared" si="2"/>
        <v/>
      </c>
      <c r="L8655">
        <f t="shared" si="3"/>
        <v>0</v>
      </c>
    </row>
    <row r="8656">
      <c r="A8656" s="107"/>
      <c r="D8656" s="270"/>
      <c r="H8656" s="106" t="str">
        <f t="shared" si="1"/>
        <v/>
      </c>
      <c r="J8656" t="str">
        <f>IFERROR(__xludf.DUMMYFUNCTION("IFS(
  AND(REGEXMATCH(E8656, ""台銀籌備帳戶|玉山帳戶""), REGEXMATCH(C8656, ""薪資"")), ""分潤支出"",
  AND(REGEXMATCH(E8656, ""Ben帳戶|Elsa帳戶|Ben代墊|Ariel代墊|中信銀行共用""), REGEXMATCH(F8656, ""Ben帳戶|Elsa帳戶|Ben代墊|Ariel代墊|中信銀行共用"")), ""內部轉帳(忽略)"",
  AND(E8656&lt;&gt;"""", F8656&lt;&gt;"""", N"&amp;"OT(REGEXMATCH(C8656, ""薪資""))), ""內部轉帳(忽略)"",
  REGEXMATCH(C8656, ""薪資""), ""薪資變動(不計入)"",
  REGEXMATCH(C8656, ""押金""), ""押金往來"",
  AND(E8656&lt;&gt;"""", F8656=""""), ""真實支出"",
  AND(E8656="""", F8656&lt;&gt;""""), ""真實收入"",
  TRUE, ""其他""
)"),"其他")</f>
        <v>其他</v>
      </c>
      <c r="K8656" s="270" t="str">
        <f t="shared" si="2"/>
        <v/>
      </c>
      <c r="L8656">
        <f t="shared" si="3"/>
        <v>0</v>
      </c>
    </row>
    <row r="8657">
      <c r="A8657" s="107"/>
      <c r="D8657" s="270"/>
      <c r="H8657" s="106" t="str">
        <f t="shared" si="1"/>
        <v/>
      </c>
      <c r="J8657" t="str">
        <f>IFERROR(__xludf.DUMMYFUNCTION("IFS(
  AND(REGEXMATCH(E8657, ""台銀籌備帳戶|玉山帳戶""), REGEXMATCH(C8657, ""薪資"")), ""分潤支出"",
  AND(REGEXMATCH(E8657, ""Ben帳戶|Elsa帳戶|Ben代墊|Ariel代墊|中信銀行共用""), REGEXMATCH(F8657, ""Ben帳戶|Elsa帳戶|Ben代墊|Ariel代墊|中信銀行共用"")), ""內部轉帳(忽略)"",
  AND(E8657&lt;&gt;"""", F8657&lt;&gt;"""", N"&amp;"OT(REGEXMATCH(C8657, ""薪資""))), ""內部轉帳(忽略)"",
  REGEXMATCH(C8657, ""薪資""), ""薪資變動(不計入)"",
  REGEXMATCH(C8657, ""押金""), ""押金往來"",
  AND(E8657&lt;&gt;"""", F8657=""""), ""真實支出"",
  AND(E8657="""", F8657&lt;&gt;""""), ""真實收入"",
  TRUE, ""其他""
)"),"其他")</f>
        <v>其他</v>
      </c>
      <c r="K8657" s="270" t="str">
        <f t="shared" si="2"/>
        <v/>
      </c>
      <c r="L8657">
        <f t="shared" si="3"/>
        <v>0</v>
      </c>
    </row>
    <row r="8658">
      <c r="A8658" s="107"/>
      <c r="D8658" s="270"/>
      <c r="H8658" s="106" t="str">
        <f t="shared" si="1"/>
        <v/>
      </c>
      <c r="J8658" t="str">
        <f>IFERROR(__xludf.DUMMYFUNCTION("IFS(
  AND(REGEXMATCH(E8658, ""台銀籌備帳戶|玉山帳戶""), REGEXMATCH(C8658, ""薪資"")), ""分潤支出"",
  AND(REGEXMATCH(E8658, ""Ben帳戶|Elsa帳戶|Ben代墊|Ariel代墊|中信銀行共用""), REGEXMATCH(F8658, ""Ben帳戶|Elsa帳戶|Ben代墊|Ariel代墊|中信銀行共用"")), ""內部轉帳(忽略)"",
  AND(E8658&lt;&gt;"""", F8658&lt;&gt;"""", N"&amp;"OT(REGEXMATCH(C8658, ""薪資""))), ""內部轉帳(忽略)"",
  REGEXMATCH(C8658, ""薪資""), ""薪資變動(不計入)"",
  REGEXMATCH(C8658, ""押金""), ""押金往來"",
  AND(E8658&lt;&gt;"""", F8658=""""), ""真實支出"",
  AND(E8658="""", F8658&lt;&gt;""""), ""真實收入"",
  TRUE, ""其他""
)"),"其他")</f>
        <v>其他</v>
      </c>
      <c r="K8658" s="270" t="str">
        <f t="shared" si="2"/>
        <v/>
      </c>
      <c r="L8658">
        <f t="shared" si="3"/>
        <v>0</v>
      </c>
    </row>
    <row r="8659">
      <c r="A8659" s="107"/>
      <c r="D8659" s="270"/>
      <c r="H8659" s="106" t="str">
        <f t="shared" si="1"/>
        <v/>
      </c>
      <c r="J8659" t="str">
        <f>IFERROR(__xludf.DUMMYFUNCTION("IFS(
  AND(REGEXMATCH(E8659, ""台銀籌備帳戶|玉山帳戶""), REGEXMATCH(C8659, ""薪資"")), ""分潤支出"",
  AND(REGEXMATCH(E8659, ""Ben帳戶|Elsa帳戶|Ben代墊|Ariel代墊|中信銀行共用""), REGEXMATCH(F8659, ""Ben帳戶|Elsa帳戶|Ben代墊|Ariel代墊|中信銀行共用"")), ""內部轉帳(忽略)"",
  AND(E8659&lt;&gt;"""", F8659&lt;&gt;"""", N"&amp;"OT(REGEXMATCH(C8659, ""薪資""))), ""內部轉帳(忽略)"",
  REGEXMATCH(C8659, ""薪資""), ""薪資變動(不計入)"",
  REGEXMATCH(C8659, ""押金""), ""押金往來"",
  AND(E8659&lt;&gt;"""", F8659=""""), ""真實支出"",
  AND(E8659="""", F8659&lt;&gt;""""), ""真實收入"",
  TRUE, ""其他""
)"),"其他")</f>
        <v>其他</v>
      </c>
      <c r="K8659" s="270" t="str">
        <f t="shared" si="2"/>
        <v/>
      </c>
      <c r="L8659">
        <f t="shared" si="3"/>
        <v>0</v>
      </c>
    </row>
    <row r="8660">
      <c r="A8660" s="107"/>
      <c r="D8660" s="270"/>
      <c r="H8660" s="106" t="str">
        <f t="shared" si="1"/>
        <v/>
      </c>
      <c r="J8660" t="str">
        <f>IFERROR(__xludf.DUMMYFUNCTION("IFS(
  AND(REGEXMATCH(E8660, ""台銀籌備帳戶|玉山帳戶""), REGEXMATCH(C8660, ""薪資"")), ""分潤支出"",
  AND(REGEXMATCH(E8660, ""Ben帳戶|Elsa帳戶|Ben代墊|Ariel代墊|中信銀行共用""), REGEXMATCH(F8660, ""Ben帳戶|Elsa帳戶|Ben代墊|Ariel代墊|中信銀行共用"")), ""內部轉帳(忽略)"",
  AND(E8660&lt;&gt;"""", F8660&lt;&gt;"""", N"&amp;"OT(REGEXMATCH(C8660, ""薪資""))), ""內部轉帳(忽略)"",
  REGEXMATCH(C8660, ""薪資""), ""薪資變動(不計入)"",
  REGEXMATCH(C8660, ""押金""), ""押金往來"",
  AND(E8660&lt;&gt;"""", F8660=""""), ""真實支出"",
  AND(E8660="""", F8660&lt;&gt;""""), ""真實收入"",
  TRUE, ""其他""
)"),"其他")</f>
        <v>其他</v>
      </c>
      <c r="K8660" s="270" t="str">
        <f t="shared" si="2"/>
        <v/>
      </c>
      <c r="L8660">
        <f t="shared" si="3"/>
        <v>0</v>
      </c>
    </row>
    <row r="8661">
      <c r="A8661" s="107"/>
      <c r="D8661" s="270"/>
      <c r="H8661" s="106" t="str">
        <f t="shared" si="1"/>
        <v/>
      </c>
      <c r="J8661" t="str">
        <f>IFERROR(__xludf.DUMMYFUNCTION("IFS(
  AND(REGEXMATCH(E8661, ""台銀籌備帳戶|玉山帳戶""), REGEXMATCH(C8661, ""薪資"")), ""分潤支出"",
  AND(REGEXMATCH(E8661, ""Ben帳戶|Elsa帳戶|Ben代墊|Ariel代墊|中信銀行共用""), REGEXMATCH(F8661, ""Ben帳戶|Elsa帳戶|Ben代墊|Ariel代墊|中信銀行共用"")), ""內部轉帳(忽略)"",
  AND(E8661&lt;&gt;"""", F8661&lt;&gt;"""", N"&amp;"OT(REGEXMATCH(C8661, ""薪資""))), ""內部轉帳(忽略)"",
  REGEXMATCH(C8661, ""薪資""), ""薪資變動(不計入)"",
  REGEXMATCH(C8661, ""押金""), ""押金往來"",
  AND(E8661&lt;&gt;"""", F8661=""""), ""真實支出"",
  AND(E8661="""", F8661&lt;&gt;""""), ""真實收入"",
  TRUE, ""其他""
)"),"其他")</f>
        <v>其他</v>
      </c>
      <c r="K8661" s="270" t="str">
        <f t="shared" si="2"/>
        <v/>
      </c>
      <c r="L8661">
        <f t="shared" si="3"/>
        <v>0</v>
      </c>
    </row>
    <row r="8662">
      <c r="A8662" s="107"/>
      <c r="D8662" s="270"/>
      <c r="H8662" s="106" t="str">
        <f t="shared" si="1"/>
        <v/>
      </c>
      <c r="J8662" t="str">
        <f>IFERROR(__xludf.DUMMYFUNCTION("IFS(
  AND(REGEXMATCH(E8662, ""台銀籌備帳戶|玉山帳戶""), REGEXMATCH(C8662, ""薪資"")), ""分潤支出"",
  AND(REGEXMATCH(E8662, ""Ben帳戶|Elsa帳戶|Ben代墊|Ariel代墊|中信銀行共用""), REGEXMATCH(F8662, ""Ben帳戶|Elsa帳戶|Ben代墊|Ariel代墊|中信銀行共用"")), ""內部轉帳(忽略)"",
  AND(E8662&lt;&gt;"""", F8662&lt;&gt;"""", N"&amp;"OT(REGEXMATCH(C8662, ""薪資""))), ""內部轉帳(忽略)"",
  REGEXMATCH(C8662, ""薪資""), ""薪資變動(不計入)"",
  REGEXMATCH(C8662, ""押金""), ""押金往來"",
  AND(E8662&lt;&gt;"""", F8662=""""), ""真實支出"",
  AND(E8662="""", F8662&lt;&gt;""""), ""真實收入"",
  TRUE, ""其他""
)"),"其他")</f>
        <v>其他</v>
      </c>
      <c r="K8662" s="270" t="str">
        <f t="shared" si="2"/>
        <v/>
      </c>
      <c r="L8662">
        <f t="shared" si="3"/>
        <v>0</v>
      </c>
    </row>
    <row r="8663">
      <c r="A8663" s="107"/>
      <c r="D8663" s="270"/>
      <c r="H8663" s="106" t="str">
        <f t="shared" si="1"/>
        <v/>
      </c>
      <c r="J8663" t="str">
        <f>IFERROR(__xludf.DUMMYFUNCTION("IFS(
  AND(REGEXMATCH(E8663, ""台銀籌備帳戶|玉山帳戶""), REGEXMATCH(C8663, ""薪資"")), ""分潤支出"",
  AND(REGEXMATCH(E8663, ""Ben帳戶|Elsa帳戶|Ben代墊|Ariel代墊|中信銀行共用""), REGEXMATCH(F8663, ""Ben帳戶|Elsa帳戶|Ben代墊|Ariel代墊|中信銀行共用"")), ""內部轉帳(忽略)"",
  AND(E8663&lt;&gt;"""", F8663&lt;&gt;"""", N"&amp;"OT(REGEXMATCH(C8663, ""薪資""))), ""內部轉帳(忽略)"",
  REGEXMATCH(C8663, ""薪資""), ""薪資變動(不計入)"",
  REGEXMATCH(C8663, ""押金""), ""押金往來"",
  AND(E8663&lt;&gt;"""", F8663=""""), ""真實支出"",
  AND(E8663="""", F8663&lt;&gt;""""), ""真實收入"",
  TRUE, ""其他""
)"),"其他")</f>
        <v>其他</v>
      </c>
      <c r="K8663" s="270" t="str">
        <f t="shared" si="2"/>
        <v/>
      </c>
      <c r="L8663">
        <f t="shared" si="3"/>
        <v>0</v>
      </c>
    </row>
    <row r="8664">
      <c r="A8664" s="107"/>
      <c r="D8664" s="270"/>
      <c r="H8664" s="106" t="str">
        <f t="shared" si="1"/>
        <v/>
      </c>
      <c r="J8664" t="str">
        <f>IFERROR(__xludf.DUMMYFUNCTION("IFS(
  AND(REGEXMATCH(E8664, ""台銀籌備帳戶|玉山帳戶""), REGEXMATCH(C8664, ""薪資"")), ""分潤支出"",
  AND(REGEXMATCH(E8664, ""Ben帳戶|Elsa帳戶|Ben代墊|Ariel代墊|中信銀行共用""), REGEXMATCH(F8664, ""Ben帳戶|Elsa帳戶|Ben代墊|Ariel代墊|中信銀行共用"")), ""內部轉帳(忽略)"",
  AND(E8664&lt;&gt;"""", F8664&lt;&gt;"""", N"&amp;"OT(REGEXMATCH(C8664, ""薪資""))), ""內部轉帳(忽略)"",
  REGEXMATCH(C8664, ""薪資""), ""薪資變動(不計入)"",
  REGEXMATCH(C8664, ""押金""), ""押金往來"",
  AND(E8664&lt;&gt;"""", F8664=""""), ""真實支出"",
  AND(E8664="""", F8664&lt;&gt;""""), ""真實收入"",
  TRUE, ""其他""
)"),"其他")</f>
        <v>其他</v>
      </c>
      <c r="K8664" s="270" t="str">
        <f t="shared" si="2"/>
        <v/>
      </c>
      <c r="L8664">
        <f t="shared" si="3"/>
        <v>0</v>
      </c>
    </row>
    <row r="8665">
      <c r="A8665" s="107"/>
      <c r="D8665" s="270"/>
      <c r="H8665" s="106" t="str">
        <f t="shared" si="1"/>
        <v/>
      </c>
      <c r="J8665" t="str">
        <f>IFERROR(__xludf.DUMMYFUNCTION("IFS(
  AND(REGEXMATCH(E8665, ""台銀籌備帳戶|玉山帳戶""), REGEXMATCH(C8665, ""薪資"")), ""分潤支出"",
  AND(REGEXMATCH(E8665, ""Ben帳戶|Elsa帳戶|Ben代墊|Ariel代墊|中信銀行共用""), REGEXMATCH(F8665, ""Ben帳戶|Elsa帳戶|Ben代墊|Ariel代墊|中信銀行共用"")), ""內部轉帳(忽略)"",
  AND(E8665&lt;&gt;"""", F8665&lt;&gt;"""", N"&amp;"OT(REGEXMATCH(C8665, ""薪資""))), ""內部轉帳(忽略)"",
  REGEXMATCH(C8665, ""薪資""), ""薪資變動(不計入)"",
  REGEXMATCH(C8665, ""押金""), ""押金往來"",
  AND(E8665&lt;&gt;"""", F8665=""""), ""真實支出"",
  AND(E8665="""", F8665&lt;&gt;""""), ""真實收入"",
  TRUE, ""其他""
)"),"其他")</f>
        <v>其他</v>
      </c>
      <c r="K8665" s="270" t="str">
        <f t="shared" si="2"/>
        <v/>
      </c>
      <c r="L8665">
        <f t="shared" si="3"/>
        <v>0</v>
      </c>
    </row>
    <row r="8666">
      <c r="A8666" s="107"/>
      <c r="D8666" s="270"/>
      <c r="H8666" s="106" t="str">
        <f t="shared" si="1"/>
        <v/>
      </c>
      <c r="J8666" t="str">
        <f>IFERROR(__xludf.DUMMYFUNCTION("IFS(
  AND(REGEXMATCH(E8666, ""台銀籌備帳戶|玉山帳戶""), REGEXMATCH(C8666, ""薪資"")), ""分潤支出"",
  AND(REGEXMATCH(E8666, ""Ben帳戶|Elsa帳戶|Ben代墊|Ariel代墊|中信銀行共用""), REGEXMATCH(F8666, ""Ben帳戶|Elsa帳戶|Ben代墊|Ariel代墊|中信銀行共用"")), ""內部轉帳(忽略)"",
  AND(E8666&lt;&gt;"""", F8666&lt;&gt;"""", N"&amp;"OT(REGEXMATCH(C8666, ""薪資""))), ""內部轉帳(忽略)"",
  REGEXMATCH(C8666, ""薪資""), ""薪資變動(不計入)"",
  REGEXMATCH(C8666, ""押金""), ""押金往來"",
  AND(E8666&lt;&gt;"""", F8666=""""), ""真實支出"",
  AND(E8666="""", F8666&lt;&gt;""""), ""真實收入"",
  TRUE, ""其他""
)"),"其他")</f>
        <v>其他</v>
      </c>
      <c r="K8666" s="270" t="str">
        <f t="shared" si="2"/>
        <v/>
      </c>
      <c r="L8666">
        <f t="shared" si="3"/>
        <v>0</v>
      </c>
    </row>
    <row r="8667">
      <c r="A8667" s="107"/>
      <c r="D8667" s="270"/>
      <c r="H8667" s="106" t="str">
        <f t="shared" si="1"/>
        <v/>
      </c>
      <c r="J8667" t="str">
        <f>IFERROR(__xludf.DUMMYFUNCTION("IFS(
  AND(REGEXMATCH(E8667, ""台銀籌備帳戶|玉山帳戶""), REGEXMATCH(C8667, ""薪資"")), ""分潤支出"",
  AND(REGEXMATCH(E8667, ""Ben帳戶|Elsa帳戶|Ben代墊|Ariel代墊|中信銀行共用""), REGEXMATCH(F8667, ""Ben帳戶|Elsa帳戶|Ben代墊|Ariel代墊|中信銀行共用"")), ""內部轉帳(忽略)"",
  AND(E8667&lt;&gt;"""", F8667&lt;&gt;"""", N"&amp;"OT(REGEXMATCH(C8667, ""薪資""))), ""內部轉帳(忽略)"",
  REGEXMATCH(C8667, ""薪資""), ""薪資變動(不計入)"",
  REGEXMATCH(C8667, ""押金""), ""押金往來"",
  AND(E8667&lt;&gt;"""", F8667=""""), ""真實支出"",
  AND(E8667="""", F8667&lt;&gt;""""), ""真實收入"",
  TRUE, ""其他""
)"),"其他")</f>
        <v>其他</v>
      </c>
      <c r="K8667" s="270" t="str">
        <f t="shared" si="2"/>
        <v/>
      </c>
      <c r="L8667">
        <f t="shared" si="3"/>
        <v>0</v>
      </c>
    </row>
    <row r="8668">
      <c r="A8668" s="107"/>
      <c r="D8668" s="270"/>
      <c r="H8668" s="106" t="str">
        <f t="shared" si="1"/>
        <v/>
      </c>
      <c r="J8668" t="str">
        <f>IFERROR(__xludf.DUMMYFUNCTION("IFS(
  AND(REGEXMATCH(E8668, ""台銀籌備帳戶|玉山帳戶""), REGEXMATCH(C8668, ""薪資"")), ""分潤支出"",
  AND(REGEXMATCH(E8668, ""Ben帳戶|Elsa帳戶|Ben代墊|Ariel代墊|中信銀行共用""), REGEXMATCH(F8668, ""Ben帳戶|Elsa帳戶|Ben代墊|Ariel代墊|中信銀行共用"")), ""內部轉帳(忽略)"",
  AND(E8668&lt;&gt;"""", F8668&lt;&gt;"""", N"&amp;"OT(REGEXMATCH(C8668, ""薪資""))), ""內部轉帳(忽略)"",
  REGEXMATCH(C8668, ""薪資""), ""薪資變動(不計入)"",
  REGEXMATCH(C8668, ""押金""), ""押金往來"",
  AND(E8668&lt;&gt;"""", F8668=""""), ""真實支出"",
  AND(E8668="""", F8668&lt;&gt;""""), ""真實收入"",
  TRUE, ""其他""
)"),"其他")</f>
        <v>其他</v>
      </c>
      <c r="K8668" s="270" t="str">
        <f t="shared" si="2"/>
        <v/>
      </c>
      <c r="L8668">
        <f t="shared" si="3"/>
        <v>0</v>
      </c>
    </row>
    <row r="8669">
      <c r="A8669" s="107"/>
      <c r="D8669" s="270"/>
      <c r="H8669" s="106" t="str">
        <f t="shared" si="1"/>
        <v/>
      </c>
      <c r="J8669" t="str">
        <f>IFERROR(__xludf.DUMMYFUNCTION("IFS(
  AND(REGEXMATCH(E8669, ""台銀籌備帳戶|玉山帳戶""), REGEXMATCH(C8669, ""薪資"")), ""分潤支出"",
  AND(REGEXMATCH(E8669, ""Ben帳戶|Elsa帳戶|Ben代墊|Ariel代墊|中信銀行共用""), REGEXMATCH(F8669, ""Ben帳戶|Elsa帳戶|Ben代墊|Ariel代墊|中信銀行共用"")), ""內部轉帳(忽略)"",
  AND(E8669&lt;&gt;"""", F8669&lt;&gt;"""", N"&amp;"OT(REGEXMATCH(C8669, ""薪資""))), ""內部轉帳(忽略)"",
  REGEXMATCH(C8669, ""薪資""), ""薪資變動(不計入)"",
  REGEXMATCH(C8669, ""押金""), ""押金往來"",
  AND(E8669&lt;&gt;"""", F8669=""""), ""真實支出"",
  AND(E8669="""", F8669&lt;&gt;""""), ""真實收入"",
  TRUE, ""其他""
)"),"其他")</f>
        <v>其他</v>
      </c>
      <c r="K8669" s="270" t="str">
        <f t="shared" si="2"/>
        <v/>
      </c>
      <c r="L8669">
        <f t="shared" si="3"/>
        <v>0</v>
      </c>
    </row>
    <row r="8670">
      <c r="A8670" s="107"/>
      <c r="D8670" s="270"/>
      <c r="H8670" s="106" t="str">
        <f t="shared" si="1"/>
        <v/>
      </c>
      <c r="J8670" t="str">
        <f>IFERROR(__xludf.DUMMYFUNCTION("IFS(
  AND(REGEXMATCH(E8670, ""台銀籌備帳戶|玉山帳戶""), REGEXMATCH(C8670, ""薪資"")), ""分潤支出"",
  AND(REGEXMATCH(E8670, ""Ben帳戶|Elsa帳戶|Ben代墊|Ariel代墊|中信銀行共用""), REGEXMATCH(F8670, ""Ben帳戶|Elsa帳戶|Ben代墊|Ariel代墊|中信銀行共用"")), ""內部轉帳(忽略)"",
  AND(E8670&lt;&gt;"""", F8670&lt;&gt;"""", N"&amp;"OT(REGEXMATCH(C8670, ""薪資""))), ""內部轉帳(忽略)"",
  REGEXMATCH(C8670, ""薪資""), ""薪資變動(不計入)"",
  REGEXMATCH(C8670, ""押金""), ""押金往來"",
  AND(E8670&lt;&gt;"""", F8670=""""), ""真實支出"",
  AND(E8670="""", F8670&lt;&gt;""""), ""真實收入"",
  TRUE, ""其他""
)"),"其他")</f>
        <v>其他</v>
      </c>
      <c r="K8670" s="270" t="str">
        <f t="shared" si="2"/>
        <v/>
      </c>
      <c r="L8670">
        <f t="shared" si="3"/>
        <v>0</v>
      </c>
    </row>
    <row r="8671">
      <c r="A8671" s="107"/>
      <c r="D8671" s="270"/>
      <c r="H8671" s="106" t="str">
        <f t="shared" si="1"/>
        <v/>
      </c>
      <c r="J8671" t="str">
        <f>IFERROR(__xludf.DUMMYFUNCTION("IFS(
  AND(REGEXMATCH(E8671, ""台銀籌備帳戶|玉山帳戶""), REGEXMATCH(C8671, ""薪資"")), ""分潤支出"",
  AND(REGEXMATCH(E8671, ""Ben帳戶|Elsa帳戶|Ben代墊|Ariel代墊|中信銀行共用""), REGEXMATCH(F8671, ""Ben帳戶|Elsa帳戶|Ben代墊|Ariel代墊|中信銀行共用"")), ""內部轉帳(忽略)"",
  AND(E8671&lt;&gt;"""", F8671&lt;&gt;"""", N"&amp;"OT(REGEXMATCH(C8671, ""薪資""))), ""內部轉帳(忽略)"",
  REGEXMATCH(C8671, ""薪資""), ""薪資變動(不計入)"",
  REGEXMATCH(C8671, ""押金""), ""押金往來"",
  AND(E8671&lt;&gt;"""", F8671=""""), ""真實支出"",
  AND(E8671="""", F8671&lt;&gt;""""), ""真實收入"",
  TRUE, ""其他""
)"),"其他")</f>
        <v>其他</v>
      </c>
      <c r="K8671" s="270" t="str">
        <f t="shared" si="2"/>
        <v/>
      </c>
      <c r="L8671">
        <f t="shared" si="3"/>
        <v>0</v>
      </c>
    </row>
    <row r="8672">
      <c r="A8672" s="107"/>
      <c r="D8672" s="270"/>
      <c r="H8672" s="106" t="str">
        <f t="shared" si="1"/>
        <v/>
      </c>
      <c r="J8672" t="str">
        <f>IFERROR(__xludf.DUMMYFUNCTION("IFS(
  AND(REGEXMATCH(E8672, ""台銀籌備帳戶|玉山帳戶""), REGEXMATCH(C8672, ""薪資"")), ""分潤支出"",
  AND(REGEXMATCH(E8672, ""Ben帳戶|Elsa帳戶|Ben代墊|Ariel代墊|中信銀行共用""), REGEXMATCH(F8672, ""Ben帳戶|Elsa帳戶|Ben代墊|Ariel代墊|中信銀行共用"")), ""內部轉帳(忽略)"",
  AND(E8672&lt;&gt;"""", F8672&lt;&gt;"""", N"&amp;"OT(REGEXMATCH(C8672, ""薪資""))), ""內部轉帳(忽略)"",
  REGEXMATCH(C8672, ""薪資""), ""薪資變動(不計入)"",
  REGEXMATCH(C8672, ""押金""), ""押金往來"",
  AND(E8672&lt;&gt;"""", F8672=""""), ""真實支出"",
  AND(E8672="""", F8672&lt;&gt;""""), ""真實收入"",
  TRUE, ""其他""
)"),"其他")</f>
        <v>其他</v>
      </c>
      <c r="K8672" s="270" t="str">
        <f t="shared" si="2"/>
        <v/>
      </c>
      <c r="L8672">
        <f t="shared" si="3"/>
        <v>0</v>
      </c>
    </row>
    <row r="8673">
      <c r="A8673" s="107"/>
      <c r="D8673" s="270"/>
      <c r="H8673" s="106" t="str">
        <f t="shared" si="1"/>
        <v/>
      </c>
      <c r="J8673" t="str">
        <f>IFERROR(__xludf.DUMMYFUNCTION("IFS(
  AND(REGEXMATCH(E8673, ""台銀籌備帳戶|玉山帳戶""), REGEXMATCH(C8673, ""薪資"")), ""分潤支出"",
  AND(REGEXMATCH(E8673, ""Ben帳戶|Elsa帳戶|Ben代墊|Ariel代墊|中信銀行共用""), REGEXMATCH(F8673, ""Ben帳戶|Elsa帳戶|Ben代墊|Ariel代墊|中信銀行共用"")), ""內部轉帳(忽略)"",
  AND(E8673&lt;&gt;"""", F8673&lt;&gt;"""", N"&amp;"OT(REGEXMATCH(C8673, ""薪資""))), ""內部轉帳(忽略)"",
  REGEXMATCH(C8673, ""薪資""), ""薪資變動(不計入)"",
  REGEXMATCH(C8673, ""押金""), ""押金往來"",
  AND(E8673&lt;&gt;"""", F8673=""""), ""真實支出"",
  AND(E8673="""", F8673&lt;&gt;""""), ""真實收入"",
  TRUE, ""其他""
)"),"其他")</f>
        <v>其他</v>
      </c>
      <c r="K8673" s="270" t="str">
        <f t="shared" si="2"/>
        <v/>
      </c>
      <c r="L8673">
        <f t="shared" si="3"/>
        <v>0</v>
      </c>
    </row>
    <row r="8674">
      <c r="A8674" s="107"/>
      <c r="D8674" s="270"/>
      <c r="H8674" s="106" t="str">
        <f t="shared" si="1"/>
        <v/>
      </c>
      <c r="J8674" t="str">
        <f>IFERROR(__xludf.DUMMYFUNCTION("IFS(
  AND(REGEXMATCH(E8674, ""台銀籌備帳戶|玉山帳戶""), REGEXMATCH(C8674, ""薪資"")), ""分潤支出"",
  AND(REGEXMATCH(E8674, ""Ben帳戶|Elsa帳戶|Ben代墊|Ariel代墊|中信銀行共用""), REGEXMATCH(F8674, ""Ben帳戶|Elsa帳戶|Ben代墊|Ariel代墊|中信銀行共用"")), ""內部轉帳(忽略)"",
  AND(E8674&lt;&gt;"""", F8674&lt;&gt;"""", N"&amp;"OT(REGEXMATCH(C8674, ""薪資""))), ""內部轉帳(忽略)"",
  REGEXMATCH(C8674, ""薪資""), ""薪資變動(不計入)"",
  REGEXMATCH(C8674, ""押金""), ""押金往來"",
  AND(E8674&lt;&gt;"""", F8674=""""), ""真實支出"",
  AND(E8674="""", F8674&lt;&gt;""""), ""真實收入"",
  TRUE, ""其他""
)"),"其他")</f>
        <v>其他</v>
      </c>
      <c r="K8674" s="270" t="str">
        <f t="shared" si="2"/>
        <v/>
      </c>
      <c r="L8674">
        <f t="shared" si="3"/>
        <v>0</v>
      </c>
    </row>
    <row r="8675">
      <c r="A8675" s="107"/>
      <c r="D8675" s="270"/>
      <c r="H8675" s="106" t="str">
        <f t="shared" si="1"/>
        <v/>
      </c>
      <c r="J8675" t="str">
        <f>IFERROR(__xludf.DUMMYFUNCTION("IFS(
  AND(REGEXMATCH(E8675, ""台銀籌備帳戶|玉山帳戶""), REGEXMATCH(C8675, ""薪資"")), ""分潤支出"",
  AND(REGEXMATCH(E8675, ""Ben帳戶|Elsa帳戶|Ben代墊|Ariel代墊|中信銀行共用""), REGEXMATCH(F8675, ""Ben帳戶|Elsa帳戶|Ben代墊|Ariel代墊|中信銀行共用"")), ""內部轉帳(忽略)"",
  AND(E8675&lt;&gt;"""", F8675&lt;&gt;"""", N"&amp;"OT(REGEXMATCH(C8675, ""薪資""))), ""內部轉帳(忽略)"",
  REGEXMATCH(C8675, ""薪資""), ""薪資變動(不計入)"",
  REGEXMATCH(C8675, ""押金""), ""押金往來"",
  AND(E8675&lt;&gt;"""", F8675=""""), ""真實支出"",
  AND(E8675="""", F8675&lt;&gt;""""), ""真實收入"",
  TRUE, ""其他""
)"),"其他")</f>
        <v>其他</v>
      </c>
      <c r="K8675" s="270" t="str">
        <f t="shared" si="2"/>
        <v/>
      </c>
      <c r="L8675">
        <f t="shared" si="3"/>
        <v>0</v>
      </c>
    </row>
    <row r="8676">
      <c r="A8676" s="107"/>
      <c r="D8676" s="270"/>
      <c r="H8676" s="106" t="str">
        <f t="shared" si="1"/>
        <v/>
      </c>
      <c r="J8676" t="str">
        <f>IFERROR(__xludf.DUMMYFUNCTION("IFS(
  AND(REGEXMATCH(E8676, ""台銀籌備帳戶|玉山帳戶""), REGEXMATCH(C8676, ""薪資"")), ""分潤支出"",
  AND(REGEXMATCH(E8676, ""Ben帳戶|Elsa帳戶|Ben代墊|Ariel代墊|中信銀行共用""), REGEXMATCH(F8676, ""Ben帳戶|Elsa帳戶|Ben代墊|Ariel代墊|中信銀行共用"")), ""內部轉帳(忽略)"",
  AND(E8676&lt;&gt;"""", F8676&lt;&gt;"""", N"&amp;"OT(REGEXMATCH(C8676, ""薪資""))), ""內部轉帳(忽略)"",
  REGEXMATCH(C8676, ""薪資""), ""薪資變動(不計入)"",
  REGEXMATCH(C8676, ""押金""), ""押金往來"",
  AND(E8676&lt;&gt;"""", F8676=""""), ""真實支出"",
  AND(E8676="""", F8676&lt;&gt;""""), ""真實收入"",
  TRUE, ""其他""
)"),"其他")</f>
        <v>其他</v>
      </c>
      <c r="K8676" s="270" t="str">
        <f t="shared" si="2"/>
        <v/>
      </c>
      <c r="L8676">
        <f t="shared" si="3"/>
        <v>0</v>
      </c>
    </row>
    <row r="8677">
      <c r="A8677" s="107"/>
      <c r="D8677" s="270"/>
      <c r="H8677" s="106" t="str">
        <f t="shared" si="1"/>
        <v/>
      </c>
      <c r="J8677" t="str">
        <f>IFERROR(__xludf.DUMMYFUNCTION("IFS(
  AND(REGEXMATCH(E8677, ""台銀籌備帳戶|玉山帳戶""), REGEXMATCH(C8677, ""薪資"")), ""分潤支出"",
  AND(REGEXMATCH(E8677, ""Ben帳戶|Elsa帳戶|Ben代墊|Ariel代墊|中信銀行共用""), REGEXMATCH(F8677, ""Ben帳戶|Elsa帳戶|Ben代墊|Ariel代墊|中信銀行共用"")), ""內部轉帳(忽略)"",
  AND(E8677&lt;&gt;"""", F8677&lt;&gt;"""", N"&amp;"OT(REGEXMATCH(C8677, ""薪資""))), ""內部轉帳(忽略)"",
  REGEXMATCH(C8677, ""薪資""), ""薪資變動(不計入)"",
  REGEXMATCH(C8677, ""押金""), ""押金往來"",
  AND(E8677&lt;&gt;"""", F8677=""""), ""真實支出"",
  AND(E8677="""", F8677&lt;&gt;""""), ""真實收入"",
  TRUE, ""其他""
)"),"其他")</f>
        <v>其他</v>
      </c>
      <c r="K8677" s="270" t="str">
        <f t="shared" si="2"/>
        <v/>
      </c>
      <c r="L8677">
        <f t="shared" si="3"/>
        <v>0</v>
      </c>
    </row>
    <row r="8678">
      <c r="A8678" s="107"/>
      <c r="D8678" s="270"/>
      <c r="H8678" s="106" t="str">
        <f t="shared" si="1"/>
        <v/>
      </c>
      <c r="J8678" t="str">
        <f>IFERROR(__xludf.DUMMYFUNCTION("IFS(
  AND(REGEXMATCH(E8678, ""台銀籌備帳戶|玉山帳戶""), REGEXMATCH(C8678, ""薪資"")), ""分潤支出"",
  AND(REGEXMATCH(E8678, ""Ben帳戶|Elsa帳戶|Ben代墊|Ariel代墊|中信銀行共用""), REGEXMATCH(F8678, ""Ben帳戶|Elsa帳戶|Ben代墊|Ariel代墊|中信銀行共用"")), ""內部轉帳(忽略)"",
  AND(E8678&lt;&gt;"""", F8678&lt;&gt;"""", N"&amp;"OT(REGEXMATCH(C8678, ""薪資""))), ""內部轉帳(忽略)"",
  REGEXMATCH(C8678, ""薪資""), ""薪資變動(不計入)"",
  REGEXMATCH(C8678, ""押金""), ""押金往來"",
  AND(E8678&lt;&gt;"""", F8678=""""), ""真實支出"",
  AND(E8678="""", F8678&lt;&gt;""""), ""真實收入"",
  TRUE, ""其他""
)"),"其他")</f>
        <v>其他</v>
      </c>
      <c r="K8678" s="270" t="str">
        <f t="shared" si="2"/>
        <v/>
      </c>
      <c r="L8678">
        <f t="shared" si="3"/>
        <v>0</v>
      </c>
    </row>
    <row r="8679">
      <c r="A8679" s="107"/>
      <c r="D8679" s="270"/>
      <c r="H8679" s="106" t="str">
        <f t="shared" si="1"/>
        <v/>
      </c>
      <c r="J8679" t="str">
        <f>IFERROR(__xludf.DUMMYFUNCTION("IFS(
  AND(REGEXMATCH(E8679, ""台銀籌備帳戶|玉山帳戶""), REGEXMATCH(C8679, ""薪資"")), ""分潤支出"",
  AND(REGEXMATCH(E8679, ""Ben帳戶|Elsa帳戶|Ben代墊|Ariel代墊|中信銀行共用""), REGEXMATCH(F8679, ""Ben帳戶|Elsa帳戶|Ben代墊|Ariel代墊|中信銀行共用"")), ""內部轉帳(忽略)"",
  AND(E8679&lt;&gt;"""", F8679&lt;&gt;"""", N"&amp;"OT(REGEXMATCH(C8679, ""薪資""))), ""內部轉帳(忽略)"",
  REGEXMATCH(C8679, ""薪資""), ""薪資變動(不計入)"",
  REGEXMATCH(C8679, ""押金""), ""押金往來"",
  AND(E8679&lt;&gt;"""", F8679=""""), ""真實支出"",
  AND(E8679="""", F8679&lt;&gt;""""), ""真實收入"",
  TRUE, ""其他""
)"),"其他")</f>
        <v>其他</v>
      </c>
      <c r="K8679" s="270" t="str">
        <f t="shared" si="2"/>
        <v/>
      </c>
      <c r="L8679">
        <f t="shared" si="3"/>
        <v>0</v>
      </c>
    </row>
    <row r="8680">
      <c r="A8680" s="107"/>
      <c r="D8680" s="270"/>
      <c r="H8680" s="106" t="str">
        <f t="shared" si="1"/>
        <v/>
      </c>
      <c r="J8680" t="str">
        <f>IFERROR(__xludf.DUMMYFUNCTION("IFS(
  AND(REGEXMATCH(E8680, ""台銀籌備帳戶|玉山帳戶""), REGEXMATCH(C8680, ""薪資"")), ""分潤支出"",
  AND(REGEXMATCH(E8680, ""Ben帳戶|Elsa帳戶|Ben代墊|Ariel代墊|中信銀行共用""), REGEXMATCH(F8680, ""Ben帳戶|Elsa帳戶|Ben代墊|Ariel代墊|中信銀行共用"")), ""內部轉帳(忽略)"",
  AND(E8680&lt;&gt;"""", F8680&lt;&gt;"""", N"&amp;"OT(REGEXMATCH(C8680, ""薪資""))), ""內部轉帳(忽略)"",
  REGEXMATCH(C8680, ""薪資""), ""薪資變動(不計入)"",
  REGEXMATCH(C8680, ""押金""), ""押金往來"",
  AND(E8680&lt;&gt;"""", F8680=""""), ""真實支出"",
  AND(E8680="""", F8680&lt;&gt;""""), ""真實收入"",
  TRUE, ""其他""
)"),"其他")</f>
        <v>其他</v>
      </c>
      <c r="K8680" s="270" t="str">
        <f t="shared" si="2"/>
        <v/>
      </c>
      <c r="L8680">
        <f t="shared" si="3"/>
        <v>0</v>
      </c>
    </row>
    <row r="8681">
      <c r="A8681" s="107"/>
      <c r="D8681" s="270"/>
      <c r="H8681" s="106" t="str">
        <f t="shared" si="1"/>
        <v/>
      </c>
      <c r="J8681" t="str">
        <f>IFERROR(__xludf.DUMMYFUNCTION("IFS(
  AND(REGEXMATCH(E8681, ""台銀籌備帳戶|玉山帳戶""), REGEXMATCH(C8681, ""薪資"")), ""分潤支出"",
  AND(REGEXMATCH(E8681, ""Ben帳戶|Elsa帳戶|Ben代墊|Ariel代墊|中信銀行共用""), REGEXMATCH(F8681, ""Ben帳戶|Elsa帳戶|Ben代墊|Ariel代墊|中信銀行共用"")), ""內部轉帳(忽略)"",
  AND(E8681&lt;&gt;"""", F8681&lt;&gt;"""", N"&amp;"OT(REGEXMATCH(C8681, ""薪資""))), ""內部轉帳(忽略)"",
  REGEXMATCH(C8681, ""薪資""), ""薪資變動(不計入)"",
  REGEXMATCH(C8681, ""押金""), ""押金往來"",
  AND(E8681&lt;&gt;"""", F8681=""""), ""真實支出"",
  AND(E8681="""", F8681&lt;&gt;""""), ""真實收入"",
  TRUE, ""其他""
)"),"其他")</f>
        <v>其他</v>
      </c>
      <c r="K8681" s="270" t="str">
        <f t="shared" si="2"/>
        <v/>
      </c>
      <c r="L8681">
        <f t="shared" si="3"/>
        <v>0</v>
      </c>
    </row>
    <row r="8682">
      <c r="A8682" s="107"/>
      <c r="D8682" s="270"/>
      <c r="H8682" s="106" t="str">
        <f t="shared" si="1"/>
        <v/>
      </c>
      <c r="J8682" t="str">
        <f>IFERROR(__xludf.DUMMYFUNCTION("IFS(
  AND(REGEXMATCH(E8682, ""台銀籌備帳戶|玉山帳戶""), REGEXMATCH(C8682, ""薪資"")), ""分潤支出"",
  AND(REGEXMATCH(E8682, ""Ben帳戶|Elsa帳戶|Ben代墊|Ariel代墊|中信銀行共用""), REGEXMATCH(F8682, ""Ben帳戶|Elsa帳戶|Ben代墊|Ariel代墊|中信銀行共用"")), ""內部轉帳(忽略)"",
  AND(E8682&lt;&gt;"""", F8682&lt;&gt;"""", N"&amp;"OT(REGEXMATCH(C8682, ""薪資""))), ""內部轉帳(忽略)"",
  REGEXMATCH(C8682, ""薪資""), ""薪資變動(不計入)"",
  REGEXMATCH(C8682, ""押金""), ""押金往來"",
  AND(E8682&lt;&gt;"""", F8682=""""), ""真實支出"",
  AND(E8682="""", F8682&lt;&gt;""""), ""真實收入"",
  TRUE, ""其他""
)"),"其他")</f>
        <v>其他</v>
      </c>
      <c r="K8682" s="270" t="str">
        <f t="shared" si="2"/>
        <v/>
      </c>
      <c r="L8682">
        <f t="shared" si="3"/>
        <v>0</v>
      </c>
    </row>
    <row r="8683">
      <c r="A8683" s="107"/>
      <c r="D8683" s="270"/>
      <c r="H8683" s="106" t="str">
        <f t="shared" si="1"/>
        <v/>
      </c>
      <c r="J8683" t="str">
        <f>IFERROR(__xludf.DUMMYFUNCTION("IFS(
  AND(REGEXMATCH(E8683, ""台銀籌備帳戶|玉山帳戶""), REGEXMATCH(C8683, ""薪資"")), ""分潤支出"",
  AND(REGEXMATCH(E8683, ""Ben帳戶|Elsa帳戶|Ben代墊|Ariel代墊|中信銀行共用""), REGEXMATCH(F8683, ""Ben帳戶|Elsa帳戶|Ben代墊|Ariel代墊|中信銀行共用"")), ""內部轉帳(忽略)"",
  AND(E8683&lt;&gt;"""", F8683&lt;&gt;"""", N"&amp;"OT(REGEXMATCH(C8683, ""薪資""))), ""內部轉帳(忽略)"",
  REGEXMATCH(C8683, ""薪資""), ""薪資變動(不計入)"",
  REGEXMATCH(C8683, ""押金""), ""押金往來"",
  AND(E8683&lt;&gt;"""", F8683=""""), ""真實支出"",
  AND(E8683="""", F8683&lt;&gt;""""), ""真實收入"",
  TRUE, ""其他""
)"),"其他")</f>
        <v>其他</v>
      </c>
      <c r="K8683" s="270" t="str">
        <f t="shared" si="2"/>
        <v/>
      </c>
      <c r="L8683">
        <f t="shared" si="3"/>
        <v>0</v>
      </c>
    </row>
    <row r="8684">
      <c r="A8684" s="107"/>
      <c r="D8684" s="270"/>
      <c r="H8684" s="106" t="str">
        <f t="shared" si="1"/>
        <v/>
      </c>
      <c r="J8684" t="str">
        <f>IFERROR(__xludf.DUMMYFUNCTION("IFS(
  AND(REGEXMATCH(E8684, ""台銀籌備帳戶|玉山帳戶""), REGEXMATCH(C8684, ""薪資"")), ""分潤支出"",
  AND(REGEXMATCH(E8684, ""Ben帳戶|Elsa帳戶|Ben代墊|Ariel代墊|中信銀行共用""), REGEXMATCH(F8684, ""Ben帳戶|Elsa帳戶|Ben代墊|Ariel代墊|中信銀行共用"")), ""內部轉帳(忽略)"",
  AND(E8684&lt;&gt;"""", F8684&lt;&gt;"""", N"&amp;"OT(REGEXMATCH(C8684, ""薪資""))), ""內部轉帳(忽略)"",
  REGEXMATCH(C8684, ""薪資""), ""薪資變動(不計入)"",
  REGEXMATCH(C8684, ""押金""), ""押金往來"",
  AND(E8684&lt;&gt;"""", F8684=""""), ""真實支出"",
  AND(E8684="""", F8684&lt;&gt;""""), ""真實收入"",
  TRUE, ""其他""
)"),"其他")</f>
        <v>其他</v>
      </c>
      <c r="K8684" s="270" t="str">
        <f t="shared" si="2"/>
        <v/>
      </c>
      <c r="L8684">
        <f t="shared" si="3"/>
        <v>0</v>
      </c>
    </row>
    <row r="8685">
      <c r="A8685" s="107"/>
      <c r="D8685" s="270"/>
      <c r="H8685" s="106" t="str">
        <f t="shared" si="1"/>
        <v/>
      </c>
      <c r="J8685" t="str">
        <f>IFERROR(__xludf.DUMMYFUNCTION("IFS(
  AND(REGEXMATCH(E8685, ""台銀籌備帳戶|玉山帳戶""), REGEXMATCH(C8685, ""薪資"")), ""分潤支出"",
  AND(REGEXMATCH(E8685, ""Ben帳戶|Elsa帳戶|Ben代墊|Ariel代墊|中信銀行共用""), REGEXMATCH(F8685, ""Ben帳戶|Elsa帳戶|Ben代墊|Ariel代墊|中信銀行共用"")), ""內部轉帳(忽略)"",
  AND(E8685&lt;&gt;"""", F8685&lt;&gt;"""", N"&amp;"OT(REGEXMATCH(C8685, ""薪資""))), ""內部轉帳(忽略)"",
  REGEXMATCH(C8685, ""薪資""), ""薪資變動(不計入)"",
  REGEXMATCH(C8685, ""押金""), ""押金往來"",
  AND(E8685&lt;&gt;"""", F8685=""""), ""真實支出"",
  AND(E8685="""", F8685&lt;&gt;""""), ""真實收入"",
  TRUE, ""其他""
)"),"其他")</f>
        <v>其他</v>
      </c>
      <c r="K8685" s="270" t="str">
        <f t="shared" si="2"/>
        <v/>
      </c>
      <c r="L8685">
        <f t="shared" si="3"/>
        <v>0</v>
      </c>
    </row>
    <row r="8686">
      <c r="A8686" s="107"/>
      <c r="D8686" s="270"/>
      <c r="H8686" s="106" t="str">
        <f t="shared" si="1"/>
        <v/>
      </c>
      <c r="J8686" t="str">
        <f>IFERROR(__xludf.DUMMYFUNCTION("IFS(
  AND(REGEXMATCH(E8686, ""台銀籌備帳戶|玉山帳戶""), REGEXMATCH(C8686, ""薪資"")), ""分潤支出"",
  AND(REGEXMATCH(E8686, ""Ben帳戶|Elsa帳戶|Ben代墊|Ariel代墊|中信銀行共用""), REGEXMATCH(F8686, ""Ben帳戶|Elsa帳戶|Ben代墊|Ariel代墊|中信銀行共用"")), ""內部轉帳(忽略)"",
  AND(E8686&lt;&gt;"""", F8686&lt;&gt;"""", N"&amp;"OT(REGEXMATCH(C8686, ""薪資""))), ""內部轉帳(忽略)"",
  REGEXMATCH(C8686, ""薪資""), ""薪資變動(不計入)"",
  REGEXMATCH(C8686, ""押金""), ""押金往來"",
  AND(E8686&lt;&gt;"""", F8686=""""), ""真實支出"",
  AND(E8686="""", F8686&lt;&gt;""""), ""真實收入"",
  TRUE, ""其他""
)"),"其他")</f>
        <v>其他</v>
      </c>
      <c r="K8686" s="270" t="str">
        <f t="shared" si="2"/>
        <v/>
      </c>
      <c r="L8686">
        <f t="shared" si="3"/>
        <v>0</v>
      </c>
    </row>
    <row r="8687">
      <c r="A8687" s="107"/>
      <c r="D8687" s="270"/>
      <c r="H8687" s="106" t="str">
        <f t="shared" si="1"/>
        <v/>
      </c>
      <c r="J8687" t="str">
        <f>IFERROR(__xludf.DUMMYFUNCTION("IFS(
  AND(REGEXMATCH(E8687, ""台銀籌備帳戶|玉山帳戶""), REGEXMATCH(C8687, ""薪資"")), ""分潤支出"",
  AND(REGEXMATCH(E8687, ""Ben帳戶|Elsa帳戶|Ben代墊|Ariel代墊|中信銀行共用""), REGEXMATCH(F8687, ""Ben帳戶|Elsa帳戶|Ben代墊|Ariel代墊|中信銀行共用"")), ""內部轉帳(忽略)"",
  AND(E8687&lt;&gt;"""", F8687&lt;&gt;"""", N"&amp;"OT(REGEXMATCH(C8687, ""薪資""))), ""內部轉帳(忽略)"",
  REGEXMATCH(C8687, ""薪資""), ""薪資變動(不計入)"",
  REGEXMATCH(C8687, ""押金""), ""押金往來"",
  AND(E8687&lt;&gt;"""", F8687=""""), ""真實支出"",
  AND(E8687="""", F8687&lt;&gt;""""), ""真實收入"",
  TRUE, ""其他""
)"),"其他")</f>
        <v>其他</v>
      </c>
      <c r="K8687" s="270" t="str">
        <f t="shared" si="2"/>
        <v/>
      </c>
      <c r="L8687">
        <f t="shared" si="3"/>
        <v>0</v>
      </c>
    </row>
    <row r="8688">
      <c r="A8688" s="107"/>
      <c r="D8688" s="270"/>
      <c r="H8688" s="106" t="str">
        <f t="shared" si="1"/>
        <v/>
      </c>
      <c r="J8688" t="str">
        <f>IFERROR(__xludf.DUMMYFUNCTION("IFS(
  AND(REGEXMATCH(E8688, ""台銀籌備帳戶|玉山帳戶""), REGEXMATCH(C8688, ""薪資"")), ""分潤支出"",
  AND(REGEXMATCH(E8688, ""Ben帳戶|Elsa帳戶|Ben代墊|Ariel代墊|中信銀行共用""), REGEXMATCH(F8688, ""Ben帳戶|Elsa帳戶|Ben代墊|Ariel代墊|中信銀行共用"")), ""內部轉帳(忽略)"",
  AND(E8688&lt;&gt;"""", F8688&lt;&gt;"""", N"&amp;"OT(REGEXMATCH(C8688, ""薪資""))), ""內部轉帳(忽略)"",
  REGEXMATCH(C8688, ""薪資""), ""薪資變動(不計入)"",
  REGEXMATCH(C8688, ""押金""), ""押金往來"",
  AND(E8688&lt;&gt;"""", F8688=""""), ""真實支出"",
  AND(E8688="""", F8688&lt;&gt;""""), ""真實收入"",
  TRUE, ""其他""
)"),"其他")</f>
        <v>其他</v>
      </c>
      <c r="K8688" s="270" t="str">
        <f t="shared" si="2"/>
        <v/>
      </c>
      <c r="L8688">
        <f t="shared" si="3"/>
        <v>0</v>
      </c>
    </row>
    <row r="8689">
      <c r="A8689" s="107"/>
      <c r="D8689" s="270"/>
      <c r="H8689" s="106" t="str">
        <f t="shared" si="1"/>
        <v/>
      </c>
      <c r="J8689" t="str">
        <f>IFERROR(__xludf.DUMMYFUNCTION("IFS(
  AND(REGEXMATCH(E8689, ""台銀籌備帳戶|玉山帳戶""), REGEXMATCH(C8689, ""薪資"")), ""分潤支出"",
  AND(REGEXMATCH(E8689, ""Ben帳戶|Elsa帳戶|Ben代墊|Ariel代墊|中信銀行共用""), REGEXMATCH(F8689, ""Ben帳戶|Elsa帳戶|Ben代墊|Ariel代墊|中信銀行共用"")), ""內部轉帳(忽略)"",
  AND(E8689&lt;&gt;"""", F8689&lt;&gt;"""", N"&amp;"OT(REGEXMATCH(C8689, ""薪資""))), ""內部轉帳(忽略)"",
  REGEXMATCH(C8689, ""薪資""), ""薪資變動(不計入)"",
  REGEXMATCH(C8689, ""押金""), ""押金往來"",
  AND(E8689&lt;&gt;"""", F8689=""""), ""真實支出"",
  AND(E8689="""", F8689&lt;&gt;""""), ""真實收入"",
  TRUE, ""其他""
)"),"其他")</f>
        <v>其他</v>
      </c>
      <c r="K8689" s="270" t="str">
        <f t="shared" si="2"/>
        <v/>
      </c>
      <c r="L8689">
        <f t="shared" si="3"/>
        <v>0</v>
      </c>
    </row>
    <row r="8690">
      <c r="A8690" s="107"/>
      <c r="D8690" s="270"/>
      <c r="H8690" s="106" t="str">
        <f t="shared" si="1"/>
        <v/>
      </c>
      <c r="J8690" t="str">
        <f>IFERROR(__xludf.DUMMYFUNCTION("IFS(
  AND(REGEXMATCH(E8690, ""台銀籌備帳戶|玉山帳戶""), REGEXMATCH(C8690, ""薪資"")), ""分潤支出"",
  AND(REGEXMATCH(E8690, ""Ben帳戶|Elsa帳戶|Ben代墊|Ariel代墊|中信銀行共用""), REGEXMATCH(F8690, ""Ben帳戶|Elsa帳戶|Ben代墊|Ariel代墊|中信銀行共用"")), ""內部轉帳(忽略)"",
  AND(E8690&lt;&gt;"""", F8690&lt;&gt;"""", N"&amp;"OT(REGEXMATCH(C8690, ""薪資""))), ""內部轉帳(忽略)"",
  REGEXMATCH(C8690, ""薪資""), ""薪資變動(不計入)"",
  REGEXMATCH(C8690, ""押金""), ""押金往來"",
  AND(E8690&lt;&gt;"""", F8690=""""), ""真實支出"",
  AND(E8690="""", F8690&lt;&gt;""""), ""真實收入"",
  TRUE, ""其他""
)"),"其他")</f>
        <v>其他</v>
      </c>
      <c r="K8690" s="270" t="str">
        <f t="shared" si="2"/>
        <v/>
      </c>
      <c r="L8690">
        <f t="shared" si="3"/>
        <v>0</v>
      </c>
    </row>
    <row r="8691">
      <c r="A8691" s="107"/>
      <c r="D8691" s="270"/>
      <c r="H8691" s="106" t="str">
        <f t="shared" si="1"/>
        <v/>
      </c>
      <c r="J8691" t="str">
        <f>IFERROR(__xludf.DUMMYFUNCTION("IFS(
  AND(REGEXMATCH(E8691, ""台銀籌備帳戶|玉山帳戶""), REGEXMATCH(C8691, ""薪資"")), ""分潤支出"",
  AND(REGEXMATCH(E8691, ""Ben帳戶|Elsa帳戶|Ben代墊|Ariel代墊|中信銀行共用""), REGEXMATCH(F8691, ""Ben帳戶|Elsa帳戶|Ben代墊|Ariel代墊|中信銀行共用"")), ""內部轉帳(忽略)"",
  AND(E8691&lt;&gt;"""", F8691&lt;&gt;"""", N"&amp;"OT(REGEXMATCH(C8691, ""薪資""))), ""內部轉帳(忽略)"",
  REGEXMATCH(C8691, ""薪資""), ""薪資變動(不計入)"",
  REGEXMATCH(C8691, ""押金""), ""押金往來"",
  AND(E8691&lt;&gt;"""", F8691=""""), ""真實支出"",
  AND(E8691="""", F8691&lt;&gt;""""), ""真實收入"",
  TRUE, ""其他""
)"),"其他")</f>
        <v>其他</v>
      </c>
      <c r="K8691" s="270" t="str">
        <f t="shared" si="2"/>
        <v/>
      </c>
      <c r="L8691">
        <f t="shared" si="3"/>
        <v>0</v>
      </c>
    </row>
    <row r="8692">
      <c r="A8692" s="107"/>
      <c r="D8692" s="270"/>
      <c r="H8692" s="106" t="str">
        <f t="shared" si="1"/>
        <v/>
      </c>
      <c r="J8692" t="str">
        <f>IFERROR(__xludf.DUMMYFUNCTION("IFS(
  AND(REGEXMATCH(E8692, ""台銀籌備帳戶|玉山帳戶""), REGEXMATCH(C8692, ""薪資"")), ""分潤支出"",
  AND(REGEXMATCH(E8692, ""Ben帳戶|Elsa帳戶|Ben代墊|Ariel代墊|中信銀行共用""), REGEXMATCH(F8692, ""Ben帳戶|Elsa帳戶|Ben代墊|Ariel代墊|中信銀行共用"")), ""內部轉帳(忽略)"",
  AND(E8692&lt;&gt;"""", F8692&lt;&gt;"""", N"&amp;"OT(REGEXMATCH(C8692, ""薪資""))), ""內部轉帳(忽略)"",
  REGEXMATCH(C8692, ""薪資""), ""薪資變動(不計入)"",
  REGEXMATCH(C8692, ""押金""), ""押金往來"",
  AND(E8692&lt;&gt;"""", F8692=""""), ""真實支出"",
  AND(E8692="""", F8692&lt;&gt;""""), ""真實收入"",
  TRUE, ""其他""
)"),"其他")</f>
        <v>其他</v>
      </c>
      <c r="K8692" s="270" t="str">
        <f t="shared" si="2"/>
        <v/>
      </c>
      <c r="L8692">
        <f t="shared" si="3"/>
        <v>0</v>
      </c>
    </row>
    <row r="8693">
      <c r="A8693" s="107"/>
      <c r="D8693" s="270"/>
      <c r="H8693" s="106" t="str">
        <f t="shared" si="1"/>
        <v/>
      </c>
      <c r="J8693" t="str">
        <f>IFERROR(__xludf.DUMMYFUNCTION("IFS(
  AND(REGEXMATCH(E8693, ""台銀籌備帳戶|玉山帳戶""), REGEXMATCH(C8693, ""薪資"")), ""分潤支出"",
  AND(REGEXMATCH(E8693, ""Ben帳戶|Elsa帳戶|Ben代墊|Ariel代墊|中信銀行共用""), REGEXMATCH(F8693, ""Ben帳戶|Elsa帳戶|Ben代墊|Ariel代墊|中信銀行共用"")), ""內部轉帳(忽略)"",
  AND(E8693&lt;&gt;"""", F8693&lt;&gt;"""", N"&amp;"OT(REGEXMATCH(C8693, ""薪資""))), ""內部轉帳(忽略)"",
  REGEXMATCH(C8693, ""薪資""), ""薪資變動(不計入)"",
  REGEXMATCH(C8693, ""押金""), ""押金往來"",
  AND(E8693&lt;&gt;"""", F8693=""""), ""真實支出"",
  AND(E8693="""", F8693&lt;&gt;""""), ""真實收入"",
  TRUE, ""其他""
)"),"其他")</f>
        <v>其他</v>
      </c>
      <c r="K8693" s="270" t="str">
        <f t="shared" si="2"/>
        <v/>
      </c>
      <c r="L8693">
        <f t="shared" si="3"/>
        <v>0</v>
      </c>
    </row>
    <row r="8694">
      <c r="A8694" s="107"/>
      <c r="D8694" s="270"/>
      <c r="H8694" s="106" t="str">
        <f t="shared" si="1"/>
        <v/>
      </c>
      <c r="J8694" t="str">
        <f>IFERROR(__xludf.DUMMYFUNCTION("IFS(
  AND(REGEXMATCH(E8694, ""台銀籌備帳戶|玉山帳戶""), REGEXMATCH(C8694, ""薪資"")), ""分潤支出"",
  AND(REGEXMATCH(E8694, ""Ben帳戶|Elsa帳戶|Ben代墊|Ariel代墊|中信銀行共用""), REGEXMATCH(F8694, ""Ben帳戶|Elsa帳戶|Ben代墊|Ariel代墊|中信銀行共用"")), ""內部轉帳(忽略)"",
  AND(E8694&lt;&gt;"""", F8694&lt;&gt;"""", N"&amp;"OT(REGEXMATCH(C8694, ""薪資""))), ""內部轉帳(忽略)"",
  REGEXMATCH(C8694, ""薪資""), ""薪資變動(不計入)"",
  REGEXMATCH(C8694, ""押金""), ""押金往來"",
  AND(E8694&lt;&gt;"""", F8694=""""), ""真實支出"",
  AND(E8694="""", F8694&lt;&gt;""""), ""真實收入"",
  TRUE, ""其他""
)"),"其他")</f>
        <v>其他</v>
      </c>
      <c r="K8694" s="270" t="str">
        <f t="shared" si="2"/>
        <v/>
      </c>
      <c r="L8694">
        <f t="shared" si="3"/>
        <v>0</v>
      </c>
    </row>
    <row r="8695">
      <c r="A8695" s="107"/>
      <c r="D8695" s="270"/>
      <c r="H8695" s="106" t="str">
        <f t="shared" si="1"/>
        <v/>
      </c>
      <c r="J8695" t="str">
        <f>IFERROR(__xludf.DUMMYFUNCTION("IFS(
  AND(REGEXMATCH(E8695, ""台銀籌備帳戶|玉山帳戶""), REGEXMATCH(C8695, ""薪資"")), ""分潤支出"",
  AND(REGEXMATCH(E8695, ""Ben帳戶|Elsa帳戶|Ben代墊|Ariel代墊|中信銀行共用""), REGEXMATCH(F8695, ""Ben帳戶|Elsa帳戶|Ben代墊|Ariel代墊|中信銀行共用"")), ""內部轉帳(忽略)"",
  AND(E8695&lt;&gt;"""", F8695&lt;&gt;"""", N"&amp;"OT(REGEXMATCH(C8695, ""薪資""))), ""內部轉帳(忽略)"",
  REGEXMATCH(C8695, ""薪資""), ""薪資變動(不計入)"",
  REGEXMATCH(C8695, ""押金""), ""押金往來"",
  AND(E8695&lt;&gt;"""", F8695=""""), ""真實支出"",
  AND(E8695="""", F8695&lt;&gt;""""), ""真實收入"",
  TRUE, ""其他""
)"),"其他")</f>
        <v>其他</v>
      </c>
      <c r="K8695" s="270" t="str">
        <f t="shared" si="2"/>
        <v/>
      </c>
      <c r="L8695">
        <f t="shared" si="3"/>
        <v>0</v>
      </c>
    </row>
    <row r="8696">
      <c r="A8696" s="107"/>
      <c r="D8696" s="270"/>
      <c r="H8696" s="106" t="str">
        <f t="shared" si="1"/>
        <v/>
      </c>
      <c r="J8696" t="str">
        <f>IFERROR(__xludf.DUMMYFUNCTION("IFS(
  AND(REGEXMATCH(E8696, ""台銀籌備帳戶|玉山帳戶""), REGEXMATCH(C8696, ""薪資"")), ""分潤支出"",
  AND(REGEXMATCH(E8696, ""Ben帳戶|Elsa帳戶|Ben代墊|Ariel代墊|中信銀行共用""), REGEXMATCH(F8696, ""Ben帳戶|Elsa帳戶|Ben代墊|Ariel代墊|中信銀行共用"")), ""內部轉帳(忽略)"",
  AND(E8696&lt;&gt;"""", F8696&lt;&gt;"""", N"&amp;"OT(REGEXMATCH(C8696, ""薪資""))), ""內部轉帳(忽略)"",
  REGEXMATCH(C8696, ""薪資""), ""薪資變動(不計入)"",
  REGEXMATCH(C8696, ""押金""), ""押金往來"",
  AND(E8696&lt;&gt;"""", F8696=""""), ""真實支出"",
  AND(E8696="""", F8696&lt;&gt;""""), ""真實收入"",
  TRUE, ""其他""
)"),"其他")</f>
        <v>其他</v>
      </c>
      <c r="K8696" s="270" t="str">
        <f t="shared" si="2"/>
        <v/>
      </c>
      <c r="L8696">
        <f t="shared" si="3"/>
        <v>0</v>
      </c>
    </row>
    <row r="8697">
      <c r="A8697" s="107"/>
      <c r="D8697" s="270"/>
      <c r="H8697" s="106" t="str">
        <f t="shared" si="1"/>
        <v/>
      </c>
      <c r="J8697" t="str">
        <f>IFERROR(__xludf.DUMMYFUNCTION("IFS(
  AND(REGEXMATCH(E8697, ""台銀籌備帳戶|玉山帳戶""), REGEXMATCH(C8697, ""薪資"")), ""分潤支出"",
  AND(REGEXMATCH(E8697, ""Ben帳戶|Elsa帳戶|Ben代墊|Ariel代墊|中信銀行共用""), REGEXMATCH(F8697, ""Ben帳戶|Elsa帳戶|Ben代墊|Ariel代墊|中信銀行共用"")), ""內部轉帳(忽略)"",
  AND(E8697&lt;&gt;"""", F8697&lt;&gt;"""", N"&amp;"OT(REGEXMATCH(C8697, ""薪資""))), ""內部轉帳(忽略)"",
  REGEXMATCH(C8697, ""薪資""), ""薪資變動(不計入)"",
  REGEXMATCH(C8697, ""押金""), ""押金往來"",
  AND(E8697&lt;&gt;"""", F8697=""""), ""真實支出"",
  AND(E8697="""", F8697&lt;&gt;""""), ""真實收入"",
  TRUE, ""其他""
)"),"其他")</f>
        <v>其他</v>
      </c>
      <c r="K8697" s="270" t="str">
        <f t="shared" si="2"/>
        <v/>
      </c>
      <c r="L8697">
        <f t="shared" si="3"/>
        <v>0</v>
      </c>
    </row>
    <row r="8698">
      <c r="A8698" s="107"/>
      <c r="D8698" s="270"/>
      <c r="H8698" s="106" t="str">
        <f t="shared" si="1"/>
        <v/>
      </c>
      <c r="J8698" t="str">
        <f>IFERROR(__xludf.DUMMYFUNCTION("IFS(
  AND(REGEXMATCH(E8698, ""台銀籌備帳戶|玉山帳戶""), REGEXMATCH(C8698, ""薪資"")), ""分潤支出"",
  AND(REGEXMATCH(E8698, ""Ben帳戶|Elsa帳戶|Ben代墊|Ariel代墊|中信銀行共用""), REGEXMATCH(F8698, ""Ben帳戶|Elsa帳戶|Ben代墊|Ariel代墊|中信銀行共用"")), ""內部轉帳(忽略)"",
  AND(E8698&lt;&gt;"""", F8698&lt;&gt;"""", N"&amp;"OT(REGEXMATCH(C8698, ""薪資""))), ""內部轉帳(忽略)"",
  REGEXMATCH(C8698, ""薪資""), ""薪資變動(不計入)"",
  REGEXMATCH(C8698, ""押金""), ""押金往來"",
  AND(E8698&lt;&gt;"""", F8698=""""), ""真實支出"",
  AND(E8698="""", F8698&lt;&gt;""""), ""真實收入"",
  TRUE, ""其他""
)"),"其他")</f>
        <v>其他</v>
      </c>
      <c r="K8698" s="270" t="str">
        <f t="shared" si="2"/>
        <v/>
      </c>
      <c r="L8698">
        <f t="shared" si="3"/>
        <v>0</v>
      </c>
    </row>
    <row r="8699">
      <c r="A8699" s="107"/>
      <c r="D8699" s="270"/>
      <c r="H8699" s="106" t="str">
        <f t="shared" si="1"/>
        <v/>
      </c>
      <c r="J8699" t="str">
        <f>IFERROR(__xludf.DUMMYFUNCTION("IFS(
  AND(REGEXMATCH(E8699, ""台銀籌備帳戶|玉山帳戶""), REGEXMATCH(C8699, ""薪資"")), ""分潤支出"",
  AND(REGEXMATCH(E8699, ""Ben帳戶|Elsa帳戶|Ben代墊|Ariel代墊|中信銀行共用""), REGEXMATCH(F8699, ""Ben帳戶|Elsa帳戶|Ben代墊|Ariel代墊|中信銀行共用"")), ""內部轉帳(忽略)"",
  AND(E8699&lt;&gt;"""", F8699&lt;&gt;"""", N"&amp;"OT(REGEXMATCH(C8699, ""薪資""))), ""內部轉帳(忽略)"",
  REGEXMATCH(C8699, ""薪資""), ""薪資變動(不計入)"",
  REGEXMATCH(C8699, ""押金""), ""押金往來"",
  AND(E8699&lt;&gt;"""", F8699=""""), ""真實支出"",
  AND(E8699="""", F8699&lt;&gt;""""), ""真實收入"",
  TRUE, ""其他""
)"),"其他")</f>
        <v>其他</v>
      </c>
      <c r="K8699" s="270" t="str">
        <f t="shared" si="2"/>
        <v/>
      </c>
      <c r="L8699">
        <f t="shared" si="3"/>
        <v>0</v>
      </c>
    </row>
    <row r="8700">
      <c r="A8700" s="107"/>
      <c r="D8700" s="270"/>
      <c r="H8700" s="106" t="str">
        <f t="shared" si="1"/>
        <v/>
      </c>
      <c r="J8700" t="str">
        <f>IFERROR(__xludf.DUMMYFUNCTION("IFS(
  AND(REGEXMATCH(E8700, ""台銀籌備帳戶|玉山帳戶""), REGEXMATCH(C8700, ""薪資"")), ""分潤支出"",
  AND(REGEXMATCH(E8700, ""Ben帳戶|Elsa帳戶|Ben代墊|Ariel代墊|中信銀行共用""), REGEXMATCH(F8700, ""Ben帳戶|Elsa帳戶|Ben代墊|Ariel代墊|中信銀行共用"")), ""內部轉帳(忽略)"",
  AND(E8700&lt;&gt;"""", F8700&lt;&gt;"""", N"&amp;"OT(REGEXMATCH(C8700, ""薪資""))), ""內部轉帳(忽略)"",
  REGEXMATCH(C8700, ""薪資""), ""薪資變動(不計入)"",
  REGEXMATCH(C8700, ""押金""), ""押金往來"",
  AND(E8700&lt;&gt;"""", F8700=""""), ""真實支出"",
  AND(E8700="""", F8700&lt;&gt;""""), ""真實收入"",
  TRUE, ""其他""
)"),"其他")</f>
        <v>其他</v>
      </c>
      <c r="K8700" s="270" t="str">
        <f t="shared" si="2"/>
        <v/>
      </c>
      <c r="L8700">
        <f t="shared" si="3"/>
        <v>0</v>
      </c>
    </row>
    <row r="8701">
      <c r="A8701" s="107"/>
      <c r="D8701" s="270"/>
      <c r="H8701" s="106" t="str">
        <f t="shared" si="1"/>
        <v/>
      </c>
      <c r="J8701" t="str">
        <f>IFERROR(__xludf.DUMMYFUNCTION("IFS(
  AND(REGEXMATCH(E8701, ""台銀籌備帳戶|玉山帳戶""), REGEXMATCH(C8701, ""薪資"")), ""分潤支出"",
  AND(REGEXMATCH(E8701, ""Ben帳戶|Elsa帳戶|Ben代墊|Ariel代墊|中信銀行共用""), REGEXMATCH(F8701, ""Ben帳戶|Elsa帳戶|Ben代墊|Ariel代墊|中信銀行共用"")), ""內部轉帳(忽略)"",
  AND(E8701&lt;&gt;"""", F8701&lt;&gt;"""", N"&amp;"OT(REGEXMATCH(C8701, ""薪資""))), ""內部轉帳(忽略)"",
  REGEXMATCH(C8701, ""薪資""), ""薪資變動(不計入)"",
  REGEXMATCH(C8701, ""押金""), ""押金往來"",
  AND(E8701&lt;&gt;"""", F8701=""""), ""真實支出"",
  AND(E8701="""", F8701&lt;&gt;""""), ""真實收入"",
  TRUE, ""其他""
)"),"其他")</f>
        <v>其他</v>
      </c>
      <c r="K8701" s="270" t="str">
        <f t="shared" si="2"/>
        <v/>
      </c>
      <c r="L8701">
        <f t="shared" si="3"/>
        <v>0</v>
      </c>
    </row>
    <row r="8702">
      <c r="A8702" s="107"/>
      <c r="D8702" s="270"/>
      <c r="H8702" s="106" t="str">
        <f t="shared" si="1"/>
        <v/>
      </c>
      <c r="J8702" t="str">
        <f>IFERROR(__xludf.DUMMYFUNCTION("IFS(
  AND(REGEXMATCH(E8702, ""台銀籌備帳戶|玉山帳戶""), REGEXMATCH(C8702, ""薪資"")), ""分潤支出"",
  AND(REGEXMATCH(E8702, ""Ben帳戶|Elsa帳戶|Ben代墊|Ariel代墊|中信銀行共用""), REGEXMATCH(F8702, ""Ben帳戶|Elsa帳戶|Ben代墊|Ariel代墊|中信銀行共用"")), ""內部轉帳(忽略)"",
  AND(E8702&lt;&gt;"""", F8702&lt;&gt;"""", N"&amp;"OT(REGEXMATCH(C8702, ""薪資""))), ""內部轉帳(忽略)"",
  REGEXMATCH(C8702, ""薪資""), ""薪資變動(不計入)"",
  REGEXMATCH(C8702, ""押金""), ""押金往來"",
  AND(E8702&lt;&gt;"""", F8702=""""), ""真實支出"",
  AND(E8702="""", F8702&lt;&gt;""""), ""真實收入"",
  TRUE, ""其他""
)"),"其他")</f>
        <v>其他</v>
      </c>
      <c r="K8702" s="270" t="str">
        <f t="shared" si="2"/>
        <v/>
      </c>
      <c r="L8702">
        <f t="shared" si="3"/>
        <v>0</v>
      </c>
    </row>
    <row r="8703">
      <c r="A8703" s="107"/>
      <c r="D8703" s="270"/>
      <c r="H8703" s="106" t="str">
        <f t="shared" si="1"/>
        <v/>
      </c>
      <c r="J8703" t="str">
        <f>IFERROR(__xludf.DUMMYFUNCTION("IFS(
  AND(REGEXMATCH(E8703, ""台銀籌備帳戶|玉山帳戶""), REGEXMATCH(C8703, ""薪資"")), ""分潤支出"",
  AND(REGEXMATCH(E8703, ""Ben帳戶|Elsa帳戶|Ben代墊|Ariel代墊|中信銀行共用""), REGEXMATCH(F8703, ""Ben帳戶|Elsa帳戶|Ben代墊|Ariel代墊|中信銀行共用"")), ""內部轉帳(忽略)"",
  AND(E8703&lt;&gt;"""", F8703&lt;&gt;"""", N"&amp;"OT(REGEXMATCH(C8703, ""薪資""))), ""內部轉帳(忽略)"",
  REGEXMATCH(C8703, ""薪資""), ""薪資變動(不計入)"",
  REGEXMATCH(C8703, ""押金""), ""押金往來"",
  AND(E8703&lt;&gt;"""", F8703=""""), ""真實支出"",
  AND(E8703="""", F8703&lt;&gt;""""), ""真實收入"",
  TRUE, ""其他""
)"),"其他")</f>
        <v>其他</v>
      </c>
      <c r="K8703" s="270" t="str">
        <f t="shared" si="2"/>
        <v/>
      </c>
      <c r="L8703">
        <f t="shared" si="3"/>
        <v>0</v>
      </c>
    </row>
    <row r="8704">
      <c r="A8704" s="107"/>
      <c r="D8704" s="270"/>
      <c r="H8704" s="106" t="str">
        <f t="shared" si="1"/>
        <v/>
      </c>
      <c r="J8704" t="str">
        <f>IFERROR(__xludf.DUMMYFUNCTION("IFS(
  AND(REGEXMATCH(E8704, ""台銀籌備帳戶|玉山帳戶""), REGEXMATCH(C8704, ""薪資"")), ""分潤支出"",
  AND(REGEXMATCH(E8704, ""Ben帳戶|Elsa帳戶|Ben代墊|Ariel代墊|中信銀行共用""), REGEXMATCH(F8704, ""Ben帳戶|Elsa帳戶|Ben代墊|Ariel代墊|中信銀行共用"")), ""內部轉帳(忽略)"",
  AND(E8704&lt;&gt;"""", F8704&lt;&gt;"""", N"&amp;"OT(REGEXMATCH(C8704, ""薪資""))), ""內部轉帳(忽略)"",
  REGEXMATCH(C8704, ""薪資""), ""薪資變動(不計入)"",
  REGEXMATCH(C8704, ""押金""), ""押金往來"",
  AND(E8704&lt;&gt;"""", F8704=""""), ""真實支出"",
  AND(E8704="""", F8704&lt;&gt;""""), ""真實收入"",
  TRUE, ""其他""
)"),"其他")</f>
        <v>其他</v>
      </c>
      <c r="K8704" s="270" t="str">
        <f t="shared" si="2"/>
        <v/>
      </c>
      <c r="L8704">
        <f t="shared" si="3"/>
        <v>0</v>
      </c>
    </row>
    <row r="8705">
      <c r="A8705" s="107"/>
      <c r="D8705" s="270"/>
      <c r="H8705" s="106" t="str">
        <f t="shared" si="1"/>
        <v/>
      </c>
      <c r="J8705" t="str">
        <f>IFERROR(__xludf.DUMMYFUNCTION("IFS(
  AND(REGEXMATCH(E8705, ""台銀籌備帳戶|玉山帳戶""), REGEXMATCH(C8705, ""薪資"")), ""分潤支出"",
  AND(REGEXMATCH(E8705, ""Ben帳戶|Elsa帳戶|Ben代墊|Ariel代墊|中信銀行共用""), REGEXMATCH(F8705, ""Ben帳戶|Elsa帳戶|Ben代墊|Ariel代墊|中信銀行共用"")), ""內部轉帳(忽略)"",
  AND(E8705&lt;&gt;"""", F8705&lt;&gt;"""", N"&amp;"OT(REGEXMATCH(C8705, ""薪資""))), ""內部轉帳(忽略)"",
  REGEXMATCH(C8705, ""薪資""), ""薪資變動(不計入)"",
  REGEXMATCH(C8705, ""押金""), ""押金往來"",
  AND(E8705&lt;&gt;"""", F8705=""""), ""真實支出"",
  AND(E8705="""", F8705&lt;&gt;""""), ""真實收入"",
  TRUE, ""其他""
)"),"其他")</f>
        <v>其他</v>
      </c>
      <c r="K8705" s="270" t="str">
        <f t="shared" si="2"/>
        <v/>
      </c>
      <c r="L8705">
        <f t="shared" si="3"/>
        <v>0</v>
      </c>
    </row>
    <row r="8706">
      <c r="A8706" s="107"/>
      <c r="D8706" s="270"/>
      <c r="H8706" s="106" t="str">
        <f t="shared" si="1"/>
        <v/>
      </c>
      <c r="J8706" t="str">
        <f>IFERROR(__xludf.DUMMYFUNCTION("IFS(
  AND(REGEXMATCH(E8706, ""台銀籌備帳戶|玉山帳戶""), REGEXMATCH(C8706, ""薪資"")), ""分潤支出"",
  AND(REGEXMATCH(E8706, ""Ben帳戶|Elsa帳戶|Ben代墊|Ariel代墊|中信銀行共用""), REGEXMATCH(F8706, ""Ben帳戶|Elsa帳戶|Ben代墊|Ariel代墊|中信銀行共用"")), ""內部轉帳(忽略)"",
  AND(E8706&lt;&gt;"""", F8706&lt;&gt;"""", N"&amp;"OT(REGEXMATCH(C8706, ""薪資""))), ""內部轉帳(忽略)"",
  REGEXMATCH(C8706, ""薪資""), ""薪資變動(不計入)"",
  REGEXMATCH(C8706, ""押金""), ""押金往來"",
  AND(E8706&lt;&gt;"""", F8706=""""), ""真實支出"",
  AND(E8706="""", F8706&lt;&gt;""""), ""真實收入"",
  TRUE, ""其他""
)"),"其他")</f>
        <v>其他</v>
      </c>
      <c r="K8706" s="270" t="str">
        <f t="shared" si="2"/>
        <v/>
      </c>
      <c r="L8706">
        <f t="shared" si="3"/>
        <v>0</v>
      </c>
    </row>
    <row r="8707">
      <c r="A8707" s="107"/>
      <c r="D8707" s="270"/>
      <c r="H8707" s="106" t="str">
        <f t="shared" si="1"/>
        <v/>
      </c>
      <c r="J8707" t="str">
        <f>IFERROR(__xludf.DUMMYFUNCTION("IFS(
  AND(REGEXMATCH(E8707, ""台銀籌備帳戶|玉山帳戶""), REGEXMATCH(C8707, ""薪資"")), ""分潤支出"",
  AND(REGEXMATCH(E8707, ""Ben帳戶|Elsa帳戶|Ben代墊|Ariel代墊|中信銀行共用""), REGEXMATCH(F8707, ""Ben帳戶|Elsa帳戶|Ben代墊|Ariel代墊|中信銀行共用"")), ""內部轉帳(忽略)"",
  AND(E8707&lt;&gt;"""", F8707&lt;&gt;"""", N"&amp;"OT(REGEXMATCH(C8707, ""薪資""))), ""內部轉帳(忽略)"",
  REGEXMATCH(C8707, ""薪資""), ""薪資變動(不計入)"",
  REGEXMATCH(C8707, ""押金""), ""押金往來"",
  AND(E8707&lt;&gt;"""", F8707=""""), ""真實支出"",
  AND(E8707="""", F8707&lt;&gt;""""), ""真實收入"",
  TRUE, ""其他""
)"),"其他")</f>
        <v>其他</v>
      </c>
      <c r="K8707" s="270" t="str">
        <f t="shared" si="2"/>
        <v/>
      </c>
      <c r="L8707">
        <f t="shared" si="3"/>
        <v>0</v>
      </c>
    </row>
    <row r="8708">
      <c r="A8708" s="107"/>
      <c r="D8708" s="270"/>
      <c r="H8708" s="106" t="str">
        <f t="shared" si="1"/>
        <v/>
      </c>
      <c r="J8708" t="str">
        <f>IFERROR(__xludf.DUMMYFUNCTION("IFS(
  AND(REGEXMATCH(E8708, ""台銀籌備帳戶|玉山帳戶""), REGEXMATCH(C8708, ""薪資"")), ""分潤支出"",
  AND(REGEXMATCH(E8708, ""Ben帳戶|Elsa帳戶|Ben代墊|Ariel代墊|中信銀行共用""), REGEXMATCH(F8708, ""Ben帳戶|Elsa帳戶|Ben代墊|Ariel代墊|中信銀行共用"")), ""內部轉帳(忽略)"",
  AND(E8708&lt;&gt;"""", F8708&lt;&gt;"""", N"&amp;"OT(REGEXMATCH(C8708, ""薪資""))), ""內部轉帳(忽略)"",
  REGEXMATCH(C8708, ""薪資""), ""薪資變動(不計入)"",
  REGEXMATCH(C8708, ""押金""), ""押金往來"",
  AND(E8708&lt;&gt;"""", F8708=""""), ""真實支出"",
  AND(E8708="""", F8708&lt;&gt;""""), ""真實收入"",
  TRUE, ""其他""
)"),"其他")</f>
        <v>其他</v>
      </c>
      <c r="K8708" s="270" t="str">
        <f t="shared" si="2"/>
        <v/>
      </c>
      <c r="L8708">
        <f t="shared" si="3"/>
        <v>0</v>
      </c>
    </row>
    <row r="8709">
      <c r="A8709" s="107"/>
      <c r="D8709" s="270"/>
      <c r="H8709" s="106" t="str">
        <f t="shared" si="1"/>
        <v/>
      </c>
      <c r="J8709" t="str">
        <f>IFERROR(__xludf.DUMMYFUNCTION("IFS(
  AND(REGEXMATCH(E8709, ""台銀籌備帳戶|玉山帳戶""), REGEXMATCH(C8709, ""薪資"")), ""分潤支出"",
  AND(REGEXMATCH(E8709, ""Ben帳戶|Elsa帳戶|Ben代墊|Ariel代墊|中信銀行共用""), REGEXMATCH(F8709, ""Ben帳戶|Elsa帳戶|Ben代墊|Ariel代墊|中信銀行共用"")), ""內部轉帳(忽略)"",
  AND(E8709&lt;&gt;"""", F8709&lt;&gt;"""", N"&amp;"OT(REGEXMATCH(C8709, ""薪資""))), ""內部轉帳(忽略)"",
  REGEXMATCH(C8709, ""薪資""), ""薪資變動(不計入)"",
  REGEXMATCH(C8709, ""押金""), ""押金往來"",
  AND(E8709&lt;&gt;"""", F8709=""""), ""真實支出"",
  AND(E8709="""", F8709&lt;&gt;""""), ""真實收入"",
  TRUE, ""其他""
)"),"其他")</f>
        <v>其他</v>
      </c>
      <c r="K8709" s="270" t="str">
        <f t="shared" si="2"/>
        <v/>
      </c>
      <c r="L8709">
        <f t="shared" si="3"/>
        <v>0</v>
      </c>
    </row>
    <row r="8710">
      <c r="A8710" s="107"/>
      <c r="D8710" s="270"/>
      <c r="H8710" s="106" t="str">
        <f t="shared" si="1"/>
        <v/>
      </c>
      <c r="J8710" t="str">
        <f>IFERROR(__xludf.DUMMYFUNCTION("IFS(
  AND(REGEXMATCH(E8710, ""台銀籌備帳戶|玉山帳戶""), REGEXMATCH(C8710, ""薪資"")), ""分潤支出"",
  AND(REGEXMATCH(E8710, ""Ben帳戶|Elsa帳戶|Ben代墊|Ariel代墊|中信銀行共用""), REGEXMATCH(F8710, ""Ben帳戶|Elsa帳戶|Ben代墊|Ariel代墊|中信銀行共用"")), ""內部轉帳(忽略)"",
  AND(E8710&lt;&gt;"""", F8710&lt;&gt;"""", N"&amp;"OT(REGEXMATCH(C8710, ""薪資""))), ""內部轉帳(忽略)"",
  REGEXMATCH(C8710, ""薪資""), ""薪資變動(不計入)"",
  REGEXMATCH(C8710, ""押金""), ""押金往來"",
  AND(E8710&lt;&gt;"""", F8710=""""), ""真實支出"",
  AND(E8710="""", F8710&lt;&gt;""""), ""真實收入"",
  TRUE, ""其他""
)"),"其他")</f>
        <v>其他</v>
      </c>
      <c r="K8710" s="270" t="str">
        <f t="shared" si="2"/>
        <v/>
      </c>
      <c r="L8710">
        <f t="shared" si="3"/>
        <v>0</v>
      </c>
    </row>
    <row r="8711">
      <c r="A8711" s="107"/>
      <c r="D8711" s="270"/>
      <c r="H8711" s="106" t="str">
        <f t="shared" si="1"/>
        <v/>
      </c>
      <c r="J8711" t="str">
        <f>IFERROR(__xludf.DUMMYFUNCTION("IFS(
  AND(REGEXMATCH(E8711, ""台銀籌備帳戶|玉山帳戶""), REGEXMATCH(C8711, ""薪資"")), ""分潤支出"",
  AND(REGEXMATCH(E8711, ""Ben帳戶|Elsa帳戶|Ben代墊|Ariel代墊|中信銀行共用""), REGEXMATCH(F8711, ""Ben帳戶|Elsa帳戶|Ben代墊|Ariel代墊|中信銀行共用"")), ""內部轉帳(忽略)"",
  AND(E8711&lt;&gt;"""", F8711&lt;&gt;"""", N"&amp;"OT(REGEXMATCH(C8711, ""薪資""))), ""內部轉帳(忽略)"",
  REGEXMATCH(C8711, ""薪資""), ""薪資變動(不計入)"",
  REGEXMATCH(C8711, ""押金""), ""押金往來"",
  AND(E8711&lt;&gt;"""", F8711=""""), ""真實支出"",
  AND(E8711="""", F8711&lt;&gt;""""), ""真實收入"",
  TRUE, ""其他""
)"),"其他")</f>
        <v>其他</v>
      </c>
      <c r="K8711" s="270" t="str">
        <f t="shared" si="2"/>
        <v/>
      </c>
      <c r="L8711">
        <f t="shared" si="3"/>
        <v>0</v>
      </c>
    </row>
    <row r="8712">
      <c r="A8712" s="107"/>
      <c r="D8712" s="270"/>
      <c r="H8712" s="106" t="str">
        <f t="shared" si="1"/>
        <v/>
      </c>
      <c r="J8712" t="str">
        <f>IFERROR(__xludf.DUMMYFUNCTION("IFS(
  AND(REGEXMATCH(E8712, ""台銀籌備帳戶|玉山帳戶""), REGEXMATCH(C8712, ""薪資"")), ""分潤支出"",
  AND(REGEXMATCH(E8712, ""Ben帳戶|Elsa帳戶|Ben代墊|Ariel代墊|中信銀行共用""), REGEXMATCH(F8712, ""Ben帳戶|Elsa帳戶|Ben代墊|Ariel代墊|中信銀行共用"")), ""內部轉帳(忽略)"",
  AND(E8712&lt;&gt;"""", F8712&lt;&gt;"""", N"&amp;"OT(REGEXMATCH(C8712, ""薪資""))), ""內部轉帳(忽略)"",
  REGEXMATCH(C8712, ""薪資""), ""薪資變動(不計入)"",
  REGEXMATCH(C8712, ""押金""), ""押金往來"",
  AND(E8712&lt;&gt;"""", F8712=""""), ""真實支出"",
  AND(E8712="""", F8712&lt;&gt;""""), ""真實收入"",
  TRUE, ""其他""
)"),"其他")</f>
        <v>其他</v>
      </c>
      <c r="K8712" s="270" t="str">
        <f t="shared" si="2"/>
        <v/>
      </c>
      <c r="L8712">
        <f t="shared" si="3"/>
        <v>0</v>
      </c>
    </row>
    <row r="8713">
      <c r="A8713" s="107"/>
      <c r="D8713" s="270"/>
      <c r="H8713" s="106" t="str">
        <f t="shared" si="1"/>
        <v/>
      </c>
      <c r="J8713" t="str">
        <f>IFERROR(__xludf.DUMMYFUNCTION("IFS(
  AND(REGEXMATCH(E8713, ""台銀籌備帳戶|玉山帳戶""), REGEXMATCH(C8713, ""薪資"")), ""分潤支出"",
  AND(REGEXMATCH(E8713, ""Ben帳戶|Elsa帳戶|Ben代墊|Ariel代墊|中信銀行共用""), REGEXMATCH(F8713, ""Ben帳戶|Elsa帳戶|Ben代墊|Ariel代墊|中信銀行共用"")), ""內部轉帳(忽略)"",
  AND(E8713&lt;&gt;"""", F8713&lt;&gt;"""", N"&amp;"OT(REGEXMATCH(C8713, ""薪資""))), ""內部轉帳(忽略)"",
  REGEXMATCH(C8713, ""薪資""), ""薪資變動(不計入)"",
  REGEXMATCH(C8713, ""押金""), ""押金往來"",
  AND(E8713&lt;&gt;"""", F8713=""""), ""真實支出"",
  AND(E8713="""", F8713&lt;&gt;""""), ""真實收入"",
  TRUE, ""其他""
)"),"其他")</f>
        <v>其他</v>
      </c>
      <c r="K8713" s="270" t="str">
        <f t="shared" si="2"/>
        <v/>
      </c>
      <c r="L8713">
        <f t="shared" si="3"/>
        <v>0</v>
      </c>
    </row>
    <row r="8714">
      <c r="A8714" s="107"/>
      <c r="D8714" s="270"/>
      <c r="H8714" s="106" t="str">
        <f t="shared" si="1"/>
        <v/>
      </c>
      <c r="J8714" t="str">
        <f>IFERROR(__xludf.DUMMYFUNCTION("IFS(
  AND(REGEXMATCH(E8714, ""台銀籌備帳戶|玉山帳戶""), REGEXMATCH(C8714, ""薪資"")), ""分潤支出"",
  AND(REGEXMATCH(E8714, ""Ben帳戶|Elsa帳戶|Ben代墊|Ariel代墊|中信銀行共用""), REGEXMATCH(F8714, ""Ben帳戶|Elsa帳戶|Ben代墊|Ariel代墊|中信銀行共用"")), ""內部轉帳(忽略)"",
  AND(E8714&lt;&gt;"""", F8714&lt;&gt;"""", N"&amp;"OT(REGEXMATCH(C8714, ""薪資""))), ""內部轉帳(忽略)"",
  REGEXMATCH(C8714, ""薪資""), ""薪資變動(不計入)"",
  REGEXMATCH(C8714, ""押金""), ""押金往來"",
  AND(E8714&lt;&gt;"""", F8714=""""), ""真實支出"",
  AND(E8714="""", F8714&lt;&gt;""""), ""真實收入"",
  TRUE, ""其他""
)"),"其他")</f>
        <v>其他</v>
      </c>
      <c r="K8714" s="270" t="str">
        <f t="shared" si="2"/>
        <v/>
      </c>
      <c r="L8714">
        <f t="shared" si="3"/>
        <v>0</v>
      </c>
    </row>
    <row r="8715">
      <c r="A8715" s="107"/>
      <c r="D8715" s="270"/>
      <c r="H8715" s="106" t="str">
        <f t="shared" si="1"/>
        <v/>
      </c>
      <c r="J8715" t="str">
        <f>IFERROR(__xludf.DUMMYFUNCTION("IFS(
  AND(REGEXMATCH(E8715, ""台銀籌備帳戶|玉山帳戶""), REGEXMATCH(C8715, ""薪資"")), ""分潤支出"",
  AND(REGEXMATCH(E8715, ""Ben帳戶|Elsa帳戶|Ben代墊|Ariel代墊|中信銀行共用""), REGEXMATCH(F8715, ""Ben帳戶|Elsa帳戶|Ben代墊|Ariel代墊|中信銀行共用"")), ""內部轉帳(忽略)"",
  AND(E8715&lt;&gt;"""", F8715&lt;&gt;"""", N"&amp;"OT(REGEXMATCH(C8715, ""薪資""))), ""內部轉帳(忽略)"",
  REGEXMATCH(C8715, ""薪資""), ""薪資變動(不計入)"",
  REGEXMATCH(C8715, ""押金""), ""押金往來"",
  AND(E8715&lt;&gt;"""", F8715=""""), ""真實支出"",
  AND(E8715="""", F8715&lt;&gt;""""), ""真實收入"",
  TRUE, ""其他""
)"),"其他")</f>
        <v>其他</v>
      </c>
      <c r="K8715" s="270" t="str">
        <f t="shared" si="2"/>
        <v/>
      </c>
      <c r="L8715">
        <f t="shared" si="3"/>
        <v>0</v>
      </c>
    </row>
    <row r="8716">
      <c r="A8716" s="107"/>
      <c r="D8716" s="270"/>
      <c r="H8716" s="106" t="str">
        <f t="shared" si="1"/>
        <v/>
      </c>
      <c r="J8716" t="str">
        <f>IFERROR(__xludf.DUMMYFUNCTION("IFS(
  AND(REGEXMATCH(E8716, ""台銀籌備帳戶|玉山帳戶""), REGEXMATCH(C8716, ""薪資"")), ""分潤支出"",
  AND(REGEXMATCH(E8716, ""Ben帳戶|Elsa帳戶|Ben代墊|Ariel代墊|中信銀行共用""), REGEXMATCH(F8716, ""Ben帳戶|Elsa帳戶|Ben代墊|Ariel代墊|中信銀行共用"")), ""內部轉帳(忽略)"",
  AND(E8716&lt;&gt;"""", F8716&lt;&gt;"""", N"&amp;"OT(REGEXMATCH(C8716, ""薪資""))), ""內部轉帳(忽略)"",
  REGEXMATCH(C8716, ""薪資""), ""薪資變動(不計入)"",
  REGEXMATCH(C8716, ""押金""), ""押金往來"",
  AND(E8716&lt;&gt;"""", F8716=""""), ""真實支出"",
  AND(E8716="""", F8716&lt;&gt;""""), ""真實收入"",
  TRUE, ""其他""
)"),"其他")</f>
        <v>其他</v>
      </c>
      <c r="K8716" s="270" t="str">
        <f t="shared" si="2"/>
        <v/>
      </c>
      <c r="L8716">
        <f t="shared" si="3"/>
        <v>0</v>
      </c>
    </row>
    <row r="8717">
      <c r="A8717" s="107"/>
      <c r="D8717" s="270"/>
      <c r="H8717" s="106" t="str">
        <f t="shared" si="1"/>
        <v/>
      </c>
      <c r="J8717" t="str">
        <f>IFERROR(__xludf.DUMMYFUNCTION("IFS(
  AND(REGEXMATCH(E8717, ""台銀籌備帳戶|玉山帳戶""), REGEXMATCH(C8717, ""薪資"")), ""分潤支出"",
  AND(REGEXMATCH(E8717, ""Ben帳戶|Elsa帳戶|Ben代墊|Ariel代墊|中信銀行共用""), REGEXMATCH(F8717, ""Ben帳戶|Elsa帳戶|Ben代墊|Ariel代墊|中信銀行共用"")), ""內部轉帳(忽略)"",
  AND(E8717&lt;&gt;"""", F8717&lt;&gt;"""", N"&amp;"OT(REGEXMATCH(C8717, ""薪資""))), ""內部轉帳(忽略)"",
  REGEXMATCH(C8717, ""薪資""), ""薪資變動(不計入)"",
  REGEXMATCH(C8717, ""押金""), ""押金往來"",
  AND(E8717&lt;&gt;"""", F8717=""""), ""真實支出"",
  AND(E8717="""", F8717&lt;&gt;""""), ""真實收入"",
  TRUE, ""其他""
)"),"其他")</f>
        <v>其他</v>
      </c>
      <c r="K8717" s="270" t="str">
        <f t="shared" si="2"/>
        <v/>
      </c>
      <c r="L8717">
        <f t="shared" si="3"/>
        <v>0</v>
      </c>
    </row>
    <row r="8718">
      <c r="A8718" s="107"/>
      <c r="D8718" s="270"/>
      <c r="H8718" s="106" t="str">
        <f t="shared" si="1"/>
        <v/>
      </c>
      <c r="J8718" t="str">
        <f>IFERROR(__xludf.DUMMYFUNCTION("IFS(
  AND(REGEXMATCH(E8718, ""台銀籌備帳戶|玉山帳戶""), REGEXMATCH(C8718, ""薪資"")), ""分潤支出"",
  AND(REGEXMATCH(E8718, ""Ben帳戶|Elsa帳戶|Ben代墊|Ariel代墊|中信銀行共用""), REGEXMATCH(F8718, ""Ben帳戶|Elsa帳戶|Ben代墊|Ariel代墊|中信銀行共用"")), ""內部轉帳(忽略)"",
  AND(E8718&lt;&gt;"""", F8718&lt;&gt;"""", N"&amp;"OT(REGEXMATCH(C8718, ""薪資""))), ""內部轉帳(忽略)"",
  REGEXMATCH(C8718, ""薪資""), ""薪資變動(不計入)"",
  REGEXMATCH(C8718, ""押金""), ""押金往來"",
  AND(E8718&lt;&gt;"""", F8718=""""), ""真實支出"",
  AND(E8718="""", F8718&lt;&gt;""""), ""真實收入"",
  TRUE, ""其他""
)"),"其他")</f>
        <v>其他</v>
      </c>
      <c r="K8718" s="270" t="str">
        <f t="shared" si="2"/>
        <v/>
      </c>
      <c r="L8718">
        <f t="shared" si="3"/>
        <v>0</v>
      </c>
    </row>
    <row r="8719">
      <c r="A8719" s="107"/>
      <c r="D8719" s="270"/>
      <c r="H8719" s="106" t="str">
        <f t="shared" si="1"/>
        <v/>
      </c>
      <c r="J8719" t="str">
        <f>IFERROR(__xludf.DUMMYFUNCTION("IFS(
  AND(REGEXMATCH(E8719, ""台銀籌備帳戶|玉山帳戶""), REGEXMATCH(C8719, ""薪資"")), ""分潤支出"",
  AND(REGEXMATCH(E8719, ""Ben帳戶|Elsa帳戶|Ben代墊|Ariel代墊|中信銀行共用""), REGEXMATCH(F8719, ""Ben帳戶|Elsa帳戶|Ben代墊|Ariel代墊|中信銀行共用"")), ""內部轉帳(忽略)"",
  AND(E8719&lt;&gt;"""", F8719&lt;&gt;"""", N"&amp;"OT(REGEXMATCH(C8719, ""薪資""))), ""內部轉帳(忽略)"",
  REGEXMATCH(C8719, ""薪資""), ""薪資變動(不計入)"",
  REGEXMATCH(C8719, ""押金""), ""押金往來"",
  AND(E8719&lt;&gt;"""", F8719=""""), ""真實支出"",
  AND(E8719="""", F8719&lt;&gt;""""), ""真實收入"",
  TRUE, ""其他""
)"),"其他")</f>
        <v>其他</v>
      </c>
      <c r="K8719" s="270" t="str">
        <f t="shared" si="2"/>
        <v/>
      </c>
      <c r="L8719">
        <f t="shared" si="3"/>
        <v>0</v>
      </c>
    </row>
    <row r="8720">
      <c r="A8720" s="107"/>
      <c r="D8720" s="270"/>
      <c r="H8720" s="106" t="str">
        <f t="shared" si="1"/>
        <v/>
      </c>
      <c r="J8720" t="str">
        <f>IFERROR(__xludf.DUMMYFUNCTION("IFS(
  AND(REGEXMATCH(E8720, ""台銀籌備帳戶|玉山帳戶""), REGEXMATCH(C8720, ""薪資"")), ""分潤支出"",
  AND(REGEXMATCH(E8720, ""Ben帳戶|Elsa帳戶|Ben代墊|Ariel代墊|中信銀行共用""), REGEXMATCH(F8720, ""Ben帳戶|Elsa帳戶|Ben代墊|Ariel代墊|中信銀行共用"")), ""內部轉帳(忽略)"",
  AND(E8720&lt;&gt;"""", F8720&lt;&gt;"""", N"&amp;"OT(REGEXMATCH(C8720, ""薪資""))), ""內部轉帳(忽略)"",
  REGEXMATCH(C8720, ""薪資""), ""薪資變動(不計入)"",
  REGEXMATCH(C8720, ""押金""), ""押金往來"",
  AND(E8720&lt;&gt;"""", F8720=""""), ""真實支出"",
  AND(E8720="""", F8720&lt;&gt;""""), ""真實收入"",
  TRUE, ""其他""
)"),"其他")</f>
        <v>其他</v>
      </c>
      <c r="K8720" s="270" t="str">
        <f t="shared" si="2"/>
        <v/>
      </c>
      <c r="L8720">
        <f t="shared" si="3"/>
        <v>0</v>
      </c>
    </row>
    <row r="8721">
      <c r="A8721" s="107"/>
      <c r="D8721" s="270"/>
      <c r="H8721" s="106" t="str">
        <f t="shared" si="1"/>
        <v/>
      </c>
      <c r="J8721" t="str">
        <f>IFERROR(__xludf.DUMMYFUNCTION("IFS(
  AND(REGEXMATCH(E8721, ""台銀籌備帳戶|玉山帳戶""), REGEXMATCH(C8721, ""薪資"")), ""分潤支出"",
  AND(REGEXMATCH(E8721, ""Ben帳戶|Elsa帳戶|Ben代墊|Ariel代墊|中信銀行共用""), REGEXMATCH(F8721, ""Ben帳戶|Elsa帳戶|Ben代墊|Ariel代墊|中信銀行共用"")), ""內部轉帳(忽略)"",
  AND(E8721&lt;&gt;"""", F8721&lt;&gt;"""", N"&amp;"OT(REGEXMATCH(C8721, ""薪資""))), ""內部轉帳(忽略)"",
  REGEXMATCH(C8721, ""薪資""), ""薪資變動(不計入)"",
  REGEXMATCH(C8721, ""押金""), ""押金往來"",
  AND(E8721&lt;&gt;"""", F8721=""""), ""真實支出"",
  AND(E8721="""", F8721&lt;&gt;""""), ""真實收入"",
  TRUE, ""其他""
)"),"其他")</f>
        <v>其他</v>
      </c>
      <c r="K8721" s="270" t="str">
        <f t="shared" si="2"/>
        <v/>
      </c>
      <c r="L8721">
        <f t="shared" si="3"/>
        <v>0</v>
      </c>
    </row>
    <row r="8722">
      <c r="A8722" s="107"/>
      <c r="D8722" s="270"/>
      <c r="H8722" s="106" t="str">
        <f t="shared" si="1"/>
        <v/>
      </c>
      <c r="J8722" t="str">
        <f>IFERROR(__xludf.DUMMYFUNCTION("IFS(
  AND(REGEXMATCH(E8722, ""台銀籌備帳戶|玉山帳戶""), REGEXMATCH(C8722, ""薪資"")), ""分潤支出"",
  AND(REGEXMATCH(E8722, ""Ben帳戶|Elsa帳戶|Ben代墊|Ariel代墊|中信銀行共用""), REGEXMATCH(F8722, ""Ben帳戶|Elsa帳戶|Ben代墊|Ariel代墊|中信銀行共用"")), ""內部轉帳(忽略)"",
  AND(E8722&lt;&gt;"""", F8722&lt;&gt;"""", N"&amp;"OT(REGEXMATCH(C8722, ""薪資""))), ""內部轉帳(忽略)"",
  REGEXMATCH(C8722, ""薪資""), ""薪資變動(不計入)"",
  REGEXMATCH(C8722, ""押金""), ""押金往來"",
  AND(E8722&lt;&gt;"""", F8722=""""), ""真實支出"",
  AND(E8722="""", F8722&lt;&gt;""""), ""真實收入"",
  TRUE, ""其他""
)"),"其他")</f>
        <v>其他</v>
      </c>
      <c r="K8722" s="270" t="str">
        <f t="shared" si="2"/>
        <v/>
      </c>
      <c r="L8722">
        <f t="shared" si="3"/>
        <v>0</v>
      </c>
    </row>
    <row r="8723">
      <c r="A8723" s="107"/>
      <c r="D8723" s="270"/>
      <c r="H8723" s="106" t="str">
        <f t="shared" si="1"/>
        <v/>
      </c>
      <c r="J8723" t="str">
        <f>IFERROR(__xludf.DUMMYFUNCTION("IFS(
  AND(REGEXMATCH(E8723, ""台銀籌備帳戶|玉山帳戶""), REGEXMATCH(C8723, ""薪資"")), ""分潤支出"",
  AND(REGEXMATCH(E8723, ""Ben帳戶|Elsa帳戶|Ben代墊|Ariel代墊|中信銀行共用""), REGEXMATCH(F8723, ""Ben帳戶|Elsa帳戶|Ben代墊|Ariel代墊|中信銀行共用"")), ""內部轉帳(忽略)"",
  AND(E8723&lt;&gt;"""", F8723&lt;&gt;"""", N"&amp;"OT(REGEXMATCH(C8723, ""薪資""))), ""內部轉帳(忽略)"",
  REGEXMATCH(C8723, ""薪資""), ""薪資變動(不計入)"",
  REGEXMATCH(C8723, ""押金""), ""押金往來"",
  AND(E8723&lt;&gt;"""", F8723=""""), ""真實支出"",
  AND(E8723="""", F8723&lt;&gt;""""), ""真實收入"",
  TRUE, ""其他""
)"),"其他")</f>
        <v>其他</v>
      </c>
      <c r="K8723" s="270" t="str">
        <f t="shared" si="2"/>
        <v/>
      </c>
      <c r="L8723">
        <f t="shared" si="3"/>
        <v>0</v>
      </c>
    </row>
    <row r="8724">
      <c r="A8724" s="107"/>
      <c r="D8724" s="270"/>
      <c r="H8724" s="106" t="str">
        <f t="shared" si="1"/>
        <v/>
      </c>
      <c r="J8724" t="str">
        <f>IFERROR(__xludf.DUMMYFUNCTION("IFS(
  AND(REGEXMATCH(E8724, ""台銀籌備帳戶|玉山帳戶""), REGEXMATCH(C8724, ""薪資"")), ""分潤支出"",
  AND(REGEXMATCH(E8724, ""Ben帳戶|Elsa帳戶|Ben代墊|Ariel代墊|中信銀行共用""), REGEXMATCH(F8724, ""Ben帳戶|Elsa帳戶|Ben代墊|Ariel代墊|中信銀行共用"")), ""內部轉帳(忽略)"",
  AND(E8724&lt;&gt;"""", F8724&lt;&gt;"""", N"&amp;"OT(REGEXMATCH(C8724, ""薪資""))), ""內部轉帳(忽略)"",
  REGEXMATCH(C8724, ""薪資""), ""薪資變動(不計入)"",
  REGEXMATCH(C8724, ""押金""), ""押金往來"",
  AND(E8724&lt;&gt;"""", F8724=""""), ""真實支出"",
  AND(E8724="""", F8724&lt;&gt;""""), ""真實收入"",
  TRUE, ""其他""
)"),"其他")</f>
        <v>其他</v>
      </c>
      <c r="K8724" s="270" t="str">
        <f t="shared" si="2"/>
        <v/>
      </c>
      <c r="L8724">
        <f t="shared" si="3"/>
        <v>0</v>
      </c>
    </row>
    <row r="8725">
      <c r="A8725" s="107"/>
      <c r="D8725" s="270"/>
      <c r="H8725" s="106" t="str">
        <f t="shared" si="1"/>
        <v/>
      </c>
      <c r="J8725" t="str">
        <f>IFERROR(__xludf.DUMMYFUNCTION("IFS(
  AND(REGEXMATCH(E8725, ""台銀籌備帳戶|玉山帳戶""), REGEXMATCH(C8725, ""薪資"")), ""分潤支出"",
  AND(REGEXMATCH(E8725, ""Ben帳戶|Elsa帳戶|Ben代墊|Ariel代墊|中信銀行共用""), REGEXMATCH(F8725, ""Ben帳戶|Elsa帳戶|Ben代墊|Ariel代墊|中信銀行共用"")), ""內部轉帳(忽略)"",
  AND(E8725&lt;&gt;"""", F8725&lt;&gt;"""", N"&amp;"OT(REGEXMATCH(C8725, ""薪資""))), ""內部轉帳(忽略)"",
  REGEXMATCH(C8725, ""薪資""), ""薪資變動(不計入)"",
  REGEXMATCH(C8725, ""押金""), ""押金往來"",
  AND(E8725&lt;&gt;"""", F8725=""""), ""真實支出"",
  AND(E8725="""", F8725&lt;&gt;""""), ""真實收入"",
  TRUE, ""其他""
)"),"其他")</f>
        <v>其他</v>
      </c>
      <c r="K8725" s="270" t="str">
        <f t="shared" si="2"/>
        <v/>
      </c>
      <c r="L8725">
        <f t="shared" si="3"/>
        <v>0</v>
      </c>
    </row>
    <row r="8726">
      <c r="A8726" s="107"/>
      <c r="D8726" s="270"/>
      <c r="H8726" s="106" t="str">
        <f t="shared" si="1"/>
        <v/>
      </c>
      <c r="J8726" t="str">
        <f>IFERROR(__xludf.DUMMYFUNCTION("IFS(
  AND(REGEXMATCH(E8726, ""台銀籌備帳戶|玉山帳戶""), REGEXMATCH(C8726, ""薪資"")), ""分潤支出"",
  AND(REGEXMATCH(E8726, ""Ben帳戶|Elsa帳戶|Ben代墊|Ariel代墊|中信銀行共用""), REGEXMATCH(F8726, ""Ben帳戶|Elsa帳戶|Ben代墊|Ariel代墊|中信銀行共用"")), ""內部轉帳(忽略)"",
  AND(E8726&lt;&gt;"""", F8726&lt;&gt;"""", N"&amp;"OT(REGEXMATCH(C8726, ""薪資""))), ""內部轉帳(忽略)"",
  REGEXMATCH(C8726, ""薪資""), ""薪資變動(不計入)"",
  REGEXMATCH(C8726, ""押金""), ""押金往來"",
  AND(E8726&lt;&gt;"""", F8726=""""), ""真實支出"",
  AND(E8726="""", F8726&lt;&gt;""""), ""真實收入"",
  TRUE, ""其他""
)"),"其他")</f>
        <v>其他</v>
      </c>
      <c r="K8726" s="270" t="str">
        <f t="shared" si="2"/>
        <v/>
      </c>
      <c r="L8726">
        <f t="shared" si="3"/>
        <v>0</v>
      </c>
    </row>
    <row r="8727">
      <c r="A8727" s="107"/>
      <c r="D8727" s="270"/>
      <c r="H8727" s="106" t="str">
        <f t="shared" si="1"/>
        <v/>
      </c>
      <c r="J8727" t="str">
        <f>IFERROR(__xludf.DUMMYFUNCTION("IFS(
  AND(REGEXMATCH(E8727, ""台銀籌備帳戶|玉山帳戶""), REGEXMATCH(C8727, ""薪資"")), ""分潤支出"",
  AND(REGEXMATCH(E8727, ""Ben帳戶|Elsa帳戶|Ben代墊|Ariel代墊|中信銀行共用""), REGEXMATCH(F8727, ""Ben帳戶|Elsa帳戶|Ben代墊|Ariel代墊|中信銀行共用"")), ""內部轉帳(忽略)"",
  AND(E8727&lt;&gt;"""", F8727&lt;&gt;"""", N"&amp;"OT(REGEXMATCH(C8727, ""薪資""))), ""內部轉帳(忽略)"",
  REGEXMATCH(C8727, ""薪資""), ""薪資變動(不計入)"",
  REGEXMATCH(C8727, ""押金""), ""押金往來"",
  AND(E8727&lt;&gt;"""", F8727=""""), ""真實支出"",
  AND(E8727="""", F8727&lt;&gt;""""), ""真實收入"",
  TRUE, ""其他""
)"),"其他")</f>
        <v>其他</v>
      </c>
      <c r="K8727" s="270" t="str">
        <f t="shared" si="2"/>
        <v/>
      </c>
      <c r="L8727">
        <f t="shared" si="3"/>
        <v>0</v>
      </c>
    </row>
    <row r="8728">
      <c r="A8728" s="107"/>
      <c r="D8728" s="270"/>
      <c r="H8728" s="106" t="str">
        <f t="shared" si="1"/>
        <v/>
      </c>
      <c r="J8728" t="str">
        <f>IFERROR(__xludf.DUMMYFUNCTION("IFS(
  AND(REGEXMATCH(E8728, ""台銀籌備帳戶|玉山帳戶""), REGEXMATCH(C8728, ""薪資"")), ""分潤支出"",
  AND(REGEXMATCH(E8728, ""Ben帳戶|Elsa帳戶|Ben代墊|Ariel代墊|中信銀行共用""), REGEXMATCH(F8728, ""Ben帳戶|Elsa帳戶|Ben代墊|Ariel代墊|中信銀行共用"")), ""內部轉帳(忽略)"",
  AND(E8728&lt;&gt;"""", F8728&lt;&gt;"""", N"&amp;"OT(REGEXMATCH(C8728, ""薪資""))), ""內部轉帳(忽略)"",
  REGEXMATCH(C8728, ""薪資""), ""薪資變動(不計入)"",
  REGEXMATCH(C8728, ""押金""), ""押金往來"",
  AND(E8728&lt;&gt;"""", F8728=""""), ""真實支出"",
  AND(E8728="""", F8728&lt;&gt;""""), ""真實收入"",
  TRUE, ""其他""
)"),"其他")</f>
        <v>其他</v>
      </c>
      <c r="K8728" s="270" t="str">
        <f t="shared" si="2"/>
        <v/>
      </c>
      <c r="L8728">
        <f t="shared" si="3"/>
        <v>0</v>
      </c>
    </row>
    <row r="8729">
      <c r="A8729" s="107"/>
      <c r="D8729" s="270"/>
      <c r="H8729" s="106" t="str">
        <f t="shared" si="1"/>
        <v/>
      </c>
      <c r="J8729" t="str">
        <f>IFERROR(__xludf.DUMMYFUNCTION("IFS(
  AND(REGEXMATCH(E8729, ""台銀籌備帳戶|玉山帳戶""), REGEXMATCH(C8729, ""薪資"")), ""分潤支出"",
  AND(REGEXMATCH(E8729, ""Ben帳戶|Elsa帳戶|Ben代墊|Ariel代墊|中信銀行共用""), REGEXMATCH(F8729, ""Ben帳戶|Elsa帳戶|Ben代墊|Ariel代墊|中信銀行共用"")), ""內部轉帳(忽略)"",
  AND(E8729&lt;&gt;"""", F8729&lt;&gt;"""", N"&amp;"OT(REGEXMATCH(C8729, ""薪資""))), ""內部轉帳(忽略)"",
  REGEXMATCH(C8729, ""薪資""), ""薪資變動(不計入)"",
  REGEXMATCH(C8729, ""押金""), ""押金往來"",
  AND(E8729&lt;&gt;"""", F8729=""""), ""真實支出"",
  AND(E8729="""", F8729&lt;&gt;""""), ""真實收入"",
  TRUE, ""其他""
)"),"其他")</f>
        <v>其他</v>
      </c>
      <c r="K8729" s="270" t="str">
        <f t="shared" si="2"/>
        <v/>
      </c>
      <c r="L8729">
        <f t="shared" si="3"/>
        <v>0</v>
      </c>
    </row>
    <row r="8730">
      <c r="A8730" s="107"/>
      <c r="D8730" s="270"/>
      <c r="H8730" s="106" t="str">
        <f t="shared" si="1"/>
        <v/>
      </c>
      <c r="J8730" t="str">
        <f>IFERROR(__xludf.DUMMYFUNCTION("IFS(
  AND(REGEXMATCH(E8730, ""台銀籌備帳戶|玉山帳戶""), REGEXMATCH(C8730, ""薪資"")), ""分潤支出"",
  AND(REGEXMATCH(E8730, ""Ben帳戶|Elsa帳戶|Ben代墊|Ariel代墊|中信銀行共用""), REGEXMATCH(F8730, ""Ben帳戶|Elsa帳戶|Ben代墊|Ariel代墊|中信銀行共用"")), ""內部轉帳(忽略)"",
  AND(E8730&lt;&gt;"""", F8730&lt;&gt;"""", N"&amp;"OT(REGEXMATCH(C8730, ""薪資""))), ""內部轉帳(忽略)"",
  REGEXMATCH(C8730, ""薪資""), ""薪資變動(不計入)"",
  REGEXMATCH(C8730, ""押金""), ""押金往來"",
  AND(E8730&lt;&gt;"""", F8730=""""), ""真實支出"",
  AND(E8730="""", F8730&lt;&gt;""""), ""真實收入"",
  TRUE, ""其他""
)"),"其他")</f>
        <v>其他</v>
      </c>
      <c r="K8730" s="270" t="str">
        <f t="shared" si="2"/>
        <v/>
      </c>
      <c r="L8730">
        <f t="shared" si="3"/>
        <v>0</v>
      </c>
    </row>
    <row r="8731">
      <c r="A8731" s="107"/>
      <c r="D8731" s="270"/>
      <c r="H8731" s="106" t="str">
        <f t="shared" si="1"/>
        <v/>
      </c>
      <c r="J8731" t="str">
        <f>IFERROR(__xludf.DUMMYFUNCTION("IFS(
  AND(REGEXMATCH(E8731, ""台銀籌備帳戶|玉山帳戶""), REGEXMATCH(C8731, ""薪資"")), ""分潤支出"",
  AND(REGEXMATCH(E8731, ""Ben帳戶|Elsa帳戶|Ben代墊|Ariel代墊|中信銀行共用""), REGEXMATCH(F8731, ""Ben帳戶|Elsa帳戶|Ben代墊|Ariel代墊|中信銀行共用"")), ""內部轉帳(忽略)"",
  AND(E8731&lt;&gt;"""", F8731&lt;&gt;"""", N"&amp;"OT(REGEXMATCH(C8731, ""薪資""))), ""內部轉帳(忽略)"",
  REGEXMATCH(C8731, ""薪資""), ""薪資變動(不計入)"",
  REGEXMATCH(C8731, ""押金""), ""押金往來"",
  AND(E8731&lt;&gt;"""", F8731=""""), ""真實支出"",
  AND(E8731="""", F8731&lt;&gt;""""), ""真實收入"",
  TRUE, ""其他""
)"),"其他")</f>
        <v>其他</v>
      </c>
      <c r="K8731" s="270" t="str">
        <f t="shared" si="2"/>
        <v/>
      </c>
      <c r="L8731">
        <f t="shared" si="3"/>
        <v>0</v>
      </c>
    </row>
    <row r="8732">
      <c r="A8732" s="107"/>
      <c r="D8732" s="270"/>
      <c r="H8732" s="106" t="str">
        <f t="shared" si="1"/>
        <v/>
      </c>
      <c r="J8732" t="str">
        <f>IFERROR(__xludf.DUMMYFUNCTION("IFS(
  AND(REGEXMATCH(E8732, ""台銀籌備帳戶|玉山帳戶""), REGEXMATCH(C8732, ""薪資"")), ""分潤支出"",
  AND(REGEXMATCH(E8732, ""Ben帳戶|Elsa帳戶|Ben代墊|Ariel代墊|中信銀行共用""), REGEXMATCH(F8732, ""Ben帳戶|Elsa帳戶|Ben代墊|Ariel代墊|中信銀行共用"")), ""內部轉帳(忽略)"",
  AND(E8732&lt;&gt;"""", F8732&lt;&gt;"""", N"&amp;"OT(REGEXMATCH(C8732, ""薪資""))), ""內部轉帳(忽略)"",
  REGEXMATCH(C8732, ""薪資""), ""薪資變動(不計入)"",
  REGEXMATCH(C8732, ""押金""), ""押金往來"",
  AND(E8732&lt;&gt;"""", F8732=""""), ""真實支出"",
  AND(E8732="""", F8732&lt;&gt;""""), ""真實收入"",
  TRUE, ""其他""
)"),"其他")</f>
        <v>其他</v>
      </c>
      <c r="K8732" s="270" t="str">
        <f t="shared" si="2"/>
        <v/>
      </c>
      <c r="L8732">
        <f t="shared" si="3"/>
        <v>0</v>
      </c>
    </row>
    <row r="8733">
      <c r="A8733" s="107"/>
      <c r="D8733" s="270"/>
      <c r="H8733" s="106" t="str">
        <f t="shared" si="1"/>
        <v/>
      </c>
      <c r="J8733" t="str">
        <f>IFERROR(__xludf.DUMMYFUNCTION("IFS(
  AND(REGEXMATCH(E8733, ""台銀籌備帳戶|玉山帳戶""), REGEXMATCH(C8733, ""薪資"")), ""分潤支出"",
  AND(REGEXMATCH(E8733, ""Ben帳戶|Elsa帳戶|Ben代墊|Ariel代墊|中信銀行共用""), REGEXMATCH(F8733, ""Ben帳戶|Elsa帳戶|Ben代墊|Ariel代墊|中信銀行共用"")), ""內部轉帳(忽略)"",
  AND(E8733&lt;&gt;"""", F8733&lt;&gt;"""", N"&amp;"OT(REGEXMATCH(C8733, ""薪資""))), ""內部轉帳(忽略)"",
  REGEXMATCH(C8733, ""薪資""), ""薪資變動(不計入)"",
  REGEXMATCH(C8733, ""押金""), ""押金往來"",
  AND(E8733&lt;&gt;"""", F8733=""""), ""真實支出"",
  AND(E8733="""", F8733&lt;&gt;""""), ""真實收入"",
  TRUE, ""其他""
)"),"其他")</f>
        <v>其他</v>
      </c>
      <c r="K8733" s="270" t="str">
        <f t="shared" si="2"/>
        <v/>
      </c>
      <c r="L8733">
        <f t="shared" si="3"/>
        <v>0</v>
      </c>
    </row>
    <row r="8734">
      <c r="A8734" s="107"/>
      <c r="D8734" s="270"/>
      <c r="H8734" s="106" t="str">
        <f t="shared" si="1"/>
        <v/>
      </c>
      <c r="J8734" t="str">
        <f>IFERROR(__xludf.DUMMYFUNCTION("IFS(
  AND(REGEXMATCH(E8734, ""台銀籌備帳戶|玉山帳戶""), REGEXMATCH(C8734, ""薪資"")), ""分潤支出"",
  AND(REGEXMATCH(E8734, ""Ben帳戶|Elsa帳戶|Ben代墊|Ariel代墊|中信銀行共用""), REGEXMATCH(F8734, ""Ben帳戶|Elsa帳戶|Ben代墊|Ariel代墊|中信銀行共用"")), ""內部轉帳(忽略)"",
  AND(E8734&lt;&gt;"""", F8734&lt;&gt;"""", N"&amp;"OT(REGEXMATCH(C8734, ""薪資""))), ""內部轉帳(忽略)"",
  REGEXMATCH(C8734, ""薪資""), ""薪資變動(不計入)"",
  REGEXMATCH(C8734, ""押金""), ""押金往來"",
  AND(E8734&lt;&gt;"""", F8734=""""), ""真實支出"",
  AND(E8734="""", F8734&lt;&gt;""""), ""真實收入"",
  TRUE, ""其他""
)"),"其他")</f>
        <v>其他</v>
      </c>
      <c r="K8734" s="270" t="str">
        <f t="shared" si="2"/>
        <v/>
      </c>
      <c r="L8734">
        <f t="shared" si="3"/>
        <v>0</v>
      </c>
    </row>
    <row r="8735">
      <c r="A8735" s="107"/>
      <c r="D8735" s="270"/>
      <c r="H8735" s="106" t="str">
        <f t="shared" si="1"/>
        <v/>
      </c>
      <c r="J8735" t="str">
        <f>IFERROR(__xludf.DUMMYFUNCTION("IFS(
  AND(REGEXMATCH(E8735, ""台銀籌備帳戶|玉山帳戶""), REGEXMATCH(C8735, ""薪資"")), ""分潤支出"",
  AND(REGEXMATCH(E8735, ""Ben帳戶|Elsa帳戶|Ben代墊|Ariel代墊|中信銀行共用""), REGEXMATCH(F8735, ""Ben帳戶|Elsa帳戶|Ben代墊|Ariel代墊|中信銀行共用"")), ""內部轉帳(忽略)"",
  AND(E8735&lt;&gt;"""", F8735&lt;&gt;"""", N"&amp;"OT(REGEXMATCH(C8735, ""薪資""))), ""內部轉帳(忽略)"",
  REGEXMATCH(C8735, ""薪資""), ""薪資變動(不計入)"",
  REGEXMATCH(C8735, ""押金""), ""押金往來"",
  AND(E8735&lt;&gt;"""", F8735=""""), ""真實支出"",
  AND(E8735="""", F8735&lt;&gt;""""), ""真實收入"",
  TRUE, ""其他""
)"),"其他")</f>
        <v>其他</v>
      </c>
      <c r="K8735" s="270" t="str">
        <f t="shared" si="2"/>
        <v/>
      </c>
      <c r="L8735">
        <f t="shared" si="3"/>
        <v>0</v>
      </c>
    </row>
    <row r="8736">
      <c r="A8736" s="107"/>
      <c r="D8736" s="270"/>
      <c r="H8736" s="106" t="str">
        <f t="shared" si="1"/>
        <v/>
      </c>
      <c r="J8736" t="str">
        <f>IFERROR(__xludf.DUMMYFUNCTION("IFS(
  AND(REGEXMATCH(E8736, ""台銀籌備帳戶|玉山帳戶""), REGEXMATCH(C8736, ""薪資"")), ""分潤支出"",
  AND(REGEXMATCH(E8736, ""Ben帳戶|Elsa帳戶|Ben代墊|Ariel代墊|中信銀行共用""), REGEXMATCH(F8736, ""Ben帳戶|Elsa帳戶|Ben代墊|Ariel代墊|中信銀行共用"")), ""內部轉帳(忽略)"",
  AND(E8736&lt;&gt;"""", F8736&lt;&gt;"""", N"&amp;"OT(REGEXMATCH(C8736, ""薪資""))), ""內部轉帳(忽略)"",
  REGEXMATCH(C8736, ""薪資""), ""薪資變動(不計入)"",
  REGEXMATCH(C8736, ""押金""), ""押金往來"",
  AND(E8736&lt;&gt;"""", F8736=""""), ""真實支出"",
  AND(E8736="""", F8736&lt;&gt;""""), ""真實收入"",
  TRUE, ""其他""
)"),"其他")</f>
        <v>其他</v>
      </c>
      <c r="K8736" s="270" t="str">
        <f t="shared" si="2"/>
        <v/>
      </c>
      <c r="L8736">
        <f t="shared" si="3"/>
        <v>0</v>
      </c>
    </row>
    <row r="8737">
      <c r="A8737" s="107"/>
      <c r="D8737" s="270"/>
      <c r="H8737" s="106" t="str">
        <f t="shared" si="1"/>
        <v/>
      </c>
      <c r="J8737" t="str">
        <f>IFERROR(__xludf.DUMMYFUNCTION("IFS(
  AND(REGEXMATCH(E8737, ""台銀籌備帳戶|玉山帳戶""), REGEXMATCH(C8737, ""薪資"")), ""分潤支出"",
  AND(REGEXMATCH(E8737, ""Ben帳戶|Elsa帳戶|Ben代墊|Ariel代墊|中信銀行共用""), REGEXMATCH(F8737, ""Ben帳戶|Elsa帳戶|Ben代墊|Ariel代墊|中信銀行共用"")), ""內部轉帳(忽略)"",
  AND(E8737&lt;&gt;"""", F8737&lt;&gt;"""", N"&amp;"OT(REGEXMATCH(C8737, ""薪資""))), ""內部轉帳(忽略)"",
  REGEXMATCH(C8737, ""薪資""), ""薪資變動(不計入)"",
  REGEXMATCH(C8737, ""押金""), ""押金往來"",
  AND(E8737&lt;&gt;"""", F8737=""""), ""真實支出"",
  AND(E8737="""", F8737&lt;&gt;""""), ""真實收入"",
  TRUE, ""其他""
)"),"其他")</f>
        <v>其他</v>
      </c>
      <c r="K8737" s="270" t="str">
        <f t="shared" si="2"/>
        <v/>
      </c>
      <c r="L8737">
        <f t="shared" si="3"/>
        <v>0</v>
      </c>
    </row>
    <row r="8738">
      <c r="A8738" s="107"/>
      <c r="D8738" s="270"/>
      <c r="H8738" s="106" t="str">
        <f t="shared" si="1"/>
        <v/>
      </c>
      <c r="J8738" t="str">
        <f>IFERROR(__xludf.DUMMYFUNCTION("IFS(
  AND(REGEXMATCH(E8738, ""台銀籌備帳戶|玉山帳戶""), REGEXMATCH(C8738, ""薪資"")), ""分潤支出"",
  AND(REGEXMATCH(E8738, ""Ben帳戶|Elsa帳戶|Ben代墊|Ariel代墊|中信銀行共用""), REGEXMATCH(F8738, ""Ben帳戶|Elsa帳戶|Ben代墊|Ariel代墊|中信銀行共用"")), ""內部轉帳(忽略)"",
  AND(E8738&lt;&gt;"""", F8738&lt;&gt;"""", N"&amp;"OT(REGEXMATCH(C8738, ""薪資""))), ""內部轉帳(忽略)"",
  REGEXMATCH(C8738, ""薪資""), ""薪資變動(不計入)"",
  REGEXMATCH(C8738, ""押金""), ""押金往來"",
  AND(E8738&lt;&gt;"""", F8738=""""), ""真實支出"",
  AND(E8738="""", F8738&lt;&gt;""""), ""真實收入"",
  TRUE, ""其他""
)"),"其他")</f>
        <v>其他</v>
      </c>
      <c r="K8738" s="270" t="str">
        <f t="shared" si="2"/>
        <v/>
      </c>
      <c r="L8738">
        <f t="shared" si="3"/>
        <v>0</v>
      </c>
    </row>
    <row r="8739">
      <c r="A8739" s="107"/>
      <c r="D8739" s="270"/>
      <c r="H8739" s="106" t="str">
        <f t="shared" si="1"/>
        <v/>
      </c>
      <c r="J8739" t="str">
        <f>IFERROR(__xludf.DUMMYFUNCTION("IFS(
  AND(REGEXMATCH(E8739, ""台銀籌備帳戶|玉山帳戶""), REGEXMATCH(C8739, ""薪資"")), ""分潤支出"",
  AND(REGEXMATCH(E8739, ""Ben帳戶|Elsa帳戶|Ben代墊|Ariel代墊|中信銀行共用""), REGEXMATCH(F8739, ""Ben帳戶|Elsa帳戶|Ben代墊|Ariel代墊|中信銀行共用"")), ""內部轉帳(忽略)"",
  AND(E8739&lt;&gt;"""", F8739&lt;&gt;"""", N"&amp;"OT(REGEXMATCH(C8739, ""薪資""))), ""內部轉帳(忽略)"",
  REGEXMATCH(C8739, ""薪資""), ""薪資變動(不計入)"",
  REGEXMATCH(C8739, ""押金""), ""押金往來"",
  AND(E8739&lt;&gt;"""", F8739=""""), ""真實支出"",
  AND(E8739="""", F8739&lt;&gt;""""), ""真實收入"",
  TRUE, ""其他""
)"),"其他")</f>
        <v>其他</v>
      </c>
      <c r="K8739" s="270" t="str">
        <f t="shared" si="2"/>
        <v/>
      </c>
      <c r="L8739">
        <f t="shared" si="3"/>
        <v>0</v>
      </c>
    </row>
    <row r="8740">
      <c r="A8740" s="107"/>
      <c r="D8740" s="270"/>
      <c r="H8740" s="106" t="str">
        <f t="shared" si="1"/>
        <v/>
      </c>
      <c r="J8740" t="str">
        <f>IFERROR(__xludf.DUMMYFUNCTION("IFS(
  AND(REGEXMATCH(E8740, ""台銀籌備帳戶|玉山帳戶""), REGEXMATCH(C8740, ""薪資"")), ""分潤支出"",
  AND(REGEXMATCH(E8740, ""Ben帳戶|Elsa帳戶|Ben代墊|Ariel代墊|中信銀行共用""), REGEXMATCH(F8740, ""Ben帳戶|Elsa帳戶|Ben代墊|Ariel代墊|中信銀行共用"")), ""內部轉帳(忽略)"",
  AND(E8740&lt;&gt;"""", F8740&lt;&gt;"""", N"&amp;"OT(REGEXMATCH(C8740, ""薪資""))), ""內部轉帳(忽略)"",
  REGEXMATCH(C8740, ""薪資""), ""薪資變動(不計入)"",
  REGEXMATCH(C8740, ""押金""), ""押金往來"",
  AND(E8740&lt;&gt;"""", F8740=""""), ""真實支出"",
  AND(E8740="""", F8740&lt;&gt;""""), ""真實收入"",
  TRUE, ""其他""
)"),"其他")</f>
        <v>其他</v>
      </c>
      <c r="K8740" s="270" t="str">
        <f t="shared" si="2"/>
        <v/>
      </c>
      <c r="L8740">
        <f t="shared" si="3"/>
        <v>0</v>
      </c>
    </row>
    <row r="8741">
      <c r="A8741" s="107"/>
      <c r="D8741" s="270"/>
      <c r="H8741" s="106" t="str">
        <f t="shared" si="1"/>
        <v/>
      </c>
      <c r="J8741" t="str">
        <f>IFERROR(__xludf.DUMMYFUNCTION("IFS(
  AND(REGEXMATCH(E8741, ""台銀籌備帳戶|玉山帳戶""), REGEXMATCH(C8741, ""薪資"")), ""分潤支出"",
  AND(REGEXMATCH(E8741, ""Ben帳戶|Elsa帳戶|Ben代墊|Ariel代墊|中信銀行共用""), REGEXMATCH(F8741, ""Ben帳戶|Elsa帳戶|Ben代墊|Ariel代墊|中信銀行共用"")), ""內部轉帳(忽略)"",
  AND(E8741&lt;&gt;"""", F8741&lt;&gt;"""", N"&amp;"OT(REGEXMATCH(C8741, ""薪資""))), ""內部轉帳(忽略)"",
  REGEXMATCH(C8741, ""薪資""), ""薪資變動(不計入)"",
  REGEXMATCH(C8741, ""押金""), ""押金往來"",
  AND(E8741&lt;&gt;"""", F8741=""""), ""真實支出"",
  AND(E8741="""", F8741&lt;&gt;""""), ""真實收入"",
  TRUE, ""其他""
)"),"其他")</f>
        <v>其他</v>
      </c>
      <c r="K8741" s="270" t="str">
        <f t="shared" si="2"/>
        <v/>
      </c>
      <c r="L8741">
        <f t="shared" si="3"/>
        <v>0</v>
      </c>
    </row>
    <row r="8742">
      <c r="A8742" s="107"/>
      <c r="D8742" s="270"/>
      <c r="H8742" s="106" t="str">
        <f t="shared" si="1"/>
        <v/>
      </c>
      <c r="J8742" t="str">
        <f>IFERROR(__xludf.DUMMYFUNCTION("IFS(
  AND(REGEXMATCH(E8742, ""台銀籌備帳戶|玉山帳戶""), REGEXMATCH(C8742, ""薪資"")), ""分潤支出"",
  AND(REGEXMATCH(E8742, ""Ben帳戶|Elsa帳戶|Ben代墊|Ariel代墊|中信銀行共用""), REGEXMATCH(F8742, ""Ben帳戶|Elsa帳戶|Ben代墊|Ariel代墊|中信銀行共用"")), ""內部轉帳(忽略)"",
  AND(E8742&lt;&gt;"""", F8742&lt;&gt;"""", N"&amp;"OT(REGEXMATCH(C8742, ""薪資""))), ""內部轉帳(忽略)"",
  REGEXMATCH(C8742, ""薪資""), ""薪資變動(不計入)"",
  REGEXMATCH(C8742, ""押金""), ""押金往來"",
  AND(E8742&lt;&gt;"""", F8742=""""), ""真實支出"",
  AND(E8742="""", F8742&lt;&gt;""""), ""真實收入"",
  TRUE, ""其他""
)"),"其他")</f>
        <v>其他</v>
      </c>
      <c r="K8742" s="270" t="str">
        <f t="shared" si="2"/>
        <v/>
      </c>
      <c r="L8742">
        <f t="shared" si="3"/>
        <v>0</v>
      </c>
    </row>
    <row r="8743">
      <c r="A8743" s="107"/>
      <c r="D8743" s="270"/>
      <c r="H8743" s="106" t="str">
        <f t="shared" si="1"/>
        <v/>
      </c>
      <c r="J8743" t="str">
        <f>IFERROR(__xludf.DUMMYFUNCTION("IFS(
  AND(REGEXMATCH(E8743, ""台銀籌備帳戶|玉山帳戶""), REGEXMATCH(C8743, ""薪資"")), ""分潤支出"",
  AND(REGEXMATCH(E8743, ""Ben帳戶|Elsa帳戶|Ben代墊|Ariel代墊|中信銀行共用""), REGEXMATCH(F8743, ""Ben帳戶|Elsa帳戶|Ben代墊|Ariel代墊|中信銀行共用"")), ""內部轉帳(忽略)"",
  AND(E8743&lt;&gt;"""", F8743&lt;&gt;"""", N"&amp;"OT(REGEXMATCH(C8743, ""薪資""))), ""內部轉帳(忽略)"",
  REGEXMATCH(C8743, ""薪資""), ""薪資變動(不計入)"",
  REGEXMATCH(C8743, ""押金""), ""押金往來"",
  AND(E8743&lt;&gt;"""", F8743=""""), ""真實支出"",
  AND(E8743="""", F8743&lt;&gt;""""), ""真實收入"",
  TRUE, ""其他""
)"),"其他")</f>
        <v>其他</v>
      </c>
      <c r="K8743" s="270" t="str">
        <f t="shared" si="2"/>
        <v/>
      </c>
      <c r="L8743">
        <f t="shared" si="3"/>
        <v>0</v>
      </c>
    </row>
    <row r="8744">
      <c r="A8744" s="107"/>
      <c r="D8744" s="270"/>
      <c r="H8744" s="106" t="str">
        <f t="shared" si="1"/>
        <v/>
      </c>
      <c r="J8744" t="str">
        <f>IFERROR(__xludf.DUMMYFUNCTION("IFS(
  AND(REGEXMATCH(E8744, ""台銀籌備帳戶|玉山帳戶""), REGEXMATCH(C8744, ""薪資"")), ""分潤支出"",
  AND(REGEXMATCH(E8744, ""Ben帳戶|Elsa帳戶|Ben代墊|Ariel代墊|中信銀行共用""), REGEXMATCH(F8744, ""Ben帳戶|Elsa帳戶|Ben代墊|Ariel代墊|中信銀行共用"")), ""內部轉帳(忽略)"",
  AND(E8744&lt;&gt;"""", F8744&lt;&gt;"""", N"&amp;"OT(REGEXMATCH(C8744, ""薪資""))), ""內部轉帳(忽略)"",
  REGEXMATCH(C8744, ""薪資""), ""薪資變動(不計入)"",
  REGEXMATCH(C8744, ""押金""), ""押金往來"",
  AND(E8744&lt;&gt;"""", F8744=""""), ""真實支出"",
  AND(E8744="""", F8744&lt;&gt;""""), ""真實收入"",
  TRUE, ""其他""
)"),"其他")</f>
        <v>其他</v>
      </c>
      <c r="K8744" s="270" t="str">
        <f t="shared" si="2"/>
        <v/>
      </c>
      <c r="L8744">
        <f t="shared" si="3"/>
        <v>0</v>
      </c>
    </row>
    <row r="8745">
      <c r="A8745" s="107"/>
      <c r="D8745" s="270"/>
      <c r="H8745" s="106" t="str">
        <f t="shared" si="1"/>
        <v/>
      </c>
      <c r="J8745" t="str">
        <f>IFERROR(__xludf.DUMMYFUNCTION("IFS(
  AND(REGEXMATCH(E8745, ""台銀籌備帳戶|玉山帳戶""), REGEXMATCH(C8745, ""薪資"")), ""分潤支出"",
  AND(REGEXMATCH(E8745, ""Ben帳戶|Elsa帳戶|Ben代墊|Ariel代墊|中信銀行共用""), REGEXMATCH(F8745, ""Ben帳戶|Elsa帳戶|Ben代墊|Ariel代墊|中信銀行共用"")), ""內部轉帳(忽略)"",
  AND(E8745&lt;&gt;"""", F8745&lt;&gt;"""", N"&amp;"OT(REGEXMATCH(C8745, ""薪資""))), ""內部轉帳(忽略)"",
  REGEXMATCH(C8745, ""薪資""), ""薪資變動(不計入)"",
  REGEXMATCH(C8745, ""押金""), ""押金往來"",
  AND(E8745&lt;&gt;"""", F8745=""""), ""真實支出"",
  AND(E8745="""", F8745&lt;&gt;""""), ""真實收入"",
  TRUE, ""其他""
)"),"其他")</f>
        <v>其他</v>
      </c>
      <c r="K8745" s="270" t="str">
        <f t="shared" si="2"/>
        <v/>
      </c>
      <c r="L8745">
        <f t="shared" si="3"/>
        <v>0</v>
      </c>
    </row>
    <row r="8746">
      <c r="A8746" s="107"/>
      <c r="D8746" s="270"/>
      <c r="H8746" s="106" t="str">
        <f t="shared" si="1"/>
        <v/>
      </c>
      <c r="J8746" t="str">
        <f>IFERROR(__xludf.DUMMYFUNCTION("IFS(
  AND(REGEXMATCH(E8746, ""台銀籌備帳戶|玉山帳戶""), REGEXMATCH(C8746, ""薪資"")), ""分潤支出"",
  AND(REGEXMATCH(E8746, ""Ben帳戶|Elsa帳戶|Ben代墊|Ariel代墊|中信銀行共用""), REGEXMATCH(F8746, ""Ben帳戶|Elsa帳戶|Ben代墊|Ariel代墊|中信銀行共用"")), ""內部轉帳(忽略)"",
  AND(E8746&lt;&gt;"""", F8746&lt;&gt;"""", N"&amp;"OT(REGEXMATCH(C8746, ""薪資""))), ""內部轉帳(忽略)"",
  REGEXMATCH(C8746, ""薪資""), ""薪資變動(不計入)"",
  REGEXMATCH(C8746, ""押金""), ""押金往來"",
  AND(E8746&lt;&gt;"""", F8746=""""), ""真實支出"",
  AND(E8746="""", F8746&lt;&gt;""""), ""真實收入"",
  TRUE, ""其他""
)"),"其他")</f>
        <v>其他</v>
      </c>
      <c r="K8746" s="270" t="str">
        <f t="shared" si="2"/>
        <v/>
      </c>
      <c r="L8746">
        <f t="shared" si="3"/>
        <v>0</v>
      </c>
    </row>
    <row r="8747">
      <c r="A8747" s="107"/>
      <c r="D8747" s="270"/>
      <c r="H8747" s="106" t="str">
        <f t="shared" si="1"/>
        <v/>
      </c>
      <c r="J8747" t="str">
        <f>IFERROR(__xludf.DUMMYFUNCTION("IFS(
  AND(REGEXMATCH(E8747, ""台銀籌備帳戶|玉山帳戶""), REGEXMATCH(C8747, ""薪資"")), ""分潤支出"",
  AND(REGEXMATCH(E8747, ""Ben帳戶|Elsa帳戶|Ben代墊|Ariel代墊|中信銀行共用""), REGEXMATCH(F8747, ""Ben帳戶|Elsa帳戶|Ben代墊|Ariel代墊|中信銀行共用"")), ""內部轉帳(忽略)"",
  AND(E8747&lt;&gt;"""", F8747&lt;&gt;"""", N"&amp;"OT(REGEXMATCH(C8747, ""薪資""))), ""內部轉帳(忽略)"",
  REGEXMATCH(C8747, ""薪資""), ""薪資變動(不計入)"",
  REGEXMATCH(C8747, ""押金""), ""押金往來"",
  AND(E8747&lt;&gt;"""", F8747=""""), ""真實支出"",
  AND(E8747="""", F8747&lt;&gt;""""), ""真實收入"",
  TRUE, ""其他""
)"),"其他")</f>
        <v>其他</v>
      </c>
      <c r="K8747" s="270" t="str">
        <f t="shared" si="2"/>
        <v/>
      </c>
      <c r="L8747">
        <f t="shared" si="3"/>
        <v>0</v>
      </c>
    </row>
    <row r="8748">
      <c r="A8748" s="107"/>
      <c r="D8748" s="270"/>
      <c r="H8748" s="106" t="str">
        <f t="shared" si="1"/>
        <v/>
      </c>
      <c r="J8748" t="str">
        <f>IFERROR(__xludf.DUMMYFUNCTION("IFS(
  AND(REGEXMATCH(E8748, ""台銀籌備帳戶|玉山帳戶""), REGEXMATCH(C8748, ""薪資"")), ""分潤支出"",
  AND(REGEXMATCH(E8748, ""Ben帳戶|Elsa帳戶|Ben代墊|Ariel代墊|中信銀行共用""), REGEXMATCH(F8748, ""Ben帳戶|Elsa帳戶|Ben代墊|Ariel代墊|中信銀行共用"")), ""內部轉帳(忽略)"",
  AND(E8748&lt;&gt;"""", F8748&lt;&gt;"""", N"&amp;"OT(REGEXMATCH(C8748, ""薪資""))), ""內部轉帳(忽略)"",
  REGEXMATCH(C8748, ""薪資""), ""薪資變動(不計入)"",
  REGEXMATCH(C8748, ""押金""), ""押金往來"",
  AND(E8748&lt;&gt;"""", F8748=""""), ""真實支出"",
  AND(E8748="""", F8748&lt;&gt;""""), ""真實收入"",
  TRUE, ""其他""
)"),"其他")</f>
        <v>其他</v>
      </c>
      <c r="K8748" s="270" t="str">
        <f t="shared" si="2"/>
        <v/>
      </c>
      <c r="L8748">
        <f t="shared" si="3"/>
        <v>0</v>
      </c>
    </row>
    <row r="8749">
      <c r="A8749" s="107"/>
      <c r="D8749" s="270"/>
      <c r="H8749" s="106" t="str">
        <f t="shared" si="1"/>
        <v/>
      </c>
      <c r="J8749" t="str">
        <f>IFERROR(__xludf.DUMMYFUNCTION("IFS(
  AND(REGEXMATCH(E8749, ""台銀籌備帳戶|玉山帳戶""), REGEXMATCH(C8749, ""薪資"")), ""分潤支出"",
  AND(REGEXMATCH(E8749, ""Ben帳戶|Elsa帳戶|Ben代墊|Ariel代墊|中信銀行共用""), REGEXMATCH(F8749, ""Ben帳戶|Elsa帳戶|Ben代墊|Ariel代墊|中信銀行共用"")), ""內部轉帳(忽略)"",
  AND(E8749&lt;&gt;"""", F8749&lt;&gt;"""", N"&amp;"OT(REGEXMATCH(C8749, ""薪資""))), ""內部轉帳(忽略)"",
  REGEXMATCH(C8749, ""薪資""), ""薪資變動(不計入)"",
  REGEXMATCH(C8749, ""押金""), ""押金往來"",
  AND(E8749&lt;&gt;"""", F8749=""""), ""真實支出"",
  AND(E8749="""", F8749&lt;&gt;""""), ""真實收入"",
  TRUE, ""其他""
)"),"其他")</f>
        <v>其他</v>
      </c>
      <c r="K8749" s="270" t="str">
        <f t="shared" si="2"/>
        <v/>
      </c>
      <c r="L8749">
        <f t="shared" si="3"/>
        <v>0</v>
      </c>
    </row>
    <row r="8750">
      <c r="A8750" s="107"/>
      <c r="D8750" s="270"/>
      <c r="H8750" s="106" t="str">
        <f t="shared" si="1"/>
        <v/>
      </c>
      <c r="J8750" t="str">
        <f>IFERROR(__xludf.DUMMYFUNCTION("IFS(
  AND(REGEXMATCH(E8750, ""台銀籌備帳戶|玉山帳戶""), REGEXMATCH(C8750, ""薪資"")), ""分潤支出"",
  AND(REGEXMATCH(E8750, ""Ben帳戶|Elsa帳戶|Ben代墊|Ariel代墊|中信銀行共用""), REGEXMATCH(F8750, ""Ben帳戶|Elsa帳戶|Ben代墊|Ariel代墊|中信銀行共用"")), ""內部轉帳(忽略)"",
  AND(E8750&lt;&gt;"""", F8750&lt;&gt;"""", N"&amp;"OT(REGEXMATCH(C8750, ""薪資""))), ""內部轉帳(忽略)"",
  REGEXMATCH(C8750, ""薪資""), ""薪資變動(不計入)"",
  REGEXMATCH(C8750, ""押金""), ""押金往來"",
  AND(E8750&lt;&gt;"""", F8750=""""), ""真實支出"",
  AND(E8750="""", F8750&lt;&gt;""""), ""真實收入"",
  TRUE, ""其他""
)"),"其他")</f>
        <v>其他</v>
      </c>
      <c r="K8750" s="270" t="str">
        <f t="shared" si="2"/>
        <v/>
      </c>
      <c r="L8750">
        <f t="shared" si="3"/>
        <v>0</v>
      </c>
    </row>
    <row r="8751">
      <c r="A8751" s="107"/>
      <c r="D8751" s="270"/>
      <c r="H8751" s="106" t="str">
        <f t="shared" si="1"/>
        <v/>
      </c>
      <c r="J8751" t="str">
        <f>IFERROR(__xludf.DUMMYFUNCTION("IFS(
  AND(REGEXMATCH(E8751, ""台銀籌備帳戶|玉山帳戶""), REGEXMATCH(C8751, ""薪資"")), ""分潤支出"",
  AND(REGEXMATCH(E8751, ""Ben帳戶|Elsa帳戶|Ben代墊|Ariel代墊|中信銀行共用""), REGEXMATCH(F8751, ""Ben帳戶|Elsa帳戶|Ben代墊|Ariel代墊|中信銀行共用"")), ""內部轉帳(忽略)"",
  AND(E8751&lt;&gt;"""", F8751&lt;&gt;"""", N"&amp;"OT(REGEXMATCH(C8751, ""薪資""))), ""內部轉帳(忽略)"",
  REGEXMATCH(C8751, ""薪資""), ""薪資變動(不計入)"",
  REGEXMATCH(C8751, ""押金""), ""押金往來"",
  AND(E8751&lt;&gt;"""", F8751=""""), ""真實支出"",
  AND(E8751="""", F8751&lt;&gt;""""), ""真實收入"",
  TRUE, ""其他""
)"),"其他")</f>
        <v>其他</v>
      </c>
      <c r="K8751" s="270" t="str">
        <f t="shared" si="2"/>
        <v/>
      </c>
      <c r="L8751">
        <f t="shared" si="3"/>
        <v>0</v>
      </c>
    </row>
    <row r="8752">
      <c r="A8752" s="107"/>
      <c r="D8752" s="270"/>
      <c r="H8752" s="106" t="str">
        <f t="shared" si="1"/>
        <v/>
      </c>
      <c r="J8752" t="str">
        <f>IFERROR(__xludf.DUMMYFUNCTION("IFS(
  AND(REGEXMATCH(E8752, ""台銀籌備帳戶|玉山帳戶""), REGEXMATCH(C8752, ""薪資"")), ""分潤支出"",
  AND(REGEXMATCH(E8752, ""Ben帳戶|Elsa帳戶|Ben代墊|Ariel代墊|中信銀行共用""), REGEXMATCH(F8752, ""Ben帳戶|Elsa帳戶|Ben代墊|Ariel代墊|中信銀行共用"")), ""內部轉帳(忽略)"",
  AND(E8752&lt;&gt;"""", F8752&lt;&gt;"""", N"&amp;"OT(REGEXMATCH(C8752, ""薪資""))), ""內部轉帳(忽略)"",
  REGEXMATCH(C8752, ""薪資""), ""薪資變動(不計入)"",
  REGEXMATCH(C8752, ""押金""), ""押金往來"",
  AND(E8752&lt;&gt;"""", F8752=""""), ""真實支出"",
  AND(E8752="""", F8752&lt;&gt;""""), ""真實收入"",
  TRUE, ""其他""
)"),"其他")</f>
        <v>其他</v>
      </c>
      <c r="K8752" s="270" t="str">
        <f t="shared" si="2"/>
        <v/>
      </c>
      <c r="L8752">
        <f t="shared" si="3"/>
        <v>0</v>
      </c>
    </row>
    <row r="8753">
      <c r="A8753" s="107"/>
      <c r="D8753" s="270"/>
      <c r="H8753" s="106" t="str">
        <f t="shared" si="1"/>
        <v/>
      </c>
      <c r="J8753" t="str">
        <f>IFERROR(__xludf.DUMMYFUNCTION("IFS(
  AND(REGEXMATCH(E8753, ""台銀籌備帳戶|玉山帳戶""), REGEXMATCH(C8753, ""薪資"")), ""分潤支出"",
  AND(REGEXMATCH(E8753, ""Ben帳戶|Elsa帳戶|Ben代墊|Ariel代墊|中信銀行共用""), REGEXMATCH(F8753, ""Ben帳戶|Elsa帳戶|Ben代墊|Ariel代墊|中信銀行共用"")), ""內部轉帳(忽略)"",
  AND(E8753&lt;&gt;"""", F8753&lt;&gt;"""", N"&amp;"OT(REGEXMATCH(C8753, ""薪資""))), ""內部轉帳(忽略)"",
  REGEXMATCH(C8753, ""薪資""), ""薪資變動(不計入)"",
  REGEXMATCH(C8753, ""押金""), ""押金往來"",
  AND(E8753&lt;&gt;"""", F8753=""""), ""真實支出"",
  AND(E8753="""", F8753&lt;&gt;""""), ""真實收入"",
  TRUE, ""其他""
)"),"其他")</f>
        <v>其他</v>
      </c>
      <c r="K8753" s="270" t="str">
        <f t="shared" si="2"/>
        <v/>
      </c>
      <c r="L8753">
        <f t="shared" si="3"/>
        <v>0</v>
      </c>
    </row>
    <row r="8754">
      <c r="A8754" s="107"/>
      <c r="D8754" s="270"/>
      <c r="H8754" s="106" t="str">
        <f t="shared" si="1"/>
        <v/>
      </c>
      <c r="J8754" t="str">
        <f>IFERROR(__xludf.DUMMYFUNCTION("IFS(
  AND(REGEXMATCH(E8754, ""台銀籌備帳戶|玉山帳戶""), REGEXMATCH(C8754, ""薪資"")), ""分潤支出"",
  AND(REGEXMATCH(E8754, ""Ben帳戶|Elsa帳戶|Ben代墊|Ariel代墊|中信銀行共用""), REGEXMATCH(F8754, ""Ben帳戶|Elsa帳戶|Ben代墊|Ariel代墊|中信銀行共用"")), ""內部轉帳(忽略)"",
  AND(E8754&lt;&gt;"""", F8754&lt;&gt;"""", N"&amp;"OT(REGEXMATCH(C8754, ""薪資""))), ""內部轉帳(忽略)"",
  REGEXMATCH(C8754, ""薪資""), ""薪資變動(不計入)"",
  REGEXMATCH(C8754, ""押金""), ""押金往來"",
  AND(E8754&lt;&gt;"""", F8754=""""), ""真實支出"",
  AND(E8754="""", F8754&lt;&gt;""""), ""真實收入"",
  TRUE, ""其他""
)"),"其他")</f>
        <v>其他</v>
      </c>
      <c r="K8754" s="270" t="str">
        <f t="shared" si="2"/>
        <v/>
      </c>
      <c r="L8754">
        <f t="shared" si="3"/>
        <v>0</v>
      </c>
    </row>
    <row r="8755">
      <c r="A8755" s="107"/>
      <c r="D8755" s="270"/>
      <c r="H8755" s="106" t="str">
        <f t="shared" si="1"/>
        <v/>
      </c>
      <c r="J8755" t="str">
        <f>IFERROR(__xludf.DUMMYFUNCTION("IFS(
  AND(REGEXMATCH(E8755, ""台銀籌備帳戶|玉山帳戶""), REGEXMATCH(C8755, ""薪資"")), ""分潤支出"",
  AND(REGEXMATCH(E8755, ""Ben帳戶|Elsa帳戶|Ben代墊|Ariel代墊|中信銀行共用""), REGEXMATCH(F8755, ""Ben帳戶|Elsa帳戶|Ben代墊|Ariel代墊|中信銀行共用"")), ""內部轉帳(忽略)"",
  AND(E8755&lt;&gt;"""", F8755&lt;&gt;"""", N"&amp;"OT(REGEXMATCH(C8755, ""薪資""))), ""內部轉帳(忽略)"",
  REGEXMATCH(C8755, ""薪資""), ""薪資變動(不計入)"",
  REGEXMATCH(C8755, ""押金""), ""押金往來"",
  AND(E8755&lt;&gt;"""", F8755=""""), ""真實支出"",
  AND(E8755="""", F8755&lt;&gt;""""), ""真實收入"",
  TRUE, ""其他""
)"),"其他")</f>
        <v>其他</v>
      </c>
      <c r="K8755" s="270" t="str">
        <f t="shared" si="2"/>
        <v/>
      </c>
      <c r="L8755">
        <f t="shared" si="3"/>
        <v>0</v>
      </c>
    </row>
    <row r="8756">
      <c r="A8756" s="107"/>
      <c r="D8756" s="270"/>
      <c r="H8756" s="106" t="str">
        <f t="shared" si="1"/>
        <v/>
      </c>
      <c r="J8756" t="str">
        <f>IFERROR(__xludf.DUMMYFUNCTION("IFS(
  AND(REGEXMATCH(E8756, ""台銀籌備帳戶|玉山帳戶""), REGEXMATCH(C8756, ""薪資"")), ""分潤支出"",
  AND(REGEXMATCH(E8756, ""Ben帳戶|Elsa帳戶|Ben代墊|Ariel代墊|中信銀行共用""), REGEXMATCH(F8756, ""Ben帳戶|Elsa帳戶|Ben代墊|Ariel代墊|中信銀行共用"")), ""內部轉帳(忽略)"",
  AND(E8756&lt;&gt;"""", F8756&lt;&gt;"""", N"&amp;"OT(REGEXMATCH(C8756, ""薪資""))), ""內部轉帳(忽略)"",
  REGEXMATCH(C8756, ""薪資""), ""薪資變動(不計入)"",
  REGEXMATCH(C8756, ""押金""), ""押金往來"",
  AND(E8756&lt;&gt;"""", F8756=""""), ""真實支出"",
  AND(E8756="""", F8756&lt;&gt;""""), ""真實收入"",
  TRUE, ""其他""
)"),"其他")</f>
        <v>其他</v>
      </c>
      <c r="K8756" s="270" t="str">
        <f t="shared" si="2"/>
        <v/>
      </c>
      <c r="L8756">
        <f t="shared" si="3"/>
        <v>0</v>
      </c>
    </row>
    <row r="8757">
      <c r="A8757" s="107"/>
      <c r="D8757" s="270"/>
      <c r="H8757" s="106" t="str">
        <f t="shared" si="1"/>
        <v/>
      </c>
      <c r="J8757" t="str">
        <f>IFERROR(__xludf.DUMMYFUNCTION("IFS(
  AND(REGEXMATCH(E8757, ""台銀籌備帳戶|玉山帳戶""), REGEXMATCH(C8757, ""薪資"")), ""分潤支出"",
  AND(REGEXMATCH(E8757, ""Ben帳戶|Elsa帳戶|Ben代墊|Ariel代墊|中信銀行共用""), REGEXMATCH(F8757, ""Ben帳戶|Elsa帳戶|Ben代墊|Ariel代墊|中信銀行共用"")), ""內部轉帳(忽略)"",
  AND(E8757&lt;&gt;"""", F8757&lt;&gt;"""", N"&amp;"OT(REGEXMATCH(C8757, ""薪資""))), ""內部轉帳(忽略)"",
  REGEXMATCH(C8757, ""薪資""), ""薪資變動(不計入)"",
  REGEXMATCH(C8757, ""押金""), ""押金往來"",
  AND(E8757&lt;&gt;"""", F8757=""""), ""真實支出"",
  AND(E8757="""", F8757&lt;&gt;""""), ""真實收入"",
  TRUE, ""其他""
)"),"其他")</f>
        <v>其他</v>
      </c>
      <c r="K8757" s="270" t="str">
        <f t="shared" si="2"/>
        <v/>
      </c>
      <c r="L8757">
        <f t="shared" si="3"/>
        <v>0</v>
      </c>
    </row>
    <row r="8758">
      <c r="A8758" s="107"/>
      <c r="D8758" s="270"/>
      <c r="H8758" s="106" t="str">
        <f t="shared" si="1"/>
        <v/>
      </c>
      <c r="J8758" t="str">
        <f>IFERROR(__xludf.DUMMYFUNCTION("IFS(
  AND(REGEXMATCH(E8758, ""台銀籌備帳戶|玉山帳戶""), REGEXMATCH(C8758, ""薪資"")), ""分潤支出"",
  AND(REGEXMATCH(E8758, ""Ben帳戶|Elsa帳戶|Ben代墊|Ariel代墊|中信銀行共用""), REGEXMATCH(F8758, ""Ben帳戶|Elsa帳戶|Ben代墊|Ariel代墊|中信銀行共用"")), ""內部轉帳(忽略)"",
  AND(E8758&lt;&gt;"""", F8758&lt;&gt;"""", N"&amp;"OT(REGEXMATCH(C8758, ""薪資""))), ""內部轉帳(忽略)"",
  REGEXMATCH(C8758, ""薪資""), ""薪資變動(不計入)"",
  REGEXMATCH(C8758, ""押金""), ""押金往來"",
  AND(E8758&lt;&gt;"""", F8758=""""), ""真實支出"",
  AND(E8758="""", F8758&lt;&gt;""""), ""真實收入"",
  TRUE, ""其他""
)"),"其他")</f>
        <v>其他</v>
      </c>
      <c r="K8758" s="270" t="str">
        <f t="shared" si="2"/>
        <v/>
      </c>
      <c r="L8758">
        <f t="shared" si="3"/>
        <v>0</v>
      </c>
    </row>
    <row r="8759">
      <c r="A8759" s="107"/>
      <c r="D8759" s="270"/>
      <c r="H8759" s="106" t="str">
        <f t="shared" si="1"/>
        <v/>
      </c>
      <c r="J8759" t="str">
        <f>IFERROR(__xludf.DUMMYFUNCTION("IFS(
  AND(REGEXMATCH(E8759, ""台銀籌備帳戶|玉山帳戶""), REGEXMATCH(C8759, ""薪資"")), ""分潤支出"",
  AND(REGEXMATCH(E8759, ""Ben帳戶|Elsa帳戶|Ben代墊|Ariel代墊|中信銀行共用""), REGEXMATCH(F8759, ""Ben帳戶|Elsa帳戶|Ben代墊|Ariel代墊|中信銀行共用"")), ""內部轉帳(忽略)"",
  AND(E8759&lt;&gt;"""", F8759&lt;&gt;"""", N"&amp;"OT(REGEXMATCH(C8759, ""薪資""))), ""內部轉帳(忽略)"",
  REGEXMATCH(C8759, ""薪資""), ""薪資變動(不計入)"",
  REGEXMATCH(C8759, ""押金""), ""押金往來"",
  AND(E8759&lt;&gt;"""", F8759=""""), ""真實支出"",
  AND(E8759="""", F8759&lt;&gt;""""), ""真實收入"",
  TRUE, ""其他""
)"),"其他")</f>
        <v>其他</v>
      </c>
      <c r="K8759" s="270" t="str">
        <f t="shared" si="2"/>
        <v/>
      </c>
      <c r="L8759">
        <f t="shared" si="3"/>
        <v>0</v>
      </c>
    </row>
    <row r="8760">
      <c r="A8760" s="107"/>
      <c r="D8760" s="270"/>
      <c r="H8760" s="106" t="str">
        <f t="shared" si="1"/>
        <v/>
      </c>
      <c r="J8760" t="str">
        <f>IFERROR(__xludf.DUMMYFUNCTION("IFS(
  AND(REGEXMATCH(E8760, ""台銀籌備帳戶|玉山帳戶""), REGEXMATCH(C8760, ""薪資"")), ""分潤支出"",
  AND(REGEXMATCH(E8760, ""Ben帳戶|Elsa帳戶|Ben代墊|Ariel代墊|中信銀行共用""), REGEXMATCH(F8760, ""Ben帳戶|Elsa帳戶|Ben代墊|Ariel代墊|中信銀行共用"")), ""內部轉帳(忽略)"",
  AND(E8760&lt;&gt;"""", F8760&lt;&gt;"""", N"&amp;"OT(REGEXMATCH(C8760, ""薪資""))), ""內部轉帳(忽略)"",
  REGEXMATCH(C8760, ""薪資""), ""薪資變動(不計入)"",
  REGEXMATCH(C8760, ""押金""), ""押金往來"",
  AND(E8760&lt;&gt;"""", F8760=""""), ""真實支出"",
  AND(E8760="""", F8760&lt;&gt;""""), ""真實收入"",
  TRUE, ""其他""
)"),"其他")</f>
        <v>其他</v>
      </c>
      <c r="K8760" s="270" t="str">
        <f t="shared" si="2"/>
        <v/>
      </c>
      <c r="L8760">
        <f t="shared" si="3"/>
        <v>0</v>
      </c>
    </row>
    <row r="8761">
      <c r="A8761" s="107"/>
      <c r="D8761" s="270"/>
      <c r="H8761" s="106" t="str">
        <f t="shared" si="1"/>
        <v/>
      </c>
      <c r="J8761" t="str">
        <f>IFERROR(__xludf.DUMMYFUNCTION("IFS(
  AND(REGEXMATCH(E8761, ""台銀籌備帳戶|玉山帳戶""), REGEXMATCH(C8761, ""薪資"")), ""分潤支出"",
  AND(REGEXMATCH(E8761, ""Ben帳戶|Elsa帳戶|Ben代墊|Ariel代墊|中信銀行共用""), REGEXMATCH(F8761, ""Ben帳戶|Elsa帳戶|Ben代墊|Ariel代墊|中信銀行共用"")), ""內部轉帳(忽略)"",
  AND(E8761&lt;&gt;"""", F8761&lt;&gt;"""", N"&amp;"OT(REGEXMATCH(C8761, ""薪資""))), ""內部轉帳(忽略)"",
  REGEXMATCH(C8761, ""薪資""), ""薪資變動(不計入)"",
  REGEXMATCH(C8761, ""押金""), ""押金往來"",
  AND(E8761&lt;&gt;"""", F8761=""""), ""真實支出"",
  AND(E8761="""", F8761&lt;&gt;""""), ""真實收入"",
  TRUE, ""其他""
)"),"其他")</f>
        <v>其他</v>
      </c>
      <c r="K8761" s="270" t="str">
        <f t="shared" si="2"/>
        <v/>
      </c>
      <c r="L8761">
        <f t="shared" si="3"/>
        <v>0</v>
      </c>
    </row>
    <row r="8762">
      <c r="A8762" s="107"/>
      <c r="D8762" s="270"/>
      <c r="H8762" s="106" t="str">
        <f t="shared" si="1"/>
        <v/>
      </c>
      <c r="J8762" t="str">
        <f>IFERROR(__xludf.DUMMYFUNCTION("IFS(
  AND(REGEXMATCH(E8762, ""台銀籌備帳戶|玉山帳戶""), REGEXMATCH(C8762, ""薪資"")), ""分潤支出"",
  AND(REGEXMATCH(E8762, ""Ben帳戶|Elsa帳戶|Ben代墊|Ariel代墊|中信銀行共用""), REGEXMATCH(F8762, ""Ben帳戶|Elsa帳戶|Ben代墊|Ariel代墊|中信銀行共用"")), ""內部轉帳(忽略)"",
  AND(E8762&lt;&gt;"""", F8762&lt;&gt;"""", N"&amp;"OT(REGEXMATCH(C8762, ""薪資""))), ""內部轉帳(忽略)"",
  REGEXMATCH(C8762, ""薪資""), ""薪資變動(不計入)"",
  REGEXMATCH(C8762, ""押金""), ""押金往來"",
  AND(E8762&lt;&gt;"""", F8762=""""), ""真實支出"",
  AND(E8762="""", F8762&lt;&gt;""""), ""真實收入"",
  TRUE, ""其他""
)"),"其他")</f>
        <v>其他</v>
      </c>
      <c r="K8762" s="270" t="str">
        <f t="shared" si="2"/>
        <v/>
      </c>
      <c r="L8762">
        <f t="shared" si="3"/>
        <v>0</v>
      </c>
    </row>
    <row r="8763">
      <c r="A8763" s="107"/>
      <c r="D8763" s="270"/>
      <c r="H8763" s="106" t="str">
        <f t="shared" si="1"/>
        <v/>
      </c>
      <c r="J8763" t="str">
        <f>IFERROR(__xludf.DUMMYFUNCTION("IFS(
  AND(REGEXMATCH(E8763, ""台銀籌備帳戶|玉山帳戶""), REGEXMATCH(C8763, ""薪資"")), ""分潤支出"",
  AND(REGEXMATCH(E8763, ""Ben帳戶|Elsa帳戶|Ben代墊|Ariel代墊|中信銀行共用""), REGEXMATCH(F8763, ""Ben帳戶|Elsa帳戶|Ben代墊|Ariel代墊|中信銀行共用"")), ""內部轉帳(忽略)"",
  AND(E8763&lt;&gt;"""", F8763&lt;&gt;"""", N"&amp;"OT(REGEXMATCH(C8763, ""薪資""))), ""內部轉帳(忽略)"",
  REGEXMATCH(C8763, ""薪資""), ""薪資變動(不計入)"",
  REGEXMATCH(C8763, ""押金""), ""押金往來"",
  AND(E8763&lt;&gt;"""", F8763=""""), ""真實支出"",
  AND(E8763="""", F8763&lt;&gt;""""), ""真實收入"",
  TRUE, ""其他""
)"),"其他")</f>
        <v>其他</v>
      </c>
      <c r="K8763" s="270" t="str">
        <f t="shared" si="2"/>
        <v/>
      </c>
      <c r="L8763">
        <f t="shared" si="3"/>
        <v>0</v>
      </c>
    </row>
    <row r="8764">
      <c r="A8764" s="107"/>
      <c r="D8764" s="270"/>
      <c r="H8764" s="106" t="str">
        <f t="shared" si="1"/>
        <v/>
      </c>
      <c r="J8764" t="str">
        <f>IFERROR(__xludf.DUMMYFUNCTION("IFS(
  AND(REGEXMATCH(E8764, ""台銀籌備帳戶|玉山帳戶""), REGEXMATCH(C8764, ""薪資"")), ""分潤支出"",
  AND(REGEXMATCH(E8764, ""Ben帳戶|Elsa帳戶|Ben代墊|Ariel代墊|中信銀行共用""), REGEXMATCH(F8764, ""Ben帳戶|Elsa帳戶|Ben代墊|Ariel代墊|中信銀行共用"")), ""內部轉帳(忽略)"",
  AND(E8764&lt;&gt;"""", F8764&lt;&gt;"""", N"&amp;"OT(REGEXMATCH(C8764, ""薪資""))), ""內部轉帳(忽略)"",
  REGEXMATCH(C8764, ""薪資""), ""薪資變動(不計入)"",
  REGEXMATCH(C8764, ""押金""), ""押金往來"",
  AND(E8764&lt;&gt;"""", F8764=""""), ""真實支出"",
  AND(E8764="""", F8764&lt;&gt;""""), ""真實收入"",
  TRUE, ""其他""
)"),"其他")</f>
        <v>其他</v>
      </c>
      <c r="K8764" s="270" t="str">
        <f t="shared" si="2"/>
        <v/>
      </c>
      <c r="L8764">
        <f t="shared" si="3"/>
        <v>0</v>
      </c>
    </row>
    <row r="8765">
      <c r="A8765" s="107"/>
      <c r="D8765" s="270"/>
      <c r="H8765" s="106" t="str">
        <f t="shared" si="1"/>
        <v/>
      </c>
      <c r="J8765" t="str">
        <f>IFERROR(__xludf.DUMMYFUNCTION("IFS(
  AND(REGEXMATCH(E8765, ""台銀籌備帳戶|玉山帳戶""), REGEXMATCH(C8765, ""薪資"")), ""分潤支出"",
  AND(REGEXMATCH(E8765, ""Ben帳戶|Elsa帳戶|Ben代墊|Ariel代墊|中信銀行共用""), REGEXMATCH(F8765, ""Ben帳戶|Elsa帳戶|Ben代墊|Ariel代墊|中信銀行共用"")), ""內部轉帳(忽略)"",
  AND(E8765&lt;&gt;"""", F8765&lt;&gt;"""", N"&amp;"OT(REGEXMATCH(C8765, ""薪資""))), ""內部轉帳(忽略)"",
  REGEXMATCH(C8765, ""薪資""), ""薪資變動(不計入)"",
  REGEXMATCH(C8765, ""押金""), ""押金往來"",
  AND(E8765&lt;&gt;"""", F8765=""""), ""真實支出"",
  AND(E8765="""", F8765&lt;&gt;""""), ""真實收入"",
  TRUE, ""其他""
)"),"其他")</f>
        <v>其他</v>
      </c>
      <c r="K8765" s="270" t="str">
        <f t="shared" si="2"/>
        <v/>
      </c>
      <c r="L8765">
        <f t="shared" si="3"/>
        <v>0</v>
      </c>
    </row>
    <row r="8766">
      <c r="A8766" s="107"/>
      <c r="D8766" s="270"/>
      <c r="H8766" s="106" t="str">
        <f t="shared" si="1"/>
        <v/>
      </c>
      <c r="J8766" t="str">
        <f>IFERROR(__xludf.DUMMYFUNCTION("IFS(
  AND(REGEXMATCH(E8766, ""台銀籌備帳戶|玉山帳戶""), REGEXMATCH(C8766, ""薪資"")), ""分潤支出"",
  AND(REGEXMATCH(E8766, ""Ben帳戶|Elsa帳戶|Ben代墊|Ariel代墊|中信銀行共用""), REGEXMATCH(F8766, ""Ben帳戶|Elsa帳戶|Ben代墊|Ariel代墊|中信銀行共用"")), ""內部轉帳(忽略)"",
  AND(E8766&lt;&gt;"""", F8766&lt;&gt;"""", N"&amp;"OT(REGEXMATCH(C8766, ""薪資""))), ""內部轉帳(忽略)"",
  REGEXMATCH(C8766, ""薪資""), ""薪資變動(不計入)"",
  REGEXMATCH(C8766, ""押金""), ""押金往來"",
  AND(E8766&lt;&gt;"""", F8766=""""), ""真實支出"",
  AND(E8766="""", F8766&lt;&gt;""""), ""真實收入"",
  TRUE, ""其他""
)"),"其他")</f>
        <v>其他</v>
      </c>
      <c r="K8766" s="270" t="str">
        <f t="shared" si="2"/>
        <v/>
      </c>
      <c r="L8766">
        <f t="shared" si="3"/>
        <v>0</v>
      </c>
    </row>
    <row r="8767">
      <c r="A8767" s="107"/>
      <c r="D8767" s="270"/>
      <c r="H8767" s="106" t="str">
        <f t="shared" si="1"/>
        <v/>
      </c>
      <c r="J8767" t="str">
        <f>IFERROR(__xludf.DUMMYFUNCTION("IFS(
  AND(REGEXMATCH(E8767, ""台銀籌備帳戶|玉山帳戶""), REGEXMATCH(C8767, ""薪資"")), ""分潤支出"",
  AND(REGEXMATCH(E8767, ""Ben帳戶|Elsa帳戶|Ben代墊|Ariel代墊|中信銀行共用""), REGEXMATCH(F8767, ""Ben帳戶|Elsa帳戶|Ben代墊|Ariel代墊|中信銀行共用"")), ""內部轉帳(忽略)"",
  AND(E8767&lt;&gt;"""", F8767&lt;&gt;"""", N"&amp;"OT(REGEXMATCH(C8767, ""薪資""))), ""內部轉帳(忽略)"",
  REGEXMATCH(C8767, ""薪資""), ""薪資變動(不計入)"",
  REGEXMATCH(C8767, ""押金""), ""押金往來"",
  AND(E8767&lt;&gt;"""", F8767=""""), ""真實支出"",
  AND(E8767="""", F8767&lt;&gt;""""), ""真實收入"",
  TRUE, ""其他""
)"),"其他")</f>
        <v>其他</v>
      </c>
      <c r="K8767" s="270" t="str">
        <f t="shared" si="2"/>
        <v/>
      </c>
      <c r="L8767">
        <f t="shared" si="3"/>
        <v>0</v>
      </c>
    </row>
    <row r="8768">
      <c r="A8768" s="107"/>
      <c r="D8768" s="270"/>
      <c r="H8768" s="106" t="str">
        <f t="shared" si="1"/>
        <v/>
      </c>
      <c r="J8768" t="str">
        <f>IFERROR(__xludf.DUMMYFUNCTION("IFS(
  AND(REGEXMATCH(E8768, ""台銀籌備帳戶|玉山帳戶""), REGEXMATCH(C8768, ""薪資"")), ""分潤支出"",
  AND(REGEXMATCH(E8768, ""Ben帳戶|Elsa帳戶|Ben代墊|Ariel代墊|中信銀行共用""), REGEXMATCH(F8768, ""Ben帳戶|Elsa帳戶|Ben代墊|Ariel代墊|中信銀行共用"")), ""內部轉帳(忽略)"",
  AND(E8768&lt;&gt;"""", F8768&lt;&gt;"""", N"&amp;"OT(REGEXMATCH(C8768, ""薪資""))), ""內部轉帳(忽略)"",
  REGEXMATCH(C8768, ""薪資""), ""薪資變動(不計入)"",
  REGEXMATCH(C8768, ""押金""), ""押金往來"",
  AND(E8768&lt;&gt;"""", F8768=""""), ""真實支出"",
  AND(E8768="""", F8768&lt;&gt;""""), ""真實收入"",
  TRUE, ""其他""
)"),"其他")</f>
        <v>其他</v>
      </c>
      <c r="K8768" s="270" t="str">
        <f t="shared" si="2"/>
        <v/>
      </c>
      <c r="L8768">
        <f t="shared" si="3"/>
        <v>0</v>
      </c>
    </row>
    <row r="8769">
      <c r="A8769" s="107"/>
      <c r="D8769" s="270"/>
      <c r="H8769" s="106" t="str">
        <f t="shared" si="1"/>
        <v/>
      </c>
      <c r="J8769" t="str">
        <f>IFERROR(__xludf.DUMMYFUNCTION("IFS(
  AND(REGEXMATCH(E8769, ""台銀籌備帳戶|玉山帳戶""), REGEXMATCH(C8769, ""薪資"")), ""分潤支出"",
  AND(REGEXMATCH(E8769, ""Ben帳戶|Elsa帳戶|Ben代墊|Ariel代墊|中信銀行共用""), REGEXMATCH(F8769, ""Ben帳戶|Elsa帳戶|Ben代墊|Ariel代墊|中信銀行共用"")), ""內部轉帳(忽略)"",
  AND(E8769&lt;&gt;"""", F8769&lt;&gt;"""", N"&amp;"OT(REGEXMATCH(C8769, ""薪資""))), ""內部轉帳(忽略)"",
  REGEXMATCH(C8769, ""薪資""), ""薪資變動(不計入)"",
  REGEXMATCH(C8769, ""押金""), ""押金往來"",
  AND(E8769&lt;&gt;"""", F8769=""""), ""真實支出"",
  AND(E8769="""", F8769&lt;&gt;""""), ""真實收入"",
  TRUE, ""其他""
)"),"其他")</f>
        <v>其他</v>
      </c>
      <c r="K8769" s="270" t="str">
        <f t="shared" si="2"/>
        <v/>
      </c>
      <c r="L8769">
        <f t="shared" si="3"/>
        <v>0</v>
      </c>
    </row>
    <row r="8770">
      <c r="A8770" s="107"/>
      <c r="D8770" s="270"/>
      <c r="H8770" s="106" t="str">
        <f t="shared" si="1"/>
        <v/>
      </c>
      <c r="J8770" t="str">
        <f>IFERROR(__xludf.DUMMYFUNCTION("IFS(
  AND(REGEXMATCH(E8770, ""台銀籌備帳戶|玉山帳戶""), REGEXMATCH(C8770, ""薪資"")), ""分潤支出"",
  AND(REGEXMATCH(E8770, ""Ben帳戶|Elsa帳戶|Ben代墊|Ariel代墊|中信銀行共用""), REGEXMATCH(F8770, ""Ben帳戶|Elsa帳戶|Ben代墊|Ariel代墊|中信銀行共用"")), ""內部轉帳(忽略)"",
  AND(E8770&lt;&gt;"""", F8770&lt;&gt;"""", N"&amp;"OT(REGEXMATCH(C8770, ""薪資""))), ""內部轉帳(忽略)"",
  REGEXMATCH(C8770, ""薪資""), ""薪資變動(不計入)"",
  REGEXMATCH(C8770, ""押金""), ""押金往來"",
  AND(E8770&lt;&gt;"""", F8770=""""), ""真實支出"",
  AND(E8770="""", F8770&lt;&gt;""""), ""真實收入"",
  TRUE, ""其他""
)"),"其他")</f>
        <v>其他</v>
      </c>
      <c r="K8770" s="270" t="str">
        <f t="shared" si="2"/>
        <v/>
      </c>
      <c r="L8770">
        <f t="shared" si="3"/>
        <v>0</v>
      </c>
    </row>
    <row r="8771">
      <c r="A8771" s="107"/>
      <c r="D8771" s="270"/>
      <c r="H8771" s="106" t="str">
        <f t="shared" si="1"/>
        <v/>
      </c>
      <c r="J8771" t="str">
        <f>IFERROR(__xludf.DUMMYFUNCTION("IFS(
  AND(REGEXMATCH(E8771, ""台銀籌備帳戶|玉山帳戶""), REGEXMATCH(C8771, ""薪資"")), ""分潤支出"",
  AND(REGEXMATCH(E8771, ""Ben帳戶|Elsa帳戶|Ben代墊|Ariel代墊|中信銀行共用""), REGEXMATCH(F8771, ""Ben帳戶|Elsa帳戶|Ben代墊|Ariel代墊|中信銀行共用"")), ""內部轉帳(忽略)"",
  AND(E8771&lt;&gt;"""", F8771&lt;&gt;"""", N"&amp;"OT(REGEXMATCH(C8771, ""薪資""))), ""內部轉帳(忽略)"",
  REGEXMATCH(C8771, ""薪資""), ""薪資變動(不計入)"",
  REGEXMATCH(C8771, ""押金""), ""押金往來"",
  AND(E8771&lt;&gt;"""", F8771=""""), ""真實支出"",
  AND(E8771="""", F8771&lt;&gt;""""), ""真實收入"",
  TRUE, ""其他""
)"),"其他")</f>
        <v>其他</v>
      </c>
      <c r="K8771" s="270" t="str">
        <f t="shared" si="2"/>
        <v/>
      </c>
      <c r="L8771">
        <f t="shared" si="3"/>
        <v>0</v>
      </c>
    </row>
    <row r="8772">
      <c r="A8772" s="107"/>
      <c r="D8772" s="270"/>
      <c r="H8772" s="106" t="str">
        <f t="shared" si="1"/>
        <v/>
      </c>
      <c r="J8772" t="str">
        <f>IFERROR(__xludf.DUMMYFUNCTION("IFS(
  AND(REGEXMATCH(E8772, ""台銀籌備帳戶|玉山帳戶""), REGEXMATCH(C8772, ""薪資"")), ""分潤支出"",
  AND(REGEXMATCH(E8772, ""Ben帳戶|Elsa帳戶|Ben代墊|Ariel代墊|中信銀行共用""), REGEXMATCH(F8772, ""Ben帳戶|Elsa帳戶|Ben代墊|Ariel代墊|中信銀行共用"")), ""內部轉帳(忽略)"",
  AND(E8772&lt;&gt;"""", F8772&lt;&gt;"""", N"&amp;"OT(REGEXMATCH(C8772, ""薪資""))), ""內部轉帳(忽略)"",
  REGEXMATCH(C8772, ""薪資""), ""薪資變動(不計入)"",
  REGEXMATCH(C8772, ""押金""), ""押金往來"",
  AND(E8772&lt;&gt;"""", F8772=""""), ""真實支出"",
  AND(E8772="""", F8772&lt;&gt;""""), ""真實收入"",
  TRUE, ""其他""
)"),"其他")</f>
        <v>其他</v>
      </c>
      <c r="K8772" s="270" t="str">
        <f t="shared" si="2"/>
        <v/>
      </c>
      <c r="L8772">
        <f t="shared" si="3"/>
        <v>0</v>
      </c>
    </row>
    <row r="8773">
      <c r="A8773" s="107"/>
      <c r="D8773" s="270"/>
      <c r="H8773" s="106" t="str">
        <f t="shared" si="1"/>
        <v/>
      </c>
      <c r="J8773" t="str">
        <f>IFERROR(__xludf.DUMMYFUNCTION("IFS(
  AND(REGEXMATCH(E8773, ""台銀籌備帳戶|玉山帳戶""), REGEXMATCH(C8773, ""薪資"")), ""分潤支出"",
  AND(REGEXMATCH(E8773, ""Ben帳戶|Elsa帳戶|Ben代墊|Ariel代墊|中信銀行共用""), REGEXMATCH(F8773, ""Ben帳戶|Elsa帳戶|Ben代墊|Ariel代墊|中信銀行共用"")), ""內部轉帳(忽略)"",
  AND(E8773&lt;&gt;"""", F8773&lt;&gt;"""", N"&amp;"OT(REGEXMATCH(C8773, ""薪資""))), ""內部轉帳(忽略)"",
  REGEXMATCH(C8773, ""薪資""), ""薪資變動(不計入)"",
  REGEXMATCH(C8773, ""押金""), ""押金往來"",
  AND(E8773&lt;&gt;"""", F8773=""""), ""真實支出"",
  AND(E8773="""", F8773&lt;&gt;""""), ""真實收入"",
  TRUE, ""其他""
)"),"其他")</f>
        <v>其他</v>
      </c>
      <c r="K8773" s="270" t="str">
        <f t="shared" si="2"/>
        <v/>
      </c>
      <c r="L8773">
        <f t="shared" si="3"/>
        <v>0</v>
      </c>
    </row>
    <row r="8774">
      <c r="A8774" s="107"/>
      <c r="D8774" s="270"/>
      <c r="H8774" s="106" t="str">
        <f t="shared" si="1"/>
        <v/>
      </c>
      <c r="J8774" t="str">
        <f>IFERROR(__xludf.DUMMYFUNCTION("IFS(
  AND(REGEXMATCH(E8774, ""台銀籌備帳戶|玉山帳戶""), REGEXMATCH(C8774, ""薪資"")), ""分潤支出"",
  AND(REGEXMATCH(E8774, ""Ben帳戶|Elsa帳戶|Ben代墊|Ariel代墊|中信銀行共用""), REGEXMATCH(F8774, ""Ben帳戶|Elsa帳戶|Ben代墊|Ariel代墊|中信銀行共用"")), ""內部轉帳(忽略)"",
  AND(E8774&lt;&gt;"""", F8774&lt;&gt;"""", N"&amp;"OT(REGEXMATCH(C8774, ""薪資""))), ""內部轉帳(忽略)"",
  REGEXMATCH(C8774, ""薪資""), ""薪資變動(不計入)"",
  REGEXMATCH(C8774, ""押金""), ""押金往來"",
  AND(E8774&lt;&gt;"""", F8774=""""), ""真實支出"",
  AND(E8774="""", F8774&lt;&gt;""""), ""真實收入"",
  TRUE, ""其他""
)"),"其他")</f>
        <v>其他</v>
      </c>
      <c r="K8774" s="270" t="str">
        <f t="shared" si="2"/>
        <v/>
      </c>
      <c r="L8774">
        <f t="shared" si="3"/>
        <v>0</v>
      </c>
    </row>
    <row r="8775">
      <c r="A8775" s="107"/>
      <c r="D8775" s="270"/>
      <c r="H8775" s="106" t="str">
        <f t="shared" si="1"/>
        <v/>
      </c>
      <c r="J8775" t="str">
        <f>IFERROR(__xludf.DUMMYFUNCTION("IFS(
  AND(REGEXMATCH(E8775, ""台銀籌備帳戶|玉山帳戶""), REGEXMATCH(C8775, ""薪資"")), ""分潤支出"",
  AND(REGEXMATCH(E8775, ""Ben帳戶|Elsa帳戶|Ben代墊|Ariel代墊|中信銀行共用""), REGEXMATCH(F8775, ""Ben帳戶|Elsa帳戶|Ben代墊|Ariel代墊|中信銀行共用"")), ""內部轉帳(忽略)"",
  AND(E8775&lt;&gt;"""", F8775&lt;&gt;"""", N"&amp;"OT(REGEXMATCH(C8775, ""薪資""))), ""內部轉帳(忽略)"",
  REGEXMATCH(C8775, ""薪資""), ""薪資變動(不計入)"",
  REGEXMATCH(C8775, ""押金""), ""押金往來"",
  AND(E8775&lt;&gt;"""", F8775=""""), ""真實支出"",
  AND(E8775="""", F8775&lt;&gt;""""), ""真實收入"",
  TRUE, ""其他""
)"),"其他")</f>
        <v>其他</v>
      </c>
      <c r="K8775" s="270" t="str">
        <f t="shared" si="2"/>
        <v/>
      </c>
      <c r="L8775">
        <f t="shared" si="3"/>
        <v>0</v>
      </c>
    </row>
    <row r="8776">
      <c r="A8776" s="107"/>
      <c r="D8776" s="270"/>
      <c r="H8776" s="106" t="str">
        <f t="shared" si="1"/>
        <v/>
      </c>
      <c r="J8776" t="str">
        <f>IFERROR(__xludf.DUMMYFUNCTION("IFS(
  AND(REGEXMATCH(E8776, ""台銀籌備帳戶|玉山帳戶""), REGEXMATCH(C8776, ""薪資"")), ""分潤支出"",
  AND(REGEXMATCH(E8776, ""Ben帳戶|Elsa帳戶|Ben代墊|Ariel代墊|中信銀行共用""), REGEXMATCH(F8776, ""Ben帳戶|Elsa帳戶|Ben代墊|Ariel代墊|中信銀行共用"")), ""內部轉帳(忽略)"",
  AND(E8776&lt;&gt;"""", F8776&lt;&gt;"""", N"&amp;"OT(REGEXMATCH(C8776, ""薪資""))), ""內部轉帳(忽略)"",
  REGEXMATCH(C8776, ""薪資""), ""薪資變動(不計入)"",
  REGEXMATCH(C8776, ""押金""), ""押金往來"",
  AND(E8776&lt;&gt;"""", F8776=""""), ""真實支出"",
  AND(E8776="""", F8776&lt;&gt;""""), ""真實收入"",
  TRUE, ""其他""
)"),"其他")</f>
        <v>其他</v>
      </c>
      <c r="K8776" s="270" t="str">
        <f t="shared" si="2"/>
        <v/>
      </c>
      <c r="L8776">
        <f t="shared" si="3"/>
        <v>0</v>
      </c>
    </row>
    <row r="8777">
      <c r="A8777" s="107"/>
      <c r="D8777" s="270"/>
      <c r="H8777" s="106" t="str">
        <f t="shared" si="1"/>
        <v/>
      </c>
      <c r="J8777" t="str">
        <f>IFERROR(__xludf.DUMMYFUNCTION("IFS(
  AND(REGEXMATCH(E8777, ""台銀籌備帳戶|玉山帳戶""), REGEXMATCH(C8777, ""薪資"")), ""分潤支出"",
  AND(REGEXMATCH(E8777, ""Ben帳戶|Elsa帳戶|Ben代墊|Ariel代墊|中信銀行共用""), REGEXMATCH(F8777, ""Ben帳戶|Elsa帳戶|Ben代墊|Ariel代墊|中信銀行共用"")), ""內部轉帳(忽略)"",
  AND(E8777&lt;&gt;"""", F8777&lt;&gt;"""", N"&amp;"OT(REGEXMATCH(C8777, ""薪資""))), ""內部轉帳(忽略)"",
  REGEXMATCH(C8777, ""薪資""), ""薪資變動(不計入)"",
  REGEXMATCH(C8777, ""押金""), ""押金往來"",
  AND(E8777&lt;&gt;"""", F8777=""""), ""真實支出"",
  AND(E8777="""", F8777&lt;&gt;""""), ""真實收入"",
  TRUE, ""其他""
)"),"其他")</f>
        <v>其他</v>
      </c>
      <c r="K8777" s="270" t="str">
        <f t="shared" si="2"/>
        <v/>
      </c>
      <c r="L8777">
        <f t="shared" si="3"/>
        <v>0</v>
      </c>
    </row>
    <row r="8778">
      <c r="A8778" s="107"/>
      <c r="D8778" s="270"/>
      <c r="H8778" s="106" t="str">
        <f t="shared" si="1"/>
        <v/>
      </c>
      <c r="J8778" t="str">
        <f>IFERROR(__xludf.DUMMYFUNCTION("IFS(
  AND(REGEXMATCH(E8778, ""台銀籌備帳戶|玉山帳戶""), REGEXMATCH(C8778, ""薪資"")), ""分潤支出"",
  AND(REGEXMATCH(E8778, ""Ben帳戶|Elsa帳戶|Ben代墊|Ariel代墊|中信銀行共用""), REGEXMATCH(F8778, ""Ben帳戶|Elsa帳戶|Ben代墊|Ariel代墊|中信銀行共用"")), ""內部轉帳(忽略)"",
  AND(E8778&lt;&gt;"""", F8778&lt;&gt;"""", N"&amp;"OT(REGEXMATCH(C8778, ""薪資""))), ""內部轉帳(忽略)"",
  REGEXMATCH(C8778, ""薪資""), ""薪資變動(不計入)"",
  REGEXMATCH(C8778, ""押金""), ""押金往來"",
  AND(E8778&lt;&gt;"""", F8778=""""), ""真實支出"",
  AND(E8778="""", F8778&lt;&gt;""""), ""真實收入"",
  TRUE, ""其他""
)"),"其他")</f>
        <v>其他</v>
      </c>
      <c r="K8778" s="270" t="str">
        <f t="shared" si="2"/>
        <v/>
      </c>
      <c r="L8778">
        <f t="shared" si="3"/>
        <v>0</v>
      </c>
    </row>
    <row r="8779">
      <c r="A8779" s="107"/>
      <c r="D8779" s="270"/>
      <c r="H8779" s="106" t="str">
        <f t="shared" si="1"/>
        <v/>
      </c>
      <c r="J8779" t="str">
        <f>IFERROR(__xludf.DUMMYFUNCTION("IFS(
  AND(REGEXMATCH(E8779, ""台銀籌備帳戶|玉山帳戶""), REGEXMATCH(C8779, ""薪資"")), ""分潤支出"",
  AND(REGEXMATCH(E8779, ""Ben帳戶|Elsa帳戶|Ben代墊|Ariel代墊|中信銀行共用""), REGEXMATCH(F8779, ""Ben帳戶|Elsa帳戶|Ben代墊|Ariel代墊|中信銀行共用"")), ""內部轉帳(忽略)"",
  AND(E8779&lt;&gt;"""", F8779&lt;&gt;"""", N"&amp;"OT(REGEXMATCH(C8779, ""薪資""))), ""內部轉帳(忽略)"",
  REGEXMATCH(C8779, ""薪資""), ""薪資變動(不計入)"",
  REGEXMATCH(C8779, ""押金""), ""押金往來"",
  AND(E8779&lt;&gt;"""", F8779=""""), ""真實支出"",
  AND(E8779="""", F8779&lt;&gt;""""), ""真實收入"",
  TRUE, ""其他""
)"),"其他")</f>
        <v>其他</v>
      </c>
      <c r="K8779" s="270" t="str">
        <f t="shared" si="2"/>
        <v/>
      </c>
      <c r="L8779">
        <f t="shared" si="3"/>
        <v>0</v>
      </c>
    </row>
    <row r="8780">
      <c r="A8780" s="107"/>
      <c r="D8780" s="270"/>
      <c r="H8780" s="106" t="str">
        <f t="shared" si="1"/>
        <v/>
      </c>
      <c r="J8780" t="str">
        <f>IFERROR(__xludf.DUMMYFUNCTION("IFS(
  AND(REGEXMATCH(E8780, ""台銀籌備帳戶|玉山帳戶""), REGEXMATCH(C8780, ""薪資"")), ""分潤支出"",
  AND(REGEXMATCH(E8780, ""Ben帳戶|Elsa帳戶|Ben代墊|Ariel代墊|中信銀行共用""), REGEXMATCH(F8780, ""Ben帳戶|Elsa帳戶|Ben代墊|Ariel代墊|中信銀行共用"")), ""內部轉帳(忽略)"",
  AND(E8780&lt;&gt;"""", F8780&lt;&gt;"""", N"&amp;"OT(REGEXMATCH(C8780, ""薪資""))), ""內部轉帳(忽略)"",
  REGEXMATCH(C8780, ""薪資""), ""薪資變動(不計入)"",
  REGEXMATCH(C8780, ""押金""), ""押金往來"",
  AND(E8780&lt;&gt;"""", F8780=""""), ""真實支出"",
  AND(E8780="""", F8780&lt;&gt;""""), ""真實收入"",
  TRUE, ""其他""
)"),"其他")</f>
        <v>其他</v>
      </c>
      <c r="K8780" s="270" t="str">
        <f t="shared" si="2"/>
        <v/>
      </c>
      <c r="L8780">
        <f t="shared" si="3"/>
        <v>0</v>
      </c>
    </row>
    <row r="8781">
      <c r="A8781" s="107"/>
      <c r="D8781" s="270"/>
      <c r="H8781" s="106" t="str">
        <f t="shared" si="1"/>
        <v/>
      </c>
      <c r="J8781" t="str">
        <f>IFERROR(__xludf.DUMMYFUNCTION("IFS(
  AND(REGEXMATCH(E8781, ""台銀籌備帳戶|玉山帳戶""), REGEXMATCH(C8781, ""薪資"")), ""分潤支出"",
  AND(REGEXMATCH(E8781, ""Ben帳戶|Elsa帳戶|Ben代墊|Ariel代墊|中信銀行共用""), REGEXMATCH(F8781, ""Ben帳戶|Elsa帳戶|Ben代墊|Ariel代墊|中信銀行共用"")), ""內部轉帳(忽略)"",
  AND(E8781&lt;&gt;"""", F8781&lt;&gt;"""", N"&amp;"OT(REGEXMATCH(C8781, ""薪資""))), ""內部轉帳(忽略)"",
  REGEXMATCH(C8781, ""薪資""), ""薪資變動(不計入)"",
  REGEXMATCH(C8781, ""押金""), ""押金往來"",
  AND(E8781&lt;&gt;"""", F8781=""""), ""真實支出"",
  AND(E8781="""", F8781&lt;&gt;""""), ""真實收入"",
  TRUE, ""其他""
)"),"其他")</f>
        <v>其他</v>
      </c>
      <c r="K8781" s="270" t="str">
        <f t="shared" si="2"/>
        <v/>
      </c>
      <c r="L8781">
        <f t="shared" si="3"/>
        <v>0</v>
      </c>
    </row>
    <row r="8782">
      <c r="A8782" s="107"/>
      <c r="D8782" s="270"/>
      <c r="H8782" s="106" t="str">
        <f t="shared" si="1"/>
        <v/>
      </c>
      <c r="J8782" t="str">
        <f>IFERROR(__xludf.DUMMYFUNCTION("IFS(
  AND(REGEXMATCH(E8782, ""台銀籌備帳戶|玉山帳戶""), REGEXMATCH(C8782, ""薪資"")), ""分潤支出"",
  AND(REGEXMATCH(E8782, ""Ben帳戶|Elsa帳戶|Ben代墊|Ariel代墊|中信銀行共用""), REGEXMATCH(F8782, ""Ben帳戶|Elsa帳戶|Ben代墊|Ariel代墊|中信銀行共用"")), ""內部轉帳(忽略)"",
  AND(E8782&lt;&gt;"""", F8782&lt;&gt;"""", N"&amp;"OT(REGEXMATCH(C8782, ""薪資""))), ""內部轉帳(忽略)"",
  REGEXMATCH(C8782, ""薪資""), ""薪資變動(不計入)"",
  REGEXMATCH(C8782, ""押金""), ""押金往來"",
  AND(E8782&lt;&gt;"""", F8782=""""), ""真實支出"",
  AND(E8782="""", F8782&lt;&gt;""""), ""真實收入"",
  TRUE, ""其他""
)"),"其他")</f>
        <v>其他</v>
      </c>
      <c r="K8782" s="270" t="str">
        <f t="shared" si="2"/>
        <v/>
      </c>
      <c r="L8782">
        <f t="shared" si="3"/>
        <v>0</v>
      </c>
    </row>
    <row r="8783">
      <c r="A8783" s="107"/>
      <c r="D8783" s="270"/>
      <c r="H8783" s="106" t="str">
        <f t="shared" si="1"/>
        <v/>
      </c>
      <c r="J8783" t="str">
        <f>IFERROR(__xludf.DUMMYFUNCTION("IFS(
  AND(REGEXMATCH(E8783, ""台銀籌備帳戶|玉山帳戶""), REGEXMATCH(C8783, ""薪資"")), ""分潤支出"",
  AND(REGEXMATCH(E8783, ""Ben帳戶|Elsa帳戶|Ben代墊|Ariel代墊|中信銀行共用""), REGEXMATCH(F8783, ""Ben帳戶|Elsa帳戶|Ben代墊|Ariel代墊|中信銀行共用"")), ""內部轉帳(忽略)"",
  AND(E8783&lt;&gt;"""", F8783&lt;&gt;"""", N"&amp;"OT(REGEXMATCH(C8783, ""薪資""))), ""內部轉帳(忽略)"",
  REGEXMATCH(C8783, ""薪資""), ""薪資變動(不計入)"",
  REGEXMATCH(C8783, ""押金""), ""押金往來"",
  AND(E8783&lt;&gt;"""", F8783=""""), ""真實支出"",
  AND(E8783="""", F8783&lt;&gt;""""), ""真實收入"",
  TRUE, ""其他""
)"),"其他")</f>
        <v>其他</v>
      </c>
      <c r="K8783" s="270" t="str">
        <f t="shared" si="2"/>
        <v/>
      </c>
      <c r="L8783">
        <f t="shared" si="3"/>
        <v>0</v>
      </c>
    </row>
    <row r="8784">
      <c r="A8784" s="107"/>
      <c r="D8784" s="270"/>
      <c r="H8784" s="106" t="str">
        <f t="shared" si="1"/>
        <v/>
      </c>
      <c r="J8784" t="str">
        <f>IFERROR(__xludf.DUMMYFUNCTION("IFS(
  AND(REGEXMATCH(E8784, ""台銀籌備帳戶|玉山帳戶""), REGEXMATCH(C8784, ""薪資"")), ""分潤支出"",
  AND(REGEXMATCH(E8784, ""Ben帳戶|Elsa帳戶|Ben代墊|Ariel代墊|中信銀行共用""), REGEXMATCH(F8784, ""Ben帳戶|Elsa帳戶|Ben代墊|Ariel代墊|中信銀行共用"")), ""內部轉帳(忽略)"",
  AND(E8784&lt;&gt;"""", F8784&lt;&gt;"""", N"&amp;"OT(REGEXMATCH(C8784, ""薪資""))), ""內部轉帳(忽略)"",
  REGEXMATCH(C8784, ""薪資""), ""薪資變動(不計入)"",
  REGEXMATCH(C8784, ""押金""), ""押金往來"",
  AND(E8784&lt;&gt;"""", F8784=""""), ""真實支出"",
  AND(E8784="""", F8784&lt;&gt;""""), ""真實收入"",
  TRUE, ""其他""
)"),"其他")</f>
        <v>其他</v>
      </c>
      <c r="K8784" s="270" t="str">
        <f t="shared" si="2"/>
        <v/>
      </c>
      <c r="L8784">
        <f t="shared" si="3"/>
        <v>0</v>
      </c>
    </row>
    <row r="8785">
      <c r="A8785" s="107"/>
      <c r="D8785" s="270"/>
      <c r="H8785" s="106" t="str">
        <f t="shared" si="1"/>
        <v/>
      </c>
      <c r="J8785" t="str">
        <f>IFERROR(__xludf.DUMMYFUNCTION("IFS(
  AND(REGEXMATCH(E8785, ""台銀籌備帳戶|玉山帳戶""), REGEXMATCH(C8785, ""薪資"")), ""分潤支出"",
  AND(REGEXMATCH(E8785, ""Ben帳戶|Elsa帳戶|Ben代墊|Ariel代墊|中信銀行共用""), REGEXMATCH(F8785, ""Ben帳戶|Elsa帳戶|Ben代墊|Ariel代墊|中信銀行共用"")), ""內部轉帳(忽略)"",
  AND(E8785&lt;&gt;"""", F8785&lt;&gt;"""", N"&amp;"OT(REGEXMATCH(C8785, ""薪資""))), ""內部轉帳(忽略)"",
  REGEXMATCH(C8785, ""薪資""), ""薪資變動(不計入)"",
  REGEXMATCH(C8785, ""押金""), ""押金往來"",
  AND(E8785&lt;&gt;"""", F8785=""""), ""真實支出"",
  AND(E8785="""", F8785&lt;&gt;""""), ""真實收入"",
  TRUE, ""其他""
)"),"其他")</f>
        <v>其他</v>
      </c>
      <c r="K8785" s="270" t="str">
        <f t="shared" si="2"/>
        <v/>
      </c>
      <c r="L8785">
        <f t="shared" si="3"/>
        <v>0</v>
      </c>
    </row>
    <row r="8786">
      <c r="A8786" s="107"/>
      <c r="D8786" s="270"/>
      <c r="H8786" s="106" t="str">
        <f t="shared" si="1"/>
        <v/>
      </c>
      <c r="J8786" t="str">
        <f>IFERROR(__xludf.DUMMYFUNCTION("IFS(
  AND(REGEXMATCH(E8786, ""台銀籌備帳戶|玉山帳戶""), REGEXMATCH(C8786, ""薪資"")), ""分潤支出"",
  AND(REGEXMATCH(E8786, ""Ben帳戶|Elsa帳戶|Ben代墊|Ariel代墊|中信銀行共用""), REGEXMATCH(F8786, ""Ben帳戶|Elsa帳戶|Ben代墊|Ariel代墊|中信銀行共用"")), ""內部轉帳(忽略)"",
  AND(E8786&lt;&gt;"""", F8786&lt;&gt;"""", N"&amp;"OT(REGEXMATCH(C8786, ""薪資""))), ""內部轉帳(忽略)"",
  REGEXMATCH(C8786, ""薪資""), ""薪資變動(不計入)"",
  REGEXMATCH(C8786, ""押金""), ""押金往來"",
  AND(E8786&lt;&gt;"""", F8786=""""), ""真實支出"",
  AND(E8786="""", F8786&lt;&gt;""""), ""真實收入"",
  TRUE, ""其他""
)"),"其他")</f>
        <v>其他</v>
      </c>
      <c r="K8786" s="270" t="str">
        <f t="shared" si="2"/>
        <v/>
      </c>
      <c r="L8786">
        <f t="shared" si="3"/>
        <v>0</v>
      </c>
    </row>
    <row r="8787">
      <c r="A8787" s="107"/>
      <c r="D8787" s="270"/>
      <c r="H8787" s="106" t="str">
        <f t="shared" si="1"/>
        <v/>
      </c>
      <c r="J8787" t="str">
        <f>IFERROR(__xludf.DUMMYFUNCTION("IFS(
  AND(REGEXMATCH(E8787, ""台銀籌備帳戶|玉山帳戶""), REGEXMATCH(C8787, ""薪資"")), ""分潤支出"",
  AND(REGEXMATCH(E8787, ""Ben帳戶|Elsa帳戶|Ben代墊|Ariel代墊|中信銀行共用""), REGEXMATCH(F8787, ""Ben帳戶|Elsa帳戶|Ben代墊|Ariel代墊|中信銀行共用"")), ""內部轉帳(忽略)"",
  AND(E8787&lt;&gt;"""", F8787&lt;&gt;"""", N"&amp;"OT(REGEXMATCH(C8787, ""薪資""))), ""內部轉帳(忽略)"",
  REGEXMATCH(C8787, ""薪資""), ""薪資變動(不計入)"",
  REGEXMATCH(C8787, ""押金""), ""押金往來"",
  AND(E8787&lt;&gt;"""", F8787=""""), ""真實支出"",
  AND(E8787="""", F8787&lt;&gt;""""), ""真實收入"",
  TRUE, ""其他""
)"),"其他")</f>
        <v>其他</v>
      </c>
      <c r="K8787" s="270" t="str">
        <f t="shared" si="2"/>
        <v/>
      </c>
      <c r="L8787">
        <f t="shared" si="3"/>
        <v>0</v>
      </c>
    </row>
    <row r="8788">
      <c r="A8788" s="107"/>
      <c r="D8788" s="270"/>
      <c r="H8788" s="106" t="str">
        <f t="shared" si="1"/>
        <v/>
      </c>
      <c r="J8788" t="str">
        <f>IFERROR(__xludf.DUMMYFUNCTION("IFS(
  AND(REGEXMATCH(E8788, ""台銀籌備帳戶|玉山帳戶""), REGEXMATCH(C8788, ""薪資"")), ""分潤支出"",
  AND(REGEXMATCH(E8788, ""Ben帳戶|Elsa帳戶|Ben代墊|Ariel代墊|中信銀行共用""), REGEXMATCH(F8788, ""Ben帳戶|Elsa帳戶|Ben代墊|Ariel代墊|中信銀行共用"")), ""內部轉帳(忽略)"",
  AND(E8788&lt;&gt;"""", F8788&lt;&gt;"""", N"&amp;"OT(REGEXMATCH(C8788, ""薪資""))), ""內部轉帳(忽略)"",
  REGEXMATCH(C8788, ""薪資""), ""薪資變動(不計入)"",
  REGEXMATCH(C8788, ""押金""), ""押金往來"",
  AND(E8788&lt;&gt;"""", F8788=""""), ""真實支出"",
  AND(E8788="""", F8788&lt;&gt;""""), ""真實收入"",
  TRUE, ""其他""
)"),"其他")</f>
        <v>其他</v>
      </c>
      <c r="K8788" s="270" t="str">
        <f t="shared" si="2"/>
        <v/>
      </c>
      <c r="L8788">
        <f t="shared" si="3"/>
        <v>0</v>
      </c>
    </row>
    <row r="8789">
      <c r="A8789" s="107"/>
      <c r="D8789" s="270"/>
      <c r="H8789" s="106" t="str">
        <f t="shared" si="1"/>
        <v/>
      </c>
      <c r="J8789" t="str">
        <f>IFERROR(__xludf.DUMMYFUNCTION("IFS(
  AND(REGEXMATCH(E8789, ""台銀籌備帳戶|玉山帳戶""), REGEXMATCH(C8789, ""薪資"")), ""分潤支出"",
  AND(REGEXMATCH(E8789, ""Ben帳戶|Elsa帳戶|Ben代墊|Ariel代墊|中信銀行共用""), REGEXMATCH(F8789, ""Ben帳戶|Elsa帳戶|Ben代墊|Ariel代墊|中信銀行共用"")), ""內部轉帳(忽略)"",
  AND(E8789&lt;&gt;"""", F8789&lt;&gt;"""", N"&amp;"OT(REGEXMATCH(C8789, ""薪資""))), ""內部轉帳(忽略)"",
  REGEXMATCH(C8789, ""薪資""), ""薪資變動(不計入)"",
  REGEXMATCH(C8789, ""押金""), ""押金往來"",
  AND(E8789&lt;&gt;"""", F8789=""""), ""真實支出"",
  AND(E8789="""", F8789&lt;&gt;""""), ""真實收入"",
  TRUE, ""其他""
)"),"其他")</f>
        <v>其他</v>
      </c>
      <c r="K8789" s="270" t="str">
        <f t="shared" si="2"/>
        <v/>
      </c>
      <c r="L8789">
        <f t="shared" si="3"/>
        <v>0</v>
      </c>
    </row>
    <row r="8790">
      <c r="A8790" s="107"/>
      <c r="D8790" s="270"/>
      <c r="H8790" s="106" t="str">
        <f t="shared" si="1"/>
        <v/>
      </c>
      <c r="J8790" t="str">
        <f>IFERROR(__xludf.DUMMYFUNCTION("IFS(
  AND(REGEXMATCH(E8790, ""台銀籌備帳戶|玉山帳戶""), REGEXMATCH(C8790, ""薪資"")), ""分潤支出"",
  AND(REGEXMATCH(E8790, ""Ben帳戶|Elsa帳戶|Ben代墊|Ariel代墊|中信銀行共用""), REGEXMATCH(F8790, ""Ben帳戶|Elsa帳戶|Ben代墊|Ariel代墊|中信銀行共用"")), ""內部轉帳(忽略)"",
  AND(E8790&lt;&gt;"""", F8790&lt;&gt;"""", N"&amp;"OT(REGEXMATCH(C8790, ""薪資""))), ""內部轉帳(忽略)"",
  REGEXMATCH(C8790, ""薪資""), ""薪資變動(不計入)"",
  REGEXMATCH(C8790, ""押金""), ""押金往來"",
  AND(E8790&lt;&gt;"""", F8790=""""), ""真實支出"",
  AND(E8790="""", F8790&lt;&gt;""""), ""真實收入"",
  TRUE, ""其他""
)"),"其他")</f>
        <v>其他</v>
      </c>
      <c r="K8790" s="270" t="str">
        <f t="shared" si="2"/>
        <v/>
      </c>
      <c r="L8790">
        <f t="shared" si="3"/>
        <v>0</v>
      </c>
    </row>
    <row r="8791">
      <c r="A8791" s="107"/>
      <c r="D8791" s="270"/>
      <c r="H8791" s="106" t="str">
        <f t="shared" si="1"/>
        <v/>
      </c>
      <c r="J8791" t="str">
        <f>IFERROR(__xludf.DUMMYFUNCTION("IFS(
  AND(REGEXMATCH(E8791, ""台銀籌備帳戶|玉山帳戶""), REGEXMATCH(C8791, ""薪資"")), ""分潤支出"",
  AND(REGEXMATCH(E8791, ""Ben帳戶|Elsa帳戶|Ben代墊|Ariel代墊|中信銀行共用""), REGEXMATCH(F8791, ""Ben帳戶|Elsa帳戶|Ben代墊|Ariel代墊|中信銀行共用"")), ""內部轉帳(忽略)"",
  AND(E8791&lt;&gt;"""", F8791&lt;&gt;"""", N"&amp;"OT(REGEXMATCH(C8791, ""薪資""))), ""內部轉帳(忽略)"",
  REGEXMATCH(C8791, ""薪資""), ""薪資變動(不計入)"",
  REGEXMATCH(C8791, ""押金""), ""押金往來"",
  AND(E8791&lt;&gt;"""", F8791=""""), ""真實支出"",
  AND(E8791="""", F8791&lt;&gt;""""), ""真實收入"",
  TRUE, ""其他""
)"),"其他")</f>
        <v>其他</v>
      </c>
      <c r="K8791" s="270" t="str">
        <f t="shared" si="2"/>
        <v/>
      </c>
      <c r="L8791">
        <f t="shared" si="3"/>
        <v>0</v>
      </c>
    </row>
    <row r="8792">
      <c r="A8792" s="107"/>
      <c r="D8792" s="270"/>
      <c r="H8792" s="106" t="str">
        <f t="shared" si="1"/>
        <v/>
      </c>
      <c r="J8792" t="str">
        <f>IFERROR(__xludf.DUMMYFUNCTION("IFS(
  AND(REGEXMATCH(E8792, ""台銀籌備帳戶|玉山帳戶""), REGEXMATCH(C8792, ""薪資"")), ""分潤支出"",
  AND(REGEXMATCH(E8792, ""Ben帳戶|Elsa帳戶|Ben代墊|Ariel代墊|中信銀行共用""), REGEXMATCH(F8792, ""Ben帳戶|Elsa帳戶|Ben代墊|Ariel代墊|中信銀行共用"")), ""內部轉帳(忽略)"",
  AND(E8792&lt;&gt;"""", F8792&lt;&gt;"""", N"&amp;"OT(REGEXMATCH(C8792, ""薪資""))), ""內部轉帳(忽略)"",
  REGEXMATCH(C8792, ""薪資""), ""薪資變動(不計入)"",
  REGEXMATCH(C8792, ""押金""), ""押金往來"",
  AND(E8792&lt;&gt;"""", F8792=""""), ""真實支出"",
  AND(E8792="""", F8792&lt;&gt;""""), ""真實收入"",
  TRUE, ""其他""
)"),"其他")</f>
        <v>其他</v>
      </c>
      <c r="K8792" s="270" t="str">
        <f t="shared" si="2"/>
        <v/>
      </c>
      <c r="L8792">
        <f t="shared" si="3"/>
        <v>0</v>
      </c>
    </row>
    <row r="8793">
      <c r="A8793" s="107"/>
      <c r="D8793" s="270"/>
      <c r="H8793" s="106" t="str">
        <f t="shared" si="1"/>
        <v/>
      </c>
      <c r="J8793" t="str">
        <f>IFERROR(__xludf.DUMMYFUNCTION("IFS(
  AND(REGEXMATCH(E8793, ""台銀籌備帳戶|玉山帳戶""), REGEXMATCH(C8793, ""薪資"")), ""分潤支出"",
  AND(REGEXMATCH(E8793, ""Ben帳戶|Elsa帳戶|Ben代墊|Ariel代墊|中信銀行共用""), REGEXMATCH(F8793, ""Ben帳戶|Elsa帳戶|Ben代墊|Ariel代墊|中信銀行共用"")), ""內部轉帳(忽略)"",
  AND(E8793&lt;&gt;"""", F8793&lt;&gt;"""", N"&amp;"OT(REGEXMATCH(C8793, ""薪資""))), ""內部轉帳(忽略)"",
  REGEXMATCH(C8793, ""薪資""), ""薪資變動(不計入)"",
  REGEXMATCH(C8793, ""押金""), ""押金往來"",
  AND(E8793&lt;&gt;"""", F8793=""""), ""真實支出"",
  AND(E8793="""", F8793&lt;&gt;""""), ""真實收入"",
  TRUE, ""其他""
)"),"其他")</f>
        <v>其他</v>
      </c>
      <c r="K8793" s="270" t="str">
        <f t="shared" si="2"/>
        <v/>
      </c>
      <c r="L8793">
        <f t="shared" si="3"/>
        <v>0</v>
      </c>
    </row>
    <row r="8794">
      <c r="A8794" s="107"/>
      <c r="D8794" s="270"/>
      <c r="H8794" s="106" t="str">
        <f t="shared" si="1"/>
        <v/>
      </c>
      <c r="J8794" t="str">
        <f>IFERROR(__xludf.DUMMYFUNCTION("IFS(
  AND(REGEXMATCH(E8794, ""台銀籌備帳戶|玉山帳戶""), REGEXMATCH(C8794, ""薪資"")), ""分潤支出"",
  AND(REGEXMATCH(E8794, ""Ben帳戶|Elsa帳戶|Ben代墊|Ariel代墊|中信銀行共用""), REGEXMATCH(F8794, ""Ben帳戶|Elsa帳戶|Ben代墊|Ariel代墊|中信銀行共用"")), ""內部轉帳(忽略)"",
  AND(E8794&lt;&gt;"""", F8794&lt;&gt;"""", N"&amp;"OT(REGEXMATCH(C8794, ""薪資""))), ""內部轉帳(忽略)"",
  REGEXMATCH(C8794, ""薪資""), ""薪資變動(不計入)"",
  REGEXMATCH(C8794, ""押金""), ""押金往來"",
  AND(E8794&lt;&gt;"""", F8794=""""), ""真實支出"",
  AND(E8794="""", F8794&lt;&gt;""""), ""真實收入"",
  TRUE, ""其他""
)"),"其他")</f>
        <v>其他</v>
      </c>
      <c r="K8794" s="270" t="str">
        <f t="shared" si="2"/>
        <v/>
      </c>
      <c r="L8794">
        <f t="shared" si="3"/>
        <v>0</v>
      </c>
    </row>
    <row r="8795">
      <c r="A8795" s="107"/>
      <c r="D8795" s="270"/>
      <c r="H8795" s="106" t="str">
        <f t="shared" si="1"/>
        <v/>
      </c>
      <c r="J8795" t="str">
        <f>IFERROR(__xludf.DUMMYFUNCTION("IFS(
  AND(REGEXMATCH(E8795, ""台銀籌備帳戶|玉山帳戶""), REGEXMATCH(C8795, ""薪資"")), ""分潤支出"",
  AND(REGEXMATCH(E8795, ""Ben帳戶|Elsa帳戶|Ben代墊|Ariel代墊|中信銀行共用""), REGEXMATCH(F8795, ""Ben帳戶|Elsa帳戶|Ben代墊|Ariel代墊|中信銀行共用"")), ""內部轉帳(忽略)"",
  AND(E8795&lt;&gt;"""", F8795&lt;&gt;"""", N"&amp;"OT(REGEXMATCH(C8795, ""薪資""))), ""內部轉帳(忽略)"",
  REGEXMATCH(C8795, ""薪資""), ""薪資變動(不計入)"",
  REGEXMATCH(C8795, ""押金""), ""押金往來"",
  AND(E8795&lt;&gt;"""", F8795=""""), ""真實支出"",
  AND(E8795="""", F8795&lt;&gt;""""), ""真實收入"",
  TRUE, ""其他""
)"),"其他")</f>
        <v>其他</v>
      </c>
      <c r="K8795" s="270" t="str">
        <f t="shared" si="2"/>
        <v/>
      </c>
      <c r="L8795">
        <f t="shared" si="3"/>
        <v>0</v>
      </c>
    </row>
    <row r="8796">
      <c r="A8796" s="107"/>
      <c r="D8796" s="270"/>
      <c r="H8796" s="106" t="str">
        <f t="shared" si="1"/>
        <v/>
      </c>
      <c r="J8796" t="str">
        <f>IFERROR(__xludf.DUMMYFUNCTION("IFS(
  AND(REGEXMATCH(E8796, ""台銀籌備帳戶|玉山帳戶""), REGEXMATCH(C8796, ""薪資"")), ""分潤支出"",
  AND(REGEXMATCH(E8796, ""Ben帳戶|Elsa帳戶|Ben代墊|Ariel代墊|中信銀行共用""), REGEXMATCH(F8796, ""Ben帳戶|Elsa帳戶|Ben代墊|Ariel代墊|中信銀行共用"")), ""內部轉帳(忽略)"",
  AND(E8796&lt;&gt;"""", F8796&lt;&gt;"""", N"&amp;"OT(REGEXMATCH(C8796, ""薪資""))), ""內部轉帳(忽略)"",
  REGEXMATCH(C8796, ""薪資""), ""薪資變動(不計入)"",
  REGEXMATCH(C8796, ""押金""), ""押金往來"",
  AND(E8796&lt;&gt;"""", F8796=""""), ""真實支出"",
  AND(E8796="""", F8796&lt;&gt;""""), ""真實收入"",
  TRUE, ""其他""
)"),"其他")</f>
        <v>其他</v>
      </c>
      <c r="K8796" s="270" t="str">
        <f t="shared" si="2"/>
        <v/>
      </c>
      <c r="L8796">
        <f t="shared" si="3"/>
        <v>0</v>
      </c>
    </row>
    <row r="8797">
      <c r="A8797" s="107"/>
      <c r="D8797" s="270"/>
      <c r="H8797" s="106" t="str">
        <f t="shared" si="1"/>
        <v/>
      </c>
      <c r="J8797" t="str">
        <f>IFERROR(__xludf.DUMMYFUNCTION("IFS(
  AND(REGEXMATCH(E8797, ""台銀籌備帳戶|玉山帳戶""), REGEXMATCH(C8797, ""薪資"")), ""分潤支出"",
  AND(REGEXMATCH(E8797, ""Ben帳戶|Elsa帳戶|Ben代墊|Ariel代墊|中信銀行共用""), REGEXMATCH(F8797, ""Ben帳戶|Elsa帳戶|Ben代墊|Ariel代墊|中信銀行共用"")), ""內部轉帳(忽略)"",
  AND(E8797&lt;&gt;"""", F8797&lt;&gt;"""", N"&amp;"OT(REGEXMATCH(C8797, ""薪資""))), ""內部轉帳(忽略)"",
  REGEXMATCH(C8797, ""薪資""), ""薪資變動(不計入)"",
  REGEXMATCH(C8797, ""押金""), ""押金往來"",
  AND(E8797&lt;&gt;"""", F8797=""""), ""真實支出"",
  AND(E8797="""", F8797&lt;&gt;""""), ""真實收入"",
  TRUE, ""其他""
)"),"其他")</f>
        <v>其他</v>
      </c>
      <c r="K8797" s="270" t="str">
        <f t="shared" si="2"/>
        <v/>
      </c>
      <c r="L8797">
        <f t="shared" si="3"/>
        <v>0</v>
      </c>
    </row>
    <row r="8798">
      <c r="A8798" s="107"/>
      <c r="D8798" s="270"/>
      <c r="H8798" s="106" t="str">
        <f t="shared" si="1"/>
        <v/>
      </c>
      <c r="J8798" t="str">
        <f>IFERROR(__xludf.DUMMYFUNCTION("IFS(
  AND(REGEXMATCH(E8798, ""台銀籌備帳戶|玉山帳戶""), REGEXMATCH(C8798, ""薪資"")), ""分潤支出"",
  AND(REGEXMATCH(E8798, ""Ben帳戶|Elsa帳戶|Ben代墊|Ariel代墊|中信銀行共用""), REGEXMATCH(F8798, ""Ben帳戶|Elsa帳戶|Ben代墊|Ariel代墊|中信銀行共用"")), ""內部轉帳(忽略)"",
  AND(E8798&lt;&gt;"""", F8798&lt;&gt;"""", N"&amp;"OT(REGEXMATCH(C8798, ""薪資""))), ""內部轉帳(忽略)"",
  REGEXMATCH(C8798, ""薪資""), ""薪資變動(不計入)"",
  REGEXMATCH(C8798, ""押金""), ""押金往來"",
  AND(E8798&lt;&gt;"""", F8798=""""), ""真實支出"",
  AND(E8798="""", F8798&lt;&gt;""""), ""真實收入"",
  TRUE, ""其他""
)"),"其他")</f>
        <v>其他</v>
      </c>
      <c r="K8798" s="270" t="str">
        <f t="shared" si="2"/>
        <v/>
      </c>
      <c r="L8798">
        <f t="shared" si="3"/>
        <v>0</v>
      </c>
    </row>
    <row r="8799">
      <c r="A8799" s="107"/>
      <c r="D8799" s="270"/>
      <c r="H8799" s="106" t="str">
        <f t="shared" si="1"/>
        <v/>
      </c>
      <c r="J8799" t="str">
        <f>IFERROR(__xludf.DUMMYFUNCTION("IFS(
  AND(REGEXMATCH(E8799, ""台銀籌備帳戶|玉山帳戶""), REGEXMATCH(C8799, ""薪資"")), ""分潤支出"",
  AND(REGEXMATCH(E8799, ""Ben帳戶|Elsa帳戶|Ben代墊|Ariel代墊|中信銀行共用""), REGEXMATCH(F8799, ""Ben帳戶|Elsa帳戶|Ben代墊|Ariel代墊|中信銀行共用"")), ""內部轉帳(忽略)"",
  AND(E8799&lt;&gt;"""", F8799&lt;&gt;"""", N"&amp;"OT(REGEXMATCH(C8799, ""薪資""))), ""內部轉帳(忽略)"",
  REGEXMATCH(C8799, ""薪資""), ""薪資變動(不計入)"",
  REGEXMATCH(C8799, ""押金""), ""押金往來"",
  AND(E8799&lt;&gt;"""", F8799=""""), ""真實支出"",
  AND(E8799="""", F8799&lt;&gt;""""), ""真實收入"",
  TRUE, ""其他""
)"),"其他")</f>
        <v>其他</v>
      </c>
      <c r="K8799" s="270" t="str">
        <f t="shared" si="2"/>
        <v/>
      </c>
      <c r="L8799">
        <f t="shared" si="3"/>
        <v>0</v>
      </c>
    </row>
    <row r="8800">
      <c r="A8800" s="107"/>
      <c r="D8800" s="270"/>
      <c r="H8800" s="106" t="str">
        <f t="shared" si="1"/>
        <v/>
      </c>
      <c r="J8800" t="str">
        <f>IFERROR(__xludf.DUMMYFUNCTION("IFS(
  AND(REGEXMATCH(E8800, ""台銀籌備帳戶|玉山帳戶""), REGEXMATCH(C8800, ""薪資"")), ""分潤支出"",
  AND(REGEXMATCH(E8800, ""Ben帳戶|Elsa帳戶|Ben代墊|Ariel代墊|中信銀行共用""), REGEXMATCH(F8800, ""Ben帳戶|Elsa帳戶|Ben代墊|Ariel代墊|中信銀行共用"")), ""內部轉帳(忽略)"",
  AND(E8800&lt;&gt;"""", F8800&lt;&gt;"""", N"&amp;"OT(REGEXMATCH(C8800, ""薪資""))), ""內部轉帳(忽略)"",
  REGEXMATCH(C8800, ""薪資""), ""薪資變動(不計入)"",
  REGEXMATCH(C8800, ""押金""), ""押金往來"",
  AND(E8800&lt;&gt;"""", F8800=""""), ""真實支出"",
  AND(E8800="""", F8800&lt;&gt;""""), ""真實收入"",
  TRUE, ""其他""
)"),"其他")</f>
        <v>其他</v>
      </c>
      <c r="K8800" s="270" t="str">
        <f t="shared" si="2"/>
        <v/>
      </c>
      <c r="L8800">
        <f t="shared" si="3"/>
        <v>0</v>
      </c>
    </row>
    <row r="8801">
      <c r="A8801" s="107"/>
      <c r="D8801" s="270"/>
      <c r="H8801" s="106" t="str">
        <f t="shared" si="1"/>
        <v/>
      </c>
      <c r="J8801" t="str">
        <f>IFERROR(__xludf.DUMMYFUNCTION("IFS(
  AND(REGEXMATCH(E8801, ""台銀籌備帳戶|玉山帳戶""), REGEXMATCH(C8801, ""薪資"")), ""分潤支出"",
  AND(REGEXMATCH(E8801, ""Ben帳戶|Elsa帳戶|Ben代墊|Ariel代墊|中信銀行共用""), REGEXMATCH(F8801, ""Ben帳戶|Elsa帳戶|Ben代墊|Ariel代墊|中信銀行共用"")), ""內部轉帳(忽略)"",
  AND(E8801&lt;&gt;"""", F8801&lt;&gt;"""", N"&amp;"OT(REGEXMATCH(C8801, ""薪資""))), ""內部轉帳(忽略)"",
  REGEXMATCH(C8801, ""薪資""), ""薪資變動(不計入)"",
  REGEXMATCH(C8801, ""押金""), ""押金往來"",
  AND(E8801&lt;&gt;"""", F8801=""""), ""真實支出"",
  AND(E8801="""", F8801&lt;&gt;""""), ""真實收入"",
  TRUE, ""其他""
)"),"其他")</f>
        <v>其他</v>
      </c>
      <c r="K8801" s="270" t="str">
        <f t="shared" si="2"/>
        <v/>
      </c>
      <c r="L8801">
        <f t="shared" si="3"/>
        <v>0</v>
      </c>
    </row>
    <row r="8802">
      <c r="A8802" s="107"/>
      <c r="D8802" s="270"/>
      <c r="H8802" s="106" t="str">
        <f t="shared" si="1"/>
        <v/>
      </c>
      <c r="J8802" t="str">
        <f>IFERROR(__xludf.DUMMYFUNCTION("IFS(
  AND(REGEXMATCH(E8802, ""台銀籌備帳戶|玉山帳戶""), REGEXMATCH(C8802, ""薪資"")), ""分潤支出"",
  AND(REGEXMATCH(E8802, ""Ben帳戶|Elsa帳戶|Ben代墊|Ariel代墊|中信銀行共用""), REGEXMATCH(F8802, ""Ben帳戶|Elsa帳戶|Ben代墊|Ariel代墊|中信銀行共用"")), ""內部轉帳(忽略)"",
  AND(E8802&lt;&gt;"""", F8802&lt;&gt;"""", N"&amp;"OT(REGEXMATCH(C8802, ""薪資""))), ""內部轉帳(忽略)"",
  REGEXMATCH(C8802, ""薪資""), ""薪資變動(不計入)"",
  REGEXMATCH(C8802, ""押金""), ""押金往來"",
  AND(E8802&lt;&gt;"""", F8802=""""), ""真實支出"",
  AND(E8802="""", F8802&lt;&gt;""""), ""真實收入"",
  TRUE, ""其他""
)"),"其他")</f>
        <v>其他</v>
      </c>
      <c r="K8802" s="270" t="str">
        <f t="shared" si="2"/>
        <v/>
      </c>
      <c r="L8802">
        <f t="shared" si="3"/>
        <v>0</v>
      </c>
    </row>
    <row r="8803">
      <c r="A8803" s="107"/>
      <c r="D8803" s="270"/>
      <c r="H8803" s="106" t="str">
        <f t="shared" si="1"/>
        <v/>
      </c>
      <c r="J8803" t="str">
        <f>IFERROR(__xludf.DUMMYFUNCTION("IFS(
  AND(REGEXMATCH(E8803, ""台銀籌備帳戶|玉山帳戶""), REGEXMATCH(C8803, ""薪資"")), ""分潤支出"",
  AND(REGEXMATCH(E8803, ""Ben帳戶|Elsa帳戶|Ben代墊|Ariel代墊|中信銀行共用""), REGEXMATCH(F8803, ""Ben帳戶|Elsa帳戶|Ben代墊|Ariel代墊|中信銀行共用"")), ""內部轉帳(忽略)"",
  AND(E8803&lt;&gt;"""", F8803&lt;&gt;"""", N"&amp;"OT(REGEXMATCH(C8803, ""薪資""))), ""內部轉帳(忽略)"",
  REGEXMATCH(C8803, ""薪資""), ""薪資變動(不計入)"",
  REGEXMATCH(C8803, ""押金""), ""押金往來"",
  AND(E8803&lt;&gt;"""", F8803=""""), ""真實支出"",
  AND(E8803="""", F8803&lt;&gt;""""), ""真實收入"",
  TRUE, ""其他""
)"),"其他")</f>
        <v>其他</v>
      </c>
      <c r="K8803" s="270" t="str">
        <f t="shared" si="2"/>
        <v/>
      </c>
      <c r="L8803">
        <f t="shared" si="3"/>
        <v>0</v>
      </c>
    </row>
    <row r="8804">
      <c r="A8804" s="107"/>
      <c r="D8804" s="270"/>
      <c r="H8804" s="106" t="str">
        <f t="shared" si="1"/>
        <v/>
      </c>
      <c r="J8804" t="str">
        <f>IFERROR(__xludf.DUMMYFUNCTION("IFS(
  AND(REGEXMATCH(E8804, ""台銀籌備帳戶|玉山帳戶""), REGEXMATCH(C8804, ""薪資"")), ""分潤支出"",
  AND(REGEXMATCH(E8804, ""Ben帳戶|Elsa帳戶|Ben代墊|Ariel代墊|中信銀行共用""), REGEXMATCH(F8804, ""Ben帳戶|Elsa帳戶|Ben代墊|Ariel代墊|中信銀行共用"")), ""內部轉帳(忽略)"",
  AND(E8804&lt;&gt;"""", F8804&lt;&gt;"""", N"&amp;"OT(REGEXMATCH(C8804, ""薪資""))), ""內部轉帳(忽略)"",
  REGEXMATCH(C8804, ""薪資""), ""薪資變動(不計入)"",
  REGEXMATCH(C8804, ""押金""), ""押金往來"",
  AND(E8804&lt;&gt;"""", F8804=""""), ""真實支出"",
  AND(E8804="""", F8804&lt;&gt;""""), ""真實收入"",
  TRUE, ""其他""
)"),"其他")</f>
        <v>其他</v>
      </c>
      <c r="K8804" s="270" t="str">
        <f t="shared" si="2"/>
        <v/>
      </c>
      <c r="L8804">
        <f t="shared" si="3"/>
        <v>0</v>
      </c>
    </row>
    <row r="8805">
      <c r="A8805" s="107"/>
      <c r="D8805" s="270"/>
      <c r="H8805" s="106" t="str">
        <f t="shared" si="1"/>
        <v/>
      </c>
      <c r="J8805" t="str">
        <f>IFERROR(__xludf.DUMMYFUNCTION("IFS(
  AND(REGEXMATCH(E8805, ""台銀籌備帳戶|玉山帳戶""), REGEXMATCH(C8805, ""薪資"")), ""分潤支出"",
  AND(REGEXMATCH(E8805, ""Ben帳戶|Elsa帳戶|Ben代墊|Ariel代墊|中信銀行共用""), REGEXMATCH(F8805, ""Ben帳戶|Elsa帳戶|Ben代墊|Ariel代墊|中信銀行共用"")), ""內部轉帳(忽略)"",
  AND(E8805&lt;&gt;"""", F8805&lt;&gt;"""", N"&amp;"OT(REGEXMATCH(C8805, ""薪資""))), ""內部轉帳(忽略)"",
  REGEXMATCH(C8805, ""薪資""), ""薪資變動(不計入)"",
  REGEXMATCH(C8805, ""押金""), ""押金往來"",
  AND(E8805&lt;&gt;"""", F8805=""""), ""真實支出"",
  AND(E8805="""", F8805&lt;&gt;""""), ""真實收入"",
  TRUE, ""其他""
)"),"其他")</f>
        <v>其他</v>
      </c>
      <c r="K8805" s="270" t="str">
        <f t="shared" si="2"/>
        <v/>
      </c>
      <c r="L8805">
        <f t="shared" si="3"/>
        <v>0</v>
      </c>
    </row>
    <row r="8806">
      <c r="A8806" s="107"/>
      <c r="D8806" s="270"/>
      <c r="H8806" s="106" t="str">
        <f t="shared" si="1"/>
        <v/>
      </c>
      <c r="J8806" t="str">
        <f>IFERROR(__xludf.DUMMYFUNCTION("IFS(
  AND(REGEXMATCH(E8806, ""台銀籌備帳戶|玉山帳戶""), REGEXMATCH(C8806, ""薪資"")), ""分潤支出"",
  AND(REGEXMATCH(E8806, ""Ben帳戶|Elsa帳戶|Ben代墊|Ariel代墊|中信銀行共用""), REGEXMATCH(F8806, ""Ben帳戶|Elsa帳戶|Ben代墊|Ariel代墊|中信銀行共用"")), ""內部轉帳(忽略)"",
  AND(E8806&lt;&gt;"""", F8806&lt;&gt;"""", N"&amp;"OT(REGEXMATCH(C8806, ""薪資""))), ""內部轉帳(忽略)"",
  REGEXMATCH(C8806, ""薪資""), ""薪資變動(不計入)"",
  REGEXMATCH(C8806, ""押金""), ""押金往來"",
  AND(E8806&lt;&gt;"""", F8806=""""), ""真實支出"",
  AND(E8806="""", F8806&lt;&gt;""""), ""真實收入"",
  TRUE, ""其他""
)"),"其他")</f>
        <v>其他</v>
      </c>
      <c r="K8806" s="270" t="str">
        <f t="shared" si="2"/>
        <v/>
      </c>
      <c r="L8806">
        <f t="shared" si="3"/>
        <v>0</v>
      </c>
    </row>
    <row r="8807">
      <c r="A8807" s="107"/>
      <c r="D8807" s="270"/>
      <c r="H8807" s="106" t="str">
        <f t="shared" si="1"/>
        <v/>
      </c>
      <c r="J8807" t="str">
        <f>IFERROR(__xludf.DUMMYFUNCTION("IFS(
  AND(REGEXMATCH(E8807, ""台銀籌備帳戶|玉山帳戶""), REGEXMATCH(C8807, ""薪資"")), ""分潤支出"",
  AND(REGEXMATCH(E8807, ""Ben帳戶|Elsa帳戶|Ben代墊|Ariel代墊|中信銀行共用""), REGEXMATCH(F8807, ""Ben帳戶|Elsa帳戶|Ben代墊|Ariel代墊|中信銀行共用"")), ""內部轉帳(忽略)"",
  AND(E8807&lt;&gt;"""", F8807&lt;&gt;"""", N"&amp;"OT(REGEXMATCH(C8807, ""薪資""))), ""內部轉帳(忽略)"",
  REGEXMATCH(C8807, ""薪資""), ""薪資變動(不計入)"",
  REGEXMATCH(C8807, ""押金""), ""押金往來"",
  AND(E8807&lt;&gt;"""", F8807=""""), ""真實支出"",
  AND(E8807="""", F8807&lt;&gt;""""), ""真實收入"",
  TRUE, ""其他""
)"),"其他")</f>
        <v>其他</v>
      </c>
      <c r="K8807" s="270" t="str">
        <f t="shared" si="2"/>
        <v/>
      </c>
      <c r="L8807">
        <f t="shared" si="3"/>
        <v>0</v>
      </c>
    </row>
    <row r="8808">
      <c r="A8808" s="107"/>
      <c r="D8808" s="270"/>
      <c r="H8808" s="106" t="str">
        <f t="shared" si="1"/>
        <v/>
      </c>
      <c r="J8808" t="str">
        <f>IFERROR(__xludf.DUMMYFUNCTION("IFS(
  AND(REGEXMATCH(E8808, ""台銀籌備帳戶|玉山帳戶""), REGEXMATCH(C8808, ""薪資"")), ""分潤支出"",
  AND(REGEXMATCH(E8808, ""Ben帳戶|Elsa帳戶|Ben代墊|Ariel代墊|中信銀行共用""), REGEXMATCH(F8808, ""Ben帳戶|Elsa帳戶|Ben代墊|Ariel代墊|中信銀行共用"")), ""內部轉帳(忽略)"",
  AND(E8808&lt;&gt;"""", F8808&lt;&gt;"""", N"&amp;"OT(REGEXMATCH(C8808, ""薪資""))), ""內部轉帳(忽略)"",
  REGEXMATCH(C8808, ""薪資""), ""薪資變動(不計入)"",
  REGEXMATCH(C8808, ""押金""), ""押金往來"",
  AND(E8808&lt;&gt;"""", F8808=""""), ""真實支出"",
  AND(E8808="""", F8808&lt;&gt;""""), ""真實收入"",
  TRUE, ""其他""
)"),"其他")</f>
        <v>其他</v>
      </c>
      <c r="K8808" s="270" t="str">
        <f t="shared" si="2"/>
        <v/>
      </c>
      <c r="L8808">
        <f t="shared" si="3"/>
        <v>0</v>
      </c>
    </row>
    <row r="8809">
      <c r="A8809" s="107"/>
      <c r="D8809" s="270"/>
      <c r="H8809" s="106" t="str">
        <f t="shared" si="1"/>
        <v/>
      </c>
      <c r="J8809" t="str">
        <f>IFERROR(__xludf.DUMMYFUNCTION("IFS(
  AND(REGEXMATCH(E8809, ""台銀籌備帳戶|玉山帳戶""), REGEXMATCH(C8809, ""薪資"")), ""分潤支出"",
  AND(REGEXMATCH(E8809, ""Ben帳戶|Elsa帳戶|Ben代墊|Ariel代墊|中信銀行共用""), REGEXMATCH(F8809, ""Ben帳戶|Elsa帳戶|Ben代墊|Ariel代墊|中信銀行共用"")), ""內部轉帳(忽略)"",
  AND(E8809&lt;&gt;"""", F8809&lt;&gt;"""", N"&amp;"OT(REGEXMATCH(C8809, ""薪資""))), ""內部轉帳(忽略)"",
  REGEXMATCH(C8809, ""薪資""), ""薪資變動(不計入)"",
  REGEXMATCH(C8809, ""押金""), ""押金往來"",
  AND(E8809&lt;&gt;"""", F8809=""""), ""真實支出"",
  AND(E8809="""", F8809&lt;&gt;""""), ""真實收入"",
  TRUE, ""其他""
)"),"其他")</f>
        <v>其他</v>
      </c>
      <c r="K8809" s="270" t="str">
        <f t="shared" si="2"/>
        <v/>
      </c>
      <c r="L8809">
        <f t="shared" si="3"/>
        <v>0</v>
      </c>
    </row>
    <row r="8810">
      <c r="A8810" s="107"/>
      <c r="D8810" s="270"/>
      <c r="H8810" s="106" t="str">
        <f t="shared" si="1"/>
        <v/>
      </c>
      <c r="J8810" t="str">
        <f>IFERROR(__xludf.DUMMYFUNCTION("IFS(
  AND(REGEXMATCH(E8810, ""台銀籌備帳戶|玉山帳戶""), REGEXMATCH(C8810, ""薪資"")), ""分潤支出"",
  AND(REGEXMATCH(E8810, ""Ben帳戶|Elsa帳戶|Ben代墊|Ariel代墊|中信銀行共用""), REGEXMATCH(F8810, ""Ben帳戶|Elsa帳戶|Ben代墊|Ariel代墊|中信銀行共用"")), ""內部轉帳(忽略)"",
  AND(E8810&lt;&gt;"""", F8810&lt;&gt;"""", N"&amp;"OT(REGEXMATCH(C8810, ""薪資""))), ""內部轉帳(忽略)"",
  REGEXMATCH(C8810, ""薪資""), ""薪資變動(不計入)"",
  REGEXMATCH(C8810, ""押金""), ""押金往來"",
  AND(E8810&lt;&gt;"""", F8810=""""), ""真實支出"",
  AND(E8810="""", F8810&lt;&gt;""""), ""真實收入"",
  TRUE, ""其他""
)"),"其他")</f>
        <v>其他</v>
      </c>
      <c r="K8810" s="270" t="str">
        <f t="shared" si="2"/>
        <v/>
      </c>
      <c r="L8810">
        <f t="shared" si="3"/>
        <v>0</v>
      </c>
    </row>
    <row r="8811">
      <c r="A8811" s="107"/>
      <c r="D8811" s="270"/>
      <c r="H8811" s="106" t="str">
        <f t="shared" si="1"/>
        <v/>
      </c>
      <c r="J8811" t="str">
        <f>IFERROR(__xludf.DUMMYFUNCTION("IFS(
  AND(REGEXMATCH(E8811, ""台銀籌備帳戶|玉山帳戶""), REGEXMATCH(C8811, ""薪資"")), ""分潤支出"",
  AND(REGEXMATCH(E8811, ""Ben帳戶|Elsa帳戶|Ben代墊|Ariel代墊|中信銀行共用""), REGEXMATCH(F8811, ""Ben帳戶|Elsa帳戶|Ben代墊|Ariel代墊|中信銀行共用"")), ""內部轉帳(忽略)"",
  AND(E8811&lt;&gt;"""", F8811&lt;&gt;"""", N"&amp;"OT(REGEXMATCH(C8811, ""薪資""))), ""內部轉帳(忽略)"",
  REGEXMATCH(C8811, ""薪資""), ""薪資變動(不計入)"",
  REGEXMATCH(C8811, ""押金""), ""押金往來"",
  AND(E8811&lt;&gt;"""", F8811=""""), ""真實支出"",
  AND(E8811="""", F8811&lt;&gt;""""), ""真實收入"",
  TRUE, ""其他""
)"),"其他")</f>
        <v>其他</v>
      </c>
      <c r="K8811" s="270" t="str">
        <f t="shared" si="2"/>
        <v/>
      </c>
      <c r="L8811">
        <f t="shared" si="3"/>
        <v>0</v>
      </c>
    </row>
    <row r="8812">
      <c r="A8812" s="107"/>
      <c r="D8812" s="270"/>
      <c r="H8812" s="106" t="str">
        <f t="shared" si="1"/>
        <v/>
      </c>
      <c r="J8812" t="str">
        <f>IFERROR(__xludf.DUMMYFUNCTION("IFS(
  AND(REGEXMATCH(E8812, ""台銀籌備帳戶|玉山帳戶""), REGEXMATCH(C8812, ""薪資"")), ""分潤支出"",
  AND(REGEXMATCH(E8812, ""Ben帳戶|Elsa帳戶|Ben代墊|Ariel代墊|中信銀行共用""), REGEXMATCH(F8812, ""Ben帳戶|Elsa帳戶|Ben代墊|Ariel代墊|中信銀行共用"")), ""內部轉帳(忽略)"",
  AND(E8812&lt;&gt;"""", F8812&lt;&gt;"""", N"&amp;"OT(REGEXMATCH(C8812, ""薪資""))), ""內部轉帳(忽略)"",
  REGEXMATCH(C8812, ""薪資""), ""薪資變動(不計入)"",
  REGEXMATCH(C8812, ""押金""), ""押金往來"",
  AND(E8812&lt;&gt;"""", F8812=""""), ""真實支出"",
  AND(E8812="""", F8812&lt;&gt;""""), ""真實收入"",
  TRUE, ""其他""
)"),"其他")</f>
        <v>其他</v>
      </c>
      <c r="K8812" s="270" t="str">
        <f t="shared" si="2"/>
        <v/>
      </c>
      <c r="L8812">
        <f t="shared" si="3"/>
        <v>0</v>
      </c>
    </row>
    <row r="8813">
      <c r="A8813" s="107"/>
      <c r="D8813" s="270"/>
      <c r="H8813" s="106" t="str">
        <f t="shared" si="1"/>
        <v/>
      </c>
      <c r="J8813" t="str">
        <f>IFERROR(__xludf.DUMMYFUNCTION("IFS(
  AND(REGEXMATCH(E8813, ""台銀籌備帳戶|玉山帳戶""), REGEXMATCH(C8813, ""薪資"")), ""分潤支出"",
  AND(REGEXMATCH(E8813, ""Ben帳戶|Elsa帳戶|Ben代墊|Ariel代墊|中信銀行共用""), REGEXMATCH(F8813, ""Ben帳戶|Elsa帳戶|Ben代墊|Ariel代墊|中信銀行共用"")), ""內部轉帳(忽略)"",
  AND(E8813&lt;&gt;"""", F8813&lt;&gt;"""", N"&amp;"OT(REGEXMATCH(C8813, ""薪資""))), ""內部轉帳(忽略)"",
  REGEXMATCH(C8813, ""薪資""), ""薪資變動(不計入)"",
  REGEXMATCH(C8813, ""押金""), ""押金往來"",
  AND(E8813&lt;&gt;"""", F8813=""""), ""真實支出"",
  AND(E8813="""", F8813&lt;&gt;""""), ""真實收入"",
  TRUE, ""其他""
)"),"其他")</f>
        <v>其他</v>
      </c>
      <c r="K8813" s="270" t="str">
        <f t="shared" si="2"/>
        <v/>
      </c>
      <c r="L8813">
        <f t="shared" si="3"/>
        <v>0</v>
      </c>
    </row>
    <row r="8814">
      <c r="A8814" s="107"/>
      <c r="D8814" s="270"/>
      <c r="H8814" s="106" t="str">
        <f t="shared" si="1"/>
        <v/>
      </c>
      <c r="J8814" t="str">
        <f>IFERROR(__xludf.DUMMYFUNCTION("IFS(
  AND(REGEXMATCH(E8814, ""台銀籌備帳戶|玉山帳戶""), REGEXMATCH(C8814, ""薪資"")), ""分潤支出"",
  AND(REGEXMATCH(E8814, ""Ben帳戶|Elsa帳戶|Ben代墊|Ariel代墊|中信銀行共用""), REGEXMATCH(F8814, ""Ben帳戶|Elsa帳戶|Ben代墊|Ariel代墊|中信銀行共用"")), ""內部轉帳(忽略)"",
  AND(E8814&lt;&gt;"""", F8814&lt;&gt;"""", N"&amp;"OT(REGEXMATCH(C8814, ""薪資""))), ""內部轉帳(忽略)"",
  REGEXMATCH(C8814, ""薪資""), ""薪資變動(不計入)"",
  REGEXMATCH(C8814, ""押金""), ""押金往來"",
  AND(E8814&lt;&gt;"""", F8814=""""), ""真實支出"",
  AND(E8814="""", F8814&lt;&gt;""""), ""真實收入"",
  TRUE, ""其他""
)"),"其他")</f>
        <v>其他</v>
      </c>
      <c r="K8814" s="270" t="str">
        <f t="shared" si="2"/>
        <v/>
      </c>
      <c r="L8814">
        <f t="shared" si="3"/>
        <v>0</v>
      </c>
    </row>
    <row r="8815">
      <c r="A8815" s="107"/>
      <c r="D8815" s="270"/>
      <c r="H8815" s="106" t="str">
        <f t="shared" si="1"/>
        <v/>
      </c>
      <c r="J8815" t="str">
        <f>IFERROR(__xludf.DUMMYFUNCTION("IFS(
  AND(REGEXMATCH(E8815, ""台銀籌備帳戶|玉山帳戶""), REGEXMATCH(C8815, ""薪資"")), ""分潤支出"",
  AND(REGEXMATCH(E8815, ""Ben帳戶|Elsa帳戶|Ben代墊|Ariel代墊|中信銀行共用""), REGEXMATCH(F8815, ""Ben帳戶|Elsa帳戶|Ben代墊|Ariel代墊|中信銀行共用"")), ""內部轉帳(忽略)"",
  AND(E8815&lt;&gt;"""", F8815&lt;&gt;"""", N"&amp;"OT(REGEXMATCH(C8815, ""薪資""))), ""內部轉帳(忽略)"",
  REGEXMATCH(C8815, ""薪資""), ""薪資變動(不計入)"",
  REGEXMATCH(C8815, ""押金""), ""押金往來"",
  AND(E8815&lt;&gt;"""", F8815=""""), ""真實支出"",
  AND(E8815="""", F8815&lt;&gt;""""), ""真實收入"",
  TRUE, ""其他""
)"),"其他")</f>
        <v>其他</v>
      </c>
      <c r="K8815" s="270" t="str">
        <f t="shared" si="2"/>
        <v/>
      </c>
      <c r="L8815">
        <f t="shared" si="3"/>
        <v>0</v>
      </c>
    </row>
    <row r="8816">
      <c r="A8816" s="107"/>
      <c r="D8816" s="270"/>
      <c r="H8816" s="106" t="str">
        <f t="shared" si="1"/>
        <v/>
      </c>
      <c r="J8816" t="str">
        <f>IFERROR(__xludf.DUMMYFUNCTION("IFS(
  AND(REGEXMATCH(E8816, ""台銀籌備帳戶|玉山帳戶""), REGEXMATCH(C8816, ""薪資"")), ""分潤支出"",
  AND(REGEXMATCH(E8816, ""Ben帳戶|Elsa帳戶|Ben代墊|Ariel代墊|中信銀行共用""), REGEXMATCH(F8816, ""Ben帳戶|Elsa帳戶|Ben代墊|Ariel代墊|中信銀行共用"")), ""內部轉帳(忽略)"",
  AND(E8816&lt;&gt;"""", F8816&lt;&gt;"""", N"&amp;"OT(REGEXMATCH(C8816, ""薪資""))), ""內部轉帳(忽略)"",
  REGEXMATCH(C8816, ""薪資""), ""薪資變動(不計入)"",
  REGEXMATCH(C8816, ""押金""), ""押金往來"",
  AND(E8816&lt;&gt;"""", F8816=""""), ""真實支出"",
  AND(E8816="""", F8816&lt;&gt;""""), ""真實收入"",
  TRUE, ""其他""
)"),"其他")</f>
        <v>其他</v>
      </c>
      <c r="K8816" s="270" t="str">
        <f t="shared" si="2"/>
        <v/>
      </c>
      <c r="L8816">
        <f t="shared" si="3"/>
        <v>0</v>
      </c>
    </row>
    <row r="8817">
      <c r="A8817" s="107"/>
      <c r="D8817" s="270"/>
      <c r="H8817" s="106" t="str">
        <f t="shared" si="1"/>
        <v/>
      </c>
      <c r="J8817" t="str">
        <f>IFERROR(__xludf.DUMMYFUNCTION("IFS(
  AND(REGEXMATCH(E8817, ""台銀籌備帳戶|玉山帳戶""), REGEXMATCH(C8817, ""薪資"")), ""分潤支出"",
  AND(REGEXMATCH(E8817, ""Ben帳戶|Elsa帳戶|Ben代墊|Ariel代墊|中信銀行共用""), REGEXMATCH(F8817, ""Ben帳戶|Elsa帳戶|Ben代墊|Ariel代墊|中信銀行共用"")), ""內部轉帳(忽略)"",
  AND(E8817&lt;&gt;"""", F8817&lt;&gt;"""", N"&amp;"OT(REGEXMATCH(C8817, ""薪資""))), ""內部轉帳(忽略)"",
  REGEXMATCH(C8817, ""薪資""), ""薪資變動(不計入)"",
  REGEXMATCH(C8817, ""押金""), ""押金往來"",
  AND(E8817&lt;&gt;"""", F8817=""""), ""真實支出"",
  AND(E8817="""", F8817&lt;&gt;""""), ""真實收入"",
  TRUE, ""其他""
)"),"其他")</f>
        <v>其他</v>
      </c>
      <c r="K8817" s="270" t="str">
        <f t="shared" si="2"/>
        <v/>
      </c>
      <c r="L8817">
        <f t="shared" si="3"/>
        <v>0</v>
      </c>
    </row>
    <row r="8818">
      <c r="A8818" s="107"/>
      <c r="D8818" s="270"/>
      <c r="H8818" s="106" t="str">
        <f t="shared" si="1"/>
        <v/>
      </c>
      <c r="J8818" t="str">
        <f>IFERROR(__xludf.DUMMYFUNCTION("IFS(
  AND(REGEXMATCH(E8818, ""台銀籌備帳戶|玉山帳戶""), REGEXMATCH(C8818, ""薪資"")), ""分潤支出"",
  AND(REGEXMATCH(E8818, ""Ben帳戶|Elsa帳戶|Ben代墊|Ariel代墊|中信銀行共用""), REGEXMATCH(F8818, ""Ben帳戶|Elsa帳戶|Ben代墊|Ariel代墊|中信銀行共用"")), ""內部轉帳(忽略)"",
  AND(E8818&lt;&gt;"""", F8818&lt;&gt;"""", N"&amp;"OT(REGEXMATCH(C8818, ""薪資""))), ""內部轉帳(忽略)"",
  REGEXMATCH(C8818, ""薪資""), ""薪資變動(不計入)"",
  REGEXMATCH(C8818, ""押金""), ""押金往來"",
  AND(E8818&lt;&gt;"""", F8818=""""), ""真實支出"",
  AND(E8818="""", F8818&lt;&gt;""""), ""真實收入"",
  TRUE, ""其他""
)"),"其他")</f>
        <v>其他</v>
      </c>
      <c r="K8818" s="270" t="str">
        <f t="shared" si="2"/>
        <v/>
      </c>
      <c r="L8818">
        <f t="shared" si="3"/>
        <v>0</v>
      </c>
    </row>
    <row r="8819">
      <c r="A8819" s="107"/>
      <c r="D8819" s="270"/>
      <c r="H8819" s="106" t="str">
        <f t="shared" si="1"/>
        <v/>
      </c>
      <c r="J8819" t="str">
        <f>IFERROR(__xludf.DUMMYFUNCTION("IFS(
  AND(REGEXMATCH(E8819, ""台銀籌備帳戶|玉山帳戶""), REGEXMATCH(C8819, ""薪資"")), ""分潤支出"",
  AND(REGEXMATCH(E8819, ""Ben帳戶|Elsa帳戶|Ben代墊|Ariel代墊|中信銀行共用""), REGEXMATCH(F8819, ""Ben帳戶|Elsa帳戶|Ben代墊|Ariel代墊|中信銀行共用"")), ""內部轉帳(忽略)"",
  AND(E8819&lt;&gt;"""", F8819&lt;&gt;"""", N"&amp;"OT(REGEXMATCH(C8819, ""薪資""))), ""內部轉帳(忽略)"",
  REGEXMATCH(C8819, ""薪資""), ""薪資變動(不計入)"",
  REGEXMATCH(C8819, ""押金""), ""押金往來"",
  AND(E8819&lt;&gt;"""", F8819=""""), ""真實支出"",
  AND(E8819="""", F8819&lt;&gt;""""), ""真實收入"",
  TRUE, ""其他""
)"),"其他")</f>
        <v>其他</v>
      </c>
      <c r="K8819" s="270" t="str">
        <f t="shared" si="2"/>
        <v/>
      </c>
      <c r="L8819">
        <f t="shared" si="3"/>
        <v>0</v>
      </c>
    </row>
    <row r="8820">
      <c r="A8820" s="107"/>
      <c r="D8820" s="270"/>
      <c r="H8820" s="106" t="str">
        <f t="shared" si="1"/>
        <v/>
      </c>
      <c r="J8820" t="str">
        <f>IFERROR(__xludf.DUMMYFUNCTION("IFS(
  AND(REGEXMATCH(E8820, ""台銀籌備帳戶|玉山帳戶""), REGEXMATCH(C8820, ""薪資"")), ""分潤支出"",
  AND(REGEXMATCH(E8820, ""Ben帳戶|Elsa帳戶|Ben代墊|Ariel代墊|中信銀行共用""), REGEXMATCH(F8820, ""Ben帳戶|Elsa帳戶|Ben代墊|Ariel代墊|中信銀行共用"")), ""內部轉帳(忽略)"",
  AND(E8820&lt;&gt;"""", F8820&lt;&gt;"""", N"&amp;"OT(REGEXMATCH(C8820, ""薪資""))), ""內部轉帳(忽略)"",
  REGEXMATCH(C8820, ""薪資""), ""薪資變動(不計入)"",
  REGEXMATCH(C8820, ""押金""), ""押金往來"",
  AND(E8820&lt;&gt;"""", F8820=""""), ""真實支出"",
  AND(E8820="""", F8820&lt;&gt;""""), ""真實收入"",
  TRUE, ""其他""
)"),"其他")</f>
        <v>其他</v>
      </c>
      <c r="K8820" s="270" t="str">
        <f t="shared" si="2"/>
        <v/>
      </c>
      <c r="L8820">
        <f t="shared" si="3"/>
        <v>0</v>
      </c>
    </row>
    <row r="8821">
      <c r="A8821" s="107"/>
      <c r="D8821" s="270"/>
      <c r="H8821" s="106" t="str">
        <f t="shared" si="1"/>
        <v/>
      </c>
      <c r="J8821" t="str">
        <f>IFERROR(__xludf.DUMMYFUNCTION("IFS(
  AND(REGEXMATCH(E8821, ""台銀籌備帳戶|玉山帳戶""), REGEXMATCH(C8821, ""薪資"")), ""分潤支出"",
  AND(REGEXMATCH(E8821, ""Ben帳戶|Elsa帳戶|Ben代墊|Ariel代墊|中信銀行共用""), REGEXMATCH(F8821, ""Ben帳戶|Elsa帳戶|Ben代墊|Ariel代墊|中信銀行共用"")), ""內部轉帳(忽略)"",
  AND(E8821&lt;&gt;"""", F8821&lt;&gt;"""", N"&amp;"OT(REGEXMATCH(C8821, ""薪資""))), ""內部轉帳(忽略)"",
  REGEXMATCH(C8821, ""薪資""), ""薪資變動(不計入)"",
  REGEXMATCH(C8821, ""押金""), ""押金往來"",
  AND(E8821&lt;&gt;"""", F8821=""""), ""真實支出"",
  AND(E8821="""", F8821&lt;&gt;""""), ""真實收入"",
  TRUE, ""其他""
)"),"其他")</f>
        <v>其他</v>
      </c>
      <c r="K8821" s="270" t="str">
        <f t="shared" si="2"/>
        <v/>
      </c>
      <c r="L8821">
        <f t="shared" si="3"/>
        <v>0</v>
      </c>
    </row>
    <row r="8822">
      <c r="A8822" s="107"/>
      <c r="D8822" s="270"/>
      <c r="H8822" s="106" t="str">
        <f t="shared" si="1"/>
        <v/>
      </c>
      <c r="J8822" t="str">
        <f>IFERROR(__xludf.DUMMYFUNCTION("IFS(
  AND(REGEXMATCH(E8822, ""台銀籌備帳戶|玉山帳戶""), REGEXMATCH(C8822, ""薪資"")), ""分潤支出"",
  AND(REGEXMATCH(E8822, ""Ben帳戶|Elsa帳戶|Ben代墊|Ariel代墊|中信銀行共用""), REGEXMATCH(F8822, ""Ben帳戶|Elsa帳戶|Ben代墊|Ariel代墊|中信銀行共用"")), ""內部轉帳(忽略)"",
  AND(E8822&lt;&gt;"""", F8822&lt;&gt;"""", N"&amp;"OT(REGEXMATCH(C8822, ""薪資""))), ""內部轉帳(忽略)"",
  REGEXMATCH(C8822, ""薪資""), ""薪資變動(不計入)"",
  REGEXMATCH(C8822, ""押金""), ""押金往來"",
  AND(E8822&lt;&gt;"""", F8822=""""), ""真實支出"",
  AND(E8822="""", F8822&lt;&gt;""""), ""真實收入"",
  TRUE, ""其他""
)"),"其他")</f>
        <v>其他</v>
      </c>
      <c r="K8822" s="270" t="str">
        <f t="shared" si="2"/>
        <v/>
      </c>
      <c r="L8822">
        <f t="shared" si="3"/>
        <v>0</v>
      </c>
    </row>
    <row r="8823">
      <c r="A8823" s="107"/>
      <c r="D8823" s="270"/>
      <c r="H8823" s="106" t="str">
        <f t="shared" si="1"/>
        <v/>
      </c>
      <c r="J8823" t="str">
        <f>IFERROR(__xludf.DUMMYFUNCTION("IFS(
  AND(REGEXMATCH(E8823, ""台銀籌備帳戶|玉山帳戶""), REGEXMATCH(C8823, ""薪資"")), ""分潤支出"",
  AND(REGEXMATCH(E8823, ""Ben帳戶|Elsa帳戶|Ben代墊|Ariel代墊|中信銀行共用""), REGEXMATCH(F8823, ""Ben帳戶|Elsa帳戶|Ben代墊|Ariel代墊|中信銀行共用"")), ""內部轉帳(忽略)"",
  AND(E8823&lt;&gt;"""", F8823&lt;&gt;"""", N"&amp;"OT(REGEXMATCH(C8823, ""薪資""))), ""內部轉帳(忽略)"",
  REGEXMATCH(C8823, ""薪資""), ""薪資變動(不計入)"",
  REGEXMATCH(C8823, ""押金""), ""押金往來"",
  AND(E8823&lt;&gt;"""", F8823=""""), ""真實支出"",
  AND(E8823="""", F8823&lt;&gt;""""), ""真實收入"",
  TRUE, ""其他""
)"),"其他")</f>
        <v>其他</v>
      </c>
      <c r="K8823" s="270" t="str">
        <f t="shared" si="2"/>
        <v/>
      </c>
      <c r="L8823">
        <f t="shared" si="3"/>
        <v>0</v>
      </c>
    </row>
    <row r="8824">
      <c r="A8824" s="107"/>
      <c r="D8824" s="270"/>
      <c r="H8824" s="106" t="str">
        <f t="shared" si="1"/>
        <v/>
      </c>
      <c r="J8824" t="str">
        <f>IFERROR(__xludf.DUMMYFUNCTION("IFS(
  AND(REGEXMATCH(E8824, ""台銀籌備帳戶|玉山帳戶""), REGEXMATCH(C8824, ""薪資"")), ""分潤支出"",
  AND(REGEXMATCH(E8824, ""Ben帳戶|Elsa帳戶|Ben代墊|Ariel代墊|中信銀行共用""), REGEXMATCH(F8824, ""Ben帳戶|Elsa帳戶|Ben代墊|Ariel代墊|中信銀行共用"")), ""內部轉帳(忽略)"",
  AND(E8824&lt;&gt;"""", F8824&lt;&gt;"""", N"&amp;"OT(REGEXMATCH(C8824, ""薪資""))), ""內部轉帳(忽略)"",
  REGEXMATCH(C8824, ""薪資""), ""薪資變動(不計入)"",
  REGEXMATCH(C8824, ""押金""), ""押金往來"",
  AND(E8824&lt;&gt;"""", F8824=""""), ""真實支出"",
  AND(E8824="""", F8824&lt;&gt;""""), ""真實收入"",
  TRUE, ""其他""
)"),"其他")</f>
        <v>其他</v>
      </c>
      <c r="K8824" s="270" t="str">
        <f t="shared" si="2"/>
        <v/>
      </c>
      <c r="L8824">
        <f t="shared" si="3"/>
        <v>0</v>
      </c>
    </row>
    <row r="8825">
      <c r="A8825" s="107"/>
      <c r="D8825" s="270"/>
      <c r="H8825" s="106" t="str">
        <f t="shared" si="1"/>
        <v/>
      </c>
      <c r="J8825" t="str">
        <f>IFERROR(__xludf.DUMMYFUNCTION("IFS(
  AND(REGEXMATCH(E8825, ""台銀籌備帳戶|玉山帳戶""), REGEXMATCH(C8825, ""薪資"")), ""分潤支出"",
  AND(REGEXMATCH(E8825, ""Ben帳戶|Elsa帳戶|Ben代墊|Ariel代墊|中信銀行共用""), REGEXMATCH(F8825, ""Ben帳戶|Elsa帳戶|Ben代墊|Ariel代墊|中信銀行共用"")), ""內部轉帳(忽略)"",
  AND(E8825&lt;&gt;"""", F8825&lt;&gt;"""", N"&amp;"OT(REGEXMATCH(C8825, ""薪資""))), ""內部轉帳(忽略)"",
  REGEXMATCH(C8825, ""薪資""), ""薪資變動(不計入)"",
  REGEXMATCH(C8825, ""押金""), ""押金往來"",
  AND(E8825&lt;&gt;"""", F8825=""""), ""真實支出"",
  AND(E8825="""", F8825&lt;&gt;""""), ""真實收入"",
  TRUE, ""其他""
)"),"其他")</f>
        <v>其他</v>
      </c>
      <c r="K8825" s="270" t="str">
        <f t="shared" si="2"/>
        <v/>
      </c>
      <c r="L8825">
        <f t="shared" si="3"/>
        <v>0</v>
      </c>
    </row>
    <row r="8826">
      <c r="A8826" s="107"/>
      <c r="D8826" s="270"/>
      <c r="H8826" s="106" t="str">
        <f t="shared" si="1"/>
        <v/>
      </c>
      <c r="J8826" t="str">
        <f>IFERROR(__xludf.DUMMYFUNCTION("IFS(
  AND(REGEXMATCH(E8826, ""台銀籌備帳戶|玉山帳戶""), REGEXMATCH(C8826, ""薪資"")), ""分潤支出"",
  AND(REGEXMATCH(E8826, ""Ben帳戶|Elsa帳戶|Ben代墊|Ariel代墊|中信銀行共用""), REGEXMATCH(F8826, ""Ben帳戶|Elsa帳戶|Ben代墊|Ariel代墊|中信銀行共用"")), ""內部轉帳(忽略)"",
  AND(E8826&lt;&gt;"""", F8826&lt;&gt;"""", N"&amp;"OT(REGEXMATCH(C8826, ""薪資""))), ""內部轉帳(忽略)"",
  REGEXMATCH(C8826, ""薪資""), ""薪資變動(不計入)"",
  REGEXMATCH(C8826, ""押金""), ""押金往來"",
  AND(E8826&lt;&gt;"""", F8826=""""), ""真實支出"",
  AND(E8826="""", F8826&lt;&gt;""""), ""真實收入"",
  TRUE, ""其他""
)"),"其他")</f>
        <v>其他</v>
      </c>
      <c r="K8826" s="270" t="str">
        <f t="shared" si="2"/>
        <v/>
      </c>
      <c r="L8826">
        <f t="shared" si="3"/>
        <v>0</v>
      </c>
    </row>
    <row r="8827">
      <c r="A8827" s="107"/>
      <c r="D8827" s="270"/>
      <c r="H8827" s="106" t="str">
        <f t="shared" si="1"/>
        <v/>
      </c>
      <c r="J8827" t="str">
        <f>IFERROR(__xludf.DUMMYFUNCTION("IFS(
  AND(REGEXMATCH(E8827, ""台銀籌備帳戶|玉山帳戶""), REGEXMATCH(C8827, ""薪資"")), ""分潤支出"",
  AND(REGEXMATCH(E8827, ""Ben帳戶|Elsa帳戶|Ben代墊|Ariel代墊|中信銀行共用""), REGEXMATCH(F8827, ""Ben帳戶|Elsa帳戶|Ben代墊|Ariel代墊|中信銀行共用"")), ""內部轉帳(忽略)"",
  AND(E8827&lt;&gt;"""", F8827&lt;&gt;"""", N"&amp;"OT(REGEXMATCH(C8827, ""薪資""))), ""內部轉帳(忽略)"",
  REGEXMATCH(C8827, ""薪資""), ""薪資變動(不計入)"",
  REGEXMATCH(C8827, ""押金""), ""押金往來"",
  AND(E8827&lt;&gt;"""", F8827=""""), ""真實支出"",
  AND(E8827="""", F8827&lt;&gt;""""), ""真實收入"",
  TRUE, ""其他""
)"),"其他")</f>
        <v>其他</v>
      </c>
      <c r="K8827" s="270" t="str">
        <f t="shared" si="2"/>
        <v/>
      </c>
      <c r="L8827">
        <f t="shared" si="3"/>
        <v>0</v>
      </c>
    </row>
    <row r="8828">
      <c r="A8828" s="107"/>
      <c r="D8828" s="270"/>
      <c r="H8828" s="106" t="str">
        <f t="shared" si="1"/>
        <v/>
      </c>
      <c r="J8828" t="str">
        <f>IFERROR(__xludf.DUMMYFUNCTION("IFS(
  AND(REGEXMATCH(E8828, ""台銀籌備帳戶|玉山帳戶""), REGEXMATCH(C8828, ""薪資"")), ""分潤支出"",
  AND(REGEXMATCH(E8828, ""Ben帳戶|Elsa帳戶|Ben代墊|Ariel代墊|中信銀行共用""), REGEXMATCH(F8828, ""Ben帳戶|Elsa帳戶|Ben代墊|Ariel代墊|中信銀行共用"")), ""內部轉帳(忽略)"",
  AND(E8828&lt;&gt;"""", F8828&lt;&gt;"""", N"&amp;"OT(REGEXMATCH(C8828, ""薪資""))), ""內部轉帳(忽略)"",
  REGEXMATCH(C8828, ""薪資""), ""薪資變動(不計入)"",
  REGEXMATCH(C8828, ""押金""), ""押金往來"",
  AND(E8828&lt;&gt;"""", F8828=""""), ""真實支出"",
  AND(E8828="""", F8828&lt;&gt;""""), ""真實收入"",
  TRUE, ""其他""
)"),"其他")</f>
        <v>其他</v>
      </c>
      <c r="K8828" s="270" t="str">
        <f t="shared" si="2"/>
        <v/>
      </c>
      <c r="L8828">
        <f t="shared" si="3"/>
        <v>0</v>
      </c>
    </row>
    <row r="8829">
      <c r="A8829" s="107"/>
      <c r="D8829" s="270"/>
      <c r="H8829" s="106" t="str">
        <f t="shared" si="1"/>
        <v/>
      </c>
      <c r="J8829" t="str">
        <f>IFERROR(__xludf.DUMMYFUNCTION("IFS(
  AND(REGEXMATCH(E8829, ""台銀籌備帳戶|玉山帳戶""), REGEXMATCH(C8829, ""薪資"")), ""分潤支出"",
  AND(REGEXMATCH(E8829, ""Ben帳戶|Elsa帳戶|Ben代墊|Ariel代墊|中信銀行共用""), REGEXMATCH(F8829, ""Ben帳戶|Elsa帳戶|Ben代墊|Ariel代墊|中信銀行共用"")), ""內部轉帳(忽略)"",
  AND(E8829&lt;&gt;"""", F8829&lt;&gt;"""", N"&amp;"OT(REGEXMATCH(C8829, ""薪資""))), ""內部轉帳(忽略)"",
  REGEXMATCH(C8829, ""薪資""), ""薪資變動(不計入)"",
  REGEXMATCH(C8829, ""押金""), ""押金往來"",
  AND(E8829&lt;&gt;"""", F8829=""""), ""真實支出"",
  AND(E8829="""", F8829&lt;&gt;""""), ""真實收入"",
  TRUE, ""其他""
)"),"其他")</f>
        <v>其他</v>
      </c>
      <c r="K8829" s="270" t="str">
        <f t="shared" si="2"/>
        <v/>
      </c>
      <c r="L8829">
        <f t="shared" si="3"/>
        <v>0</v>
      </c>
    </row>
    <row r="8830">
      <c r="A8830" s="107"/>
      <c r="D8830" s="270"/>
      <c r="H8830" s="106" t="str">
        <f t="shared" si="1"/>
        <v/>
      </c>
      <c r="J8830" t="str">
        <f>IFERROR(__xludf.DUMMYFUNCTION("IFS(
  AND(REGEXMATCH(E8830, ""台銀籌備帳戶|玉山帳戶""), REGEXMATCH(C8830, ""薪資"")), ""分潤支出"",
  AND(REGEXMATCH(E8830, ""Ben帳戶|Elsa帳戶|Ben代墊|Ariel代墊|中信銀行共用""), REGEXMATCH(F8830, ""Ben帳戶|Elsa帳戶|Ben代墊|Ariel代墊|中信銀行共用"")), ""內部轉帳(忽略)"",
  AND(E8830&lt;&gt;"""", F8830&lt;&gt;"""", N"&amp;"OT(REGEXMATCH(C8830, ""薪資""))), ""內部轉帳(忽略)"",
  REGEXMATCH(C8830, ""薪資""), ""薪資變動(不計入)"",
  REGEXMATCH(C8830, ""押金""), ""押金往來"",
  AND(E8830&lt;&gt;"""", F8830=""""), ""真實支出"",
  AND(E8830="""", F8830&lt;&gt;""""), ""真實收入"",
  TRUE, ""其他""
)"),"其他")</f>
        <v>其他</v>
      </c>
      <c r="K8830" s="270" t="str">
        <f t="shared" si="2"/>
        <v/>
      </c>
      <c r="L8830">
        <f t="shared" si="3"/>
        <v>0</v>
      </c>
    </row>
    <row r="8831">
      <c r="A8831" s="107"/>
      <c r="D8831" s="270"/>
      <c r="H8831" s="106" t="str">
        <f t="shared" si="1"/>
        <v/>
      </c>
      <c r="J8831" t="str">
        <f>IFERROR(__xludf.DUMMYFUNCTION("IFS(
  AND(REGEXMATCH(E8831, ""台銀籌備帳戶|玉山帳戶""), REGEXMATCH(C8831, ""薪資"")), ""分潤支出"",
  AND(REGEXMATCH(E8831, ""Ben帳戶|Elsa帳戶|Ben代墊|Ariel代墊|中信銀行共用""), REGEXMATCH(F8831, ""Ben帳戶|Elsa帳戶|Ben代墊|Ariel代墊|中信銀行共用"")), ""內部轉帳(忽略)"",
  AND(E8831&lt;&gt;"""", F8831&lt;&gt;"""", N"&amp;"OT(REGEXMATCH(C8831, ""薪資""))), ""內部轉帳(忽略)"",
  REGEXMATCH(C8831, ""薪資""), ""薪資變動(不計入)"",
  REGEXMATCH(C8831, ""押金""), ""押金往來"",
  AND(E8831&lt;&gt;"""", F8831=""""), ""真實支出"",
  AND(E8831="""", F8831&lt;&gt;""""), ""真實收入"",
  TRUE, ""其他""
)"),"其他")</f>
        <v>其他</v>
      </c>
      <c r="K8831" s="270" t="str">
        <f t="shared" si="2"/>
        <v/>
      </c>
      <c r="L8831">
        <f t="shared" si="3"/>
        <v>0</v>
      </c>
    </row>
    <row r="8832">
      <c r="A8832" s="107"/>
      <c r="D8832" s="270"/>
      <c r="H8832" s="106" t="str">
        <f t="shared" si="1"/>
        <v/>
      </c>
      <c r="J8832" t="str">
        <f>IFERROR(__xludf.DUMMYFUNCTION("IFS(
  AND(REGEXMATCH(E8832, ""台銀籌備帳戶|玉山帳戶""), REGEXMATCH(C8832, ""薪資"")), ""分潤支出"",
  AND(REGEXMATCH(E8832, ""Ben帳戶|Elsa帳戶|Ben代墊|Ariel代墊|中信銀行共用""), REGEXMATCH(F8832, ""Ben帳戶|Elsa帳戶|Ben代墊|Ariel代墊|中信銀行共用"")), ""內部轉帳(忽略)"",
  AND(E8832&lt;&gt;"""", F8832&lt;&gt;"""", N"&amp;"OT(REGEXMATCH(C8832, ""薪資""))), ""內部轉帳(忽略)"",
  REGEXMATCH(C8832, ""薪資""), ""薪資變動(不計入)"",
  REGEXMATCH(C8832, ""押金""), ""押金往來"",
  AND(E8832&lt;&gt;"""", F8832=""""), ""真實支出"",
  AND(E8832="""", F8832&lt;&gt;""""), ""真實收入"",
  TRUE, ""其他""
)"),"其他")</f>
        <v>其他</v>
      </c>
      <c r="K8832" s="270" t="str">
        <f t="shared" si="2"/>
        <v/>
      </c>
      <c r="L8832">
        <f t="shared" si="3"/>
        <v>0</v>
      </c>
    </row>
    <row r="8833">
      <c r="A8833" s="107"/>
      <c r="D8833" s="270"/>
      <c r="H8833" s="106" t="str">
        <f t="shared" si="1"/>
        <v/>
      </c>
      <c r="J8833" t="str">
        <f>IFERROR(__xludf.DUMMYFUNCTION("IFS(
  AND(REGEXMATCH(E8833, ""台銀籌備帳戶|玉山帳戶""), REGEXMATCH(C8833, ""薪資"")), ""分潤支出"",
  AND(REGEXMATCH(E8833, ""Ben帳戶|Elsa帳戶|Ben代墊|Ariel代墊|中信銀行共用""), REGEXMATCH(F8833, ""Ben帳戶|Elsa帳戶|Ben代墊|Ariel代墊|中信銀行共用"")), ""內部轉帳(忽略)"",
  AND(E8833&lt;&gt;"""", F8833&lt;&gt;"""", N"&amp;"OT(REGEXMATCH(C8833, ""薪資""))), ""內部轉帳(忽略)"",
  REGEXMATCH(C8833, ""薪資""), ""薪資變動(不計入)"",
  REGEXMATCH(C8833, ""押金""), ""押金往來"",
  AND(E8833&lt;&gt;"""", F8833=""""), ""真實支出"",
  AND(E8833="""", F8833&lt;&gt;""""), ""真實收入"",
  TRUE, ""其他""
)"),"其他")</f>
        <v>其他</v>
      </c>
      <c r="K8833" s="270" t="str">
        <f t="shared" si="2"/>
        <v/>
      </c>
      <c r="L8833">
        <f t="shared" si="3"/>
        <v>0</v>
      </c>
    </row>
    <row r="8834">
      <c r="A8834" s="107"/>
      <c r="D8834" s="270"/>
      <c r="H8834" s="106" t="str">
        <f t="shared" si="1"/>
        <v/>
      </c>
      <c r="J8834" t="str">
        <f>IFERROR(__xludf.DUMMYFUNCTION("IFS(
  AND(REGEXMATCH(E8834, ""台銀籌備帳戶|玉山帳戶""), REGEXMATCH(C8834, ""薪資"")), ""分潤支出"",
  AND(REGEXMATCH(E8834, ""Ben帳戶|Elsa帳戶|Ben代墊|Ariel代墊|中信銀行共用""), REGEXMATCH(F8834, ""Ben帳戶|Elsa帳戶|Ben代墊|Ariel代墊|中信銀行共用"")), ""內部轉帳(忽略)"",
  AND(E8834&lt;&gt;"""", F8834&lt;&gt;"""", N"&amp;"OT(REGEXMATCH(C8834, ""薪資""))), ""內部轉帳(忽略)"",
  REGEXMATCH(C8834, ""薪資""), ""薪資變動(不計入)"",
  REGEXMATCH(C8834, ""押金""), ""押金往來"",
  AND(E8834&lt;&gt;"""", F8834=""""), ""真實支出"",
  AND(E8834="""", F8834&lt;&gt;""""), ""真實收入"",
  TRUE, ""其他""
)"),"其他")</f>
        <v>其他</v>
      </c>
      <c r="K8834" s="270" t="str">
        <f t="shared" si="2"/>
        <v/>
      </c>
      <c r="L8834">
        <f t="shared" si="3"/>
        <v>0</v>
      </c>
    </row>
    <row r="8835">
      <c r="A8835" s="107"/>
      <c r="D8835" s="270"/>
      <c r="H8835" s="106" t="str">
        <f t="shared" si="1"/>
        <v/>
      </c>
      <c r="J8835" t="str">
        <f>IFERROR(__xludf.DUMMYFUNCTION("IFS(
  AND(REGEXMATCH(E8835, ""台銀籌備帳戶|玉山帳戶""), REGEXMATCH(C8835, ""薪資"")), ""分潤支出"",
  AND(REGEXMATCH(E8835, ""Ben帳戶|Elsa帳戶|Ben代墊|Ariel代墊|中信銀行共用""), REGEXMATCH(F8835, ""Ben帳戶|Elsa帳戶|Ben代墊|Ariel代墊|中信銀行共用"")), ""內部轉帳(忽略)"",
  AND(E8835&lt;&gt;"""", F8835&lt;&gt;"""", N"&amp;"OT(REGEXMATCH(C8835, ""薪資""))), ""內部轉帳(忽略)"",
  REGEXMATCH(C8835, ""薪資""), ""薪資變動(不計入)"",
  REGEXMATCH(C8835, ""押金""), ""押金往來"",
  AND(E8835&lt;&gt;"""", F8835=""""), ""真實支出"",
  AND(E8835="""", F8835&lt;&gt;""""), ""真實收入"",
  TRUE, ""其他""
)"),"其他")</f>
        <v>其他</v>
      </c>
      <c r="K8835" s="270" t="str">
        <f t="shared" si="2"/>
        <v/>
      </c>
      <c r="L8835">
        <f t="shared" si="3"/>
        <v>0</v>
      </c>
    </row>
    <row r="8836">
      <c r="A8836" s="107"/>
      <c r="D8836" s="270"/>
      <c r="H8836" s="106" t="str">
        <f t="shared" si="1"/>
        <v/>
      </c>
      <c r="J8836" t="str">
        <f>IFERROR(__xludf.DUMMYFUNCTION("IFS(
  AND(REGEXMATCH(E8836, ""台銀籌備帳戶|玉山帳戶""), REGEXMATCH(C8836, ""薪資"")), ""分潤支出"",
  AND(REGEXMATCH(E8836, ""Ben帳戶|Elsa帳戶|Ben代墊|Ariel代墊|中信銀行共用""), REGEXMATCH(F8836, ""Ben帳戶|Elsa帳戶|Ben代墊|Ariel代墊|中信銀行共用"")), ""內部轉帳(忽略)"",
  AND(E8836&lt;&gt;"""", F8836&lt;&gt;"""", N"&amp;"OT(REGEXMATCH(C8836, ""薪資""))), ""內部轉帳(忽略)"",
  REGEXMATCH(C8836, ""薪資""), ""薪資變動(不計入)"",
  REGEXMATCH(C8836, ""押金""), ""押金往來"",
  AND(E8836&lt;&gt;"""", F8836=""""), ""真實支出"",
  AND(E8836="""", F8836&lt;&gt;""""), ""真實收入"",
  TRUE, ""其他""
)"),"其他")</f>
        <v>其他</v>
      </c>
      <c r="K8836" s="270" t="str">
        <f t="shared" si="2"/>
        <v/>
      </c>
      <c r="L8836">
        <f t="shared" si="3"/>
        <v>0</v>
      </c>
    </row>
    <row r="8837">
      <c r="A8837" s="107"/>
      <c r="D8837" s="270"/>
      <c r="H8837" s="106" t="str">
        <f t="shared" si="1"/>
        <v/>
      </c>
      <c r="J8837" t="str">
        <f>IFERROR(__xludf.DUMMYFUNCTION("IFS(
  AND(REGEXMATCH(E8837, ""台銀籌備帳戶|玉山帳戶""), REGEXMATCH(C8837, ""薪資"")), ""分潤支出"",
  AND(REGEXMATCH(E8837, ""Ben帳戶|Elsa帳戶|Ben代墊|Ariel代墊|中信銀行共用""), REGEXMATCH(F8837, ""Ben帳戶|Elsa帳戶|Ben代墊|Ariel代墊|中信銀行共用"")), ""內部轉帳(忽略)"",
  AND(E8837&lt;&gt;"""", F8837&lt;&gt;"""", N"&amp;"OT(REGEXMATCH(C8837, ""薪資""))), ""內部轉帳(忽略)"",
  REGEXMATCH(C8837, ""薪資""), ""薪資變動(不計入)"",
  REGEXMATCH(C8837, ""押金""), ""押金往來"",
  AND(E8837&lt;&gt;"""", F8837=""""), ""真實支出"",
  AND(E8837="""", F8837&lt;&gt;""""), ""真實收入"",
  TRUE, ""其他""
)"),"其他")</f>
        <v>其他</v>
      </c>
      <c r="K8837" s="270" t="str">
        <f t="shared" si="2"/>
        <v/>
      </c>
      <c r="L8837">
        <f t="shared" si="3"/>
        <v>0</v>
      </c>
    </row>
    <row r="8838">
      <c r="A8838" s="107"/>
      <c r="D8838" s="270"/>
      <c r="H8838" s="106" t="str">
        <f t="shared" si="1"/>
        <v/>
      </c>
      <c r="J8838" t="str">
        <f>IFERROR(__xludf.DUMMYFUNCTION("IFS(
  AND(REGEXMATCH(E8838, ""台銀籌備帳戶|玉山帳戶""), REGEXMATCH(C8838, ""薪資"")), ""分潤支出"",
  AND(REGEXMATCH(E8838, ""Ben帳戶|Elsa帳戶|Ben代墊|Ariel代墊|中信銀行共用""), REGEXMATCH(F8838, ""Ben帳戶|Elsa帳戶|Ben代墊|Ariel代墊|中信銀行共用"")), ""內部轉帳(忽略)"",
  AND(E8838&lt;&gt;"""", F8838&lt;&gt;"""", N"&amp;"OT(REGEXMATCH(C8838, ""薪資""))), ""內部轉帳(忽略)"",
  REGEXMATCH(C8838, ""薪資""), ""薪資變動(不計入)"",
  REGEXMATCH(C8838, ""押金""), ""押金往來"",
  AND(E8838&lt;&gt;"""", F8838=""""), ""真實支出"",
  AND(E8838="""", F8838&lt;&gt;""""), ""真實收入"",
  TRUE, ""其他""
)"),"其他")</f>
        <v>其他</v>
      </c>
      <c r="K8838" s="270" t="str">
        <f t="shared" si="2"/>
        <v/>
      </c>
      <c r="L8838">
        <f t="shared" si="3"/>
        <v>0</v>
      </c>
    </row>
    <row r="8839">
      <c r="A8839" s="107"/>
      <c r="D8839" s="270"/>
      <c r="H8839" s="106" t="str">
        <f t="shared" si="1"/>
        <v/>
      </c>
      <c r="J8839" t="str">
        <f>IFERROR(__xludf.DUMMYFUNCTION("IFS(
  AND(REGEXMATCH(E8839, ""台銀籌備帳戶|玉山帳戶""), REGEXMATCH(C8839, ""薪資"")), ""分潤支出"",
  AND(REGEXMATCH(E8839, ""Ben帳戶|Elsa帳戶|Ben代墊|Ariel代墊|中信銀行共用""), REGEXMATCH(F8839, ""Ben帳戶|Elsa帳戶|Ben代墊|Ariel代墊|中信銀行共用"")), ""內部轉帳(忽略)"",
  AND(E8839&lt;&gt;"""", F8839&lt;&gt;"""", N"&amp;"OT(REGEXMATCH(C8839, ""薪資""))), ""內部轉帳(忽略)"",
  REGEXMATCH(C8839, ""薪資""), ""薪資變動(不計入)"",
  REGEXMATCH(C8839, ""押金""), ""押金往來"",
  AND(E8839&lt;&gt;"""", F8839=""""), ""真實支出"",
  AND(E8839="""", F8839&lt;&gt;""""), ""真實收入"",
  TRUE, ""其他""
)"),"其他")</f>
        <v>其他</v>
      </c>
      <c r="K8839" s="270" t="str">
        <f t="shared" si="2"/>
        <v/>
      </c>
      <c r="L8839">
        <f t="shared" si="3"/>
        <v>0</v>
      </c>
    </row>
    <row r="8840">
      <c r="A8840" s="107"/>
      <c r="D8840" s="270"/>
      <c r="H8840" s="106" t="str">
        <f t="shared" si="1"/>
        <v/>
      </c>
      <c r="J8840" t="str">
        <f>IFERROR(__xludf.DUMMYFUNCTION("IFS(
  AND(REGEXMATCH(E8840, ""台銀籌備帳戶|玉山帳戶""), REGEXMATCH(C8840, ""薪資"")), ""分潤支出"",
  AND(REGEXMATCH(E8840, ""Ben帳戶|Elsa帳戶|Ben代墊|Ariel代墊|中信銀行共用""), REGEXMATCH(F8840, ""Ben帳戶|Elsa帳戶|Ben代墊|Ariel代墊|中信銀行共用"")), ""內部轉帳(忽略)"",
  AND(E8840&lt;&gt;"""", F8840&lt;&gt;"""", N"&amp;"OT(REGEXMATCH(C8840, ""薪資""))), ""內部轉帳(忽略)"",
  REGEXMATCH(C8840, ""薪資""), ""薪資變動(不計入)"",
  REGEXMATCH(C8840, ""押金""), ""押金往來"",
  AND(E8840&lt;&gt;"""", F8840=""""), ""真實支出"",
  AND(E8840="""", F8840&lt;&gt;""""), ""真實收入"",
  TRUE, ""其他""
)"),"其他")</f>
        <v>其他</v>
      </c>
      <c r="K8840" s="270" t="str">
        <f t="shared" si="2"/>
        <v/>
      </c>
      <c r="L8840">
        <f t="shared" si="3"/>
        <v>0</v>
      </c>
    </row>
    <row r="8841">
      <c r="A8841" s="107"/>
      <c r="D8841" s="270"/>
      <c r="H8841" s="106" t="str">
        <f t="shared" si="1"/>
        <v/>
      </c>
      <c r="J8841" t="str">
        <f>IFERROR(__xludf.DUMMYFUNCTION("IFS(
  AND(REGEXMATCH(E8841, ""台銀籌備帳戶|玉山帳戶""), REGEXMATCH(C8841, ""薪資"")), ""分潤支出"",
  AND(REGEXMATCH(E8841, ""Ben帳戶|Elsa帳戶|Ben代墊|Ariel代墊|中信銀行共用""), REGEXMATCH(F8841, ""Ben帳戶|Elsa帳戶|Ben代墊|Ariel代墊|中信銀行共用"")), ""內部轉帳(忽略)"",
  AND(E8841&lt;&gt;"""", F8841&lt;&gt;"""", N"&amp;"OT(REGEXMATCH(C8841, ""薪資""))), ""內部轉帳(忽略)"",
  REGEXMATCH(C8841, ""薪資""), ""薪資變動(不計入)"",
  REGEXMATCH(C8841, ""押金""), ""押金往來"",
  AND(E8841&lt;&gt;"""", F8841=""""), ""真實支出"",
  AND(E8841="""", F8841&lt;&gt;""""), ""真實收入"",
  TRUE, ""其他""
)"),"其他")</f>
        <v>其他</v>
      </c>
      <c r="K8841" s="270" t="str">
        <f t="shared" si="2"/>
        <v/>
      </c>
      <c r="L8841">
        <f t="shared" si="3"/>
        <v>0</v>
      </c>
    </row>
    <row r="8842">
      <c r="A8842" s="107"/>
      <c r="D8842" s="270"/>
      <c r="H8842" s="106" t="str">
        <f t="shared" si="1"/>
        <v/>
      </c>
      <c r="J8842" t="str">
        <f>IFERROR(__xludf.DUMMYFUNCTION("IFS(
  AND(REGEXMATCH(E8842, ""台銀籌備帳戶|玉山帳戶""), REGEXMATCH(C8842, ""薪資"")), ""分潤支出"",
  AND(REGEXMATCH(E8842, ""Ben帳戶|Elsa帳戶|Ben代墊|Ariel代墊|中信銀行共用""), REGEXMATCH(F8842, ""Ben帳戶|Elsa帳戶|Ben代墊|Ariel代墊|中信銀行共用"")), ""內部轉帳(忽略)"",
  AND(E8842&lt;&gt;"""", F8842&lt;&gt;"""", N"&amp;"OT(REGEXMATCH(C8842, ""薪資""))), ""內部轉帳(忽略)"",
  REGEXMATCH(C8842, ""薪資""), ""薪資變動(不計入)"",
  REGEXMATCH(C8842, ""押金""), ""押金往來"",
  AND(E8842&lt;&gt;"""", F8842=""""), ""真實支出"",
  AND(E8842="""", F8842&lt;&gt;""""), ""真實收入"",
  TRUE, ""其他""
)"),"其他")</f>
        <v>其他</v>
      </c>
      <c r="K8842" s="270" t="str">
        <f t="shared" si="2"/>
        <v/>
      </c>
      <c r="L8842">
        <f t="shared" si="3"/>
        <v>0</v>
      </c>
    </row>
    <row r="8843">
      <c r="A8843" s="107"/>
      <c r="D8843" s="270"/>
      <c r="H8843" s="106" t="str">
        <f t="shared" si="1"/>
        <v/>
      </c>
      <c r="J8843" t="str">
        <f>IFERROR(__xludf.DUMMYFUNCTION("IFS(
  AND(REGEXMATCH(E8843, ""台銀籌備帳戶|玉山帳戶""), REGEXMATCH(C8843, ""薪資"")), ""分潤支出"",
  AND(REGEXMATCH(E8843, ""Ben帳戶|Elsa帳戶|Ben代墊|Ariel代墊|中信銀行共用""), REGEXMATCH(F8843, ""Ben帳戶|Elsa帳戶|Ben代墊|Ariel代墊|中信銀行共用"")), ""內部轉帳(忽略)"",
  AND(E8843&lt;&gt;"""", F8843&lt;&gt;"""", N"&amp;"OT(REGEXMATCH(C8843, ""薪資""))), ""內部轉帳(忽略)"",
  REGEXMATCH(C8843, ""薪資""), ""薪資變動(不計入)"",
  REGEXMATCH(C8843, ""押金""), ""押金往來"",
  AND(E8843&lt;&gt;"""", F8843=""""), ""真實支出"",
  AND(E8843="""", F8843&lt;&gt;""""), ""真實收入"",
  TRUE, ""其他""
)"),"其他")</f>
        <v>其他</v>
      </c>
      <c r="K8843" s="270" t="str">
        <f t="shared" si="2"/>
        <v/>
      </c>
      <c r="L8843">
        <f t="shared" si="3"/>
        <v>0</v>
      </c>
    </row>
    <row r="8844">
      <c r="A8844" s="107"/>
      <c r="D8844" s="270"/>
      <c r="H8844" s="106" t="str">
        <f t="shared" si="1"/>
        <v/>
      </c>
      <c r="J8844" t="str">
        <f>IFERROR(__xludf.DUMMYFUNCTION("IFS(
  AND(REGEXMATCH(E8844, ""台銀籌備帳戶|玉山帳戶""), REGEXMATCH(C8844, ""薪資"")), ""分潤支出"",
  AND(REGEXMATCH(E8844, ""Ben帳戶|Elsa帳戶|Ben代墊|Ariel代墊|中信銀行共用""), REGEXMATCH(F8844, ""Ben帳戶|Elsa帳戶|Ben代墊|Ariel代墊|中信銀行共用"")), ""內部轉帳(忽略)"",
  AND(E8844&lt;&gt;"""", F8844&lt;&gt;"""", N"&amp;"OT(REGEXMATCH(C8844, ""薪資""))), ""內部轉帳(忽略)"",
  REGEXMATCH(C8844, ""薪資""), ""薪資變動(不計入)"",
  REGEXMATCH(C8844, ""押金""), ""押金往來"",
  AND(E8844&lt;&gt;"""", F8844=""""), ""真實支出"",
  AND(E8844="""", F8844&lt;&gt;""""), ""真實收入"",
  TRUE, ""其他""
)"),"其他")</f>
        <v>其他</v>
      </c>
      <c r="K8844" s="270" t="str">
        <f t="shared" si="2"/>
        <v/>
      </c>
      <c r="L8844">
        <f t="shared" si="3"/>
        <v>0</v>
      </c>
    </row>
    <row r="8845">
      <c r="A8845" s="107"/>
      <c r="D8845" s="270"/>
      <c r="H8845" s="106" t="str">
        <f t="shared" si="1"/>
        <v/>
      </c>
      <c r="J8845" t="str">
        <f>IFERROR(__xludf.DUMMYFUNCTION("IFS(
  AND(REGEXMATCH(E8845, ""台銀籌備帳戶|玉山帳戶""), REGEXMATCH(C8845, ""薪資"")), ""分潤支出"",
  AND(REGEXMATCH(E8845, ""Ben帳戶|Elsa帳戶|Ben代墊|Ariel代墊|中信銀行共用""), REGEXMATCH(F8845, ""Ben帳戶|Elsa帳戶|Ben代墊|Ariel代墊|中信銀行共用"")), ""內部轉帳(忽略)"",
  AND(E8845&lt;&gt;"""", F8845&lt;&gt;"""", N"&amp;"OT(REGEXMATCH(C8845, ""薪資""))), ""內部轉帳(忽略)"",
  REGEXMATCH(C8845, ""薪資""), ""薪資變動(不計入)"",
  REGEXMATCH(C8845, ""押金""), ""押金往來"",
  AND(E8845&lt;&gt;"""", F8845=""""), ""真實支出"",
  AND(E8845="""", F8845&lt;&gt;""""), ""真實收入"",
  TRUE, ""其他""
)"),"其他")</f>
        <v>其他</v>
      </c>
      <c r="K8845" s="270" t="str">
        <f t="shared" si="2"/>
        <v/>
      </c>
      <c r="L8845">
        <f t="shared" si="3"/>
        <v>0</v>
      </c>
    </row>
    <row r="8846">
      <c r="A8846" s="107"/>
      <c r="D8846" s="270"/>
      <c r="H8846" s="106" t="str">
        <f t="shared" si="1"/>
        <v/>
      </c>
      <c r="J8846" t="str">
        <f>IFERROR(__xludf.DUMMYFUNCTION("IFS(
  AND(REGEXMATCH(E8846, ""台銀籌備帳戶|玉山帳戶""), REGEXMATCH(C8846, ""薪資"")), ""分潤支出"",
  AND(REGEXMATCH(E8846, ""Ben帳戶|Elsa帳戶|Ben代墊|Ariel代墊|中信銀行共用""), REGEXMATCH(F8846, ""Ben帳戶|Elsa帳戶|Ben代墊|Ariel代墊|中信銀行共用"")), ""內部轉帳(忽略)"",
  AND(E8846&lt;&gt;"""", F8846&lt;&gt;"""", N"&amp;"OT(REGEXMATCH(C8846, ""薪資""))), ""內部轉帳(忽略)"",
  REGEXMATCH(C8846, ""薪資""), ""薪資變動(不計入)"",
  REGEXMATCH(C8846, ""押金""), ""押金往來"",
  AND(E8846&lt;&gt;"""", F8846=""""), ""真實支出"",
  AND(E8846="""", F8846&lt;&gt;""""), ""真實收入"",
  TRUE, ""其他""
)"),"其他")</f>
        <v>其他</v>
      </c>
      <c r="K8846" s="270" t="str">
        <f t="shared" si="2"/>
        <v/>
      </c>
      <c r="L8846">
        <f t="shared" si="3"/>
        <v>0</v>
      </c>
    </row>
    <row r="8847">
      <c r="A8847" s="107"/>
      <c r="D8847" s="270"/>
      <c r="H8847" s="106" t="str">
        <f t="shared" si="1"/>
        <v/>
      </c>
      <c r="J8847" t="str">
        <f>IFERROR(__xludf.DUMMYFUNCTION("IFS(
  AND(REGEXMATCH(E8847, ""台銀籌備帳戶|玉山帳戶""), REGEXMATCH(C8847, ""薪資"")), ""分潤支出"",
  AND(REGEXMATCH(E8847, ""Ben帳戶|Elsa帳戶|Ben代墊|Ariel代墊|中信銀行共用""), REGEXMATCH(F8847, ""Ben帳戶|Elsa帳戶|Ben代墊|Ariel代墊|中信銀行共用"")), ""內部轉帳(忽略)"",
  AND(E8847&lt;&gt;"""", F8847&lt;&gt;"""", N"&amp;"OT(REGEXMATCH(C8847, ""薪資""))), ""內部轉帳(忽略)"",
  REGEXMATCH(C8847, ""薪資""), ""薪資變動(不計入)"",
  REGEXMATCH(C8847, ""押金""), ""押金往來"",
  AND(E8847&lt;&gt;"""", F8847=""""), ""真實支出"",
  AND(E8847="""", F8847&lt;&gt;""""), ""真實收入"",
  TRUE, ""其他""
)"),"其他")</f>
        <v>其他</v>
      </c>
      <c r="K8847" s="270" t="str">
        <f t="shared" si="2"/>
        <v/>
      </c>
      <c r="L8847">
        <f t="shared" si="3"/>
        <v>0</v>
      </c>
    </row>
    <row r="8848">
      <c r="A8848" s="107"/>
      <c r="D8848" s="270"/>
      <c r="H8848" s="106" t="str">
        <f t="shared" si="1"/>
        <v/>
      </c>
      <c r="J8848" t="str">
        <f>IFERROR(__xludf.DUMMYFUNCTION("IFS(
  AND(REGEXMATCH(E8848, ""台銀籌備帳戶|玉山帳戶""), REGEXMATCH(C8848, ""薪資"")), ""分潤支出"",
  AND(REGEXMATCH(E8848, ""Ben帳戶|Elsa帳戶|Ben代墊|Ariel代墊|中信銀行共用""), REGEXMATCH(F8848, ""Ben帳戶|Elsa帳戶|Ben代墊|Ariel代墊|中信銀行共用"")), ""內部轉帳(忽略)"",
  AND(E8848&lt;&gt;"""", F8848&lt;&gt;"""", N"&amp;"OT(REGEXMATCH(C8848, ""薪資""))), ""內部轉帳(忽略)"",
  REGEXMATCH(C8848, ""薪資""), ""薪資變動(不計入)"",
  REGEXMATCH(C8848, ""押金""), ""押金往來"",
  AND(E8848&lt;&gt;"""", F8848=""""), ""真實支出"",
  AND(E8848="""", F8848&lt;&gt;""""), ""真實收入"",
  TRUE, ""其他""
)"),"其他")</f>
        <v>其他</v>
      </c>
      <c r="K8848" s="270" t="str">
        <f t="shared" si="2"/>
        <v/>
      </c>
      <c r="L8848">
        <f t="shared" si="3"/>
        <v>0</v>
      </c>
    </row>
    <row r="8849">
      <c r="A8849" s="107"/>
      <c r="D8849" s="270"/>
      <c r="H8849" s="106" t="str">
        <f t="shared" si="1"/>
        <v/>
      </c>
      <c r="J8849" t="str">
        <f>IFERROR(__xludf.DUMMYFUNCTION("IFS(
  AND(REGEXMATCH(E8849, ""台銀籌備帳戶|玉山帳戶""), REGEXMATCH(C8849, ""薪資"")), ""分潤支出"",
  AND(REGEXMATCH(E8849, ""Ben帳戶|Elsa帳戶|Ben代墊|Ariel代墊|中信銀行共用""), REGEXMATCH(F8849, ""Ben帳戶|Elsa帳戶|Ben代墊|Ariel代墊|中信銀行共用"")), ""內部轉帳(忽略)"",
  AND(E8849&lt;&gt;"""", F8849&lt;&gt;"""", N"&amp;"OT(REGEXMATCH(C8849, ""薪資""))), ""內部轉帳(忽略)"",
  REGEXMATCH(C8849, ""薪資""), ""薪資變動(不計入)"",
  REGEXMATCH(C8849, ""押金""), ""押金往來"",
  AND(E8849&lt;&gt;"""", F8849=""""), ""真實支出"",
  AND(E8849="""", F8849&lt;&gt;""""), ""真實收入"",
  TRUE, ""其他""
)"),"其他")</f>
        <v>其他</v>
      </c>
      <c r="K8849" s="270" t="str">
        <f t="shared" si="2"/>
        <v/>
      </c>
      <c r="L8849">
        <f t="shared" si="3"/>
        <v>0</v>
      </c>
    </row>
    <row r="8850">
      <c r="A8850" s="107"/>
      <c r="D8850" s="270"/>
      <c r="H8850" s="106" t="str">
        <f t="shared" si="1"/>
        <v/>
      </c>
      <c r="J8850" t="str">
        <f>IFERROR(__xludf.DUMMYFUNCTION("IFS(
  AND(REGEXMATCH(E8850, ""台銀籌備帳戶|玉山帳戶""), REGEXMATCH(C8850, ""薪資"")), ""分潤支出"",
  AND(REGEXMATCH(E8850, ""Ben帳戶|Elsa帳戶|Ben代墊|Ariel代墊|中信銀行共用""), REGEXMATCH(F8850, ""Ben帳戶|Elsa帳戶|Ben代墊|Ariel代墊|中信銀行共用"")), ""內部轉帳(忽略)"",
  AND(E8850&lt;&gt;"""", F8850&lt;&gt;"""", N"&amp;"OT(REGEXMATCH(C8850, ""薪資""))), ""內部轉帳(忽略)"",
  REGEXMATCH(C8850, ""薪資""), ""薪資變動(不計入)"",
  REGEXMATCH(C8850, ""押金""), ""押金往來"",
  AND(E8850&lt;&gt;"""", F8850=""""), ""真實支出"",
  AND(E8850="""", F8850&lt;&gt;""""), ""真實收入"",
  TRUE, ""其他""
)"),"其他")</f>
        <v>其他</v>
      </c>
      <c r="K8850" s="270" t="str">
        <f t="shared" si="2"/>
        <v/>
      </c>
      <c r="L8850">
        <f t="shared" si="3"/>
        <v>0</v>
      </c>
    </row>
    <row r="8851">
      <c r="A8851" s="107"/>
      <c r="D8851" s="270"/>
      <c r="H8851" s="106" t="str">
        <f t="shared" si="1"/>
        <v/>
      </c>
      <c r="J8851" t="str">
        <f>IFERROR(__xludf.DUMMYFUNCTION("IFS(
  AND(REGEXMATCH(E8851, ""台銀籌備帳戶|玉山帳戶""), REGEXMATCH(C8851, ""薪資"")), ""分潤支出"",
  AND(REGEXMATCH(E8851, ""Ben帳戶|Elsa帳戶|Ben代墊|Ariel代墊|中信銀行共用""), REGEXMATCH(F8851, ""Ben帳戶|Elsa帳戶|Ben代墊|Ariel代墊|中信銀行共用"")), ""內部轉帳(忽略)"",
  AND(E8851&lt;&gt;"""", F8851&lt;&gt;"""", N"&amp;"OT(REGEXMATCH(C8851, ""薪資""))), ""內部轉帳(忽略)"",
  REGEXMATCH(C8851, ""薪資""), ""薪資變動(不計入)"",
  REGEXMATCH(C8851, ""押金""), ""押金往來"",
  AND(E8851&lt;&gt;"""", F8851=""""), ""真實支出"",
  AND(E8851="""", F8851&lt;&gt;""""), ""真實收入"",
  TRUE, ""其他""
)"),"其他")</f>
        <v>其他</v>
      </c>
      <c r="K8851" s="270" t="str">
        <f t="shared" si="2"/>
        <v/>
      </c>
      <c r="L8851">
        <f t="shared" si="3"/>
        <v>0</v>
      </c>
    </row>
    <row r="8852">
      <c r="A8852" s="107"/>
      <c r="D8852" s="270"/>
      <c r="H8852" s="106" t="str">
        <f t="shared" si="1"/>
        <v/>
      </c>
      <c r="J8852" t="str">
        <f>IFERROR(__xludf.DUMMYFUNCTION("IFS(
  AND(REGEXMATCH(E8852, ""台銀籌備帳戶|玉山帳戶""), REGEXMATCH(C8852, ""薪資"")), ""分潤支出"",
  AND(REGEXMATCH(E8852, ""Ben帳戶|Elsa帳戶|Ben代墊|Ariel代墊|中信銀行共用""), REGEXMATCH(F8852, ""Ben帳戶|Elsa帳戶|Ben代墊|Ariel代墊|中信銀行共用"")), ""內部轉帳(忽略)"",
  AND(E8852&lt;&gt;"""", F8852&lt;&gt;"""", N"&amp;"OT(REGEXMATCH(C8852, ""薪資""))), ""內部轉帳(忽略)"",
  REGEXMATCH(C8852, ""薪資""), ""薪資變動(不計入)"",
  REGEXMATCH(C8852, ""押金""), ""押金往來"",
  AND(E8852&lt;&gt;"""", F8852=""""), ""真實支出"",
  AND(E8852="""", F8852&lt;&gt;""""), ""真實收入"",
  TRUE, ""其他""
)"),"其他")</f>
        <v>其他</v>
      </c>
      <c r="K8852" s="270" t="str">
        <f t="shared" si="2"/>
        <v/>
      </c>
      <c r="L8852">
        <f t="shared" si="3"/>
        <v>0</v>
      </c>
    </row>
    <row r="8853">
      <c r="A8853" s="107"/>
      <c r="D8853" s="270"/>
      <c r="H8853" s="106" t="str">
        <f t="shared" si="1"/>
        <v/>
      </c>
      <c r="J8853" t="str">
        <f>IFERROR(__xludf.DUMMYFUNCTION("IFS(
  AND(REGEXMATCH(E8853, ""台銀籌備帳戶|玉山帳戶""), REGEXMATCH(C8853, ""薪資"")), ""分潤支出"",
  AND(REGEXMATCH(E8853, ""Ben帳戶|Elsa帳戶|Ben代墊|Ariel代墊|中信銀行共用""), REGEXMATCH(F8853, ""Ben帳戶|Elsa帳戶|Ben代墊|Ariel代墊|中信銀行共用"")), ""內部轉帳(忽略)"",
  AND(E8853&lt;&gt;"""", F8853&lt;&gt;"""", N"&amp;"OT(REGEXMATCH(C8853, ""薪資""))), ""內部轉帳(忽略)"",
  REGEXMATCH(C8853, ""薪資""), ""薪資變動(不計入)"",
  REGEXMATCH(C8853, ""押金""), ""押金往來"",
  AND(E8853&lt;&gt;"""", F8853=""""), ""真實支出"",
  AND(E8853="""", F8853&lt;&gt;""""), ""真實收入"",
  TRUE, ""其他""
)"),"其他")</f>
        <v>其他</v>
      </c>
      <c r="K8853" s="270" t="str">
        <f t="shared" si="2"/>
        <v/>
      </c>
      <c r="L8853">
        <f t="shared" si="3"/>
        <v>0</v>
      </c>
    </row>
    <row r="8854">
      <c r="A8854" s="107"/>
      <c r="D8854" s="270"/>
      <c r="H8854" s="106" t="str">
        <f t="shared" si="1"/>
        <v/>
      </c>
      <c r="J8854" t="str">
        <f>IFERROR(__xludf.DUMMYFUNCTION("IFS(
  AND(REGEXMATCH(E8854, ""台銀籌備帳戶|玉山帳戶""), REGEXMATCH(C8854, ""薪資"")), ""分潤支出"",
  AND(REGEXMATCH(E8854, ""Ben帳戶|Elsa帳戶|Ben代墊|Ariel代墊|中信銀行共用""), REGEXMATCH(F8854, ""Ben帳戶|Elsa帳戶|Ben代墊|Ariel代墊|中信銀行共用"")), ""內部轉帳(忽略)"",
  AND(E8854&lt;&gt;"""", F8854&lt;&gt;"""", N"&amp;"OT(REGEXMATCH(C8854, ""薪資""))), ""內部轉帳(忽略)"",
  REGEXMATCH(C8854, ""薪資""), ""薪資變動(不計入)"",
  REGEXMATCH(C8854, ""押金""), ""押金往來"",
  AND(E8854&lt;&gt;"""", F8854=""""), ""真實支出"",
  AND(E8854="""", F8854&lt;&gt;""""), ""真實收入"",
  TRUE, ""其他""
)"),"其他")</f>
        <v>其他</v>
      </c>
      <c r="K8854" s="270" t="str">
        <f t="shared" si="2"/>
        <v/>
      </c>
      <c r="L8854">
        <f t="shared" si="3"/>
        <v>0</v>
      </c>
    </row>
    <row r="8855">
      <c r="A8855" s="107"/>
      <c r="D8855" s="270"/>
      <c r="H8855" s="106" t="str">
        <f t="shared" si="1"/>
        <v/>
      </c>
      <c r="J8855" t="str">
        <f>IFERROR(__xludf.DUMMYFUNCTION("IFS(
  AND(REGEXMATCH(E8855, ""台銀籌備帳戶|玉山帳戶""), REGEXMATCH(C8855, ""薪資"")), ""分潤支出"",
  AND(REGEXMATCH(E8855, ""Ben帳戶|Elsa帳戶|Ben代墊|Ariel代墊|中信銀行共用""), REGEXMATCH(F8855, ""Ben帳戶|Elsa帳戶|Ben代墊|Ariel代墊|中信銀行共用"")), ""內部轉帳(忽略)"",
  AND(E8855&lt;&gt;"""", F8855&lt;&gt;"""", N"&amp;"OT(REGEXMATCH(C8855, ""薪資""))), ""內部轉帳(忽略)"",
  REGEXMATCH(C8855, ""薪資""), ""薪資變動(不計入)"",
  REGEXMATCH(C8855, ""押金""), ""押金往來"",
  AND(E8855&lt;&gt;"""", F8855=""""), ""真實支出"",
  AND(E8855="""", F8855&lt;&gt;""""), ""真實收入"",
  TRUE, ""其他""
)"),"其他")</f>
        <v>其他</v>
      </c>
      <c r="K8855" s="270" t="str">
        <f t="shared" si="2"/>
        <v/>
      </c>
      <c r="L8855">
        <f t="shared" si="3"/>
        <v>0</v>
      </c>
    </row>
    <row r="8856">
      <c r="A8856" s="107"/>
      <c r="D8856" s="270"/>
      <c r="H8856" s="106" t="str">
        <f t="shared" si="1"/>
        <v/>
      </c>
      <c r="J8856" t="str">
        <f>IFERROR(__xludf.DUMMYFUNCTION("IFS(
  AND(REGEXMATCH(E8856, ""台銀籌備帳戶|玉山帳戶""), REGEXMATCH(C8856, ""薪資"")), ""分潤支出"",
  AND(REGEXMATCH(E8856, ""Ben帳戶|Elsa帳戶|Ben代墊|Ariel代墊|中信銀行共用""), REGEXMATCH(F8856, ""Ben帳戶|Elsa帳戶|Ben代墊|Ariel代墊|中信銀行共用"")), ""內部轉帳(忽略)"",
  AND(E8856&lt;&gt;"""", F8856&lt;&gt;"""", N"&amp;"OT(REGEXMATCH(C8856, ""薪資""))), ""內部轉帳(忽略)"",
  REGEXMATCH(C8856, ""薪資""), ""薪資變動(不計入)"",
  REGEXMATCH(C8856, ""押金""), ""押金往來"",
  AND(E8856&lt;&gt;"""", F8856=""""), ""真實支出"",
  AND(E8856="""", F8856&lt;&gt;""""), ""真實收入"",
  TRUE, ""其他""
)"),"其他")</f>
        <v>其他</v>
      </c>
      <c r="K8856" s="270" t="str">
        <f t="shared" si="2"/>
        <v/>
      </c>
      <c r="L8856">
        <f t="shared" si="3"/>
        <v>0</v>
      </c>
    </row>
    <row r="8857">
      <c r="A8857" s="107"/>
      <c r="D8857" s="270"/>
      <c r="H8857" s="106" t="str">
        <f t="shared" si="1"/>
        <v/>
      </c>
      <c r="J8857" t="str">
        <f>IFERROR(__xludf.DUMMYFUNCTION("IFS(
  AND(REGEXMATCH(E8857, ""台銀籌備帳戶|玉山帳戶""), REGEXMATCH(C8857, ""薪資"")), ""分潤支出"",
  AND(REGEXMATCH(E8857, ""Ben帳戶|Elsa帳戶|Ben代墊|Ariel代墊|中信銀行共用""), REGEXMATCH(F8857, ""Ben帳戶|Elsa帳戶|Ben代墊|Ariel代墊|中信銀行共用"")), ""內部轉帳(忽略)"",
  AND(E8857&lt;&gt;"""", F8857&lt;&gt;"""", N"&amp;"OT(REGEXMATCH(C8857, ""薪資""))), ""內部轉帳(忽略)"",
  REGEXMATCH(C8857, ""薪資""), ""薪資變動(不計入)"",
  REGEXMATCH(C8857, ""押金""), ""押金往來"",
  AND(E8857&lt;&gt;"""", F8857=""""), ""真實支出"",
  AND(E8857="""", F8857&lt;&gt;""""), ""真實收入"",
  TRUE, ""其他""
)"),"其他")</f>
        <v>其他</v>
      </c>
      <c r="K8857" s="270" t="str">
        <f t="shared" si="2"/>
        <v/>
      </c>
      <c r="L8857">
        <f t="shared" si="3"/>
        <v>0</v>
      </c>
    </row>
    <row r="8858">
      <c r="A8858" s="107"/>
      <c r="D8858" s="270"/>
      <c r="H8858" s="106" t="str">
        <f t="shared" si="1"/>
        <v/>
      </c>
      <c r="J8858" t="str">
        <f>IFERROR(__xludf.DUMMYFUNCTION("IFS(
  AND(REGEXMATCH(E8858, ""台銀籌備帳戶|玉山帳戶""), REGEXMATCH(C8858, ""薪資"")), ""分潤支出"",
  AND(REGEXMATCH(E8858, ""Ben帳戶|Elsa帳戶|Ben代墊|Ariel代墊|中信銀行共用""), REGEXMATCH(F8858, ""Ben帳戶|Elsa帳戶|Ben代墊|Ariel代墊|中信銀行共用"")), ""內部轉帳(忽略)"",
  AND(E8858&lt;&gt;"""", F8858&lt;&gt;"""", N"&amp;"OT(REGEXMATCH(C8858, ""薪資""))), ""內部轉帳(忽略)"",
  REGEXMATCH(C8858, ""薪資""), ""薪資變動(不計入)"",
  REGEXMATCH(C8858, ""押金""), ""押金往來"",
  AND(E8858&lt;&gt;"""", F8858=""""), ""真實支出"",
  AND(E8858="""", F8858&lt;&gt;""""), ""真實收入"",
  TRUE, ""其他""
)"),"其他")</f>
        <v>其他</v>
      </c>
      <c r="K8858" s="270" t="str">
        <f t="shared" si="2"/>
        <v/>
      </c>
      <c r="L8858">
        <f t="shared" si="3"/>
        <v>0</v>
      </c>
    </row>
    <row r="8859">
      <c r="A8859" s="107"/>
      <c r="D8859" s="270"/>
      <c r="H8859" s="106" t="str">
        <f t="shared" si="1"/>
        <v/>
      </c>
      <c r="J8859" t="str">
        <f>IFERROR(__xludf.DUMMYFUNCTION("IFS(
  AND(REGEXMATCH(E8859, ""台銀籌備帳戶|玉山帳戶""), REGEXMATCH(C8859, ""薪資"")), ""分潤支出"",
  AND(REGEXMATCH(E8859, ""Ben帳戶|Elsa帳戶|Ben代墊|Ariel代墊|中信銀行共用""), REGEXMATCH(F8859, ""Ben帳戶|Elsa帳戶|Ben代墊|Ariel代墊|中信銀行共用"")), ""內部轉帳(忽略)"",
  AND(E8859&lt;&gt;"""", F8859&lt;&gt;"""", N"&amp;"OT(REGEXMATCH(C8859, ""薪資""))), ""內部轉帳(忽略)"",
  REGEXMATCH(C8859, ""薪資""), ""薪資變動(不計入)"",
  REGEXMATCH(C8859, ""押金""), ""押金往來"",
  AND(E8859&lt;&gt;"""", F8859=""""), ""真實支出"",
  AND(E8859="""", F8859&lt;&gt;""""), ""真實收入"",
  TRUE, ""其他""
)"),"其他")</f>
        <v>其他</v>
      </c>
      <c r="K8859" s="270" t="str">
        <f t="shared" si="2"/>
        <v/>
      </c>
      <c r="L8859">
        <f t="shared" si="3"/>
        <v>0</v>
      </c>
    </row>
    <row r="8860">
      <c r="A8860" s="107"/>
      <c r="D8860" s="270"/>
      <c r="H8860" s="106" t="str">
        <f t="shared" si="1"/>
        <v/>
      </c>
      <c r="J8860" t="str">
        <f>IFERROR(__xludf.DUMMYFUNCTION("IFS(
  AND(REGEXMATCH(E8860, ""台銀籌備帳戶|玉山帳戶""), REGEXMATCH(C8860, ""薪資"")), ""分潤支出"",
  AND(REGEXMATCH(E8860, ""Ben帳戶|Elsa帳戶|Ben代墊|Ariel代墊|中信銀行共用""), REGEXMATCH(F8860, ""Ben帳戶|Elsa帳戶|Ben代墊|Ariel代墊|中信銀行共用"")), ""內部轉帳(忽略)"",
  AND(E8860&lt;&gt;"""", F8860&lt;&gt;"""", N"&amp;"OT(REGEXMATCH(C8860, ""薪資""))), ""內部轉帳(忽略)"",
  REGEXMATCH(C8860, ""薪資""), ""薪資變動(不計入)"",
  REGEXMATCH(C8860, ""押金""), ""押金往來"",
  AND(E8860&lt;&gt;"""", F8860=""""), ""真實支出"",
  AND(E8860="""", F8860&lt;&gt;""""), ""真實收入"",
  TRUE, ""其他""
)"),"其他")</f>
        <v>其他</v>
      </c>
      <c r="K8860" s="270" t="str">
        <f t="shared" si="2"/>
        <v/>
      </c>
      <c r="L8860">
        <f t="shared" si="3"/>
        <v>0</v>
      </c>
    </row>
    <row r="8861">
      <c r="A8861" s="107"/>
      <c r="D8861" s="270"/>
      <c r="H8861" s="106" t="str">
        <f t="shared" si="1"/>
        <v/>
      </c>
      <c r="J8861" t="str">
        <f>IFERROR(__xludf.DUMMYFUNCTION("IFS(
  AND(REGEXMATCH(E8861, ""台銀籌備帳戶|玉山帳戶""), REGEXMATCH(C8861, ""薪資"")), ""分潤支出"",
  AND(REGEXMATCH(E8861, ""Ben帳戶|Elsa帳戶|Ben代墊|Ariel代墊|中信銀行共用""), REGEXMATCH(F8861, ""Ben帳戶|Elsa帳戶|Ben代墊|Ariel代墊|中信銀行共用"")), ""內部轉帳(忽略)"",
  AND(E8861&lt;&gt;"""", F8861&lt;&gt;"""", N"&amp;"OT(REGEXMATCH(C8861, ""薪資""))), ""內部轉帳(忽略)"",
  REGEXMATCH(C8861, ""薪資""), ""薪資變動(不計入)"",
  REGEXMATCH(C8861, ""押金""), ""押金往來"",
  AND(E8861&lt;&gt;"""", F8861=""""), ""真實支出"",
  AND(E8861="""", F8861&lt;&gt;""""), ""真實收入"",
  TRUE, ""其他""
)"),"其他")</f>
        <v>其他</v>
      </c>
      <c r="K8861" s="270" t="str">
        <f t="shared" si="2"/>
        <v/>
      </c>
      <c r="L8861">
        <f t="shared" si="3"/>
        <v>0</v>
      </c>
    </row>
    <row r="8862">
      <c r="A8862" s="107"/>
      <c r="D8862" s="270"/>
      <c r="H8862" s="106" t="str">
        <f t="shared" si="1"/>
        <v/>
      </c>
      <c r="J8862" t="str">
        <f>IFERROR(__xludf.DUMMYFUNCTION("IFS(
  AND(REGEXMATCH(E8862, ""台銀籌備帳戶|玉山帳戶""), REGEXMATCH(C8862, ""薪資"")), ""分潤支出"",
  AND(REGEXMATCH(E8862, ""Ben帳戶|Elsa帳戶|Ben代墊|Ariel代墊|中信銀行共用""), REGEXMATCH(F8862, ""Ben帳戶|Elsa帳戶|Ben代墊|Ariel代墊|中信銀行共用"")), ""內部轉帳(忽略)"",
  AND(E8862&lt;&gt;"""", F8862&lt;&gt;"""", N"&amp;"OT(REGEXMATCH(C8862, ""薪資""))), ""內部轉帳(忽略)"",
  REGEXMATCH(C8862, ""薪資""), ""薪資變動(不計入)"",
  REGEXMATCH(C8862, ""押金""), ""押金往來"",
  AND(E8862&lt;&gt;"""", F8862=""""), ""真實支出"",
  AND(E8862="""", F8862&lt;&gt;""""), ""真實收入"",
  TRUE, ""其他""
)"),"其他")</f>
        <v>其他</v>
      </c>
      <c r="K8862" s="270" t="str">
        <f t="shared" si="2"/>
        <v/>
      </c>
      <c r="L8862">
        <f t="shared" si="3"/>
        <v>0</v>
      </c>
    </row>
    <row r="8863">
      <c r="A8863" s="107"/>
      <c r="D8863" s="270"/>
      <c r="H8863" s="106" t="str">
        <f t="shared" si="1"/>
        <v/>
      </c>
      <c r="J8863" t="str">
        <f>IFERROR(__xludf.DUMMYFUNCTION("IFS(
  AND(REGEXMATCH(E8863, ""台銀籌備帳戶|玉山帳戶""), REGEXMATCH(C8863, ""薪資"")), ""分潤支出"",
  AND(REGEXMATCH(E8863, ""Ben帳戶|Elsa帳戶|Ben代墊|Ariel代墊|中信銀行共用""), REGEXMATCH(F8863, ""Ben帳戶|Elsa帳戶|Ben代墊|Ariel代墊|中信銀行共用"")), ""內部轉帳(忽略)"",
  AND(E8863&lt;&gt;"""", F8863&lt;&gt;"""", N"&amp;"OT(REGEXMATCH(C8863, ""薪資""))), ""內部轉帳(忽略)"",
  REGEXMATCH(C8863, ""薪資""), ""薪資變動(不計入)"",
  REGEXMATCH(C8863, ""押金""), ""押金往來"",
  AND(E8863&lt;&gt;"""", F8863=""""), ""真實支出"",
  AND(E8863="""", F8863&lt;&gt;""""), ""真實收入"",
  TRUE, ""其他""
)"),"其他")</f>
        <v>其他</v>
      </c>
      <c r="K8863" s="270" t="str">
        <f t="shared" si="2"/>
        <v/>
      </c>
      <c r="L8863">
        <f t="shared" si="3"/>
        <v>0</v>
      </c>
    </row>
    <row r="8864">
      <c r="A8864" s="107"/>
      <c r="D8864" s="270"/>
      <c r="H8864" s="106" t="str">
        <f t="shared" si="1"/>
        <v/>
      </c>
      <c r="J8864" t="str">
        <f>IFERROR(__xludf.DUMMYFUNCTION("IFS(
  AND(REGEXMATCH(E8864, ""台銀籌備帳戶|玉山帳戶""), REGEXMATCH(C8864, ""薪資"")), ""分潤支出"",
  AND(REGEXMATCH(E8864, ""Ben帳戶|Elsa帳戶|Ben代墊|Ariel代墊|中信銀行共用""), REGEXMATCH(F8864, ""Ben帳戶|Elsa帳戶|Ben代墊|Ariel代墊|中信銀行共用"")), ""內部轉帳(忽略)"",
  AND(E8864&lt;&gt;"""", F8864&lt;&gt;"""", N"&amp;"OT(REGEXMATCH(C8864, ""薪資""))), ""內部轉帳(忽略)"",
  REGEXMATCH(C8864, ""薪資""), ""薪資變動(不計入)"",
  REGEXMATCH(C8864, ""押金""), ""押金往來"",
  AND(E8864&lt;&gt;"""", F8864=""""), ""真實支出"",
  AND(E8864="""", F8864&lt;&gt;""""), ""真實收入"",
  TRUE, ""其他""
)"),"其他")</f>
        <v>其他</v>
      </c>
      <c r="K8864" s="270" t="str">
        <f t="shared" si="2"/>
        <v/>
      </c>
      <c r="L8864">
        <f t="shared" si="3"/>
        <v>0</v>
      </c>
    </row>
    <row r="8865">
      <c r="A8865" s="107"/>
      <c r="D8865" s="270"/>
      <c r="H8865" s="106" t="str">
        <f t="shared" si="1"/>
        <v/>
      </c>
      <c r="J8865" t="str">
        <f>IFERROR(__xludf.DUMMYFUNCTION("IFS(
  AND(REGEXMATCH(E8865, ""台銀籌備帳戶|玉山帳戶""), REGEXMATCH(C8865, ""薪資"")), ""分潤支出"",
  AND(REGEXMATCH(E8865, ""Ben帳戶|Elsa帳戶|Ben代墊|Ariel代墊|中信銀行共用""), REGEXMATCH(F8865, ""Ben帳戶|Elsa帳戶|Ben代墊|Ariel代墊|中信銀行共用"")), ""內部轉帳(忽略)"",
  AND(E8865&lt;&gt;"""", F8865&lt;&gt;"""", N"&amp;"OT(REGEXMATCH(C8865, ""薪資""))), ""內部轉帳(忽略)"",
  REGEXMATCH(C8865, ""薪資""), ""薪資變動(不計入)"",
  REGEXMATCH(C8865, ""押金""), ""押金往來"",
  AND(E8865&lt;&gt;"""", F8865=""""), ""真實支出"",
  AND(E8865="""", F8865&lt;&gt;""""), ""真實收入"",
  TRUE, ""其他""
)"),"其他")</f>
        <v>其他</v>
      </c>
      <c r="K8865" s="270" t="str">
        <f t="shared" si="2"/>
        <v/>
      </c>
      <c r="L8865">
        <f t="shared" si="3"/>
        <v>0</v>
      </c>
    </row>
    <row r="8866">
      <c r="A8866" s="107"/>
      <c r="D8866" s="270"/>
      <c r="H8866" s="106" t="str">
        <f t="shared" si="1"/>
        <v/>
      </c>
      <c r="J8866" t="str">
        <f>IFERROR(__xludf.DUMMYFUNCTION("IFS(
  AND(REGEXMATCH(E8866, ""台銀籌備帳戶|玉山帳戶""), REGEXMATCH(C8866, ""薪資"")), ""分潤支出"",
  AND(REGEXMATCH(E8866, ""Ben帳戶|Elsa帳戶|Ben代墊|Ariel代墊|中信銀行共用""), REGEXMATCH(F8866, ""Ben帳戶|Elsa帳戶|Ben代墊|Ariel代墊|中信銀行共用"")), ""內部轉帳(忽略)"",
  AND(E8866&lt;&gt;"""", F8866&lt;&gt;"""", N"&amp;"OT(REGEXMATCH(C8866, ""薪資""))), ""內部轉帳(忽略)"",
  REGEXMATCH(C8866, ""薪資""), ""薪資變動(不計入)"",
  REGEXMATCH(C8866, ""押金""), ""押金往來"",
  AND(E8866&lt;&gt;"""", F8866=""""), ""真實支出"",
  AND(E8866="""", F8866&lt;&gt;""""), ""真實收入"",
  TRUE, ""其他""
)"),"其他")</f>
        <v>其他</v>
      </c>
      <c r="K8866" s="270" t="str">
        <f t="shared" si="2"/>
        <v/>
      </c>
      <c r="L8866">
        <f t="shared" si="3"/>
        <v>0</v>
      </c>
    </row>
    <row r="8867">
      <c r="A8867" s="107"/>
      <c r="D8867" s="270"/>
      <c r="H8867" s="106" t="str">
        <f t="shared" si="1"/>
        <v/>
      </c>
      <c r="J8867" t="str">
        <f>IFERROR(__xludf.DUMMYFUNCTION("IFS(
  AND(REGEXMATCH(E8867, ""台銀籌備帳戶|玉山帳戶""), REGEXMATCH(C8867, ""薪資"")), ""分潤支出"",
  AND(REGEXMATCH(E8867, ""Ben帳戶|Elsa帳戶|Ben代墊|Ariel代墊|中信銀行共用""), REGEXMATCH(F8867, ""Ben帳戶|Elsa帳戶|Ben代墊|Ariel代墊|中信銀行共用"")), ""內部轉帳(忽略)"",
  AND(E8867&lt;&gt;"""", F8867&lt;&gt;"""", N"&amp;"OT(REGEXMATCH(C8867, ""薪資""))), ""內部轉帳(忽略)"",
  REGEXMATCH(C8867, ""薪資""), ""薪資變動(不計入)"",
  REGEXMATCH(C8867, ""押金""), ""押金往來"",
  AND(E8867&lt;&gt;"""", F8867=""""), ""真實支出"",
  AND(E8867="""", F8867&lt;&gt;""""), ""真實收入"",
  TRUE, ""其他""
)"),"其他")</f>
        <v>其他</v>
      </c>
      <c r="K8867" s="270" t="str">
        <f t="shared" si="2"/>
        <v/>
      </c>
      <c r="L8867">
        <f t="shared" si="3"/>
        <v>0</v>
      </c>
    </row>
    <row r="8868">
      <c r="A8868" s="107"/>
      <c r="D8868" s="270"/>
      <c r="H8868" s="106" t="str">
        <f t="shared" si="1"/>
        <v/>
      </c>
      <c r="J8868" t="str">
        <f>IFERROR(__xludf.DUMMYFUNCTION("IFS(
  AND(REGEXMATCH(E8868, ""台銀籌備帳戶|玉山帳戶""), REGEXMATCH(C8868, ""薪資"")), ""分潤支出"",
  AND(REGEXMATCH(E8868, ""Ben帳戶|Elsa帳戶|Ben代墊|Ariel代墊|中信銀行共用""), REGEXMATCH(F8868, ""Ben帳戶|Elsa帳戶|Ben代墊|Ariel代墊|中信銀行共用"")), ""內部轉帳(忽略)"",
  AND(E8868&lt;&gt;"""", F8868&lt;&gt;"""", N"&amp;"OT(REGEXMATCH(C8868, ""薪資""))), ""內部轉帳(忽略)"",
  REGEXMATCH(C8868, ""薪資""), ""薪資變動(不計入)"",
  REGEXMATCH(C8868, ""押金""), ""押金往來"",
  AND(E8868&lt;&gt;"""", F8868=""""), ""真實支出"",
  AND(E8868="""", F8868&lt;&gt;""""), ""真實收入"",
  TRUE, ""其他""
)"),"其他")</f>
        <v>其他</v>
      </c>
      <c r="K8868" s="270" t="str">
        <f t="shared" si="2"/>
        <v/>
      </c>
      <c r="L8868">
        <f t="shared" si="3"/>
        <v>0</v>
      </c>
    </row>
    <row r="8869">
      <c r="A8869" s="107"/>
      <c r="D8869" s="270"/>
      <c r="H8869" s="106" t="str">
        <f t="shared" si="1"/>
        <v/>
      </c>
      <c r="J8869" t="str">
        <f>IFERROR(__xludf.DUMMYFUNCTION("IFS(
  AND(REGEXMATCH(E8869, ""台銀籌備帳戶|玉山帳戶""), REGEXMATCH(C8869, ""薪資"")), ""分潤支出"",
  AND(REGEXMATCH(E8869, ""Ben帳戶|Elsa帳戶|Ben代墊|Ariel代墊|中信銀行共用""), REGEXMATCH(F8869, ""Ben帳戶|Elsa帳戶|Ben代墊|Ariel代墊|中信銀行共用"")), ""內部轉帳(忽略)"",
  AND(E8869&lt;&gt;"""", F8869&lt;&gt;"""", N"&amp;"OT(REGEXMATCH(C8869, ""薪資""))), ""內部轉帳(忽略)"",
  REGEXMATCH(C8869, ""薪資""), ""薪資變動(不計入)"",
  REGEXMATCH(C8869, ""押金""), ""押金往來"",
  AND(E8869&lt;&gt;"""", F8869=""""), ""真實支出"",
  AND(E8869="""", F8869&lt;&gt;""""), ""真實收入"",
  TRUE, ""其他""
)"),"其他")</f>
        <v>其他</v>
      </c>
      <c r="K8869" s="270" t="str">
        <f t="shared" si="2"/>
        <v/>
      </c>
      <c r="L8869">
        <f t="shared" si="3"/>
        <v>0</v>
      </c>
    </row>
    <row r="8870">
      <c r="A8870" s="107"/>
      <c r="D8870" s="270"/>
      <c r="H8870" s="106" t="str">
        <f t="shared" si="1"/>
        <v/>
      </c>
      <c r="J8870" t="str">
        <f>IFERROR(__xludf.DUMMYFUNCTION("IFS(
  AND(REGEXMATCH(E8870, ""台銀籌備帳戶|玉山帳戶""), REGEXMATCH(C8870, ""薪資"")), ""分潤支出"",
  AND(REGEXMATCH(E8870, ""Ben帳戶|Elsa帳戶|Ben代墊|Ariel代墊|中信銀行共用""), REGEXMATCH(F8870, ""Ben帳戶|Elsa帳戶|Ben代墊|Ariel代墊|中信銀行共用"")), ""內部轉帳(忽略)"",
  AND(E8870&lt;&gt;"""", F8870&lt;&gt;"""", N"&amp;"OT(REGEXMATCH(C8870, ""薪資""))), ""內部轉帳(忽略)"",
  REGEXMATCH(C8870, ""薪資""), ""薪資變動(不計入)"",
  REGEXMATCH(C8870, ""押金""), ""押金往來"",
  AND(E8870&lt;&gt;"""", F8870=""""), ""真實支出"",
  AND(E8870="""", F8870&lt;&gt;""""), ""真實收入"",
  TRUE, ""其他""
)"),"其他")</f>
        <v>其他</v>
      </c>
      <c r="K8870" s="270" t="str">
        <f t="shared" si="2"/>
        <v/>
      </c>
      <c r="L8870">
        <f t="shared" si="3"/>
        <v>0</v>
      </c>
    </row>
    <row r="8871">
      <c r="A8871" s="107"/>
      <c r="D8871" s="270"/>
      <c r="H8871" s="106" t="str">
        <f t="shared" si="1"/>
        <v/>
      </c>
      <c r="J8871" t="str">
        <f>IFERROR(__xludf.DUMMYFUNCTION("IFS(
  AND(REGEXMATCH(E8871, ""台銀籌備帳戶|玉山帳戶""), REGEXMATCH(C8871, ""薪資"")), ""分潤支出"",
  AND(REGEXMATCH(E8871, ""Ben帳戶|Elsa帳戶|Ben代墊|Ariel代墊|中信銀行共用""), REGEXMATCH(F8871, ""Ben帳戶|Elsa帳戶|Ben代墊|Ariel代墊|中信銀行共用"")), ""內部轉帳(忽略)"",
  AND(E8871&lt;&gt;"""", F8871&lt;&gt;"""", N"&amp;"OT(REGEXMATCH(C8871, ""薪資""))), ""內部轉帳(忽略)"",
  REGEXMATCH(C8871, ""薪資""), ""薪資變動(不計入)"",
  REGEXMATCH(C8871, ""押金""), ""押金往來"",
  AND(E8871&lt;&gt;"""", F8871=""""), ""真實支出"",
  AND(E8871="""", F8871&lt;&gt;""""), ""真實收入"",
  TRUE, ""其他""
)"),"其他")</f>
        <v>其他</v>
      </c>
      <c r="K8871" s="270" t="str">
        <f t="shared" si="2"/>
        <v/>
      </c>
      <c r="L8871">
        <f t="shared" si="3"/>
        <v>0</v>
      </c>
    </row>
    <row r="8872">
      <c r="A8872" s="107"/>
      <c r="D8872" s="270"/>
      <c r="H8872" s="106" t="str">
        <f t="shared" si="1"/>
        <v/>
      </c>
      <c r="J8872" t="str">
        <f>IFERROR(__xludf.DUMMYFUNCTION("IFS(
  AND(REGEXMATCH(E8872, ""台銀籌備帳戶|玉山帳戶""), REGEXMATCH(C8872, ""薪資"")), ""分潤支出"",
  AND(REGEXMATCH(E8872, ""Ben帳戶|Elsa帳戶|Ben代墊|Ariel代墊|中信銀行共用""), REGEXMATCH(F8872, ""Ben帳戶|Elsa帳戶|Ben代墊|Ariel代墊|中信銀行共用"")), ""內部轉帳(忽略)"",
  AND(E8872&lt;&gt;"""", F8872&lt;&gt;"""", N"&amp;"OT(REGEXMATCH(C8872, ""薪資""))), ""內部轉帳(忽略)"",
  REGEXMATCH(C8872, ""薪資""), ""薪資變動(不計入)"",
  REGEXMATCH(C8872, ""押金""), ""押金往來"",
  AND(E8872&lt;&gt;"""", F8872=""""), ""真實支出"",
  AND(E8872="""", F8872&lt;&gt;""""), ""真實收入"",
  TRUE, ""其他""
)"),"其他")</f>
        <v>其他</v>
      </c>
      <c r="K8872" s="270" t="str">
        <f t="shared" si="2"/>
        <v/>
      </c>
      <c r="L8872">
        <f t="shared" si="3"/>
        <v>0</v>
      </c>
    </row>
    <row r="8873">
      <c r="A8873" s="107"/>
      <c r="D8873" s="270"/>
      <c r="H8873" s="106" t="str">
        <f t="shared" si="1"/>
        <v/>
      </c>
      <c r="J8873" t="str">
        <f>IFERROR(__xludf.DUMMYFUNCTION("IFS(
  AND(REGEXMATCH(E8873, ""台銀籌備帳戶|玉山帳戶""), REGEXMATCH(C8873, ""薪資"")), ""分潤支出"",
  AND(REGEXMATCH(E8873, ""Ben帳戶|Elsa帳戶|Ben代墊|Ariel代墊|中信銀行共用""), REGEXMATCH(F8873, ""Ben帳戶|Elsa帳戶|Ben代墊|Ariel代墊|中信銀行共用"")), ""內部轉帳(忽略)"",
  AND(E8873&lt;&gt;"""", F8873&lt;&gt;"""", N"&amp;"OT(REGEXMATCH(C8873, ""薪資""))), ""內部轉帳(忽略)"",
  REGEXMATCH(C8873, ""薪資""), ""薪資變動(不計入)"",
  REGEXMATCH(C8873, ""押金""), ""押金往來"",
  AND(E8873&lt;&gt;"""", F8873=""""), ""真實支出"",
  AND(E8873="""", F8873&lt;&gt;""""), ""真實收入"",
  TRUE, ""其他""
)"),"其他")</f>
        <v>其他</v>
      </c>
      <c r="K8873" s="270" t="str">
        <f t="shared" si="2"/>
        <v/>
      </c>
      <c r="L8873">
        <f t="shared" si="3"/>
        <v>0</v>
      </c>
    </row>
    <row r="8874">
      <c r="A8874" s="107"/>
      <c r="D8874" s="270"/>
      <c r="H8874" s="106" t="str">
        <f t="shared" si="1"/>
        <v/>
      </c>
      <c r="J8874" t="str">
        <f>IFERROR(__xludf.DUMMYFUNCTION("IFS(
  AND(REGEXMATCH(E8874, ""台銀籌備帳戶|玉山帳戶""), REGEXMATCH(C8874, ""薪資"")), ""分潤支出"",
  AND(REGEXMATCH(E8874, ""Ben帳戶|Elsa帳戶|Ben代墊|Ariel代墊|中信銀行共用""), REGEXMATCH(F8874, ""Ben帳戶|Elsa帳戶|Ben代墊|Ariel代墊|中信銀行共用"")), ""內部轉帳(忽略)"",
  AND(E8874&lt;&gt;"""", F8874&lt;&gt;"""", N"&amp;"OT(REGEXMATCH(C8874, ""薪資""))), ""內部轉帳(忽略)"",
  REGEXMATCH(C8874, ""薪資""), ""薪資變動(不計入)"",
  REGEXMATCH(C8874, ""押金""), ""押金往來"",
  AND(E8874&lt;&gt;"""", F8874=""""), ""真實支出"",
  AND(E8874="""", F8874&lt;&gt;""""), ""真實收入"",
  TRUE, ""其他""
)"),"其他")</f>
        <v>其他</v>
      </c>
      <c r="K8874" s="270" t="str">
        <f t="shared" si="2"/>
        <v/>
      </c>
      <c r="L8874">
        <f t="shared" si="3"/>
        <v>0</v>
      </c>
    </row>
    <row r="8875">
      <c r="A8875" s="107"/>
      <c r="D8875" s="270"/>
      <c r="H8875" s="106" t="str">
        <f t="shared" si="1"/>
        <v/>
      </c>
      <c r="J8875" t="str">
        <f>IFERROR(__xludf.DUMMYFUNCTION("IFS(
  AND(REGEXMATCH(E8875, ""台銀籌備帳戶|玉山帳戶""), REGEXMATCH(C8875, ""薪資"")), ""分潤支出"",
  AND(REGEXMATCH(E8875, ""Ben帳戶|Elsa帳戶|Ben代墊|Ariel代墊|中信銀行共用""), REGEXMATCH(F8875, ""Ben帳戶|Elsa帳戶|Ben代墊|Ariel代墊|中信銀行共用"")), ""內部轉帳(忽略)"",
  AND(E8875&lt;&gt;"""", F8875&lt;&gt;"""", N"&amp;"OT(REGEXMATCH(C8875, ""薪資""))), ""內部轉帳(忽略)"",
  REGEXMATCH(C8875, ""薪資""), ""薪資變動(不計入)"",
  REGEXMATCH(C8875, ""押金""), ""押金往來"",
  AND(E8875&lt;&gt;"""", F8875=""""), ""真實支出"",
  AND(E8875="""", F8875&lt;&gt;""""), ""真實收入"",
  TRUE, ""其他""
)"),"其他")</f>
        <v>其他</v>
      </c>
      <c r="K8875" s="270" t="str">
        <f t="shared" si="2"/>
        <v/>
      </c>
      <c r="L8875">
        <f t="shared" si="3"/>
        <v>0</v>
      </c>
    </row>
    <row r="8876">
      <c r="A8876" s="107"/>
      <c r="D8876" s="270"/>
      <c r="H8876" s="106" t="str">
        <f t="shared" si="1"/>
        <v/>
      </c>
      <c r="J8876" t="str">
        <f>IFERROR(__xludf.DUMMYFUNCTION("IFS(
  AND(REGEXMATCH(E8876, ""台銀籌備帳戶|玉山帳戶""), REGEXMATCH(C8876, ""薪資"")), ""分潤支出"",
  AND(REGEXMATCH(E8876, ""Ben帳戶|Elsa帳戶|Ben代墊|Ariel代墊|中信銀行共用""), REGEXMATCH(F8876, ""Ben帳戶|Elsa帳戶|Ben代墊|Ariel代墊|中信銀行共用"")), ""內部轉帳(忽略)"",
  AND(E8876&lt;&gt;"""", F8876&lt;&gt;"""", N"&amp;"OT(REGEXMATCH(C8876, ""薪資""))), ""內部轉帳(忽略)"",
  REGEXMATCH(C8876, ""薪資""), ""薪資變動(不計入)"",
  REGEXMATCH(C8876, ""押金""), ""押金往來"",
  AND(E8876&lt;&gt;"""", F8876=""""), ""真實支出"",
  AND(E8876="""", F8876&lt;&gt;""""), ""真實收入"",
  TRUE, ""其他""
)"),"其他")</f>
        <v>其他</v>
      </c>
      <c r="K8876" s="270" t="str">
        <f t="shared" si="2"/>
        <v/>
      </c>
      <c r="L8876">
        <f t="shared" si="3"/>
        <v>0</v>
      </c>
    </row>
    <row r="8877">
      <c r="A8877" s="107"/>
      <c r="D8877" s="270"/>
      <c r="H8877" s="106" t="str">
        <f t="shared" si="1"/>
        <v/>
      </c>
      <c r="J8877" t="str">
        <f>IFERROR(__xludf.DUMMYFUNCTION("IFS(
  AND(REGEXMATCH(E8877, ""台銀籌備帳戶|玉山帳戶""), REGEXMATCH(C8877, ""薪資"")), ""分潤支出"",
  AND(REGEXMATCH(E8877, ""Ben帳戶|Elsa帳戶|Ben代墊|Ariel代墊|中信銀行共用""), REGEXMATCH(F8877, ""Ben帳戶|Elsa帳戶|Ben代墊|Ariel代墊|中信銀行共用"")), ""內部轉帳(忽略)"",
  AND(E8877&lt;&gt;"""", F8877&lt;&gt;"""", N"&amp;"OT(REGEXMATCH(C8877, ""薪資""))), ""內部轉帳(忽略)"",
  REGEXMATCH(C8877, ""薪資""), ""薪資變動(不計入)"",
  REGEXMATCH(C8877, ""押金""), ""押金往來"",
  AND(E8877&lt;&gt;"""", F8877=""""), ""真實支出"",
  AND(E8877="""", F8877&lt;&gt;""""), ""真實收入"",
  TRUE, ""其他""
)"),"其他")</f>
        <v>其他</v>
      </c>
      <c r="K8877" s="270" t="str">
        <f t="shared" si="2"/>
        <v/>
      </c>
      <c r="L8877">
        <f t="shared" si="3"/>
        <v>0</v>
      </c>
    </row>
    <row r="8878">
      <c r="A8878" s="107"/>
      <c r="D8878" s="270"/>
      <c r="H8878" s="106" t="str">
        <f t="shared" si="1"/>
        <v/>
      </c>
      <c r="J8878" t="str">
        <f>IFERROR(__xludf.DUMMYFUNCTION("IFS(
  AND(REGEXMATCH(E8878, ""台銀籌備帳戶|玉山帳戶""), REGEXMATCH(C8878, ""薪資"")), ""分潤支出"",
  AND(REGEXMATCH(E8878, ""Ben帳戶|Elsa帳戶|Ben代墊|Ariel代墊|中信銀行共用""), REGEXMATCH(F8878, ""Ben帳戶|Elsa帳戶|Ben代墊|Ariel代墊|中信銀行共用"")), ""內部轉帳(忽略)"",
  AND(E8878&lt;&gt;"""", F8878&lt;&gt;"""", N"&amp;"OT(REGEXMATCH(C8878, ""薪資""))), ""內部轉帳(忽略)"",
  REGEXMATCH(C8878, ""薪資""), ""薪資變動(不計入)"",
  REGEXMATCH(C8878, ""押金""), ""押金往來"",
  AND(E8878&lt;&gt;"""", F8878=""""), ""真實支出"",
  AND(E8878="""", F8878&lt;&gt;""""), ""真實收入"",
  TRUE, ""其他""
)"),"其他")</f>
        <v>其他</v>
      </c>
      <c r="K8878" s="270" t="str">
        <f t="shared" si="2"/>
        <v/>
      </c>
      <c r="L8878">
        <f t="shared" si="3"/>
        <v>0</v>
      </c>
    </row>
    <row r="8879">
      <c r="A8879" s="107"/>
      <c r="D8879" s="270"/>
      <c r="H8879" s="106" t="str">
        <f t="shared" si="1"/>
        <v/>
      </c>
      <c r="J8879" t="str">
        <f>IFERROR(__xludf.DUMMYFUNCTION("IFS(
  AND(REGEXMATCH(E8879, ""台銀籌備帳戶|玉山帳戶""), REGEXMATCH(C8879, ""薪資"")), ""分潤支出"",
  AND(REGEXMATCH(E8879, ""Ben帳戶|Elsa帳戶|Ben代墊|Ariel代墊|中信銀行共用""), REGEXMATCH(F8879, ""Ben帳戶|Elsa帳戶|Ben代墊|Ariel代墊|中信銀行共用"")), ""內部轉帳(忽略)"",
  AND(E8879&lt;&gt;"""", F8879&lt;&gt;"""", N"&amp;"OT(REGEXMATCH(C8879, ""薪資""))), ""內部轉帳(忽略)"",
  REGEXMATCH(C8879, ""薪資""), ""薪資變動(不計入)"",
  REGEXMATCH(C8879, ""押金""), ""押金往來"",
  AND(E8879&lt;&gt;"""", F8879=""""), ""真實支出"",
  AND(E8879="""", F8879&lt;&gt;""""), ""真實收入"",
  TRUE, ""其他""
)"),"其他")</f>
        <v>其他</v>
      </c>
      <c r="K8879" s="270" t="str">
        <f t="shared" si="2"/>
        <v/>
      </c>
      <c r="L8879">
        <f t="shared" si="3"/>
        <v>0</v>
      </c>
    </row>
    <row r="8880">
      <c r="A8880" s="107"/>
      <c r="D8880" s="270"/>
      <c r="H8880" s="106" t="str">
        <f t="shared" si="1"/>
        <v/>
      </c>
      <c r="J8880" t="str">
        <f>IFERROR(__xludf.DUMMYFUNCTION("IFS(
  AND(REGEXMATCH(E8880, ""台銀籌備帳戶|玉山帳戶""), REGEXMATCH(C8880, ""薪資"")), ""分潤支出"",
  AND(REGEXMATCH(E8880, ""Ben帳戶|Elsa帳戶|Ben代墊|Ariel代墊|中信銀行共用""), REGEXMATCH(F8880, ""Ben帳戶|Elsa帳戶|Ben代墊|Ariel代墊|中信銀行共用"")), ""內部轉帳(忽略)"",
  AND(E8880&lt;&gt;"""", F8880&lt;&gt;"""", N"&amp;"OT(REGEXMATCH(C8880, ""薪資""))), ""內部轉帳(忽略)"",
  REGEXMATCH(C8880, ""薪資""), ""薪資變動(不計入)"",
  REGEXMATCH(C8880, ""押金""), ""押金往來"",
  AND(E8880&lt;&gt;"""", F8880=""""), ""真實支出"",
  AND(E8880="""", F8880&lt;&gt;""""), ""真實收入"",
  TRUE, ""其他""
)"),"其他")</f>
        <v>其他</v>
      </c>
      <c r="K8880" s="270" t="str">
        <f t="shared" si="2"/>
        <v/>
      </c>
      <c r="L8880">
        <f t="shared" si="3"/>
        <v>0</v>
      </c>
    </row>
    <row r="8881">
      <c r="A8881" s="107"/>
      <c r="D8881" s="270"/>
      <c r="H8881" s="106" t="str">
        <f t="shared" si="1"/>
        <v/>
      </c>
      <c r="J8881" t="str">
        <f>IFERROR(__xludf.DUMMYFUNCTION("IFS(
  AND(REGEXMATCH(E8881, ""台銀籌備帳戶|玉山帳戶""), REGEXMATCH(C8881, ""薪資"")), ""分潤支出"",
  AND(REGEXMATCH(E8881, ""Ben帳戶|Elsa帳戶|Ben代墊|Ariel代墊|中信銀行共用""), REGEXMATCH(F8881, ""Ben帳戶|Elsa帳戶|Ben代墊|Ariel代墊|中信銀行共用"")), ""內部轉帳(忽略)"",
  AND(E8881&lt;&gt;"""", F8881&lt;&gt;"""", N"&amp;"OT(REGEXMATCH(C8881, ""薪資""))), ""內部轉帳(忽略)"",
  REGEXMATCH(C8881, ""薪資""), ""薪資變動(不計入)"",
  REGEXMATCH(C8881, ""押金""), ""押金往來"",
  AND(E8881&lt;&gt;"""", F8881=""""), ""真實支出"",
  AND(E8881="""", F8881&lt;&gt;""""), ""真實收入"",
  TRUE, ""其他""
)"),"其他")</f>
        <v>其他</v>
      </c>
      <c r="K8881" s="270" t="str">
        <f t="shared" si="2"/>
        <v/>
      </c>
      <c r="L8881">
        <f t="shared" si="3"/>
        <v>0</v>
      </c>
    </row>
    <row r="8882">
      <c r="A8882" s="107"/>
      <c r="D8882" s="270"/>
      <c r="H8882" s="106" t="str">
        <f t="shared" si="1"/>
        <v/>
      </c>
      <c r="J8882" t="str">
        <f>IFERROR(__xludf.DUMMYFUNCTION("IFS(
  AND(REGEXMATCH(E8882, ""台銀籌備帳戶|玉山帳戶""), REGEXMATCH(C8882, ""薪資"")), ""分潤支出"",
  AND(REGEXMATCH(E8882, ""Ben帳戶|Elsa帳戶|Ben代墊|Ariel代墊|中信銀行共用""), REGEXMATCH(F8882, ""Ben帳戶|Elsa帳戶|Ben代墊|Ariel代墊|中信銀行共用"")), ""內部轉帳(忽略)"",
  AND(E8882&lt;&gt;"""", F8882&lt;&gt;"""", N"&amp;"OT(REGEXMATCH(C8882, ""薪資""))), ""內部轉帳(忽略)"",
  REGEXMATCH(C8882, ""薪資""), ""薪資變動(不計入)"",
  REGEXMATCH(C8882, ""押金""), ""押金往來"",
  AND(E8882&lt;&gt;"""", F8882=""""), ""真實支出"",
  AND(E8882="""", F8882&lt;&gt;""""), ""真實收入"",
  TRUE, ""其他""
)"),"其他")</f>
        <v>其他</v>
      </c>
      <c r="K8882" s="270" t="str">
        <f t="shared" si="2"/>
        <v/>
      </c>
      <c r="L8882">
        <f t="shared" si="3"/>
        <v>0</v>
      </c>
    </row>
    <row r="8883">
      <c r="A8883" s="107"/>
      <c r="D8883" s="270"/>
      <c r="H8883" s="106" t="str">
        <f t="shared" si="1"/>
        <v/>
      </c>
      <c r="J8883" t="str">
        <f>IFERROR(__xludf.DUMMYFUNCTION("IFS(
  AND(REGEXMATCH(E8883, ""台銀籌備帳戶|玉山帳戶""), REGEXMATCH(C8883, ""薪資"")), ""分潤支出"",
  AND(REGEXMATCH(E8883, ""Ben帳戶|Elsa帳戶|Ben代墊|Ariel代墊|中信銀行共用""), REGEXMATCH(F8883, ""Ben帳戶|Elsa帳戶|Ben代墊|Ariel代墊|中信銀行共用"")), ""內部轉帳(忽略)"",
  AND(E8883&lt;&gt;"""", F8883&lt;&gt;"""", N"&amp;"OT(REGEXMATCH(C8883, ""薪資""))), ""內部轉帳(忽略)"",
  REGEXMATCH(C8883, ""薪資""), ""薪資變動(不計入)"",
  REGEXMATCH(C8883, ""押金""), ""押金往來"",
  AND(E8883&lt;&gt;"""", F8883=""""), ""真實支出"",
  AND(E8883="""", F8883&lt;&gt;""""), ""真實收入"",
  TRUE, ""其他""
)"),"其他")</f>
        <v>其他</v>
      </c>
      <c r="K8883" s="270" t="str">
        <f t="shared" si="2"/>
        <v/>
      </c>
      <c r="L8883">
        <f t="shared" si="3"/>
        <v>0</v>
      </c>
    </row>
    <row r="8884">
      <c r="A8884" s="107"/>
      <c r="D8884" s="270"/>
      <c r="H8884" s="106" t="str">
        <f t="shared" si="1"/>
        <v/>
      </c>
      <c r="J8884" t="str">
        <f>IFERROR(__xludf.DUMMYFUNCTION("IFS(
  AND(REGEXMATCH(E8884, ""台銀籌備帳戶|玉山帳戶""), REGEXMATCH(C8884, ""薪資"")), ""分潤支出"",
  AND(REGEXMATCH(E8884, ""Ben帳戶|Elsa帳戶|Ben代墊|Ariel代墊|中信銀行共用""), REGEXMATCH(F8884, ""Ben帳戶|Elsa帳戶|Ben代墊|Ariel代墊|中信銀行共用"")), ""內部轉帳(忽略)"",
  AND(E8884&lt;&gt;"""", F8884&lt;&gt;"""", N"&amp;"OT(REGEXMATCH(C8884, ""薪資""))), ""內部轉帳(忽略)"",
  REGEXMATCH(C8884, ""薪資""), ""薪資變動(不計入)"",
  REGEXMATCH(C8884, ""押金""), ""押金往來"",
  AND(E8884&lt;&gt;"""", F8884=""""), ""真實支出"",
  AND(E8884="""", F8884&lt;&gt;""""), ""真實收入"",
  TRUE, ""其他""
)"),"其他")</f>
        <v>其他</v>
      </c>
      <c r="K8884" s="270" t="str">
        <f t="shared" si="2"/>
        <v/>
      </c>
      <c r="L8884">
        <f t="shared" si="3"/>
        <v>0</v>
      </c>
    </row>
    <row r="8885">
      <c r="A8885" s="107"/>
      <c r="D8885" s="270"/>
      <c r="H8885" s="106" t="str">
        <f t="shared" si="1"/>
        <v/>
      </c>
      <c r="J8885" t="str">
        <f>IFERROR(__xludf.DUMMYFUNCTION("IFS(
  AND(REGEXMATCH(E8885, ""台銀籌備帳戶|玉山帳戶""), REGEXMATCH(C8885, ""薪資"")), ""分潤支出"",
  AND(REGEXMATCH(E8885, ""Ben帳戶|Elsa帳戶|Ben代墊|Ariel代墊|中信銀行共用""), REGEXMATCH(F8885, ""Ben帳戶|Elsa帳戶|Ben代墊|Ariel代墊|中信銀行共用"")), ""內部轉帳(忽略)"",
  AND(E8885&lt;&gt;"""", F8885&lt;&gt;"""", N"&amp;"OT(REGEXMATCH(C8885, ""薪資""))), ""內部轉帳(忽略)"",
  REGEXMATCH(C8885, ""薪資""), ""薪資變動(不計入)"",
  REGEXMATCH(C8885, ""押金""), ""押金往來"",
  AND(E8885&lt;&gt;"""", F8885=""""), ""真實支出"",
  AND(E8885="""", F8885&lt;&gt;""""), ""真實收入"",
  TRUE, ""其他""
)"),"其他")</f>
        <v>其他</v>
      </c>
      <c r="K8885" s="270" t="str">
        <f t="shared" si="2"/>
        <v/>
      </c>
      <c r="L8885">
        <f t="shared" si="3"/>
        <v>0</v>
      </c>
    </row>
    <row r="8886">
      <c r="A8886" s="107"/>
      <c r="D8886" s="270"/>
      <c r="H8886" s="106" t="str">
        <f t="shared" si="1"/>
        <v/>
      </c>
      <c r="J8886" t="str">
        <f>IFERROR(__xludf.DUMMYFUNCTION("IFS(
  AND(REGEXMATCH(E8886, ""台銀籌備帳戶|玉山帳戶""), REGEXMATCH(C8886, ""薪資"")), ""分潤支出"",
  AND(REGEXMATCH(E8886, ""Ben帳戶|Elsa帳戶|Ben代墊|Ariel代墊|中信銀行共用""), REGEXMATCH(F8886, ""Ben帳戶|Elsa帳戶|Ben代墊|Ariel代墊|中信銀行共用"")), ""內部轉帳(忽略)"",
  AND(E8886&lt;&gt;"""", F8886&lt;&gt;"""", N"&amp;"OT(REGEXMATCH(C8886, ""薪資""))), ""內部轉帳(忽略)"",
  REGEXMATCH(C8886, ""薪資""), ""薪資變動(不計入)"",
  REGEXMATCH(C8886, ""押金""), ""押金往來"",
  AND(E8886&lt;&gt;"""", F8886=""""), ""真實支出"",
  AND(E8886="""", F8886&lt;&gt;""""), ""真實收入"",
  TRUE, ""其他""
)"),"其他")</f>
        <v>其他</v>
      </c>
      <c r="K8886" s="270" t="str">
        <f t="shared" si="2"/>
        <v/>
      </c>
      <c r="L8886">
        <f t="shared" si="3"/>
        <v>0</v>
      </c>
    </row>
    <row r="8887">
      <c r="A8887" s="107"/>
      <c r="D8887" s="270"/>
      <c r="H8887" s="106" t="str">
        <f t="shared" si="1"/>
        <v/>
      </c>
      <c r="J8887" t="str">
        <f>IFERROR(__xludf.DUMMYFUNCTION("IFS(
  AND(REGEXMATCH(E8887, ""台銀籌備帳戶|玉山帳戶""), REGEXMATCH(C8887, ""薪資"")), ""分潤支出"",
  AND(REGEXMATCH(E8887, ""Ben帳戶|Elsa帳戶|Ben代墊|Ariel代墊|中信銀行共用""), REGEXMATCH(F8887, ""Ben帳戶|Elsa帳戶|Ben代墊|Ariel代墊|中信銀行共用"")), ""內部轉帳(忽略)"",
  AND(E8887&lt;&gt;"""", F8887&lt;&gt;"""", N"&amp;"OT(REGEXMATCH(C8887, ""薪資""))), ""內部轉帳(忽略)"",
  REGEXMATCH(C8887, ""薪資""), ""薪資變動(不計入)"",
  REGEXMATCH(C8887, ""押金""), ""押金往來"",
  AND(E8887&lt;&gt;"""", F8887=""""), ""真實支出"",
  AND(E8887="""", F8887&lt;&gt;""""), ""真實收入"",
  TRUE, ""其他""
)"),"其他")</f>
        <v>其他</v>
      </c>
      <c r="K8887" s="270" t="str">
        <f t="shared" si="2"/>
        <v/>
      </c>
      <c r="L8887">
        <f t="shared" si="3"/>
        <v>0</v>
      </c>
    </row>
    <row r="8888">
      <c r="A8888" s="107"/>
      <c r="D8888" s="270"/>
      <c r="H8888" s="106" t="str">
        <f t="shared" si="1"/>
        <v/>
      </c>
      <c r="J8888" t="str">
        <f>IFERROR(__xludf.DUMMYFUNCTION("IFS(
  AND(REGEXMATCH(E8888, ""台銀籌備帳戶|玉山帳戶""), REGEXMATCH(C8888, ""薪資"")), ""分潤支出"",
  AND(REGEXMATCH(E8888, ""Ben帳戶|Elsa帳戶|Ben代墊|Ariel代墊|中信銀行共用""), REGEXMATCH(F8888, ""Ben帳戶|Elsa帳戶|Ben代墊|Ariel代墊|中信銀行共用"")), ""內部轉帳(忽略)"",
  AND(E8888&lt;&gt;"""", F8888&lt;&gt;"""", N"&amp;"OT(REGEXMATCH(C8888, ""薪資""))), ""內部轉帳(忽略)"",
  REGEXMATCH(C8888, ""薪資""), ""薪資變動(不計入)"",
  REGEXMATCH(C8888, ""押金""), ""押金往來"",
  AND(E8888&lt;&gt;"""", F8888=""""), ""真實支出"",
  AND(E8888="""", F8888&lt;&gt;""""), ""真實收入"",
  TRUE, ""其他""
)"),"其他")</f>
        <v>其他</v>
      </c>
      <c r="K8888" s="270" t="str">
        <f t="shared" si="2"/>
        <v/>
      </c>
      <c r="L8888">
        <f t="shared" si="3"/>
        <v>0</v>
      </c>
    </row>
    <row r="8889">
      <c r="A8889" s="107"/>
      <c r="D8889" s="270"/>
      <c r="H8889" s="106" t="str">
        <f t="shared" si="1"/>
        <v/>
      </c>
      <c r="J8889" t="str">
        <f>IFERROR(__xludf.DUMMYFUNCTION("IFS(
  AND(REGEXMATCH(E8889, ""台銀籌備帳戶|玉山帳戶""), REGEXMATCH(C8889, ""薪資"")), ""分潤支出"",
  AND(REGEXMATCH(E8889, ""Ben帳戶|Elsa帳戶|Ben代墊|Ariel代墊|中信銀行共用""), REGEXMATCH(F8889, ""Ben帳戶|Elsa帳戶|Ben代墊|Ariel代墊|中信銀行共用"")), ""內部轉帳(忽略)"",
  AND(E8889&lt;&gt;"""", F8889&lt;&gt;"""", N"&amp;"OT(REGEXMATCH(C8889, ""薪資""))), ""內部轉帳(忽略)"",
  REGEXMATCH(C8889, ""薪資""), ""薪資變動(不計入)"",
  REGEXMATCH(C8889, ""押金""), ""押金往來"",
  AND(E8889&lt;&gt;"""", F8889=""""), ""真實支出"",
  AND(E8889="""", F8889&lt;&gt;""""), ""真實收入"",
  TRUE, ""其他""
)"),"其他")</f>
        <v>其他</v>
      </c>
      <c r="K8889" s="270" t="str">
        <f t="shared" si="2"/>
        <v/>
      </c>
      <c r="L8889">
        <f t="shared" si="3"/>
        <v>0</v>
      </c>
    </row>
    <row r="8890">
      <c r="A8890" s="107"/>
      <c r="D8890" s="270"/>
      <c r="H8890" s="106" t="str">
        <f t="shared" si="1"/>
        <v/>
      </c>
      <c r="J8890" t="str">
        <f>IFERROR(__xludf.DUMMYFUNCTION("IFS(
  AND(REGEXMATCH(E8890, ""台銀籌備帳戶|玉山帳戶""), REGEXMATCH(C8890, ""薪資"")), ""分潤支出"",
  AND(REGEXMATCH(E8890, ""Ben帳戶|Elsa帳戶|Ben代墊|Ariel代墊|中信銀行共用""), REGEXMATCH(F8890, ""Ben帳戶|Elsa帳戶|Ben代墊|Ariel代墊|中信銀行共用"")), ""內部轉帳(忽略)"",
  AND(E8890&lt;&gt;"""", F8890&lt;&gt;"""", N"&amp;"OT(REGEXMATCH(C8890, ""薪資""))), ""內部轉帳(忽略)"",
  REGEXMATCH(C8890, ""薪資""), ""薪資變動(不計入)"",
  REGEXMATCH(C8890, ""押金""), ""押金往來"",
  AND(E8890&lt;&gt;"""", F8890=""""), ""真實支出"",
  AND(E8890="""", F8890&lt;&gt;""""), ""真實收入"",
  TRUE, ""其他""
)"),"其他")</f>
        <v>其他</v>
      </c>
      <c r="K8890" s="270" t="str">
        <f t="shared" si="2"/>
        <v/>
      </c>
      <c r="L8890">
        <f t="shared" si="3"/>
        <v>0</v>
      </c>
    </row>
    <row r="8891">
      <c r="A8891" s="107"/>
      <c r="D8891" s="270"/>
      <c r="H8891" s="106" t="str">
        <f t="shared" si="1"/>
        <v/>
      </c>
      <c r="J8891" t="str">
        <f>IFERROR(__xludf.DUMMYFUNCTION("IFS(
  AND(REGEXMATCH(E8891, ""台銀籌備帳戶|玉山帳戶""), REGEXMATCH(C8891, ""薪資"")), ""分潤支出"",
  AND(REGEXMATCH(E8891, ""Ben帳戶|Elsa帳戶|Ben代墊|Ariel代墊|中信銀行共用""), REGEXMATCH(F8891, ""Ben帳戶|Elsa帳戶|Ben代墊|Ariel代墊|中信銀行共用"")), ""內部轉帳(忽略)"",
  AND(E8891&lt;&gt;"""", F8891&lt;&gt;"""", N"&amp;"OT(REGEXMATCH(C8891, ""薪資""))), ""內部轉帳(忽略)"",
  REGEXMATCH(C8891, ""薪資""), ""薪資變動(不計入)"",
  REGEXMATCH(C8891, ""押金""), ""押金往來"",
  AND(E8891&lt;&gt;"""", F8891=""""), ""真實支出"",
  AND(E8891="""", F8891&lt;&gt;""""), ""真實收入"",
  TRUE, ""其他""
)"),"其他")</f>
        <v>其他</v>
      </c>
      <c r="K8891" s="270" t="str">
        <f t="shared" si="2"/>
        <v/>
      </c>
      <c r="L8891">
        <f t="shared" si="3"/>
        <v>0</v>
      </c>
    </row>
    <row r="8892">
      <c r="A8892" s="107"/>
      <c r="D8892" s="270"/>
      <c r="H8892" s="106" t="str">
        <f t="shared" si="1"/>
        <v/>
      </c>
      <c r="J8892" t="str">
        <f>IFERROR(__xludf.DUMMYFUNCTION("IFS(
  AND(REGEXMATCH(E8892, ""台銀籌備帳戶|玉山帳戶""), REGEXMATCH(C8892, ""薪資"")), ""分潤支出"",
  AND(REGEXMATCH(E8892, ""Ben帳戶|Elsa帳戶|Ben代墊|Ariel代墊|中信銀行共用""), REGEXMATCH(F8892, ""Ben帳戶|Elsa帳戶|Ben代墊|Ariel代墊|中信銀行共用"")), ""內部轉帳(忽略)"",
  AND(E8892&lt;&gt;"""", F8892&lt;&gt;"""", N"&amp;"OT(REGEXMATCH(C8892, ""薪資""))), ""內部轉帳(忽略)"",
  REGEXMATCH(C8892, ""薪資""), ""薪資變動(不計入)"",
  REGEXMATCH(C8892, ""押金""), ""押金往來"",
  AND(E8892&lt;&gt;"""", F8892=""""), ""真實支出"",
  AND(E8892="""", F8892&lt;&gt;""""), ""真實收入"",
  TRUE, ""其他""
)"),"其他")</f>
        <v>其他</v>
      </c>
      <c r="K8892" s="270" t="str">
        <f t="shared" si="2"/>
        <v/>
      </c>
      <c r="L8892">
        <f t="shared" si="3"/>
        <v>0</v>
      </c>
    </row>
    <row r="8893">
      <c r="A8893" s="107"/>
      <c r="D8893" s="270"/>
      <c r="H8893" s="106" t="str">
        <f t="shared" si="1"/>
        <v/>
      </c>
      <c r="J8893" t="str">
        <f>IFERROR(__xludf.DUMMYFUNCTION("IFS(
  AND(REGEXMATCH(E8893, ""台銀籌備帳戶|玉山帳戶""), REGEXMATCH(C8893, ""薪資"")), ""分潤支出"",
  AND(REGEXMATCH(E8893, ""Ben帳戶|Elsa帳戶|Ben代墊|Ariel代墊|中信銀行共用""), REGEXMATCH(F8893, ""Ben帳戶|Elsa帳戶|Ben代墊|Ariel代墊|中信銀行共用"")), ""內部轉帳(忽略)"",
  AND(E8893&lt;&gt;"""", F8893&lt;&gt;"""", N"&amp;"OT(REGEXMATCH(C8893, ""薪資""))), ""內部轉帳(忽略)"",
  REGEXMATCH(C8893, ""薪資""), ""薪資變動(不計入)"",
  REGEXMATCH(C8893, ""押金""), ""押金往來"",
  AND(E8893&lt;&gt;"""", F8893=""""), ""真實支出"",
  AND(E8893="""", F8893&lt;&gt;""""), ""真實收入"",
  TRUE, ""其他""
)"),"其他")</f>
        <v>其他</v>
      </c>
      <c r="K8893" s="270" t="str">
        <f t="shared" si="2"/>
        <v/>
      </c>
      <c r="L8893">
        <f t="shared" si="3"/>
        <v>0</v>
      </c>
    </row>
    <row r="8894">
      <c r="A8894" s="107"/>
      <c r="D8894" s="270"/>
      <c r="H8894" s="106" t="str">
        <f t="shared" si="1"/>
        <v/>
      </c>
      <c r="J8894" t="str">
        <f>IFERROR(__xludf.DUMMYFUNCTION("IFS(
  AND(REGEXMATCH(E8894, ""台銀籌備帳戶|玉山帳戶""), REGEXMATCH(C8894, ""薪資"")), ""分潤支出"",
  AND(REGEXMATCH(E8894, ""Ben帳戶|Elsa帳戶|Ben代墊|Ariel代墊|中信銀行共用""), REGEXMATCH(F8894, ""Ben帳戶|Elsa帳戶|Ben代墊|Ariel代墊|中信銀行共用"")), ""內部轉帳(忽略)"",
  AND(E8894&lt;&gt;"""", F8894&lt;&gt;"""", N"&amp;"OT(REGEXMATCH(C8894, ""薪資""))), ""內部轉帳(忽略)"",
  REGEXMATCH(C8894, ""薪資""), ""薪資變動(不計入)"",
  REGEXMATCH(C8894, ""押金""), ""押金往來"",
  AND(E8894&lt;&gt;"""", F8894=""""), ""真實支出"",
  AND(E8894="""", F8894&lt;&gt;""""), ""真實收入"",
  TRUE, ""其他""
)"),"其他")</f>
        <v>其他</v>
      </c>
      <c r="K8894" s="270" t="str">
        <f t="shared" si="2"/>
        <v/>
      </c>
      <c r="L8894">
        <f t="shared" si="3"/>
        <v>0</v>
      </c>
    </row>
    <row r="8895">
      <c r="A8895" s="107"/>
      <c r="D8895" s="270"/>
      <c r="H8895" s="106" t="str">
        <f t="shared" si="1"/>
        <v/>
      </c>
      <c r="J8895" t="str">
        <f>IFERROR(__xludf.DUMMYFUNCTION("IFS(
  AND(REGEXMATCH(E8895, ""台銀籌備帳戶|玉山帳戶""), REGEXMATCH(C8895, ""薪資"")), ""分潤支出"",
  AND(REGEXMATCH(E8895, ""Ben帳戶|Elsa帳戶|Ben代墊|Ariel代墊|中信銀行共用""), REGEXMATCH(F8895, ""Ben帳戶|Elsa帳戶|Ben代墊|Ariel代墊|中信銀行共用"")), ""內部轉帳(忽略)"",
  AND(E8895&lt;&gt;"""", F8895&lt;&gt;"""", N"&amp;"OT(REGEXMATCH(C8895, ""薪資""))), ""內部轉帳(忽略)"",
  REGEXMATCH(C8895, ""薪資""), ""薪資變動(不計入)"",
  REGEXMATCH(C8895, ""押金""), ""押金往來"",
  AND(E8895&lt;&gt;"""", F8895=""""), ""真實支出"",
  AND(E8895="""", F8895&lt;&gt;""""), ""真實收入"",
  TRUE, ""其他""
)"),"其他")</f>
        <v>其他</v>
      </c>
      <c r="K8895" s="270" t="str">
        <f t="shared" si="2"/>
        <v/>
      </c>
      <c r="L8895">
        <f t="shared" si="3"/>
        <v>0</v>
      </c>
    </row>
    <row r="8896">
      <c r="A8896" s="107"/>
      <c r="D8896" s="270"/>
      <c r="H8896" s="106" t="str">
        <f t="shared" si="1"/>
        <v/>
      </c>
      <c r="J8896" t="str">
        <f>IFERROR(__xludf.DUMMYFUNCTION("IFS(
  AND(REGEXMATCH(E8896, ""台銀籌備帳戶|玉山帳戶""), REGEXMATCH(C8896, ""薪資"")), ""分潤支出"",
  AND(REGEXMATCH(E8896, ""Ben帳戶|Elsa帳戶|Ben代墊|Ariel代墊|中信銀行共用""), REGEXMATCH(F8896, ""Ben帳戶|Elsa帳戶|Ben代墊|Ariel代墊|中信銀行共用"")), ""內部轉帳(忽略)"",
  AND(E8896&lt;&gt;"""", F8896&lt;&gt;"""", N"&amp;"OT(REGEXMATCH(C8896, ""薪資""))), ""內部轉帳(忽略)"",
  REGEXMATCH(C8896, ""薪資""), ""薪資變動(不計入)"",
  REGEXMATCH(C8896, ""押金""), ""押金往來"",
  AND(E8896&lt;&gt;"""", F8896=""""), ""真實支出"",
  AND(E8896="""", F8896&lt;&gt;""""), ""真實收入"",
  TRUE, ""其他""
)"),"其他")</f>
        <v>其他</v>
      </c>
      <c r="K8896" s="270" t="str">
        <f t="shared" si="2"/>
        <v/>
      </c>
      <c r="L8896">
        <f t="shared" si="3"/>
        <v>0</v>
      </c>
    </row>
    <row r="8897">
      <c r="A8897" s="107"/>
      <c r="D8897" s="270"/>
      <c r="H8897" s="106" t="str">
        <f t="shared" si="1"/>
        <v/>
      </c>
      <c r="J8897" t="str">
        <f>IFERROR(__xludf.DUMMYFUNCTION("IFS(
  AND(REGEXMATCH(E8897, ""台銀籌備帳戶|玉山帳戶""), REGEXMATCH(C8897, ""薪資"")), ""分潤支出"",
  AND(REGEXMATCH(E8897, ""Ben帳戶|Elsa帳戶|Ben代墊|Ariel代墊|中信銀行共用""), REGEXMATCH(F8897, ""Ben帳戶|Elsa帳戶|Ben代墊|Ariel代墊|中信銀行共用"")), ""內部轉帳(忽略)"",
  AND(E8897&lt;&gt;"""", F8897&lt;&gt;"""", N"&amp;"OT(REGEXMATCH(C8897, ""薪資""))), ""內部轉帳(忽略)"",
  REGEXMATCH(C8897, ""薪資""), ""薪資變動(不計入)"",
  REGEXMATCH(C8897, ""押金""), ""押金往來"",
  AND(E8897&lt;&gt;"""", F8897=""""), ""真實支出"",
  AND(E8897="""", F8897&lt;&gt;""""), ""真實收入"",
  TRUE, ""其他""
)"),"其他")</f>
        <v>其他</v>
      </c>
      <c r="K8897" s="270" t="str">
        <f t="shared" si="2"/>
        <v/>
      </c>
      <c r="L8897">
        <f t="shared" si="3"/>
        <v>0</v>
      </c>
    </row>
    <row r="8898">
      <c r="A8898" s="107"/>
      <c r="D8898" s="270"/>
      <c r="H8898" s="106" t="str">
        <f t="shared" si="1"/>
        <v/>
      </c>
      <c r="J8898" t="str">
        <f>IFERROR(__xludf.DUMMYFUNCTION("IFS(
  AND(REGEXMATCH(E8898, ""台銀籌備帳戶|玉山帳戶""), REGEXMATCH(C8898, ""薪資"")), ""分潤支出"",
  AND(REGEXMATCH(E8898, ""Ben帳戶|Elsa帳戶|Ben代墊|Ariel代墊|中信銀行共用""), REGEXMATCH(F8898, ""Ben帳戶|Elsa帳戶|Ben代墊|Ariel代墊|中信銀行共用"")), ""內部轉帳(忽略)"",
  AND(E8898&lt;&gt;"""", F8898&lt;&gt;"""", N"&amp;"OT(REGEXMATCH(C8898, ""薪資""))), ""內部轉帳(忽略)"",
  REGEXMATCH(C8898, ""薪資""), ""薪資變動(不計入)"",
  REGEXMATCH(C8898, ""押金""), ""押金往來"",
  AND(E8898&lt;&gt;"""", F8898=""""), ""真實支出"",
  AND(E8898="""", F8898&lt;&gt;""""), ""真實收入"",
  TRUE, ""其他""
)"),"其他")</f>
        <v>其他</v>
      </c>
      <c r="K8898" s="270" t="str">
        <f t="shared" si="2"/>
        <v/>
      </c>
      <c r="L8898">
        <f t="shared" si="3"/>
        <v>0</v>
      </c>
    </row>
    <row r="8899">
      <c r="A8899" s="107"/>
      <c r="D8899" s="270"/>
      <c r="H8899" s="106" t="str">
        <f t="shared" si="1"/>
        <v/>
      </c>
      <c r="J8899" t="str">
        <f>IFERROR(__xludf.DUMMYFUNCTION("IFS(
  AND(REGEXMATCH(E8899, ""台銀籌備帳戶|玉山帳戶""), REGEXMATCH(C8899, ""薪資"")), ""分潤支出"",
  AND(REGEXMATCH(E8899, ""Ben帳戶|Elsa帳戶|Ben代墊|Ariel代墊|中信銀行共用""), REGEXMATCH(F8899, ""Ben帳戶|Elsa帳戶|Ben代墊|Ariel代墊|中信銀行共用"")), ""內部轉帳(忽略)"",
  AND(E8899&lt;&gt;"""", F8899&lt;&gt;"""", N"&amp;"OT(REGEXMATCH(C8899, ""薪資""))), ""內部轉帳(忽略)"",
  REGEXMATCH(C8899, ""薪資""), ""薪資變動(不計入)"",
  REGEXMATCH(C8899, ""押金""), ""押金往來"",
  AND(E8899&lt;&gt;"""", F8899=""""), ""真實支出"",
  AND(E8899="""", F8899&lt;&gt;""""), ""真實收入"",
  TRUE, ""其他""
)"),"其他")</f>
        <v>其他</v>
      </c>
      <c r="K8899" s="270" t="str">
        <f t="shared" si="2"/>
        <v/>
      </c>
      <c r="L8899">
        <f t="shared" si="3"/>
        <v>0</v>
      </c>
    </row>
    <row r="8900">
      <c r="A8900" s="107"/>
      <c r="D8900" s="270"/>
      <c r="H8900" s="106" t="str">
        <f t="shared" si="1"/>
        <v/>
      </c>
      <c r="J8900" t="str">
        <f>IFERROR(__xludf.DUMMYFUNCTION("IFS(
  AND(REGEXMATCH(E8900, ""台銀籌備帳戶|玉山帳戶""), REGEXMATCH(C8900, ""薪資"")), ""分潤支出"",
  AND(REGEXMATCH(E8900, ""Ben帳戶|Elsa帳戶|Ben代墊|Ariel代墊|中信銀行共用""), REGEXMATCH(F8900, ""Ben帳戶|Elsa帳戶|Ben代墊|Ariel代墊|中信銀行共用"")), ""內部轉帳(忽略)"",
  AND(E8900&lt;&gt;"""", F8900&lt;&gt;"""", N"&amp;"OT(REGEXMATCH(C8900, ""薪資""))), ""內部轉帳(忽略)"",
  REGEXMATCH(C8900, ""薪資""), ""薪資變動(不計入)"",
  REGEXMATCH(C8900, ""押金""), ""押金往來"",
  AND(E8900&lt;&gt;"""", F8900=""""), ""真實支出"",
  AND(E8900="""", F8900&lt;&gt;""""), ""真實收入"",
  TRUE, ""其他""
)"),"其他")</f>
        <v>其他</v>
      </c>
      <c r="K8900" s="270" t="str">
        <f t="shared" si="2"/>
        <v/>
      </c>
      <c r="L8900">
        <f t="shared" si="3"/>
        <v>0</v>
      </c>
    </row>
    <row r="8901">
      <c r="A8901" s="107"/>
      <c r="D8901" s="270"/>
      <c r="H8901" s="106" t="str">
        <f t="shared" si="1"/>
        <v/>
      </c>
      <c r="J8901" t="str">
        <f>IFERROR(__xludf.DUMMYFUNCTION("IFS(
  AND(REGEXMATCH(E8901, ""台銀籌備帳戶|玉山帳戶""), REGEXMATCH(C8901, ""薪資"")), ""分潤支出"",
  AND(REGEXMATCH(E8901, ""Ben帳戶|Elsa帳戶|Ben代墊|Ariel代墊|中信銀行共用""), REGEXMATCH(F8901, ""Ben帳戶|Elsa帳戶|Ben代墊|Ariel代墊|中信銀行共用"")), ""內部轉帳(忽略)"",
  AND(E8901&lt;&gt;"""", F8901&lt;&gt;"""", N"&amp;"OT(REGEXMATCH(C8901, ""薪資""))), ""內部轉帳(忽略)"",
  REGEXMATCH(C8901, ""薪資""), ""薪資變動(不計入)"",
  REGEXMATCH(C8901, ""押金""), ""押金往來"",
  AND(E8901&lt;&gt;"""", F8901=""""), ""真實支出"",
  AND(E8901="""", F8901&lt;&gt;""""), ""真實收入"",
  TRUE, ""其他""
)"),"其他")</f>
        <v>其他</v>
      </c>
      <c r="K8901" s="270" t="str">
        <f t="shared" si="2"/>
        <v/>
      </c>
      <c r="L8901">
        <f t="shared" si="3"/>
        <v>0</v>
      </c>
    </row>
    <row r="8902">
      <c r="A8902" s="107"/>
      <c r="D8902" s="270"/>
      <c r="H8902" s="106" t="str">
        <f t="shared" si="1"/>
        <v/>
      </c>
      <c r="J8902" t="str">
        <f>IFERROR(__xludf.DUMMYFUNCTION("IFS(
  AND(REGEXMATCH(E8902, ""台銀籌備帳戶|玉山帳戶""), REGEXMATCH(C8902, ""薪資"")), ""分潤支出"",
  AND(REGEXMATCH(E8902, ""Ben帳戶|Elsa帳戶|Ben代墊|Ariel代墊|中信銀行共用""), REGEXMATCH(F8902, ""Ben帳戶|Elsa帳戶|Ben代墊|Ariel代墊|中信銀行共用"")), ""內部轉帳(忽略)"",
  AND(E8902&lt;&gt;"""", F8902&lt;&gt;"""", N"&amp;"OT(REGEXMATCH(C8902, ""薪資""))), ""內部轉帳(忽略)"",
  REGEXMATCH(C8902, ""薪資""), ""薪資變動(不計入)"",
  REGEXMATCH(C8902, ""押金""), ""押金往來"",
  AND(E8902&lt;&gt;"""", F8902=""""), ""真實支出"",
  AND(E8902="""", F8902&lt;&gt;""""), ""真實收入"",
  TRUE, ""其他""
)"),"其他")</f>
        <v>其他</v>
      </c>
      <c r="K8902" s="270" t="str">
        <f t="shared" si="2"/>
        <v/>
      </c>
      <c r="L8902">
        <f t="shared" si="3"/>
        <v>0</v>
      </c>
    </row>
    <row r="8903">
      <c r="A8903" s="107"/>
      <c r="D8903" s="270"/>
      <c r="H8903" s="106" t="str">
        <f t="shared" si="1"/>
        <v/>
      </c>
      <c r="J8903" t="str">
        <f>IFERROR(__xludf.DUMMYFUNCTION("IFS(
  AND(REGEXMATCH(E8903, ""台銀籌備帳戶|玉山帳戶""), REGEXMATCH(C8903, ""薪資"")), ""分潤支出"",
  AND(REGEXMATCH(E8903, ""Ben帳戶|Elsa帳戶|Ben代墊|Ariel代墊|中信銀行共用""), REGEXMATCH(F8903, ""Ben帳戶|Elsa帳戶|Ben代墊|Ariel代墊|中信銀行共用"")), ""內部轉帳(忽略)"",
  AND(E8903&lt;&gt;"""", F8903&lt;&gt;"""", N"&amp;"OT(REGEXMATCH(C8903, ""薪資""))), ""內部轉帳(忽略)"",
  REGEXMATCH(C8903, ""薪資""), ""薪資變動(不計入)"",
  REGEXMATCH(C8903, ""押金""), ""押金往來"",
  AND(E8903&lt;&gt;"""", F8903=""""), ""真實支出"",
  AND(E8903="""", F8903&lt;&gt;""""), ""真實收入"",
  TRUE, ""其他""
)"),"其他")</f>
        <v>其他</v>
      </c>
      <c r="K8903" s="270" t="str">
        <f t="shared" si="2"/>
        <v/>
      </c>
      <c r="L8903">
        <f t="shared" si="3"/>
        <v>0</v>
      </c>
    </row>
    <row r="8904">
      <c r="A8904" s="107"/>
      <c r="D8904" s="270"/>
      <c r="H8904" s="106" t="str">
        <f t="shared" si="1"/>
        <v/>
      </c>
      <c r="J8904" t="str">
        <f>IFERROR(__xludf.DUMMYFUNCTION("IFS(
  AND(REGEXMATCH(E8904, ""台銀籌備帳戶|玉山帳戶""), REGEXMATCH(C8904, ""薪資"")), ""分潤支出"",
  AND(REGEXMATCH(E8904, ""Ben帳戶|Elsa帳戶|Ben代墊|Ariel代墊|中信銀行共用""), REGEXMATCH(F8904, ""Ben帳戶|Elsa帳戶|Ben代墊|Ariel代墊|中信銀行共用"")), ""內部轉帳(忽略)"",
  AND(E8904&lt;&gt;"""", F8904&lt;&gt;"""", N"&amp;"OT(REGEXMATCH(C8904, ""薪資""))), ""內部轉帳(忽略)"",
  REGEXMATCH(C8904, ""薪資""), ""薪資變動(不計入)"",
  REGEXMATCH(C8904, ""押金""), ""押金往來"",
  AND(E8904&lt;&gt;"""", F8904=""""), ""真實支出"",
  AND(E8904="""", F8904&lt;&gt;""""), ""真實收入"",
  TRUE, ""其他""
)"),"其他")</f>
        <v>其他</v>
      </c>
      <c r="K8904" s="270" t="str">
        <f t="shared" si="2"/>
        <v/>
      </c>
      <c r="L8904">
        <f t="shared" si="3"/>
        <v>0</v>
      </c>
    </row>
    <row r="8905">
      <c r="A8905" s="107"/>
      <c r="D8905" s="270"/>
      <c r="H8905" s="106" t="str">
        <f t="shared" si="1"/>
        <v/>
      </c>
      <c r="J8905" t="str">
        <f>IFERROR(__xludf.DUMMYFUNCTION("IFS(
  AND(REGEXMATCH(E8905, ""台銀籌備帳戶|玉山帳戶""), REGEXMATCH(C8905, ""薪資"")), ""分潤支出"",
  AND(REGEXMATCH(E8905, ""Ben帳戶|Elsa帳戶|Ben代墊|Ariel代墊|中信銀行共用""), REGEXMATCH(F8905, ""Ben帳戶|Elsa帳戶|Ben代墊|Ariel代墊|中信銀行共用"")), ""內部轉帳(忽略)"",
  AND(E8905&lt;&gt;"""", F8905&lt;&gt;"""", N"&amp;"OT(REGEXMATCH(C8905, ""薪資""))), ""內部轉帳(忽略)"",
  REGEXMATCH(C8905, ""薪資""), ""薪資變動(不計入)"",
  REGEXMATCH(C8905, ""押金""), ""押金往來"",
  AND(E8905&lt;&gt;"""", F8905=""""), ""真實支出"",
  AND(E8905="""", F8905&lt;&gt;""""), ""真實收入"",
  TRUE, ""其他""
)"),"其他")</f>
        <v>其他</v>
      </c>
      <c r="K8905" s="270" t="str">
        <f t="shared" si="2"/>
        <v/>
      </c>
      <c r="L8905">
        <f t="shared" si="3"/>
        <v>0</v>
      </c>
    </row>
    <row r="8906">
      <c r="A8906" s="107"/>
      <c r="D8906" s="270"/>
      <c r="H8906" s="106" t="str">
        <f t="shared" si="1"/>
        <v/>
      </c>
      <c r="J8906" t="str">
        <f>IFERROR(__xludf.DUMMYFUNCTION("IFS(
  AND(REGEXMATCH(E8906, ""台銀籌備帳戶|玉山帳戶""), REGEXMATCH(C8906, ""薪資"")), ""分潤支出"",
  AND(REGEXMATCH(E8906, ""Ben帳戶|Elsa帳戶|Ben代墊|Ariel代墊|中信銀行共用""), REGEXMATCH(F8906, ""Ben帳戶|Elsa帳戶|Ben代墊|Ariel代墊|中信銀行共用"")), ""內部轉帳(忽略)"",
  AND(E8906&lt;&gt;"""", F8906&lt;&gt;"""", N"&amp;"OT(REGEXMATCH(C8906, ""薪資""))), ""內部轉帳(忽略)"",
  REGEXMATCH(C8906, ""薪資""), ""薪資變動(不計入)"",
  REGEXMATCH(C8906, ""押金""), ""押金往來"",
  AND(E8906&lt;&gt;"""", F8906=""""), ""真實支出"",
  AND(E8906="""", F8906&lt;&gt;""""), ""真實收入"",
  TRUE, ""其他""
)"),"其他")</f>
        <v>其他</v>
      </c>
      <c r="K8906" s="270" t="str">
        <f t="shared" si="2"/>
        <v/>
      </c>
      <c r="L8906">
        <f t="shared" si="3"/>
        <v>0</v>
      </c>
    </row>
    <row r="8907">
      <c r="A8907" s="107"/>
      <c r="D8907" s="270"/>
      <c r="H8907" s="106" t="str">
        <f t="shared" si="1"/>
        <v/>
      </c>
      <c r="J8907" t="str">
        <f>IFERROR(__xludf.DUMMYFUNCTION("IFS(
  AND(REGEXMATCH(E8907, ""台銀籌備帳戶|玉山帳戶""), REGEXMATCH(C8907, ""薪資"")), ""分潤支出"",
  AND(REGEXMATCH(E8907, ""Ben帳戶|Elsa帳戶|Ben代墊|Ariel代墊|中信銀行共用""), REGEXMATCH(F8907, ""Ben帳戶|Elsa帳戶|Ben代墊|Ariel代墊|中信銀行共用"")), ""內部轉帳(忽略)"",
  AND(E8907&lt;&gt;"""", F8907&lt;&gt;"""", N"&amp;"OT(REGEXMATCH(C8907, ""薪資""))), ""內部轉帳(忽略)"",
  REGEXMATCH(C8907, ""薪資""), ""薪資變動(不計入)"",
  REGEXMATCH(C8907, ""押金""), ""押金往來"",
  AND(E8907&lt;&gt;"""", F8907=""""), ""真實支出"",
  AND(E8907="""", F8907&lt;&gt;""""), ""真實收入"",
  TRUE, ""其他""
)"),"其他")</f>
        <v>其他</v>
      </c>
      <c r="K8907" s="270" t="str">
        <f t="shared" si="2"/>
        <v/>
      </c>
      <c r="L8907">
        <f t="shared" si="3"/>
        <v>0</v>
      </c>
    </row>
    <row r="8908">
      <c r="A8908" s="107"/>
      <c r="D8908" s="270"/>
      <c r="H8908" s="106" t="str">
        <f t="shared" si="1"/>
        <v/>
      </c>
      <c r="J8908" t="str">
        <f>IFERROR(__xludf.DUMMYFUNCTION("IFS(
  AND(REGEXMATCH(E8908, ""台銀籌備帳戶|玉山帳戶""), REGEXMATCH(C8908, ""薪資"")), ""分潤支出"",
  AND(REGEXMATCH(E8908, ""Ben帳戶|Elsa帳戶|Ben代墊|Ariel代墊|中信銀行共用""), REGEXMATCH(F8908, ""Ben帳戶|Elsa帳戶|Ben代墊|Ariel代墊|中信銀行共用"")), ""內部轉帳(忽略)"",
  AND(E8908&lt;&gt;"""", F8908&lt;&gt;"""", N"&amp;"OT(REGEXMATCH(C8908, ""薪資""))), ""內部轉帳(忽略)"",
  REGEXMATCH(C8908, ""薪資""), ""薪資變動(不計入)"",
  REGEXMATCH(C8908, ""押金""), ""押金往來"",
  AND(E8908&lt;&gt;"""", F8908=""""), ""真實支出"",
  AND(E8908="""", F8908&lt;&gt;""""), ""真實收入"",
  TRUE, ""其他""
)"),"其他")</f>
        <v>其他</v>
      </c>
      <c r="K8908" s="270" t="str">
        <f t="shared" si="2"/>
        <v/>
      </c>
      <c r="L8908">
        <f t="shared" si="3"/>
        <v>0</v>
      </c>
    </row>
    <row r="8909">
      <c r="A8909" s="107"/>
      <c r="D8909" s="270"/>
      <c r="H8909" s="106" t="str">
        <f t="shared" si="1"/>
        <v/>
      </c>
      <c r="J8909" t="str">
        <f>IFERROR(__xludf.DUMMYFUNCTION("IFS(
  AND(REGEXMATCH(E8909, ""台銀籌備帳戶|玉山帳戶""), REGEXMATCH(C8909, ""薪資"")), ""分潤支出"",
  AND(REGEXMATCH(E8909, ""Ben帳戶|Elsa帳戶|Ben代墊|Ariel代墊|中信銀行共用""), REGEXMATCH(F8909, ""Ben帳戶|Elsa帳戶|Ben代墊|Ariel代墊|中信銀行共用"")), ""內部轉帳(忽略)"",
  AND(E8909&lt;&gt;"""", F8909&lt;&gt;"""", N"&amp;"OT(REGEXMATCH(C8909, ""薪資""))), ""內部轉帳(忽略)"",
  REGEXMATCH(C8909, ""薪資""), ""薪資變動(不計入)"",
  REGEXMATCH(C8909, ""押金""), ""押金往來"",
  AND(E8909&lt;&gt;"""", F8909=""""), ""真實支出"",
  AND(E8909="""", F8909&lt;&gt;""""), ""真實收入"",
  TRUE, ""其他""
)"),"其他")</f>
        <v>其他</v>
      </c>
      <c r="K8909" s="270" t="str">
        <f t="shared" si="2"/>
        <v/>
      </c>
      <c r="L8909">
        <f t="shared" si="3"/>
        <v>0</v>
      </c>
    </row>
    <row r="8910">
      <c r="A8910" s="107"/>
      <c r="D8910" s="270"/>
      <c r="H8910" s="106" t="str">
        <f t="shared" si="1"/>
        <v/>
      </c>
      <c r="J8910" t="str">
        <f>IFERROR(__xludf.DUMMYFUNCTION("IFS(
  AND(REGEXMATCH(E8910, ""台銀籌備帳戶|玉山帳戶""), REGEXMATCH(C8910, ""薪資"")), ""分潤支出"",
  AND(REGEXMATCH(E8910, ""Ben帳戶|Elsa帳戶|Ben代墊|Ariel代墊|中信銀行共用""), REGEXMATCH(F8910, ""Ben帳戶|Elsa帳戶|Ben代墊|Ariel代墊|中信銀行共用"")), ""內部轉帳(忽略)"",
  AND(E8910&lt;&gt;"""", F8910&lt;&gt;"""", N"&amp;"OT(REGEXMATCH(C8910, ""薪資""))), ""內部轉帳(忽略)"",
  REGEXMATCH(C8910, ""薪資""), ""薪資變動(不計入)"",
  REGEXMATCH(C8910, ""押金""), ""押金往來"",
  AND(E8910&lt;&gt;"""", F8910=""""), ""真實支出"",
  AND(E8910="""", F8910&lt;&gt;""""), ""真實收入"",
  TRUE, ""其他""
)"),"其他")</f>
        <v>其他</v>
      </c>
      <c r="K8910" s="270" t="str">
        <f t="shared" si="2"/>
        <v/>
      </c>
      <c r="L8910">
        <f t="shared" si="3"/>
        <v>0</v>
      </c>
    </row>
    <row r="8911">
      <c r="A8911" s="107"/>
      <c r="D8911" s="270"/>
      <c r="H8911" s="106" t="str">
        <f t="shared" si="1"/>
        <v/>
      </c>
      <c r="J8911" t="str">
        <f>IFERROR(__xludf.DUMMYFUNCTION("IFS(
  AND(REGEXMATCH(E8911, ""台銀籌備帳戶|玉山帳戶""), REGEXMATCH(C8911, ""薪資"")), ""分潤支出"",
  AND(REGEXMATCH(E8911, ""Ben帳戶|Elsa帳戶|Ben代墊|Ariel代墊|中信銀行共用""), REGEXMATCH(F8911, ""Ben帳戶|Elsa帳戶|Ben代墊|Ariel代墊|中信銀行共用"")), ""內部轉帳(忽略)"",
  AND(E8911&lt;&gt;"""", F8911&lt;&gt;"""", N"&amp;"OT(REGEXMATCH(C8911, ""薪資""))), ""內部轉帳(忽略)"",
  REGEXMATCH(C8911, ""薪資""), ""薪資變動(不計入)"",
  REGEXMATCH(C8911, ""押金""), ""押金往來"",
  AND(E8911&lt;&gt;"""", F8911=""""), ""真實支出"",
  AND(E8911="""", F8911&lt;&gt;""""), ""真實收入"",
  TRUE, ""其他""
)"),"其他")</f>
        <v>其他</v>
      </c>
      <c r="K8911" s="270" t="str">
        <f t="shared" si="2"/>
        <v/>
      </c>
      <c r="L8911">
        <f t="shared" si="3"/>
        <v>0</v>
      </c>
    </row>
    <row r="8912">
      <c r="A8912" s="107"/>
      <c r="D8912" s="270"/>
      <c r="H8912" s="106" t="str">
        <f t="shared" si="1"/>
        <v/>
      </c>
      <c r="J8912" t="str">
        <f>IFERROR(__xludf.DUMMYFUNCTION("IFS(
  AND(REGEXMATCH(E8912, ""台銀籌備帳戶|玉山帳戶""), REGEXMATCH(C8912, ""薪資"")), ""分潤支出"",
  AND(REGEXMATCH(E8912, ""Ben帳戶|Elsa帳戶|Ben代墊|Ariel代墊|中信銀行共用""), REGEXMATCH(F8912, ""Ben帳戶|Elsa帳戶|Ben代墊|Ariel代墊|中信銀行共用"")), ""內部轉帳(忽略)"",
  AND(E8912&lt;&gt;"""", F8912&lt;&gt;"""", N"&amp;"OT(REGEXMATCH(C8912, ""薪資""))), ""內部轉帳(忽略)"",
  REGEXMATCH(C8912, ""薪資""), ""薪資變動(不計入)"",
  REGEXMATCH(C8912, ""押金""), ""押金往來"",
  AND(E8912&lt;&gt;"""", F8912=""""), ""真實支出"",
  AND(E8912="""", F8912&lt;&gt;""""), ""真實收入"",
  TRUE, ""其他""
)"),"其他")</f>
        <v>其他</v>
      </c>
      <c r="K8912" s="270" t="str">
        <f t="shared" si="2"/>
        <v/>
      </c>
      <c r="L8912">
        <f t="shared" si="3"/>
        <v>0</v>
      </c>
    </row>
    <row r="8913">
      <c r="A8913" s="107"/>
      <c r="D8913" s="270"/>
      <c r="H8913" s="106" t="str">
        <f t="shared" si="1"/>
        <v/>
      </c>
      <c r="J8913" t="str">
        <f>IFERROR(__xludf.DUMMYFUNCTION("IFS(
  AND(REGEXMATCH(E8913, ""台銀籌備帳戶|玉山帳戶""), REGEXMATCH(C8913, ""薪資"")), ""分潤支出"",
  AND(REGEXMATCH(E8913, ""Ben帳戶|Elsa帳戶|Ben代墊|Ariel代墊|中信銀行共用""), REGEXMATCH(F8913, ""Ben帳戶|Elsa帳戶|Ben代墊|Ariel代墊|中信銀行共用"")), ""內部轉帳(忽略)"",
  AND(E8913&lt;&gt;"""", F8913&lt;&gt;"""", N"&amp;"OT(REGEXMATCH(C8913, ""薪資""))), ""內部轉帳(忽略)"",
  REGEXMATCH(C8913, ""薪資""), ""薪資變動(不計入)"",
  REGEXMATCH(C8913, ""押金""), ""押金往來"",
  AND(E8913&lt;&gt;"""", F8913=""""), ""真實支出"",
  AND(E8913="""", F8913&lt;&gt;""""), ""真實收入"",
  TRUE, ""其他""
)"),"其他")</f>
        <v>其他</v>
      </c>
      <c r="K8913" s="270" t="str">
        <f t="shared" si="2"/>
        <v/>
      </c>
      <c r="L8913">
        <f t="shared" si="3"/>
        <v>0</v>
      </c>
    </row>
    <row r="8914">
      <c r="A8914" s="107"/>
      <c r="D8914" s="270"/>
      <c r="H8914" s="106" t="str">
        <f t="shared" si="1"/>
        <v/>
      </c>
      <c r="J8914" t="str">
        <f>IFERROR(__xludf.DUMMYFUNCTION("IFS(
  AND(REGEXMATCH(E8914, ""台銀籌備帳戶|玉山帳戶""), REGEXMATCH(C8914, ""薪資"")), ""分潤支出"",
  AND(REGEXMATCH(E8914, ""Ben帳戶|Elsa帳戶|Ben代墊|Ariel代墊|中信銀行共用""), REGEXMATCH(F8914, ""Ben帳戶|Elsa帳戶|Ben代墊|Ariel代墊|中信銀行共用"")), ""內部轉帳(忽略)"",
  AND(E8914&lt;&gt;"""", F8914&lt;&gt;"""", N"&amp;"OT(REGEXMATCH(C8914, ""薪資""))), ""內部轉帳(忽略)"",
  REGEXMATCH(C8914, ""薪資""), ""薪資變動(不計入)"",
  REGEXMATCH(C8914, ""押金""), ""押金往來"",
  AND(E8914&lt;&gt;"""", F8914=""""), ""真實支出"",
  AND(E8914="""", F8914&lt;&gt;""""), ""真實收入"",
  TRUE, ""其他""
)"),"其他")</f>
        <v>其他</v>
      </c>
      <c r="K8914" s="270" t="str">
        <f t="shared" si="2"/>
        <v/>
      </c>
      <c r="L8914">
        <f t="shared" si="3"/>
        <v>0</v>
      </c>
    </row>
    <row r="8915">
      <c r="A8915" s="107"/>
      <c r="D8915" s="270"/>
      <c r="H8915" s="106" t="str">
        <f t="shared" si="1"/>
        <v/>
      </c>
      <c r="J8915" t="str">
        <f>IFERROR(__xludf.DUMMYFUNCTION("IFS(
  AND(REGEXMATCH(E8915, ""台銀籌備帳戶|玉山帳戶""), REGEXMATCH(C8915, ""薪資"")), ""分潤支出"",
  AND(REGEXMATCH(E8915, ""Ben帳戶|Elsa帳戶|Ben代墊|Ariel代墊|中信銀行共用""), REGEXMATCH(F8915, ""Ben帳戶|Elsa帳戶|Ben代墊|Ariel代墊|中信銀行共用"")), ""內部轉帳(忽略)"",
  AND(E8915&lt;&gt;"""", F8915&lt;&gt;"""", N"&amp;"OT(REGEXMATCH(C8915, ""薪資""))), ""內部轉帳(忽略)"",
  REGEXMATCH(C8915, ""薪資""), ""薪資變動(不計入)"",
  REGEXMATCH(C8915, ""押金""), ""押金往來"",
  AND(E8915&lt;&gt;"""", F8915=""""), ""真實支出"",
  AND(E8915="""", F8915&lt;&gt;""""), ""真實收入"",
  TRUE, ""其他""
)"),"其他")</f>
        <v>其他</v>
      </c>
      <c r="K8915" s="270" t="str">
        <f t="shared" si="2"/>
        <v/>
      </c>
      <c r="L8915">
        <f t="shared" si="3"/>
        <v>0</v>
      </c>
    </row>
    <row r="8916">
      <c r="A8916" s="107"/>
      <c r="D8916" s="270"/>
      <c r="H8916" s="106" t="str">
        <f t="shared" si="1"/>
        <v/>
      </c>
      <c r="J8916" t="str">
        <f>IFERROR(__xludf.DUMMYFUNCTION("IFS(
  AND(REGEXMATCH(E8916, ""台銀籌備帳戶|玉山帳戶""), REGEXMATCH(C8916, ""薪資"")), ""分潤支出"",
  AND(REGEXMATCH(E8916, ""Ben帳戶|Elsa帳戶|Ben代墊|Ariel代墊|中信銀行共用""), REGEXMATCH(F8916, ""Ben帳戶|Elsa帳戶|Ben代墊|Ariel代墊|中信銀行共用"")), ""內部轉帳(忽略)"",
  AND(E8916&lt;&gt;"""", F8916&lt;&gt;"""", N"&amp;"OT(REGEXMATCH(C8916, ""薪資""))), ""內部轉帳(忽略)"",
  REGEXMATCH(C8916, ""薪資""), ""薪資變動(不計入)"",
  REGEXMATCH(C8916, ""押金""), ""押金往來"",
  AND(E8916&lt;&gt;"""", F8916=""""), ""真實支出"",
  AND(E8916="""", F8916&lt;&gt;""""), ""真實收入"",
  TRUE, ""其他""
)"),"其他")</f>
        <v>其他</v>
      </c>
      <c r="K8916" s="270" t="str">
        <f t="shared" si="2"/>
        <v/>
      </c>
      <c r="L8916">
        <f t="shared" si="3"/>
        <v>0</v>
      </c>
    </row>
    <row r="8917">
      <c r="A8917" s="107"/>
      <c r="D8917" s="270"/>
      <c r="H8917" s="106" t="str">
        <f t="shared" si="1"/>
        <v/>
      </c>
      <c r="J8917" t="str">
        <f>IFERROR(__xludf.DUMMYFUNCTION("IFS(
  AND(REGEXMATCH(E8917, ""台銀籌備帳戶|玉山帳戶""), REGEXMATCH(C8917, ""薪資"")), ""分潤支出"",
  AND(REGEXMATCH(E8917, ""Ben帳戶|Elsa帳戶|Ben代墊|Ariel代墊|中信銀行共用""), REGEXMATCH(F8917, ""Ben帳戶|Elsa帳戶|Ben代墊|Ariel代墊|中信銀行共用"")), ""內部轉帳(忽略)"",
  AND(E8917&lt;&gt;"""", F8917&lt;&gt;"""", N"&amp;"OT(REGEXMATCH(C8917, ""薪資""))), ""內部轉帳(忽略)"",
  REGEXMATCH(C8917, ""薪資""), ""薪資變動(不計入)"",
  REGEXMATCH(C8917, ""押金""), ""押金往來"",
  AND(E8917&lt;&gt;"""", F8917=""""), ""真實支出"",
  AND(E8917="""", F8917&lt;&gt;""""), ""真實收入"",
  TRUE, ""其他""
)"),"其他")</f>
        <v>其他</v>
      </c>
      <c r="K8917" s="270" t="str">
        <f t="shared" si="2"/>
        <v/>
      </c>
      <c r="L8917">
        <f t="shared" si="3"/>
        <v>0</v>
      </c>
    </row>
    <row r="8918">
      <c r="A8918" s="107"/>
      <c r="D8918" s="270"/>
      <c r="H8918" s="106" t="str">
        <f t="shared" si="1"/>
        <v/>
      </c>
      <c r="J8918" t="str">
        <f>IFERROR(__xludf.DUMMYFUNCTION("IFS(
  AND(REGEXMATCH(E8918, ""台銀籌備帳戶|玉山帳戶""), REGEXMATCH(C8918, ""薪資"")), ""分潤支出"",
  AND(REGEXMATCH(E8918, ""Ben帳戶|Elsa帳戶|Ben代墊|Ariel代墊|中信銀行共用""), REGEXMATCH(F8918, ""Ben帳戶|Elsa帳戶|Ben代墊|Ariel代墊|中信銀行共用"")), ""內部轉帳(忽略)"",
  AND(E8918&lt;&gt;"""", F8918&lt;&gt;"""", N"&amp;"OT(REGEXMATCH(C8918, ""薪資""))), ""內部轉帳(忽略)"",
  REGEXMATCH(C8918, ""薪資""), ""薪資變動(不計入)"",
  REGEXMATCH(C8918, ""押金""), ""押金往來"",
  AND(E8918&lt;&gt;"""", F8918=""""), ""真實支出"",
  AND(E8918="""", F8918&lt;&gt;""""), ""真實收入"",
  TRUE, ""其他""
)"),"其他")</f>
        <v>其他</v>
      </c>
      <c r="K8918" s="270" t="str">
        <f t="shared" si="2"/>
        <v/>
      </c>
      <c r="L8918">
        <f t="shared" si="3"/>
        <v>0</v>
      </c>
    </row>
    <row r="8919">
      <c r="A8919" s="107"/>
      <c r="D8919" s="270"/>
      <c r="H8919" s="106" t="str">
        <f t="shared" si="1"/>
        <v/>
      </c>
      <c r="J8919" t="str">
        <f>IFERROR(__xludf.DUMMYFUNCTION("IFS(
  AND(REGEXMATCH(E8919, ""台銀籌備帳戶|玉山帳戶""), REGEXMATCH(C8919, ""薪資"")), ""分潤支出"",
  AND(REGEXMATCH(E8919, ""Ben帳戶|Elsa帳戶|Ben代墊|Ariel代墊|中信銀行共用""), REGEXMATCH(F8919, ""Ben帳戶|Elsa帳戶|Ben代墊|Ariel代墊|中信銀行共用"")), ""內部轉帳(忽略)"",
  AND(E8919&lt;&gt;"""", F8919&lt;&gt;"""", N"&amp;"OT(REGEXMATCH(C8919, ""薪資""))), ""內部轉帳(忽略)"",
  REGEXMATCH(C8919, ""薪資""), ""薪資變動(不計入)"",
  REGEXMATCH(C8919, ""押金""), ""押金往來"",
  AND(E8919&lt;&gt;"""", F8919=""""), ""真實支出"",
  AND(E8919="""", F8919&lt;&gt;""""), ""真實收入"",
  TRUE, ""其他""
)"),"其他")</f>
        <v>其他</v>
      </c>
      <c r="K8919" s="270" t="str">
        <f t="shared" si="2"/>
        <v/>
      </c>
      <c r="L8919">
        <f t="shared" si="3"/>
        <v>0</v>
      </c>
    </row>
    <row r="8920">
      <c r="A8920" s="107"/>
      <c r="D8920" s="270"/>
      <c r="H8920" s="106" t="str">
        <f t="shared" si="1"/>
        <v/>
      </c>
      <c r="J8920" t="str">
        <f>IFERROR(__xludf.DUMMYFUNCTION("IFS(
  AND(REGEXMATCH(E8920, ""台銀籌備帳戶|玉山帳戶""), REGEXMATCH(C8920, ""薪資"")), ""分潤支出"",
  AND(REGEXMATCH(E8920, ""Ben帳戶|Elsa帳戶|Ben代墊|Ariel代墊|中信銀行共用""), REGEXMATCH(F8920, ""Ben帳戶|Elsa帳戶|Ben代墊|Ariel代墊|中信銀行共用"")), ""內部轉帳(忽略)"",
  AND(E8920&lt;&gt;"""", F8920&lt;&gt;"""", N"&amp;"OT(REGEXMATCH(C8920, ""薪資""))), ""內部轉帳(忽略)"",
  REGEXMATCH(C8920, ""薪資""), ""薪資變動(不計入)"",
  REGEXMATCH(C8920, ""押金""), ""押金往來"",
  AND(E8920&lt;&gt;"""", F8920=""""), ""真實支出"",
  AND(E8920="""", F8920&lt;&gt;""""), ""真實收入"",
  TRUE, ""其他""
)"),"其他")</f>
        <v>其他</v>
      </c>
      <c r="K8920" s="270" t="str">
        <f t="shared" si="2"/>
        <v/>
      </c>
      <c r="L8920">
        <f t="shared" si="3"/>
        <v>0</v>
      </c>
    </row>
    <row r="8921">
      <c r="A8921" s="107"/>
      <c r="D8921" s="270"/>
      <c r="H8921" s="106" t="str">
        <f t="shared" si="1"/>
        <v/>
      </c>
      <c r="J8921" t="str">
        <f>IFERROR(__xludf.DUMMYFUNCTION("IFS(
  AND(REGEXMATCH(E8921, ""台銀籌備帳戶|玉山帳戶""), REGEXMATCH(C8921, ""薪資"")), ""分潤支出"",
  AND(REGEXMATCH(E8921, ""Ben帳戶|Elsa帳戶|Ben代墊|Ariel代墊|中信銀行共用""), REGEXMATCH(F8921, ""Ben帳戶|Elsa帳戶|Ben代墊|Ariel代墊|中信銀行共用"")), ""內部轉帳(忽略)"",
  AND(E8921&lt;&gt;"""", F8921&lt;&gt;"""", N"&amp;"OT(REGEXMATCH(C8921, ""薪資""))), ""內部轉帳(忽略)"",
  REGEXMATCH(C8921, ""薪資""), ""薪資變動(不計入)"",
  REGEXMATCH(C8921, ""押金""), ""押金往來"",
  AND(E8921&lt;&gt;"""", F8921=""""), ""真實支出"",
  AND(E8921="""", F8921&lt;&gt;""""), ""真實收入"",
  TRUE, ""其他""
)"),"其他")</f>
        <v>其他</v>
      </c>
      <c r="K8921" s="270" t="str">
        <f t="shared" si="2"/>
        <v/>
      </c>
      <c r="L8921">
        <f t="shared" si="3"/>
        <v>0</v>
      </c>
    </row>
    <row r="8922">
      <c r="A8922" s="107"/>
      <c r="D8922" s="270"/>
      <c r="H8922" s="106" t="str">
        <f t="shared" si="1"/>
        <v/>
      </c>
      <c r="J8922" t="str">
        <f>IFERROR(__xludf.DUMMYFUNCTION("IFS(
  AND(REGEXMATCH(E8922, ""台銀籌備帳戶|玉山帳戶""), REGEXMATCH(C8922, ""薪資"")), ""分潤支出"",
  AND(REGEXMATCH(E8922, ""Ben帳戶|Elsa帳戶|Ben代墊|Ariel代墊|中信銀行共用""), REGEXMATCH(F8922, ""Ben帳戶|Elsa帳戶|Ben代墊|Ariel代墊|中信銀行共用"")), ""內部轉帳(忽略)"",
  AND(E8922&lt;&gt;"""", F8922&lt;&gt;"""", N"&amp;"OT(REGEXMATCH(C8922, ""薪資""))), ""內部轉帳(忽略)"",
  REGEXMATCH(C8922, ""薪資""), ""薪資變動(不計入)"",
  REGEXMATCH(C8922, ""押金""), ""押金往來"",
  AND(E8922&lt;&gt;"""", F8922=""""), ""真實支出"",
  AND(E8922="""", F8922&lt;&gt;""""), ""真實收入"",
  TRUE, ""其他""
)"),"其他")</f>
        <v>其他</v>
      </c>
      <c r="K8922" s="270" t="str">
        <f t="shared" si="2"/>
        <v/>
      </c>
      <c r="L8922">
        <f t="shared" si="3"/>
        <v>0</v>
      </c>
    </row>
    <row r="8923">
      <c r="A8923" s="107"/>
      <c r="D8923" s="270"/>
      <c r="H8923" s="106" t="str">
        <f t="shared" si="1"/>
        <v/>
      </c>
      <c r="J8923" t="str">
        <f>IFERROR(__xludf.DUMMYFUNCTION("IFS(
  AND(REGEXMATCH(E8923, ""台銀籌備帳戶|玉山帳戶""), REGEXMATCH(C8923, ""薪資"")), ""分潤支出"",
  AND(REGEXMATCH(E8923, ""Ben帳戶|Elsa帳戶|Ben代墊|Ariel代墊|中信銀行共用""), REGEXMATCH(F8923, ""Ben帳戶|Elsa帳戶|Ben代墊|Ariel代墊|中信銀行共用"")), ""內部轉帳(忽略)"",
  AND(E8923&lt;&gt;"""", F8923&lt;&gt;"""", N"&amp;"OT(REGEXMATCH(C8923, ""薪資""))), ""內部轉帳(忽略)"",
  REGEXMATCH(C8923, ""薪資""), ""薪資變動(不計入)"",
  REGEXMATCH(C8923, ""押金""), ""押金往來"",
  AND(E8923&lt;&gt;"""", F8923=""""), ""真實支出"",
  AND(E8923="""", F8923&lt;&gt;""""), ""真實收入"",
  TRUE, ""其他""
)"),"其他")</f>
        <v>其他</v>
      </c>
      <c r="K8923" s="270" t="str">
        <f t="shared" si="2"/>
        <v/>
      </c>
      <c r="L8923">
        <f t="shared" si="3"/>
        <v>0</v>
      </c>
    </row>
    <row r="8924">
      <c r="A8924" s="107"/>
      <c r="D8924" s="270"/>
      <c r="H8924" s="106" t="str">
        <f t="shared" si="1"/>
        <v/>
      </c>
      <c r="J8924" t="str">
        <f>IFERROR(__xludf.DUMMYFUNCTION("IFS(
  AND(REGEXMATCH(E8924, ""台銀籌備帳戶|玉山帳戶""), REGEXMATCH(C8924, ""薪資"")), ""分潤支出"",
  AND(REGEXMATCH(E8924, ""Ben帳戶|Elsa帳戶|Ben代墊|Ariel代墊|中信銀行共用""), REGEXMATCH(F8924, ""Ben帳戶|Elsa帳戶|Ben代墊|Ariel代墊|中信銀行共用"")), ""內部轉帳(忽略)"",
  AND(E8924&lt;&gt;"""", F8924&lt;&gt;"""", N"&amp;"OT(REGEXMATCH(C8924, ""薪資""))), ""內部轉帳(忽略)"",
  REGEXMATCH(C8924, ""薪資""), ""薪資變動(不計入)"",
  REGEXMATCH(C8924, ""押金""), ""押金往來"",
  AND(E8924&lt;&gt;"""", F8924=""""), ""真實支出"",
  AND(E8924="""", F8924&lt;&gt;""""), ""真實收入"",
  TRUE, ""其他""
)"),"其他")</f>
        <v>其他</v>
      </c>
      <c r="K8924" s="270" t="str">
        <f t="shared" si="2"/>
        <v/>
      </c>
      <c r="L8924">
        <f t="shared" si="3"/>
        <v>0</v>
      </c>
    </row>
    <row r="8925">
      <c r="A8925" s="107"/>
      <c r="D8925" s="270"/>
      <c r="H8925" s="106" t="str">
        <f t="shared" si="1"/>
        <v/>
      </c>
      <c r="J8925" t="str">
        <f>IFERROR(__xludf.DUMMYFUNCTION("IFS(
  AND(REGEXMATCH(E8925, ""台銀籌備帳戶|玉山帳戶""), REGEXMATCH(C8925, ""薪資"")), ""分潤支出"",
  AND(REGEXMATCH(E8925, ""Ben帳戶|Elsa帳戶|Ben代墊|Ariel代墊|中信銀行共用""), REGEXMATCH(F8925, ""Ben帳戶|Elsa帳戶|Ben代墊|Ariel代墊|中信銀行共用"")), ""內部轉帳(忽略)"",
  AND(E8925&lt;&gt;"""", F8925&lt;&gt;"""", N"&amp;"OT(REGEXMATCH(C8925, ""薪資""))), ""內部轉帳(忽略)"",
  REGEXMATCH(C8925, ""薪資""), ""薪資變動(不計入)"",
  REGEXMATCH(C8925, ""押金""), ""押金往來"",
  AND(E8925&lt;&gt;"""", F8925=""""), ""真實支出"",
  AND(E8925="""", F8925&lt;&gt;""""), ""真實收入"",
  TRUE, ""其他""
)"),"其他")</f>
        <v>其他</v>
      </c>
      <c r="K8925" s="270" t="str">
        <f t="shared" si="2"/>
        <v/>
      </c>
      <c r="L8925">
        <f t="shared" si="3"/>
        <v>0</v>
      </c>
    </row>
    <row r="8926">
      <c r="A8926" s="107"/>
      <c r="D8926" s="270"/>
      <c r="H8926" s="106" t="str">
        <f t="shared" si="1"/>
        <v/>
      </c>
      <c r="J8926" t="str">
        <f>IFERROR(__xludf.DUMMYFUNCTION("IFS(
  AND(REGEXMATCH(E8926, ""台銀籌備帳戶|玉山帳戶""), REGEXMATCH(C8926, ""薪資"")), ""分潤支出"",
  AND(REGEXMATCH(E8926, ""Ben帳戶|Elsa帳戶|Ben代墊|Ariel代墊|中信銀行共用""), REGEXMATCH(F8926, ""Ben帳戶|Elsa帳戶|Ben代墊|Ariel代墊|中信銀行共用"")), ""內部轉帳(忽略)"",
  AND(E8926&lt;&gt;"""", F8926&lt;&gt;"""", N"&amp;"OT(REGEXMATCH(C8926, ""薪資""))), ""內部轉帳(忽略)"",
  REGEXMATCH(C8926, ""薪資""), ""薪資變動(不計入)"",
  REGEXMATCH(C8926, ""押金""), ""押金往來"",
  AND(E8926&lt;&gt;"""", F8926=""""), ""真實支出"",
  AND(E8926="""", F8926&lt;&gt;""""), ""真實收入"",
  TRUE, ""其他""
)"),"其他")</f>
        <v>其他</v>
      </c>
      <c r="K8926" s="270" t="str">
        <f t="shared" si="2"/>
        <v/>
      </c>
      <c r="L8926">
        <f t="shared" si="3"/>
        <v>0</v>
      </c>
    </row>
    <row r="8927">
      <c r="A8927" s="107"/>
      <c r="D8927" s="270"/>
      <c r="H8927" s="106" t="str">
        <f t="shared" si="1"/>
        <v/>
      </c>
      <c r="J8927" t="str">
        <f>IFERROR(__xludf.DUMMYFUNCTION("IFS(
  AND(REGEXMATCH(E8927, ""台銀籌備帳戶|玉山帳戶""), REGEXMATCH(C8927, ""薪資"")), ""分潤支出"",
  AND(REGEXMATCH(E8927, ""Ben帳戶|Elsa帳戶|Ben代墊|Ariel代墊|中信銀行共用""), REGEXMATCH(F8927, ""Ben帳戶|Elsa帳戶|Ben代墊|Ariel代墊|中信銀行共用"")), ""內部轉帳(忽略)"",
  AND(E8927&lt;&gt;"""", F8927&lt;&gt;"""", N"&amp;"OT(REGEXMATCH(C8927, ""薪資""))), ""內部轉帳(忽略)"",
  REGEXMATCH(C8927, ""薪資""), ""薪資變動(不計入)"",
  REGEXMATCH(C8927, ""押金""), ""押金往來"",
  AND(E8927&lt;&gt;"""", F8927=""""), ""真實支出"",
  AND(E8927="""", F8927&lt;&gt;""""), ""真實收入"",
  TRUE, ""其他""
)"),"其他")</f>
        <v>其他</v>
      </c>
      <c r="K8927" s="270" t="str">
        <f t="shared" si="2"/>
        <v/>
      </c>
      <c r="L8927">
        <f t="shared" si="3"/>
        <v>0</v>
      </c>
    </row>
    <row r="8928">
      <c r="A8928" s="107"/>
      <c r="D8928" s="270"/>
      <c r="H8928" s="106" t="str">
        <f t="shared" si="1"/>
        <v/>
      </c>
      <c r="J8928" t="str">
        <f>IFERROR(__xludf.DUMMYFUNCTION("IFS(
  AND(REGEXMATCH(E8928, ""台銀籌備帳戶|玉山帳戶""), REGEXMATCH(C8928, ""薪資"")), ""分潤支出"",
  AND(REGEXMATCH(E8928, ""Ben帳戶|Elsa帳戶|Ben代墊|Ariel代墊|中信銀行共用""), REGEXMATCH(F8928, ""Ben帳戶|Elsa帳戶|Ben代墊|Ariel代墊|中信銀行共用"")), ""內部轉帳(忽略)"",
  AND(E8928&lt;&gt;"""", F8928&lt;&gt;"""", N"&amp;"OT(REGEXMATCH(C8928, ""薪資""))), ""內部轉帳(忽略)"",
  REGEXMATCH(C8928, ""薪資""), ""薪資變動(不計入)"",
  REGEXMATCH(C8928, ""押金""), ""押金往來"",
  AND(E8928&lt;&gt;"""", F8928=""""), ""真實支出"",
  AND(E8928="""", F8928&lt;&gt;""""), ""真實收入"",
  TRUE, ""其他""
)"),"其他")</f>
        <v>其他</v>
      </c>
      <c r="K8928" s="270" t="str">
        <f t="shared" si="2"/>
        <v/>
      </c>
      <c r="L8928">
        <f t="shared" si="3"/>
        <v>0</v>
      </c>
    </row>
    <row r="8929">
      <c r="A8929" s="107"/>
      <c r="D8929" s="270"/>
      <c r="H8929" s="106" t="str">
        <f t="shared" si="1"/>
        <v/>
      </c>
      <c r="J8929" t="str">
        <f>IFERROR(__xludf.DUMMYFUNCTION("IFS(
  AND(REGEXMATCH(E8929, ""台銀籌備帳戶|玉山帳戶""), REGEXMATCH(C8929, ""薪資"")), ""分潤支出"",
  AND(REGEXMATCH(E8929, ""Ben帳戶|Elsa帳戶|Ben代墊|Ariel代墊|中信銀行共用""), REGEXMATCH(F8929, ""Ben帳戶|Elsa帳戶|Ben代墊|Ariel代墊|中信銀行共用"")), ""內部轉帳(忽略)"",
  AND(E8929&lt;&gt;"""", F8929&lt;&gt;"""", N"&amp;"OT(REGEXMATCH(C8929, ""薪資""))), ""內部轉帳(忽略)"",
  REGEXMATCH(C8929, ""薪資""), ""薪資變動(不計入)"",
  REGEXMATCH(C8929, ""押金""), ""押金往來"",
  AND(E8929&lt;&gt;"""", F8929=""""), ""真實支出"",
  AND(E8929="""", F8929&lt;&gt;""""), ""真實收入"",
  TRUE, ""其他""
)"),"其他")</f>
        <v>其他</v>
      </c>
      <c r="K8929" s="270" t="str">
        <f t="shared" si="2"/>
        <v/>
      </c>
      <c r="L8929">
        <f t="shared" si="3"/>
        <v>0</v>
      </c>
    </row>
    <row r="8930">
      <c r="A8930" s="107"/>
      <c r="D8930" s="270"/>
      <c r="H8930" s="106" t="str">
        <f t="shared" si="1"/>
        <v/>
      </c>
      <c r="J8930" t="str">
        <f>IFERROR(__xludf.DUMMYFUNCTION("IFS(
  AND(REGEXMATCH(E8930, ""台銀籌備帳戶|玉山帳戶""), REGEXMATCH(C8930, ""薪資"")), ""分潤支出"",
  AND(REGEXMATCH(E8930, ""Ben帳戶|Elsa帳戶|Ben代墊|Ariel代墊|中信銀行共用""), REGEXMATCH(F8930, ""Ben帳戶|Elsa帳戶|Ben代墊|Ariel代墊|中信銀行共用"")), ""內部轉帳(忽略)"",
  AND(E8930&lt;&gt;"""", F8930&lt;&gt;"""", N"&amp;"OT(REGEXMATCH(C8930, ""薪資""))), ""內部轉帳(忽略)"",
  REGEXMATCH(C8930, ""薪資""), ""薪資變動(不計入)"",
  REGEXMATCH(C8930, ""押金""), ""押金往來"",
  AND(E8930&lt;&gt;"""", F8930=""""), ""真實支出"",
  AND(E8930="""", F8930&lt;&gt;""""), ""真實收入"",
  TRUE, ""其他""
)"),"其他")</f>
        <v>其他</v>
      </c>
      <c r="K8930" s="270" t="str">
        <f t="shared" si="2"/>
        <v/>
      </c>
      <c r="L8930">
        <f t="shared" si="3"/>
        <v>0</v>
      </c>
    </row>
    <row r="8931">
      <c r="A8931" s="107"/>
      <c r="D8931" s="270"/>
      <c r="H8931" s="106" t="str">
        <f t="shared" si="1"/>
        <v/>
      </c>
      <c r="J8931" t="str">
        <f>IFERROR(__xludf.DUMMYFUNCTION("IFS(
  AND(REGEXMATCH(E8931, ""台銀籌備帳戶|玉山帳戶""), REGEXMATCH(C8931, ""薪資"")), ""分潤支出"",
  AND(REGEXMATCH(E8931, ""Ben帳戶|Elsa帳戶|Ben代墊|Ariel代墊|中信銀行共用""), REGEXMATCH(F8931, ""Ben帳戶|Elsa帳戶|Ben代墊|Ariel代墊|中信銀行共用"")), ""內部轉帳(忽略)"",
  AND(E8931&lt;&gt;"""", F8931&lt;&gt;"""", N"&amp;"OT(REGEXMATCH(C8931, ""薪資""))), ""內部轉帳(忽略)"",
  REGEXMATCH(C8931, ""薪資""), ""薪資變動(不計入)"",
  REGEXMATCH(C8931, ""押金""), ""押金往來"",
  AND(E8931&lt;&gt;"""", F8931=""""), ""真實支出"",
  AND(E8931="""", F8931&lt;&gt;""""), ""真實收入"",
  TRUE, ""其他""
)"),"其他")</f>
        <v>其他</v>
      </c>
      <c r="K8931" s="270" t="str">
        <f t="shared" si="2"/>
        <v/>
      </c>
      <c r="L8931">
        <f t="shared" si="3"/>
        <v>0</v>
      </c>
    </row>
    <row r="8932">
      <c r="A8932" s="107"/>
      <c r="D8932" s="270"/>
      <c r="H8932" s="106" t="str">
        <f t="shared" si="1"/>
        <v/>
      </c>
      <c r="J8932" t="str">
        <f>IFERROR(__xludf.DUMMYFUNCTION("IFS(
  AND(REGEXMATCH(E8932, ""台銀籌備帳戶|玉山帳戶""), REGEXMATCH(C8932, ""薪資"")), ""分潤支出"",
  AND(REGEXMATCH(E8932, ""Ben帳戶|Elsa帳戶|Ben代墊|Ariel代墊|中信銀行共用""), REGEXMATCH(F8932, ""Ben帳戶|Elsa帳戶|Ben代墊|Ariel代墊|中信銀行共用"")), ""內部轉帳(忽略)"",
  AND(E8932&lt;&gt;"""", F8932&lt;&gt;"""", N"&amp;"OT(REGEXMATCH(C8932, ""薪資""))), ""內部轉帳(忽略)"",
  REGEXMATCH(C8932, ""薪資""), ""薪資變動(不計入)"",
  REGEXMATCH(C8932, ""押金""), ""押金往來"",
  AND(E8932&lt;&gt;"""", F8932=""""), ""真實支出"",
  AND(E8932="""", F8932&lt;&gt;""""), ""真實收入"",
  TRUE, ""其他""
)"),"其他")</f>
        <v>其他</v>
      </c>
      <c r="K8932" s="270" t="str">
        <f t="shared" si="2"/>
        <v/>
      </c>
      <c r="L8932">
        <f t="shared" si="3"/>
        <v>0</v>
      </c>
    </row>
    <row r="8933">
      <c r="A8933" s="107"/>
      <c r="D8933" s="270"/>
      <c r="H8933" s="106" t="str">
        <f t="shared" si="1"/>
        <v/>
      </c>
      <c r="J8933" t="str">
        <f>IFERROR(__xludf.DUMMYFUNCTION("IFS(
  AND(REGEXMATCH(E8933, ""台銀籌備帳戶|玉山帳戶""), REGEXMATCH(C8933, ""薪資"")), ""分潤支出"",
  AND(REGEXMATCH(E8933, ""Ben帳戶|Elsa帳戶|Ben代墊|Ariel代墊|中信銀行共用""), REGEXMATCH(F8933, ""Ben帳戶|Elsa帳戶|Ben代墊|Ariel代墊|中信銀行共用"")), ""內部轉帳(忽略)"",
  AND(E8933&lt;&gt;"""", F8933&lt;&gt;"""", N"&amp;"OT(REGEXMATCH(C8933, ""薪資""))), ""內部轉帳(忽略)"",
  REGEXMATCH(C8933, ""薪資""), ""薪資變動(不計入)"",
  REGEXMATCH(C8933, ""押金""), ""押金往來"",
  AND(E8933&lt;&gt;"""", F8933=""""), ""真實支出"",
  AND(E8933="""", F8933&lt;&gt;""""), ""真實收入"",
  TRUE, ""其他""
)"),"其他")</f>
        <v>其他</v>
      </c>
      <c r="K8933" s="270" t="str">
        <f t="shared" si="2"/>
        <v/>
      </c>
      <c r="L8933">
        <f t="shared" si="3"/>
        <v>0</v>
      </c>
    </row>
    <row r="8934">
      <c r="A8934" s="107"/>
      <c r="D8934" s="270"/>
      <c r="H8934" s="106" t="str">
        <f t="shared" si="1"/>
        <v/>
      </c>
      <c r="J8934" t="str">
        <f>IFERROR(__xludf.DUMMYFUNCTION("IFS(
  AND(REGEXMATCH(E8934, ""台銀籌備帳戶|玉山帳戶""), REGEXMATCH(C8934, ""薪資"")), ""分潤支出"",
  AND(REGEXMATCH(E8934, ""Ben帳戶|Elsa帳戶|Ben代墊|Ariel代墊|中信銀行共用""), REGEXMATCH(F8934, ""Ben帳戶|Elsa帳戶|Ben代墊|Ariel代墊|中信銀行共用"")), ""內部轉帳(忽略)"",
  AND(E8934&lt;&gt;"""", F8934&lt;&gt;"""", N"&amp;"OT(REGEXMATCH(C8934, ""薪資""))), ""內部轉帳(忽略)"",
  REGEXMATCH(C8934, ""薪資""), ""薪資變動(不計入)"",
  REGEXMATCH(C8934, ""押金""), ""押金往來"",
  AND(E8934&lt;&gt;"""", F8934=""""), ""真實支出"",
  AND(E8934="""", F8934&lt;&gt;""""), ""真實收入"",
  TRUE, ""其他""
)"),"其他")</f>
        <v>其他</v>
      </c>
      <c r="K8934" s="270" t="str">
        <f t="shared" si="2"/>
        <v/>
      </c>
      <c r="L8934">
        <f t="shared" si="3"/>
        <v>0</v>
      </c>
    </row>
    <row r="8935">
      <c r="A8935" s="107"/>
      <c r="D8935" s="270"/>
      <c r="H8935" s="106" t="str">
        <f t="shared" si="1"/>
        <v/>
      </c>
      <c r="J8935" t="str">
        <f>IFERROR(__xludf.DUMMYFUNCTION("IFS(
  AND(REGEXMATCH(E8935, ""台銀籌備帳戶|玉山帳戶""), REGEXMATCH(C8935, ""薪資"")), ""分潤支出"",
  AND(REGEXMATCH(E8935, ""Ben帳戶|Elsa帳戶|Ben代墊|Ariel代墊|中信銀行共用""), REGEXMATCH(F8935, ""Ben帳戶|Elsa帳戶|Ben代墊|Ariel代墊|中信銀行共用"")), ""內部轉帳(忽略)"",
  AND(E8935&lt;&gt;"""", F8935&lt;&gt;"""", N"&amp;"OT(REGEXMATCH(C8935, ""薪資""))), ""內部轉帳(忽略)"",
  REGEXMATCH(C8935, ""薪資""), ""薪資變動(不計入)"",
  REGEXMATCH(C8935, ""押金""), ""押金往來"",
  AND(E8935&lt;&gt;"""", F8935=""""), ""真實支出"",
  AND(E8935="""", F8935&lt;&gt;""""), ""真實收入"",
  TRUE, ""其他""
)"),"其他")</f>
        <v>其他</v>
      </c>
      <c r="K8935" s="270" t="str">
        <f t="shared" si="2"/>
        <v/>
      </c>
      <c r="L8935">
        <f t="shared" si="3"/>
        <v>0</v>
      </c>
    </row>
    <row r="8936">
      <c r="A8936" s="107"/>
      <c r="D8936" s="270"/>
      <c r="H8936" s="106" t="str">
        <f t="shared" si="1"/>
        <v/>
      </c>
      <c r="J8936" t="str">
        <f>IFERROR(__xludf.DUMMYFUNCTION("IFS(
  AND(REGEXMATCH(E8936, ""台銀籌備帳戶|玉山帳戶""), REGEXMATCH(C8936, ""薪資"")), ""分潤支出"",
  AND(REGEXMATCH(E8936, ""Ben帳戶|Elsa帳戶|Ben代墊|Ariel代墊|中信銀行共用""), REGEXMATCH(F8936, ""Ben帳戶|Elsa帳戶|Ben代墊|Ariel代墊|中信銀行共用"")), ""內部轉帳(忽略)"",
  AND(E8936&lt;&gt;"""", F8936&lt;&gt;"""", N"&amp;"OT(REGEXMATCH(C8936, ""薪資""))), ""內部轉帳(忽略)"",
  REGEXMATCH(C8936, ""薪資""), ""薪資變動(不計入)"",
  REGEXMATCH(C8936, ""押金""), ""押金往來"",
  AND(E8936&lt;&gt;"""", F8936=""""), ""真實支出"",
  AND(E8936="""", F8936&lt;&gt;""""), ""真實收入"",
  TRUE, ""其他""
)"),"其他")</f>
        <v>其他</v>
      </c>
      <c r="K8936" s="270" t="str">
        <f t="shared" si="2"/>
        <v/>
      </c>
      <c r="L8936">
        <f t="shared" si="3"/>
        <v>0</v>
      </c>
    </row>
    <row r="8937">
      <c r="A8937" s="107"/>
      <c r="D8937" s="270"/>
      <c r="H8937" s="106" t="str">
        <f t="shared" si="1"/>
        <v/>
      </c>
      <c r="J8937" t="str">
        <f>IFERROR(__xludf.DUMMYFUNCTION("IFS(
  AND(REGEXMATCH(E8937, ""台銀籌備帳戶|玉山帳戶""), REGEXMATCH(C8937, ""薪資"")), ""分潤支出"",
  AND(REGEXMATCH(E8937, ""Ben帳戶|Elsa帳戶|Ben代墊|Ariel代墊|中信銀行共用""), REGEXMATCH(F8937, ""Ben帳戶|Elsa帳戶|Ben代墊|Ariel代墊|中信銀行共用"")), ""內部轉帳(忽略)"",
  AND(E8937&lt;&gt;"""", F8937&lt;&gt;"""", N"&amp;"OT(REGEXMATCH(C8937, ""薪資""))), ""內部轉帳(忽略)"",
  REGEXMATCH(C8937, ""薪資""), ""薪資變動(不計入)"",
  REGEXMATCH(C8937, ""押金""), ""押金往來"",
  AND(E8937&lt;&gt;"""", F8937=""""), ""真實支出"",
  AND(E8937="""", F8937&lt;&gt;""""), ""真實收入"",
  TRUE, ""其他""
)"),"其他")</f>
        <v>其他</v>
      </c>
      <c r="K8937" s="270" t="str">
        <f t="shared" si="2"/>
        <v/>
      </c>
      <c r="L8937">
        <f t="shared" si="3"/>
        <v>0</v>
      </c>
    </row>
    <row r="8938">
      <c r="A8938" s="107"/>
      <c r="D8938" s="270"/>
      <c r="H8938" s="106" t="str">
        <f t="shared" si="1"/>
        <v/>
      </c>
      <c r="J8938" t="str">
        <f>IFERROR(__xludf.DUMMYFUNCTION("IFS(
  AND(REGEXMATCH(E8938, ""台銀籌備帳戶|玉山帳戶""), REGEXMATCH(C8938, ""薪資"")), ""分潤支出"",
  AND(REGEXMATCH(E8938, ""Ben帳戶|Elsa帳戶|Ben代墊|Ariel代墊|中信銀行共用""), REGEXMATCH(F8938, ""Ben帳戶|Elsa帳戶|Ben代墊|Ariel代墊|中信銀行共用"")), ""內部轉帳(忽略)"",
  AND(E8938&lt;&gt;"""", F8938&lt;&gt;"""", N"&amp;"OT(REGEXMATCH(C8938, ""薪資""))), ""內部轉帳(忽略)"",
  REGEXMATCH(C8938, ""薪資""), ""薪資變動(不計入)"",
  REGEXMATCH(C8938, ""押金""), ""押金往來"",
  AND(E8938&lt;&gt;"""", F8938=""""), ""真實支出"",
  AND(E8938="""", F8938&lt;&gt;""""), ""真實收入"",
  TRUE, ""其他""
)"),"其他")</f>
        <v>其他</v>
      </c>
      <c r="K8938" s="270" t="str">
        <f t="shared" si="2"/>
        <v/>
      </c>
      <c r="L8938">
        <f t="shared" si="3"/>
        <v>0</v>
      </c>
    </row>
    <row r="8939">
      <c r="A8939" s="107"/>
      <c r="D8939" s="270"/>
      <c r="H8939" s="106" t="str">
        <f t="shared" si="1"/>
        <v/>
      </c>
      <c r="J8939" t="str">
        <f>IFERROR(__xludf.DUMMYFUNCTION("IFS(
  AND(REGEXMATCH(E8939, ""台銀籌備帳戶|玉山帳戶""), REGEXMATCH(C8939, ""薪資"")), ""分潤支出"",
  AND(REGEXMATCH(E8939, ""Ben帳戶|Elsa帳戶|Ben代墊|Ariel代墊|中信銀行共用""), REGEXMATCH(F8939, ""Ben帳戶|Elsa帳戶|Ben代墊|Ariel代墊|中信銀行共用"")), ""內部轉帳(忽略)"",
  AND(E8939&lt;&gt;"""", F8939&lt;&gt;"""", N"&amp;"OT(REGEXMATCH(C8939, ""薪資""))), ""內部轉帳(忽略)"",
  REGEXMATCH(C8939, ""薪資""), ""薪資變動(不計入)"",
  REGEXMATCH(C8939, ""押金""), ""押金往來"",
  AND(E8939&lt;&gt;"""", F8939=""""), ""真實支出"",
  AND(E8939="""", F8939&lt;&gt;""""), ""真實收入"",
  TRUE, ""其他""
)"),"其他")</f>
        <v>其他</v>
      </c>
      <c r="K8939" s="270" t="str">
        <f t="shared" si="2"/>
        <v/>
      </c>
      <c r="L8939">
        <f t="shared" si="3"/>
        <v>0</v>
      </c>
    </row>
    <row r="8940">
      <c r="A8940" s="107"/>
      <c r="D8940" s="270"/>
      <c r="H8940" s="106" t="str">
        <f t="shared" si="1"/>
        <v/>
      </c>
      <c r="J8940" t="str">
        <f>IFERROR(__xludf.DUMMYFUNCTION("IFS(
  AND(REGEXMATCH(E8940, ""台銀籌備帳戶|玉山帳戶""), REGEXMATCH(C8940, ""薪資"")), ""分潤支出"",
  AND(REGEXMATCH(E8940, ""Ben帳戶|Elsa帳戶|Ben代墊|Ariel代墊|中信銀行共用""), REGEXMATCH(F8940, ""Ben帳戶|Elsa帳戶|Ben代墊|Ariel代墊|中信銀行共用"")), ""內部轉帳(忽略)"",
  AND(E8940&lt;&gt;"""", F8940&lt;&gt;"""", N"&amp;"OT(REGEXMATCH(C8940, ""薪資""))), ""內部轉帳(忽略)"",
  REGEXMATCH(C8940, ""薪資""), ""薪資變動(不計入)"",
  REGEXMATCH(C8940, ""押金""), ""押金往來"",
  AND(E8940&lt;&gt;"""", F8940=""""), ""真實支出"",
  AND(E8940="""", F8940&lt;&gt;""""), ""真實收入"",
  TRUE, ""其他""
)"),"其他")</f>
        <v>其他</v>
      </c>
      <c r="K8940" s="270" t="str">
        <f t="shared" si="2"/>
        <v/>
      </c>
      <c r="L8940">
        <f t="shared" si="3"/>
        <v>0</v>
      </c>
    </row>
    <row r="8941">
      <c r="A8941" s="107"/>
      <c r="D8941" s="270"/>
      <c r="H8941" s="106" t="str">
        <f t="shared" si="1"/>
        <v/>
      </c>
      <c r="J8941" t="str">
        <f>IFERROR(__xludf.DUMMYFUNCTION("IFS(
  AND(REGEXMATCH(E8941, ""台銀籌備帳戶|玉山帳戶""), REGEXMATCH(C8941, ""薪資"")), ""分潤支出"",
  AND(REGEXMATCH(E8941, ""Ben帳戶|Elsa帳戶|Ben代墊|Ariel代墊|中信銀行共用""), REGEXMATCH(F8941, ""Ben帳戶|Elsa帳戶|Ben代墊|Ariel代墊|中信銀行共用"")), ""內部轉帳(忽略)"",
  AND(E8941&lt;&gt;"""", F8941&lt;&gt;"""", N"&amp;"OT(REGEXMATCH(C8941, ""薪資""))), ""內部轉帳(忽略)"",
  REGEXMATCH(C8941, ""薪資""), ""薪資變動(不計入)"",
  REGEXMATCH(C8941, ""押金""), ""押金往來"",
  AND(E8941&lt;&gt;"""", F8941=""""), ""真實支出"",
  AND(E8941="""", F8941&lt;&gt;""""), ""真實收入"",
  TRUE, ""其他""
)"),"其他")</f>
        <v>其他</v>
      </c>
      <c r="K8941" s="270" t="str">
        <f t="shared" si="2"/>
        <v/>
      </c>
      <c r="L8941">
        <f t="shared" si="3"/>
        <v>0</v>
      </c>
    </row>
    <row r="8942">
      <c r="A8942" s="107"/>
      <c r="D8942" s="270"/>
      <c r="H8942" s="106" t="str">
        <f t="shared" si="1"/>
        <v/>
      </c>
      <c r="J8942" t="str">
        <f>IFERROR(__xludf.DUMMYFUNCTION("IFS(
  AND(REGEXMATCH(E8942, ""台銀籌備帳戶|玉山帳戶""), REGEXMATCH(C8942, ""薪資"")), ""分潤支出"",
  AND(REGEXMATCH(E8942, ""Ben帳戶|Elsa帳戶|Ben代墊|Ariel代墊|中信銀行共用""), REGEXMATCH(F8942, ""Ben帳戶|Elsa帳戶|Ben代墊|Ariel代墊|中信銀行共用"")), ""內部轉帳(忽略)"",
  AND(E8942&lt;&gt;"""", F8942&lt;&gt;"""", N"&amp;"OT(REGEXMATCH(C8942, ""薪資""))), ""內部轉帳(忽略)"",
  REGEXMATCH(C8942, ""薪資""), ""薪資變動(不計入)"",
  REGEXMATCH(C8942, ""押金""), ""押金往來"",
  AND(E8942&lt;&gt;"""", F8942=""""), ""真實支出"",
  AND(E8942="""", F8942&lt;&gt;""""), ""真實收入"",
  TRUE, ""其他""
)"),"其他")</f>
        <v>其他</v>
      </c>
      <c r="K8942" s="270" t="str">
        <f t="shared" si="2"/>
        <v/>
      </c>
      <c r="L8942">
        <f t="shared" si="3"/>
        <v>0</v>
      </c>
    </row>
    <row r="8943">
      <c r="A8943" s="107"/>
      <c r="D8943" s="270"/>
      <c r="H8943" s="106" t="str">
        <f t="shared" si="1"/>
        <v/>
      </c>
      <c r="J8943" t="str">
        <f>IFERROR(__xludf.DUMMYFUNCTION("IFS(
  AND(REGEXMATCH(E8943, ""台銀籌備帳戶|玉山帳戶""), REGEXMATCH(C8943, ""薪資"")), ""分潤支出"",
  AND(REGEXMATCH(E8943, ""Ben帳戶|Elsa帳戶|Ben代墊|Ariel代墊|中信銀行共用""), REGEXMATCH(F8943, ""Ben帳戶|Elsa帳戶|Ben代墊|Ariel代墊|中信銀行共用"")), ""內部轉帳(忽略)"",
  AND(E8943&lt;&gt;"""", F8943&lt;&gt;"""", N"&amp;"OT(REGEXMATCH(C8943, ""薪資""))), ""內部轉帳(忽略)"",
  REGEXMATCH(C8943, ""薪資""), ""薪資變動(不計入)"",
  REGEXMATCH(C8943, ""押金""), ""押金往來"",
  AND(E8943&lt;&gt;"""", F8943=""""), ""真實支出"",
  AND(E8943="""", F8943&lt;&gt;""""), ""真實收入"",
  TRUE, ""其他""
)"),"其他")</f>
        <v>其他</v>
      </c>
      <c r="K8943" s="270" t="str">
        <f t="shared" si="2"/>
        <v/>
      </c>
      <c r="L8943">
        <f t="shared" si="3"/>
        <v>0</v>
      </c>
    </row>
    <row r="8944">
      <c r="A8944" s="107"/>
      <c r="D8944" s="270"/>
      <c r="H8944" s="106" t="str">
        <f t="shared" si="1"/>
        <v/>
      </c>
      <c r="J8944" t="str">
        <f>IFERROR(__xludf.DUMMYFUNCTION("IFS(
  AND(REGEXMATCH(E8944, ""台銀籌備帳戶|玉山帳戶""), REGEXMATCH(C8944, ""薪資"")), ""分潤支出"",
  AND(REGEXMATCH(E8944, ""Ben帳戶|Elsa帳戶|Ben代墊|Ariel代墊|中信銀行共用""), REGEXMATCH(F8944, ""Ben帳戶|Elsa帳戶|Ben代墊|Ariel代墊|中信銀行共用"")), ""內部轉帳(忽略)"",
  AND(E8944&lt;&gt;"""", F8944&lt;&gt;"""", N"&amp;"OT(REGEXMATCH(C8944, ""薪資""))), ""內部轉帳(忽略)"",
  REGEXMATCH(C8944, ""薪資""), ""薪資變動(不計入)"",
  REGEXMATCH(C8944, ""押金""), ""押金往來"",
  AND(E8944&lt;&gt;"""", F8944=""""), ""真實支出"",
  AND(E8944="""", F8944&lt;&gt;""""), ""真實收入"",
  TRUE, ""其他""
)"),"其他")</f>
        <v>其他</v>
      </c>
      <c r="K8944" s="270" t="str">
        <f t="shared" si="2"/>
        <v/>
      </c>
      <c r="L8944">
        <f t="shared" si="3"/>
        <v>0</v>
      </c>
    </row>
    <row r="8945">
      <c r="A8945" s="107"/>
      <c r="D8945" s="270"/>
      <c r="H8945" s="106" t="str">
        <f t="shared" si="1"/>
        <v/>
      </c>
      <c r="J8945" t="str">
        <f>IFERROR(__xludf.DUMMYFUNCTION("IFS(
  AND(REGEXMATCH(E8945, ""台銀籌備帳戶|玉山帳戶""), REGEXMATCH(C8945, ""薪資"")), ""分潤支出"",
  AND(REGEXMATCH(E8945, ""Ben帳戶|Elsa帳戶|Ben代墊|Ariel代墊|中信銀行共用""), REGEXMATCH(F8945, ""Ben帳戶|Elsa帳戶|Ben代墊|Ariel代墊|中信銀行共用"")), ""內部轉帳(忽略)"",
  AND(E8945&lt;&gt;"""", F8945&lt;&gt;"""", N"&amp;"OT(REGEXMATCH(C8945, ""薪資""))), ""內部轉帳(忽略)"",
  REGEXMATCH(C8945, ""薪資""), ""薪資變動(不計入)"",
  REGEXMATCH(C8945, ""押金""), ""押金往來"",
  AND(E8945&lt;&gt;"""", F8945=""""), ""真實支出"",
  AND(E8945="""", F8945&lt;&gt;""""), ""真實收入"",
  TRUE, ""其他""
)"),"其他")</f>
        <v>其他</v>
      </c>
      <c r="K8945" s="270" t="str">
        <f t="shared" si="2"/>
        <v/>
      </c>
      <c r="L8945">
        <f t="shared" si="3"/>
        <v>0</v>
      </c>
    </row>
    <row r="8946">
      <c r="A8946" s="107"/>
      <c r="D8946" s="270"/>
      <c r="H8946" s="106" t="str">
        <f t="shared" si="1"/>
        <v/>
      </c>
      <c r="J8946" t="str">
        <f>IFERROR(__xludf.DUMMYFUNCTION("IFS(
  AND(REGEXMATCH(E8946, ""台銀籌備帳戶|玉山帳戶""), REGEXMATCH(C8946, ""薪資"")), ""分潤支出"",
  AND(REGEXMATCH(E8946, ""Ben帳戶|Elsa帳戶|Ben代墊|Ariel代墊|中信銀行共用""), REGEXMATCH(F8946, ""Ben帳戶|Elsa帳戶|Ben代墊|Ariel代墊|中信銀行共用"")), ""內部轉帳(忽略)"",
  AND(E8946&lt;&gt;"""", F8946&lt;&gt;"""", N"&amp;"OT(REGEXMATCH(C8946, ""薪資""))), ""內部轉帳(忽略)"",
  REGEXMATCH(C8946, ""薪資""), ""薪資變動(不計入)"",
  REGEXMATCH(C8946, ""押金""), ""押金往來"",
  AND(E8946&lt;&gt;"""", F8946=""""), ""真實支出"",
  AND(E8946="""", F8946&lt;&gt;""""), ""真實收入"",
  TRUE, ""其他""
)"),"其他")</f>
        <v>其他</v>
      </c>
      <c r="K8946" s="270" t="str">
        <f t="shared" si="2"/>
        <v/>
      </c>
      <c r="L8946">
        <f t="shared" si="3"/>
        <v>0</v>
      </c>
    </row>
    <row r="8947">
      <c r="A8947" s="107"/>
      <c r="D8947" s="270"/>
      <c r="H8947" s="106" t="str">
        <f t="shared" si="1"/>
        <v/>
      </c>
      <c r="J8947" t="str">
        <f>IFERROR(__xludf.DUMMYFUNCTION("IFS(
  AND(REGEXMATCH(E8947, ""台銀籌備帳戶|玉山帳戶""), REGEXMATCH(C8947, ""薪資"")), ""分潤支出"",
  AND(REGEXMATCH(E8947, ""Ben帳戶|Elsa帳戶|Ben代墊|Ariel代墊|中信銀行共用""), REGEXMATCH(F8947, ""Ben帳戶|Elsa帳戶|Ben代墊|Ariel代墊|中信銀行共用"")), ""內部轉帳(忽略)"",
  AND(E8947&lt;&gt;"""", F8947&lt;&gt;"""", N"&amp;"OT(REGEXMATCH(C8947, ""薪資""))), ""內部轉帳(忽略)"",
  REGEXMATCH(C8947, ""薪資""), ""薪資變動(不計入)"",
  REGEXMATCH(C8947, ""押金""), ""押金往來"",
  AND(E8947&lt;&gt;"""", F8947=""""), ""真實支出"",
  AND(E8947="""", F8947&lt;&gt;""""), ""真實收入"",
  TRUE, ""其他""
)"),"其他")</f>
        <v>其他</v>
      </c>
      <c r="K8947" s="270" t="str">
        <f t="shared" si="2"/>
        <v/>
      </c>
      <c r="L8947">
        <f t="shared" si="3"/>
        <v>0</v>
      </c>
    </row>
    <row r="8948">
      <c r="A8948" s="107"/>
      <c r="D8948" s="270"/>
      <c r="H8948" s="106" t="str">
        <f t="shared" si="1"/>
        <v/>
      </c>
      <c r="J8948" t="str">
        <f>IFERROR(__xludf.DUMMYFUNCTION("IFS(
  AND(REGEXMATCH(E8948, ""台銀籌備帳戶|玉山帳戶""), REGEXMATCH(C8948, ""薪資"")), ""分潤支出"",
  AND(REGEXMATCH(E8948, ""Ben帳戶|Elsa帳戶|Ben代墊|Ariel代墊|中信銀行共用""), REGEXMATCH(F8948, ""Ben帳戶|Elsa帳戶|Ben代墊|Ariel代墊|中信銀行共用"")), ""內部轉帳(忽略)"",
  AND(E8948&lt;&gt;"""", F8948&lt;&gt;"""", N"&amp;"OT(REGEXMATCH(C8948, ""薪資""))), ""內部轉帳(忽略)"",
  REGEXMATCH(C8948, ""薪資""), ""薪資變動(不計入)"",
  REGEXMATCH(C8948, ""押金""), ""押金往來"",
  AND(E8948&lt;&gt;"""", F8948=""""), ""真實支出"",
  AND(E8948="""", F8948&lt;&gt;""""), ""真實收入"",
  TRUE, ""其他""
)"),"其他")</f>
        <v>其他</v>
      </c>
      <c r="K8948" s="270" t="str">
        <f t="shared" si="2"/>
        <v/>
      </c>
      <c r="L8948">
        <f t="shared" si="3"/>
        <v>0</v>
      </c>
    </row>
    <row r="8949">
      <c r="A8949" s="107"/>
      <c r="D8949" s="270"/>
      <c r="H8949" s="106" t="str">
        <f t="shared" si="1"/>
        <v/>
      </c>
      <c r="J8949" t="str">
        <f>IFERROR(__xludf.DUMMYFUNCTION("IFS(
  AND(REGEXMATCH(E8949, ""台銀籌備帳戶|玉山帳戶""), REGEXMATCH(C8949, ""薪資"")), ""分潤支出"",
  AND(REGEXMATCH(E8949, ""Ben帳戶|Elsa帳戶|Ben代墊|Ariel代墊|中信銀行共用""), REGEXMATCH(F8949, ""Ben帳戶|Elsa帳戶|Ben代墊|Ariel代墊|中信銀行共用"")), ""內部轉帳(忽略)"",
  AND(E8949&lt;&gt;"""", F8949&lt;&gt;"""", N"&amp;"OT(REGEXMATCH(C8949, ""薪資""))), ""內部轉帳(忽略)"",
  REGEXMATCH(C8949, ""薪資""), ""薪資變動(不計入)"",
  REGEXMATCH(C8949, ""押金""), ""押金往來"",
  AND(E8949&lt;&gt;"""", F8949=""""), ""真實支出"",
  AND(E8949="""", F8949&lt;&gt;""""), ""真實收入"",
  TRUE, ""其他""
)"),"其他")</f>
        <v>其他</v>
      </c>
      <c r="K8949" s="270" t="str">
        <f t="shared" si="2"/>
        <v/>
      </c>
      <c r="L8949">
        <f t="shared" si="3"/>
        <v>0</v>
      </c>
    </row>
    <row r="8950">
      <c r="A8950" s="107"/>
      <c r="D8950" s="270"/>
      <c r="H8950" s="106" t="str">
        <f t="shared" si="1"/>
        <v/>
      </c>
      <c r="J8950" t="str">
        <f>IFERROR(__xludf.DUMMYFUNCTION("IFS(
  AND(REGEXMATCH(E8950, ""台銀籌備帳戶|玉山帳戶""), REGEXMATCH(C8950, ""薪資"")), ""分潤支出"",
  AND(REGEXMATCH(E8950, ""Ben帳戶|Elsa帳戶|Ben代墊|Ariel代墊|中信銀行共用""), REGEXMATCH(F8950, ""Ben帳戶|Elsa帳戶|Ben代墊|Ariel代墊|中信銀行共用"")), ""內部轉帳(忽略)"",
  AND(E8950&lt;&gt;"""", F8950&lt;&gt;"""", N"&amp;"OT(REGEXMATCH(C8950, ""薪資""))), ""內部轉帳(忽略)"",
  REGEXMATCH(C8950, ""薪資""), ""薪資變動(不計入)"",
  REGEXMATCH(C8950, ""押金""), ""押金往來"",
  AND(E8950&lt;&gt;"""", F8950=""""), ""真實支出"",
  AND(E8950="""", F8950&lt;&gt;""""), ""真實收入"",
  TRUE, ""其他""
)"),"其他")</f>
        <v>其他</v>
      </c>
      <c r="K8950" s="270" t="str">
        <f t="shared" si="2"/>
        <v/>
      </c>
      <c r="L8950">
        <f t="shared" si="3"/>
        <v>0</v>
      </c>
    </row>
    <row r="8951">
      <c r="A8951" s="107"/>
      <c r="D8951" s="270"/>
      <c r="H8951" s="106" t="str">
        <f t="shared" si="1"/>
        <v/>
      </c>
      <c r="J8951" t="str">
        <f>IFERROR(__xludf.DUMMYFUNCTION("IFS(
  AND(REGEXMATCH(E8951, ""台銀籌備帳戶|玉山帳戶""), REGEXMATCH(C8951, ""薪資"")), ""分潤支出"",
  AND(REGEXMATCH(E8951, ""Ben帳戶|Elsa帳戶|Ben代墊|Ariel代墊|中信銀行共用""), REGEXMATCH(F8951, ""Ben帳戶|Elsa帳戶|Ben代墊|Ariel代墊|中信銀行共用"")), ""內部轉帳(忽略)"",
  AND(E8951&lt;&gt;"""", F8951&lt;&gt;"""", N"&amp;"OT(REGEXMATCH(C8951, ""薪資""))), ""內部轉帳(忽略)"",
  REGEXMATCH(C8951, ""薪資""), ""薪資變動(不計入)"",
  REGEXMATCH(C8951, ""押金""), ""押金往來"",
  AND(E8951&lt;&gt;"""", F8951=""""), ""真實支出"",
  AND(E8951="""", F8951&lt;&gt;""""), ""真實收入"",
  TRUE, ""其他""
)"),"其他")</f>
        <v>其他</v>
      </c>
      <c r="K8951" s="270" t="str">
        <f t="shared" si="2"/>
        <v/>
      </c>
      <c r="L8951">
        <f t="shared" si="3"/>
        <v>0</v>
      </c>
    </row>
    <row r="8952">
      <c r="A8952" s="107"/>
      <c r="D8952" s="270"/>
      <c r="H8952" s="106" t="str">
        <f t="shared" si="1"/>
        <v/>
      </c>
      <c r="J8952" t="str">
        <f>IFERROR(__xludf.DUMMYFUNCTION("IFS(
  AND(REGEXMATCH(E8952, ""台銀籌備帳戶|玉山帳戶""), REGEXMATCH(C8952, ""薪資"")), ""分潤支出"",
  AND(REGEXMATCH(E8952, ""Ben帳戶|Elsa帳戶|Ben代墊|Ariel代墊|中信銀行共用""), REGEXMATCH(F8952, ""Ben帳戶|Elsa帳戶|Ben代墊|Ariel代墊|中信銀行共用"")), ""內部轉帳(忽略)"",
  AND(E8952&lt;&gt;"""", F8952&lt;&gt;"""", N"&amp;"OT(REGEXMATCH(C8952, ""薪資""))), ""內部轉帳(忽略)"",
  REGEXMATCH(C8952, ""薪資""), ""薪資變動(不計入)"",
  REGEXMATCH(C8952, ""押金""), ""押金往來"",
  AND(E8952&lt;&gt;"""", F8952=""""), ""真實支出"",
  AND(E8952="""", F8952&lt;&gt;""""), ""真實收入"",
  TRUE, ""其他""
)"),"其他")</f>
        <v>其他</v>
      </c>
      <c r="K8952" s="270" t="str">
        <f t="shared" si="2"/>
        <v/>
      </c>
      <c r="L8952">
        <f t="shared" si="3"/>
        <v>0</v>
      </c>
    </row>
    <row r="8953">
      <c r="A8953" s="107"/>
      <c r="D8953" s="270"/>
      <c r="H8953" s="106" t="str">
        <f t="shared" si="1"/>
        <v/>
      </c>
      <c r="J8953" t="str">
        <f>IFERROR(__xludf.DUMMYFUNCTION("IFS(
  AND(REGEXMATCH(E8953, ""台銀籌備帳戶|玉山帳戶""), REGEXMATCH(C8953, ""薪資"")), ""分潤支出"",
  AND(REGEXMATCH(E8953, ""Ben帳戶|Elsa帳戶|Ben代墊|Ariel代墊|中信銀行共用""), REGEXMATCH(F8953, ""Ben帳戶|Elsa帳戶|Ben代墊|Ariel代墊|中信銀行共用"")), ""內部轉帳(忽略)"",
  AND(E8953&lt;&gt;"""", F8953&lt;&gt;"""", N"&amp;"OT(REGEXMATCH(C8953, ""薪資""))), ""內部轉帳(忽略)"",
  REGEXMATCH(C8953, ""薪資""), ""薪資變動(不計入)"",
  REGEXMATCH(C8953, ""押金""), ""押金往來"",
  AND(E8953&lt;&gt;"""", F8953=""""), ""真實支出"",
  AND(E8953="""", F8953&lt;&gt;""""), ""真實收入"",
  TRUE, ""其他""
)"),"其他")</f>
        <v>其他</v>
      </c>
      <c r="K8953" s="270" t="str">
        <f t="shared" si="2"/>
        <v/>
      </c>
      <c r="L8953">
        <f t="shared" si="3"/>
        <v>0</v>
      </c>
    </row>
    <row r="8954">
      <c r="A8954" s="107"/>
      <c r="D8954" s="270"/>
      <c r="H8954" s="106" t="str">
        <f t="shared" si="1"/>
        <v/>
      </c>
      <c r="J8954" t="str">
        <f>IFERROR(__xludf.DUMMYFUNCTION("IFS(
  AND(REGEXMATCH(E8954, ""台銀籌備帳戶|玉山帳戶""), REGEXMATCH(C8954, ""薪資"")), ""分潤支出"",
  AND(REGEXMATCH(E8954, ""Ben帳戶|Elsa帳戶|Ben代墊|Ariel代墊|中信銀行共用""), REGEXMATCH(F8954, ""Ben帳戶|Elsa帳戶|Ben代墊|Ariel代墊|中信銀行共用"")), ""內部轉帳(忽略)"",
  AND(E8954&lt;&gt;"""", F8954&lt;&gt;"""", N"&amp;"OT(REGEXMATCH(C8954, ""薪資""))), ""內部轉帳(忽略)"",
  REGEXMATCH(C8954, ""薪資""), ""薪資變動(不計入)"",
  REGEXMATCH(C8954, ""押金""), ""押金往來"",
  AND(E8954&lt;&gt;"""", F8954=""""), ""真實支出"",
  AND(E8954="""", F8954&lt;&gt;""""), ""真實收入"",
  TRUE, ""其他""
)"),"其他")</f>
        <v>其他</v>
      </c>
      <c r="K8954" s="270" t="str">
        <f t="shared" si="2"/>
        <v/>
      </c>
      <c r="L8954">
        <f t="shared" si="3"/>
        <v>0</v>
      </c>
    </row>
    <row r="8955">
      <c r="A8955" s="107"/>
      <c r="D8955" s="270"/>
      <c r="H8955" s="106" t="str">
        <f t="shared" si="1"/>
        <v/>
      </c>
      <c r="J8955" t="str">
        <f>IFERROR(__xludf.DUMMYFUNCTION("IFS(
  AND(REGEXMATCH(E8955, ""台銀籌備帳戶|玉山帳戶""), REGEXMATCH(C8955, ""薪資"")), ""分潤支出"",
  AND(REGEXMATCH(E8955, ""Ben帳戶|Elsa帳戶|Ben代墊|Ariel代墊|中信銀行共用""), REGEXMATCH(F8955, ""Ben帳戶|Elsa帳戶|Ben代墊|Ariel代墊|中信銀行共用"")), ""內部轉帳(忽略)"",
  AND(E8955&lt;&gt;"""", F8955&lt;&gt;"""", N"&amp;"OT(REGEXMATCH(C8955, ""薪資""))), ""內部轉帳(忽略)"",
  REGEXMATCH(C8955, ""薪資""), ""薪資變動(不計入)"",
  REGEXMATCH(C8955, ""押金""), ""押金往來"",
  AND(E8955&lt;&gt;"""", F8955=""""), ""真實支出"",
  AND(E8955="""", F8955&lt;&gt;""""), ""真實收入"",
  TRUE, ""其他""
)"),"其他")</f>
        <v>其他</v>
      </c>
      <c r="K8955" s="270" t="str">
        <f t="shared" si="2"/>
        <v/>
      </c>
      <c r="L8955">
        <f t="shared" si="3"/>
        <v>0</v>
      </c>
    </row>
    <row r="8956">
      <c r="A8956" s="107"/>
      <c r="D8956" s="270"/>
      <c r="H8956" s="106" t="str">
        <f t="shared" si="1"/>
        <v/>
      </c>
      <c r="J8956" t="str">
        <f>IFERROR(__xludf.DUMMYFUNCTION("IFS(
  AND(REGEXMATCH(E8956, ""台銀籌備帳戶|玉山帳戶""), REGEXMATCH(C8956, ""薪資"")), ""分潤支出"",
  AND(REGEXMATCH(E8956, ""Ben帳戶|Elsa帳戶|Ben代墊|Ariel代墊|中信銀行共用""), REGEXMATCH(F8956, ""Ben帳戶|Elsa帳戶|Ben代墊|Ariel代墊|中信銀行共用"")), ""內部轉帳(忽略)"",
  AND(E8956&lt;&gt;"""", F8956&lt;&gt;"""", N"&amp;"OT(REGEXMATCH(C8956, ""薪資""))), ""內部轉帳(忽略)"",
  REGEXMATCH(C8956, ""薪資""), ""薪資變動(不計入)"",
  REGEXMATCH(C8956, ""押金""), ""押金往來"",
  AND(E8956&lt;&gt;"""", F8956=""""), ""真實支出"",
  AND(E8956="""", F8956&lt;&gt;""""), ""真實收入"",
  TRUE, ""其他""
)"),"其他")</f>
        <v>其他</v>
      </c>
      <c r="K8956" s="270" t="str">
        <f t="shared" si="2"/>
        <v/>
      </c>
      <c r="L8956">
        <f t="shared" si="3"/>
        <v>0</v>
      </c>
    </row>
    <row r="8957">
      <c r="A8957" s="107"/>
      <c r="D8957" s="270"/>
      <c r="H8957" s="106" t="str">
        <f t="shared" si="1"/>
        <v/>
      </c>
      <c r="J8957" t="str">
        <f>IFERROR(__xludf.DUMMYFUNCTION("IFS(
  AND(REGEXMATCH(E8957, ""台銀籌備帳戶|玉山帳戶""), REGEXMATCH(C8957, ""薪資"")), ""分潤支出"",
  AND(REGEXMATCH(E8957, ""Ben帳戶|Elsa帳戶|Ben代墊|Ariel代墊|中信銀行共用""), REGEXMATCH(F8957, ""Ben帳戶|Elsa帳戶|Ben代墊|Ariel代墊|中信銀行共用"")), ""內部轉帳(忽略)"",
  AND(E8957&lt;&gt;"""", F8957&lt;&gt;"""", N"&amp;"OT(REGEXMATCH(C8957, ""薪資""))), ""內部轉帳(忽略)"",
  REGEXMATCH(C8957, ""薪資""), ""薪資變動(不計入)"",
  REGEXMATCH(C8957, ""押金""), ""押金往來"",
  AND(E8957&lt;&gt;"""", F8957=""""), ""真實支出"",
  AND(E8957="""", F8957&lt;&gt;""""), ""真實收入"",
  TRUE, ""其他""
)"),"其他")</f>
        <v>其他</v>
      </c>
      <c r="K8957" s="270" t="str">
        <f t="shared" si="2"/>
        <v/>
      </c>
      <c r="L8957">
        <f t="shared" si="3"/>
        <v>0</v>
      </c>
    </row>
    <row r="8958">
      <c r="A8958" s="107"/>
      <c r="D8958" s="270"/>
      <c r="H8958" s="106" t="str">
        <f t="shared" si="1"/>
        <v/>
      </c>
      <c r="J8958" t="str">
        <f>IFERROR(__xludf.DUMMYFUNCTION("IFS(
  AND(REGEXMATCH(E8958, ""台銀籌備帳戶|玉山帳戶""), REGEXMATCH(C8958, ""薪資"")), ""分潤支出"",
  AND(REGEXMATCH(E8958, ""Ben帳戶|Elsa帳戶|Ben代墊|Ariel代墊|中信銀行共用""), REGEXMATCH(F8958, ""Ben帳戶|Elsa帳戶|Ben代墊|Ariel代墊|中信銀行共用"")), ""內部轉帳(忽略)"",
  AND(E8958&lt;&gt;"""", F8958&lt;&gt;"""", N"&amp;"OT(REGEXMATCH(C8958, ""薪資""))), ""內部轉帳(忽略)"",
  REGEXMATCH(C8958, ""薪資""), ""薪資變動(不計入)"",
  REGEXMATCH(C8958, ""押金""), ""押金往來"",
  AND(E8958&lt;&gt;"""", F8958=""""), ""真實支出"",
  AND(E8958="""", F8958&lt;&gt;""""), ""真實收入"",
  TRUE, ""其他""
)"),"其他")</f>
        <v>其他</v>
      </c>
      <c r="K8958" s="270" t="str">
        <f t="shared" si="2"/>
        <v/>
      </c>
      <c r="L8958">
        <f t="shared" si="3"/>
        <v>0</v>
      </c>
    </row>
    <row r="8959">
      <c r="A8959" s="107"/>
      <c r="D8959" s="270"/>
      <c r="H8959" s="106" t="str">
        <f t="shared" si="1"/>
        <v/>
      </c>
      <c r="J8959" t="str">
        <f>IFERROR(__xludf.DUMMYFUNCTION("IFS(
  AND(REGEXMATCH(E8959, ""台銀籌備帳戶|玉山帳戶""), REGEXMATCH(C8959, ""薪資"")), ""分潤支出"",
  AND(REGEXMATCH(E8959, ""Ben帳戶|Elsa帳戶|Ben代墊|Ariel代墊|中信銀行共用""), REGEXMATCH(F8959, ""Ben帳戶|Elsa帳戶|Ben代墊|Ariel代墊|中信銀行共用"")), ""內部轉帳(忽略)"",
  AND(E8959&lt;&gt;"""", F8959&lt;&gt;"""", N"&amp;"OT(REGEXMATCH(C8959, ""薪資""))), ""內部轉帳(忽略)"",
  REGEXMATCH(C8959, ""薪資""), ""薪資變動(不計入)"",
  REGEXMATCH(C8959, ""押金""), ""押金往來"",
  AND(E8959&lt;&gt;"""", F8959=""""), ""真實支出"",
  AND(E8959="""", F8959&lt;&gt;""""), ""真實收入"",
  TRUE, ""其他""
)"),"其他")</f>
        <v>其他</v>
      </c>
      <c r="K8959" s="270" t="str">
        <f t="shared" si="2"/>
        <v/>
      </c>
      <c r="L8959">
        <f t="shared" si="3"/>
        <v>0</v>
      </c>
    </row>
    <row r="8960">
      <c r="A8960" s="107"/>
      <c r="D8960" s="270"/>
      <c r="H8960" s="106" t="str">
        <f t="shared" si="1"/>
        <v/>
      </c>
      <c r="J8960" t="str">
        <f>IFERROR(__xludf.DUMMYFUNCTION("IFS(
  AND(REGEXMATCH(E8960, ""台銀籌備帳戶|玉山帳戶""), REGEXMATCH(C8960, ""薪資"")), ""分潤支出"",
  AND(REGEXMATCH(E8960, ""Ben帳戶|Elsa帳戶|Ben代墊|Ariel代墊|中信銀行共用""), REGEXMATCH(F8960, ""Ben帳戶|Elsa帳戶|Ben代墊|Ariel代墊|中信銀行共用"")), ""內部轉帳(忽略)"",
  AND(E8960&lt;&gt;"""", F8960&lt;&gt;"""", N"&amp;"OT(REGEXMATCH(C8960, ""薪資""))), ""內部轉帳(忽略)"",
  REGEXMATCH(C8960, ""薪資""), ""薪資變動(不計入)"",
  REGEXMATCH(C8960, ""押金""), ""押金往來"",
  AND(E8960&lt;&gt;"""", F8960=""""), ""真實支出"",
  AND(E8960="""", F8960&lt;&gt;""""), ""真實收入"",
  TRUE, ""其他""
)"),"其他")</f>
        <v>其他</v>
      </c>
      <c r="K8960" s="270" t="str">
        <f t="shared" si="2"/>
        <v/>
      </c>
      <c r="L8960">
        <f t="shared" si="3"/>
        <v>0</v>
      </c>
    </row>
    <row r="8961">
      <c r="A8961" s="107"/>
      <c r="D8961" s="270"/>
      <c r="H8961" s="106" t="str">
        <f t="shared" si="1"/>
        <v/>
      </c>
      <c r="J8961" t="str">
        <f>IFERROR(__xludf.DUMMYFUNCTION("IFS(
  AND(REGEXMATCH(E8961, ""台銀籌備帳戶|玉山帳戶""), REGEXMATCH(C8961, ""薪資"")), ""分潤支出"",
  AND(REGEXMATCH(E8961, ""Ben帳戶|Elsa帳戶|Ben代墊|Ariel代墊|中信銀行共用""), REGEXMATCH(F8961, ""Ben帳戶|Elsa帳戶|Ben代墊|Ariel代墊|中信銀行共用"")), ""內部轉帳(忽略)"",
  AND(E8961&lt;&gt;"""", F8961&lt;&gt;"""", N"&amp;"OT(REGEXMATCH(C8961, ""薪資""))), ""內部轉帳(忽略)"",
  REGEXMATCH(C8961, ""薪資""), ""薪資變動(不計入)"",
  REGEXMATCH(C8961, ""押金""), ""押金往來"",
  AND(E8961&lt;&gt;"""", F8961=""""), ""真實支出"",
  AND(E8961="""", F8961&lt;&gt;""""), ""真實收入"",
  TRUE, ""其他""
)"),"其他")</f>
        <v>其他</v>
      </c>
      <c r="K8961" s="270" t="str">
        <f t="shared" si="2"/>
        <v/>
      </c>
      <c r="L8961">
        <f t="shared" si="3"/>
        <v>0</v>
      </c>
    </row>
    <row r="8962">
      <c r="A8962" s="107"/>
      <c r="D8962" s="270"/>
      <c r="H8962" s="106" t="str">
        <f t="shared" si="1"/>
        <v/>
      </c>
      <c r="J8962" t="str">
        <f>IFERROR(__xludf.DUMMYFUNCTION("IFS(
  AND(REGEXMATCH(E8962, ""台銀籌備帳戶|玉山帳戶""), REGEXMATCH(C8962, ""薪資"")), ""分潤支出"",
  AND(REGEXMATCH(E8962, ""Ben帳戶|Elsa帳戶|Ben代墊|Ariel代墊|中信銀行共用""), REGEXMATCH(F8962, ""Ben帳戶|Elsa帳戶|Ben代墊|Ariel代墊|中信銀行共用"")), ""內部轉帳(忽略)"",
  AND(E8962&lt;&gt;"""", F8962&lt;&gt;"""", N"&amp;"OT(REGEXMATCH(C8962, ""薪資""))), ""內部轉帳(忽略)"",
  REGEXMATCH(C8962, ""薪資""), ""薪資變動(不計入)"",
  REGEXMATCH(C8962, ""押金""), ""押金往來"",
  AND(E8962&lt;&gt;"""", F8962=""""), ""真實支出"",
  AND(E8962="""", F8962&lt;&gt;""""), ""真實收入"",
  TRUE, ""其他""
)"),"其他")</f>
        <v>其他</v>
      </c>
      <c r="K8962" s="270" t="str">
        <f t="shared" si="2"/>
        <v/>
      </c>
      <c r="L8962">
        <f t="shared" si="3"/>
        <v>0</v>
      </c>
    </row>
    <row r="8963">
      <c r="A8963" s="107"/>
      <c r="D8963" s="270"/>
      <c r="H8963" s="106" t="str">
        <f t="shared" si="1"/>
        <v/>
      </c>
      <c r="J8963" t="str">
        <f>IFERROR(__xludf.DUMMYFUNCTION("IFS(
  AND(REGEXMATCH(E8963, ""台銀籌備帳戶|玉山帳戶""), REGEXMATCH(C8963, ""薪資"")), ""分潤支出"",
  AND(REGEXMATCH(E8963, ""Ben帳戶|Elsa帳戶|Ben代墊|Ariel代墊|中信銀行共用""), REGEXMATCH(F8963, ""Ben帳戶|Elsa帳戶|Ben代墊|Ariel代墊|中信銀行共用"")), ""內部轉帳(忽略)"",
  AND(E8963&lt;&gt;"""", F8963&lt;&gt;"""", N"&amp;"OT(REGEXMATCH(C8963, ""薪資""))), ""內部轉帳(忽略)"",
  REGEXMATCH(C8963, ""薪資""), ""薪資變動(不計入)"",
  REGEXMATCH(C8963, ""押金""), ""押金往來"",
  AND(E8963&lt;&gt;"""", F8963=""""), ""真實支出"",
  AND(E8963="""", F8963&lt;&gt;""""), ""真實收入"",
  TRUE, ""其他""
)"),"其他")</f>
        <v>其他</v>
      </c>
      <c r="K8963" s="270" t="str">
        <f t="shared" si="2"/>
        <v/>
      </c>
      <c r="L8963">
        <f t="shared" si="3"/>
        <v>0</v>
      </c>
    </row>
    <row r="8964">
      <c r="A8964" s="107"/>
      <c r="D8964" s="270"/>
      <c r="H8964" s="106" t="str">
        <f t="shared" si="1"/>
        <v/>
      </c>
      <c r="J8964" t="str">
        <f>IFERROR(__xludf.DUMMYFUNCTION("IFS(
  AND(REGEXMATCH(E8964, ""台銀籌備帳戶|玉山帳戶""), REGEXMATCH(C8964, ""薪資"")), ""分潤支出"",
  AND(REGEXMATCH(E8964, ""Ben帳戶|Elsa帳戶|Ben代墊|Ariel代墊|中信銀行共用""), REGEXMATCH(F8964, ""Ben帳戶|Elsa帳戶|Ben代墊|Ariel代墊|中信銀行共用"")), ""內部轉帳(忽略)"",
  AND(E8964&lt;&gt;"""", F8964&lt;&gt;"""", N"&amp;"OT(REGEXMATCH(C8964, ""薪資""))), ""內部轉帳(忽略)"",
  REGEXMATCH(C8964, ""薪資""), ""薪資變動(不計入)"",
  REGEXMATCH(C8964, ""押金""), ""押金往來"",
  AND(E8964&lt;&gt;"""", F8964=""""), ""真實支出"",
  AND(E8964="""", F8964&lt;&gt;""""), ""真實收入"",
  TRUE, ""其他""
)"),"其他")</f>
        <v>其他</v>
      </c>
      <c r="K8964" s="270" t="str">
        <f t="shared" si="2"/>
        <v/>
      </c>
      <c r="L8964">
        <f t="shared" si="3"/>
        <v>0</v>
      </c>
    </row>
    <row r="8965">
      <c r="A8965" s="107"/>
      <c r="D8965" s="270"/>
      <c r="H8965" s="106" t="str">
        <f t="shared" si="1"/>
        <v/>
      </c>
      <c r="J8965" t="str">
        <f>IFERROR(__xludf.DUMMYFUNCTION("IFS(
  AND(REGEXMATCH(E8965, ""台銀籌備帳戶|玉山帳戶""), REGEXMATCH(C8965, ""薪資"")), ""分潤支出"",
  AND(REGEXMATCH(E8965, ""Ben帳戶|Elsa帳戶|Ben代墊|Ariel代墊|中信銀行共用""), REGEXMATCH(F8965, ""Ben帳戶|Elsa帳戶|Ben代墊|Ariel代墊|中信銀行共用"")), ""內部轉帳(忽略)"",
  AND(E8965&lt;&gt;"""", F8965&lt;&gt;"""", N"&amp;"OT(REGEXMATCH(C8965, ""薪資""))), ""內部轉帳(忽略)"",
  REGEXMATCH(C8965, ""薪資""), ""薪資變動(不計入)"",
  REGEXMATCH(C8965, ""押金""), ""押金往來"",
  AND(E8965&lt;&gt;"""", F8965=""""), ""真實支出"",
  AND(E8965="""", F8965&lt;&gt;""""), ""真實收入"",
  TRUE, ""其他""
)"),"其他")</f>
        <v>其他</v>
      </c>
      <c r="K8965" s="270" t="str">
        <f t="shared" si="2"/>
        <v/>
      </c>
      <c r="L8965">
        <f t="shared" si="3"/>
        <v>0</v>
      </c>
    </row>
    <row r="8966">
      <c r="A8966" s="107"/>
      <c r="D8966" s="270"/>
      <c r="H8966" s="106" t="str">
        <f t="shared" si="1"/>
        <v/>
      </c>
      <c r="J8966" t="str">
        <f>IFERROR(__xludf.DUMMYFUNCTION("IFS(
  AND(REGEXMATCH(E8966, ""台銀籌備帳戶|玉山帳戶""), REGEXMATCH(C8966, ""薪資"")), ""分潤支出"",
  AND(REGEXMATCH(E8966, ""Ben帳戶|Elsa帳戶|Ben代墊|Ariel代墊|中信銀行共用""), REGEXMATCH(F8966, ""Ben帳戶|Elsa帳戶|Ben代墊|Ariel代墊|中信銀行共用"")), ""內部轉帳(忽略)"",
  AND(E8966&lt;&gt;"""", F8966&lt;&gt;"""", N"&amp;"OT(REGEXMATCH(C8966, ""薪資""))), ""內部轉帳(忽略)"",
  REGEXMATCH(C8966, ""薪資""), ""薪資變動(不計入)"",
  REGEXMATCH(C8966, ""押金""), ""押金往來"",
  AND(E8966&lt;&gt;"""", F8966=""""), ""真實支出"",
  AND(E8966="""", F8966&lt;&gt;""""), ""真實收入"",
  TRUE, ""其他""
)"),"其他")</f>
        <v>其他</v>
      </c>
      <c r="K8966" s="270" t="str">
        <f t="shared" si="2"/>
        <v/>
      </c>
      <c r="L8966">
        <f t="shared" si="3"/>
        <v>0</v>
      </c>
    </row>
    <row r="8967">
      <c r="A8967" s="107"/>
      <c r="D8967" s="270"/>
      <c r="H8967" s="106" t="str">
        <f t="shared" si="1"/>
        <v/>
      </c>
      <c r="J8967" t="str">
        <f>IFERROR(__xludf.DUMMYFUNCTION("IFS(
  AND(REGEXMATCH(E8967, ""台銀籌備帳戶|玉山帳戶""), REGEXMATCH(C8967, ""薪資"")), ""分潤支出"",
  AND(REGEXMATCH(E8967, ""Ben帳戶|Elsa帳戶|Ben代墊|Ariel代墊|中信銀行共用""), REGEXMATCH(F8967, ""Ben帳戶|Elsa帳戶|Ben代墊|Ariel代墊|中信銀行共用"")), ""內部轉帳(忽略)"",
  AND(E8967&lt;&gt;"""", F8967&lt;&gt;"""", N"&amp;"OT(REGEXMATCH(C8967, ""薪資""))), ""內部轉帳(忽略)"",
  REGEXMATCH(C8967, ""薪資""), ""薪資變動(不計入)"",
  REGEXMATCH(C8967, ""押金""), ""押金往來"",
  AND(E8967&lt;&gt;"""", F8967=""""), ""真實支出"",
  AND(E8967="""", F8967&lt;&gt;""""), ""真實收入"",
  TRUE, ""其他""
)"),"其他")</f>
        <v>其他</v>
      </c>
      <c r="K8967" s="270" t="str">
        <f t="shared" si="2"/>
        <v/>
      </c>
      <c r="L8967">
        <f t="shared" si="3"/>
        <v>0</v>
      </c>
    </row>
    <row r="8968">
      <c r="A8968" s="107"/>
      <c r="D8968" s="270"/>
      <c r="H8968" s="106" t="str">
        <f t="shared" si="1"/>
        <v/>
      </c>
      <c r="J8968" t="str">
        <f>IFERROR(__xludf.DUMMYFUNCTION("IFS(
  AND(REGEXMATCH(E8968, ""台銀籌備帳戶|玉山帳戶""), REGEXMATCH(C8968, ""薪資"")), ""分潤支出"",
  AND(REGEXMATCH(E8968, ""Ben帳戶|Elsa帳戶|Ben代墊|Ariel代墊|中信銀行共用""), REGEXMATCH(F8968, ""Ben帳戶|Elsa帳戶|Ben代墊|Ariel代墊|中信銀行共用"")), ""內部轉帳(忽略)"",
  AND(E8968&lt;&gt;"""", F8968&lt;&gt;"""", N"&amp;"OT(REGEXMATCH(C8968, ""薪資""))), ""內部轉帳(忽略)"",
  REGEXMATCH(C8968, ""薪資""), ""薪資變動(不計入)"",
  REGEXMATCH(C8968, ""押金""), ""押金往來"",
  AND(E8968&lt;&gt;"""", F8968=""""), ""真實支出"",
  AND(E8968="""", F8968&lt;&gt;""""), ""真實收入"",
  TRUE, ""其他""
)"),"其他")</f>
        <v>其他</v>
      </c>
      <c r="K8968" s="270" t="str">
        <f t="shared" si="2"/>
        <v/>
      </c>
      <c r="L8968">
        <f t="shared" si="3"/>
        <v>0</v>
      </c>
    </row>
    <row r="8969">
      <c r="A8969" s="107"/>
      <c r="D8969" s="270"/>
      <c r="H8969" s="106" t="str">
        <f t="shared" si="1"/>
        <v/>
      </c>
      <c r="J8969" t="str">
        <f>IFERROR(__xludf.DUMMYFUNCTION("IFS(
  AND(REGEXMATCH(E8969, ""台銀籌備帳戶|玉山帳戶""), REGEXMATCH(C8969, ""薪資"")), ""分潤支出"",
  AND(REGEXMATCH(E8969, ""Ben帳戶|Elsa帳戶|Ben代墊|Ariel代墊|中信銀行共用""), REGEXMATCH(F8969, ""Ben帳戶|Elsa帳戶|Ben代墊|Ariel代墊|中信銀行共用"")), ""內部轉帳(忽略)"",
  AND(E8969&lt;&gt;"""", F8969&lt;&gt;"""", N"&amp;"OT(REGEXMATCH(C8969, ""薪資""))), ""內部轉帳(忽略)"",
  REGEXMATCH(C8969, ""薪資""), ""薪資變動(不計入)"",
  REGEXMATCH(C8969, ""押金""), ""押金往來"",
  AND(E8969&lt;&gt;"""", F8969=""""), ""真實支出"",
  AND(E8969="""", F8969&lt;&gt;""""), ""真實收入"",
  TRUE, ""其他""
)"),"其他")</f>
        <v>其他</v>
      </c>
      <c r="K8969" s="270" t="str">
        <f t="shared" si="2"/>
        <v/>
      </c>
      <c r="L8969">
        <f t="shared" si="3"/>
        <v>0</v>
      </c>
    </row>
    <row r="8970">
      <c r="A8970" s="107"/>
      <c r="D8970" s="270"/>
      <c r="H8970" s="106" t="str">
        <f t="shared" si="1"/>
        <v/>
      </c>
      <c r="J8970" t="str">
        <f>IFERROR(__xludf.DUMMYFUNCTION("IFS(
  AND(REGEXMATCH(E8970, ""台銀籌備帳戶|玉山帳戶""), REGEXMATCH(C8970, ""薪資"")), ""分潤支出"",
  AND(REGEXMATCH(E8970, ""Ben帳戶|Elsa帳戶|Ben代墊|Ariel代墊|中信銀行共用""), REGEXMATCH(F8970, ""Ben帳戶|Elsa帳戶|Ben代墊|Ariel代墊|中信銀行共用"")), ""內部轉帳(忽略)"",
  AND(E8970&lt;&gt;"""", F8970&lt;&gt;"""", N"&amp;"OT(REGEXMATCH(C8970, ""薪資""))), ""內部轉帳(忽略)"",
  REGEXMATCH(C8970, ""薪資""), ""薪資變動(不計入)"",
  REGEXMATCH(C8970, ""押金""), ""押金往來"",
  AND(E8970&lt;&gt;"""", F8970=""""), ""真實支出"",
  AND(E8970="""", F8970&lt;&gt;""""), ""真實收入"",
  TRUE, ""其他""
)"),"其他")</f>
        <v>其他</v>
      </c>
      <c r="K8970" s="270" t="str">
        <f t="shared" si="2"/>
        <v/>
      </c>
      <c r="L8970">
        <f t="shared" si="3"/>
        <v>0</v>
      </c>
    </row>
    <row r="8971">
      <c r="A8971" s="107"/>
      <c r="D8971" s="270"/>
      <c r="H8971" s="106" t="str">
        <f t="shared" si="1"/>
        <v/>
      </c>
      <c r="J8971" t="str">
        <f>IFERROR(__xludf.DUMMYFUNCTION("IFS(
  AND(REGEXMATCH(E8971, ""台銀籌備帳戶|玉山帳戶""), REGEXMATCH(C8971, ""薪資"")), ""分潤支出"",
  AND(REGEXMATCH(E8971, ""Ben帳戶|Elsa帳戶|Ben代墊|Ariel代墊|中信銀行共用""), REGEXMATCH(F8971, ""Ben帳戶|Elsa帳戶|Ben代墊|Ariel代墊|中信銀行共用"")), ""內部轉帳(忽略)"",
  AND(E8971&lt;&gt;"""", F8971&lt;&gt;"""", N"&amp;"OT(REGEXMATCH(C8971, ""薪資""))), ""內部轉帳(忽略)"",
  REGEXMATCH(C8971, ""薪資""), ""薪資變動(不計入)"",
  REGEXMATCH(C8971, ""押金""), ""押金往來"",
  AND(E8971&lt;&gt;"""", F8971=""""), ""真實支出"",
  AND(E8971="""", F8971&lt;&gt;""""), ""真實收入"",
  TRUE, ""其他""
)"),"其他")</f>
        <v>其他</v>
      </c>
      <c r="K8971" s="270" t="str">
        <f t="shared" si="2"/>
        <v/>
      </c>
      <c r="L8971">
        <f t="shared" si="3"/>
        <v>0</v>
      </c>
    </row>
    <row r="8972">
      <c r="A8972" s="107"/>
      <c r="D8972" s="270"/>
      <c r="H8972" s="106" t="str">
        <f t="shared" si="1"/>
        <v/>
      </c>
      <c r="J8972" t="str">
        <f>IFERROR(__xludf.DUMMYFUNCTION("IFS(
  AND(REGEXMATCH(E8972, ""台銀籌備帳戶|玉山帳戶""), REGEXMATCH(C8972, ""薪資"")), ""分潤支出"",
  AND(REGEXMATCH(E8972, ""Ben帳戶|Elsa帳戶|Ben代墊|Ariel代墊|中信銀行共用""), REGEXMATCH(F8972, ""Ben帳戶|Elsa帳戶|Ben代墊|Ariel代墊|中信銀行共用"")), ""內部轉帳(忽略)"",
  AND(E8972&lt;&gt;"""", F8972&lt;&gt;"""", N"&amp;"OT(REGEXMATCH(C8972, ""薪資""))), ""內部轉帳(忽略)"",
  REGEXMATCH(C8972, ""薪資""), ""薪資變動(不計入)"",
  REGEXMATCH(C8972, ""押金""), ""押金往來"",
  AND(E8972&lt;&gt;"""", F8972=""""), ""真實支出"",
  AND(E8972="""", F8972&lt;&gt;""""), ""真實收入"",
  TRUE, ""其他""
)"),"其他")</f>
        <v>其他</v>
      </c>
      <c r="K8972" s="270" t="str">
        <f t="shared" si="2"/>
        <v/>
      </c>
      <c r="L8972">
        <f t="shared" si="3"/>
        <v>0</v>
      </c>
    </row>
    <row r="8973">
      <c r="A8973" s="107"/>
      <c r="D8973" s="270"/>
      <c r="H8973" s="106" t="str">
        <f t="shared" si="1"/>
        <v/>
      </c>
      <c r="J8973" t="str">
        <f>IFERROR(__xludf.DUMMYFUNCTION("IFS(
  AND(REGEXMATCH(E8973, ""台銀籌備帳戶|玉山帳戶""), REGEXMATCH(C8973, ""薪資"")), ""分潤支出"",
  AND(REGEXMATCH(E8973, ""Ben帳戶|Elsa帳戶|Ben代墊|Ariel代墊|中信銀行共用""), REGEXMATCH(F8973, ""Ben帳戶|Elsa帳戶|Ben代墊|Ariel代墊|中信銀行共用"")), ""內部轉帳(忽略)"",
  AND(E8973&lt;&gt;"""", F8973&lt;&gt;"""", N"&amp;"OT(REGEXMATCH(C8973, ""薪資""))), ""內部轉帳(忽略)"",
  REGEXMATCH(C8973, ""薪資""), ""薪資變動(不計入)"",
  REGEXMATCH(C8973, ""押金""), ""押金往來"",
  AND(E8973&lt;&gt;"""", F8973=""""), ""真實支出"",
  AND(E8973="""", F8973&lt;&gt;""""), ""真實收入"",
  TRUE, ""其他""
)"),"其他")</f>
        <v>其他</v>
      </c>
      <c r="K8973" s="270" t="str">
        <f t="shared" si="2"/>
        <v/>
      </c>
      <c r="L8973">
        <f t="shared" si="3"/>
        <v>0</v>
      </c>
    </row>
    <row r="8974">
      <c r="A8974" s="107"/>
      <c r="D8974" s="270"/>
      <c r="H8974" s="106" t="str">
        <f t="shared" si="1"/>
        <v/>
      </c>
      <c r="J8974" t="str">
        <f>IFERROR(__xludf.DUMMYFUNCTION("IFS(
  AND(REGEXMATCH(E8974, ""台銀籌備帳戶|玉山帳戶""), REGEXMATCH(C8974, ""薪資"")), ""分潤支出"",
  AND(REGEXMATCH(E8974, ""Ben帳戶|Elsa帳戶|Ben代墊|Ariel代墊|中信銀行共用""), REGEXMATCH(F8974, ""Ben帳戶|Elsa帳戶|Ben代墊|Ariel代墊|中信銀行共用"")), ""內部轉帳(忽略)"",
  AND(E8974&lt;&gt;"""", F8974&lt;&gt;"""", N"&amp;"OT(REGEXMATCH(C8974, ""薪資""))), ""內部轉帳(忽略)"",
  REGEXMATCH(C8974, ""薪資""), ""薪資變動(不計入)"",
  REGEXMATCH(C8974, ""押金""), ""押金往來"",
  AND(E8974&lt;&gt;"""", F8974=""""), ""真實支出"",
  AND(E8974="""", F8974&lt;&gt;""""), ""真實收入"",
  TRUE, ""其他""
)"),"其他")</f>
        <v>其他</v>
      </c>
      <c r="K8974" s="270" t="str">
        <f t="shared" si="2"/>
        <v/>
      </c>
      <c r="L8974">
        <f t="shared" si="3"/>
        <v>0</v>
      </c>
    </row>
    <row r="8975">
      <c r="A8975" s="107"/>
      <c r="D8975" s="270"/>
      <c r="H8975" s="106" t="str">
        <f t="shared" si="1"/>
        <v/>
      </c>
      <c r="J8975" t="str">
        <f>IFERROR(__xludf.DUMMYFUNCTION("IFS(
  AND(REGEXMATCH(E8975, ""台銀籌備帳戶|玉山帳戶""), REGEXMATCH(C8975, ""薪資"")), ""分潤支出"",
  AND(REGEXMATCH(E8975, ""Ben帳戶|Elsa帳戶|Ben代墊|Ariel代墊|中信銀行共用""), REGEXMATCH(F8975, ""Ben帳戶|Elsa帳戶|Ben代墊|Ariel代墊|中信銀行共用"")), ""內部轉帳(忽略)"",
  AND(E8975&lt;&gt;"""", F8975&lt;&gt;"""", N"&amp;"OT(REGEXMATCH(C8975, ""薪資""))), ""內部轉帳(忽略)"",
  REGEXMATCH(C8975, ""薪資""), ""薪資變動(不計入)"",
  REGEXMATCH(C8975, ""押金""), ""押金往來"",
  AND(E8975&lt;&gt;"""", F8975=""""), ""真實支出"",
  AND(E8975="""", F8975&lt;&gt;""""), ""真實收入"",
  TRUE, ""其他""
)"),"其他")</f>
        <v>其他</v>
      </c>
      <c r="K8975" s="270" t="str">
        <f t="shared" si="2"/>
        <v/>
      </c>
      <c r="L8975">
        <f t="shared" si="3"/>
        <v>0</v>
      </c>
    </row>
    <row r="8976">
      <c r="A8976" s="107"/>
      <c r="D8976" s="270"/>
      <c r="H8976" s="106" t="str">
        <f t="shared" si="1"/>
        <v/>
      </c>
      <c r="J8976" t="str">
        <f>IFERROR(__xludf.DUMMYFUNCTION("IFS(
  AND(REGEXMATCH(E8976, ""台銀籌備帳戶|玉山帳戶""), REGEXMATCH(C8976, ""薪資"")), ""分潤支出"",
  AND(REGEXMATCH(E8976, ""Ben帳戶|Elsa帳戶|Ben代墊|Ariel代墊|中信銀行共用""), REGEXMATCH(F8976, ""Ben帳戶|Elsa帳戶|Ben代墊|Ariel代墊|中信銀行共用"")), ""內部轉帳(忽略)"",
  AND(E8976&lt;&gt;"""", F8976&lt;&gt;"""", N"&amp;"OT(REGEXMATCH(C8976, ""薪資""))), ""內部轉帳(忽略)"",
  REGEXMATCH(C8976, ""薪資""), ""薪資變動(不計入)"",
  REGEXMATCH(C8976, ""押金""), ""押金往來"",
  AND(E8976&lt;&gt;"""", F8976=""""), ""真實支出"",
  AND(E8976="""", F8976&lt;&gt;""""), ""真實收入"",
  TRUE, ""其他""
)"),"其他")</f>
        <v>其他</v>
      </c>
      <c r="K8976" s="270" t="str">
        <f t="shared" si="2"/>
        <v/>
      </c>
      <c r="L8976">
        <f t="shared" si="3"/>
        <v>0</v>
      </c>
    </row>
    <row r="8977">
      <c r="A8977" s="107"/>
      <c r="D8977" s="270"/>
      <c r="H8977" s="106" t="str">
        <f t="shared" si="1"/>
        <v/>
      </c>
      <c r="J8977" t="str">
        <f>IFERROR(__xludf.DUMMYFUNCTION("IFS(
  AND(REGEXMATCH(E8977, ""台銀籌備帳戶|玉山帳戶""), REGEXMATCH(C8977, ""薪資"")), ""分潤支出"",
  AND(REGEXMATCH(E8977, ""Ben帳戶|Elsa帳戶|Ben代墊|Ariel代墊|中信銀行共用""), REGEXMATCH(F8977, ""Ben帳戶|Elsa帳戶|Ben代墊|Ariel代墊|中信銀行共用"")), ""內部轉帳(忽略)"",
  AND(E8977&lt;&gt;"""", F8977&lt;&gt;"""", N"&amp;"OT(REGEXMATCH(C8977, ""薪資""))), ""內部轉帳(忽略)"",
  REGEXMATCH(C8977, ""薪資""), ""薪資變動(不計入)"",
  REGEXMATCH(C8977, ""押金""), ""押金往來"",
  AND(E8977&lt;&gt;"""", F8977=""""), ""真實支出"",
  AND(E8977="""", F8977&lt;&gt;""""), ""真實收入"",
  TRUE, ""其他""
)"),"其他")</f>
        <v>其他</v>
      </c>
      <c r="K8977" s="270" t="str">
        <f t="shared" si="2"/>
        <v/>
      </c>
      <c r="L8977">
        <f t="shared" si="3"/>
        <v>0</v>
      </c>
    </row>
    <row r="8978">
      <c r="A8978" s="107"/>
      <c r="D8978" s="270"/>
      <c r="H8978" s="106" t="str">
        <f t="shared" si="1"/>
        <v/>
      </c>
      <c r="J8978" t="str">
        <f>IFERROR(__xludf.DUMMYFUNCTION("IFS(
  AND(REGEXMATCH(E8978, ""台銀籌備帳戶|玉山帳戶""), REGEXMATCH(C8978, ""薪資"")), ""分潤支出"",
  AND(REGEXMATCH(E8978, ""Ben帳戶|Elsa帳戶|Ben代墊|Ariel代墊|中信銀行共用""), REGEXMATCH(F8978, ""Ben帳戶|Elsa帳戶|Ben代墊|Ariel代墊|中信銀行共用"")), ""內部轉帳(忽略)"",
  AND(E8978&lt;&gt;"""", F8978&lt;&gt;"""", N"&amp;"OT(REGEXMATCH(C8978, ""薪資""))), ""內部轉帳(忽略)"",
  REGEXMATCH(C8978, ""薪資""), ""薪資變動(不計入)"",
  REGEXMATCH(C8978, ""押金""), ""押金往來"",
  AND(E8978&lt;&gt;"""", F8978=""""), ""真實支出"",
  AND(E8978="""", F8978&lt;&gt;""""), ""真實收入"",
  TRUE, ""其他""
)"),"其他")</f>
        <v>其他</v>
      </c>
      <c r="K8978" s="270" t="str">
        <f t="shared" si="2"/>
        <v/>
      </c>
      <c r="L8978">
        <f t="shared" si="3"/>
        <v>0</v>
      </c>
    </row>
    <row r="8979">
      <c r="A8979" s="107"/>
      <c r="D8979" s="270"/>
      <c r="H8979" s="106" t="str">
        <f t="shared" si="1"/>
        <v/>
      </c>
      <c r="J8979" t="str">
        <f>IFERROR(__xludf.DUMMYFUNCTION("IFS(
  AND(REGEXMATCH(E8979, ""台銀籌備帳戶|玉山帳戶""), REGEXMATCH(C8979, ""薪資"")), ""分潤支出"",
  AND(REGEXMATCH(E8979, ""Ben帳戶|Elsa帳戶|Ben代墊|Ariel代墊|中信銀行共用""), REGEXMATCH(F8979, ""Ben帳戶|Elsa帳戶|Ben代墊|Ariel代墊|中信銀行共用"")), ""內部轉帳(忽略)"",
  AND(E8979&lt;&gt;"""", F8979&lt;&gt;"""", N"&amp;"OT(REGEXMATCH(C8979, ""薪資""))), ""內部轉帳(忽略)"",
  REGEXMATCH(C8979, ""薪資""), ""薪資變動(不計入)"",
  REGEXMATCH(C8979, ""押金""), ""押金往來"",
  AND(E8979&lt;&gt;"""", F8979=""""), ""真實支出"",
  AND(E8979="""", F8979&lt;&gt;""""), ""真實收入"",
  TRUE, ""其他""
)"),"其他")</f>
        <v>其他</v>
      </c>
      <c r="K8979" s="270" t="str">
        <f t="shared" si="2"/>
        <v/>
      </c>
      <c r="L8979">
        <f t="shared" si="3"/>
        <v>0</v>
      </c>
    </row>
    <row r="8980">
      <c r="A8980" s="107"/>
      <c r="D8980" s="270"/>
      <c r="H8980" s="106" t="str">
        <f t="shared" si="1"/>
        <v/>
      </c>
      <c r="J8980" t="str">
        <f>IFERROR(__xludf.DUMMYFUNCTION("IFS(
  AND(REGEXMATCH(E8980, ""台銀籌備帳戶|玉山帳戶""), REGEXMATCH(C8980, ""薪資"")), ""分潤支出"",
  AND(REGEXMATCH(E8980, ""Ben帳戶|Elsa帳戶|Ben代墊|Ariel代墊|中信銀行共用""), REGEXMATCH(F8980, ""Ben帳戶|Elsa帳戶|Ben代墊|Ariel代墊|中信銀行共用"")), ""內部轉帳(忽略)"",
  AND(E8980&lt;&gt;"""", F8980&lt;&gt;"""", N"&amp;"OT(REGEXMATCH(C8980, ""薪資""))), ""內部轉帳(忽略)"",
  REGEXMATCH(C8980, ""薪資""), ""薪資變動(不計入)"",
  REGEXMATCH(C8980, ""押金""), ""押金往來"",
  AND(E8980&lt;&gt;"""", F8980=""""), ""真實支出"",
  AND(E8980="""", F8980&lt;&gt;""""), ""真實收入"",
  TRUE, ""其他""
)"),"其他")</f>
        <v>其他</v>
      </c>
      <c r="K8980" s="270" t="str">
        <f t="shared" si="2"/>
        <v/>
      </c>
      <c r="L8980">
        <f t="shared" si="3"/>
        <v>0</v>
      </c>
    </row>
    <row r="8981">
      <c r="A8981" s="107"/>
      <c r="D8981" s="270"/>
      <c r="H8981" s="106" t="str">
        <f t="shared" si="1"/>
        <v/>
      </c>
      <c r="J8981" t="str">
        <f>IFERROR(__xludf.DUMMYFUNCTION("IFS(
  AND(REGEXMATCH(E8981, ""台銀籌備帳戶|玉山帳戶""), REGEXMATCH(C8981, ""薪資"")), ""分潤支出"",
  AND(REGEXMATCH(E8981, ""Ben帳戶|Elsa帳戶|Ben代墊|Ariel代墊|中信銀行共用""), REGEXMATCH(F8981, ""Ben帳戶|Elsa帳戶|Ben代墊|Ariel代墊|中信銀行共用"")), ""內部轉帳(忽略)"",
  AND(E8981&lt;&gt;"""", F8981&lt;&gt;"""", N"&amp;"OT(REGEXMATCH(C8981, ""薪資""))), ""內部轉帳(忽略)"",
  REGEXMATCH(C8981, ""薪資""), ""薪資變動(不計入)"",
  REGEXMATCH(C8981, ""押金""), ""押金往來"",
  AND(E8981&lt;&gt;"""", F8981=""""), ""真實支出"",
  AND(E8981="""", F8981&lt;&gt;""""), ""真實收入"",
  TRUE, ""其他""
)"),"其他")</f>
        <v>其他</v>
      </c>
      <c r="K8981" s="270" t="str">
        <f t="shared" si="2"/>
        <v/>
      </c>
      <c r="L8981">
        <f t="shared" si="3"/>
        <v>0</v>
      </c>
    </row>
    <row r="8982">
      <c r="A8982" s="107"/>
      <c r="D8982" s="270"/>
      <c r="H8982" s="106" t="str">
        <f t="shared" si="1"/>
        <v/>
      </c>
      <c r="J8982" t="str">
        <f>IFERROR(__xludf.DUMMYFUNCTION("IFS(
  AND(REGEXMATCH(E8982, ""台銀籌備帳戶|玉山帳戶""), REGEXMATCH(C8982, ""薪資"")), ""分潤支出"",
  AND(REGEXMATCH(E8982, ""Ben帳戶|Elsa帳戶|Ben代墊|Ariel代墊|中信銀行共用""), REGEXMATCH(F8982, ""Ben帳戶|Elsa帳戶|Ben代墊|Ariel代墊|中信銀行共用"")), ""內部轉帳(忽略)"",
  AND(E8982&lt;&gt;"""", F8982&lt;&gt;"""", N"&amp;"OT(REGEXMATCH(C8982, ""薪資""))), ""內部轉帳(忽略)"",
  REGEXMATCH(C8982, ""薪資""), ""薪資變動(不計入)"",
  REGEXMATCH(C8982, ""押金""), ""押金往來"",
  AND(E8982&lt;&gt;"""", F8982=""""), ""真實支出"",
  AND(E8982="""", F8982&lt;&gt;""""), ""真實收入"",
  TRUE, ""其他""
)"),"其他")</f>
        <v>其他</v>
      </c>
      <c r="K8982" s="270" t="str">
        <f t="shared" si="2"/>
        <v/>
      </c>
      <c r="L8982">
        <f t="shared" si="3"/>
        <v>0</v>
      </c>
    </row>
    <row r="8983">
      <c r="A8983" s="107"/>
      <c r="D8983" s="270"/>
      <c r="H8983" s="106" t="str">
        <f t="shared" si="1"/>
        <v/>
      </c>
      <c r="J8983" t="str">
        <f>IFERROR(__xludf.DUMMYFUNCTION("IFS(
  AND(REGEXMATCH(E8983, ""台銀籌備帳戶|玉山帳戶""), REGEXMATCH(C8983, ""薪資"")), ""分潤支出"",
  AND(REGEXMATCH(E8983, ""Ben帳戶|Elsa帳戶|Ben代墊|Ariel代墊|中信銀行共用""), REGEXMATCH(F8983, ""Ben帳戶|Elsa帳戶|Ben代墊|Ariel代墊|中信銀行共用"")), ""內部轉帳(忽略)"",
  AND(E8983&lt;&gt;"""", F8983&lt;&gt;"""", N"&amp;"OT(REGEXMATCH(C8983, ""薪資""))), ""內部轉帳(忽略)"",
  REGEXMATCH(C8983, ""薪資""), ""薪資變動(不計入)"",
  REGEXMATCH(C8983, ""押金""), ""押金往來"",
  AND(E8983&lt;&gt;"""", F8983=""""), ""真實支出"",
  AND(E8983="""", F8983&lt;&gt;""""), ""真實收入"",
  TRUE, ""其他""
)"),"其他")</f>
        <v>其他</v>
      </c>
      <c r="K8983" s="270" t="str">
        <f t="shared" si="2"/>
        <v/>
      </c>
      <c r="L8983">
        <f t="shared" si="3"/>
        <v>0</v>
      </c>
    </row>
    <row r="8984">
      <c r="A8984" s="107"/>
      <c r="D8984" s="270"/>
      <c r="H8984" s="106" t="str">
        <f t="shared" si="1"/>
        <v/>
      </c>
      <c r="J8984" t="str">
        <f>IFERROR(__xludf.DUMMYFUNCTION("IFS(
  AND(REGEXMATCH(E8984, ""台銀籌備帳戶|玉山帳戶""), REGEXMATCH(C8984, ""薪資"")), ""分潤支出"",
  AND(REGEXMATCH(E8984, ""Ben帳戶|Elsa帳戶|Ben代墊|Ariel代墊|中信銀行共用""), REGEXMATCH(F8984, ""Ben帳戶|Elsa帳戶|Ben代墊|Ariel代墊|中信銀行共用"")), ""內部轉帳(忽略)"",
  AND(E8984&lt;&gt;"""", F8984&lt;&gt;"""", N"&amp;"OT(REGEXMATCH(C8984, ""薪資""))), ""內部轉帳(忽略)"",
  REGEXMATCH(C8984, ""薪資""), ""薪資變動(不計入)"",
  REGEXMATCH(C8984, ""押金""), ""押金往來"",
  AND(E8984&lt;&gt;"""", F8984=""""), ""真實支出"",
  AND(E8984="""", F8984&lt;&gt;""""), ""真實收入"",
  TRUE, ""其他""
)"),"其他")</f>
        <v>其他</v>
      </c>
      <c r="K8984" s="270" t="str">
        <f t="shared" si="2"/>
        <v/>
      </c>
      <c r="L8984">
        <f t="shared" si="3"/>
        <v>0</v>
      </c>
    </row>
    <row r="8985">
      <c r="A8985" s="107"/>
      <c r="D8985" s="270"/>
      <c r="H8985" s="106" t="str">
        <f t="shared" si="1"/>
        <v/>
      </c>
      <c r="J8985" t="str">
        <f>IFERROR(__xludf.DUMMYFUNCTION("IFS(
  AND(REGEXMATCH(E8985, ""台銀籌備帳戶|玉山帳戶""), REGEXMATCH(C8985, ""薪資"")), ""分潤支出"",
  AND(REGEXMATCH(E8985, ""Ben帳戶|Elsa帳戶|Ben代墊|Ariel代墊|中信銀行共用""), REGEXMATCH(F8985, ""Ben帳戶|Elsa帳戶|Ben代墊|Ariel代墊|中信銀行共用"")), ""內部轉帳(忽略)"",
  AND(E8985&lt;&gt;"""", F8985&lt;&gt;"""", N"&amp;"OT(REGEXMATCH(C8985, ""薪資""))), ""內部轉帳(忽略)"",
  REGEXMATCH(C8985, ""薪資""), ""薪資變動(不計入)"",
  REGEXMATCH(C8985, ""押金""), ""押金往來"",
  AND(E8985&lt;&gt;"""", F8985=""""), ""真實支出"",
  AND(E8985="""", F8985&lt;&gt;""""), ""真實收入"",
  TRUE, ""其他""
)"),"其他")</f>
        <v>其他</v>
      </c>
      <c r="K8985" s="270" t="str">
        <f t="shared" si="2"/>
        <v/>
      </c>
      <c r="L8985">
        <f t="shared" si="3"/>
        <v>0</v>
      </c>
    </row>
    <row r="8986">
      <c r="A8986" s="107"/>
      <c r="D8986" s="270"/>
      <c r="H8986" s="106" t="str">
        <f t="shared" si="1"/>
        <v/>
      </c>
      <c r="J8986" t="str">
        <f>IFERROR(__xludf.DUMMYFUNCTION("IFS(
  AND(REGEXMATCH(E8986, ""台銀籌備帳戶|玉山帳戶""), REGEXMATCH(C8986, ""薪資"")), ""分潤支出"",
  AND(REGEXMATCH(E8986, ""Ben帳戶|Elsa帳戶|Ben代墊|Ariel代墊|中信銀行共用""), REGEXMATCH(F8986, ""Ben帳戶|Elsa帳戶|Ben代墊|Ariel代墊|中信銀行共用"")), ""內部轉帳(忽略)"",
  AND(E8986&lt;&gt;"""", F8986&lt;&gt;"""", N"&amp;"OT(REGEXMATCH(C8986, ""薪資""))), ""內部轉帳(忽略)"",
  REGEXMATCH(C8986, ""薪資""), ""薪資變動(不計入)"",
  REGEXMATCH(C8986, ""押金""), ""押金往來"",
  AND(E8986&lt;&gt;"""", F8986=""""), ""真實支出"",
  AND(E8986="""", F8986&lt;&gt;""""), ""真實收入"",
  TRUE, ""其他""
)"),"其他")</f>
        <v>其他</v>
      </c>
      <c r="K8986" s="270" t="str">
        <f t="shared" si="2"/>
        <v/>
      </c>
      <c r="L8986">
        <f t="shared" si="3"/>
        <v>0</v>
      </c>
    </row>
    <row r="8987">
      <c r="A8987" s="107"/>
      <c r="D8987" s="270"/>
      <c r="H8987" s="106" t="str">
        <f t="shared" si="1"/>
        <v/>
      </c>
      <c r="J8987" t="str">
        <f>IFERROR(__xludf.DUMMYFUNCTION("IFS(
  AND(REGEXMATCH(E8987, ""台銀籌備帳戶|玉山帳戶""), REGEXMATCH(C8987, ""薪資"")), ""分潤支出"",
  AND(REGEXMATCH(E8987, ""Ben帳戶|Elsa帳戶|Ben代墊|Ariel代墊|中信銀行共用""), REGEXMATCH(F8987, ""Ben帳戶|Elsa帳戶|Ben代墊|Ariel代墊|中信銀行共用"")), ""內部轉帳(忽略)"",
  AND(E8987&lt;&gt;"""", F8987&lt;&gt;"""", N"&amp;"OT(REGEXMATCH(C8987, ""薪資""))), ""內部轉帳(忽略)"",
  REGEXMATCH(C8987, ""薪資""), ""薪資變動(不計入)"",
  REGEXMATCH(C8987, ""押金""), ""押金往來"",
  AND(E8987&lt;&gt;"""", F8987=""""), ""真實支出"",
  AND(E8987="""", F8987&lt;&gt;""""), ""真實收入"",
  TRUE, ""其他""
)"),"其他")</f>
        <v>其他</v>
      </c>
      <c r="K8987" s="270" t="str">
        <f t="shared" si="2"/>
        <v/>
      </c>
      <c r="L8987">
        <f t="shared" si="3"/>
        <v>0</v>
      </c>
    </row>
    <row r="8988">
      <c r="A8988" s="107"/>
      <c r="D8988" s="270"/>
      <c r="H8988" s="106" t="str">
        <f t="shared" si="1"/>
        <v/>
      </c>
      <c r="J8988" t="str">
        <f>IFERROR(__xludf.DUMMYFUNCTION("IFS(
  AND(REGEXMATCH(E8988, ""台銀籌備帳戶|玉山帳戶""), REGEXMATCH(C8988, ""薪資"")), ""分潤支出"",
  AND(REGEXMATCH(E8988, ""Ben帳戶|Elsa帳戶|Ben代墊|Ariel代墊|中信銀行共用""), REGEXMATCH(F8988, ""Ben帳戶|Elsa帳戶|Ben代墊|Ariel代墊|中信銀行共用"")), ""內部轉帳(忽略)"",
  AND(E8988&lt;&gt;"""", F8988&lt;&gt;"""", N"&amp;"OT(REGEXMATCH(C8988, ""薪資""))), ""內部轉帳(忽略)"",
  REGEXMATCH(C8988, ""薪資""), ""薪資變動(不計入)"",
  REGEXMATCH(C8988, ""押金""), ""押金往來"",
  AND(E8988&lt;&gt;"""", F8988=""""), ""真實支出"",
  AND(E8988="""", F8988&lt;&gt;""""), ""真實收入"",
  TRUE, ""其他""
)"),"其他")</f>
        <v>其他</v>
      </c>
      <c r="K8988" s="270" t="str">
        <f t="shared" si="2"/>
        <v/>
      </c>
      <c r="L8988">
        <f t="shared" si="3"/>
        <v>0</v>
      </c>
    </row>
    <row r="8989">
      <c r="A8989" s="107"/>
      <c r="D8989" s="270"/>
      <c r="H8989" s="106" t="str">
        <f t="shared" si="1"/>
        <v/>
      </c>
      <c r="J8989" t="str">
        <f>IFERROR(__xludf.DUMMYFUNCTION("IFS(
  AND(REGEXMATCH(E8989, ""台銀籌備帳戶|玉山帳戶""), REGEXMATCH(C8989, ""薪資"")), ""分潤支出"",
  AND(REGEXMATCH(E8989, ""Ben帳戶|Elsa帳戶|Ben代墊|Ariel代墊|中信銀行共用""), REGEXMATCH(F8989, ""Ben帳戶|Elsa帳戶|Ben代墊|Ariel代墊|中信銀行共用"")), ""內部轉帳(忽略)"",
  AND(E8989&lt;&gt;"""", F8989&lt;&gt;"""", N"&amp;"OT(REGEXMATCH(C8989, ""薪資""))), ""內部轉帳(忽略)"",
  REGEXMATCH(C8989, ""薪資""), ""薪資變動(不計入)"",
  REGEXMATCH(C8989, ""押金""), ""押金往來"",
  AND(E8989&lt;&gt;"""", F8989=""""), ""真實支出"",
  AND(E8989="""", F8989&lt;&gt;""""), ""真實收入"",
  TRUE, ""其他""
)"),"其他")</f>
        <v>其他</v>
      </c>
      <c r="K8989" s="270" t="str">
        <f t="shared" si="2"/>
        <v/>
      </c>
      <c r="L8989">
        <f t="shared" si="3"/>
        <v>0</v>
      </c>
    </row>
    <row r="8990">
      <c r="A8990" s="107"/>
      <c r="D8990" s="270"/>
      <c r="H8990" s="106" t="str">
        <f t="shared" si="1"/>
        <v/>
      </c>
      <c r="J8990" t="str">
        <f>IFERROR(__xludf.DUMMYFUNCTION("IFS(
  AND(REGEXMATCH(E8990, ""台銀籌備帳戶|玉山帳戶""), REGEXMATCH(C8990, ""薪資"")), ""分潤支出"",
  AND(REGEXMATCH(E8990, ""Ben帳戶|Elsa帳戶|Ben代墊|Ariel代墊|中信銀行共用""), REGEXMATCH(F8990, ""Ben帳戶|Elsa帳戶|Ben代墊|Ariel代墊|中信銀行共用"")), ""內部轉帳(忽略)"",
  AND(E8990&lt;&gt;"""", F8990&lt;&gt;"""", N"&amp;"OT(REGEXMATCH(C8990, ""薪資""))), ""內部轉帳(忽略)"",
  REGEXMATCH(C8990, ""薪資""), ""薪資變動(不計入)"",
  REGEXMATCH(C8990, ""押金""), ""押金往來"",
  AND(E8990&lt;&gt;"""", F8990=""""), ""真實支出"",
  AND(E8990="""", F8990&lt;&gt;""""), ""真實收入"",
  TRUE, ""其他""
)"),"其他")</f>
        <v>其他</v>
      </c>
      <c r="K8990" s="270" t="str">
        <f t="shared" si="2"/>
        <v/>
      </c>
      <c r="L8990">
        <f t="shared" si="3"/>
        <v>0</v>
      </c>
    </row>
    <row r="8991">
      <c r="A8991" s="107"/>
      <c r="D8991" s="270"/>
      <c r="H8991" s="106" t="str">
        <f t="shared" si="1"/>
        <v/>
      </c>
      <c r="J8991" t="str">
        <f>IFERROR(__xludf.DUMMYFUNCTION("IFS(
  AND(REGEXMATCH(E8991, ""台銀籌備帳戶|玉山帳戶""), REGEXMATCH(C8991, ""薪資"")), ""分潤支出"",
  AND(REGEXMATCH(E8991, ""Ben帳戶|Elsa帳戶|Ben代墊|Ariel代墊|中信銀行共用""), REGEXMATCH(F8991, ""Ben帳戶|Elsa帳戶|Ben代墊|Ariel代墊|中信銀行共用"")), ""內部轉帳(忽略)"",
  AND(E8991&lt;&gt;"""", F8991&lt;&gt;"""", N"&amp;"OT(REGEXMATCH(C8991, ""薪資""))), ""內部轉帳(忽略)"",
  REGEXMATCH(C8991, ""薪資""), ""薪資變動(不計入)"",
  REGEXMATCH(C8991, ""押金""), ""押金往來"",
  AND(E8991&lt;&gt;"""", F8991=""""), ""真實支出"",
  AND(E8991="""", F8991&lt;&gt;""""), ""真實收入"",
  TRUE, ""其他""
)"),"其他")</f>
        <v>其他</v>
      </c>
      <c r="K8991" s="270" t="str">
        <f t="shared" si="2"/>
        <v/>
      </c>
      <c r="L8991">
        <f t="shared" si="3"/>
        <v>0</v>
      </c>
    </row>
    <row r="8992">
      <c r="A8992" s="107"/>
      <c r="D8992" s="270"/>
      <c r="H8992" s="106" t="str">
        <f t="shared" si="1"/>
        <v/>
      </c>
      <c r="J8992" t="str">
        <f>IFERROR(__xludf.DUMMYFUNCTION("IFS(
  AND(REGEXMATCH(E8992, ""台銀籌備帳戶|玉山帳戶""), REGEXMATCH(C8992, ""薪資"")), ""分潤支出"",
  AND(REGEXMATCH(E8992, ""Ben帳戶|Elsa帳戶|Ben代墊|Ariel代墊|中信銀行共用""), REGEXMATCH(F8992, ""Ben帳戶|Elsa帳戶|Ben代墊|Ariel代墊|中信銀行共用"")), ""內部轉帳(忽略)"",
  AND(E8992&lt;&gt;"""", F8992&lt;&gt;"""", N"&amp;"OT(REGEXMATCH(C8992, ""薪資""))), ""內部轉帳(忽略)"",
  REGEXMATCH(C8992, ""薪資""), ""薪資變動(不計入)"",
  REGEXMATCH(C8992, ""押金""), ""押金往來"",
  AND(E8992&lt;&gt;"""", F8992=""""), ""真實支出"",
  AND(E8992="""", F8992&lt;&gt;""""), ""真實收入"",
  TRUE, ""其他""
)"),"其他")</f>
        <v>其他</v>
      </c>
      <c r="K8992" s="270" t="str">
        <f t="shared" si="2"/>
        <v/>
      </c>
      <c r="L8992">
        <f t="shared" si="3"/>
        <v>0</v>
      </c>
    </row>
    <row r="8993">
      <c r="A8993" s="107"/>
      <c r="D8993" s="270"/>
      <c r="H8993" s="106" t="str">
        <f t="shared" si="1"/>
        <v/>
      </c>
      <c r="J8993" t="str">
        <f>IFERROR(__xludf.DUMMYFUNCTION("IFS(
  AND(REGEXMATCH(E8993, ""台銀籌備帳戶|玉山帳戶""), REGEXMATCH(C8993, ""薪資"")), ""分潤支出"",
  AND(REGEXMATCH(E8993, ""Ben帳戶|Elsa帳戶|Ben代墊|Ariel代墊|中信銀行共用""), REGEXMATCH(F8993, ""Ben帳戶|Elsa帳戶|Ben代墊|Ariel代墊|中信銀行共用"")), ""內部轉帳(忽略)"",
  AND(E8993&lt;&gt;"""", F8993&lt;&gt;"""", N"&amp;"OT(REGEXMATCH(C8993, ""薪資""))), ""內部轉帳(忽略)"",
  REGEXMATCH(C8993, ""薪資""), ""薪資變動(不計入)"",
  REGEXMATCH(C8993, ""押金""), ""押金往來"",
  AND(E8993&lt;&gt;"""", F8993=""""), ""真實支出"",
  AND(E8993="""", F8993&lt;&gt;""""), ""真實收入"",
  TRUE, ""其他""
)"),"其他")</f>
        <v>其他</v>
      </c>
      <c r="K8993" s="270" t="str">
        <f t="shared" si="2"/>
        <v/>
      </c>
      <c r="L8993">
        <f t="shared" si="3"/>
        <v>0</v>
      </c>
    </row>
    <row r="8994">
      <c r="A8994" s="107"/>
      <c r="D8994" s="270"/>
      <c r="H8994" s="106" t="str">
        <f t="shared" si="1"/>
        <v/>
      </c>
      <c r="J8994" t="str">
        <f>IFERROR(__xludf.DUMMYFUNCTION("IFS(
  AND(REGEXMATCH(E8994, ""台銀籌備帳戶|玉山帳戶""), REGEXMATCH(C8994, ""薪資"")), ""分潤支出"",
  AND(REGEXMATCH(E8994, ""Ben帳戶|Elsa帳戶|Ben代墊|Ariel代墊|中信銀行共用""), REGEXMATCH(F8994, ""Ben帳戶|Elsa帳戶|Ben代墊|Ariel代墊|中信銀行共用"")), ""內部轉帳(忽略)"",
  AND(E8994&lt;&gt;"""", F8994&lt;&gt;"""", N"&amp;"OT(REGEXMATCH(C8994, ""薪資""))), ""內部轉帳(忽略)"",
  REGEXMATCH(C8994, ""薪資""), ""薪資變動(不計入)"",
  REGEXMATCH(C8994, ""押金""), ""押金往來"",
  AND(E8994&lt;&gt;"""", F8994=""""), ""真實支出"",
  AND(E8994="""", F8994&lt;&gt;""""), ""真實收入"",
  TRUE, ""其他""
)"),"其他")</f>
        <v>其他</v>
      </c>
      <c r="K8994" s="270" t="str">
        <f t="shared" si="2"/>
        <v/>
      </c>
      <c r="L8994">
        <f t="shared" si="3"/>
        <v>0</v>
      </c>
    </row>
    <row r="8995">
      <c r="A8995" s="107"/>
      <c r="D8995" s="270"/>
      <c r="H8995" s="106" t="str">
        <f t="shared" si="1"/>
        <v/>
      </c>
      <c r="J8995" t="str">
        <f>IFERROR(__xludf.DUMMYFUNCTION("IFS(
  AND(REGEXMATCH(E8995, ""台銀籌備帳戶|玉山帳戶""), REGEXMATCH(C8995, ""薪資"")), ""分潤支出"",
  AND(REGEXMATCH(E8995, ""Ben帳戶|Elsa帳戶|Ben代墊|Ariel代墊|中信銀行共用""), REGEXMATCH(F8995, ""Ben帳戶|Elsa帳戶|Ben代墊|Ariel代墊|中信銀行共用"")), ""內部轉帳(忽略)"",
  AND(E8995&lt;&gt;"""", F8995&lt;&gt;"""", N"&amp;"OT(REGEXMATCH(C8995, ""薪資""))), ""內部轉帳(忽略)"",
  REGEXMATCH(C8995, ""薪資""), ""薪資變動(不計入)"",
  REGEXMATCH(C8995, ""押金""), ""押金往來"",
  AND(E8995&lt;&gt;"""", F8995=""""), ""真實支出"",
  AND(E8995="""", F8995&lt;&gt;""""), ""真實收入"",
  TRUE, ""其他""
)"),"其他")</f>
        <v>其他</v>
      </c>
      <c r="K8995" s="270" t="str">
        <f t="shared" si="2"/>
        <v/>
      </c>
      <c r="L8995">
        <f t="shared" si="3"/>
        <v>0</v>
      </c>
    </row>
    <row r="8996">
      <c r="A8996" s="107"/>
      <c r="D8996" s="270"/>
      <c r="H8996" s="106" t="str">
        <f t="shared" si="1"/>
        <v/>
      </c>
      <c r="J8996" t="str">
        <f>IFERROR(__xludf.DUMMYFUNCTION("IFS(
  AND(REGEXMATCH(E8996, ""台銀籌備帳戶|玉山帳戶""), REGEXMATCH(C8996, ""薪資"")), ""分潤支出"",
  AND(REGEXMATCH(E8996, ""Ben帳戶|Elsa帳戶|Ben代墊|Ariel代墊|中信銀行共用""), REGEXMATCH(F8996, ""Ben帳戶|Elsa帳戶|Ben代墊|Ariel代墊|中信銀行共用"")), ""內部轉帳(忽略)"",
  AND(E8996&lt;&gt;"""", F8996&lt;&gt;"""", N"&amp;"OT(REGEXMATCH(C8996, ""薪資""))), ""內部轉帳(忽略)"",
  REGEXMATCH(C8996, ""薪資""), ""薪資變動(不計入)"",
  REGEXMATCH(C8996, ""押金""), ""押金往來"",
  AND(E8996&lt;&gt;"""", F8996=""""), ""真實支出"",
  AND(E8996="""", F8996&lt;&gt;""""), ""真實收入"",
  TRUE, ""其他""
)"),"其他")</f>
        <v>其他</v>
      </c>
      <c r="K8996" s="270" t="str">
        <f t="shared" si="2"/>
        <v/>
      </c>
      <c r="L8996">
        <f t="shared" si="3"/>
        <v>0</v>
      </c>
    </row>
    <row r="8997">
      <c r="A8997" s="107"/>
      <c r="D8997" s="270"/>
      <c r="H8997" s="106" t="str">
        <f t="shared" si="1"/>
        <v/>
      </c>
      <c r="J8997" t="str">
        <f>IFERROR(__xludf.DUMMYFUNCTION("IFS(
  AND(REGEXMATCH(E8997, ""台銀籌備帳戶|玉山帳戶""), REGEXMATCH(C8997, ""薪資"")), ""分潤支出"",
  AND(REGEXMATCH(E8997, ""Ben帳戶|Elsa帳戶|Ben代墊|Ariel代墊|中信銀行共用""), REGEXMATCH(F8997, ""Ben帳戶|Elsa帳戶|Ben代墊|Ariel代墊|中信銀行共用"")), ""內部轉帳(忽略)"",
  AND(E8997&lt;&gt;"""", F8997&lt;&gt;"""", N"&amp;"OT(REGEXMATCH(C8997, ""薪資""))), ""內部轉帳(忽略)"",
  REGEXMATCH(C8997, ""薪資""), ""薪資變動(不計入)"",
  REGEXMATCH(C8997, ""押金""), ""押金往來"",
  AND(E8997&lt;&gt;"""", F8997=""""), ""真實支出"",
  AND(E8997="""", F8997&lt;&gt;""""), ""真實收入"",
  TRUE, ""其他""
)"),"其他")</f>
        <v>其他</v>
      </c>
      <c r="K8997" s="270" t="str">
        <f t="shared" si="2"/>
        <v/>
      </c>
      <c r="L8997">
        <f t="shared" si="3"/>
        <v>0</v>
      </c>
    </row>
    <row r="8998">
      <c r="A8998" s="107"/>
      <c r="D8998" s="270"/>
      <c r="H8998" s="106" t="str">
        <f t="shared" si="1"/>
        <v/>
      </c>
      <c r="J8998" t="str">
        <f>IFERROR(__xludf.DUMMYFUNCTION("IFS(
  AND(REGEXMATCH(E8998, ""台銀籌備帳戶|玉山帳戶""), REGEXMATCH(C8998, ""薪資"")), ""分潤支出"",
  AND(REGEXMATCH(E8998, ""Ben帳戶|Elsa帳戶|Ben代墊|Ariel代墊|中信銀行共用""), REGEXMATCH(F8998, ""Ben帳戶|Elsa帳戶|Ben代墊|Ariel代墊|中信銀行共用"")), ""內部轉帳(忽略)"",
  AND(E8998&lt;&gt;"""", F8998&lt;&gt;"""", N"&amp;"OT(REGEXMATCH(C8998, ""薪資""))), ""內部轉帳(忽略)"",
  REGEXMATCH(C8998, ""薪資""), ""薪資變動(不計入)"",
  REGEXMATCH(C8998, ""押金""), ""押金往來"",
  AND(E8998&lt;&gt;"""", F8998=""""), ""真實支出"",
  AND(E8998="""", F8998&lt;&gt;""""), ""真實收入"",
  TRUE, ""其他""
)"),"其他")</f>
        <v>其他</v>
      </c>
      <c r="K8998" s="270" t="str">
        <f t="shared" si="2"/>
        <v/>
      </c>
      <c r="L8998">
        <f t="shared" si="3"/>
        <v>0</v>
      </c>
    </row>
    <row r="8999">
      <c r="A8999" s="107"/>
      <c r="D8999" s="270"/>
      <c r="H8999" s="106" t="str">
        <f t="shared" si="1"/>
        <v/>
      </c>
      <c r="J8999" t="str">
        <f>IFERROR(__xludf.DUMMYFUNCTION("IFS(
  AND(REGEXMATCH(E8999, ""台銀籌備帳戶|玉山帳戶""), REGEXMATCH(C8999, ""薪資"")), ""分潤支出"",
  AND(REGEXMATCH(E8999, ""Ben帳戶|Elsa帳戶|Ben代墊|Ariel代墊|中信銀行共用""), REGEXMATCH(F8999, ""Ben帳戶|Elsa帳戶|Ben代墊|Ariel代墊|中信銀行共用"")), ""內部轉帳(忽略)"",
  AND(E8999&lt;&gt;"""", F8999&lt;&gt;"""", N"&amp;"OT(REGEXMATCH(C8999, ""薪資""))), ""內部轉帳(忽略)"",
  REGEXMATCH(C8999, ""薪資""), ""薪資變動(不計入)"",
  REGEXMATCH(C8999, ""押金""), ""押金往來"",
  AND(E8999&lt;&gt;"""", F8999=""""), ""真實支出"",
  AND(E8999="""", F8999&lt;&gt;""""), ""真實收入"",
  TRUE, ""其他""
)"),"其他")</f>
        <v>其他</v>
      </c>
      <c r="K8999" s="270" t="str">
        <f t="shared" si="2"/>
        <v/>
      </c>
      <c r="L8999">
        <f t="shared" si="3"/>
        <v>0</v>
      </c>
    </row>
    <row r="9000">
      <c r="A9000" s="107"/>
      <c r="D9000" s="270"/>
      <c r="H9000" s="106" t="str">
        <f t="shared" si="1"/>
        <v/>
      </c>
      <c r="J9000" t="str">
        <f>IFERROR(__xludf.DUMMYFUNCTION("IFS(
  AND(REGEXMATCH(E9000, ""台銀籌備帳戶|玉山帳戶""), REGEXMATCH(C9000, ""薪資"")), ""分潤支出"",
  AND(REGEXMATCH(E9000, ""Ben帳戶|Elsa帳戶|Ben代墊|Ariel代墊|中信銀行共用""), REGEXMATCH(F9000, ""Ben帳戶|Elsa帳戶|Ben代墊|Ariel代墊|中信銀行共用"")), ""內部轉帳(忽略)"",
  AND(E9000&lt;&gt;"""", F9000&lt;&gt;"""", N"&amp;"OT(REGEXMATCH(C9000, ""薪資""))), ""內部轉帳(忽略)"",
  REGEXMATCH(C9000, ""薪資""), ""薪資變動(不計入)"",
  REGEXMATCH(C9000, ""押金""), ""押金往來"",
  AND(E9000&lt;&gt;"""", F9000=""""), ""真實支出"",
  AND(E9000="""", F9000&lt;&gt;""""), ""真實收入"",
  TRUE, ""其他""
)"),"其他")</f>
        <v>其他</v>
      </c>
      <c r="K9000" s="270" t="str">
        <f t="shared" si="2"/>
        <v/>
      </c>
      <c r="L9000">
        <f t="shared" si="3"/>
        <v>0</v>
      </c>
    </row>
    <row r="9001">
      <c r="A9001" s="107"/>
      <c r="D9001" s="270"/>
      <c r="H9001" s="106" t="str">
        <f t="shared" si="1"/>
        <v/>
      </c>
      <c r="J9001" t="str">
        <f>IFERROR(__xludf.DUMMYFUNCTION("IFS(
  AND(REGEXMATCH(E9001, ""台銀籌備帳戶|玉山帳戶""), REGEXMATCH(C9001, ""薪資"")), ""分潤支出"",
  AND(REGEXMATCH(E9001, ""Ben帳戶|Elsa帳戶|Ben代墊|Ariel代墊|中信銀行共用""), REGEXMATCH(F9001, ""Ben帳戶|Elsa帳戶|Ben代墊|Ariel代墊|中信銀行共用"")), ""內部轉帳(忽略)"",
  AND(E9001&lt;&gt;"""", F9001&lt;&gt;"""", N"&amp;"OT(REGEXMATCH(C9001, ""薪資""))), ""內部轉帳(忽略)"",
  REGEXMATCH(C9001, ""薪資""), ""薪資變動(不計入)"",
  REGEXMATCH(C9001, ""押金""), ""押金往來"",
  AND(E9001&lt;&gt;"""", F9001=""""), ""真實支出"",
  AND(E9001="""", F9001&lt;&gt;""""), ""真實收入"",
  TRUE, ""其他""
)"),"其他")</f>
        <v>其他</v>
      </c>
      <c r="K9001" s="270" t="str">
        <f t="shared" si="2"/>
        <v/>
      </c>
      <c r="L9001">
        <f t="shared" si="3"/>
        <v>0</v>
      </c>
    </row>
    <row r="9002">
      <c r="A9002" s="107"/>
      <c r="D9002" s="270"/>
      <c r="H9002" s="106" t="str">
        <f t="shared" si="1"/>
        <v/>
      </c>
      <c r="J9002" t="str">
        <f>IFERROR(__xludf.DUMMYFUNCTION("IFS(
  AND(REGEXMATCH(E9002, ""台銀籌備帳戶|玉山帳戶""), REGEXMATCH(C9002, ""薪資"")), ""分潤支出"",
  AND(REGEXMATCH(E9002, ""Ben帳戶|Elsa帳戶|Ben代墊|Ariel代墊|中信銀行共用""), REGEXMATCH(F9002, ""Ben帳戶|Elsa帳戶|Ben代墊|Ariel代墊|中信銀行共用"")), ""內部轉帳(忽略)"",
  AND(E9002&lt;&gt;"""", F9002&lt;&gt;"""", N"&amp;"OT(REGEXMATCH(C9002, ""薪資""))), ""內部轉帳(忽略)"",
  REGEXMATCH(C9002, ""薪資""), ""薪資變動(不計入)"",
  REGEXMATCH(C9002, ""押金""), ""押金往來"",
  AND(E9002&lt;&gt;"""", F9002=""""), ""真實支出"",
  AND(E9002="""", F9002&lt;&gt;""""), ""真實收入"",
  TRUE, ""其他""
)"),"其他")</f>
        <v>其他</v>
      </c>
      <c r="K9002" s="270" t="str">
        <f t="shared" si="2"/>
        <v/>
      </c>
      <c r="L9002">
        <f t="shared" si="3"/>
        <v>0</v>
      </c>
    </row>
    <row r="9003">
      <c r="A9003" s="107"/>
      <c r="D9003" s="270"/>
      <c r="H9003" s="106" t="str">
        <f t="shared" si="1"/>
        <v/>
      </c>
      <c r="J9003" t="str">
        <f>IFERROR(__xludf.DUMMYFUNCTION("IFS(
  AND(REGEXMATCH(E9003, ""台銀籌備帳戶|玉山帳戶""), REGEXMATCH(C9003, ""薪資"")), ""分潤支出"",
  AND(REGEXMATCH(E9003, ""Ben帳戶|Elsa帳戶|Ben代墊|Ariel代墊|中信銀行共用""), REGEXMATCH(F9003, ""Ben帳戶|Elsa帳戶|Ben代墊|Ariel代墊|中信銀行共用"")), ""內部轉帳(忽略)"",
  AND(E9003&lt;&gt;"""", F9003&lt;&gt;"""", N"&amp;"OT(REGEXMATCH(C9003, ""薪資""))), ""內部轉帳(忽略)"",
  REGEXMATCH(C9003, ""薪資""), ""薪資變動(不計入)"",
  REGEXMATCH(C9003, ""押金""), ""押金往來"",
  AND(E9003&lt;&gt;"""", F9003=""""), ""真實支出"",
  AND(E9003="""", F9003&lt;&gt;""""), ""真實收入"",
  TRUE, ""其他""
)"),"其他")</f>
        <v>其他</v>
      </c>
      <c r="K9003" s="270" t="str">
        <f t="shared" si="2"/>
        <v/>
      </c>
      <c r="L9003">
        <f t="shared" si="3"/>
        <v>0</v>
      </c>
    </row>
    <row r="9004">
      <c r="A9004" s="107"/>
      <c r="D9004" s="270"/>
      <c r="H9004" s="106" t="str">
        <f t="shared" si="1"/>
        <v/>
      </c>
      <c r="J9004" t="str">
        <f>IFERROR(__xludf.DUMMYFUNCTION("IFS(
  AND(REGEXMATCH(E9004, ""台銀籌備帳戶|玉山帳戶""), REGEXMATCH(C9004, ""薪資"")), ""分潤支出"",
  AND(REGEXMATCH(E9004, ""Ben帳戶|Elsa帳戶|Ben代墊|Ariel代墊|中信銀行共用""), REGEXMATCH(F9004, ""Ben帳戶|Elsa帳戶|Ben代墊|Ariel代墊|中信銀行共用"")), ""內部轉帳(忽略)"",
  AND(E9004&lt;&gt;"""", F9004&lt;&gt;"""", N"&amp;"OT(REGEXMATCH(C9004, ""薪資""))), ""內部轉帳(忽略)"",
  REGEXMATCH(C9004, ""薪資""), ""薪資變動(不計入)"",
  REGEXMATCH(C9004, ""押金""), ""押金往來"",
  AND(E9004&lt;&gt;"""", F9004=""""), ""真實支出"",
  AND(E9004="""", F9004&lt;&gt;""""), ""真實收入"",
  TRUE, ""其他""
)"),"其他")</f>
        <v>其他</v>
      </c>
      <c r="K9004" s="270" t="str">
        <f t="shared" si="2"/>
        <v/>
      </c>
      <c r="L9004">
        <f t="shared" si="3"/>
        <v>0</v>
      </c>
    </row>
    <row r="9005">
      <c r="A9005" s="107"/>
      <c r="D9005" s="270"/>
      <c r="H9005" s="106" t="str">
        <f t="shared" si="1"/>
        <v/>
      </c>
      <c r="J9005" t="str">
        <f>IFERROR(__xludf.DUMMYFUNCTION("IFS(
  AND(REGEXMATCH(E9005, ""台銀籌備帳戶|玉山帳戶""), REGEXMATCH(C9005, ""薪資"")), ""分潤支出"",
  AND(REGEXMATCH(E9005, ""Ben帳戶|Elsa帳戶|Ben代墊|Ariel代墊|中信銀行共用""), REGEXMATCH(F9005, ""Ben帳戶|Elsa帳戶|Ben代墊|Ariel代墊|中信銀行共用"")), ""內部轉帳(忽略)"",
  AND(E9005&lt;&gt;"""", F9005&lt;&gt;"""", N"&amp;"OT(REGEXMATCH(C9005, ""薪資""))), ""內部轉帳(忽略)"",
  REGEXMATCH(C9005, ""薪資""), ""薪資變動(不計入)"",
  REGEXMATCH(C9005, ""押金""), ""押金往來"",
  AND(E9005&lt;&gt;"""", F9005=""""), ""真實支出"",
  AND(E9005="""", F9005&lt;&gt;""""), ""真實收入"",
  TRUE, ""其他""
)"),"其他")</f>
        <v>其他</v>
      </c>
      <c r="K9005" s="270" t="str">
        <f t="shared" si="2"/>
        <v/>
      </c>
      <c r="L9005">
        <f t="shared" si="3"/>
        <v>0</v>
      </c>
    </row>
    <row r="9006">
      <c r="A9006" s="107"/>
      <c r="D9006" s="270"/>
      <c r="H9006" s="106" t="str">
        <f t="shared" si="1"/>
        <v/>
      </c>
      <c r="J9006" t="str">
        <f>IFERROR(__xludf.DUMMYFUNCTION("IFS(
  AND(REGEXMATCH(E9006, ""台銀籌備帳戶|玉山帳戶""), REGEXMATCH(C9006, ""薪資"")), ""分潤支出"",
  AND(REGEXMATCH(E9006, ""Ben帳戶|Elsa帳戶|Ben代墊|Ariel代墊|中信銀行共用""), REGEXMATCH(F9006, ""Ben帳戶|Elsa帳戶|Ben代墊|Ariel代墊|中信銀行共用"")), ""內部轉帳(忽略)"",
  AND(E9006&lt;&gt;"""", F9006&lt;&gt;"""", N"&amp;"OT(REGEXMATCH(C9006, ""薪資""))), ""內部轉帳(忽略)"",
  REGEXMATCH(C9006, ""薪資""), ""薪資變動(不計入)"",
  REGEXMATCH(C9006, ""押金""), ""押金往來"",
  AND(E9006&lt;&gt;"""", F9006=""""), ""真實支出"",
  AND(E9006="""", F9006&lt;&gt;""""), ""真實收入"",
  TRUE, ""其他""
)"),"其他")</f>
        <v>其他</v>
      </c>
      <c r="K9006" s="270" t="str">
        <f t="shared" si="2"/>
        <v/>
      </c>
      <c r="L9006">
        <f t="shared" si="3"/>
        <v>0</v>
      </c>
    </row>
    <row r="9007">
      <c r="A9007" s="107"/>
      <c r="D9007" s="270"/>
      <c r="H9007" s="106" t="str">
        <f t="shared" si="1"/>
        <v/>
      </c>
      <c r="J9007" t="str">
        <f>IFERROR(__xludf.DUMMYFUNCTION("IFS(
  AND(REGEXMATCH(E9007, ""台銀籌備帳戶|玉山帳戶""), REGEXMATCH(C9007, ""薪資"")), ""分潤支出"",
  AND(REGEXMATCH(E9007, ""Ben帳戶|Elsa帳戶|Ben代墊|Ariel代墊|中信銀行共用""), REGEXMATCH(F9007, ""Ben帳戶|Elsa帳戶|Ben代墊|Ariel代墊|中信銀行共用"")), ""內部轉帳(忽略)"",
  AND(E9007&lt;&gt;"""", F9007&lt;&gt;"""", N"&amp;"OT(REGEXMATCH(C9007, ""薪資""))), ""內部轉帳(忽略)"",
  REGEXMATCH(C9007, ""薪資""), ""薪資變動(不計入)"",
  REGEXMATCH(C9007, ""押金""), ""押金往來"",
  AND(E9007&lt;&gt;"""", F9007=""""), ""真實支出"",
  AND(E9007="""", F9007&lt;&gt;""""), ""真實收入"",
  TRUE, ""其他""
)"),"其他")</f>
        <v>其他</v>
      </c>
      <c r="K9007" s="270" t="str">
        <f t="shared" si="2"/>
        <v/>
      </c>
      <c r="L9007">
        <f t="shared" si="3"/>
        <v>0</v>
      </c>
    </row>
    <row r="9008">
      <c r="A9008" s="107"/>
      <c r="D9008" s="270"/>
      <c r="H9008" s="106" t="str">
        <f t="shared" si="1"/>
        <v/>
      </c>
      <c r="J9008" t="str">
        <f>IFERROR(__xludf.DUMMYFUNCTION("IFS(
  AND(REGEXMATCH(E9008, ""台銀籌備帳戶|玉山帳戶""), REGEXMATCH(C9008, ""薪資"")), ""分潤支出"",
  AND(REGEXMATCH(E9008, ""Ben帳戶|Elsa帳戶|Ben代墊|Ariel代墊|中信銀行共用""), REGEXMATCH(F9008, ""Ben帳戶|Elsa帳戶|Ben代墊|Ariel代墊|中信銀行共用"")), ""內部轉帳(忽略)"",
  AND(E9008&lt;&gt;"""", F9008&lt;&gt;"""", N"&amp;"OT(REGEXMATCH(C9008, ""薪資""))), ""內部轉帳(忽略)"",
  REGEXMATCH(C9008, ""薪資""), ""薪資變動(不計入)"",
  REGEXMATCH(C9008, ""押金""), ""押金往來"",
  AND(E9008&lt;&gt;"""", F9008=""""), ""真實支出"",
  AND(E9008="""", F9008&lt;&gt;""""), ""真實收入"",
  TRUE, ""其他""
)"),"其他")</f>
        <v>其他</v>
      </c>
      <c r="K9008" s="270" t="str">
        <f t="shared" si="2"/>
        <v/>
      </c>
      <c r="L9008">
        <f t="shared" si="3"/>
        <v>0</v>
      </c>
    </row>
    <row r="9009">
      <c r="A9009" s="107"/>
      <c r="D9009" s="270"/>
      <c r="H9009" s="106" t="str">
        <f t="shared" si="1"/>
        <v/>
      </c>
      <c r="J9009" t="str">
        <f>IFERROR(__xludf.DUMMYFUNCTION("IFS(
  AND(REGEXMATCH(E9009, ""台銀籌備帳戶|玉山帳戶""), REGEXMATCH(C9009, ""薪資"")), ""分潤支出"",
  AND(REGEXMATCH(E9009, ""Ben帳戶|Elsa帳戶|Ben代墊|Ariel代墊|中信銀行共用""), REGEXMATCH(F9009, ""Ben帳戶|Elsa帳戶|Ben代墊|Ariel代墊|中信銀行共用"")), ""內部轉帳(忽略)"",
  AND(E9009&lt;&gt;"""", F9009&lt;&gt;"""", N"&amp;"OT(REGEXMATCH(C9009, ""薪資""))), ""內部轉帳(忽略)"",
  REGEXMATCH(C9009, ""薪資""), ""薪資變動(不計入)"",
  REGEXMATCH(C9009, ""押金""), ""押金往來"",
  AND(E9009&lt;&gt;"""", F9009=""""), ""真實支出"",
  AND(E9009="""", F9009&lt;&gt;""""), ""真實收入"",
  TRUE, ""其他""
)"),"其他")</f>
        <v>其他</v>
      </c>
      <c r="K9009" s="270" t="str">
        <f t="shared" si="2"/>
        <v/>
      </c>
      <c r="L9009">
        <f t="shared" si="3"/>
        <v>0</v>
      </c>
    </row>
    <row r="9010">
      <c r="A9010" s="107"/>
      <c r="D9010" s="270"/>
      <c r="H9010" s="106" t="str">
        <f t="shared" si="1"/>
        <v/>
      </c>
      <c r="J9010" t="str">
        <f>IFERROR(__xludf.DUMMYFUNCTION("IFS(
  AND(REGEXMATCH(E9010, ""台銀籌備帳戶|玉山帳戶""), REGEXMATCH(C9010, ""薪資"")), ""分潤支出"",
  AND(REGEXMATCH(E9010, ""Ben帳戶|Elsa帳戶|Ben代墊|Ariel代墊|中信銀行共用""), REGEXMATCH(F9010, ""Ben帳戶|Elsa帳戶|Ben代墊|Ariel代墊|中信銀行共用"")), ""內部轉帳(忽略)"",
  AND(E9010&lt;&gt;"""", F9010&lt;&gt;"""", N"&amp;"OT(REGEXMATCH(C9010, ""薪資""))), ""內部轉帳(忽略)"",
  REGEXMATCH(C9010, ""薪資""), ""薪資變動(不計入)"",
  REGEXMATCH(C9010, ""押金""), ""押金往來"",
  AND(E9010&lt;&gt;"""", F9010=""""), ""真實支出"",
  AND(E9010="""", F9010&lt;&gt;""""), ""真實收入"",
  TRUE, ""其他""
)"),"其他")</f>
        <v>其他</v>
      </c>
      <c r="K9010" s="270" t="str">
        <f t="shared" si="2"/>
        <v/>
      </c>
      <c r="L9010">
        <f t="shared" si="3"/>
        <v>0</v>
      </c>
    </row>
    <row r="9011">
      <c r="A9011" s="107"/>
      <c r="D9011" s="270"/>
      <c r="H9011" s="106" t="str">
        <f t="shared" si="1"/>
        <v/>
      </c>
      <c r="J9011" t="str">
        <f>IFERROR(__xludf.DUMMYFUNCTION("IFS(
  AND(REGEXMATCH(E9011, ""台銀籌備帳戶|玉山帳戶""), REGEXMATCH(C9011, ""薪資"")), ""分潤支出"",
  AND(REGEXMATCH(E9011, ""Ben帳戶|Elsa帳戶|Ben代墊|Ariel代墊|中信銀行共用""), REGEXMATCH(F9011, ""Ben帳戶|Elsa帳戶|Ben代墊|Ariel代墊|中信銀行共用"")), ""內部轉帳(忽略)"",
  AND(E9011&lt;&gt;"""", F9011&lt;&gt;"""", N"&amp;"OT(REGEXMATCH(C9011, ""薪資""))), ""內部轉帳(忽略)"",
  REGEXMATCH(C9011, ""薪資""), ""薪資變動(不計入)"",
  REGEXMATCH(C9011, ""押金""), ""押金往來"",
  AND(E9011&lt;&gt;"""", F9011=""""), ""真實支出"",
  AND(E9011="""", F9011&lt;&gt;""""), ""真實收入"",
  TRUE, ""其他""
)"),"其他")</f>
        <v>其他</v>
      </c>
      <c r="K9011" s="270" t="str">
        <f t="shared" si="2"/>
        <v/>
      </c>
      <c r="L9011">
        <f t="shared" si="3"/>
        <v>0</v>
      </c>
    </row>
    <row r="9012">
      <c r="A9012" s="107"/>
      <c r="D9012" s="270"/>
      <c r="H9012" s="106" t="str">
        <f t="shared" si="1"/>
        <v/>
      </c>
      <c r="J9012" t="str">
        <f>IFERROR(__xludf.DUMMYFUNCTION("IFS(
  AND(REGEXMATCH(E9012, ""台銀籌備帳戶|玉山帳戶""), REGEXMATCH(C9012, ""薪資"")), ""分潤支出"",
  AND(REGEXMATCH(E9012, ""Ben帳戶|Elsa帳戶|Ben代墊|Ariel代墊|中信銀行共用""), REGEXMATCH(F9012, ""Ben帳戶|Elsa帳戶|Ben代墊|Ariel代墊|中信銀行共用"")), ""內部轉帳(忽略)"",
  AND(E9012&lt;&gt;"""", F9012&lt;&gt;"""", N"&amp;"OT(REGEXMATCH(C9012, ""薪資""))), ""內部轉帳(忽略)"",
  REGEXMATCH(C9012, ""薪資""), ""薪資變動(不計入)"",
  REGEXMATCH(C9012, ""押金""), ""押金往來"",
  AND(E9012&lt;&gt;"""", F9012=""""), ""真實支出"",
  AND(E9012="""", F9012&lt;&gt;""""), ""真實收入"",
  TRUE, ""其他""
)"),"其他")</f>
        <v>其他</v>
      </c>
      <c r="K9012" s="270" t="str">
        <f t="shared" si="2"/>
        <v/>
      </c>
      <c r="L9012">
        <f t="shared" si="3"/>
        <v>0</v>
      </c>
    </row>
    <row r="9013">
      <c r="A9013" s="107"/>
      <c r="D9013" s="270"/>
      <c r="H9013" s="106" t="str">
        <f t="shared" si="1"/>
        <v/>
      </c>
      <c r="J9013" t="str">
        <f>IFERROR(__xludf.DUMMYFUNCTION("IFS(
  AND(REGEXMATCH(E9013, ""台銀籌備帳戶|玉山帳戶""), REGEXMATCH(C9013, ""薪資"")), ""分潤支出"",
  AND(REGEXMATCH(E9013, ""Ben帳戶|Elsa帳戶|Ben代墊|Ariel代墊|中信銀行共用""), REGEXMATCH(F9013, ""Ben帳戶|Elsa帳戶|Ben代墊|Ariel代墊|中信銀行共用"")), ""內部轉帳(忽略)"",
  AND(E9013&lt;&gt;"""", F9013&lt;&gt;"""", N"&amp;"OT(REGEXMATCH(C9013, ""薪資""))), ""內部轉帳(忽略)"",
  REGEXMATCH(C9013, ""薪資""), ""薪資變動(不計入)"",
  REGEXMATCH(C9013, ""押金""), ""押金往來"",
  AND(E9013&lt;&gt;"""", F9013=""""), ""真實支出"",
  AND(E9013="""", F9013&lt;&gt;""""), ""真實收入"",
  TRUE, ""其他""
)"),"其他")</f>
        <v>其他</v>
      </c>
      <c r="K9013" s="270" t="str">
        <f t="shared" si="2"/>
        <v/>
      </c>
      <c r="L9013">
        <f t="shared" si="3"/>
        <v>0</v>
      </c>
    </row>
    <row r="9014">
      <c r="A9014" s="107"/>
      <c r="D9014" s="270"/>
      <c r="H9014" s="106" t="str">
        <f t="shared" si="1"/>
        <v/>
      </c>
      <c r="J9014" t="str">
        <f>IFERROR(__xludf.DUMMYFUNCTION("IFS(
  AND(REGEXMATCH(E9014, ""台銀籌備帳戶|玉山帳戶""), REGEXMATCH(C9014, ""薪資"")), ""分潤支出"",
  AND(REGEXMATCH(E9014, ""Ben帳戶|Elsa帳戶|Ben代墊|Ariel代墊|中信銀行共用""), REGEXMATCH(F9014, ""Ben帳戶|Elsa帳戶|Ben代墊|Ariel代墊|中信銀行共用"")), ""內部轉帳(忽略)"",
  AND(E9014&lt;&gt;"""", F9014&lt;&gt;"""", N"&amp;"OT(REGEXMATCH(C9014, ""薪資""))), ""內部轉帳(忽略)"",
  REGEXMATCH(C9014, ""薪資""), ""薪資變動(不計入)"",
  REGEXMATCH(C9014, ""押金""), ""押金往來"",
  AND(E9014&lt;&gt;"""", F9014=""""), ""真實支出"",
  AND(E9014="""", F9014&lt;&gt;""""), ""真實收入"",
  TRUE, ""其他""
)"),"其他")</f>
        <v>其他</v>
      </c>
      <c r="K9014" s="270" t="str">
        <f t="shared" si="2"/>
        <v/>
      </c>
      <c r="L9014">
        <f t="shared" si="3"/>
        <v>0</v>
      </c>
    </row>
    <row r="9015">
      <c r="A9015" s="107"/>
      <c r="D9015" s="270"/>
      <c r="H9015" s="106" t="str">
        <f t="shared" si="1"/>
        <v/>
      </c>
      <c r="J9015" t="str">
        <f>IFERROR(__xludf.DUMMYFUNCTION("IFS(
  AND(REGEXMATCH(E9015, ""台銀籌備帳戶|玉山帳戶""), REGEXMATCH(C9015, ""薪資"")), ""分潤支出"",
  AND(REGEXMATCH(E9015, ""Ben帳戶|Elsa帳戶|Ben代墊|Ariel代墊|中信銀行共用""), REGEXMATCH(F9015, ""Ben帳戶|Elsa帳戶|Ben代墊|Ariel代墊|中信銀行共用"")), ""內部轉帳(忽略)"",
  AND(E9015&lt;&gt;"""", F9015&lt;&gt;"""", N"&amp;"OT(REGEXMATCH(C9015, ""薪資""))), ""內部轉帳(忽略)"",
  REGEXMATCH(C9015, ""薪資""), ""薪資變動(不計入)"",
  REGEXMATCH(C9015, ""押金""), ""押金往來"",
  AND(E9015&lt;&gt;"""", F9015=""""), ""真實支出"",
  AND(E9015="""", F9015&lt;&gt;""""), ""真實收入"",
  TRUE, ""其他""
)"),"其他")</f>
        <v>其他</v>
      </c>
      <c r="K9015" s="270" t="str">
        <f t="shared" si="2"/>
        <v/>
      </c>
      <c r="L9015">
        <f t="shared" si="3"/>
        <v>0</v>
      </c>
    </row>
    <row r="9016">
      <c r="A9016" s="107"/>
      <c r="D9016" s="270"/>
      <c r="H9016" s="106" t="str">
        <f t="shared" si="1"/>
        <v/>
      </c>
      <c r="J9016" t="str">
        <f>IFERROR(__xludf.DUMMYFUNCTION("IFS(
  AND(REGEXMATCH(E9016, ""台銀籌備帳戶|玉山帳戶""), REGEXMATCH(C9016, ""薪資"")), ""分潤支出"",
  AND(REGEXMATCH(E9016, ""Ben帳戶|Elsa帳戶|Ben代墊|Ariel代墊|中信銀行共用""), REGEXMATCH(F9016, ""Ben帳戶|Elsa帳戶|Ben代墊|Ariel代墊|中信銀行共用"")), ""內部轉帳(忽略)"",
  AND(E9016&lt;&gt;"""", F9016&lt;&gt;"""", N"&amp;"OT(REGEXMATCH(C9016, ""薪資""))), ""內部轉帳(忽略)"",
  REGEXMATCH(C9016, ""薪資""), ""薪資變動(不計入)"",
  REGEXMATCH(C9016, ""押金""), ""押金往來"",
  AND(E9016&lt;&gt;"""", F9016=""""), ""真實支出"",
  AND(E9016="""", F9016&lt;&gt;""""), ""真實收入"",
  TRUE, ""其他""
)"),"其他")</f>
        <v>其他</v>
      </c>
      <c r="K9016" s="270" t="str">
        <f t="shared" si="2"/>
        <v/>
      </c>
      <c r="L9016">
        <f t="shared" si="3"/>
        <v>0</v>
      </c>
    </row>
    <row r="9017">
      <c r="A9017" s="107"/>
      <c r="D9017" s="270"/>
      <c r="H9017" s="106" t="str">
        <f t="shared" si="1"/>
        <v/>
      </c>
      <c r="J9017" t="str">
        <f>IFERROR(__xludf.DUMMYFUNCTION("IFS(
  AND(REGEXMATCH(E9017, ""台銀籌備帳戶|玉山帳戶""), REGEXMATCH(C9017, ""薪資"")), ""分潤支出"",
  AND(REGEXMATCH(E9017, ""Ben帳戶|Elsa帳戶|Ben代墊|Ariel代墊|中信銀行共用""), REGEXMATCH(F9017, ""Ben帳戶|Elsa帳戶|Ben代墊|Ariel代墊|中信銀行共用"")), ""內部轉帳(忽略)"",
  AND(E9017&lt;&gt;"""", F9017&lt;&gt;"""", N"&amp;"OT(REGEXMATCH(C9017, ""薪資""))), ""內部轉帳(忽略)"",
  REGEXMATCH(C9017, ""薪資""), ""薪資變動(不計入)"",
  REGEXMATCH(C9017, ""押金""), ""押金往來"",
  AND(E9017&lt;&gt;"""", F9017=""""), ""真實支出"",
  AND(E9017="""", F9017&lt;&gt;""""), ""真實收入"",
  TRUE, ""其他""
)"),"其他")</f>
        <v>其他</v>
      </c>
      <c r="K9017" s="270" t="str">
        <f t="shared" si="2"/>
        <v/>
      </c>
      <c r="L9017">
        <f t="shared" si="3"/>
        <v>0</v>
      </c>
    </row>
    <row r="9018">
      <c r="A9018" s="107"/>
      <c r="D9018" s="270"/>
      <c r="H9018" s="106" t="str">
        <f t="shared" si="1"/>
        <v/>
      </c>
      <c r="J9018" t="str">
        <f>IFERROR(__xludf.DUMMYFUNCTION("IFS(
  AND(REGEXMATCH(E9018, ""台銀籌備帳戶|玉山帳戶""), REGEXMATCH(C9018, ""薪資"")), ""分潤支出"",
  AND(REGEXMATCH(E9018, ""Ben帳戶|Elsa帳戶|Ben代墊|Ariel代墊|中信銀行共用""), REGEXMATCH(F9018, ""Ben帳戶|Elsa帳戶|Ben代墊|Ariel代墊|中信銀行共用"")), ""內部轉帳(忽略)"",
  AND(E9018&lt;&gt;"""", F9018&lt;&gt;"""", N"&amp;"OT(REGEXMATCH(C9018, ""薪資""))), ""內部轉帳(忽略)"",
  REGEXMATCH(C9018, ""薪資""), ""薪資變動(不計入)"",
  REGEXMATCH(C9018, ""押金""), ""押金往來"",
  AND(E9018&lt;&gt;"""", F9018=""""), ""真實支出"",
  AND(E9018="""", F9018&lt;&gt;""""), ""真實收入"",
  TRUE, ""其他""
)"),"其他")</f>
        <v>其他</v>
      </c>
      <c r="K9018" s="270" t="str">
        <f t="shared" si="2"/>
        <v/>
      </c>
      <c r="L9018">
        <f t="shared" si="3"/>
        <v>0</v>
      </c>
    </row>
    <row r="9019">
      <c r="A9019" s="107"/>
      <c r="D9019" s="270"/>
      <c r="H9019" s="106" t="str">
        <f t="shared" si="1"/>
        <v/>
      </c>
      <c r="J9019" t="str">
        <f>IFERROR(__xludf.DUMMYFUNCTION("IFS(
  AND(REGEXMATCH(E9019, ""台銀籌備帳戶|玉山帳戶""), REGEXMATCH(C9019, ""薪資"")), ""分潤支出"",
  AND(REGEXMATCH(E9019, ""Ben帳戶|Elsa帳戶|Ben代墊|Ariel代墊|中信銀行共用""), REGEXMATCH(F9019, ""Ben帳戶|Elsa帳戶|Ben代墊|Ariel代墊|中信銀行共用"")), ""內部轉帳(忽略)"",
  AND(E9019&lt;&gt;"""", F9019&lt;&gt;"""", N"&amp;"OT(REGEXMATCH(C9019, ""薪資""))), ""內部轉帳(忽略)"",
  REGEXMATCH(C9019, ""薪資""), ""薪資變動(不計入)"",
  REGEXMATCH(C9019, ""押金""), ""押金往來"",
  AND(E9019&lt;&gt;"""", F9019=""""), ""真實支出"",
  AND(E9019="""", F9019&lt;&gt;""""), ""真實收入"",
  TRUE, ""其他""
)"),"其他")</f>
        <v>其他</v>
      </c>
      <c r="K9019" s="270" t="str">
        <f t="shared" si="2"/>
        <v/>
      </c>
      <c r="L9019">
        <f t="shared" si="3"/>
        <v>0</v>
      </c>
    </row>
    <row r="9020">
      <c r="A9020" s="107"/>
      <c r="D9020" s="270"/>
      <c r="H9020" s="106" t="str">
        <f t="shared" si="1"/>
        <v/>
      </c>
      <c r="J9020" t="str">
        <f>IFERROR(__xludf.DUMMYFUNCTION("IFS(
  AND(REGEXMATCH(E9020, ""台銀籌備帳戶|玉山帳戶""), REGEXMATCH(C9020, ""薪資"")), ""分潤支出"",
  AND(REGEXMATCH(E9020, ""Ben帳戶|Elsa帳戶|Ben代墊|Ariel代墊|中信銀行共用""), REGEXMATCH(F9020, ""Ben帳戶|Elsa帳戶|Ben代墊|Ariel代墊|中信銀行共用"")), ""內部轉帳(忽略)"",
  AND(E9020&lt;&gt;"""", F9020&lt;&gt;"""", N"&amp;"OT(REGEXMATCH(C9020, ""薪資""))), ""內部轉帳(忽略)"",
  REGEXMATCH(C9020, ""薪資""), ""薪資變動(不計入)"",
  REGEXMATCH(C9020, ""押金""), ""押金往來"",
  AND(E9020&lt;&gt;"""", F9020=""""), ""真實支出"",
  AND(E9020="""", F9020&lt;&gt;""""), ""真實收入"",
  TRUE, ""其他""
)"),"其他")</f>
        <v>其他</v>
      </c>
      <c r="K9020" s="270" t="str">
        <f t="shared" si="2"/>
        <v/>
      </c>
      <c r="L9020">
        <f t="shared" si="3"/>
        <v>0</v>
      </c>
    </row>
    <row r="9021">
      <c r="A9021" s="107"/>
      <c r="D9021" s="270"/>
      <c r="H9021" s="106" t="str">
        <f t="shared" si="1"/>
        <v/>
      </c>
      <c r="J9021" t="str">
        <f>IFERROR(__xludf.DUMMYFUNCTION("IFS(
  AND(REGEXMATCH(E9021, ""台銀籌備帳戶|玉山帳戶""), REGEXMATCH(C9021, ""薪資"")), ""分潤支出"",
  AND(REGEXMATCH(E9021, ""Ben帳戶|Elsa帳戶|Ben代墊|Ariel代墊|中信銀行共用""), REGEXMATCH(F9021, ""Ben帳戶|Elsa帳戶|Ben代墊|Ariel代墊|中信銀行共用"")), ""內部轉帳(忽略)"",
  AND(E9021&lt;&gt;"""", F9021&lt;&gt;"""", N"&amp;"OT(REGEXMATCH(C9021, ""薪資""))), ""內部轉帳(忽略)"",
  REGEXMATCH(C9021, ""薪資""), ""薪資變動(不計入)"",
  REGEXMATCH(C9021, ""押金""), ""押金往來"",
  AND(E9021&lt;&gt;"""", F9021=""""), ""真實支出"",
  AND(E9021="""", F9021&lt;&gt;""""), ""真實收入"",
  TRUE, ""其他""
)"),"其他")</f>
        <v>其他</v>
      </c>
      <c r="K9021" s="270" t="str">
        <f t="shared" si="2"/>
        <v/>
      </c>
      <c r="L9021">
        <f t="shared" si="3"/>
        <v>0</v>
      </c>
    </row>
    <row r="9022">
      <c r="A9022" s="107"/>
      <c r="D9022" s="270"/>
      <c r="H9022" s="106" t="str">
        <f t="shared" si="1"/>
        <v/>
      </c>
      <c r="J9022" t="str">
        <f>IFERROR(__xludf.DUMMYFUNCTION("IFS(
  AND(REGEXMATCH(E9022, ""台銀籌備帳戶|玉山帳戶""), REGEXMATCH(C9022, ""薪資"")), ""分潤支出"",
  AND(REGEXMATCH(E9022, ""Ben帳戶|Elsa帳戶|Ben代墊|Ariel代墊|中信銀行共用""), REGEXMATCH(F9022, ""Ben帳戶|Elsa帳戶|Ben代墊|Ariel代墊|中信銀行共用"")), ""內部轉帳(忽略)"",
  AND(E9022&lt;&gt;"""", F9022&lt;&gt;"""", N"&amp;"OT(REGEXMATCH(C9022, ""薪資""))), ""內部轉帳(忽略)"",
  REGEXMATCH(C9022, ""薪資""), ""薪資變動(不計入)"",
  REGEXMATCH(C9022, ""押金""), ""押金往來"",
  AND(E9022&lt;&gt;"""", F9022=""""), ""真實支出"",
  AND(E9022="""", F9022&lt;&gt;""""), ""真實收入"",
  TRUE, ""其他""
)"),"其他")</f>
        <v>其他</v>
      </c>
      <c r="K9022" s="270" t="str">
        <f t="shared" si="2"/>
        <v/>
      </c>
      <c r="L9022">
        <f t="shared" si="3"/>
        <v>0</v>
      </c>
    </row>
    <row r="9023">
      <c r="A9023" s="107"/>
      <c r="D9023" s="270"/>
      <c r="H9023" s="106" t="str">
        <f t="shared" si="1"/>
        <v/>
      </c>
      <c r="J9023" t="str">
        <f>IFERROR(__xludf.DUMMYFUNCTION("IFS(
  AND(REGEXMATCH(E9023, ""台銀籌備帳戶|玉山帳戶""), REGEXMATCH(C9023, ""薪資"")), ""分潤支出"",
  AND(REGEXMATCH(E9023, ""Ben帳戶|Elsa帳戶|Ben代墊|Ariel代墊|中信銀行共用""), REGEXMATCH(F9023, ""Ben帳戶|Elsa帳戶|Ben代墊|Ariel代墊|中信銀行共用"")), ""內部轉帳(忽略)"",
  AND(E9023&lt;&gt;"""", F9023&lt;&gt;"""", N"&amp;"OT(REGEXMATCH(C9023, ""薪資""))), ""內部轉帳(忽略)"",
  REGEXMATCH(C9023, ""薪資""), ""薪資變動(不計入)"",
  REGEXMATCH(C9023, ""押金""), ""押金往來"",
  AND(E9023&lt;&gt;"""", F9023=""""), ""真實支出"",
  AND(E9023="""", F9023&lt;&gt;""""), ""真實收入"",
  TRUE, ""其他""
)"),"其他")</f>
        <v>其他</v>
      </c>
      <c r="K9023" s="270" t="str">
        <f t="shared" si="2"/>
        <v/>
      </c>
      <c r="L9023">
        <f t="shared" si="3"/>
        <v>0</v>
      </c>
    </row>
    <row r="9024">
      <c r="A9024" s="107"/>
      <c r="D9024" s="270"/>
      <c r="H9024" s="106" t="str">
        <f t="shared" si="1"/>
        <v/>
      </c>
      <c r="J9024" t="str">
        <f>IFERROR(__xludf.DUMMYFUNCTION("IFS(
  AND(REGEXMATCH(E9024, ""台銀籌備帳戶|玉山帳戶""), REGEXMATCH(C9024, ""薪資"")), ""分潤支出"",
  AND(REGEXMATCH(E9024, ""Ben帳戶|Elsa帳戶|Ben代墊|Ariel代墊|中信銀行共用""), REGEXMATCH(F9024, ""Ben帳戶|Elsa帳戶|Ben代墊|Ariel代墊|中信銀行共用"")), ""內部轉帳(忽略)"",
  AND(E9024&lt;&gt;"""", F9024&lt;&gt;"""", N"&amp;"OT(REGEXMATCH(C9024, ""薪資""))), ""內部轉帳(忽略)"",
  REGEXMATCH(C9024, ""薪資""), ""薪資變動(不計入)"",
  REGEXMATCH(C9024, ""押金""), ""押金往來"",
  AND(E9024&lt;&gt;"""", F9024=""""), ""真實支出"",
  AND(E9024="""", F9024&lt;&gt;""""), ""真實收入"",
  TRUE, ""其他""
)"),"其他")</f>
        <v>其他</v>
      </c>
      <c r="K9024" s="270" t="str">
        <f t="shared" si="2"/>
        <v/>
      </c>
      <c r="L9024">
        <f t="shared" si="3"/>
        <v>0</v>
      </c>
    </row>
    <row r="9025">
      <c r="A9025" s="107"/>
      <c r="D9025" s="270"/>
      <c r="H9025" s="106" t="str">
        <f t="shared" si="1"/>
        <v/>
      </c>
      <c r="J9025" t="str">
        <f>IFERROR(__xludf.DUMMYFUNCTION("IFS(
  AND(REGEXMATCH(E9025, ""台銀籌備帳戶|玉山帳戶""), REGEXMATCH(C9025, ""薪資"")), ""分潤支出"",
  AND(REGEXMATCH(E9025, ""Ben帳戶|Elsa帳戶|Ben代墊|Ariel代墊|中信銀行共用""), REGEXMATCH(F9025, ""Ben帳戶|Elsa帳戶|Ben代墊|Ariel代墊|中信銀行共用"")), ""內部轉帳(忽略)"",
  AND(E9025&lt;&gt;"""", F9025&lt;&gt;"""", N"&amp;"OT(REGEXMATCH(C9025, ""薪資""))), ""內部轉帳(忽略)"",
  REGEXMATCH(C9025, ""薪資""), ""薪資變動(不計入)"",
  REGEXMATCH(C9025, ""押金""), ""押金往來"",
  AND(E9025&lt;&gt;"""", F9025=""""), ""真實支出"",
  AND(E9025="""", F9025&lt;&gt;""""), ""真實收入"",
  TRUE, ""其他""
)"),"其他")</f>
        <v>其他</v>
      </c>
      <c r="K9025" s="270" t="str">
        <f t="shared" si="2"/>
        <v/>
      </c>
      <c r="L9025">
        <f t="shared" si="3"/>
        <v>0</v>
      </c>
    </row>
    <row r="9026">
      <c r="A9026" s="107"/>
      <c r="D9026" s="270"/>
      <c r="H9026" s="106" t="str">
        <f t="shared" si="1"/>
        <v/>
      </c>
      <c r="J9026" t="str">
        <f>IFERROR(__xludf.DUMMYFUNCTION("IFS(
  AND(REGEXMATCH(E9026, ""台銀籌備帳戶|玉山帳戶""), REGEXMATCH(C9026, ""薪資"")), ""分潤支出"",
  AND(REGEXMATCH(E9026, ""Ben帳戶|Elsa帳戶|Ben代墊|Ariel代墊|中信銀行共用""), REGEXMATCH(F9026, ""Ben帳戶|Elsa帳戶|Ben代墊|Ariel代墊|中信銀行共用"")), ""內部轉帳(忽略)"",
  AND(E9026&lt;&gt;"""", F9026&lt;&gt;"""", N"&amp;"OT(REGEXMATCH(C9026, ""薪資""))), ""內部轉帳(忽略)"",
  REGEXMATCH(C9026, ""薪資""), ""薪資變動(不計入)"",
  REGEXMATCH(C9026, ""押金""), ""押金往來"",
  AND(E9026&lt;&gt;"""", F9026=""""), ""真實支出"",
  AND(E9026="""", F9026&lt;&gt;""""), ""真實收入"",
  TRUE, ""其他""
)"),"其他")</f>
        <v>其他</v>
      </c>
      <c r="K9026" s="270" t="str">
        <f t="shared" si="2"/>
        <v/>
      </c>
      <c r="L9026">
        <f t="shared" si="3"/>
        <v>0</v>
      </c>
    </row>
    <row r="9027">
      <c r="A9027" s="107"/>
      <c r="D9027" s="270"/>
      <c r="H9027" s="106" t="str">
        <f t="shared" si="1"/>
        <v/>
      </c>
      <c r="J9027" t="str">
        <f>IFERROR(__xludf.DUMMYFUNCTION("IFS(
  AND(REGEXMATCH(E9027, ""台銀籌備帳戶|玉山帳戶""), REGEXMATCH(C9027, ""薪資"")), ""分潤支出"",
  AND(REGEXMATCH(E9027, ""Ben帳戶|Elsa帳戶|Ben代墊|Ariel代墊|中信銀行共用""), REGEXMATCH(F9027, ""Ben帳戶|Elsa帳戶|Ben代墊|Ariel代墊|中信銀行共用"")), ""內部轉帳(忽略)"",
  AND(E9027&lt;&gt;"""", F9027&lt;&gt;"""", N"&amp;"OT(REGEXMATCH(C9027, ""薪資""))), ""內部轉帳(忽略)"",
  REGEXMATCH(C9027, ""薪資""), ""薪資變動(不計入)"",
  REGEXMATCH(C9027, ""押金""), ""押金往來"",
  AND(E9027&lt;&gt;"""", F9027=""""), ""真實支出"",
  AND(E9027="""", F9027&lt;&gt;""""), ""真實收入"",
  TRUE, ""其他""
)"),"其他")</f>
        <v>其他</v>
      </c>
      <c r="K9027" s="270" t="str">
        <f t="shared" si="2"/>
        <v/>
      </c>
      <c r="L9027">
        <f t="shared" si="3"/>
        <v>0</v>
      </c>
    </row>
    <row r="9028">
      <c r="A9028" s="107"/>
      <c r="D9028" s="270"/>
      <c r="H9028" s="106" t="str">
        <f t="shared" si="1"/>
        <v/>
      </c>
      <c r="J9028" t="str">
        <f>IFERROR(__xludf.DUMMYFUNCTION("IFS(
  AND(REGEXMATCH(E9028, ""台銀籌備帳戶|玉山帳戶""), REGEXMATCH(C9028, ""薪資"")), ""分潤支出"",
  AND(REGEXMATCH(E9028, ""Ben帳戶|Elsa帳戶|Ben代墊|Ariel代墊|中信銀行共用""), REGEXMATCH(F9028, ""Ben帳戶|Elsa帳戶|Ben代墊|Ariel代墊|中信銀行共用"")), ""內部轉帳(忽略)"",
  AND(E9028&lt;&gt;"""", F9028&lt;&gt;"""", N"&amp;"OT(REGEXMATCH(C9028, ""薪資""))), ""內部轉帳(忽略)"",
  REGEXMATCH(C9028, ""薪資""), ""薪資變動(不計入)"",
  REGEXMATCH(C9028, ""押金""), ""押金往來"",
  AND(E9028&lt;&gt;"""", F9028=""""), ""真實支出"",
  AND(E9028="""", F9028&lt;&gt;""""), ""真實收入"",
  TRUE, ""其他""
)"),"其他")</f>
        <v>其他</v>
      </c>
      <c r="K9028" s="270" t="str">
        <f t="shared" si="2"/>
        <v/>
      </c>
      <c r="L9028">
        <f t="shared" si="3"/>
        <v>0</v>
      </c>
    </row>
    <row r="9029">
      <c r="A9029" s="107"/>
      <c r="D9029" s="270"/>
      <c r="H9029" s="106" t="str">
        <f t="shared" si="1"/>
        <v/>
      </c>
      <c r="J9029" t="str">
        <f>IFERROR(__xludf.DUMMYFUNCTION("IFS(
  AND(REGEXMATCH(E9029, ""台銀籌備帳戶|玉山帳戶""), REGEXMATCH(C9029, ""薪資"")), ""分潤支出"",
  AND(REGEXMATCH(E9029, ""Ben帳戶|Elsa帳戶|Ben代墊|Ariel代墊|中信銀行共用""), REGEXMATCH(F9029, ""Ben帳戶|Elsa帳戶|Ben代墊|Ariel代墊|中信銀行共用"")), ""內部轉帳(忽略)"",
  AND(E9029&lt;&gt;"""", F9029&lt;&gt;"""", N"&amp;"OT(REGEXMATCH(C9029, ""薪資""))), ""內部轉帳(忽略)"",
  REGEXMATCH(C9029, ""薪資""), ""薪資變動(不計入)"",
  REGEXMATCH(C9029, ""押金""), ""押金往來"",
  AND(E9029&lt;&gt;"""", F9029=""""), ""真實支出"",
  AND(E9029="""", F9029&lt;&gt;""""), ""真實收入"",
  TRUE, ""其他""
)"),"其他")</f>
        <v>其他</v>
      </c>
      <c r="K9029" s="270" t="str">
        <f t="shared" si="2"/>
        <v/>
      </c>
      <c r="L9029">
        <f t="shared" si="3"/>
        <v>0</v>
      </c>
    </row>
    <row r="9030">
      <c r="A9030" s="107"/>
      <c r="D9030" s="270"/>
      <c r="H9030" s="106" t="str">
        <f t="shared" si="1"/>
        <v/>
      </c>
      <c r="J9030" t="str">
        <f>IFERROR(__xludf.DUMMYFUNCTION("IFS(
  AND(REGEXMATCH(E9030, ""台銀籌備帳戶|玉山帳戶""), REGEXMATCH(C9030, ""薪資"")), ""分潤支出"",
  AND(REGEXMATCH(E9030, ""Ben帳戶|Elsa帳戶|Ben代墊|Ariel代墊|中信銀行共用""), REGEXMATCH(F9030, ""Ben帳戶|Elsa帳戶|Ben代墊|Ariel代墊|中信銀行共用"")), ""內部轉帳(忽略)"",
  AND(E9030&lt;&gt;"""", F9030&lt;&gt;"""", N"&amp;"OT(REGEXMATCH(C9030, ""薪資""))), ""內部轉帳(忽略)"",
  REGEXMATCH(C9030, ""薪資""), ""薪資變動(不計入)"",
  REGEXMATCH(C9030, ""押金""), ""押金往來"",
  AND(E9030&lt;&gt;"""", F9030=""""), ""真實支出"",
  AND(E9030="""", F9030&lt;&gt;""""), ""真實收入"",
  TRUE, ""其他""
)"),"其他")</f>
        <v>其他</v>
      </c>
      <c r="K9030" s="270" t="str">
        <f t="shared" si="2"/>
        <v/>
      </c>
      <c r="L9030">
        <f t="shared" si="3"/>
        <v>0</v>
      </c>
    </row>
    <row r="9031">
      <c r="A9031" s="107"/>
      <c r="D9031" s="270"/>
      <c r="H9031" s="106" t="str">
        <f t="shared" si="1"/>
        <v/>
      </c>
      <c r="J9031" t="str">
        <f>IFERROR(__xludf.DUMMYFUNCTION("IFS(
  AND(REGEXMATCH(E9031, ""台銀籌備帳戶|玉山帳戶""), REGEXMATCH(C9031, ""薪資"")), ""分潤支出"",
  AND(REGEXMATCH(E9031, ""Ben帳戶|Elsa帳戶|Ben代墊|Ariel代墊|中信銀行共用""), REGEXMATCH(F9031, ""Ben帳戶|Elsa帳戶|Ben代墊|Ariel代墊|中信銀行共用"")), ""內部轉帳(忽略)"",
  AND(E9031&lt;&gt;"""", F9031&lt;&gt;"""", N"&amp;"OT(REGEXMATCH(C9031, ""薪資""))), ""內部轉帳(忽略)"",
  REGEXMATCH(C9031, ""薪資""), ""薪資變動(不計入)"",
  REGEXMATCH(C9031, ""押金""), ""押金往來"",
  AND(E9031&lt;&gt;"""", F9031=""""), ""真實支出"",
  AND(E9031="""", F9031&lt;&gt;""""), ""真實收入"",
  TRUE, ""其他""
)"),"其他")</f>
        <v>其他</v>
      </c>
      <c r="K9031" s="270" t="str">
        <f t="shared" si="2"/>
        <v/>
      </c>
      <c r="L9031">
        <f t="shared" si="3"/>
        <v>0</v>
      </c>
    </row>
    <row r="9032">
      <c r="A9032" s="107"/>
      <c r="D9032" s="270"/>
      <c r="H9032" s="106" t="str">
        <f t="shared" si="1"/>
        <v/>
      </c>
      <c r="J9032" t="str">
        <f>IFERROR(__xludf.DUMMYFUNCTION("IFS(
  AND(REGEXMATCH(E9032, ""台銀籌備帳戶|玉山帳戶""), REGEXMATCH(C9032, ""薪資"")), ""分潤支出"",
  AND(REGEXMATCH(E9032, ""Ben帳戶|Elsa帳戶|Ben代墊|Ariel代墊|中信銀行共用""), REGEXMATCH(F9032, ""Ben帳戶|Elsa帳戶|Ben代墊|Ariel代墊|中信銀行共用"")), ""內部轉帳(忽略)"",
  AND(E9032&lt;&gt;"""", F9032&lt;&gt;"""", N"&amp;"OT(REGEXMATCH(C9032, ""薪資""))), ""內部轉帳(忽略)"",
  REGEXMATCH(C9032, ""薪資""), ""薪資變動(不計入)"",
  REGEXMATCH(C9032, ""押金""), ""押金往來"",
  AND(E9032&lt;&gt;"""", F9032=""""), ""真實支出"",
  AND(E9032="""", F9032&lt;&gt;""""), ""真實收入"",
  TRUE, ""其他""
)"),"其他")</f>
        <v>其他</v>
      </c>
      <c r="K9032" s="270" t="str">
        <f t="shared" si="2"/>
        <v/>
      </c>
      <c r="L9032">
        <f t="shared" si="3"/>
        <v>0</v>
      </c>
    </row>
    <row r="9033">
      <c r="A9033" s="107"/>
      <c r="D9033" s="270"/>
      <c r="H9033" s="106" t="str">
        <f t="shared" si="1"/>
        <v/>
      </c>
      <c r="J9033" t="str">
        <f>IFERROR(__xludf.DUMMYFUNCTION("IFS(
  AND(REGEXMATCH(E9033, ""台銀籌備帳戶|玉山帳戶""), REGEXMATCH(C9033, ""薪資"")), ""分潤支出"",
  AND(REGEXMATCH(E9033, ""Ben帳戶|Elsa帳戶|Ben代墊|Ariel代墊|中信銀行共用""), REGEXMATCH(F9033, ""Ben帳戶|Elsa帳戶|Ben代墊|Ariel代墊|中信銀行共用"")), ""內部轉帳(忽略)"",
  AND(E9033&lt;&gt;"""", F9033&lt;&gt;"""", N"&amp;"OT(REGEXMATCH(C9033, ""薪資""))), ""內部轉帳(忽略)"",
  REGEXMATCH(C9033, ""薪資""), ""薪資變動(不計入)"",
  REGEXMATCH(C9033, ""押金""), ""押金往來"",
  AND(E9033&lt;&gt;"""", F9033=""""), ""真實支出"",
  AND(E9033="""", F9033&lt;&gt;""""), ""真實收入"",
  TRUE, ""其他""
)"),"其他")</f>
        <v>其他</v>
      </c>
      <c r="K9033" s="270" t="str">
        <f t="shared" si="2"/>
        <v/>
      </c>
      <c r="L9033">
        <f t="shared" si="3"/>
        <v>0</v>
      </c>
    </row>
    <row r="9034">
      <c r="A9034" s="107"/>
      <c r="D9034" s="270"/>
      <c r="H9034" s="106" t="str">
        <f t="shared" si="1"/>
        <v/>
      </c>
      <c r="J9034" t="str">
        <f>IFERROR(__xludf.DUMMYFUNCTION("IFS(
  AND(REGEXMATCH(E9034, ""台銀籌備帳戶|玉山帳戶""), REGEXMATCH(C9034, ""薪資"")), ""分潤支出"",
  AND(REGEXMATCH(E9034, ""Ben帳戶|Elsa帳戶|Ben代墊|Ariel代墊|中信銀行共用""), REGEXMATCH(F9034, ""Ben帳戶|Elsa帳戶|Ben代墊|Ariel代墊|中信銀行共用"")), ""內部轉帳(忽略)"",
  AND(E9034&lt;&gt;"""", F9034&lt;&gt;"""", N"&amp;"OT(REGEXMATCH(C9034, ""薪資""))), ""內部轉帳(忽略)"",
  REGEXMATCH(C9034, ""薪資""), ""薪資變動(不計入)"",
  REGEXMATCH(C9034, ""押金""), ""押金往來"",
  AND(E9034&lt;&gt;"""", F9034=""""), ""真實支出"",
  AND(E9034="""", F9034&lt;&gt;""""), ""真實收入"",
  TRUE, ""其他""
)"),"其他")</f>
        <v>其他</v>
      </c>
      <c r="K9034" s="270" t="str">
        <f t="shared" si="2"/>
        <v/>
      </c>
      <c r="L9034">
        <f t="shared" si="3"/>
        <v>0</v>
      </c>
    </row>
    <row r="9035">
      <c r="A9035" s="107"/>
      <c r="D9035" s="270"/>
      <c r="H9035" s="106" t="str">
        <f t="shared" si="1"/>
        <v/>
      </c>
      <c r="J9035" t="str">
        <f>IFERROR(__xludf.DUMMYFUNCTION("IFS(
  AND(REGEXMATCH(E9035, ""台銀籌備帳戶|玉山帳戶""), REGEXMATCH(C9035, ""薪資"")), ""分潤支出"",
  AND(REGEXMATCH(E9035, ""Ben帳戶|Elsa帳戶|Ben代墊|Ariel代墊|中信銀行共用""), REGEXMATCH(F9035, ""Ben帳戶|Elsa帳戶|Ben代墊|Ariel代墊|中信銀行共用"")), ""內部轉帳(忽略)"",
  AND(E9035&lt;&gt;"""", F9035&lt;&gt;"""", N"&amp;"OT(REGEXMATCH(C9035, ""薪資""))), ""內部轉帳(忽略)"",
  REGEXMATCH(C9035, ""薪資""), ""薪資變動(不計入)"",
  REGEXMATCH(C9035, ""押金""), ""押金往來"",
  AND(E9035&lt;&gt;"""", F9035=""""), ""真實支出"",
  AND(E9035="""", F9035&lt;&gt;""""), ""真實收入"",
  TRUE, ""其他""
)"),"其他")</f>
        <v>其他</v>
      </c>
      <c r="K9035" s="270" t="str">
        <f t="shared" si="2"/>
        <v/>
      </c>
      <c r="L9035">
        <f t="shared" si="3"/>
        <v>0</v>
      </c>
    </row>
    <row r="9036">
      <c r="A9036" s="107"/>
      <c r="D9036" s="270"/>
      <c r="H9036" s="106" t="str">
        <f t="shared" si="1"/>
        <v/>
      </c>
      <c r="J9036" t="str">
        <f>IFERROR(__xludf.DUMMYFUNCTION("IFS(
  AND(REGEXMATCH(E9036, ""台銀籌備帳戶|玉山帳戶""), REGEXMATCH(C9036, ""薪資"")), ""分潤支出"",
  AND(REGEXMATCH(E9036, ""Ben帳戶|Elsa帳戶|Ben代墊|Ariel代墊|中信銀行共用""), REGEXMATCH(F9036, ""Ben帳戶|Elsa帳戶|Ben代墊|Ariel代墊|中信銀行共用"")), ""內部轉帳(忽略)"",
  AND(E9036&lt;&gt;"""", F9036&lt;&gt;"""", N"&amp;"OT(REGEXMATCH(C9036, ""薪資""))), ""內部轉帳(忽略)"",
  REGEXMATCH(C9036, ""薪資""), ""薪資變動(不計入)"",
  REGEXMATCH(C9036, ""押金""), ""押金往來"",
  AND(E9036&lt;&gt;"""", F9036=""""), ""真實支出"",
  AND(E9036="""", F9036&lt;&gt;""""), ""真實收入"",
  TRUE, ""其他""
)"),"其他")</f>
        <v>其他</v>
      </c>
      <c r="K9036" s="270" t="str">
        <f t="shared" si="2"/>
        <v/>
      </c>
      <c r="L9036">
        <f t="shared" si="3"/>
        <v>0</v>
      </c>
    </row>
    <row r="9037">
      <c r="A9037" s="107"/>
      <c r="D9037" s="270"/>
      <c r="H9037" s="106" t="str">
        <f t="shared" si="1"/>
        <v/>
      </c>
      <c r="J9037" t="str">
        <f>IFERROR(__xludf.DUMMYFUNCTION("IFS(
  AND(REGEXMATCH(E9037, ""台銀籌備帳戶|玉山帳戶""), REGEXMATCH(C9037, ""薪資"")), ""分潤支出"",
  AND(REGEXMATCH(E9037, ""Ben帳戶|Elsa帳戶|Ben代墊|Ariel代墊|中信銀行共用""), REGEXMATCH(F9037, ""Ben帳戶|Elsa帳戶|Ben代墊|Ariel代墊|中信銀行共用"")), ""內部轉帳(忽略)"",
  AND(E9037&lt;&gt;"""", F9037&lt;&gt;"""", N"&amp;"OT(REGEXMATCH(C9037, ""薪資""))), ""內部轉帳(忽略)"",
  REGEXMATCH(C9037, ""薪資""), ""薪資變動(不計入)"",
  REGEXMATCH(C9037, ""押金""), ""押金往來"",
  AND(E9037&lt;&gt;"""", F9037=""""), ""真實支出"",
  AND(E9037="""", F9037&lt;&gt;""""), ""真實收入"",
  TRUE, ""其他""
)"),"其他")</f>
        <v>其他</v>
      </c>
      <c r="K9037" s="270" t="str">
        <f t="shared" si="2"/>
        <v/>
      </c>
      <c r="L9037">
        <f t="shared" si="3"/>
        <v>0</v>
      </c>
    </row>
    <row r="9038">
      <c r="A9038" s="107"/>
      <c r="D9038" s="270"/>
      <c r="H9038" s="106" t="str">
        <f t="shared" si="1"/>
        <v/>
      </c>
      <c r="J9038" t="str">
        <f>IFERROR(__xludf.DUMMYFUNCTION("IFS(
  AND(REGEXMATCH(E9038, ""台銀籌備帳戶|玉山帳戶""), REGEXMATCH(C9038, ""薪資"")), ""分潤支出"",
  AND(REGEXMATCH(E9038, ""Ben帳戶|Elsa帳戶|Ben代墊|Ariel代墊|中信銀行共用""), REGEXMATCH(F9038, ""Ben帳戶|Elsa帳戶|Ben代墊|Ariel代墊|中信銀行共用"")), ""內部轉帳(忽略)"",
  AND(E9038&lt;&gt;"""", F9038&lt;&gt;"""", N"&amp;"OT(REGEXMATCH(C9038, ""薪資""))), ""內部轉帳(忽略)"",
  REGEXMATCH(C9038, ""薪資""), ""薪資變動(不計入)"",
  REGEXMATCH(C9038, ""押金""), ""押金往來"",
  AND(E9038&lt;&gt;"""", F9038=""""), ""真實支出"",
  AND(E9038="""", F9038&lt;&gt;""""), ""真實收入"",
  TRUE, ""其他""
)"),"其他")</f>
        <v>其他</v>
      </c>
      <c r="K9038" s="270" t="str">
        <f t="shared" si="2"/>
        <v/>
      </c>
      <c r="L9038">
        <f t="shared" si="3"/>
        <v>0</v>
      </c>
    </row>
    <row r="9039">
      <c r="A9039" s="107"/>
      <c r="D9039" s="270"/>
      <c r="H9039" s="106" t="str">
        <f t="shared" si="1"/>
        <v/>
      </c>
      <c r="J9039" t="str">
        <f>IFERROR(__xludf.DUMMYFUNCTION("IFS(
  AND(REGEXMATCH(E9039, ""台銀籌備帳戶|玉山帳戶""), REGEXMATCH(C9039, ""薪資"")), ""分潤支出"",
  AND(REGEXMATCH(E9039, ""Ben帳戶|Elsa帳戶|Ben代墊|Ariel代墊|中信銀行共用""), REGEXMATCH(F9039, ""Ben帳戶|Elsa帳戶|Ben代墊|Ariel代墊|中信銀行共用"")), ""內部轉帳(忽略)"",
  AND(E9039&lt;&gt;"""", F9039&lt;&gt;"""", N"&amp;"OT(REGEXMATCH(C9039, ""薪資""))), ""內部轉帳(忽略)"",
  REGEXMATCH(C9039, ""薪資""), ""薪資變動(不計入)"",
  REGEXMATCH(C9039, ""押金""), ""押金往來"",
  AND(E9039&lt;&gt;"""", F9039=""""), ""真實支出"",
  AND(E9039="""", F9039&lt;&gt;""""), ""真實收入"",
  TRUE, ""其他""
)"),"其他")</f>
        <v>其他</v>
      </c>
      <c r="K9039" s="270" t="str">
        <f t="shared" si="2"/>
        <v/>
      </c>
      <c r="L9039">
        <f t="shared" si="3"/>
        <v>0</v>
      </c>
    </row>
    <row r="9040">
      <c r="A9040" s="107"/>
      <c r="D9040" s="270"/>
      <c r="H9040" s="106" t="str">
        <f t="shared" si="1"/>
        <v/>
      </c>
      <c r="J9040" t="str">
        <f>IFERROR(__xludf.DUMMYFUNCTION("IFS(
  AND(REGEXMATCH(E9040, ""台銀籌備帳戶|玉山帳戶""), REGEXMATCH(C9040, ""薪資"")), ""分潤支出"",
  AND(REGEXMATCH(E9040, ""Ben帳戶|Elsa帳戶|Ben代墊|Ariel代墊|中信銀行共用""), REGEXMATCH(F9040, ""Ben帳戶|Elsa帳戶|Ben代墊|Ariel代墊|中信銀行共用"")), ""內部轉帳(忽略)"",
  AND(E9040&lt;&gt;"""", F9040&lt;&gt;"""", N"&amp;"OT(REGEXMATCH(C9040, ""薪資""))), ""內部轉帳(忽略)"",
  REGEXMATCH(C9040, ""薪資""), ""薪資變動(不計入)"",
  REGEXMATCH(C9040, ""押金""), ""押金往來"",
  AND(E9040&lt;&gt;"""", F9040=""""), ""真實支出"",
  AND(E9040="""", F9040&lt;&gt;""""), ""真實收入"",
  TRUE, ""其他""
)"),"其他")</f>
        <v>其他</v>
      </c>
      <c r="K9040" s="270" t="str">
        <f t="shared" si="2"/>
        <v/>
      </c>
      <c r="L9040">
        <f t="shared" si="3"/>
        <v>0</v>
      </c>
    </row>
    <row r="9041">
      <c r="A9041" s="107"/>
      <c r="D9041" s="270"/>
      <c r="H9041" s="106" t="str">
        <f t="shared" si="1"/>
        <v/>
      </c>
      <c r="J9041" t="str">
        <f>IFERROR(__xludf.DUMMYFUNCTION("IFS(
  AND(REGEXMATCH(E9041, ""台銀籌備帳戶|玉山帳戶""), REGEXMATCH(C9041, ""薪資"")), ""分潤支出"",
  AND(REGEXMATCH(E9041, ""Ben帳戶|Elsa帳戶|Ben代墊|Ariel代墊|中信銀行共用""), REGEXMATCH(F9041, ""Ben帳戶|Elsa帳戶|Ben代墊|Ariel代墊|中信銀行共用"")), ""內部轉帳(忽略)"",
  AND(E9041&lt;&gt;"""", F9041&lt;&gt;"""", N"&amp;"OT(REGEXMATCH(C9041, ""薪資""))), ""內部轉帳(忽略)"",
  REGEXMATCH(C9041, ""薪資""), ""薪資變動(不計入)"",
  REGEXMATCH(C9041, ""押金""), ""押金往來"",
  AND(E9041&lt;&gt;"""", F9041=""""), ""真實支出"",
  AND(E9041="""", F9041&lt;&gt;""""), ""真實收入"",
  TRUE, ""其他""
)"),"其他")</f>
        <v>其他</v>
      </c>
      <c r="K9041" s="270" t="str">
        <f t="shared" si="2"/>
        <v/>
      </c>
      <c r="L9041">
        <f t="shared" si="3"/>
        <v>0</v>
      </c>
    </row>
    <row r="9042">
      <c r="A9042" s="107"/>
      <c r="D9042" s="270"/>
      <c r="H9042" s="106" t="str">
        <f t="shared" si="1"/>
        <v/>
      </c>
      <c r="J9042" t="str">
        <f>IFERROR(__xludf.DUMMYFUNCTION("IFS(
  AND(REGEXMATCH(E9042, ""台銀籌備帳戶|玉山帳戶""), REGEXMATCH(C9042, ""薪資"")), ""分潤支出"",
  AND(REGEXMATCH(E9042, ""Ben帳戶|Elsa帳戶|Ben代墊|Ariel代墊|中信銀行共用""), REGEXMATCH(F9042, ""Ben帳戶|Elsa帳戶|Ben代墊|Ariel代墊|中信銀行共用"")), ""內部轉帳(忽略)"",
  AND(E9042&lt;&gt;"""", F9042&lt;&gt;"""", N"&amp;"OT(REGEXMATCH(C9042, ""薪資""))), ""內部轉帳(忽略)"",
  REGEXMATCH(C9042, ""薪資""), ""薪資變動(不計入)"",
  REGEXMATCH(C9042, ""押金""), ""押金往來"",
  AND(E9042&lt;&gt;"""", F9042=""""), ""真實支出"",
  AND(E9042="""", F9042&lt;&gt;""""), ""真實收入"",
  TRUE, ""其他""
)"),"其他")</f>
        <v>其他</v>
      </c>
      <c r="K9042" s="270" t="str">
        <f t="shared" si="2"/>
        <v/>
      </c>
      <c r="L9042">
        <f t="shared" si="3"/>
        <v>0</v>
      </c>
    </row>
    <row r="9043">
      <c r="A9043" s="107"/>
      <c r="D9043" s="270"/>
      <c r="H9043" s="106" t="str">
        <f t="shared" si="1"/>
        <v/>
      </c>
      <c r="J9043" t="str">
        <f>IFERROR(__xludf.DUMMYFUNCTION("IFS(
  AND(REGEXMATCH(E9043, ""台銀籌備帳戶|玉山帳戶""), REGEXMATCH(C9043, ""薪資"")), ""分潤支出"",
  AND(REGEXMATCH(E9043, ""Ben帳戶|Elsa帳戶|Ben代墊|Ariel代墊|中信銀行共用""), REGEXMATCH(F9043, ""Ben帳戶|Elsa帳戶|Ben代墊|Ariel代墊|中信銀行共用"")), ""內部轉帳(忽略)"",
  AND(E9043&lt;&gt;"""", F9043&lt;&gt;"""", N"&amp;"OT(REGEXMATCH(C9043, ""薪資""))), ""內部轉帳(忽略)"",
  REGEXMATCH(C9043, ""薪資""), ""薪資變動(不計入)"",
  REGEXMATCH(C9043, ""押金""), ""押金往來"",
  AND(E9043&lt;&gt;"""", F9043=""""), ""真實支出"",
  AND(E9043="""", F9043&lt;&gt;""""), ""真實收入"",
  TRUE, ""其他""
)"),"其他")</f>
        <v>其他</v>
      </c>
      <c r="K9043" s="270" t="str">
        <f t="shared" si="2"/>
        <v/>
      </c>
      <c r="L9043">
        <f t="shared" si="3"/>
        <v>0</v>
      </c>
    </row>
    <row r="9044">
      <c r="A9044" s="107"/>
      <c r="D9044" s="270"/>
      <c r="H9044" s="106" t="str">
        <f t="shared" si="1"/>
        <v/>
      </c>
      <c r="J9044" t="str">
        <f>IFERROR(__xludf.DUMMYFUNCTION("IFS(
  AND(REGEXMATCH(E9044, ""台銀籌備帳戶|玉山帳戶""), REGEXMATCH(C9044, ""薪資"")), ""分潤支出"",
  AND(REGEXMATCH(E9044, ""Ben帳戶|Elsa帳戶|Ben代墊|Ariel代墊|中信銀行共用""), REGEXMATCH(F9044, ""Ben帳戶|Elsa帳戶|Ben代墊|Ariel代墊|中信銀行共用"")), ""內部轉帳(忽略)"",
  AND(E9044&lt;&gt;"""", F9044&lt;&gt;"""", N"&amp;"OT(REGEXMATCH(C9044, ""薪資""))), ""內部轉帳(忽略)"",
  REGEXMATCH(C9044, ""薪資""), ""薪資變動(不計入)"",
  REGEXMATCH(C9044, ""押金""), ""押金往來"",
  AND(E9044&lt;&gt;"""", F9044=""""), ""真實支出"",
  AND(E9044="""", F9044&lt;&gt;""""), ""真實收入"",
  TRUE, ""其他""
)"),"其他")</f>
        <v>其他</v>
      </c>
      <c r="K9044" s="270" t="str">
        <f t="shared" si="2"/>
        <v/>
      </c>
      <c r="L9044">
        <f t="shared" si="3"/>
        <v>0</v>
      </c>
    </row>
    <row r="9045">
      <c r="A9045" s="107"/>
      <c r="D9045" s="270"/>
      <c r="H9045" s="106" t="str">
        <f t="shared" si="1"/>
        <v/>
      </c>
      <c r="J9045" t="str">
        <f>IFERROR(__xludf.DUMMYFUNCTION("IFS(
  AND(REGEXMATCH(E9045, ""台銀籌備帳戶|玉山帳戶""), REGEXMATCH(C9045, ""薪資"")), ""分潤支出"",
  AND(REGEXMATCH(E9045, ""Ben帳戶|Elsa帳戶|Ben代墊|Ariel代墊|中信銀行共用""), REGEXMATCH(F9045, ""Ben帳戶|Elsa帳戶|Ben代墊|Ariel代墊|中信銀行共用"")), ""內部轉帳(忽略)"",
  AND(E9045&lt;&gt;"""", F9045&lt;&gt;"""", N"&amp;"OT(REGEXMATCH(C9045, ""薪資""))), ""內部轉帳(忽略)"",
  REGEXMATCH(C9045, ""薪資""), ""薪資變動(不計入)"",
  REGEXMATCH(C9045, ""押金""), ""押金往來"",
  AND(E9045&lt;&gt;"""", F9045=""""), ""真實支出"",
  AND(E9045="""", F9045&lt;&gt;""""), ""真實收入"",
  TRUE, ""其他""
)"),"其他")</f>
        <v>其他</v>
      </c>
      <c r="K9045" s="270" t="str">
        <f t="shared" si="2"/>
        <v/>
      </c>
      <c r="L9045">
        <f t="shared" si="3"/>
        <v>0</v>
      </c>
    </row>
    <row r="9046">
      <c r="A9046" s="107"/>
      <c r="D9046" s="270"/>
      <c r="H9046" s="106" t="str">
        <f t="shared" si="1"/>
        <v/>
      </c>
      <c r="J9046" t="str">
        <f>IFERROR(__xludf.DUMMYFUNCTION("IFS(
  AND(REGEXMATCH(E9046, ""台銀籌備帳戶|玉山帳戶""), REGEXMATCH(C9046, ""薪資"")), ""分潤支出"",
  AND(REGEXMATCH(E9046, ""Ben帳戶|Elsa帳戶|Ben代墊|Ariel代墊|中信銀行共用""), REGEXMATCH(F9046, ""Ben帳戶|Elsa帳戶|Ben代墊|Ariel代墊|中信銀行共用"")), ""內部轉帳(忽略)"",
  AND(E9046&lt;&gt;"""", F9046&lt;&gt;"""", N"&amp;"OT(REGEXMATCH(C9046, ""薪資""))), ""內部轉帳(忽略)"",
  REGEXMATCH(C9046, ""薪資""), ""薪資變動(不計入)"",
  REGEXMATCH(C9046, ""押金""), ""押金往來"",
  AND(E9046&lt;&gt;"""", F9046=""""), ""真實支出"",
  AND(E9046="""", F9046&lt;&gt;""""), ""真實收入"",
  TRUE, ""其他""
)"),"其他")</f>
        <v>其他</v>
      </c>
      <c r="K9046" s="270" t="str">
        <f t="shared" si="2"/>
        <v/>
      </c>
      <c r="L9046">
        <f t="shared" si="3"/>
        <v>0</v>
      </c>
    </row>
    <row r="9047">
      <c r="A9047" s="107"/>
      <c r="D9047" s="270"/>
      <c r="H9047" s="106" t="str">
        <f t="shared" si="1"/>
        <v/>
      </c>
      <c r="J9047" t="str">
        <f>IFERROR(__xludf.DUMMYFUNCTION("IFS(
  AND(REGEXMATCH(E9047, ""台銀籌備帳戶|玉山帳戶""), REGEXMATCH(C9047, ""薪資"")), ""分潤支出"",
  AND(REGEXMATCH(E9047, ""Ben帳戶|Elsa帳戶|Ben代墊|Ariel代墊|中信銀行共用""), REGEXMATCH(F9047, ""Ben帳戶|Elsa帳戶|Ben代墊|Ariel代墊|中信銀行共用"")), ""內部轉帳(忽略)"",
  AND(E9047&lt;&gt;"""", F9047&lt;&gt;"""", N"&amp;"OT(REGEXMATCH(C9047, ""薪資""))), ""內部轉帳(忽略)"",
  REGEXMATCH(C9047, ""薪資""), ""薪資變動(不計入)"",
  REGEXMATCH(C9047, ""押金""), ""押金往來"",
  AND(E9047&lt;&gt;"""", F9047=""""), ""真實支出"",
  AND(E9047="""", F9047&lt;&gt;""""), ""真實收入"",
  TRUE, ""其他""
)"),"其他")</f>
        <v>其他</v>
      </c>
      <c r="K9047" s="270" t="str">
        <f t="shared" si="2"/>
        <v/>
      </c>
      <c r="L9047">
        <f t="shared" si="3"/>
        <v>0</v>
      </c>
    </row>
    <row r="9048">
      <c r="A9048" s="107"/>
      <c r="D9048" s="270"/>
      <c r="H9048" s="106" t="str">
        <f t="shared" si="1"/>
        <v/>
      </c>
      <c r="J9048" t="str">
        <f>IFERROR(__xludf.DUMMYFUNCTION("IFS(
  AND(REGEXMATCH(E9048, ""台銀籌備帳戶|玉山帳戶""), REGEXMATCH(C9048, ""薪資"")), ""分潤支出"",
  AND(REGEXMATCH(E9048, ""Ben帳戶|Elsa帳戶|Ben代墊|Ariel代墊|中信銀行共用""), REGEXMATCH(F9048, ""Ben帳戶|Elsa帳戶|Ben代墊|Ariel代墊|中信銀行共用"")), ""內部轉帳(忽略)"",
  AND(E9048&lt;&gt;"""", F9048&lt;&gt;"""", N"&amp;"OT(REGEXMATCH(C9048, ""薪資""))), ""內部轉帳(忽略)"",
  REGEXMATCH(C9048, ""薪資""), ""薪資變動(不計入)"",
  REGEXMATCH(C9048, ""押金""), ""押金往來"",
  AND(E9048&lt;&gt;"""", F9048=""""), ""真實支出"",
  AND(E9048="""", F9048&lt;&gt;""""), ""真實收入"",
  TRUE, ""其他""
)"),"其他")</f>
        <v>其他</v>
      </c>
      <c r="K9048" s="270" t="str">
        <f t="shared" si="2"/>
        <v/>
      </c>
      <c r="L9048">
        <f t="shared" si="3"/>
        <v>0</v>
      </c>
    </row>
    <row r="9049">
      <c r="A9049" s="107"/>
      <c r="D9049" s="270"/>
      <c r="H9049" s="106" t="str">
        <f t="shared" si="1"/>
        <v/>
      </c>
      <c r="J9049" t="str">
        <f>IFERROR(__xludf.DUMMYFUNCTION("IFS(
  AND(REGEXMATCH(E9049, ""台銀籌備帳戶|玉山帳戶""), REGEXMATCH(C9049, ""薪資"")), ""分潤支出"",
  AND(REGEXMATCH(E9049, ""Ben帳戶|Elsa帳戶|Ben代墊|Ariel代墊|中信銀行共用""), REGEXMATCH(F9049, ""Ben帳戶|Elsa帳戶|Ben代墊|Ariel代墊|中信銀行共用"")), ""內部轉帳(忽略)"",
  AND(E9049&lt;&gt;"""", F9049&lt;&gt;"""", N"&amp;"OT(REGEXMATCH(C9049, ""薪資""))), ""內部轉帳(忽略)"",
  REGEXMATCH(C9049, ""薪資""), ""薪資變動(不計入)"",
  REGEXMATCH(C9049, ""押金""), ""押金往來"",
  AND(E9049&lt;&gt;"""", F9049=""""), ""真實支出"",
  AND(E9049="""", F9049&lt;&gt;""""), ""真實收入"",
  TRUE, ""其他""
)"),"其他")</f>
        <v>其他</v>
      </c>
      <c r="K9049" s="270" t="str">
        <f t="shared" si="2"/>
        <v/>
      </c>
      <c r="L9049">
        <f t="shared" si="3"/>
        <v>0</v>
      </c>
    </row>
    <row r="9050">
      <c r="A9050" s="107"/>
      <c r="D9050" s="270"/>
      <c r="H9050" s="106" t="str">
        <f t="shared" si="1"/>
        <v/>
      </c>
      <c r="J9050" t="str">
        <f>IFERROR(__xludf.DUMMYFUNCTION("IFS(
  AND(REGEXMATCH(E9050, ""台銀籌備帳戶|玉山帳戶""), REGEXMATCH(C9050, ""薪資"")), ""分潤支出"",
  AND(REGEXMATCH(E9050, ""Ben帳戶|Elsa帳戶|Ben代墊|Ariel代墊|中信銀行共用""), REGEXMATCH(F9050, ""Ben帳戶|Elsa帳戶|Ben代墊|Ariel代墊|中信銀行共用"")), ""內部轉帳(忽略)"",
  AND(E9050&lt;&gt;"""", F9050&lt;&gt;"""", N"&amp;"OT(REGEXMATCH(C9050, ""薪資""))), ""內部轉帳(忽略)"",
  REGEXMATCH(C9050, ""薪資""), ""薪資變動(不計入)"",
  REGEXMATCH(C9050, ""押金""), ""押金往來"",
  AND(E9050&lt;&gt;"""", F9050=""""), ""真實支出"",
  AND(E9050="""", F9050&lt;&gt;""""), ""真實收入"",
  TRUE, ""其他""
)"),"其他")</f>
        <v>其他</v>
      </c>
      <c r="K9050" s="270" t="str">
        <f t="shared" si="2"/>
        <v/>
      </c>
      <c r="L9050">
        <f t="shared" si="3"/>
        <v>0</v>
      </c>
    </row>
    <row r="9051">
      <c r="A9051" s="107"/>
      <c r="D9051" s="270"/>
      <c r="H9051" s="106" t="str">
        <f t="shared" si="1"/>
        <v/>
      </c>
      <c r="J9051" t="str">
        <f>IFERROR(__xludf.DUMMYFUNCTION("IFS(
  AND(REGEXMATCH(E9051, ""台銀籌備帳戶|玉山帳戶""), REGEXMATCH(C9051, ""薪資"")), ""分潤支出"",
  AND(REGEXMATCH(E9051, ""Ben帳戶|Elsa帳戶|Ben代墊|Ariel代墊|中信銀行共用""), REGEXMATCH(F9051, ""Ben帳戶|Elsa帳戶|Ben代墊|Ariel代墊|中信銀行共用"")), ""內部轉帳(忽略)"",
  AND(E9051&lt;&gt;"""", F9051&lt;&gt;"""", N"&amp;"OT(REGEXMATCH(C9051, ""薪資""))), ""內部轉帳(忽略)"",
  REGEXMATCH(C9051, ""薪資""), ""薪資變動(不計入)"",
  REGEXMATCH(C9051, ""押金""), ""押金往來"",
  AND(E9051&lt;&gt;"""", F9051=""""), ""真實支出"",
  AND(E9051="""", F9051&lt;&gt;""""), ""真實收入"",
  TRUE, ""其他""
)"),"其他")</f>
        <v>其他</v>
      </c>
      <c r="K9051" s="270" t="str">
        <f t="shared" si="2"/>
        <v/>
      </c>
      <c r="L9051">
        <f t="shared" si="3"/>
        <v>0</v>
      </c>
    </row>
    <row r="9052">
      <c r="A9052" s="107"/>
      <c r="D9052" s="270"/>
      <c r="H9052" s="106" t="str">
        <f t="shared" si="1"/>
        <v/>
      </c>
      <c r="J9052" t="str">
        <f>IFERROR(__xludf.DUMMYFUNCTION("IFS(
  AND(REGEXMATCH(E9052, ""台銀籌備帳戶|玉山帳戶""), REGEXMATCH(C9052, ""薪資"")), ""分潤支出"",
  AND(REGEXMATCH(E9052, ""Ben帳戶|Elsa帳戶|Ben代墊|Ariel代墊|中信銀行共用""), REGEXMATCH(F9052, ""Ben帳戶|Elsa帳戶|Ben代墊|Ariel代墊|中信銀行共用"")), ""內部轉帳(忽略)"",
  AND(E9052&lt;&gt;"""", F9052&lt;&gt;"""", N"&amp;"OT(REGEXMATCH(C9052, ""薪資""))), ""內部轉帳(忽略)"",
  REGEXMATCH(C9052, ""薪資""), ""薪資變動(不計入)"",
  REGEXMATCH(C9052, ""押金""), ""押金往來"",
  AND(E9052&lt;&gt;"""", F9052=""""), ""真實支出"",
  AND(E9052="""", F9052&lt;&gt;""""), ""真實收入"",
  TRUE, ""其他""
)"),"其他")</f>
        <v>其他</v>
      </c>
      <c r="K9052" s="270" t="str">
        <f t="shared" si="2"/>
        <v/>
      </c>
      <c r="L9052">
        <f t="shared" si="3"/>
        <v>0</v>
      </c>
    </row>
    <row r="9053">
      <c r="A9053" s="107"/>
      <c r="D9053" s="270"/>
      <c r="H9053" s="106" t="str">
        <f t="shared" si="1"/>
        <v/>
      </c>
      <c r="J9053" t="str">
        <f>IFERROR(__xludf.DUMMYFUNCTION("IFS(
  AND(REGEXMATCH(E9053, ""台銀籌備帳戶|玉山帳戶""), REGEXMATCH(C9053, ""薪資"")), ""分潤支出"",
  AND(REGEXMATCH(E9053, ""Ben帳戶|Elsa帳戶|Ben代墊|Ariel代墊|中信銀行共用""), REGEXMATCH(F9053, ""Ben帳戶|Elsa帳戶|Ben代墊|Ariel代墊|中信銀行共用"")), ""內部轉帳(忽略)"",
  AND(E9053&lt;&gt;"""", F9053&lt;&gt;"""", N"&amp;"OT(REGEXMATCH(C9053, ""薪資""))), ""內部轉帳(忽略)"",
  REGEXMATCH(C9053, ""薪資""), ""薪資變動(不計入)"",
  REGEXMATCH(C9053, ""押金""), ""押金往來"",
  AND(E9053&lt;&gt;"""", F9053=""""), ""真實支出"",
  AND(E9053="""", F9053&lt;&gt;""""), ""真實收入"",
  TRUE, ""其他""
)"),"其他")</f>
        <v>其他</v>
      </c>
      <c r="K9053" s="270" t="str">
        <f t="shared" si="2"/>
        <v/>
      </c>
      <c r="L9053">
        <f t="shared" si="3"/>
        <v>0</v>
      </c>
    </row>
    <row r="9054">
      <c r="A9054" s="107"/>
      <c r="D9054" s="270"/>
      <c r="H9054" s="106" t="str">
        <f t="shared" si="1"/>
        <v/>
      </c>
      <c r="J9054" t="str">
        <f>IFERROR(__xludf.DUMMYFUNCTION("IFS(
  AND(REGEXMATCH(E9054, ""台銀籌備帳戶|玉山帳戶""), REGEXMATCH(C9054, ""薪資"")), ""分潤支出"",
  AND(REGEXMATCH(E9054, ""Ben帳戶|Elsa帳戶|Ben代墊|Ariel代墊|中信銀行共用""), REGEXMATCH(F9054, ""Ben帳戶|Elsa帳戶|Ben代墊|Ariel代墊|中信銀行共用"")), ""內部轉帳(忽略)"",
  AND(E9054&lt;&gt;"""", F9054&lt;&gt;"""", N"&amp;"OT(REGEXMATCH(C9054, ""薪資""))), ""內部轉帳(忽略)"",
  REGEXMATCH(C9054, ""薪資""), ""薪資變動(不計入)"",
  REGEXMATCH(C9054, ""押金""), ""押金往來"",
  AND(E9054&lt;&gt;"""", F9054=""""), ""真實支出"",
  AND(E9054="""", F9054&lt;&gt;""""), ""真實收入"",
  TRUE, ""其他""
)"),"其他")</f>
        <v>其他</v>
      </c>
      <c r="K9054" s="270" t="str">
        <f t="shared" si="2"/>
        <v/>
      </c>
      <c r="L9054">
        <f t="shared" si="3"/>
        <v>0</v>
      </c>
    </row>
    <row r="9055">
      <c r="A9055" s="107"/>
      <c r="D9055" s="270"/>
      <c r="H9055" s="106" t="str">
        <f t="shared" si="1"/>
        <v/>
      </c>
      <c r="J9055" t="str">
        <f>IFERROR(__xludf.DUMMYFUNCTION("IFS(
  AND(REGEXMATCH(E9055, ""台銀籌備帳戶|玉山帳戶""), REGEXMATCH(C9055, ""薪資"")), ""分潤支出"",
  AND(REGEXMATCH(E9055, ""Ben帳戶|Elsa帳戶|Ben代墊|Ariel代墊|中信銀行共用""), REGEXMATCH(F9055, ""Ben帳戶|Elsa帳戶|Ben代墊|Ariel代墊|中信銀行共用"")), ""內部轉帳(忽略)"",
  AND(E9055&lt;&gt;"""", F9055&lt;&gt;"""", N"&amp;"OT(REGEXMATCH(C9055, ""薪資""))), ""內部轉帳(忽略)"",
  REGEXMATCH(C9055, ""薪資""), ""薪資變動(不計入)"",
  REGEXMATCH(C9055, ""押金""), ""押金往來"",
  AND(E9055&lt;&gt;"""", F9055=""""), ""真實支出"",
  AND(E9055="""", F9055&lt;&gt;""""), ""真實收入"",
  TRUE, ""其他""
)"),"其他")</f>
        <v>其他</v>
      </c>
      <c r="K9055" s="270" t="str">
        <f t="shared" si="2"/>
        <v/>
      </c>
      <c r="L9055">
        <f t="shared" si="3"/>
        <v>0</v>
      </c>
    </row>
    <row r="9056">
      <c r="A9056" s="107"/>
      <c r="D9056" s="270"/>
      <c r="H9056" s="106" t="str">
        <f t="shared" si="1"/>
        <v/>
      </c>
      <c r="J9056" t="str">
        <f>IFERROR(__xludf.DUMMYFUNCTION("IFS(
  AND(REGEXMATCH(E9056, ""台銀籌備帳戶|玉山帳戶""), REGEXMATCH(C9056, ""薪資"")), ""分潤支出"",
  AND(REGEXMATCH(E9056, ""Ben帳戶|Elsa帳戶|Ben代墊|Ariel代墊|中信銀行共用""), REGEXMATCH(F9056, ""Ben帳戶|Elsa帳戶|Ben代墊|Ariel代墊|中信銀行共用"")), ""內部轉帳(忽略)"",
  AND(E9056&lt;&gt;"""", F9056&lt;&gt;"""", N"&amp;"OT(REGEXMATCH(C9056, ""薪資""))), ""內部轉帳(忽略)"",
  REGEXMATCH(C9056, ""薪資""), ""薪資變動(不計入)"",
  REGEXMATCH(C9056, ""押金""), ""押金往來"",
  AND(E9056&lt;&gt;"""", F9056=""""), ""真實支出"",
  AND(E9056="""", F9056&lt;&gt;""""), ""真實收入"",
  TRUE, ""其他""
)"),"其他")</f>
        <v>其他</v>
      </c>
      <c r="K9056" s="270" t="str">
        <f t="shared" si="2"/>
        <v/>
      </c>
      <c r="L9056">
        <f t="shared" si="3"/>
        <v>0</v>
      </c>
    </row>
    <row r="9057">
      <c r="A9057" s="107"/>
      <c r="D9057" s="270"/>
      <c r="H9057" s="106" t="str">
        <f t="shared" si="1"/>
        <v/>
      </c>
      <c r="J9057" t="str">
        <f>IFERROR(__xludf.DUMMYFUNCTION("IFS(
  AND(REGEXMATCH(E9057, ""台銀籌備帳戶|玉山帳戶""), REGEXMATCH(C9057, ""薪資"")), ""分潤支出"",
  AND(REGEXMATCH(E9057, ""Ben帳戶|Elsa帳戶|Ben代墊|Ariel代墊|中信銀行共用""), REGEXMATCH(F9057, ""Ben帳戶|Elsa帳戶|Ben代墊|Ariel代墊|中信銀行共用"")), ""內部轉帳(忽略)"",
  AND(E9057&lt;&gt;"""", F9057&lt;&gt;"""", N"&amp;"OT(REGEXMATCH(C9057, ""薪資""))), ""內部轉帳(忽略)"",
  REGEXMATCH(C9057, ""薪資""), ""薪資變動(不計入)"",
  REGEXMATCH(C9057, ""押金""), ""押金往來"",
  AND(E9057&lt;&gt;"""", F9057=""""), ""真實支出"",
  AND(E9057="""", F9057&lt;&gt;""""), ""真實收入"",
  TRUE, ""其他""
)"),"其他")</f>
        <v>其他</v>
      </c>
      <c r="K9057" s="270" t="str">
        <f t="shared" si="2"/>
        <v/>
      </c>
      <c r="L9057">
        <f t="shared" si="3"/>
        <v>0</v>
      </c>
    </row>
    <row r="9058">
      <c r="A9058" s="107"/>
      <c r="D9058" s="270"/>
      <c r="H9058" s="106" t="str">
        <f t="shared" si="1"/>
        <v/>
      </c>
      <c r="J9058" t="str">
        <f>IFERROR(__xludf.DUMMYFUNCTION("IFS(
  AND(REGEXMATCH(E9058, ""台銀籌備帳戶|玉山帳戶""), REGEXMATCH(C9058, ""薪資"")), ""分潤支出"",
  AND(REGEXMATCH(E9058, ""Ben帳戶|Elsa帳戶|Ben代墊|Ariel代墊|中信銀行共用""), REGEXMATCH(F9058, ""Ben帳戶|Elsa帳戶|Ben代墊|Ariel代墊|中信銀行共用"")), ""內部轉帳(忽略)"",
  AND(E9058&lt;&gt;"""", F9058&lt;&gt;"""", N"&amp;"OT(REGEXMATCH(C9058, ""薪資""))), ""內部轉帳(忽略)"",
  REGEXMATCH(C9058, ""薪資""), ""薪資變動(不計入)"",
  REGEXMATCH(C9058, ""押金""), ""押金往來"",
  AND(E9058&lt;&gt;"""", F9058=""""), ""真實支出"",
  AND(E9058="""", F9058&lt;&gt;""""), ""真實收入"",
  TRUE, ""其他""
)"),"其他")</f>
        <v>其他</v>
      </c>
      <c r="K9058" s="270" t="str">
        <f t="shared" si="2"/>
        <v/>
      </c>
      <c r="L9058">
        <f t="shared" si="3"/>
        <v>0</v>
      </c>
    </row>
    <row r="9059">
      <c r="A9059" s="107"/>
      <c r="D9059" s="270"/>
      <c r="H9059" s="106" t="str">
        <f t="shared" si="1"/>
        <v/>
      </c>
      <c r="J9059" t="str">
        <f>IFERROR(__xludf.DUMMYFUNCTION("IFS(
  AND(REGEXMATCH(E9059, ""台銀籌備帳戶|玉山帳戶""), REGEXMATCH(C9059, ""薪資"")), ""分潤支出"",
  AND(REGEXMATCH(E9059, ""Ben帳戶|Elsa帳戶|Ben代墊|Ariel代墊|中信銀行共用""), REGEXMATCH(F9059, ""Ben帳戶|Elsa帳戶|Ben代墊|Ariel代墊|中信銀行共用"")), ""內部轉帳(忽略)"",
  AND(E9059&lt;&gt;"""", F9059&lt;&gt;"""", N"&amp;"OT(REGEXMATCH(C9059, ""薪資""))), ""內部轉帳(忽略)"",
  REGEXMATCH(C9059, ""薪資""), ""薪資變動(不計入)"",
  REGEXMATCH(C9059, ""押金""), ""押金往來"",
  AND(E9059&lt;&gt;"""", F9059=""""), ""真實支出"",
  AND(E9059="""", F9059&lt;&gt;""""), ""真實收入"",
  TRUE, ""其他""
)"),"其他")</f>
        <v>其他</v>
      </c>
      <c r="K9059" s="270" t="str">
        <f t="shared" si="2"/>
        <v/>
      </c>
      <c r="L9059">
        <f t="shared" si="3"/>
        <v>0</v>
      </c>
    </row>
    <row r="9060">
      <c r="A9060" s="107"/>
      <c r="D9060" s="270"/>
      <c r="H9060" s="106" t="str">
        <f t="shared" si="1"/>
        <v/>
      </c>
      <c r="J9060" t="str">
        <f>IFERROR(__xludf.DUMMYFUNCTION("IFS(
  AND(REGEXMATCH(E9060, ""台銀籌備帳戶|玉山帳戶""), REGEXMATCH(C9060, ""薪資"")), ""分潤支出"",
  AND(REGEXMATCH(E9060, ""Ben帳戶|Elsa帳戶|Ben代墊|Ariel代墊|中信銀行共用""), REGEXMATCH(F9060, ""Ben帳戶|Elsa帳戶|Ben代墊|Ariel代墊|中信銀行共用"")), ""內部轉帳(忽略)"",
  AND(E9060&lt;&gt;"""", F9060&lt;&gt;"""", N"&amp;"OT(REGEXMATCH(C9060, ""薪資""))), ""內部轉帳(忽略)"",
  REGEXMATCH(C9060, ""薪資""), ""薪資變動(不計入)"",
  REGEXMATCH(C9060, ""押金""), ""押金往來"",
  AND(E9060&lt;&gt;"""", F9060=""""), ""真實支出"",
  AND(E9060="""", F9060&lt;&gt;""""), ""真實收入"",
  TRUE, ""其他""
)"),"其他")</f>
        <v>其他</v>
      </c>
      <c r="K9060" s="270" t="str">
        <f t="shared" si="2"/>
        <v/>
      </c>
      <c r="L9060">
        <f t="shared" si="3"/>
        <v>0</v>
      </c>
    </row>
    <row r="9061">
      <c r="A9061" s="107"/>
      <c r="D9061" s="270"/>
      <c r="H9061" s="106" t="str">
        <f t="shared" si="1"/>
        <v/>
      </c>
      <c r="J9061" t="str">
        <f>IFERROR(__xludf.DUMMYFUNCTION("IFS(
  AND(REGEXMATCH(E9061, ""台銀籌備帳戶|玉山帳戶""), REGEXMATCH(C9061, ""薪資"")), ""分潤支出"",
  AND(REGEXMATCH(E9061, ""Ben帳戶|Elsa帳戶|Ben代墊|Ariel代墊|中信銀行共用""), REGEXMATCH(F9061, ""Ben帳戶|Elsa帳戶|Ben代墊|Ariel代墊|中信銀行共用"")), ""內部轉帳(忽略)"",
  AND(E9061&lt;&gt;"""", F9061&lt;&gt;"""", N"&amp;"OT(REGEXMATCH(C9061, ""薪資""))), ""內部轉帳(忽略)"",
  REGEXMATCH(C9061, ""薪資""), ""薪資變動(不計入)"",
  REGEXMATCH(C9061, ""押金""), ""押金往來"",
  AND(E9061&lt;&gt;"""", F9061=""""), ""真實支出"",
  AND(E9061="""", F9061&lt;&gt;""""), ""真實收入"",
  TRUE, ""其他""
)"),"其他")</f>
        <v>其他</v>
      </c>
      <c r="K9061" s="270" t="str">
        <f t="shared" si="2"/>
        <v/>
      </c>
      <c r="L9061">
        <f t="shared" si="3"/>
        <v>0</v>
      </c>
    </row>
    <row r="9062">
      <c r="A9062" s="107"/>
      <c r="D9062" s="270"/>
      <c r="H9062" s="106" t="str">
        <f t="shared" si="1"/>
        <v/>
      </c>
      <c r="J9062" t="str">
        <f>IFERROR(__xludf.DUMMYFUNCTION("IFS(
  AND(REGEXMATCH(E9062, ""台銀籌備帳戶|玉山帳戶""), REGEXMATCH(C9062, ""薪資"")), ""分潤支出"",
  AND(REGEXMATCH(E9062, ""Ben帳戶|Elsa帳戶|Ben代墊|Ariel代墊|中信銀行共用""), REGEXMATCH(F9062, ""Ben帳戶|Elsa帳戶|Ben代墊|Ariel代墊|中信銀行共用"")), ""內部轉帳(忽略)"",
  AND(E9062&lt;&gt;"""", F9062&lt;&gt;"""", N"&amp;"OT(REGEXMATCH(C9062, ""薪資""))), ""內部轉帳(忽略)"",
  REGEXMATCH(C9062, ""薪資""), ""薪資變動(不計入)"",
  REGEXMATCH(C9062, ""押金""), ""押金往來"",
  AND(E9062&lt;&gt;"""", F9062=""""), ""真實支出"",
  AND(E9062="""", F9062&lt;&gt;""""), ""真實收入"",
  TRUE, ""其他""
)"),"其他")</f>
        <v>其他</v>
      </c>
      <c r="K9062" s="270" t="str">
        <f t="shared" si="2"/>
        <v/>
      </c>
      <c r="L9062">
        <f t="shared" si="3"/>
        <v>0</v>
      </c>
    </row>
    <row r="9063">
      <c r="A9063" s="107"/>
      <c r="D9063" s="270"/>
      <c r="H9063" s="106" t="str">
        <f t="shared" si="1"/>
        <v/>
      </c>
      <c r="J9063" t="str">
        <f>IFERROR(__xludf.DUMMYFUNCTION("IFS(
  AND(REGEXMATCH(E9063, ""台銀籌備帳戶|玉山帳戶""), REGEXMATCH(C9063, ""薪資"")), ""分潤支出"",
  AND(REGEXMATCH(E9063, ""Ben帳戶|Elsa帳戶|Ben代墊|Ariel代墊|中信銀行共用""), REGEXMATCH(F9063, ""Ben帳戶|Elsa帳戶|Ben代墊|Ariel代墊|中信銀行共用"")), ""內部轉帳(忽略)"",
  AND(E9063&lt;&gt;"""", F9063&lt;&gt;"""", N"&amp;"OT(REGEXMATCH(C9063, ""薪資""))), ""內部轉帳(忽略)"",
  REGEXMATCH(C9063, ""薪資""), ""薪資變動(不計入)"",
  REGEXMATCH(C9063, ""押金""), ""押金往來"",
  AND(E9063&lt;&gt;"""", F9063=""""), ""真實支出"",
  AND(E9063="""", F9063&lt;&gt;""""), ""真實收入"",
  TRUE, ""其他""
)"),"其他")</f>
        <v>其他</v>
      </c>
      <c r="K9063" s="270" t="str">
        <f t="shared" si="2"/>
        <v/>
      </c>
      <c r="L9063">
        <f t="shared" si="3"/>
        <v>0</v>
      </c>
    </row>
    <row r="9064">
      <c r="A9064" s="107"/>
      <c r="D9064" s="270"/>
      <c r="H9064" s="106" t="str">
        <f t="shared" si="1"/>
        <v/>
      </c>
      <c r="J9064" t="str">
        <f>IFERROR(__xludf.DUMMYFUNCTION("IFS(
  AND(REGEXMATCH(E9064, ""台銀籌備帳戶|玉山帳戶""), REGEXMATCH(C9064, ""薪資"")), ""分潤支出"",
  AND(REGEXMATCH(E9064, ""Ben帳戶|Elsa帳戶|Ben代墊|Ariel代墊|中信銀行共用""), REGEXMATCH(F9064, ""Ben帳戶|Elsa帳戶|Ben代墊|Ariel代墊|中信銀行共用"")), ""內部轉帳(忽略)"",
  AND(E9064&lt;&gt;"""", F9064&lt;&gt;"""", N"&amp;"OT(REGEXMATCH(C9064, ""薪資""))), ""內部轉帳(忽略)"",
  REGEXMATCH(C9064, ""薪資""), ""薪資變動(不計入)"",
  REGEXMATCH(C9064, ""押金""), ""押金往來"",
  AND(E9064&lt;&gt;"""", F9064=""""), ""真實支出"",
  AND(E9064="""", F9064&lt;&gt;""""), ""真實收入"",
  TRUE, ""其他""
)"),"其他")</f>
        <v>其他</v>
      </c>
      <c r="K9064" s="270" t="str">
        <f t="shared" si="2"/>
        <v/>
      </c>
      <c r="L9064">
        <f t="shared" si="3"/>
        <v>0</v>
      </c>
    </row>
    <row r="9065">
      <c r="A9065" s="107"/>
      <c r="D9065" s="270"/>
      <c r="H9065" s="106" t="str">
        <f t="shared" si="1"/>
        <v/>
      </c>
      <c r="J9065" t="str">
        <f>IFERROR(__xludf.DUMMYFUNCTION("IFS(
  AND(REGEXMATCH(E9065, ""台銀籌備帳戶|玉山帳戶""), REGEXMATCH(C9065, ""薪資"")), ""分潤支出"",
  AND(REGEXMATCH(E9065, ""Ben帳戶|Elsa帳戶|Ben代墊|Ariel代墊|中信銀行共用""), REGEXMATCH(F9065, ""Ben帳戶|Elsa帳戶|Ben代墊|Ariel代墊|中信銀行共用"")), ""內部轉帳(忽略)"",
  AND(E9065&lt;&gt;"""", F9065&lt;&gt;"""", N"&amp;"OT(REGEXMATCH(C9065, ""薪資""))), ""內部轉帳(忽略)"",
  REGEXMATCH(C9065, ""薪資""), ""薪資變動(不計入)"",
  REGEXMATCH(C9065, ""押金""), ""押金往來"",
  AND(E9065&lt;&gt;"""", F9065=""""), ""真實支出"",
  AND(E9065="""", F9065&lt;&gt;""""), ""真實收入"",
  TRUE, ""其他""
)"),"其他")</f>
        <v>其他</v>
      </c>
      <c r="K9065" s="270" t="str">
        <f t="shared" si="2"/>
        <v/>
      </c>
      <c r="L9065">
        <f t="shared" si="3"/>
        <v>0</v>
      </c>
    </row>
    <row r="9066">
      <c r="A9066" s="107"/>
      <c r="D9066" s="270"/>
      <c r="H9066" s="106" t="str">
        <f t="shared" si="1"/>
        <v/>
      </c>
      <c r="J9066" t="str">
        <f>IFERROR(__xludf.DUMMYFUNCTION("IFS(
  AND(REGEXMATCH(E9066, ""台銀籌備帳戶|玉山帳戶""), REGEXMATCH(C9066, ""薪資"")), ""分潤支出"",
  AND(REGEXMATCH(E9066, ""Ben帳戶|Elsa帳戶|Ben代墊|Ariel代墊|中信銀行共用""), REGEXMATCH(F9066, ""Ben帳戶|Elsa帳戶|Ben代墊|Ariel代墊|中信銀行共用"")), ""內部轉帳(忽略)"",
  AND(E9066&lt;&gt;"""", F9066&lt;&gt;"""", N"&amp;"OT(REGEXMATCH(C9066, ""薪資""))), ""內部轉帳(忽略)"",
  REGEXMATCH(C9066, ""薪資""), ""薪資變動(不計入)"",
  REGEXMATCH(C9066, ""押金""), ""押金往來"",
  AND(E9066&lt;&gt;"""", F9066=""""), ""真實支出"",
  AND(E9066="""", F9066&lt;&gt;""""), ""真實收入"",
  TRUE, ""其他""
)"),"其他")</f>
        <v>其他</v>
      </c>
      <c r="K9066" s="270" t="str">
        <f t="shared" si="2"/>
        <v/>
      </c>
      <c r="L9066">
        <f t="shared" si="3"/>
        <v>0</v>
      </c>
    </row>
    <row r="9067">
      <c r="A9067" s="107"/>
      <c r="D9067" s="270"/>
      <c r="H9067" s="106" t="str">
        <f t="shared" si="1"/>
        <v/>
      </c>
      <c r="J9067" t="str">
        <f>IFERROR(__xludf.DUMMYFUNCTION("IFS(
  AND(REGEXMATCH(E9067, ""台銀籌備帳戶|玉山帳戶""), REGEXMATCH(C9067, ""薪資"")), ""分潤支出"",
  AND(REGEXMATCH(E9067, ""Ben帳戶|Elsa帳戶|Ben代墊|Ariel代墊|中信銀行共用""), REGEXMATCH(F9067, ""Ben帳戶|Elsa帳戶|Ben代墊|Ariel代墊|中信銀行共用"")), ""內部轉帳(忽略)"",
  AND(E9067&lt;&gt;"""", F9067&lt;&gt;"""", N"&amp;"OT(REGEXMATCH(C9067, ""薪資""))), ""內部轉帳(忽略)"",
  REGEXMATCH(C9067, ""薪資""), ""薪資變動(不計入)"",
  REGEXMATCH(C9067, ""押金""), ""押金往來"",
  AND(E9067&lt;&gt;"""", F9067=""""), ""真實支出"",
  AND(E9067="""", F9067&lt;&gt;""""), ""真實收入"",
  TRUE, ""其他""
)"),"其他")</f>
        <v>其他</v>
      </c>
      <c r="K9067" s="270" t="str">
        <f t="shared" si="2"/>
        <v/>
      </c>
      <c r="L9067">
        <f t="shared" si="3"/>
        <v>0</v>
      </c>
    </row>
    <row r="9068">
      <c r="A9068" s="107"/>
      <c r="D9068" s="270"/>
      <c r="H9068" s="106" t="str">
        <f t="shared" si="1"/>
        <v/>
      </c>
      <c r="J9068" t="str">
        <f>IFERROR(__xludf.DUMMYFUNCTION("IFS(
  AND(REGEXMATCH(E9068, ""台銀籌備帳戶|玉山帳戶""), REGEXMATCH(C9068, ""薪資"")), ""分潤支出"",
  AND(REGEXMATCH(E9068, ""Ben帳戶|Elsa帳戶|Ben代墊|Ariel代墊|中信銀行共用""), REGEXMATCH(F9068, ""Ben帳戶|Elsa帳戶|Ben代墊|Ariel代墊|中信銀行共用"")), ""內部轉帳(忽略)"",
  AND(E9068&lt;&gt;"""", F9068&lt;&gt;"""", N"&amp;"OT(REGEXMATCH(C9068, ""薪資""))), ""內部轉帳(忽略)"",
  REGEXMATCH(C9068, ""薪資""), ""薪資變動(不計入)"",
  REGEXMATCH(C9068, ""押金""), ""押金往來"",
  AND(E9068&lt;&gt;"""", F9068=""""), ""真實支出"",
  AND(E9068="""", F9068&lt;&gt;""""), ""真實收入"",
  TRUE, ""其他""
)"),"其他")</f>
        <v>其他</v>
      </c>
      <c r="K9068" s="270" t="str">
        <f t="shared" si="2"/>
        <v/>
      </c>
      <c r="L9068">
        <f t="shared" si="3"/>
        <v>0</v>
      </c>
    </row>
    <row r="9069">
      <c r="A9069" s="107"/>
      <c r="D9069" s="270"/>
      <c r="H9069" s="106" t="str">
        <f t="shared" si="1"/>
        <v/>
      </c>
      <c r="J9069" t="str">
        <f>IFERROR(__xludf.DUMMYFUNCTION("IFS(
  AND(REGEXMATCH(E9069, ""台銀籌備帳戶|玉山帳戶""), REGEXMATCH(C9069, ""薪資"")), ""分潤支出"",
  AND(REGEXMATCH(E9069, ""Ben帳戶|Elsa帳戶|Ben代墊|Ariel代墊|中信銀行共用""), REGEXMATCH(F9069, ""Ben帳戶|Elsa帳戶|Ben代墊|Ariel代墊|中信銀行共用"")), ""內部轉帳(忽略)"",
  AND(E9069&lt;&gt;"""", F9069&lt;&gt;"""", N"&amp;"OT(REGEXMATCH(C9069, ""薪資""))), ""內部轉帳(忽略)"",
  REGEXMATCH(C9069, ""薪資""), ""薪資變動(不計入)"",
  REGEXMATCH(C9069, ""押金""), ""押金往來"",
  AND(E9069&lt;&gt;"""", F9069=""""), ""真實支出"",
  AND(E9069="""", F9069&lt;&gt;""""), ""真實收入"",
  TRUE, ""其他""
)"),"其他")</f>
        <v>其他</v>
      </c>
      <c r="K9069" s="270" t="str">
        <f t="shared" si="2"/>
        <v/>
      </c>
      <c r="L9069">
        <f t="shared" si="3"/>
        <v>0</v>
      </c>
    </row>
    <row r="9070">
      <c r="A9070" s="107"/>
      <c r="D9070" s="270"/>
      <c r="H9070" s="106" t="str">
        <f t="shared" si="1"/>
        <v/>
      </c>
      <c r="J9070" t="str">
        <f>IFERROR(__xludf.DUMMYFUNCTION("IFS(
  AND(REGEXMATCH(E9070, ""台銀籌備帳戶|玉山帳戶""), REGEXMATCH(C9070, ""薪資"")), ""分潤支出"",
  AND(REGEXMATCH(E9070, ""Ben帳戶|Elsa帳戶|Ben代墊|Ariel代墊|中信銀行共用""), REGEXMATCH(F9070, ""Ben帳戶|Elsa帳戶|Ben代墊|Ariel代墊|中信銀行共用"")), ""內部轉帳(忽略)"",
  AND(E9070&lt;&gt;"""", F9070&lt;&gt;"""", N"&amp;"OT(REGEXMATCH(C9070, ""薪資""))), ""內部轉帳(忽略)"",
  REGEXMATCH(C9070, ""薪資""), ""薪資變動(不計入)"",
  REGEXMATCH(C9070, ""押金""), ""押金往來"",
  AND(E9070&lt;&gt;"""", F9070=""""), ""真實支出"",
  AND(E9070="""", F9070&lt;&gt;""""), ""真實收入"",
  TRUE, ""其他""
)"),"其他")</f>
        <v>其他</v>
      </c>
      <c r="K9070" s="270" t="str">
        <f t="shared" si="2"/>
        <v/>
      </c>
      <c r="L9070">
        <f t="shared" si="3"/>
        <v>0</v>
      </c>
    </row>
    <row r="9071">
      <c r="A9071" s="107"/>
      <c r="D9071" s="270"/>
      <c r="H9071" s="106" t="str">
        <f t="shared" si="1"/>
        <v/>
      </c>
      <c r="J9071" t="str">
        <f>IFERROR(__xludf.DUMMYFUNCTION("IFS(
  AND(REGEXMATCH(E9071, ""台銀籌備帳戶|玉山帳戶""), REGEXMATCH(C9071, ""薪資"")), ""分潤支出"",
  AND(REGEXMATCH(E9071, ""Ben帳戶|Elsa帳戶|Ben代墊|Ariel代墊|中信銀行共用""), REGEXMATCH(F9071, ""Ben帳戶|Elsa帳戶|Ben代墊|Ariel代墊|中信銀行共用"")), ""內部轉帳(忽略)"",
  AND(E9071&lt;&gt;"""", F9071&lt;&gt;"""", N"&amp;"OT(REGEXMATCH(C9071, ""薪資""))), ""內部轉帳(忽略)"",
  REGEXMATCH(C9071, ""薪資""), ""薪資變動(不計入)"",
  REGEXMATCH(C9071, ""押金""), ""押金往來"",
  AND(E9071&lt;&gt;"""", F9071=""""), ""真實支出"",
  AND(E9071="""", F9071&lt;&gt;""""), ""真實收入"",
  TRUE, ""其他""
)"),"其他")</f>
        <v>其他</v>
      </c>
      <c r="K9071" s="270" t="str">
        <f t="shared" si="2"/>
        <v/>
      </c>
      <c r="L9071">
        <f t="shared" si="3"/>
        <v>0</v>
      </c>
    </row>
    <row r="9072">
      <c r="A9072" s="107"/>
      <c r="D9072" s="270"/>
      <c r="H9072" s="106" t="str">
        <f t="shared" si="1"/>
        <v/>
      </c>
      <c r="J9072" t="str">
        <f>IFERROR(__xludf.DUMMYFUNCTION("IFS(
  AND(REGEXMATCH(E9072, ""台銀籌備帳戶|玉山帳戶""), REGEXMATCH(C9072, ""薪資"")), ""分潤支出"",
  AND(REGEXMATCH(E9072, ""Ben帳戶|Elsa帳戶|Ben代墊|Ariel代墊|中信銀行共用""), REGEXMATCH(F9072, ""Ben帳戶|Elsa帳戶|Ben代墊|Ariel代墊|中信銀行共用"")), ""內部轉帳(忽略)"",
  AND(E9072&lt;&gt;"""", F9072&lt;&gt;"""", N"&amp;"OT(REGEXMATCH(C9072, ""薪資""))), ""內部轉帳(忽略)"",
  REGEXMATCH(C9072, ""薪資""), ""薪資變動(不計入)"",
  REGEXMATCH(C9072, ""押金""), ""押金往來"",
  AND(E9072&lt;&gt;"""", F9072=""""), ""真實支出"",
  AND(E9072="""", F9072&lt;&gt;""""), ""真實收入"",
  TRUE, ""其他""
)"),"其他")</f>
        <v>其他</v>
      </c>
      <c r="K9072" s="270" t="str">
        <f t="shared" si="2"/>
        <v/>
      </c>
      <c r="L9072">
        <f t="shared" si="3"/>
        <v>0</v>
      </c>
    </row>
    <row r="9073">
      <c r="A9073" s="107"/>
      <c r="D9073" s="270"/>
      <c r="H9073" s="106" t="str">
        <f t="shared" si="1"/>
        <v/>
      </c>
      <c r="J9073" t="str">
        <f>IFERROR(__xludf.DUMMYFUNCTION("IFS(
  AND(REGEXMATCH(E9073, ""台銀籌備帳戶|玉山帳戶""), REGEXMATCH(C9073, ""薪資"")), ""分潤支出"",
  AND(REGEXMATCH(E9073, ""Ben帳戶|Elsa帳戶|Ben代墊|Ariel代墊|中信銀行共用""), REGEXMATCH(F9073, ""Ben帳戶|Elsa帳戶|Ben代墊|Ariel代墊|中信銀行共用"")), ""內部轉帳(忽略)"",
  AND(E9073&lt;&gt;"""", F9073&lt;&gt;"""", N"&amp;"OT(REGEXMATCH(C9073, ""薪資""))), ""內部轉帳(忽略)"",
  REGEXMATCH(C9073, ""薪資""), ""薪資變動(不計入)"",
  REGEXMATCH(C9073, ""押金""), ""押金往來"",
  AND(E9073&lt;&gt;"""", F9073=""""), ""真實支出"",
  AND(E9073="""", F9073&lt;&gt;""""), ""真實收入"",
  TRUE, ""其他""
)"),"其他")</f>
        <v>其他</v>
      </c>
      <c r="K9073" s="270" t="str">
        <f t="shared" si="2"/>
        <v/>
      </c>
      <c r="L9073">
        <f t="shared" si="3"/>
        <v>0</v>
      </c>
    </row>
    <row r="9074">
      <c r="A9074" s="107"/>
      <c r="D9074" s="270"/>
      <c r="H9074" s="106" t="str">
        <f t="shared" si="1"/>
        <v/>
      </c>
      <c r="J9074" t="str">
        <f>IFERROR(__xludf.DUMMYFUNCTION("IFS(
  AND(REGEXMATCH(E9074, ""台銀籌備帳戶|玉山帳戶""), REGEXMATCH(C9074, ""薪資"")), ""分潤支出"",
  AND(REGEXMATCH(E9074, ""Ben帳戶|Elsa帳戶|Ben代墊|Ariel代墊|中信銀行共用""), REGEXMATCH(F9074, ""Ben帳戶|Elsa帳戶|Ben代墊|Ariel代墊|中信銀行共用"")), ""內部轉帳(忽略)"",
  AND(E9074&lt;&gt;"""", F9074&lt;&gt;"""", N"&amp;"OT(REGEXMATCH(C9074, ""薪資""))), ""內部轉帳(忽略)"",
  REGEXMATCH(C9074, ""薪資""), ""薪資變動(不計入)"",
  REGEXMATCH(C9074, ""押金""), ""押金往來"",
  AND(E9074&lt;&gt;"""", F9074=""""), ""真實支出"",
  AND(E9074="""", F9074&lt;&gt;""""), ""真實收入"",
  TRUE, ""其他""
)"),"其他")</f>
        <v>其他</v>
      </c>
      <c r="K9074" s="270" t="str">
        <f t="shared" si="2"/>
        <v/>
      </c>
      <c r="L9074">
        <f t="shared" si="3"/>
        <v>0</v>
      </c>
    </row>
    <row r="9075">
      <c r="A9075" s="107"/>
      <c r="D9075" s="270"/>
      <c r="H9075" s="106" t="str">
        <f t="shared" si="1"/>
        <v/>
      </c>
      <c r="J9075" t="str">
        <f>IFERROR(__xludf.DUMMYFUNCTION("IFS(
  AND(REGEXMATCH(E9075, ""台銀籌備帳戶|玉山帳戶""), REGEXMATCH(C9075, ""薪資"")), ""分潤支出"",
  AND(REGEXMATCH(E9075, ""Ben帳戶|Elsa帳戶|Ben代墊|Ariel代墊|中信銀行共用""), REGEXMATCH(F9075, ""Ben帳戶|Elsa帳戶|Ben代墊|Ariel代墊|中信銀行共用"")), ""內部轉帳(忽略)"",
  AND(E9075&lt;&gt;"""", F9075&lt;&gt;"""", N"&amp;"OT(REGEXMATCH(C9075, ""薪資""))), ""內部轉帳(忽略)"",
  REGEXMATCH(C9075, ""薪資""), ""薪資變動(不計入)"",
  REGEXMATCH(C9075, ""押金""), ""押金往來"",
  AND(E9075&lt;&gt;"""", F9075=""""), ""真實支出"",
  AND(E9075="""", F9075&lt;&gt;""""), ""真實收入"",
  TRUE, ""其他""
)"),"其他")</f>
        <v>其他</v>
      </c>
      <c r="K9075" s="270" t="str">
        <f t="shared" si="2"/>
        <v/>
      </c>
      <c r="L9075">
        <f t="shared" si="3"/>
        <v>0</v>
      </c>
    </row>
    <row r="9076">
      <c r="A9076" s="107"/>
      <c r="D9076" s="270"/>
      <c r="H9076" s="106" t="str">
        <f t="shared" si="1"/>
        <v/>
      </c>
      <c r="J9076" t="str">
        <f>IFERROR(__xludf.DUMMYFUNCTION("IFS(
  AND(REGEXMATCH(E9076, ""台銀籌備帳戶|玉山帳戶""), REGEXMATCH(C9076, ""薪資"")), ""分潤支出"",
  AND(REGEXMATCH(E9076, ""Ben帳戶|Elsa帳戶|Ben代墊|Ariel代墊|中信銀行共用""), REGEXMATCH(F9076, ""Ben帳戶|Elsa帳戶|Ben代墊|Ariel代墊|中信銀行共用"")), ""內部轉帳(忽略)"",
  AND(E9076&lt;&gt;"""", F9076&lt;&gt;"""", N"&amp;"OT(REGEXMATCH(C9076, ""薪資""))), ""內部轉帳(忽略)"",
  REGEXMATCH(C9076, ""薪資""), ""薪資變動(不計入)"",
  REGEXMATCH(C9076, ""押金""), ""押金往來"",
  AND(E9076&lt;&gt;"""", F9076=""""), ""真實支出"",
  AND(E9076="""", F9076&lt;&gt;""""), ""真實收入"",
  TRUE, ""其他""
)"),"其他")</f>
        <v>其他</v>
      </c>
      <c r="K9076" s="270" t="str">
        <f t="shared" si="2"/>
        <v/>
      </c>
      <c r="L9076">
        <f t="shared" si="3"/>
        <v>0</v>
      </c>
    </row>
    <row r="9077">
      <c r="A9077" s="107"/>
      <c r="D9077" s="270"/>
      <c r="H9077" s="106" t="str">
        <f t="shared" si="1"/>
        <v/>
      </c>
      <c r="J9077" t="str">
        <f>IFERROR(__xludf.DUMMYFUNCTION("IFS(
  AND(REGEXMATCH(E9077, ""台銀籌備帳戶|玉山帳戶""), REGEXMATCH(C9077, ""薪資"")), ""分潤支出"",
  AND(REGEXMATCH(E9077, ""Ben帳戶|Elsa帳戶|Ben代墊|Ariel代墊|中信銀行共用""), REGEXMATCH(F9077, ""Ben帳戶|Elsa帳戶|Ben代墊|Ariel代墊|中信銀行共用"")), ""內部轉帳(忽略)"",
  AND(E9077&lt;&gt;"""", F9077&lt;&gt;"""", N"&amp;"OT(REGEXMATCH(C9077, ""薪資""))), ""內部轉帳(忽略)"",
  REGEXMATCH(C9077, ""薪資""), ""薪資變動(不計入)"",
  REGEXMATCH(C9077, ""押金""), ""押金往來"",
  AND(E9077&lt;&gt;"""", F9077=""""), ""真實支出"",
  AND(E9077="""", F9077&lt;&gt;""""), ""真實收入"",
  TRUE, ""其他""
)"),"其他")</f>
        <v>其他</v>
      </c>
      <c r="K9077" s="270" t="str">
        <f t="shared" si="2"/>
        <v/>
      </c>
      <c r="L9077">
        <f t="shared" si="3"/>
        <v>0</v>
      </c>
    </row>
    <row r="9078">
      <c r="A9078" s="107"/>
      <c r="D9078" s="270"/>
      <c r="H9078" s="106" t="str">
        <f t="shared" si="1"/>
        <v/>
      </c>
      <c r="J9078" t="str">
        <f>IFERROR(__xludf.DUMMYFUNCTION("IFS(
  AND(REGEXMATCH(E9078, ""台銀籌備帳戶|玉山帳戶""), REGEXMATCH(C9078, ""薪資"")), ""分潤支出"",
  AND(REGEXMATCH(E9078, ""Ben帳戶|Elsa帳戶|Ben代墊|Ariel代墊|中信銀行共用""), REGEXMATCH(F9078, ""Ben帳戶|Elsa帳戶|Ben代墊|Ariel代墊|中信銀行共用"")), ""內部轉帳(忽略)"",
  AND(E9078&lt;&gt;"""", F9078&lt;&gt;"""", N"&amp;"OT(REGEXMATCH(C9078, ""薪資""))), ""內部轉帳(忽略)"",
  REGEXMATCH(C9078, ""薪資""), ""薪資變動(不計入)"",
  REGEXMATCH(C9078, ""押金""), ""押金往來"",
  AND(E9078&lt;&gt;"""", F9078=""""), ""真實支出"",
  AND(E9078="""", F9078&lt;&gt;""""), ""真實收入"",
  TRUE, ""其他""
)"),"其他")</f>
        <v>其他</v>
      </c>
      <c r="K9078" s="270" t="str">
        <f t="shared" si="2"/>
        <v/>
      </c>
      <c r="L9078">
        <f t="shared" si="3"/>
        <v>0</v>
      </c>
    </row>
    <row r="9079">
      <c r="A9079" s="107"/>
      <c r="D9079" s="270"/>
      <c r="H9079" s="106" t="str">
        <f t="shared" si="1"/>
        <v/>
      </c>
      <c r="J9079" t="str">
        <f>IFERROR(__xludf.DUMMYFUNCTION("IFS(
  AND(REGEXMATCH(E9079, ""台銀籌備帳戶|玉山帳戶""), REGEXMATCH(C9079, ""薪資"")), ""分潤支出"",
  AND(REGEXMATCH(E9079, ""Ben帳戶|Elsa帳戶|Ben代墊|Ariel代墊|中信銀行共用""), REGEXMATCH(F9079, ""Ben帳戶|Elsa帳戶|Ben代墊|Ariel代墊|中信銀行共用"")), ""內部轉帳(忽略)"",
  AND(E9079&lt;&gt;"""", F9079&lt;&gt;"""", N"&amp;"OT(REGEXMATCH(C9079, ""薪資""))), ""內部轉帳(忽略)"",
  REGEXMATCH(C9079, ""薪資""), ""薪資變動(不計入)"",
  REGEXMATCH(C9079, ""押金""), ""押金往來"",
  AND(E9079&lt;&gt;"""", F9079=""""), ""真實支出"",
  AND(E9079="""", F9079&lt;&gt;""""), ""真實收入"",
  TRUE, ""其他""
)"),"其他")</f>
        <v>其他</v>
      </c>
      <c r="K9079" s="270" t="str">
        <f t="shared" si="2"/>
        <v/>
      </c>
      <c r="L9079">
        <f t="shared" si="3"/>
        <v>0</v>
      </c>
    </row>
    <row r="9080">
      <c r="A9080" s="107"/>
      <c r="D9080" s="270"/>
      <c r="H9080" s="106" t="str">
        <f t="shared" si="1"/>
        <v/>
      </c>
      <c r="J9080" t="str">
        <f>IFERROR(__xludf.DUMMYFUNCTION("IFS(
  AND(REGEXMATCH(E9080, ""台銀籌備帳戶|玉山帳戶""), REGEXMATCH(C9080, ""薪資"")), ""分潤支出"",
  AND(REGEXMATCH(E9080, ""Ben帳戶|Elsa帳戶|Ben代墊|Ariel代墊|中信銀行共用""), REGEXMATCH(F9080, ""Ben帳戶|Elsa帳戶|Ben代墊|Ariel代墊|中信銀行共用"")), ""內部轉帳(忽略)"",
  AND(E9080&lt;&gt;"""", F9080&lt;&gt;"""", N"&amp;"OT(REGEXMATCH(C9080, ""薪資""))), ""內部轉帳(忽略)"",
  REGEXMATCH(C9080, ""薪資""), ""薪資變動(不計入)"",
  REGEXMATCH(C9080, ""押金""), ""押金往來"",
  AND(E9080&lt;&gt;"""", F9080=""""), ""真實支出"",
  AND(E9080="""", F9080&lt;&gt;""""), ""真實收入"",
  TRUE, ""其他""
)"),"其他")</f>
        <v>其他</v>
      </c>
      <c r="K9080" s="270" t="str">
        <f t="shared" si="2"/>
        <v/>
      </c>
      <c r="L9080">
        <f t="shared" si="3"/>
        <v>0</v>
      </c>
    </row>
    <row r="9081">
      <c r="A9081" s="107"/>
      <c r="D9081" s="270"/>
      <c r="H9081" s="106" t="str">
        <f t="shared" si="1"/>
        <v/>
      </c>
      <c r="J9081" t="str">
        <f>IFERROR(__xludf.DUMMYFUNCTION("IFS(
  AND(REGEXMATCH(E9081, ""台銀籌備帳戶|玉山帳戶""), REGEXMATCH(C9081, ""薪資"")), ""分潤支出"",
  AND(REGEXMATCH(E9081, ""Ben帳戶|Elsa帳戶|Ben代墊|Ariel代墊|中信銀行共用""), REGEXMATCH(F9081, ""Ben帳戶|Elsa帳戶|Ben代墊|Ariel代墊|中信銀行共用"")), ""內部轉帳(忽略)"",
  AND(E9081&lt;&gt;"""", F9081&lt;&gt;"""", N"&amp;"OT(REGEXMATCH(C9081, ""薪資""))), ""內部轉帳(忽略)"",
  REGEXMATCH(C9081, ""薪資""), ""薪資變動(不計入)"",
  REGEXMATCH(C9081, ""押金""), ""押金往來"",
  AND(E9081&lt;&gt;"""", F9081=""""), ""真實支出"",
  AND(E9081="""", F9081&lt;&gt;""""), ""真實收入"",
  TRUE, ""其他""
)"),"其他")</f>
        <v>其他</v>
      </c>
      <c r="K9081" s="270" t="str">
        <f t="shared" si="2"/>
        <v/>
      </c>
      <c r="L9081">
        <f t="shared" si="3"/>
        <v>0</v>
      </c>
    </row>
    <row r="9082">
      <c r="A9082" s="107"/>
      <c r="D9082" s="270"/>
      <c r="H9082" s="106" t="str">
        <f t="shared" si="1"/>
        <v/>
      </c>
      <c r="J9082" t="str">
        <f>IFERROR(__xludf.DUMMYFUNCTION("IFS(
  AND(REGEXMATCH(E9082, ""台銀籌備帳戶|玉山帳戶""), REGEXMATCH(C9082, ""薪資"")), ""分潤支出"",
  AND(REGEXMATCH(E9082, ""Ben帳戶|Elsa帳戶|Ben代墊|Ariel代墊|中信銀行共用""), REGEXMATCH(F9082, ""Ben帳戶|Elsa帳戶|Ben代墊|Ariel代墊|中信銀行共用"")), ""內部轉帳(忽略)"",
  AND(E9082&lt;&gt;"""", F9082&lt;&gt;"""", N"&amp;"OT(REGEXMATCH(C9082, ""薪資""))), ""內部轉帳(忽略)"",
  REGEXMATCH(C9082, ""薪資""), ""薪資變動(不計入)"",
  REGEXMATCH(C9082, ""押金""), ""押金往來"",
  AND(E9082&lt;&gt;"""", F9082=""""), ""真實支出"",
  AND(E9082="""", F9082&lt;&gt;""""), ""真實收入"",
  TRUE, ""其他""
)"),"其他")</f>
        <v>其他</v>
      </c>
      <c r="K9082" s="270" t="str">
        <f t="shared" si="2"/>
        <v/>
      </c>
      <c r="L9082">
        <f t="shared" si="3"/>
        <v>0</v>
      </c>
    </row>
    <row r="9083">
      <c r="A9083" s="107"/>
      <c r="D9083" s="270"/>
      <c r="H9083" s="106" t="str">
        <f t="shared" si="1"/>
        <v/>
      </c>
      <c r="J9083" t="str">
        <f>IFERROR(__xludf.DUMMYFUNCTION("IFS(
  AND(REGEXMATCH(E9083, ""台銀籌備帳戶|玉山帳戶""), REGEXMATCH(C9083, ""薪資"")), ""分潤支出"",
  AND(REGEXMATCH(E9083, ""Ben帳戶|Elsa帳戶|Ben代墊|Ariel代墊|中信銀行共用""), REGEXMATCH(F9083, ""Ben帳戶|Elsa帳戶|Ben代墊|Ariel代墊|中信銀行共用"")), ""內部轉帳(忽略)"",
  AND(E9083&lt;&gt;"""", F9083&lt;&gt;"""", N"&amp;"OT(REGEXMATCH(C9083, ""薪資""))), ""內部轉帳(忽略)"",
  REGEXMATCH(C9083, ""薪資""), ""薪資變動(不計入)"",
  REGEXMATCH(C9083, ""押金""), ""押金往來"",
  AND(E9083&lt;&gt;"""", F9083=""""), ""真實支出"",
  AND(E9083="""", F9083&lt;&gt;""""), ""真實收入"",
  TRUE, ""其他""
)"),"其他")</f>
        <v>其他</v>
      </c>
      <c r="K9083" s="270" t="str">
        <f t="shared" si="2"/>
        <v/>
      </c>
      <c r="L9083">
        <f t="shared" si="3"/>
        <v>0</v>
      </c>
    </row>
    <row r="9084">
      <c r="A9084" s="107"/>
      <c r="D9084" s="270"/>
      <c r="H9084" s="106" t="str">
        <f t="shared" si="1"/>
        <v/>
      </c>
      <c r="J9084" t="str">
        <f>IFERROR(__xludf.DUMMYFUNCTION("IFS(
  AND(REGEXMATCH(E9084, ""台銀籌備帳戶|玉山帳戶""), REGEXMATCH(C9084, ""薪資"")), ""分潤支出"",
  AND(REGEXMATCH(E9084, ""Ben帳戶|Elsa帳戶|Ben代墊|Ariel代墊|中信銀行共用""), REGEXMATCH(F9084, ""Ben帳戶|Elsa帳戶|Ben代墊|Ariel代墊|中信銀行共用"")), ""內部轉帳(忽略)"",
  AND(E9084&lt;&gt;"""", F9084&lt;&gt;"""", N"&amp;"OT(REGEXMATCH(C9084, ""薪資""))), ""內部轉帳(忽略)"",
  REGEXMATCH(C9084, ""薪資""), ""薪資變動(不計入)"",
  REGEXMATCH(C9084, ""押金""), ""押金往來"",
  AND(E9084&lt;&gt;"""", F9084=""""), ""真實支出"",
  AND(E9084="""", F9084&lt;&gt;""""), ""真實收入"",
  TRUE, ""其他""
)"),"其他")</f>
        <v>其他</v>
      </c>
      <c r="K9084" s="270" t="str">
        <f t="shared" si="2"/>
        <v/>
      </c>
      <c r="L9084">
        <f t="shared" si="3"/>
        <v>0</v>
      </c>
    </row>
    <row r="9085">
      <c r="A9085" s="107"/>
      <c r="D9085" s="270"/>
      <c r="H9085" s="106" t="str">
        <f t="shared" si="1"/>
        <v/>
      </c>
      <c r="J9085" t="str">
        <f>IFERROR(__xludf.DUMMYFUNCTION("IFS(
  AND(REGEXMATCH(E9085, ""台銀籌備帳戶|玉山帳戶""), REGEXMATCH(C9085, ""薪資"")), ""分潤支出"",
  AND(REGEXMATCH(E9085, ""Ben帳戶|Elsa帳戶|Ben代墊|Ariel代墊|中信銀行共用""), REGEXMATCH(F9085, ""Ben帳戶|Elsa帳戶|Ben代墊|Ariel代墊|中信銀行共用"")), ""內部轉帳(忽略)"",
  AND(E9085&lt;&gt;"""", F9085&lt;&gt;"""", N"&amp;"OT(REGEXMATCH(C9085, ""薪資""))), ""內部轉帳(忽略)"",
  REGEXMATCH(C9085, ""薪資""), ""薪資變動(不計入)"",
  REGEXMATCH(C9085, ""押金""), ""押金往來"",
  AND(E9085&lt;&gt;"""", F9085=""""), ""真實支出"",
  AND(E9085="""", F9085&lt;&gt;""""), ""真實收入"",
  TRUE, ""其他""
)"),"其他")</f>
        <v>其他</v>
      </c>
      <c r="K9085" s="270" t="str">
        <f t="shared" si="2"/>
        <v/>
      </c>
      <c r="L9085">
        <f t="shared" si="3"/>
        <v>0</v>
      </c>
    </row>
    <row r="9086">
      <c r="A9086" s="107"/>
      <c r="D9086" s="270"/>
      <c r="H9086" s="106" t="str">
        <f t="shared" si="1"/>
        <v/>
      </c>
      <c r="J9086" t="str">
        <f>IFERROR(__xludf.DUMMYFUNCTION("IFS(
  AND(REGEXMATCH(E9086, ""台銀籌備帳戶|玉山帳戶""), REGEXMATCH(C9086, ""薪資"")), ""分潤支出"",
  AND(REGEXMATCH(E9086, ""Ben帳戶|Elsa帳戶|Ben代墊|Ariel代墊|中信銀行共用""), REGEXMATCH(F9086, ""Ben帳戶|Elsa帳戶|Ben代墊|Ariel代墊|中信銀行共用"")), ""內部轉帳(忽略)"",
  AND(E9086&lt;&gt;"""", F9086&lt;&gt;"""", N"&amp;"OT(REGEXMATCH(C9086, ""薪資""))), ""內部轉帳(忽略)"",
  REGEXMATCH(C9086, ""薪資""), ""薪資變動(不計入)"",
  REGEXMATCH(C9086, ""押金""), ""押金往來"",
  AND(E9086&lt;&gt;"""", F9086=""""), ""真實支出"",
  AND(E9086="""", F9086&lt;&gt;""""), ""真實收入"",
  TRUE, ""其他""
)"),"其他")</f>
        <v>其他</v>
      </c>
      <c r="K9086" s="270" t="str">
        <f t="shared" si="2"/>
        <v/>
      </c>
      <c r="L9086">
        <f t="shared" si="3"/>
        <v>0</v>
      </c>
    </row>
    <row r="9087">
      <c r="A9087" s="107"/>
      <c r="D9087" s="270"/>
      <c r="H9087" s="106" t="str">
        <f t="shared" si="1"/>
        <v/>
      </c>
      <c r="J9087" t="str">
        <f>IFERROR(__xludf.DUMMYFUNCTION("IFS(
  AND(REGEXMATCH(E9087, ""台銀籌備帳戶|玉山帳戶""), REGEXMATCH(C9087, ""薪資"")), ""分潤支出"",
  AND(REGEXMATCH(E9087, ""Ben帳戶|Elsa帳戶|Ben代墊|Ariel代墊|中信銀行共用""), REGEXMATCH(F9087, ""Ben帳戶|Elsa帳戶|Ben代墊|Ariel代墊|中信銀行共用"")), ""內部轉帳(忽略)"",
  AND(E9087&lt;&gt;"""", F9087&lt;&gt;"""", N"&amp;"OT(REGEXMATCH(C9087, ""薪資""))), ""內部轉帳(忽略)"",
  REGEXMATCH(C9087, ""薪資""), ""薪資變動(不計入)"",
  REGEXMATCH(C9087, ""押金""), ""押金往來"",
  AND(E9087&lt;&gt;"""", F9087=""""), ""真實支出"",
  AND(E9087="""", F9087&lt;&gt;""""), ""真實收入"",
  TRUE, ""其他""
)"),"其他")</f>
        <v>其他</v>
      </c>
      <c r="K9087" s="270" t="str">
        <f t="shared" si="2"/>
        <v/>
      </c>
      <c r="L9087">
        <f t="shared" si="3"/>
        <v>0</v>
      </c>
    </row>
    <row r="9088">
      <c r="A9088" s="107"/>
      <c r="D9088" s="270"/>
      <c r="H9088" s="106" t="str">
        <f t="shared" si="1"/>
        <v/>
      </c>
      <c r="J9088" t="str">
        <f>IFERROR(__xludf.DUMMYFUNCTION("IFS(
  AND(REGEXMATCH(E9088, ""台銀籌備帳戶|玉山帳戶""), REGEXMATCH(C9088, ""薪資"")), ""分潤支出"",
  AND(REGEXMATCH(E9088, ""Ben帳戶|Elsa帳戶|Ben代墊|Ariel代墊|中信銀行共用""), REGEXMATCH(F9088, ""Ben帳戶|Elsa帳戶|Ben代墊|Ariel代墊|中信銀行共用"")), ""內部轉帳(忽略)"",
  AND(E9088&lt;&gt;"""", F9088&lt;&gt;"""", N"&amp;"OT(REGEXMATCH(C9088, ""薪資""))), ""內部轉帳(忽略)"",
  REGEXMATCH(C9088, ""薪資""), ""薪資變動(不計入)"",
  REGEXMATCH(C9088, ""押金""), ""押金往來"",
  AND(E9088&lt;&gt;"""", F9088=""""), ""真實支出"",
  AND(E9088="""", F9088&lt;&gt;""""), ""真實收入"",
  TRUE, ""其他""
)"),"其他")</f>
        <v>其他</v>
      </c>
      <c r="K9088" s="270" t="str">
        <f t="shared" si="2"/>
        <v/>
      </c>
      <c r="L9088">
        <f t="shared" si="3"/>
        <v>0</v>
      </c>
    </row>
    <row r="9089">
      <c r="A9089" s="107"/>
      <c r="D9089" s="270"/>
      <c r="H9089" s="106" t="str">
        <f t="shared" si="1"/>
        <v/>
      </c>
      <c r="J9089" t="str">
        <f>IFERROR(__xludf.DUMMYFUNCTION("IFS(
  AND(REGEXMATCH(E9089, ""台銀籌備帳戶|玉山帳戶""), REGEXMATCH(C9089, ""薪資"")), ""分潤支出"",
  AND(REGEXMATCH(E9089, ""Ben帳戶|Elsa帳戶|Ben代墊|Ariel代墊|中信銀行共用""), REGEXMATCH(F9089, ""Ben帳戶|Elsa帳戶|Ben代墊|Ariel代墊|中信銀行共用"")), ""內部轉帳(忽略)"",
  AND(E9089&lt;&gt;"""", F9089&lt;&gt;"""", N"&amp;"OT(REGEXMATCH(C9089, ""薪資""))), ""內部轉帳(忽略)"",
  REGEXMATCH(C9089, ""薪資""), ""薪資變動(不計入)"",
  REGEXMATCH(C9089, ""押金""), ""押金往來"",
  AND(E9089&lt;&gt;"""", F9089=""""), ""真實支出"",
  AND(E9089="""", F9089&lt;&gt;""""), ""真實收入"",
  TRUE, ""其他""
)"),"其他")</f>
        <v>其他</v>
      </c>
      <c r="K9089" s="270" t="str">
        <f t="shared" si="2"/>
        <v/>
      </c>
      <c r="L9089">
        <f t="shared" si="3"/>
        <v>0</v>
      </c>
    </row>
    <row r="9090">
      <c r="A9090" s="107"/>
      <c r="D9090" s="270"/>
      <c r="H9090" s="106" t="str">
        <f t="shared" si="1"/>
        <v/>
      </c>
      <c r="J9090" t="str">
        <f>IFERROR(__xludf.DUMMYFUNCTION("IFS(
  AND(REGEXMATCH(E9090, ""台銀籌備帳戶|玉山帳戶""), REGEXMATCH(C9090, ""薪資"")), ""分潤支出"",
  AND(REGEXMATCH(E9090, ""Ben帳戶|Elsa帳戶|Ben代墊|Ariel代墊|中信銀行共用""), REGEXMATCH(F9090, ""Ben帳戶|Elsa帳戶|Ben代墊|Ariel代墊|中信銀行共用"")), ""內部轉帳(忽略)"",
  AND(E9090&lt;&gt;"""", F9090&lt;&gt;"""", N"&amp;"OT(REGEXMATCH(C9090, ""薪資""))), ""內部轉帳(忽略)"",
  REGEXMATCH(C9090, ""薪資""), ""薪資變動(不計入)"",
  REGEXMATCH(C9090, ""押金""), ""押金往來"",
  AND(E9090&lt;&gt;"""", F9090=""""), ""真實支出"",
  AND(E9090="""", F9090&lt;&gt;""""), ""真實收入"",
  TRUE, ""其他""
)"),"其他")</f>
        <v>其他</v>
      </c>
      <c r="K9090" s="270" t="str">
        <f t="shared" si="2"/>
        <v/>
      </c>
      <c r="L9090">
        <f t="shared" si="3"/>
        <v>0</v>
      </c>
    </row>
    <row r="9091">
      <c r="A9091" s="107"/>
      <c r="D9091" s="270"/>
      <c r="H9091" s="106" t="str">
        <f t="shared" si="1"/>
        <v/>
      </c>
      <c r="J9091" t="str">
        <f>IFERROR(__xludf.DUMMYFUNCTION("IFS(
  AND(REGEXMATCH(E9091, ""台銀籌備帳戶|玉山帳戶""), REGEXMATCH(C9091, ""薪資"")), ""分潤支出"",
  AND(REGEXMATCH(E9091, ""Ben帳戶|Elsa帳戶|Ben代墊|Ariel代墊|中信銀行共用""), REGEXMATCH(F9091, ""Ben帳戶|Elsa帳戶|Ben代墊|Ariel代墊|中信銀行共用"")), ""內部轉帳(忽略)"",
  AND(E9091&lt;&gt;"""", F9091&lt;&gt;"""", N"&amp;"OT(REGEXMATCH(C9091, ""薪資""))), ""內部轉帳(忽略)"",
  REGEXMATCH(C9091, ""薪資""), ""薪資變動(不計入)"",
  REGEXMATCH(C9091, ""押金""), ""押金往來"",
  AND(E9091&lt;&gt;"""", F9091=""""), ""真實支出"",
  AND(E9091="""", F9091&lt;&gt;""""), ""真實收入"",
  TRUE, ""其他""
)"),"其他")</f>
        <v>其他</v>
      </c>
      <c r="K9091" s="270" t="str">
        <f t="shared" si="2"/>
        <v/>
      </c>
      <c r="L9091">
        <f t="shared" si="3"/>
        <v>0</v>
      </c>
    </row>
    <row r="9092">
      <c r="A9092" s="107"/>
      <c r="D9092" s="270"/>
      <c r="H9092" s="106" t="str">
        <f t="shared" si="1"/>
        <v/>
      </c>
      <c r="J9092" t="str">
        <f>IFERROR(__xludf.DUMMYFUNCTION("IFS(
  AND(REGEXMATCH(E9092, ""台銀籌備帳戶|玉山帳戶""), REGEXMATCH(C9092, ""薪資"")), ""分潤支出"",
  AND(REGEXMATCH(E9092, ""Ben帳戶|Elsa帳戶|Ben代墊|Ariel代墊|中信銀行共用""), REGEXMATCH(F9092, ""Ben帳戶|Elsa帳戶|Ben代墊|Ariel代墊|中信銀行共用"")), ""內部轉帳(忽略)"",
  AND(E9092&lt;&gt;"""", F9092&lt;&gt;"""", N"&amp;"OT(REGEXMATCH(C9092, ""薪資""))), ""內部轉帳(忽略)"",
  REGEXMATCH(C9092, ""薪資""), ""薪資變動(不計入)"",
  REGEXMATCH(C9092, ""押金""), ""押金往來"",
  AND(E9092&lt;&gt;"""", F9092=""""), ""真實支出"",
  AND(E9092="""", F9092&lt;&gt;""""), ""真實收入"",
  TRUE, ""其他""
)"),"其他")</f>
        <v>其他</v>
      </c>
      <c r="K9092" s="270" t="str">
        <f t="shared" si="2"/>
        <v/>
      </c>
      <c r="L9092">
        <f t="shared" si="3"/>
        <v>0</v>
      </c>
    </row>
    <row r="9093">
      <c r="A9093" s="107"/>
      <c r="D9093" s="270"/>
      <c r="H9093" s="106" t="str">
        <f t="shared" si="1"/>
        <v/>
      </c>
      <c r="J9093" t="str">
        <f>IFERROR(__xludf.DUMMYFUNCTION("IFS(
  AND(REGEXMATCH(E9093, ""台銀籌備帳戶|玉山帳戶""), REGEXMATCH(C9093, ""薪資"")), ""分潤支出"",
  AND(REGEXMATCH(E9093, ""Ben帳戶|Elsa帳戶|Ben代墊|Ariel代墊|中信銀行共用""), REGEXMATCH(F9093, ""Ben帳戶|Elsa帳戶|Ben代墊|Ariel代墊|中信銀行共用"")), ""內部轉帳(忽略)"",
  AND(E9093&lt;&gt;"""", F9093&lt;&gt;"""", N"&amp;"OT(REGEXMATCH(C9093, ""薪資""))), ""內部轉帳(忽略)"",
  REGEXMATCH(C9093, ""薪資""), ""薪資變動(不計入)"",
  REGEXMATCH(C9093, ""押金""), ""押金往來"",
  AND(E9093&lt;&gt;"""", F9093=""""), ""真實支出"",
  AND(E9093="""", F9093&lt;&gt;""""), ""真實收入"",
  TRUE, ""其他""
)"),"其他")</f>
        <v>其他</v>
      </c>
      <c r="K9093" s="270" t="str">
        <f t="shared" si="2"/>
        <v/>
      </c>
      <c r="L9093">
        <f t="shared" si="3"/>
        <v>0</v>
      </c>
    </row>
    <row r="9094">
      <c r="A9094" s="107"/>
      <c r="D9094" s="270"/>
      <c r="H9094" s="106" t="str">
        <f t="shared" si="1"/>
        <v/>
      </c>
      <c r="J9094" t="str">
        <f>IFERROR(__xludf.DUMMYFUNCTION("IFS(
  AND(REGEXMATCH(E9094, ""台銀籌備帳戶|玉山帳戶""), REGEXMATCH(C9094, ""薪資"")), ""分潤支出"",
  AND(REGEXMATCH(E9094, ""Ben帳戶|Elsa帳戶|Ben代墊|Ariel代墊|中信銀行共用""), REGEXMATCH(F9094, ""Ben帳戶|Elsa帳戶|Ben代墊|Ariel代墊|中信銀行共用"")), ""內部轉帳(忽略)"",
  AND(E9094&lt;&gt;"""", F9094&lt;&gt;"""", N"&amp;"OT(REGEXMATCH(C9094, ""薪資""))), ""內部轉帳(忽略)"",
  REGEXMATCH(C9094, ""薪資""), ""薪資變動(不計入)"",
  REGEXMATCH(C9094, ""押金""), ""押金往來"",
  AND(E9094&lt;&gt;"""", F9094=""""), ""真實支出"",
  AND(E9094="""", F9094&lt;&gt;""""), ""真實收入"",
  TRUE, ""其他""
)"),"其他")</f>
        <v>其他</v>
      </c>
      <c r="K9094" s="270" t="str">
        <f t="shared" si="2"/>
        <v/>
      </c>
      <c r="L9094">
        <f t="shared" si="3"/>
        <v>0</v>
      </c>
    </row>
    <row r="9095">
      <c r="A9095" s="107"/>
      <c r="D9095" s="270"/>
      <c r="H9095" s="106" t="str">
        <f t="shared" si="1"/>
        <v/>
      </c>
      <c r="J9095" t="str">
        <f>IFERROR(__xludf.DUMMYFUNCTION("IFS(
  AND(REGEXMATCH(E9095, ""台銀籌備帳戶|玉山帳戶""), REGEXMATCH(C9095, ""薪資"")), ""分潤支出"",
  AND(REGEXMATCH(E9095, ""Ben帳戶|Elsa帳戶|Ben代墊|Ariel代墊|中信銀行共用""), REGEXMATCH(F9095, ""Ben帳戶|Elsa帳戶|Ben代墊|Ariel代墊|中信銀行共用"")), ""內部轉帳(忽略)"",
  AND(E9095&lt;&gt;"""", F9095&lt;&gt;"""", N"&amp;"OT(REGEXMATCH(C9095, ""薪資""))), ""內部轉帳(忽略)"",
  REGEXMATCH(C9095, ""薪資""), ""薪資變動(不計入)"",
  REGEXMATCH(C9095, ""押金""), ""押金往來"",
  AND(E9095&lt;&gt;"""", F9095=""""), ""真實支出"",
  AND(E9095="""", F9095&lt;&gt;""""), ""真實收入"",
  TRUE, ""其他""
)"),"其他")</f>
        <v>其他</v>
      </c>
      <c r="K9095" s="270" t="str">
        <f t="shared" si="2"/>
        <v/>
      </c>
      <c r="L9095">
        <f t="shared" si="3"/>
        <v>0</v>
      </c>
    </row>
    <row r="9096">
      <c r="A9096" s="107"/>
      <c r="D9096" s="270"/>
      <c r="H9096" s="106" t="str">
        <f t="shared" si="1"/>
        <v/>
      </c>
      <c r="J9096" t="str">
        <f>IFERROR(__xludf.DUMMYFUNCTION("IFS(
  AND(REGEXMATCH(E9096, ""台銀籌備帳戶|玉山帳戶""), REGEXMATCH(C9096, ""薪資"")), ""分潤支出"",
  AND(REGEXMATCH(E9096, ""Ben帳戶|Elsa帳戶|Ben代墊|Ariel代墊|中信銀行共用""), REGEXMATCH(F9096, ""Ben帳戶|Elsa帳戶|Ben代墊|Ariel代墊|中信銀行共用"")), ""內部轉帳(忽略)"",
  AND(E9096&lt;&gt;"""", F9096&lt;&gt;"""", N"&amp;"OT(REGEXMATCH(C9096, ""薪資""))), ""內部轉帳(忽略)"",
  REGEXMATCH(C9096, ""薪資""), ""薪資變動(不計入)"",
  REGEXMATCH(C9096, ""押金""), ""押金往來"",
  AND(E9096&lt;&gt;"""", F9096=""""), ""真實支出"",
  AND(E9096="""", F9096&lt;&gt;""""), ""真實收入"",
  TRUE, ""其他""
)"),"其他")</f>
        <v>其他</v>
      </c>
      <c r="K9096" s="270" t="str">
        <f t="shared" si="2"/>
        <v/>
      </c>
      <c r="L9096">
        <f t="shared" si="3"/>
        <v>0</v>
      </c>
    </row>
    <row r="9097">
      <c r="A9097" s="107"/>
      <c r="D9097" s="270"/>
      <c r="H9097" s="106" t="str">
        <f t="shared" si="1"/>
        <v/>
      </c>
      <c r="J9097" t="str">
        <f>IFERROR(__xludf.DUMMYFUNCTION("IFS(
  AND(REGEXMATCH(E9097, ""台銀籌備帳戶|玉山帳戶""), REGEXMATCH(C9097, ""薪資"")), ""分潤支出"",
  AND(REGEXMATCH(E9097, ""Ben帳戶|Elsa帳戶|Ben代墊|Ariel代墊|中信銀行共用""), REGEXMATCH(F9097, ""Ben帳戶|Elsa帳戶|Ben代墊|Ariel代墊|中信銀行共用"")), ""內部轉帳(忽略)"",
  AND(E9097&lt;&gt;"""", F9097&lt;&gt;"""", N"&amp;"OT(REGEXMATCH(C9097, ""薪資""))), ""內部轉帳(忽略)"",
  REGEXMATCH(C9097, ""薪資""), ""薪資變動(不計入)"",
  REGEXMATCH(C9097, ""押金""), ""押金往來"",
  AND(E9097&lt;&gt;"""", F9097=""""), ""真實支出"",
  AND(E9097="""", F9097&lt;&gt;""""), ""真實收入"",
  TRUE, ""其他""
)"),"其他")</f>
        <v>其他</v>
      </c>
      <c r="K9097" s="270" t="str">
        <f t="shared" si="2"/>
        <v/>
      </c>
      <c r="L9097">
        <f t="shared" si="3"/>
        <v>0</v>
      </c>
    </row>
    <row r="9098">
      <c r="A9098" s="107"/>
      <c r="D9098" s="270"/>
      <c r="H9098" s="106" t="str">
        <f t="shared" si="1"/>
        <v/>
      </c>
      <c r="J9098" t="str">
        <f>IFERROR(__xludf.DUMMYFUNCTION("IFS(
  AND(REGEXMATCH(E9098, ""台銀籌備帳戶|玉山帳戶""), REGEXMATCH(C9098, ""薪資"")), ""分潤支出"",
  AND(REGEXMATCH(E9098, ""Ben帳戶|Elsa帳戶|Ben代墊|Ariel代墊|中信銀行共用""), REGEXMATCH(F9098, ""Ben帳戶|Elsa帳戶|Ben代墊|Ariel代墊|中信銀行共用"")), ""內部轉帳(忽略)"",
  AND(E9098&lt;&gt;"""", F9098&lt;&gt;"""", N"&amp;"OT(REGEXMATCH(C9098, ""薪資""))), ""內部轉帳(忽略)"",
  REGEXMATCH(C9098, ""薪資""), ""薪資變動(不計入)"",
  REGEXMATCH(C9098, ""押金""), ""押金往來"",
  AND(E9098&lt;&gt;"""", F9098=""""), ""真實支出"",
  AND(E9098="""", F9098&lt;&gt;""""), ""真實收入"",
  TRUE, ""其他""
)"),"其他")</f>
        <v>其他</v>
      </c>
      <c r="K9098" s="270" t="str">
        <f t="shared" si="2"/>
        <v/>
      </c>
      <c r="L9098">
        <f t="shared" si="3"/>
        <v>0</v>
      </c>
    </row>
    <row r="9099">
      <c r="A9099" s="107"/>
      <c r="D9099" s="270"/>
      <c r="H9099" s="106" t="str">
        <f t="shared" si="1"/>
        <v/>
      </c>
      <c r="J9099" t="str">
        <f>IFERROR(__xludf.DUMMYFUNCTION("IFS(
  AND(REGEXMATCH(E9099, ""台銀籌備帳戶|玉山帳戶""), REGEXMATCH(C9099, ""薪資"")), ""分潤支出"",
  AND(REGEXMATCH(E9099, ""Ben帳戶|Elsa帳戶|Ben代墊|Ariel代墊|中信銀行共用""), REGEXMATCH(F9099, ""Ben帳戶|Elsa帳戶|Ben代墊|Ariel代墊|中信銀行共用"")), ""內部轉帳(忽略)"",
  AND(E9099&lt;&gt;"""", F9099&lt;&gt;"""", N"&amp;"OT(REGEXMATCH(C9099, ""薪資""))), ""內部轉帳(忽略)"",
  REGEXMATCH(C9099, ""薪資""), ""薪資變動(不計入)"",
  REGEXMATCH(C9099, ""押金""), ""押金往來"",
  AND(E9099&lt;&gt;"""", F9099=""""), ""真實支出"",
  AND(E9099="""", F9099&lt;&gt;""""), ""真實收入"",
  TRUE, ""其他""
)"),"其他")</f>
        <v>其他</v>
      </c>
      <c r="K9099" s="270" t="str">
        <f t="shared" si="2"/>
        <v/>
      </c>
      <c r="L9099">
        <f t="shared" si="3"/>
        <v>0</v>
      </c>
    </row>
    <row r="9100">
      <c r="A9100" s="107"/>
      <c r="D9100" s="270"/>
      <c r="H9100" s="106" t="str">
        <f t="shared" si="1"/>
        <v/>
      </c>
      <c r="J9100" t="str">
        <f>IFERROR(__xludf.DUMMYFUNCTION("IFS(
  AND(REGEXMATCH(E9100, ""台銀籌備帳戶|玉山帳戶""), REGEXMATCH(C9100, ""薪資"")), ""分潤支出"",
  AND(REGEXMATCH(E9100, ""Ben帳戶|Elsa帳戶|Ben代墊|Ariel代墊|中信銀行共用""), REGEXMATCH(F9100, ""Ben帳戶|Elsa帳戶|Ben代墊|Ariel代墊|中信銀行共用"")), ""內部轉帳(忽略)"",
  AND(E9100&lt;&gt;"""", F9100&lt;&gt;"""", N"&amp;"OT(REGEXMATCH(C9100, ""薪資""))), ""內部轉帳(忽略)"",
  REGEXMATCH(C9100, ""薪資""), ""薪資變動(不計入)"",
  REGEXMATCH(C9100, ""押金""), ""押金往來"",
  AND(E9100&lt;&gt;"""", F9100=""""), ""真實支出"",
  AND(E9100="""", F9100&lt;&gt;""""), ""真實收入"",
  TRUE, ""其他""
)"),"其他")</f>
        <v>其他</v>
      </c>
      <c r="K9100" s="270" t="str">
        <f t="shared" si="2"/>
        <v/>
      </c>
      <c r="L9100">
        <f t="shared" si="3"/>
        <v>0</v>
      </c>
    </row>
    <row r="9101">
      <c r="A9101" s="107"/>
      <c r="D9101" s="270"/>
      <c r="H9101" s="106" t="str">
        <f t="shared" si="1"/>
        <v/>
      </c>
      <c r="J9101" t="str">
        <f>IFERROR(__xludf.DUMMYFUNCTION("IFS(
  AND(REGEXMATCH(E9101, ""台銀籌備帳戶|玉山帳戶""), REGEXMATCH(C9101, ""薪資"")), ""分潤支出"",
  AND(REGEXMATCH(E9101, ""Ben帳戶|Elsa帳戶|Ben代墊|Ariel代墊|中信銀行共用""), REGEXMATCH(F9101, ""Ben帳戶|Elsa帳戶|Ben代墊|Ariel代墊|中信銀行共用"")), ""內部轉帳(忽略)"",
  AND(E9101&lt;&gt;"""", F9101&lt;&gt;"""", N"&amp;"OT(REGEXMATCH(C9101, ""薪資""))), ""內部轉帳(忽略)"",
  REGEXMATCH(C9101, ""薪資""), ""薪資變動(不計入)"",
  REGEXMATCH(C9101, ""押金""), ""押金往來"",
  AND(E9101&lt;&gt;"""", F9101=""""), ""真實支出"",
  AND(E9101="""", F9101&lt;&gt;""""), ""真實收入"",
  TRUE, ""其他""
)"),"其他")</f>
        <v>其他</v>
      </c>
      <c r="K9101" s="270" t="str">
        <f t="shared" si="2"/>
        <v/>
      </c>
      <c r="L9101">
        <f t="shared" si="3"/>
        <v>0</v>
      </c>
    </row>
    <row r="9102">
      <c r="A9102" s="107"/>
      <c r="D9102" s="270"/>
      <c r="H9102" s="106" t="str">
        <f t="shared" si="1"/>
        <v/>
      </c>
      <c r="J9102" t="str">
        <f>IFERROR(__xludf.DUMMYFUNCTION("IFS(
  AND(REGEXMATCH(E9102, ""台銀籌備帳戶|玉山帳戶""), REGEXMATCH(C9102, ""薪資"")), ""分潤支出"",
  AND(REGEXMATCH(E9102, ""Ben帳戶|Elsa帳戶|Ben代墊|Ariel代墊|中信銀行共用""), REGEXMATCH(F9102, ""Ben帳戶|Elsa帳戶|Ben代墊|Ariel代墊|中信銀行共用"")), ""內部轉帳(忽略)"",
  AND(E9102&lt;&gt;"""", F9102&lt;&gt;"""", N"&amp;"OT(REGEXMATCH(C9102, ""薪資""))), ""內部轉帳(忽略)"",
  REGEXMATCH(C9102, ""薪資""), ""薪資變動(不計入)"",
  REGEXMATCH(C9102, ""押金""), ""押金往來"",
  AND(E9102&lt;&gt;"""", F9102=""""), ""真實支出"",
  AND(E9102="""", F9102&lt;&gt;""""), ""真實收入"",
  TRUE, ""其他""
)"),"其他")</f>
        <v>其他</v>
      </c>
      <c r="K9102" s="270" t="str">
        <f t="shared" si="2"/>
        <v/>
      </c>
      <c r="L9102">
        <f t="shared" si="3"/>
        <v>0</v>
      </c>
    </row>
    <row r="9103">
      <c r="A9103" s="107"/>
      <c r="D9103" s="270"/>
      <c r="H9103" s="106" t="str">
        <f t="shared" si="1"/>
        <v/>
      </c>
      <c r="J9103" t="str">
        <f>IFERROR(__xludf.DUMMYFUNCTION("IFS(
  AND(REGEXMATCH(E9103, ""台銀籌備帳戶|玉山帳戶""), REGEXMATCH(C9103, ""薪資"")), ""分潤支出"",
  AND(REGEXMATCH(E9103, ""Ben帳戶|Elsa帳戶|Ben代墊|Ariel代墊|中信銀行共用""), REGEXMATCH(F9103, ""Ben帳戶|Elsa帳戶|Ben代墊|Ariel代墊|中信銀行共用"")), ""內部轉帳(忽略)"",
  AND(E9103&lt;&gt;"""", F9103&lt;&gt;"""", N"&amp;"OT(REGEXMATCH(C9103, ""薪資""))), ""內部轉帳(忽略)"",
  REGEXMATCH(C9103, ""薪資""), ""薪資變動(不計入)"",
  REGEXMATCH(C9103, ""押金""), ""押金往來"",
  AND(E9103&lt;&gt;"""", F9103=""""), ""真實支出"",
  AND(E9103="""", F9103&lt;&gt;""""), ""真實收入"",
  TRUE, ""其他""
)"),"其他")</f>
        <v>其他</v>
      </c>
      <c r="K9103" s="270" t="str">
        <f t="shared" si="2"/>
        <v/>
      </c>
      <c r="L9103">
        <f t="shared" si="3"/>
        <v>0</v>
      </c>
    </row>
    <row r="9104">
      <c r="A9104" s="107"/>
      <c r="D9104" s="270"/>
      <c r="H9104" s="106" t="str">
        <f t="shared" si="1"/>
        <v/>
      </c>
      <c r="J9104" t="str">
        <f>IFERROR(__xludf.DUMMYFUNCTION("IFS(
  AND(REGEXMATCH(E9104, ""台銀籌備帳戶|玉山帳戶""), REGEXMATCH(C9104, ""薪資"")), ""分潤支出"",
  AND(REGEXMATCH(E9104, ""Ben帳戶|Elsa帳戶|Ben代墊|Ariel代墊|中信銀行共用""), REGEXMATCH(F9104, ""Ben帳戶|Elsa帳戶|Ben代墊|Ariel代墊|中信銀行共用"")), ""內部轉帳(忽略)"",
  AND(E9104&lt;&gt;"""", F9104&lt;&gt;"""", N"&amp;"OT(REGEXMATCH(C9104, ""薪資""))), ""內部轉帳(忽略)"",
  REGEXMATCH(C9104, ""薪資""), ""薪資變動(不計入)"",
  REGEXMATCH(C9104, ""押金""), ""押金往來"",
  AND(E9104&lt;&gt;"""", F9104=""""), ""真實支出"",
  AND(E9104="""", F9104&lt;&gt;""""), ""真實收入"",
  TRUE, ""其他""
)"),"其他")</f>
        <v>其他</v>
      </c>
      <c r="K9104" s="270" t="str">
        <f t="shared" si="2"/>
        <v/>
      </c>
      <c r="L9104">
        <f t="shared" si="3"/>
        <v>0</v>
      </c>
    </row>
    <row r="9105">
      <c r="A9105" s="107"/>
      <c r="D9105" s="270"/>
      <c r="H9105" s="106" t="str">
        <f t="shared" si="1"/>
        <v/>
      </c>
      <c r="J9105" t="str">
        <f>IFERROR(__xludf.DUMMYFUNCTION("IFS(
  AND(REGEXMATCH(E9105, ""台銀籌備帳戶|玉山帳戶""), REGEXMATCH(C9105, ""薪資"")), ""分潤支出"",
  AND(REGEXMATCH(E9105, ""Ben帳戶|Elsa帳戶|Ben代墊|Ariel代墊|中信銀行共用""), REGEXMATCH(F9105, ""Ben帳戶|Elsa帳戶|Ben代墊|Ariel代墊|中信銀行共用"")), ""內部轉帳(忽略)"",
  AND(E9105&lt;&gt;"""", F9105&lt;&gt;"""", N"&amp;"OT(REGEXMATCH(C9105, ""薪資""))), ""內部轉帳(忽略)"",
  REGEXMATCH(C9105, ""薪資""), ""薪資變動(不計入)"",
  REGEXMATCH(C9105, ""押金""), ""押金往來"",
  AND(E9105&lt;&gt;"""", F9105=""""), ""真實支出"",
  AND(E9105="""", F9105&lt;&gt;""""), ""真實收入"",
  TRUE, ""其他""
)"),"其他")</f>
        <v>其他</v>
      </c>
      <c r="K9105" s="270" t="str">
        <f t="shared" si="2"/>
        <v/>
      </c>
      <c r="L9105">
        <f t="shared" si="3"/>
        <v>0</v>
      </c>
    </row>
    <row r="9106">
      <c r="A9106" s="107"/>
      <c r="D9106" s="270"/>
      <c r="H9106" s="106" t="str">
        <f t="shared" si="1"/>
        <v/>
      </c>
      <c r="J9106" t="str">
        <f>IFERROR(__xludf.DUMMYFUNCTION("IFS(
  AND(REGEXMATCH(E9106, ""台銀籌備帳戶|玉山帳戶""), REGEXMATCH(C9106, ""薪資"")), ""分潤支出"",
  AND(REGEXMATCH(E9106, ""Ben帳戶|Elsa帳戶|Ben代墊|Ariel代墊|中信銀行共用""), REGEXMATCH(F9106, ""Ben帳戶|Elsa帳戶|Ben代墊|Ariel代墊|中信銀行共用"")), ""內部轉帳(忽略)"",
  AND(E9106&lt;&gt;"""", F9106&lt;&gt;"""", N"&amp;"OT(REGEXMATCH(C9106, ""薪資""))), ""內部轉帳(忽略)"",
  REGEXMATCH(C9106, ""薪資""), ""薪資變動(不計入)"",
  REGEXMATCH(C9106, ""押金""), ""押金往來"",
  AND(E9106&lt;&gt;"""", F9106=""""), ""真實支出"",
  AND(E9106="""", F9106&lt;&gt;""""), ""真實收入"",
  TRUE, ""其他""
)"),"其他")</f>
        <v>其他</v>
      </c>
      <c r="K9106" s="270" t="str">
        <f t="shared" si="2"/>
        <v/>
      </c>
      <c r="L9106">
        <f t="shared" si="3"/>
        <v>0</v>
      </c>
    </row>
    <row r="9107">
      <c r="A9107" s="107"/>
      <c r="D9107" s="270"/>
      <c r="H9107" s="106" t="str">
        <f t="shared" si="1"/>
        <v/>
      </c>
      <c r="J9107" t="str">
        <f>IFERROR(__xludf.DUMMYFUNCTION("IFS(
  AND(REGEXMATCH(E9107, ""台銀籌備帳戶|玉山帳戶""), REGEXMATCH(C9107, ""薪資"")), ""分潤支出"",
  AND(REGEXMATCH(E9107, ""Ben帳戶|Elsa帳戶|Ben代墊|Ariel代墊|中信銀行共用""), REGEXMATCH(F9107, ""Ben帳戶|Elsa帳戶|Ben代墊|Ariel代墊|中信銀行共用"")), ""內部轉帳(忽略)"",
  AND(E9107&lt;&gt;"""", F9107&lt;&gt;"""", N"&amp;"OT(REGEXMATCH(C9107, ""薪資""))), ""內部轉帳(忽略)"",
  REGEXMATCH(C9107, ""薪資""), ""薪資變動(不計入)"",
  REGEXMATCH(C9107, ""押金""), ""押金往來"",
  AND(E9107&lt;&gt;"""", F9107=""""), ""真實支出"",
  AND(E9107="""", F9107&lt;&gt;""""), ""真實收入"",
  TRUE, ""其他""
)"),"其他")</f>
        <v>其他</v>
      </c>
      <c r="K9107" s="270" t="str">
        <f t="shared" si="2"/>
        <v/>
      </c>
      <c r="L9107">
        <f t="shared" si="3"/>
        <v>0</v>
      </c>
    </row>
    <row r="9108">
      <c r="A9108" s="107"/>
      <c r="D9108" s="270"/>
      <c r="H9108" s="106" t="str">
        <f t="shared" si="1"/>
        <v/>
      </c>
      <c r="J9108" t="str">
        <f>IFERROR(__xludf.DUMMYFUNCTION("IFS(
  AND(REGEXMATCH(E9108, ""台銀籌備帳戶|玉山帳戶""), REGEXMATCH(C9108, ""薪資"")), ""分潤支出"",
  AND(REGEXMATCH(E9108, ""Ben帳戶|Elsa帳戶|Ben代墊|Ariel代墊|中信銀行共用""), REGEXMATCH(F9108, ""Ben帳戶|Elsa帳戶|Ben代墊|Ariel代墊|中信銀行共用"")), ""內部轉帳(忽略)"",
  AND(E9108&lt;&gt;"""", F9108&lt;&gt;"""", N"&amp;"OT(REGEXMATCH(C9108, ""薪資""))), ""內部轉帳(忽略)"",
  REGEXMATCH(C9108, ""薪資""), ""薪資變動(不計入)"",
  REGEXMATCH(C9108, ""押金""), ""押金往來"",
  AND(E9108&lt;&gt;"""", F9108=""""), ""真實支出"",
  AND(E9108="""", F9108&lt;&gt;""""), ""真實收入"",
  TRUE, ""其他""
)"),"其他")</f>
        <v>其他</v>
      </c>
      <c r="K9108" s="270" t="str">
        <f t="shared" si="2"/>
        <v/>
      </c>
      <c r="L9108">
        <f t="shared" si="3"/>
        <v>0</v>
      </c>
    </row>
    <row r="9109">
      <c r="A9109" s="107"/>
      <c r="D9109" s="270"/>
      <c r="H9109" s="106" t="str">
        <f t="shared" si="1"/>
        <v/>
      </c>
      <c r="J9109" t="str">
        <f>IFERROR(__xludf.DUMMYFUNCTION("IFS(
  AND(REGEXMATCH(E9109, ""台銀籌備帳戶|玉山帳戶""), REGEXMATCH(C9109, ""薪資"")), ""分潤支出"",
  AND(REGEXMATCH(E9109, ""Ben帳戶|Elsa帳戶|Ben代墊|Ariel代墊|中信銀行共用""), REGEXMATCH(F9109, ""Ben帳戶|Elsa帳戶|Ben代墊|Ariel代墊|中信銀行共用"")), ""內部轉帳(忽略)"",
  AND(E9109&lt;&gt;"""", F9109&lt;&gt;"""", N"&amp;"OT(REGEXMATCH(C9109, ""薪資""))), ""內部轉帳(忽略)"",
  REGEXMATCH(C9109, ""薪資""), ""薪資變動(不計入)"",
  REGEXMATCH(C9109, ""押金""), ""押金往來"",
  AND(E9109&lt;&gt;"""", F9109=""""), ""真實支出"",
  AND(E9109="""", F9109&lt;&gt;""""), ""真實收入"",
  TRUE, ""其他""
)"),"其他")</f>
        <v>其他</v>
      </c>
      <c r="K9109" s="270" t="str">
        <f t="shared" si="2"/>
        <v/>
      </c>
      <c r="L9109">
        <f t="shared" si="3"/>
        <v>0</v>
      </c>
    </row>
    <row r="9110">
      <c r="A9110" s="107"/>
      <c r="D9110" s="270"/>
      <c r="H9110" s="106" t="str">
        <f t="shared" si="1"/>
        <v/>
      </c>
      <c r="J9110" t="str">
        <f>IFERROR(__xludf.DUMMYFUNCTION("IFS(
  AND(REGEXMATCH(E9110, ""台銀籌備帳戶|玉山帳戶""), REGEXMATCH(C9110, ""薪資"")), ""分潤支出"",
  AND(REGEXMATCH(E9110, ""Ben帳戶|Elsa帳戶|Ben代墊|Ariel代墊|中信銀行共用""), REGEXMATCH(F9110, ""Ben帳戶|Elsa帳戶|Ben代墊|Ariel代墊|中信銀行共用"")), ""內部轉帳(忽略)"",
  AND(E9110&lt;&gt;"""", F9110&lt;&gt;"""", N"&amp;"OT(REGEXMATCH(C9110, ""薪資""))), ""內部轉帳(忽略)"",
  REGEXMATCH(C9110, ""薪資""), ""薪資變動(不計入)"",
  REGEXMATCH(C9110, ""押金""), ""押金往來"",
  AND(E9110&lt;&gt;"""", F9110=""""), ""真實支出"",
  AND(E9110="""", F9110&lt;&gt;""""), ""真實收入"",
  TRUE, ""其他""
)"),"其他")</f>
        <v>其他</v>
      </c>
      <c r="K9110" s="270" t="str">
        <f t="shared" si="2"/>
        <v/>
      </c>
      <c r="L9110">
        <f t="shared" si="3"/>
        <v>0</v>
      </c>
    </row>
    <row r="9111">
      <c r="A9111" s="107"/>
      <c r="D9111" s="270"/>
      <c r="H9111" s="106" t="str">
        <f t="shared" si="1"/>
        <v/>
      </c>
      <c r="J9111" t="str">
        <f>IFERROR(__xludf.DUMMYFUNCTION("IFS(
  AND(REGEXMATCH(E9111, ""台銀籌備帳戶|玉山帳戶""), REGEXMATCH(C9111, ""薪資"")), ""分潤支出"",
  AND(REGEXMATCH(E9111, ""Ben帳戶|Elsa帳戶|Ben代墊|Ariel代墊|中信銀行共用""), REGEXMATCH(F9111, ""Ben帳戶|Elsa帳戶|Ben代墊|Ariel代墊|中信銀行共用"")), ""內部轉帳(忽略)"",
  AND(E9111&lt;&gt;"""", F9111&lt;&gt;"""", N"&amp;"OT(REGEXMATCH(C9111, ""薪資""))), ""內部轉帳(忽略)"",
  REGEXMATCH(C9111, ""薪資""), ""薪資變動(不計入)"",
  REGEXMATCH(C9111, ""押金""), ""押金往來"",
  AND(E9111&lt;&gt;"""", F9111=""""), ""真實支出"",
  AND(E9111="""", F9111&lt;&gt;""""), ""真實收入"",
  TRUE, ""其他""
)"),"其他")</f>
        <v>其他</v>
      </c>
      <c r="K9111" s="270" t="str">
        <f t="shared" si="2"/>
        <v/>
      </c>
      <c r="L9111">
        <f t="shared" si="3"/>
        <v>0</v>
      </c>
    </row>
    <row r="9112">
      <c r="A9112" s="107"/>
      <c r="D9112" s="270"/>
      <c r="H9112" s="106" t="str">
        <f t="shared" si="1"/>
        <v/>
      </c>
      <c r="J9112" t="str">
        <f>IFERROR(__xludf.DUMMYFUNCTION("IFS(
  AND(REGEXMATCH(E9112, ""台銀籌備帳戶|玉山帳戶""), REGEXMATCH(C9112, ""薪資"")), ""分潤支出"",
  AND(REGEXMATCH(E9112, ""Ben帳戶|Elsa帳戶|Ben代墊|Ariel代墊|中信銀行共用""), REGEXMATCH(F9112, ""Ben帳戶|Elsa帳戶|Ben代墊|Ariel代墊|中信銀行共用"")), ""內部轉帳(忽略)"",
  AND(E9112&lt;&gt;"""", F9112&lt;&gt;"""", N"&amp;"OT(REGEXMATCH(C9112, ""薪資""))), ""內部轉帳(忽略)"",
  REGEXMATCH(C9112, ""薪資""), ""薪資變動(不計入)"",
  REGEXMATCH(C9112, ""押金""), ""押金往來"",
  AND(E9112&lt;&gt;"""", F9112=""""), ""真實支出"",
  AND(E9112="""", F9112&lt;&gt;""""), ""真實收入"",
  TRUE, ""其他""
)"),"其他")</f>
        <v>其他</v>
      </c>
      <c r="K9112" s="270" t="str">
        <f t="shared" si="2"/>
        <v/>
      </c>
      <c r="L9112">
        <f t="shared" si="3"/>
        <v>0</v>
      </c>
    </row>
    <row r="9113">
      <c r="A9113" s="107"/>
      <c r="D9113" s="270"/>
      <c r="H9113" s="106" t="str">
        <f t="shared" si="1"/>
        <v/>
      </c>
      <c r="J9113" t="str">
        <f>IFERROR(__xludf.DUMMYFUNCTION("IFS(
  AND(REGEXMATCH(E9113, ""台銀籌備帳戶|玉山帳戶""), REGEXMATCH(C9113, ""薪資"")), ""分潤支出"",
  AND(REGEXMATCH(E9113, ""Ben帳戶|Elsa帳戶|Ben代墊|Ariel代墊|中信銀行共用""), REGEXMATCH(F9113, ""Ben帳戶|Elsa帳戶|Ben代墊|Ariel代墊|中信銀行共用"")), ""內部轉帳(忽略)"",
  AND(E9113&lt;&gt;"""", F9113&lt;&gt;"""", N"&amp;"OT(REGEXMATCH(C9113, ""薪資""))), ""內部轉帳(忽略)"",
  REGEXMATCH(C9113, ""薪資""), ""薪資變動(不計入)"",
  REGEXMATCH(C9113, ""押金""), ""押金往來"",
  AND(E9113&lt;&gt;"""", F9113=""""), ""真實支出"",
  AND(E9113="""", F9113&lt;&gt;""""), ""真實收入"",
  TRUE, ""其他""
)"),"其他")</f>
        <v>其他</v>
      </c>
      <c r="K9113" s="270" t="str">
        <f t="shared" si="2"/>
        <v/>
      </c>
      <c r="L9113">
        <f t="shared" si="3"/>
        <v>0</v>
      </c>
    </row>
    <row r="9114">
      <c r="A9114" s="107"/>
      <c r="D9114" s="270"/>
      <c r="H9114" s="106" t="str">
        <f t="shared" si="1"/>
        <v/>
      </c>
      <c r="J9114" t="str">
        <f>IFERROR(__xludf.DUMMYFUNCTION("IFS(
  AND(REGEXMATCH(E9114, ""台銀籌備帳戶|玉山帳戶""), REGEXMATCH(C9114, ""薪資"")), ""分潤支出"",
  AND(REGEXMATCH(E9114, ""Ben帳戶|Elsa帳戶|Ben代墊|Ariel代墊|中信銀行共用""), REGEXMATCH(F9114, ""Ben帳戶|Elsa帳戶|Ben代墊|Ariel代墊|中信銀行共用"")), ""內部轉帳(忽略)"",
  AND(E9114&lt;&gt;"""", F9114&lt;&gt;"""", N"&amp;"OT(REGEXMATCH(C9114, ""薪資""))), ""內部轉帳(忽略)"",
  REGEXMATCH(C9114, ""薪資""), ""薪資變動(不計入)"",
  REGEXMATCH(C9114, ""押金""), ""押金往來"",
  AND(E9114&lt;&gt;"""", F9114=""""), ""真實支出"",
  AND(E9114="""", F9114&lt;&gt;""""), ""真實收入"",
  TRUE, ""其他""
)"),"其他")</f>
        <v>其他</v>
      </c>
      <c r="K9114" s="270" t="str">
        <f t="shared" si="2"/>
        <v/>
      </c>
      <c r="L9114">
        <f t="shared" si="3"/>
        <v>0</v>
      </c>
    </row>
    <row r="9115">
      <c r="A9115" s="107"/>
      <c r="D9115" s="270"/>
      <c r="H9115" s="106" t="str">
        <f t="shared" si="1"/>
        <v/>
      </c>
      <c r="J9115" t="str">
        <f>IFERROR(__xludf.DUMMYFUNCTION("IFS(
  AND(REGEXMATCH(E9115, ""台銀籌備帳戶|玉山帳戶""), REGEXMATCH(C9115, ""薪資"")), ""分潤支出"",
  AND(REGEXMATCH(E9115, ""Ben帳戶|Elsa帳戶|Ben代墊|Ariel代墊|中信銀行共用""), REGEXMATCH(F9115, ""Ben帳戶|Elsa帳戶|Ben代墊|Ariel代墊|中信銀行共用"")), ""內部轉帳(忽略)"",
  AND(E9115&lt;&gt;"""", F9115&lt;&gt;"""", N"&amp;"OT(REGEXMATCH(C9115, ""薪資""))), ""內部轉帳(忽略)"",
  REGEXMATCH(C9115, ""薪資""), ""薪資變動(不計入)"",
  REGEXMATCH(C9115, ""押金""), ""押金往來"",
  AND(E9115&lt;&gt;"""", F9115=""""), ""真實支出"",
  AND(E9115="""", F9115&lt;&gt;""""), ""真實收入"",
  TRUE, ""其他""
)"),"其他")</f>
        <v>其他</v>
      </c>
      <c r="K9115" s="270" t="str">
        <f t="shared" si="2"/>
        <v/>
      </c>
      <c r="L9115">
        <f t="shared" si="3"/>
        <v>0</v>
      </c>
    </row>
    <row r="9116">
      <c r="A9116" s="107"/>
      <c r="D9116" s="270"/>
      <c r="H9116" s="106" t="str">
        <f t="shared" si="1"/>
        <v/>
      </c>
      <c r="J9116" t="str">
        <f>IFERROR(__xludf.DUMMYFUNCTION("IFS(
  AND(REGEXMATCH(E9116, ""台銀籌備帳戶|玉山帳戶""), REGEXMATCH(C9116, ""薪資"")), ""分潤支出"",
  AND(REGEXMATCH(E9116, ""Ben帳戶|Elsa帳戶|Ben代墊|Ariel代墊|中信銀行共用""), REGEXMATCH(F9116, ""Ben帳戶|Elsa帳戶|Ben代墊|Ariel代墊|中信銀行共用"")), ""內部轉帳(忽略)"",
  AND(E9116&lt;&gt;"""", F9116&lt;&gt;"""", N"&amp;"OT(REGEXMATCH(C9116, ""薪資""))), ""內部轉帳(忽略)"",
  REGEXMATCH(C9116, ""薪資""), ""薪資變動(不計入)"",
  REGEXMATCH(C9116, ""押金""), ""押金往來"",
  AND(E9116&lt;&gt;"""", F9116=""""), ""真實支出"",
  AND(E9116="""", F9116&lt;&gt;""""), ""真實收入"",
  TRUE, ""其他""
)"),"其他")</f>
        <v>其他</v>
      </c>
      <c r="K9116" s="270" t="str">
        <f t="shared" si="2"/>
        <v/>
      </c>
      <c r="L9116">
        <f t="shared" si="3"/>
        <v>0</v>
      </c>
    </row>
    <row r="9117">
      <c r="A9117" s="107"/>
      <c r="D9117" s="270"/>
      <c r="H9117" s="106" t="str">
        <f t="shared" si="1"/>
        <v/>
      </c>
      <c r="J9117" t="str">
        <f>IFERROR(__xludf.DUMMYFUNCTION("IFS(
  AND(REGEXMATCH(E9117, ""台銀籌備帳戶|玉山帳戶""), REGEXMATCH(C9117, ""薪資"")), ""分潤支出"",
  AND(REGEXMATCH(E9117, ""Ben帳戶|Elsa帳戶|Ben代墊|Ariel代墊|中信銀行共用""), REGEXMATCH(F9117, ""Ben帳戶|Elsa帳戶|Ben代墊|Ariel代墊|中信銀行共用"")), ""內部轉帳(忽略)"",
  AND(E9117&lt;&gt;"""", F9117&lt;&gt;"""", N"&amp;"OT(REGEXMATCH(C9117, ""薪資""))), ""內部轉帳(忽略)"",
  REGEXMATCH(C9117, ""薪資""), ""薪資變動(不計入)"",
  REGEXMATCH(C9117, ""押金""), ""押金往來"",
  AND(E9117&lt;&gt;"""", F9117=""""), ""真實支出"",
  AND(E9117="""", F9117&lt;&gt;""""), ""真實收入"",
  TRUE, ""其他""
)"),"其他")</f>
        <v>其他</v>
      </c>
      <c r="K9117" s="270" t="str">
        <f t="shared" si="2"/>
        <v/>
      </c>
      <c r="L9117">
        <f t="shared" si="3"/>
        <v>0</v>
      </c>
    </row>
    <row r="9118">
      <c r="A9118" s="107"/>
      <c r="D9118" s="270"/>
      <c r="H9118" s="106" t="str">
        <f t="shared" si="1"/>
        <v/>
      </c>
      <c r="J9118" t="str">
        <f>IFERROR(__xludf.DUMMYFUNCTION("IFS(
  AND(REGEXMATCH(E9118, ""台銀籌備帳戶|玉山帳戶""), REGEXMATCH(C9118, ""薪資"")), ""分潤支出"",
  AND(REGEXMATCH(E9118, ""Ben帳戶|Elsa帳戶|Ben代墊|Ariel代墊|中信銀行共用""), REGEXMATCH(F9118, ""Ben帳戶|Elsa帳戶|Ben代墊|Ariel代墊|中信銀行共用"")), ""內部轉帳(忽略)"",
  AND(E9118&lt;&gt;"""", F9118&lt;&gt;"""", N"&amp;"OT(REGEXMATCH(C9118, ""薪資""))), ""內部轉帳(忽略)"",
  REGEXMATCH(C9118, ""薪資""), ""薪資變動(不計入)"",
  REGEXMATCH(C9118, ""押金""), ""押金往來"",
  AND(E9118&lt;&gt;"""", F9118=""""), ""真實支出"",
  AND(E9118="""", F9118&lt;&gt;""""), ""真實收入"",
  TRUE, ""其他""
)"),"其他")</f>
        <v>其他</v>
      </c>
      <c r="K9118" s="270" t="str">
        <f t="shared" si="2"/>
        <v/>
      </c>
      <c r="L9118">
        <f t="shared" si="3"/>
        <v>0</v>
      </c>
    </row>
    <row r="9119">
      <c r="A9119" s="107"/>
      <c r="D9119" s="270"/>
      <c r="H9119" s="106" t="str">
        <f t="shared" si="1"/>
        <v/>
      </c>
      <c r="J9119" t="str">
        <f>IFERROR(__xludf.DUMMYFUNCTION("IFS(
  AND(REGEXMATCH(E9119, ""台銀籌備帳戶|玉山帳戶""), REGEXMATCH(C9119, ""薪資"")), ""分潤支出"",
  AND(REGEXMATCH(E9119, ""Ben帳戶|Elsa帳戶|Ben代墊|Ariel代墊|中信銀行共用""), REGEXMATCH(F9119, ""Ben帳戶|Elsa帳戶|Ben代墊|Ariel代墊|中信銀行共用"")), ""內部轉帳(忽略)"",
  AND(E9119&lt;&gt;"""", F9119&lt;&gt;"""", N"&amp;"OT(REGEXMATCH(C9119, ""薪資""))), ""內部轉帳(忽略)"",
  REGEXMATCH(C9119, ""薪資""), ""薪資變動(不計入)"",
  REGEXMATCH(C9119, ""押金""), ""押金往來"",
  AND(E9119&lt;&gt;"""", F9119=""""), ""真實支出"",
  AND(E9119="""", F9119&lt;&gt;""""), ""真實收入"",
  TRUE, ""其他""
)"),"其他")</f>
        <v>其他</v>
      </c>
      <c r="K9119" s="270" t="str">
        <f t="shared" si="2"/>
        <v/>
      </c>
      <c r="L9119">
        <f t="shared" si="3"/>
        <v>0</v>
      </c>
    </row>
    <row r="9120">
      <c r="A9120" s="107"/>
      <c r="D9120" s="270"/>
      <c r="H9120" s="106" t="str">
        <f t="shared" si="1"/>
        <v/>
      </c>
      <c r="J9120" t="str">
        <f>IFERROR(__xludf.DUMMYFUNCTION("IFS(
  AND(REGEXMATCH(E9120, ""台銀籌備帳戶|玉山帳戶""), REGEXMATCH(C9120, ""薪資"")), ""分潤支出"",
  AND(REGEXMATCH(E9120, ""Ben帳戶|Elsa帳戶|Ben代墊|Ariel代墊|中信銀行共用""), REGEXMATCH(F9120, ""Ben帳戶|Elsa帳戶|Ben代墊|Ariel代墊|中信銀行共用"")), ""內部轉帳(忽略)"",
  AND(E9120&lt;&gt;"""", F9120&lt;&gt;"""", N"&amp;"OT(REGEXMATCH(C9120, ""薪資""))), ""內部轉帳(忽略)"",
  REGEXMATCH(C9120, ""薪資""), ""薪資變動(不計入)"",
  REGEXMATCH(C9120, ""押金""), ""押金往來"",
  AND(E9120&lt;&gt;"""", F9120=""""), ""真實支出"",
  AND(E9120="""", F9120&lt;&gt;""""), ""真實收入"",
  TRUE, ""其他""
)"),"其他")</f>
        <v>其他</v>
      </c>
      <c r="K9120" s="270" t="str">
        <f t="shared" si="2"/>
        <v/>
      </c>
      <c r="L9120">
        <f t="shared" si="3"/>
        <v>0</v>
      </c>
    </row>
    <row r="9121">
      <c r="A9121" s="107"/>
      <c r="D9121" s="270"/>
      <c r="H9121" s="106" t="str">
        <f t="shared" si="1"/>
        <v/>
      </c>
      <c r="J9121" t="str">
        <f>IFERROR(__xludf.DUMMYFUNCTION("IFS(
  AND(REGEXMATCH(E9121, ""台銀籌備帳戶|玉山帳戶""), REGEXMATCH(C9121, ""薪資"")), ""分潤支出"",
  AND(REGEXMATCH(E9121, ""Ben帳戶|Elsa帳戶|Ben代墊|Ariel代墊|中信銀行共用""), REGEXMATCH(F9121, ""Ben帳戶|Elsa帳戶|Ben代墊|Ariel代墊|中信銀行共用"")), ""內部轉帳(忽略)"",
  AND(E9121&lt;&gt;"""", F9121&lt;&gt;"""", N"&amp;"OT(REGEXMATCH(C9121, ""薪資""))), ""內部轉帳(忽略)"",
  REGEXMATCH(C9121, ""薪資""), ""薪資變動(不計入)"",
  REGEXMATCH(C9121, ""押金""), ""押金往來"",
  AND(E9121&lt;&gt;"""", F9121=""""), ""真實支出"",
  AND(E9121="""", F9121&lt;&gt;""""), ""真實收入"",
  TRUE, ""其他""
)"),"其他")</f>
        <v>其他</v>
      </c>
      <c r="K9121" s="270" t="str">
        <f t="shared" si="2"/>
        <v/>
      </c>
      <c r="L9121">
        <f t="shared" si="3"/>
        <v>0</v>
      </c>
    </row>
    <row r="9122">
      <c r="A9122" s="107"/>
      <c r="D9122" s="270"/>
      <c r="H9122" s="106" t="str">
        <f t="shared" si="1"/>
        <v/>
      </c>
      <c r="J9122" t="str">
        <f>IFERROR(__xludf.DUMMYFUNCTION("IFS(
  AND(REGEXMATCH(E9122, ""台銀籌備帳戶|玉山帳戶""), REGEXMATCH(C9122, ""薪資"")), ""分潤支出"",
  AND(REGEXMATCH(E9122, ""Ben帳戶|Elsa帳戶|Ben代墊|Ariel代墊|中信銀行共用""), REGEXMATCH(F9122, ""Ben帳戶|Elsa帳戶|Ben代墊|Ariel代墊|中信銀行共用"")), ""內部轉帳(忽略)"",
  AND(E9122&lt;&gt;"""", F9122&lt;&gt;"""", N"&amp;"OT(REGEXMATCH(C9122, ""薪資""))), ""內部轉帳(忽略)"",
  REGEXMATCH(C9122, ""薪資""), ""薪資變動(不計入)"",
  REGEXMATCH(C9122, ""押金""), ""押金往來"",
  AND(E9122&lt;&gt;"""", F9122=""""), ""真實支出"",
  AND(E9122="""", F9122&lt;&gt;""""), ""真實收入"",
  TRUE, ""其他""
)"),"其他")</f>
        <v>其他</v>
      </c>
      <c r="K9122" s="270" t="str">
        <f t="shared" si="2"/>
        <v/>
      </c>
      <c r="L9122">
        <f t="shared" si="3"/>
        <v>0</v>
      </c>
    </row>
    <row r="9123">
      <c r="A9123" s="107"/>
      <c r="D9123" s="270"/>
      <c r="H9123" s="106" t="str">
        <f t="shared" si="1"/>
        <v/>
      </c>
      <c r="J9123" t="str">
        <f>IFERROR(__xludf.DUMMYFUNCTION("IFS(
  AND(REGEXMATCH(E9123, ""台銀籌備帳戶|玉山帳戶""), REGEXMATCH(C9123, ""薪資"")), ""分潤支出"",
  AND(REGEXMATCH(E9123, ""Ben帳戶|Elsa帳戶|Ben代墊|Ariel代墊|中信銀行共用""), REGEXMATCH(F9123, ""Ben帳戶|Elsa帳戶|Ben代墊|Ariel代墊|中信銀行共用"")), ""內部轉帳(忽略)"",
  AND(E9123&lt;&gt;"""", F9123&lt;&gt;"""", N"&amp;"OT(REGEXMATCH(C9123, ""薪資""))), ""內部轉帳(忽略)"",
  REGEXMATCH(C9123, ""薪資""), ""薪資變動(不計入)"",
  REGEXMATCH(C9123, ""押金""), ""押金往來"",
  AND(E9123&lt;&gt;"""", F9123=""""), ""真實支出"",
  AND(E9123="""", F9123&lt;&gt;""""), ""真實收入"",
  TRUE, ""其他""
)"),"其他")</f>
        <v>其他</v>
      </c>
      <c r="K9123" s="270" t="str">
        <f t="shared" si="2"/>
        <v/>
      </c>
      <c r="L9123">
        <f t="shared" si="3"/>
        <v>0</v>
      </c>
    </row>
    <row r="9124">
      <c r="A9124" s="107"/>
      <c r="D9124" s="270"/>
      <c r="H9124" s="106" t="str">
        <f t="shared" si="1"/>
        <v/>
      </c>
      <c r="J9124" t="str">
        <f>IFERROR(__xludf.DUMMYFUNCTION("IFS(
  AND(REGEXMATCH(E9124, ""台銀籌備帳戶|玉山帳戶""), REGEXMATCH(C9124, ""薪資"")), ""分潤支出"",
  AND(REGEXMATCH(E9124, ""Ben帳戶|Elsa帳戶|Ben代墊|Ariel代墊|中信銀行共用""), REGEXMATCH(F9124, ""Ben帳戶|Elsa帳戶|Ben代墊|Ariel代墊|中信銀行共用"")), ""內部轉帳(忽略)"",
  AND(E9124&lt;&gt;"""", F9124&lt;&gt;"""", N"&amp;"OT(REGEXMATCH(C9124, ""薪資""))), ""內部轉帳(忽略)"",
  REGEXMATCH(C9124, ""薪資""), ""薪資變動(不計入)"",
  REGEXMATCH(C9124, ""押金""), ""押金往來"",
  AND(E9124&lt;&gt;"""", F9124=""""), ""真實支出"",
  AND(E9124="""", F9124&lt;&gt;""""), ""真實收入"",
  TRUE, ""其他""
)"),"其他")</f>
        <v>其他</v>
      </c>
      <c r="K9124" s="270" t="str">
        <f t="shared" si="2"/>
        <v/>
      </c>
      <c r="L9124">
        <f t="shared" si="3"/>
        <v>0</v>
      </c>
    </row>
    <row r="9125">
      <c r="A9125" s="107"/>
      <c r="D9125" s="270"/>
      <c r="H9125" s="106" t="str">
        <f t="shared" si="1"/>
        <v/>
      </c>
      <c r="J9125" t="str">
        <f>IFERROR(__xludf.DUMMYFUNCTION("IFS(
  AND(REGEXMATCH(E9125, ""台銀籌備帳戶|玉山帳戶""), REGEXMATCH(C9125, ""薪資"")), ""分潤支出"",
  AND(REGEXMATCH(E9125, ""Ben帳戶|Elsa帳戶|Ben代墊|Ariel代墊|中信銀行共用""), REGEXMATCH(F9125, ""Ben帳戶|Elsa帳戶|Ben代墊|Ariel代墊|中信銀行共用"")), ""內部轉帳(忽略)"",
  AND(E9125&lt;&gt;"""", F9125&lt;&gt;"""", N"&amp;"OT(REGEXMATCH(C9125, ""薪資""))), ""內部轉帳(忽略)"",
  REGEXMATCH(C9125, ""薪資""), ""薪資變動(不計入)"",
  REGEXMATCH(C9125, ""押金""), ""押金往來"",
  AND(E9125&lt;&gt;"""", F9125=""""), ""真實支出"",
  AND(E9125="""", F9125&lt;&gt;""""), ""真實收入"",
  TRUE, ""其他""
)"),"其他")</f>
        <v>其他</v>
      </c>
      <c r="K9125" s="270" t="str">
        <f t="shared" si="2"/>
        <v/>
      </c>
      <c r="L9125">
        <f t="shared" si="3"/>
        <v>0</v>
      </c>
    </row>
    <row r="9126">
      <c r="A9126" s="107"/>
      <c r="D9126" s="270"/>
      <c r="H9126" s="106" t="str">
        <f t="shared" si="1"/>
        <v/>
      </c>
      <c r="J9126" t="str">
        <f>IFERROR(__xludf.DUMMYFUNCTION("IFS(
  AND(REGEXMATCH(E9126, ""台銀籌備帳戶|玉山帳戶""), REGEXMATCH(C9126, ""薪資"")), ""分潤支出"",
  AND(REGEXMATCH(E9126, ""Ben帳戶|Elsa帳戶|Ben代墊|Ariel代墊|中信銀行共用""), REGEXMATCH(F9126, ""Ben帳戶|Elsa帳戶|Ben代墊|Ariel代墊|中信銀行共用"")), ""內部轉帳(忽略)"",
  AND(E9126&lt;&gt;"""", F9126&lt;&gt;"""", N"&amp;"OT(REGEXMATCH(C9126, ""薪資""))), ""內部轉帳(忽略)"",
  REGEXMATCH(C9126, ""薪資""), ""薪資變動(不計入)"",
  REGEXMATCH(C9126, ""押金""), ""押金往來"",
  AND(E9126&lt;&gt;"""", F9126=""""), ""真實支出"",
  AND(E9126="""", F9126&lt;&gt;""""), ""真實收入"",
  TRUE, ""其他""
)"),"其他")</f>
        <v>其他</v>
      </c>
      <c r="K9126" s="270" t="str">
        <f t="shared" si="2"/>
        <v/>
      </c>
      <c r="L9126">
        <f t="shared" si="3"/>
        <v>0</v>
      </c>
    </row>
    <row r="9127">
      <c r="A9127" s="107"/>
      <c r="D9127" s="270"/>
      <c r="H9127" s="106" t="str">
        <f t="shared" si="1"/>
        <v/>
      </c>
      <c r="J9127" t="str">
        <f>IFERROR(__xludf.DUMMYFUNCTION("IFS(
  AND(REGEXMATCH(E9127, ""台銀籌備帳戶|玉山帳戶""), REGEXMATCH(C9127, ""薪資"")), ""分潤支出"",
  AND(REGEXMATCH(E9127, ""Ben帳戶|Elsa帳戶|Ben代墊|Ariel代墊|中信銀行共用""), REGEXMATCH(F9127, ""Ben帳戶|Elsa帳戶|Ben代墊|Ariel代墊|中信銀行共用"")), ""內部轉帳(忽略)"",
  AND(E9127&lt;&gt;"""", F9127&lt;&gt;"""", N"&amp;"OT(REGEXMATCH(C9127, ""薪資""))), ""內部轉帳(忽略)"",
  REGEXMATCH(C9127, ""薪資""), ""薪資變動(不計入)"",
  REGEXMATCH(C9127, ""押金""), ""押金往來"",
  AND(E9127&lt;&gt;"""", F9127=""""), ""真實支出"",
  AND(E9127="""", F9127&lt;&gt;""""), ""真實收入"",
  TRUE, ""其他""
)"),"其他")</f>
        <v>其他</v>
      </c>
      <c r="K9127" s="270" t="str">
        <f t="shared" si="2"/>
        <v/>
      </c>
      <c r="L9127">
        <f t="shared" si="3"/>
        <v>0</v>
      </c>
    </row>
    <row r="9128">
      <c r="A9128" s="107"/>
      <c r="D9128" s="270"/>
      <c r="H9128" s="106" t="str">
        <f t="shared" si="1"/>
        <v/>
      </c>
      <c r="J9128" t="str">
        <f>IFERROR(__xludf.DUMMYFUNCTION("IFS(
  AND(REGEXMATCH(E9128, ""台銀籌備帳戶|玉山帳戶""), REGEXMATCH(C9128, ""薪資"")), ""分潤支出"",
  AND(REGEXMATCH(E9128, ""Ben帳戶|Elsa帳戶|Ben代墊|Ariel代墊|中信銀行共用""), REGEXMATCH(F9128, ""Ben帳戶|Elsa帳戶|Ben代墊|Ariel代墊|中信銀行共用"")), ""內部轉帳(忽略)"",
  AND(E9128&lt;&gt;"""", F9128&lt;&gt;"""", N"&amp;"OT(REGEXMATCH(C9128, ""薪資""))), ""內部轉帳(忽略)"",
  REGEXMATCH(C9128, ""薪資""), ""薪資變動(不計入)"",
  REGEXMATCH(C9128, ""押金""), ""押金往來"",
  AND(E9128&lt;&gt;"""", F9128=""""), ""真實支出"",
  AND(E9128="""", F9128&lt;&gt;""""), ""真實收入"",
  TRUE, ""其他""
)"),"其他")</f>
        <v>其他</v>
      </c>
      <c r="K9128" s="270" t="str">
        <f t="shared" si="2"/>
        <v/>
      </c>
      <c r="L9128">
        <f t="shared" si="3"/>
        <v>0</v>
      </c>
    </row>
    <row r="9129">
      <c r="A9129" s="107"/>
      <c r="D9129" s="270"/>
      <c r="H9129" s="106" t="str">
        <f t="shared" si="1"/>
        <v/>
      </c>
      <c r="J9129" t="str">
        <f>IFERROR(__xludf.DUMMYFUNCTION("IFS(
  AND(REGEXMATCH(E9129, ""台銀籌備帳戶|玉山帳戶""), REGEXMATCH(C9129, ""薪資"")), ""分潤支出"",
  AND(REGEXMATCH(E9129, ""Ben帳戶|Elsa帳戶|Ben代墊|Ariel代墊|中信銀行共用""), REGEXMATCH(F9129, ""Ben帳戶|Elsa帳戶|Ben代墊|Ariel代墊|中信銀行共用"")), ""內部轉帳(忽略)"",
  AND(E9129&lt;&gt;"""", F9129&lt;&gt;"""", N"&amp;"OT(REGEXMATCH(C9129, ""薪資""))), ""內部轉帳(忽略)"",
  REGEXMATCH(C9129, ""薪資""), ""薪資變動(不計入)"",
  REGEXMATCH(C9129, ""押金""), ""押金往來"",
  AND(E9129&lt;&gt;"""", F9129=""""), ""真實支出"",
  AND(E9129="""", F9129&lt;&gt;""""), ""真實收入"",
  TRUE, ""其他""
)"),"其他")</f>
        <v>其他</v>
      </c>
      <c r="K9129" s="270" t="str">
        <f t="shared" si="2"/>
        <v/>
      </c>
      <c r="L9129">
        <f t="shared" si="3"/>
        <v>0</v>
      </c>
    </row>
    <row r="9130">
      <c r="A9130" s="107"/>
      <c r="D9130" s="270"/>
      <c r="H9130" s="106" t="str">
        <f t="shared" si="1"/>
        <v/>
      </c>
      <c r="J9130" t="str">
        <f>IFERROR(__xludf.DUMMYFUNCTION("IFS(
  AND(REGEXMATCH(E9130, ""台銀籌備帳戶|玉山帳戶""), REGEXMATCH(C9130, ""薪資"")), ""分潤支出"",
  AND(REGEXMATCH(E9130, ""Ben帳戶|Elsa帳戶|Ben代墊|Ariel代墊|中信銀行共用""), REGEXMATCH(F9130, ""Ben帳戶|Elsa帳戶|Ben代墊|Ariel代墊|中信銀行共用"")), ""內部轉帳(忽略)"",
  AND(E9130&lt;&gt;"""", F9130&lt;&gt;"""", N"&amp;"OT(REGEXMATCH(C9130, ""薪資""))), ""內部轉帳(忽略)"",
  REGEXMATCH(C9130, ""薪資""), ""薪資變動(不計入)"",
  REGEXMATCH(C9130, ""押金""), ""押金往來"",
  AND(E9130&lt;&gt;"""", F9130=""""), ""真實支出"",
  AND(E9130="""", F9130&lt;&gt;""""), ""真實收入"",
  TRUE, ""其他""
)"),"其他")</f>
        <v>其他</v>
      </c>
      <c r="K9130" s="270" t="str">
        <f t="shared" si="2"/>
        <v/>
      </c>
      <c r="L9130">
        <f t="shared" si="3"/>
        <v>0</v>
      </c>
    </row>
    <row r="9131">
      <c r="A9131" s="107"/>
      <c r="D9131" s="270"/>
      <c r="H9131" s="106" t="str">
        <f t="shared" si="1"/>
        <v/>
      </c>
      <c r="J9131" t="str">
        <f>IFERROR(__xludf.DUMMYFUNCTION("IFS(
  AND(REGEXMATCH(E9131, ""台銀籌備帳戶|玉山帳戶""), REGEXMATCH(C9131, ""薪資"")), ""分潤支出"",
  AND(REGEXMATCH(E9131, ""Ben帳戶|Elsa帳戶|Ben代墊|Ariel代墊|中信銀行共用""), REGEXMATCH(F9131, ""Ben帳戶|Elsa帳戶|Ben代墊|Ariel代墊|中信銀行共用"")), ""內部轉帳(忽略)"",
  AND(E9131&lt;&gt;"""", F9131&lt;&gt;"""", N"&amp;"OT(REGEXMATCH(C9131, ""薪資""))), ""內部轉帳(忽略)"",
  REGEXMATCH(C9131, ""薪資""), ""薪資變動(不計入)"",
  REGEXMATCH(C9131, ""押金""), ""押金往來"",
  AND(E9131&lt;&gt;"""", F9131=""""), ""真實支出"",
  AND(E9131="""", F9131&lt;&gt;""""), ""真實收入"",
  TRUE, ""其他""
)"),"其他")</f>
        <v>其他</v>
      </c>
      <c r="K9131" s="270" t="str">
        <f t="shared" si="2"/>
        <v/>
      </c>
      <c r="L9131">
        <f t="shared" si="3"/>
        <v>0</v>
      </c>
    </row>
    <row r="9132">
      <c r="A9132" s="107"/>
      <c r="D9132" s="270"/>
      <c r="H9132" s="106" t="str">
        <f t="shared" si="1"/>
        <v/>
      </c>
      <c r="J9132" t="str">
        <f>IFERROR(__xludf.DUMMYFUNCTION("IFS(
  AND(REGEXMATCH(E9132, ""台銀籌備帳戶|玉山帳戶""), REGEXMATCH(C9132, ""薪資"")), ""分潤支出"",
  AND(REGEXMATCH(E9132, ""Ben帳戶|Elsa帳戶|Ben代墊|Ariel代墊|中信銀行共用""), REGEXMATCH(F9132, ""Ben帳戶|Elsa帳戶|Ben代墊|Ariel代墊|中信銀行共用"")), ""內部轉帳(忽略)"",
  AND(E9132&lt;&gt;"""", F9132&lt;&gt;"""", N"&amp;"OT(REGEXMATCH(C9132, ""薪資""))), ""內部轉帳(忽略)"",
  REGEXMATCH(C9132, ""薪資""), ""薪資變動(不計入)"",
  REGEXMATCH(C9132, ""押金""), ""押金往來"",
  AND(E9132&lt;&gt;"""", F9132=""""), ""真實支出"",
  AND(E9132="""", F9132&lt;&gt;""""), ""真實收入"",
  TRUE, ""其他""
)"),"其他")</f>
        <v>其他</v>
      </c>
      <c r="K9132" s="270" t="str">
        <f t="shared" si="2"/>
        <v/>
      </c>
      <c r="L9132">
        <f t="shared" si="3"/>
        <v>0</v>
      </c>
    </row>
    <row r="9133">
      <c r="A9133" s="107"/>
      <c r="D9133" s="270"/>
      <c r="H9133" s="106" t="str">
        <f t="shared" si="1"/>
        <v/>
      </c>
      <c r="J9133" t="str">
        <f>IFERROR(__xludf.DUMMYFUNCTION("IFS(
  AND(REGEXMATCH(E9133, ""台銀籌備帳戶|玉山帳戶""), REGEXMATCH(C9133, ""薪資"")), ""分潤支出"",
  AND(REGEXMATCH(E9133, ""Ben帳戶|Elsa帳戶|Ben代墊|Ariel代墊|中信銀行共用""), REGEXMATCH(F9133, ""Ben帳戶|Elsa帳戶|Ben代墊|Ariel代墊|中信銀行共用"")), ""內部轉帳(忽略)"",
  AND(E9133&lt;&gt;"""", F9133&lt;&gt;"""", N"&amp;"OT(REGEXMATCH(C9133, ""薪資""))), ""內部轉帳(忽略)"",
  REGEXMATCH(C9133, ""薪資""), ""薪資變動(不計入)"",
  REGEXMATCH(C9133, ""押金""), ""押金往來"",
  AND(E9133&lt;&gt;"""", F9133=""""), ""真實支出"",
  AND(E9133="""", F9133&lt;&gt;""""), ""真實收入"",
  TRUE, ""其他""
)"),"其他")</f>
        <v>其他</v>
      </c>
      <c r="K9133" s="270" t="str">
        <f t="shared" si="2"/>
        <v/>
      </c>
      <c r="L9133">
        <f t="shared" si="3"/>
        <v>0</v>
      </c>
    </row>
    <row r="9134">
      <c r="A9134" s="107"/>
      <c r="D9134" s="270"/>
      <c r="H9134" s="106" t="str">
        <f t="shared" si="1"/>
        <v/>
      </c>
      <c r="J9134" t="str">
        <f>IFERROR(__xludf.DUMMYFUNCTION("IFS(
  AND(REGEXMATCH(E9134, ""台銀籌備帳戶|玉山帳戶""), REGEXMATCH(C9134, ""薪資"")), ""分潤支出"",
  AND(REGEXMATCH(E9134, ""Ben帳戶|Elsa帳戶|Ben代墊|Ariel代墊|中信銀行共用""), REGEXMATCH(F9134, ""Ben帳戶|Elsa帳戶|Ben代墊|Ariel代墊|中信銀行共用"")), ""內部轉帳(忽略)"",
  AND(E9134&lt;&gt;"""", F9134&lt;&gt;"""", N"&amp;"OT(REGEXMATCH(C9134, ""薪資""))), ""內部轉帳(忽略)"",
  REGEXMATCH(C9134, ""薪資""), ""薪資變動(不計入)"",
  REGEXMATCH(C9134, ""押金""), ""押金往來"",
  AND(E9134&lt;&gt;"""", F9134=""""), ""真實支出"",
  AND(E9134="""", F9134&lt;&gt;""""), ""真實收入"",
  TRUE, ""其他""
)"),"其他")</f>
        <v>其他</v>
      </c>
      <c r="K9134" s="270" t="str">
        <f t="shared" si="2"/>
        <v/>
      </c>
      <c r="L9134">
        <f t="shared" si="3"/>
        <v>0</v>
      </c>
    </row>
    <row r="9135">
      <c r="A9135" s="107"/>
      <c r="D9135" s="270"/>
      <c r="H9135" s="106" t="str">
        <f t="shared" si="1"/>
        <v/>
      </c>
      <c r="J9135" t="str">
        <f>IFERROR(__xludf.DUMMYFUNCTION("IFS(
  AND(REGEXMATCH(E9135, ""台銀籌備帳戶|玉山帳戶""), REGEXMATCH(C9135, ""薪資"")), ""分潤支出"",
  AND(REGEXMATCH(E9135, ""Ben帳戶|Elsa帳戶|Ben代墊|Ariel代墊|中信銀行共用""), REGEXMATCH(F9135, ""Ben帳戶|Elsa帳戶|Ben代墊|Ariel代墊|中信銀行共用"")), ""內部轉帳(忽略)"",
  AND(E9135&lt;&gt;"""", F9135&lt;&gt;"""", N"&amp;"OT(REGEXMATCH(C9135, ""薪資""))), ""內部轉帳(忽略)"",
  REGEXMATCH(C9135, ""薪資""), ""薪資變動(不計入)"",
  REGEXMATCH(C9135, ""押金""), ""押金往來"",
  AND(E9135&lt;&gt;"""", F9135=""""), ""真實支出"",
  AND(E9135="""", F9135&lt;&gt;""""), ""真實收入"",
  TRUE, ""其他""
)"),"其他")</f>
        <v>其他</v>
      </c>
      <c r="K9135" s="270" t="str">
        <f t="shared" si="2"/>
        <v/>
      </c>
      <c r="L9135">
        <f t="shared" si="3"/>
        <v>0</v>
      </c>
    </row>
    <row r="9136">
      <c r="A9136" s="107"/>
      <c r="D9136" s="270"/>
      <c r="H9136" s="106" t="str">
        <f t="shared" si="1"/>
        <v/>
      </c>
      <c r="J9136" t="str">
        <f>IFERROR(__xludf.DUMMYFUNCTION("IFS(
  AND(REGEXMATCH(E9136, ""台銀籌備帳戶|玉山帳戶""), REGEXMATCH(C9136, ""薪資"")), ""分潤支出"",
  AND(REGEXMATCH(E9136, ""Ben帳戶|Elsa帳戶|Ben代墊|Ariel代墊|中信銀行共用""), REGEXMATCH(F9136, ""Ben帳戶|Elsa帳戶|Ben代墊|Ariel代墊|中信銀行共用"")), ""內部轉帳(忽略)"",
  AND(E9136&lt;&gt;"""", F9136&lt;&gt;"""", N"&amp;"OT(REGEXMATCH(C9136, ""薪資""))), ""內部轉帳(忽略)"",
  REGEXMATCH(C9136, ""薪資""), ""薪資變動(不計入)"",
  REGEXMATCH(C9136, ""押金""), ""押金往來"",
  AND(E9136&lt;&gt;"""", F9136=""""), ""真實支出"",
  AND(E9136="""", F9136&lt;&gt;""""), ""真實收入"",
  TRUE, ""其他""
)"),"其他")</f>
        <v>其他</v>
      </c>
      <c r="K9136" s="270" t="str">
        <f t="shared" si="2"/>
        <v/>
      </c>
      <c r="L9136">
        <f t="shared" si="3"/>
        <v>0</v>
      </c>
    </row>
    <row r="9137">
      <c r="A9137" s="107"/>
      <c r="D9137" s="270"/>
      <c r="H9137" s="106" t="str">
        <f t="shared" si="1"/>
        <v/>
      </c>
      <c r="J9137" t="str">
        <f>IFERROR(__xludf.DUMMYFUNCTION("IFS(
  AND(REGEXMATCH(E9137, ""台銀籌備帳戶|玉山帳戶""), REGEXMATCH(C9137, ""薪資"")), ""分潤支出"",
  AND(REGEXMATCH(E9137, ""Ben帳戶|Elsa帳戶|Ben代墊|Ariel代墊|中信銀行共用""), REGEXMATCH(F9137, ""Ben帳戶|Elsa帳戶|Ben代墊|Ariel代墊|中信銀行共用"")), ""內部轉帳(忽略)"",
  AND(E9137&lt;&gt;"""", F9137&lt;&gt;"""", N"&amp;"OT(REGEXMATCH(C9137, ""薪資""))), ""內部轉帳(忽略)"",
  REGEXMATCH(C9137, ""薪資""), ""薪資變動(不計入)"",
  REGEXMATCH(C9137, ""押金""), ""押金往來"",
  AND(E9137&lt;&gt;"""", F9137=""""), ""真實支出"",
  AND(E9137="""", F9137&lt;&gt;""""), ""真實收入"",
  TRUE, ""其他""
)"),"其他")</f>
        <v>其他</v>
      </c>
      <c r="K9137" s="270" t="str">
        <f t="shared" si="2"/>
        <v/>
      </c>
      <c r="L9137">
        <f t="shared" si="3"/>
        <v>0</v>
      </c>
    </row>
    <row r="9138">
      <c r="A9138" s="107"/>
      <c r="D9138" s="270"/>
      <c r="H9138" s="106" t="str">
        <f t="shared" si="1"/>
        <v/>
      </c>
      <c r="J9138" t="str">
        <f>IFERROR(__xludf.DUMMYFUNCTION("IFS(
  AND(REGEXMATCH(E9138, ""台銀籌備帳戶|玉山帳戶""), REGEXMATCH(C9138, ""薪資"")), ""分潤支出"",
  AND(REGEXMATCH(E9138, ""Ben帳戶|Elsa帳戶|Ben代墊|Ariel代墊|中信銀行共用""), REGEXMATCH(F9138, ""Ben帳戶|Elsa帳戶|Ben代墊|Ariel代墊|中信銀行共用"")), ""內部轉帳(忽略)"",
  AND(E9138&lt;&gt;"""", F9138&lt;&gt;"""", N"&amp;"OT(REGEXMATCH(C9138, ""薪資""))), ""內部轉帳(忽略)"",
  REGEXMATCH(C9138, ""薪資""), ""薪資變動(不計入)"",
  REGEXMATCH(C9138, ""押金""), ""押金往來"",
  AND(E9138&lt;&gt;"""", F9138=""""), ""真實支出"",
  AND(E9138="""", F9138&lt;&gt;""""), ""真實收入"",
  TRUE, ""其他""
)"),"其他")</f>
        <v>其他</v>
      </c>
      <c r="K9138" s="270" t="str">
        <f t="shared" si="2"/>
        <v/>
      </c>
      <c r="L9138">
        <f t="shared" si="3"/>
        <v>0</v>
      </c>
    </row>
    <row r="9139">
      <c r="A9139" s="107"/>
      <c r="D9139" s="270"/>
      <c r="H9139" s="106" t="str">
        <f t="shared" si="1"/>
        <v/>
      </c>
      <c r="J9139" t="str">
        <f>IFERROR(__xludf.DUMMYFUNCTION("IFS(
  AND(REGEXMATCH(E9139, ""台銀籌備帳戶|玉山帳戶""), REGEXMATCH(C9139, ""薪資"")), ""分潤支出"",
  AND(REGEXMATCH(E9139, ""Ben帳戶|Elsa帳戶|Ben代墊|Ariel代墊|中信銀行共用""), REGEXMATCH(F9139, ""Ben帳戶|Elsa帳戶|Ben代墊|Ariel代墊|中信銀行共用"")), ""內部轉帳(忽略)"",
  AND(E9139&lt;&gt;"""", F9139&lt;&gt;"""", N"&amp;"OT(REGEXMATCH(C9139, ""薪資""))), ""內部轉帳(忽略)"",
  REGEXMATCH(C9139, ""薪資""), ""薪資變動(不計入)"",
  REGEXMATCH(C9139, ""押金""), ""押金往來"",
  AND(E9139&lt;&gt;"""", F9139=""""), ""真實支出"",
  AND(E9139="""", F9139&lt;&gt;""""), ""真實收入"",
  TRUE, ""其他""
)"),"其他")</f>
        <v>其他</v>
      </c>
      <c r="K9139" s="270" t="str">
        <f t="shared" si="2"/>
        <v/>
      </c>
      <c r="L9139">
        <f t="shared" si="3"/>
        <v>0</v>
      </c>
    </row>
    <row r="9140">
      <c r="A9140" s="107"/>
      <c r="D9140" s="270"/>
      <c r="H9140" s="106" t="str">
        <f t="shared" si="1"/>
        <v/>
      </c>
      <c r="J9140" t="str">
        <f>IFERROR(__xludf.DUMMYFUNCTION("IFS(
  AND(REGEXMATCH(E9140, ""台銀籌備帳戶|玉山帳戶""), REGEXMATCH(C9140, ""薪資"")), ""分潤支出"",
  AND(REGEXMATCH(E9140, ""Ben帳戶|Elsa帳戶|Ben代墊|Ariel代墊|中信銀行共用""), REGEXMATCH(F9140, ""Ben帳戶|Elsa帳戶|Ben代墊|Ariel代墊|中信銀行共用"")), ""內部轉帳(忽略)"",
  AND(E9140&lt;&gt;"""", F9140&lt;&gt;"""", N"&amp;"OT(REGEXMATCH(C9140, ""薪資""))), ""內部轉帳(忽略)"",
  REGEXMATCH(C9140, ""薪資""), ""薪資變動(不計入)"",
  REGEXMATCH(C9140, ""押金""), ""押金往來"",
  AND(E9140&lt;&gt;"""", F9140=""""), ""真實支出"",
  AND(E9140="""", F9140&lt;&gt;""""), ""真實收入"",
  TRUE, ""其他""
)"),"其他")</f>
        <v>其他</v>
      </c>
      <c r="K9140" s="270" t="str">
        <f t="shared" si="2"/>
        <v/>
      </c>
      <c r="L9140">
        <f t="shared" si="3"/>
        <v>0</v>
      </c>
    </row>
    <row r="9141">
      <c r="A9141" s="107"/>
      <c r="D9141" s="270"/>
      <c r="H9141" s="106" t="str">
        <f t="shared" si="1"/>
        <v/>
      </c>
      <c r="J9141" t="str">
        <f>IFERROR(__xludf.DUMMYFUNCTION("IFS(
  AND(REGEXMATCH(E9141, ""台銀籌備帳戶|玉山帳戶""), REGEXMATCH(C9141, ""薪資"")), ""分潤支出"",
  AND(REGEXMATCH(E9141, ""Ben帳戶|Elsa帳戶|Ben代墊|Ariel代墊|中信銀行共用""), REGEXMATCH(F9141, ""Ben帳戶|Elsa帳戶|Ben代墊|Ariel代墊|中信銀行共用"")), ""內部轉帳(忽略)"",
  AND(E9141&lt;&gt;"""", F9141&lt;&gt;"""", N"&amp;"OT(REGEXMATCH(C9141, ""薪資""))), ""內部轉帳(忽略)"",
  REGEXMATCH(C9141, ""薪資""), ""薪資變動(不計入)"",
  REGEXMATCH(C9141, ""押金""), ""押金往來"",
  AND(E9141&lt;&gt;"""", F9141=""""), ""真實支出"",
  AND(E9141="""", F9141&lt;&gt;""""), ""真實收入"",
  TRUE, ""其他""
)"),"其他")</f>
        <v>其他</v>
      </c>
      <c r="K9141" s="270" t="str">
        <f t="shared" si="2"/>
        <v/>
      </c>
      <c r="L9141">
        <f t="shared" si="3"/>
        <v>0</v>
      </c>
    </row>
    <row r="9142">
      <c r="A9142" s="107"/>
      <c r="D9142" s="270"/>
      <c r="H9142" s="106" t="str">
        <f t="shared" si="1"/>
        <v/>
      </c>
      <c r="J9142" t="str">
        <f>IFERROR(__xludf.DUMMYFUNCTION("IFS(
  AND(REGEXMATCH(E9142, ""台銀籌備帳戶|玉山帳戶""), REGEXMATCH(C9142, ""薪資"")), ""分潤支出"",
  AND(REGEXMATCH(E9142, ""Ben帳戶|Elsa帳戶|Ben代墊|Ariel代墊|中信銀行共用""), REGEXMATCH(F9142, ""Ben帳戶|Elsa帳戶|Ben代墊|Ariel代墊|中信銀行共用"")), ""內部轉帳(忽略)"",
  AND(E9142&lt;&gt;"""", F9142&lt;&gt;"""", N"&amp;"OT(REGEXMATCH(C9142, ""薪資""))), ""內部轉帳(忽略)"",
  REGEXMATCH(C9142, ""薪資""), ""薪資變動(不計入)"",
  REGEXMATCH(C9142, ""押金""), ""押金往來"",
  AND(E9142&lt;&gt;"""", F9142=""""), ""真實支出"",
  AND(E9142="""", F9142&lt;&gt;""""), ""真實收入"",
  TRUE, ""其他""
)"),"其他")</f>
        <v>其他</v>
      </c>
      <c r="K9142" s="270" t="str">
        <f t="shared" si="2"/>
        <v/>
      </c>
      <c r="L9142">
        <f t="shared" si="3"/>
        <v>0</v>
      </c>
    </row>
    <row r="9143">
      <c r="A9143" s="107"/>
      <c r="D9143" s="270"/>
      <c r="H9143" s="106" t="str">
        <f t="shared" si="1"/>
        <v/>
      </c>
      <c r="J9143" t="str">
        <f>IFERROR(__xludf.DUMMYFUNCTION("IFS(
  AND(REGEXMATCH(E9143, ""台銀籌備帳戶|玉山帳戶""), REGEXMATCH(C9143, ""薪資"")), ""分潤支出"",
  AND(REGEXMATCH(E9143, ""Ben帳戶|Elsa帳戶|Ben代墊|Ariel代墊|中信銀行共用""), REGEXMATCH(F9143, ""Ben帳戶|Elsa帳戶|Ben代墊|Ariel代墊|中信銀行共用"")), ""內部轉帳(忽略)"",
  AND(E9143&lt;&gt;"""", F9143&lt;&gt;"""", N"&amp;"OT(REGEXMATCH(C9143, ""薪資""))), ""內部轉帳(忽略)"",
  REGEXMATCH(C9143, ""薪資""), ""薪資變動(不計入)"",
  REGEXMATCH(C9143, ""押金""), ""押金往來"",
  AND(E9143&lt;&gt;"""", F9143=""""), ""真實支出"",
  AND(E9143="""", F9143&lt;&gt;""""), ""真實收入"",
  TRUE, ""其他""
)"),"其他")</f>
        <v>其他</v>
      </c>
      <c r="K9143" s="270" t="str">
        <f t="shared" si="2"/>
        <v/>
      </c>
      <c r="L9143">
        <f t="shared" si="3"/>
        <v>0</v>
      </c>
    </row>
    <row r="9144">
      <c r="A9144" s="107"/>
      <c r="D9144" s="270"/>
      <c r="H9144" s="106" t="str">
        <f t="shared" si="1"/>
        <v/>
      </c>
      <c r="J9144" t="str">
        <f>IFERROR(__xludf.DUMMYFUNCTION("IFS(
  AND(REGEXMATCH(E9144, ""台銀籌備帳戶|玉山帳戶""), REGEXMATCH(C9144, ""薪資"")), ""分潤支出"",
  AND(REGEXMATCH(E9144, ""Ben帳戶|Elsa帳戶|Ben代墊|Ariel代墊|中信銀行共用""), REGEXMATCH(F9144, ""Ben帳戶|Elsa帳戶|Ben代墊|Ariel代墊|中信銀行共用"")), ""內部轉帳(忽略)"",
  AND(E9144&lt;&gt;"""", F9144&lt;&gt;"""", N"&amp;"OT(REGEXMATCH(C9144, ""薪資""))), ""內部轉帳(忽略)"",
  REGEXMATCH(C9144, ""薪資""), ""薪資變動(不計入)"",
  REGEXMATCH(C9144, ""押金""), ""押金往來"",
  AND(E9144&lt;&gt;"""", F9144=""""), ""真實支出"",
  AND(E9144="""", F9144&lt;&gt;""""), ""真實收入"",
  TRUE, ""其他""
)"),"其他")</f>
        <v>其他</v>
      </c>
      <c r="K9144" s="270" t="str">
        <f t="shared" si="2"/>
        <v/>
      </c>
      <c r="L9144">
        <f t="shared" si="3"/>
        <v>0</v>
      </c>
    </row>
    <row r="9145">
      <c r="A9145" s="107"/>
      <c r="D9145" s="270"/>
      <c r="H9145" s="106" t="str">
        <f t="shared" si="1"/>
        <v/>
      </c>
      <c r="J9145" t="str">
        <f>IFERROR(__xludf.DUMMYFUNCTION("IFS(
  AND(REGEXMATCH(E9145, ""台銀籌備帳戶|玉山帳戶""), REGEXMATCH(C9145, ""薪資"")), ""分潤支出"",
  AND(REGEXMATCH(E9145, ""Ben帳戶|Elsa帳戶|Ben代墊|Ariel代墊|中信銀行共用""), REGEXMATCH(F9145, ""Ben帳戶|Elsa帳戶|Ben代墊|Ariel代墊|中信銀行共用"")), ""內部轉帳(忽略)"",
  AND(E9145&lt;&gt;"""", F9145&lt;&gt;"""", N"&amp;"OT(REGEXMATCH(C9145, ""薪資""))), ""內部轉帳(忽略)"",
  REGEXMATCH(C9145, ""薪資""), ""薪資變動(不計入)"",
  REGEXMATCH(C9145, ""押金""), ""押金往來"",
  AND(E9145&lt;&gt;"""", F9145=""""), ""真實支出"",
  AND(E9145="""", F9145&lt;&gt;""""), ""真實收入"",
  TRUE, ""其他""
)"),"其他")</f>
        <v>其他</v>
      </c>
      <c r="K9145" s="270" t="str">
        <f t="shared" si="2"/>
        <v/>
      </c>
      <c r="L9145">
        <f t="shared" si="3"/>
        <v>0</v>
      </c>
    </row>
    <row r="9146">
      <c r="A9146" s="107"/>
      <c r="D9146" s="270"/>
      <c r="H9146" s="106" t="str">
        <f t="shared" si="1"/>
        <v/>
      </c>
      <c r="J9146" t="str">
        <f>IFERROR(__xludf.DUMMYFUNCTION("IFS(
  AND(REGEXMATCH(E9146, ""台銀籌備帳戶|玉山帳戶""), REGEXMATCH(C9146, ""薪資"")), ""分潤支出"",
  AND(REGEXMATCH(E9146, ""Ben帳戶|Elsa帳戶|Ben代墊|Ariel代墊|中信銀行共用""), REGEXMATCH(F9146, ""Ben帳戶|Elsa帳戶|Ben代墊|Ariel代墊|中信銀行共用"")), ""內部轉帳(忽略)"",
  AND(E9146&lt;&gt;"""", F9146&lt;&gt;"""", N"&amp;"OT(REGEXMATCH(C9146, ""薪資""))), ""內部轉帳(忽略)"",
  REGEXMATCH(C9146, ""薪資""), ""薪資變動(不計入)"",
  REGEXMATCH(C9146, ""押金""), ""押金往來"",
  AND(E9146&lt;&gt;"""", F9146=""""), ""真實支出"",
  AND(E9146="""", F9146&lt;&gt;""""), ""真實收入"",
  TRUE, ""其他""
)"),"其他")</f>
        <v>其他</v>
      </c>
      <c r="K9146" s="270" t="str">
        <f t="shared" si="2"/>
        <v/>
      </c>
      <c r="L9146">
        <f t="shared" si="3"/>
        <v>0</v>
      </c>
    </row>
    <row r="9147">
      <c r="A9147" s="107"/>
      <c r="D9147" s="270"/>
      <c r="H9147" s="106" t="str">
        <f t="shared" si="1"/>
        <v/>
      </c>
      <c r="J9147" t="str">
        <f>IFERROR(__xludf.DUMMYFUNCTION("IFS(
  AND(REGEXMATCH(E9147, ""台銀籌備帳戶|玉山帳戶""), REGEXMATCH(C9147, ""薪資"")), ""分潤支出"",
  AND(REGEXMATCH(E9147, ""Ben帳戶|Elsa帳戶|Ben代墊|Ariel代墊|中信銀行共用""), REGEXMATCH(F9147, ""Ben帳戶|Elsa帳戶|Ben代墊|Ariel代墊|中信銀行共用"")), ""內部轉帳(忽略)"",
  AND(E9147&lt;&gt;"""", F9147&lt;&gt;"""", N"&amp;"OT(REGEXMATCH(C9147, ""薪資""))), ""內部轉帳(忽略)"",
  REGEXMATCH(C9147, ""薪資""), ""薪資變動(不計入)"",
  REGEXMATCH(C9147, ""押金""), ""押金往來"",
  AND(E9147&lt;&gt;"""", F9147=""""), ""真實支出"",
  AND(E9147="""", F9147&lt;&gt;""""), ""真實收入"",
  TRUE, ""其他""
)"),"其他")</f>
        <v>其他</v>
      </c>
      <c r="K9147" s="270" t="str">
        <f t="shared" si="2"/>
        <v/>
      </c>
      <c r="L9147">
        <f t="shared" si="3"/>
        <v>0</v>
      </c>
    </row>
    <row r="9148">
      <c r="A9148" s="107"/>
      <c r="D9148" s="270"/>
      <c r="H9148" s="106" t="str">
        <f t="shared" si="1"/>
        <v/>
      </c>
      <c r="J9148" t="str">
        <f>IFERROR(__xludf.DUMMYFUNCTION("IFS(
  AND(REGEXMATCH(E9148, ""台銀籌備帳戶|玉山帳戶""), REGEXMATCH(C9148, ""薪資"")), ""分潤支出"",
  AND(REGEXMATCH(E9148, ""Ben帳戶|Elsa帳戶|Ben代墊|Ariel代墊|中信銀行共用""), REGEXMATCH(F9148, ""Ben帳戶|Elsa帳戶|Ben代墊|Ariel代墊|中信銀行共用"")), ""內部轉帳(忽略)"",
  AND(E9148&lt;&gt;"""", F9148&lt;&gt;"""", N"&amp;"OT(REGEXMATCH(C9148, ""薪資""))), ""內部轉帳(忽略)"",
  REGEXMATCH(C9148, ""薪資""), ""薪資變動(不計入)"",
  REGEXMATCH(C9148, ""押金""), ""押金往來"",
  AND(E9148&lt;&gt;"""", F9148=""""), ""真實支出"",
  AND(E9148="""", F9148&lt;&gt;""""), ""真實收入"",
  TRUE, ""其他""
)"),"其他")</f>
        <v>其他</v>
      </c>
      <c r="K9148" s="270" t="str">
        <f t="shared" si="2"/>
        <v/>
      </c>
      <c r="L9148">
        <f t="shared" si="3"/>
        <v>0</v>
      </c>
    </row>
    <row r="9149">
      <c r="A9149" s="107"/>
      <c r="D9149" s="270"/>
      <c r="H9149" s="106" t="str">
        <f t="shared" si="1"/>
        <v/>
      </c>
      <c r="J9149" t="str">
        <f>IFERROR(__xludf.DUMMYFUNCTION("IFS(
  AND(REGEXMATCH(E9149, ""台銀籌備帳戶|玉山帳戶""), REGEXMATCH(C9149, ""薪資"")), ""分潤支出"",
  AND(REGEXMATCH(E9149, ""Ben帳戶|Elsa帳戶|Ben代墊|Ariel代墊|中信銀行共用""), REGEXMATCH(F9149, ""Ben帳戶|Elsa帳戶|Ben代墊|Ariel代墊|中信銀行共用"")), ""內部轉帳(忽略)"",
  AND(E9149&lt;&gt;"""", F9149&lt;&gt;"""", N"&amp;"OT(REGEXMATCH(C9149, ""薪資""))), ""內部轉帳(忽略)"",
  REGEXMATCH(C9149, ""薪資""), ""薪資變動(不計入)"",
  REGEXMATCH(C9149, ""押金""), ""押金往來"",
  AND(E9149&lt;&gt;"""", F9149=""""), ""真實支出"",
  AND(E9149="""", F9149&lt;&gt;""""), ""真實收入"",
  TRUE, ""其他""
)"),"其他")</f>
        <v>其他</v>
      </c>
      <c r="K9149" s="270" t="str">
        <f t="shared" si="2"/>
        <v/>
      </c>
      <c r="L9149">
        <f t="shared" si="3"/>
        <v>0</v>
      </c>
    </row>
    <row r="9150">
      <c r="A9150" s="107"/>
      <c r="D9150" s="270"/>
      <c r="H9150" s="106" t="str">
        <f t="shared" si="1"/>
        <v/>
      </c>
      <c r="J9150" t="str">
        <f>IFERROR(__xludf.DUMMYFUNCTION("IFS(
  AND(REGEXMATCH(E9150, ""台銀籌備帳戶|玉山帳戶""), REGEXMATCH(C9150, ""薪資"")), ""分潤支出"",
  AND(REGEXMATCH(E9150, ""Ben帳戶|Elsa帳戶|Ben代墊|Ariel代墊|中信銀行共用""), REGEXMATCH(F9150, ""Ben帳戶|Elsa帳戶|Ben代墊|Ariel代墊|中信銀行共用"")), ""內部轉帳(忽略)"",
  AND(E9150&lt;&gt;"""", F9150&lt;&gt;"""", N"&amp;"OT(REGEXMATCH(C9150, ""薪資""))), ""內部轉帳(忽略)"",
  REGEXMATCH(C9150, ""薪資""), ""薪資變動(不計入)"",
  REGEXMATCH(C9150, ""押金""), ""押金往來"",
  AND(E9150&lt;&gt;"""", F9150=""""), ""真實支出"",
  AND(E9150="""", F9150&lt;&gt;""""), ""真實收入"",
  TRUE, ""其他""
)"),"其他")</f>
        <v>其他</v>
      </c>
      <c r="K9150" s="270" t="str">
        <f t="shared" si="2"/>
        <v/>
      </c>
      <c r="L9150">
        <f t="shared" si="3"/>
        <v>0</v>
      </c>
    </row>
    <row r="9151">
      <c r="A9151" s="107"/>
      <c r="D9151" s="270"/>
      <c r="H9151" s="106" t="str">
        <f t="shared" si="1"/>
        <v/>
      </c>
      <c r="J9151" t="str">
        <f>IFERROR(__xludf.DUMMYFUNCTION("IFS(
  AND(REGEXMATCH(E9151, ""台銀籌備帳戶|玉山帳戶""), REGEXMATCH(C9151, ""薪資"")), ""分潤支出"",
  AND(REGEXMATCH(E9151, ""Ben帳戶|Elsa帳戶|Ben代墊|Ariel代墊|中信銀行共用""), REGEXMATCH(F9151, ""Ben帳戶|Elsa帳戶|Ben代墊|Ariel代墊|中信銀行共用"")), ""內部轉帳(忽略)"",
  AND(E9151&lt;&gt;"""", F9151&lt;&gt;"""", N"&amp;"OT(REGEXMATCH(C9151, ""薪資""))), ""內部轉帳(忽略)"",
  REGEXMATCH(C9151, ""薪資""), ""薪資變動(不計入)"",
  REGEXMATCH(C9151, ""押金""), ""押金往來"",
  AND(E9151&lt;&gt;"""", F9151=""""), ""真實支出"",
  AND(E9151="""", F9151&lt;&gt;""""), ""真實收入"",
  TRUE, ""其他""
)"),"其他")</f>
        <v>其他</v>
      </c>
      <c r="K9151" s="270" t="str">
        <f t="shared" si="2"/>
        <v/>
      </c>
      <c r="L9151">
        <f t="shared" si="3"/>
        <v>0</v>
      </c>
    </row>
    <row r="9152">
      <c r="A9152" s="107"/>
      <c r="D9152" s="270"/>
      <c r="H9152" s="106" t="str">
        <f t="shared" si="1"/>
        <v/>
      </c>
      <c r="J9152" t="str">
        <f>IFERROR(__xludf.DUMMYFUNCTION("IFS(
  AND(REGEXMATCH(E9152, ""台銀籌備帳戶|玉山帳戶""), REGEXMATCH(C9152, ""薪資"")), ""分潤支出"",
  AND(REGEXMATCH(E9152, ""Ben帳戶|Elsa帳戶|Ben代墊|Ariel代墊|中信銀行共用""), REGEXMATCH(F9152, ""Ben帳戶|Elsa帳戶|Ben代墊|Ariel代墊|中信銀行共用"")), ""內部轉帳(忽略)"",
  AND(E9152&lt;&gt;"""", F9152&lt;&gt;"""", N"&amp;"OT(REGEXMATCH(C9152, ""薪資""))), ""內部轉帳(忽略)"",
  REGEXMATCH(C9152, ""薪資""), ""薪資變動(不計入)"",
  REGEXMATCH(C9152, ""押金""), ""押金往來"",
  AND(E9152&lt;&gt;"""", F9152=""""), ""真實支出"",
  AND(E9152="""", F9152&lt;&gt;""""), ""真實收入"",
  TRUE, ""其他""
)"),"其他")</f>
        <v>其他</v>
      </c>
      <c r="K9152" s="270" t="str">
        <f t="shared" si="2"/>
        <v/>
      </c>
      <c r="L9152">
        <f t="shared" si="3"/>
        <v>0</v>
      </c>
    </row>
    <row r="9153">
      <c r="A9153" s="107"/>
      <c r="D9153" s="270"/>
      <c r="H9153" s="106" t="str">
        <f t="shared" si="1"/>
        <v/>
      </c>
      <c r="J9153" t="str">
        <f>IFERROR(__xludf.DUMMYFUNCTION("IFS(
  AND(REGEXMATCH(E9153, ""台銀籌備帳戶|玉山帳戶""), REGEXMATCH(C9153, ""薪資"")), ""分潤支出"",
  AND(REGEXMATCH(E9153, ""Ben帳戶|Elsa帳戶|Ben代墊|Ariel代墊|中信銀行共用""), REGEXMATCH(F9153, ""Ben帳戶|Elsa帳戶|Ben代墊|Ariel代墊|中信銀行共用"")), ""內部轉帳(忽略)"",
  AND(E9153&lt;&gt;"""", F9153&lt;&gt;"""", N"&amp;"OT(REGEXMATCH(C9153, ""薪資""))), ""內部轉帳(忽略)"",
  REGEXMATCH(C9153, ""薪資""), ""薪資變動(不計入)"",
  REGEXMATCH(C9153, ""押金""), ""押金往來"",
  AND(E9153&lt;&gt;"""", F9153=""""), ""真實支出"",
  AND(E9153="""", F9153&lt;&gt;""""), ""真實收入"",
  TRUE, ""其他""
)"),"其他")</f>
        <v>其他</v>
      </c>
      <c r="K9153" s="270" t="str">
        <f t="shared" si="2"/>
        <v/>
      </c>
      <c r="L9153">
        <f t="shared" si="3"/>
        <v>0</v>
      </c>
    </row>
    <row r="9154">
      <c r="A9154" s="107"/>
      <c r="D9154" s="270"/>
      <c r="H9154" s="106" t="str">
        <f t="shared" si="1"/>
        <v/>
      </c>
      <c r="J9154" t="str">
        <f>IFERROR(__xludf.DUMMYFUNCTION("IFS(
  AND(REGEXMATCH(E9154, ""台銀籌備帳戶|玉山帳戶""), REGEXMATCH(C9154, ""薪資"")), ""分潤支出"",
  AND(REGEXMATCH(E9154, ""Ben帳戶|Elsa帳戶|Ben代墊|Ariel代墊|中信銀行共用""), REGEXMATCH(F9154, ""Ben帳戶|Elsa帳戶|Ben代墊|Ariel代墊|中信銀行共用"")), ""內部轉帳(忽略)"",
  AND(E9154&lt;&gt;"""", F9154&lt;&gt;"""", N"&amp;"OT(REGEXMATCH(C9154, ""薪資""))), ""內部轉帳(忽略)"",
  REGEXMATCH(C9154, ""薪資""), ""薪資變動(不計入)"",
  REGEXMATCH(C9154, ""押金""), ""押金往來"",
  AND(E9154&lt;&gt;"""", F9154=""""), ""真實支出"",
  AND(E9154="""", F9154&lt;&gt;""""), ""真實收入"",
  TRUE, ""其他""
)"),"其他")</f>
        <v>其他</v>
      </c>
      <c r="K9154" s="270" t="str">
        <f t="shared" si="2"/>
        <v/>
      </c>
      <c r="L9154">
        <f t="shared" si="3"/>
        <v>0</v>
      </c>
    </row>
    <row r="9155">
      <c r="A9155" s="107"/>
      <c r="D9155" s="270"/>
      <c r="H9155" s="106" t="str">
        <f t="shared" si="1"/>
        <v/>
      </c>
      <c r="J9155" t="str">
        <f>IFERROR(__xludf.DUMMYFUNCTION("IFS(
  AND(REGEXMATCH(E9155, ""台銀籌備帳戶|玉山帳戶""), REGEXMATCH(C9155, ""薪資"")), ""分潤支出"",
  AND(REGEXMATCH(E9155, ""Ben帳戶|Elsa帳戶|Ben代墊|Ariel代墊|中信銀行共用""), REGEXMATCH(F9155, ""Ben帳戶|Elsa帳戶|Ben代墊|Ariel代墊|中信銀行共用"")), ""內部轉帳(忽略)"",
  AND(E9155&lt;&gt;"""", F9155&lt;&gt;"""", N"&amp;"OT(REGEXMATCH(C9155, ""薪資""))), ""內部轉帳(忽略)"",
  REGEXMATCH(C9155, ""薪資""), ""薪資變動(不計入)"",
  REGEXMATCH(C9155, ""押金""), ""押金往來"",
  AND(E9155&lt;&gt;"""", F9155=""""), ""真實支出"",
  AND(E9155="""", F9155&lt;&gt;""""), ""真實收入"",
  TRUE, ""其他""
)"),"其他")</f>
        <v>其他</v>
      </c>
      <c r="K9155" s="270" t="str">
        <f t="shared" si="2"/>
        <v/>
      </c>
      <c r="L9155">
        <f t="shared" si="3"/>
        <v>0</v>
      </c>
    </row>
    <row r="9156">
      <c r="A9156" s="107"/>
      <c r="D9156" s="270"/>
      <c r="H9156" s="106" t="str">
        <f t="shared" si="1"/>
        <v/>
      </c>
      <c r="J9156" t="str">
        <f>IFERROR(__xludf.DUMMYFUNCTION("IFS(
  AND(REGEXMATCH(E9156, ""台銀籌備帳戶|玉山帳戶""), REGEXMATCH(C9156, ""薪資"")), ""分潤支出"",
  AND(REGEXMATCH(E9156, ""Ben帳戶|Elsa帳戶|Ben代墊|Ariel代墊|中信銀行共用""), REGEXMATCH(F9156, ""Ben帳戶|Elsa帳戶|Ben代墊|Ariel代墊|中信銀行共用"")), ""內部轉帳(忽略)"",
  AND(E9156&lt;&gt;"""", F9156&lt;&gt;"""", N"&amp;"OT(REGEXMATCH(C9156, ""薪資""))), ""內部轉帳(忽略)"",
  REGEXMATCH(C9156, ""薪資""), ""薪資變動(不計入)"",
  REGEXMATCH(C9156, ""押金""), ""押金往來"",
  AND(E9156&lt;&gt;"""", F9156=""""), ""真實支出"",
  AND(E9156="""", F9156&lt;&gt;""""), ""真實收入"",
  TRUE, ""其他""
)"),"其他")</f>
        <v>其他</v>
      </c>
      <c r="K9156" s="270" t="str">
        <f t="shared" si="2"/>
        <v/>
      </c>
      <c r="L9156">
        <f t="shared" si="3"/>
        <v>0</v>
      </c>
    </row>
    <row r="9157">
      <c r="A9157" s="107"/>
      <c r="D9157" s="270"/>
      <c r="H9157" s="106" t="str">
        <f t="shared" si="1"/>
        <v/>
      </c>
      <c r="J9157" t="str">
        <f>IFERROR(__xludf.DUMMYFUNCTION("IFS(
  AND(REGEXMATCH(E9157, ""台銀籌備帳戶|玉山帳戶""), REGEXMATCH(C9157, ""薪資"")), ""分潤支出"",
  AND(REGEXMATCH(E9157, ""Ben帳戶|Elsa帳戶|Ben代墊|Ariel代墊|中信銀行共用""), REGEXMATCH(F9157, ""Ben帳戶|Elsa帳戶|Ben代墊|Ariel代墊|中信銀行共用"")), ""內部轉帳(忽略)"",
  AND(E9157&lt;&gt;"""", F9157&lt;&gt;"""", N"&amp;"OT(REGEXMATCH(C9157, ""薪資""))), ""內部轉帳(忽略)"",
  REGEXMATCH(C9157, ""薪資""), ""薪資變動(不計入)"",
  REGEXMATCH(C9157, ""押金""), ""押金往來"",
  AND(E9157&lt;&gt;"""", F9157=""""), ""真實支出"",
  AND(E9157="""", F9157&lt;&gt;""""), ""真實收入"",
  TRUE, ""其他""
)"),"其他")</f>
        <v>其他</v>
      </c>
      <c r="K9157" s="270" t="str">
        <f t="shared" si="2"/>
        <v/>
      </c>
      <c r="L9157">
        <f t="shared" si="3"/>
        <v>0</v>
      </c>
    </row>
    <row r="9158">
      <c r="A9158" s="107"/>
      <c r="D9158" s="270"/>
      <c r="H9158" s="106" t="str">
        <f t="shared" si="1"/>
        <v/>
      </c>
      <c r="J9158" t="str">
        <f>IFERROR(__xludf.DUMMYFUNCTION("IFS(
  AND(REGEXMATCH(E9158, ""台銀籌備帳戶|玉山帳戶""), REGEXMATCH(C9158, ""薪資"")), ""分潤支出"",
  AND(REGEXMATCH(E9158, ""Ben帳戶|Elsa帳戶|Ben代墊|Ariel代墊|中信銀行共用""), REGEXMATCH(F9158, ""Ben帳戶|Elsa帳戶|Ben代墊|Ariel代墊|中信銀行共用"")), ""內部轉帳(忽略)"",
  AND(E9158&lt;&gt;"""", F9158&lt;&gt;"""", N"&amp;"OT(REGEXMATCH(C9158, ""薪資""))), ""內部轉帳(忽略)"",
  REGEXMATCH(C9158, ""薪資""), ""薪資變動(不計入)"",
  REGEXMATCH(C9158, ""押金""), ""押金往來"",
  AND(E9158&lt;&gt;"""", F9158=""""), ""真實支出"",
  AND(E9158="""", F9158&lt;&gt;""""), ""真實收入"",
  TRUE, ""其他""
)"),"其他")</f>
        <v>其他</v>
      </c>
      <c r="K9158" s="270" t="str">
        <f t="shared" si="2"/>
        <v/>
      </c>
      <c r="L9158">
        <f t="shared" si="3"/>
        <v>0</v>
      </c>
    </row>
    <row r="9159">
      <c r="A9159" s="107"/>
      <c r="D9159" s="270"/>
      <c r="H9159" s="106" t="str">
        <f t="shared" si="1"/>
        <v/>
      </c>
      <c r="J9159" t="str">
        <f>IFERROR(__xludf.DUMMYFUNCTION("IFS(
  AND(REGEXMATCH(E9159, ""台銀籌備帳戶|玉山帳戶""), REGEXMATCH(C9159, ""薪資"")), ""分潤支出"",
  AND(REGEXMATCH(E9159, ""Ben帳戶|Elsa帳戶|Ben代墊|Ariel代墊|中信銀行共用""), REGEXMATCH(F9159, ""Ben帳戶|Elsa帳戶|Ben代墊|Ariel代墊|中信銀行共用"")), ""內部轉帳(忽略)"",
  AND(E9159&lt;&gt;"""", F9159&lt;&gt;"""", N"&amp;"OT(REGEXMATCH(C9159, ""薪資""))), ""內部轉帳(忽略)"",
  REGEXMATCH(C9159, ""薪資""), ""薪資變動(不計入)"",
  REGEXMATCH(C9159, ""押金""), ""押金往來"",
  AND(E9159&lt;&gt;"""", F9159=""""), ""真實支出"",
  AND(E9159="""", F9159&lt;&gt;""""), ""真實收入"",
  TRUE, ""其他""
)"),"其他")</f>
        <v>其他</v>
      </c>
      <c r="K9159" s="270" t="str">
        <f t="shared" si="2"/>
        <v/>
      </c>
      <c r="L9159">
        <f t="shared" si="3"/>
        <v>0</v>
      </c>
    </row>
    <row r="9160">
      <c r="A9160" s="107"/>
      <c r="D9160" s="270"/>
      <c r="H9160" s="106" t="str">
        <f t="shared" si="1"/>
        <v/>
      </c>
      <c r="J9160" t="str">
        <f>IFERROR(__xludf.DUMMYFUNCTION("IFS(
  AND(REGEXMATCH(E9160, ""台銀籌備帳戶|玉山帳戶""), REGEXMATCH(C9160, ""薪資"")), ""分潤支出"",
  AND(REGEXMATCH(E9160, ""Ben帳戶|Elsa帳戶|Ben代墊|Ariel代墊|中信銀行共用""), REGEXMATCH(F9160, ""Ben帳戶|Elsa帳戶|Ben代墊|Ariel代墊|中信銀行共用"")), ""內部轉帳(忽略)"",
  AND(E9160&lt;&gt;"""", F9160&lt;&gt;"""", N"&amp;"OT(REGEXMATCH(C9160, ""薪資""))), ""內部轉帳(忽略)"",
  REGEXMATCH(C9160, ""薪資""), ""薪資變動(不計入)"",
  REGEXMATCH(C9160, ""押金""), ""押金往來"",
  AND(E9160&lt;&gt;"""", F9160=""""), ""真實支出"",
  AND(E9160="""", F9160&lt;&gt;""""), ""真實收入"",
  TRUE, ""其他""
)"),"其他")</f>
        <v>其他</v>
      </c>
      <c r="K9160" s="270" t="str">
        <f t="shared" si="2"/>
        <v/>
      </c>
      <c r="L9160">
        <f t="shared" si="3"/>
        <v>0</v>
      </c>
    </row>
    <row r="9161">
      <c r="A9161" s="107"/>
      <c r="D9161" s="270"/>
      <c r="H9161" s="106" t="str">
        <f t="shared" si="1"/>
        <v/>
      </c>
      <c r="J9161" t="str">
        <f>IFERROR(__xludf.DUMMYFUNCTION("IFS(
  AND(REGEXMATCH(E9161, ""台銀籌備帳戶|玉山帳戶""), REGEXMATCH(C9161, ""薪資"")), ""分潤支出"",
  AND(REGEXMATCH(E9161, ""Ben帳戶|Elsa帳戶|Ben代墊|Ariel代墊|中信銀行共用""), REGEXMATCH(F9161, ""Ben帳戶|Elsa帳戶|Ben代墊|Ariel代墊|中信銀行共用"")), ""內部轉帳(忽略)"",
  AND(E9161&lt;&gt;"""", F9161&lt;&gt;"""", N"&amp;"OT(REGEXMATCH(C9161, ""薪資""))), ""內部轉帳(忽略)"",
  REGEXMATCH(C9161, ""薪資""), ""薪資變動(不計入)"",
  REGEXMATCH(C9161, ""押金""), ""押金往來"",
  AND(E9161&lt;&gt;"""", F9161=""""), ""真實支出"",
  AND(E9161="""", F9161&lt;&gt;""""), ""真實收入"",
  TRUE, ""其他""
)"),"其他")</f>
        <v>其他</v>
      </c>
      <c r="K9161" s="270" t="str">
        <f t="shared" si="2"/>
        <v/>
      </c>
      <c r="L9161">
        <f t="shared" si="3"/>
        <v>0</v>
      </c>
    </row>
    <row r="9162">
      <c r="A9162" s="107"/>
      <c r="D9162" s="270"/>
      <c r="H9162" s="106" t="str">
        <f t="shared" si="1"/>
        <v/>
      </c>
      <c r="J9162" t="str">
        <f>IFERROR(__xludf.DUMMYFUNCTION("IFS(
  AND(REGEXMATCH(E9162, ""台銀籌備帳戶|玉山帳戶""), REGEXMATCH(C9162, ""薪資"")), ""分潤支出"",
  AND(REGEXMATCH(E9162, ""Ben帳戶|Elsa帳戶|Ben代墊|Ariel代墊|中信銀行共用""), REGEXMATCH(F9162, ""Ben帳戶|Elsa帳戶|Ben代墊|Ariel代墊|中信銀行共用"")), ""內部轉帳(忽略)"",
  AND(E9162&lt;&gt;"""", F9162&lt;&gt;"""", N"&amp;"OT(REGEXMATCH(C9162, ""薪資""))), ""內部轉帳(忽略)"",
  REGEXMATCH(C9162, ""薪資""), ""薪資變動(不計入)"",
  REGEXMATCH(C9162, ""押金""), ""押金往來"",
  AND(E9162&lt;&gt;"""", F9162=""""), ""真實支出"",
  AND(E9162="""", F9162&lt;&gt;""""), ""真實收入"",
  TRUE, ""其他""
)"),"其他")</f>
        <v>其他</v>
      </c>
      <c r="K9162" s="270" t="str">
        <f t="shared" si="2"/>
        <v/>
      </c>
      <c r="L9162">
        <f t="shared" si="3"/>
        <v>0</v>
      </c>
    </row>
    <row r="9163">
      <c r="A9163" s="107"/>
      <c r="D9163" s="270"/>
      <c r="H9163" s="106" t="str">
        <f t="shared" si="1"/>
        <v/>
      </c>
      <c r="J9163" t="str">
        <f>IFERROR(__xludf.DUMMYFUNCTION("IFS(
  AND(REGEXMATCH(E9163, ""台銀籌備帳戶|玉山帳戶""), REGEXMATCH(C9163, ""薪資"")), ""分潤支出"",
  AND(REGEXMATCH(E9163, ""Ben帳戶|Elsa帳戶|Ben代墊|Ariel代墊|中信銀行共用""), REGEXMATCH(F9163, ""Ben帳戶|Elsa帳戶|Ben代墊|Ariel代墊|中信銀行共用"")), ""內部轉帳(忽略)"",
  AND(E9163&lt;&gt;"""", F9163&lt;&gt;"""", N"&amp;"OT(REGEXMATCH(C9163, ""薪資""))), ""內部轉帳(忽略)"",
  REGEXMATCH(C9163, ""薪資""), ""薪資變動(不計入)"",
  REGEXMATCH(C9163, ""押金""), ""押金往來"",
  AND(E9163&lt;&gt;"""", F9163=""""), ""真實支出"",
  AND(E9163="""", F9163&lt;&gt;""""), ""真實收入"",
  TRUE, ""其他""
)"),"其他")</f>
        <v>其他</v>
      </c>
      <c r="K9163" s="270" t="str">
        <f t="shared" si="2"/>
        <v/>
      </c>
      <c r="L9163">
        <f t="shared" si="3"/>
        <v>0</v>
      </c>
    </row>
    <row r="9164">
      <c r="A9164" s="107"/>
      <c r="D9164" s="270"/>
      <c r="H9164" s="106" t="str">
        <f t="shared" si="1"/>
        <v/>
      </c>
      <c r="J9164" t="str">
        <f>IFERROR(__xludf.DUMMYFUNCTION("IFS(
  AND(REGEXMATCH(E9164, ""台銀籌備帳戶|玉山帳戶""), REGEXMATCH(C9164, ""薪資"")), ""分潤支出"",
  AND(REGEXMATCH(E9164, ""Ben帳戶|Elsa帳戶|Ben代墊|Ariel代墊|中信銀行共用""), REGEXMATCH(F9164, ""Ben帳戶|Elsa帳戶|Ben代墊|Ariel代墊|中信銀行共用"")), ""內部轉帳(忽略)"",
  AND(E9164&lt;&gt;"""", F9164&lt;&gt;"""", N"&amp;"OT(REGEXMATCH(C9164, ""薪資""))), ""內部轉帳(忽略)"",
  REGEXMATCH(C9164, ""薪資""), ""薪資變動(不計入)"",
  REGEXMATCH(C9164, ""押金""), ""押金往來"",
  AND(E9164&lt;&gt;"""", F9164=""""), ""真實支出"",
  AND(E9164="""", F9164&lt;&gt;""""), ""真實收入"",
  TRUE, ""其他""
)"),"其他")</f>
        <v>其他</v>
      </c>
      <c r="K9164" s="270" t="str">
        <f t="shared" si="2"/>
        <v/>
      </c>
      <c r="L9164">
        <f t="shared" si="3"/>
        <v>0</v>
      </c>
    </row>
    <row r="9165">
      <c r="A9165" s="107"/>
      <c r="D9165" s="270"/>
      <c r="H9165" s="106" t="str">
        <f t="shared" si="1"/>
        <v/>
      </c>
      <c r="J9165" t="str">
        <f>IFERROR(__xludf.DUMMYFUNCTION("IFS(
  AND(REGEXMATCH(E9165, ""台銀籌備帳戶|玉山帳戶""), REGEXMATCH(C9165, ""薪資"")), ""分潤支出"",
  AND(REGEXMATCH(E9165, ""Ben帳戶|Elsa帳戶|Ben代墊|Ariel代墊|中信銀行共用""), REGEXMATCH(F9165, ""Ben帳戶|Elsa帳戶|Ben代墊|Ariel代墊|中信銀行共用"")), ""內部轉帳(忽略)"",
  AND(E9165&lt;&gt;"""", F9165&lt;&gt;"""", N"&amp;"OT(REGEXMATCH(C9165, ""薪資""))), ""內部轉帳(忽略)"",
  REGEXMATCH(C9165, ""薪資""), ""薪資變動(不計入)"",
  REGEXMATCH(C9165, ""押金""), ""押金往來"",
  AND(E9165&lt;&gt;"""", F9165=""""), ""真實支出"",
  AND(E9165="""", F9165&lt;&gt;""""), ""真實收入"",
  TRUE, ""其他""
)"),"其他")</f>
        <v>其他</v>
      </c>
      <c r="K9165" s="270" t="str">
        <f t="shared" si="2"/>
        <v/>
      </c>
      <c r="L9165">
        <f t="shared" si="3"/>
        <v>0</v>
      </c>
    </row>
    <row r="9166">
      <c r="A9166" s="107"/>
      <c r="D9166" s="270"/>
      <c r="H9166" s="106" t="str">
        <f t="shared" si="1"/>
        <v/>
      </c>
      <c r="J9166" t="str">
        <f>IFERROR(__xludf.DUMMYFUNCTION("IFS(
  AND(REGEXMATCH(E9166, ""台銀籌備帳戶|玉山帳戶""), REGEXMATCH(C9166, ""薪資"")), ""分潤支出"",
  AND(REGEXMATCH(E9166, ""Ben帳戶|Elsa帳戶|Ben代墊|Ariel代墊|中信銀行共用""), REGEXMATCH(F9166, ""Ben帳戶|Elsa帳戶|Ben代墊|Ariel代墊|中信銀行共用"")), ""內部轉帳(忽略)"",
  AND(E9166&lt;&gt;"""", F9166&lt;&gt;"""", N"&amp;"OT(REGEXMATCH(C9166, ""薪資""))), ""內部轉帳(忽略)"",
  REGEXMATCH(C9166, ""薪資""), ""薪資變動(不計入)"",
  REGEXMATCH(C9166, ""押金""), ""押金往來"",
  AND(E9166&lt;&gt;"""", F9166=""""), ""真實支出"",
  AND(E9166="""", F9166&lt;&gt;""""), ""真實收入"",
  TRUE, ""其他""
)"),"其他")</f>
        <v>其他</v>
      </c>
      <c r="K9166" s="270" t="str">
        <f t="shared" si="2"/>
        <v/>
      </c>
      <c r="L9166">
        <f t="shared" si="3"/>
        <v>0</v>
      </c>
    </row>
    <row r="9167">
      <c r="A9167" s="107"/>
      <c r="D9167" s="270"/>
      <c r="H9167" s="106" t="str">
        <f t="shared" si="1"/>
        <v/>
      </c>
      <c r="J9167" t="str">
        <f>IFERROR(__xludf.DUMMYFUNCTION("IFS(
  AND(REGEXMATCH(E9167, ""台銀籌備帳戶|玉山帳戶""), REGEXMATCH(C9167, ""薪資"")), ""分潤支出"",
  AND(REGEXMATCH(E9167, ""Ben帳戶|Elsa帳戶|Ben代墊|Ariel代墊|中信銀行共用""), REGEXMATCH(F9167, ""Ben帳戶|Elsa帳戶|Ben代墊|Ariel代墊|中信銀行共用"")), ""內部轉帳(忽略)"",
  AND(E9167&lt;&gt;"""", F9167&lt;&gt;"""", N"&amp;"OT(REGEXMATCH(C9167, ""薪資""))), ""內部轉帳(忽略)"",
  REGEXMATCH(C9167, ""薪資""), ""薪資變動(不計入)"",
  REGEXMATCH(C9167, ""押金""), ""押金往來"",
  AND(E9167&lt;&gt;"""", F9167=""""), ""真實支出"",
  AND(E9167="""", F9167&lt;&gt;""""), ""真實收入"",
  TRUE, ""其他""
)"),"其他")</f>
        <v>其他</v>
      </c>
      <c r="K9167" s="270" t="str">
        <f t="shared" si="2"/>
        <v/>
      </c>
      <c r="L9167">
        <f t="shared" si="3"/>
        <v>0</v>
      </c>
    </row>
    <row r="9168">
      <c r="A9168" s="107"/>
      <c r="D9168" s="270"/>
      <c r="H9168" s="106" t="str">
        <f t="shared" si="1"/>
        <v/>
      </c>
      <c r="J9168" t="str">
        <f>IFERROR(__xludf.DUMMYFUNCTION("IFS(
  AND(REGEXMATCH(E9168, ""台銀籌備帳戶|玉山帳戶""), REGEXMATCH(C9168, ""薪資"")), ""分潤支出"",
  AND(REGEXMATCH(E9168, ""Ben帳戶|Elsa帳戶|Ben代墊|Ariel代墊|中信銀行共用""), REGEXMATCH(F9168, ""Ben帳戶|Elsa帳戶|Ben代墊|Ariel代墊|中信銀行共用"")), ""內部轉帳(忽略)"",
  AND(E9168&lt;&gt;"""", F9168&lt;&gt;"""", N"&amp;"OT(REGEXMATCH(C9168, ""薪資""))), ""內部轉帳(忽略)"",
  REGEXMATCH(C9168, ""薪資""), ""薪資變動(不計入)"",
  REGEXMATCH(C9168, ""押金""), ""押金往來"",
  AND(E9168&lt;&gt;"""", F9168=""""), ""真實支出"",
  AND(E9168="""", F9168&lt;&gt;""""), ""真實收入"",
  TRUE, ""其他""
)"),"其他")</f>
        <v>其他</v>
      </c>
      <c r="K9168" s="270" t="str">
        <f t="shared" si="2"/>
        <v/>
      </c>
      <c r="L9168">
        <f t="shared" si="3"/>
        <v>0</v>
      </c>
    </row>
    <row r="9169">
      <c r="A9169" s="107"/>
      <c r="D9169" s="270"/>
      <c r="H9169" s="106" t="str">
        <f t="shared" si="1"/>
        <v/>
      </c>
      <c r="J9169" t="str">
        <f>IFERROR(__xludf.DUMMYFUNCTION("IFS(
  AND(REGEXMATCH(E9169, ""台銀籌備帳戶|玉山帳戶""), REGEXMATCH(C9169, ""薪資"")), ""分潤支出"",
  AND(REGEXMATCH(E9169, ""Ben帳戶|Elsa帳戶|Ben代墊|Ariel代墊|中信銀行共用""), REGEXMATCH(F9169, ""Ben帳戶|Elsa帳戶|Ben代墊|Ariel代墊|中信銀行共用"")), ""內部轉帳(忽略)"",
  AND(E9169&lt;&gt;"""", F9169&lt;&gt;"""", N"&amp;"OT(REGEXMATCH(C9169, ""薪資""))), ""內部轉帳(忽略)"",
  REGEXMATCH(C9169, ""薪資""), ""薪資變動(不計入)"",
  REGEXMATCH(C9169, ""押金""), ""押金往來"",
  AND(E9169&lt;&gt;"""", F9169=""""), ""真實支出"",
  AND(E9169="""", F9169&lt;&gt;""""), ""真實收入"",
  TRUE, ""其他""
)"),"其他")</f>
        <v>其他</v>
      </c>
      <c r="K9169" s="270" t="str">
        <f t="shared" si="2"/>
        <v/>
      </c>
      <c r="L9169">
        <f t="shared" si="3"/>
        <v>0</v>
      </c>
    </row>
    <row r="9170">
      <c r="A9170" s="107"/>
      <c r="D9170" s="270"/>
      <c r="H9170" s="106" t="str">
        <f t="shared" si="1"/>
        <v/>
      </c>
      <c r="J9170" t="str">
        <f>IFERROR(__xludf.DUMMYFUNCTION("IFS(
  AND(REGEXMATCH(E9170, ""台銀籌備帳戶|玉山帳戶""), REGEXMATCH(C9170, ""薪資"")), ""分潤支出"",
  AND(REGEXMATCH(E9170, ""Ben帳戶|Elsa帳戶|Ben代墊|Ariel代墊|中信銀行共用""), REGEXMATCH(F9170, ""Ben帳戶|Elsa帳戶|Ben代墊|Ariel代墊|中信銀行共用"")), ""內部轉帳(忽略)"",
  AND(E9170&lt;&gt;"""", F9170&lt;&gt;"""", N"&amp;"OT(REGEXMATCH(C9170, ""薪資""))), ""內部轉帳(忽略)"",
  REGEXMATCH(C9170, ""薪資""), ""薪資變動(不計入)"",
  REGEXMATCH(C9170, ""押金""), ""押金往來"",
  AND(E9170&lt;&gt;"""", F9170=""""), ""真實支出"",
  AND(E9170="""", F9170&lt;&gt;""""), ""真實收入"",
  TRUE, ""其他""
)"),"其他")</f>
        <v>其他</v>
      </c>
      <c r="K9170" s="270" t="str">
        <f t="shared" si="2"/>
        <v/>
      </c>
      <c r="L9170">
        <f t="shared" si="3"/>
        <v>0</v>
      </c>
    </row>
    <row r="9171">
      <c r="A9171" s="107"/>
      <c r="D9171" s="270"/>
      <c r="H9171" s="106" t="str">
        <f t="shared" si="1"/>
        <v/>
      </c>
      <c r="J9171" t="str">
        <f>IFERROR(__xludf.DUMMYFUNCTION("IFS(
  AND(REGEXMATCH(E9171, ""台銀籌備帳戶|玉山帳戶""), REGEXMATCH(C9171, ""薪資"")), ""分潤支出"",
  AND(REGEXMATCH(E9171, ""Ben帳戶|Elsa帳戶|Ben代墊|Ariel代墊|中信銀行共用""), REGEXMATCH(F9171, ""Ben帳戶|Elsa帳戶|Ben代墊|Ariel代墊|中信銀行共用"")), ""內部轉帳(忽略)"",
  AND(E9171&lt;&gt;"""", F9171&lt;&gt;"""", N"&amp;"OT(REGEXMATCH(C9171, ""薪資""))), ""內部轉帳(忽略)"",
  REGEXMATCH(C9171, ""薪資""), ""薪資變動(不計入)"",
  REGEXMATCH(C9171, ""押金""), ""押金往來"",
  AND(E9171&lt;&gt;"""", F9171=""""), ""真實支出"",
  AND(E9171="""", F9171&lt;&gt;""""), ""真實收入"",
  TRUE, ""其他""
)"),"其他")</f>
        <v>其他</v>
      </c>
      <c r="K9171" s="270" t="str">
        <f t="shared" si="2"/>
        <v/>
      </c>
      <c r="L9171">
        <f t="shared" si="3"/>
        <v>0</v>
      </c>
    </row>
    <row r="9172">
      <c r="A9172" s="107"/>
      <c r="D9172" s="270"/>
      <c r="H9172" s="106" t="str">
        <f t="shared" si="1"/>
        <v/>
      </c>
      <c r="J9172" t="str">
        <f>IFERROR(__xludf.DUMMYFUNCTION("IFS(
  AND(REGEXMATCH(E9172, ""台銀籌備帳戶|玉山帳戶""), REGEXMATCH(C9172, ""薪資"")), ""分潤支出"",
  AND(REGEXMATCH(E9172, ""Ben帳戶|Elsa帳戶|Ben代墊|Ariel代墊|中信銀行共用""), REGEXMATCH(F9172, ""Ben帳戶|Elsa帳戶|Ben代墊|Ariel代墊|中信銀行共用"")), ""內部轉帳(忽略)"",
  AND(E9172&lt;&gt;"""", F9172&lt;&gt;"""", N"&amp;"OT(REGEXMATCH(C9172, ""薪資""))), ""內部轉帳(忽略)"",
  REGEXMATCH(C9172, ""薪資""), ""薪資變動(不計入)"",
  REGEXMATCH(C9172, ""押金""), ""押金往來"",
  AND(E9172&lt;&gt;"""", F9172=""""), ""真實支出"",
  AND(E9172="""", F9172&lt;&gt;""""), ""真實收入"",
  TRUE, ""其他""
)"),"其他")</f>
        <v>其他</v>
      </c>
      <c r="K9172" s="270" t="str">
        <f t="shared" si="2"/>
        <v/>
      </c>
      <c r="L9172">
        <f t="shared" si="3"/>
        <v>0</v>
      </c>
    </row>
    <row r="9173">
      <c r="A9173" s="107"/>
      <c r="D9173" s="270"/>
      <c r="H9173" s="106" t="str">
        <f t="shared" si="1"/>
        <v/>
      </c>
      <c r="J9173" t="str">
        <f>IFERROR(__xludf.DUMMYFUNCTION("IFS(
  AND(REGEXMATCH(E9173, ""台銀籌備帳戶|玉山帳戶""), REGEXMATCH(C9173, ""薪資"")), ""分潤支出"",
  AND(REGEXMATCH(E9173, ""Ben帳戶|Elsa帳戶|Ben代墊|Ariel代墊|中信銀行共用""), REGEXMATCH(F9173, ""Ben帳戶|Elsa帳戶|Ben代墊|Ariel代墊|中信銀行共用"")), ""內部轉帳(忽略)"",
  AND(E9173&lt;&gt;"""", F9173&lt;&gt;"""", N"&amp;"OT(REGEXMATCH(C9173, ""薪資""))), ""內部轉帳(忽略)"",
  REGEXMATCH(C9173, ""薪資""), ""薪資變動(不計入)"",
  REGEXMATCH(C9173, ""押金""), ""押金往來"",
  AND(E9173&lt;&gt;"""", F9173=""""), ""真實支出"",
  AND(E9173="""", F9173&lt;&gt;""""), ""真實收入"",
  TRUE, ""其他""
)"),"其他")</f>
        <v>其他</v>
      </c>
      <c r="K9173" s="270" t="str">
        <f t="shared" si="2"/>
        <v/>
      </c>
      <c r="L9173">
        <f t="shared" si="3"/>
        <v>0</v>
      </c>
    </row>
    <row r="9174">
      <c r="A9174" s="107"/>
      <c r="D9174" s="270"/>
      <c r="H9174" s="106" t="str">
        <f t="shared" si="1"/>
        <v/>
      </c>
      <c r="J9174" t="str">
        <f>IFERROR(__xludf.DUMMYFUNCTION("IFS(
  AND(REGEXMATCH(E9174, ""台銀籌備帳戶|玉山帳戶""), REGEXMATCH(C9174, ""薪資"")), ""分潤支出"",
  AND(REGEXMATCH(E9174, ""Ben帳戶|Elsa帳戶|Ben代墊|Ariel代墊|中信銀行共用""), REGEXMATCH(F9174, ""Ben帳戶|Elsa帳戶|Ben代墊|Ariel代墊|中信銀行共用"")), ""內部轉帳(忽略)"",
  AND(E9174&lt;&gt;"""", F9174&lt;&gt;"""", N"&amp;"OT(REGEXMATCH(C9174, ""薪資""))), ""內部轉帳(忽略)"",
  REGEXMATCH(C9174, ""薪資""), ""薪資變動(不計入)"",
  REGEXMATCH(C9174, ""押金""), ""押金往來"",
  AND(E9174&lt;&gt;"""", F9174=""""), ""真實支出"",
  AND(E9174="""", F9174&lt;&gt;""""), ""真實收入"",
  TRUE, ""其他""
)"),"其他")</f>
        <v>其他</v>
      </c>
      <c r="K9174" s="270" t="str">
        <f t="shared" si="2"/>
        <v/>
      </c>
      <c r="L9174">
        <f t="shared" si="3"/>
        <v>0</v>
      </c>
    </row>
    <row r="9175">
      <c r="A9175" s="107"/>
      <c r="D9175" s="270"/>
      <c r="H9175" s="106" t="str">
        <f t="shared" si="1"/>
        <v/>
      </c>
      <c r="J9175" t="str">
        <f>IFERROR(__xludf.DUMMYFUNCTION("IFS(
  AND(REGEXMATCH(E9175, ""台銀籌備帳戶|玉山帳戶""), REGEXMATCH(C9175, ""薪資"")), ""分潤支出"",
  AND(REGEXMATCH(E9175, ""Ben帳戶|Elsa帳戶|Ben代墊|Ariel代墊|中信銀行共用""), REGEXMATCH(F9175, ""Ben帳戶|Elsa帳戶|Ben代墊|Ariel代墊|中信銀行共用"")), ""內部轉帳(忽略)"",
  AND(E9175&lt;&gt;"""", F9175&lt;&gt;"""", N"&amp;"OT(REGEXMATCH(C9175, ""薪資""))), ""內部轉帳(忽略)"",
  REGEXMATCH(C9175, ""薪資""), ""薪資變動(不計入)"",
  REGEXMATCH(C9175, ""押金""), ""押金往來"",
  AND(E9175&lt;&gt;"""", F9175=""""), ""真實支出"",
  AND(E9175="""", F9175&lt;&gt;""""), ""真實收入"",
  TRUE, ""其他""
)"),"其他")</f>
        <v>其他</v>
      </c>
      <c r="K9175" s="270" t="str">
        <f t="shared" si="2"/>
        <v/>
      </c>
      <c r="L9175">
        <f t="shared" si="3"/>
        <v>0</v>
      </c>
    </row>
    <row r="9176">
      <c r="A9176" s="107"/>
      <c r="D9176" s="270"/>
      <c r="H9176" s="106" t="str">
        <f t="shared" si="1"/>
        <v/>
      </c>
      <c r="J9176" t="str">
        <f>IFERROR(__xludf.DUMMYFUNCTION("IFS(
  AND(REGEXMATCH(E9176, ""台銀籌備帳戶|玉山帳戶""), REGEXMATCH(C9176, ""薪資"")), ""分潤支出"",
  AND(REGEXMATCH(E9176, ""Ben帳戶|Elsa帳戶|Ben代墊|Ariel代墊|中信銀行共用""), REGEXMATCH(F9176, ""Ben帳戶|Elsa帳戶|Ben代墊|Ariel代墊|中信銀行共用"")), ""內部轉帳(忽略)"",
  AND(E9176&lt;&gt;"""", F9176&lt;&gt;"""", N"&amp;"OT(REGEXMATCH(C9176, ""薪資""))), ""內部轉帳(忽略)"",
  REGEXMATCH(C9176, ""薪資""), ""薪資變動(不計入)"",
  REGEXMATCH(C9176, ""押金""), ""押金往來"",
  AND(E9176&lt;&gt;"""", F9176=""""), ""真實支出"",
  AND(E9176="""", F9176&lt;&gt;""""), ""真實收入"",
  TRUE, ""其他""
)"),"其他")</f>
        <v>其他</v>
      </c>
      <c r="K9176" s="270" t="str">
        <f t="shared" si="2"/>
        <v/>
      </c>
      <c r="L9176">
        <f t="shared" si="3"/>
        <v>0</v>
      </c>
    </row>
    <row r="9177">
      <c r="A9177" s="107"/>
      <c r="D9177" s="270"/>
      <c r="H9177" s="106" t="str">
        <f t="shared" si="1"/>
        <v/>
      </c>
      <c r="J9177" t="str">
        <f>IFERROR(__xludf.DUMMYFUNCTION("IFS(
  AND(REGEXMATCH(E9177, ""台銀籌備帳戶|玉山帳戶""), REGEXMATCH(C9177, ""薪資"")), ""分潤支出"",
  AND(REGEXMATCH(E9177, ""Ben帳戶|Elsa帳戶|Ben代墊|Ariel代墊|中信銀行共用""), REGEXMATCH(F9177, ""Ben帳戶|Elsa帳戶|Ben代墊|Ariel代墊|中信銀行共用"")), ""內部轉帳(忽略)"",
  AND(E9177&lt;&gt;"""", F9177&lt;&gt;"""", N"&amp;"OT(REGEXMATCH(C9177, ""薪資""))), ""內部轉帳(忽略)"",
  REGEXMATCH(C9177, ""薪資""), ""薪資變動(不計入)"",
  REGEXMATCH(C9177, ""押金""), ""押金往來"",
  AND(E9177&lt;&gt;"""", F9177=""""), ""真實支出"",
  AND(E9177="""", F9177&lt;&gt;""""), ""真實收入"",
  TRUE, ""其他""
)"),"其他")</f>
        <v>其他</v>
      </c>
      <c r="K9177" s="270" t="str">
        <f t="shared" si="2"/>
        <v/>
      </c>
      <c r="L9177">
        <f t="shared" si="3"/>
        <v>0</v>
      </c>
    </row>
    <row r="9178">
      <c r="A9178" s="107"/>
      <c r="D9178" s="270"/>
      <c r="H9178" s="106" t="str">
        <f t="shared" si="1"/>
        <v/>
      </c>
      <c r="J9178" t="str">
        <f>IFERROR(__xludf.DUMMYFUNCTION("IFS(
  AND(REGEXMATCH(E9178, ""台銀籌備帳戶|玉山帳戶""), REGEXMATCH(C9178, ""薪資"")), ""分潤支出"",
  AND(REGEXMATCH(E9178, ""Ben帳戶|Elsa帳戶|Ben代墊|Ariel代墊|中信銀行共用""), REGEXMATCH(F9178, ""Ben帳戶|Elsa帳戶|Ben代墊|Ariel代墊|中信銀行共用"")), ""內部轉帳(忽略)"",
  AND(E9178&lt;&gt;"""", F9178&lt;&gt;"""", N"&amp;"OT(REGEXMATCH(C9178, ""薪資""))), ""內部轉帳(忽略)"",
  REGEXMATCH(C9178, ""薪資""), ""薪資變動(不計入)"",
  REGEXMATCH(C9178, ""押金""), ""押金往來"",
  AND(E9178&lt;&gt;"""", F9178=""""), ""真實支出"",
  AND(E9178="""", F9178&lt;&gt;""""), ""真實收入"",
  TRUE, ""其他""
)"),"其他")</f>
        <v>其他</v>
      </c>
      <c r="K9178" s="270" t="str">
        <f t="shared" si="2"/>
        <v/>
      </c>
      <c r="L9178">
        <f t="shared" si="3"/>
        <v>0</v>
      </c>
    </row>
    <row r="9179">
      <c r="A9179" s="107"/>
      <c r="D9179" s="270"/>
      <c r="H9179" s="106" t="str">
        <f t="shared" si="1"/>
        <v/>
      </c>
      <c r="J9179" t="str">
        <f>IFERROR(__xludf.DUMMYFUNCTION("IFS(
  AND(REGEXMATCH(E9179, ""台銀籌備帳戶|玉山帳戶""), REGEXMATCH(C9179, ""薪資"")), ""分潤支出"",
  AND(REGEXMATCH(E9179, ""Ben帳戶|Elsa帳戶|Ben代墊|Ariel代墊|中信銀行共用""), REGEXMATCH(F9179, ""Ben帳戶|Elsa帳戶|Ben代墊|Ariel代墊|中信銀行共用"")), ""內部轉帳(忽略)"",
  AND(E9179&lt;&gt;"""", F9179&lt;&gt;"""", N"&amp;"OT(REGEXMATCH(C9179, ""薪資""))), ""內部轉帳(忽略)"",
  REGEXMATCH(C9179, ""薪資""), ""薪資變動(不計入)"",
  REGEXMATCH(C9179, ""押金""), ""押金往來"",
  AND(E9179&lt;&gt;"""", F9179=""""), ""真實支出"",
  AND(E9179="""", F9179&lt;&gt;""""), ""真實收入"",
  TRUE, ""其他""
)"),"其他")</f>
        <v>其他</v>
      </c>
      <c r="K9179" s="270" t="str">
        <f t="shared" si="2"/>
        <v/>
      </c>
      <c r="L9179">
        <f t="shared" si="3"/>
        <v>0</v>
      </c>
    </row>
    <row r="9180">
      <c r="A9180" s="107"/>
      <c r="D9180" s="270"/>
      <c r="H9180" s="106" t="str">
        <f t="shared" si="1"/>
        <v/>
      </c>
      <c r="J9180" t="str">
        <f>IFERROR(__xludf.DUMMYFUNCTION("IFS(
  AND(REGEXMATCH(E9180, ""台銀籌備帳戶|玉山帳戶""), REGEXMATCH(C9180, ""薪資"")), ""分潤支出"",
  AND(REGEXMATCH(E9180, ""Ben帳戶|Elsa帳戶|Ben代墊|Ariel代墊|中信銀行共用""), REGEXMATCH(F9180, ""Ben帳戶|Elsa帳戶|Ben代墊|Ariel代墊|中信銀行共用"")), ""內部轉帳(忽略)"",
  AND(E9180&lt;&gt;"""", F9180&lt;&gt;"""", N"&amp;"OT(REGEXMATCH(C9180, ""薪資""))), ""內部轉帳(忽略)"",
  REGEXMATCH(C9180, ""薪資""), ""薪資變動(不計入)"",
  REGEXMATCH(C9180, ""押金""), ""押金往來"",
  AND(E9180&lt;&gt;"""", F9180=""""), ""真實支出"",
  AND(E9180="""", F9180&lt;&gt;""""), ""真實收入"",
  TRUE, ""其他""
)"),"其他")</f>
        <v>其他</v>
      </c>
      <c r="K9180" s="270" t="str">
        <f t="shared" si="2"/>
        <v/>
      </c>
      <c r="L9180">
        <f t="shared" si="3"/>
        <v>0</v>
      </c>
    </row>
    <row r="9181">
      <c r="A9181" s="107"/>
      <c r="D9181" s="270"/>
      <c r="H9181" s="106" t="str">
        <f t="shared" si="1"/>
        <v/>
      </c>
      <c r="J9181" t="str">
        <f>IFERROR(__xludf.DUMMYFUNCTION("IFS(
  AND(REGEXMATCH(E9181, ""台銀籌備帳戶|玉山帳戶""), REGEXMATCH(C9181, ""薪資"")), ""分潤支出"",
  AND(REGEXMATCH(E9181, ""Ben帳戶|Elsa帳戶|Ben代墊|Ariel代墊|中信銀行共用""), REGEXMATCH(F9181, ""Ben帳戶|Elsa帳戶|Ben代墊|Ariel代墊|中信銀行共用"")), ""內部轉帳(忽略)"",
  AND(E9181&lt;&gt;"""", F9181&lt;&gt;"""", N"&amp;"OT(REGEXMATCH(C9181, ""薪資""))), ""內部轉帳(忽略)"",
  REGEXMATCH(C9181, ""薪資""), ""薪資變動(不計入)"",
  REGEXMATCH(C9181, ""押金""), ""押金往來"",
  AND(E9181&lt;&gt;"""", F9181=""""), ""真實支出"",
  AND(E9181="""", F9181&lt;&gt;""""), ""真實收入"",
  TRUE, ""其他""
)"),"其他")</f>
        <v>其他</v>
      </c>
      <c r="K9181" s="270" t="str">
        <f t="shared" si="2"/>
        <v/>
      </c>
      <c r="L9181">
        <f t="shared" si="3"/>
        <v>0</v>
      </c>
    </row>
    <row r="9182">
      <c r="A9182" s="107"/>
      <c r="D9182" s="270"/>
      <c r="H9182" s="106" t="str">
        <f t="shared" si="1"/>
        <v/>
      </c>
      <c r="J9182" t="str">
        <f>IFERROR(__xludf.DUMMYFUNCTION("IFS(
  AND(REGEXMATCH(E9182, ""台銀籌備帳戶|玉山帳戶""), REGEXMATCH(C9182, ""薪資"")), ""分潤支出"",
  AND(REGEXMATCH(E9182, ""Ben帳戶|Elsa帳戶|Ben代墊|Ariel代墊|中信銀行共用""), REGEXMATCH(F9182, ""Ben帳戶|Elsa帳戶|Ben代墊|Ariel代墊|中信銀行共用"")), ""內部轉帳(忽略)"",
  AND(E9182&lt;&gt;"""", F9182&lt;&gt;"""", N"&amp;"OT(REGEXMATCH(C9182, ""薪資""))), ""內部轉帳(忽略)"",
  REGEXMATCH(C9182, ""薪資""), ""薪資變動(不計入)"",
  REGEXMATCH(C9182, ""押金""), ""押金往來"",
  AND(E9182&lt;&gt;"""", F9182=""""), ""真實支出"",
  AND(E9182="""", F9182&lt;&gt;""""), ""真實收入"",
  TRUE, ""其他""
)"),"其他")</f>
        <v>其他</v>
      </c>
      <c r="K9182" s="270" t="str">
        <f t="shared" si="2"/>
        <v/>
      </c>
      <c r="L9182">
        <f t="shared" si="3"/>
        <v>0</v>
      </c>
    </row>
    <row r="9183">
      <c r="A9183" s="107"/>
      <c r="D9183" s="270"/>
      <c r="H9183" s="106" t="str">
        <f t="shared" si="1"/>
        <v/>
      </c>
      <c r="J9183" t="str">
        <f>IFERROR(__xludf.DUMMYFUNCTION("IFS(
  AND(REGEXMATCH(E9183, ""台銀籌備帳戶|玉山帳戶""), REGEXMATCH(C9183, ""薪資"")), ""分潤支出"",
  AND(REGEXMATCH(E9183, ""Ben帳戶|Elsa帳戶|Ben代墊|Ariel代墊|中信銀行共用""), REGEXMATCH(F9183, ""Ben帳戶|Elsa帳戶|Ben代墊|Ariel代墊|中信銀行共用"")), ""內部轉帳(忽略)"",
  AND(E9183&lt;&gt;"""", F9183&lt;&gt;"""", N"&amp;"OT(REGEXMATCH(C9183, ""薪資""))), ""內部轉帳(忽略)"",
  REGEXMATCH(C9183, ""薪資""), ""薪資變動(不計入)"",
  REGEXMATCH(C9183, ""押金""), ""押金往來"",
  AND(E9183&lt;&gt;"""", F9183=""""), ""真實支出"",
  AND(E9183="""", F9183&lt;&gt;""""), ""真實收入"",
  TRUE, ""其他""
)"),"其他")</f>
        <v>其他</v>
      </c>
      <c r="K9183" s="270" t="str">
        <f t="shared" si="2"/>
        <v/>
      </c>
      <c r="L9183">
        <f t="shared" si="3"/>
        <v>0</v>
      </c>
    </row>
    <row r="9184">
      <c r="A9184" s="107"/>
      <c r="D9184" s="270"/>
      <c r="H9184" s="106" t="str">
        <f t="shared" si="1"/>
        <v/>
      </c>
      <c r="J9184" t="str">
        <f>IFERROR(__xludf.DUMMYFUNCTION("IFS(
  AND(REGEXMATCH(E9184, ""台銀籌備帳戶|玉山帳戶""), REGEXMATCH(C9184, ""薪資"")), ""分潤支出"",
  AND(REGEXMATCH(E9184, ""Ben帳戶|Elsa帳戶|Ben代墊|Ariel代墊|中信銀行共用""), REGEXMATCH(F9184, ""Ben帳戶|Elsa帳戶|Ben代墊|Ariel代墊|中信銀行共用"")), ""內部轉帳(忽略)"",
  AND(E9184&lt;&gt;"""", F9184&lt;&gt;"""", N"&amp;"OT(REGEXMATCH(C9184, ""薪資""))), ""內部轉帳(忽略)"",
  REGEXMATCH(C9184, ""薪資""), ""薪資變動(不計入)"",
  REGEXMATCH(C9184, ""押金""), ""押金往來"",
  AND(E9184&lt;&gt;"""", F9184=""""), ""真實支出"",
  AND(E9184="""", F9184&lt;&gt;""""), ""真實收入"",
  TRUE, ""其他""
)"),"其他")</f>
        <v>其他</v>
      </c>
      <c r="K9184" s="270" t="str">
        <f t="shared" si="2"/>
        <v/>
      </c>
      <c r="L9184">
        <f t="shared" si="3"/>
        <v>0</v>
      </c>
    </row>
    <row r="9185">
      <c r="A9185" s="107"/>
      <c r="D9185" s="270"/>
      <c r="H9185" s="106" t="str">
        <f t="shared" si="1"/>
        <v/>
      </c>
      <c r="J9185" t="str">
        <f>IFERROR(__xludf.DUMMYFUNCTION("IFS(
  AND(REGEXMATCH(E9185, ""台銀籌備帳戶|玉山帳戶""), REGEXMATCH(C9185, ""薪資"")), ""分潤支出"",
  AND(REGEXMATCH(E9185, ""Ben帳戶|Elsa帳戶|Ben代墊|Ariel代墊|中信銀行共用""), REGEXMATCH(F9185, ""Ben帳戶|Elsa帳戶|Ben代墊|Ariel代墊|中信銀行共用"")), ""內部轉帳(忽略)"",
  AND(E9185&lt;&gt;"""", F9185&lt;&gt;"""", N"&amp;"OT(REGEXMATCH(C9185, ""薪資""))), ""內部轉帳(忽略)"",
  REGEXMATCH(C9185, ""薪資""), ""薪資變動(不計入)"",
  REGEXMATCH(C9185, ""押金""), ""押金往來"",
  AND(E9185&lt;&gt;"""", F9185=""""), ""真實支出"",
  AND(E9185="""", F9185&lt;&gt;""""), ""真實收入"",
  TRUE, ""其他""
)"),"其他")</f>
        <v>其他</v>
      </c>
      <c r="K9185" s="270" t="str">
        <f t="shared" si="2"/>
        <v/>
      </c>
      <c r="L9185">
        <f t="shared" si="3"/>
        <v>0</v>
      </c>
    </row>
    <row r="9186">
      <c r="A9186" s="107"/>
      <c r="D9186" s="270"/>
      <c r="H9186" s="106" t="str">
        <f t="shared" si="1"/>
        <v/>
      </c>
      <c r="J9186" t="str">
        <f>IFERROR(__xludf.DUMMYFUNCTION("IFS(
  AND(REGEXMATCH(E9186, ""台銀籌備帳戶|玉山帳戶""), REGEXMATCH(C9186, ""薪資"")), ""分潤支出"",
  AND(REGEXMATCH(E9186, ""Ben帳戶|Elsa帳戶|Ben代墊|Ariel代墊|中信銀行共用""), REGEXMATCH(F9186, ""Ben帳戶|Elsa帳戶|Ben代墊|Ariel代墊|中信銀行共用"")), ""內部轉帳(忽略)"",
  AND(E9186&lt;&gt;"""", F9186&lt;&gt;"""", N"&amp;"OT(REGEXMATCH(C9186, ""薪資""))), ""內部轉帳(忽略)"",
  REGEXMATCH(C9186, ""薪資""), ""薪資變動(不計入)"",
  REGEXMATCH(C9186, ""押金""), ""押金往來"",
  AND(E9186&lt;&gt;"""", F9186=""""), ""真實支出"",
  AND(E9186="""", F9186&lt;&gt;""""), ""真實收入"",
  TRUE, ""其他""
)"),"其他")</f>
        <v>其他</v>
      </c>
      <c r="K9186" s="270" t="str">
        <f t="shared" si="2"/>
        <v/>
      </c>
      <c r="L9186">
        <f t="shared" si="3"/>
        <v>0</v>
      </c>
    </row>
    <row r="9187">
      <c r="A9187" s="107"/>
      <c r="D9187" s="270"/>
      <c r="H9187" s="106" t="str">
        <f t="shared" si="1"/>
        <v/>
      </c>
      <c r="J9187" t="str">
        <f>IFERROR(__xludf.DUMMYFUNCTION("IFS(
  AND(REGEXMATCH(E9187, ""台銀籌備帳戶|玉山帳戶""), REGEXMATCH(C9187, ""薪資"")), ""分潤支出"",
  AND(REGEXMATCH(E9187, ""Ben帳戶|Elsa帳戶|Ben代墊|Ariel代墊|中信銀行共用""), REGEXMATCH(F9187, ""Ben帳戶|Elsa帳戶|Ben代墊|Ariel代墊|中信銀行共用"")), ""內部轉帳(忽略)"",
  AND(E9187&lt;&gt;"""", F9187&lt;&gt;"""", N"&amp;"OT(REGEXMATCH(C9187, ""薪資""))), ""內部轉帳(忽略)"",
  REGEXMATCH(C9187, ""薪資""), ""薪資變動(不計入)"",
  REGEXMATCH(C9187, ""押金""), ""押金往來"",
  AND(E9187&lt;&gt;"""", F9187=""""), ""真實支出"",
  AND(E9187="""", F9187&lt;&gt;""""), ""真實收入"",
  TRUE, ""其他""
)"),"其他")</f>
        <v>其他</v>
      </c>
      <c r="K9187" s="270" t="str">
        <f t="shared" si="2"/>
        <v/>
      </c>
      <c r="L9187">
        <f t="shared" si="3"/>
        <v>0</v>
      </c>
    </row>
    <row r="9188">
      <c r="A9188" s="107"/>
      <c r="D9188" s="270"/>
      <c r="H9188" s="106" t="str">
        <f t="shared" si="1"/>
        <v/>
      </c>
      <c r="J9188" t="str">
        <f>IFERROR(__xludf.DUMMYFUNCTION("IFS(
  AND(REGEXMATCH(E9188, ""台銀籌備帳戶|玉山帳戶""), REGEXMATCH(C9188, ""薪資"")), ""分潤支出"",
  AND(REGEXMATCH(E9188, ""Ben帳戶|Elsa帳戶|Ben代墊|Ariel代墊|中信銀行共用""), REGEXMATCH(F9188, ""Ben帳戶|Elsa帳戶|Ben代墊|Ariel代墊|中信銀行共用"")), ""內部轉帳(忽略)"",
  AND(E9188&lt;&gt;"""", F9188&lt;&gt;"""", N"&amp;"OT(REGEXMATCH(C9188, ""薪資""))), ""內部轉帳(忽略)"",
  REGEXMATCH(C9188, ""薪資""), ""薪資變動(不計入)"",
  REGEXMATCH(C9188, ""押金""), ""押金往來"",
  AND(E9188&lt;&gt;"""", F9188=""""), ""真實支出"",
  AND(E9188="""", F9188&lt;&gt;""""), ""真實收入"",
  TRUE, ""其他""
)"),"其他")</f>
        <v>其他</v>
      </c>
      <c r="K9188" s="270" t="str">
        <f t="shared" si="2"/>
        <v/>
      </c>
      <c r="L9188">
        <f t="shared" si="3"/>
        <v>0</v>
      </c>
    </row>
    <row r="9189">
      <c r="A9189" s="107"/>
      <c r="D9189" s="270"/>
      <c r="H9189" s="106" t="str">
        <f t="shared" si="1"/>
        <v/>
      </c>
      <c r="J9189" t="str">
        <f>IFERROR(__xludf.DUMMYFUNCTION("IFS(
  AND(REGEXMATCH(E9189, ""台銀籌備帳戶|玉山帳戶""), REGEXMATCH(C9189, ""薪資"")), ""分潤支出"",
  AND(REGEXMATCH(E9189, ""Ben帳戶|Elsa帳戶|Ben代墊|Ariel代墊|中信銀行共用""), REGEXMATCH(F9189, ""Ben帳戶|Elsa帳戶|Ben代墊|Ariel代墊|中信銀行共用"")), ""內部轉帳(忽略)"",
  AND(E9189&lt;&gt;"""", F9189&lt;&gt;"""", N"&amp;"OT(REGEXMATCH(C9189, ""薪資""))), ""內部轉帳(忽略)"",
  REGEXMATCH(C9189, ""薪資""), ""薪資變動(不計入)"",
  REGEXMATCH(C9189, ""押金""), ""押金往來"",
  AND(E9189&lt;&gt;"""", F9189=""""), ""真實支出"",
  AND(E9189="""", F9189&lt;&gt;""""), ""真實收入"",
  TRUE, ""其他""
)"),"其他")</f>
        <v>其他</v>
      </c>
      <c r="K9189" s="270" t="str">
        <f t="shared" si="2"/>
        <v/>
      </c>
      <c r="L9189">
        <f t="shared" si="3"/>
        <v>0</v>
      </c>
    </row>
    <row r="9190">
      <c r="A9190" s="107"/>
      <c r="D9190" s="270"/>
      <c r="H9190" s="106" t="str">
        <f t="shared" si="1"/>
        <v/>
      </c>
      <c r="J9190" t="str">
        <f>IFERROR(__xludf.DUMMYFUNCTION("IFS(
  AND(REGEXMATCH(E9190, ""台銀籌備帳戶|玉山帳戶""), REGEXMATCH(C9190, ""薪資"")), ""分潤支出"",
  AND(REGEXMATCH(E9190, ""Ben帳戶|Elsa帳戶|Ben代墊|Ariel代墊|中信銀行共用""), REGEXMATCH(F9190, ""Ben帳戶|Elsa帳戶|Ben代墊|Ariel代墊|中信銀行共用"")), ""內部轉帳(忽略)"",
  AND(E9190&lt;&gt;"""", F9190&lt;&gt;"""", N"&amp;"OT(REGEXMATCH(C9190, ""薪資""))), ""內部轉帳(忽略)"",
  REGEXMATCH(C9190, ""薪資""), ""薪資變動(不計入)"",
  REGEXMATCH(C9190, ""押金""), ""押金往來"",
  AND(E9190&lt;&gt;"""", F9190=""""), ""真實支出"",
  AND(E9190="""", F9190&lt;&gt;""""), ""真實收入"",
  TRUE, ""其他""
)"),"其他")</f>
        <v>其他</v>
      </c>
      <c r="K9190" s="270" t="str">
        <f t="shared" si="2"/>
        <v/>
      </c>
      <c r="L9190">
        <f t="shared" si="3"/>
        <v>0</v>
      </c>
    </row>
    <row r="9191">
      <c r="A9191" s="107"/>
      <c r="D9191" s="270"/>
      <c r="H9191" s="106" t="str">
        <f t="shared" si="1"/>
        <v/>
      </c>
      <c r="J9191" t="str">
        <f>IFERROR(__xludf.DUMMYFUNCTION("IFS(
  AND(REGEXMATCH(E9191, ""台銀籌備帳戶|玉山帳戶""), REGEXMATCH(C9191, ""薪資"")), ""分潤支出"",
  AND(REGEXMATCH(E9191, ""Ben帳戶|Elsa帳戶|Ben代墊|Ariel代墊|中信銀行共用""), REGEXMATCH(F9191, ""Ben帳戶|Elsa帳戶|Ben代墊|Ariel代墊|中信銀行共用"")), ""內部轉帳(忽略)"",
  AND(E9191&lt;&gt;"""", F9191&lt;&gt;"""", N"&amp;"OT(REGEXMATCH(C9191, ""薪資""))), ""內部轉帳(忽略)"",
  REGEXMATCH(C9191, ""薪資""), ""薪資變動(不計入)"",
  REGEXMATCH(C9191, ""押金""), ""押金往來"",
  AND(E9191&lt;&gt;"""", F9191=""""), ""真實支出"",
  AND(E9191="""", F9191&lt;&gt;""""), ""真實收入"",
  TRUE, ""其他""
)"),"其他")</f>
        <v>其他</v>
      </c>
      <c r="K9191" s="270" t="str">
        <f t="shared" si="2"/>
        <v/>
      </c>
      <c r="L9191">
        <f t="shared" si="3"/>
        <v>0</v>
      </c>
    </row>
    <row r="9192">
      <c r="A9192" s="107"/>
      <c r="D9192" s="270"/>
      <c r="H9192" s="106" t="str">
        <f t="shared" si="1"/>
        <v/>
      </c>
      <c r="J9192" t="str">
        <f>IFERROR(__xludf.DUMMYFUNCTION("IFS(
  AND(REGEXMATCH(E9192, ""台銀籌備帳戶|玉山帳戶""), REGEXMATCH(C9192, ""薪資"")), ""分潤支出"",
  AND(REGEXMATCH(E9192, ""Ben帳戶|Elsa帳戶|Ben代墊|Ariel代墊|中信銀行共用""), REGEXMATCH(F9192, ""Ben帳戶|Elsa帳戶|Ben代墊|Ariel代墊|中信銀行共用"")), ""內部轉帳(忽略)"",
  AND(E9192&lt;&gt;"""", F9192&lt;&gt;"""", N"&amp;"OT(REGEXMATCH(C9192, ""薪資""))), ""內部轉帳(忽略)"",
  REGEXMATCH(C9192, ""薪資""), ""薪資變動(不計入)"",
  REGEXMATCH(C9192, ""押金""), ""押金往來"",
  AND(E9192&lt;&gt;"""", F9192=""""), ""真實支出"",
  AND(E9192="""", F9192&lt;&gt;""""), ""真實收入"",
  TRUE, ""其他""
)"),"其他")</f>
        <v>其他</v>
      </c>
      <c r="K9192" s="270" t="str">
        <f t="shared" si="2"/>
        <v/>
      </c>
      <c r="L9192">
        <f t="shared" si="3"/>
        <v>0</v>
      </c>
    </row>
    <row r="9193">
      <c r="A9193" s="107"/>
      <c r="D9193" s="270"/>
      <c r="H9193" s="106" t="str">
        <f t="shared" si="1"/>
        <v/>
      </c>
      <c r="J9193" t="str">
        <f>IFERROR(__xludf.DUMMYFUNCTION("IFS(
  AND(REGEXMATCH(E9193, ""台銀籌備帳戶|玉山帳戶""), REGEXMATCH(C9193, ""薪資"")), ""分潤支出"",
  AND(REGEXMATCH(E9193, ""Ben帳戶|Elsa帳戶|Ben代墊|Ariel代墊|中信銀行共用""), REGEXMATCH(F9193, ""Ben帳戶|Elsa帳戶|Ben代墊|Ariel代墊|中信銀行共用"")), ""內部轉帳(忽略)"",
  AND(E9193&lt;&gt;"""", F9193&lt;&gt;"""", N"&amp;"OT(REGEXMATCH(C9193, ""薪資""))), ""內部轉帳(忽略)"",
  REGEXMATCH(C9193, ""薪資""), ""薪資變動(不計入)"",
  REGEXMATCH(C9193, ""押金""), ""押金往來"",
  AND(E9193&lt;&gt;"""", F9193=""""), ""真實支出"",
  AND(E9193="""", F9193&lt;&gt;""""), ""真實收入"",
  TRUE, ""其他""
)"),"其他")</f>
        <v>其他</v>
      </c>
      <c r="K9193" s="270" t="str">
        <f t="shared" si="2"/>
        <v/>
      </c>
      <c r="L9193">
        <f t="shared" si="3"/>
        <v>0</v>
      </c>
    </row>
    <row r="9194">
      <c r="A9194" s="107"/>
      <c r="D9194" s="270"/>
      <c r="H9194" s="106" t="str">
        <f t="shared" si="1"/>
        <v/>
      </c>
      <c r="J9194" t="str">
        <f>IFERROR(__xludf.DUMMYFUNCTION("IFS(
  AND(REGEXMATCH(E9194, ""台銀籌備帳戶|玉山帳戶""), REGEXMATCH(C9194, ""薪資"")), ""分潤支出"",
  AND(REGEXMATCH(E9194, ""Ben帳戶|Elsa帳戶|Ben代墊|Ariel代墊|中信銀行共用""), REGEXMATCH(F9194, ""Ben帳戶|Elsa帳戶|Ben代墊|Ariel代墊|中信銀行共用"")), ""內部轉帳(忽略)"",
  AND(E9194&lt;&gt;"""", F9194&lt;&gt;"""", N"&amp;"OT(REGEXMATCH(C9194, ""薪資""))), ""內部轉帳(忽略)"",
  REGEXMATCH(C9194, ""薪資""), ""薪資變動(不計入)"",
  REGEXMATCH(C9194, ""押金""), ""押金往來"",
  AND(E9194&lt;&gt;"""", F9194=""""), ""真實支出"",
  AND(E9194="""", F9194&lt;&gt;""""), ""真實收入"",
  TRUE, ""其他""
)"),"其他")</f>
        <v>其他</v>
      </c>
      <c r="K9194" s="270" t="str">
        <f t="shared" si="2"/>
        <v/>
      </c>
      <c r="L9194">
        <f t="shared" si="3"/>
        <v>0</v>
      </c>
    </row>
    <row r="9195">
      <c r="A9195" s="107"/>
      <c r="D9195" s="270"/>
      <c r="H9195" s="106" t="str">
        <f t="shared" si="1"/>
        <v/>
      </c>
      <c r="J9195" t="str">
        <f>IFERROR(__xludf.DUMMYFUNCTION("IFS(
  AND(REGEXMATCH(E9195, ""台銀籌備帳戶|玉山帳戶""), REGEXMATCH(C9195, ""薪資"")), ""分潤支出"",
  AND(REGEXMATCH(E9195, ""Ben帳戶|Elsa帳戶|Ben代墊|Ariel代墊|中信銀行共用""), REGEXMATCH(F9195, ""Ben帳戶|Elsa帳戶|Ben代墊|Ariel代墊|中信銀行共用"")), ""內部轉帳(忽略)"",
  AND(E9195&lt;&gt;"""", F9195&lt;&gt;"""", N"&amp;"OT(REGEXMATCH(C9195, ""薪資""))), ""內部轉帳(忽略)"",
  REGEXMATCH(C9195, ""薪資""), ""薪資變動(不計入)"",
  REGEXMATCH(C9195, ""押金""), ""押金往來"",
  AND(E9195&lt;&gt;"""", F9195=""""), ""真實支出"",
  AND(E9195="""", F9195&lt;&gt;""""), ""真實收入"",
  TRUE, ""其他""
)"),"其他")</f>
        <v>其他</v>
      </c>
      <c r="K9195" s="270" t="str">
        <f t="shared" si="2"/>
        <v/>
      </c>
      <c r="L9195">
        <f t="shared" si="3"/>
        <v>0</v>
      </c>
    </row>
    <row r="9196">
      <c r="A9196" s="107"/>
      <c r="D9196" s="270"/>
      <c r="H9196" s="106" t="str">
        <f t="shared" si="1"/>
        <v/>
      </c>
      <c r="J9196" t="str">
        <f>IFERROR(__xludf.DUMMYFUNCTION("IFS(
  AND(REGEXMATCH(E9196, ""台銀籌備帳戶|玉山帳戶""), REGEXMATCH(C9196, ""薪資"")), ""分潤支出"",
  AND(REGEXMATCH(E9196, ""Ben帳戶|Elsa帳戶|Ben代墊|Ariel代墊|中信銀行共用""), REGEXMATCH(F9196, ""Ben帳戶|Elsa帳戶|Ben代墊|Ariel代墊|中信銀行共用"")), ""內部轉帳(忽略)"",
  AND(E9196&lt;&gt;"""", F9196&lt;&gt;"""", N"&amp;"OT(REGEXMATCH(C9196, ""薪資""))), ""內部轉帳(忽略)"",
  REGEXMATCH(C9196, ""薪資""), ""薪資變動(不計入)"",
  REGEXMATCH(C9196, ""押金""), ""押金往來"",
  AND(E9196&lt;&gt;"""", F9196=""""), ""真實支出"",
  AND(E9196="""", F9196&lt;&gt;""""), ""真實收入"",
  TRUE, ""其他""
)"),"其他")</f>
        <v>其他</v>
      </c>
      <c r="K9196" s="270" t="str">
        <f t="shared" si="2"/>
        <v/>
      </c>
      <c r="L9196">
        <f t="shared" si="3"/>
        <v>0</v>
      </c>
    </row>
    <row r="9197">
      <c r="A9197" s="107"/>
      <c r="D9197" s="270"/>
      <c r="H9197" s="106" t="str">
        <f t="shared" si="1"/>
        <v/>
      </c>
      <c r="J9197" t="str">
        <f>IFERROR(__xludf.DUMMYFUNCTION("IFS(
  AND(REGEXMATCH(E9197, ""台銀籌備帳戶|玉山帳戶""), REGEXMATCH(C9197, ""薪資"")), ""分潤支出"",
  AND(REGEXMATCH(E9197, ""Ben帳戶|Elsa帳戶|Ben代墊|Ariel代墊|中信銀行共用""), REGEXMATCH(F9197, ""Ben帳戶|Elsa帳戶|Ben代墊|Ariel代墊|中信銀行共用"")), ""內部轉帳(忽略)"",
  AND(E9197&lt;&gt;"""", F9197&lt;&gt;"""", N"&amp;"OT(REGEXMATCH(C9197, ""薪資""))), ""內部轉帳(忽略)"",
  REGEXMATCH(C9197, ""薪資""), ""薪資變動(不計入)"",
  REGEXMATCH(C9197, ""押金""), ""押金往來"",
  AND(E9197&lt;&gt;"""", F9197=""""), ""真實支出"",
  AND(E9197="""", F9197&lt;&gt;""""), ""真實收入"",
  TRUE, ""其他""
)"),"其他")</f>
        <v>其他</v>
      </c>
      <c r="K9197" s="270" t="str">
        <f t="shared" si="2"/>
        <v/>
      </c>
      <c r="L9197">
        <f t="shared" si="3"/>
        <v>0</v>
      </c>
    </row>
    <row r="9198">
      <c r="A9198" s="107"/>
      <c r="D9198" s="270"/>
      <c r="H9198" s="106" t="str">
        <f t="shared" si="1"/>
        <v/>
      </c>
      <c r="J9198" t="str">
        <f>IFERROR(__xludf.DUMMYFUNCTION("IFS(
  AND(REGEXMATCH(E9198, ""台銀籌備帳戶|玉山帳戶""), REGEXMATCH(C9198, ""薪資"")), ""分潤支出"",
  AND(REGEXMATCH(E9198, ""Ben帳戶|Elsa帳戶|Ben代墊|Ariel代墊|中信銀行共用""), REGEXMATCH(F9198, ""Ben帳戶|Elsa帳戶|Ben代墊|Ariel代墊|中信銀行共用"")), ""內部轉帳(忽略)"",
  AND(E9198&lt;&gt;"""", F9198&lt;&gt;"""", N"&amp;"OT(REGEXMATCH(C9198, ""薪資""))), ""內部轉帳(忽略)"",
  REGEXMATCH(C9198, ""薪資""), ""薪資變動(不計入)"",
  REGEXMATCH(C9198, ""押金""), ""押金往來"",
  AND(E9198&lt;&gt;"""", F9198=""""), ""真實支出"",
  AND(E9198="""", F9198&lt;&gt;""""), ""真實收入"",
  TRUE, ""其他""
)"),"其他")</f>
        <v>其他</v>
      </c>
      <c r="K9198" s="270" t="str">
        <f t="shared" si="2"/>
        <v/>
      </c>
      <c r="L9198">
        <f t="shared" si="3"/>
        <v>0</v>
      </c>
    </row>
    <row r="9199">
      <c r="A9199" s="107"/>
      <c r="D9199" s="270"/>
      <c r="H9199" s="106" t="str">
        <f t="shared" si="1"/>
        <v/>
      </c>
      <c r="J9199" t="str">
        <f>IFERROR(__xludf.DUMMYFUNCTION("IFS(
  AND(REGEXMATCH(E9199, ""台銀籌備帳戶|玉山帳戶""), REGEXMATCH(C9199, ""薪資"")), ""分潤支出"",
  AND(REGEXMATCH(E9199, ""Ben帳戶|Elsa帳戶|Ben代墊|Ariel代墊|中信銀行共用""), REGEXMATCH(F9199, ""Ben帳戶|Elsa帳戶|Ben代墊|Ariel代墊|中信銀行共用"")), ""內部轉帳(忽略)"",
  AND(E9199&lt;&gt;"""", F9199&lt;&gt;"""", N"&amp;"OT(REGEXMATCH(C9199, ""薪資""))), ""內部轉帳(忽略)"",
  REGEXMATCH(C9199, ""薪資""), ""薪資變動(不計入)"",
  REGEXMATCH(C9199, ""押金""), ""押金往來"",
  AND(E9199&lt;&gt;"""", F9199=""""), ""真實支出"",
  AND(E9199="""", F9199&lt;&gt;""""), ""真實收入"",
  TRUE, ""其他""
)"),"其他")</f>
        <v>其他</v>
      </c>
      <c r="K9199" s="270" t="str">
        <f t="shared" si="2"/>
        <v/>
      </c>
      <c r="L9199">
        <f t="shared" si="3"/>
        <v>0</v>
      </c>
    </row>
    <row r="9200">
      <c r="A9200" s="107"/>
      <c r="D9200" s="270"/>
      <c r="H9200" s="106" t="str">
        <f t="shared" si="1"/>
        <v/>
      </c>
      <c r="J9200" t="str">
        <f>IFERROR(__xludf.DUMMYFUNCTION("IFS(
  AND(REGEXMATCH(E9200, ""台銀籌備帳戶|玉山帳戶""), REGEXMATCH(C9200, ""薪資"")), ""分潤支出"",
  AND(REGEXMATCH(E9200, ""Ben帳戶|Elsa帳戶|Ben代墊|Ariel代墊|中信銀行共用""), REGEXMATCH(F9200, ""Ben帳戶|Elsa帳戶|Ben代墊|Ariel代墊|中信銀行共用"")), ""內部轉帳(忽略)"",
  AND(E9200&lt;&gt;"""", F9200&lt;&gt;"""", N"&amp;"OT(REGEXMATCH(C9200, ""薪資""))), ""內部轉帳(忽略)"",
  REGEXMATCH(C9200, ""薪資""), ""薪資變動(不計入)"",
  REGEXMATCH(C9200, ""押金""), ""押金往來"",
  AND(E9200&lt;&gt;"""", F9200=""""), ""真實支出"",
  AND(E9200="""", F9200&lt;&gt;""""), ""真實收入"",
  TRUE, ""其他""
)"),"其他")</f>
        <v>其他</v>
      </c>
      <c r="K9200" s="270" t="str">
        <f t="shared" si="2"/>
        <v/>
      </c>
      <c r="L9200">
        <f t="shared" si="3"/>
        <v>0</v>
      </c>
    </row>
    <row r="9201">
      <c r="A9201" s="107"/>
      <c r="D9201" s="270"/>
      <c r="H9201" s="106" t="str">
        <f t="shared" si="1"/>
        <v/>
      </c>
      <c r="J9201" t="str">
        <f>IFERROR(__xludf.DUMMYFUNCTION("IFS(
  AND(REGEXMATCH(E9201, ""台銀籌備帳戶|玉山帳戶""), REGEXMATCH(C9201, ""薪資"")), ""分潤支出"",
  AND(REGEXMATCH(E9201, ""Ben帳戶|Elsa帳戶|Ben代墊|Ariel代墊|中信銀行共用""), REGEXMATCH(F9201, ""Ben帳戶|Elsa帳戶|Ben代墊|Ariel代墊|中信銀行共用"")), ""內部轉帳(忽略)"",
  AND(E9201&lt;&gt;"""", F9201&lt;&gt;"""", N"&amp;"OT(REGEXMATCH(C9201, ""薪資""))), ""內部轉帳(忽略)"",
  REGEXMATCH(C9201, ""薪資""), ""薪資變動(不計入)"",
  REGEXMATCH(C9201, ""押金""), ""押金往來"",
  AND(E9201&lt;&gt;"""", F9201=""""), ""真實支出"",
  AND(E9201="""", F9201&lt;&gt;""""), ""真實收入"",
  TRUE, ""其他""
)"),"其他")</f>
        <v>其他</v>
      </c>
      <c r="K9201" s="270" t="str">
        <f t="shared" si="2"/>
        <v/>
      </c>
      <c r="L9201">
        <f t="shared" si="3"/>
        <v>0</v>
      </c>
    </row>
    <row r="9202">
      <c r="A9202" s="107"/>
      <c r="D9202" s="270"/>
      <c r="H9202" s="106" t="str">
        <f t="shared" si="1"/>
        <v/>
      </c>
      <c r="J9202" t="str">
        <f>IFERROR(__xludf.DUMMYFUNCTION("IFS(
  AND(REGEXMATCH(E9202, ""台銀籌備帳戶|玉山帳戶""), REGEXMATCH(C9202, ""薪資"")), ""分潤支出"",
  AND(REGEXMATCH(E9202, ""Ben帳戶|Elsa帳戶|Ben代墊|Ariel代墊|中信銀行共用""), REGEXMATCH(F9202, ""Ben帳戶|Elsa帳戶|Ben代墊|Ariel代墊|中信銀行共用"")), ""內部轉帳(忽略)"",
  AND(E9202&lt;&gt;"""", F9202&lt;&gt;"""", N"&amp;"OT(REGEXMATCH(C9202, ""薪資""))), ""內部轉帳(忽略)"",
  REGEXMATCH(C9202, ""薪資""), ""薪資變動(不計入)"",
  REGEXMATCH(C9202, ""押金""), ""押金往來"",
  AND(E9202&lt;&gt;"""", F9202=""""), ""真實支出"",
  AND(E9202="""", F9202&lt;&gt;""""), ""真實收入"",
  TRUE, ""其他""
)"),"其他")</f>
        <v>其他</v>
      </c>
      <c r="K9202" s="270" t="str">
        <f t="shared" si="2"/>
        <v/>
      </c>
      <c r="L9202">
        <f t="shared" si="3"/>
        <v>0</v>
      </c>
    </row>
    <row r="9203">
      <c r="A9203" s="107"/>
      <c r="D9203" s="270"/>
      <c r="H9203" s="106" t="str">
        <f t="shared" si="1"/>
        <v/>
      </c>
      <c r="J9203" t="str">
        <f>IFERROR(__xludf.DUMMYFUNCTION("IFS(
  AND(REGEXMATCH(E9203, ""台銀籌備帳戶|玉山帳戶""), REGEXMATCH(C9203, ""薪資"")), ""分潤支出"",
  AND(REGEXMATCH(E9203, ""Ben帳戶|Elsa帳戶|Ben代墊|Ariel代墊|中信銀行共用""), REGEXMATCH(F9203, ""Ben帳戶|Elsa帳戶|Ben代墊|Ariel代墊|中信銀行共用"")), ""內部轉帳(忽略)"",
  AND(E9203&lt;&gt;"""", F9203&lt;&gt;"""", N"&amp;"OT(REGEXMATCH(C9203, ""薪資""))), ""內部轉帳(忽略)"",
  REGEXMATCH(C9203, ""薪資""), ""薪資變動(不計入)"",
  REGEXMATCH(C9203, ""押金""), ""押金往來"",
  AND(E9203&lt;&gt;"""", F9203=""""), ""真實支出"",
  AND(E9203="""", F9203&lt;&gt;""""), ""真實收入"",
  TRUE, ""其他""
)"),"其他")</f>
        <v>其他</v>
      </c>
      <c r="K9203" s="270" t="str">
        <f t="shared" si="2"/>
        <v/>
      </c>
      <c r="L9203">
        <f t="shared" si="3"/>
        <v>0</v>
      </c>
    </row>
    <row r="9204">
      <c r="A9204" s="107"/>
      <c r="D9204" s="270"/>
      <c r="H9204" s="106" t="str">
        <f t="shared" si="1"/>
        <v/>
      </c>
      <c r="J9204" t="str">
        <f>IFERROR(__xludf.DUMMYFUNCTION("IFS(
  AND(REGEXMATCH(E9204, ""台銀籌備帳戶|玉山帳戶""), REGEXMATCH(C9204, ""薪資"")), ""分潤支出"",
  AND(REGEXMATCH(E9204, ""Ben帳戶|Elsa帳戶|Ben代墊|Ariel代墊|中信銀行共用""), REGEXMATCH(F9204, ""Ben帳戶|Elsa帳戶|Ben代墊|Ariel代墊|中信銀行共用"")), ""內部轉帳(忽略)"",
  AND(E9204&lt;&gt;"""", F9204&lt;&gt;"""", N"&amp;"OT(REGEXMATCH(C9204, ""薪資""))), ""內部轉帳(忽略)"",
  REGEXMATCH(C9204, ""薪資""), ""薪資變動(不計入)"",
  REGEXMATCH(C9204, ""押金""), ""押金往來"",
  AND(E9204&lt;&gt;"""", F9204=""""), ""真實支出"",
  AND(E9204="""", F9204&lt;&gt;""""), ""真實收入"",
  TRUE, ""其他""
)"),"其他")</f>
        <v>其他</v>
      </c>
      <c r="K9204" s="270" t="str">
        <f t="shared" si="2"/>
        <v/>
      </c>
      <c r="L9204">
        <f t="shared" si="3"/>
        <v>0</v>
      </c>
    </row>
    <row r="9205">
      <c r="A9205" s="107"/>
      <c r="D9205" s="270"/>
      <c r="H9205" s="106" t="str">
        <f t="shared" si="1"/>
        <v/>
      </c>
      <c r="J9205" t="str">
        <f>IFERROR(__xludf.DUMMYFUNCTION("IFS(
  AND(REGEXMATCH(E9205, ""台銀籌備帳戶|玉山帳戶""), REGEXMATCH(C9205, ""薪資"")), ""分潤支出"",
  AND(REGEXMATCH(E9205, ""Ben帳戶|Elsa帳戶|Ben代墊|Ariel代墊|中信銀行共用""), REGEXMATCH(F9205, ""Ben帳戶|Elsa帳戶|Ben代墊|Ariel代墊|中信銀行共用"")), ""內部轉帳(忽略)"",
  AND(E9205&lt;&gt;"""", F9205&lt;&gt;"""", N"&amp;"OT(REGEXMATCH(C9205, ""薪資""))), ""內部轉帳(忽略)"",
  REGEXMATCH(C9205, ""薪資""), ""薪資變動(不計入)"",
  REGEXMATCH(C9205, ""押金""), ""押金往來"",
  AND(E9205&lt;&gt;"""", F9205=""""), ""真實支出"",
  AND(E9205="""", F9205&lt;&gt;""""), ""真實收入"",
  TRUE, ""其他""
)"),"其他")</f>
        <v>其他</v>
      </c>
      <c r="K9205" s="270" t="str">
        <f t="shared" si="2"/>
        <v/>
      </c>
      <c r="L9205">
        <f t="shared" si="3"/>
        <v>0</v>
      </c>
    </row>
    <row r="9206">
      <c r="A9206" s="107"/>
      <c r="D9206" s="270"/>
      <c r="H9206" s="106" t="str">
        <f t="shared" si="1"/>
        <v/>
      </c>
      <c r="J9206" t="str">
        <f>IFERROR(__xludf.DUMMYFUNCTION("IFS(
  AND(REGEXMATCH(E9206, ""台銀籌備帳戶|玉山帳戶""), REGEXMATCH(C9206, ""薪資"")), ""分潤支出"",
  AND(REGEXMATCH(E9206, ""Ben帳戶|Elsa帳戶|Ben代墊|Ariel代墊|中信銀行共用""), REGEXMATCH(F9206, ""Ben帳戶|Elsa帳戶|Ben代墊|Ariel代墊|中信銀行共用"")), ""內部轉帳(忽略)"",
  AND(E9206&lt;&gt;"""", F9206&lt;&gt;"""", N"&amp;"OT(REGEXMATCH(C9206, ""薪資""))), ""內部轉帳(忽略)"",
  REGEXMATCH(C9206, ""薪資""), ""薪資變動(不計入)"",
  REGEXMATCH(C9206, ""押金""), ""押金往來"",
  AND(E9206&lt;&gt;"""", F9206=""""), ""真實支出"",
  AND(E9206="""", F9206&lt;&gt;""""), ""真實收入"",
  TRUE, ""其他""
)"),"其他")</f>
        <v>其他</v>
      </c>
      <c r="K9206" s="270" t="str">
        <f t="shared" si="2"/>
        <v/>
      </c>
      <c r="L9206">
        <f t="shared" si="3"/>
        <v>0</v>
      </c>
    </row>
    <row r="9207">
      <c r="A9207" s="107"/>
      <c r="D9207" s="270"/>
      <c r="H9207" s="106" t="str">
        <f t="shared" si="1"/>
        <v/>
      </c>
      <c r="J9207" t="str">
        <f>IFERROR(__xludf.DUMMYFUNCTION("IFS(
  AND(REGEXMATCH(E9207, ""台銀籌備帳戶|玉山帳戶""), REGEXMATCH(C9207, ""薪資"")), ""分潤支出"",
  AND(REGEXMATCH(E9207, ""Ben帳戶|Elsa帳戶|Ben代墊|Ariel代墊|中信銀行共用""), REGEXMATCH(F9207, ""Ben帳戶|Elsa帳戶|Ben代墊|Ariel代墊|中信銀行共用"")), ""內部轉帳(忽略)"",
  AND(E9207&lt;&gt;"""", F9207&lt;&gt;"""", N"&amp;"OT(REGEXMATCH(C9207, ""薪資""))), ""內部轉帳(忽略)"",
  REGEXMATCH(C9207, ""薪資""), ""薪資變動(不計入)"",
  REGEXMATCH(C9207, ""押金""), ""押金往來"",
  AND(E9207&lt;&gt;"""", F9207=""""), ""真實支出"",
  AND(E9207="""", F9207&lt;&gt;""""), ""真實收入"",
  TRUE, ""其他""
)"),"其他")</f>
        <v>其他</v>
      </c>
      <c r="K9207" s="270" t="str">
        <f t="shared" si="2"/>
        <v/>
      </c>
      <c r="L9207">
        <f t="shared" si="3"/>
        <v>0</v>
      </c>
    </row>
    <row r="9208">
      <c r="A9208" s="107"/>
      <c r="D9208" s="270"/>
      <c r="H9208" s="106" t="str">
        <f t="shared" si="1"/>
        <v/>
      </c>
      <c r="J9208" t="str">
        <f>IFERROR(__xludf.DUMMYFUNCTION("IFS(
  AND(REGEXMATCH(E9208, ""台銀籌備帳戶|玉山帳戶""), REGEXMATCH(C9208, ""薪資"")), ""分潤支出"",
  AND(REGEXMATCH(E9208, ""Ben帳戶|Elsa帳戶|Ben代墊|Ariel代墊|中信銀行共用""), REGEXMATCH(F9208, ""Ben帳戶|Elsa帳戶|Ben代墊|Ariel代墊|中信銀行共用"")), ""內部轉帳(忽略)"",
  AND(E9208&lt;&gt;"""", F9208&lt;&gt;"""", N"&amp;"OT(REGEXMATCH(C9208, ""薪資""))), ""內部轉帳(忽略)"",
  REGEXMATCH(C9208, ""薪資""), ""薪資變動(不計入)"",
  REGEXMATCH(C9208, ""押金""), ""押金往來"",
  AND(E9208&lt;&gt;"""", F9208=""""), ""真實支出"",
  AND(E9208="""", F9208&lt;&gt;""""), ""真實收入"",
  TRUE, ""其他""
)"),"其他")</f>
        <v>其他</v>
      </c>
      <c r="K9208" s="270" t="str">
        <f t="shared" si="2"/>
        <v/>
      </c>
      <c r="L9208">
        <f t="shared" si="3"/>
        <v>0</v>
      </c>
    </row>
    <row r="9209">
      <c r="A9209" s="107"/>
      <c r="D9209" s="270"/>
      <c r="H9209" s="106" t="str">
        <f t="shared" si="1"/>
        <v/>
      </c>
      <c r="J9209" t="str">
        <f>IFERROR(__xludf.DUMMYFUNCTION("IFS(
  AND(REGEXMATCH(E9209, ""台銀籌備帳戶|玉山帳戶""), REGEXMATCH(C9209, ""薪資"")), ""分潤支出"",
  AND(REGEXMATCH(E9209, ""Ben帳戶|Elsa帳戶|Ben代墊|Ariel代墊|中信銀行共用""), REGEXMATCH(F9209, ""Ben帳戶|Elsa帳戶|Ben代墊|Ariel代墊|中信銀行共用"")), ""內部轉帳(忽略)"",
  AND(E9209&lt;&gt;"""", F9209&lt;&gt;"""", N"&amp;"OT(REGEXMATCH(C9209, ""薪資""))), ""內部轉帳(忽略)"",
  REGEXMATCH(C9209, ""薪資""), ""薪資變動(不計入)"",
  REGEXMATCH(C9209, ""押金""), ""押金往來"",
  AND(E9209&lt;&gt;"""", F9209=""""), ""真實支出"",
  AND(E9209="""", F9209&lt;&gt;""""), ""真實收入"",
  TRUE, ""其他""
)"),"其他")</f>
        <v>其他</v>
      </c>
      <c r="K9209" s="270" t="str">
        <f t="shared" si="2"/>
        <v/>
      </c>
      <c r="L9209">
        <f t="shared" si="3"/>
        <v>0</v>
      </c>
    </row>
    <row r="9210">
      <c r="A9210" s="107"/>
      <c r="D9210" s="270"/>
      <c r="H9210" s="106" t="str">
        <f t="shared" si="1"/>
        <v/>
      </c>
      <c r="J9210" t="str">
        <f>IFERROR(__xludf.DUMMYFUNCTION("IFS(
  AND(REGEXMATCH(E9210, ""台銀籌備帳戶|玉山帳戶""), REGEXMATCH(C9210, ""薪資"")), ""分潤支出"",
  AND(REGEXMATCH(E9210, ""Ben帳戶|Elsa帳戶|Ben代墊|Ariel代墊|中信銀行共用""), REGEXMATCH(F9210, ""Ben帳戶|Elsa帳戶|Ben代墊|Ariel代墊|中信銀行共用"")), ""內部轉帳(忽略)"",
  AND(E9210&lt;&gt;"""", F9210&lt;&gt;"""", N"&amp;"OT(REGEXMATCH(C9210, ""薪資""))), ""內部轉帳(忽略)"",
  REGEXMATCH(C9210, ""薪資""), ""薪資變動(不計入)"",
  REGEXMATCH(C9210, ""押金""), ""押金往來"",
  AND(E9210&lt;&gt;"""", F9210=""""), ""真實支出"",
  AND(E9210="""", F9210&lt;&gt;""""), ""真實收入"",
  TRUE, ""其他""
)"),"其他")</f>
        <v>其他</v>
      </c>
      <c r="K9210" s="270" t="str">
        <f t="shared" si="2"/>
        <v/>
      </c>
      <c r="L9210">
        <f t="shared" si="3"/>
        <v>0</v>
      </c>
    </row>
    <row r="9211">
      <c r="A9211" s="107"/>
      <c r="D9211" s="270"/>
      <c r="H9211" s="106" t="str">
        <f t="shared" si="1"/>
        <v/>
      </c>
      <c r="J9211" t="str">
        <f>IFERROR(__xludf.DUMMYFUNCTION("IFS(
  AND(REGEXMATCH(E9211, ""台銀籌備帳戶|玉山帳戶""), REGEXMATCH(C9211, ""薪資"")), ""分潤支出"",
  AND(REGEXMATCH(E9211, ""Ben帳戶|Elsa帳戶|Ben代墊|Ariel代墊|中信銀行共用""), REGEXMATCH(F9211, ""Ben帳戶|Elsa帳戶|Ben代墊|Ariel代墊|中信銀行共用"")), ""內部轉帳(忽略)"",
  AND(E9211&lt;&gt;"""", F9211&lt;&gt;"""", N"&amp;"OT(REGEXMATCH(C9211, ""薪資""))), ""內部轉帳(忽略)"",
  REGEXMATCH(C9211, ""薪資""), ""薪資變動(不計入)"",
  REGEXMATCH(C9211, ""押金""), ""押金往來"",
  AND(E9211&lt;&gt;"""", F9211=""""), ""真實支出"",
  AND(E9211="""", F9211&lt;&gt;""""), ""真實收入"",
  TRUE, ""其他""
)"),"其他")</f>
        <v>其他</v>
      </c>
      <c r="K9211" s="270" t="str">
        <f t="shared" si="2"/>
        <v/>
      </c>
      <c r="L9211">
        <f t="shared" si="3"/>
        <v>0</v>
      </c>
    </row>
    <row r="9212">
      <c r="A9212" s="107"/>
      <c r="D9212" s="270"/>
      <c r="H9212" s="106" t="str">
        <f t="shared" si="1"/>
        <v/>
      </c>
      <c r="J9212" t="str">
        <f>IFERROR(__xludf.DUMMYFUNCTION("IFS(
  AND(REGEXMATCH(E9212, ""台銀籌備帳戶|玉山帳戶""), REGEXMATCH(C9212, ""薪資"")), ""分潤支出"",
  AND(REGEXMATCH(E9212, ""Ben帳戶|Elsa帳戶|Ben代墊|Ariel代墊|中信銀行共用""), REGEXMATCH(F9212, ""Ben帳戶|Elsa帳戶|Ben代墊|Ariel代墊|中信銀行共用"")), ""內部轉帳(忽略)"",
  AND(E9212&lt;&gt;"""", F9212&lt;&gt;"""", N"&amp;"OT(REGEXMATCH(C9212, ""薪資""))), ""內部轉帳(忽略)"",
  REGEXMATCH(C9212, ""薪資""), ""薪資變動(不計入)"",
  REGEXMATCH(C9212, ""押金""), ""押金往來"",
  AND(E9212&lt;&gt;"""", F9212=""""), ""真實支出"",
  AND(E9212="""", F9212&lt;&gt;""""), ""真實收入"",
  TRUE, ""其他""
)"),"其他")</f>
        <v>其他</v>
      </c>
      <c r="K9212" s="270" t="str">
        <f t="shared" si="2"/>
        <v/>
      </c>
      <c r="L9212">
        <f t="shared" si="3"/>
        <v>0</v>
      </c>
    </row>
    <row r="9213">
      <c r="A9213" s="107"/>
      <c r="D9213" s="270"/>
      <c r="H9213" s="106" t="str">
        <f t="shared" si="1"/>
        <v/>
      </c>
      <c r="J9213" t="str">
        <f>IFERROR(__xludf.DUMMYFUNCTION("IFS(
  AND(REGEXMATCH(E9213, ""台銀籌備帳戶|玉山帳戶""), REGEXMATCH(C9213, ""薪資"")), ""分潤支出"",
  AND(REGEXMATCH(E9213, ""Ben帳戶|Elsa帳戶|Ben代墊|Ariel代墊|中信銀行共用""), REGEXMATCH(F9213, ""Ben帳戶|Elsa帳戶|Ben代墊|Ariel代墊|中信銀行共用"")), ""內部轉帳(忽略)"",
  AND(E9213&lt;&gt;"""", F9213&lt;&gt;"""", N"&amp;"OT(REGEXMATCH(C9213, ""薪資""))), ""內部轉帳(忽略)"",
  REGEXMATCH(C9213, ""薪資""), ""薪資變動(不計入)"",
  REGEXMATCH(C9213, ""押金""), ""押金往來"",
  AND(E9213&lt;&gt;"""", F9213=""""), ""真實支出"",
  AND(E9213="""", F9213&lt;&gt;""""), ""真實收入"",
  TRUE, ""其他""
)"),"其他")</f>
        <v>其他</v>
      </c>
      <c r="K9213" s="270" t="str">
        <f t="shared" si="2"/>
        <v/>
      </c>
      <c r="L9213">
        <f t="shared" si="3"/>
        <v>0</v>
      </c>
    </row>
    <row r="9214">
      <c r="A9214" s="107"/>
      <c r="D9214" s="270"/>
      <c r="H9214" s="106" t="str">
        <f t="shared" si="1"/>
        <v/>
      </c>
      <c r="J9214" t="str">
        <f>IFERROR(__xludf.DUMMYFUNCTION("IFS(
  AND(REGEXMATCH(E9214, ""台銀籌備帳戶|玉山帳戶""), REGEXMATCH(C9214, ""薪資"")), ""分潤支出"",
  AND(REGEXMATCH(E9214, ""Ben帳戶|Elsa帳戶|Ben代墊|Ariel代墊|中信銀行共用""), REGEXMATCH(F9214, ""Ben帳戶|Elsa帳戶|Ben代墊|Ariel代墊|中信銀行共用"")), ""內部轉帳(忽略)"",
  AND(E9214&lt;&gt;"""", F9214&lt;&gt;"""", N"&amp;"OT(REGEXMATCH(C9214, ""薪資""))), ""內部轉帳(忽略)"",
  REGEXMATCH(C9214, ""薪資""), ""薪資變動(不計入)"",
  REGEXMATCH(C9214, ""押金""), ""押金往來"",
  AND(E9214&lt;&gt;"""", F9214=""""), ""真實支出"",
  AND(E9214="""", F9214&lt;&gt;""""), ""真實收入"",
  TRUE, ""其他""
)"),"其他")</f>
        <v>其他</v>
      </c>
      <c r="K9214" s="270" t="str">
        <f t="shared" si="2"/>
        <v/>
      </c>
      <c r="L9214">
        <f t="shared" si="3"/>
        <v>0</v>
      </c>
    </row>
    <row r="9215">
      <c r="A9215" s="107"/>
      <c r="D9215" s="270"/>
      <c r="H9215" s="106" t="str">
        <f t="shared" si="1"/>
        <v/>
      </c>
      <c r="J9215" t="str">
        <f>IFERROR(__xludf.DUMMYFUNCTION("IFS(
  AND(REGEXMATCH(E9215, ""台銀籌備帳戶|玉山帳戶""), REGEXMATCH(C9215, ""薪資"")), ""分潤支出"",
  AND(REGEXMATCH(E9215, ""Ben帳戶|Elsa帳戶|Ben代墊|Ariel代墊|中信銀行共用""), REGEXMATCH(F9215, ""Ben帳戶|Elsa帳戶|Ben代墊|Ariel代墊|中信銀行共用"")), ""內部轉帳(忽略)"",
  AND(E9215&lt;&gt;"""", F9215&lt;&gt;"""", N"&amp;"OT(REGEXMATCH(C9215, ""薪資""))), ""內部轉帳(忽略)"",
  REGEXMATCH(C9215, ""薪資""), ""薪資變動(不計入)"",
  REGEXMATCH(C9215, ""押金""), ""押金往來"",
  AND(E9215&lt;&gt;"""", F9215=""""), ""真實支出"",
  AND(E9215="""", F9215&lt;&gt;""""), ""真實收入"",
  TRUE, ""其他""
)"),"其他")</f>
        <v>其他</v>
      </c>
      <c r="K9215" s="270" t="str">
        <f t="shared" si="2"/>
        <v/>
      </c>
      <c r="L9215">
        <f t="shared" si="3"/>
        <v>0</v>
      </c>
    </row>
    <row r="9216">
      <c r="A9216" s="107"/>
      <c r="D9216" s="270"/>
      <c r="H9216" s="106" t="str">
        <f t="shared" si="1"/>
        <v/>
      </c>
      <c r="J9216" t="str">
        <f>IFERROR(__xludf.DUMMYFUNCTION("IFS(
  AND(REGEXMATCH(E9216, ""台銀籌備帳戶|玉山帳戶""), REGEXMATCH(C9216, ""薪資"")), ""分潤支出"",
  AND(REGEXMATCH(E9216, ""Ben帳戶|Elsa帳戶|Ben代墊|Ariel代墊|中信銀行共用""), REGEXMATCH(F9216, ""Ben帳戶|Elsa帳戶|Ben代墊|Ariel代墊|中信銀行共用"")), ""內部轉帳(忽略)"",
  AND(E9216&lt;&gt;"""", F9216&lt;&gt;"""", N"&amp;"OT(REGEXMATCH(C9216, ""薪資""))), ""內部轉帳(忽略)"",
  REGEXMATCH(C9216, ""薪資""), ""薪資變動(不計入)"",
  REGEXMATCH(C9216, ""押金""), ""押金往來"",
  AND(E9216&lt;&gt;"""", F9216=""""), ""真實支出"",
  AND(E9216="""", F9216&lt;&gt;""""), ""真實收入"",
  TRUE, ""其他""
)"),"其他")</f>
        <v>其他</v>
      </c>
      <c r="K9216" s="270" t="str">
        <f t="shared" si="2"/>
        <v/>
      </c>
      <c r="L9216">
        <f t="shared" si="3"/>
        <v>0</v>
      </c>
    </row>
    <row r="9217">
      <c r="A9217" s="107"/>
      <c r="D9217" s="270"/>
      <c r="H9217" s="106" t="str">
        <f t="shared" si="1"/>
        <v/>
      </c>
      <c r="J9217" t="str">
        <f>IFERROR(__xludf.DUMMYFUNCTION("IFS(
  AND(REGEXMATCH(E9217, ""台銀籌備帳戶|玉山帳戶""), REGEXMATCH(C9217, ""薪資"")), ""分潤支出"",
  AND(REGEXMATCH(E9217, ""Ben帳戶|Elsa帳戶|Ben代墊|Ariel代墊|中信銀行共用""), REGEXMATCH(F9217, ""Ben帳戶|Elsa帳戶|Ben代墊|Ariel代墊|中信銀行共用"")), ""內部轉帳(忽略)"",
  AND(E9217&lt;&gt;"""", F9217&lt;&gt;"""", N"&amp;"OT(REGEXMATCH(C9217, ""薪資""))), ""內部轉帳(忽略)"",
  REGEXMATCH(C9217, ""薪資""), ""薪資變動(不計入)"",
  REGEXMATCH(C9217, ""押金""), ""押金往來"",
  AND(E9217&lt;&gt;"""", F9217=""""), ""真實支出"",
  AND(E9217="""", F9217&lt;&gt;""""), ""真實收入"",
  TRUE, ""其他""
)"),"其他")</f>
        <v>其他</v>
      </c>
      <c r="K9217" s="270" t="str">
        <f t="shared" si="2"/>
        <v/>
      </c>
      <c r="L9217">
        <f t="shared" si="3"/>
        <v>0</v>
      </c>
    </row>
    <row r="9218">
      <c r="A9218" s="107"/>
      <c r="D9218" s="270"/>
      <c r="H9218" s="106" t="str">
        <f t="shared" si="1"/>
        <v/>
      </c>
      <c r="J9218" t="str">
        <f>IFERROR(__xludf.DUMMYFUNCTION("IFS(
  AND(REGEXMATCH(E9218, ""台銀籌備帳戶|玉山帳戶""), REGEXMATCH(C9218, ""薪資"")), ""分潤支出"",
  AND(REGEXMATCH(E9218, ""Ben帳戶|Elsa帳戶|Ben代墊|Ariel代墊|中信銀行共用""), REGEXMATCH(F9218, ""Ben帳戶|Elsa帳戶|Ben代墊|Ariel代墊|中信銀行共用"")), ""內部轉帳(忽略)"",
  AND(E9218&lt;&gt;"""", F9218&lt;&gt;"""", N"&amp;"OT(REGEXMATCH(C9218, ""薪資""))), ""內部轉帳(忽略)"",
  REGEXMATCH(C9218, ""薪資""), ""薪資變動(不計入)"",
  REGEXMATCH(C9218, ""押金""), ""押金往來"",
  AND(E9218&lt;&gt;"""", F9218=""""), ""真實支出"",
  AND(E9218="""", F9218&lt;&gt;""""), ""真實收入"",
  TRUE, ""其他""
)"),"其他")</f>
        <v>其他</v>
      </c>
      <c r="K9218" s="270" t="str">
        <f t="shared" si="2"/>
        <v/>
      </c>
      <c r="L9218">
        <f t="shared" si="3"/>
        <v>0</v>
      </c>
    </row>
    <row r="9219">
      <c r="A9219" s="107"/>
      <c r="D9219" s="270"/>
      <c r="H9219" s="106" t="str">
        <f t="shared" si="1"/>
        <v/>
      </c>
      <c r="J9219" t="str">
        <f>IFERROR(__xludf.DUMMYFUNCTION("IFS(
  AND(REGEXMATCH(E9219, ""台銀籌備帳戶|玉山帳戶""), REGEXMATCH(C9219, ""薪資"")), ""分潤支出"",
  AND(REGEXMATCH(E9219, ""Ben帳戶|Elsa帳戶|Ben代墊|Ariel代墊|中信銀行共用""), REGEXMATCH(F9219, ""Ben帳戶|Elsa帳戶|Ben代墊|Ariel代墊|中信銀行共用"")), ""內部轉帳(忽略)"",
  AND(E9219&lt;&gt;"""", F9219&lt;&gt;"""", N"&amp;"OT(REGEXMATCH(C9219, ""薪資""))), ""內部轉帳(忽略)"",
  REGEXMATCH(C9219, ""薪資""), ""薪資變動(不計入)"",
  REGEXMATCH(C9219, ""押金""), ""押金往來"",
  AND(E9219&lt;&gt;"""", F9219=""""), ""真實支出"",
  AND(E9219="""", F9219&lt;&gt;""""), ""真實收入"",
  TRUE, ""其他""
)"),"其他")</f>
        <v>其他</v>
      </c>
      <c r="K9219" s="270" t="str">
        <f t="shared" si="2"/>
        <v/>
      </c>
      <c r="L9219">
        <f t="shared" si="3"/>
        <v>0</v>
      </c>
    </row>
    <row r="9220">
      <c r="A9220" s="107"/>
      <c r="D9220" s="270"/>
      <c r="H9220" s="106" t="str">
        <f t="shared" si="1"/>
        <v/>
      </c>
      <c r="J9220" t="str">
        <f>IFERROR(__xludf.DUMMYFUNCTION("IFS(
  AND(REGEXMATCH(E9220, ""台銀籌備帳戶|玉山帳戶""), REGEXMATCH(C9220, ""薪資"")), ""分潤支出"",
  AND(REGEXMATCH(E9220, ""Ben帳戶|Elsa帳戶|Ben代墊|Ariel代墊|中信銀行共用""), REGEXMATCH(F9220, ""Ben帳戶|Elsa帳戶|Ben代墊|Ariel代墊|中信銀行共用"")), ""內部轉帳(忽略)"",
  AND(E9220&lt;&gt;"""", F9220&lt;&gt;"""", N"&amp;"OT(REGEXMATCH(C9220, ""薪資""))), ""內部轉帳(忽略)"",
  REGEXMATCH(C9220, ""薪資""), ""薪資變動(不計入)"",
  REGEXMATCH(C9220, ""押金""), ""押金往來"",
  AND(E9220&lt;&gt;"""", F9220=""""), ""真實支出"",
  AND(E9220="""", F9220&lt;&gt;""""), ""真實收入"",
  TRUE, ""其他""
)"),"其他")</f>
        <v>其他</v>
      </c>
      <c r="K9220" s="270" t="str">
        <f t="shared" si="2"/>
        <v/>
      </c>
      <c r="L9220">
        <f t="shared" si="3"/>
        <v>0</v>
      </c>
    </row>
    <row r="9221">
      <c r="A9221" s="107"/>
      <c r="D9221" s="270"/>
      <c r="H9221" s="106" t="str">
        <f t="shared" si="1"/>
        <v/>
      </c>
      <c r="J9221" t="str">
        <f>IFERROR(__xludf.DUMMYFUNCTION("IFS(
  AND(REGEXMATCH(E9221, ""台銀籌備帳戶|玉山帳戶""), REGEXMATCH(C9221, ""薪資"")), ""分潤支出"",
  AND(REGEXMATCH(E9221, ""Ben帳戶|Elsa帳戶|Ben代墊|Ariel代墊|中信銀行共用""), REGEXMATCH(F9221, ""Ben帳戶|Elsa帳戶|Ben代墊|Ariel代墊|中信銀行共用"")), ""內部轉帳(忽略)"",
  AND(E9221&lt;&gt;"""", F9221&lt;&gt;"""", N"&amp;"OT(REGEXMATCH(C9221, ""薪資""))), ""內部轉帳(忽略)"",
  REGEXMATCH(C9221, ""薪資""), ""薪資變動(不計入)"",
  REGEXMATCH(C9221, ""押金""), ""押金往來"",
  AND(E9221&lt;&gt;"""", F9221=""""), ""真實支出"",
  AND(E9221="""", F9221&lt;&gt;""""), ""真實收入"",
  TRUE, ""其他""
)"),"其他")</f>
        <v>其他</v>
      </c>
      <c r="K9221" s="270" t="str">
        <f t="shared" si="2"/>
        <v/>
      </c>
      <c r="L9221">
        <f t="shared" si="3"/>
        <v>0</v>
      </c>
    </row>
    <row r="9222">
      <c r="A9222" s="107"/>
      <c r="D9222" s="270"/>
      <c r="H9222" s="106" t="str">
        <f t="shared" si="1"/>
        <v/>
      </c>
      <c r="J9222" t="str">
        <f>IFERROR(__xludf.DUMMYFUNCTION("IFS(
  AND(REGEXMATCH(E9222, ""台銀籌備帳戶|玉山帳戶""), REGEXMATCH(C9222, ""薪資"")), ""分潤支出"",
  AND(REGEXMATCH(E9222, ""Ben帳戶|Elsa帳戶|Ben代墊|Ariel代墊|中信銀行共用""), REGEXMATCH(F9222, ""Ben帳戶|Elsa帳戶|Ben代墊|Ariel代墊|中信銀行共用"")), ""內部轉帳(忽略)"",
  AND(E9222&lt;&gt;"""", F9222&lt;&gt;"""", N"&amp;"OT(REGEXMATCH(C9222, ""薪資""))), ""內部轉帳(忽略)"",
  REGEXMATCH(C9222, ""薪資""), ""薪資變動(不計入)"",
  REGEXMATCH(C9222, ""押金""), ""押金往來"",
  AND(E9222&lt;&gt;"""", F9222=""""), ""真實支出"",
  AND(E9222="""", F9222&lt;&gt;""""), ""真實收入"",
  TRUE, ""其他""
)"),"其他")</f>
        <v>其他</v>
      </c>
      <c r="K9222" s="270" t="str">
        <f t="shared" si="2"/>
        <v/>
      </c>
      <c r="L9222">
        <f t="shared" si="3"/>
        <v>0</v>
      </c>
    </row>
    <row r="9223">
      <c r="A9223" s="107"/>
      <c r="D9223" s="270"/>
      <c r="H9223" s="106" t="str">
        <f t="shared" si="1"/>
        <v/>
      </c>
      <c r="J9223" t="str">
        <f>IFERROR(__xludf.DUMMYFUNCTION("IFS(
  AND(REGEXMATCH(E9223, ""台銀籌備帳戶|玉山帳戶""), REGEXMATCH(C9223, ""薪資"")), ""分潤支出"",
  AND(REGEXMATCH(E9223, ""Ben帳戶|Elsa帳戶|Ben代墊|Ariel代墊|中信銀行共用""), REGEXMATCH(F9223, ""Ben帳戶|Elsa帳戶|Ben代墊|Ariel代墊|中信銀行共用"")), ""內部轉帳(忽略)"",
  AND(E9223&lt;&gt;"""", F9223&lt;&gt;"""", N"&amp;"OT(REGEXMATCH(C9223, ""薪資""))), ""內部轉帳(忽略)"",
  REGEXMATCH(C9223, ""薪資""), ""薪資變動(不計入)"",
  REGEXMATCH(C9223, ""押金""), ""押金往來"",
  AND(E9223&lt;&gt;"""", F9223=""""), ""真實支出"",
  AND(E9223="""", F9223&lt;&gt;""""), ""真實收入"",
  TRUE, ""其他""
)"),"其他")</f>
        <v>其他</v>
      </c>
      <c r="K9223" s="270" t="str">
        <f t="shared" si="2"/>
        <v/>
      </c>
      <c r="L9223">
        <f t="shared" si="3"/>
        <v>0</v>
      </c>
    </row>
    <row r="9224">
      <c r="A9224" s="107"/>
      <c r="D9224" s="270"/>
      <c r="H9224" s="106" t="str">
        <f t="shared" si="1"/>
        <v/>
      </c>
      <c r="J9224" t="str">
        <f>IFERROR(__xludf.DUMMYFUNCTION("IFS(
  AND(REGEXMATCH(E9224, ""台銀籌備帳戶|玉山帳戶""), REGEXMATCH(C9224, ""薪資"")), ""分潤支出"",
  AND(REGEXMATCH(E9224, ""Ben帳戶|Elsa帳戶|Ben代墊|Ariel代墊|中信銀行共用""), REGEXMATCH(F9224, ""Ben帳戶|Elsa帳戶|Ben代墊|Ariel代墊|中信銀行共用"")), ""內部轉帳(忽略)"",
  AND(E9224&lt;&gt;"""", F9224&lt;&gt;"""", N"&amp;"OT(REGEXMATCH(C9224, ""薪資""))), ""內部轉帳(忽略)"",
  REGEXMATCH(C9224, ""薪資""), ""薪資變動(不計入)"",
  REGEXMATCH(C9224, ""押金""), ""押金往來"",
  AND(E9224&lt;&gt;"""", F9224=""""), ""真實支出"",
  AND(E9224="""", F9224&lt;&gt;""""), ""真實收入"",
  TRUE, ""其他""
)"),"其他")</f>
        <v>其他</v>
      </c>
      <c r="K9224" s="270" t="str">
        <f t="shared" si="2"/>
        <v/>
      </c>
      <c r="L9224">
        <f t="shared" si="3"/>
        <v>0</v>
      </c>
    </row>
    <row r="9225">
      <c r="A9225" s="107"/>
      <c r="D9225" s="270"/>
      <c r="H9225" s="106" t="str">
        <f t="shared" si="1"/>
        <v/>
      </c>
      <c r="J9225" t="str">
        <f>IFERROR(__xludf.DUMMYFUNCTION("IFS(
  AND(REGEXMATCH(E9225, ""台銀籌備帳戶|玉山帳戶""), REGEXMATCH(C9225, ""薪資"")), ""分潤支出"",
  AND(REGEXMATCH(E9225, ""Ben帳戶|Elsa帳戶|Ben代墊|Ariel代墊|中信銀行共用""), REGEXMATCH(F9225, ""Ben帳戶|Elsa帳戶|Ben代墊|Ariel代墊|中信銀行共用"")), ""內部轉帳(忽略)"",
  AND(E9225&lt;&gt;"""", F9225&lt;&gt;"""", N"&amp;"OT(REGEXMATCH(C9225, ""薪資""))), ""內部轉帳(忽略)"",
  REGEXMATCH(C9225, ""薪資""), ""薪資變動(不計入)"",
  REGEXMATCH(C9225, ""押金""), ""押金往來"",
  AND(E9225&lt;&gt;"""", F9225=""""), ""真實支出"",
  AND(E9225="""", F9225&lt;&gt;""""), ""真實收入"",
  TRUE, ""其他""
)"),"其他")</f>
        <v>其他</v>
      </c>
      <c r="K9225" s="270" t="str">
        <f t="shared" si="2"/>
        <v/>
      </c>
      <c r="L9225">
        <f t="shared" si="3"/>
        <v>0</v>
      </c>
    </row>
    <row r="9226">
      <c r="A9226" s="107"/>
      <c r="D9226" s="270"/>
      <c r="H9226" s="106" t="str">
        <f t="shared" si="1"/>
        <v/>
      </c>
      <c r="J9226" t="str">
        <f>IFERROR(__xludf.DUMMYFUNCTION("IFS(
  AND(REGEXMATCH(E9226, ""台銀籌備帳戶|玉山帳戶""), REGEXMATCH(C9226, ""薪資"")), ""分潤支出"",
  AND(REGEXMATCH(E9226, ""Ben帳戶|Elsa帳戶|Ben代墊|Ariel代墊|中信銀行共用""), REGEXMATCH(F9226, ""Ben帳戶|Elsa帳戶|Ben代墊|Ariel代墊|中信銀行共用"")), ""內部轉帳(忽略)"",
  AND(E9226&lt;&gt;"""", F9226&lt;&gt;"""", N"&amp;"OT(REGEXMATCH(C9226, ""薪資""))), ""內部轉帳(忽略)"",
  REGEXMATCH(C9226, ""薪資""), ""薪資變動(不計入)"",
  REGEXMATCH(C9226, ""押金""), ""押金往來"",
  AND(E9226&lt;&gt;"""", F9226=""""), ""真實支出"",
  AND(E9226="""", F9226&lt;&gt;""""), ""真實收入"",
  TRUE, ""其他""
)"),"其他")</f>
        <v>其他</v>
      </c>
      <c r="K9226" s="270" t="str">
        <f t="shared" si="2"/>
        <v/>
      </c>
      <c r="L9226">
        <f t="shared" si="3"/>
        <v>0</v>
      </c>
    </row>
    <row r="9227">
      <c r="A9227" s="107"/>
      <c r="D9227" s="270"/>
      <c r="H9227" s="106" t="str">
        <f t="shared" si="1"/>
        <v/>
      </c>
      <c r="J9227" t="str">
        <f>IFERROR(__xludf.DUMMYFUNCTION("IFS(
  AND(REGEXMATCH(E9227, ""台銀籌備帳戶|玉山帳戶""), REGEXMATCH(C9227, ""薪資"")), ""分潤支出"",
  AND(REGEXMATCH(E9227, ""Ben帳戶|Elsa帳戶|Ben代墊|Ariel代墊|中信銀行共用""), REGEXMATCH(F9227, ""Ben帳戶|Elsa帳戶|Ben代墊|Ariel代墊|中信銀行共用"")), ""內部轉帳(忽略)"",
  AND(E9227&lt;&gt;"""", F9227&lt;&gt;"""", N"&amp;"OT(REGEXMATCH(C9227, ""薪資""))), ""內部轉帳(忽略)"",
  REGEXMATCH(C9227, ""薪資""), ""薪資變動(不計入)"",
  REGEXMATCH(C9227, ""押金""), ""押金往來"",
  AND(E9227&lt;&gt;"""", F9227=""""), ""真實支出"",
  AND(E9227="""", F9227&lt;&gt;""""), ""真實收入"",
  TRUE, ""其他""
)"),"其他")</f>
        <v>其他</v>
      </c>
      <c r="K9227" s="270" t="str">
        <f t="shared" si="2"/>
        <v/>
      </c>
      <c r="L9227">
        <f t="shared" si="3"/>
        <v>0</v>
      </c>
    </row>
    <row r="9228">
      <c r="A9228" s="107"/>
      <c r="D9228" s="270"/>
      <c r="H9228" s="106" t="str">
        <f t="shared" si="1"/>
        <v/>
      </c>
      <c r="J9228" t="str">
        <f>IFERROR(__xludf.DUMMYFUNCTION("IFS(
  AND(REGEXMATCH(E9228, ""台銀籌備帳戶|玉山帳戶""), REGEXMATCH(C9228, ""薪資"")), ""分潤支出"",
  AND(REGEXMATCH(E9228, ""Ben帳戶|Elsa帳戶|Ben代墊|Ariel代墊|中信銀行共用""), REGEXMATCH(F9228, ""Ben帳戶|Elsa帳戶|Ben代墊|Ariel代墊|中信銀行共用"")), ""內部轉帳(忽略)"",
  AND(E9228&lt;&gt;"""", F9228&lt;&gt;"""", N"&amp;"OT(REGEXMATCH(C9228, ""薪資""))), ""內部轉帳(忽略)"",
  REGEXMATCH(C9228, ""薪資""), ""薪資變動(不計入)"",
  REGEXMATCH(C9228, ""押金""), ""押金往來"",
  AND(E9228&lt;&gt;"""", F9228=""""), ""真實支出"",
  AND(E9228="""", F9228&lt;&gt;""""), ""真實收入"",
  TRUE, ""其他""
)"),"其他")</f>
        <v>其他</v>
      </c>
      <c r="K9228" s="270" t="str">
        <f t="shared" si="2"/>
        <v/>
      </c>
      <c r="L9228">
        <f t="shared" si="3"/>
        <v>0</v>
      </c>
    </row>
    <row r="9229">
      <c r="A9229" s="107"/>
      <c r="D9229" s="270"/>
      <c r="H9229" s="106" t="str">
        <f t="shared" si="1"/>
        <v/>
      </c>
      <c r="J9229" t="str">
        <f>IFERROR(__xludf.DUMMYFUNCTION("IFS(
  AND(REGEXMATCH(E9229, ""台銀籌備帳戶|玉山帳戶""), REGEXMATCH(C9229, ""薪資"")), ""分潤支出"",
  AND(REGEXMATCH(E9229, ""Ben帳戶|Elsa帳戶|Ben代墊|Ariel代墊|中信銀行共用""), REGEXMATCH(F9229, ""Ben帳戶|Elsa帳戶|Ben代墊|Ariel代墊|中信銀行共用"")), ""內部轉帳(忽略)"",
  AND(E9229&lt;&gt;"""", F9229&lt;&gt;"""", N"&amp;"OT(REGEXMATCH(C9229, ""薪資""))), ""內部轉帳(忽略)"",
  REGEXMATCH(C9229, ""薪資""), ""薪資變動(不計入)"",
  REGEXMATCH(C9229, ""押金""), ""押金往來"",
  AND(E9229&lt;&gt;"""", F9229=""""), ""真實支出"",
  AND(E9229="""", F9229&lt;&gt;""""), ""真實收入"",
  TRUE, ""其他""
)"),"其他")</f>
        <v>其他</v>
      </c>
      <c r="K9229" s="270" t="str">
        <f t="shared" si="2"/>
        <v/>
      </c>
      <c r="L9229">
        <f t="shared" si="3"/>
        <v>0</v>
      </c>
    </row>
    <row r="9230">
      <c r="A9230" s="107"/>
      <c r="D9230" s="270"/>
      <c r="H9230" s="106" t="str">
        <f t="shared" si="1"/>
        <v/>
      </c>
      <c r="J9230" t="str">
        <f>IFERROR(__xludf.DUMMYFUNCTION("IFS(
  AND(REGEXMATCH(E9230, ""台銀籌備帳戶|玉山帳戶""), REGEXMATCH(C9230, ""薪資"")), ""分潤支出"",
  AND(REGEXMATCH(E9230, ""Ben帳戶|Elsa帳戶|Ben代墊|Ariel代墊|中信銀行共用""), REGEXMATCH(F9230, ""Ben帳戶|Elsa帳戶|Ben代墊|Ariel代墊|中信銀行共用"")), ""內部轉帳(忽略)"",
  AND(E9230&lt;&gt;"""", F9230&lt;&gt;"""", N"&amp;"OT(REGEXMATCH(C9230, ""薪資""))), ""內部轉帳(忽略)"",
  REGEXMATCH(C9230, ""薪資""), ""薪資變動(不計入)"",
  REGEXMATCH(C9230, ""押金""), ""押金往來"",
  AND(E9230&lt;&gt;"""", F9230=""""), ""真實支出"",
  AND(E9230="""", F9230&lt;&gt;""""), ""真實收入"",
  TRUE, ""其他""
)"),"其他")</f>
        <v>其他</v>
      </c>
      <c r="K9230" s="270" t="str">
        <f t="shared" si="2"/>
        <v/>
      </c>
      <c r="L9230">
        <f t="shared" si="3"/>
        <v>0</v>
      </c>
    </row>
    <row r="9231">
      <c r="A9231" s="107"/>
      <c r="D9231" s="270"/>
      <c r="H9231" s="106" t="str">
        <f t="shared" si="1"/>
        <v/>
      </c>
      <c r="J9231" t="str">
        <f>IFERROR(__xludf.DUMMYFUNCTION("IFS(
  AND(REGEXMATCH(E9231, ""台銀籌備帳戶|玉山帳戶""), REGEXMATCH(C9231, ""薪資"")), ""分潤支出"",
  AND(REGEXMATCH(E9231, ""Ben帳戶|Elsa帳戶|Ben代墊|Ariel代墊|中信銀行共用""), REGEXMATCH(F9231, ""Ben帳戶|Elsa帳戶|Ben代墊|Ariel代墊|中信銀行共用"")), ""內部轉帳(忽略)"",
  AND(E9231&lt;&gt;"""", F9231&lt;&gt;"""", N"&amp;"OT(REGEXMATCH(C9231, ""薪資""))), ""內部轉帳(忽略)"",
  REGEXMATCH(C9231, ""薪資""), ""薪資變動(不計入)"",
  REGEXMATCH(C9231, ""押金""), ""押金往來"",
  AND(E9231&lt;&gt;"""", F9231=""""), ""真實支出"",
  AND(E9231="""", F9231&lt;&gt;""""), ""真實收入"",
  TRUE, ""其他""
)"),"其他")</f>
        <v>其他</v>
      </c>
      <c r="K9231" s="270" t="str">
        <f t="shared" si="2"/>
        <v/>
      </c>
      <c r="L9231">
        <f t="shared" si="3"/>
        <v>0</v>
      </c>
    </row>
    <row r="9232">
      <c r="A9232" s="107"/>
      <c r="D9232" s="270"/>
      <c r="H9232" s="106" t="str">
        <f t="shared" si="1"/>
        <v/>
      </c>
      <c r="J9232" t="str">
        <f>IFERROR(__xludf.DUMMYFUNCTION("IFS(
  AND(REGEXMATCH(E9232, ""台銀籌備帳戶|玉山帳戶""), REGEXMATCH(C9232, ""薪資"")), ""分潤支出"",
  AND(REGEXMATCH(E9232, ""Ben帳戶|Elsa帳戶|Ben代墊|Ariel代墊|中信銀行共用""), REGEXMATCH(F9232, ""Ben帳戶|Elsa帳戶|Ben代墊|Ariel代墊|中信銀行共用"")), ""內部轉帳(忽略)"",
  AND(E9232&lt;&gt;"""", F9232&lt;&gt;"""", N"&amp;"OT(REGEXMATCH(C9232, ""薪資""))), ""內部轉帳(忽略)"",
  REGEXMATCH(C9232, ""薪資""), ""薪資變動(不計入)"",
  REGEXMATCH(C9232, ""押金""), ""押金往來"",
  AND(E9232&lt;&gt;"""", F9232=""""), ""真實支出"",
  AND(E9232="""", F9232&lt;&gt;""""), ""真實收入"",
  TRUE, ""其他""
)"),"其他")</f>
        <v>其他</v>
      </c>
      <c r="K9232" s="270" t="str">
        <f t="shared" si="2"/>
        <v/>
      </c>
      <c r="L9232">
        <f t="shared" si="3"/>
        <v>0</v>
      </c>
    </row>
    <row r="9233">
      <c r="A9233" s="107"/>
      <c r="D9233" s="270"/>
      <c r="H9233" s="106" t="str">
        <f t="shared" si="1"/>
        <v/>
      </c>
      <c r="J9233" t="str">
        <f>IFERROR(__xludf.DUMMYFUNCTION("IFS(
  AND(REGEXMATCH(E9233, ""台銀籌備帳戶|玉山帳戶""), REGEXMATCH(C9233, ""薪資"")), ""分潤支出"",
  AND(REGEXMATCH(E9233, ""Ben帳戶|Elsa帳戶|Ben代墊|Ariel代墊|中信銀行共用""), REGEXMATCH(F9233, ""Ben帳戶|Elsa帳戶|Ben代墊|Ariel代墊|中信銀行共用"")), ""內部轉帳(忽略)"",
  AND(E9233&lt;&gt;"""", F9233&lt;&gt;"""", N"&amp;"OT(REGEXMATCH(C9233, ""薪資""))), ""內部轉帳(忽略)"",
  REGEXMATCH(C9233, ""薪資""), ""薪資變動(不計入)"",
  REGEXMATCH(C9233, ""押金""), ""押金往來"",
  AND(E9233&lt;&gt;"""", F9233=""""), ""真實支出"",
  AND(E9233="""", F9233&lt;&gt;""""), ""真實收入"",
  TRUE, ""其他""
)"),"其他")</f>
        <v>其他</v>
      </c>
      <c r="K9233" s="270" t="str">
        <f t="shared" si="2"/>
        <v/>
      </c>
      <c r="L9233">
        <f t="shared" si="3"/>
        <v>0</v>
      </c>
    </row>
    <row r="9234">
      <c r="A9234" s="107"/>
      <c r="D9234" s="270"/>
      <c r="H9234" s="106" t="str">
        <f t="shared" si="1"/>
        <v/>
      </c>
      <c r="J9234" t="str">
        <f>IFERROR(__xludf.DUMMYFUNCTION("IFS(
  AND(REGEXMATCH(E9234, ""台銀籌備帳戶|玉山帳戶""), REGEXMATCH(C9234, ""薪資"")), ""分潤支出"",
  AND(REGEXMATCH(E9234, ""Ben帳戶|Elsa帳戶|Ben代墊|Ariel代墊|中信銀行共用""), REGEXMATCH(F9234, ""Ben帳戶|Elsa帳戶|Ben代墊|Ariel代墊|中信銀行共用"")), ""內部轉帳(忽略)"",
  AND(E9234&lt;&gt;"""", F9234&lt;&gt;"""", N"&amp;"OT(REGEXMATCH(C9234, ""薪資""))), ""內部轉帳(忽略)"",
  REGEXMATCH(C9234, ""薪資""), ""薪資變動(不計入)"",
  REGEXMATCH(C9234, ""押金""), ""押金往來"",
  AND(E9234&lt;&gt;"""", F9234=""""), ""真實支出"",
  AND(E9234="""", F9234&lt;&gt;""""), ""真實收入"",
  TRUE, ""其他""
)"),"其他")</f>
        <v>其他</v>
      </c>
      <c r="K9234" s="270" t="str">
        <f t="shared" si="2"/>
        <v/>
      </c>
      <c r="L9234">
        <f t="shared" si="3"/>
        <v>0</v>
      </c>
    </row>
    <row r="9235">
      <c r="A9235" s="107"/>
      <c r="D9235" s="270"/>
      <c r="H9235" s="106" t="str">
        <f t="shared" si="1"/>
        <v/>
      </c>
      <c r="J9235" t="str">
        <f>IFERROR(__xludf.DUMMYFUNCTION("IFS(
  AND(REGEXMATCH(E9235, ""台銀籌備帳戶|玉山帳戶""), REGEXMATCH(C9235, ""薪資"")), ""分潤支出"",
  AND(REGEXMATCH(E9235, ""Ben帳戶|Elsa帳戶|Ben代墊|Ariel代墊|中信銀行共用""), REGEXMATCH(F9235, ""Ben帳戶|Elsa帳戶|Ben代墊|Ariel代墊|中信銀行共用"")), ""內部轉帳(忽略)"",
  AND(E9235&lt;&gt;"""", F9235&lt;&gt;"""", N"&amp;"OT(REGEXMATCH(C9235, ""薪資""))), ""內部轉帳(忽略)"",
  REGEXMATCH(C9235, ""薪資""), ""薪資變動(不計入)"",
  REGEXMATCH(C9235, ""押金""), ""押金往來"",
  AND(E9235&lt;&gt;"""", F9235=""""), ""真實支出"",
  AND(E9235="""", F9235&lt;&gt;""""), ""真實收入"",
  TRUE, ""其他""
)"),"其他")</f>
        <v>其他</v>
      </c>
      <c r="K9235" s="270" t="str">
        <f t="shared" si="2"/>
        <v/>
      </c>
      <c r="L9235">
        <f t="shared" si="3"/>
        <v>0</v>
      </c>
    </row>
    <row r="9236">
      <c r="A9236" s="107"/>
      <c r="D9236" s="270"/>
      <c r="H9236" s="106" t="str">
        <f t="shared" si="1"/>
        <v/>
      </c>
      <c r="J9236" t="str">
        <f>IFERROR(__xludf.DUMMYFUNCTION("IFS(
  AND(REGEXMATCH(E9236, ""台銀籌備帳戶|玉山帳戶""), REGEXMATCH(C9236, ""薪資"")), ""分潤支出"",
  AND(REGEXMATCH(E9236, ""Ben帳戶|Elsa帳戶|Ben代墊|Ariel代墊|中信銀行共用""), REGEXMATCH(F9236, ""Ben帳戶|Elsa帳戶|Ben代墊|Ariel代墊|中信銀行共用"")), ""內部轉帳(忽略)"",
  AND(E9236&lt;&gt;"""", F9236&lt;&gt;"""", N"&amp;"OT(REGEXMATCH(C9236, ""薪資""))), ""內部轉帳(忽略)"",
  REGEXMATCH(C9236, ""薪資""), ""薪資變動(不計入)"",
  REGEXMATCH(C9236, ""押金""), ""押金往來"",
  AND(E9236&lt;&gt;"""", F9236=""""), ""真實支出"",
  AND(E9236="""", F9236&lt;&gt;""""), ""真實收入"",
  TRUE, ""其他""
)"),"其他")</f>
        <v>其他</v>
      </c>
      <c r="K9236" s="270" t="str">
        <f t="shared" si="2"/>
        <v/>
      </c>
      <c r="L9236">
        <f t="shared" si="3"/>
        <v>0</v>
      </c>
    </row>
    <row r="9237">
      <c r="A9237" s="107"/>
      <c r="D9237" s="270"/>
      <c r="H9237" s="106" t="str">
        <f t="shared" si="1"/>
        <v/>
      </c>
      <c r="J9237" t="str">
        <f>IFERROR(__xludf.DUMMYFUNCTION("IFS(
  AND(REGEXMATCH(E9237, ""台銀籌備帳戶|玉山帳戶""), REGEXMATCH(C9237, ""薪資"")), ""分潤支出"",
  AND(REGEXMATCH(E9237, ""Ben帳戶|Elsa帳戶|Ben代墊|Ariel代墊|中信銀行共用""), REGEXMATCH(F9237, ""Ben帳戶|Elsa帳戶|Ben代墊|Ariel代墊|中信銀行共用"")), ""內部轉帳(忽略)"",
  AND(E9237&lt;&gt;"""", F9237&lt;&gt;"""", N"&amp;"OT(REGEXMATCH(C9237, ""薪資""))), ""內部轉帳(忽略)"",
  REGEXMATCH(C9237, ""薪資""), ""薪資變動(不計入)"",
  REGEXMATCH(C9237, ""押金""), ""押金往來"",
  AND(E9237&lt;&gt;"""", F9237=""""), ""真實支出"",
  AND(E9237="""", F9237&lt;&gt;""""), ""真實收入"",
  TRUE, ""其他""
)"),"其他")</f>
        <v>其他</v>
      </c>
      <c r="K9237" s="270" t="str">
        <f t="shared" si="2"/>
        <v/>
      </c>
      <c r="L9237">
        <f t="shared" si="3"/>
        <v>0</v>
      </c>
    </row>
    <row r="9238">
      <c r="A9238" s="107"/>
      <c r="D9238" s="270"/>
      <c r="H9238" s="106" t="str">
        <f t="shared" si="1"/>
        <v/>
      </c>
      <c r="J9238" t="str">
        <f>IFERROR(__xludf.DUMMYFUNCTION("IFS(
  AND(REGEXMATCH(E9238, ""台銀籌備帳戶|玉山帳戶""), REGEXMATCH(C9238, ""薪資"")), ""分潤支出"",
  AND(REGEXMATCH(E9238, ""Ben帳戶|Elsa帳戶|Ben代墊|Ariel代墊|中信銀行共用""), REGEXMATCH(F9238, ""Ben帳戶|Elsa帳戶|Ben代墊|Ariel代墊|中信銀行共用"")), ""內部轉帳(忽略)"",
  AND(E9238&lt;&gt;"""", F9238&lt;&gt;"""", N"&amp;"OT(REGEXMATCH(C9238, ""薪資""))), ""內部轉帳(忽略)"",
  REGEXMATCH(C9238, ""薪資""), ""薪資變動(不計入)"",
  REGEXMATCH(C9238, ""押金""), ""押金往來"",
  AND(E9238&lt;&gt;"""", F9238=""""), ""真實支出"",
  AND(E9238="""", F9238&lt;&gt;""""), ""真實收入"",
  TRUE, ""其他""
)"),"其他")</f>
        <v>其他</v>
      </c>
      <c r="K9238" s="270" t="str">
        <f t="shared" si="2"/>
        <v/>
      </c>
      <c r="L9238">
        <f t="shared" si="3"/>
        <v>0</v>
      </c>
    </row>
    <row r="9239">
      <c r="A9239" s="107"/>
      <c r="D9239" s="270"/>
      <c r="H9239" s="106" t="str">
        <f t="shared" si="1"/>
        <v/>
      </c>
      <c r="J9239" t="str">
        <f>IFERROR(__xludf.DUMMYFUNCTION("IFS(
  AND(REGEXMATCH(E9239, ""台銀籌備帳戶|玉山帳戶""), REGEXMATCH(C9239, ""薪資"")), ""分潤支出"",
  AND(REGEXMATCH(E9239, ""Ben帳戶|Elsa帳戶|Ben代墊|Ariel代墊|中信銀行共用""), REGEXMATCH(F9239, ""Ben帳戶|Elsa帳戶|Ben代墊|Ariel代墊|中信銀行共用"")), ""內部轉帳(忽略)"",
  AND(E9239&lt;&gt;"""", F9239&lt;&gt;"""", N"&amp;"OT(REGEXMATCH(C9239, ""薪資""))), ""內部轉帳(忽略)"",
  REGEXMATCH(C9239, ""薪資""), ""薪資變動(不計入)"",
  REGEXMATCH(C9239, ""押金""), ""押金往來"",
  AND(E9239&lt;&gt;"""", F9239=""""), ""真實支出"",
  AND(E9239="""", F9239&lt;&gt;""""), ""真實收入"",
  TRUE, ""其他""
)"),"其他")</f>
        <v>其他</v>
      </c>
      <c r="K9239" s="270" t="str">
        <f t="shared" si="2"/>
        <v/>
      </c>
      <c r="L9239">
        <f t="shared" si="3"/>
        <v>0</v>
      </c>
    </row>
    <row r="9240">
      <c r="A9240" s="107"/>
      <c r="D9240" s="270"/>
      <c r="H9240" s="106" t="str">
        <f t="shared" si="1"/>
        <v/>
      </c>
      <c r="J9240" t="str">
        <f>IFERROR(__xludf.DUMMYFUNCTION("IFS(
  AND(REGEXMATCH(E9240, ""台銀籌備帳戶|玉山帳戶""), REGEXMATCH(C9240, ""薪資"")), ""分潤支出"",
  AND(REGEXMATCH(E9240, ""Ben帳戶|Elsa帳戶|Ben代墊|Ariel代墊|中信銀行共用""), REGEXMATCH(F9240, ""Ben帳戶|Elsa帳戶|Ben代墊|Ariel代墊|中信銀行共用"")), ""內部轉帳(忽略)"",
  AND(E9240&lt;&gt;"""", F9240&lt;&gt;"""", N"&amp;"OT(REGEXMATCH(C9240, ""薪資""))), ""內部轉帳(忽略)"",
  REGEXMATCH(C9240, ""薪資""), ""薪資變動(不計入)"",
  REGEXMATCH(C9240, ""押金""), ""押金往來"",
  AND(E9240&lt;&gt;"""", F9240=""""), ""真實支出"",
  AND(E9240="""", F9240&lt;&gt;""""), ""真實收入"",
  TRUE, ""其他""
)"),"其他")</f>
        <v>其他</v>
      </c>
      <c r="K9240" s="270" t="str">
        <f t="shared" si="2"/>
        <v/>
      </c>
      <c r="L9240">
        <f t="shared" si="3"/>
        <v>0</v>
      </c>
    </row>
    <row r="9241">
      <c r="A9241" s="107"/>
      <c r="D9241" s="270"/>
      <c r="H9241" s="106" t="str">
        <f t="shared" si="1"/>
        <v/>
      </c>
      <c r="J9241" t="str">
        <f>IFERROR(__xludf.DUMMYFUNCTION("IFS(
  AND(REGEXMATCH(E9241, ""台銀籌備帳戶|玉山帳戶""), REGEXMATCH(C9241, ""薪資"")), ""分潤支出"",
  AND(REGEXMATCH(E9241, ""Ben帳戶|Elsa帳戶|Ben代墊|Ariel代墊|中信銀行共用""), REGEXMATCH(F9241, ""Ben帳戶|Elsa帳戶|Ben代墊|Ariel代墊|中信銀行共用"")), ""內部轉帳(忽略)"",
  AND(E9241&lt;&gt;"""", F9241&lt;&gt;"""", N"&amp;"OT(REGEXMATCH(C9241, ""薪資""))), ""內部轉帳(忽略)"",
  REGEXMATCH(C9241, ""薪資""), ""薪資變動(不計入)"",
  REGEXMATCH(C9241, ""押金""), ""押金往來"",
  AND(E9241&lt;&gt;"""", F9241=""""), ""真實支出"",
  AND(E9241="""", F9241&lt;&gt;""""), ""真實收入"",
  TRUE, ""其他""
)"),"其他")</f>
        <v>其他</v>
      </c>
      <c r="K9241" s="270" t="str">
        <f t="shared" si="2"/>
        <v/>
      </c>
      <c r="L9241">
        <f t="shared" si="3"/>
        <v>0</v>
      </c>
    </row>
    <row r="9242">
      <c r="A9242" s="107"/>
      <c r="D9242" s="270"/>
      <c r="H9242" s="106" t="str">
        <f t="shared" si="1"/>
        <v/>
      </c>
      <c r="J9242" t="str">
        <f>IFERROR(__xludf.DUMMYFUNCTION("IFS(
  AND(REGEXMATCH(E9242, ""台銀籌備帳戶|玉山帳戶""), REGEXMATCH(C9242, ""薪資"")), ""分潤支出"",
  AND(REGEXMATCH(E9242, ""Ben帳戶|Elsa帳戶|Ben代墊|Ariel代墊|中信銀行共用""), REGEXMATCH(F9242, ""Ben帳戶|Elsa帳戶|Ben代墊|Ariel代墊|中信銀行共用"")), ""內部轉帳(忽略)"",
  AND(E9242&lt;&gt;"""", F9242&lt;&gt;"""", N"&amp;"OT(REGEXMATCH(C9242, ""薪資""))), ""內部轉帳(忽略)"",
  REGEXMATCH(C9242, ""薪資""), ""薪資變動(不計入)"",
  REGEXMATCH(C9242, ""押金""), ""押金往來"",
  AND(E9242&lt;&gt;"""", F9242=""""), ""真實支出"",
  AND(E9242="""", F9242&lt;&gt;""""), ""真實收入"",
  TRUE, ""其他""
)"),"其他")</f>
        <v>其他</v>
      </c>
      <c r="K9242" s="270" t="str">
        <f t="shared" si="2"/>
        <v/>
      </c>
      <c r="L9242">
        <f t="shared" si="3"/>
        <v>0</v>
      </c>
    </row>
    <row r="9243">
      <c r="A9243" s="107"/>
      <c r="D9243" s="270"/>
      <c r="H9243" s="106" t="str">
        <f t="shared" si="1"/>
        <v/>
      </c>
      <c r="J9243" t="str">
        <f>IFERROR(__xludf.DUMMYFUNCTION("IFS(
  AND(REGEXMATCH(E9243, ""台銀籌備帳戶|玉山帳戶""), REGEXMATCH(C9243, ""薪資"")), ""分潤支出"",
  AND(REGEXMATCH(E9243, ""Ben帳戶|Elsa帳戶|Ben代墊|Ariel代墊|中信銀行共用""), REGEXMATCH(F9243, ""Ben帳戶|Elsa帳戶|Ben代墊|Ariel代墊|中信銀行共用"")), ""內部轉帳(忽略)"",
  AND(E9243&lt;&gt;"""", F9243&lt;&gt;"""", N"&amp;"OT(REGEXMATCH(C9243, ""薪資""))), ""內部轉帳(忽略)"",
  REGEXMATCH(C9243, ""薪資""), ""薪資變動(不計入)"",
  REGEXMATCH(C9243, ""押金""), ""押金往來"",
  AND(E9243&lt;&gt;"""", F9243=""""), ""真實支出"",
  AND(E9243="""", F9243&lt;&gt;""""), ""真實收入"",
  TRUE, ""其他""
)"),"其他")</f>
        <v>其他</v>
      </c>
      <c r="K9243" s="270" t="str">
        <f t="shared" si="2"/>
        <v/>
      </c>
      <c r="L9243">
        <f t="shared" si="3"/>
        <v>0</v>
      </c>
    </row>
    <row r="9244">
      <c r="A9244" s="107"/>
      <c r="D9244" s="270"/>
      <c r="H9244" s="106" t="str">
        <f t="shared" si="1"/>
        <v/>
      </c>
      <c r="J9244" t="str">
        <f>IFERROR(__xludf.DUMMYFUNCTION("IFS(
  AND(REGEXMATCH(E9244, ""台銀籌備帳戶|玉山帳戶""), REGEXMATCH(C9244, ""薪資"")), ""分潤支出"",
  AND(REGEXMATCH(E9244, ""Ben帳戶|Elsa帳戶|Ben代墊|Ariel代墊|中信銀行共用""), REGEXMATCH(F9244, ""Ben帳戶|Elsa帳戶|Ben代墊|Ariel代墊|中信銀行共用"")), ""內部轉帳(忽略)"",
  AND(E9244&lt;&gt;"""", F9244&lt;&gt;"""", N"&amp;"OT(REGEXMATCH(C9244, ""薪資""))), ""內部轉帳(忽略)"",
  REGEXMATCH(C9244, ""薪資""), ""薪資變動(不計入)"",
  REGEXMATCH(C9244, ""押金""), ""押金往來"",
  AND(E9244&lt;&gt;"""", F9244=""""), ""真實支出"",
  AND(E9244="""", F9244&lt;&gt;""""), ""真實收入"",
  TRUE, ""其他""
)"),"其他")</f>
        <v>其他</v>
      </c>
      <c r="K9244" s="270" t="str">
        <f t="shared" si="2"/>
        <v/>
      </c>
      <c r="L9244">
        <f t="shared" si="3"/>
        <v>0</v>
      </c>
    </row>
    <row r="9245">
      <c r="A9245" s="107"/>
      <c r="D9245" s="270"/>
      <c r="H9245" s="106" t="str">
        <f t="shared" si="1"/>
        <v/>
      </c>
      <c r="J9245" t="str">
        <f>IFERROR(__xludf.DUMMYFUNCTION("IFS(
  AND(REGEXMATCH(E9245, ""台銀籌備帳戶|玉山帳戶""), REGEXMATCH(C9245, ""薪資"")), ""分潤支出"",
  AND(REGEXMATCH(E9245, ""Ben帳戶|Elsa帳戶|Ben代墊|Ariel代墊|中信銀行共用""), REGEXMATCH(F9245, ""Ben帳戶|Elsa帳戶|Ben代墊|Ariel代墊|中信銀行共用"")), ""內部轉帳(忽略)"",
  AND(E9245&lt;&gt;"""", F9245&lt;&gt;"""", N"&amp;"OT(REGEXMATCH(C9245, ""薪資""))), ""內部轉帳(忽略)"",
  REGEXMATCH(C9245, ""薪資""), ""薪資變動(不計入)"",
  REGEXMATCH(C9245, ""押金""), ""押金往來"",
  AND(E9245&lt;&gt;"""", F9245=""""), ""真實支出"",
  AND(E9245="""", F9245&lt;&gt;""""), ""真實收入"",
  TRUE, ""其他""
)"),"其他")</f>
        <v>其他</v>
      </c>
      <c r="K9245" s="270" t="str">
        <f t="shared" si="2"/>
        <v/>
      </c>
      <c r="L9245">
        <f t="shared" si="3"/>
        <v>0</v>
      </c>
    </row>
    <row r="9246">
      <c r="A9246" s="107"/>
      <c r="D9246" s="270"/>
      <c r="H9246" s="106" t="str">
        <f t="shared" si="1"/>
        <v/>
      </c>
      <c r="J9246" t="str">
        <f>IFERROR(__xludf.DUMMYFUNCTION("IFS(
  AND(REGEXMATCH(E9246, ""台銀籌備帳戶|玉山帳戶""), REGEXMATCH(C9246, ""薪資"")), ""分潤支出"",
  AND(REGEXMATCH(E9246, ""Ben帳戶|Elsa帳戶|Ben代墊|Ariel代墊|中信銀行共用""), REGEXMATCH(F9246, ""Ben帳戶|Elsa帳戶|Ben代墊|Ariel代墊|中信銀行共用"")), ""內部轉帳(忽略)"",
  AND(E9246&lt;&gt;"""", F9246&lt;&gt;"""", N"&amp;"OT(REGEXMATCH(C9246, ""薪資""))), ""內部轉帳(忽略)"",
  REGEXMATCH(C9246, ""薪資""), ""薪資變動(不計入)"",
  REGEXMATCH(C9246, ""押金""), ""押金往來"",
  AND(E9246&lt;&gt;"""", F9246=""""), ""真實支出"",
  AND(E9246="""", F9246&lt;&gt;""""), ""真實收入"",
  TRUE, ""其他""
)"),"其他")</f>
        <v>其他</v>
      </c>
      <c r="K9246" s="270" t="str">
        <f t="shared" si="2"/>
        <v/>
      </c>
      <c r="L9246">
        <f t="shared" si="3"/>
        <v>0</v>
      </c>
    </row>
    <row r="9247">
      <c r="A9247" s="107"/>
      <c r="D9247" s="270"/>
      <c r="H9247" s="106" t="str">
        <f t="shared" si="1"/>
        <v/>
      </c>
      <c r="J9247" t="str">
        <f>IFERROR(__xludf.DUMMYFUNCTION("IFS(
  AND(REGEXMATCH(E9247, ""台銀籌備帳戶|玉山帳戶""), REGEXMATCH(C9247, ""薪資"")), ""分潤支出"",
  AND(REGEXMATCH(E9247, ""Ben帳戶|Elsa帳戶|Ben代墊|Ariel代墊|中信銀行共用""), REGEXMATCH(F9247, ""Ben帳戶|Elsa帳戶|Ben代墊|Ariel代墊|中信銀行共用"")), ""內部轉帳(忽略)"",
  AND(E9247&lt;&gt;"""", F9247&lt;&gt;"""", N"&amp;"OT(REGEXMATCH(C9247, ""薪資""))), ""內部轉帳(忽略)"",
  REGEXMATCH(C9247, ""薪資""), ""薪資變動(不計入)"",
  REGEXMATCH(C9247, ""押金""), ""押金往來"",
  AND(E9247&lt;&gt;"""", F9247=""""), ""真實支出"",
  AND(E9247="""", F9247&lt;&gt;""""), ""真實收入"",
  TRUE, ""其他""
)"),"其他")</f>
        <v>其他</v>
      </c>
      <c r="K9247" s="270" t="str">
        <f t="shared" si="2"/>
        <v/>
      </c>
      <c r="L9247">
        <f t="shared" si="3"/>
        <v>0</v>
      </c>
    </row>
    <row r="9248">
      <c r="A9248" s="107"/>
      <c r="D9248" s="270"/>
      <c r="H9248" s="106" t="str">
        <f t="shared" si="1"/>
        <v/>
      </c>
      <c r="J9248" t="str">
        <f>IFERROR(__xludf.DUMMYFUNCTION("IFS(
  AND(REGEXMATCH(E9248, ""台銀籌備帳戶|玉山帳戶""), REGEXMATCH(C9248, ""薪資"")), ""分潤支出"",
  AND(REGEXMATCH(E9248, ""Ben帳戶|Elsa帳戶|Ben代墊|Ariel代墊|中信銀行共用""), REGEXMATCH(F9248, ""Ben帳戶|Elsa帳戶|Ben代墊|Ariel代墊|中信銀行共用"")), ""內部轉帳(忽略)"",
  AND(E9248&lt;&gt;"""", F9248&lt;&gt;"""", N"&amp;"OT(REGEXMATCH(C9248, ""薪資""))), ""內部轉帳(忽略)"",
  REGEXMATCH(C9248, ""薪資""), ""薪資變動(不計入)"",
  REGEXMATCH(C9248, ""押金""), ""押金往來"",
  AND(E9248&lt;&gt;"""", F9248=""""), ""真實支出"",
  AND(E9248="""", F9248&lt;&gt;""""), ""真實收入"",
  TRUE, ""其他""
)"),"其他")</f>
        <v>其他</v>
      </c>
      <c r="K9248" s="270" t="str">
        <f t="shared" si="2"/>
        <v/>
      </c>
      <c r="L9248">
        <f t="shared" si="3"/>
        <v>0</v>
      </c>
    </row>
    <row r="9249">
      <c r="A9249" s="107"/>
      <c r="D9249" s="270"/>
      <c r="H9249" s="106" t="str">
        <f t="shared" si="1"/>
        <v/>
      </c>
      <c r="J9249" t="str">
        <f>IFERROR(__xludf.DUMMYFUNCTION("IFS(
  AND(REGEXMATCH(E9249, ""台銀籌備帳戶|玉山帳戶""), REGEXMATCH(C9249, ""薪資"")), ""分潤支出"",
  AND(REGEXMATCH(E9249, ""Ben帳戶|Elsa帳戶|Ben代墊|Ariel代墊|中信銀行共用""), REGEXMATCH(F9249, ""Ben帳戶|Elsa帳戶|Ben代墊|Ariel代墊|中信銀行共用"")), ""內部轉帳(忽略)"",
  AND(E9249&lt;&gt;"""", F9249&lt;&gt;"""", N"&amp;"OT(REGEXMATCH(C9249, ""薪資""))), ""內部轉帳(忽略)"",
  REGEXMATCH(C9249, ""薪資""), ""薪資變動(不計入)"",
  REGEXMATCH(C9249, ""押金""), ""押金往來"",
  AND(E9249&lt;&gt;"""", F9249=""""), ""真實支出"",
  AND(E9249="""", F9249&lt;&gt;""""), ""真實收入"",
  TRUE, ""其他""
)"),"其他")</f>
        <v>其他</v>
      </c>
      <c r="K9249" s="270" t="str">
        <f t="shared" si="2"/>
        <v/>
      </c>
      <c r="L9249">
        <f t="shared" si="3"/>
        <v>0</v>
      </c>
    </row>
    <row r="9250">
      <c r="A9250" s="107"/>
      <c r="D9250" s="270"/>
      <c r="H9250" s="106" t="str">
        <f t="shared" si="1"/>
        <v/>
      </c>
      <c r="J9250" t="str">
        <f>IFERROR(__xludf.DUMMYFUNCTION("IFS(
  AND(REGEXMATCH(E9250, ""台銀籌備帳戶|玉山帳戶""), REGEXMATCH(C9250, ""薪資"")), ""分潤支出"",
  AND(REGEXMATCH(E9250, ""Ben帳戶|Elsa帳戶|Ben代墊|Ariel代墊|中信銀行共用""), REGEXMATCH(F9250, ""Ben帳戶|Elsa帳戶|Ben代墊|Ariel代墊|中信銀行共用"")), ""內部轉帳(忽略)"",
  AND(E9250&lt;&gt;"""", F9250&lt;&gt;"""", N"&amp;"OT(REGEXMATCH(C9250, ""薪資""))), ""內部轉帳(忽略)"",
  REGEXMATCH(C9250, ""薪資""), ""薪資變動(不計入)"",
  REGEXMATCH(C9250, ""押金""), ""押金往來"",
  AND(E9250&lt;&gt;"""", F9250=""""), ""真實支出"",
  AND(E9250="""", F9250&lt;&gt;""""), ""真實收入"",
  TRUE, ""其他""
)"),"其他")</f>
        <v>其他</v>
      </c>
      <c r="K9250" s="270" t="str">
        <f t="shared" si="2"/>
        <v/>
      </c>
      <c r="L9250">
        <f t="shared" si="3"/>
        <v>0</v>
      </c>
    </row>
    <row r="9251">
      <c r="A9251" s="107"/>
      <c r="D9251" s="270"/>
      <c r="H9251" s="106" t="str">
        <f t="shared" si="1"/>
        <v/>
      </c>
      <c r="J9251" t="str">
        <f>IFERROR(__xludf.DUMMYFUNCTION("IFS(
  AND(REGEXMATCH(E9251, ""台銀籌備帳戶|玉山帳戶""), REGEXMATCH(C9251, ""薪資"")), ""分潤支出"",
  AND(REGEXMATCH(E9251, ""Ben帳戶|Elsa帳戶|Ben代墊|Ariel代墊|中信銀行共用""), REGEXMATCH(F9251, ""Ben帳戶|Elsa帳戶|Ben代墊|Ariel代墊|中信銀行共用"")), ""內部轉帳(忽略)"",
  AND(E9251&lt;&gt;"""", F9251&lt;&gt;"""", N"&amp;"OT(REGEXMATCH(C9251, ""薪資""))), ""內部轉帳(忽略)"",
  REGEXMATCH(C9251, ""薪資""), ""薪資變動(不計入)"",
  REGEXMATCH(C9251, ""押金""), ""押金往來"",
  AND(E9251&lt;&gt;"""", F9251=""""), ""真實支出"",
  AND(E9251="""", F9251&lt;&gt;""""), ""真實收入"",
  TRUE, ""其他""
)"),"其他")</f>
        <v>其他</v>
      </c>
      <c r="K9251" s="270" t="str">
        <f t="shared" si="2"/>
        <v/>
      </c>
      <c r="L9251">
        <f t="shared" si="3"/>
        <v>0</v>
      </c>
    </row>
    <row r="9252">
      <c r="A9252" s="107"/>
      <c r="D9252" s="270"/>
      <c r="H9252" s="106" t="str">
        <f t="shared" si="1"/>
        <v/>
      </c>
      <c r="J9252" t="str">
        <f>IFERROR(__xludf.DUMMYFUNCTION("IFS(
  AND(REGEXMATCH(E9252, ""台銀籌備帳戶|玉山帳戶""), REGEXMATCH(C9252, ""薪資"")), ""分潤支出"",
  AND(REGEXMATCH(E9252, ""Ben帳戶|Elsa帳戶|Ben代墊|Ariel代墊|中信銀行共用""), REGEXMATCH(F9252, ""Ben帳戶|Elsa帳戶|Ben代墊|Ariel代墊|中信銀行共用"")), ""內部轉帳(忽略)"",
  AND(E9252&lt;&gt;"""", F9252&lt;&gt;"""", N"&amp;"OT(REGEXMATCH(C9252, ""薪資""))), ""內部轉帳(忽略)"",
  REGEXMATCH(C9252, ""薪資""), ""薪資變動(不計入)"",
  REGEXMATCH(C9252, ""押金""), ""押金往來"",
  AND(E9252&lt;&gt;"""", F9252=""""), ""真實支出"",
  AND(E9252="""", F9252&lt;&gt;""""), ""真實收入"",
  TRUE, ""其他""
)"),"其他")</f>
        <v>其他</v>
      </c>
      <c r="K9252" s="270" t="str">
        <f t="shared" si="2"/>
        <v/>
      </c>
      <c r="L9252">
        <f t="shared" si="3"/>
        <v>0</v>
      </c>
    </row>
    <row r="9253">
      <c r="A9253" s="107"/>
      <c r="D9253" s="270"/>
      <c r="H9253" s="106" t="str">
        <f t="shared" si="1"/>
        <v/>
      </c>
      <c r="J9253" t="str">
        <f>IFERROR(__xludf.DUMMYFUNCTION("IFS(
  AND(REGEXMATCH(E9253, ""台銀籌備帳戶|玉山帳戶""), REGEXMATCH(C9253, ""薪資"")), ""分潤支出"",
  AND(REGEXMATCH(E9253, ""Ben帳戶|Elsa帳戶|Ben代墊|Ariel代墊|中信銀行共用""), REGEXMATCH(F9253, ""Ben帳戶|Elsa帳戶|Ben代墊|Ariel代墊|中信銀行共用"")), ""內部轉帳(忽略)"",
  AND(E9253&lt;&gt;"""", F9253&lt;&gt;"""", N"&amp;"OT(REGEXMATCH(C9253, ""薪資""))), ""內部轉帳(忽略)"",
  REGEXMATCH(C9253, ""薪資""), ""薪資變動(不計入)"",
  REGEXMATCH(C9253, ""押金""), ""押金往來"",
  AND(E9253&lt;&gt;"""", F9253=""""), ""真實支出"",
  AND(E9253="""", F9253&lt;&gt;""""), ""真實收入"",
  TRUE, ""其他""
)"),"其他")</f>
        <v>其他</v>
      </c>
      <c r="K9253" s="270" t="str">
        <f t="shared" si="2"/>
        <v/>
      </c>
      <c r="L9253">
        <f t="shared" si="3"/>
        <v>0</v>
      </c>
    </row>
    <row r="9254">
      <c r="A9254" s="107"/>
      <c r="D9254" s="270"/>
      <c r="H9254" s="106" t="str">
        <f t="shared" si="1"/>
        <v/>
      </c>
      <c r="J9254" t="str">
        <f>IFERROR(__xludf.DUMMYFUNCTION("IFS(
  AND(REGEXMATCH(E9254, ""台銀籌備帳戶|玉山帳戶""), REGEXMATCH(C9254, ""薪資"")), ""分潤支出"",
  AND(REGEXMATCH(E9254, ""Ben帳戶|Elsa帳戶|Ben代墊|Ariel代墊|中信銀行共用""), REGEXMATCH(F9254, ""Ben帳戶|Elsa帳戶|Ben代墊|Ariel代墊|中信銀行共用"")), ""內部轉帳(忽略)"",
  AND(E9254&lt;&gt;"""", F9254&lt;&gt;"""", N"&amp;"OT(REGEXMATCH(C9254, ""薪資""))), ""內部轉帳(忽略)"",
  REGEXMATCH(C9254, ""薪資""), ""薪資變動(不計入)"",
  REGEXMATCH(C9254, ""押金""), ""押金往來"",
  AND(E9254&lt;&gt;"""", F9254=""""), ""真實支出"",
  AND(E9254="""", F9254&lt;&gt;""""), ""真實收入"",
  TRUE, ""其他""
)"),"其他")</f>
        <v>其他</v>
      </c>
      <c r="K9254" s="270" t="str">
        <f t="shared" si="2"/>
        <v/>
      </c>
      <c r="L9254">
        <f t="shared" si="3"/>
        <v>0</v>
      </c>
    </row>
    <row r="9255">
      <c r="A9255" s="107"/>
      <c r="D9255" s="270"/>
      <c r="H9255" s="106" t="str">
        <f t="shared" si="1"/>
        <v/>
      </c>
      <c r="J9255" t="str">
        <f>IFERROR(__xludf.DUMMYFUNCTION("IFS(
  AND(REGEXMATCH(E9255, ""台銀籌備帳戶|玉山帳戶""), REGEXMATCH(C9255, ""薪資"")), ""分潤支出"",
  AND(REGEXMATCH(E9255, ""Ben帳戶|Elsa帳戶|Ben代墊|Ariel代墊|中信銀行共用""), REGEXMATCH(F9255, ""Ben帳戶|Elsa帳戶|Ben代墊|Ariel代墊|中信銀行共用"")), ""內部轉帳(忽略)"",
  AND(E9255&lt;&gt;"""", F9255&lt;&gt;"""", N"&amp;"OT(REGEXMATCH(C9255, ""薪資""))), ""內部轉帳(忽略)"",
  REGEXMATCH(C9255, ""薪資""), ""薪資變動(不計入)"",
  REGEXMATCH(C9255, ""押金""), ""押金往來"",
  AND(E9255&lt;&gt;"""", F9255=""""), ""真實支出"",
  AND(E9255="""", F9255&lt;&gt;""""), ""真實收入"",
  TRUE, ""其他""
)"),"其他")</f>
        <v>其他</v>
      </c>
      <c r="K9255" s="270" t="str">
        <f t="shared" si="2"/>
        <v/>
      </c>
      <c r="L9255">
        <f t="shared" si="3"/>
        <v>0</v>
      </c>
    </row>
    <row r="9256">
      <c r="A9256" s="107"/>
      <c r="D9256" s="270"/>
      <c r="H9256" s="106" t="str">
        <f t="shared" si="1"/>
        <v/>
      </c>
      <c r="J9256" t="str">
        <f>IFERROR(__xludf.DUMMYFUNCTION("IFS(
  AND(REGEXMATCH(E9256, ""台銀籌備帳戶|玉山帳戶""), REGEXMATCH(C9256, ""薪資"")), ""分潤支出"",
  AND(REGEXMATCH(E9256, ""Ben帳戶|Elsa帳戶|Ben代墊|Ariel代墊|中信銀行共用""), REGEXMATCH(F9256, ""Ben帳戶|Elsa帳戶|Ben代墊|Ariel代墊|中信銀行共用"")), ""內部轉帳(忽略)"",
  AND(E9256&lt;&gt;"""", F9256&lt;&gt;"""", N"&amp;"OT(REGEXMATCH(C9256, ""薪資""))), ""內部轉帳(忽略)"",
  REGEXMATCH(C9256, ""薪資""), ""薪資變動(不計入)"",
  REGEXMATCH(C9256, ""押金""), ""押金往來"",
  AND(E9256&lt;&gt;"""", F9256=""""), ""真實支出"",
  AND(E9256="""", F9256&lt;&gt;""""), ""真實收入"",
  TRUE, ""其他""
)"),"其他")</f>
        <v>其他</v>
      </c>
      <c r="K9256" s="270" t="str">
        <f t="shared" si="2"/>
        <v/>
      </c>
      <c r="L9256">
        <f t="shared" si="3"/>
        <v>0</v>
      </c>
    </row>
    <row r="9257">
      <c r="A9257" s="107"/>
      <c r="D9257" s="270"/>
      <c r="H9257" s="106" t="str">
        <f t="shared" si="1"/>
        <v/>
      </c>
      <c r="J9257" t="str">
        <f>IFERROR(__xludf.DUMMYFUNCTION("IFS(
  AND(REGEXMATCH(E9257, ""台銀籌備帳戶|玉山帳戶""), REGEXMATCH(C9257, ""薪資"")), ""分潤支出"",
  AND(REGEXMATCH(E9257, ""Ben帳戶|Elsa帳戶|Ben代墊|Ariel代墊|中信銀行共用""), REGEXMATCH(F9257, ""Ben帳戶|Elsa帳戶|Ben代墊|Ariel代墊|中信銀行共用"")), ""內部轉帳(忽略)"",
  AND(E9257&lt;&gt;"""", F9257&lt;&gt;"""", N"&amp;"OT(REGEXMATCH(C9257, ""薪資""))), ""內部轉帳(忽略)"",
  REGEXMATCH(C9257, ""薪資""), ""薪資變動(不計入)"",
  REGEXMATCH(C9257, ""押金""), ""押金往來"",
  AND(E9257&lt;&gt;"""", F9257=""""), ""真實支出"",
  AND(E9257="""", F9257&lt;&gt;""""), ""真實收入"",
  TRUE, ""其他""
)"),"其他")</f>
        <v>其他</v>
      </c>
      <c r="K9257" s="270" t="str">
        <f t="shared" si="2"/>
        <v/>
      </c>
      <c r="L9257">
        <f t="shared" si="3"/>
        <v>0</v>
      </c>
    </row>
    <row r="9258">
      <c r="A9258" s="107"/>
      <c r="D9258" s="270"/>
      <c r="H9258" s="106" t="str">
        <f t="shared" si="1"/>
        <v/>
      </c>
      <c r="J9258" t="str">
        <f>IFERROR(__xludf.DUMMYFUNCTION("IFS(
  AND(REGEXMATCH(E9258, ""台銀籌備帳戶|玉山帳戶""), REGEXMATCH(C9258, ""薪資"")), ""分潤支出"",
  AND(REGEXMATCH(E9258, ""Ben帳戶|Elsa帳戶|Ben代墊|Ariel代墊|中信銀行共用""), REGEXMATCH(F9258, ""Ben帳戶|Elsa帳戶|Ben代墊|Ariel代墊|中信銀行共用"")), ""內部轉帳(忽略)"",
  AND(E9258&lt;&gt;"""", F9258&lt;&gt;"""", N"&amp;"OT(REGEXMATCH(C9258, ""薪資""))), ""內部轉帳(忽略)"",
  REGEXMATCH(C9258, ""薪資""), ""薪資變動(不計入)"",
  REGEXMATCH(C9258, ""押金""), ""押金往來"",
  AND(E9258&lt;&gt;"""", F9258=""""), ""真實支出"",
  AND(E9258="""", F9258&lt;&gt;""""), ""真實收入"",
  TRUE, ""其他""
)"),"其他")</f>
        <v>其他</v>
      </c>
      <c r="K9258" s="270" t="str">
        <f t="shared" si="2"/>
        <v/>
      </c>
      <c r="L9258">
        <f t="shared" si="3"/>
        <v>0</v>
      </c>
    </row>
    <row r="9259">
      <c r="A9259" s="107"/>
      <c r="D9259" s="270"/>
      <c r="H9259" s="106" t="str">
        <f t="shared" si="1"/>
        <v/>
      </c>
      <c r="J9259" t="str">
        <f>IFERROR(__xludf.DUMMYFUNCTION("IFS(
  AND(REGEXMATCH(E9259, ""台銀籌備帳戶|玉山帳戶""), REGEXMATCH(C9259, ""薪資"")), ""分潤支出"",
  AND(REGEXMATCH(E9259, ""Ben帳戶|Elsa帳戶|Ben代墊|Ariel代墊|中信銀行共用""), REGEXMATCH(F9259, ""Ben帳戶|Elsa帳戶|Ben代墊|Ariel代墊|中信銀行共用"")), ""內部轉帳(忽略)"",
  AND(E9259&lt;&gt;"""", F9259&lt;&gt;"""", N"&amp;"OT(REGEXMATCH(C9259, ""薪資""))), ""內部轉帳(忽略)"",
  REGEXMATCH(C9259, ""薪資""), ""薪資變動(不計入)"",
  REGEXMATCH(C9259, ""押金""), ""押金往來"",
  AND(E9259&lt;&gt;"""", F9259=""""), ""真實支出"",
  AND(E9259="""", F9259&lt;&gt;""""), ""真實收入"",
  TRUE, ""其他""
)"),"其他")</f>
        <v>其他</v>
      </c>
      <c r="K9259" s="270" t="str">
        <f t="shared" si="2"/>
        <v/>
      </c>
      <c r="L9259">
        <f t="shared" si="3"/>
        <v>0</v>
      </c>
    </row>
    <row r="9260">
      <c r="A9260" s="107"/>
      <c r="D9260" s="270"/>
      <c r="H9260" s="106" t="str">
        <f t="shared" si="1"/>
        <v/>
      </c>
      <c r="J9260" t="str">
        <f>IFERROR(__xludf.DUMMYFUNCTION("IFS(
  AND(REGEXMATCH(E9260, ""台銀籌備帳戶|玉山帳戶""), REGEXMATCH(C9260, ""薪資"")), ""分潤支出"",
  AND(REGEXMATCH(E9260, ""Ben帳戶|Elsa帳戶|Ben代墊|Ariel代墊|中信銀行共用""), REGEXMATCH(F9260, ""Ben帳戶|Elsa帳戶|Ben代墊|Ariel代墊|中信銀行共用"")), ""內部轉帳(忽略)"",
  AND(E9260&lt;&gt;"""", F9260&lt;&gt;"""", N"&amp;"OT(REGEXMATCH(C9260, ""薪資""))), ""內部轉帳(忽略)"",
  REGEXMATCH(C9260, ""薪資""), ""薪資變動(不計入)"",
  REGEXMATCH(C9260, ""押金""), ""押金往來"",
  AND(E9260&lt;&gt;"""", F9260=""""), ""真實支出"",
  AND(E9260="""", F9260&lt;&gt;""""), ""真實收入"",
  TRUE, ""其他""
)"),"其他")</f>
        <v>其他</v>
      </c>
      <c r="K9260" s="270" t="str">
        <f t="shared" si="2"/>
        <v/>
      </c>
      <c r="L9260">
        <f t="shared" si="3"/>
        <v>0</v>
      </c>
    </row>
    <row r="9261">
      <c r="A9261" s="107"/>
      <c r="D9261" s="270"/>
      <c r="H9261" s="106" t="str">
        <f t="shared" si="1"/>
        <v/>
      </c>
      <c r="J9261" t="str">
        <f>IFERROR(__xludf.DUMMYFUNCTION("IFS(
  AND(REGEXMATCH(E9261, ""台銀籌備帳戶|玉山帳戶""), REGEXMATCH(C9261, ""薪資"")), ""分潤支出"",
  AND(REGEXMATCH(E9261, ""Ben帳戶|Elsa帳戶|Ben代墊|Ariel代墊|中信銀行共用""), REGEXMATCH(F9261, ""Ben帳戶|Elsa帳戶|Ben代墊|Ariel代墊|中信銀行共用"")), ""內部轉帳(忽略)"",
  AND(E9261&lt;&gt;"""", F9261&lt;&gt;"""", N"&amp;"OT(REGEXMATCH(C9261, ""薪資""))), ""內部轉帳(忽略)"",
  REGEXMATCH(C9261, ""薪資""), ""薪資變動(不計入)"",
  REGEXMATCH(C9261, ""押金""), ""押金往來"",
  AND(E9261&lt;&gt;"""", F9261=""""), ""真實支出"",
  AND(E9261="""", F9261&lt;&gt;""""), ""真實收入"",
  TRUE, ""其他""
)"),"其他")</f>
        <v>其他</v>
      </c>
      <c r="K9261" s="270" t="str">
        <f t="shared" si="2"/>
        <v/>
      </c>
      <c r="L9261">
        <f t="shared" si="3"/>
        <v>0</v>
      </c>
    </row>
    <row r="9262">
      <c r="A9262" s="107"/>
      <c r="D9262" s="270"/>
      <c r="H9262" s="106" t="str">
        <f t="shared" si="1"/>
        <v/>
      </c>
      <c r="J9262" t="str">
        <f>IFERROR(__xludf.DUMMYFUNCTION("IFS(
  AND(REGEXMATCH(E9262, ""台銀籌備帳戶|玉山帳戶""), REGEXMATCH(C9262, ""薪資"")), ""分潤支出"",
  AND(REGEXMATCH(E9262, ""Ben帳戶|Elsa帳戶|Ben代墊|Ariel代墊|中信銀行共用""), REGEXMATCH(F9262, ""Ben帳戶|Elsa帳戶|Ben代墊|Ariel代墊|中信銀行共用"")), ""內部轉帳(忽略)"",
  AND(E9262&lt;&gt;"""", F9262&lt;&gt;"""", N"&amp;"OT(REGEXMATCH(C9262, ""薪資""))), ""內部轉帳(忽略)"",
  REGEXMATCH(C9262, ""薪資""), ""薪資變動(不計入)"",
  REGEXMATCH(C9262, ""押金""), ""押金往來"",
  AND(E9262&lt;&gt;"""", F9262=""""), ""真實支出"",
  AND(E9262="""", F9262&lt;&gt;""""), ""真實收入"",
  TRUE, ""其他""
)"),"其他")</f>
        <v>其他</v>
      </c>
      <c r="K9262" s="270" t="str">
        <f t="shared" si="2"/>
        <v/>
      </c>
      <c r="L9262">
        <f t="shared" si="3"/>
        <v>0</v>
      </c>
    </row>
    <row r="9263">
      <c r="A9263" s="107"/>
      <c r="D9263" s="270"/>
      <c r="H9263" s="106" t="str">
        <f t="shared" si="1"/>
        <v/>
      </c>
      <c r="J9263" t="str">
        <f>IFERROR(__xludf.DUMMYFUNCTION("IFS(
  AND(REGEXMATCH(E9263, ""台銀籌備帳戶|玉山帳戶""), REGEXMATCH(C9263, ""薪資"")), ""分潤支出"",
  AND(REGEXMATCH(E9263, ""Ben帳戶|Elsa帳戶|Ben代墊|Ariel代墊|中信銀行共用""), REGEXMATCH(F9263, ""Ben帳戶|Elsa帳戶|Ben代墊|Ariel代墊|中信銀行共用"")), ""內部轉帳(忽略)"",
  AND(E9263&lt;&gt;"""", F9263&lt;&gt;"""", N"&amp;"OT(REGEXMATCH(C9263, ""薪資""))), ""內部轉帳(忽略)"",
  REGEXMATCH(C9263, ""薪資""), ""薪資變動(不計入)"",
  REGEXMATCH(C9263, ""押金""), ""押金往來"",
  AND(E9263&lt;&gt;"""", F9263=""""), ""真實支出"",
  AND(E9263="""", F9263&lt;&gt;""""), ""真實收入"",
  TRUE, ""其他""
)"),"其他")</f>
        <v>其他</v>
      </c>
      <c r="K9263" s="270" t="str">
        <f t="shared" si="2"/>
        <v/>
      </c>
      <c r="L9263">
        <f t="shared" si="3"/>
        <v>0</v>
      </c>
    </row>
    <row r="9264">
      <c r="A9264" s="107"/>
      <c r="D9264" s="270"/>
      <c r="H9264" s="106" t="str">
        <f t="shared" si="1"/>
        <v/>
      </c>
      <c r="J9264" t="str">
        <f>IFERROR(__xludf.DUMMYFUNCTION("IFS(
  AND(REGEXMATCH(E9264, ""台銀籌備帳戶|玉山帳戶""), REGEXMATCH(C9264, ""薪資"")), ""分潤支出"",
  AND(REGEXMATCH(E9264, ""Ben帳戶|Elsa帳戶|Ben代墊|Ariel代墊|中信銀行共用""), REGEXMATCH(F9264, ""Ben帳戶|Elsa帳戶|Ben代墊|Ariel代墊|中信銀行共用"")), ""內部轉帳(忽略)"",
  AND(E9264&lt;&gt;"""", F9264&lt;&gt;"""", N"&amp;"OT(REGEXMATCH(C9264, ""薪資""))), ""內部轉帳(忽略)"",
  REGEXMATCH(C9264, ""薪資""), ""薪資變動(不計入)"",
  REGEXMATCH(C9264, ""押金""), ""押金往來"",
  AND(E9264&lt;&gt;"""", F9264=""""), ""真實支出"",
  AND(E9264="""", F9264&lt;&gt;""""), ""真實收入"",
  TRUE, ""其他""
)"),"其他")</f>
        <v>其他</v>
      </c>
      <c r="K9264" s="270" t="str">
        <f t="shared" si="2"/>
        <v/>
      </c>
      <c r="L9264">
        <f t="shared" si="3"/>
        <v>0</v>
      </c>
    </row>
    <row r="9265">
      <c r="A9265" s="107"/>
      <c r="D9265" s="270"/>
      <c r="H9265" s="106" t="str">
        <f t="shared" si="1"/>
        <v/>
      </c>
      <c r="J9265" t="str">
        <f>IFERROR(__xludf.DUMMYFUNCTION("IFS(
  AND(REGEXMATCH(E9265, ""台銀籌備帳戶|玉山帳戶""), REGEXMATCH(C9265, ""薪資"")), ""分潤支出"",
  AND(REGEXMATCH(E9265, ""Ben帳戶|Elsa帳戶|Ben代墊|Ariel代墊|中信銀行共用""), REGEXMATCH(F9265, ""Ben帳戶|Elsa帳戶|Ben代墊|Ariel代墊|中信銀行共用"")), ""內部轉帳(忽略)"",
  AND(E9265&lt;&gt;"""", F9265&lt;&gt;"""", N"&amp;"OT(REGEXMATCH(C9265, ""薪資""))), ""內部轉帳(忽略)"",
  REGEXMATCH(C9265, ""薪資""), ""薪資變動(不計入)"",
  REGEXMATCH(C9265, ""押金""), ""押金往來"",
  AND(E9265&lt;&gt;"""", F9265=""""), ""真實支出"",
  AND(E9265="""", F9265&lt;&gt;""""), ""真實收入"",
  TRUE, ""其他""
)"),"其他")</f>
        <v>其他</v>
      </c>
      <c r="K9265" s="270" t="str">
        <f t="shared" si="2"/>
        <v/>
      </c>
      <c r="L9265">
        <f t="shared" si="3"/>
        <v>0</v>
      </c>
    </row>
    <row r="9266">
      <c r="A9266" s="107"/>
      <c r="D9266" s="270"/>
      <c r="H9266" s="106" t="str">
        <f t="shared" si="1"/>
        <v/>
      </c>
      <c r="J9266" t="str">
        <f>IFERROR(__xludf.DUMMYFUNCTION("IFS(
  AND(REGEXMATCH(E9266, ""台銀籌備帳戶|玉山帳戶""), REGEXMATCH(C9266, ""薪資"")), ""分潤支出"",
  AND(REGEXMATCH(E9266, ""Ben帳戶|Elsa帳戶|Ben代墊|Ariel代墊|中信銀行共用""), REGEXMATCH(F9266, ""Ben帳戶|Elsa帳戶|Ben代墊|Ariel代墊|中信銀行共用"")), ""內部轉帳(忽略)"",
  AND(E9266&lt;&gt;"""", F9266&lt;&gt;"""", N"&amp;"OT(REGEXMATCH(C9266, ""薪資""))), ""內部轉帳(忽略)"",
  REGEXMATCH(C9266, ""薪資""), ""薪資變動(不計入)"",
  REGEXMATCH(C9266, ""押金""), ""押金往來"",
  AND(E9266&lt;&gt;"""", F9266=""""), ""真實支出"",
  AND(E9266="""", F9266&lt;&gt;""""), ""真實收入"",
  TRUE, ""其他""
)"),"其他")</f>
        <v>其他</v>
      </c>
      <c r="K9266" s="270" t="str">
        <f t="shared" si="2"/>
        <v/>
      </c>
      <c r="L9266">
        <f t="shared" si="3"/>
        <v>0</v>
      </c>
    </row>
    <row r="9267">
      <c r="A9267" s="107"/>
      <c r="D9267" s="270"/>
      <c r="H9267" s="106" t="str">
        <f t="shared" si="1"/>
        <v/>
      </c>
      <c r="J9267" t="str">
        <f>IFERROR(__xludf.DUMMYFUNCTION("IFS(
  AND(REGEXMATCH(E9267, ""台銀籌備帳戶|玉山帳戶""), REGEXMATCH(C9267, ""薪資"")), ""分潤支出"",
  AND(REGEXMATCH(E9267, ""Ben帳戶|Elsa帳戶|Ben代墊|Ariel代墊|中信銀行共用""), REGEXMATCH(F9267, ""Ben帳戶|Elsa帳戶|Ben代墊|Ariel代墊|中信銀行共用"")), ""內部轉帳(忽略)"",
  AND(E9267&lt;&gt;"""", F9267&lt;&gt;"""", N"&amp;"OT(REGEXMATCH(C9267, ""薪資""))), ""內部轉帳(忽略)"",
  REGEXMATCH(C9267, ""薪資""), ""薪資變動(不計入)"",
  REGEXMATCH(C9267, ""押金""), ""押金往來"",
  AND(E9267&lt;&gt;"""", F9267=""""), ""真實支出"",
  AND(E9267="""", F9267&lt;&gt;""""), ""真實收入"",
  TRUE, ""其他""
)"),"其他")</f>
        <v>其他</v>
      </c>
      <c r="K9267" s="270" t="str">
        <f t="shared" si="2"/>
        <v/>
      </c>
      <c r="L9267">
        <f t="shared" si="3"/>
        <v>0</v>
      </c>
    </row>
    <row r="9268">
      <c r="A9268" s="107"/>
      <c r="D9268" s="270"/>
      <c r="H9268" s="106" t="str">
        <f t="shared" si="1"/>
        <v/>
      </c>
      <c r="J9268" t="str">
        <f>IFERROR(__xludf.DUMMYFUNCTION("IFS(
  AND(REGEXMATCH(E9268, ""台銀籌備帳戶|玉山帳戶""), REGEXMATCH(C9268, ""薪資"")), ""分潤支出"",
  AND(REGEXMATCH(E9268, ""Ben帳戶|Elsa帳戶|Ben代墊|Ariel代墊|中信銀行共用""), REGEXMATCH(F9268, ""Ben帳戶|Elsa帳戶|Ben代墊|Ariel代墊|中信銀行共用"")), ""內部轉帳(忽略)"",
  AND(E9268&lt;&gt;"""", F9268&lt;&gt;"""", N"&amp;"OT(REGEXMATCH(C9268, ""薪資""))), ""內部轉帳(忽略)"",
  REGEXMATCH(C9268, ""薪資""), ""薪資變動(不計入)"",
  REGEXMATCH(C9268, ""押金""), ""押金往來"",
  AND(E9268&lt;&gt;"""", F9268=""""), ""真實支出"",
  AND(E9268="""", F9268&lt;&gt;""""), ""真實收入"",
  TRUE, ""其他""
)"),"其他")</f>
        <v>其他</v>
      </c>
      <c r="K9268" s="270" t="str">
        <f t="shared" si="2"/>
        <v/>
      </c>
      <c r="L9268">
        <f t="shared" si="3"/>
        <v>0</v>
      </c>
    </row>
    <row r="9269">
      <c r="A9269" s="107"/>
      <c r="D9269" s="270"/>
      <c r="H9269" s="106" t="str">
        <f t="shared" si="1"/>
        <v/>
      </c>
      <c r="J9269" t="str">
        <f>IFERROR(__xludf.DUMMYFUNCTION("IFS(
  AND(REGEXMATCH(E9269, ""台銀籌備帳戶|玉山帳戶""), REGEXMATCH(C9269, ""薪資"")), ""分潤支出"",
  AND(REGEXMATCH(E9269, ""Ben帳戶|Elsa帳戶|Ben代墊|Ariel代墊|中信銀行共用""), REGEXMATCH(F9269, ""Ben帳戶|Elsa帳戶|Ben代墊|Ariel代墊|中信銀行共用"")), ""內部轉帳(忽略)"",
  AND(E9269&lt;&gt;"""", F9269&lt;&gt;"""", N"&amp;"OT(REGEXMATCH(C9269, ""薪資""))), ""內部轉帳(忽略)"",
  REGEXMATCH(C9269, ""薪資""), ""薪資變動(不計入)"",
  REGEXMATCH(C9269, ""押金""), ""押金往來"",
  AND(E9269&lt;&gt;"""", F9269=""""), ""真實支出"",
  AND(E9269="""", F9269&lt;&gt;""""), ""真實收入"",
  TRUE, ""其他""
)"),"其他")</f>
        <v>其他</v>
      </c>
      <c r="K9269" s="270" t="str">
        <f t="shared" si="2"/>
        <v/>
      </c>
      <c r="L9269">
        <f t="shared" si="3"/>
        <v>0</v>
      </c>
    </row>
    <row r="9270">
      <c r="A9270" s="107"/>
      <c r="D9270" s="270"/>
      <c r="H9270" s="106" t="str">
        <f t="shared" si="1"/>
        <v/>
      </c>
      <c r="J9270" t="str">
        <f>IFERROR(__xludf.DUMMYFUNCTION("IFS(
  AND(REGEXMATCH(E9270, ""台銀籌備帳戶|玉山帳戶""), REGEXMATCH(C9270, ""薪資"")), ""分潤支出"",
  AND(REGEXMATCH(E9270, ""Ben帳戶|Elsa帳戶|Ben代墊|Ariel代墊|中信銀行共用""), REGEXMATCH(F9270, ""Ben帳戶|Elsa帳戶|Ben代墊|Ariel代墊|中信銀行共用"")), ""內部轉帳(忽略)"",
  AND(E9270&lt;&gt;"""", F9270&lt;&gt;"""", N"&amp;"OT(REGEXMATCH(C9270, ""薪資""))), ""內部轉帳(忽略)"",
  REGEXMATCH(C9270, ""薪資""), ""薪資變動(不計入)"",
  REGEXMATCH(C9270, ""押金""), ""押金往來"",
  AND(E9270&lt;&gt;"""", F9270=""""), ""真實支出"",
  AND(E9270="""", F9270&lt;&gt;""""), ""真實收入"",
  TRUE, ""其他""
)"),"其他")</f>
        <v>其他</v>
      </c>
      <c r="K9270" s="270" t="str">
        <f t="shared" si="2"/>
        <v/>
      </c>
      <c r="L9270">
        <f t="shared" si="3"/>
        <v>0</v>
      </c>
    </row>
    <row r="9271">
      <c r="A9271" s="107"/>
      <c r="D9271" s="270"/>
      <c r="H9271" s="106" t="str">
        <f t="shared" si="1"/>
        <v/>
      </c>
      <c r="J9271" t="str">
        <f>IFERROR(__xludf.DUMMYFUNCTION("IFS(
  AND(REGEXMATCH(E9271, ""台銀籌備帳戶|玉山帳戶""), REGEXMATCH(C9271, ""薪資"")), ""分潤支出"",
  AND(REGEXMATCH(E9271, ""Ben帳戶|Elsa帳戶|Ben代墊|Ariel代墊|中信銀行共用""), REGEXMATCH(F9271, ""Ben帳戶|Elsa帳戶|Ben代墊|Ariel代墊|中信銀行共用"")), ""內部轉帳(忽略)"",
  AND(E9271&lt;&gt;"""", F9271&lt;&gt;"""", N"&amp;"OT(REGEXMATCH(C9271, ""薪資""))), ""內部轉帳(忽略)"",
  REGEXMATCH(C9271, ""薪資""), ""薪資變動(不計入)"",
  REGEXMATCH(C9271, ""押金""), ""押金往來"",
  AND(E9271&lt;&gt;"""", F9271=""""), ""真實支出"",
  AND(E9271="""", F9271&lt;&gt;""""), ""真實收入"",
  TRUE, ""其他""
)"),"其他")</f>
        <v>其他</v>
      </c>
      <c r="K9271" s="270" t="str">
        <f t="shared" si="2"/>
        <v/>
      </c>
      <c r="L9271">
        <f t="shared" si="3"/>
        <v>0</v>
      </c>
    </row>
    <row r="9272">
      <c r="A9272" s="107"/>
      <c r="D9272" s="270"/>
      <c r="H9272" s="106" t="str">
        <f t="shared" si="1"/>
        <v/>
      </c>
      <c r="J9272" t="str">
        <f>IFERROR(__xludf.DUMMYFUNCTION("IFS(
  AND(REGEXMATCH(E9272, ""台銀籌備帳戶|玉山帳戶""), REGEXMATCH(C9272, ""薪資"")), ""分潤支出"",
  AND(REGEXMATCH(E9272, ""Ben帳戶|Elsa帳戶|Ben代墊|Ariel代墊|中信銀行共用""), REGEXMATCH(F9272, ""Ben帳戶|Elsa帳戶|Ben代墊|Ariel代墊|中信銀行共用"")), ""內部轉帳(忽略)"",
  AND(E9272&lt;&gt;"""", F9272&lt;&gt;"""", N"&amp;"OT(REGEXMATCH(C9272, ""薪資""))), ""內部轉帳(忽略)"",
  REGEXMATCH(C9272, ""薪資""), ""薪資變動(不計入)"",
  REGEXMATCH(C9272, ""押金""), ""押金往來"",
  AND(E9272&lt;&gt;"""", F9272=""""), ""真實支出"",
  AND(E9272="""", F9272&lt;&gt;""""), ""真實收入"",
  TRUE, ""其他""
)"),"其他")</f>
        <v>其他</v>
      </c>
      <c r="K9272" s="270" t="str">
        <f t="shared" si="2"/>
        <v/>
      </c>
      <c r="L9272">
        <f t="shared" si="3"/>
        <v>0</v>
      </c>
    </row>
    <row r="9273">
      <c r="A9273" s="107"/>
      <c r="D9273" s="270"/>
      <c r="H9273" s="106" t="str">
        <f t="shared" si="1"/>
        <v/>
      </c>
      <c r="J9273" t="str">
        <f>IFERROR(__xludf.DUMMYFUNCTION("IFS(
  AND(REGEXMATCH(E9273, ""台銀籌備帳戶|玉山帳戶""), REGEXMATCH(C9273, ""薪資"")), ""分潤支出"",
  AND(REGEXMATCH(E9273, ""Ben帳戶|Elsa帳戶|Ben代墊|Ariel代墊|中信銀行共用""), REGEXMATCH(F9273, ""Ben帳戶|Elsa帳戶|Ben代墊|Ariel代墊|中信銀行共用"")), ""內部轉帳(忽略)"",
  AND(E9273&lt;&gt;"""", F9273&lt;&gt;"""", N"&amp;"OT(REGEXMATCH(C9273, ""薪資""))), ""內部轉帳(忽略)"",
  REGEXMATCH(C9273, ""薪資""), ""薪資變動(不計入)"",
  REGEXMATCH(C9273, ""押金""), ""押金往來"",
  AND(E9273&lt;&gt;"""", F9273=""""), ""真實支出"",
  AND(E9273="""", F9273&lt;&gt;""""), ""真實收入"",
  TRUE, ""其他""
)"),"其他")</f>
        <v>其他</v>
      </c>
      <c r="K9273" s="270" t="str">
        <f t="shared" si="2"/>
        <v/>
      </c>
      <c r="L9273">
        <f t="shared" si="3"/>
        <v>0</v>
      </c>
    </row>
    <row r="9274">
      <c r="A9274" s="107"/>
      <c r="D9274" s="270"/>
      <c r="H9274" s="106" t="str">
        <f t="shared" si="1"/>
        <v/>
      </c>
      <c r="J9274" t="str">
        <f>IFERROR(__xludf.DUMMYFUNCTION("IFS(
  AND(REGEXMATCH(E9274, ""台銀籌備帳戶|玉山帳戶""), REGEXMATCH(C9274, ""薪資"")), ""分潤支出"",
  AND(REGEXMATCH(E9274, ""Ben帳戶|Elsa帳戶|Ben代墊|Ariel代墊|中信銀行共用""), REGEXMATCH(F9274, ""Ben帳戶|Elsa帳戶|Ben代墊|Ariel代墊|中信銀行共用"")), ""內部轉帳(忽略)"",
  AND(E9274&lt;&gt;"""", F9274&lt;&gt;"""", N"&amp;"OT(REGEXMATCH(C9274, ""薪資""))), ""內部轉帳(忽略)"",
  REGEXMATCH(C9274, ""薪資""), ""薪資變動(不計入)"",
  REGEXMATCH(C9274, ""押金""), ""押金往來"",
  AND(E9274&lt;&gt;"""", F9274=""""), ""真實支出"",
  AND(E9274="""", F9274&lt;&gt;""""), ""真實收入"",
  TRUE, ""其他""
)"),"其他")</f>
        <v>其他</v>
      </c>
      <c r="K9274" s="270" t="str">
        <f t="shared" si="2"/>
        <v/>
      </c>
      <c r="L9274">
        <f t="shared" si="3"/>
        <v>0</v>
      </c>
    </row>
    <row r="9275">
      <c r="A9275" s="107"/>
      <c r="D9275" s="270"/>
      <c r="H9275" s="106" t="str">
        <f t="shared" si="1"/>
        <v/>
      </c>
      <c r="J9275" t="str">
        <f>IFERROR(__xludf.DUMMYFUNCTION("IFS(
  AND(REGEXMATCH(E9275, ""台銀籌備帳戶|玉山帳戶""), REGEXMATCH(C9275, ""薪資"")), ""分潤支出"",
  AND(REGEXMATCH(E9275, ""Ben帳戶|Elsa帳戶|Ben代墊|Ariel代墊|中信銀行共用""), REGEXMATCH(F9275, ""Ben帳戶|Elsa帳戶|Ben代墊|Ariel代墊|中信銀行共用"")), ""內部轉帳(忽略)"",
  AND(E9275&lt;&gt;"""", F9275&lt;&gt;"""", N"&amp;"OT(REGEXMATCH(C9275, ""薪資""))), ""內部轉帳(忽略)"",
  REGEXMATCH(C9275, ""薪資""), ""薪資變動(不計入)"",
  REGEXMATCH(C9275, ""押金""), ""押金往來"",
  AND(E9275&lt;&gt;"""", F9275=""""), ""真實支出"",
  AND(E9275="""", F9275&lt;&gt;""""), ""真實收入"",
  TRUE, ""其他""
)"),"其他")</f>
        <v>其他</v>
      </c>
      <c r="K9275" s="270" t="str">
        <f t="shared" si="2"/>
        <v/>
      </c>
      <c r="L9275">
        <f t="shared" si="3"/>
        <v>0</v>
      </c>
    </row>
    <row r="9276">
      <c r="A9276" s="107"/>
      <c r="D9276" s="270"/>
      <c r="H9276" s="106" t="str">
        <f t="shared" si="1"/>
        <v/>
      </c>
      <c r="J9276" t="str">
        <f>IFERROR(__xludf.DUMMYFUNCTION("IFS(
  AND(REGEXMATCH(E9276, ""台銀籌備帳戶|玉山帳戶""), REGEXMATCH(C9276, ""薪資"")), ""分潤支出"",
  AND(REGEXMATCH(E9276, ""Ben帳戶|Elsa帳戶|Ben代墊|Ariel代墊|中信銀行共用""), REGEXMATCH(F9276, ""Ben帳戶|Elsa帳戶|Ben代墊|Ariel代墊|中信銀行共用"")), ""內部轉帳(忽略)"",
  AND(E9276&lt;&gt;"""", F9276&lt;&gt;"""", N"&amp;"OT(REGEXMATCH(C9276, ""薪資""))), ""內部轉帳(忽略)"",
  REGEXMATCH(C9276, ""薪資""), ""薪資變動(不計入)"",
  REGEXMATCH(C9276, ""押金""), ""押金往來"",
  AND(E9276&lt;&gt;"""", F9276=""""), ""真實支出"",
  AND(E9276="""", F9276&lt;&gt;""""), ""真實收入"",
  TRUE, ""其他""
)"),"其他")</f>
        <v>其他</v>
      </c>
      <c r="K9276" s="270" t="str">
        <f t="shared" si="2"/>
        <v/>
      </c>
      <c r="L9276">
        <f t="shared" si="3"/>
        <v>0</v>
      </c>
    </row>
    <row r="9277">
      <c r="A9277" s="107"/>
      <c r="D9277" s="270"/>
      <c r="H9277" s="106" t="str">
        <f t="shared" si="1"/>
        <v/>
      </c>
      <c r="J9277" t="str">
        <f>IFERROR(__xludf.DUMMYFUNCTION("IFS(
  AND(REGEXMATCH(E9277, ""台銀籌備帳戶|玉山帳戶""), REGEXMATCH(C9277, ""薪資"")), ""分潤支出"",
  AND(REGEXMATCH(E9277, ""Ben帳戶|Elsa帳戶|Ben代墊|Ariel代墊|中信銀行共用""), REGEXMATCH(F9277, ""Ben帳戶|Elsa帳戶|Ben代墊|Ariel代墊|中信銀行共用"")), ""內部轉帳(忽略)"",
  AND(E9277&lt;&gt;"""", F9277&lt;&gt;"""", N"&amp;"OT(REGEXMATCH(C9277, ""薪資""))), ""內部轉帳(忽略)"",
  REGEXMATCH(C9277, ""薪資""), ""薪資變動(不計入)"",
  REGEXMATCH(C9277, ""押金""), ""押金往來"",
  AND(E9277&lt;&gt;"""", F9277=""""), ""真實支出"",
  AND(E9277="""", F9277&lt;&gt;""""), ""真實收入"",
  TRUE, ""其他""
)"),"其他")</f>
        <v>其他</v>
      </c>
      <c r="K9277" s="270" t="str">
        <f t="shared" si="2"/>
        <v/>
      </c>
      <c r="L9277">
        <f t="shared" si="3"/>
        <v>0</v>
      </c>
    </row>
    <row r="9278">
      <c r="A9278" s="107"/>
      <c r="D9278" s="270"/>
      <c r="H9278" s="106" t="str">
        <f t="shared" si="1"/>
        <v/>
      </c>
      <c r="J9278" t="str">
        <f>IFERROR(__xludf.DUMMYFUNCTION("IFS(
  AND(REGEXMATCH(E9278, ""台銀籌備帳戶|玉山帳戶""), REGEXMATCH(C9278, ""薪資"")), ""分潤支出"",
  AND(REGEXMATCH(E9278, ""Ben帳戶|Elsa帳戶|Ben代墊|Ariel代墊|中信銀行共用""), REGEXMATCH(F9278, ""Ben帳戶|Elsa帳戶|Ben代墊|Ariel代墊|中信銀行共用"")), ""內部轉帳(忽略)"",
  AND(E9278&lt;&gt;"""", F9278&lt;&gt;"""", N"&amp;"OT(REGEXMATCH(C9278, ""薪資""))), ""內部轉帳(忽略)"",
  REGEXMATCH(C9278, ""薪資""), ""薪資變動(不計入)"",
  REGEXMATCH(C9278, ""押金""), ""押金往來"",
  AND(E9278&lt;&gt;"""", F9278=""""), ""真實支出"",
  AND(E9278="""", F9278&lt;&gt;""""), ""真實收入"",
  TRUE, ""其他""
)"),"其他")</f>
        <v>其他</v>
      </c>
      <c r="K9278" s="270" t="str">
        <f t="shared" si="2"/>
        <v/>
      </c>
      <c r="L9278">
        <f t="shared" si="3"/>
        <v>0</v>
      </c>
    </row>
    <row r="9279">
      <c r="A9279" s="107"/>
      <c r="D9279" s="270"/>
      <c r="H9279" s="106" t="str">
        <f t="shared" si="1"/>
        <v/>
      </c>
      <c r="J9279" t="str">
        <f>IFERROR(__xludf.DUMMYFUNCTION("IFS(
  AND(REGEXMATCH(E9279, ""台銀籌備帳戶|玉山帳戶""), REGEXMATCH(C9279, ""薪資"")), ""分潤支出"",
  AND(REGEXMATCH(E9279, ""Ben帳戶|Elsa帳戶|Ben代墊|Ariel代墊|中信銀行共用""), REGEXMATCH(F9279, ""Ben帳戶|Elsa帳戶|Ben代墊|Ariel代墊|中信銀行共用"")), ""內部轉帳(忽略)"",
  AND(E9279&lt;&gt;"""", F9279&lt;&gt;"""", N"&amp;"OT(REGEXMATCH(C9279, ""薪資""))), ""內部轉帳(忽略)"",
  REGEXMATCH(C9279, ""薪資""), ""薪資變動(不計入)"",
  REGEXMATCH(C9279, ""押金""), ""押金往來"",
  AND(E9279&lt;&gt;"""", F9279=""""), ""真實支出"",
  AND(E9279="""", F9279&lt;&gt;""""), ""真實收入"",
  TRUE, ""其他""
)"),"其他")</f>
        <v>其他</v>
      </c>
      <c r="K9279" s="270" t="str">
        <f t="shared" si="2"/>
        <v/>
      </c>
      <c r="L9279">
        <f t="shared" si="3"/>
        <v>0</v>
      </c>
    </row>
    <row r="9280">
      <c r="A9280" s="107"/>
      <c r="D9280" s="270"/>
      <c r="H9280" s="106" t="str">
        <f t="shared" si="1"/>
        <v/>
      </c>
      <c r="J9280" t="str">
        <f>IFERROR(__xludf.DUMMYFUNCTION("IFS(
  AND(REGEXMATCH(E9280, ""台銀籌備帳戶|玉山帳戶""), REGEXMATCH(C9280, ""薪資"")), ""分潤支出"",
  AND(REGEXMATCH(E9280, ""Ben帳戶|Elsa帳戶|Ben代墊|Ariel代墊|中信銀行共用""), REGEXMATCH(F9280, ""Ben帳戶|Elsa帳戶|Ben代墊|Ariel代墊|中信銀行共用"")), ""內部轉帳(忽略)"",
  AND(E9280&lt;&gt;"""", F9280&lt;&gt;"""", N"&amp;"OT(REGEXMATCH(C9280, ""薪資""))), ""內部轉帳(忽略)"",
  REGEXMATCH(C9280, ""薪資""), ""薪資變動(不計入)"",
  REGEXMATCH(C9280, ""押金""), ""押金往來"",
  AND(E9280&lt;&gt;"""", F9280=""""), ""真實支出"",
  AND(E9280="""", F9280&lt;&gt;""""), ""真實收入"",
  TRUE, ""其他""
)"),"其他")</f>
        <v>其他</v>
      </c>
      <c r="K9280" s="270" t="str">
        <f t="shared" si="2"/>
        <v/>
      </c>
      <c r="L9280">
        <f t="shared" si="3"/>
        <v>0</v>
      </c>
    </row>
    <row r="9281">
      <c r="A9281" s="107"/>
      <c r="D9281" s="270"/>
      <c r="H9281" s="106" t="str">
        <f t="shared" si="1"/>
        <v/>
      </c>
      <c r="J9281" t="str">
        <f>IFERROR(__xludf.DUMMYFUNCTION("IFS(
  AND(REGEXMATCH(E9281, ""台銀籌備帳戶|玉山帳戶""), REGEXMATCH(C9281, ""薪資"")), ""分潤支出"",
  AND(REGEXMATCH(E9281, ""Ben帳戶|Elsa帳戶|Ben代墊|Ariel代墊|中信銀行共用""), REGEXMATCH(F9281, ""Ben帳戶|Elsa帳戶|Ben代墊|Ariel代墊|中信銀行共用"")), ""內部轉帳(忽略)"",
  AND(E9281&lt;&gt;"""", F9281&lt;&gt;"""", N"&amp;"OT(REGEXMATCH(C9281, ""薪資""))), ""內部轉帳(忽略)"",
  REGEXMATCH(C9281, ""薪資""), ""薪資變動(不計入)"",
  REGEXMATCH(C9281, ""押金""), ""押金往來"",
  AND(E9281&lt;&gt;"""", F9281=""""), ""真實支出"",
  AND(E9281="""", F9281&lt;&gt;""""), ""真實收入"",
  TRUE, ""其他""
)"),"其他")</f>
        <v>其他</v>
      </c>
      <c r="K9281" s="270" t="str">
        <f t="shared" si="2"/>
        <v/>
      </c>
      <c r="L9281">
        <f t="shared" si="3"/>
        <v>0</v>
      </c>
    </row>
    <row r="9282">
      <c r="A9282" s="107"/>
      <c r="D9282" s="270"/>
      <c r="H9282" s="106" t="str">
        <f t="shared" si="1"/>
        <v/>
      </c>
      <c r="J9282" t="str">
        <f>IFERROR(__xludf.DUMMYFUNCTION("IFS(
  AND(REGEXMATCH(E9282, ""台銀籌備帳戶|玉山帳戶""), REGEXMATCH(C9282, ""薪資"")), ""分潤支出"",
  AND(REGEXMATCH(E9282, ""Ben帳戶|Elsa帳戶|Ben代墊|Ariel代墊|中信銀行共用""), REGEXMATCH(F9282, ""Ben帳戶|Elsa帳戶|Ben代墊|Ariel代墊|中信銀行共用"")), ""內部轉帳(忽略)"",
  AND(E9282&lt;&gt;"""", F9282&lt;&gt;"""", N"&amp;"OT(REGEXMATCH(C9282, ""薪資""))), ""內部轉帳(忽略)"",
  REGEXMATCH(C9282, ""薪資""), ""薪資變動(不計入)"",
  REGEXMATCH(C9282, ""押金""), ""押金往來"",
  AND(E9282&lt;&gt;"""", F9282=""""), ""真實支出"",
  AND(E9282="""", F9282&lt;&gt;""""), ""真實收入"",
  TRUE, ""其他""
)"),"其他")</f>
        <v>其他</v>
      </c>
      <c r="K9282" s="270" t="str">
        <f t="shared" si="2"/>
        <v/>
      </c>
      <c r="L9282">
        <f t="shared" si="3"/>
        <v>0</v>
      </c>
    </row>
    <row r="9283">
      <c r="A9283" s="107"/>
      <c r="D9283" s="270"/>
      <c r="H9283" s="106" t="str">
        <f t="shared" si="1"/>
        <v/>
      </c>
      <c r="J9283" t="str">
        <f>IFERROR(__xludf.DUMMYFUNCTION("IFS(
  AND(REGEXMATCH(E9283, ""台銀籌備帳戶|玉山帳戶""), REGEXMATCH(C9283, ""薪資"")), ""分潤支出"",
  AND(REGEXMATCH(E9283, ""Ben帳戶|Elsa帳戶|Ben代墊|Ariel代墊|中信銀行共用""), REGEXMATCH(F9283, ""Ben帳戶|Elsa帳戶|Ben代墊|Ariel代墊|中信銀行共用"")), ""內部轉帳(忽略)"",
  AND(E9283&lt;&gt;"""", F9283&lt;&gt;"""", N"&amp;"OT(REGEXMATCH(C9283, ""薪資""))), ""內部轉帳(忽略)"",
  REGEXMATCH(C9283, ""薪資""), ""薪資變動(不計入)"",
  REGEXMATCH(C9283, ""押金""), ""押金往來"",
  AND(E9283&lt;&gt;"""", F9283=""""), ""真實支出"",
  AND(E9283="""", F9283&lt;&gt;""""), ""真實收入"",
  TRUE, ""其他""
)"),"其他")</f>
        <v>其他</v>
      </c>
      <c r="K9283" s="270" t="str">
        <f t="shared" si="2"/>
        <v/>
      </c>
      <c r="L9283">
        <f t="shared" si="3"/>
        <v>0</v>
      </c>
    </row>
    <row r="9284">
      <c r="A9284" s="107"/>
      <c r="D9284" s="270"/>
      <c r="H9284" s="106" t="str">
        <f t="shared" si="1"/>
        <v/>
      </c>
      <c r="J9284" t="str">
        <f>IFERROR(__xludf.DUMMYFUNCTION("IFS(
  AND(REGEXMATCH(E9284, ""台銀籌備帳戶|玉山帳戶""), REGEXMATCH(C9284, ""薪資"")), ""分潤支出"",
  AND(REGEXMATCH(E9284, ""Ben帳戶|Elsa帳戶|Ben代墊|Ariel代墊|中信銀行共用""), REGEXMATCH(F9284, ""Ben帳戶|Elsa帳戶|Ben代墊|Ariel代墊|中信銀行共用"")), ""內部轉帳(忽略)"",
  AND(E9284&lt;&gt;"""", F9284&lt;&gt;"""", N"&amp;"OT(REGEXMATCH(C9284, ""薪資""))), ""內部轉帳(忽略)"",
  REGEXMATCH(C9284, ""薪資""), ""薪資變動(不計入)"",
  REGEXMATCH(C9284, ""押金""), ""押金往來"",
  AND(E9284&lt;&gt;"""", F9284=""""), ""真實支出"",
  AND(E9284="""", F9284&lt;&gt;""""), ""真實收入"",
  TRUE, ""其他""
)"),"其他")</f>
        <v>其他</v>
      </c>
      <c r="K9284" s="270" t="str">
        <f t="shared" si="2"/>
        <v/>
      </c>
      <c r="L9284">
        <f t="shared" si="3"/>
        <v>0</v>
      </c>
    </row>
    <row r="9285">
      <c r="A9285" s="107"/>
      <c r="D9285" s="270"/>
      <c r="H9285" s="106" t="str">
        <f t="shared" si="1"/>
        <v/>
      </c>
      <c r="J9285" t="str">
        <f>IFERROR(__xludf.DUMMYFUNCTION("IFS(
  AND(REGEXMATCH(E9285, ""台銀籌備帳戶|玉山帳戶""), REGEXMATCH(C9285, ""薪資"")), ""分潤支出"",
  AND(REGEXMATCH(E9285, ""Ben帳戶|Elsa帳戶|Ben代墊|Ariel代墊|中信銀行共用""), REGEXMATCH(F9285, ""Ben帳戶|Elsa帳戶|Ben代墊|Ariel代墊|中信銀行共用"")), ""內部轉帳(忽略)"",
  AND(E9285&lt;&gt;"""", F9285&lt;&gt;"""", N"&amp;"OT(REGEXMATCH(C9285, ""薪資""))), ""內部轉帳(忽略)"",
  REGEXMATCH(C9285, ""薪資""), ""薪資變動(不計入)"",
  REGEXMATCH(C9285, ""押金""), ""押金往來"",
  AND(E9285&lt;&gt;"""", F9285=""""), ""真實支出"",
  AND(E9285="""", F9285&lt;&gt;""""), ""真實收入"",
  TRUE, ""其他""
)"),"其他")</f>
        <v>其他</v>
      </c>
      <c r="K9285" s="270" t="str">
        <f t="shared" si="2"/>
        <v/>
      </c>
      <c r="L9285">
        <f t="shared" si="3"/>
        <v>0</v>
      </c>
    </row>
    <row r="9286">
      <c r="A9286" s="107"/>
      <c r="D9286" s="270"/>
      <c r="H9286" s="106" t="str">
        <f t="shared" si="1"/>
        <v/>
      </c>
      <c r="J9286" t="str">
        <f>IFERROR(__xludf.DUMMYFUNCTION("IFS(
  AND(REGEXMATCH(E9286, ""台銀籌備帳戶|玉山帳戶""), REGEXMATCH(C9286, ""薪資"")), ""分潤支出"",
  AND(REGEXMATCH(E9286, ""Ben帳戶|Elsa帳戶|Ben代墊|Ariel代墊|中信銀行共用""), REGEXMATCH(F9286, ""Ben帳戶|Elsa帳戶|Ben代墊|Ariel代墊|中信銀行共用"")), ""內部轉帳(忽略)"",
  AND(E9286&lt;&gt;"""", F9286&lt;&gt;"""", N"&amp;"OT(REGEXMATCH(C9286, ""薪資""))), ""內部轉帳(忽略)"",
  REGEXMATCH(C9286, ""薪資""), ""薪資變動(不計入)"",
  REGEXMATCH(C9286, ""押金""), ""押金往來"",
  AND(E9286&lt;&gt;"""", F9286=""""), ""真實支出"",
  AND(E9286="""", F9286&lt;&gt;""""), ""真實收入"",
  TRUE, ""其他""
)"),"其他")</f>
        <v>其他</v>
      </c>
      <c r="K9286" s="270" t="str">
        <f t="shared" si="2"/>
        <v/>
      </c>
      <c r="L9286">
        <f t="shared" si="3"/>
        <v>0</v>
      </c>
    </row>
    <row r="9287">
      <c r="A9287" s="107"/>
      <c r="D9287" s="270"/>
      <c r="H9287" s="106" t="str">
        <f t="shared" si="1"/>
        <v/>
      </c>
      <c r="J9287" t="str">
        <f>IFERROR(__xludf.DUMMYFUNCTION("IFS(
  AND(REGEXMATCH(E9287, ""台銀籌備帳戶|玉山帳戶""), REGEXMATCH(C9287, ""薪資"")), ""分潤支出"",
  AND(REGEXMATCH(E9287, ""Ben帳戶|Elsa帳戶|Ben代墊|Ariel代墊|中信銀行共用""), REGEXMATCH(F9287, ""Ben帳戶|Elsa帳戶|Ben代墊|Ariel代墊|中信銀行共用"")), ""內部轉帳(忽略)"",
  AND(E9287&lt;&gt;"""", F9287&lt;&gt;"""", N"&amp;"OT(REGEXMATCH(C9287, ""薪資""))), ""內部轉帳(忽略)"",
  REGEXMATCH(C9287, ""薪資""), ""薪資變動(不計入)"",
  REGEXMATCH(C9287, ""押金""), ""押金往來"",
  AND(E9287&lt;&gt;"""", F9287=""""), ""真實支出"",
  AND(E9287="""", F9287&lt;&gt;""""), ""真實收入"",
  TRUE, ""其他""
)"),"其他")</f>
        <v>其他</v>
      </c>
      <c r="K9287" s="270" t="str">
        <f t="shared" si="2"/>
        <v/>
      </c>
      <c r="L9287">
        <f t="shared" si="3"/>
        <v>0</v>
      </c>
    </row>
    <row r="9288">
      <c r="A9288" s="107"/>
      <c r="D9288" s="270"/>
      <c r="H9288" s="106" t="str">
        <f t="shared" si="1"/>
        <v/>
      </c>
      <c r="J9288" t="str">
        <f>IFERROR(__xludf.DUMMYFUNCTION("IFS(
  AND(REGEXMATCH(E9288, ""台銀籌備帳戶|玉山帳戶""), REGEXMATCH(C9288, ""薪資"")), ""分潤支出"",
  AND(REGEXMATCH(E9288, ""Ben帳戶|Elsa帳戶|Ben代墊|Ariel代墊|中信銀行共用""), REGEXMATCH(F9288, ""Ben帳戶|Elsa帳戶|Ben代墊|Ariel代墊|中信銀行共用"")), ""內部轉帳(忽略)"",
  AND(E9288&lt;&gt;"""", F9288&lt;&gt;"""", N"&amp;"OT(REGEXMATCH(C9288, ""薪資""))), ""內部轉帳(忽略)"",
  REGEXMATCH(C9288, ""薪資""), ""薪資變動(不計入)"",
  REGEXMATCH(C9288, ""押金""), ""押金往來"",
  AND(E9288&lt;&gt;"""", F9288=""""), ""真實支出"",
  AND(E9288="""", F9288&lt;&gt;""""), ""真實收入"",
  TRUE, ""其他""
)"),"其他")</f>
        <v>其他</v>
      </c>
      <c r="K9288" s="270" t="str">
        <f t="shared" si="2"/>
        <v/>
      </c>
      <c r="L9288">
        <f t="shared" si="3"/>
        <v>0</v>
      </c>
    </row>
    <row r="9289">
      <c r="A9289" s="107"/>
      <c r="D9289" s="270"/>
      <c r="H9289" s="106" t="str">
        <f t="shared" si="1"/>
        <v/>
      </c>
      <c r="J9289" t="str">
        <f>IFERROR(__xludf.DUMMYFUNCTION("IFS(
  AND(REGEXMATCH(E9289, ""台銀籌備帳戶|玉山帳戶""), REGEXMATCH(C9289, ""薪資"")), ""分潤支出"",
  AND(REGEXMATCH(E9289, ""Ben帳戶|Elsa帳戶|Ben代墊|Ariel代墊|中信銀行共用""), REGEXMATCH(F9289, ""Ben帳戶|Elsa帳戶|Ben代墊|Ariel代墊|中信銀行共用"")), ""內部轉帳(忽略)"",
  AND(E9289&lt;&gt;"""", F9289&lt;&gt;"""", N"&amp;"OT(REGEXMATCH(C9289, ""薪資""))), ""內部轉帳(忽略)"",
  REGEXMATCH(C9289, ""薪資""), ""薪資變動(不計入)"",
  REGEXMATCH(C9289, ""押金""), ""押金往來"",
  AND(E9289&lt;&gt;"""", F9289=""""), ""真實支出"",
  AND(E9289="""", F9289&lt;&gt;""""), ""真實收入"",
  TRUE, ""其他""
)"),"其他")</f>
        <v>其他</v>
      </c>
      <c r="K9289" s="270" t="str">
        <f t="shared" si="2"/>
        <v/>
      </c>
      <c r="L9289">
        <f t="shared" si="3"/>
        <v>0</v>
      </c>
    </row>
    <row r="9290">
      <c r="A9290" s="107"/>
      <c r="D9290" s="270"/>
      <c r="H9290" s="106" t="str">
        <f t="shared" si="1"/>
        <v/>
      </c>
      <c r="J9290" t="str">
        <f>IFERROR(__xludf.DUMMYFUNCTION("IFS(
  AND(REGEXMATCH(E9290, ""台銀籌備帳戶|玉山帳戶""), REGEXMATCH(C9290, ""薪資"")), ""分潤支出"",
  AND(REGEXMATCH(E9290, ""Ben帳戶|Elsa帳戶|Ben代墊|Ariel代墊|中信銀行共用""), REGEXMATCH(F9290, ""Ben帳戶|Elsa帳戶|Ben代墊|Ariel代墊|中信銀行共用"")), ""內部轉帳(忽略)"",
  AND(E9290&lt;&gt;"""", F9290&lt;&gt;"""", N"&amp;"OT(REGEXMATCH(C9290, ""薪資""))), ""內部轉帳(忽略)"",
  REGEXMATCH(C9290, ""薪資""), ""薪資變動(不計入)"",
  REGEXMATCH(C9290, ""押金""), ""押金往來"",
  AND(E9290&lt;&gt;"""", F9290=""""), ""真實支出"",
  AND(E9290="""", F9290&lt;&gt;""""), ""真實收入"",
  TRUE, ""其他""
)"),"其他")</f>
        <v>其他</v>
      </c>
      <c r="K9290" s="270" t="str">
        <f t="shared" si="2"/>
        <v/>
      </c>
      <c r="L9290">
        <f t="shared" si="3"/>
        <v>0</v>
      </c>
    </row>
    <row r="9291">
      <c r="A9291" s="107"/>
      <c r="D9291" s="270"/>
      <c r="H9291" s="106" t="str">
        <f t="shared" si="1"/>
        <v/>
      </c>
      <c r="J9291" t="str">
        <f>IFERROR(__xludf.DUMMYFUNCTION("IFS(
  AND(REGEXMATCH(E9291, ""台銀籌備帳戶|玉山帳戶""), REGEXMATCH(C9291, ""薪資"")), ""分潤支出"",
  AND(REGEXMATCH(E9291, ""Ben帳戶|Elsa帳戶|Ben代墊|Ariel代墊|中信銀行共用""), REGEXMATCH(F9291, ""Ben帳戶|Elsa帳戶|Ben代墊|Ariel代墊|中信銀行共用"")), ""內部轉帳(忽略)"",
  AND(E9291&lt;&gt;"""", F9291&lt;&gt;"""", N"&amp;"OT(REGEXMATCH(C9291, ""薪資""))), ""內部轉帳(忽略)"",
  REGEXMATCH(C9291, ""薪資""), ""薪資變動(不計入)"",
  REGEXMATCH(C9291, ""押金""), ""押金往來"",
  AND(E9291&lt;&gt;"""", F9291=""""), ""真實支出"",
  AND(E9291="""", F9291&lt;&gt;""""), ""真實收入"",
  TRUE, ""其他""
)"),"其他")</f>
        <v>其他</v>
      </c>
      <c r="K9291" s="270" t="str">
        <f t="shared" si="2"/>
        <v/>
      </c>
      <c r="L9291">
        <f t="shared" si="3"/>
        <v>0</v>
      </c>
    </row>
    <row r="9292">
      <c r="A9292" s="107"/>
      <c r="D9292" s="270"/>
      <c r="H9292" s="106" t="str">
        <f t="shared" si="1"/>
        <v/>
      </c>
      <c r="J9292" t="str">
        <f>IFERROR(__xludf.DUMMYFUNCTION("IFS(
  AND(REGEXMATCH(E9292, ""台銀籌備帳戶|玉山帳戶""), REGEXMATCH(C9292, ""薪資"")), ""分潤支出"",
  AND(REGEXMATCH(E9292, ""Ben帳戶|Elsa帳戶|Ben代墊|Ariel代墊|中信銀行共用""), REGEXMATCH(F9292, ""Ben帳戶|Elsa帳戶|Ben代墊|Ariel代墊|中信銀行共用"")), ""內部轉帳(忽略)"",
  AND(E9292&lt;&gt;"""", F9292&lt;&gt;"""", N"&amp;"OT(REGEXMATCH(C9292, ""薪資""))), ""內部轉帳(忽略)"",
  REGEXMATCH(C9292, ""薪資""), ""薪資變動(不計入)"",
  REGEXMATCH(C9292, ""押金""), ""押金往來"",
  AND(E9292&lt;&gt;"""", F9292=""""), ""真實支出"",
  AND(E9292="""", F9292&lt;&gt;""""), ""真實收入"",
  TRUE, ""其他""
)"),"其他")</f>
        <v>其他</v>
      </c>
      <c r="K9292" s="270" t="str">
        <f t="shared" si="2"/>
        <v/>
      </c>
      <c r="L9292">
        <f t="shared" si="3"/>
        <v>0</v>
      </c>
    </row>
    <row r="9293">
      <c r="A9293" s="107"/>
      <c r="D9293" s="270"/>
      <c r="H9293" s="106" t="str">
        <f t="shared" si="1"/>
        <v/>
      </c>
      <c r="J9293" t="str">
        <f>IFERROR(__xludf.DUMMYFUNCTION("IFS(
  AND(REGEXMATCH(E9293, ""台銀籌備帳戶|玉山帳戶""), REGEXMATCH(C9293, ""薪資"")), ""分潤支出"",
  AND(REGEXMATCH(E9293, ""Ben帳戶|Elsa帳戶|Ben代墊|Ariel代墊|中信銀行共用""), REGEXMATCH(F9293, ""Ben帳戶|Elsa帳戶|Ben代墊|Ariel代墊|中信銀行共用"")), ""內部轉帳(忽略)"",
  AND(E9293&lt;&gt;"""", F9293&lt;&gt;"""", N"&amp;"OT(REGEXMATCH(C9293, ""薪資""))), ""內部轉帳(忽略)"",
  REGEXMATCH(C9293, ""薪資""), ""薪資變動(不計入)"",
  REGEXMATCH(C9293, ""押金""), ""押金往來"",
  AND(E9293&lt;&gt;"""", F9293=""""), ""真實支出"",
  AND(E9293="""", F9293&lt;&gt;""""), ""真實收入"",
  TRUE, ""其他""
)"),"其他")</f>
        <v>其他</v>
      </c>
      <c r="K9293" s="270" t="str">
        <f t="shared" si="2"/>
        <v/>
      </c>
      <c r="L9293">
        <f t="shared" si="3"/>
        <v>0</v>
      </c>
    </row>
    <row r="9294">
      <c r="A9294" s="107"/>
      <c r="D9294" s="270"/>
      <c r="H9294" s="106" t="str">
        <f t="shared" si="1"/>
        <v/>
      </c>
      <c r="J9294" t="str">
        <f>IFERROR(__xludf.DUMMYFUNCTION("IFS(
  AND(REGEXMATCH(E9294, ""台銀籌備帳戶|玉山帳戶""), REGEXMATCH(C9294, ""薪資"")), ""分潤支出"",
  AND(REGEXMATCH(E9294, ""Ben帳戶|Elsa帳戶|Ben代墊|Ariel代墊|中信銀行共用""), REGEXMATCH(F9294, ""Ben帳戶|Elsa帳戶|Ben代墊|Ariel代墊|中信銀行共用"")), ""內部轉帳(忽略)"",
  AND(E9294&lt;&gt;"""", F9294&lt;&gt;"""", N"&amp;"OT(REGEXMATCH(C9294, ""薪資""))), ""內部轉帳(忽略)"",
  REGEXMATCH(C9294, ""薪資""), ""薪資變動(不計入)"",
  REGEXMATCH(C9294, ""押金""), ""押金往來"",
  AND(E9294&lt;&gt;"""", F9294=""""), ""真實支出"",
  AND(E9294="""", F9294&lt;&gt;""""), ""真實收入"",
  TRUE, ""其他""
)"),"其他")</f>
        <v>其他</v>
      </c>
      <c r="K9294" s="270" t="str">
        <f t="shared" si="2"/>
        <v/>
      </c>
      <c r="L9294">
        <f t="shared" si="3"/>
        <v>0</v>
      </c>
    </row>
    <row r="9295">
      <c r="A9295" s="107"/>
      <c r="D9295" s="270"/>
      <c r="H9295" s="106" t="str">
        <f t="shared" si="1"/>
        <v/>
      </c>
      <c r="J9295" t="str">
        <f>IFERROR(__xludf.DUMMYFUNCTION("IFS(
  AND(REGEXMATCH(E9295, ""台銀籌備帳戶|玉山帳戶""), REGEXMATCH(C9295, ""薪資"")), ""分潤支出"",
  AND(REGEXMATCH(E9295, ""Ben帳戶|Elsa帳戶|Ben代墊|Ariel代墊|中信銀行共用""), REGEXMATCH(F9295, ""Ben帳戶|Elsa帳戶|Ben代墊|Ariel代墊|中信銀行共用"")), ""內部轉帳(忽略)"",
  AND(E9295&lt;&gt;"""", F9295&lt;&gt;"""", N"&amp;"OT(REGEXMATCH(C9295, ""薪資""))), ""內部轉帳(忽略)"",
  REGEXMATCH(C9295, ""薪資""), ""薪資變動(不計入)"",
  REGEXMATCH(C9295, ""押金""), ""押金往來"",
  AND(E9295&lt;&gt;"""", F9295=""""), ""真實支出"",
  AND(E9295="""", F9295&lt;&gt;""""), ""真實收入"",
  TRUE, ""其他""
)"),"其他")</f>
        <v>其他</v>
      </c>
      <c r="K9295" s="270" t="str">
        <f t="shared" si="2"/>
        <v/>
      </c>
      <c r="L9295">
        <f t="shared" si="3"/>
        <v>0</v>
      </c>
    </row>
    <row r="9296">
      <c r="A9296" s="107"/>
      <c r="D9296" s="270"/>
      <c r="H9296" s="106" t="str">
        <f t="shared" si="1"/>
        <v/>
      </c>
      <c r="J9296" t="str">
        <f>IFERROR(__xludf.DUMMYFUNCTION("IFS(
  AND(REGEXMATCH(E9296, ""台銀籌備帳戶|玉山帳戶""), REGEXMATCH(C9296, ""薪資"")), ""分潤支出"",
  AND(REGEXMATCH(E9296, ""Ben帳戶|Elsa帳戶|Ben代墊|Ariel代墊|中信銀行共用""), REGEXMATCH(F9296, ""Ben帳戶|Elsa帳戶|Ben代墊|Ariel代墊|中信銀行共用"")), ""內部轉帳(忽略)"",
  AND(E9296&lt;&gt;"""", F9296&lt;&gt;"""", N"&amp;"OT(REGEXMATCH(C9296, ""薪資""))), ""內部轉帳(忽略)"",
  REGEXMATCH(C9296, ""薪資""), ""薪資變動(不計入)"",
  REGEXMATCH(C9296, ""押金""), ""押金往來"",
  AND(E9296&lt;&gt;"""", F9296=""""), ""真實支出"",
  AND(E9296="""", F9296&lt;&gt;""""), ""真實收入"",
  TRUE, ""其他""
)"),"其他")</f>
        <v>其他</v>
      </c>
      <c r="K9296" s="270" t="str">
        <f t="shared" si="2"/>
        <v/>
      </c>
      <c r="L9296">
        <f t="shared" si="3"/>
        <v>0</v>
      </c>
    </row>
    <row r="9297">
      <c r="A9297" s="107"/>
      <c r="D9297" s="270"/>
      <c r="H9297" s="106" t="str">
        <f t="shared" si="1"/>
        <v/>
      </c>
      <c r="J9297" t="str">
        <f>IFERROR(__xludf.DUMMYFUNCTION("IFS(
  AND(REGEXMATCH(E9297, ""台銀籌備帳戶|玉山帳戶""), REGEXMATCH(C9297, ""薪資"")), ""分潤支出"",
  AND(REGEXMATCH(E9297, ""Ben帳戶|Elsa帳戶|Ben代墊|Ariel代墊|中信銀行共用""), REGEXMATCH(F9297, ""Ben帳戶|Elsa帳戶|Ben代墊|Ariel代墊|中信銀行共用"")), ""內部轉帳(忽略)"",
  AND(E9297&lt;&gt;"""", F9297&lt;&gt;"""", N"&amp;"OT(REGEXMATCH(C9297, ""薪資""))), ""內部轉帳(忽略)"",
  REGEXMATCH(C9297, ""薪資""), ""薪資變動(不計入)"",
  REGEXMATCH(C9297, ""押金""), ""押金往來"",
  AND(E9297&lt;&gt;"""", F9297=""""), ""真實支出"",
  AND(E9297="""", F9297&lt;&gt;""""), ""真實收入"",
  TRUE, ""其他""
)"),"其他")</f>
        <v>其他</v>
      </c>
      <c r="K9297" s="270" t="str">
        <f t="shared" si="2"/>
        <v/>
      </c>
      <c r="L9297">
        <f t="shared" si="3"/>
        <v>0</v>
      </c>
    </row>
    <row r="9298">
      <c r="A9298" s="107"/>
      <c r="D9298" s="270"/>
      <c r="H9298" s="106" t="str">
        <f t="shared" si="1"/>
        <v/>
      </c>
      <c r="J9298" t="str">
        <f>IFERROR(__xludf.DUMMYFUNCTION("IFS(
  AND(REGEXMATCH(E9298, ""台銀籌備帳戶|玉山帳戶""), REGEXMATCH(C9298, ""薪資"")), ""分潤支出"",
  AND(REGEXMATCH(E9298, ""Ben帳戶|Elsa帳戶|Ben代墊|Ariel代墊|中信銀行共用""), REGEXMATCH(F9298, ""Ben帳戶|Elsa帳戶|Ben代墊|Ariel代墊|中信銀行共用"")), ""內部轉帳(忽略)"",
  AND(E9298&lt;&gt;"""", F9298&lt;&gt;"""", N"&amp;"OT(REGEXMATCH(C9298, ""薪資""))), ""內部轉帳(忽略)"",
  REGEXMATCH(C9298, ""薪資""), ""薪資變動(不計入)"",
  REGEXMATCH(C9298, ""押金""), ""押金往來"",
  AND(E9298&lt;&gt;"""", F9298=""""), ""真實支出"",
  AND(E9298="""", F9298&lt;&gt;""""), ""真實收入"",
  TRUE, ""其他""
)"),"其他")</f>
        <v>其他</v>
      </c>
      <c r="K9298" s="270" t="str">
        <f t="shared" si="2"/>
        <v/>
      </c>
      <c r="L9298">
        <f t="shared" si="3"/>
        <v>0</v>
      </c>
    </row>
    <row r="9299">
      <c r="A9299" s="107"/>
      <c r="D9299" s="270"/>
      <c r="H9299" s="106" t="str">
        <f t="shared" si="1"/>
        <v/>
      </c>
      <c r="J9299" t="str">
        <f>IFERROR(__xludf.DUMMYFUNCTION("IFS(
  AND(REGEXMATCH(E9299, ""台銀籌備帳戶|玉山帳戶""), REGEXMATCH(C9299, ""薪資"")), ""分潤支出"",
  AND(REGEXMATCH(E9299, ""Ben帳戶|Elsa帳戶|Ben代墊|Ariel代墊|中信銀行共用""), REGEXMATCH(F9299, ""Ben帳戶|Elsa帳戶|Ben代墊|Ariel代墊|中信銀行共用"")), ""內部轉帳(忽略)"",
  AND(E9299&lt;&gt;"""", F9299&lt;&gt;"""", N"&amp;"OT(REGEXMATCH(C9299, ""薪資""))), ""內部轉帳(忽略)"",
  REGEXMATCH(C9299, ""薪資""), ""薪資變動(不計入)"",
  REGEXMATCH(C9299, ""押金""), ""押金往來"",
  AND(E9299&lt;&gt;"""", F9299=""""), ""真實支出"",
  AND(E9299="""", F9299&lt;&gt;""""), ""真實收入"",
  TRUE, ""其他""
)"),"其他")</f>
        <v>其他</v>
      </c>
      <c r="K9299" s="270" t="str">
        <f t="shared" si="2"/>
        <v/>
      </c>
      <c r="L9299">
        <f t="shared" si="3"/>
        <v>0</v>
      </c>
    </row>
    <row r="9300">
      <c r="A9300" s="107"/>
      <c r="D9300" s="270"/>
      <c r="H9300" s="106" t="str">
        <f t="shared" si="1"/>
        <v/>
      </c>
      <c r="J9300" t="str">
        <f>IFERROR(__xludf.DUMMYFUNCTION("IFS(
  AND(REGEXMATCH(E9300, ""台銀籌備帳戶|玉山帳戶""), REGEXMATCH(C9300, ""薪資"")), ""分潤支出"",
  AND(REGEXMATCH(E9300, ""Ben帳戶|Elsa帳戶|Ben代墊|Ariel代墊|中信銀行共用""), REGEXMATCH(F9300, ""Ben帳戶|Elsa帳戶|Ben代墊|Ariel代墊|中信銀行共用"")), ""內部轉帳(忽略)"",
  AND(E9300&lt;&gt;"""", F9300&lt;&gt;"""", N"&amp;"OT(REGEXMATCH(C9300, ""薪資""))), ""內部轉帳(忽略)"",
  REGEXMATCH(C9300, ""薪資""), ""薪資變動(不計入)"",
  REGEXMATCH(C9300, ""押金""), ""押金往來"",
  AND(E9300&lt;&gt;"""", F9300=""""), ""真實支出"",
  AND(E9300="""", F9300&lt;&gt;""""), ""真實收入"",
  TRUE, ""其他""
)"),"其他")</f>
        <v>其他</v>
      </c>
      <c r="K9300" s="270" t="str">
        <f t="shared" si="2"/>
        <v/>
      </c>
      <c r="L9300">
        <f t="shared" si="3"/>
        <v>0</v>
      </c>
    </row>
    <row r="9301">
      <c r="A9301" s="107"/>
      <c r="D9301" s="270"/>
      <c r="H9301" s="106" t="str">
        <f t="shared" si="1"/>
        <v/>
      </c>
      <c r="J9301" t="str">
        <f>IFERROR(__xludf.DUMMYFUNCTION("IFS(
  AND(REGEXMATCH(E9301, ""台銀籌備帳戶|玉山帳戶""), REGEXMATCH(C9301, ""薪資"")), ""分潤支出"",
  AND(REGEXMATCH(E9301, ""Ben帳戶|Elsa帳戶|Ben代墊|Ariel代墊|中信銀行共用""), REGEXMATCH(F9301, ""Ben帳戶|Elsa帳戶|Ben代墊|Ariel代墊|中信銀行共用"")), ""內部轉帳(忽略)"",
  AND(E9301&lt;&gt;"""", F9301&lt;&gt;"""", N"&amp;"OT(REGEXMATCH(C9301, ""薪資""))), ""內部轉帳(忽略)"",
  REGEXMATCH(C9301, ""薪資""), ""薪資變動(不計入)"",
  REGEXMATCH(C9301, ""押金""), ""押金往來"",
  AND(E9301&lt;&gt;"""", F9301=""""), ""真實支出"",
  AND(E9301="""", F9301&lt;&gt;""""), ""真實收入"",
  TRUE, ""其他""
)"),"其他")</f>
        <v>其他</v>
      </c>
      <c r="K9301" s="270" t="str">
        <f t="shared" si="2"/>
        <v/>
      </c>
      <c r="L9301">
        <f t="shared" si="3"/>
        <v>0</v>
      </c>
    </row>
    <row r="9302">
      <c r="A9302" s="107"/>
      <c r="D9302" s="270"/>
      <c r="H9302" s="106" t="str">
        <f t="shared" si="1"/>
        <v/>
      </c>
      <c r="J9302" t="str">
        <f>IFERROR(__xludf.DUMMYFUNCTION("IFS(
  AND(REGEXMATCH(E9302, ""台銀籌備帳戶|玉山帳戶""), REGEXMATCH(C9302, ""薪資"")), ""分潤支出"",
  AND(REGEXMATCH(E9302, ""Ben帳戶|Elsa帳戶|Ben代墊|Ariel代墊|中信銀行共用""), REGEXMATCH(F9302, ""Ben帳戶|Elsa帳戶|Ben代墊|Ariel代墊|中信銀行共用"")), ""內部轉帳(忽略)"",
  AND(E9302&lt;&gt;"""", F9302&lt;&gt;"""", N"&amp;"OT(REGEXMATCH(C9302, ""薪資""))), ""內部轉帳(忽略)"",
  REGEXMATCH(C9302, ""薪資""), ""薪資變動(不計入)"",
  REGEXMATCH(C9302, ""押金""), ""押金往來"",
  AND(E9302&lt;&gt;"""", F9302=""""), ""真實支出"",
  AND(E9302="""", F9302&lt;&gt;""""), ""真實收入"",
  TRUE, ""其他""
)"),"其他")</f>
        <v>其他</v>
      </c>
      <c r="K9302" s="270" t="str">
        <f t="shared" si="2"/>
        <v/>
      </c>
      <c r="L9302">
        <f t="shared" si="3"/>
        <v>0</v>
      </c>
    </row>
    <row r="9303">
      <c r="A9303" s="107"/>
      <c r="D9303" s="270"/>
      <c r="H9303" s="106" t="str">
        <f t="shared" si="1"/>
        <v/>
      </c>
      <c r="J9303" t="str">
        <f>IFERROR(__xludf.DUMMYFUNCTION("IFS(
  AND(REGEXMATCH(E9303, ""台銀籌備帳戶|玉山帳戶""), REGEXMATCH(C9303, ""薪資"")), ""分潤支出"",
  AND(REGEXMATCH(E9303, ""Ben帳戶|Elsa帳戶|Ben代墊|Ariel代墊|中信銀行共用""), REGEXMATCH(F9303, ""Ben帳戶|Elsa帳戶|Ben代墊|Ariel代墊|中信銀行共用"")), ""內部轉帳(忽略)"",
  AND(E9303&lt;&gt;"""", F9303&lt;&gt;"""", N"&amp;"OT(REGEXMATCH(C9303, ""薪資""))), ""內部轉帳(忽略)"",
  REGEXMATCH(C9303, ""薪資""), ""薪資變動(不計入)"",
  REGEXMATCH(C9303, ""押金""), ""押金往來"",
  AND(E9303&lt;&gt;"""", F9303=""""), ""真實支出"",
  AND(E9303="""", F9303&lt;&gt;""""), ""真實收入"",
  TRUE, ""其他""
)"),"其他")</f>
        <v>其他</v>
      </c>
      <c r="K9303" s="270" t="str">
        <f t="shared" si="2"/>
        <v/>
      </c>
      <c r="L9303">
        <f t="shared" si="3"/>
        <v>0</v>
      </c>
    </row>
    <row r="9304">
      <c r="A9304" s="107"/>
      <c r="D9304" s="270"/>
      <c r="H9304" s="106" t="str">
        <f t="shared" si="1"/>
        <v/>
      </c>
      <c r="J9304" t="str">
        <f>IFERROR(__xludf.DUMMYFUNCTION("IFS(
  AND(REGEXMATCH(E9304, ""台銀籌備帳戶|玉山帳戶""), REGEXMATCH(C9304, ""薪資"")), ""分潤支出"",
  AND(REGEXMATCH(E9304, ""Ben帳戶|Elsa帳戶|Ben代墊|Ariel代墊|中信銀行共用""), REGEXMATCH(F9304, ""Ben帳戶|Elsa帳戶|Ben代墊|Ariel代墊|中信銀行共用"")), ""內部轉帳(忽略)"",
  AND(E9304&lt;&gt;"""", F9304&lt;&gt;"""", N"&amp;"OT(REGEXMATCH(C9304, ""薪資""))), ""內部轉帳(忽略)"",
  REGEXMATCH(C9304, ""薪資""), ""薪資變動(不計入)"",
  REGEXMATCH(C9304, ""押金""), ""押金往來"",
  AND(E9304&lt;&gt;"""", F9304=""""), ""真實支出"",
  AND(E9304="""", F9304&lt;&gt;""""), ""真實收入"",
  TRUE, ""其他""
)"),"其他")</f>
        <v>其他</v>
      </c>
      <c r="K9304" s="270" t="str">
        <f t="shared" si="2"/>
        <v/>
      </c>
      <c r="L9304">
        <f t="shared" si="3"/>
        <v>0</v>
      </c>
    </row>
    <row r="9305">
      <c r="A9305" s="107"/>
      <c r="D9305" s="270"/>
      <c r="H9305" s="106" t="str">
        <f t="shared" si="1"/>
        <v/>
      </c>
      <c r="J9305" t="str">
        <f>IFERROR(__xludf.DUMMYFUNCTION("IFS(
  AND(REGEXMATCH(E9305, ""台銀籌備帳戶|玉山帳戶""), REGEXMATCH(C9305, ""薪資"")), ""分潤支出"",
  AND(REGEXMATCH(E9305, ""Ben帳戶|Elsa帳戶|Ben代墊|Ariel代墊|中信銀行共用""), REGEXMATCH(F9305, ""Ben帳戶|Elsa帳戶|Ben代墊|Ariel代墊|中信銀行共用"")), ""內部轉帳(忽略)"",
  AND(E9305&lt;&gt;"""", F9305&lt;&gt;"""", N"&amp;"OT(REGEXMATCH(C9305, ""薪資""))), ""內部轉帳(忽略)"",
  REGEXMATCH(C9305, ""薪資""), ""薪資變動(不計入)"",
  REGEXMATCH(C9305, ""押金""), ""押金往來"",
  AND(E9305&lt;&gt;"""", F9305=""""), ""真實支出"",
  AND(E9305="""", F9305&lt;&gt;""""), ""真實收入"",
  TRUE, ""其他""
)"),"其他")</f>
        <v>其他</v>
      </c>
      <c r="K9305" s="270" t="str">
        <f t="shared" si="2"/>
        <v/>
      </c>
      <c r="L9305">
        <f t="shared" si="3"/>
        <v>0</v>
      </c>
    </row>
    <row r="9306">
      <c r="A9306" s="107"/>
      <c r="D9306" s="270"/>
      <c r="H9306" s="106" t="str">
        <f t="shared" si="1"/>
        <v/>
      </c>
      <c r="J9306" t="str">
        <f>IFERROR(__xludf.DUMMYFUNCTION("IFS(
  AND(REGEXMATCH(E9306, ""台銀籌備帳戶|玉山帳戶""), REGEXMATCH(C9306, ""薪資"")), ""分潤支出"",
  AND(REGEXMATCH(E9306, ""Ben帳戶|Elsa帳戶|Ben代墊|Ariel代墊|中信銀行共用""), REGEXMATCH(F9306, ""Ben帳戶|Elsa帳戶|Ben代墊|Ariel代墊|中信銀行共用"")), ""內部轉帳(忽略)"",
  AND(E9306&lt;&gt;"""", F9306&lt;&gt;"""", N"&amp;"OT(REGEXMATCH(C9306, ""薪資""))), ""內部轉帳(忽略)"",
  REGEXMATCH(C9306, ""薪資""), ""薪資變動(不計入)"",
  REGEXMATCH(C9306, ""押金""), ""押金往來"",
  AND(E9306&lt;&gt;"""", F9306=""""), ""真實支出"",
  AND(E9306="""", F9306&lt;&gt;""""), ""真實收入"",
  TRUE, ""其他""
)"),"其他")</f>
        <v>其他</v>
      </c>
      <c r="K9306" s="270" t="str">
        <f t="shared" si="2"/>
        <v/>
      </c>
      <c r="L9306">
        <f t="shared" si="3"/>
        <v>0</v>
      </c>
    </row>
    <row r="9307">
      <c r="A9307" s="107"/>
      <c r="D9307" s="270"/>
      <c r="H9307" s="106" t="str">
        <f t="shared" si="1"/>
        <v/>
      </c>
      <c r="J9307" t="str">
        <f>IFERROR(__xludf.DUMMYFUNCTION("IFS(
  AND(REGEXMATCH(E9307, ""台銀籌備帳戶|玉山帳戶""), REGEXMATCH(C9307, ""薪資"")), ""分潤支出"",
  AND(REGEXMATCH(E9307, ""Ben帳戶|Elsa帳戶|Ben代墊|Ariel代墊|中信銀行共用""), REGEXMATCH(F9307, ""Ben帳戶|Elsa帳戶|Ben代墊|Ariel代墊|中信銀行共用"")), ""內部轉帳(忽略)"",
  AND(E9307&lt;&gt;"""", F9307&lt;&gt;"""", N"&amp;"OT(REGEXMATCH(C9307, ""薪資""))), ""內部轉帳(忽略)"",
  REGEXMATCH(C9307, ""薪資""), ""薪資變動(不計入)"",
  REGEXMATCH(C9307, ""押金""), ""押金往來"",
  AND(E9307&lt;&gt;"""", F9307=""""), ""真實支出"",
  AND(E9307="""", F9307&lt;&gt;""""), ""真實收入"",
  TRUE, ""其他""
)"),"其他")</f>
        <v>其他</v>
      </c>
      <c r="K9307" s="270" t="str">
        <f t="shared" si="2"/>
        <v/>
      </c>
      <c r="L9307">
        <f t="shared" si="3"/>
        <v>0</v>
      </c>
    </row>
    <row r="9308">
      <c r="A9308" s="107"/>
      <c r="D9308" s="270"/>
      <c r="H9308" s="106" t="str">
        <f t="shared" si="1"/>
        <v/>
      </c>
      <c r="J9308" t="str">
        <f>IFERROR(__xludf.DUMMYFUNCTION("IFS(
  AND(REGEXMATCH(E9308, ""台銀籌備帳戶|玉山帳戶""), REGEXMATCH(C9308, ""薪資"")), ""分潤支出"",
  AND(REGEXMATCH(E9308, ""Ben帳戶|Elsa帳戶|Ben代墊|Ariel代墊|中信銀行共用""), REGEXMATCH(F9308, ""Ben帳戶|Elsa帳戶|Ben代墊|Ariel代墊|中信銀行共用"")), ""內部轉帳(忽略)"",
  AND(E9308&lt;&gt;"""", F9308&lt;&gt;"""", N"&amp;"OT(REGEXMATCH(C9308, ""薪資""))), ""內部轉帳(忽略)"",
  REGEXMATCH(C9308, ""薪資""), ""薪資變動(不計入)"",
  REGEXMATCH(C9308, ""押金""), ""押金往來"",
  AND(E9308&lt;&gt;"""", F9308=""""), ""真實支出"",
  AND(E9308="""", F9308&lt;&gt;""""), ""真實收入"",
  TRUE, ""其他""
)"),"其他")</f>
        <v>其他</v>
      </c>
      <c r="K9308" s="270" t="str">
        <f t="shared" si="2"/>
        <v/>
      </c>
      <c r="L9308">
        <f t="shared" si="3"/>
        <v>0</v>
      </c>
    </row>
    <row r="9309">
      <c r="A9309" s="107"/>
      <c r="D9309" s="270"/>
      <c r="H9309" s="106" t="str">
        <f t="shared" si="1"/>
        <v/>
      </c>
      <c r="J9309" t="str">
        <f>IFERROR(__xludf.DUMMYFUNCTION("IFS(
  AND(REGEXMATCH(E9309, ""台銀籌備帳戶|玉山帳戶""), REGEXMATCH(C9309, ""薪資"")), ""分潤支出"",
  AND(REGEXMATCH(E9309, ""Ben帳戶|Elsa帳戶|Ben代墊|Ariel代墊|中信銀行共用""), REGEXMATCH(F9309, ""Ben帳戶|Elsa帳戶|Ben代墊|Ariel代墊|中信銀行共用"")), ""內部轉帳(忽略)"",
  AND(E9309&lt;&gt;"""", F9309&lt;&gt;"""", N"&amp;"OT(REGEXMATCH(C9309, ""薪資""))), ""內部轉帳(忽略)"",
  REGEXMATCH(C9309, ""薪資""), ""薪資變動(不計入)"",
  REGEXMATCH(C9309, ""押金""), ""押金往來"",
  AND(E9309&lt;&gt;"""", F9309=""""), ""真實支出"",
  AND(E9309="""", F9309&lt;&gt;""""), ""真實收入"",
  TRUE, ""其他""
)"),"其他")</f>
        <v>其他</v>
      </c>
      <c r="K9309" s="270" t="str">
        <f t="shared" si="2"/>
        <v/>
      </c>
      <c r="L9309">
        <f t="shared" si="3"/>
        <v>0</v>
      </c>
    </row>
    <row r="9310">
      <c r="A9310" s="107"/>
      <c r="D9310" s="270"/>
      <c r="H9310" s="106" t="str">
        <f t="shared" si="1"/>
        <v/>
      </c>
      <c r="J9310" t="str">
        <f>IFERROR(__xludf.DUMMYFUNCTION("IFS(
  AND(REGEXMATCH(E9310, ""台銀籌備帳戶|玉山帳戶""), REGEXMATCH(C9310, ""薪資"")), ""分潤支出"",
  AND(REGEXMATCH(E9310, ""Ben帳戶|Elsa帳戶|Ben代墊|Ariel代墊|中信銀行共用""), REGEXMATCH(F9310, ""Ben帳戶|Elsa帳戶|Ben代墊|Ariel代墊|中信銀行共用"")), ""內部轉帳(忽略)"",
  AND(E9310&lt;&gt;"""", F9310&lt;&gt;"""", N"&amp;"OT(REGEXMATCH(C9310, ""薪資""))), ""內部轉帳(忽略)"",
  REGEXMATCH(C9310, ""薪資""), ""薪資變動(不計入)"",
  REGEXMATCH(C9310, ""押金""), ""押金往來"",
  AND(E9310&lt;&gt;"""", F9310=""""), ""真實支出"",
  AND(E9310="""", F9310&lt;&gt;""""), ""真實收入"",
  TRUE, ""其他""
)"),"其他")</f>
        <v>其他</v>
      </c>
      <c r="K9310" s="270" t="str">
        <f t="shared" si="2"/>
        <v/>
      </c>
      <c r="L9310">
        <f t="shared" si="3"/>
        <v>0</v>
      </c>
    </row>
    <row r="9311">
      <c r="A9311" s="107"/>
      <c r="D9311" s="270"/>
      <c r="H9311" s="106" t="str">
        <f t="shared" si="1"/>
        <v/>
      </c>
      <c r="J9311" t="str">
        <f>IFERROR(__xludf.DUMMYFUNCTION("IFS(
  AND(REGEXMATCH(E9311, ""台銀籌備帳戶|玉山帳戶""), REGEXMATCH(C9311, ""薪資"")), ""分潤支出"",
  AND(REGEXMATCH(E9311, ""Ben帳戶|Elsa帳戶|Ben代墊|Ariel代墊|中信銀行共用""), REGEXMATCH(F9311, ""Ben帳戶|Elsa帳戶|Ben代墊|Ariel代墊|中信銀行共用"")), ""內部轉帳(忽略)"",
  AND(E9311&lt;&gt;"""", F9311&lt;&gt;"""", N"&amp;"OT(REGEXMATCH(C9311, ""薪資""))), ""內部轉帳(忽略)"",
  REGEXMATCH(C9311, ""薪資""), ""薪資變動(不計入)"",
  REGEXMATCH(C9311, ""押金""), ""押金往來"",
  AND(E9311&lt;&gt;"""", F9311=""""), ""真實支出"",
  AND(E9311="""", F9311&lt;&gt;""""), ""真實收入"",
  TRUE, ""其他""
)"),"其他")</f>
        <v>其他</v>
      </c>
      <c r="K9311" s="270" t="str">
        <f t="shared" si="2"/>
        <v/>
      </c>
      <c r="L9311">
        <f t="shared" si="3"/>
        <v>0</v>
      </c>
    </row>
    <row r="9312">
      <c r="A9312" s="107"/>
      <c r="D9312" s="270"/>
      <c r="H9312" s="106" t="str">
        <f t="shared" si="1"/>
        <v/>
      </c>
      <c r="J9312" t="str">
        <f>IFERROR(__xludf.DUMMYFUNCTION("IFS(
  AND(REGEXMATCH(E9312, ""台銀籌備帳戶|玉山帳戶""), REGEXMATCH(C9312, ""薪資"")), ""分潤支出"",
  AND(REGEXMATCH(E9312, ""Ben帳戶|Elsa帳戶|Ben代墊|Ariel代墊|中信銀行共用""), REGEXMATCH(F9312, ""Ben帳戶|Elsa帳戶|Ben代墊|Ariel代墊|中信銀行共用"")), ""內部轉帳(忽略)"",
  AND(E9312&lt;&gt;"""", F9312&lt;&gt;"""", N"&amp;"OT(REGEXMATCH(C9312, ""薪資""))), ""內部轉帳(忽略)"",
  REGEXMATCH(C9312, ""薪資""), ""薪資變動(不計入)"",
  REGEXMATCH(C9312, ""押金""), ""押金往來"",
  AND(E9312&lt;&gt;"""", F9312=""""), ""真實支出"",
  AND(E9312="""", F9312&lt;&gt;""""), ""真實收入"",
  TRUE, ""其他""
)"),"其他")</f>
        <v>其他</v>
      </c>
      <c r="K9312" s="270" t="str">
        <f t="shared" si="2"/>
        <v/>
      </c>
      <c r="L9312">
        <f t="shared" si="3"/>
        <v>0</v>
      </c>
    </row>
    <row r="9313">
      <c r="A9313" s="107"/>
      <c r="D9313" s="270"/>
      <c r="H9313" s="106" t="str">
        <f t="shared" si="1"/>
        <v/>
      </c>
      <c r="J9313" t="str">
        <f>IFERROR(__xludf.DUMMYFUNCTION("IFS(
  AND(REGEXMATCH(E9313, ""台銀籌備帳戶|玉山帳戶""), REGEXMATCH(C9313, ""薪資"")), ""分潤支出"",
  AND(REGEXMATCH(E9313, ""Ben帳戶|Elsa帳戶|Ben代墊|Ariel代墊|中信銀行共用""), REGEXMATCH(F9313, ""Ben帳戶|Elsa帳戶|Ben代墊|Ariel代墊|中信銀行共用"")), ""內部轉帳(忽略)"",
  AND(E9313&lt;&gt;"""", F9313&lt;&gt;"""", N"&amp;"OT(REGEXMATCH(C9313, ""薪資""))), ""內部轉帳(忽略)"",
  REGEXMATCH(C9313, ""薪資""), ""薪資變動(不計入)"",
  REGEXMATCH(C9313, ""押金""), ""押金往來"",
  AND(E9313&lt;&gt;"""", F9313=""""), ""真實支出"",
  AND(E9313="""", F9313&lt;&gt;""""), ""真實收入"",
  TRUE, ""其他""
)"),"其他")</f>
        <v>其他</v>
      </c>
      <c r="K9313" s="270" t="str">
        <f t="shared" si="2"/>
        <v/>
      </c>
      <c r="L9313">
        <f t="shared" si="3"/>
        <v>0</v>
      </c>
    </row>
    <row r="9314">
      <c r="A9314" s="107"/>
      <c r="D9314" s="270"/>
      <c r="H9314" s="106" t="str">
        <f t="shared" si="1"/>
        <v/>
      </c>
      <c r="J9314" t="str">
        <f>IFERROR(__xludf.DUMMYFUNCTION("IFS(
  AND(REGEXMATCH(E9314, ""台銀籌備帳戶|玉山帳戶""), REGEXMATCH(C9314, ""薪資"")), ""分潤支出"",
  AND(REGEXMATCH(E9314, ""Ben帳戶|Elsa帳戶|Ben代墊|Ariel代墊|中信銀行共用""), REGEXMATCH(F9314, ""Ben帳戶|Elsa帳戶|Ben代墊|Ariel代墊|中信銀行共用"")), ""內部轉帳(忽略)"",
  AND(E9314&lt;&gt;"""", F9314&lt;&gt;"""", N"&amp;"OT(REGEXMATCH(C9314, ""薪資""))), ""內部轉帳(忽略)"",
  REGEXMATCH(C9314, ""薪資""), ""薪資變動(不計入)"",
  REGEXMATCH(C9314, ""押金""), ""押金往來"",
  AND(E9314&lt;&gt;"""", F9314=""""), ""真實支出"",
  AND(E9314="""", F9314&lt;&gt;""""), ""真實收入"",
  TRUE, ""其他""
)"),"其他")</f>
        <v>其他</v>
      </c>
      <c r="K9314" s="270" t="str">
        <f t="shared" si="2"/>
        <v/>
      </c>
      <c r="L9314">
        <f t="shared" si="3"/>
        <v>0</v>
      </c>
    </row>
    <row r="9315">
      <c r="A9315" s="107"/>
      <c r="D9315" s="270"/>
      <c r="H9315" s="106" t="str">
        <f t="shared" si="1"/>
        <v/>
      </c>
      <c r="J9315" t="str">
        <f>IFERROR(__xludf.DUMMYFUNCTION("IFS(
  AND(REGEXMATCH(E9315, ""台銀籌備帳戶|玉山帳戶""), REGEXMATCH(C9315, ""薪資"")), ""分潤支出"",
  AND(REGEXMATCH(E9315, ""Ben帳戶|Elsa帳戶|Ben代墊|Ariel代墊|中信銀行共用""), REGEXMATCH(F9315, ""Ben帳戶|Elsa帳戶|Ben代墊|Ariel代墊|中信銀行共用"")), ""內部轉帳(忽略)"",
  AND(E9315&lt;&gt;"""", F9315&lt;&gt;"""", N"&amp;"OT(REGEXMATCH(C9315, ""薪資""))), ""內部轉帳(忽略)"",
  REGEXMATCH(C9315, ""薪資""), ""薪資變動(不計入)"",
  REGEXMATCH(C9315, ""押金""), ""押金往來"",
  AND(E9315&lt;&gt;"""", F9315=""""), ""真實支出"",
  AND(E9315="""", F9315&lt;&gt;""""), ""真實收入"",
  TRUE, ""其他""
)"),"其他")</f>
        <v>其他</v>
      </c>
      <c r="K9315" s="270" t="str">
        <f t="shared" si="2"/>
        <v/>
      </c>
      <c r="L9315">
        <f t="shared" si="3"/>
        <v>0</v>
      </c>
    </row>
    <row r="9316">
      <c r="A9316" s="107"/>
      <c r="D9316" s="270"/>
      <c r="H9316" s="106" t="str">
        <f t="shared" si="1"/>
        <v/>
      </c>
      <c r="J9316" t="str">
        <f>IFERROR(__xludf.DUMMYFUNCTION("IFS(
  AND(REGEXMATCH(E9316, ""台銀籌備帳戶|玉山帳戶""), REGEXMATCH(C9316, ""薪資"")), ""分潤支出"",
  AND(REGEXMATCH(E9316, ""Ben帳戶|Elsa帳戶|Ben代墊|Ariel代墊|中信銀行共用""), REGEXMATCH(F9316, ""Ben帳戶|Elsa帳戶|Ben代墊|Ariel代墊|中信銀行共用"")), ""內部轉帳(忽略)"",
  AND(E9316&lt;&gt;"""", F9316&lt;&gt;"""", N"&amp;"OT(REGEXMATCH(C9316, ""薪資""))), ""內部轉帳(忽略)"",
  REGEXMATCH(C9316, ""薪資""), ""薪資變動(不計入)"",
  REGEXMATCH(C9316, ""押金""), ""押金往來"",
  AND(E9316&lt;&gt;"""", F9316=""""), ""真實支出"",
  AND(E9316="""", F9316&lt;&gt;""""), ""真實收入"",
  TRUE, ""其他""
)"),"其他")</f>
        <v>其他</v>
      </c>
      <c r="K9316" s="270" t="str">
        <f t="shared" si="2"/>
        <v/>
      </c>
      <c r="L9316">
        <f t="shared" si="3"/>
        <v>0</v>
      </c>
    </row>
    <row r="9317">
      <c r="A9317" s="107"/>
      <c r="D9317" s="270"/>
      <c r="H9317" s="106" t="str">
        <f t="shared" si="1"/>
        <v/>
      </c>
      <c r="J9317" t="str">
        <f>IFERROR(__xludf.DUMMYFUNCTION("IFS(
  AND(REGEXMATCH(E9317, ""台銀籌備帳戶|玉山帳戶""), REGEXMATCH(C9317, ""薪資"")), ""分潤支出"",
  AND(REGEXMATCH(E9317, ""Ben帳戶|Elsa帳戶|Ben代墊|Ariel代墊|中信銀行共用""), REGEXMATCH(F9317, ""Ben帳戶|Elsa帳戶|Ben代墊|Ariel代墊|中信銀行共用"")), ""內部轉帳(忽略)"",
  AND(E9317&lt;&gt;"""", F9317&lt;&gt;"""", N"&amp;"OT(REGEXMATCH(C9317, ""薪資""))), ""內部轉帳(忽略)"",
  REGEXMATCH(C9317, ""薪資""), ""薪資變動(不計入)"",
  REGEXMATCH(C9317, ""押金""), ""押金往來"",
  AND(E9317&lt;&gt;"""", F9317=""""), ""真實支出"",
  AND(E9317="""", F9317&lt;&gt;""""), ""真實收入"",
  TRUE, ""其他""
)"),"其他")</f>
        <v>其他</v>
      </c>
      <c r="K9317" s="270" t="str">
        <f t="shared" si="2"/>
        <v/>
      </c>
      <c r="L9317">
        <f t="shared" si="3"/>
        <v>0</v>
      </c>
    </row>
    <row r="9318">
      <c r="A9318" s="107"/>
      <c r="D9318" s="270"/>
      <c r="H9318" s="106" t="str">
        <f t="shared" si="1"/>
        <v/>
      </c>
      <c r="J9318" t="str">
        <f>IFERROR(__xludf.DUMMYFUNCTION("IFS(
  AND(REGEXMATCH(E9318, ""台銀籌備帳戶|玉山帳戶""), REGEXMATCH(C9318, ""薪資"")), ""分潤支出"",
  AND(REGEXMATCH(E9318, ""Ben帳戶|Elsa帳戶|Ben代墊|Ariel代墊|中信銀行共用""), REGEXMATCH(F9318, ""Ben帳戶|Elsa帳戶|Ben代墊|Ariel代墊|中信銀行共用"")), ""內部轉帳(忽略)"",
  AND(E9318&lt;&gt;"""", F9318&lt;&gt;"""", N"&amp;"OT(REGEXMATCH(C9318, ""薪資""))), ""內部轉帳(忽略)"",
  REGEXMATCH(C9318, ""薪資""), ""薪資變動(不計入)"",
  REGEXMATCH(C9318, ""押金""), ""押金往來"",
  AND(E9318&lt;&gt;"""", F9318=""""), ""真實支出"",
  AND(E9318="""", F9318&lt;&gt;""""), ""真實收入"",
  TRUE, ""其他""
)"),"其他")</f>
        <v>其他</v>
      </c>
      <c r="K9318" s="270" t="str">
        <f t="shared" si="2"/>
        <v/>
      </c>
      <c r="L9318">
        <f t="shared" si="3"/>
        <v>0</v>
      </c>
    </row>
    <row r="9319">
      <c r="A9319" s="107"/>
      <c r="D9319" s="270"/>
      <c r="H9319" s="106" t="str">
        <f t="shared" si="1"/>
        <v/>
      </c>
      <c r="J9319" t="str">
        <f>IFERROR(__xludf.DUMMYFUNCTION("IFS(
  AND(REGEXMATCH(E9319, ""台銀籌備帳戶|玉山帳戶""), REGEXMATCH(C9319, ""薪資"")), ""分潤支出"",
  AND(REGEXMATCH(E9319, ""Ben帳戶|Elsa帳戶|Ben代墊|Ariel代墊|中信銀行共用""), REGEXMATCH(F9319, ""Ben帳戶|Elsa帳戶|Ben代墊|Ariel代墊|中信銀行共用"")), ""內部轉帳(忽略)"",
  AND(E9319&lt;&gt;"""", F9319&lt;&gt;"""", N"&amp;"OT(REGEXMATCH(C9319, ""薪資""))), ""內部轉帳(忽略)"",
  REGEXMATCH(C9319, ""薪資""), ""薪資變動(不計入)"",
  REGEXMATCH(C9319, ""押金""), ""押金往來"",
  AND(E9319&lt;&gt;"""", F9319=""""), ""真實支出"",
  AND(E9319="""", F9319&lt;&gt;""""), ""真實收入"",
  TRUE, ""其他""
)"),"其他")</f>
        <v>其他</v>
      </c>
      <c r="K9319" s="270" t="str">
        <f t="shared" si="2"/>
        <v/>
      </c>
      <c r="L9319">
        <f t="shared" si="3"/>
        <v>0</v>
      </c>
    </row>
    <row r="9320">
      <c r="A9320" s="107"/>
      <c r="D9320" s="270"/>
      <c r="H9320" s="106" t="str">
        <f t="shared" si="1"/>
        <v/>
      </c>
      <c r="J9320" t="str">
        <f>IFERROR(__xludf.DUMMYFUNCTION("IFS(
  AND(REGEXMATCH(E9320, ""台銀籌備帳戶|玉山帳戶""), REGEXMATCH(C9320, ""薪資"")), ""分潤支出"",
  AND(REGEXMATCH(E9320, ""Ben帳戶|Elsa帳戶|Ben代墊|Ariel代墊|中信銀行共用""), REGEXMATCH(F9320, ""Ben帳戶|Elsa帳戶|Ben代墊|Ariel代墊|中信銀行共用"")), ""內部轉帳(忽略)"",
  AND(E9320&lt;&gt;"""", F9320&lt;&gt;"""", N"&amp;"OT(REGEXMATCH(C9320, ""薪資""))), ""內部轉帳(忽略)"",
  REGEXMATCH(C9320, ""薪資""), ""薪資變動(不計入)"",
  REGEXMATCH(C9320, ""押金""), ""押金往來"",
  AND(E9320&lt;&gt;"""", F9320=""""), ""真實支出"",
  AND(E9320="""", F9320&lt;&gt;""""), ""真實收入"",
  TRUE, ""其他""
)"),"其他")</f>
        <v>其他</v>
      </c>
      <c r="K9320" s="270" t="str">
        <f t="shared" si="2"/>
        <v/>
      </c>
      <c r="L9320">
        <f t="shared" si="3"/>
        <v>0</v>
      </c>
    </row>
    <row r="9321">
      <c r="A9321" s="107"/>
      <c r="D9321" s="270"/>
      <c r="H9321" s="106" t="str">
        <f t="shared" si="1"/>
        <v/>
      </c>
      <c r="J9321" t="str">
        <f>IFERROR(__xludf.DUMMYFUNCTION("IFS(
  AND(REGEXMATCH(E9321, ""台銀籌備帳戶|玉山帳戶""), REGEXMATCH(C9321, ""薪資"")), ""分潤支出"",
  AND(REGEXMATCH(E9321, ""Ben帳戶|Elsa帳戶|Ben代墊|Ariel代墊|中信銀行共用""), REGEXMATCH(F9321, ""Ben帳戶|Elsa帳戶|Ben代墊|Ariel代墊|中信銀行共用"")), ""內部轉帳(忽略)"",
  AND(E9321&lt;&gt;"""", F9321&lt;&gt;"""", N"&amp;"OT(REGEXMATCH(C9321, ""薪資""))), ""內部轉帳(忽略)"",
  REGEXMATCH(C9321, ""薪資""), ""薪資變動(不計入)"",
  REGEXMATCH(C9321, ""押金""), ""押金往來"",
  AND(E9321&lt;&gt;"""", F9321=""""), ""真實支出"",
  AND(E9321="""", F9321&lt;&gt;""""), ""真實收入"",
  TRUE, ""其他""
)"),"其他")</f>
        <v>其他</v>
      </c>
      <c r="K9321" s="270" t="str">
        <f t="shared" si="2"/>
        <v/>
      </c>
      <c r="L9321">
        <f t="shared" si="3"/>
        <v>0</v>
      </c>
    </row>
    <row r="9322">
      <c r="A9322" s="107"/>
      <c r="D9322" s="270"/>
      <c r="H9322" s="106" t="str">
        <f t="shared" si="1"/>
        <v/>
      </c>
      <c r="J9322" t="str">
        <f>IFERROR(__xludf.DUMMYFUNCTION("IFS(
  AND(REGEXMATCH(E9322, ""台銀籌備帳戶|玉山帳戶""), REGEXMATCH(C9322, ""薪資"")), ""分潤支出"",
  AND(REGEXMATCH(E9322, ""Ben帳戶|Elsa帳戶|Ben代墊|Ariel代墊|中信銀行共用""), REGEXMATCH(F9322, ""Ben帳戶|Elsa帳戶|Ben代墊|Ariel代墊|中信銀行共用"")), ""內部轉帳(忽略)"",
  AND(E9322&lt;&gt;"""", F9322&lt;&gt;"""", N"&amp;"OT(REGEXMATCH(C9322, ""薪資""))), ""內部轉帳(忽略)"",
  REGEXMATCH(C9322, ""薪資""), ""薪資變動(不計入)"",
  REGEXMATCH(C9322, ""押金""), ""押金往來"",
  AND(E9322&lt;&gt;"""", F9322=""""), ""真實支出"",
  AND(E9322="""", F9322&lt;&gt;""""), ""真實收入"",
  TRUE, ""其他""
)"),"其他")</f>
        <v>其他</v>
      </c>
      <c r="K9322" s="270" t="str">
        <f t="shared" si="2"/>
        <v/>
      </c>
      <c r="L9322">
        <f t="shared" si="3"/>
        <v>0</v>
      </c>
    </row>
    <row r="9323">
      <c r="A9323" s="107"/>
      <c r="D9323" s="270"/>
      <c r="H9323" s="106" t="str">
        <f t="shared" si="1"/>
        <v/>
      </c>
      <c r="J9323" t="str">
        <f>IFERROR(__xludf.DUMMYFUNCTION("IFS(
  AND(REGEXMATCH(E9323, ""台銀籌備帳戶|玉山帳戶""), REGEXMATCH(C9323, ""薪資"")), ""分潤支出"",
  AND(REGEXMATCH(E9323, ""Ben帳戶|Elsa帳戶|Ben代墊|Ariel代墊|中信銀行共用""), REGEXMATCH(F9323, ""Ben帳戶|Elsa帳戶|Ben代墊|Ariel代墊|中信銀行共用"")), ""內部轉帳(忽略)"",
  AND(E9323&lt;&gt;"""", F9323&lt;&gt;"""", N"&amp;"OT(REGEXMATCH(C9323, ""薪資""))), ""內部轉帳(忽略)"",
  REGEXMATCH(C9323, ""薪資""), ""薪資變動(不計入)"",
  REGEXMATCH(C9323, ""押金""), ""押金往來"",
  AND(E9323&lt;&gt;"""", F9323=""""), ""真實支出"",
  AND(E9323="""", F9323&lt;&gt;""""), ""真實收入"",
  TRUE, ""其他""
)"),"其他")</f>
        <v>其他</v>
      </c>
      <c r="K9323" s="270" t="str">
        <f t="shared" si="2"/>
        <v/>
      </c>
      <c r="L9323">
        <f t="shared" si="3"/>
        <v>0</v>
      </c>
    </row>
    <row r="9324">
      <c r="A9324" s="107"/>
      <c r="D9324" s="270"/>
      <c r="H9324" s="106" t="str">
        <f t="shared" si="1"/>
        <v/>
      </c>
      <c r="J9324" t="str">
        <f>IFERROR(__xludf.DUMMYFUNCTION("IFS(
  AND(REGEXMATCH(E9324, ""台銀籌備帳戶|玉山帳戶""), REGEXMATCH(C9324, ""薪資"")), ""分潤支出"",
  AND(REGEXMATCH(E9324, ""Ben帳戶|Elsa帳戶|Ben代墊|Ariel代墊|中信銀行共用""), REGEXMATCH(F9324, ""Ben帳戶|Elsa帳戶|Ben代墊|Ariel代墊|中信銀行共用"")), ""內部轉帳(忽略)"",
  AND(E9324&lt;&gt;"""", F9324&lt;&gt;"""", N"&amp;"OT(REGEXMATCH(C9324, ""薪資""))), ""內部轉帳(忽略)"",
  REGEXMATCH(C9324, ""薪資""), ""薪資變動(不計入)"",
  REGEXMATCH(C9324, ""押金""), ""押金往來"",
  AND(E9324&lt;&gt;"""", F9324=""""), ""真實支出"",
  AND(E9324="""", F9324&lt;&gt;""""), ""真實收入"",
  TRUE, ""其他""
)"),"其他")</f>
        <v>其他</v>
      </c>
      <c r="K9324" s="270" t="str">
        <f t="shared" si="2"/>
        <v/>
      </c>
      <c r="L9324">
        <f t="shared" si="3"/>
        <v>0</v>
      </c>
    </row>
    <row r="9325">
      <c r="A9325" s="107"/>
      <c r="D9325" s="270"/>
      <c r="H9325" s="106" t="str">
        <f t="shared" si="1"/>
        <v/>
      </c>
      <c r="J9325" t="str">
        <f>IFERROR(__xludf.DUMMYFUNCTION("IFS(
  AND(REGEXMATCH(E9325, ""台銀籌備帳戶|玉山帳戶""), REGEXMATCH(C9325, ""薪資"")), ""分潤支出"",
  AND(REGEXMATCH(E9325, ""Ben帳戶|Elsa帳戶|Ben代墊|Ariel代墊|中信銀行共用""), REGEXMATCH(F9325, ""Ben帳戶|Elsa帳戶|Ben代墊|Ariel代墊|中信銀行共用"")), ""內部轉帳(忽略)"",
  AND(E9325&lt;&gt;"""", F9325&lt;&gt;"""", N"&amp;"OT(REGEXMATCH(C9325, ""薪資""))), ""內部轉帳(忽略)"",
  REGEXMATCH(C9325, ""薪資""), ""薪資變動(不計入)"",
  REGEXMATCH(C9325, ""押金""), ""押金往來"",
  AND(E9325&lt;&gt;"""", F9325=""""), ""真實支出"",
  AND(E9325="""", F9325&lt;&gt;""""), ""真實收入"",
  TRUE, ""其他""
)"),"其他")</f>
        <v>其他</v>
      </c>
      <c r="K9325" s="270" t="str">
        <f t="shared" si="2"/>
        <v/>
      </c>
      <c r="L9325">
        <f t="shared" si="3"/>
        <v>0</v>
      </c>
    </row>
    <row r="9326">
      <c r="A9326" s="107"/>
      <c r="D9326" s="270"/>
      <c r="H9326" s="106" t="str">
        <f t="shared" si="1"/>
        <v/>
      </c>
      <c r="J9326" t="str">
        <f>IFERROR(__xludf.DUMMYFUNCTION("IFS(
  AND(REGEXMATCH(E9326, ""台銀籌備帳戶|玉山帳戶""), REGEXMATCH(C9326, ""薪資"")), ""分潤支出"",
  AND(REGEXMATCH(E9326, ""Ben帳戶|Elsa帳戶|Ben代墊|Ariel代墊|中信銀行共用""), REGEXMATCH(F9326, ""Ben帳戶|Elsa帳戶|Ben代墊|Ariel代墊|中信銀行共用"")), ""內部轉帳(忽略)"",
  AND(E9326&lt;&gt;"""", F9326&lt;&gt;"""", N"&amp;"OT(REGEXMATCH(C9326, ""薪資""))), ""內部轉帳(忽略)"",
  REGEXMATCH(C9326, ""薪資""), ""薪資變動(不計入)"",
  REGEXMATCH(C9326, ""押金""), ""押金往來"",
  AND(E9326&lt;&gt;"""", F9326=""""), ""真實支出"",
  AND(E9326="""", F9326&lt;&gt;""""), ""真實收入"",
  TRUE, ""其他""
)"),"其他")</f>
        <v>其他</v>
      </c>
      <c r="K9326" s="270" t="str">
        <f t="shared" si="2"/>
        <v/>
      </c>
      <c r="L9326">
        <f t="shared" si="3"/>
        <v>0</v>
      </c>
    </row>
    <row r="9327">
      <c r="A9327" s="107"/>
      <c r="D9327" s="270"/>
      <c r="H9327" s="106" t="str">
        <f t="shared" si="1"/>
        <v/>
      </c>
      <c r="J9327" t="str">
        <f>IFERROR(__xludf.DUMMYFUNCTION("IFS(
  AND(REGEXMATCH(E9327, ""台銀籌備帳戶|玉山帳戶""), REGEXMATCH(C9327, ""薪資"")), ""分潤支出"",
  AND(REGEXMATCH(E9327, ""Ben帳戶|Elsa帳戶|Ben代墊|Ariel代墊|中信銀行共用""), REGEXMATCH(F9327, ""Ben帳戶|Elsa帳戶|Ben代墊|Ariel代墊|中信銀行共用"")), ""內部轉帳(忽略)"",
  AND(E9327&lt;&gt;"""", F9327&lt;&gt;"""", N"&amp;"OT(REGEXMATCH(C9327, ""薪資""))), ""內部轉帳(忽略)"",
  REGEXMATCH(C9327, ""薪資""), ""薪資變動(不計入)"",
  REGEXMATCH(C9327, ""押金""), ""押金往來"",
  AND(E9327&lt;&gt;"""", F9327=""""), ""真實支出"",
  AND(E9327="""", F9327&lt;&gt;""""), ""真實收入"",
  TRUE, ""其他""
)"),"其他")</f>
        <v>其他</v>
      </c>
      <c r="K9327" s="270" t="str">
        <f t="shared" si="2"/>
        <v/>
      </c>
      <c r="L9327">
        <f t="shared" si="3"/>
        <v>0</v>
      </c>
    </row>
    <row r="9328">
      <c r="A9328" s="107"/>
      <c r="D9328" s="270"/>
      <c r="H9328" s="106" t="str">
        <f t="shared" si="1"/>
        <v/>
      </c>
      <c r="J9328" t="str">
        <f>IFERROR(__xludf.DUMMYFUNCTION("IFS(
  AND(REGEXMATCH(E9328, ""台銀籌備帳戶|玉山帳戶""), REGEXMATCH(C9328, ""薪資"")), ""分潤支出"",
  AND(REGEXMATCH(E9328, ""Ben帳戶|Elsa帳戶|Ben代墊|Ariel代墊|中信銀行共用""), REGEXMATCH(F9328, ""Ben帳戶|Elsa帳戶|Ben代墊|Ariel代墊|中信銀行共用"")), ""內部轉帳(忽略)"",
  AND(E9328&lt;&gt;"""", F9328&lt;&gt;"""", N"&amp;"OT(REGEXMATCH(C9328, ""薪資""))), ""內部轉帳(忽略)"",
  REGEXMATCH(C9328, ""薪資""), ""薪資變動(不計入)"",
  REGEXMATCH(C9328, ""押金""), ""押金往來"",
  AND(E9328&lt;&gt;"""", F9328=""""), ""真實支出"",
  AND(E9328="""", F9328&lt;&gt;""""), ""真實收入"",
  TRUE, ""其他""
)"),"其他")</f>
        <v>其他</v>
      </c>
      <c r="K9328" s="270" t="str">
        <f t="shared" si="2"/>
        <v/>
      </c>
      <c r="L9328">
        <f t="shared" si="3"/>
        <v>0</v>
      </c>
    </row>
    <row r="9329">
      <c r="A9329" s="107"/>
      <c r="D9329" s="270"/>
      <c r="H9329" s="106" t="str">
        <f t="shared" si="1"/>
        <v/>
      </c>
      <c r="J9329" t="str">
        <f>IFERROR(__xludf.DUMMYFUNCTION("IFS(
  AND(REGEXMATCH(E9329, ""台銀籌備帳戶|玉山帳戶""), REGEXMATCH(C9329, ""薪資"")), ""分潤支出"",
  AND(REGEXMATCH(E9329, ""Ben帳戶|Elsa帳戶|Ben代墊|Ariel代墊|中信銀行共用""), REGEXMATCH(F9329, ""Ben帳戶|Elsa帳戶|Ben代墊|Ariel代墊|中信銀行共用"")), ""內部轉帳(忽略)"",
  AND(E9329&lt;&gt;"""", F9329&lt;&gt;"""", N"&amp;"OT(REGEXMATCH(C9329, ""薪資""))), ""內部轉帳(忽略)"",
  REGEXMATCH(C9329, ""薪資""), ""薪資變動(不計入)"",
  REGEXMATCH(C9329, ""押金""), ""押金往來"",
  AND(E9329&lt;&gt;"""", F9329=""""), ""真實支出"",
  AND(E9329="""", F9329&lt;&gt;""""), ""真實收入"",
  TRUE, ""其他""
)"),"其他")</f>
        <v>其他</v>
      </c>
      <c r="K9329" s="270" t="str">
        <f t="shared" si="2"/>
        <v/>
      </c>
      <c r="L9329">
        <f t="shared" si="3"/>
        <v>0</v>
      </c>
    </row>
    <row r="9330">
      <c r="A9330" s="107"/>
      <c r="D9330" s="270"/>
      <c r="H9330" s="106" t="str">
        <f t="shared" si="1"/>
        <v/>
      </c>
      <c r="J9330" t="str">
        <f>IFERROR(__xludf.DUMMYFUNCTION("IFS(
  AND(REGEXMATCH(E9330, ""台銀籌備帳戶|玉山帳戶""), REGEXMATCH(C9330, ""薪資"")), ""分潤支出"",
  AND(REGEXMATCH(E9330, ""Ben帳戶|Elsa帳戶|Ben代墊|Ariel代墊|中信銀行共用""), REGEXMATCH(F9330, ""Ben帳戶|Elsa帳戶|Ben代墊|Ariel代墊|中信銀行共用"")), ""內部轉帳(忽略)"",
  AND(E9330&lt;&gt;"""", F9330&lt;&gt;"""", N"&amp;"OT(REGEXMATCH(C9330, ""薪資""))), ""內部轉帳(忽略)"",
  REGEXMATCH(C9330, ""薪資""), ""薪資變動(不計入)"",
  REGEXMATCH(C9330, ""押金""), ""押金往來"",
  AND(E9330&lt;&gt;"""", F9330=""""), ""真實支出"",
  AND(E9330="""", F9330&lt;&gt;""""), ""真實收入"",
  TRUE, ""其他""
)"),"其他")</f>
        <v>其他</v>
      </c>
      <c r="K9330" s="270" t="str">
        <f t="shared" si="2"/>
        <v/>
      </c>
      <c r="L9330">
        <f t="shared" si="3"/>
        <v>0</v>
      </c>
    </row>
    <row r="9331">
      <c r="A9331" s="107"/>
      <c r="D9331" s="270"/>
      <c r="H9331" s="106" t="str">
        <f t="shared" si="1"/>
        <v/>
      </c>
      <c r="J9331" t="str">
        <f>IFERROR(__xludf.DUMMYFUNCTION("IFS(
  AND(REGEXMATCH(E9331, ""台銀籌備帳戶|玉山帳戶""), REGEXMATCH(C9331, ""薪資"")), ""分潤支出"",
  AND(REGEXMATCH(E9331, ""Ben帳戶|Elsa帳戶|Ben代墊|Ariel代墊|中信銀行共用""), REGEXMATCH(F9331, ""Ben帳戶|Elsa帳戶|Ben代墊|Ariel代墊|中信銀行共用"")), ""內部轉帳(忽略)"",
  AND(E9331&lt;&gt;"""", F9331&lt;&gt;"""", N"&amp;"OT(REGEXMATCH(C9331, ""薪資""))), ""內部轉帳(忽略)"",
  REGEXMATCH(C9331, ""薪資""), ""薪資變動(不計入)"",
  REGEXMATCH(C9331, ""押金""), ""押金往來"",
  AND(E9331&lt;&gt;"""", F9331=""""), ""真實支出"",
  AND(E9331="""", F9331&lt;&gt;""""), ""真實收入"",
  TRUE, ""其他""
)"),"其他")</f>
        <v>其他</v>
      </c>
      <c r="K9331" s="270" t="str">
        <f t="shared" si="2"/>
        <v/>
      </c>
      <c r="L9331">
        <f t="shared" si="3"/>
        <v>0</v>
      </c>
    </row>
    <row r="9332">
      <c r="A9332" s="107"/>
      <c r="D9332" s="270"/>
      <c r="H9332" s="106" t="str">
        <f t="shared" si="1"/>
        <v/>
      </c>
      <c r="J9332" t="str">
        <f>IFERROR(__xludf.DUMMYFUNCTION("IFS(
  AND(REGEXMATCH(E9332, ""台銀籌備帳戶|玉山帳戶""), REGEXMATCH(C9332, ""薪資"")), ""分潤支出"",
  AND(REGEXMATCH(E9332, ""Ben帳戶|Elsa帳戶|Ben代墊|Ariel代墊|中信銀行共用""), REGEXMATCH(F9332, ""Ben帳戶|Elsa帳戶|Ben代墊|Ariel代墊|中信銀行共用"")), ""內部轉帳(忽略)"",
  AND(E9332&lt;&gt;"""", F9332&lt;&gt;"""", N"&amp;"OT(REGEXMATCH(C9332, ""薪資""))), ""內部轉帳(忽略)"",
  REGEXMATCH(C9332, ""薪資""), ""薪資變動(不計入)"",
  REGEXMATCH(C9332, ""押金""), ""押金往來"",
  AND(E9332&lt;&gt;"""", F9332=""""), ""真實支出"",
  AND(E9332="""", F9332&lt;&gt;""""), ""真實收入"",
  TRUE, ""其他""
)"),"其他")</f>
        <v>其他</v>
      </c>
      <c r="K9332" s="270" t="str">
        <f t="shared" si="2"/>
        <v/>
      </c>
      <c r="L9332">
        <f t="shared" si="3"/>
        <v>0</v>
      </c>
    </row>
    <row r="9333">
      <c r="A9333" s="107"/>
      <c r="D9333" s="270"/>
      <c r="H9333" s="106" t="str">
        <f t="shared" si="1"/>
        <v/>
      </c>
      <c r="J9333" t="str">
        <f>IFERROR(__xludf.DUMMYFUNCTION("IFS(
  AND(REGEXMATCH(E9333, ""台銀籌備帳戶|玉山帳戶""), REGEXMATCH(C9333, ""薪資"")), ""分潤支出"",
  AND(REGEXMATCH(E9333, ""Ben帳戶|Elsa帳戶|Ben代墊|Ariel代墊|中信銀行共用""), REGEXMATCH(F9333, ""Ben帳戶|Elsa帳戶|Ben代墊|Ariel代墊|中信銀行共用"")), ""內部轉帳(忽略)"",
  AND(E9333&lt;&gt;"""", F9333&lt;&gt;"""", N"&amp;"OT(REGEXMATCH(C9333, ""薪資""))), ""內部轉帳(忽略)"",
  REGEXMATCH(C9333, ""薪資""), ""薪資變動(不計入)"",
  REGEXMATCH(C9333, ""押金""), ""押金往來"",
  AND(E9333&lt;&gt;"""", F9333=""""), ""真實支出"",
  AND(E9333="""", F9333&lt;&gt;""""), ""真實收入"",
  TRUE, ""其他""
)"),"其他")</f>
        <v>其他</v>
      </c>
      <c r="K9333" s="270" t="str">
        <f t="shared" si="2"/>
        <v/>
      </c>
      <c r="L9333">
        <f t="shared" si="3"/>
        <v>0</v>
      </c>
    </row>
    <row r="9334">
      <c r="A9334" s="107"/>
      <c r="D9334" s="270"/>
      <c r="H9334" s="106" t="str">
        <f t="shared" si="1"/>
        <v/>
      </c>
      <c r="J9334" t="str">
        <f>IFERROR(__xludf.DUMMYFUNCTION("IFS(
  AND(REGEXMATCH(E9334, ""台銀籌備帳戶|玉山帳戶""), REGEXMATCH(C9334, ""薪資"")), ""分潤支出"",
  AND(REGEXMATCH(E9334, ""Ben帳戶|Elsa帳戶|Ben代墊|Ariel代墊|中信銀行共用""), REGEXMATCH(F9334, ""Ben帳戶|Elsa帳戶|Ben代墊|Ariel代墊|中信銀行共用"")), ""內部轉帳(忽略)"",
  AND(E9334&lt;&gt;"""", F9334&lt;&gt;"""", N"&amp;"OT(REGEXMATCH(C9334, ""薪資""))), ""內部轉帳(忽略)"",
  REGEXMATCH(C9334, ""薪資""), ""薪資變動(不計入)"",
  REGEXMATCH(C9334, ""押金""), ""押金往來"",
  AND(E9334&lt;&gt;"""", F9334=""""), ""真實支出"",
  AND(E9334="""", F9334&lt;&gt;""""), ""真實收入"",
  TRUE, ""其他""
)"),"其他")</f>
        <v>其他</v>
      </c>
      <c r="K9334" s="270" t="str">
        <f t="shared" si="2"/>
        <v/>
      </c>
      <c r="L9334">
        <f t="shared" si="3"/>
        <v>0</v>
      </c>
    </row>
    <row r="9335">
      <c r="A9335" s="107"/>
      <c r="D9335" s="270"/>
      <c r="H9335" s="106" t="str">
        <f t="shared" si="1"/>
        <v/>
      </c>
      <c r="J9335" t="str">
        <f>IFERROR(__xludf.DUMMYFUNCTION("IFS(
  AND(REGEXMATCH(E9335, ""台銀籌備帳戶|玉山帳戶""), REGEXMATCH(C9335, ""薪資"")), ""分潤支出"",
  AND(REGEXMATCH(E9335, ""Ben帳戶|Elsa帳戶|Ben代墊|Ariel代墊|中信銀行共用""), REGEXMATCH(F9335, ""Ben帳戶|Elsa帳戶|Ben代墊|Ariel代墊|中信銀行共用"")), ""內部轉帳(忽略)"",
  AND(E9335&lt;&gt;"""", F9335&lt;&gt;"""", N"&amp;"OT(REGEXMATCH(C9335, ""薪資""))), ""內部轉帳(忽略)"",
  REGEXMATCH(C9335, ""薪資""), ""薪資變動(不計入)"",
  REGEXMATCH(C9335, ""押金""), ""押金往來"",
  AND(E9335&lt;&gt;"""", F9335=""""), ""真實支出"",
  AND(E9335="""", F9335&lt;&gt;""""), ""真實收入"",
  TRUE, ""其他""
)"),"其他")</f>
        <v>其他</v>
      </c>
      <c r="K9335" s="270" t="str">
        <f t="shared" si="2"/>
        <v/>
      </c>
      <c r="L9335">
        <f t="shared" si="3"/>
        <v>0</v>
      </c>
    </row>
    <row r="9336">
      <c r="A9336" s="107"/>
      <c r="D9336" s="270"/>
      <c r="H9336" s="106" t="str">
        <f t="shared" si="1"/>
        <v/>
      </c>
      <c r="J9336" t="str">
        <f>IFERROR(__xludf.DUMMYFUNCTION("IFS(
  AND(REGEXMATCH(E9336, ""台銀籌備帳戶|玉山帳戶""), REGEXMATCH(C9336, ""薪資"")), ""分潤支出"",
  AND(REGEXMATCH(E9336, ""Ben帳戶|Elsa帳戶|Ben代墊|Ariel代墊|中信銀行共用""), REGEXMATCH(F9336, ""Ben帳戶|Elsa帳戶|Ben代墊|Ariel代墊|中信銀行共用"")), ""內部轉帳(忽略)"",
  AND(E9336&lt;&gt;"""", F9336&lt;&gt;"""", N"&amp;"OT(REGEXMATCH(C9336, ""薪資""))), ""內部轉帳(忽略)"",
  REGEXMATCH(C9336, ""薪資""), ""薪資變動(不計入)"",
  REGEXMATCH(C9336, ""押金""), ""押金往來"",
  AND(E9336&lt;&gt;"""", F9336=""""), ""真實支出"",
  AND(E9336="""", F9336&lt;&gt;""""), ""真實收入"",
  TRUE, ""其他""
)"),"其他")</f>
        <v>其他</v>
      </c>
      <c r="K9336" s="270" t="str">
        <f t="shared" si="2"/>
        <v/>
      </c>
      <c r="L9336">
        <f t="shared" si="3"/>
        <v>0</v>
      </c>
    </row>
    <row r="9337">
      <c r="A9337" s="107"/>
      <c r="D9337" s="270"/>
      <c r="H9337" s="106" t="str">
        <f t="shared" si="1"/>
        <v/>
      </c>
      <c r="J9337" t="str">
        <f>IFERROR(__xludf.DUMMYFUNCTION("IFS(
  AND(REGEXMATCH(E9337, ""台銀籌備帳戶|玉山帳戶""), REGEXMATCH(C9337, ""薪資"")), ""分潤支出"",
  AND(REGEXMATCH(E9337, ""Ben帳戶|Elsa帳戶|Ben代墊|Ariel代墊|中信銀行共用""), REGEXMATCH(F9337, ""Ben帳戶|Elsa帳戶|Ben代墊|Ariel代墊|中信銀行共用"")), ""內部轉帳(忽略)"",
  AND(E9337&lt;&gt;"""", F9337&lt;&gt;"""", N"&amp;"OT(REGEXMATCH(C9337, ""薪資""))), ""內部轉帳(忽略)"",
  REGEXMATCH(C9337, ""薪資""), ""薪資變動(不計入)"",
  REGEXMATCH(C9337, ""押金""), ""押金往來"",
  AND(E9337&lt;&gt;"""", F9337=""""), ""真實支出"",
  AND(E9337="""", F9337&lt;&gt;""""), ""真實收入"",
  TRUE, ""其他""
)"),"其他")</f>
        <v>其他</v>
      </c>
      <c r="K9337" s="270" t="str">
        <f t="shared" si="2"/>
        <v/>
      </c>
      <c r="L9337">
        <f t="shared" si="3"/>
        <v>0</v>
      </c>
    </row>
    <row r="9338">
      <c r="A9338" s="107"/>
      <c r="D9338" s="270"/>
      <c r="H9338" s="106" t="str">
        <f t="shared" si="1"/>
        <v/>
      </c>
      <c r="J9338" t="str">
        <f>IFERROR(__xludf.DUMMYFUNCTION("IFS(
  AND(REGEXMATCH(E9338, ""台銀籌備帳戶|玉山帳戶""), REGEXMATCH(C9338, ""薪資"")), ""分潤支出"",
  AND(REGEXMATCH(E9338, ""Ben帳戶|Elsa帳戶|Ben代墊|Ariel代墊|中信銀行共用""), REGEXMATCH(F9338, ""Ben帳戶|Elsa帳戶|Ben代墊|Ariel代墊|中信銀行共用"")), ""內部轉帳(忽略)"",
  AND(E9338&lt;&gt;"""", F9338&lt;&gt;"""", N"&amp;"OT(REGEXMATCH(C9338, ""薪資""))), ""內部轉帳(忽略)"",
  REGEXMATCH(C9338, ""薪資""), ""薪資變動(不計入)"",
  REGEXMATCH(C9338, ""押金""), ""押金往來"",
  AND(E9338&lt;&gt;"""", F9338=""""), ""真實支出"",
  AND(E9338="""", F9338&lt;&gt;""""), ""真實收入"",
  TRUE, ""其他""
)"),"其他")</f>
        <v>其他</v>
      </c>
      <c r="K9338" s="270" t="str">
        <f t="shared" si="2"/>
        <v/>
      </c>
      <c r="L9338">
        <f t="shared" si="3"/>
        <v>0</v>
      </c>
    </row>
    <row r="9339">
      <c r="A9339" s="107"/>
      <c r="D9339" s="270"/>
      <c r="H9339" s="106" t="str">
        <f t="shared" si="1"/>
        <v/>
      </c>
      <c r="J9339" t="str">
        <f>IFERROR(__xludf.DUMMYFUNCTION("IFS(
  AND(REGEXMATCH(E9339, ""台銀籌備帳戶|玉山帳戶""), REGEXMATCH(C9339, ""薪資"")), ""分潤支出"",
  AND(REGEXMATCH(E9339, ""Ben帳戶|Elsa帳戶|Ben代墊|Ariel代墊|中信銀行共用""), REGEXMATCH(F9339, ""Ben帳戶|Elsa帳戶|Ben代墊|Ariel代墊|中信銀行共用"")), ""內部轉帳(忽略)"",
  AND(E9339&lt;&gt;"""", F9339&lt;&gt;"""", N"&amp;"OT(REGEXMATCH(C9339, ""薪資""))), ""內部轉帳(忽略)"",
  REGEXMATCH(C9339, ""薪資""), ""薪資變動(不計入)"",
  REGEXMATCH(C9339, ""押金""), ""押金往來"",
  AND(E9339&lt;&gt;"""", F9339=""""), ""真實支出"",
  AND(E9339="""", F9339&lt;&gt;""""), ""真實收入"",
  TRUE, ""其他""
)"),"其他")</f>
        <v>其他</v>
      </c>
      <c r="K9339" s="270" t="str">
        <f t="shared" si="2"/>
        <v/>
      </c>
      <c r="L9339">
        <f t="shared" si="3"/>
        <v>0</v>
      </c>
    </row>
    <row r="9340">
      <c r="A9340" s="107"/>
      <c r="D9340" s="270"/>
      <c r="H9340" s="106" t="str">
        <f t="shared" si="1"/>
        <v/>
      </c>
      <c r="J9340" t="str">
        <f>IFERROR(__xludf.DUMMYFUNCTION("IFS(
  AND(REGEXMATCH(E9340, ""台銀籌備帳戶|玉山帳戶""), REGEXMATCH(C9340, ""薪資"")), ""分潤支出"",
  AND(REGEXMATCH(E9340, ""Ben帳戶|Elsa帳戶|Ben代墊|Ariel代墊|中信銀行共用""), REGEXMATCH(F9340, ""Ben帳戶|Elsa帳戶|Ben代墊|Ariel代墊|中信銀行共用"")), ""內部轉帳(忽略)"",
  AND(E9340&lt;&gt;"""", F9340&lt;&gt;"""", N"&amp;"OT(REGEXMATCH(C9340, ""薪資""))), ""內部轉帳(忽略)"",
  REGEXMATCH(C9340, ""薪資""), ""薪資變動(不計入)"",
  REGEXMATCH(C9340, ""押金""), ""押金往來"",
  AND(E9340&lt;&gt;"""", F9340=""""), ""真實支出"",
  AND(E9340="""", F9340&lt;&gt;""""), ""真實收入"",
  TRUE, ""其他""
)"),"其他")</f>
        <v>其他</v>
      </c>
      <c r="K9340" s="270" t="str">
        <f t="shared" si="2"/>
        <v/>
      </c>
      <c r="L9340">
        <f t="shared" si="3"/>
        <v>0</v>
      </c>
    </row>
    <row r="9341">
      <c r="A9341" s="107"/>
      <c r="D9341" s="270"/>
      <c r="H9341" s="106" t="str">
        <f t="shared" si="1"/>
        <v/>
      </c>
      <c r="J9341" t="str">
        <f>IFERROR(__xludf.DUMMYFUNCTION("IFS(
  AND(REGEXMATCH(E9341, ""台銀籌備帳戶|玉山帳戶""), REGEXMATCH(C9341, ""薪資"")), ""分潤支出"",
  AND(REGEXMATCH(E9341, ""Ben帳戶|Elsa帳戶|Ben代墊|Ariel代墊|中信銀行共用""), REGEXMATCH(F9341, ""Ben帳戶|Elsa帳戶|Ben代墊|Ariel代墊|中信銀行共用"")), ""內部轉帳(忽略)"",
  AND(E9341&lt;&gt;"""", F9341&lt;&gt;"""", N"&amp;"OT(REGEXMATCH(C9341, ""薪資""))), ""內部轉帳(忽略)"",
  REGEXMATCH(C9341, ""薪資""), ""薪資變動(不計入)"",
  REGEXMATCH(C9341, ""押金""), ""押金往來"",
  AND(E9341&lt;&gt;"""", F9341=""""), ""真實支出"",
  AND(E9341="""", F9341&lt;&gt;""""), ""真實收入"",
  TRUE, ""其他""
)"),"其他")</f>
        <v>其他</v>
      </c>
      <c r="K9341" s="270" t="str">
        <f t="shared" si="2"/>
        <v/>
      </c>
      <c r="L9341">
        <f t="shared" si="3"/>
        <v>0</v>
      </c>
    </row>
    <row r="9342">
      <c r="A9342" s="107"/>
      <c r="D9342" s="270"/>
      <c r="H9342" s="106" t="str">
        <f t="shared" si="1"/>
        <v/>
      </c>
      <c r="J9342" t="str">
        <f>IFERROR(__xludf.DUMMYFUNCTION("IFS(
  AND(REGEXMATCH(E9342, ""台銀籌備帳戶|玉山帳戶""), REGEXMATCH(C9342, ""薪資"")), ""分潤支出"",
  AND(REGEXMATCH(E9342, ""Ben帳戶|Elsa帳戶|Ben代墊|Ariel代墊|中信銀行共用""), REGEXMATCH(F9342, ""Ben帳戶|Elsa帳戶|Ben代墊|Ariel代墊|中信銀行共用"")), ""內部轉帳(忽略)"",
  AND(E9342&lt;&gt;"""", F9342&lt;&gt;"""", N"&amp;"OT(REGEXMATCH(C9342, ""薪資""))), ""內部轉帳(忽略)"",
  REGEXMATCH(C9342, ""薪資""), ""薪資變動(不計入)"",
  REGEXMATCH(C9342, ""押金""), ""押金往來"",
  AND(E9342&lt;&gt;"""", F9342=""""), ""真實支出"",
  AND(E9342="""", F9342&lt;&gt;""""), ""真實收入"",
  TRUE, ""其他""
)"),"其他")</f>
        <v>其他</v>
      </c>
      <c r="K9342" s="270" t="str">
        <f t="shared" si="2"/>
        <v/>
      </c>
      <c r="L9342">
        <f t="shared" si="3"/>
        <v>0</v>
      </c>
    </row>
    <row r="9343">
      <c r="A9343" s="107"/>
      <c r="D9343" s="270"/>
      <c r="H9343" s="106" t="str">
        <f t="shared" si="1"/>
        <v/>
      </c>
      <c r="J9343" t="str">
        <f>IFERROR(__xludf.DUMMYFUNCTION("IFS(
  AND(REGEXMATCH(E9343, ""台銀籌備帳戶|玉山帳戶""), REGEXMATCH(C9343, ""薪資"")), ""分潤支出"",
  AND(REGEXMATCH(E9343, ""Ben帳戶|Elsa帳戶|Ben代墊|Ariel代墊|中信銀行共用""), REGEXMATCH(F9343, ""Ben帳戶|Elsa帳戶|Ben代墊|Ariel代墊|中信銀行共用"")), ""內部轉帳(忽略)"",
  AND(E9343&lt;&gt;"""", F9343&lt;&gt;"""", N"&amp;"OT(REGEXMATCH(C9343, ""薪資""))), ""內部轉帳(忽略)"",
  REGEXMATCH(C9343, ""薪資""), ""薪資變動(不計入)"",
  REGEXMATCH(C9343, ""押金""), ""押金往來"",
  AND(E9343&lt;&gt;"""", F9343=""""), ""真實支出"",
  AND(E9343="""", F9343&lt;&gt;""""), ""真實收入"",
  TRUE, ""其他""
)"),"其他")</f>
        <v>其他</v>
      </c>
      <c r="K9343" s="270" t="str">
        <f t="shared" si="2"/>
        <v/>
      </c>
      <c r="L9343">
        <f t="shared" si="3"/>
        <v>0</v>
      </c>
    </row>
    <row r="9344">
      <c r="A9344" s="107"/>
      <c r="D9344" s="270"/>
      <c r="H9344" s="106" t="str">
        <f t="shared" si="1"/>
        <v/>
      </c>
      <c r="J9344" t="str">
        <f>IFERROR(__xludf.DUMMYFUNCTION("IFS(
  AND(REGEXMATCH(E9344, ""台銀籌備帳戶|玉山帳戶""), REGEXMATCH(C9344, ""薪資"")), ""分潤支出"",
  AND(REGEXMATCH(E9344, ""Ben帳戶|Elsa帳戶|Ben代墊|Ariel代墊|中信銀行共用""), REGEXMATCH(F9344, ""Ben帳戶|Elsa帳戶|Ben代墊|Ariel代墊|中信銀行共用"")), ""內部轉帳(忽略)"",
  AND(E9344&lt;&gt;"""", F9344&lt;&gt;"""", N"&amp;"OT(REGEXMATCH(C9344, ""薪資""))), ""內部轉帳(忽略)"",
  REGEXMATCH(C9344, ""薪資""), ""薪資變動(不計入)"",
  REGEXMATCH(C9344, ""押金""), ""押金往來"",
  AND(E9344&lt;&gt;"""", F9344=""""), ""真實支出"",
  AND(E9344="""", F9344&lt;&gt;""""), ""真實收入"",
  TRUE, ""其他""
)"),"其他")</f>
        <v>其他</v>
      </c>
      <c r="K9344" s="270" t="str">
        <f t="shared" si="2"/>
        <v/>
      </c>
      <c r="L9344">
        <f t="shared" si="3"/>
        <v>0</v>
      </c>
    </row>
    <row r="9345">
      <c r="A9345" s="107"/>
      <c r="D9345" s="270"/>
      <c r="H9345" s="106" t="str">
        <f t="shared" si="1"/>
        <v/>
      </c>
      <c r="J9345" t="str">
        <f>IFERROR(__xludf.DUMMYFUNCTION("IFS(
  AND(REGEXMATCH(E9345, ""台銀籌備帳戶|玉山帳戶""), REGEXMATCH(C9345, ""薪資"")), ""分潤支出"",
  AND(REGEXMATCH(E9345, ""Ben帳戶|Elsa帳戶|Ben代墊|Ariel代墊|中信銀行共用""), REGEXMATCH(F9345, ""Ben帳戶|Elsa帳戶|Ben代墊|Ariel代墊|中信銀行共用"")), ""內部轉帳(忽略)"",
  AND(E9345&lt;&gt;"""", F9345&lt;&gt;"""", N"&amp;"OT(REGEXMATCH(C9345, ""薪資""))), ""內部轉帳(忽略)"",
  REGEXMATCH(C9345, ""薪資""), ""薪資變動(不計入)"",
  REGEXMATCH(C9345, ""押金""), ""押金往來"",
  AND(E9345&lt;&gt;"""", F9345=""""), ""真實支出"",
  AND(E9345="""", F9345&lt;&gt;""""), ""真實收入"",
  TRUE, ""其他""
)"),"其他")</f>
        <v>其他</v>
      </c>
      <c r="K9345" s="270" t="str">
        <f t="shared" si="2"/>
        <v/>
      </c>
      <c r="L9345">
        <f t="shared" si="3"/>
        <v>0</v>
      </c>
    </row>
    <row r="9346">
      <c r="A9346" s="107"/>
      <c r="D9346" s="270"/>
      <c r="H9346" s="106" t="str">
        <f t="shared" si="1"/>
        <v/>
      </c>
      <c r="J9346" t="str">
        <f>IFERROR(__xludf.DUMMYFUNCTION("IFS(
  AND(REGEXMATCH(E9346, ""台銀籌備帳戶|玉山帳戶""), REGEXMATCH(C9346, ""薪資"")), ""分潤支出"",
  AND(REGEXMATCH(E9346, ""Ben帳戶|Elsa帳戶|Ben代墊|Ariel代墊|中信銀行共用""), REGEXMATCH(F9346, ""Ben帳戶|Elsa帳戶|Ben代墊|Ariel代墊|中信銀行共用"")), ""內部轉帳(忽略)"",
  AND(E9346&lt;&gt;"""", F9346&lt;&gt;"""", N"&amp;"OT(REGEXMATCH(C9346, ""薪資""))), ""內部轉帳(忽略)"",
  REGEXMATCH(C9346, ""薪資""), ""薪資變動(不計入)"",
  REGEXMATCH(C9346, ""押金""), ""押金往來"",
  AND(E9346&lt;&gt;"""", F9346=""""), ""真實支出"",
  AND(E9346="""", F9346&lt;&gt;""""), ""真實收入"",
  TRUE, ""其他""
)"),"其他")</f>
        <v>其他</v>
      </c>
      <c r="K9346" s="270" t="str">
        <f t="shared" si="2"/>
        <v/>
      </c>
      <c r="L9346">
        <f t="shared" si="3"/>
        <v>0</v>
      </c>
    </row>
    <row r="9347">
      <c r="A9347" s="107"/>
      <c r="D9347" s="270"/>
      <c r="H9347" s="106" t="str">
        <f t="shared" si="1"/>
        <v/>
      </c>
      <c r="J9347" t="str">
        <f>IFERROR(__xludf.DUMMYFUNCTION("IFS(
  AND(REGEXMATCH(E9347, ""台銀籌備帳戶|玉山帳戶""), REGEXMATCH(C9347, ""薪資"")), ""分潤支出"",
  AND(REGEXMATCH(E9347, ""Ben帳戶|Elsa帳戶|Ben代墊|Ariel代墊|中信銀行共用""), REGEXMATCH(F9347, ""Ben帳戶|Elsa帳戶|Ben代墊|Ariel代墊|中信銀行共用"")), ""內部轉帳(忽略)"",
  AND(E9347&lt;&gt;"""", F9347&lt;&gt;"""", N"&amp;"OT(REGEXMATCH(C9347, ""薪資""))), ""內部轉帳(忽略)"",
  REGEXMATCH(C9347, ""薪資""), ""薪資變動(不計入)"",
  REGEXMATCH(C9347, ""押金""), ""押金往來"",
  AND(E9347&lt;&gt;"""", F9347=""""), ""真實支出"",
  AND(E9347="""", F9347&lt;&gt;""""), ""真實收入"",
  TRUE, ""其他""
)"),"其他")</f>
        <v>其他</v>
      </c>
      <c r="K9347" s="270" t="str">
        <f t="shared" si="2"/>
        <v/>
      </c>
      <c r="L9347">
        <f t="shared" si="3"/>
        <v>0</v>
      </c>
    </row>
    <row r="9348">
      <c r="A9348" s="107"/>
      <c r="D9348" s="270"/>
      <c r="H9348" s="106" t="str">
        <f t="shared" si="1"/>
        <v/>
      </c>
      <c r="J9348" t="str">
        <f>IFERROR(__xludf.DUMMYFUNCTION("IFS(
  AND(REGEXMATCH(E9348, ""台銀籌備帳戶|玉山帳戶""), REGEXMATCH(C9348, ""薪資"")), ""分潤支出"",
  AND(REGEXMATCH(E9348, ""Ben帳戶|Elsa帳戶|Ben代墊|Ariel代墊|中信銀行共用""), REGEXMATCH(F9348, ""Ben帳戶|Elsa帳戶|Ben代墊|Ariel代墊|中信銀行共用"")), ""內部轉帳(忽略)"",
  AND(E9348&lt;&gt;"""", F9348&lt;&gt;"""", N"&amp;"OT(REGEXMATCH(C9348, ""薪資""))), ""內部轉帳(忽略)"",
  REGEXMATCH(C9348, ""薪資""), ""薪資變動(不計入)"",
  REGEXMATCH(C9348, ""押金""), ""押金往來"",
  AND(E9348&lt;&gt;"""", F9348=""""), ""真實支出"",
  AND(E9348="""", F9348&lt;&gt;""""), ""真實收入"",
  TRUE, ""其他""
)"),"其他")</f>
        <v>其他</v>
      </c>
      <c r="K9348" s="270" t="str">
        <f t="shared" si="2"/>
        <v/>
      </c>
      <c r="L9348">
        <f t="shared" si="3"/>
        <v>0</v>
      </c>
    </row>
    <row r="9349">
      <c r="A9349" s="107"/>
      <c r="D9349" s="270"/>
      <c r="H9349" s="106" t="str">
        <f t="shared" si="1"/>
        <v/>
      </c>
      <c r="J9349" t="str">
        <f>IFERROR(__xludf.DUMMYFUNCTION("IFS(
  AND(REGEXMATCH(E9349, ""台銀籌備帳戶|玉山帳戶""), REGEXMATCH(C9349, ""薪資"")), ""分潤支出"",
  AND(REGEXMATCH(E9349, ""Ben帳戶|Elsa帳戶|Ben代墊|Ariel代墊|中信銀行共用""), REGEXMATCH(F9349, ""Ben帳戶|Elsa帳戶|Ben代墊|Ariel代墊|中信銀行共用"")), ""內部轉帳(忽略)"",
  AND(E9349&lt;&gt;"""", F9349&lt;&gt;"""", N"&amp;"OT(REGEXMATCH(C9349, ""薪資""))), ""內部轉帳(忽略)"",
  REGEXMATCH(C9349, ""薪資""), ""薪資變動(不計入)"",
  REGEXMATCH(C9349, ""押金""), ""押金往來"",
  AND(E9349&lt;&gt;"""", F9349=""""), ""真實支出"",
  AND(E9349="""", F9349&lt;&gt;""""), ""真實收入"",
  TRUE, ""其他""
)"),"其他")</f>
        <v>其他</v>
      </c>
      <c r="K9349" s="270" t="str">
        <f t="shared" si="2"/>
        <v/>
      </c>
      <c r="L9349">
        <f t="shared" si="3"/>
        <v>0</v>
      </c>
    </row>
    <row r="9350">
      <c r="A9350" s="107"/>
      <c r="D9350" s="270"/>
      <c r="H9350" s="106" t="str">
        <f t="shared" si="1"/>
        <v/>
      </c>
      <c r="J9350" t="str">
        <f>IFERROR(__xludf.DUMMYFUNCTION("IFS(
  AND(REGEXMATCH(E9350, ""台銀籌備帳戶|玉山帳戶""), REGEXMATCH(C9350, ""薪資"")), ""分潤支出"",
  AND(REGEXMATCH(E9350, ""Ben帳戶|Elsa帳戶|Ben代墊|Ariel代墊|中信銀行共用""), REGEXMATCH(F9350, ""Ben帳戶|Elsa帳戶|Ben代墊|Ariel代墊|中信銀行共用"")), ""內部轉帳(忽略)"",
  AND(E9350&lt;&gt;"""", F9350&lt;&gt;"""", N"&amp;"OT(REGEXMATCH(C9350, ""薪資""))), ""內部轉帳(忽略)"",
  REGEXMATCH(C9350, ""薪資""), ""薪資變動(不計入)"",
  REGEXMATCH(C9350, ""押金""), ""押金往來"",
  AND(E9350&lt;&gt;"""", F9350=""""), ""真實支出"",
  AND(E9350="""", F9350&lt;&gt;""""), ""真實收入"",
  TRUE, ""其他""
)"),"其他")</f>
        <v>其他</v>
      </c>
      <c r="K9350" s="270" t="str">
        <f t="shared" si="2"/>
        <v/>
      </c>
      <c r="L9350">
        <f t="shared" si="3"/>
        <v>0</v>
      </c>
    </row>
    <row r="9351">
      <c r="A9351" s="107"/>
      <c r="D9351" s="270"/>
      <c r="H9351" s="106" t="str">
        <f t="shared" si="1"/>
        <v/>
      </c>
      <c r="J9351" t="str">
        <f>IFERROR(__xludf.DUMMYFUNCTION("IFS(
  AND(REGEXMATCH(E9351, ""台銀籌備帳戶|玉山帳戶""), REGEXMATCH(C9351, ""薪資"")), ""分潤支出"",
  AND(REGEXMATCH(E9351, ""Ben帳戶|Elsa帳戶|Ben代墊|Ariel代墊|中信銀行共用""), REGEXMATCH(F9351, ""Ben帳戶|Elsa帳戶|Ben代墊|Ariel代墊|中信銀行共用"")), ""內部轉帳(忽略)"",
  AND(E9351&lt;&gt;"""", F9351&lt;&gt;"""", N"&amp;"OT(REGEXMATCH(C9351, ""薪資""))), ""內部轉帳(忽略)"",
  REGEXMATCH(C9351, ""薪資""), ""薪資變動(不計入)"",
  REGEXMATCH(C9351, ""押金""), ""押金往來"",
  AND(E9351&lt;&gt;"""", F9351=""""), ""真實支出"",
  AND(E9351="""", F9351&lt;&gt;""""), ""真實收入"",
  TRUE, ""其他""
)"),"其他")</f>
        <v>其他</v>
      </c>
      <c r="K9351" s="270" t="str">
        <f t="shared" si="2"/>
        <v/>
      </c>
      <c r="L9351">
        <f t="shared" si="3"/>
        <v>0</v>
      </c>
    </row>
    <row r="9352">
      <c r="A9352" s="107"/>
      <c r="D9352" s="270"/>
      <c r="H9352" s="106" t="str">
        <f t="shared" si="1"/>
        <v/>
      </c>
      <c r="J9352" t="str">
        <f>IFERROR(__xludf.DUMMYFUNCTION("IFS(
  AND(REGEXMATCH(E9352, ""台銀籌備帳戶|玉山帳戶""), REGEXMATCH(C9352, ""薪資"")), ""分潤支出"",
  AND(REGEXMATCH(E9352, ""Ben帳戶|Elsa帳戶|Ben代墊|Ariel代墊|中信銀行共用""), REGEXMATCH(F9352, ""Ben帳戶|Elsa帳戶|Ben代墊|Ariel代墊|中信銀行共用"")), ""內部轉帳(忽略)"",
  AND(E9352&lt;&gt;"""", F9352&lt;&gt;"""", N"&amp;"OT(REGEXMATCH(C9352, ""薪資""))), ""內部轉帳(忽略)"",
  REGEXMATCH(C9352, ""薪資""), ""薪資變動(不計入)"",
  REGEXMATCH(C9352, ""押金""), ""押金往來"",
  AND(E9352&lt;&gt;"""", F9352=""""), ""真實支出"",
  AND(E9352="""", F9352&lt;&gt;""""), ""真實收入"",
  TRUE, ""其他""
)"),"其他")</f>
        <v>其他</v>
      </c>
      <c r="K9352" s="270" t="str">
        <f t="shared" si="2"/>
        <v/>
      </c>
      <c r="L9352">
        <f t="shared" si="3"/>
        <v>0</v>
      </c>
    </row>
    <row r="9353">
      <c r="A9353" s="107"/>
      <c r="D9353" s="270"/>
      <c r="H9353" s="106" t="str">
        <f t="shared" si="1"/>
        <v/>
      </c>
      <c r="J9353" t="str">
        <f>IFERROR(__xludf.DUMMYFUNCTION("IFS(
  AND(REGEXMATCH(E9353, ""台銀籌備帳戶|玉山帳戶""), REGEXMATCH(C9353, ""薪資"")), ""分潤支出"",
  AND(REGEXMATCH(E9353, ""Ben帳戶|Elsa帳戶|Ben代墊|Ariel代墊|中信銀行共用""), REGEXMATCH(F9353, ""Ben帳戶|Elsa帳戶|Ben代墊|Ariel代墊|中信銀行共用"")), ""內部轉帳(忽略)"",
  AND(E9353&lt;&gt;"""", F9353&lt;&gt;"""", N"&amp;"OT(REGEXMATCH(C9353, ""薪資""))), ""內部轉帳(忽略)"",
  REGEXMATCH(C9353, ""薪資""), ""薪資變動(不計入)"",
  REGEXMATCH(C9353, ""押金""), ""押金往來"",
  AND(E9353&lt;&gt;"""", F9353=""""), ""真實支出"",
  AND(E9353="""", F9353&lt;&gt;""""), ""真實收入"",
  TRUE, ""其他""
)"),"其他")</f>
        <v>其他</v>
      </c>
      <c r="K9353" s="270" t="str">
        <f t="shared" si="2"/>
        <v/>
      </c>
      <c r="L9353">
        <f t="shared" si="3"/>
        <v>0</v>
      </c>
    </row>
    <row r="9354">
      <c r="A9354" s="107"/>
      <c r="D9354" s="270"/>
      <c r="H9354" s="106" t="str">
        <f t="shared" si="1"/>
        <v/>
      </c>
      <c r="J9354" t="str">
        <f>IFERROR(__xludf.DUMMYFUNCTION("IFS(
  AND(REGEXMATCH(E9354, ""台銀籌備帳戶|玉山帳戶""), REGEXMATCH(C9354, ""薪資"")), ""分潤支出"",
  AND(REGEXMATCH(E9354, ""Ben帳戶|Elsa帳戶|Ben代墊|Ariel代墊|中信銀行共用""), REGEXMATCH(F9354, ""Ben帳戶|Elsa帳戶|Ben代墊|Ariel代墊|中信銀行共用"")), ""內部轉帳(忽略)"",
  AND(E9354&lt;&gt;"""", F9354&lt;&gt;"""", N"&amp;"OT(REGEXMATCH(C9354, ""薪資""))), ""內部轉帳(忽略)"",
  REGEXMATCH(C9354, ""薪資""), ""薪資變動(不計入)"",
  REGEXMATCH(C9354, ""押金""), ""押金往來"",
  AND(E9354&lt;&gt;"""", F9354=""""), ""真實支出"",
  AND(E9354="""", F9354&lt;&gt;""""), ""真實收入"",
  TRUE, ""其他""
)"),"其他")</f>
        <v>其他</v>
      </c>
      <c r="K9354" s="270" t="str">
        <f t="shared" si="2"/>
        <v/>
      </c>
      <c r="L9354">
        <f t="shared" si="3"/>
        <v>0</v>
      </c>
    </row>
    <row r="9355">
      <c r="A9355" s="107"/>
      <c r="D9355" s="270"/>
      <c r="H9355" s="106" t="str">
        <f t="shared" si="1"/>
        <v/>
      </c>
      <c r="J9355" t="str">
        <f>IFERROR(__xludf.DUMMYFUNCTION("IFS(
  AND(REGEXMATCH(E9355, ""台銀籌備帳戶|玉山帳戶""), REGEXMATCH(C9355, ""薪資"")), ""分潤支出"",
  AND(REGEXMATCH(E9355, ""Ben帳戶|Elsa帳戶|Ben代墊|Ariel代墊|中信銀行共用""), REGEXMATCH(F9355, ""Ben帳戶|Elsa帳戶|Ben代墊|Ariel代墊|中信銀行共用"")), ""內部轉帳(忽略)"",
  AND(E9355&lt;&gt;"""", F9355&lt;&gt;"""", N"&amp;"OT(REGEXMATCH(C9355, ""薪資""))), ""內部轉帳(忽略)"",
  REGEXMATCH(C9355, ""薪資""), ""薪資變動(不計入)"",
  REGEXMATCH(C9355, ""押金""), ""押金往來"",
  AND(E9355&lt;&gt;"""", F9355=""""), ""真實支出"",
  AND(E9355="""", F9355&lt;&gt;""""), ""真實收入"",
  TRUE, ""其他""
)"),"其他")</f>
        <v>其他</v>
      </c>
      <c r="K9355" s="270" t="str">
        <f t="shared" si="2"/>
        <v/>
      </c>
      <c r="L9355">
        <f t="shared" si="3"/>
        <v>0</v>
      </c>
    </row>
    <row r="9356">
      <c r="A9356" s="107"/>
      <c r="D9356" s="270"/>
      <c r="H9356" s="106" t="str">
        <f t="shared" si="1"/>
        <v/>
      </c>
      <c r="J9356" t="str">
        <f>IFERROR(__xludf.DUMMYFUNCTION("IFS(
  AND(REGEXMATCH(E9356, ""台銀籌備帳戶|玉山帳戶""), REGEXMATCH(C9356, ""薪資"")), ""分潤支出"",
  AND(REGEXMATCH(E9356, ""Ben帳戶|Elsa帳戶|Ben代墊|Ariel代墊|中信銀行共用""), REGEXMATCH(F9356, ""Ben帳戶|Elsa帳戶|Ben代墊|Ariel代墊|中信銀行共用"")), ""內部轉帳(忽略)"",
  AND(E9356&lt;&gt;"""", F9356&lt;&gt;"""", N"&amp;"OT(REGEXMATCH(C9356, ""薪資""))), ""內部轉帳(忽略)"",
  REGEXMATCH(C9356, ""薪資""), ""薪資變動(不計入)"",
  REGEXMATCH(C9356, ""押金""), ""押金往來"",
  AND(E9356&lt;&gt;"""", F9356=""""), ""真實支出"",
  AND(E9356="""", F9356&lt;&gt;""""), ""真實收入"",
  TRUE, ""其他""
)"),"其他")</f>
        <v>其他</v>
      </c>
      <c r="K9356" s="270" t="str">
        <f t="shared" si="2"/>
        <v/>
      </c>
      <c r="L9356">
        <f t="shared" si="3"/>
        <v>0</v>
      </c>
    </row>
    <row r="9357">
      <c r="A9357" s="107"/>
      <c r="D9357" s="270"/>
      <c r="H9357" s="106" t="str">
        <f t="shared" si="1"/>
        <v/>
      </c>
      <c r="J9357" t="str">
        <f>IFERROR(__xludf.DUMMYFUNCTION("IFS(
  AND(REGEXMATCH(E9357, ""台銀籌備帳戶|玉山帳戶""), REGEXMATCH(C9357, ""薪資"")), ""分潤支出"",
  AND(REGEXMATCH(E9357, ""Ben帳戶|Elsa帳戶|Ben代墊|Ariel代墊|中信銀行共用""), REGEXMATCH(F9357, ""Ben帳戶|Elsa帳戶|Ben代墊|Ariel代墊|中信銀行共用"")), ""內部轉帳(忽略)"",
  AND(E9357&lt;&gt;"""", F9357&lt;&gt;"""", N"&amp;"OT(REGEXMATCH(C9357, ""薪資""))), ""內部轉帳(忽略)"",
  REGEXMATCH(C9357, ""薪資""), ""薪資變動(不計入)"",
  REGEXMATCH(C9357, ""押金""), ""押金往來"",
  AND(E9357&lt;&gt;"""", F9357=""""), ""真實支出"",
  AND(E9357="""", F9357&lt;&gt;""""), ""真實收入"",
  TRUE, ""其他""
)"),"其他")</f>
        <v>其他</v>
      </c>
      <c r="K9357" s="270" t="str">
        <f t="shared" si="2"/>
        <v/>
      </c>
      <c r="L9357">
        <f t="shared" si="3"/>
        <v>0</v>
      </c>
    </row>
    <row r="9358">
      <c r="A9358" s="107"/>
      <c r="D9358" s="270"/>
      <c r="H9358" s="106" t="str">
        <f t="shared" si="1"/>
        <v/>
      </c>
      <c r="J9358" t="str">
        <f>IFERROR(__xludf.DUMMYFUNCTION("IFS(
  AND(REGEXMATCH(E9358, ""台銀籌備帳戶|玉山帳戶""), REGEXMATCH(C9358, ""薪資"")), ""分潤支出"",
  AND(REGEXMATCH(E9358, ""Ben帳戶|Elsa帳戶|Ben代墊|Ariel代墊|中信銀行共用""), REGEXMATCH(F9358, ""Ben帳戶|Elsa帳戶|Ben代墊|Ariel代墊|中信銀行共用"")), ""內部轉帳(忽略)"",
  AND(E9358&lt;&gt;"""", F9358&lt;&gt;"""", N"&amp;"OT(REGEXMATCH(C9358, ""薪資""))), ""內部轉帳(忽略)"",
  REGEXMATCH(C9358, ""薪資""), ""薪資變動(不計入)"",
  REGEXMATCH(C9358, ""押金""), ""押金往來"",
  AND(E9358&lt;&gt;"""", F9358=""""), ""真實支出"",
  AND(E9358="""", F9358&lt;&gt;""""), ""真實收入"",
  TRUE, ""其他""
)"),"其他")</f>
        <v>其他</v>
      </c>
      <c r="K9358" s="270" t="str">
        <f t="shared" si="2"/>
        <v/>
      </c>
      <c r="L9358">
        <f t="shared" si="3"/>
        <v>0</v>
      </c>
    </row>
    <row r="9359">
      <c r="A9359" s="107"/>
      <c r="D9359" s="270"/>
      <c r="H9359" s="106" t="str">
        <f t="shared" si="1"/>
        <v/>
      </c>
      <c r="J9359" t="str">
        <f>IFERROR(__xludf.DUMMYFUNCTION("IFS(
  AND(REGEXMATCH(E9359, ""台銀籌備帳戶|玉山帳戶""), REGEXMATCH(C9359, ""薪資"")), ""分潤支出"",
  AND(REGEXMATCH(E9359, ""Ben帳戶|Elsa帳戶|Ben代墊|Ariel代墊|中信銀行共用""), REGEXMATCH(F9359, ""Ben帳戶|Elsa帳戶|Ben代墊|Ariel代墊|中信銀行共用"")), ""內部轉帳(忽略)"",
  AND(E9359&lt;&gt;"""", F9359&lt;&gt;"""", N"&amp;"OT(REGEXMATCH(C9359, ""薪資""))), ""內部轉帳(忽略)"",
  REGEXMATCH(C9359, ""薪資""), ""薪資變動(不計入)"",
  REGEXMATCH(C9359, ""押金""), ""押金往來"",
  AND(E9359&lt;&gt;"""", F9359=""""), ""真實支出"",
  AND(E9359="""", F9359&lt;&gt;""""), ""真實收入"",
  TRUE, ""其他""
)"),"其他")</f>
        <v>其他</v>
      </c>
      <c r="K9359" s="270" t="str">
        <f t="shared" si="2"/>
        <v/>
      </c>
      <c r="L9359">
        <f t="shared" si="3"/>
        <v>0</v>
      </c>
    </row>
    <row r="9360">
      <c r="A9360" s="107"/>
      <c r="D9360" s="270"/>
      <c r="H9360" s="106" t="str">
        <f t="shared" si="1"/>
        <v/>
      </c>
      <c r="J9360" t="str">
        <f>IFERROR(__xludf.DUMMYFUNCTION("IFS(
  AND(REGEXMATCH(E9360, ""台銀籌備帳戶|玉山帳戶""), REGEXMATCH(C9360, ""薪資"")), ""分潤支出"",
  AND(REGEXMATCH(E9360, ""Ben帳戶|Elsa帳戶|Ben代墊|Ariel代墊|中信銀行共用""), REGEXMATCH(F9360, ""Ben帳戶|Elsa帳戶|Ben代墊|Ariel代墊|中信銀行共用"")), ""內部轉帳(忽略)"",
  AND(E9360&lt;&gt;"""", F9360&lt;&gt;"""", N"&amp;"OT(REGEXMATCH(C9360, ""薪資""))), ""內部轉帳(忽略)"",
  REGEXMATCH(C9360, ""薪資""), ""薪資變動(不計入)"",
  REGEXMATCH(C9360, ""押金""), ""押金往來"",
  AND(E9360&lt;&gt;"""", F9360=""""), ""真實支出"",
  AND(E9360="""", F9360&lt;&gt;""""), ""真實收入"",
  TRUE, ""其他""
)"),"其他")</f>
        <v>其他</v>
      </c>
      <c r="K9360" s="270" t="str">
        <f t="shared" si="2"/>
        <v/>
      </c>
      <c r="L9360">
        <f t="shared" si="3"/>
        <v>0</v>
      </c>
    </row>
    <row r="9361">
      <c r="A9361" s="107"/>
      <c r="D9361" s="270"/>
      <c r="H9361" s="106" t="str">
        <f t="shared" si="1"/>
        <v/>
      </c>
      <c r="J9361" t="str">
        <f>IFERROR(__xludf.DUMMYFUNCTION("IFS(
  AND(REGEXMATCH(E9361, ""台銀籌備帳戶|玉山帳戶""), REGEXMATCH(C9361, ""薪資"")), ""分潤支出"",
  AND(REGEXMATCH(E9361, ""Ben帳戶|Elsa帳戶|Ben代墊|Ariel代墊|中信銀行共用""), REGEXMATCH(F9361, ""Ben帳戶|Elsa帳戶|Ben代墊|Ariel代墊|中信銀行共用"")), ""內部轉帳(忽略)"",
  AND(E9361&lt;&gt;"""", F9361&lt;&gt;"""", N"&amp;"OT(REGEXMATCH(C9361, ""薪資""))), ""內部轉帳(忽略)"",
  REGEXMATCH(C9361, ""薪資""), ""薪資變動(不計入)"",
  REGEXMATCH(C9361, ""押金""), ""押金往來"",
  AND(E9361&lt;&gt;"""", F9361=""""), ""真實支出"",
  AND(E9361="""", F9361&lt;&gt;""""), ""真實收入"",
  TRUE, ""其他""
)"),"其他")</f>
        <v>其他</v>
      </c>
      <c r="K9361" s="270" t="str">
        <f t="shared" si="2"/>
        <v/>
      </c>
      <c r="L9361">
        <f t="shared" si="3"/>
        <v>0</v>
      </c>
    </row>
    <row r="9362">
      <c r="A9362" s="107"/>
      <c r="D9362" s="270"/>
      <c r="H9362" s="106" t="str">
        <f t="shared" si="1"/>
        <v/>
      </c>
      <c r="J9362" t="str">
        <f>IFERROR(__xludf.DUMMYFUNCTION("IFS(
  AND(REGEXMATCH(E9362, ""台銀籌備帳戶|玉山帳戶""), REGEXMATCH(C9362, ""薪資"")), ""分潤支出"",
  AND(REGEXMATCH(E9362, ""Ben帳戶|Elsa帳戶|Ben代墊|Ariel代墊|中信銀行共用""), REGEXMATCH(F9362, ""Ben帳戶|Elsa帳戶|Ben代墊|Ariel代墊|中信銀行共用"")), ""內部轉帳(忽略)"",
  AND(E9362&lt;&gt;"""", F9362&lt;&gt;"""", N"&amp;"OT(REGEXMATCH(C9362, ""薪資""))), ""內部轉帳(忽略)"",
  REGEXMATCH(C9362, ""薪資""), ""薪資變動(不計入)"",
  REGEXMATCH(C9362, ""押金""), ""押金往來"",
  AND(E9362&lt;&gt;"""", F9362=""""), ""真實支出"",
  AND(E9362="""", F9362&lt;&gt;""""), ""真實收入"",
  TRUE, ""其他""
)"),"其他")</f>
        <v>其他</v>
      </c>
      <c r="K9362" s="270" t="str">
        <f t="shared" si="2"/>
        <v/>
      </c>
      <c r="L9362">
        <f t="shared" si="3"/>
        <v>0</v>
      </c>
    </row>
    <row r="9363">
      <c r="A9363" s="107"/>
      <c r="D9363" s="270"/>
      <c r="H9363" s="106" t="str">
        <f t="shared" si="1"/>
        <v/>
      </c>
      <c r="J9363" t="str">
        <f>IFERROR(__xludf.DUMMYFUNCTION("IFS(
  AND(REGEXMATCH(E9363, ""台銀籌備帳戶|玉山帳戶""), REGEXMATCH(C9363, ""薪資"")), ""分潤支出"",
  AND(REGEXMATCH(E9363, ""Ben帳戶|Elsa帳戶|Ben代墊|Ariel代墊|中信銀行共用""), REGEXMATCH(F9363, ""Ben帳戶|Elsa帳戶|Ben代墊|Ariel代墊|中信銀行共用"")), ""內部轉帳(忽略)"",
  AND(E9363&lt;&gt;"""", F9363&lt;&gt;"""", N"&amp;"OT(REGEXMATCH(C9363, ""薪資""))), ""內部轉帳(忽略)"",
  REGEXMATCH(C9363, ""薪資""), ""薪資變動(不計入)"",
  REGEXMATCH(C9363, ""押金""), ""押金往來"",
  AND(E9363&lt;&gt;"""", F9363=""""), ""真實支出"",
  AND(E9363="""", F9363&lt;&gt;""""), ""真實收入"",
  TRUE, ""其他""
)"),"其他")</f>
        <v>其他</v>
      </c>
      <c r="K9363" s="270" t="str">
        <f t="shared" si="2"/>
        <v/>
      </c>
      <c r="L9363">
        <f t="shared" si="3"/>
        <v>0</v>
      </c>
    </row>
    <row r="9364">
      <c r="A9364" s="107"/>
      <c r="D9364" s="270"/>
      <c r="H9364" s="106" t="str">
        <f t="shared" si="1"/>
        <v/>
      </c>
      <c r="J9364" t="str">
        <f>IFERROR(__xludf.DUMMYFUNCTION("IFS(
  AND(REGEXMATCH(E9364, ""台銀籌備帳戶|玉山帳戶""), REGEXMATCH(C9364, ""薪資"")), ""分潤支出"",
  AND(REGEXMATCH(E9364, ""Ben帳戶|Elsa帳戶|Ben代墊|Ariel代墊|中信銀行共用""), REGEXMATCH(F9364, ""Ben帳戶|Elsa帳戶|Ben代墊|Ariel代墊|中信銀行共用"")), ""內部轉帳(忽略)"",
  AND(E9364&lt;&gt;"""", F9364&lt;&gt;"""", N"&amp;"OT(REGEXMATCH(C9364, ""薪資""))), ""內部轉帳(忽略)"",
  REGEXMATCH(C9364, ""薪資""), ""薪資變動(不計入)"",
  REGEXMATCH(C9364, ""押金""), ""押金往來"",
  AND(E9364&lt;&gt;"""", F9364=""""), ""真實支出"",
  AND(E9364="""", F9364&lt;&gt;""""), ""真實收入"",
  TRUE, ""其他""
)"),"其他")</f>
        <v>其他</v>
      </c>
      <c r="K9364" s="270" t="str">
        <f t="shared" si="2"/>
        <v/>
      </c>
      <c r="L9364">
        <f t="shared" si="3"/>
        <v>0</v>
      </c>
    </row>
    <row r="9365">
      <c r="A9365" s="107"/>
      <c r="D9365" s="270"/>
      <c r="H9365" s="106" t="str">
        <f t="shared" si="1"/>
        <v/>
      </c>
      <c r="J9365" t="str">
        <f>IFERROR(__xludf.DUMMYFUNCTION("IFS(
  AND(REGEXMATCH(E9365, ""台銀籌備帳戶|玉山帳戶""), REGEXMATCH(C9365, ""薪資"")), ""分潤支出"",
  AND(REGEXMATCH(E9365, ""Ben帳戶|Elsa帳戶|Ben代墊|Ariel代墊|中信銀行共用""), REGEXMATCH(F9365, ""Ben帳戶|Elsa帳戶|Ben代墊|Ariel代墊|中信銀行共用"")), ""內部轉帳(忽略)"",
  AND(E9365&lt;&gt;"""", F9365&lt;&gt;"""", N"&amp;"OT(REGEXMATCH(C9365, ""薪資""))), ""內部轉帳(忽略)"",
  REGEXMATCH(C9365, ""薪資""), ""薪資變動(不計入)"",
  REGEXMATCH(C9365, ""押金""), ""押金往來"",
  AND(E9365&lt;&gt;"""", F9365=""""), ""真實支出"",
  AND(E9365="""", F9365&lt;&gt;""""), ""真實收入"",
  TRUE, ""其他""
)"),"其他")</f>
        <v>其他</v>
      </c>
      <c r="K9365" s="270" t="str">
        <f t="shared" si="2"/>
        <v/>
      </c>
      <c r="L9365">
        <f t="shared" si="3"/>
        <v>0</v>
      </c>
    </row>
    <row r="9366">
      <c r="A9366" s="107"/>
      <c r="D9366" s="270"/>
      <c r="H9366" s="106" t="str">
        <f t="shared" si="1"/>
        <v/>
      </c>
      <c r="J9366" t="str">
        <f>IFERROR(__xludf.DUMMYFUNCTION("IFS(
  AND(REGEXMATCH(E9366, ""台銀籌備帳戶|玉山帳戶""), REGEXMATCH(C9366, ""薪資"")), ""分潤支出"",
  AND(REGEXMATCH(E9366, ""Ben帳戶|Elsa帳戶|Ben代墊|Ariel代墊|中信銀行共用""), REGEXMATCH(F9366, ""Ben帳戶|Elsa帳戶|Ben代墊|Ariel代墊|中信銀行共用"")), ""內部轉帳(忽略)"",
  AND(E9366&lt;&gt;"""", F9366&lt;&gt;"""", N"&amp;"OT(REGEXMATCH(C9366, ""薪資""))), ""內部轉帳(忽略)"",
  REGEXMATCH(C9366, ""薪資""), ""薪資變動(不計入)"",
  REGEXMATCH(C9366, ""押金""), ""押金往來"",
  AND(E9366&lt;&gt;"""", F9366=""""), ""真實支出"",
  AND(E9366="""", F9366&lt;&gt;""""), ""真實收入"",
  TRUE, ""其他""
)"),"其他")</f>
        <v>其他</v>
      </c>
      <c r="K9366" s="270" t="str">
        <f t="shared" si="2"/>
        <v/>
      </c>
      <c r="L9366">
        <f t="shared" si="3"/>
        <v>0</v>
      </c>
    </row>
    <row r="9367">
      <c r="A9367" s="107"/>
      <c r="D9367" s="270"/>
      <c r="H9367" s="106" t="str">
        <f t="shared" si="1"/>
        <v/>
      </c>
      <c r="J9367" t="str">
        <f>IFERROR(__xludf.DUMMYFUNCTION("IFS(
  AND(REGEXMATCH(E9367, ""台銀籌備帳戶|玉山帳戶""), REGEXMATCH(C9367, ""薪資"")), ""分潤支出"",
  AND(REGEXMATCH(E9367, ""Ben帳戶|Elsa帳戶|Ben代墊|Ariel代墊|中信銀行共用""), REGEXMATCH(F9367, ""Ben帳戶|Elsa帳戶|Ben代墊|Ariel代墊|中信銀行共用"")), ""內部轉帳(忽略)"",
  AND(E9367&lt;&gt;"""", F9367&lt;&gt;"""", N"&amp;"OT(REGEXMATCH(C9367, ""薪資""))), ""內部轉帳(忽略)"",
  REGEXMATCH(C9367, ""薪資""), ""薪資變動(不計入)"",
  REGEXMATCH(C9367, ""押金""), ""押金往來"",
  AND(E9367&lt;&gt;"""", F9367=""""), ""真實支出"",
  AND(E9367="""", F9367&lt;&gt;""""), ""真實收入"",
  TRUE, ""其他""
)"),"其他")</f>
        <v>其他</v>
      </c>
      <c r="K9367" s="270" t="str">
        <f t="shared" si="2"/>
        <v/>
      </c>
      <c r="L9367">
        <f t="shared" si="3"/>
        <v>0</v>
      </c>
    </row>
    <row r="9368">
      <c r="A9368" s="107"/>
      <c r="D9368" s="270"/>
      <c r="H9368" s="106" t="str">
        <f t="shared" si="1"/>
        <v/>
      </c>
      <c r="J9368" t="str">
        <f>IFERROR(__xludf.DUMMYFUNCTION("IFS(
  AND(REGEXMATCH(E9368, ""台銀籌備帳戶|玉山帳戶""), REGEXMATCH(C9368, ""薪資"")), ""分潤支出"",
  AND(REGEXMATCH(E9368, ""Ben帳戶|Elsa帳戶|Ben代墊|Ariel代墊|中信銀行共用""), REGEXMATCH(F9368, ""Ben帳戶|Elsa帳戶|Ben代墊|Ariel代墊|中信銀行共用"")), ""內部轉帳(忽略)"",
  AND(E9368&lt;&gt;"""", F9368&lt;&gt;"""", N"&amp;"OT(REGEXMATCH(C9368, ""薪資""))), ""內部轉帳(忽略)"",
  REGEXMATCH(C9368, ""薪資""), ""薪資變動(不計入)"",
  REGEXMATCH(C9368, ""押金""), ""押金往來"",
  AND(E9368&lt;&gt;"""", F9368=""""), ""真實支出"",
  AND(E9368="""", F9368&lt;&gt;""""), ""真實收入"",
  TRUE, ""其他""
)"),"其他")</f>
        <v>其他</v>
      </c>
      <c r="K9368" s="270" t="str">
        <f t="shared" si="2"/>
        <v/>
      </c>
      <c r="L9368">
        <f t="shared" si="3"/>
        <v>0</v>
      </c>
    </row>
    <row r="9369">
      <c r="A9369" s="107"/>
      <c r="D9369" s="270"/>
      <c r="H9369" s="106" t="str">
        <f t="shared" si="1"/>
        <v/>
      </c>
      <c r="J9369" t="str">
        <f>IFERROR(__xludf.DUMMYFUNCTION("IFS(
  AND(REGEXMATCH(E9369, ""台銀籌備帳戶|玉山帳戶""), REGEXMATCH(C9369, ""薪資"")), ""分潤支出"",
  AND(REGEXMATCH(E9369, ""Ben帳戶|Elsa帳戶|Ben代墊|Ariel代墊|中信銀行共用""), REGEXMATCH(F9369, ""Ben帳戶|Elsa帳戶|Ben代墊|Ariel代墊|中信銀行共用"")), ""內部轉帳(忽略)"",
  AND(E9369&lt;&gt;"""", F9369&lt;&gt;"""", N"&amp;"OT(REGEXMATCH(C9369, ""薪資""))), ""內部轉帳(忽略)"",
  REGEXMATCH(C9369, ""薪資""), ""薪資變動(不計入)"",
  REGEXMATCH(C9369, ""押金""), ""押金往來"",
  AND(E9369&lt;&gt;"""", F9369=""""), ""真實支出"",
  AND(E9369="""", F9369&lt;&gt;""""), ""真實收入"",
  TRUE, ""其他""
)"),"其他")</f>
        <v>其他</v>
      </c>
      <c r="K9369" s="270" t="str">
        <f t="shared" si="2"/>
        <v/>
      </c>
      <c r="L9369">
        <f t="shared" si="3"/>
        <v>0</v>
      </c>
    </row>
    <row r="9370">
      <c r="A9370" s="107"/>
      <c r="D9370" s="270"/>
      <c r="H9370" s="106" t="str">
        <f t="shared" si="1"/>
        <v/>
      </c>
      <c r="J9370" t="str">
        <f>IFERROR(__xludf.DUMMYFUNCTION("IFS(
  AND(REGEXMATCH(E9370, ""台銀籌備帳戶|玉山帳戶""), REGEXMATCH(C9370, ""薪資"")), ""分潤支出"",
  AND(REGEXMATCH(E9370, ""Ben帳戶|Elsa帳戶|Ben代墊|Ariel代墊|中信銀行共用""), REGEXMATCH(F9370, ""Ben帳戶|Elsa帳戶|Ben代墊|Ariel代墊|中信銀行共用"")), ""內部轉帳(忽略)"",
  AND(E9370&lt;&gt;"""", F9370&lt;&gt;"""", N"&amp;"OT(REGEXMATCH(C9370, ""薪資""))), ""內部轉帳(忽略)"",
  REGEXMATCH(C9370, ""薪資""), ""薪資變動(不計入)"",
  REGEXMATCH(C9370, ""押金""), ""押金往來"",
  AND(E9370&lt;&gt;"""", F9370=""""), ""真實支出"",
  AND(E9370="""", F9370&lt;&gt;""""), ""真實收入"",
  TRUE, ""其他""
)"),"其他")</f>
        <v>其他</v>
      </c>
      <c r="K9370" s="270" t="str">
        <f t="shared" si="2"/>
        <v/>
      </c>
      <c r="L9370">
        <f t="shared" si="3"/>
        <v>0</v>
      </c>
    </row>
    <row r="9371">
      <c r="A9371" s="107"/>
      <c r="D9371" s="270"/>
      <c r="H9371" s="106" t="str">
        <f t="shared" si="1"/>
        <v/>
      </c>
      <c r="J9371" t="str">
        <f>IFERROR(__xludf.DUMMYFUNCTION("IFS(
  AND(REGEXMATCH(E9371, ""台銀籌備帳戶|玉山帳戶""), REGEXMATCH(C9371, ""薪資"")), ""分潤支出"",
  AND(REGEXMATCH(E9371, ""Ben帳戶|Elsa帳戶|Ben代墊|Ariel代墊|中信銀行共用""), REGEXMATCH(F9371, ""Ben帳戶|Elsa帳戶|Ben代墊|Ariel代墊|中信銀行共用"")), ""內部轉帳(忽略)"",
  AND(E9371&lt;&gt;"""", F9371&lt;&gt;"""", N"&amp;"OT(REGEXMATCH(C9371, ""薪資""))), ""內部轉帳(忽略)"",
  REGEXMATCH(C9371, ""薪資""), ""薪資變動(不計入)"",
  REGEXMATCH(C9371, ""押金""), ""押金往來"",
  AND(E9371&lt;&gt;"""", F9371=""""), ""真實支出"",
  AND(E9371="""", F9371&lt;&gt;""""), ""真實收入"",
  TRUE, ""其他""
)"),"其他")</f>
        <v>其他</v>
      </c>
      <c r="K9371" s="270" t="str">
        <f t="shared" si="2"/>
        <v/>
      </c>
      <c r="L9371">
        <f t="shared" si="3"/>
        <v>0</v>
      </c>
    </row>
    <row r="9372">
      <c r="A9372" s="107"/>
      <c r="D9372" s="270"/>
      <c r="H9372" s="106" t="str">
        <f t="shared" si="1"/>
        <v/>
      </c>
      <c r="J9372" t="str">
        <f>IFERROR(__xludf.DUMMYFUNCTION("IFS(
  AND(REGEXMATCH(E9372, ""台銀籌備帳戶|玉山帳戶""), REGEXMATCH(C9372, ""薪資"")), ""分潤支出"",
  AND(REGEXMATCH(E9372, ""Ben帳戶|Elsa帳戶|Ben代墊|Ariel代墊|中信銀行共用""), REGEXMATCH(F9372, ""Ben帳戶|Elsa帳戶|Ben代墊|Ariel代墊|中信銀行共用"")), ""內部轉帳(忽略)"",
  AND(E9372&lt;&gt;"""", F9372&lt;&gt;"""", N"&amp;"OT(REGEXMATCH(C9372, ""薪資""))), ""內部轉帳(忽略)"",
  REGEXMATCH(C9372, ""薪資""), ""薪資變動(不計入)"",
  REGEXMATCH(C9372, ""押金""), ""押金往來"",
  AND(E9372&lt;&gt;"""", F9372=""""), ""真實支出"",
  AND(E9372="""", F9372&lt;&gt;""""), ""真實收入"",
  TRUE, ""其他""
)"),"其他")</f>
        <v>其他</v>
      </c>
      <c r="K9372" s="270" t="str">
        <f t="shared" si="2"/>
        <v/>
      </c>
      <c r="L9372">
        <f t="shared" si="3"/>
        <v>0</v>
      </c>
    </row>
    <row r="9373">
      <c r="A9373" s="107"/>
      <c r="D9373" s="270"/>
      <c r="H9373" s="106" t="str">
        <f t="shared" si="1"/>
        <v/>
      </c>
      <c r="J9373" t="str">
        <f>IFERROR(__xludf.DUMMYFUNCTION("IFS(
  AND(REGEXMATCH(E9373, ""台銀籌備帳戶|玉山帳戶""), REGEXMATCH(C9373, ""薪資"")), ""分潤支出"",
  AND(REGEXMATCH(E9373, ""Ben帳戶|Elsa帳戶|Ben代墊|Ariel代墊|中信銀行共用""), REGEXMATCH(F9373, ""Ben帳戶|Elsa帳戶|Ben代墊|Ariel代墊|中信銀行共用"")), ""內部轉帳(忽略)"",
  AND(E9373&lt;&gt;"""", F9373&lt;&gt;"""", N"&amp;"OT(REGEXMATCH(C9373, ""薪資""))), ""內部轉帳(忽略)"",
  REGEXMATCH(C9373, ""薪資""), ""薪資變動(不計入)"",
  REGEXMATCH(C9373, ""押金""), ""押金往來"",
  AND(E9373&lt;&gt;"""", F9373=""""), ""真實支出"",
  AND(E9373="""", F9373&lt;&gt;""""), ""真實收入"",
  TRUE, ""其他""
)"),"其他")</f>
        <v>其他</v>
      </c>
      <c r="K9373" s="270" t="str">
        <f t="shared" si="2"/>
        <v/>
      </c>
      <c r="L9373">
        <f t="shared" si="3"/>
        <v>0</v>
      </c>
    </row>
    <row r="9374">
      <c r="A9374" s="107"/>
      <c r="D9374" s="270"/>
      <c r="H9374" s="106" t="str">
        <f t="shared" si="1"/>
        <v/>
      </c>
      <c r="J9374" t="str">
        <f>IFERROR(__xludf.DUMMYFUNCTION("IFS(
  AND(REGEXMATCH(E9374, ""台銀籌備帳戶|玉山帳戶""), REGEXMATCH(C9374, ""薪資"")), ""分潤支出"",
  AND(REGEXMATCH(E9374, ""Ben帳戶|Elsa帳戶|Ben代墊|Ariel代墊|中信銀行共用""), REGEXMATCH(F9374, ""Ben帳戶|Elsa帳戶|Ben代墊|Ariel代墊|中信銀行共用"")), ""內部轉帳(忽略)"",
  AND(E9374&lt;&gt;"""", F9374&lt;&gt;"""", N"&amp;"OT(REGEXMATCH(C9374, ""薪資""))), ""內部轉帳(忽略)"",
  REGEXMATCH(C9374, ""薪資""), ""薪資變動(不計入)"",
  REGEXMATCH(C9374, ""押金""), ""押金往來"",
  AND(E9374&lt;&gt;"""", F9374=""""), ""真實支出"",
  AND(E9374="""", F9374&lt;&gt;""""), ""真實收入"",
  TRUE, ""其他""
)"),"其他")</f>
        <v>其他</v>
      </c>
      <c r="K9374" s="270" t="str">
        <f t="shared" si="2"/>
        <v/>
      </c>
      <c r="L9374">
        <f t="shared" si="3"/>
        <v>0</v>
      </c>
    </row>
    <row r="9375">
      <c r="A9375" s="107"/>
      <c r="D9375" s="270"/>
      <c r="H9375" s="106" t="str">
        <f t="shared" si="1"/>
        <v/>
      </c>
      <c r="J9375" t="str">
        <f>IFERROR(__xludf.DUMMYFUNCTION("IFS(
  AND(REGEXMATCH(E9375, ""台銀籌備帳戶|玉山帳戶""), REGEXMATCH(C9375, ""薪資"")), ""分潤支出"",
  AND(REGEXMATCH(E9375, ""Ben帳戶|Elsa帳戶|Ben代墊|Ariel代墊|中信銀行共用""), REGEXMATCH(F9375, ""Ben帳戶|Elsa帳戶|Ben代墊|Ariel代墊|中信銀行共用"")), ""內部轉帳(忽略)"",
  AND(E9375&lt;&gt;"""", F9375&lt;&gt;"""", N"&amp;"OT(REGEXMATCH(C9375, ""薪資""))), ""內部轉帳(忽略)"",
  REGEXMATCH(C9375, ""薪資""), ""薪資變動(不計入)"",
  REGEXMATCH(C9375, ""押金""), ""押金往來"",
  AND(E9375&lt;&gt;"""", F9375=""""), ""真實支出"",
  AND(E9375="""", F9375&lt;&gt;""""), ""真實收入"",
  TRUE, ""其他""
)"),"其他")</f>
        <v>其他</v>
      </c>
      <c r="K9375" s="270" t="str">
        <f t="shared" si="2"/>
        <v/>
      </c>
      <c r="L9375">
        <f t="shared" si="3"/>
        <v>0</v>
      </c>
    </row>
    <row r="9376">
      <c r="A9376" s="107"/>
      <c r="D9376" s="270"/>
      <c r="H9376" s="106" t="str">
        <f t="shared" si="1"/>
        <v/>
      </c>
      <c r="J9376" t="str">
        <f>IFERROR(__xludf.DUMMYFUNCTION("IFS(
  AND(REGEXMATCH(E9376, ""台銀籌備帳戶|玉山帳戶""), REGEXMATCH(C9376, ""薪資"")), ""分潤支出"",
  AND(REGEXMATCH(E9376, ""Ben帳戶|Elsa帳戶|Ben代墊|Ariel代墊|中信銀行共用""), REGEXMATCH(F9376, ""Ben帳戶|Elsa帳戶|Ben代墊|Ariel代墊|中信銀行共用"")), ""內部轉帳(忽略)"",
  AND(E9376&lt;&gt;"""", F9376&lt;&gt;"""", N"&amp;"OT(REGEXMATCH(C9376, ""薪資""))), ""內部轉帳(忽略)"",
  REGEXMATCH(C9376, ""薪資""), ""薪資變動(不計入)"",
  REGEXMATCH(C9376, ""押金""), ""押金往來"",
  AND(E9376&lt;&gt;"""", F9376=""""), ""真實支出"",
  AND(E9376="""", F9376&lt;&gt;""""), ""真實收入"",
  TRUE, ""其他""
)"),"其他")</f>
        <v>其他</v>
      </c>
      <c r="K9376" s="270" t="str">
        <f t="shared" si="2"/>
        <v/>
      </c>
      <c r="L9376">
        <f t="shared" si="3"/>
        <v>0</v>
      </c>
    </row>
    <row r="9377">
      <c r="A9377" s="107"/>
      <c r="D9377" s="270"/>
      <c r="H9377" s="106" t="str">
        <f t="shared" si="1"/>
        <v/>
      </c>
      <c r="J9377" t="str">
        <f>IFERROR(__xludf.DUMMYFUNCTION("IFS(
  AND(REGEXMATCH(E9377, ""台銀籌備帳戶|玉山帳戶""), REGEXMATCH(C9377, ""薪資"")), ""分潤支出"",
  AND(REGEXMATCH(E9377, ""Ben帳戶|Elsa帳戶|Ben代墊|Ariel代墊|中信銀行共用""), REGEXMATCH(F9377, ""Ben帳戶|Elsa帳戶|Ben代墊|Ariel代墊|中信銀行共用"")), ""內部轉帳(忽略)"",
  AND(E9377&lt;&gt;"""", F9377&lt;&gt;"""", N"&amp;"OT(REGEXMATCH(C9377, ""薪資""))), ""內部轉帳(忽略)"",
  REGEXMATCH(C9377, ""薪資""), ""薪資變動(不計入)"",
  REGEXMATCH(C9377, ""押金""), ""押金往來"",
  AND(E9377&lt;&gt;"""", F9377=""""), ""真實支出"",
  AND(E9377="""", F9377&lt;&gt;""""), ""真實收入"",
  TRUE, ""其他""
)"),"其他")</f>
        <v>其他</v>
      </c>
      <c r="K9377" s="270" t="str">
        <f t="shared" si="2"/>
        <v/>
      </c>
      <c r="L9377">
        <f t="shared" si="3"/>
        <v>0</v>
      </c>
    </row>
    <row r="9378">
      <c r="A9378" s="107"/>
      <c r="D9378" s="270"/>
      <c r="H9378" s="106" t="str">
        <f t="shared" si="1"/>
        <v/>
      </c>
      <c r="J9378" t="str">
        <f>IFERROR(__xludf.DUMMYFUNCTION("IFS(
  AND(REGEXMATCH(E9378, ""台銀籌備帳戶|玉山帳戶""), REGEXMATCH(C9378, ""薪資"")), ""分潤支出"",
  AND(REGEXMATCH(E9378, ""Ben帳戶|Elsa帳戶|Ben代墊|Ariel代墊|中信銀行共用""), REGEXMATCH(F9378, ""Ben帳戶|Elsa帳戶|Ben代墊|Ariel代墊|中信銀行共用"")), ""內部轉帳(忽略)"",
  AND(E9378&lt;&gt;"""", F9378&lt;&gt;"""", N"&amp;"OT(REGEXMATCH(C9378, ""薪資""))), ""內部轉帳(忽略)"",
  REGEXMATCH(C9378, ""薪資""), ""薪資變動(不計入)"",
  REGEXMATCH(C9378, ""押金""), ""押金往來"",
  AND(E9378&lt;&gt;"""", F9378=""""), ""真實支出"",
  AND(E9378="""", F9378&lt;&gt;""""), ""真實收入"",
  TRUE, ""其他""
)"),"其他")</f>
        <v>其他</v>
      </c>
      <c r="K9378" s="270" t="str">
        <f t="shared" si="2"/>
        <v/>
      </c>
      <c r="L9378">
        <f t="shared" si="3"/>
        <v>0</v>
      </c>
    </row>
    <row r="9379">
      <c r="A9379" s="107"/>
      <c r="D9379" s="270"/>
      <c r="H9379" s="106" t="str">
        <f t="shared" si="1"/>
        <v/>
      </c>
      <c r="J9379" t="str">
        <f>IFERROR(__xludf.DUMMYFUNCTION("IFS(
  AND(REGEXMATCH(E9379, ""台銀籌備帳戶|玉山帳戶""), REGEXMATCH(C9379, ""薪資"")), ""分潤支出"",
  AND(REGEXMATCH(E9379, ""Ben帳戶|Elsa帳戶|Ben代墊|Ariel代墊|中信銀行共用""), REGEXMATCH(F9379, ""Ben帳戶|Elsa帳戶|Ben代墊|Ariel代墊|中信銀行共用"")), ""內部轉帳(忽略)"",
  AND(E9379&lt;&gt;"""", F9379&lt;&gt;"""", N"&amp;"OT(REGEXMATCH(C9379, ""薪資""))), ""內部轉帳(忽略)"",
  REGEXMATCH(C9379, ""薪資""), ""薪資變動(不計入)"",
  REGEXMATCH(C9379, ""押金""), ""押金往來"",
  AND(E9379&lt;&gt;"""", F9379=""""), ""真實支出"",
  AND(E9379="""", F9379&lt;&gt;""""), ""真實收入"",
  TRUE, ""其他""
)"),"其他")</f>
        <v>其他</v>
      </c>
      <c r="K9379" s="270" t="str">
        <f t="shared" si="2"/>
        <v/>
      </c>
      <c r="L9379">
        <f t="shared" si="3"/>
        <v>0</v>
      </c>
    </row>
    <row r="9380">
      <c r="A9380" s="107"/>
      <c r="D9380" s="270"/>
      <c r="H9380" s="106" t="str">
        <f t="shared" si="1"/>
        <v/>
      </c>
      <c r="J9380" t="str">
        <f>IFERROR(__xludf.DUMMYFUNCTION("IFS(
  AND(REGEXMATCH(E9380, ""台銀籌備帳戶|玉山帳戶""), REGEXMATCH(C9380, ""薪資"")), ""分潤支出"",
  AND(REGEXMATCH(E9380, ""Ben帳戶|Elsa帳戶|Ben代墊|Ariel代墊|中信銀行共用""), REGEXMATCH(F9380, ""Ben帳戶|Elsa帳戶|Ben代墊|Ariel代墊|中信銀行共用"")), ""內部轉帳(忽略)"",
  AND(E9380&lt;&gt;"""", F9380&lt;&gt;"""", N"&amp;"OT(REGEXMATCH(C9380, ""薪資""))), ""內部轉帳(忽略)"",
  REGEXMATCH(C9380, ""薪資""), ""薪資變動(不計入)"",
  REGEXMATCH(C9380, ""押金""), ""押金往來"",
  AND(E9380&lt;&gt;"""", F9380=""""), ""真實支出"",
  AND(E9380="""", F9380&lt;&gt;""""), ""真實收入"",
  TRUE, ""其他""
)"),"其他")</f>
        <v>其他</v>
      </c>
      <c r="K9380" s="270" t="str">
        <f t="shared" si="2"/>
        <v/>
      </c>
      <c r="L9380">
        <f t="shared" si="3"/>
        <v>0</v>
      </c>
    </row>
    <row r="9381">
      <c r="A9381" s="107"/>
      <c r="D9381" s="270"/>
      <c r="H9381" s="106" t="str">
        <f t="shared" si="1"/>
        <v/>
      </c>
      <c r="J9381" t="str">
        <f>IFERROR(__xludf.DUMMYFUNCTION("IFS(
  AND(REGEXMATCH(E9381, ""台銀籌備帳戶|玉山帳戶""), REGEXMATCH(C9381, ""薪資"")), ""分潤支出"",
  AND(REGEXMATCH(E9381, ""Ben帳戶|Elsa帳戶|Ben代墊|Ariel代墊|中信銀行共用""), REGEXMATCH(F9381, ""Ben帳戶|Elsa帳戶|Ben代墊|Ariel代墊|中信銀行共用"")), ""內部轉帳(忽略)"",
  AND(E9381&lt;&gt;"""", F9381&lt;&gt;"""", N"&amp;"OT(REGEXMATCH(C9381, ""薪資""))), ""內部轉帳(忽略)"",
  REGEXMATCH(C9381, ""薪資""), ""薪資變動(不計入)"",
  REGEXMATCH(C9381, ""押金""), ""押金往來"",
  AND(E9381&lt;&gt;"""", F9381=""""), ""真實支出"",
  AND(E9381="""", F9381&lt;&gt;""""), ""真實收入"",
  TRUE, ""其他""
)"),"其他")</f>
        <v>其他</v>
      </c>
      <c r="K9381" s="270" t="str">
        <f t="shared" si="2"/>
        <v/>
      </c>
      <c r="L9381">
        <f t="shared" si="3"/>
        <v>0</v>
      </c>
    </row>
    <row r="9382">
      <c r="A9382" s="107"/>
      <c r="D9382" s="270"/>
      <c r="H9382" s="106" t="str">
        <f t="shared" si="1"/>
        <v/>
      </c>
      <c r="J9382" t="str">
        <f>IFERROR(__xludf.DUMMYFUNCTION("IFS(
  AND(REGEXMATCH(E9382, ""台銀籌備帳戶|玉山帳戶""), REGEXMATCH(C9382, ""薪資"")), ""分潤支出"",
  AND(REGEXMATCH(E9382, ""Ben帳戶|Elsa帳戶|Ben代墊|Ariel代墊|中信銀行共用""), REGEXMATCH(F9382, ""Ben帳戶|Elsa帳戶|Ben代墊|Ariel代墊|中信銀行共用"")), ""內部轉帳(忽略)"",
  AND(E9382&lt;&gt;"""", F9382&lt;&gt;"""", N"&amp;"OT(REGEXMATCH(C9382, ""薪資""))), ""內部轉帳(忽略)"",
  REGEXMATCH(C9382, ""薪資""), ""薪資變動(不計入)"",
  REGEXMATCH(C9382, ""押金""), ""押金往來"",
  AND(E9382&lt;&gt;"""", F9382=""""), ""真實支出"",
  AND(E9382="""", F9382&lt;&gt;""""), ""真實收入"",
  TRUE, ""其他""
)"),"其他")</f>
        <v>其他</v>
      </c>
      <c r="K9382" s="270" t="str">
        <f t="shared" si="2"/>
        <v/>
      </c>
      <c r="L9382">
        <f t="shared" si="3"/>
        <v>0</v>
      </c>
    </row>
    <row r="9383">
      <c r="A9383" s="107"/>
      <c r="D9383" s="270"/>
      <c r="H9383" s="106" t="str">
        <f t="shared" si="1"/>
        <v/>
      </c>
      <c r="J9383" t="str">
        <f>IFERROR(__xludf.DUMMYFUNCTION("IFS(
  AND(REGEXMATCH(E9383, ""台銀籌備帳戶|玉山帳戶""), REGEXMATCH(C9383, ""薪資"")), ""分潤支出"",
  AND(REGEXMATCH(E9383, ""Ben帳戶|Elsa帳戶|Ben代墊|Ariel代墊|中信銀行共用""), REGEXMATCH(F9383, ""Ben帳戶|Elsa帳戶|Ben代墊|Ariel代墊|中信銀行共用"")), ""內部轉帳(忽略)"",
  AND(E9383&lt;&gt;"""", F9383&lt;&gt;"""", N"&amp;"OT(REGEXMATCH(C9383, ""薪資""))), ""內部轉帳(忽略)"",
  REGEXMATCH(C9383, ""薪資""), ""薪資變動(不計入)"",
  REGEXMATCH(C9383, ""押金""), ""押金往來"",
  AND(E9383&lt;&gt;"""", F9383=""""), ""真實支出"",
  AND(E9383="""", F9383&lt;&gt;""""), ""真實收入"",
  TRUE, ""其他""
)"),"其他")</f>
        <v>其他</v>
      </c>
      <c r="K9383" s="270" t="str">
        <f t="shared" si="2"/>
        <v/>
      </c>
      <c r="L9383">
        <f t="shared" si="3"/>
        <v>0</v>
      </c>
    </row>
    <row r="9384">
      <c r="A9384" s="107"/>
      <c r="D9384" s="270"/>
      <c r="H9384" s="106" t="str">
        <f t="shared" si="1"/>
        <v/>
      </c>
      <c r="J9384" t="str">
        <f>IFERROR(__xludf.DUMMYFUNCTION("IFS(
  AND(REGEXMATCH(E9384, ""台銀籌備帳戶|玉山帳戶""), REGEXMATCH(C9384, ""薪資"")), ""分潤支出"",
  AND(REGEXMATCH(E9384, ""Ben帳戶|Elsa帳戶|Ben代墊|Ariel代墊|中信銀行共用""), REGEXMATCH(F9384, ""Ben帳戶|Elsa帳戶|Ben代墊|Ariel代墊|中信銀行共用"")), ""內部轉帳(忽略)"",
  AND(E9384&lt;&gt;"""", F9384&lt;&gt;"""", N"&amp;"OT(REGEXMATCH(C9384, ""薪資""))), ""內部轉帳(忽略)"",
  REGEXMATCH(C9384, ""薪資""), ""薪資變動(不計入)"",
  REGEXMATCH(C9384, ""押金""), ""押金往來"",
  AND(E9384&lt;&gt;"""", F9384=""""), ""真實支出"",
  AND(E9384="""", F9384&lt;&gt;""""), ""真實收入"",
  TRUE, ""其他""
)"),"其他")</f>
        <v>其他</v>
      </c>
      <c r="K9384" s="270" t="str">
        <f t="shared" si="2"/>
        <v/>
      </c>
      <c r="L9384">
        <f t="shared" si="3"/>
        <v>0</v>
      </c>
    </row>
    <row r="9385">
      <c r="A9385" s="107"/>
      <c r="D9385" s="270"/>
      <c r="H9385" s="106" t="str">
        <f t="shared" si="1"/>
        <v/>
      </c>
      <c r="J9385" t="str">
        <f>IFERROR(__xludf.DUMMYFUNCTION("IFS(
  AND(REGEXMATCH(E9385, ""台銀籌備帳戶|玉山帳戶""), REGEXMATCH(C9385, ""薪資"")), ""分潤支出"",
  AND(REGEXMATCH(E9385, ""Ben帳戶|Elsa帳戶|Ben代墊|Ariel代墊|中信銀行共用""), REGEXMATCH(F9385, ""Ben帳戶|Elsa帳戶|Ben代墊|Ariel代墊|中信銀行共用"")), ""內部轉帳(忽略)"",
  AND(E9385&lt;&gt;"""", F9385&lt;&gt;"""", N"&amp;"OT(REGEXMATCH(C9385, ""薪資""))), ""內部轉帳(忽略)"",
  REGEXMATCH(C9385, ""薪資""), ""薪資變動(不計入)"",
  REGEXMATCH(C9385, ""押金""), ""押金往來"",
  AND(E9385&lt;&gt;"""", F9385=""""), ""真實支出"",
  AND(E9385="""", F9385&lt;&gt;""""), ""真實收入"",
  TRUE, ""其他""
)"),"其他")</f>
        <v>其他</v>
      </c>
      <c r="K9385" s="270" t="str">
        <f t="shared" si="2"/>
        <v/>
      </c>
      <c r="L9385">
        <f t="shared" si="3"/>
        <v>0</v>
      </c>
    </row>
    <row r="9386">
      <c r="A9386" s="107"/>
      <c r="D9386" s="270"/>
      <c r="H9386" s="106" t="str">
        <f t="shared" si="1"/>
        <v/>
      </c>
      <c r="J9386" t="str">
        <f>IFERROR(__xludf.DUMMYFUNCTION("IFS(
  AND(REGEXMATCH(E9386, ""台銀籌備帳戶|玉山帳戶""), REGEXMATCH(C9386, ""薪資"")), ""分潤支出"",
  AND(REGEXMATCH(E9386, ""Ben帳戶|Elsa帳戶|Ben代墊|Ariel代墊|中信銀行共用""), REGEXMATCH(F9386, ""Ben帳戶|Elsa帳戶|Ben代墊|Ariel代墊|中信銀行共用"")), ""內部轉帳(忽略)"",
  AND(E9386&lt;&gt;"""", F9386&lt;&gt;"""", N"&amp;"OT(REGEXMATCH(C9386, ""薪資""))), ""內部轉帳(忽略)"",
  REGEXMATCH(C9386, ""薪資""), ""薪資變動(不計入)"",
  REGEXMATCH(C9386, ""押金""), ""押金往來"",
  AND(E9386&lt;&gt;"""", F9386=""""), ""真實支出"",
  AND(E9386="""", F9386&lt;&gt;""""), ""真實收入"",
  TRUE, ""其他""
)"),"其他")</f>
        <v>其他</v>
      </c>
      <c r="K9386" s="270" t="str">
        <f t="shared" si="2"/>
        <v/>
      </c>
      <c r="L9386">
        <f t="shared" si="3"/>
        <v>0</v>
      </c>
    </row>
    <row r="9387">
      <c r="A9387" s="107"/>
      <c r="D9387" s="270"/>
      <c r="H9387" s="106" t="str">
        <f t="shared" si="1"/>
        <v/>
      </c>
      <c r="J9387" t="str">
        <f>IFERROR(__xludf.DUMMYFUNCTION("IFS(
  AND(REGEXMATCH(E9387, ""台銀籌備帳戶|玉山帳戶""), REGEXMATCH(C9387, ""薪資"")), ""分潤支出"",
  AND(REGEXMATCH(E9387, ""Ben帳戶|Elsa帳戶|Ben代墊|Ariel代墊|中信銀行共用""), REGEXMATCH(F9387, ""Ben帳戶|Elsa帳戶|Ben代墊|Ariel代墊|中信銀行共用"")), ""內部轉帳(忽略)"",
  AND(E9387&lt;&gt;"""", F9387&lt;&gt;"""", N"&amp;"OT(REGEXMATCH(C9387, ""薪資""))), ""內部轉帳(忽略)"",
  REGEXMATCH(C9387, ""薪資""), ""薪資變動(不計入)"",
  REGEXMATCH(C9387, ""押金""), ""押金往來"",
  AND(E9387&lt;&gt;"""", F9387=""""), ""真實支出"",
  AND(E9387="""", F9387&lt;&gt;""""), ""真實收入"",
  TRUE, ""其他""
)"),"其他")</f>
        <v>其他</v>
      </c>
      <c r="K9387" s="270" t="str">
        <f t="shared" si="2"/>
        <v/>
      </c>
      <c r="L9387">
        <f t="shared" si="3"/>
        <v>0</v>
      </c>
    </row>
    <row r="9388">
      <c r="A9388" s="107"/>
      <c r="D9388" s="270"/>
      <c r="H9388" s="106" t="str">
        <f t="shared" si="1"/>
        <v/>
      </c>
      <c r="J9388" t="str">
        <f>IFERROR(__xludf.DUMMYFUNCTION("IFS(
  AND(REGEXMATCH(E9388, ""台銀籌備帳戶|玉山帳戶""), REGEXMATCH(C9388, ""薪資"")), ""分潤支出"",
  AND(REGEXMATCH(E9388, ""Ben帳戶|Elsa帳戶|Ben代墊|Ariel代墊|中信銀行共用""), REGEXMATCH(F9388, ""Ben帳戶|Elsa帳戶|Ben代墊|Ariel代墊|中信銀行共用"")), ""內部轉帳(忽略)"",
  AND(E9388&lt;&gt;"""", F9388&lt;&gt;"""", N"&amp;"OT(REGEXMATCH(C9388, ""薪資""))), ""內部轉帳(忽略)"",
  REGEXMATCH(C9388, ""薪資""), ""薪資變動(不計入)"",
  REGEXMATCH(C9388, ""押金""), ""押金往來"",
  AND(E9388&lt;&gt;"""", F9388=""""), ""真實支出"",
  AND(E9388="""", F9388&lt;&gt;""""), ""真實收入"",
  TRUE, ""其他""
)"),"其他")</f>
        <v>其他</v>
      </c>
      <c r="K9388" s="270" t="str">
        <f t="shared" si="2"/>
        <v/>
      </c>
      <c r="L9388">
        <f t="shared" si="3"/>
        <v>0</v>
      </c>
    </row>
    <row r="9389">
      <c r="A9389" s="107"/>
      <c r="D9389" s="270"/>
      <c r="H9389" s="106" t="str">
        <f t="shared" si="1"/>
        <v/>
      </c>
      <c r="J9389" t="str">
        <f>IFERROR(__xludf.DUMMYFUNCTION("IFS(
  AND(REGEXMATCH(E9389, ""台銀籌備帳戶|玉山帳戶""), REGEXMATCH(C9389, ""薪資"")), ""分潤支出"",
  AND(REGEXMATCH(E9389, ""Ben帳戶|Elsa帳戶|Ben代墊|Ariel代墊|中信銀行共用""), REGEXMATCH(F9389, ""Ben帳戶|Elsa帳戶|Ben代墊|Ariel代墊|中信銀行共用"")), ""內部轉帳(忽略)"",
  AND(E9389&lt;&gt;"""", F9389&lt;&gt;"""", N"&amp;"OT(REGEXMATCH(C9389, ""薪資""))), ""內部轉帳(忽略)"",
  REGEXMATCH(C9389, ""薪資""), ""薪資變動(不計入)"",
  REGEXMATCH(C9389, ""押金""), ""押金往來"",
  AND(E9389&lt;&gt;"""", F9389=""""), ""真實支出"",
  AND(E9389="""", F9389&lt;&gt;""""), ""真實收入"",
  TRUE, ""其他""
)"),"其他")</f>
        <v>其他</v>
      </c>
      <c r="K9389" s="270" t="str">
        <f t="shared" si="2"/>
        <v/>
      </c>
      <c r="L9389">
        <f t="shared" si="3"/>
        <v>0</v>
      </c>
    </row>
    <row r="9390">
      <c r="A9390" s="107"/>
      <c r="D9390" s="270"/>
      <c r="H9390" s="106" t="str">
        <f t="shared" si="1"/>
        <v/>
      </c>
      <c r="J9390" t="str">
        <f>IFERROR(__xludf.DUMMYFUNCTION("IFS(
  AND(REGEXMATCH(E9390, ""台銀籌備帳戶|玉山帳戶""), REGEXMATCH(C9390, ""薪資"")), ""分潤支出"",
  AND(REGEXMATCH(E9390, ""Ben帳戶|Elsa帳戶|Ben代墊|Ariel代墊|中信銀行共用""), REGEXMATCH(F9390, ""Ben帳戶|Elsa帳戶|Ben代墊|Ariel代墊|中信銀行共用"")), ""內部轉帳(忽略)"",
  AND(E9390&lt;&gt;"""", F9390&lt;&gt;"""", N"&amp;"OT(REGEXMATCH(C9390, ""薪資""))), ""內部轉帳(忽略)"",
  REGEXMATCH(C9390, ""薪資""), ""薪資變動(不計入)"",
  REGEXMATCH(C9390, ""押金""), ""押金往來"",
  AND(E9390&lt;&gt;"""", F9390=""""), ""真實支出"",
  AND(E9390="""", F9390&lt;&gt;""""), ""真實收入"",
  TRUE, ""其他""
)"),"其他")</f>
        <v>其他</v>
      </c>
      <c r="K9390" s="270" t="str">
        <f t="shared" si="2"/>
        <v/>
      </c>
      <c r="L9390">
        <f t="shared" si="3"/>
        <v>0</v>
      </c>
    </row>
    <row r="9391">
      <c r="A9391" s="107"/>
      <c r="D9391" s="270"/>
      <c r="H9391" s="106" t="str">
        <f t="shared" si="1"/>
        <v/>
      </c>
      <c r="J9391" t="str">
        <f>IFERROR(__xludf.DUMMYFUNCTION("IFS(
  AND(REGEXMATCH(E9391, ""台銀籌備帳戶|玉山帳戶""), REGEXMATCH(C9391, ""薪資"")), ""分潤支出"",
  AND(REGEXMATCH(E9391, ""Ben帳戶|Elsa帳戶|Ben代墊|Ariel代墊|中信銀行共用""), REGEXMATCH(F9391, ""Ben帳戶|Elsa帳戶|Ben代墊|Ariel代墊|中信銀行共用"")), ""內部轉帳(忽略)"",
  AND(E9391&lt;&gt;"""", F9391&lt;&gt;"""", N"&amp;"OT(REGEXMATCH(C9391, ""薪資""))), ""內部轉帳(忽略)"",
  REGEXMATCH(C9391, ""薪資""), ""薪資變動(不計入)"",
  REGEXMATCH(C9391, ""押金""), ""押金往來"",
  AND(E9391&lt;&gt;"""", F9391=""""), ""真實支出"",
  AND(E9391="""", F9391&lt;&gt;""""), ""真實收入"",
  TRUE, ""其他""
)"),"其他")</f>
        <v>其他</v>
      </c>
      <c r="K9391" s="270" t="str">
        <f t="shared" si="2"/>
        <v/>
      </c>
      <c r="L9391">
        <f t="shared" si="3"/>
        <v>0</v>
      </c>
    </row>
    <row r="9392">
      <c r="A9392" s="107"/>
      <c r="D9392" s="270"/>
      <c r="H9392" s="106" t="str">
        <f t="shared" si="1"/>
        <v/>
      </c>
      <c r="J9392" t="str">
        <f>IFERROR(__xludf.DUMMYFUNCTION("IFS(
  AND(REGEXMATCH(E9392, ""台銀籌備帳戶|玉山帳戶""), REGEXMATCH(C9392, ""薪資"")), ""分潤支出"",
  AND(REGEXMATCH(E9392, ""Ben帳戶|Elsa帳戶|Ben代墊|Ariel代墊|中信銀行共用""), REGEXMATCH(F9392, ""Ben帳戶|Elsa帳戶|Ben代墊|Ariel代墊|中信銀行共用"")), ""內部轉帳(忽略)"",
  AND(E9392&lt;&gt;"""", F9392&lt;&gt;"""", N"&amp;"OT(REGEXMATCH(C9392, ""薪資""))), ""內部轉帳(忽略)"",
  REGEXMATCH(C9392, ""薪資""), ""薪資變動(不計入)"",
  REGEXMATCH(C9392, ""押金""), ""押金往來"",
  AND(E9392&lt;&gt;"""", F9392=""""), ""真實支出"",
  AND(E9392="""", F9392&lt;&gt;""""), ""真實收入"",
  TRUE, ""其他""
)"),"其他")</f>
        <v>其他</v>
      </c>
      <c r="K9392" s="270" t="str">
        <f t="shared" si="2"/>
        <v/>
      </c>
      <c r="L9392">
        <f t="shared" si="3"/>
        <v>0</v>
      </c>
    </row>
    <row r="9393">
      <c r="A9393" s="107"/>
      <c r="D9393" s="270"/>
      <c r="H9393" s="106" t="str">
        <f t="shared" si="1"/>
        <v/>
      </c>
      <c r="J9393" t="str">
        <f>IFERROR(__xludf.DUMMYFUNCTION("IFS(
  AND(REGEXMATCH(E9393, ""台銀籌備帳戶|玉山帳戶""), REGEXMATCH(C9393, ""薪資"")), ""分潤支出"",
  AND(REGEXMATCH(E9393, ""Ben帳戶|Elsa帳戶|Ben代墊|Ariel代墊|中信銀行共用""), REGEXMATCH(F9393, ""Ben帳戶|Elsa帳戶|Ben代墊|Ariel代墊|中信銀行共用"")), ""內部轉帳(忽略)"",
  AND(E9393&lt;&gt;"""", F9393&lt;&gt;"""", N"&amp;"OT(REGEXMATCH(C9393, ""薪資""))), ""內部轉帳(忽略)"",
  REGEXMATCH(C9393, ""薪資""), ""薪資變動(不計入)"",
  REGEXMATCH(C9393, ""押金""), ""押金往來"",
  AND(E9393&lt;&gt;"""", F9393=""""), ""真實支出"",
  AND(E9393="""", F9393&lt;&gt;""""), ""真實收入"",
  TRUE, ""其他""
)"),"其他")</f>
        <v>其他</v>
      </c>
      <c r="K9393" s="270" t="str">
        <f t="shared" si="2"/>
        <v/>
      </c>
      <c r="L9393">
        <f t="shared" si="3"/>
        <v>0</v>
      </c>
    </row>
    <row r="9394">
      <c r="A9394" s="107"/>
      <c r="D9394" s="270"/>
      <c r="H9394" s="106" t="str">
        <f t="shared" si="1"/>
        <v/>
      </c>
      <c r="J9394" t="str">
        <f>IFERROR(__xludf.DUMMYFUNCTION("IFS(
  AND(REGEXMATCH(E9394, ""台銀籌備帳戶|玉山帳戶""), REGEXMATCH(C9394, ""薪資"")), ""分潤支出"",
  AND(REGEXMATCH(E9394, ""Ben帳戶|Elsa帳戶|Ben代墊|Ariel代墊|中信銀行共用""), REGEXMATCH(F9394, ""Ben帳戶|Elsa帳戶|Ben代墊|Ariel代墊|中信銀行共用"")), ""內部轉帳(忽略)"",
  AND(E9394&lt;&gt;"""", F9394&lt;&gt;"""", N"&amp;"OT(REGEXMATCH(C9394, ""薪資""))), ""內部轉帳(忽略)"",
  REGEXMATCH(C9394, ""薪資""), ""薪資變動(不計入)"",
  REGEXMATCH(C9394, ""押金""), ""押金往來"",
  AND(E9394&lt;&gt;"""", F9394=""""), ""真實支出"",
  AND(E9394="""", F9394&lt;&gt;""""), ""真實收入"",
  TRUE, ""其他""
)"),"其他")</f>
        <v>其他</v>
      </c>
      <c r="K9394" s="270" t="str">
        <f t="shared" si="2"/>
        <v/>
      </c>
      <c r="L9394">
        <f t="shared" si="3"/>
        <v>0</v>
      </c>
    </row>
    <row r="9395">
      <c r="A9395" s="107"/>
      <c r="D9395" s="270"/>
      <c r="H9395" s="106" t="str">
        <f t="shared" si="1"/>
        <v/>
      </c>
      <c r="J9395" t="str">
        <f>IFERROR(__xludf.DUMMYFUNCTION("IFS(
  AND(REGEXMATCH(E9395, ""台銀籌備帳戶|玉山帳戶""), REGEXMATCH(C9395, ""薪資"")), ""分潤支出"",
  AND(REGEXMATCH(E9395, ""Ben帳戶|Elsa帳戶|Ben代墊|Ariel代墊|中信銀行共用""), REGEXMATCH(F9395, ""Ben帳戶|Elsa帳戶|Ben代墊|Ariel代墊|中信銀行共用"")), ""內部轉帳(忽略)"",
  AND(E9395&lt;&gt;"""", F9395&lt;&gt;"""", N"&amp;"OT(REGEXMATCH(C9395, ""薪資""))), ""內部轉帳(忽略)"",
  REGEXMATCH(C9395, ""薪資""), ""薪資變動(不計入)"",
  REGEXMATCH(C9395, ""押金""), ""押金往來"",
  AND(E9395&lt;&gt;"""", F9395=""""), ""真實支出"",
  AND(E9395="""", F9395&lt;&gt;""""), ""真實收入"",
  TRUE, ""其他""
)"),"其他")</f>
        <v>其他</v>
      </c>
      <c r="K9395" s="270" t="str">
        <f t="shared" si="2"/>
        <v/>
      </c>
      <c r="L9395">
        <f t="shared" si="3"/>
        <v>0</v>
      </c>
    </row>
    <row r="9396">
      <c r="A9396" s="107"/>
      <c r="D9396" s="270"/>
      <c r="H9396" s="106" t="str">
        <f t="shared" si="1"/>
        <v/>
      </c>
      <c r="J9396" t="str">
        <f>IFERROR(__xludf.DUMMYFUNCTION("IFS(
  AND(REGEXMATCH(E9396, ""台銀籌備帳戶|玉山帳戶""), REGEXMATCH(C9396, ""薪資"")), ""分潤支出"",
  AND(REGEXMATCH(E9396, ""Ben帳戶|Elsa帳戶|Ben代墊|Ariel代墊|中信銀行共用""), REGEXMATCH(F9396, ""Ben帳戶|Elsa帳戶|Ben代墊|Ariel代墊|中信銀行共用"")), ""內部轉帳(忽略)"",
  AND(E9396&lt;&gt;"""", F9396&lt;&gt;"""", N"&amp;"OT(REGEXMATCH(C9396, ""薪資""))), ""內部轉帳(忽略)"",
  REGEXMATCH(C9396, ""薪資""), ""薪資變動(不計入)"",
  REGEXMATCH(C9396, ""押金""), ""押金往來"",
  AND(E9396&lt;&gt;"""", F9396=""""), ""真實支出"",
  AND(E9396="""", F9396&lt;&gt;""""), ""真實收入"",
  TRUE, ""其他""
)"),"其他")</f>
        <v>其他</v>
      </c>
      <c r="K9396" s="270" t="str">
        <f t="shared" si="2"/>
        <v/>
      </c>
      <c r="L9396">
        <f t="shared" si="3"/>
        <v>0</v>
      </c>
    </row>
    <row r="9397">
      <c r="A9397" s="107"/>
      <c r="D9397" s="270"/>
      <c r="H9397" s="106" t="str">
        <f t="shared" si="1"/>
        <v/>
      </c>
      <c r="J9397" t="str">
        <f>IFERROR(__xludf.DUMMYFUNCTION("IFS(
  AND(REGEXMATCH(E9397, ""台銀籌備帳戶|玉山帳戶""), REGEXMATCH(C9397, ""薪資"")), ""分潤支出"",
  AND(REGEXMATCH(E9397, ""Ben帳戶|Elsa帳戶|Ben代墊|Ariel代墊|中信銀行共用""), REGEXMATCH(F9397, ""Ben帳戶|Elsa帳戶|Ben代墊|Ariel代墊|中信銀行共用"")), ""內部轉帳(忽略)"",
  AND(E9397&lt;&gt;"""", F9397&lt;&gt;"""", N"&amp;"OT(REGEXMATCH(C9397, ""薪資""))), ""內部轉帳(忽略)"",
  REGEXMATCH(C9397, ""薪資""), ""薪資變動(不計入)"",
  REGEXMATCH(C9397, ""押金""), ""押金往來"",
  AND(E9397&lt;&gt;"""", F9397=""""), ""真實支出"",
  AND(E9397="""", F9397&lt;&gt;""""), ""真實收入"",
  TRUE, ""其他""
)"),"其他")</f>
        <v>其他</v>
      </c>
      <c r="K9397" s="270" t="str">
        <f t="shared" si="2"/>
        <v/>
      </c>
      <c r="L9397">
        <f t="shared" si="3"/>
        <v>0</v>
      </c>
    </row>
    <row r="9398">
      <c r="A9398" s="107"/>
      <c r="D9398" s="270"/>
      <c r="H9398" s="106" t="str">
        <f t="shared" si="1"/>
        <v/>
      </c>
      <c r="J9398" t="str">
        <f>IFERROR(__xludf.DUMMYFUNCTION("IFS(
  AND(REGEXMATCH(E9398, ""台銀籌備帳戶|玉山帳戶""), REGEXMATCH(C9398, ""薪資"")), ""分潤支出"",
  AND(REGEXMATCH(E9398, ""Ben帳戶|Elsa帳戶|Ben代墊|Ariel代墊|中信銀行共用""), REGEXMATCH(F9398, ""Ben帳戶|Elsa帳戶|Ben代墊|Ariel代墊|中信銀行共用"")), ""內部轉帳(忽略)"",
  AND(E9398&lt;&gt;"""", F9398&lt;&gt;"""", N"&amp;"OT(REGEXMATCH(C9398, ""薪資""))), ""內部轉帳(忽略)"",
  REGEXMATCH(C9398, ""薪資""), ""薪資變動(不計入)"",
  REGEXMATCH(C9398, ""押金""), ""押金往來"",
  AND(E9398&lt;&gt;"""", F9398=""""), ""真實支出"",
  AND(E9398="""", F9398&lt;&gt;""""), ""真實收入"",
  TRUE, ""其他""
)"),"其他")</f>
        <v>其他</v>
      </c>
      <c r="K9398" s="270" t="str">
        <f t="shared" si="2"/>
        <v/>
      </c>
      <c r="L9398">
        <f t="shared" si="3"/>
        <v>0</v>
      </c>
    </row>
    <row r="9399">
      <c r="A9399" s="107"/>
      <c r="D9399" s="270"/>
      <c r="H9399" s="106" t="str">
        <f t="shared" si="1"/>
        <v/>
      </c>
      <c r="J9399" t="str">
        <f>IFERROR(__xludf.DUMMYFUNCTION("IFS(
  AND(REGEXMATCH(E9399, ""台銀籌備帳戶|玉山帳戶""), REGEXMATCH(C9399, ""薪資"")), ""分潤支出"",
  AND(REGEXMATCH(E9399, ""Ben帳戶|Elsa帳戶|Ben代墊|Ariel代墊|中信銀行共用""), REGEXMATCH(F9399, ""Ben帳戶|Elsa帳戶|Ben代墊|Ariel代墊|中信銀行共用"")), ""內部轉帳(忽略)"",
  AND(E9399&lt;&gt;"""", F9399&lt;&gt;"""", N"&amp;"OT(REGEXMATCH(C9399, ""薪資""))), ""內部轉帳(忽略)"",
  REGEXMATCH(C9399, ""薪資""), ""薪資變動(不計入)"",
  REGEXMATCH(C9399, ""押金""), ""押金往來"",
  AND(E9399&lt;&gt;"""", F9399=""""), ""真實支出"",
  AND(E9399="""", F9399&lt;&gt;""""), ""真實收入"",
  TRUE, ""其他""
)"),"其他")</f>
        <v>其他</v>
      </c>
      <c r="K9399" s="270" t="str">
        <f t="shared" si="2"/>
        <v/>
      </c>
      <c r="L9399">
        <f t="shared" si="3"/>
        <v>0</v>
      </c>
    </row>
    <row r="9400">
      <c r="A9400" s="107"/>
      <c r="D9400" s="270"/>
      <c r="H9400" s="106" t="str">
        <f t="shared" si="1"/>
        <v/>
      </c>
      <c r="J9400" t="str">
        <f>IFERROR(__xludf.DUMMYFUNCTION("IFS(
  AND(REGEXMATCH(E9400, ""台銀籌備帳戶|玉山帳戶""), REGEXMATCH(C9400, ""薪資"")), ""分潤支出"",
  AND(REGEXMATCH(E9400, ""Ben帳戶|Elsa帳戶|Ben代墊|Ariel代墊|中信銀行共用""), REGEXMATCH(F9400, ""Ben帳戶|Elsa帳戶|Ben代墊|Ariel代墊|中信銀行共用"")), ""內部轉帳(忽略)"",
  AND(E9400&lt;&gt;"""", F9400&lt;&gt;"""", N"&amp;"OT(REGEXMATCH(C9400, ""薪資""))), ""內部轉帳(忽略)"",
  REGEXMATCH(C9400, ""薪資""), ""薪資變動(不計入)"",
  REGEXMATCH(C9400, ""押金""), ""押金往來"",
  AND(E9400&lt;&gt;"""", F9400=""""), ""真實支出"",
  AND(E9400="""", F9400&lt;&gt;""""), ""真實收入"",
  TRUE, ""其他""
)"),"其他")</f>
        <v>其他</v>
      </c>
      <c r="K9400" s="270" t="str">
        <f t="shared" si="2"/>
        <v/>
      </c>
      <c r="L9400">
        <f t="shared" si="3"/>
        <v>0</v>
      </c>
    </row>
    <row r="9401">
      <c r="A9401" s="107"/>
      <c r="D9401" s="270"/>
      <c r="H9401" s="106" t="str">
        <f t="shared" si="1"/>
        <v/>
      </c>
      <c r="J9401" t="str">
        <f>IFERROR(__xludf.DUMMYFUNCTION("IFS(
  AND(REGEXMATCH(E9401, ""台銀籌備帳戶|玉山帳戶""), REGEXMATCH(C9401, ""薪資"")), ""分潤支出"",
  AND(REGEXMATCH(E9401, ""Ben帳戶|Elsa帳戶|Ben代墊|Ariel代墊|中信銀行共用""), REGEXMATCH(F9401, ""Ben帳戶|Elsa帳戶|Ben代墊|Ariel代墊|中信銀行共用"")), ""內部轉帳(忽略)"",
  AND(E9401&lt;&gt;"""", F9401&lt;&gt;"""", N"&amp;"OT(REGEXMATCH(C9401, ""薪資""))), ""內部轉帳(忽略)"",
  REGEXMATCH(C9401, ""薪資""), ""薪資變動(不計入)"",
  REGEXMATCH(C9401, ""押金""), ""押金往來"",
  AND(E9401&lt;&gt;"""", F9401=""""), ""真實支出"",
  AND(E9401="""", F9401&lt;&gt;""""), ""真實收入"",
  TRUE, ""其他""
)"),"其他")</f>
        <v>其他</v>
      </c>
      <c r="K9401" s="270" t="str">
        <f t="shared" si="2"/>
        <v/>
      </c>
      <c r="L9401">
        <f t="shared" si="3"/>
        <v>0</v>
      </c>
    </row>
    <row r="9402">
      <c r="A9402" s="107"/>
      <c r="D9402" s="270"/>
      <c r="H9402" s="106" t="str">
        <f t="shared" si="1"/>
        <v/>
      </c>
      <c r="J9402" t="str">
        <f>IFERROR(__xludf.DUMMYFUNCTION("IFS(
  AND(REGEXMATCH(E9402, ""台銀籌備帳戶|玉山帳戶""), REGEXMATCH(C9402, ""薪資"")), ""分潤支出"",
  AND(REGEXMATCH(E9402, ""Ben帳戶|Elsa帳戶|Ben代墊|Ariel代墊|中信銀行共用""), REGEXMATCH(F9402, ""Ben帳戶|Elsa帳戶|Ben代墊|Ariel代墊|中信銀行共用"")), ""內部轉帳(忽略)"",
  AND(E9402&lt;&gt;"""", F9402&lt;&gt;"""", N"&amp;"OT(REGEXMATCH(C9402, ""薪資""))), ""內部轉帳(忽略)"",
  REGEXMATCH(C9402, ""薪資""), ""薪資變動(不計入)"",
  REGEXMATCH(C9402, ""押金""), ""押金往來"",
  AND(E9402&lt;&gt;"""", F9402=""""), ""真實支出"",
  AND(E9402="""", F9402&lt;&gt;""""), ""真實收入"",
  TRUE, ""其他""
)"),"其他")</f>
        <v>其他</v>
      </c>
      <c r="K9402" s="270" t="str">
        <f t="shared" si="2"/>
        <v/>
      </c>
      <c r="L9402">
        <f t="shared" si="3"/>
        <v>0</v>
      </c>
    </row>
    <row r="9403">
      <c r="A9403" s="107"/>
      <c r="D9403" s="270"/>
      <c r="H9403" s="106" t="str">
        <f t="shared" si="1"/>
        <v/>
      </c>
      <c r="J9403" t="str">
        <f>IFERROR(__xludf.DUMMYFUNCTION("IFS(
  AND(REGEXMATCH(E9403, ""台銀籌備帳戶|玉山帳戶""), REGEXMATCH(C9403, ""薪資"")), ""分潤支出"",
  AND(REGEXMATCH(E9403, ""Ben帳戶|Elsa帳戶|Ben代墊|Ariel代墊|中信銀行共用""), REGEXMATCH(F9403, ""Ben帳戶|Elsa帳戶|Ben代墊|Ariel代墊|中信銀行共用"")), ""內部轉帳(忽略)"",
  AND(E9403&lt;&gt;"""", F9403&lt;&gt;"""", N"&amp;"OT(REGEXMATCH(C9403, ""薪資""))), ""內部轉帳(忽略)"",
  REGEXMATCH(C9403, ""薪資""), ""薪資變動(不計入)"",
  REGEXMATCH(C9403, ""押金""), ""押金往來"",
  AND(E9403&lt;&gt;"""", F9403=""""), ""真實支出"",
  AND(E9403="""", F9403&lt;&gt;""""), ""真實收入"",
  TRUE, ""其他""
)"),"其他")</f>
        <v>其他</v>
      </c>
      <c r="K9403" s="270" t="str">
        <f t="shared" si="2"/>
        <v/>
      </c>
      <c r="L9403">
        <f t="shared" si="3"/>
        <v>0</v>
      </c>
    </row>
    <row r="9404">
      <c r="A9404" s="107"/>
      <c r="D9404" s="270"/>
      <c r="H9404" s="106" t="str">
        <f t="shared" si="1"/>
        <v/>
      </c>
      <c r="J9404" t="str">
        <f>IFERROR(__xludf.DUMMYFUNCTION("IFS(
  AND(REGEXMATCH(E9404, ""台銀籌備帳戶|玉山帳戶""), REGEXMATCH(C9404, ""薪資"")), ""分潤支出"",
  AND(REGEXMATCH(E9404, ""Ben帳戶|Elsa帳戶|Ben代墊|Ariel代墊|中信銀行共用""), REGEXMATCH(F9404, ""Ben帳戶|Elsa帳戶|Ben代墊|Ariel代墊|中信銀行共用"")), ""內部轉帳(忽略)"",
  AND(E9404&lt;&gt;"""", F9404&lt;&gt;"""", N"&amp;"OT(REGEXMATCH(C9404, ""薪資""))), ""內部轉帳(忽略)"",
  REGEXMATCH(C9404, ""薪資""), ""薪資變動(不計入)"",
  REGEXMATCH(C9404, ""押金""), ""押金往來"",
  AND(E9404&lt;&gt;"""", F9404=""""), ""真實支出"",
  AND(E9404="""", F9404&lt;&gt;""""), ""真實收入"",
  TRUE, ""其他""
)"),"其他")</f>
        <v>其他</v>
      </c>
      <c r="K9404" s="270" t="str">
        <f t="shared" si="2"/>
        <v/>
      </c>
      <c r="L9404">
        <f t="shared" si="3"/>
        <v>0</v>
      </c>
    </row>
    <row r="9405">
      <c r="A9405" s="107"/>
      <c r="D9405" s="270"/>
      <c r="H9405" s="106" t="str">
        <f t="shared" si="1"/>
        <v/>
      </c>
      <c r="J9405" t="str">
        <f>IFERROR(__xludf.DUMMYFUNCTION("IFS(
  AND(REGEXMATCH(E9405, ""台銀籌備帳戶|玉山帳戶""), REGEXMATCH(C9405, ""薪資"")), ""分潤支出"",
  AND(REGEXMATCH(E9405, ""Ben帳戶|Elsa帳戶|Ben代墊|Ariel代墊|中信銀行共用""), REGEXMATCH(F9405, ""Ben帳戶|Elsa帳戶|Ben代墊|Ariel代墊|中信銀行共用"")), ""內部轉帳(忽略)"",
  AND(E9405&lt;&gt;"""", F9405&lt;&gt;"""", N"&amp;"OT(REGEXMATCH(C9405, ""薪資""))), ""內部轉帳(忽略)"",
  REGEXMATCH(C9405, ""薪資""), ""薪資變動(不計入)"",
  REGEXMATCH(C9405, ""押金""), ""押金往來"",
  AND(E9405&lt;&gt;"""", F9405=""""), ""真實支出"",
  AND(E9405="""", F9405&lt;&gt;""""), ""真實收入"",
  TRUE, ""其他""
)"),"其他")</f>
        <v>其他</v>
      </c>
      <c r="K9405" s="270" t="str">
        <f t="shared" si="2"/>
        <v/>
      </c>
      <c r="L9405">
        <f t="shared" si="3"/>
        <v>0</v>
      </c>
    </row>
    <row r="9406">
      <c r="A9406" s="107"/>
      <c r="D9406" s="270"/>
      <c r="H9406" s="106" t="str">
        <f t="shared" si="1"/>
        <v/>
      </c>
      <c r="J9406" t="str">
        <f>IFERROR(__xludf.DUMMYFUNCTION("IFS(
  AND(REGEXMATCH(E9406, ""台銀籌備帳戶|玉山帳戶""), REGEXMATCH(C9406, ""薪資"")), ""分潤支出"",
  AND(REGEXMATCH(E9406, ""Ben帳戶|Elsa帳戶|Ben代墊|Ariel代墊|中信銀行共用""), REGEXMATCH(F9406, ""Ben帳戶|Elsa帳戶|Ben代墊|Ariel代墊|中信銀行共用"")), ""內部轉帳(忽略)"",
  AND(E9406&lt;&gt;"""", F9406&lt;&gt;"""", N"&amp;"OT(REGEXMATCH(C9406, ""薪資""))), ""內部轉帳(忽略)"",
  REGEXMATCH(C9406, ""薪資""), ""薪資變動(不計入)"",
  REGEXMATCH(C9406, ""押金""), ""押金往來"",
  AND(E9406&lt;&gt;"""", F9406=""""), ""真實支出"",
  AND(E9406="""", F9406&lt;&gt;""""), ""真實收入"",
  TRUE, ""其他""
)"),"其他")</f>
        <v>其他</v>
      </c>
      <c r="K9406" s="270" t="str">
        <f t="shared" si="2"/>
        <v/>
      </c>
      <c r="L9406">
        <f t="shared" si="3"/>
        <v>0</v>
      </c>
    </row>
    <row r="9407">
      <c r="A9407" s="107"/>
      <c r="D9407" s="270"/>
      <c r="H9407" s="106" t="str">
        <f t="shared" si="1"/>
        <v/>
      </c>
      <c r="J9407" t="str">
        <f>IFERROR(__xludf.DUMMYFUNCTION("IFS(
  AND(REGEXMATCH(E9407, ""台銀籌備帳戶|玉山帳戶""), REGEXMATCH(C9407, ""薪資"")), ""分潤支出"",
  AND(REGEXMATCH(E9407, ""Ben帳戶|Elsa帳戶|Ben代墊|Ariel代墊|中信銀行共用""), REGEXMATCH(F9407, ""Ben帳戶|Elsa帳戶|Ben代墊|Ariel代墊|中信銀行共用"")), ""內部轉帳(忽略)"",
  AND(E9407&lt;&gt;"""", F9407&lt;&gt;"""", N"&amp;"OT(REGEXMATCH(C9407, ""薪資""))), ""內部轉帳(忽略)"",
  REGEXMATCH(C9407, ""薪資""), ""薪資變動(不計入)"",
  REGEXMATCH(C9407, ""押金""), ""押金往來"",
  AND(E9407&lt;&gt;"""", F9407=""""), ""真實支出"",
  AND(E9407="""", F9407&lt;&gt;""""), ""真實收入"",
  TRUE, ""其他""
)"),"其他")</f>
        <v>其他</v>
      </c>
      <c r="K9407" s="270" t="str">
        <f t="shared" si="2"/>
        <v/>
      </c>
      <c r="L9407">
        <f t="shared" si="3"/>
        <v>0</v>
      </c>
    </row>
    <row r="9408">
      <c r="A9408" s="107"/>
      <c r="D9408" s="270"/>
      <c r="H9408" s="106" t="str">
        <f t="shared" si="1"/>
        <v/>
      </c>
      <c r="J9408" t="str">
        <f>IFERROR(__xludf.DUMMYFUNCTION("IFS(
  AND(REGEXMATCH(E9408, ""台銀籌備帳戶|玉山帳戶""), REGEXMATCH(C9408, ""薪資"")), ""分潤支出"",
  AND(REGEXMATCH(E9408, ""Ben帳戶|Elsa帳戶|Ben代墊|Ariel代墊|中信銀行共用""), REGEXMATCH(F9408, ""Ben帳戶|Elsa帳戶|Ben代墊|Ariel代墊|中信銀行共用"")), ""內部轉帳(忽略)"",
  AND(E9408&lt;&gt;"""", F9408&lt;&gt;"""", N"&amp;"OT(REGEXMATCH(C9408, ""薪資""))), ""內部轉帳(忽略)"",
  REGEXMATCH(C9408, ""薪資""), ""薪資變動(不計入)"",
  REGEXMATCH(C9408, ""押金""), ""押金往來"",
  AND(E9408&lt;&gt;"""", F9408=""""), ""真實支出"",
  AND(E9408="""", F9408&lt;&gt;""""), ""真實收入"",
  TRUE, ""其他""
)"),"其他")</f>
        <v>其他</v>
      </c>
      <c r="K9408" s="270" t="str">
        <f t="shared" si="2"/>
        <v/>
      </c>
      <c r="L9408">
        <f t="shared" si="3"/>
        <v>0</v>
      </c>
    </row>
    <row r="9409">
      <c r="A9409" s="107"/>
      <c r="D9409" s="270"/>
      <c r="H9409" s="106" t="str">
        <f t="shared" si="1"/>
        <v/>
      </c>
      <c r="J9409" t="str">
        <f>IFERROR(__xludf.DUMMYFUNCTION("IFS(
  AND(REGEXMATCH(E9409, ""台銀籌備帳戶|玉山帳戶""), REGEXMATCH(C9409, ""薪資"")), ""分潤支出"",
  AND(REGEXMATCH(E9409, ""Ben帳戶|Elsa帳戶|Ben代墊|Ariel代墊|中信銀行共用""), REGEXMATCH(F9409, ""Ben帳戶|Elsa帳戶|Ben代墊|Ariel代墊|中信銀行共用"")), ""內部轉帳(忽略)"",
  AND(E9409&lt;&gt;"""", F9409&lt;&gt;"""", N"&amp;"OT(REGEXMATCH(C9409, ""薪資""))), ""內部轉帳(忽略)"",
  REGEXMATCH(C9409, ""薪資""), ""薪資變動(不計入)"",
  REGEXMATCH(C9409, ""押金""), ""押金往來"",
  AND(E9409&lt;&gt;"""", F9409=""""), ""真實支出"",
  AND(E9409="""", F9409&lt;&gt;""""), ""真實收入"",
  TRUE, ""其他""
)"),"其他")</f>
        <v>其他</v>
      </c>
      <c r="K9409" s="270" t="str">
        <f t="shared" si="2"/>
        <v/>
      </c>
      <c r="L9409">
        <f t="shared" si="3"/>
        <v>0</v>
      </c>
    </row>
    <row r="9410">
      <c r="A9410" s="107"/>
      <c r="D9410" s="270"/>
      <c r="H9410" s="106" t="str">
        <f t="shared" si="1"/>
        <v/>
      </c>
      <c r="J9410" t="str">
        <f>IFERROR(__xludf.DUMMYFUNCTION("IFS(
  AND(REGEXMATCH(E9410, ""台銀籌備帳戶|玉山帳戶""), REGEXMATCH(C9410, ""薪資"")), ""分潤支出"",
  AND(REGEXMATCH(E9410, ""Ben帳戶|Elsa帳戶|Ben代墊|Ariel代墊|中信銀行共用""), REGEXMATCH(F9410, ""Ben帳戶|Elsa帳戶|Ben代墊|Ariel代墊|中信銀行共用"")), ""內部轉帳(忽略)"",
  AND(E9410&lt;&gt;"""", F9410&lt;&gt;"""", N"&amp;"OT(REGEXMATCH(C9410, ""薪資""))), ""內部轉帳(忽略)"",
  REGEXMATCH(C9410, ""薪資""), ""薪資變動(不計入)"",
  REGEXMATCH(C9410, ""押金""), ""押金往來"",
  AND(E9410&lt;&gt;"""", F9410=""""), ""真實支出"",
  AND(E9410="""", F9410&lt;&gt;""""), ""真實收入"",
  TRUE, ""其他""
)"),"其他")</f>
        <v>其他</v>
      </c>
      <c r="K9410" s="270" t="str">
        <f t="shared" si="2"/>
        <v/>
      </c>
      <c r="L9410">
        <f t="shared" si="3"/>
        <v>0</v>
      </c>
    </row>
    <row r="9411">
      <c r="A9411" s="107"/>
      <c r="D9411" s="270"/>
      <c r="H9411" s="106" t="str">
        <f t="shared" si="1"/>
        <v/>
      </c>
      <c r="J9411" t="str">
        <f>IFERROR(__xludf.DUMMYFUNCTION("IFS(
  AND(REGEXMATCH(E9411, ""台銀籌備帳戶|玉山帳戶""), REGEXMATCH(C9411, ""薪資"")), ""分潤支出"",
  AND(REGEXMATCH(E9411, ""Ben帳戶|Elsa帳戶|Ben代墊|Ariel代墊|中信銀行共用""), REGEXMATCH(F9411, ""Ben帳戶|Elsa帳戶|Ben代墊|Ariel代墊|中信銀行共用"")), ""內部轉帳(忽略)"",
  AND(E9411&lt;&gt;"""", F9411&lt;&gt;"""", N"&amp;"OT(REGEXMATCH(C9411, ""薪資""))), ""內部轉帳(忽略)"",
  REGEXMATCH(C9411, ""薪資""), ""薪資變動(不計入)"",
  REGEXMATCH(C9411, ""押金""), ""押金往來"",
  AND(E9411&lt;&gt;"""", F9411=""""), ""真實支出"",
  AND(E9411="""", F9411&lt;&gt;""""), ""真實收入"",
  TRUE, ""其他""
)"),"其他")</f>
        <v>其他</v>
      </c>
      <c r="K9411" s="270" t="str">
        <f t="shared" si="2"/>
        <v/>
      </c>
      <c r="L9411">
        <f t="shared" si="3"/>
        <v>0</v>
      </c>
    </row>
    <row r="9412">
      <c r="A9412" s="107"/>
      <c r="D9412" s="270"/>
      <c r="H9412" s="106" t="str">
        <f t="shared" si="1"/>
        <v/>
      </c>
      <c r="J9412" t="str">
        <f>IFERROR(__xludf.DUMMYFUNCTION("IFS(
  AND(REGEXMATCH(E9412, ""台銀籌備帳戶|玉山帳戶""), REGEXMATCH(C9412, ""薪資"")), ""分潤支出"",
  AND(REGEXMATCH(E9412, ""Ben帳戶|Elsa帳戶|Ben代墊|Ariel代墊|中信銀行共用""), REGEXMATCH(F9412, ""Ben帳戶|Elsa帳戶|Ben代墊|Ariel代墊|中信銀行共用"")), ""內部轉帳(忽略)"",
  AND(E9412&lt;&gt;"""", F9412&lt;&gt;"""", N"&amp;"OT(REGEXMATCH(C9412, ""薪資""))), ""內部轉帳(忽略)"",
  REGEXMATCH(C9412, ""薪資""), ""薪資變動(不計入)"",
  REGEXMATCH(C9412, ""押金""), ""押金往來"",
  AND(E9412&lt;&gt;"""", F9412=""""), ""真實支出"",
  AND(E9412="""", F9412&lt;&gt;""""), ""真實收入"",
  TRUE, ""其他""
)"),"其他")</f>
        <v>其他</v>
      </c>
      <c r="K9412" s="270" t="str">
        <f t="shared" si="2"/>
        <v/>
      </c>
      <c r="L9412">
        <f t="shared" si="3"/>
        <v>0</v>
      </c>
    </row>
    <row r="9413">
      <c r="A9413" s="107"/>
      <c r="D9413" s="270"/>
      <c r="H9413" s="106" t="str">
        <f t="shared" si="1"/>
        <v/>
      </c>
      <c r="J9413" t="str">
        <f>IFERROR(__xludf.DUMMYFUNCTION("IFS(
  AND(REGEXMATCH(E9413, ""台銀籌備帳戶|玉山帳戶""), REGEXMATCH(C9413, ""薪資"")), ""分潤支出"",
  AND(REGEXMATCH(E9413, ""Ben帳戶|Elsa帳戶|Ben代墊|Ariel代墊|中信銀行共用""), REGEXMATCH(F9413, ""Ben帳戶|Elsa帳戶|Ben代墊|Ariel代墊|中信銀行共用"")), ""內部轉帳(忽略)"",
  AND(E9413&lt;&gt;"""", F9413&lt;&gt;"""", N"&amp;"OT(REGEXMATCH(C9413, ""薪資""))), ""內部轉帳(忽略)"",
  REGEXMATCH(C9413, ""薪資""), ""薪資變動(不計入)"",
  REGEXMATCH(C9413, ""押金""), ""押金往來"",
  AND(E9413&lt;&gt;"""", F9413=""""), ""真實支出"",
  AND(E9413="""", F9413&lt;&gt;""""), ""真實收入"",
  TRUE, ""其他""
)"),"其他")</f>
        <v>其他</v>
      </c>
      <c r="K9413" s="270" t="str">
        <f t="shared" si="2"/>
        <v/>
      </c>
      <c r="L9413">
        <f t="shared" si="3"/>
        <v>0</v>
      </c>
    </row>
    <row r="9414">
      <c r="A9414" s="107"/>
      <c r="D9414" s="270"/>
      <c r="H9414" s="106" t="str">
        <f t="shared" si="1"/>
        <v/>
      </c>
      <c r="J9414" t="str">
        <f>IFERROR(__xludf.DUMMYFUNCTION("IFS(
  AND(REGEXMATCH(E9414, ""台銀籌備帳戶|玉山帳戶""), REGEXMATCH(C9414, ""薪資"")), ""分潤支出"",
  AND(REGEXMATCH(E9414, ""Ben帳戶|Elsa帳戶|Ben代墊|Ariel代墊|中信銀行共用""), REGEXMATCH(F9414, ""Ben帳戶|Elsa帳戶|Ben代墊|Ariel代墊|中信銀行共用"")), ""內部轉帳(忽略)"",
  AND(E9414&lt;&gt;"""", F9414&lt;&gt;"""", N"&amp;"OT(REGEXMATCH(C9414, ""薪資""))), ""內部轉帳(忽略)"",
  REGEXMATCH(C9414, ""薪資""), ""薪資變動(不計入)"",
  REGEXMATCH(C9414, ""押金""), ""押金往來"",
  AND(E9414&lt;&gt;"""", F9414=""""), ""真實支出"",
  AND(E9414="""", F9414&lt;&gt;""""), ""真實收入"",
  TRUE, ""其他""
)"),"其他")</f>
        <v>其他</v>
      </c>
      <c r="K9414" s="270" t="str">
        <f t="shared" si="2"/>
        <v/>
      </c>
      <c r="L9414">
        <f t="shared" si="3"/>
        <v>0</v>
      </c>
    </row>
    <row r="9415">
      <c r="A9415" s="107"/>
      <c r="D9415" s="270"/>
      <c r="H9415" s="106" t="str">
        <f t="shared" si="1"/>
        <v/>
      </c>
      <c r="J9415" t="str">
        <f>IFERROR(__xludf.DUMMYFUNCTION("IFS(
  AND(REGEXMATCH(E9415, ""台銀籌備帳戶|玉山帳戶""), REGEXMATCH(C9415, ""薪資"")), ""分潤支出"",
  AND(REGEXMATCH(E9415, ""Ben帳戶|Elsa帳戶|Ben代墊|Ariel代墊|中信銀行共用""), REGEXMATCH(F9415, ""Ben帳戶|Elsa帳戶|Ben代墊|Ariel代墊|中信銀行共用"")), ""內部轉帳(忽略)"",
  AND(E9415&lt;&gt;"""", F9415&lt;&gt;"""", N"&amp;"OT(REGEXMATCH(C9415, ""薪資""))), ""內部轉帳(忽略)"",
  REGEXMATCH(C9415, ""薪資""), ""薪資變動(不計入)"",
  REGEXMATCH(C9415, ""押金""), ""押金往來"",
  AND(E9415&lt;&gt;"""", F9415=""""), ""真實支出"",
  AND(E9415="""", F9415&lt;&gt;""""), ""真實收入"",
  TRUE, ""其他""
)"),"其他")</f>
        <v>其他</v>
      </c>
      <c r="K9415" s="270" t="str">
        <f t="shared" si="2"/>
        <v/>
      </c>
      <c r="L9415">
        <f t="shared" si="3"/>
        <v>0</v>
      </c>
    </row>
    <row r="9416">
      <c r="A9416" s="107"/>
      <c r="D9416" s="270"/>
      <c r="H9416" s="106" t="str">
        <f t="shared" si="1"/>
        <v/>
      </c>
      <c r="J9416" t="str">
        <f>IFERROR(__xludf.DUMMYFUNCTION("IFS(
  AND(REGEXMATCH(E9416, ""台銀籌備帳戶|玉山帳戶""), REGEXMATCH(C9416, ""薪資"")), ""分潤支出"",
  AND(REGEXMATCH(E9416, ""Ben帳戶|Elsa帳戶|Ben代墊|Ariel代墊|中信銀行共用""), REGEXMATCH(F9416, ""Ben帳戶|Elsa帳戶|Ben代墊|Ariel代墊|中信銀行共用"")), ""內部轉帳(忽略)"",
  AND(E9416&lt;&gt;"""", F9416&lt;&gt;"""", N"&amp;"OT(REGEXMATCH(C9416, ""薪資""))), ""內部轉帳(忽略)"",
  REGEXMATCH(C9416, ""薪資""), ""薪資變動(不計入)"",
  REGEXMATCH(C9416, ""押金""), ""押金往來"",
  AND(E9416&lt;&gt;"""", F9416=""""), ""真實支出"",
  AND(E9416="""", F9416&lt;&gt;""""), ""真實收入"",
  TRUE, ""其他""
)"),"其他")</f>
        <v>其他</v>
      </c>
      <c r="K9416" s="270" t="str">
        <f t="shared" si="2"/>
        <v/>
      </c>
      <c r="L9416">
        <f t="shared" si="3"/>
        <v>0</v>
      </c>
    </row>
    <row r="9417">
      <c r="A9417" s="107"/>
      <c r="D9417" s="270"/>
      <c r="H9417" s="106" t="str">
        <f t="shared" si="1"/>
        <v/>
      </c>
      <c r="J9417" t="str">
        <f>IFERROR(__xludf.DUMMYFUNCTION("IFS(
  AND(REGEXMATCH(E9417, ""台銀籌備帳戶|玉山帳戶""), REGEXMATCH(C9417, ""薪資"")), ""分潤支出"",
  AND(REGEXMATCH(E9417, ""Ben帳戶|Elsa帳戶|Ben代墊|Ariel代墊|中信銀行共用""), REGEXMATCH(F9417, ""Ben帳戶|Elsa帳戶|Ben代墊|Ariel代墊|中信銀行共用"")), ""內部轉帳(忽略)"",
  AND(E9417&lt;&gt;"""", F9417&lt;&gt;"""", N"&amp;"OT(REGEXMATCH(C9417, ""薪資""))), ""內部轉帳(忽略)"",
  REGEXMATCH(C9417, ""薪資""), ""薪資變動(不計入)"",
  REGEXMATCH(C9417, ""押金""), ""押金往來"",
  AND(E9417&lt;&gt;"""", F9417=""""), ""真實支出"",
  AND(E9417="""", F9417&lt;&gt;""""), ""真實收入"",
  TRUE, ""其他""
)"),"其他")</f>
        <v>其他</v>
      </c>
      <c r="K9417" s="270" t="str">
        <f t="shared" si="2"/>
        <v/>
      </c>
      <c r="L9417">
        <f t="shared" si="3"/>
        <v>0</v>
      </c>
    </row>
    <row r="9418">
      <c r="A9418" s="107"/>
      <c r="D9418" s="270"/>
      <c r="H9418" s="106" t="str">
        <f t="shared" si="1"/>
        <v/>
      </c>
      <c r="J9418" t="str">
        <f>IFERROR(__xludf.DUMMYFUNCTION("IFS(
  AND(REGEXMATCH(E9418, ""台銀籌備帳戶|玉山帳戶""), REGEXMATCH(C9418, ""薪資"")), ""分潤支出"",
  AND(REGEXMATCH(E9418, ""Ben帳戶|Elsa帳戶|Ben代墊|Ariel代墊|中信銀行共用""), REGEXMATCH(F9418, ""Ben帳戶|Elsa帳戶|Ben代墊|Ariel代墊|中信銀行共用"")), ""內部轉帳(忽略)"",
  AND(E9418&lt;&gt;"""", F9418&lt;&gt;"""", N"&amp;"OT(REGEXMATCH(C9418, ""薪資""))), ""內部轉帳(忽略)"",
  REGEXMATCH(C9418, ""薪資""), ""薪資變動(不計入)"",
  REGEXMATCH(C9418, ""押金""), ""押金往來"",
  AND(E9418&lt;&gt;"""", F9418=""""), ""真實支出"",
  AND(E9418="""", F9418&lt;&gt;""""), ""真實收入"",
  TRUE, ""其他""
)"),"其他")</f>
        <v>其他</v>
      </c>
      <c r="K9418" s="270" t="str">
        <f t="shared" si="2"/>
        <v/>
      </c>
      <c r="L9418">
        <f t="shared" si="3"/>
        <v>0</v>
      </c>
    </row>
    <row r="9419">
      <c r="A9419" s="107"/>
      <c r="D9419" s="270"/>
      <c r="H9419" s="106" t="str">
        <f t="shared" si="1"/>
        <v/>
      </c>
      <c r="J9419" t="str">
        <f>IFERROR(__xludf.DUMMYFUNCTION("IFS(
  AND(REGEXMATCH(E9419, ""台銀籌備帳戶|玉山帳戶""), REGEXMATCH(C9419, ""薪資"")), ""分潤支出"",
  AND(REGEXMATCH(E9419, ""Ben帳戶|Elsa帳戶|Ben代墊|Ariel代墊|中信銀行共用""), REGEXMATCH(F9419, ""Ben帳戶|Elsa帳戶|Ben代墊|Ariel代墊|中信銀行共用"")), ""內部轉帳(忽略)"",
  AND(E9419&lt;&gt;"""", F9419&lt;&gt;"""", N"&amp;"OT(REGEXMATCH(C9419, ""薪資""))), ""內部轉帳(忽略)"",
  REGEXMATCH(C9419, ""薪資""), ""薪資變動(不計入)"",
  REGEXMATCH(C9419, ""押金""), ""押金往來"",
  AND(E9419&lt;&gt;"""", F9419=""""), ""真實支出"",
  AND(E9419="""", F9419&lt;&gt;""""), ""真實收入"",
  TRUE, ""其他""
)"),"其他")</f>
        <v>其他</v>
      </c>
      <c r="K9419" s="270" t="str">
        <f t="shared" si="2"/>
        <v/>
      </c>
      <c r="L9419">
        <f t="shared" si="3"/>
        <v>0</v>
      </c>
    </row>
    <row r="9420">
      <c r="A9420" s="107"/>
      <c r="D9420" s="270"/>
      <c r="H9420" s="106" t="str">
        <f t="shared" si="1"/>
        <v/>
      </c>
      <c r="J9420" t="str">
        <f>IFERROR(__xludf.DUMMYFUNCTION("IFS(
  AND(REGEXMATCH(E9420, ""台銀籌備帳戶|玉山帳戶""), REGEXMATCH(C9420, ""薪資"")), ""分潤支出"",
  AND(REGEXMATCH(E9420, ""Ben帳戶|Elsa帳戶|Ben代墊|Ariel代墊|中信銀行共用""), REGEXMATCH(F9420, ""Ben帳戶|Elsa帳戶|Ben代墊|Ariel代墊|中信銀行共用"")), ""內部轉帳(忽略)"",
  AND(E9420&lt;&gt;"""", F9420&lt;&gt;"""", N"&amp;"OT(REGEXMATCH(C9420, ""薪資""))), ""內部轉帳(忽略)"",
  REGEXMATCH(C9420, ""薪資""), ""薪資變動(不計入)"",
  REGEXMATCH(C9420, ""押金""), ""押金往來"",
  AND(E9420&lt;&gt;"""", F9420=""""), ""真實支出"",
  AND(E9420="""", F9420&lt;&gt;""""), ""真實收入"",
  TRUE, ""其他""
)"),"其他")</f>
        <v>其他</v>
      </c>
      <c r="K9420" s="270" t="str">
        <f t="shared" si="2"/>
        <v/>
      </c>
      <c r="L9420">
        <f t="shared" si="3"/>
        <v>0</v>
      </c>
    </row>
    <row r="9421">
      <c r="A9421" s="107"/>
      <c r="D9421" s="270"/>
      <c r="H9421" s="106" t="str">
        <f t="shared" si="1"/>
        <v/>
      </c>
      <c r="J9421" t="str">
        <f>IFERROR(__xludf.DUMMYFUNCTION("IFS(
  AND(REGEXMATCH(E9421, ""台銀籌備帳戶|玉山帳戶""), REGEXMATCH(C9421, ""薪資"")), ""分潤支出"",
  AND(REGEXMATCH(E9421, ""Ben帳戶|Elsa帳戶|Ben代墊|Ariel代墊|中信銀行共用""), REGEXMATCH(F9421, ""Ben帳戶|Elsa帳戶|Ben代墊|Ariel代墊|中信銀行共用"")), ""內部轉帳(忽略)"",
  AND(E9421&lt;&gt;"""", F9421&lt;&gt;"""", N"&amp;"OT(REGEXMATCH(C9421, ""薪資""))), ""內部轉帳(忽略)"",
  REGEXMATCH(C9421, ""薪資""), ""薪資變動(不計入)"",
  REGEXMATCH(C9421, ""押金""), ""押金往來"",
  AND(E9421&lt;&gt;"""", F9421=""""), ""真實支出"",
  AND(E9421="""", F9421&lt;&gt;""""), ""真實收入"",
  TRUE, ""其他""
)"),"其他")</f>
        <v>其他</v>
      </c>
      <c r="K9421" s="270" t="str">
        <f t="shared" si="2"/>
        <v/>
      </c>
      <c r="L9421">
        <f t="shared" si="3"/>
        <v>0</v>
      </c>
    </row>
    <row r="9422">
      <c r="A9422" s="107"/>
      <c r="D9422" s="270"/>
      <c r="H9422" s="106" t="str">
        <f t="shared" si="1"/>
        <v/>
      </c>
      <c r="J9422" t="str">
        <f>IFERROR(__xludf.DUMMYFUNCTION("IFS(
  AND(REGEXMATCH(E9422, ""台銀籌備帳戶|玉山帳戶""), REGEXMATCH(C9422, ""薪資"")), ""分潤支出"",
  AND(REGEXMATCH(E9422, ""Ben帳戶|Elsa帳戶|Ben代墊|Ariel代墊|中信銀行共用""), REGEXMATCH(F9422, ""Ben帳戶|Elsa帳戶|Ben代墊|Ariel代墊|中信銀行共用"")), ""內部轉帳(忽略)"",
  AND(E9422&lt;&gt;"""", F9422&lt;&gt;"""", N"&amp;"OT(REGEXMATCH(C9422, ""薪資""))), ""內部轉帳(忽略)"",
  REGEXMATCH(C9422, ""薪資""), ""薪資變動(不計入)"",
  REGEXMATCH(C9422, ""押金""), ""押金往來"",
  AND(E9422&lt;&gt;"""", F9422=""""), ""真實支出"",
  AND(E9422="""", F9422&lt;&gt;""""), ""真實收入"",
  TRUE, ""其他""
)"),"其他")</f>
        <v>其他</v>
      </c>
      <c r="K9422" s="270" t="str">
        <f t="shared" si="2"/>
        <v/>
      </c>
      <c r="L9422">
        <f t="shared" si="3"/>
        <v>0</v>
      </c>
    </row>
    <row r="9423">
      <c r="A9423" s="107"/>
      <c r="D9423" s="270"/>
      <c r="H9423" s="106" t="str">
        <f t="shared" si="1"/>
        <v/>
      </c>
      <c r="J9423" t="str">
        <f>IFERROR(__xludf.DUMMYFUNCTION("IFS(
  AND(REGEXMATCH(E9423, ""台銀籌備帳戶|玉山帳戶""), REGEXMATCH(C9423, ""薪資"")), ""分潤支出"",
  AND(REGEXMATCH(E9423, ""Ben帳戶|Elsa帳戶|Ben代墊|Ariel代墊|中信銀行共用""), REGEXMATCH(F9423, ""Ben帳戶|Elsa帳戶|Ben代墊|Ariel代墊|中信銀行共用"")), ""內部轉帳(忽略)"",
  AND(E9423&lt;&gt;"""", F9423&lt;&gt;"""", N"&amp;"OT(REGEXMATCH(C9423, ""薪資""))), ""內部轉帳(忽略)"",
  REGEXMATCH(C9423, ""薪資""), ""薪資變動(不計入)"",
  REGEXMATCH(C9423, ""押金""), ""押金往來"",
  AND(E9423&lt;&gt;"""", F9423=""""), ""真實支出"",
  AND(E9423="""", F9423&lt;&gt;""""), ""真實收入"",
  TRUE, ""其他""
)"),"其他")</f>
        <v>其他</v>
      </c>
      <c r="K9423" s="270" t="str">
        <f t="shared" si="2"/>
        <v/>
      </c>
      <c r="L9423">
        <f t="shared" si="3"/>
        <v>0</v>
      </c>
    </row>
    <row r="9424">
      <c r="A9424" s="107"/>
      <c r="D9424" s="270"/>
      <c r="H9424" s="106" t="str">
        <f t="shared" si="1"/>
        <v/>
      </c>
      <c r="J9424" t="str">
        <f>IFERROR(__xludf.DUMMYFUNCTION("IFS(
  AND(REGEXMATCH(E9424, ""台銀籌備帳戶|玉山帳戶""), REGEXMATCH(C9424, ""薪資"")), ""分潤支出"",
  AND(REGEXMATCH(E9424, ""Ben帳戶|Elsa帳戶|Ben代墊|Ariel代墊|中信銀行共用""), REGEXMATCH(F9424, ""Ben帳戶|Elsa帳戶|Ben代墊|Ariel代墊|中信銀行共用"")), ""內部轉帳(忽略)"",
  AND(E9424&lt;&gt;"""", F9424&lt;&gt;"""", N"&amp;"OT(REGEXMATCH(C9424, ""薪資""))), ""內部轉帳(忽略)"",
  REGEXMATCH(C9424, ""薪資""), ""薪資變動(不計入)"",
  REGEXMATCH(C9424, ""押金""), ""押金往來"",
  AND(E9424&lt;&gt;"""", F9424=""""), ""真實支出"",
  AND(E9424="""", F9424&lt;&gt;""""), ""真實收入"",
  TRUE, ""其他""
)"),"其他")</f>
        <v>其他</v>
      </c>
      <c r="K9424" s="270" t="str">
        <f t="shared" si="2"/>
        <v/>
      </c>
      <c r="L9424">
        <f t="shared" si="3"/>
        <v>0</v>
      </c>
    </row>
    <row r="9425">
      <c r="A9425" s="107"/>
      <c r="D9425" s="270"/>
      <c r="H9425" s="106" t="str">
        <f t="shared" si="1"/>
        <v/>
      </c>
      <c r="J9425" t="str">
        <f>IFERROR(__xludf.DUMMYFUNCTION("IFS(
  AND(REGEXMATCH(E9425, ""台銀籌備帳戶|玉山帳戶""), REGEXMATCH(C9425, ""薪資"")), ""分潤支出"",
  AND(REGEXMATCH(E9425, ""Ben帳戶|Elsa帳戶|Ben代墊|Ariel代墊|中信銀行共用""), REGEXMATCH(F9425, ""Ben帳戶|Elsa帳戶|Ben代墊|Ariel代墊|中信銀行共用"")), ""內部轉帳(忽略)"",
  AND(E9425&lt;&gt;"""", F9425&lt;&gt;"""", N"&amp;"OT(REGEXMATCH(C9425, ""薪資""))), ""內部轉帳(忽略)"",
  REGEXMATCH(C9425, ""薪資""), ""薪資變動(不計入)"",
  REGEXMATCH(C9425, ""押金""), ""押金往來"",
  AND(E9425&lt;&gt;"""", F9425=""""), ""真實支出"",
  AND(E9425="""", F9425&lt;&gt;""""), ""真實收入"",
  TRUE, ""其他""
)"),"其他")</f>
        <v>其他</v>
      </c>
      <c r="K9425" s="270" t="str">
        <f t="shared" si="2"/>
        <v/>
      </c>
      <c r="L9425">
        <f t="shared" si="3"/>
        <v>0</v>
      </c>
    </row>
    <row r="9426">
      <c r="A9426" s="107"/>
      <c r="D9426" s="270"/>
      <c r="H9426" s="106" t="str">
        <f t="shared" si="1"/>
        <v/>
      </c>
      <c r="J9426" t="str">
        <f>IFERROR(__xludf.DUMMYFUNCTION("IFS(
  AND(REGEXMATCH(E9426, ""台銀籌備帳戶|玉山帳戶""), REGEXMATCH(C9426, ""薪資"")), ""分潤支出"",
  AND(REGEXMATCH(E9426, ""Ben帳戶|Elsa帳戶|Ben代墊|Ariel代墊|中信銀行共用""), REGEXMATCH(F9426, ""Ben帳戶|Elsa帳戶|Ben代墊|Ariel代墊|中信銀行共用"")), ""內部轉帳(忽略)"",
  AND(E9426&lt;&gt;"""", F9426&lt;&gt;"""", N"&amp;"OT(REGEXMATCH(C9426, ""薪資""))), ""內部轉帳(忽略)"",
  REGEXMATCH(C9426, ""薪資""), ""薪資變動(不計入)"",
  REGEXMATCH(C9426, ""押金""), ""押金往來"",
  AND(E9426&lt;&gt;"""", F9426=""""), ""真實支出"",
  AND(E9426="""", F9426&lt;&gt;""""), ""真實收入"",
  TRUE, ""其他""
)"),"其他")</f>
        <v>其他</v>
      </c>
      <c r="K9426" s="270" t="str">
        <f t="shared" si="2"/>
        <v/>
      </c>
      <c r="L9426">
        <f t="shared" si="3"/>
        <v>0</v>
      </c>
    </row>
    <row r="9427">
      <c r="A9427" s="107"/>
      <c r="D9427" s="270"/>
      <c r="H9427" s="106" t="str">
        <f t="shared" si="1"/>
        <v/>
      </c>
      <c r="J9427" t="str">
        <f>IFERROR(__xludf.DUMMYFUNCTION("IFS(
  AND(REGEXMATCH(E9427, ""台銀籌備帳戶|玉山帳戶""), REGEXMATCH(C9427, ""薪資"")), ""分潤支出"",
  AND(REGEXMATCH(E9427, ""Ben帳戶|Elsa帳戶|Ben代墊|Ariel代墊|中信銀行共用""), REGEXMATCH(F9427, ""Ben帳戶|Elsa帳戶|Ben代墊|Ariel代墊|中信銀行共用"")), ""內部轉帳(忽略)"",
  AND(E9427&lt;&gt;"""", F9427&lt;&gt;"""", N"&amp;"OT(REGEXMATCH(C9427, ""薪資""))), ""內部轉帳(忽略)"",
  REGEXMATCH(C9427, ""薪資""), ""薪資變動(不計入)"",
  REGEXMATCH(C9427, ""押金""), ""押金往來"",
  AND(E9427&lt;&gt;"""", F9427=""""), ""真實支出"",
  AND(E9427="""", F9427&lt;&gt;""""), ""真實收入"",
  TRUE, ""其他""
)"),"其他")</f>
        <v>其他</v>
      </c>
      <c r="K9427" s="270" t="str">
        <f t="shared" si="2"/>
        <v/>
      </c>
      <c r="L9427">
        <f t="shared" si="3"/>
        <v>0</v>
      </c>
    </row>
    <row r="9428">
      <c r="A9428" s="107"/>
      <c r="D9428" s="270"/>
      <c r="H9428" s="106" t="str">
        <f t="shared" si="1"/>
        <v/>
      </c>
      <c r="J9428" t="str">
        <f>IFERROR(__xludf.DUMMYFUNCTION("IFS(
  AND(REGEXMATCH(E9428, ""台銀籌備帳戶|玉山帳戶""), REGEXMATCH(C9428, ""薪資"")), ""分潤支出"",
  AND(REGEXMATCH(E9428, ""Ben帳戶|Elsa帳戶|Ben代墊|Ariel代墊|中信銀行共用""), REGEXMATCH(F9428, ""Ben帳戶|Elsa帳戶|Ben代墊|Ariel代墊|中信銀行共用"")), ""內部轉帳(忽略)"",
  AND(E9428&lt;&gt;"""", F9428&lt;&gt;"""", N"&amp;"OT(REGEXMATCH(C9428, ""薪資""))), ""內部轉帳(忽略)"",
  REGEXMATCH(C9428, ""薪資""), ""薪資變動(不計入)"",
  REGEXMATCH(C9428, ""押金""), ""押金往來"",
  AND(E9428&lt;&gt;"""", F9428=""""), ""真實支出"",
  AND(E9428="""", F9428&lt;&gt;""""), ""真實收入"",
  TRUE, ""其他""
)"),"其他")</f>
        <v>其他</v>
      </c>
      <c r="K9428" s="270" t="str">
        <f t="shared" si="2"/>
        <v/>
      </c>
      <c r="L9428">
        <f t="shared" si="3"/>
        <v>0</v>
      </c>
    </row>
    <row r="9429">
      <c r="A9429" s="107"/>
      <c r="D9429" s="270"/>
      <c r="H9429" s="106" t="str">
        <f t="shared" si="1"/>
        <v/>
      </c>
      <c r="J9429" t="str">
        <f>IFERROR(__xludf.DUMMYFUNCTION("IFS(
  AND(REGEXMATCH(E9429, ""台銀籌備帳戶|玉山帳戶""), REGEXMATCH(C9429, ""薪資"")), ""分潤支出"",
  AND(REGEXMATCH(E9429, ""Ben帳戶|Elsa帳戶|Ben代墊|Ariel代墊|中信銀行共用""), REGEXMATCH(F9429, ""Ben帳戶|Elsa帳戶|Ben代墊|Ariel代墊|中信銀行共用"")), ""內部轉帳(忽略)"",
  AND(E9429&lt;&gt;"""", F9429&lt;&gt;"""", N"&amp;"OT(REGEXMATCH(C9429, ""薪資""))), ""內部轉帳(忽略)"",
  REGEXMATCH(C9429, ""薪資""), ""薪資變動(不計入)"",
  REGEXMATCH(C9429, ""押金""), ""押金往來"",
  AND(E9429&lt;&gt;"""", F9429=""""), ""真實支出"",
  AND(E9429="""", F9429&lt;&gt;""""), ""真實收入"",
  TRUE, ""其他""
)"),"其他")</f>
        <v>其他</v>
      </c>
      <c r="K9429" s="270" t="str">
        <f t="shared" si="2"/>
        <v/>
      </c>
      <c r="L9429">
        <f t="shared" si="3"/>
        <v>0</v>
      </c>
    </row>
    <row r="9430">
      <c r="A9430" s="107"/>
      <c r="D9430" s="270"/>
      <c r="H9430" s="106" t="str">
        <f t="shared" si="1"/>
        <v/>
      </c>
      <c r="J9430" t="str">
        <f>IFERROR(__xludf.DUMMYFUNCTION("IFS(
  AND(REGEXMATCH(E9430, ""台銀籌備帳戶|玉山帳戶""), REGEXMATCH(C9430, ""薪資"")), ""分潤支出"",
  AND(REGEXMATCH(E9430, ""Ben帳戶|Elsa帳戶|Ben代墊|Ariel代墊|中信銀行共用""), REGEXMATCH(F9430, ""Ben帳戶|Elsa帳戶|Ben代墊|Ariel代墊|中信銀行共用"")), ""內部轉帳(忽略)"",
  AND(E9430&lt;&gt;"""", F9430&lt;&gt;"""", N"&amp;"OT(REGEXMATCH(C9430, ""薪資""))), ""內部轉帳(忽略)"",
  REGEXMATCH(C9430, ""薪資""), ""薪資變動(不計入)"",
  REGEXMATCH(C9430, ""押金""), ""押金往來"",
  AND(E9430&lt;&gt;"""", F9430=""""), ""真實支出"",
  AND(E9430="""", F9430&lt;&gt;""""), ""真實收入"",
  TRUE, ""其他""
)"),"其他")</f>
        <v>其他</v>
      </c>
      <c r="K9430" s="270" t="str">
        <f t="shared" si="2"/>
        <v/>
      </c>
      <c r="L9430">
        <f t="shared" si="3"/>
        <v>0</v>
      </c>
    </row>
    <row r="9431">
      <c r="A9431" s="107"/>
      <c r="D9431" s="270"/>
      <c r="H9431" s="106" t="str">
        <f t="shared" si="1"/>
        <v/>
      </c>
      <c r="J9431" t="str">
        <f>IFERROR(__xludf.DUMMYFUNCTION("IFS(
  AND(REGEXMATCH(E9431, ""台銀籌備帳戶|玉山帳戶""), REGEXMATCH(C9431, ""薪資"")), ""分潤支出"",
  AND(REGEXMATCH(E9431, ""Ben帳戶|Elsa帳戶|Ben代墊|Ariel代墊|中信銀行共用""), REGEXMATCH(F9431, ""Ben帳戶|Elsa帳戶|Ben代墊|Ariel代墊|中信銀行共用"")), ""內部轉帳(忽略)"",
  AND(E9431&lt;&gt;"""", F9431&lt;&gt;"""", N"&amp;"OT(REGEXMATCH(C9431, ""薪資""))), ""內部轉帳(忽略)"",
  REGEXMATCH(C9431, ""薪資""), ""薪資變動(不計入)"",
  REGEXMATCH(C9431, ""押金""), ""押金往來"",
  AND(E9431&lt;&gt;"""", F9431=""""), ""真實支出"",
  AND(E9431="""", F9431&lt;&gt;""""), ""真實收入"",
  TRUE, ""其他""
)"),"其他")</f>
        <v>其他</v>
      </c>
      <c r="K9431" s="270" t="str">
        <f t="shared" si="2"/>
        <v/>
      </c>
      <c r="L9431">
        <f t="shared" si="3"/>
        <v>0</v>
      </c>
    </row>
    <row r="9432">
      <c r="A9432" s="107"/>
      <c r="D9432" s="270"/>
      <c r="H9432" s="106" t="str">
        <f t="shared" si="1"/>
        <v/>
      </c>
      <c r="J9432" t="str">
        <f>IFERROR(__xludf.DUMMYFUNCTION("IFS(
  AND(REGEXMATCH(E9432, ""台銀籌備帳戶|玉山帳戶""), REGEXMATCH(C9432, ""薪資"")), ""分潤支出"",
  AND(REGEXMATCH(E9432, ""Ben帳戶|Elsa帳戶|Ben代墊|Ariel代墊|中信銀行共用""), REGEXMATCH(F9432, ""Ben帳戶|Elsa帳戶|Ben代墊|Ariel代墊|中信銀行共用"")), ""內部轉帳(忽略)"",
  AND(E9432&lt;&gt;"""", F9432&lt;&gt;"""", N"&amp;"OT(REGEXMATCH(C9432, ""薪資""))), ""內部轉帳(忽略)"",
  REGEXMATCH(C9432, ""薪資""), ""薪資變動(不計入)"",
  REGEXMATCH(C9432, ""押金""), ""押金往來"",
  AND(E9432&lt;&gt;"""", F9432=""""), ""真實支出"",
  AND(E9432="""", F9432&lt;&gt;""""), ""真實收入"",
  TRUE, ""其他""
)"),"其他")</f>
        <v>其他</v>
      </c>
      <c r="K9432" s="270" t="str">
        <f t="shared" si="2"/>
        <v/>
      </c>
      <c r="L9432">
        <f t="shared" si="3"/>
        <v>0</v>
      </c>
    </row>
    <row r="9433">
      <c r="A9433" s="107"/>
      <c r="D9433" s="270"/>
      <c r="H9433" s="106" t="str">
        <f t="shared" si="1"/>
        <v/>
      </c>
      <c r="J9433" t="str">
        <f>IFERROR(__xludf.DUMMYFUNCTION("IFS(
  AND(REGEXMATCH(E9433, ""台銀籌備帳戶|玉山帳戶""), REGEXMATCH(C9433, ""薪資"")), ""分潤支出"",
  AND(REGEXMATCH(E9433, ""Ben帳戶|Elsa帳戶|Ben代墊|Ariel代墊|中信銀行共用""), REGEXMATCH(F9433, ""Ben帳戶|Elsa帳戶|Ben代墊|Ariel代墊|中信銀行共用"")), ""內部轉帳(忽略)"",
  AND(E9433&lt;&gt;"""", F9433&lt;&gt;"""", N"&amp;"OT(REGEXMATCH(C9433, ""薪資""))), ""內部轉帳(忽略)"",
  REGEXMATCH(C9433, ""薪資""), ""薪資變動(不計入)"",
  REGEXMATCH(C9433, ""押金""), ""押金往來"",
  AND(E9433&lt;&gt;"""", F9433=""""), ""真實支出"",
  AND(E9433="""", F9433&lt;&gt;""""), ""真實收入"",
  TRUE, ""其他""
)"),"其他")</f>
        <v>其他</v>
      </c>
      <c r="K9433" s="270" t="str">
        <f t="shared" si="2"/>
        <v/>
      </c>
      <c r="L9433">
        <f t="shared" si="3"/>
        <v>0</v>
      </c>
    </row>
    <row r="9434">
      <c r="A9434" s="107"/>
      <c r="D9434" s="270"/>
      <c r="H9434" s="106" t="str">
        <f t="shared" si="1"/>
        <v/>
      </c>
      <c r="J9434" t="str">
        <f>IFERROR(__xludf.DUMMYFUNCTION("IFS(
  AND(REGEXMATCH(E9434, ""台銀籌備帳戶|玉山帳戶""), REGEXMATCH(C9434, ""薪資"")), ""分潤支出"",
  AND(REGEXMATCH(E9434, ""Ben帳戶|Elsa帳戶|Ben代墊|Ariel代墊|中信銀行共用""), REGEXMATCH(F9434, ""Ben帳戶|Elsa帳戶|Ben代墊|Ariel代墊|中信銀行共用"")), ""內部轉帳(忽略)"",
  AND(E9434&lt;&gt;"""", F9434&lt;&gt;"""", N"&amp;"OT(REGEXMATCH(C9434, ""薪資""))), ""內部轉帳(忽略)"",
  REGEXMATCH(C9434, ""薪資""), ""薪資變動(不計入)"",
  REGEXMATCH(C9434, ""押金""), ""押金往來"",
  AND(E9434&lt;&gt;"""", F9434=""""), ""真實支出"",
  AND(E9434="""", F9434&lt;&gt;""""), ""真實收入"",
  TRUE, ""其他""
)"),"其他")</f>
        <v>其他</v>
      </c>
      <c r="K9434" s="270" t="str">
        <f t="shared" si="2"/>
        <v/>
      </c>
      <c r="L9434">
        <f t="shared" si="3"/>
        <v>0</v>
      </c>
    </row>
    <row r="9435">
      <c r="A9435" s="107"/>
      <c r="D9435" s="270"/>
      <c r="H9435" s="106" t="str">
        <f t="shared" si="1"/>
        <v/>
      </c>
      <c r="J9435" t="str">
        <f>IFERROR(__xludf.DUMMYFUNCTION("IFS(
  AND(REGEXMATCH(E9435, ""台銀籌備帳戶|玉山帳戶""), REGEXMATCH(C9435, ""薪資"")), ""分潤支出"",
  AND(REGEXMATCH(E9435, ""Ben帳戶|Elsa帳戶|Ben代墊|Ariel代墊|中信銀行共用""), REGEXMATCH(F9435, ""Ben帳戶|Elsa帳戶|Ben代墊|Ariel代墊|中信銀行共用"")), ""內部轉帳(忽略)"",
  AND(E9435&lt;&gt;"""", F9435&lt;&gt;"""", N"&amp;"OT(REGEXMATCH(C9435, ""薪資""))), ""內部轉帳(忽略)"",
  REGEXMATCH(C9435, ""薪資""), ""薪資變動(不計入)"",
  REGEXMATCH(C9435, ""押金""), ""押金往來"",
  AND(E9435&lt;&gt;"""", F9435=""""), ""真實支出"",
  AND(E9435="""", F9435&lt;&gt;""""), ""真實收入"",
  TRUE, ""其他""
)"),"其他")</f>
        <v>其他</v>
      </c>
      <c r="K9435" s="270" t="str">
        <f t="shared" si="2"/>
        <v/>
      </c>
      <c r="L9435">
        <f t="shared" si="3"/>
        <v>0</v>
      </c>
    </row>
    <row r="9436">
      <c r="A9436" s="107"/>
      <c r="D9436" s="270"/>
      <c r="H9436" s="106" t="str">
        <f t="shared" si="1"/>
        <v/>
      </c>
      <c r="J9436" t="str">
        <f>IFERROR(__xludf.DUMMYFUNCTION("IFS(
  AND(REGEXMATCH(E9436, ""台銀籌備帳戶|玉山帳戶""), REGEXMATCH(C9436, ""薪資"")), ""分潤支出"",
  AND(REGEXMATCH(E9436, ""Ben帳戶|Elsa帳戶|Ben代墊|Ariel代墊|中信銀行共用""), REGEXMATCH(F9436, ""Ben帳戶|Elsa帳戶|Ben代墊|Ariel代墊|中信銀行共用"")), ""內部轉帳(忽略)"",
  AND(E9436&lt;&gt;"""", F9436&lt;&gt;"""", N"&amp;"OT(REGEXMATCH(C9436, ""薪資""))), ""內部轉帳(忽略)"",
  REGEXMATCH(C9436, ""薪資""), ""薪資變動(不計入)"",
  REGEXMATCH(C9436, ""押金""), ""押金往來"",
  AND(E9436&lt;&gt;"""", F9436=""""), ""真實支出"",
  AND(E9436="""", F9436&lt;&gt;""""), ""真實收入"",
  TRUE, ""其他""
)"),"其他")</f>
        <v>其他</v>
      </c>
      <c r="K9436" s="270" t="str">
        <f t="shared" si="2"/>
        <v/>
      </c>
      <c r="L9436">
        <f t="shared" si="3"/>
        <v>0</v>
      </c>
    </row>
    <row r="9437">
      <c r="A9437" s="107"/>
      <c r="D9437" s="270"/>
      <c r="H9437" s="106" t="str">
        <f t="shared" si="1"/>
        <v/>
      </c>
      <c r="J9437" t="str">
        <f>IFERROR(__xludf.DUMMYFUNCTION("IFS(
  AND(REGEXMATCH(E9437, ""台銀籌備帳戶|玉山帳戶""), REGEXMATCH(C9437, ""薪資"")), ""分潤支出"",
  AND(REGEXMATCH(E9437, ""Ben帳戶|Elsa帳戶|Ben代墊|Ariel代墊|中信銀行共用""), REGEXMATCH(F9437, ""Ben帳戶|Elsa帳戶|Ben代墊|Ariel代墊|中信銀行共用"")), ""內部轉帳(忽略)"",
  AND(E9437&lt;&gt;"""", F9437&lt;&gt;"""", N"&amp;"OT(REGEXMATCH(C9437, ""薪資""))), ""內部轉帳(忽略)"",
  REGEXMATCH(C9437, ""薪資""), ""薪資變動(不計入)"",
  REGEXMATCH(C9437, ""押金""), ""押金往來"",
  AND(E9437&lt;&gt;"""", F9437=""""), ""真實支出"",
  AND(E9437="""", F9437&lt;&gt;""""), ""真實收入"",
  TRUE, ""其他""
)"),"其他")</f>
        <v>其他</v>
      </c>
      <c r="K9437" s="270" t="str">
        <f t="shared" si="2"/>
        <v/>
      </c>
      <c r="L9437">
        <f t="shared" si="3"/>
        <v>0</v>
      </c>
    </row>
    <row r="9438">
      <c r="A9438" s="107"/>
      <c r="D9438" s="270"/>
      <c r="H9438" s="106" t="str">
        <f t="shared" si="1"/>
        <v/>
      </c>
      <c r="J9438" t="str">
        <f>IFERROR(__xludf.DUMMYFUNCTION("IFS(
  AND(REGEXMATCH(E9438, ""台銀籌備帳戶|玉山帳戶""), REGEXMATCH(C9438, ""薪資"")), ""分潤支出"",
  AND(REGEXMATCH(E9438, ""Ben帳戶|Elsa帳戶|Ben代墊|Ariel代墊|中信銀行共用""), REGEXMATCH(F9438, ""Ben帳戶|Elsa帳戶|Ben代墊|Ariel代墊|中信銀行共用"")), ""內部轉帳(忽略)"",
  AND(E9438&lt;&gt;"""", F9438&lt;&gt;"""", N"&amp;"OT(REGEXMATCH(C9438, ""薪資""))), ""內部轉帳(忽略)"",
  REGEXMATCH(C9438, ""薪資""), ""薪資變動(不計入)"",
  REGEXMATCH(C9438, ""押金""), ""押金往來"",
  AND(E9438&lt;&gt;"""", F9438=""""), ""真實支出"",
  AND(E9438="""", F9438&lt;&gt;""""), ""真實收入"",
  TRUE, ""其他""
)"),"其他")</f>
        <v>其他</v>
      </c>
      <c r="K9438" s="270" t="str">
        <f t="shared" si="2"/>
        <v/>
      </c>
      <c r="L9438">
        <f t="shared" si="3"/>
        <v>0</v>
      </c>
    </row>
    <row r="9439">
      <c r="A9439" s="107"/>
      <c r="D9439" s="270"/>
      <c r="H9439" s="106" t="str">
        <f t="shared" si="1"/>
        <v/>
      </c>
      <c r="J9439" t="str">
        <f>IFERROR(__xludf.DUMMYFUNCTION("IFS(
  AND(REGEXMATCH(E9439, ""台銀籌備帳戶|玉山帳戶""), REGEXMATCH(C9439, ""薪資"")), ""分潤支出"",
  AND(REGEXMATCH(E9439, ""Ben帳戶|Elsa帳戶|Ben代墊|Ariel代墊|中信銀行共用""), REGEXMATCH(F9439, ""Ben帳戶|Elsa帳戶|Ben代墊|Ariel代墊|中信銀行共用"")), ""內部轉帳(忽略)"",
  AND(E9439&lt;&gt;"""", F9439&lt;&gt;"""", N"&amp;"OT(REGEXMATCH(C9439, ""薪資""))), ""內部轉帳(忽略)"",
  REGEXMATCH(C9439, ""薪資""), ""薪資變動(不計入)"",
  REGEXMATCH(C9439, ""押金""), ""押金往來"",
  AND(E9439&lt;&gt;"""", F9439=""""), ""真實支出"",
  AND(E9439="""", F9439&lt;&gt;""""), ""真實收入"",
  TRUE, ""其他""
)"),"其他")</f>
        <v>其他</v>
      </c>
      <c r="K9439" s="270" t="str">
        <f t="shared" si="2"/>
        <v/>
      </c>
      <c r="L9439">
        <f t="shared" si="3"/>
        <v>0</v>
      </c>
    </row>
    <row r="9440">
      <c r="A9440" s="107"/>
      <c r="D9440" s="270"/>
      <c r="H9440" s="106" t="str">
        <f t="shared" si="1"/>
        <v/>
      </c>
      <c r="J9440" t="str">
        <f>IFERROR(__xludf.DUMMYFUNCTION("IFS(
  AND(REGEXMATCH(E9440, ""台銀籌備帳戶|玉山帳戶""), REGEXMATCH(C9440, ""薪資"")), ""分潤支出"",
  AND(REGEXMATCH(E9440, ""Ben帳戶|Elsa帳戶|Ben代墊|Ariel代墊|中信銀行共用""), REGEXMATCH(F9440, ""Ben帳戶|Elsa帳戶|Ben代墊|Ariel代墊|中信銀行共用"")), ""內部轉帳(忽略)"",
  AND(E9440&lt;&gt;"""", F9440&lt;&gt;"""", N"&amp;"OT(REGEXMATCH(C9440, ""薪資""))), ""內部轉帳(忽略)"",
  REGEXMATCH(C9440, ""薪資""), ""薪資變動(不計入)"",
  REGEXMATCH(C9440, ""押金""), ""押金往來"",
  AND(E9440&lt;&gt;"""", F9440=""""), ""真實支出"",
  AND(E9440="""", F9440&lt;&gt;""""), ""真實收入"",
  TRUE, ""其他""
)"),"其他")</f>
        <v>其他</v>
      </c>
      <c r="K9440" s="270" t="str">
        <f t="shared" si="2"/>
        <v/>
      </c>
      <c r="L9440">
        <f t="shared" si="3"/>
        <v>0</v>
      </c>
    </row>
    <row r="9441">
      <c r="A9441" s="107"/>
      <c r="D9441" s="270"/>
      <c r="H9441" s="106" t="str">
        <f t="shared" si="1"/>
        <v/>
      </c>
      <c r="J9441" t="str">
        <f>IFERROR(__xludf.DUMMYFUNCTION("IFS(
  AND(REGEXMATCH(E9441, ""台銀籌備帳戶|玉山帳戶""), REGEXMATCH(C9441, ""薪資"")), ""分潤支出"",
  AND(REGEXMATCH(E9441, ""Ben帳戶|Elsa帳戶|Ben代墊|Ariel代墊|中信銀行共用""), REGEXMATCH(F9441, ""Ben帳戶|Elsa帳戶|Ben代墊|Ariel代墊|中信銀行共用"")), ""內部轉帳(忽略)"",
  AND(E9441&lt;&gt;"""", F9441&lt;&gt;"""", N"&amp;"OT(REGEXMATCH(C9441, ""薪資""))), ""內部轉帳(忽略)"",
  REGEXMATCH(C9441, ""薪資""), ""薪資變動(不計入)"",
  REGEXMATCH(C9441, ""押金""), ""押金往來"",
  AND(E9441&lt;&gt;"""", F9441=""""), ""真實支出"",
  AND(E9441="""", F9441&lt;&gt;""""), ""真實收入"",
  TRUE, ""其他""
)"),"其他")</f>
        <v>其他</v>
      </c>
      <c r="K9441" s="270" t="str">
        <f t="shared" si="2"/>
        <v/>
      </c>
      <c r="L9441">
        <f t="shared" si="3"/>
        <v>0</v>
      </c>
    </row>
    <row r="9442">
      <c r="A9442" s="107"/>
      <c r="D9442" s="270"/>
      <c r="H9442" s="106" t="str">
        <f t="shared" si="1"/>
        <v/>
      </c>
      <c r="J9442" t="str">
        <f>IFERROR(__xludf.DUMMYFUNCTION("IFS(
  AND(REGEXMATCH(E9442, ""台銀籌備帳戶|玉山帳戶""), REGEXMATCH(C9442, ""薪資"")), ""分潤支出"",
  AND(REGEXMATCH(E9442, ""Ben帳戶|Elsa帳戶|Ben代墊|Ariel代墊|中信銀行共用""), REGEXMATCH(F9442, ""Ben帳戶|Elsa帳戶|Ben代墊|Ariel代墊|中信銀行共用"")), ""內部轉帳(忽略)"",
  AND(E9442&lt;&gt;"""", F9442&lt;&gt;"""", N"&amp;"OT(REGEXMATCH(C9442, ""薪資""))), ""內部轉帳(忽略)"",
  REGEXMATCH(C9442, ""薪資""), ""薪資變動(不計入)"",
  REGEXMATCH(C9442, ""押金""), ""押金往來"",
  AND(E9442&lt;&gt;"""", F9442=""""), ""真實支出"",
  AND(E9442="""", F9442&lt;&gt;""""), ""真實收入"",
  TRUE, ""其他""
)"),"其他")</f>
        <v>其他</v>
      </c>
      <c r="K9442" s="270" t="str">
        <f t="shared" si="2"/>
        <v/>
      </c>
      <c r="L9442">
        <f t="shared" si="3"/>
        <v>0</v>
      </c>
    </row>
    <row r="9443">
      <c r="A9443" s="107"/>
      <c r="D9443" s="270"/>
      <c r="H9443" s="106" t="str">
        <f t="shared" si="1"/>
        <v/>
      </c>
      <c r="J9443" t="str">
        <f>IFERROR(__xludf.DUMMYFUNCTION("IFS(
  AND(REGEXMATCH(E9443, ""台銀籌備帳戶|玉山帳戶""), REGEXMATCH(C9443, ""薪資"")), ""分潤支出"",
  AND(REGEXMATCH(E9443, ""Ben帳戶|Elsa帳戶|Ben代墊|Ariel代墊|中信銀行共用""), REGEXMATCH(F9443, ""Ben帳戶|Elsa帳戶|Ben代墊|Ariel代墊|中信銀行共用"")), ""內部轉帳(忽略)"",
  AND(E9443&lt;&gt;"""", F9443&lt;&gt;"""", N"&amp;"OT(REGEXMATCH(C9443, ""薪資""))), ""內部轉帳(忽略)"",
  REGEXMATCH(C9443, ""薪資""), ""薪資變動(不計入)"",
  REGEXMATCH(C9443, ""押金""), ""押金往來"",
  AND(E9443&lt;&gt;"""", F9443=""""), ""真實支出"",
  AND(E9443="""", F9443&lt;&gt;""""), ""真實收入"",
  TRUE, ""其他""
)"),"其他")</f>
        <v>其他</v>
      </c>
      <c r="K9443" s="270" t="str">
        <f t="shared" si="2"/>
        <v/>
      </c>
      <c r="L9443">
        <f t="shared" si="3"/>
        <v>0</v>
      </c>
    </row>
    <row r="9444">
      <c r="A9444" s="107"/>
      <c r="D9444" s="270"/>
      <c r="H9444" s="106" t="str">
        <f t="shared" si="1"/>
        <v/>
      </c>
      <c r="J9444" t="str">
        <f>IFERROR(__xludf.DUMMYFUNCTION("IFS(
  AND(REGEXMATCH(E9444, ""台銀籌備帳戶|玉山帳戶""), REGEXMATCH(C9444, ""薪資"")), ""分潤支出"",
  AND(REGEXMATCH(E9444, ""Ben帳戶|Elsa帳戶|Ben代墊|Ariel代墊|中信銀行共用""), REGEXMATCH(F9444, ""Ben帳戶|Elsa帳戶|Ben代墊|Ariel代墊|中信銀行共用"")), ""內部轉帳(忽略)"",
  AND(E9444&lt;&gt;"""", F9444&lt;&gt;"""", N"&amp;"OT(REGEXMATCH(C9444, ""薪資""))), ""內部轉帳(忽略)"",
  REGEXMATCH(C9444, ""薪資""), ""薪資變動(不計入)"",
  REGEXMATCH(C9444, ""押金""), ""押金往來"",
  AND(E9444&lt;&gt;"""", F9444=""""), ""真實支出"",
  AND(E9444="""", F9444&lt;&gt;""""), ""真實收入"",
  TRUE, ""其他""
)"),"其他")</f>
        <v>其他</v>
      </c>
      <c r="K9444" s="270" t="str">
        <f t="shared" si="2"/>
        <v/>
      </c>
      <c r="L9444">
        <f t="shared" si="3"/>
        <v>0</v>
      </c>
    </row>
    <row r="9445">
      <c r="A9445" s="107"/>
      <c r="D9445" s="270"/>
      <c r="H9445" s="106" t="str">
        <f t="shared" si="1"/>
        <v/>
      </c>
      <c r="J9445" t="str">
        <f>IFERROR(__xludf.DUMMYFUNCTION("IFS(
  AND(REGEXMATCH(E9445, ""台銀籌備帳戶|玉山帳戶""), REGEXMATCH(C9445, ""薪資"")), ""分潤支出"",
  AND(REGEXMATCH(E9445, ""Ben帳戶|Elsa帳戶|Ben代墊|Ariel代墊|中信銀行共用""), REGEXMATCH(F9445, ""Ben帳戶|Elsa帳戶|Ben代墊|Ariel代墊|中信銀行共用"")), ""內部轉帳(忽略)"",
  AND(E9445&lt;&gt;"""", F9445&lt;&gt;"""", N"&amp;"OT(REGEXMATCH(C9445, ""薪資""))), ""內部轉帳(忽略)"",
  REGEXMATCH(C9445, ""薪資""), ""薪資變動(不計入)"",
  REGEXMATCH(C9445, ""押金""), ""押金往來"",
  AND(E9445&lt;&gt;"""", F9445=""""), ""真實支出"",
  AND(E9445="""", F9445&lt;&gt;""""), ""真實收入"",
  TRUE, ""其他""
)"),"其他")</f>
        <v>其他</v>
      </c>
      <c r="K9445" s="270" t="str">
        <f t="shared" si="2"/>
        <v/>
      </c>
      <c r="L9445">
        <f t="shared" si="3"/>
        <v>0</v>
      </c>
    </row>
    <row r="9446">
      <c r="A9446" s="107"/>
      <c r="D9446" s="270"/>
      <c r="H9446" s="106" t="str">
        <f t="shared" si="1"/>
        <v/>
      </c>
      <c r="J9446" t="str">
        <f>IFERROR(__xludf.DUMMYFUNCTION("IFS(
  AND(REGEXMATCH(E9446, ""台銀籌備帳戶|玉山帳戶""), REGEXMATCH(C9446, ""薪資"")), ""分潤支出"",
  AND(REGEXMATCH(E9446, ""Ben帳戶|Elsa帳戶|Ben代墊|Ariel代墊|中信銀行共用""), REGEXMATCH(F9446, ""Ben帳戶|Elsa帳戶|Ben代墊|Ariel代墊|中信銀行共用"")), ""內部轉帳(忽略)"",
  AND(E9446&lt;&gt;"""", F9446&lt;&gt;"""", N"&amp;"OT(REGEXMATCH(C9446, ""薪資""))), ""內部轉帳(忽略)"",
  REGEXMATCH(C9446, ""薪資""), ""薪資變動(不計入)"",
  REGEXMATCH(C9446, ""押金""), ""押金往來"",
  AND(E9446&lt;&gt;"""", F9446=""""), ""真實支出"",
  AND(E9446="""", F9446&lt;&gt;""""), ""真實收入"",
  TRUE, ""其他""
)"),"其他")</f>
        <v>其他</v>
      </c>
      <c r="K9446" s="270" t="str">
        <f t="shared" si="2"/>
        <v/>
      </c>
      <c r="L9446">
        <f t="shared" si="3"/>
        <v>0</v>
      </c>
    </row>
    <row r="9447">
      <c r="A9447" s="107"/>
      <c r="D9447" s="270"/>
      <c r="H9447" s="106" t="str">
        <f t="shared" si="1"/>
        <v/>
      </c>
      <c r="J9447" t="str">
        <f>IFERROR(__xludf.DUMMYFUNCTION("IFS(
  AND(REGEXMATCH(E9447, ""台銀籌備帳戶|玉山帳戶""), REGEXMATCH(C9447, ""薪資"")), ""分潤支出"",
  AND(REGEXMATCH(E9447, ""Ben帳戶|Elsa帳戶|Ben代墊|Ariel代墊|中信銀行共用""), REGEXMATCH(F9447, ""Ben帳戶|Elsa帳戶|Ben代墊|Ariel代墊|中信銀行共用"")), ""內部轉帳(忽略)"",
  AND(E9447&lt;&gt;"""", F9447&lt;&gt;"""", N"&amp;"OT(REGEXMATCH(C9447, ""薪資""))), ""內部轉帳(忽略)"",
  REGEXMATCH(C9447, ""薪資""), ""薪資變動(不計入)"",
  REGEXMATCH(C9447, ""押金""), ""押金往來"",
  AND(E9447&lt;&gt;"""", F9447=""""), ""真實支出"",
  AND(E9447="""", F9447&lt;&gt;""""), ""真實收入"",
  TRUE, ""其他""
)"),"其他")</f>
        <v>其他</v>
      </c>
      <c r="K9447" s="270" t="str">
        <f t="shared" si="2"/>
        <v/>
      </c>
      <c r="L9447">
        <f t="shared" si="3"/>
        <v>0</v>
      </c>
    </row>
    <row r="9448">
      <c r="A9448" s="107"/>
      <c r="D9448" s="270"/>
      <c r="H9448" s="106" t="str">
        <f t="shared" si="1"/>
        <v/>
      </c>
      <c r="J9448" t="str">
        <f>IFERROR(__xludf.DUMMYFUNCTION("IFS(
  AND(REGEXMATCH(E9448, ""台銀籌備帳戶|玉山帳戶""), REGEXMATCH(C9448, ""薪資"")), ""分潤支出"",
  AND(REGEXMATCH(E9448, ""Ben帳戶|Elsa帳戶|Ben代墊|Ariel代墊|中信銀行共用""), REGEXMATCH(F9448, ""Ben帳戶|Elsa帳戶|Ben代墊|Ariel代墊|中信銀行共用"")), ""內部轉帳(忽略)"",
  AND(E9448&lt;&gt;"""", F9448&lt;&gt;"""", N"&amp;"OT(REGEXMATCH(C9448, ""薪資""))), ""內部轉帳(忽略)"",
  REGEXMATCH(C9448, ""薪資""), ""薪資變動(不計入)"",
  REGEXMATCH(C9448, ""押金""), ""押金往來"",
  AND(E9448&lt;&gt;"""", F9448=""""), ""真實支出"",
  AND(E9448="""", F9448&lt;&gt;""""), ""真實收入"",
  TRUE, ""其他""
)"),"其他")</f>
        <v>其他</v>
      </c>
      <c r="K9448" s="270" t="str">
        <f t="shared" si="2"/>
        <v/>
      </c>
      <c r="L9448">
        <f t="shared" si="3"/>
        <v>0</v>
      </c>
    </row>
    <row r="9449">
      <c r="A9449" s="107"/>
      <c r="D9449" s="270"/>
      <c r="H9449" s="106" t="str">
        <f t="shared" si="1"/>
        <v/>
      </c>
      <c r="J9449" t="str">
        <f>IFERROR(__xludf.DUMMYFUNCTION("IFS(
  AND(REGEXMATCH(E9449, ""台銀籌備帳戶|玉山帳戶""), REGEXMATCH(C9449, ""薪資"")), ""分潤支出"",
  AND(REGEXMATCH(E9449, ""Ben帳戶|Elsa帳戶|Ben代墊|Ariel代墊|中信銀行共用""), REGEXMATCH(F9449, ""Ben帳戶|Elsa帳戶|Ben代墊|Ariel代墊|中信銀行共用"")), ""內部轉帳(忽略)"",
  AND(E9449&lt;&gt;"""", F9449&lt;&gt;"""", N"&amp;"OT(REGEXMATCH(C9449, ""薪資""))), ""內部轉帳(忽略)"",
  REGEXMATCH(C9449, ""薪資""), ""薪資變動(不計入)"",
  REGEXMATCH(C9449, ""押金""), ""押金往來"",
  AND(E9449&lt;&gt;"""", F9449=""""), ""真實支出"",
  AND(E9449="""", F9449&lt;&gt;""""), ""真實收入"",
  TRUE, ""其他""
)"),"其他")</f>
        <v>其他</v>
      </c>
      <c r="K9449" s="270" t="str">
        <f t="shared" si="2"/>
        <v/>
      </c>
      <c r="L9449">
        <f t="shared" si="3"/>
        <v>0</v>
      </c>
    </row>
    <row r="9450">
      <c r="A9450" s="107"/>
      <c r="D9450" s="270"/>
      <c r="H9450" s="106" t="str">
        <f t="shared" si="1"/>
        <v/>
      </c>
      <c r="J9450" t="str">
        <f>IFERROR(__xludf.DUMMYFUNCTION("IFS(
  AND(REGEXMATCH(E9450, ""台銀籌備帳戶|玉山帳戶""), REGEXMATCH(C9450, ""薪資"")), ""分潤支出"",
  AND(REGEXMATCH(E9450, ""Ben帳戶|Elsa帳戶|Ben代墊|Ariel代墊|中信銀行共用""), REGEXMATCH(F9450, ""Ben帳戶|Elsa帳戶|Ben代墊|Ariel代墊|中信銀行共用"")), ""內部轉帳(忽略)"",
  AND(E9450&lt;&gt;"""", F9450&lt;&gt;"""", N"&amp;"OT(REGEXMATCH(C9450, ""薪資""))), ""內部轉帳(忽略)"",
  REGEXMATCH(C9450, ""薪資""), ""薪資變動(不計入)"",
  REGEXMATCH(C9450, ""押金""), ""押金往來"",
  AND(E9450&lt;&gt;"""", F9450=""""), ""真實支出"",
  AND(E9450="""", F9450&lt;&gt;""""), ""真實收入"",
  TRUE, ""其他""
)"),"其他")</f>
        <v>其他</v>
      </c>
      <c r="K9450" s="270" t="str">
        <f t="shared" si="2"/>
        <v/>
      </c>
      <c r="L9450">
        <f t="shared" si="3"/>
        <v>0</v>
      </c>
    </row>
    <row r="9451">
      <c r="A9451" s="107"/>
      <c r="D9451" s="270"/>
      <c r="H9451" s="106" t="str">
        <f t="shared" si="1"/>
        <v/>
      </c>
      <c r="J9451" t="str">
        <f>IFERROR(__xludf.DUMMYFUNCTION("IFS(
  AND(REGEXMATCH(E9451, ""台銀籌備帳戶|玉山帳戶""), REGEXMATCH(C9451, ""薪資"")), ""分潤支出"",
  AND(REGEXMATCH(E9451, ""Ben帳戶|Elsa帳戶|Ben代墊|Ariel代墊|中信銀行共用""), REGEXMATCH(F9451, ""Ben帳戶|Elsa帳戶|Ben代墊|Ariel代墊|中信銀行共用"")), ""內部轉帳(忽略)"",
  AND(E9451&lt;&gt;"""", F9451&lt;&gt;"""", N"&amp;"OT(REGEXMATCH(C9451, ""薪資""))), ""內部轉帳(忽略)"",
  REGEXMATCH(C9451, ""薪資""), ""薪資變動(不計入)"",
  REGEXMATCH(C9451, ""押金""), ""押金往來"",
  AND(E9451&lt;&gt;"""", F9451=""""), ""真實支出"",
  AND(E9451="""", F9451&lt;&gt;""""), ""真實收入"",
  TRUE, ""其他""
)"),"其他")</f>
        <v>其他</v>
      </c>
      <c r="K9451" s="270" t="str">
        <f t="shared" si="2"/>
        <v/>
      </c>
      <c r="L9451">
        <f t="shared" si="3"/>
        <v>0</v>
      </c>
    </row>
    <row r="9452">
      <c r="A9452" s="107"/>
      <c r="D9452" s="270"/>
      <c r="H9452" s="106" t="str">
        <f t="shared" si="1"/>
        <v/>
      </c>
      <c r="J9452" t="str">
        <f>IFERROR(__xludf.DUMMYFUNCTION("IFS(
  AND(REGEXMATCH(E9452, ""台銀籌備帳戶|玉山帳戶""), REGEXMATCH(C9452, ""薪資"")), ""分潤支出"",
  AND(REGEXMATCH(E9452, ""Ben帳戶|Elsa帳戶|Ben代墊|Ariel代墊|中信銀行共用""), REGEXMATCH(F9452, ""Ben帳戶|Elsa帳戶|Ben代墊|Ariel代墊|中信銀行共用"")), ""內部轉帳(忽略)"",
  AND(E9452&lt;&gt;"""", F9452&lt;&gt;"""", N"&amp;"OT(REGEXMATCH(C9452, ""薪資""))), ""內部轉帳(忽略)"",
  REGEXMATCH(C9452, ""薪資""), ""薪資變動(不計入)"",
  REGEXMATCH(C9452, ""押金""), ""押金往來"",
  AND(E9452&lt;&gt;"""", F9452=""""), ""真實支出"",
  AND(E9452="""", F9452&lt;&gt;""""), ""真實收入"",
  TRUE, ""其他""
)"),"其他")</f>
        <v>其他</v>
      </c>
      <c r="K9452" s="270" t="str">
        <f t="shared" si="2"/>
        <v/>
      </c>
      <c r="L9452">
        <f t="shared" si="3"/>
        <v>0</v>
      </c>
    </row>
    <row r="9453">
      <c r="A9453" s="107"/>
      <c r="D9453" s="270"/>
      <c r="H9453" s="106" t="str">
        <f t="shared" si="1"/>
        <v/>
      </c>
      <c r="J9453" t="str">
        <f>IFERROR(__xludf.DUMMYFUNCTION("IFS(
  AND(REGEXMATCH(E9453, ""台銀籌備帳戶|玉山帳戶""), REGEXMATCH(C9453, ""薪資"")), ""分潤支出"",
  AND(REGEXMATCH(E9453, ""Ben帳戶|Elsa帳戶|Ben代墊|Ariel代墊|中信銀行共用""), REGEXMATCH(F9453, ""Ben帳戶|Elsa帳戶|Ben代墊|Ariel代墊|中信銀行共用"")), ""內部轉帳(忽略)"",
  AND(E9453&lt;&gt;"""", F9453&lt;&gt;"""", N"&amp;"OT(REGEXMATCH(C9453, ""薪資""))), ""內部轉帳(忽略)"",
  REGEXMATCH(C9453, ""薪資""), ""薪資變動(不計入)"",
  REGEXMATCH(C9453, ""押金""), ""押金往來"",
  AND(E9453&lt;&gt;"""", F9453=""""), ""真實支出"",
  AND(E9453="""", F9453&lt;&gt;""""), ""真實收入"",
  TRUE, ""其他""
)"),"其他")</f>
        <v>其他</v>
      </c>
      <c r="K9453" s="270" t="str">
        <f t="shared" si="2"/>
        <v/>
      </c>
      <c r="L9453">
        <f t="shared" si="3"/>
        <v>0</v>
      </c>
    </row>
    <row r="9454">
      <c r="A9454" s="107"/>
      <c r="D9454" s="270"/>
      <c r="H9454" s="106" t="str">
        <f t="shared" si="1"/>
        <v/>
      </c>
      <c r="J9454" t="str">
        <f>IFERROR(__xludf.DUMMYFUNCTION("IFS(
  AND(REGEXMATCH(E9454, ""台銀籌備帳戶|玉山帳戶""), REGEXMATCH(C9454, ""薪資"")), ""分潤支出"",
  AND(REGEXMATCH(E9454, ""Ben帳戶|Elsa帳戶|Ben代墊|Ariel代墊|中信銀行共用""), REGEXMATCH(F9454, ""Ben帳戶|Elsa帳戶|Ben代墊|Ariel代墊|中信銀行共用"")), ""內部轉帳(忽略)"",
  AND(E9454&lt;&gt;"""", F9454&lt;&gt;"""", N"&amp;"OT(REGEXMATCH(C9454, ""薪資""))), ""內部轉帳(忽略)"",
  REGEXMATCH(C9454, ""薪資""), ""薪資變動(不計入)"",
  REGEXMATCH(C9454, ""押金""), ""押金往來"",
  AND(E9454&lt;&gt;"""", F9454=""""), ""真實支出"",
  AND(E9454="""", F9454&lt;&gt;""""), ""真實收入"",
  TRUE, ""其他""
)"),"其他")</f>
        <v>其他</v>
      </c>
      <c r="K9454" s="270" t="str">
        <f t="shared" si="2"/>
        <v/>
      </c>
      <c r="L9454">
        <f t="shared" si="3"/>
        <v>0</v>
      </c>
    </row>
    <row r="9455">
      <c r="A9455" s="107"/>
      <c r="D9455" s="270"/>
      <c r="H9455" s="106" t="str">
        <f t="shared" si="1"/>
        <v/>
      </c>
      <c r="J9455" t="str">
        <f>IFERROR(__xludf.DUMMYFUNCTION("IFS(
  AND(REGEXMATCH(E9455, ""台銀籌備帳戶|玉山帳戶""), REGEXMATCH(C9455, ""薪資"")), ""分潤支出"",
  AND(REGEXMATCH(E9455, ""Ben帳戶|Elsa帳戶|Ben代墊|Ariel代墊|中信銀行共用""), REGEXMATCH(F9455, ""Ben帳戶|Elsa帳戶|Ben代墊|Ariel代墊|中信銀行共用"")), ""內部轉帳(忽略)"",
  AND(E9455&lt;&gt;"""", F9455&lt;&gt;"""", N"&amp;"OT(REGEXMATCH(C9455, ""薪資""))), ""內部轉帳(忽略)"",
  REGEXMATCH(C9455, ""薪資""), ""薪資變動(不計入)"",
  REGEXMATCH(C9455, ""押金""), ""押金往來"",
  AND(E9455&lt;&gt;"""", F9455=""""), ""真實支出"",
  AND(E9455="""", F9455&lt;&gt;""""), ""真實收入"",
  TRUE, ""其他""
)"),"其他")</f>
        <v>其他</v>
      </c>
      <c r="K9455" s="270" t="str">
        <f t="shared" si="2"/>
        <v/>
      </c>
      <c r="L9455">
        <f t="shared" si="3"/>
        <v>0</v>
      </c>
    </row>
    <row r="9456">
      <c r="A9456" s="107"/>
      <c r="D9456" s="270"/>
      <c r="H9456" s="106" t="str">
        <f t="shared" si="1"/>
        <v/>
      </c>
      <c r="J9456" t="str">
        <f>IFERROR(__xludf.DUMMYFUNCTION("IFS(
  AND(REGEXMATCH(E9456, ""台銀籌備帳戶|玉山帳戶""), REGEXMATCH(C9456, ""薪資"")), ""分潤支出"",
  AND(REGEXMATCH(E9456, ""Ben帳戶|Elsa帳戶|Ben代墊|Ariel代墊|中信銀行共用""), REGEXMATCH(F9456, ""Ben帳戶|Elsa帳戶|Ben代墊|Ariel代墊|中信銀行共用"")), ""內部轉帳(忽略)"",
  AND(E9456&lt;&gt;"""", F9456&lt;&gt;"""", N"&amp;"OT(REGEXMATCH(C9456, ""薪資""))), ""內部轉帳(忽略)"",
  REGEXMATCH(C9456, ""薪資""), ""薪資變動(不計入)"",
  REGEXMATCH(C9456, ""押金""), ""押金往來"",
  AND(E9456&lt;&gt;"""", F9456=""""), ""真實支出"",
  AND(E9456="""", F9456&lt;&gt;""""), ""真實收入"",
  TRUE, ""其他""
)"),"其他")</f>
        <v>其他</v>
      </c>
      <c r="K9456" s="270" t="str">
        <f t="shared" si="2"/>
        <v/>
      </c>
      <c r="L9456">
        <f t="shared" si="3"/>
        <v>0</v>
      </c>
    </row>
    <row r="9457">
      <c r="A9457" s="107"/>
      <c r="D9457" s="270"/>
      <c r="H9457" s="106" t="str">
        <f t="shared" si="1"/>
        <v/>
      </c>
      <c r="J9457" t="str">
        <f>IFERROR(__xludf.DUMMYFUNCTION("IFS(
  AND(REGEXMATCH(E9457, ""台銀籌備帳戶|玉山帳戶""), REGEXMATCH(C9457, ""薪資"")), ""分潤支出"",
  AND(REGEXMATCH(E9457, ""Ben帳戶|Elsa帳戶|Ben代墊|Ariel代墊|中信銀行共用""), REGEXMATCH(F9457, ""Ben帳戶|Elsa帳戶|Ben代墊|Ariel代墊|中信銀行共用"")), ""內部轉帳(忽略)"",
  AND(E9457&lt;&gt;"""", F9457&lt;&gt;"""", N"&amp;"OT(REGEXMATCH(C9457, ""薪資""))), ""內部轉帳(忽略)"",
  REGEXMATCH(C9457, ""薪資""), ""薪資變動(不計入)"",
  REGEXMATCH(C9457, ""押金""), ""押金往來"",
  AND(E9457&lt;&gt;"""", F9457=""""), ""真實支出"",
  AND(E9457="""", F9457&lt;&gt;""""), ""真實收入"",
  TRUE, ""其他""
)"),"其他")</f>
        <v>其他</v>
      </c>
      <c r="K9457" s="270" t="str">
        <f t="shared" si="2"/>
        <v/>
      </c>
      <c r="L9457">
        <f t="shared" si="3"/>
        <v>0</v>
      </c>
    </row>
    <row r="9458">
      <c r="A9458" s="107"/>
      <c r="D9458" s="270"/>
      <c r="H9458" s="106" t="str">
        <f t="shared" si="1"/>
        <v/>
      </c>
      <c r="J9458" t="str">
        <f>IFERROR(__xludf.DUMMYFUNCTION("IFS(
  AND(REGEXMATCH(E9458, ""台銀籌備帳戶|玉山帳戶""), REGEXMATCH(C9458, ""薪資"")), ""分潤支出"",
  AND(REGEXMATCH(E9458, ""Ben帳戶|Elsa帳戶|Ben代墊|Ariel代墊|中信銀行共用""), REGEXMATCH(F9458, ""Ben帳戶|Elsa帳戶|Ben代墊|Ariel代墊|中信銀行共用"")), ""內部轉帳(忽略)"",
  AND(E9458&lt;&gt;"""", F9458&lt;&gt;"""", N"&amp;"OT(REGEXMATCH(C9458, ""薪資""))), ""內部轉帳(忽略)"",
  REGEXMATCH(C9458, ""薪資""), ""薪資變動(不計入)"",
  REGEXMATCH(C9458, ""押金""), ""押金往來"",
  AND(E9458&lt;&gt;"""", F9458=""""), ""真實支出"",
  AND(E9458="""", F9458&lt;&gt;""""), ""真實收入"",
  TRUE, ""其他""
)"),"其他")</f>
        <v>其他</v>
      </c>
      <c r="K9458" s="270" t="str">
        <f t="shared" si="2"/>
        <v/>
      </c>
      <c r="L9458">
        <f t="shared" si="3"/>
        <v>0</v>
      </c>
    </row>
    <row r="9459">
      <c r="A9459" s="107"/>
      <c r="D9459" s="270"/>
      <c r="H9459" s="106" t="str">
        <f t="shared" si="1"/>
        <v/>
      </c>
      <c r="J9459" t="str">
        <f>IFERROR(__xludf.DUMMYFUNCTION("IFS(
  AND(REGEXMATCH(E9459, ""台銀籌備帳戶|玉山帳戶""), REGEXMATCH(C9459, ""薪資"")), ""分潤支出"",
  AND(REGEXMATCH(E9459, ""Ben帳戶|Elsa帳戶|Ben代墊|Ariel代墊|中信銀行共用""), REGEXMATCH(F9459, ""Ben帳戶|Elsa帳戶|Ben代墊|Ariel代墊|中信銀行共用"")), ""內部轉帳(忽略)"",
  AND(E9459&lt;&gt;"""", F9459&lt;&gt;"""", N"&amp;"OT(REGEXMATCH(C9459, ""薪資""))), ""內部轉帳(忽略)"",
  REGEXMATCH(C9459, ""薪資""), ""薪資變動(不計入)"",
  REGEXMATCH(C9459, ""押金""), ""押金往來"",
  AND(E9459&lt;&gt;"""", F9459=""""), ""真實支出"",
  AND(E9459="""", F9459&lt;&gt;""""), ""真實收入"",
  TRUE, ""其他""
)"),"其他")</f>
        <v>其他</v>
      </c>
      <c r="K9459" s="270" t="str">
        <f t="shared" si="2"/>
        <v/>
      </c>
      <c r="L9459">
        <f t="shared" si="3"/>
        <v>0</v>
      </c>
    </row>
    <row r="9460">
      <c r="A9460" s="107"/>
      <c r="D9460" s="270"/>
      <c r="H9460" s="106" t="str">
        <f t="shared" si="1"/>
        <v/>
      </c>
      <c r="J9460" t="str">
        <f>IFERROR(__xludf.DUMMYFUNCTION("IFS(
  AND(REGEXMATCH(E9460, ""台銀籌備帳戶|玉山帳戶""), REGEXMATCH(C9460, ""薪資"")), ""分潤支出"",
  AND(REGEXMATCH(E9460, ""Ben帳戶|Elsa帳戶|Ben代墊|Ariel代墊|中信銀行共用""), REGEXMATCH(F9460, ""Ben帳戶|Elsa帳戶|Ben代墊|Ariel代墊|中信銀行共用"")), ""內部轉帳(忽略)"",
  AND(E9460&lt;&gt;"""", F9460&lt;&gt;"""", N"&amp;"OT(REGEXMATCH(C9460, ""薪資""))), ""內部轉帳(忽略)"",
  REGEXMATCH(C9460, ""薪資""), ""薪資變動(不計入)"",
  REGEXMATCH(C9460, ""押金""), ""押金往來"",
  AND(E9460&lt;&gt;"""", F9460=""""), ""真實支出"",
  AND(E9460="""", F9460&lt;&gt;""""), ""真實收入"",
  TRUE, ""其他""
)"),"其他")</f>
        <v>其他</v>
      </c>
      <c r="K9460" s="270" t="str">
        <f t="shared" si="2"/>
        <v/>
      </c>
      <c r="L9460">
        <f t="shared" si="3"/>
        <v>0</v>
      </c>
    </row>
    <row r="9461">
      <c r="A9461" s="107"/>
      <c r="D9461" s="270"/>
      <c r="H9461" s="106" t="str">
        <f t="shared" si="1"/>
        <v/>
      </c>
      <c r="J9461" t="str">
        <f>IFERROR(__xludf.DUMMYFUNCTION("IFS(
  AND(REGEXMATCH(E9461, ""台銀籌備帳戶|玉山帳戶""), REGEXMATCH(C9461, ""薪資"")), ""分潤支出"",
  AND(REGEXMATCH(E9461, ""Ben帳戶|Elsa帳戶|Ben代墊|Ariel代墊|中信銀行共用""), REGEXMATCH(F9461, ""Ben帳戶|Elsa帳戶|Ben代墊|Ariel代墊|中信銀行共用"")), ""內部轉帳(忽略)"",
  AND(E9461&lt;&gt;"""", F9461&lt;&gt;"""", N"&amp;"OT(REGEXMATCH(C9461, ""薪資""))), ""內部轉帳(忽略)"",
  REGEXMATCH(C9461, ""薪資""), ""薪資變動(不計入)"",
  REGEXMATCH(C9461, ""押金""), ""押金往來"",
  AND(E9461&lt;&gt;"""", F9461=""""), ""真實支出"",
  AND(E9461="""", F9461&lt;&gt;""""), ""真實收入"",
  TRUE, ""其他""
)"),"其他")</f>
        <v>其他</v>
      </c>
      <c r="K9461" s="270" t="str">
        <f t="shared" si="2"/>
        <v/>
      </c>
      <c r="L9461">
        <f t="shared" si="3"/>
        <v>0</v>
      </c>
    </row>
    <row r="9462">
      <c r="A9462" s="107"/>
      <c r="D9462" s="270"/>
      <c r="H9462" s="106" t="str">
        <f t="shared" si="1"/>
        <v/>
      </c>
      <c r="J9462" t="str">
        <f>IFERROR(__xludf.DUMMYFUNCTION("IFS(
  AND(REGEXMATCH(E9462, ""台銀籌備帳戶|玉山帳戶""), REGEXMATCH(C9462, ""薪資"")), ""分潤支出"",
  AND(REGEXMATCH(E9462, ""Ben帳戶|Elsa帳戶|Ben代墊|Ariel代墊|中信銀行共用""), REGEXMATCH(F9462, ""Ben帳戶|Elsa帳戶|Ben代墊|Ariel代墊|中信銀行共用"")), ""內部轉帳(忽略)"",
  AND(E9462&lt;&gt;"""", F9462&lt;&gt;"""", N"&amp;"OT(REGEXMATCH(C9462, ""薪資""))), ""內部轉帳(忽略)"",
  REGEXMATCH(C9462, ""薪資""), ""薪資變動(不計入)"",
  REGEXMATCH(C9462, ""押金""), ""押金往來"",
  AND(E9462&lt;&gt;"""", F9462=""""), ""真實支出"",
  AND(E9462="""", F9462&lt;&gt;""""), ""真實收入"",
  TRUE, ""其他""
)"),"其他")</f>
        <v>其他</v>
      </c>
      <c r="K9462" s="270" t="str">
        <f t="shared" si="2"/>
        <v/>
      </c>
      <c r="L9462">
        <f t="shared" si="3"/>
        <v>0</v>
      </c>
    </row>
    <row r="9463">
      <c r="A9463" s="107"/>
      <c r="D9463" s="270"/>
      <c r="H9463" s="106" t="str">
        <f t="shared" si="1"/>
        <v/>
      </c>
      <c r="J9463" t="str">
        <f>IFERROR(__xludf.DUMMYFUNCTION("IFS(
  AND(REGEXMATCH(E9463, ""台銀籌備帳戶|玉山帳戶""), REGEXMATCH(C9463, ""薪資"")), ""分潤支出"",
  AND(REGEXMATCH(E9463, ""Ben帳戶|Elsa帳戶|Ben代墊|Ariel代墊|中信銀行共用""), REGEXMATCH(F9463, ""Ben帳戶|Elsa帳戶|Ben代墊|Ariel代墊|中信銀行共用"")), ""內部轉帳(忽略)"",
  AND(E9463&lt;&gt;"""", F9463&lt;&gt;"""", N"&amp;"OT(REGEXMATCH(C9463, ""薪資""))), ""內部轉帳(忽略)"",
  REGEXMATCH(C9463, ""薪資""), ""薪資變動(不計入)"",
  REGEXMATCH(C9463, ""押金""), ""押金往來"",
  AND(E9463&lt;&gt;"""", F9463=""""), ""真實支出"",
  AND(E9463="""", F9463&lt;&gt;""""), ""真實收入"",
  TRUE, ""其他""
)"),"其他")</f>
        <v>其他</v>
      </c>
      <c r="K9463" s="270" t="str">
        <f t="shared" si="2"/>
        <v/>
      </c>
      <c r="L9463">
        <f t="shared" si="3"/>
        <v>0</v>
      </c>
    </row>
    <row r="9464">
      <c r="A9464" s="107"/>
      <c r="D9464" s="270"/>
      <c r="H9464" s="106" t="str">
        <f t="shared" si="1"/>
        <v/>
      </c>
      <c r="J9464" t="str">
        <f>IFERROR(__xludf.DUMMYFUNCTION("IFS(
  AND(REGEXMATCH(E9464, ""台銀籌備帳戶|玉山帳戶""), REGEXMATCH(C9464, ""薪資"")), ""分潤支出"",
  AND(REGEXMATCH(E9464, ""Ben帳戶|Elsa帳戶|Ben代墊|Ariel代墊|中信銀行共用""), REGEXMATCH(F9464, ""Ben帳戶|Elsa帳戶|Ben代墊|Ariel代墊|中信銀行共用"")), ""內部轉帳(忽略)"",
  AND(E9464&lt;&gt;"""", F9464&lt;&gt;"""", N"&amp;"OT(REGEXMATCH(C9464, ""薪資""))), ""內部轉帳(忽略)"",
  REGEXMATCH(C9464, ""薪資""), ""薪資變動(不計入)"",
  REGEXMATCH(C9464, ""押金""), ""押金往來"",
  AND(E9464&lt;&gt;"""", F9464=""""), ""真實支出"",
  AND(E9464="""", F9464&lt;&gt;""""), ""真實收入"",
  TRUE, ""其他""
)"),"其他")</f>
        <v>其他</v>
      </c>
      <c r="K9464" s="270" t="str">
        <f t="shared" si="2"/>
        <v/>
      </c>
      <c r="L9464">
        <f t="shared" si="3"/>
        <v>0</v>
      </c>
    </row>
    <row r="9465">
      <c r="A9465" s="107"/>
      <c r="D9465" s="270"/>
      <c r="H9465" s="106" t="str">
        <f t="shared" si="1"/>
        <v/>
      </c>
      <c r="J9465" t="str">
        <f>IFERROR(__xludf.DUMMYFUNCTION("IFS(
  AND(REGEXMATCH(E9465, ""台銀籌備帳戶|玉山帳戶""), REGEXMATCH(C9465, ""薪資"")), ""分潤支出"",
  AND(REGEXMATCH(E9465, ""Ben帳戶|Elsa帳戶|Ben代墊|Ariel代墊|中信銀行共用""), REGEXMATCH(F9465, ""Ben帳戶|Elsa帳戶|Ben代墊|Ariel代墊|中信銀行共用"")), ""內部轉帳(忽略)"",
  AND(E9465&lt;&gt;"""", F9465&lt;&gt;"""", N"&amp;"OT(REGEXMATCH(C9465, ""薪資""))), ""內部轉帳(忽略)"",
  REGEXMATCH(C9465, ""薪資""), ""薪資變動(不計入)"",
  REGEXMATCH(C9465, ""押金""), ""押金往來"",
  AND(E9465&lt;&gt;"""", F9465=""""), ""真實支出"",
  AND(E9465="""", F9465&lt;&gt;""""), ""真實收入"",
  TRUE, ""其他""
)"),"其他")</f>
        <v>其他</v>
      </c>
      <c r="K9465" s="270" t="str">
        <f t="shared" si="2"/>
        <v/>
      </c>
      <c r="L9465">
        <f t="shared" si="3"/>
        <v>0</v>
      </c>
    </row>
    <row r="9466">
      <c r="A9466" s="107"/>
      <c r="D9466" s="270"/>
      <c r="H9466" s="106" t="str">
        <f t="shared" si="1"/>
        <v/>
      </c>
      <c r="J9466" t="str">
        <f>IFERROR(__xludf.DUMMYFUNCTION("IFS(
  AND(REGEXMATCH(E9466, ""台銀籌備帳戶|玉山帳戶""), REGEXMATCH(C9466, ""薪資"")), ""分潤支出"",
  AND(REGEXMATCH(E9466, ""Ben帳戶|Elsa帳戶|Ben代墊|Ariel代墊|中信銀行共用""), REGEXMATCH(F9466, ""Ben帳戶|Elsa帳戶|Ben代墊|Ariel代墊|中信銀行共用"")), ""內部轉帳(忽略)"",
  AND(E9466&lt;&gt;"""", F9466&lt;&gt;"""", N"&amp;"OT(REGEXMATCH(C9466, ""薪資""))), ""內部轉帳(忽略)"",
  REGEXMATCH(C9466, ""薪資""), ""薪資變動(不計入)"",
  REGEXMATCH(C9466, ""押金""), ""押金往來"",
  AND(E9466&lt;&gt;"""", F9466=""""), ""真實支出"",
  AND(E9466="""", F9466&lt;&gt;""""), ""真實收入"",
  TRUE, ""其他""
)"),"其他")</f>
        <v>其他</v>
      </c>
      <c r="K9466" s="270" t="str">
        <f t="shared" si="2"/>
        <v/>
      </c>
      <c r="L9466">
        <f t="shared" si="3"/>
        <v>0</v>
      </c>
    </row>
    <row r="9467">
      <c r="A9467" s="107"/>
      <c r="D9467" s="270"/>
      <c r="H9467" s="106" t="str">
        <f t="shared" si="1"/>
        <v/>
      </c>
      <c r="J9467" t="str">
        <f>IFERROR(__xludf.DUMMYFUNCTION("IFS(
  AND(REGEXMATCH(E9467, ""台銀籌備帳戶|玉山帳戶""), REGEXMATCH(C9467, ""薪資"")), ""分潤支出"",
  AND(REGEXMATCH(E9467, ""Ben帳戶|Elsa帳戶|Ben代墊|Ariel代墊|中信銀行共用""), REGEXMATCH(F9467, ""Ben帳戶|Elsa帳戶|Ben代墊|Ariel代墊|中信銀行共用"")), ""內部轉帳(忽略)"",
  AND(E9467&lt;&gt;"""", F9467&lt;&gt;"""", N"&amp;"OT(REGEXMATCH(C9467, ""薪資""))), ""內部轉帳(忽略)"",
  REGEXMATCH(C9467, ""薪資""), ""薪資變動(不計入)"",
  REGEXMATCH(C9467, ""押金""), ""押金往來"",
  AND(E9467&lt;&gt;"""", F9467=""""), ""真實支出"",
  AND(E9467="""", F9467&lt;&gt;""""), ""真實收入"",
  TRUE, ""其他""
)"),"其他")</f>
        <v>其他</v>
      </c>
      <c r="K9467" s="270" t="str">
        <f t="shared" si="2"/>
        <v/>
      </c>
      <c r="L9467">
        <f t="shared" si="3"/>
        <v>0</v>
      </c>
    </row>
    <row r="9468">
      <c r="A9468" s="107"/>
      <c r="D9468" s="270"/>
      <c r="H9468" s="106" t="str">
        <f t="shared" si="1"/>
        <v/>
      </c>
      <c r="J9468" t="str">
        <f>IFERROR(__xludf.DUMMYFUNCTION("IFS(
  AND(REGEXMATCH(E9468, ""台銀籌備帳戶|玉山帳戶""), REGEXMATCH(C9468, ""薪資"")), ""分潤支出"",
  AND(REGEXMATCH(E9468, ""Ben帳戶|Elsa帳戶|Ben代墊|Ariel代墊|中信銀行共用""), REGEXMATCH(F9468, ""Ben帳戶|Elsa帳戶|Ben代墊|Ariel代墊|中信銀行共用"")), ""內部轉帳(忽略)"",
  AND(E9468&lt;&gt;"""", F9468&lt;&gt;"""", N"&amp;"OT(REGEXMATCH(C9468, ""薪資""))), ""內部轉帳(忽略)"",
  REGEXMATCH(C9468, ""薪資""), ""薪資變動(不計入)"",
  REGEXMATCH(C9468, ""押金""), ""押金往來"",
  AND(E9468&lt;&gt;"""", F9468=""""), ""真實支出"",
  AND(E9468="""", F9468&lt;&gt;""""), ""真實收入"",
  TRUE, ""其他""
)"),"其他")</f>
        <v>其他</v>
      </c>
      <c r="K9468" s="270" t="str">
        <f t="shared" si="2"/>
        <v/>
      </c>
      <c r="L9468">
        <f t="shared" si="3"/>
        <v>0</v>
      </c>
    </row>
    <row r="9469">
      <c r="A9469" s="107"/>
      <c r="D9469" s="270"/>
      <c r="H9469" s="106" t="str">
        <f t="shared" si="1"/>
        <v/>
      </c>
      <c r="J9469" t="str">
        <f>IFERROR(__xludf.DUMMYFUNCTION("IFS(
  AND(REGEXMATCH(E9469, ""台銀籌備帳戶|玉山帳戶""), REGEXMATCH(C9469, ""薪資"")), ""分潤支出"",
  AND(REGEXMATCH(E9469, ""Ben帳戶|Elsa帳戶|Ben代墊|Ariel代墊|中信銀行共用""), REGEXMATCH(F9469, ""Ben帳戶|Elsa帳戶|Ben代墊|Ariel代墊|中信銀行共用"")), ""內部轉帳(忽略)"",
  AND(E9469&lt;&gt;"""", F9469&lt;&gt;"""", N"&amp;"OT(REGEXMATCH(C9469, ""薪資""))), ""內部轉帳(忽略)"",
  REGEXMATCH(C9469, ""薪資""), ""薪資變動(不計入)"",
  REGEXMATCH(C9469, ""押金""), ""押金往來"",
  AND(E9469&lt;&gt;"""", F9469=""""), ""真實支出"",
  AND(E9469="""", F9469&lt;&gt;""""), ""真實收入"",
  TRUE, ""其他""
)"),"其他")</f>
        <v>其他</v>
      </c>
      <c r="K9469" s="270" t="str">
        <f t="shared" si="2"/>
        <v/>
      </c>
      <c r="L9469">
        <f t="shared" si="3"/>
        <v>0</v>
      </c>
    </row>
    <row r="9470">
      <c r="A9470" s="107"/>
      <c r="D9470" s="270"/>
      <c r="H9470" s="106" t="str">
        <f t="shared" si="1"/>
        <v/>
      </c>
      <c r="J9470" t="str">
        <f>IFERROR(__xludf.DUMMYFUNCTION("IFS(
  AND(REGEXMATCH(E9470, ""台銀籌備帳戶|玉山帳戶""), REGEXMATCH(C9470, ""薪資"")), ""分潤支出"",
  AND(REGEXMATCH(E9470, ""Ben帳戶|Elsa帳戶|Ben代墊|Ariel代墊|中信銀行共用""), REGEXMATCH(F9470, ""Ben帳戶|Elsa帳戶|Ben代墊|Ariel代墊|中信銀行共用"")), ""內部轉帳(忽略)"",
  AND(E9470&lt;&gt;"""", F9470&lt;&gt;"""", N"&amp;"OT(REGEXMATCH(C9470, ""薪資""))), ""內部轉帳(忽略)"",
  REGEXMATCH(C9470, ""薪資""), ""薪資變動(不計入)"",
  REGEXMATCH(C9470, ""押金""), ""押金往來"",
  AND(E9470&lt;&gt;"""", F9470=""""), ""真實支出"",
  AND(E9470="""", F9470&lt;&gt;""""), ""真實收入"",
  TRUE, ""其他""
)"),"其他")</f>
        <v>其他</v>
      </c>
      <c r="K9470" s="270" t="str">
        <f t="shared" si="2"/>
        <v/>
      </c>
      <c r="L9470">
        <f t="shared" si="3"/>
        <v>0</v>
      </c>
    </row>
    <row r="9471">
      <c r="A9471" s="107"/>
      <c r="D9471" s="270"/>
      <c r="H9471" s="106" t="str">
        <f t="shared" si="1"/>
        <v/>
      </c>
      <c r="J9471" t="str">
        <f>IFERROR(__xludf.DUMMYFUNCTION("IFS(
  AND(REGEXMATCH(E9471, ""台銀籌備帳戶|玉山帳戶""), REGEXMATCH(C9471, ""薪資"")), ""分潤支出"",
  AND(REGEXMATCH(E9471, ""Ben帳戶|Elsa帳戶|Ben代墊|Ariel代墊|中信銀行共用""), REGEXMATCH(F9471, ""Ben帳戶|Elsa帳戶|Ben代墊|Ariel代墊|中信銀行共用"")), ""內部轉帳(忽略)"",
  AND(E9471&lt;&gt;"""", F9471&lt;&gt;"""", N"&amp;"OT(REGEXMATCH(C9471, ""薪資""))), ""內部轉帳(忽略)"",
  REGEXMATCH(C9471, ""薪資""), ""薪資變動(不計入)"",
  REGEXMATCH(C9471, ""押金""), ""押金往來"",
  AND(E9471&lt;&gt;"""", F9471=""""), ""真實支出"",
  AND(E9471="""", F9471&lt;&gt;""""), ""真實收入"",
  TRUE, ""其他""
)"),"其他")</f>
        <v>其他</v>
      </c>
      <c r="K9471" s="270" t="str">
        <f t="shared" si="2"/>
        <v/>
      </c>
      <c r="L9471">
        <f t="shared" si="3"/>
        <v>0</v>
      </c>
    </row>
    <row r="9472">
      <c r="A9472" s="107"/>
      <c r="D9472" s="270"/>
      <c r="H9472" s="106" t="str">
        <f t="shared" si="1"/>
        <v/>
      </c>
      <c r="J9472" t="str">
        <f>IFERROR(__xludf.DUMMYFUNCTION("IFS(
  AND(REGEXMATCH(E9472, ""台銀籌備帳戶|玉山帳戶""), REGEXMATCH(C9472, ""薪資"")), ""分潤支出"",
  AND(REGEXMATCH(E9472, ""Ben帳戶|Elsa帳戶|Ben代墊|Ariel代墊|中信銀行共用""), REGEXMATCH(F9472, ""Ben帳戶|Elsa帳戶|Ben代墊|Ariel代墊|中信銀行共用"")), ""內部轉帳(忽略)"",
  AND(E9472&lt;&gt;"""", F9472&lt;&gt;"""", N"&amp;"OT(REGEXMATCH(C9472, ""薪資""))), ""內部轉帳(忽略)"",
  REGEXMATCH(C9472, ""薪資""), ""薪資變動(不計入)"",
  REGEXMATCH(C9472, ""押金""), ""押金往來"",
  AND(E9472&lt;&gt;"""", F9472=""""), ""真實支出"",
  AND(E9472="""", F9472&lt;&gt;""""), ""真實收入"",
  TRUE, ""其他""
)"),"其他")</f>
        <v>其他</v>
      </c>
      <c r="K9472" s="270" t="str">
        <f t="shared" si="2"/>
        <v/>
      </c>
      <c r="L9472">
        <f t="shared" si="3"/>
        <v>0</v>
      </c>
    </row>
    <row r="9473">
      <c r="A9473" s="107"/>
      <c r="D9473" s="270"/>
      <c r="H9473" s="106" t="str">
        <f t="shared" si="1"/>
        <v/>
      </c>
      <c r="J9473" t="str">
        <f>IFERROR(__xludf.DUMMYFUNCTION("IFS(
  AND(REGEXMATCH(E9473, ""台銀籌備帳戶|玉山帳戶""), REGEXMATCH(C9473, ""薪資"")), ""分潤支出"",
  AND(REGEXMATCH(E9473, ""Ben帳戶|Elsa帳戶|Ben代墊|Ariel代墊|中信銀行共用""), REGEXMATCH(F9473, ""Ben帳戶|Elsa帳戶|Ben代墊|Ariel代墊|中信銀行共用"")), ""內部轉帳(忽略)"",
  AND(E9473&lt;&gt;"""", F9473&lt;&gt;"""", N"&amp;"OT(REGEXMATCH(C9473, ""薪資""))), ""內部轉帳(忽略)"",
  REGEXMATCH(C9473, ""薪資""), ""薪資變動(不計入)"",
  REGEXMATCH(C9473, ""押金""), ""押金往來"",
  AND(E9473&lt;&gt;"""", F9473=""""), ""真實支出"",
  AND(E9473="""", F9473&lt;&gt;""""), ""真實收入"",
  TRUE, ""其他""
)"),"其他")</f>
        <v>其他</v>
      </c>
      <c r="K9473" s="270" t="str">
        <f t="shared" si="2"/>
        <v/>
      </c>
      <c r="L9473">
        <f t="shared" si="3"/>
        <v>0</v>
      </c>
    </row>
    <row r="9474">
      <c r="A9474" s="107"/>
      <c r="D9474" s="270"/>
      <c r="H9474" s="106" t="str">
        <f t="shared" si="1"/>
        <v/>
      </c>
      <c r="J9474" t="str">
        <f>IFERROR(__xludf.DUMMYFUNCTION("IFS(
  AND(REGEXMATCH(E9474, ""台銀籌備帳戶|玉山帳戶""), REGEXMATCH(C9474, ""薪資"")), ""分潤支出"",
  AND(REGEXMATCH(E9474, ""Ben帳戶|Elsa帳戶|Ben代墊|Ariel代墊|中信銀行共用""), REGEXMATCH(F9474, ""Ben帳戶|Elsa帳戶|Ben代墊|Ariel代墊|中信銀行共用"")), ""內部轉帳(忽略)"",
  AND(E9474&lt;&gt;"""", F9474&lt;&gt;"""", N"&amp;"OT(REGEXMATCH(C9474, ""薪資""))), ""內部轉帳(忽略)"",
  REGEXMATCH(C9474, ""薪資""), ""薪資變動(不計入)"",
  REGEXMATCH(C9474, ""押金""), ""押金往來"",
  AND(E9474&lt;&gt;"""", F9474=""""), ""真實支出"",
  AND(E9474="""", F9474&lt;&gt;""""), ""真實收入"",
  TRUE, ""其他""
)"),"其他")</f>
        <v>其他</v>
      </c>
      <c r="K9474" s="270" t="str">
        <f t="shared" si="2"/>
        <v/>
      </c>
      <c r="L9474">
        <f t="shared" si="3"/>
        <v>0</v>
      </c>
    </row>
    <row r="9475">
      <c r="A9475" s="107"/>
      <c r="D9475" s="270"/>
      <c r="H9475" s="106" t="str">
        <f t="shared" si="1"/>
        <v/>
      </c>
      <c r="J9475" t="str">
        <f>IFERROR(__xludf.DUMMYFUNCTION("IFS(
  AND(REGEXMATCH(E9475, ""台銀籌備帳戶|玉山帳戶""), REGEXMATCH(C9475, ""薪資"")), ""分潤支出"",
  AND(REGEXMATCH(E9475, ""Ben帳戶|Elsa帳戶|Ben代墊|Ariel代墊|中信銀行共用""), REGEXMATCH(F9475, ""Ben帳戶|Elsa帳戶|Ben代墊|Ariel代墊|中信銀行共用"")), ""內部轉帳(忽略)"",
  AND(E9475&lt;&gt;"""", F9475&lt;&gt;"""", N"&amp;"OT(REGEXMATCH(C9475, ""薪資""))), ""內部轉帳(忽略)"",
  REGEXMATCH(C9475, ""薪資""), ""薪資變動(不計入)"",
  REGEXMATCH(C9475, ""押金""), ""押金往來"",
  AND(E9475&lt;&gt;"""", F9475=""""), ""真實支出"",
  AND(E9475="""", F9475&lt;&gt;""""), ""真實收入"",
  TRUE, ""其他""
)"),"其他")</f>
        <v>其他</v>
      </c>
      <c r="K9475" s="270" t="str">
        <f t="shared" si="2"/>
        <v/>
      </c>
      <c r="L9475">
        <f t="shared" si="3"/>
        <v>0</v>
      </c>
    </row>
    <row r="9476">
      <c r="A9476" s="107"/>
      <c r="D9476" s="270"/>
      <c r="H9476" s="106" t="str">
        <f t="shared" si="1"/>
        <v/>
      </c>
      <c r="J9476" t="str">
        <f>IFERROR(__xludf.DUMMYFUNCTION("IFS(
  AND(REGEXMATCH(E9476, ""台銀籌備帳戶|玉山帳戶""), REGEXMATCH(C9476, ""薪資"")), ""分潤支出"",
  AND(REGEXMATCH(E9476, ""Ben帳戶|Elsa帳戶|Ben代墊|Ariel代墊|中信銀行共用""), REGEXMATCH(F9476, ""Ben帳戶|Elsa帳戶|Ben代墊|Ariel代墊|中信銀行共用"")), ""內部轉帳(忽略)"",
  AND(E9476&lt;&gt;"""", F9476&lt;&gt;"""", N"&amp;"OT(REGEXMATCH(C9476, ""薪資""))), ""內部轉帳(忽略)"",
  REGEXMATCH(C9476, ""薪資""), ""薪資變動(不計入)"",
  REGEXMATCH(C9476, ""押金""), ""押金往來"",
  AND(E9476&lt;&gt;"""", F9476=""""), ""真實支出"",
  AND(E9476="""", F9476&lt;&gt;""""), ""真實收入"",
  TRUE, ""其他""
)"),"其他")</f>
        <v>其他</v>
      </c>
      <c r="K9476" s="270" t="str">
        <f t="shared" si="2"/>
        <v/>
      </c>
      <c r="L9476">
        <f t="shared" si="3"/>
        <v>0</v>
      </c>
    </row>
    <row r="9477">
      <c r="A9477" s="107"/>
      <c r="D9477" s="270"/>
      <c r="H9477" s="106" t="str">
        <f t="shared" si="1"/>
        <v/>
      </c>
      <c r="J9477" t="str">
        <f>IFERROR(__xludf.DUMMYFUNCTION("IFS(
  AND(REGEXMATCH(E9477, ""台銀籌備帳戶|玉山帳戶""), REGEXMATCH(C9477, ""薪資"")), ""分潤支出"",
  AND(REGEXMATCH(E9477, ""Ben帳戶|Elsa帳戶|Ben代墊|Ariel代墊|中信銀行共用""), REGEXMATCH(F9477, ""Ben帳戶|Elsa帳戶|Ben代墊|Ariel代墊|中信銀行共用"")), ""內部轉帳(忽略)"",
  AND(E9477&lt;&gt;"""", F9477&lt;&gt;"""", N"&amp;"OT(REGEXMATCH(C9477, ""薪資""))), ""內部轉帳(忽略)"",
  REGEXMATCH(C9477, ""薪資""), ""薪資變動(不計入)"",
  REGEXMATCH(C9477, ""押金""), ""押金往來"",
  AND(E9477&lt;&gt;"""", F9477=""""), ""真實支出"",
  AND(E9477="""", F9477&lt;&gt;""""), ""真實收入"",
  TRUE, ""其他""
)"),"其他")</f>
        <v>其他</v>
      </c>
      <c r="K9477" s="270" t="str">
        <f t="shared" si="2"/>
        <v/>
      </c>
      <c r="L9477">
        <f t="shared" si="3"/>
        <v>0</v>
      </c>
    </row>
    <row r="9478">
      <c r="A9478" s="107"/>
      <c r="D9478" s="270"/>
      <c r="H9478" s="106" t="str">
        <f t="shared" si="1"/>
        <v/>
      </c>
      <c r="J9478" t="str">
        <f>IFERROR(__xludf.DUMMYFUNCTION("IFS(
  AND(REGEXMATCH(E9478, ""台銀籌備帳戶|玉山帳戶""), REGEXMATCH(C9478, ""薪資"")), ""分潤支出"",
  AND(REGEXMATCH(E9478, ""Ben帳戶|Elsa帳戶|Ben代墊|Ariel代墊|中信銀行共用""), REGEXMATCH(F9478, ""Ben帳戶|Elsa帳戶|Ben代墊|Ariel代墊|中信銀行共用"")), ""內部轉帳(忽略)"",
  AND(E9478&lt;&gt;"""", F9478&lt;&gt;"""", N"&amp;"OT(REGEXMATCH(C9478, ""薪資""))), ""內部轉帳(忽略)"",
  REGEXMATCH(C9478, ""薪資""), ""薪資變動(不計入)"",
  REGEXMATCH(C9478, ""押金""), ""押金往來"",
  AND(E9478&lt;&gt;"""", F9478=""""), ""真實支出"",
  AND(E9478="""", F9478&lt;&gt;""""), ""真實收入"",
  TRUE, ""其他""
)"),"其他")</f>
        <v>其他</v>
      </c>
      <c r="K9478" s="270" t="str">
        <f t="shared" si="2"/>
        <v/>
      </c>
      <c r="L9478">
        <f t="shared" si="3"/>
        <v>0</v>
      </c>
    </row>
    <row r="9479">
      <c r="A9479" s="107"/>
      <c r="D9479" s="270"/>
      <c r="H9479" s="106" t="str">
        <f t="shared" si="1"/>
        <v/>
      </c>
      <c r="J9479" t="str">
        <f>IFERROR(__xludf.DUMMYFUNCTION("IFS(
  AND(REGEXMATCH(E9479, ""台銀籌備帳戶|玉山帳戶""), REGEXMATCH(C9479, ""薪資"")), ""分潤支出"",
  AND(REGEXMATCH(E9479, ""Ben帳戶|Elsa帳戶|Ben代墊|Ariel代墊|中信銀行共用""), REGEXMATCH(F9479, ""Ben帳戶|Elsa帳戶|Ben代墊|Ariel代墊|中信銀行共用"")), ""內部轉帳(忽略)"",
  AND(E9479&lt;&gt;"""", F9479&lt;&gt;"""", N"&amp;"OT(REGEXMATCH(C9479, ""薪資""))), ""內部轉帳(忽略)"",
  REGEXMATCH(C9479, ""薪資""), ""薪資變動(不計入)"",
  REGEXMATCH(C9479, ""押金""), ""押金往來"",
  AND(E9479&lt;&gt;"""", F9479=""""), ""真實支出"",
  AND(E9479="""", F9479&lt;&gt;""""), ""真實收入"",
  TRUE, ""其他""
)"),"其他")</f>
        <v>其他</v>
      </c>
      <c r="K9479" s="270" t="str">
        <f t="shared" si="2"/>
        <v/>
      </c>
      <c r="L9479">
        <f t="shared" si="3"/>
        <v>0</v>
      </c>
    </row>
    <row r="9480">
      <c r="A9480" s="107"/>
      <c r="D9480" s="270"/>
      <c r="H9480" s="106" t="str">
        <f t="shared" si="1"/>
        <v/>
      </c>
      <c r="J9480" t="str">
        <f>IFERROR(__xludf.DUMMYFUNCTION("IFS(
  AND(REGEXMATCH(E9480, ""台銀籌備帳戶|玉山帳戶""), REGEXMATCH(C9480, ""薪資"")), ""分潤支出"",
  AND(REGEXMATCH(E9480, ""Ben帳戶|Elsa帳戶|Ben代墊|Ariel代墊|中信銀行共用""), REGEXMATCH(F9480, ""Ben帳戶|Elsa帳戶|Ben代墊|Ariel代墊|中信銀行共用"")), ""內部轉帳(忽略)"",
  AND(E9480&lt;&gt;"""", F9480&lt;&gt;"""", N"&amp;"OT(REGEXMATCH(C9480, ""薪資""))), ""內部轉帳(忽略)"",
  REGEXMATCH(C9480, ""薪資""), ""薪資變動(不計入)"",
  REGEXMATCH(C9480, ""押金""), ""押金往來"",
  AND(E9480&lt;&gt;"""", F9480=""""), ""真實支出"",
  AND(E9480="""", F9480&lt;&gt;""""), ""真實收入"",
  TRUE, ""其他""
)"),"其他")</f>
        <v>其他</v>
      </c>
      <c r="K9480" s="270" t="str">
        <f t="shared" si="2"/>
        <v/>
      </c>
      <c r="L9480">
        <f t="shared" si="3"/>
        <v>0</v>
      </c>
    </row>
    <row r="9481">
      <c r="A9481" s="107"/>
      <c r="D9481" s="270"/>
      <c r="H9481" s="106" t="str">
        <f t="shared" si="1"/>
        <v/>
      </c>
      <c r="J9481" t="str">
        <f>IFERROR(__xludf.DUMMYFUNCTION("IFS(
  AND(REGEXMATCH(E9481, ""台銀籌備帳戶|玉山帳戶""), REGEXMATCH(C9481, ""薪資"")), ""分潤支出"",
  AND(REGEXMATCH(E9481, ""Ben帳戶|Elsa帳戶|Ben代墊|Ariel代墊|中信銀行共用""), REGEXMATCH(F9481, ""Ben帳戶|Elsa帳戶|Ben代墊|Ariel代墊|中信銀行共用"")), ""內部轉帳(忽略)"",
  AND(E9481&lt;&gt;"""", F9481&lt;&gt;"""", N"&amp;"OT(REGEXMATCH(C9481, ""薪資""))), ""內部轉帳(忽略)"",
  REGEXMATCH(C9481, ""薪資""), ""薪資變動(不計入)"",
  REGEXMATCH(C9481, ""押金""), ""押金往來"",
  AND(E9481&lt;&gt;"""", F9481=""""), ""真實支出"",
  AND(E9481="""", F9481&lt;&gt;""""), ""真實收入"",
  TRUE, ""其他""
)"),"其他")</f>
        <v>其他</v>
      </c>
      <c r="K9481" s="270" t="str">
        <f t="shared" si="2"/>
        <v/>
      </c>
      <c r="L9481">
        <f t="shared" si="3"/>
        <v>0</v>
      </c>
    </row>
    <row r="9482">
      <c r="A9482" s="107"/>
      <c r="D9482" s="270"/>
      <c r="H9482" s="106" t="str">
        <f t="shared" si="1"/>
        <v/>
      </c>
      <c r="J9482" t="str">
        <f>IFERROR(__xludf.DUMMYFUNCTION("IFS(
  AND(REGEXMATCH(E9482, ""台銀籌備帳戶|玉山帳戶""), REGEXMATCH(C9482, ""薪資"")), ""分潤支出"",
  AND(REGEXMATCH(E9482, ""Ben帳戶|Elsa帳戶|Ben代墊|Ariel代墊|中信銀行共用""), REGEXMATCH(F9482, ""Ben帳戶|Elsa帳戶|Ben代墊|Ariel代墊|中信銀行共用"")), ""內部轉帳(忽略)"",
  AND(E9482&lt;&gt;"""", F9482&lt;&gt;"""", N"&amp;"OT(REGEXMATCH(C9482, ""薪資""))), ""內部轉帳(忽略)"",
  REGEXMATCH(C9482, ""薪資""), ""薪資變動(不計入)"",
  REGEXMATCH(C9482, ""押金""), ""押金往來"",
  AND(E9482&lt;&gt;"""", F9482=""""), ""真實支出"",
  AND(E9482="""", F9482&lt;&gt;""""), ""真實收入"",
  TRUE, ""其他""
)"),"其他")</f>
        <v>其他</v>
      </c>
      <c r="K9482" s="270" t="str">
        <f t="shared" si="2"/>
        <v/>
      </c>
      <c r="L9482">
        <f t="shared" si="3"/>
        <v>0</v>
      </c>
    </row>
    <row r="9483">
      <c r="A9483" s="107"/>
      <c r="D9483" s="270"/>
      <c r="H9483" s="106" t="str">
        <f t="shared" si="1"/>
        <v/>
      </c>
      <c r="J9483" t="str">
        <f>IFERROR(__xludf.DUMMYFUNCTION("IFS(
  AND(REGEXMATCH(E9483, ""台銀籌備帳戶|玉山帳戶""), REGEXMATCH(C9483, ""薪資"")), ""分潤支出"",
  AND(REGEXMATCH(E9483, ""Ben帳戶|Elsa帳戶|Ben代墊|Ariel代墊|中信銀行共用""), REGEXMATCH(F9483, ""Ben帳戶|Elsa帳戶|Ben代墊|Ariel代墊|中信銀行共用"")), ""內部轉帳(忽略)"",
  AND(E9483&lt;&gt;"""", F9483&lt;&gt;"""", N"&amp;"OT(REGEXMATCH(C9483, ""薪資""))), ""內部轉帳(忽略)"",
  REGEXMATCH(C9483, ""薪資""), ""薪資變動(不計入)"",
  REGEXMATCH(C9483, ""押金""), ""押金往來"",
  AND(E9483&lt;&gt;"""", F9483=""""), ""真實支出"",
  AND(E9483="""", F9483&lt;&gt;""""), ""真實收入"",
  TRUE, ""其他""
)"),"其他")</f>
        <v>其他</v>
      </c>
      <c r="K9483" s="270" t="str">
        <f t="shared" si="2"/>
        <v/>
      </c>
      <c r="L9483">
        <f t="shared" si="3"/>
        <v>0</v>
      </c>
    </row>
    <row r="9484">
      <c r="A9484" s="107"/>
      <c r="D9484" s="270"/>
      <c r="H9484" s="106" t="str">
        <f t="shared" si="1"/>
        <v/>
      </c>
      <c r="J9484" t="str">
        <f>IFERROR(__xludf.DUMMYFUNCTION("IFS(
  AND(REGEXMATCH(E9484, ""台銀籌備帳戶|玉山帳戶""), REGEXMATCH(C9484, ""薪資"")), ""分潤支出"",
  AND(REGEXMATCH(E9484, ""Ben帳戶|Elsa帳戶|Ben代墊|Ariel代墊|中信銀行共用""), REGEXMATCH(F9484, ""Ben帳戶|Elsa帳戶|Ben代墊|Ariel代墊|中信銀行共用"")), ""內部轉帳(忽略)"",
  AND(E9484&lt;&gt;"""", F9484&lt;&gt;"""", N"&amp;"OT(REGEXMATCH(C9484, ""薪資""))), ""內部轉帳(忽略)"",
  REGEXMATCH(C9484, ""薪資""), ""薪資變動(不計入)"",
  REGEXMATCH(C9484, ""押金""), ""押金往來"",
  AND(E9484&lt;&gt;"""", F9484=""""), ""真實支出"",
  AND(E9484="""", F9484&lt;&gt;""""), ""真實收入"",
  TRUE, ""其他""
)"),"其他")</f>
        <v>其他</v>
      </c>
      <c r="K9484" s="270" t="str">
        <f t="shared" si="2"/>
        <v/>
      </c>
      <c r="L9484">
        <f t="shared" si="3"/>
        <v>0</v>
      </c>
    </row>
    <row r="9485">
      <c r="A9485" s="107"/>
      <c r="D9485" s="270"/>
      <c r="H9485" s="106" t="str">
        <f t="shared" si="1"/>
        <v/>
      </c>
      <c r="J9485" t="str">
        <f>IFERROR(__xludf.DUMMYFUNCTION("IFS(
  AND(REGEXMATCH(E9485, ""台銀籌備帳戶|玉山帳戶""), REGEXMATCH(C9485, ""薪資"")), ""分潤支出"",
  AND(REGEXMATCH(E9485, ""Ben帳戶|Elsa帳戶|Ben代墊|Ariel代墊|中信銀行共用""), REGEXMATCH(F9485, ""Ben帳戶|Elsa帳戶|Ben代墊|Ariel代墊|中信銀行共用"")), ""內部轉帳(忽略)"",
  AND(E9485&lt;&gt;"""", F9485&lt;&gt;"""", N"&amp;"OT(REGEXMATCH(C9485, ""薪資""))), ""內部轉帳(忽略)"",
  REGEXMATCH(C9485, ""薪資""), ""薪資變動(不計入)"",
  REGEXMATCH(C9485, ""押金""), ""押金往來"",
  AND(E9485&lt;&gt;"""", F9485=""""), ""真實支出"",
  AND(E9485="""", F9485&lt;&gt;""""), ""真實收入"",
  TRUE, ""其他""
)"),"其他")</f>
        <v>其他</v>
      </c>
      <c r="K9485" s="270" t="str">
        <f t="shared" si="2"/>
        <v/>
      </c>
      <c r="L9485">
        <f t="shared" si="3"/>
        <v>0</v>
      </c>
    </row>
    <row r="9486">
      <c r="A9486" s="107"/>
      <c r="D9486" s="270"/>
      <c r="H9486" s="106" t="str">
        <f t="shared" si="1"/>
        <v/>
      </c>
      <c r="J9486" t="str">
        <f>IFERROR(__xludf.DUMMYFUNCTION("IFS(
  AND(REGEXMATCH(E9486, ""台銀籌備帳戶|玉山帳戶""), REGEXMATCH(C9486, ""薪資"")), ""分潤支出"",
  AND(REGEXMATCH(E9486, ""Ben帳戶|Elsa帳戶|Ben代墊|Ariel代墊|中信銀行共用""), REGEXMATCH(F9486, ""Ben帳戶|Elsa帳戶|Ben代墊|Ariel代墊|中信銀行共用"")), ""內部轉帳(忽略)"",
  AND(E9486&lt;&gt;"""", F9486&lt;&gt;"""", N"&amp;"OT(REGEXMATCH(C9486, ""薪資""))), ""內部轉帳(忽略)"",
  REGEXMATCH(C9486, ""薪資""), ""薪資變動(不計入)"",
  REGEXMATCH(C9486, ""押金""), ""押金往來"",
  AND(E9486&lt;&gt;"""", F9486=""""), ""真實支出"",
  AND(E9486="""", F9486&lt;&gt;""""), ""真實收入"",
  TRUE, ""其他""
)"),"其他")</f>
        <v>其他</v>
      </c>
      <c r="K9486" s="270" t="str">
        <f t="shared" si="2"/>
        <v/>
      </c>
      <c r="L9486">
        <f t="shared" si="3"/>
        <v>0</v>
      </c>
    </row>
    <row r="9487">
      <c r="A9487" s="107"/>
      <c r="D9487" s="270"/>
      <c r="H9487" s="106" t="str">
        <f t="shared" si="1"/>
        <v/>
      </c>
      <c r="J9487" t="str">
        <f>IFERROR(__xludf.DUMMYFUNCTION("IFS(
  AND(REGEXMATCH(E9487, ""台銀籌備帳戶|玉山帳戶""), REGEXMATCH(C9487, ""薪資"")), ""分潤支出"",
  AND(REGEXMATCH(E9487, ""Ben帳戶|Elsa帳戶|Ben代墊|Ariel代墊|中信銀行共用""), REGEXMATCH(F9487, ""Ben帳戶|Elsa帳戶|Ben代墊|Ariel代墊|中信銀行共用"")), ""內部轉帳(忽略)"",
  AND(E9487&lt;&gt;"""", F9487&lt;&gt;"""", N"&amp;"OT(REGEXMATCH(C9487, ""薪資""))), ""內部轉帳(忽略)"",
  REGEXMATCH(C9487, ""薪資""), ""薪資變動(不計入)"",
  REGEXMATCH(C9487, ""押金""), ""押金往來"",
  AND(E9487&lt;&gt;"""", F9487=""""), ""真實支出"",
  AND(E9487="""", F9487&lt;&gt;""""), ""真實收入"",
  TRUE, ""其他""
)"),"其他")</f>
        <v>其他</v>
      </c>
      <c r="K9487" s="270" t="str">
        <f t="shared" si="2"/>
        <v/>
      </c>
      <c r="L9487">
        <f t="shared" si="3"/>
        <v>0</v>
      </c>
    </row>
    <row r="9488">
      <c r="A9488" s="107"/>
      <c r="D9488" s="270"/>
      <c r="H9488" s="106" t="str">
        <f t="shared" si="1"/>
        <v/>
      </c>
      <c r="J9488" t="str">
        <f>IFERROR(__xludf.DUMMYFUNCTION("IFS(
  AND(REGEXMATCH(E9488, ""台銀籌備帳戶|玉山帳戶""), REGEXMATCH(C9488, ""薪資"")), ""分潤支出"",
  AND(REGEXMATCH(E9488, ""Ben帳戶|Elsa帳戶|Ben代墊|Ariel代墊|中信銀行共用""), REGEXMATCH(F9488, ""Ben帳戶|Elsa帳戶|Ben代墊|Ariel代墊|中信銀行共用"")), ""內部轉帳(忽略)"",
  AND(E9488&lt;&gt;"""", F9488&lt;&gt;"""", N"&amp;"OT(REGEXMATCH(C9488, ""薪資""))), ""內部轉帳(忽略)"",
  REGEXMATCH(C9488, ""薪資""), ""薪資變動(不計入)"",
  REGEXMATCH(C9488, ""押金""), ""押金往來"",
  AND(E9488&lt;&gt;"""", F9488=""""), ""真實支出"",
  AND(E9488="""", F9488&lt;&gt;""""), ""真實收入"",
  TRUE, ""其他""
)"),"其他")</f>
        <v>其他</v>
      </c>
      <c r="K9488" s="270" t="str">
        <f t="shared" si="2"/>
        <v/>
      </c>
      <c r="L9488">
        <f t="shared" si="3"/>
        <v>0</v>
      </c>
    </row>
    <row r="9489">
      <c r="A9489" s="107"/>
      <c r="D9489" s="270"/>
      <c r="H9489" s="106" t="str">
        <f t="shared" si="1"/>
        <v/>
      </c>
      <c r="J9489" t="str">
        <f>IFERROR(__xludf.DUMMYFUNCTION("IFS(
  AND(REGEXMATCH(E9489, ""台銀籌備帳戶|玉山帳戶""), REGEXMATCH(C9489, ""薪資"")), ""分潤支出"",
  AND(REGEXMATCH(E9489, ""Ben帳戶|Elsa帳戶|Ben代墊|Ariel代墊|中信銀行共用""), REGEXMATCH(F9489, ""Ben帳戶|Elsa帳戶|Ben代墊|Ariel代墊|中信銀行共用"")), ""內部轉帳(忽略)"",
  AND(E9489&lt;&gt;"""", F9489&lt;&gt;"""", N"&amp;"OT(REGEXMATCH(C9489, ""薪資""))), ""內部轉帳(忽略)"",
  REGEXMATCH(C9489, ""薪資""), ""薪資變動(不計入)"",
  REGEXMATCH(C9489, ""押金""), ""押金往來"",
  AND(E9489&lt;&gt;"""", F9489=""""), ""真實支出"",
  AND(E9489="""", F9489&lt;&gt;""""), ""真實收入"",
  TRUE, ""其他""
)"),"其他")</f>
        <v>其他</v>
      </c>
      <c r="K9489" s="270" t="str">
        <f t="shared" si="2"/>
        <v/>
      </c>
      <c r="L9489">
        <f t="shared" si="3"/>
        <v>0</v>
      </c>
    </row>
    <row r="9490">
      <c r="A9490" s="107"/>
      <c r="D9490" s="270"/>
      <c r="H9490" s="106" t="str">
        <f t="shared" si="1"/>
        <v/>
      </c>
      <c r="J9490" t="str">
        <f>IFERROR(__xludf.DUMMYFUNCTION("IFS(
  AND(REGEXMATCH(E9490, ""台銀籌備帳戶|玉山帳戶""), REGEXMATCH(C9490, ""薪資"")), ""分潤支出"",
  AND(REGEXMATCH(E9490, ""Ben帳戶|Elsa帳戶|Ben代墊|Ariel代墊|中信銀行共用""), REGEXMATCH(F9490, ""Ben帳戶|Elsa帳戶|Ben代墊|Ariel代墊|中信銀行共用"")), ""內部轉帳(忽略)"",
  AND(E9490&lt;&gt;"""", F9490&lt;&gt;"""", N"&amp;"OT(REGEXMATCH(C9490, ""薪資""))), ""內部轉帳(忽略)"",
  REGEXMATCH(C9490, ""薪資""), ""薪資變動(不計入)"",
  REGEXMATCH(C9490, ""押金""), ""押金往來"",
  AND(E9490&lt;&gt;"""", F9490=""""), ""真實支出"",
  AND(E9490="""", F9490&lt;&gt;""""), ""真實收入"",
  TRUE, ""其他""
)"),"其他")</f>
        <v>其他</v>
      </c>
      <c r="K9490" s="270" t="str">
        <f t="shared" si="2"/>
        <v/>
      </c>
      <c r="L9490">
        <f t="shared" si="3"/>
        <v>0</v>
      </c>
    </row>
    <row r="9491">
      <c r="A9491" s="107"/>
      <c r="D9491" s="270"/>
      <c r="H9491" s="106" t="str">
        <f t="shared" si="1"/>
        <v/>
      </c>
      <c r="J9491" t="str">
        <f>IFERROR(__xludf.DUMMYFUNCTION("IFS(
  AND(REGEXMATCH(E9491, ""台銀籌備帳戶|玉山帳戶""), REGEXMATCH(C9491, ""薪資"")), ""分潤支出"",
  AND(REGEXMATCH(E9491, ""Ben帳戶|Elsa帳戶|Ben代墊|Ariel代墊|中信銀行共用""), REGEXMATCH(F9491, ""Ben帳戶|Elsa帳戶|Ben代墊|Ariel代墊|中信銀行共用"")), ""內部轉帳(忽略)"",
  AND(E9491&lt;&gt;"""", F9491&lt;&gt;"""", N"&amp;"OT(REGEXMATCH(C9491, ""薪資""))), ""內部轉帳(忽略)"",
  REGEXMATCH(C9491, ""薪資""), ""薪資變動(不計入)"",
  REGEXMATCH(C9491, ""押金""), ""押金往來"",
  AND(E9491&lt;&gt;"""", F9491=""""), ""真實支出"",
  AND(E9491="""", F9491&lt;&gt;""""), ""真實收入"",
  TRUE, ""其他""
)"),"其他")</f>
        <v>其他</v>
      </c>
      <c r="K9491" s="270" t="str">
        <f t="shared" si="2"/>
        <v/>
      </c>
      <c r="L9491">
        <f t="shared" si="3"/>
        <v>0</v>
      </c>
    </row>
    <row r="9492">
      <c r="A9492" s="107"/>
      <c r="D9492" s="270"/>
      <c r="H9492" s="106" t="str">
        <f t="shared" si="1"/>
        <v/>
      </c>
      <c r="J9492" t="str">
        <f>IFERROR(__xludf.DUMMYFUNCTION("IFS(
  AND(REGEXMATCH(E9492, ""台銀籌備帳戶|玉山帳戶""), REGEXMATCH(C9492, ""薪資"")), ""分潤支出"",
  AND(REGEXMATCH(E9492, ""Ben帳戶|Elsa帳戶|Ben代墊|Ariel代墊|中信銀行共用""), REGEXMATCH(F9492, ""Ben帳戶|Elsa帳戶|Ben代墊|Ariel代墊|中信銀行共用"")), ""內部轉帳(忽略)"",
  AND(E9492&lt;&gt;"""", F9492&lt;&gt;"""", N"&amp;"OT(REGEXMATCH(C9492, ""薪資""))), ""內部轉帳(忽略)"",
  REGEXMATCH(C9492, ""薪資""), ""薪資變動(不計入)"",
  REGEXMATCH(C9492, ""押金""), ""押金往來"",
  AND(E9492&lt;&gt;"""", F9492=""""), ""真實支出"",
  AND(E9492="""", F9492&lt;&gt;""""), ""真實收入"",
  TRUE, ""其他""
)"),"其他")</f>
        <v>其他</v>
      </c>
      <c r="K9492" s="270" t="str">
        <f t="shared" si="2"/>
        <v/>
      </c>
      <c r="L9492">
        <f t="shared" si="3"/>
        <v>0</v>
      </c>
    </row>
    <row r="9493">
      <c r="A9493" s="107"/>
      <c r="D9493" s="270"/>
      <c r="H9493" s="106" t="str">
        <f t="shared" si="1"/>
        <v/>
      </c>
      <c r="J9493" t="str">
        <f>IFERROR(__xludf.DUMMYFUNCTION("IFS(
  AND(REGEXMATCH(E9493, ""台銀籌備帳戶|玉山帳戶""), REGEXMATCH(C9493, ""薪資"")), ""分潤支出"",
  AND(REGEXMATCH(E9493, ""Ben帳戶|Elsa帳戶|Ben代墊|Ariel代墊|中信銀行共用""), REGEXMATCH(F9493, ""Ben帳戶|Elsa帳戶|Ben代墊|Ariel代墊|中信銀行共用"")), ""內部轉帳(忽略)"",
  AND(E9493&lt;&gt;"""", F9493&lt;&gt;"""", N"&amp;"OT(REGEXMATCH(C9493, ""薪資""))), ""內部轉帳(忽略)"",
  REGEXMATCH(C9493, ""薪資""), ""薪資變動(不計入)"",
  REGEXMATCH(C9493, ""押金""), ""押金往來"",
  AND(E9493&lt;&gt;"""", F9493=""""), ""真實支出"",
  AND(E9493="""", F9493&lt;&gt;""""), ""真實收入"",
  TRUE, ""其他""
)"),"其他")</f>
        <v>其他</v>
      </c>
      <c r="K9493" s="270" t="str">
        <f t="shared" si="2"/>
        <v/>
      </c>
      <c r="L9493">
        <f t="shared" si="3"/>
        <v>0</v>
      </c>
    </row>
    <row r="9494">
      <c r="A9494" s="107"/>
      <c r="D9494" s="270"/>
      <c r="H9494" s="106" t="str">
        <f t="shared" si="1"/>
        <v/>
      </c>
      <c r="J9494" t="str">
        <f>IFERROR(__xludf.DUMMYFUNCTION("IFS(
  AND(REGEXMATCH(E9494, ""台銀籌備帳戶|玉山帳戶""), REGEXMATCH(C9494, ""薪資"")), ""分潤支出"",
  AND(REGEXMATCH(E9494, ""Ben帳戶|Elsa帳戶|Ben代墊|Ariel代墊|中信銀行共用""), REGEXMATCH(F9494, ""Ben帳戶|Elsa帳戶|Ben代墊|Ariel代墊|中信銀行共用"")), ""內部轉帳(忽略)"",
  AND(E9494&lt;&gt;"""", F9494&lt;&gt;"""", N"&amp;"OT(REGEXMATCH(C9494, ""薪資""))), ""內部轉帳(忽略)"",
  REGEXMATCH(C9494, ""薪資""), ""薪資變動(不計入)"",
  REGEXMATCH(C9494, ""押金""), ""押金往來"",
  AND(E9494&lt;&gt;"""", F9494=""""), ""真實支出"",
  AND(E9494="""", F9494&lt;&gt;""""), ""真實收入"",
  TRUE, ""其他""
)"),"其他")</f>
        <v>其他</v>
      </c>
      <c r="K9494" s="270" t="str">
        <f t="shared" si="2"/>
        <v/>
      </c>
      <c r="L9494">
        <f t="shared" si="3"/>
        <v>0</v>
      </c>
    </row>
    <row r="9495">
      <c r="A9495" s="107"/>
      <c r="D9495" s="270"/>
      <c r="H9495" s="106" t="str">
        <f t="shared" si="1"/>
        <v/>
      </c>
      <c r="J9495" t="str">
        <f>IFERROR(__xludf.DUMMYFUNCTION("IFS(
  AND(REGEXMATCH(E9495, ""台銀籌備帳戶|玉山帳戶""), REGEXMATCH(C9495, ""薪資"")), ""分潤支出"",
  AND(REGEXMATCH(E9495, ""Ben帳戶|Elsa帳戶|Ben代墊|Ariel代墊|中信銀行共用""), REGEXMATCH(F9495, ""Ben帳戶|Elsa帳戶|Ben代墊|Ariel代墊|中信銀行共用"")), ""內部轉帳(忽略)"",
  AND(E9495&lt;&gt;"""", F9495&lt;&gt;"""", N"&amp;"OT(REGEXMATCH(C9495, ""薪資""))), ""內部轉帳(忽略)"",
  REGEXMATCH(C9495, ""薪資""), ""薪資變動(不計入)"",
  REGEXMATCH(C9495, ""押金""), ""押金往來"",
  AND(E9495&lt;&gt;"""", F9495=""""), ""真實支出"",
  AND(E9495="""", F9495&lt;&gt;""""), ""真實收入"",
  TRUE, ""其他""
)"),"其他")</f>
        <v>其他</v>
      </c>
      <c r="K9495" s="270" t="str">
        <f t="shared" si="2"/>
        <v/>
      </c>
      <c r="L9495">
        <f t="shared" si="3"/>
        <v>0</v>
      </c>
    </row>
    <row r="9496">
      <c r="A9496" s="107"/>
      <c r="D9496" s="270"/>
      <c r="H9496" s="106" t="str">
        <f t="shared" si="1"/>
        <v/>
      </c>
      <c r="J9496" t="str">
        <f>IFERROR(__xludf.DUMMYFUNCTION("IFS(
  AND(REGEXMATCH(E9496, ""台銀籌備帳戶|玉山帳戶""), REGEXMATCH(C9496, ""薪資"")), ""分潤支出"",
  AND(REGEXMATCH(E9496, ""Ben帳戶|Elsa帳戶|Ben代墊|Ariel代墊|中信銀行共用""), REGEXMATCH(F9496, ""Ben帳戶|Elsa帳戶|Ben代墊|Ariel代墊|中信銀行共用"")), ""內部轉帳(忽略)"",
  AND(E9496&lt;&gt;"""", F9496&lt;&gt;"""", N"&amp;"OT(REGEXMATCH(C9496, ""薪資""))), ""內部轉帳(忽略)"",
  REGEXMATCH(C9496, ""薪資""), ""薪資變動(不計入)"",
  REGEXMATCH(C9496, ""押金""), ""押金往來"",
  AND(E9496&lt;&gt;"""", F9496=""""), ""真實支出"",
  AND(E9496="""", F9496&lt;&gt;""""), ""真實收入"",
  TRUE, ""其他""
)"),"其他")</f>
        <v>其他</v>
      </c>
      <c r="K9496" s="270" t="str">
        <f t="shared" si="2"/>
        <v/>
      </c>
      <c r="L9496">
        <f t="shared" si="3"/>
        <v>0</v>
      </c>
    </row>
    <row r="9497">
      <c r="A9497" s="107"/>
      <c r="D9497" s="270"/>
      <c r="H9497" s="106" t="str">
        <f t="shared" si="1"/>
        <v/>
      </c>
      <c r="J9497" t="str">
        <f>IFERROR(__xludf.DUMMYFUNCTION("IFS(
  AND(REGEXMATCH(E9497, ""台銀籌備帳戶|玉山帳戶""), REGEXMATCH(C9497, ""薪資"")), ""分潤支出"",
  AND(REGEXMATCH(E9497, ""Ben帳戶|Elsa帳戶|Ben代墊|Ariel代墊|中信銀行共用""), REGEXMATCH(F9497, ""Ben帳戶|Elsa帳戶|Ben代墊|Ariel代墊|中信銀行共用"")), ""內部轉帳(忽略)"",
  AND(E9497&lt;&gt;"""", F9497&lt;&gt;"""", N"&amp;"OT(REGEXMATCH(C9497, ""薪資""))), ""內部轉帳(忽略)"",
  REGEXMATCH(C9497, ""薪資""), ""薪資變動(不計入)"",
  REGEXMATCH(C9497, ""押金""), ""押金往來"",
  AND(E9497&lt;&gt;"""", F9497=""""), ""真實支出"",
  AND(E9497="""", F9497&lt;&gt;""""), ""真實收入"",
  TRUE, ""其他""
)"),"其他")</f>
        <v>其他</v>
      </c>
      <c r="K9497" s="270" t="str">
        <f t="shared" si="2"/>
        <v/>
      </c>
      <c r="L9497">
        <f t="shared" si="3"/>
        <v>0</v>
      </c>
    </row>
    <row r="9498">
      <c r="A9498" s="107"/>
      <c r="D9498" s="270"/>
      <c r="H9498" s="106" t="str">
        <f t="shared" si="1"/>
        <v/>
      </c>
      <c r="J9498" t="str">
        <f>IFERROR(__xludf.DUMMYFUNCTION("IFS(
  AND(REGEXMATCH(E9498, ""台銀籌備帳戶|玉山帳戶""), REGEXMATCH(C9498, ""薪資"")), ""分潤支出"",
  AND(REGEXMATCH(E9498, ""Ben帳戶|Elsa帳戶|Ben代墊|Ariel代墊|中信銀行共用""), REGEXMATCH(F9498, ""Ben帳戶|Elsa帳戶|Ben代墊|Ariel代墊|中信銀行共用"")), ""內部轉帳(忽略)"",
  AND(E9498&lt;&gt;"""", F9498&lt;&gt;"""", N"&amp;"OT(REGEXMATCH(C9498, ""薪資""))), ""內部轉帳(忽略)"",
  REGEXMATCH(C9498, ""薪資""), ""薪資變動(不計入)"",
  REGEXMATCH(C9498, ""押金""), ""押金往來"",
  AND(E9498&lt;&gt;"""", F9498=""""), ""真實支出"",
  AND(E9498="""", F9498&lt;&gt;""""), ""真實收入"",
  TRUE, ""其他""
)"),"其他")</f>
        <v>其他</v>
      </c>
      <c r="K9498" s="270" t="str">
        <f t="shared" si="2"/>
        <v/>
      </c>
      <c r="L9498">
        <f t="shared" si="3"/>
        <v>0</v>
      </c>
    </row>
    <row r="9499">
      <c r="A9499" s="107"/>
      <c r="D9499" s="270"/>
      <c r="H9499" s="106" t="str">
        <f t="shared" si="1"/>
        <v/>
      </c>
      <c r="J9499" t="str">
        <f>IFERROR(__xludf.DUMMYFUNCTION("IFS(
  AND(REGEXMATCH(E9499, ""台銀籌備帳戶|玉山帳戶""), REGEXMATCH(C9499, ""薪資"")), ""分潤支出"",
  AND(REGEXMATCH(E9499, ""Ben帳戶|Elsa帳戶|Ben代墊|Ariel代墊|中信銀行共用""), REGEXMATCH(F9499, ""Ben帳戶|Elsa帳戶|Ben代墊|Ariel代墊|中信銀行共用"")), ""內部轉帳(忽略)"",
  AND(E9499&lt;&gt;"""", F9499&lt;&gt;"""", N"&amp;"OT(REGEXMATCH(C9499, ""薪資""))), ""內部轉帳(忽略)"",
  REGEXMATCH(C9499, ""薪資""), ""薪資變動(不計入)"",
  REGEXMATCH(C9499, ""押金""), ""押金往來"",
  AND(E9499&lt;&gt;"""", F9499=""""), ""真實支出"",
  AND(E9499="""", F9499&lt;&gt;""""), ""真實收入"",
  TRUE, ""其他""
)"),"其他")</f>
        <v>其他</v>
      </c>
      <c r="K9499" s="270" t="str">
        <f t="shared" si="2"/>
        <v/>
      </c>
      <c r="L9499">
        <f t="shared" si="3"/>
        <v>0</v>
      </c>
    </row>
    <row r="9500">
      <c r="A9500" s="107"/>
      <c r="D9500" s="270"/>
      <c r="H9500" s="106" t="str">
        <f t="shared" si="1"/>
        <v/>
      </c>
      <c r="J9500" t="str">
        <f>IFERROR(__xludf.DUMMYFUNCTION("IFS(
  AND(REGEXMATCH(E9500, ""台銀籌備帳戶|玉山帳戶""), REGEXMATCH(C9500, ""薪資"")), ""分潤支出"",
  AND(REGEXMATCH(E9500, ""Ben帳戶|Elsa帳戶|Ben代墊|Ariel代墊|中信銀行共用""), REGEXMATCH(F9500, ""Ben帳戶|Elsa帳戶|Ben代墊|Ariel代墊|中信銀行共用"")), ""內部轉帳(忽略)"",
  AND(E9500&lt;&gt;"""", F9500&lt;&gt;"""", N"&amp;"OT(REGEXMATCH(C9500, ""薪資""))), ""內部轉帳(忽略)"",
  REGEXMATCH(C9500, ""薪資""), ""薪資變動(不計入)"",
  REGEXMATCH(C9500, ""押金""), ""押金往來"",
  AND(E9500&lt;&gt;"""", F9500=""""), ""真實支出"",
  AND(E9500="""", F9500&lt;&gt;""""), ""真實收入"",
  TRUE, ""其他""
)"),"其他")</f>
        <v>其他</v>
      </c>
      <c r="K9500" s="270" t="str">
        <f t="shared" si="2"/>
        <v/>
      </c>
      <c r="L9500">
        <f t="shared" si="3"/>
        <v>0</v>
      </c>
    </row>
    <row r="9501">
      <c r="A9501" s="107"/>
      <c r="D9501" s="270"/>
      <c r="H9501" s="106" t="str">
        <f t="shared" si="1"/>
        <v/>
      </c>
      <c r="J9501" t="str">
        <f>IFERROR(__xludf.DUMMYFUNCTION("IFS(
  AND(REGEXMATCH(E9501, ""台銀籌備帳戶|玉山帳戶""), REGEXMATCH(C9501, ""薪資"")), ""分潤支出"",
  AND(REGEXMATCH(E9501, ""Ben帳戶|Elsa帳戶|Ben代墊|Ariel代墊|中信銀行共用""), REGEXMATCH(F9501, ""Ben帳戶|Elsa帳戶|Ben代墊|Ariel代墊|中信銀行共用"")), ""內部轉帳(忽略)"",
  AND(E9501&lt;&gt;"""", F9501&lt;&gt;"""", N"&amp;"OT(REGEXMATCH(C9501, ""薪資""))), ""內部轉帳(忽略)"",
  REGEXMATCH(C9501, ""薪資""), ""薪資變動(不計入)"",
  REGEXMATCH(C9501, ""押金""), ""押金往來"",
  AND(E9501&lt;&gt;"""", F9501=""""), ""真實支出"",
  AND(E9501="""", F9501&lt;&gt;""""), ""真實收入"",
  TRUE, ""其他""
)"),"其他")</f>
        <v>其他</v>
      </c>
      <c r="K9501" s="270" t="str">
        <f t="shared" si="2"/>
        <v/>
      </c>
      <c r="L9501">
        <f t="shared" si="3"/>
        <v>0</v>
      </c>
    </row>
    <row r="9502">
      <c r="A9502" s="107"/>
      <c r="D9502" s="270"/>
      <c r="H9502" s="106" t="str">
        <f t="shared" si="1"/>
        <v/>
      </c>
      <c r="J9502" t="str">
        <f>IFERROR(__xludf.DUMMYFUNCTION("IFS(
  AND(REGEXMATCH(E9502, ""台銀籌備帳戶|玉山帳戶""), REGEXMATCH(C9502, ""薪資"")), ""分潤支出"",
  AND(REGEXMATCH(E9502, ""Ben帳戶|Elsa帳戶|Ben代墊|Ariel代墊|中信銀行共用""), REGEXMATCH(F9502, ""Ben帳戶|Elsa帳戶|Ben代墊|Ariel代墊|中信銀行共用"")), ""內部轉帳(忽略)"",
  AND(E9502&lt;&gt;"""", F9502&lt;&gt;"""", N"&amp;"OT(REGEXMATCH(C9502, ""薪資""))), ""內部轉帳(忽略)"",
  REGEXMATCH(C9502, ""薪資""), ""薪資變動(不計入)"",
  REGEXMATCH(C9502, ""押金""), ""押金往來"",
  AND(E9502&lt;&gt;"""", F9502=""""), ""真實支出"",
  AND(E9502="""", F9502&lt;&gt;""""), ""真實收入"",
  TRUE, ""其他""
)"),"其他")</f>
        <v>其他</v>
      </c>
      <c r="K9502" s="270" t="str">
        <f t="shared" si="2"/>
        <v/>
      </c>
      <c r="L9502">
        <f t="shared" si="3"/>
        <v>0</v>
      </c>
    </row>
    <row r="9503">
      <c r="A9503" s="107"/>
      <c r="D9503" s="270"/>
      <c r="H9503" s="106" t="str">
        <f t="shared" si="1"/>
        <v/>
      </c>
      <c r="J9503" t="str">
        <f>IFERROR(__xludf.DUMMYFUNCTION("IFS(
  AND(REGEXMATCH(E9503, ""台銀籌備帳戶|玉山帳戶""), REGEXMATCH(C9503, ""薪資"")), ""分潤支出"",
  AND(REGEXMATCH(E9503, ""Ben帳戶|Elsa帳戶|Ben代墊|Ariel代墊|中信銀行共用""), REGEXMATCH(F9503, ""Ben帳戶|Elsa帳戶|Ben代墊|Ariel代墊|中信銀行共用"")), ""內部轉帳(忽略)"",
  AND(E9503&lt;&gt;"""", F9503&lt;&gt;"""", N"&amp;"OT(REGEXMATCH(C9503, ""薪資""))), ""內部轉帳(忽略)"",
  REGEXMATCH(C9503, ""薪資""), ""薪資變動(不計入)"",
  REGEXMATCH(C9503, ""押金""), ""押金往來"",
  AND(E9503&lt;&gt;"""", F9503=""""), ""真實支出"",
  AND(E9503="""", F9503&lt;&gt;""""), ""真實收入"",
  TRUE, ""其他""
)"),"其他")</f>
        <v>其他</v>
      </c>
      <c r="K9503" s="270" t="str">
        <f t="shared" si="2"/>
        <v/>
      </c>
      <c r="L9503">
        <f t="shared" si="3"/>
        <v>0</v>
      </c>
    </row>
    <row r="9504">
      <c r="A9504" s="107"/>
      <c r="D9504" s="270"/>
      <c r="H9504" s="106" t="str">
        <f t="shared" si="1"/>
        <v/>
      </c>
      <c r="J9504" t="str">
        <f>IFERROR(__xludf.DUMMYFUNCTION("IFS(
  AND(REGEXMATCH(E9504, ""台銀籌備帳戶|玉山帳戶""), REGEXMATCH(C9504, ""薪資"")), ""分潤支出"",
  AND(REGEXMATCH(E9504, ""Ben帳戶|Elsa帳戶|Ben代墊|Ariel代墊|中信銀行共用""), REGEXMATCH(F9504, ""Ben帳戶|Elsa帳戶|Ben代墊|Ariel代墊|中信銀行共用"")), ""內部轉帳(忽略)"",
  AND(E9504&lt;&gt;"""", F9504&lt;&gt;"""", N"&amp;"OT(REGEXMATCH(C9504, ""薪資""))), ""內部轉帳(忽略)"",
  REGEXMATCH(C9504, ""薪資""), ""薪資變動(不計入)"",
  REGEXMATCH(C9504, ""押金""), ""押金往來"",
  AND(E9504&lt;&gt;"""", F9504=""""), ""真實支出"",
  AND(E9504="""", F9504&lt;&gt;""""), ""真實收入"",
  TRUE, ""其他""
)"),"其他")</f>
        <v>其他</v>
      </c>
      <c r="K9504" s="270" t="str">
        <f t="shared" si="2"/>
        <v/>
      </c>
      <c r="L9504">
        <f t="shared" si="3"/>
        <v>0</v>
      </c>
    </row>
    <row r="9505">
      <c r="A9505" s="107"/>
      <c r="D9505" s="270"/>
      <c r="H9505" s="106" t="str">
        <f t="shared" si="1"/>
        <v/>
      </c>
      <c r="J9505" t="str">
        <f>IFERROR(__xludf.DUMMYFUNCTION("IFS(
  AND(REGEXMATCH(E9505, ""台銀籌備帳戶|玉山帳戶""), REGEXMATCH(C9505, ""薪資"")), ""分潤支出"",
  AND(REGEXMATCH(E9505, ""Ben帳戶|Elsa帳戶|Ben代墊|Ariel代墊|中信銀行共用""), REGEXMATCH(F9505, ""Ben帳戶|Elsa帳戶|Ben代墊|Ariel代墊|中信銀行共用"")), ""內部轉帳(忽略)"",
  AND(E9505&lt;&gt;"""", F9505&lt;&gt;"""", N"&amp;"OT(REGEXMATCH(C9505, ""薪資""))), ""內部轉帳(忽略)"",
  REGEXMATCH(C9505, ""薪資""), ""薪資變動(不計入)"",
  REGEXMATCH(C9505, ""押金""), ""押金往來"",
  AND(E9505&lt;&gt;"""", F9505=""""), ""真實支出"",
  AND(E9505="""", F9505&lt;&gt;""""), ""真實收入"",
  TRUE, ""其他""
)"),"其他")</f>
        <v>其他</v>
      </c>
      <c r="K9505" s="270" t="str">
        <f t="shared" si="2"/>
        <v/>
      </c>
      <c r="L9505">
        <f t="shared" si="3"/>
        <v>0</v>
      </c>
    </row>
    <row r="9506">
      <c r="A9506" s="107"/>
      <c r="D9506" s="270"/>
      <c r="H9506" s="106" t="str">
        <f t="shared" si="1"/>
        <v/>
      </c>
      <c r="J9506" t="str">
        <f>IFERROR(__xludf.DUMMYFUNCTION("IFS(
  AND(REGEXMATCH(E9506, ""台銀籌備帳戶|玉山帳戶""), REGEXMATCH(C9506, ""薪資"")), ""分潤支出"",
  AND(REGEXMATCH(E9506, ""Ben帳戶|Elsa帳戶|Ben代墊|Ariel代墊|中信銀行共用""), REGEXMATCH(F9506, ""Ben帳戶|Elsa帳戶|Ben代墊|Ariel代墊|中信銀行共用"")), ""內部轉帳(忽略)"",
  AND(E9506&lt;&gt;"""", F9506&lt;&gt;"""", N"&amp;"OT(REGEXMATCH(C9506, ""薪資""))), ""內部轉帳(忽略)"",
  REGEXMATCH(C9506, ""薪資""), ""薪資變動(不計入)"",
  REGEXMATCH(C9506, ""押金""), ""押金往來"",
  AND(E9506&lt;&gt;"""", F9506=""""), ""真實支出"",
  AND(E9506="""", F9506&lt;&gt;""""), ""真實收入"",
  TRUE, ""其他""
)"),"其他")</f>
        <v>其他</v>
      </c>
      <c r="K9506" s="270" t="str">
        <f t="shared" si="2"/>
        <v/>
      </c>
      <c r="L9506">
        <f t="shared" si="3"/>
        <v>0</v>
      </c>
    </row>
    <row r="9507">
      <c r="A9507" s="107"/>
      <c r="D9507" s="270"/>
      <c r="H9507" s="106" t="str">
        <f t="shared" si="1"/>
        <v/>
      </c>
      <c r="J9507" t="str">
        <f>IFERROR(__xludf.DUMMYFUNCTION("IFS(
  AND(REGEXMATCH(E9507, ""台銀籌備帳戶|玉山帳戶""), REGEXMATCH(C9507, ""薪資"")), ""分潤支出"",
  AND(REGEXMATCH(E9507, ""Ben帳戶|Elsa帳戶|Ben代墊|Ariel代墊|中信銀行共用""), REGEXMATCH(F9507, ""Ben帳戶|Elsa帳戶|Ben代墊|Ariel代墊|中信銀行共用"")), ""內部轉帳(忽略)"",
  AND(E9507&lt;&gt;"""", F9507&lt;&gt;"""", N"&amp;"OT(REGEXMATCH(C9507, ""薪資""))), ""內部轉帳(忽略)"",
  REGEXMATCH(C9507, ""薪資""), ""薪資變動(不計入)"",
  REGEXMATCH(C9507, ""押金""), ""押金往來"",
  AND(E9507&lt;&gt;"""", F9507=""""), ""真實支出"",
  AND(E9507="""", F9507&lt;&gt;""""), ""真實收入"",
  TRUE, ""其他""
)"),"其他")</f>
        <v>其他</v>
      </c>
      <c r="K9507" s="270" t="str">
        <f t="shared" si="2"/>
        <v/>
      </c>
      <c r="L9507">
        <f t="shared" si="3"/>
        <v>0</v>
      </c>
    </row>
    <row r="9508">
      <c r="A9508" s="107"/>
      <c r="D9508" s="270"/>
      <c r="H9508" s="106" t="str">
        <f t="shared" si="1"/>
        <v/>
      </c>
      <c r="J9508" t="str">
        <f>IFERROR(__xludf.DUMMYFUNCTION("IFS(
  AND(REGEXMATCH(E9508, ""台銀籌備帳戶|玉山帳戶""), REGEXMATCH(C9508, ""薪資"")), ""分潤支出"",
  AND(REGEXMATCH(E9508, ""Ben帳戶|Elsa帳戶|Ben代墊|Ariel代墊|中信銀行共用""), REGEXMATCH(F9508, ""Ben帳戶|Elsa帳戶|Ben代墊|Ariel代墊|中信銀行共用"")), ""內部轉帳(忽略)"",
  AND(E9508&lt;&gt;"""", F9508&lt;&gt;"""", N"&amp;"OT(REGEXMATCH(C9508, ""薪資""))), ""內部轉帳(忽略)"",
  REGEXMATCH(C9508, ""薪資""), ""薪資變動(不計入)"",
  REGEXMATCH(C9508, ""押金""), ""押金往來"",
  AND(E9508&lt;&gt;"""", F9508=""""), ""真實支出"",
  AND(E9508="""", F9508&lt;&gt;""""), ""真實收入"",
  TRUE, ""其他""
)"),"其他")</f>
        <v>其他</v>
      </c>
      <c r="K9508" s="270" t="str">
        <f t="shared" si="2"/>
        <v/>
      </c>
      <c r="L9508">
        <f t="shared" si="3"/>
        <v>0</v>
      </c>
    </row>
    <row r="9509">
      <c r="A9509" s="107"/>
      <c r="D9509" s="270"/>
      <c r="H9509" s="106" t="str">
        <f t="shared" si="1"/>
        <v/>
      </c>
      <c r="J9509" t="str">
        <f>IFERROR(__xludf.DUMMYFUNCTION("IFS(
  AND(REGEXMATCH(E9509, ""台銀籌備帳戶|玉山帳戶""), REGEXMATCH(C9509, ""薪資"")), ""分潤支出"",
  AND(REGEXMATCH(E9509, ""Ben帳戶|Elsa帳戶|Ben代墊|Ariel代墊|中信銀行共用""), REGEXMATCH(F9509, ""Ben帳戶|Elsa帳戶|Ben代墊|Ariel代墊|中信銀行共用"")), ""內部轉帳(忽略)"",
  AND(E9509&lt;&gt;"""", F9509&lt;&gt;"""", N"&amp;"OT(REGEXMATCH(C9509, ""薪資""))), ""內部轉帳(忽略)"",
  REGEXMATCH(C9509, ""薪資""), ""薪資變動(不計入)"",
  REGEXMATCH(C9509, ""押金""), ""押金往來"",
  AND(E9509&lt;&gt;"""", F9509=""""), ""真實支出"",
  AND(E9509="""", F9509&lt;&gt;""""), ""真實收入"",
  TRUE, ""其他""
)"),"其他")</f>
        <v>其他</v>
      </c>
      <c r="K9509" s="270" t="str">
        <f t="shared" si="2"/>
        <v/>
      </c>
      <c r="L9509">
        <f t="shared" si="3"/>
        <v>0</v>
      </c>
    </row>
    <row r="9510">
      <c r="A9510" s="107"/>
      <c r="D9510" s="270"/>
      <c r="H9510" s="106" t="str">
        <f t="shared" si="1"/>
        <v/>
      </c>
      <c r="J9510" t="str">
        <f>IFERROR(__xludf.DUMMYFUNCTION("IFS(
  AND(REGEXMATCH(E9510, ""台銀籌備帳戶|玉山帳戶""), REGEXMATCH(C9510, ""薪資"")), ""分潤支出"",
  AND(REGEXMATCH(E9510, ""Ben帳戶|Elsa帳戶|Ben代墊|Ariel代墊|中信銀行共用""), REGEXMATCH(F9510, ""Ben帳戶|Elsa帳戶|Ben代墊|Ariel代墊|中信銀行共用"")), ""內部轉帳(忽略)"",
  AND(E9510&lt;&gt;"""", F9510&lt;&gt;"""", N"&amp;"OT(REGEXMATCH(C9510, ""薪資""))), ""內部轉帳(忽略)"",
  REGEXMATCH(C9510, ""薪資""), ""薪資變動(不計入)"",
  REGEXMATCH(C9510, ""押金""), ""押金往來"",
  AND(E9510&lt;&gt;"""", F9510=""""), ""真實支出"",
  AND(E9510="""", F9510&lt;&gt;""""), ""真實收入"",
  TRUE, ""其他""
)"),"其他")</f>
        <v>其他</v>
      </c>
      <c r="K9510" s="270" t="str">
        <f t="shared" si="2"/>
        <v/>
      </c>
      <c r="L9510">
        <f t="shared" si="3"/>
        <v>0</v>
      </c>
    </row>
    <row r="9511">
      <c r="A9511" s="107"/>
      <c r="D9511" s="270"/>
      <c r="H9511" s="106" t="str">
        <f t="shared" si="1"/>
        <v/>
      </c>
      <c r="J9511" t="str">
        <f>IFERROR(__xludf.DUMMYFUNCTION("IFS(
  AND(REGEXMATCH(E9511, ""台銀籌備帳戶|玉山帳戶""), REGEXMATCH(C9511, ""薪資"")), ""分潤支出"",
  AND(REGEXMATCH(E9511, ""Ben帳戶|Elsa帳戶|Ben代墊|Ariel代墊|中信銀行共用""), REGEXMATCH(F9511, ""Ben帳戶|Elsa帳戶|Ben代墊|Ariel代墊|中信銀行共用"")), ""內部轉帳(忽略)"",
  AND(E9511&lt;&gt;"""", F9511&lt;&gt;"""", N"&amp;"OT(REGEXMATCH(C9511, ""薪資""))), ""內部轉帳(忽略)"",
  REGEXMATCH(C9511, ""薪資""), ""薪資變動(不計入)"",
  REGEXMATCH(C9511, ""押金""), ""押金往來"",
  AND(E9511&lt;&gt;"""", F9511=""""), ""真實支出"",
  AND(E9511="""", F9511&lt;&gt;""""), ""真實收入"",
  TRUE, ""其他""
)"),"其他")</f>
        <v>其他</v>
      </c>
      <c r="K9511" s="270" t="str">
        <f t="shared" si="2"/>
        <v/>
      </c>
      <c r="L9511">
        <f t="shared" si="3"/>
        <v>0</v>
      </c>
    </row>
    <row r="9512">
      <c r="A9512" s="107"/>
      <c r="D9512" s="270"/>
      <c r="H9512" s="106" t="str">
        <f t="shared" si="1"/>
        <v/>
      </c>
      <c r="J9512" t="str">
        <f>IFERROR(__xludf.DUMMYFUNCTION("IFS(
  AND(REGEXMATCH(E9512, ""台銀籌備帳戶|玉山帳戶""), REGEXMATCH(C9512, ""薪資"")), ""分潤支出"",
  AND(REGEXMATCH(E9512, ""Ben帳戶|Elsa帳戶|Ben代墊|Ariel代墊|中信銀行共用""), REGEXMATCH(F9512, ""Ben帳戶|Elsa帳戶|Ben代墊|Ariel代墊|中信銀行共用"")), ""內部轉帳(忽略)"",
  AND(E9512&lt;&gt;"""", F9512&lt;&gt;"""", N"&amp;"OT(REGEXMATCH(C9512, ""薪資""))), ""內部轉帳(忽略)"",
  REGEXMATCH(C9512, ""薪資""), ""薪資變動(不計入)"",
  REGEXMATCH(C9512, ""押金""), ""押金往來"",
  AND(E9512&lt;&gt;"""", F9512=""""), ""真實支出"",
  AND(E9512="""", F9512&lt;&gt;""""), ""真實收入"",
  TRUE, ""其他""
)"),"其他")</f>
        <v>其他</v>
      </c>
      <c r="K9512" s="270" t="str">
        <f t="shared" si="2"/>
        <v/>
      </c>
      <c r="L9512">
        <f t="shared" si="3"/>
        <v>0</v>
      </c>
    </row>
    <row r="9513">
      <c r="A9513" s="107"/>
      <c r="D9513" s="270"/>
      <c r="H9513" s="106" t="str">
        <f t="shared" si="1"/>
        <v/>
      </c>
      <c r="J9513" t="str">
        <f>IFERROR(__xludf.DUMMYFUNCTION("IFS(
  AND(REGEXMATCH(E9513, ""台銀籌備帳戶|玉山帳戶""), REGEXMATCH(C9513, ""薪資"")), ""分潤支出"",
  AND(REGEXMATCH(E9513, ""Ben帳戶|Elsa帳戶|Ben代墊|Ariel代墊|中信銀行共用""), REGEXMATCH(F9513, ""Ben帳戶|Elsa帳戶|Ben代墊|Ariel代墊|中信銀行共用"")), ""內部轉帳(忽略)"",
  AND(E9513&lt;&gt;"""", F9513&lt;&gt;"""", N"&amp;"OT(REGEXMATCH(C9513, ""薪資""))), ""內部轉帳(忽略)"",
  REGEXMATCH(C9513, ""薪資""), ""薪資變動(不計入)"",
  REGEXMATCH(C9513, ""押金""), ""押金往來"",
  AND(E9513&lt;&gt;"""", F9513=""""), ""真實支出"",
  AND(E9513="""", F9513&lt;&gt;""""), ""真實收入"",
  TRUE, ""其他""
)"),"其他")</f>
        <v>其他</v>
      </c>
      <c r="K9513" s="270" t="str">
        <f t="shared" si="2"/>
        <v/>
      </c>
      <c r="L9513">
        <f t="shared" si="3"/>
        <v>0</v>
      </c>
    </row>
    <row r="9514">
      <c r="A9514" s="107"/>
      <c r="D9514" s="270"/>
      <c r="H9514" s="106" t="str">
        <f t="shared" si="1"/>
        <v/>
      </c>
      <c r="J9514" t="str">
        <f>IFERROR(__xludf.DUMMYFUNCTION("IFS(
  AND(REGEXMATCH(E9514, ""台銀籌備帳戶|玉山帳戶""), REGEXMATCH(C9514, ""薪資"")), ""分潤支出"",
  AND(REGEXMATCH(E9514, ""Ben帳戶|Elsa帳戶|Ben代墊|Ariel代墊|中信銀行共用""), REGEXMATCH(F9514, ""Ben帳戶|Elsa帳戶|Ben代墊|Ariel代墊|中信銀行共用"")), ""內部轉帳(忽略)"",
  AND(E9514&lt;&gt;"""", F9514&lt;&gt;"""", N"&amp;"OT(REGEXMATCH(C9514, ""薪資""))), ""內部轉帳(忽略)"",
  REGEXMATCH(C9514, ""薪資""), ""薪資變動(不計入)"",
  REGEXMATCH(C9514, ""押金""), ""押金往來"",
  AND(E9514&lt;&gt;"""", F9514=""""), ""真實支出"",
  AND(E9514="""", F9514&lt;&gt;""""), ""真實收入"",
  TRUE, ""其他""
)"),"其他")</f>
        <v>其他</v>
      </c>
      <c r="K9514" s="270" t="str">
        <f t="shared" si="2"/>
        <v/>
      </c>
      <c r="L9514">
        <f t="shared" si="3"/>
        <v>0</v>
      </c>
    </row>
    <row r="9515">
      <c r="A9515" s="107"/>
      <c r="D9515" s="270"/>
      <c r="H9515" s="106" t="str">
        <f t="shared" si="1"/>
        <v/>
      </c>
      <c r="J9515" t="str">
        <f>IFERROR(__xludf.DUMMYFUNCTION("IFS(
  AND(REGEXMATCH(E9515, ""台銀籌備帳戶|玉山帳戶""), REGEXMATCH(C9515, ""薪資"")), ""分潤支出"",
  AND(REGEXMATCH(E9515, ""Ben帳戶|Elsa帳戶|Ben代墊|Ariel代墊|中信銀行共用""), REGEXMATCH(F9515, ""Ben帳戶|Elsa帳戶|Ben代墊|Ariel代墊|中信銀行共用"")), ""內部轉帳(忽略)"",
  AND(E9515&lt;&gt;"""", F9515&lt;&gt;"""", N"&amp;"OT(REGEXMATCH(C9515, ""薪資""))), ""內部轉帳(忽略)"",
  REGEXMATCH(C9515, ""薪資""), ""薪資變動(不計入)"",
  REGEXMATCH(C9515, ""押金""), ""押金往來"",
  AND(E9515&lt;&gt;"""", F9515=""""), ""真實支出"",
  AND(E9515="""", F9515&lt;&gt;""""), ""真實收入"",
  TRUE, ""其他""
)"),"其他")</f>
        <v>其他</v>
      </c>
      <c r="K9515" s="270" t="str">
        <f t="shared" si="2"/>
        <v/>
      </c>
      <c r="L9515">
        <f t="shared" si="3"/>
        <v>0</v>
      </c>
    </row>
    <row r="9516">
      <c r="A9516" s="107"/>
      <c r="D9516" s="270"/>
      <c r="H9516" s="106" t="str">
        <f t="shared" si="1"/>
        <v/>
      </c>
      <c r="J9516" t="str">
        <f>IFERROR(__xludf.DUMMYFUNCTION("IFS(
  AND(REGEXMATCH(E9516, ""台銀籌備帳戶|玉山帳戶""), REGEXMATCH(C9516, ""薪資"")), ""分潤支出"",
  AND(REGEXMATCH(E9516, ""Ben帳戶|Elsa帳戶|Ben代墊|Ariel代墊|中信銀行共用""), REGEXMATCH(F9516, ""Ben帳戶|Elsa帳戶|Ben代墊|Ariel代墊|中信銀行共用"")), ""內部轉帳(忽略)"",
  AND(E9516&lt;&gt;"""", F9516&lt;&gt;"""", N"&amp;"OT(REGEXMATCH(C9516, ""薪資""))), ""內部轉帳(忽略)"",
  REGEXMATCH(C9516, ""薪資""), ""薪資變動(不計入)"",
  REGEXMATCH(C9516, ""押金""), ""押金往來"",
  AND(E9516&lt;&gt;"""", F9516=""""), ""真實支出"",
  AND(E9516="""", F9516&lt;&gt;""""), ""真實收入"",
  TRUE, ""其他""
)"),"其他")</f>
        <v>其他</v>
      </c>
      <c r="K9516" s="270" t="str">
        <f t="shared" si="2"/>
        <v/>
      </c>
      <c r="L9516">
        <f t="shared" si="3"/>
        <v>0</v>
      </c>
    </row>
    <row r="9517">
      <c r="A9517" s="107"/>
      <c r="D9517" s="270"/>
      <c r="H9517" s="106" t="str">
        <f t="shared" si="1"/>
        <v/>
      </c>
      <c r="J9517" t="str">
        <f>IFERROR(__xludf.DUMMYFUNCTION("IFS(
  AND(REGEXMATCH(E9517, ""台銀籌備帳戶|玉山帳戶""), REGEXMATCH(C9517, ""薪資"")), ""分潤支出"",
  AND(REGEXMATCH(E9517, ""Ben帳戶|Elsa帳戶|Ben代墊|Ariel代墊|中信銀行共用""), REGEXMATCH(F9517, ""Ben帳戶|Elsa帳戶|Ben代墊|Ariel代墊|中信銀行共用"")), ""內部轉帳(忽略)"",
  AND(E9517&lt;&gt;"""", F9517&lt;&gt;"""", N"&amp;"OT(REGEXMATCH(C9517, ""薪資""))), ""內部轉帳(忽略)"",
  REGEXMATCH(C9517, ""薪資""), ""薪資變動(不計入)"",
  REGEXMATCH(C9517, ""押金""), ""押金往來"",
  AND(E9517&lt;&gt;"""", F9517=""""), ""真實支出"",
  AND(E9517="""", F9517&lt;&gt;""""), ""真實收入"",
  TRUE, ""其他""
)"),"其他")</f>
        <v>其他</v>
      </c>
      <c r="K9517" s="270" t="str">
        <f t="shared" si="2"/>
        <v/>
      </c>
      <c r="L9517">
        <f t="shared" si="3"/>
        <v>0</v>
      </c>
    </row>
    <row r="9518">
      <c r="A9518" s="107"/>
      <c r="D9518" s="270"/>
      <c r="H9518" s="106" t="str">
        <f t="shared" si="1"/>
        <v/>
      </c>
      <c r="J9518" t="str">
        <f>IFERROR(__xludf.DUMMYFUNCTION("IFS(
  AND(REGEXMATCH(E9518, ""台銀籌備帳戶|玉山帳戶""), REGEXMATCH(C9518, ""薪資"")), ""分潤支出"",
  AND(REGEXMATCH(E9518, ""Ben帳戶|Elsa帳戶|Ben代墊|Ariel代墊|中信銀行共用""), REGEXMATCH(F9518, ""Ben帳戶|Elsa帳戶|Ben代墊|Ariel代墊|中信銀行共用"")), ""內部轉帳(忽略)"",
  AND(E9518&lt;&gt;"""", F9518&lt;&gt;"""", N"&amp;"OT(REGEXMATCH(C9518, ""薪資""))), ""內部轉帳(忽略)"",
  REGEXMATCH(C9518, ""薪資""), ""薪資變動(不計入)"",
  REGEXMATCH(C9518, ""押金""), ""押金往來"",
  AND(E9518&lt;&gt;"""", F9518=""""), ""真實支出"",
  AND(E9518="""", F9518&lt;&gt;""""), ""真實收入"",
  TRUE, ""其他""
)"),"其他")</f>
        <v>其他</v>
      </c>
      <c r="K9518" s="270" t="str">
        <f t="shared" si="2"/>
        <v/>
      </c>
      <c r="L9518">
        <f t="shared" si="3"/>
        <v>0</v>
      </c>
    </row>
    <row r="9519">
      <c r="A9519" s="107"/>
      <c r="D9519" s="270"/>
      <c r="H9519" s="106" t="str">
        <f t="shared" si="1"/>
        <v/>
      </c>
      <c r="J9519" t="str">
        <f>IFERROR(__xludf.DUMMYFUNCTION("IFS(
  AND(REGEXMATCH(E9519, ""台銀籌備帳戶|玉山帳戶""), REGEXMATCH(C9519, ""薪資"")), ""分潤支出"",
  AND(REGEXMATCH(E9519, ""Ben帳戶|Elsa帳戶|Ben代墊|Ariel代墊|中信銀行共用""), REGEXMATCH(F9519, ""Ben帳戶|Elsa帳戶|Ben代墊|Ariel代墊|中信銀行共用"")), ""內部轉帳(忽略)"",
  AND(E9519&lt;&gt;"""", F9519&lt;&gt;"""", N"&amp;"OT(REGEXMATCH(C9519, ""薪資""))), ""內部轉帳(忽略)"",
  REGEXMATCH(C9519, ""薪資""), ""薪資變動(不計入)"",
  REGEXMATCH(C9519, ""押金""), ""押金往來"",
  AND(E9519&lt;&gt;"""", F9519=""""), ""真實支出"",
  AND(E9519="""", F9519&lt;&gt;""""), ""真實收入"",
  TRUE, ""其他""
)"),"其他")</f>
        <v>其他</v>
      </c>
      <c r="K9519" s="270" t="str">
        <f t="shared" si="2"/>
        <v/>
      </c>
      <c r="L9519">
        <f t="shared" si="3"/>
        <v>0</v>
      </c>
    </row>
    <row r="9520">
      <c r="A9520" s="107"/>
      <c r="D9520" s="270"/>
      <c r="H9520" s="106" t="str">
        <f t="shared" si="1"/>
        <v/>
      </c>
      <c r="J9520" t="str">
        <f>IFERROR(__xludf.DUMMYFUNCTION("IFS(
  AND(REGEXMATCH(E9520, ""台銀籌備帳戶|玉山帳戶""), REGEXMATCH(C9520, ""薪資"")), ""分潤支出"",
  AND(REGEXMATCH(E9520, ""Ben帳戶|Elsa帳戶|Ben代墊|Ariel代墊|中信銀行共用""), REGEXMATCH(F9520, ""Ben帳戶|Elsa帳戶|Ben代墊|Ariel代墊|中信銀行共用"")), ""內部轉帳(忽略)"",
  AND(E9520&lt;&gt;"""", F9520&lt;&gt;"""", N"&amp;"OT(REGEXMATCH(C9520, ""薪資""))), ""內部轉帳(忽略)"",
  REGEXMATCH(C9520, ""薪資""), ""薪資變動(不計入)"",
  REGEXMATCH(C9520, ""押金""), ""押金往來"",
  AND(E9520&lt;&gt;"""", F9520=""""), ""真實支出"",
  AND(E9520="""", F9520&lt;&gt;""""), ""真實收入"",
  TRUE, ""其他""
)"),"其他")</f>
        <v>其他</v>
      </c>
      <c r="K9520" s="270" t="str">
        <f t="shared" si="2"/>
        <v/>
      </c>
      <c r="L9520">
        <f t="shared" si="3"/>
        <v>0</v>
      </c>
    </row>
    <row r="9521">
      <c r="A9521" s="107"/>
      <c r="D9521" s="270"/>
      <c r="H9521" s="106" t="str">
        <f t="shared" si="1"/>
        <v/>
      </c>
      <c r="J9521" t="str">
        <f>IFERROR(__xludf.DUMMYFUNCTION("IFS(
  AND(REGEXMATCH(E9521, ""台銀籌備帳戶|玉山帳戶""), REGEXMATCH(C9521, ""薪資"")), ""分潤支出"",
  AND(REGEXMATCH(E9521, ""Ben帳戶|Elsa帳戶|Ben代墊|Ariel代墊|中信銀行共用""), REGEXMATCH(F9521, ""Ben帳戶|Elsa帳戶|Ben代墊|Ariel代墊|中信銀行共用"")), ""內部轉帳(忽略)"",
  AND(E9521&lt;&gt;"""", F9521&lt;&gt;"""", N"&amp;"OT(REGEXMATCH(C9521, ""薪資""))), ""內部轉帳(忽略)"",
  REGEXMATCH(C9521, ""薪資""), ""薪資變動(不計入)"",
  REGEXMATCH(C9521, ""押金""), ""押金往來"",
  AND(E9521&lt;&gt;"""", F9521=""""), ""真實支出"",
  AND(E9521="""", F9521&lt;&gt;""""), ""真實收入"",
  TRUE, ""其他""
)"),"其他")</f>
        <v>其他</v>
      </c>
      <c r="K9521" s="270" t="str">
        <f t="shared" si="2"/>
        <v/>
      </c>
      <c r="L9521">
        <f t="shared" si="3"/>
        <v>0</v>
      </c>
    </row>
    <row r="9522">
      <c r="A9522" s="107"/>
      <c r="D9522" s="270"/>
      <c r="H9522" s="106" t="str">
        <f t="shared" si="1"/>
        <v/>
      </c>
      <c r="J9522" t="str">
        <f>IFERROR(__xludf.DUMMYFUNCTION("IFS(
  AND(REGEXMATCH(E9522, ""台銀籌備帳戶|玉山帳戶""), REGEXMATCH(C9522, ""薪資"")), ""分潤支出"",
  AND(REGEXMATCH(E9522, ""Ben帳戶|Elsa帳戶|Ben代墊|Ariel代墊|中信銀行共用""), REGEXMATCH(F9522, ""Ben帳戶|Elsa帳戶|Ben代墊|Ariel代墊|中信銀行共用"")), ""內部轉帳(忽略)"",
  AND(E9522&lt;&gt;"""", F9522&lt;&gt;"""", N"&amp;"OT(REGEXMATCH(C9522, ""薪資""))), ""內部轉帳(忽略)"",
  REGEXMATCH(C9522, ""薪資""), ""薪資變動(不計入)"",
  REGEXMATCH(C9522, ""押金""), ""押金往來"",
  AND(E9522&lt;&gt;"""", F9522=""""), ""真實支出"",
  AND(E9522="""", F9522&lt;&gt;""""), ""真實收入"",
  TRUE, ""其他""
)"),"其他")</f>
        <v>其他</v>
      </c>
      <c r="K9522" s="270" t="str">
        <f t="shared" si="2"/>
        <v/>
      </c>
      <c r="L9522">
        <f t="shared" si="3"/>
        <v>0</v>
      </c>
    </row>
    <row r="9523">
      <c r="A9523" s="107"/>
      <c r="D9523" s="270"/>
      <c r="H9523" s="106" t="str">
        <f t="shared" si="1"/>
        <v/>
      </c>
      <c r="J9523" t="str">
        <f>IFERROR(__xludf.DUMMYFUNCTION("IFS(
  AND(REGEXMATCH(E9523, ""台銀籌備帳戶|玉山帳戶""), REGEXMATCH(C9523, ""薪資"")), ""分潤支出"",
  AND(REGEXMATCH(E9523, ""Ben帳戶|Elsa帳戶|Ben代墊|Ariel代墊|中信銀行共用""), REGEXMATCH(F9523, ""Ben帳戶|Elsa帳戶|Ben代墊|Ariel代墊|中信銀行共用"")), ""內部轉帳(忽略)"",
  AND(E9523&lt;&gt;"""", F9523&lt;&gt;"""", N"&amp;"OT(REGEXMATCH(C9523, ""薪資""))), ""內部轉帳(忽略)"",
  REGEXMATCH(C9523, ""薪資""), ""薪資變動(不計入)"",
  REGEXMATCH(C9523, ""押金""), ""押金往來"",
  AND(E9523&lt;&gt;"""", F9523=""""), ""真實支出"",
  AND(E9523="""", F9523&lt;&gt;""""), ""真實收入"",
  TRUE, ""其他""
)"),"其他")</f>
        <v>其他</v>
      </c>
      <c r="K9523" s="270" t="str">
        <f t="shared" si="2"/>
        <v/>
      </c>
      <c r="L9523">
        <f t="shared" si="3"/>
        <v>0</v>
      </c>
    </row>
    <row r="9524">
      <c r="A9524" s="107"/>
      <c r="D9524" s="270"/>
      <c r="H9524" s="106" t="str">
        <f t="shared" si="1"/>
        <v/>
      </c>
      <c r="J9524" t="str">
        <f>IFERROR(__xludf.DUMMYFUNCTION("IFS(
  AND(REGEXMATCH(E9524, ""台銀籌備帳戶|玉山帳戶""), REGEXMATCH(C9524, ""薪資"")), ""分潤支出"",
  AND(REGEXMATCH(E9524, ""Ben帳戶|Elsa帳戶|Ben代墊|Ariel代墊|中信銀行共用""), REGEXMATCH(F9524, ""Ben帳戶|Elsa帳戶|Ben代墊|Ariel代墊|中信銀行共用"")), ""內部轉帳(忽略)"",
  AND(E9524&lt;&gt;"""", F9524&lt;&gt;"""", N"&amp;"OT(REGEXMATCH(C9524, ""薪資""))), ""內部轉帳(忽略)"",
  REGEXMATCH(C9524, ""薪資""), ""薪資變動(不計入)"",
  REGEXMATCH(C9524, ""押金""), ""押金往來"",
  AND(E9524&lt;&gt;"""", F9524=""""), ""真實支出"",
  AND(E9524="""", F9524&lt;&gt;""""), ""真實收入"",
  TRUE, ""其他""
)"),"其他")</f>
        <v>其他</v>
      </c>
      <c r="K9524" s="270" t="str">
        <f t="shared" si="2"/>
        <v/>
      </c>
      <c r="L9524">
        <f t="shared" si="3"/>
        <v>0</v>
      </c>
    </row>
    <row r="9525">
      <c r="A9525" s="107"/>
      <c r="D9525" s="270"/>
      <c r="H9525" s="106" t="str">
        <f t="shared" si="1"/>
        <v/>
      </c>
      <c r="J9525" t="str">
        <f>IFERROR(__xludf.DUMMYFUNCTION("IFS(
  AND(REGEXMATCH(E9525, ""台銀籌備帳戶|玉山帳戶""), REGEXMATCH(C9525, ""薪資"")), ""分潤支出"",
  AND(REGEXMATCH(E9525, ""Ben帳戶|Elsa帳戶|Ben代墊|Ariel代墊|中信銀行共用""), REGEXMATCH(F9525, ""Ben帳戶|Elsa帳戶|Ben代墊|Ariel代墊|中信銀行共用"")), ""內部轉帳(忽略)"",
  AND(E9525&lt;&gt;"""", F9525&lt;&gt;"""", N"&amp;"OT(REGEXMATCH(C9525, ""薪資""))), ""內部轉帳(忽略)"",
  REGEXMATCH(C9525, ""薪資""), ""薪資變動(不計入)"",
  REGEXMATCH(C9525, ""押金""), ""押金往來"",
  AND(E9525&lt;&gt;"""", F9525=""""), ""真實支出"",
  AND(E9525="""", F9525&lt;&gt;""""), ""真實收入"",
  TRUE, ""其他""
)"),"其他")</f>
        <v>其他</v>
      </c>
      <c r="K9525" s="270" t="str">
        <f t="shared" si="2"/>
        <v/>
      </c>
      <c r="L9525">
        <f t="shared" si="3"/>
        <v>0</v>
      </c>
    </row>
    <row r="9526">
      <c r="A9526" s="107"/>
      <c r="D9526" s="270"/>
      <c r="H9526" s="106" t="str">
        <f t="shared" si="1"/>
        <v/>
      </c>
      <c r="J9526" t="str">
        <f>IFERROR(__xludf.DUMMYFUNCTION("IFS(
  AND(REGEXMATCH(E9526, ""台銀籌備帳戶|玉山帳戶""), REGEXMATCH(C9526, ""薪資"")), ""分潤支出"",
  AND(REGEXMATCH(E9526, ""Ben帳戶|Elsa帳戶|Ben代墊|Ariel代墊|中信銀行共用""), REGEXMATCH(F9526, ""Ben帳戶|Elsa帳戶|Ben代墊|Ariel代墊|中信銀行共用"")), ""內部轉帳(忽略)"",
  AND(E9526&lt;&gt;"""", F9526&lt;&gt;"""", N"&amp;"OT(REGEXMATCH(C9526, ""薪資""))), ""內部轉帳(忽略)"",
  REGEXMATCH(C9526, ""薪資""), ""薪資變動(不計入)"",
  REGEXMATCH(C9526, ""押金""), ""押金往來"",
  AND(E9526&lt;&gt;"""", F9526=""""), ""真實支出"",
  AND(E9526="""", F9526&lt;&gt;""""), ""真實收入"",
  TRUE, ""其他""
)"),"其他")</f>
        <v>其他</v>
      </c>
      <c r="K9526" s="270" t="str">
        <f t="shared" si="2"/>
        <v/>
      </c>
      <c r="L9526">
        <f t="shared" si="3"/>
        <v>0</v>
      </c>
    </row>
    <row r="9527">
      <c r="A9527" s="107"/>
      <c r="D9527" s="270"/>
      <c r="H9527" s="106" t="str">
        <f t="shared" si="1"/>
        <v/>
      </c>
      <c r="J9527" t="str">
        <f>IFERROR(__xludf.DUMMYFUNCTION("IFS(
  AND(REGEXMATCH(E9527, ""台銀籌備帳戶|玉山帳戶""), REGEXMATCH(C9527, ""薪資"")), ""分潤支出"",
  AND(REGEXMATCH(E9527, ""Ben帳戶|Elsa帳戶|Ben代墊|Ariel代墊|中信銀行共用""), REGEXMATCH(F9527, ""Ben帳戶|Elsa帳戶|Ben代墊|Ariel代墊|中信銀行共用"")), ""內部轉帳(忽略)"",
  AND(E9527&lt;&gt;"""", F9527&lt;&gt;"""", N"&amp;"OT(REGEXMATCH(C9527, ""薪資""))), ""內部轉帳(忽略)"",
  REGEXMATCH(C9527, ""薪資""), ""薪資變動(不計入)"",
  REGEXMATCH(C9527, ""押金""), ""押金往來"",
  AND(E9527&lt;&gt;"""", F9527=""""), ""真實支出"",
  AND(E9527="""", F9527&lt;&gt;""""), ""真實收入"",
  TRUE, ""其他""
)"),"其他")</f>
        <v>其他</v>
      </c>
      <c r="K9527" s="270" t="str">
        <f t="shared" si="2"/>
        <v/>
      </c>
      <c r="L9527">
        <f t="shared" si="3"/>
        <v>0</v>
      </c>
    </row>
    <row r="9528">
      <c r="A9528" s="107"/>
      <c r="D9528" s="270"/>
      <c r="H9528" s="106" t="str">
        <f t="shared" si="1"/>
        <v/>
      </c>
      <c r="J9528" t="str">
        <f>IFERROR(__xludf.DUMMYFUNCTION("IFS(
  AND(REGEXMATCH(E9528, ""台銀籌備帳戶|玉山帳戶""), REGEXMATCH(C9528, ""薪資"")), ""分潤支出"",
  AND(REGEXMATCH(E9528, ""Ben帳戶|Elsa帳戶|Ben代墊|Ariel代墊|中信銀行共用""), REGEXMATCH(F9528, ""Ben帳戶|Elsa帳戶|Ben代墊|Ariel代墊|中信銀行共用"")), ""內部轉帳(忽略)"",
  AND(E9528&lt;&gt;"""", F9528&lt;&gt;"""", N"&amp;"OT(REGEXMATCH(C9528, ""薪資""))), ""內部轉帳(忽略)"",
  REGEXMATCH(C9528, ""薪資""), ""薪資變動(不計入)"",
  REGEXMATCH(C9528, ""押金""), ""押金往來"",
  AND(E9528&lt;&gt;"""", F9528=""""), ""真實支出"",
  AND(E9528="""", F9528&lt;&gt;""""), ""真實收入"",
  TRUE, ""其他""
)"),"其他")</f>
        <v>其他</v>
      </c>
      <c r="K9528" s="270" t="str">
        <f t="shared" si="2"/>
        <v/>
      </c>
      <c r="L9528">
        <f t="shared" si="3"/>
        <v>0</v>
      </c>
    </row>
    <row r="9529">
      <c r="A9529" s="107"/>
      <c r="D9529" s="270"/>
      <c r="H9529" s="106" t="str">
        <f t="shared" si="1"/>
        <v/>
      </c>
      <c r="J9529" t="str">
        <f>IFERROR(__xludf.DUMMYFUNCTION("IFS(
  AND(REGEXMATCH(E9529, ""台銀籌備帳戶|玉山帳戶""), REGEXMATCH(C9529, ""薪資"")), ""分潤支出"",
  AND(REGEXMATCH(E9529, ""Ben帳戶|Elsa帳戶|Ben代墊|Ariel代墊|中信銀行共用""), REGEXMATCH(F9529, ""Ben帳戶|Elsa帳戶|Ben代墊|Ariel代墊|中信銀行共用"")), ""內部轉帳(忽略)"",
  AND(E9529&lt;&gt;"""", F9529&lt;&gt;"""", N"&amp;"OT(REGEXMATCH(C9529, ""薪資""))), ""內部轉帳(忽略)"",
  REGEXMATCH(C9529, ""薪資""), ""薪資變動(不計入)"",
  REGEXMATCH(C9529, ""押金""), ""押金往來"",
  AND(E9529&lt;&gt;"""", F9529=""""), ""真實支出"",
  AND(E9529="""", F9529&lt;&gt;""""), ""真實收入"",
  TRUE, ""其他""
)"),"其他")</f>
        <v>其他</v>
      </c>
      <c r="K9529" s="270" t="str">
        <f t="shared" si="2"/>
        <v/>
      </c>
      <c r="L9529">
        <f t="shared" si="3"/>
        <v>0</v>
      </c>
    </row>
    <row r="9530">
      <c r="A9530" s="107"/>
      <c r="D9530" s="270"/>
      <c r="H9530" s="106" t="str">
        <f t="shared" si="1"/>
        <v/>
      </c>
      <c r="J9530" t="str">
        <f>IFERROR(__xludf.DUMMYFUNCTION("IFS(
  AND(REGEXMATCH(E9530, ""台銀籌備帳戶|玉山帳戶""), REGEXMATCH(C9530, ""薪資"")), ""分潤支出"",
  AND(REGEXMATCH(E9530, ""Ben帳戶|Elsa帳戶|Ben代墊|Ariel代墊|中信銀行共用""), REGEXMATCH(F9530, ""Ben帳戶|Elsa帳戶|Ben代墊|Ariel代墊|中信銀行共用"")), ""內部轉帳(忽略)"",
  AND(E9530&lt;&gt;"""", F9530&lt;&gt;"""", N"&amp;"OT(REGEXMATCH(C9530, ""薪資""))), ""內部轉帳(忽略)"",
  REGEXMATCH(C9530, ""薪資""), ""薪資變動(不計入)"",
  REGEXMATCH(C9530, ""押金""), ""押金往來"",
  AND(E9530&lt;&gt;"""", F9530=""""), ""真實支出"",
  AND(E9530="""", F9530&lt;&gt;""""), ""真實收入"",
  TRUE, ""其他""
)"),"其他")</f>
        <v>其他</v>
      </c>
      <c r="K9530" s="270" t="str">
        <f t="shared" si="2"/>
        <v/>
      </c>
      <c r="L9530">
        <f t="shared" si="3"/>
        <v>0</v>
      </c>
    </row>
    <row r="9531">
      <c r="A9531" s="107"/>
      <c r="D9531" s="270"/>
      <c r="H9531" s="106" t="str">
        <f t="shared" si="1"/>
        <v/>
      </c>
      <c r="J9531" t="str">
        <f>IFERROR(__xludf.DUMMYFUNCTION("IFS(
  AND(REGEXMATCH(E9531, ""台銀籌備帳戶|玉山帳戶""), REGEXMATCH(C9531, ""薪資"")), ""分潤支出"",
  AND(REGEXMATCH(E9531, ""Ben帳戶|Elsa帳戶|Ben代墊|Ariel代墊|中信銀行共用""), REGEXMATCH(F9531, ""Ben帳戶|Elsa帳戶|Ben代墊|Ariel代墊|中信銀行共用"")), ""內部轉帳(忽略)"",
  AND(E9531&lt;&gt;"""", F9531&lt;&gt;"""", N"&amp;"OT(REGEXMATCH(C9531, ""薪資""))), ""內部轉帳(忽略)"",
  REGEXMATCH(C9531, ""薪資""), ""薪資變動(不計入)"",
  REGEXMATCH(C9531, ""押金""), ""押金往來"",
  AND(E9531&lt;&gt;"""", F9531=""""), ""真實支出"",
  AND(E9531="""", F9531&lt;&gt;""""), ""真實收入"",
  TRUE, ""其他""
)"),"其他")</f>
        <v>其他</v>
      </c>
      <c r="K9531" s="270" t="str">
        <f t="shared" si="2"/>
        <v/>
      </c>
      <c r="L9531">
        <f t="shared" si="3"/>
        <v>0</v>
      </c>
    </row>
    <row r="9532">
      <c r="A9532" s="107"/>
      <c r="D9532" s="270"/>
      <c r="H9532" s="106" t="str">
        <f t="shared" si="1"/>
        <v/>
      </c>
      <c r="J9532" t="str">
        <f>IFERROR(__xludf.DUMMYFUNCTION("IFS(
  AND(REGEXMATCH(E9532, ""台銀籌備帳戶|玉山帳戶""), REGEXMATCH(C9532, ""薪資"")), ""分潤支出"",
  AND(REGEXMATCH(E9532, ""Ben帳戶|Elsa帳戶|Ben代墊|Ariel代墊|中信銀行共用""), REGEXMATCH(F9532, ""Ben帳戶|Elsa帳戶|Ben代墊|Ariel代墊|中信銀行共用"")), ""內部轉帳(忽略)"",
  AND(E9532&lt;&gt;"""", F9532&lt;&gt;"""", N"&amp;"OT(REGEXMATCH(C9532, ""薪資""))), ""內部轉帳(忽略)"",
  REGEXMATCH(C9532, ""薪資""), ""薪資變動(不計入)"",
  REGEXMATCH(C9532, ""押金""), ""押金往來"",
  AND(E9532&lt;&gt;"""", F9532=""""), ""真實支出"",
  AND(E9532="""", F9532&lt;&gt;""""), ""真實收入"",
  TRUE, ""其他""
)"),"其他")</f>
        <v>其他</v>
      </c>
      <c r="K9532" s="270" t="str">
        <f t="shared" si="2"/>
        <v/>
      </c>
      <c r="L9532">
        <f t="shared" si="3"/>
        <v>0</v>
      </c>
    </row>
    <row r="9533">
      <c r="A9533" s="107"/>
      <c r="D9533" s="270"/>
      <c r="H9533" s="106" t="str">
        <f t="shared" si="1"/>
        <v/>
      </c>
      <c r="J9533" t="str">
        <f>IFERROR(__xludf.DUMMYFUNCTION("IFS(
  AND(REGEXMATCH(E9533, ""台銀籌備帳戶|玉山帳戶""), REGEXMATCH(C9533, ""薪資"")), ""分潤支出"",
  AND(REGEXMATCH(E9533, ""Ben帳戶|Elsa帳戶|Ben代墊|Ariel代墊|中信銀行共用""), REGEXMATCH(F9533, ""Ben帳戶|Elsa帳戶|Ben代墊|Ariel代墊|中信銀行共用"")), ""內部轉帳(忽略)"",
  AND(E9533&lt;&gt;"""", F9533&lt;&gt;"""", N"&amp;"OT(REGEXMATCH(C9533, ""薪資""))), ""內部轉帳(忽略)"",
  REGEXMATCH(C9533, ""薪資""), ""薪資變動(不計入)"",
  REGEXMATCH(C9533, ""押金""), ""押金往來"",
  AND(E9533&lt;&gt;"""", F9533=""""), ""真實支出"",
  AND(E9533="""", F9533&lt;&gt;""""), ""真實收入"",
  TRUE, ""其他""
)"),"其他")</f>
        <v>其他</v>
      </c>
      <c r="K9533" s="270" t="str">
        <f t="shared" si="2"/>
        <v/>
      </c>
      <c r="L9533">
        <f t="shared" si="3"/>
        <v>0</v>
      </c>
    </row>
    <row r="9534">
      <c r="A9534" s="107"/>
      <c r="D9534" s="270"/>
      <c r="H9534" s="106" t="str">
        <f t="shared" si="1"/>
        <v/>
      </c>
      <c r="J9534" t="str">
        <f>IFERROR(__xludf.DUMMYFUNCTION("IFS(
  AND(REGEXMATCH(E9534, ""台銀籌備帳戶|玉山帳戶""), REGEXMATCH(C9534, ""薪資"")), ""分潤支出"",
  AND(REGEXMATCH(E9534, ""Ben帳戶|Elsa帳戶|Ben代墊|Ariel代墊|中信銀行共用""), REGEXMATCH(F9534, ""Ben帳戶|Elsa帳戶|Ben代墊|Ariel代墊|中信銀行共用"")), ""內部轉帳(忽略)"",
  AND(E9534&lt;&gt;"""", F9534&lt;&gt;"""", N"&amp;"OT(REGEXMATCH(C9534, ""薪資""))), ""內部轉帳(忽略)"",
  REGEXMATCH(C9534, ""薪資""), ""薪資變動(不計入)"",
  REGEXMATCH(C9534, ""押金""), ""押金往來"",
  AND(E9534&lt;&gt;"""", F9534=""""), ""真實支出"",
  AND(E9534="""", F9534&lt;&gt;""""), ""真實收入"",
  TRUE, ""其他""
)"),"其他")</f>
        <v>其他</v>
      </c>
      <c r="K9534" s="270" t="str">
        <f t="shared" si="2"/>
        <v/>
      </c>
      <c r="L9534">
        <f t="shared" si="3"/>
        <v>0</v>
      </c>
    </row>
    <row r="9535">
      <c r="A9535" s="107"/>
      <c r="D9535" s="270"/>
      <c r="H9535" s="106" t="str">
        <f t="shared" si="1"/>
        <v/>
      </c>
      <c r="J9535" t="str">
        <f>IFERROR(__xludf.DUMMYFUNCTION("IFS(
  AND(REGEXMATCH(E9535, ""台銀籌備帳戶|玉山帳戶""), REGEXMATCH(C9535, ""薪資"")), ""分潤支出"",
  AND(REGEXMATCH(E9535, ""Ben帳戶|Elsa帳戶|Ben代墊|Ariel代墊|中信銀行共用""), REGEXMATCH(F9535, ""Ben帳戶|Elsa帳戶|Ben代墊|Ariel代墊|中信銀行共用"")), ""內部轉帳(忽略)"",
  AND(E9535&lt;&gt;"""", F9535&lt;&gt;"""", N"&amp;"OT(REGEXMATCH(C9535, ""薪資""))), ""內部轉帳(忽略)"",
  REGEXMATCH(C9535, ""薪資""), ""薪資變動(不計入)"",
  REGEXMATCH(C9535, ""押金""), ""押金往來"",
  AND(E9535&lt;&gt;"""", F9535=""""), ""真實支出"",
  AND(E9535="""", F9535&lt;&gt;""""), ""真實收入"",
  TRUE, ""其他""
)"),"其他")</f>
        <v>其他</v>
      </c>
      <c r="K9535" s="270" t="str">
        <f t="shared" si="2"/>
        <v/>
      </c>
      <c r="L9535">
        <f t="shared" si="3"/>
        <v>0</v>
      </c>
    </row>
    <row r="9536">
      <c r="A9536" s="107"/>
      <c r="D9536" s="270"/>
      <c r="H9536" s="106" t="str">
        <f t="shared" si="1"/>
        <v/>
      </c>
      <c r="J9536" t="str">
        <f>IFERROR(__xludf.DUMMYFUNCTION("IFS(
  AND(REGEXMATCH(E9536, ""台銀籌備帳戶|玉山帳戶""), REGEXMATCH(C9536, ""薪資"")), ""分潤支出"",
  AND(REGEXMATCH(E9536, ""Ben帳戶|Elsa帳戶|Ben代墊|Ariel代墊|中信銀行共用""), REGEXMATCH(F9536, ""Ben帳戶|Elsa帳戶|Ben代墊|Ariel代墊|中信銀行共用"")), ""內部轉帳(忽略)"",
  AND(E9536&lt;&gt;"""", F9536&lt;&gt;"""", N"&amp;"OT(REGEXMATCH(C9536, ""薪資""))), ""內部轉帳(忽略)"",
  REGEXMATCH(C9536, ""薪資""), ""薪資變動(不計入)"",
  REGEXMATCH(C9536, ""押金""), ""押金往來"",
  AND(E9536&lt;&gt;"""", F9536=""""), ""真實支出"",
  AND(E9536="""", F9536&lt;&gt;""""), ""真實收入"",
  TRUE, ""其他""
)"),"其他")</f>
        <v>其他</v>
      </c>
      <c r="K9536" s="270" t="str">
        <f t="shared" si="2"/>
        <v/>
      </c>
      <c r="L9536">
        <f t="shared" si="3"/>
        <v>0</v>
      </c>
    </row>
    <row r="9537">
      <c r="A9537" s="107"/>
      <c r="D9537" s="270"/>
      <c r="H9537" s="106" t="str">
        <f t="shared" si="1"/>
        <v/>
      </c>
      <c r="J9537" t="str">
        <f>IFERROR(__xludf.DUMMYFUNCTION("IFS(
  AND(REGEXMATCH(E9537, ""台銀籌備帳戶|玉山帳戶""), REGEXMATCH(C9537, ""薪資"")), ""分潤支出"",
  AND(REGEXMATCH(E9537, ""Ben帳戶|Elsa帳戶|Ben代墊|Ariel代墊|中信銀行共用""), REGEXMATCH(F9537, ""Ben帳戶|Elsa帳戶|Ben代墊|Ariel代墊|中信銀行共用"")), ""內部轉帳(忽略)"",
  AND(E9537&lt;&gt;"""", F9537&lt;&gt;"""", N"&amp;"OT(REGEXMATCH(C9537, ""薪資""))), ""內部轉帳(忽略)"",
  REGEXMATCH(C9537, ""薪資""), ""薪資變動(不計入)"",
  REGEXMATCH(C9537, ""押金""), ""押金往來"",
  AND(E9537&lt;&gt;"""", F9537=""""), ""真實支出"",
  AND(E9537="""", F9537&lt;&gt;""""), ""真實收入"",
  TRUE, ""其他""
)"),"其他")</f>
        <v>其他</v>
      </c>
      <c r="K9537" s="270" t="str">
        <f t="shared" si="2"/>
        <v/>
      </c>
      <c r="L9537">
        <f t="shared" si="3"/>
        <v>0</v>
      </c>
    </row>
    <row r="9538">
      <c r="A9538" s="107"/>
      <c r="D9538" s="270"/>
      <c r="H9538" s="106" t="str">
        <f t="shared" si="1"/>
        <v/>
      </c>
      <c r="J9538" t="str">
        <f>IFERROR(__xludf.DUMMYFUNCTION("IFS(
  AND(REGEXMATCH(E9538, ""台銀籌備帳戶|玉山帳戶""), REGEXMATCH(C9538, ""薪資"")), ""分潤支出"",
  AND(REGEXMATCH(E9538, ""Ben帳戶|Elsa帳戶|Ben代墊|Ariel代墊|中信銀行共用""), REGEXMATCH(F9538, ""Ben帳戶|Elsa帳戶|Ben代墊|Ariel代墊|中信銀行共用"")), ""內部轉帳(忽略)"",
  AND(E9538&lt;&gt;"""", F9538&lt;&gt;"""", N"&amp;"OT(REGEXMATCH(C9538, ""薪資""))), ""內部轉帳(忽略)"",
  REGEXMATCH(C9538, ""薪資""), ""薪資變動(不計入)"",
  REGEXMATCH(C9538, ""押金""), ""押金往來"",
  AND(E9538&lt;&gt;"""", F9538=""""), ""真實支出"",
  AND(E9538="""", F9538&lt;&gt;""""), ""真實收入"",
  TRUE, ""其他""
)"),"其他")</f>
        <v>其他</v>
      </c>
      <c r="K9538" s="270" t="str">
        <f t="shared" si="2"/>
        <v/>
      </c>
      <c r="L9538">
        <f t="shared" si="3"/>
        <v>0</v>
      </c>
    </row>
    <row r="9539">
      <c r="A9539" s="107"/>
      <c r="D9539" s="270"/>
      <c r="H9539" s="106" t="str">
        <f t="shared" si="1"/>
        <v/>
      </c>
      <c r="J9539" t="str">
        <f>IFERROR(__xludf.DUMMYFUNCTION("IFS(
  AND(REGEXMATCH(E9539, ""台銀籌備帳戶|玉山帳戶""), REGEXMATCH(C9539, ""薪資"")), ""分潤支出"",
  AND(REGEXMATCH(E9539, ""Ben帳戶|Elsa帳戶|Ben代墊|Ariel代墊|中信銀行共用""), REGEXMATCH(F9539, ""Ben帳戶|Elsa帳戶|Ben代墊|Ariel代墊|中信銀行共用"")), ""內部轉帳(忽略)"",
  AND(E9539&lt;&gt;"""", F9539&lt;&gt;"""", N"&amp;"OT(REGEXMATCH(C9539, ""薪資""))), ""內部轉帳(忽略)"",
  REGEXMATCH(C9539, ""薪資""), ""薪資變動(不計入)"",
  REGEXMATCH(C9539, ""押金""), ""押金往來"",
  AND(E9539&lt;&gt;"""", F9539=""""), ""真實支出"",
  AND(E9539="""", F9539&lt;&gt;""""), ""真實收入"",
  TRUE, ""其他""
)"),"其他")</f>
        <v>其他</v>
      </c>
      <c r="K9539" s="270" t="str">
        <f t="shared" si="2"/>
        <v/>
      </c>
      <c r="L9539">
        <f t="shared" si="3"/>
        <v>0</v>
      </c>
    </row>
    <row r="9540">
      <c r="A9540" s="107"/>
      <c r="D9540" s="270"/>
      <c r="H9540" s="106" t="str">
        <f t="shared" si="1"/>
        <v/>
      </c>
      <c r="J9540" t="str">
        <f>IFERROR(__xludf.DUMMYFUNCTION("IFS(
  AND(REGEXMATCH(E9540, ""台銀籌備帳戶|玉山帳戶""), REGEXMATCH(C9540, ""薪資"")), ""分潤支出"",
  AND(REGEXMATCH(E9540, ""Ben帳戶|Elsa帳戶|Ben代墊|Ariel代墊|中信銀行共用""), REGEXMATCH(F9540, ""Ben帳戶|Elsa帳戶|Ben代墊|Ariel代墊|中信銀行共用"")), ""內部轉帳(忽略)"",
  AND(E9540&lt;&gt;"""", F9540&lt;&gt;"""", N"&amp;"OT(REGEXMATCH(C9540, ""薪資""))), ""內部轉帳(忽略)"",
  REGEXMATCH(C9540, ""薪資""), ""薪資變動(不計入)"",
  REGEXMATCH(C9540, ""押金""), ""押金往來"",
  AND(E9540&lt;&gt;"""", F9540=""""), ""真實支出"",
  AND(E9540="""", F9540&lt;&gt;""""), ""真實收入"",
  TRUE, ""其他""
)"),"其他")</f>
        <v>其他</v>
      </c>
      <c r="K9540" s="270" t="str">
        <f t="shared" si="2"/>
        <v/>
      </c>
      <c r="L9540">
        <f t="shared" si="3"/>
        <v>0</v>
      </c>
    </row>
    <row r="9541">
      <c r="A9541" s="107"/>
      <c r="D9541" s="270"/>
      <c r="H9541" s="106" t="str">
        <f t="shared" si="1"/>
        <v/>
      </c>
      <c r="J9541" t="str">
        <f>IFERROR(__xludf.DUMMYFUNCTION("IFS(
  AND(REGEXMATCH(E9541, ""台銀籌備帳戶|玉山帳戶""), REGEXMATCH(C9541, ""薪資"")), ""分潤支出"",
  AND(REGEXMATCH(E9541, ""Ben帳戶|Elsa帳戶|Ben代墊|Ariel代墊|中信銀行共用""), REGEXMATCH(F9541, ""Ben帳戶|Elsa帳戶|Ben代墊|Ariel代墊|中信銀行共用"")), ""內部轉帳(忽略)"",
  AND(E9541&lt;&gt;"""", F9541&lt;&gt;"""", N"&amp;"OT(REGEXMATCH(C9541, ""薪資""))), ""內部轉帳(忽略)"",
  REGEXMATCH(C9541, ""薪資""), ""薪資變動(不計入)"",
  REGEXMATCH(C9541, ""押金""), ""押金往來"",
  AND(E9541&lt;&gt;"""", F9541=""""), ""真實支出"",
  AND(E9541="""", F9541&lt;&gt;""""), ""真實收入"",
  TRUE, ""其他""
)"),"其他")</f>
        <v>其他</v>
      </c>
      <c r="K9541" s="270" t="str">
        <f t="shared" si="2"/>
        <v/>
      </c>
      <c r="L9541">
        <f t="shared" si="3"/>
        <v>0</v>
      </c>
    </row>
    <row r="9542">
      <c r="A9542" s="107"/>
      <c r="D9542" s="270"/>
      <c r="H9542" s="106" t="str">
        <f t="shared" si="1"/>
        <v/>
      </c>
      <c r="J9542" t="str">
        <f>IFERROR(__xludf.DUMMYFUNCTION("IFS(
  AND(REGEXMATCH(E9542, ""台銀籌備帳戶|玉山帳戶""), REGEXMATCH(C9542, ""薪資"")), ""分潤支出"",
  AND(REGEXMATCH(E9542, ""Ben帳戶|Elsa帳戶|Ben代墊|Ariel代墊|中信銀行共用""), REGEXMATCH(F9542, ""Ben帳戶|Elsa帳戶|Ben代墊|Ariel代墊|中信銀行共用"")), ""內部轉帳(忽略)"",
  AND(E9542&lt;&gt;"""", F9542&lt;&gt;"""", N"&amp;"OT(REGEXMATCH(C9542, ""薪資""))), ""內部轉帳(忽略)"",
  REGEXMATCH(C9542, ""薪資""), ""薪資變動(不計入)"",
  REGEXMATCH(C9542, ""押金""), ""押金往來"",
  AND(E9542&lt;&gt;"""", F9542=""""), ""真實支出"",
  AND(E9542="""", F9542&lt;&gt;""""), ""真實收入"",
  TRUE, ""其他""
)"),"其他")</f>
        <v>其他</v>
      </c>
      <c r="K9542" s="270" t="str">
        <f t="shared" si="2"/>
        <v/>
      </c>
      <c r="L9542">
        <f t="shared" si="3"/>
        <v>0</v>
      </c>
    </row>
    <row r="9543">
      <c r="A9543" s="107"/>
      <c r="D9543" s="270"/>
      <c r="H9543" s="106" t="str">
        <f t="shared" si="1"/>
        <v/>
      </c>
      <c r="J9543" t="str">
        <f>IFERROR(__xludf.DUMMYFUNCTION("IFS(
  AND(REGEXMATCH(E9543, ""台銀籌備帳戶|玉山帳戶""), REGEXMATCH(C9543, ""薪資"")), ""分潤支出"",
  AND(REGEXMATCH(E9543, ""Ben帳戶|Elsa帳戶|Ben代墊|Ariel代墊|中信銀行共用""), REGEXMATCH(F9543, ""Ben帳戶|Elsa帳戶|Ben代墊|Ariel代墊|中信銀行共用"")), ""內部轉帳(忽略)"",
  AND(E9543&lt;&gt;"""", F9543&lt;&gt;"""", N"&amp;"OT(REGEXMATCH(C9543, ""薪資""))), ""內部轉帳(忽略)"",
  REGEXMATCH(C9543, ""薪資""), ""薪資變動(不計入)"",
  REGEXMATCH(C9543, ""押金""), ""押金往來"",
  AND(E9543&lt;&gt;"""", F9543=""""), ""真實支出"",
  AND(E9543="""", F9543&lt;&gt;""""), ""真實收入"",
  TRUE, ""其他""
)"),"其他")</f>
        <v>其他</v>
      </c>
      <c r="K9543" s="270" t="str">
        <f t="shared" si="2"/>
        <v/>
      </c>
      <c r="L9543">
        <f t="shared" si="3"/>
        <v>0</v>
      </c>
    </row>
    <row r="9544">
      <c r="A9544" s="107"/>
      <c r="D9544" s="270"/>
      <c r="H9544" s="106" t="str">
        <f t="shared" si="1"/>
        <v/>
      </c>
      <c r="J9544" t="str">
        <f>IFERROR(__xludf.DUMMYFUNCTION("IFS(
  AND(REGEXMATCH(E9544, ""台銀籌備帳戶|玉山帳戶""), REGEXMATCH(C9544, ""薪資"")), ""分潤支出"",
  AND(REGEXMATCH(E9544, ""Ben帳戶|Elsa帳戶|Ben代墊|Ariel代墊|中信銀行共用""), REGEXMATCH(F9544, ""Ben帳戶|Elsa帳戶|Ben代墊|Ariel代墊|中信銀行共用"")), ""內部轉帳(忽略)"",
  AND(E9544&lt;&gt;"""", F9544&lt;&gt;"""", N"&amp;"OT(REGEXMATCH(C9544, ""薪資""))), ""內部轉帳(忽略)"",
  REGEXMATCH(C9544, ""薪資""), ""薪資變動(不計入)"",
  REGEXMATCH(C9544, ""押金""), ""押金往來"",
  AND(E9544&lt;&gt;"""", F9544=""""), ""真實支出"",
  AND(E9544="""", F9544&lt;&gt;""""), ""真實收入"",
  TRUE, ""其他""
)"),"其他")</f>
        <v>其他</v>
      </c>
      <c r="K9544" s="270" t="str">
        <f t="shared" si="2"/>
        <v/>
      </c>
      <c r="L9544">
        <f t="shared" si="3"/>
        <v>0</v>
      </c>
    </row>
    <row r="9545">
      <c r="A9545" s="107"/>
      <c r="D9545" s="270"/>
      <c r="H9545" s="106" t="str">
        <f t="shared" si="1"/>
        <v/>
      </c>
      <c r="J9545" t="str">
        <f>IFERROR(__xludf.DUMMYFUNCTION("IFS(
  AND(REGEXMATCH(E9545, ""台銀籌備帳戶|玉山帳戶""), REGEXMATCH(C9545, ""薪資"")), ""分潤支出"",
  AND(REGEXMATCH(E9545, ""Ben帳戶|Elsa帳戶|Ben代墊|Ariel代墊|中信銀行共用""), REGEXMATCH(F9545, ""Ben帳戶|Elsa帳戶|Ben代墊|Ariel代墊|中信銀行共用"")), ""內部轉帳(忽略)"",
  AND(E9545&lt;&gt;"""", F9545&lt;&gt;"""", N"&amp;"OT(REGEXMATCH(C9545, ""薪資""))), ""內部轉帳(忽略)"",
  REGEXMATCH(C9545, ""薪資""), ""薪資變動(不計入)"",
  REGEXMATCH(C9545, ""押金""), ""押金往來"",
  AND(E9545&lt;&gt;"""", F9545=""""), ""真實支出"",
  AND(E9545="""", F9545&lt;&gt;""""), ""真實收入"",
  TRUE, ""其他""
)"),"其他")</f>
        <v>其他</v>
      </c>
      <c r="K9545" s="270" t="str">
        <f t="shared" si="2"/>
        <v/>
      </c>
      <c r="L9545">
        <f t="shared" si="3"/>
        <v>0</v>
      </c>
    </row>
    <row r="9546">
      <c r="A9546" s="107"/>
      <c r="D9546" s="270"/>
      <c r="H9546" s="106" t="str">
        <f t="shared" si="1"/>
        <v/>
      </c>
      <c r="J9546" t="str">
        <f>IFERROR(__xludf.DUMMYFUNCTION("IFS(
  AND(REGEXMATCH(E9546, ""台銀籌備帳戶|玉山帳戶""), REGEXMATCH(C9546, ""薪資"")), ""分潤支出"",
  AND(REGEXMATCH(E9546, ""Ben帳戶|Elsa帳戶|Ben代墊|Ariel代墊|中信銀行共用""), REGEXMATCH(F9546, ""Ben帳戶|Elsa帳戶|Ben代墊|Ariel代墊|中信銀行共用"")), ""內部轉帳(忽略)"",
  AND(E9546&lt;&gt;"""", F9546&lt;&gt;"""", N"&amp;"OT(REGEXMATCH(C9546, ""薪資""))), ""內部轉帳(忽略)"",
  REGEXMATCH(C9546, ""薪資""), ""薪資變動(不計入)"",
  REGEXMATCH(C9546, ""押金""), ""押金往來"",
  AND(E9546&lt;&gt;"""", F9546=""""), ""真實支出"",
  AND(E9546="""", F9546&lt;&gt;""""), ""真實收入"",
  TRUE, ""其他""
)"),"其他")</f>
        <v>其他</v>
      </c>
      <c r="K9546" s="270" t="str">
        <f t="shared" si="2"/>
        <v/>
      </c>
      <c r="L9546">
        <f t="shared" si="3"/>
        <v>0</v>
      </c>
    </row>
    <row r="9547">
      <c r="A9547" s="107"/>
      <c r="D9547" s="270"/>
      <c r="H9547" s="106" t="str">
        <f t="shared" si="1"/>
        <v/>
      </c>
      <c r="J9547" t="str">
        <f>IFERROR(__xludf.DUMMYFUNCTION("IFS(
  AND(REGEXMATCH(E9547, ""台銀籌備帳戶|玉山帳戶""), REGEXMATCH(C9547, ""薪資"")), ""分潤支出"",
  AND(REGEXMATCH(E9547, ""Ben帳戶|Elsa帳戶|Ben代墊|Ariel代墊|中信銀行共用""), REGEXMATCH(F9547, ""Ben帳戶|Elsa帳戶|Ben代墊|Ariel代墊|中信銀行共用"")), ""內部轉帳(忽略)"",
  AND(E9547&lt;&gt;"""", F9547&lt;&gt;"""", N"&amp;"OT(REGEXMATCH(C9547, ""薪資""))), ""內部轉帳(忽略)"",
  REGEXMATCH(C9547, ""薪資""), ""薪資變動(不計入)"",
  REGEXMATCH(C9547, ""押金""), ""押金往來"",
  AND(E9547&lt;&gt;"""", F9547=""""), ""真實支出"",
  AND(E9547="""", F9547&lt;&gt;""""), ""真實收入"",
  TRUE, ""其他""
)"),"其他")</f>
        <v>其他</v>
      </c>
      <c r="K9547" s="270" t="str">
        <f t="shared" si="2"/>
        <v/>
      </c>
      <c r="L9547">
        <f t="shared" si="3"/>
        <v>0</v>
      </c>
    </row>
    <row r="9548">
      <c r="A9548" s="107"/>
      <c r="D9548" s="270"/>
      <c r="H9548" s="106" t="str">
        <f t="shared" si="1"/>
        <v/>
      </c>
      <c r="J9548" t="str">
        <f>IFERROR(__xludf.DUMMYFUNCTION("IFS(
  AND(REGEXMATCH(E9548, ""台銀籌備帳戶|玉山帳戶""), REGEXMATCH(C9548, ""薪資"")), ""分潤支出"",
  AND(REGEXMATCH(E9548, ""Ben帳戶|Elsa帳戶|Ben代墊|Ariel代墊|中信銀行共用""), REGEXMATCH(F9548, ""Ben帳戶|Elsa帳戶|Ben代墊|Ariel代墊|中信銀行共用"")), ""內部轉帳(忽略)"",
  AND(E9548&lt;&gt;"""", F9548&lt;&gt;"""", N"&amp;"OT(REGEXMATCH(C9548, ""薪資""))), ""內部轉帳(忽略)"",
  REGEXMATCH(C9548, ""薪資""), ""薪資變動(不計入)"",
  REGEXMATCH(C9548, ""押金""), ""押金往來"",
  AND(E9548&lt;&gt;"""", F9548=""""), ""真實支出"",
  AND(E9548="""", F9548&lt;&gt;""""), ""真實收入"",
  TRUE, ""其他""
)"),"其他")</f>
        <v>其他</v>
      </c>
      <c r="K9548" s="270" t="str">
        <f t="shared" si="2"/>
        <v/>
      </c>
      <c r="L9548">
        <f t="shared" si="3"/>
        <v>0</v>
      </c>
    </row>
    <row r="9549">
      <c r="A9549" s="107"/>
      <c r="D9549" s="270"/>
      <c r="H9549" s="106" t="str">
        <f t="shared" si="1"/>
        <v/>
      </c>
      <c r="J9549" t="str">
        <f>IFERROR(__xludf.DUMMYFUNCTION("IFS(
  AND(REGEXMATCH(E9549, ""台銀籌備帳戶|玉山帳戶""), REGEXMATCH(C9549, ""薪資"")), ""分潤支出"",
  AND(REGEXMATCH(E9549, ""Ben帳戶|Elsa帳戶|Ben代墊|Ariel代墊|中信銀行共用""), REGEXMATCH(F9549, ""Ben帳戶|Elsa帳戶|Ben代墊|Ariel代墊|中信銀行共用"")), ""內部轉帳(忽略)"",
  AND(E9549&lt;&gt;"""", F9549&lt;&gt;"""", N"&amp;"OT(REGEXMATCH(C9549, ""薪資""))), ""內部轉帳(忽略)"",
  REGEXMATCH(C9549, ""薪資""), ""薪資變動(不計入)"",
  REGEXMATCH(C9549, ""押金""), ""押金往來"",
  AND(E9549&lt;&gt;"""", F9549=""""), ""真實支出"",
  AND(E9549="""", F9549&lt;&gt;""""), ""真實收入"",
  TRUE, ""其他""
)"),"其他")</f>
        <v>其他</v>
      </c>
      <c r="K9549" s="270" t="str">
        <f t="shared" si="2"/>
        <v/>
      </c>
      <c r="L9549">
        <f t="shared" si="3"/>
        <v>0</v>
      </c>
    </row>
    <row r="9550">
      <c r="A9550" s="107"/>
      <c r="D9550" s="270"/>
      <c r="H9550" s="106" t="str">
        <f t="shared" si="1"/>
        <v/>
      </c>
      <c r="J9550" t="str">
        <f>IFERROR(__xludf.DUMMYFUNCTION("IFS(
  AND(REGEXMATCH(E9550, ""台銀籌備帳戶|玉山帳戶""), REGEXMATCH(C9550, ""薪資"")), ""分潤支出"",
  AND(REGEXMATCH(E9550, ""Ben帳戶|Elsa帳戶|Ben代墊|Ariel代墊|中信銀行共用""), REGEXMATCH(F9550, ""Ben帳戶|Elsa帳戶|Ben代墊|Ariel代墊|中信銀行共用"")), ""內部轉帳(忽略)"",
  AND(E9550&lt;&gt;"""", F9550&lt;&gt;"""", N"&amp;"OT(REGEXMATCH(C9550, ""薪資""))), ""內部轉帳(忽略)"",
  REGEXMATCH(C9550, ""薪資""), ""薪資變動(不計入)"",
  REGEXMATCH(C9550, ""押金""), ""押金往來"",
  AND(E9550&lt;&gt;"""", F9550=""""), ""真實支出"",
  AND(E9550="""", F9550&lt;&gt;""""), ""真實收入"",
  TRUE, ""其他""
)"),"其他")</f>
        <v>其他</v>
      </c>
      <c r="K9550" s="270" t="str">
        <f t="shared" si="2"/>
        <v/>
      </c>
      <c r="L9550">
        <f t="shared" si="3"/>
        <v>0</v>
      </c>
    </row>
    <row r="9551">
      <c r="A9551" s="107"/>
      <c r="D9551" s="270"/>
      <c r="H9551" s="106" t="str">
        <f t="shared" si="1"/>
        <v/>
      </c>
      <c r="J9551" t="str">
        <f>IFERROR(__xludf.DUMMYFUNCTION("IFS(
  AND(REGEXMATCH(E9551, ""台銀籌備帳戶|玉山帳戶""), REGEXMATCH(C9551, ""薪資"")), ""分潤支出"",
  AND(REGEXMATCH(E9551, ""Ben帳戶|Elsa帳戶|Ben代墊|Ariel代墊|中信銀行共用""), REGEXMATCH(F9551, ""Ben帳戶|Elsa帳戶|Ben代墊|Ariel代墊|中信銀行共用"")), ""內部轉帳(忽略)"",
  AND(E9551&lt;&gt;"""", F9551&lt;&gt;"""", N"&amp;"OT(REGEXMATCH(C9551, ""薪資""))), ""內部轉帳(忽略)"",
  REGEXMATCH(C9551, ""薪資""), ""薪資變動(不計入)"",
  REGEXMATCH(C9551, ""押金""), ""押金往來"",
  AND(E9551&lt;&gt;"""", F9551=""""), ""真實支出"",
  AND(E9551="""", F9551&lt;&gt;""""), ""真實收入"",
  TRUE, ""其他""
)"),"其他")</f>
        <v>其他</v>
      </c>
      <c r="K9551" s="270" t="str">
        <f t="shared" si="2"/>
        <v/>
      </c>
      <c r="L9551">
        <f t="shared" si="3"/>
        <v>0</v>
      </c>
    </row>
    <row r="9552">
      <c r="A9552" s="107"/>
      <c r="D9552" s="270"/>
      <c r="H9552" s="106" t="str">
        <f t="shared" si="1"/>
        <v/>
      </c>
      <c r="J9552" t="str">
        <f>IFERROR(__xludf.DUMMYFUNCTION("IFS(
  AND(REGEXMATCH(E9552, ""台銀籌備帳戶|玉山帳戶""), REGEXMATCH(C9552, ""薪資"")), ""分潤支出"",
  AND(REGEXMATCH(E9552, ""Ben帳戶|Elsa帳戶|Ben代墊|Ariel代墊|中信銀行共用""), REGEXMATCH(F9552, ""Ben帳戶|Elsa帳戶|Ben代墊|Ariel代墊|中信銀行共用"")), ""內部轉帳(忽略)"",
  AND(E9552&lt;&gt;"""", F9552&lt;&gt;"""", N"&amp;"OT(REGEXMATCH(C9552, ""薪資""))), ""內部轉帳(忽略)"",
  REGEXMATCH(C9552, ""薪資""), ""薪資變動(不計入)"",
  REGEXMATCH(C9552, ""押金""), ""押金往來"",
  AND(E9552&lt;&gt;"""", F9552=""""), ""真實支出"",
  AND(E9552="""", F9552&lt;&gt;""""), ""真實收入"",
  TRUE, ""其他""
)"),"其他")</f>
        <v>其他</v>
      </c>
      <c r="K9552" s="270" t="str">
        <f t="shared" si="2"/>
        <v/>
      </c>
      <c r="L9552">
        <f t="shared" si="3"/>
        <v>0</v>
      </c>
    </row>
    <row r="9553">
      <c r="A9553" s="107"/>
      <c r="D9553" s="270"/>
      <c r="H9553" s="106" t="str">
        <f t="shared" si="1"/>
        <v/>
      </c>
      <c r="J9553" t="str">
        <f>IFERROR(__xludf.DUMMYFUNCTION("IFS(
  AND(REGEXMATCH(E9553, ""台銀籌備帳戶|玉山帳戶""), REGEXMATCH(C9553, ""薪資"")), ""分潤支出"",
  AND(REGEXMATCH(E9553, ""Ben帳戶|Elsa帳戶|Ben代墊|Ariel代墊|中信銀行共用""), REGEXMATCH(F9553, ""Ben帳戶|Elsa帳戶|Ben代墊|Ariel代墊|中信銀行共用"")), ""內部轉帳(忽略)"",
  AND(E9553&lt;&gt;"""", F9553&lt;&gt;"""", N"&amp;"OT(REGEXMATCH(C9553, ""薪資""))), ""內部轉帳(忽略)"",
  REGEXMATCH(C9553, ""薪資""), ""薪資變動(不計入)"",
  REGEXMATCH(C9553, ""押金""), ""押金往來"",
  AND(E9553&lt;&gt;"""", F9553=""""), ""真實支出"",
  AND(E9553="""", F9553&lt;&gt;""""), ""真實收入"",
  TRUE, ""其他""
)"),"其他")</f>
        <v>其他</v>
      </c>
      <c r="K9553" s="270" t="str">
        <f t="shared" si="2"/>
        <v/>
      </c>
      <c r="L9553">
        <f t="shared" si="3"/>
        <v>0</v>
      </c>
    </row>
    <row r="9554">
      <c r="A9554" s="107"/>
      <c r="D9554" s="270"/>
      <c r="H9554" s="106" t="str">
        <f t="shared" si="1"/>
        <v/>
      </c>
      <c r="J9554" t="str">
        <f>IFERROR(__xludf.DUMMYFUNCTION("IFS(
  AND(REGEXMATCH(E9554, ""台銀籌備帳戶|玉山帳戶""), REGEXMATCH(C9554, ""薪資"")), ""分潤支出"",
  AND(REGEXMATCH(E9554, ""Ben帳戶|Elsa帳戶|Ben代墊|Ariel代墊|中信銀行共用""), REGEXMATCH(F9554, ""Ben帳戶|Elsa帳戶|Ben代墊|Ariel代墊|中信銀行共用"")), ""內部轉帳(忽略)"",
  AND(E9554&lt;&gt;"""", F9554&lt;&gt;"""", N"&amp;"OT(REGEXMATCH(C9554, ""薪資""))), ""內部轉帳(忽略)"",
  REGEXMATCH(C9554, ""薪資""), ""薪資變動(不計入)"",
  REGEXMATCH(C9554, ""押金""), ""押金往來"",
  AND(E9554&lt;&gt;"""", F9554=""""), ""真實支出"",
  AND(E9554="""", F9554&lt;&gt;""""), ""真實收入"",
  TRUE, ""其他""
)"),"其他")</f>
        <v>其他</v>
      </c>
      <c r="K9554" s="270" t="str">
        <f t="shared" si="2"/>
        <v/>
      </c>
      <c r="L9554">
        <f t="shared" si="3"/>
        <v>0</v>
      </c>
    </row>
    <row r="9555">
      <c r="A9555" s="107"/>
      <c r="D9555" s="270"/>
      <c r="H9555" s="106" t="str">
        <f t="shared" si="1"/>
        <v/>
      </c>
      <c r="J9555" t="str">
        <f>IFERROR(__xludf.DUMMYFUNCTION("IFS(
  AND(REGEXMATCH(E9555, ""台銀籌備帳戶|玉山帳戶""), REGEXMATCH(C9555, ""薪資"")), ""分潤支出"",
  AND(REGEXMATCH(E9555, ""Ben帳戶|Elsa帳戶|Ben代墊|Ariel代墊|中信銀行共用""), REGEXMATCH(F9555, ""Ben帳戶|Elsa帳戶|Ben代墊|Ariel代墊|中信銀行共用"")), ""內部轉帳(忽略)"",
  AND(E9555&lt;&gt;"""", F9555&lt;&gt;"""", N"&amp;"OT(REGEXMATCH(C9555, ""薪資""))), ""內部轉帳(忽略)"",
  REGEXMATCH(C9555, ""薪資""), ""薪資變動(不計入)"",
  REGEXMATCH(C9555, ""押金""), ""押金往來"",
  AND(E9555&lt;&gt;"""", F9555=""""), ""真實支出"",
  AND(E9555="""", F9555&lt;&gt;""""), ""真實收入"",
  TRUE, ""其他""
)"),"其他")</f>
        <v>其他</v>
      </c>
      <c r="K9555" s="270" t="str">
        <f t="shared" si="2"/>
        <v/>
      </c>
      <c r="L9555">
        <f t="shared" si="3"/>
        <v>0</v>
      </c>
    </row>
    <row r="9556">
      <c r="A9556" s="107"/>
      <c r="D9556" s="270"/>
      <c r="H9556" s="106" t="str">
        <f t="shared" si="1"/>
        <v/>
      </c>
      <c r="J9556" t="str">
        <f>IFERROR(__xludf.DUMMYFUNCTION("IFS(
  AND(REGEXMATCH(E9556, ""台銀籌備帳戶|玉山帳戶""), REGEXMATCH(C9556, ""薪資"")), ""分潤支出"",
  AND(REGEXMATCH(E9556, ""Ben帳戶|Elsa帳戶|Ben代墊|Ariel代墊|中信銀行共用""), REGEXMATCH(F9556, ""Ben帳戶|Elsa帳戶|Ben代墊|Ariel代墊|中信銀行共用"")), ""內部轉帳(忽略)"",
  AND(E9556&lt;&gt;"""", F9556&lt;&gt;"""", N"&amp;"OT(REGEXMATCH(C9556, ""薪資""))), ""內部轉帳(忽略)"",
  REGEXMATCH(C9556, ""薪資""), ""薪資變動(不計入)"",
  REGEXMATCH(C9556, ""押金""), ""押金往來"",
  AND(E9556&lt;&gt;"""", F9556=""""), ""真實支出"",
  AND(E9556="""", F9556&lt;&gt;""""), ""真實收入"",
  TRUE, ""其他""
)"),"其他")</f>
        <v>其他</v>
      </c>
      <c r="K9556" s="270" t="str">
        <f t="shared" si="2"/>
        <v/>
      </c>
      <c r="L9556">
        <f t="shared" si="3"/>
        <v>0</v>
      </c>
    </row>
    <row r="9557">
      <c r="A9557" s="107"/>
      <c r="D9557" s="270"/>
      <c r="H9557" s="106" t="str">
        <f t="shared" si="1"/>
        <v/>
      </c>
      <c r="J9557" t="str">
        <f>IFERROR(__xludf.DUMMYFUNCTION("IFS(
  AND(REGEXMATCH(E9557, ""台銀籌備帳戶|玉山帳戶""), REGEXMATCH(C9557, ""薪資"")), ""分潤支出"",
  AND(REGEXMATCH(E9557, ""Ben帳戶|Elsa帳戶|Ben代墊|Ariel代墊|中信銀行共用""), REGEXMATCH(F9557, ""Ben帳戶|Elsa帳戶|Ben代墊|Ariel代墊|中信銀行共用"")), ""內部轉帳(忽略)"",
  AND(E9557&lt;&gt;"""", F9557&lt;&gt;"""", N"&amp;"OT(REGEXMATCH(C9557, ""薪資""))), ""內部轉帳(忽略)"",
  REGEXMATCH(C9557, ""薪資""), ""薪資變動(不計入)"",
  REGEXMATCH(C9557, ""押金""), ""押金往來"",
  AND(E9557&lt;&gt;"""", F9557=""""), ""真實支出"",
  AND(E9557="""", F9557&lt;&gt;""""), ""真實收入"",
  TRUE, ""其他""
)"),"其他")</f>
        <v>其他</v>
      </c>
      <c r="K9557" s="270" t="str">
        <f t="shared" si="2"/>
        <v/>
      </c>
      <c r="L9557">
        <f t="shared" si="3"/>
        <v>0</v>
      </c>
    </row>
    <row r="9558">
      <c r="A9558" s="107"/>
      <c r="D9558" s="270"/>
      <c r="H9558" s="106" t="str">
        <f t="shared" si="1"/>
        <v/>
      </c>
      <c r="J9558" t="str">
        <f>IFERROR(__xludf.DUMMYFUNCTION("IFS(
  AND(REGEXMATCH(E9558, ""台銀籌備帳戶|玉山帳戶""), REGEXMATCH(C9558, ""薪資"")), ""分潤支出"",
  AND(REGEXMATCH(E9558, ""Ben帳戶|Elsa帳戶|Ben代墊|Ariel代墊|中信銀行共用""), REGEXMATCH(F9558, ""Ben帳戶|Elsa帳戶|Ben代墊|Ariel代墊|中信銀行共用"")), ""內部轉帳(忽略)"",
  AND(E9558&lt;&gt;"""", F9558&lt;&gt;"""", N"&amp;"OT(REGEXMATCH(C9558, ""薪資""))), ""內部轉帳(忽略)"",
  REGEXMATCH(C9558, ""薪資""), ""薪資變動(不計入)"",
  REGEXMATCH(C9558, ""押金""), ""押金往來"",
  AND(E9558&lt;&gt;"""", F9558=""""), ""真實支出"",
  AND(E9558="""", F9558&lt;&gt;""""), ""真實收入"",
  TRUE, ""其他""
)"),"其他")</f>
        <v>其他</v>
      </c>
      <c r="K9558" s="270" t="str">
        <f t="shared" si="2"/>
        <v/>
      </c>
      <c r="L9558">
        <f t="shared" si="3"/>
        <v>0</v>
      </c>
    </row>
    <row r="9559">
      <c r="A9559" s="107"/>
      <c r="D9559" s="270"/>
      <c r="H9559" s="106" t="str">
        <f t="shared" si="1"/>
        <v/>
      </c>
      <c r="J9559" t="str">
        <f>IFERROR(__xludf.DUMMYFUNCTION("IFS(
  AND(REGEXMATCH(E9559, ""台銀籌備帳戶|玉山帳戶""), REGEXMATCH(C9559, ""薪資"")), ""分潤支出"",
  AND(REGEXMATCH(E9559, ""Ben帳戶|Elsa帳戶|Ben代墊|Ariel代墊|中信銀行共用""), REGEXMATCH(F9559, ""Ben帳戶|Elsa帳戶|Ben代墊|Ariel代墊|中信銀行共用"")), ""內部轉帳(忽略)"",
  AND(E9559&lt;&gt;"""", F9559&lt;&gt;"""", N"&amp;"OT(REGEXMATCH(C9559, ""薪資""))), ""內部轉帳(忽略)"",
  REGEXMATCH(C9559, ""薪資""), ""薪資變動(不計入)"",
  REGEXMATCH(C9559, ""押金""), ""押金往來"",
  AND(E9559&lt;&gt;"""", F9559=""""), ""真實支出"",
  AND(E9559="""", F9559&lt;&gt;""""), ""真實收入"",
  TRUE, ""其他""
)"),"其他")</f>
        <v>其他</v>
      </c>
      <c r="K9559" s="270" t="str">
        <f t="shared" si="2"/>
        <v/>
      </c>
      <c r="L9559">
        <f t="shared" si="3"/>
        <v>0</v>
      </c>
    </row>
    <row r="9560">
      <c r="A9560" s="107"/>
      <c r="D9560" s="270"/>
      <c r="H9560" s="106" t="str">
        <f t="shared" si="1"/>
        <v/>
      </c>
      <c r="J9560" t="str">
        <f>IFERROR(__xludf.DUMMYFUNCTION("IFS(
  AND(REGEXMATCH(E9560, ""台銀籌備帳戶|玉山帳戶""), REGEXMATCH(C9560, ""薪資"")), ""分潤支出"",
  AND(REGEXMATCH(E9560, ""Ben帳戶|Elsa帳戶|Ben代墊|Ariel代墊|中信銀行共用""), REGEXMATCH(F9560, ""Ben帳戶|Elsa帳戶|Ben代墊|Ariel代墊|中信銀行共用"")), ""內部轉帳(忽略)"",
  AND(E9560&lt;&gt;"""", F9560&lt;&gt;"""", N"&amp;"OT(REGEXMATCH(C9560, ""薪資""))), ""內部轉帳(忽略)"",
  REGEXMATCH(C9560, ""薪資""), ""薪資變動(不計入)"",
  REGEXMATCH(C9560, ""押金""), ""押金往來"",
  AND(E9560&lt;&gt;"""", F9560=""""), ""真實支出"",
  AND(E9560="""", F9560&lt;&gt;""""), ""真實收入"",
  TRUE, ""其他""
)"),"其他")</f>
        <v>其他</v>
      </c>
      <c r="K9560" s="270" t="str">
        <f t="shared" si="2"/>
        <v/>
      </c>
      <c r="L9560">
        <f t="shared" si="3"/>
        <v>0</v>
      </c>
    </row>
    <row r="9561">
      <c r="A9561" s="107"/>
      <c r="D9561" s="270"/>
      <c r="H9561" s="106" t="str">
        <f t="shared" si="1"/>
        <v/>
      </c>
      <c r="J9561" t="str">
        <f>IFERROR(__xludf.DUMMYFUNCTION("IFS(
  AND(REGEXMATCH(E9561, ""台銀籌備帳戶|玉山帳戶""), REGEXMATCH(C9561, ""薪資"")), ""分潤支出"",
  AND(REGEXMATCH(E9561, ""Ben帳戶|Elsa帳戶|Ben代墊|Ariel代墊|中信銀行共用""), REGEXMATCH(F9561, ""Ben帳戶|Elsa帳戶|Ben代墊|Ariel代墊|中信銀行共用"")), ""內部轉帳(忽略)"",
  AND(E9561&lt;&gt;"""", F9561&lt;&gt;"""", N"&amp;"OT(REGEXMATCH(C9561, ""薪資""))), ""內部轉帳(忽略)"",
  REGEXMATCH(C9561, ""薪資""), ""薪資變動(不計入)"",
  REGEXMATCH(C9561, ""押金""), ""押金往來"",
  AND(E9561&lt;&gt;"""", F9561=""""), ""真實支出"",
  AND(E9561="""", F9561&lt;&gt;""""), ""真實收入"",
  TRUE, ""其他""
)"),"其他")</f>
        <v>其他</v>
      </c>
      <c r="K9561" s="270" t="str">
        <f t="shared" si="2"/>
        <v/>
      </c>
      <c r="L9561">
        <f t="shared" si="3"/>
        <v>0</v>
      </c>
    </row>
    <row r="9562">
      <c r="A9562" s="107"/>
      <c r="D9562" s="270"/>
      <c r="H9562" s="106" t="str">
        <f t="shared" si="1"/>
        <v/>
      </c>
      <c r="J9562" t="str">
        <f>IFERROR(__xludf.DUMMYFUNCTION("IFS(
  AND(REGEXMATCH(E9562, ""台銀籌備帳戶|玉山帳戶""), REGEXMATCH(C9562, ""薪資"")), ""分潤支出"",
  AND(REGEXMATCH(E9562, ""Ben帳戶|Elsa帳戶|Ben代墊|Ariel代墊|中信銀行共用""), REGEXMATCH(F9562, ""Ben帳戶|Elsa帳戶|Ben代墊|Ariel代墊|中信銀行共用"")), ""內部轉帳(忽略)"",
  AND(E9562&lt;&gt;"""", F9562&lt;&gt;"""", N"&amp;"OT(REGEXMATCH(C9562, ""薪資""))), ""內部轉帳(忽略)"",
  REGEXMATCH(C9562, ""薪資""), ""薪資變動(不計入)"",
  REGEXMATCH(C9562, ""押金""), ""押金往來"",
  AND(E9562&lt;&gt;"""", F9562=""""), ""真實支出"",
  AND(E9562="""", F9562&lt;&gt;""""), ""真實收入"",
  TRUE, ""其他""
)"),"其他")</f>
        <v>其他</v>
      </c>
      <c r="K9562" s="270" t="str">
        <f t="shared" si="2"/>
        <v/>
      </c>
      <c r="L9562">
        <f t="shared" si="3"/>
        <v>0</v>
      </c>
    </row>
    <row r="9563">
      <c r="A9563" s="107"/>
      <c r="D9563" s="270"/>
      <c r="H9563" s="106" t="str">
        <f t="shared" si="1"/>
        <v/>
      </c>
      <c r="J9563" t="str">
        <f>IFERROR(__xludf.DUMMYFUNCTION("IFS(
  AND(REGEXMATCH(E9563, ""台銀籌備帳戶|玉山帳戶""), REGEXMATCH(C9563, ""薪資"")), ""分潤支出"",
  AND(REGEXMATCH(E9563, ""Ben帳戶|Elsa帳戶|Ben代墊|Ariel代墊|中信銀行共用""), REGEXMATCH(F9563, ""Ben帳戶|Elsa帳戶|Ben代墊|Ariel代墊|中信銀行共用"")), ""內部轉帳(忽略)"",
  AND(E9563&lt;&gt;"""", F9563&lt;&gt;"""", N"&amp;"OT(REGEXMATCH(C9563, ""薪資""))), ""內部轉帳(忽略)"",
  REGEXMATCH(C9563, ""薪資""), ""薪資變動(不計入)"",
  REGEXMATCH(C9563, ""押金""), ""押金往來"",
  AND(E9563&lt;&gt;"""", F9563=""""), ""真實支出"",
  AND(E9563="""", F9563&lt;&gt;""""), ""真實收入"",
  TRUE, ""其他""
)"),"其他")</f>
        <v>其他</v>
      </c>
      <c r="K9563" s="270" t="str">
        <f t="shared" si="2"/>
        <v/>
      </c>
      <c r="L9563">
        <f t="shared" si="3"/>
        <v>0</v>
      </c>
    </row>
    <row r="9564">
      <c r="A9564" s="107"/>
      <c r="D9564" s="270"/>
      <c r="H9564" s="106" t="str">
        <f t="shared" si="1"/>
        <v/>
      </c>
      <c r="J9564" t="str">
        <f>IFERROR(__xludf.DUMMYFUNCTION("IFS(
  AND(REGEXMATCH(E9564, ""台銀籌備帳戶|玉山帳戶""), REGEXMATCH(C9564, ""薪資"")), ""分潤支出"",
  AND(REGEXMATCH(E9564, ""Ben帳戶|Elsa帳戶|Ben代墊|Ariel代墊|中信銀行共用""), REGEXMATCH(F9564, ""Ben帳戶|Elsa帳戶|Ben代墊|Ariel代墊|中信銀行共用"")), ""內部轉帳(忽略)"",
  AND(E9564&lt;&gt;"""", F9564&lt;&gt;"""", N"&amp;"OT(REGEXMATCH(C9564, ""薪資""))), ""內部轉帳(忽略)"",
  REGEXMATCH(C9564, ""薪資""), ""薪資變動(不計入)"",
  REGEXMATCH(C9564, ""押金""), ""押金往來"",
  AND(E9564&lt;&gt;"""", F9564=""""), ""真實支出"",
  AND(E9564="""", F9564&lt;&gt;""""), ""真實收入"",
  TRUE, ""其他""
)"),"其他")</f>
        <v>其他</v>
      </c>
      <c r="K9564" s="270" t="str">
        <f t="shared" si="2"/>
        <v/>
      </c>
      <c r="L9564">
        <f t="shared" si="3"/>
        <v>0</v>
      </c>
    </row>
    <row r="9565">
      <c r="A9565" s="107"/>
      <c r="D9565" s="270"/>
      <c r="H9565" s="106" t="str">
        <f t="shared" si="1"/>
        <v/>
      </c>
      <c r="J9565" t="str">
        <f>IFERROR(__xludf.DUMMYFUNCTION("IFS(
  AND(REGEXMATCH(E9565, ""台銀籌備帳戶|玉山帳戶""), REGEXMATCH(C9565, ""薪資"")), ""分潤支出"",
  AND(REGEXMATCH(E9565, ""Ben帳戶|Elsa帳戶|Ben代墊|Ariel代墊|中信銀行共用""), REGEXMATCH(F9565, ""Ben帳戶|Elsa帳戶|Ben代墊|Ariel代墊|中信銀行共用"")), ""內部轉帳(忽略)"",
  AND(E9565&lt;&gt;"""", F9565&lt;&gt;"""", N"&amp;"OT(REGEXMATCH(C9565, ""薪資""))), ""內部轉帳(忽略)"",
  REGEXMATCH(C9565, ""薪資""), ""薪資變動(不計入)"",
  REGEXMATCH(C9565, ""押金""), ""押金往來"",
  AND(E9565&lt;&gt;"""", F9565=""""), ""真實支出"",
  AND(E9565="""", F9565&lt;&gt;""""), ""真實收入"",
  TRUE, ""其他""
)"),"其他")</f>
        <v>其他</v>
      </c>
      <c r="K9565" s="270" t="str">
        <f t="shared" si="2"/>
        <v/>
      </c>
      <c r="L9565">
        <f t="shared" si="3"/>
        <v>0</v>
      </c>
    </row>
    <row r="9566">
      <c r="A9566" s="107"/>
      <c r="D9566" s="270"/>
      <c r="H9566" s="106" t="str">
        <f t="shared" si="1"/>
        <v/>
      </c>
      <c r="J9566" t="str">
        <f>IFERROR(__xludf.DUMMYFUNCTION("IFS(
  AND(REGEXMATCH(E9566, ""台銀籌備帳戶|玉山帳戶""), REGEXMATCH(C9566, ""薪資"")), ""分潤支出"",
  AND(REGEXMATCH(E9566, ""Ben帳戶|Elsa帳戶|Ben代墊|Ariel代墊|中信銀行共用""), REGEXMATCH(F9566, ""Ben帳戶|Elsa帳戶|Ben代墊|Ariel代墊|中信銀行共用"")), ""內部轉帳(忽略)"",
  AND(E9566&lt;&gt;"""", F9566&lt;&gt;"""", N"&amp;"OT(REGEXMATCH(C9566, ""薪資""))), ""內部轉帳(忽略)"",
  REGEXMATCH(C9566, ""薪資""), ""薪資變動(不計入)"",
  REGEXMATCH(C9566, ""押金""), ""押金往來"",
  AND(E9566&lt;&gt;"""", F9566=""""), ""真實支出"",
  AND(E9566="""", F9566&lt;&gt;""""), ""真實收入"",
  TRUE, ""其他""
)"),"其他")</f>
        <v>其他</v>
      </c>
      <c r="K9566" s="270" t="str">
        <f t="shared" si="2"/>
        <v/>
      </c>
      <c r="L9566">
        <f t="shared" si="3"/>
        <v>0</v>
      </c>
    </row>
    <row r="9567">
      <c r="A9567" s="107"/>
      <c r="D9567" s="270"/>
      <c r="H9567" s="106" t="str">
        <f t="shared" si="1"/>
        <v/>
      </c>
      <c r="J9567" t="str">
        <f>IFERROR(__xludf.DUMMYFUNCTION("IFS(
  AND(REGEXMATCH(E9567, ""台銀籌備帳戶|玉山帳戶""), REGEXMATCH(C9567, ""薪資"")), ""分潤支出"",
  AND(REGEXMATCH(E9567, ""Ben帳戶|Elsa帳戶|Ben代墊|Ariel代墊|中信銀行共用""), REGEXMATCH(F9567, ""Ben帳戶|Elsa帳戶|Ben代墊|Ariel代墊|中信銀行共用"")), ""內部轉帳(忽略)"",
  AND(E9567&lt;&gt;"""", F9567&lt;&gt;"""", N"&amp;"OT(REGEXMATCH(C9567, ""薪資""))), ""內部轉帳(忽略)"",
  REGEXMATCH(C9567, ""薪資""), ""薪資變動(不計入)"",
  REGEXMATCH(C9567, ""押金""), ""押金往來"",
  AND(E9567&lt;&gt;"""", F9567=""""), ""真實支出"",
  AND(E9567="""", F9567&lt;&gt;""""), ""真實收入"",
  TRUE, ""其他""
)"),"其他")</f>
        <v>其他</v>
      </c>
      <c r="K9567" s="270" t="str">
        <f t="shared" si="2"/>
        <v/>
      </c>
      <c r="L9567">
        <f t="shared" si="3"/>
        <v>0</v>
      </c>
    </row>
    <row r="9568">
      <c r="A9568" s="107"/>
      <c r="D9568" s="270"/>
      <c r="H9568" s="106" t="str">
        <f t="shared" si="1"/>
        <v/>
      </c>
      <c r="J9568" t="str">
        <f>IFERROR(__xludf.DUMMYFUNCTION("IFS(
  AND(REGEXMATCH(E9568, ""台銀籌備帳戶|玉山帳戶""), REGEXMATCH(C9568, ""薪資"")), ""分潤支出"",
  AND(REGEXMATCH(E9568, ""Ben帳戶|Elsa帳戶|Ben代墊|Ariel代墊|中信銀行共用""), REGEXMATCH(F9568, ""Ben帳戶|Elsa帳戶|Ben代墊|Ariel代墊|中信銀行共用"")), ""內部轉帳(忽略)"",
  AND(E9568&lt;&gt;"""", F9568&lt;&gt;"""", N"&amp;"OT(REGEXMATCH(C9568, ""薪資""))), ""內部轉帳(忽略)"",
  REGEXMATCH(C9568, ""薪資""), ""薪資變動(不計入)"",
  REGEXMATCH(C9568, ""押金""), ""押金往來"",
  AND(E9568&lt;&gt;"""", F9568=""""), ""真實支出"",
  AND(E9568="""", F9568&lt;&gt;""""), ""真實收入"",
  TRUE, ""其他""
)"),"其他")</f>
        <v>其他</v>
      </c>
      <c r="K9568" s="270" t="str">
        <f t="shared" si="2"/>
        <v/>
      </c>
      <c r="L9568">
        <f t="shared" si="3"/>
        <v>0</v>
      </c>
    </row>
    <row r="9569">
      <c r="A9569" s="107"/>
      <c r="D9569" s="270"/>
      <c r="H9569" s="106" t="str">
        <f t="shared" si="1"/>
        <v/>
      </c>
      <c r="J9569" t="str">
        <f>IFERROR(__xludf.DUMMYFUNCTION("IFS(
  AND(REGEXMATCH(E9569, ""台銀籌備帳戶|玉山帳戶""), REGEXMATCH(C9569, ""薪資"")), ""分潤支出"",
  AND(REGEXMATCH(E9569, ""Ben帳戶|Elsa帳戶|Ben代墊|Ariel代墊|中信銀行共用""), REGEXMATCH(F9569, ""Ben帳戶|Elsa帳戶|Ben代墊|Ariel代墊|中信銀行共用"")), ""內部轉帳(忽略)"",
  AND(E9569&lt;&gt;"""", F9569&lt;&gt;"""", N"&amp;"OT(REGEXMATCH(C9569, ""薪資""))), ""內部轉帳(忽略)"",
  REGEXMATCH(C9569, ""薪資""), ""薪資變動(不計入)"",
  REGEXMATCH(C9569, ""押金""), ""押金往來"",
  AND(E9569&lt;&gt;"""", F9569=""""), ""真實支出"",
  AND(E9569="""", F9569&lt;&gt;""""), ""真實收入"",
  TRUE, ""其他""
)"),"其他")</f>
        <v>其他</v>
      </c>
      <c r="K9569" s="270" t="str">
        <f t="shared" si="2"/>
        <v/>
      </c>
      <c r="L9569">
        <f t="shared" si="3"/>
        <v>0</v>
      </c>
    </row>
    <row r="9570">
      <c r="A9570" s="107"/>
      <c r="D9570" s="270"/>
      <c r="H9570" s="106" t="str">
        <f t="shared" si="1"/>
        <v/>
      </c>
      <c r="J9570" t="str">
        <f>IFERROR(__xludf.DUMMYFUNCTION("IFS(
  AND(REGEXMATCH(E9570, ""台銀籌備帳戶|玉山帳戶""), REGEXMATCH(C9570, ""薪資"")), ""分潤支出"",
  AND(REGEXMATCH(E9570, ""Ben帳戶|Elsa帳戶|Ben代墊|Ariel代墊|中信銀行共用""), REGEXMATCH(F9570, ""Ben帳戶|Elsa帳戶|Ben代墊|Ariel代墊|中信銀行共用"")), ""內部轉帳(忽略)"",
  AND(E9570&lt;&gt;"""", F9570&lt;&gt;"""", N"&amp;"OT(REGEXMATCH(C9570, ""薪資""))), ""內部轉帳(忽略)"",
  REGEXMATCH(C9570, ""薪資""), ""薪資變動(不計入)"",
  REGEXMATCH(C9570, ""押金""), ""押金往來"",
  AND(E9570&lt;&gt;"""", F9570=""""), ""真實支出"",
  AND(E9570="""", F9570&lt;&gt;""""), ""真實收入"",
  TRUE, ""其他""
)"),"其他")</f>
        <v>其他</v>
      </c>
      <c r="K9570" s="270" t="str">
        <f t="shared" si="2"/>
        <v/>
      </c>
      <c r="L9570">
        <f t="shared" si="3"/>
        <v>0</v>
      </c>
    </row>
    <row r="9571">
      <c r="A9571" s="107"/>
      <c r="D9571" s="270"/>
      <c r="H9571" s="106" t="str">
        <f t="shared" si="1"/>
        <v/>
      </c>
      <c r="J9571" t="str">
        <f>IFERROR(__xludf.DUMMYFUNCTION("IFS(
  AND(REGEXMATCH(E9571, ""台銀籌備帳戶|玉山帳戶""), REGEXMATCH(C9571, ""薪資"")), ""分潤支出"",
  AND(REGEXMATCH(E9571, ""Ben帳戶|Elsa帳戶|Ben代墊|Ariel代墊|中信銀行共用""), REGEXMATCH(F9571, ""Ben帳戶|Elsa帳戶|Ben代墊|Ariel代墊|中信銀行共用"")), ""內部轉帳(忽略)"",
  AND(E9571&lt;&gt;"""", F9571&lt;&gt;"""", N"&amp;"OT(REGEXMATCH(C9571, ""薪資""))), ""內部轉帳(忽略)"",
  REGEXMATCH(C9571, ""薪資""), ""薪資變動(不計入)"",
  REGEXMATCH(C9571, ""押金""), ""押金往來"",
  AND(E9571&lt;&gt;"""", F9571=""""), ""真實支出"",
  AND(E9571="""", F9571&lt;&gt;""""), ""真實收入"",
  TRUE, ""其他""
)"),"其他")</f>
        <v>其他</v>
      </c>
      <c r="K9571" s="270" t="str">
        <f t="shared" si="2"/>
        <v/>
      </c>
      <c r="L9571">
        <f t="shared" si="3"/>
        <v>0</v>
      </c>
    </row>
    <row r="9572">
      <c r="A9572" s="107"/>
      <c r="D9572" s="270"/>
      <c r="H9572" s="106" t="str">
        <f t="shared" si="1"/>
        <v/>
      </c>
      <c r="J9572" t="str">
        <f>IFERROR(__xludf.DUMMYFUNCTION("IFS(
  AND(REGEXMATCH(E9572, ""台銀籌備帳戶|玉山帳戶""), REGEXMATCH(C9572, ""薪資"")), ""分潤支出"",
  AND(REGEXMATCH(E9572, ""Ben帳戶|Elsa帳戶|Ben代墊|Ariel代墊|中信銀行共用""), REGEXMATCH(F9572, ""Ben帳戶|Elsa帳戶|Ben代墊|Ariel代墊|中信銀行共用"")), ""內部轉帳(忽略)"",
  AND(E9572&lt;&gt;"""", F9572&lt;&gt;"""", N"&amp;"OT(REGEXMATCH(C9572, ""薪資""))), ""內部轉帳(忽略)"",
  REGEXMATCH(C9572, ""薪資""), ""薪資變動(不計入)"",
  REGEXMATCH(C9572, ""押金""), ""押金往來"",
  AND(E9572&lt;&gt;"""", F9572=""""), ""真實支出"",
  AND(E9572="""", F9572&lt;&gt;""""), ""真實收入"",
  TRUE, ""其他""
)"),"其他")</f>
        <v>其他</v>
      </c>
      <c r="K9572" s="270" t="str">
        <f t="shared" si="2"/>
        <v/>
      </c>
      <c r="L9572">
        <f t="shared" si="3"/>
        <v>0</v>
      </c>
    </row>
    <row r="9573">
      <c r="A9573" s="107"/>
      <c r="D9573" s="270"/>
      <c r="H9573" s="106" t="str">
        <f t="shared" si="1"/>
        <v/>
      </c>
      <c r="J9573" t="str">
        <f>IFERROR(__xludf.DUMMYFUNCTION("IFS(
  AND(REGEXMATCH(E9573, ""台銀籌備帳戶|玉山帳戶""), REGEXMATCH(C9573, ""薪資"")), ""分潤支出"",
  AND(REGEXMATCH(E9573, ""Ben帳戶|Elsa帳戶|Ben代墊|Ariel代墊|中信銀行共用""), REGEXMATCH(F9573, ""Ben帳戶|Elsa帳戶|Ben代墊|Ariel代墊|中信銀行共用"")), ""內部轉帳(忽略)"",
  AND(E9573&lt;&gt;"""", F9573&lt;&gt;"""", N"&amp;"OT(REGEXMATCH(C9573, ""薪資""))), ""內部轉帳(忽略)"",
  REGEXMATCH(C9573, ""薪資""), ""薪資變動(不計入)"",
  REGEXMATCH(C9573, ""押金""), ""押金往來"",
  AND(E9573&lt;&gt;"""", F9573=""""), ""真實支出"",
  AND(E9573="""", F9573&lt;&gt;""""), ""真實收入"",
  TRUE, ""其他""
)"),"其他")</f>
        <v>其他</v>
      </c>
      <c r="K9573" s="270" t="str">
        <f t="shared" si="2"/>
        <v/>
      </c>
      <c r="L9573">
        <f t="shared" si="3"/>
        <v>0</v>
      </c>
    </row>
    <row r="9574">
      <c r="A9574" s="107"/>
      <c r="D9574" s="270"/>
      <c r="H9574" s="106" t="str">
        <f t="shared" si="1"/>
        <v/>
      </c>
      <c r="J9574" t="str">
        <f>IFERROR(__xludf.DUMMYFUNCTION("IFS(
  AND(REGEXMATCH(E9574, ""台銀籌備帳戶|玉山帳戶""), REGEXMATCH(C9574, ""薪資"")), ""分潤支出"",
  AND(REGEXMATCH(E9574, ""Ben帳戶|Elsa帳戶|Ben代墊|Ariel代墊|中信銀行共用""), REGEXMATCH(F9574, ""Ben帳戶|Elsa帳戶|Ben代墊|Ariel代墊|中信銀行共用"")), ""內部轉帳(忽略)"",
  AND(E9574&lt;&gt;"""", F9574&lt;&gt;"""", N"&amp;"OT(REGEXMATCH(C9574, ""薪資""))), ""內部轉帳(忽略)"",
  REGEXMATCH(C9574, ""薪資""), ""薪資變動(不計入)"",
  REGEXMATCH(C9574, ""押金""), ""押金往來"",
  AND(E9574&lt;&gt;"""", F9574=""""), ""真實支出"",
  AND(E9574="""", F9574&lt;&gt;""""), ""真實收入"",
  TRUE, ""其他""
)"),"其他")</f>
        <v>其他</v>
      </c>
      <c r="K9574" s="270" t="str">
        <f t="shared" si="2"/>
        <v/>
      </c>
      <c r="L9574">
        <f t="shared" si="3"/>
        <v>0</v>
      </c>
    </row>
    <row r="9575">
      <c r="A9575" s="107"/>
      <c r="D9575" s="270"/>
      <c r="H9575" s="106" t="str">
        <f t="shared" si="1"/>
        <v/>
      </c>
      <c r="J9575" t="str">
        <f>IFERROR(__xludf.DUMMYFUNCTION("IFS(
  AND(REGEXMATCH(E9575, ""台銀籌備帳戶|玉山帳戶""), REGEXMATCH(C9575, ""薪資"")), ""分潤支出"",
  AND(REGEXMATCH(E9575, ""Ben帳戶|Elsa帳戶|Ben代墊|Ariel代墊|中信銀行共用""), REGEXMATCH(F9575, ""Ben帳戶|Elsa帳戶|Ben代墊|Ariel代墊|中信銀行共用"")), ""內部轉帳(忽略)"",
  AND(E9575&lt;&gt;"""", F9575&lt;&gt;"""", N"&amp;"OT(REGEXMATCH(C9575, ""薪資""))), ""內部轉帳(忽略)"",
  REGEXMATCH(C9575, ""薪資""), ""薪資變動(不計入)"",
  REGEXMATCH(C9575, ""押金""), ""押金往來"",
  AND(E9575&lt;&gt;"""", F9575=""""), ""真實支出"",
  AND(E9575="""", F9575&lt;&gt;""""), ""真實收入"",
  TRUE, ""其他""
)"),"其他")</f>
        <v>其他</v>
      </c>
      <c r="K9575" s="270" t="str">
        <f t="shared" si="2"/>
        <v/>
      </c>
      <c r="L9575">
        <f t="shared" si="3"/>
        <v>0</v>
      </c>
    </row>
    <row r="9576">
      <c r="A9576" s="107"/>
      <c r="D9576" s="270"/>
      <c r="H9576" s="106" t="str">
        <f t="shared" si="1"/>
        <v/>
      </c>
      <c r="J9576" t="str">
        <f>IFERROR(__xludf.DUMMYFUNCTION("IFS(
  AND(REGEXMATCH(E9576, ""台銀籌備帳戶|玉山帳戶""), REGEXMATCH(C9576, ""薪資"")), ""分潤支出"",
  AND(REGEXMATCH(E9576, ""Ben帳戶|Elsa帳戶|Ben代墊|Ariel代墊|中信銀行共用""), REGEXMATCH(F9576, ""Ben帳戶|Elsa帳戶|Ben代墊|Ariel代墊|中信銀行共用"")), ""內部轉帳(忽略)"",
  AND(E9576&lt;&gt;"""", F9576&lt;&gt;"""", N"&amp;"OT(REGEXMATCH(C9576, ""薪資""))), ""內部轉帳(忽略)"",
  REGEXMATCH(C9576, ""薪資""), ""薪資變動(不計入)"",
  REGEXMATCH(C9576, ""押金""), ""押金往來"",
  AND(E9576&lt;&gt;"""", F9576=""""), ""真實支出"",
  AND(E9576="""", F9576&lt;&gt;""""), ""真實收入"",
  TRUE, ""其他""
)"),"其他")</f>
        <v>其他</v>
      </c>
      <c r="K9576" s="270" t="str">
        <f t="shared" si="2"/>
        <v/>
      </c>
      <c r="L9576">
        <f t="shared" si="3"/>
        <v>0</v>
      </c>
    </row>
    <row r="9577">
      <c r="A9577" s="107"/>
      <c r="D9577" s="270"/>
      <c r="H9577" s="106" t="str">
        <f t="shared" si="1"/>
        <v/>
      </c>
      <c r="J9577" t="str">
        <f>IFERROR(__xludf.DUMMYFUNCTION("IFS(
  AND(REGEXMATCH(E9577, ""台銀籌備帳戶|玉山帳戶""), REGEXMATCH(C9577, ""薪資"")), ""分潤支出"",
  AND(REGEXMATCH(E9577, ""Ben帳戶|Elsa帳戶|Ben代墊|Ariel代墊|中信銀行共用""), REGEXMATCH(F9577, ""Ben帳戶|Elsa帳戶|Ben代墊|Ariel代墊|中信銀行共用"")), ""內部轉帳(忽略)"",
  AND(E9577&lt;&gt;"""", F9577&lt;&gt;"""", N"&amp;"OT(REGEXMATCH(C9577, ""薪資""))), ""內部轉帳(忽略)"",
  REGEXMATCH(C9577, ""薪資""), ""薪資變動(不計入)"",
  REGEXMATCH(C9577, ""押金""), ""押金往來"",
  AND(E9577&lt;&gt;"""", F9577=""""), ""真實支出"",
  AND(E9577="""", F9577&lt;&gt;""""), ""真實收入"",
  TRUE, ""其他""
)"),"其他")</f>
        <v>其他</v>
      </c>
      <c r="K9577" s="270" t="str">
        <f t="shared" si="2"/>
        <v/>
      </c>
      <c r="L9577">
        <f t="shared" si="3"/>
        <v>0</v>
      </c>
    </row>
    <row r="9578">
      <c r="A9578" s="107"/>
      <c r="D9578" s="270"/>
      <c r="H9578" s="106" t="str">
        <f t="shared" si="1"/>
        <v/>
      </c>
      <c r="J9578" t="str">
        <f>IFERROR(__xludf.DUMMYFUNCTION("IFS(
  AND(REGEXMATCH(E9578, ""台銀籌備帳戶|玉山帳戶""), REGEXMATCH(C9578, ""薪資"")), ""分潤支出"",
  AND(REGEXMATCH(E9578, ""Ben帳戶|Elsa帳戶|Ben代墊|Ariel代墊|中信銀行共用""), REGEXMATCH(F9578, ""Ben帳戶|Elsa帳戶|Ben代墊|Ariel代墊|中信銀行共用"")), ""內部轉帳(忽略)"",
  AND(E9578&lt;&gt;"""", F9578&lt;&gt;"""", N"&amp;"OT(REGEXMATCH(C9578, ""薪資""))), ""內部轉帳(忽略)"",
  REGEXMATCH(C9578, ""薪資""), ""薪資變動(不計入)"",
  REGEXMATCH(C9578, ""押金""), ""押金往來"",
  AND(E9578&lt;&gt;"""", F9578=""""), ""真實支出"",
  AND(E9578="""", F9578&lt;&gt;""""), ""真實收入"",
  TRUE, ""其他""
)"),"其他")</f>
        <v>其他</v>
      </c>
      <c r="K9578" s="270" t="str">
        <f t="shared" si="2"/>
        <v/>
      </c>
      <c r="L9578">
        <f t="shared" si="3"/>
        <v>0</v>
      </c>
    </row>
    <row r="9579">
      <c r="A9579" s="107"/>
      <c r="D9579" s="270"/>
      <c r="H9579" s="106" t="str">
        <f t="shared" si="1"/>
        <v/>
      </c>
      <c r="J9579" t="str">
        <f>IFERROR(__xludf.DUMMYFUNCTION("IFS(
  AND(REGEXMATCH(E9579, ""台銀籌備帳戶|玉山帳戶""), REGEXMATCH(C9579, ""薪資"")), ""分潤支出"",
  AND(REGEXMATCH(E9579, ""Ben帳戶|Elsa帳戶|Ben代墊|Ariel代墊|中信銀行共用""), REGEXMATCH(F9579, ""Ben帳戶|Elsa帳戶|Ben代墊|Ariel代墊|中信銀行共用"")), ""內部轉帳(忽略)"",
  AND(E9579&lt;&gt;"""", F9579&lt;&gt;"""", N"&amp;"OT(REGEXMATCH(C9579, ""薪資""))), ""內部轉帳(忽略)"",
  REGEXMATCH(C9579, ""薪資""), ""薪資變動(不計入)"",
  REGEXMATCH(C9579, ""押金""), ""押金往來"",
  AND(E9579&lt;&gt;"""", F9579=""""), ""真實支出"",
  AND(E9579="""", F9579&lt;&gt;""""), ""真實收入"",
  TRUE, ""其他""
)"),"其他")</f>
        <v>其他</v>
      </c>
      <c r="K9579" s="270" t="str">
        <f t="shared" si="2"/>
        <v/>
      </c>
      <c r="L9579">
        <f t="shared" si="3"/>
        <v>0</v>
      </c>
    </row>
    <row r="9580">
      <c r="A9580" s="107"/>
      <c r="D9580" s="270"/>
      <c r="H9580" s="106" t="str">
        <f t="shared" si="1"/>
        <v/>
      </c>
      <c r="J9580" t="str">
        <f>IFERROR(__xludf.DUMMYFUNCTION("IFS(
  AND(REGEXMATCH(E9580, ""台銀籌備帳戶|玉山帳戶""), REGEXMATCH(C9580, ""薪資"")), ""分潤支出"",
  AND(REGEXMATCH(E9580, ""Ben帳戶|Elsa帳戶|Ben代墊|Ariel代墊|中信銀行共用""), REGEXMATCH(F9580, ""Ben帳戶|Elsa帳戶|Ben代墊|Ariel代墊|中信銀行共用"")), ""內部轉帳(忽略)"",
  AND(E9580&lt;&gt;"""", F9580&lt;&gt;"""", N"&amp;"OT(REGEXMATCH(C9580, ""薪資""))), ""內部轉帳(忽略)"",
  REGEXMATCH(C9580, ""薪資""), ""薪資變動(不計入)"",
  REGEXMATCH(C9580, ""押金""), ""押金往來"",
  AND(E9580&lt;&gt;"""", F9580=""""), ""真實支出"",
  AND(E9580="""", F9580&lt;&gt;""""), ""真實收入"",
  TRUE, ""其他""
)"),"其他")</f>
        <v>其他</v>
      </c>
      <c r="K9580" s="270" t="str">
        <f t="shared" si="2"/>
        <v/>
      </c>
      <c r="L9580">
        <f t="shared" si="3"/>
        <v>0</v>
      </c>
    </row>
    <row r="9581">
      <c r="A9581" s="107"/>
      <c r="D9581" s="270"/>
      <c r="H9581" s="106" t="str">
        <f t="shared" si="1"/>
        <v/>
      </c>
      <c r="J9581" t="str">
        <f>IFERROR(__xludf.DUMMYFUNCTION("IFS(
  AND(REGEXMATCH(E9581, ""台銀籌備帳戶|玉山帳戶""), REGEXMATCH(C9581, ""薪資"")), ""分潤支出"",
  AND(REGEXMATCH(E9581, ""Ben帳戶|Elsa帳戶|Ben代墊|Ariel代墊|中信銀行共用""), REGEXMATCH(F9581, ""Ben帳戶|Elsa帳戶|Ben代墊|Ariel代墊|中信銀行共用"")), ""內部轉帳(忽略)"",
  AND(E9581&lt;&gt;"""", F9581&lt;&gt;"""", N"&amp;"OT(REGEXMATCH(C9581, ""薪資""))), ""內部轉帳(忽略)"",
  REGEXMATCH(C9581, ""薪資""), ""薪資變動(不計入)"",
  REGEXMATCH(C9581, ""押金""), ""押金往來"",
  AND(E9581&lt;&gt;"""", F9581=""""), ""真實支出"",
  AND(E9581="""", F9581&lt;&gt;""""), ""真實收入"",
  TRUE, ""其他""
)"),"其他")</f>
        <v>其他</v>
      </c>
      <c r="K9581" s="270" t="str">
        <f t="shared" si="2"/>
        <v/>
      </c>
      <c r="L9581">
        <f t="shared" si="3"/>
        <v>0</v>
      </c>
    </row>
    <row r="9582">
      <c r="A9582" s="107"/>
      <c r="D9582" s="270"/>
      <c r="H9582" s="106" t="str">
        <f t="shared" si="1"/>
        <v/>
      </c>
      <c r="J9582" t="str">
        <f>IFERROR(__xludf.DUMMYFUNCTION("IFS(
  AND(REGEXMATCH(E9582, ""台銀籌備帳戶|玉山帳戶""), REGEXMATCH(C9582, ""薪資"")), ""分潤支出"",
  AND(REGEXMATCH(E9582, ""Ben帳戶|Elsa帳戶|Ben代墊|Ariel代墊|中信銀行共用""), REGEXMATCH(F9582, ""Ben帳戶|Elsa帳戶|Ben代墊|Ariel代墊|中信銀行共用"")), ""內部轉帳(忽略)"",
  AND(E9582&lt;&gt;"""", F9582&lt;&gt;"""", N"&amp;"OT(REGEXMATCH(C9582, ""薪資""))), ""內部轉帳(忽略)"",
  REGEXMATCH(C9582, ""薪資""), ""薪資變動(不計入)"",
  REGEXMATCH(C9582, ""押金""), ""押金往來"",
  AND(E9582&lt;&gt;"""", F9582=""""), ""真實支出"",
  AND(E9582="""", F9582&lt;&gt;""""), ""真實收入"",
  TRUE, ""其他""
)"),"其他")</f>
        <v>其他</v>
      </c>
      <c r="K9582" s="270" t="str">
        <f t="shared" si="2"/>
        <v/>
      </c>
      <c r="L9582">
        <f t="shared" si="3"/>
        <v>0</v>
      </c>
    </row>
    <row r="9583">
      <c r="A9583" s="107"/>
      <c r="D9583" s="270"/>
      <c r="H9583" s="106" t="str">
        <f t="shared" si="1"/>
        <v/>
      </c>
      <c r="J9583" t="str">
        <f>IFERROR(__xludf.DUMMYFUNCTION("IFS(
  AND(REGEXMATCH(E9583, ""台銀籌備帳戶|玉山帳戶""), REGEXMATCH(C9583, ""薪資"")), ""分潤支出"",
  AND(REGEXMATCH(E9583, ""Ben帳戶|Elsa帳戶|Ben代墊|Ariel代墊|中信銀行共用""), REGEXMATCH(F9583, ""Ben帳戶|Elsa帳戶|Ben代墊|Ariel代墊|中信銀行共用"")), ""內部轉帳(忽略)"",
  AND(E9583&lt;&gt;"""", F9583&lt;&gt;"""", N"&amp;"OT(REGEXMATCH(C9583, ""薪資""))), ""內部轉帳(忽略)"",
  REGEXMATCH(C9583, ""薪資""), ""薪資變動(不計入)"",
  REGEXMATCH(C9583, ""押金""), ""押金往來"",
  AND(E9583&lt;&gt;"""", F9583=""""), ""真實支出"",
  AND(E9583="""", F9583&lt;&gt;""""), ""真實收入"",
  TRUE, ""其他""
)"),"其他")</f>
        <v>其他</v>
      </c>
      <c r="K9583" s="270" t="str">
        <f t="shared" si="2"/>
        <v/>
      </c>
      <c r="L9583">
        <f t="shared" si="3"/>
        <v>0</v>
      </c>
    </row>
    <row r="9584">
      <c r="A9584" s="107"/>
      <c r="D9584" s="270"/>
      <c r="H9584" s="106" t="str">
        <f t="shared" si="1"/>
        <v/>
      </c>
      <c r="J9584" t="str">
        <f>IFERROR(__xludf.DUMMYFUNCTION("IFS(
  AND(REGEXMATCH(E9584, ""台銀籌備帳戶|玉山帳戶""), REGEXMATCH(C9584, ""薪資"")), ""分潤支出"",
  AND(REGEXMATCH(E9584, ""Ben帳戶|Elsa帳戶|Ben代墊|Ariel代墊|中信銀行共用""), REGEXMATCH(F9584, ""Ben帳戶|Elsa帳戶|Ben代墊|Ariel代墊|中信銀行共用"")), ""內部轉帳(忽略)"",
  AND(E9584&lt;&gt;"""", F9584&lt;&gt;"""", N"&amp;"OT(REGEXMATCH(C9584, ""薪資""))), ""內部轉帳(忽略)"",
  REGEXMATCH(C9584, ""薪資""), ""薪資變動(不計入)"",
  REGEXMATCH(C9584, ""押金""), ""押金往來"",
  AND(E9584&lt;&gt;"""", F9584=""""), ""真實支出"",
  AND(E9584="""", F9584&lt;&gt;""""), ""真實收入"",
  TRUE, ""其他""
)"),"其他")</f>
        <v>其他</v>
      </c>
      <c r="K9584" s="270" t="str">
        <f t="shared" si="2"/>
        <v/>
      </c>
      <c r="L9584">
        <f t="shared" si="3"/>
        <v>0</v>
      </c>
    </row>
    <row r="9585">
      <c r="A9585" s="107"/>
      <c r="D9585" s="270"/>
      <c r="H9585" s="106" t="str">
        <f t="shared" si="1"/>
        <v/>
      </c>
      <c r="J9585" t="str">
        <f>IFERROR(__xludf.DUMMYFUNCTION("IFS(
  AND(REGEXMATCH(E9585, ""台銀籌備帳戶|玉山帳戶""), REGEXMATCH(C9585, ""薪資"")), ""分潤支出"",
  AND(REGEXMATCH(E9585, ""Ben帳戶|Elsa帳戶|Ben代墊|Ariel代墊|中信銀行共用""), REGEXMATCH(F9585, ""Ben帳戶|Elsa帳戶|Ben代墊|Ariel代墊|中信銀行共用"")), ""內部轉帳(忽略)"",
  AND(E9585&lt;&gt;"""", F9585&lt;&gt;"""", N"&amp;"OT(REGEXMATCH(C9585, ""薪資""))), ""內部轉帳(忽略)"",
  REGEXMATCH(C9585, ""薪資""), ""薪資變動(不計入)"",
  REGEXMATCH(C9585, ""押金""), ""押金往來"",
  AND(E9585&lt;&gt;"""", F9585=""""), ""真實支出"",
  AND(E9585="""", F9585&lt;&gt;""""), ""真實收入"",
  TRUE, ""其他""
)"),"其他")</f>
        <v>其他</v>
      </c>
      <c r="K9585" s="270" t="str">
        <f t="shared" si="2"/>
        <v/>
      </c>
      <c r="L9585">
        <f t="shared" si="3"/>
        <v>0</v>
      </c>
    </row>
    <row r="9586">
      <c r="A9586" s="107"/>
      <c r="D9586" s="270"/>
      <c r="H9586" s="106" t="str">
        <f t="shared" si="1"/>
        <v/>
      </c>
      <c r="J9586" t="str">
        <f>IFERROR(__xludf.DUMMYFUNCTION("IFS(
  AND(REGEXMATCH(E9586, ""台銀籌備帳戶|玉山帳戶""), REGEXMATCH(C9586, ""薪資"")), ""分潤支出"",
  AND(REGEXMATCH(E9586, ""Ben帳戶|Elsa帳戶|Ben代墊|Ariel代墊|中信銀行共用""), REGEXMATCH(F9586, ""Ben帳戶|Elsa帳戶|Ben代墊|Ariel代墊|中信銀行共用"")), ""內部轉帳(忽略)"",
  AND(E9586&lt;&gt;"""", F9586&lt;&gt;"""", N"&amp;"OT(REGEXMATCH(C9586, ""薪資""))), ""內部轉帳(忽略)"",
  REGEXMATCH(C9586, ""薪資""), ""薪資變動(不計入)"",
  REGEXMATCH(C9586, ""押金""), ""押金往來"",
  AND(E9586&lt;&gt;"""", F9586=""""), ""真實支出"",
  AND(E9586="""", F9586&lt;&gt;""""), ""真實收入"",
  TRUE, ""其他""
)"),"其他")</f>
        <v>其他</v>
      </c>
      <c r="K9586" s="270" t="str">
        <f t="shared" si="2"/>
        <v/>
      </c>
      <c r="L9586">
        <f t="shared" si="3"/>
        <v>0</v>
      </c>
    </row>
    <row r="9587">
      <c r="A9587" s="107"/>
      <c r="D9587" s="270"/>
      <c r="H9587" s="106" t="str">
        <f t="shared" si="1"/>
        <v/>
      </c>
      <c r="J9587" t="str">
        <f>IFERROR(__xludf.DUMMYFUNCTION("IFS(
  AND(REGEXMATCH(E9587, ""台銀籌備帳戶|玉山帳戶""), REGEXMATCH(C9587, ""薪資"")), ""分潤支出"",
  AND(REGEXMATCH(E9587, ""Ben帳戶|Elsa帳戶|Ben代墊|Ariel代墊|中信銀行共用""), REGEXMATCH(F9587, ""Ben帳戶|Elsa帳戶|Ben代墊|Ariel代墊|中信銀行共用"")), ""內部轉帳(忽略)"",
  AND(E9587&lt;&gt;"""", F9587&lt;&gt;"""", N"&amp;"OT(REGEXMATCH(C9587, ""薪資""))), ""內部轉帳(忽略)"",
  REGEXMATCH(C9587, ""薪資""), ""薪資變動(不計入)"",
  REGEXMATCH(C9587, ""押金""), ""押金往來"",
  AND(E9587&lt;&gt;"""", F9587=""""), ""真實支出"",
  AND(E9587="""", F9587&lt;&gt;""""), ""真實收入"",
  TRUE, ""其他""
)"),"其他")</f>
        <v>其他</v>
      </c>
      <c r="K9587" s="270" t="str">
        <f t="shared" si="2"/>
        <v/>
      </c>
      <c r="L9587">
        <f t="shared" si="3"/>
        <v>0</v>
      </c>
    </row>
    <row r="9588">
      <c r="A9588" s="107"/>
      <c r="D9588" s="270"/>
      <c r="H9588" s="106" t="str">
        <f t="shared" si="1"/>
        <v/>
      </c>
      <c r="J9588" t="str">
        <f>IFERROR(__xludf.DUMMYFUNCTION("IFS(
  AND(REGEXMATCH(E9588, ""台銀籌備帳戶|玉山帳戶""), REGEXMATCH(C9588, ""薪資"")), ""分潤支出"",
  AND(REGEXMATCH(E9588, ""Ben帳戶|Elsa帳戶|Ben代墊|Ariel代墊|中信銀行共用""), REGEXMATCH(F9588, ""Ben帳戶|Elsa帳戶|Ben代墊|Ariel代墊|中信銀行共用"")), ""內部轉帳(忽略)"",
  AND(E9588&lt;&gt;"""", F9588&lt;&gt;"""", N"&amp;"OT(REGEXMATCH(C9588, ""薪資""))), ""內部轉帳(忽略)"",
  REGEXMATCH(C9588, ""薪資""), ""薪資變動(不計入)"",
  REGEXMATCH(C9588, ""押金""), ""押金往來"",
  AND(E9588&lt;&gt;"""", F9588=""""), ""真實支出"",
  AND(E9588="""", F9588&lt;&gt;""""), ""真實收入"",
  TRUE, ""其他""
)"),"其他")</f>
        <v>其他</v>
      </c>
      <c r="K9588" s="270" t="str">
        <f t="shared" si="2"/>
        <v/>
      </c>
      <c r="L9588">
        <f t="shared" si="3"/>
        <v>0</v>
      </c>
    </row>
    <row r="9589">
      <c r="A9589" s="107"/>
      <c r="D9589" s="270"/>
      <c r="H9589" s="106" t="str">
        <f t="shared" si="1"/>
        <v/>
      </c>
      <c r="J9589" t="str">
        <f>IFERROR(__xludf.DUMMYFUNCTION("IFS(
  AND(REGEXMATCH(E9589, ""台銀籌備帳戶|玉山帳戶""), REGEXMATCH(C9589, ""薪資"")), ""分潤支出"",
  AND(REGEXMATCH(E9589, ""Ben帳戶|Elsa帳戶|Ben代墊|Ariel代墊|中信銀行共用""), REGEXMATCH(F9589, ""Ben帳戶|Elsa帳戶|Ben代墊|Ariel代墊|中信銀行共用"")), ""內部轉帳(忽略)"",
  AND(E9589&lt;&gt;"""", F9589&lt;&gt;"""", N"&amp;"OT(REGEXMATCH(C9589, ""薪資""))), ""內部轉帳(忽略)"",
  REGEXMATCH(C9589, ""薪資""), ""薪資變動(不計入)"",
  REGEXMATCH(C9589, ""押金""), ""押金往來"",
  AND(E9589&lt;&gt;"""", F9589=""""), ""真實支出"",
  AND(E9589="""", F9589&lt;&gt;""""), ""真實收入"",
  TRUE, ""其他""
)"),"其他")</f>
        <v>其他</v>
      </c>
      <c r="K9589" s="270" t="str">
        <f t="shared" si="2"/>
        <v/>
      </c>
      <c r="L9589">
        <f t="shared" si="3"/>
        <v>0</v>
      </c>
    </row>
    <row r="9590">
      <c r="A9590" s="107"/>
      <c r="D9590" s="270"/>
      <c r="H9590" s="106" t="str">
        <f t="shared" si="1"/>
        <v/>
      </c>
      <c r="J9590" t="str">
        <f>IFERROR(__xludf.DUMMYFUNCTION("IFS(
  AND(REGEXMATCH(E9590, ""台銀籌備帳戶|玉山帳戶""), REGEXMATCH(C9590, ""薪資"")), ""分潤支出"",
  AND(REGEXMATCH(E9590, ""Ben帳戶|Elsa帳戶|Ben代墊|Ariel代墊|中信銀行共用""), REGEXMATCH(F9590, ""Ben帳戶|Elsa帳戶|Ben代墊|Ariel代墊|中信銀行共用"")), ""內部轉帳(忽略)"",
  AND(E9590&lt;&gt;"""", F9590&lt;&gt;"""", N"&amp;"OT(REGEXMATCH(C9590, ""薪資""))), ""內部轉帳(忽略)"",
  REGEXMATCH(C9590, ""薪資""), ""薪資變動(不計入)"",
  REGEXMATCH(C9590, ""押金""), ""押金往來"",
  AND(E9590&lt;&gt;"""", F9590=""""), ""真實支出"",
  AND(E9590="""", F9590&lt;&gt;""""), ""真實收入"",
  TRUE, ""其他""
)"),"其他")</f>
        <v>其他</v>
      </c>
      <c r="K9590" s="270" t="str">
        <f t="shared" si="2"/>
        <v/>
      </c>
      <c r="L9590">
        <f t="shared" si="3"/>
        <v>0</v>
      </c>
    </row>
    <row r="9591">
      <c r="A9591" s="107"/>
      <c r="D9591" s="270"/>
      <c r="H9591" s="106" t="str">
        <f t="shared" si="1"/>
        <v/>
      </c>
      <c r="J9591" t="str">
        <f>IFERROR(__xludf.DUMMYFUNCTION("IFS(
  AND(REGEXMATCH(E9591, ""台銀籌備帳戶|玉山帳戶""), REGEXMATCH(C9591, ""薪資"")), ""分潤支出"",
  AND(REGEXMATCH(E9591, ""Ben帳戶|Elsa帳戶|Ben代墊|Ariel代墊|中信銀行共用""), REGEXMATCH(F9591, ""Ben帳戶|Elsa帳戶|Ben代墊|Ariel代墊|中信銀行共用"")), ""內部轉帳(忽略)"",
  AND(E9591&lt;&gt;"""", F9591&lt;&gt;"""", N"&amp;"OT(REGEXMATCH(C9591, ""薪資""))), ""內部轉帳(忽略)"",
  REGEXMATCH(C9591, ""薪資""), ""薪資變動(不計入)"",
  REGEXMATCH(C9591, ""押金""), ""押金往來"",
  AND(E9591&lt;&gt;"""", F9591=""""), ""真實支出"",
  AND(E9591="""", F9591&lt;&gt;""""), ""真實收入"",
  TRUE, ""其他""
)"),"其他")</f>
        <v>其他</v>
      </c>
      <c r="K9591" s="270" t="str">
        <f t="shared" si="2"/>
        <v/>
      </c>
      <c r="L9591">
        <f t="shared" si="3"/>
        <v>0</v>
      </c>
    </row>
    <row r="9592">
      <c r="A9592" s="107"/>
      <c r="D9592" s="270"/>
      <c r="H9592" s="106" t="str">
        <f t="shared" si="1"/>
        <v/>
      </c>
      <c r="J9592" t="str">
        <f>IFERROR(__xludf.DUMMYFUNCTION("IFS(
  AND(REGEXMATCH(E9592, ""台銀籌備帳戶|玉山帳戶""), REGEXMATCH(C9592, ""薪資"")), ""分潤支出"",
  AND(REGEXMATCH(E9592, ""Ben帳戶|Elsa帳戶|Ben代墊|Ariel代墊|中信銀行共用""), REGEXMATCH(F9592, ""Ben帳戶|Elsa帳戶|Ben代墊|Ariel代墊|中信銀行共用"")), ""內部轉帳(忽略)"",
  AND(E9592&lt;&gt;"""", F9592&lt;&gt;"""", N"&amp;"OT(REGEXMATCH(C9592, ""薪資""))), ""內部轉帳(忽略)"",
  REGEXMATCH(C9592, ""薪資""), ""薪資變動(不計入)"",
  REGEXMATCH(C9592, ""押金""), ""押金往來"",
  AND(E9592&lt;&gt;"""", F9592=""""), ""真實支出"",
  AND(E9592="""", F9592&lt;&gt;""""), ""真實收入"",
  TRUE, ""其他""
)"),"其他")</f>
        <v>其他</v>
      </c>
      <c r="K9592" s="270" t="str">
        <f t="shared" si="2"/>
        <v/>
      </c>
      <c r="L9592">
        <f t="shared" si="3"/>
        <v>0</v>
      </c>
    </row>
    <row r="9593">
      <c r="A9593" s="107"/>
      <c r="D9593" s="270"/>
      <c r="H9593" s="106" t="str">
        <f t="shared" si="1"/>
        <v/>
      </c>
      <c r="J9593" t="str">
        <f>IFERROR(__xludf.DUMMYFUNCTION("IFS(
  AND(REGEXMATCH(E9593, ""台銀籌備帳戶|玉山帳戶""), REGEXMATCH(C9593, ""薪資"")), ""分潤支出"",
  AND(REGEXMATCH(E9593, ""Ben帳戶|Elsa帳戶|Ben代墊|Ariel代墊|中信銀行共用""), REGEXMATCH(F9593, ""Ben帳戶|Elsa帳戶|Ben代墊|Ariel代墊|中信銀行共用"")), ""內部轉帳(忽略)"",
  AND(E9593&lt;&gt;"""", F9593&lt;&gt;"""", N"&amp;"OT(REGEXMATCH(C9593, ""薪資""))), ""內部轉帳(忽略)"",
  REGEXMATCH(C9593, ""薪資""), ""薪資變動(不計入)"",
  REGEXMATCH(C9593, ""押金""), ""押金往來"",
  AND(E9593&lt;&gt;"""", F9593=""""), ""真實支出"",
  AND(E9593="""", F9593&lt;&gt;""""), ""真實收入"",
  TRUE, ""其他""
)"),"其他")</f>
        <v>其他</v>
      </c>
      <c r="K9593" s="270" t="str">
        <f t="shared" si="2"/>
        <v/>
      </c>
      <c r="L9593">
        <f t="shared" si="3"/>
        <v>0</v>
      </c>
    </row>
    <row r="9594">
      <c r="A9594" s="107"/>
      <c r="D9594" s="270"/>
      <c r="H9594" s="106" t="str">
        <f t="shared" si="1"/>
        <v/>
      </c>
      <c r="J9594" t="str">
        <f>IFERROR(__xludf.DUMMYFUNCTION("IFS(
  AND(REGEXMATCH(E9594, ""台銀籌備帳戶|玉山帳戶""), REGEXMATCH(C9594, ""薪資"")), ""分潤支出"",
  AND(REGEXMATCH(E9594, ""Ben帳戶|Elsa帳戶|Ben代墊|Ariel代墊|中信銀行共用""), REGEXMATCH(F9594, ""Ben帳戶|Elsa帳戶|Ben代墊|Ariel代墊|中信銀行共用"")), ""內部轉帳(忽略)"",
  AND(E9594&lt;&gt;"""", F9594&lt;&gt;"""", N"&amp;"OT(REGEXMATCH(C9594, ""薪資""))), ""內部轉帳(忽略)"",
  REGEXMATCH(C9594, ""薪資""), ""薪資變動(不計入)"",
  REGEXMATCH(C9594, ""押金""), ""押金往來"",
  AND(E9594&lt;&gt;"""", F9594=""""), ""真實支出"",
  AND(E9594="""", F9594&lt;&gt;""""), ""真實收入"",
  TRUE, ""其他""
)"),"其他")</f>
        <v>其他</v>
      </c>
      <c r="K9594" s="270" t="str">
        <f t="shared" si="2"/>
        <v/>
      </c>
      <c r="L9594">
        <f t="shared" si="3"/>
        <v>0</v>
      </c>
    </row>
    <row r="9595">
      <c r="A9595" s="107"/>
      <c r="D9595" s="270"/>
      <c r="H9595" s="106" t="str">
        <f t="shared" si="1"/>
        <v/>
      </c>
      <c r="J9595" t="str">
        <f>IFERROR(__xludf.DUMMYFUNCTION("IFS(
  AND(REGEXMATCH(E9595, ""台銀籌備帳戶|玉山帳戶""), REGEXMATCH(C9595, ""薪資"")), ""分潤支出"",
  AND(REGEXMATCH(E9595, ""Ben帳戶|Elsa帳戶|Ben代墊|Ariel代墊|中信銀行共用""), REGEXMATCH(F9595, ""Ben帳戶|Elsa帳戶|Ben代墊|Ariel代墊|中信銀行共用"")), ""內部轉帳(忽略)"",
  AND(E9595&lt;&gt;"""", F9595&lt;&gt;"""", N"&amp;"OT(REGEXMATCH(C9595, ""薪資""))), ""內部轉帳(忽略)"",
  REGEXMATCH(C9595, ""薪資""), ""薪資變動(不計入)"",
  REGEXMATCH(C9595, ""押金""), ""押金往來"",
  AND(E9595&lt;&gt;"""", F9595=""""), ""真實支出"",
  AND(E9595="""", F9595&lt;&gt;""""), ""真實收入"",
  TRUE, ""其他""
)"),"其他")</f>
        <v>其他</v>
      </c>
      <c r="K9595" s="270" t="str">
        <f t="shared" si="2"/>
        <v/>
      </c>
      <c r="L9595">
        <f t="shared" si="3"/>
        <v>0</v>
      </c>
    </row>
    <row r="9596">
      <c r="A9596" s="107"/>
      <c r="D9596" s="270"/>
      <c r="H9596" s="106" t="str">
        <f t="shared" si="1"/>
        <v/>
      </c>
      <c r="J9596" t="str">
        <f>IFERROR(__xludf.DUMMYFUNCTION("IFS(
  AND(REGEXMATCH(E9596, ""台銀籌備帳戶|玉山帳戶""), REGEXMATCH(C9596, ""薪資"")), ""分潤支出"",
  AND(REGEXMATCH(E9596, ""Ben帳戶|Elsa帳戶|Ben代墊|Ariel代墊|中信銀行共用""), REGEXMATCH(F9596, ""Ben帳戶|Elsa帳戶|Ben代墊|Ariel代墊|中信銀行共用"")), ""內部轉帳(忽略)"",
  AND(E9596&lt;&gt;"""", F9596&lt;&gt;"""", N"&amp;"OT(REGEXMATCH(C9596, ""薪資""))), ""內部轉帳(忽略)"",
  REGEXMATCH(C9596, ""薪資""), ""薪資變動(不計入)"",
  REGEXMATCH(C9596, ""押金""), ""押金往來"",
  AND(E9596&lt;&gt;"""", F9596=""""), ""真實支出"",
  AND(E9596="""", F9596&lt;&gt;""""), ""真實收入"",
  TRUE, ""其他""
)"),"其他")</f>
        <v>其他</v>
      </c>
      <c r="K9596" s="270" t="str">
        <f t="shared" si="2"/>
        <v/>
      </c>
      <c r="L9596">
        <f t="shared" si="3"/>
        <v>0</v>
      </c>
    </row>
    <row r="9597">
      <c r="A9597" s="107"/>
      <c r="D9597" s="270"/>
      <c r="H9597" s="106" t="str">
        <f t="shared" si="1"/>
        <v/>
      </c>
      <c r="J9597" t="str">
        <f>IFERROR(__xludf.DUMMYFUNCTION("IFS(
  AND(REGEXMATCH(E9597, ""台銀籌備帳戶|玉山帳戶""), REGEXMATCH(C9597, ""薪資"")), ""分潤支出"",
  AND(REGEXMATCH(E9597, ""Ben帳戶|Elsa帳戶|Ben代墊|Ariel代墊|中信銀行共用""), REGEXMATCH(F9597, ""Ben帳戶|Elsa帳戶|Ben代墊|Ariel代墊|中信銀行共用"")), ""內部轉帳(忽略)"",
  AND(E9597&lt;&gt;"""", F9597&lt;&gt;"""", N"&amp;"OT(REGEXMATCH(C9597, ""薪資""))), ""內部轉帳(忽略)"",
  REGEXMATCH(C9597, ""薪資""), ""薪資變動(不計入)"",
  REGEXMATCH(C9597, ""押金""), ""押金往來"",
  AND(E9597&lt;&gt;"""", F9597=""""), ""真實支出"",
  AND(E9597="""", F9597&lt;&gt;""""), ""真實收入"",
  TRUE, ""其他""
)"),"其他")</f>
        <v>其他</v>
      </c>
      <c r="K9597" s="270" t="str">
        <f t="shared" si="2"/>
        <v/>
      </c>
      <c r="L9597">
        <f t="shared" si="3"/>
        <v>0</v>
      </c>
    </row>
    <row r="9598">
      <c r="A9598" s="107"/>
      <c r="D9598" s="270"/>
      <c r="H9598" s="106" t="str">
        <f t="shared" si="1"/>
        <v/>
      </c>
      <c r="J9598" t="str">
        <f>IFERROR(__xludf.DUMMYFUNCTION("IFS(
  AND(REGEXMATCH(E9598, ""台銀籌備帳戶|玉山帳戶""), REGEXMATCH(C9598, ""薪資"")), ""分潤支出"",
  AND(REGEXMATCH(E9598, ""Ben帳戶|Elsa帳戶|Ben代墊|Ariel代墊|中信銀行共用""), REGEXMATCH(F9598, ""Ben帳戶|Elsa帳戶|Ben代墊|Ariel代墊|中信銀行共用"")), ""內部轉帳(忽略)"",
  AND(E9598&lt;&gt;"""", F9598&lt;&gt;"""", N"&amp;"OT(REGEXMATCH(C9598, ""薪資""))), ""內部轉帳(忽略)"",
  REGEXMATCH(C9598, ""薪資""), ""薪資變動(不計入)"",
  REGEXMATCH(C9598, ""押金""), ""押金往來"",
  AND(E9598&lt;&gt;"""", F9598=""""), ""真實支出"",
  AND(E9598="""", F9598&lt;&gt;""""), ""真實收入"",
  TRUE, ""其他""
)"),"其他")</f>
        <v>其他</v>
      </c>
      <c r="K9598" s="270" t="str">
        <f t="shared" si="2"/>
        <v/>
      </c>
      <c r="L9598">
        <f t="shared" si="3"/>
        <v>0</v>
      </c>
    </row>
    <row r="9599">
      <c r="A9599" s="107"/>
      <c r="D9599" s="270"/>
      <c r="H9599" s="106" t="str">
        <f t="shared" si="1"/>
        <v/>
      </c>
      <c r="J9599" t="str">
        <f>IFERROR(__xludf.DUMMYFUNCTION("IFS(
  AND(REGEXMATCH(E9599, ""台銀籌備帳戶|玉山帳戶""), REGEXMATCH(C9599, ""薪資"")), ""分潤支出"",
  AND(REGEXMATCH(E9599, ""Ben帳戶|Elsa帳戶|Ben代墊|Ariel代墊|中信銀行共用""), REGEXMATCH(F9599, ""Ben帳戶|Elsa帳戶|Ben代墊|Ariel代墊|中信銀行共用"")), ""內部轉帳(忽略)"",
  AND(E9599&lt;&gt;"""", F9599&lt;&gt;"""", N"&amp;"OT(REGEXMATCH(C9599, ""薪資""))), ""內部轉帳(忽略)"",
  REGEXMATCH(C9599, ""薪資""), ""薪資變動(不計入)"",
  REGEXMATCH(C9599, ""押金""), ""押金往來"",
  AND(E9599&lt;&gt;"""", F9599=""""), ""真實支出"",
  AND(E9599="""", F9599&lt;&gt;""""), ""真實收入"",
  TRUE, ""其他""
)"),"其他")</f>
        <v>其他</v>
      </c>
      <c r="K9599" s="270" t="str">
        <f t="shared" si="2"/>
        <v/>
      </c>
      <c r="L9599">
        <f t="shared" si="3"/>
        <v>0</v>
      </c>
    </row>
    <row r="9600">
      <c r="A9600" s="107"/>
      <c r="D9600" s="270"/>
      <c r="H9600" s="106" t="str">
        <f t="shared" si="1"/>
        <v/>
      </c>
      <c r="J9600" t="str">
        <f>IFERROR(__xludf.DUMMYFUNCTION("IFS(
  AND(REGEXMATCH(E9600, ""台銀籌備帳戶|玉山帳戶""), REGEXMATCH(C9600, ""薪資"")), ""分潤支出"",
  AND(REGEXMATCH(E9600, ""Ben帳戶|Elsa帳戶|Ben代墊|Ariel代墊|中信銀行共用""), REGEXMATCH(F9600, ""Ben帳戶|Elsa帳戶|Ben代墊|Ariel代墊|中信銀行共用"")), ""內部轉帳(忽略)"",
  AND(E9600&lt;&gt;"""", F9600&lt;&gt;"""", N"&amp;"OT(REGEXMATCH(C9600, ""薪資""))), ""內部轉帳(忽略)"",
  REGEXMATCH(C9600, ""薪資""), ""薪資變動(不計入)"",
  REGEXMATCH(C9600, ""押金""), ""押金往來"",
  AND(E9600&lt;&gt;"""", F9600=""""), ""真實支出"",
  AND(E9600="""", F9600&lt;&gt;""""), ""真實收入"",
  TRUE, ""其他""
)"),"其他")</f>
        <v>其他</v>
      </c>
      <c r="K9600" s="270" t="str">
        <f t="shared" si="2"/>
        <v/>
      </c>
      <c r="L9600">
        <f t="shared" si="3"/>
        <v>0</v>
      </c>
    </row>
    <row r="9601">
      <c r="A9601" s="107"/>
      <c r="D9601" s="270"/>
      <c r="H9601" s="106" t="str">
        <f t="shared" si="1"/>
        <v/>
      </c>
      <c r="J9601" t="str">
        <f>IFERROR(__xludf.DUMMYFUNCTION("IFS(
  AND(REGEXMATCH(E9601, ""台銀籌備帳戶|玉山帳戶""), REGEXMATCH(C9601, ""薪資"")), ""分潤支出"",
  AND(REGEXMATCH(E9601, ""Ben帳戶|Elsa帳戶|Ben代墊|Ariel代墊|中信銀行共用""), REGEXMATCH(F9601, ""Ben帳戶|Elsa帳戶|Ben代墊|Ariel代墊|中信銀行共用"")), ""內部轉帳(忽略)"",
  AND(E9601&lt;&gt;"""", F9601&lt;&gt;"""", N"&amp;"OT(REGEXMATCH(C9601, ""薪資""))), ""內部轉帳(忽略)"",
  REGEXMATCH(C9601, ""薪資""), ""薪資變動(不計入)"",
  REGEXMATCH(C9601, ""押金""), ""押金往來"",
  AND(E9601&lt;&gt;"""", F9601=""""), ""真實支出"",
  AND(E9601="""", F9601&lt;&gt;""""), ""真實收入"",
  TRUE, ""其他""
)"),"其他")</f>
        <v>其他</v>
      </c>
      <c r="K9601" s="270" t="str">
        <f t="shared" si="2"/>
        <v/>
      </c>
      <c r="L9601">
        <f t="shared" si="3"/>
        <v>0</v>
      </c>
    </row>
    <row r="9602">
      <c r="A9602" s="107"/>
      <c r="D9602" s="270"/>
      <c r="H9602" s="106" t="str">
        <f t="shared" si="1"/>
        <v/>
      </c>
      <c r="J9602" t="str">
        <f>IFERROR(__xludf.DUMMYFUNCTION("IFS(
  AND(REGEXMATCH(E9602, ""台銀籌備帳戶|玉山帳戶""), REGEXMATCH(C9602, ""薪資"")), ""分潤支出"",
  AND(REGEXMATCH(E9602, ""Ben帳戶|Elsa帳戶|Ben代墊|Ariel代墊|中信銀行共用""), REGEXMATCH(F9602, ""Ben帳戶|Elsa帳戶|Ben代墊|Ariel代墊|中信銀行共用"")), ""內部轉帳(忽略)"",
  AND(E9602&lt;&gt;"""", F9602&lt;&gt;"""", N"&amp;"OT(REGEXMATCH(C9602, ""薪資""))), ""內部轉帳(忽略)"",
  REGEXMATCH(C9602, ""薪資""), ""薪資變動(不計入)"",
  REGEXMATCH(C9602, ""押金""), ""押金往來"",
  AND(E9602&lt;&gt;"""", F9602=""""), ""真實支出"",
  AND(E9602="""", F9602&lt;&gt;""""), ""真實收入"",
  TRUE, ""其他""
)"),"其他")</f>
        <v>其他</v>
      </c>
      <c r="K9602" s="270" t="str">
        <f t="shared" si="2"/>
        <v/>
      </c>
      <c r="L9602">
        <f t="shared" si="3"/>
        <v>0</v>
      </c>
    </row>
    <row r="9603">
      <c r="A9603" s="107"/>
      <c r="D9603" s="270"/>
      <c r="H9603" s="106" t="str">
        <f t="shared" si="1"/>
        <v/>
      </c>
      <c r="J9603" t="str">
        <f>IFERROR(__xludf.DUMMYFUNCTION("IFS(
  AND(REGEXMATCH(E9603, ""台銀籌備帳戶|玉山帳戶""), REGEXMATCH(C9603, ""薪資"")), ""分潤支出"",
  AND(REGEXMATCH(E9603, ""Ben帳戶|Elsa帳戶|Ben代墊|Ariel代墊|中信銀行共用""), REGEXMATCH(F9603, ""Ben帳戶|Elsa帳戶|Ben代墊|Ariel代墊|中信銀行共用"")), ""內部轉帳(忽略)"",
  AND(E9603&lt;&gt;"""", F9603&lt;&gt;"""", N"&amp;"OT(REGEXMATCH(C9603, ""薪資""))), ""內部轉帳(忽略)"",
  REGEXMATCH(C9603, ""薪資""), ""薪資變動(不計入)"",
  REGEXMATCH(C9603, ""押金""), ""押金往來"",
  AND(E9603&lt;&gt;"""", F9603=""""), ""真實支出"",
  AND(E9603="""", F9603&lt;&gt;""""), ""真實收入"",
  TRUE, ""其他""
)"),"其他")</f>
        <v>其他</v>
      </c>
      <c r="K9603" s="270" t="str">
        <f t="shared" si="2"/>
        <v/>
      </c>
      <c r="L9603">
        <f t="shared" si="3"/>
        <v>0</v>
      </c>
    </row>
    <row r="9604">
      <c r="A9604" s="107"/>
      <c r="D9604" s="270"/>
      <c r="H9604" s="106" t="str">
        <f t="shared" si="1"/>
        <v/>
      </c>
      <c r="J9604" t="str">
        <f>IFERROR(__xludf.DUMMYFUNCTION("IFS(
  AND(REGEXMATCH(E9604, ""台銀籌備帳戶|玉山帳戶""), REGEXMATCH(C9604, ""薪資"")), ""分潤支出"",
  AND(REGEXMATCH(E9604, ""Ben帳戶|Elsa帳戶|Ben代墊|Ariel代墊|中信銀行共用""), REGEXMATCH(F9604, ""Ben帳戶|Elsa帳戶|Ben代墊|Ariel代墊|中信銀行共用"")), ""內部轉帳(忽略)"",
  AND(E9604&lt;&gt;"""", F9604&lt;&gt;"""", N"&amp;"OT(REGEXMATCH(C9604, ""薪資""))), ""內部轉帳(忽略)"",
  REGEXMATCH(C9604, ""薪資""), ""薪資變動(不計入)"",
  REGEXMATCH(C9604, ""押金""), ""押金往來"",
  AND(E9604&lt;&gt;"""", F9604=""""), ""真實支出"",
  AND(E9604="""", F9604&lt;&gt;""""), ""真實收入"",
  TRUE, ""其他""
)"),"其他")</f>
        <v>其他</v>
      </c>
      <c r="K9604" s="270" t="str">
        <f t="shared" si="2"/>
        <v/>
      </c>
      <c r="L9604">
        <f t="shared" si="3"/>
        <v>0</v>
      </c>
    </row>
    <row r="9605">
      <c r="A9605" s="107"/>
      <c r="D9605" s="270"/>
      <c r="H9605" s="106" t="str">
        <f t="shared" si="1"/>
        <v/>
      </c>
      <c r="J9605" t="str">
        <f>IFERROR(__xludf.DUMMYFUNCTION("IFS(
  AND(REGEXMATCH(E9605, ""台銀籌備帳戶|玉山帳戶""), REGEXMATCH(C9605, ""薪資"")), ""分潤支出"",
  AND(REGEXMATCH(E9605, ""Ben帳戶|Elsa帳戶|Ben代墊|Ariel代墊|中信銀行共用""), REGEXMATCH(F9605, ""Ben帳戶|Elsa帳戶|Ben代墊|Ariel代墊|中信銀行共用"")), ""內部轉帳(忽略)"",
  AND(E9605&lt;&gt;"""", F9605&lt;&gt;"""", N"&amp;"OT(REGEXMATCH(C9605, ""薪資""))), ""內部轉帳(忽略)"",
  REGEXMATCH(C9605, ""薪資""), ""薪資變動(不計入)"",
  REGEXMATCH(C9605, ""押金""), ""押金往來"",
  AND(E9605&lt;&gt;"""", F9605=""""), ""真實支出"",
  AND(E9605="""", F9605&lt;&gt;""""), ""真實收入"",
  TRUE, ""其他""
)"),"其他")</f>
        <v>其他</v>
      </c>
      <c r="K9605" s="270" t="str">
        <f t="shared" si="2"/>
        <v/>
      </c>
      <c r="L9605">
        <f t="shared" si="3"/>
        <v>0</v>
      </c>
    </row>
    <row r="9606">
      <c r="A9606" s="107"/>
      <c r="D9606" s="270"/>
      <c r="H9606" s="106" t="str">
        <f t="shared" si="1"/>
        <v/>
      </c>
      <c r="J9606" t="str">
        <f>IFERROR(__xludf.DUMMYFUNCTION("IFS(
  AND(REGEXMATCH(E9606, ""台銀籌備帳戶|玉山帳戶""), REGEXMATCH(C9606, ""薪資"")), ""分潤支出"",
  AND(REGEXMATCH(E9606, ""Ben帳戶|Elsa帳戶|Ben代墊|Ariel代墊|中信銀行共用""), REGEXMATCH(F9606, ""Ben帳戶|Elsa帳戶|Ben代墊|Ariel代墊|中信銀行共用"")), ""內部轉帳(忽略)"",
  AND(E9606&lt;&gt;"""", F9606&lt;&gt;"""", N"&amp;"OT(REGEXMATCH(C9606, ""薪資""))), ""內部轉帳(忽略)"",
  REGEXMATCH(C9606, ""薪資""), ""薪資變動(不計入)"",
  REGEXMATCH(C9606, ""押金""), ""押金往來"",
  AND(E9606&lt;&gt;"""", F9606=""""), ""真實支出"",
  AND(E9606="""", F9606&lt;&gt;""""), ""真實收入"",
  TRUE, ""其他""
)"),"其他")</f>
        <v>其他</v>
      </c>
      <c r="K9606" s="270" t="str">
        <f t="shared" si="2"/>
        <v/>
      </c>
      <c r="L9606">
        <f t="shared" si="3"/>
        <v>0</v>
      </c>
    </row>
    <row r="9607">
      <c r="A9607" s="107"/>
      <c r="D9607" s="270"/>
      <c r="H9607" s="106" t="str">
        <f t="shared" si="1"/>
        <v/>
      </c>
      <c r="J9607" t="str">
        <f>IFERROR(__xludf.DUMMYFUNCTION("IFS(
  AND(REGEXMATCH(E9607, ""台銀籌備帳戶|玉山帳戶""), REGEXMATCH(C9607, ""薪資"")), ""分潤支出"",
  AND(REGEXMATCH(E9607, ""Ben帳戶|Elsa帳戶|Ben代墊|Ariel代墊|中信銀行共用""), REGEXMATCH(F9607, ""Ben帳戶|Elsa帳戶|Ben代墊|Ariel代墊|中信銀行共用"")), ""內部轉帳(忽略)"",
  AND(E9607&lt;&gt;"""", F9607&lt;&gt;"""", N"&amp;"OT(REGEXMATCH(C9607, ""薪資""))), ""內部轉帳(忽略)"",
  REGEXMATCH(C9607, ""薪資""), ""薪資變動(不計入)"",
  REGEXMATCH(C9607, ""押金""), ""押金往來"",
  AND(E9607&lt;&gt;"""", F9607=""""), ""真實支出"",
  AND(E9607="""", F9607&lt;&gt;""""), ""真實收入"",
  TRUE, ""其他""
)"),"其他")</f>
        <v>其他</v>
      </c>
      <c r="K9607" s="270" t="str">
        <f t="shared" si="2"/>
        <v/>
      </c>
      <c r="L9607">
        <f t="shared" si="3"/>
        <v>0</v>
      </c>
    </row>
    <row r="9608">
      <c r="A9608" s="107"/>
      <c r="D9608" s="270"/>
      <c r="H9608" s="106" t="str">
        <f t="shared" si="1"/>
        <v/>
      </c>
      <c r="J9608" t="str">
        <f>IFERROR(__xludf.DUMMYFUNCTION("IFS(
  AND(REGEXMATCH(E9608, ""台銀籌備帳戶|玉山帳戶""), REGEXMATCH(C9608, ""薪資"")), ""分潤支出"",
  AND(REGEXMATCH(E9608, ""Ben帳戶|Elsa帳戶|Ben代墊|Ariel代墊|中信銀行共用""), REGEXMATCH(F9608, ""Ben帳戶|Elsa帳戶|Ben代墊|Ariel代墊|中信銀行共用"")), ""內部轉帳(忽略)"",
  AND(E9608&lt;&gt;"""", F9608&lt;&gt;"""", N"&amp;"OT(REGEXMATCH(C9608, ""薪資""))), ""內部轉帳(忽略)"",
  REGEXMATCH(C9608, ""薪資""), ""薪資變動(不計入)"",
  REGEXMATCH(C9608, ""押金""), ""押金往來"",
  AND(E9608&lt;&gt;"""", F9608=""""), ""真實支出"",
  AND(E9608="""", F9608&lt;&gt;""""), ""真實收入"",
  TRUE, ""其他""
)"),"其他")</f>
        <v>其他</v>
      </c>
      <c r="K9608" s="270" t="str">
        <f t="shared" si="2"/>
        <v/>
      </c>
      <c r="L9608">
        <f t="shared" si="3"/>
        <v>0</v>
      </c>
    </row>
    <row r="9609">
      <c r="A9609" s="107"/>
      <c r="D9609" s="270"/>
      <c r="H9609" s="106" t="str">
        <f t="shared" si="1"/>
        <v/>
      </c>
      <c r="J9609" t="str">
        <f>IFERROR(__xludf.DUMMYFUNCTION("IFS(
  AND(REGEXMATCH(E9609, ""台銀籌備帳戶|玉山帳戶""), REGEXMATCH(C9609, ""薪資"")), ""分潤支出"",
  AND(REGEXMATCH(E9609, ""Ben帳戶|Elsa帳戶|Ben代墊|Ariel代墊|中信銀行共用""), REGEXMATCH(F9609, ""Ben帳戶|Elsa帳戶|Ben代墊|Ariel代墊|中信銀行共用"")), ""內部轉帳(忽略)"",
  AND(E9609&lt;&gt;"""", F9609&lt;&gt;"""", N"&amp;"OT(REGEXMATCH(C9609, ""薪資""))), ""內部轉帳(忽略)"",
  REGEXMATCH(C9609, ""薪資""), ""薪資變動(不計入)"",
  REGEXMATCH(C9609, ""押金""), ""押金往來"",
  AND(E9609&lt;&gt;"""", F9609=""""), ""真實支出"",
  AND(E9609="""", F9609&lt;&gt;""""), ""真實收入"",
  TRUE, ""其他""
)"),"其他")</f>
        <v>其他</v>
      </c>
      <c r="K9609" s="270" t="str">
        <f t="shared" si="2"/>
        <v/>
      </c>
      <c r="L9609">
        <f t="shared" si="3"/>
        <v>0</v>
      </c>
    </row>
    <row r="9610">
      <c r="A9610" s="107"/>
      <c r="D9610" s="270"/>
      <c r="H9610" s="106" t="str">
        <f t="shared" si="1"/>
        <v/>
      </c>
      <c r="J9610" t="str">
        <f>IFERROR(__xludf.DUMMYFUNCTION("IFS(
  AND(REGEXMATCH(E9610, ""台銀籌備帳戶|玉山帳戶""), REGEXMATCH(C9610, ""薪資"")), ""分潤支出"",
  AND(REGEXMATCH(E9610, ""Ben帳戶|Elsa帳戶|Ben代墊|Ariel代墊|中信銀行共用""), REGEXMATCH(F9610, ""Ben帳戶|Elsa帳戶|Ben代墊|Ariel代墊|中信銀行共用"")), ""內部轉帳(忽略)"",
  AND(E9610&lt;&gt;"""", F9610&lt;&gt;"""", N"&amp;"OT(REGEXMATCH(C9610, ""薪資""))), ""內部轉帳(忽略)"",
  REGEXMATCH(C9610, ""薪資""), ""薪資變動(不計入)"",
  REGEXMATCH(C9610, ""押金""), ""押金往來"",
  AND(E9610&lt;&gt;"""", F9610=""""), ""真實支出"",
  AND(E9610="""", F9610&lt;&gt;""""), ""真實收入"",
  TRUE, ""其他""
)"),"其他")</f>
        <v>其他</v>
      </c>
      <c r="K9610" s="270" t="str">
        <f t="shared" si="2"/>
        <v/>
      </c>
      <c r="L9610">
        <f t="shared" si="3"/>
        <v>0</v>
      </c>
    </row>
    <row r="9611">
      <c r="A9611" s="107"/>
      <c r="D9611" s="270"/>
      <c r="H9611" s="106" t="str">
        <f t="shared" si="1"/>
        <v/>
      </c>
      <c r="J9611" t="str">
        <f>IFERROR(__xludf.DUMMYFUNCTION("IFS(
  AND(REGEXMATCH(E9611, ""台銀籌備帳戶|玉山帳戶""), REGEXMATCH(C9611, ""薪資"")), ""分潤支出"",
  AND(REGEXMATCH(E9611, ""Ben帳戶|Elsa帳戶|Ben代墊|Ariel代墊|中信銀行共用""), REGEXMATCH(F9611, ""Ben帳戶|Elsa帳戶|Ben代墊|Ariel代墊|中信銀行共用"")), ""內部轉帳(忽略)"",
  AND(E9611&lt;&gt;"""", F9611&lt;&gt;"""", N"&amp;"OT(REGEXMATCH(C9611, ""薪資""))), ""內部轉帳(忽略)"",
  REGEXMATCH(C9611, ""薪資""), ""薪資變動(不計入)"",
  REGEXMATCH(C9611, ""押金""), ""押金往來"",
  AND(E9611&lt;&gt;"""", F9611=""""), ""真實支出"",
  AND(E9611="""", F9611&lt;&gt;""""), ""真實收入"",
  TRUE, ""其他""
)"),"其他")</f>
        <v>其他</v>
      </c>
      <c r="K9611" s="270" t="str">
        <f t="shared" si="2"/>
        <v/>
      </c>
      <c r="L9611">
        <f t="shared" si="3"/>
        <v>0</v>
      </c>
    </row>
    <row r="9612">
      <c r="A9612" s="107"/>
      <c r="D9612" s="270"/>
      <c r="H9612" s="106" t="str">
        <f t="shared" si="1"/>
        <v/>
      </c>
      <c r="J9612" t="str">
        <f>IFERROR(__xludf.DUMMYFUNCTION("IFS(
  AND(REGEXMATCH(E9612, ""台銀籌備帳戶|玉山帳戶""), REGEXMATCH(C9612, ""薪資"")), ""分潤支出"",
  AND(REGEXMATCH(E9612, ""Ben帳戶|Elsa帳戶|Ben代墊|Ariel代墊|中信銀行共用""), REGEXMATCH(F9612, ""Ben帳戶|Elsa帳戶|Ben代墊|Ariel代墊|中信銀行共用"")), ""內部轉帳(忽略)"",
  AND(E9612&lt;&gt;"""", F9612&lt;&gt;"""", N"&amp;"OT(REGEXMATCH(C9612, ""薪資""))), ""內部轉帳(忽略)"",
  REGEXMATCH(C9612, ""薪資""), ""薪資變動(不計入)"",
  REGEXMATCH(C9612, ""押金""), ""押金往來"",
  AND(E9612&lt;&gt;"""", F9612=""""), ""真實支出"",
  AND(E9612="""", F9612&lt;&gt;""""), ""真實收入"",
  TRUE, ""其他""
)"),"其他")</f>
        <v>其他</v>
      </c>
      <c r="K9612" s="270" t="str">
        <f t="shared" si="2"/>
        <v/>
      </c>
      <c r="L9612">
        <f t="shared" si="3"/>
        <v>0</v>
      </c>
    </row>
    <row r="9613">
      <c r="A9613" s="107"/>
      <c r="D9613" s="270"/>
      <c r="H9613" s="106" t="str">
        <f t="shared" si="1"/>
        <v/>
      </c>
      <c r="J9613" t="str">
        <f>IFERROR(__xludf.DUMMYFUNCTION("IFS(
  AND(REGEXMATCH(E9613, ""台銀籌備帳戶|玉山帳戶""), REGEXMATCH(C9613, ""薪資"")), ""分潤支出"",
  AND(REGEXMATCH(E9613, ""Ben帳戶|Elsa帳戶|Ben代墊|Ariel代墊|中信銀行共用""), REGEXMATCH(F9613, ""Ben帳戶|Elsa帳戶|Ben代墊|Ariel代墊|中信銀行共用"")), ""內部轉帳(忽略)"",
  AND(E9613&lt;&gt;"""", F9613&lt;&gt;"""", N"&amp;"OT(REGEXMATCH(C9613, ""薪資""))), ""內部轉帳(忽略)"",
  REGEXMATCH(C9613, ""薪資""), ""薪資變動(不計入)"",
  REGEXMATCH(C9613, ""押金""), ""押金往來"",
  AND(E9613&lt;&gt;"""", F9613=""""), ""真實支出"",
  AND(E9613="""", F9613&lt;&gt;""""), ""真實收入"",
  TRUE, ""其他""
)"),"其他")</f>
        <v>其他</v>
      </c>
      <c r="K9613" s="270" t="str">
        <f t="shared" si="2"/>
        <v/>
      </c>
      <c r="L9613">
        <f t="shared" si="3"/>
        <v>0</v>
      </c>
    </row>
    <row r="9614">
      <c r="A9614" s="107"/>
      <c r="D9614" s="270"/>
      <c r="H9614" s="106" t="str">
        <f t="shared" si="1"/>
        <v/>
      </c>
      <c r="J9614" t="str">
        <f>IFERROR(__xludf.DUMMYFUNCTION("IFS(
  AND(REGEXMATCH(E9614, ""台銀籌備帳戶|玉山帳戶""), REGEXMATCH(C9614, ""薪資"")), ""分潤支出"",
  AND(REGEXMATCH(E9614, ""Ben帳戶|Elsa帳戶|Ben代墊|Ariel代墊|中信銀行共用""), REGEXMATCH(F9614, ""Ben帳戶|Elsa帳戶|Ben代墊|Ariel代墊|中信銀行共用"")), ""內部轉帳(忽略)"",
  AND(E9614&lt;&gt;"""", F9614&lt;&gt;"""", N"&amp;"OT(REGEXMATCH(C9614, ""薪資""))), ""內部轉帳(忽略)"",
  REGEXMATCH(C9614, ""薪資""), ""薪資變動(不計入)"",
  REGEXMATCH(C9614, ""押金""), ""押金往來"",
  AND(E9614&lt;&gt;"""", F9614=""""), ""真實支出"",
  AND(E9614="""", F9614&lt;&gt;""""), ""真實收入"",
  TRUE, ""其他""
)"),"其他")</f>
        <v>其他</v>
      </c>
      <c r="K9614" s="270" t="str">
        <f t="shared" si="2"/>
        <v/>
      </c>
      <c r="L9614">
        <f t="shared" si="3"/>
        <v>0</v>
      </c>
    </row>
    <row r="9615">
      <c r="A9615" s="107"/>
      <c r="D9615" s="270"/>
      <c r="H9615" s="106" t="str">
        <f t="shared" si="1"/>
        <v/>
      </c>
      <c r="J9615" t="str">
        <f>IFERROR(__xludf.DUMMYFUNCTION("IFS(
  AND(REGEXMATCH(E9615, ""台銀籌備帳戶|玉山帳戶""), REGEXMATCH(C9615, ""薪資"")), ""分潤支出"",
  AND(REGEXMATCH(E9615, ""Ben帳戶|Elsa帳戶|Ben代墊|Ariel代墊|中信銀行共用""), REGEXMATCH(F9615, ""Ben帳戶|Elsa帳戶|Ben代墊|Ariel代墊|中信銀行共用"")), ""內部轉帳(忽略)"",
  AND(E9615&lt;&gt;"""", F9615&lt;&gt;"""", N"&amp;"OT(REGEXMATCH(C9615, ""薪資""))), ""內部轉帳(忽略)"",
  REGEXMATCH(C9615, ""薪資""), ""薪資變動(不計入)"",
  REGEXMATCH(C9615, ""押金""), ""押金往來"",
  AND(E9615&lt;&gt;"""", F9615=""""), ""真實支出"",
  AND(E9615="""", F9615&lt;&gt;""""), ""真實收入"",
  TRUE, ""其他""
)"),"其他")</f>
        <v>其他</v>
      </c>
      <c r="K9615" s="270" t="str">
        <f t="shared" si="2"/>
        <v/>
      </c>
      <c r="L9615">
        <f t="shared" si="3"/>
        <v>0</v>
      </c>
    </row>
    <row r="9616">
      <c r="A9616" s="107"/>
      <c r="D9616" s="270"/>
      <c r="H9616" s="106" t="str">
        <f t="shared" si="1"/>
        <v/>
      </c>
      <c r="J9616" t="str">
        <f>IFERROR(__xludf.DUMMYFUNCTION("IFS(
  AND(REGEXMATCH(E9616, ""台銀籌備帳戶|玉山帳戶""), REGEXMATCH(C9616, ""薪資"")), ""分潤支出"",
  AND(REGEXMATCH(E9616, ""Ben帳戶|Elsa帳戶|Ben代墊|Ariel代墊|中信銀行共用""), REGEXMATCH(F9616, ""Ben帳戶|Elsa帳戶|Ben代墊|Ariel代墊|中信銀行共用"")), ""內部轉帳(忽略)"",
  AND(E9616&lt;&gt;"""", F9616&lt;&gt;"""", N"&amp;"OT(REGEXMATCH(C9616, ""薪資""))), ""內部轉帳(忽略)"",
  REGEXMATCH(C9616, ""薪資""), ""薪資變動(不計入)"",
  REGEXMATCH(C9616, ""押金""), ""押金往來"",
  AND(E9616&lt;&gt;"""", F9616=""""), ""真實支出"",
  AND(E9616="""", F9616&lt;&gt;""""), ""真實收入"",
  TRUE, ""其他""
)"),"其他")</f>
        <v>其他</v>
      </c>
      <c r="K9616" s="270" t="str">
        <f t="shared" si="2"/>
        <v/>
      </c>
      <c r="L9616">
        <f t="shared" si="3"/>
        <v>0</v>
      </c>
    </row>
    <row r="9617">
      <c r="A9617" s="107"/>
      <c r="D9617" s="270"/>
      <c r="H9617" s="106" t="str">
        <f t="shared" si="1"/>
        <v/>
      </c>
      <c r="J9617" t="str">
        <f>IFERROR(__xludf.DUMMYFUNCTION("IFS(
  AND(REGEXMATCH(E9617, ""台銀籌備帳戶|玉山帳戶""), REGEXMATCH(C9617, ""薪資"")), ""分潤支出"",
  AND(REGEXMATCH(E9617, ""Ben帳戶|Elsa帳戶|Ben代墊|Ariel代墊|中信銀行共用""), REGEXMATCH(F9617, ""Ben帳戶|Elsa帳戶|Ben代墊|Ariel代墊|中信銀行共用"")), ""內部轉帳(忽略)"",
  AND(E9617&lt;&gt;"""", F9617&lt;&gt;"""", N"&amp;"OT(REGEXMATCH(C9617, ""薪資""))), ""內部轉帳(忽略)"",
  REGEXMATCH(C9617, ""薪資""), ""薪資變動(不計入)"",
  REGEXMATCH(C9617, ""押金""), ""押金往來"",
  AND(E9617&lt;&gt;"""", F9617=""""), ""真實支出"",
  AND(E9617="""", F9617&lt;&gt;""""), ""真實收入"",
  TRUE, ""其他""
)"),"其他")</f>
        <v>其他</v>
      </c>
      <c r="K9617" s="270" t="str">
        <f t="shared" si="2"/>
        <v/>
      </c>
      <c r="L9617">
        <f t="shared" si="3"/>
        <v>0</v>
      </c>
    </row>
    <row r="9618">
      <c r="A9618" s="107"/>
      <c r="D9618" s="270"/>
      <c r="H9618" s="106" t="str">
        <f t="shared" si="1"/>
        <v/>
      </c>
      <c r="J9618" t="str">
        <f>IFERROR(__xludf.DUMMYFUNCTION("IFS(
  AND(REGEXMATCH(E9618, ""台銀籌備帳戶|玉山帳戶""), REGEXMATCH(C9618, ""薪資"")), ""分潤支出"",
  AND(REGEXMATCH(E9618, ""Ben帳戶|Elsa帳戶|Ben代墊|Ariel代墊|中信銀行共用""), REGEXMATCH(F9618, ""Ben帳戶|Elsa帳戶|Ben代墊|Ariel代墊|中信銀行共用"")), ""內部轉帳(忽略)"",
  AND(E9618&lt;&gt;"""", F9618&lt;&gt;"""", N"&amp;"OT(REGEXMATCH(C9618, ""薪資""))), ""內部轉帳(忽略)"",
  REGEXMATCH(C9618, ""薪資""), ""薪資變動(不計入)"",
  REGEXMATCH(C9618, ""押金""), ""押金往來"",
  AND(E9618&lt;&gt;"""", F9618=""""), ""真實支出"",
  AND(E9618="""", F9618&lt;&gt;""""), ""真實收入"",
  TRUE, ""其他""
)"),"其他")</f>
        <v>其他</v>
      </c>
      <c r="K9618" s="270" t="str">
        <f t="shared" si="2"/>
        <v/>
      </c>
      <c r="L9618">
        <f t="shared" si="3"/>
        <v>0</v>
      </c>
    </row>
    <row r="9619">
      <c r="A9619" s="107"/>
      <c r="D9619" s="270"/>
      <c r="H9619" s="106" t="str">
        <f t="shared" si="1"/>
        <v/>
      </c>
      <c r="J9619" t="str">
        <f>IFERROR(__xludf.DUMMYFUNCTION("IFS(
  AND(REGEXMATCH(E9619, ""台銀籌備帳戶|玉山帳戶""), REGEXMATCH(C9619, ""薪資"")), ""分潤支出"",
  AND(REGEXMATCH(E9619, ""Ben帳戶|Elsa帳戶|Ben代墊|Ariel代墊|中信銀行共用""), REGEXMATCH(F9619, ""Ben帳戶|Elsa帳戶|Ben代墊|Ariel代墊|中信銀行共用"")), ""內部轉帳(忽略)"",
  AND(E9619&lt;&gt;"""", F9619&lt;&gt;"""", N"&amp;"OT(REGEXMATCH(C9619, ""薪資""))), ""內部轉帳(忽略)"",
  REGEXMATCH(C9619, ""薪資""), ""薪資變動(不計入)"",
  REGEXMATCH(C9619, ""押金""), ""押金往來"",
  AND(E9619&lt;&gt;"""", F9619=""""), ""真實支出"",
  AND(E9619="""", F9619&lt;&gt;""""), ""真實收入"",
  TRUE, ""其他""
)"),"其他")</f>
        <v>其他</v>
      </c>
      <c r="K9619" s="270" t="str">
        <f t="shared" si="2"/>
        <v/>
      </c>
      <c r="L9619">
        <f t="shared" si="3"/>
        <v>0</v>
      </c>
    </row>
    <row r="9620">
      <c r="A9620" s="107"/>
      <c r="D9620" s="270"/>
      <c r="H9620" s="106" t="str">
        <f t="shared" si="1"/>
        <v/>
      </c>
      <c r="J9620" t="str">
        <f>IFERROR(__xludf.DUMMYFUNCTION("IFS(
  AND(REGEXMATCH(E9620, ""台銀籌備帳戶|玉山帳戶""), REGEXMATCH(C9620, ""薪資"")), ""分潤支出"",
  AND(REGEXMATCH(E9620, ""Ben帳戶|Elsa帳戶|Ben代墊|Ariel代墊|中信銀行共用""), REGEXMATCH(F9620, ""Ben帳戶|Elsa帳戶|Ben代墊|Ariel代墊|中信銀行共用"")), ""內部轉帳(忽略)"",
  AND(E9620&lt;&gt;"""", F9620&lt;&gt;"""", N"&amp;"OT(REGEXMATCH(C9620, ""薪資""))), ""內部轉帳(忽略)"",
  REGEXMATCH(C9620, ""薪資""), ""薪資變動(不計入)"",
  REGEXMATCH(C9620, ""押金""), ""押金往來"",
  AND(E9620&lt;&gt;"""", F9620=""""), ""真實支出"",
  AND(E9620="""", F9620&lt;&gt;""""), ""真實收入"",
  TRUE, ""其他""
)"),"其他")</f>
        <v>其他</v>
      </c>
      <c r="K9620" s="270" t="str">
        <f t="shared" si="2"/>
        <v/>
      </c>
      <c r="L9620">
        <f t="shared" si="3"/>
        <v>0</v>
      </c>
    </row>
    <row r="9621">
      <c r="A9621" s="107"/>
      <c r="D9621" s="270"/>
      <c r="H9621" s="106" t="str">
        <f t="shared" si="1"/>
        <v/>
      </c>
      <c r="J9621" t="str">
        <f>IFERROR(__xludf.DUMMYFUNCTION("IFS(
  AND(REGEXMATCH(E9621, ""台銀籌備帳戶|玉山帳戶""), REGEXMATCH(C9621, ""薪資"")), ""分潤支出"",
  AND(REGEXMATCH(E9621, ""Ben帳戶|Elsa帳戶|Ben代墊|Ariel代墊|中信銀行共用""), REGEXMATCH(F9621, ""Ben帳戶|Elsa帳戶|Ben代墊|Ariel代墊|中信銀行共用"")), ""內部轉帳(忽略)"",
  AND(E9621&lt;&gt;"""", F9621&lt;&gt;"""", N"&amp;"OT(REGEXMATCH(C9621, ""薪資""))), ""內部轉帳(忽略)"",
  REGEXMATCH(C9621, ""薪資""), ""薪資變動(不計入)"",
  REGEXMATCH(C9621, ""押金""), ""押金往來"",
  AND(E9621&lt;&gt;"""", F9621=""""), ""真實支出"",
  AND(E9621="""", F9621&lt;&gt;""""), ""真實收入"",
  TRUE, ""其他""
)"),"其他")</f>
        <v>其他</v>
      </c>
      <c r="K9621" s="270" t="str">
        <f t="shared" si="2"/>
        <v/>
      </c>
      <c r="L9621">
        <f t="shared" si="3"/>
        <v>0</v>
      </c>
    </row>
    <row r="9622">
      <c r="A9622" s="107"/>
      <c r="D9622" s="270"/>
      <c r="H9622" s="106" t="str">
        <f t="shared" si="1"/>
        <v/>
      </c>
      <c r="J9622" t="str">
        <f>IFERROR(__xludf.DUMMYFUNCTION("IFS(
  AND(REGEXMATCH(E9622, ""台銀籌備帳戶|玉山帳戶""), REGEXMATCH(C9622, ""薪資"")), ""分潤支出"",
  AND(REGEXMATCH(E9622, ""Ben帳戶|Elsa帳戶|Ben代墊|Ariel代墊|中信銀行共用""), REGEXMATCH(F9622, ""Ben帳戶|Elsa帳戶|Ben代墊|Ariel代墊|中信銀行共用"")), ""內部轉帳(忽略)"",
  AND(E9622&lt;&gt;"""", F9622&lt;&gt;"""", N"&amp;"OT(REGEXMATCH(C9622, ""薪資""))), ""內部轉帳(忽略)"",
  REGEXMATCH(C9622, ""薪資""), ""薪資變動(不計入)"",
  REGEXMATCH(C9622, ""押金""), ""押金往來"",
  AND(E9622&lt;&gt;"""", F9622=""""), ""真實支出"",
  AND(E9622="""", F9622&lt;&gt;""""), ""真實收入"",
  TRUE, ""其他""
)"),"其他")</f>
        <v>其他</v>
      </c>
      <c r="K9622" s="270" t="str">
        <f t="shared" si="2"/>
        <v/>
      </c>
      <c r="L9622">
        <f t="shared" si="3"/>
        <v>0</v>
      </c>
    </row>
    <row r="9623">
      <c r="A9623" s="107"/>
      <c r="D9623" s="270"/>
      <c r="H9623" s="106" t="str">
        <f t="shared" si="1"/>
        <v/>
      </c>
      <c r="J9623" t="str">
        <f>IFERROR(__xludf.DUMMYFUNCTION("IFS(
  AND(REGEXMATCH(E9623, ""台銀籌備帳戶|玉山帳戶""), REGEXMATCH(C9623, ""薪資"")), ""分潤支出"",
  AND(REGEXMATCH(E9623, ""Ben帳戶|Elsa帳戶|Ben代墊|Ariel代墊|中信銀行共用""), REGEXMATCH(F9623, ""Ben帳戶|Elsa帳戶|Ben代墊|Ariel代墊|中信銀行共用"")), ""內部轉帳(忽略)"",
  AND(E9623&lt;&gt;"""", F9623&lt;&gt;"""", N"&amp;"OT(REGEXMATCH(C9623, ""薪資""))), ""內部轉帳(忽略)"",
  REGEXMATCH(C9623, ""薪資""), ""薪資變動(不計入)"",
  REGEXMATCH(C9623, ""押金""), ""押金往來"",
  AND(E9623&lt;&gt;"""", F9623=""""), ""真實支出"",
  AND(E9623="""", F9623&lt;&gt;""""), ""真實收入"",
  TRUE, ""其他""
)"),"其他")</f>
        <v>其他</v>
      </c>
      <c r="K9623" s="270" t="str">
        <f t="shared" si="2"/>
        <v/>
      </c>
      <c r="L9623">
        <f t="shared" si="3"/>
        <v>0</v>
      </c>
    </row>
    <row r="9624">
      <c r="A9624" s="107"/>
      <c r="D9624" s="270"/>
      <c r="H9624" s="106" t="str">
        <f t="shared" si="1"/>
        <v/>
      </c>
      <c r="J9624" t="str">
        <f>IFERROR(__xludf.DUMMYFUNCTION("IFS(
  AND(REGEXMATCH(E9624, ""台銀籌備帳戶|玉山帳戶""), REGEXMATCH(C9624, ""薪資"")), ""分潤支出"",
  AND(REGEXMATCH(E9624, ""Ben帳戶|Elsa帳戶|Ben代墊|Ariel代墊|中信銀行共用""), REGEXMATCH(F9624, ""Ben帳戶|Elsa帳戶|Ben代墊|Ariel代墊|中信銀行共用"")), ""內部轉帳(忽略)"",
  AND(E9624&lt;&gt;"""", F9624&lt;&gt;"""", N"&amp;"OT(REGEXMATCH(C9624, ""薪資""))), ""內部轉帳(忽略)"",
  REGEXMATCH(C9624, ""薪資""), ""薪資變動(不計入)"",
  REGEXMATCH(C9624, ""押金""), ""押金往來"",
  AND(E9624&lt;&gt;"""", F9624=""""), ""真實支出"",
  AND(E9624="""", F9624&lt;&gt;""""), ""真實收入"",
  TRUE, ""其他""
)"),"其他")</f>
        <v>其他</v>
      </c>
      <c r="K9624" s="270" t="str">
        <f t="shared" si="2"/>
        <v/>
      </c>
      <c r="L9624">
        <f t="shared" si="3"/>
        <v>0</v>
      </c>
    </row>
    <row r="9625">
      <c r="A9625" s="107"/>
      <c r="D9625" s="270"/>
      <c r="H9625" s="106" t="str">
        <f t="shared" si="1"/>
        <v/>
      </c>
      <c r="J9625" t="str">
        <f>IFERROR(__xludf.DUMMYFUNCTION("IFS(
  AND(REGEXMATCH(E9625, ""台銀籌備帳戶|玉山帳戶""), REGEXMATCH(C9625, ""薪資"")), ""分潤支出"",
  AND(REGEXMATCH(E9625, ""Ben帳戶|Elsa帳戶|Ben代墊|Ariel代墊|中信銀行共用""), REGEXMATCH(F9625, ""Ben帳戶|Elsa帳戶|Ben代墊|Ariel代墊|中信銀行共用"")), ""內部轉帳(忽略)"",
  AND(E9625&lt;&gt;"""", F9625&lt;&gt;"""", N"&amp;"OT(REGEXMATCH(C9625, ""薪資""))), ""內部轉帳(忽略)"",
  REGEXMATCH(C9625, ""薪資""), ""薪資變動(不計入)"",
  REGEXMATCH(C9625, ""押金""), ""押金往來"",
  AND(E9625&lt;&gt;"""", F9625=""""), ""真實支出"",
  AND(E9625="""", F9625&lt;&gt;""""), ""真實收入"",
  TRUE, ""其他""
)"),"其他")</f>
        <v>其他</v>
      </c>
      <c r="K9625" s="270" t="str">
        <f t="shared" si="2"/>
        <v/>
      </c>
      <c r="L9625">
        <f t="shared" si="3"/>
        <v>0</v>
      </c>
    </row>
    <row r="9626">
      <c r="A9626" s="107"/>
      <c r="D9626" s="270"/>
      <c r="H9626" s="106" t="str">
        <f t="shared" si="1"/>
        <v/>
      </c>
      <c r="J9626" t="str">
        <f>IFERROR(__xludf.DUMMYFUNCTION("IFS(
  AND(REGEXMATCH(E9626, ""台銀籌備帳戶|玉山帳戶""), REGEXMATCH(C9626, ""薪資"")), ""分潤支出"",
  AND(REGEXMATCH(E9626, ""Ben帳戶|Elsa帳戶|Ben代墊|Ariel代墊|中信銀行共用""), REGEXMATCH(F9626, ""Ben帳戶|Elsa帳戶|Ben代墊|Ariel代墊|中信銀行共用"")), ""內部轉帳(忽略)"",
  AND(E9626&lt;&gt;"""", F9626&lt;&gt;"""", N"&amp;"OT(REGEXMATCH(C9626, ""薪資""))), ""內部轉帳(忽略)"",
  REGEXMATCH(C9626, ""薪資""), ""薪資變動(不計入)"",
  REGEXMATCH(C9626, ""押金""), ""押金往來"",
  AND(E9626&lt;&gt;"""", F9626=""""), ""真實支出"",
  AND(E9626="""", F9626&lt;&gt;""""), ""真實收入"",
  TRUE, ""其他""
)"),"其他")</f>
        <v>其他</v>
      </c>
      <c r="K9626" s="270" t="str">
        <f t="shared" si="2"/>
        <v/>
      </c>
      <c r="L9626">
        <f t="shared" si="3"/>
        <v>0</v>
      </c>
    </row>
    <row r="9627">
      <c r="A9627" s="107"/>
      <c r="D9627" s="270"/>
      <c r="H9627" s="106" t="str">
        <f t="shared" si="1"/>
        <v/>
      </c>
      <c r="J9627" t="str">
        <f>IFERROR(__xludf.DUMMYFUNCTION("IFS(
  AND(REGEXMATCH(E9627, ""台銀籌備帳戶|玉山帳戶""), REGEXMATCH(C9627, ""薪資"")), ""分潤支出"",
  AND(REGEXMATCH(E9627, ""Ben帳戶|Elsa帳戶|Ben代墊|Ariel代墊|中信銀行共用""), REGEXMATCH(F9627, ""Ben帳戶|Elsa帳戶|Ben代墊|Ariel代墊|中信銀行共用"")), ""內部轉帳(忽略)"",
  AND(E9627&lt;&gt;"""", F9627&lt;&gt;"""", N"&amp;"OT(REGEXMATCH(C9627, ""薪資""))), ""內部轉帳(忽略)"",
  REGEXMATCH(C9627, ""薪資""), ""薪資變動(不計入)"",
  REGEXMATCH(C9627, ""押金""), ""押金往來"",
  AND(E9627&lt;&gt;"""", F9627=""""), ""真實支出"",
  AND(E9627="""", F9627&lt;&gt;""""), ""真實收入"",
  TRUE, ""其他""
)"),"其他")</f>
        <v>其他</v>
      </c>
      <c r="K9627" s="270" t="str">
        <f t="shared" si="2"/>
        <v/>
      </c>
      <c r="L9627">
        <f t="shared" si="3"/>
        <v>0</v>
      </c>
    </row>
    <row r="9628">
      <c r="A9628" s="107"/>
      <c r="D9628" s="270"/>
      <c r="H9628" s="106" t="str">
        <f t="shared" si="1"/>
        <v/>
      </c>
      <c r="J9628" t="str">
        <f>IFERROR(__xludf.DUMMYFUNCTION("IFS(
  AND(REGEXMATCH(E9628, ""台銀籌備帳戶|玉山帳戶""), REGEXMATCH(C9628, ""薪資"")), ""分潤支出"",
  AND(REGEXMATCH(E9628, ""Ben帳戶|Elsa帳戶|Ben代墊|Ariel代墊|中信銀行共用""), REGEXMATCH(F9628, ""Ben帳戶|Elsa帳戶|Ben代墊|Ariel代墊|中信銀行共用"")), ""內部轉帳(忽略)"",
  AND(E9628&lt;&gt;"""", F9628&lt;&gt;"""", N"&amp;"OT(REGEXMATCH(C9628, ""薪資""))), ""內部轉帳(忽略)"",
  REGEXMATCH(C9628, ""薪資""), ""薪資變動(不計入)"",
  REGEXMATCH(C9628, ""押金""), ""押金往來"",
  AND(E9628&lt;&gt;"""", F9628=""""), ""真實支出"",
  AND(E9628="""", F9628&lt;&gt;""""), ""真實收入"",
  TRUE, ""其他""
)"),"其他")</f>
        <v>其他</v>
      </c>
      <c r="K9628" s="270" t="str">
        <f t="shared" si="2"/>
        <v/>
      </c>
      <c r="L9628">
        <f t="shared" si="3"/>
        <v>0</v>
      </c>
    </row>
    <row r="9629">
      <c r="A9629" s="107"/>
      <c r="D9629" s="270"/>
      <c r="H9629" s="106" t="str">
        <f t="shared" si="1"/>
        <v/>
      </c>
      <c r="J9629" t="str">
        <f>IFERROR(__xludf.DUMMYFUNCTION("IFS(
  AND(REGEXMATCH(E9629, ""台銀籌備帳戶|玉山帳戶""), REGEXMATCH(C9629, ""薪資"")), ""分潤支出"",
  AND(REGEXMATCH(E9629, ""Ben帳戶|Elsa帳戶|Ben代墊|Ariel代墊|中信銀行共用""), REGEXMATCH(F9629, ""Ben帳戶|Elsa帳戶|Ben代墊|Ariel代墊|中信銀行共用"")), ""內部轉帳(忽略)"",
  AND(E9629&lt;&gt;"""", F9629&lt;&gt;"""", N"&amp;"OT(REGEXMATCH(C9629, ""薪資""))), ""內部轉帳(忽略)"",
  REGEXMATCH(C9629, ""薪資""), ""薪資變動(不計入)"",
  REGEXMATCH(C9629, ""押金""), ""押金往來"",
  AND(E9629&lt;&gt;"""", F9629=""""), ""真實支出"",
  AND(E9629="""", F9629&lt;&gt;""""), ""真實收入"",
  TRUE, ""其他""
)"),"其他")</f>
        <v>其他</v>
      </c>
      <c r="K9629" s="270" t="str">
        <f t="shared" si="2"/>
        <v/>
      </c>
      <c r="L9629">
        <f t="shared" si="3"/>
        <v>0</v>
      </c>
    </row>
    <row r="9630">
      <c r="A9630" s="107"/>
      <c r="D9630" s="270"/>
      <c r="H9630" s="106" t="str">
        <f t="shared" si="1"/>
        <v/>
      </c>
      <c r="J9630" t="str">
        <f>IFERROR(__xludf.DUMMYFUNCTION("IFS(
  AND(REGEXMATCH(E9630, ""台銀籌備帳戶|玉山帳戶""), REGEXMATCH(C9630, ""薪資"")), ""分潤支出"",
  AND(REGEXMATCH(E9630, ""Ben帳戶|Elsa帳戶|Ben代墊|Ariel代墊|中信銀行共用""), REGEXMATCH(F9630, ""Ben帳戶|Elsa帳戶|Ben代墊|Ariel代墊|中信銀行共用"")), ""內部轉帳(忽略)"",
  AND(E9630&lt;&gt;"""", F9630&lt;&gt;"""", N"&amp;"OT(REGEXMATCH(C9630, ""薪資""))), ""內部轉帳(忽略)"",
  REGEXMATCH(C9630, ""薪資""), ""薪資變動(不計入)"",
  REGEXMATCH(C9630, ""押金""), ""押金往來"",
  AND(E9630&lt;&gt;"""", F9630=""""), ""真實支出"",
  AND(E9630="""", F9630&lt;&gt;""""), ""真實收入"",
  TRUE, ""其他""
)"),"其他")</f>
        <v>其他</v>
      </c>
      <c r="K9630" s="270" t="str">
        <f t="shared" si="2"/>
        <v/>
      </c>
      <c r="L9630">
        <f t="shared" si="3"/>
        <v>0</v>
      </c>
    </row>
    <row r="9631">
      <c r="A9631" s="107"/>
      <c r="D9631" s="270"/>
      <c r="H9631" s="106" t="str">
        <f t="shared" si="1"/>
        <v/>
      </c>
      <c r="J9631" t="str">
        <f>IFERROR(__xludf.DUMMYFUNCTION("IFS(
  AND(REGEXMATCH(E9631, ""台銀籌備帳戶|玉山帳戶""), REGEXMATCH(C9631, ""薪資"")), ""分潤支出"",
  AND(REGEXMATCH(E9631, ""Ben帳戶|Elsa帳戶|Ben代墊|Ariel代墊|中信銀行共用""), REGEXMATCH(F9631, ""Ben帳戶|Elsa帳戶|Ben代墊|Ariel代墊|中信銀行共用"")), ""內部轉帳(忽略)"",
  AND(E9631&lt;&gt;"""", F9631&lt;&gt;"""", N"&amp;"OT(REGEXMATCH(C9631, ""薪資""))), ""內部轉帳(忽略)"",
  REGEXMATCH(C9631, ""薪資""), ""薪資變動(不計入)"",
  REGEXMATCH(C9631, ""押金""), ""押金往來"",
  AND(E9631&lt;&gt;"""", F9631=""""), ""真實支出"",
  AND(E9631="""", F9631&lt;&gt;""""), ""真實收入"",
  TRUE, ""其他""
)"),"其他")</f>
        <v>其他</v>
      </c>
      <c r="K9631" s="270" t="str">
        <f t="shared" si="2"/>
        <v/>
      </c>
      <c r="L9631">
        <f t="shared" si="3"/>
        <v>0</v>
      </c>
    </row>
    <row r="9632">
      <c r="A9632" s="107"/>
      <c r="D9632" s="270"/>
      <c r="H9632" s="106" t="str">
        <f t="shared" si="1"/>
        <v/>
      </c>
      <c r="J9632" t="str">
        <f>IFERROR(__xludf.DUMMYFUNCTION("IFS(
  AND(REGEXMATCH(E9632, ""台銀籌備帳戶|玉山帳戶""), REGEXMATCH(C9632, ""薪資"")), ""分潤支出"",
  AND(REGEXMATCH(E9632, ""Ben帳戶|Elsa帳戶|Ben代墊|Ariel代墊|中信銀行共用""), REGEXMATCH(F9632, ""Ben帳戶|Elsa帳戶|Ben代墊|Ariel代墊|中信銀行共用"")), ""內部轉帳(忽略)"",
  AND(E9632&lt;&gt;"""", F9632&lt;&gt;"""", N"&amp;"OT(REGEXMATCH(C9632, ""薪資""))), ""內部轉帳(忽略)"",
  REGEXMATCH(C9632, ""薪資""), ""薪資變動(不計入)"",
  REGEXMATCH(C9632, ""押金""), ""押金往來"",
  AND(E9632&lt;&gt;"""", F9632=""""), ""真實支出"",
  AND(E9632="""", F9632&lt;&gt;""""), ""真實收入"",
  TRUE, ""其他""
)"),"其他")</f>
        <v>其他</v>
      </c>
      <c r="K9632" s="270" t="str">
        <f t="shared" si="2"/>
        <v/>
      </c>
      <c r="L9632">
        <f t="shared" si="3"/>
        <v>0</v>
      </c>
    </row>
    <row r="9633">
      <c r="A9633" s="107"/>
      <c r="D9633" s="270"/>
      <c r="H9633" s="106" t="str">
        <f t="shared" si="1"/>
        <v/>
      </c>
      <c r="J9633" t="str">
        <f>IFERROR(__xludf.DUMMYFUNCTION("IFS(
  AND(REGEXMATCH(E9633, ""台銀籌備帳戶|玉山帳戶""), REGEXMATCH(C9633, ""薪資"")), ""分潤支出"",
  AND(REGEXMATCH(E9633, ""Ben帳戶|Elsa帳戶|Ben代墊|Ariel代墊|中信銀行共用""), REGEXMATCH(F9633, ""Ben帳戶|Elsa帳戶|Ben代墊|Ariel代墊|中信銀行共用"")), ""內部轉帳(忽略)"",
  AND(E9633&lt;&gt;"""", F9633&lt;&gt;"""", N"&amp;"OT(REGEXMATCH(C9633, ""薪資""))), ""內部轉帳(忽略)"",
  REGEXMATCH(C9633, ""薪資""), ""薪資變動(不計入)"",
  REGEXMATCH(C9633, ""押金""), ""押金往來"",
  AND(E9633&lt;&gt;"""", F9633=""""), ""真實支出"",
  AND(E9633="""", F9633&lt;&gt;""""), ""真實收入"",
  TRUE, ""其他""
)"),"其他")</f>
        <v>其他</v>
      </c>
      <c r="K9633" s="270" t="str">
        <f t="shared" si="2"/>
        <v/>
      </c>
      <c r="L9633">
        <f t="shared" si="3"/>
        <v>0</v>
      </c>
    </row>
    <row r="9634">
      <c r="A9634" s="107"/>
      <c r="D9634" s="270"/>
      <c r="H9634" s="106" t="str">
        <f t="shared" si="1"/>
        <v/>
      </c>
      <c r="J9634" t="str">
        <f>IFERROR(__xludf.DUMMYFUNCTION("IFS(
  AND(REGEXMATCH(E9634, ""台銀籌備帳戶|玉山帳戶""), REGEXMATCH(C9634, ""薪資"")), ""分潤支出"",
  AND(REGEXMATCH(E9634, ""Ben帳戶|Elsa帳戶|Ben代墊|Ariel代墊|中信銀行共用""), REGEXMATCH(F9634, ""Ben帳戶|Elsa帳戶|Ben代墊|Ariel代墊|中信銀行共用"")), ""內部轉帳(忽略)"",
  AND(E9634&lt;&gt;"""", F9634&lt;&gt;"""", N"&amp;"OT(REGEXMATCH(C9634, ""薪資""))), ""內部轉帳(忽略)"",
  REGEXMATCH(C9634, ""薪資""), ""薪資變動(不計入)"",
  REGEXMATCH(C9634, ""押金""), ""押金往來"",
  AND(E9634&lt;&gt;"""", F9634=""""), ""真實支出"",
  AND(E9634="""", F9634&lt;&gt;""""), ""真實收入"",
  TRUE, ""其他""
)"),"其他")</f>
        <v>其他</v>
      </c>
      <c r="K9634" s="270" t="str">
        <f t="shared" si="2"/>
        <v/>
      </c>
      <c r="L9634">
        <f t="shared" si="3"/>
        <v>0</v>
      </c>
    </row>
    <row r="9635">
      <c r="A9635" s="107"/>
      <c r="D9635" s="270"/>
      <c r="H9635" s="106" t="str">
        <f t="shared" si="1"/>
        <v/>
      </c>
      <c r="J9635" t="str">
        <f>IFERROR(__xludf.DUMMYFUNCTION("IFS(
  AND(REGEXMATCH(E9635, ""台銀籌備帳戶|玉山帳戶""), REGEXMATCH(C9635, ""薪資"")), ""分潤支出"",
  AND(REGEXMATCH(E9635, ""Ben帳戶|Elsa帳戶|Ben代墊|Ariel代墊|中信銀行共用""), REGEXMATCH(F9635, ""Ben帳戶|Elsa帳戶|Ben代墊|Ariel代墊|中信銀行共用"")), ""內部轉帳(忽略)"",
  AND(E9635&lt;&gt;"""", F9635&lt;&gt;"""", N"&amp;"OT(REGEXMATCH(C9635, ""薪資""))), ""內部轉帳(忽略)"",
  REGEXMATCH(C9635, ""薪資""), ""薪資變動(不計入)"",
  REGEXMATCH(C9635, ""押金""), ""押金往來"",
  AND(E9635&lt;&gt;"""", F9635=""""), ""真實支出"",
  AND(E9635="""", F9635&lt;&gt;""""), ""真實收入"",
  TRUE, ""其他""
)"),"其他")</f>
        <v>其他</v>
      </c>
      <c r="K9635" s="270" t="str">
        <f t="shared" si="2"/>
        <v/>
      </c>
      <c r="L9635">
        <f t="shared" si="3"/>
        <v>0</v>
      </c>
    </row>
    <row r="9636">
      <c r="A9636" s="107"/>
      <c r="D9636" s="270"/>
      <c r="H9636" s="106" t="str">
        <f t="shared" si="1"/>
        <v/>
      </c>
      <c r="J9636" t="str">
        <f>IFERROR(__xludf.DUMMYFUNCTION("IFS(
  AND(REGEXMATCH(E9636, ""台銀籌備帳戶|玉山帳戶""), REGEXMATCH(C9636, ""薪資"")), ""分潤支出"",
  AND(REGEXMATCH(E9636, ""Ben帳戶|Elsa帳戶|Ben代墊|Ariel代墊|中信銀行共用""), REGEXMATCH(F9636, ""Ben帳戶|Elsa帳戶|Ben代墊|Ariel代墊|中信銀行共用"")), ""內部轉帳(忽略)"",
  AND(E9636&lt;&gt;"""", F9636&lt;&gt;"""", N"&amp;"OT(REGEXMATCH(C9636, ""薪資""))), ""內部轉帳(忽略)"",
  REGEXMATCH(C9636, ""薪資""), ""薪資變動(不計入)"",
  REGEXMATCH(C9636, ""押金""), ""押金往來"",
  AND(E9636&lt;&gt;"""", F9636=""""), ""真實支出"",
  AND(E9636="""", F9636&lt;&gt;""""), ""真實收入"",
  TRUE, ""其他""
)"),"其他")</f>
        <v>其他</v>
      </c>
      <c r="K9636" s="270" t="str">
        <f t="shared" si="2"/>
        <v/>
      </c>
      <c r="L9636">
        <f t="shared" si="3"/>
        <v>0</v>
      </c>
    </row>
    <row r="9637">
      <c r="A9637" s="107"/>
      <c r="D9637" s="270"/>
      <c r="H9637" s="106" t="str">
        <f t="shared" si="1"/>
        <v/>
      </c>
      <c r="J9637" t="str">
        <f>IFERROR(__xludf.DUMMYFUNCTION("IFS(
  AND(REGEXMATCH(E9637, ""台銀籌備帳戶|玉山帳戶""), REGEXMATCH(C9637, ""薪資"")), ""分潤支出"",
  AND(REGEXMATCH(E9637, ""Ben帳戶|Elsa帳戶|Ben代墊|Ariel代墊|中信銀行共用""), REGEXMATCH(F9637, ""Ben帳戶|Elsa帳戶|Ben代墊|Ariel代墊|中信銀行共用"")), ""內部轉帳(忽略)"",
  AND(E9637&lt;&gt;"""", F9637&lt;&gt;"""", N"&amp;"OT(REGEXMATCH(C9637, ""薪資""))), ""內部轉帳(忽略)"",
  REGEXMATCH(C9637, ""薪資""), ""薪資變動(不計入)"",
  REGEXMATCH(C9637, ""押金""), ""押金往來"",
  AND(E9637&lt;&gt;"""", F9637=""""), ""真實支出"",
  AND(E9637="""", F9637&lt;&gt;""""), ""真實收入"",
  TRUE, ""其他""
)"),"其他")</f>
        <v>其他</v>
      </c>
      <c r="K9637" s="270" t="str">
        <f t="shared" si="2"/>
        <v/>
      </c>
      <c r="L9637">
        <f t="shared" si="3"/>
        <v>0</v>
      </c>
    </row>
    <row r="9638">
      <c r="A9638" s="107"/>
      <c r="D9638" s="270"/>
      <c r="H9638" s="106" t="str">
        <f t="shared" si="1"/>
        <v/>
      </c>
      <c r="J9638" t="str">
        <f>IFERROR(__xludf.DUMMYFUNCTION("IFS(
  AND(REGEXMATCH(E9638, ""台銀籌備帳戶|玉山帳戶""), REGEXMATCH(C9638, ""薪資"")), ""分潤支出"",
  AND(REGEXMATCH(E9638, ""Ben帳戶|Elsa帳戶|Ben代墊|Ariel代墊|中信銀行共用""), REGEXMATCH(F9638, ""Ben帳戶|Elsa帳戶|Ben代墊|Ariel代墊|中信銀行共用"")), ""內部轉帳(忽略)"",
  AND(E9638&lt;&gt;"""", F9638&lt;&gt;"""", N"&amp;"OT(REGEXMATCH(C9638, ""薪資""))), ""內部轉帳(忽略)"",
  REGEXMATCH(C9638, ""薪資""), ""薪資變動(不計入)"",
  REGEXMATCH(C9638, ""押金""), ""押金往來"",
  AND(E9638&lt;&gt;"""", F9638=""""), ""真實支出"",
  AND(E9638="""", F9638&lt;&gt;""""), ""真實收入"",
  TRUE, ""其他""
)"),"其他")</f>
        <v>其他</v>
      </c>
      <c r="K9638" s="270" t="str">
        <f t="shared" si="2"/>
        <v/>
      </c>
      <c r="L9638">
        <f t="shared" si="3"/>
        <v>0</v>
      </c>
    </row>
    <row r="9639">
      <c r="A9639" s="107"/>
      <c r="D9639" s="270"/>
      <c r="H9639" s="106" t="str">
        <f t="shared" si="1"/>
        <v/>
      </c>
      <c r="J9639" t="str">
        <f>IFERROR(__xludf.DUMMYFUNCTION("IFS(
  AND(REGEXMATCH(E9639, ""台銀籌備帳戶|玉山帳戶""), REGEXMATCH(C9639, ""薪資"")), ""分潤支出"",
  AND(REGEXMATCH(E9639, ""Ben帳戶|Elsa帳戶|Ben代墊|Ariel代墊|中信銀行共用""), REGEXMATCH(F9639, ""Ben帳戶|Elsa帳戶|Ben代墊|Ariel代墊|中信銀行共用"")), ""內部轉帳(忽略)"",
  AND(E9639&lt;&gt;"""", F9639&lt;&gt;"""", N"&amp;"OT(REGEXMATCH(C9639, ""薪資""))), ""內部轉帳(忽略)"",
  REGEXMATCH(C9639, ""薪資""), ""薪資變動(不計入)"",
  REGEXMATCH(C9639, ""押金""), ""押金往來"",
  AND(E9639&lt;&gt;"""", F9639=""""), ""真實支出"",
  AND(E9639="""", F9639&lt;&gt;""""), ""真實收入"",
  TRUE, ""其他""
)"),"其他")</f>
        <v>其他</v>
      </c>
      <c r="K9639" s="270" t="str">
        <f t="shared" si="2"/>
        <v/>
      </c>
      <c r="L9639">
        <f t="shared" si="3"/>
        <v>0</v>
      </c>
    </row>
    <row r="9640">
      <c r="A9640" s="107"/>
      <c r="D9640" s="270"/>
      <c r="H9640" s="106" t="str">
        <f t="shared" si="1"/>
        <v/>
      </c>
      <c r="J9640" t="str">
        <f>IFERROR(__xludf.DUMMYFUNCTION("IFS(
  AND(REGEXMATCH(E9640, ""台銀籌備帳戶|玉山帳戶""), REGEXMATCH(C9640, ""薪資"")), ""分潤支出"",
  AND(REGEXMATCH(E9640, ""Ben帳戶|Elsa帳戶|Ben代墊|Ariel代墊|中信銀行共用""), REGEXMATCH(F9640, ""Ben帳戶|Elsa帳戶|Ben代墊|Ariel代墊|中信銀行共用"")), ""內部轉帳(忽略)"",
  AND(E9640&lt;&gt;"""", F9640&lt;&gt;"""", N"&amp;"OT(REGEXMATCH(C9640, ""薪資""))), ""內部轉帳(忽略)"",
  REGEXMATCH(C9640, ""薪資""), ""薪資變動(不計入)"",
  REGEXMATCH(C9640, ""押金""), ""押金往來"",
  AND(E9640&lt;&gt;"""", F9640=""""), ""真實支出"",
  AND(E9640="""", F9640&lt;&gt;""""), ""真實收入"",
  TRUE, ""其他""
)"),"其他")</f>
        <v>其他</v>
      </c>
      <c r="K9640" s="270" t="str">
        <f t="shared" si="2"/>
        <v/>
      </c>
      <c r="L9640">
        <f t="shared" si="3"/>
        <v>0</v>
      </c>
    </row>
    <row r="9641">
      <c r="A9641" s="107"/>
      <c r="D9641" s="270"/>
      <c r="H9641" s="106" t="str">
        <f t="shared" si="1"/>
        <v/>
      </c>
      <c r="J9641" t="str">
        <f>IFERROR(__xludf.DUMMYFUNCTION("IFS(
  AND(REGEXMATCH(E9641, ""台銀籌備帳戶|玉山帳戶""), REGEXMATCH(C9641, ""薪資"")), ""分潤支出"",
  AND(REGEXMATCH(E9641, ""Ben帳戶|Elsa帳戶|Ben代墊|Ariel代墊|中信銀行共用""), REGEXMATCH(F9641, ""Ben帳戶|Elsa帳戶|Ben代墊|Ariel代墊|中信銀行共用"")), ""內部轉帳(忽略)"",
  AND(E9641&lt;&gt;"""", F9641&lt;&gt;"""", N"&amp;"OT(REGEXMATCH(C9641, ""薪資""))), ""內部轉帳(忽略)"",
  REGEXMATCH(C9641, ""薪資""), ""薪資變動(不計入)"",
  REGEXMATCH(C9641, ""押金""), ""押金往來"",
  AND(E9641&lt;&gt;"""", F9641=""""), ""真實支出"",
  AND(E9641="""", F9641&lt;&gt;""""), ""真實收入"",
  TRUE, ""其他""
)"),"其他")</f>
        <v>其他</v>
      </c>
      <c r="K9641" s="270" t="str">
        <f t="shared" si="2"/>
        <v/>
      </c>
      <c r="L9641">
        <f t="shared" si="3"/>
        <v>0</v>
      </c>
    </row>
    <row r="9642">
      <c r="A9642" s="107"/>
      <c r="D9642" s="270"/>
      <c r="H9642" s="106" t="str">
        <f t="shared" si="1"/>
        <v/>
      </c>
      <c r="J9642" t="str">
        <f>IFERROR(__xludf.DUMMYFUNCTION("IFS(
  AND(REGEXMATCH(E9642, ""台銀籌備帳戶|玉山帳戶""), REGEXMATCH(C9642, ""薪資"")), ""分潤支出"",
  AND(REGEXMATCH(E9642, ""Ben帳戶|Elsa帳戶|Ben代墊|Ariel代墊|中信銀行共用""), REGEXMATCH(F9642, ""Ben帳戶|Elsa帳戶|Ben代墊|Ariel代墊|中信銀行共用"")), ""內部轉帳(忽略)"",
  AND(E9642&lt;&gt;"""", F9642&lt;&gt;"""", N"&amp;"OT(REGEXMATCH(C9642, ""薪資""))), ""內部轉帳(忽略)"",
  REGEXMATCH(C9642, ""薪資""), ""薪資變動(不計入)"",
  REGEXMATCH(C9642, ""押金""), ""押金往來"",
  AND(E9642&lt;&gt;"""", F9642=""""), ""真實支出"",
  AND(E9642="""", F9642&lt;&gt;""""), ""真實收入"",
  TRUE, ""其他""
)"),"其他")</f>
        <v>其他</v>
      </c>
      <c r="K9642" s="270" t="str">
        <f t="shared" si="2"/>
        <v/>
      </c>
      <c r="L9642">
        <f t="shared" si="3"/>
        <v>0</v>
      </c>
    </row>
    <row r="9643">
      <c r="A9643" s="107"/>
      <c r="D9643" s="270"/>
      <c r="H9643" s="106" t="str">
        <f t="shared" si="1"/>
        <v/>
      </c>
      <c r="J9643" t="str">
        <f>IFERROR(__xludf.DUMMYFUNCTION("IFS(
  AND(REGEXMATCH(E9643, ""台銀籌備帳戶|玉山帳戶""), REGEXMATCH(C9643, ""薪資"")), ""分潤支出"",
  AND(REGEXMATCH(E9643, ""Ben帳戶|Elsa帳戶|Ben代墊|Ariel代墊|中信銀行共用""), REGEXMATCH(F9643, ""Ben帳戶|Elsa帳戶|Ben代墊|Ariel代墊|中信銀行共用"")), ""內部轉帳(忽略)"",
  AND(E9643&lt;&gt;"""", F9643&lt;&gt;"""", N"&amp;"OT(REGEXMATCH(C9643, ""薪資""))), ""內部轉帳(忽略)"",
  REGEXMATCH(C9643, ""薪資""), ""薪資變動(不計入)"",
  REGEXMATCH(C9643, ""押金""), ""押金往來"",
  AND(E9643&lt;&gt;"""", F9643=""""), ""真實支出"",
  AND(E9643="""", F9643&lt;&gt;""""), ""真實收入"",
  TRUE, ""其他""
)"),"其他")</f>
        <v>其他</v>
      </c>
      <c r="K9643" s="270" t="str">
        <f t="shared" si="2"/>
        <v/>
      </c>
      <c r="L9643">
        <f t="shared" si="3"/>
        <v>0</v>
      </c>
    </row>
    <row r="9644">
      <c r="A9644" s="107"/>
      <c r="D9644" s="270"/>
      <c r="H9644" s="106" t="str">
        <f t="shared" si="1"/>
        <v/>
      </c>
      <c r="J9644" t="str">
        <f>IFERROR(__xludf.DUMMYFUNCTION("IFS(
  AND(REGEXMATCH(E9644, ""台銀籌備帳戶|玉山帳戶""), REGEXMATCH(C9644, ""薪資"")), ""分潤支出"",
  AND(REGEXMATCH(E9644, ""Ben帳戶|Elsa帳戶|Ben代墊|Ariel代墊|中信銀行共用""), REGEXMATCH(F9644, ""Ben帳戶|Elsa帳戶|Ben代墊|Ariel代墊|中信銀行共用"")), ""內部轉帳(忽略)"",
  AND(E9644&lt;&gt;"""", F9644&lt;&gt;"""", N"&amp;"OT(REGEXMATCH(C9644, ""薪資""))), ""內部轉帳(忽略)"",
  REGEXMATCH(C9644, ""薪資""), ""薪資變動(不計入)"",
  REGEXMATCH(C9644, ""押金""), ""押金往來"",
  AND(E9644&lt;&gt;"""", F9644=""""), ""真實支出"",
  AND(E9644="""", F9644&lt;&gt;""""), ""真實收入"",
  TRUE, ""其他""
)"),"其他")</f>
        <v>其他</v>
      </c>
      <c r="K9644" s="270" t="str">
        <f t="shared" si="2"/>
        <v/>
      </c>
      <c r="L9644">
        <f t="shared" si="3"/>
        <v>0</v>
      </c>
    </row>
    <row r="9645">
      <c r="A9645" s="107"/>
      <c r="D9645" s="270"/>
      <c r="H9645" s="106" t="str">
        <f t="shared" si="1"/>
        <v/>
      </c>
      <c r="J9645" t="str">
        <f>IFERROR(__xludf.DUMMYFUNCTION("IFS(
  AND(REGEXMATCH(E9645, ""台銀籌備帳戶|玉山帳戶""), REGEXMATCH(C9645, ""薪資"")), ""分潤支出"",
  AND(REGEXMATCH(E9645, ""Ben帳戶|Elsa帳戶|Ben代墊|Ariel代墊|中信銀行共用""), REGEXMATCH(F9645, ""Ben帳戶|Elsa帳戶|Ben代墊|Ariel代墊|中信銀行共用"")), ""內部轉帳(忽略)"",
  AND(E9645&lt;&gt;"""", F9645&lt;&gt;"""", N"&amp;"OT(REGEXMATCH(C9645, ""薪資""))), ""內部轉帳(忽略)"",
  REGEXMATCH(C9645, ""薪資""), ""薪資變動(不計入)"",
  REGEXMATCH(C9645, ""押金""), ""押金往來"",
  AND(E9645&lt;&gt;"""", F9645=""""), ""真實支出"",
  AND(E9645="""", F9645&lt;&gt;""""), ""真實收入"",
  TRUE, ""其他""
)"),"其他")</f>
        <v>其他</v>
      </c>
      <c r="K9645" s="270" t="str">
        <f t="shared" si="2"/>
        <v/>
      </c>
      <c r="L9645">
        <f t="shared" si="3"/>
        <v>0</v>
      </c>
    </row>
    <row r="9646">
      <c r="A9646" s="107"/>
      <c r="D9646" s="270"/>
      <c r="H9646" s="106" t="str">
        <f t="shared" si="1"/>
        <v/>
      </c>
      <c r="J9646" t="str">
        <f>IFERROR(__xludf.DUMMYFUNCTION("IFS(
  AND(REGEXMATCH(E9646, ""台銀籌備帳戶|玉山帳戶""), REGEXMATCH(C9646, ""薪資"")), ""分潤支出"",
  AND(REGEXMATCH(E9646, ""Ben帳戶|Elsa帳戶|Ben代墊|Ariel代墊|中信銀行共用""), REGEXMATCH(F9646, ""Ben帳戶|Elsa帳戶|Ben代墊|Ariel代墊|中信銀行共用"")), ""內部轉帳(忽略)"",
  AND(E9646&lt;&gt;"""", F9646&lt;&gt;"""", N"&amp;"OT(REGEXMATCH(C9646, ""薪資""))), ""內部轉帳(忽略)"",
  REGEXMATCH(C9646, ""薪資""), ""薪資變動(不計入)"",
  REGEXMATCH(C9646, ""押金""), ""押金往來"",
  AND(E9646&lt;&gt;"""", F9646=""""), ""真實支出"",
  AND(E9646="""", F9646&lt;&gt;""""), ""真實收入"",
  TRUE, ""其他""
)"),"其他")</f>
        <v>其他</v>
      </c>
      <c r="K9646" s="270" t="str">
        <f t="shared" si="2"/>
        <v/>
      </c>
      <c r="L9646">
        <f t="shared" si="3"/>
        <v>0</v>
      </c>
    </row>
    <row r="9647">
      <c r="A9647" s="107"/>
      <c r="D9647" s="270"/>
      <c r="H9647" s="106" t="str">
        <f t="shared" si="1"/>
        <v/>
      </c>
      <c r="J9647" t="str">
        <f>IFERROR(__xludf.DUMMYFUNCTION("IFS(
  AND(REGEXMATCH(E9647, ""台銀籌備帳戶|玉山帳戶""), REGEXMATCH(C9647, ""薪資"")), ""分潤支出"",
  AND(REGEXMATCH(E9647, ""Ben帳戶|Elsa帳戶|Ben代墊|Ariel代墊|中信銀行共用""), REGEXMATCH(F9647, ""Ben帳戶|Elsa帳戶|Ben代墊|Ariel代墊|中信銀行共用"")), ""內部轉帳(忽略)"",
  AND(E9647&lt;&gt;"""", F9647&lt;&gt;"""", N"&amp;"OT(REGEXMATCH(C9647, ""薪資""))), ""內部轉帳(忽略)"",
  REGEXMATCH(C9647, ""薪資""), ""薪資變動(不計入)"",
  REGEXMATCH(C9647, ""押金""), ""押金往來"",
  AND(E9647&lt;&gt;"""", F9647=""""), ""真實支出"",
  AND(E9647="""", F9647&lt;&gt;""""), ""真實收入"",
  TRUE, ""其他""
)"),"其他")</f>
        <v>其他</v>
      </c>
      <c r="K9647" s="270" t="str">
        <f t="shared" si="2"/>
        <v/>
      </c>
      <c r="L9647">
        <f t="shared" si="3"/>
        <v>0</v>
      </c>
    </row>
    <row r="9648">
      <c r="A9648" s="107"/>
      <c r="D9648" s="270"/>
      <c r="H9648" s="106" t="str">
        <f t="shared" si="1"/>
        <v/>
      </c>
      <c r="J9648" t="str">
        <f>IFERROR(__xludf.DUMMYFUNCTION("IFS(
  AND(REGEXMATCH(E9648, ""台銀籌備帳戶|玉山帳戶""), REGEXMATCH(C9648, ""薪資"")), ""分潤支出"",
  AND(REGEXMATCH(E9648, ""Ben帳戶|Elsa帳戶|Ben代墊|Ariel代墊|中信銀行共用""), REGEXMATCH(F9648, ""Ben帳戶|Elsa帳戶|Ben代墊|Ariel代墊|中信銀行共用"")), ""內部轉帳(忽略)"",
  AND(E9648&lt;&gt;"""", F9648&lt;&gt;"""", N"&amp;"OT(REGEXMATCH(C9648, ""薪資""))), ""內部轉帳(忽略)"",
  REGEXMATCH(C9648, ""薪資""), ""薪資變動(不計入)"",
  REGEXMATCH(C9648, ""押金""), ""押金往來"",
  AND(E9648&lt;&gt;"""", F9648=""""), ""真實支出"",
  AND(E9648="""", F9648&lt;&gt;""""), ""真實收入"",
  TRUE, ""其他""
)"),"其他")</f>
        <v>其他</v>
      </c>
      <c r="K9648" s="270" t="str">
        <f t="shared" si="2"/>
        <v/>
      </c>
      <c r="L9648">
        <f t="shared" si="3"/>
        <v>0</v>
      </c>
    </row>
    <row r="9649">
      <c r="A9649" s="107"/>
      <c r="D9649" s="270"/>
      <c r="H9649" s="106" t="str">
        <f t="shared" si="1"/>
        <v/>
      </c>
      <c r="J9649" t="str">
        <f>IFERROR(__xludf.DUMMYFUNCTION("IFS(
  AND(REGEXMATCH(E9649, ""台銀籌備帳戶|玉山帳戶""), REGEXMATCH(C9649, ""薪資"")), ""分潤支出"",
  AND(REGEXMATCH(E9649, ""Ben帳戶|Elsa帳戶|Ben代墊|Ariel代墊|中信銀行共用""), REGEXMATCH(F9649, ""Ben帳戶|Elsa帳戶|Ben代墊|Ariel代墊|中信銀行共用"")), ""內部轉帳(忽略)"",
  AND(E9649&lt;&gt;"""", F9649&lt;&gt;"""", N"&amp;"OT(REGEXMATCH(C9649, ""薪資""))), ""內部轉帳(忽略)"",
  REGEXMATCH(C9649, ""薪資""), ""薪資變動(不計入)"",
  REGEXMATCH(C9649, ""押金""), ""押金往來"",
  AND(E9649&lt;&gt;"""", F9649=""""), ""真實支出"",
  AND(E9649="""", F9649&lt;&gt;""""), ""真實收入"",
  TRUE, ""其他""
)"),"其他")</f>
        <v>其他</v>
      </c>
      <c r="K9649" s="270" t="str">
        <f t="shared" si="2"/>
        <v/>
      </c>
      <c r="L9649">
        <f t="shared" si="3"/>
        <v>0</v>
      </c>
    </row>
    <row r="9650">
      <c r="A9650" s="107"/>
      <c r="D9650" s="270"/>
      <c r="H9650" s="106" t="str">
        <f t="shared" si="1"/>
        <v/>
      </c>
      <c r="J9650" t="str">
        <f>IFERROR(__xludf.DUMMYFUNCTION("IFS(
  AND(REGEXMATCH(E9650, ""台銀籌備帳戶|玉山帳戶""), REGEXMATCH(C9650, ""薪資"")), ""分潤支出"",
  AND(REGEXMATCH(E9650, ""Ben帳戶|Elsa帳戶|Ben代墊|Ariel代墊|中信銀行共用""), REGEXMATCH(F9650, ""Ben帳戶|Elsa帳戶|Ben代墊|Ariel代墊|中信銀行共用"")), ""內部轉帳(忽略)"",
  AND(E9650&lt;&gt;"""", F9650&lt;&gt;"""", N"&amp;"OT(REGEXMATCH(C9650, ""薪資""))), ""內部轉帳(忽略)"",
  REGEXMATCH(C9650, ""薪資""), ""薪資變動(不計入)"",
  REGEXMATCH(C9650, ""押金""), ""押金往來"",
  AND(E9650&lt;&gt;"""", F9650=""""), ""真實支出"",
  AND(E9650="""", F9650&lt;&gt;""""), ""真實收入"",
  TRUE, ""其他""
)"),"其他")</f>
        <v>其他</v>
      </c>
      <c r="K9650" s="270" t="str">
        <f t="shared" si="2"/>
        <v/>
      </c>
      <c r="L9650">
        <f t="shared" si="3"/>
        <v>0</v>
      </c>
    </row>
    <row r="9651">
      <c r="A9651" s="107"/>
      <c r="D9651" s="270"/>
      <c r="H9651" s="106" t="str">
        <f t="shared" si="1"/>
        <v/>
      </c>
      <c r="J9651" t="str">
        <f>IFERROR(__xludf.DUMMYFUNCTION("IFS(
  AND(REGEXMATCH(E9651, ""台銀籌備帳戶|玉山帳戶""), REGEXMATCH(C9651, ""薪資"")), ""分潤支出"",
  AND(REGEXMATCH(E9651, ""Ben帳戶|Elsa帳戶|Ben代墊|Ariel代墊|中信銀行共用""), REGEXMATCH(F9651, ""Ben帳戶|Elsa帳戶|Ben代墊|Ariel代墊|中信銀行共用"")), ""內部轉帳(忽略)"",
  AND(E9651&lt;&gt;"""", F9651&lt;&gt;"""", N"&amp;"OT(REGEXMATCH(C9651, ""薪資""))), ""內部轉帳(忽略)"",
  REGEXMATCH(C9651, ""薪資""), ""薪資變動(不計入)"",
  REGEXMATCH(C9651, ""押金""), ""押金往來"",
  AND(E9651&lt;&gt;"""", F9651=""""), ""真實支出"",
  AND(E9651="""", F9651&lt;&gt;""""), ""真實收入"",
  TRUE, ""其他""
)"),"其他")</f>
        <v>其他</v>
      </c>
      <c r="K9651" s="270" t="str">
        <f t="shared" si="2"/>
        <v/>
      </c>
      <c r="L9651">
        <f t="shared" si="3"/>
        <v>0</v>
      </c>
    </row>
    <row r="9652">
      <c r="A9652" s="107"/>
      <c r="D9652" s="270"/>
      <c r="H9652" s="106" t="str">
        <f t="shared" si="1"/>
        <v/>
      </c>
      <c r="J9652" t="str">
        <f>IFERROR(__xludf.DUMMYFUNCTION("IFS(
  AND(REGEXMATCH(E9652, ""台銀籌備帳戶|玉山帳戶""), REGEXMATCH(C9652, ""薪資"")), ""分潤支出"",
  AND(REGEXMATCH(E9652, ""Ben帳戶|Elsa帳戶|Ben代墊|Ariel代墊|中信銀行共用""), REGEXMATCH(F9652, ""Ben帳戶|Elsa帳戶|Ben代墊|Ariel代墊|中信銀行共用"")), ""內部轉帳(忽略)"",
  AND(E9652&lt;&gt;"""", F9652&lt;&gt;"""", N"&amp;"OT(REGEXMATCH(C9652, ""薪資""))), ""內部轉帳(忽略)"",
  REGEXMATCH(C9652, ""薪資""), ""薪資變動(不計入)"",
  REGEXMATCH(C9652, ""押金""), ""押金往來"",
  AND(E9652&lt;&gt;"""", F9652=""""), ""真實支出"",
  AND(E9652="""", F9652&lt;&gt;""""), ""真實收入"",
  TRUE, ""其他""
)"),"其他")</f>
        <v>其他</v>
      </c>
      <c r="K9652" s="270" t="str">
        <f t="shared" si="2"/>
        <v/>
      </c>
      <c r="L9652">
        <f t="shared" si="3"/>
        <v>0</v>
      </c>
    </row>
    <row r="9653">
      <c r="A9653" s="107"/>
      <c r="D9653" s="270"/>
      <c r="H9653" s="106" t="str">
        <f t="shared" si="1"/>
        <v/>
      </c>
      <c r="J9653" t="str">
        <f>IFERROR(__xludf.DUMMYFUNCTION("IFS(
  AND(REGEXMATCH(E9653, ""台銀籌備帳戶|玉山帳戶""), REGEXMATCH(C9653, ""薪資"")), ""分潤支出"",
  AND(REGEXMATCH(E9653, ""Ben帳戶|Elsa帳戶|Ben代墊|Ariel代墊|中信銀行共用""), REGEXMATCH(F9653, ""Ben帳戶|Elsa帳戶|Ben代墊|Ariel代墊|中信銀行共用"")), ""內部轉帳(忽略)"",
  AND(E9653&lt;&gt;"""", F9653&lt;&gt;"""", N"&amp;"OT(REGEXMATCH(C9653, ""薪資""))), ""內部轉帳(忽略)"",
  REGEXMATCH(C9653, ""薪資""), ""薪資變動(不計入)"",
  REGEXMATCH(C9653, ""押金""), ""押金往來"",
  AND(E9653&lt;&gt;"""", F9653=""""), ""真實支出"",
  AND(E9653="""", F9653&lt;&gt;""""), ""真實收入"",
  TRUE, ""其他""
)"),"其他")</f>
        <v>其他</v>
      </c>
      <c r="K9653" s="270" t="str">
        <f t="shared" si="2"/>
        <v/>
      </c>
      <c r="L9653">
        <f t="shared" si="3"/>
        <v>0</v>
      </c>
    </row>
    <row r="9654">
      <c r="A9654" s="107"/>
      <c r="D9654" s="270"/>
      <c r="H9654" s="106" t="str">
        <f t="shared" si="1"/>
        <v/>
      </c>
      <c r="J9654" t="str">
        <f>IFERROR(__xludf.DUMMYFUNCTION("IFS(
  AND(REGEXMATCH(E9654, ""台銀籌備帳戶|玉山帳戶""), REGEXMATCH(C9654, ""薪資"")), ""分潤支出"",
  AND(REGEXMATCH(E9654, ""Ben帳戶|Elsa帳戶|Ben代墊|Ariel代墊|中信銀行共用""), REGEXMATCH(F9654, ""Ben帳戶|Elsa帳戶|Ben代墊|Ariel代墊|中信銀行共用"")), ""內部轉帳(忽略)"",
  AND(E9654&lt;&gt;"""", F9654&lt;&gt;"""", N"&amp;"OT(REGEXMATCH(C9654, ""薪資""))), ""內部轉帳(忽略)"",
  REGEXMATCH(C9654, ""薪資""), ""薪資變動(不計入)"",
  REGEXMATCH(C9654, ""押金""), ""押金往來"",
  AND(E9654&lt;&gt;"""", F9654=""""), ""真實支出"",
  AND(E9654="""", F9654&lt;&gt;""""), ""真實收入"",
  TRUE, ""其他""
)"),"其他")</f>
        <v>其他</v>
      </c>
      <c r="K9654" s="270" t="str">
        <f t="shared" si="2"/>
        <v/>
      </c>
      <c r="L9654">
        <f t="shared" si="3"/>
        <v>0</v>
      </c>
    </row>
    <row r="9655">
      <c r="A9655" s="107"/>
      <c r="D9655" s="270"/>
      <c r="H9655" s="106" t="str">
        <f t="shared" si="1"/>
        <v/>
      </c>
      <c r="J9655" t="str">
        <f>IFERROR(__xludf.DUMMYFUNCTION("IFS(
  AND(REGEXMATCH(E9655, ""台銀籌備帳戶|玉山帳戶""), REGEXMATCH(C9655, ""薪資"")), ""分潤支出"",
  AND(REGEXMATCH(E9655, ""Ben帳戶|Elsa帳戶|Ben代墊|Ariel代墊|中信銀行共用""), REGEXMATCH(F9655, ""Ben帳戶|Elsa帳戶|Ben代墊|Ariel代墊|中信銀行共用"")), ""內部轉帳(忽略)"",
  AND(E9655&lt;&gt;"""", F9655&lt;&gt;"""", N"&amp;"OT(REGEXMATCH(C9655, ""薪資""))), ""內部轉帳(忽略)"",
  REGEXMATCH(C9655, ""薪資""), ""薪資變動(不計入)"",
  REGEXMATCH(C9655, ""押金""), ""押金往來"",
  AND(E9655&lt;&gt;"""", F9655=""""), ""真實支出"",
  AND(E9655="""", F9655&lt;&gt;""""), ""真實收入"",
  TRUE, ""其他""
)"),"其他")</f>
        <v>其他</v>
      </c>
      <c r="K9655" s="270" t="str">
        <f t="shared" si="2"/>
        <v/>
      </c>
      <c r="L9655">
        <f t="shared" si="3"/>
        <v>0</v>
      </c>
    </row>
    <row r="9656">
      <c r="A9656" s="107"/>
      <c r="D9656" s="270"/>
      <c r="H9656" s="106" t="str">
        <f t="shared" si="1"/>
        <v/>
      </c>
      <c r="J9656" t="str">
        <f>IFERROR(__xludf.DUMMYFUNCTION("IFS(
  AND(REGEXMATCH(E9656, ""台銀籌備帳戶|玉山帳戶""), REGEXMATCH(C9656, ""薪資"")), ""分潤支出"",
  AND(REGEXMATCH(E9656, ""Ben帳戶|Elsa帳戶|Ben代墊|Ariel代墊|中信銀行共用""), REGEXMATCH(F9656, ""Ben帳戶|Elsa帳戶|Ben代墊|Ariel代墊|中信銀行共用"")), ""內部轉帳(忽略)"",
  AND(E9656&lt;&gt;"""", F9656&lt;&gt;"""", N"&amp;"OT(REGEXMATCH(C9656, ""薪資""))), ""內部轉帳(忽略)"",
  REGEXMATCH(C9656, ""薪資""), ""薪資變動(不計入)"",
  REGEXMATCH(C9656, ""押金""), ""押金往來"",
  AND(E9656&lt;&gt;"""", F9656=""""), ""真實支出"",
  AND(E9656="""", F9656&lt;&gt;""""), ""真實收入"",
  TRUE, ""其他""
)"),"其他")</f>
        <v>其他</v>
      </c>
      <c r="K9656" s="270" t="str">
        <f t="shared" si="2"/>
        <v/>
      </c>
      <c r="L9656">
        <f t="shared" si="3"/>
        <v>0</v>
      </c>
    </row>
    <row r="9657">
      <c r="A9657" s="107"/>
      <c r="D9657" s="270"/>
      <c r="H9657" s="106" t="str">
        <f t="shared" si="1"/>
        <v/>
      </c>
      <c r="J9657" t="str">
        <f>IFERROR(__xludf.DUMMYFUNCTION("IFS(
  AND(REGEXMATCH(E9657, ""台銀籌備帳戶|玉山帳戶""), REGEXMATCH(C9657, ""薪資"")), ""分潤支出"",
  AND(REGEXMATCH(E9657, ""Ben帳戶|Elsa帳戶|Ben代墊|Ariel代墊|中信銀行共用""), REGEXMATCH(F9657, ""Ben帳戶|Elsa帳戶|Ben代墊|Ariel代墊|中信銀行共用"")), ""內部轉帳(忽略)"",
  AND(E9657&lt;&gt;"""", F9657&lt;&gt;"""", N"&amp;"OT(REGEXMATCH(C9657, ""薪資""))), ""內部轉帳(忽略)"",
  REGEXMATCH(C9657, ""薪資""), ""薪資變動(不計入)"",
  REGEXMATCH(C9657, ""押金""), ""押金往來"",
  AND(E9657&lt;&gt;"""", F9657=""""), ""真實支出"",
  AND(E9657="""", F9657&lt;&gt;""""), ""真實收入"",
  TRUE, ""其他""
)"),"其他")</f>
        <v>其他</v>
      </c>
      <c r="K9657" s="270" t="str">
        <f t="shared" si="2"/>
        <v/>
      </c>
      <c r="L9657">
        <f t="shared" si="3"/>
        <v>0</v>
      </c>
    </row>
    <row r="9658">
      <c r="A9658" s="107"/>
      <c r="D9658" s="270"/>
      <c r="H9658" s="106" t="str">
        <f t="shared" si="1"/>
        <v/>
      </c>
      <c r="J9658" t="str">
        <f>IFERROR(__xludf.DUMMYFUNCTION("IFS(
  AND(REGEXMATCH(E9658, ""台銀籌備帳戶|玉山帳戶""), REGEXMATCH(C9658, ""薪資"")), ""分潤支出"",
  AND(REGEXMATCH(E9658, ""Ben帳戶|Elsa帳戶|Ben代墊|Ariel代墊|中信銀行共用""), REGEXMATCH(F9658, ""Ben帳戶|Elsa帳戶|Ben代墊|Ariel代墊|中信銀行共用"")), ""內部轉帳(忽略)"",
  AND(E9658&lt;&gt;"""", F9658&lt;&gt;"""", N"&amp;"OT(REGEXMATCH(C9658, ""薪資""))), ""內部轉帳(忽略)"",
  REGEXMATCH(C9658, ""薪資""), ""薪資變動(不計入)"",
  REGEXMATCH(C9658, ""押金""), ""押金往來"",
  AND(E9658&lt;&gt;"""", F9658=""""), ""真實支出"",
  AND(E9658="""", F9658&lt;&gt;""""), ""真實收入"",
  TRUE, ""其他""
)"),"其他")</f>
        <v>其他</v>
      </c>
      <c r="K9658" s="270" t="str">
        <f t="shared" si="2"/>
        <v/>
      </c>
      <c r="L9658">
        <f t="shared" si="3"/>
        <v>0</v>
      </c>
    </row>
    <row r="9659">
      <c r="A9659" s="107"/>
      <c r="D9659" s="270"/>
      <c r="H9659" s="106" t="str">
        <f t="shared" si="1"/>
        <v/>
      </c>
      <c r="J9659" t="str">
        <f>IFERROR(__xludf.DUMMYFUNCTION("IFS(
  AND(REGEXMATCH(E9659, ""台銀籌備帳戶|玉山帳戶""), REGEXMATCH(C9659, ""薪資"")), ""分潤支出"",
  AND(REGEXMATCH(E9659, ""Ben帳戶|Elsa帳戶|Ben代墊|Ariel代墊|中信銀行共用""), REGEXMATCH(F9659, ""Ben帳戶|Elsa帳戶|Ben代墊|Ariel代墊|中信銀行共用"")), ""內部轉帳(忽略)"",
  AND(E9659&lt;&gt;"""", F9659&lt;&gt;"""", N"&amp;"OT(REGEXMATCH(C9659, ""薪資""))), ""內部轉帳(忽略)"",
  REGEXMATCH(C9659, ""薪資""), ""薪資變動(不計入)"",
  REGEXMATCH(C9659, ""押金""), ""押金往來"",
  AND(E9659&lt;&gt;"""", F9659=""""), ""真實支出"",
  AND(E9659="""", F9659&lt;&gt;""""), ""真實收入"",
  TRUE, ""其他""
)"),"其他")</f>
        <v>其他</v>
      </c>
      <c r="K9659" s="270" t="str">
        <f t="shared" si="2"/>
        <v/>
      </c>
      <c r="L9659">
        <f t="shared" si="3"/>
        <v>0</v>
      </c>
    </row>
    <row r="9660">
      <c r="A9660" s="107"/>
      <c r="D9660" s="270"/>
      <c r="H9660" s="106" t="str">
        <f t="shared" si="1"/>
        <v/>
      </c>
      <c r="J9660" t="str">
        <f>IFERROR(__xludf.DUMMYFUNCTION("IFS(
  AND(REGEXMATCH(E9660, ""台銀籌備帳戶|玉山帳戶""), REGEXMATCH(C9660, ""薪資"")), ""分潤支出"",
  AND(REGEXMATCH(E9660, ""Ben帳戶|Elsa帳戶|Ben代墊|Ariel代墊|中信銀行共用""), REGEXMATCH(F9660, ""Ben帳戶|Elsa帳戶|Ben代墊|Ariel代墊|中信銀行共用"")), ""內部轉帳(忽略)"",
  AND(E9660&lt;&gt;"""", F9660&lt;&gt;"""", N"&amp;"OT(REGEXMATCH(C9660, ""薪資""))), ""內部轉帳(忽略)"",
  REGEXMATCH(C9660, ""薪資""), ""薪資變動(不計入)"",
  REGEXMATCH(C9660, ""押金""), ""押金往來"",
  AND(E9660&lt;&gt;"""", F9660=""""), ""真實支出"",
  AND(E9660="""", F9660&lt;&gt;""""), ""真實收入"",
  TRUE, ""其他""
)"),"其他")</f>
        <v>其他</v>
      </c>
      <c r="K9660" s="270" t="str">
        <f t="shared" si="2"/>
        <v/>
      </c>
      <c r="L9660">
        <f t="shared" si="3"/>
        <v>0</v>
      </c>
    </row>
    <row r="9661">
      <c r="A9661" s="107"/>
      <c r="D9661" s="270"/>
      <c r="H9661" s="106" t="str">
        <f t="shared" si="1"/>
        <v/>
      </c>
      <c r="J9661" t="str">
        <f>IFERROR(__xludf.DUMMYFUNCTION("IFS(
  AND(REGEXMATCH(E9661, ""台銀籌備帳戶|玉山帳戶""), REGEXMATCH(C9661, ""薪資"")), ""分潤支出"",
  AND(REGEXMATCH(E9661, ""Ben帳戶|Elsa帳戶|Ben代墊|Ariel代墊|中信銀行共用""), REGEXMATCH(F9661, ""Ben帳戶|Elsa帳戶|Ben代墊|Ariel代墊|中信銀行共用"")), ""內部轉帳(忽略)"",
  AND(E9661&lt;&gt;"""", F9661&lt;&gt;"""", N"&amp;"OT(REGEXMATCH(C9661, ""薪資""))), ""內部轉帳(忽略)"",
  REGEXMATCH(C9661, ""薪資""), ""薪資變動(不計入)"",
  REGEXMATCH(C9661, ""押金""), ""押金往來"",
  AND(E9661&lt;&gt;"""", F9661=""""), ""真實支出"",
  AND(E9661="""", F9661&lt;&gt;""""), ""真實收入"",
  TRUE, ""其他""
)"),"其他")</f>
        <v>其他</v>
      </c>
      <c r="K9661" s="270" t="str">
        <f t="shared" si="2"/>
        <v/>
      </c>
      <c r="L9661">
        <f t="shared" si="3"/>
        <v>0</v>
      </c>
    </row>
    <row r="9662">
      <c r="A9662" s="107"/>
      <c r="D9662" s="270"/>
      <c r="H9662" s="106" t="str">
        <f t="shared" si="1"/>
        <v/>
      </c>
      <c r="J9662" t="str">
        <f>IFERROR(__xludf.DUMMYFUNCTION("IFS(
  AND(REGEXMATCH(E9662, ""台銀籌備帳戶|玉山帳戶""), REGEXMATCH(C9662, ""薪資"")), ""分潤支出"",
  AND(REGEXMATCH(E9662, ""Ben帳戶|Elsa帳戶|Ben代墊|Ariel代墊|中信銀行共用""), REGEXMATCH(F9662, ""Ben帳戶|Elsa帳戶|Ben代墊|Ariel代墊|中信銀行共用"")), ""內部轉帳(忽略)"",
  AND(E9662&lt;&gt;"""", F9662&lt;&gt;"""", N"&amp;"OT(REGEXMATCH(C9662, ""薪資""))), ""內部轉帳(忽略)"",
  REGEXMATCH(C9662, ""薪資""), ""薪資變動(不計入)"",
  REGEXMATCH(C9662, ""押金""), ""押金往來"",
  AND(E9662&lt;&gt;"""", F9662=""""), ""真實支出"",
  AND(E9662="""", F9662&lt;&gt;""""), ""真實收入"",
  TRUE, ""其他""
)"),"其他")</f>
        <v>其他</v>
      </c>
      <c r="K9662" s="270" t="str">
        <f t="shared" si="2"/>
        <v/>
      </c>
      <c r="L9662">
        <f t="shared" si="3"/>
        <v>0</v>
      </c>
    </row>
    <row r="9663">
      <c r="A9663" s="107"/>
      <c r="D9663" s="270"/>
      <c r="H9663" s="106" t="str">
        <f t="shared" si="1"/>
        <v/>
      </c>
      <c r="J9663" t="str">
        <f>IFERROR(__xludf.DUMMYFUNCTION("IFS(
  AND(REGEXMATCH(E9663, ""台銀籌備帳戶|玉山帳戶""), REGEXMATCH(C9663, ""薪資"")), ""分潤支出"",
  AND(REGEXMATCH(E9663, ""Ben帳戶|Elsa帳戶|Ben代墊|Ariel代墊|中信銀行共用""), REGEXMATCH(F9663, ""Ben帳戶|Elsa帳戶|Ben代墊|Ariel代墊|中信銀行共用"")), ""內部轉帳(忽略)"",
  AND(E9663&lt;&gt;"""", F9663&lt;&gt;"""", N"&amp;"OT(REGEXMATCH(C9663, ""薪資""))), ""內部轉帳(忽略)"",
  REGEXMATCH(C9663, ""薪資""), ""薪資變動(不計入)"",
  REGEXMATCH(C9663, ""押金""), ""押金往來"",
  AND(E9663&lt;&gt;"""", F9663=""""), ""真實支出"",
  AND(E9663="""", F9663&lt;&gt;""""), ""真實收入"",
  TRUE, ""其他""
)"),"其他")</f>
        <v>其他</v>
      </c>
      <c r="K9663" s="270" t="str">
        <f t="shared" si="2"/>
        <v/>
      </c>
      <c r="L9663">
        <f t="shared" si="3"/>
        <v>0</v>
      </c>
    </row>
    <row r="9664">
      <c r="A9664" s="107"/>
      <c r="D9664" s="270"/>
      <c r="H9664" s="106" t="str">
        <f t="shared" si="1"/>
        <v/>
      </c>
      <c r="J9664" t="str">
        <f>IFERROR(__xludf.DUMMYFUNCTION("IFS(
  AND(REGEXMATCH(E9664, ""台銀籌備帳戶|玉山帳戶""), REGEXMATCH(C9664, ""薪資"")), ""分潤支出"",
  AND(REGEXMATCH(E9664, ""Ben帳戶|Elsa帳戶|Ben代墊|Ariel代墊|中信銀行共用""), REGEXMATCH(F9664, ""Ben帳戶|Elsa帳戶|Ben代墊|Ariel代墊|中信銀行共用"")), ""內部轉帳(忽略)"",
  AND(E9664&lt;&gt;"""", F9664&lt;&gt;"""", N"&amp;"OT(REGEXMATCH(C9664, ""薪資""))), ""內部轉帳(忽略)"",
  REGEXMATCH(C9664, ""薪資""), ""薪資變動(不計入)"",
  REGEXMATCH(C9664, ""押金""), ""押金往來"",
  AND(E9664&lt;&gt;"""", F9664=""""), ""真實支出"",
  AND(E9664="""", F9664&lt;&gt;""""), ""真實收入"",
  TRUE, ""其他""
)"),"其他")</f>
        <v>其他</v>
      </c>
      <c r="K9664" s="270" t="str">
        <f t="shared" si="2"/>
        <v/>
      </c>
      <c r="L9664">
        <f t="shared" si="3"/>
        <v>0</v>
      </c>
    </row>
    <row r="9665">
      <c r="A9665" s="107"/>
      <c r="D9665" s="270"/>
      <c r="H9665" s="106" t="str">
        <f t="shared" si="1"/>
        <v/>
      </c>
      <c r="J9665" t="str">
        <f>IFERROR(__xludf.DUMMYFUNCTION("IFS(
  AND(REGEXMATCH(E9665, ""台銀籌備帳戶|玉山帳戶""), REGEXMATCH(C9665, ""薪資"")), ""分潤支出"",
  AND(REGEXMATCH(E9665, ""Ben帳戶|Elsa帳戶|Ben代墊|Ariel代墊|中信銀行共用""), REGEXMATCH(F9665, ""Ben帳戶|Elsa帳戶|Ben代墊|Ariel代墊|中信銀行共用"")), ""內部轉帳(忽略)"",
  AND(E9665&lt;&gt;"""", F9665&lt;&gt;"""", N"&amp;"OT(REGEXMATCH(C9665, ""薪資""))), ""內部轉帳(忽略)"",
  REGEXMATCH(C9665, ""薪資""), ""薪資變動(不計入)"",
  REGEXMATCH(C9665, ""押金""), ""押金往來"",
  AND(E9665&lt;&gt;"""", F9665=""""), ""真實支出"",
  AND(E9665="""", F9665&lt;&gt;""""), ""真實收入"",
  TRUE, ""其他""
)"),"其他")</f>
        <v>其他</v>
      </c>
      <c r="K9665" s="270" t="str">
        <f t="shared" si="2"/>
        <v/>
      </c>
      <c r="L9665">
        <f t="shared" si="3"/>
        <v>0</v>
      </c>
    </row>
    <row r="9666">
      <c r="A9666" s="107"/>
      <c r="D9666" s="270"/>
      <c r="H9666" s="106" t="str">
        <f t="shared" si="1"/>
        <v/>
      </c>
      <c r="J9666" t="str">
        <f>IFERROR(__xludf.DUMMYFUNCTION("IFS(
  AND(REGEXMATCH(E9666, ""台銀籌備帳戶|玉山帳戶""), REGEXMATCH(C9666, ""薪資"")), ""分潤支出"",
  AND(REGEXMATCH(E9666, ""Ben帳戶|Elsa帳戶|Ben代墊|Ariel代墊|中信銀行共用""), REGEXMATCH(F9666, ""Ben帳戶|Elsa帳戶|Ben代墊|Ariel代墊|中信銀行共用"")), ""內部轉帳(忽略)"",
  AND(E9666&lt;&gt;"""", F9666&lt;&gt;"""", N"&amp;"OT(REGEXMATCH(C9666, ""薪資""))), ""內部轉帳(忽略)"",
  REGEXMATCH(C9666, ""薪資""), ""薪資變動(不計入)"",
  REGEXMATCH(C9666, ""押金""), ""押金往來"",
  AND(E9666&lt;&gt;"""", F9666=""""), ""真實支出"",
  AND(E9666="""", F9666&lt;&gt;""""), ""真實收入"",
  TRUE, ""其他""
)"),"其他")</f>
        <v>其他</v>
      </c>
      <c r="K9666" s="270" t="str">
        <f t="shared" si="2"/>
        <v/>
      </c>
      <c r="L9666">
        <f t="shared" si="3"/>
        <v>0</v>
      </c>
    </row>
    <row r="9667">
      <c r="A9667" s="107"/>
      <c r="D9667" s="270"/>
      <c r="H9667" s="106" t="str">
        <f t="shared" si="1"/>
        <v/>
      </c>
      <c r="J9667" t="str">
        <f>IFERROR(__xludf.DUMMYFUNCTION("IFS(
  AND(REGEXMATCH(E9667, ""台銀籌備帳戶|玉山帳戶""), REGEXMATCH(C9667, ""薪資"")), ""分潤支出"",
  AND(REGEXMATCH(E9667, ""Ben帳戶|Elsa帳戶|Ben代墊|Ariel代墊|中信銀行共用""), REGEXMATCH(F9667, ""Ben帳戶|Elsa帳戶|Ben代墊|Ariel代墊|中信銀行共用"")), ""內部轉帳(忽略)"",
  AND(E9667&lt;&gt;"""", F9667&lt;&gt;"""", N"&amp;"OT(REGEXMATCH(C9667, ""薪資""))), ""內部轉帳(忽略)"",
  REGEXMATCH(C9667, ""薪資""), ""薪資變動(不計入)"",
  REGEXMATCH(C9667, ""押金""), ""押金往來"",
  AND(E9667&lt;&gt;"""", F9667=""""), ""真實支出"",
  AND(E9667="""", F9667&lt;&gt;""""), ""真實收入"",
  TRUE, ""其他""
)"),"其他")</f>
        <v>其他</v>
      </c>
      <c r="K9667" s="270" t="str">
        <f t="shared" si="2"/>
        <v/>
      </c>
      <c r="L9667">
        <f t="shared" si="3"/>
        <v>0</v>
      </c>
    </row>
    <row r="9668">
      <c r="A9668" s="107"/>
      <c r="D9668" s="270"/>
      <c r="H9668" s="106" t="str">
        <f t="shared" si="1"/>
        <v/>
      </c>
      <c r="J9668" t="str">
        <f>IFERROR(__xludf.DUMMYFUNCTION("IFS(
  AND(REGEXMATCH(E9668, ""台銀籌備帳戶|玉山帳戶""), REGEXMATCH(C9668, ""薪資"")), ""分潤支出"",
  AND(REGEXMATCH(E9668, ""Ben帳戶|Elsa帳戶|Ben代墊|Ariel代墊|中信銀行共用""), REGEXMATCH(F9668, ""Ben帳戶|Elsa帳戶|Ben代墊|Ariel代墊|中信銀行共用"")), ""內部轉帳(忽略)"",
  AND(E9668&lt;&gt;"""", F9668&lt;&gt;"""", N"&amp;"OT(REGEXMATCH(C9668, ""薪資""))), ""內部轉帳(忽略)"",
  REGEXMATCH(C9668, ""薪資""), ""薪資變動(不計入)"",
  REGEXMATCH(C9668, ""押金""), ""押金往來"",
  AND(E9668&lt;&gt;"""", F9668=""""), ""真實支出"",
  AND(E9668="""", F9668&lt;&gt;""""), ""真實收入"",
  TRUE, ""其他""
)"),"其他")</f>
        <v>其他</v>
      </c>
      <c r="K9668" s="270" t="str">
        <f t="shared" si="2"/>
        <v/>
      </c>
      <c r="L9668">
        <f t="shared" si="3"/>
        <v>0</v>
      </c>
    </row>
    <row r="9669">
      <c r="A9669" s="107"/>
      <c r="D9669" s="270"/>
      <c r="H9669" s="106" t="str">
        <f t="shared" si="1"/>
        <v/>
      </c>
      <c r="J9669" t="str">
        <f>IFERROR(__xludf.DUMMYFUNCTION("IFS(
  AND(REGEXMATCH(E9669, ""台銀籌備帳戶|玉山帳戶""), REGEXMATCH(C9669, ""薪資"")), ""分潤支出"",
  AND(REGEXMATCH(E9669, ""Ben帳戶|Elsa帳戶|Ben代墊|Ariel代墊|中信銀行共用""), REGEXMATCH(F9669, ""Ben帳戶|Elsa帳戶|Ben代墊|Ariel代墊|中信銀行共用"")), ""內部轉帳(忽略)"",
  AND(E9669&lt;&gt;"""", F9669&lt;&gt;"""", N"&amp;"OT(REGEXMATCH(C9669, ""薪資""))), ""內部轉帳(忽略)"",
  REGEXMATCH(C9669, ""薪資""), ""薪資變動(不計入)"",
  REGEXMATCH(C9669, ""押金""), ""押金往來"",
  AND(E9669&lt;&gt;"""", F9669=""""), ""真實支出"",
  AND(E9669="""", F9669&lt;&gt;""""), ""真實收入"",
  TRUE, ""其他""
)"),"其他")</f>
        <v>其他</v>
      </c>
      <c r="K9669" s="270" t="str">
        <f t="shared" si="2"/>
        <v/>
      </c>
      <c r="L9669">
        <f t="shared" si="3"/>
        <v>0</v>
      </c>
    </row>
    <row r="9670">
      <c r="A9670" s="107"/>
      <c r="D9670" s="270"/>
      <c r="H9670" s="106" t="str">
        <f t="shared" si="1"/>
        <v/>
      </c>
      <c r="J9670" t="str">
        <f>IFERROR(__xludf.DUMMYFUNCTION("IFS(
  AND(REGEXMATCH(E9670, ""台銀籌備帳戶|玉山帳戶""), REGEXMATCH(C9670, ""薪資"")), ""分潤支出"",
  AND(REGEXMATCH(E9670, ""Ben帳戶|Elsa帳戶|Ben代墊|Ariel代墊|中信銀行共用""), REGEXMATCH(F9670, ""Ben帳戶|Elsa帳戶|Ben代墊|Ariel代墊|中信銀行共用"")), ""內部轉帳(忽略)"",
  AND(E9670&lt;&gt;"""", F9670&lt;&gt;"""", N"&amp;"OT(REGEXMATCH(C9670, ""薪資""))), ""內部轉帳(忽略)"",
  REGEXMATCH(C9670, ""薪資""), ""薪資變動(不計入)"",
  REGEXMATCH(C9670, ""押金""), ""押金往來"",
  AND(E9670&lt;&gt;"""", F9670=""""), ""真實支出"",
  AND(E9670="""", F9670&lt;&gt;""""), ""真實收入"",
  TRUE, ""其他""
)"),"其他")</f>
        <v>其他</v>
      </c>
      <c r="K9670" s="270" t="str">
        <f t="shared" si="2"/>
        <v/>
      </c>
      <c r="L9670">
        <f t="shared" si="3"/>
        <v>0</v>
      </c>
    </row>
    <row r="9671">
      <c r="A9671" s="107"/>
      <c r="D9671" s="270"/>
      <c r="H9671" s="106" t="str">
        <f t="shared" si="1"/>
        <v/>
      </c>
      <c r="J9671" t="str">
        <f>IFERROR(__xludf.DUMMYFUNCTION("IFS(
  AND(REGEXMATCH(E9671, ""台銀籌備帳戶|玉山帳戶""), REGEXMATCH(C9671, ""薪資"")), ""分潤支出"",
  AND(REGEXMATCH(E9671, ""Ben帳戶|Elsa帳戶|Ben代墊|Ariel代墊|中信銀行共用""), REGEXMATCH(F9671, ""Ben帳戶|Elsa帳戶|Ben代墊|Ariel代墊|中信銀行共用"")), ""內部轉帳(忽略)"",
  AND(E9671&lt;&gt;"""", F9671&lt;&gt;"""", N"&amp;"OT(REGEXMATCH(C9671, ""薪資""))), ""內部轉帳(忽略)"",
  REGEXMATCH(C9671, ""薪資""), ""薪資變動(不計入)"",
  REGEXMATCH(C9671, ""押金""), ""押金往來"",
  AND(E9671&lt;&gt;"""", F9671=""""), ""真實支出"",
  AND(E9671="""", F9671&lt;&gt;""""), ""真實收入"",
  TRUE, ""其他""
)"),"其他")</f>
        <v>其他</v>
      </c>
      <c r="K9671" s="270" t="str">
        <f t="shared" si="2"/>
        <v/>
      </c>
      <c r="L9671">
        <f t="shared" si="3"/>
        <v>0</v>
      </c>
    </row>
    <row r="9672">
      <c r="A9672" s="107"/>
      <c r="D9672" s="270"/>
      <c r="H9672" s="106" t="str">
        <f t="shared" si="1"/>
        <v/>
      </c>
      <c r="J9672" t="str">
        <f>IFERROR(__xludf.DUMMYFUNCTION("IFS(
  AND(REGEXMATCH(E9672, ""台銀籌備帳戶|玉山帳戶""), REGEXMATCH(C9672, ""薪資"")), ""分潤支出"",
  AND(REGEXMATCH(E9672, ""Ben帳戶|Elsa帳戶|Ben代墊|Ariel代墊|中信銀行共用""), REGEXMATCH(F9672, ""Ben帳戶|Elsa帳戶|Ben代墊|Ariel代墊|中信銀行共用"")), ""內部轉帳(忽略)"",
  AND(E9672&lt;&gt;"""", F9672&lt;&gt;"""", N"&amp;"OT(REGEXMATCH(C9672, ""薪資""))), ""內部轉帳(忽略)"",
  REGEXMATCH(C9672, ""薪資""), ""薪資變動(不計入)"",
  REGEXMATCH(C9672, ""押金""), ""押金往來"",
  AND(E9672&lt;&gt;"""", F9672=""""), ""真實支出"",
  AND(E9672="""", F9672&lt;&gt;""""), ""真實收入"",
  TRUE, ""其他""
)"),"其他")</f>
        <v>其他</v>
      </c>
      <c r="K9672" s="270" t="str">
        <f t="shared" si="2"/>
        <v/>
      </c>
      <c r="L9672">
        <f t="shared" si="3"/>
        <v>0</v>
      </c>
    </row>
    <row r="9673">
      <c r="A9673" s="107"/>
      <c r="D9673" s="270"/>
      <c r="H9673" s="106" t="str">
        <f t="shared" si="1"/>
        <v/>
      </c>
      <c r="J9673" t="str">
        <f>IFERROR(__xludf.DUMMYFUNCTION("IFS(
  AND(REGEXMATCH(E9673, ""台銀籌備帳戶|玉山帳戶""), REGEXMATCH(C9673, ""薪資"")), ""分潤支出"",
  AND(REGEXMATCH(E9673, ""Ben帳戶|Elsa帳戶|Ben代墊|Ariel代墊|中信銀行共用""), REGEXMATCH(F9673, ""Ben帳戶|Elsa帳戶|Ben代墊|Ariel代墊|中信銀行共用"")), ""內部轉帳(忽略)"",
  AND(E9673&lt;&gt;"""", F9673&lt;&gt;"""", N"&amp;"OT(REGEXMATCH(C9673, ""薪資""))), ""內部轉帳(忽略)"",
  REGEXMATCH(C9673, ""薪資""), ""薪資變動(不計入)"",
  REGEXMATCH(C9673, ""押金""), ""押金往來"",
  AND(E9673&lt;&gt;"""", F9673=""""), ""真實支出"",
  AND(E9673="""", F9673&lt;&gt;""""), ""真實收入"",
  TRUE, ""其他""
)"),"其他")</f>
        <v>其他</v>
      </c>
      <c r="K9673" s="270" t="str">
        <f t="shared" si="2"/>
        <v/>
      </c>
      <c r="L9673">
        <f t="shared" si="3"/>
        <v>0</v>
      </c>
    </row>
    <row r="9674">
      <c r="A9674" s="107"/>
      <c r="D9674" s="270"/>
      <c r="H9674" s="106" t="str">
        <f t="shared" si="1"/>
        <v/>
      </c>
      <c r="J9674" t="str">
        <f>IFERROR(__xludf.DUMMYFUNCTION("IFS(
  AND(REGEXMATCH(E9674, ""台銀籌備帳戶|玉山帳戶""), REGEXMATCH(C9674, ""薪資"")), ""分潤支出"",
  AND(REGEXMATCH(E9674, ""Ben帳戶|Elsa帳戶|Ben代墊|Ariel代墊|中信銀行共用""), REGEXMATCH(F9674, ""Ben帳戶|Elsa帳戶|Ben代墊|Ariel代墊|中信銀行共用"")), ""內部轉帳(忽略)"",
  AND(E9674&lt;&gt;"""", F9674&lt;&gt;"""", N"&amp;"OT(REGEXMATCH(C9674, ""薪資""))), ""內部轉帳(忽略)"",
  REGEXMATCH(C9674, ""薪資""), ""薪資變動(不計入)"",
  REGEXMATCH(C9674, ""押金""), ""押金往來"",
  AND(E9674&lt;&gt;"""", F9674=""""), ""真實支出"",
  AND(E9674="""", F9674&lt;&gt;""""), ""真實收入"",
  TRUE, ""其他""
)"),"其他")</f>
        <v>其他</v>
      </c>
      <c r="K9674" s="270" t="str">
        <f t="shared" si="2"/>
        <v/>
      </c>
      <c r="L9674">
        <f t="shared" si="3"/>
        <v>0</v>
      </c>
    </row>
    <row r="9675">
      <c r="A9675" s="107"/>
      <c r="D9675" s="270"/>
      <c r="H9675" s="106" t="str">
        <f t="shared" si="1"/>
        <v/>
      </c>
      <c r="J9675" t="str">
        <f>IFERROR(__xludf.DUMMYFUNCTION("IFS(
  AND(REGEXMATCH(E9675, ""台銀籌備帳戶|玉山帳戶""), REGEXMATCH(C9675, ""薪資"")), ""分潤支出"",
  AND(REGEXMATCH(E9675, ""Ben帳戶|Elsa帳戶|Ben代墊|Ariel代墊|中信銀行共用""), REGEXMATCH(F9675, ""Ben帳戶|Elsa帳戶|Ben代墊|Ariel代墊|中信銀行共用"")), ""內部轉帳(忽略)"",
  AND(E9675&lt;&gt;"""", F9675&lt;&gt;"""", N"&amp;"OT(REGEXMATCH(C9675, ""薪資""))), ""內部轉帳(忽略)"",
  REGEXMATCH(C9675, ""薪資""), ""薪資變動(不計入)"",
  REGEXMATCH(C9675, ""押金""), ""押金往來"",
  AND(E9675&lt;&gt;"""", F9675=""""), ""真實支出"",
  AND(E9675="""", F9675&lt;&gt;""""), ""真實收入"",
  TRUE, ""其他""
)"),"其他")</f>
        <v>其他</v>
      </c>
      <c r="K9675" s="270" t="str">
        <f t="shared" si="2"/>
        <v/>
      </c>
      <c r="L9675">
        <f t="shared" si="3"/>
        <v>0</v>
      </c>
    </row>
    <row r="9676">
      <c r="A9676" s="107"/>
      <c r="D9676" s="270"/>
      <c r="H9676" s="106" t="str">
        <f t="shared" si="1"/>
        <v/>
      </c>
      <c r="J9676" t="str">
        <f>IFERROR(__xludf.DUMMYFUNCTION("IFS(
  AND(REGEXMATCH(E9676, ""台銀籌備帳戶|玉山帳戶""), REGEXMATCH(C9676, ""薪資"")), ""分潤支出"",
  AND(REGEXMATCH(E9676, ""Ben帳戶|Elsa帳戶|Ben代墊|Ariel代墊|中信銀行共用""), REGEXMATCH(F9676, ""Ben帳戶|Elsa帳戶|Ben代墊|Ariel代墊|中信銀行共用"")), ""內部轉帳(忽略)"",
  AND(E9676&lt;&gt;"""", F9676&lt;&gt;"""", N"&amp;"OT(REGEXMATCH(C9676, ""薪資""))), ""內部轉帳(忽略)"",
  REGEXMATCH(C9676, ""薪資""), ""薪資變動(不計入)"",
  REGEXMATCH(C9676, ""押金""), ""押金往來"",
  AND(E9676&lt;&gt;"""", F9676=""""), ""真實支出"",
  AND(E9676="""", F9676&lt;&gt;""""), ""真實收入"",
  TRUE, ""其他""
)"),"其他")</f>
        <v>其他</v>
      </c>
      <c r="K9676" s="270" t="str">
        <f t="shared" si="2"/>
        <v/>
      </c>
      <c r="L9676">
        <f t="shared" si="3"/>
        <v>0</v>
      </c>
    </row>
    <row r="9677">
      <c r="A9677" s="107"/>
      <c r="D9677" s="270"/>
      <c r="H9677" s="106" t="str">
        <f t="shared" si="1"/>
        <v/>
      </c>
      <c r="J9677" t="str">
        <f>IFERROR(__xludf.DUMMYFUNCTION("IFS(
  AND(REGEXMATCH(E9677, ""台銀籌備帳戶|玉山帳戶""), REGEXMATCH(C9677, ""薪資"")), ""分潤支出"",
  AND(REGEXMATCH(E9677, ""Ben帳戶|Elsa帳戶|Ben代墊|Ariel代墊|中信銀行共用""), REGEXMATCH(F9677, ""Ben帳戶|Elsa帳戶|Ben代墊|Ariel代墊|中信銀行共用"")), ""內部轉帳(忽略)"",
  AND(E9677&lt;&gt;"""", F9677&lt;&gt;"""", N"&amp;"OT(REGEXMATCH(C9677, ""薪資""))), ""內部轉帳(忽略)"",
  REGEXMATCH(C9677, ""薪資""), ""薪資變動(不計入)"",
  REGEXMATCH(C9677, ""押金""), ""押金往來"",
  AND(E9677&lt;&gt;"""", F9677=""""), ""真實支出"",
  AND(E9677="""", F9677&lt;&gt;""""), ""真實收入"",
  TRUE, ""其他""
)"),"其他")</f>
        <v>其他</v>
      </c>
      <c r="K9677" s="270" t="str">
        <f t="shared" si="2"/>
        <v/>
      </c>
      <c r="L9677">
        <f t="shared" si="3"/>
        <v>0</v>
      </c>
    </row>
    <row r="9678">
      <c r="A9678" s="107"/>
      <c r="D9678" s="270"/>
      <c r="H9678" s="106" t="str">
        <f t="shared" si="1"/>
        <v/>
      </c>
      <c r="J9678" t="str">
        <f>IFERROR(__xludf.DUMMYFUNCTION("IFS(
  AND(REGEXMATCH(E9678, ""台銀籌備帳戶|玉山帳戶""), REGEXMATCH(C9678, ""薪資"")), ""分潤支出"",
  AND(REGEXMATCH(E9678, ""Ben帳戶|Elsa帳戶|Ben代墊|Ariel代墊|中信銀行共用""), REGEXMATCH(F9678, ""Ben帳戶|Elsa帳戶|Ben代墊|Ariel代墊|中信銀行共用"")), ""內部轉帳(忽略)"",
  AND(E9678&lt;&gt;"""", F9678&lt;&gt;"""", N"&amp;"OT(REGEXMATCH(C9678, ""薪資""))), ""內部轉帳(忽略)"",
  REGEXMATCH(C9678, ""薪資""), ""薪資變動(不計入)"",
  REGEXMATCH(C9678, ""押金""), ""押金往來"",
  AND(E9678&lt;&gt;"""", F9678=""""), ""真實支出"",
  AND(E9678="""", F9678&lt;&gt;""""), ""真實收入"",
  TRUE, ""其他""
)"),"其他")</f>
        <v>其他</v>
      </c>
      <c r="K9678" s="270" t="str">
        <f t="shared" si="2"/>
        <v/>
      </c>
      <c r="L9678">
        <f t="shared" si="3"/>
        <v>0</v>
      </c>
    </row>
    <row r="9679">
      <c r="A9679" s="107"/>
      <c r="D9679" s="270"/>
      <c r="H9679" s="106" t="str">
        <f t="shared" si="1"/>
        <v/>
      </c>
      <c r="J9679" t="str">
        <f>IFERROR(__xludf.DUMMYFUNCTION("IFS(
  AND(REGEXMATCH(E9679, ""台銀籌備帳戶|玉山帳戶""), REGEXMATCH(C9679, ""薪資"")), ""分潤支出"",
  AND(REGEXMATCH(E9679, ""Ben帳戶|Elsa帳戶|Ben代墊|Ariel代墊|中信銀行共用""), REGEXMATCH(F9679, ""Ben帳戶|Elsa帳戶|Ben代墊|Ariel代墊|中信銀行共用"")), ""內部轉帳(忽略)"",
  AND(E9679&lt;&gt;"""", F9679&lt;&gt;"""", N"&amp;"OT(REGEXMATCH(C9679, ""薪資""))), ""內部轉帳(忽略)"",
  REGEXMATCH(C9679, ""薪資""), ""薪資變動(不計入)"",
  REGEXMATCH(C9679, ""押金""), ""押金往來"",
  AND(E9679&lt;&gt;"""", F9679=""""), ""真實支出"",
  AND(E9679="""", F9679&lt;&gt;""""), ""真實收入"",
  TRUE, ""其他""
)"),"其他")</f>
        <v>其他</v>
      </c>
      <c r="K9679" s="270" t="str">
        <f t="shared" si="2"/>
        <v/>
      </c>
      <c r="L9679">
        <f t="shared" si="3"/>
        <v>0</v>
      </c>
    </row>
    <row r="9680">
      <c r="A9680" s="107"/>
      <c r="D9680" s="270"/>
      <c r="H9680" s="106" t="str">
        <f t="shared" si="1"/>
        <v/>
      </c>
      <c r="J9680" t="str">
        <f>IFERROR(__xludf.DUMMYFUNCTION("IFS(
  AND(REGEXMATCH(E9680, ""台銀籌備帳戶|玉山帳戶""), REGEXMATCH(C9680, ""薪資"")), ""分潤支出"",
  AND(REGEXMATCH(E9680, ""Ben帳戶|Elsa帳戶|Ben代墊|Ariel代墊|中信銀行共用""), REGEXMATCH(F9680, ""Ben帳戶|Elsa帳戶|Ben代墊|Ariel代墊|中信銀行共用"")), ""內部轉帳(忽略)"",
  AND(E9680&lt;&gt;"""", F9680&lt;&gt;"""", N"&amp;"OT(REGEXMATCH(C9680, ""薪資""))), ""內部轉帳(忽略)"",
  REGEXMATCH(C9680, ""薪資""), ""薪資變動(不計入)"",
  REGEXMATCH(C9680, ""押金""), ""押金往來"",
  AND(E9680&lt;&gt;"""", F9680=""""), ""真實支出"",
  AND(E9680="""", F9680&lt;&gt;""""), ""真實收入"",
  TRUE, ""其他""
)"),"其他")</f>
        <v>其他</v>
      </c>
      <c r="K9680" s="270" t="str">
        <f t="shared" si="2"/>
        <v/>
      </c>
      <c r="L9680">
        <f t="shared" si="3"/>
        <v>0</v>
      </c>
    </row>
    <row r="9681">
      <c r="A9681" s="107"/>
      <c r="D9681" s="270"/>
      <c r="H9681" s="106" t="str">
        <f t="shared" si="1"/>
        <v/>
      </c>
      <c r="J9681" t="str">
        <f>IFERROR(__xludf.DUMMYFUNCTION("IFS(
  AND(REGEXMATCH(E9681, ""台銀籌備帳戶|玉山帳戶""), REGEXMATCH(C9681, ""薪資"")), ""分潤支出"",
  AND(REGEXMATCH(E9681, ""Ben帳戶|Elsa帳戶|Ben代墊|Ariel代墊|中信銀行共用""), REGEXMATCH(F9681, ""Ben帳戶|Elsa帳戶|Ben代墊|Ariel代墊|中信銀行共用"")), ""內部轉帳(忽略)"",
  AND(E9681&lt;&gt;"""", F9681&lt;&gt;"""", N"&amp;"OT(REGEXMATCH(C9681, ""薪資""))), ""內部轉帳(忽略)"",
  REGEXMATCH(C9681, ""薪資""), ""薪資變動(不計入)"",
  REGEXMATCH(C9681, ""押金""), ""押金往來"",
  AND(E9681&lt;&gt;"""", F9681=""""), ""真實支出"",
  AND(E9681="""", F9681&lt;&gt;""""), ""真實收入"",
  TRUE, ""其他""
)"),"其他")</f>
        <v>其他</v>
      </c>
      <c r="K9681" s="270" t="str">
        <f t="shared" si="2"/>
        <v/>
      </c>
      <c r="L9681">
        <f t="shared" si="3"/>
        <v>0</v>
      </c>
    </row>
    <row r="9682">
      <c r="A9682" s="107"/>
      <c r="D9682" s="270"/>
      <c r="H9682" s="106" t="str">
        <f t="shared" si="1"/>
        <v/>
      </c>
      <c r="J9682" t="str">
        <f>IFERROR(__xludf.DUMMYFUNCTION("IFS(
  AND(REGEXMATCH(E9682, ""台銀籌備帳戶|玉山帳戶""), REGEXMATCH(C9682, ""薪資"")), ""分潤支出"",
  AND(REGEXMATCH(E9682, ""Ben帳戶|Elsa帳戶|Ben代墊|Ariel代墊|中信銀行共用""), REGEXMATCH(F9682, ""Ben帳戶|Elsa帳戶|Ben代墊|Ariel代墊|中信銀行共用"")), ""內部轉帳(忽略)"",
  AND(E9682&lt;&gt;"""", F9682&lt;&gt;"""", N"&amp;"OT(REGEXMATCH(C9682, ""薪資""))), ""內部轉帳(忽略)"",
  REGEXMATCH(C9682, ""薪資""), ""薪資變動(不計入)"",
  REGEXMATCH(C9682, ""押金""), ""押金往來"",
  AND(E9682&lt;&gt;"""", F9682=""""), ""真實支出"",
  AND(E9682="""", F9682&lt;&gt;""""), ""真實收入"",
  TRUE, ""其他""
)"),"其他")</f>
        <v>其他</v>
      </c>
      <c r="K9682" s="270" t="str">
        <f t="shared" si="2"/>
        <v/>
      </c>
      <c r="L9682">
        <f t="shared" si="3"/>
        <v>0</v>
      </c>
    </row>
    <row r="9683">
      <c r="A9683" s="107"/>
      <c r="D9683" s="270"/>
      <c r="H9683" s="106" t="str">
        <f t="shared" si="1"/>
        <v/>
      </c>
      <c r="J9683" t="str">
        <f>IFERROR(__xludf.DUMMYFUNCTION("IFS(
  AND(REGEXMATCH(E9683, ""台銀籌備帳戶|玉山帳戶""), REGEXMATCH(C9683, ""薪資"")), ""分潤支出"",
  AND(REGEXMATCH(E9683, ""Ben帳戶|Elsa帳戶|Ben代墊|Ariel代墊|中信銀行共用""), REGEXMATCH(F9683, ""Ben帳戶|Elsa帳戶|Ben代墊|Ariel代墊|中信銀行共用"")), ""內部轉帳(忽略)"",
  AND(E9683&lt;&gt;"""", F9683&lt;&gt;"""", N"&amp;"OT(REGEXMATCH(C9683, ""薪資""))), ""內部轉帳(忽略)"",
  REGEXMATCH(C9683, ""薪資""), ""薪資變動(不計入)"",
  REGEXMATCH(C9683, ""押金""), ""押金往來"",
  AND(E9683&lt;&gt;"""", F9683=""""), ""真實支出"",
  AND(E9683="""", F9683&lt;&gt;""""), ""真實收入"",
  TRUE, ""其他""
)"),"其他")</f>
        <v>其他</v>
      </c>
      <c r="K9683" s="270" t="str">
        <f t="shared" si="2"/>
        <v/>
      </c>
      <c r="L9683">
        <f t="shared" si="3"/>
        <v>0</v>
      </c>
    </row>
    <row r="9684">
      <c r="A9684" s="107"/>
      <c r="D9684" s="270"/>
      <c r="H9684" s="106" t="str">
        <f t="shared" si="1"/>
        <v/>
      </c>
      <c r="J9684" t="str">
        <f>IFERROR(__xludf.DUMMYFUNCTION("IFS(
  AND(REGEXMATCH(E9684, ""台銀籌備帳戶|玉山帳戶""), REGEXMATCH(C9684, ""薪資"")), ""分潤支出"",
  AND(REGEXMATCH(E9684, ""Ben帳戶|Elsa帳戶|Ben代墊|Ariel代墊|中信銀行共用""), REGEXMATCH(F9684, ""Ben帳戶|Elsa帳戶|Ben代墊|Ariel代墊|中信銀行共用"")), ""內部轉帳(忽略)"",
  AND(E9684&lt;&gt;"""", F9684&lt;&gt;"""", N"&amp;"OT(REGEXMATCH(C9684, ""薪資""))), ""內部轉帳(忽略)"",
  REGEXMATCH(C9684, ""薪資""), ""薪資變動(不計入)"",
  REGEXMATCH(C9684, ""押金""), ""押金往來"",
  AND(E9684&lt;&gt;"""", F9684=""""), ""真實支出"",
  AND(E9684="""", F9684&lt;&gt;""""), ""真實收入"",
  TRUE, ""其他""
)"),"其他")</f>
        <v>其他</v>
      </c>
      <c r="K9684" s="270" t="str">
        <f t="shared" si="2"/>
        <v/>
      </c>
      <c r="L9684">
        <f t="shared" si="3"/>
        <v>0</v>
      </c>
    </row>
    <row r="9685">
      <c r="A9685" s="107"/>
      <c r="D9685" s="270"/>
      <c r="H9685" s="106" t="str">
        <f t="shared" si="1"/>
        <v/>
      </c>
      <c r="J9685" t="str">
        <f>IFERROR(__xludf.DUMMYFUNCTION("IFS(
  AND(REGEXMATCH(E9685, ""台銀籌備帳戶|玉山帳戶""), REGEXMATCH(C9685, ""薪資"")), ""分潤支出"",
  AND(REGEXMATCH(E9685, ""Ben帳戶|Elsa帳戶|Ben代墊|Ariel代墊|中信銀行共用""), REGEXMATCH(F9685, ""Ben帳戶|Elsa帳戶|Ben代墊|Ariel代墊|中信銀行共用"")), ""內部轉帳(忽略)"",
  AND(E9685&lt;&gt;"""", F9685&lt;&gt;"""", N"&amp;"OT(REGEXMATCH(C9685, ""薪資""))), ""內部轉帳(忽略)"",
  REGEXMATCH(C9685, ""薪資""), ""薪資變動(不計入)"",
  REGEXMATCH(C9685, ""押金""), ""押金往來"",
  AND(E9685&lt;&gt;"""", F9685=""""), ""真實支出"",
  AND(E9685="""", F9685&lt;&gt;""""), ""真實收入"",
  TRUE, ""其他""
)"),"其他")</f>
        <v>其他</v>
      </c>
      <c r="K9685" s="270" t="str">
        <f t="shared" si="2"/>
        <v/>
      </c>
      <c r="L9685">
        <f t="shared" si="3"/>
        <v>0</v>
      </c>
    </row>
    <row r="9686">
      <c r="A9686" s="107"/>
      <c r="D9686" s="270"/>
      <c r="H9686" s="106" t="str">
        <f t="shared" si="1"/>
        <v/>
      </c>
      <c r="J9686" t="str">
        <f>IFERROR(__xludf.DUMMYFUNCTION("IFS(
  AND(REGEXMATCH(E9686, ""台銀籌備帳戶|玉山帳戶""), REGEXMATCH(C9686, ""薪資"")), ""分潤支出"",
  AND(REGEXMATCH(E9686, ""Ben帳戶|Elsa帳戶|Ben代墊|Ariel代墊|中信銀行共用""), REGEXMATCH(F9686, ""Ben帳戶|Elsa帳戶|Ben代墊|Ariel代墊|中信銀行共用"")), ""內部轉帳(忽略)"",
  AND(E9686&lt;&gt;"""", F9686&lt;&gt;"""", N"&amp;"OT(REGEXMATCH(C9686, ""薪資""))), ""內部轉帳(忽略)"",
  REGEXMATCH(C9686, ""薪資""), ""薪資變動(不計入)"",
  REGEXMATCH(C9686, ""押金""), ""押金往來"",
  AND(E9686&lt;&gt;"""", F9686=""""), ""真實支出"",
  AND(E9686="""", F9686&lt;&gt;""""), ""真實收入"",
  TRUE, ""其他""
)"),"其他")</f>
        <v>其他</v>
      </c>
      <c r="K9686" s="270" t="str">
        <f t="shared" si="2"/>
        <v/>
      </c>
      <c r="L9686">
        <f t="shared" si="3"/>
        <v>0</v>
      </c>
    </row>
    <row r="9687">
      <c r="A9687" s="107"/>
      <c r="D9687" s="270"/>
      <c r="H9687" s="106" t="str">
        <f t="shared" si="1"/>
        <v/>
      </c>
      <c r="J9687" t="str">
        <f>IFERROR(__xludf.DUMMYFUNCTION("IFS(
  AND(REGEXMATCH(E9687, ""台銀籌備帳戶|玉山帳戶""), REGEXMATCH(C9687, ""薪資"")), ""分潤支出"",
  AND(REGEXMATCH(E9687, ""Ben帳戶|Elsa帳戶|Ben代墊|Ariel代墊|中信銀行共用""), REGEXMATCH(F9687, ""Ben帳戶|Elsa帳戶|Ben代墊|Ariel代墊|中信銀行共用"")), ""內部轉帳(忽略)"",
  AND(E9687&lt;&gt;"""", F9687&lt;&gt;"""", N"&amp;"OT(REGEXMATCH(C9687, ""薪資""))), ""內部轉帳(忽略)"",
  REGEXMATCH(C9687, ""薪資""), ""薪資變動(不計入)"",
  REGEXMATCH(C9687, ""押金""), ""押金往來"",
  AND(E9687&lt;&gt;"""", F9687=""""), ""真實支出"",
  AND(E9687="""", F9687&lt;&gt;""""), ""真實收入"",
  TRUE, ""其他""
)"),"其他")</f>
        <v>其他</v>
      </c>
      <c r="K9687" s="270" t="str">
        <f t="shared" si="2"/>
        <v/>
      </c>
      <c r="L9687">
        <f t="shared" si="3"/>
        <v>0</v>
      </c>
    </row>
    <row r="9688">
      <c r="A9688" s="107"/>
      <c r="D9688" s="270"/>
      <c r="H9688" s="106" t="str">
        <f t="shared" si="1"/>
        <v/>
      </c>
      <c r="J9688" t="str">
        <f>IFERROR(__xludf.DUMMYFUNCTION("IFS(
  AND(REGEXMATCH(E9688, ""台銀籌備帳戶|玉山帳戶""), REGEXMATCH(C9688, ""薪資"")), ""分潤支出"",
  AND(REGEXMATCH(E9688, ""Ben帳戶|Elsa帳戶|Ben代墊|Ariel代墊|中信銀行共用""), REGEXMATCH(F9688, ""Ben帳戶|Elsa帳戶|Ben代墊|Ariel代墊|中信銀行共用"")), ""內部轉帳(忽略)"",
  AND(E9688&lt;&gt;"""", F9688&lt;&gt;"""", N"&amp;"OT(REGEXMATCH(C9688, ""薪資""))), ""內部轉帳(忽略)"",
  REGEXMATCH(C9688, ""薪資""), ""薪資變動(不計入)"",
  REGEXMATCH(C9688, ""押金""), ""押金往來"",
  AND(E9688&lt;&gt;"""", F9688=""""), ""真實支出"",
  AND(E9688="""", F9688&lt;&gt;""""), ""真實收入"",
  TRUE, ""其他""
)"),"其他")</f>
        <v>其他</v>
      </c>
      <c r="K9688" s="270" t="str">
        <f t="shared" si="2"/>
        <v/>
      </c>
      <c r="L9688">
        <f t="shared" si="3"/>
        <v>0</v>
      </c>
    </row>
    <row r="9689">
      <c r="A9689" s="107"/>
      <c r="D9689" s="270"/>
      <c r="H9689" s="106" t="str">
        <f t="shared" si="1"/>
        <v/>
      </c>
      <c r="J9689" t="str">
        <f>IFERROR(__xludf.DUMMYFUNCTION("IFS(
  AND(REGEXMATCH(E9689, ""台銀籌備帳戶|玉山帳戶""), REGEXMATCH(C9689, ""薪資"")), ""分潤支出"",
  AND(REGEXMATCH(E9689, ""Ben帳戶|Elsa帳戶|Ben代墊|Ariel代墊|中信銀行共用""), REGEXMATCH(F9689, ""Ben帳戶|Elsa帳戶|Ben代墊|Ariel代墊|中信銀行共用"")), ""內部轉帳(忽略)"",
  AND(E9689&lt;&gt;"""", F9689&lt;&gt;"""", N"&amp;"OT(REGEXMATCH(C9689, ""薪資""))), ""內部轉帳(忽略)"",
  REGEXMATCH(C9689, ""薪資""), ""薪資變動(不計入)"",
  REGEXMATCH(C9689, ""押金""), ""押金往來"",
  AND(E9689&lt;&gt;"""", F9689=""""), ""真實支出"",
  AND(E9689="""", F9689&lt;&gt;""""), ""真實收入"",
  TRUE, ""其他""
)"),"其他")</f>
        <v>其他</v>
      </c>
      <c r="K9689" s="270" t="str">
        <f t="shared" si="2"/>
        <v/>
      </c>
      <c r="L9689">
        <f t="shared" si="3"/>
        <v>0</v>
      </c>
    </row>
    <row r="9690">
      <c r="A9690" s="107"/>
      <c r="D9690" s="270"/>
      <c r="H9690" s="106" t="str">
        <f t="shared" si="1"/>
        <v/>
      </c>
      <c r="J9690" t="str">
        <f>IFERROR(__xludf.DUMMYFUNCTION("IFS(
  AND(REGEXMATCH(E9690, ""台銀籌備帳戶|玉山帳戶""), REGEXMATCH(C9690, ""薪資"")), ""分潤支出"",
  AND(REGEXMATCH(E9690, ""Ben帳戶|Elsa帳戶|Ben代墊|Ariel代墊|中信銀行共用""), REGEXMATCH(F9690, ""Ben帳戶|Elsa帳戶|Ben代墊|Ariel代墊|中信銀行共用"")), ""內部轉帳(忽略)"",
  AND(E9690&lt;&gt;"""", F9690&lt;&gt;"""", N"&amp;"OT(REGEXMATCH(C9690, ""薪資""))), ""內部轉帳(忽略)"",
  REGEXMATCH(C9690, ""薪資""), ""薪資變動(不計入)"",
  REGEXMATCH(C9690, ""押金""), ""押金往來"",
  AND(E9690&lt;&gt;"""", F9690=""""), ""真實支出"",
  AND(E9690="""", F9690&lt;&gt;""""), ""真實收入"",
  TRUE, ""其他""
)"),"其他")</f>
        <v>其他</v>
      </c>
      <c r="K9690" s="270" t="str">
        <f t="shared" si="2"/>
        <v/>
      </c>
      <c r="L9690">
        <f t="shared" si="3"/>
        <v>0</v>
      </c>
    </row>
    <row r="9691">
      <c r="A9691" s="107"/>
      <c r="D9691" s="270"/>
      <c r="H9691" s="106" t="str">
        <f t="shared" si="1"/>
        <v/>
      </c>
      <c r="J9691" t="str">
        <f>IFERROR(__xludf.DUMMYFUNCTION("IFS(
  AND(REGEXMATCH(E9691, ""台銀籌備帳戶|玉山帳戶""), REGEXMATCH(C9691, ""薪資"")), ""分潤支出"",
  AND(REGEXMATCH(E9691, ""Ben帳戶|Elsa帳戶|Ben代墊|Ariel代墊|中信銀行共用""), REGEXMATCH(F9691, ""Ben帳戶|Elsa帳戶|Ben代墊|Ariel代墊|中信銀行共用"")), ""內部轉帳(忽略)"",
  AND(E9691&lt;&gt;"""", F9691&lt;&gt;"""", N"&amp;"OT(REGEXMATCH(C9691, ""薪資""))), ""內部轉帳(忽略)"",
  REGEXMATCH(C9691, ""薪資""), ""薪資變動(不計入)"",
  REGEXMATCH(C9691, ""押金""), ""押金往來"",
  AND(E9691&lt;&gt;"""", F9691=""""), ""真實支出"",
  AND(E9691="""", F9691&lt;&gt;""""), ""真實收入"",
  TRUE, ""其他""
)"),"其他")</f>
        <v>其他</v>
      </c>
      <c r="K9691" s="270" t="str">
        <f t="shared" si="2"/>
        <v/>
      </c>
      <c r="L9691">
        <f t="shared" si="3"/>
        <v>0</v>
      </c>
    </row>
    <row r="9692">
      <c r="A9692" s="107"/>
      <c r="D9692" s="270"/>
      <c r="H9692" s="106" t="str">
        <f t="shared" si="1"/>
        <v/>
      </c>
      <c r="J9692" t="str">
        <f>IFERROR(__xludf.DUMMYFUNCTION("IFS(
  AND(REGEXMATCH(E9692, ""台銀籌備帳戶|玉山帳戶""), REGEXMATCH(C9692, ""薪資"")), ""分潤支出"",
  AND(REGEXMATCH(E9692, ""Ben帳戶|Elsa帳戶|Ben代墊|Ariel代墊|中信銀行共用""), REGEXMATCH(F9692, ""Ben帳戶|Elsa帳戶|Ben代墊|Ariel代墊|中信銀行共用"")), ""內部轉帳(忽略)"",
  AND(E9692&lt;&gt;"""", F9692&lt;&gt;"""", N"&amp;"OT(REGEXMATCH(C9692, ""薪資""))), ""內部轉帳(忽略)"",
  REGEXMATCH(C9692, ""薪資""), ""薪資變動(不計入)"",
  REGEXMATCH(C9692, ""押金""), ""押金往來"",
  AND(E9692&lt;&gt;"""", F9692=""""), ""真實支出"",
  AND(E9692="""", F9692&lt;&gt;""""), ""真實收入"",
  TRUE, ""其他""
)"),"其他")</f>
        <v>其他</v>
      </c>
      <c r="K9692" s="270" t="str">
        <f t="shared" si="2"/>
        <v/>
      </c>
      <c r="L9692">
        <f t="shared" si="3"/>
        <v>0</v>
      </c>
    </row>
    <row r="9693">
      <c r="A9693" s="107"/>
      <c r="D9693" s="270"/>
      <c r="H9693" s="106" t="str">
        <f t="shared" si="1"/>
        <v/>
      </c>
      <c r="J9693" t="str">
        <f>IFERROR(__xludf.DUMMYFUNCTION("IFS(
  AND(REGEXMATCH(E9693, ""台銀籌備帳戶|玉山帳戶""), REGEXMATCH(C9693, ""薪資"")), ""分潤支出"",
  AND(REGEXMATCH(E9693, ""Ben帳戶|Elsa帳戶|Ben代墊|Ariel代墊|中信銀行共用""), REGEXMATCH(F9693, ""Ben帳戶|Elsa帳戶|Ben代墊|Ariel代墊|中信銀行共用"")), ""內部轉帳(忽略)"",
  AND(E9693&lt;&gt;"""", F9693&lt;&gt;"""", N"&amp;"OT(REGEXMATCH(C9693, ""薪資""))), ""內部轉帳(忽略)"",
  REGEXMATCH(C9693, ""薪資""), ""薪資變動(不計入)"",
  REGEXMATCH(C9693, ""押金""), ""押金往來"",
  AND(E9693&lt;&gt;"""", F9693=""""), ""真實支出"",
  AND(E9693="""", F9693&lt;&gt;""""), ""真實收入"",
  TRUE, ""其他""
)"),"其他")</f>
        <v>其他</v>
      </c>
      <c r="K9693" s="270" t="str">
        <f t="shared" si="2"/>
        <v/>
      </c>
      <c r="L9693">
        <f t="shared" si="3"/>
        <v>0</v>
      </c>
    </row>
    <row r="9694">
      <c r="A9694" s="107"/>
      <c r="D9694" s="270"/>
      <c r="H9694" s="106" t="str">
        <f t="shared" si="1"/>
        <v/>
      </c>
      <c r="J9694" t="str">
        <f>IFERROR(__xludf.DUMMYFUNCTION("IFS(
  AND(REGEXMATCH(E9694, ""台銀籌備帳戶|玉山帳戶""), REGEXMATCH(C9694, ""薪資"")), ""分潤支出"",
  AND(REGEXMATCH(E9694, ""Ben帳戶|Elsa帳戶|Ben代墊|Ariel代墊|中信銀行共用""), REGEXMATCH(F9694, ""Ben帳戶|Elsa帳戶|Ben代墊|Ariel代墊|中信銀行共用"")), ""內部轉帳(忽略)"",
  AND(E9694&lt;&gt;"""", F9694&lt;&gt;"""", N"&amp;"OT(REGEXMATCH(C9694, ""薪資""))), ""內部轉帳(忽略)"",
  REGEXMATCH(C9694, ""薪資""), ""薪資變動(不計入)"",
  REGEXMATCH(C9694, ""押金""), ""押金往來"",
  AND(E9694&lt;&gt;"""", F9694=""""), ""真實支出"",
  AND(E9694="""", F9694&lt;&gt;""""), ""真實收入"",
  TRUE, ""其他""
)"),"其他")</f>
        <v>其他</v>
      </c>
      <c r="K9694" s="270" t="str">
        <f t="shared" si="2"/>
        <v/>
      </c>
      <c r="L9694">
        <f t="shared" si="3"/>
        <v>0</v>
      </c>
    </row>
    <row r="9695">
      <c r="A9695" s="107"/>
      <c r="D9695" s="270"/>
      <c r="H9695" s="106" t="str">
        <f t="shared" si="1"/>
        <v/>
      </c>
      <c r="J9695" t="str">
        <f>IFERROR(__xludf.DUMMYFUNCTION("IFS(
  AND(REGEXMATCH(E9695, ""台銀籌備帳戶|玉山帳戶""), REGEXMATCH(C9695, ""薪資"")), ""分潤支出"",
  AND(REGEXMATCH(E9695, ""Ben帳戶|Elsa帳戶|Ben代墊|Ariel代墊|中信銀行共用""), REGEXMATCH(F9695, ""Ben帳戶|Elsa帳戶|Ben代墊|Ariel代墊|中信銀行共用"")), ""內部轉帳(忽略)"",
  AND(E9695&lt;&gt;"""", F9695&lt;&gt;"""", N"&amp;"OT(REGEXMATCH(C9695, ""薪資""))), ""內部轉帳(忽略)"",
  REGEXMATCH(C9695, ""薪資""), ""薪資變動(不計入)"",
  REGEXMATCH(C9695, ""押金""), ""押金往來"",
  AND(E9695&lt;&gt;"""", F9695=""""), ""真實支出"",
  AND(E9695="""", F9695&lt;&gt;""""), ""真實收入"",
  TRUE, ""其他""
)"),"其他")</f>
        <v>其他</v>
      </c>
      <c r="K9695" s="270" t="str">
        <f t="shared" si="2"/>
        <v/>
      </c>
      <c r="L9695">
        <f t="shared" si="3"/>
        <v>0</v>
      </c>
    </row>
    <row r="9696">
      <c r="A9696" s="107"/>
      <c r="D9696" s="270"/>
      <c r="H9696" s="106" t="str">
        <f t="shared" si="1"/>
        <v/>
      </c>
      <c r="J9696" t="str">
        <f>IFERROR(__xludf.DUMMYFUNCTION("IFS(
  AND(REGEXMATCH(E9696, ""台銀籌備帳戶|玉山帳戶""), REGEXMATCH(C9696, ""薪資"")), ""分潤支出"",
  AND(REGEXMATCH(E9696, ""Ben帳戶|Elsa帳戶|Ben代墊|Ariel代墊|中信銀行共用""), REGEXMATCH(F9696, ""Ben帳戶|Elsa帳戶|Ben代墊|Ariel代墊|中信銀行共用"")), ""內部轉帳(忽略)"",
  AND(E9696&lt;&gt;"""", F9696&lt;&gt;"""", N"&amp;"OT(REGEXMATCH(C9696, ""薪資""))), ""內部轉帳(忽略)"",
  REGEXMATCH(C9696, ""薪資""), ""薪資變動(不計入)"",
  REGEXMATCH(C9696, ""押金""), ""押金往來"",
  AND(E9696&lt;&gt;"""", F9696=""""), ""真實支出"",
  AND(E9696="""", F9696&lt;&gt;""""), ""真實收入"",
  TRUE, ""其他""
)"),"其他")</f>
        <v>其他</v>
      </c>
      <c r="K9696" s="270" t="str">
        <f t="shared" si="2"/>
        <v/>
      </c>
      <c r="L9696">
        <f t="shared" si="3"/>
        <v>0</v>
      </c>
    </row>
    <row r="9697">
      <c r="A9697" s="107"/>
      <c r="D9697" s="270"/>
      <c r="H9697" s="106" t="str">
        <f t="shared" si="1"/>
        <v/>
      </c>
      <c r="J9697" t="str">
        <f>IFERROR(__xludf.DUMMYFUNCTION("IFS(
  AND(REGEXMATCH(E9697, ""台銀籌備帳戶|玉山帳戶""), REGEXMATCH(C9697, ""薪資"")), ""分潤支出"",
  AND(REGEXMATCH(E9697, ""Ben帳戶|Elsa帳戶|Ben代墊|Ariel代墊|中信銀行共用""), REGEXMATCH(F9697, ""Ben帳戶|Elsa帳戶|Ben代墊|Ariel代墊|中信銀行共用"")), ""內部轉帳(忽略)"",
  AND(E9697&lt;&gt;"""", F9697&lt;&gt;"""", N"&amp;"OT(REGEXMATCH(C9697, ""薪資""))), ""內部轉帳(忽略)"",
  REGEXMATCH(C9697, ""薪資""), ""薪資變動(不計入)"",
  REGEXMATCH(C9697, ""押金""), ""押金往來"",
  AND(E9697&lt;&gt;"""", F9697=""""), ""真實支出"",
  AND(E9697="""", F9697&lt;&gt;""""), ""真實收入"",
  TRUE, ""其他""
)"),"其他")</f>
        <v>其他</v>
      </c>
      <c r="K9697" s="270" t="str">
        <f t="shared" si="2"/>
        <v/>
      </c>
      <c r="L9697">
        <f t="shared" si="3"/>
        <v>0</v>
      </c>
    </row>
    <row r="9698">
      <c r="A9698" s="107"/>
      <c r="D9698" s="270"/>
      <c r="H9698" s="106" t="str">
        <f t="shared" si="1"/>
        <v/>
      </c>
      <c r="J9698" t="str">
        <f>IFERROR(__xludf.DUMMYFUNCTION("IFS(
  AND(REGEXMATCH(E9698, ""台銀籌備帳戶|玉山帳戶""), REGEXMATCH(C9698, ""薪資"")), ""分潤支出"",
  AND(REGEXMATCH(E9698, ""Ben帳戶|Elsa帳戶|Ben代墊|Ariel代墊|中信銀行共用""), REGEXMATCH(F9698, ""Ben帳戶|Elsa帳戶|Ben代墊|Ariel代墊|中信銀行共用"")), ""內部轉帳(忽略)"",
  AND(E9698&lt;&gt;"""", F9698&lt;&gt;"""", N"&amp;"OT(REGEXMATCH(C9698, ""薪資""))), ""內部轉帳(忽略)"",
  REGEXMATCH(C9698, ""薪資""), ""薪資變動(不計入)"",
  REGEXMATCH(C9698, ""押金""), ""押金往來"",
  AND(E9698&lt;&gt;"""", F9698=""""), ""真實支出"",
  AND(E9698="""", F9698&lt;&gt;""""), ""真實收入"",
  TRUE, ""其他""
)"),"其他")</f>
        <v>其他</v>
      </c>
      <c r="K9698" s="270" t="str">
        <f t="shared" si="2"/>
        <v/>
      </c>
      <c r="L9698">
        <f t="shared" si="3"/>
        <v>0</v>
      </c>
    </row>
    <row r="9699">
      <c r="A9699" s="107"/>
      <c r="D9699" s="270"/>
      <c r="H9699" s="106" t="str">
        <f t="shared" si="1"/>
        <v/>
      </c>
      <c r="J9699" t="str">
        <f>IFERROR(__xludf.DUMMYFUNCTION("IFS(
  AND(REGEXMATCH(E9699, ""台銀籌備帳戶|玉山帳戶""), REGEXMATCH(C9699, ""薪資"")), ""分潤支出"",
  AND(REGEXMATCH(E9699, ""Ben帳戶|Elsa帳戶|Ben代墊|Ariel代墊|中信銀行共用""), REGEXMATCH(F9699, ""Ben帳戶|Elsa帳戶|Ben代墊|Ariel代墊|中信銀行共用"")), ""內部轉帳(忽略)"",
  AND(E9699&lt;&gt;"""", F9699&lt;&gt;"""", N"&amp;"OT(REGEXMATCH(C9699, ""薪資""))), ""內部轉帳(忽略)"",
  REGEXMATCH(C9699, ""薪資""), ""薪資變動(不計入)"",
  REGEXMATCH(C9699, ""押金""), ""押金往來"",
  AND(E9699&lt;&gt;"""", F9699=""""), ""真實支出"",
  AND(E9699="""", F9699&lt;&gt;""""), ""真實收入"",
  TRUE, ""其他""
)"),"其他")</f>
        <v>其他</v>
      </c>
      <c r="K9699" s="270" t="str">
        <f t="shared" si="2"/>
        <v/>
      </c>
      <c r="L9699">
        <f t="shared" si="3"/>
        <v>0</v>
      </c>
    </row>
    <row r="9700">
      <c r="A9700" s="107"/>
      <c r="D9700" s="270"/>
      <c r="H9700" s="106" t="str">
        <f t="shared" si="1"/>
        <v/>
      </c>
      <c r="J9700" t="str">
        <f>IFERROR(__xludf.DUMMYFUNCTION("IFS(
  AND(REGEXMATCH(E9700, ""台銀籌備帳戶|玉山帳戶""), REGEXMATCH(C9700, ""薪資"")), ""分潤支出"",
  AND(REGEXMATCH(E9700, ""Ben帳戶|Elsa帳戶|Ben代墊|Ariel代墊|中信銀行共用""), REGEXMATCH(F9700, ""Ben帳戶|Elsa帳戶|Ben代墊|Ariel代墊|中信銀行共用"")), ""內部轉帳(忽略)"",
  AND(E9700&lt;&gt;"""", F9700&lt;&gt;"""", N"&amp;"OT(REGEXMATCH(C9700, ""薪資""))), ""內部轉帳(忽略)"",
  REGEXMATCH(C9700, ""薪資""), ""薪資變動(不計入)"",
  REGEXMATCH(C9700, ""押金""), ""押金往來"",
  AND(E9700&lt;&gt;"""", F9700=""""), ""真實支出"",
  AND(E9700="""", F9700&lt;&gt;""""), ""真實收入"",
  TRUE, ""其他""
)"),"其他")</f>
        <v>其他</v>
      </c>
      <c r="K9700" s="270" t="str">
        <f t="shared" si="2"/>
        <v/>
      </c>
      <c r="L9700">
        <f t="shared" si="3"/>
        <v>0</v>
      </c>
    </row>
    <row r="9701">
      <c r="A9701" s="107"/>
      <c r="D9701" s="270"/>
      <c r="H9701" s="106" t="str">
        <f t="shared" si="1"/>
        <v/>
      </c>
      <c r="J9701" t="str">
        <f>IFERROR(__xludf.DUMMYFUNCTION("IFS(
  AND(REGEXMATCH(E9701, ""台銀籌備帳戶|玉山帳戶""), REGEXMATCH(C9701, ""薪資"")), ""分潤支出"",
  AND(REGEXMATCH(E9701, ""Ben帳戶|Elsa帳戶|Ben代墊|Ariel代墊|中信銀行共用""), REGEXMATCH(F9701, ""Ben帳戶|Elsa帳戶|Ben代墊|Ariel代墊|中信銀行共用"")), ""內部轉帳(忽略)"",
  AND(E9701&lt;&gt;"""", F9701&lt;&gt;"""", N"&amp;"OT(REGEXMATCH(C9701, ""薪資""))), ""內部轉帳(忽略)"",
  REGEXMATCH(C9701, ""薪資""), ""薪資變動(不計入)"",
  REGEXMATCH(C9701, ""押金""), ""押金往來"",
  AND(E9701&lt;&gt;"""", F9701=""""), ""真實支出"",
  AND(E9701="""", F9701&lt;&gt;""""), ""真實收入"",
  TRUE, ""其他""
)"),"其他")</f>
        <v>其他</v>
      </c>
      <c r="K9701" s="270" t="str">
        <f t="shared" si="2"/>
        <v/>
      </c>
      <c r="L9701">
        <f t="shared" si="3"/>
        <v>0</v>
      </c>
    </row>
    <row r="9702">
      <c r="A9702" s="107"/>
      <c r="D9702" s="270"/>
      <c r="H9702" s="106" t="str">
        <f t="shared" si="1"/>
        <v/>
      </c>
      <c r="J9702" t="str">
        <f>IFERROR(__xludf.DUMMYFUNCTION("IFS(
  AND(REGEXMATCH(E9702, ""台銀籌備帳戶|玉山帳戶""), REGEXMATCH(C9702, ""薪資"")), ""分潤支出"",
  AND(REGEXMATCH(E9702, ""Ben帳戶|Elsa帳戶|Ben代墊|Ariel代墊|中信銀行共用""), REGEXMATCH(F9702, ""Ben帳戶|Elsa帳戶|Ben代墊|Ariel代墊|中信銀行共用"")), ""內部轉帳(忽略)"",
  AND(E9702&lt;&gt;"""", F9702&lt;&gt;"""", N"&amp;"OT(REGEXMATCH(C9702, ""薪資""))), ""內部轉帳(忽略)"",
  REGEXMATCH(C9702, ""薪資""), ""薪資變動(不計入)"",
  REGEXMATCH(C9702, ""押金""), ""押金往來"",
  AND(E9702&lt;&gt;"""", F9702=""""), ""真實支出"",
  AND(E9702="""", F9702&lt;&gt;""""), ""真實收入"",
  TRUE, ""其他""
)"),"其他")</f>
        <v>其他</v>
      </c>
      <c r="K9702" s="270" t="str">
        <f t="shared" si="2"/>
        <v/>
      </c>
      <c r="L9702">
        <f t="shared" si="3"/>
        <v>0</v>
      </c>
    </row>
    <row r="9703">
      <c r="A9703" s="107"/>
      <c r="D9703" s="270"/>
      <c r="H9703" s="106" t="str">
        <f t="shared" si="1"/>
        <v/>
      </c>
      <c r="J9703" t="str">
        <f>IFERROR(__xludf.DUMMYFUNCTION("IFS(
  AND(REGEXMATCH(E9703, ""台銀籌備帳戶|玉山帳戶""), REGEXMATCH(C9703, ""薪資"")), ""分潤支出"",
  AND(REGEXMATCH(E9703, ""Ben帳戶|Elsa帳戶|Ben代墊|Ariel代墊|中信銀行共用""), REGEXMATCH(F9703, ""Ben帳戶|Elsa帳戶|Ben代墊|Ariel代墊|中信銀行共用"")), ""內部轉帳(忽略)"",
  AND(E9703&lt;&gt;"""", F9703&lt;&gt;"""", N"&amp;"OT(REGEXMATCH(C9703, ""薪資""))), ""內部轉帳(忽略)"",
  REGEXMATCH(C9703, ""薪資""), ""薪資變動(不計入)"",
  REGEXMATCH(C9703, ""押金""), ""押金往來"",
  AND(E9703&lt;&gt;"""", F9703=""""), ""真實支出"",
  AND(E9703="""", F9703&lt;&gt;""""), ""真實收入"",
  TRUE, ""其他""
)"),"其他")</f>
        <v>其他</v>
      </c>
      <c r="K9703" s="270" t="str">
        <f t="shared" si="2"/>
        <v/>
      </c>
      <c r="L9703">
        <f t="shared" si="3"/>
        <v>0</v>
      </c>
    </row>
    <row r="9704">
      <c r="A9704" s="107"/>
      <c r="D9704" s="270"/>
      <c r="H9704" s="106" t="str">
        <f t="shared" si="1"/>
        <v/>
      </c>
      <c r="J9704" t="str">
        <f>IFERROR(__xludf.DUMMYFUNCTION("IFS(
  AND(REGEXMATCH(E9704, ""台銀籌備帳戶|玉山帳戶""), REGEXMATCH(C9704, ""薪資"")), ""分潤支出"",
  AND(REGEXMATCH(E9704, ""Ben帳戶|Elsa帳戶|Ben代墊|Ariel代墊|中信銀行共用""), REGEXMATCH(F9704, ""Ben帳戶|Elsa帳戶|Ben代墊|Ariel代墊|中信銀行共用"")), ""內部轉帳(忽略)"",
  AND(E9704&lt;&gt;"""", F9704&lt;&gt;"""", N"&amp;"OT(REGEXMATCH(C9704, ""薪資""))), ""內部轉帳(忽略)"",
  REGEXMATCH(C9704, ""薪資""), ""薪資變動(不計入)"",
  REGEXMATCH(C9704, ""押金""), ""押金往來"",
  AND(E9704&lt;&gt;"""", F9704=""""), ""真實支出"",
  AND(E9704="""", F9704&lt;&gt;""""), ""真實收入"",
  TRUE, ""其他""
)"),"其他")</f>
        <v>其他</v>
      </c>
      <c r="K9704" s="270" t="str">
        <f t="shared" si="2"/>
        <v/>
      </c>
      <c r="L9704">
        <f t="shared" si="3"/>
        <v>0</v>
      </c>
    </row>
    <row r="9705">
      <c r="A9705" s="107"/>
      <c r="D9705" s="270"/>
      <c r="H9705" s="106" t="str">
        <f t="shared" si="1"/>
        <v/>
      </c>
      <c r="J9705" t="str">
        <f>IFERROR(__xludf.DUMMYFUNCTION("IFS(
  AND(REGEXMATCH(E9705, ""台銀籌備帳戶|玉山帳戶""), REGEXMATCH(C9705, ""薪資"")), ""分潤支出"",
  AND(REGEXMATCH(E9705, ""Ben帳戶|Elsa帳戶|Ben代墊|Ariel代墊|中信銀行共用""), REGEXMATCH(F9705, ""Ben帳戶|Elsa帳戶|Ben代墊|Ariel代墊|中信銀行共用"")), ""內部轉帳(忽略)"",
  AND(E9705&lt;&gt;"""", F9705&lt;&gt;"""", N"&amp;"OT(REGEXMATCH(C9705, ""薪資""))), ""內部轉帳(忽略)"",
  REGEXMATCH(C9705, ""薪資""), ""薪資變動(不計入)"",
  REGEXMATCH(C9705, ""押金""), ""押金往來"",
  AND(E9705&lt;&gt;"""", F9705=""""), ""真實支出"",
  AND(E9705="""", F9705&lt;&gt;""""), ""真實收入"",
  TRUE, ""其他""
)"),"其他")</f>
        <v>其他</v>
      </c>
      <c r="K9705" s="270" t="str">
        <f t="shared" si="2"/>
        <v/>
      </c>
      <c r="L9705">
        <f t="shared" si="3"/>
        <v>0</v>
      </c>
    </row>
    <row r="9706">
      <c r="A9706" s="107"/>
      <c r="D9706" s="270"/>
      <c r="H9706" s="106" t="str">
        <f t="shared" si="1"/>
        <v/>
      </c>
      <c r="J9706" t="str">
        <f>IFERROR(__xludf.DUMMYFUNCTION("IFS(
  AND(REGEXMATCH(E9706, ""台銀籌備帳戶|玉山帳戶""), REGEXMATCH(C9706, ""薪資"")), ""分潤支出"",
  AND(REGEXMATCH(E9706, ""Ben帳戶|Elsa帳戶|Ben代墊|Ariel代墊|中信銀行共用""), REGEXMATCH(F9706, ""Ben帳戶|Elsa帳戶|Ben代墊|Ariel代墊|中信銀行共用"")), ""內部轉帳(忽略)"",
  AND(E9706&lt;&gt;"""", F9706&lt;&gt;"""", N"&amp;"OT(REGEXMATCH(C9706, ""薪資""))), ""內部轉帳(忽略)"",
  REGEXMATCH(C9706, ""薪資""), ""薪資變動(不計入)"",
  REGEXMATCH(C9706, ""押金""), ""押金往來"",
  AND(E9706&lt;&gt;"""", F9706=""""), ""真實支出"",
  AND(E9706="""", F9706&lt;&gt;""""), ""真實收入"",
  TRUE, ""其他""
)"),"其他")</f>
        <v>其他</v>
      </c>
      <c r="K9706" s="270" t="str">
        <f t="shared" si="2"/>
        <v/>
      </c>
      <c r="L9706">
        <f t="shared" si="3"/>
        <v>0</v>
      </c>
    </row>
    <row r="9707">
      <c r="A9707" s="107"/>
      <c r="D9707" s="270"/>
      <c r="H9707" s="106" t="str">
        <f t="shared" si="1"/>
        <v/>
      </c>
      <c r="J9707" t="str">
        <f>IFERROR(__xludf.DUMMYFUNCTION("IFS(
  AND(REGEXMATCH(E9707, ""台銀籌備帳戶|玉山帳戶""), REGEXMATCH(C9707, ""薪資"")), ""分潤支出"",
  AND(REGEXMATCH(E9707, ""Ben帳戶|Elsa帳戶|Ben代墊|Ariel代墊|中信銀行共用""), REGEXMATCH(F9707, ""Ben帳戶|Elsa帳戶|Ben代墊|Ariel代墊|中信銀行共用"")), ""內部轉帳(忽略)"",
  AND(E9707&lt;&gt;"""", F9707&lt;&gt;"""", N"&amp;"OT(REGEXMATCH(C9707, ""薪資""))), ""內部轉帳(忽略)"",
  REGEXMATCH(C9707, ""薪資""), ""薪資變動(不計入)"",
  REGEXMATCH(C9707, ""押金""), ""押金往來"",
  AND(E9707&lt;&gt;"""", F9707=""""), ""真實支出"",
  AND(E9707="""", F9707&lt;&gt;""""), ""真實收入"",
  TRUE, ""其他""
)"),"其他")</f>
        <v>其他</v>
      </c>
      <c r="K9707" s="270" t="str">
        <f t="shared" si="2"/>
        <v/>
      </c>
      <c r="L9707">
        <f t="shared" si="3"/>
        <v>0</v>
      </c>
    </row>
    <row r="9708">
      <c r="A9708" s="107"/>
      <c r="D9708" s="270"/>
      <c r="H9708" s="106" t="str">
        <f t="shared" si="1"/>
        <v/>
      </c>
      <c r="J9708" t="str">
        <f>IFERROR(__xludf.DUMMYFUNCTION("IFS(
  AND(REGEXMATCH(E9708, ""台銀籌備帳戶|玉山帳戶""), REGEXMATCH(C9708, ""薪資"")), ""分潤支出"",
  AND(REGEXMATCH(E9708, ""Ben帳戶|Elsa帳戶|Ben代墊|Ariel代墊|中信銀行共用""), REGEXMATCH(F9708, ""Ben帳戶|Elsa帳戶|Ben代墊|Ariel代墊|中信銀行共用"")), ""內部轉帳(忽略)"",
  AND(E9708&lt;&gt;"""", F9708&lt;&gt;"""", N"&amp;"OT(REGEXMATCH(C9708, ""薪資""))), ""內部轉帳(忽略)"",
  REGEXMATCH(C9708, ""薪資""), ""薪資變動(不計入)"",
  REGEXMATCH(C9708, ""押金""), ""押金往來"",
  AND(E9708&lt;&gt;"""", F9708=""""), ""真實支出"",
  AND(E9708="""", F9708&lt;&gt;""""), ""真實收入"",
  TRUE, ""其他""
)"),"其他")</f>
        <v>其他</v>
      </c>
      <c r="K9708" s="270" t="str">
        <f t="shared" si="2"/>
        <v/>
      </c>
      <c r="L9708">
        <f t="shared" si="3"/>
        <v>0</v>
      </c>
    </row>
    <row r="9709">
      <c r="A9709" s="107"/>
      <c r="D9709" s="270"/>
      <c r="H9709" s="106" t="str">
        <f t="shared" si="1"/>
        <v/>
      </c>
      <c r="J9709" t="str">
        <f>IFERROR(__xludf.DUMMYFUNCTION("IFS(
  AND(REGEXMATCH(E9709, ""台銀籌備帳戶|玉山帳戶""), REGEXMATCH(C9709, ""薪資"")), ""分潤支出"",
  AND(REGEXMATCH(E9709, ""Ben帳戶|Elsa帳戶|Ben代墊|Ariel代墊|中信銀行共用""), REGEXMATCH(F9709, ""Ben帳戶|Elsa帳戶|Ben代墊|Ariel代墊|中信銀行共用"")), ""內部轉帳(忽略)"",
  AND(E9709&lt;&gt;"""", F9709&lt;&gt;"""", N"&amp;"OT(REGEXMATCH(C9709, ""薪資""))), ""內部轉帳(忽略)"",
  REGEXMATCH(C9709, ""薪資""), ""薪資變動(不計入)"",
  REGEXMATCH(C9709, ""押金""), ""押金往來"",
  AND(E9709&lt;&gt;"""", F9709=""""), ""真實支出"",
  AND(E9709="""", F9709&lt;&gt;""""), ""真實收入"",
  TRUE, ""其他""
)"),"其他")</f>
        <v>其他</v>
      </c>
      <c r="K9709" s="270" t="str">
        <f t="shared" si="2"/>
        <v/>
      </c>
      <c r="L9709">
        <f t="shared" si="3"/>
        <v>0</v>
      </c>
    </row>
    <row r="9710">
      <c r="A9710" s="107"/>
      <c r="D9710" s="270"/>
      <c r="H9710" s="106" t="str">
        <f t="shared" si="1"/>
        <v/>
      </c>
      <c r="J9710" t="str">
        <f>IFERROR(__xludf.DUMMYFUNCTION("IFS(
  AND(REGEXMATCH(E9710, ""台銀籌備帳戶|玉山帳戶""), REGEXMATCH(C9710, ""薪資"")), ""分潤支出"",
  AND(REGEXMATCH(E9710, ""Ben帳戶|Elsa帳戶|Ben代墊|Ariel代墊|中信銀行共用""), REGEXMATCH(F9710, ""Ben帳戶|Elsa帳戶|Ben代墊|Ariel代墊|中信銀行共用"")), ""內部轉帳(忽略)"",
  AND(E9710&lt;&gt;"""", F9710&lt;&gt;"""", N"&amp;"OT(REGEXMATCH(C9710, ""薪資""))), ""內部轉帳(忽略)"",
  REGEXMATCH(C9710, ""薪資""), ""薪資變動(不計入)"",
  REGEXMATCH(C9710, ""押金""), ""押金往來"",
  AND(E9710&lt;&gt;"""", F9710=""""), ""真實支出"",
  AND(E9710="""", F9710&lt;&gt;""""), ""真實收入"",
  TRUE, ""其他""
)"),"其他")</f>
        <v>其他</v>
      </c>
      <c r="K9710" s="270" t="str">
        <f t="shared" si="2"/>
        <v/>
      </c>
      <c r="L9710">
        <f t="shared" si="3"/>
        <v>0</v>
      </c>
    </row>
    <row r="9711">
      <c r="A9711" s="107"/>
      <c r="D9711" s="270"/>
      <c r="H9711" s="106" t="str">
        <f t="shared" si="1"/>
        <v/>
      </c>
      <c r="J9711" t="str">
        <f>IFERROR(__xludf.DUMMYFUNCTION("IFS(
  AND(REGEXMATCH(E9711, ""台銀籌備帳戶|玉山帳戶""), REGEXMATCH(C9711, ""薪資"")), ""分潤支出"",
  AND(REGEXMATCH(E9711, ""Ben帳戶|Elsa帳戶|Ben代墊|Ariel代墊|中信銀行共用""), REGEXMATCH(F9711, ""Ben帳戶|Elsa帳戶|Ben代墊|Ariel代墊|中信銀行共用"")), ""內部轉帳(忽略)"",
  AND(E9711&lt;&gt;"""", F9711&lt;&gt;"""", N"&amp;"OT(REGEXMATCH(C9711, ""薪資""))), ""內部轉帳(忽略)"",
  REGEXMATCH(C9711, ""薪資""), ""薪資變動(不計入)"",
  REGEXMATCH(C9711, ""押金""), ""押金往來"",
  AND(E9711&lt;&gt;"""", F9711=""""), ""真實支出"",
  AND(E9711="""", F9711&lt;&gt;""""), ""真實收入"",
  TRUE, ""其他""
)"),"其他")</f>
        <v>其他</v>
      </c>
      <c r="K9711" s="270" t="str">
        <f t="shared" si="2"/>
        <v/>
      </c>
      <c r="L9711">
        <f t="shared" si="3"/>
        <v>0</v>
      </c>
    </row>
    <row r="9712">
      <c r="A9712" s="107"/>
      <c r="D9712" s="270"/>
      <c r="H9712" s="106" t="str">
        <f t="shared" si="1"/>
        <v/>
      </c>
      <c r="J9712" t="str">
        <f>IFERROR(__xludf.DUMMYFUNCTION("IFS(
  AND(REGEXMATCH(E9712, ""台銀籌備帳戶|玉山帳戶""), REGEXMATCH(C9712, ""薪資"")), ""分潤支出"",
  AND(REGEXMATCH(E9712, ""Ben帳戶|Elsa帳戶|Ben代墊|Ariel代墊|中信銀行共用""), REGEXMATCH(F9712, ""Ben帳戶|Elsa帳戶|Ben代墊|Ariel代墊|中信銀行共用"")), ""內部轉帳(忽略)"",
  AND(E9712&lt;&gt;"""", F9712&lt;&gt;"""", N"&amp;"OT(REGEXMATCH(C9712, ""薪資""))), ""內部轉帳(忽略)"",
  REGEXMATCH(C9712, ""薪資""), ""薪資變動(不計入)"",
  REGEXMATCH(C9712, ""押金""), ""押金往來"",
  AND(E9712&lt;&gt;"""", F9712=""""), ""真實支出"",
  AND(E9712="""", F9712&lt;&gt;""""), ""真實收入"",
  TRUE, ""其他""
)"),"其他")</f>
        <v>其他</v>
      </c>
      <c r="K9712" s="270" t="str">
        <f t="shared" si="2"/>
        <v/>
      </c>
      <c r="L9712">
        <f t="shared" si="3"/>
        <v>0</v>
      </c>
    </row>
    <row r="9713">
      <c r="A9713" s="107"/>
      <c r="D9713" s="270"/>
      <c r="H9713" s="106" t="str">
        <f t="shared" si="1"/>
        <v/>
      </c>
      <c r="J9713" t="str">
        <f>IFERROR(__xludf.DUMMYFUNCTION("IFS(
  AND(REGEXMATCH(E9713, ""台銀籌備帳戶|玉山帳戶""), REGEXMATCH(C9713, ""薪資"")), ""分潤支出"",
  AND(REGEXMATCH(E9713, ""Ben帳戶|Elsa帳戶|Ben代墊|Ariel代墊|中信銀行共用""), REGEXMATCH(F9713, ""Ben帳戶|Elsa帳戶|Ben代墊|Ariel代墊|中信銀行共用"")), ""內部轉帳(忽略)"",
  AND(E9713&lt;&gt;"""", F9713&lt;&gt;"""", N"&amp;"OT(REGEXMATCH(C9713, ""薪資""))), ""內部轉帳(忽略)"",
  REGEXMATCH(C9713, ""薪資""), ""薪資變動(不計入)"",
  REGEXMATCH(C9713, ""押金""), ""押金往來"",
  AND(E9713&lt;&gt;"""", F9713=""""), ""真實支出"",
  AND(E9713="""", F9713&lt;&gt;""""), ""真實收入"",
  TRUE, ""其他""
)"),"其他")</f>
        <v>其他</v>
      </c>
      <c r="K9713" s="270" t="str">
        <f t="shared" si="2"/>
        <v/>
      </c>
      <c r="L9713">
        <f t="shared" si="3"/>
        <v>0</v>
      </c>
    </row>
    <row r="9714">
      <c r="A9714" s="107"/>
      <c r="D9714" s="270"/>
      <c r="H9714" s="106" t="str">
        <f t="shared" si="1"/>
        <v/>
      </c>
      <c r="J9714" t="str">
        <f>IFERROR(__xludf.DUMMYFUNCTION("IFS(
  AND(REGEXMATCH(E9714, ""台銀籌備帳戶|玉山帳戶""), REGEXMATCH(C9714, ""薪資"")), ""分潤支出"",
  AND(REGEXMATCH(E9714, ""Ben帳戶|Elsa帳戶|Ben代墊|Ariel代墊|中信銀行共用""), REGEXMATCH(F9714, ""Ben帳戶|Elsa帳戶|Ben代墊|Ariel代墊|中信銀行共用"")), ""內部轉帳(忽略)"",
  AND(E9714&lt;&gt;"""", F9714&lt;&gt;"""", N"&amp;"OT(REGEXMATCH(C9714, ""薪資""))), ""內部轉帳(忽略)"",
  REGEXMATCH(C9714, ""薪資""), ""薪資變動(不計入)"",
  REGEXMATCH(C9714, ""押金""), ""押金往來"",
  AND(E9714&lt;&gt;"""", F9714=""""), ""真實支出"",
  AND(E9714="""", F9714&lt;&gt;""""), ""真實收入"",
  TRUE, ""其他""
)"),"其他")</f>
        <v>其他</v>
      </c>
      <c r="K9714" s="270" t="str">
        <f t="shared" si="2"/>
        <v/>
      </c>
      <c r="L9714">
        <f t="shared" si="3"/>
        <v>0</v>
      </c>
    </row>
    <row r="9715">
      <c r="A9715" s="107"/>
      <c r="D9715" s="270"/>
      <c r="H9715" s="106" t="str">
        <f t="shared" si="1"/>
        <v/>
      </c>
      <c r="J9715" t="str">
        <f>IFERROR(__xludf.DUMMYFUNCTION("IFS(
  AND(REGEXMATCH(E9715, ""台銀籌備帳戶|玉山帳戶""), REGEXMATCH(C9715, ""薪資"")), ""分潤支出"",
  AND(REGEXMATCH(E9715, ""Ben帳戶|Elsa帳戶|Ben代墊|Ariel代墊|中信銀行共用""), REGEXMATCH(F9715, ""Ben帳戶|Elsa帳戶|Ben代墊|Ariel代墊|中信銀行共用"")), ""內部轉帳(忽略)"",
  AND(E9715&lt;&gt;"""", F9715&lt;&gt;"""", N"&amp;"OT(REGEXMATCH(C9715, ""薪資""))), ""內部轉帳(忽略)"",
  REGEXMATCH(C9715, ""薪資""), ""薪資變動(不計入)"",
  REGEXMATCH(C9715, ""押金""), ""押金往來"",
  AND(E9715&lt;&gt;"""", F9715=""""), ""真實支出"",
  AND(E9715="""", F9715&lt;&gt;""""), ""真實收入"",
  TRUE, ""其他""
)"),"其他")</f>
        <v>其他</v>
      </c>
      <c r="K9715" s="270" t="str">
        <f t="shared" si="2"/>
        <v/>
      </c>
      <c r="L9715">
        <f t="shared" si="3"/>
        <v>0</v>
      </c>
    </row>
    <row r="9716">
      <c r="A9716" s="107"/>
      <c r="D9716" s="270"/>
      <c r="H9716" s="106" t="str">
        <f t="shared" si="1"/>
        <v/>
      </c>
      <c r="J9716" t="str">
        <f>IFERROR(__xludf.DUMMYFUNCTION("IFS(
  AND(REGEXMATCH(E9716, ""台銀籌備帳戶|玉山帳戶""), REGEXMATCH(C9716, ""薪資"")), ""分潤支出"",
  AND(REGEXMATCH(E9716, ""Ben帳戶|Elsa帳戶|Ben代墊|Ariel代墊|中信銀行共用""), REGEXMATCH(F9716, ""Ben帳戶|Elsa帳戶|Ben代墊|Ariel代墊|中信銀行共用"")), ""內部轉帳(忽略)"",
  AND(E9716&lt;&gt;"""", F9716&lt;&gt;"""", N"&amp;"OT(REGEXMATCH(C9716, ""薪資""))), ""內部轉帳(忽略)"",
  REGEXMATCH(C9716, ""薪資""), ""薪資變動(不計入)"",
  REGEXMATCH(C9716, ""押金""), ""押金往來"",
  AND(E9716&lt;&gt;"""", F9716=""""), ""真實支出"",
  AND(E9716="""", F9716&lt;&gt;""""), ""真實收入"",
  TRUE, ""其他""
)"),"其他")</f>
        <v>其他</v>
      </c>
      <c r="K9716" s="270" t="str">
        <f t="shared" si="2"/>
        <v/>
      </c>
      <c r="L9716">
        <f t="shared" si="3"/>
        <v>0</v>
      </c>
    </row>
    <row r="9717">
      <c r="A9717" s="107"/>
      <c r="D9717" s="270"/>
      <c r="H9717" s="106" t="str">
        <f t="shared" si="1"/>
        <v/>
      </c>
      <c r="J9717" t="str">
        <f>IFERROR(__xludf.DUMMYFUNCTION("IFS(
  AND(REGEXMATCH(E9717, ""台銀籌備帳戶|玉山帳戶""), REGEXMATCH(C9717, ""薪資"")), ""分潤支出"",
  AND(REGEXMATCH(E9717, ""Ben帳戶|Elsa帳戶|Ben代墊|Ariel代墊|中信銀行共用""), REGEXMATCH(F9717, ""Ben帳戶|Elsa帳戶|Ben代墊|Ariel代墊|中信銀行共用"")), ""內部轉帳(忽略)"",
  AND(E9717&lt;&gt;"""", F9717&lt;&gt;"""", N"&amp;"OT(REGEXMATCH(C9717, ""薪資""))), ""內部轉帳(忽略)"",
  REGEXMATCH(C9717, ""薪資""), ""薪資變動(不計入)"",
  REGEXMATCH(C9717, ""押金""), ""押金往來"",
  AND(E9717&lt;&gt;"""", F9717=""""), ""真實支出"",
  AND(E9717="""", F9717&lt;&gt;""""), ""真實收入"",
  TRUE, ""其他""
)"),"其他")</f>
        <v>其他</v>
      </c>
      <c r="K9717" s="270" t="str">
        <f t="shared" si="2"/>
        <v/>
      </c>
      <c r="L9717">
        <f t="shared" si="3"/>
        <v>0</v>
      </c>
    </row>
    <row r="9718">
      <c r="A9718" s="107"/>
      <c r="D9718" s="270"/>
      <c r="H9718" s="106" t="str">
        <f t="shared" si="1"/>
        <v/>
      </c>
      <c r="J9718" t="str">
        <f>IFERROR(__xludf.DUMMYFUNCTION("IFS(
  AND(REGEXMATCH(E9718, ""台銀籌備帳戶|玉山帳戶""), REGEXMATCH(C9718, ""薪資"")), ""分潤支出"",
  AND(REGEXMATCH(E9718, ""Ben帳戶|Elsa帳戶|Ben代墊|Ariel代墊|中信銀行共用""), REGEXMATCH(F9718, ""Ben帳戶|Elsa帳戶|Ben代墊|Ariel代墊|中信銀行共用"")), ""內部轉帳(忽略)"",
  AND(E9718&lt;&gt;"""", F9718&lt;&gt;"""", N"&amp;"OT(REGEXMATCH(C9718, ""薪資""))), ""內部轉帳(忽略)"",
  REGEXMATCH(C9718, ""薪資""), ""薪資變動(不計入)"",
  REGEXMATCH(C9718, ""押金""), ""押金往來"",
  AND(E9718&lt;&gt;"""", F9718=""""), ""真實支出"",
  AND(E9718="""", F9718&lt;&gt;""""), ""真實收入"",
  TRUE, ""其他""
)"),"其他")</f>
        <v>其他</v>
      </c>
      <c r="K9718" s="270" t="str">
        <f t="shared" si="2"/>
        <v/>
      </c>
      <c r="L9718">
        <f t="shared" si="3"/>
        <v>0</v>
      </c>
    </row>
    <row r="9719">
      <c r="A9719" s="107"/>
      <c r="D9719" s="270"/>
      <c r="H9719" s="106" t="str">
        <f t="shared" si="1"/>
        <v/>
      </c>
      <c r="J9719" t="str">
        <f>IFERROR(__xludf.DUMMYFUNCTION("IFS(
  AND(REGEXMATCH(E9719, ""台銀籌備帳戶|玉山帳戶""), REGEXMATCH(C9719, ""薪資"")), ""分潤支出"",
  AND(REGEXMATCH(E9719, ""Ben帳戶|Elsa帳戶|Ben代墊|Ariel代墊|中信銀行共用""), REGEXMATCH(F9719, ""Ben帳戶|Elsa帳戶|Ben代墊|Ariel代墊|中信銀行共用"")), ""內部轉帳(忽略)"",
  AND(E9719&lt;&gt;"""", F9719&lt;&gt;"""", N"&amp;"OT(REGEXMATCH(C9719, ""薪資""))), ""內部轉帳(忽略)"",
  REGEXMATCH(C9719, ""薪資""), ""薪資變動(不計入)"",
  REGEXMATCH(C9719, ""押金""), ""押金往來"",
  AND(E9719&lt;&gt;"""", F9719=""""), ""真實支出"",
  AND(E9719="""", F9719&lt;&gt;""""), ""真實收入"",
  TRUE, ""其他""
)"),"其他")</f>
        <v>其他</v>
      </c>
      <c r="K9719" s="270" t="str">
        <f t="shared" si="2"/>
        <v/>
      </c>
      <c r="L9719">
        <f t="shared" si="3"/>
        <v>0</v>
      </c>
    </row>
    <row r="9720">
      <c r="A9720" s="107"/>
      <c r="D9720" s="270"/>
      <c r="H9720" s="106" t="str">
        <f t="shared" si="1"/>
        <v/>
      </c>
      <c r="J9720" t="str">
        <f>IFERROR(__xludf.DUMMYFUNCTION("IFS(
  AND(REGEXMATCH(E9720, ""台銀籌備帳戶|玉山帳戶""), REGEXMATCH(C9720, ""薪資"")), ""分潤支出"",
  AND(REGEXMATCH(E9720, ""Ben帳戶|Elsa帳戶|Ben代墊|Ariel代墊|中信銀行共用""), REGEXMATCH(F9720, ""Ben帳戶|Elsa帳戶|Ben代墊|Ariel代墊|中信銀行共用"")), ""內部轉帳(忽略)"",
  AND(E9720&lt;&gt;"""", F9720&lt;&gt;"""", N"&amp;"OT(REGEXMATCH(C9720, ""薪資""))), ""內部轉帳(忽略)"",
  REGEXMATCH(C9720, ""薪資""), ""薪資變動(不計入)"",
  REGEXMATCH(C9720, ""押金""), ""押金往來"",
  AND(E9720&lt;&gt;"""", F9720=""""), ""真實支出"",
  AND(E9720="""", F9720&lt;&gt;""""), ""真實收入"",
  TRUE, ""其他""
)"),"其他")</f>
        <v>其他</v>
      </c>
      <c r="K9720" s="270" t="str">
        <f t="shared" si="2"/>
        <v/>
      </c>
      <c r="L9720">
        <f t="shared" si="3"/>
        <v>0</v>
      </c>
    </row>
    <row r="9721">
      <c r="A9721" s="107"/>
      <c r="D9721" s="270"/>
      <c r="H9721" s="106" t="str">
        <f t="shared" si="1"/>
        <v/>
      </c>
      <c r="J9721" t="str">
        <f>IFERROR(__xludf.DUMMYFUNCTION("IFS(
  AND(REGEXMATCH(E9721, ""台銀籌備帳戶|玉山帳戶""), REGEXMATCH(C9721, ""薪資"")), ""分潤支出"",
  AND(REGEXMATCH(E9721, ""Ben帳戶|Elsa帳戶|Ben代墊|Ariel代墊|中信銀行共用""), REGEXMATCH(F9721, ""Ben帳戶|Elsa帳戶|Ben代墊|Ariel代墊|中信銀行共用"")), ""內部轉帳(忽略)"",
  AND(E9721&lt;&gt;"""", F9721&lt;&gt;"""", N"&amp;"OT(REGEXMATCH(C9721, ""薪資""))), ""內部轉帳(忽略)"",
  REGEXMATCH(C9721, ""薪資""), ""薪資變動(不計入)"",
  REGEXMATCH(C9721, ""押金""), ""押金往來"",
  AND(E9721&lt;&gt;"""", F9721=""""), ""真實支出"",
  AND(E9721="""", F9721&lt;&gt;""""), ""真實收入"",
  TRUE, ""其他""
)"),"其他")</f>
        <v>其他</v>
      </c>
      <c r="K9721" s="270" t="str">
        <f t="shared" si="2"/>
        <v/>
      </c>
      <c r="L9721">
        <f t="shared" si="3"/>
        <v>0</v>
      </c>
    </row>
    <row r="9722">
      <c r="A9722" s="107"/>
      <c r="D9722" s="270"/>
      <c r="H9722" s="106" t="str">
        <f t="shared" si="1"/>
        <v/>
      </c>
      <c r="J9722" t="str">
        <f>IFERROR(__xludf.DUMMYFUNCTION("IFS(
  AND(REGEXMATCH(E9722, ""台銀籌備帳戶|玉山帳戶""), REGEXMATCH(C9722, ""薪資"")), ""分潤支出"",
  AND(REGEXMATCH(E9722, ""Ben帳戶|Elsa帳戶|Ben代墊|Ariel代墊|中信銀行共用""), REGEXMATCH(F9722, ""Ben帳戶|Elsa帳戶|Ben代墊|Ariel代墊|中信銀行共用"")), ""內部轉帳(忽略)"",
  AND(E9722&lt;&gt;"""", F9722&lt;&gt;"""", N"&amp;"OT(REGEXMATCH(C9722, ""薪資""))), ""內部轉帳(忽略)"",
  REGEXMATCH(C9722, ""薪資""), ""薪資變動(不計入)"",
  REGEXMATCH(C9722, ""押金""), ""押金往來"",
  AND(E9722&lt;&gt;"""", F9722=""""), ""真實支出"",
  AND(E9722="""", F9722&lt;&gt;""""), ""真實收入"",
  TRUE, ""其他""
)"),"其他")</f>
        <v>其他</v>
      </c>
      <c r="K9722" s="270" t="str">
        <f t="shared" si="2"/>
        <v/>
      </c>
      <c r="L9722">
        <f t="shared" si="3"/>
        <v>0</v>
      </c>
    </row>
    <row r="9723">
      <c r="A9723" s="107"/>
      <c r="D9723" s="270"/>
      <c r="H9723" s="106" t="str">
        <f t="shared" si="1"/>
        <v/>
      </c>
      <c r="J9723" t="str">
        <f>IFERROR(__xludf.DUMMYFUNCTION("IFS(
  AND(REGEXMATCH(E9723, ""台銀籌備帳戶|玉山帳戶""), REGEXMATCH(C9723, ""薪資"")), ""分潤支出"",
  AND(REGEXMATCH(E9723, ""Ben帳戶|Elsa帳戶|Ben代墊|Ariel代墊|中信銀行共用""), REGEXMATCH(F9723, ""Ben帳戶|Elsa帳戶|Ben代墊|Ariel代墊|中信銀行共用"")), ""內部轉帳(忽略)"",
  AND(E9723&lt;&gt;"""", F9723&lt;&gt;"""", N"&amp;"OT(REGEXMATCH(C9723, ""薪資""))), ""內部轉帳(忽略)"",
  REGEXMATCH(C9723, ""薪資""), ""薪資變動(不計入)"",
  REGEXMATCH(C9723, ""押金""), ""押金往來"",
  AND(E9723&lt;&gt;"""", F9723=""""), ""真實支出"",
  AND(E9723="""", F9723&lt;&gt;""""), ""真實收入"",
  TRUE, ""其他""
)"),"其他")</f>
        <v>其他</v>
      </c>
      <c r="K9723" s="270" t="str">
        <f t="shared" si="2"/>
        <v/>
      </c>
      <c r="L9723">
        <f t="shared" si="3"/>
        <v>0</v>
      </c>
    </row>
    <row r="9724">
      <c r="A9724" s="107"/>
      <c r="D9724" s="270"/>
      <c r="H9724" s="106" t="str">
        <f t="shared" si="1"/>
        <v/>
      </c>
      <c r="J9724" t="str">
        <f>IFERROR(__xludf.DUMMYFUNCTION("IFS(
  AND(REGEXMATCH(E9724, ""台銀籌備帳戶|玉山帳戶""), REGEXMATCH(C9724, ""薪資"")), ""分潤支出"",
  AND(REGEXMATCH(E9724, ""Ben帳戶|Elsa帳戶|Ben代墊|Ariel代墊|中信銀行共用""), REGEXMATCH(F9724, ""Ben帳戶|Elsa帳戶|Ben代墊|Ariel代墊|中信銀行共用"")), ""內部轉帳(忽略)"",
  AND(E9724&lt;&gt;"""", F9724&lt;&gt;"""", N"&amp;"OT(REGEXMATCH(C9724, ""薪資""))), ""內部轉帳(忽略)"",
  REGEXMATCH(C9724, ""薪資""), ""薪資變動(不計入)"",
  REGEXMATCH(C9724, ""押金""), ""押金往來"",
  AND(E9724&lt;&gt;"""", F9724=""""), ""真實支出"",
  AND(E9724="""", F9724&lt;&gt;""""), ""真實收入"",
  TRUE, ""其他""
)"),"其他")</f>
        <v>其他</v>
      </c>
      <c r="K9724" s="270" t="str">
        <f t="shared" si="2"/>
        <v/>
      </c>
      <c r="L9724">
        <f t="shared" si="3"/>
        <v>0</v>
      </c>
    </row>
    <row r="9725">
      <c r="A9725" s="107"/>
      <c r="D9725" s="270"/>
      <c r="H9725" s="106" t="str">
        <f t="shared" si="1"/>
        <v/>
      </c>
      <c r="J9725" t="str">
        <f>IFERROR(__xludf.DUMMYFUNCTION("IFS(
  AND(REGEXMATCH(E9725, ""台銀籌備帳戶|玉山帳戶""), REGEXMATCH(C9725, ""薪資"")), ""分潤支出"",
  AND(REGEXMATCH(E9725, ""Ben帳戶|Elsa帳戶|Ben代墊|Ariel代墊|中信銀行共用""), REGEXMATCH(F9725, ""Ben帳戶|Elsa帳戶|Ben代墊|Ariel代墊|中信銀行共用"")), ""內部轉帳(忽略)"",
  AND(E9725&lt;&gt;"""", F9725&lt;&gt;"""", N"&amp;"OT(REGEXMATCH(C9725, ""薪資""))), ""內部轉帳(忽略)"",
  REGEXMATCH(C9725, ""薪資""), ""薪資變動(不計入)"",
  REGEXMATCH(C9725, ""押金""), ""押金往來"",
  AND(E9725&lt;&gt;"""", F9725=""""), ""真實支出"",
  AND(E9725="""", F9725&lt;&gt;""""), ""真實收入"",
  TRUE, ""其他""
)"),"其他")</f>
        <v>其他</v>
      </c>
      <c r="K9725" s="270" t="str">
        <f t="shared" si="2"/>
        <v/>
      </c>
      <c r="L9725">
        <f t="shared" si="3"/>
        <v>0</v>
      </c>
    </row>
    <row r="9726">
      <c r="A9726" s="107"/>
      <c r="D9726" s="270"/>
      <c r="H9726" s="106" t="str">
        <f t="shared" si="1"/>
        <v/>
      </c>
      <c r="J9726" t="str">
        <f>IFERROR(__xludf.DUMMYFUNCTION("IFS(
  AND(REGEXMATCH(E9726, ""台銀籌備帳戶|玉山帳戶""), REGEXMATCH(C9726, ""薪資"")), ""分潤支出"",
  AND(REGEXMATCH(E9726, ""Ben帳戶|Elsa帳戶|Ben代墊|Ariel代墊|中信銀行共用""), REGEXMATCH(F9726, ""Ben帳戶|Elsa帳戶|Ben代墊|Ariel代墊|中信銀行共用"")), ""內部轉帳(忽略)"",
  AND(E9726&lt;&gt;"""", F9726&lt;&gt;"""", N"&amp;"OT(REGEXMATCH(C9726, ""薪資""))), ""內部轉帳(忽略)"",
  REGEXMATCH(C9726, ""薪資""), ""薪資變動(不計入)"",
  REGEXMATCH(C9726, ""押金""), ""押金往來"",
  AND(E9726&lt;&gt;"""", F9726=""""), ""真實支出"",
  AND(E9726="""", F9726&lt;&gt;""""), ""真實收入"",
  TRUE, ""其他""
)"),"其他")</f>
        <v>其他</v>
      </c>
      <c r="K9726" s="270" t="str">
        <f t="shared" si="2"/>
        <v/>
      </c>
      <c r="L9726">
        <f t="shared" si="3"/>
        <v>0</v>
      </c>
    </row>
    <row r="9727">
      <c r="A9727" s="107"/>
      <c r="D9727" s="270"/>
      <c r="H9727" s="106" t="str">
        <f t="shared" si="1"/>
        <v/>
      </c>
      <c r="J9727" t="str">
        <f>IFERROR(__xludf.DUMMYFUNCTION("IFS(
  AND(REGEXMATCH(E9727, ""台銀籌備帳戶|玉山帳戶""), REGEXMATCH(C9727, ""薪資"")), ""分潤支出"",
  AND(REGEXMATCH(E9727, ""Ben帳戶|Elsa帳戶|Ben代墊|Ariel代墊|中信銀行共用""), REGEXMATCH(F9727, ""Ben帳戶|Elsa帳戶|Ben代墊|Ariel代墊|中信銀行共用"")), ""內部轉帳(忽略)"",
  AND(E9727&lt;&gt;"""", F9727&lt;&gt;"""", N"&amp;"OT(REGEXMATCH(C9727, ""薪資""))), ""內部轉帳(忽略)"",
  REGEXMATCH(C9727, ""薪資""), ""薪資變動(不計入)"",
  REGEXMATCH(C9727, ""押金""), ""押金往來"",
  AND(E9727&lt;&gt;"""", F9727=""""), ""真實支出"",
  AND(E9727="""", F9727&lt;&gt;""""), ""真實收入"",
  TRUE, ""其他""
)"),"其他")</f>
        <v>其他</v>
      </c>
      <c r="K9727" s="270" t="str">
        <f t="shared" si="2"/>
        <v/>
      </c>
      <c r="L9727">
        <f t="shared" si="3"/>
        <v>0</v>
      </c>
    </row>
    <row r="9728">
      <c r="A9728" s="107"/>
      <c r="D9728" s="270"/>
      <c r="H9728" s="106" t="str">
        <f t="shared" si="1"/>
        <v/>
      </c>
      <c r="J9728" t="str">
        <f>IFERROR(__xludf.DUMMYFUNCTION("IFS(
  AND(REGEXMATCH(E9728, ""台銀籌備帳戶|玉山帳戶""), REGEXMATCH(C9728, ""薪資"")), ""分潤支出"",
  AND(REGEXMATCH(E9728, ""Ben帳戶|Elsa帳戶|Ben代墊|Ariel代墊|中信銀行共用""), REGEXMATCH(F9728, ""Ben帳戶|Elsa帳戶|Ben代墊|Ariel代墊|中信銀行共用"")), ""內部轉帳(忽略)"",
  AND(E9728&lt;&gt;"""", F9728&lt;&gt;"""", N"&amp;"OT(REGEXMATCH(C9728, ""薪資""))), ""內部轉帳(忽略)"",
  REGEXMATCH(C9728, ""薪資""), ""薪資變動(不計入)"",
  REGEXMATCH(C9728, ""押金""), ""押金往來"",
  AND(E9728&lt;&gt;"""", F9728=""""), ""真實支出"",
  AND(E9728="""", F9728&lt;&gt;""""), ""真實收入"",
  TRUE, ""其他""
)"),"其他")</f>
        <v>其他</v>
      </c>
      <c r="K9728" s="270" t="str">
        <f t="shared" si="2"/>
        <v/>
      </c>
      <c r="L9728">
        <f t="shared" si="3"/>
        <v>0</v>
      </c>
    </row>
    <row r="9729">
      <c r="A9729" s="107"/>
      <c r="D9729" s="270"/>
      <c r="H9729" s="106" t="str">
        <f t="shared" si="1"/>
        <v/>
      </c>
      <c r="J9729" t="str">
        <f>IFERROR(__xludf.DUMMYFUNCTION("IFS(
  AND(REGEXMATCH(E9729, ""台銀籌備帳戶|玉山帳戶""), REGEXMATCH(C9729, ""薪資"")), ""分潤支出"",
  AND(REGEXMATCH(E9729, ""Ben帳戶|Elsa帳戶|Ben代墊|Ariel代墊|中信銀行共用""), REGEXMATCH(F9729, ""Ben帳戶|Elsa帳戶|Ben代墊|Ariel代墊|中信銀行共用"")), ""內部轉帳(忽略)"",
  AND(E9729&lt;&gt;"""", F9729&lt;&gt;"""", N"&amp;"OT(REGEXMATCH(C9729, ""薪資""))), ""內部轉帳(忽略)"",
  REGEXMATCH(C9729, ""薪資""), ""薪資變動(不計入)"",
  REGEXMATCH(C9729, ""押金""), ""押金往來"",
  AND(E9729&lt;&gt;"""", F9729=""""), ""真實支出"",
  AND(E9729="""", F9729&lt;&gt;""""), ""真實收入"",
  TRUE, ""其他""
)"),"其他")</f>
        <v>其他</v>
      </c>
      <c r="K9729" s="270" t="str">
        <f t="shared" si="2"/>
        <v/>
      </c>
      <c r="L9729">
        <f t="shared" si="3"/>
        <v>0</v>
      </c>
    </row>
    <row r="9730">
      <c r="A9730" s="107"/>
      <c r="D9730" s="270"/>
      <c r="H9730" s="106" t="str">
        <f t="shared" si="1"/>
        <v/>
      </c>
      <c r="J9730" t="str">
        <f>IFERROR(__xludf.DUMMYFUNCTION("IFS(
  AND(REGEXMATCH(E9730, ""台銀籌備帳戶|玉山帳戶""), REGEXMATCH(C9730, ""薪資"")), ""分潤支出"",
  AND(REGEXMATCH(E9730, ""Ben帳戶|Elsa帳戶|Ben代墊|Ariel代墊|中信銀行共用""), REGEXMATCH(F9730, ""Ben帳戶|Elsa帳戶|Ben代墊|Ariel代墊|中信銀行共用"")), ""內部轉帳(忽略)"",
  AND(E9730&lt;&gt;"""", F9730&lt;&gt;"""", N"&amp;"OT(REGEXMATCH(C9730, ""薪資""))), ""內部轉帳(忽略)"",
  REGEXMATCH(C9730, ""薪資""), ""薪資變動(不計入)"",
  REGEXMATCH(C9730, ""押金""), ""押金往來"",
  AND(E9730&lt;&gt;"""", F9730=""""), ""真實支出"",
  AND(E9730="""", F9730&lt;&gt;""""), ""真實收入"",
  TRUE, ""其他""
)"),"其他")</f>
        <v>其他</v>
      </c>
      <c r="K9730" s="270" t="str">
        <f t="shared" si="2"/>
        <v/>
      </c>
      <c r="L9730">
        <f t="shared" si="3"/>
        <v>0</v>
      </c>
    </row>
    <row r="9731">
      <c r="A9731" s="107"/>
      <c r="D9731" s="270"/>
      <c r="H9731" s="106" t="str">
        <f t="shared" si="1"/>
        <v/>
      </c>
      <c r="J9731" t="str">
        <f>IFERROR(__xludf.DUMMYFUNCTION("IFS(
  AND(REGEXMATCH(E9731, ""台銀籌備帳戶|玉山帳戶""), REGEXMATCH(C9731, ""薪資"")), ""分潤支出"",
  AND(REGEXMATCH(E9731, ""Ben帳戶|Elsa帳戶|Ben代墊|Ariel代墊|中信銀行共用""), REGEXMATCH(F9731, ""Ben帳戶|Elsa帳戶|Ben代墊|Ariel代墊|中信銀行共用"")), ""內部轉帳(忽略)"",
  AND(E9731&lt;&gt;"""", F9731&lt;&gt;"""", N"&amp;"OT(REGEXMATCH(C9731, ""薪資""))), ""內部轉帳(忽略)"",
  REGEXMATCH(C9731, ""薪資""), ""薪資變動(不計入)"",
  REGEXMATCH(C9731, ""押金""), ""押金往來"",
  AND(E9731&lt;&gt;"""", F9731=""""), ""真實支出"",
  AND(E9731="""", F9731&lt;&gt;""""), ""真實收入"",
  TRUE, ""其他""
)"),"其他")</f>
        <v>其他</v>
      </c>
      <c r="K9731" s="270" t="str">
        <f t="shared" si="2"/>
        <v/>
      </c>
      <c r="L9731">
        <f t="shared" si="3"/>
        <v>0</v>
      </c>
    </row>
    <row r="9732">
      <c r="A9732" s="107"/>
      <c r="D9732" s="270"/>
      <c r="H9732" s="106" t="str">
        <f t="shared" si="1"/>
        <v/>
      </c>
      <c r="J9732" t="str">
        <f>IFERROR(__xludf.DUMMYFUNCTION("IFS(
  AND(REGEXMATCH(E9732, ""台銀籌備帳戶|玉山帳戶""), REGEXMATCH(C9732, ""薪資"")), ""分潤支出"",
  AND(REGEXMATCH(E9732, ""Ben帳戶|Elsa帳戶|Ben代墊|Ariel代墊|中信銀行共用""), REGEXMATCH(F9732, ""Ben帳戶|Elsa帳戶|Ben代墊|Ariel代墊|中信銀行共用"")), ""內部轉帳(忽略)"",
  AND(E9732&lt;&gt;"""", F9732&lt;&gt;"""", N"&amp;"OT(REGEXMATCH(C9732, ""薪資""))), ""內部轉帳(忽略)"",
  REGEXMATCH(C9732, ""薪資""), ""薪資變動(不計入)"",
  REGEXMATCH(C9732, ""押金""), ""押金往來"",
  AND(E9732&lt;&gt;"""", F9732=""""), ""真實支出"",
  AND(E9732="""", F9732&lt;&gt;""""), ""真實收入"",
  TRUE, ""其他""
)"),"其他")</f>
        <v>其他</v>
      </c>
      <c r="K9732" s="270" t="str">
        <f t="shared" si="2"/>
        <v/>
      </c>
      <c r="L9732">
        <f t="shared" si="3"/>
        <v>0</v>
      </c>
    </row>
    <row r="9733">
      <c r="A9733" s="107"/>
      <c r="D9733" s="270"/>
      <c r="H9733" s="106" t="str">
        <f t="shared" si="1"/>
        <v/>
      </c>
      <c r="J9733" t="str">
        <f>IFERROR(__xludf.DUMMYFUNCTION("IFS(
  AND(REGEXMATCH(E9733, ""台銀籌備帳戶|玉山帳戶""), REGEXMATCH(C9733, ""薪資"")), ""分潤支出"",
  AND(REGEXMATCH(E9733, ""Ben帳戶|Elsa帳戶|Ben代墊|Ariel代墊|中信銀行共用""), REGEXMATCH(F9733, ""Ben帳戶|Elsa帳戶|Ben代墊|Ariel代墊|中信銀行共用"")), ""內部轉帳(忽略)"",
  AND(E9733&lt;&gt;"""", F9733&lt;&gt;"""", N"&amp;"OT(REGEXMATCH(C9733, ""薪資""))), ""內部轉帳(忽略)"",
  REGEXMATCH(C9733, ""薪資""), ""薪資變動(不計入)"",
  REGEXMATCH(C9733, ""押金""), ""押金往來"",
  AND(E9733&lt;&gt;"""", F9733=""""), ""真實支出"",
  AND(E9733="""", F9733&lt;&gt;""""), ""真實收入"",
  TRUE, ""其他""
)"),"其他")</f>
        <v>其他</v>
      </c>
      <c r="K9733" s="270" t="str">
        <f t="shared" si="2"/>
        <v/>
      </c>
      <c r="L9733">
        <f t="shared" si="3"/>
        <v>0</v>
      </c>
    </row>
    <row r="9734">
      <c r="A9734" s="107"/>
      <c r="D9734" s="270"/>
      <c r="H9734" s="106" t="str">
        <f t="shared" si="1"/>
        <v/>
      </c>
      <c r="J9734" t="str">
        <f>IFERROR(__xludf.DUMMYFUNCTION("IFS(
  AND(REGEXMATCH(E9734, ""台銀籌備帳戶|玉山帳戶""), REGEXMATCH(C9734, ""薪資"")), ""分潤支出"",
  AND(REGEXMATCH(E9734, ""Ben帳戶|Elsa帳戶|Ben代墊|Ariel代墊|中信銀行共用""), REGEXMATCH(F9734, ""Ben帳戶|Elsa帳戶|Ben代墊|Ariel代墊|中信銀行共用"")), ""內部轉帳(忽略)"",
  AND(E9734&lt;&gt;"""", F9734&lt;&gt;"""", N"&amp;"OT(REGEXMATCH(C9734, ""薪資""))), ""內部轉帳(忽略)"",
  REGEXMATCH(C9734, ""薪資""), ""薪資變動(不計入)"",
  REGEXMATCH(C9734, ""押金""), ""押金往來"",
  AND(E9734&lt;&gt;"""", F9734=""""), ""真實支出"",
  AND(E9734="""", F9734&lt;&gt;""""), ""真實收入"",
  TRUE, ""其他""
)"),"其他")</f>
        <v>其他</v>
      </c>
      <c r="K9734" s="270" t="str">
        <f t="shared" si="2"/>
        <v/>
      </c>
      <c r="L9734">
        <f t="shared" si="3"/>
        <v>0</v>
      </c>
    </row>
    <row r="9735">
      <c r="A9735" s="107"/>
      <c r="D9735" s="270"/>
      <c r="H9735" s="106" t="str">
        <f t="shared" si="1"/>
        <v/>
      </c>
      <c r="J9735" t="str">
        <f>IFERROR(__xludf.DUMMYFUNCTION("IFS(
  AND(REGEXMATCH(E9735, ""台銀籌備帳戶|玉山帳戶""), REGEXMATCH(C9735, ""薪資"")), ""分潤支出"",
  AND(REGEXMATCH(E9735, ""Ben帳戶|Elsa帳戶|Ben代墊|Ariel代墊|中信銀行共用""), REGEXMATCH(F9735, ""Ben帳戶|Elsa帳戶|Ben代墊|Ariel代墊|中信銀行共用"")), ""內部轉帳(忽略)"",
  AND(E9735&lt;&gt;"""", F9735&lt;&gt;"""", N"&amp;"OT(REGEXMATCH(C9735, ""薪資""))), ""內部轉帳(忽略)"",
  REGEXMATCH(C9735, ""薪資""), ""薪資變動(不計入)"",
  REGEXMATCH(C9735, ""押金""), ""押金往來"",
  AND(E9735&lt;&gt;"""", F9735=""""), ""真實支出"",
  AND(E9735="""", F9735&lt;&gt;""""), ""真實收入"",
  TRUE, ""其他""
)"),"其他")</f>
        <v>其他</v>
      </c>
      <c r="K9735" s="270" t="str">
        <f t="shared" si="2"/>
        <v/>
      </c>
      <c r="L9735">
        <f t="shared" si="3"/>
        <v>0</v>
      </c>
    </row>
    <row r="9736">
      <c r="A9736" s="107"/>
      <c r="D9736" s="270"/>
      <c r="H9736" s="106" t="str">
        <f t="shared" si="1"/>
        <v/>
      </c>
      <c r="J9736" t="str">
        <f>IFERROR(__xludf.DUMMYFUNCTION("IFS(
  AND(REGEXMATCH(E9736, ""台銀籌備帳戶|玉山帳戶""), REGEXMATCH(C9736, ""薪資"")), ""分潤支出"",
  AND(REGEXMATCH(E9736, ""Ben帳戶|Elsa帳戶|Ben代墊|Ariel代墊|中信銀行共用""), REGEXMATCH(F9736, ""Ben帳戶|Elsa帳戶|Ben代墊|Ariel代墊|中信銀行共用"")), ""內部轉帳(忽略)"",
  AND(E9736&lt;&gt;"""", F9736&lt;&gt;"""", N"&amp;"OT(REGEXMATCH(C9736, ""薪資""))), ""內部轉帳(忽略)"",
  REGEXMATCH(C9736, ""薪資""), ""薪資變動(不計入)"",
  REGEXMATCH(C9736, ""押金""), ""押金往來"",
  AND(E9736&lt;&gt;"""", F9736=""""), ""真實支出"",
  AND(E9736="""", F9736&lt;&gt;""""), ""真實收入"",
  TRUE, ""其他""
)"),"其他")</f>
        <v>其他</v>
      </c>
      <c r="K9736" s="270" t="str">
        <f t="shared" si="2"/>
        <v/>
      </c>
      <c r="L9736">
        <f t="shared" si="3"/>
        <v>0</v>
      </c>
    </row>
    <row r="9737">
      <c r="A9737" s="107"/>
      <c r="D9737" s="270"/>
      <c r="H9737" s="106" t="str">
        <f t="shared" si="1"/>
        <v/>
      </c>
      <c r="J9737" t="str">
        <f>IFERROR(__xludf.DUMMYFUNCTION("IFS(
  AND(REGEXMATCH(E9737, ""台銀籌備帳戶|玉山帳戶""), REGEXMATCH(C9737, ""薪資"")), ""分潤支出"",
  AND(REGEXMATCH(E9737, ""Ben帳戶|Elsa帳戶|Ben代墊|Ariel代墊|中信銀行共用""), REGEXMATCH(F9737, ""Ben帳戶|Elsa帳戶|Ben代墊|Ariel代墊|中信銀行共用"")), ""內部轉帳(忽略)"",
  AND(E9737&lt;&gt;"""", F9737&lt;&gt;"""", N"&amp;"OT(REGEXMATCH(C9737, ""薪資""))), ""內部轉帳(忽略)"",
  REGEXMATCH(C9737, ""薪資""), ""薪資變動(不計入)"",
  REGEXMATCH(C9737, ""押金""), ""押金往來"",
  AND(E9737&lt;&gt;"""", F9737=""""), ""真實支出"",
  AND(E9737="""", F9737&lt;&gt;""""), ""真實收入"",
  TRUE, ""其他""
)"),"其他")</f>
        <v>其他</v>
      </c>
      <c r="K9737" s="270" t="str">
        <f t="shared" si="2"/>
        <v/>
      </c>
      <c r="L9737">
        <f t="shared" si="3"/>
        <v>0</v>
      </c>
    </row>
    <row r="9738">
      <c r="A9738" s="107"/>
      <c r="D9738" s="270"/>
      <c r="H9738" s="106" t="str">
        <f t="shared" si="1"/>
        <v/>
      </c>
      <c r="J9738" t="str">
        <f>IFERROR(__xludf.DUMMYFUNCTION("IFS(
  AND(REGEXMATCH(E9738, ""台銀籌備帳戶|玉山帳戶""), REGEXMATCH(C9738, ""薪資"")), ""分潤支出"",
  AND(REGEXMATCH(E9738, ""Ben帳戶|Elsa帳戶|Ben代墊|Ariel代墊|中信銀行共用""), REGEXMATCH(F9738, ""Ben帳戶|Elsa帳戶|Ben代墊|Ariel代墊|中信銀行共用"")), ""內部轉帳(忽略)"",
  AND(E9738&lt;&gt;"""", F9738&lt;&gt;"""", N"&amp;"OT(REGEXMATCH(C9738, ""薪資""))), ""內部轉帳(忽略)"",
  REGEXMATCH(C9738, ""薪資""), ""薪資變動(不計入)"",
  REGEXMATCH(C9738, ""押金""), ""押金往來"",
  AND(E9738&lt;&gt;"""", F9738=""""), ""真實支出"",
  AND(E9738="""", F9738&lt;&gt;""""), ""真實收入"",
  TRUE, ""其他""
)"),"其他")</f>
        <v>其他</v>
      </c>
      <c r="K9738" s="270" t="str">
        <f t="shared" si="2"/>
        <v/>
      </c>
      <c r="L9738">
        <f t="shared" si="3"/>
        <v>0</v>
      </c>
    </row>
    <row r="9739">
      <c r="A9739" s="107"/>
      <c r="D9739" s="270"/>
      <c r="H9739" s="106" t="str">
        <f t="shared" si="1"/>
        <v/>
      </c>
      <c r="J9739" t="str">
        <f>IFERROR(__xludf.DUMMYFUNCTION("IFS(
  AND(REGEXMATCH(E9739, ""台銀籌備帳戶|玉山帳戶""), REGEXMATCH(C9739, ""薪資"")), ""分潤支出"",
  AND(REGEXMATCH(E9739, ""Ben帳戶|Elsa帳戶|Ben代墊|Ariel代墊|中信銀行共用""), REGEXMATCH(F9739, ""Ben帳戶|Elsa帳戶|Ben代墊|Ariel代墊|中信銀行共用"")), ""內部轉帳(忽略)"",
  AND(E9739&lt;&gt;"""", F9739&lt;&gt;"""", N"&amp;"OT(REGEXMATCH(C9739, ""薪資""))), ""內部轉帳(忽略)"",
  REGEXMATCH(C9739, ""薪資""), ""薪資變動(不計入)"",
  REGEXMATCH(C9739, ""押金""), ""押金往來"",
  AND(E9739&lt;&gt;"""", F9739=""""), ""真實支出"",
  AND(E9739="""", F9739&lt;&gt;""""), ""真實收入"",
  TRUE, ""其他""
)"),"其他")</f>
        <v>其他</v>
      </c>
      <c r="K9739" s="270" t="str">
        <f t="shared" si="2"/>
        <v/>
      </c>
      <c r="L9739">
        <f t="shared" si="3"/>
        <v>0</v>
      </c>
    </row>
    <row r="9740">
      <c r="A9740" s="107"/>
      <c r="D9740" s="270"/>
      <c r="H9740" s="106" t="str">
        <f t="shared" si="1"/>
        <v/>
      </c>
      <c r="J9740" t="str">
        <f>IFERROR(__xludf.DUMMYFUNCTION("IFS(
  AND(REGEXMATCH(E9740, ""台銀籌備帳戶|玉山帳戶""), REGEXMATCH(C9740, ""薪資"")), ""分潤支出"",
  AND(REGEXMATCH(E9740, ""Ben帳戶|Elsa帳戶|Ben代墊|Ariel代墊|中信銀行共用""), REGEXMATCH(F9740, ""Ben帳戶|Elsa帳戶|Ben代墊|Ariel代墊|中信銀行共用"")), ""內部轉帳(忽略)"",
  AND(E9740&lt;&gt;"""", F9740&lt;&gt;"""", N"&amp;"OT(REGEXMATCH(C9740, ""薪資""))), ""內部轉帳(忽略)"",
  REGEXMATCH(C9740, ""薪資""), ""薪資變動(不計入)"",
  REGEXMATCH(C9740, ""押金""), ""押金往來"",
  AND(E9740&lt;&gt;"""", F9740=""""), ""真實支出"",
  AND(E9740="""", F9740&lt;&gt;""""), ""真實收入"",
  TRUE, ""其他""
)"),"其他")</f>
        <v>其他</v>
      </c>
      <c r="K9740" s="270" t="str">
        <f t="shared" si="2"/>
        <v/>
      </c>
      <c r="L9740">
        <f t="shared" si="3"/>
        <v>0</v>
      </c>
    </row>
    <row r="9741">
      <c r="A9741" s="107"/>
      <c r="D9741" s="270"/>
      <c r="H9741" s="106" t="str">
        <f t="shared" si="1"/>
        <v/>
      </c>
      <c r="J9741" t="str">
        <f>IFERROR(__xludf.DUMMYFUNCTION("IFS(
  AND(REGEXMATCH(E9741, ""台銀籌備帳戶|玉山帳戶""), REGEXMATCH(C9741, ""薪資"")), ""分潤支出"",
  AND(REGEXMATCH(E9741, ""Ben帳戶|Elsa帳戶|Ben代墊|Ariel代墊|中信銀行共用""), REGEXMATCH(F9741, ""Ben帳戶|Elsa帳戶|Ben代墊|Ariel代墊|中信銀行共用"")), ""內部轉帳(忽略)"",
  AND(E9741&lt;&gt;"""", F9741&lt;&gt;"""", N"&amp;"OT(REGEXMATCH(C9741, ""薪資""))), ""內部轉帳(忽略)"",
  REGEXMATCH(C9741, ""薪資""), ""薪資變動(不計入)"",
  REGEXMATCH(C9741, ""押金""), ""押金往來"",
  AND(E9741&lt;&gt;"""", F9741=""""), ""真實支出"",
  AND(E9741="""", F9741&lt;&gt;""""), ""真實收入"",
  TRUE, ""其他""
)"),"其他")</f>
        <v>其他</v>
      </c>
      <c r="K9741" s="270" t="str">
        <f t="shared" si="2"/>
        <v/>
      </c>
      <c r="L9741">
        <f t="shared" si="3"/>
        <v>0</v>
      </c>
    </row>
    <row r="9742">
      <c r="A9742" s="107"/>
      <c r="D9742" s="270"/>
      <c r="H9742" s="106" t="str">
        <f t="shared" si="1"/>
        <v/>
      </c>
      <c r="J9742" t="str">
        <f>IFERROR(__xludf.DUMMYFUNCTION("IFS(
  AND(REGEXMATCH(E9742, ""台銀籌備帳戶|玉山帳戶""), REGEXMATCH(C9742, ""薪資"")), ""分潤支出"",
  AND(REGEXMATCH(E9742, ""Ben帳戶|Elsa帳戶|Ben代墊|Ariel代墊|中信銀行共用""), REGEXMATCH(F9742, ""Ben帳戶|Elsa帳戶|Ben代墊|Ariel代墊|中信銀行共用"")), ""內部轉帳(忽略)"",
  AND(E9742&lt;&gt;"""", F9742&lt;&gt;"""", N"&amp;"OT(REGEXMATCH(C9742, ""薪資""))), ""內部轉帳(忽略)"",
  REGEXMATCH(C9742, ""薪資""), ""薪資變動(不計入)"",
  REGEXMATCH(C9742, ""押金""), ""押金往來"",
  AND(E9742&lt;&gt;"""", F9742=""""), ""真實支出"",
  AND(E9742="""", F9742&lt;&gt;""""), ""真實收入"",
  TRUE, ""其他""
)"),"其他")</f>
        <v>其他</v>
      </c>
      <c r="K9742" s="270" t="str">
        <f t="shared" si="2"/>
        <v/>
      </c>
      <c r="L9742">
        <f t="shared" si="3"/>
        <v>0</v>
      </c>
    </row>
    <row r="9743">
      <c r="A9743" s="107"/>
      <c r="D9743" s="270"/>
      <c r="H9743" s="106" t="str">
        <f t="shared" si="1"/>
        <v/>
      </c>
      <c r="J9743" t="str">
        <f>IFERROR(__xludf.DUMMYFUNCTION("IFS(
  AND(REGEXMATCH(E9743, ""台銀籌備帳戶|玉山帳戶""), REGEXMATCH(C9743, ""薪資"")), ""分潤支出"",
  AND(REGEXMATCH(E9743, ""Ben帳戶|Elsa帳戶|Ben代墊|Ariel代墊|中信銀行共用""), REGEXMATCH(F9743, ""Ben帳戶|Elsa帳戶|Ben代墊|Ariel代墊|中信銀行共用"")), ""內部轉帳(忽略)"",
  AND(E9743&lt;&gt;"""", F9743&lt;&gt;"""", N"&amp;"OT(REGEXMATCH(C9743, ""薪資""))), ""內部轉帳(忽略)"",
  REGEXMATCH(C9743, ""薪資""), ""薪資變動(不計入)"",
  REGEXMATCH(C9743, ""押金""), ""押金往來"",
  AND(E9743&lt;&gt;"""", F9743=""""), ""真實支出"",
  AND(E9743="""", F9743&lt;&gt;""""), ""真實收入"",
  TRUE, ""其他""
)"),"其他")</f>
        <v>其他</v>
      </c>
      <c r="K9743" s="270" t="str">
        <f t="shared" si="2"/>
        <v/>
      </c>
      <c r="L9743">
        <f t="shared" si="3"/>
        <v>0</v>
      </c>
    </row>
    <row r="9744">
      <c r="A9744" s="107"/>
      <c r="D9744" s="270"/>
      <c r="H9744" s="106" t="str">
        <f t="shared" si="1"/>
        <v/>
      </c>
      <c r="J9744" t="str">
        <f>IFERROR(__xludf.DUMMYFUNCTION("IFS(
  AND(REGEXMATCH(E9744, ""台銀籌備帳戶|玉山帳戶""), REGEXMATCH(C9744, ""薪資"")), ""分潤支出"",
  AND(REGEXMATCH(E9744, ""Ben帳戶|Elsa帳戶|Ben代墊|Ariel代墊|中信銀行共用""), REGEXMATCH(F9744, ""Ben帳戶|Elsa帳戶|Ben代墊|Ariel代墊|中信銀行共用"")), ""內部轉帳(忽略)"",
  AND(E9744&lt;&gt;"""", F9744&lt;&gt;"""", N"&amp;"OT(REGEXMATCH(C9744, ""薪資""))), ""內部轉帳(忽略)"",
  REGEXMATCH(C9744, ""薪資""), ""薪資變動(不計入)"",
  REGEXMATCH(C9744, ""押金""), ""押金往來"",
  AND(E9744&lt;&gt;"""", F9744=""""), ""真實支出"",
  AND(E9744="""", F9744&lt;&gt;""""), ""真實收入"",
  TRUE, ""其他""
)"),"其他")</f>
        <v>其他</v>
      </c>
      <c r="K9744" s="270" t="str">
        <f t="shared" si="2"/>
        <v/>
      </c>
      <c r="L9744">
        <f t="shared" si="3"/>
        <v>0</v>
      </c>
    </row>
    <row r="9745">
      <c r="A9745" s="107"/>
      <c r="D9745" s="270"/>
      <c r="H9745" s="106" t="str">
        <f t="shared" si="1"/>
        <v/>
      </c>
      <c r="J9745" t="str">
        <f>IFERROR(__xludf.DUMMYFUNCTION("IFS(
  AND(REGEXMATCH(E9745, ""台銀籌備帳戶|玉山帳戶""), REGEXMATCH(C9745, ""薪資"")), ""分潤支出"",
  AND(REGEXMATCH(E9745, ""Ben帳戶|Elsa帳戶|Ben代墊|Ariel代墊|中信銀行共用""), REGEXMATCH(F9745, ""Ben帳戶|Elsa帳戶|Ben代墊|Ariel代墊|中信銀行共用"")), ""內部轉帳(忽略)"",
  AND(E9745&lt;&gt;"""", F9745&lt;&gt;"""", N"&amp;"OT(REGEXMATCH(C9745, ""薪資""))), ""內部轉帳(忽略)"",
  REGEXMATCH(C9745, ""薪資""), ""薪資變動(不計入)"",
  REGEXMATCH(C9745, ""押金""), ""押金往來"",
  AND(E9745&lt;&gt;"""", F9745=""""), ""真實支出"",
  AND(E9745="""", F9745&lt;&gt;""""), ""真實收入"",
  TRUE, ""其他""
)"),"其他")</f>
        <v>其他</v>
      </c>
      <c r="K9745" s="270" t="str">
        <f t="shared" si="2"/>
        <v/>
      </c>
      <c r="L9745">
        <f t="shared" si="3"/>
        <v>0</v>
      </c>
    </row>
    <row r="9746">
      <c r="A9746" s="107"/>
      <c r="D9746" s="270"/>
      <c r="H9746" s="106" t="str">
        <f t="shared" si="1"/>
        <v/>
      </c>
      <c r="J9746" t="str">
        <f>IFERROR(__xludf.DUMMYFUNCTION("IFS(
  AND(REGEXMATCH(E9746, ""台銀籌備帳戶|玉山帳戶""), REGEXMATCH(C9746, ""薪資"")), ""分潤支出"",
  AND(REGEXMATCH(E9746, ""Ben帳戶|Elsa帳戶|Ben代墊|Ariel代墊|中信銀行共用""), REGEXMATCH(F9746, ""Ben帳戶|Elsa帳戶|Ben代墊|Ariel代墊|中信銀行共用"")), ""內部轉帳(忽略)"",
  AND(E9746&lt;&gt;"""", F9746&lt;&gt;"""", N"&amp;"OT(REGEXMATCH(C9746, ""薪資""))), ""內部轉帳(忽略)"",
  REGEXMATCH(C9746, ""薪資""), ""薪資變動(不計入)"",
  REGEXMATCH(C9746, ""押金""), ""押金往來"",
  AND(E9746&lt;&gt;"""", F9746=""""), ""真實支出"",
  AND(E9746="""", F9746&lt;&gt;""""), ""真實收入"",
  TRUE, ""其他""
)"),"其他")</f>
        <v>其他</v>
      </c>
      <c r="K9746" s="270" t="str">
        <f t="shared" si="2"/>
        <v/>
      </c>
      <c r="L9746">
        <f t="shared" si="3"/>
        <v>0</v>
      </c>
    </row>
    <row r="9747">
      <c r="A9747" s="107"/>
      <c r="D9747" s="270"/>
      <c r="H9747" s="106" t="str">
        <f t="shared" si="1"/>
        <v/>
      </c>
      <c r="J9747" t="str">
        <f>IFERROR(__xludf.DUMMYFUNCTION("IFS(
  AND(REGEXMATCH(E9747, ""台銀籌備帳戶|玉山帳戶""), REGEXMATCH(C9747, ""薪資"")), ""分潤支出"",
  AND(REGEXMATCH(E9747, ""Ben帳戶|Elsa帳戶|Ben代墊|Ariel代墊|中信銀行共用""), REGEXMATCH(F9747, ""Ben帳戶|Elsa帳戶|Ben代墊|Ariel代墊|中信銀行共用"")), ""內部轉帳(忽略)"",
  AND(E9747&lt;&gt;"""", F9747&lt;&gt;"""", N"&amp;"OT(REGEXMATCH(C9747, ""薪資""))), ""內部轉帳(忽略)"",
  REGEXMATCH(C9747, ""薪資""), ""薪資變動(不計入)"",
  REGEXMATCH(C9747, ""押金""), ""押金往來"",
  AND(E9747&lt;&gt;"""", F9747=""""), ""真實支出"",
  AND(E9747="""", F9747&lt;&gt;""""), ""真實收入"",
  TRUE, ""其他""
)"),"其他")</f>
        <v>其他</v>
      </c>
      <c r="K9747" s="270" t="str">
        <f t="shared" si="2"/>
        <v/>
      </c>
      <c r="L9747">
        <f t="shared" si="3"/>
        <v>0</v>
      </c>
    </row>
    <row r="9748">
      <c r="A9748" s="107"/>
      <c r="D9748" s="270"/>
      <c r="H9748" s="106" t="str">
        <f t="shared" si="1"/>
        <v/>
      </c>
      <c r="J9748" t="str">
        <f>IFERROR(__xludf.DUMMYFUNCTION("IFS(
  AND(REGEXMATCH(E9748, ""台銀籌備帳戶|玉山帳戶""), REGEXMATCH(C9748, ""薪資"")), ""分潤支出"",
  AND(REGEXMATCH(E9748, ""Ben帳戶|Elsa帳戶|Ben代墊|Ariel代墊|中信銀行共用""), REGEXMATCH(F9748, ""Ben帳戶|Elsa帳戶|Ben代墊|Ariel代墊|中信銀行共用"")), ""內部轉帳(忽略)"",
  AND(E9748&lt;&gt;"""", F9748&lt;&gt;"""", N"&amp;"OT(REGEXMATCH(C9748, ""薪資""))), ""內部轉帳(忽略)"",
  REGEXMATCH(C9748, ""薪資""), ""薪資變動(不計入)"",
  REGEXMATCH(C9748, ""押金""), ""押金往來"",
  AND(E9748&lt;&gt;"""", F9748=""""), ""真實支出"",
  AND(E9748="""", F9748&lt;&gt;""""), ""真實收入"",
  TRUE, ""其他""
)"),"其他")</f>
        <v>其他</v>
      </c>
      <c r="K9748" s="270" t="str">
        <f t="shared" si="2"/>
        <v/>
      </c>
      <c r="L9748">
        <f t="shared" si="3"/>
        <v>0</v>
      </c>
    </row>
    <row r="9749">
      <c r="A9749" s="107"/>
      <c r="D9749" s="270"/>
      <c r="H9749" s="106" t="str">
        <f t="shared" si="1"/>
        <v/>
      </c>
      <c r="J9749" t="str">
        <f>IFERROR(__xludf.DUMMYFUNCTION("IFS(
  AND(REGEXMATCH(E9749, ""台銀籌備帳戶|玉山帳戶""), REGEXMATCH(C9749, ""薪資"")), ""分潤支出"",
  AND(REGEXMATCH(E9749, ""Ben帳戶|Elsa帳戶|Ben代墊|Ariel代墊|中信銀行共用""), REGEXMATCH(F9749, ""Ben帳戶|Elsa帳戶|Ben代墊|Ariel代墊|中信銀行共用"")), ""內部轉帳(忽略)"",
  AND(E9749&lt;&gt;"""", F9749&lt;&gt;"""", N"&amp;"OT(REGEXMATCH(C9749, ""薪資""))), ""內部轉帳(忽略)"",
  REGEXMATCH(C9749, ""薪資""), ""薪資變動(不計入)"",
  REGEXMATCH(C9749, ""押金""), ""押金往來"",
  AND(E9749&lt;&gt;"""", F9749=""""), ""真實支出"",
  AND(E9749="""", F9749&lt;&gt;""""), ""真實收入"",
  TRUE, ""其他""
)"),"其他")</f>
        <v>其他</v>
      </c>
      <c r="K9749" s="270" t="str">
        <f t="shared" si="2"/>
        <v/>
      </c>
      <c r="L9749">
        <f t="shared" si="3"/>
        <v>0</v>
      </c>
    </row>
    <row r="9750">
      <c r="A9750" s="107"/>
      <c r="D9750" s="270"/>
      <c r="H9750" s="106" t="str">
        <f t="shared" si="1"/>
        <v/>
      </c>
      <c r="J9750" t="str">
        <f>IFERROR(__xludf.DUMMYFUNCTION("IFS(
  AND(REGEXMATCH(E9750, ""台銀籌備帳戶|玉山帳戶""), REGEXMATCH(C9750, ""薪資"")), ""分潤支出"",
  AND(REGEXMATCH(E9750, ""Ben帳戶|Elsa帳戶|Ben代墊|Ariel代墊|中信銀行共用""), REGEXMATCH(F9750, ""Ben帳戶|Elsa帳戶|Ben代墊|Ariel代墊|中信銀行共用"")), ""內部轉帳(忽略)"",
  AND(E9750&lt;&gt;"""", F9750&lt;&gt;"""", N"&amp;"OT(REGEXMATCH(C9750, ""薪資""))), ""內部轉帳(忽略)"",
  REGEXMATCH(C9750, ""薪資""), ""薪資變動(不計入)"",
  REGEXMATCH(C9750, ""押金""), ""押金往來"",
  AND(E9750&lt;&gt;"""", F9750=""""), ""真實支出"",
  AND(E9750="""", F9750&lt;&gt;""""), ""真實收入"",
  TRUE, ""其他""
)"),"其他")</f>
        <v>其他</v>
      </c>
      <c r="K9750" s="270" t="str">
        <f t="shared" si="2"/>
        <v/>
      </c>
      <c r="L9750">
        <f t="shared" si="3"/>
        <v>0</v>
      </c>
    </row>
    <row r="9751">
      <c r="A9751" s="107"/>
      <c r="D9751" s="270"/>
      <c r="H9751" s="106" t="str">
        <f t="shared" si="1"/>
        <v/>
      </c>
      <c r="J9751" t="str">
        <f>IFERROR(__xludf.DUMMYFUNCTION("IFS(
  AND(REGEXMATCH(E9751, ""台銀籌備帳戶|玉山帳戶""), REGEXMATCH(C9751, ""薪資"")), ""分潤支出"",
  AND(REGEXMATCH(E9751, ""Ben帳戶|Elsa帳戶|Ben代墊|Ariel代墊|中信銀行共用""), REGEXMATCH(F9751, ""Ben帳戶|Elsa帳戶|Ben代墊|Ariel代墊|中信銀行共用"")), ""內部轉帳(忽略)"",
  AND(E9751&lt;&gt;"""", F9751&lt;&gt;"""", N"&amp;"OT(REGEXMATCH(C9751, ""薪資""))), ""內部轉帳(忽略)"",
  REGEXMATCH(C9751, ""薪資""), ""薪資變動(不計入)"",
  REGEXMATCH(C9751, ""押金""), ""押金往來"",
  AND(E9751&lt;&gt;"""", F9751=""""), ""真實支出"",
  AND(E9751="""", F9751&lt;&gt;""""), ""真實收入"",
  TRUE, ""其他""
)"),"其他")</f>
        <v>其他</v>
      </c>
      <c r="K9751" s="270" t="str">
        <f t="shared" si="2"/>
        <v/>
      </c>
      <c r="L9751">
        <f t="shared" si="3"/>
        <v>0</v>
      </c>
    </row>
    <row r="9752">
      <c r="A9752" s="107"/>
      <c r="D9752" s="270"/>
      <c r="H9752" s="106" t="str">
        <f t="shared" si="1"/>
        <v/>
      </c>
      <c r="J9752" t="str">
        <f>IFERROR(__xludf.DUMMYFUNCTION("IFS(
  AND(REGEXMATCH(E9752, ""台銀籌備帳戶|玉山帳戶""), REGEXMATCH(C9752, ""薪資"")), ""分潤支出"",
  AND(REGEXMATCH(E9752, ""Ben帳戶|Elsa帳戶|Ben代墊|Ariel代墊|中信銀行共用""), REGEXMATCH(F9752, ""Ben帳戶|Elsa帳戶|Ben代墊|Ariel代墊|中信銀行共用"")), ""內部轉帳(忽略)"",
  AND(E9752&lt;&gt;"""", F9752&lt;&gt;"""", N"&amp;"OT(REGEXMATCH(C9752, ""薪資""))), ""內部轉帳(忽略)"",
  REGEXMATCH(C9752, ""薪資""), ""薪資變動(不計入)"",
  REGEXMATCH(C9752, ""押金""), ""押金往來"",
  AND(E9752&lt;&gt;"""", F9752=""""), ""真實支出"",
  AND(E9752="""", F9752&lt;&gt;""""), ""真實收入"",
  TRUE, ""其他""
)"),"其他")</f>
        <v>其他</v>
      </c>
      <c r="K9752" s="270" t="str">
        <f t="shared" si="2"/>
        <v/>
      </c>
      <c r="L9752">
        <f t="shared" si="3"/>
        <v>0</v>
      </c>
    </row>
    <row r="9753">
      <c r="A9753" s="107"/>
      <c r="D9753" s="270"/>
      <c r="H9753" s="106" t="str">
        <f t="shared" si="1"/>
        <v/>
      </c>
      <c r="J9753" t="str">
        <f>IFERROR(__xludf.DUMMYFUNCTION("IFS(
  AND(REGEXMATCH(E9753, ""台銀籌備帳戶|玉山帳戶""), REGEXMATCH(C9753, ""薪資"")), ""分潤支出"",
  AND(REGEXMATCH(E9753, ""Ben帳戶|Elsa帳戶|Ben代墊|Ariel代墊|中信銀行共用""), REGEXMATCH(F9753, ""Ben帳戶|Elsa帳戶|Ben代墊|Ariel代墊|中信銀行共用"")), ""內部轉帳(忽略)"",
  AND(E9753&lt;&gt;"""", F9753&lt;&gt;"""", N"&amp;"OT(REGEXMATCH(C9753, ""薪資""))), ""內部轉帳(忽略)"",
  REGEXMATCH(C9753, ""薪資""), ""薪資變動(不計入)"",
  REGEXMATCH(C9753, ""押金""), ""押金往來"",
  AND(E9753&lt;&gt;"""", F9753=""""), ""真實支出"",
  AND(E9753="""", F9753&lt;&gt;""""), ""真實收入"",
  TRUE, ""其他""
)"),"其他")</f>
        <v>其他</v>
      </c>
      <c r="K9753" s="270" t="str">
        <f t="shared" si="2"/>
        <v/>
      </c>
      <c r="L9753">
        <f t="shared" si="3"/>
        <v>0</v>
      </c>
    </row>
    <row r="9754">
      <c r="A9754" s="107"/>
      <c r="D9754" s="270"/>
      <c r="H9754" s="106" t="str">
        <f t="shared" si="1"/>
        <v/>
      </c>
      <c r="J9754" t="str">
        <f>IFERROR(__xludf.DUMMYFUNCTION("IFS(
  AND(REGEXMATCH(E9754, ""台銀籌備帳戶|玉山帳戶""), REGEXMATCH(C9754, ""薪資"")), ""分潤支出"",
  AND(REGEXMATCH(E9754, ""Ben帳戶|Elsa帳戶|Ben代墊|Ariel代墊|中信銀行共用""), REGEXMATCH(F9754, ""Ben帳戶|Elsa帳戶|Ben代墊|Ariel代墊|中信銀行共用"")), ""內部轉帳(忽略)"",
  AND(E9754&lt;&gt;"""", F9754&lt;&gt;"""", N"&amp;"OT(REGEXMATCH(C9754, ""薪資""))), ""內部轉帳(忽略)"",
  REGEXMATCH(C9754, ""薪資""), ""薪資變動(不計入)"",
  REGEXMATCH(C9754, ""押金""), ""押金往來"",
  AND(E9754&lt;&gt;"""", F9754=""""), ""真實支出"",
  AND(E9754="""", F9754&lt;&gt;""""), ""真實收入"",
  TRUE, ""其他""
)"),"其他")</f>
        <v>其他</v>
      </c>
      <c r="K9754" s="270" t="str">
        <f t="shared" si="2"/>
        <v/>
      </c>
      <c r="L9754">
        <f t="shared" si="3"/>
        <v>0</v>
      </c>
    </row>
    <row r="9755">
      <c r="A9755" s="107"/>
      <c r="D9755" s="270"/>
      <c r="H9755" s="106" t="str">
        <f t="shared" si="1"/>
        <v/>
      </c>
      <c r="J9755" t="str">
        <f>IFERROR(__xludf.DUMMYFUNCTION("IFS(
  AND(REGEXMATCH(E9755, ""台銀籌備帳戶|玉山帳戶""), REGEXMATCH(C9755, ""薪資"")), ""分潤支出"",
  AND(REGEXMATCH(E9755, ""Ben帳戶|Elsa帳戶|Ben代墊|Ariel代墊|中信銀行共用""), REGEXMATCH(F9755, ""Ben帳戶|Elsa帳戶|Ben代墊|Ariel代墊|中信銀行共用"")), ""內部轉帳(忽略)"",
  AND(E9755&lt;&gt;"""", F9755&lt;&gt;"""", N"&amp;"OT(REGEXMATCH(C9755, ""薪資""))), ""內部轉帳(忽略)"",
  REGEXMATCH(C9755, ""薪資""), ""薪資變動(不計入)"",
  REGEXMATCH(C9755, ""押金""), ""押金往來"",
  AND(E9755&lt;&gt;"""", F9755=""""), ""真實支出"",
  AND(E9755="""", F9755&lt;&gt;""""), ""真實收入"",
  TRUE, ""其他""
)"),"其他")</f>
        <v>其他</v>
      </c>
      <c r="K9755" s="270" t="str">
        <f t="shared" si="2"/>
        <v/>
      </c>
      <c r="L9755">
        <f t="shared" si="3"/>
        <v>0</v>
      </c>
    </row>
    <row r="9756">
      <c r="A9756" s="107"/>
      <c r="D9756" s="270"/>
      <c r="H9756" s="106" t="str">
        <f t="shared" si="1"/>
        <v/>
      </c>
      <c r="J9756" t="str">
        <f>IFERROR(__xludf.DUMMYFUNCTION("IFS(
  AND(REGEXMATCH(E9756, ""台銀籌備帳戶|玉山帳戶""), REGEXMATCH(C9756, ""薪資"")), ""分潤支出"",
  AND(REGEXMATCH(E9756, ""Ben帳戶|Elsa帳戶|Ben代墊|Ariel代墊|中信銀行共用""), REGEXMATCH(F9756, ""Ben帳戶|Elsa帳戶|Ben代墊|Ariel代墊|中信銀行共用"")), ""內部轉帳(忽略)"",
  AND(E9756&lt;&gt;"""", F9756&lt;&gt;"""", N"&amp;"OT(REGEXMATCH(C9756, ""薪資""))), ""內部轉帳(忽略)"",
  REGEXMATCH(C9756, ""薪資""), ""薪資變動(不計入)"",
  REGEXMATCH(C9756, ""押金""), ""押金往來"",
  AND(E9756&lt;&gt;"""", F9756=""""), ""真實支出"",
  AND(E9756="""", F9756&lt;&gt;""""), ""真實收入"",
  TRUE, ""其他""
)"),"其他")</f>
        <v>其他</v>
      </c>
      <c r="K9756" s="270" t="str">
        <f t="shared" si="2"/>
        <v/>
      </c>
      <c r="L9756">
        <f t="shared" si="3"/>
        <v>0</v>
      </c>
    </row>
    <row r="9757">
      <c r="A9757" s="107"/>
      <c r="D9757" s="270"/>
      <c r="H9757" s="106" t="str">
        <f t="shared" si="1"/>
        <v/>
      </c>
      <c r="J9757" t="str">
        <f>IFERROR(__xludf.DUMMYFUNCTION("IFS(
  AND(REGEXMATCH(E9757, ""台銀籌備帳戶|玉山帳戶""), REGEXMATCH(C9757, ""薪資"")), ""分潤支出"",
  AND(REGEXMATCH(E9757, ""Ben帳戶|Elsa帳戶|Ben代墊|Ariel代墊|中信銀行共用""), REGEXMATCH(F9757, ""Ben帳戶|Elsa帳戶|Ben代墊|Ariel代墊|中信銀行共用"")), ""內部轉帳(忽略)"",
  AND(E9757&lt;&gt;"""", F9757&lt;&gt;"""", N"&amp;"OT(REGEXMATCH(C9757, ""薪資""))), ""內部轉帳(忽略)"",
  REGEXMATCH(C9757, ""薪資""), ""薪資變動(不計入)"",
  REGEXMATCH(C9757, ""押金""), ""押金往來"",
  AND(E9757&lt;&gt;"""", F9757=""""), ""真實支出"",
  AND(E9757="""", F9757&lt;&gt;""""), ""真實收入"",
  TRUE, ""其他""
)"),"其他")</f>
        <v>其他</v>
      </c>
      <c r="K9757" s="270" t="str">
        <f t="shared" si="2"/>
        <v/>
      </c>
      <c r="L9757">
        <f t="shared" si="3"/>
        <v>0</v>
      </c>
    </row>
    <row r="9758">
      <c r="A9758" s="107"/>
      <c r="D9758" s="270"/>
      <c r="H9758" s="106" t="str">
        <f t="shared" si="1"/>
        <v/>
      </c>
      <c r="J9758" t="str">
        <f>IFERROR(__xludf.DUMMYFUNCTION("IFS(
  AND(REGEXMATCH(E9758, ""台銀籌備帳戶|玉山帳戶""), REGEXMATCH(C9758, ""薪資"")), ""分潤支出"",
  AND(REGEXMATCH(E9758, ""Ben帳戶|Elsa帳戶|Ben代墊|Ariel代墊|中信銀行共用""), REGEXMATCH(F9758, ""Ben帳戶|Elsa帳戶|Ben代墊|Ariel代墊|中信銀行共用"")), ""內部轉帳(忽略)"",
  AND(E9758&lt;&gt;"""", F9758&lt;&gt;"""", N"&amp;"OT(REGEXMATCH(C9758, ""薪資""))), ""內部轉帳(忽略)"",
  REGEXMATCH(C9758, ""薪資""), ""薪資變動(不計入)"",
  REGEXMATCH(C9758, ""押金""), ""押金往來"",
  AND(E9758&lt;&gt;"""", F9758=""""), ""真實支出"",
  AND(E9758="""", F9758&lt;&gt;""""), ""真實收入"",
  TRUE, ""其他""
)"),"其他")</f>
        <v>其他</v>
      </c>
      <c r="K9758" s="270" t="str">
        <f t="shared" si="2"/>
        <v/>
      </c>
      <c r="L9758">
        <f t="shared" si="3"/>
        <v>0</v>
      </c>
    </row>
    <row r="9759">
      <c r="A9759" s="107"/>
      <c r="D9759" s="270"/>
      <c r="H9759" s="106" t="str">
        <f t="shared" si="1"/>
        <v/>
      </c>
      <c r="J9759" t="str">
        <f>IFERROR(__xludf.DUMMYFUNCTION("IFS(
  AND(REGEXMATCH(E9759, ""台銀籌備帳戶|玉山帳戶""), REGEXMATCH(C9759, ""薪資"")), ""分潤支出"",
  AND(REGEXMATCH(E9759, ""Ben帳戶|Elsa帳戶|Ben代墊|Ariel代墊|中信銀行共用""), REGEXMATCH(F9759, ""Ben帳戶|Elsa帳戶|Ben代墊|Ariel代墊|中信銀行共用"")), ""內部轉帳(忽略)"",
  AND(E9759&lt;&gt;"""", F9759&lt;&gt;"""", N"&amp;"OT(REGEXMATCH(C9759, ""薪資""))), ""內部轉帳(忽略)"",
  REGEXMATCH(C9759, ""薪資""), ""薪資變動(不計入)"",
  REGEXMATCH(C9759, ""押金""), ""押金往來"",
  AND(E9759&lt;&gt;"""", F9759=""""), ""真實支出"",
  AND(E9759="""", F9759&lt;&gt;""""), ""真實收入"",
  TRUE, ""其他""
)"),"其他")</f>
        <v>其他</v>
      </c>
      <c r="K9759" s="270" t="str">
        <f t="shared" si="2"/>
        <v/>
      </c>
      <c r="L9759">
        <f t="shared" si="3"/>
        <v>0</v>
      </c>
    </row>
    <row r="9760">
      <c r="A9760" s="107"/>
      <c r="D9760" s="270"/>
      <c r="H9760" s="106" t="str">
        <f t="shared" si="1"/>
        <v/>
      </c>
      <c r="J9760" t="str">
        <f>IFERROR(__xludf.DUMMYFUNCTION("IFS(
  AND(REGEXMATCH(E9760, ""台銀籌備帳戶|玉山帳戶""), REGEXMATCH(C9760, ""薪資"")), ""分潤支出"",
  AND(REGEXMATCH(E9760, ""Ben帳戶|Elsa帳戶|Ben代墊|Ariel代墊|中信銀行共用""), REGEXMATCH(F9760, ""Ben帳戶|Elsa帳戶|Ben代墊|Ariel代墊|中信銀行共用"")), ""內部轉帳(忽略)"",
  AND(E9760&lt;&gt;"""", F9760&lt;&gt;"""", N"&amp;"OT(REGEXMATCH(C9760, ""薪資""))), ""內部轉帳(忽略)"",
  REGEXMATCH(C9760, ""薪資""), ""薪資變動(不計入)"",
  REGEXMATCH(C9760, ""押金""), ""押金往來"",
  AND(E9760&lt;&gt;"""", F9760=""""), ""真實支出"",
  AND(E9760="""", F9760&lt;&gt;""""), ""真實收入"",
  TRUE, ""其他""
)"),"其他")</f>
        <v>其他</v>
      </c>
      <c r="K9760" s="270" t="str">
        <f t="shared" si="2"/>
        <v/>
      </c>
      <c r="L9760">
        <f t="shared" si="3"/>
        <v>0</v>
      </c>
    </row>
    <row r="9761">
      <c r="A9761" s="107"/>
      <c r="D9761" s="270"/>
      <c r="H9761" s="106" t="str">
        <f t="shared" si="1"/>
        <v/>
      </c>
      <c r="J9761" t="str">
        <f>IFERROR(__xludf.DUMMYFUNCTION("IFS(
  AND(REGEXMATCH(E9761, ""台銀籌備帳戶|玉山帳戶""), REGEXMATCH(C9761, ""薪資"")), ""分潤支出"",
  AND(REGEXMATCH(E9761, ""Ben帳戶|Elsa帳戶|Ben代墊|Ariel代墊|中信銀行共用""), REGEXMATCH(F9761, ""Ben帳戶|Elsa帳戶|Ben代墊|Ariel代墊|中信銀行共用"")), ""內部轉帳(忽略)"",
  AND(E9761&lt;&gt;"""", F9761&lt;&gt;"""", N"&amp;"OT(REGEXMATCH(C9761, ""薪資""))), ""內部轉帳(忽略)"",
  REGEXMATCH(C9761, ""薪資""), ""薪資變動(不計入)"",
  REGEXMATCH(C9761, ""押金""), ""押金往來"",
  AND(E9761&lt;&gt;"""", F9761=""""), ""真實支出"",
  AND(E9761="""", F9761&lt;&gt;""""), ""真實收入"",
  TRUE, ""其他""
)"),"其他")</f>
        <v>其他</v>
      </c>
      <c r="K9761" s="270" t="str">
        <f t="shared" si="2"/>
        <v/>
      </c>
      <c r="L9761">
        <f t="shared" si="3"/>
        <v>0</v>
      </c>
    </row>
    <row r="9762">
      <c r="A9762" s="107"/>
      <c r="D9762" s="270"/>
      <c r="H9762" s="106" t="str">
        <f t="shared" si="1"/>
        <v/>
      </c>
      <c r="J9762" t="str">
        <f>IFERROR(__xludf.DUMMYFUNCTION("IFS(
  AND(REGEXMATCH(E9762, ""台銀籌備帳戶|玉山帳戶""), REGEXMATCH(C9762, ""薪資"")), ""分潤支出"",
  AND(REGEXMATCH(E9762, ""Ben帳戶|Elsa帳戶|Ben代墊|Ariel代墊|中信銀行共用""), REGEXMATCH(F9762, ""Ben帳戶|Elsa帳戶|Ben代墊|Ariel代墊|中信銀行共用"")), ""內部轉帳(忽略)"",
  AND(E9762&lt;&gt;"""", F9762&lt;&gt;"""", N"&amp;"OT(REGEXMATCH(C9762, ""薪資""))), ""內部轉帳(忽略)"",
  REGEXMATCH(C9762, ""薪資""), ""薪資變動(不計入)"",
  REGEXMATCH(C9762, ""押金""), ""押金往來"",
  AND(E9762&lt;&gt;"""", F9762=""""), ""真實支出"",
  AND(E9762="""", F9762&lt;&gt;""""), ""真實收入"",
  TRUE, ""其他""
)"),"其他")</f>
        <v>其他</v>
      </c>
      <c r="K9762" s="270" t="str">
        <f t="shared" si="2"/>
        <v/>
      </c>
      <c r="L9762">
        <f t="shared" si="3"/>
        <v>0</v>
      </c>
    </row>
    <row r="9763">
      <c r="A9763" s="107"/>
      <c r="D9763" s="270"/>
      <c r="H9763" s="106" t="str">
        <f t="shared" si="1"/>
        <v/>
      </c>
      <c r="J9763" t="str">
        <f>IFERROR(__xludf.DUMMYFUNCTION("IFS(
  AND(REGEXMATCH(E9763, ""台銀籌備帳戶|玉山帳戶""), REGEXMATCH(C9763, ""薪資"")), ""分潤支出"",
  AND(REGEXMATCH(E9763, ""Ben帳戶|Elsa帳戶|Ben代墊|Ariel代墊|中信銀行共用""), REGEXMATCH(F9763, ""Ben帳戶|Elsa帳戶|Ben代墊|Ariel代墊|中信銀行共用"")), ""內部轉帳(忽略)"",
  AND(E9763&lt;&gt;"""", F9763&lt;&gt;"""", N"&amp;"OT(REGEXMATCH(C9763, ""薪資""))), ""內部轉帳(忽略)"",
  REGEXMATCH(C9763, ""薪資""), ""薪資變動(不計入)"",
  REGEXMATCH(C9763, ""押金""), ""押金往來"",
  AND(E9763&lt;&gt;"""", F9763=""""), ""真實支出"",
  AND(E9763="""", F9763&lt;&gt;""""), ""真實收入"",
  TRUE, ""其他""
)"),"其他")</f>
        <v>其他</v>
      </c>
      <c r="K9763" s="270" t="str">
        <f t="shared" si="2"/>
        <v/>
      </c>
      <c r="L9763">
        <f t="shared" si="3"/>
        <v>0</v>
      </c>
    </row>
    <row r="9764">
      <c r="A9764" s="107"/>
      <c r="D9764" s="270"/>
      <c r="H9764" s="106" t="str">
        <f t="shared" si="1"/>
        <v/>
      </c>
      <c r="J9764" t="str">
        <f>IFERROR(__xludf.DUMMYFUNCTION("IFS(
  AND(REGEXMATCH(E9764, ""台銀籌備帳戶|玉山帳戶""), REGEXMATCH(C9764, ""薪資"")), ""分潤支出"",
  AND(REGEXMATCH(E9764, ""Ben帳戶|Elsa帳戶|Ben代墊|Ariel代墊|中信銀行共用""), REGEXMATCH(F9764, ""Ben帳戶|Elsa帳戶|Ben代墊|Ariel代墊|中信銀行共用"")), ""內部轉帳(忽略)"",
  AND(E9764&lt;&gt;"""", F9764&lt;&gt;"""", N"&amp;"OT(REGEXMATCH(C9764, ""薪資""))), ""內部轉帳(忽略)"",
  REGEXMATCH(C9764, ""薪資""), ""薪資變動(不計入)"",
  REGEXMATCH(C9764, ""押金""), ""押金往來"",
  AND(E9764&lt;&gt;"""", F9764=""""), ""真實支出"",
  AND(E9764="""", F9764&lt;&gt;""""), ""真實收入"",
  TRUE, ""其他""
)"),"其他")</f>
        <v>其他</v>
      </c>
      <c r="K9764" s="270" t="str">
        <f t="shared" si="2"/>
        <v/>
      </c>
      <c r="L9764">
        <f t="shared" si="3"/>
        <v>0</v>
      </c>
    </row>
    <row r="9765">
      <c r="A9765" s="107"/>
      <c r="D9765" s="270"/>
      <c r="H9765" s="106" t="str">
        <f t="shared" si="1"/>
        <v/>
      </c>
      <c r="J9765" t="str">
        <f>IFERROR(__xludf.DUMMYFUNCTION("IFS(
  AND(REGEXMATCH(E9765, ""台銀籌備帳戶|玉山帳戶""), REGEXMATCH(C9765, ""薪資"")), ""分潤支出"",
  AND(REGEXMATCH(E9765, ""Ben帳戶|Elsa帳戶|Ben代墊|Ariel代墊|中信銀行共用""), REGEXMATCH(F9765, ""Ben帳戶|Elsa帳戶|Ben代墊|Ariel代墊|中信銀行共用"")), ""內部轉帳(忽略)"",
  AND(E9765&lt;&gt;"""", F9765&lt;&gt;"""", N"&amp;"OT(REGEXMATCH(C9765, ""薪資""))), ""內部轉帳(忽略)"",
  REGEXMATCH(C9765, ""薪資""), ""薪資變動(不計入)"",
  REGEXMATCH(C9765, ""押金""), ""押金往來"",
  AND(E9765&lt;&gt;"""", F9765=""""), ""真實支出"",
  AND(E9765="""", F9765&lt;&gt;""""), ""真實收入"",
  TRUE, ""其他""
)"),"其他")</f>
        <v>其他</v>
      </c>
      <c r="K9765" s="270" t="str">
        <f t="shared" si="2"/>
        <v/>
      </c>
      <c r="L9765">
        <f t="shared" si="3"/>
        <v>0</v>
      </c>
    </row>
    <row r="9766">
      <c r="A9766" s="107"/>
      <c r="D9766" s="270"/>
      <c r="H9766" s="106" t="str">
        <f t="shared" si="1"/>
        <v/>
      </c>
      <c r="J9766" t="str">
        <f>IFERROR(__xludf.DUMMYFUNCTION("IFS(
  AND(REGEXMATCH(E9766, ""台銀籌備帳戶|玉山帳戶""), REGEXMATCH(C9766, ""薪資"")), ""分潤支出"",
  AND(REGEXMATCH(E9766, ""Ben帳戶|Elsa帳戶|Ben代墊|Ariel代墊|中信銀行共用""), REGEXMATCH(F9766, ""Ben帳戶|Elsa帳戶|Ben代墊|Ariel代墊|中信銀行共用"")), ""內部轉帳(忽略)"",
  AND(E9766&lt;&gt;"""", F9766&lt;&gt;"""", N"&amp;"OT(REGEXMATCH(C9766, ""薪資""))), ""內部轉帳(忽略)"",
  REGEXMATCH(C9766, ""薪資""), ""薪資變動(不計入)"",
  REGEXMATCH(C9766, ""押金""), ""押金往來"",
  AND(E9766&lt;&gt;"""", F9766=""""), ""真實支出"",
  AND(E9766="""", F9766&lt;&gt;""""), ""真實收入"",
  TRUE, ""其他""
)"),"其他")</f>
        <v>其他</v>
      </c>
      <c r="K9766" s="270" t="str">
        <f t="shared" si="2"/>
        <v/>
      </c>
      <c r="L9766">
        <f t="shared" si="3"/>
        <v>0</v>
      </c>
    </row>
    <row r="9767">
      <c r="A9767" s="107"/>
      <c r="D9767" s="270"/>
      <c r="H9767" s="106" t="str">
        <f t="shared" si="1"/>
        <v/>
      </c>
      <c r="J9767" t="str">
        <f>IFERROR(__xludf.DUMMYFUNCTION("IFS(
  AND(REGEXMATCH(E9767, ""台銀籌備帳戶|玉山帳戶""), REGEXMATCH(C9767, ""薪資"")), ""分潤支出"",
  AND(REGEXMATCH(E9767, ""Ben帳戶|Elsa帳戶|Ben代墊|Ariel代墊|中信銀行共用""), REGEXMATCH(F9767, ""Ben帳戶|Elsa帳戶|Ben代墊|Ariel代墊|中信銀行共用"")), ""內部轉帳(忽略)"",
  AND(E9767&lt;&gt;"""", F9767&lt;&gt;"""", N"&amp;"OT(REGEXMATCH(C9767, ""薪資""))), ""內部轉帳(忽略)"",
  REGEXMATCH(C9767, ""薪資""), ""薪資變動(不計入)"",
  REGEXMATCH(C9767, ""押金""), ""押金往來"",
  AND(E9767&lt;&gt;"""", F9767=""""), ""真實支出"",
  AND(E9767="""", F9767&lt;&gt;""""), ""真實收入"",
  TRUE, ""其他""
)"),"其他")</f>
        <v>其他</v>
      </c>
      <c r="K9767" s="270" t="str">
        <f t="shared" si="2"/>
        <v/>
      </c>
      <c r="L9767">
        <f t="shared" si="3"/>
        <v>0</v>
      </c>
    </row>
    <row r="9768">
      <c r="A9768" s="107"/>
      <c r="D9768" s="270"/>
      <c r="H9768" s="106" t="str">
        <f t="shared" si="1"/>
        <v/>
      </c>
      <c r="J9768" t="str">
        <f>IFERROR(__xludf.DUMMYFUNCTION("IFS(
  AND(REGEXMATCH(E9768, ""台銀籌備帳戶|玉山帳戶""), REGEXMATCH(C9768, ""薪資"")), ""分潤支出"",
  AND(REGEXMATCH(E9768, ""Ben帳戶|Elsa帳戶|Ben代墊|Ariel代墊|中信銀行共用""), REGEXMATCH(F9768, ""Ben帳戶|Elsa帳戶|Ben代墊|Ariel代墊|中信銀行共用"")), ""內部轉帳(忽略)"",
  AND(E9768&lt;&gt;"""", F9768&lt;&gt;"""", N"&amp;"OT(REGEXMATCH(C9768, ""薪資""))), ""內部轉帳(忽略)"",
  REGEXMATCH(C9768, ""薪資""), ""薪資變動(不計入)"",
  REGEXMATCH(C9768, ""押金""), ""押金往來"",
  AND(E9768&lt;&gt;"""", F9768=""""), ""真實支出"",
  AND(E9768="""", F9768&lt;&gt;""""), ""真實收入"",
  TRUE, ""其他""
)"),"其他")</f>
        <v>其他</v>
      </c>
      <c r="K9768" s="270" t="str">
        <f t="shared" si="2"/>
        <v/>
      </c>
      <c r="L9768">
        <f t="shared" si="3"/>
        <v>0</v>
      </c>
    </row>
    <row r="9769">
      <c r="A9769" s="107"/>
      <c r="D9769" s="270"/>
      <c r="H9769" s="106" t="str">
        <f t="shared" si="1"/>
        <v/>
      </c>
      <c r="J9769" t="str">
        <f>IFERROR(__xludf.DUMMYFUNCTION("IFS(
  AND(REGEXMATCH(E9769, ""台銀籌備帳戶|玉山帳戶""), REGEXMATCH(C9769, ""薪資"")), ""分潤支出"",
  AND(REGEXMATCH(E9769, ""Ben帳戶|Elsa帳戶|Ben代墊|Ariel代墊|中信銀行共用""), REGEXMATCH(F9769, ""Ben帳戶|Elsa帳戶|Ben代墊|Ariel代墊|中信銀行共用"")), ""內部轉帳(忽略)"",
  AND(E9769&lt;&gt;"""", F9769&lt;&gt;"""", N"&amp;"OT(REGEXMATCH(C9769, ""薪資""))), ""內部轉帳(忽略)"",
  REGEXMATCH(C9769, ""薪資""), ""薪資變動(不計入)"",
  REGEXMATCH(C9769, ""押金""), ""押金往來"",
  AND(E9769&lt;&gt;"""", F9769=""""), ""真實支出"",
  AND(E9769="""", F9769&lt;&gt;""""), ""真實收入"",
  TRUE, ""其他""
)"),"其他")</f>
        <v>其他</v>
      </c>
      <c r="K9769" s="270" t="str">
        <f t="shared" si="2"/>
        <v/>
      </c>
      <c r="L9769">
        <f t="shared" si="3"/>
        <v>0</v>
      </c>
    </row>
    <row r="9770">
      <c r="A9770" s="107"/>
      <c r="D9770" s="270"/>
      <c r="H9770" s="106" t="str">
        <f t="shared" si="1"/>
        <v/>
      </c>
      <c r="J9770" t="str">
        <f>IFERROR(__xludf.DUMMYFUNCTION("IFS(
  AND(REGEXMATCH(E9770, ""台銀籌備帳戶|玉山帳戶""), REGEXMATCH(C9770, ""薪資"")), ""分潤支出"",
  AND(REGEXMATCH(E9770, ""Ben帳戶|Elsa帳戶|Ben代墊|Ariel代墊|中信銀行共用""), REGEXMATCH(F9770, ""Ben帳戶|Elsa帳戶|Ben代墊|Ariel代墊|中信銀行共用"")), ""內部轉帳(忽略)"",
  AND(E9770&lt;&gt;"""", F9770&lt;&gt;"""", N"&amp;"OT(REGEXMATCH(C9770, ""薪資""))), ""內部轉帳(忽略)"",
  REGEXMATCH(C9770, ""薪資""), ""薪資變動(不計入)"",
  REGEXMATCH(C9770, ""押金""), ""押金往來"",
  AND(E9770&lt;&gt;"""", F9770=""""), ""真實支出"",
  AND(E9770="""", F9770&lt;&gt;""""), ""真實收入"",
  TRUE, ""其他""
)"),"其他")</f>
        <v>其他</v>
      </c>
      <c r="K9770" s="270" t="str">
        <f t="shared" si="2"/>
        <v/>
      </c>
      <c r="L9770">
        <f t="shared" si="3"/>
        <v>0</v>
      </c>
    </row>
    <row r="9771">
      <c r="A9771" s="107"/>
      <c r="D9771" s="270"/>
      <c r="H9771" s="106" t="str">
        <f t="shared" si="1"/>
        <v/>
      </c>
      <c r="J9771" t="str">
        <f>IFERROR(__xludf.DUMMYFUNCTION("IFS(
  AND(REGEXMATCH(E9771, ""台銀籌備帳戶|玉山帳戶""), REGEXMATCH(C9771, ""薪資"")), ""分潤支出"",
  AND(REGEXMATCH(E9771, ""Ben帳戶|Elsa帳戶|Ben代墊|Ariel代墊|中信銀行共用""), REGEXMATCH(F9771, ""Ben帳戶|Elsa帳戶|Ben代墊|Ariel代墊|中信銀行共用"")), ""內部轉帳(忽略)"",
  AND(E9771&lt;&gt;"""", F9771&lt;&gt;"""", N"&amp;"OT(REGEXMATCH(C9771, ""薪資""))), ""內部轉帳(忽略)"",
  REGEXMATCH(C9771, ""薪資""), ""薪資變動(不計入)"",
  REGEXMATCH(C9771, ""押金""), ""押金往來"",
  AND(E9771&lt;&gt;"""", F9771=""""), ""真實支出"",
  AND(E9771="""", F9771&lt;&gt;""""), ""真實收入"",
  TRUE, ""其他""
)"),"其他")</f>
        <v>其他</v>
      </c>
      <c r="K9771" s="270" t="str">
        <f t="shared" si="2"/>
        <v/>
      </c>
      <c r="L9771">
        <f t="shared" si="3"/>
        <v>0</v>
      </c>
    </row>
    <row r="9772">
      <c r="A9772" s="107"/>
      <c r="D9772" s="270"/>
      <c r="H9772" s="106" t="str">
        <f t="shared" si="1"/>
        <v/>
      </c>
      <c r="J9772" t="str">
        <f>IFERROR(__xludf.DUMMYFUNCTION("IFS(
  AND(REGEXMATCH(E9772, ""台銀籌備帳戶|玉山帳戶""), REGEXMATCH(C9772, ""薪資"")), ""分潤支出"",
  AND(REGEXMATCH(E9772, ""Ben帳戶|Elsa帳戶|Ben代墊|Ariel代墊|中信銀行共用""), REGEXMATCH(F9772, ""Ben帳戶|Elsa帳戶|Ben代墊|Ariel代墊|中信銀行共用"")), ""內部轉帳(忽略)"",
  AND(E9772&lt;&gt;"""", F9772&lt;&gt;"""", N"&amp;"OT(REGEXMATCH(C9772, ""薪資""))), ""內部轉帳(忽略)"",
  REGEXMATCH(C9772, ""薪資""), ""薪資變動(不計入)"",
  REGEXMATCH(C9772, ""押金""), ""押金往來"",
  AND(E9772&lt;&gt;"""", F9772=""""), ""真實支出"",
  AND(E9772="""", F9772&lt;&gt;""""), ""真實收入"",
  TRUE, ""其他""
)"),"其他")</f>
        <v>其他</v>
      </c>
      <c r="K9772" s="270" t="str">
        <f t="shared" si="2"/>
        <v/>
      </c>
      <c r="L9772">
        <f t="shared" si="3"/>
        <v>0</v>
      </c>
    </row>
    <row r="9773">
      <c r="A9773" s="107"/>
      <c r="D9773" s="270"/>
      <c r="H9773" s="106" t="str">
        <f t="shared" si="1"/>
        <v/>
      </c>
      <c r="J9773" t="str">
        <f>IFERROR(__xludf.DUMMYFUNCTION("IFS(
  AND(REGEXMATCH(E9773, ""台銀籌備帳戶|玉山帳戶""), REGEXMATCH(C9773, ""薪資"")), ""分潤支出"",
  AND(REGEXMATCH(E9773, ""Ben帳戶|Elsa帳戶|Ben代墊|Ariel代墊|中信銀行共用""), REGEXMATCH(F9773, ""Ben帳戶|Elsa帳戶|Ben代墊|Ariel代墊|中信銀行共用"")), ""內部轉帳(忽略)"",
  AND(E9773&lt;&gt;"""", F9773&lt;&gt;"""", N"&amp;"OT(REGEXMATCH(C9773, ""薪資""))), ""內部轉帳(忽略)"",
  REGEXMATCH(C9773, ""薪資""), ""薪資變動(不計入)"",
  REGEXMATCH(C9773, ""押金""), ""押金往來"",
  AND(E9773&lt;&gt;"""", F9773=""""), ""真實支出"",
  AND(E9773="""", F9773&lt;&gt;""""), ""真實收入"",
  TRUE, ""其他""
)"),"其他")</f>
        <v>其他</v>
      </c>
      <c r="K9773" s="270" t="str">
        <f t="shared" si="2"/>
        <v/>
      </c>
      <c r="L9773">
        <f t="shared" si="3"/>
        <v>0</v>
      </c>
    </row>
    <row r="9774">
      <c r="A9774" s="107"/>
      <c r="D9774" s="270"/>
      <c r="H9774" s="106" t="str">
        <f t="shared" si="1"/>
        <v/>
      </c>
      <c r="J9774" t="str">
        <f>IFERROR(__xludf.DUMMYFUNCTION("IFS(
  AND(REGEXMATCH(E9774, ""台銀籌備帳戶|玉山帳戶""), REGEXMATCH(C9774, ""薪資"")), ""分潤支出"",
  AND(REGEXMATCH(E9774, ""Ben帳戶|Elsa帳戶|Ben代墊|Ariel代墊|中信銀行共用""), REGEXMATCH(F9774, ""Ben帳戶|Elsa帳戶|Ben代墊|Ariel代墊|中信銀行共用"")), ""內部轉帳(忽略)"",
  AND(E9774&lt;&gt;"""", F9774&lt;&gt;"""", N"&amp;"OT(REGEXMATCH(C9774, ""薪資""))), ""內部轉帳(忽略)"",
  REGEXMATCH(C9774, ""薪資""), ""薪資變動(不計入)"",
  REGEXMATCH(C9774, ""押金""), ""押金往來"",
  AND(E9774&lt;&gt;"""", F9774=""""), ""真實支出"",
  AND(E9774="""", F9774&lt;&gt;""""), ""真實收入"",
  TRUE, ""其他""
)"),"其他")</f>
        <v>其他</v>
      </c>
      <c r="K9774" s="270" t="str">
        <f t="shared" si="2"/>
        <v/>
      </c>
      <c r="L9774">
        <f t="shared" si="3"/>
        <v>0</v>
      </c>
    </row>
    <row r="9775">
      <c r="A9775" s="107"/>
      <c r="D9775" s="270"/>
      <c r="H9775" s="106" t="str">
        <f t="shared" si="1"/>
        <v/>
      </c>
      <c r="J9775" t="str">
        <f>IFERROR(__xludf.DUMMYFUNCTION("IFS(
  AND(REGEXMATCH(E9775, ""台銀籌備帳戶|玉山帳戶""), REGEXMATCH(C9775, ""薪資"")), ""分潤支出"",
  AND(REGEXMATCH(E9775, ""Ben帳戶|Elsa帳戶|Ben代墊|Ariel代墊|中信銀行共用""), REGEXMATCH(F9775, ""Ben帳戶|Elsa帳戶|Ben代墊|Ariel代墊|中信銀行共用"")), ""內部轉帳(忽略)"",
  AND(E9775&lt;&gt;"""", F9775&lt;&gt;"""", N"&amp;"OT(REGEXMATCH(C9775, ""薪資""))), ""內部轉帳(忽略)"",
  REGEXMATCH(C9775, ""薪資""), ""薪資變動(不計入)"",
  REGEXMATCH(C9775, ""押金""), ""押金往來"",
  AND(E9775&lt;&gt;"""", F9775=""""), ""真實支出"",
  AND(E9775="""", F9775&lt;&gt;""""), ""真實收入"",
  TRUE, ""其他""
)"),"其他")</f>
        <v>其他</v>
      </c>
      <c r="K9775" s="270" t="str">
        <f t="shared" si="2"/>
        <v/>
      </c>
      <c r="L9775">
        <f t="shared" si="3"/>
        <v>0</v>
      </c>
    </row>
    <row r="9776">
      <c r="A9776" s="107"/>
      <c r="D9776" s="270"/>
      <c r="H9776" s="106" t="str">
        <f t="shared" si="1"/>
        <v/>
      </c>
      <c r="J9776" t="str">
        <f>IFERROR(__xludf.DUMMYFUNCTION("IFS(
  AND(REGEXMATCH(E9776, ""台銀籌備帳戶|玉山帳戶""), REGEXMATCH(C9776, ""薪資"")), ""分潤支出"",
  AND(REGEXMATCH(E9776, ""Ben帳戶|Elsa帳戶|Ben代墊|Ariel代墊|中信銀行共用""), REGEXMATCH(F9776, ""Ben帳戶|Elsa帳戶|Ben代墊|Ariel代墊|中信銀行共用"")), ""內部轉帳(忽略)"",
  AND(E9776&lt;&gt;"""", F9776&lt;&gt;"""", N"&amp;"OT(REGEXMATCH(C9776, ""薪資""))), ""內部轉帳(忽略)"",
  REGEXMATCH(C9776, ""薪資""), ""薪資變動(不計入)"",
  REGEXMATCH(C9776, ""押金""), ""押金往來"",
  AND(E9776&lt;&gt;"""", F9776=""""), ""真實支出"",
  AND(E9776="""", F9776&lt;&gt;""""), ""真實收入"",
  TRUE, ""其他""
)"),"其他")</f>
        <v>其他</v>
      </c>
      <c r="K9776" s="270" t="str">
        <f t="shared" si="2"/>
        <v/>
      </c>
      <c r="L9776">
        <f t="shared" si="3"/>
        <v>0</v>
      </c>
    </row>
    <row r="9777">
      <c r="A9777" s="107"/>
      <c r="D9777" s="270"/>
      <c r="H9777" s="106" t="str">
        <f t="shared" si="1"/>
        <v/>
      </c>
      <c r="J9777" t="str">
        <f>IFERROR(__xludf.DUMMYFUNCTION("IFS(
  AND(REGEXMATCH(E9777, ""台銀籌備帳戶|玉山帳戶""), REGEXMATCH(C9777, ""薪資"")), ""分潤支出"",
  AND(REGEXMATCH(E9777, ""Ben帳戶|Elsa帳戶|Ben代墊|Ariel代墊|中信銀行共用""), REGEXMATCH(F9777, ""Ben帳戶|Elsa帳戶|Ben代墊|Ariel代墊|中信銀行共用"")), ""內部轉帳(忽略)"",
  AND(E9777&lt;&gt;"""", F9777&lt;&gt;"""", N"&amp;"OT(REGEXMATCH(C9777, ""薪資""))), ""內部轉帳(忽略)"",
  REGEXMATCH(C9777, ""薪資""), ""薪資變動(不計入)"",
  REGEXMATCH(C9777, ""押金""), ""押金往來"",
  AND(E9777&lt;&gt;"""", F9777=""""), ""真實支出"",
  AND(E9777="""", F9777&lt;&gt;""""), ""真實收入"",
  TRUE, ""其他""
)"),"其他")</f>
        <v>其他</v>
      </c>
      <c r="K9777" s="270" t="str">
        <f t="shared" si="2"/>
        <v/>
      </c>
      <c r="L9777">
        <f t="shared" si="3"/>
        <v>0</v>
      </c>
    </row>
    <row r="9778">
      <c r="A9778" s="107"/>
      <c r="D9778" s="270"/>
      <c r="H9778" s="106" t="str">
        <f t="shared" si="1"/>
        <v/>
      </c>
      <c r="J9778" t="str">
        <f>IFERROR(__xludf.DUMMYFUNCTION("IFS(
  AND(REGEXMATCH(E9778, ""台銀籌備帳戶|玉山帳戶""), REGEXMATCH(C9778, ""薪資"")), ""分潤支出"",
  AND(REGEXMATCH(E9778, ""Ben帳戶|Elsa帳戶|Ben代墊|Ariel代墊|中信銀行共用""), REGEXMATCH(F9778, ""Ben帳戶|Elsa帳戶|Ben代墊|Ariel代墊|中信銀行共用"")), ""內部轉帳(忽略)"",
  AND(E9778&lt;&gt;"""", F9778&lt;&gt;"""", N"&amp;"OT(REGEXMATCH(C9778, ""薪資""))), ""內部轉帳(忽略)"",
  REGEXMATCH(C9778, ""薪資""), ""薪資變動(不計入)"",
  REGEXMATCH(C9778, ""押金""), ""押金往來"",
  AND(E9778&lt;&gt;"""", F9778=""""), ""真實支出"",
  AND(E9778="""", F9778&lt;&gt;""""), ""真實收入"",
  TRUE, ""其他""
)"),"其他")</f>
        <v>其他</v>
      </c>
      <c r="K9778" s="270" t="str">
        <f t="shared" si="2"/>
        <v/>
      </c>
      <c r="L9778">
        <f t="shared" si="3"/>
        <v>0</v>
      </c>
    </row>
    <row r="9779">
      <c r="A9779" s="107"/>
      <c r="D9779" s="270"/>
      <c r="H9779" s="106" t="str">
        <f t="shared" si="1"/>
        <v/>
      </c>
      <c r="J9779" t="str">
        <f>IFERROR(__xludf.DUMMYFUNCTION("IFS(
  AND(REGEXMATCH(E9779, ""台銀籌備帳戶|玉山帳戶""), REGEXMATCH(C9779, ""薪資"")), ""分潤支出"",
  AND(REGEXMATCH(E9779, ""Ben帳戶|Elsa帳戶|Ben代墊|Ariel代墊|中信銀行共用""), REGEXMATCH(F9779, ""Ben帳戶|Elsa帳戶|Ben代墊|Ariel代墊|中信銀行共用"")), ""內部轉帳(忽略)"",
  AND(E9779&lt;&gt;"""", F9779&lt;&gt;"""", N"&amp;"OT(REGEXMATCH(C9779, ""薪資""))), ""內部轉帳(忽略)"",
  REGEXMATCH(C9779, ""薪資""), ""薪資變動(不計入)"",
  REGEXMATCH(C9779, ""押金""), ""押金往來"",
  AND(E9779&lt;&gt;"""", F9779=""""), ""真實支出"",
  AND(E9779="""", F9779&lt;&gt;""""), ""真實收入"",
  TRUE, ""其他""
)"),"其他")</f>
        <v>其他</v>
      </c>
      <c r="K9779" s="270" t="str">
        <f t="shared" si="2"/>
        <v/>
      </c>
      <c r="L9779">
        <f t="shared" si="3"/>
        <v>0</v>
      </c>
    </row>
    <row r="9780">
      <c r="A9780" s="107"/>
      <c r="D9780" s="270"/>
      <c r="H9780" s="106" t="str">
        <f t="shared" si="1"/>
        <v/>
      </c>
      <c r="J9780" t="str">
        <f>IFERROR(__xludf.DUMMYFUNCTION("IFS(
  AND(REGEXMATCH(E9780, ""台銀籌備帳戶|玉山帳戶""), REGEXMATCH(C9780, ""薪資"")), ""分潤支出"",
  AND(REGEXMATCH(E9780, ""Ben帳戶|Elsa帳戶|Ben代墊|Ariel代墊|中信銀行共用""), REGEXMATCH(F9780, ""Ben帳戶|Elsa帳戶|Ben代墊|Ariel代墊|中信銀行共用"")), ""內部轉帳(忽略)"",
  AND(E9780&lt;&gt;"""", F9780&lt;&gt;"""", N"&amp;"OT(REGEXMATCH(C9780, ""薪資""))), ""內部轉帳(忽略)"",
  REGEXMATCH(C9780, ""薪資""), ""薪資變動(不計入)"",
  REGEXMATCH(C9780, ""押金""), ""押金往來"",
  AND(E9780&lt;&gt;"""", F9780=""""), ""真實支出"",
  AND(E9780="""", F9780&lt;&gt;""""), ""真實收入"",
  TRUE, ""其他""
)"),"其他")</f>
        <v>其他</v>
      </c>
      <c r="K9780" s="270" t="str">
        <f t="shared" si="2"/>
        <v/>
      </c>
      <c r="L9780">
        <f t="shared" si="3"/>
        <v>0</v>
      </c>
    </row>
    <row r="9781">
      <c r="A9781" s="107"/>
      <c r="D9781" s="270"/>
      <c r="H9781" s="106" t="str">
        <f t="shared" si="1"/>
        <v/>
      </c>
      <c r="J9781" t="str">
        <f>IFERROR(__xludf.DUMMYFUNCTION("IFS(
  AND(REGEXMATCH(E9781, ""台銀籌備帳戶|玉山帳戶""), REGEXMATCH(C9781, ""薪資"")), ""分潤支出"",
  AND(REGEXMATCH(E9781, ""Ben帳戶|Elsa帳戶|Ben代墊|Ariel代墊|中信銀行共用""), REGEXMATCH(F9781, ""Ben帳戶|Elsa帳戶|Ben代墊|Ariel代墊|中信銀行共用"")), ""內部轉帳(忽略)"",
  AND(E9781&lt;&gt;"""", F9781&lt;&gt;"""", N"&amp;"OT(REGEXMATCH(C9781, ""薪資""))), ""內部轉帳(忽略)"",
  REGEXMATCH(C9781, ""薪資""), ""薪資變動(不計入)"",
  REGEXMATCH(C9781, ""押金""), ""押金往來"",
  AND(E9781&lt;&gt;"""", F9781=""""), ""真實支出"",
  AND(E9781="""", F9781&lt;&gt;""""), ""真實收入"",
  TRUE, ""其他""
)"),"其他")</f>
        <v>其他</v>
      </c>
      <c r="K9781" s="270" t="str">
        <f t="shared" si="2"/>
        <v/>
      </c>
      <c r="L9781">
        <f t="shared" si="3"/>
        <v>0</v>
      </c>
    </row>
    <row r="9782">
      <c r="A9782" s="107"/>
      <c r="D9782" s="270"/>
      <c r="H9782" s="106" t="str">
        <f t="shared" si="1"/>
        <v/>
      </c>
      <c r="J9782" t="str">
        <f>IFERROR(__xludf.DUMMYFUNCTION("IFS(
  AND(REGEXMATCH(E9782, ""台銀籌備帳戶|玉山帳戶""), REGEXMATCH(C9782, ""薪資"")), ""分潤支出"",
  AND(REGEXMATCH(E9782, ""Ben帳戶|Elsa帳戶|Ben代墊|Ariel代墊|中信銀行共用""), REGEXMATCH(F9782, ""Ben帳戶|Elsa帳戶|Ben代墊|Ariel代墊|中信銀行共用"")), ""內部轉帳(忽略)"",
  AND(E9782&lt;&gt;"""", F9782&lt;&gt;"""", N"&amp;"OT(REGEXMATCH(C9782, ""薪資""))), ""內部轉帳(忽略)"",
  REGEXMATCH(C9782, ""薪資""), ""薪資變動(不計入)"",
  REGEXMATCH(C9782, ""押金""), ""押金往來"",
  AND(E9782&lt;&gt;"""", F9782=""""), ""真實支出"",
  AND(E9782="""", F9782&lt;&gt;""""), ""真實收入"",
  TRUE, ""其他""
)"),"其他")</f>
        <v>其他</v>
      </c>
      <c r="K9782" s="270" t="str">
        <f t="shared" si="2"/>
        <v/>
      </c>
      <c r="L9782">
        <f t="shared" si="3"/>
        <v>0</v>
      </c>
    </row>
    <row r="9783">
      <c r="A9783" s="107"/>
      <c r="D9783" s="270"/>
      <c r="H9783" s="106" t="str">
        <f t="shared" si="1"/>
        <v/>
      </c>
      <c r="J9783" t="str">
        <f>IFERROR(__xludf.DUMMYFUNCTION("IFS(
  AND(REGEXMATCH(E9783, ""台銀籌備帳戶|玉山帳戶""), REGEXMATCH(C9783, ""薪資"")), ""分潤支出"",
  AND(REGEXMATCH(E9783, ""Ben帳戶|Elsa帳戶|Ben代墊|Ariel代墊|中信銀行共用""), REGEXMATCH(F9783, ""Ben帳戶|Elsa帳戶|Ben代墊|Ariel代墊|中信銀行共用"")), ""內部轉帳(忽略)"",
  AND(E9783&lt;&gt;"""", F9783&lt;&gt;"""", N"&amp;"OT(REGEXMATCH(C9783, ""薪資""))), ""內部轉帳(忽略)"",
  REGEXMATCH(C9783, ""薪資""), ""薪資變動(不計入)"",
  REGEXMATCH(C9783, ""押金""), ""押金往來"",
  AND(E9783&lt;&gt;"""", F9783=""""), ""真實支出"",
  AND(E9783="""", F9783&lt;&gt;""""), ""真實收入"",
  TRUE, ""其他""
)"),"其他")</f>
        <v>其他</v>
      </c>
      <c r="K9783" s="270" t="str">
        <f t="shared" si="2"/>
        <v/>
      </c>
      <c r="L9783">
        <f t="shared" si="3"/>
        <v>0</v>
      </c>
    </row>
    <row r="9784">
      <c r="A9784" s="107"/>
      <c r="D9784" s="270"/>
      <c r="H9784" s="106" t="str">
        <f t="shared" si="1"/>
        <v/>
      </c>
      <c r="J9784" t="str">
        <f>IFERROR(__xludf.DUMMYFUNCTION("IFS(
  AND(REGEXMATCH(E9784, ""台銀籌備帳戶|玉山帳戶""), REGEXMATCH(C9784, ""薪資"")), ""分潤支出"",
  AND(REGEXMATCH(E9784, ""Ben帳戶|Elsa帳戶|Ben代墊|Ariel代墊|中信銀行共用""), REGEXMATCH(F9784, ""Ben帳戶|Elsa帳戶|Ben代墊|Ariel代墊|中信銀行共用"")), ""內部轉帳(忽略)"",
  AND(E9784&lt;&gt;"""", F9784&lt;&gt;"""", N"&amp;"OT(REGEXMATCH(C9784, ""薪資""))), ""內部轉帳(忽略)"",
  REGEXMATCH(C9784, ""薪資""), ""薪資變動(不計入)"",
  REGEXMATCH(C9784, ""押金""), ""押金往來"",
  AND(E9784&lt;&gt;"""", F9784=""""), ""真實支出"",
  AND(E9784="""", F9784&lt;&gt;""""), ""真實收入"",
  TRUE, ""其他""
)"),"其他")</f>
        <v>其他</v>
      </c>
      <c r="K9784" s="270" t="str">
        <f t="shared" si="2"/>
        <v/>
      </c>
      <c r="L9784">
        <f t="shared" si="3"/>
        <v>0</v>
      </c>
    </row>
    <row r="9785">
      <c r="A9785" s="107"/>
      <c r="D9785" s="270"/>
      <c r="H9785" s="106" t="str">
        <f t="shared" si="1"/>
        <v/>
      </c>
      <c r="J9785" t="str">
        <f>IFERROR(__xludf.DUMMYFUNCTION("IFS(
  AND(REGEXMATCH(E9785, ""台銀籌備帳戶|玉山帳戶""), REGEXMATCH(C9785, ""薪資"")), ""分潤支出"",
  AND(REGEXMATCH(E9785, ""Ben帳戶|Elsa帳戶|Ben代墊|Ariel代墊|中信銀行共用""), REGEXMATCH(F9785, ""Ben帳戶|Elsa帳戶|Ben代墊|Ariel代墊|中信銀行共用"")), ""內部轉帳(忽略)"",
  AND(E9785&lt;&gt;"""", F9785&lt;&gt;"""", N"&amp;"OT(REGEXMATCH(C9785, ""薪資""))), ""內部轉帳(忽略)"",
  REGEXMATCH(C9785, ""薪資""), ""薪資變動(不計入)"",
  REGEXMATCH(C9785, ""押金""), ""押金往來"",
  AND(E9785&lt;&gt;"""", F9785=""""), ""真實支出"",
  AND(E9785="""", F9785&lt;&gt;""""), ""真實收入"",
  TRUE, ""其他""
)"),"其他")</f>
        <v>其他</v>
      </c>
      <c r="K9785" s="270" t="str">
        <f t="shared" si="2"/>
        <v/>
      </c>
      <c r="L9785">
        <f t="shared" si="3"/>
        <v>0</v>
      </c>
    </row>
    <row r="9786">
      <c r="A9786" s="107"/>
      <c r="D9786" s="270"/>
      <c r="H9786" s="106" t="str">
        <f t="shared" si="1"/>
        <v/>
      </c>
      <c r="J9786" t="str">
        <f>IFERROR(__xludf.DUMMYFUNCTION("IFS(
  AND(REGEXMATCH(E9786, ""台銀籌備帳戶|玉山帳戶""), REGEXMATCH(C9786, ""薪資"")), ""分潤支出"",
  AND(REGEXMATCH(E9786, ""Ben帳戶|Elsa帳戶|Ben代墊|Ariel代墊|中信銀行共用""), REGEXMATCH(F9786, ""Ben帳戶|Elsa帳戶|Ben代墊|Ariel代墊|中信銀行共用"")), ""內部轉帳(忽略)"",
  AND(E9786&lt;&gt;"""", F9786&lt;&gt;"""", N"&amp;"OT(REGEXMATCH(C9786, ""薪資""))), ""內部轉帳(忽略)"",
  REGEXMATCH(C9786, ""薪資""), ""薪資變動(不計入)"",
  REGEXMATCH(C9786, ""押金""), ""押金往來"",
  AND(E9786&lt;&gt;"""", F9786=""""), ""真實支出"",
  AND(E9786="""", F9786&lt;&gt;""""), ""真實收入"",
  TRUE, ""其他""
)"),"其他")</f>
        <v>其他</v>
      </c>
      <c r="K9786" s="270" t="str">
        <f t="shared" si="2"/>
        <v/>
      </c>
      <c r="L9786">
        <f t="shared" si="3"/>
        <v>0</v>
      </c>
    </row>
    <row r="9787">
      <c r="A9787" s="107"/>
      <c r="D9787" s="270"/>
      <c r="H9787" s="106" t="str">
        <f t="shared" si="1"/>
        <v/>
      </c>
      <c r="J9787" t="str">
        <f>IFERROR(__xludf.DUMMYFUNCTION("IFS(
  AND(REGEXMATCH(E9787, ""台銀籌備帳戶|玉山帳戶""), REGEXMATCH(C9787, ""薪資"")), ""分潤支出"",
  AND(REGEXMATCH(E9787, ""Ben帳戶|Elsa帳戶|Ben代墊|Ariel代墊|中信銀行共用""), REGEXMATCH(F9787, ""Ben帳戶|Elsa帳戶|Ben代墊|Ariel代墊|中信銀行共用"")), ""內部轉帳(忽略)"",
  AND(E9787&lt;&gt;"""", F9787&lt;&gt;"""", N"&amp;"OT(REGEXMATCH(C9787, ""薪資""))), ""內部轉帳(忽略)"",
  REGEXMATCH(C9787, ""薪資""), ""薪資變動(不計入)"",
  REGEXMATCH(C9787, ""押金""), ""押金往來"",
  AND(E9787&lt;&gt;"""", F9787=""""), ""真實支出"",
  AND(E9787="""", F9787&lt;&gt;""""), ""真實收入"",
  TRUE, ""其他""
)"),"其他")</f>
        <v>其他</v>
      </c>
      <c r="K9787" s="270" t="str">
        <f t="shared" si="2"/>
        <v/>
      </c>
      <c r="L9787">
        <f t="shared" si="3"/>
        <v>0</v>
      </c>
    </row>
    <row r="9788">
      <c r="A9788" s="107"/>
      <c r="D9788" s="270"/>
      <c r="H9788" s="106" t="str">
        <f t="shared" si="1"/>
        <v/>
      </c>
      <c r="J9788" t="str">
        <f>IFERROR(__xludf.DUMMYFUNCTION("IFS(
  AND(REGEXMATCH(E9788, ""台銀籌備帳戶|玉山帳戶""), REGEXMATCH(C9788, ""薪資"")), ""分潤支出"",
  AND(REGEXMATCH(E9788, ""Ben帳戶|Elsa帳戶|Ben代墊|Ariel代墊|中信銀行共用""), REGEXMATCH(F9788, ""Ben帳戶|Elsa帳戶|Ben代墊|Ariel代墊|中信銀行共用"")), ""內部轉帳(忽略)"",
  AND(E9788&lt;&gt;"""", F9788&lt;&gt;"""", N"&amp;"OT(REGEXMATCH(C9788, ""薪資""))), ""內部轉帳(忽略)"",
  REGEXMATCH(C9788, ""薪資""), ""薪資變動(不計入)"",
  REGEXMATCH(C9788, ""押金""), ""押金往來"",
  AND(E9788&lt;&gt;"""", F9788=""""), ""真實支出"",
  AND(E9788="""", F9788&lt;&gt;""""), ""真實收入"",
  TRUE, ""其他""
)"),"其他")</f>
        <v>其他</v>
      </c>
      <c r="K9788" s="270" t="str">
        <f t="shared" si="2"/>
        <v/>
      </c>
      <c r="L9788">
        <f t="shared" si="3"/>
        <v>0</v>
      </c>
    </row>
    <row r="9789">
      <c r="A9789" s="107"/>
      <c r="D9789" s="270"/>
      <c r="H9789" s="106" t="str">
        <f t="shared" si="1"/>
        <v/>
      </c>
      <c r="J9789" t="str">
        <f>IFERROR(__xludf.DUMMYFUNCTION("IFS(
  AND(REGEXMATCH(E9789, ""台銀籌備帳戶|玉山帳戶""), REGEXMATCH(C9789, ""薪資"")), ""分潤支出"",
  AND(REGEXMATCH(E9789, ""Ben帳戶|Elsa帳戶|Ben代墊|Ariel代墊|中信銀行共用""), REGEXMATCH(F9789, ""Ben帳戶|Elsa帳戶|Ben代墊|Ariel代墊|中信銀行共用"")), ""內部轉帳(忽略)"",
  AND(E9789&lt;&gt;"""", F9789&lt;&gt;"""", N"&amp;"OT(REGEXMATCH(C9789, ""薪資""))), ""內部轉帳(忽略)"",
  REGEXMATCH(C9789, ""薪資""), ""薪資變動(不計入)"",
  REGEXMATCH(C9789, ""押金""), ""押金往來"",
  AND(E9789&lt;&gt;"""", F9789=""""), ""真實支出"",
  AND(E9789="""", F9789&lt;&gt;""""), ""真實收入"",
  TRUE, ""其他""
)"),"其他")</f>
        <v>其他</v>
      </c>
      <c r="K9789" s="270" t="str">
        <f t="shared" si="2"/>
        <v/>
      </c>
      <c r="L9789">
        <f t="shared" si="3"/>
        <v>0</v>
      </c>
    </row>
    <row r="9790">
      <c r="A9790" s="107"/>
      <c r="D9790" s="270"/>
      <c r="H9790" s="106" t="str">
        <f t="shared" si="1"/>
        <v/>
      </c>
      <c r="J9790" t="str">
        <f>IFERROR(__xludf.DUMMYFUNCTION("IFS(
  AND(REGEXMATCH(E9790, ""台銀籌備帳戶|玉山帳戶""), REGEXMATCH(C9790, ""薪資"")), ""分潤支出"",
  AND(REGEXMATCH(E9790, ""Ben帳戶|Elsa帳戶|Ben代墊|Ariel代墊|中信銀行共用""), REGEXMATCH(F9790, ""Ben帳戶|Elsa帳戶|Ben代墊|Ariel代墊|中信銀行共用"")), ""內部轉帳(忽略)"",
  AND(E9790&lt;&gt;"""", F9790&lt;&gt;"""", N"&amp;"OT(REGEXMATCH(C9790, ""薪資""))), ""內部轉帳(忽略)"",
  REGEXMATCH(C9790, ""薪資""), ""薪資變動(不計入)"",
  REGEXMATCH(C9790, ""押金""), ""押金往來"",
  AND(E9790&lt;&gt;"""", F9790=""""), ""真實支出"",
  AND(E9790="""", F9790&lt;&gt;""""), ""真實收入"",
  TRUE, ""其他""
)"),"其他")</f>
        <v>其他</v>
      </c>
      <c r="K9790" s="270" t="str">
        <f t="shared" si="2"/>
        <v/>
      </c>
      <c r="L9790">
        <f t="shared" si="3"/>
        <v>0</v>
      </c>
    </row>
    <row r="9791">
      <c r="A9791" s="107"/>
      <c r="D9791" s="270"/>
      <c r="H9791" s="106" t="str">
        <f t="shared" si="1"/>
        <v/>
      </c>
      <c r="J9791" t="str">
        <f>IFERROR(__xludf.DUMMYFUNCTION("IFS(
  AND(REGEXMATCH(E9791, ""台銀籌備帳戶|玉山帳戶""), REGEXMATCH(C9791, ""薪資"")), ""分潤支出"",
  AND(REGEXMATCH(E9791, ""Ben帳戶|Elsa帳戶|Ben代墊|Ariel代墊|中信銀行共用""), REGEXMATCH(F9791, ""Ben帳戶|Elsa帳戶|Ben代墊|Ariel代墊|中信銀行共用"")), ""內部轉帳(忽略)"",
  AND(E9791&lt;&gt;"""", F9791&lt;&gt;"""", N"&amp;"OT(REGEXMATCH(C9791, ""薪資""))), ""內部轉帳(忽略)"",
  REGEXMATCH(C9791, ""薪資""), ""薪資變動(不計入)"",
  REGEXMATCH(C9791, ""押金""), ""押金往來"",
  AND(E9791&lt;&gt;"""", F9791=""""), ""真實支出"",
  AND(E9791="""", F9791&lt;&gt;""""), ""真實收入"",
  TRUE, ""其他""
)"),"其他")</f>
        <v>其他</v>
      </c>
      <c r="K9791" s="270" t="str">
        <f t="shared" si="2"/>
        <v/>
      </c>
      <c r="L9791">
        <f t="shared" si="3"/>
        <v>0</v>
      </c>
    </row>
    <row r="9792">
      <c r="A9792" s="107"/>
      <c r="D9792" s="270"/>
      <c r="H9792" s="106" t="str">
        <f t="shared" si="1"/>
        <v/>
      </c>
      <c r="J9792" t="str">
        <f>IFERROR(__xludf.DUMMYFUNCTION("IFS(
  AND(REGEXMATCH(E9792, ""台銀籌備帳戶|玉山帳戶""), REGEXMATCH(C9792, ""薪資"")), ""分潤支出"",
  AND(REGEXMATCH(E9792, ""Ben帳戶|Elsa帳戶|Ben代墊|Ariel代墊|中信銀行共用""), REGEXMATCH(F9792, ""Ben帳戶|Elsa帳戶|Ben代墊|Ariel代墊|中信銀行共用"")), ""內部轉帳(忽略)"",
  AND(E9792&lt;&gt;"""", F9792&lt;&gt;"""", N"&amp;"OT(REGEXMATCH(C9792, ""薪資""))), ""內部轉帳(忽略)"",
  REGEXMATCH(C9792, ""薪資""), ""薪資變動(不計入)"",
  REGEXMATCH(C9792, ""押金""), ""押金往來"",
  AND(E9792&lt;&gt;"""", F9792=""""), ""真實支出"",
  AND(E9792="""", F9792&lt;&gt;""""), ""真實收入"",
  TRUE, ""其他""
)"),"其他")</f>
        <v>其他</v>
      </c>
      <c r="K9792" s="270" t="str">
        <f t="shared" si="2"/>
        <v/>
      </c>
      <c r="L9792">
        <f t="shared" si="3"/>
        <v>0</v>
      </c>
    </row>
    <row r="9793">
      <c r="A9793" s="107"/>
      <c r="D9793" s="270"/>
      <c r="H9793" s="106" t="str">
        <f t="shared" si="1"/>
        <v/>
      </c>
      <c r="J9793" t="str">
        <f>IFERROR(__xludf.DUMMYFUNCTION("IFS(
  AND(REGEXMATCH(E9793, ""台銀籌備帳戶|玉山帳戶""), REGEXMATCH(C9793, ""薪資"")), ""分潤支出"",
  AND(REGEXMATCH(E9793, ""Ben帳戶|Elsa帳戶|Ben代墊|Ariel代墊|中信銀行共用""), REGEXMATCH(F9793, ""Ben帳戶|Elsa帳戶|Ben代墊|Ariel代墊|中信銀行共用"")), ""內部轉帳(忽略)"",
  AND(E9793&lt;&gt;"""", F9793&lt;&gt;"""", N"&amp;"OT(REGEXMATCH(C9793, ""薪資""))), ""內部轉帳(忽略)"",
  REGEXMATCH(C9793, ""薪資""), ""薪資變動(不計入)"",
  REGEXMATCH(C9793, ""押金""), ""押金往來"",
  AND(E9793&lt;&gt;"""", F9793=""""), ""真實支出"",
  AND(E9793="""", F9793&lt;&gt;""""), ""真實收入"",
  TRUE, ""其他""
)"),"其他")</f>
        <v>其他</v>
      </c>
      <c r="K9793" s="270" t="str">
        <f t="shared" si="2"/>
        <v/>
      </c>
      <c r="L9793">
        <f t="shared" si="3"/>
        <v>0</v>
      </c>
    </row>
    <row r="9794">
      <c r="A9794" s="107"/>
      <c r="D9794" s="270"/>
      <c r="H9794" s="106" t="str">
        <f t="shared" si="1"/>
        <v/>
      </c>
      <c r="J9794" t="str">
        <f>IFERROR(__xludf.DUMMYFUNCTION("IFS(
  AND(REGEXMATCH(E9794, ""台銀籌備帳戶|玉山帳戶""), REGEXMATCH(C9794, ""薪資"")), ""分潤支出"",
  AND(REGEXMATCH(E9794, ""Ben帳戶|Elsa帳戶|Ben代墊|Ariel代墊|中信銀行共用""), REGEXMATCH(F9794, ""Ben帳戶|Elsa帳戶|Ben代墊|Ariel代墊|中信銀行共用"")), ""內部轉帳(忽略)"",
  AND(E9794&lt;&gt;"""", F9794&lt;&gt;"""", N"&amp;"OT(REGEXMATCH(C9794, ""薪資""))), ""內部轉帳(忽略)"",
  REGEXMATCH(C9794, ""薪資""), ""薪資變動(不計入)"",
  REGEXMATCH(C9794, ""押金""), ""押金往來"",
  AND(E9794&lt;&gt;"""", F9794=""""), ""真實支出"",
  AND(E9794="""", F9794&lt;&gt;""""), ""真實收入"",
  TRUE, ""其他""
)"),"其他")</f>
        <v>其他</v>
      </c>
      <c r="K9794" s="270" t="str">
        <f t="shared" si="2"/>
        <v/>
      </c>
      <c r="L9794">
        <f t="shared" si="3"/>
        <v>0</v>
      </c>
    </row>
    <row r="9795">
      <c r="A9795" s="107"/>
      <c r="D9795" s="270"/>
      <c r="H9795" s="106" t="str">
        <f t="shared" si="1"/>
        <v/>
      </c>
      <c r="J9795" t="str">
        <f>IFERROR(__xludf.DUMMYFUNCTION("IFS(
  AND(REGEXMATCH(E9795, ""台銀籌備帳戶|玉山帳戶""), REGEXMATCH(C9795, ""薪資"")), ""分潤支出"",
  AND(REGEXMATCH(E9795, ""Ben帳戶|Elsa帳戶|Ben代墊|Ariel代墊|中信銀行共用""), REGEXMATCH(F9795, ""Ben帳戶|Elsa帳戶|Ben代墊|Ariel代墊|中信銀行共用"")), ""內部轉帳(忽略)"",
  AND(E9795&lt;&gt;"""", F9795&lt;&gt;"""", N"&amp;"OT(REGEXMATCH(C9795, ""薪資""))), ""內部轉帳(忽略)"",
  REGEXMATCH(C9795, ""薪資""), ""薪資變動(不計入)"",
  REGEXMATCH(C9795, ""押金""), ""押金往來"",
  AND(E9795&lt;&gt;"""", F9795=""""), ""真實支出"",
  AND(E9795="""", F9795&lt;&gt;""""), ""真實收入"",
  TRUE, ""其他""
)"),"其他")</f>
        <v>其他</v>
      </c>
      <c r="K9795" s="270" t="str">
        <f t="shared" si="2"/>
        <v/>
      </c>
      <c r="L9795">
        <f t="shared" si="3"/>
        <v>0</v>
      </c>
    </row>
    <row r="9796">
      <c r="A9796" s="107"/>
      <c r="D9796" s="270"/>
      <c r="H9796" s="106" t="str">
        <f t="shared" si="1"/>
        <v/>
      </c>
      <c r="J9796" t="str">
        <f>IFERROR(__xludf.DUMMYFUNCTION("IFS(
  AND(REGEXMATCH(E9796, ""台銀籌備帳戶|玉山帳戶""), REGEXMATCH(C9796, ""薪資"")), ""分潤支出"",
  AND(REGEXMATCH(E9796, ""Ben帳戶|Elsa帳戶|Ben代墊|Ariel代墊|中信銀行共用""), REGEXMATCH(F9796, ""Ben帳戶|Elsa帳戶|Ben代墊|Ariel代墊|中信銀行共用"")), ""內部轉帳(忽略)"",
  AND(E9796&lt;&gt;"""", F9796&lt;&gt;"""", N"&amp;"OT(REGEXMATCH(C9796, ""薪資""))), ""內部轉帳(忽略)"",
  REGEXMATCH(C9796, ""薪資""), ""薪資變動(不計入)"",
  REGEXMATCH(C9796, ""押金""), ""押金往來"",
  AND(E9796&lt;&gt;"""", F9796=""""), ""真實支出"",
  AND(E9796="""", F9796&lt;&gt;""""), ""真實收入"",
  TRUE, ""其他""
)"),"其他")</f>
        <v>其他</v>
      </c>
      <c r="K9796" s="270" t="str">
        <f t="shared" si="2"/>
        <v/>
      </c>
      <c r="L9796">
        <f t="shared" si="3"/>
        <v>0</v>
      </c>
    </row>
    <row r="9797">
      <c r="A9797" s="107"/>
      <c r="D9797" s="270"/>
      <c r="H9797" s="106" t="str">
        <f t="shared" si="1"/>
        <v/>
      </c>
      <c r="J9797" t="str">
        <f>IFERROR(__xludf.DUMMYFUNCTION("IFS(
  AND(REGEXMATCH(E9797, ""台銀籌備帳戶|玉山帳戶""), REGEXMATCH(C9797, ""薪資"")), ""分潤支出"",
  AND(REGEXMATCH(E9797, ""Ben帳戶|Elsa帳戶|Ben代墊|Ariel代墊|中信銀行共用""), REGEXMATCH(F9797, ""Ben帳戶|Elsa帳戶|Ben代墊|Ariel代墊|中信銀行共用"")), ""內部轉帳(忽略)"",
  AND(E9797&lt;&gt;"""", F9797&lt;&gt;"""", N"&amp;"OT(REGEXMATCH(C9797, ""薪資""))), ""內部轉帳(忽略)"",
  REGEXMATCH(C9797, ""薪資""), ""薪資變動(不計入)"",
  REGEXMATCH(C9797, ""押金""), ""押金往來"",
  AND(E9797&lt;&gt;"""", F9797=""""), ""真實支出"",
  AND(E9797="""", F9797&lt;&gt;""""), ""真實收入"",
  TRUE, ""其他""
)"),"其他")</f>
        <v>其他</v>
      </c>
      <c r="K9797" s="270" t="str">
        <f t="shared" si="2"/>
        <v/>
      </c>
      <c r="L9797">
        <f t="shared" si="3"/>
        <v>0</v>
      </c>
    </row>
    <row r="9798">
      <c r="A9798" s="107"/>
      <c r="D9798" s="270"/>
      <c r="H9798" s="106" t="str">
        <f t="shared" si="1"/>
        <v/>
      </c>
      <c r="J9798" t="str">
        <f>IFERROR(__xludf.DUMMYFUNCTION("IFS(
  AND(REGEXMATCH(E9798, ""台銀籌備帳戶|玉山帳戶""), REGEXMATCH(C9798, ""薪資"")), ""分潤支出"",
  AND(REGEXMATCH(E9798, ""Ben帳戶|Elsa帳戶|Ben代墊|Ariel代墊|中信銀行共用""), REGEXMATCH(F9798, ""Ben帳戶|Elsa帳戶|Ben代墊|Ariel代墊|中信銀行共用"")), ""內部轉帳(忽略)"",
  AND(E9798&lt;&gt;"""", F9798&lt;&gt;"""", N"&amp;"OT(REGEXMATCH(C9798, ""薪資""))), ""內部轉帳(忽略)"",
  REGEXMATCH(C9798, ""薪資""), ""薪資變動(不計入)"",
  REGEXMATCH(C9798, ""押金""), ""押金往來"",
  AND(E9798&lt;&gt;"""", F9798=""""), ""真實支出"",
  AND(E9798="""", F9798&lt;&gt;""""), ""真實收入"",
  TRUE, ""其他""
)"),"其他")</f>
        <v>其他</v>
      </c>
      <c r="K9798" s="270" t="str">
        <f t="shared" si="2"/>
        <v/>
      </c>
      <c r="L9798">
        <f t="shared" si="3"/>
        <v>0</v>
      </c>
    </row>
    <row r="9799">
      <c r="A9799" s="107"/>
      <c r="D9799" s="270"/>
      <c r="H9799" s="106" t="str">
        <f t="shared" si="1"/>
        <v/>
      </c>
      <c r="J9799" t="str">
        <f>IFERROR(__xludf.DUMMYFUNCTION("IFS(
  AND(REGEXMATCH(E9799, ""台銀籌備帳戶|玉山帳戶""), REGEXMATCH(C9799, ""薪資"")), ""分潤支出"",
  AND(REGEXMATCH(E9799, ""Ben帳戶|Elsa帳戶|Ben代墊|Ariel代墊|中信銀行共用""), REGEXMATCH(F9799, ""Ben帳戶|Elsa帳戶|Ben代墊|Ariel代墊|中信銀行共用"")), ""內部轉帳(忽略)"",
  AND(E9799&lt;&gt;"""", F9799&lt;&gt;"""", N"&amp;"OT(REGEXMATCH(C9799, ""薪資""))), ""內部轉帳(忽略)"",
  REGEXMATCH(C9799, ""薪資""), ""薪資變動(不計入)"",
  REGEXMATCH(C9799, ""押金""), ""押金往來"",
  AND(E9799&lt;&gt;"""", F9799=""""), ""真實支出"",
  AND(E9799="""", F9799&lt;&gt;""""), ""真實收入"",
  TRUE, ""其他""
)"),"其他")</f>
        <v>其他</v>
      </c>
      <c r="K9799" s="270" t="str">
        <f t="shared" si="2"/>
        <v/>
      </c>
      <c r="L9799">
        <f t="shared" si="3"/>
        <v>0</v>
      </c>
    </row>
    <row r="9800">
      <c r="A9800" s="107"/>
      <c r="D9800" s="270"/>
      <c r="H9800" s="106" t="str">
        <f t="shared" si="1"/>
        <v/>
      </c>
      <c r="J9800" t="str">
        <f>IFERROR(__xludf.DUMMYFUNCTION("IFS(
  AND(REGEXMATCH(E9800, ""台銀籌備帳戶|玉山帳戶""), REGEXMATCH(C9800, ""薪資"")), ""分潤支出"",
  AND(REGEXMATCH(E9800, ""Ben帳戶|Elsa帳戶|Ben代墊|Ariel代墊|中信銀行共用""), REGEXMATCH(F9800, ""Ben帳戶|Elsa帳戶|Ben代墊|Ariel代墊|中信銀行共用"")), ""內部轉帳(忽略)"",
  AND(E9800&lt;&gt;"""", F9800&lt;&gt;"""", N"&amp;"OT(REGEXMATCH(C9800, ""薪資""))), ""內部轉帳(忽略)"",
  REGEXMATCH(C9800, ""薪資""), ""薪資變動(不計入)"",
  REGEXMATCH(C9800, ""押金""), ""押金往來"",
  AND(E9800&lt;&gt;"""", F9800=""""), ""真實支出"",
  AND(E9800="""", F9800&lt;&gt;""""), ""真實收入"",
  TRUE, ""其他""
)"),"其他")</f>
        <v>其他</v>
      </c>
      <c r="K9800" s="270" t="str">
        <f t="shared" si="2"/>
        <v/>
      </c>
      <c r="L9800">
        <f t="shared" si="3"/>
        <v>0</v>
      </c>
    </row>
    <row r="9801">
      <c r="A9801" s="107"/>
      <c r="D9801" s="270"/>
      <c r="H9801" s="106" t="str">
        <f t="shared" si="1"/>
        <v/>
      </c>
      <c r="J9801" t="str">
        <f>IFERROR(__xludf.DUMMYFUNCTION("IFS(
  AND(REGEXMATCH(E9801, ""台銀籌備帳戶|玉山帳戶""), REGEXMATCH(C9801, ""薪資"")), ""分潤支出"",
  AND(REGEXMATCH(E9801, ""Ben帳戶|Elsa帳戶|Ben代墊|Ariel代墊|中信銀行共用""), REGEXMATCH(F9801, ""Ben帳戶|Elsa帳戶|Ben代墊|Ariel代墊|中信銀行共用"")), ""內部轉帳(忽略)"",
  AND(E9801&lt;&gt;"""", F9801&lt;&gt;"""", N"&amp;"OT(REGEXMATCH(C9801, ""薪資""))), ""內部轉帳(忽略)"",
  REGEXMATCH(C9801, ""薪資""), ""薪資變動(不計入)"",
  REGEXMATCH(C9801, ""押金""), ""押金往來"",
  AND(E9801&lt;&gt;"""", F9801=""""), ""真實支出"",
  AND(E9801="""", F9801&lt;&gt;""""), ""真實收入"",
  TRUE, ""其他""
)"),"其他")</f>
        <v>其他</v>
      </c>
      <c r="K9801" s="270" t="str">
        <f t="shared" si="2"/>
        <v/>
      </c>
      <c r="L9801">
        <f t="shared" si="3"/>
        <v>0</v>
      </c>
    </row>
    <row r="9802">
      <c r="A9802" s="107"/>
      <c r="D9802" s="270"/>
      <c r="H9802" s="106" t="str">
        <f t="shared" si="1"/>
        <v/>
      </c>
      <c r="J9802" t="str">
        <f>IFERROR(__xludf.DUMMYFUNCTION("IFS(
  AND(REGEXMATCH(E9802, ""台銀籌備帳戶|玉山帳戶""), REGEXMATCH(C9802, ""薪資"")), ""分潤支出"",
  AND(REGEXMATCH(E9802, ""Ben帳戶|Elsa帳戶|Ben代墊|Ariel代墊|中信銀行共用""), REGEXMATCH(F9802, ""Ben帳戶|Elsa帳戶|Ben代墊|Ariel代墊|中信銀行共用"")), ""內部轉帳(忽略)"",
  AND(E9802&lt;&gt;"""", F9802&lt;&gt;"""", N"&amp;"OT(REGEXMATCH(C9802, ""薪資""))), ""內部轉帳(忽略)"",
  REGEXMATCH(C9802, ""薪資""), ""薪資變動(不計入)"",
  REGEXMATCH(C9802, ""押金""), ""押金往來"",
  AND(E9802&lt;&gt;"""", F9802=""""), ""真實支出"",
  AND(E9802="""", F9802&lt;&gt;""""), ""真實收入"",
  TRUE, ""其他""
)"),"其他")</f>
        <v>其他</v>
      </c>
      <c r="K9802" s="270" t="str">
        <f t="shared" si="2"/>
        <v/>
      </c>
      <c r="L9802">
        <f t="shared" si="3"/>
        <v>0</v>
      </c>
    </row>
    <row r="9803">
      <c r="A9803" s="107"/>
      <c r="D9803" s="270"/>
      <c r="H9803" s="106" t="str">
        <f t="shared" si="1"/>
        <v/>
      </c>
      <c r="J9803" t="str">
        <f>IFERROR(__xludf.DUMMYFUNCTION("IFS(
  AND(REGEXMATCH(E9803, ""台銀籌備帳戶|玉山帳戶""), REGEXMATCH(C9803, ""薪資"")), ""分潤支出"",
  AND(REGEXMATCH(E9803, ""Ben帳戶|Elsa帳戶|Ben代墊|Ariel代墊|中信銀行共用""), REGEXMATCH(F9803, ""Ben帳戶|Elsa帳戶|Ben代墊|Ariel代墊|中信銀行共用"")), ""內部轉帳(忽略)"",
  AND(E9803&lt;&gt;"""", F9803&lt;&gt;"""", N"&amp;"OT(REGEXMATCH(C9803, ""薪資""))), ""內部轉帳(忽略)"",
  REGEXMATCH(C9803, ""薪資""), ""薪資變動(不計入)"",
  REGEXMATCH(C9803, ""押金""), ""押金往來"",
  AND(E9803&lt;&gt;"""", F9803=""""), ""真實支出"",
  AND(E9803="""", F9803&lt;&gt;""""), ""真實收入"",
  TRUE, ""其他""
)"),"其他")</f>
        <v>其他</v>
      </c>
      <c r="K9803" s="270" t="str">
        <f t="shared" si="2"/>
        <v/>
      </c>
      <c r="L9803">
        <f t="shared" si="3"/>
        <v>0</v>
      </c>
    </row>
    <row r="9804">
      <c r="A9804" s="107"/>
      <c r="D9804" s="270"/>
      <c r="H9804" s="106" t="str">
        <f t="shared" si="1"/>
        <v/>
      </c>
      <c r="J9804" t="str">
        <f>IFERROR(__xludf.DUMMYFUNCTION("IFS(
  AND(REGEXMATCH(E9804, ""台銀籌備帳戶|玉山帳戶""), REGEXMATCH(C9804, ""薪資"")), ""分潤支出"",
  AND(REGEXMATCH(E9804, ""Ben帳戶|Elsa帳戶|Ben代墊|Ariel代墊|中信銀行共用""), REGEXMATCH(F9804, ""Ben帳戶|Elsa帳戶|Ben代墊|Ariel代墊|中信銀行共用"")), ""內部轉帳(忽略)"",
  AND(E9804&lt;&gt;"""", F9804&lt;&gt;"""", N"&amp;"OT(REGEXMATCH(C9804, ""薪資""))), ""內部轉帳(忽略)"",
  REGEXMATCH(C9804, ""薪資""), ""薪資變動(不計入)"",
  REGEXMATCH(C9804, ""押金""), ""押金往來"",
  AND(E9804&lt;&gt;"""", F9804=""""), ""真實支出"",
  AND(E9804="""", F9804&lt;&gt;""""), ""真實收入"",
  TRUE, ""其他""
)"),"其他")</f>
        <v>其他</v>
      </c>
      <c r="K9804" s="270" t="str">
        <f t="shared" si="2"/>
        <v/>
      </c>
      <c r="L9804">
        <f t="shared" si="3"/>
        <v>0</v>
      </c>
    </row>
    <row r="9805">
      <c r="A9805" s="107"/>
      <c r="D9805" s="270"/>
      <c r="H9805" s="106" t="str">
        <f t="shared" si="1"/>
        <v/>
      </c>
      <c r="J9805" t="str">
        <f>IFERROR(__xludf.DUMMYFUNCTION("IFS(
  AND(REGEXMATCH(E9805, ""台銀籌備帳戶|玉山帳戶""), REGEXMATCH(C9805, ""薪資"")), ""分潤支出"",
  AND(REGEXMATCH(E9805, ""Ben帳戶|Elsa帳戶|Ben代墊|Ariel代墊|中信銀行共用""), REGEXMATCH(F9805, ""Ben帳戶|Elsa帳戶|Ben代墊|Ariel代墊|中信銀行共用"")), ""內部轉帳(忽略)"",
  AND(E9805&lt;&gt;"""", F9805&lt;&gt;"""", N"&amp;"OT(REGEXMATCH(C9805, ""薪資""))), ""內部轉帳(忽略)"",
  REGEXMATCH(C9805, ""薪資""), ""薪資變動(不計入)"",
  REGEXMATCH(C9805, ""押金""), ""押金往來"",
  AND(E9805&lt;&gt;"""", F9805=""""), ""真實支出"",
  AND(E9805="""", F9805&lt;&gt;""""), ""真實收入"",
  TRUE, ""其他""
)"),"其他")</f>
        <v>其他</v>
      </c>
      <c r="K9805" s="270" t="str">
        <f t="shared" si="2"/>
        <v/>
      </c>
      <c r="L9805">
        <f t="shared" si="3"/>
        <v>0</v>
      </c>
    </row>
    <row r="9806">
      <c r="A9806" s="107"/>
      <c r="D9806" s="270"/>
      <c r="H9806" s="106" t="str">
        <f t="shared" si="1"/>
        <v/>
      </c>
      <c r="J9806" t="str">
        <f>IFERROR(__xludf.DUMMYFUNCTION("IFS(
  AND(REGEXMATCH(E9806, ""台銀籌備帳戶|玉山帳戶""), REGEXMATCH(C9806, ""薪資"")), ""分潤支出"",
  AND(REGEXMATCH(E9806, ""Ben帳戶|Elsa帳戶|Ben代墊|Ariel代墊|中信銀行共用""), REGEXMATCH(F9806, ""Ben帳戶|Elsa帳戶|Ben代墊|Ariel代墊|中信銀行共用"")), ""內部轉帳(忽略)"",
  AND(E9806&lt;&gt;"""", F9806&lt;&gt;"""", N"&amp;"OT(REGEXMATCH(C9806, ""薪資""))), ""內部轉帳(忽略)"",
  REGEXMATCH(C9806, ""薪資""), ""薪資變動(不計入)"",
  REGEXMATCH(C9806, ""押金""), ""押金往來"",
  AND(E9806&lt;&gt;"""", F9806=""""), ""真實支出"",
  AND(E9806="""", F9806&lt;&gt;""""), ""真實收入"",
  TRUE, ""其他""
)"),"其他")</f>
        <v>其他</v>
      </c>
      <c r="K9806" s="270" t="str">
        <f t="shared" si="2"/>
        <v/>
      </c>
      <c r="L9806">
        <f t="shared" si="3"/>
        <v>0</v>
      </c>
    </row>
    <row r="9807">
      <c r="A9807" s="107"/>
      <c r="D9807" s="270"/>
      <c r="H9807" s="106" t="str">
        <f t="shared" si="1"/>
        <v/>
      </c>
      <c r="J9807" t="str">
        <f>IFERROR(__xludf.DUMMYFUNCTION("IFS(
  AND(REGEXMATCH(E9807, ""台銀籌備帳戶|玉山帳戶""), REGEXMATCH(C9807, ""薪資"")), ""分潤支出"",
  AND(REGEXMATCH(E9807, ""Ben帳戶|Elsa帳戶|Ben代墊|Ariel代墊|中信銀行共用""), REGEXMATCH(F9807, ""Ben帳戶|Elsa帳戶|Ben代墊|Ariel代墊|中信銀行共用"")), ""內部轉帳(忽略)"",
  AND(E9807&lt;&gt;"""", F9807&lt;&gt;"""", N"&amp;"OT(REGEXMATCH(C9807, ""薪資""))), ""內部轉帳(忽略)"",
  REGEXMATCH(C9807, ""薪資""), ""薪資變動(不計入)"",
  REGEXMATCH(C9807, ""押金""), ""押金往來"",
  AND(E9807&lt;&gt;"""", F9807=""""), ""真實支出"",
  AND(E9807="""", F9807&lt;&gt;""""), ""真實收入"",
  TRUE, ""其他""
)"),"其他")</f>
        <v>其他</v>
      </c>
      <c r="K9807" s="270" t="str">
        <f t="shared" si="2"/>
        <v/>
      </c>
      <c r="L9807">
        <f t="shared" si="3"/>
        <v>0</v>
      </c>
    </row>
    <row r="9808">
      <c r="A9808" s="107"/>
      <c r="D9808" s="270"/>
      <c r="H9808" s="106" t="str">
        <f t="shared" si="1"/>
        <v/>
      </c>
      <c r="J9808" t="str">
        <f>IFERROR(__xludf.DUMMYFUNCTION("IFS(
  AND(REGEXMATCH(E9808, ""台銀籌備帳戶|玉山帳戶""), REGEXMATCH(C9808, ""薪資"")), ""分潤支出"",
  AND(REGEXMATCH(E9808, ""Ben帳戶|Elsa帳戶|Ben代墊|Ariel代墊|中信銀行共用""), REGEXMATCH(F9808, ""Ben帳戶|Elsa帳戶|Ben代墊|Ariel代墊|中信銀行共用"")), ""內部轉帳(忽略)"",
  AND(E9808&lt;&gt;"""", F9808&lt;&gt;"""", N"&amp;"OT(REGEXMATCH(C9808, ""薪資""))), ""內部轉帳(忽略)"",
  REGEXMATCH(C9808, ""薪資""), ""薪資變動(不計入)"",
  REGEXMATCH(C9808, ""押金""), ""押金往來"",
  AND(E9808&lt;&gt;"""", F9808=""""), ""真實支出"",
  AND(E9808="""", F9808&lt;&gt;""""), ""真實收入"",
  TRUE, ""其他""
)"),"其他")</f>
        <v>其他</v>
      </c>
      <c r="K9808" s="270" t="str">
        <f t="shared" si="2"/>
        <v/>
      </c>
      <c r="L9808">
        <f t="shared" si="3"/>
        <v>0</v>
      </c>
    </row>
    <row r="9809">
      <c r="A9809" s="107"/>
      <c r="D9809" s="270"/>
      <c r="H9809" s="106" t="str">
        <f t="shared" si="1"/>
        <v/>
      </c>
      <c r="J9809" t="str">
        <f>IFERROR(__xludf.DUMMYFUNCTION("IFS(
  AND(REGEXMATCH(E9809, ""台銀籌備帳戶|玉山帳戶""), REGEXMATCH(C9809, ""薪資"")), ""分潤支出"",
  AND(REGEXMATCH(E9809, ""Ben帳戶|Elsa帳戶|Ben代墊|Ariel代墊|中信銀行共用""), REGEXMATCH(F9809, ""Ben帳戶|Elsa帳戶|Ben代墊|Ariel代墊|中信銀行共用"")), ""內部轉帳(忽略)"",
  AND(E9809&lt;&gt;"""", F9809&lt;&gt;"""", N"&amp;"OT(REGEXMATCH(C9809, ""薪資""))), ""內部轉帳(忽略)"",
  REGEXMATCH(C9809, ""薪資""), ""薪資變動(不計入)"",
  REGEXMATCH(C9809, ""押金""), ""押金往來"",
  AND(E9809&lt;&gt;"""", F9809=""""), ""真實支出"",
  AND(E9809="""", F9809&lt;&gt;""""), ""真實收入"",
  TRUE, ""其他""
)"),"其他")</f>
        <v>其他</v>
      </c>
      <c r="K9809" s="270" t="str">
        <f t="shared" si="2"/>
        <v/>
      </c>
      <c r="L9809">
        <f t="shared" si="3"/>
        <v>0</v>
      </c>
    </row>
    <row r="9810">
      <c r="A9810" s="107"/>
      <c r="D9810" s="270"/>
      <c r="H9810" s="106" t="str">
        <f t="shared" si="1"/>
        <v/>
      </c>
      <c r="J9810" t="str">
        <f>IFERROR(__xludf.DUMMYFUNCTION("IFS(
  AND(REGEXMATCH(E9810, ""台銀籌備帳戶|玉山帳戶""), REGEXMATCH(C9810, ""薪資"")), ""分潤支出"",
  AND(REGEXMATCH(E9810, ""Ben帳戶|Elsa帳戶|Ben代墊|Ariel代墊|中信銀行共用""), REGEXMATCH(F9810, ""Ben帳戶|Elsa帳戶|Ben代墊|Ariel代墊|中信銀行共用"")), ""內部轉帳(忽略)"",
  AND(E9810&lt;&gt;"""", F9810&lt;&gt;"""", N"&amp;"OT(REGEXMATCH(C9810, ""薪資""))), ""內部轉帳(忽略)"",
  REGEXMATCH(C9810, ""薪資""), ""薪資變動(不計入)"",
  REGEXMATCH(C9810, ""押金""), ""押金往來"",
  AND(E9810&lt;&gt;"""", F9810=""""), ""真實支出"",
  AND(E9810="""", F9810&lt;&gt;""""), ""真實收入"",
  TRUE, ""其他""
)"),"其他")</f>
        <v>其他</v>
      </c>
      <c r="K9810" s="270" t="str">
        <f t="shared" si="2"/>
        <v/>
      </c>
      <c r="L9810">
        <f t="shared" si="3"/>
        <v>0</v>
      </c>
    </row>
    <row r="9811">
      <c r="A9811" s="107"/>
      <c r="D9811" s="270"/>
      <c r="H9811" s="106" t="str">
        <f t="shared" si="1"/>
        <v/>
      </c>
      <c r="J9811" t="str">
        <f>IFERROR(__xludf.DUMMYFUNCTION("IFS(
  AND(REGEXMATCH(E9811, ""台銀籌備帳戶|玉山帳戶""), REGEXMATCH(C9811, ""薪資"")), ""分潤支出"",
  AND(REGEXMATCH(E9811, ""Ben帳戶|Elsa帳戶|Ben代墊|Ariel代墊|中信銀行共用""), REGEXMATCH(F9811, ""Ben帳戶|Elsa帳戶|Ben代墊|Ariel代墊|中信銀行共用"")), ""內部轉帳(忽略)"",
  AND(E9811&lt;&gt;"""", F9811&lt;&gt;"""", N"&amp;"OT(REGEXMATCH(C9811, ""薪資""))), ""內部轉帳(忽略)"",
  REGEXMATCH(C9811, ""薪資""), ""薪資變動(不計入)"",
  REGEXMATCH(C9811, ""押金""), ""押金往來"",
  AND(E9811&lt;&gt;"""", F9811=""""), ""真實支出"",
  AND(E9811="""", F9811&lt;&gt;""""), ""真實收入"",
  TRUE, ""其他""
)"),"其他")</f>
        <v>其他</v>
      </c>
      <c r="K9811" s="270" t="str">
        <f t="shared" si="2"/>
        <v/>
      </c>
      <c r="L9811">
        <f t="shared" si="3"/>
        <v>0</v>
      </c>
    </row>
    <row r="9812">
      <c r="A9812" s="107"/>
      <c r="D9812" s="270"/>
      <c r="H9812" s="106" t="str">
        <f t="shared" si="1"/>
        <v/>
      </c>
      <c r="J9812" t="str">
        <f>IFERROR(__xludf.DUMMYFUNCTION("IFS(
  AND(REGEXMATCH(E9812, ""台銀籌備帳戶|玉山帳戶""), REGEXMATCH(C9812, ""薪資"")), ""分潤支出"",
  AND(REGEXMATCH(E9812, ""Ben帳戶|Elsa帳戶|Ben代墊|Ariel代墊|中信銀行共用""), REGEXMATCH(F9812, ""Ben帳戶|Elsa帳戶|Ben代墊|Ariel代墊|中信銀行共用"")), ""內部轉帳(忽略)"",
  AND(E9812&lt;&gt;"""", F9812&lt;&gt;"""", N"&amp;"OT(REGEXMATCH(C9812, ""薪資""))), ""內部轉帳(忽略)"",
  REGEXMATCH(C9812, ""薪資""), ""薪資變動(不計入)"",
  REGEXMATCH(C9812, ""押金""), ""押金往來"",
  AND(E9812&lt;&gt;"""", F9812=""""), ""真實支出"",
  AND(E9812="""", F9812&lt;&gt;""""), ""真實收入"",
  TRUE, ""其他""
)"),"其他")</f>
        <v>其他</v>
      </c>
      <c r="K9812" s="270" t="str">
        <f t="shared" si="2"/>
        <v/>
      </c>
      <c r="L9812">
        <f t="shared" si="3"/>
        <v>0</v>
      </c>
    </row>
    <row r="9813">
      <c r="A9813" s="107"/>
      <c r="D9813" s="270"/>
      <c r="H9813" s="106" t="str">
        <f t="shared" si="1"/>
        <v/>
      </c>
      <c r="J9813" t="str">
        <f>IFERROR(__xludf.DUMMYFUNCTION("IFS(
  AND(REGEXMATCH(E9813, ""台銀籌備帳戶|玉山帳戶""), REGEXMATCH(C9813, ""薪資"")), ""分潤支出"",
  AND(REGEXMATCH(E9813, ""Ben帳戶|Elsa帳戶|Ben代墊|Ariel代墊|中信銀行共用""), REGEXMATCH(F9813, ""Ben帳戶|Elsa帳戶|Ben代墊|Ariel代墊|中信銀行共用"")), ""內部轉帳(忽略)"",
  AND(E9813&lt;&gt;"""", F9813&lt;&gt;"""", N"&amp;"OT(REGEXMATCH(C9813, ""薪資""))), ""內部轉帳(忽略)"",
  REGEXMATCH(C9813, ""薪資""), ""薪資變動(不計入)"",
  REGEXMATCH(C9813, ""押金""), ""押金往來"",
  AND(E9813&lt;&gt;"""", F9813=""""), ""真實支出"",
  AND(E9813="""", F9813&lt;&gt;""""), ""真實收入"",
  TRUE, ""其他""
)"),"其他")</f>
        <v>其他</v>
      </c>
      <c r="K9813" s="270" t="str">
        <f t="shared" si="2"/>
        <v/>
      </c>
      <c r="L9813">
        <f t="shared" si="3"/>
        <v>0</v>
      </c>
    </row>
    <row r="9814">
      <c r="A9814" s="107"/>
      <c r="D9814" s="270"/>
      <c r="H9814" s="106" t="str">
        <f t="shared" si="1"/>
        <v/>
      </c>
      <c r="J9814" t="str">
        <f>IFERROR(__xludf.DUMMYFUNCTION("IFS(
  AND(REGEXMATCH(E9814, ""台銀籌備帳戶|玉山帳戶""), REGEXMATCH(C9814, ""薪資"")), ""分潤支出"",
  AND(REGEXMATCH(E9814, ""Ben帳戶|Elsa帳戶|Ben代墊|Ariel代墊|中信銀行共用""), REGEXMATCH(F9814, ""Ben帳戶|Elsa帳戶|Ben代墊|Ariel代墊|中信銀行共用"")), ""內部轉帳(忽略)"",
  AND(E9814&lt;&gt;"""", F9814&lt;&gt;"""", N"&amp;"OT(REGEXMATCH(C9814, ""薪資""))), ""內部轉帳(忽略)"",
  REGEXMATCH(C9814, ""薪資""), ""薪資變動(不計入)"",
  REGEXMATCH(C9814, ""押金""), ""押金往來"",
  AND(E9814&lt;&gt;"""", F9814=""""), ""真實支出"",
  AND(E9814="""", F9814&lt;&gt;""""), ""真實收入"",
  TRUE, ""其他""
)"),"其他")</f>
        <v>其他</v>
      </c>
      <c r="K9814" s="270" t="str">
        <f t="shared" si="2"/>
        <v/>
      </c>
      <c r="L9814">
        <f t="shared" si="3"/>
        <v>0</v>
      </c>
    </row>
    <row r="9815">
      <c r="A9815" s="107"/>
      <c r="D9815" s="270"/>
      <c r="H9815" s="106" t="str">
        <f t="shared" si="1"/>
        <v/>
      </c>
      <c r="J9815" t="str">
        <f>IFERROR(__xludf.DUMMYFUNCTION("IFS(
  AND(REGEXMATCH(E9815, ""台銀籌備帳戶|玉山帳戶""), REGEXMATCH(C9815, ""薪資"")), ""分潤支出"",
  AND(REGEXMATCH(E9815, ""Ben帳戶|Elsa帳戶|Ben代墊|Ariel代墊|中信銀行共用""), REGEXMATCH(F9815, ""Ben帳戶|Elsa帳戶|Ben代墊|Ariel代墊|中信銀行共用"")), ""內部轉帳(忽略)"",
  AND(E9815&lt;&gt;"""", F9815&lt;&gt;"""", N"&amp;"OT(REGEXMATCH(C9815, ""薪資""))), ""內部轉帳(忽略)"",
  REGEXMATCH(C9815, ""薪資""), ""薪資變動(不計入)"",
  REGEXMATCH(C9815, ""押金""), ""押金往來"",
  AND(E9815&lt;&gt;"""", F9815=""""), ""真實支出"",
  AND(E9815="""", F9815&lt;&gt;""""), ""真實收入"",
  TRUE, ""其他""
)"),"其他")</f>
        <v>其他</v>
      </c>
      <c r="K9815" s="270" t="str">
        <f t="shared" si="2"/>
        <v/>
      </c>
      <c r="L9815">
        <f t="shared" si="3"/>
        <v>0</v>
      </c>
    </row>
    <row r="9816">
      <c r="A9816" s="107"/>
      <c r="D9816" s="270"/>
      <c r="H9816" s="106" t="str">
        <f t="shared" si="1"/>
        <v/>
      </c>
      <c r="J9816" t="str">
        <f>IFERROR(__xludf.DUMMYFUNCTION("IFS(
  AND(REGEXMATCH(E9816, ""台銀籌備帳戶|玉山帳戶""), REGEXMATCH(C9816, ""薪資"")), ""分潤支出"",
  AND(REGEXMATCH(E9816, ""Ben帳戶|Elsa帳戶|Ben代墊|Ariel代墊|中信銀行共用""), REGEXMATCH(F9816, ""Ben帳戶|Elsa帳戶|Ben代墊|Ariel代墊|中信銀行共用"")), ""內部轉帳(忽略)"",
  AND(E9816&lt;&gt;"""", F9816&lt;&gt;"""", N"&amp;"OT(REGEXMATCH(C9816, ""薪資""))), ""內部轉帳(忽略)"",
  REGEXMATCH(C9816, ""薪資""), ""薪資變動(不計入)"",
  REGEXMATCH(C9816, ""押金""), ""押金往來"",
  AND(E9816&lt;&gt;"""", F9816=""""), ""真實支出"",
  AND(E9816="""", F9816&lt;&gt;""""), ""真實收入"",
  TRUE, ""其他""
)"),"其他")</f>
        <v>其他</v>
      </c>
      <c r="K9816" s="270" t="str">
        <f t="shared" si="2"/>
        <v/>
      </c>
      <c r="L9816">
        <f t="shared" si="3"/>
        <v>0</v>
      </c>
    </row>
    <row r="9817">
      <c r="A9817" s="107"/>
      <c r="D9817" s="270"/>
      <c r="H9817" s="106" t="str">
        <f t="shared" si="1"/>
        <v/>
      </c>
      <c r="J9817" t="str">
        <f>IFERROR(__xludf.DUMMYFUNCTION("IFS(
  AND(REGEXMATCH(E9817, ""台銀籌備帳戶|玉山帳戶""), REGEXMATCH(C9817, ""薪資"")), ""分潤支出"",
  AND(REGEXMATCH(E9817, ""Ben帳戶|Elsa帳戶|Ben代墊|Ariel代墊|中信銀行共用""), REGEXMATCH(F9817, ""Ben帳戶|Elsa帳戶|Ben代墊|Ariel代墊|中信銀行共用"")), ""內部轉帳(忽略)"",
  AND(E9817&lt;&gt;"""", F9817&lt;&gt;"""", N"&amp;"OT(REGEXMATCH(C9817, ""薪資""))), ""內部轉帳(忽略)"",
  REGEXMATCH(C9817, ""薪資""), ""薪資變動(不計入)"",
  REGEXMATCH(C9817, ""押金""), ""押金往來"",
  AND(E9817&lt;&gt;"""", F9817=""""), ""真實支出"",
  AND(E9817="""", F9817&lt;&gt;""""), ""真實收入"",
  TRUE, ""其他""
)"),"其他")</f>
        <v>其他</v>
      </c>
      <c r="K9817" s="270" t="str">
        <f t="shared" si="2"/>
        <v/>
      </c>
      <c r="L9817">
        <f t="shared" si="3"/>
        <v>0</v>
      </c>
    </row>
    <row r="9818">
      <c r="A9818" s="107"/>
      <c r="D9818" s="270"/>
      <c r="H9818" s="106" t="str">
        <f t="shared" si="1"/>
        <v/>
      </c>
      <c r="J9818" t="str">
        <f>IFERROR(__xludf.DUMMYFUNCTION("IFS(
  AND(REGEXMATCH(E9818, ""台銀籌備帳戶|玉山帳戶""), REGEXMATCH(C9818, ""薪資"")), ""分潤支出"",
  AND(REGEXMATCH(E9818, ""Ben帳戶|Elsa帳戶|Ben代墊|Ariel代墊|中信銀行共用""), REGEXMATCH(F9818, ""Ben帳戶|Elsa帳戶|Ben代墊|Ariel代墊|中信銀行共用"")), ""內部轉帳(忽略)"",
  AND(E9818&lt;&gt;"""", F9818&lt;&gt;"""", N"&amp;"OT(REGEXMATCH(C9818, ""薪資""))), ""內部轉帳(忽略)"",
  REGEXMATCH(C9818, ""薪資""), ""薪資變動(不計入)"",
  REGEXMATCH(C9818, ""押金""), ""押金往來"",
  AND(E9818&lt;&gt;"""", F9818=""""), ""真實支出"",
  AND(E9818="""", F9818&lt;&gt;""""), ""真實收入"",
  TRUE, ""其他""
)"),"其他")</f>
        <v>其他</v>
      </c>
      <c r="K9818" s="270" t="str">
        <f t="shared" si="2"/>
        <v/>
      </c>
      <c r="L9818">
        <f t="shared" si="3"/>
        <v>0</v>
      </c>
    </row>
    <row r="9819">
      <c r="A9819" s="107"/>
      <c r="D9819" s="270"/>
      <c r="H9819" s="106" t="str">
        <f t="shared" si="1"/>
        <v/>
      </c>
      <c r="J9819" t="str">
        <f>IFERROR(__xludf.DUMMYFUNCTION("IFS(
  AND(REGEXMATCH(E9819, ""台銀籌備帳戶|玉山帳戶""), REGEXMATCH(C9819, ""薪資"")), ""分潤支出"",
  AND(REGEXMATCH(E9819, ""Ben帳戶|Elsa帳戶|Ben代墊|Ariel代墊|中信銀行共用""), REGEXMATCH(F9819, ""Ben帳戶|Elsa帳戶|Ben代墊|Ariel代墊|中信銀行共用"")), ""內部轉帳(忽略)"",
  AND(E9819&lt;&gt;"""", F9819&lt;&gt;"""", N"&amp;"OT(REGEXMATCH(C9819, ""薪資""))), ""內部轉帳(忽略)"",
  REGEXMATCH(C9819, ""薪資""), ""薪資變動(不計入)"",
  REGEXMATCH(C9819, ""押金""), ""押金往來"",
  AND(E9819&lt;&gt;"""", F9819=""""), ""真實支出"",
  AND(E9819="""", F9819&lt;&gt;""""), ""真實收入"",
  TRUE, ""其他""
)"),"其他")</f>
        <v>其他</v>
      </c>
      <c r="K9819" s="270" t="str">
        <f t="shared" si="2"/>
        <v/>
      </c>
      <c r="L9819">
        <f t="shared" si="3"/>
        <v>0</v>
      </c>
    </row>
    <row r="9820">
      <c r="A9820" s="107"/>
      <c r="D9820" s="270"/>
      <c r="H9820" s="106" t="str">
        <f t="shared" si="1"/>
        <v/>
      </c>
      <c r="J9820" t="str">
        <f>IFERROR(__xludf.DUMMYFUNCTION("IFS(
  AND(REGEXMATCH(E9820, ""台銀籌備帳戶|玉山帳戶""), REGEXMATCH(C9820, ""薪資"")), ""分潤支出"",
  AND(REGEXMATCH(E9820, ""Ben帳戶|Elsa帳戶|Ben代墊|Ariel代墊|中信銀行共用""), REGEXMATCH(F9820, ""Ben帳戶|Elsa帳戶|Ben代墊|Ariel代墊|中信銀行共用"")), ""內部轉帳(忽略)"",
  AND(E9820&lt;&gt;"""", F9820&lt;&gt;"""", N"&amp;"OT(REGEXMATCH(C9820, ""薪資""))), ""內部轉帳(忽略)"",
  REGEXMATCH(C9820, ""薪資""), ""薪資變動(不計入)"",
  REGEXMATCH(C9820, ""押金""), ""押金往來"",
  AND(E9820&lt;&gt;"""", F9820=""""), ""真實支出"",
  AND(E9820="""", F9820&lt;&gt;""""), ""真實收入"",
  TRUE, ""其他""
)"),"其他")</f>
        <v>其他</v>
      </c>
      <c r="K9820" s="270" t="str">
        <f t="shared" si="2"/>
        <v/>
      </c>
      <c r="L9820">
        <f t="shared" si="3"/>
        <v>0</v>
      </c>
    </row>
    <row r="9821">
      <c r="A9821" s="107"/>
      <c r="D9821" s="270"/>
      <c r="H9821" s="106" t="str">
        <f t="shared" si="1"/>
        <v/>
      </c>
      <c r="J9821" t="str">
        <f>IFERROR(__xludf.DUMMYFUNCTION("IFS(
  AND(REGEXMATCH(E9821, ""台銀籌備帳戶|玉山帳戶""), REGEXMATCH(C9821, ""薪資"")), ""分潤支出"",
  AND(REGEXMATCH(E9821, ""Ben帳戶|Elsa帳戶|Ben代墊|Ariel代墊|中信銀行共用""), REGEXMATCH(F9821, ""Ben帳戶|Elsa帳戶|Ben代墊|Ariel代墊|中信銀行共用"")), ""內部轉帳(忽略)"",
  AND(E9821&lt;&gt;"""", F9821&lt;&gt;"""", N"&amp;"OT(REGEXMATCH(C9821, ""薪資""))), ""內部轉帳(忽略)"",
  REGEXMATCH(C9821, ""薪資""), ""薪資變動(不計入)"",
  REGEXMATCH(C9821, ""押金""), ""押金往來"",
  AND(E9821&lt;&gt;"""", F9821=""""), ""真實支出"",
  AND(E9821="""", F9821&lt;&gt;""""), ""真實收入"",
  TRUE, ""其他""
)"),"其他")</f>
        <v>其他</v>
      </c>
      <c r="K9821" s="270" t="str">
        <f t="shared" si="2"/>
        <v/>
      </c>
      <c r="L9821">
        <f t="shared" si="3"/>
        <v>0</v>
      </c>
    </row>
    <row r="9822">
      <c r="A9822" s="107"/>
      <c r="D9822" s="270"/>
      <c r="H9822" s="106" t="str">
        <f t="shared" si="1"/>
        <v/>
      </c>
      <c r="J9822" t="str">
        <f>IFERROR(__xludf.DUMMYFUNCTION("IFS(
  AND(REGEXMATCH(E9822, ""台銀籌備帳戶|玉山帳戶""), REGEXMATCH(C9822, ""薪資"")), ""分潤支出"",
  AND(REGEXMATCH(E9822, ""Ben帳戶|Elsa帳戶|Ben代墊|Ariel代墊|中信銀行共用""), REGEXMATCH(F9822, ""Ben帳戶|Elsa帳戶|Ben代墊|Ariel代墊|中信銀行共用"")), ""內部轉帳(忽略)"",
  AND(E9822&lt;&gt;"""", F9822&lt;&gt;"""", N"&amp;"OT(REGEXMATCH(C9822, ""薪資""))), ""內部轉帳(忽略)"",
  REGEXMATCH(C9822, ""薪資""), ""薪資變動(不計入)"",
  REGEXMATCH(C9822, ""押金""), ""押金往來"",
  AND(E9822&lt;&gt;"""", F9822=""""), ""真實支出"",
  AND(E9822="""", F9822&lt;&gt;""""), ""真實收入"",
  TRUE, ""其他""
)"),"其他")</f>
        <v>其他</v>
      </c>
      <c r="K9822" s="270" t="str">
        <f t="shared" si="2"/>
        <v/>
      </c>
      <c r="L9822">
        <f t="shared" si="3"/>
        <v>0</v>
      </c>
    </row>
    <row r="9823">
      <c r="A9823" s="107"/>
      <c r="D9823" s="270"/>
      <c r="H9823" s="106" t="str">
        <f t="shared" si="1"/>
        <v/>
      </c>
      <c r="J9823" t="str">
        <f>IFERROR(__xludf.DUMMYFUNCTION("IFS(
  AND(REGEXMATCH(E9823, ""台銀籌備帳戶|玉山帳戶""), REGEXMATCH(C9823, ""薪資"")), ""分潤支出"",
  AND(REGEXMATCH(E9823, ""Ben帳戶|Elsa帳戶|Ben代墊|Ariel代墊|中信銀行共用""), REGEXMATCH(F9823, ""Ben帳戶|Elsa帳戶|Ben代墊|Ariel代墊|中信銀行共用"")), ""內部轉帳(忽略)"",
  AND(E9823&lt;&gt;"""", F9823&lt;&gt;"""", N"&amp;"OT(REGEXMATCH(C9823, ""薪資""))), ""內部轉帳(忽略)"",
  REGEXMATCH(C9823, ""薪資""), ""薪資變動(不計入)"",
  REGEXMATCH(C9823, ""押金""), ""押金往來"",
  AND(E9823&lt;&gt;"""", F9823=""""), ""真實支出"",
  AND(E9823="""", F9823&lt;&gt;""""), ""真實收入"",
  TRUE, ""其他""
)"),"其他")</f>
        <v>其他</v>
      </c>
      <c r="K9823" s="270" t="str">
        <f t="shared" si="2"/>
        <v/>
      </c>
      <c r="L9823">
        <f t="shared" si="3"/>
        <v>0</v>
      </c>
    </row>
    <row r="9824">
      <c r="A9824" s="107"/>
      <c r="D9824" s="270"/>
      <c r="H9824" s="106" t="str">
        <f t="shared" si="1"/>
        <v/>
      </c>
      <c r="J9824" t="str">
        <f>IFERROR(__xludf.DUMMYFUNCTION("IFS(
  AND(REGEXMATCH(E9824, ""台銀籌備帳戶|玉山帳戶""), REGEXMATCH(C9824, ""薪資"")), ""分潤支出"",
  AND(REGEXMATCH(E9824, ""Ben帳戶|Elsa帳戶|Ben代墊|Ariel代墊|中信銀行共用""), REGEXMATCH(F9824, ""Ben帳戶|Elsa帳戶|Ben代墊|Ariel代墊|中信銀行共用"")), ""內部轉帳(忽略)"",
  AND(E9824&lt;&gt;"""", F9824&lt;&gt;"""", N"&amp;"OT(REGEXMATCH(C9824, ""薪資""))), ""內部轉帳(忽略)"",
  REGEXMATCH(C9824, ""薪資""), ""薪資變動(不計入)"",
  REGEXMATCH(C9824, ""押金""), ""押金往來"",
  AND(E9824&lt;&gt;"""", F9824=""""), ""真實支出"",
  AND(E9824="""", F9824&lt;&gt;""""), ""真實收入"",
  TRUE, ""其他""
)"),"其他")</f>
        <v>其他</v>
      </c>
      <c r="K9824" s="270" t="str">
        <f t="shared" si="2"/>
        <v/>
      </c>
      <c r="L9824">
        <f t="shared" si="3"/>
        <v>0</v>
      </c>
    </row>
    <row r="9825">
      <c r="A9825" s="107"/>
      <c r="D9825" s="270"/>
      <c r="H9825" s="106" t="str">
        <f t="shared" si="1"/>
        <v/>
      </c>
      <c r="J9825" t="str">
        <f>IFERROR(__xludf.DUMMYFUNCTION("IFS(
  AND(REGEXMATCH(E9825, ""台銀籌備帳戶|玉山帳戶""), REGEXMATCH(C9825, ""薪資"")), ""分潤支出"",
  AND(REGEXMATCH(E9825, ""Ben帳戶|Elsa帳戶|Ben代墊|Ariel代墊|中信銀行共用""), REGEXMATCH(F9825, ""Ben帳戶|Elsa帳戶|Ben代墊|Ariel代墊|中信銀行共用"")), ""內部轉帳(忽略)"",
  AND(E9825&lt;&gt;"""", F9825&lt;&gt;"""", N"&amp;"OT(REGEXMATCH(C9825, ""薪資""))), ""內部轉帳(忽略)"",
  REGEXMATCH(C9825, ""薪資""), ""薪資變動(不計入)"",
  REGEXMATCH(C9825, ""押金""), ""押金往來"",
  AND(E9825&lt;&gt;"""", F9825=""""), ""真實支出"",
  AND(E9825="""", F9825&lt;&gt;""""), ""真實收入"",
  TRUE, ""其他""
)"),"其他")</f>
        <v>其他</v>
      </c>
      <c r="K9825" s="270" t="str">
        <f t="shared" si="2"/>
        <v/>
      </c>
      <c r="L9825">
        <f t="shared" si="3"/>
        <v>0</v>
      </c>
    </row>
    <row r="9826">
      <c r="A9826" s="107"/>
      <c r="D9826" s="270"/>
      <c r="H9826" s="106" t="str">
        <f t="shared" si="1"/>
        <v/>
      </c>
      <c r="J9826" t="str">
        <f>IFERROR(__xludf.DUMMYFUNCTION("IFS(
  AND(REGEXMATCH(E9826, ""台銀籌備帳戶|玉山帳戶""), REGEXMATCH(C9826, ""薪資"")), ""分潤支出"",
  AND(REGEXMATCH(E9826, ""Ben帳戶|Elsa帳戶|Ben代墊|Ariel代墊|中信銀行共用""), REGEXMATCH(F9826, ""Ben帳戶|Elsa帳戶|Ben代墊|Ariel代墊|中信銀行共用"")), ""內部轉帳(忽略)"",
  AND(E9826&lt;&gt;"""", F9826&lt;&gt;"""", N"&amp;"OT(REGEXMATCH(C9826, ""薪資""))), ""內部轉帳(忽略)"",
  REGEXMATCH(C9826, ""薪資""), ""薪資變動(不計入)"",
  REGEXMATCH(C9826, ""押金""), ""押金往來"",
  AND(E9826&lt;&gt;"""", F9826=""""), ""真實支出"",
  AND(E9826="""", F9826&lt;&gt;""""), ""真實收入"",
  TRUE, ""其他""
)"),"其他")</f>
        <v>其他</v>
      </c>
      <c r="K9826" s="270" t="str">
        <f t="shared" si="2"/>
        <v/>
      </c>
      <c r="L9826">
        <f t="shared" si="3"/>
        <v>0</v>
      </c>
    </row>
    <row r="9827">
      <c r="A9827" s="107"/>
      <c r="D9827" s="270"/>
      <c r="H9827" s="106" t="str">
        <f t="shared" si="1"/>
        <v/>
      </c>
      <c r="J9827" t="str">
        <f>IFERROR(__xludf.DUMMYFUNCTION("IFS(
  AND(REGEXMATCH(E9827, ""台銀籌備帳戶|玉山帳戶""), REGEXMATCH(C9827, ""薪資"")), ""分潤支出"",
  AND(REGEXMATCH(E9827, ""Ben帳戶|Elsa帳戶|Ben代墊|Ariel代墊|中信銀行共用""), REGEXMATCH(F9827, ""Ben帳戶|Elsa帳戶|Ben代墊|Ariel代墊|中信銀行共用"")), ""內部轉帳(忽略)"",
  AND(E9827&lt;&gt;"""", F9827&lt;&gt;"""", N"&amp;"OT(REGEXMATCH(C9827, ""薪資""))), ""內部轉帳(忽略)"",
  REGEXMATCH(C9827, ""薪資""), ""薪資變動(不計入)"",
  REGEXMATCH(C9827, ""押金""), ""押金往來"",
  AND(E9827&lt;&gt;"""", F9827=""""), ""真實支出"",
  AND(E9827="""", F9827&lt;&gt;""""), ""真實收入"",
  TRUE, ""其他""
)"),"其他")</f>
        <v>其他</v>
      </c>
      <c r="K9827" s="270" t="str">
        <f t="shared" si="2"/>
        <v/>
      </c>
      <c r="L9827">
        <f t="shared" si="3"/>
        <v>0</v>
      </c>
    </row>
    <row r="9828">
      <c r="A9828" s="107"/>
      <c r="D9828" s="270"/>
      <c r="H9828" s="106" t="str">
        <f t="shared" si="1"/>
        <v/>
      </c>
      <c r="J9828" t="str">
        <f>IFERROR(__xludf.DUMMYFUNCTION("IFS(
  AND(REGEXMATCH(E9828, ""台銀籌備帳戶|玉山帳戶""), REGEXMATCH(C9828, ""薪資"")), ""分潤支出"",
  AND(REGEXMATCH(E9828, ""Ben帳戶|Elsa帳戶|Ben代墊|Ariel代墊|中信銀行共用""), REGEXMATCH(F9828, ""Ben帳戶|Elsa帳戶|Ben代墊|Ariel代墊|中信銀行共用"")), ""內部轉帳(忽略)"",
  AND(E9828&lt;&gt;"""", F9828&lt;&gt;"""", N"&amp;"OT(REGEXMATCH(C9828, ""薪資""))), ""內部轉帳(忽略)"",
  REGEXMATCH(C9828, ""薪資""), ""薪資變動(不計入)"",
  REGEXMATCH(C9828, ""押金""), ""押金往來"",
  AND(E9828&lt;&gt;"""", F9828=""""), ""真實支出"",
  AND(E9828="""", F9828&lt;&gt;""""), ""真實收入"",
  TRUE, ""其他""
)"),"其他")</f>
        <v>其他</v>
      </c>
      <c r="K9828" s="270" t="str">
        <f t="shared" si="2"/>
        <v/>
      </c>
      <c r="L9828">
        <f t="shared" si="3"/>
        <v>0</v>
      </c>
    </row>
    <row r="9829">
      <c r="A9829" s="107"/>
      <c r="D9829" s="270"/>
      <c r="H9829" s="106" t="str">
        <f t="shared" si="1"/>
        <v/>
      </c>
      <c r="J9829" t="str">
        <f>IFERROR(__xludf.DUMMYFUNCTION("IFS(
  AND(REGEXMATCH(E9829, ""台銀籌備帳戶|玉山帳戶""), REGEXMATCH(C9829, ""薪資"")), ""分潤支出"",
  AND(REGEXMATCH(E9829, ""Ben帳戶|Elsa帳戶|Ben代墊|Ariel代墊|中信銀行共用""), REGEXMATCH(F9829, ""Ben帳戶|Elsa帳戶|Ben代墊|Ariel代墊|中信銀行共用"")), ""內部轉帳(忽略)"",
  AND(E9829&lt;&gt;"""", F9829&lt;&gt;"""", N"&amp;"OT(REGEXMATCH(C9829, ""薪資""))), ""內部轉帳(忽略)"",
  REGEXMATCH(C9829, ""薪資""), ""薪資變動(不計入)"",
  REGEXMATCH(C9829, ""押金""), ""押金往來"",
  AND(E9829&lt;&gt;"""", F9829=""""), ""真實支出"",
  AND(E9829="""", F9829&lt;&gt;""""), ""真實收入"",
  TRUE, ""其他""
)"),"其他")</f>
        <v>其他</v>
      </c>
      <c r="K9829" s="270" t="str">
        <f t="shared" si="2"/>
        <v/>
      </c>
      <c r="L9829">
        <f t="shared" si="3"/>
        <v>0</v>
      </c>
    </row>
    <row r="9830">
      <c r="A9830" s="107"/>
      <c r="D9830" s="270"/>
      <c r="H9830" s="106" t="str">
        <f t="shared" si="1"/>
        <v/>
      </c>
      <c r="J9830" t="str">
        <f>IFERROR(__xludf.DUMMYFUNCTION("IFS(
  AND(REGEXMATCH(E9830, ""台銀籌備帳戶|玉山帳戶""), REGEXMATCH(C9830, ""薪資"")), ""分潤支出"",
  AND(REGEXMATCH(E9830, ""Ben帳戶|Elsa帳戶|Ben代墊|Ariel代墊|中信銀行共用""), REGEXMATCH(F9830, ""Ben帳戶|Elsa帳戶|Ben代墊|Ariel代墊|中信銀行共用"")), ""內部轉帳(忽略)"",
  AND(E9830&lt;&gt;"""", F9830&lt;&gt;"""", N"&amp;"OT(REGEXMATCH(C9830, ""薪資""))), ""內部轉帳(忽略)"",
  REGEXMATCH(C9830, ""薪資""), ""薪資變動(不計入)"",
  REGEXMATCH(C9830, ""押金""), ""押金往來"",
  AND(E9830&lt;&gt;"""", F9830=""""), ""真實支出"",
  AND(E9830="""", F9830&lt;&gt;""""), ""真實收入"",
  TRUE, ""其他""
)"),"其他")</f>
        <v>其他</v>
      </c>
      <c r="K9830" s="270" t="str">
        <f t="shared" si="2"/>
        <v/>
      </c>
      <c r="L9830">
        <f t="shared" si="3"/>
        <v>0</v>
      </c>
    </row>
    <row r="9831">
      <c r="A9831" s="107"/>
      <c r="D9831" s="270"/>
      <c r="H9831" s="106" t="str">
        <f t="shared" si="1"/>
        <v/>
      </c>
      <c r="J9831" t="str">
        <f>IFERROR(__xludf.DUMMYFUNCTION("IFS(
  AND(REGEXMATCH(E9831, ""台銀籌備帳戶|玉山帳戶""), REGEXMATCH(C9831, ""薪資"")), ""分潤支出"",
  AND(REGEXMATCH(E9831, ""Ben帳戶|Elsa帳戶|Ben代墊|Ariel代墊|中信銀行共用""), REGEXMATCH(F9831, ""Ben帳戶|Elsa帳戶|Ben代墊|Ariel代墊|中信銀行共用"")), ""內部轉帳(忽略)"",
  AND(E9831&lt;&gt;"""", F9831&lt;&gt;"""", N"&amp;"OT(REGEXMATCH(C9831, ""薪資""))), ""內部轉帳(忽略)"",
  REGEXMATCH(C9831, ""薪資""), ""薪資變動(不計入)"",
  REGEXMATCH(C9831, ""押金""), ""押金往來"",
  AND(E9831&lt;&gt;"""", F9831=""""), ""真實支出"",
  AND(E9831="""", F9831&lt;&gt;""""), ""真實收入"",
  TRUE, ""其他""
)"),"其他")</f>
        <v>其他</v>
      </c>
      <c r="K9831" s="270" t="str">
        <f t="shared" si="2"/>
        <v/>
      </c>
      <c r="L9831">
        <f t="shared" si="3"/>
        <v>0</v>
      </c>
    </row>
    <row r="9832">
      <c r="A9832" s="107"/>
      <c r="D9832" s="270"/>
      <c r="H9832" s="106" t="str">
        <f t="shared" si="1"/>
        <v/>
      </c>
      <c r="J9832" t="str">
        <f>IFERROR(__xludf.DUMMYFUNCTION("IFS(
  AND(REGEXMATCH(E9832, ""台銀籌備帳戶|玉山帳戶""), REGEXMATCH(C9832, ""薪資"")), ""分潤支出"",
  AND(REGEXMATCH(E9832, ""Ben帳戶|Elsa帳戶|Ben代墊|Ariel代墊|中信銀行共用""), REGEXMATCH(F9832, ""Ben帳戶|Elsa帳戶|Ben代墊|Ariel代墊|中信銀行共用"")), ""內部轉帳(忽略)"",
  AND(E9832&lt;&gt;"""", F9832&lt;&gt;"""", N"&amp;"OT(REGEXMATCH(C9832, ""薪資""))), ""內部轉帳(忽略)"",
  REGEXMATCH(C9832, ""薪資""), ""薪資變動(不計入)"",
  REGEXMATCH(C9832, ""押金""), ""押金往來"",
  AND(E9832&lt;&gt;"""", F9832=""""), ""真實支出"",
  AND(E9832="""", F9832&lt;&gt;""""), ""真實收入"",
  TRUE, ""其他""
)"),"其他")</f>
        <v>其他</v>
      </c>
      <c r="K9832" s="270" t="str">
        <f t="shared" si="2"/>
        <v/>
      </c>
      <c r="L9832">
        <f t="shared" si="3"/>
        <v>0</v>
      </c>
    </row>
    <row r="9833">
      <c r="A9833" s="107"/>
      <c r="D9833" s="270"/>
      <c r="H9833" s="106" t="str">
        <f t="shared" si="1"/>
        <v/>
      </c>
      <c r="J9833" t="str">
        <f>IFERROR(__xludf.DUMMYFUNCTION("IFS(
  AND(REGEXMATCH(E9833, ""台銀籌備帳戶|玉山帳戶""), REGEXMATCH(C9833, ""薪資"")), ""分潤支出"",
  AND(REGEXMATCH(E9833, ""Ben帳戶|Elsa帳戶|Ben代墊|Ariel代墊|中信銀行共用""), REGEXMATCH(F9833, ""Ben帳戶|Elsa帳戶|Ben代墊|Ariel代墊|中信銀行共用"")), ""內部轉帳(忽略)"",
  AND(E9833&lt;&gt;"""", F9833&lt;&gt;"""", N"&amp;"OT(REGEXMATCH(C9833, ""薪資""))), ""內部轉帳(忽略)"",
  REGEXMATCH(C9833, ""薪資""), ""薪資變動(不計入)"",
  REGEXMATCH(C9833, ""押金""), ""押金往來"",
  AND(E9833&lt;&gt;"""", F9833=""""), ""真實支出"",
  AND(E9833="""", F9833&lt;&gt;""""), ""真實收入"",
  TRUE, ""其他""
)"),"其他")</f>
        <v>其他</v>
      </c>
      <c r="K9833" s="270" t="str">
        <f t="shared" si="2"/>
        <v/>
      </c>
      <c r="L9833">
        <f t="shared" si="3"/>
        <v>0</v>
      </c>
    </row>
    <row r="9834">
      <c r="A9834" s="107"/>
      <c r="D9834" s="270"/>
      <c r="H9834" s="106" t="str">
        <f t="shared" si="1"/>
        <v/>
      </c>
      <c r="J9834" t="str">
        <f>IFERROR(__xludf.DUMMYFUNCTION("IFS(
  AND(REGEXMATCH(E9834, ""台銀籌備帳戶|玉山帳戶""), REGEXMATCH(C9834, ""薪資"")), ""分潤支出"",
  AND(REGEXMATCH(E9834, ""Ben帳戶|Elsa帳戶|Ben代墊|Ariel代墊|中信銀行共用""), REGEXMATCH(F9834, ""Ben帳戶|Elsa帳戶|Ben代墊|Ariel代墊|中信銀行共用"")), ""內部轉帳(忽略)"",
  AND(E9834&lt;&gt;"""", F9834&lt;&gt;"""", N"&amp;"OT(REGEXMATCH(C9834, ""薪資""))), ""內部轉帳(忽略)"",
  REGEXMATCH(C9834, ""薪資""), ""薪資變動(不計入)"",
  REGEXMATCH(C9834, ""押金""), ""押金往來"",
  AND(E9834&lt;&gt;"""", F9834=""""), ""真實支出"",
  AND(E9834="""", F9834&lt;&gt;""""), ""真實收入"",
  TRUE, ""其他""
)"),"其他")</f>
        <v>其他</v>
      </c>
      <c r="K9834" s="270" t="str">
        <f t="shared" si="2"/>
        <v/>
      </c>
      <c r="L9834">
        <f t="shared" si="3"/>
        <v>0</v>
      </c>
    </row>
    <row r="9835">
      <c r="A9835" s="107"/>
      <c r="D9835" s="270"/>
      <c r="H9835" s="106" t="str">
        <f t="shared" si="1"/>
        <v/>
      </c>
      <c r="J9835" t="str">
        <f>IFERROR(__xludf.DUMMYFUNCTION("IFS(
  AND(REGEXMATCH(E9835, ""台銀籌備帳戶|玉山帳戶""), REGEXMATCH(C9835, ""薪資"")), ""分潤支出"",
  AND(REGEXMATCH(E9835, ""Ben帳戶|Elsa帳戶|Ben代墊|Ariel代墊|中信銀行共用""), REGEXMATCH(F9835, ""Ben帳戶|Elsa帳戶|Ben代墊|Ariel代墊|中信銀行共用"")), ""內部轉帳(忽略)"",
  AND(E9835&lt;&gt;"""", F9835&lt;&gt;"""", N"&amp;"OT(REGEXMATCH(C9835, ""薪資""))), ""內部轉帳(忽略)"",
  REGEXMATCH(C9835, ""薪資""), ""薪資變動(不計入)"",
  REGEXMATCH(C9835, ""押金""), ""押金往來"",
  AND(E9835&lt;&gt;"""", F9835=""""), ""真實支出"",
  AND(E9835="""", F9835&lt;&gt;""""), ""真實收入"",
  TRUE, ""其他""
)"),"其他")</f>
        <v>其他</v>
      </c>
      <c r="K9835" s="270" t="str">
        <f t="shared" si="2"/>
        <v/>
      </c>
      <c r="L9835">
        <f t="shared" si="3"/>
        <v>0</v>
      </c>
    </row>
    <row r="9836">
      <c r="A9836" s="107"/>
      <c r="D9836" s="270"/>
      <c r="H9836" s="106" t="str">
        <f t="shared" si="1"/>
        <v/>
      </c>
      <c r="J9836" t="str">
        <f>IFERROR(__xludf.DUMMYFUNCTION("IFS(
  AND(REGEXMATCH(E9836, ""台銀籌備帳戶|玉山帳戶""), REGEXMATCH(C9836, ""薪資"")), ""分潤支出"",
  AND(REGEXMATCH(E9836, ""Ben帳戶|Elsa帳戶|Ben代墊|Ariel代墊|中信銀行共用""), REGEXMATCH(F9836, ""Ben帳戶|Elsa帳戶|Ben代墊|Ariel代墊|中信銀行共用"")), ""內部轉帳(忽略)"",
  AND(E9836&lt;&gt;"""", F9836&lt;&gt;"""", N"&amp;"OT(REGEXMATCH(C9836, ""薪資""))), ""內部轉帳(忽略)"",
  REGEXMATCH(C9836, ""薪資""), ""薪資變動(不計入)"",
  REGEXMATCH(C9836, ""押金""), ""押金往來"",
  AND(E9836&lt;&gt;"""", F9836=""""), ""真實支出"",
  AND(E9836="""", F9836&lt;&gt;""""), ""真實收入"",
  TRUE, ""其他""
)"),"其他")</f>
        <v>其他</v>
      </c>
      <c r="K9836" s="270" t="str">
        <f t="shared" si="2"/>
        <v/>
      </c>
      <c r="L9836">
        <f t="shared" si="3"/>
        <v>0</v>
      </c>
    </row>
    <row r="9837">
      <c r="A9837" s="107"/>
      <c r="D9837" s="270"/>
      <c r="H9837" s="106" t="str">
        <f t="shared" si="1"/>
        <v/>
      </c>
      <c r="J9837" t="str">
        <f>IFERROR(__xludf.DUMMYFUNCTION("IFS(
  AND(REGEXMATCH(E9837, ""台銀籌備帳戶|玉山帳戶""), REGEXMATCH(C9837, ""薪資"")), ""分潤支出"",
  AND(REGEXMATCH(E9837, ""Ben帳戶|Elsa帳戶|Ben代墊|Ariel代墊|中信銀行共用""), REGEXMATCH(F9837, ""Ben帳戶|Elsa帳戶|Ben代墊|Ariel代墊|中信銀行共用"")), ""內部轉帳(忽略)"",
  AND(E9837&lt;&gt;"""", F9837&lt;&gt;"""", N"&amp;"OT(REGEXMATCH(C9837, ""薪資""))), ""內部轉帳(忽略)"",
  REGEXMATCH(C9837, ""薪資""), ""薪資變動(不計入)"",
  REGEXMATCH(C9837, ""押金""), ""押金往來"",
  AND(E9837&lt;&gt;"""", F9837=""""), ""真實支出"",
  AND(E9837="""", F9837&lt;&gt;""""), ""真實收入"",
  TRUE, ""其他""
)"),"其他")</f>
        <v>其他</v>
      </c>
      <c r="K9837" s="270" t="str">
        <f t="shared" si="2"/>
        <v/>
      </c>
      <c r="L9837">
        <f t="shared" si="3"/>
        <v>0</v>
      </c>
    </row>
    <row r="9838">
      <c r="A9838" s="107"/>
      <c r="D9838" s="270"/>
      <c r="H9838" s="106" t="str">
        <f t="shared" si="1"/>
        <v/>
      </c>
      <c r="J9838" t="str">
        <f>IFERROR(__xludf.DUMMYFUNCTION("IFS(
  AND(REGEXMATCH(E9838, ""台銀籌備帳戶|玉山帳戶""), REGEXMATCH(C9838, ""薪資"")), ""分潤支出"",
  AND(REGEXMATCH(E9838, ""Ben帳戶|Elsa帳戶|Ben代墊|Ariel代墊|中信銀行共用""), REGEXMATCH(F9838, ""Ben帳戶|Elsa帳戶|Ben代墊|Ariel代墊|中信銀行共用"")), ""內部轉帳(忽略)"",
  AND(E9838&lt;&gt;"""", F9838&lt;&gt;"""", N"&amp;"OT(REGEXMATCH(C9838, ""薪資""))), ""內部轉帳(忽略)"",
  REGEXMATCH(C9838, ""薪資""), ""薪資變動(不計入)"",
  REGEXMATCH(C9838, ""押金""), ""押金往來"",
  AND(E9838&lt;&gt;"""", F9838=""""), ""真實支出"",
  AND(E9838="""", F9838&lt;&gt;""""), ""真實收入"",
  TRUE, ""其他""
)"),"其他")</f>
        <v>其他</v>
      </c>
      <c r="K9838" s="270" t="str">
        <f t="shared" si="2"/>
        <v/>
      </c>
      <c r="L9838">
        <f t="shared" si="3"/>
        <v>0</v>
      </c>
    </row>
    <row r="9839">
      <c r="A9839" s="107"/>
      <c r="D9839" s="270"/>
      <c r="H9839" s="106" t="str">
        <f t="shared" si="1"/>
        <v/>
      </c>
      <c r="J9839" t="str">
        <f>IFERROR(__xludf.DUMMYFUNCTION("IFS(
  AND(REGEXMATCH(E9839, ""台銀籌備帳戶|玉山帳戶""), REGEXMATCH(C9839, ""薪資"")), ""分潤支出"",
  AND(REGEXMATCH(E9839, ""Ben帳戶|Elsa帳戶|Ben代墊|Ariel代墊|中信銀行共用""), REGEXMATCH(F9839, ""Ben帳戶|Elsa帳戶|Ben代墊|Ariel代墊|中信銀行共用"")), ""內部轉帳(忽略)"",
  AND(E9839&lt;&gt;"""", F9839&lt;&gt;"""", N"&amp;"OT(REGEXMATCH(C9839, ""薪資""))), ""內部轉帳(忽略)"",
  REGEXMATCH(C9839, ""薪資""), ""薪資變動(不計入)"",
  REGEXMATCH(C9839, ""押金""), ""押金往來"",
  AND(E9839&lt;&gt;"""", F9839=""""), ""真實支出"",
  AND(E9839="""", F9839&lt;&gt;""""), ""真實收入"",
  TRUE, ""其他""
)"),"其他")</f>
        <v>其他</v>
      </c>
      <c r="K9839" s="270" t="str">
        <f t="shared" si="2"/>
        <v/>
      </c>
      <c r="L9839">
        <f t="shared" si="3"/>
        <v>0</v>
      </c>
    </row>
    <row r="9840">
      <c r="A9840" s="107"/>
      <c r="D9840" s="270"/>
      <c r="H9840" s="106" t="str">
        <f t="shared" si="1"/>
        <v/>
      </c>
      <c r="J9840" t="str">
        <f>IFERROR(__xludf.DUMMYFUNCTION("IFS(
  AND(REGEXMATCH(E9840, ""台銀籌備帳戶|玉山帳戶""), REGEXMATCH(C9840, ""薪資"")), ""分潤支出"",
  AND(REGEXMATCH(E9840, ""Ben帳戶|Elsa帳戶|Ben代墊|Ariel代墊|中信銀行共用""), REGEXMATCH(F9840, ""Ben帳戶|Elsa帳戶|Ben代墊|Ariel代墊|中信銀行共用"")), ""內部轉帳(忽略)"",
  AND(E9840&lt;&gt;"""", F9840&lt;&gt;"""", N"&amp;"OT(REGEXMATCH(C9840, ""薪資""))), ""內部轉帳(忽略)"",
  REGEXMATCH(C9840, ""薪資""), ""薪資變動(不計入)"",
  REGEXMATCH(C9840, ""押金""), ""押金往來"",
  AND(E9840&lt;&gt;"""", F9840=""""), ""真實支出"",
  AND(E9840="""", F9840&lt;&gt;""""), ""真實收入"",
  TRUE, ""其他""
)"),"其他")</f>
        <v>其他</v>
      </c>
      <c r="K9840" s="270" t="str">
        <f t="shared" si="2"/>
        <v/>
      </c>
      <c r="L9840">
        <f t="shared" si="3"/>
        <v>0</v>
      </c>
    </row>
    <row r="9841">
      <c r="A9841" s="107"/>
      <c r="D9841" s="270"/>
      <c r="H9841" s="106" t="str">
        <f t="shared" si="1"/>
        <v/>
      </c>
      <c r="J9841" t="str">
        <f>IFERROR(__xludf.DUMMYFUNCTION("IFS(
  AND(REGEXMATCH(E9841, ""台銀籌備帳戶|玉山帳戶""), REGEXMATCH(C9841, ""薪資"")), ""分潤支出"",
  AND(REGEXMATCH(E9841, ""Ben帳戶|Elsa帳戶|Ben代墊|Ariel代墊|中信銀行共用""), REGEXMATCH(F9841, ""Ben帳戶|Elsa帳戶|Ben代墊|Ariel代墊|中信銀行共用"")), ""內部轉帳(忽略)"",
  AND(E9841&lt;&gt;"""", F9841&lt;&gt;"""", N"&amp;"OT(REGEXMATCH(C9841, ""薪資""))), ""內部轉帳(忽略)"",
  REGEXMATCH(C9841, ""薪資""), ""薪資變動(不計入)"",
  REGEXMATCH(C9841, ""押金""), ""押金往來"",
  AND(E9841&lt;&gt;"""", F9841=""""), ""真實支出"",
  AND(E9841="""", F9841&lt;&gt;""""), ""真實收入"",
  TRUE, ""其他""
)"),"其他")</f>
        <v>其他</v>
      </c>
      <c r="K9841" s="270" t="str">
        <f t="shared" si="2"/>
        <v/>
      </c>
      <c r="L9841">
        <f t="shared" si="3"/>
        <v>0</v>
      </c>
    </row>
    <row r="9842">
      <c r="A9842" s="107"/>
      <c r="D9842" s="270"/>
      <c r="H9842" s="106" t="str">
        <f t="shared" si="1"/>
        <v/>
      </c>
      <c r="J9842" t="str">
        <f>IFERROR(__xludf.DUMMYFUNCTION("IFS(
  AND(REGEXMATCH(E9842, ""台銀籌備帳戶|玉山帳戶""), REGEXMATCH(C9842, ""薪資"")), ""分潤支出"",
  AND(REGEXMATCH(E9842, ""Ben帳戶|Elsa帳戶|Ben代墊|Ariel代墊|中信銀行共用""), REGEXMATCH(F9842, ""Ben帳戶|Elsa帳戶|Ben代墊|Ariel代墊|中信銀行共用"")), ""內部轉帳(忽略)"",
  AND(E9842&lt;&gt;"""", F9842&lt;&gt;"""", N"&amp;"OT(REGEXMATCH(C9842, ""薪資""))), ""內部轉帳(忽略)"",
  REGEXMATCH(C9842, ""薪資""), ""薪資變動(不計入)"",
  REGEXMATCH(C9842, ""押金""), ""押金往來"",
  AND(E9842&lt;&gt;"""", F9842=""""), ""真實支出"",
  AND(E9842="""", F9842&lt;&gt;""""), ""真實收入"",
  TRUE, ""其他""
)"),"其他")</f>
        <v>其他</v>
      </c>
      <c r="K9842" s="270" t="str">
        <f t="shared" si="2"/>
        <v/>
      </c>
      <c r="L9842">
        <f t="shared" si="3"/>
        <v>0</v>
      </c>
    </row>
    <row r="9843">
      <c r="A9843" s="107"/>
      <c r="D9843" s="270"/>
      <c r="H9843" s="106" t="str">
        <f t="shared" si="1"/>
        <v/>
      </c>
      <c r="J9843" t="str">
        <f>IFERROR(__xludf.DUMMYFUNCTION("IFS(
  AND(REGEXMATCH(E9843, ""台銀籌備帳戶|玉山帳戶""), REGEXMATCH(C9843, ""薪資"")), ""分潤支出"",
  AND(REGEXMATCH(E9843, ""Ben帳戶|Elsa帳戶|Ben代墊|Ariel代墊|中信銀行共用""), REGEXMATCH(F9843, ""Ben帳戶|Elsa帳戶|Ben代墊|Ariel代墊|中信銀行共用"")), ""內部轉帳(忽略)"",
  AND(E9843&lt;&gt;"""", F9843&lt;&gt;"""", N"&amp;"OT(REGEXMATCH(C9843, ""薪資""))), ""內部轉帳(忽略)"",
  REGEXMATCH(C9843, ""薪資""), ""薪資變動(不計入)"",
  REGEXMATCH(C9843, ""押金""), ""押金往來"",
  AND(E9843&lt;&gt;"""", F9843=""""), ""真實支出"",
  AND(E9843="""", F9843&lt;&gt;""""), ""真實收入"",
  TRUE, ""其他""
)"),"其他")</f>
        <v>其他</v>
      </c>
      <c r="K9843" s="270" t="str">
        <f t="shared" si="2"/>
        <v/>
      </c>
      <c r="L9843">
        <f t="shared" si="3"/>
        <v>0</v>
      </c>
    </row>
    <row r="9844">
      <c r="A9844" s="107"/>
      <c r="D9844" s="270"/>
      <c r="H9844" s="106" t="str">
        <f t="shared" si="1"/>
        <v/>
      </c>
      <c r="J9844" t="str">
        <f>IFERROR(__xludf.DUMMYFUNCTION("IFS(
  AND(REGEXMATCH(E9844, ""台銀籌備帳戶|玉山帳戶""), REGEXMATCH(C9844, ""薪資"")), ""分潤支出"",
  AND(REGEXMATCH(E9844, ""Ben帳戶|Elsa帳戶|Ben代墊|Ariel代墊|中信銀行共用""), REGEXMATCH(F9844, ""Ben帳戶|Elsa帳戶|Ben代墊|Ariel代墊|中信銀行共用"")), ""內部轉帳(忽略)"",
  AND(E9844&lt;&gt;"""", F9844&lt;&gt;"""", N"&amp;"OT(REGEXMATCH(C9844, ""薪資""))), ""內部轉帳(忽略)"",
  REGEXMATCH(C9844, ""薪資""), ""薪資變動(不計入)"",
  REGEXMATCH(C9844, ""押金""), ""押金往來"",
  AND(E9844&lt;&gt;"""", F9844=""""), ""真實支出"",
  AND(E9844="""", F9844&lt;&gt;""""), ""真實收入"",
  TRUE, ""其他""
)"),"其他")</f>
        <v>其他</v>
      </c>
      <c r="K9844" s="270" t="str">
        <f t="shared" si="2"/>
        <v/>
      </c>
      <c r="L9844">
        <f t="shared" si="3"/>
        <v>0</v>
      </c>
    </row>
    <row r="9845">
      <c r="A9845" s="107"/>
      <c r="D9845" s="270"/>
      <c r="H9845" s="106" t="str">
        <f t="shared" si="1"/>
        <v/>
      </c>
      <c r="J9845" t="str">
        <f>IFERROR(__xludf.DUMMYFUNCTION("IFS(
  AND(REGEXMATCH(E9845, ""台銀籌備帳戶|玉山帳戶""), REGEXMATCH(C9845, ""薪資"")), ""分潤支出"",
  AND(REGEXMATCH(E9845, ""Ben帳戶|Elsa帳戶|Ben代墊|Ariel代墊|中信銀行共用""), REGEXMATCH(F9845, ""Ben帳戶|Elsa帳戶|Ben代墊|Ariel代墊|中信銀行共用"")), ""內部轉帳(忽略)"",
  AND(E9845&lt;&gt;"""", F9845&lt;&gt;"""", N"&amp;"OT(REGEXMATCH(C9845, ""薪資""))), ""內部轉帳(忽略)"",
  REGEXMATCH(C9845, ""薪資""), ""薪資變動(不計入)"",
  REGEXMATCH(C9845, ""押金""), ""押金往來"",
  AND(E9845&lt;&gt;"""", F9845=""""), ""真實支出"",
  AND(E9845="""", F9845&lt;&gt;""""), ""真實收入"",
  TRUE, ""其他""
)"),"其他")</f>
        <v>其他</v>
      </c>
      <c r="K9845" s="270" t="str">
        <f t="shared" si="2"/>
        <v/>
      </c>
      <c r="L9845">
        <f t="shared" si="3"/>
        <v>0</v>
      </c>
    </row>
    <row r="9846">
      <c r="A9846" s="107"/>
      <c r="D9846" s="270"/>
      <c r="H9846" s="106" t="str">
        <f t="shared" si="1"/>
        <v/>
      </c>
      <c r="J9846" t="str">
        <f>IFERROR(__xludf.DUMMYFUNCTION("IFS(
  AND(REGEXMATCH(E9846, ""台銀籌備帳戶|玉山帳戶""), REGEXMATCH(C9846, ""薪資"")), ""分潤支出"",
  AND(REGEXMATCH(E9846, ""Ben帳戶|Elsa帳戶|Ben代墊|Ariel代墊|中信銀行共用""), REGEXMATCH(F9846, ""Ben帳戶|Elsa帳戶|Ben代墊|Ariel代墊|中信銀行共用"")), ""內部轉帳(忽略)"",
  AND(E9846&lt;&gt;"""", F9846&lt;&gt;"""", N"&amp;"OT(REGEXMATCH(C9846, ""薪資""))), ""內部轉帳(忽略)"",
  REGEXMATCH(C9846, ""薪資""), ""薪資變動(不計入)"",
  REGEXMATCH(C9846, ""押金""), ""押金往來"",
  AND(E9846&lt;&gt;"""", F9846=""""), ""真實支出"",
  AND(E9846="""", F9846&lt;&gt;""""), ""真實收入"",
  TRUE, ""其他""
)"),"其他")</f>
        <v>其他</v>
      </c>
      <c r="K9846" s="270" t="str">
        <f t="shared" si="2"/>
        <v/>
      </c>
      <c r="L9846">
        <f t="shared" si="3"/>
        <v>0</v>
      </c>
    </row>
    <row r="9847">
      <c r="A9847" s="107"/>
      <c r="D9847" s="270"/>
      <c r="H9847" s="106" t="str">
        <f t="shared" si="1"/>
        <v/>
      </c>
      <c r="J9847" t="str">
        <f>IFERROR(__xludf.DUMMYFUNCTION("IFS(
  AND(REGEXMATCH(E9847, ""台銀籌備帳戶|玉山帳戶""), REGEXMATCH(C9847, ""薪資"")), ""分潤支出"",
  AND(REGEXMATCH(E9847, ""Ben帳戶|Elsa帳戶|Ben代墊|Ariel代墊|中信銀行共用""), REGEXMATCH(F9847, ""Ben帳戶|Elsa帳戶|Ben代墊|Ariel代墊|中信銀行共用"")), ""內部轉帳(忽略)"",
  AND(E9847&lt;&gt;"""", F9847&lt;&gt;"""", N"&amp;"OT(REGEXMATCH(C9847, ""薪資""))), ""內部轉帳(忽略)"",
  REGEXMATCH(C9847, ""薪資""), ""薪資變動(不計入)"",
  REGEXMATCH(C9847, ""押金""), ""押金往來"",
  AND(E9847&lt;&gt;"""", F9847=""""), ""真實支出"",
  AND(E9847="""", F9847&lt;&gt;""""), ""真實收入"",
  TRUE, ""其他""
)"),"其他")</f>
        <v>其他</v>
      </c>
      <c r="K9847" s="270" t="str">
        <f t="shared" si="2"/>
        <v/>
      </c>
      <c r="L9847">
        <f t="shared" si="3"/>
        <v>0</v>
      </c>
    </row>
    <row r="9848">
      <c r="A9848" s="107"/>
      <c r="D9848" s="270"/>
      <c r="H9848" s="106" t="str">
        <f t="shared" si="1"/>
        <v/>
      </c>
      <c r="J9848" t="str">
        <f>IFERROR(__xludf.DUMMYFUNCTION("IFS(
  AND(REGEXMATCH(E9848, ""台銀籌備帳戶|玉山帳戶""), REGEXMATCH(C9848, ""薪資"")), ""分潤支出"",
  AND(REGEXMATCH(E9848, ""Ben帳戶|Elsa帳戶|Ben代墊|Ariel代墊|中信銀行共用""), REGEXMATCH(F9848, ""Ben帳戶|Elsa帳戶|Ben代墊|Ariel代墊|中信銀行共用"")), ""內部轉帳(忽略)"",
  AND(E9848&lt;&gt;"""", F9848&lt;&gt;"""", N"&amp;"OT(REGEXMATCH(C9848, ""薪資""))), ""內部轉帳(忽略)"",
  REGEXMATCH(C9848, ""薪資""), ""薪資變動(不計入)"",
  REGEXMATCH(C9848, ""押金""), ""押金往來"",
  AND(E9848&lt;&gt;"""", F9848=""""), ""真實支出"",
  AND(E9848="""", F9848&lt;&gt;""""), ""真實收入"",
  TRUE, ""其他""
)"),"其他")</f>
        <v>其他</v>
      </c>
      <c r="K9848" s="270" t="str">
        <f t="shared" si="2"/>
        <v/>
      </c>
      <c r="L9848">
        <f t="shared" si="3"/>
        <v>0</v>
      </c>
    </row>
    <row r="9849">
      <c r="A9849" s="107"/>
      <c r="D9849" s="270"/>
      <c r="H9849" s="106" t="str">
        <f t="shared" si="1"/>
        <v/>
      </c>
      <c r="J9849" t="str">
        <f>IFERROR(__xludf.DUMMYFUNCTION("IFS(
  AND(REGEXMATCH(E9849, ""台銀籌備帳戶|玉山帳戶""), REGEXMATCH(C9849, ""薪資"")), ""分潤支出"",
  AND(REGEXMATCH(E9849, ""Ben帳戶|Elsa帳戶|Ben代墊|Ariel代墊|中信銀行共用""), REGEXMATCH(F9849, ""Ben帳戶|Elsa帳戶|Ben代墊|Ariel代墊|中信銀行共用"")), ""內部轉帳(忽略)"",
  AND(E9849&lt;&gt;"""", F9849&lt;&gt;"""", N"&amp;"OT(REGEXMATCH(C9849, ""薪資""))), ""內部轉帳(忽略)"",
  REGEXMATCH(C9849, ""薪資""), ""薪資變動(不計入)"",
  REGEXMATCH(C9849, ""押金""), ""押金往來"",
  AND(E9849&lt;&gt;"""", F9849=""""), ""真實支出"",
  AND(E9849="""", F9849&lt;&gt;""""), ""真實收入"",
  TRUE, ""其他""
)"),"其他")</f>
        <v>其他</v>
      </c>
      <c r="K9849" s="270" t="str">
        <f t="shared" si="2"/>
        <v/>
      </c>
      <c r="L9849">
        <f t="shared" si="3"/>
        <v>0</v>
      </c>
    </row>
    <row r="9850">
      <c r="A9850" s="107"/>
      <c r="D9850" s="270"/>
      <c r="H9850" s="106" t="str">
        <f t="shared" si="1"/>
        <v/>
      </c>
      <c r="J9850" t="str">
        <f>IFERROR(__xludf.DUMMYFUNCTION("IFS(
  AND(REGEXMATCH(E9850, ""台銀籌備帳戶|玉山帳戶""), REGEXMATCH(C9850, ""薪資"")), ""分潤支出"",
  AND(REGEXMATCH(E9850, ""Ben帳戶|Elsa帳戶|Ben代墊|Ariel代墊|中信銀行共用""), REGEXMATCH(F9850, ""Ben帳戶|Elsa帳戶|Ben代墊|Ariel代墊|中信銀行共用"")), ""內部轉帳(忽略)"",
  AND(E9850&lt;&gt;"""", F9850&lt;&gt;"""", N"&amp;"OT(REGEXMATCH(C9850, ""薪資""))), ""內部轉帳(忽略)"",
  REGEXMATCH(C9850, ""薪資""), ""薪資變動(不計入)"",
  REGEXMATCH(C9850, ""押金""), ""押金往來"",
  AND(E9850&lt;&gt;"""", F9850=""""), ""真實支出"",
  AND(E9850="""", F9850&lt;&gt;""""), ""真實收入"",
  TRUE, ""其他""
)"),"其他")</f>
        <v>其他</v>
      </c>
      <c r="K9850" s="270" t="str">
        <f t="shared" si="2"/>
        <v/>
      </c>
      <c r="L9850">
        <f t="shared" si="3"/>
        <v>0</v>
      </c>
    </row>
    <row r="9851">
      <c r="A9851" s="107"/>
      <c r="D9851" s="270"/>
      <c r="H9851" s="106" t="str">
        <f t="shared" si="1"/>
        <v/>
      </c>
      <c r="J9851" t="str">
        <f>IFERROR(__xludf.DUMMYFUNCTION("IFS(
  AND(REGEXMATCH(E9851, ""台銀籌備帳戶|玉山帳戶""), REGEXMATCH(C9851, ""薪資"")), ""分潤支出"",
  AND(REGEXMATCH(E9851, ""Ben帳戶|Elsa帳戶|Ben代墊|Ariel代墊|中信銀行共用""), REGEXMATCH(F9851, ""Ben帳戶|Elsa帳戶|Ben代墊|Ariel代墊|中信銀行共用"")), ""內部轉帳(忽略)"",
  AND(E9851&lt;&gt;"""", F9851&lt;&gt;"""", N"&amp;"OT(REGEXMATCH(C9851, ""薪資""))), ""內部轉帳(忽略)"",
  REGEXMATCH(C9851, ""薪資""), ""薪資變動(不計入)"",
  REGEXMATCH(C9851, ""押金""), ""押金往來"",
  AND(E9851&lt;&gt;"""", F9851=""""), ""真實支出"",
  AND(E9851="""", F9851&lt;&gt;""""), ""真實收入"",
  TRUE, ""其他""
)"),"其他")</f>
        <v>其他</v>
      </c>
      <c r="K9851" s="270" t="str">
        <f t="shared" si="2"/>
        <v/>
      </c>
      <c r="L9851">
        <f t="shared" si="3"/>
        <v>0</v>
      </c>
    </row>
    <row r="9852">
      <c r="A9852" s="107"/>
      <c r="D9852" s="270"/>
      <c r="H9852" s="106" t="str">
        <f t="shared" si="1"/>
        <v/>
      </c>
      <c r="J9852" t="str">
        <f>IFERROR(__xludf.DUMMYFUNCTION("IFS(
  AND(REGEXMATCH(E9852, ""台銀籌備帳戶|玉山帳戶""), REGEXMATCH(C9852, ""薪資"")), ""分潤支出"",
  AND(REGEXMATCH(E9852, ""Ben帳戶|Elsa帳戶|Ben代墊|Ariel代墊|中信銀行共用""), REGEXMATCH(F9852, ""Ben帳戶|Elsa帳戶|Ben代墊|Ariel代墊|中信銀行共用"")), ""內部轉帳(忽略)"",
  AND(E9852&lt;&gt;"""", F9852&lt;&gt;"""", N"&amp;"OT(REGEXMATCH(C9852, ""薪資""))), ""內部轉帳(忽略)"",
  REGEXMATCH(C9852, ""薪資""), ""薪資變動(不計入)"",
  REGEXMATCH(C9852, ""押金""), ""押金往來"",
  AND(E9852&lt;&gt;"""", F9852=""""), ""真實支出"",
  AND(E9852="""", F9852&lt;&gt;""""), ""真實收入"",
  TRUE, ""其他""
)"),"其他")</f>
        <v>其他</v>
      </c>
      <c r="K9852" s="270" t="str">
        <f t="shared" si="2"/>
        <v/>
      </c>
      <c r="L9852">
        <f t="shared" si="3"/>
        <v>0</v>
      </c>
    </row>
    <row r="9853">
      <c r="A9853" s="107"/>
      <c r="D9853" s="270"/>
      <c r="H9853" s="106" t="str">
        <f t="shared" si="1"/>
        <v/>
      </c>
      <c r="J9853" t="str">
        <f>IFERROR(__xludf.DUMMYFUNCTION("IFS(
  AND(REGEXMATCH(E9853, ""台銀籌備帳戶|玉山帳戶""), REGEXMATCH(C9853, ""薪資"")), ""分潤支出"",
  AND(REGEXMATCH(E9853, ""Ben帳戶|Elsa帳戶|Ben代墊|Ariel代墊|中信銀行共用""), REGEXMATCH(F9853, ""Ben帳戶|Elsa帳戶|Ben代墊|Ariel代墊|中信銀行共用"")), ""內部轉帳(忽略)"",
  AND(E9853&lt;&gt;"""", F9853&lt;&gt;"""", N"&amp;"OT(REGEXMATCH(C9853, ""薪資""))), ""內部轉帳(忽略)"",
  REGEXMATCH(C9853, ""薪資""), ""薪資變動(不計入)"",
  REGEXMATCH(C9853, ""押金""), ""押金往來"",
  AND(E9853&lt;&gt;"""", F9853=""""), ""真實支出"",
  AND(E9853="""", F9853&lt;&gt;""""), ""真實收入"",
  TRUE, ""其他""
)"),"其他")</f>
        <v>其他</v>
      </c>
      <c r="K9853" s="270" t="str">
        <f t="shared" si="2"/>
        <v/>
      </c>
      <c r="L9853">
        <f t="shared" si="3"/>
        <v>0</v>
      </c>
    </row>
    <row r="9854">
      <c r="A9854" s="107"/>
      <c r="D9854" s="270"/>
      <c r="H9854" s="106" t="str">
        <f t="shared" si="1"/>
        <v/>
      </c>
      <c r="J9854" t="str">
        <f>IFERROR(__xludf.DUMMYFUNCTION("IFS(
  AND(REGEXMATCH(E9854, ""台銀籌備帳戶|玉山帳戶""), REGEXMATCH(C9854, ""薪資"")), ""分潤支出"",
  AND(REGEXMATCH(E9854, ""Ben帳戶|Elsa帳戶|Ben代墊|Ariel代墊|中信銀行共用""), REGEXMATCH(F9854, ""Ben帳戶|Elsa帳戶|Ben代墊|Ariel代墊|中信銀行共用"")), ""內部轉帳(忽略)"",
  AND(E9854&lt;&gt;"""", F9854&lt;&gt;"""", N"&amp;"OT(REGEXMATCH(C9854, ""薪資""))), ""內部轉帳(忽略)"",
  REGEXMATCH(C9854, ""薪資""), ""薪資變動(不計入)"",
  REGEXMATCH(C9854, ""押金""), ""押金往來"",
  AND(E9854&lt;&gt;"""", F9854=""""), ""真實支出"",
  AND(E9854="""", F9854&lt;&gt;""""), ""真實收入"",
  TRUE, ""其他""
)"),"其他")</f>
        <v>其他</v>
      </c>
      <c r="K9854" s="270" t="str">
        <f t="shared" si="2"/>
        <v/>
      </c>
      <c r="L9854">
        <f t="shared" si="3"/>
        <v>0</v>
      </c>
    </row>
    <row r="9855">
      <c r="A9855" s="107"/>
      <c r="D9855" s="270"/>
      <c r="H9855" s="106" t="str">
        <f t="shared" si="1"/>
        <v/>
      </c>
      <c r="J9855" t="str">
        <f>IFERROR(__xludf.DUMMYFUNCTION("IFS(
  AND(REGEXMATCH(E9855, ""台銀籌備帳戶|玉山帳戶""), REGEXMATCH(C9855, ""薪資"")), ""分潤支出"",
  AND(REGEXMATCH(E9855, ""Ben帳戶|Elsa帳戶|Ben代墊|Ariel代墊|中信銀行共用""), REGEXMATCH(F9855, ""Ben帳戶|Elsa帳戶|Ben代墊|Ariel代墊|中信銀行共用"")), ""內部轉帳(忽略)"",
  AND(E9855&lt;&gt;"""", F9855&lt;&gt;"""", N"&amp;"OT(REGEXMATCH(C9855, ""薪資""))), ""內部轉帳(忽略)"",
  REGEXMATCH(C9855, ""薪資""), ""薪資變動(不計入)"",
  REGEXMATCH(C9855, ""押金""), ""押金往來"",
  AND(E9855&lt;&gt;"""", F9855=""""), ""真實支出"",
  AND(E9855="""", F9855&lt;&gt;""""), ""真實收入"",
  TRUE, ""其他""
)"),"其他")</f>
        <v>其他</v>
      </c>
      <c r="K9855" s="270" t="str">
        <f t="shared" si="2"/>
        <v/>
      </c>
      <c r="L9855">
        <f t="shared" si="3"/>
        <v>0</v>
      </c>
    </row>
    <row r="9856">
      <c r="A9856" s="107"/>
      <c r="D9856" s="270"/>
      <c r="H9856" s="106" t="str">
        <f t="shared" si="1"/>
        <v/>
      </c>
      <c r="J9856" t="str">
        <f>IFERROR(__xludf.DUMMYFUNCTION("IFS(
  AND(REGEXMATCH(E9856, ""台銀籌備帳戶|玉山帳戶""), REGEXMATCH(C9856, ""薪資"")), ""分潤支出"",
  AND(REGEXMATCH(E9856, ""Ben帳戶|Elsa帳戶|Ben代墊|Ariel代墊|中信銀行共用""), REGEXMATCH(F9856, ""Ben帳戶|Elsa帳戶|Ben代墊|Ariel代墊|中信銀行共用"")), ""內部轉帳(忽略)"",
  AND(E9856&lt;&gt;"""", F9856&lt;&gt;"""", N"&amp;"OT(REGEXMATCH(C9856, ""薪資""))), ""內部轉帳(忽略)"",
  REGEXMATCH(C9856, ""薪資""), ""薪資變動(不計入)"",
  REGEXMATCH(C9856, ""押金""), ""押金往來"",
  AND(E9856&lt;&gt;"""", F9856=""""), ""真實支出"",
  AND(E9856="""", F9856&lt;&gt;""""), ""真實收入"",
  TRUE, ""其他""
)"),"其他")</f>
        <v>其他</v>
      </c>
      <c r="K9856" s="270" t="str">
        <f t="shared" si="2"/>
        <v/>
      </c>
      <c r="L9856">
        <f t="shared" si="3"/>
        <v>0</v>
      </c>
    </row>
    <row r="9857">
      <c r="A9857" s="107"/>
      <c r="D9857" s="270"/>
      <c r="H9857" s="106" t="str">
        <f t="shared" si="1"/>
        <v/>
      </c>
      <c r="J9857" t="str">
        <f>IFERROR(__xludf.DUMMYFUNCTION("IFS(
  AND(REGEXMATCH(E9857, ""台銀籌備帳戶|玉山帳戶""), REGEXMATCH(C9857, ""薪資"")), ""分潤支出"",
  AND(REGEXMATCH(E9857, ""Ben帳戶|Elsa帳戶|Ben代墊|Ariel代墊|中信銀行共用""), REGEXMATCH(F9857, ""Ben帳戶|Elsa帳戶|Ben代墊|Ariel代墊|中信銀行共用"")), ""內部轉帳(忽略)"",
  AND(E9857&lt;&gt;"""", F9857&lt;&gt;"""", N"&amp;"OT(REGEXMATCH(C9857, ""薪資""))), ""內部轉帳(忽略)"",
  REGEXMATCH(C9857, ""薪資""), ""薪資變動(不計入)"",
  REGEXMATCH(C9857, ""押金""), ""押金往來"",
  AND(E9857&lt;&gt;"""", F9857=""""), ""真實支出"",
  AND(E9857="""", F9857&lt;&gt;""""), ""真實收入"",
  TRUE, ""其他""
)"),"其他")</f>
        <v>其他</v>
      </c>
      <c r="K9857" s="270" t="str">
        <f t="shared" si="2"/>
        <v/>
      </c>
      <c r="L9857">
        <f t="shared" si="3"/>
        <v>0</v>
      </c>
    </row>
    <row r="9858">
      <c r="A9858" s="107"/>
      <c r="D9858" s="270"/>
      <c r="H9858" s="106" t="str">
        <f t="shared" si="1"/>
        <v/>
      </c>
      <c r="J9858" t="str">
        <f>IFERROR(__xludf.DUMMYFUNCTION("IFS(
  AND(REGEXMATCH(E9858, ""台銀籌備帳戶|玉山帳戶""), REGEXMATCH(C9858, ""薪資"")), ""分潤支出"",
  AND(REGEXMATCH(E9858, ""Ben帳戶|Elsa帳戶|Ben代墊|Ariel代墊|中信銀行共用""), REGEXMATCH(F9858, ""Ben帳戶|Elsa帳戶|Ben代墊|Ariel代墊|中信銀行共用"")), ""內部轉帳(忽略)"",
  AND(E9858&lt;&gt;"""", F9858&lt;&gt;"""", N"&amp;"OT(REGEXMATCH(C9858, ""薪資""))), ""內部轉帳(忽略)"",
  REGEXMATCH(C9858, ""薪資""), ""薪資變動(不計入)"",
  REGEXMATCH(C9858, ""押金""), ""押金往來"",
  AND(E9858&lt;&gt;"""", F9858=""""), ""真實支出"",
  AND(E9858="""", F9858&lt;&gt;""""), ""真實收入"",
  TRUE, ""其他""
)"),"其他")</f>
        <v>其他</v>
      </c>
      <c r="K9858" s="270" t="str">
        <f t="shared" si="2"/>
        <v/>
      </c>
      <c r="L9858">
        <f t="shared" si="3"/>
        <v>0</v>
      </c>
    </row>
    <row r="9859">
      <c r="A9859" s="107"/>
      <c r="D9859" s="270"/>
      <c r="H9859" s="106" t="str">
        <f t="shared" si="1"/>
        <v/>
      </c>
      <c r="J9859" t="str">
        <f>IFERROR(__xludf.DUMMYFUNCTION("IFS(
  AND(REGEXMATCH(E9859, ""台銀籌備帳戶|玉山帳戶""), REGEXMATCH(C9859, ""薪資"")), ""分潤支出"",
  AND(REGEXMATCH(E9859, ""Ben帳戶|Elsa帳戶|Ben代墊|Ariel代墊|中信銀行共用""), REGEXMATCH(F9859, ""Ben帳戶|Elsa帳戶|Ben代墊|Ariel代墊|中信銀行共用"")), ""內部轉帳(忽略)"",
  AND(E9859&lt;&gt;"""", F9859&lt;&gt;"""", N"&amp;"OT(REGEXMATCH(C9859, ""薪資""))), ""內部轉帳(忽略)"",
  REGEXMATCH(C9859, ""薪資""), ""薪資變動(不計入)"",
  REGEXMATCH(C9859, ""押金""), ""押金往來"",
  AND(E9859&lt;&gt;"""", F9859=""""), ""真實支出"",
  AND(E9859="""", F9859&lt;&gt;""""), ""真實收入"",
  TRUE, ""其他""
)"),"其他")</f>
        <v>其他</v>
      </c>
      <c r="K9859" s="270" t="str">
        <f t="shared" si="2"/>
        <v/>
      </c>
      <c r="L9859">
        <f t="shared" si="3"/>
        <v>0</v>
      </c>
    </row>
    <row r="9860">
      <c r="A9860" s="107"/>
      <c r="D9860" s="270"/>
      <c r="H9860" s="106" t="str">
        <f t="shared" si="1"/>
        <v/>
      </c>
      <c r="J9860" t="str">
        <f>IFERROR(__xludf.DUMMYFUNCTION("IFS(
  AND(REGEXMATCH(E9860, ""台銀籌備帳戶|玉山帳戶""), REGEXMATCH(C9860, ""薪資"")), ""分潤支出"",
  AND(REGEXMATCH(E9860, ""Ben帳戶|Elsa帳戶|Ben代墊|Ariel代墊|中信銀行共用""), REGEXMATCH(F9860, ""Ben帳戶|Elsa帳戶|Ben代墊|Ariel代墊|中信銀行共用"")), ""內部轉帳(忽略)"",
  AND(E9860&lt;&gt;"""", F9860&lt;&gt;"""", N"&amp;"OT(REGEXMATCH(C9860, ""薪資""))), ""內部轉帳(忽略)"",
  REGEXMATCH(C9860, ""薪資""), ""薪資變動(不計入)"",
  REGEXMATCH(C9860, ""押金""), ""押金往來"",
  AND(E9860&lt;&gt;"""", F9860=""""), ""真實支出"",
  AND(E9860="""", F9860&lt;&gt;""""), ""真實收入"",
  TRUE, ""其他""
)"),"其他")</f>
        <v>其他</v>
      </c>
      <c r="K9860" s="270" t="str">
        <f t="shared" si="2"/>
        <v/>
      </c>
      <c r="L9860">
        <f t="shared" si="3"/>
        <v>0</v>
      </c>
    </row>
    <row r="9861">
      <c r="A9861" s="107"/>
      <c r="D9861" s="270"/>
      <c r="H9861" s="106" t="str">
        <f t="shared" si="1"/>
        <v/>
      </c>
      <c r="J9861" t="str">
        <f>IFERROR(__xludf.DUMMYFUNCTION("IFS(
  AND(REGEXMATCH(E9861, ""台銀籌備帳戶|玉山帳戶""), REGEXMATCH(C9861, ""薪資"")), ""分潤支出"",
  AND(REGEXMATCH(E9861, ""Ben帳戶|Elsa帳戶|Ben代墊|Ariel代墊|中信銀行共用""), REGEXMATCH(F9861, ""Ben帳戶|Elsa帳戶|Ben代墊|Ariel代墊|中信銀行共用"")), ""內部轉帳(忽略)"",
  AND(E9861&lt;&gt;"""", F9861&lt;&gt;"""", N"&amp;"OT(REGEXMATCH(C9861, ""薪資""))), ""內部轉帳(忽略)"",
  REGEXMATCH(C9861, ""薪資""), ""薪資變動(不計入)"",
  REGEXMATCH(C9861, ""押金""), ""押金往來"",
  AND(E9861&lt;&gt;"""", F9861=""""), ""真實支出"",
  AND(E9861="""", F9861&lt;&gt;""""), ""真實收入"",
  TRUE, ""其他""
)"),"其他")</f>
        <v>其他</v>
      </c>
      <c r="K9861" s="270" t="str">
        <f t="shared" si="2"/>
        <v/>
      </c>
      <c r="L9861">
        <f t="shared" si="3"/>
        <v>0</v>
      </c>
    </row>
    <row r="9862">
      <c r="A9862" s="107"/>
      <c r="D9862" s="270"/>
      <c r="H9862" s="106" t="str">
        <f t="shared" si="1"/>
        <v/>
      </c>
      <c r="J9862" t="str">
        <f>IFERROR(__xludf.DUMMYFUNCTION("IFS(
  AND(REGEXMATCH(E9862, ""台銀籌備帳戶|玉山帳戶""), REGEXMATCH(C9862, ""薪資"")), ""分潤支出"",
  AND(REGEXMATCH(E9862, ""Ben帳戶|Elsa帳戶|Ben代墊|Ariel代墊|中信銀行共用""), REGEXMATCH(F9862, ""Ben帳戶|Elsa帳戶|Ben代墊|Ariel代墊|中信銀行共用"")), ""內部轉帳(忽略)"",
  AND(E9862&lt;&gt;"""", F9862&lt;&gt;"""", N"&amp;"OT(REGEXMATCH(C9862, ""薪資""))), ""內部轉帳(忽略)"",
  REGEXMATCH(C9862, ""薪資""), ""薪資變動(不計入)"",
  REGEXMATCH(C9862, ""押金""), ""押金往來"",
  AND(E9862&lt;&gt;"""", F9862=""""), ""真實支出"",
  AND(E9862="""", F9862&lt;&gt;""""), ""真實收入"",
  TRUE, ""其他""
)"),"其他")</f>
        <v>其他</v>
      </c>
      <c r="K9862" s="270" t="str">
        <f t="shared" si="2"/>
        <v/>
      </c>
      <c r="L9862">
        <f t="shared" si="3"/>
        <v>0</v>
      </c>
    </row>
    <row r="9863">
      <c r="A9863" s="107"/>
      <c r="D9863" s="270"/>
      <c r="H9863" s="106" t="str">
        <f t="shared" si="1"/>
        <v/>
      </c>
      <c r="J9863" t="str">
        <f>IFERROR(__xludf.DUMMYFUNCTION("IFS(
  AND(REGEXMATCH(E9863, ""台銀籌備帳戶|玉山帳戶""), REGEXMATCH(C9863, ""薪資"")), ""分潤支出"",
  AND(REGEXMATCH(E9863, ""Ben帳戶|Elsa帳戶|Ben代墊|Ariel代墊|中信銀行共用""), REGEXMATCH(F9863, ""Ben帳戶|Elsa帳戶|Ben代墊|Ariel代墊|中信銀行共用"")), ""內部轉帳(忽略)"",
  AND(E9863&lt;&gt;"""", F9863&lt;&gt;"""", N"&amp;"OT(REGEXMATCH(C9863, ""薪資""))), ""內部轉帳(忽略)"",
  REGEXMATCH(C9863, ""薪資""), ""薪資變動(不計入)"",
  REGEXMATCH(C9863, ""押金""), ""押金往來"",
  AND(E9863&lt;&gt;"""", F9863=""""), ""真實支出"",
  AND(E9863="""", F9863&lt;&gt;""""), ""真實收入"",
  TRUE, ""其他""
)"),"其他")</f>
        <v>其他</v>
      </c>
      <c r="K9863" s="270" t="str">
        <f t="shared" si="2"/>
        <v/>
      </c>
      <c r="L9863">
        <f t="shared" si="3"/>
        <v>0</v>
      </c>
    </row>
    <row r="9864">
      <c r="A9864" s="107"/>
      <c r="D9864" s="270"/>
      <c r="H9864" s="106" t="str">
        <f t="shared" si="1"/>
        <v/>
      </c>
      <c r="J9864" t="str">
        <f>IFERROR(__xludf.DUMMYFUNCTION("IFS(
  AND(REGEXMATCH(E9864, ""台銀籌備帳戶|玉山帳戶""), REGEXMATCH(C9864, ""薪資"")), ""分潤支出"",
  AND(REGEXMATCH(E9864, ""Ben帳戶|Elsa帳戶|Ben代墊|Ariel代墊|中信銀行共用""), REGEXMATCH(F9864, ""Ben帳戶|Elsa帳戶|Ben代墊|Ariel代墊|中信銀行共用"")), ""內部轉帳(忽略)"",
  AND(E9864&lt;&gt;"""", F9864&lt;&gt;"""", N"&amp;"OT(REGEXMATCH(C9864, ""薪資""))), ""內部轉帳(忽略)"",
  REGEXMATCH(C9864, ""薪資""), ""薪資變動(不計入)"",
  REGEXMATCH(C9864, ""押金""), ""押金往來"",
  AND(E9864&lt;&gt;"""", F9864=""""), ""真實支出"",
  AND(E9864="""", F9864&lt;&gt;""""), ""真實收入"",
  TRUE, ""其他""
)"),"其他")</f>
        <v>其他</v>
      </c>
      <c r="K9864" s="270" t="str">
        <f t="shared" si="2"/>
        <v/>
      </c>
      <c r="L9864">
        <f t="shared" si="3"/>
        <v>0</v>
      </c>
    </row>
    <row r="9865">
      <c r="A9865" s="107"/>
      <c r="D9865" s="270"/>
      <c r="H9865" s="106" t="str">
        <f t="shared" si="1"/>
        <v/>
      </c>
      <c r="J9865" t="str">
        <f>IFERROR(__xludf.DUMMYFUNCTION("IFS(
  AND(REGEXMATCH(E9865, ""台銀籌備帳戶|玉山帳戶""), REGEXMATCH(C9865, ""薪資"")), ""分潤支出"",
  AND(REGEXMATCH(E9865, ""Ben帳戶|Elsa帳戶|Ben代墊|Ariel代墊|中信銀行共用""), REGEXMATCH(F9865, ""Ben帳戶|Elsa帳戶|Ben代墊|Ariel代墊|中信銀行共用"")), ""內部轉帳(忽略)"",
  AND(E9865&lt;&gt;"""", F9865&lt;&gt;"""", N"&amp;"OT(REGEXMATCH(C9865, ""薪資""))), ""內部轉帳(忽略)"",
  REGEXMATCH(C9865, ""薪資""), ""薪資變動(不計入)"",
  REGEXMATCH(C9865, ""押金""), ""押金往來"",
  AND(E9865&lt;&gt;"""", F9865=""""), ""真實支出"",
  AND(E9865="""", F9865&lt;&gt;""""), ""真實收入"",
  TRUE, ""其他""
)"),"其他")</f>
        <v>其他</v>
      </c>
      <c r="K9865" s="270" t="str">
        <f t="shared" si="2"/>
        <v/>
      </c>
      <c r="L9865">
        <f t="shared" si="3"/>
        <v>0</v>
      </c>
    </row>
    <row r="9866">
      <c r="A9866" s="107"/>
      <c r="D9866" s="270"/>
      <c r="H9866" s="106" t="str">
        <f t="shared" si="1"/>
        <v/>
      </c>
      <c r="J9866" t="str">
        <f>IFERROR(__xludf.DUMMYFUNCTION("IFS(
  AND(REGEXMATCH(E9866, ""台銀籌備帳戶|玉山帳戶""), REGEXMATCH(C9866, ""薪資"")), ""分潤支出"",
  AND(REGEXMATCH(E9866, ""Ben帳戶|Elsa帳戶|Ben代墊|Ariel代墊|中信銀行共用""), REGEXMATCH(F9866, ""Ben帳戶|Elsa帳戶|Ben代墊|Ariel代墊|中信銀行共用"")), ""內部轉帳(忽略)"",
  AND(E9866&lt;&gt;"""", F9866&lt;&gt;"""", N"&amp;"OT(REGEXMATCH(C9866, ""薪資""))), ""內部轉帳(忽略)"",
  REGEXMATCH(C9866, ""薪資""), ""薪資變動(不計入)"",
  REGEXMATCH(C9866, ""押金""), ""押金往來"",
  AND(E9866&lt;&gt;"""", F9866=""""), ""真實支出"",
  AND(E9866="""", F9866&lt;&gt;""""), ""真實收入"",
  TRUE, ""其他""
)"),"其他")</f>
        <v>其他</v>
      </c>
      <c r="K9866" s="270" t="str">
        <f t="shared" si="2"/>
        <v/>
      </c>
      <c r="L9866">
        <f t="shared" si="3"/>
        <v>0</v>
      </c>
    </row>
    <row r="9867">
      <c r="A9867" s="107"/>
      <c r="D9867" s="270"/>
      <c r="H9867" s="106" t="str">
        <f t="shared" si="1"/>
        <v/>
      </c>
      <c r="J9867" t="str">
        <f>IFERROR(__xludf.DUMMYFUNCTION("IFS(
  AND(REGEXMATCH(E9867, ""台銀籌備帳戶|玉山帳戶""), REGEXMATCH(C9867, ""薪資"")), ""分潤支出"",
  AND(REGEXMATCH(E9867, ""Ben帳戶|Elsa帳戶|Ben代墊|Ariel代墊|中信銀行共用""), REGEXMATCH(F9867, ""Ben帳戶|Elsa帳戶|Ben代墊|Ariel代墊|中信銀行共用"")), ""內部轉帳(忽略)"",
  AND(E9867&lt;&gt;"""", F9867&lt;&gt;"""", N"&amp;"OT(REGEXMATCH(C9867, ""薪資""))), ""內部轉帳(忽略)"",
  REGEXMATCH(C9867, ""薪資""), ""薪資變動(不計入)"",
  REGEXMATCH(C9867, ""押金""), ""押金往來"",
  AND(E9867&lt;&gt;"""", F9867=""""), ""真實支出"",
  AND(E9867="""", F9867&lt;&gt;""""), ""真實收入"",
  TRUE, ""其他""
)"),"其他")</f>
        <v>其他</v>
      </c>
      <c r="K9867" s="270" t="str">
        <f t="shared" si="2"/>
        <v/>
      </c>
      <c r="L9867">
        <f t="shared" si="3"/>
        <v>0</v>
      </c>
    </row>
    <row r="9868">
      <c r="A9868" s="107"/>
      <c r="D9868" s="270"/>
      <c r="H9868" s="106" t="str">
        <f t="shared" si="1"/>
        <v/>
      </c>
      <c r="J9868" t="str">
        <f>IFERROR(__xludf.DUMMYFUNCTION("IFS(
  AND(REGEXMATCH(E9868, ""台銀籌備帳戶|玉山帳戶""), REGEXMATCH(C9868, ""薪資"")), ""分潤支出"",
  AND(REGEXMATCH(E9868, ""Ben帳戶|Elsa帳戶|Ben代墊|Ariel代墊|中信銀行共用""), REGEXMATCH(F9868, ""Ben帳戶|Elsa帳戶|Ben代墊|Ariel代墊|中信銀行共用"")), ""內部轉帳(忽略)"",
  AND(E9868&lt;&gt;"""", F9868&lt;&gt;"""", N"&amp;"OT(REGEXMATCH(C9868, ""薪資""))), ""內部轉帳(忽略)"",
  REGEXMATCH(C9868, ""薪資""), ""薪資變動(不計入)"",
  REGEXMATCH(C9868, ""押金""), ""押金往來"",
  AND(E9868&lt;&gt;"""", F9868=""""), ""真實支出"",
  AND(E9868="""", F9868&lt;&gt;""""), ""真實收入"",
  TRUE, ""其他""
)"),"其他")</f>
        <v>其他</v>
      </c>
      <c r="K9868" s="270" t="str">
        <f t="shared" si="2"/>
        <v/>
      </c>
      <c r="L9868">
        <f t="shared" si="3"/>
        <v>0</v>
      </c>
    </row>
    <row r="9869">
      <c r="A9869" s="107"/>
      <c r="D9869" s="270"/>
      <c r="H9869" s="106" t="str">
        <f t="shared" si="1"/>
        <v/>
      </c>
      <c r="J9869" t="str">
        <f>IFERROR(__xludf.DUMMYFUNCTION("IFS(
  AND(REGEXMATCH(E9869, ""台銀籌備帳戶|玉山帳戶""), REGEXMATCH(C9869, ""薪資"")), ""分潤支出"",
  AND(REGEXMATCH(E9869, ""Ben帳戶|Elsa帳戶|Ben代墊|Ariel代墊|中信銀行共用""), REGEXMATCH(F9869, ""Ben帳戶|Elsa帳戶|Ben代墊|Ariel代墊|中信銀行共用"")), ""內部轉帳(忽略)"",
  AND(E9869&lt;&gt;"""", F9869&lt;&gt;"""", N"&amp;"OT(REGEXMATCH(C9869, ""薪資""))), ""內部轉帳(忽略)"",
  REGEXMATCH(C9869, ""薪資""), ""薪資變動(不計入)"",
  REGEXMATCH(C9869, ""押金""), ""押金往來"",
  AND(E9869&lt;&gt;"""", F9869=""""), ""真實支出"",
  AND(E9869="""", F9869&lt;&gt;""""), ""真實收入"",
  TRUE, ""其他""
)"),"其他")</f>
        <v>其他</v>
      </c>
      <c r="K9869" s="270" t="str">
        <f t="shared" si="2"/>
        <v/>
      </c>
      <c r="L9869">
        <f t="shared" si="3"/>
        <v>0</v>
      </c>
    </row>
    <row r="9870">
      <c r="A9870" s="107"/>
      <c r="D9870" s="270"/>
      <c r="H9870" s="106" t="str">
        <f t="shared" si="1"/>
        <v/>
      </c>
      <c r="J9870" t="str">
        <f>IFERROR(__xludf.DUMMYFUNCTION("IFS(
  AND(REGEXMATCH(E9870, ""台銀籌備帳戶|玉山帳戶""), REGEXMATCH(C9870, ""薪資"")), ""分潤支出"",
  AND(REGEXMATCH(E9870, ""Ben帳戶|Elsa帳戶|Ben代墊|Ariel代墊|中信銀行共用""), REGEXMATCH(F9870, ""Ben帳戶|Elsa帳戶|Ben代墊|Ariel代墊|中信銀行共用"")), ""內部轉帳(忽略)"",
  AND(E9870&lt;&gt;"""", F9870&lt;&gt;"""", N"&amp;"OT(REGEXMATCH(C9870, ""薪資""))), ""內部轉帳(忽略)"",
  REGEXMATCH(C9870, ""薪資""), ""薪資變動(不計入)"",
  REGEXMATCH(C9870, ""押金""), ""押金往來"",
  AND(E9870&lt;&gt;"""", F9870=""""), ""真實支出"",
  AND(E9870="""", F9870&lt;&gt;""""), ""真實收入"",
  TRUE, ""其他""
)"),"其他")</f>
        <v>其他</v>
      </c>
      <c r="K9870" s="270" t="str">
        <f t="shared" si="2"/>
        <v/>
      </c>
      <c r="L9870">
        <f t="shared" si="3"/>
        <v>0</v>
      </c>
    </row>
    <row r="9871">
      <c r="A9871" s="107"/>
      <c r="D9871" s="270"/>
      <c r="H9871" s="106" t="str">
        <f t="shared" si="1"/>
        <v/>
      </c>
      <c r="J9871" t="str">
        <f>IFERROR(__xludf.DUMMYFUNCTION("IFS(
  AND(REGEXMATCH(E9871, ""台銀籌備帳戶|玉山帳戶""), REGEXMATCH(C9871, ""薪資"")), ""分潤支出"",
  AND(REGEXMATCH(E9871, ""Ben帳戶|Elsa帳戶|Ben代墊|Ariel代墊|中信銀行共用""), REGEXMATCH(F9871, ""Ben帳戶|Elsa帳戶|Ben代墊|Ariel代墊|中信銀行共用"")), ""內部轉帳(忽略)"",
  AND(E9871&lt;&gt;"""", F9871&lt;&gt;"""", N"&amp;"OT(REGEXMATCH(C9871, ""薪資""))), ""內部轉帳(忽略)"",
  REGEXMATCH(C9871, ""薪資""), ""薪資變動(不計入)"",
  REGEXMATCH(C9871, ""押金""), ""押金往來"",
  AND(E9871&lt;&gt;"""", F9871=""""), ""真實支出"",
  AND(E9871="""", F9871&lt;&gt;""""), ""真實收入"",
  TRUE, ""其他""
)"),"其他")</f>
        <v>其他</v>
      </c>
      <c r="K9871" s="270" t="str">
        <f t="shared" si="2"/>
        <v/>
      </c>
      <c r="L9871">
        <f t="shared" si="3"/>
        <v>0</v>
      </c>
    </row>
    <row r="9872">
      <c r="A9872" s="107"/>
      <c r="D9872" s="270"/>
      <c r="H9872" s="106" t="str">
        <f t="shared" si="1"/>
        <v/>
      </c>
      <c r="J9872" t="str">
        <f>IFERROR(__xludf.DUMMYFUNCTION("IFS(
  AND(REGEXMATCH(E9872, ""台銀籌備帳戶|玉山帳戶""), REGEXMATCH(C9872, ""薪資"")), ""分潤支出"",
  AND(REGEXMATCH(E9872, ""Ben帳戶|Elsa帳戶|Ben代墊|Ariel代墊|中信銀行共用""), REGEXMATCH(F9872, ""Ben帳戶|Elsa帳戶|Ben代墊|Ariel代墊|中信銀行共用"")), ""內部轉帳(忽略)"",
  AND(E9872&lt;&gt;"""", F9872&lt;&gt;"""", N"&amp;"OT(REGEXMATCH(C9872, ""薪資""))), ""內部轉帳(忽略)"",
  REGEXMATCH(C9872, ""薪資""), ""薪資變動(不計入)"",
  REGEXMATCH(C9872, ""押金""), ""押金往來"",
  AND(E9872&lt;&gt;"""", F9872=""""), ""真實支出"",
  AND(E9872="""", F9872&lt;&gt;""""), ""真實收入"",
  TRUE, ""其他""
)"),"其他")</f>
        <v>其他</v>
      </c>
      <c r="K9872" s="270" t="str">
        <f t="shared" si="2"/>
        <v/>
      </c>
      <c r="L9872">
        <f t="shared" si="3"/>
        <v>0</v>
      </c>
    </row>
    <row r="9873">
      <c r="A9873" s="107"/>
      <c r="D9873" s="270"/>
      <c r="H9873" s="106" t="str">
        <f t="shared" si="1"/>
        <v/>
      </c>
      <c r="J9873" t="str">
        <f>IFERROR(__xludf.DUMMYFUNCTION("IFS(
  AND(REGEXMATCH(E9873, ""台銀籌備帳戶|玉山帳戶""), REGEXMATCH(C9873, ""薪資"")), ""分潤支出"",
  AND(REGEXMATCH(E9873, ""Ben帳戶|Elsa帳戶|Ben代墊|Ariel代墊|中信銀行共用""), REGEXMATCH(F9873, ""Ben帳戶|Elsa帳戶|Ben代墊|Ariel代墊|中信銀行共用"")), ""內部轉帳(忽略)"",
  AND(E9873&lt;&gt;"""", F9873&lt;&gt;"""", N"&amp;"OT(REGEXMATCH(C9873, ""薪資""))), ""內部轉帳(忽略)"",
  REGEXMATCH(C9873, ""薪資""), ""薪資變動(不計入)"",
  REGEXMATCH(C9873, ""押金""), ""押金往來"",
  AND(E9873&lt;&gt;"""", F9873=""""), ""真實支出"",
  AND(E9873="""", F9873&lt;&gt;""""), ""真實收入"",
  TRUE, ""其他""
)"),"其他")</f>
        <v>其他</v>
      </c>
      <c r="K9873" s="270" t="str">
        <f t="shared" si="2"/>
        <v/>
      </c>
      <c r="L9873">
        <f t="shared" si="3"/>
        <v>0</v>
      </c>
    </row>
    <row r="9874">
      <c r="A9874" s="107"/>
      <c r="D9874" s="270"/>
      <c r="H9874" s="106" t="str">
        <f t="shared" si="1"/>
        <v/>
      </c>
      <c r="J9874" t="str">
        <f>IFERROR(__xludf.DUMMYFUNCTION("IFS(
  AND(REGEXMATCH(E9874, ""台銀籌備帳戶|玉山帳戶""), REGEXMATCH(C9874, ""薪資"")), ""分潤支出"",
  AND(REGEXMATCH(E9874, ""Ben帳戶|Elsa帳戶|Ben代墊|Ariel代墊|中信銀行共用""), REGEXMATCH(F9874, ""Ben帳戶|Elsa帳戶|Ben代墊|Ariel代墊|中信銀行共用"")), ""內部轉帳(忽略)"",
  AND(E9874&lt;&gt;"""", F9874&lt;&gt;"""", N"&amp;"OT(REGEXMATCH(C9874, ""薪資""))), ""內部轉帳(忽略)"",
  REGEXMATCH(C9874, ""薪資""), ""薪資變動(不計入)"",
  REGEXMATCH(C9874, ""押金""), ""押金往來"",
  AND(E9874&lt;&gt;"""", F9874=""""), ""真實支出"",
  AND(E9874="""", F9874&lt;&gt;""""), ""真實收入"",
  TRUE, ""其他""
)"),"其他")</f>
        <v>其他</v>
      </c>
      <c r="K9874" s="270" t="str">
        <f t="shared" si="2"/>
        <v/>
      </c>
      <c r="L9874">
        <f t="shared" si="3"/>
        <v>0</v>
      </c>
    </row>
    <row r="9875">
      <c r="A9875" s="107"/>
      <c r="D9875" s="270"/>
      <c r="H9875" s="106" t="str">
        <f t="shared" si="1"/>
        <v/>
      </c>
      <c r="J9875" t="str">
        <f>IFERROR(__xludf.DUMMYFUNCTION("IFS(
  AND(REGEXMATCH(E9875, ""台銀籌備帳戶|玉山帳戶""), REGEXMATCH(C9875, ""薪資"")), ""分潤支出"",
  AND(REGEXMATCH(E9875, ""Ben帳戶|Elsa帳戶|Ben代墊|Ariel代墊|中信銀行共用""), REGEXMATCH(F9875, ""Ben帳戶|Elsa帳戶|Ben代墊|Ariel代墊|中信銀行共用"")), ""內部轉帳(忽略)"",
  AND(E9875&lt;&gt;"""", F9875&lt;&gt;"""", N"&amp;"OT(REGEXMATCH(C9875, ""薪資""))), ""內部轉帳(忽略)"",
  REGEXMATCH(C9875, ""薪資""), ""薪資變動(不計入)"",
  REGEXMATCH(C9875, ""押金""), ""押金往來"",
  AND(E9875&lt;&gt;"""", F9875=""""), ""真實支出"",
  AND(E9875="""", F9875&lt;&gt;""""), ""真實收入"",
  TRUE, ""其他""
)"),"其他")</f>
        <v>其他</v>
      </c>
      <c r="K9875" s="270" t="str">
        <f t="shared" si="2"/>
        <v/>
      </c>
      <c r="L9875">
        <f t="shared" si="3"/>
        <v>0</v>
      </c>
    </row>
    <row r="9876">
      <c r="A9876" s="107"/>
      <c r="D9876" s="270"/>
      <c r="H9876" s="106" t="str">
        <f t="shared" si="1"/>
        <v/>
      </c>
      <c r="J9876" t="str">
        <f>IFERROR(__xludf.DUMMYFUNCTION("IFS(
  AND(REGEXMATCH(E9876, ""台銀籌備帳戶|玉山帳戶""), REGEXMATCH(C9876, ""薪資"")), ""分潤支出"",
  AND(REGEXMATCH(E9876, ""Ben帳戶|Elsa帳戶|Ben代墊|Ariel代墊|中信銀行共用""), REGEXMATCH(F9876, ""Ben帳戶|Elsa帳戶|Ben代墊|Ariel代墊|中信銀行共用"")), ""內部轉帳(忽略)"",
  AND(E9876&lt;&gt;"""", F9876&lt;&gt;"""", N"&amp;"OT(REGEXMATCH(C9876, ""薪資""))), ""內部轉帳(忽略)"",
  REGEXMATCH(C9876, ""薪資""), ""薪資變動(不計入)"",
  REGEXMATCH(C9876, ""押金""), ""押金往來"",
  AND(E9876&lt;&gt;"""", F9876=""""), ""真實支出"",
  AND(E9876="""", F9876&lt;&gt;""""), ""真實收入"",
  TRUE, ""其他""
)"),"其他")</f>
        <v>其他</v>
      </c>
      <c r="K9876" s="270" t="str">
        <f t="shared" si="2"/>
        <v/>
      </c>
      <c r="L9876">
        <f t="shared" si="3"/>
        <v>0</v>
      </c>
    </row>
    <row r="9877">
      <c r="A9877" s="107"/>
      <c r="D9877" s="270"/>
      <c r="H9877" s="106" t="str">
        <f t="shared" si="1"/>
        <v/>
      </c>
      <c r="J9877" t="str">
        <f>IFERROR(__xludf.DUMMYFUNCTION("IFS(
  AND(REGEXMATCH(E9877, ""台銀籌備帳戶|玉山帳戶""), REGEXMATCH(C9877, ""薪資"")), ""分潤支出"",
  AND(REGEXMATCH(E9877, ""Ben帳戶|Elsa帳戶|Ben代墊|Ariel代墊|中信銀行共用""), REGEXMATCH(F9877, ""Ben帳戶|Elsa帳戶|Ben代墊|Ariel代墊|中信銀行共用"")), ""內部轉帳(忽略)"",
  AND(E9877&lt;&gt;"""", F9877&lt;&gt;"""", N"&amp;"OT(REGEXMATCH(C9877, ""薪資""))), ""內部轉帳(忽略)"",
  REGEXMATCH(C9877, ""薪資""), ""薪資變動(不計入)"",
  REGEXMATCH(C9877, ""押金""), ""押金往來"",
  AND(E9877&lt;&gt;"""", F9877=""""), ""真實支出"",
  AND(E9877="""", F9877&lt;&gt;""""), ""真實收入"",
  TRUE, ""其他""
)"),"其他")</f>
        <v>其他</v>
      </c>
      <c r="K9877" s="270" t="str">
        <f t="shared" si="2"/>
        <v/>
      </c>
      <c r="L9877">
        <f t="shared" si="3"/>
        <v>0</v>
      </c>
    </row>
    <row r="9878">
      <c r="A9878" s="107"/>
      <c r="D9878" s="270"/>
      <c r="H9878" s="106" t="str">
        <f t="shared" si="1"/>
        <v/>
      </c>
      <c r="J9878" t="str">
        <f>IFERROR(__xludf.DUMMYFUNCTION("IFS(
  AND(REGEXMATCH(E9878, ""台銀籌備帳戶|玉山帳戶""), REGEXMATCH(C9878, ""薪資"")), ""分潤支出"",
  AND(REGEXMATCH(E9878, ""Ben帳戶|Elsa帳戶|Ben代墊|Ariel代墊|中信銀行共用""), REGEXMATCH(F9878, ""Ben帳戶|Elsa帳戶|Ben代墊|Ariel代墊|中信銀行共用"")), ""內部轉帳(忽略)"",
  AND(E9878&lt;&gt;"""", F9878&lt;&gt;"""", N"&amp;"OT(REGEXMATCH(C9878, ""薪資""))), ""內部轉帳(忽略)"",
  REGEXMATCH(C9878, ""薪資""), ""薪資變動(不計入)"",
  REGEXMATCH(C9878, ""押金""), ""押金往來"",
  AND(E9878&lt;&gt;"""", F9878=""""), ""真實支出"",
  AND(E9878="""", F9878&lt;&gt;""""), ""真實收入"",
  TRUE, ""其他""
)"),"其他")</f>
        <v>其他</v>
      </c>
      <c r="K9878" s="270" t="str">
        <f t="shared" si="2"/>
        <v/>
      </c>
      <c r="L9878">
        <f t="shared" si="3"/>
        <v>0</v>
      </c>
    </row>
    <row r="9879">
      <c r="A9879" s="107"/>
      <c r="D9879" s="270"/>
      <c r="H9879" s="106" t="str">
        <f t="shared" si="1"/>
        <v/>
      </c>
      <c r="J9879" t="str">
        <f>IFERROR(__xludf.DUMMYFUNCTION("IFS(
  AND(REGEXMATCH(E9879, ""台銀籌備帳戶|玉山帳戶""), REGEXMATCH(C9879, ""薪資"")), ""分潤支出"",
  AND(REGEXMATCH(E9879, ""Ben帳戶|Elsa帳戶|Ben代墊|Ariel代墊|中信銀行共用""), REGEXMATCH(F9879, ""Ben帳戶|Elsa帳戶|Ben代墊|Ariel代墊|中信銀行共用"")), ""內部轉帳(忽略)"",
  AND(E9879&lt;&gt;"""", F9879&lt;&gt;"""", N"&amp;"OT(REGEXMATCH(C9879, ""薪資""))), ""內部轉帳(忽略)"",
  REGEXMATCH(C9879, ""薪資""), ""薪資變動(不計入)"",
  REGEXMATCH(C9879, ""押金""), ""押金往來"",
  AND(E9879&lt;&gt;"""", F9879=""""), ""真實支出"",
  AND(E9879="""", F9879&lt;&gt;""""), ""真實收入"",
  TRUE, ""其他""
)"),"其他")</f>
        <v>其他</v>
      </c>
      <c r="K9879" s="270" t="str">
        <f t="shared" si="2"/>
        <v/>
      </c>
      <c r="L9879">
        <f t="shared" si="3"/>
        <v>0</v>
      </c>
    </row>
    <row r="9880">
      <c r="A9880" s="107"/>
      <c r="D9880" s="270"/>
      <c r="H9880" s="106" t="str">
        <f t="shared" si="1"/>
        <v/>
      </c>
      <c r="J9880" t="str">
        <f>IFERROR(__xludf.DUMMYFUNCTION("IFS(
  AND(REGEXMATCH(E9880, ""台銀籌備帳戶|玉山帳戶""), REGEXMATCH(C9880, ""薪資"")), ""分潤支出"",
  AND(REGEXMATCH(E9880, ""Ben帳戶|Elsa帳戶|Ben代墊|Ariel代墊|中信銀行共用""), REGEXMATCH(F9880, ""Ben帳戶|Elsa帳戶|Ben代墊|Ariel代墊|中信銀行共用"")), ""內部轉帳(忽略)"",
  AND(E9880&lt;&gt;"""", F9880&lt;&gt;"""", N"&amp;"OT(REGEXMATCH(C9880, ""薪資""))), ""內部轉帳(忽略)"",
  REGEXMATCH(C9880, ""薪資""), ""薪資變動(不計入)"",
  REGEXMATCH(C9880, ""押金""), ""押金往來"",
  AND(E9880&lt;&gt;"""", F9880=""""), ""真實支出"",
  AND(E9880="""", F9880&lt;&gt;""""), ""真實收入"",
  TRUE, ""其他""
)"),"其他")</f>
        <v>其他</v>
      </c>
      <c r="K9880" s="270" t="str">
        <f t="shared" si="2"/>
        <v/>
      </c>
      <c r="L9880">
        <f t="shared" si="3"/>
        <v>0</v>
      </c>
    </row>
    <row r="9881">
      <c r="A9881" s="107"/>
      <c r="D9881" s="270"/>
      <c r="H9881" s="106" t="str">
        <f t="shared" si="1"/>
        <v/>
      </c>
      <c r="J9881" t="str">
        <f>IFERROR(__xludf.DUMMYFUNCTION("IFS(
  AND(REGEXMATCH(E9881, ""台銀籌備帳戶|玉山帳戶""), REGEXMATCH(C9881, ""薪資"")), ""分潤支出"",
  AND(REGEXMATCH(E9881, ""Ben帳戶|Elsa帳戶|Ben代墊|Ariel代墊|中信銀行共用""), REGEXMATCH(F9881, ""Ben帳戶|Elsa帳戶|Ben代墊|Ariel代墊|中信銀行共用"")), ""內部轉帳(忽略)"",
  AND(E9881&lt;&gt;"""", F9881&lt;&gt;"""", N"&amp;"OT(REGEXMATCH(C9881, ""薪資""))), ""內部轉帳(忽略)"",
  REGEXMATCH(C9881, ""薪資""), ""薪資變動(不計入)"",
  REGEXMATCH(C9881, ""押金""), ""押金往來"",
  AND(E9881&lt;&gt;"""", F9881=""""), ""真實支出"",
  AND(E9881="""", F9881&lt;&gt;""""), ""真實收入"",
  TRUE, ""其他""
)"),"其他")</f>
        <v>其他</v>
      </c>
      <c r="K9881" s="270" t="str">
        <f t="shared" si="2"/>
        <v/>
      </c>
      <c r="L9881">
        <f t="shared" si="3"/>
        <v>0</v>
      </c>
    </row>
    <row r="9882">
      <c r="A9882" s="107"/>
      <c r="D9882" s="270"/>
      <c r="H9882" s="106" t="str">
        <f t="shared" si="1"/>
        <v/>
      </c>
      <c r="J9882" t="str">
        <f>IFERROR(__xludf.DUMMYFUNCTION("IFS(
  AND(REGEXMATCH(E9882, ""台銀籌備帳戶|玉山帳戶""), REGEXMATCH(C9882, ""薪資"")), ""分潤支出"",
  AND(REGEXMATCH(E9882, ""Ben帳戶|Elsa帳戶|Ben代墊|Ariel代墊|中信銀行共用""), REGEXMATCH(F9882, ""Ben帳戶|Elsa帳戶|Ben代墊|Ariel代墊|中信銀行共用"")), ""內部轉帳(忽略)"",
  AND(E9882&lt;&gt;"""", F9882&lt;&gt;"""", N"&amp;"OT(REGEXMATCH(C9882, ""薪資""))), ""內部轉帳(忽略)"",
  REGEXMATCH(C9882, ""薪資""), ""薪資變動(不計入)"",
  REGEXMATCH(C9882, ""押金""), ""押金往來"",
  AND(E9882&lt;&gt;"""", F9882=""""), ""真實支出"",
  AND(E9882="""", F9882&lt;&gt;""""), ""真實收入"",
  TRUE, ""其他""
)"),"其他")</f>
        <v>其他</v>
      </c>
      <c r="K9882" s="270" t="str">
        <f t="shared" si="2"/>
        <v/>
      </c>
      <c r="L9882">
        <f t="shared" si="3"/>
        <v>0</v>
      </c>
    </row>
    <row r="9883">
      <c r="A9883" s="107"/>
      <c r="D9883" s="270"/>
      <c r="H9883" s="106" t="str">
        <f t="shared" si="1"/>
        <v/>
      </c>
      <c r="J9883" t="str">
        <f>IFERROR(__xludf.DUMMYFUNCTION("IFS(
  AND(REGEXMATCH(E9883, ""台銀籌備帳戶|玉山帳戶""), REGEXMATCH(C9883, ""薪資"")), ""分潤支出"",
  AND(REGEXMATCH(E9883, ""Ben帳戶|Elsa帳戶|Ben代墊|Ariel代墊|中信銀行共用""), REGEXMATCH(F9883, ""Ben帳戶|Elsa帳戶|Ben代墊|Ariel代墊|中信銀行共用"")), ""內部轉帳(忽略)"",
  AND(E9883&lt;&gt;"""", F9883&lt;&gt;"""", N"&amp;"OT(REGEXMATCH(C9883, ""薪資""))), ""內部轉帳(忽略)"",
  REGEXMATCH(C9883, ""薪資""), ""薪資變動(不計入)"",
  REGEXMATCH(C9883, ""押金""), ""押金往來"",
  AND(E9883&lt;&gt;"""", F9883=""""), ""真實支出"",
  AND(E9883="""", F9883&lt;&gt;""""), ""真實收入"",
  TRUE, ""其他""
)"),"其他")</f>
        <v>其他</v>
      </c>
      <c r="K9883" s="270" t="str">
        <f t="shared" si="2"/>
        <v/>
      </c>
      <c r="L9883">
        <f t="shared" si="3"/>
        <v>0</v>
      </c>
    </row>
    <row r="9884">
      <c r="A9884" s="107"/>
      <c r="D9884" s="270"/>
      <c r="H9884" s="106" t="str">
        <f t="shared" si="1"/>
        <v/>
      </c>
      <c r="J9884" t="str">
        <f>IFERROR(__xludf.DUMMYFUNCTION("IFS(
  AND(REGEXMATCH(E9884, ""台銀籌備帳戶|玉山帳戶""), REGEXMATCH(C9884, ""薪資"")), ""分潤支出"",
  AND(REGEXMATCH(E9884, ""Ben帳戶|Elsa帳戶|Ben代墊|Ariel代墊|中信銀行共用""), REGEXMATCH(F9884, ""Ben帳戶|Elsa帳戶|Ben代墊|Ariel代墊|中信銀行共用"")), ""內部轉帳(忽略)"",
  AND(E9884&lt;&gt;"""", F9884&lt;&gt;"""", N"&amp;"OT(REGEXMATCH(C9884, ""薪資""))), ""內部轉帳(忽略)"",
  REGEXMATCH(C9884, ""薪資""), ""薪資變動(不計入)"",
  REGEXMATCH(C9884, ""押金""), ""押金往來"",
  AND(E9884&lt;&gt;"""", F9884=""""), ""真實支出"",
  AND(E9884="""", F9884&lt;&gt;""""), ""真實收入"",
  TRUE, ""其他""
)"),"其他")</f>
        <v>其他</v>
      </c>
      <c r="K9884" s="270" t="str">
        <f t="shared" si="2"/>
        <v/>
      </c>
      <c r="L9884">
        <f t="shared" si="3"/>
        <v>0</v>
      </c>
    </row>
    <row r="9885">
      <c r="A9885" s="107"/>
      <c r="D9885" s="270"/>
      <c r="H9885" s="106" t="str">
        <f t="shared" si="1"/>
        <v/>
      </c>
      <c r="J9885" t="str">
        <f>IFERROR(__xludf.DUMMYFUNCTION("IFS(
  AND(REGEXMATCH(E9885, ""台銀籌備帳戶|玉山帳戶""), REGEXMATCH(C9885, ""薪資"")), ""分潤支出"",
  AND(REGEXMATCH(E9885, ""Ben帳戶|Elsa帳戶|Ben代墊|Ariel代墊|中信銀行共用""), REGEXMATCH(F9885, ""Ben帳戶|Elsa帳戶|Ben代墊|Ariel代墊|中信銀行共用"")), ""內部轉帳(忽略)"",
  AND(E9885&lt;&gt;"""", F9885&lt;&gt;"""", N"&amp;"OT(REGEXMATCH(C9885, ""薪資""))), ""內部轉帳(忽略)"",
  REGEXMATCH(C9885, ""薪資""), ""薪資變動(不計入)"",
  REGEXMATCH(C9885, ""押金""), ""押金往來"",
  AND(E9885&lt;&gt;"""", F9885=""""), ""真實支出"",
  AND(E9885="""", F9885&lt;&gt;""""), ""真實收入"",
  TRUE, ""其他""
)"),"其他")</f>
        <v>其他</v>
      </c>
      <c r="K9885" s="270" t="str">
        <f t="shared" si="2"/>
        <v/>
      </c>
      <c r="L9885">
        <f t="shared" si="3"/>
        <v>0</v>
      </c>
    </row>
    <row r="9886">
      <c r="A9886" s="107"/>
      <c r="D9886" s="270"/>
      <c r="H9886" s="106" t="str">
        <f t="shared" si="1"/>
        <v/>
      </c>
      <c r="J9886" t="str">
        <f>IFERROR(__xludf.DUMMYFUNCTION("IFS(
  AND(REGEXMATCH(E9886, ""台銀籌備帳戶|玉山帳戶""), REGEXMATCH(C9886, ""薪資"")), ""分潤支出"",
  AND(REGEXMATCH(E9886, ""Ben帳戶|Elsa帳戶|Ben代墊|Ariel代墊|中信銀行共用""), REGEXMATCH(F9886, ""Ben帳戶|Elsa帳戶|Ben代墊|Ariel代墊|中信銀行共用"")), ""內部轉帳(忽略)"",
  AND(E9886&lt;&gt;"""", F9886&lt;&gt;"""", N"&amp;"OT(REGEXMATCH(C9886, ""薪資""))), ""內部轉帳(忽略)"",
  REGEXMATCH(C9886, ""薪資""), ""薪資變動(不計入)"",
  REGEXMATCH(C9886, ""押金""), ""押金往來"",
  AND(E9886&lt;&gt;"""", F9886=""""), ""真實支出"",
  AND(E9886="""", F9886&lt;&gt;""""), ""真實收入"",
  TRUE, ""其他""
)"),"其他")</f>
        <v>其他</v>
      </c>
      <c r="K9886" s="270" t="str">
        <f t="shared" si="2"/>
        <v/>
      </c>
      <c r="L9886">
        <f t="shared" si="3"/>
        <v>0</v>
      </c>
    </row>
    <row r="9887">
      <c r="A9887" s="107"/>
      <c r="D9887" s="270"/>
      <c r="H9887" s="106" t="str">
        <f t="shared" si="1"/>
        <v/>
      </c>
      <c r="J9887" t="str">
        <f>IFERROR(__xludf.DUMMYFUNCTION("IFS(
  AND(REGEXMATCH(E9887, ""台銀籌備帳戶|玉山帳戶""), REGEXMATCH(C9887, ""薪資"")), ""分潤支出"",
  AND(REGEXMATCH(E9887, ""Ben帳戶|Elsa帳戶|Ben代墊|Ariel代墊|中信銀行共用""), REGEXMATCH(F9887, ""Ben帳戶|Elsa帳戶|Ben代墊|Ariel代墊|中信銀行共用"")), ""內部轉帳(忽略)"",
  AND(E9887&lt;&gt;"""", F9887&lt;&gt;"""", N"&amp;"OT(REGEXMATCH(C9887, ""薪資""))), ""內部轉帳(忽略)"",
  REGEXMATCH(C9887, ""薪資""), ""薪資變動(不計入)"",
  REGEXMATCH(C9887, ""押金""), ""押金往來"",
  AND(E9887&lt;&gt;"""", F9887=""""), ""真實支出"",
  AND(E9887="""", F9887&lt;&gt;""""), ""真實收入"",
  TRUE, ""其他""
)"),"其他")</f>
        <v>其他</v>
      </c>
      <c r="K9887" s="270" t="str">
        <f t="shared" si="2"/>
        <v/>
      </c>
      <c r="L9887">
        <f t="shared" si="3"/>
        <v>0</v>
      </c>
    </row>
    <row r="9888">
      <c r="A9888" s="107"/>
      <c r="D9888" s="270"/>
      <c r="H9888" s="106" t="str">
        <f t="shared" si="1"/>
        <v/>
      </c>
      <c r="J9888" t="str">
        <f>IFERROR(__xludf.DUMMYFUNCTION("IFS(
  AND(REGEXMATCH(E9888, ""台銀籌備帳戶|玉山帳戶""), REGEXMATCH(C9888, ""薪資"")), ""分潤支出"",
  AND(REGEXMATCH(E9888, ""Ben帳戶|Elsa帳戶|Ben代墊|Ariel代墊|中信銀行共用""), REGEXMATCH(F9888, ""Ben帳戶|Elsa帳戶|Ben代墊|Ariel代墊|中信銀行共用"")), ""內部轉帳(忽略)"",
  AND(E9888&lt;&gt;"""", F9888&lt;&gt;"""", N"&amp;"OT(REGEXMATCH(C9888, ""薪資""))), ""內部轉帳(忽略)"",
  REGEXMATCH(C9888, ""薪資""), ""薪資變動(不計入)"",
  REGEXMATCH(C9888, ""押金""), ""押金往來"",
  AND(E9888&lt;&gt;"""", F9888=""""), ""真實支出"",
  AND(E9888="""", F9888&lt;&gt;""""), ""真實收入"",
  TRUE, ""其他""
)"),"其他")</f>
        <v>其他</v>
      </c>
      <c r="K9888" s="270" t="str">
        <f t="shared" si="2"/>
        <v/>
      </c>
      <c r="L9888">
        <f t="shared" si="3"/>
        <v>0</v>
      </c>
    </row>
    <row r="9889">
      <c r="A9889" s="107"/>
      <c r="D9889" s="270"/>
      <c r="H9889" s="106" t="str">
        <f t="shared" si="1"/>
        <v/>
      </c>
      <c r="J9889" t="str">
        <f>IFERROR(__xludf.DUMMYFUNCTION("IFS(
  AND(REGEXMATCH(E9889, ""台銀籌備帳戶|玉山帳戶""), REGEXMATCH(C9889, ""薪資"")), ""分潤支出"",
  AND(REGEXMATCH(E9889, ""Ben帳戶|Elsa帳戶|Ben代墊|Ariel代墊|中信銀行共用""), REGEXMATCH(F9889, ""Ben帳戶|Elsa帳戶|Ben代墊|Ariel代墊|中信銀行共用"")), ""內部轉帳(忽略)"",
  AND(E9889&lt;&gt;"""", F9889&lt;&gt;"""", N"&amp;"OT(REGEXMATCH(C9889, ""薪資""))), ""內部轉帳(忽略)"",
  REGEXMATCH(C9889, ""薪資""), ""薪資變動(不計入)"",
  REGEXMATCH(C9889, ""押金""), ""押金往來"",
  AND(E9889&lt;&gt;"""", F9889=""""), ""真實支出"",
  AND(E9889="""", F9889&lt;&gt;""""), ""真實收入"",
  TRUE, ""其他""
)"),"其他")</f>
        <v>其他</v>
      </c>
      <c r="K9889" s="270" t="str">
        <f t="shared" si="2"/>
        <v/>
      </c>
      <c r="L9889">
        <f t="shared" si="3"/>
        <v>0</v>
      </c>
    </row>
    <row r="9890">
      <c r="A9890" s="107"/>
      <c r="D9890" s="270"/>
      <c r="H9890" s="106" t="str">
        <f t="shared" si="1"/>
        <v/>
      </c>
      <c r="J9890" t="str">
        <f>IFERROR(__xludf.DUMMYFUNCTION("IFS(
  AND(REGEXMATCH(E9890, ""台銀籌備帳戶|玉山帳戶""), REGEXMATCH(C9890, ""薪資"")), ""分潤支出"",
  AND(REGEXMATCH(E9890, ""Ben帳戶|Elsa帳戶|Ben代墊|Ariel代墊|中信銀行共用""), REGEXMATCH(F9890, ""Ben帳戶|Elsa帳戶|Ben代墊|Ariel代墊|中信銀行共用"")), ""內部轉帳(忽略)"",
  AND(E9890&lt;&gt;"""", F9890&lt;&gt;"""", N"&amp;"OT(REGEXMATCH(C9890, ""薪資""))), ""內部轉帳(忽略)"",
  REGEXMATCH(C9890, ""薪資""), ""薪資變動(不計入)"",
  REGEXMATCH(C9890, ""押金""), ""押金往來"",
  AND(E9890&lt;&gt;"""", F9890=""""), ""真實支出"",
  AND(E9890="""", F9890&lt;&gt;""""), ""真實收入"",
  TRUE, ""其他""
)"),"其他")</f>
        <v>其他</v>
      </c>
      <c r="K9890" s="270" t="str">
        <f t="shared" si="2"/>
        <v/>
      </c>
      <c r="L9890">
        <f t="shared" si="3"/>
        <v>0</v>
      </c>
    </row>
    <row r="9891">
      <c r="A9891" s="107"/>
      <c r="D9891" s="270"/>
      <c r="H9891" s="106" t="str">
        <f t="shared" si="1"/>
        <v/>
      </c>
      <c r="J9891" t="str">
        <f>IFERROR(__xludf.DUMMYFUNCTION("IFS(
  AND(REGEXMATCH(E9891, ""台銀籌備帳戶|玉山帳戶""), REGEXMATCH(C9891, ""薪資"")), ""分潤支出"",
  AND(REGEXMATCH(E9891, ""Ben帳戶|Elsa帳戶|Ben代墊|Ariel代墊|中信銀行共用""), REGEXMATCH(F9891, ""Ben帳戶|Elsa帳戶|Ben代墊|Ariel代墊|中信銀行共用"")), ""內部轉帳(忽略)"",
  AND(E9891&lt;&gt;"""", F9891&lt;&gt;"""", N"&amp;"OT(REGEXMATCH(C9891, ""薪資""))), ""內部轉帳(忽略)"",
  REGEXMATCH(C9891, ""薪資""), ""薪資變動(不計入)"",
  REGEXMATCH(C9891, ""押金""), ""押金往來"",
  AND(E9891&lt;&gt;"""", F9891=""""), ""真實支出"",
  AND(E9891="""", F9891&lt;&gt;""""), ""真實收入"",
  TRUE, ""其他""
)"),"其他")</f>
        <v>其他</v>
      </c>
      <c r="K9891" s="270" t="str">
        <f t="shared" si="2"/>
        <v/>
      </c>
      <c r="L9891">
        <f t="shared" si="3"/>
        <v>0</v>
      </c>
    </row>
    <row r="9892">
      <c r="A9892" s="107"/>
      <c r="D9892" s="270"/>
      <c r="H9892" s="106" t="str">
        <f t="shared" si="1"/>
        <v/>
      </c>
      <c r="J9892" t="str">
        <f>IFERROR(__xludf.DUMMYFUNCTION("IFS(
  AND(REGEXMATCH(E9892, ""台銀籌備帳戶|玉山帳戶""), REGEXMATCH(C9892, ""薪資"")), ""分潤支出"",
  AND(REGEXMATCH(E9892, ""Ben帳戶|Elsa帳戶|Ben代墊|Ariel代墊|中信銀行共用""), REGEXMATCH(F9892, ""Ben帳戶|Elsa帳戶|Ben代墊|Ariel代墊|中信銀行共用"")), ""內部轉帳(忽略)"",
  AND(E9892&lt;&gt;"""", F9892&lt;&gt;"""", N"&amp;"OT(REGEXMATCH(C9892, ""薪資""))), ""內部轉帳(忽略)"",
  REGEXMATCH(C9892, ""薪資""), ""薪資變動(不計入)"",
  REGEXMATCH(C9892, ""押金""), ""押金往來"",
  AND(E9892&lt;&gt;"""", F9892=""""), ""真實支出"",
  AND(E9892="""", F9892&lt;&gt;""""), ""真實收入"",
  TRUE, ""其他""
)"),"其他")</f>
        <v>其他</v>
      </c>
      <c r="K9892" s="270" t="str">
        <f t="shared" si="2"/>
        <v/>
      </c>
      <c r="L9892">
        <f t="shared" si="3"/>
        <v>0</v>
      </c>
    </row>
    <row r="9893">
      <c r="A9893" s="107"/>
      <c r="D9893" s="270"/>
      <c r="H9893" s="106" t="str">
        <f t="shared" si="1"/>
        <v/>
      </c>
      <c r="J9893" t="str">
        <f>IFERROR(__xludf.DUMMYFUNCTION("IFS(
  AND(REGEXMATCH(E9893, ""台銀籌備帳戶|玉山帳戶""), REGEXMATCH(C9893, ""薪資"")), ""分潤支出"",
  AND(REGEXMATCH(E9893, ""Ben帳戶|Elsa帳戶|Ben代墊|Ariel代墊|中信銀行共用""), REGEXMATCH(F9893, ""Ben帳戶|Elsa帳戶|Ben代墊|Ariel代墊|中信銀行共用"")), ""內部轉帳(忽略)"",
  AND(E9893&lt;&gt;"""", F9893&lt;&gt;"""", N"&amp;"OT(REGEXMATCH(C9893, ""薪資""))), ""內部轉帳(忽略)"",
  REGEXMATCH(C9893, ""薪資""), ""薪資變動(不計入)"",
  REGEXMATCH(C9893, ""押金""), ""押金往來"",
  AND(E9893&lt;&gt;"""", F9893=""""), ""真實支出"",
  AND(E9893="""", F9893&lt;&gt;""""), ""真實收入"",
  TRUE, ""其他""
)"),"其他")</f>
        <v>其他</v>
      </c>
      <c r="K9893" s="270" t="str">
        <f t="shared" si="2"/>
        <v/>
      </c>
      <c r="L9893">
        <f t="shared" si="3"/>
        <v>0</v>
      </c>
    </row>
    <row r="9894">
      <c r="A9894" s="107"/>
      <c r="D9894" s="270"/>
      <c r="H9894" s="106" t="str">
        <f t="shared" si="1"/>
        <v/>
      </c>
      <c r="J9894" t="str">
        <f>IFERROR(__xludf.DUMMYFUNCTION("IFS(
  AND(REGEXMATCH(E9894, ""台銀籌備帳戶|玉山帳戶""), REGEXMATCH(C9894, ""薪資"")), ""分潤支出"",
  AND(REGEXMATCH(E9894, ""Ben帳戶|Elsa帳戶|Ben代墊|Ariel代墊|中信銀行共用""), REGEXMATCH(F9894, ""Ben帳戶|Elsa帳戶|Ben代墊|Ariel代墊|中信銀行共用"")), ""內部轉帳(忽略)"",
  AND(E9894&lt;&gt;"""", F9894&lt;&gt;"""", N"&amp;"OT(REGEXMATCH(C9894, ""薪資""))), ""內部轉帳(忽略)"",
  REGEXMATCH(C9894, ""薪資""), ""薪資變動(不計入)"",
  REGEXMATCH(C9894, ""押金""), ""押金往來"",
  AND(E9894&lt;&gt;"""", F9894=""""), ""真實支出"",
  AND(E9894="""", F9894&lt;&gt;""""), ""真實收入"",
  TRUE, ""其他""
)"),"其他")</f>
        <v>其他</v>
      </c>
      <c r="K9894" s="270" t="str">
        <f t="shared" si="2"/>
        <v/>
      </c>
      <c r="L9894">
        <f t="shared" si="3"/>
        <v>0</v>
      </c>
    </row>
    <row r="9895">
      <c r="A9895" s="107"/>
      <c r="D9895" s="270"/>
      <c r="H9895" s="106" t="str">
        <f t="shared" si="1"/>
        <v/>
      </c>
      <c r="J9895" t="str">
        <f>IFERROR(__xludf.DUMMYFUNCTION("IFS(
  AND(REGEXMATCH(E9895, ""台銀籌備帳戶|玉山帳戶""), REGEXMATCH(C9895, ""薪資"")), ""分潤支出"",
  AND(REGEXMATCH(E9895, ""Ben帳戶|Elsa帳戶|Ben代墊|Ariel代墊|中信銀行共用""), REGEXMATCH(F9895, ""Ben帳戶|Elsa帳戶|Ben代墊|Ariel代墊|中信銀行共用"")), ""內部轉帳(忽略)"",
  AND(E9895&lt;&gt;"""", F9895&lt;&gt;"""", N"&amp;"OT(REGEXMATCH(C9895, ""薪資""))), ""內部轉帳(忽略)"",
  REGEXMATCH(C9895, ""薪資""), ""薪資變動(不計入)"",
  REGEXMATCH(C9895, ""押金""), ""押金往來"",
  AND(E9895&lt;&gt;"""", F9895=""""), ""真實支出"",
  AND(E9895="""", F9895&lt;&gt;""""), ""真實收入"",
  TRUE, ""其他""
)"),"其他")</f>
        <v>其他</v>
      </c>
      <c r="K9895" s="270" t="str">
        <f t="shared" si="2"/>
        <v/>
      </c>
      <c r="L9895">
        <f t="shared" si="3"/>
        <v>0</v>
      </c>
    </row>
    <row r="9896">
      <c r="A9896" s="107"/>
      <c r="D9896" s="270"/>
      <c r="H9896" s="106" t="str">
        <f t="shared" si="1"/>
        <v/>
      </c>
      <c r="J9896" t="str">
        <f>IFERROR(__xludf.DUMMYFUNCTION("IFS(
  AND(REGEXMATCH(E9896, ""台銀籌備帳戶|玉山帳戶""), REGEXMATCH(C9896, ""薪資"")), ""分潤支出"",
  AND(REGEXMATCH(E9896, ""Ben帳戶|Elsa帳戶|Ben代墊|Ariel代墊|中信銀行共用""), REGEXMATCH(F9896, ""Ben帳戶|Elsa帳戶|Ben代墊|Ariel代墊|中信銀行共用"")), ""內部轉帳(忽略)"",
  AND(E9896&lt;&gt;"""", F9896&lt;&gt;"""", N"&amp;"OT(REGEXMATCH(C9896, ""薪資""))), ""內部轉帳(忽略)"",
  REGEXMATCH(C9896, ""薪資""), ""薪資變動(不計入)"",
  REGEXMATCH(C9896, ""押金""), ""押金往來"",
  AND(E9896&lt;&gt;"""", F9896=""""), ""真實支出"",
  AND(E9896="""", F9896&lt;&gt;""""), ""真實收入"",
  TRUE, ""其他""
)"),"其他")</f>
        <v>其他</v>
      </c>
      <c r="K9896" s="270" t="str">
        <f t="shared" si="2"/>
        <v/>
      </c>
      <c r="L9896">
        <f t="shared" si="3"/>
        <v>0</v>
      </c>
    </row>
    <row r="9897">
      <c r="A9897" s="107"/>
      <c r="D9897" s="270"/>
      <c r="H9897" s="106" t="str">
        <f t="shared" si="1"/>
        <v/>
      </c>
      <c r="J9897" t="str">
        <f>IFERROR(__xludf.DUMMYFUNCTION("IFS(
  AND(REGEXMATCH(E9897, ""台銀籌備帳戶|玉山帳戶""), REGEXMATCH(C9897, ""薪資"")), ""分潤支出"",
  AND(REGEXMATCH(E9897, ""Ben帳戶|Elsa帳戶|Ben代墊|Ariel代墊|中信銀行共用""), REGEXMATCH(F9897, ""Ben帳戶|Elsa帳戶|Ben代墊|Ariel代墊|中信銀行共用"")), ""內部轉帳(忽略)"",
  AND(E9897&lt;&gt;"""", F9897&lt;&gt;"""", N"&amp;"OT(REGEXMATCH(C9897, ""薪資""))), ""內部轉帳(忽略)"",
  REGEXMATCH(C9897, ""薪資""), ""薪資變動(不計入)"",
  REGEXMATCH(C9897, ""押金""), ""押金往來"",
  AND(E9897&lt;&gt;"""", F9897=""""), ""真實支出"",
  AND(E9897="""", F9897&lt;&gt;""""), ""真實收入"",
  TRUE, ""其他""
)"),"其他")</f>
        <v>其他</v>
      </c>
      <c r="K9897" s="270" t="str">
        <f t="shared" si="2"/>
        <v/>
      </c>
      <c r="L9897">
        <f t="shared" si="3"/>
        <v>0</v>
      </c>
    </row>
    <row r="9898">
      <c r="A9898" s="107"/>
      <c r="D9898" s="270"/>
      <c r="H9898" s="106" t="str">
        <f t="shared" si="1"/>
        <v/>
      </c>
      <c r="J9898" t="str">
        <f>IFERROR(__xludf.DUMMYFUNCTION("IFS(
  AND(REGEXMATCH(E9898, ""台銀籌備帳戶|玉山帳戶""), REGEXMATCH(C9898, ""薪資"")), ""分潤支出"",
  AND(REGEXMATCH(E9898, ""Ben帳戶|Elsa帳戶|Ben代墊|Ariel代墊|中信銀行共用""), REGEXMATCH(F9898, ""Ben帳戶|Elsa帳戶|Ben代墊|Ariel代墊|中信銀行共用"")), ""內部轉帳(忽略)"",
  AND(E9898&lt;&gt;"""", F9898&lt;&gt;"""", N"&amp;"OT(REGEXMATCH(C9898, ""薪資""))), ""內部轉帳(忽略)"",
  REGEXMATCH(C9898, ""薪資""), ""薪資變動(不計入)"",
  REGEXMATCH(C9898, ""押金""), ""押金往來"",
  AND(E9898&lt;&gt;"""", F9898=""""), ""真實支出"",
  AND(E9898="""", F9898&lt;&gt;""""), ""真實收入"",
  TRUE, ""其他""
)"),"其他")</f>
        <v>其他</v>
      </c>
      <c r="K9898" s="270" t="str">
        <f t="shared" si="2"/>
        <v/>
      </c>
      <c r="L9898">
        <f t="shared" si="3"/>
        <v>0</v>
      </c>
    </row>
    <row r="9899">
      <c r="A9899" s="107"/>
      <c r="D9899" s="270"/>
      <c r="H9899" s="106" t="str">
        <f t="shared" si="1"/>
        <v/>
      </c>
      <c r="J9899" t="str">
        <f>IFERROR(__xludf.DUMMYFUNCTION("IFS(
  AND(REGEXMATCH(E9899, ""台銀籌備帳戶|玉山帳戶""), REGEXMATCH(C9899, ""薪資"")), ""分潤支出"",
  AND(REGEXMATCH(E9899, ""Ben帳戶|Elsa帳戶|Ben代墊|Ariel代墊|中信銀行共用""), REGEXMATCH(F9899, ""Ben帳戶|Elsa帳戶|Ben代墊|Ariel代墊|中信銀行共用"")), ""內部轉帳(忽略)"",
  AND(E9899&lt;&gt;"""", F9899&lt;&gt;"""", N"&amp;"OT(REGEXMATCH(C9899, ""薪資""))), ""內部轉帳(忽略)"",
  REGEXMATCH(C9899, ""薪資""), ""薪資變動(不計入)"",
  REGEXMATCH(C9899, ""押金""), ""押金往來"",
  AND(E9899&lt;&gt;"""", F9899=""""), ""真實支出"",
  AND(E9899="""", F9899&lt;&gt;""""), ""真實收入"",
  TRUE, ""其他""
)"),"其他")</f>
        <v>其他</v>
      </c>
      <c r="K9899" s="270" t="str">
        <f t="shared" si="2"/>
        <v/>
      </c>
      <c r="L9899">
        <f t="shared" si="3"/>
        <v>0</v>
      </c>
    </row>
    <row r="9900">
      <c r="A9900" s="107"/>
      <c r="D9900" s="270"/>
      <c r="H9900" s="106" t="str">
        <f t="shared" si="1"/>
        <v/>
      </c>
      <c r="J9900" t="str">
        <f>IFERROR(__xludf.DUMMYFUNCTION("IFS(
  AND(REGEXMATCH(E9900, ""台銀籌備帳戶|玉山帳戶""), REGEXMATCH(C9900, ""薪資"")), ""分潤支出"",
  AND(REGEXMATCH(E9900, ""Ben帳戶|Elsa帳戶|Ben代墊|Ariel代墊|中信銀行共用""), REGEXMATCH(F9900, ""Ben帳戶|Elsa帳戶|Ben代墊|Ariel代墊|中信銀行共用"")), ""內部轉帳(忽略)"",
  AND(E9900&lt;&gt;"""", F9900&lt;&gt;"""", N"&amp;"OT(REGEXMATCH(C9900, ""薪資""))), ""內部轉帳(忽略)"",
  REGEXMATCH(C9900, ""薪資""), ""薪資變動(不計入)"",
  REGEXMATCH(C9900, ""押金""), ""押金往來"",
  AND(E9900&lt;&gt;"""", F9900=""""), ""真實支出"",
  AND(E9900="""", F9900&lt;&gt;""""), ""真實收入"",
  TRUE, ""其他""
)"),"其他")</f>
        <v>其他</v>
      </c>
      <c r="K9900" s="270" t="str">
        <f t="shared" si="2"/>
        <v/>
      </c>
      <c r="L9900">
        <f t="shared" si="3"/>
        <v>0</v>
      </c>
    </row>
    <row r="9901">
      <c r="A9901" s="107"/>
      <c r="D9901" s="270"/>
      <c r="H9901" s="106" t="str">
        <f t="shared" si="1"/>
        <v/>
      </c>
      <c r="J9901" t="str">
        <f>IFERROR(__xludf.DUMMYFUNCTION("IFS(
  AND(REGEXMATCH(E9901, ""台銀籌備帳戶|玉山帳戶""), REGEXMATCH(C9901, ""薪資"")), ""分潤支出"",
  AND(REGEXMATCH(E9901, ""Ben帳戶|Elsa帳戶|Ben代墊|Ariel代墊|中信銀行共用""), REGEXMATCH(F9901, ""Ben帳戶|Elsa帳戶|Ben代墊|Ariel代墊|中信銀行共用"")), ""內部轉帳(忽略)"",
  AND(E9901&lt;&gt;"""", F9901&lt;&gt;"""", N"&amp;"OT(REGEXMATCH(C9901, ""薪資""))), ""內部轉帳(忽略)"",
  REGEXMATCH(C9901, ""薪資""), ""薪資變動(不計入)"",
  REGEXMATCH(C9901, ""押金""), ""押金往來"",
  AND(E9901&lt;&gt;"""", F9901=""""), ""真實支出"",
  AND(E9901="""", F9901&lt;&gt;""""), ""真實收入"",
  TRUE, ""其他""
)"),"其他")</f>
        <v>其他</v>
      </c>
      <c r="K9901" s="270" t="str">
        <f t="shared" si="2"/>
        <v/>
      </c>
      <c r="L9901">
        <f t="shared" si="3"/>
        <v>0</v>
      </c>
    </row>
    <row r="9902">
      <c r="A9902" s="107"/>
      <c r="D9902" s="270"/>
      <c r="H9902" s="106" t="str">
        <f t="shared" si="1"/>
        <v/>
      </c>
      <c r="J9902" t="str">
        <f>IFERROR(__xludf.DUMMYFUNCTION("IFS(
  AND(REGEXMATCH(E9902, ""台銀籌備帳戶|玉山帳戶""), REGEXMATCH(C9902, ""薪資"")), ""分潤支出"",
  AND(REGEXMATCH(E9902, ""Ben帳戶|Elsa帳戶|Ben代墊|Ariel代墊|中信銀行共用""), REGEXMATCH(F9902, ""Ben帳戶|Elsa帳戶|Ben代墊|Ariel代墊|中信銀行共用"")), ""內部轉帳(忽略)"",
  AND(E9902&lt;&gt;"""", F9902&lt;&gt;"""", N"&amp;"OT(REGEXMATCH(C9902, ""薪資""))), ""內部轉帳(忽略)"",
  REGEXMATCH(C9902, ""薪資""), ""薪資變動(不計入)"",
  REGEXMATCH(C9902, ""押金""), ""押金往來"",
  AND(E9902&lt;&gt;"""", F9902=""""), ""真實支出"",
  AND(E9902="""", F9902&lt;&gt;""""), ""真實收入"",
  TRUE, ""其他""
)"),"其他")</f>
        <v>其他</v>
      </c>
      <c r="K9902" s="270" t="str">
        <f t="shared" si="2"/>
        <v/>
      </c>
      <c r="L9902">
        <f t="shared" si="3"/>
        <v>0</v>
      </c>
    </row>
    <row r="9903">
      <c r="A9903" s="107"/>
      <c r="D9903" s="270"/>
      <c r="H9903" s="106" t="str">
        <f t="shared" si="1"/>
        <v/>
      </c>
      <c r="J9903" t="str">
        <f>IFERROR(__xludf.DUMMYFUNCTION("IFS(
  AND(REGEXMATCH(E9903, ""台銀籌備帳戶|玉山帳戶""), REGEXMATCH(C9903, ""薪資"")), ""分潤支出"",
  AND(REGEXMATCH(E9903, ""Ben帳戶|Elsa帳戶|Ben代墊|Ariel代墊|中信銀行共用""), REGEXMATCH(F9903, ""Ben帳戶|Elsa帳戶|Ben代墊|Ariel代墊|中信銀行共用"")), ""內部轉帳(忽略)"",
  AND(E9903&lt;&gt;"""", F9903&lt;&gt;"""", N"&amp;"OT(REGEXMATCH(C9903, ""薪資""))), ""內部轉帳(忽略)"",
  REGEXMATCH(C9903, ""薪資""), ""薪資變動(不計入)"",
  REGEXMATCH(C9903, ""押金""), ""押金往來"",
  AND(E9903&lt;&gt;"""", F9903=""""), ""真實支出"",
  AND(E9903="""", F9903&lt;&gt;""""), ""真實收入"",
  TRUE, ""其他""
)"),"其他")</f>
        <v>其他</v>
      </c>
      <c r="K9903" s="270" t="str">
        <f t="shared" si="2"/>
        <v/>
      </c>
      <c r="L9903">
        <f t="shared" si="3"/>
        <v>0</v>
      </c>
    </row>
    <row r="9904">
      <c r="A9904" s="107"/>
      <c r="D9904" s="270"/>
      <c r="H9904" s="106" t="str">
        <f t="shared" si="1"/>
        <v/>
      </c>
      <c r="J9904" t="str">
        <f>IFERROR(__xludf.DUMMYFUNCTION("IFS(
  AND(REGEXMATCH(E9904, ""台銀籌備帳戶|玉山帳戶""), REGEXMATCH(C9904, ""薪資"")), ""分潤支出"",
  AND(REGEXMATCH(E9904, ""Ben帳戶|Elsa帳戶|Ben代墊|Ariel代墊|中信銀行共用""), REGEXMATCH(F9904, ""Ben帳戶|Elsa帳戶|Ben代墊|Ariel代墊|中信銀行共用"")), ""內部轉帳(忽略)"",
  AND(E9904&lt;&gt;"""", F9904&lt;&gt;"""", N"&amp;"OT(REGEXMATCH(C9904, ""薪資""))), ""內部轉帳(忽略)"",
  REGEXMATCH(C9904, ""薪資""), ""薪資變動(不計入)"",
  REGEXMATCH(C9904, ""押金""), ""押金往來"",
  AND(E9904&lt;&gt;"""", F9904=""""), ""真實支出"",
  AND(E9904="""", F9904&lt;&gt;""""), ""真實收入"",
  TRUE, ""其他""
)"),"其他")</f>
        <v>其他</v>
      </c>
      <c r="K9904" s="270" t="str">
        <f t="shared" si="2"/>
        <v/>
      </c>
      <c r="L9904">
        <f t="shared" si="3"/>
        <v>0</v>
      </c>
    </row>
    <row r="9905">
      <c r="A9905" s="107"/>
      <c r="D9905" s="270"/>
      <c r="H9905" s="106" t="str">
        <f t="shared" si="1"/>
        <v/>
      </c>
      <c r="J9905" t="str">
        <f>IFERROR(__xludf.DUMMYFUNCTION("IFS(
  AND(REGEXMATCH(E9905, ""台銀籌備帳戶|玉山帳戶""), REGEXMATCH(C9905, ""薪資"")), ""分潤支出"",
  AND(REGEXMATCH(E9905, ""Ben帳戶|Elsa帳戶|Ben代墊|Ariel代墊|中信銀行共用""), REGEXMATCH(F9905, ""Ben帳戶|Elsa帳戶|Ben代墊|Ariel代墊|中信銀行共用"")), ""內部轉帳(忽略)"",
  AND(E9905&lt;&gt;"""", F9905&lt;&gt;"""", N"&amp;"OT(REGEXMATCH(C9905, ""薪資""))), ""內部轉帳(忽略)"",
  REGEXMATCH(C9905, ""薪資""), ""薪資變動(不計入)"",
  REGEXMATCH(C9905, ""押金""), ""押金往來"",
  AND(E9905&lt;&gt;"""", F9905=""""), ""真實支出"",
  AND(E9905="""", F9905&lt;&gt;""""), ""真實收入"",
  TRUE, ""其他""
)"),"其他")</f>
        <v>其他</v>
      </c>
      <c r="K9905" s="270" t="str">
        <f t="shared" si="2"/>
        <v/>
      </c>
      <c r="L9905">
        <f t="shared" si="3"/>
        <v>0</v>
      </c>
    </row>
    <row r="9906">
      <c r="A9906" s="107"/>
      <c r="D9906" s="270"/>
      <c r="H9906" s="106" t="str">
        <f t="shared" si="1"/>
        <v/>
      </c>
      <c r="J9906" t="str">
        <f>IFERROR(__xludf.DUMMYFUNCTION("IFS(
  AND(REGEXMATCH(E9906, ""台銀籌備帳戶|玉山帳戶""), REGEXMATCH(C9906, ""薪資"")), ""分潤支出"",
  AND(REGEXMATCH(E9906, ""Ben帳戶|Elsa帳戶|Ben代墊|Ariel代墊|中信銀行共用""), REGEXMATCH(F9906, ""Ben帳戶|Elsa帳戶|Ben代墊|Ariel代墊|中信銀行共用"")), ""內部轉帳(忽略)"",
  AND(E9906&lt;&gt;"""", F9906&lt;&gt;"""", N"&amp;"OT(REGEXMATCH(C9906, ""薪資""))), ""內部轉帳(忽略)"",
  REGEXMATCH(C9906, ""薪資""), ""薪資變動(不計入)"",
  REGEXMATCH(C9906, ""押金""), ""押金往來"",
  AND(E9906&lt;&gt;"""", F9906=""""), ""真實支出"",
  AND(E9906="""", F9906&lt;&gt;""""), ""真實收入"",
  TRUE, ""其他""
)"),"其他")</f>
        <v>其他</v>
      </c>
      <c r="K9906" s="270" t="str">
        <f t="shared" si="2"/>
        <v/>
      </c>
      <c r="L9906">
        <f t="shared" si="3"/>
        <v>0</v>
      </c>
    </row>
    <row r="9907">
      <c r="A9907" s="107"/>
      <c r="D9907" s="270"/>
      <c r="H9907" s="106" t="str">
        <f t="shared" si="1"/>
        <v/>
      </c>
      <c r="J9907" t="str">
        <f>IFERROR(__xludf.DUMMYFUNCTION("IFS(
  AND(REGEXMATCH(E9907, ""台銀籌備帳戶|玉山帳戶""), REGEXMATCH(C9907, ""薪資"")), ""分潤支出"",
  AND(REGEXMATCH(E9907, ""Ben帳戶|Elsa帳戶|Ben代墊|Ariel代墊|中信銀行共用""), REGEXMATCH(F9907, ""Ben帳戶|Elsa帳戶|Ben代墊|Ariel代墊|中信銀行共用"")), ""內部轉帳(忽略)"",
  AND(E9907&lt;&gt;"""", F9907&lt;&gt;"""", N"&amp;"OT(REGEXMATCH(C9907, ""薪資""))), ""內部轉帳(忽略)"",
  REGEXMATCH(C9907, ""薪資""), ""薪資變動(不計入)"",
  REGEXMATCH(C9907, ""押金""), ""押金往來"",
  AND(E9907&lt;&gt;"""", F9907=""""), ""真實支出"",
  AND(E9907="""", F9907&lt;&gt;""""), ""真實收入"",
  TRUE, ""其他""
)"),"其他")</f>
        <v>其他</v>
      </c>
      <c r="K9907" s="270" t="str">
        <f t="shared" si="2"/>
        <v/>
      </c>
      <c r="L9907">
        <f t="shared" si="3"/>
        <v>0</v>
      </c>
    </row>
    <row r="9908">
      <c r="A9908" s="107"/>
      <c r="D9908" s="270"/>
      <c r="H9908" s="106" t="str">
        <f t="shared" si="1"/>
        <v/>
      </c>
      <c r="J9908" t="str">
        <f>IFERROR(__xludf.DUMMYFUNCTION("IFS(
  AND(REGEXMATCH(E9908, ""台銀籌備帳戶|玉山帳戶""), REGEXMATCH(C9908, ""薪資"")), ""分潤支出"",
  AND(REGEXMATCH(E9908, ""Ben帳戶|Elsa帳戶|Ben代墊|Ariel代墊|中信銀行共用""), REGEXMATCH(F9908, ""Ben帳戶|Elsa帳戶|Ben代墊|Ariel代墊|中信銀行共用"")), ""內部轉帳(忽略)"",
  AND(E9908&lt;&gt;"""", F9908&lt;&gt;"""", N"&amp;"OT(REGEXMATCH(C9908, ""薪資""))), ""內部轉帳(忽略)"",
  REGEXMATCH(C9908, ""薪資""), ""薪資變動(不計入)"",
  REGEXMATCH(C9908, ""押金""), ""押金往來"",
  AND(E9908&lt;&gt;"""", F9908=""""), ""真實支出"",
  AND(E9908="""", F9908&lt;&gt;""""), ""真實收入"",
  TRUE, ""其他""
)"),"其他")</f>
        <v>其他</v>
      </c>
      <c r="K9908" s="270" t="str">
        <f t="shared" si="2"/>
        <v/>
      </c>
      <c r="L9908">
        <f t="shared" si="3"/>
        <v>0</v>
      </c>
    </row>
    <row r="9909">
      <c r="A9909" s="107"/>
      <c r="D9909" s="270"/>
      <c r="H9909" s="106" t="str">
        <f t="shared" si="1"/>
        <v/>
      </c>
      <c r="J9909" t="str">
        <f>IFERROR(__xludf.DUMMYFUNCTION("IFS(
  AND(REGEXMATCH(E9909, ""台銀籌備帳戶|玉山帳戶""), REGEXMATCH(C9909, ""薪資"")), ""分潤支出"",
  AND(REGEXMATCH(E9909, ""Ben帳戶|Elsa帳戶|Ben代墊|Ariel代墊|中信銀行共用""), REGEXMATCH(F9909, ""Ben帳戶|Elsa帳戶|Ben代墊|Ariel代墊|中信銀行共用"")), ""內部轉帳(忽略)"",
  AND(E9909&lt;&gt;"""", F9909&lt;&gt;"""", N"&amp;"OT(REGEXMATCH(C9909, ""薪資""))), ""內部轉帳(忽略)"",
  REGEXMATCH(C9909, ""薪資""), ""薪資變動(不計入)"",
  REGEXMATCH(C9909, ""押金""), ""押金往來"",
  AND(E9909&lt;&gt;"""", F9909=""""), ""真實支出"",
  AND(E9909="""", F9909&lt;&gt;""""), ""真實收入"",
  TRUE, ""其他""
)"),"其他")</f>
        <v>其他</v>
      </c>
      <c r="K9909" s="270" t="str">
        <f t="shared" si="2"/>
        <v/>
      </c>
      <c r="L9909">
        <f t="shared" si="3"/>
        <v>0</v>
      </c>
    </row>
    <row r="9910">
      <c r="A9910" s="107"/>
      <c r="D9910" s="270"/>
      <c r="H9910" s="106" t="str">
        <f t="shared" si="1"/>
        <v/>
      </c>
      <c r="J9910" t="str">
        <f>IFERROR(__xludf.DUMMYFUNCTION("IFS(
  AND(REGEXMATCH(E9910, ""台銀籌備帳戶|玉山帳戶""), REGEXMATCH(C9910, ""薪資"")), ""分潤支出"",
  AND(REGEXMATCH(E9910, ""Ben帳戶|Elsa帳戶|Ben代墊|Ariel代墊|中信銀行共用""), REGEXMATCH(F9910, ""Ben帳戶|Elsa帳戶|Ben代墊|Ariel代墊|中信銀行共用"")), ""內部轉帳(忽略)"",
  AND(E9910&lt;&gt;"""", F9910&lt;&gt;"""", N"&amp;"OT(REGEXMATCH(C9910, ""薪資""))), ""內部轉帳(忽略)"",
  REGEXMATCH(C9910, ""薪資""), ""薪資變動(不計入)"",
  REGEXMATCH(C9910, ""押金""), ""押金往來"",
  AND(E9910&lt;&gt;"""", F9910=""""), ""真實支出"",
  AND(E9910="""", F9910&lt;&gt;""""), ""真實收入"",
  TRUE, ""其他""
)"),"其他")</f>
        <v>其他</v>
      </c>
      <c r="K9910" s="270" t="str">
        <f t="shared" si="2"/>
        <v/>
      </c>
      <c r="L9910">
        <f t="shared" si="3"/>
        <v>0</v>
      </c>
    </row>
    <row r="9911">
      <c r="A9911" s="107"/>
      <c r="D9911" s="270"/>
      <c r="H9911" s="106" t="str">
        <f t="shared" si="1"/>
        <v/>
      </c>
      <c r="J9911" t="str">
        <f>IFERROR(__xludf.DUMMYFUNCTION("IFS(
  AND(REGEXMATCH(E9911, ""台銀籌備帳戶|玉山帳戶""), REGEXMATCH(C9911, ""薪資"")), ""分潤支出"",
  AND(REGEXMATCH(E9911, ""Ben帳戶|Elsa帳戶|Ben代墊|Ariel代墊|中信銀行共用""), REGEXMATCH(F9911, ""Ben帳戶|Elsa帳戶|Ben代墊|Ariel代墊|中信銀行共用"")), ""內部轉帳(忽略)"",
  AND(E9911&lt;&gt;"""", F9911&lt;&gt;"""", N"&amp;"OT(REGEXMATCH(C9911, ""薪資""))), ""內部轉帳(忽略)"",
  REGEXMATCH(C9911, ""薪資""), ""薪資變動(不計入)"",
  REGEXMATCH(C9911, ""押金""), ""押金往來"",
  AND(E9911&lt;&gt;"""", F9911=""""), ""真實支出"",
  AND(E9911="""", F9911&lt;&gt;""""), ""真實收入"",
  TRUE, ""其他""
)"),"其他")</f>
        <v>其他</v>
      </c>
      <c r="K9911" s="270" t="str">
        <f t="shared" si="2"/>
        <v/>
      </c>
      <c r="L9911">
        <f t="shared" si="3"/>
        <v>0</v>
      </c>
    </row>
    <row r="9912">
      <c r="A9912" s="107"/>
      <c r="D9912" s="270"/>
      <c r="H9912" s="106" t="str">
        <f t="shared" si="1"/>
        <v/>
      </c>
      <c r="J9912" t="str">
        <f>IFERROR(__xludf.DUMMYFUNCTION("IFS(
  AND(REGEXMATCH(E9912, ""台銀籌備帳戶|玉山帳戶""), REGEXMATCH(C9912, ""薪資"")), ""分潤支出"",
  AND(REGEXMATCH(E9912, ""Ben帳戶|Elsa帳戶|Ben代墊|Ariel代墊|中信銀行共用""), REGEXMATCH(F9912, ""Ben帳戶|Elsa帳戶|Ben代墊|Ariel代墊|中信銀行共用"")), ""內部轉帳(忽略)"",
  AND(E9912&lt;&gt;"""", F9912&lt;&gt;"""", N"&amp;"OT(REGEXMATCH(C9912, ""薪資""))), ""內部轉帳(忽略)"",
  REGEXMATCH(C9912, ""薪資""), ""薪資變動(不計入)"",
  REGEXMATCH(C9912, ""押金""), ""押金往來"",
  AND(E9912&lt;&gt;"""", F9912=""""), ""真實支出"",
  AND(E9912="""", F9912&lt;&gt;""""), ""真實收入"",
  TRUE, ""其他""
)"),"其他")</f>
        <v>其他</v>
      </c>
      <c r="K9912" s="270" t="str">
        <f t="shared" si="2"/>
        <v/>
      </c>
      <c r="L9912">
        <f t="shared" si="3"/>
        <v>0</v>
      </c>
    </row>
    <row r="9913">
      <c r="A9913" s="107"/>
      <c r="D9913" s="270"/>
      <c r="H9913" s="106" t="str">
        <f t="shared" si="1"/>
        <v/>
      </c>
      <c r="J9913" t="str">
        <f>IFERROR(__xludf.DUMMYFUNCTION("IFS(
  AND(REGEXMATCH(E9913, ""台銀籌備帳戶|玉山帳戶""), REGEXMATCH(C9913, ""薪資"")), ""分潤支出"",
  AND(REGEXMATCH(E9913, ""Ben帳戶|Elsa帳戶|Ben代墊|Ariel代墊|中信銀行共用""), REGEXMATCH(F9913, ""Ben帳戶|Elsa帳戶|Ben代墊|Ariel代墊|中信銀行共用"")), ""內部轉帳(忽略)"",
  AND(E9913&lt;&gt;"""", F9913&lt;&gt;"""", N"&amp;"OT(REGEXMATCH(C9913, ""薪資""))), ""內部轉帳(忽略)"",
  REGEXMATCH(C9913, ""薪資""), ""薪資變動(不計入)"",
  REGEXMATCH(C9913, ""押金""), ""押金往來"",
  AND(E9913&lt;&gt;"""", F9913=""""), ""真實支出"",
  AND(E9913="""", F9913&lt;&gt;""""), ""真實收入"",
  TRUE, ""其他""
)"),"其他")</f>
        <v>其他</v>
      </c>
      <c r="K9913" s="270" t="str">
        <f t="shared" si="2"/>
        <v/>
      </c>
      <c r="L9913">
        <f t="shared" si="3"/>
        <v>0</v>
      </c>
    </row>
    <row r="9914">
      <c r="A9914" s="107"/>
      <c r="D9914" s="270"/>
      <c r="H9914" s="106" t="str">
        <f t="shared" si="1"/>
        <v/>
      </c>
      <c r="J9914" t="str">
        <f>IFERROR(__xludf.DUMMYFUNCTION("IFS(
  AND(REGEXMATCH(E9914, ""台銀籌備帳戶|玉山帳戶""), REGEXMATCH(C9914, ""薪資"")), ""分潤支出"",
  AND(REGEXMATCH(E9914, ""Ben帳戶|Elsa帳戶|Ben代墊|Ariel代墊|中信銀行共用""), REGEXMATCH(F9914, ""Ben帳戶|Elsa帳戶|Ben代墊|Ariel代墊|中信銀行共用"")), ""內部轉帳(忽略)"",
  AND(E9914&lt;&gt;"""", F9914&lt;&gt;"""", N"&amp;"OT(REGEXMATCH(C9914, ""薪資""))), ""內部轉帳(忽略)"",
  REGEXMATCH(C9914, ""薪資""), ""薪資變動(不計入)"",
  REGEXMATCH(C9914, ""押金""), ""押金往來"",
  AND(E9914&lt;&gt;"""", F9914=""""), ""真實支出"",
  AND(E9914="""", F9914&lt;&gt;""""), ""真實收入"",
  TRUE, ""其他""
)"),"其他")</f>
        <v>其他</v>
      </c>
      <c r="K9914" s="270" t="str">
        <f t="shared" si="2"/>
        <v/>
      </c>
      <c r="L9914">
        <f t="shared" si="3"/>
        <v>0</v>
      </c>
    </row>
    <row r="9915">
      <c r="A9915" s="107"/>
      <c r="D9915" s="270"/>
      <c r="H9915" s="106" t="str">
        <f t="shared" si="1"/>
        <v/>
      </c>
      <c r="J9915" t="str">
        <f>IFERROR(__xludf.DUMMYFUNCTION("IFS(
  AND(REGEXMATCH(E9915, ""台銀籌備帳戶|玉山帳戶""), REGEXMATCH(C9915, ""薪資"")), ""分潤支出"",
  AND(REGEXMATCH(E9915, ""Ben帳戶|Elsa帳戶|Ben代墊|Ariel代墊|中信銀行共用""), REGEXMATCH(F9915, ""Ben帳戶|Elsa帳戶|Ben代墊|Ariel代墊|中信銀行共用"")), ""內部轉帳(忽略)"",
  AND(E9915&lt;&gt;"""", F9915&lt;&gt;"""", N"&amp;"OT(REGEXMATCH(C9915, ""薪資""))), ""內部轉帳(忽略)"",
  REGEXMATCH(C9915, ""薪資""), ""薪資變動(不計入)"",
  REGEXMATCH(C9915, ""押金""), ""押金往來"",
  AND(E9915&lt;&gt;"""", F9915=""""), ""真實支出"",
  AND(E9915="""", F9915&lt;&gt;""""), ""真實收入"",
  TRUE, ""其他""
)"),"其他")</f>
        <v>其他</v>
      </c>
      <c r="K9915" s="270" t="str">
        <f t="shared" si="2"/>
        <v/>
      </c>
      <c r="L9915">
        <f t="shared" si="3"/>
        <v>0</v>
      </c>
    </row>
    <row r="9916">
      <c r="A9916" s="107"/>
      <c r="D9916" s="270"/>
      <c r="H9916" s="106" t="str">
        <f t="shared" si="1"/>
        <v/>
      </c>
      <c r="J9916" t="str">
        <f>IFERROR(__xludf.DUMMYFUNCTION("IFS(
  AND(REGEXMATCH(E9916, ""台銀籌備帳戶|玉山帳戶""), REGEXMATCH(C9916, ""薪資"")), ""分潤支出"",
  AND(REGEXMATCH(E9916, ""Ben帳戶|Elsa帳戶|Ben代墊|Ariel代墊|中信銀行共用""), REGEXMATCH(F9916, ""Ben帳戶|Elsa帳戶|Ben代墊|Ariel代墊|中信銀行共用"")), ""內部轉帳(忽略)"",
  AND(E9916&lt;&gt;"""", F9916&lt;&gt;"""", N"&amp;"OT(REGEXMATCH(C9916, ""薪資""))), ""內部轉帳(忽略)"",
  REGEXMATCH(C9916, ""薪資""), ""薪資變動(不計入)"",
  REGEXMATCH(C9916, ""押金""), ""押金往來"",
  AND(E9916&lt;&gt;"""", F9916=""""), ""真實支出"",
  AND(E9916="""", F9916&lt;&gt;""""), ""真實收入"",
  TRUE, ""其他""
)"),"其他")</f>
        <v>其他</v>
      </c>
      <c r="K9916" s="270" t="str">
        <f t="shared" si="2"/>
        <v/>
      </c>
      <c r="L9916">
        <f t="shared" si="3"/>
        <v>0</v>
      </c>
    </row>
    <row r="9917">
      <c r="A9917" s="107"/>
      <c r="D9917" s="270"/>
      <c r="H9917" s="106" t="str">
        <f t="shared" si="1"/>
        <v/>
      </c>
      <c r="J9917" t="str">
        <f>IFERROR(__xludf.DUMMYFUNCTION("IFS(
  AND(REGEXMATCH(E9917, ""台銀籌備帳戶|玉山帳戶""), REGEXMATCH(C9917, ""薪資"")), ""分潤支出"",
  AND(REGEXMATCH(E9917, ""Ben帳戶|Elsa帳戶|Ben代墊|Ariel代墊|中信銀行共用""), REGEXMATCH(F9917, ""Ben帳戶|Elsa帳戶|Ben代墊|Ariel代墊|中信銀行共用"")), ""內部轉帳(忽略)"",
  AND(E9917&lt;&gt;"""", F9917&lt;&gt;"""", N"&amp;"OT(REGEXMATCH(C9917, ""薪資""))), ""內部轉帳(忽略)"",
  REGEXMATCH(C9917, ""薪資""), ""薪資變動(不計入)"",
  REGEXMATCH(C9917, ""押金""), ""押金往來"",
  AND(E9917&lt;&gt;"""", F9917=""""), ""真實支出"",
  AND(E9917="""", F9917&lt;&gt;""""), ""真實收入"",
  TRUE, ""其他""
)"),"其他")</f>
        <v>其他</v>
      </c>
      <c r="K9917" s="270" t="str">
        <f t="shared" si="2"/>
        <v/>
      </c>
      <c r="L9917">
        <f t="shared" si="3"/>
        <v>0</v>
      </c>
    </row>
    <row r="9918">
      <c r="A9918" s="107"/>
      <c r="D9918" s="270"/>
      <c r="H9918" s="106" t="str">
        <f t="shared" si="1"/>
        <v/>
      </c>
      <c r="J9918" t="str">
        <f>IFERROR(__xludf.DUMMYFUNCTION("IFS(
  AND(REGEXMATCH(E9918, ""台銀籌備帳戶|玉山帳戶""), REGEXMATCH(C9918, ""薪資"")), ""分潤支出"",
  AND(REGEXMATCH(E9918, ""Ben帳戶|Elsa帳戶|Ben代墊|Ariel代墊|中信銀行共用""), REGEXMATCH(F9918, ""Ben帳戶|Elsa帳戶|Ben代墊|Ariel代墊|中信銀行共用"")), ""內部轉帳(忽略)"",
  AND(E9918&lt;&gt;"""", F9918&lt;&gt;"""", N"&amp;"OT(REGEXMATCH(C9918, ""薪資""))), ""內部轉帳(忽略)"",
  REGEXMATCH(C9918, ""薪資""), ""薪資變動(不計入)"",
  REGEXMATCH(C9918, ""押金""), ""押金往來"",
  AND(E9918&lt;&gt;"""", F9918=""""), ""真實支出"",
  AND(E9918="""", F9918&lt;&gt;""""), ""真實收入"",
  TRUE, ""其他""
)"),"其他")</f>
        <v>其他</v>
      </c>
      <c r="K9918" s="270" t="str">
        <f t="shared" si="2"/>
        <v/>
      </c>
      <c r="L9918">
        <f t="shared" si="3"/>
        <v>0</v>
      </c>
    </row>
    <row r="9919">
      <c r="A9919" s="107"/>
      <c r="D9919" s="270"/>
      <c r="H9919" s="106" t="str">
        <f t="shared" si="1"/>
        <v/>
      </c>
      <c r="J9919" t="str">
        <f>IFERROR(__xludf.DUMMYFUNCTION("IFS(
  AND(REGEXMATCH(E9919, ""台銀籌備帳戶|玉山帳戶""), REGEXMATCH(C9919, ""薪資"")), ""分潤支出"",
  AND(REGEXMATCH(E9919, ""Ben帳戶|Elsa帳戶|Ben代墊|Ariel代墊|中信銀行共用""), REGEXMATCH(F9919, ""Ben帳戶|Elsa帳戶|Ben代墊|Ariel代墊|中信銀行共用"")), ""內部轉帳(忽略)"",
  AND(E9919&lt;&gt;"""", F9919&lt;&gt;"""", N"&amp;"OT(REGEXMATCH(C9919, ""薪資""))), ""內部轉帳(忽略)"",
  REGEXMATCH(C9919, ""薪資""), ""薪資變動(不計入)"",
  REGEXMATCH(C9919, ""押金""), ""押金往來"",
  AND(E9919&lt;&gt;"""", F9919=""""), ""真實支出"",
  AND(E9919="""", F9919&lt;&gt;""""), ""真實收入"",
  TRUE, ""其他""
)"),"其他")</f>
        <v>其他</v>
      </c>
      <c r="K9919" s="270" t="str">
        <f t="shared" si="2"/>
        <v/>
      </c>
      <c r="L9919">
        <f t="shared" si="3"/>
        <v>0</v>
      </c>
    </row>
    <row r="9920">
      <c r="A9920" s="107"/>
      <c r="D9920" s="270"/>
      <c r="H9920" s="106" t="str">
        <f t="shared" si="1"/>
        <v/>
      </c>
      <c r="J9920" t="str">
        <f>IFERROR(__xludf.DUMMYFUNCTION("IFS(
  AND(REGEXMATCH(E9920, ""台銀籌備帳戶|玉山帳戶""), REGEXMATCH(C9920, ""薪資"")), ""分潤支出"",
  AND(REGEXMATCH(E9920, ""Ben帳戶|Elsa帳戶|Ben代墊|Ariel代墊|中信銀行共用""), REGEXMATCH(F9920, ""Ben帳戶|Elsa帳戶|Ben代墊|Ariel代墊|中信銀行共用"")), ""內部轉帳(忽略)"",
  AND(E9920&lt;&gt;"""", F9920&lt;&gt;"""", N"&amp;"OT(REGEXMATCH(C9920, ""薪資""))), ""內部轉帳(忽略)"",
  REGEXMATCH(C9920, ""薪資""), ""薪資變動(不計入)"",
  REGEXMATCH(C9920, ""押金""), ""押金往來"",
  AND(E9920&lt;&gt;"""", F9920=""""), ""真實支出"",
  AND(E9920="""", F9920&lt;&gt;""""), ""真實收入"",
  TRUE, ""其他""
)"),"其他")</f>
        <v>其他</v>
      </c>
      <c r="K9920" s="270" t="str">
        <f t="shared" si="2"/>
        <v/>
      </c>
      <c r="L9920">
        <f t="shared" si="3"/>
        <v>0</v>
      </c>
    </row>
    <row r="9921">
      <c r="A9921" s="107"/>
      <c r="D9921" s="270"/>
      <c r="H9921" s="106" t="str">
        <f t="shared" si="1"/>
        <v/>
      </c>
      <c r="J9921" t="str">
        <f>IFERROR(__xludf.DUMMYFUNCTION("IFS(
  AND(REGEXMATCH(E9921, ""台銀籌備帳戶|玉山帳戶""), REGEXMATCH(C9921, ""薪資"")), ""分潤支出"",
  AND(REGEXMATCH(E9921, ""Ben帳戶|Elsa帳戶|Ben代墊|Ariel代墊|中信銀行共用""), REGEXMATCH(F9921, ""Ben帳戶|Elsa帳戶|Ben代墊|Ariel代墊|中信銀行共用"")), ""內部轉帳(忽略)"",
  AND(E9921&lt;&gt;"""", F9921&lt;&gt;"""", N"&amp;"OT(REGEXMATCH(C9921, ""薪資""))), ""內部轉帳(忽略)"",
  REGEXMATCH(C9921, ""薪資""), ""薪資變動(不計入)"",
  REGEXMATCH(C9921, ""押金""), ""押金往來"",
  AND(E9921&lt;&gt;"""", F9921=""""), ""真實支出"",
  AND(E9921="""", F9921&lt;&gt;""""), ""真實收入"",
  TRUE, ""其他""
)"),"其他")</f>
        <v>其他</v>
      </c>
      <c r="K9921" s="270" t="str">
        <f t="shared" si="2"/>
        <v/>
      </c>
      <c r="L9921">
        <f t="shared" si="3"/>
        <v>0</v>
      </c>
    </row>
    <row r="9922">
      <c r="A9922" s="107"/>
      <c r="D9922" s="270"/>
      <c r="H9922" s="106" t="str">
        <f t="shared" si="1"/>
        <v/>
      </c>
      <c r="J9922" t="str">
        <f>IFERROR(__xludf.DUMMYFUNCTION("IFS(
  AND(REGEXMATCH(E9922, ""台銀籌備帳戶|玉山帳戶""), REGEXMATCH(C9922, ""薪資"")), ""分潤支出"",
  AND(REGEXMATCH(E9922, ""Ben帳戶|Elsa帳戶|Ben代墊|Ariel代墊|中信銀行共用""), REGEXMATCH(F9922, ""Ben帳戶|Elsa帳戶|Ben代墊|Ariel代墊|中信銀行共用"")), ""內部轉帳(忽略)"",
  AND(E9922&lt;&gt;"""", F9922&lt;&gt;"""", N"&amp;"OT(REGEXMATCH(C9922, ""薪資""))), ""內部轉帳(忽略)"",
  REGEXMATCH(C9922, ""薪資""), ""薪資變動(不計入)"",
  REGEXMATCH(C9922, ""押金""), ""押金往來"",
  AND(E9922&lt;&gt;"""", F9922=""""), ""真實支出"",
  AND(E9922="""", F9922&lt;&gt;""""), ""真實收入"",
  TRUE, ""其他""
)"),"其他")</f>
        <v>其他</v>
      </c>
      <c r="K9922" s="270" t="str">
        <f t="shared" si="2"/>
        <v/>
      </c>
      <c r="L9922">
        <f t="shared" si="3"/>
        <v>0</v>
      </c>
    </row>
    <row r="9923">
      <c r="A9923" s="107"/>
      <c r="D9923" s="270"/>
      <c r="H9923" s="106" t="str">
        <f t="shared" si="1"/>
        <v/>
      </c>
      <c r="J9923" t="str">
        <f>IFERROR(__xludf.DUMMYFUNCTION("IFS(
  AND(REGEXMATCH(E9923, ""台銀籌備帳戶|玉山帳戶""), REGEXMATCH(C9923, ""薪資"")), ""分潤支出"",
  AND(REGEXMATCH(E9923, ""Ben帳戶|Elsa帳戶|Ben代墊|Ariel代墊|中信銀行共用""), REGEXMATCH(F9923, ""Ben帳戶|Elsa帳戶|Ben代墊|Ariel代墊|中信銀行共用"")), ""內部轉帳(忽略)"",
  AND(E9923&lt;&gt;"""", F9923&lt;&gt;"""", N"&amp;"OT(REGEXMATCH(C9923, ""薪資""))), ""內部轉帳(忽略)"",
  REGEXMATCH(C9923, ""薪資""), ""薪資變動(不計入)"",
  REGEXMATCH(C9923, ""押金""), ""押金往來"",
  AND(E9923&lt;&gt;"""", F9923=""""), ""真實支出"",
  AND(E9923="""", F9923&lt;&gt;""""), ""真實收入"",
  TRUE, ""其他""
)"),"其他")</f>
        <v>其他</v>
      </c>
      <c r="K9923" s="270" t="str">
        <f t="shared" si="2"/>
        <v/>
      </c>
      <c r="L9923">
        <f t="shared" si="3"/>
        <v>0</v>
      </c>
    </row>
    <row r="9924">
      <c r="A9924" s="107"/>
      <c r="D9924" s="270"/>
      <c r="H9924" s="106" t="str">
        <f t="shared" si="1"/>
        <v/>
      </c>
      <c r="J9924" t="str">
        <f>IFERROR(__xludf.DUMMYFUNCTION("IFS(
  AND(REGEXMATCH(E9924, ""台銀籌備帳戶|玉山帳戶""), REGEXMATCH(C9924, ""薪資"")), ""分潤支出"",
  AND(REGEXMATCH(E9924, ""Ben帳戶|Elsa帳戶|Ben代墊|Ariel代墊|中信銀行共用""), REGEXMATCH(F9924, ""Ben帳戶|Elsa帳戶|Ben代墊|Ariel代墊|中信銀行共用"")), ""內部轉帳(忽略)"",
  AND(E9924&lt;&gt;"""", F9924&lt;&gt;"""", N"&amp;"OT(REGEXMATCH(C9924, ""薪資""))), ""內部轉帳(忽略)"",
  REGEXMATCH(C9924, ""薪資""), ""薪資變動(不計入)"",
  REGEXMATCH(C9924, ""押金""), ""押金往來"",
  AND(E9924&lt;&gt;"""", F9924=""""), ""真實支出"",
  AND(E9924="""", F9924&lt;&gt;""""), ""真實收入"",
  TRUE, ""其他""
)"),"其他")</f>
        <v>其他</v>
      </c>
      <c r="K9924" s="270" t="str">
        <f t="shared" si="2"/>
        <v/>
      </c>
      <c r="L9924">
        <f t="shared" si="3"/>
        <v>0</v>
      </c>
    </row>
    <row r="9925">
      <c r="A9925" s="107"/>
      <c r="D9925" s="270"/>
      <c r="H9925" s="106" t="str">
        <f t="shared" si="1"/>
        <v/>
      </c>
      <c r="J9925" t="str">
        <f>IFERROR(__xludf.DUMMYFUNCTION("IFS(
  AND(REGEXMATCH(E9925, ""台銀籌備帳戶|玉山帳戶""), REGEXMATCH(C9925, ""薪資"")), ""分潤支出"",
  AND(REGEXMATCH(E9925, ""Ben帳戶|Elsa帳戶|Ben代墊|Ariel代墊|中信銀行共用""), REGEXMATCH(F9925, ""Ben帳戶|Elsa帳戶|Ben代墊|Ariel代墊|中信銀行共用"")), ""內部轉帳(忽略)"",
  AND(E9925&lt;&gt;"""", F9925&lt;&gt;"""", N"&amp;"OT(REGEXMATCH(C9925, ""薪資""))), ""內部轉帳(忽略)"",
  REGEXMATCH(C9925, ""薪資""), ""薪資變動(不計入)"",
  REGEXMATCH(C9925, ""押金""), ""押金往來"",
  AND(E9925&lt;&gt;"""", F9925=""""), ""真實支出"",
  AND(E9925="""", F9925&lt;&gt;""""), ""真實收入"",
  TRUE, ""其他""
)"),"其他")</f>
        <v>其他</v>
      </c>
      <c r="K9925" s="270" t="str">
        <f t="shared" si="2"/>
        <v/>
      </c>
      <c r="L9925">
        <f t="shared" si="3"/>
        <v>0</v>
      </c>
    </row>
    <row r="9926">
      <c r="A9926" s="107"/>
      <c r="D9926" s="270"/>
      <c r="H9926" s="106" t="str">
        <f t="shared" si="1"/>
        <v/>
      </c>
      <c r="J9926" t="str">
        <f>IFERROR(__xludf.DUMMYFUNCTION("IFS(
  AND(REGEXMATCH(E9926, ""台銀籌備帳戶|玉山帳戶""), REGEXMATCH(C9926, ""薪資"")), ""分潤支出"",
  AND(REGEXMATCH(E9926, ""Ben帳戶|Elsa帳戶|Ben代墊|Ariel代墊|中信銀行共用""), REGEXMATCH(F9926, ""Ben帳戶|Elsa帳戶|Ben代墊|Ariel代墊|中信銀行共用"")), ""內部轉帳(忽略)"",
  AND(E9926&lt;&gt;"""", F9926&lt;&gt;"""", N"&amp;"OT(REGEXMATCH(C9926, ""薪資""))), ""內部轉帳(忽略)"",
  REGEXMATCH(C9926, ""薪資""), ""薪資變動(不計入)"",
  REGEXMATCH(C9926, ""押金""), ""押金往來"",
  AND(E9926&lt;&gt;"""", F9926=""""), ""真實支出"",
  AND(E9926="""", F9926&lt;&gt;""""), ""真實收入"",
  TRUE, ""其他""
)"),"其他")</f>
        <v>其他</v>
      </c>
      <c r="K9926" s="270" t="str">
        <f t="shared" si="2"/>
        <v/>
      </c>
      <c r="L9926">
        <f t="shared" si="3"/>
        <v>0</v>
      </c>
    </row>
    <row r="9927">
      <c r="A9927" s="107"/>
      <c r="D9927" s="270"/>
      <c r="H9927" s="106" t="str">
        <f t="shared" si="1"/>
        <v/>
      </c>
      <c r="J9927" t="str">
        <f>IFERROR(__xludf.DUMMYFUNCTION("IFS(
  AND(REGEXMATCH(E9927, ""台銀籌備帳戶|玉山帳戶""), REGEXMATCH(C9927, ""薪資"")), ""分潤支出"",
  AND(REGEXMATCH(E9927, ""Ben帳戶|Elsa帳戶|Ben代墊|Ariel代墊|中信銀行共用""), REGEXMATCH(F9927, ""Ben帳戶|Elsa帳戶|Ben代墊|Ariel代墊|中信銀行共用"")), ""內部轉帳(忽略)"",
  AND(E9927&lt;&gt;"""", F9927&lt;&gt;"""", N"&amp;"OT(REGEXMATCH(C9927, ""薪資""))), ""內部轉帳(忽略)"",
  REGEXMATCH(C9927, ""薪資""), ""薪資變動(不計入)"",
  REGEXMATCH(C9927, ""押金""), ""押金往來"",
  AND(E9927&lt;&gt;"""", F9927=""""), ""真實支出"",
  AND(E9927="""", F9927&lt;&gt;""""), ""真實收入"",
  TRUE, ""其他""
)"),"其他")</f>
        <v>其他</v>
      </c>
      <c r="K9927" s="270" t="str">
        <f t="shared" si="2"/>
        <v/>
      </c>
      <c r="L9927">
        <f t="shared" si="3"/>
        <v>0</v>
      </c>
    </row>
    <row r="9928">
      <c r="A9928" s="107"/>
      <c r="D9928" s="270"/>
      <c r="H9928" s="106" t="str">
        <f t="shared" si="1"/>
        <v/>
      </c>
      <c r="J9928" t="str">
        <f>IFERROR(__xludf.DUMMYFUNCTION("IFS(
  AND(REGEXMATCH(E9928, ""台銀籌備帳戶|玉山帳戶""), REGEXMATCH(C9928, ""薪資"")), ""分潤支出"",
  AND(REGEXMATCH(E9928, ""Ben帳戶|Elsa帳戶|Ben代墊|Ariel代墊|中信銀行共用""), REGEXMATCH(F9928, ""Ben帳戶|Elsa帳戶|Ben代墊|Ariel代墊|中信銀行共用"")), ""內部轉帳(忽略)"",
  AND(E9928&lt;&gt;"""", F9928&lt;&gt;"""", N"&amp;"OT(REGEXMATCH(C9928, ""薪資""))), ""內部轉帳(忽略)"",
  REGEXMATCH(C9928, ""薪資""), ""薪資變動(不計入)"",
  REGEXMATCH(C9928, ""押金""), ""押金往來"",
  AND(E9928&lt;&gt;"""", F9928=""""), ""真實支出"",
  AND(E9928="""", F9928&lt;&gt;""""), ""真實收入"",
  TRUE, ""其他""
)"),"其他")</f>
        <v>其他</v>
      </c>
      <c r="K9928" s="270" t="str">
        <f t="shared" si="2"/>
        <v/>
      </c>
      <c r="L9928">
        <f t="shared" si="3"/>
        <v>0</v>
      </c>
    </row>
    <row r="9929">
      <c r="A9929" s="107"/>
      <c r="D9929" s="270"/>
      <c r="H9929" s="106" t="str">
        <f t="shared" si="1"/>
        <v/>
      </c>
      <c r="J9929" t="str">
        <f>IFERROR(__xludf.DUMMYFUNCTION("IFS(
  AND(REGEXMATCH(E9929, ""台銀籌備帳戶|玉山帳戶""), REGEXMATCH(C9929, ""薪資"")), ""分潤支出"",
  AND(REGEXMATCH(E9929, ""Ben帳戶|Elsa帳戶|Ben代墊|Ariel代墊|中信銀行共用""), REGEXMATCH(F9929, ""Ben帳戶|Elsa帳戶|Ben代墊|Ariel代墊|中信銀行共用"")), ""內部轉帳(忽略)"",
  AND(E9929&lt;&gt;"""", F9929&lt;&gt;"""", N"&amp;"OT(REGEXMATCH(C9929, ""薪資""))), ""內部轉帳(忽略)"",
  REGEXMATCH(C9929, ""薪資""), ""薪資變動(不計入)"",
  REGEXMATCH(C9929, ""押金""), ""押金往來"",
  AND(E9929&lt;&gt;"""", F9929=""""), ""真實支出"",
  AND(E9929="""", F9929&lt;&gt;""""), ""真實收入"",
  TRUE, ""其他""
)"),"其他")</f>
        <v>其他</v>
      </c>
      <c r="K9929" s="270" t="str">
        <f t="shared" si="2"/>
        <v/>
      </c>
      <c r="L9929">
        <f t="shared" si="3"/>
        <v>0</v>
      </c>
    </row>
    <row r="9930">
      <c r="A9930" s="107"/>
      <c r="D9930" s="270"/>
      <c r="H9930" s="106" t="str">
        <f t="shared" si="1"/>
        <v/>
      </c>
      <c r="J9930" t="str">
        <f>IFERROR(__xludf.DUMMYFUNCTION("IFS(
  AND(REGEXMATCH(E9930, ""台銀籌備帳戶|玉山帳戶""), REGEXMATCH(C9930, ""薪資"")), ""分潤支出"",
  AND(REGEXMATCH(E9930, ""Ben帳戶|Elsa帳戶|Ben代墊|Ariel代墊|中信銀行共用""), REGEXMATCH(F9930, ""Ben帳戶|Elsa帳戶|Ben代墊|Ariel代墊|中信銀行共用"")), ""內部轉帳(忽略)"",
  AND(E9930&lt;&gt;"""", F9930&lt;&gt;"""", N"&amp;"OT(REGEXMATCH(C9930, ""薪資""))), ""內部轉帳(忽略)"",
  REGEXMATCH(C9930, ""薪資""), ""薪資變動(不計入)"",
  REGEXMATCH(C9930, ""押金""), ""押金往來"",
  AND(E9930&lt;&gt;"""", F9930=""""), ""真實支出"",
  AND(E9930="""", F9930&lt;&gt;""""), ""真實收入"",
  TRUE, ""其他""
)"),"其他")</f>
        <v>其他</v>
      </c>
      <c r="K9930" s="270" t="str">
        <f t="shared" si="2"/>
        <v/>
      </c>
      <c r="L9930">
        <f t="shared" si="3"/>
        <v>0</v>
      </c>
    </row>
    <row r="9931">
      <c r="A9931" s="107"/>
      <c r="D9931" s="270"/>
      <c r="H9931" s="106" t="str">
        <f t="shared" si="1"/>
        <v/>
      </c>
      <c r="J9931" t="str">
        <f>IFERROR(__xludf.DUMMYFUNCTION("IFS(
  AND(REGEXMATCH(E9931, ""台銀籌備帳戶|玉山帳戶""), REGEXMATCH(C9931, ""薪資"")), ""分潤支出"",
  AND(REGEXMATCH(E9931, ""Ben帳戶|Elsa帳戶|Ben代墊|Ariel代墊|中信銀行共用""), REGEXMATCH(F9931, ""Ben帳戶|Elsa帳戶|Ben代墊|Ariel代墊|中信銀行共用"")), ""內部轉帳(忽略)"",
  AND(E9931&lt;&gt;"""", F9931&lt;&gt;"""", N"&amp;"OT(REGEXMATCH(C9931, ""薪資""))), ""內部轉帳(忽略)"",
  REGEXMATCH(C9931, ""薪資""), ""薪資變動(不計入)"",
  REGEXMATCH(C9931, ""押金""), ""押金往來"",
  AND(E9931&lt;&gt;"""", F9931=""""), ""真實支出"",
  AND(E9931="""", F9931&lt;&gt;""""), ""真實收入"",
  TRUE, ""其他""
)"),"其他")</f>
        <v>其他</v>
      </c>
      <c r="K9931" s="270" t="str">
        <f t="shared" si="2"/>
        <v/>
      </c>
      <c r="L9931">
        <f t="shared" si="3"/>
        <v>0</v>
      </c>
    </row>
    <row r="9932">
      <c r="A9932" s="107"/>
      <c r="D9932" s="270"/>
      <c r="H9932" s="106" t="str">
        <f t="shared" si="1"/>
        <v/>
      </c>
      <c r="J9932" t="str">
        <f>IFERROR(__xludf.DUMMYFUNCTION("IFS(
  AND(REGEXMATCH(E9932, ""台銀籌備帳戶|玉山帳戶""), REGEXMATCH(C9932, ""薪資"")), ""分潤支出"",
  AND(REGEXMATCH(E9932, ""Ben帳戶|Elsa帳戶|Ben代墊|Ariel代墊|中信銀行共用""), REGEXMATCH(F9932, ""Ben帳戶|Elsa帳戶|Ben代墊|Ariel代墊|中信銀行共用"")), ""內部轉帳(忽略)"",
  AND(E9932&lt;&gt;"""", F9932&lt;&gt;"""", N"&amp;"OT(REGEXMATCH(C9932, ""薪資""))), ""內部轉帳(忽略)"",
  REGEXMATCH(C9932, ""薪資""), ""薪資變動(不計入)"",
  REGEXMATCH(C9932, ""押金""), ""押金往來"",
  AND(E9932&lt;&gt;"""", F9932=""""), ""真實支出"",
  AND(E9932="""", F9932&lt;&gt;""""), ""真實收入"",
  TRUE, ""其他""
)"),"其他")</f>
        <v>其他</v>
      </c>
      <c r="K9932" s="270" t="str">
        <f t="shared" si="2"/>
        <v/>
      </c>
      <c r="L9932">
        <f t="shared" si="3"/>
        <v>0</v>
      </c>
    </row>
    <row r="9933">
      <c r="A9933" s="107"/>
      <c r="D9933" s="270"/>
      <c r="H9933" s="106" t="str">
        <f t="shared" si="1"/>
        <v/>
      </c>
      <c r="J9933" t="str">
        <f>IFERROR(__xludf.DUMMYFUNCTION("IFS(
  AND(REGEXMATCH(E9933, ""台銀籌備帳戶|玉山帳戶""), REGEXMATCH(C9933, ""薪資"")), ""分潤支出"",
  AND(REGEXMATCH(E9933, ""Ben帳戶|Elsa帳戶|Ben代墊|Ariel代墊|中信銀行共用""), REGEXMATCH(F9933, ""Ben帳戶|Elsa帳戶|Ben代墊|Ariel代墊|中信銀行共用"")), ""內部轉帳(忽略)"",
  AND(E9933&lt;&gt;"""", F9933&lt;&gt;"""", N"&amp;"OT(REGEXMATCH(C9933, ""薪資""))), ""內部轉帳(忽略)"",
  REGEXMATCH(C9933, ""薪資""), ""薪資變動(不計入)"",
  REGEXMATCH(C9933, ""押金""), ""押金往來"",
  AND(E9933&lt;&gt;"""", F9933=""""), ""真實支出"",
  AND(E9933="""", F9933&lt;&gt;""""), ""真實收入"",
  TRUE, ""其他""
)"),"其他")</f>
        <v>其他</v>
      </c>
      <c r="K9933" s="270" t="str">
        <f t="shared" si="2"/>
        <v/>
      </c>
      <c r="L9933">
        <f t="shared" si="3"/>
        <v>0</v>
      </c>
    </row>
    <row r="9934">
      <c r="A9934" s="107"/>
      <c r="D9934" s="270"/>
      <c r="H9934" s="106" t="str">
        <f t="shared" si="1"/>
        <v/>
      </c>
      <c r="J9934" t="str">
        <f>IFERROR(__xludf.DUMMYFUNCTION("IFS(
  AND(REGEXMATCH(E9934, ""台銀籌備帳戶|玉山帳戶""), REGEXMATCH(C9934, ""薪資"")), ""分潤支出"",
  AND(REGEXMATCH(E9934, ""Ben帳戶|Elsa帳戶|Ben代墊|Ariel代墊|中信銀行共用""), REGEXMATCH(F9934, ""Ben帳戶|Elsa帳戶|Ben代墊|Ariel代墊|中信銀行共用"")), ""內部轉帳(忽略)"",
  AND(E9934&lt;&gt;"""", F9934&lt;&gt;"""", N"&amp;"OT(REGEXMATCH(C9934, ""薪資""))), ""內部轉帳(忽略)"",
  REGEXMATCH(C9934, ""薪資""), ""薪資變動(不計入)"",
  REGEXMATCH(C9934, ""押金""), ""押金往來"",
  AND(E9934&lt;&gt;"""", F9934=""""), ""真實支出"",
  AND(E9934="""", F9934&lt;&gt;""""), ""真實收入"",
  TRUE, ""其他""
)"),"其他")</f>
        <v>其他</v>
      </c>
      <c r="K9934" s="270" t="str">
        <f t="shared" si="2"/>
        <v/>
      </c>
      <c r="L9934">
        <f t="shared" si="3"/>
        <v>0</v>
      </c>
    </row>
    <row r="9935">
      <c r="A9935" s="107"/>
      <c r="D9935" s="270"/>
      <c r="H9935" s="106" t="str">
        <f t="shared" si="1"/>
        <v/>
      </c>
      <c r="J9935" t="str">
        <f>IFERROR(__xludf.DUMMYFUNCTION("IFS(
  AND(REGEXMATCH(E9935, ""台銀籌備帳戶|玉山帳戶""), REGEXMATCH(C9935, ""薪資"")), ""分潤支出"",
  AND(REGEXMATCH(E9935, ""Ben帳戶|Elsa帳戶|Ben代墊|Ariel代墊|中信銀行共用""), REGEXMATCH(F9935, ""Ben帳戶|Elsa帳戶|Ben代墊|Ariel代墊|中信銀行共用"")), ""內部轉帳(忽略)"",
  AND(E9935&lt;&gt;"""", F9935&lt;&gt;"""", N"&amp;"OT(REGEXMATCH(C9935, ""薪資""))), ""內部轉帳(忽略)"",
  REGEXMATCH(C9935, ""薪資""), ""薪資變動(不計入)"",
  REGEXMATCH(C9935, ""押金""), ""押金往來"",
  AND(E9935&lt;&gt;"""", F9935=""""), ""真實支出"",
  AND(E9935="""", F9935&lt;&gt;""""), ""真實收入"",
  TRUE, ""其他""
)"),"其他")</f>
        <v>其他</v>
      </c>
      <c r="K9935" s="270" t="str">
        <f t="shared" si="2"/>
        <v/>
      </c>
      <c r="L9935">
        <f t="shared" si="3"/>
        <v>0</v>
      </c>
    </row>
    <row r="9936">
      <c r="A9936" s="107"/>
      <c r="D9936" s="270"/>
      <c r="H9936" s="106" t="str">
        <f t="shared" si="1"/>
        <v/>
      </c>
      <c r="J9936" t="str">
        <f>IFERROR(__xludf.DUMMYFUNCTION("IFS(
  AND(REGEXMATCH(E9936, ""台銀籌備帳戶|玉山帳戶""), REGEXMATCH(C9936, ""薪資"")), ""分潤支出"",
  AND(REGEXMATCH(E9936, ""Ben帳戶|Elsa帳戶|Ben代墊|Ariel代墊|中信銀行共用""), REGEXMATCH(F9936, ""Ben帳戶|Elsa帳戶|Ben代墊|Ariel代墊|中信銀行共用"")), ""內部轉帳(忽略)"",
  AND(E9936&lt;&gt;"""", F9936&lt;&gt;"""", N"&amp;"OT(REGEXMATCH(C9936, ""薪資""))), ""內部轉帳(忽略)"",
  REGEXMATCH(C9936, ""薪資""), ""薪資變動(不計入)"",
  REGEXMATCH(C9936, ""押金""), ""押金往來"",
  AND(E9936&lt;&gt;"""", F9936=""""), ""真實支出"",
  AND(E9936="""", F9936&lt;&gt;""""), ""真實收入"",
  TRUE, ""其他""
)"),"其他")</f>
        <v>其他</v>
      </c>
      <c r="K9936" s="270" t="str">
        <f t="shared" si="2"/>
        <v/>
      </c>
      <c r="L9936">
        <f t="shared" si="3"/>
        <v>0</v>
      </c>
    </row>
    <row r="9937">
      <c r="A9937" s="107"/>
      <c r="D9937" s="270"/>
      <c r="H9937" s="106" t="str">
        <f t="shared" si="1"/>
        <v/>
      </c>
      <c r="J9937" t="str">
        <f>IFERROR(__xludf.DUMMYFUNCTION("IFS(
  AND(REGEXMATCH(E9937, ""台銀籌備帳戶|玉山帳戶""), REGEXMATCH(C9937, ""薪資"")), ""分潤支出"",
  AND(REGEXMATCH(E9937, ""Ben帳戶|Elsa帳戶|Ben代墊|Ariel代墊|中信銀行共用""), REGEXMATCH(F9937, ""Ben帳戶|Elsa帳戶|Ben代墊|Ariel代墊|中信銀行共用"")), ""內部轉帳(忽略)"",
  AND(E9937&lt;&gt;"""", F9937&lt;&gt;"""", N"&amp;"OT(REGEXMATCH(C9937, ""薪資""))), ""內部轉帳(忽略)"",
  REGEXMATCH(C9937, ""薪資""), ""薪資變動(不計入)"",
  REGEXMATCH(C9937, ""押金""), ""押金往來"",
  AND(E9937&lt;&gt;"""", F9937=""""), ""真實支出"",
  AND(E9937="""", F9937&lt;&gt;""""), ""真實收入"",
  TRUE, ""其他""
)"),"其他")</f>
        <v>其他</v>
      </c>
      <c r="K9937" s="270" t="str">
        <f t="shared" si="2"/>
        <v/>
      </c>
      <c r="L9937">
        <f t="shared" si="3"/>
        <v>0</v>
      </c>
    </row>
    <row r="9938">
      <c r="A9938" s="107"/>
      <c r="D9938" s="270"/>
      <c r="H9938" s="106" t="str">
        <f t="shared" si="1"/>
        <v/>
      </c>
      <c r="J9938" t="str">
        <f>IFERROR(__xludf.DUMMYFUNCTION("IFS(
  AND(REGEXMATCH(E9938, ""台銀籌備帳戶|玉山帳戶""), REGEXMATCH(C9938, ""薪資"")), ""分潤支出"",
  AND(REGEXMATCH(E9938, ""Ben帳戶|Elsa帳戶|Ben代墊|Ariel代墊|中信銀行共用""), REGEXMATCH(F9938, ""Ben帳戶|Elsa帳戶|Ben代墊|Ariel代墊|中信銀行共用"")), ""內部轉帳(忽略)"",
  AND(E9938&lt;&gt;"""", F9938&lt;&gt;"""", N"&amp;"OT(REGEXMATCH(C9938, ""薪資""))), ""內部轉帳(忽略)"",
  REGEXMATCH(C9938, ""薪資""), ""薪資變動(不計入)"",
  REGEXMATCH(C9938, ""押金""), ""押金往來"",
  AND(E9938&lt;&gt;"""", F9938=""""), ""真實支出"",
  AND(E9938="""", F9938&lt;&gt;""""), ""真實收入"",
  TRUE, ""其他""
)"),"其他")</f>
        <v>其他</v>
      </c>
      <c r="K9938" s="270" t="str">
        <f t="shared" si="2"/>
        <v/>
      </c>
      <c r="L9938">
        <f t="shared" si="3"/>
        <v>0</v>
      </c>
    </row>
    <row r="9939">
      <c r="A9939" s="107"/>
      <c r="D9939" s="270"/>
      <c r="H9939" s="106" t="str">
        <f t="shared" si="1"/>
        <v/>
      </c>
      <c r="J9939" t="str">
        <f>IFERROR(__xludf.DUMMYFUNCTION("IFS(
  AND(REGEXMATCH(E9939, ""台銀籌備帳戶|玉山帳戶""), REGEXMATCH(C9939, ""薪資"")), ""分潤支出"",
  AND(REGEXMATCH(E9939, ""Ben帳戶|Elsa帳戶|Ben代墊|Ariel代墊|中信銀行共用""), REGEXMATCH(F9939, ""Ben帳戶|Elsa帳戶|Ben代墊|Ariel代墊|中信銀行共用"")), ""內部轉帳(忽略)"",
  AND(E9939&lt;&gt;"""", F9939&lt;&gt;"""", N"&amp;"OT(REGEXMATCH(C9939, ""薪資""))), ""內部轉帳(忽略)"",
  REGEXMATCH(C9939, ""薪資""), ""薪資變動(不計入)"",
  REGEXMATCH(C9939, ""押金""), ""押金往來"",
  AND(E9939&lt;&gt;"""", F9939=""""), ""真實支出"",
  AND(E9939="""", F9939&lt;&gt;""""), ""真實收入"",
  TRUE, ""其他""
)"),"其他")</f>
        <v>其他</v>
      </c>
      <c r="K9939" s="270" t="str">
        <f t="shared" si="2"/>
        <v/>
      </c>
      <c r="L9939">
        <f t="shared" si="3"/>
        <v>0</v>
      </c>
    </row>
    <row r="9940">
      <c r="A9940" s="107"/>
      <c r="D9940" s="270"/>
      <c r="H9940" s="106" t="str">
        <f t="shared" si="1"/>
        <v/>
      </c>
      <c r="J9940" t="str">
        <f>IFERROR(__xludf.DUMMYFUNCTION("IFS(
  AND(REGEXMATCH(E9940, ""台銀籌備帳戶|玉山帳戶""), REGEXMATCH(C9940, ""薪資"")), ""分潤支出"",
  AND(REGEXMATCH(E9940, ""Ben帳戶|Elsa帳戶|Ben代墊|Ariel代墊|中信銀行共用""), REGEXMATCH(F9940, ""Ben帳戶|Elsa帳戶|Ben代墊|Ariel代墊|中信銀行共用"")), ""內部轉帳(忽略)"",
  AND(E9940&lt;&gt;"""", F9940&lt;&gt;"""", N"&amp;"OT(REGEXMATCH(C9940, ""薪資""))), ""內部轉帳(忽略)"",
  REGEXMATCH(C9940, ""薪資""), ""薪資變動(不計入)"",
  REGEXMATCH(C9940, ""押金""), ""押金往來"",
  AND(E9940&lt;&gt;"""", F9940=""""), ""真實支出"",
  AND(E9940="""", F9940&lt;&gt;""""), ""真實收入"",
  TRUE, ""其他""
)"),"其他")</f>
        <v>其他</v>
      </c>
      <c r="K9940" s="270" t="str">
        <f t="shared" si="2"/>
        <v/>
      </c>
      <c r="L9940">
        <f t="shared" si="3"/>
        <v>0</v>
      </c>
    </row>
    <row r="9941">
      <c r="A9941" s="107"/>
      <c r="D9941" s="270"/>
      <c r="H9941" s="106" t="str">
        <f t="shared" si="1"/>
        <v/>
      </c>
      <c r="J9941" t="str">
        <f>IFERROR(__xludf.DUMMYFUNCTION("IFS(
  AND(REGEXMATCH(E9941, ""台銀籌備帳戶|玉山帳戶""), REGEXMATCH(C9941, ""薪資"")), ""分潤支出"",
  AND(REGEXMATCH(E9941, ""Ben帳戶|Elsa帳戶|Ben代墊|Ariel代墊|中信銀行共用""), REGEXMATCH(F9941, ""Ben帳戶|Elsa帳戶|Ben代墊|Ariel代墊|中信銀行共用"")), ""內部轉帳(忽略)"",
  AND(E9941&lt;&gt;"""", F9941&lt;&gt;"""", N"&amp;"OT(REGEXMATCH(C9941, ""薪資""))), ""內部轉帳(忽略)"",
  REGEXMATCH(C9941, ""薪資""), ""薪資變動(不計入)"",
  REGEXMATCH(C9941, ""押金""), ""押金往來"",
  AND(E9941&lt;&gt;"""", F9941=""""), ""真實支出"",
  AND(E9941="""", F9941&lt;&gt;""""), ""真實收入"",
  TRUE, ""其他""
)"),"其他")</f>
        <v>其他</v>
      </c>
      <c r="K9941" s="270" t="str">
        <f t="shared" si="2"/>
        <v/>
      </c>
      <c r="L9941">
        <f t="shared" si="3"/>
        <v>0</v>
      </c>
    </row>
    <row r="9942">
      <c r="A9942" s="107"/>
      <c r="D9942" s="270"/>
      <c r="H9942" s="106" t="str">
        <f t="shared" si="1"/>
        <v/>
      </c>
      <c r="J9942" t="str">
        <f>IFERROR(__xludf.DUMMYFUNCTION("IFS(
  AND(REGEXMATCH(E9942, ""台銀籌備帳戶|玉山帳戶""), REGEXMATCH(C9942, ""薪資"")), ""分潤支出"",
  AND(REGEXMATCH(E9942, ""Ben帳戶|Elsa帳戶|Ben代墊|Ariel代墊|中信銀行共用""), REGEXMATCH(F9942, ""Ben帳戶|Elsa帳戶|Ben代墊|Ariel代墊|中信銀行共用"")), ""內部轉帳(忽略)"",
  AND(E9942&lt;&gt;"""", F9942&lt;&gt;"""", N"&amp;"OT(REGEXMATCH(C9942, ""薪資""))), ""內部轉帳(忽略)"",
  REGEXMATCH(C9942, ""薪資""), ""薪資變動(不計入)"",
  REGEXMATCH(C9942, ""押金""), ""押金往來"",
  AND(E9942&lt;&gt;"""", F9942=""""), ""真實支出"",
  AND(E9942="""", F9942&lt;&gt;""""), ""真實收入"",
  TRUE, ""其他""
)"),"其他")</f>
        <v>其他</v>
      </c>
      <c r="K9942" s="270" t="str">
        <f t="shared" si="2"/>
        <v/>
      </c>
      <c r="L9942">
        <f t="shared" si="3"/>
        <v>0</v>
      </c>
    </row>
    <row r="9943">
      <c r="A9943" s="107"/>
      <c r="D9943" s="270"/>
      <c r="H9943" s="106" t="str">
        <f t="shared" si="1"/>
        <v/>
      </c>
      <c r="J9943" t="str">
        <f>IFERROR(__xludf.DUMMYFUNCTION("IFS(
  AND(REGEXMATCH(E9943, ""台銀籌備帳戶|玉山帳戶""), REGEXMATCH(C9943, ""薪資"")), ""分潤支出"",
  AND(REGEXMATCH(E9943, ""Ben帳戶|Elsa帳戶|Ben代墊|Ariel代墊|中信銀行共用""), REGEXMATCH(F9943, ""Ben帳戶|Elsa帳戶|Ben代墊|Ariel代墊|中信銀行共用"")), ""內部轉帳(忽略)"",
  AND(E9943&lt;&gt;"""", F9943&lt;&gt;"""", N"&amp;"OT(REGEXMATCH(C9943, ""薪資""))), ""內部轉帳(忽略)"",
  REGEXMATCH(C9943, ""薪資""), ""薪資變動(不計入)"",
  REGEXMATCH(C9943, ""押金""), ""押金往來"",
  AND(E9943&lt;&gt;"""", F9943=""""), ""真實支出"",
  AND(E9943="""", F9943&lt;&gt;""""), ""真實收入"",
  TRUE, ""其他""
)"),"其他")</f>
        <v>其他</v>
      </c>
      <c r="K9943" s="270" t="str">
        <f t="shared" si="2"/>
        <v/>
      </c>
      <c r="L9943">
        <f t="shared" si="3"/>
        <v>0</v>
      </c>
    </row>
    <row r="9944">
      <c r="A9944" s="107"/>
      <c r="D9944" s="270"/>
      <c r="H9944" s="106" t="str">
        <f t="shared" si="1"/>
        <v/>
      </c>
      <c r="J9944" t="str">
        <f>IFERROR(__xludf.DUMMYFUNCTION("IFS(
  AND(REGEXMATCH(E9944, ""台銀籌備帳戶|玉山帳戶""), REGEXMATCH(C9944, ""薪資"")), ""分潤支出"",
  AND(REGEXMATCH(E9944, ""Ben帳戶|Elsa帳戶|Ben代墊|Ariel代墊|中信銀行共用""), REGEXMATCH(F9944, ""Ben帳戶|Elsa帳戶|Ben代墊|Ariel代墊|中信銀行共用"")), ""內部轉帳(忽略)"",
  AND(E9944&lt;&gt;"""", F9944&lt;&gt;"""", N"&amp;"OT(REGEXMATCH(C9944, ""薪資""))), ""內部轉帳(忽略)"",
  REGEXMATCH(C9944, ""薪資""), ""薪資變動(不計入)"",
  REGEXMATCH(C9944, ""押金""), ""押金往來"",
  AND(E9944&lt;&gt;"""", F9944=""""), ""真實支出"",
  AND(E9944="""", F9944&lt;&gt;""""), ""真實收入"",
  TRUE, ""其他""
)"),"其他")</f>
        <v>其他</v>
      </c>
      <c r="K9944" s="270" t="str">
        <f t="shared" si="2"/>
        <v/>
      </c>
      <c r="L9944">
        <f t="shared" si="3"/>
        <v>0</v>
      </c>
    </row>
    <row r="9945">
      <c r="A9945" s="107"/>
      <c r="D9945" s="270"/>
      <c r="H9945" s="106" t="str">
        <f t="shared" si="1"/>
        <v/>
      </c>
      <c r="J9945" t="str">
        <f>IFERROR(__xludf.DUMMYFUNCTION("IFS(
  AND(REGEXMATCH(E9945, ""台銀籌備帳戶|玉山帳戶""), REGEXMATCH(C9945, ""薪資"")), ""分潤支出"",
  AND(REGEXMATCH(E9945, ""Ben帳戶|Elsa帳戶|Ben代墊|Ariel代墊|中信銀行共用""), REGEXMATCH(F9945, ""Ben帳戶|Elsa帳戶|Ben代墊|Ariel代墊|中信銀行共用"")), ""內部轉帳(忽略)"",
  AND(E9945&lt;&gt;"""", F9945&lt;&gt;"""", N"&amp;"OT(REGEXMATCH(C9945, ""薪資""))), ""內部轉帳(忽略)"",
  REGEXMATCH(C9945, ""薪資""), ""薪資變動(不計入)"",
  REGEXMATCH(C9945, ""押金""), ""押金往來"",
  AND(E9945&lt;&gt;"""", F9945=""""), ""真實支出"",
  AND(E9945="""", F9945&lt;&gt;""""), ""真實收入"",
  TRUE, ""其他""
)"),"其他")</f>
        <v>其他</v>
      </c>
      <c r="K9945" s="270" t="str">
        <f t="shared" si="2"/>
        <v/>
      </c>
      <c r="L9945">
        <f t="shared" si="3"/>
        <v>0</v>
      </c>
    </row>
    <row r="9946">
      <c r="A9946" s="107"/>
      <c r="D9946" s="270"/>
      <c r="H9946" s="106" t="str">
        <f t="shared" si="1"/>
        <v/>
      </c>
      <c r="J9946" t="str">
        <f>IFERROR(__xludf.DUMMYFUNCTION("IFS(
  AND(REGEXMATCH(E9946, ""台銀籌備帳戶|玉山帳戶""), REGEXMATCH(C9946, ""薪資"")), ""分潤支出"",
  AND(REGEXMATCH(E9946, ""Ben帳戶|Elsa帳戶|Ben代墊|Ariel代墊|中信銀行共用""), REGEXMATCH(F9946, ""Ben帳戶|Elsa帳戶|Ben代墊|Ariel代墊|中信銀行共用"")), ""內部轉帳(忽略)"",
  AND(E9946&lt;&gt;"""", F9946&lt;&gt;"""", N"&amp;"OT(REGEXMATCH(C9946, ""薪資""))), ""內部轉帳(忽略)"",
  REGEXMATCH(C9946, ""薪資""), ""薪資變動(不計入)"",
  REGEXMATCH(C9946, ""押金""), ""押金往來"",
  AND(E9946&lt;&gt;"""", F9946=""""), ""真實支出"",
  AND(E9946="""", F9946&lt;&gt;""""), ""真實收入"",
  TRUE, ""其他""
)"),"其他")</f>
        <v>其他</v>
      </c>
      <c r="K9946" s="270" t="str">
        <f t="shared" si="2"/>
        <v/>
      </c>
      <c r="L9946">
        <f t="shared" si="3"/>
        <v>0</v>
      </c>
    </row>
    <row r="9947">
      <c r="A9947" s="107"/>
      <c r="D9947" s="270"/>
      <c r="H9947" s="106" t="str">
        <f t="shared" si="1"/>
        <v/>
      </c>
      <c r="J9947" t="str">
        <f>IFERROR(__xludf.DUMMYFUNCTION("IFS(
  AND(REGEXMATCH(E9947, ""台銀籌備帳戶|玉山帳戶""), REGEXMATCH(C9947, ""薪資"")), ""分潤支出"",
  AND(REGEXMATCH(E9947, ""Ben帳戶|Elsa帳戶|Ben代墊|Ariel代墊|中信銀行共用""), REGEXMATCH(F9947, ""Ben帳戶|Elsa帳戶|Ben代墊|Ariel代墊|中信銀行共用"")), ""內部轉帳(忽略)"",
  AND(E9947&lt;&gt;"""", F9947&lt;&gt;"""", N"&amp;"OT(REGEXMATCH(C9947, ""薪資""))), ""內部轉帳(忽略)"",
  REGEXMATCH(C9947, ""薪資""), ""薪資變動(不計入)"",
  REGEXMATCH(C9947, ""押金""), ""押金往來"",
  AND(E9947&lt;&gt;"""", F9947=""""), ""真實支出"",
  AND(E9947="""", F9947&lt;&gt;""""), ""真實收入"",
  TRUE, ""其他""
)"),"其他")</f>
        <v>其他</v>
      </c>
      <c r="K9947" s="270" t="str">
        <f t="shared" si="2"/>
        <v/>
      </c>
      <c r="L9947">
        <f t="shared" si="3"/>
        <v>0</v>
      </c>
    </row>
    <row r="9948">
      <c r="A9948" s="107"/>
      <c r="D9948" s="270"/>
      <c r="H9948" s="106" t="str">
        <f t="shared" si="1"/>
        <v/>
      </c>
      <c r="J9948" t="str">
        <f>IFERROR(__xludf.DUMMYFUNCTION("IFS(
  AND(REGEXMATCH(E9948, ""台銀籌備帳戶|玉山帳戶""), REGEXMATCH(C9948, ""薪資"")), ""分潤支出"",
  AND(REGEXMATCH(E9948, ""Ben帳戶|Elsa帳戶|Ben代墊|Ariel代墊|中信銀行共用""), REGEXMATCH(F9948, ""Ben帳戶|Elsa帳戶|Ben代墊|Ariel代墊|中信銀行共用"")), ""內部轉帳(忽略)"",
  AND(E9948&lt;&gt;"""", F9948&lt;&gt;"""", N"&amp;"OT(REGEXMATCH(C9948, ""薪資""))), ""內部轉帳(忽略)"",
  REGEXMATCH(C9948, ""薪資""), ""薪資變動(不計入)"",
  REGEXMATCH(C9948, ""押金""), ""押金往來"",
  AND(E9948&lt;&gt;"""", F9948=""""), ""真實支出"",
  AND(E9948="""", F9948&lt;&gt;""""), ""真實收入"",
  TRUE, ""其他""
)"),"其他")</f>
        <v>其他</v>
      </c>
      <c r="K9948" s="270" t="str">
        <f t="shared" si="2"/>
        <v/>
      </c>
      <c r="L9948">
        <f t="shared" si="3"/>
        <v>0</v>
      </c>
    </row>
    <row r="9949">
      <c r="A9949" s="107"/>
      <c r="D9949" s="270"/>
      <c r="H9949" s="106" t="str">
        <f t="shared" si="1"/>
        <v/>
      </c>
      <c r="J9949" t="str">
        <f>IFERROR(__xludf.DUMMYFUNCTION("IFS(
  AND(REGEXMATCH(E9949, ""台銀籌備帳戶|玉山帳戶""), REGEXMATCH(C9949, ""薪資"")), ""分潤支出"",
  AND(REGEXMATCH(E9949, ""Ben帳戶|Elsa帳戶|Ben代墊|Ariel代墊|中信銀行共用""), REGEXMATCH(F9949, ""Ben帳戶|Elsa帳戶|Ben代墊|Ariel代墊|中信銀行共用"")), ""內部轉帳(忽略)"",
  AND(E9949&lt;&gt;"""", F9949&lt;&gt;"""", N"&amp;"OT(REGEXMATCH(C9949, ""薪資""))), ""內部轉帳(忽略)"",
  REGEXMATCH(C9949, ""薪資""), ""薪資變動(不計入)"",
  REGEXMATCH(C9949, ""押金""), ""押金往來"",
  AND(E9949&lt;&gt;"""", F9949=""""), ""真實支出"",
  AND(E9949="""", F9949&lt;&gt;""""), ""真實收入"",
  TRUE, ""其他""
)"),"其他")</f>
        <v>其他</v>
      </c>
      <c r="K9949" s="270" t="str">
        <f t="shared" si="2"/>
        <v/>
      </c>
      <c r="L9949">
        <f t="shared" si="3"/>
        <v>0</v>
      </c>
    </row>
    <row r="9950">
      <c r="A9950" s="107"/>
      <c r="D9950" s="270"/>
      <c r="H9950" s="106" t="str">
        <f t="shared" si="1"/>
        <v/>
      </c>
      <c r="J9950" t="str">
        <f>IFERROR(__xludf.DUMMYFUNCTION("IFS(
  AND(REGEXMATCH(E9950, ""台銀籌備帳戶|玉山帳戶""), REGEXMATCH(C9950, ""薪資"")), ""分潤支出"",
  AND(REGEXMATCH(E9950, ""Ben帳戶|Elsa帳戶|Ben代墊|Ariel代墊|中信銀行共用""), REGEXMATCH(F9950, ""Ben帳戶|Elsa帳戶|Ben代墊|Ariel代墊|中信銀行共用"")), ""內部轉帳(忽略)"",
  AND(E9950&lt;&gt;"""", F9950&lt;&gt;"""", N"&amp;"OT(REGEXMATCH(C9950, ""薪資""))), ""內部轉帳(忽略)"",
  REGEXMATCH(C9950, ""薪資""), ""薪資變動(不計入)"",
  REGEXMATCH(C9950, ""押金""), ""押金往來"",
  AND(E9950&lt;&gt;"""", F9950=""""), ""真實支出"",
  AND(E9950="""", F9950&lt;&gt;""""), ""真實收入"",
  TRUE, ""其他""
)"),"其他")</f>
        <v>其他</v>
      </c>
      <c r="K9950" s="270" t="str">
        <f t="shared" si="2"/>
        <v/>
      </c>
      <c r="L9950">
        <f t="shared" si="3"/>
        <v>0</v>
      </c>
    </row>
    <row r="9951">
      <c r="A9951" s="107"/>
      <c r="D9951" s="270"/>
      <c r="H9951" s="106" t="str">
        <f t="shared" si="1"/>
        <v/>
      </c>
      <c r="J9951" t="str">
        <f>IFERROR(__xludf.DUMMYFUNCTION("IFS(
  AND(REGEXMATCH(E9951, ""台銀籌備帳戶|玉山帳戶""), REGEXMATCH(C9951, ""薪資"")), ""分潤支出"",
  AND(REGEXMATCH(E9951, ""Ben帳戶|Elsa帳戶|Ben代墊|Ariel代墊|中信銀行共用""), REGEXMATCH(F9951, ""Ben帳戶|Elsa帳戶|Ben代墊|Ariel代墊|中信銀行共用"")), ""內部轉帳(忽略)"",
  AND(E9951&lt;&gt;"""", F9951&lt;&gt;"""", N"&amp;"OT(REGEXMATCH(C9951, ""薪資""))), ""內部轉帳(忽略)"",
  REGEXMATCH(C9951, ""薪資""), ""薪資變動(不計入)"",
  REGEXMATCH(C9951, ""押金""), ""押金往來"",
  AND(E9951&lt;&gt;"""", F9951=""""), ""真實支出"",
  AND(E9951="""", F9951&lt;&gt;""""), ""真實收入"",
  TRUE, ""其他""
)"),"其他")</f>
        <v>其他</v>
      </c>
      <c r="K9951" s="270" t="str">
        <f t="shared" si="2"/>
        <v/>
      </c>
      <c r="L9951">
        <f t="shared" si="3"/>
        <v>0</v>
      </c>
    </row>
    <row r="9952">
      <c r="A9952" s="107"/>
      <c r="D9952" s="270"/>
      <c r="H9952" s="106" t="str">
        <f t="shared" si="1"/>
        <v/>
      </c>
      <c r="J9952" t="str">
        <f>IFERROR(__xludf.DUMMYFUNCTION("IFS(
  AND(REGEXMATCH(E9952, ""台銀籌備帳戶|玉山帳戶""), REGEXMATCH(C9952, ""薪資"")), ""分潤支出"",
  AND(REGEXMATCH(E9952, ""Ben帳戶|Elsa帳戶|Ben代墊|Ariel代墊|中信銀行共用""), REGEXMATCH(F9952, ""Ben帳戶|Elsa帳戶|Ben代墊|Ariel代墊|中信銀行共用"")), ""內部轉帳(忽略)"",
  AND(E9952&lt;&gt;"""", F9952&lt;&gt;"""", N"&amp;"OT(REGEXMATCH(C9952, ""薪資""))), ""內部轉帳(忽略)"",
  REGEXMATCH(C9952, ""薪資""), ""薪資變動(不計入)"",
  REGEXMATCH(C9952, ""押金""), ""押金往來"",
  AND(E9952&lt;&gt;"""", F9952=""""), ""真實支出"",
  AND(E9952="""", F9952&lt;&gt;""""), ""真實收入"",
  TRUE, ""其他""
)"),"其他")</f>
        <v>其他</v>
      </c>
      <c r="K9952" s="270" t="str">
        <f t="shared" si="2"/>
        <v/>
      </c>
      <c r="L9952">
        <f t="shared" si="3"/>
        <v>0</v>
      </c>
    </row>
    <row r="9953">
      <c r="A9953" s="107"/>
      <c r="D9953" s="270"/>
      <c r="H9953" s="106" t="str">
        <f t="shared" si="1"/>
        <v/>
      </c>
      <c r="J9953" t="str">
        <f>IFERROR(__xludf.DUMMYFUNCTION("IFS(
  AND(REGEXMATCH(E9953, ""台銀籌備帳戶|玉山帳戶""), REGEXMATCH(C9953, ""薪資"")), ""分潤支出"",
  AND(REGEXMATCH(E9953, ""Ben帳戶|Elsa帳戶|Ben代墊|Ariel代墊|中信銀行共用""), REGEXMATCH(F9953, ""Ben帳戶|Elsa帳戶|Ben代墊|Ariel代墊|中信銀行共用"")), ""內部轉帳(忽略)"",
  AND(E9953&lt;&gt;"""", F9953&lt;&gt;"""", N"&amp;"OT(REGEXMATCH(C9953, ""薪資""))), ""內部轉帳(忽略)"",
  REGEXMATCH(C9953, ""薪資""), ""薪資變動(不計入)"",
  REGEXMATCH(C9953, ""押金""), ""押金往來"",
  AND(E9953&lt;&gt;"""", F9953=""""), ""真實支出"",
  AND(E9953="""", F9953&lt;&gt;""""), ""真實收入"",
  TRUE, ""其他""
)"),"其他")</f>
        <v>其他</v>
      </c>
      <c r="K9953" s="270" t="str">
        <f t="shared" si="2"/>
        <v/>
      </c>
      <c r="L9953">
        <f t="shared" si="3"/>
        <v>0</v>
      </c>
    </row>
    <row r="9954">
      <c r="A9954" s="107"/>
      <c r="D9954" s="270"/>
      <c r="H9954" s="106" t="str">
        <f t="shared" si="1"/>
        <v/>
      </c>
      <c r="J9954" t="str">
        <f>IFERROR(__xludf.DUMMYFUNCTION("IFS(
  AND(REGEXMATCH(E9954, ""台銀籌備帳戶|玉山帳戶""), REGEXMATCH(C9954, ""薪資"")), ""分潤支出"",
  AND(REGEXMATCH(E9954, ""Ben帳戶|Elsa帳戶|Ben代墊|Ariel代墊|中信銀行共用""), REGEXMATCH(F9954, ""Ben帳戶|Elsa帳戶|Ben代墊|Ariel代墊|中信銀行共用"")), ""內部轉帳(忽略)"",
  AND(E9954&lt;&gt;"""", F9954&lt;&gt;"""", N"&amp;"OT(REGEXMATCH(C9954, ""薪資""))), ""內部轉帳(忽略)"",
  REGEXMATCH(C9954, ""薪資""), ""薪資變動(不計入)"",
  REGEXMATCH(C9954, ""押金""), ""押金往來"",
  AND(E9954&lt;&gt;"""", F9954=""""), ""真實支出"",
  AND(E9954="""", F9954&lt;&gt;""""), ""真實收入"",
  TRUE, ""其他""
)"),"其他")</f>
        <v>其他</v>
      </c>
      <c r="K9954" s="270" t="str">
        <f t="shared" si="2"/>
        <v/>
      </c>
      <c r="L9954">
        <f t="shared" si="3"/>
        <v>0</v>
      </c>
    </row>
    <row r="9955">
      <c r="A9955" s="107"/>
      <c r="D9955" s="270"/>
      <c r="H9955" s="106" t="str">
        <f t="shared" si="1"/>
        <v/>
      </c>
      <c r="J9955" t="str">
        <f>IFERROR(__xludf.DUMMYFUNCTION("IFS(
  AND(REGEXMATCH(E9955, ""台銀籌備帳戶|玉山帳戶""), REGEXMATCH(C9955, ""薪資"")), ""分潤支出"",
  AND(REGEXMATCH(E9955, ""Ben帳戶|Elsa帳戶|Ben代墊|Ariel代墊|中信銀行共用""), REGEXMATCH(F9955, ""Ben帳戶|Elsa帳戶|Ben代墊|Ariel代墊|中信銀行共用"")), ""內部轉帳(忽略)"",
  AND(E9955&lt;&gt;"""", F9955&lt;&gt;"""", N"&amp;"OT(REGEXMATCH(C9955, ""薪資""))), ""內部轉帳(忽略)"",
  REGEXMATCH(C9955, ""薪資""), ""薪資變動(不計入)"",
  REGEXMATCH(C9955, ""押金""), ""押金往來"",
  AND(E9955&lt;&gt;"""", F9955=""""), ""真實支出"",
  AND(E9955="""", F9955&lt;&gt;""""), ""真實收入"",
  TRUE, ""其他""
)"),"其他")</f>
        <v>其他</v>
      </c>
      <c r="K9955" s="270" t="str">
        <f t="shared" si="2"/>
        <v/>
      </c>
      <c r="L9955">
        <f t="shared" si="3"/>
        <v>0</v>
      </c>
    </row>
    <row r="9956">
      <c r="A9956" s="107"/>
      <c r="D9956" s="270"/>
      <c r="H9956" s="106" t="str">
        <f t="shared" si="1"/>
        <v/>
      </c>
      <c r="J9956" t="str">
        <f>IFERROR(__xludf.DUMMYFUNCTION("IFS(
  AND(REGEXMATCH(E9956, ""台銀籌備帳戶|玉山帳戶""), REGEXMATCH(C9956, ""薪資"")), ""分潤支出"",
  AND(REGEXMATCH(E9956, ""Ben帳戶|Elsa帳戶|Ben代墊|Ariel代墊|中信銀行共用""), REGEXMATCH(F9956, ""Ben帳戶|Elsa帳戶|Ben代墊|Ariel代墊|中信銀行共用"")), ""內部轉帳(忽略)"",
  AND(E9956&lt;&gt;"""", F9956&lt;&gt;"""", N"&amp;"OT(REGEXMATCH(C9956, ""薪資""))), ""內部轉帳(忽略)"",
  REGEXMATCH(C9956, ""薪資""), ""薪資變動(不計入)"",
  REGEXMATCH(C9956, ""押金""), ""押金往來"",
  AND(E9956&lt;&gt;"""", F9956=""""), ""真實支出"",
  AND(E9956="""", F9956&lt;&gt;""""), ""真實收入"",
  TRUE, ""其他""
)"),"其他")</f>
        <v>其他</v>
      </c>
      <c r="K9956" s="270" t="str">
        <f t="shared" si="2"/>
        <v/>
      </c>
      <c r="L9956">
        <f t="shared" si="3"/>
        <v>0</v>
      </c>
    </row>
    <row r="9957">
      <c r="A9957" s="107"/>
      <c r="D9957" s="270"/>
      <c r="H9957" s="106" t="str">
        <f t="shared" si="1"/>
        <v/>
      </c>
      <c r="J9957" t="str">
        <f>IFERROR(__xludf.DUMMYFUNCTION("IFS(
  AND(REGEXMATCH(E9957, ""台銀籌備帳戶|玉山帳戶""), REGEXMATCH(C9957, ""薪資"")), ""分潤支出"",
  AND(REGEXMATCH(E9957, ""Ben帳戶|Elsa帳戶|Ben代墊|Ariel代墊|中信銀行共用""), REGEXMATCH(F9957, ""Ben帳戶|Elsa帳戶|Ben代墊|Ariel代墊|中信銀行共用"")), ""內部轉帳(忽略)"",
  AND(E9957&lt;&gt;"""", F9957&lt;&gt;"""", N"&amp;"OT(REGEXMATCH(C9957, ""薪資""))), ""內部轉帳(忽略)"",
  REGEXMATCH(C9957, ""薪資""), ""薪資變動(不計入)"",
  REGEXMATCH(C9957, ""押金""), ""押金往來"",
  AND(E9957&lt;&gt;"""", F9957=""""), ""真實支出"",
  AND(E9957="""", F9957&lt;&gt;""""), ""真實收入"",
  TRUE, ""其他""
)"),"其他")</f>
        <v>其他</v>
      </c>
      <c r="K9957" s="270" t="str">
        <f t="shared" si="2"/>
        <v/>
      </c>
      <c r="L9957">
        <f t="shared" si="3"/>
        <v>0</v>
      </c>
    </row>
    <row r="9958">
      <c r="A9958" s="107"/>
      <c r="D9958" s="270"/>
      <c r="H9958" s="106" t="str">
        <f t="shared" si="1"/>
        <v/>
      </c>
      <c r="J9958" t="str">
        <f>IFERROR(__xludf.DUMMYFUNCTION("IFS(
  AND(REGEXMATCH(E9958, ""台銀籌備帳戶|玉山帳戶""), REGEXMATCH(C9958, ""薪資"")), ""分潤支出"",
  AND(REGEXMATCH(E9958, ""Ben帳戶|Elsa帳戶|Ben代墊|Ariel代墊|中信銀行共用""), REGEXMATCH(F9958, ""Ben帳戶|Elsa帳戶|Ben代墊|Ariel代墊|中信銀行共用"")), ""內部轉帳(忽略)"",
  AND(E9958&lt;&gt;"""", F9958&lt;&gt;"""", N"&amp;"OT(REGEXMATCH(C9958, ""薪資""))), ""內部轉帳(忽略)"",
  REGEXMATCH(C9958, ""薪資""), ""薪資變動(不計入)"",
  REGEXMATCH(C9958, ""押金""), ""押金往來"",
  AND(E9958&lt;&gt;"""", F9958=""""), ""真實支出"",
  AND(E9958="""", F9958&lt;&gt;""""), ""真實收入"",
  TRUE, ""其他""
)"),"其他")</f>
        <v>其他</v>
      </c>
      <c r="K9958" s="270" t="str">
        <f t="shared" si="2"/>
        <v/>
      </c>
      <c r="L9958">
        <f t="shared" si="3"/>
        <v>0</v>
      </c>
    </row>
    <row r="9959">
      <c r="A9959" s="107"/>
      <c r="D9959" s="270"/>
      <c r="H9959" s="106" t="str">
        <f t="shared" si="1"/>
        <v/>
      </c>
      <c r="J9959" t="str">
        <f>IFERROR(__xludf.DUMMYFUNCTION("IFS(
  AND(REGEXMATCH(E9959, ""台銀籌備帳戶|玉山帳戶""), REGEXMATCH(C9959, ""薪資"")), ""分潤支出"",
  AND(REGEXMATCH(E9959, ""Ben帳戶|Elsa帳戶|Ben代墊|Ariel代墊|中信銀行共用""), REGEXMATCH(F9959, ""Ben帳戶|Elsa帳戶|Ben代墊|Ariel代墊|中信銀行共用"")), ""內部轉帳(忽略)"",
  AND(E9959&lt;&gt;"""", F9959&lt;&gt;"""", N"&amp;"OT(REGEXMATCH(C9959, ""薪資""))), ""內部轉帳(忽略)"",
  REGEXMATCH(C9959, ""薪資""), ""薪資變動(不計入)"",
  REGEXMATCH(C9959, ""押金""), ""押金往來"",
  AND(E9959&lt;&gt;"""", F9959=""""), ""真實支出"",
  AND(E9959="""", F9959&lt;&gt;""""), ""真實收入"",
  TRUE, ""其他""
)"),"其他")</f>
        <v>其他</v>
      </c>
      <c r="K9959" s="270" t="str">
        <f t="shared" si="2"/>
        <v/>
      </c>
      <c r="L9959">
        <f t="shared" si="3"/>
        <v>0</v>
      </c>
    </row>
    <row r="9960">
      <c r="A9960" s="107"/>
      <c r="D9960" s="270"/>
      <c r="H9960" s="106" t="str">
        <f t="shared" si="1"/>
        <v/>
      </c>
      <c r="J9960" t="str">
        <f>IFERROR(__xludf.DUMMYFUNCTION("IFS(
  AND(REGEXMATCH(E9960, ""台銀籌備帳戶|玉山帳戶""), REGEXMATCH(C9960, ""薪資"")), ""分潤支出"",
  AND(REGEXMATCH(E9960, ""Ben帳戶|Elsa帳戶|Ben代墊|Ariel代墊|中信銀行共用""), REGEXMATCH(F9960, ""Ben帳戶|Elsa帳戶|Ben代墊|Ariel代墊|中信銀行共用"")), ""內部轉帳(忽略)"",
  AND(E9960&lt;&gt;"""", F9960&lt;&gt;"""", N"&amp;"OT(REGEXMATCH(C9960, ""薪資""))), ""內部轉帳(忽略)"",
  REGEXMATCH(C9960, ""薪資""), ""薪資變動(不計入)"",
  REGEXMATCH(C9960, ""押金""), ""押金往來"",
  AND(E9960&lt;&gt;"""", F9960=""""), ""真實支出"",
  AND(E9960="""", F9960&lt;&gt;""""), ""真實收入"",
  TRUE, ""其他""
)"),"其他")</f>
        <v>其他</v>
      </c>
      <c r="K9960" s="270" t="str">
        <f t="shared" si="2"/>
        <v/>
      </c>
      <c r="L9960">
        <f t="shared" si="3"/>
        <v>0</v>
      </c>
    </row>
    <row r="9961">
      <c r="A9961" s="107"/>
      <c r="D9961" s="270"/>
      <c r="H9961" s="106" t="str">
        <f t="shared" si="1"/>
        <v/>
      </c>
      <c r="J9961" t="str">
        <f>IFERROR(__xludf.DUMMYFUNCTION("IFS(
  AND(REGEXMATCH(E9961, ""台銀籌備帳戶|玉山帳戶""), REGEXMATCH(C9961, ""薪資"")), ""分潤支出"",
  AND(REGEXMATCH(E9961, ""Ben帳戶|Elsa帳戶|Ben代墊|Ariel代墊|中信銀行共用""), REGEXMATCH(F9961, ""Ben帳戶|Elsa帳戶|Ben代墊|Ariel代墊|中信銀行共用"")), ""內部轉帳(忽略)"",
  AND(E9961&lt;&gt;"""", F9961&lt;&gt;"""", N"&amp;"OT(REGEXMATCH(C9961, ""薪資""))), ""內部轉帳(忽略)"",
  REGEXMATCH(C9961, ""薪資""), ""薪資變動(不計入)"",
  REGEXMATCH(C9961, ""押金""), ""押金往來"",
  AND(E9961&lt;&gt;"""", F9961=""""), ""真實支出"",
  AND(E9961="""", F9961&lt;&gt;""""), ""真實收入"",
  TRUE, ""其他""
)"),"其他")</f>
        <v>其他</v>
      </c>
      <c r="K9961" s="270" t="str">
        <f t="shared" si="2"/>
        <v/>
      </c>
      <c r="L9961">
        <f t="shared" si="3"/>
        <v>0</v>
      </c>
    </row>
    <row r="9962">
      <c r="A9962" s="107"/>
      <c r="D9962" s="270"/>
      <c r="H9962" s="106" t="str">
        <f t="shared" si="1"/>
        <v/>
      </c>
      <c r="J9962" t="str">
        <f>IFERROR(__xludf.DUMMYFUNCTION("IFS(
  AND(REGEXMATCH(E9962, ""台銀籌備帳戶|玉山帳戶""), REGEXMATCH(C9962, ""薪資"")), ""分潤支出"",
  AND(REGEXMATCH(E9962, ""Ben帳戶|Elsa帳戶|Ben代墊|Ariel代墊|中信銀行共用""), REGEXMATCH(F9962, ""Ben帳戶|Elsa帳戶|Ben代墊|Ariel代墊|中信銀行共用"")), ""內部轉帳(忽略)"",
  AND(E9962&lt;&gt;"""", F9962&lt;&gt;"""", N"&amp;"OT(REGEXMATCH(C9962, ""薪資""))), ""內部轉帳(忽略)"",
  REGEXMATCH(C9962, ""薪資""), ""薪資變動(不計入)"",
  REGEXMATCH(C9962, ""押金""), ""押金往來"",
  AND(E9962&lt;&gt;"""", F9962=""""), ""真實支出"",
  AND(E9962="""", F9962&lt;&gt;""""), ""真實收入"",
  TRUE, ""其他""
)"),"其他")</f>
        <v>其他</v>
      </c>
      <c r="K9962" s="270" t="str">
        <f t="shared" si="2"/>
        <v/>
      </c>
      <c r="L9962">
        <f t="shared" si="3"/>
        <v>0</v>
      </c>
    </row>
    <row r="9963">
      <c r="A9963" s="107"/>
      <c r="D9963" s="270"/>
      <c r="H9963" s="106" t="str">
        <f t="shared" si="1"/>
        <v/>
      </c>
      <c r="J9963" t="str">
        <f>IFERROR(__xludf.DUMMYFUNCTION("IFS(
  AND(REGEXMATCH(E9963, ""台銀籌備帳戶|玉山帳戶""), REGEXMATCH(C9963, ""薪資"")), ""分潤支出"",
  AND(REGEXMATCH(E9963, ""Ben帳戶|Elsa帳戶|Ben代墊|Ariel代墊|中信銀行共用""), REGEXMATCH(F9963, ""Ben帳戶|Elsa帳戶|Ben代墊|Ariel代墊|中信銀行共用"")), ""內部轉帳(忽略)"",
  AND(E9963&lt;&gt;"""", F9963&lt;&gt;"""", N"&amp;"OT(REGEXMATCH(C9963, ""薪資""))), ""內部轉帳(忽略)"",
  REGEXMATCH(C9963, ""薪資""), ""薪資變動(不計入)"",
  REGEXMATCH(C9963, ""押金""), ""押金往來"",
  AND(E9963&lt;&gt;"""", F9963=""""), ""真實支出"",
  AND(E9963="""", F9963&lt;&gt;""""), ""真實收入"",
  TRUE, ""其他""
)"),"其他")</f>
        <v>其他</v>
      </c>
      <c r="K9963" s="270" t="str">
        <f t="shared" si="2"/>
        <v/>
      </c>
      <c r="L9963">
        <f t="shared" si="3"/>
        <v>0</v>
      </c>
    </row>
    <row r="9964">
      <c r="A9964" s="107"/>
      <c r="D9964" s="270"/>
      <c r="H9964" s="106" t="str">
        <f t="shared" si="1"/>
        <v/>
      </c>
      <c r="J9964" t="str">
        <f>IFERROR(__xludf.DUMMYFUNCTION("IFS(
  AND(REGEXMATCH(E9964, ""台銀籌備帳戶|玉山帳戶""), REGEXMATCH(C9964, ""薪資"")), ""分潤支出"",
  AND(REGEXMATCH(E9964, ""Ben帳戶|Elsa帳戶|Ben代墊|Ariel代墊|中信銀行共用""), REGEXMATCH(F9964, ""Ben帳戶|Elsa帳戶|Ben代墊|Ariel代墊|中信銀行共用"")), ""內部轉帳(忽略)"",
  AND(E9964&lt;&gt;"""", F9964&lt;&gt;"""", N"&amp;"OT(REGEXMATCH(C9964, ""薪資""))), ""內部轉帳(忽略)"",
  REGEXMATCH(C9964, ""薪資""), ""薪資變動(不計入)"",
  REGEXMATCH(C9964, ""押金""), ""押金往來"",
  AND(E9964&lt;&gt;"""", F9964=""""), ""真實支出"",
  AND(E9964="""", F9964&lt;&gt;""""), ""真實收入"",
  TRUE, ""其他""
)"),"其他")</f>
        <v>其他</v>
      </c>
      <c r="K9964" s="270" t="str">
        <f t="shared" si="2"/>
        <v/>
      </c>
      <c r="L9964">
        <f t="shared" si="3"/>
        <v>0</v>
      </c>
    </row>
    <row r="9965">
      <c r="A9965" s="107"/>
      <c r="D9965" s="270"/>
      <c r="H9965" s="106" t="str">
        <f t="shared" si="1"/>
        <v/>
      </c>
      <c r="J9965" t="str">
        <f>IFERROR(__xludf.DUMMYFUNCTION("IFS(
  AND(REGEXMATCH(E9965, ""台銀籌備帳戶|玉山帳戶""), REGEXMATCH(C9965, ""薪資"")), ""分潤支出"",
  AND(REGEXMATCH(E9965, ""Ben帳戶|Elsa帳戶|Ben代墊|Ariel代墊|中信銀行共用""), REGEXMATCH(F9965, ""Ben帳戶|Elsa帳戶|Ben代墊|Ariel代墊|中信銀行共用"")), ""內部轉帳(忽略)"",
  AND(E9965&lt;&gt;"""", F9965&lt;&gt;"""", N"&amp;"OT(REGEXMATCH(C9965, ""薪資""))), ""內部轉帳(忽略)"",
  REGEXMATCH(C9965, ""薪資""), ""薪資變動(不計入)"",
  REGEXMATCH(C9965, ""押金""), ""押金往來"",
  AND(E9965&lt;&gt;"""", F9965=""""), ""真實支出"",
  AND(E9965="""", F9965&lt;&gt;""""), ""真實收入"",
  TRUE, ""其他""
)"),"其他")</f>
        <v>其他</v>
      </c>
      <c r="K9965" s="270" t="str">
        <f t="shared" si="2"/>
        <v/>
      </c>
      <c r="L9965">
        <f t="shared" si="3"/>
        <v>0</v>
      </c>
    </row>
    <row r="9966">
      <c r="A9966" s="107"/>
      <c r="D9966" s="270"/>
      <c r="H9966" s="106" t="str">
        <f t="shared" si="1"/>
        <v/>
      </c>
      <c r="J9966" t="str">
        <f>IFERROR(__xludf.DUMMYFUNCTION("IFS(
  AND(REGEXMATCH(E9966, ""台銀籌備帳戶|玉山帳戶""), REGEXMATCH(C9966, ""薪資"")), ""分潤支出"",
  AND(REGEXMATCH(E9966, ""Ben帳戶|Elsa帳戶|Ben代墊|Ariel代墊|中信銀行共用""), REGEXMATCH(F9966, ""Ben帳戶|Elsa帳戶|Ben代墊|Ariel代墊|中信銀行共用"")), ""內部轉帳(忽略)"",
  AND(E9966&lt;&gt;"""", F9966&lt;&gt;"""", N"&amp;"OT(REGEXMATCH(C9966, ""薪資""))), ""內部轉帳(忽略)"",
  REGEXMATCH(C9966, ""薪資""), ""薪資變動(不計入)"",
  REGEXMATCH(C9966, ""押金""), ""押金往來"",
  AND(E9966&lt;&gt;"""", F9966=""""), ""真實支出"",
  AND(E9966="""", F9966&lt;&gt;""""), ""真實收入"",
  TRUE, ""其他""
)"),"其他")</f>
        <v>其他</v>
      </c>
      <c r="K9966" s="270" t="str">
        <f t="shared" si="2"/>
        <v/>
      </c>
      <c r="L9966">
        <f t="shared" si="3"/>
        <v>0</v>
      </c>
    </row>
    <row r="9967">
      <c r="A9967" s="107"/>
      <c r="D9967" s="270"/>
      <c r="H9967" s="106" t="str">
        <f t="shared" si="1"/>
        <v/>
      </c>
      <c r="J9967" t="str">
        <f>IFERROR(__xludf.DUMMYFUNCTION("IFS(
  AND(REGEXMATCH(E9967, ""台銀籌備帳戶|玉山帳戶""), REGEXMATCH(C9967, ""薪資"")), ""分潤支出"",
  AND(REGEXMATCH(E9967, ""Ben帳戶|Elsa帳戶|Ben代墊|Ariel代墊|中信銀行共用""), REGEXMATCH(F9967, ""Ben帳戶|Elsa帳戶|Ben代墊|Ariel代墊|中信銀行共用"")), ""內部轉帳(忽略)"",
  AND(E9967&lt;&gt;"""", F9967&lt;&gt;"""", N"&amp;"OT(REGEXMATCH(C9967, ""薪資""))), ""內部轉帳(忽略)"",
  REGEXMATCH(C9967, ""薪資""), ""薪資變動(不計入)"",
  REGEXMATCH(C9967, ""押金""), ""押金往來"",
  AND(E9967&lt;&gt;"""", F9967=""""), ""真實支出"",
  AND(E9967="""", F9967&lt;&gt;""""), ""真實收入"",
  TRUE, ""其他""
)"),"其他")</f>
        <v>其他</v>
      </c>
      <c r="K9967" s="270" t="str">
        <f t="shared" si="2"/>
        <v/>
      </c>
      <c r="L9967">
        <f t="shared" si="3"/>
        <v>0</v>
      </c>
    </row>
    <row r="9968">
      <c r="A9968" s="107"/>
      <c r="D9968" s="270"/>
      <c r="H9968" s="106" t="str">
        <f t="shared" si="1"/>
        <v/>
      </c>
      <c r="J9968" t="str">
        <f>IFERROR(__xludf.DUMMYFUNCTION("IFS(
  AND(REGEXMATCH(E9968, ""台銀籌備帳戶|玉山帳戶""), REGEXMATCH(C9968, ""薪資"")), ""分潤支出"",
  AND(REGEXMATCH(E9968, ""Ben帳戶|Elsa帳戶|Ben代墊|Ariel代墊|中信銀行共用""), REGEXMATCH(F9968, ""Ben帳戶|Elsa帳戶|Ben代墊|Ariel代墊|中信銀行共用"")), ""內部轉帳(忽略)"",
  AND(E9968&lt;&gt;"""", F9968&lt;&gt;"""", N"&amp;"OT(REGEXMATCH(C9968, ""薪資""))), ""內部轉帳(忽略)"",
  REGEXMATCH(C9968, ""薪資""), ""薪資變動(不計入)"",
  REGEXMATCH(C9968, ""押金""), ""押金往來"",
  AND(E9968&lt;&gt;"""", F9968=""""), ""真實支出"",
  AND(E9968="""", F9968&lt;&gt;""""), ""真實收入"",
  TRUE, ""其他""
)"),"其他")</f>
        <v>其他</v>
      </c>
      <c r="K9968" s="270" t="str">
        <f t="shared" si="2"/>
        <v/>
      </c>
      <c r="L9968">
        <f t="shared" si="3"/>
        <v>0</v>
      </c>
    </row>
    <row r="9969">
      <c r="A9969" s="107"/>
      <c r="D9969" s="270"/>
      <c r="H9969" s="106" t="str">
        <f t="shared" si="1"/>
        <v/>
      </c>
      <c r="J9969" t="str">
        <f>IFERROR(__xludf.DUMMYFUNCTION("IFS(
  AND(REGEXMATCH(E9969, ""台銀籌備帳戶|玉山帳戶""), REGEXMATCH(C9969, ""薪資"")), ""分潤支出"",
  AND(REGEXMATCH(E9969, ""Ben帳戶|Elsa帳戶|Ben代墊|Ariel代墊|中信銀行共用""), REGEXMATCH(F9969, ""Ben帳戶|Elsa帳戶|Ben代墊|Ariel代墊|中信銀行共用"")), ""內部轉帳(忽略)"",
  AND(E9969&lt;&gt;"""", F9969&lt;&gt;"""", N"&amp;"OT(REGEXMATCH(C9969, ""薪資""))), ""內部轉帳(忽略)"",
  REGEXMATCH(C9969, ""薪資""), ""薪資變動(不計入)"",
  REGEXMATCH(C9969, ""押金""), ""押金往來"",
  AND(E9969&lt;&gt;"""", F9969=""""), ""真實支出"",
  AND(E9969="""", F9969&lt;&gt;""""), ""真實收入"",
  TRUE, ""其他""
)"),"其他")</f>
        <v>其他</v>
      </c>
      <c r="K9969" s="270" t="str">
        <f t="shared" si="2"/>
        <v/>
      </c>
      <c r="L9969">
        <f t="shared" si="3"/>
        <v>0</v>
      </c>
    </row>
    <row r="9970">
      <c r="A9970" s="107"/>
      <c r="D9970" s="270"/>
      <c r="H9970" s="106" t="str">
        <f t="shared" si="1"/>
        <v/>
      </c>
      <c r="J9970" t="str">
        <f>IFERROR(__xludf.DUMMYFUNCTION("IFS(
  AND(REGEXMATCH(E9970, ""台銀籌備帳戶|玉山帳戶""), REGEXMATCH(C9970, ""薪資"")), ""分潤支出"",
  AND(REGEXMATCH(E9970, ""Ben帳戶|Elsa帳戶|Ben代墊|Ariel代墊|中信銀行共用""), REGEXMATCH(F9970, ""Ben帳戶|Elsa帳戶|Ben代墊|Ariel代墊|中信銀行共用"")), ""內部轉帳(忽略)"",
  AND(E9970&lt;&gt;"""", F9970&lt;&gt;"""", N"&amp;"OT(REGEXMATCH(C9970, ""薪資""))), ""內部轉帳(忽略)"",
  REGEXMATCH(C9970, ""薪資""), ""薪資變動(不計入)"",
  REGEXMATCH(C9970, ""押金""), ""押金往來"",
  AND(E9970&lt;&gt;"""", F9970=""""), ""真實支出"",
  AND(E9970="""", F9970&lt;&gt;""""), ""真實收入"",
  TRUE, ""其他""
)"),"其他")</f>
        <v>其他</v>
      </c>
      <c r="K9970" s="270" t="str">
        <f t="shared" si="2"/>
        <v/>
      </c>
      <c r="L9970">
        <f t="shared" si="3"/>
        <v>0</v>
      </c>
    </row>
    <row r="9971">
      <c r="A9971" s="107"/>
      <c r="D9971" s="270"/>
      <c r="H9971" s="106" t="str">
        <f t="shared" si="1"/>
        <v/>
      </c>
      <c r="J9971" t="str">
        <f>IFERROR(__xludf.DUMMYFUNCTION("IFS(
  AND(REGEXMATCH(E9971, ""台銀籌備帳戶|玉山帳戶""), REGEXMATCH(C9971, ""薪資"")), ""分潤支出"",
  AND(REGEXMATCH(E9971, ""Ben帳戶|Elsa帳戶|Ben代墊|Ariel代墊|中信銀行共用""), REGEXMATCH(F9971, ""Ben帳戶|Elsa帳戶|Ben代墊|Ariel代墊|中信銀行共用"")), ""內部轉帳(忽略)"",
  AND(E9971&lt;&gt;"""", F9971&lt;&gt;"""", N"&amp;"OT(REGEXMATCH(C9971, ""薪資""))), ""內部轉帳(忽略)"",
  REGEXMATCH(C9971, ""薪資""), ""薪資變動(不計入)"",
  REGEXMATCH(C9971, ""押金""), ""押金往來"",
  AND(E9971&lt;&gt;"""", F9971=""""), ""真實支出"",
  AND(E9971="""", F9971&lt;&gt;""""), ""真實收入"",
  TRUE, ""其他""
)"),"其他")</f>
        <v>其他</v>
      </c>
      <c r="K9971" s="270" t="str">
        <f t="shared" si="2"/>
        <v/>
      </c>
      <c r="L9971">
        <f t="shared" si="3"/>
        <v>0</v>
      </c>
    </row>
    <row r="9972">
      <c r="A9972" s="107"/>
      <c r="D9972" s="270"/>
      <c r="H9972" s="106" t="str">
        <f t="shared" si="1"/>
        <v/>
      </c>
      <c r="J9972" t="str">
        <f>IFERROR(__xludf.DUMMYFUNCTION("IFS(
  AND(REGEXMATCH(E9972, ""台銀籌備帳戶|玉山帳戶""), REGEXMATCH(C9972, ""薪資"")), ""分潤支出"",
  AND(REGEXMATCH(E9972, ""Ben帳戶|Elsa帳戶|Ben代墊|Ariel代墊|中信銀行共用""), REGEXMATCH(F9972, ""Ben帳戶|Elsa帳戶|Ben代墊|Ariel代墊|中信銀行共用"")), ""內部轉帳(忽略)"",
  AND(E9972&lt;&gt;"""", F9972&lt;&gt;"""", N"&amp;"OT(REGEXMATCH(C9972, ""薪資""))), ""內部轉帳(忽略)"",
  REGEXMATCH(C9972, ""薪資""), ""薪資變動(不計入)"",
  REGEXMATCH(C9972, ""押金""), ""押金往來"",
  AND(E9972&lt;&gt;"""", F9972=""""), ""真實支出"",
  AND(E9972="""", F9972&lt;&gt;""""), ""真實收入"",
  TRUE, ""其他""
)"),"其他")</f>
        <v>其他</v>
      </c>
      <c r="K9972" s="270" t="str">
        <f t="shared" si="2"/>
        <v/>
      </c>
      <c r="L9972">
        <f t="shared" si="3"/>
        <v>0</v>
      </c>
    </row>
    <row r="9973">
      <c r="A9973" s="107"/>
      <c r="D9973" s="270"/>
      <c r="H9973" s="106" t="str">
        <f t="shared" si="1"/>
        <v/>
      </c>
      <c r="J9973" t="str">
        <f>IFERROR(__xludf.DUMMYFUNCTION("IFS(
  AND(REGEXMATCH(E9973, ""台銀籌備帳戶|玉山帳戶""), REGEXMATCH(C9973, ""薪資"")), ""分潤支出"",
  AND(REGEXMATCH(E9973, ""Ben帳戶|Elsa帳戶|Ben代墊|Ariel代墊|中信銀行共用""), REGEXMATCH(F9973, ""Ben帳戶|Elsa帳戶|Ben代墊|Ariel代墊|中信銀行共用"")), ""內部轉帳(忽略)"",
  AND(E9973&lt;&gt;"""", F9973&lt;&gt;"""", N"&amp;"OT(REGEXMATCH(C9973, ""薪資""))), ""內部轉帳(忽略)"",
  REGEXMATCH(C9973, ""薪資""), ""薪資變動(不計入)"",
  REGEXMATCH(C9973, ""押金""), ""押金往來"",
  AND(E9973&lt;&gt;"""", F9973=""""), ""真實支出"",
  AND(E9973="""", F9973&lt;&gt;""""), ""真實收入"",
  TRUE, ""其他""
)"),"其他")</f>
        <v>其他</v>
      </c>
      <c r="K9973" s="270" t="str">
        <f t="shared" si="2"/>
        <v/>
      </c>
      <c r="L9973">
        <f t="shared" si="3"/>
        <v>0</v>
      </c>
    </row>
    <row r="9974">
      <c r="A9974" s="107"/>
      <c r="D9974" s="270"/>
      <c r="H9974" s="106" t="str">
        <f t="shared" si="1"/>
        <v/>
      </c>
      <c r="J9974" t="str">
        <f>IFERROR(__xludf.DUMMYFUNCTION("IFS(
  AND(REGEXMATCH(E9974, ""台銀籌備帳戶|玉山帳戶""), REGEXMATCH(C9974, ""薪資"")), ""分潤支出"",
  AND(REGEXMATCH(E9974, ""Ben帳戶|Elsa帳戶|Ben代墊|Ariel代墊|中信銀行共用""), REGEXMATCH(F9974, ""Ben帳戶|Elsa帳戶|Ben代墊|Ariel代墊|中信銀行共用"")), ""內部轉帳(忽略)"",
  AND(E9974&lt;&gt;"""", F9974&lt;&gt;"""", N"&amp;"OT(REGEXMATCH(C9974, ""薪資""))), ""內部轉帳(忽略)"",
  REGEXMATCH(C9974, ""薪資""), ""薪資變動(不計入)"",
  REGEXMATCH(C9974, ""押金""), ""押金往來"",
  AND(E9974&lt;&gt;"""", F9974=""""), ""真實支出"",
  AND(E9974="""", F9974&lt;&gt;""""), ""真實收入"",
  TRUE, ""其他""
)"),"其他")</f>
        <v>其他</v>
      </c>
      <c r="K9974" s="270" t="str">
        <f t="shared" si="2"/>
        <v/>
      </c>
      <c r="L9974">
        <f t="shared" si="3"/>
        <v>0</v>
      </c>
    </row>
    <row r="9975">
      <c r="A9975" s="107"/>
      <c r="D9975" s="270"/>
      <c r="H9975" s="106" t="str">
        <f t="shared" si="1"/>
        <v/>
      </c>
      <c r="J9975" t="str">
        <f>IFERROR(__xludf.DUMMYFUNCTION("IFS(
  AND(REGEXMATCH(E9975, ""台銀籌備帳戶|玉山帳戶""), REGEXMATCH(C9975, ""薪資"")), ""分潤支出"",
  AND(REGEXMATCH(E9975, ""Ben帳戶|Elsa帳戶|Ben代墊|Ariel代墊|中信銀行共用""), REGEXMATCH(F9975, ""Ben帳戶|Elsa帳戶|Ben代墊|Ariel代墊|中信銀行共用"")), ""內部轉帳(忽略)"",
  AND(E9975&lt;&gt;"""", F9975&lt;&gt;"""", N"&amp;"OT(REGEXMATCH(C9975, ""薪資""))), ""內部轉帳(忽略)"",
  REGEXMATCH(C9975, ""薪資""), ""薪資變動(不計入)"",
  REGEXMATCH(C9975, ""押金""), ""押金往來"",
  AND(E9975&lt;&gt;"""", F9975=""""), ""真實支出"",
  AND(E9975="""", F9975&lt;&gt;""""), ""真實收入"",
  TRUE, ""其他""
)"),"其他")</f>
        <v>其他</v>
      </c>
      <c r="K9975" s="270" t="str">
        <f t="shared" si="2"/>
        <v/>
      </c>
      <c r="L9975">
        <f t="shared" si="3"/>
        <v>0</v>
      </c>
    </row>
    <row r="9976">
      <c r="A9976" s="107"/>
      <c r="D9976" s="270"/>
      <c r="H9976" s="106" t="str">
        <f t="shared" si="1"/>
        <v/>
      </c>
      <c r="J9976" t="str">
        <f>IFERROR(__xludf.DUMMYFUNCTION("IFS(
  AND(REGEXMATCH(E9976, ""台銀籌備帳戶|玉山帳戶""), REGEXMATCH(C9976, ""薪資"")), ""分潤支出"",
  AND(REGEXMATCH(E9976, ""Ben帳戶|Elsa帳戶|Ben代墊|Ariel代墊|中信銀行共用""), REGEXMATCH(F9976, ""Ben帳戶|Elsa帳戶|Ben代墊|Ariel代墊|中信銀行共用"")), ""內部轉帳(忽略)"",
  AND(E9976&lt;&gt;"""", F9976&lt;&gt;"""", N"&amp;"OT(REGEXMATCH(C9976, ""薪資""))), ""內部轉帳(忽略)"",
  REGEXMATCH(C9976, ""薪資""), ""薪資變動(不計入)"",
  REGEXMATCH(C9976, ""押金""), ""押金往來"",
  AND(E9976&lt;&gt;"""", F9976=""""), ""真實支出"",
  AND(E9976="""", F9976&lt;&gt;""""), ""真實收入"",
  TRUE, ""其他""
)"),"其他")</f>
        <v>其他</v>
      </c>
      <c r="K9976" s="270" t="str">
        <f t="shared" si="2"/>
        <v/>
      </c>
      <c r="L9976">
        <f t="shared" si="3"/>
        <v>0</v>
      </c>
    </row>
    <row r="9977">
      <c r="A9977" s="107"/>
      <c r="D9977" s="270"/>
      <c r="H9977" s="106" t="str">
        <f t="shared" si="1"/>
        <v/>
      </c>
      <c r="J9977" t="str">
        <f>IFERROR(__xludf.DUMMYFUNCTION("IFS(
  AND(REGEXMATCH(E9977, ""台銀籌備帳戶|玉山帳戶""), REGEXMATCH(C9977, ""薪資"")), ""分潤支出"",
  AND(REGEXMATCH(E9977, ""Ben帳戶|Elsa帳戶|Ben代墊|Ariel代墊|中信銀行共用""), REGEXMATCH(F9977, ""Ben帳戶|Elsa帳戶|Ben代墊|Ariel代墊|中信銀行共用"")), ""內部轉帳(忽略)"",
  AND(E9977&lt;&gt;"""", F9977&lt;&gt;"""", N"&amp;"OT(REGEXMATCH(C9977, ""薪資""))), ""內部轉帳(忽略)"",
  REGEXMATCH(C9977, ""薪資""), ""薪資變動(不計入)"",
  REGEXMATCH(C9977, ""押金""), ""押金往來"",
  AND(E9977&lt;&gt;"""", F9977=""""), ""真實支出"",
  AND(E9977="""", F9977&lt;&gt;""""), ""真實收入"",
  TRUE, ""其他""
)"),"其他")</f>
        <v>其他</v>
      </c>
      <c r="K9977" s="270" t="str">
        <f t="shared" si="2"/>
        <v/>
      </c>
      <c r="L9977">
        <f t="shared" si="3"/>
        <v>0</v>
      </c>
    </row>
    <row r="9978">
      <c r="A9978" s="107"/>
      <c r="D9978" s="270"/>
      <c r="H9978" s="106" t="str">
        <f t="shared" si="1"/>
        <v/>
      </c>
      <c r="J9978" t="str">
        <f>IFERROR(__xludf.DUMMYFUNCTION("IFS(
  AND(REGEXMATCH(E9978, ""台銀籌備帳戶|玉山帳戶""), REGEXMATCH(C9978, ""薪資"")), ""分潤支出"",
  AND(REGEXMATCH(E9978, ""Ben帳戶|Elsa帳戶|Ben代墊|Ariel代墊|中信銀行共用""), REGEXMATCH(F9978, ""Ben帳戶|Elsa帳戶|Ben代墊|Ariel代墊|中信銀行共用"")), ""內部轉帳(忽略)"",
  AND(E9978&lt;&gt;"""", F9978&lt;&gt;"""", N"&amp;"OT(REGEXMATCH(C9978, ""薪資""))), ""內部轉帳(忽略)"",
  REGEXMATCH(C9978, ""薪資""), ""薪資變動(不計入)"",
  REGEXMATCH(C9978, ""押金""), ""押金往來"",
  AND(E9978&lt;&gt;"""", F9978=""""), ""真實支出"",
  AND(E9978="""", F9978&lt;&gt;""""), ""真實收入"",
  TRUE, ""其他""
)"),"其他")</f>
        <v>其他</v>
      </c>
      <c r="K9978" s="270" t="str">
        <f t="shared" si="2"/>
        <v/>
      </c>
      <c r="L9978">
        <f t="shared" si="3"/>
        <v>0</v>
      </c>
    </row>
    <row r="9979">
      <c r="A9979" s="107"/>
      <c r="D9979" s="270"/>
      <c r="H9979" s="106" t="str">
        <f t="shared" si="1"/>
        <v/>
      </c>
      <c r="J9979" t="str">
        <f>IFERROR(__xludf.DUMMYFUNCTION("IFS(
  AND(REGEXMATCH(E9979, ""台銀籌備帳戶|玉山帳戶""), REGEXMATCH(C9979, ""薪資"")), ""分潤支出"",
  AND(REGEXMATCH(E9979, ""Ben帳戶|Elsa帳戶|Ben代墊|Ariel代墊|中信銀行共用""), REGEXMATCH(F9979, ""Ben帳戶|Elsa帳戶|Ben代墊|Ariel代墊|中信銀行共用"")), ""內部轉帳(忽略)"",
  AND(E9979&lt;&gt;"""", F9979&lt;&gt;"""", N"&amp;"OT(REGEXMATCH(C9979, ""薪資""))), ""內部轉帳(忽略)"",
  REGEXMATCH(C9979, ""薪資""), ""薪資變動(不計入)"",
  REGEXMATCH(C9979, ""押金""), ""押金往來"",
  AND(E9979&lt;&gt;"""", F9979=""""), ""真實支出"",
  AND(E9979="""", F9979&lt;&gt;""""), ""真實收入"",
  TRUE, ""其他""
)"),"其他")</f>
        <v>其他</v>
      </c>
      <c r="K9979" s="270" t="str">
        <f t="shared" si="2"/>
        <v/>
      </c>
      <c r="L9979">
        <f t="shared" si="3"/>
        <v>0</v>
      </c>
    </row>
    <row r="9980">
      <c r="A9980" s="107"/>
      <c r="D9980" s="270"/>
      <c r="H9980" s="106" t="str">
        <f t="shared" si="1"/>
        <v/>
      </c>
      <c r="J9980" t="str">
        <f>IFERROR(__xludf.DUMMYFUNCTION("IFS(
  AND(REGEXMATCH(E9980, ""台銀籌備帳戶|玉山帳戶""), REGEXMATCH(C9980, ""薪資"")), ""分潤支出"",
  AND(REGEXMATCH(E9980, ""Ben帳戶|Elsa帳戶|Ben代墊|Ariel代墊|中信銀行共用""), REGEXMATCH(F9980, ""Ben帳戶|Elsa帳戶|Ben代墊|Ariel代墊|中信銀行共用"")), ""內部轉帳(忽略)"",
  AND(E9980&lt;&gt;"""", F9980&lt;&gt;"""", N"&amp;"OT(REGEXMATCH(C9980, ""薪資""))), ""內部轉帳(忽略)"",
  REGEXMATCH(C9980, ""薪資""), ""薪資變動(不計入)"",
  REGEXMATCH(C9980, ""押金""), ""押金往來"",
  AND(E9980&lt;&gt;"""", F9980=""""), ""真實支出"",
  AND(E9980="""", F9980&lt;&gt;""""), ""真實收入"",
  TRUE, ""其他""
)"),"其他")</f>
        <v>其他</v>
      </c>
      <c r="K9980" s="270" t="str">
        <f t="shared" si="2"/>
        <v/>
      </c>
      <c r="L9980">
        <f t="shared" si="3"/>
        <v>0</v>
      </c>
    </row>
    <row r="9981">
      <c r="A9981" s="107"/>
      <c r="D9981" s="270"/>
      <c r="H9981" s="106" t="str">
        <f t="shared" si="1"/>
        <v/>
      </c>
      <c r="J9981" t="str">
        <f>IFERROR(__xludf.DUMMYFUNCTION("IFS(
  AND(REGEXMATCH(E9981, ""台銀籌備帳戶|玉山帳戶""), REGEXMATCH(C9981, ""薪資"")), ""分潤支出"",
  AND(REGEXMATCH(E9981, ""Ben帳戶|Elsa帳戶|Ben代墊|Ariel代墊|中信銀行共用""), REGEXMATCH(F9981, ""Ben帳戶|Elsa帳戶|Ben代墊|Ariel代墊|中信銀行共用"")), ""內部轉帳(忽略)"",
  AND(E9981&lt;&gt;"""", F9981&lt;&gt;"""", N"&amp;"OT(REGEXMATCH(C9981, ""薪資""))), ""內部轉帳(忽略)"",
  REGEXMATCH(C9981, ""薪資""), ""薪資變動(不計入)"",
  REGEXMATCH(C9981, ""押金""), ""押金往來"",
  AND(E9981&lt;&gt;"""", F9981=""""), ""真實支出"",
  AND(E9981="""", F9981&lt;&gt;""""), ""真實收入"",
  TRUE, ""其他""
)"),"其他")</f>
        <v>其他</v>
      </c>
      <c r="K9981" s="270" t="str">
        <f t="shared" si="2"/>
        <v/>
      </c>
      <c r="L9981">
        <f t="shared" si="3"/>
        <v>0</v>
      </c>
    </row>
    <row r="9982">
      <c r="A9982" s="107"/>
      <c r="D9982" s="270"/>
      <c r="H9982" s="106" t="str">
        <f t="shared" si="1"/>
        <v/>
      </c>
      <c r="J9982" t="str">
        <f>IFERROR(__xludf.DUMMYFUNCTION("IFS(
  AND(REGEXMATCH(E9982, ""台銀籌備帳戶|玉山帳戶""), REGEXMATCH(C9982, ""薪資"")), ""分潤支出"",
  AND(REGEXMATCH(E9982, ""Ben帳戶|Elsa帳戶|Ben代墊|Ariel代墊|中信銀行共用""), REGEXMATCH(F9982, ""Ben帳戶|Elsa帳戶|Ben代墊|Ariel代墊|中信銀行共用"")), ""內部轉帳(忽略)"",
  AND(E9982&lt;&gt;"""", F9982&lt;&gt;"""", N"&amp;"OT(REGEXMATCH(C9982, ""薪資""))), ""內部轉帳(忽略)"",
  REGEXMATCH(C9982, ""薪資""), ""薪資變動(不計入)"",
  REGEXMATCH(C9982, ""押金""), ""押金往來"",
  AND(E9982&lt;&gt;"""", F9982=""""), ""真實支出"",
  AND(E9982="""", F9982&lt;&gt;""""), ""真實收入"",
  TRUE, ""其他""
)"),"其他")</f>
        <v>其他</v>
      </c>
      <c r="K9982" s="270" t="str">
        <f t="shared" si="2"/>
        <v/>
      </c>
      <c r="L9982">
        <f t="shared" si="3"/>
        <v>0</v>
      </c>
    </row>
    <row r="9983">
      <c r="A9983" s="107"/>
      <c r="D9983" s="270"/>
      <c r="H9983" s="106" t="str">
        <f t="shared" si="1"/>
        <v/>
      </c>
      <c r="J9983" t="str">
        <f>IFERROR(__xludf.DUMMYFUNCTION("IFS(
  AND(REGEXMATCH(E9983, ""台銀籌備帳戶|玉山帳戶""), REGEXMATCH(C9983, ""薪資"")), ""分潤支出"",
  AND(REGEXMATCH(E9983, ""Ben帳戶|Elsa帳戶|Ben代墊|Ariel代墊|中信銀行共用""), REGEXMATCH(F9983, ""Ben帳戶|Elsa帳戶|Ben代墊|Ariel代墊|中信銀行共用"")), ""內部轉帳(忽略)"",
  AND(E9983&lt;&gt;"""", F9983&lt;&gt;"""", N"&amp;"OT(REGEXMATCH(C9983, ""薪資""))), ""內部轉帳(忽略)"",
  REGEXMATCH(C9983, ""薪資""), ""薪資變動(不計入)"",
  REGEXMATCH(C9983, ""押金""), ""押金往來"",
  AND(E9983&lt;&gt;"""", F9983=""""), ""真實支出"",
  AND(E9983="""", F9983&lt;&gt;""""), ""真實收入"",
  TRUE, ""其他""
)"),"其他")</f>
        <v>其他</v>
      </c>
      <c r="K9983" s="270" t="str">
        <f t="shared" si="2"/>
        <v/>
      </c>
      <c r="L9983">
        <f t="shared" si="3"/>
        <v>0</v>
      </c>
    </row>
    <row r="9984">
      <c r="A9984" s="107"/>
      <c r="D9984" s="270"/>
      <c r="H9984" s="106" t="str">
        <f t="shared" si="1"/>
        <v/>
      </c>
      <c r="J9984" t="str">
        <f>IFERROR(__xludf.DUMMYFUNCTION("IFS(
  AND(REGEXMATCH(E9984, ""台銀籌備帳戶|玉山帳戶""), REGEXMATCH(C9984, ""薪資"")), ""分潤支出"",
  AND(REGEXMATCH(E9984, ""Ben帳戶|Elsa帳戶|Ben代墊|Ariel代墊|中信銀行共用""), REGEXMATCH(F9984, ""Ben帳戶|Elsa帳戶|Ben代墊|Ariel代墊|中信銀行共用"")), ""內部轉帳(忽略)"",
  AND(E9984&lt;&gt;"""", F9984&lt;&gt;"""", N"&amp;"OT(REGEXMATCH(C9984, ""薪資""))), ""內部轉帳(忽略)"",
  REGEXMATCH(C9984, ""薪資""), ""薪資變動(不計入)"",
  REGEXMATCH(C9984, ""押金""), ""押金往來"",
  AND(E9984&lt;&gt;"""", F9984=""""), ""真實支出"",
  AND(E9984="""", F9984&lt;&gt;""""), ""真實收入"",
  TRUE, ""其他""
)"),"其他")</f>
        <v>其他</v>
      </c>
      <c r="K9984" s="270" t="str">
        <f t="shared" si="2"/>
        <v/>
      </c>
      <c r="L9984">
        <f t="shared" si="3"/>
        <v>0</v>
      </c>
    </row>
    <row r="9985">
      <c r="A9985" s="107"/>
      <c r="D9985" s="270"/>
      <c r="H9985" s="106" t="str">
        <f t="shared" si="1"/>
        <v/>
      </c>
      <c r="J9985" t="str">
        <f>IFERROR(__xludf.DUMMYFUNCTION("IFS(
  AND(REGEXMATCH(E9985, ""台銀籌備帳戶|玉山帳戶""), REGEXMATCH(C9985, ""薪資"")), ""分潤支出"",
  AND(REGEXMATCH(E9985, ""Ben帳戶|Elsa帳戶|Ben代墊|Ariel代墊|中信銀行共用""), REGEXMATCH(F9985, ""Ben帳戶|Elsa帳戶|Ben代墊|Ariel代墊|中信銀行共用"")), ""內部轉帳(忽略)"",
  AND(E9985&lt;&gt;"""", F9985&lt;&gt;"""", N"&amp;"OT(REGEXMATCH(C9985, ""薪資""))), ""內部轉帳(忽略)"",
  REGEXMATCH(C9985, ""薪資""), ""薪資變動(不計入)"",
  REGEXMATCH(C9985, ""押金""), ""押金往來"",
  AND(E9985&lt;&gt;"""", F9985=""""), ""真實支出"",
  AND(E9985="""", F9985&lt;&gt;""""), ""真實收入"",
  TRUE, ""其他""
)"),"其他")</f>
        <v>其他</v>
      </c>
      <c r="K9985" s="270" t="str">
        <f t="shared" si="2"/>
        <v/>
      </c>
      <c r="L9985">
        <f t="shared" si="3"/>
        <v>0</v>
      </c>
    </row>
    <row r="9986">
      <c r="A9986" s="107"/>
      <c r="D9986" s="270"/>
      <c r="H9986" s="106" t="str">
        <f t="shared" si="1"/>
        <v/>
      </c>
      <c r="J9986" t="str">
        <f>IFERROR(__xludf.DUMMYFUNCTION("IFS(
  AND(REGEXMATCH(E9986, ""台銀籌備帳戶|玉山帳戶""), REGEXMATCH(C9986, ""薪資"")), ""分潤支出"",
  AND(REGEXMATCH(E9986, ""Ben帳戶|Elsa帳戶|Ben代墊|Ariel代墊|中信銀行共用""), REGEXMATCH(F9986, ""Ben帳戶|Elsa帳戶|Ben代墊|Ariel代墊|中信銀行共用"")), ""內部轉帳(忽略)"",
  AND(E9986&lt;&gt;"""", F9986&lt;&gt;"""", N"&amp;"OT(REGEXMATCH(C9986, ""薪資""))), ""內部轉帳(忽略)"",
  REGEXMATCH(C9986, ""薪資""), ""薪資變動(不計入)"",
  REGEXMATCH(C9986, ""押金""), ""押金往來"",
  AND(E9986&lt;&gt;"""", F9986=""""), ""真實支出"",
  AND(E9986="""", F9986&lt;&gt;""""), ""真實收入"",
  TRUE, ""其他""
)"),"其他")</f>
        <v>其他</v>
      </c>
      <c r="K9986" s="270" t="str">
        <f t="shared" si="2"/>
        <v/>
      </c>
      <c r="L9986">
        <f t="shared" si="3"/>
        <v>0</v>
      </c>
    </row>
    <row r="9987">
      <c r="A9987" s="107"/>
      <c r="D9987" s="270"/>
      <c r="H9987" s="106" t="str">
        <f t="shared" si="1"/>
        <v/>
      </c>
      <c r="J9987" t="str">
        <f>IFERROR(__xludf.DUMMYFUNCTION("IFS(
  AND(REGEXMATCH(E9987, ""台銀籌備帳戶|玉山帳戶""), REGEXMATCH(C9987, ""薪資"")), ""分潤支出"",
  AND(REGEXMATCH(E9987, ""Ben帳戶|Elsa帳戶|Ben代墊|Ariel代墊|中信銀行共用""), REGEXMATCH(F9987, ""Ben帳戶|Elsa帳戶|Ben代墊|Ariel代墊|中信銀行共用"")), ""內部轉帳(忽略)"",
  AND(E9987&lt;&gt;"""", F9987&lt;&gt;"""", N"&amp;"OT(REGEXMATCH(C9987, ""薪資""))), ""內部轉帳(忽略)"",
  REGEXMATCH(C9987, ""薪資""), ""薪資變動(不計入)"",
  REGEXMATCH(C9987, ""押金""), ""押金往來"",
  AND(E9987&lt;&gt;"""", F9987=""""), ""真實支出"",
  AND(E9987="""", F9987&lt;&gt;""""), ""真實收入"",
  TRUE, ""其他""
)"),"其他")</f>
        <v>其他</v>
      </c>
      <c r="K9987" s="270" t="str">
        <f t="shared" si="2"/>
        <v/>
      </c>
      <c r="L9987">
        <f t="shared" si="3"/>
        <v>0</v>
      </c>
    </row>
    <row r="9988">
      <c r="A9988" s="107"/>
      <c r="D9988" s="270"/>
      <c r="H9988" s="106" t="str">
        <f t="shared" si="1"/>
        <v/>
      </c>
      <c r="J9988" t="str">
        <f>IFERROR(__xludf.DUMMYFUNCTION("IFS(
  AND(REGEXMATCH(E9988, ""台銀籌備帳戶|玉山帳戶""), REGEXMATCH(C9988, ""薪資"")), ""分潤支出"",
  AND(REGEXMATCH(E9988, ""Ben帳戶|Elsa帳戶|Ben代墊|Ariel代墊|中信銀行共用""), REGEXMATCH(F9988, ""Ben帳戶|Elsa帳戶|Ben代墊|Ariel代墊|中信銀行共用"")), ""內部轉帳(忽略)"",
  AND(E9988&lt;&gt;"""", F9988&lt;&gt;"""", N"&amp;"OT(REGEXMATCH(C9988, ""薪資""))), ""內部轉帳(忽略)"",
  REGEXMATCH(C9988, ""薪資""), ""薪資變動(不計入)"",
  REGEXMATCH(C9988, ""押金""), ""押金往來"",
  AND(E9988&lt;&gt;"""", F9988=""""), ""真實支出"",
  AND(E9988="""", F9988&lt;&gt;""""), ""真實收入"",
  TRUE, ""其他""
)"),"其他")</f>
        <v>其他</v>
      </c>
      <c r="K9988" s="270" t="str">
        <f t="shared" si="2"/>
        <v/>
      </c>
      <c r="L9988">
        <f t="shared" si="3"/>
        <v>0</v>
      </c>
    </row>
    <row r="9989">
      <c r="A9989" s="107"/>
      <c r="D9989" s="270"/>
      <c r="H9989" s="106" t="str">
        <f t="shared" si="1"/>
        <v/>
      </c>
      <c r="J9989" t="str">
        <f>IFERROR(__xludf.DUMMYFUNCTION("IFS(
  AND(REGEXMATCH(E9989, ""台銀籌備帳戶|玉山帳戶""), REGEXMATCH(C9989, ""薪資"")), ""分潤支出"",
  AND(REGEXMATCH(E9989, ""Ben帳戶|Elsa帳戶|Ben代墊|Ariel代墊|中信銀行共用""), REGEXMATCH(F9989, ""Ben帳戶|Elsa帳戶|Ben代墊|Ariel代墊|中信銀行共用"")), ""內部轉帳(忽略)"",
  AND(E9989&lt;&gt;"""", F9989&lt;&gt;"""", N"&amp;"OT(REGEXMATCH(C9989, ""薪資""))), ""內部轉帳(忽略)"",
  REGEXMATCH(C9989, ""薪資""), ""薪資變動(不計入)"",
  REGEXMATCH(C9989, ""押金""), ""押金往來"",
  AND(E9989&lt;&gt;"""", F9989=""""), ""真實支出"",
  AND(E9989="""", F9989&lt;&gt;""""), ""真實收入"",
  TRUE, ""其他""
)"),"其他")</f>
        <v>其他</v>
      </c>
      <c r="K9989" s="270" t="str">
        <f t="shared" si="2"/>
        <v/>
      </c>
      <c r="L9989">
        <f t="shared" si="3"/>
        <v>0</v>
      </c>
    </row>
    <row r="9990">
      <c r="A9990" s="107"/>
      <c r="D9990" s="270"/>
      <c r="H9990" s="106" t="str">
        <f t="shared" si="1"/>
        <v/>
      </c>
      <c r="J9990" t="str">
        <f>IFERROR(__xludf.DUMMYFUNCTION("IFS(
  AND(REGEXMATCH(E9990, ""台銀籌備帳戶|玉山帳戶""), REGEXMATCH(C9990, ""薪資"")), ""分潤支出"",
  AND(REGEXMATCH(E9990, ""Ben帳戶|Elsa帳戶|Ben代墊|Ariel代墊|中信銀行共用""), REGEXMATCH(F9990, ""Ben帳戶|Elsa帳戶|Ben代墊|Ariel代墊|中信銀行共用"")), ""內部轉帳(忽略)"",
  AND(E9990&lt;&gt;"""", F9990&lt;&gt;"""", N"&amp;"OT(REGEXMATCH(C9990, ""薪資""))), ""內部轉帳(忽略)"",
  REGEXMATCH(C9990, ""薪資""), ""薪資變動(不計入)"",
  REGEXMATCH(C9990, ""押金""), ""押金往來"",
  AND(E9990&lt;&gt;"""", F9990=""""), ""真實支出"",
  AND(E9990="""", F9990&lt;&gt;""""), ""真實收入"",
  TRUE, ""其他""
)"),"其他")</f>
        <v>其他</v>
      </c>
      <c r="K9990" s="270" t="str">
        <f t="shared" si="2"/>
        <v/>
      </c>
      <c r="L9990">
        <f t="shared" si="3"/>
        <v>0</v>
      </c>
    </row>
    <row r="9991">
      <c r="A9991" s="107"/>
      <c r="D9991" s="270"/>
      <c r="H9991" s="106" t="str">
        <f t="shared" si="1"/>
        <v/>
      </c>
      <c r="J9991" t="str">
        <f>IFERROR(__xludf.DUMMYFUNCTION("IFS(
  AND(REGEXMATCH(E9991, ""台銀籌備帳戶|玉山帳戶""), REGEXMATCH(C9991, ""薪資"")), ""分潤支出"",
  AND(REGEXMATCH(E9991, ""Ben帳戶|Elsa帳戶|Ben代墊|Ariel代墊|中信銀行共用""), REGEXMATCH(F9991, ""Ben帳戶|Elsa帳戶|Ben代墊|Ariel代墊|中信銀行共用"")), ""內部轉帳(忽略)"",
  AND(E9991&lt;&gt;"""", F9991&lt;&gt;"""", N"&amp;"OT(REGEXMATCH(C9991, ""薪資""))), ""內部轉帳(忽略)"",
  REGEXMATCH(C9991, ""薪資""), ""薪資變動(不計入)"",
  REGEXMATCH(C9991, ""押金""), ""押金往來"",
  AND(E9991&lt;&gt;"""", F9991=""""), ""真實支出"",
  AND(E9991="""", F9991&lt;&gt;""""), ""真實收入"",
  TRUE, ""其他""
)"),"其他")</f>
        <v>其他</v>
      </c>
      <c r="K9991" s="270" t="str">
        <f t="shared" si="2"/>
        <v/>
      </c>
      <c r="L9991">
        <f t="shared" si="3"/>
        <v>0</v>
      </c>
    </row>
    <row r="9992">
      <c r="A9992" s="107"/>
      <c r="D9992" s="270"/>
      <c r="H9992" s="106" t="str">
        <f t="shared" si="1"/>
        <v/>
      </c>
      <c r="J9992" t="str">
        <f>IFERROR(__xludf.DUMMYFUNCTION("IFS(
  AND(REGEXMATCH(E9992, ""台銀籌備帳戶|玉山帳戶""), REGEXMATCH(C9992, ""薪資"")), ""分潤支出"",
  AND(REGEXMATCH(E9992, ""Ben帳戶|Elsa帳戶|Ben代墊|Ariel代墊|中信銀行共用""), REGEXMATCH(F9992, ""Ben帳戶|Elsa帳戶|Ben代墊|Ariel代墊|中信銀行共用"")), ""內部轉帳(忽略)"",
  AND(E9992&lt;&gt;"""", F9992&lt;&gt;"""", N"&amp;"OT(REGEXMATCH(C9992, ""薪資""))), ""內部轉帳(忽略)"",
  REGEXMATCH(C9992, ""薪資""), ""薪資變動(不計入)"",
  REGEXMATCH(C9992, ""押金""), ""押金往來"",
  AND(E9992&lt;&gt;"""", F9992=""""), ""真實支出"",
  AND(E9992="""", F9992&lt;&gt;""""), ""真實收入"",
  TRUE, ""其他""
)"),"其他")</f>
        <v>其他</v>
      </c>
      <c r="K9992" s="270" t="str">
        <f t="shared" si="2"/>
        <v/>
      </c>
      <c r="L9992">
        <f t="shared" si="3"/>
        <v>0</v>
      </c>
    </row>
    <row r="9993">
      <c r="A9993" s="107"/>
      <c r="D9993" s="270"/>
      <c r="H9993" s="106" t="str">
        <f t="shared" si="1"/>
        <v/>
      </c>
      <c r="J9993" t="str">
        <f>IFERROR(__xludf.DUMMYFUNCTION("IFS(
  AND(REGEXMATCH(E9993, ""台銀籌備帳戶|玉山帳戶""), REGEXMATCH(C9993, ""薪資"")), ""分潤支出"",
  AND(REGEXMATCH(E9993, ""Ben帳戶|Elsa帳戶|Ben代墊|Ariel代墊|中信銀行共用""), REGEXMATCH(F9993, ""Ben帳戶|Elsa帳戶|Ben代墊|Ariel代墊|中信銀行共用"")), ""內部轉帳(忽略)"",
  AND(E9993&lt;&gt;"""", F9993&lt;&gt;"""", N"&amp;"OT(REGEXMATCH(C9993, ""薪資""))), ""內部轉帳(忽略)"",
  REGEXMATCH(C9993, ""薪資""), ""薪資變動(不計入)"",
  REGEXMATCH(C9993, ""押金""), ""押金往來"",
  AND(E9993&lt;&gt;"""", F9993=""""), ""真實支出"",
  AND(E9993="""", F9993&lt;&gt;""""), ""真實收入"",
  TRUE, ""其他""
)"),"其他")</f>
        <v>其他</v>
      </c>
      <c r="K9993" s="270" t="str">
        <f t="shared" si="2"/>
        <v/>
      </c>
      <c r="L9993">
        <f t="shared" si="3"/>
        <v>0</v>
      </c>
    </row>
    <row r="9994">
      <c r="A9994" s="107"/>
      <c r="D9994" s="270"/>
      <c r="H9994" s="106" t="str">
        <f t="shared" si="1"/>
        <v/>
      </c>
      <c r="J9994" t="str">
        <f>IFERROR(__xludf.DUMMYFUNCTION("IFS(
  AND(REGEXMATCH(E9994, ""台銀籌備帳戶|玉山帳戶""), REGEXMATCH(C9994, ""薪資"")), ""分潤支出"",
  AND(REGEXMATCH(E9994, ""Ben帳戶|Elsa帳戶|Ben代墊|Ariel代墊|中信銀行共用""), REGEXMATCH(F9994, ""Ben帳戶|Elsa帳戶|Ben代墊|Ariel代墊|中信銀行共用"")), ""內部轉帳(忽略)"",
  AND(E9994&lt;&gt;"""", F9994&lt;&gt;"""", N"&amp;"OT(REGEXMATCH(C9994, ""薪資""))), ""內部轉帳(忽略)"",
  REGEXMATCH(C9994, ""薪資""), ""薪資變動(不計入)"",
  REGEXMATCH(C9994, ""押金""), ""押金往來"",
  AND(E9994&lt;&gt;"""", F9994=""""), ""真實支出"",
  AND(E9994="""", F9994&lt;&gt;""""), ""真實收入"",
  TRUE, ""其他""
)"),"其他")</f>
        <v>其他</v>
      </c>
      <c r="K9994" s="270" t="str">
        <f t="shared" si="2"/>
        <v/>
      </c>
      <c r="L9994">
        <f t="shared" si="3"/>
        <v>0</v>
      </c>
    </row>
    <row r="9995">
      <c r="A9995" s="107"/>
      <c r="D9995" s="270"/>
      <c r="H9995" s="106" t="str">
        <f t="shared" si="1"/>
        <v/>
      </c>
      <c r="J9995" t="str">
        <f>IFERROR(__xludf.DUMMYFUNCTION("IFS(
  AND(REGEXMATCH(E9995, ""台銀籌備帳戶|玉山帳戶""), REGEXMATCH(C9995, ""薪資"")), ""分潤支出"",
  AND(REGEXMATCH(E9995, ""Ben帳戶|Elsa帳戶|Ben代墊|Ariel代墊|中信銀行共用""), REGEXMATCH(F9995, ""Ben帳戶|Elsa帳戶|Ben代墊|Ariel代墊|中信銀行共用"")), ""內部轉帳(忽略)"",
  AND(E9995&lt;&gt;"""", F9995&lt;&gt;"""", N"&amp;"OT(REGEXMATCH(C9995, ""薪資""))), ""內部轉帳(忽略)"",
  REGEXMATCH(C9995, ""薪資""), ""薪資變動(不計入)"",
  REGEXMATCH(C9995, ""押金""), ""押金往來"",
  AND(E9995&lt;&gt;"""", F9995=""""), ""真實支出"",
  AND(E9995="""", F9995&lt;&gt;""""), ""真實收入"",
  TRUE, ""其他""
)"),"其他")</f>
        <v>其他</v>
      </c>
      <c r="K9995" s="270" t="str">
        <f t="shared" si="2"/>
        <v/>
      </c>
      <c r="L9995">
        <f t="shared" si="3"/>
        <v>0</v>
      </c>
    </row>
    <row r="9996">
      <c r="A9996" s="107"/>
      <c r="D9996" s="270"/>
      <c r="H9996" s="106" t="str">
        <f t="shared" si="1"/>
        <v/>
      </c>
      <c r="J9996" t="str">
        <f>IFERROR(__xludf.DUMMYFUNCTION("IFS(
  AND(REGEXMATCH(E9996, ""台銀籌備帳戶|玉山帳戶""), REGEXMATCH(C9996, ""薪資"")), ""分潤支出"",
  AND(REGEXMATCH(E9996, ""Ben帳戶|Elsa帳戶|Ben代墊|Ariel代墊|中信銀行共用""), REGEXMATCH(F9996, ""Ben帳戶|Elsa帳戶|Ben代墊|Ariel代墊|中信銀行共用"")), ""內部轉帳(忽略)"",
  AND(E9996&lt;&gt;"""", F9996&lt;&gt;"""", N"&amp;"OT(REGEXMATCH(C9996, ""薪資""))), ""內部轉帳(忽略)"",
  REGEXMATCH(C9996, ""薪資""), ""薪資變動(不計入)"",
  REGEXMATCH(C9996, ""押金""), ""押金往來"",
  AND(E9996&lt;&gt;"""", F9996=""""), ""真實支出"",
  AND(E9996="""", F9996&lt;&gt;""""), ""真實收入"",
  TRUE, ""其他""
)"),"其他")</f>
        <v>其他</v>
      </c>
      <c r="K9996" s="270" t="str">
        <f t="shared" si="2"/>
        <v/>
      </c>
      <c r="L9996">
        <f t="shared" si="3"/>
        <v>0</v>
      </c>
    </row>
    <row r="9997">
      <c r="A9997" s="107"/>
      <c r="D9997" s="270"/>
      <c r="H9997" s="106" t="str">
        <f t="shared" si="1"/>
        <v/>
      </c>
      <c r="J9997" t="str">
        <f>IFERROR(__xludf.DUMMYFUNCTION("IFS(
  AND(REGEXMATCH(E9997, ""台銀籌備帳戶|玉山帳戶""), REGEXMATCH(C9997, ""薪資"")), ""分潤支出"",
  AND(REGEXMATCH(E9997, ""Ben帳戶|Elsa帳戶|Ben代墊|Ariel代墊|中信銀行共用""), REGEXMATCH(F9997, ""Ben帳戶|Elsa帳戶|Ben代墊|Ariel代墊|中信銀行共用"")), ""內部轉帳(忽略)"",
  AND(E9997&lt;&gt;"""", F9997&lt;&gt;"""", N"&amp;"OT(REGEXMATCH(C9997, ""薪資""))), ""內部轉帳(忽略)"",
  REGEXMATCH(C9997, ""薪資""), ""薪資變動(不計入)"",
  REGEXMATCH(C9997, ""押金""), ""押金往來"",
  AND(E9997&lt;&gt;"""", F9997=""""), ""真實支出"",
  AND(E9997="""", F9997&lt;&gt;""""), ""真實收入"",
  TRUE, ""其他""
)"),"其他")</f>
        <v>其他</v>
      </c>
      <c r="K9997" s="270" t="str">
        <f t="shared" si="2"/>
        <v/>
      </c>
      <c r="L9997">
        <f t="shared" si="3"/>
        <v>0</v>
      </c>
    </row>
    <row r="9998">
      <c r="A9998" s="107"/>
      <c r="D9998" s="270"/>
      <c r="H9998" s="106" t="str">
        <f t="shared" si="1"/>
        <v/>
      </c>
      <c r="J9998" t="str">
        <f>IFERROR(__xludf.DUMMYFUNCTION("IFS(
  AND(REGEXMATCH(E9998, ""台銀籌備帳戶|玉山帳戶""), REGEXMATCH(C9998, ""薪資"")), ""分潤支出"",
  AND(REGEXMATCH(E9998, ""Ben帳戶|Elsa帳戶|Ben代墊|Ariel代墊|中信銀行共用""), REGEXMATCH(F9998, ""Ben帳戶|Elsa帳戶|Ben代墊|Ariel代墊|中信銀行共用"")), ""內部轉帳(忽略)"",
  AND(E9998&lt;&gt;"""", F9998&lt;&gt;"""", N"&amp;"OT(REGEXMATCH(C9998, ""薪資""))), ""內部轉帳(忽略)"",
  REGEXMATCH(C9998, ""薪資""), ""薪資變動(不計入)"",
  REGEXMATCH(C9998, ""押金""), ""押金往來"",
  AND(E9998&lt;&gt;"""", F9998=""""), ""真實支出"",
  AND(E9998="""", F9998&lt;&gt;""""), ""真實收入"",
  TRUE, ""其他""
)"),"其他")</f>
        <v>其他</v>
      </c>
      <c r="K9998" s="270" t="str">
        <f t="shared" si="2"/>
        <v/>
      </c>
      <c r="L9998">
        <f t="shared" si="3"/>
        <v>0</v>
      </c>
    </row>
    <row r="9999">
      <c r="A9999" s="107"/>
      <c r="D9999" s="270"/>
      <c r="H9999" s="106" t="str">
        <f t="shared" si="1"/>
        <v/>
      </c>
      <c r="J9999" t="str">
        <f>IFERROR(__xludf.DUMMYFUNCTION("IFS(
  AND(REGEXMATCH(E9999, ""台銀籌備帳戶|玉山帳戶""), REGEXMATCH(C9999, ""薪資"")), ""分潤支出"",
  AND(REGEXMATCH(E9999, ""Ben帳戶|Elsa帳戶|Ben代墊|Ariel代墊|中信銀行共用""), REGEXMATCH(F9999, ""Ben帳戶|Elsa帳戶|Ben代墊|Ariel代墊|中信銀行共用"")), ""內部轉帳(忽略)"",
  AND(E9999&lt;&gt;"""", F9999&lt;&gt;"""", N"&amp;"OT(REGEXMATCH(C9999, ""薪資""))), ""內部轉帳(忽略)"",
  REGEXMATCH(C9999, ""薪資""), ""薪資變動(不計入)"",
  REGEXMATCH(C9999, ""押金""), ""押金往來"",
  AND(E9999&lt;&gt;"""", F9999=""""), ""真實支出"",
  AND(E9999="""", F9999&lt;&gt;""""), ""真實收入"",
  TRUE, ""其他""
)"),"其他")</f>
        <v>其他</v>
      </c>
      <c r="K9999" s="270" t="str">
        <f t="shared" si="2"/>
        <v/>
      </c>
      <c r="L9999">
        <f t="shared" si="3"/>
        <v>0</v>
      </c>
    </row>
    <row r="10000">
      <c r="A10000" s="107"/>
      <c r="D10000" s="270"/>
      <c r="H10000" s="106" t="str">
        <f t="shared" si="1"/>
        <v/>
      </c>
      <c r="J10000" t="str">
        <f>IFERROR(__xludf.DUMMYFUNCTION("IFS(
  AND(REGEXMATCH(E10000, ""台銀籌備帳戶|玉山帳戶""), REGEXMATCH(C10000, ""薪資"")), ""分潤支出"",
  AND(REGEXMATCH(E10000, ""Ben帳戶|Elsa帳戶|Ben代墊|Ariel代墊|中信銀行共用""), REGEXMATCH(F10000, ""Ben帳戶|Elsa帳戶|Ben代墊|Ariel代墊|中信銀行共用"")), ""內部轉帳(忽略)"",
  AND(E10000&lt;&gt;"""", F10000&lt;&gt;"&amp;""""", NOT(REGEXMATCH(C10000, ""薪資""))), ""內部轉帳(忽略)"",
  REGEXMATCH(C10000, ""薪資""), ""薪資變動(不計入)"",
  REGEXMATCH(C10000, ""押金""), ""押金往來"",
  AND(E10000&lt;&gt;"""", F10000=""""), ""真實支出"",
  AND(E10000="""", F10000&lt;&gt;""""), ""真實收入"",
  TRUE, ""其他""
)"),"其他")</f>
        <v>其他</v>
      </c>
      <c r="K10000" s="270" t="str">
        <f t="shared" si="2"/>
        <v/>
      </c>
      <c r="L10000">
        <f t="shared" si="3"/>
        <v>0</v>
      </c>
    </row>
    <row r="10001">
      <c r="A10001" s="107"/>
      <c r="D10001" s="270"/>
      <c r="H10001" s="106" t="str">
        <f t="shared" si="1"/>
        <v/>
      </c>
      <c r="J10001" t="str">
        <f>IFERROR(__xludf.DUMMYFUNCTION("IFS(
  AND(REGEXMATCH(E10001, ""台銀籌備帳戶|玉山帳戶""), REGEXMATCH(C10001, ""薪資"")), ""分潤支出"",
  AND(REGEXMATCH(E10001, ""Ben帳戶|Elsa帳戶|Ben代墊|Ariel代墊|中信銀行共用""), REGEXMATCH(F10001, ""Ben帳戶|Elsa帳戶|Ben代墊|Ariel代墊|中信銀行共用"")), ""內部轉帳(忽略)"",
  AND(E10001&lt;&gt;"""", F10001&lt;&gt;"&amp;""""", NOT(REGEXMATCH(C10001, ""薪資""))), ""內部轉帳(忽略)"",
  REGEXMATCH(C10001, ""薪資""), ""薪資變動(不計入)"",
  REGEXMATCH(C10001, ""押金""), ""押金往來"",
  AND(E10001&lt;&gt;"""", F10001=""""), ""真實支出"",
  AND(E10001="""", F10001&lt;&gt;""""), ""真實收入"",
  TRUE, ""其他""
)"),"其他")</f>
        <v>其他</v>
      </c>
      <c r="K10001" s="270" t="str">
        <f t="shared" si="2"/>
        <v/>
      </c>
      <c r="L10001">
        <f t="shared" si="3"/>
        <v>0</v>
      </c>
    </row>
    <row r="10002">
      <c r="A10002" s="107"/>
      <c r="D10002" s="270"/>
      <c r="H10002" s="106" t="str">
        <f t="shared" si="1"/>
        <v/>
      </c>
      <c r="J10002" t="str">
        <f>IFERROR(__xludf.DUMMYFUNCTION("IFS(
  AND(REGEXMATCH(E10002, ""台銀籌備帳戶|玉山帳戶""), REGEXMATCH(C10002, ""薪資"")), ""分潤支出"",
  AND(REGEXMATCH(E10002, ""Ben帳戶|Elsa帳戶|Ben代墊|Ariel代墊|中信銀行共用""), REGEXMATCH(F10002, ""Ben帳戶|Elsa帳戶|Ben代墊|Ariel代墊|中信銀行共用"")), ""內部轉帳(忽略)"",
  AND(E10002&lt;&gt;"""", F10002&lt;&gt;"&amp;""""", NOT(REGEXMATCH(C10002, ""薪資""))), ""內部轉帳(忽略)"",
  REGEXMATCH(C10002, ""薪資""), ""薪資變動(不計入)"",
  REGEXMATCH(C10002, ""押金""), ""押金往來"",
  AND(E10002&lt;&gt;"""", F10002=""""), ""真實支出"",
  AND(E10002="""", F10002&lt;&gt;""""), ""真實收入"",
  TRUE, ""其他""
)"),"其他")</f>
        <v>其他</v>
      </c>
      <c r="K10002" s="270" t="str">
        <f t="shared" si="2"/>
        <v/>
      </c>
      <c r="L10002">
        <f t="shared" si="3"/>
        <v>0</v>
      </c>
    </row>
    <row r="10003">
      <c r="A10003" s="107"/>
      <c r="D10003" s="270"/>
      <c r="H10003" s="106" t="str">
        <f t="shared" si="1"/>
        <v/>
      </c>
      <c r="J10003" t="str">
        <f>IFERROR(__xludf.DUMMYFUNCTION("IFS(
  AND(REGEXMATCH(E10003, ""台銀籌備帳戶|玉山帳戶""), REGEXMATCH(C10003, ""薪資"")), ""分潤支出"",
  AND(REGEXMATCH(E10003, ""Ben帳戶|Elsa帳戶|Ben代墊|Ariel代墊|中信銀行共用""), REGEXMATCH(F10003, ""Ben帳戶|Elsa帳戶|Ben代墊|Ariel代墊|中信銀行共用"")), ""內部轉帳(忽略)"",
  AND(E10003&lt;&gt;"""", F10003&lt;&gt;"&amp;""""", NOT(REGEXMATCH(C10003, ""薪資""))), ""內部轉帳(忽略)"",
  REGEXMATCH(C10003, ""薪資""), ""薪資變動(不計入)"",
  REGEXMATCH(C10003, ""押金""), ""押金往來"",
  AND(E10003&lt;&gt;"""", F10003=""""), ""真實支出"",
  AND(E10003="""", F10003&lt;&gt;""""), ""真實收入"",
  TRUE, ""其他""
)"),"其他")</f>
        <v>其他</v>
      </c>
      <c r="K10003" s="270" t="str">
        <f t="shared" si="2"/>
        <v/>
      </c>
      <c r="L10003">
        <f t="shared" si="3"/>
        <v>0</v>
      </c>
    </row>
    <row r="10004">
      <c r="A10004" s="107"/>
      <c r="D10004" s="270"/>
      <c r="H10004" s="106" t="str">
        <f t="shared" si="1"/>
        <v/>
      </c>
      <c r="J10004" t="str">
        <f>IFERROR(__xludf.DUMMYFUNCTION("IFS(
  AND(REGEXMATCH(E10004, ""台銀籌備帳戶|玉山帳戶""), REGEXMATCH(C10004, ""薪資"")), ""分潤支出"",
  AND(REGEXMATCH(E10004, ""Ben帳戶|Elsa帳戶|Ben代墊|Ariel代墊|中信銀行共用""), REGEXMATCH(F10004, ""Ben帳戶|Elsa帳戶|Ben代墊|Ariel代墊|中信銀行共用"")), ""內部轉帳(忽略)"",
  AND(E10004&lt;&gt;"""", F10004&lt;&gt;"&amp;""""", NOT(REGEXMATCH(C10004, ""薪資""))), ""內部轉帳(忽略)"",
  REGEXMATCH(C10004, ""薪資""), ""薪資變動(不計入)"",
  REGEXMATCH(C10004, ""押金""), ""押金往來"",
  AND(E10004&lt;&gt;"""", F10004=""""), ""真實支出"",
  AND(E10004="""", F10004&lt;&gt;""""), ""真實收入"",
  TRUE, ""其他""
)"),"其他")</f>
        <v>其他</v>
      </c>
      <c r="K10004" s="270" t="str">
        <f t="shared" si="2"/>
        <v/>
      </c>
      <c r="L10004">
        <f t="shared" si="3"/>
        <v>0</v>
      </c>
    </row>
    <row r="10005">
      <c r="A10005" s="107"/>
      <c r="D10005" s="270"/>
      <c r="H10005" s="106" t="str">
        <f t="shared" si="1"/>
        <v/>
      </c>
      <c r="J10005" t="str">
        <f>IFERROR(__xludf.DUMMYFUNCTION("IFS(
  AND(REGEXMATCH(E10005, ""台銀籌備帳戶|玉山帳戶""), REGEXMATCH(C10005, ""薪資"")), ""分潤支出"",
  AND(REGEXMATCH(E10005, ""Ben帳戶|Elsa帳戶|Ben代墊|Ariel代墊|中信銀行共用""), REGEXMATCH(F10005, ""Ben帳戶|Elsa帳戶|Ben代墊|Ariel代墊|中信銀行共用"")), ""內部轉帳(忽略)"",
  AND(E10005&lt;&gt;"""", F10005&lt;&gt;"&amp;""""", NOT(REGEXMATCH(C10005, ""薪資""))), ""內部轉帳(忽略)"",
  REGEXMATCH(C10005, ""薪資""), ""薪資變動(不計入)"",
  REGEXMATCH(C10005, ""押金""), ""押金往來"",
  AND(E10005&lt;&gt;"""", F10005=""""), ""真實支出"",
  AND(E10005="""", F10005&lt;&gt;""""), ""真實收入"",
  TRUE, ""其他""
)"),"其他")</f>
        <v>其他</v>
      </c>
      <c r="K10005" s="270" t="str">
        <f t="shared" si="2"/>
        <v/>
      </c>
      <c r="L10005">
        <f t="shared" si="3"/>
        <v>0</v>
      </c>
    </row>
    <row r="10006">
      <c r="A10006" s="107"/>
      <c r="D10006" s="270"/>
      <c r="H10006" s="106" t="str">
        <f t="shared" si="1"/>
        <v/>
      </c>
      <c r="J10006" t="str">
        <f>IFERROR(__xludf.DUMMYFUNCTION("IFS(
  AND(REGEXMATCH(E10006, ""台銀籌備帳戶|玉山帳戶""), REGEXMATCH(C10006, ""薪資"")), ""分潤支出"",
  AND(REGEXMATCH(E10006, ""Ben帳戶|Elsa帳戶|Ben代墊|Ariel代墊|中信銀行共用""), REGEXMATCH(F10006, ""Ben帳戶|Elsa帳戶|Ben代墊|Ariel代墊|中信銀行共用"")), ""內部轉帳(忽略)"",
  AND(E10006&lt;&gt;"""", F10006&lt;&gt;"&amp;""""", NOT(REGEXMATCH(C10006, ""薪資""))), ""內部轉帳(忽略)"",
  REGEXMATCH(C10006, ""薪資""), ""薪資變動(不計入)"",
  REGEXMATCH(C10006, ""押金""), ""押金往來"",
  AND(E10006&lt;&gt;"""", F10006=""""), ""真實支出"",
  AND(E10006="""", F10006&lt;&gt;""""), ""真實收入"",
  TRUE, ""其他""
)"),"其他")</f>
        <v>其他</v>
      </c>
      <c r="K10006" s="270" t="str">
        <f t="shared" si="2"/>
        <v/>
      </c>
      <c r="L10006">
        <f t="shared" si="3"/>
        <v>0</v>
      </c>
    </row>
    <row r="10007">
      <c r="A10007" s="107"/>
      <c r="D10007" s="270"/>
      <c r="H10007" s="106" t="str">
        <f t="shared" si="1"/>
        <v/>
      </c>
      <c r="J10007" t="str">
        <f>IFERROR(__xludf.DUMMYFUNCTION("IFS(
  AND(REGEXMATCH(E10007, ""台銀籌備帳戶|玉山帳戶""), REGEXMATCH(C10007, ""薪資"")), ""分潤支出"",
  AND(REGEXMATCH(E10007, ""Ben帳戶|Elsa帳戶|Ben代墊|Ariel代墊|中信銀行共用""), REGEXMATCH(F10007, ""Ben帳戶|Elsa帳戶|Ben代墊|Ariel代墊|中信銀行共用"")), ""內部轉帳(忽略)"",
  AND(E10007&lt;&gt;"""", F10007&lt;&gt;"&amp;""""", NOT(REGEXMATCH(C10007, ""薪資""))), ""內部轉帳(忽略)"",
  REGEXMATCH(C10007, ""薪資""), ""薪資變動(不計入)"",
  REGEXMATCH(C10007, ""押金""), ""押金往來"",
  AND(E10007&lt;&gt;"""", F10007=""""), ""真實支出"",
  AND(E10007="""", F10007&lt;&gt;""""), ""真實收入"",
  TRUE, ""其他""
)"),"其他")</f>
        <v>其他</v>
      </c>
      <c r="K10007" s="270" t="str">
        <f t="shared" si="2"/>
        <v/>
      </c>
      <c r="L10007">
        <f t="shared" si="3"/>
        <v>0</v>
      </c>
    </row>
    <row r="10008">
      <c r="A10008" s="107"/>
      <c r="D10008" s="270"/>
      <c r="H10008" s="106" t="str">
        <f t="shared" si="1"/>
        <v/>
      </c>
      <c r="J10008" t="str">
        <f>IFERROR(__xludf.DUMMYFUNCTION("IFS(
  AND(REGEXMATCH(E10008, ""台銀籌備帳戶|玉山帳戶""), REGEXMATCH(C10008, ""薪資"")), ""分潤支出"",
  AND(REGEXMATCH(E10008, ""Ben帳戶|Elsa帳戶|Ben代墊|Ariel代墊|中信銀行共用""), REGEXMATCH(F10008, ""Ben帳戶|Elsa帳戶|Ben代墊|Ariel代墊|中信銀行共用"")), ""內部轉帳(忽略)"",
  AND(E10008&lt;&gt;"""", F10008&lt;&gt;"&amp;""""", NOT(REGEXMATCH(C10008, ""薪資""))), ""內部轉帳(忽略)"",
  REGEXMATCH(C10008, ""薪資""), ""薪資變動(不計入)"",
  REGEXMATCH(C10008, ""押金""), ""押金往來"",
  AND(E10008&lt;&gt;"""", F10008=""""), ""真實支出"",
  AND(E10008="""", F10008&lt;&gt;""""), ""真實收入"",
  TRUE, ""其他""
)"),"其他")</f>
        <v>其他</v>
      </c>
      <c r="K10008" s="270" t="str">
        <f t="shared" si="2"/>
        <v/>
      </c>
      <c r="L10008">
        <f t="shared" si="3"/>
        <v>0</v>
      </c>
    </row>
    <row r="10009">
      <c r="A10009" s="107"/>
      <c r="D10009" s="270"/>
      <c r="H10009" s="106" t="str">
        <f t="shared" si="1"/>
        <v/>
      </c>
      <c r="J10009" t="str">
        <f>IFERROR(__xludf.DUMMYFUNCTION("IFS(
  AND(REGEXMATCH(E10009, ""台銀籌備帳戶|玉山帳戶""), REGEXMATCH(C10009, ""薪資"")), ""分潤支出"",
  AND(REGEXMATCH(E10009, ""Ben帳戶|Elsa帳戶|Ben代墊|Ariel代墊|中信銀行共用""), REGEXMATCH(F10009, ""Ben帳戶|Elsa帳戶|Ben代墊|Ariel代墊|中信銀行共用"")), ""內部轉帳(忽略)"",
  AND(E10009&lt;&gt;"""", F10009&lt;&gt;"&amp;""""", NOT(REGEXMATCH(C10009, ""薪資""))), ""內部轉帳(忽略)"",
  REGEXMATCH(C10009, ""薪資""), ""薪資變動(不計入)"",
  REGEXMATCH(C10009, ""押金""), ""押金往來"",
  AND(E10009&lt;&gt;"""", F10009=""""), ""真實支出"",
  AND(E10009="""", F10009&lt;&gt;""""), ""真實收入"",
  TRUE, ""其他""
)"),"其他")</f>
        <v>其他</v>
      </c>
      <c r="K10009" s="270" t="str">
        <f t="shared" si="2"/>
        <v/>
      </c>
      <c r="L10009">
        <f t="shared" si="3"/>
        <v>0</v>
      </c>
    </row>
    <row r="10010">
      <c r="A10010" s="107"/>
      <c r="D10010" s="270"/>
      <c r="H10010" s="106" t="str">
        <f t="shared" si="1"/>
        <v/>
      </c>
      <c r="J10010" t="str">
        <f>IFERROR(__xludf.DUMMYFUNCTION("IFS(
  AND(REGEXMATCH(E10010, ""台銀籌備帳戶|玉山帳戶""), REGEXMATCH(C10010, ""薪資"")), ""分潤支出"",
  AND(REGEXMATCH(E10010, ""Ben帳戶|Elsa帳戶|Ben代墊|Ariel代墊|中信銀行共用""), REGEXMATCH(F10010, ""Ben帳戶|Elsa帳戶|Ben代墊|Ariel代墊|中信銀行共用"")), ""內部轉帳(忽略)"",
  AND(E10010&lt;&gt;"""", F10010&lt;&gt;"&amp;""""", NOT(REGEXMATCH(C10010, ""薪資""))), ""內部轉帳(忽略)"",
  REGEXMATCH(C10010, ""薪資""), ""薪資變動(不計入)"",
  REGEXMATCH(C10010, ""押金""), ""押金往來"",
  AND(E10010&lt;&gt;"""", F10010=""""), ""真實支出"",
  AND(E10010="""", F10010&lt;&gt;""""), ""真實收入"",
  TRUE, ""其他""
)"),"其他")</f>
        <v>其他</v>
      </c>
      <c r="K10010" s="270" t="str">
        <f t="shared" si="2"/>
        <v/>
      </c>
      <c r="L10010">
        <f t="shared" si="3"/>
        <v>0</v>
      </c>
    </row>
    <row r="10011">
      <c r="A10011" s="107"/>
      <c r="D10011" s="270"/>
      <c r="H10011" s="106" t="str">
        <f t="shared" si="1"/>
        <v/>
      </c>
      <c r="J10011" t="str">
        <f>IFERROR(__xludf.DUMMYFUNCTION("IFS(
  AND(REGEXMATCH(E10011, ""台銀籌備帳戶|玉山帳戶""), REGEXMATCH(C10011, ""薪資"")), ""分潤支出"",
  AND(REGEXMATCH(E10011, ""Ben帳戶|Elsa帳戶|Ben代墊|Ariel代墊|中信銀行共用""), REGEXMATCH(F10011, ""Ben帳戶|Elsa帳戶|Ben代墊|Ariel代墊|中信銀行共用"")), ""內部轉帳(忽略)"",
  AND(E10011&lt;&gt;"""", F10011&lt;&gt;"&amp;""""", NOT(REGEXMATCH(C10011, ""薪資""))), ""內部轉帳(忽略)"",
  REGEXMATCH(C10011, ""薪資""), ""薪資變動(不計入)"",
  REGEXMATCH(C10011, ""押金""), ""押金往來"",
  AND(E10011&lt;&gt;"""", F10011=""""), ""真實支出"",
  AND(E10011="""", F10011&lt;&gt;""""), ""真實收入"",
  TRUE, ""其他""
)"),"其他")</f>
        <v>其他</v>
      </c>
      <c r="K10011" s="270" t="str">
        <f t="shared" si="2"/>
        <v/>
      </c>
      <c r="L10011">
        <f t="shared" si="3"/>
        <v>0</v>
      </c>
    </row>
    <row r="10012">
      <c r="A10012" s="107"/>
      <c r="D10012" s="270"/>
      <c r="H10012" s="106" t="str">
        <f t="shared" si="1"/>
        <v/>
      </c>
      <c r="J10012" t="str">
        <f>IFERROR(__xludf.DUMMYFUNCTION("IFS(
  AND(REGEXMATCH(E10012, ""台銀籌備帳戶|玉山帳戶""), REGEXMATCH(C10012, ""薪資"")), ""分潤支出"",
  AND(REGEXMATCH(E10012, ""Ben帳戶|Elsa帳戶|Ben代墊|Ariel代墊|中信銀行共用""), REGEXMATCH(F10012, ""Ben帳戶|Elsa帳戶|Ben代墊|Ariel代墊|中信銀行共用"")), ""內部轉帳(忽略)"",
  AND(E10012&lt;&gt;"""", F10012&lt;&gt;"&amp;""""", NOT(REGEXMATCH(C10012, ""薪資""))), ""內部轉帳(忽略)"",
  REGEXMATCH(C10012, ""薪資""), ""薪資變動(不計入)"",
  REGEXMATCH(C10012, ""押金""), ""押金往來"",
  AND(E10012&lt;&gt;"""", F10012=""""), ""真實支出"",
  AND(E10012="""", F10012&lt;&gt;""""), ""真實收入"",
  TRUE, ""其他""
)"),"其他")</f>
        <v>其他</v>
      </c>
      <c r="K10012" s="270" t="str">
        <f t="shared" si="2"/>
        <v/>
      </c>
      <c r="L10012">
        <f t="shared" si="3"/>
        <v>0</v>
      </c>
    </row>
    <row r="10013">
      <c r="A10013" s="107"/>
      <c r="D10013" s="270"/>
      <c r="H10013" s="106" t="str">
        <f t="shared" si="1"/>
        <v/>
      </c>
      <c r="J10013" t="str">
        <f>IFERROR(__xludf.DUMMYFUNCTION("IFS(
  AND(REGEXMATCH(E10013, ""台銀籌備帳戶|玉山帳戶""), REGEXMATCH(C10013, ""薪資"")), ""分潤支出"",
  AND(REGEXMATCH(E10013, ""Ben帳戶|Elsa帳戶|Ben代墊|Ariel代墊|中信銀行共用""), REGEXMATCH(F10013, ""Ben帳戶|Elsa帳戶|Ben代墊|Ariel代墊|中信銀行共用"")), ""內部轉帳(忽略)"",
  AND(E10013&lt;&gt;"""", F10013&lt;&gt;"&amp;""""", NOT(REGEXMATCH(C10013, ""薪資""))), ""內部轉帳(忽略)"",
  REGEXMATCH(C10013, ""薪資""), ""薪資變動(不計入)"",
  REGEXMATCH(C10013, ""押金""), ""押金往來"",
  AND(E10013&lt;&gt;"""", F10013=""""), ""真實支出"",
  AND(E10013="""", F10013&lt;&gt;""""), ""真實收入"",
  TRUE, ""其他""
)"),"其他")</f>
        <v>其他</v>
      </c>
      <c r="K10013" s="270" t="str">
        <f t="shared" si="2"/>
        <v/>
      </c>
      <c r="L10013">
        <f t="shared" si="3"/>
        <v>0</v>
      </c>
    </row>
    <row r="10014">
      <c r="A10014" s="107"/>
      <c r="D10014" s="270"/>
      <c r="H10014" s="106" t="str">
        <f t="shared" si="1"/>
        <v/>
      </c>
      <c r="J10014" t="str">
        <f>IFERROR(__xludf.DUMMYFUNCTION("IFS(
  AND(REGEXMATCH(E10014, ""台銀籌備帳戶|玉山帳戶""), REGEXMATCH(C10014, ""薪資"")), ""分潤支出"",
  AND(REGEXMATCH(E10014, ""Ben帳戶|Elsa帳戶|Ben代墊|Ariel代墊|中信銀行共用""), REGEXMATCH(F10014, ""Ben帳戶|Elsa帳戶|Ben代墊|Ariel代墊|中信銀行共用"")), ""內部轉帳(忽略)"",
  AND(E10014&lt;&gt;"""", F10014&lt;&gt;"&amp;""""", NOT(REGEXMATCH(C10014, ""薪資""))), ""內部轉帳(忽略)"",
  REGEXMATCH(C10014, ""薪資""), ""薪資變動(不計入)"",
  REGEXMATCH(C10014, ""押金""), ""押金往來"",
  AND(E10014&lt;&gt;"""", F10014=""""), ""真實支出"",
  AND(E10014="""", F10014&lt;&gt;""""), ""真實收入"",
  TRUE, ""其他""
)"),"其他")</f>
        <v>其他</v>
      </c>
      <c r="K10014" s="270" t="str">
        <f t="shared" si="2"/>
        <v/>
      </c>
      <c r="L10014">
        <f t="shared" si="3"/>
        <v>0</v>
      </c>
    </row>
    <row r="10015">
      <c r="A10015" s="107"/>
      <c r="D10015" s="270"/>
      <c r="H10015" s="106" t="str">
        <f t="shared" si="1"/>
        <v/>
      </c>
      <c r="J10015" t="str">
        <f>IFERROR(__xludf.DUMMYFUNCTION("IFS(
  AND(REGEXMATCH(E10015, ""台銀籌備帳戶|玉山帳戶""), REGEXMATCH(C10015, ""薪資"")), ""分潤支出"",
  AND(REGEXMATCH(E10015, ""Ben帳戶|Elsa帳戶|Ben代墊|Ariel代墊|中信銀行共用""), REGEXMATCH(F10015, ""Ben帳戶|Elsa帳戶|Ben代墊|Ariel代墊|中信銀行共用"")), ""內部轉帳(忽略)"",
  AND(E10015&lt;&gt;"""", F10015&lt;&gt;"&amp;""""", NOT(REGEXMATCH(C10015, ""薪資""))), ""內部轉帳(忽略)"",
  REGEXMATCH(C10015, ""薪資""), ""薪資變動(不計入)"",
  REGEXMATCH(C10015, ""押金""), ""押金往來"",
  AND(E10015&lt;&gt;"""", F10015=""""), ""真實支出"",
  AND(E10015="""", F10015&lt;&gt;""""), ""真實收入"",
  TRUE, ""其他""
)"),"其他")</f>
        <v>其他</v>
      </c>
      <c r="K10015" s="270" t="str">
        <f t="shared" si="2"/>
        <v/>
      </c>
      <c r="L10015">
        <f t="shared" si="3"/>
        <v>0</v>
      </c>
    </row>
    <row r="10016">
      <c r="A10016" s="107"/>
      <c r="D10016" s="270"/>
      <c r="H10016" s="106" t="str">
        <f t="shared" si="1"/>
        <v/>
      </c>
      <c r="J10016" t="str">
        <f>IFERROR(__xludf.DUMMYFUNCTION("IFS(
  AND(REGEXMATCH(E10016, ""台銀籌備帳戶|玉山帳戶""), REGEXMATCH(C10016, ""薪資"")), ""分潤支出"",
  AND(REGEXMATCH(E10016, ""Ben帳戶|Elsa帳戶|Ben代墊|Ariel代墊|中信銀行共用""), REGEXMATCH(F10016, ""Ben帳戶|Elsa帳戶|Ben代墊|Ariel代墊|中信銀行共用"")), ""內部轉帳(忽略)"",
  AND(E10016&lt;&gt;"""", F10016&lt;&gt;"&amp;""""", NOT(REGEXMATCH(C10016, ""薪資""))), ""內部轉帳(忽略)"",
  REGEXMATCH(C10016, ""薪資""), ""薪資變動(不計入)"",
  REGEXMATCH(C10016, ""押金""), ""押金往來"",
  AND(E10016&lt;&gt;"""", F10016=""""), ""真實支出"",
  AND(E10016="""", F10016&lt;&gt;""""), ""真實收入"",
  TRUE, ""其他""
)"),"其他")</f>
        <v>其他</v>
      </c>
      <c r="K10016" s="270" t="str">
        <f t="shared" si="2"/>
        <v/>
      </c>
      <c r="L10016">
        <f t="shared" si="3"/>
        <v>0</v>
      </c>
    </row>
    <row r="10017">
      <c r="A10017" s="107"/>
      <c r="D10017" s="270"/>
      <c r="H10017" s="106" t="str">
        <f t="shared" si="1"/>
        <v/>
      </c>
      <c r="J10017" t="str">
        <f>IFERROR(__xludf.DUMMYFUNCTION("IFS(
  AND(REGEXMATCH(E10017, ""台銀籌備帳戶|玉山帳戶""), REGEXMATCH(C10017, ""薪資"")), ""分潤支出"",
  AND(REGEXMATCH(E10017, ""Ben帳戶|Elsa帳戶|Ben代墊|Ariel代墊|中信銀行共用""), REGEXMATCH(F10017, ""Ben帳戶|Elsa帳戶|Ben代墊|Ariel代墊|中信銀行共用"")), ""內部轉帳(忽略)"",
  AND(E10017&lt;&gt;"""", F10017&lt;&gt;"&amp;""""", NOT(REGEXMATCH(C10017, ""薪資""))), ""內部轉帳(忽略)"",
  REGEXMATCH(C10017, ""薪資""), ""薪資變動(不計入)"",
  REGEXMATCH(C10017, ""押金""), ""押金往來"",
  AND(E10017&lt;&gt;"""", F10017=""""), ""真實支出"",
  AND(E10017="""", F10017&lt;&gt;""""), ""真實收入"",
  TRUE, ""其他""
)"),"其他")</f>
        <v>其他</v>
      </c>
      <c r="K10017" s="270" t="str">
        <f t="shared" si="2"/>
        <v/>
      </c>
      <c r="L10017">
        <f t="shared" si="3"/>
        <v>0</v>
      </c>
    </row>
    <row r="10018">
      <c r="A10018" s="107"/>
      <c r="D10018" s="270"/>
      <c r="H10018" s="106" t="str">
        <f t="shared" si="1"/>
        <v/>
      </c>
      <c r="J10018" t="str">
        <f>IFERROR(__xludf.DUMMYFUNCTION("IFS(
  AND(REGEXMATCH(E10018, ""台銀籌備帳戶|玉山帳戶""), REGEXMATCH(C10018, ""薪資"")), ""分潤支出"",
  AND(REGEXMATCH(E10018, ""Ben帳戶|Elsa帳戶|Ben代墊|Ariel代墊|中信銀行共用""), REGEXMATCH(F10018, ""Ben帳戶|Elsa帳戶|Ben代墊|Ariel代墊|中信銀行共用"")), ""內部轉帳(忽略)"",
  AND(E10018&lt;&gt;"""", F10018&lt;&gt;"&amp;""""", NOT(REGEXMATCH(C10018, ""薪資""))), ""內部轉帳(忽略)"",
  REGEXMATCH(C10018, ""薪資""), ""薪資變動(不計入)"",
  REGEXMATCH(C10018, ""押金""), ""押金往來"",
  AND(E10018&lt;&gt;"""", F10018=""""), ""真實支出"",
  AND(E10018="""", F10018&lt;&gt;""""), ""真實收入"",
  TRUE, ""其他""
)"),"其他")</f>
        <v>其他</v>
      </c>
      <c r="K10018" s="270" t="str">
        <f t="shared" si="2"/>
        <v/>
      </c>
      <c r="L10018">
        <f t="shared" si="3"/>
        <v>0</v>
      </c>
    </row>
    <row r="10019">
      <c r="A10019" s="107"/>
      <c r="D10019" s="270"/>
      <c r="H10019" s="106" t="str">
        <f t="shared" si="1"/>
        <v/>
      </c>
      <c r="J10019" t="str">
        <f>IFERROR(__xludf.DUMMYFUNCTION("IFS(
  AND(REGEXMATCH(E10019, ""台銀籌備帳戶|玉山帳戶""), REGEXMATCH(C10019, ""薪資"")), ""分潤支出"",
  AND(REGEXMATCH(E10019, ""Ben帳戶|Elsa帳戶|Ben代墊|Ariel代墊|中信銀行共用""), REGEXMATCH(F10019, ""Ben帳戶|Elsa帳戶|Ben代墊|Ariel代墊|中信銀行共用"")), ""內部轉帳(忽略)"",
  AND(E10019&lt;&gt;"""", F10019&lt;&gt;"&amp;""""", NOT(REGEXMATCH(C10019, ""薪資""))), ""內部轉帳(忽略)"",
  REGEXMATCH(C10019, ""薪資""), ""薪資變動(不計入)"",
  REGEXMATCH(C10019, ""押金""), ""押金往來"",
  AND(E10019&lt;&gt;"""", F10019=""""), ""真實支出"",
  AND(E10019="""", F10019&lt;&gt;""""), ""真實收入"",
  TRUE, ""其他""
)"),"其他")</f>
        <v>其他</v>
      </c>
      <c r="K10019" s="270" t="str">
        <f t="shared" si="2"/>
        <v/>
      </c>
      <c r="L10019">
        <f t="shared" si="3"/>
        <v>0</v>
      </c>
    </row>
    <row r="10020">
      <c r="A10020" s="107"/>
      <c r="D10020" s="270"/>
      <c r="H10020" s="106" t="str">
        <f t="shared" si="1"/>
        <v/>
      </c>
      <c r="J10020" t="str">
        <f>IFERROR(__xludf.DUMMYFUNCTION("IFS(
  AND(REGEXMATCH(E10020, ""台銀籌備帳戶|玉山帳戶""), REGEXMATCH(C10020, ""薪資"")), ""分潤支出"",
  AND(REGEXMATCH(E10020, ""Ben帳戶|Elsa帳戶|Ben代墊|Ariel代墊|中信銀行共用""), REGEXMATCH(F10020, ""Ben帳戶|Elsa帳戶|Ben代墊|Ariel代墊|中信銀行共用"")), ""內部轉帳(忽略)"",
  AND(E10020&lt;&gt;"""", F10020&lt;&gt;"&amp;""""", NOT(REGEXMATCH(C10020, ""薪資""))), ""內部轉帳(忽略)"",
  REGEXMATCH(C10020, ""薪資""), ""薪資變動(不計入)"",
  REGEXMATCH(C10020, ""押金""), ""押金往來"",
  AND(E10020&lt;&gt;"""", F10020=""""), ""真實支出"",
  AND(E10020="""", F10020&lt;&gt;""""), ""真實收入"",
  TRUE, ""其他""
)"),"其他")</f>
        <v>其他</v>
      </c>
      <c r="K10020" s="270" t="str">
        <f t="shared" si="2"/>
        <v/>
      </c>
      <c r="L10020">
        <f t="shared" si="3"/>
        <v>0</v>
      </c>
    </row>
    <row r="10021">
      <c r="A10021" s="107"/>
      <c r="D10021" s="270"/>
      <c r="H10021" s="106" t="str">
        <f t="shared" si="1"/>
        <v/>
      </c>
      <c r="J10021" t="str">
        <f>IFERROR(__xludf.DUMMYFUNCTION("IFS(
  AND(REGEXMATCH(E10021, ""台銀籌備帳戶|玉山帳戶""), REGEXMATCH(C10021, ""薪資"")), ""分潤支出"",
  AND(REGEXMATCH(E10021, ""Ben帳戶|Elsa帳戶|Ben代墊|Ariel代墊|中信銀行共用""), REGEXMATCH(F10021, ""Ben帳戶|Elsa帳戶|Ben代墊|Ariel代墊|中信銀行共用"")), ""內部轉帳(忽略)"",
  AND(E10021&lt;&gt;"""", F10021&lt;&gt;"&amp;""""", NOT(REGEXMATCH(C10021, ""薪資""))), ""內部轉帳(忽略)"",
  REGEXMATCH(C10021, ""薪資""), ""薪資變動(不計入)"",
  REGEXMATCH(C10021, ""押金""), ""押金往來"",
  AND(E10021&lt;&gt;"""", F10021=""""), ""真實支出"",
  AND(E10021="""", F10021&lt;&gt;""""), ""真實收入"",
  TRUE, ""其他""
)"),"其他")</f>
        <v>其他</v>
      </c>
      <c r="K10021" s="270" t="str">
        <f t="shared" si="2"/>
        <v/>
      </c>
      <c r="L10021">
        <f t="shared" si="3"/>
        <v>0</v>
      </c>
    </row>
    <row r="10022">
      <c r="A10022" s="107"/>
      <c r="D10022" s="270"/>
      <c r="H10022" s="106" t="str">
        <f t="shared" si="1"/>
        <v/>
      </c>
      <c r="J10022" t="str">
        <f>IFERROR(__xludf.DUMMYFUNCTION("IFS(
  AND(REGEXMATCH(E10022, ""台銀籌備帳戶|玉山帳戶""), REGEXMATCH(C10022, ""薪資"")), ""分潤支出"",
  AND(REGEXMATCH(E10022, ""Ben帳戶|Elsa帳戶|Ben代墊|Ariel代墊|中信銀行共用""), REGEXMATCH(F10022, ""Ben帳戶|Elsa帳戶|Ben代墊|Ariel代墊|中信銀行共用"")), ""內部轉帳(忽略)"",
  AND(E10022&lt;&gt;"""", F10022&lt;&gt;"&amp;""""", NOT(REGEXMATCH(C10022, ""薪資""))), ""內部轉帳(忽略)"",
  REGEXMATCH(C10022, ""薪資""), ""薪資變動(不計入)"",
  REGEXMATCH(C10022, ""押金""), ""押金往來"",
  AND(E10022&lt;&gt;"""", F10022=""""), ""真實支出"",
  AND(E10022="""", F10022&lt;&gt;""""), ""真實收入"",
  TRUE, ""其他""
)"),"其他")</f>
        <v>其他</v>
      </c>
      <c r="K10022" s="270" t="str">
        <f t="shared" si="2"/>
        <v/>
      </c>
      <c r="L10022">
        <f t="shared" si="3"/>
        <v>0</v>
      </c>
    </row>
    <row r="10023">
      <c r="A10023" s="107"/>
      <c r="D10023" s="270"/>
      <c r="H10023" s="106" t="str">
        <f t="shared" si="1"/>
        <v/>
      </c>
      <c r="J10023" t="str">
        <f>IFERROR(__xludf.DUMMYFUNCTION("IFS(
  AND(REGEXMATCH(E10023, ""台銀籌備帳戶|玉山帳戶""), REGEXMATCH(C10023, ""薪資"")), ""分潤支出"",
  AND(REGEXMATCH(E10023, ""Ben帳戶|Elsa帳戶|Ben代墊|Ariel代墊|中信銀行共用""), REGEXMATCH(F10023, ""Ben帳戶|Elsa帳戶|Ben代墊|Ariel代墊|中信銀行共用"")), ""內部轉帳(忽略)"",
  AND(E10023&lt;&gt;"""", F10023&lt;&gt;"&amp;""""", NOT(REGEXMATCH(C10023, ""薪資""))), ""內部轉帳(忽略)"",
  REGEXMATCH(C10023, ""薪資""), ""薪資變動(不計入)"",
  REGEXMATCH(C10023, ""押金""), ""押金往來"",
  AND(E10023&lt;&gt;"""", F10023=""""), ""真實支出"",
  AND(E10023="""", F10023&lt;&gt;""""), ""真實收入"",
  TRUE, ""其他""
)"),"其他")</f>
        <v>其他</v>
      </c>
      <c r="K10023" s="270" t="str">
        <f t="shared" si="2"/>
        <v/>
      </c>
      <c r="L10023">
        <f t="shared" si="3"/>
        <v>0</v>
      </c>
    </row>
    <row r="10024">
      <c r="A10024" s="107"/>
      <c r="D10024" s="270"/>
      <c r="H10024" s="106" t="str">
        <f t="shared" si="1"/>
        <v/>
      </c>
      <c r="J10024" t="str">
        <f>IFERROR(__xludf.DUMMYFUNCTION("IFS(
  AND(REGEXMATCH(E10024, ""台銀籌備帳戶|玉山帳戶""), REGEXMATCH(C10024, ""薪資"")), ""分潤支出"",
  AND(REGEXMATCH(E10024, ""Ben帳戶|Elsa帳戶|Ben代墊|Ariel代墊|中信銀行共用""), REGEXMATCH(F10024, ""Ben帳戶|Elsa帳戶|Ben代墊|Ariel代墊|中信銀行共用"")), ""內部轉帳(忽略)"",
  AND(E10024&lt;&gt;"""", F10024&lt;&gt;"&amp;""""", NOT(REGEXMATCH(C10024, ""薪資""))), ""內部轉帳(忽略)"",
  REGEXMATCH(C10024, ""薪資""), ""薪資變動(不計入)"",
  REGEXMATCH(C10024, ""押金""), ""押金往來"",
  AND(E10024&lt;&gt;"""", F10024=""""), ""真實支出"",
  AND(E10024="""", F10024&lt;&gt;""""), ""真實收入"",
  TRUE, ""其他""
)"),"其他")</f>
        <v>其他</v>
      </c>
      <c r="K10024" s="270" t="str">
        <f t="shared" si="2"/>
        <v/>
      </c>
      <c r="L10024">
        <f t="shared" si="3"/>
        <v>0</v>
      </c>
    </row>
    <row r="10025">
      <c r="A10025" s="107"/>
      <c r="D10025" s="270"/>
      <c r="H10025" s="106" t="str">
        <f t="shared" si="1"/>
        <v/>
      </c>
      <c r="J10025" t="str">
        <f>IFERROR(__xludf.DUMMYFUNCTION("IFS(
  AND(REGEXMATCH(E10025, ""台銀籌備帳戶|玉山帳戶""), REGEXMATCH(C10025, ""薪資"")), ""分潤支出"",
  AND(REGEXMATCH(E10025, ""Ben帳戶|Elsa帳戶|Ben代墊|Ariel代墊|中信銀行共用""), REGEXMATCH(F10025, ""Ben帳戶|Elsa帳戶|Ben代墊|Ariel代墊|中信銀行共用"")), ""內部轉帳(忽略)"",
  AND(E10025&lt;&gt;"""", F10025&lt;&gt;"&amp;""""", NOT(REGEXMATCH(C10025, ""薪資""))), ""內部轉帳(忽略)"",
  REGEXMATCH(C10025, ""薪資""), ""薪資變動(不計入)"",
  REGEXMATCH(C10025, ""押金""), ""押金往來"",
  AND(E10025&lt;&gt;"""", F10025=""""), ""真實支出"",
  AND(E10025="""", F10025&lt;&gt;""""), ""真實收入"",
  TRUE, ""其他""
)"),"其他")</f>
        <v>其他</v>
      </c>
      <c r="K10025" s="270" t="str">
        <f t="shared" si="2"/>
        <v/>
      </c>
      <c r="L10025">
        <f t="shared" si="3"/>
        <v>0</v>
      </c>
    </row>
    <row r="10026">
      <c r="A10026" s="107"/>
      <c r="D10026" s="270"/>
      <c r="H10026" s="106" t="str">
        <f t="shared" si="1"/>
        <v/>
      </c>
      <c r="J10026" t="str">
        <f>IFERROR(__xludf.DUMMYFUNCTION("IFS(
  AND(REGEXMATCH(E10026, ""台銀籌備帳戶|玉山帳戶""), REGEXMATCH(C10026, ""薪資"")), ""分潤支出"",
  AND(REGEXMATCH(E10026, ""Ben帳戶|Elsa帳戶|Ben代墊|Ariel代墊|中信銀行共用""), REGEXMATCH(F10026, ""Ben帳戶|Elsa帳戶|Ben代墊|Ariel代墊|中信銀行共用"")), ""內部轉帳(忽略)"",
  AND(E10026&lt;&gt;"""", F10026&lt;&gt;"&amp;""""", NOT(REGEXMATCH(C10026, ""薪資""))), ""內部轉帳(忽略)"",
  REGEXMATCH(C10026, ""薪資""), ""薪資變動(不計入)"",
  REGEXMATCH(C10026, ""押金""), ""押金往來"",
  AND(E10026&lt;&gt;"""", F10026=""""), ""真實支出"",
  AND(E10026="""", F10026&lt;&gt;""""), ""真實收入"",
  TRUE, ""其他""
)"),"其他")</f>
        <v>其他</v>
      </c>
      <c r="K10026" s="270" t="str">
        <f t="shared" si="2"/>
        <v/>
      </c>
      <c r="L10026">
        <f t="shared" si="3"/>
        <v>0</v>
      </c>
    </row>
    <row r="10027">
      <c r="A10027" s="107"/>
      <c r="D10027" s="270"/>
      <c r="H10027" s="106" t="str">
        <f t="shared" si="1"/>
        <v/>
      </c>
      <c r="J10027" t="str">
        <f>IFERROR(__xludf.DUMMYFUNCTION("IFS(
  AND(REGEXMATCH(E10027, ""台銀籌備帳戶|玉山帳戶""), REGEXMATCH(C10027, ""薪資"")), ""分潤支出"",
  AND(REGEXMATCH(E10027, ""Ben帳戶|Elsa帳戶|Ben代墊|Ariel代墊|中信銀行共用""), REGEXMATCH(F10027, ""Ben帳戶|Elsa帳戶|Ben代墊|Ariel代墊|中信銀行共用"")), ""內部轉帳(忽略)"",
  AND(E10027&lt;&gt;"""", F10027&lt;&gt;"&amp;""""", NOT(REGEXMATCH(C10027, ""薪資""))), ""內部轉帳(忽略)"",
  REGEXMATCH(C10027, ""薪資""), ""薪資變動(不計入)"",
  REGEXMATCH(C10027, ""押金""), ""押金往來"",
  AND(E10027&lt;&gt;"""", F10027=""""), ""真實支出"",
  AND(E10027="""", F10027&lt;&gt;""""), ""真實收入"",
  TRUE, ""其他""
)"),"其他")</f>
        <v>其他</v>
      </c>
      <c r="K10027" s="270" t="str">
        <f t="shared" si="2"/>
        <v/>
      </c>
      <c r="L10027">
        <f t="shared" si="3"/>
        <v>0</v>
      </c>
    </row>
    <row r="10028">
      <c r="A10028" s="107"/>
      <c r="D10028" s="270"/>
      <c r="H10028" s="106" t="str">
        <f t="shared" si="1"/>
        <v/>
      </c>
      <c r="J10028" t="str">
        <f>IFERROR(__xludf.DUMMYFUNCTION("IFS(
  AND(REGEXMATCH(E10028, ""台銀籌備帳戶|玉山帳戶""), REGEXMATCH(C10028, ""薪資"")), ""分潤支出"",
  AND(REGEXMATCH(E10028, ""Ben帳戶|Elsa帳戶|Ben代墊|Ariel代墊|中信銀行共用""), REGEXMATCH(F10028, ""Ben帳戶|Elsa帳戶|Ben代墊|Ariel代墊|中信銀行共用"")), ""內部轉帳(忽略)"",
  AND(E10028&lt;&gt;"""", F10028&lt;&gt;"&amp;""""", NOT(REGEXMATCH(C10028, ""薪資""))), ""內部轉帳(忽略)"",
  REGEXMATCH(C10028, ""薪資""), ""薪資變動(不計入)"",
  REGEXMATCH(C10028, ""押金""), ""押金往來"",
  AND(E10028&lt;&gt;"""", F10028=""""), ""真實支出"",
  AND(E10028="""", F10028&lt;&gt;""""), ""真實收入"",
  TRUE, ""其他""
)"),"其他")</f>
        <v>其他</v>
      </c>
      <c r="K10028" s="270" t="str">
        <f t="shared" si="2"/>
        <v/>
      </c>
      <c r="L10028">
        <f t="shared" si="3"/>
        <v>0</v>
      </c>
    </row>
    <row r="10029">
      <c r="A10029" s="107"/>
      <c r="D10029" s="270"/>
      <c r="H10029" s="106" t="str">
        <f t="shared" si="1"/>
        <v/>
      </c>
      <c r="J10029" t="str">
        <f>IFERROR(__xludf.DUMMYFUNCTION("IFS(
  AND(REGEXMATCH(E10029, ""台銀籌備帳戶|玉山帳戶""), REGEXMATCH(C10029, ""薪資"")), ""分潤支出"",
  AND(REGEXMATCH(E10029, ""Ben帳戶|Elsa帳戶|Ben代墊|Ariel代墊|中信銀行共用""), REGEXMATCH(F10029, ""Ben帳戶|Elsa帳戶|Ben代墊|Ariel代墊|中信銀行共用"")), ""內部轉帳(忽略)"",
  AND(E10029&lt;&gt;"""", F10029&lt;&gt;"&amp;""""", NOT(REGEXMATCH(C10029, ""薪資""))), ""內部轉帳(忽略)"",
  REGEXMATCH(C10029, ""薪資""), ""薪資變動(不計入)"",
  REGEXMATCH(C10029, ""押金""), ""押金往來"",
  AND(E10029&lt;&gt;"""", F10029=""""), ""真實支出"",
  AND(E10029="""", F10029&lt;&gt;""""), ""真實收入"",
  TRUE, ""其他""
)"),"其他")</f>
        <v>其他</v>
      </c>
      <c r="K10029" s="270" t="str">
        <f t="shared" si="2"/>
        <v/>
      </c>
      <c r="L10029">
        <f t="shared" si="3"/>
        <v>0</v>
      </c>
    </row>
    <row r="10030">
      <c r="A10030" s="107"/>
      <c r="D10030" s="270"/>
      <c r="H10030" s="106" t="str">
        <f t="shared" si="1"/>
        <v/>
      </c>
      <c r="J10030" t="str">
        <f>IFERROR(__xludf.DUMMYFUNCTION("IFS(
  AND(REGEXMATCH(E10030, ""台銀籌備帳戶|玉山帳戶""), REGEXMATCH(C10030, ""薪資"")), ""分潤支出"",
  AND(REGEXMATCH(E10030, ""Ben帳戶|Elsa帳戶|Ben代墊|Ariel代墊|中信銀行共用""), REGEXMATCH(F10030, ""Ben帳戶|Elsa帳戶|Ben代墊|Ariel代墊|中信銀行共用"")), ""內部轉帳(忽略)"",
  AND(E10030&lt;&gt;"""", F10030&lt;&gt;"&amp;""""", NOT(REGEXMATCH(C10030, ""薪資""))), ""內部轉帳(忽略)"",
  REGEXMATCH(C10030, ""薪資""), ""薪資變動(不計入)"",
  REGEXMATCH(C10030, ""押金""), ""押金往來"",
  AND(E10030&lt;&gt;"""", F10030=""""), ""真實支出"",
  AND(E10030="""", F10030&lt;&gt;""""), ""真實收入"",
  TRUE, ""其他""
)"),"其他")</f>
        <v>其他</v>
      </c>
      <c r="K10030" s="270" t="str">
        <f t="shared" si="2"/>
        <v/>
      </c>
      <c r="L10030">
        <f t="shared" si="3"/>
        <v>0</v>
      </c>
    </row>
    <row r="10031">
      <c r="A10031" s="107"/>
      <c r="D10031" s="270"/>
      <c r="H10031" s="106" t="str">
        <f t="shared" si="1"/>
        <v/>
      </c>
      <c r="J10031" t="str">
        <f>IFERROR(__xludf.DUMMYFUNCTION("IFS(
  AND(REGEXMATCH(E10031, ""台銀籌備帳戶|玉山帳戶""), REGEXMATCH(C10031, ""薪資"")), ""分潤支出"",
  AND(REGEXMATCH(E10031, ""Ben帳戶|Elsa帳戶|Ben代墊|Ariel代墊|中信銀行共用""), REGEXMATCH(F10031, ""Ben帳戶|Elsa帳戶|Ben代墊|Ariel代墊|中信銀行共用"")), ""內部轉帳(忽略)"",
  AND(E10031&lt;&gt;"""", F10031&lt;&gt;"&amp;""""", NOT(REGEXMATCH(C10031, ""薪資""))), ""內部轉帳(忽略)"",
  REGEXMATCH(C10031, ""薪資""), ""薪資變動(不計入)"",
  REGEXMATCH(C10031, ""押金""), ""押金往來"",
  AND(E10031&lt;&gt;"""", F10031=""""), ""真實支出"",
  AND(E10031="""", F10031&lt;&gt;""""), ""真實收入"",
  TRUE, ""其他""
)"),"其他")</f>
        <v>其他</v>
      </c>
      <c r="K10031" s="270" t="str">
        <f t="shared" si="2"/>
        <v/>
      </c>
      <c r="L10031">
        <f t="shared" si="3"/>
        <v>0</v>
      </c>
    </row>
    <row r="10032">
      <c r="A10032" s="107"/>
      <c r="D10032" s="270"/>
      <c r="H10032" s="106" t="str">
        <f t="shared" si="1"/>
        <v/>
      </c>
      <c r="J10032" t="str">
        <f>IFERROR(__xludf.DUMMYFUNCTION("IFS(
  AND(REGEXMATCH(E10032, ""台銀籌備帳戶|玉山帳戶""), REGEXMATCH(C10032, ""薪資"")), ""分潤支出"",
  AND(REGEXMATCH(E10032, ""Ben帳戶|Elsa帳戶|Ben代墊|Ariel代墊|中信銀行共用""), REGEXMATCH(F10032, ""Ben帳戶|Elsa帳戶|Ben代墊|Ariel代墊|中信銀行共用"")), ""內部轉帳(忽略)"",
  AND(E10032&lt;&gt;"""", F10032&lt;&gt;"&amp;""""", NOT(REGEXMATCH(C10032, ""薪資""))), ""內部轉帳(忽略)"",
  REGEXMATCH(C10032, ""薪資""), ""薪資變動(不計入)"",
  REGEXMATCH(C10032, ""押金""), ""押金往來"",
  AND(E10032&lt;&gt;"""", F10032=""""), ""真實支出"",
  AND(E10032="""", F10032&lt;&gt;""""), ""真實收入"",
  TRUE, ""其他""
)"),"其他")</f>
        <v>其他</v>
      </c>
      <c r="K10032" s="270" t="str">
        <f t="shared" si="2"/>
        <v/>
      </c>
      <c r="L10032">
        <f t="shared" si="3"/>
        <v>0</v>
      </c>
    </row>
    <row r="10033">
      <c r="A10033" s="107"/>
      <c r="D10033" s="270"/>
      <c r="H10033" s="106" t="str">
        <f t="shared" si="1"/>
        <v/>
      </c>
      <c r="J10033" t="str">
        <f>IFERROR(__xludf.DUMMYFUNCTION("IFS(
  AND(REGEXMATCH(E10033, ""台銀籌備帳戶|玉山帳戶""), REGEXMATCH(C10033, ""薪資"")), ""分潤支出"",
  AND(REGEXMATCH(E10033, ""Ben帳戶|Elsa帳戶|Ben代墊|Ariel代墊|中信銀行共用""), REGEXMATCH(F10033, ""Ben帳戶|Elsa帳戶|Ben代墊|Ariel代墊|中信銀行共用"")), ""內部轉帳(忽略)"",
  AND(E10033&lt;&gt;"""", F10033&lt;&gt;"&amp;""""", NOT(REGEXMATCH(C10033, ""薪資""))), ""內部轉帳(忽略)"",
  REGEXMATCH(C10033, ""薪資""), ""薪資變動(不計入)"",
  REGEXMATCH(C10033, ""押金""), ""押金往來"",
  AND(E10033&lt;&gt;"""", F10033=""""), ""真實支出"",
  AND(E10033="""", F10033&lt;&gt;""""), ""真實收入"",
  TRUE, ""其他""
)"),"其他")</f>
        <v>其他</v>
      </c>
      <c r="K10033" s="270" t="str">
        <f t="shared" si="2"/>
        <v/>
      </c>
      <c r="L10033">
        <f t="shared" si="3"/>
        <v>0</v>
      </c>
    </row>
    <row r="10034">
      <c r="A10034" s="107"/>
      <c r="D10034" s="270"/>
      <c r="H10034" s="106" t="str">
        <f t="shared" si="1"/>
        <v/>
      </c>
      <c r="J10034" t="str">
        <f>IFERROR(__xludf.DUMMYFUNCTION("IFS(
  AND(REGEXMATCH(E10034, ""台銀籌備帳戶|玉山帳戶""), REGEXMATCH(C10034, ""薪資"")), ""分潤支出"",
  AND(REGEXMATCH(E10034, ""Ben帳戶|Elsa帳戶|Ben代墊|Ariel代墊|中信銀行共用""), REGEXMATCH(F10034, ""Ben帳戶|Elsa帳戶|Ben代墊|Ariel代墊|中信銀行共用"")), ""內部轉帳(忽略)"",
  AND(E10034&lt;&gt;"""", F10034&lt;&gt;"&amp;""""", NOT(REGEXMATCH(C10034, ""薪資""))), ""內部轉帳(忽略)"",
  REGEXMATCH(C10034, ""薪資""), ""薪資變動(不計入)"",
  REGEXMATCH(C10034, ""押金""), ""押金往來"",
  AND(E10034&lt;&gt;"""", F10034=""""), ""真實支出"",
  AND(E10034="""", F10034&lt;&gt;""""), ""真實收入"",
  TRUE, ""其他""
)"),"其他")</f>
        <v>其他</v>
      </c>
      <c r="K10034" s="270" t="str">
        <f t="shared" si="2"/>
        <v/>
      </c>
      <c r="L10034">
        <f t="shared" si="3"/>
        <v>0</v>
      </c>
    </row>
    <row r="10035">
      <c r="A10035" s="107"/>
      <c r="D10035" s="270"/>
      <c r="H10035" s="106" t="str">
        <f t="shared" si="1"/>
        <v/>
      </c>
      <c r="J10035" t="str">
        <f>IFERROR(__xludf.DUMMYFUNCTION("IFS(
  AND(REGEXMATCH(E10035, ""台銀籌備帳戶|玉山帳戶""), REGEXMATCH(C10035, ""薪資"")), ""分潤支出"",
  AND(REGEXMATCH(E10035, ""Ben帳戶|Elsa帳戶|Ben代墊|Ariel代墊|中信銀行共用""), REGEXMATCH(F10035, ""Ben帳戶|Elsa帳戶|Ben代墊|Ariel代墊|中信銀行共用"")), ""內部轉帳(忽略)"",
  AND(E10035&lt;&gt;"""", F10035&lt;&gt;"&amp;""""", NOT(REGEXMATCH(C10035, ""薪資""))), ""內部轉帳(忽略)"",
  REGEXMATCH(C10035, ""薪資""), ""薪資變動(不計入)"",
  REGEXMATCH(C10035, ""押金""), ""押金往來"",
  AND(E10035&lt;&gt;"""", F10035=""""), ""真實支出"",
  AND(E10035="""", F10035&lt;&gt;""""), ""真實收入"",
  TRUE, ""其他""
)"),"其他")</f>
        <v>其他</v>
      </c>
      <c r="K10035" s="270" t="str">
        <f t="shared" si="2"/>
        <v/>
      </c>
      <c r="L10035">
        <f t="shared" si="3"/>
        <v>0</v>
      </c>
    </row>
    <row r="10036">
      <c r="A10036" s="107"/>
      <c r="D10036" s="270"/>
      <c r="H10036" s="106" t="str">
        <f t="shared" si="1"/>
        <v/>
      </c>
      <c r="J10036" t="str">
        <f>IFERROR(__xludf.DUMMYFUNCTION("IFS(
  AND(REGEXMATCH(E10036, ""台銀籌備帳戶|玉山帳戶""), REGEXMATCH(C10036, ""薪資"")), ""分潤支出"",
  AND(REGEXMATCH(E10036, ""Ben帳戶|Elsa帳戶|Ben代墊|Ariel代墊|中信銀行共用""), REGEXMATCH(F10036, ""Ben帳戶|Elsa帳戶|Ben代墊|Ariel代墊|中信銀行共用"")), ""內部轉帳(忽略)"",
  AND(E10036&lt;&gt;"""", F10036&lt;&gt;"&amp;""""", NOT(REGEXMATCH(C10036, ""薪資""))), ""內部轉帳(忽略)"",
  REGEXMATCH(C10036, ""薪資""), ""薪資變動(不計入)"",
  REGEXMATCH(C10036, ""押金""), ""押金往來"",
  AND(E10036&lt;&gt;"""", F10036=""""), ""真實支出"",
  AND(E10036="""", F10036&lt;&gt;""""), ""真實收入"",
  TRUE, ""其他""
)"),"其他")</f>
        <v>其他</v>
      </c>
      <c r="K10036" s="270" t="str">
        <f t="shared" si="2"/>
        <v/>
      </c>
      <c r="L10036">
        <f t="shared" si="3"/>
        <v>0</v>
      </c>
    </row>
    <row r="10037">
      <c r="A10037" s="107"/>
      <c r="D10037" s="270"/>
      <c r="H10037" s="106" t="str">
        <f t="shared" si="1"/>
        <v/>
      </c>
      <c r="J10037" t="str">
        <f>IFERROR(__xludf.DUMMYFUNCTION("IFS(
  AND(REGEXMATCH(E10037, ""台銀籌備帳戶|玉山帳戶""), REGEXMATCH(C10037, ""薪資"")), ""分潤支出"",
  AND(REGEXMATCH(E10037, ""Ben帳戶|Elsa帳戶|Ben代墊|Ariel代墊|中信銀行共用""), REGEXMATCH(F10037, ""Ben帳戶|Elsa帳戶|Ben代墊|Ariel代墊|中信銀行共用"")), ""內部轉帳(忽略)"",
  AND(E10037&lt;&gt;"""", F10037&lt;&gt;"&amp;""""", NOT(REGEXMATCH(C10037, ""薪資""))), ""內部轉帳(忽略)"",
  REGEXMATCH(C10037, ""薪資""), ""薪資變動(不計入)"",
  REGEXMATCH(C10037, ""押金""), ""押金往來"",
  AND(E10037&lt;&gt;"""", F10037=""""), ""真實支出"",
  AND(E10037="""", F10037&lt;&gt;""""), ""真實收入"",
  TRUE, ""其他""
)"),"其他")</f>
        <v>其他</v>
      </c>
      <c r="K10037" s="270" t="str">
        <f t="shared" si="2"/>
        <v/>
      </c>
      <c r="L10037">
        <f t="shared" si="3"/>
        <v>0</v>
      </c>
    </row>
    <row r="10038">
      <c r="A10038" s="107"/>
      <c r="D10038" s="270"/>
      <c r="H10038" s="106" t="str">
        <f t="shared" si="1"/>
        <v/>
      </c>
      <c r="J10038" t="str">
        <f>IFERROR(__xludf.DUMMYFUNCTION("IFS(
  AND(REGEXMATCH(E10038, ""台銀籌備帳戶|玉山帳戶""), REGEXMATCH(C10038, ""薪資"")), ""分潤支出"",
  AND(REGEXMATCH(E10038, ""Ben帳戶|Elsa帳戶|Ben代墊|Ariel代墊|中信銀行共用""), REGEXMATCH(F10038, ""Ben帳戶|Elsa帳戶|Ben代墊|Ariel代墊|中信銀行共用"")), ""內部轉帳(忽略)"",
  AND(E10038&lt;&gt;"""", F10038&lt;&gt;"&amp;""""", NOT(REGEXMATCH(C10038, ""薪資""))), ""內部轉帳(忽略)"",
  REGEXMATCH(C10038, ""薪資""), ""薪資變動(不計入)"",
  REGEXMATCH(C10038, ""押金""), ""押金往來"",
  AND(E10038&lt;&gt;"""", F10038=""""), ""真實支出"",
  AND(E10038="""", F10038&lt;&gt;""""), ""真實收入"",
  TRUE, ""其他""
)"),"其他")</f>
        <v>其他</v>
      </c>
      <c r="K10038" s="270" t="str">
        <f t="shared" si="2"/>
        <v/>
      </c>
      <c r="L10038">
        <f t="shared" si="3"/>
        <v>0</v>
      </c>
    </row>
    <row r="10039">
      <c r="A10039" s="107"/>
      <c r="D10039" s="270"/>
      <c r="H10039" s="106" t="str">
        <f t="shared" si="1"/>
        <v/>
      </c>
      <c r="J10039" t="str">
        <f>IFERROR(__xludf.DUMMYFUNCTION("IFS(
  AND(REGEXMATCH(E10039, ""台銀籌備帳戶|玉山帳戶""), REGEXMATCH(C10039, ""薪資"")), ""分潤支出"",
  AND(REGEXMATCH(E10039, ""Ben帳戶|Elsa帳戶|Ben代墊|Ariel代墊|中信銀行共用""), REGEXMATCH(F10039, ""Ben帳戶|Elsa帳戶|Ben代墊|Ariel代墊|中信銀行共用"")), ""內部轉帳(忽略)"",
  AND(E10039&lt;&gt;"""", F10039&lt;&gt;"&amp;""""", NOT(REGEXMATCH(C10039, ""薪資""))), ""內部轉帳(忽略)"",
  REGEXMATCH(C10039, ""薪資""), ""薪資變動(不計入)"",
  REGEXMATCH(C10039, ""押金""), ""押金往來"",
  AND(E10039&lt;&gt;"""", F10039=""""), ""真實支出"",
  AND(E10039="""", F10039&lt;&gt;""""), ""真實收入"",
  TRUE, ""其他""
)"),"其他")</f>
        <v>其他</v>
      </c>
      <c r="K10039" s="270" t="str">
        <f t="shared" si="2"/>
        <v/>
      </c>
      <c r="L10039">
        <f t="shared" si="3"/>
        <v>0</v>
      </c>
    </row>
    <row r="10040">
      <c r="A10040" s="107"/>
      <c r="D10040" s="270"/>
      <c r="H10040" s="106" t="str">
        <f t="shared" si="1"/>
        <v/>
      </c>
      <c r="J10040" t="str">
        <f>IFERROR(__xludf.DUMMYFUNCTION("IFS(
  AND(REGEXMATCH(E10040, ""台銀籌備帳戶|玉山帳戶""), REGEXMATCH(C10040, ""薪資"")), ""分潤支出"",
  AND(REGEXMATCH(E10040, ""Ben帳戶|Elsa帳戶|Ben代墊|Ariel代墊|中信銀行共用""), REGEXMATCH(F10040, ""Ben帳戶|Elsa帳戶|Ben代墊|Ariel代墊|中信銀行共用"")), ""內部轉帳(忽略)"",
  AND(E10040&lt;&gt;"""", F10040&lt;&gt;"&amp;""""", NOT(REGEXMATCH(C10040, ""薪資""))), ""內部轉帳(忽略)"",
  REGEXMATCH(C10040, ""薪資""), ""薪資變動(不計入)"",
  REGEXMATCH(C10040, ""押金""), ""押金往來"",
  AND(E10040&lt;&gt;"""", F10040=""""), ""真實支出"",
  AND(E10040="""", F10040&lt;&gt;""""), ""真實收入"",
  TRUE, ""其他""
)"),"其他")</f>
        <v>其他</v>
      </c>
      <c r="K10040" s="270" t="str">
        <f t="shared" si="2"/>
        <v/>
      </c>
      <c r="L10040">
        <f t="shared" si="3"/>
        <v>0</v>
      </c>
    </row>
    <row r="10041">
      <c r="A10041" s="107"/>
      <c r="D10041" s="270"/>
      <c r="H10041" s="106" t="str">
        <f t="shared" si="1"/>
        <v/>
      </c>
      <c r="J10041" t="str">
        <f>IFERROR(__xludf.DUMMYFUNCTION("IFS(
  AND(REGEXMATCH(E10041, ""台銀籌備帳戶|玉山帳戶""), REGEXMATCH(C10041, ""薪資"")), ""分潤支出"",
  AND(REGEXMATCH(E10041, ""Ben帳戶|Elsa帳戶|Ben代墊|Ariel代墊|中信銀行共用""), REGEXMATCH(F10041, ""Ben帳戶|Elsa帳戶|Ben代墊|Ariel代墊|中信銀行共用"")), ""內部轉帳(忽略)"",
  AND(E10041&lt;&gt;"""", F10041&lt;&gt;"&amp;""""", NOT(REGEXMATCH(C10041, ""薪資""))), ""內部轉帳(忽略)"",
  REGEXMATCH(C10041, ""薪資""), ""薪資變動(不計入)"",
  REGEXMATCH(C10041, ""押金""), ""押金往來"",
  AND(E10041&lt;&gt;"""", F10041=""""), ""真實支出"",
  AND(E10041="""", F10041&lt;&gt;""""), ""真實收入"",
  TRUE, ""其他""
)"),"其他")</f>
        <v>其他</v>
      </c>
      <c r="K10041" s="270" t="str">
        <f t="shared" si="2"/>
        <v/>
      </c>
      <c r="L10041">
        <f t="shared" si="3"/>
        <v>0</v>
      </c>
    </row>
    <row r="10042">
      <c r="A10042" s="107"/>
      <c r="D10042" s="270"/>
      <c r="H10042" s="106" t="str">
        <f t="shared" si="1"/>
        <v/>
      </c>
      <c r="J10042" t="str">
        <f>IFERROR(__xludf.DUMMYFUNCTION("IFS(
  AND(REGEXMATCH(E10042, ""台銀籌備帳戶|玉山帳戶""), REGEXMATCH(C10042, ""薪資"")), ""分潤支出"",
  AND(REGEXMATCH(E10042, ""Ben帳戶|Elsa帳戶|Ben代墊|Ariel代墊|中信銀行共用""), REGEXMATCH(F10042, ""Ben帳戶|Elsa帳戶|Ben代墊|Ariel代墊|中信銀行共用"")), ""內部轉帳(忽略)"",
  AND(E10042&lt;&gt;"""", F10042&lt;&gt;"&amp;""""", NOT(REGEXMATCH(C10042, ""薪資""))), ""內部轉帳(忽略)"",
  REGEXMATCH(C10042, ""薪資""), ""薪資變動(不計入)"",
  REGEXMATCH(C10042, ""押金""), ""押金往來"",
  AND(E10042&lt;&gt;"""", F10042=""""), ""真實支出"",
  AND(E10042="""", F10042&lt;&gt;""""), ""真實收入"",
  TRUE, ""其他""
)"),"其他")</f>
        <v>其他</v>
      </c>
      <c r="K10042" s="270" t="str">
        <f t="shared" si="2"/>
        <v/>
      </c>
      <c r="L10042">
        <f t="shared" si="3"/>
        <v>0</v>
      </c>
    </row>
    <row r="10043">
      <c r="A10043" s="107"/>
      <c r="D10043" s="270"/>
      <c r="H10043" s="106" t="str">
        <f t="shared" si="1"/>
        <v/>
      </c>
      <c r="J10043" t="str">
        <f>IFERROR(__xludf.DUMMYFUNCTION("IFS(
  AND(REGEXMATCH(E10043, ""台銀籌備帳戶|玉山帳戶""), REGEXMATCH(C10043, ""薪資"")), ""分潤支出"",
  AND(REGEXMATCH(E10043, ""Ben帳戶|Elsa帳戶|Ben代墊|Ariel代墊|中信銀行共用""), REGEXMATCH(F10043, ""Ben帳戶|Elsa帳戶|Ben代墊|Ariel代墊|中信銀行共用"")), ""內部轉帳(忽略)"",
  AND(E10043&lt;&gt;"""", F10043&lt;&gt;"&amp;""""", NOT(REGEXMATCH(C10043, ""薪資""))), ""內部轉帳(忽略)"",
  REGEXMATCH(C10043, ""薪資""), ""薪資變動(不計入)"",
  REGEXMATCH(C10043, ""押金""), ""押金往來"",
  AND(E10043&lt;&gt;"""", F10043=""""), ""真實支出"",
  AND(E10043="""", F10043&lt;&gt;""""), ""真實收入"",
  TRUE, ""其他""
)"),"其他")</f>
        <v>其他</v>
      </c>
      <c r="K10043" s="270" t="str">
        <f t="shared" si="2"/>
        <v/>
      </c>
      <c r="L10043">
        <f t="shared" si="3"/>
        <v>0</v>
      </c>
    </row>
    <row r="10044">
      <c r="A10044" s="107"/>
      <c r="D10044" s="270"/>
      <c r="H10044" s="106" t="str">
        <f t="shared" si="1"/>
        <v/>
      </c>
      <c r="J10044" t="str">
        <f>IFERROR(__xludf.DUMMYFUNCTION("IFS(
  AND(REGEXMATCH(E10044, ""台銀籌備帳戶|玉山帳戶""), REGEXMATCH(C10044, ""薪資"")), ""分潤支出"",
  AND(REGEXMATCH(E10044, ""Ben帳戶|Elsa帳戶|Ben代墊|Ariel代墊|中信銀行共用""), REGEXMATCH(F10044, ""Ben帳戶|Elsa帳戶|Ben代墊|Ariel代墊|中信銀行共用"")), ""內部轉帳(忽略)"",
  AND(E10044&lt;&gt;"""", F10044&lt;&gt;"&amp;""""", NOT(REGEXMATCH(C10044, ""薪資""))), ""內部轉帳(忽略)"",
  REGEXMATCH(C10044, ""薪資""), ""薪資變動(不計入)"",
  REGEXMATCH(C10044, ""押金""), ""押金往來"",
  AND(E10044&lt;&gt;"""", F10044=""""), ""真實支出"",
  AND(E10044="""", F10044&lt;&gt;""""), ""真實收入"",
  TRUE, ""其他""
)"),"其他")</f>
        <v>其他</v>
      </c>
      <c r="K10044" s="270" t="str">
        <f t="shared" si="2"/>
        <v/>
      </c>
      <c r="L10044">
        <f t="shared" si="3"/>
        <v>0</v>
      </c>
    </row>
    <row r="10045">
      <c r="A10045" s="107"/>
      <c r="D10045" s="270"/>
      <c r="H10045" s="106" t="str">
        <f t="shared" si="1"/>
        <v/>
      </c>
      <c r="J10045" t="str">
        <f>IFERROR(__xludf.DUMMYFUNCTION("IFS(
  AND(REGEXMATCH(E10045, ""台銀籌備帳戶|玉山帳戶""), REGEXMATCH(C10045, ""薪資"")), ""分潤支出"",
  AND(REGEXMATCH(E10045, ""Ben帳戶|Elsa帳戶|Ben代墊|Ariel代墊|中信銀行共用""), REGEXMATCH(F10045, ""Ben帳戶|Elsa帳戶|Ben代墊|Ariel代墊|中信銀行共用"")), ""內部轉帳(忽略)"",
  AND(E10045&lt;&gt;"""", F10045&lt;&gt;"&amp;""""", NOT(REGEXMATCH(C10045, ""薪資""))), ""內部轉帳(忽略)"",
  REGEXMATCH(C10045, ""薪資""), ""薪資變動(不計入)"",
  REGEXMATCH(C10045, ""押金""), ""押金往來"",
  AND(E10045&lt;&gt;"""", F10045=""""), ""真實支出"",
  AND(E10045="""", F10045&lt;&gt;""""), ""真實收入"",
  TRUE, ""其他""
)"),"其他")</f>
        <v>其他</v>
      </c>
      <c r="K10045" s="270" t="str">
        <f t="shared" si="2"/>
        <v/>
      </c>
      <c r="L10045">
        <f t="shared" si="3"/>
        <v>0</v>
      </c>
    </row>
    <row r="10046">
      <c r="A10046" s="107"/>
      <c r="D10046" s="270"/>
      <c r="H10046" s="106" t="str">
        <f t="shared" si="1"/>
        <v/>
      </c>
      <c r="J10046" t="str">
        <f>IFERROR(__xludf.DUMMYFUNCTION("IFS(
  AND(REGEXMATCH(E10046, ""台銀籌備帳戶|玉山帳戶""), REGEXMATCH(C10046, ""薪資"")), ""分潤支出"",
  AND(REGEXMATCH(E10046, ""Ben帳戶|Elsa帳戶|Ben代墊|Ariel代墊|中信銀行共用""), REGEXMATCH(F10046, ""Ben帳戶|Elsa帳戶|Ben代墊|Ariel代墊|中信銀行共用"")), ""內部轉帳(忽略)"",
  AND(E10046&lt;&gt;"""", F10046&lt;&gt;"&amp;""""", NOT(REGEXMATCH(C10046, ""薪資""))), ""內部轉帳(忽略)"",
  REGEXMATCH(C10046, ""薪資""), ""薪資變動(不計入)"",
  REGEXMATCH(C10046, ""押金""), ""押金往來"",
  AND(E10046&lt;&gt;"""", F10046=""""), ""真實支出"",
  AND(E10046="""", F10046&lt;&gt;""""), ""真實收入"",
  TRUE, ""其他""
)"),"其他")</f>
        <v>其他</v>
      </c>
      <c r="K10046" s="270" t="str">
        <f t="shared" si="2"/>
        <v/>
      </c>
      <c r="L10046">
        <f t="shared" si="3"/>
        <v>0</v>
      </c>
    </row>
    <row r="10047">
      <c r="A10047" s="107"/>
      <c r="D10047" s="270"/>
      <c r="H10047" s="106" t="str">
        <f t="shared" si="1"/>
        <v/>
      </c>
      <c r="J10047" t="str">
        <f>IFERROR(__xludf.DUMMYFUNCTION("IFS(
  AND(REGEXMATCH(E10047, ""台銀籌備帳戶|玉山帳戶""), REGEXMATCH(C10047, ""薪資"")), ""分潤支出"",
  AND(REGEXMATCH(E10047, ""Ben帳戶|Elsa帳戶|Ben代墊|Ariel代墊|中信銀行共用""), REGEXMATCH(F10047, ""Ben帳戶|Elsa帳戶|Ben代墊|Ariel代墊|中信銀行共用"")), ""內部轉帳(忽略)"",
  AND(E10047&lt;&gt;"""", F10047&lt;&gt;"&amp;""""", NOT(REGEXMATCH(C10047, ""薪資""))), ""內部轉帳(忽略)"",
  REGEXMATCH(C10047, ""薪資""), ""薪資變動(不計入)"",
  REGEXMATCH(C10047, ""押金""), ""押金往來"",
  AND(E10047&lt;&gt;"""", F10047=""""), ""真實支出"",
  AND(E10047="""", F10047&lt;&gt;""""), ""真實收入"",
  TRUE, ""其他""
)"),"其他")</f>
        <v>其他</v>
      </c>
      <c r="K10047" s="270" t="str">
        <f t="shared" si="2"/>
        <v/>
      </c>
      <c r="L10047">
        <f t="shared" si="3"/>
        <v>0</v>
      </c>
    </row>
    <row r="10048">
      <c r="A10048" s="107"/>
      <c r="D10048" s="270"/>
      <c r="H10048" s="106" t="str">
        <f t="shared" si="1"/>
        <v/>
      </c>
      <c r="J10048" t="str">
        <f>IFERROR(__xludf.DUMMYFUNCTION("IFS(
  AND(REGEXMATCH(E10048, ""台銀籌備帳戶|玉山帳戶""), REGEXMATCH(C10048, ""薪資"")), ""分潤支出"",
  AND(REGEXMATCH(E10048, ""Ben帳戶|Elsa帳戶|Ben代墊|Ariel代墊|中信銀行共用""), REGEXMATCH(F10048, ""Ben帳戶|Elsa帳戶|Ben代墊|Ariel代墊|中信銀行共用"")), ""內部轉帳(忽略)"",
  AND(E10048&lt;&gt;"""", F10048&lt;&gt;"&amp;""""", NOT(REGEXMATCH(C10048, ""薪資""))), ""內部轉帳(忽略)"",
  REGEXMATCH(C10048, ""薪資""), ""薪資變動(不計入)"",
  REGEXMATCH(C10048, ""押金""), ""押金往來"",
  AND(E10048&lt;&gt;"""", F10048=""""), ""真實支出"",
  AND(E10048="""", F10048&lt;&gt;""""), ""真實收入"",
  TRUE, ""其他""
)"),"其他")</f>
        <v>其他</v>
      </c>
      <c r="K10048" s="270" t="str">
        <f t="shared" si="2"/>
        <v/>
      </c>
      <c r="L10048">
        <f t="shared" si="3"/>
        <v>0</v>
      </c>
    </row>
    <row r="10049">
      <c r="A10049" s="107"/>
      <c r="D10049" s="270"/>
      <c r="H10049" s="106" t="str">
        <f t="shared" si="1"/>
        <v/>
      </c>
      <c r="J10049" t="str">
        <f>IFERROR(__xludf.DUMMYFUNCTION("IFS(
  AND(REGEXMATCH(E10049, ""台銀籌備帳戶|玉山帳戶""), REGEXMATCH(C10049, ""薪資"")), ""分潤支出"",
  AND(REGEXMATCH(E10049, ""Ben帳戶|Elsa帳戶|Ben代墊|Ariel代墊|中信銀行共用""), REGEXMATCH(F10049, ""Ben帳戶|Elsa帳戶|Ben代墊|Ariel代墊|中信銀行共用"")), ""內部轉帳(忽略)"",
  AND(E10049&lt;&gt;"""", F10049&lt;&gt;"&amp;""""", NOT(REGEXMATCH(C10049, ""薪資""))), ""內部轉帳(忽略)"",
  REGEXMATCH(C10049, ""薪資""), ""薪資變動(不計入)"",
  REGEXMATCH(C10049, ""押金""), ""押金往來"",
  AND(E10049&lt;&gt;"""", F10049=""""), ""真實支出"",
  AND(E10049="""", F10049&lt;&gt;""""), ""真實收入"",
  TRUE, ""其他""
)"),"其他")</f>
        <v>其他</v>
      </c>
      <c r="K10049" s="270" t="str">
        <f t="shared" si="2"/>
        <v/>
      </c>
      <c r="L10049">
        <f t="shared" si="3"/>
        <v>0</v>
      </c>
    </row>
    <row r="10050">
      <c r="A10050" s="107"/>
      <c r="D10050" s="270"/>
      <c r="H10050" s="106" t="str">
        <f t="shared" si="1"/>
        <v/>
      </c>
      <c r="J10050" t="str">
        <f>IFERROR(__xludf.DUMMYFUNCTION("IFS(
  AND(REGEXMATCH(E10050, ""台銀籌備帳戶|玉山帳戶""), REGEXMATCH(C10050, ""薪資"")), ""分潤支出"",
  AND(REGEXMATCH(E10050, ""Ben帳戶|Elsa帳戶|Ben代墊|Ariel代墊|中信銀行共用""), REGEXMATCH(F10050, ""Ben帳戶|Elsa帳戶|Ben代墊|Ariel代墊|中信銀行共用"")), ""內部轉帳(忽略)"",
  AND(E10050&lt;&gt;"""", F10050&lt;&gt;"&amp;""""", NOT(REGEXMATCH(C10050, ""薪資""))), ""內部轉帳(忽略)"",
  REGEXMATCH(C10050, ""薪資""), ""薪資變動(不計入)"",
  REGEXMATCH(C10050, ""押金""), ""押金往來"",
  AND(E10050&lt;&gt;"""", F10050=""""), ""真實支出"",
  AND(E10050="""", F10050&lt;&gt;""""), ""真實收入"",
  TRUE, ""其他""
)"),"其他")</f>
        <v>其他</v>
      </c>
      <c r="K10050" s="270" t="str">
        <f t="shared" si="2"/>
        <v/>
      </c>
      <c r="L10050">
        <f t="shared" si="3"/>
        <v>0</v>
      </c>
    </row>
    <row r="10051">
      <c r="A10051" s="107"/>
      <c r="D10051" s="270"/>
      <c r="H10051" s="106" t="str">
        <f t="shared" si="1"/>
        <v/>
      </c>
      <c r="J10051" t="str">
        <f>IFERROR(__xludf.DUMMYFUNCTION("IFS(
  AND(REGEXMATCH(E10051, ""台銀籌備帳戶|玉山帳戶""), REGEXMATCH(C10051, ""薪資"")), ""分潤支出"",
  AND(REGEXMATCH(E10051, ""Ben帳戶|Elsa帳戶|Ben代墊|Ariel代墊|中信銀行共用""), REGEXMATCH(F10051, ""Ben帳戶|Elsa帳戶|Ben代墊|Ariel代墊|中信銀行共用"")), ""內部轉帳(忽略)"",
  AND(E10051&lt;&gt;"""", F10051&lt;&gt;"&amp;""""", NOT(REGEXMATCH(C10051, ""薪資""))), ""內部轉帳(忽略)"",
  REGEXMATCH(C10051, ""薪資""), ""薪資變動(不計入)"",
  REGEXMATCH(C10051, ""押金""), ""押金往來"",
  AND(E10051&lt;&gt;"""", F10051=""""), ""真實支出"",
  AND(E10051="""", F10051&lt;&gt;""""), ""真實收入"",
  TRUE, ""其他""
)"),"其他")</f>
        <v>其他</v>
      </c>
      <c r="K10051" s="270" t="str">
        <f t="shared" si="2"/>
        <v/>
      </c>
      <c r="L10051">
        <f t="shared" si="3"/>
        <v>0</v>
      </c>
    </row>
    <row r="10052">
      <c r="A10052" s="107"/>
      <c r="D10052" s="270"/>
      <c r="H10052" s="106" t="str">
        <f t="shared" si="1"/>
        <v/>
      </c>
      <c r="J10052" t="str">
        <f>IFERROR(__xludf.DUMMYFUNCTION("IFS(
  AND(REGEXMATCH(E10052, ""台銀籌備帳戶|玉山帳戶""), REGEXMATCH(C10052, ""薪資"")), ""分潤支出"",
  AND(REGEXMATCH(E10052, ""Ben帳戶|Elsa帳戶|Ben代墊|Ariel代墊|中信銀行共用""), REGEXMATCH(F10052, ""Ben帳戶|Elsa帳戶|Ben代墊|Ariel代墊|中信銀行共用"")), ""內部轉帳(忽略)"",
  AND(E10052&lt;&gt;"""", F10052&lt;&gt;"&amp;""""", NOT(REGEXMATCH(C10052, ""薪資""))), ""內部轉帳(忽略)"",
  REGEXMATCH(C10052, ""薪資""), ""薪資變動(不計入)"",
  REGEXMATCH(C10052, ""押金""), ""押金往來"",
  AND(E10052&lt;&gt;"""", F10052=""""), ""真實支出"",
  AND(E10052="""", F10052&lt;&gt;""""), ""真實收入"",
  TRUE, ""其他""
)"),"其他")</f>
        <v>其他</v>
      </c>
      <c r="K10052" s="270" t="str">
        <f t="shared" si="2"/>
        <v/>
      </c>
      <c r="L10052">
        <f t="shared" si="3"/>
        <v>0</v>
      </c>
    </row>
    <row r="10053">
      <c r="A10053" s="107"/>
      <c r="D10053" s="270"/>
      <c r="H10053" s="106" t="str">
        <f t="shared" si="1"/>
        <v/>
      </c>
      <c r="J10053" t="str">
        <f>IFERROR(__xludf.DUMMYFUNCTION("IFS(
  AND(REGEXMATCH(E10053, ""台銀籌備帳戶|玉山帳戶""), REGEXMATCH(C10053, ""薪資"")), ""分潤支出"",
  AND(REGEXMATCH(E10053, ""Ben帳戶|Elsa帳戶|Ben代墊|Ariel代墊|中信銀行共用""), REGEXMATCH(F10053, ""Ben帳戶|Elsa帳戶|Ben代墊|Ariel代墊|中信銀行共用"")), ""內部轉帳(忽略)"",
  AND(E10053&lt;&gt;"""", F10053&lt;&gt;"&amp;""""", NOT(REGEXMATCH(C10053, ""薪資""))), ""內部轉帳(忽略)"",
  REGEXMATCH(C10053, ""薪資""), ""薪資變動(不計入)"",
  REGEXMATCH(C10053, ""押金""), ""押金往來"",
  AND(E10053&lt;&gt;"""", F10053=""""), ""真實支出"",
  AND(E10053="""", F10053&lt;&gt;""""), ""真實收入"",
  TRUE, ""其他""
)"),"其他")</f>
        <v>其他</v>
      </c>
      <c r="K10053" s="270" t="str">
        <f t="shared" si="2"/>
        <v/>
      </c>
      <c r="L10053">
        <f t="shared" si="3"/>
        <v>0</v>
      </c>
    </row>
    <row r="10054">
      <c r="A10054" s="107"/>
      <c r="D10054" s="270"/>
      <c r="H10054" s="106" t="str">
        <f t="shared" si="1"/>
        <v/>
      </c>
      <c r="J10054" t="str">
        <f>IFERROR(__xludf.DUMMYFUNCTION("IFS(
  AND(REGEXMATCH(E10054, ""台銀籌備帳戶|玉山帳戶""), REGEXMATCH(C10054, ""薪資"")), ""分潤支出"",
  AND(REGEXMATCH(E10054, ""Ben帳戶|Elsa帳戶|Ben代墊|Ariel代墊|中信銀行共用""), REGEXMATCH(F10054, ""Ben帳戶|Elsa帳戶|Ben代墊|Ariel代墊|中信銀行共用"")), ""內部轉帳(忽略)"",
  AND(E10054&lt;&gt;"""", F10054&lt;&gt;"&amp;""""", NOT(REGEXMATCH(C10054, ""薪資""))), ""內部轉帳(忽略)"",
  REGEXMATCH(C10054, ""薪資""), ""薪資變動(不計入)"",
  REGEXMATCH(C10054, ""押金""), ""押金往來"",
  AND(E10054&lt;&gt;"""", F10054=""""), ""真實支出"",
  AND(E10054="""", F10054&lt;&gt;""""), ""真實收入"",
  TRUE, ""其他""
)"),"其他")</f>
        <v>其他</v>
      </c>
      <c r="K10054" s="270" t="str">
        <f t="shared" si="2"/>
        <v/>
      </c>
      <c r="L10054">
        <f t="shared" si="3"/>
        <v>0</v>
      </c>
    </row>
    <row r="10055">
      <c r="A10055" s="107"/>
      <c r="D10055" s="270"/>
      <c r="H10055" s="106" t="str">
        <f t="shared" si="1"/>
        <v/>
      </c>
      <c r="J10055" t="str">
        <f>IFERROR(__xludf.DUMMYFUNCTION("IFS(
  AND(REGEXMATCH(E10055, ""台銀籌備帳戶|玉山帳戶""), REGEXMATCH(C10055, ""薪資"")), ""分潤支出"",
  AND(REGEXMATCH(E10055, ""Ben帳戶|Elsa帳戶|Ben代墊|Ariel代墊|中信銀行共用""), REGEXMATCH(F10055, ""Ben帳戶|Elsa帳戶|Ben代墊|Ariel代墊|中信銀行共用"")), ""內部轉帳(忽略)"",
  AND(E10055&lt;&gt;"""", F10055&lt;&gt;"&amp;""""", NOT(REGEXMATCH(C10055, ""薪資""))), ""內部轉帳(忽略)"",
  REGEXMATCH(C10055, ""薪資""), ""薪資變動(不計入)"",
  REGEXMATCH(C10055, ""押金""), ""押金往來"",
  AND(E10055&lt;&gt;"""", F10055=""""), ""真實支出"",
  AND(E10055="""", F10055&lt;&gt;""""), ""真實收入"",
  TRUE, ""其他""
)"),"其他")</f>
        <v>其他</v>
      </c>
      <c r="K10055" s="270" t="str">
        <f t="shared" si="2"/>
        <v/>
      </c>
      <c r="L10055">
        <f t="shared" si="3"/>
        <v>0</v>
      </c>
    </row>
    <row r="10056">
      <c r="A10056" s="107"/>
      <c r="D10056" s="270"/>
      <c r="H10056" s="106" t="str">
        <f t="shared" si="1"/>
        <v/>
      </c>
      <c r="J10056" t="str">
        <f>IFERROR(__xludf.DUMMYFUNCTION("IFS(
  AND(REGEXMATCH(E10056, ""台銀籌備帳戶|玉山帳戶""), REGEXMATCH(C10056, ""薪資"")), ""分潤支出"",
  AND(REGEXMATCH(E10056, ""Ben帳戶|Elsa帳戶|Ben代墊|Ariel代墊|中信銀行共用""), REGEXMATCH(F10056, ""Ben帳戶|Elsa帳戶|Ben代墊|Ariel代墊|中信銀行共用"")), ""內部轉帳(忽略)"",
  AND(E10056&lt;&gt;"""", F10056&lt;&gt;"&amp;""""", NOT(REGEXMATCH(C10056, ""薪資""))), ""內部轉帳(忽略)"",
  REGEXMATCH(C10056, ""薪資""), ""薪資變動(不計入)"",
  REGEXMATCH(C10056, ""押金""), ""押金往來"",
  AND(E10056&lt;&gt;"""", F10056=""""), ""真實支出"",
  AND(E10056="""", F10056&lt;&gt;""""), ""真實收入"",
  TRUE, ""其他""
)"),"其他")</f>
        <v>其他</v>
      </c>
      <c r="K10056" s="270" t="str">
        <f t="shared" si="2"/>
        <v/>
      </c>
      <c r="L10056">
        <f t="shared" si="3"/>
        <v>0</v>
      </c>
    </row>
    <row r="10057">
      <c r="A10057" s="107"/>
      <c r="D10057" s="270"/>
      <c r="H10057" s="106" t="str">
        <f t="shared" si="1"/>
        <v/>
      </c>
      <c r="J10057" t="str">
        <f>IFERROR(__xludf.DUMMYFUNCTION("IFS(
  AND(REGEXMATCH(E10057, ""台銀籌備帳戶|玉山帳戶""), REGEXMATCH(C10057, ""薪資"")), ""分潤支出"",
  AND(REGEXMATCH(E10057, ""Ben帳戶|Elsa帳戶|Ben代墊|Ariel代墊|中信銀行共用""), REGEXMATCH(F10057, ""Ben帳戶|Elsa帳戶|Ben代墊|Ariel代墊|中信銀行共用"")), ""內部轉帳(忽略)"",
  AND(E10057&lt;&gt;"""", F10057&lt;&gt;"&amp;""""", NOT(REGEXMATCH(C10057, ""薪資""))), ""內部轉帳(忽略)"",
  REGEXMATCH(C10057, ""薪資""), ""薪資變動(不計入)"",
  REGEXMATCH(C10057, ""押金""), ""押金往來"",
  AND(E10057&lt;&gt;"""", F10057=""""), ""真實支出"",
  AND(E10057="""", F10057&lt;&gt;""""), ""真實收入"",
  TRUE, ""其他""
)"),"其他")</f>
        <v>其他</v>
      </c>
      <c r="K10057" s="270" t="str">
        <f t="shared" si="2"/>
        <v/>
      </c>
      <c r="L10057">
        <f t="shared" si="3"/>
        <v>0</v>
      </c>
    </row>
    <row r="10058">
      <c r="A10058" s="107"/>
      <c r="D10058" s="270"/>
      <c r="H10058" s="106" t="str">
        <f t="shared" si="1"/>
        <v/>
      </c>
      <c r="J10058" t="str">
        <f>IFERROR(__xludf.DUMMYFUNCTION("IFS(
  AND(REGEXMATCH(E10058, ""台銀籌備帳戶|玉山帳戶""), REGEXMATCH(C10058, ""薪資"")), ""分潤支出"",
  AND(REGEXMATCH(E10058, ""Ben帳戶|Elsa帳戶|Ben代墊|Ariel代墊|中信銀行共用""), REGEXMATCH(F10058, ""Ben帳戶|Elsa帳戶|Ben代墊|Ariel代墊|中信銀行共用"")), ""內部轉帳(忽略)"",
  AND(E10058&lt;&gt;"""", F10058&lt;&gt;"&amp;""""", NOT(REGEXMATCH(C10058, ""薪資""))), ""內部轉帳(忽略)"",
  REGEXMATCH(C10058, ""薪資""), ""薪資變動(不計入)"",
  REGEXMATCH(C10058, ""押金""), ""押金往來"",
  AND(E10058&lt;&gt;"""", F10058=""""), ""真實支出"",
  AND(E10058="""", F10058&lt;&gt;""""), ""真實收入"",
  TRUE, ""其他""
)"),"其他")</f>
        <v>其他</v>
      </c>
      <c r="K10058" s="270" t="str">
        <f t="shared" si="2"/>
        <v/>
      </c>
      <c r="L10058">
        <f t="shared" si="3"/>
        <v>0</v>
      </c>
    </row>
    <row r="10059">
      <c r="A10059" s="107"/>
      <c r="D10059" s="270"/>
      <c r="H10059" s="106" t="str">
        <f t="shared" si="1"/>
        <v/>
      </c>
      <c r="J10059" t="str">
        <f>IFERROR(__xludf.DUMMYFUNCTION("IFS(
  AND(REGEXMATCH(E10059, ""台銀籌備帳戶|玉山帳戶""), REGEXMATCH(C10059, ""薪資"")), ""分潤支出"",
  AND(REGEXMATCH(E10059, ""Ben帳戶|Elsa帳戶|Ben代墊|Ariel代墊|中信銀行共用""), REGEXMATCH(F10059, ""Ben帳戶|Elsa帳戶|Ben代墊|Ariel代墊|中信銀行共用"")), ""內部轉帳(忽略)"",
  AND(E10059&lt;&gt;"""", F10059&lt;&gt;"&amp;""""", NOT(REGEXMATCH(C10059, ""薪資""))), ""內部轉帳(忽略)"",
  REGEXMATCH(C10059, ""薪資""), ""薪資變動(不計入)"",
  REGEXMATCH(C10059, ""押金""), ""押金往來"",
  AND(E10059&lt;&gt;"""", F10059=""""), ""真實支出"",
  AND(E10059="""", F10059&lt;&gt;""""), ""真實收入"",
  TRUE, ""其他""
)"),"其他")</f>
        <v>其他</v>
      </c>
      <c r="K10059" s="270" t="str">
        <f t="shared" si="2"/>
        <v/>
      </c>
      <c r="L10059">
        <f t="shared" si="3"/>
        <v>0</v>
      </c>
    </row>
    <row r="10060">
      <c r="A10060" s="107"/>
      <c r="D10060" s="270"/>
      <c r="H10060" s="106" t="str">
        <f t="shared" si="1"/>
        <v/>
      </c>
      <c r="J10060" t="str">
        <f>IFERROR(__xludf.DUMMYFUNCTION("IFS(
  AND(REGEXMATCH(E10060, ""台銀籌備帳戶|玉山帳戶""), REGEXMATCH(C10060, ""薪資"")), ""分潤支出"",
  AND(REGEXMATCH(E10060, ""Ben帳戶|Elsa帳戶|Ben代墊|Ariel代墊|中信銀行共用""), REGEXMATCH(F10060, ""Ben帳戶|Elsa帳戶|Ben代墊|Ariel代墊|中信銀行共用"")), ""內部轉帳(忽略)"",
  AND(E10060&lt;&gt;"""", F10060&lt;&gt;"&amp;""""", NOT(REGEXMATCH(C10060, ""薪資""))), ""內部轉帳(忽略)"",
  REGEXMATCH(C10060, ""薪資""), ""薪資變動(不計入)"",
  REGEXMATCH(C10060, ""押金""), ""押金往來"",
  AND(E10060&lt;&gt;"""", F10060=""""), ""真實支出"",
  AND(E10060="""", F10060&lt;&gt;""""), ""真實收入"",
  TRUE, ""其他""
)"),"其他")</f>
        <v>其他</v>
      </c>
      <c r="K10060" s="270" t="str">
        <f t="shared" si="2"/>
        <v/>
      </c>
      <c r="L10060">
        <f t="shared" si="3"/>
        <v>0</v>
      </c>
    </row>
    <row r="10061">
      <c r="A10061" s="107"/>
      <c r="D10061" s="270"/>
      <c r="H10061" s="106" t="str">
        <f t="shared" si="1"/>
        <v/>
      </c>
      <c r="J10061" t="str">
        <f>IFERROR(__xludf.DUMMYFUNCTION("IFS(
  AND(REGEXMATCH(E10061, ""台銀籌備帳戶|玉山帳戶""), REGEXMATCH(C10061, ""薪資"")), ""分潤支出"",
  AND(REGEXMATCH(E10061, ""Ben帳戶|Elsa帳戶|Ben代墊|Ariel代墊|中信銀行共用""), REGEXMATCH(F10061, ""Ben帳戶|Elsa帳戶|Ben代墊|Ariel代墊|中信銀行共用"")), ""內部轉帳(忽略)"",
  AND(E10061&lt;&gt;"""", F10061&lt;&gt;"&amp;""""", NOT(REGEXMATCH(C10061, ""薪資""))), ""內部轉帳(忽略)"",
  REGEXMATCH(C10061, ""薪資""), ""薪資變動(不計入)"",
  REGEXMATCH(C10061, ""押金""), ""押金往來"",
  AND(E10061&lt;&gt;"""", F10061=""""), ""真實支出"",
  AND(E10061="""", F10061&lt;&gt;""""), ""真實收入"",
  TRUE, ""其他""
)"),"其他")</f>
        <v>其他</v>
      </c>
      <c r="K10061" s="270" t="str">
        <f t="shared" si="2"/>
        <v/>
      </c>
      <c r="L10061">
        <f t="shared" si="3"/>
        <v>0</v>
      </c>
    </row>
    <row r="10062">
      <c r="A10062" s="107"/>
      <c r="D10062" s="270"/>
      <c r="H10062" s="106" t="str">
        <f t="shared" si="1"/>
        <v/>
      </c>
      <c r="J10062" t="str">
        <f>IFERROR(__xludf.DUMMYFUNCTION("IFS(
  AND(REGEXMATCH(E10062, ""台銀籌備帳戶|玉山帳戶""), REGEXMATCH(C10062, ""薪資"")), ""分潤支出"",
  AND(REGEXMATCH(E10062, ""Ben帳戶|Elsa帳戶|Ben代墊|Ariel代墊|中信銀行共用""), REGEXMATCH(F10062, ""Ben帳戶|Elsa帳戶|Ben代墊|Ariel代墊|中信銀行共用"")), ""內部轉帳(忽略)"",
  AND(E10062&lt;&gt;"""", F10062&lt;&gt;"&amp;""""", NOT(REGEXMATCH(C10062, ""薪資""))), ""內部轉帳(忽略)"",
  REGEXMATCH(C10062, ""薪資""), ""薪資變動(不計入)"",
  REGEXMATCH(C10062, ""押金""), ""押金往來"",
  AND(E10062&lt;&gt;"""", F10062=""""), ""真實支出"",
  AND(E10062="""", F10062&lt;&gt;""""), ""真實收入"",
  TRUE, ""其他""
)"),"其他")</f>
        <v>其他</v>
      </c>
      <c r="K10062" s="270" t="str">
        <f t="shared" si="2"/>
        <v/>
      </c>
      <c r="L10062">
        <f t="shared" si="3"/>
        <v>0</v>
      </c>
    </row>
    <row r="10063">
      <c r="A10063" s="107"/>
      <c r="D10063" s="270"/>
      <c r="H10063" s="106" t="str">
        <f t="shared" si="1"/>
        <v/>
      </c>
      <c r="J10063" t="str">
        <f>IFERROR(__xludf.DUMMYFUNCTION("IFS(
  AND(REGEXMATCH(E10063, ""台銀籌備帳戶|玉山帳戶""), REGEXMATCH(C10063, ""薪資"")), ""分潤支出"",
  AND(REGEXMATCH(E10063, ""Ben帳戶|Elsa帳戶|Ben代墊|Ariel代墊|中信銀行共用""), REGEXMATCH(F10063, ""Ben帳戶|Elsa帳戶|Ben代墊|Ariel代墊|中信銀行共用"")), ""內部轉帳(忽略)"",
  AND(E10063&lt;&gt;"""", F10063&lt;&gt;"&amp;""""", NOT(REGEXMATCH(C10063, ""薪資""))), ""內部轉帳(忽略)"",
  REGEXMATCH(C10063, ""薪資""), ""薪資變動(不計入)"",
  REGEXMATCH(C10063, ""押金""), ""押金往來"",
  AND(E10063&lt;&gt;"""", F10063=""""), ""真實支出"",
  AND(E10063="""", F10063&lt;&gt;""""), ""真實收入"",
  TRUE, ""其他""
)"),"其他")</f>
        <v>其他</v>
      </c>
      <c r="K10063" s="270" t="str">
        <f t="shared" si="2"/>
        <v/>
      </c>
      <c r="L10063">
        <f t="shared" si="3"/>
        <v>0</v>
      </c>
    </row>
    <row r="10064">
      <c r="A10064" s="107"/>
      <c r="D10064" s="270"/>
      <c r="H10064" s="106" t="str">
        <f t="shared" si="1"/>
        <v/>
      </c>
      <c r="J10064" t="str">
        <f>IFERROR(__xludf.DUMMYFUNCTION("IFS(
  AND(REGEXMATCH(E10064, ""台銀籌備帳戶|玉山帳戶""), REGEXMATCH(C10064, ""薪資"")), ""分潤支出"",
  AND(REGEXMATCH(E10064, ""Ben帳戶|Elsa帳戶|Ben代墊|Ariel代墊|中信銀行共用""), REGEXMATCH(F10064, ""Ben帳戶|Elsa帳戶|Ben代墊|Ariel代墊|中信銀行共用"")), ""內部轉帳(忽略)"",
  AND(E10064&lt;&gt;"""", F10064&lt;&gt;"&amp;""""", NOT(REGEXMATCH(C10064, ""薪資""))), ""內部轉帳(忽略)"",
  REGEXMATCH(C10064, ""薪資""), ""薪資變動(不計入)"",
  REGEXMATCH(C10064, ""押金""), ""押金往來"",
  AND(E10064&lt;&gt;"""", F10064=""""), ""真實支出"",
  AND(E10064="""", F10064&lt;&gt;""""), ""真實收入"",
  TRUE, ""其他""
)"),"其他")</f>
        <v>其他</v>
      </c>
      <c r="K10064" s="270" t="str">
        <f t="shared" si="2"/>
        <v/>
      </c>
      <c r="L10064">
        <f t="shared" si="3"/>
        <v>0</v>
      </c>
    </row>
    <row r="10065">
      <c r="A10065" s="107"/>
      <c r="D10065" s="270"/>
      <c r="H10065" s="106" t="str">
        <f t="shared" si="1"/>
        <v/>
      </c>
      <c r="J10065" t="str">
        <f>IFERROR(__xludf.DUMMYFUNCTION("IFS(
  AND(REGEXMATCH(E10065, ""台銀籌備帳戶|玉山帳戶""), REGEXMATCH(C10065, ""薪資"")), ""分潤支出"",
  AND(REGEXMATCH(E10065, ""Ben帳戶|Elsa帳戶|Ben代墊|Ariel代墊|中信銀行共用""), REGEXMATCH(F10065, ""Ben帳戶|Elsa帳戶|Ben代墊|Ariel代墊|中信銀行共用"")), ""內部轉帳(忽略)"",
  AND(E10065&lt;&gt;"""", F10065&lt;&gt;"&amp;""""", NOT(REGEXMATCH(C10065, ""薪資""))), ""內部轉帳(忽略)"",
  REGEXMATCH(C10065, ""薪資""), ""薪資變動(不計入)"",
  REGEXMATCH(C10065, ""押金""), ""押金往來"",
  AND(E10065&lt;&gt;"""", F10065=""""), ""真實支出"",
  AND(E10065="""", F10065&lt;&gt;""""), ""真實收入"",
  TRUE, ""其他""
)"),"其他")</f>
        <v>其他</v>
      </c>
      <c r="K10065" s="270" t="str">
        <f t="shared" si="2"/>
        <v/>
      </c>
      <c r="L10065">
        <f t="shared" si="3"/>
        <v>0</v>
      </c>
    </row>
    <row r="10066">
      <c r="A10066" s="107"/>
      <c r="D10066" s="270"/>
      <c r="H10066" s="106" t="str">
        <f t="shared" si="1"/>
        <v/>
      </c>
      <c r="J10066" t="str">
        <f>IFERROR(__xludf.DUMMYFUNCTION("IFS(
  AND(REGEXMATCH(E10066, ""台銀籌備帳戶|玉山帳戶""), REGEXMATCH(C10066, ""薪資"")), ""分潤支出"",
  AND(REGEXMATCH(E10066, ""Ben帳戶|Elsa帳戶|Ben代墊|Ariel代墊|中信銀行共用""), REGEXMATCH(F10066, ""Ben帳戶|Elsa帳戶|Ben代墊|Ariel代墊|中信銀行共用"")), ""內部轉帳(忽略)"",
  AND(E10066&lt;&gt;"""", F10066&lt;&gt;"&amp;""""", NOT(REGEXMATCH(C10066, ""薪資""))), ""內部轉帳(忽略)"",
  REGEXMATCH(C10066, ""薪資""), ""薪資變動(不計入)"",
  REGEXMATCH(C10066, ""押金""), ""押金往來"",
  AND(E10066&lt;&gt;"""", F10066=""""), ""真實支出"",
  AND(E10066="""", F10066&lt;&gt;""""), ""真實收入"",
  TRUE, ""其他""
)"),"其他")</f>
        <v>其他</v>
      </c>
      <c r="K10066" s="270" t="str">
        <f t="shared" si="2"/>
        <v/>
      </c>
      <c r="L10066">
        <f t="shared" si="3"/>
        <v>0</v>
      </c>
    </row>
    <row r="10067">
      <c r="A10067" s="107"/>
      <c r="D10067" s="270"/>
      <c r="H10067" s="106" t="str">
        <f t="shared" si="1"/>
        <v/>
      </c>
      <c r="J10067" t="str">
        <f>IFERROR(__xludf.DUMMYFUNCTION("IFS(
  AND(REGEXMATCH(E10067, ""台銀籌備帳戶|玉山帳戶""), REGEXMATCH(C10067, ""薪資"")), ""分潤支出"",
  AND(REGEXMATCH(E10067, ""Ben帳戶|Elsa帳戶|Ben代墊|Ariel代墊|中信銀行共用""), REGEXMATCH(F10067, ""Ben帳戶|Elsa帳戶|Ben代墊|Ariel代墊|中信銀行共用"")), ""內部轉帳(忽略)"",
  AND(E10067&lt;&gt;"""", F10067&lt;&gt;"&amp;""""", NOT(REGEXMATCH(C10067, ""薪資""))), ""內部轉帳(忽略)"",
  REGEXMATCH(C10067, ""薪資""), ""薪資變動(不計入)"",
  REGEXMATCH(C10067, ""押金""), ""押金往來"",
  AND(E10067&lt;&gt;"""", F10067=""""), ""真實支出"",
  AND(E10067="""", F10067&lt;&gt;""""), ""真實收入"",
  TRUE, ""其他""
)"),"其他")</f>
        <v>其他</v>
      </c>
      <c r="K10067" s="270" t="str">
        <f t="shared" si="2"/>
        <v/>
      </c>
      <c r="L10067">
        <f t="shared" si="3"/>
        <v>0</v>
      </c>
    </row>
    <row r="10068">
      <c r="A10068" s="107"/>
      <c r="D10068" s="270"/>
      <c r="H10068" s="106" t="str">
        <f t="shared" si="1"/>
        <v/>
      </c>
      <c r="J10068" t="str">
        <f>IFERROR(__xludf.DUMMYFUNCTION("IFS(
  AND(REGEXMATCH(E10068, ""台銀籌備帳戶|玉山帳戶""), REGEXMATCH(C10068, ""薪資"")), ""分潤支出"",
  AND(REGEXMATCH(E10068, ""Ben帳戶|Elsa帳戶|Ben代墊|Ariel代墊|中信銀行共用""), REGEXMATCH(F10068, ""Ben帳戶|Elsa帳戶|Ben代墊|Ariel代墊|中信銀行共用"")), ""內部轉帳(忽略)"",
  AND(E10068&lt;&gt;"""", F10068&lt;&gt;"&amp;""""", NOT(REGEXMATCH(C10068, ""薪資""))), ""內部轉帳(忽略)"",
  REGEXMATCH(C10068, ""薪資""), ""薪資變動(不計入)"",
  REGEXMATCH(C10068, ""押金""), ""押金往來"",
  AND(E10068&lt;&gt;"""", F10068=""""), ""真實支出"",
  AND(E10068="""", F10068&lt;&gt;""""), ""真實收入"",
  TRUE, ""其他""
)"),"其他")</f>
        <v>其他</v>
      </c>
      <c r="K10068" s="270" t="str">
        <f t="shared" si="2"/>
        <v/>
      </c>
      <c r="L10068">
        <f t="shared" si="3"/>
        <v>0</v>
      </c>
    </row>
    <row r="10069">
      <c r="A10069" s="107"/>
      <c r="D10069" s="270"/>
      <c r="H10069" s="106" t="str">
        <f t="shared" si="1"/>
        <v/>
      </c>
      <c r="J10069" t="str">
        <f>IFERROR(__xludf.DUMMYFUNCTION("IFS(
  AND(REGEXMATCH(E10069, ""台銀籌備帳戶|玉山帳戶""), REGEXMATCH(C10069, ""薪資"")), ""分潤支出"",
  AND(REGEXMATCH(E10069, ""Ben帳戶|Elsa帳戶|Ben代墊|Ariel代墊|中信銀行共用""), REGEXMATCH(F10069, ""Ben帳戶|Elsa帳戶|Ben代墊|Ariel代墊|中信銀行共用"")), ""內部轉帳(忽略)"",
  AND(E10069&lt;&gt;"""", F10069&lt;&gt;"&amp;""""", NOT(REGEXMATCH(C10069, ""薪資""))), ""內部轉帳(忽略)"",
  REGEXMATCH(C10069, ""薪資""), ""薪資變動(不計入)"",
  REGEXMATCH(C10069, ""押金""), ""押金往來"",
  AND(E10069&lt;&gt;"""", F10069=""""), ""真實支出"",
  AND(E10069="""", F10069&lt;&gt;""""), ""真實收入"",
  TRUE, ""其他""
)"),"其他")</f>
        <v>其他</v>
      </c>
      <c r="K10069" s="270" t="str">
        <f t="shared" si="2"/>
        <v/>
      </c>
      <c r="L10069">
        <f t="shared" si="3"/>
        <v>0</v>
      </c>
    </row>
    <row r="10070">
      <c r="A10070" s="107"/>
      <c r="D10070" s="270"/>
      <c r="H10070" s="106" t="str">
        <f t="shared" si="1"/>
        <v/>
      </c>
      <c r="J10070" t="str">
        <f>IFERROR(__xludf.DUMMYFUNCTION("IFS(
  AND(REGEXMATCH(E10070, ""台銀籌備帳戶|玉山帳戶""), REGEXMATCH(C10070, ""薪資"")), ""分潤支出"",
  AND(REGEXMATCH(E10070, ""Ben帳戶|Elsa帳戶|Ben代墊|Ariel代墊|中信銀行共用""), REGEXMATCH(F10070, ""Ben帳戶|Elsa帳戶|Ben代墊|Ariel代墊|中信銀行共用"")), ""內部轉帳(忽略)"",
  AND(E10070&lt;&gt;"""", F10070&lt;&gt;"&amp;""""", NOT(REGEXMATCH(C10070, ""薪資""))), ""內部轉帳(忽略)"",
  REGEXMATCH(C10070, ""薪資""), ""薪資變動(不計入)"",
  REGEXMATCH(C10070, ""押金""), ""押金往來"",
  AND(E10070&lt;&gt;"""", F10070=""""), ""真實支出"",
  AND(E10070="""", F10070&lt;&gt;""""), ""真實收入"",
  TRUE, ""其他""
)"),"其他")</f>
        <v>其他</v>
      </c>
      <c r="K10070" s="270" t="str">
        <f t="shared" si="2"/>
        <v/>
      </c>
      <c r="L10070">
        <f t="shared" si="3"/>
        <v>0</v>
      </c>
    </row>
    <row r="10071">
      <c r="A10071" s="107"/>
      <c r="D10071" s="270"/>
      <c r="H10071" s="106" t="str">
        <f t="shared" si="1"/>
        <v/>
      </c>
      <c r="J10071" t="str">
        <f>IFERROR(__xludf.DUMMYFUNCTION("IFS(
  AND(REGEXMATCH(E10071, ""台銀籌備帳戶|玉山帳戶""), REGEXMATCH(C10071, ""薪資"")), ""分潤支出"",
  AND(REGEXMATCH(E10071, ""Ben帳戶|Elsa帳戶|Ben代墊|Ariel代墊|中信銀行共用""), REGEXMATCH(F10071, ""Ben帳戶|Elsa帳戶|Ben代墊|Ariel代墊|中信銀行共用"")), ""內部轉帳(忽略)"",
  AND(E10071&lt;&gt;"""", F10071&lt;&gt;"&amp;""""", NOT(REGEXMATCH(C10071, ""薪資""))), ""內部轉帳(忽略)"",
  REGEXMATCH(C10071, ""薪資""), ""薪資變動(不計入)"",
  REGEXMATCH(C10071, ""押金""), ""押金往來"",
  AND(E10071&lt;&gt;"""", F10071=""""), ""真實支出"",
  AND(E10071="""", F10071&lt;&gt;""""), ""真實收入"",
  TRUE, ""其他""
)"),"其他")</f>
        <v>其他</v>
      </c>
      <c r="K10071" s="270" t="str">
        <f t="shared" si="2"/>
        <v/>
      </c>
      <c r="L10071">
        <f t="shared" si="3"/>
        <v>0</v>
      </c>
    </row>
    <row r="10072">
      <c r="A10072" s="107"/>
      <c r="D10072" s="270"/>
      <c r="H10072" s="106" t="str">
        <f t="shared" si="1"/>
        <v/>
      </c>
      <c r="J10072" t="str">
        <f>IFERROR(__xludf.DUMMYFUNCTION("IFS(
  AND(REGEXMATCH(E10072, ""台銀籌備帳戶|玉山帳戶""), REGEXMATCH(C10072, ""薪資"")), ""分潤支出"",
  AND(REGEXMATCH(E10072, ""Ben帳戶|Elsa帳戶|Ben代墊|Ariel代墊|中信銀行共用""), REGEXMATCH(F10072, ""Ben帳戶|Elsa帳戶|Ben代墊|Ariel代墊|中信銀行共用"")), ""內部轉帳(忽略)"",
  AND(E10072&lt;&gt;"""", F10072&lt;&gt;"&amp;""""", NOT(REGEXMATCH(C10072, ""薪資""))), ""內部轉帳(忽略)"",
  REGEXMATCH(C10072, ""薪資""), ""薪資變動(不計入)"",
  REGEXMATCH(C10072, ""押金""), ""押金往來"",
  AND(E10072&lt;&gt;"""", F10072=""""), ""真實支出"",
  AND(E10072="""", F10072&lt;&gt;""""), ""真實收入"",
  TRUE, ""其他""
)"),"其他")</f>
        <v>其他</v>
      </c>
      <c r="K10072" s="270" t="str">
        <f t="shared" si="2"/>
        <v/>
      </c>
      <c r="L10072">
        <f t="shared" si="3"/>
        <v>0</v>
      </c>
    </row>
    <row r="10073">
      <c r="A10073" s="107"/>
      <c r="D10073" s="270"/>
      <c r="H10073" s="106" t="str">
        <f t="shared" si="1"/>
        <v/>
      </c>
      <c r="J10073" t="str">
        <f>IFERROR(__xludf.DUMMYFUNCTION("IFS(
  AND(REGEXMATCH(E10073, ""台銀籌備帳戶|玉山帳戶""), REGEXMATCH(C10073, ""薪資"")), ""分潤支出"",
  AND(REGEXMATCH(E10073, ""Ben帳戶|Elsa帳戶|Ben代墊|Ariel代墊|中信銀行共用""), REGEXMATCH(F10073, ""Ben帳戶|Elsa帳戶|Ben代墊|Ariel代墊|中信銀行共用"")), ""內部轉帳(忽略)"",
  AND(E10073&lt;&gt;"""", F10073&lt;&gt;"&amp;""""", NOT(REGEXMATCH(C10073, ""薪資""))), ""內部轉帳(忽略)"",
  REGEXMATCH(C10073, ""薪資""), ""薪資變動(不計入)"",
  REGEXMATCH(C10073, ""押金""), ""押金往來"",
  AND(E10073&lt;&gt;"""", F10073=""""), ""真實支出"",
  AND(E10073="""", F10073&lt;&gt;""""), ""真實收入"",
  TRUE, ""其他""
)"),"其他")</f>
        <v>其他</v>
      </c>
      <c r="K10073" s="270" t="str">
        <f t="shared" si="2"/>
        <v/>
      </c>
      <c r="L10073">
        <f t="shared" si="3"/>
        <v>0</v>
      </c>
    </row>
    <row r="10074">
      <c r="A10074" s="107"/>
      <c r="D10074" s="270"/>
      <c r="H10074" s="106" t="str">
        <f t="shared" si="1"/>
        <v/>
      </c>
      <c r="J10074" t="str">
        <f>IFERROR(__xludf.DUMMYFUNCTION("IFS(
  AND(REGEXMATCH(E10074, ""台銀籌備帳戶|玉山帳戶""), REGEXMATCH(C10074, ""薪資"")), ""分潤支出"",
  AND(REGEXMATCH(E10074, ""Ben帳戶|Elsa帳戶|Ben代墊|Ariel代墊|中信銀行共用""), REGEXMATCH(F10074, ""Ben帳戶|Elsa帳戶|Ben代墊|Ariel代墊|中信銀行共用"")), ""內部轉帳(忽略)"",
  AND(E10074&lt;&gt;"""", F10074&lt;&gt;"&amp;""""", NOT(REGEXMATCH(C10074, ""薪資""))), ""內部轉帳(忽略)"",
  REGEXMATCH(C10074, ""薪資""), ""薪資變動(不計入)"",
  REGEXMATCH(C10074, ""押金""), ""押金往來"",
  AND(E10074&lt;&gt;"""", F10074=""""), ""真實支出"",
  AND(E10074="""", F10074&lt;&gt;""""), ""真實收入"",
  TRUE, ""其他""
)"),"其他")</f>
        <v>其他</v>
      </c>
      <c r="K10074" s="270" t="str">
        <f t="shared" si="2"/>
        <v/>
      </c>
      <c r="L10074">
        <f t="shared" si="3"/>
        <v>0</v>
      </c>
    </row>
    <row r="10075">
      <c r="A10075" s="107"/>
      <c r="D10075" s="270"/>
      <c r="H10075" s="106" t="str">
        <f t="shared" si="1"/>
        <v/>
      </c>
      <c r="J10075" t="str">
        <f>IFERROR(__xludf.DUMMYFUNCTION("IFS(
  AND(REGEXMATCH(E10075, ""台銀籌備帳戶|玉山帳戶""), REGEXMATCH(C10075, ""薪資"")), ""分潤支出"",
  AND(REGEXMATCH(E10075, ""Ben帳戶|Elsa帳戶|Ben代墊|Ariel代墊|中信銀行共用""), REGEXMATCH(F10075, ""Ben帳戶|Elsa帳戶|Ben代墊|Ariel代墊|中信銀行共用"")), ""內部轉帳(忽略)"",
  AND(E10075&lt;&gt;"""", F10075&lt;&gt;"&amp;""""", NOT(REGEXMATCH(C10075, ""薪資""))), ""內部轉帳(忽略)"",
  REGEXMATCH(C10075, ""薪資""), ""薪資變動(不計入)"",
  REGEXMATCH(C10075, ""押金""), ""押金往來"",
  AND(E10075&lt;&gt;"""", F10075=""""), ""真實支出"",
  AND(E10075="""", F10075&lt;&gt;""""), ""真實收入"",
  TRUE, ""其他""
)"),"其他")</f>
        <v>其他</v>
      </c>
      <c r="K10075" s="270" t="str">
        <f t="shared" si="2"/>
        <v/>
      </c>
      <c r="L10075">
        <f t="shared" si="3"/>
        <v>0</v>
      </c>
    </row>
    <row r="10076">
      <c r="A10076" s="107"/>
      <c r="D10076" s="270"/>
      <c r="H10076" s="106" t="str">
        <f t="shared" si="1"/>
        <v/>
      </c>
      <c r="J10076" t="str">
        <f>IFERROR(__xludf.DUMMYFUNCTION("IFS(
  AND(REGEXMATCH(E10076, ""台銀籌備帳戶|玉山帳戶""), REGEXMATCH(C10076, ""薪資"")), ""分潤支出"",
  AND(REGEXMATCH(E10076, ""Ben帳戶|Elsa帳戶|Ben代墊|Ariel代墊|中信銀行共用""), REGEXMATCH(F10076, ""Ben帳戶|Elsa帳戶|Ben代墊|Ariel代墊|中信銀行共用"")), ""內部轉帳(忽略)"",
  AND(E10076&lt;&gt;"""", F10076&lt;&gt;"&amp;""""", NOT(REGEXMATCH(C10076, ""薪資""))), ""內部轉帳(忽略)"",
  REGEXMATCH(C10076, ""薪資""), ""薪資變動(不計入)"",
  REGEXMATCH(C10076, ""押金""), ""押金往來"",
  AND(E10076&lt;&gt;"""", F10076=""""), ""真實支出"",
  AND(E10076="""", F10076&lt;&gt;""""), ""真實收入"",
  TRUE, ""其他""
)"),"其他")</f>
        <v>其他</v>
      </c>
      <c r="K10076" s="270" t="str">
        <f t="shared" si="2"/>
        <v/>
      </c>
      <c r="L10076">
        <f t="shared" si="3"/>
        <v>0</v>
      </c>
    </row>
    <row r="10077">
      <c r="A10077" s="107"/>
      <c r="D10077" s="270"/>
      <c r="H10077" s="106" t="str">
        <f t="shared" si="1"/>
        <v/>
      </c>
      <c r="J10077" t="str">
        <f>IFERROR(__xludf.DUMMYFUNCTION("IFS(
  AND(REGEXMATCH(E10077, ""台銀籌備帳戶|玉山帳戶""), REGEXMATCH(C10077, ""薪資"")), ""分潤支出"",
  AND(REGEXMATCH(E10077, ""Ben帳戶|Elsa帳戶|Ben代墊|Ariel代墊|中信銀行共用""), REGEXMATCH(F10077, ""Ben帳戶|Elsa帳戶|Ben代墊|Ariel代墊|中信銀行共用"")), ""內部轉帳(忽略)"",
  AND(E10077&lt;&gt;"""", F10077&lt;&gt;"&amp;""""", NOT(REGEXMATCH(C10077, ""薪資""))), ""內部轉帳(忽略)"",
  REGEXMATCH(C10077, ""薪資""), ""薪資變動(不計入)"",
  REGEXMATCH(C10077, ""押金""), ""押金往來"",
  AND(E10077&lt;&gt;"""", F10077=""""), ""真實支出"",
  AND(E10077="""", F10077&lt;&gt;""""), ""真實收入"",
  TRUE, ""其他""
)"),"其他")</f>
        <v>其他</v>
      </c>
      <c r="K10077" s="270" t="str">
        <f t="shared" si="2"/>
        <v/>
      </c>
      <c r="L10077">
        <f t="shared" si="3"/>
        <v>0</v>
      </c>
    </row>
    <row r="10078">
      <c r="A10078" s="107"/>
      <c r="D10078" s="270"/>
      <c r="H10078" s="106" t="str">
        <f t="shared" si="1"/>
        <v/>
      </c>
      <c r="J10078" t="str">
        <f>IFERROR(__xludf.DUMMYFUNCTION("IFS(
  AND(REGEXMATCH(E10078, ""台銀籌備帳戶|玉山帳戶""), REGEXMATCH(C10078, ""薪資"")), ""分潤支出"",
  AND(REGEXMATCH(E10078, ""Ben帳戶|Elsa帳戶|Ben代墊|Ariel代墊|中信銀行共用""), REGEXMATCH(F10078, ""Ben帳戶|Elsa帳戶|Ben代墊|Ariel代墊|中信銀行共用"")), ""內部轉帳(忽略)"",
  AND(E10078&lt;&gt;"""", F10078&lt;&gt;"&amp;""""", NOT(REGEXMATCH(C10078, ""薪資""))), ""內部轉帳(忽略)"",
  REGEXMATCH(C10078, ""薪資""), ""薪資變動(不計入)"",
  REGEXMATCH(C10078, ""押金""), ""押金往來"",
  AND(E10078&lt;&gt;"""", F10078=""""), ""真實支出"",
  AND(E10078="""", F10078&lt;&gt;""""), ""真實收入"",
  TRUE, ""其他""
)"),"其他")</f>
        <v>其他</v>
      </c>
      <c r="K10078" s="270" t="str">
        <f t="shared" si="2"/>
        <v/>
      </c>
      <c r="L10078">
        <f t="shared" si="3"/>
        <v>0</v>
      </c>
    </row>
    <row r="10079">
      <c r="A10079" s="107"/>
      <c r="D10079" s="270"/>
      <c r="H10079" s="106" t="str">
        <f t="shared" si="1"/>
        <v/>
      </c>
      <c r="J10079" t="str">
        <f>IFERROR(__xludf.DUMMYFUNCTION("IFS(
  AND(REGEXMATCH(E10079, ""台銀籌備帳戶|玉山帳戶""), REGEXMATCH(C10079, ""薪資"")), ""分潤支出"",
  AND(REGEXMATCH(E10079, ""Ben帳戶|Elsa帳戶|Ben代墊|Ariel代墊|中信銀行共用""), REGEXMATCH(F10079, ""Ben帳戶|Elsa帳戶|Ben代墊|Ariel代墊|中信銀行共用"")), ""內部轉帳(忽略)"",
  AND(E10079&lt;&gt;"""", F10079&lt;&gt;"&amp;""""", NOT(REGEXMATCH(C10079, ""薪資""))), ""內部轉帳(忽略)"",
  REGEXMATCH(C10079, ""薪資""), ""薪資變動(不計入)"",
  REGEXMATCH(C10079, ""押金""), ""押金往來"",
  AND(E10079&lt;&gt;"""", F10079=""""), ""真實支出"",
  AND(E10079="""", F10079&lt;&gt;""""), ""真實收入"",
  TRUE, ""其他""
)"),"其他")</f>
        <v>其他</v>
      </c>
      <c r="K10079" s="270" t="str">
        <f t="shared" si="2"/>
        <v/>
      </c>
      <c r="L10079">
        <f t="shared" si="3"/>
        <v>0</v>
      </c>
    </row>
    <row r="10080">
      <c r="A10080" s="107"/>
      <c r="D10080" s="270"/>
      <c r="H10080" s="106" t="str">
        <f t="shared" si="1"/>
        <v/>
      </c>
      <c r="J10080" t="str">
        <f>IFERROR(__xludf.DUMMYFUNCTION("IFS(
  AND(REGEXMATCH(E10080, ""台銀籌備帳戶|玉山帳戶""), REGEXMATCH(C10080, ""薪資"")), ""分潤支出"",
  AND(REGEXMATCH(E10080, ""Ben帳戶|Elsa帳戶|Ben代墊|Ariel代墊|中信銀行共用""), REGEXMATCH(F10080, ""Ben帳戶|Elsa帳戶|Ben代墊|Ariel代墊|中信銀行共用"")), ""內部轉帳(忽略)"",
  AND(E10080&lt;&gt;"""", F10080&lt;&gt;"&amp;""""", NOT(REGEXMATCH(C10080, ""薪資""))), ""內部轉帳(忽略)"",
  REGEXMATCH(C10080, ""薪資""), ""薪資變動(不計入)"",
  REGEXMATCH(C10080, ""押金""), ""押金往來"",
  AND(E10080&lt;&gt;"""", F10080=""""), ""真實支出"",
  AND(E10080="""", F10080&lt;&gt;""""), ""真實收入"",
  TRUE, ""其他""
)"),"其他")</f>
        <v>其他</v>
      </c>
      <c r="K10080" s="270" t="str">
        <f t="shared" si="2"/>
        <v/>
      </c>
      <c r="L10080">
        <f t="shared" si="3"/>
        <v>0</v>
      </c>
    </row>
    <row r="10081">
      <c r="A10081" s="107"/>
      <c r="D10081" s="270"/>
      <c r="H10081" s="106" t="str">
        <f t="shared" si="1"/>
        <v/>
      </c>
      <c r="J10081" t="str">
        <f>IFERROR(__xludf.DUMMYFUNCTION("IFS(
  AND(REGEXMATCH(E10081, ""台銀籌備帳戶|玉山帳戶""), REGEXMATCH(C10081, ""薪資"")), ""分潤支出"",
  AND(REGEXMATCH(E10081, ""Ben帳戶|Elsa帳戶|Ben代墊|Ariel代墊|中信銀行共用""), REGEXMATCH(F10081, ""Ben帳戶|Elsa帳戶|Ben代墊|Ariel代墊|中信銀行共用"")), ""內部轉帳(忽略)"",
  AND(E10081&lt;&gt;"""", F10081&lt;&gt;"&amp;""""", NOT(REGEXMATCH(C10081, ""薪資""))), ""內部轉帳(忽略)"",
  REGEXMATCH(C10081, ""薪資""), ""薪資變動(不計入)"",
  REGEXMATCH(C10081, ""押金""), ""押金往來"",
  AND(E10081&lt;&gt;"""", F10081=""""), ""真實支出"",
  AND(E10081="""", F10081&lt;&gt;""""), ""真實收入"",
  TRUE, ""其他""
)"),"其他")</f>
        <v>其他</v>
      </c>
      <c r="K10081" s="270" t="str">
        <f t="shared" si="2"/>
        <v/>
      </c>
      <c r="L10081">
        <f t="shared" si="3"/>
        <v>0</v>
      </c>
    </row>
    <row r="10082">
      <c r="A10082" s="107"/>
      <c r="D10082" s="270"/>
      <c r="H10082" s="106" t="str">
        <f t="shared" si="1"/>
        <v/>
      </c>
      <c r="J10082" t="str">
        <f>IFERROR(__xludf.DUMMYFUNCTION("IFS(
  AND(REGEXMATCH(E10082, ""台銀籌備帳戶|玉山帳戶""), REGEXMATCH(C10082, ""薪資"")), ""分潤支出"",
  AND(REGEXMATCH(E10082, ""Ben帳戶|Elsa帳戶|Ben代墊|Ariel代墊|中信銀行共用""), REGEXMATCH(F10082, ""Ben帳戶|Elsa帳戶|Ben代墊|Ariel代墊|中信銀行共用"")), ""內部轉帳(忽略)"",
  AND(E10082&lt;&gt;"""", F10082&lt;&gt;"&amp;""""", NOT(REGEXMATCH(C10082, ""薪資""))), ""內部轉帳(忽略)"",
  REGEXMATCH(C10082, ""薪資""), ""薪資變動(不計入)"",
  REGEXMATCH(C10082, ""押金""), ""押金往來"",
  AND(E10082&lt;&gt;"""", F10082=""""), ""真實支出"",
  AND(E10082="""", F10082&lt;&gt;""""), ""真實收入"",
  TRUE, ""其他""
)"),"其他")</f>
        <v>其他</v>
      </c>
      <c r="K10082" s="270" t="str">
        <f t="shared" si="2"/>
        <v/>
      </c>
      <c r="L10082">
        <f t="shared" si="3"/>
        <v>0</v>
      </c>
    </row>
    <row r="10083">
      <c r="A10083" s="107"/>
      <c r="D10083" s="270"/>
      <c r="H10083" s="106" t="str">
        <f t="shared" si="1"/>
        <v/>
      </c>
      <c r="J10083" t="str">
        <f>IFERROR(__xludf.DUMMYFUNCTION("IFS(
  AND(REGEXMATCH(E10083, ""台銀籌備帳戶|玉山帳戶""), REGEXMATCH(C10083, ""薪資"")), ""分潤支出"",
  AND(REGEXMATCH(E10083, ""Ben帳戶|Elsa帳戶|Ben代墊|Ariel代墊|中信銀行共用""), REGEXMATCH(F10083, ""Ben帳戶|Elsa帳戶|Ben代墊|Ariel代墊|中信銀行共用"")), ""內部轉帳(忽略)"",
  AND(E10083&lt;&gt;"""", F10083&lt;&gt;"&amp;""""", NOT(REGEXMATCH(C10083, ""薪資""))), ""內部轉帳(忽略)"",
  REGEXMATCH(C10083, ""薪資""), ""薪資變動(不計入)"",
  REGEXMATCH(C10083, ""押金""), ""押金往來"",
  AND(E10083&lt;&gt;"""", F10083=""""), ""真實支出"",
  AND(E10083="""", F10083&lt;&gt;""""), ""真實收入"",
  TRUE, ""其他""
)"),"其他")</f>
        <v>其他</v>
      </c>
      <c r="K10083" s="270" t="str">
        <f t="shared" si="2"/>
        <v/>
      </c>
      <c r="L10083">
        <f t="shared" si="3"/>
        <v>0</v>
      </c>
    </row>
    <row r="10084">
      <c r="A10084" s="107"/>
      <c r="D10084" s="270"/>
      <c r="H10084" s="106" t="str">
        <f t="shared" si="1"/>
        <v/>
      </c>
      <c r="J10084" t="str">
        <f>IFERROR(__xludf.DUMMYFUNCTION("IFS(
  AND(REGEXMATCH(E10084, ""台銀籌備帳戶|玉山帳戶""), REGEXMATCH(C10084, ""薪資"")), ""分潤支出"",
  AND(REGEXMATCH(E10084, ""Ben帳戶|Elsa帳戶|Ben代墊|Ariel代墊|中信銀行共用""), REGEXMATCH(F10084, ""Ben帳戶|Elsa帳戶|Ben代墊|Ariel代墊|中信銀行共用"")), ""內部轉帳(忽略)"",
  AND(E10084&lt;&gt;"""", F10084&lt;&gt;"&amp;""""", NOT(REGEXMATCH(C10084, ""薪資""))), ""內部轉帳(忽略)"",
  REGEXMATCH(C10084, ""薪資""), ""薪資變動(不計入)"",
  REGEXMATCH(C10084, ""押金""), ""押金往來"",
  AND(E10084&lt;&gt;"""", F10084=""""), ""真實支出"",
  AND(E10084="""", F10084&lt;&gt;""""), ""真實收入"",
  TRUE, ""其他""
)"),"其他")</f>
        <v>其他</v>
      </c>
      <c r="K10084" s="270" t="str">
        <f t="shared" si="2"/>
        <v/>
      </c>
      <c r="L10084">
        <f t="shared" si="3"/>
        <v>0</v>
      </c>
    </row>
    <row r="10085">
      <c r="A10085" s="107"/>
      <c r="D10085" s="270"/>
      <c r="H10085" s="106" t="str">
        <f t="shared" si="1"/>
        <v/>
      </c>
      <c r="J10085" t="str">
        <f>IFERROR(__xludf.DUMMYFUNCTION("IFS(
  AND(REGEXMATCH(E10085, ""台銀籌備帳戶|玉山帳戶""), REGEXMATCH(C10085, ""薪資"")), ""分潤支出"",
  AND(REGEXMATCH(E10085, ""Ben帳戶|Elsa帳戶|Ben代墊|Ariel代墊|中信銀行共用""), REGEXMATCH(F10085, ""Ben帳戶|Elsa帳戶|Ben代墊|Ariel代墊|中信銀行共用"")), ""內部轉帳(忽略)"",
  AND(E10085&lt;&gt;"""", F10085&lt;&gt;"&amp;""""", NOT(REGEXMATCH(C10085, ""薪資""))), ""內部轉帳(忽略)"",
  REGEXMATCH(C10085, ""薪資""), ""薪資變動(不計入)"",
  REGEXMATCH(C10085, ""押金""), ""押金往來"",
  AND(E10085&lt;&gt;"""", F10085=""""), ""真實支出"",
  AND(E10085="""", F10085&lt;&gt;""""), ""真實收入"",
  TRUE, ""其他""
)"),"其他")</f>
        <v>其他</v>
      </c>
      <c r="K10085" s="270" t="str">
        <f t="shared" si="2"/>
        <v/>
      </c>
      <c r="L10085">
        <f t="shared" si="3"/>
        <v>0</v>
      </c>
    </row>
    <row r="10086">
      <c r="A10086" s="107"/>
      <c r="D10086" s="270"/>
      <c r="H10086" s="106" t="str">
        <f t="shared" si="1"/>
        <v/>
      </c>
      <c r="J10086" t="str">
        <f>IFERROR(__xludf.DUMMYFUNCTION("IFS(
  AND(REGEXMATCH(E10086, ""台銀籌備帳戶|玉山帳戶""), REGEXMATCH(C10086, ""薪資"")), ""分潤支出"",
  AND(REGEXMATCH(E10086, ""Ben帳戶|Elsa帳戶|Ben代墊|Ariel代墊|中信銀行共用""), REGEXMATCH(F10086, ""Ben帳戶|Elsa帳戶|Ben代墊|Ariel代墊|中信銀行共用"")), ""內部轉帳(忽略)"",
  AND(E10086&lt;&gt;"""", F10086&lt;&gt;"&amp;""""", NOT(REGEXMATCH(C10086, ""薪資""))), ""內部轉帳(忽略)"",
  REGEXMATCH(C10086, ""薪資""), ""薪資變動(不計入)"",
  REGEXMATCH(C10086, ""押金""), ""押金往來"",
  AND(E10086&lt;&gt;"""", F10086=""""), ""真實支出"",
  AND(E10086="""", F10086&lt;&gt;""""), ""真實收入"",
  TRUE, ""其他""
)"),"其他")</f>
        <v>其他</v>
      </c>
      <c r="K10086" s="270" t="str">
        <f t="shared" si="2"/>
        <v/>
      </c>
      <c r="L10086">
        <f t="shared" si="3"/>
        <v>0</v>
      </c>
    </row>
    <row r="10087">
      <c r="A10087" s="107"/>
      <c r="D10087" s="270"/>
      <c r="H10087" s="106" t="str">
        <f t="shared" si="1"/>
        <v/>
      </c>
      <c r="J10087" t="str">
        <f>IFERROR(__xludf.DUMMYFUNCTION("IFS(
  AND(REGEXMATCH(E10087, ""台銀籌備帳戶|玉山帳戶""), REGEXMATCH(C10087, ""薪資"")), ""分潤支出"",
  AND(REGEXMATCH(E10087, ""Ben帳戶|Elsa帳戶|Ben代墊|Ariel代墊|中信銀行共用""), REGEXMATCH(F10087, ""Ben帳戶|Elsa帳戶|Ben代墊|Ariel代墊|中信銀行共用"")), ""內部轉帳(忽略)"",
  AND(E10087&lt;&gt;"""", F10087&lt;&gt;"&amp;""""", NOT(REGEXMATCH(C10087, ""薪資""))), ""內部轉帳(忽略)"",
  REGEXMATCH(C10087, ""薪資""), ""薪資變動(不計入)"",
  REGEXMATCH(C10087, ""押金""), ""押金往來"",
  AND(E10087&lt;&gt;"""", F10087=""""), ""真實支出"",
  AND(E10087="""", F10087&lt;&gt;""""), ""真實收入"",
  TRUE, ""其他""
)"),"其他")</f>
        <v>其他</v>
      </c>
      <c r="K10087" s="270" t="str">
        <f t="shared" si="2"/>
        <v/>
      </c>
      <c r="L10087">
        <f t="shared" si="3"/>
        <v>0</v>
      </c>
    </row>
    <row r="10088">
      <c r="A10088" s="107"/>
      <c r="D10088" s="270"/>
      <c r="H10088" s="106" t="str">
        <f t="shared" si="1"/>
        <v/>
      </c>
      <c r="J10088" t="str">
        <f>IFERROR(__xludf.DUMMYFUNCTION("IFS(
  AND(REGEXMATCH(E10088, ""台銀籌備帳戶|玉山帳戶""), REGEXMATCH(C10088, ""薪資"")), ""分潤支出"",
  AND(REGEXMATCH(E10088, ""Ben帳戶|Elsa帳戶|Ben代墊|Ariel代墊|中信銀行共用""), REGEXMATCH(F10088, ""Ben帳戶|Elsa帳戶|Ben代墊|Ariel代墊|中信銀行共用"")), ""內部轉帳(忽略)"",
  AND(E10088&lt;&gt;"""", F10088&lt;&gt;"&amp;""""", NOT(REGEXMATCH(C10088, ""薪資""))), ""內部轉帳(忽略)"",
  REGEXMATCH(C10088, ""薪資""), ""薪資變動(不計入)"",
  REGEXMATCH(C10088, ""押金""), ""押金往來"",
  AND(E10088&lt;&gt;"""", F10088=""""), ""真實支出"",
  AND(E10088="""", F10088&lt;&gt;""""), ""真實收入"",
  TRUE, ""其他""
)"),"其他")</f>
        <v>其他</v>
      </c>
      <c r="K10088" s="270" t="str">
        <f t="shared" si="2"/>
        <v/>
      </c>
      <c r="L10088">
        <f t="shared" si="3"/>
        <v>0</v>
      </c>
    </row>
    <row r="10089">
      <c r="A10089" s="107"/>
      <c r="D10089" s="270"/>
      <c r="H10089" s="106" t="str">
        <f t="shared" si="1"/>
        <v/>
      </c>
      <c r="J10089" t="str">
        <f>IFERROR(__xludf.DUMMYFUNCTION("IFS(
  AND(REGEXMATCH(E10089, ""台銀籌備帳戶|玉山帳戶""), REGEXMATCH(C10089, ""薪資"")), ""分潤支出"",
  AND(REGEXMATCH(E10089, ""Ben帳戶|Elsa帳戶|Ben代墊|Ariel代墊|中信銀行共用""), REGEXMATCH(F10089, ""Ben帳戶|Elsa帳戶|Ben代墊|Ariel代墊|中信銀行共用"")), ""內部轉帳(忽略)"",
  AND(E10089&lt;&gt;"""", F10089&lt;&gt;"&amp;""""", NOT(REGEXMATCH(C10089, ""薪資""))), ""內部轉帳(忽略)"",
  REGEXMATCH(C10089, ""薪資""), ""薪資變動(不計入)"",
  REGEXMATCH(C10089, ""押金""), ""押金往來"",
  AND(E10089&lt;&gt;"""", F10089=""""), ""真實支出"",
  AND(E10089="""", F10089&lt;&gt;""""), ""真實收入"",
  TRUE, ""其他""
)"),"其他")</f>
        <v>其他</v>
      </c>
      <c r="K10089" s="270" t="str">
        <f t="shared" si="2"/>
        <v/>
      </c>
      <c r="L10089">
        <f t="shared" si="3"/>
        <v>0</v>
      </c>
    </row>
    <row r="10090">
      <c r="A10090" s="107"/>
      <c r="D10090" s="270"/>
      <c r="H10090" s="106" t="str">
        <f t="shared" si="1"/>
        <v/>
      </c>
      <c r="J10090" t="str">
        <f>IFERROR(__xludf.DUMMYFUNCTION("IFS(
  AND(REGEXMATCH(E10090, ""台銀籌備帳戶|玉山帳戶""), REGEXMATCH(C10090, ""薪資"")), ""分潤支出"",
  AND(REGEXMATCH(E10090, ""Ben帳戶|Elsa帳戶|Ben代墊|Ariel代墊|中信銀行共用""), REGEXMATCH(F10090, ""Ben帳戶|Elsa帳戶|Ben代墊|Ariel代墊|中信銀行共用"")), ""內部轉帳(忽略)"",
  AND(E10090&lt;&gt;"""", F10090&lt;&gt;"&amp;""""", NOT(REGEXMATCH(C10090, ""薪資""))), ""內部轉帳(忽略)"",
  REGEXMATCH(C10090, ""薪資""), ""薪資變動(不計入)"",
  REGEXMATCH(C10090, ""押金""), ""押金往來"",
  AND(E10090&lt;&gt;"""", F10090=""""), ""真實支出"",
  AND(E10090="""", F10090&lt;&gt;""""), ""真實收入"",
  TRUE, ""其他""
)"),"其他")</f>
        <v>其他</v>
      </c>
      <c r="K10090" s="270" t="str">
        <f t="shared" si="2"/>
        <v/>
      </c>
      <c r="L10090">
        <f t="shared" si="3"/>
        <v>0</v>
      </c>
    </row>
    <row r="10091">
      <c r="A10091" s="107"/>
      <c r="D10091" s="270"/>
      <c r="H10091" s="106" t="str">
        <f t="shared" si="1"/>
        <v/>
      </c>
      <c r="J10091" t="str">
        <f>IFERROR(__xludf.DUMMYFUNCTION("IFS(
  AND(REGEXMATCH(E10091, ""台銀籌備帳戶|玉山帳戶""), REGEXMATCH(C10091, ""薪資"")), ""分潤支出"",
  AND(REGEXMATCH(E10091, ""Ben帳戶|Elsa帳戶|Ben代墊|Ariel代墊|中信銀行共用""), REGEXMATCH(F10091, ""Ben帳戶|Elsa帳戶|Ben代墊|Ariel代墊|中信銀行共用"")), ""內部轉帳(忽略)"",
  AND(E10091&lt;&gt;"""", F10091&lt;&gt;"&amp;""""", NOT(REGEXMATCH(C10091, ""薪資""))), ""內部轉帳(忽略)"",
  REGEXMATCH(C10091, ""薪資""), ""薪資變動(不計入)"",
  REGEXMATCH(C10091, ""押金""), ""押金往來"",
  AND(E10091&lt;&gt;"""", F10091=""""), ""真實支出"",
  AND(E10091="""", F10091&lt;&gt;""""), ""真實收入"",
  TRUE, ""其他""
)"),"其他")</f>
        <v>其他</v>
      </c>
      <c r="K10091" s="270" t="str">
        <f t="shared" si="2"/>
        <v/>
      </c>
      <c r="L10091">
        <f t="shared" si="3"/>
        <v>0</v>
      </c>
    </row>
    <row r="10092">
      <c r="A10092" s="107"/>
      <c r="D10092" s="270"/>
      <c r="H10092" s="106" t="str">
        <f t="shared" si="1"/>
        <v/>
      </c>
      <c r="J10092" t="str">
        <f>IFERROR(__xludf.DUMMYFUNCTION("IFS(
  AND(REGEXMATCH(E10092, ""台銀籌備帳戶|玉山帳戶""), REGEXMATCH(C10092, ""薪資"")), ""分潤支出"",
  AND(REGEXMATCH(E10092, ""Ben帳戶|Elsa帳戶|Ben代墊|Ariel代墊|中信銀行共用""), REGEXMATCH(F10092, ""Ben帳戶|Elsa帳戶|Ben代墊|Ariel代墊|中信銀行共用"")), ""內部轉帳(忽略)"",
  AND(E10092&lt;&gt;"""", F10092&lt;&gt;"&amp;""""", NOT(REGEXMATCH(C10092, ""薪資""))), ""內部轉帳(忽略)"",
  REGEXMATCH(C10092, ""薪資""), ""薪資變動(不計入)"",
  REGEXMATCH(C10092, ""押金""), ""押金往來"",
  AND(E10092&lt;&gt;"""", F10092=""""), ""真實支出"",
  AND(E10092="""", F10092&lt;&gt;""""), ""真實收入"",
  TRUE, ""其他""
)"),"其他")</f>
        <v>其他</v>
      </c>
      <c r="K10092" s="270" t="str">
        <f t="shared" si="2"/>
        <v/>
      </c>
      <c r="L10092">
        <f t="shared" si="3"/>
        <v>0</v>
      </c>
    </row>
    <row r="10093">
      <c r="A10093" s="107"/>
      <c r="D10093" s="270"/>
      <c r="H10093" s="106" t="str">
        <f t="shared" si="1"/>
        <v/>
      </c>
      <c r="J10093" t="str">
        <f>IFERROR(__xludf.DUMMYFUNCTION("IFS(
  AND(REGEXMATCH(E10093, ""台銀籌備帳戶|玉山帳戶""), REGEXMATCH(C10093, ""薪資"")), ""分潤支出"",
  AND(REGEXMATCH(E10093, ""Ben帳戶|Elsa帳戶|Ben代墊|Ariel代墊|中信銀行共用""), REGEXMATCH(F10093, ""Ben帳戶|Elsa帳戶|Ben代墊|Ariel代墊|中信銀行共用"")), ""內部轉帳(忽略)"",
  AND(E10093&lt;&gt;"""", F10093&lt;&gt;"&amp;""""", NOT(REGEXMATCH(C10093, ""薪資""))), ""內部轉帳(忽略)"",
  REGEXMATCH(C10093, ""薪資""), ""薪資變動(不計入)"",
  REGEXMATCH(C10093, ""押金""), ""押金往來"",
  AND(E10093&lt;&gt;"""", F10093=""""), ""真實支出"",
  AND(E10093="""", F10093&lt;&gt;""""), ""真實收入"",
  TRUE, ""其他""
)"),"其他")</f>
        <v>其他</v>
      </c>
      <c r="K10093" s="270" t="str">
        <f t="shared" si="2"/>
        <v/>
      </c>
      <c r="L10093">
        <f t="shared" si="3"/>
        <v>0</v>
      </c>
    </row>
    <row r="10094">
      <c r="A10094" s="107"/>
      <c r="D10094" s="270"/>
      <c r="H10094" s="106" t="str">
        <f t="shared" si="1"/>
        <v/>
      </c>
      <c r="J10094" t="str">
        <f>IFERROR(__xludf.DUMMYFUNCTION("IFS(
  AND(REGEXMATCH(E10094, ""台銀籌備帳戶|玉山帳戶""), REGEXMATCH(C10094, ""薪資"")), ""分潤支出"",
  AND(REGEXMATCH(E10094, ""Ben帳戶|Elsa帳戶|Ben代墊|Ariel代墊|中信銀行共用""), REGEXMATCH(F10094, ""Ben帳戶|Elsa帳戶|Ben代墊|Ariel代墊|中信銀行共用"")), ""內部轉帳(忽略)"",
  AND(E10094&lt;&gt;"""", F10094&lt;&gt;"&amp;""""", NOT(REGEXMATCH(C10094, ""薪資""))), ""內部轉帳(忽略)"",
  REGEXMATCH(C10094, ""薪資""), ""薪資變動(不計入)"",
  REGEXMATCH(C10094, ""押金""), ""押金往來"",
  AND(E10094&lt;&gt;"""", F10094=""""), ""真實支出"",
  AND(E10094="""", F10094&lt;&gt;""""), ""真實收入"",
  TRUE, ""其他""
)"),"其他")</f>
        <v>其他</v>
      </c>
      <c r="K10094" s="270" t="str">
        <f t="shared" si="2"/>
        <v/>
      </c>
      <c r="L10094">
        <f t="shared" si="3"/>
        <v>0</v>
      </c>
    </row>
    <row r="10095">
      <c r="A10095" s="107"/>
      <c r="D10095" s="270"/>
      <c r="H10095" s="106" t="str">
        <f t="shared" si="1"/>
        <v/>
      </c>
      <c r="J10095" t="str">
        <f>IFERROR(__xludf.DUMMYFUNCTION("IFS(
  AND(REGEXMATCH(E10095, ""台銀籌備帳戶|玉山帳戶""), REGEXMATCH(C10095, ""薪資"")), ""分潤支出"",
  AND(REGEXMATCH(E10095, ""Ben帳戶|Elsa帳戶|Ben代墊|Ariel代墊|中信銀行共用""), REGEXMATCH(F10095, ""Ben帳戶|Elsa帳戶|Ben代墊|Ariel代墊|中信銀行共用"")), ""內部轉帳(忽略)"",
  AND(E10095&lt;&gt;"""", F10095&lt;&gt;"&amp;""""", NOT(REGEXMATCH(C10095, ""薪資""))), ""內部轉帳(忽略)"",
  REGEXMATCH(C10095, ""薪資""), ""薪資變動(不計入)"",
  REGEXMATCH(C10095, ""押金""), ""押金往來"",
  AND(E10095&lt;&gt;"""", F10095=""""), ""真實支出"",
  AND(E10095="""", F10095&lt;&gt;""""), ""真實收入"",
  TRUE, ""其他""
)"),"其他")</f>
        <v>其他</v>
      </c>
      <c r="K10095" s="270" t="str">
        <f t="shared" si="2"/>
        <v/>
      </c>
      <c r="L10095">
        <f t="shared" si="3"/>
        <v>0</v>
      </c>
    </row>
    <row r="10096">
      <c r="A10096" s="107"/>
      <c r="D10096" s="270"/>
      <c r="H10096" s="106" t="str">
        <f t="shared" si="1"/>
        <v/>
      </c>
      <c r="J10096" t="str">
        <f>IFERROR(__xludf.DUMMYFUNCTION("IFS(
  AND(REGEXMATCH(E10096, ""台銀籌備帳戶|玉山帳戶""), REGEXMATCH(C10096, ""薪資"")), ""分潤支出"",
  AND(REGEXMATCH(E10096, ""Ben帳戶|Elsa帳戶|Ben代墊|Ariel代墊|中信銀行共用""), REGEXMATCH(F10096, ""Ben帳戶|Elsa帳戶|Ben代墊|Ariel代墊|中信銀行共用"")), ""內部轉帳(忽略)"",
  AND(E10096&lt;&gt;"""", F10096&lt;&gt;"&amp;""""", NOT(REGEXMATCH(C10096, ""薪資""))), ""內部轉帳(忽略)"",
  REGEXMATCH(C10096, ""薪資""), ""薪資變動(不計入)"",
  REGEXMATCH(C10096, ""押金""), ""押金往來"",
  AND(E10096&lt;&gt;"""", F10096=""""), ""真實支出"",
  AND(E10096="""", F10096&lt;&gt;""""), ""真實收入"",
  TRUE, ""其他""
)"),"其他")</f>
        <v>其他</v>
      </c>
      <c r="K10096" s="270" t="str">
        <f t="shared" si="2"/>
        <v/>
      </c>
      <c r="L10096">
        <f t="shared" si="3"/>
        <v>0</v>
      </c>
    </row>
    <row r="10097">
      <c r="A10097" s="107"/>
      <c r="D10097" s="270"/>
      <c r="H10097" s="106" t="str">
        <f t="shared" si="1"/>
        <v/>
      </c>
      <c r="J10097" t="str">
        <f>IFERROR(__xludf.DUMMYFUNCTION("IFS(
  AND(REGEXMATCH(E10097, ""台銀籌備帳戶|玉山帳戶""), REGEXMATCH(C10097, ""薪資"")), ""分潤支出"",
  AND(REGEXMATCH(E10097, ""Ben帳戶|Elsa帳戶|Ben代墊|Ariel代墊|中信銀行共用""), REGEXMATCH(F10097, ""Ben帳戶|Elsa帳戶|Ben代墊|Ariel代墊|中信銀行共用"")), ""內部轉帳(忽略)"",
  AND(E10097&lt;&gt;"""", F10097&lt;&gt;"&amp;""""", NOT(REGEXMATCH(C10097, ""薪資""))), ""內部轉帳(忽略)"",
  REGEXMATCH(C10097, ""薪資""), ""薪資變動(不計入)"",
  REGEXMATCH(C10097, ""押金""), ""押金往來"",
  AND(E10097&lt;&gt;"""", F10097=""""), ""真實支出"",
  AND(E10097="""", F10097&lt;&gt;""""), ""真實收入"",
  TRUE, ""其他""
)"),"其他")</f>
        <v>其他</v>
      </c>
      <c r="K10097" s="270" t="str">
        <f t="shared" si="2"/>
        <v/>
      </c>
      <c r="L10097">
        <f t="shared" si="3"/>
        <v>0</v>
      </c>
    </row>
    <row r="10098">
      <c r="A10098" s="107"/>
      <c r="D10098" s="270"/>
      <c r="H10098" s="106" t="str">
        <f t="shared" si="1"/>
        <v/>
      </c>
      <c r="J10098" t="str">
        <f>IFERROR(__xludf.DUMMYFUNCTION("IFS(
  AND(REGEXMATCH(E10098, ""台銀籌備帳戶|玉山帳戶""), REGEXMATCH(C10098, ""薪資"")), ""分潤支出"",
  AND(REGEXMATCH(E10098, ""Ben帳戶|Elsa帳戶|Ben代墊|Ariel代墊|中信銀行共用""), REGEXMATCH(F10098, ""Ben帳戶|Elsa帳戶|Ben代墊|Ariel代墊|中信銀行共用"")), ""內部轉帳(忽略)"",
  AND(E10098&lt;&gt;"""", F10098&lt;&gt;"&amp;""""", NOT(REGEXMATCH(C10098, ""薪資""))), ""內部轉帳(忽略)"",
  REGEXMATCH(C10098, ""薪資""), ""薪資變動(不計入)"",
  REGEXMATCH(C10098, ""押金""), ""押金往來"",
  AND(E10098&lt;&gt;"""", F10098=""""), ""真實支出"",
  AND(E10098="""", F10098&lt;&gt;""""), ""真實收入"",
  TRUE, ""其他""
)"),"其他")</f>
        <v>其他</v>
      </c>
      <c r="K10098" s="270" t="str">
        <f t="shared" si="2"/>
        <v/>
      </c>
      <c r="L10098">
        <f t="shared" si="3"/>
        <v>0</v>
      </c>
    </row>
    <row r="10099">
      <c r="A10099" s="107"/>
      <c r="D10099" s="270"/>
      <c r="H10099" s="106" t="str">
        <f t="shared" si="1"/>
        <v/>
      </c>
      <c r="J10099" t="str">
        <f>IFERROR(__xludf.DUMMYFUNCTION("IFS(
  AND(REGEXMATCH(E10099, ""台銀籌備帳戶|玉山帳戶""), REGEXMATCH(C10099, ""薪資"")), ""分潤支出"",
  AND(REGEXMATCH(E10099, ""Ben帳戶|Elsa帳戶|Ben代墊|Ariel代墊|中信銀行共用""), REGEXMATCH(F10099, ""Ben帳戶|Elsa帳戶|Ben代墊|Ariel代墊|中信銀行共用"")), ""內部轉帳(忽略)"",
  AND(E10099&lt;&gt;"""", F10099&lt;&gt;"&amp;""""", NOT(REGEXMATCH(C10099, ""薪資""))), ""內部轉帳(忽略)"",
  REGEXMATCH(C10099, ""薪資""), ""薪資變動(不計入)"",
  REGEXMATCH(C10099, ""押金""), ""押金往來"",
  AND(E10099&lt;&gt;"""", F10099=""""), ""真實支出"",
  AND(E10099="""", F10099&lt;&gt;""""), ""真實收入"",
  TRUE, ""其他""
)"),"其他")</f>
        <v>其他</v>
      </c>
      <c r="K10099" s="270" t="str">
        <f t="shared" si="2"/>
        <v/>
      </c>
      <c r="L10099">
        <f t="shared" si="3"/>
        <v>0</v>
      </c>
    </row>
    <row r="10100">
      <c r="A10100" s="107"/>
      <c r="D10100" s="270"/>
      <c r="H10100" s="106" t="str">
        <f t="shared" si="1"/>
        <v/>
      </c>
      <c r="J10100" t="str">
        <f>IFERROR(__xludf.DUMMYFUNCTION("IFS(
  AND(REGEXMATCH(E10100, ""台銀籌備帳戶|玉山帳戶""), REGEXMATCH(C10100, ""薪資"")), ""分潤支出"",
  AND(REGEXMATCH(E10100, ""Ben帳戶|Elsa帳戶|Ben代墊|Ariel代墊|中信銀行共用""), REGEXMATCH(F10100, ""Ben帳戶|Elsa帳戶|Ben代墊|Ariel代墊|中信銀行共用"")), ""內部轉帳(忽略)"",
  AND(E10100&lt;&gt;"""", F10100&lt;&gt;"&amp;""""", NOT(REGEXMATCH(C10100, ""薪資""))), ""內部轉帳(忽略)"",
  REGEXMATCH(C10100, ""薪資""), ""薪資變動(不計入)"",
  REGEXMATCH(C10100, ""押金""), ""押金往來"",
  AND(E10100&lt;&gt;"""", F10100=""""), ""真實支出"",
  AND(E10100="""", F10100&lt;&gt;""""), ""真實收入"",
  TRUE, ""其他""
)"),"其他")</f>
        <v>其他</v>
      </c>
      <c r="K10100" s="270" t="str">
        <f t="shared" si="2"/>
        <v/>
      </c>
      <c r="L10100">
        <f t="shared" si="3"/>
        <v>0</v>
      </c>
    </row>
    <row r="10101">
      <c r="A10101" s="107"/>
      <c r="D10101" s="270"/>
      <c r="H10101" s="106" t="str">
        <f t="shared" si="1"/>
        <v/>
      </c>
      <c r="J10101" t="str">
        <f>IFERROR(__xludf.DUMMYFUNCTION("IFS(
  AND(REGEXMATCH(E10101, ""台銀籌備帳戶|玉山帳戶""), REGEXMATCH(C10101, ""薪資"")), ""分潤支出"",
  AND(REGEXMATCH(E10101, ""Ben帳戶|Elsa帳戶|Ben代墊|Ariel代墊|中信銀行共用""), REGEXMATCH(F10101, ""Ben帳戶|Elsa帳戶|Ben代墊|Ariel代墊|中信銀行共用"")), ""內部轉帳(忽略)"",
  AND(E10101&lt;&gt;"""", F10101&lt;&gt;"&amp;""""", NOT(REGEXMATCH(C10101, ""薪資""))), ""內部轉帳(忽略)"",
  REGEXMATCH(C10101, ""薪資""), ""薪資變動(不計入)"",
  REGEXMATCH(C10101, ""押金""), ""押金往來"",
  AND(E10101&lt;&gt;"""", F10101=""""), ""真實支出"",
  AND(E10101="""", F10101&lt;&gt;""""), ""真實收入"",
  TRUE, ""其他""
)"),"其他")</f>
        <v>其他</v>
      </c>
      <c r="K10101" s="270" t="str">
        <f t="shared" si="2"/>
        <v/>
      </c>
      <c r="L10101">
        <f t="shared" si="3"/>
        <v>0</v>
      </c>
    </row>
    <row r="10102">
      <c r="A10102" s="107"/>
      <c r="D10102" s="270"/>
      <c r="H10102" s="106" t="str">
        <f t="shared" si="1"/>
        <v/>
      </c>
      <c r="J10102" t="str">
        <f>IFERROR(__xludf.DUMMYFUNCTION("IFS(
  AND(REGEXMATCH(E10102, ""台銀籌備帳戶|玉山帳戶""), REGEXMATCH(C10102, ""薪資"")), ""分潤支出"",
  AND(REGEXMATCH(E10102, ""Ben帳戶|Elsa帳戶|Ben代墊|Ariel代墊|中信銀行共用""), REGEXMATCH(F10102, ""Ben帳戶|Elsa帳戶|Ben代墊|Ariel代墊|中信銀行共用"")), ""內部轉帳(忽略)"",
  AND(E10102&lt;&gt;"""", F10102&lt;&gt;"&amp;""""", NOT(REGEXMATCH(C10102, ""薪資""))), ""內部轉帳(忽略)"",
  REGEXMATCH(C10102, ""薪資""), ""薪資變動(不計入)"",
  REGEXMATCH(C10102, ""押金""), ""押金往來"",
  AND(E10102&lt;&gt;"""", F10102=""""), ""真實支出"",
  AND(E10102="""", F10102&lt;&gt;""""), ""真實收入"",
  TRUE, ""其他""
)"),"其他")</f>
        <v>其他</v>
      </c>
      <c r="K10102" s="270" t="str">
        <f t="shared" si="2"/>
        <v/>
      </c>
      <c r="L10102">
        <f t="shared" si="3"/>
        <v>0</v>
      </c>
    </row>
    <row r="10103">
      <c r="A10103" s="107"/>
      <c r="D10103" s="270"/>
      <c r="H10103" s="106" t="str">
        <f t="shared" si="1"/>
        <v/>
      </c>
      <c r="J10103" t="str">
        <f>IFERROR(__xludf.DUMMYFUNCTION("IFS(
  AND(REGEXMATCH(E10103, ""台銀籌備帳戶|玉山帳戶""), REGEXMATCH(C10103, ""薪資"")), ""分潤支出"",
  AND(REGEXMATCH(E10103, ""Ben帳戶|Elsa帳戶|Ben代墊|Ariel代墊|中信銀行共用""), REGEXMATCH(F10103, ""Ben帳戶|Elsa帳戶|Ben代墊|Ariel代墊|中信銀行共用"")), ""內部轉帳(忽略)"",
  AND(E10103&lt;&gt;"""", F10103&lt;&gt;"&amp;""""", NOT(REGEXMATCH(C10103, ""薪資""))), ""內部轉帳(忽略)"",
  REGEXMATCH(C10103, ""薪資""), ""薪資變動(不計入)"",
  REGEXMATCH(C10103, ""押金""), ""押金往來"",
  AND(E10103&lt;&gt;"""", F10103=""""), ""真實支出"",
  AND(E10103="""", F10103&lt;&gt;""""), ""真實收入"",
  TRUE, ""其他""
)"),"其他")</f>
        <v>其他</v>
      </c>
      <c r="K10103" s="270" t="str">
        <f t="shared" si="2"/>
        <v/>
      </c>
      <c r="L10103">
        <f t="shared" si="3"/>
        <v>0</v>
      </c>
    </row>
    <row r="10104">
      <c r="A10104" s="107"/>
      <c r="D10104" s="270"/>
      <c r="H10104" s="106" t="str">
        <f t="shared" si="1"/>
        <v/>
      </c>
      <c r="J10104" t="str">
        <f>IFERROR(__xludf.DUMMYFUNCTION("IFS(
  AND(REGEXMATCH(E10104, ""台銀籌備帳戶|玉山帳戶""), REGEXMATCH(C10104, ""薪資"")), ""分潤支出"",
  AND(REGEXMATCH(E10104, ""Ben帳戶|Elsa帳戶|Ben代墊|Ariel代墊|中信銀行共用""), REGEXMATCH(F10104, ""Ben帳戶|Elsa帳戶|Ben代墊|Ariel代墊|中信銀行共用"")), ""內部轉帳(忽略)"",
  AND(E10104&lt;&gt;"""", F10104&lt;&gt;"&amp;""""", NOT(REGEXMATCH(C10104, ""薪資""))), ""內部轉帳(忽略)"",
  REGEXMATCH(C10104, ""薪資""), ""薪資變動(不計入)"",
  REGEXMATCH(C10104, ""押金""), ""押金往來"",
  AND(E10104&lt;&gt;"""", F10104=""""), ""真實支出"",
  AND(E10104="""", F10104&lt;&gt;""""), ""真實收入"",
  TRUE, ""其他""
)"),"其他")</f>
        <v>其他</v>
      </c>
      <c r="K10104" s="270" t="str">
        <f t="shared" si="2"/>
        <v/>
      </c>
      <c r="L10104">
        <f t="shared" si="3"/>
        <v>0</v>
      </c>
    </row>
    <row r="10105">
      <c r="A10105" s="107"/>
      <c r="D10105" s="270"/>
      <c r="H10105" s="106" t="str">
        <f t="shared" si="1"/>
        <v/>
      </c>
      <c r="J10105" t="str">
        <f>IFERROR(__xludf.DUMMYFUNCTION("IFS(
  AND(REGEXMATCH(E10105, ""台銀籌備帳戶|玉山帳戶""), REGEXMATCH(C10105, ""薪資"")), ""分潤支出"",
  AND(REGEXMATCH(E10105, ""Ben帳戶|Elsa帳戶|Ben代墊|Ariel代墊|中信銀行共用""), REGEXMATCH(F10105, ""Ben帳戶|Elsa帳戶|Ben代墊|Ariel代墊|中信銀行共用"")), ""內部轉帳(忽略)"",
  AND(E10105&lt;&gt;"""", F10105&lt;&gt;"&amp;""""", NOT(REGEXMATCH(C10105, ""薪資""))), ""內部轉帳(忽略)"",
  REGEXMATCH(C10105, ""薪資""), ""薪資變動(不計入)"",
  REGEXMATCH(C10105, ""押金""), ""押金往來"",
  AND(E10105&lt;&gt;"""", F10105=""""), ""真實支出"",
  AND(E10105="""", F10105&lt;&gt;""""), ""真實收入"",
  TRUE, ""其他""
)"),"其他")</f>
        <v>其他</v>
      </c>
      <c r="K10105" s="270" t="str">
        <f t="shared" si="2"/>
        <v/>
      </c>
      <c r="L10105">
        <f t="shared" si="3"/>
        <v>0</v>
      </c>
    </row>
    <row r="10106">
      <c r="A10106" s="107"/>
      <c r="D10106" s="270"/>
      <c r="H10106" s="106" t="str">
        <f t="shared" si="1"/>
        <v/>
      </c>
      <c r="J10106" t="str">
        <f>IFERROR(__xludf.DUMMYFUNCTION("IFS(
  AND(REGEXMATCH(E10106, ""台銀籌備帳戶|玉山帳戶""), REGEXMATCH(C10106, ""薪資"")), ""分潤支出"",
  AND(REGEXMATCH(E10106, ""Ben帳戶|Elsa帳戶|Ben代墊|Ariel代墊|中信銀行共用""), REGEXMATCH(F10106, ""Ben帳戶|Elsa帳戶|Ben代墊|Ariel代墊|中信銀行共用"")), ""內部轉帳(忽略)"",
  AND(E10106&lt;&gt;"""", F10106&lt;&gt;"&amp;""""", NOT(REGEXMATCH(C10106, ""薪資""))), ""內部轉帳(忽略)"",
  REGEXMATCH(C10106, ""薪資""), ""薪資變動(不計入)"",
  REGEXMATCH(C10106, ""押金""), ""押金往來"",
  AND(E10106&lt;&gt;"""", F10106=""""), ""真實支出"",
  AND(E10106="""", F10106&lt;&gt;""""), ""真實收入"",
  TRUE, ""其他""
)"),"其他")</f>
        <v>其他</v>
      </c>
      <c r="K10106" s="270" t="str">
        <f t="shared" si="2"/>
        <v/>
      </c>
      <c r="L10106">
        <f t="shared" si="3"/>
        <v>0</v>
      </c>
    </row>
    <row r="10107">
      <c r="A10107" s="107"/>
      <c r="D10107" s="270"/>
      <c r="H10107" s="106" t="str">
        <f t="shared" si="1"/>
        <v/>
      </c>
      <c r="J10107" t="str">
        <f>IFERROR(__xludf.DUMMYFUNCTION("IFS(
  AND(REGEXMATCH(E10107, ""台銀籌備帳戶|玉山帳戶""), REGEXMATCH(C10107, ""薪資"")), ""分潤支出"",
  AND(REGEXMATCH(E10107, ""Ben帳戶|Elsa帳戶|Ben代墊|Ariel代墊|中信銀行共用""), REGEXMATCH(F10107, ""Ben帳戶|Elsa帳戶|Ben代墊|Ariel代墊|中信銀行共用"")), ""內部轉帳(忽略)"",
  AND(E10107&lt;&gt;"""", F10107&lt;&gt;"&amp;""""", NOT(REGEXMATCH(C10107, ""薪資""))), ""內部轉帳(忽略)"",
  REGEXMATCH(C10107, ""薪資""), ""薪資變動(不計入)"",
  REGEXMATCH(C10107, ""押金""), ""押金往來"",
  AND(E10107&lt;&gt;"""", F10107=""""), ""真實支出"",
  AND(E10107="""", F10107&lt;&gt;""""), ""真實收入"",
  TRUE, ""其他""
)"),"其他")</f>
        <v>其他</v>
      </c>
      <c r="K10107" s="270" t="str">
        <f t="shared" si="2"/>
        <v/>
      </c>
      <c r="L10107">
        <f t="shared" si="3"/>
        <v>0</v>
      </c>
    </row>
    <row r="10108">
      <c r="A10108" s="107"/>
      <c r="D10108" s="270"/>
      <c r="H10108" s="106" t="str">
        <f t="shared" si="1"/>
        <v/>
      </c>
      <c r="J10108" t="str">
        <f>IFERROR(__xludf.DUMMYFUNCTION("IFS(
  AND(REGEXMATCH(E10108, ""台銀籌備帳戶|玉山帳戶""), REGEXMATCH(C10108, ""薪資"")), ""分潤支出"",
  AND(REGEXMATCH(E10108, ""Ben帳戶|Elsa帳戶|Ben代墊|Ariel代墊|中信銀行共用""), REGEXMATCH(F10108, ""Ben帳戶|Elsa帳戶|Ben代墊|Ariel代墊|中信銀行共用"")), ""內部轉帳(忽略)"",
  AND(E10108&lt;&gt;"""", F10108&lt;&gt;"&amp;""""", NOT(REGEXMATCH(C10108, ""薪資""))), ""內部轉帳(忽略)"",
  REGEXMATCH(C10108, ""薪資""), ""薪資變動(不計入)"",
  REGEXMATCH(C10108, ""押金""), ""押金往來"",
  AND(E10108&lt;&gt;"""", F10108=""""), ""真實支出"",
  AND(E10108="""", F10108&lt;&gt;""""), ""真實收入"",
  TRUE, ""其他""
)"),"其他")</f>
        <v>其他</v>
      </c>
      <c r="K10108" s="270" t="str">
        <f t="shared" si="2"/>
        <v/>
      </c>
      <c r="L10108">
        <f t="shared" si="3"/>
        <v>0</v>
      </c>
    </row>
    <row r="10109">
      <c r="A10109" s="107"/>
      <c r="D10109" s="270"/>
      <c r="H10109" s="106" t="str">
        <f t="shared" si="1"/>
        <v/>
      </c>
      <c r="J10109" t="str">
        <f>IFERROR(__xludf.DUMMYFUNCTION("IFS(
  AND(REGEXMATCH(E10109, ""台銀籌備帳戶|玉山帳戶""), REGEXMATCH(C10109, ""薪資"")), ""分潤支出"",
  AND(REGEXMATCH(E10109, ""Ben帳戶|Elsa帳戶|Ben代墊|Ariel代墊|中信銀行共用""), REGEXMATCH(F10109, ""Ben帳戶|Elsa帳戶|Ben代墊|Ariel代墊|中信銀行共用"")), ""內部轉帳(忽略)"",
  AND(E10109&lt;&gt;"""", F10109&lt;&gt;"&amp;""""", NOT(REGEXMATCH(C10109, ""薪資""))), ""內部轉帳(忽略)"",
  REGEXMATCH(C10109, ""薪資""), ""薪資變動(不計入)"",
  REGEXMATCH(C10109, ""押金""), ""押金往來"",
  AND(E10109&lt;&gt;"""", F10109=""""), ""真實支出"",
  AND(E10109="""", F10109&lt;&gt;""""), ""真實收入"",
  TRUE, ""其他""
)"),"其他")</f>
        <v>其他</v>
      </c>
      <c r="K10109" s="270" t="str">
        <f t="shared" si="2"/>
        <v/>
      </c>
      <c r="L10109">
        <f t="shared" si="3"/>
        <v>0</v>
      </c>
    </row>
    <row r="10110">
      <c r="A10110" s="107"/>
      <c r="D10110" s="270"/>
      <c r="H10110" s="106" t="str">
        <f t="shared" si="1"/>
        <v/>
      </c>
      <c r="J10110" t="str">
        <f>IFERROR(__xludf.DUMMYFUNCTION("IFS(
  AND(REGEXMATCH(E10110, ""台銀籌備帳戶|玉山帳戶""), REGEXMATCH(C10110, ""薪資"")), ""分潤支出"",
  AND(REGEXMATCH(E10110, ""Ben帳戶|Elsa帳戶|Ben代墊|Ariel代墊|中信銀行共用""), REGEXMATCH(F10110, ""Ben帳戶|Elsa帳戶|Ben代墊|Ariel代墊|中信銀行共用"")), ""內部轉帳(忽略)"",
  AND(E10110&lt;&gt;"""", F10110&lt;&gt;"&amp;""""", NOT(REGEXMATCH(C10110, ""薪資""))), ""內部轉帳(忽略)"",
  REGEXMATCH(C10110, ""薪資""), ""薪資變動(不計入)"",
  REGEXMATCH(C10110, ""押金""), ""押金往來"",
  AND(E10110&lt;&gt;"""", F10110=""""), ""真實支出"",
  AND(E10110="""", F10110&lt;&gt;""""), ""真實收入"",
  TRUE, ""其他""
)"),"其他")</f>
        <v>其他</v>
      </c>
      <c r="K10110" s="270" t="str">
        <f t="shared" si="2"/>
        <v/>
      </c>
      <c r="L10110">
        <f t="shared" si="3"/>
        <v>0</v>
      </c>
    </row>
    <row r="10111">
      <c r="A10111" s="107"/>
      <c r="D10111" s="270"/>
      <c r="H10111" s="106" t="str">
        <f t="shared" si="1"/>
        <v/>
      </c>
      <c r="J10111" t="str">
        <f>IFERROR(__xludf.DUMMYFUNCTION("IFS(
  AND(REGEXMATCH(E10111, ""台銀籌備帳戶|玉山帳戶""), REGEXMATCH(C10111, ""薪資"")), ""分潤支出"",
  AND(REGEXMATCH(E10111, ""Ben帳戶|Elsa帳戶|Ben代墊|Ariel代墊|中信銀行共用""), REGEXMATCH(F10111, ""Ben帳戶|Elsa帳戶|Ben代墊|Ariel代墊|中信銀行共用"")), ""內部轉帳(忽略)"",
  AND(E10111&lt;&gt;"""", F10111&lt;&gt;"&amp;""""", NOT(REGEXMATCH(C10111, ""薪資""))), ""內部轉帳(忽略)"",
  REGEXMATCH(C10111, ""薪資""), ""薪資變動(不計入)"",
  REGEXMATCH(C10111, ""押金""), ""押金往來"",
  AND(E10111&lt;&gt;"""", F10111=""""), ""真實支出"",
  AND(E10111="""", F10111&lt;&gt;""""), ""真實收入"",
  TRUE, ""其他""
)"),"其他")</f>
        <v>其他</v>
      </c>
      <c r="K10111" s="270" t="str">
        <f t="shared" si="2"/>
        <v/>
      </c>
      <c r="L10111">
        <f t="shared" si="3"/>
        <v>0</v>
      </c>
    </row>
    <row r="10112">
      <c r="A10112" s="107"/>
      <c r="D10112" s="270"/>
      <c r="H10112" s="106" t="str">
        <f t="shared" si="1"/>
        <v/>
      </c>
      <c r="J10112" t="str">
        <f>IFERROR(__xludf.DUMMYFUNCTION("IFS(
  AND(REGEXMATCH(E10112, ""台銀籌備帳戶|玉山帳戶""), REGEXMATCH(C10112, ""薪資"")), ""分潤支出"",
  AND(REGEXMATCH(E10112, ""Ben帳戶|Elsa帳戶|Ben代墊|Ariel代墊|中信銀行共用""), REGEXMATCH(F10112, ""Ben帳戶|Elsa帳戶|Ben代墊|Ariel代墊|中信銀行共用"")), ""內部轉帳(忽略)"",
  AND(E10112&lt;&gt;"""", F10112&lt;&gt;"&amp;""""", NOT(REGEXMATCH(C10112, ""薪資""))), ""內部轉帳(忽略)"",
  REGEXMATCH(C10112, ""薪資""), ""薪資變動(不計入)"",
  REGEXMATCH(C10112, ""押金""), ""押金往來"",
  AND(E10112&lt;&gt;"""", F10112=""""), ""真實支出"",
  AND(E10112="""", F10112&lt;&gt;""""), ""真實收入"",
  TRUE, ""其他""
)"),"其他")</f>
        <v>其他</v>
      </c>
      <c r="K10112" s="270" t="str">
        <f t="shared" si="2"/>
        <v/>
      </c>
      <c r="L10112">
        <f t="shared" si="3"/>
        <v>0</v>
      </c>
    </row>
    <row r="10113">
      <c r="A10113" s="107"/>
      <c r="D10113" s="270"/>
      <c r="H10113" s="106" t="str">
        <f t="shared" si="1"/>
        <v/>
      </c>
      <c r="J10113" t="str">
        <f>IFERROR(__xludf.DUMMYFUNCTION("IFS(
  AND(REGEXMATCH(E10113, ""台銀籌備帳戶|玉山帳戶""), REGEXMATCH(C10113, ""薪資"")), ""分潤支出"",
  AND(REGEXMATCH(E10113, ""Ben帳戶|Elsa帳戶|Ben代墊|Ariel代墊|中信銀行共用""), REGEXMATCH(F10113, ""Ben帳戶|Elsa帳戶|Ben代墊|Ariel代墊|中信銀行共用"")), ""內部轉帳(忽略)"",
  AND(E10113&lt;&gt;"""", F10113&lt;&gt;"&amp;""""", NOT(REGEXMATCH(C10113, ""薪資""))), ""內部轉帳(忽略)"",
  REGEXMATCH(C10113, ""薪資""), ""薪資變動(不計入)"",
  REGEXMATCH(C10113, ""押金""), ""押金往來"",
  AND(E10113&lt;&gt;"""", F10113=""""), ""真實支出"",
  AND(E10113="""", F10113&lt;&gt;""""), ""真實收入"",
  TRUE, ""其他""
)"),"其他")</f>
        <v>其他</v>
      </c>
      <c r="K10113" s="270" t="str">
        <f t="shared" si="2"/>
        <v/>
      </c>
      <c r="L10113">
        <f t="shared" si="3"/>
        <v>0</v>
      </c>
    </row>
    <row r="10114">
      <c r="A10114" s="107"/>
      <c r="D10114" s="270"/>
      <c r="H10114" s="106" t="str">
        <f t="shared" si="1"/>
        <v/>
      </c>
      <c r="J10114" t="str">
        <f>IFERROR(__xludf.DUMMYFUNCTION("IFS(
  AND(REGEXMATCH(E10114, ""台銀籌備帳戶|玉山帳戶""), REGEXMATCH(C10114, ""薪資"")), ""分潤支出"",
  AND(REGEXMATCH(E10114, ""Ben帳戶|Elsa帳戶|Ben代墊|Ariel代墊|中信銀行共用""), REGEXMATCH(F10114, ""Ben帳戶|Elsa帳戶|Ben代墊|Ariel代墊|中信銀行共用"")), ""內部轉帳(忽略)"",
  AND(E10114&lt;&gt;"""", F10114&lt;&gt;"&amp;""""", NOT(REGEXMATCH(C10114, ""薪資""))), ""內部轉帳(忽略)"",
  REGEXMATCH(C10114, ""薪資""), ""薪資變動(不計入)"",
  REGEXMATCH(C10114, ""押金""), ""押金往來"",
  AND(E10114&lt;&gt;"""", F10114=""""), ""真實支出"",
  AND(E10114="""", F10114&lt;&gt;""""), ""真實收入"",
  TRUE, ""其他""
)"),"其他")</f>
        <v>其他</v>
      </c>
      <c r="K10114" s="270" t="str">
        <f t="shared" si="2"/>
        <v/>
      </c>
      <c r="L10114">
        <f t="shared" si="3"/>
        <v>0</v>
      </c>
    </row>
    <row r="10115">
      <c r="A10115" s="107"/>
      <c r="D10115" s="270"/>
      <c r="H10115" s="106" t="str">
        <f t="shared" si="1"/>
        <v/>
      </c>
      <c r="J10115" t="str">
        <f>IFERROR(__xludf.DUMMYFUNCTION("IFS(
  AND(REGEXMATCH(E10115, ""台銀籌備帳戶|玉山帳戶""), REGEXMATCH(C10115, ""薪資"")), ""分潤支出"",
  AND(REGEXMATCH(E10115, ""Ben帳戶|Elsa帳戶|Ben代墊|Ariel代墊|中信銀行共用""), REGEXMATCH(F10115, ""Ben帳戶|Elsa帳戶|Ben代墊|Ariel代墊|中信銀行共用"")), ""內部轉帳(忽略)"",
  AND(E10115&lt;&gt;"""", F10115&lt;&gt;"&amp;""""", NOT(REGEXMATCH(C10115, ""薪資""))), ""內部轉帳(忽略)"",
  REGEXMATCH(C10115, ""薪資""), ""薪資變動(不計入)"",
  REGEXMATCH(C10115, ""押金""), ""押金往來"",
  AND(E10115&lt;&gt;"""", F10115=""""), ""真實支出"",
  AND(E10115="""", F10115&lt;&gt;""""), ""真實收入"",
  TRUE, ""其他""
)"),"其他")</f>
        <v>其他</v>
      </c>
      <c r="K10115" s="270" t="str">
        <f t="shared" si="2"/>
        <v/>
      </c>
      <c r="L10115">
        <f t="shared" si="3"/>
        <v>0</v>
      </c>
    </row>
    <row r="10116">
      <c r="A10116" s="107"/>
      <c r="D10116" s="270"/>
      <c r="H10116" s="106" t="str">
        <f t="shared" si="1"/>
        <v/>
      </c>
      <c r="J10116" t="str">
        <f>IFERROR(__xludf.DUMMYFUNCTION("IFS(
  AND(REGEXMATCH(E10116, ""台銀籌備帳戶|玉山帳戶""), REGEXMATCH(C10116, ""薪資"")), ""分潤支出"",
  AND(REGEXMATCH(E10116, ""Ben帳戶|Elsa帳戶|Ben代墊|Ariel代墊|中信銀行共用""), REGEXMATCH(F10116, ""Ben帳戶|Elsa帳戶|Ben代墊|Ariel代墊|中信銀行共用"")), ""內部轉帳(忽略)"",
  AND(E10116&lt;&gt;"""", F10116&lt;&gt;"&amp;""""", NOT(REGEXMATCH(C10116, ""薪資""))), ""內部轉帳(忽略)"",
  REGEXMATCH(C10116, ""薪資""), ""薪資變動(不計入)"",
  REGEXMATCH(C10116, ""押金""), ""押金往來"",
  AND(E10116&lt;&gt;"""", F10116=""""), ""真實支出"",
  AND(E10116="""", F10116&lt;&gt;""""), ""真實收入"",
  TRUE, ""其他""
)"),"其他")</f>
        <v>其他</v>
      </c>
      <c r="K10116" s="270" t="str">
        <f t="shared" si="2"/>
        <v/>
      </c>
      <c r="L10116">
        <f t="shared" si="3"/>
        <v>0</v>
      </c>
    </row>
    <row r="10117">
      <c r="A10117" s="107"/>
      <c r="D10117" s="270"/>
      <c r="H10117" s="106" t="str">
        <f t="shared" si="1"/>
        <v/>
      </c>
      <c r="J10117" t="str">
        <f>IFERROR(__xludf.DUMMYFUNCTION("IFS(
  AND(REGEXMATCH(E10117, ""台銀籌備帳戶|玉山帳戶""), REGEXMATCH(C10117, ""薪資"")), ""分潤支出"",
  AND(REGEXMATCH(E10117, ""Ben帳戶|Elsa帳戶|Ben代墊|Ariel代墊|中信銀行共用""), REGEXMATCH(F10117, ""Ben帳戶|Elsa帳戶|Ben代墊|Ariel代墊|中信銀行共用"")), ""內部轉帳(忽略)"",
  AND(E10117&lt;&gt;"""", F10117&lt;&gt;"&amp;""""", NOT(REGEXMATCH(C10117, ""薪資""))), ""內部轉帳(忽略)"",
  REGEXMATCH(C10117, ""薪資""), ""薪資變動(不計入)"",
  REGEXMATCH(C10117, ""押金""), ""押金往來"",
  AND(E10117&lt;&gt;"""", F10117=""""), ""真實支出"",
  AND(E10117="""", F10117&lt;&gt;""""), ""真實收入"",
  TRUE, ""其他""
)"),"其他")</f>
        <v>其他</v>
      </c>
      <c r="K10117" s="270" t="str">
        <f t="shared" si="2"/>
        <v/>
      </c>
      <c r="L10117">
        <f t="shared" si="3"/>
        <v>0</v>
      </c>
    </row>
    <row r="10118">
      <c r="A10118" s="107"/>
      <c r="D10118" s="270"/>
      <c r="H10118" s="106" t="str">
        <f t="shared" si="1"/>
        <v/>
      </c>
      <c r="J10118" t="str">
        <f>IFERROR(__xludf.DUMMYFUNCTION("IFS(
  AND(REGEXMATCH(E10118, ""台銀籌備帳戶|玉山帳戶""), REGEXMATCH(C10118, ""薪資"")), ""分潤支出"",
  AND(REGEXMATCH(E10118, ""Ben帳戶|Elsa帳戶|Ben代墊|Ariel代墊|中信銀行共用""), REGEXMATCH(F10118, ""Ben帳戶|Elsa帳戶|Ben代墊|Ariel代墊|中信銀行共用"")), ""內部轉帳(忽略)"",
  AND(E10118&lt;&gt;"""", F10118&lt;&gt;"&amp;""""", NOT(REGEXMATCH(C10118, ""薪資""))), ""內部轉帳(忽略)"",
  REGEXMATCH(C10118, ""薪資""), ""薪資變動(不計入)"",
  REGEXMATCH(C10118, ""押金""), ""押金往來"",
  AND(E10118&lt;&gt;"""", F10118=""""), ""真實支出"",
  AND(E10118="""", F10118&lt;&gt;""""), ""真實收入"",
  TRUE, ""其他""
)"),"其他")</f>
        <v>其他</v>
      </c>
      <c r="K10118" s="270" t="str">
        <f t="shared" si="2"/>
        <v/>
      </c>
      <c r="L10118">
        <f t="shared" si="3"/>
        <v>0</v>
      </c>
    </row>
    <row r="10119">
      <c r="A10119" s="107"/>
      <c r="D10119" s="270"/>
      <c r="H10119" s="106" t="str">
        <f t="shared" si="1"/>
        <v/>
      </c>
      <c r="J10119" t="str">
        <f>IFERROR(__xludf.DUMMYFUNCTION("IFS(
  AND(REGEXMATCH(E10119, ""台銀籌備帳戶|玉山帳戶""), REGEXMATCH(C10119, ""薪資"")), ""分潤支出"",
  AND(REGEXMATCH(E10119, ""Ben帳戶|Elsa帳戶|Ben代墊|Ariel代墊|中信銀行共用""), REGEXMATCH(F10119, ""Ben帳戶|Elsa帳戶|Ben代墊|Ariel代墊|中信銀行共用"")), ""內部轉帳(忽略)"",
  AND(E10119&lt;&gt;"""", F10119&lt;&gt;"&amp;""""", NOT(REGEXMATCH(C10119, ""薪資""))), ""內部轉帳(忽略)"",
  REGEXMATCH(C10119, ""薪資""), ""薪資變動(不計入)"",
  REGEXMATCH(C10119, ""押金""), ""押金往來"",
  AND(E10119&lt;&gt;"""", F10119=""""), ""真實支出"",
  AND(E10119="""", F10119&lt;&gt;""""), ""真實收入"",
  TRUE, ""其他""
)"),"其他")</f>
        <v>其他</v>
      </c>
      <c r="K10119" s="270" t="str">
        <f t="shared" si="2"/>
        <v/>
      </c>
      <c r="L10119">
        <f t="shared" si="3"/>
        <v>0</v>
      </c>
    </row>
    <row r="10120">
      <c r="A10120" s="107"/>
      <c r="D10120" s="270"/>
      <c r="H10120" s="106" t="str">
        <f t="shared" si="1"/>
        <v/>
      </c>
      <c r="J10120" t="str">
        <f>IFERROR(__xludf.DUMMYFUNCTION("IFS(
  AND(REGEXMATCH(E10120, ""台銀籌備帳戶|玉山帳戶""), REGEXMATCH(C10120, ""薪資"")), ""分潤支出"",
  AND(REGEXMATCH(E10120, ""Ben帳戶|Elsa帳戶|Ben代墊|Ariel代墊|中信銀行共用""), REGEXMATCH(F10120, ""Ben帳戶|Elsa帳戶|Ben代墊|Ariel代墊|中信銀行共用"")), ""內部轉帳(忽略)"",
  AND(E10120&lt;&gt;"""", F10120&lt;&gt;"&amp;""""", NOT(REGEXMATCH(C10120, ""薪資""))), ""內部轉帳(忽略)"",
  REGEXMATCH(C10120, ""薪資""), ""薪資變動(不計入)"",
  REGEXMATCH(C10120, ""押金""), ""押金往來"",
  AND(E10120&lt;&gt;"""", F10120=""""), ""真實支出"",
  AND(E10120="""", F10120&lt;&gt;""""), ""真實收入"",
  TRUE, ""其他""
)"),"其他")</f>
        <v>其他</v>
      </c>
      <c r="K10120" s="270" t="str">
        <f t="shared" si="2"/>
        <v/>
      </c>
      <c r="L10120">
        <f t="shared" si="3"/>
        <v>0</v>
      </c>
    </row>
    <row r="10121">
      <c r="A10121" s="107"/>
      <c r="D10121" s="270"/>
      <c r="H10121" s="106" t="str">
        <f t="shared" si="1"/>
        <v/>
      </c>
      <c r="J10121" t="str">
        <f>IFERROR(__xludf.DUMMYFUNCTION("IFS(
  AND(REGEXMATCH(E10121, ""台銀籌備帳戶|玉山帳戶""), REGEXMATCH(C10121, ""薪資"")), ""分潤支出"",
  AND(REGEXMATCH(E10121, ""Ben帳戶|Elsa帳戶|Ben代墊|Ariel代墊|中信銀行共用""), REGEXMATCH(F10121, ""Ben帳戶|Elsa帳戶|Ben代墊|Ariel代墊|中信銀行共用"")), ""內部轉帳(忽略)"",
  AND(E10121&lt;&gt;"""", F10121&lt;&gt;"&amp;""""", NOT(REGEXMATCH(C10121, ""薪資""))), ""內部轉帳(忽略)"",
  REGEXMATCH(C10121, ""薪資""), ""薪資變動(不計入)"",
  REGEXMATCH(C10121, ""押金""), ""押金往來"",
  AND(E10121&lt;&gt;"""", F10121=""""), ""真實支出"",
  AND(E10121="""", F10121&lt;&gt;""""), ""真實收入"",
  TRUE, ""其他""
)"),"其他")</f>
        <v>其他</v>
      </c>
      <c r="K10121" s="270" t="str">
        <f t="shared" si="2"/>
        <v/>
      </c>
      <c r="L10121">
        <f t="shared" si="3"/>
        <v>0</v>
      </c>
    </row>
    <row r="10122">
      <c r="A10122" s="107"/>
      <c r="D10122" s="270"/>
      <c r="H10122" s="106" t="str">
        <f t="shared" si="1"/>
        <v/>
      </c>
      <c r="J10122" t="str">
        <f>IFERROR(__xludf.DUMMYFUNCTION("IFS(
  AND(REGEXMATCH(E10122, ""台銀籌備帳戶|玉山帳戶""), REGEXMATCH(C10122, ""薪資"")), ""分潤支出"",
  AND(REGEXMATCH(E10122, ""Ben帳戶|Elsa帳戶|Ben代墊|Ariel代墊|中信銀行共用""), REGEXMATCH(F10122, ""Ben帳戶|Elsa帳戶|Ben代墊|Ariel代墊|中信銀行共用"")), ""內部轉帳(忽略)"",
  AND(E10122&lt;&gt;"""", F10122&lt;&gt;"&amp;""""", NOT(REGEXMATCH(C10122, ""薪資""))), ""內部轉帳(忽略)"",
  REGEXMATCH(C10122, ""薪資""), ""薪資變動(不計入)"",
  REGEXMATCH(C10122, ""押金""), ""押金往來"",
  AND(E10122&lt;&gt;"""", F10122=""""), ""真實支出"",
  AND(E10122="""", F10122&lt;&gt;""""), ""真實收入"",
  TRUE, ""其他""
)"),"其他")</f>
        <v>其他</v>
      </c>
      <c r="K10122" s="270" t="str">
        <f t="shared" si="2"/>
        <v/>
      </c>
      <c r="L10122">
        <f t="shared" si="3"/>
        <v>0</v>
      </c>
    </row>
    <row r="10123">
      <c r="A10123" s="107"/>
      <c r="D10123" s="270"/>
      <c r="H10123" s="106" t="str">
        <f t="shared" si="1"/>
        <v/>
      </c>
      <c r="J10123" t="str">
        <f>IFERROR(__xludf.DUMMYFUNCTION("IFS(
  AND(REGEXMATCH(E10123, ""台銀籌備帳戶|玉山帳戶""), REGEXMATCH(C10123, ""薪資"")), ""分潤支出"",
  AND(REGEXMATCH(E10123, ""Ben帳戶|Elsa帳戶|Ben代墊|Ariel代墊|中信銀行共用""), REGEXMATCH(F10123, ""Ben帳戶|Elsa帳戶|Ben代墊|Ariel代墊|中信銀行共用"")), ""內部轉帳(忽略)"",
  AND(E10123&lt;&gt;"""", F10123&lt;&gt;"&amp;""""", NOT(REGEXMATCH(C10123, ""薪資""))), ""內部轉帳(忽略)"",
  REGEXMATCH(C10123, ""薪資""), ""薪資變動(不計入)"",
  REGEXMATCH(C10123, ""押金""), ""押金往來"",
  AND(E10123&lt;&gt;"""", F10123=""""), ""真實支出"",
  AND(E10123="""", F10123&lt;&gt;""""), ""真實收入"",
  TRUE, ""其他""
)"),"其他")</f>
        <v>其他</v>
      </c>
      <c r="K10123" s="270" t="str">
        <f t="shared" si="2"/>
        <v/>
      </c>
      <c r="L10123">
        <f t="shared" si="3"/>
        <v>0</v>
      </c>
    </row>
    <row r="10124">
      <c r="A10124" s="107"/>
      <c r="D10124" s="270"/>
      <c r="H10124" s="106" t="str">
        <f t="shared" si="1"/>
        <v/>
      </c>
      <c r="J10124" t="str">
        <f>IFERROR(__xludf.DUMMYFUNCTION("IFS(
  AND(REGEXMATCH(E10124, ""台銀籌備帳戶|玉山帳戶""), REGEXMATCH(C10124, ""薪資"")), ""分潤支出"",
  AND(REGEXMATCH(E10124, ""Ben帳戶|Elsa帳戶|Ben代墊|Ariel代墊|中信銀行共用""), REGEXMATCH(F10124, ""Ben帳戶|Elsa帳戶|Ben代墊|Ariel代墊|中信銀行共用"")), ""內部轉帳(忽略)"",
  AND(E10124&lt;&gt;"""", F10124&lt;&gt;"&amp;""""", NOT(REGEXMATCH(C10124, ""薪資""))), ""內部轉帳(忽略)"",
  REGEXMATCH(C10124, ""薪資""), ""薪資變動(不計入)"",
  REGEXMATCH(C10124, ""押金""), ""押金往來"",
  AND(E10124&lt;&gt;"""", F10124=""""), ""真實支出"",
  AND(E10124="""", F10124&lt;&gt;""""), ""真實收入"",
  TRUE, ""其他""
)"),"其他")</f>
        <v>其他</v>
      </c>
      <c r="K10124" s="270" t="str">
        <f t="shared" si="2"/>
        <v/>
      </c>
      <c r="L10124">
        <f t="shared" si="3"/>
        <v>0</v>
      </c>
    </row>
    <row r="10125">
      <c r="A10125" s="107"/>
      <c r="D10125" s="270"/>
      <c r="H10125" s="106" t="str">
        <f t="shared" si="1"/>
        <v/>
      </c>
      <c r="J10125" t="str">
        <f>IFERROR(__xludf.DUMMYFUNCTION("IFS(
  AND(REGEXMATCH(E10125, ""台銀籌備帳戶|玉山帳戶""), REGEXMATCH(C10125, ""薪資"")), ""分潤支出"",
  AND(REGEXMATCH(E10125, ""Ben帳戶|Elsa帳戶|Ben代墊|Ariel代墊|中信銀行共用""), REGEXMATCH(F10125, ""Ben帳戶|Elsa帳戶|Ben代墊|Ariel代墊|中信銀行共用"")), ""內部轉帳(忽略)"",
  AND(E10125&lt;&gt;"""", F10125&lt;&gt;"&amp;""""", NOT(REGEXMATCH(C10125, ""薪資""))), ""內部轉帳(忽略)"",
  REGEXMATCH(C10125, ""薪資""), ""薪資變動(不計入)"",
  REGEXMATCH(C10125, ""押金""), ""押金往來"",
  AND(E10125&lt;&gt;"""", F10125=""""), ""真實支出"",
  AND(E10125="""", F10125&lt;&gt;""""), ""真實收入"",
  TRUE, ""其他""
)"),"其他")</f>
        <v>其他</v>
      </c>
      <c r="K10125" s="270" t="str">
        <f t="shared" si="2"/>
        <v/>
      </c>
      <c r="L10125">
        <f t="shared" si="3"/>
        <v>0</v>
      </c>
    </row>
    <row r="10126">
      <c r="A10126" s="107"/>
      <c r="D10126" s="270"/>
      <c r="H10126" s="106" t="str">
        <f t="shared" si="1"/>
        <v/>
      </c>
      <c r="J10126" t="str">
        <f>IFERROR(__xludf.DUMMYFUNCTION("IFS(
  AND(REGEXMATCH(E10126, ""台銀籌備帳戶|玉山帳戶""), REGEXMATCH(C10126, ""薪資"")), ""分潤支出"",
  AND(REGEXMATCH(E10126, ""Ben帳戶|Elsa帳戶|Ben代墊|Ariel代墊|中信銀行共用""), REGEXMATCH(F10126, ""Ben帳戶|Elsa帳戶|Ben代墊|Ariel代墊|中信銀行共用"")), ""內部轉帳(忽略)"",
  AND(E10126&lt;&gt;"""", F10126&lt;&gt;"&amp;""""", NOT(REGEXMATCH(C10126, ""薪資""))), ""內部轉帳(忽略)"",
  REGEXMATCH(C10126, ""薪資""), ""薪資變動(不計入)"",
  REGEXMATCH(C10126, ""押金""), ""押金往來"",
  AND(E10126&lt;&gt;"""", F10126=""""), ""真實支出"",
  AND(E10126="""", F10126&lt;&gt;""""), ""真實收入"",
  TRUE, ""其他""
)"),"其他")</f>
        <v>其他</v>
      </c>
      <c r="K10126" s="270" t="str">
        <f t="shared" si="2"/>
        <v/>
      </c>
      <c r="L10126">
        <f t="shared" si="3"/>
        <v>0</v>
      </c>
    </row>
    <row r="10127">
      <c r="A10127" s="107"/>
      <c r="D10127" s="270"/>
      <c r="H10127" s="106" t="str">
        <f t="shared" si="1"/>
        <v/>
      </c>
      <c r="J10127" t="str">
        <f>IFERROR(__xludf.DUMMYFUNCTION("IFS(
  AND(REGEXMATCH(E10127, ""台銀籌備帳戶|玉山帳戶""), REGEXMATCH(C10127, ""薪資"")), ""分潤支出"",
  AND(REGEXMATCH(E10127, ""Ben帳戶|Elsa帳戶|Ben代墊|Ariel代墊|中信銀行共用""), REGEXMATCH(F10127, ""Ben帳戶|Elsa帳戶|Ben代墊|Ariel代墊|中信銀行共用"")), ""內部轉帳(忽略)"",
  AND(E10127&lt;&gt;"""", F10127&lt;&gt;"&amp;""""", NOT(REGEXMATCH(C10127, ""薪資""))), ""內部轉帳(忽略)"",
  REGEXMATCH(C10127, ""薪資""), ""薪資變動(不計入)"",
  REGEXMATCH(C10127, ""押金""), ""押金往來"",
  AND(E10127&lt;&gt;"""", F10127=""""), ""真實支出"",
  AND(E10127="""", F10127&lt;&gt;""""), ""真實收入"",
  TRUE, ""其他""
)"),"其他")</f>
        <v>其他</v>
      </c>
      <c r="K10127" s="270" t="str">
        <f t="shared" si="2"/>
        <v/>
      </c>
      <c r="L10127">
        <f t="shared" si="3"/>
        <v>0</v>
      </c>
    </row>
    <row r="10128">
      <c r="A10128" s="107"/>
      <c r="D10128" s="270"/>
      <c r="H10128" s="106" t="str">
        <f t="shared" si="1"/>
        <v/>
      </c>
      <c r="J10128" t="str">
        <f>IFERROR(__xludf.DUMMYFUNCTION("IFS(
  AND(REGEXMATCH(E10128, ""台銀籌備帳戶|玉山帳戶""), REGEXMATCH(C10128, ""薪資"")), ""分潤支出"",
  AND(REGEXMATCH(E10128, ""Ben帳戶|Elsa帳戶|Ben代墊|Ariel代墊|中信銀行共用""), REGEXMATCH(F10128, ""Ben帳戶|Elsa帳戶|Ben代墊|Ariel代墊|中信銀行共用"")), ""內部轉帳(忽略)"",
  AND(E10128&lt;&gt;"""", F10128&lt;&gt;"&amp;""""", NOT(REGEXMATCH(C10128, ""薪資""))), ""內部轉帳(忽略)"",
  REGEXMATCH(C10128, ""薪資""), ""薪資變動(不計入)"",
  REGEXMATCH(C10128, ""押金""), ""押金往來"",
  AND(E10128&lt;&gt;"""", F10128=""""), ""真實支出"",
  AND(E10128="""", F10128&lt;&gt;""""), ""真實收入"",
  TRUE, ""其他""
)"),"其他")</f>
        <v>其他</v>
      </c>
      <c r="K10128" s="270" t="str">
        <f t="shared" si="2"/>
        <v/>
      </c>
      <c r="L10128">
        <f t="shared" si="3"/>
        <v>0</v>
      </c>
    </row>
    <row r="10129">
      <c r="A10129" s="107"/>
      <c r="D10129" s="270"/>
      <c r="H10129" s="106" t="str">
        <f t="shared" si="1"/>
        <v/>
      </c>
      <c r="J10129" t="str">
        <f>IFERROR(__xludf.DUMMYFUNCTION("IFS(
  AND(REGEXMATCH(E10129, ""台銀籌備帳戶|玉山帳戶""), REGEXMATCH(C10129, ""薪資"")), ""分潤支出"",
  AND(REGEXMATCH(E10129, ""Ben帳戶|Elsa帳戶|Ben代墊|Ariel代墊|中信銀行共用""), REGEXMATCH(F10129, ""Ben帳戶|Elsa帳戶|Ben代墊|Ariel代墊|中信銀行共用"")), ""內部轉帳(忽略)"",
  AND(E10129&lt;&gt;"""", F10129&lt;&gt;"&amp;""""", NOT(REGEXMATCH(C10129, ""薪資""))), ""內部轉帳(忽略)"",
  REGEXMATCH(C10129, ""薪資""), ""薪資變動(不計入)"",
  REGEXMATCH(C10129, ""押金""), ""押金往來"",
  AND(E10129&lt;&gt;"""", F10129=""""), ""真實支出"",
  AND(E10129="""", F10129&lt;&gt;""""), ""真實收入"",
  TRUE, ""其他""
)"),"其他")</f>
        <v>其他</v>
      </c>
      <c r="K10129" s="270" t="str">
        <f t="shared" si="2"/>
        <v/>
      </c>
      <c r="L10129">
        <f t="shared" si="3"/>
        <v>0</v>
      </c>
    </row>
    <row r="10130">
      <c r="A10130" s="107"/>
      <c r="D10130" s="270"/>
      <c r="H10130" s="106" t="str">
        <f t="shared" si="1"/>
        <v/>
      </c>
      <c r="J10130" t="str">
        <f>IFERROR(__xludf.DUMMYFUNCTION("IFS(
  AND(REGEXMATCH(E10130, ""台銀籌備帳戶|玉山帳戶""), REGEXMATCH(C10130, ""薪資"")), ""分潤支出"",
  AND(REGEXMATCH(E10130, ""Ben帳戶|Elsa帳戶|Ben代墊|Ariel代墊|中信銀行共用""), REGEXMATCH(F10130, ""Ben帳戶|Elsa帳戶|Ben代墊|Ariel代墊|中信銀行共用"")), ""內部轉帳(忽略)"",
  AND(E10130&lt;&gt;"""", F10130&lt;&gt;"&amp;""""", NOT(REGEXMATCH(C10130, ""薪資""))), ""內部轉帳(忽略)"",
  REGEXMATCH(C10130, ""薪資""), ""薪資變動(不計入)"",
  REGEXMATCH(C10130, ""押金""), ""押金往來"",
  AND(E10130&lt;&gt;"""", F10130=""""), ""真實支出"",
  AND(E10130="""", F10130&lt;&gt;""""), ""真實收入"",
  TRUE, ""其他""
)"),"其他")</f>
        <v>其他</v>
      </c>
      <c r="K10130" s="270" t="str">
        <f t="shared" si="2"/>
        <v/>
      </c>
      <c r="L10130">
        <f t="shared" si="3"/>
        <v>0</v>
      </c>
    </row>
    <row r="10131">
      <c r="A10131" s="107"/>
      <c r="D10131" s="270"/>
      <c r="H10131" s="106" t="str">
        <f t="shared" si="1"/>
        <v/>
      </c>
      <c r="J10131" t="str">
        <f>IFERROR(__xludf.DUMMYFUNCTION("IFS(
  AND(REGEXMATCH(E10131, ""台銀籌備帳戶|玉山帳戶""), REGEXMATCH(C10131, ""薪資"")), ""分潤支出"",
  AND(REGEXMATCH(E10131, ""Ben帳戶|Elsa帳戶|Ben代墊|Ariel代墊|中信銀行共用""), REGEXMATCH(F10131, ""Ben帳戶|Elsa帳戶|Ben代墊|Ariel代墊|中信銀行共用"")), ""內部轉帳(忽略)"",
  AND(E10131&lt;&gt;"""", F10131&lt;&gt;"&amp;""""", NOT(REGEXMATCH(C10131, ""薪資""))), ""內部轉帳(忽略)"",
  REGEXMATCH(C10131, ""薪資""), ""薪資變動(不計入)"",
  REGEXMATCH(C10131, ""押金""), ""押金往來"",
  AND(E10131&lt;&gt;"""", F10131=""""), ""真實支出"",
  AND(E10131="""", F10131&lt;&gt;""""), ""真實收入"",
  TRUE, ""其他""
)"),"其他")</f>
        <v>其他</v>
      </c>
      <c r="K10131" s="270" t="str">
        <f t="shared" si="2"/>
        <v/>
      </c>
      <c r="L10131">
        <f t="shared" si="3"/>
        <v>0</v>
      </c>
    </row>
    <row r="10132">
      <c r="A10132" s="107"/>
      <c r="D10132" s="270"/>
      <c r="H10132" s="106" t="str">
        <f t="shared" si="1"/>
        <v/>
      </c>
      <c r="J10132" t="str">
        <f>IFERROR(__xludf.DUMMYFUNCTION("IFS(
  AND(REGEXMATCH(E10132, ""台銀籌備帳戶|玉山帳戶""), REGEXMATCH(C10132, ""薪資"")), ""分潤支出"",
  AND(REGEXMATCH(E10132, ""Ben帳戶|Elsa帳戶|Ben代墊|Ariel代墊|中信銀行共用""), REGEXMATCH(F10132, ""Ben帳戶|Elsa帳戶|Ben代墊|Ariel代墊|中信銀行共用"")), ""內部轉帳(忽略)"",
  AND(E10132&lt;&gt;"""", F10132&lt;&gt;"&amp;""""", NOT(REGEXMATCH(C10132, ""薪資""))), ""內部轉帳(忽略)"",
  REGEXMATCH(C10132, ""薪資""), ""薪資變動(不計入)"",
  REGEXMATCH(C10132, ""押金""), ""押金往來"",
  AND(E10132&lt;&gt;"""", F10132=""""), ""真實支出"",
  AND(E10132="""", F10132&lt;&gt;""""), ""真實收入"",
  TRUE, ""其他""
)"),"其他")</f>
        <v>其他</v>
      </c>
      <c r="K10132" s="270" t="str">
        <f t="shared" si="2"/>
        <v/>
      </c>
      <c r="L10132">
        <f t="shared" si="3"/>
        <v>0</v>
      </c>
    </row>
    <row r="10133">
      <c r="A10133" s="107"/>
      <c r="D10133" s="270"/>
      <c r="H10133" s="106" t="str">
        <f t="shared" si="1"/>
        <v/>
      </c>
      <c r="J10133" t="str">
        <f>IFERROR(__xludf.DUMMYFUNCTION("IFS(
  AND(REGEXMATCH(E10133, ""台銀籌備帳戶|玉山帳戶""), REGEXMATCH(C10133, ""薪資"")), ""分潤支出"",
  AND(REGEXMATCH(E10133, ""Ben帳戶|Elsa帳戶|Ben代墊|Ariel代墊|中信銀行共用""), REGEXMATCH(F10133, ""Ben帳戶|Elsa帳戶|Ben代墊|Ariel代墊|中信銀行共用"")), ""內部轉帳(忽略)"",
  AND(E10133&lt;&gt;"""", F10133&lt;&gt;"&amp;""""", NOT(REGEXMATCH(C10133, ""薪資""))), ""內部轉帳(忽略)"",
  REGEXMATCH(C10133, ""薪資""), ""薪資變動(不計入)"",
  REGEXMATCH(C10133, ""押金""), ""押金往來"",
  AND(E10133&lt;&gt;"""", F10133=""""), ""真實支出"",
  AND(E10133="""", F10133&lt;&gt;""""), ""真實收入"",
  TRUE, ""其他""
)"),"其他")</f>
        <v>其他</v>
      </c>
      <c r="K10133" s="270" t="str">
        <f t="shared" si="2"/>
        <v/>
      </c>
      <c r="L10133">
        <f t="shared" si="3"/>
        <v>0</v>
      </c>
    </row>
    <row r="10134">
      <c r="A10134" s="107"/>
      <c r="D10134" s="270"/>
      <c r="H10134" s="106" t="str">
        <f t="shared" si="1"/>
        <v/>
      </c>
      <c r="J10134" t="str">
        <f>IFERROR(__xludf.DUMMYFUNCTION("IFS(
  AND(REGEXMATCH(E10134, ""台銀籌備帳戶|玉山帳戶""), REGEXMATCH(C10134, ""薪資"")), ""分潤支出"",
  AND(REGEXMATCH(E10134, ""Ben帳戶|Elsa帳戶|Ben代墊|Ariel代墊|中信銀行共用""), REGEXMATCH(F10134, ""Ben帳戶|Elsa帳戶|Ben代墊|Ariel代墊|中信銀行共用"")), ""內部轉帳(忽略)"",
  AND(E10134&lt;&gt;"""", F10134&lt;&gt;"&amp;""""", NOT(REGEXMATCH(C10134, ""薪資""))), ""內部轉帳(忽略)"",
  REGEXMATCH(C10134, ""薪資""), ""薪資變動(不計入)"",
  REGEXMATCH(C10134, ""押金""), ""押金往來"",
  AND(E10134&lt;&gt;"""", F10134=""""), ""真實支出"",
  AND(E10134="""", F10134&lt;&gt;""""), ""真實收入"",
  TRUE, ""其他""
)"),"其他")</f>
        <v>其他</v>
      </c>
      <c r="K10134" s="270" t="str">
        <f t="shared" si="2"/>
        <v/>
      </c>
      <c r="L10134">
        <f t="shared" si="3"/>
        <v>0</v>
      </c>
    </row>
    <row r="10135">
      <c r="A10135" s="107"/>
      <c r="D10135" s="270"/>
      <c r="H10135" s="106" t="str">
        <f t="shared" si="1"/>
        <v/>
      </c>
      <c r="J10135" t="str">
        <f>IFERROR(__xludf.DUMMYFUNCTION("IFS(
  AND(REGEXMATCH(E10135, ""台銀籌備帳戶|玉山帳戶""), REGEXMATCH(C10135, ""薪資"")), ""分潤支出"",
  AND(REGEXMATCH(E10135, ""Ben帳戶|Elsa帳戶|Ben代墊|Ariel代墊|中信銀行共用""), REGEXMATCH(F10135, ""Ben帳戶|Elsa帳戶|Ben代墊|Ariel代墊|中信銀行共用"")), ""內部轉帳(忽略)"",
  AND(E10135&lt;&gt;"""", F10135&lt;&gt;"&amp;""""", NOT(REGEXMATCH(C10135, ""薪資""))), ""內部轉帳(忽略)"",
  REGEXMATCH(C10135, ""薪資""), ""薪資變動(不計入)"",
  REGEXMATCH(C10135, ""押金""), ""押金往來"",
  AND(E10135&lt;&gt;"""", F10135=""""), ""真實支出"",
  AND(E10135="""", F10135&lt;&gt;""""), ""真實收入"",
  TRUE, ""其他""
)"),"其他")</f>
        <v>其他</v>
      </c>
      <c r="K10135" s="270" t="str">
        <f t="shared" si="2"/>
        <v/>
      </c>
      <c r="L10135">
        <f t="shared" si="3"/>
        <v>0</v>
      </c>
    </row>
    <row r="10136">
      <c r="A10136" s="107"/>
      <c r="D10136" s="270"/>
      <c r="H10136" s="106" t="str">
        <f t="shared" si="1"/>
        <v/>
      </c>
      <c r="J10136" t="str">
        <f>IFERROR(__xludf.DUMMYFUNCTION("IFS(
  AND(REGEXMATCH(E10136, ""台銀籌備帳戶|玉山帳戶""), REGEXMATCH(C10136, ""薪資"")), ""分潤支出"",
  AND(REGEXMATCH(E10136, ""Ben帳戶|Elsa帳戶|Ben代墊|Ariel代墊|中信銀行共用""), REGEXMATCH(F10136, ""Ben帳戶|Elsa帳戶|Ben代墊|Ariel代墊|中信銀行共用"")), ""內部轉帳(忽略)"",
  AND(E10136&lt;&gt;"""", F10136&lt;&gt;"&amp;""""", NOT(REGEXMATCH(C10136, ""薪資""))), ""內部轉帳(忽略)"",
  REGEXMATCH(C10136, ""薪資""), ""薪資變動(不計入)"",
  REGEXMATCH(C10136, ""押金""), ""押金往來"",
  AND(E10136&lt;&gt;"""", F10136=""""), ""真實支出"",
  AND(E10136="""", F10136&lt;&gt;""""), ""真實收入"",
  TRUE, ""其他""
)"),"其他")</f>
        <v>其他</v>
      </c>
      <c r="K10136" s="270" t="str">
        <f t="shared" si="2"/>
        <v/>
      </c>
      <c r="L10136">
        <f t="shared" si="3"/>
        <v>0</v>
      </c>
    </row>
    <row r="10137">
      <c r="A10137" s="107"/>
      <c r="D10137" s="270"/>
      <c r="H10137" s="106" t="str">
        <f t="shared" si="1"/>
        <v/>
      </c>
      <c r="J10137" t="str">
        <f>IFERROR(__xludf.DUMMYFUNCTION("IFS(
  AND(REGEXMATCH(E10137, ""台銀籌備帳戶|玉山帳戶""), REGEXMATCH(C10137, ""薪資"")), ""分潤支出"",
  AND(REGEXMATCH(E10137, ""Ben帳戶|Elsa帳戶|Ben代墊|Ariel代墊|中信銀行共用""), REGEXMATCH(F10137, ""Ben帳戶|Elsa帳戶|Ben代墊|Ariel代墊|中信銀行共用"")), ""內部轉帳(忽略)"",
  AND(E10137&lt;&gt;"""", F10137&lt;&gt;"&amp;""""", NOT(REGEXMATCH(C10137, ""薪資""))), ""內部轉帳(忽略)"",
  REGEXMATCH(C10137, ""薪資""), ""薪資變動(不計入)"",
  REGEXMATCH(C10137, ""押金""), ""押金往來"",
  AND(E10137&lt;&gt;"""", F10137=""""), ""真實支出"",
  AND(E10137="""", F10137&lt;&gt;""""), ""真實收入"",
  TRUE, ""其他""
)"),"其他")</f>
        <v>其他</v>
      </c>
      <c r="K10137" s="270" t="str">
        <f t="shared" si="2"/>
        <v/>
      </c>
      <c r="L10137">
        <f t="shared" si="3"/>
        <v>0</v>
      </c>
    </row>
    <row r="10138">
      <c r="A10138" s="107"/>
      <c r="D10138" s="270"/>
      <c r="H10138" s="106" t="str">
        <f t="shared" si="1"/>
        <v/>
      </c>
      <c r="J10138" t="str">
        <f>IFERROR(__xludf.DUMMYFUNCTION("IFS(
  AND(REGEXMATCH(E10138, ""台銀籌備帳戶|玉山帳戶""), REGEXMATCH(C10138, ""薪資"")), ""分潤支出"",
  AND(REGEXMATCH(E10138, ""Ben帳戶|Elsa帳戶|Ben代墊|Ariel代墊|中信銀行共用""), REGEXMATCH(F10138, ""Ben帳戶|Elsa帳戶|Ben代墊|Ariel代墊|中信銀行共用"")), ""內部轉帳(忽略)"",
  AND(E10138&lt;&gt;"""", F10138&lt;&gt;"&amp;""""", NOT(REGEXMATCH(C10138, ""薪資""))), ""內部轉帳(忽略)"",
  REGEXMATCH(C10138, ""薪資""), ""薪資變動(不計入)"",
  REGEXMATCH(C10138, ""押金""), ""押金往來"",
  AND(E10138&lt;&gt;"""", F10138=""""), ""真實支出"",
  AND(E10138="""", F10138&lt;&gt;""""), ""真實收入"",
  TRUE, ""其他""
)"),"其他")</f>
        <v>其他</v>
      </c>
      <c r="K10138" s="270" t="str">
        <f t="shared" si="2"/>
        <v/>
      </c>
      <c r="L10138">
        <f t="shared" si="3"/>
        <v>0</v>
      </c>
    </row>
    <row r="10139">
      <c r="A10139" s="107"/>
      <c r="D10139" s="270"/>
      <c r="H10139" s="106" t="str">
        <f t="shared" si="1"/>
        <v/>
      </c>
      <c r="J10139" t="str">
        <f>IFERROR(__xludf.DUMMYFUNCTION("IFS(
  AND(REGEXMATCH(E10139, ""台銀籌備帳戶|玉山帳戶""), REGEXMATCH(C10139, ""薪資"")), ""分潤支出"",
  AND(REGEXMATCH(E10139, ""Ben帳戶|Elsa帳戶|Ben代墊|Ariel代墊|中信銀行共用""), REGEXMATCH(F10139, ""Ben帳戶|Elsa帳戶|Ben代墊|Ariel代墊|中信銀行共用"")), ""內部轉帳(忽略)"",
  AND(E10139&lt;&gt;"""", F10139&lt;&gt;"&amp;""""", NOT(REGEXMATCH(C10139, ""薪資""))), ""內部轉帳(忽略)"",
  REGEXMATCH(C10139, ""薪資""), ""薪資變動(不計入)"",
  REGEXMATCH(C10139, ""押金""), ""押金往來"",
  AND(E10139&lt;&gt;"""", F10139=""""), ""真實支出"",
  AND(E10139="""", F10139&lt;&gt;""""), ""真實收入"",
  TRUE, ""其他""
)"),"其他")</f>
        <v>其他</v>
      </c>
      <c r="K10139" s="270" t="str">
        <f t="shared" si="2"/>
        <v/>
      </c>
      <c r="L10139">
        <f t="shared" si="3"/>
        <v>0</v>
      </c>
    </row>
    <row r="10140">
      <c r="A10140" s="107"/>
      <c r="D10140" s="270"/>
      <c r="H10140" s="106" t="str">
        <f t="shared" si="1"/>
        <v/>
      </c>
      <c r="J10140" t="str">
        <f>IFERROR(__xludf.DUMMYFUNCTION("IFS(
  AND(REGEXMATCH(E10140, ""台銀籌備帳戶|玉山帳戶""), REGEXMATCH(C10140, ""薪資"")), ""分潤支出"",
  AND(REGEXMATCH(E10140, ""Ben帳戶|Elsa帳戶|Ben代墊|Ariel代墊|中信銀行共用""), REGEXMATCH(F10140, ""Ben帳戶|Elsa帳戶|Ben代墊|Ariel代墊|中信銀行共用"")), ""內部轉帳(忽略)"",
  AND(E10140&lt;&gt;"""", F10140&lt;&gt;"&amp;""""", NOT(REGEXMATCH(C10140, ""薪資""))), ""內部轉帳(忽略)"",
  REGEXMATCH(C10140, ""薪資""), ""薪資變動(不計入)"",
  REGEXMATCH(C10140, ""押金""), ""押金往來"",
  AND(E10140&lt;&gt;"""", F10140=""""), ""真實支出"",
  AND(E10140="""", F10140&lt;&gt;""""), ""真實收入"",
  TRUE, ""其他""
)"),"其他")</f>
        <v>其他</v>
      </c>
      <c r="K10140" s="270" t="str">
        <f t="shared" si="2"/>
        <v/>
      </c>
      <c r="L10140">
        <f t="shared" si="3"/>
        <v>0</v>
      </c>
    </row>
    <row r="10141">
      <c r="A10141" s="107"/>
      <c r="D10141" s="270"/>
      <c r="H10141" s="106" t="str">
        <f t="shared" si="1"/>
        <v/>
      </c>
      <c r="J10141" t="str">
        <f>IFERROR(__xludf.DUMMYFUNCTION("IFS(
  AND(REGEXMATCH(E10141, ""台銀籌備帳戶|玉山帳戶""), REGEXMATCH(C10141, ""薪資"")), ""分潤支出"",
  AND(REGEXMATCH(E10141, ""Ben帳戶|Elsa帳戶|Ben代墊|Ariel代墊|中信銀行共用""), REGEXMATCH(F10141, ""Ben帳戶|Elsa帳戶|Ben代墊|Ariel代墊|中信銀行共用"")), ""內部轉帳(忽略)"",
  AND(E10141&lt;&gt;"""", F10141&lt;&gt;"&amp;""""", NOT(REGEXMATCH(C10141, ""薪資""))), ""內部轉帳(忽略)"",
  REGEXMATCH(C10141, ""薪資""), ""薪資變動(不計入)"",
  REGEXMATCH(C10141, ""押金""), ""押金往來"",
  AND(E10141&lt;&gt;"""", F10141=""""), ""真實支出"",
  AND(E10141="""", F10141&lt;&gt;""""), ""真實收入"",
  TRUE, ""其他""
)"),"其他")</f>
        <v>其他</v>
      </c>
      <c r="K10141" s="270" t="str">
        <f t="shared" si="2"/>
        <v/>
      </c>
      <c r="L10141">
        <f t="shared" si="3"/>
        <v>0</v>
      </c>
    </row>
    <row r="10142">
      <c r="A10142" s="107"/>
      <c r="D10142" s="270"/>
      <c r="H10142" s="106" t="str">
        <f t="shared" si="1"/>
        <v/>
      </c>
      <c r="J10142" t="str">
        <f>IFERROR(__xludf.DUMMYFUNCTION("IFS(
  AND(REGEXMATCH(E10142, ""台銀籌備帳戶|玉山帳戶""), REGEXMATCH(C10142, ""薪資"")), ""分潤支出"",
  AND(REGEXMATCH(E10142, ""Ben帳戶|Elsa帳戶|Ben代墊|Ariel代墊|中信銀行共用""), REGEXMATCH(F10142, ""Ben帳戶|Elsa帳戶|Ben代墊|Ariel代墊|中信銀行共用"")), ""內部轉帳(忽略)"",
  AND(E10142&lt;&gt;"""", F10142&lt;&gt;"&amp;""""", NOT(REGEXMATCH(C10142, ""薪資""))), ""內部轉帳(忽略)"",
  REGEXMATCH(C10142, ""薪資""), ""薪資變動(不計入)"",
  REGEXMATCH(C10142, ""押金""), ""押金往來"",
  AND(E10142&lt;&gt;"""", F10142=""""), ""真實支出"",
  AND(E10142="""", F10142&lt;&gt;""""), ""真實收入"",
  TRUE, ""其他""
)"),"其他")</f>
        <v>其他</v>
      </c>
      <c r="K10142" s="270" t="str">
        <f t="shared" si="2"/>
        <v/>
      </c>
      <c r="L10142">
        <f t="shared" si="3"/>
        <v>0</v>
      </c>
    </row>
    <row r="10143">
      <c r="A10143" s="107"/>
      <c r="D10143" s="270"/>
      <c r="H10143" s="106" t="str">
        <f t="shared" si="1"/>
        <v/>
      </c>
      <c r="J10143" t="str">
        <f>IFERROR(__xludf.DUMMYFUNCTION("IFS(
  AND(REGEXMATCH(E10143, ""台銀籌備帳戶|玉山帳戶""), REGEXMATCH(C10143, ""薪資"")), ""分潤支出"",
  AND(REGEXMATCH(E10143, ""Ben帳戶|Elsa帳戶|Ben代墊|Ariel代墊|中信銀行共用""), REGEXMATCH(F10143, ""Ben帳戶|Elsa帳戶|Ben代墊|Ariel代墊|中信銀行共用"")), ""內部轉帳(忽略)"",
  AND(E10143&lt;&gt;"""", F10143&lt;&gt;"&amp;""""", NOT(REGEXMATCH(C10143, ""薪資""))), ""內部轉帳(忽略)"",
  REGEXMATCH(C10143, ""薪資""), ""薪資變動(不計入)"",
  REGEXMATCH(C10143, ""押金""), ""押金往來"",
  AND(E10143&lt;&gt;"""", F10143=""""), ""真實支出"",
  AND(E10143="""", F10143&lt;&gt;""""), ""真實收入"",
  TRUE, ""其他""
)"),"其他")</f>
        <v>其他</v>
      </c>
      <c r="K10143" s="270" t="str">
        <f t="shared" si="2"/>
        <v/>
      </c>
      <c r="L10143">
        <f t="shared" si="3"/>
        <v>0</v>
      </c>
    </row>
    <row r="10144">
      <c r="A10144" s="107"/>
      <c r="D10144" s="270"/>
      <c r="H10144" s="106" t="str">
        <f t="shared" si="1"/>
        <v/>
      </c>
      <c r="J10144" t="str">
        <f>IFERROR(__xludf.DUMMYFUNCTION("IFS(
  AND(REGEXMATCH(E10144, ""台銀籌備帳戶|玉山帳戶""), REGEXMATCH(C10144, ""薪資"")), ""分潤支出"",
  AND(REGEXMATCH(E10144, ""Ben帳戶|Elsa帳戶|Ben代墊|Ariel代墊|中信銀行共用""), REGEXMATCH(F10144, ""Ben帳戶|Elsa帳戶|Ben代墊|Ariel代墊|中信銀行共用"")), ""內部轉帳(忽略)"",
  AND(E10144&lt;&gt;"""", F10144&lt;&gt;"&amp;""""", NOT(REGEXMATCH(C10144, ""薪資""))), ""內部轉帳(忽略)"",
  REGEXMATCH(C10144, ""薪資""), ""薪資變動(不計入)"",
  REGEXMATCH(C10144, ""押金""), ""押金往來"",
  AND(E10144&lt;&gt;"""", F10144=""""), ""真實支出"",
  AND(E10144="""", F10144&lt;&gt;""""), ""真實收入"",
  TRUE, ""其他""
)"),"其他")</f>
        <v>其他</v>
      </c>
      <c r="K10144" s="270" t="str">
        <f t="shared" si="2"/>
        <v/>
      </c>
      <c r="L10144">
        <f t="shared" si="3"/>
        <v>0</v>
      </c>
    </row>
    <row r="10145">
      <c r="A10145" s="107"/>
      <c r="D10145" s="270"/>
      <c r="H10145" s="106" t="str">
        <f t="shared" si="1"/>
        <v/>
      </c>
      <c r="J10145" t="str">
        <f>IFERROR(__xludf.DUMMYFUNCTION("IFS(
  AND(REGEXMATCH(E10145, ""台銀籌備帳戶|玉山帳戶""), REGEXMATCH(C10145, ""薪資"")), ""分潤支出"",
  AND(REGEXMATCH(E10145, ""Ben帳戶|Elsa帳戶|Ben代墊|Ariel代墊|中信銀行共用""), REGEXMATCH(F10145, ""Ben帳戶|Elsa帳戶|Ben代墊|Ariel代墊|中信銀行共用"")), ""內部轉帳(忽略)"",
  AND(E10145&lt;&gt;"""", F10145&lt;&gt;"&amp;""""", NOT(REGEXMATCH(C10145, ""薪資""))), ""內部轉帳(忽略)"",
  REGEXMATCH(C10145, ""薪資""), ""薪資變動(不計入)"",
  REGEXMATCH(C10145, ""押金""), ""押金往來"",
  AND(E10145&lt;&gt;"""", F10145=""""), ""真實支出"",
  AND(E10145="""", F10145&lt;&gt;""""), ""真實收入"",
  TRUE, ""其他""
)"),"其他")</f>
        <v>其他</v>
      </c>
      <c r="K10145" s="270" t="str">
        <f t="shared" si="2"/>
        <v/>
      </c>
      <c r="L10145">
        <f t="shared" si="3"/>
        <v>0</v>
      </c>
    </row>
    <row r="10146">
      <c r="A10146" s="107"/>
      <c r="D10146" s="270"/>
      <c r="H10146" s="106" t="str">
        <f t="shared" si="1"/>
        <v/>
      </c>
      <c r="J10146" t="str">
        <f>IFERROR(__xludf.DUMMYFUNCTION("IFS(
  AND(REGEXMATCH(E10146, ""台銀籌備帳戶|玉山帳戶""), REGEXMATCH(C10146, ""薪資"")), ""分潤支出"",
  AND(REGEXMATCH(E10146, ""Ben帳戶|Elsa帳戶|Ben代墊|Ariel代墊|中信銀行共用""), REGEXMATCH(F10146, ""Ben帳戶|Elsa帳戶|Ben代墊|Ariel代墊|中信銀行共用"")), ""內部轉帳(忽略)"",
  AND(E10146&lt;&gt;"""", F10146&lt;&gt;"&amp;""""", NOT(REGEXMATCH(C10146, ""薪資""))), ""內部轉帳(忽略)"",
  REGEXMATCH(C10146, ""薪資""), ""薪資變動(不計入)"",
  REGEXMATCH(C10146, ""押金""), ""押金往來"",
  AND(E10146&lt;&gt;"""", F10146=""""), ""真實支出"",
  AND(E10146="""", F10146&lt;&gt;""""), ""真實收入"",
  TRUE, ""其他""
)"),"其他")</f>
        <v>其他</v>
      </c>
      <c r="K10146" s="270" t="str">
        <f t="shared" si="2"/>
        <v/>
      </c>
      <c r="L10146">
        <f t="shared" si="3"/>
        <v>0</v>
      </c>
    </row>
    <row r="10147">
      <c r="A10147" s="107"/>
      <c r="D10147" s="270"/>
      <c r="H10147" s="106" t="str">
        <f t="shared" si="1"/>
        <v/>
      </c>
      <c r="J10147" t="str">
        <f>IFERROR(__xludf.DUMMYFUNCTION("IFS(
  AND(REGEXMATCH(E10147, ""台銀籌備帳戶|玉山帳戶""), REGEXMATCH(C10147, ""薪資"")), ""分潤支出"",
  AND(REGEXMATCH(E10147, ""Ben帳戶|Elsa帳戶|Ben代墊|Ariel代墊|中信銀行共用""), REGEXMATCH(F10147, ""Ben帳戶|Elsa帳戶|Ben代墊|Ariel代墊|中信銀行共用"")), ""內部轉帳(忽略)"",
  AND(E10147&lt;&gt;"""", F10147&lt;&gt;"&amp;""""", NOT(REGEXMATCH(C10147, ""薪資""))), ""內部轉帳(忽略)"",
  REGEXMATCH(C10147, ""薪資""), ""薪資變動(不計入)"",
  REGEXMATCH(C10147, ""押金""), ""押金往來"",
  AND(E10147&lt;&gt;"""", F10147=""""), ""真實支出"",
  AND(E10147="""", F10147&lt;&gt;""""), ""真實收入"",
  TRUE, ""其他""
)"),"其他")</f>
        <v>其他</v>
      </c>
      <c r="K10147" s="270" t="str">
        <f t="shared" si="2"/>
        <v/>
      </c>
      <c r="L10147">
        <f t="shared" si="3"/>
        <v>0</v>
      </c>
    </row>
    <row r="10148">
      <c r="A10148" s="107"/>
      <c r="D10148" s="270"/>
      <c r="H10148" s="106" t="str">
        <f t="shared" si="1"/>
        <v/>
      </c>
      <c r="J10148" t="str">
        <f>IFERROR(__xludf.DUMMYFUNCTION("IFS(
  AND(REGEXMATCH(E10148, ""台銀籌備帳戶|玉山帳戶""), REGEXMATCH(C10148, ""薪資"")), ""分潤支出"",
  AND(REGEXMATCH(E10148, ""Ben帳戶|Elsa帳戶|Ben代墊|Ariel代墊|中信銀行共用""), REGEXMATCH(F10148, ""Ben帳戶|Elsa帳戶|Ben代墊|Ariel代墊|中信銀行共用"")), ""內部轉帳(忽略)"",
  AND(E10148&lt;&gt;"""", F10148&lt;&gt;"&amp;""""", NOT(REGEXMATCH(C10148, ""薪資""))), ""內部轉帳(忽略)"",
  REGEXMATCH(C10148, ""薪資""), ""薪資變動(不計入)"",
  REGEXMATCH(C10148, ""押金""), ""押金往來"",
  AND(E10148&lt;&gt;"""", F10148=""""), ""真實支出"",
  AND(E10148="""", F10148&lt;&gt;""""), ""真實收入"",
  TRUE, ""其他""
)"),"其他")</f>
        <v>其他</v>
      </c>
      <c r="K10148" s="270" t="str">
        <f t="shared" si="2"/>
        <v/>
      </c>
      <c r="L10148">
        <f t="shared" si="3"/>
        <v>0</v>
      </c>
    </row>
    <row r="10149">
      <c r="A10149" s="107"/>
      <c r="D10149" s="270"/>
      <c r="H10149" s="106" t="str">
        <f t="shared" si="1"/>
        <v/>
      </c>
      <c r="J10149" t="str">
        <f>IFERROR(__xludf.DUMMYFUNCTION("IFS(
  AND(REGEXMATCH(E10149, ""台銀籌備帳戶|玉山帳戶""), REGEXMATCH(C10149, ""薪資"")), ""分潤支出"",
  AND(REGEXMATCH(E10149, ""Ben帳戶|Elsa帳戶|Ben代墊|Ariel代墊|中信銀行共用""), REGEXMATCH(F10149, ""Ben帳戶|Elsa帳戶|Ben代墊|Ariel代墊|中信銀行共用"")), ""內部轉帳(忽略)"",
  AND(E10149&lt;&gt;"""", F10149&lt;&gt;"&amp;""""", NOT(REGEXMATCH(C10149, ""薪資""))), ""內部轉帳(忽略)"",
  REGEXMATCH(C10149, ""薪資""), ""薪資變動(不計入)"",
  REGEXMATCH(C10149, ""押金""), ""押金往來"",
  AND(E10149&lt;&gt;"""", F10149=""""), ""真實支出"",
  AND(E10149="""", F10149&lt;&gt;""""), ""真實收入"",
  TRUE, ""其他""
)"),"其他")</f>
        <v>其他</v>
      </c>
      <c r="K10149" s="270" t="str">
        <f t="shared" si="2"/>
        <v/>
      </c>
      <c r="L10149">
        <f t="shared" si="3"/>
        <v>0</v>
      </c>
    </row>
    <row r="10150">
      <c r="A10150" s="107"/>
      <c r="D10150" s="270"/>
      <c r="H10150" s="106" t="str">
        <f t="shared" si="1"/>
        <v/>
      </c>
      <c r="J10150" t="str">
        <f>IFERROR(__xludf.DUMMYFUNCTION("IFS(
  AND(REGEXMATCH(E10150, ""台銀籌備帳戶|玉山帳戶""), REGEXMATCH(C10150, ""薪資"")), ""分潤支出"",
  AND(REGEXMATCH(E10150, ""Ben帳戶|Elsa帳戶|Ben代墊|Ariel代墊|中信銀行共用""), REGEXMATCH(F10150, ""Ben帳戶|Elsa帳戶|Ben代墊|Ariel代墊|中信銀行共用"")), ""內部轉帳(忽略)"",
  AND(E10150&lt;&gt;"""", F10150&lt;&gt;"&amp;""""", NOT(REGEXMATCH(C10150, ""薪資""))), ""內部轉帳(忽略)"",
  REGEXMATCH(C10150, ""薪資""), ""薪資變動(不計入)"",
  REGEXMATCH(C10150, ""押金""), ""押金往來"",
  AND(E10150&lt;&gt;"""", F10150=""""), ""真實支出"",
  AND(E10150="""", F10150&lt;&gt;""""), ""真實收入"",
  TRUE, ""其他""
)"),"其他")</f>
        <v>其他</v>
      </c>
      <c r="K10150" s="270" t="str">
        <f t="shared" si="2"/>
        <v/>
      </c>
      <c r="L10150">
        <f t="shared" si="3"/>
        <v>0</v>
      </c>
    </row>
    <row r="10151">
      <c r="A10151" s="107"/>
      <c r="D10151" s="270"/>
      <c r="H10151" s="106" t="str">
        <f t="shared" si="1"/>
        <v/>
      </c>
      <c r="J10151" t="str">
        <f>IFERROR(__xludf.DUMMYFUNCTION("IFS(
  AND(REGEXMATCH(E10151, ""台銀籌備帳戶|玉山帳戶""), REGEXMATCH(C10151, ""薪資"")), ""分潤支出"",
  AND(REGEXMATCH(E10151, ""Ben帳戶|Elsa帳戶|Ben代墊|Ariel代墊|中信銀行共用""), REGEXMATCH(F10151, ""Ben帳戶|Elsa帳戶|Ben代墊|Ariel代墊|中信銀行共用"")), ""內部轉帳(忽略)"",
  AND(E10151&lt;&gt;"""", F10151&lt;&gt;"&amp;""""", NOT(REGEXMATCH(C10151, ""薪資""))), ""內部轉帳(忽略)"",
  REGEXMATCH(C10151, ""薪資""), ""薪資變動(不計入)"",
  REGEXMATCH(C10151, ""押金""), ""押金往來"",
  AND(E10151&lt;&gt;"""", F10151=""""), ""真實支出"",
  AND(E10151="""", F10151&lt;&gt;""""), ""真實收入"",
  TRUE, ""其他""
)"),"其他")</f>
        <v>其他</v>
      </c>
      <c r="K10151" s="270" t="str">
        <f t="shared" si="2"/>
        <v/>
      </c>
      <c r="L10151">
        <f t="shared" si="3"/>
        <v>0</v>
      </c>
    </row>
    <row r="10152">
      <c r="A10152" s="107"/>
      <c r="D10152" s="270"/>
      <c r="H10152" s="106" t="str">
        <f t="shared" si="1"/>
        <v/>
      </c>
      <c r="J10152" t="str">
        <f>IFERROR(__xludf.DUMMYFUNCTION("IFS(
  AND(REGEXMATCH(E10152, ""台銀籌備帳戶|玉山帳戶""), REGEXMATCH(C10152, ""薪資"")), ""分潤支出"",
  AND(REGEXMATCH(E10152, ""Ben帳戶|Elsa帳戶|Ben代墊|Ariel代墊|中信銀行共用""), REGEXMATCH(F10152, ""Ben帳戶|Elsa帳戶|Ben代墊|Ariel代墊|中信銀行共用"")), ""內部轉帳(忽略)"",
  AND(E10152&lt;&gt;"""", F10152&lt;&gt;"&amp;""""", NOT(REGEXMATCH(C10152, ""薪資""))), ""內部轉帳(忽略)"",
  REGEXMATCH(C10152, ""薪資""), ""薪資變動(不計入)"",
  REGEXMATCH(C10152, ""押金""), ""押金往來"",
  AND(E10152&lt;&gt;"""", F10152=""""), ""真實支出"",
  AND(E10152="""", F10152&lt;&gt;""""), ""真實收入"",
  TRUE, ""其他""
)"),"其他")</f>
        <v>其他</v>
      </c>
      <c r="K10152" s="270" t="str">
        <f t="shared" si="2"/>
        <v/>
      </c>
      <c r="L10152">
        <f t="shared" si="3"/>
        <v>0</v>
      </c>
    </row>
    <row r="10153">
      <c r="A10153" s="107"/>
      <c r="D10153" s="270"/>
      <c r="H10153" s="106" t="str">
        <f t="shared" si="1"/>
        <v/>
      </c>
      <c r="J10153" t="str">
        <f>IFERROR(__xludf.DUMMYFUNCTION("IFS(
  AND(REGEXMATCH(E10153, ""台銀籌備帳戶|玉山帳戶""), REGEXMATCH(C10153, ""薪資"")), ""分潤支出"",
  AND(REGEXMATCH(E10153, ""Ben帳戶|Elsa帳戶|Ben代墊|Ariel代墊|中信銀行共用""), REGEXMATCH(F10153, ""Ben帳戶|Elsa帳戶|Ben代墊|Ariel代墊|中信銀行共用"")), ""內部轉帳(忽略)"",
  AND(E10153&lt;&gt;"""", F10153&lt;&gt;"&amp;""""", NOT(REGEXMATCH(C10153, ""薪資""))), ""內部轉帳(忽略)"",
  REGEXMATCH(C10153, ""薪資""), ""薪資變動(不計入)"",
  REGEXMATCH(C10153, ""押金""), ""押金往來"",
  AND(E10153&lt;&gt;"""", F10153=""""), ""真實支出"",
  AND(E10153="""", F10153&lt;&gt;""""), ""真實收入"",
  TRUE, ""其他""
)"),"其他")</f>
        <v>其他</v>
      </c>
      <c r="K10153" s="270" t="str">
        <f t="shared" si="2"/>
        <v/>
      </c>
      <c r="L10153">
        <f t="shared" si="3"/>
        <v>0</v>
      </c>
    </row>
    <row r="10154">
      <c r="A10154" s="107"/>
      <c r="D10154" s="270"/>
      <c r="H10154" s="106" t="str">
        <f t="shared" si="1"/>
        <v/>
      </c>
      <c r="J10154" t="str">
        <f>IFERROR(__xludf.DUMMYFUNCTION("IFS(
  AND(REGEXMATCH(E10154, ""台銀籌備帳戶|玉山帳戶""), REGEXMATCH(C10154, ""薪資"")), ""分潤支出"",
  AND(REGEXMATCH(E10154, ""Ben帳戶|Elsa帳戶|Ben代墊|Ariel代墊|中信銀行共用""), REGEXMATCH(F10154, ""Ben帳戶|Elsa帳戶|Ben代墊|Ariel代墊|中信銀行共用"")), ""內部轉帳(忽略)"",
  AND(E10154&lt;&gt;"""", F10154&lt;&gt;"&amp;""""", NOT(REGEXMATCH(C10154, ""薪資""))), ""內部轉帳(忽略)"",
  REGEXMATCH(C10154, ""薪資""), ""薪資變動(不計入)"",
  REGEXMATCH(C10154, ""押金""), ""押金往來"",
  AND(E10154&lt;&gt;"""", F10154=""""), ""真實支出"",
  AND(E10154="""", F10154&lt;&gt;""""), ""真實收入"",
  TRUE, ""其他""
)"),"其他")</f>
        <v>其他</v>
      </c>
      <c r="K10154" s="270" t="str">
        <f t="shared" si="2"/>
        <v/>
      </c>
      <c r="L10154">
        <f t="shared" si="3"/>
        <v>0</v>
      </c>
    </row>
    <row r="10155">
      <c r="A10155" s="107"/>
      <c r="D10155" s="270"/>
      <c r="H10155" s="106" t="str">
        <f t="shared" si="1"/>
        <v/>
      </c>
      <c r="J10155" t="str">
        <f>IFERROR(__xludf.DUMMYFUNCTION("IFS(
  AND(REGEXMATCH(E10155, ""台銀籌備帳戶|玉山帳戶""), REGEXMATCH(C10155, ""薪資"")), ""分潤支出"",
  AND(REGEXMATCH(E10155, ""Ben帳戶|Elsa帳戶|Ben代墊|Ariel代墊|中信銀行共用""), REGEXMATCH(F10155, ""Ben帳戶|Elsa帳戶|Ben代墊|Ariel代墊|中信銀行共用"")), ""內部轉帳(忽略)"",
  AND(E10155&lt;&gt;"""", F10155&lt;&gt;"&amp;""""", NOT(REGEXMATCH(C10155, ""薪資""))), ""內部轉帳(忽略)"",
  REGEXMATCH(C10155, ""薪資""), ""薪資變動(不計入)"",
  REGEXMATCH(C10155, ""押金""), ""押金往來"",
  AND(E10155&lt;&gt;"""", F10155=""""), ""真實支出"",
  AND(E10155="""", F10155&lt;&gt;""""), ""真實收入"",
  TRUE, ""其他""
)"),"其他")</f>
        <v>其他</v>
      </c>
      <c r="K10155" s="270" t="str">
        <f t="shared" si="2"/>
        <v/>
      </c>
      <c r="L10155">
        <f t="shared" si="3"/>
        <v>0</v>
      </c>
    </row>
    <row r="10156">
      <c r="A10156" s="107"/>
      <c r="D10156" s="270"/>
      <c r="H10156" s="106" t="str">
        <f t="shared" si="1"/>
        <v/>
      </c>
      <c r="J10156" t="str">
        <f>IFERROR(__xludf.DUMMYFUNCTION("IFS(
  AND(REGEXMATCH(E10156, ""台銀籌備帳戶|玉山帳戶""), REGEXMATCH(C10156, ""薪資"")), ""分潤支出"",
  AND(REGEXMATCH(E10156, ""Ben帳戶|Elsa帳戶|Ben代墊|Ariel代墊|中信銀行共用""), REGEXMATCH(F10156, ""Ben帳戶|Elsa帳戶|Ben代墊|Ariel代墊|中信銀行共用"")), ""內部轉帳(忽略)"",
  AND(E10156&lt;&gt;"""", F10156&lt;&gt;"&amp;""""", NOT(REGEXMATCH(C10156, ""薪資""))), ""內部轉帳(忽略)"",
  REGEXMATCH(C10156, ""薪資""), ""薪資變動(不計入)"",
  REGEXMATCH(C10156, ""押金""), ""押金往來"",
  AND(E10156&lt;&gt;"""", F10156=""""), ""真實支出"",
  AND(E10156="""", F10156&lt;&gt;""""), ""真實收入"",
  TRUE, ""其他""
)"),"其他")</f>
        <v>其他</v>
      </c>
      <c r="K10156" s="270" t="str">
        <f t="shared" si="2"/>
        <v/>
      </c>
      <c r="L10156">
        <f t="shared" si="3"/>
        <v>0</v>
      </c>
    </row>
    <row r="10157">
      <c r="A10157" s="107"/>
      <c r="D10157" s="270"/>
      <c r="H10157" s="106" t="str">
        <f t="shared" si="1"/>
        <v/>
      </c>
      <c r="J10157" t="str">
        <f>IFERROR(__xludf.DUMMYFUNCTION("IFS(
  AND(REGEXMATCH(E10157, ""台銀籌備帳戶|玉山帳戶""), REGEXMATCH(C10157, ""薪資"")), ""分潤支出"",
  AND(REGEXMATCH(E10157, ""Ben帳戶|Elsa帳戶|Ben代墊|Ariel代墊|中信銀行共用""), REGEXMATCH(F10157, ""Ben帳戶|Elsa帳戶|Ben代墊|Ariel代墊|中信銀行共用"")), ""內部轉帳(忽略)"",
  AND(E10157&lt;&gt;"""", F10157&lt;&gt;"&amp;""""", NOT(REGEXMATCH(C10157, ""薪資""))), ""內部轉帳(忽略)"",
  REGEXMATCH(C10157, ""薪資""), ""薪資變動(不計入)"",
  REGEXMATCH(C10157, ""押金""), ""押金往來"",
  AND(E10157&lt;&gt;"""", F10157=""""), ""真實支出"",
  AND(E10157="""", F10157&lt;&gt;""""), ""真實收入"",
  TRUE, ""其他""
)"),"其他")</f>
        <v>其他</v>
      </c>
      <c r="K10157" s="270" t="str">
        <f t="shared" si="2"/>
        <v/>
      </c>
      <c r="L10157">
        <f t="shared" si="3"/>
        <v>0</v>
      </c>
    </row>
    <row r="10158">
      <c r="A10158" s="107"/>
      <c r="D10158" s="270"/>
      <c r="H10158" s="106" t="str">
        <f t="shared" si="1"/>
        <v/>
      </c>
      <c r="J10158" t="str">
        <f>IFERROR(__xludf.DUMMYFUNCTION("IFS(
  AND(REGEXMATCH(E10158, ""台銀籌備帳戶|玉山帳戶""), REGEXMATCH(C10158, ""薪資"")), ""分潤支出"",
  AND(REGEXMATCH(E10158, ""Ben帳戶|Elsa帳戶|Ben代墊|Ariel代墊|中信銀行共用""), REGEXMATCH(F10158, ""Ben帳戶|Elsa帳戶|Ben代墊|Ariel代墊|中信銀行共用"")), ""內部轉帳(忽略)"",
  AND(E10158&lt;&gt;"""", F10158&lt;&gt;"&amp;""""", NOT(REGEXMATCH(C10158, ""薪資""))), ""內部轉帳(忽略)"",
  REGEXMATCH(C10158, ""薪資""), ""薪資變動(不計入)"",
  REGEXMATCH(C10158, ""押金""), ""押金往來"",
  AND(E10158&lt;&gt;"""", F10158=""""), ""真實支出"",
  AND(E10158="""", F10158&lt;&gt;""""), ""真實收入"",
  TRUE, ""其他""
)"),"其他")</f>
        <v>其他</v>
      </c>
      <c r="K10158" s="270" t="str">
        <f t="shared" si="2"/>
        <v/>
      </c>
      <c r="L10158">
        <f t="shared" si="3"/>
        <v>0</v>
      </c>
    </row>
    <row r="10159">
      <c r="A10159" s="107"/>
      <c r="D10159" s="270"/>
      <c r="H10159" s="106" t="str">
        <f t="shared" si="1"/>
        <v/>
      </c>
      <c r="J10159" t="str">
        <f>IFERROR(__xludf.DUMMYFUNCTION("IFS(
  AND(REGEXMATCH(E10159, ""台銀籌備帳戶|玉山帳戶""), REGEXMATCH(C10159, ""薪資"")), ""分潤支出"",
  AND(REGEXMATCH(E10159, ""Ben帳戶|Elsa帳戶|Ben代墊|Ariel代墊|中信銀行共用""), REGEXMATCH(F10159, ""Ben帳戶|Elsa帳戶|Ben代墊|Ariel代墊|中信銀行共用"")), ""內部轉帳(忽略)"",
  AND(E10159&lt;&gt;"""", F10159&lt;&gt;"&amp;""""", NOT(REGEXMATCH(C10159, ""薪資""))), ""內部轉帳(忽略)"",
  REGEXMATCH(C10159, ""薪資""), ""薪資變動(不計入)"",
  REGEXMATCH(C10159, ""押金""), ""押金往來"",
  AND(E10159&lt;&gt;"""", F10159=""""), ""真實支出"",
  AND(E10159="""", F10159&lt;&gt;""""), ""真實收入"",
  TRUE, ""其他""
)"),"其他")</f>
        <v>其他</v>
      </c>
      <c r="K10159" s="270" t="str">
        <f t="shared" si="2"/>
        <v/>
      </c>
      <c r="L10159">
        <f t="shared" si="3"/>
        <v>0</v>
      </c>
    </row>
    <row r="10160">
      <c r="A10160" s="107"/>
      <c r="D10160" s="270"/>
      <c r="H10160" s="106" t="str">
        <f t="shared" si="1"/>
        <v/>
      </c>
      <c r="J10160" t="str">
        <f>IFERROR(__xludf.DUMMYFUNCTION("IFS(
  AND(REGEXMATCH(E10160, ""台銀籌備帳戶|玉山帳戶""), REGEXMATCH(C10160, ""薪資"")), ""分潤支出"",
  AND(REGEXMATCH(E10160, ""Ben帳戶|Elsa帳戶|Ben代墊|Ariel代墊|中信銀行共用""), REGEXMATCH(F10160, ""Ben帳戶|Elsa帳戶|Ben代墊|Ariel代墊|中信銀行共用"")), ""內部轉帳(忽略)"",
  AND(E10160&lt;&gt;"""", F10160&lt;&gt;"&amp;""""", NOT(REGEXMATCH(C10160, ""薪資""))), ""內部轉帳(忽略)"",
  REGEXMATCH(C10160, ""薪資""), ""薪資變動(不計入)"",
  REGEXMATCH(C10160, ""押金""), ""押金往來"",
  AND(E10160&lt;&gt;"""", F10160=""""), ""真實支出"",
  AND(E10160="""", F10160&lt;&gt;""""), ""真實收入"",
  TRUE, ""其他""
)"),"其他")</f>
        <v>其他</v>
      </c>
      <c r="K10160" s="270" t="str">
        <f t="shared" si="2"/>
        <v/>
      </c>
      <c r="L10160">
        <f t="shared" si="3"/>
        <v>0</v>
      </c>
    </row>
    <row r="10161">
      <c r="A10161" s="107"/>
      <c r="D10161" s="270"/>
      <c r="H10161" s="106" t="str">
        <f t="shared" si="1"/>
        <v/>
      </c>
      <c r="J10161" t="str">
        <f>IFERROR(__xludf.DUMMYFUNCTION("IFS(
  AND(REGEXMATCH(E10161, ""台銀籌備帳戶|玉山帳戶""), REGEXMATCH(C10161, ""薪資"")), ""分潤支出"",
  AND(REGEXMATCH(E10161, ""Ben帳戶|Elsa帳戶|Ben代墊|Ariel代墊|中信銀行共用""), REGEXMATCH(F10161, ""Ben帳戶|Elsa帳戶|Ben代墊|Ariel代墊|中信銀行共用"")), ""內部轉帳(忽略)"",
  AND(E10161&lt;&gt;"""", F10161&lt;&gt;"&amp;""""", NOT(REGEXMATCH(C10161, ""薪資""))), ""內部轉帳(忽略)"",
  REGEXMATCH(C10161, ""薪資""), ""薪資變動(不計入)"",
  REGEXMATCH(C10161, ""押金""), ""押金往來"",
  AND(E10161&lt;&gt;"""", F10161=""""), ""真實支出"",
  AND(E10161="""", F10161&lt;&gt;""""), ""真實收入"",
  TRUE, ""其他""
)"),"其他")</f>
        <v>其他</v>
      </c>
      <c r="K10161" s="270" t="str">
        <f t="shared" si="2"/>
        <v/>
      </c>
      <c r="L10161">
        <f t="shared" si="3"/>
        <v>0</v>
      </c>
    </row>
    <row r="10162">
      <c r="A10162" s="107"/>
      <c r="D10162" s="270"/>
      <c r="H10162" s="106" t="str">
        <f t="shared" si="1"/>
        <v/>
      </c>
      <c r="J10162" t="str">
        <f>IFERROR(__xludf.DUMMYFUNCTION("IFS(
  AND(REGEXMATCH(E10162, ""台銀籌備帳戶|玉山帳戶""), REGEXMATCH(C10162, ""薪資"")), ""分潤支出"",
  AND(REGEXMATCH(E10162, ""Ben帳戶|Elsa帳戶|Ben代墊|Ariel代墊|中信銀行共用""), REGEXMATCH(F10162, ""Ben帳戶|Elsa帳戶|Ben代墊|Ariel代墊|中信銀行共用"")), ""內部轉帳(忽略)"",
  AND(E10162&lt;&gt;"""", F10162&lt;&gt;"&amp;""""", NOT(REGEXMATCH(C10162, ""薪資""))), ""內部轉帳(忽略)"",
  REGEXMATCH(C10162, ""薪資""), ""薪資變動(不計入)"",
  REGEXMATCH(C10162, ""押金""), ""押金往來"",
  AND(E10162&lt;&gt;"""", F10162=""""), ""真實支出"",
  AND(E10162="""", F10162&lt;&gt;""""), ""真實收入"",
  TRUE, ""其他""
)"),"其他")</f>
        <v>其他</v>
      </c>
      <c r="K10162" s="270" t="str">
        <f t="shared" si="2"/>
        <v/>
      </c>
      <c r="L10162">
        <f t="shared" si="3"/>
        <v>0</v>
      </c>
    </row>
    <row r="10163">
      <c r="A10163" s="107"/>
      <c r="D10163" s="270"/>
      <c r="H10163" s="106" t="str">
        <f t="shared" si="1"/>
        <v/>
      </c>
      <c r="J10163" t="str">
        <f>IFERROR(__xludf.DUMMYFUNCTION("IFS(
  AND(REGEXMATCH(E10163, ""台銀籌備帳戶|玉山帳戶""), REGEXMATCH(C10163, ""薪資"")), ""分潤支出"",
  AND(REGEXMATCH(E10163, ""Ben帳戶|Elsa帳戶|Ben代墊|Ariel代墊|中信銀行共用""), REGEXMATCH(F10163, ""Ben帳戶|Elsa帳戶|Ben代墊|Ariel代墊|中信銀行共用"")), ""內部轉帳(忽略)"",
  AND(E10163&lt;&gt;"""", F10163&lt;&gt;"&amp;""""", NOT(REGEXMATCH(C10163, ""薪資""))), ""內部轉帳(忽略)"",
  REGEXMATCH(C10163, ""薪資""), ""薪資變動(不計入)"",
  REGEXMATCH(C10163, ""押金""), ""押金往來"",
  AND(E10163&lt;&gt;"""", F10163=""""), ""真實支出"",
  AND(E10163="""", F10163&lt;&gt;""""), ""真實收入"",
  TRUE, ""其他""
)"),"其他")</f>
        <v>其他</v>
      </c>
      <c r="K10163" s="270" t="str">
        <f t="shared" si="2"/>
        <v/>
      </c>
      <c r="L10163">
        <f t="shared" si="3"/>
        <v>0</v>
      </c>
    </row>
    <row r="10164">
      <c r="A10164" s="107"/>
      <c r="D10164" s="270"/>
      <c r="H10164" s="106" t="str">
        <f t="shared" si="1"/>
        <v/>
      </c>
      <c r="J10164" t="str">
        <f>IFERROR(__xludf.DUMMYFUNCTION("IFS(
  AND(REGEXMATCH(E10164, ""台銀籌備帳戶|玉山帳戶""), REGEXMATCH(C10164, ""薪資"")), ""分潤支出"",
  AND(REGEXMATCH(E10164, ""Ben帳戶|Elsa帳戶|Ben代墊|Ariel代墊|中信銀行共用""), REGEXMATCH(F10164, ""Ben帳戶|Elsa帳戶|Ben代墊|Ariel代墊|中信銀行共用"")), ""內部轉帳(忽略)"",
  AND(E10164&lt;&gt;"""", F10164&lt;&gt;"&amp;""""", NOT(REGEXMATCH(C10164, ""薪資""))), ""內部轉帳(忽略)"",
  REGEXMATCH(C10164, ""薪資""), ""薪資變動(不計入)"",
  REGEXMATCH(C10164, ""押金""), ""押金往來"",
  AND(E10164&lt;&gt;"""", F10164=""""), ""真實支出"",
  AND(E10164="""", F10164&lt;&gt;""""), ""真實收入"",
  TRUE, ""其他""
)"),"其他")</f>
        <v>其他</v>
      </c>
      <c r="K10164" s="270" t="str">
        <f t="shared" si="2"/>
        <v/>
      </c>
      <c r="L10164">
        <f t="shared" si="3"/>
        <v>0</v>
      </c>
    </row>
    <row r="10165">
      <c r="A10165" s="107"/>
      <c r="D10165" s="270"/>
      <c r="H10165" s="106" t="str">
        <f t="shared" si="1"/>
        <v/>
      </c>
      <c r="J10165" t="str">
        <f>IFERROR(__xludf.DUMMYFUNCTION("IFS(
  AND(REGEXMATCH(E10165, ""台銀籌備帳戶|玉山帳戶""), REGEXMATCH(C10165, ""薪資"")), ""分潤支出"",
  AND(REGEXMATCH(E10165, ""Ben帳戶|Elsa帳戶|Ben代墊|Ariel代墊|中信銀行共用""), REGEXMATCH(F10165, ""Ben帳戶|Elsa帳戶|Ben代墊|Ariel代墊|中信銀行共用"")), ""內部轉帳(忽略)"",
  AND(E10165&lt;&gt;"""", F10165&lt;&gt;"&amp;""""", NOT(REGEXMATCH(C10165, ""薪資""))), ""內部轉帳(忽略)"",
  REGEXMATCH(C10165, ""薪資""), ""薪資變動(不計入)"",
  REGEXMATCH(C10165, ""押金""), ""押金往來"",
  AND(E10165&lt;&gt;"""", F10165=""""), ""真實支出"",
  AND(E10165="""", F10165&lt;&gt;""""), ""真實收入"",
  TRUE, ""其他""
)"),"其他")</f>
        <v>其他</v>
      </c>
      <c r="K10165" s="270" t="str">
        <f t="shared" si="2"/>
        <v/>
      </c>
      <c r="L10165">
        <f t="shared" si="3"/>
        <v>0</v>
      </c>
    </row>
    <row r="10166">
      <c r="A10166" s="107"/>
      <c r="D10166" s="270"/>
      <c r="H10166" s="106" t="str">
        <f t="shared" si="1"/>
        <v/>
      </c>
      <c r="J10166" t="str">
        <f>IFERROR(__xludf.DUMMYFUNCTION("IFS(
  AND(REGEXMATCH(E10166, ""台銀籌備帳戶|玉山帳戶""), REGEXMATCH(C10166, ""薪資"")), ""分潤支出"",
  AND(REGEXMATCH(E10166, ""Ben帳戶|Elsa帳戶|Ben代墊|Ariel代墊|中信銀行共用""), REGEXMATCH(F10166, ""Ben帳戶|Elsa帳戶|Ben代墊|Ariel代墊|中信銀行共用"")), ""內部轉帳(忽略)"",
  AND(E10166&lt;&gt;"""", F10166&lt;&gt;"&amp;""""", NOT(REGEXMATCH(C10166, ""薪資""))), ""內部轉帳(忽略)"",
  REGEXMATCH(C10166, ""薪資""), ""薪資變動(不計入)"",
  REGEXMATCH(C10166, ""押金""), ""押金往來"",
  AND(E10166&lt;&gt;"""", F10166=""""), ""真實支出"",
  AND(E10166="""", F10166&lt;&gt;""""), ""真實收入"",
  TRUE, ""其他""
)"),"其他")</f>
        <v>其他</v>
      </c>
      <c r="K10166" s="270" t="str">
        <f t="shared" si="2"/>
        <v/>
      </c>
      <c r="L10166">
        <f t="shared" si="3"/>
        <v>0</v>
      </c>
    </row>
    <row r="10167">
      <c r="A10167" s="107"/>
      <c r="D10167" s="270"/>
      <c r="H10167" s="106" t="str">
        <f t="shared" si="1"/>
        <v/>
      </c>
      <c r="J10167" t="str">
        <f>IFERROR(__xludf.DUMMYFUNCTION("IFS(
  AND(REGEXMATCH(E10167, ""台銀籌備帳戶|玉山帳戶""), REGEXMATCH(C10167, ""薪資"")), ""分潤支出"",
  AND(REGEXMATCH(E10167, ""Ben帳戶|Elsa帳戶|Ben代墊|Ariel代墊|中信銀行共用""), REGEXMATCH(F10167, ""Ben帳戶|Elsa帳戶|Ben代墊|Ariel代墊|中信銀行共用"")), ""內部轉帳(忽略)"",
  AND(E10167&lt;&gt;"""", F10167&lt;&gt;"&amp;""""", NOT(REGEXMATCH(C10167, ""薪資""))), ""內部轉帳(忽略)"",
  REGEXMATCH(C10167, ""薪資""), ""薪資變動(不計入)"",
  REGEXMATCH(C10167, ""押金""), ""押金往來"",
  AND(E10167&lt;&gt;"""", F10167=""""), ""真實支出"",
  AND(E10167="""", F10167&lt;&gt;""""), ""真實收入"",
  TRUE, ""其他""
)"),"其他")</f>
        <v>其他</v>
      </c>
      <c r="K10167" s="270" t="str">
        <f t="shared" si="2"/>
        <v/>
      </c>
      <c r="L10167">
        <f t="shared" si="3"/>
        <v>0</v>
      </c>
    </row>
    <row r="10168">
      <c r="A10168" s="107"/>
      <c r="D10168" s="270"/>
      <c r="H10168" s="106" t="str">
        <f t="shared" si="1"/>
        <v/>
      </c>
      <c r="J10168" t="str">
        <f>IFERROR(__xludf.DUMMYFUNCTION("IFS(
  AND(REGEXMATCH(E10168, ""台銀籌備帳戶|玉山帳戶""), REGEXMATCH(C10168, ""薪資"")), ""分潤支出"",
  AND(REGEXMATCH(E10168, ""Ben帳戶|Elsa帳戶|Ben代墊|Ariel代墊|中信銀行共用""), REGEXMATCH(F10168, ""Ben帳戶|Elsa帳戶|Ben代墊|Ariel代墊|中信銀行共用"")), ""內部轉帳(忽略)"",
  AND(E10168&lt;&gt;"""", F10168&lt;&gt;"&amp;""""", NOT(REGEXMATCH(C10168, ""薪資""))), ""內部轉帳(忽略)"",
  REGEXMATCH(C10168, ""薪資""), ""薪資變動(不計入)"",
  REGEXMATCH(C10168, ""押金""), ""押金往來"",
  AND(E10168&lt;&gt;"""", F10168=""""), ""真實支出"",
  AND(E10168="""", F10168&lt;&gt;""""), ""真實收入"",
  TRUE, ""其他""
)"),"其他")</f>
        <v>其他</v>
      </c>
      <c r="K10168" s="270" t="str">
        <f t="shared" si="2"/>
        <v/>
      </c>
      <c r="L10168">
        <f t="shared" si="3"/>
        <v>0</v>
      </c>
    </row>
    <row r="10169">
      <c r="A10169" s="107"/>
      <c r="D10169" s="270"/>
      <c r="H10169" s="106" t="str">
        <f t="shared" si="1"/>
        <v/>
      </c>
      <c r="J10169" t="str">
        <f>IFERROR(__xludf.DUMMYFUNCTION("IFS(
  AND(REGEXMATCH(E10169, ""台銀籌備帳戶|玉山帳戶""), REGEXMATCH(C10169, ""薪資"")), ""分潤支出"",
  AND(REGEXMATCH(E10169, ""Ben帳戶|Elsa帳戶|Ben代墊|Ariel代墊|中信銀行共用""), REGEXMATCH(F10169, ""Ben帳戶|Elsa帳戶|Ben代墊|Ariel代墊|中信銀行共用"")), ""內部轉帳(忽略)"",
  AND(E10169&lt;&gt;"""", F10169&lt;&gt;"&amp;""""", NOT(REGEXMATCH(C10169, ""薪資""))), ""內部轉帳(忽略)"",
  REGEXMATCH(C10169, ""薪資""), ""薪資變動(不計入)"",
  REGEXMATCH(C10169, ""押金""), ""押金往來"",
  AND(E10169&lt;&gt;"""", F10169=""""), ""真實支出"",
  AND(E10169="""", F10169&lt;&gt;""""), ""真實收入"",
  TRUE, ""其他""
)"),"其他")</f>
        <v>其他</v>
      </c>
      <c r="K10169" s="270" t="str">
        <f t="shared" si="2"/>
        <v/>
      </c>
      <c r="L10169">
        <f t="shared" si="3"/>
        <v>0</v>
      </c>
    </row>
    <row r="10170">
      <c r="A10170" s="107"/>
      <c r="D10170" s="270"/>
      <c r="H10170" s="106" t="str">
        <f t="shared" si="1"/>
        <v/>
      </c>
      <c r="J10170" t="str">
        <f>IFERROR(__xludf.DUMMYFUNCTION("IFS(
  AND(REGEXMATCH(E10170, ""台銀籌備帳戶|玉山帳戶""), REGEXMATCH(C10170, ""薪資"")), ""分潤支出"",
  AND(REGEXMATCH(E10170, ""Ben帳戶|Elsa帳戶|Ben代墊|Ariel代墊|中信銀行共用""), REGEXMATCH(F10170, ""Ben帳戶|Elsa帳戶|Ben代墊|Ariel代墊|中信銀行共用"")), ""內部轉帳(忽略)"",
  AND(E10170&lt;&gt;"""", F10170&lt;&gt;"&amp;""""", NOT(REGEXMATCH(C10170, ""薪資""))), ""內部轉帳(忽略)"",
  REGEXMATCH(C10170, ""薪資""), ""薪資變動(不計入)"",
  REGEXMATCH(C10170, ""押金""), ""押金往來"",
  AND(E10170&lt;&gt;"""", F10170=""""), ""真實支出"",
  AND(E10170="""", F10170&lt;&gt;""""), ""真實收入"",
  TRUE, ""其他""
)"),"其他")</f>
        <v>其他</v>
      </c>
      <c r="K10170" s="270" t="str">
        <f t="shared" si="2"/>
        <v/>
      </c>
      <c r="L10170">
        <f t="shared" si="3"/>
        <v>0</v>
      </c>
    </row>
    <row r="10171">
      <c r="A10171" s="107"/>
      <c r="D10171" s="270"/>
      <c r="H10171" s="106" t="str">
        <f t="shared" si="1"/>
        <v/>
      </c>
      <c r="J10171" t="str">
        <f>IFERROR(__xludf.DUMMYFUNCTION("IFS(
  AND(REGEXMATCH(E10171, ""台銀籌備帳戶|玉山帳戶""), REGEXMATCH(C10171, ""薪資"")), ""分潤支出"",
  AND(REGEXMATCH(E10171, ""Ben帳戶|Elsa帳戶|Ben代墊|Ariel代墊|中信銀行共用""), REGEXMATCH(F10171, ""Ben帳戶|Elsa帳戶|Ben代墊|Ariel代墊|中信銀行共用"")), ""內部轉帳(忽略)"",
  AND(E10171&lt;&gt;"""", F10171&lt;&gt;"&amp;""""", NOT(REGEXMATCH(C10171, ""薪資""))), ""內部轉帳(忽略)"",
  REGEXMATCH(C10171, ""薪資""), ""薪資變動(不計入)"",
  REGEXMATCH(C10171, ""押金""), ""押金往來"",
  AND(E10171&lt;&gt;"""", F10171=""""), ""真實支出"",
  AND(E10171="""", F10171&lt;&gt;""""), ""真實收入"",
  TRUE, ""其他""
)"),"其他")</f>
        <v>其他</v>
      </c>
      <c r="K10171" s="270" t="str">
        <f t="shared" si="2"/>
        <v/>
      </c>
      <c r="L10171">
        <f t="shared" si="3"/>
        <v>0</v>
      </c>
    </row>
    <row r="10172">
      <c r="A10172" s="107"/>
      <c r="D10172" s="270"/>
      <c r="H10172" s="106" t="str">
        <f t="shared" si="1"/>
        <v/>
      </c>
      <c r="J10172" t="str">
        <f>IFERROR(__xludf.DUMMYFUNCTION("IFS(
  AND(REGEXMATCH(E10172, ""台銀籌備帳戶|玉山帳戶""), REGEXMATCH(C10172, ""薪資"")), ""分潤支出"",
  AND(REGEXMATCH(E10172, ""Ben帳戶|Elsa帳戶|Ben代墊|Ariel代墊|中信銀行共用""), REGEXMATCH(F10172, ""Ben帳戶|Elsa帳戶|Ben代墊|Ariel代墊|中信銀行共用"")), ""內部轉帳(忽略)"",
  AND(E10172&lt;&gt;"""", F10172&lt;&gt;"&amp;""""", NOT(REGEXMATCH(C10172, ""薪資""))), ""內部轉帳(忽略)"",
  REGEXMATCH(C10172, ""薪資""), ""薪資變動(不計入)"",
  REGEXMATCH(C10172, ""押金""), ""押金往來"",
  AND(E10172&lt;&gt;"""", F10172=""""), ""真實支出"",
  AND(E10172="""", F10172&lt;&gt;""""), ""真實收入"",
  TRUE, ""其他""
)"),"其他")</f>
        <v>其他</v>
      </c>
      <c r="K10172" s="270" t="str">
        <f t="shared" si="2"/>
        <v/>
      </c>
      <c r="L10172">
        <f t="shared" si="3"/>
        <v>0</v>
      </c>
    </row>
    <row r="10173">
      <c r="A10173" s="107"/>
      <c r="D10173" s="270"/>
      <c r="H10173" s="106" t="str">
        <f t="shared" si="1"/>
        <v/>
      </c>
      <c r="J10173" t="str">
        <f>IFERROR(__xludf.DUMMYFUNCTION("IFS(
  AND(REGEXMATCH(E10173, ""台銀籌備帳戶|玉山帳戶""), REGEXMATCH(C10173, ""薪資"")), ""分潤支出"",
  AND(REGEXMATCH(E10173, ""Ben帳戶|Elsa帳戶|Ben代墊|Ariel代墊|中信銀行共用""), REGEXMATCH(F10173, ""Ben帳戶|Elsa帳戶|Ben代墊|Ariel代墊|中信銀行共用"")), ""內部轉帳(忽略)"",
  AND(E10173&lt;&gt;"""", F10173&lt;&gt;"&amp;""""", NOT(REGEXMATCH(C10173, ""薪資""))), ""內部轉帳(忽略)"",
  REGEXMATCH(C10173, ""薪資""), ""薪資變動(不計入)"",
  REGEXMATCH(C10173, ""押金""), ""押金往來"",
  AND(E10173&lt;&gt;"""", F10173=""""), ""真實支出"",
  AND(E10173="""", F10173&lt;&gt;""""), ""真實收入"",
  TRUE, ""其他""
)"),"其他")</f>
        <v>其他</v>
      </c>
      <c r="K10173" s="270" t="str">
        <f t="shared" si="2"/>
        <v/>
      </c>
      <c r="L10173">
        <f t="shared" si="3"/>
        <v>0</v>
      </c>
    </row>
    <row r="10174">
      <c r="A10174" s="107"/>
      <c r="D10174" s="270"/>
      <c r="H10174" s="106" t="str">
        <f t="shared" si="1"/>
        <v/>
      </c>
      <c r="J10174" t="str">
        <f>IFERROR(__xludf.DUMMYFUNCTION("IFS(
  AND(REGEXMATCH(E10174, ""台銀籌備帳戶|玉山帳戶""), REGEXMATCH(C10174, ""薪資"")), ""分潤支出"",
  AND(REGEXMATCH(E10174, ""Ben帳戶|Elsa帳戶|Ben代墊|Ariel代墊|中信銀行共用""), REGEXMATCH(F10174, ""Ben帳戶|Elsa帳戶|Ben代墊|Ariel代墊|中信銀行共用"")), ""內部轉帳(忽略)"",
  AND(E10174&lt;&gt;"""", F10174&lt;&gt;"&amp;""""", NOT(REGEXMATCH(C10174, ""薪資""))), ""內部轉帳(忽略)"",
  REGEXMATCH(C10174, ""薪資""), ""薪資變動(不計入)"",
  REGEXMATCH(C10174, ""押金""), ""押金往來"",
  AND(E10174&lt;&gt;"""", F10174=""""), ""真實支出"",
  AND(E10174="""", F10174&lt;&gt;""""), ""真實收入"",
  TRUE, ""其他""
)"),"其他")</f>
        <v>其他</v>
      </c>
      <c r="K10174" s="270" t="str">
        <f t="shared" si="2"/>
        <v/>
      </c>
      <c r="L10174">
        <f t="shared" si="3"/>
        <v>0</v>
      </c>
    </row>
    <row r="10175">
      <c r="A10175" s="107"/>
      <c r="D10175" s="270"/>
      <c r="H10175" s="106" t="str">
        <f t="shared" si="1"/>
        <v/>
      </c>
      <c r="J10175" t="str">
        <f>IFERROR(__xludf.DUMMYFUNCTION("IFS(
  AND(REGEXMATCH(E10175, ""台銀籌備帳戶|玉山帳戶""), REGEXMATCH(C10175, ""薪資"")), ""分潤支出"",
  AND(REGEXMATCH(E10175, ""Ben帳戶|Elsa帳戶|Ben代墊|Ariel代墊|中信銀行共用""), REGEXMATCH(F10175, ""Ben帳戶|Elsa帳戶|Ben代墊|Ariel代墊|中信銀行共用"")), ""內部轉帳(忽略)"",
  AND(E10175&lt;&gt;"""", F10175&lt;&gt;"&amp;""""", NOT(REGEXMATCH(C10175, ""薪資""))), ""內部轉帳(忽略)"",
  REGEXMATCH(C10175, ""薪資""), ""薪資變動(不計入)"",
  REGEXMATCH(C10175, ""押金""), ""押金往來"",
  AND(E10175&lt;&gt;"""", F10175=""""), ""真實支出"",
  AND(E10175="""", F10175&lt;&gt;""""), ""真實收入"",
  TRUE, ""其他""
)"),"其他")</f>
        <v>其他</v>
      </c>
      <c r="K10175" s="270" t="str">
        <f t="shared" si="2"/>
        <v/>
      </c>
      <c r="L10175">
        <f t="shared" si="3"/>
        <v>0</v>
      </c>
    </row>
    <row r="10176">
      <c r="A10176" s="107"/>
      <c r="D10176" s="270"/>
      <c r="H10176" s="106" t="str">
        <f t="shared" si="1"/>
        <v/>
      </c>
      <c r="J10176" t="str">
        <f>IFERROR(__xludf.DUMMYFUNCTION("IFS(
  AND(REGEXMATCH(E10176, ""台銀籌備帳戶|玉山帳戶""), REGEXMATCH(C10176, ""薪資"")), ""分潤支出"",
  AND(REGEXMATCH(E10176, ""Ben帳戶|Elsa帳戶|Ben代墊|Ariel代墊|中信銀行共用""), REGEXMATCH(F10176, ""Ben帳戶|Elsa帳戶|Ben代墊|Ariel代墊|中信銀行共用"")), ""內部轉帳(忽略)"",
  AND(E10176&lt;&gt;"""", F10176&lt;&gt;"&amp;""""", NOT(REGEXMATCH(C10176, ""薪資""))), ""內部轉帳(忽略)"",
  REGEXMATCH(C10176, ""薪資""), ""薪資變動(不計入)"",
  REGEXMATCH(C10176, ""押金""), ""押金往來"",
  AND(E10176&lt;&gt;"""", F10176=""""), ""真實支出"",
  AND(E10176="""", F10176&lt;&gt;""""), ""真實收入"",
  TRUE, ""其他""
)"),"其他")</f>
        <v>其他</v>
      </c>
      <c r="K10176" s="270" t="str">
        <f t="shared" si="2"/>
        <v/>
      </c>
      <c r="L10176">
        <f t="shared" si="3"/>
        <v>0</v>
      </c>
    </row>
    <row r="10177">
      <c r="A10177" s="107"/>
      <c r="D10177" s="270"/>
      <c r="H10177" s="106" t="str">
        <f t="shared" si="1"/>
        <v/>
      </c>
      <c r="J10177" t="str">
        <f>IFERROR(__xludf.DUMMYFUNCTION("IFS(
  AND(REGEXMATCH(E10177, ""台銀籌備帳戶|玉山帳戶""), REGEXMATCH(C10177, ""薪資"")), ""分潤支出"",
  AND(REGEXMATCH(E10177, ""Ben帳戶|Elsa帳戶|Ben代墊|Ariel代墊|中信銀行共用""), REGEXMATCH(F10177, ""Ben帳戶|Elsa帳戶|Ben代墊|Ariel代墊|中信銀行共用"")), ""內部轉帳(忽略)"",
  AND(E10177&lt;&gt;"""", F10177&lt;&gt;"&amp;""""", NOT(REGEXMATCH(C10177, ""薪資""))), ""內部轉帳(忽略)"",
  REGEXMATCH(C10177, ""薪資""), ""薪資變動(不計入)"",
  REGEXMATCH(C10177, ""押金""), ""押金往來"",
  AND(E10177&lt;&gt;"""", F10177=""""), ""真實支出"",
  AND(E10177="""", F10177&lt;&gt;""""), ""真實收入"",
  TRUE, ""其他""
)"),"其他")</f>
        <v>其他</v>
      </c>
      <c r="K10177" s="270" t="str">
        <f t="shared" si="2"/>
        <v/>
      </c>
      <c r="L10177">
        <f t="shared" si="3"/>
        <v>0</v>
      </c>
    </row>
    <row r="10178">
      <c r="A10178" s="107"/>
      <c r="D10178" s="270"/>
      <c r="H10178" s="106" t="str">
        <f t="shared" si="1"/>
        <v/>
      </c>
      <c r="J10178" t="str">
        <f>IFERROR(__xludf.DUMMYFUNCTION("IFS(
  AND(REGEXMATCH(E10178, ""台銀籌備帳戶|玉山帳戶""), REGEXMATCH(C10178, ""薪資"")), ""分潤支出"",
  AND(REGEXMATCH(E10178, ""Ben帳戶|Elsa帳戶|Ben代墊|Ariel代墊|中信銀行共用""), REGEXMATCH(F10178, ""Ben帳戶|Elsa帳戶|Ben代墊|Ariel代墊|中信銀行共用"")), ""內部轉帳(忽略)"",
  AND(E10178&lt;&gt;"""", F10178&lt;&gt;"&amp;""""", NOT(REGEXMATCH(C10178, ""薪資""))), ""內部轉帳(忽略)"",
  REGEXMATCH(C10178, ""薪資""), ""薪資變動(不計入)"",
  REGEXMATCH(C10178, ""押金""), ""押金往來"",
  AND(E10178&lt;&gt;"""", F10178=""""), ""真實支出"",
  AND(E10178="""", F10178&lt;&gt;""""), ""真實收入"",
  TRUE, ""其他""
)"),"其他")</f>
        <v>其他</v>
      </c>
      <c r="K10178" s="270" t="str">
        <f t="shared" si="2"/>
        <v/>
      </c>
      <c r="L10178">
        <f t="shared" si="3"/>
        <v>0</v>
      </c>
    </row>
    <row r="10179">
      <c r="A10179" s="107"/>
      <c r="D10179" s="270"/>
      <c r="H10179" s="106" t="str">
        <f t="shared" si="1"/>
        <v/>
      </c>
      <c r="J10179" t="str">
        <f>IFERROR(__xludf.DUMMYFUNCTION("IFS(
  AND(REGEXMATCH(E10179, ""台銀籌備帳戶|玉山帳戶""), REGEXMATCH(C10179, ""薪資"")), ""分潤支出"",
  AND(REGEXMATCH(E10179, ""Ben帳戶|Elsa帳戶|Ben代墊|Ariel代墊|中信銀行共用""), REGEXMATCH(F10179, ""Ben帳戶|Elsa帳戶|Ben代墊|Ariel代墊|中信銀行共用"")), ""內部轉帳(忽略)"",
  AND(E10179&lt;&gt;"""", F10179&lt;&gt;"&amp;""""", NOT(REGEXMATCH(C10179, ""薪資""))), ""內部轉帳(忽略)"",
  REGEXMATCH(C10179, ""薪資""), ""薪資變動(不計入)"",
  REGEXMATCH(C10179, ""押金""), ""押金往來"",
  AND(E10179&lt;&gt;"""", F10179=""""), ""真實支出"",
  AND(E10179="""", F10179&lt;&gt;""""), ""真實收入"",
  TRUE, ""其他""
)"),"其他")</f>
        <v>其他</v>
      </c>
      <c r="K10179" s="270" t="str">
        <f t="shared" si="2"/>
        <v/>
      </c>
      <c r="L10179">
        <f t="shared" si="3"/>
        <v>0</v>
      </c>
    </row>
    <row r="10180">
      <c r="A10180" s="107"/>
      <c r="D10180" s="270"/>
      <c r="H10180" s="106" t="str">
        <f t="shared" si="1"/>
        <v/>
      </c>
      <c r="J10180" t="str">
        <f>IFERROR(__xludf.DUMMYFUNCTION("IFS(
  AND(REGEXMATCH(E10180, ""台銀籌備帳戶|玉山帳戶""), REGEXMATCH(C10180, ""薪資"")), ""分潤支出"",
  AND(REGEXMATCH(E10180, ""Ben帳戶|Elsa帳戶|Ben代墊|Ariel代墊|中信銀行共用""), REGEXMATCH(F10180, ""Ben帳戶|Elsa帳戶|Ben代墊|Ariel代墊|中信銀行共用"")), ""內部轉帳(忽略)"",
  AND(E10180&lt;&gt;"""", F10180&lt;&gt;"&amp;""""", NOT(REGEXMATCH(C10180, ""薪資""))), ""內部轉帳(忽略)"",
  REGEXMATCH(C10180, ""薪資""), ""薪資變動(不計入)"",
  REGEXMATCH(C10180, ""押金""), ""押金往來"",
  AND(E10180&lt;&gt;"""", F10180=""""), ""真實支出"",
  AND(E10180="""", F10180&lt;&gt;""""), ""真實收入"",
  TRUE, ""其他""
)"),"其他")</f>
        <v>其他</v>
      </c>
      <c r="K10180" s="270" t="str">
        <f t="shared" si="2"/>
        <v/>
      </c>
      <c r="L10180">
        <f t="shared" si="3"/>
        <v>0</v>
      </c>
    </row>
    <row r="10181">
      <c r="A10181" s="107"/>
      <c r="D10181" s="270"/>
      <c r="H10181" s="106" t="str">
        <f t="shared" si="1"/>
        <v/>
      </c>
      <c r="J10181" t="str">
        <f>IFERROR(__xludf.DUMMYFUNCTION("IFS(
  AND(REGEXMATCH(E10181, ""台銀籌備帳戶|玉山帳戶""), REGEXMATCH(C10181, ""薪資"")), ""分潤支出"",
  AND(REGEXMATCH(E10181, ""Ben帳戶|Elsa帳戶|Ben代墊|Ariel代墊|中信銀行共用""), REGEXMATCH(F10181, ""Ben帳戶|Elsa帳戶|Ben代墊|Ariel代墊|中信銀行共用"")), ""內部轉帳(忽略)"",
  AND(E10181&lt;&gt;"""", F10181&lt;&gt;"&amp;""""", NOT(REGEXMATCH(C10181, ""薪資""))), ""內部轉帳(忽略)"",
  REGEXMATCH(C10181, ""薪資""), ""薪資變動(不計入)"",
  REGEXMATCH(C10181, ""押金""), ""押金往來"",
  AND(E10181&lt;&gt;"""", F10181=""""), ""真實支出"",
  AND(E10181="""", F10181&lt;&gt;""""), ""真實收入"",
  TRUE, ""其他""
)"),"其他")</f>
        <v>其他</v>
      </c>
      <c r="K10181" s="270" t="str">
        <f t="shared" si="2"/>
        <v/>
      </c>
      <c r="L10181">
        <f t="shared" si="3"/>
        <v>0</v>
      </c>
    </row>
    <row r="10182">
      <c r="A10182" s="107"/>
      <c r="D10182" s="270"/>
      <c r="H10182" s="106" t="str">
        <f t="shared" si="1"/>
        <v/>
      </c>
      <c r="J10182" t="str">
        <f>IFERROR(__xludf.DUMMYFUNCTION("IFS(
  AND(REGEXMATCH(E10182, ""台銀籌備帳戶|玉山帳戶""), REGEXMATCH(C10182, ""薪資"")), ""分潤支出"",
  AND(REGEXMATCH(E10182, ""Ben帳戶|Elsa帳戶|Ben代墊|Ariel代墊|中信銀行共用""), REGEXMATCH(F10182, ""Ben帳戶|Elsa帳戶|Ben代墊|Ariel代墊|中信銀行共用"")), ""內部轉帳(忽略)"",
  AND(E10182&lt;&gt;"""", F10182&lt;&gt;"&amp;""""", NOT(REGEXMATCH(C10182, ""薪資""))), ""內部轉帳(忽略)"",
  REGEXMATCH(C10182, ""薪資""), ""薪資變動(不計入)"",
  REGEXMATCH(C10182, ""押金""), ""押金往來"",
  AND(E10182&lt;&gt;"""", F10182=""""), ""真實支出"",
  AND(E10182="""", F10182&lt;&gt;""""), ""真實收入"",
  TRUE, ""其他""
)"),"其他")</f>
        <v>其他</v>
      </c>
      <c r="K10182" s="270" t="str">
        <f t="shared" si="2"/>
        <v/>
      </c>
      <c r="L10182">
        <f t="shared" si="3"/>
        <v>0</v>
      </c>
    </row>
    <row r="10183">
      <c r="A10183" s="107"/>
      <c r="D10183" s="270"/>
      <c r="H10183" s="106" t="str">
        <f t="shared" si="1"/>
        <v/>
      </c>
      <c r="J10183" t="str">
        <f>IFERROR(__xludf.DUMMYFUNCTION("IFS(
  AND(REGEXMATCH(E10183, ""台銀籌備帳戶|玉山帳戶""), REGEXMATCH(C10183, ""薪資"")), ""分潤支出"",
  AND(REGEXMATCH(E10183, ""Ben帳戶|Elsa帳戶|Ben代墊|Ariel代墊|中信銀行共用""), REGEXMATCH(F10183, ""Ben帳戶|Elsa帳戶|Ben代墊|Ariel代墊|中信銀行共用"")), ""內部轉帳(忽略)"",
  AND(E10183&lt;&gt;"""", F10183&lt;&gt;"&amp;""""", NOT(REGEXMATCH(C10183, ""薪資""))), ""內部轉帳(忽略)"",
  REGEXMATCH(C10183, ""薪資""), ""薪資變動(不計入)"",
  REGEXMATCH(C10183, ""押金""), ""押金往來"",
  AND(E10183&lt;&gt;"""", F10183=""""), ""真實支出"",
  AND(E10183="""", F10183&lt;&gt;""""), ""真實收入"",
  TRUE, ""其他""
)"),"其他")</f>
        <v>其他</v>
      </c>
      <c r="K10183" s="270" t="str">
        <f t="shared" si="2"/>
        <v/>
      </c>
      <c r="L10183">
        <f t="shared" si="3"/>
        <v>0</v>
      </c>
    </row>
    <row r="10184">
      <c r="A10184" s="107"/>
      <c r="D10184" s="270"/>
      <c r="H10184" s="106" t="str">
        <f t="shared" si="1"/>
        <v/>
      </c>
      <c r="J10184" t="str">
        <f>IFERROR(__xludf.DUMMYFUNCTION("IFS(
  AND(REGEXMATCH(E10184, ""台銀籌備帳戶|玉山帳戶""), REGEXMATCH(C10184, ""薪資"")), ""分潤支出"",
  AND(REGEXMATCH(E10184, ""Ben帳戶|Elsa帳戶|Ben代墊|Ariel代墊|中信銀行共用""), REGEXMATCH(F10184, ""Ben帳戶|Elsa帳戶|Ben代墊|Ariel代墊|中信銀行共用"")), ""內部轉帳(忽略)"",
  AND(E10184&lt;&gt;"""", F10184&lt;&gt;"&amp;""""", NOT(REGEXMATCH(C10184, ""薪資""))), ""內部轉帳(忽略)"",
  REGEXMATCH(C10184, ""薪資""), ""薪資變動(不計入)"",
  REGEXMATCH(C10184, ""押金""), ""押金往來"",
  AND(E10184&lt;&gt;"""", F10184=""""), ""真實支出"",
  AND(E10184="""", F10184&lt;&gt;""""), ""真實收入"",
  TRUE, ""其他""
)"),"其他")</f>
        <v>其他</v>
      </c>
      <c r="K10184" s="270" t="str">
        <f t="shared" si="2"/>
        <v/>
      </c>
      <c r="L10184">
        <f t="shared" si="3"/>
        <v>0</v>
      </c>
    </row>
    <row r="10185">
      <c r="A10185" s="107"/>
      <c r="D10185" s="270"/>
      <c r="H10185" s="106" t="str">
        <f t="shared" si="1"/>
        <v/>
      </c>
      <c r="J10185" t="str">
        <f>IFERROR(__xludf.DUMMYFUNCTION("IFS(
  AND(REGEXMATCH(E10185, ""台銀籌備帳戶|玉山帳戶""), REGEXMATCH(C10185, ""薪資"")), ""分潤支出"",
  AND(REGEXMATCH(E10185, ""Ben帳戶|Elsa帳戶|Ben代墊|Ariel代墊|中信銀行共用""), REGEXMATCH(F10185, ""Ben帳戶|Elsa帳戶|Ben代墊|Ariel代墊|中信銀行共用"")), ""內部轉帳(忽略)"",
  AND(E10185&lt;&gt;"""", F10185&lt;&gt;"&amp;""""", NOT(REGEXMATCH(C10185, ""薪資""))), ""內部轉帳(忽略)"",
  REGEXMATCH(C10185, ""薪資""), ""薪資變動(不計入)"",
  REGEXMATCH(C10185, ""押金""), ""押金往來"",
  AND(E10185&lt;&gt;"""", F10185=""""), ""真實支出"",
  AND(E10185="""", F10185&lt;&gt;""""), ""真實收入"",
  TRUE, ""其他""
)"),"其他")</f>
        <v>其他</v>
      </c>
      <c r="K10185" s="270" t="str">
        <f t="shared" si="2"/>
        <v/>
      </c>
      <c r="L10185">
        <f t="shared" si="3"/>
        <v>0</v>
      </c>
    </row>
    <row r="10186">
      <c r="A10186" s="107"/>
      <c r="D10186" s="270"/>
      <c r="H10186" s="106" t="str">
        <f t="shared" si="1"/>
        <v/>
      </c>
      <c r="J10186" t="str">
        <f>IFERROR(__xludf.DUMMYFUNCTION("IFS(
  AND(REGEXMATCH(E10186, ""台銀籌備帳戶|玉山帳戶""), REGEXMATCH(C10186, ""薪資"")), ""分潤支出"",
  AND(REGEXMATCH(E10186, ""Ben帳戶|Elsa帳戶|Ben代墊|Ariel代墊|中信銀行共用""), REGEXMATCH(F10186, ""Ben帳戶|Elsa帳戶|Ben代墊|Ariel代墊|中信銀行共用"")), ""內部轉帳(忽略)"",
  AND(E10186&lt;&gt;"""", F10186&lt;&gt;"&amp;""""", NOT(REGEXMATCH(C10186, ""薪資""))), ""內部轉帳(忽略)"",
  REGEXMATCH(C10186, ""薪資""), ""薪資變動(不計入)"",
  REGEXMATCH(C10186, ""押金""), ""押金往來"",
  AND(E10186&lt;&gt;"""", F10186=""""), ""真實支出"",
  AND(E10186="""", F10186&lt;&gt;""""), ""真實收入"",
  TRUE, ""其他""
)"),"其他")</f>
        <v>其他</v>
      </c>
      <c r="K10186" s="270" t="str">
        <f t="shared" si="2"/>
        <v/>
      </c>
      <c r="L10186">
        <f t="shared" si="3"/>
        <v>0</v>
      </c>
    </row>
    <row r="10187">
      <c r="A10187" s="107"/>
      <c r="D10187" s="270"/>
      <c r="H10187" s="106" t="str">
        <f t="shared" si="1"/>
        <v/>
      </c>
      <c r="J10187" t="str">
        <f>IFERROR(__xludf.DUMMYFUNCTION("IFS(
  AND(REGEXMATCH(E10187, ""台銀籌備帳戶|玉山帳戶""), REGEXMATCH(C10187, ""薪資"")), ""分潤支出"",
  AND(REGEXMATCH(E10187, ""Ben帳戶|Elsa帳戶|Ben代墊|Ariel代墊|中信銀行共用""), REGEXMATCH(F10187, ""Ben帳戶|Elsa帳戶|Ben代墊|Ariel代墊|中信銀行共用"")), ""內部轉帳(忽略)"",
  AND(E10187&lt;&gt;"""", F10187&lt;&gt;"&amp;""""", NOT(REGEXMATCH(C10187, ""薪資""))), ""內部轉帳(忽略)"",
  REGEXMATCH(C10187, ""薪資""), ""薪資變動(不計入)"",
  REGEXMATCH(C10187, ""押金""), ""押金往來"",
  AND(E10187&lt;&gt;"""", F10187=""""), ""真實支出"",
  AND(E10187="""", F10187&lt;&gt;""""), ""真實收入"",
  TRUE, ""其他""
)"),"其他")</f>
        <v>其他</v>
      </c>
      <c r="K10187" s="270" t="str">
        <f t="shared" si="2"/>
        <v/>
      </c>
      <c r="L10187">
        <f t="shared" si="3"/>
        <v>0</v>
      </c>
    </row>
    <row r="10188">
      <c r="A10188" s="107"/>
      <c r="D10188" s="270"/>
      <c r="H10188" s="106" t="str">
        <f t="shared" si="1"/>
        <v/>
      </c>
      <c r="J10188" t="str">
        <f>IFERROR(__xludf.DUMMYFUNCTION("IFS(
  AND(REGEXMATCH(E10188, ""台銀籌備帳戶|玉山帳戶""), REGEXMATCH(C10188, ""薪資"")), ""分潤支出"",
  AND(REGEXMATCH(E10188, ""Ben帳戶|Elsa帳戶|Ben代墊|Ariel代墊|中信銀行共用""), REGEXMATCH(F10188, ""Ben帳戶|Elsa帳戶|Ben代墊|Ariel代墊|中信銀行共用"")), ""內部轉帳(忽略)"",
  AND(E10188&lt;&gt;"""", F10188&lt;&gt;"&amp;""""", NOT(REGEXMATCH(C10188, ""薪資""))), ""內部轉帳(忽略)"",
  REGEXMATCH(C10188, ""薪資""), ""薪資變動(不計入)"",
  REGEXMATCH(C10188, ""押金""), ""押金往來"",
  AND(E10188&lt;&gt;"""", F10188=""""), ""真實支出"",
  AND(E10188="""", F10188&lt;&gt;""""), ""真實收入"",
  TRUE, ""其他""
)"),"其他")</f>
        <v>其他</v>
      </c>
      <c r="K10188" s="270" t="str">
        <f t="shared" si="2"/>
        <v/>
      </c>
      <c r="L10188">
        <f t="shared" si="3"/>
        <v>0</v>
      </c>
    </row>
    <row r="10189">
      <c r="A10189" s="107"/>
      <c r="D10189" s="270"/>
      <c r="H10189" s="106" t="str">
        <f t="shared" si="1"/>
        <v/>
      </c>
      <c r="J10189" t="str">
        <f>IFERROR(__xludf.DUMMYFUNCTION("IFS(
  AND(REGEXMATCH(E10189, ""台銀籌備帳戶|玉山帳戶""), REGEXMATCH(C10189, ""薪資"")), ""分潤支出"",
  AND(REGEXMATCH(E10189, ""Ben帳戶|Elsa帳戶|Ben代墊|Ariel代墊|中信銀行共用""), REGEXMATCH(F10189, ""Ben帳戶|Elsa帳戶|Ben代墊|Ariel代墊|中信銀行共用"")), ""內部轉帳(忽略)"",
  AND(E10189&lt;&gt;"""", F10189&lt;&gt;"&amp;""""", NOT(REGEXMATCH(C10189, ""薪資""))), ""內部轉帳(忽略)"",
  REGEXMATCH(C10189, ""薪資""), ""薪資變動(不計入)"",
  REGEXMATCH(C10189, ""押金""), ""押金往來"",
  AND(E10189&lt;&gt;"""", F10189=""""), ""真實支出"",
  AND(E10189="""", F10189&lt;&gt;""""), ""真實收入"",
  TRUE, ""其他""
)"),"其他")</f>
        <v>其他</v>
      </c>
      <c r="K10189" s="270" t="str">
        <f t="shared" si="2"/>
        <v/>
      </c>
      <c r="L10189">
        <f t="shared" si="3"/>
        <v>0</v>
      </c>
    </row>
    <row r="10190">
      <c r="A10190" s="107"/>
      <c r="D10190" s="270"/>
      <c r="H10190" s="106" t="str">
        <f t="shared" si="1"/>
        <v/>
      </c>
      <c r="J10190" t="str">
        <f>IFERROR(__xludf.DUMMYFUNCTION("IFS(
  AND(REGEXMATCH(E10190, ""台銀籌備帳戶|玉山帳戶""), REGEXMATCH(C10190, ""薪資"")), ""分潤支出"",
  AND(REGEXMATCH(E10190, ""Ben帳戶|Elsa帳戶|Ben代墊|Ariel代墊|中信銀行共用""), REGEXMATCH(F10190, ""Ben帳戶|Elsa帳戶|Ben代墊|Ariel代墊|中信銀行共用"")), ""內部轉帳(忽略)"",
  AND(E10190&lt;&gt;"""", F10190&lt;&gt;"&amp;""""", NOT(REGEXMATCH(C10190, ""薪資""))), ""內部轉帳(忽略)"",
  REGEXMATCH(C10190, ""薪資""), ""薪資變動(不計入)"",
  REGEXMATCH(C10190, ""押金""), ""押金往來"",
  AND(E10190&lt;&gt;"""", F10190=""""), ""真實支出"",
  AND(E10190="""", F10190&lt;&gt;""""), ""真實收入"",
  TRUE, ""其他""
)"),"其他")</f>
        <v>其他</v>
      </c>
      <c r="K10190" s="270" t="str">
        <f t="shared" si="2"/>
        <v/>
      </c>
      <c r="L10190">
        <f t="shared" si="3"/>
        <v>0</v>
      </c>
    </row>
    <row r="10191">
      <c r="A10191" s="107"/>
      <c r="D10191" s="270"/>
      <c r="H10191" s="106" t="str">
        <f t="shared" si="1"/>
        <v/>
      </c>
      <c r="J10191" t="str">
        <f>IFERROR(__xludf.DUMMYFUNCTION("IFS(
  AND(REGEXMATCH(E10191, ""台銀籌備帳戶|玉山帳戶""), REGEXMATCH(C10191, ""薪資"")), ""分潤支出"",
  AND(REGEXMATCH(E10191, ""Ben帳戶|Elsa帳戶|Ben代墊|Ariel代墊|中信銀行共用""), REGEXMATCH(F10191, ""Ben帳戶|Elsa帳戶|Ben代墊|Ariel代墊|中信銀行共用"")), ""內部轉帳(忽略)"",
  AND(E10191&lt;&gt;"""", F10191&lt;&gt;"&amp;""""", NOT(REGEXMATCH(C10191, ""薪資""))), ""內部轉帳(忽略)"",
  REGEXMATCH(C10191, ""薪資""), ""薪資變動(不計入)"",
  REGEXMATCH(C10191, ""押金""), ""押金往來"",
  AND(E10191&lt;&gt;"""", F10191=""""), ""真實支出"",
  AND(E10191="""", F10191&lt;&gt;""""), ""真實收入"",
  TRUE, ""其他""
)"),"其他")</f>
        <v>其他</v>
      </c>
      <c r="K10191" s="270" t="str">
        <f t="shared" si="2"/>
        <v/>
      </c>
      <c r="L10191">
        <f t="shared" si="3"/>
        <v>0</v>
      </c>
    </row>
    <row r="10192">
      <c r="A10192" s="107"/>
      <c r="D10192" s="270"/>
      <c r="H10192" s="106" t="str">
        <f t="shared" si="1"/>
        <v/>
      </c>
      <c r="J10192" t="str">
        <f>IFERROR(__xludf.DUMMYFUNCTION("IFS(
  AND(REGEXMATCH(E10192, ""台銀籌備帳戶|玉山帳戶""), REGEXMATCH(C10192, ""薪資"")), ""分潤支出"",
  AND(REGEXMATCH(E10192, ""Ben帳戶|Elsa帳戶|Ben代墊|Ariel代墊|中信銀行共用""), REGEXMATCH(F10192, ""Ben帳戶|Elsa帳戶|Ben代墊|Ariel代墊|中信銀行共用"")), ""內部轉帳(忽略)"",
  AND(E10192&lt;&gt;"""", F10192&lt;&gt;"&amp;""""", NOT(REGEXMATCH(C10192, ""薪資""))), ""內部轉帳(忽略)"",
  REGEXMATCH(C10192, ""薪資""), ""薪資變動(不計入)"",
  REGEXMATCH(C10192, ""押金""), ""押金往來"",
  AND(E10192&lt;&gt;"""", F10192=""""), ""真實支出"",
  AND(E10192="""", F10192&lt;&gt;""""), ""真實收入"",
  TRUE, ""其他""
)"),"其他")</f>
        <v>其他</v>
      </c>
      <c r="K10192" s="270" t="str">
        <f t="shared" si="2"/>
        <v/>
      </c>
      <c r="L10192">
        <f t="shared" si="3"/>
        <v>0</v>
      </c>
    </row>
    <row r="10193">
      <c r="A10193" s="107"/>
      <c r="D10193" s="270"/>
      <c r="H10193" s="106" t="str">
        <f t="shared" si="1"/>
        <v/>
      </c>
      <c r="J10193" t="str">
        <f>IFERROR(__xludf.DUMMYFUNCTION("IFS(
  AND(REGEXMATCH(E10193, ""台銀籌備帳戶|玉山帳戶""), REGEXMATCH(C10193, ""薪資"")), ""分潤支出"",
  AND(REGEXMATCH(E10193, ""Ben帳戶|Elsa帳戶|Ben代墊|Ariel代墊|中信銀行共用""), REGEXMATCH(F10193, ""Ben帳戶|Elsa帳戶|Ben代墊|Ariel代墊|中信銀行共用"")), ""內部轉帳(忽略)"",
  AND(E10193&lt;&gt;"""", F10193&lt;&gt;"&amp;""""", NOT(REGEXMATCH(C10193, ""薪資""))), ""內部轉帳(忽略)"",
  REGEXMATCH(C10193, ""薪資""), ""薪資變動(不計入)"",
  REGEXMATCH(C10193, ""押金""), ""押金往來"",
  AND(E10193&lt;&gt;"""", F10193=""""), ""真實支出"",
  AND(E10193="""", F10193&lt;&gt;""""), ""真實收入"",
  TRUE, ""其他""
)"),"其他")</f>
        <v>其他</v>
      </c>
      <c r="K10193" s="270" t="str">
        <f t="shared" si="2"/>
        <v/>
      </c>
      <c r="L10193">
        <f t="shared" si="3"/>
        <v>0</v>
      </c>
    </row>
    <row r="10194">
      <c r="A10194" s="107"/>
      <c r="D10194" s="270"/>
      <c r="H10194" s="106" t="str">
        <f t="shared" si="1"/>
        <v/>
      </c>
      <c r="J10194" t="str">
        <f>IFERROR(__xludf.DUMMYFUNCTION("IFS(
  AND(REGEXMATCH(E10194, ""台銀籌備帳戶|玉山帳戶""), REGEXMATCH(C10194, ""薪資"")), ""分潤支出"",
  AND(REGEXMATCH(E10194, ""Ben帳戶|Elsa帳戶|Ben代墊|Ariel代墊|中信銀行共用""), REGEXMATCH(F10194, ""Ben帳戶|Elsa帳戶|Ben代墊|Ariel代墊|中信銀行共用"")), ""內部轉帳(忽略)"",
  AND(E10194&lt;&gt;"""", F10194&lt;&gt;"&amp;""""", NOT(REGEXMATCH(C10194, ""薪資""))), ""內部轉帳(忽略)"",
  REGEXMATCH(C10194, ""薪資""), ""薪資變動(不計入)"",
  REGEXMATCH(C10194, ""押金""), ""押金往來"",
  AND(E10194&lt;&gt;"""", F10194=""""), ""真實支出"",
  AND(E10194="""", F10194&lt;&gt;""""), ""真實收入"",
  TRUE, ""其他""
)"),"其他")</f>
        <v>其他</v>
      </c>
      <c r="K10194" s="270" t="str">
        <f t="shared" si="2"/>
        <v/>
      </c>
      <c r="L10194">
        <f t="shared" si="3"/>
        <v>0</v>
      </c>
    </row>
    <row r="10195">
      <c r="A10195" s="107"/>
      <c r="D10195" s="270"/>
      <c r="H10195" s="106" t="str">
        <f t="shared" si="1"/>
        <v/>
      </c>
      <c r="J10195" t="str">
        <f>IFERROR(__xludf.DUMMYFUNCTION("IFS(
  AND(REGEXMATCH(E10195, ""台銀籌備帳戶|玉山帳戶""), REGEXMATCH(C10195, ""薪資"")), ""分潤支出"",
  AND(REGEXMATCH(E10195, ""Ben帳戶|Elsa帳戶|Ben代墊|Ariel代墊|中信銀行共用""), REGEXMATCH(F10195, ""Ben帳戶|Elsa帳戶|Ben代墊|Ariel代墊|中信銀行共用"")), ""內部轉帳(忽略)"",
  AND(E10195&lt;&gt;"""", F10195&lt;&gt;"&amp;""""", NOT(REGEXMATCH(C10195, ""薪資""))), ""內部轉帳(忽略)"",
  REGEXMATCH(C10195, ""薪資""), ""薪資變動(不計入)"",
  REGEXMATCH(C10195, ""押金""), ""押金往來"",
  AND(E10195&lt;&gt;"""", F10195=""""), ""真實支出"",
  AND(E10195="""", F10195&lt;&gt;""""), ""真實收入"",
  TRUE, ""其他""
)"),"其他")</f>
        <v>其他</v>
      </c>
      <c r="K10195" s="270" t="str">
        <f t="shared" si="2"/>
        <v/>
      </c>
      <c r="L10195">
        <f t="shared" si="3"/>
        <v>0</v>
      </c>
    </row>
    <row r="10196">
      <c r="A10196" s="107"/>
      <c r="D10196" s="270"/>
      <c r="H10196" s="106" t="str">
        <f t="shared" si="1"/>
        <v/>
      </c>
      <c r="J10196" t="str">
        <f>IFERROR(__xludf.DUMMYFUNCTION("IFS(
  AND(REGEXMATCH(E10196, ""台銀籌備帳戶|玉山帳戶""), REGEXMATCH(C10196, ""薪資"")), ""分潤支出"",
  AND(REGEXMATCH(E10196, ""Ben帳戶|Elsa帳戶|Ben代墊|Ariel代墊|中信銀行共用""), REGEXMATCH(F10196, ""Ben帳戶|Elsa帳戶|Ben代墊|Ariel代墊|中信銀行共用"")), ""內部轉帳(忽略)"",
  AND(E10196&lt;&gt;"""", F10196&lt;&gt;"&amp;""""", NOT(REGEXMATCH(C10196, ""薪資""))), ""內部轉帳(忽略)"",
  REGEXMATCH(C10196, ""薪資""), ""薪資變動(不計入)"",
  REGEXMATCH(C10196, ""押金""), ""押金往來"",
  AND(E10196&lt;&gt;"""", F10196=""""), ""真實支出"",
  AND(E10196="""", F10196&lt;&gt;""""), ""真實收入"",
  TRUE, ""其他""
)"),"其他")</f>
        <v>其他</v>
      </c>
      <c r="K10196" s="270" t="str">
        <f t="shared" si="2"/>
        <v/>
      </c>
      <c r="L10196">
        <f t="shared" si="3"/>
        <v>0</v>
      </c>
    </row>
    <row r="10197">
      <c r="A10197" s="107"/>
      <c r="D10197" s="270"/>
      <c r="H10197" s="106" t="str">
        <f t="shared" si="1"/>
        <v/>
      </c>
      <c r="J10197" t="str">
        <f>IFERROR(__xludf.DUMMYFUNCTION("IFS(
  AND(REGEXMATCH(E10197, ""台銀籌備帳戶|玉山帳戶""), REGEXMATCH(C10197, ""薪資"")), ""分潤支出"",
  AND(REGEXMATCH(E10197, ""Ben帳戶|Elsa帳戶|Ben代墊|Ariel代墊|中信銀行共用""), REGEXMATCH(F10197, ""Ben帳戶|Elsa帳戶|Ben代墊|Ariel代墊|中信銀行共用"")), ""內部轉帳(忽略)"",
  AND(E10197&lt;&gt;"""", F10197&lt;&gt;"&amp;""""", NOT(REGEXMATCH(C10197, ""薪資""))), ""內部轉帳(忽略)"",
  REGEXMATCH(C10197, ""薪資""), ""薪資變動(不計入)"",
  REGEXMATCH(C10197, ""押金""), ""押金往來"",
  AND(E10197&lt;&gt;"""", F10197=""""), ""真實支出"",
  AND(E10197="""", F10197&lt;&gt;""""), ""真實收入"",
  TRUE, ""其他""
)"),"其他")</f>
        <v>其他</v>
      </c>
      <c r="K10197" s="270" t="str">
        <f t="shared" si="2"/>
        <v/>
      </c>
      <c r="L10197">
        <f t="shared" si="3"/>
        <v>0</v>
      </c>
    </row>
    <row r="10198">
      <c r="A10198" s="107"/>
      <c r="D10198" s="270"/>
      <c r="H10198" s="106" t="str">
        <f t="shared" si="1"/>
        <v/>
      </c>
      <c r="J10198" t="str">
        <f>IFERROR(__xludf.DUMMYFUNCTION("IFS(
  AND(REGEXMATCH(E10198, ""台銀籌備帳戶|玉山帳戶""), REGEXMATCH(C10198, ""薪資"")), ""分潤支出"",
  AND(REGEXMATCH(E10198, ""Ben帳戶|Elsa帳戶|Ben代墊|Ariel代墊|中信銀行共用""), REGEXMATCH(F10198, ""Ben帳戶|Elsa帳戶|Ben代墊|Ariel代墊|中信銀行共用"")), ""內部轉帳(忽略)"",
  AND(E10198&lt;&gt;"""", F10198&lt;&gt;"&amp;""""", NOT(REGEXMATCH(C10198, ""薪資""))), ""內部轉帳(忽略)"",
  REGEXMATCH(C10198, ""薪資""), ""薪資變動(不計入)"",
  REGEXMATCH(C10198, ""押金""), ""押金往來"",
  AND(E10198&lt;&gt;"""", F10198=""""), ""真實支出"",
  AND(E10198="""", F10198&lt;&gt;""""), ""真實收入"",
  TRUE, ""其他""
)"),"其他")</f>
        <v>其他</v>
      </c>
      <c r="K10198" s="270" t="str">
        <f t="shared" si="2"/>
        <v/>
      </c>
      <c r="L10198">
        <f t="shared" si="3"/>
        <v>0</v>
      </c>
    </row>
    <row r="10199">
      <c r="A10199" s="107"/>
      <c r="D10199" s="270"/>
      <c r="H10199" s="106" t="str">
        <f t="shared" si="1"/>
        <v/>
      </c>
      <c r="J10199" t="str">
        <f>IFERROR(__xludf.DUMMYFUNCTION("IFS(
  AND(REGEXMATCH(E10199, ""台銀籌備帳戶|玉山帳戶""), REGEXMATCH(C10199, ""薪資"")), ""分潤支出"",
  AND(REGEXMATCH(E10199, ""Ben帳戶|Elsa帳戶|Ben代墊|Ariel代墊|中信銀行共用""), REGEXMATCH(F10199, ""Ben帳戶|Elsa帳戶|Ben代墊|Ariel代墊|中信銀行共用"")), ""內部轉帳(忽略)"",
  AND(E10199&lt;&gt;"""", F10199&lt;&gt;"&amp;""""", NOT(REGEXMATCH(C10199, ""薪資""))), ""內部轉帳(忽略)"",
  REGEXMATCH(C10199, ""薪資""), ""薪資變動(不計入)"",
  REGEXMATCH(C10199, ""押金""), ""押金往來"",
  AND(E10199&lt;&gt;"""", F10199=""""), ""真實支出"",
  AND(E10199="""", F10199&lt;&gt;""""), ""真實收入"",
  TRUE, ""其他""
)"),"其他")</f>
        <v>其他</v>
      </c>
      <c r="K10199" s="270" t="str">
        <f t="shared" si="2"/>
        <v/>
      </c>
      <c r="L10199">
        <f t="shared" si="3"/>
        <v>0</v>
      </c>
    </row>
    <row r="10200">
      <c r="A10200" s="107"/>
      <c r="D10200" s="270"/>
      <c r="H10200" s="106" t="str">
        <f t="shared" si="1"/>
        <v/>
      </c>
      <c r="J10200" t="str">
        <f>IFERROR(__xludf.DUMMYFUNCTION("IFS(
  AND(REGEXMATCH(E10200, ""台銀籌備帳戶|玉山帳戶""), REGEXMATCH(C10200, ""薪資"")), ""分潤支出"",
  AND(REGEXMATCH(E10200, ""Ben帳戶|Elsa帳戶|Ben代墊|Ariel代墊|中信銀行共用""), REGEXMATCH(F10200, ""Ben帳戶|Elsa帳戶|Ben代墊|Ariel代墊|中信銀行共用"")), ""內部轉帳(忽略)"",
  AND(E10200&lt;&gt;"""", F10200&lt;&gt;"&amp;""""", NOT(REGEXMATCH(C10200, ""薪資""))), ""內部轉帳(忽略)"",
  REGEXMATCH(C10200, ""薪資""), ""薪資變動(不計入)"",
  REGEXMATCH(C10200, ""押金""), ""押金往來"",
  AND(E10200&lt;&gt;"""", F10200=""""), ""真實支出"",
  AND(E10200="""", F10200&lt;&gt;""""), ""真實收入"",
  TRUE, ""其他""
)"),"其他")</f>
        <v>其他</v>
      </c>
      <c r="K10200" s="270" t="str">
        <f t="shared" si="2"/>
        <v/>
      </c>
      <c r="L10200">
        <f t="shared" si="3"/>
        <v>0</v>
      </c>
    </row>
    <row r="10201">
      <c r="A10201" s="107"/>
      <c r="D10201" s="270"/>
      <c r="H10201" s="106" t="str">
        <f t="shared" si="1"/>
        <v/>
      </c>
      <c r="J10201" t="str">
        <f>IFERROR(__xludf.DUMMYFUNCTION("IFS(
  AND(REGEXMATCH(E10201, ""台銀籌備帳戶|玉山帳戶""), REGEXMATCH(C10201, ""薪資"")), ""分潤支出"",
  AND(REGEXMATCH(E10201, ""Ben帳戶|Elsa帳戶|Ben代墊|Ariel代墊|中信銀行共用""), REGEXMATCH(F10201, ""Ben帳戶|Elsa帳戶|Ben代墊|Ariel代墊|中信銀行共用"")), ""內部轉帳(忽略)"",
  AND(E10201&lt;&gt;"""", F10201&lt;&gt;"&amp;""""", NOT(REGEXMATCH(C10201, ""薪資""))), ""內部轉帳(忽略)"",
  REGEXMATCH(C10201, ""薪資""), ""薪資變動(不計入)"",
  REGEXMATCH(C10201, ""押金""), ""押金往來"",
  AND(E10201&lt;&gt;"""", F10201=""""), ""真實支出"",
  AND(E10201="""", F10201&lt;&gt;""""), ""真實收入"",
  TRUE, ""其他""
)"),"其他")</f>
        <v>其他</v>
      </c>
      <c r="K10201" s="270" t="str">
        <f t="shared" si="2"/>
        <v/>
      </c>
      <c r="L10201">
        <f t="shared" si="3"/>
        <v>0</v>
      </c>
    </row>
    <row r="10202">
      <c r="A10202" s="107"/>
      <c r="D10202" s="270"/>
      <c r="H10202" s="106" t="str">
        <f t="shared" si="1"/>
        <v/>
      </c>
      <c r="J10202" t="str">
        <f>IFERROR(__xludf.DUMMYFUNCTION("IFS(
  AND(REGEXMATCH(E10202, ""台銀籌備帳戶|玉山帳戶""), REGEXMATCH(C10202, ""薪資"")), ""分潤支出"",
  AND(REGEXMATCH(E10202, ""Ben帳戶|Elsa帳戶|Ben代墊|Ariel代墊|中信銀行共用""), REGEXMATCH(F10202, ""Ben帳戶|Elsa帳戶|Ben代墊|Ariel代墊|中信銀行共用"")), ""內部轉帳(忽略)"",
  AND(E10202&lt;&gt;"""", F10202&lt;&gt;"&amp;""""", NOT(REGEXMATCH(C10202, ""薪資""))), ""內部轉帳(忽略)"",
  REGEXMATCH(C10202, ""薪資""), ""薪資變動(不計入)"",
  REGEXMATCH(C10202, ""押金""), ""押金往來"",
  AND(E10202&lt;&gt;"""", F10202=""""), ""真實支出"",
  AND(E10202="""", F10202&lt;&gt;""""), ""真實收入"",
  TRUE, ""其他""
)"),"其他")</f>
        <v>其他</v>
      </c>
      <c r="K10202" s="270" t="str">
        <f t="shared" si="2"/>
        <v/>
      </c>
      <c r="L10202">
        <f t="shared" si="3"/>
        <v>0</v>
      </c>
    </row>
    <row r="10203">
      <c r="A10203" s="107"/>
      <c r="D10203" s="270"/>
      <c r="H10203" s="106" t="str">
        <f t="shared" si="1"/>
        <v/>
      </c>
      <c r="J10203" t="str">
        <f>IFERROR(__xludf.DUMMYFUNCTION("IFS(
  AND(REGEXMATCH(E10203, ""台銀籌備帳戶|玉山帳戶""), REGEXMATCH(C10203, ""薪資"")), ""分潤支出"",
  AND(REGEXMATCH(E10203, ""Ben帳戶|Elsa帳戶|Ben代墊|Ariel代墊|中信銀行共用""), REGEXMATCH(F10203, ""Ben帳戶|Elsa帳戶|Ben代墊|Ariel代墊|中信銀行共用"")), ""內部轉帳(忽略)"",
  AND(E10203&lt;&gt;"""", F10203&lt;&gt;"&amp;""""", NOT(REGEXMATCH(C10203, ""薪資""))), ""內部轉帳(忽略)"",
  REGEXMATCH(C10203, ""薪資""), ""薪資變動(不計入)"",
  REGEXMATCH(C10203, ""押金""), ""押金往來"",
  AND(E10203&lt;&gt;"""", F10203=""""), ""真實支出"",
  AND(E10203="""", F10203&lt;&gt;""""), ""真實收入"",
  TRUE, ""其他""
)"),"其他")</f>
        <v>其他</v>
      </c>
      <c r="K10203" s="270" t="str">
        <f t="shared" si="2"/>
        <v/>
      </c>
      <c r="L10203">
        <f t="shared" si="3"/>
        <v>0</v>
      </c>
    </row>
    <row r="10204">
      <c r="A10204" s="107"/>
      <c r="D10204" s="270"/>
      <c r="H10204" s="106" t="str">
        <f t="shared" si="1"/>
        <v/>
      </c>
      <c r="J10204" t="str">
        <f>IFERROR(__xludf.DUMMYFUNCTION("IFS(
  AND(REGEXMATCH(E10204, ""台銀籌備帳戶|玉山帳戶""), REGEXMATCH(C10204, ""薪資"")), ""分潤支出"",
  AND(REGEXMATCH(E10204, ""Ben帳戶|Elsa帳戶|Ben代墊|Ariel代墊|中信銀行共用""), REGEXMATCH(F10204, ""Ben帳戶|Elsa帳戶|Ben代墊|Ariel代墊|中信銀行共用"")), ""內部轉帳(忽略)"",
  AND(E10204&lt;&gt;"""", F10204&lt;&gt;"&amp;""""", NOT(REGEXMATCH(C10204, ""薪資""))), ""內部轉帳(忽略)"",
  REGEXMATCH(C10204, ""薪資""), ""薪資變動(不計入)"",
  REGEXMATCH(C10204, ""押金""), ""押金往來"",
  AND(E10204&lt;&gt;"""", F10204=""""), ""真實支出"",
  AND(E10204="""", F10204&lt;&gt;""""), ""真實收入"",
  TRUE, ""其他""
)"),"其他")</f>
        <v>其他</v>
      </c>
      <c r="K10204" s="270" t="str">
        <f t="shared" si="2"/>
        <v/>
      </c>
      <c r="L10204">
        <f t="shared" si="3"/>
        <v>0</v>
      </c>
    </row>
    <row r="10205">
      <c r="A10205" s="107"/>
      <c r="D10205" s="270"/>
      <c r="H10205" s="106" t="str">
        <f t="shared" si="1"/>
        <v/>
      </c>
      <c r="J10205" t="str">
        <f>IFERROR(__xludf.DUMMYFUNCTION("IFS(
  AND(REGEXMATCH(E10205, ""台銀籌備帳戶|玉山帳戶""), REGEXMATCH(C10205, ""薪資"")), ""分潤支出"",
  AND(REGEXMATCH(E10205, ""Ben帳戶|Elsa帳戶|Ben代墊|Ariel代墊|中信銀行共用""), REGEXMATCH(F10205, ""Ben帳戶|Elsa帳戶|Ben代墊|Ariel代墊|中信銀行共用"")), ""內部轉帳(忽略)"",
  AND(E10205&lt;&gt;"""", F10205&lt;&gt;"&amp;""""", NOT(REGEXMATCH(C10205, ""薪資""))), ""內部轉帳(忽略)"",
  REGEXMATCH(C10205, ""薪資""), ""薪資變動(不計入)"",
  REGEXMATCH(C10205, ""押金""), ""押金往來"",
  AND(E10205&lt;&gt;"""", F10205=""""), ""真實支出"",
  AND(E10205="""", F10205&lt;&gt;""""), ""真實收入"",
  TRUE, ""其他""
)"),"其他")</f>
        <v>其他</v>
      </c>
      <c r="K10205" s="270" t="str">
        <f t="shared" si="2"/>
        <v/>
      </c>
      <c r="L10205">
        <f t="shared" si="3"/>
        <v>0</v>
      </c>
    </row>
    <row r="10206">
      <c r="A10206" s="107"/>
      <c r="D10206" s="270"/>
      <c r="H10206" s="106" t="str">
        <f t="shared" si="1"/>
        <v/>
      </c>
      <c r="J10206" t="str">
        <f>IFERROR(__xludf.DUMMYFUNCTION("IFS(
  AND(REGEXMATCH(E10206, ""台銀籌備帳戶|玉山帳戶""), REGEXMATCH(C10206, ""薪資"")), ""分潤支出"",
  AND(REGEXMATCH(E10206, ""Ben帳戶|Elsa帳戶|Ben代墊|Ariel代墊|中信銀行共用""), REGEXMATCH(F10206, ""Ben帳戶|Elsa帳戶|Ben代墊|Ariel代墊|中信銀行共用"")), ""內部轉帳(忽略)"",
  AND(E10206&lt;&gt;"""", F10206&lt;&gt;"&amp;""""", NOT(REGEXMATCH(C10206, ""薪資""))), ""內部轉帳(忽略)"",
  REGEXMATCH(C10206, ""薪資""), ""薪資變動(不計入)"",
  REGEXMATCH(C10206, ""押金""), ""押金往來"",
  AND(E10206&lt;&gt;"""", F10206=""""), ""真實支出"",
  AND(E10206="""", F10206&lt;&gt;""""), ""真實收入"",
  TRUE, ""其他""
)"),"其他")</f>
        <v>其他</v>
      </c>
      <c r="K10206" s="270" t="str">
        <f t="shared" si="2"/>
        <v/>
      </c>
      <c r="L10206">
        <f t="shared" si="3"/>
        <v>0</v>
      </c>
    </row>
    <row r="10207">
      <c r="A10207" s="107"/>
      <c r="D10207" s="270"/>
      <c r="H10207" s="106" t="str">
        <f t="shared" si="1"/>
        <v/>
      </c>
      <c r="J10207" t="str">
        <f>IFERROR(__xludf.DUMMYFUNCTION("IFS(
  AND(REGEXMATCH(E10207, ""台銀籌備帳戶|玉山帳戶""), REGEXMATCH(C10207, ""薪資"")), ""分潤支出"",
  AND(REGEXMATCH(E10207, ""Ben帳戶|Elsa帳戶|Ben代墊|Ariel代墊|中信銀行共用""), REGEXMATCH(F10207, ""Ben帳戶|Elsa帳戶|Ben代墊|Ariel代墊|中信銀行共用"")), ""內部轉帳(忽略)"",
  AND(E10207&lt;&gt;"""", F10207&lt;&gt;"&amp;""""", NOT(REGEXMATCH(C10207, ""薪資""))), ""內部轉帳(忽略)"",
  REGEXMATCH(C10207, ""薪資""), ""薪資變動(不計入)"",
  REGEXMATCH(C10207, ""押金""), ""押金往來"",
  AND(E10207&lt;&gt;"""", F10207=""""), ""真實支出"",
  AND(E10207="""", F10207&lt;&gt;""""), ""真實收入"",
  TRUE, ""其他""
)"),"其他")</f>
        <v>其他</v>
      </c>
      <c r="K10207" s="270" t="str">
        <f t="shared" si="2"/>
        <v/>
      </c>
      <c r="L10207">
        <f t="shared" si="3"/>
        <v>0</v>
      </c>
    </row>
    <row r="10208">
      <c r="A10208" s="107"/>
      <c r="D10208" s="270"/>
      <c r="H10208" s="106" t="str">
        <f t="shared" si="1"/>
        <v/>
      </c>
      <c r="J10208" t="str">
        <f>IFERROR(__xludf.DUMMYFUNCTION("IFS(
  AND(REGEXMATCH(E10208, ""台銀籌備帳戶|玉山帳戶""), REGEXMATCH(C10208, ""薪資"")), ""分潤支出"",
  AND(REGEXMATCH(E10208, ""Ben帳戶|Elsa帳戶|Ben代墊|Ariel代墊|中信銀行共用""), REGEXMATCH(F10208, ""Ben帳戶|Elsa帳戶|Ben代墊|Ariel代墊|中信銀行共用"")), ""內部轉帳(忽略)"",
  AND(E10208&lt;&gt;"""", F10208&lt;&gt;"&amp;""""", NOT(REGEXMATCH(C10208, ""薪資""))), ""內部轉帳(忽略)"",
  REGEXMATCH(C10208, ""薪資""), ""薪資變動(不計入)"",
  REGEXMATCH(C10208, ""押金""), ""押金往來"",
  AND(E10208&lt;&gt;"""", F10208=""""), ""真實支出"",
  AND(E10208="""", F10208&lt;&gt;""""), ""真實收入"",
  TRUE, ""其他""
)"),"其他")</f>
        <v>其他</v>
      </c>
      <c r="K10208" s="270" t="str">
        <f t="shared" si="2"/>
        <v/>
      </c>
      <c r="L10208">
        <f t="shared" si="3"/>
        <v>0</v>
      </c>
    </row>
    <row r="10209">
      <c r="A10209" s="107"/>
      <c r="D10209" s="270"/>
      <c r="H10209" s="106" t="str">
        <f t="shared" si="1"/>
        <v/>
      </c>
      <c r="J10209" t="str">
        <f>IFERROR(__xludf.DUMMYFUNCTION("IFS(
  AND(REGEXMATCH(E10209, ""台銀籌備帳戶|玉山帳戶""), REGEXMATCH(C10209, ""薪資"")), ""分潤支出"",
  AND(REGEXMATCH(E10209, ""Ben帳戶|Elsa帳戶|Ben代墊|Ariel代墊|中信銀行共用""), REGEXMATCH(F10209, ""Ben帳戶|Elsa帳戶|Ben代墊|Ariel代墊|中信銀行共用"")), ""內部轉帳(忽略)"",
  AND(E10209&lt;&gt;"""", F10209&lt;&gt;"&amp;""""", NOT(REGEXMATCH(C10209, ""薪資""))), ""內部轉帳(忽略)"",
  REGEXMATCH(C10209, ""薪資""), ""薪資變動(不計入)"",
  REGEXMATCH(C10209, ""押金""), ""押金往來"",
  AND(E10209&lt;&gt;"""", F10209=""""), ""真實支出"",
  AND(E10209="""", F10209&lt;&gt;""""), ""真實收入"",
  TRUE, ""其他""
)"),"其他")</f>
        <v>其他</v>
      </c>
      <c r="K10209" s="270" t="str">
        <f t="shared" si="2"/>
        <v/>
      </c>
      <c r="L10209">
        <f t="shared" si="3"/>
        <v>0</v>
      </c>
    </row>
    <row r="10210">
      <c r="A10210" s="107"/>
      <c r="D10210" s="270"/>
      <c r="H10210" s="106" t="str">
        <f t="shared" si="1"/>
        <v/>
      </c>
      <c r="J10210" t="str">
        <f>IFERROR(__xludf.DUMMYFUNCTION("IFS(
  AND(REGEXMATCH(E10210, ""台銀籌備帳戶|玉山帳戶""), REGEXMATCH(C10210, ""薪資"")), ""分潤支出"",
  AND(REGEXMATCH(E10210, ""Ben帳戶|Elsa帳戶|Ben代墊|Ariel代墊|中信銀行共用""), REGEXMATCH(F10210, ""Ben帳戶|Elsa帳戶|Ben代墊|Ariel代墊|中信銀行共用"")), ""內部轉帳(忽略)"",
  AND(E10210&lt;&gt;"""", F10210&lt;&gt;"&amp;""""", NOT(REGEXMATCH(C10210, ""薪資""))), ""內部轉帳(忽略)"",
  REGEXMATCH(C10210, ""薪資""), ""薪資變動(不計入)"",
  REGEXMATCH(C10210, ""押金""), ""押金往來"",
  AND(E10210&lt;&gt;"""", F10210=""""), ""真實支出"",
  AND(E10210="""", F10210&lt;&gt;""""), ""真實收入"",
  TRUE, ""其他""
)"),"其他")</f>
        <v>其他</v>
      </c>
      <c r="K10210" s="270" t="str">
        <f t="shared" si="2"/>
        <v/>
      </c>
      <c r="L10210">
        <f t="shared" si="3"/>
        <v>0</v>
      </c>
    </row>
    <row r="10211">
      <c r="A10211" s="107"/>
      <c r="D10211" s="270"/>
      <c r="H10211" s="106" t="str">
        <f t="shared" si="1"/>
        <v/>
      </c>
      <c r="J10211" t="str">
        <f>IFERROR(__xludf.DUMMYFUNCTION("IFS(
  AND(REGEXMATCH(E10211, ""台銀籌備帳戶|玉山帳戶""), REGEXMATCH(C10211, ""薪資"")), ""分潤支出"",
  AND(REGEXMATCH(E10211, ""Ben帳戶|Elsa帳戶|Ben代墊|Ariel代墊|中信銀行共用""), REGEXMATCH(F10211, ""Ben帳戶|Elsa帳戶|Ben代墊|Ariel代墊|中信銀行共用"")), ""內部轉帳(忽略)"",
  AND(E10211&lt;&gt;"""", F10211&lt;&gt;"&amp;""""", NOT(REGEXMATCH(C10211, ""薪資""))), ""內部轉帳(忽略)"",
  REGEXMATCH(C10211, ""薪資""), ""薪資變動(不計入)"",
  REGEXMATCH(C10211, ""押金""), ""押金往來"",
  AND(E10211&lt;&gt;"""", F10211=""""), ""真實支出"",
  AND(E10211="""", F10211&lt;&gt;""""), ""真實收入"",
  TRUE, ""其他""
)"),"其他")</f>
        <v>其他</v>
      </c>
      <c r="K10211" s="270" t="str">
        <f t="shared" si="2"/>
        <v/>
      </c>
      <c r="L10211">
        <f t="shared" si="3"/>
        <v>0</v>
      </c>
    </row>
    <row r="10212">
      <c r="A10212" s="107"/>
      <c r="D10212" s="270"/>
      <c r="H10212" s="106" t="str">
        <f t="shared" si="1"/>
        <v/>
      </c>
      <c r="J10212" t="str">
        <f>IFERROR(__xludf.DUMMYFUNCTION("IFS(
  AND(REGEXMATCH(E10212, ""台銀籌備帳戶|玉山帳戶""), REGEXMATCH(C10212, ""薪資"")), ""分潤支出"",
  AND(REGEXMATCH(E10212, ""Ben帳戶|Elsa帳戶|Ben代墊|Ariel代墊|中信銀行共用""), REGEXMATCH(F10212, ""Ben帳戶|Elsa帳戶|Ben代墊|Ariel代墊|中信銀行共用"")), ""內部轉帳(忽略)"",
  AND(E10212&lt;&gt;"""", F10212&lt;&gt;"&amp;""""", NOT(REGEXMATCH(C10212, ""薪資""))), ""內部轉帳(忽略)"",
  REGEXMATCH(C10212, ""薪資""), ""薪資變動(不計入)"",
  REGEXMATCH(C10212, ""押金""), ""押金往來"",
  AND(E10212&lt;&gt;"""", F10212=""""), ""真實支出"",
  AND(E10212="""", F10212&lt;&gt;""""), ""真實收入"",
  TRUE, ""其他""
)"),"其他")</f>
        <v>其他</v>
      </c>
      <c r="K10212" s="270" t="str">
        <f t="shared" si="2"/>
        <v/>
      </c>
      <c r="L10212">
        <f t="shared" si="3"/>
        <v>0</v>
      </c>
    </row>
    <row r="10213">
      <c r="A10213" s="107"/>
      <c r="D10213" s="270"/>
      <c r="H10213" s="106" t="str">
        <f t="shared" si="1"/>
        <v/>
      </c>
      <c r="J10213" t="str">
        <f>IFERROR(__xludf.DUMMYFUNCTION("IFS(
  AND(REGEXMATCH(E10213, ""台銀籌備帳戶|玉山帳戶""), REGEXMATCH(C10213, ""薪資"")), ""分潤支出"",
  AND(REGEXMATCH(E10213, ""Ben帳戶|Elsa帳戶|Ben代墊|Ariel代墊|中信銀行共用""), REGEXMATCH(F10213, ""Ben帳戶|Elsa帳戶|Ben代墊|Ariel代墊|中信銀行共用"")), ""內部轉帳(忽略)"",
  AND(E10213&lt;&gt;"""", F10213&lt;&gt;"&amp;""""", NOT(REGEXMATCH(C10213, ""薪資""))), ""內部轉帳(忽略)"",
  REGEXMATCH(C10213, ""薪資""), ""薪資變動(不計入)"",
  REGEXMATCH(C10213, ""押金""), ""押金往來"",
  AND(E10213&lt;&gt;"""", F10213=""""), ""真實支出"",
  AND(E10213="""", F10213&lt;&gt;""""), ""真實收入"",
  TRUE, ""其他""
)"),"其他")</f>
        <v>其他</v>
      </c>
      <c r="K10213" s="270" t="str">
        <f t="shared" si="2"/>
        <v/>
      </c>
      <c r="L10213">
        <f t="shared" si="3"/>
        <v>0</v>
      </c>
    </row>
    <row r="10214">
      <c r="A10214" s="107"/>
      <c r="D10214" s="270"/>
      <c r="H10214" s="106" t="str">
        <f t="shared" si="1"/>
        <v/>
      </c>
      <c r="J10214" t="str">
        <f>IFERROR(__xludf.DUMMYFUNCTION("IFS(
  AND(REGEXMATCH(E10214, ""台銀籌備帳戶|玉山帳戶""), REGEXMATCH(C10214, ""薪資"")), ""分潤支出"",
  AND(REGEXMATCH(E10214, ""Ben帳戶|Elsa帳戶|Ben代墊|Ariel代墊|中信銀行共用""), REGEXMATCH(F10214, ""Ben帳戶|Elsa帳戶|Ben代墊|Ariel代墊|中信銀行共用"")), ""內部轉帳(忽略)"",
  AND(E10214&lt;&gt;"""", F10214&lt;&gt;"&amp;""""", NOT(REGEXMATCH(C10214, ""薪資""))), ""內部轉帳(忽略)"",
  REGEXMATCH(C10214, ""薪資""), ""薪資變動(不計入)"",
  REGEXMATCH(C10214, ""押金""), ""押金往來"",
  AND(E10214&lt;&gt;"""", F10214=""""), ""真實支出"",
  AND(E10214="""", F10214&lt;&gt;""""), ""真實收入"",
  TRUE, ""其他""
)"),"其他")</f>
        <v>其他</v>
      </c>
      <c r="K10214" s="270" t="str">
        <f t="shared" si="2"/>
        <v/>
      </c>
      <c r="L10214">
        <f t="shared" si="3"/>
        <v>0</v>
      </c>
    </row>
    <row r="10215">
      <c r="A10215" s="107"/>
      <c r="D10215" s="270"/>
      <c r="H10215" s="106" t="str">
        <f t="shared" si="1"/>
        <v/>
      </c>
      <c r="J10215" t="str">
        <f>IFERROR(__xludf.DUMMYFUNCTION("IFS(
  AND(REGEXMATCH(E10215, ""台銀籌備帳戶|玉山帳戶""), REGEXMATCH(C10215, ""薪資"")), ""分潤支出"",
  AND(REGEXMATCH(E10215, ""Ben帳戶|Elsa帳戶|Ben代墊|Ariel代墊|中信銀行共用""), REGEXMATCH(F10215, ""Ben帳戶|Elsa帳戶|Ben代墊|Ariel代墊|中信銀行共用"")), ""內部轉帳(忽略)"",
  AND(E10215&lt;&gt;"""", F10215&lt;&gt;"&amp;""""", NOT(REGEXMATCH(C10215, ""薪資""))), ""內部轉帳(忽略)"",
  REGEXMATCH(C10215, ""薪資""), ""薪資變動(不計入)"",
  REGEXMATCH(C10215, ""押金""), ""押金往來"",
  AND(E10215&lt;&gt;"""", F10215=""""), ""真實支出"",
  AND(E10215="""", F10215&lt;&gt;""""), ""真實收入"",
  TRUE, ""其他""
)"),"其他")</f>
        <v>其他</v>
      </c>
      <c r="K10215" s="270" t="str">
        <f t="shared" si="2"/>
        <v/>
      </c>
      <c r="L10215">
        <f t="shared" si="3"/>
        <v>0</v>
      </c>
    </row>
    <row r="10216">
      <c r="A10216" s="107"/>
      <c r="D10216" s="270"/>
      <c r="H10216" s="106" t="str">
        <f t="shared" si="1"/>
        <v/>
      </c>
      <c r="J10216" t="str">
        <f>IFERROR(__xludf.DUMMYFUNCTION("IFS(
  AND(REGEXMATCH(E10216, ""台銀籌備帳戶|玉山帳戶""), REGEXMATCH(C10216, ""薪資"")), ""分潤支出"",
  AND(REGEXMATCH(E10216, ""Ben帳戶|Elsa帳戶|Ben代墊|Ariel代墊|中信銀行共用""), REGEXMATCH(F10216, ""Ben帳戶|Elsa帳戶|Ben代墊|Ariel代墊|中信銀行共用"")), ""內部轉帳(忽略)"",
  AND(E10216&lt;&gt;"""", F10216&lt;&gt;"&amp;""""", NOT(REGEXMATCH(C10216, ""薪資""))), ""內部轉帳(忽略)"",
  REGEXMATCH(C10216, ""薪資""), ""薪資變動(不計入)"",
  REGEXMATCH(C10216, ""押金""), ""押金往來"",
  AND(E10216&lt;&gt;"""", F10216=""""), ""真實支出"",
  AND(E10216="""", F10216&lt;&gt;""""), ""真實收入"",
  TRUE, ""其他""
)"),"其他")</f>
        <v>其他</v>
      </c>
      <c r="K10216" s="270" t="str">
        <f t="shared" si="2"/>
        <v/>
      </c>
      <c r="L10216">
        <f t="shared" si="3"/>
        <v>0</v>
      </c>
    </row>
    <row r="10217">
      <c r="A10217" s="107"/>
      <c r="D10217" s="270"/>
      <c r="H10217" s="106" t="str">
        <f t="shared" si="1"/>
        <v/>
      </c>
      <c r="J10217" t="str">
        <f>IFERROR(__xludf.DUMMYFUNCTION("IFS(
  AND(REGEXMATCH(E10217, ""台銀籌備帳戶|玉山帳戶""), REGEXMATCH(C10217, ""薪資"")), ""分潤支出"",
  AND(REGEXMATCH(E10217, ""Ben帳戶|Elsa帳戶|Ben代墊|Ariel代墊|中信銀行共用""), REGEXMATCH(F10217, ""Ben帳戶|Elsa帳戶|Ben代墊|Ariel代墊|中信銀行共用"")), ""內部轉帳(忽略)"",
  AND(E10217&lt;&gt;"""", F10217&lt;&gt;"&amp;""""", NOT(REGEXMATCH(C10217, ""薪資""))), ""內部轉帳(忽略)"",
  REGEXMATCH(C10217, ""薪資""), ""薪資變動(不計入)"",
  REGEXMATCH(C10217, ""押金""), ""押金往來"",
  AND(E10217&lt;&gt;"""", F10217=""""), ""真實支出"",
  AND(E10217="""", F10217&lt;&gt;""""), ""真實收入"",
  TRUE, ""其他""
)"),"其他")</f>
        <v>其他</v>
      </c>
      <c r="K10217" s="270" t="str">
        <f t="shared" si="2"/>
        <v/>
      </c>
      <c r="L10217">
        <f t="shared" si="3"/>
        <v>0</v>
      </c>
    </row>
    <row r="10218">
      <c r="A10218" s="107"/>
      <c r="D10218" s="270"/>
      <c r="H10218" s="106" t="str">
        <f t="shared" si="1"/>
        <v/>
      </c>
      <c r="J10218" t="str">
        <f>IFERROR(__xludf.DUMMYFUNCTION("IFS(
  AND(REGEXMATCH(E10218, ""台銀籌備帳戶|玉山帳戶""), REGEXMATCH(C10218, ""薪資"")), ""分潤支出"",
  AND(REGEXMATCH(E10218, ""Ben帳戶|Elsa帳戶|Ben代墊|Ariel代墊|中信銀行共用""), REGEXMATCH(F10218, ""Ben帳戶|Elsa帳戶|Ben代墊|Ariel代墊|中信銀行共用"")), ""內部轉帳(忽略)"",
  AND(E10218&lt;&gt;"""", F10218&lt;&gt;"&amp;""""", NOT(REGEXMATCH(C10218, ""薪資""))), ""內部轉帳(忽略)"",
  REGEXMATCH(C10218, ""薪資""), ""薪資變動(不計入)"",
  REGEXMATCH(C10218, ""押金""), ""押金往來"",
  AND(E10218&lt;&gt;"""", F10218=""""), ""真實支出"",
  AND(E10218="""", F10218&lt;&gt;""""), ""真實收入"",
  TRUE, ""其他""
)"),"其他")</f>
        <v>其他</v>
      </c>
      <c r="K10218" s="270" t="str">
        <f t="shared" si="2"/>
        <v/>
      </c>
      <c r="L10218">
        <f t="shared" si="3"/>
        <v>0</v>
      </c>
    </row>
    <row r="10219">
      <c r="A10219" s="107"/>
      <c r="D10219" s="270"/>
      <c r="H10219" s="106" t="str">
        <f t="shared" si="1"/>
        <v/>
      </c>
      <c r="J10219" t="str">
        <f>IFERROR(__xludf.DUMMYFUNCTION("IFS(
  AND(REGEXMATCH(E10219, ""台銀籌備帳戶|玉山帳戶""), REGEXMATCH(C10219, ""薪資"")), ""分潤支出"",
  AND(REGEXMATCH(E10219, ""Ben帳戶|Elsa帳戶|Ben代墊|Ariel代墊|中信銀行共用""), REGEXMATCH(F10219, ""Ben帳戶|Elsa帳戶|Ben代墊|Ariel代墊|中信銀行共用"")), ""內部轉帳(忽略)"",
  AND(E10219&lt;&gt;"""", F10219&lt;&gt;"&amp;""""", NOT(REGEXMATCH(C10219, ""薪資""))), ""內部轉帳(忽略)"",
  REGEXMATCH(C10219, ""薪資""), ""薪資變動(不計入)"",
  REGEXMATCH(C10219, ""押金""), ""押金往來"",
  AND(E10219&lt;&gt;"""", F10219=""""), ""真實支出"",
  AND(E10219="""", F10219&lt;&gt;""""), ""真實收入"",
  TRUE, ""其他""
)"),"其他")</f>
        <v>其他</v>
      </c>
      <c r="K10219" s="270" t="str">
        <f t="shared" si="2"/>
        <v/>
      </c>
      <c r="L10219">
        <f t="shared" si="3"/>
        <v>0</v>
      </c>
    </row>
    <row r="10220">
      <c r="A10220" s="107"/>
      <c r="D10220" s="270"/>
      <c r="H10220" s="106" t="str">
        <f t="shared" si="1"/>
        <v/>
      </c>
      <c r="J10220" t="str">
        <f>IFERROR(__xludf.DUMMYFUNCTION("IFS(
  AND(REGEXMATCH(E10220, ""台銀籌備帳戶|玉山帳戶""), REGEXMATCH(C10220, ""薪資"")), ""分潤支出"",
  AND(REGEXMATCH(E10220, ""Ben帳戶|Elsa帳戶|Ben代墊|Ariel代墊|中信銀行共用""), REGEXMATCH(F10220, ""Ben帳戶|Elsa帳戶|Ben代墊|Ariel代墊|中信銀行共用"")), ""內部轉帳(忽略)"",
  AND(E10220&lt;&gt;"""", F10220&lt;&gt;"&amp;""""", NOT(REGEXMATCH(C10220, ""薪資""))), ""內部轉帳(忽略)"",
  REGEXMATCH(C10220, ""薪資""), ""薪資變動(不計入)"",
  REGEXMATCH(C10220, ""押金""), ""押金往來"",
  AND(E10220&lt;&gt;"""", F10220=""""), ""真實支出"",
  AND(E10220="""", F10220&lt;&gt;""""), ""真實收入"",
  TRUE, ""其他""
)"),"其他")</f>
        <v>其他</v>
      </c>
      <c r="K10220" s="270" t="str">
        <f t="shared" si="2"/>
        <v/>
      </c>
      <c r="L10220">
        <f t="shared" si="3"/>
        <v>0</v>
      </c>
    </row>
    <row r="10221">
      <c r="A10221" s="107"/>
      <c r="D10221" s="270"/>
      <c r="H10221" s="106" t="str">
        <f t="shared" si="1"/>
        <v/>
      </c>
      <c r="J10221" t="str">
        <f>IFERROR(__xludf.DUMMYFUNCTION("IFS(
  AND(REGEXMATCH(E10221, ""台銀籌備帳戶|玉山帳戶""), REGEXMATCH(C10221, ""薪資"")), ""分潤支出"",
  AND(REGEXMATCH(E10221, ""Ben帳戶|Elsa帳戶|Ben代墊|Ariel代墊|中信銀行共用""), REGEXMATCH(F10221, ""Ben帳戶|Elsa帳戶|Ben代墊|Ariel代墊|中信銀行共用"")), ""內部轉帳(忽略)"",
  AND(E10221&lt;&gt;"""", F10221&lt;&gt;"&amp;""""", NOT(REGEXMATCH(C10221, ""薪資""))), ""內部轉帳(忽略)"",
  REGEXMATCH(C10221, ""薪資""), ""薪資變動(不計入)"",
  REGEXMATCH(C10221, ""押金""), ""押金往來"",
  AND(E10221&lt;&gt;"""", F10221=""""), ""真實支出"",
  AND(E10221="""", F10221&lt;&gt;""""), ""真實收入"",
  TRUE, ""其他""
)"),"其他")</f>
        <v>其他</v>
      </c>
      <c r="K10221" s="270" t="str">
        <f t="shared" si="2"/>
        <v/>
      </c>
      <c r="L10221">
        <f t="shared" si="3"/>
        <v>0</v>
      </c>
    </row>
    <row r="10222">
      <c r="A10222" s="107"/>
      <c r="D10222" s="270"/>
      <c r="H10222" s="106" t="str">
        <f t="shared" si="1"/>
        <v/>
      </c>
      <c r="J10222" t="str">
        <f>IFERROR(__xludf.DUMMYFUNCTION("IFS(
  AND(REGEXMATCH(E10222, ""台銀籌備帳戶|玉山帳戶""), REGEXMATCH(C10222, ""薪資"")), ""分潤支出"",
  AND(REGEXMATCH(E10222, ""Ben帳戶|Elsa帳戶|Ben代墊|Ariel代墊|中信銀行共用""), REGEXMATCH(F10222, ""Ben帳戶|Elsa帳戶|Ben代墊|Ariel代墊|中信銀行共用"")), ""內部轉帳(忽略)"",
  AND(E10222&lt;&gt;"""", F10222&lt;&gt;"&amp;""""", NOT(REGEXMATCH(C10222, ""薪資""))), ""內部轉帳(忽略)"",
  REGEXMATCH(C10222, ""薪資""), ""薪資變動(不計入)"",
  REGEXMATCH(C10222, ""押金""), ""押金往來"",
  AND(E10222&lt;&gt;"""", F10222=""""), ""真實支出"",
  AND(E10222="""", F10222&lt;&gt;""""), ""真實收入"",
  TRUE, ""其他""
)"),"其他")</f>
        <v>其他</v>
      </c>
      <c r="K10222" s="270" t="str">
        <f t="shared" si="2"/>
        <v/>
      </c>
      <c r="L10222">
        <f t="shared" si="3"/>
        <v>0</v>
      </c>
    </row>
    <row r="10223">
      <c r="A10223" s="107"/>
      <c r="D10223" s="270"/>
      <c r="H10223" s="106" t="str">
        <f t="shared" si="1"/>
        <v/>
      </c>
      <c r="J10223" t="str">
        <f>IFERROR(__xludf.DUMMYFUNCTION("IFS(
  AND(REGEXMATCH(E10223, ""台銀籌備帳戶|玉山帳戶""), REGEXMATCH(C10223, ""薪資"")), ""分潤支出"",
  AND(REGEXMATCH(E10223, ""Ben帳戶|Elsa帳戶|Ben代墊|Ariel代墊|中信銀行共用""), REGEXMATCH(F10223, ""Ben帳戶|Elsa帳戶|Ben代墊|Ariel代墊|中信銀行共用"")), ""內部轉帳(忽略)"",
  AND(E10223&lt;&gt;"""", F10223&lt;&gt;"&amp;""""", NOT(REGEXMATCH(C10223, ""薪資""))), ""內部轉帳(忽略)"",
  REGEXMATCH(C10223, ""薪資""), ""薪資變動(不計入)"",
  REGEXMATCH(C10223, ""押金""), ""押金往來"",
  AND(E10223&lt;&gt;"""", F10223=""""), ""真實支出"",
  AND(E10223="""", F10223&lt;&gt;""""), ""真實收入"",
  TRUE, ""其他""
)"),"其他")</f>
        <v>其他</v>
      </c>
      <c r="K10223" s="270" t="str">
        <f t="shared" si="2"/>
        <v/>
      </c>
      <c r="L10223">
        <f t="shared" si="3"/>
        <v>0</v>
      </c>
    </row>
    <row r="10224">
      <c r="A10224" s="107"/>
      <c r="D10224" s="270"/>
      <c r="H10224" s="106" t="str">
        <f t="shared" si="1"/>
        <v/>
      </c>
      <c r="J10224" t="str">
        <f>IFERROR(__xludf.DUMMYFUNCTION("IFS(
  AND(REGEXMATCH(E10224, ""台銀籌備帳戶|玉山帳戶""), REGEXMATCH(C10224, ""薪資"")), ""分潤支出"",
  AND(REGEXMATCH(E10224, ""Ben帳戶|Elsa帳戶|Ben代墊|Ariel代墊|中信銀行共用""), REGEXMATCH(F10224, ""Ben帳戶|Elsa帳戶|Ben代墊|Ariel代墊|中信銀行共用"")), ""內部轉帳(忽略)"",
  AND(E10224&lt;&gt;"""", F10224&lt;&gt;"&amp;""""", NOT(REGEXMATCH(C10224, ""薪資""))), ""內部轉帳(忽略)"",
  REGEXMATCH(C10224, ""薪資""), ""薪資變動(不計入)"",
  REGEXMATCH(C10224, ""押金""), ""押金往來"",
  AND(E10224&lt;&gt;"""", F10224=""""), ""真實支出"",
  AND(E10224="""", F10224&lt;&gt;""""), ""真實收入"",
  TRUE, ""其他""
)"),"其他")</f>
        <v>其他</v>
      </c>
      <c r="K10224" s="270" t="str">
        <f t="shared" si="2"/>
        <v/>
      </c>
      <c r="L10224">
        <f t="shared" si="3"/>
        <v>0</v>
      </c>
    </row>
    <row r="10225">
      <c r="A10225" s="107"/>
      <c r="D10225" s="270"/>
      <c r="H10225" s="106" t="str">
        <f t="shared" si="1"/>
        <v/>
      </c>
      <c r="J10225" t="str">
        <f>IFERROR(__xludf.DUMMYFUNCTION("IFS(
  AND(REGEXMATCH(E10225, ""台銀籌備帳戶|玉山帳戶""), REGEXMATCH(C10225, ""薪資"")), ""分潤支出"",
  AND(REGEXMATCH(E10225, ""Ben帳戶|Elsa帳戶|Ben代墊|Ariel代墊|中信銀行共用""), REGEXMATCH(F10225, ""Ben帳戶|Elsa帳戶|Ben代墊|Ariel代墊|中信銀行共用"")), ""內部轉帳(忽略)"",
  AND(E10225&lt;&gt;"""", F10225&lt;&gt;"&amp;""""", NOT(REGEXMATCH(C10225, ""薪資""))), ""內部轉帳(忽略)"",
  REGEXMATCH(C10225, ""薪資""), ""薪資變動(不計入)"",
  REGEXMATCH(C10225, ""押金""), ""押金往來"",
  AND(E10225&lt;&gt;"""", F10225=""""), ""真實支出"",
  AND(E10225="""", F10225&lt;&gt;""""), ""真實收入"",
  TRUE, ""其他""
)"),"其他")</f>
        <v>其他</v>
      </c>
      <c r="K10225" s="270" t="str">
        <f t="shared" si="2"/>
        <v/>
      </c>
      <c r="L10225">
        <f t="shared" si="3"/>
        <v>0</v>
      </c>
    </row>
    <row r="10226">
      <c r="A10226" s="107"/>
      <c r="D10226" s="270"/>
      <c r="H10226" s="106" t="str">
        <f t="shared" si="1"/>
        <v/>
      </c>
      <c r="J10226" t="str">
        <f>IFERROR(__xludf.DUMMYFUNCTION("IFS(
  AND(REGEXMATCH(E10226, ""台銀籌備帳戶|玉山帳戶""), REGEXMATCH(C10226, ""薪資"")), ""分潤支出"",
  AND(REGEXMATCH(E10226, ""Ben帳戶|Elsa帳戶|Ben代墊|Ariel代墊|中信銀行共用""), REGEXMATCH(F10226, ""Ben帳戶|Elsa帳戶|Ben代墊|Ariel代墊|中信銀行共用"")), ""內部轉帳(忽略)"",
  AND(E10226&lt;&gt;"""", F10226&lt;&gt;"&amp;""""", NOT(REGEXMATCH(C10226, ""薪資""))), ""內部轉帳(忽略)"",
  REGEXMATCH(C10226, ""薪資""), ""薪資變動(不計入)"",
  REGEXMATCH(C10226, ""押金""), ""押金往來"",
  AND(E10226&lt;&gt;"""", F10226=""""), ""真實支出"",
  AND(E10226="""", F10226&lt;&gt;""""), ""真實收入"",
  TRUE, ""其他""
)"),"其他")</f>
        <v>其他</v>
      </c>
      <c r="K10226" s="270" t="str">
        <f t="shared" si="2"/>
        <v/>
      </c>
      <c r="L10226">
        <f t="shared" si="3"/>
        <v>0</v>
      </c>
    </row>
    <row r="10227">
      <c r="A10227" s="107"/>
      <c r="D10227" s="270"/>
      <c r="H10227" s="106" t="str">
        <f t="shared" si="1"/>
        <v/>
      </c>
      <c r="J10227" t="str">
        <f>IFERROR(__xludf.DUMMYFUNCTION("IFS(
  AND(REGEXMATCH(E10227, ""台銀籌備帳戶|玉山帳戶""), REGEXMATCH(C10227, ""薪資"")), ""分潤支出"",
  AND(REGEXMATCH(E10227, ""Ben帳戶|Elsa帳戶|Ben代墊|Ariel代墊|中信銀行共用""), REGEXMATCH(F10227, ""Ben帳戶|Elsa帳戶|Ben代墊|Ariel代墊|中信銀行共用"")), ""內部轉帳(忽略)"",
  AND(E10227&lt;&gt;"""", F10227&lt;&gt;"&amp;""""", NOT(REGEXMATCH(C10227, ""薪資""))), ""內部轉帳(忽略)"",
  REGEXMATCH(C10227, ""薪資""), ""薪資變動(不計入)"",
  REGEXMATCH(C10227, ""押金""), ""押金往來"",
  AND(E10227&lt;&gt;"""", F10227=""""), ""真實支出"",
  AND(E10227="""", F10227&lt;&gt;""""), ""真實收入"",
  TRUE, ""其他""
)"),"其他")</f>
        <v>其他</v>
      </c>
      <c r="K10227" s="270" t="str">
        <f t="shared" si="2"/>
        <v/>
      </c>
      <c r="L10227">
        <f t="shared" si="3"/>
        <v>0</v>
      </c>
    </row>
    <row r="10228">
      <c r="A10228" s="107"/>
      <c r="D10228" s="270"/>
      <c r="H10228" s="106" t="str">
        <f t="shared" si="1"/>
        <v/>
      </c>
      <c r="J10228" t="str">
        <f>IFERROR(__xludf.DUMMYFUNCTION("IFS(
  AND(REGEXMATCH(E10228, ""台銀籌備帳戶|玉山帳戶""), REGEXMATCH(C10228, ""薪資"")), ""分潤支出"",
  AND(REGEXMATCH(E10228, ""Ben帳戶|Elsa帳戶|Ben代墊|Ariel代墊|中信銀行共用""), REGEXMATCH(F10228, ""Ben帳戶|Elsa帳戶|Ben代墊|Ariel代墊|中信銀行共用"")), ""內部轉帳(忽略)"",
  AND(E10228&lt;&gt;"""", F10228&lt;&gt;"&amp;""""", NOT(REGEXMATCH(C10228, ""薪資""))), ""內部轉帳(忽略)"",
  REGEXMATCH(C10228, ""薪資""), ""薪資變動(不計入)"",
  REGEXMATCH(C10228, ""押金""), ""押金往來"",
  AND(E10228&lt;&gt;"""", F10228=""""), ""真實支出"",
  AND(E10228="""", F10228&lt;&gt;""""), ""真實收入"",
  TRUE, ""其他""
)"),"其他")</f>
        <v>其他</v>
      </c>
      <c r="K10228" s="270" t="str">
        <f t="shared" si="2"/>
        <v/>
      </c>
      <c r="L10228">
        <f t="shared" si="3"/>
        <v>0</v>
      </c>
    </row>
    <row r="10229">
      <c r="A10229" s="107"/>
      <c r="D10229" s="270"/>
      <c r="H10229" s="106" t="str">
        <f t="shared" si="1"/>
        <v/>
      </c>
      <c r="J10229" t="str">
        <f>IFERROR(__xludf.DUMMYFUNCTION("IFS(
  AND(REGEXMATCH(E10229, ""台銀籌備帳戶|玉山帳戶""), REGEXMATCH(C10229, ""薪資"")), ""分潤支出"",
  AND(REGEXMATCH(E10229, ""Ben帳戶|Elsa帳戶|Ben代墊|Ariel代墊|中信銀行共用""), REGEXMATCH(F10229, ""Ben帳戶|Elsa帳戶|Ben代墊|Ariel代墊|中信銀行共用"")), ""內部轉帳(忽略)"",
  AND(E10229&lt;&gt;"""", F10229&lt;&gt;"&amp;""""", NOT(REGEXMATCH(C10229, ""薪資""))), ""內部轉帳(忽略)"",
  REGEXMATCH(C10229, ""薪資""), ""薪資變動(不計入)"",
  REGEXMATCH(C10229, ""押金""), ""押金往來"",
  AND(E10229&lt;&gt;"""", F10229=""""), ""真實支出"",
  AND(E10229="""", F10229&lt;&gt;""""), ""真實收入"",
  TRUE, ""其他""
)"),"其他")</f>
        <v>其他</v>
      </c>
      <c r="K10229" s="270" t="str">
        <f t="shared" si="2"/>
        <v/>
      </c>
      <c r="L10229">
        <f t="shared" si="3"/>
        <v>0</v>
      </c>
    </row>
    <row r="10230">
      <c r="A10230" s="107"/>
      <c r="D10230" s="270"/>
      <c r="H10230" s="106" t="str">
        <f t="shared" si="1"/>
        <v/>
      </c>
      <c r="J10230" t="str">
        <f>IFERROR(__xludf.DUMMYFUNCTION("IFS(
  AND(REGEXMATCH(E10230, ""台銀籌備帳戶|玉山帳戶""), REGEXMATCH(C10230, ""薪資"")), ""分潤支出"",
  AND(REGEXMATCH(E10230, ""Ben帳戶|Elsa帳戶|Ben代墊|Ariel代墊|中信銀行共用""), REGEXMATCH(F10230, ""Ben帳戶|Elsa帳戶|Ben代墊|Ariel代墊|中信銀行共用"")), ""內部轉帳(忽略)"",
  AND(E10230&lt;&gt;"""", F10230&lt;&gt;"&amp;""""", NOT(REGEXMATCH(C10230, ""薪資""))), ""內部轉帳(忽略)"",
  REGEXMATCH(C10230, ""薪資""), ""薪資變動(不計入)"",
  REGEXMATCH(C10230, ""押金""), ""押金往來"",
  AND(E10230&lt;&gt;"""", F10230=""""), ""真實支出"",
  AND(E10230="""", F10230&lt;&gt;""""), ""真實收入"",
  TRUE, ""其他""
)"),"其他")</f>
        <v>其他</v>
      </c>
      <c r="K10230" s="270" t="str">
        <f t="shared" si="2"/>
        <v/>
      </c>
      <c r="L10230">
        <f t="shared" si="3"/>
        <v>0</v>
      </c>
    </row>
    <row r="10231">
      <c r="A10231" s="107"/>
      <c r="D10231" s="270"/>
      <c r="H10231" s="106" t="str">
        <f t="shared" si="1"/>
        <v/>
      </c>
      <c r="J10231" t="str">
        <f>IFERROR(__xludf.DUMMYFUNCTION("IFS(
  AND(REGEXMATCH(E10231, ""台銀籌備帳戶|玉山帳戶""), REGEXMATCH(C10231, ""薪資"")), ""分潤支出"",
  AND(REGEXMATCH(E10231, ""Ben帳戶|Elsa帳戶|Ben代墊|Ariel代墊|中信銀行共用""), REGEXMATCH(F10231, ""Ben帳戶|Elsa帳戶|Ben代墊|Ariel代墊|中信銀行共用"")), ""內部轉帳(忽略)"",
  AND(E10231&lt;&gt;"""", F10231&lt;&gt;"&amp;""""", NOT(REGEXMATCH(C10231, ""薪資""))), ""內部轉帳(忽略)"",
  REGEXMATCH(C10231, ""薪資""), ""薪資變動(不計入)"",
  REGEXMATCH(C10231, ""押金""), ""押金往來"",
  AND(E10231&lt;&gt;"""", F10231=""""), ""真實支出"",
  AND(E10231="""", F10231&lt;&gt;""""), ""真實收入"",
  TRUE, ""其他""
)"),"其他")</f>
        <v>其他</v>
      </c>
      <c r="K10231" s="270" t="str">
        <f t="shared" si="2"/>
        <v/>
      </c>
      <c r="L10231">
        <f t="shared" si="3"/>
        <v>0</v>
      </c>
    </row>
    <row r="10232">
      <c r="A10232" s="107"/>
      <c r="D10232" s="270"/>
      <c r="H10232" s="106" t="str">
        <f t="shared" si="1"/>
        <v/>
      </c>
      <c r="J10232" t="str">
        <f>IFERROR(__xludf.DUMMYFUNCTION("IFS(
  AND(REGEXMATCH(E10232, ""台銀籌備帳戶|玉山帳戶""), REGEXMATCH(C10232, ""薪資"")), ""分潤支出"",
  AND(REGEXMATCH(E10232, ""Ben帳戶|Elsa帳戶|Ben代墊|Ariel代墊|中信銀行共用""), REGEXMATCH(F10232, ""Ben帳戶|Elsa帳戶|Ben代墊|Ariel代墊|中信銀行共用"")), ""內部轉帳(忽略)"",
  AND(E10232&lt;&gt;"""", F10232&lt;&gt;"&amp;""""", NOT(REGEXMATCH(C10232, ""薪資""))), ""內部轉帳(忽略)"",
  REGEXMATCH(C10232, ""薪資""), ""薪資變動(不計入)"",
  REGEXMATCH(C10232, ""押金""), ""押金往來"",
  AND(E10232&lt;&gt;"""", F10232=""""), ""真實支出"",
  AND(E10232="""", F10232&lt;&gt;""""), ""真實收入"",
  TRUE, ""其他""
)"),"其他")</f>
        <v>其他</v>
      </c>
      <c r="K10232" s="270" t="str">
        <f t="shared" si="2"/>
        <v/>
      </c>
      <c r="L10232">
        <f t="shared" si="3"/>
        <v>0</v>
      </c>
    </row>
    <row r="10233">
      <c r="A10233" s="107"/>
      <c r="D10233" s="270"/>
      <c r="H10233" s="106" t="str">
        <f t="shared" si="1"/>
        <v/>
      </c>
      <c r="J10233" t="str">
        <f>IFERROR(__xludf.DUMMYFUNCTION("IFS(
  AND(REGEXMATCH(E10233, ""台銀籌備帳戶|玉山帳戶""), REGEXMATCH(C10233, ""薪資"")), ""分潤支出"",
  AND(REGEXMATCH(E10233, ""Ben帳戶|Elsa帳戶|Ben代墊|Ariel代墊|中信銀行共用""), REGEXMATCH(F10233, ""Ben帳戶|Elsa帳戶|Ben代墊|Ariel代墊|中信銀行共用"")), ""內部轉帳(忽略)"",
  AND(E10233&lt;&gt;"""", F10233&lt;&gt;"&amp;""""", NOT(REGEXMATCH(C10233, ""薪資""))), ""內部轉帳(忽略)"",
  REGEXMATCH(C10233, ""薪資""), ""薪資變動(不計入)"",
  REGEXMATCH(C10233, ""押金""), ""押金往來"",
  AND(E10233&lt;&gt;"""", F10233=""""), ""真實支出"",
  AND(E10233="""", F10233&lt;&gt;""""), ""真實收入"",
  TRUE, ""其他""
)"),"其他")</f>
        <v>其他</v>
      </c>
      <c r="K10233" s="270" t="str">
        <f t="shared" si="2"/>
        <v/>
      </c>
      <c r="L10233">
        <f t="shared" si="3"/>
        <v>0</v>
      </c>
    </row>
    <row r="10234">
      <c r="A10234" s="107"/>
      <c r="D10234" s="270"/>
      <c r="H10234" s="106" t="str">
        <f t="shared" si="1"/>
        <v/>
      </c>
      <c r="J10234" t="str">
        <f>IFERROR(__xludf.DUMMYFUNCTION("IFS(
  AND(REGEXMATCH(E10234, ""台銀籌備帳戶|玉山帳戶""), REGEXMATCH(C10234, ""薪資"")), ""分潤支出"",
  AND(REGEXMATCH(E10234, ""Ben帳戶|Elsa帳戶|Ben代墊|Ariel代墊|中信銀行共用""), REGEXMATCH(F10234, ""Ben帳戶|Elsa帳戶|Ben代墊|Ariel代墊|中信銀行共用"")), ""內部轉帳(忽略)"",
  AND(E10234&lt;&gt;"""", F10234&lt;&gt;"&amp;""""", NOT(REGEXMATCH(C10234, ""薪資""))), ""內部轉帳(忽略)"",
  REGEXMATCH(C10234, ""薪資""), ""薪資變動(不計入)"",
  REGEXMATCH(C10234, ""押金""), ""押金往來"",
  AND(E10234&lt;&gt;"""", F10234=""""), ""真實支出"",
  AND(E10234="""", F10234&lt;&gt;""""), ""真實收入"",
  TRUE, ""其他""
)"),"其他")</f>
        <v>其他</v>
      </c>
      <c r="K10234" s="270" t="str">
        <f t="shared" si="2"/>
        <v/>
      </c>
      <c r="L10234">
        <f t="shared" si="3"/>
        <v>0</v>
      </c>
    </row>
    <row r="10235">
      <c r="A10235" s="107"/>
      <c r="D10235" s="270"/>
      <c r="H10235" s="106" t="str">
        <f t="shared" si="1"/>
        <v/>
      </c>
      <c r="J10235" t="str">
        <f>IFERROR(__xludf.DUMMYFUNCTION("IFS(
  AND(REGEXMATCH(E10235, ""台銀籌備帳戶|玉山帳戶""), REGEXMATCH(C10235, ""薪資"")), ""分潤支出"",
  AND(REGEXMATCH(E10235, ""Ben帳戶|Elsa帳戶|Ben代墊|Ariel代墊|中信銀行共用""), REGEXMATCH(F10235, ""Ben帳戶|Elsa帳戶|Ben代墊|Ariel代墊|中信銀行共用"")), ""內部轉帳(忽略)"",
  AND(E10235&lt;&gt;"""", F10235&lt;&gt;"&amp;""""", NOT(REGEXMATCH(C10235, ""薪資""))), ""內部轉帳(忽略)"",
  REGEXMATCH(C10235, ""薪資""), ""薪資變動(不計入)"",
  REGEXMATCH(C10235, ""押金""), ""押金往來"",
  AND(E10235&lt;&gt;"""", F10235=""""), ""真實支出"",
  AND(E10235="""", F10235&lt;&gt;""""), ""真實收入"",
  TRUE, ""其他""
)"),"其他")</f>
        <v>其他</v>
      </c>
      <c r="K10235" s="270" t="str">
        <f t="shared" si="2"/>
        <v/>
      </c>
      <c r="L10235">
        <f t="shared" si="3"/>
        <v>0</v>
      </c>
    </row>
    <row r="10236">
      <c r="A10236" s="107"/>
      <c r="D10236" s="270"/>
      <c r="H10236" s="106" t="str">
        <f t="shared" si="1"/>
        <v/>
      </c>
      <c r="J10236" t="str">
        <f>IFERROR(__xludf.DUMMYFUNCTION("IFS(
  AND(REGEXMATCH(E10236, ""台銀籌備帳戶|玉山帳戶""), REGEXMATCH(C10236, ""薪資"")), ""分潤支出"",
  AND(REGEXMATCH(E10236, ""Ben帳戶|Elsa帳戶|Ben代墊|Ariel代墊|中信銀行共用""), REGEXMATCH(F10236, ""Ben帳戶|Elsa帳戶|Ben代墊|Ariel代墊|中信銀行共用"")), ""內部轉帳(忽略)"",
  AND(E10236&lt;&gt;"""", F10236&lt;&gt;"&amp;""""", NOT(REGEXMATCH(C10236, ""薪資""))), ""內部轉帳(忽略)"",
  REGEXMATCH(C10236, ""薪資""), ""薪資變動(不計入)"",
  REGEXMATCH(C10236, ""押金""), ""押金往來"",
  AND(E10236&lt;&gt;"""", F10236=""""), ""真實支出"",
  AND(E10236="""", F10236&lt;&gt;""""), ""真實收入"",
  TRUE, ""其他""
)"),"其他")</f>
        <v>其他</v>
      </c>
      <c r="K10236" s="270" t="str">
        <f t="shared" si="2"/>
        <v/>
      </c>
      <c r="L10236">
        <f t="shared" si="3"/>
        <v>0</v>
      </c>
    </row>
    <row r="10237">
      <c r="A10237" s="107"/>
      <c r="D10237" s="270"/>
      <c r="H10237" s="106" t="str">
        <f t="shared" si="1"/>
        <v/>
      </c>
      <c r="J10237" t="str">
        <f>IFERROR(__xludf.DUMMYFUNCTION("IFS(
  AND(REGEXMATCH(E10237, ""台銀籌備帳戶|玉山帳戶""), REGEXMATCH(C10237, ""薪資"")), ""分潤支出"",
  AND(REGEXMATCH(E10237, ""Ben帳戶|Elsa帳戶|Ben代墊|Ariel代墊|中信銀行共用""), REGEXMATCH(F10237, ""Ben帳戶|Elsa帳戶|Ben代墊|Ariel代墊|中信銀行共用"")), ""內部轉帳(忽略)"",
  AND(E10237&lt;&gt;"""", F10237&lt;&gt;"&amp;""""", NOT(REGEXMATCH(C10237, ""薪資""))), ""內部轉帳(忽略)"",
  REGEXMATCH(C10237, ""薪資""), ""薪資變動(不計入)"",
  REGEXMATCH(C10237, ""押金""), ""押金往來"",
  AND(E10237&lt;&gt;"""", F10237=""""), ""真實支出"",
  AND(E10237="""", F10237&lt;&gt;""""), ""真實收入"",
  TRUE, ""其他""
)"),"其他")</f>
        <v>其他</v>
      </c>
      <c r="K10237" s="270" t="str">
        <f t="shared" si="2"/>
        <v/>
      </c>
      <c r="L10237">
        <f t="shared" si="3"/>
        <v>0</v>
      </c>
    </row>
    <row r="10238">
      <c r="A10238" s="107"/>
      <c r="D10238" s="270"/>
      <c r="H10238" s="106" t="str">
        <f t="shared" si="1"/>
        <v/>
      </c>
      <c r="J10238" t="str">
        <f>IFERROR(__xludf.DUMMYFUNCTION("IFS(
  AND(REGEXMATCH(E10238, ""台銀籌備帳戶|玉山帳戶""), REGEXMATCH(C10238, ""薪資"")), ""分潤支出"",
  AND(REGEXMATCH(E10238, ""Ben帳戶|Elsa帳戶|Ben代墊|Ariel代墊|中信銀行共用""), REGEXMATCH(F10238, ""Ben帳戶|Elsa帳戶|Ben代墊|Ariel代墊|中信銀行共用"")), ""內部轉帳(忽略)"",
  AND(E10238&lt;&gt;"""", F10238&lt;&gt;"&amp;""""", NOT(REGEXMATCH(C10238, ""薪資""))), ""內部轉帳(忽略)"",
  REGEXMATCH(C10238, ""薪資""), ""薪資變動(不計入)"",
  REGEXMATCH(C10238, ""押金""), ""押金往來"",
  AND(E10238&lt;&gt;"""", F10238=""""), ""真實支出"",
  AND(E10238="""", F10238&lt;&gt;""""), ""真實收入"",
  TRUE, ""其他""
)"),"其他")</f>
        <v>其他</v>
      </c>
      <c r="K10238" s="270" t="str">
        <f t="shared" si="2"/>
        <v/>
      </c>
      <c r="L10238">
        <f t="shared" si="3"/>
        <v>0</v>
      </c>
    </row>
    <row r="10239">
      <c r="A10239" s="107"/>
      <c r="D10239" s="270"/>
      <c r="H10239" s="106" t="str">
        <f t="shared" si="1"/>
        <v/>
      </c>
      <c r="J10239" t="str">
        <f>IFERROR(__xludf.DUMMYFUNCTION("IFS(
  AND(REGEXMATCH(E10239, ""台銀籌備帳戶|玉山帳戶""), REGEXMATCH(C10239, ""薪資"")), ""分潤支出"",
  AND(REGEXMATCH(E10239, ""Ben帳戶|Elsa帳戶|Ben代墊|Ariel代墊|中信銀行共用""), REGEXMATCH(F10239, ""Ben帳戶|Elsa帳戶|Ben代墊|Ariel代墊|中信銀行共用"")), ""內部轉帳(忽略)"",
  AND(E10239&lt;&gt;"""", F10239&lt;&gt;"&amp;""""", NOT(REGEXMATCH(C10239, ""薪資""))), ""內部轉帳(忽略)"",
  REGEXMATCH(C10239, ""薪資""), ""薪資變動(不計入)"",
  REGEXMATCH(C10239, ""押金""), ""押金往來"",
  AND(E10239&lt;&gt;"""", F10239=""""), ""真實支出"",
  AND(E10239="""", F10239&lt;&gt;""""), ""真實收入"",
  TRUE, ""其他""
)"),"其他")</f>
        <v>其他</v>
      </c>
      <c r="K10239" s="270" t="str">
        <f t="shared" si="2"/>
        <v/>
      </c>
      <c r="L10239">
        <f t="shared" si="3"/>
        <v>0</v>
      </c>
    </row>
    <row r="10240">
      <c r="A10240" s="107"/>
      <c r="D10240" s="270"/>
      <c r="H10240" s="106" t="str">
        <f t="shared" si="1"/>
        <v/>
      </c>
      <c r="J10240" t="str">
        <f>IFERROR(__xludf.DUMMYFUNCTION("IFS(
  AND(REGEXMATCH(E10240, ""台銀籌備帳戶|玉山帳戶""), REGEXMATCH(C10240, ""薪資"")), ""分潤支出"",
  AND(REGEXMATCH(E10240, ""Ben帳戶|Elsa帳戶|Ben代墊|Ariel代墊|中信銀行共用""), REGEXMATCH(F10240, ""Ben帳戶|Elsa帳戶|Ben代墊|Ariel代墊|中信銀行共用"")), ""內部轉帳(忽略)"",
  AND(E10240&lt;&gt;"""", F10240&lt;&gt;"&amp;""""", NOT(REGEXMATCH(C10240, ""薪資""))), ""內部轉帳(忽略)"",
  REGEXMATCH(C10240, ""薪資""), ""薪資變動(不計入)"",
  REGEXMATCH(C10240, ""押金""), ""押金往來"",
  AND(E10240&lt;&gt;"""", F10240=""""), ""真實支出"",
  AND(E10240="""", F10240&lt;&gt;""""), ""真實收入"",
  TRUE, ""其他""
)"),"其他")</f>
        <v>其他</v>
      </c>
      <c r="K10240" s="270" t="str">
        <f t="shared" si="2"/>
        <v/>
      </c>
      <c r="L10240">
        <f t="shared" si="3"/>
        <v>0</v>
      </c>
    </row>
    <row r="10241">
      <c r="A10241" s="107"/>
      <c r="D10241" s="270"/>
      <c r="H10241" s="106" t="str">
        <f t="shared" si="1"/>
        <v/>
      </c>
      <c r="J10241" t="str">
        <f>IFERROR(__xludf.DUMMYFUNCTION("IFS(
  AND(REGEXMATCH(E10241, ""台銀籌備帳戶|玉山帳戶""), REGEXMATCH(C10241, ""薪資"")), ""分潤支出"",
  AND(REGEXMATCH(E10241, ""Ben帳戶|Elsa帳戶|Ben代墊|Ariel代墊|中信銀行共用""), REGEXMATCH(F10241, ""Ben帳戶|Elsa帳戶|Ben代墊|Ariel代墊|中信銀行共用"")), ""內部轉帳(忽略)"",
  AND(E10241&lt;&gt;"""", F10241&lt;&gt;"&amp;""""", NOT(REGEXMATCH(C10241, ""薪資""))), ""內部轉帳(忽略)"",
  REGEXMATCH(C10241, ""薪資""), ""薪資變動(不計入)"",
  REGEXMATCH(C10241, ""押金""), ""押金往來"",
  AND(E10241&lt;&gt;"""", F10241=""""), ""真實支出"",
  AND(E10241="""", F10241&lt;&gt;""""), ""真實收入"",
  TRUE, ""其他""
)"),"其他")</f>
        <v>其他</v>
      </c>
      <c r="K10241" s="270" t="str">
        <f t="shared" si="2"/>
        <v/>
      </c>
      <c r="L10241">
        <f t="shared" si="3"/>
        <v>0</v>
      </c>
    </row>
    <row r="10242">
      <c r="A10242" s="107"/>
      <c r="D10242" s="270"/>
      <c r="H10242" s="106" t="str">
        <f t="shared" si="1"/>
        <v/>
      </c>
      <c r="J10242" t="str">
        <f>IFERROR(__xludf.DUMMYFUNCTION("IFS(
  AND(REGEXMATCH(E10242, ""台銀籌備帳戶|玉山帳戶""), REGEXMATCH(C10242, ""薪資"")), ""分潤支出"",
  AND(REGEXMATCH(E10242, ""Ben帳戶|Elsa帳戶|Ben代墊|Ariel代墊|中信銀行共用""), REGEXMATCH(F10242, ""Ben帳戶|Elsa帳戶|Ben代墊|Ariel代墊|中信銀行共用"")), ""內部轉帳(忽略)"",
  AND(E10242&lt;&gt;"""", F10242&lt;&gt;"&amp;""""", NOT(REGEXMATCH(C10242, ""薪資""))), ""內部轉帳(忽略)"",
  REGEXMATCH(C10242, ""薪資""), ""薪資變動(不計入)"",
  REGEXMATCH(C10242, ""押金""), ""押金往來"",
  AND(E10242&lt;&gt;"""", F10242=""""), ""真實支出"",
  AND(E10242="""", F10242&lt;&gt;""""), ""真實收入"",
  TRUE, ""其他""
)"),"其他")</f>
        <v>其他</v>
      </c>
      <c r="K10242" s="270" t="str">
        <f t="shared" si="2"/>
        <v/>
      </c>
      <c r="L10242">
        <f t="shared" si="3"/>
        <v>0</v>
      </c>
    </row>
    <row r="10243">
      <c r="A10243" s="107"/>
      <c r="D10243" s="270"/>
      <c r="H10243" s="106" t="str">
        <f t="shared" si="1"/>
        <v/>
      </c>
      <c r="J10243" t="str">
        <f>IFERROR(__xludf.DUMMYFUNCTION("IFS(
  AND(REGEXMATCH(E10243, ""台銀籌備帳戶|玉山帳戶""), REGEXMATCH(C10243, ""薪資"")), ""分潤支出"",
  AND(REGEXMATCH(E10243, ""Ben帳戶|Elsa帳戶|Ben代墊|Ariel代墊|中信銀行共用""), REGEXMATCH(F10243, ""Ben帳戶|Elsa帳戶|Ben代墊|Ariel代墊|中信銀行共用"")), ""內部轉帳(忽略)"",
  AND(E10243&lt;&gt;"""", F10243&lt;&gt;"&amp;""""", NOT(REGEXMATCH(C10243, ""薪資""))), ""內部轉帳(忽略)"",
  REGEXMATCH(C10243, ""薪資""), ""薪資變動(不計入)"",
  REGEXMATCH(C10243, ""押金""), ""押金往來"",
  AND(E10243&lt;&gt;"""", F10243=""""), ""真實支出"",
  AND(E10243="""", F10243&lt;&gt;""""), ""真實收入"",
  TRUE, ""其他""
)"),"其他")</f>
        <v>其他</v>
      </c>
      <c r="K10243" s="270" t="str">
        <f t="shared" si="2"/>
        <v/>
      </c>
      <c r="L10243">
        <f t="shared" si="3"/>
        <v>0</v>
      </c>
    </row>
    <row r="10244">
      <c r="A10244" s="107"/>
      <c r="D10244" s="270"/>
      <c r="H10244" s="106" t="str">
        <f t="shared" si="1"/>
        <v/>
      </c>
      <c r="J10244" t="str">
        <f>IFERROR(__xludf.DUMMYFUNCTION("IFS(
  AND(REGEXMATCH(E10244, ""台銀籌備帳戶|玉山帳戶""), REGEXMATCH(C10244, ""薪資"")), ""分潤支出"",
  AND(REGEXMATCH(E10244, ""Ben帳戶|Elsa帳戶|Ben代墊|Ariel代墊|中信銀行共用""), REGEXMATCH(F10244, ""Ben帳戶|Elsa帳戶|Ben代墊|Ariel代墊|中信銀行共用"")), ""內部轉帳(忽略)"",
  AND(E10244&lt;&gt;"""", F10244&lt;&gt;"&amp;""""", NOT(REGEXMATCH(C10244, ""薪資""))), ""內部轉帳(忽略)"",
  REGEXMATCH(C10244, ""薪資""), ""薪資變動(不計入)"",
  REGEXMATCH(C10244, ""押金""), ""押金往來"",
  AND(E10244&lt;&gt;"""", F10244=""""), ""真實支出"",
  AND(E10244="""", F10244&lt;&gt;""""), ""真實收入"",
  TRUE, ""其他""
)"),"其他")</f>
        <v>其他</v>
      </c>
      <c r="K10244" s="270" t="str">
        <f t="shared" si="2"/>
        <v/>
      </c>
      <c r="L10244">
        <f t="shared" si="3"/>
        <v>0</v>
      </c>
    </row>
    <row r="10245">
      <c r="A10245" s="107"/>
      <c r="D10245" s="270"/>
      <c r="H10245" s="106" t="str">
        <f t="shared" si="1"/>
        <v/>
      </c>
      <c r="J10245" t="str">
        <f>IFERROR(__xludf.DUMMYFUNCTION("IFS(
  AND(REGEXMATCH(E10245, ""台銀籌備帳戶|玉山帳戶""), REGEXMATCH(C10245, ""薪資"")), ""分潤支出"",
  AND(REGEXMATCH(E10245, ""Ben帳戶|Elsa帳戶|Ben代墊|Ariel代墊|中信銀行共用""), REGEXMATCH(F10245, ""Ben帳戶|Elsa帳戶|Ben代墊|Ariel代墊|中信銀行共用"")), ""內部轉帳(忽略)"",
  AND(E10245&lt;&gt;"""", F10245&lt;&gt;"&amp;""""", NOT(REGEXMATCH(C10245, ""薪資""))), ""內部轉帳(忽略)"",
  REGEXMATCH(C10245, ""薪資""), ""薪資變動(不計入)"",
  REGEXMATCH(C10245, ""押金""), ""押金往來"",
  AND(E10245&lt;&gt;"""", F10245=""""), ""真實支出"",
  AND(E10245="""", F10245&lt;&gt;""""), ""真實收入"",
  TRUE, ""其他""
)"),"其他")</f>
        <v>其他</v>
      </c>
      <c r="K10245" s="270" t="str">
        <f t="shared" si="2"/>
        <v/>
      </c>
      <c r="L10245">
        <f t="shared" si="3"/>
        <v>0</v>
      </c>
    </row>
    <row r="10246">
      <c r="A10246" s="107"/>
      <c r="D10246" s="270"/>
      <c r="H10246" s="106" t="str">
        <f t="shared" si="1"/>
        <v/>
      </c>
      <c r="J10246" t="str">
        <f>IFERROR(__xludf.DUMMYFUNCTION("IFS(
  AND(REGEXMATCH(E10246, ""台銀籌備帳戶|玉山帳戶""), REGEXMATCH(C10246, ""薪資"")), ""分潤支出"",
  AND(REGEXMATCH(E10246, ""Ben帳戶|Elsa帳戶|Ben代墊|Ariel代墊|中信銀行共用""), REGEXMATCH(F10246, ""Ben帳戶|Elsa帳戶|Ben代墊|Ariel代墊|中信銀行共用"")), ""內部轉帳(忽略)"",
  AND(E10246&lt;&gt;"""", F10246&lt;&gt;"&amp;""""", NOT(REGEXMATCH(C10246, ""薪資""))), ""內部轉帳(忽略)"",
  REGEXMATCH(C10246, ""薪資""), ""薪資變動(不計入)"",
  REGEXMATCH(C10246, ""押金""), ""押金往來"",
  AND(E10246&lt;&gt;"""", F10246=""""), ""真實支出"",
  AND(E10246="""", F10246&lt;&gt;""""), ""真實收入"",
  TRUE, ""其他""
)"),"其他")</f>
        <v>其他</v>
      </c>
      <c r="K10246" s="270" t="str">
        <f t="shared" si="2"/>
        <v/>
      </c>
      <c r="L10246">
        <f t="shared" si="3"/>
        <v>0</v>
      </c>
    </row>
    <row r="10247">
      <c r="A10247" s="107"/>
      <c r="D10247" s="270"/>
      <c r="H10247" s="106" t="str">
        <f t="shared" si="1"/>
        <v/>
      </c>
      <c r="J10247" t="str">
        <f>IFERROR(__xludf.DUMMYFUNCTION("IFS(
  AND(REGEXMATCH(E10247, ""台銀籌備帳戶|玉山帳戶""), REGEXMATCH(C10247, ""薪資"")), ""分潤支出"",
  AND(REGEXMATCH(E10247, ""Ben帳戶|Elsa帳戶|Ben代墊|Ariel代墊|中信銀行共用""), REGEXMATCH(F10247, ""Ben帳戶|Elsa帳戶|Ben代墊|Ariel代墊|中信銀行共用"")), ""內部轉帳(忽略)"",
  AND(E10247&lt;&gt;"""", F10247&lt;&gt;"&amp;""""", NOT(REGEXMATCH(C10247, ""薪資""))), ""內部轉帳(忽略)"",
  REGEXMATCH(C10247, ""薪資""), ""薪資變動(不計入)"",
  REGEXMATCH(C10247, ""押金""), ""押金往來"",
  AND(E10247&lt;&gt;"""", F10247=""""), ""真實支出"",
  AND(E10247="""", F10247&lt;&gt;""""), ""真實收入"",
  TRUE, ""其他""
)"),"其他")</f>
        <v>其他</v>
      </c>
      <c r="K10247" s="270" t="str">
        <f t="shared" si="2"/>
        <v/>
      </c>
      <c r="L10247">
        <f t="shared" si="3"/>
        <v>0</v>
      </c>
    </row>
    <row r="10248">
      <c r="A10248" s="107"/>
      <c r="D10248" s="270"/>
      <c r="H10248" s="106" t="str">
        <f t="shared" si="1"/>
        <v/>
      </c>
      <c r="J10248" t="str">
        <f>IFERROR(__xludf.DUMMYFUNCTION("IFS(
  AND(REGEXMATCH(E10248, ""台銀籌備帳戶|玉山帳戶""), REGEXMATCH(C10248, ""薪資"")), ""分潤支出"",
  AND(REGEXMATCH(E10248, ""Ben帳戶|Elsa帳戶|Ben代墊|Ariel代墊|中信銀行共用""), REGEXMATCH(F10248, ""Ben帳戶|Elsa帳戶|Ben代墊|Ariel代墊|中信銀行共用"")), ""內部轉帳(忽略)"",
  AND(E10248&lt;&gt;"""", F10248&lt;&gt;"&amp;""""", NOT(REGEXMATCH(C10248, ""薪資""))), ""內部轉帳(忽略)"",
  REGEXMATCH(C10248, ""薪資""), ""薪資變動(不計入)"",
  REGEXMATCH(C10248, ""押金""), ""押金往來"",
  AND(E10248&lt;&gt;"""", F10248=""""), ""真實支出"",
  AND(E10248="""", F10248&lt;&gt;""""), ""真實收入"",
  TRUE, ""其他""
)"),"其他")</f>
        <v>其他</v>
      </c>
      <c r="K10248" s="270" t="str">
        <f t="shared" si="2"/>
        <v/>
      </c>
      <c r="L10248">
        <f t="shared" si="3"/>
        <v>0</v>
      </c>
    </row>
    <row r="10249">
      <c r="A10249" s="107"/>
      <c r="D10249" s="270"/>
      <c r="H10249" s="106" t="str">
        <f t="shared" si="1"/>
        <v/>
      </c>
      <c r="J10249" t="str">
        <f>IFERROR(__xludf.DUMMYFUNCTION("IFS(
  AND(REGEXMATCH(E10249, ""台銀籌備帳戶|玉山帳戶""), REGEXMATCH(C10249, ""薪資"")), ""分潤支出"",
  AND(REGEXMATCH(E10249, ""Ben帳戶|Elsa帳戶|Ben代墊|Ariel代墊|中信銀行共用""), REGEXMATCH(F10249, ""Ben帳戶|Elsa帳戶|Ben代墊|Ariel代墊|中信銀行共用"")), ""內部轉帳(忽略)"",
  AND(E10249&lt;&gt;"""", F10249&lt;&gt;"&amp;""""", NOT(REGEXMATCH(C10249, ""薪資""))), ""內部轉帳(忽略)"",
  REGEXMATCH(C10249, ""薪資""), ""薪資變動(不計入)"",
  REGEXMATCH(C10249, ""押金""), ""押金往來"",
  AND(E10249&lt;&gt;"""", F10249=""""), ""真實支出"",
  AND(E10249="""", F10249&lt;&gt;""""), ""真實收入"",
  TRUE, ""其他""
)"),"其他")</f>
        <v>其他</v>
      </c>
      <c r="K10249" s="270" t="str">
        <f t="shared" si="2"/>
        <v/>
      </c>
      <c r="L10249">
        <f t="shared" si="3"/>
        <v>0</v>
      </c>
    </row>
    <row r="10250">
      <c r="A10250" s="107"/>
      <c r="D10250" s="270"/>
      <c r="H10250" s="106" t="str">
        <f t="shared" si="1"/>
        <v/>
      </c>
      <c r="J10250" t="str">
        <f>IFERROR(__xludf.DUMMYFUNCTION("IFS(
  AND(REGEXMATCH(E10250, ""台銀籌備帳戶|玉山帳戶""), REGEXMATCH(C10250, ""薪資"")), ""分潤支出"",
  AND(REGEXMATCH(E10250, ""Ben帳戶|Elsa帳戶|Ben代墊|Ariel代墊|中信銀行共用""), REGEXMATCH(F10250, ""Ben帳戶|Elsa帳戶|Ben代墊|Ariel代墊|中信銀行共用"")), ""內部轉帳(忽略)"",
  AND(E10250&lt;&gt;"""", F10250&lt;&gt;"&amp;""""", NOT(REGEXMATCH(C10250, ""薪資""))), ""內部轉帳(忽略)"",
  REGEXMATCH(C10250, ""薪資""), ""薪資變動(不計入)"",
  REGEXMATCH(C10250, ""押金""), ""押金往來"",
  AND(E10250&lt;&gt;"""", F10250=""""), ""真實支出"",
  AND(E10250="""", F10250&lt;&gt;""""), ""真實收入"",
  TRUE, ""其他""
)"),"其他")</f>
        <v>其他</v>
      </c>
      <c r="K10250" s="270" t="str">
        <f t="shared" si="2"/>
        <v/>
      </c>
      <c r="L10250">
        <f t="shared" si="3"/>
        <v>0</v>
      </c>
    </row>
    <row r="10251">
      <c r="A10251" s="107"/>
      <c r="D10251" s="270"/>
      <c r="H10251" s="106" t="str">
        <f t="shared" si="1"/>
        <v/>
      </c>
      <c r="J10251" t="str">
        <f>IFERROR(__xludf.DUMMYFUNCTION("IFS(
  AND(REGEXMATCH(E10251, ""台銀籌備帳戶|玉山帳戶""), REGEXMATCH(C10251, ""薪資"")), ""分潤支出"",
  AND(REGEXMATCH(E10251, ""Ben帳戶|Elsa帳戶|Ben代墊|Ariel代墊|中信銀行共用""), REGEXMATCH(F10251, ""Ben帳戶|Elsa帳戶|Ben代墊|Ariel代墊|中信銀行共用"")), ""內部轉帳(忽略)"",
  AND(E10251&lt;&gt;"""", F10251&lt;&gt;"&amp;""""", NOT(REGEXMATCH(C10251, ""薪資""))), ""內部轉帳(忽略)"",
  REGEXMATCH(C10251, ""薪資""), ""薪資變動(不計入)"",
  REGEXMATCH(C10251, ""押金""), ""押金往來"",
  AND(E10251&lt;&gt;"""", F10251=""""), ""真實支出"",
  AND(E10251="""", F10251&lt;&gt;""""), ""真實收入"",
  TRUE, ""其他""
)"),"其他")</f>
        <v>其他</v>
      </c>
      <c r="K10251" s="270" t="str">
        <f t="shared" si="2"/>
        <v/>
      </c>
      <c r="L10251">
        <f t="shared" si="3"/>
        <v>0</v>
      </c>
    </row>
    <row r="10252">
      <c r="A10252" s="107"/>
      <c r="D10252" s="270"/>
      <c r="H10252" s="106" t="str">
        <f t="shared" si="1"/>
        <v/>
      </c>
      <c r="J10252" t="str">
        <f>IFERROR(__xludf.DUMMYFUNCTION("IFS(
  AND(REGEXMATCH(E10252, ""台銀籌備帳戶|玉山帳戶""), REGEXMATCH(C10252, ""薪資"")), ""分潤支出"",
  AND(REGEXMATCH(E10252, ""Ben帳戶|Elsa帳戶|Ben代墊|Ariel代墊|中信銀行共用""), REGEXMATCH(F10252, ""Ben帳戶|Elsa帳戶|Ben代墊|Ariel代墊|中信銀行共用"")), ""內部轉帳(忽略)"",
  AND(E10252&lt;&gt;"""", F10252&lt;&gt;"&amp;""""", NOT(REGEXMATCH(C10252, ""薪資""))), ""內部轉帳(忽略)"",
  REGEXMATCH(C10252, ""薪資""), ""薪資變動(不計入)"",
  REGEXMATCH(C10252, ""押金""), ""押金往來"",
  AND(E10252&lt;&gt;"""", F10252=""""), ""真實支出"",
  AND(E10252="""", F10252&lt;&gt;""""), ""真實收入"",
  TRUE, ""其他""
)"),"其他")</f>
        <v>其他</v>
      </c>
      <c r="K10252" s="270" t="str">
        <f t="shared" si="2"/>
        <v/>
      </c>
      <c r="L10252">
        <f t="shared" si="3"/>
        <v>0</v>
      </c>
    </row>
    <row r="10253">
      <c r="A10253" s="107"/>
      <c r="D10253" s="270"/>
      <c r="H10253" s="106" t="str">
        <f t="shared" si="1"/>
        <v/>
      </c>
      <c r="J10253" t="str">
        <f>IFERROR(__xludf.DUMMYFUNCTION("IFS(
  AND(REGEXMATCH(E10253, ""台銀籌備帳戶|玉山帳戶""), REGEXMATCH(C10253, ""薪資"")), ""分潤支出"",
  AND(REGEXMATCH(E10253, ""Ben帳戶|Elsa帳戶|Ben代墊|Ariel代墊|中信銀行共用""), REGEXMATCH(F10253, ""Ben帳戶|Elsa帳戶|Ben代墊|Ariel代墊|中信銀行共用"")), ""內部轉帳(忽略)"",
  AND(E10253&lt;&gt;"""", F10253&lt;&gt;"&amp;""""", NOT(REGEXMATCH(C10253, ""薪資""))), ""內部轉帳(忽略)"",
  REGEXMATCH(C10253, ""薪資""), ""薪資變動(不計入)"",
  REGEXMATCH(C10253, ""押金""), ""押金往來"",
  AND(E10253&lt;&gt;"""", F10253=""""), ""真實支出"",
  AND(E10253="""", F10253&lt;&gt;""""), ""真實收入"",
  TRUE, ""其他""
)"),"其他")</f>
        <v>其他</v>
      </c>
      <c r="K10253" s="270" t="str">
        <f t="shared" si="2"/>
        <v/>
      </c>
      <c r="L10253">
        <f t="shared" si="3"/>
        <v>0</v>
      </c>
    </row>
    <row r="10254">
      <c r="A10254" s="107"/>
      <c r="D10254" s="270"/>
      <c r="H10254" s="106" t="str">
        <f t="shared" si="1"/>
        <v/>
      </c>
      <c r="J10254" t="str">
        <f>IFERROR(__xludf.DUMMYFUNCTION("IFS(
  AND(REGEXMATCH(E10254, ""台銀籌備帳戶|玉山帳戶""), REGEXMATCH(C10254, ""薪資"")), ""分潤支出"",
  AND(REGEXMATCH(E10254, ""Ben帳戶|Elsa帳戶|Ben代墊|Ariel代墊|中信銀行共用""), REGEXMATCH(F10254, ""Ben帳戶|Elsa帳戶|Ben代墊|Ariel代墊|中信銀行共用"")), ""內部轉帳(忽略)"",
  AND(E10254&lt;&gt;"""", F10254&lt;&gt;"&amp;""""", NOT(REGEXMATCH(C10254, ""薪資""))), ""內部轉帳(忽略)"",
  REGEXMATCH(C10254, ""薪資""), ""薪資變動(不計入)"",
  REGEXMATCH(C10254, ""押金""), ""押金往來"",
  AND(E10254&lt;&gt;"""", F10254=""""), ""真實支出"",
  AND(E10254="""", F10254&lt;&gt;""""), ""真實收入"",
  TRUE, ""其他""
)"),"其他")</f>
        <v>其他</v>
      </c>
      <c r="K10254" s="270" t="str">
        <f t="shared" si="2"/>
        <v/>
      </c>
      <c r="L10254">
        <f t="shared" si="3"/>
        <v>0</v>
      </c>
    </row>
    <row r="10255">
      <c r="A10255" s="107"/>
      <c r="D10255" s="270"/>
      <c r="H10255" s="106" t="str">
        <f t="shared" si="1"/>
        <v/>
      </c>
      <c r="J10255" t="str">
        <f>IFERROR(__xludf.DUMMYFUNCTION("IFS(
  AND(REGEXMATCH(E10255, ""台銀籌備帳戶|玉山帳戶""), REGEXMATCH(C10255, ""薪資"")), ""分潤支出"",
  AND(REGEXMATCH(E10255, ""Ben帳戶|Elsa帳戶|Ben代墊|Ariel代墊|中信銀行共用""), REGEXMATCH(F10255, ""Ben帳戶|Elsa帳戶|Ben代墊|Ariel代墊|中信銀行共用"")), ""內部轉帳(忽略)"",
  AND(E10255&lt;&gt;"""", F10255&lt;&gt;"&amp;""""", NOT(REGEXMATCH(C10255, ""薪資""))), ""內部轉帳(忽略)"",
  REGEXMATCH(C10255, ""薪資""), ""薪資變動(不計入)"",
  REGEXMATCH(C10255, ""押金""), ""押金往來"",
  AND(E10255&lt;&gt;"""", F10255=""""), ""真實支出"",
  AND(E10255="""", F10255&lt;&gt;""""), ""真實收入"",
  TRUE, ""其他""
)"),"其他")</f>
        <v>其他</v>
      </c>
      <c r="K10255" s="270" t="str">
        <f t="shared" si="2"/>
        <v/>
      </c>
      <c r="L10255">
        <f t="shared" si="3"/>
        <v>0</v>
      </c>
    </row>
    <row r="10256">
      <c r="A10256" s="107"/>
      <c r="D10256" s="270"/>
      <c r="H10256" s="106" t="str">
        <f t="shared" si="1"/>
        <v/>
      </c>
      <c r="J10256" t="str">
        <f>IFERROR(__xludf.DUMMYFUNCTION("IFS(
  AND(REGEXMATCH(E10256, ""台銀籌備帳戶|玉山帳戶""), REGEXMATCH(C10256, ""薪資"")), ""分潤支出"",
  AND(REGEXMATCH(E10256, ""Ben帳戶|Elsa帳戶|Ben代墊|Ariel代墊|中信銀行共用""), REGEXMATCH(F10256, ""Ben帳戶|Elsa帳戶|Ben代墊|Ariel代墊|中信銀行共用"")), ""內部轉帳(忽略)"",
  AND(E10256&lt;&gt;"""", F10256&lt;&gt;"&amp;""""", NOT(REGEXMATCH(C10256, ""薪資""))), ""內部轉帳(忽略)"",
  REGEXMATCH(C10256, ""薪資""), ""薪資變動(不計入)"",
  REGEXMATCH(C10256, ""押金""), ""押金往來"",
  AND(E10256&lt;&gt;"""", F10256=""""), ""真實支出"",
  AND(E10256="""", F10256&lt;&gt;""""), ""真實收入"",
  TRUE, ""其他""
)"),"其他")</f>
        <v>其他</v>
      </c>
      <c r="K10256" s="270" t="str">
        <f t="shared" si="2"/>
        <v/>
      </c>
      <c r="L10256">
        <f t="shared" si="3"/>
        <v>0</v>
      </c>
    </row>
    <row r="10257">
      <c r="A10257" s="107"/>
      <c r="D10257" s="270"/>
      <c r="H10257" s="106" t="str">
        <f t="shared" si="1"/>
        <v/>
      </c>
      <c r="J10257" t="str">
        <f>IFERROR(__xludf.DUMMYFUNCTION("IFS(
  AND(REGEXMATCH(E10257, ""台銀籌備帳戶|玉山帳戶""), REGEXMATCH(C10257, ""薪資"")), ""分潤支出"",
  AND(REGEXMATCH(E10257, ""Ben帳戶|Elsa帳戶|Ben代墊|Ariel代墊|中信銀行共用""), REGEXMATCH(F10257, ""Ben帳戶|Elsa帳戶|Ben代墊|Ariel代墊|中信銀行共用"")), ""內部轉帳(忽略)"",
  AND(E10257&lt;&gt;"""", F10257&lt;&gt;"&amp;""""", NOT(REGEXMATCH(C10257, ""薪資""))), ""內部轉帳(忽略)"",
  REGEXMATCH(C10257, ""薪資""), ""薪資變動(不計入)"",
  REGEXMATCH(C10257, ""押金""), ""押金往來"",
  AND(E10257&lt;&gt;"""", F10257=""""), ""真實支出"",
  AND(E10257="""", F10257&lt;&gt;""""), ""真實收入"",
  TRUE, ""其他""
)"),"其他")</f>
        <v>其他</v>
      </c>
      <c r="K10257" s="270" t="str">
        <f t="shared" si="2"/>
        <v/>
      </c>
      <c r="L10257">
        <f t="shared" si="3"/>
        <v>0</v>
      </c>
    </row>
    <row r="10258">
      <c r="A10258" s="107"/>
      <c r="D10258" s="270"/>
      <c r="H10258" s="106" t="str">
        <f t="shared" si="1"/>
        <v/>
      </c>
      <c r="J10258" t="str">
        <f>IFERROR(__xludf.DUMMYFUNCTION("IFS(
  AND(REGEXMATCH(E10258, ""台銀籌備帳戶|玉山帳戶""), REGEXMATCH(C10258, ""薪資"")), ""分潤支出"",
  AND(REGEXMATCH(E10258, ""Ben帳戶|Elsa帳戶|Ben代墊|Ariel代墊|中信銀行共用""), REGEXMATCH(F10258, ""Ben帳戶|Elsa帳戶|Ben代墊|Ariel代墊|中信銀行共用"")), ""內部轉帳(忽略)"",
  AND(E10258&lt;&gt;"""", F10258&lt;&gt;"&amp;""""", NOT(REGEXMATCH(C10258, ""薪資""))), ""內部轉帳(忽略)"",
  REGEXMATCH(C10258, ""薪資""), ""薪資變動(不計入)"",
  REGEXMATCH(C10258, ""押金""), ""押金往來"",
  AND(E10258&lt;&gt;"""", F10258=""""), ""真實支出"",
  AND(E10258="""", F10258&lt;&gt;""""), ""真實收入"",
  TRUE, ""其他""
)"),"其他")</f>
        <v>其他</v>
      </c>
      <c r="K10258" s="270" t="str">
        <f t="shared" si="2"/>
        <v/>
      </c>
      <c r="L10258">
        <f t="shared" si="3"/>
        <v>0</v>
      </c>
    </row>
    <row r="10259">
      <c r="A10259" s="107"/>
      <c r="D10259" s="270"/>
      <c r="H10259" s="106" t="str">
        <f t="shared" si="1"/>
        <v/>
      </c>
      <c r="J10259" t="str">
        <f>IFERROR(__xludf.DUMMYFUNCTION("IFS(
  AND(REGEXMATCH(E10259, ""台銀籌備帳戶|玉山帳戶""), REGEXMATCH(C10259, ""薪資"")), ""分潤支出"",
  AND(REGEXMATCH(E10259, ""Ben帳戶|Elsa帳戶|Ben代墊|Ariel代墊|中信銀行共用""), REGEXMATCH(F10259, ""Ben帳戶|Elsa帳戶|Ben代墊|Ariel代墊|中信銀行共用"")), ""內部轉帳(忽略)"",
  AND(E10259&lt;&gt;"""", F10259&lt;&gt;"&amp;""""", NOT(REGEXMATCH(C10259, ""薪資""))), ""內部轉帳(忽略)"",
  REGEXMATCH(C10259, ""薪資""), ""薪資變動(不計入)"",
  REGEXMATCH(C10259, ""押金""), ""押金往來"",
  AND(E10259&lt;&gt;"""", F10259=""""), ""真實支出"",
  AND(E10259="""", F10259&lt;&gt;""""), ""真實收入"",
  TRUE, ""其他""
)"),"其他")</f>
        <v>其他</v>
      </c>
      <c r="K10259" s="270" t="str">
        <f t="shared" si="2"/>
        <v/>
      </c>
      <c r="L10259">
        <f t="shared" si="3"/>
        <v>0</v>
      </c>
    </row>
    <row r="10260">
      <c r="A10260" s="107"/>
      <c r="D10260" s="270"/>
      <c r="H10260" s="106" t="str">
        <f t="shared" si="1"/>
        <v/>
      </c>
      <c r="J10260" t="str">
        <f>IFERROR(__xludf.DUMMYFUNCTION("IFS(
  AND(REGEXMATCH(E10260, ""台銀籌備帳戶|玉山帳戶""), REGEXMATCH(C10260, ""薪資"")), ""分潤支出"",
  AND(REGEXMATCH(E10260, ""Ben帳戶|Elsa帳戶|Ben代墊|Ariel代墊|中信銀行共用""), REGEXMATCH(F10260, ""Ben帳戶|Elsa帳戶|Ben代墊|Ariel代墊|中信銀行共用"")), ""內部轉帳(忽略)"",
  AND(E10260&lt;&gt;"""", F10260&lt;&gt;"&amp;""""", NOT(REGEXMATCH(C10260, ""薪資""))), ""內部轉帳(忽略)"",
  REGEXMATCH(C10260, ""薪資""), ""薪資變動(不計入)"",
  REGEXMATCH(C10260, ""押金""), ""押金往來"",
  AND(E10260&lt;&gt;"""", F10260=""""), ""真實支出"",
  AND(E10260="""", F10260&lt;&gt;""""), ""真實收入"",
  TRUE, ""其他""
)"),"其他")</f>
        <v>其他</v>
      </c>
      <c r="K10260" s="270" t="str">
        <f t="shared" si="2"/>
        <v/>
      </c>
      <c r="L10260">
        <f t="shared" si="3"/>
        <v>0</v>
      </c>
    </row>
    <row r="10261">
      <c r="A10261" s="107"/>
      <c r="D10261" s="270"/>
      <c r="H10261" s="106" t="str">
        <f t="shared" si="1"/>
        <v/>
      </c>
      <c r="J10261" t="str">
        <f>IFERROR(__xludf.DUMMYFUNCTION("IFS(
  AND(REGEXMATCH(E10261, ""台銀籌備帳戶|玉山帳戶""), REGEXMATCH(C10261, ""薪資"")), ""分潤支出"",
  AND(REGEXMATCH(E10261, ""Ben帳戶|Elsa帳戶|Ben代墊|Ariel代墊|中信銀行共用""), REGEXMATCH(F10261, ""Ben帳戶|Elsa帳戶|Ben代墊|Ariel代墊|中信銀行共用"")), ""內部轉帳(忽略)"",
  AND(E10261&lt;&gt;"""", F10261&lt;&gt;"&amp;""""", NOT(REGEXMATCH(C10261, ""薪資""))), ""內部轉帳(忽略)"",
  REGEXMATCH(C10261, ""薪資""), ""薪資變動(不計入)"",
  REGEXMATCH(C10261, ""押金""), ""押金往來"",
  AND(E10261&lt;&gt;"""", F10261=""""), ""真實支出"",
  AND(E10261="""", F10261&lt;&gt;""""), ""真實收入"",
  TRUE, ""其他""
)"),"其他")</f>
        <v>其他</v>
      </c>
      <c r="K10261" s="270" t="str">
        <f t="shared" si="2"/>
        <v/>
      </c>
      <c r="L10261">
        <f t="shared" si="3"/>
        <v>0</v>
      </c>
    </row>
    <row r="10262">
      <c r="A10262" s="107"/>
      <c r="D10262" s="270"/>
      <c r="H10262" s="106" t="str">
        <f t="shared" si="1"/>
        <v/>
      </c>
      <c r="J10262" t="str">
        <f>IFERROR(__xludf.DUMMYFUNCTION("IFS(
  AND(REGEXMATCH(E10262, ""台銀籌備帳戶|玉山帳戶""), REGEXMATCH(C10262, ""薪資"")), ""分潤支出"",
  AND(REGEXMATCH(E10262, ""Ben帳戶|Elsa帳戶|Ben代墊|Ariel代墊|中信銀行共用""), REGEXMATCH(F10262, ""Ben帳戶|Elsa帳戶|Ben代墊|Ariel代墊|中信銀行共用"")), ""內部轉帳(忽略)"",
  AND(E10262&lt;&gt;"""", F10262&lt;&gt;"&amp;""""", NOT(REGEXMATCH(C10262, ""薪資""))), ""內部轉帳(忽略)"",
  REGEXMATCH(C10262, ""薪資""), ""薪資變動(不計入)"",
  REGEXMATCH(C10262, ""押金""), ""押金往來"",
  AND(E10262&lt;&gt;"""", F10262=""""), ""真實支出"",
  AND(E10262="""", F10262&lt;&gt;""""), ""真實收入"",
  TRUE, ""其他""
)"),"其他")</f>
        <v>其他</v>
      </c>
      <c r="K10262" s="270" t="str">
        <f t="shared" si="2"/>
        <v/>
      </c>
      <c r="L10262">
        <f t="shared" si="3"/>
        <v>0</v>
      </c>
    </row>
    <row r="10263">
      <c r="A10263" s="107"/>
      <c r="D10263" s="270"/>
      <c r="H10263" s="106" t="str">
        <f t="shared" si="1"/>
        <v/>
      </c>
      <c r="J10263" t="str">
        <f>IFERROR(__xludf.DUMMYFUNCTION("IFS(
  AND(REGEXMATCH(E10263, ""台銀籌備帳戶|玉山帳戶""), REGEXMATCH(C10263, ""薪資"")), ""分潤支出"",
  AND(REGEXMATCH(E10263, ""Ben帳戶|Elsa帳戶|Ben代墊|Ariel代墊|中信銀行共用""), REGEXMATCH(F10263, ""Ben帳戶|Elsa帳戶|Ben代墊|Ariel代墊|中信銀行共用"")), ""內部轉帳(忽略)"",
  AND(E10263&lt;&gt;"""", F10263&lt;&gt;"&amp;""""", NOT(REGEXMATCH(C10263, ""薪資""))), ""內部轉帳(忽略)"",
  REGEXMATCH(C10263, ""薪資""), ""薪資變動(不計入)"",
  REGEXMATCH(C10263, ""押金""), ""押金往來"",
  AND(E10263&lt;&gt;"""", F10263=""""), ""真實支出"",
  AND(E10263="""", F10263&lt;&gt;""""), ""真實收入"",
  TRUE, ""其他""
)"),"其他")</f>
        <v>其他</v>
      </c>
      <c r="K10263" s="270" t="str">
        <f t="shared" si="2"/>
        <v/>
      </c>
      <c r="L10263">
        <f t="shared" si="3"/>
        <v>0</v>
      </c>
    </row>
    <row r="10264">
      <c r="A10264" s="107"/>
      <c r="D10264" s="270"/>
      <c r="H10264" s="106" t="str">
        <f t="shared" si="1"/>
        <v/>
      </c>
      <c r="J10264" t="str">
        <f>IFERROR(__xludf.DUMMYFUNCTION("IFS(
  AND(REGEXMATCH(E10264, ""台銀籌備帳戶|玉山帳戶""), REGEXMATCH(C10264, ""薪資"")), ""分潤支出"",
  AND(REGEXMATCH(E10264, ""Ben帳戶|Elsa帳戶|Ben代墊|Ariel代墊|中信銀行共用""), REGEXMATCH(F10264, ""Ben帳戶|Elsa帳戶|Ben代墊|Ariel代墊|中信銀行共用"")), ""內部轉帳(忽略)"",
  AND(E10264&lt;&gt;"""", F10264&lt;&gt;"&amp;""""", NOT(REGEXMATCH(C10264, ""薪資""))), ""內部轉帳(忽略)"",
  REGEXMATCH(C10264, ""薪資""), ""薪資變動(不計入)"",
  REGEXMATCH(C10264, ""押金""), ""押金往來"",
  AND(E10264&lt;&gt;"""", F10264=""""), ""真實支出"",
  AND(E10264="""", F10264&lt;&gt;""""), ""真實收入"",
  TRUE, ""其他""
)"),"其他")</f>
        <v>其他</v>
      </c>
      <c r="K10264" s="270" t="str">
        <f t="shared" si="2"/>
        <v/>
      </c>
      <c r="L10264">
        <f t="shared" si="3"/>
        <v>0</v>
      </c>
    </row>
    <row r="10265">
      <c r="A10265" s="107"/>
      <c r="D10265" s="270"/>
      <c r="H10265" s="106" t="str">
        <f t="shared" si="1"/>
        <v/>
      </c>
      <c r="J10265" t="str">
        <f>IFERROR(__xludf.DUMMYFUNCTION("IFS(
  AND(REGEXMATCH(E10265, ""台銀籌備帳戶|玉山帳戶""), REGEXMATCH(C10265, ""薪資"")), ""分潤支出"",
  AND(REGEXMATCH(E10265, ""Ben帳戶|Elsa帳戶|Ben代墊|Ariel代墊|中信銀行共用""), REGEXMATCH(F10265, ""Ben帳戶|Elsa帳戶|Ben代墊|Ariel代墊|中信銀行共用"")), ""內部轉帳(忽略)"",
  AND(E10265&lt;&gt;"""", F10265&lt;&gt;"&amp;""""", NOT(REGEXMATCH(C10265, ""薪資""))), ""內部轉帳(忽略)"",
  REGEXMATCH(C10265, ""薪資""), ""薪資變動(不計入)"",
  REGEXMATCH(C10265, ""押金""), ""押金往來"",
  AND(E10265&lt;&gt;"""", F10265=""""), ""真實支出"",
  AND(E10265="""", F10265&lt;&gt;""""), ""真實收入"",
  TRUE, ""其他""
)"),"其他")</f>
        <v>其他</v>
      </c>
      <c r="K10265" s="270" t="str">
        <f t="shared" si="2"/>
        <v/>
      </c>
      <c r="L10265">
        <f t="shared" si="3"/>
        <v>0</v>
      </c>
    </row>
    <row r="10266">
      <c r="A10266" s="107"/>
      <c r="D10266" s="270"/>
      <c r="H10266" s="106" t="str">
        <f t="shared" si="1"/>
        <v/>
      </c>
      <c r="J10266" t="str">
        <f>IFERROR(__xludf.DUMMYFUNCTION("IFS(
  AND(REGEXMATCH(E10266, ""台銀籌備帳戶|玉山帳戶""), REGEXMATCH(C10266, ""薪資"")), ""分潤支出"",
  AND(REGEXMATCH(E10266, ""Ben帳戶|Elsa帳戶|Ben代墊|Ariel代墊|中信銀行共用""), REGEXMATCH(F10266, ""Ben帳戶|Elsa帳戶|Ben代墊|Ariel代墊|中信銀行共用"")), ""內部轉帳(忽略)"",
  AND(E10266&lt;&gt;"""", F10266&lt;&gt;"&amp;""""", NOT(REGEXMATCH(C10266, ""薪資""))), ""內部轉帳(忽略)"",
  REGEXMATCH(C10266, ""薪資""), ""薪資變動(不計入)"",
  REGEXMATCH(C10266, ""押金""), ""押金往來"",
  AND(E10266&lt;&gt;"""", F10266=""""), ""真實支出"",
  AND(E10266="""", F10266&lt;&gt;""""), ""真實收入"",
  TRUE, ""其他""
)"),"其他")</f>
        <v>其他</v>
      </c>
      <c r="K10266" s="270" t="str">
        <f t="shared" si="2"/>
        <v/>
      </c>
      <c r="L10266">
        <f t="shared" si="3"/>
        <v>0</v>
      </c>
    </row>
    <row r="10267">
      <c r="A10267" s="107"/>
      <c r="D10267" s="270"/>
      <c r="H10267" s="106" t="str">
        <f t="shared" si="1"/>
        <v/>
      </c>
      <c r="J10267" t="str">
        <f>IFERROR(__xludf.DUMMYFUNCTION("IFS(
  AND(REGEXMATCH(E10267, ""台銀籌備帳戶|玉山帳戶""), REGEXMATCH(C10267, ""薪資"")), ""分潤支出"",
  AND(REGEXMATCH(E10267, ""Ben帳戶|Elsa帳戶|Ben代墊|Ariel代墊|中信銀行共用""), REGEXMATCH(F10267, ""Ben帳戶|Elsa帳戶|Ben代墊|Ariel代墊|中信銀行共用"")), ""內部轉帳(忽略)"",
  AND(E10267&lt;&gt;"""", F10267&lt;&gt;"&amp;""""", NOT(REGEXMATCH(C10267, ""薪資""))), ""內部轉帳(忽略)"",
  REGEXMATCH(C10267, ""薪資""), ""薪資變動(不計入)"",
  REGEXMATCH(C10267, ""押金""), ""押金往來"",
  AND(E10267&lt;&gt;"""", F10267=""""), ""真實支出"",
  AND(E10267="""", F10267&lt;&gt;""""), ""真實收入"",
  TRUE, ""其他""
)"),"其他")</f>
        <v>其他</v>
      </c>
      <c r="K10267" s="270" t="str">
        <f t="shared" si="2"/>
        <v/>
      </c>
      <c r="L10267">
        <f t="shared" si="3"/>
        <v>0</v>
      </c>
    </row>
    <row r="10268">
      <c r="A10268" s="107"/>
      <c r="D10268" s="270"/>
      <c r="H10268" s="106" t="str">
        <f t="shared" si="1"/>
        <v/>
      </c>
      <c r="J10268" t="str">
        <f>IFERROR(__xludf.DUMMYFUNCTION("IFS(
  AND(REGEXMATCH(E10268, ""台銀籌備帳戶|玉山帳戶""), REGEXMATCH(C10268, ""薪資"")), ""分潤支出"",
  AND(REGEXMATCH(E10268, ""Ben帳戶|Elsa帳戶|Ben代墊|Ariel代墊|中信銀行共用""), REGEXMATCH(F10268, ""Ben帳戶|Elsa帳戶|Ben代墊|Ariel代墊|中信銀行共用"")), ""內部轉帳(忽略)"",
  AND(E10268&lt;&gt;"""", F10268&lt;&gt;"&amp;""""", NOT(REGEXMATCH(C10268, ""薪資""))), ""內部轉帳(忽略)"",
  REGEXMATCH(C10268, ""薪資""), ""薪資變動(不計入)"",
  REGEXMATCH(C10268, ""押金""), ""押金往來"",
  AND(E10268&lt;&gt;"""", F10268=""""), ""真實支出"",
  AND(E10268="""", F10268&lt;&gt;""""), ""真實收入"",
  TRUE, ""其他""
)"),"其他")</f>
        <v>其他</v>
      </c>
      <c r="K10268" s="270" t="str">
        <f t="shared" si="2"/>
        <v/>
      </c>
      <c r="L10268">
        <f t="shared" si="3"/>
        <v>0</v>
      </c>
    </row>
    <row r="10269">
      <c r="A10269" s="107"/>
      <c r="D10269" s="270"/>
      <c r="H10269" s="106" t="str">
        <f t="shared" si="1"/>
        <v/>
      </c>
      <c r="J10269" t="str">
        <f>IFERROR(__xludf.DUMMYFUNCTION("IFS(
  AND(REGEXMATCH(E10269, ""台銀籌備帳戶|玉山帳戶""), REGEXMATCH(C10269, ""薪資"")), ""分潤支出"",
  AND(REGEXMATCH(E10269, ""Ben帳戶|Elsa帳戶|Ben代墊|Ariel代墊|中信銀行共用""), REGEXMATCH(F10269, ""Ben帳戶|Elsa帳戶|Ben代墊|Ariel代墊|中信銀行共用"")), ""內部轉帳(忽略)"",
  AND(E10269&lt;&gt;"""", F10269&lt;&gt;"&amp;""""", NOT(REGEXMATCH(C10269, ""薪資""))), ""內部轉帳(忽略)"",
  REGEXMATCH(C10269, ""薪資""), ""薪資變動(不計入)"",
  REGEXMATCH(C10269, ""押金""), ""押金往來"",
  AND(E10269&lt;&gt;"""", F10269=""""), ""真實支出"",
  AND(E10269="""", F10269&lt;&gt;""""), ""真實收入"",
  TRUE, ""其他""
)"),"其他")</f>
        <v>其他</v>
      </c>
      <c r="K10269" s="270" t="str">
        <f t="shared" si="2"/>
        <v/>
      </c>
      <c r="L10269">
        <f t="shared" si="3"/>
        <v>0</v>
      </c>
    </row>
    <row r="10270">
      <c r="A10270" s="107"/>
      <c r="D10270" s="270"/>
      <c r="H10270" s="106" t="str">
        <f t="shared" si="1"/>
        <v/>
      </c>
      <c r="J10270" t="str">
        <f>IFERROR(__xludf.DUMMYFUNCTION("IFS(
  AND(REGEXMATCH(E10270, ""台銀籌備帳戶|玉山帳戶""), REGEXMATCH(C10270, ""薪資"")), ""分潤支出"",
  AND(REGEXMATCH(E10270, ""Ben帳戶|Elsa帳戶|Ben代墊|Ariel代墊|中信銀行共用""), REGEXMATCH(F10270, ""Ben帳戶|Elsa帳戶|Ben代墊|Ariel代墊|中信銀行共用"")), ""內部轉帳(忽略)"",
  AND(E10270&lt;&gt;"""", F10270&lt;&gt;"&amp;""""", NOT(REGEXMATCH(C10270, ""薪資""))), ""內部轉帳(忽略)"",
  REGEXMATCH(C10270, ""薪資""), ""薪資變動(不計入)"",
  REGEXMATCH(C10270, ""押金""), ""押金往來"",
  AND(E10270&lt;&gt;"""", F10270=""""), ""真實支出"",
  AND(E10270="""", F10270&lt;&gt;""""), ""真實收入"",
  TRUE, ""其他""
)"),"其他")</f>
        <v>其他</v>
      </c>
      <c r="K10270" s="270" t="str">
        <f t="shared" si="2"/>
        <v/>
      </c>
      <c r="L10270">
        <f t="shared" si="3"/>
        <v>0</v>
      </c>
    </row>
    <row r="10271">
      <c r="A10271" s="107"/>
      <c r="D10271" s="270"/>
      <c r="H10271" s="106" t="str">
        <f t="shared" si="1"/>
        <v/>
      </c>
      <c r="J10271" t="str">
        <f>IFERROR(__xludf.DUMMYFUNCTION("IFS(
  AND(REGEXMATCH(E10271, ""台銀籌備帳戶|玉山帳戶""), REGEXMATCH(C10271, ""薪資"")), ""分潤支出"",
  AND(REGEXMATCH(E10271, ""Ben帳戶|Elsa帳戶|Ben代墊|Ariel代墊|中信銀行共用""), REGEXMATCH(F10271, ""Ben帳戶|Elsa帳戶|Ben代墊|Ariel代墊|中信銀行共用"")), ""內部轉帳(忽略)"",
  AND(E10271&lt;&gt;"""", F10271&lt;&gt;"&amp;""""", NOT(REGEXMATCH(C10271, ""薪資""))), ""內部轉帳(忽略)"",
  REGEXMATCH(C10271, ""薪資""), ""薪資變動(不計入)"",
  REGEXMATCH(C10271, ""押金""), ""押金往來"",
  AND(E10271&lt;&gt;"""", F10271=""""), ""真實支出"",
  AND(E10271="""", F10271&lt;&gt;""""), ""真實收入"",
  TRUE, ""其他""
)"),"其他")</f>
        <v>其他</v>
      </c>
      <c r="K10271" s="270" t="str">
        <f t="shared" si="2"/>
        <v/>
      </c>
      <c r="L10271">
        <f t="shared" si="3"/>
        <v>0</v>
      </c>
    </row>
    <row r="10272">
      <c r="A10272" s="107"/>
      <c r="D10272" s="270"/>
      <c r="H10272" s="106" t="str">
        <f t="shared" si="1"/>
        <v/>
      </c>
      <c r="J10272" t="str">
        <f>IFERROR(__xludf.DUMMYFUNCTION("IFS(
  AND(REGEXMATCH(E10272, ""台銀籌備帳戶|玉山帳戶""), REGEXMATCH(C10272, ""薪資"")), ""分潤支出"",
  AND(REGEXMATCH(E10272, ""Ben帳戶|Elsa帳戶|Ben代墊|Ariel代墊|中信銀行共用""), REGEXMATCH(F10272, ""Ben帳戶|Elsa帳戶|Ben代墊|Ariel代墊|中信銀行共用"")), ""內部轉帳(忽略)"",
  AND(E10272&lt;&gt;"""", F10272&lt;&gt;"&amp;""""", NOT(REGEXMATCH(C10272, ""薪資""))), ""內部轉帳(忽略)"",
  REGEXMATCH(C10272, ""薪資""), ""薪資變動(不計入)"",
  REGEXMATCH(C10272, ""押金""), ""押金往來"",
  AND(E10272&lt;&gt;"""", F10272=""""), ""真實支出"",
  AND(E10272="""", F10272&lt;&gt;""""), ""真實收入"",
  TRUE, ""其他""
)"),"其他")</f>
        <v>其他</v>
      </c>
      <c r="K10272" s="270" t="str">
        <f t="shared" si="2"/>
        <v/>
      </c>
      <c r="L10272">
        <f t="shared" si="3"/>
        <v>0</v>
      </c>
    </row>
    <row r="10273">
      <c r="A10273" s="107"/>
      <c r="D10273" s="270"/>
      <c r="H10273" s="106" t="str">
        <f t="shared" si="1"/>
        <v/>
      </c>
      <c r="J10273" t="str">
        <f>IFERROR(__xludf.DUMMYFUNCTION("IFS(
  AND(REGEXMATCH(E10273, ""台銀籌備帳戶|玉山帳戶""), REGEXMATCH(C10273, ""薪資"")), ""分潤支出"",
  AND(REGEXMATCH(E10273, ""Ben帳戶|Elsa帳戶|Ben代墊|Ariel代墊|中信銀行共用""), REGEXMATCH(F10273, ""Ben帳戶|Elsa帳戶|Ben代墊|Ariel代墊|中信銀行共用"")), ""內部轉帳(忽略)"",
  AND(E10273&lt;&gt;"""", F10273&lt;&gt;"&amp;""""", NOT(REGEXMATCH(C10273, ""薪資""))), ""內部轉帳(忽略)"",
  REGEXMATCH(C10273, ""薪資""), ""薪資變動(不計入)"",
  REGEXMATCH(C10273, ""押金""), ""押金往來"",
  AND(E10273&lt;&gt;"""", F10273=""""), ""真實支出"",
  AND(E10273="""", F10273&lt;&gt;""""), ""真實收入"",
  TRUE, ""其他""
)"),"其他")</f>
        <v>其他</v>
      </c>
      <c r="K10273" s="270" t="str">
        <f t="shared" si="2"/>
        <v/>
      </c>
      <c r="L10273">
        <f t="shared" si="3"/>
        <v>0</v>
      </c>
    </row>
    <row r="10274">
      <c r="A10274" s="107"/>
      <c r="D10274" s="270"/>
      <c r="H10274" s="106" t="str">
        <f t="shared" si="1"/>
        <v/>
      </c>
      <c r="J10274" t="str">
        <f>IFERROR(__xludf.DUMMYFUNCTION("IFS(
  AND(REGEXMATCH(E10274, ""台銀籌備帳戶|玉山帳戶""), REGEXMATCH(C10274, ""薪資"")), ""分潤支出"",
  AND(REGEXMATCH(E10274, ""Ben帳戶|Elsa帳戶|Ben代墊|Ariel代墊|中信銀行共用""), REGEXMATCH(F10274, ""Ben帳戶|Elsa帳戶|Ben代墊|Ariel代墊|中信銀行共用"")), ""內部轉帳(忽略)"",
  AND(E10274&lt;&gt;"""", F10274&lt;&gt;"&amp;""""", NOT(REGEXMATCH(C10274, ""薪資""))), ""內部轉帳(忽略)"",
  REGEXMATCH(C10274, ""薪資""), ""薪資變動(不計入)"",
  REGEXMATCH(C10274, ""押金""), ""押金往來"",
  AND(E10274&lt;&gt;"""", F10274=""""), ""真實支出"",
  AND(E10274="""", F10274&lt;&gt;""""), ""真實收入"",
  TRUE, ""其他""
)"),"其他")</f>
        <v>其他</v>
      </c>
      <c r="K10274" s="270" t="str">
        <f t="shared" si="2"/>
        <v/>
      </c>
      <c r="L10274">
        <f t="shared" si="3"/>
        <v>0</v>
      </c>
    </row>
    <row r="10275">
      <c r="A10275" s="107"/>
      <c r="D10275" s="270"/>
      <c r="H10275" s="106" t="str">
        <f t="shared" si="1"/>
        <v/>
      </c>
      <c r="J10275" t="str">
        <f>IFERROR(__xludf.DUMMYFUNCTION("IFS(
  AND(REGEXMATCH(E10275, ""台銀籌備帳戶|玉山帳戶""), REGEXMATCH(C10275, ""薪資"")), ""分潤支出"",
  AND(REGEXMATCH(E10275, ""Ben帳戶|Elsa帳戶|Ben代墊|Ariel代墊|中信銀行共用""), REGEXMATCH(F10275, ""Ben帳戶|Elsa帳戶|Ben代墊|Ariel代墊|中信銀行共用"")), ""內部轉帳(忽略)"",
  AND(E10275&lt;&gt;"""", F10275&lt;&gt;"&amp;""""", NOT(REGEXMATCH(C10275, ""薪資""))), ""內部轉帳(忽略)"",
  REGEXMATCH(C10275, ""薪資""), ""薪資變動(不計入)"",
  REGEXMATCH(C10275, ""押金""), ""押金往來"",
  AND(E10275&lt;&gt;"""", F10275=""""), ""真實支出"",
  AND(E10275="""", F10275&lt;&gt;""""), ""真實收入"",
  TRUE, ""其他""
)"),"其他")</f>
        <v>其他</v>
      </c>
      <c r="K10275" s="270" t="str">
        <f t="shared" si="2"/>
        <v/>
      </c>
      <c r="L10275">
        <f t="shared" si="3"/>
        <v>0</v>
      </c>
    </row>
    <row r="10276">
      <c r="A10276" s="107"/>
      <c r="D10276" s="270"/>
      <c r="H10276" s="106" t="str">
        <f t="shared" si="1"/>
        <v/>
      </c>
      <c r="J10276" t="str">
        <f>IFERROR(__xludf.DUMMYFUNCTION("IFS(
  AND(REGEXMATCH(E10276, ""台銀籌備帳戶|玉山帳戶""), REGEXMATCH(C10276, ""薪資"")), ""分潤支出"",
  AND(REGEXMATCH(E10276, ""Ben帳戶|Elsa帳戶|Ben代墊|Ariel代墊|中信銀行共用""), REGEXMATCH(F10276, ""Ben帳戶|Elsa帳戶|Ben代墊|Ariel代墊|中信銀行共用"")), ""內部轉帳(忽略)"",
  AND(E10276&lt;&gt;"""", F10276&lt;&gt;"&amp;""""", NOT(REGEXMATCH(C10276, ""薪資""))), ""內部轉帳(忽略)"",
  REGEXMATCH(C10276, ""薪資""), ""薪資變動(不計入)"",
  REGEXMATCH(C10276, ""押金""), ""押金往來"",
  AND(E10276&lt;&gt;"""", F10276=""""), ""真實支出"",
  AND(E10276="""", F10276&lt;&gt;""""), ""真實收入"",
  TRUE, ""其他""
)"),"其他")</f>
        <v>其他</v>
      </c>
      <c r="K10276" s="270" t="str">
        <f t="shared" si="2"/>
        <v/>
      </c>
      <c r="L10276">
        <f t="shared" si="3"/>
        <v>0</v>
      </c>
    </row>
    <row r="10277">
      <c r="A10277" s="107"/>
      <c r="D10277" s="270"/>
      <c r="H10277" s="106" t="str">
        <f t="shared" si="1"/>
        <v/>
      </c>
      <c r="J10277" t="str">
        <f>IFERROR(__xludf.DUMMYFUNCTION("IFS(
  AND(REGEXMATCH(E10277, ""台銀籌備帳戶|玉山帳戶""), REGEXMATCH(C10277, ""薪資"")), ""分潤支出"",
  AND(REGEXMATCH(E10277, ""Ben帳戶|Elsa帳戶|Ben代墊|Ariel代墊|中信銀行共用""), REGEXMATCH(F10277, ""Ben帳戶|Elsa帳戶|Ben代墊|Ariel代墊|中信銀行共用"")), ""內部轉帳(忽略)"",
  AND(E10277&lt;&gt;"""", F10277&lt;&gt;"&amp;""""", NOT(REGEXMATCH(C10277, ""薪資""))), ""內部轉帳(忽略)"",
  REGEXMATCH(C10277, ""薪資""), ""薪資變動(不計入)"",
  REGEXMATCH(C10277, ""押金""), ""押金往來"",
  AND(E10277&lt;&gt;"""", F10277=""""), ""真實支出"",
  AND(E10277="""", F10277&lt;&gt;""""), ""真實收入"",
  TRUE, ""其他""
)"),"其他")</f>
        <v>其他</v>
      </c>
      <c r="K10277" s="270" t="str">
        <f t="shared" si="2"/>
        <v/>
      </c>
      <c r="L10277">
        <f t="shared" si="3"/>
        <v>0</v>
      </c>
    </row>
    <row r="10278">
      <c r="A10278" s="107"/>
      <c r="D10278" s="270"/>
      <c r="H10278" s="106" t="str">
        <f t="shared" si="1"/>
        <v/>
      </c>
      <c r="J10278" t="str">
        <f>IFERROR(__xludf.DUMMYFUNCTION("IFS(
  AND(REGEXMATCH(E10278, ""台銀籌備帳戶|玉山帳戶""), REGEXMATCH(C10278, ""薪資"")), ""分潤支出"",
  AND(REGEXMATCH(E10278, ""Ben帳戶|Elsa帳戶|Ben代墊|Ariel代墊|中信銀行共用""), REGEXMATCH(F10278, ""Ben帳戶|Elsa帳戶|Ben代墊|Ariel代墊|中信銀行共用"")), ""內部轉帳(忽略)"",
  AND(E10278&lt;&gt;"""", F10278&lt;&gt;"&amp;""""", NOT(REGEXMATCH(C10278, ""薪資""))), ""內部轉帳(忽略)"",
  REGEXMATCH(C10278, ""薪資""), ""薪資變動(不計入)"",
  REGEXMATCH(C10278, ""押金""), ""押金往來"",
  AND(E10278&lt;&gt;"""", F10278=""""), ""真實支出"",
  AND(E10278="""", F10278&lt;&gt;""""), ""真實收入"",
  TRUE, ""其他""
)"),"其他")</f>
        <v>其他</v>
      </c>
      <c r="K10278" s="270" t="str">
        <f t="shared" si="2"/>
        <v/>
      </c>
      <c r="L10278">
        <f t="shared" si="3"/>
        <v>0</v>
      </c>
    </row>
    <row r="10279">
      <c r="A10279" s="107"/>
      <c r="D10279" s="270"/>
      <c r="H10279" s="106" t="str">
        <f t="shared" si="1"/>
        <v/>
      </c>
      <c r="J10279" t="str">
        <f>IFERROR(__xludf.DUMMYFUNCTION("IFS(
  AND(REGEXMATCH(E10279, ""台銀籌備帳戶|玉山帳戶""), REGEXMATCH(C10279, ""薪資"")), ""分潤支出"",
  AND(REGEXMATCH(E10279, ""Ben帳戶|Elsa帳戶|Ben代墊|Ariel代墊|中信銀行共用""), REGEXMATCH(F10279, ""Ben帳戶|Elsa帳戶|Ben代墊|Ariel代墊|中信銀行共用"")), ""內部轉帳(忽略)"",
  AND(E10279&lt;&gt;"""", F10279&lt;&gt;"&amp;""""", NOT(REGEXMATCH(C10279, ""薪資""))), ""內部轉帳(忽略)"",
  REGEXMATCH(C10279, ""薪資""), ""薪資變動(不計入)"",
  REGEXMATCH(C10279, ""押金""), ""押金往來"",
  AND(E10279&lt;&gt;"""", F10279=""""), ""真實支出"",
  AND(E10279="""", F10279&lt;&gt;""""), ""真實收入"",
  TRUE, ""其他""
)"),"其他")</f>
        <v>其他</v>
      </c>
      <c r="K10279" s="270" t="str">
        <f t="shared" si="2"/>
        <v/>
      </c>
      <c r="L10279">
        <f t="shared" si="3"/>
        <v>0</v>
      </c>
    </row>
    <row r="10280">
      <c r="A10280" s="107"/>
      <c r="D10280" s="270"/>
      <c r="H10280" s="106" t="str">
        <f t="shared" si="1"/>
        <v/>
      </c>
      <c r="J10280" t="str">
        <f>IFERROR(__xludf.DUMMYFUNCTION("IFS(
  AND(REGEXMATCH(E10280, ""台銀籌備帳戶|玉山帳戶""), REGEXMATCH(C10280, ""薪資"")), ""分潤支出"",
  AND(REGEXMATCH(E10280, ""Ben帳戶|Elsa帳戶|Ben代墊|Ariel代墊|中信銀行共用""), REGEXMATCH(F10280, ""Ben帳戶|Elsa帳戶|Ben代墊|Ariel代墊|中信銀行共用"")), ""內部轉帳(忽略)"",
  AND(E10280&lt;&gt;"""", F10280&lt;&gt;"&amp;""""", NOT(REGEXMATCH(C10280, ""薪資""))), ""內部轉帳(忽略)"",
  REGEXMATCH(C10280, ""薪資""), ""薪資變動(不計入)"",
  REGEXMATCH(C10280, ""押金""), ""押金往來"",
  AND(E10280&lt;&gt;"""", F10280=""""), ""真實支出"",
  AND(E10280="""", F10280&lt;&gt;""""), ""真實收入"",
  TRUE, ""其他""
)"),"其他")</f>
        <v>其他</v>
      </c>
      <c r="K10280" s="270" t="str">
        <f t="shared" si="2"/>
        <v/>
      </c>
      <c r="L10280">
        <f t="shared" si="3"/>
        <v>0</v>
      </c>
    </row>
    <row r="10281">
      <c r="A10281" s="107"/>
      <c r="D10281" s="270"/>
      <c r="H10281" s="106" t="str">
        <f t="shared" si="1"/>
        <v/>
      </c>
      <c r="J10281" t="str">
        <f>IFERROR(__xludf.DUMMYFUNCTION("IFS(
  AND(REGEXMATCH(E10281, ""台銀籌備帳戶|玉山帳戶""), REGEXMATCH(C10281, ""薪資"")), ""分潤支出"",
  AND(REGEXMATCH(E10281, ""Ben帳戶|Elsa帳戶|Ben代墊|Ariel代墊|中信銀行共用""), REGEXMATCH(F10281, ""Ben帳戶|Elsa帳戶|Ben代墊|Ariel代墊|中信銀行共用"")), ""內部轉帳(忽略)"",
  AND(E10281&lt;&gt;"""", F10281&lt;&gt;"&amp;""""", NOT(REGEXMATCH(C10281, ""薪資""))), ""內部轉帳(忽略)"",
  REGEXMATCH(C10281, ""薪資""), ""薪資變動(不計入)"",
  REGEXMATCH(C10281, ""押金""), ""押金往來"",
  AND(E10281&lt;&gt;"""", F10281=""""), ""真實支出"",
  AND(E10281="""", F10281&lt;&gt;""""), ""真實收入"",
  TRUE, ""其他""
)"),"其他")</f>
        <v>其他</v>
      </c>
      <c r="K10281" s="270" t="str">
        <f t="shared" si="2"/>
        <v/>
      </c>
      <c r="L10281">
        <f t="shared" si="3"/>
        <v>0</v>
      </c>
    </row>
    <row r="10282">
      <c r="A10282" s="107"/>
      <c r="D10282" s="270"/>
      <c r="H10282" s="106" t="str">
        <f t="shared" si="1"/>
        <v/>
      </c>
      <c r="J10282" t="str">
        <f>IFERROR(__xludf.DUMMYFUNCTION("IFS(
  AND(REGEXMATCH(E10282, ""台銀籌備帳戶|玉山帳戶""), REGEXMATCH(C10282, ""薪資"")), ""分潤支出"",
  AND(REGEXMATCH(E10282, ""Ben帳戶|Elsa帳戶|Ben代墊|Ariel代墊|中信銀行共用""), REGEXMATCH(F10282, ""Ben帳戶|Elsa帳戶|Ben代墊|Ariel代墊|中信銀行共用"")), ""內部轉帳(忽略)"",
  AND(E10282&lt;&gt;"""", F10282&lt;&gt;"&amp;""""", NOT(REGEXMATCH(C10282, ""薪資""))), ""內部轉帳(忽略)"",
  REGEXMATCH(C10282, ""薪資""), ""薪資變動(不計入)"",
  REGEXMATCH(C10282, ""押金""), ""押金往來"",
  AND(E10282&lt;&gt;"""", F10282=""""), ""真實支出"",
  AND(E10282="""", F10282&lt;&gt;""""), ""真實收入"",
  TRUE, ""其他""
)"),"其他")</f>
        <v>其他</v>
      </c>
      <c r="K10282" s="270" t="str">
        <f t="shared" si="2"/>
        <v/>
      </c>
      <c r="L10282">
        <f t="shared" si="3"/>
        <v>0</v>
      </c>
    </row>
    <row r="10283">
      <c r="A10283" s="107"/>
      <c r="D10283" s="270"/>
      <c r="H10283" s="106" t="str">
        <f t="shared" si="1"/>
        <v/>
      </c>
      <c r="J10283" t="str">
        <f>IFERROR(__xludf.DUMMYFUNCTION("IFS(
  AND(REGEXMATCH(E10283, ""台銀籌備帳戶|玉山帳戶""), REGEXMATCH(C10283, ""薪資"")), ""分潤支出"",
  AND(REGEXMATCH(E10283, ""Ben帳戶|Elsa帳戶|Ben代墊|Ariel代墊|中信銀行共用""), REGEXMATCH(F10283, ""Ben帳戶|Elsa帳戶|Ben代墊|Ariel代墊|中信銀行共用"")), ""內部轉帳(忽略)"",
  AND(E10283&lt;&gt;"""", F10283&lt;&gt;"&amp;""""", NOT(REGEXMATCH(C10283, ""薪資""))), ""內部轉帳(忽略)"",
  REGEXMATCH(C10283, ""薪資""), ""薪資變動(不計入)"",
  REGEXMATCH(C10283, ""押金""), ""押金往來"",
  AND(E10283&lt;&gt;"""", F10283=""""), ""真實支出"",
  AND(E10283="""", F10283&lt;&gt;""""), ""真實收入"",
  TRUE, ""其他""
)"),"其他")</f>
        <v>其他</v>
      </c>
      <c r="K10283" s="270" t="str">
        <f t="shared" si="2"/>
        <v/>
      </c>
      <c r="L10283">
        <f t="shared" si="3"/>
        <v>0</v>
      </c>
    </row>
    <row r="10284">
      <c r="A10284" s="107"/>
      <c r="D10284" s="270"/>
      <c r="H10284" s="106" t="str">
        <f t="shared" si="1"/>
        <v/>
      </c>
      <c r="J10284" t="str">
        <f>IFERROR(__xludf.DUMMYFUNCTION("IFS(
  AND(REGEXMATCH(E10284, ""台銀籌備帳戶|玉山帳戶""), REGEXMATCH(C10284, ""薪資"")), ""分潤支出"",
  AND(REGEXMATCH(E10284, ""Ben帳戶|Elsa帳戶|Ben代墊|Ariel代墊|中信銀行共用""), REGEXMATCH(F10284, ""Ben帳戶|Elsa帳戶|Ben代墊|Ariel代墊|中信銀行共用"")), ""內部轉帳(忽略)"",
  AND(E10284&lt;&gt;"""", F10284&lt;&gt;"&amp;""""", NOT(REGEXMATCH(C10284, ""薪資""))), ""內部轉帳(忽略)"",
  REGEXMATCH(C10284, ""薪資""), ""薪資變動(不計入)"",
  REGEXMATCH(C10284, ""押金""), ""押金往來"",
  AND(E10284&lt;&gt;"""", F10284=""""), ""真實支出"",
  AND(E10284="""", F10284&lt;&gt;""""), ""真實收入"",
  TRUE, ""其他""
)"),"其他")</f>
        <v>其他</v>
      </c>
      <c r="K10284" s="270" t="str">
        <f t="shared" si="2"/>
        <v/>
      </c>
      <c r="L10284">
        <f t="shared" si="3"/>
        <v>0</v>
      </c>
    </row>
    <row r="10285">
      <c r="A10285" s="107"/>
      <c r="D10285" s="270"/>
      <c r="H10285" s="106" t="str">
        <f t="shared" si="1"/>
        <v/>
      </c>
      <c r="J10285" t="str">
        <f>IFERROR(__xludf.DUMMYFUNCTION("IFS(
  AND(REGEXMATCH(E10285, ""台銀籌備帳戶|玉山帳戶""), REGEXMATCH(C10285, ""薪資"")), ""分潤支出"",
  AND(REGEXMATCH(E10285, ""Ben帳戶|Elsa帳戶|Ben代墊|Ariel代墊|中信銀行共用""), REGEXMATCH(F10285, ""Ben帳戶|Elsa帳戶|Ben代墊|Ariel代墊|中信銀行共用"")), ""內部轉帳(忽略)"",
  AND(E10285&lt;&gt;"""", F10285&lt;&gt;"&amp;""""", NOT(REGEXMATCH(C10285, ""薪資""))), ""內部轉帳(忽略)"",
  REGEXMATCH(C10285, ""薪資""), ""薪資變動(不計入)"",
  REGEXMATCH(C10285, ""押金""), ""押金往來"",
  AND(E10285&lt;&gt;"""", F10285=""""), ""真實支出"",
  AND(E10285="""", F10285&lt;&gt;""""), ""真實收入"",
  TRUE, ""其他""
)"),"其他")</f>
        <v>其他</v>
      </c>
      <c r="K10285" s="270" t="str">
        <f t="shared" si="2"/>
        <v/>
      </c>
      <c r="L10285">
        <f t="shared" si="3"/>
        <v>0</v>
      </c>
    </row>
    <row r="10286">
      <c r="A10286" s="107"/>
      <c r="D10286" s="270"/>
      <c r="H10286" s="106" t="str">
        <f t="shared" si="1"/>
        <v/>
      </c>
      <c r="J10286" t="str">
        <f>IFERROR(__xludf.DUMMYFUNCTION("IFS(
  AND(REGEXMATCH(E10286, ""台銀籌備帳戶|玉山帳戶""), REGEXMATCH(C10286, ""薪資"")), ""分潤支出"",
  AND(REGEXMATCH(E10286, ""Ben帳戶|Elsa帳戶|Ben代墊|Ariel代墊|中信銀行共用""), REGEXMATCH(F10286, ""Ben帳戶|Elsa帳戶|Ben代墊|Ariel代墊|中信銀行共用"")), ""內部轉帳(忽略)"",
  AND(E10286&lt;&gt;"""", F10286&lt;&gt;"&amp;""""", NOT(REGEXMATCH(C10286, ""薪資""))), ""內部轉帳(忽略)"",
  REGEXMATCH(C10286, ""薪資""), ""薪資變動(不計入)"",
  REGEXMATCH(C10286, ""押金""), ""押金往來"",
  AND(E10286&lt;&gt;"""", F10286=""""), ""真實支出"",
  AND(E10286="""", F10286&lt;&gt;""""), ""真實收入"",
  TRUE, ""其他""
)"),"其他")</f>
        <v>其他</v>
      </c>
      <c r="K10286" s="270" t="str">
        <f t="shared" si="2"/>
        <v/>
      </c>
      <c r="L10286">
        <f t="shared" si="3"/>
        <v>0</v>
      </c>
    </row>
    <row r="10287">
      <c r="A10287" s="107"/>
      <c r="D10287" s="270"/>
      <c r="H10287" s="106" t="str">
        <f t="shared" si="1"/>
        <v/>
      </c>
      <c r="J10287" t="str">
        <f>IFERROR(__xludf.DUMMYFUNCTION("IFS(
  AND(REGEXMATCH(E10287, ""台銀籌備帳戶|玉山帳戶""), REGEXMATCH(C10287, ""薪資"")), ""分潤支出"",
  AND(REGEXMATCH(E10287, ""Ben帳戶|Elsa帳戶|Ben代墊|Ariel代墊|中信銀行共用""), REGEXMATCH(F10287, ""Ben帳戶|Elsa帳戶|Ben代墊|Ariel代墊|中信銀行共用"")), ""內部轉帳(忽略)"",
  AND(E10287&lt;&gt;"""", F10287&lt;&gt;"&amp;""""", NOT(REGEXMATCH(C10287, ""薪資""))), ""內部轉帳(忽略)"",
  REGEXMATCH(C10287, ""薪資""), ""薪資變動(不計入)"",
  REGEXMATCH(C10287, ""押金""), ""押金往來"",
  AND(E10287&lt;&gt;"""", F10287=""""), ""真實支出"",
  AND(E10287="""", F10287&lt;&gt;""""), ""真實收入"",
  TRUE, ""其他""
)"),"其他")</f>
        <v>其他</v>
      </c>
      <c r="K10287" s="270" t="str">
        <f t="shared" si="2"/>
        <v/>
      </c>
      <c r="L10287">
        <f t="shared" si="3"/>
        <v>0</v>
      </c>
    </row>
    <row r="10288">
      <c r="A10288" s="107"/>
      <c r="D10288" s="270"/>
      <c r="H10288" s="106" t="str">
        <f t="shared" si="1"/>
        <v/>
      </c>
      <c r="J10288" t="str">
        <f>IFERROR(__xludf.DUMMYFUNCTION("IFS(
  AND(REGEXMATCH(E10288, ""台銀籌備帳戶|玉山帳戶""), REGEXMATCH(C10288, ""薪資"")), ""分潤支出"",
  AND(REGEXMATCH(E10288, ""Ben帳戶|Elsa帳戶|Ben代墊|Ariel代墊|中信銀行共用""), REGEXMATCH(F10288, ""Ben帳戶|Elsa帳戶|Ben代墊|Ariel代墊|中信銀行共用"")), ""內部轉帳(忽略)"",
  AND(E10288&lt;&gt;"""", F10288&lt;&gt;"&amp;""""", NOT(REGEXMATCH(C10288, ""薪資""))), ""內部轉帳(忽略)"",
  REGEXMATCH(C10288, ""薪資""), ""薪資變動(不計入)"",
  REGEXMATCH(C10288, ""押金""), ""押金往來"",
  AND(E10288&lt;&gt;"""", F10288=""""), ""真實支出"",
  AND(E10288="""", F10288&lt;&gt;""""), ""真實收入"",
  TRUE, ""其他""
)"),"其他")</f>
        <v>其他</v>
      </c>
      <c r="K10288" s="270" t="str">
        <f t="shared" si="2"/>
        <v/>
      </c>
      <c r="L10288">
        <f t="shared" si="3"/>
        <v>0</v>
      </c>
    </row>
    <row r="10289">
      <c r="A10289" s="107"/>
      <c r="D10289" s="270"/>
      <c r="H10289" s="106" t="str">
        <f t="shared" si="1"/>
        <v/>
      </c>
      <c r="J10289" t="str">
        <f>IFERROR(__xludf.DUMMYFUNCTION("IFS(
  AND(REGEXMATCH(E10289, ""台銀籌備帳戶|玉山帳戶""), REGEXMATCH(C10289, ""薪資"")), ""分潤支出"",
  AND(REGEXMATCH(E10289, ""Ben帳戶|Elsa帳戶|Ben代墊|Ariel代墊|中信銀行共用""), REGEXMATCH(F10289, ""Ben帳戶|Elsa帳戶|Ben代墊|Ariel代墊|中信銀行共用"")), ""內部轉帳(忽略)"",
  AND(E10289&lt;&gt;"""", F10289&lt;&gt;"&amp;""""", NOT(REGEXMATCH(C10289, ""薪資""))), ""內部轉帳(忽略)"",
  REGEXMATCH(C10289, ""薪資""), ""薪資變動(不計入)"",
  REGEXMATCH(C10289, ""押金""), ""押金往來"",
  AND(E10289&lt;&gt;"""", F10289=""""), ""真實支出"",
  AND(E10289="""", F10289&lt;&gt;""""), ""真實收入"",
  TRUE, ""其他""
)"),"其他")</f>
        <v>其他</v>
      </c>
      <c r="K10289" s="270" t="str">
        <f t="shared" si="2"/>
        <v/>
      </c>
      <c r="L10289">
        <f t="shared" si="3"/>
        <v>0</v>
      </c>
    </row>
    <row r="10290">
      <c r="A10290" s="107"/>
      <c r="D10290" s="270"/>
      <c r="H10290" s="106" t="str">
        <f t="shared" si="1"/>
        <v/>
      </c>
      <c r="J10290" t="str">
        <f>IFERROR(__xludf.DUMMYFUNCTION("IFS(
  AND(REGEXMATCH(E10290, ""台銀籌備帳戶|玉山帳戶""), REGEXMATCH(C10290, ""薪資"")), ""分潤支出"",
  AND(REGEXMATCH(E10290, ""Ben帳戶|Elsa帳戶|Ben代墊|Ariel代墊|中信銀行共用""), REGEXMATCH(F10290, ""Ben帳戶|Elsa帳戶|Ben代墊|Ariel代墊|中信銀行共用"")), ""內部轉帳(忽略)"",
  AND(E10290&lt;&gt;"""", F10290&lt;&gt;"&amp;""""", NOT(REGEXMATCH(C10290, ""薪資""))), ""內部轉帳(忽略)"",
  REGEXMATCH(C10290, ""薪資""), ""薪資變動(不計入)"",
  REGEXMATCH(C10290, ""押金""), ""押金往來"",
  AND(E10290&lt;&gt;"""", F10290=""""), ""真實支出"",
  AND(E10290="""", F10290&lt;&gt;""""), ""真實收入"",
  TRUE, ""其他""
)"),"其他")</f>
        <v>其他</v>
      </c>
      <c r="K10290" s="270" t="str">
        <f t="shared" si="2"/>
        <v/>
      </c>
      <c r="L10290">
        <f t="shared" si="3"/>
        <v>0</v>
      </c>
    </row>
    <row r="10291">
      <c r="A10291" s="107"/>
      <c r="D10291" s="270"/>
      <c r="H10291" s="106" t="str">
        <f t="shared" si="1"/>
        <v/>
      </c>
      <c r="J10291" t="str">
        <f>IFERROR(__xludf.DUMMYFUNCTION("IFS(
  AND(REGEXMATCH(E10291, ""台銀籌備帳戶|玉山帳戶""), REGEXMATCH(C10291, ""薪資"")), ""分潤支出"",
  AND(REGEXMATCH(E10291, ""Ben帳戶|Elsa帳戶|Ben代墊|Ariel代墊|中信銀行共用""), REGEXMATCH(F10291, ""Ben帳戶|Elsa帳戶|Ben代墊|Ariel代墊|中信銀行共用"")), ""內部轉帳(忽略)"",
  AND(E10291&lt;&gt;"""", F10291&lt;&gt;"&amp;""""", NOT(REGEXMATCH(C10291, ""薪資""))), ""內部轉帳(忽略)"",
  REGEXMATCH(C10291, ""薪資""), ""薪資變動(不計入)"",
  REGEXMATCH(C10291, ""押金""), ""押金往來"",
  AND(E10291&lt;&gt;"""", F10291=""""), ""真實支出"",
  AND(E10291="""", F10291&lt;&gt;""""), ""真實收入"",
  TRUE, ""其他""
)"),"其他")</f>
        <v>其他</v>
      </c>
      <c r="K10291" s="270" t="str">
        <f t="shared" si="2"/>
        <v/>
      </c>
      <c r="L10291">
        <f t="shared" si="3"/>
        <v>0</v>
      </c>
    </row>
    <row r="10292">
      <c r="A10292" s="107"/>
      <c r="D10292" s="270"/>
      <c r="H10292" s="106" t="str">
        <f t="shared" si="1"/>
        <v/>
      </c>
      <c r="J10292" t="str">
        <f>IFERROR(__xludf.DUMMYFUNCTION("IFS(
  AND(REGEXMATCH(E10292, ""台銀籌備帳戶|玉山帳戶""), REGEXMATCH(C10292, ""薪資"")), ""分潤支出"",
  AND(REGEXMATCH(E10292, ""Ben帳戶|Elsa帳戶|Ben代墊|Ariel代墊|中信銀行共用""), REGEXMATCH(F10292, ""Ben帳戶|Elsa帳戶|Ben代墊|Ariel代墊|中信銀行共用"")), ""內部轉帳(忽略)"",
  AND(E10292&lt;&gt;"""", F10292&lt;&gt;"&amp;""""", NOT(REGEXMATCH(C10292, ""薪資""))), ""內部轉帳(忽略)"",
  REGEXMATCH(C10292, ""薪資""), ""薪資變動(不計入)"",
  REGEXMATCH(C10292, ""押金""), ""押金往來"",
  AND(E10292&lt;&gt;"""", F10292=""""), ""真實支出"",
  AND(E10292="""", F10292&lt;&gt;""""), ""真實收入"",
  TRUE, ""其他""
)"),"其他")</f>
        <v>其他</v>
      </c>
      <c r="K10292" s="270" t="str">
        <f t="shared" si="2"/>
        <v/>
      </c>
      <c r="L10292">
        <f t="shared" si="3"/>
        <v>0</v>
      </c>
    </row>
    <row r="10293">
      <c r="A10293" s="107"/>
      <c r="D10293" s="270"/>
      <c r="H10293" s="106" t="str">
        <f t="shared" si="1"/>
        <v/>
      </c>
      <c r="J10293" t="str">
        <f>IFERROR(__xludf.DUMMYFUNCTION("IFS(
  AND(REGEXMATCH(E10293, ""台銀籌備帳戶|玉山帳戶""), REGEXMATCH(C10293, ""薪資"")), ""分潤支出"",
  AND(REGEXMATCH(E10293, ""Ben帳戶|Elsa帳戶|Ben代墊|Ariel代墊|中信銀行共用""), REGEXMATCH(F10293, ""Ben帳戶|Elsa帳戶|Ben代墊|Ariel代墊|中信銀行共用"")), ""內部轉帳(忽略)"",
  AND(E10293&lt;&gt;"""", F10293&lt;&gt;"&amp;""""", NOT(REGEXMATCH(C10293, ""薪資""))), ""內部轉帳(忽略)"",
  REGEXMATCH(C10293, ""薪資""), ""薪資變動(不計入)"",
  REGEXMATCH(C10293, ""押金""), ""押金往來"",
  AND(E10293&lt;&gt;"""", F10293=""""), ""真實支出"",
  AND(E10293="""", F10293&lt;&gt;""""), ""真實收入"",
  TRUE, ""其他""
)"),"其他")</f>
        <v>其他</v>
      </c>
      <c r="K10293" s="270" t="str">
        <f t="shared" si="2"/>
        <v/>
      </c>
      <c r="L10293">
        <f t="shared" si="3"/>
        <v>0</v>
      </c>
    </row>
    <row r="10294">
      <c r="A10294" s="107"/>
      <c r="D10294" s="270"/>
      <c r="H10294" s="106" t="str">
        <f t="shared" si="1"/>
        <v/>
      </c>
      <c r="J10294" t="str">
        <f>IFERROR(__xludf.DUMMYFUNCTION("IFS(
  AND(REGEXMATCH(E10294, ""台銀籌備帳戶|玉山帳戶""), REGEXMATCH(C10294, ""薪資"")), ""分潤支出"",
  AND(REGEXMATCH(E10294, ""Ben帳戶|Elsa帳戶|Ben代墊|Ariel代墊|中信銀行共用""), REGEXMATCH(F10294, ""Ben帳戶|Elsa帳戶|Ben代墊|Ariel代墊|中信銀行共用"")), ""內部轉帳(忽略)"",
  AND(E10294&lt;&gt;"""", F10294&lt;&gt;"&amp;""""", NOT(REGEXMATCH(C10294, ""薪資""))), ""內部轉帳(忽略)"",
  REGEXMATCH(C10294, ""薪資""), ""薪資變動(不計入)"",
  REGEXMATCH(C10294, ""押金""), ""押金往來"",
  AND(E10294&lt;&gt;"""", F10294=""""), ""真實支出"",
  AND(E10294="""", F10294&lt;&gt;""""), ""真實收入"",
  TRUE, ""其他""
)"),"其他")</f>
        <v>其他</v>
      </c>
      <c r="K10294" s="270" t="str">
        <f t="shared" si="2"/>
        <v/>
      </c>
      <c r="L10294">
        <f t="shared" si="3"/>
        <v>0</v>
      </c>
    </row>
    <row r="10295">
      <c r="A10295" s="107"/>
      <c r="D10295" s="270"/>
      <c r="H10295" s="106" t="str">
        <f t="shared" si="1"/>
        <v/>
      </c>
      <c r="J10295" t="str">
        <f>IFERROR(__xludf.DUMMYFUNCTION("IFS(
  AND(REGEXMATCH(E10295, ""台銀籌備帳戶|玉山帳戶""), REGEXMATCH(C10295, ""薪資"")), ""分潤支出"",
  AND(REGEXMATCH(E10295, ""Ben帳戶|Elsa帳戶|Ben代墊|Ariel代墊|中信銀行共用""), REGEXMATCH(F10295, ""Ben帳戶|Elsa帳戶|Ben代墊|Ariel代墊|中信銀行共用"")), ""內部轉帳(忽略)"",
  AND(E10295&lt;&gt;"""", F10295&lt;&gt;"&amp;""""", NOT(REGEXMATCH(C10295, ""薪資""))), ""內部轉帳(忽略)"",
  REGEXMATCH(C10295, ""薪資""), ""薪資變動(不計入)"",
  REGEXMATCH(C10295, ""押金""), ""押金往來"",
  AND(E10295&lt;&gt;"""", F10295=""""), ""真實支出"",
  AND(E10295="""", F10295&lt;&gt;""""), ""真實收入"",
  TRUE, ""其他""
)"),"其他")</f>
        <v>其他</v>
      </c>
      <c r="K10295" s="270" t="str">
        <f t="shared" si="2"/>
        <v/>
      </c>
      <c r="L10295">
        <f t="shared" si="3"/>
        <v>0</v>
      </c>
    </row>
    <row r="10296">
      <c r="A10296" s="107"/>
      <c r="D10296" s="270"/>
      <c r="H10296" s="106" t="str">
        <f t="shared" si="1"/>
        <v/>
      </c>
      <c r="J10296" t="str">
        <f>IFERROR(__xludf.DUMMYFUNCTION("IFS(
  AND(REGEXMATCH(E10296, ""台銀籌備帳戶|玉山帳戶""), REGEXMATCH(C10296, ""薪資"")), ""分潤支出"",
  AND(REGEXMATCH(E10296, ""Ben帳戶|Elsa帳戶|Ben代墊|Ariel代墊|中信銀行共用""), REGEXMATCH(F10296, ""Ben帳戶|Elsa帳戶|Ben代墊|Ariel代墊|中信銀行共用"")), ""內部轉帳(忽略)"",
  AND(E10296&lt;&gt;"""", F10296&lt;&gt;"&amp;""""", NOT(REGEXMATCH(C10296, ""薪資""))), ""內部轉帳(忽略)"",
  REGEXMATCH(C10296, ""薪資""), ""薪資變動(不計入)"",
  REGEXMATCH(C10296, ""押金""), ""押金往來"",
  AND(E10296&lt;&gt;"""", F10296=""""), ""真實支出"",
  AND(E10296="""", F10296&lt;&gt;""""), ""真實收入"",
  TRUE, ""其他""
)"),"其他")</f>
        <v>其他</v>
      </c>
      <c r="K10296" s="270" t="str">
        <f t="shared" si="2"/>
        <v/>
      </c>
      <c r="L10296">
        <f t="shared" si="3"/>
        <v>0</v>
      </c>
    </row>
    <row r="10297">
      <c r="A10297" s="107"/>
      <c r="D10297" s="270"/>
      <c r="H10297" s="106" t="str">
        <f t="shared" si="1"/>
        <v/>
      </c>
      <c r="J10297" t="str">
        <f>IFERROR(__xludf.DUMMYFUNCTION("IFS(
  AND(REGEXMATCH(E10297, ""台銀籌備帳戶|玉山帳戶""), REGEXMATCH(C10297, ""薪資"")), ""分潤支出"",
  AND(REGEXMATCH(E10297, ""Ben帳戶|Elsa帳戶|Ben代墊|Ariel代墊|中信銀行共用""), REGEXMATCH(F10297, ""Ben帳戶|Elsa帳戶|Ben代墊|Ariel代墊|中信銀行共用"")), ""內部轉帳(忽略)"",
  AND(E10297&lt;&gt;"""", F10297&lt;&gt;"&amp;""""", NOT(REGEXMATCH(C10297, ""薪資""))), ""內部轉帳(忽略)"",
  REGEXMATCH(C10297, ""薪資""), ""薪資變動(不計入)"",
  REGEXMATCH(C10297, ""押金""), ""押金往來"",
  AND(E10297&lt;&gt;"""", F10297=""""), ""真實支出"",
  AND(E10297="""", F10297&lt;&gt;""""), ""真實收入"",
  TRUE, ""其他""
)"),"其他")</f>
        <v>其他</v>
      </c>
      <c r="K10297" s="270" t="str">
        <f t="shared" si="2"/>
        <v/>
      </c>
      <c r="L10297">
        <f t="shared" si="3"/>
        <v>0</v>
      </c>
    </row>
    <row r="10298">
      <c r="A10298" s="107"/>
      <c r="D10298" s="270"/>
      <c r="H10298" s="106" t="str">
        <f t="shared" si="1"/>
        <v/>
      </c>
      <c r="J10298" t="str">
        <f>IFERROR(__xludf.DUMMYFUNCTION("IFS(
  AND(REGEXMATCH(E10298, ""台銀籌備帳戶|玉山帳戶""), REGEXMATCH(C10298, ""薪資"")), ""分潤支出"",
  AND(REGEXMATCH(E10298, ""Ben帳戶|Elsa帳戶|Ben代墊|Ariel代墊|中信銀行共用""), REGEXMATCH(F10298, ""Ben帳戶|Elsa帳戶|Ben代墊|Ariel代墊|中信銀行共用"")), ""內部轉帳(忽略)"",
  AND(E10298&lt;&gt;"""", F10298&lt;&gt;"&amp;""""", NOT(REGEXMATCH(C10298, ""薪資""))), ""內部轉帳(忽略)"",
  REGEXMATCH(C10298, ""薪資""), ""薪資變動(不計入)"",
  REGEXMATCH(C10298, ""押金""), ""押金往來"",
  AND(E10298&lt;&gt;"""", F10298=""""), ""真實支出"",
  AND(E10298="""", F10298&lt;&gt;""""), ""真實收入"",
  TRUE, ""其他""
)"),"其他")</f>
        <v>其他</v>
      </c>
      <c r="K10298" s="270" t="str">
        <f t="shared" si="2"/>
        <v/>
      </c>
      <c r="L10298">
        <f t="shared" si="3"/>
        <v>0</v>
      </c>
    </row>
    <row r="10299">
      <c r="A10299" s="107"/>
      <c r="D10299" s="270"/>
      <c r="H10299" s="106" t="str">
        <f t="shared" si="1"/>
        <v/>
      </c>
      <c r="J10299" t="str">
        <f>IFERROR(__xludf.DUMMYFUNCTION("IFS(
  AND(REGEXMATCH(E10299, ""台銀籌備帳戶|玉山帳戶""), REGEXMATCH(C10299, ""薪資"")), ""分潤支出"",
  AND(REGEXMATCH(E10299, ""Ben帳戶|Elsa帳戶|Ben代墊|Ariel代墊|中信銀行共用""), REGEXMATCH(F10299, ""Ben帳戶|Elsa帳戶|Ben代墊|Ariel代墊|中信銀行共用"")), ""內部轉帳(忽略)"",
  AND(E10299&lt;&gt;"""", F10299&lt;&gt;"&amp;""""", NOT(REGEXMATCH(C10299, ""薪資""))), ""內部轉帳(忽略)"",
  REGEXMATCH(C10299, ""薪資""), ""薪資變動(不計入)"",
  REGEXMATCH(C10299, ""押金""), ""押金往來"",
  AND(E10299&lt;&gt;"""", F10299=""""), ""真實支出"",
  AND(E10299="""", F10299&lt;&gt;""""), ""真實收入"",
  TRUE, ""其他""
)"),"其他")</f>
        <v>其他</v>
      </c>
      <c r="K10299" s="270" t="str">
        <f t="shared" si="2"/>
        <v/>
      </c>
      <c r="L10299">
        <f t="shared" si="3"/>
        <v>0</v>
      </c>
    </row>
    <row r="10300">
      <c r="A10300" s="107"/>
      <c r="D10300" s="270"/>
      <c r="H10300" s="106" t="str">
        <f t="shared" si="1"/>
        <v/>
      </c>
      <c r="J10300" t="str">
        <f>IFERROR(__xludf.DUMMYFUNCTION("IFS(
  AND(REGEXMATCH(E10300, ""台銀籌備帳戶|玉山帳戶""), REGEXMATCH(C10300, ""薪資"")), ""分潤支出"",
  AND(REGEXMATCH(E10300, ""Ben帳戶|Elsa帳戶|Ben代墊|Ariel代墊|中信銀行共用""), REGEXMATCH(F10300, ""Ben帳戶|Elsa帳戶|Ben代墊|Ariel代墊|中信銀行共用"")), ""內部轉帳(忽略)"",
  AND(E10300&lt;&gt;"""", F10300&lt;&gt;"&amp;""""", NOT(REGEXMATCH(C10300, ""薪資""))), ""內部轉帳(忽略)"",
  REGEXMATCH(C10300, ""薪資""), ""薪資變動(不計入)"",
  REGEXMATCH(C10300, ""押金""), ""押金往來"",
  AND(E10300&lt;&gt;"""", F10300=""""), ""真實支出"",
  AND(E10300="""", F10300&lt;&gt;""""), ""真實收入"",
  TRUE, ""其他""
)"),"其他")</f>
        <v>其他</v>
      </c>
      <c r="K10300" s="270" t="str">
        <f t="shared" si="2"/>
        <v/>
      </c>
      <c r="L10300">
        <f t="shared" si="3"/>
        <v>0</v>
      </c>
    </row>
    <row r="10301">
      <c r="A10301" s="107"/>
      <c r="D10301" s="270"/>
      <c r="H10301" s="106" t="str">
        <f t="shared" si="1"/>
        <v/>
      </c>
      <c r="J10301" t="str">
        <f>IFERROR(__xludf.DUMMYFUNCTION("IFS(
  AND(REGEXMATCH(E10301, ""台銀籌備帳戶|玉山帳戶""), REGEXMATCH(C10301, ""薪資"")), ""分潤支出"",
  AND(REGEXMATCH(E10301, ""Ben帳戶|Elsa帳戶|Ben代墊|Ariel代墊|中信銀行共用""), REGEXMATCH(F10301, ""Ben帳戶|Elsa帳戶|Ben代墊|Ariel代墊|中信銀行共用"")), ""內部轉帳(忽略)"",
  AND(E10301&lt;&gt;"""", F10301&lt;&gt;"&amp;""""", NOT(REGEXMATCH(C10301, ""薪資""))), ""內部轉帳(忽略)"",
  REGEXMATCH(C10301, ""薪資""), ""薪資變動(不計入)"",
  REGEXMATCH(C10301, ""押金""), ""押金往來"",
  AND(E10301&lt;&gt;"""", F10301=""""), ""真實支出"",
  AND(E10301="""", F10301&lt;&gt;""""), ""真實收入"",
  TRUE, ""其他""
)"),"其他")</f>
        <v>其他</v>
      </c>
      <c r="K10301" s="270" t="str">
        <f t="shared" si="2"/>
        <v/>
      </c>
      <c r="L10301">
        <f t="shared" si="3"/>
        <v>0</v>
      </c>
    </row>
    <row r="10302">
      <c r="A10302" s="107"/>
      <c r="D10302" s="270"/>
      <c r="H10302" s="106" t="str">
        <f t="shared" si="1"/>
        <v/>
      </c>
      <c r="J10302" t="str">
        <f>IFERROR(__xludf.DUMMYFUNCTION("IFS(
  AND(REGEXMATCH(E10302, ""台銀籌備帳戶|玉山帳戶""), REGEXMATCH(C10302, ""薪資"")), ""分潤支出"",
  AND(REGEXMATCH(E10302, ""Ben帳戶|Elsa帳戶|Ben代墊|Ariel代墊|中信銀行共用""), REGEXMATCH(F10302, ""Ben帳戶|Elsa帳戶|Ben代墊|Ariel代墊|中信銀行共用"")), ""內部轉帳(忽略)"",
  AND(E10302&lt;&gt;"""", F10302&lt;&gt;"&amp;""""", NOT(REGEXMATCH(C10302, ""薪資""))), ""內部轉帳(忽略)"",
  REGEXMATCH(C10302, ""薪資""), ""薪資變動(不計入)"",
  REGEXMATCH(C10302, ""押金""), ""押金往來"",
  AND(E10302&lt;&gt;"""", F10302=""""), ""真實支出"",
  AND(E10302="""", F10302&lt;&gt;""""), ""真實收入"",
  TRUE, ""其他""
)"),"其他")</f>
        <v>其他</v>
      </c>
      <c r="K10302" s="270" t="str">
        <f t="shared" si="2"/>
        <v/>
      </c>
      <c r="L10302">
        <f t="shared" si="3"/>
        <v>0</v>
      </c>
    </row>
    <row r="10303">
      <c r="A10303" s="107"/>
      <c r="D10303" s="270"/>
      <c r="H10303" s="106" t="str">
        <f t="shared" si="1"/>
        <v/>
      </c>
      <c r="J10303" t="str">
        <f>IFERROR(__xludf.DUMMYFUNCTION("IFS(
  AND(REGEXMATCH(E10303, ""台銀籌備帳戶|玉山帳戶""), REGEXMATCH(C10303, ""薪資"")), ""分潤支出"",
  AND(REGEXMATCH(E10303, ""Ben帳戶|Elsa帳戶|Ben代墊|Ariel代墊|中信銀行共用""), REGEXMATCH(F10303, ""Ben帳戶|Elsa帳戶|Ben代墊|Ariel代墊|中信銀行共用"")), ""內部轉帳(忽略)"",
  AND(E10303&lt;&gt;"""", F10303&lt;&gt;"&amp;""""", NOT(REGEXMATCH(C10303, ""薪資""))), ""內部轉帳(忽略)"",
  REGEXMATCH(C10303, ""薪資""), ""薪資變動(不計入)"",
  REGEXMATCH(C10303, ""押金""), ""押金往來"",
  AND(E10303&lt;&gt;"""", F10303=""""), ""真實支出"",
  AND(E10303="""", F10303&lt;&gt;""""), ""真實收入"",
  TRUE, ""其他""
)"),"其他")</f>
        <v>其他</v>
      </c>
      <c r="K10303" s="270" t="str">
        <f t="shared" si="2"/>
        <v/>
      </c>
      <c r="L10303">
        <f t="shared" si="3"/>
        <v>0</v>
      </c>
    </row>
    <row r="10304">
      <c r="A10304" s="107"/>
      <c r="D10304" s="270"/>
      <c r="H10304" s="106" t="str">
        <f t="shared" si="1"/>
        <v/>
      </c>
      <c r="J10304" t="str">
        <f>IFERROR(__xludf.DUMMYFUNCTION("IFS(
  AND(REGEXMATCH(E10304, ""台銀籌備帳戶|玉山帳戶""), REGEXMATCH(C10304, ""薪資"")), ""分潤支出"",
  AND(REGEXMATCH(E10304, ""Ben帳戶|Elsa帳戶|Ben代墊|Ariel代墊|中信銀行共用""), REGEXMATCH(F10304, ""Ben帳戶|Elsa帳戶|Ben代墊|Ariel代墊|中信銀行共用"")), ""內部轉帳(忽略)"",
  AND(E10304&lt;&gt;"""", F10304&lt;&gt;"&amp;""""", NOT(REGEXMATCH(C10304, ""薪資""))), ""內部轉帳(忽略)"",
  REGEXMATCH(C10304, ""薪資""), ""薪資變動(不計入)"",
  REGEXMATCH(C10304, ""押金""), ""押金往來"",
  AND(E10304&lt;&gt;"""", F10304=""""), ""真實支出"",
  AND(E10304="""", F10304&lt;&gt;""""), ""真實收入"",
  TRUE, ""其他""
)"),"其他")</f>
        <v>其他</v>
      </c>
      <c r="K10304" s="270" t="str">
        <f t="shared" si="2"/>
        <v/>
      </c>
      <c r="L10304">
        <f t="shared" si="3"/>
        <v>0</v>
      </c>
    </row>
    <row r="10305">
      <c r="A10305" s="107"/>
      <c r="D10305" s="270"/>
      <c r="H10305" s="106" t="str">
        <f t="shared" si="1"/>
        <v/>
      </c>
      <c r="J10305" t="str">
        <f>IFERROR(__xludf.DUMMYFUNCTION("IFS(
  AND(REGEXMATCH(E10305, ""台銀籌備帳戶|玉山帳戶""), REGEXMATCH(C10305, ""薪資"")), ""分潤支出"",
  AND(REGEXMATCH(E10305, ""Ben帳戶|Elsa帳戶|Ben代墊|Ariel代墊|中信銀行共用""), REGEXMATCH(F10305, ""Ben帳戶|Elsa帳戶|Ben代墊|Ariel代墊|中信銀行共用"")), ""內部轉帳(忽略)"",
  AND(E10305&lt;&gt;"""", F10305&lt;&gt;"&amp;""""", NOT(REGEXMATCH(C10305, ""薪資""))), ""內部轉帳(忽略)"",
  REGEXMATCH(C10305, ""薪資""), ""薪資變動(不計入)"",
  REGEXMATCH(C10305, ""押金""), ""押金往來"",
  AND(E10305&lt;&gt;"""", F10305=""""), ""真實支出"",
  AND(E10305="""", F10305&lt;&gt;""""), ""真實收入"",
  TRUE, ""其他""
)"),"其他")</f>
        <v>其他</v>
      </c>
      <c r="K10305" s="270" t="str">
        <f t="shared" si="2"/>
        <v/>
      </c>
      <c r="L10305">
        <f t="shared" si="3"/>
        <v>0</v>
      </c>
    </row>
    <row r="10306">
      <c r="A10306" s="107"/>
      <c r="D10306" s="270"/>
      <c r="H10306" s="106" t="str">
        <f t="shared" si="1"/>
        <v/>
      </c>
      <c r="J10306" t="str">
        <f>IFERROR(__xludf.DUMMYFUNCTION("IFS(
  AND(REGEXMATCH(E10306, ""台銀籌備帳戶|玉山帳戶""), REGEXMATCH(C10306, ""薪資"")), ""分潤支出"",
  AND(REGEXMATCH(E10306, ""Ben帳戶|Elsa帳戶|Ben代墊|Ariel代墊|中信銀行共用""), REGEXMATCH(F10306, ""Ben帳戶|Elsa帳戶|Ben代墊|Ariel代墊|中信銀行共用"")), ""內部轉帳(忽略)"",
  AND(E10306&lt;&gt;"""", F10306&lt;&gt;"&amp;""""", NOT(REGEXMATCH(C10306, ""薪資""))), ""內部轉帳(忽略)"",
  REGEXMATCH(C10306, ""薪資""), ""薪資變動(不計入)"",
  REGEXMATCH(C10306, ""押金""), ""押金往來"",
  AND(E10306&lt;&gt;"""", F10306=""""), ""真實支出"",
  AND(E10306="""", F10306&lt;&gt;""""), ""真實收入"",
  TRUE, ""其他""
)"),"其他")</f>
        <v>其他</v>
      </c>
      <c r="K10306" s="270" t="str">
        <f t="shared" si="2"/>
        <v/>
      </c>
      <c r="L10306">
        <f t="shared" si="3"/>
        <v>0</v>
      </c>
    </row>
    <row r="10307">
      <c r="A10307" s="107"/>
      <c r="D10307" s="270"/>
      <c r="H10307" s="106" t="str">
        <f t="shared" si="1"/>
        <v/>
      </c>
      <c r="J10307" t="str">
        <f>IFERROR(__xludf.DUMMYFUNCTION("IFS(
  AND(REGEXMATCH(E10307, ""台銀籌備帳戶|玉山帳戶""), REGEXMATCH(C10307, ""薪資"")), ""分潤支出"",
  AND(REGEXMATCH(E10307, ""Ben帳戶|Elsa帳戶|Ben代墊|Ariel代墊|中信銀行共用""), REGEXMATCH(F10307, ""Ben帳戶|Elsa帳戶|Ben代墊|Ariel代墊|中信銀行共用"")), ""內部轉帳(忽略)"",
  AND(E10307&lt;&gt;"""", F10307&lt;&gt;"&amp;""""", NOT(REGEXMATCH(C10307, ""薪資""))), ""內部轉帳(忽略)"",
  REGEXMATCH(C10307, ""薪資""), ""薪資變動(不計入)"",
  REGEXMATCH(C10307, ""押金""), ""押金往來"",
  AND(E10307&lt;&gt;"""", F10307=""""), ""真實支出"",
  AND(E10307="""", F10307&lt;&gt;""""), ""真實收入"",
  TRUE, ""其他""
)"),"其他")</f>
        <v>其他</v>
      </c>
      <c r="K10307" s="270" t="str">
        <f t="shared" si="2"/>
        <v/>
      </c>
      <c r="L10307">
        <f t="shared" si="3"/>
        <v>0</v>
      </c>
    </row>
    <row r="10308">
      <c r="A10308" s="107"/>
      <c r="D10308" s="270"/>
      <c r="H10308" s="106" t="str">
        <f t="shared" si="1"/>
        <v/>
      </c>
      <c r="J10308" t="str">
        <f>IFERROR(__xludf.DUMMYFUNCTION("IFS(
  AND(REGEXMATCH(E10308, ""台銀籌備帳戶|玉山帳戶""), REGEXMATCH(C10308, ""薪資"")), ""分潤支出"",
  AND(REGEXMATCH(E10308, ""Ben帳戶|Elsa帳戶|Ben代墊|Ariel代墊|中信銀行共用""), REGEXMATCH(F10308, ""Ben帳戶|Elsa帳戶|Ben代墊|Ariel代墊|中信銀行共用"")), ""內部轉帳(忽略)"",
  AND(E10308&lt;&gt;"""", F10308&lt;&gt;"&amp;""""", NOT(REGEXMATCH(C10308, ""薪資""))), ""內部轉帳(忽略)"",
  REGEXMATCH(C10308, ""薪資""), ""薪資變動(不計入)"",
  REGEXMATCH(C10308, ""押金""), ""押金往來"",
  AND(E10308&lt;&gt;"""", F10308=""""), ""真實支出"",
  AND(E10308="""", F10308&lt;&gt;""""), ""真實收入"",
  TRUE, ""其他""
)"),"其他")</f>
        <v>其他</v>
      </c>
      <c r="K10308" s="270" t="str">
        <f t="shared" si="2"/>
        <v/>
      </c>
      <c r="L10308">
        <f t="shared" si="3"/>
        <v>0</v>
      </c>
    </row>
    <row r="10309">
      <c r="A10309" s="107"/>
      <c r="D10309" s="270"/>
      <c r="H10309" s="106" t="str">
        <f t="shared" si="1"/>
        <v/>
      </c>
      <c r="J10309" t="str">
        <f>IFERROR(__xludf.DUMMYFUNCTION("IFS(
  AND(REGEXMATCH(E10309, ""台銀籌備帳戶|玉山帳戶""), REGEXMATCH(C10309, ""薪資"")), ""分潤支出"",
  AND(REGEXMATCH(E10309, ""Ben帳戶|Elsa帳戶|Ben代墊|Ariel代墊|中信銀行共用""), REGEXMATCH(F10309, ""Ben帳戶|Elsa帳戶|Ben代墊|Ariel代墊|中信銀行共用"")), ""內部轉帳(忽略)"",
  AND(E10309&lt;&gt;"""", F10309&lt;&gt;"&amp;""""", NOT(REGEXMATCH(C10309, ""薪資""))), ""內部轉帳(忽略)"",
  REGEXMATCH(C10309, ""薪資""), ""薪資變動(不計入)"",
  REGEXMATCH(C10309, ""押金""), ""押金往來"",
  AND(E10309&lt;&gt;"""", F10309=""""), ""真實支出"",
  AND(E10309="""", F10309&lt;&gt;""""), ""真實收入"",
  TRUE, ""其他""
)"),"其他")</f>
        <v>其他</v>
      </c>
      <c r="K10309" s="270" t="str">
        <f t="shared" si="2"/>
        <v/>
      </c>
      <c r="L10309">
        <f t="shared" si="3"/>
        <v>0</v>
      </c>
    </row>
    <row r="10310">
      <c r="A10310" s="107"/>
      <c r="D10310" s="270"/>
      <c r="H10310" s="106" t="str">
        <f t="shared" si="1"/>
        <v/>
      </c>
      <c r="J10310" t="str">
        <f>IFERROR(__xludf.DUMMYFUNCTION("IFS(
  AND(REGEXMATCH(E10310, ""台銀籌備帳戶|玉山帳戶""), REGEXMATCH(C10310, ""薪資"")), ""分潤支出"",
  AND(REGEXMATCH(E10310, ""Ben帳戶|Elsa帳戶|Ben代墊|Ariel代墊|中信銀行共用""), REGEXMATCH(F10310, ""Ben帳戶|Elsa帳戶|Ben代墊|Ariel代墊|中信銀行共用"")), ""內部轉帳(忽略)"",
  AND(E10310&lt;&gt;"""", F10310&lt;&gt;"&amp;""""", NOT(REGEXMATCH(C10310, ""薪資""))), ""內部轉帳(忽略)"",
  REGEXMATCH(C10310, ""薪資""), ""薪資變動(不計入)"",
  REGEXMATCH(C10310, ""押金""), ""押金往來"",
  AND(E10310&lt;&gt;"""", F10310=""""), ""真實支出"",
  AND(E10310="""", F10310&lt;&gt;""""), ""真實收入"",
  TRUE, ""其他""
)"),"其他")</f>
        <v>其他</v>
      </c>
      <c r="K10310" s="270" t="str">
        <f t="shared" si="2"/>
        <v/>
      </c>
      <c r="L10310">
        <f t="shared" si="3"/>
        <v>0</v>
      </c>
    </row>
    <row r="10311">
      <c r="A10311" s="107"/>
      <c r="D10311" s="270"/>
      <c r="H10311" s="106" t="str">
        <f t="shared" si="1"/>
        <v/>
      </c>
      <c r="J10311" t="str">
        <f>IFERROR(__xludf.DUMMYFUNCTION("IFS(
  AND(REGEXMATCH(E10311, ""台銀籌備帳戶|玉山帳戶""), REGEXMATCH(C10311, ""薪資"")), ""分潤支出"",
  AND(REGEXMATCH(E10311, ""Ben帳戶|Elsa帳戶|Ben代墊|Ariel代墊|中信銀行共用""), REGEXMATCH(F10311, ""Ben帳戶|Elsa帳戶|Ben代墊|Ariel代墊|中信銀行共用"")), ""內部轉帳(忽略)"",
  AND(E10311&lt;&gt;"""", F10311&lt;&gt;"&amp;""""", NOT(REGEXMATCH(C10311, ""薪資""))), ""內部轉帳(忽略)"",
  REGEXMATCH(C10311, ""薪資""), ""薪資變動(不計入)"",
  REGEXMATCH(C10311, ""押金""), ""押金往來"",
  AND(E10311&lt;&gt;"""", F10311=""""), ""真實支出"",
  AND(E10311="""", F10311&lt;&gt;""""), ""真實收入"",
  TRUE, ""其他""
)"),"其他")</f>
        <v>其他</v>
      </c>
      <c r="K10311" s="270" t="str">
        <f t="shared" si="2"/>
        <v/>
      </c>
      <c r="L10311">
        <f t="shared" si="3"/>
        <v>0</v>
      </c>
    </row>
    <row r="10312">
      <c r="A10312" s="107"/>
      <c r="D10312" s="270"/>
      <c r="H10312" s="106" t="str">
        <f t="shared" si="1"/>
        <v/>
      </c>
      <c r="J10312" t="str">
        <f>IFERROR(__xludf.DUMMYFUNCTION("IFS(
  AND(REGEXMATCH(E10312, ""台銀籌備帳戶|玉山帳戶""), REGEXMATCH(C10312, ""薪資"")), ""分潤支出"",
  AND(REGEXMATCH(E10312, ""Ben帳戶|Elsa帳戶|Ben代墊|Ariel代墊|中信銀行共用""), REGEXMATCH(F10312, ""Ben帳戶|Elsa帳戶|Ben代墊|Ariel代墊|中信銀行共用"")), ""內部轉帳(忽略)"",
  AND(E10312&lt;&gt;"""", F10312&lt;&gt;"&amp;""""", NOT(REGEXMATCH(C10312, ""薪資""))), ""內部轉帳(忽略)"",
  REGEXMATCH(C10312, ""薪資""), ""薪資變動(不計入)"",
  REGEXMATCH(C10312, ""押金""), ""押金往來"",
  AND(E10312&lt;&gt;"""", F10312=""""), ""真實支出"",
  AND(E10312="""", F10312&lt;&gt;""""), ""真實收入"",
  TRUE, ""其他""
)"),"其他")</f>
        <v>其他</v>
      </c>
      <c r="K10312" s="270" t="str">
        <f t="shared" si="2"/>
        <v/>
      </c>
      <c r="L10312">
        <f t="shared" si="3"/>
        <v>0</v>
      </c>
    </row>
    <row r="10313">
      <c r="A10313" s="107"/>
      <c r="D10313" s="270"/>
      <c r="H10313" s="106" t="str">
        <f t="shared" si="1"/>
        <v/>
      </c>
      <c r="J10313" t="str">
        <f>IFERROR(__xludf.DUMMYFUNCTION("IFS(
  AND(REGEXMATCH(E10313, ""台銀籌備帳戶|玉山帳戶""), REGEXMATCH(C10313, ""薪資"")), ""分潤支出"",
  AND(REGEXMATCH(E10313, ""Ben帳戶|Elsa帳戶|Ben代墊|Ariel代墊|中信銀行共用""), REGEXMATCH(F10313, ""Ben帳戶|Elsa帳戶|Ben代墊|Ariel代墊|中信銀行共用"")), ""內部轉帳(忽略)"",
  AND(E10313&lt;&gt;"""", F10313&lt;&gt;"&amp;""""", NOT(REGEXMATCH(C10313, ""薪資""))), ""內部轉帳(忽略)"",
  REGEXMATCH(C10313, ""薪資""), ""薪資變動(不計入)"",
  REGEXMATCH(C10313, ""押金""), ""押金往來"",
  AND(E10313&lt;&gt;"""", F10313=""""), ""真實支出"",
  AND(E10313="""", F10313&lt;&gt;""""), ""真實收入"",
  TRUE, ""其他""
)"),"其他")</f>
        <v>其他</v>
      </c>
      <c r="K10313" s="270" t="str">
        <f t="shared" si="2"/>
        <v/>
      </c>
      <c r="L10313">
        <f t="shared" si="3"/>
        <v>0</v>
      </c>
    </row>
    <row r="10314">
      <c r="A10314" s="107"/>
      <c r="D10314" s="270"/>
      <c r="H10314" s="106" t="str">
        <f t="shared" si="1"/>
        <v/>
      </c>
      <c r="J10314" t="str">
        <f>IFERROR(__xludf.DUMMYFUNCTION("IFS(
  AND(REGEXMATCH(E10314, ""台銀籌備帳戶|玉山帳戶""), REGEXMATCH(C10314, ""薪資"")), ""分潤支出"",
  AND(REGEXMATCH(E10314, ""Ben帳戶|Elsa帳戶|Ben代墊|Ariel代墊|中信銀行共用""), REGEXMATCH(F10314, ""Ben帳戶|Elsa帳戶|Ben代墊|Ariel代墊|中信銀行共用"")), ""內部轉帳(忽略)"",
  AND(E10314&lt;&gt;"""", F10314&lt;&gt;"&amp;""""", NOT(REGEXMATCH(C10314, ""薪資""))), ""內部轉帳(忽略)"",
  REGEXMATCH(C10314, ""薪資""), ""薪資變動(不計入)"",
  REGEXMATCH(C10314, ""押金""), ""押金往來"",
  AND(E10314&lt;&gt;"""", F10314=""""), ""真實支出"",
  AND(E10314="""", F10314&lt;&gt;""""), ""真實收入"",
  TRUE, ""其他""
)"),"其他")</f>
        <v>其他</v>
      </c>
      <c r="K10314" s="270" t="str">
        <f t="shared" si="2"/>
        <v/>
      </c>
      <c r="L10314">
        <f t="shared" si="3"/>
        <v>0</v>
      </c>
    </row>
    <row r="10315">
      <c r="A10315" s="107"/>
      <c r="D10315" s="270"/>
      <c r="H10315" s="106" t="str">
        <f t="shared" si="1"/>
        <v/>
      </c>
      <c r="J10315" t="str">
        <f>IFERROR(__xludf.DUMMYFUNCTION("IFS(
  AND(REGEXMATCH(E10315, ""台銀籌備帳戶|玉山帳戶""), REGEXMATCH(C10315, ""薪資"")), ""分潤支出"",
  AND(REGEXMATCH(E10315, ""Ben帳戶|Elsa帳戶|Ben代墊|Ariel代墊|中信銀行共用""), REGEXMATCH(F10315, ""Ben帳戶|Elsa帳戶|Ben代墊|Ariel代墊|中信銀行共用"")), ""內部轉帳(忽略)"",
  AND(E10315&lt;&gt;"""", F10315&lt;&gt;"&amp;""""", NOT(REGEXMATCH(C10315, ""薪資""))), ""內部轉帳(忽略)"",
  REGEXMATCH(C10315, ""薪資""), ""薪資變動(不計入)"",
  REGEXMATCH(C10315, ""押金""), ""押金往來"",
  AND(E10315&lt;&gt;"""", F10315=""""), ""真實支出"",
  AND(E10315="""", F10315&lt;&gt;""""), ""真實收入"",
  TRUE, ""其他""
)"),"其他")</f>
        <v>其他</v>
      </c>
      <c r="K10315" s="270" t="str">
        <f t="shared" si="2"/>
        <v/>
      </c>
      <c r="L10315">
        <f t="shared" si="3"/>
        <v>0</v>
      </c>
    </row>
    <row r="10316">
      <c r="A10316" s="107"/>
      <c r="D10316" s="270"/>
      <c r="H10316" s="106" t="str">
        <f t="shared" si="1"/>
        <v/>
      </c>
      <c r="J10316" t="str">
        <f>IFERROR(__xludf.DUMMYFUNCTION("IFS(
  AND(REGEXMATCH(E10316, ""台銀籌備帳戶|玉山帳戶""), REGEXMATCH(C10316, ""薪資"")), ""分潤支出"",
  AND(REGEXMATCH(E10316, ""Ben帳戶|Elsa帳戶|Ben代墊|Ariel代墊|中信銀行共用""), REGEXMATCH(F10316, ""Ben帳戶|Elsa帳戶|Ben代墊|Ariel代墊|中信銀行共用"")), ""內部轉帳(忽略)"",
  AND(E10316&lt;&gt;"""", F10316&lt;&gt;"&amp;""""", NOT(REGEXMATCH(C10316, ""薪資""))), ""內部轉帳(忽略)"",
  REGEXMATCH(C10316, ""薪資""), ""薪資變動(不計入)"",
  REGEXMATCH(C10316, ""押金""), ""押金往來"",
  AND(E10316&lt;&gt;"""", F10316=""""), ""真實支出"",
  AND(E10316="""", F10316&lt;&gt;""""), ""真實收入"",
  TRUE, ""其他""
)"),"其他")</f>
        <v>其他</v>
      </c>
      <c r="K10316" s="270" t="str">
        <f t="shared" si="2"/>
        <v/>
      </c>
      <c r="L10316">
        <f t="shared" si="3"/>
        <v>0</v>
      </c>
    </row>
    <row r="10317">
      <c r="A10317" s="107"/>
      <c r="D10317" s="270"/>
      <c r="H10317" s="106" t="str">
        <f t="shared" si="1"/>
        <v/>
      </c>
      <c r="J10317" t="str">
        <f>IFERROR(__xludf.DUMMYFUNCTION("IFS(
  AND(REGEXMATCH(E10317, ""台銀籌備帳戶|玉山帳戶""), REGEXMATCH(C10317, ""薪資"")), ""分潤支出"",
  AND(REGEXMATCH(E10317, ""Ben帳戶|Elsa帳戶|Ben代墊|Ariel代墊|中信銀行共用""), REGEXMATCH(F10317, ""Ben帳戶|Elsa帳戶|Ben代墊|Ariel代墊|中信銀行共用"")), ""內部轉帳(忽略)"",
  AND(E10317&lt;&gt;"""", F10317&lt;&gt;"&amp;""""", NOT(REGEXMATCH(C10317, ""薪資""))), ""內部轉帳(忽略)"",
  REGEXMATCH(C10317, ""薪資""), ""薪資變動(不計入)"",
  REGEXMATCH(C10317, ""押金""), ""押金往來"",
  AND(E10317&lt;&gt;"""", F10317=""""), ""真實支出"",
  AND(E10317="""", F10317&lt;&gt;""""), ""真實收入"",
  TRUE, ""其他""
)"),"其他")</f>
        <v>其他</v>
      </c>
      <c r="K10317" s="270" t="str">
        <f t="shared" si="2"/>
        <v/>
      </c>
      <c r="L10317">
        <f t="shared" si="3"/>
        <v>0</v>
      </c>
    </row>
    <row r="10318">
      <c r="A10318" s="107"/>
      <c r="D10318" s="270"/>
      <c r="H10318" s="106" t="str">
        <f t="shared" si="1"/>
        <v/>
      </c>
      <c r="J10318" t="str">
        <f>IFERROR(__xludf.DUMMYFUNCTION("IFS(
  AND(REGEXMATCH(E10318, ""台銀籌備帳戶|玉山帳戶""), REGEXMATCH(C10318, ""薪資"")), ""分潤支出"",
  AND(REGEXMATCH(E10318, ""Ben帳戶|Elsa帳戶|Ben代墊|Ariel代墊|中信銀行共用""), REGEXMATCH(F10318, ""Ben帳戶|Elsa帳戶|Ben代墊|Ariel代墊|中信銀行共用"")), ""內部轉帳(忽略)"",
  AND(E10318&lt;&gt;"""", F10318&lt;&gt;"&amp;""""", NOT(REGEXMATCH(C10318, ""薪資""))), ""內部轉帳(忽略)"",
  REGEXMATCH(C10318, ""薪資""), ""薪資變動(不計入)"",
  REGEXMATCH(C10318, ""押金""), ""押金往來"",
  AND(E10318&lt;&gt;"""", F10318=""""), ""真實支出"",
  AND(E10318="""", F10318&lt;&gt;""""), ""真實收入"",
  TRUE, ""其他""
)"),"其他")</f>
        <v>其他</v>
      </c>
      <c r="K10318" s="270" t="str">
        <f t="shared" si="2"/>
        <v/>
      </c>
      <c r="L10318">
        <f t="shared" si="3"/>
        <v>0</v>
      </c>
    </row>
    <row r="10319">
      <c r="A10319" s="107"/>
      <c r="D10319" s="270"/>
      <c r="H10319" s="106" t="str">
        <f t="shared" si="1"/>
        <v/>
      </c>
      <c r="J10319" t="str">
        <f>IFERROR(__xludf.DUMMYFUNCTION("IFS(
  AND(REGEXMATCH(E10319, ""台銀籌備帳戶|玉山帳戶""), REGEXMATCH(C10319, ""薪資"")), ""分潤支出"",
  AND(REGEXMATCH(E10319, ""Ben帳戶|Elsa帳戶|Ben代墊|Ariel代墊|中信銀行共用""), REGEXMATCH(F10319, ""Ben帳戶|Elsa帳戶|Ben代墊|Ariel代墊|中信銀行共用"")), ""內部轉帳(忽略)"",
  AND(E10319&lt;&gt;"""", F10319&lt;&gt;"&amp;""""", NOT(REGEXMATCH(C10319, ""薪資""))), ""內部轉帳(忽略)"",
  REGEXMATCH(C10319, ""薪資""), ""薪資變動(不計入)"",
  REGEXMATCH(C10319, ""押金""), ""押金往來"",
  AND(E10319&lt;&gt;"""", F10319=""""), ""真實支出"",
  AND(E10319="""", F10319&lt;&gt;""""), ""真實收入"",
  TRUE, ""其他""
)"),"其他")</f>
        <v>其他</v>
      </c>
      <c r="K10319" s="270" t="str">
        <f t="shared" si="2"/>
        <v/>
      </c>
      <c r="L10319">
        <f t="shared" si="3"/>
        <v>0</v>
      </c>
    </row>
    <row r="10320">
      <c r="A10320" s="107"/>
      <c r="D10320" s="270"/>
      <c r="H10320" s="106" t="str">
        <f t="shared" si="1"/>
        <v/>
      </c>
      <c r="J10320" t="str">
        <f>IFERROR(__xludf.DUMMYFUNCTION("IFS(
  AND(REGEXMATCH(E10320, ""台銀籌備帳戶|玉山帳戶""), REGEXMATCH(C10320, ""薪資"")), ""分潤支出"",
  AND(REGEXMATCH(E10320, ""Ben帳戶|Elsa帳戶|Ben代墊|Ariel代墊|中信銀行共用""), REGEXMATCH(F10320, ""Ben帳戶|Elsa帳戶|Ben代墊|Ariel代墊|中信銀行共用"")), ""內部轉帳(忽略)"",
  AND(E10320&lt;&gt;"""", F10320&lt;&gt;"&amp;""""", NOT(REGEXMATCH(C10320, ""薪資""))), ""內部轉帳(忽略)"",
  REGEXMATCH(C10320, ""薪資""), ""薪資變動(不計入)"",
  REGEXMATCH(C10320, ""押金""), ""押金往來"",
  AND(E10320&lt;&gt;"""", F10320=""""), ""真實支出"",
  AND(E10320="""", F10320&lt;&gt;""""), ""真實收入"",
  TRUE, ""其他""
)"),"其他")</f>
        <v>其他</v>
      </c>
      <c r="K10320" s="270" t="str">
        <f t="shared" si="2"/>
        <v/>
      </c>
      <c r="L10320">
        <f t="shared" si="3"/>
        <v>0</v>
      </c>
    </row>
    <row r="10321">
      <c r="A10321" s="107"/>
      <c r="D10321" s="270"/>
      <c r="H10321" s="106" t="str">
        <f t="shared" si="1"/>
        <v/>
      </c>
      <c r="J10321" t="str">
        <f>IFERROR(__xludf.DUMMYFUNCTION("IFS(
  AND(REGEXMATCH(E10321, ""台銀籌備帳戶|玉山帳戶""), REGEXMATCH(C10321, ""薪資"")), ""分潤支出"",
  AND(REGEXMATCH(E10321, ""Ben帳戶|Elsa帳戶|Ben代墊|Ariel代墊|中信銀行共用""), REGEXMATCH(F10321, ""Ben帳戶|Elsa帳戶|Ben代墊|Ariel代墊|中信銀行共用"")), ""內部轉帳(忽略)"",
  AND(E10321&lt;&gt;"""", F10321&lt;&gt;"&amp;""""", NOT(REGEXMATCH(C10321, ""薪資""))), ""內部轉帳(忽略)"",
  REGEXMATCH(C10321, ""薪資""), ""薪資變動(不計入)"",
  REGEXMATCH(C10321, ""押金""), ""押金往來"",
  AND(E10321&lt;&gt;"""", F10321=""""), ""真實支出"",
  AND(E10321="""", F10321&lt;&gt;""""), ""真實收入"",
  TRUE, ""其他""
)"),"其他")</f>
        <v>其他</v>
      </c>
      <c r="K10321" s="270" t="str">
        <f t="shared" si="2"/>
        <v/>
      </c>
      <c r="L10321">
        <f t="shared" si="3"/>
        <v>0</v>
      </c>
    </row>
    <row r="10322">
      <c r="A10322" s="107"/>
      <c r="D10322" s="270"/>
      <c r="H10322" s="106" t="str">
        <f t="shared" si="1"/>
        <v/>
      </c>
      <c r="J10322" t="str">
        <f>IFERROR(__xludf.DUMMYFUNCTION("IFS(
  AND(REGEXMATCH(E10322, ""台銀籌備帳戶|玉山帳戶""), REGEXMATCH(C10322, ""薪資"")), ""分潤支出"",
  AND(REGEXMATCH(E10322, ""Ben帳戶|Elsa帳戶|Ben代墊|Ariel代墊|中信銀行共用""), REGEXMATCH(F10322, ""Ben帳戶|Elsa帳戶|Ben代墊|Ariel代墊|中信銀行共用"")), ""內部轉帳(忽略)"",
  AND(E10322&lt;&gt;"""", F10322&lt;&gt;"&amp;""""", NOT(REGEXMATCH(C10322, ""薪資""))), ""內部轉帳(忽略)"",
  REGEXMATCH(C10322, ""薪資""), ""薪資變動(不計入)"",
  REGEXMATCH(C10322, ""押金""), ""押金往來"",
  AND(E10322&lt;&gt;"""", F10322=""""), ""真實支出"",
  AND(E10322="""", F10322&lt;&gt;""""), ""真實收入"",
  TRUE, ""其他""
)"),"其他")</f>
        <v>其他</v>
      </c>
      <c r="K10322" s="270" t="str">
        <f t="shared" si="2"/>
        <v/>
      </c>
      <c r="L10322">
        <f t="shared" si="3"/>
        <v>0</v>
      </c>
    </row>
    <row r="10323">
      <c r="A10323" s="107"/>
      <c r="D10323" s="270"/>
      <c r="H10323" s="106" t="str">
        <f t="shared" si="1"/>
        <v/>
      </c>
      <c r="J10323" t="str">
        <f>IFERROR(__xludf.DUMMYFUNCTION("IFS(
  AND(REGEXMATCH(E10323, ""台銀籌備帳戶|玉山帳戶""), REGEXMATCH(C10323, ""薪資"")), ""分潤支出"",
  AND(REGEXMATCH(E10323, ""Ben帳戶|Elsa帳戶|Ben代墊|Ariel代墊|中信銀行共用""), REGEXMATCH(F10323, ""Ben帳戶|Elsa帳戶|Ben代墊|Ariel代墊|中信銀行共用"")), ""內部轉帳(忽略)"",
  AND(E10323&lt;&gt;"""", F10323&lt;&gt;"&amp;""""", NOT(REGEXMATCH(C10323, ""薪資""))), ""內部轉帳(忽略)"",
  REGEXMATCH(C10323, ""薪資""), ""薪資變動(不計入)"",
  REGEXMATCH(C10323, ""押金""), ""押金往來"",
  AND(E10323&lt;&gt;"""", F10323=""""), ""真實支出"",
  AND(E10323="""", F10323&lt;&gt;""""), ""真實收入"",
  TRUE, ""其他""
)"),"其他")</f>
        <v>其他</v>
      </c>
      <c r="K10323" s="270" t="str">
        <f t="shared" si="2"/>
        <v/>
      </c>
      <c r="L10323">
        <f t="shared" si="3"/>
        <v>0</v>
      </c>
    </row>
    <row r="10324">
      <c r="A10324" s="107"/>
      <c r="D10324" s="270"/>
      <c r="H10324" s="106" t="str">
        <f t="shared" si="1"/>
        <v/>
      </c>
      <c r="J10324" t="str">
        <f>IFERROR(__xludf.DUMMYFUNCTION("IFS(
  AND(REGEXMATCH(E10324, ""台銀籌備帳戶|玉山帳戶""), REGEXMATCH(C10324, ""薪資"")), ""分潤支出"",
  AND(REGEXMATCH(E10324, ""Ben帳戶|Elsa帳戶|Ben代墊|Ariel代墊|中信銀行共用""), REGEXMATCH(F10324, ""Ben帳戶|Elsa帳戶|Ben代墊|Ariel代墊|中信銀行共用"")), ""內部轉帳(忽略)"",
  AND(E10324&lt;&gt;"""", F10324&lt;&gt;"&amp;""""", NOT(REGEXMATCH(C10324, ""薪資""))), ""內部轉帳(忽略)"",
  REGEXMATCH(C10324, ""薪資""), ""薪資變動(不計入)"",
  REGEXMATCH(C10324, ""押金""), ""押金往來"",
  AND(E10324&lt;&gt;"""", F10324=""""), ""真實支出"",
  AND(E10324="""", F10324&lt;&gt;""""), ""真實收入"",
  TRUE, ""其他""
)"),"其他")</f>
        <v>其他</v>
      </c>
      <c r="K10324" s="270" t="str">
        <f t="shared" si="2"/>
        <v/>
      </c>
      <c r="L10324">
        <f t="shared" si="3"/>
        <v>0</v>
      </c>
    </row>
    <row r="10325">
      <c r="A10325" s="107"/>
      <c r="D10325" s="270"/>
      <c r="H10325" s="106" t="str">
        <f t="shared" si="1"/>
        <v/>
      </c>
      <c r="J10325" t="str">
        <f>IFERROR(__xludf.DUMMYFUNCTION("IFS(
  AND(REGEXMATCH(E10325, ""台銀籌備帳戶|玉山帳戶""), REGEXMATCH(C10325, ""薪資"")), ""分潤支出"",
  AND(REGEXMATCH(E10325, ""Ben帳戶|Elsa帳戶|Ben代墊|Ariel代墊|中信銀行共用""), REGEXMATCH(F10325, ""Ben帳戶|Elsa帳戶|Ben代墊|Ariel代墊|中信銀行共用"")), ""內部轉帳(忽略)"",
  AND(E10325&lt;&gt;"""", F10325&lt;&gt;"&amp;""""", NOT(REGEXMATCH(C10325, ""薪資""))), ""內部轉帳(忽略)"",
  REGEXMATCH(C10325, ""薪資""), ""薪資變動(不計入)"",
  REGEXMATCH(C10325, ""押金""), ""押金往來"",
  AND(E10325&lt;&gt;"""", F10325=""""), ""真實支出"",
  AND(E10325="""", F10325&lt;&gt;""""), ""真實收入"",
  TRUE, ""其他""
)"),"其他")</f>
        <v>其他</v>
      </c>
      <c r="K10325" s="270" t="str">
        <f t="shared" si="2"/>
        <v/>
      </c>
      <c r="L10325">
        <f t="shared" si="3"/>
        <v>0</v>
      </c>
    </row>
    <row r="10326">
      <c r="A10326" s="107"/>
      <c r="D10326" s="270"/>
      <c r="H10326" s="106" t="str">
        <f t="shared" si="1"/>
        <v/>
      </c>
      <c r="J10326" t="str">
        <f>IFERROR(__xludf.DUMMYFUNCTION("IFS(
  AND(REGEXMATCH(E10326, ""台銀籌備帳戶|玉山帳戶""), REGEXMATCH(C10326, ""薪資"")), ""分潤支出"",
  AND(REGEXMATCH(E10326, ""Ben帳戶|Elsa帳戶|Ben代墊|Ariel代墊|中信銀行共用""), REGEXMATCH(F10326, ""Ben帳戶|Elsa帳戶|Ben代墊|Ariel代墊|中信銀行共用"")), ""內部轉帳(忽略)"",
  AND(E10326&lt;&gt;"""", F10326&lt;&gt;"&amp;""""", NOT(REGEXMATCH(C10326, ""薪資""))), ""內部轉帳(忽略)"",
  REGEXMATCH(C10326, ""薪資""), ""薪資變動(不計入)"",
  REGEXMATCH(C10326, ""押金""), ""押金往來"",
  AND(E10326&lt;&gt;"""", F10326=""""), ""真實支出"",
  AND(E10326="""", F10326&lt;&gt;""""), ""真實收入"",
  TRUE, ""其他""
)"),"其他")</f>
        <v>其他</v>
      </c>
      <c r="K10326" s="270" t="str">
        <f t="shared" si="2"/>
        <v/>
      </c>
      <c r="L10326">
        <f t="shared" si="3"/>
        <v>0</v>
      </c>
    </row>
    <row r="10327">
      <c r="A10327" s="107"/>
      <c r="D10327" s="270"/>
      <c r="H10327" s="106" t="str">
        <f t="shared" si="1"/>
        <v/>
      </c>
      <c r="J10327" t="str">
        <f>IFERROR(__xludf.DUMMYFUNCTION("IFS(
  AND(REGEXMATCH(E10327, ""台銀籌備帳戶|玉山帳戶""), REGEXMATCH(C10327, ""薪資"")), ""分潤支出"",
  AND(REGEXMATCH(E10327, ""Ben帳戶|Elsa帳戶|Ben代墊|Ariel代墊|中信銀行共用""), REGEXMATCH(F10327, ""Ben帳戶|Elsa帳戶|Ben代墊|Ariel代墊|中信銀行共用"")), ""內部轉帳(忽略)"",
  AND(E10327&lt;&gt;"""", F10327&lt;&gt;"&amp;""""", NOT(REGEXMATCH(C10327, ""薪資""))), ""內部轉帳(忽略)"",
  REGEXMATCH(C10327, ""薪資""), ""薪資變動(不計入)"",
  REGEXMATCH(C10327, ""押金""), ""押金往來"",
  AND(E10327&lt;&gt;"""", F10327=""""), ""真實支出"",
  AND(E10327="""", F10327&lt;&gt;""""), ""真實收入"",
  TRUE, ""其他""
)"),"其他")</f>
        <v>其他</v>
      </c>
      <c r="K10327" s="270" t="str">
        <f t="shared" si="2"/>
        <v/>
      </c>
      <c r="L10327">
        <f t="shared" si="3"/>
        <v>0</v>
      </c>
    </row>
    <row r="10328">
      <c r="A10328" s="107"/>
      <c r="D10328" s="270"/>
      <c r="H10328" s="106" t="str">
        <f t="shared" si="1"/>
        <v/>
      </c>
      <c r="J10328" t="str">
        <f>IFERROR(__xludf.DUMMYFUNCTION("IFS(
  AND(REGEXMATCH(E10328, ""台銀籌備帳戶|玉山帳戶""), REGEXMATCH(C10328, ""薪資"")), ""分潤支出"",
  AND(REGEXMATCH(E10328, ""Ben帳戶|Elsa帳戶|Ben代墊|Ariel代墊|中信銀行共用""), REGEXMATCH(F10328, ""Ben帳戶|Elsa帳戶|Ben代墊|Ariel代墊|中信銀行共用"")), ""內部轉帳(忽略)"",
  AND(E10328&lt;&gt;"""", F10328&lt;&gt;"&amp;""""", NOT(REGEXMATCH(C10328, ""薪資""))), ""內部轉帳(忽略)"",
  REGEXMATCH(C10328, ""薪資""), ""薪資變動(不計入)"",
  REGEXMATCH(C10328, ""押金""), ""押金往來"",
  AND(E10328&lt;&gt;"""", F10328=""""), ""真實支出"",
  AND(E10328="""", F10328&lt;&gt;""""), ""真實收入"",
  TRUE, ""其他""
)"),"其他")</f>
        <v>其他</v>
      </c>
      <c r="K10328" s="270" t="str">
        <f t="shared" si="2"/>
        <v/>
      </c>
      <c r="L10328">
        <f t="shared" si="3"/>
        <v>0</v>
      </c>
    </row>
    <row r="10329">
      <c r="A10329" s="107"/>
      <c r="D10329" s="270"/>
      <c r="H10329" s="106" t="str">
        <f t="shared" si="1"/>
        <v/>
      </c>
      <c r="J10329" t="str">
        <f>IFERROR(__xludf.DUMMYFUNCTION("IFS(
  AND(REGEXMATCH(E10329, ""台銀籌備帳戶|玉山帳戶""), REGEXMATCH(C10329, ""薪資"")), ""分潤支出"",
  AND(REGEXMATCH(E10329, ""Ben帳戶|Elsa帳戶|Ben代墊|Ariel代墊|中信銀行共用""), REGEXMATCH(F10329, ""Ben帳戶|Elsa帳戶|Ben代墊|Ariel代墊|中信銀行共用"")), ""內部轉帳(忽略)"",
  AND(E10329&lt;&gt;"""", F10329&lt;&gt;"&amp;""""", NOT(REGEXMATCH(C10329, ""薪資""))), ""內部轉帳(忽略)"",
  REGEXMATCH(C10329, ""薪資""), ""薪資變動(不計入)"",
  REGEXMATCH(C10329, ""押金""), ""押金往來"",
  AND(E10329&lt;&gt;"""", F10329=""""), ""真實支出"",
  AND(E10329="""", F10329&lt;&gt;""""), ""真實收入"",
  TRUE, ""其他""
)"),"其他")</f>
        <v>其他</v>
      </c>
      <c r="K10329" s="270" t="str">
        <f t="shared" si="2"/>
        <v/>
      </c>
      <c r="L10329">
        <f t="shared" si="3"/>
        <v>0</v>
      </c>
    </row>
    <row r="10330">
      <c r="A10330" s="107"/>
      <c r="D10330" s="270"/>
      <c r="H10330" s="106" t="str">
        <f t="shared" si="1"/>
        <v/>
      </c>
      <c r="J10330" t="str">
        <f>IFERROR(__xludf.DUMMYFUNCTION("IFS(
  AND(REGEXMATCH(E10330, ""台銀籌備帳戶|玉山帳戶""), REGEXMATCH(C10330, ""薪資"")), ""分潤支出"",
  AND(REGEXMATCH(E10330, ""Ben帳戶|Elsa帳戶|Ben代墊|Ariel代墊|中信銀行共用""), REGEXMATCH(F10330, ""Ben帳戶|Elsa帳戶|Ben代墊|Ariel代墊|中信銀行共用"")), ""內部轉帳(忽略)"",
  AND(E10330&lt;&gt;"""", F10330&lt;&gt;"&amp;""""", NOT(REGEXMATCH(C10330, ""薪資""))), ""內部轉帳(忽略)"",
  REGEXMATCH(C10330, ""薪資""), ""薪資變動(不計入)"",
  REGEXMATCH(C10330, ""押金""), ""押金往來"",
  AND(E10330&lt;&gt;"""", F10330=""""), ""真實支出"",
  AND(E10330="""", F10330&lt;&gt;""""), ""真實收入"",
  TRUE, ""其他""
)"),"其他")</f>
        <v>其他</v>
      </c>
      <c r="K10330" s="270" t="str">
        <f t="shared" si="2"/>
        <v/>
      </c>
      <c r="L10330">
        <f t="shared" si="3"/>
        <v>0</v>
      </c>
    </row>
    <row r="10331">
      <c r="A10331" s="107"/>
      <c r="D10331" s="270"/>
      <c r="H10331" s="106" t="str">
        <f t="shared" si="1"/>
        <v/>
      </c>
      <c r="J10331" t="str">
        <f>IFERROR(__xludf.DUMMYFUNCTION("IFS(
  AND(REGEXMATCH(E10331, ""台銀籌備帳戶|玉山帳戶""), REGEXMATCH(C10331, ""薪資"")), ""分潤支出"",
  AND(REGEXMATCH(E10331, ""Ben帳戶|Elsa帳戶|Ben代墊|Ariel代墊|中信銀行共用""), REGEXMATCH(F10331, ""Ben帳戶|Elsa帳戶|Ben代墊|Ariel代墊|中信銀行共用"")), ""內部轉帳(忽略)"",
  AND(E10331&lt;&gt;"""", F10331&lt;&gt;"&amp;""""", NOT(REGEXMATCH(C10331, ""薪資""))), ""內部轉帳(忽略)"",
  REGEXMATCH(C10331, ""薪資""), ""薪資變動(不計入)"",
  REGEXMATCH(C10331, ""押金""), ""押金往來"",
  AND(E10331&lt;&gt;"""", F10331=""""), ""真實支出"",
  AND(E10331="""", F10331&lt;&gt;""""), ""真實收入"",
  TRUE, ""其他""
)"),"其他")</f>
        <v>其他</v>
      </c>
      <c r="K10331" s="270" t="str">
        <f t="shared" si="2"/>
        <v/>
      </c>
      <c r="L10331">
        <f t="shared" si="3"/>
        <v>0</v>
      </c>
    </row>
    <row r="10332">
      <c r="A10332" s="107"/>
      <c r="D10332" s="270"/>
      <c r="H10332" s="106" t="str">
        <f t="shared" si="1"/>
        <v/>
      </c>
      <c r="J10332" t="str">
        <f>IFERROR(__xludf.DUMMYFUNCTION("IFS(
  AND(REGEXMATCH(E10332, ""台銀籌備帳戶|玉山帳戶""), REGEXMATCH(C10332, ""薪資"")), ""分潤支出"",
  AND(REGEXMATCH(E10332, ""Ben帳戶|Elsa帳戶|Ben代墊|Ariel代墊|中信銀行共用""), REGEXMATCH(F10332, ""Ben帳戶|Elsa帳戶|Ben代墊|Ariel代墊|中信銀行共用"")), ""內部轉帳(忽略)"",
  AND(E10332&lt;&gt;"""", F10332&lt;&gt;"&amp;""""", NOT(REGEXMATCH(C10332, ""薪資""))), ""內部轉帳(忽略)"",
  REGEXMATCH(C10332, ""薪資""), ""薪資變動(不計入)"",
  REGEXMATCH(C10332, ""押金""), ""押金往來"",
  AND(E10332&lt;&gt;"""", F10332=""""), ""真實支出"",
  AND(E10332="""", F10332&lt;&gt;""""), ""真實收入"",
  TRUE, ""其他""
)"),"其他")</f>
        <v>其他</v>
      </c>
      <c r="K10332" s="270" t="str">
        <f t="shared" si="2"/>
        <v/>
      </c>
      <c r="L10332">
        <f t="shared" si="3"/>
        <v>0</v>
      </c>
    </row>
    <row r="10333">
      <c r="A10333" s="107"/>
      <c r="D10333" s="270"/>
      <c r="H10333" s="106" t="str">
        <f t="shared" si="1"/>
        <v/>
      </c>
      <c r="J10333" t="str">
        <f>IFERROR(__xludf.DUMMYFUNCTION("IFS(
  AND(REGEXMATCH(E10333, ""台銀籌備帳戶|玉山帳戶""), REGEXMATCH(C10333, ""薪資"")), ""分潤支出"",
  AND(REGEXMATCH(E10333, ""Ben帳戶|Elsa帳戶|Ben代墊|Ariel代墊|中信銀行共用""), REGEXMATCH(F10333, ""Ben帳戶|Elsa帳戶|Ben代墊|Ariel代墊|中信銀行共用"")), ""內部轉帳(忽略)"",
  AND(E10333&lt;&gt;"""", F10333&lt;&gt;"&amp;""""", NOT(REGEXMATCH(C10333, ""薪資""))), ""內部轉帳(忽略)"",
  REGEXMATCH(C10333, ""薪資""), ""薪資變動(不計入)"",
  REGEXMATCH(C10333, ""押金""), ""押金往來"",
  AND(E10333&lt;&gt;"""", F10333=""""), ""真實支出"",
  AND(E10333="""", F10333&lt;&gt;""""), ""真實收入"",
  TRUE, ""其他""
)"),"其他")</f>
        <v>其他</v>
      </c>
      <c r="K10333" s="270" t="str">
        <f t="shared" si="2"/>
        <v/>
      </c>
      <c r="L10333">
        <f t="shared" si="3"/>
        <v>0</v>
      </c>
    </row>
    <row r="10334">
      <c r="A10334" s="107"/>
      <c r="D10334" s="270"/>
      <c r="H10334" s="106" t="str">
        <f t="shared" si="1"/>
        <v/>
      </c>
      <c r="J10334" t="str">
        <f>IFERROR(__xludf.DUMMYFUNCTION("IFS(
  AND(REGEXMATCH(E10334, ""台銀籌備帳戶|玉山帳戶""), REGEXMATCH(C10334, ""薪資"")), ""分潤支出"",
  AND(REGEXMATCH(E10334, ""Ben帳戶|Elsa帳戶|Ben代墊|Ariel代墊|中信銀行共用""), REGEXMATCH(F10334, ""Ben帳戶|Elsa帳戶|Ben代墊|Ariel代墊|中信銀行共用"")), ""內部轉帳(忽略)"",
  AND(E10334&lt;&gt;"""", F10334&lt;&gt;"&amp;""""", NOT(REGEXMATCH(C10334, ""薪資""))), ""內部轉帳(忽略)"",
  REGEXMATCH(C10334, ""薪資""), ""薪資變動(不計入)"",
  REGEXMATCH(C10334, ""押金""), ""押金往來"",
  AND(E10334&lt;&gt;"""", F10334=""""), ""真實支出"",
  AND(E10334="""", F10334&lt;&gt;""""), ""真實收入"",
  TRUE, ""其他""
)"),"其他")</f>
        <v>其他</v>
      </c>
      <c r="K10334" s="270" t="str">
        <f t="shared" si="2"/>
        <v/>
      </c>
      <c r="L10334">
        <f t="shared" si="3"/>
        <v>0</v>
      </c>
    </row>
    <row r="10335">
      <c r="A10335" s="107"/>
      <c r="D10335" s="270"/>
      <c r="H10335" s="106" t="str">
        <f t="shared" si="1"/>
        <v/>
      </c>
      <c r="J10335" t="str">
        <f>IFERROR(__xludf.DUMMYFUNCTION("IFS(
  AND(REGEXMATCH(E10335, ""台銀籌備帳戶|玉山帳戶""), REGEXMATCH(C10335, ""薪資"")), ""分潤支出"",
  AND(REGEXMATCH(E10335, ""Ben帳戶|Elsa帳戶|Ben代墊|Ariel代墊|中信銀行共用""), REGEXMATCH(F10335, ""Ben帳戶|Elsa帳戶|Ben代墊|Ariel代墊|中信銀行共用"")), ""內部轉帳(忽略)"",
  AND(E10335&lt;&gt;"""", F10335&lt;&gt;"&amp;""""", NOT(REGEXMATCH(C10335, ""薪資""))), ""內部轉帳(忽略)"",
  REGEXMATCH(C10335, ""薪資""), ""薪資變動(不計入)"",
  REGEXMATCH(C10335, ""押金""), ""押金往來"",
  AND(E10335&lt;&gt;"""", F10335=""""), ""真實支出"",
  AND(E10335="""", F10335&lt;&gt;""""), ""真實收入"",
  TRUE, ""其他""
)"),"其他")</f>
        <v>其他</v>
      </c>
      <c r="K10335" s="270" t="str">
        <f t="shared" si="2"/>
        <v/>
      </c>
      <c r="L10335">
        <f t="shared" si="3"/>
        <v>0</v>
      </c>
    </row>
    <row r="10336">
      <c r="A10336" s="107"/>
      <c r="D10336" s="270"/>
      <c r="H10336" s="106" t="str">
        <f t="shared" si="1"/>
        <v/>
      </c>
      <c r="J10336" t="str">
        <f>IFERROR(__xludf.DUMMYFUNCTION("IFS(
  AND(REGEXMATCH(E10336, ""台銀籌備帳戶|玉山帳戶""), REGEXMATCH(C10336, ""薪資"")), ""分潤支出"",
  AND(REGEXMATCH(E10336, ""Ben帳戶|Elsa帳戶|Ben代墊|Ariel代墊|中信銀行共用""), REGEXMATCH(F10336, ""Ben帳戶|Elsa帳戶|Ben代墊|Ariel代墊|中信銀行共用"")), ""內部轉帳(忽略)"",
  AND(E10336&lt;&gt;"""", F10336&lt;&gt;"&amp;""""", NOT(REGEXMATCH(C10336, ""薪資""))), ""內部轉帳(忽略)"",
  REGEXMATCH(C10336, ""薪資""), ""薪資變動(不計入)"",
  REGEXMATCH(C10336, ""押金""), ""押金往來"",
  AND(E10336&lt;&gt;"""", F10336=""""), ""真實支出"",
  AND(E10336="""", F10336&lt;&gt;""""), ""真實收入"",
  TRUE, ""其他""
)"),"其他")</f>
        <v>其他</v>
      </c>
      <c r="K10336" s="270" t="str">
        <f t="shared" si="2"/>
        <v/>
      </c>
      <c r="L10336">
        <f t="shared" si="3"/>
        <v>0</v>
      </c>
    </row>
    <row r="10337">
      <c r="A10337" s="107"/>
      <c r="D10337" s="270"/>
      <c r="H10337" s="106" t="str">
        <f t="shared" si="1"/>
        <v/>
      </c>
      <c r="J10337" t="str">
        <f>IFERROR(__xludf.DUMMYFUNCTION("IFS(
  AND(REGEXMATCH(E10337, ""台銀籌備帳戶|玉山帳戶""), REGEXMATCH(C10337, ""薪資"")), ""分潤支出"",
  AND(REGEXMATCH(E10337, ""Ben帳戶|Elsa帳戶|Ben代墊|Ariel代墊|中信銀行共用""), REGEXMATCH(F10337, ""Ben帳戶|Elsa帳戶|Ben代墊|Ariel代墊|中信銀行共用"")), ""內部轉帳(忽略)"",
  AND(E10337&lt;&gt;"""", F10337&lt;&gt;"&amp;""""", NOT(REGEXMATCH(C10337, ""薪資""))), ""內部轉帳(忽略)"",
  REGEXMATCH(C10337, ""薪資""), ""薪資變動(不計入)"",
  REGEXMATCH(C10337, ""押金""), ""押金往來"",
  AND(E10337&lt;&gt;"""", F10337=""""), ""真實支出"",
  AND(E10337="""", F10337&lt;&gt;""""), ""真實收入"",
  TRUE, ""其他""
)"),"其他")</f>
        <v>其他</v>
      </c>
      <c r="K10337" s="270" t="str">
        <f t="shared" si="2"/>
        <v/>
      </c>
      <c r="L10337">
        <f t="shared" si="3"/>
        <v>0</v>
      </c>
    </row>
    <row r="10338">
      <c r="A10338" s="107"/>
      <c r="D10338" s="270"/>
      <c r="H10338" s="106" t="str">
        <f t="shared" si="1"/>
        <v/>
      </c>
      <c r="J10338" t="str">
        <f>IFERROR(__xludf.DUMMYFUNCTION("IFS(
  AND(REGEXMATCH(E10338, ""台銀籌備帳戶|玉山帳戶""), REGEXMATCH(C10338, ""薪資"")), ""分潤支出"",
  AND(REGEXMATCH(E10338, ""Ben帳戶|Elsa帳戶|Ben代墊|Ariel代墊|中信銀行共用""), REGEXMATCH(F10338, ""Ben帳戶|Elsa帳戶|Ben代墊|Ariel代墊|中信銀行共用"")), ""內部轉帳(忽略)"",
  AND(E10338&lt;&gt;"""", F10338&lt;&gt;"&amp;""""", NOT(REGEXMATCH(C10338, ""薪資""))), ""內部轉帳(忽略)"",
  REGEXMATCH(C10338, ""薪資""), ""薪資變動(不計入)"",
  REGEXMATCH(C10338, ""押金""), ""押金往來"",
  AND(E10338&lt;&gt;"""", F10338=""""), ""真實支出"",
  AND(E10338="""", F10338&lt;&gt;""""), ""真實收入"",
  TRUE, ""其他""
)"),"其他")</f>
        <v>其他</v>
      </c>
      <c r="K10338" s="270" t="str">
        <f t="shared" si="2"/>
        <v/>
      </c>
      <c r="L10338">
        <f t="shared" si="3"/>
        <v>0</v>
      </c>
    </row>
    <row r="10339">
      <c r="A10339" s="107"/>
      <c r="D10339" s="270"/>
      <c r="H10339" s="106" t="str">
        <f t="shared" si="1"/>
        <v/>
      </c>
      <c r="J10339" t="str">
        <f>IFERROR(__xludf.DUMMYFUNCTION("IFS(
  AND(REGEXMATCH(E10339, ""台銀籌備帳戶|玉山帳戶""), REGEXMATCH(C10339, ""薪資"")), ""分潤支出"",
  AND(REGEXMATCH(E10339, ""Ben帳戶|Elsa帳戶|Ben代墊|Ariel代墊|中信銀行共用""), REGEXMATCH(F10339, ""Ben帳戶|Elsa帳戶|Ben代墊|Ariel代墊|中信銀行共用"")), ""內部轉帳(忽略)"",
  AND(E10339&lt;&gt;"""", F10339&lt;&gt;"&amp;""""", NOT(REGEXMATCH(C10339, ""薪資""))), ""內部轉帳(忽略)"",
  REGEXMATCH(C10339, ""薪資""), ""薪資變動(不計入)"",
  REGEXMATCH(C10339, ""押金""), ""押金往來"",
  AND(E10339&lt;&gt;"""", F10339=""""), ""真實支出"",
  AND(E10339="""", F10339&lt;&gt;""""), ""真實收入"",
  TRUE, ""其他""
)"),"其他")</f>
        <v>其他</v>
      </c>
      <c r="K10339" s="270" t="str">
        <f t="shared" si="2"/>
        <v/>
      </c>
      <c r="L10339">
        <f t="shared" si="3"/>
        <v>0</v>
      </c>
    </row>
    <row r="10340">
      <c r="A10340" s="107"/>
      <c r="D10340" s="270"/>
      <c r="H10340" s="106" t="str">
        <f t="shared" si="1"/>
        <v/>
      </c>
      <c r="J10340" t="str">
        <f>IFERROR(__xludf.DUMMYFUNCTION("IFS(
  AND(REGEXMATCH(E10340, ""台銀籌備帳戶|玉山帳戶""), REGEXMATCH(C10340, ""薪資"")), ""分潤支出"",
  AND(REGEXMATCH(E10340, ""Ben帳戶|Elsa帳戶|Ben代墊|Ariel代墊|中信銀行共用""), REGEXMATCH(F10340, ""Ben帳戶|Elsa帳戶|Ben代墊|Ariel代墊|中信銀行共用"")), ""內部轉帳(忽略)"",
  AND(E10340&lt;&gt;"""", F10340&lt;&gt;"&amp;""""", NOT(REGEXMATCH(C10340, ""薪資""))), ""內部轉帳(忽略)"",
  REGEXMATCH(C10340, ""薪資""), ""薪資變動(不計入)"",
  REGEXMATCH(C10340, ""押金""), ""押金往來"",
  AND(E10340&lt;&gt;"""", F10340=""""), ""真實支出"",
  AND(E10340="""", F10340&lt;&gt;""""), ""真實收入"",
  TRUE, ""其他""
)"),"其他")</f>
        <v>其他</v>
      </c>
      <c r="K10340" s="270" t="str">
        <f t="shared" si="2"/>
        <v/>
      </c>
      <c r="L10340">
        <f t="shared" si="3"/>
        <v>0</v>
      </c>
    </row>
    <row r="10341">
      <c r="A10341" s="107"/>
      <c r="D10341" s="270"/>
      <c r="H10341" s="106" t="str">
        <f t="shared" si="1"/>
        <v/>
      </c>
      <c r="J10341" t="str">
        <f>IFERROR(__xludf.DUMMYFUNCTION("IFS(
  AND(REGEXMATCH(E10341, ""台銀籌備帳戶|玉山帳戶""), REGEXMATCH(C10341, ""薪資"")), ""分潤支出"",
  AND(REGEXMATCH(E10341, ""Ben帳戶|Elsa帳戶|Ben代墊|Ariel代墊|中信銀行共用""), REGEXMATCH(F10341, ""Ben帳戶|Elsa帳戶|Ben代墊|Ariel代墊|中信銀行共用"")), ""內部轉帳(忽略)"",
  AND(E10341&lt;&gt;"""", F10341&lt;&gt;"&amp;""""", NOT(REGEXMATCH(C10341, ""薪資""))), ""內部轉帳(忽略)"",
  REGEXMATCH(C10341, ""薪資""), ""薪資變動(不計入)"",
  REGEXMATCH(C10341, ""押金""), ""押金往來"",
  AND(E10341&lt;&gt;"""", F10341=""""), ""真實支出"",
  AND(E10341="""", F10341&lt;&gt;""""), ""真實收入"",
  TRUE, ""其他""
)"),"其他")</f>
        <v>其他</v>
      </c>
      <c r="K10341" s="270" t="str">
        <f t="shared" si="2"/>
        <v/>
      </c>
      <c r="L10341">
        <f t="shared" si="3"/>
        <v>0</v>
      </c>
    </row>
    <row r="10342">
      <c r="A10342" s="107"/>
      <c r="D10342" s="270"/>
      <c r="H10342" s="106" t="str">
        <f t="shared" si="1"/>
        <v/>
      </c>
      <c r="J10342" t="str">
        <f>IFERROR(__xludf.DUMMYFUNCTION("IFS(
  AND(REGEXMATCH(E10342, ""台銀籌備帳戶|玉山帳戶""), REGEXMATCH(C10342, ""薪資"")), ""分潤支出"",
  AND(REGEXMATCH(E10342, ""Ben帳戶|Elsa帳戶|Ben代墊|Ariel代墊|中信銀行共用""), REGEXMATCH(F10342, ""Ben帳戶|Elsa帳戶|Ben代墊|Ariel代墊|中信銀行共用"")), ""內部轉帳(忽略)"",
  AND(E10342&lt;&gt;"""", F10342&lt;&gt;"&amp;""""", NOT(REGEXMATCH(C10342, ""薪資""))), ""內部轉帳(忽略)"",
  REGEXMATCH(C10342, ""薪資""), ""薪資變動(不計入)"",
  REGEXMATCH(C10342, ""押金""), ""押金往來"",
  AND(E10342&lt;&gt;"""", F10342=""""), ""真實支出"",
  AND(E10342="""", F10342&lt;&gt;""""), ""真實收入"",
  TRUE, ""其他""
)"),"其他")</f>
        <v>其他</v>
      </c>
      <c r="K10342" s="270" t="str">
        <f t="shared" si="2"/>
        <v/>
      </c>
      <c r="L10342">
        <f t="shared" si="3"/>
        <v>0</v>
      </c>
    </row>
    <row r="10343">
      <c r="A10343" s="107"/>
      <c r="D10343" s="270"/>
      <c r="H10343" s="106" t="str">
        <f t="shared" si="1"/>
        <v/>
      </c>
      <c r="J10343" t="str">
        <f>IFERROR(__xludf.DUMMYFUNCTION("IFS(
  AND(REGEXMATCH(E10343, ""台銀籌備帳戶|玉山帳戶""), REGEXMATCH(C10343, ""薪資"")), ""分潤支出"",
  AND(REGEXMATCH(E10343, ""Ben帳戶|Elsa帳戶|Ben代墊|Ariel代墊|中信銀行共用""), REGEXMATCH(F10343, ""Ben帳戶|Elsa帳戶|Ben代墊|Ariel代墊|中信銀行共用"")), ""內部轉帳(忽略)"",
  AND(E10343&lt;&gt;"""", F10343&lt;&gt;"&amp;""""", NOT(REGEXMATCH(C10343, ""薪資""))), ""內部轉帳(忽略)"",
  REGEXMATCH(C10343, ""薪資""), ""薪資變動(不計入)"",
  REGEXMATCH(C10343, ""押金""), ""押金往來"",
  AND(E10343&lt;&gt;"""", F10343=""""), ""真實支出"",
  AND(E10343="""", F10343&lt;&gt;""""), ""真實收入"",
  TRUE, ""其他""
)"),"其他")</f>
        <v>其他</v>
      </c>
      <c r="K10343" s="270" t="str">
        <f t="shared" si="2"/>
        <v/>
      </c>
      <c r="L10343">
        <f t="shared" si="3"/>
        <v>0</v>
      </c>
    </row>
    <row r="10344">
      <c r="A10344" s="107"/>
      <c r="D10344" s="270"/>
      <c r="H10344" s="106" t="str">
        <f t="shared" si="1"/>
        <v/>
      </c>
      <c r="J10344" t="str">
        <f>IFERROR(__xludf.DUMMYFUNCTION("IFS(
  AND(REGEXMATCH(E10344, ""台銀籌備帳戶|玉山帳戶""), REGEXMATCH(C10344, ""薪資"")), ""分潤支出"",
  AND(REGEXMATCH(E10344, ""Ben帳戶|Elsa帳戶|Ben代墊|Ariel代墊|中信銀行共用""), REGEXMATCH(F10344, ""Ben帳戶|Elsa帳戶|Ben代墊|Ariel代墊|中信銀行共用"")), ""內部轉帳(忽略)"",
  AND(E10344&lt;&gt;"""", F10344&lt;&gt;"&amp;""""", NOT(REGEXMATCH(C10344, ""薪資""))), ""內部轉帳(忽略)"",
  REGEXMATCH(C10344, ""薪資""), ""薪資變動(不計入)"",
  REGEXMATCH(C10344, ""押金""), ""押金往來"",
  AND(E10344&lt;&gt;"""", F10344=""""), ""真實支出"",
  AND(E10344="""", F10344&lt;&gt;""""), ""真實收入"",
  TRUE, ""其他""
)"),"其他")</f>
        <v>其他</v>
      </c>
      <c r="K10344" s="270" t="str">
        <f t="shared" si="2"/>
        <v/>
      </c>
      <c r="L10344">
        <f t="shared" si="3"/>
        <v>0</v>
      </c>
    </row>
    <row r="10345">
      <c r="A10345" s="107"/>
      <c r="D10345" s="270"/>
      <c r="H10345" s="106" t="str">
        <f t="shared" si="1"/>
        <v/>
      </c>
      <c r="J10345" t="str">
        <f>IFERROR(__xludf.DUMMYFUNCTION("IFS(
  AND(REGEXMATCH(E10345, ""台銀籌備帳戶|玉山帳戶""), REGEXMATCH(C10345, ""薪資"")), ""分潤支出"",
  AND(REGEXMATCH(E10345, ""Ben帳戶|Elsa帳戶|Ben代墊|Ariel代墊|中信銀行共用""), REGEXMATCH(F10345, ""Ben帳戶|Elsa帳戶|Ben代墊|Ariel代墊|中信銀行共用"")), ""內部轉帳(忽略)"",
  AND(E10345&lt;&gt;"""", F10345&lt;&gt;"&amp;""""", NOT(REGEXMATCH(C10345, ""薪資""))), ""內部轉帳(忽略)"",
  REGEXMATCH(C10345, ""薪資""), ""薪資變動(不計入)"",
  REGEXMATCH(C10345, ""押金""), ""押金往來"",
  AND(E10345&lt;&gt;"""", F10345=""""), ""真實支出"",
  AND(E10345="""", F10345&lt;&gt;""""), ""真實收入"",
  TRUE, ""其他""
)"),"其他")</f>
        <v>其他</v>
      </c>
      <c r="K10345" s="270" t="str">
        <f t="shared" si="2"/>
        <v/>
      </c>
      <c r="L10345">
        <f t="shared" si="3"/>
        <v>0</v>
      </c>
    </row>
    <row r="10346">
      <c r="A10346" s="107"/>
      <c r="D10346" s="270"/>
      <c r="H10346" s="106" t="str">
        <f t="shared" si="1"/>
        <v/>
      </c>
      <c r="J10346" t="str">
        <f>IFERROR(__xludf.DUMMYFUNCTION("IFS(
  AND(REGEXMATCH(E10346, ""台銀籌備帳戶|玉山帳戶""), REGEXMATCH(C10346, ""薪資"")), ""分潤支出"",
  AND(REGEXMATCH(E10346, ""Ben帳戶|Elsa帳戶|Ben代墊|Ariel代墊|中信銀行共用""), REGEXMATCH(F10346, ""Ben帳戶|Elsa帳戶|Ben代墊|Ariel代墊|中信銀行共用"")), ""內部轉帳(忽略)"",
  AND(E10346&lt;&gt;"""", F10346&lt;&gt;"&amp;""""", NOT(REGEXMATCH(C10346, ""薪資""))), ""內部轉帳(忽略)"",
  REGEXMATCH(C10346, ""薪資""), ""薪資變動(不計入)"",
  REGEXMATCH(C10346, ""押金""), ""押金往來"",
  AND(E10346&lt;&gt;"""", F10346=""""), ""真實支出"",
  AND(E10346="""", F10346&lt;&gt;""""), ""真實收入"",
  TRUE, ""其他""
)"),"其他")</f>
        <v>其他</v>
      </c>
      <c r="K10346" s="270" t="str">
        <f t="shared" si="2"/>
        <v/>
      </c>
      <c r="L10346">
        <f t="shared" si="3"/>
        <v>0</v>
      </c>
    </row>
    <row r="10347">
      <c r="A10347" s="107"/>
      <c r="D10347" s="270"/>
      <c r="H10347" s="106" t="str">
        <f t="shared" si="1"/>
        <v/>
      </c>
      <c r="J10347" t="str">
        <f>IFERROR(__xludf.DUMMYFUNCTION("IFS(
  AND(REGEXMATCH(E10347, ""台銀籌備帳戶|玉山帳戶""), REGEXMATCH(C10347, ""薪資"")), ""分潤支出"",
  AND(REGEXMATCH(E10347, ""Ben帳戶|Elsa帳戶|Ben代墊|Ariel代墊|中信銀行共用""), REGEXMATCH(F10347, ""Ben帳戶|Elsa帳戶|Ben代墊|Ariel代墊|中信銀行共用"")), ""內部轉帳(忽略)"",
  AND(E10347&lt;&gt;"""", F10347&lt;&gt;"&amp;""""", NOT(REGEXMATCH(C10347, ""薪資""))), ""內部轉帳(忽略)"",
  REGEXMATCH(C10347, ""薪資""), ""薪資變動(不計入)"",
  REGEXMATCH(C10347, ""押金""), ""押金往來"",
  AND(E10347&lt;&gt;"""", F10347=""""), ""真實支出"",
  AND(E10347="""", F10347&lt;&gt;""""), ""真實收入"",
  TRUE, ""其他""
)"),"其他")</f>
        <v>其他</v>
      </c>
      <c r="K10347" s="270" t="str">
        <f t="shared" si="2"/>
        <v/>
      </c>
      <c r="L10347">
        <f t="shared" si="3"/>
        <v>0</v>
      </c>
    </row>
    <row r="10348">
      <c r="A10348" s="107"/>
      <c r="D10348" s="270"/>
      <c r="H10348" s="106" t="str">
        <f t="shared" si="1"/>
        <v/>
      </c>
      <c r="J10348" t="str">
        <f>IFERROR(__xludf.DUMMYFUNCTION("IFS(
  AND(REGEXMATCH(E10348, ""台銀籌備帳戶|玉山帳戶""), REGEXMATCH(C10348, ""薪資"")), ""分潤支出"",
  AND(REGEXMATCH(E10348, ""Ben帳戶|Elsa帳戶|Ben代墊|Ariel代墊|中信銀行共用""), REGEXMATCH(F10348, ""Ben帳戶|Elsa帳戶|Ben代墊|Ariel代墊|中信銀行共用"")), ""內部轉帳(忽略)"",
  AND(E10348&lt;&gt;"""", F10348&lt;&gt;"&amp;""""", NOT(REGEXMATCH(C10348, ""薪資""))), ""內部轉帳(忽略)"",
  REGEXMATCH(C10348, ""薪資""), ""薪資變動(不計入)"",
  REGEXMATCH(C10348, ""押金""), ""押金往來"",
  AND(E10348&lt;&gt;"""", F10348=""""), ""真實支出"",
  AND(E10348="""", F10348&lt;&gt;""""), ""真實收入"",
  TRUE, ""其他""
)"),"其他")</f>
        <v>其他</v>
      </c>
      <c r="K10348" s="270" t="str">
        <f t="shared" si="2"/>
        <v/>
      </c>
      <c r="L10348">
        <f t="shared" si="3"/>
        <v>0</v>
      </c>
    </row>
    <row r="10349">
      <c r="A10349" s="107"/>
      <c r="D10349" s="270"/>
      <c r="H10349" s="106" t="str">
        <f t="shared" si="1"/>
        <v/>
      </c>
      <c r="J10349" t="str">
        <f>IFERROR(__xludf.DUMMYFUNCTION("IFS(
  AND(REGEXMATCH(E10349, ""台銀籌備帳戶|玉山帳戶""), REGEXMATCH(C10349, ""薪資"")), ""分潤支出"",
  AND(REGEXMATCH(E10349, ""Ben帳戶|Elsa帳戶|Ben代墊|Ariel代墊|中信銀行共用""), REGEXMATCH(F10349, ""Ben帳戶|Elsa帳戶|Ben代墊|Ariel代墊|中信銀行共用"")), ""內部轉帳(忽略)"",
  AND(E10349&lt;&gt;"""", F10349&lt;&gt;"&amp;""""", NOT(REGEXMATCH(C10349, ""薪資""))), ""內部轉帳(忽略)"",
  REGEXMATCH(C10349, ""薪資""), ""薪資變動(不計入)"",
  REGEXMATCH(C10349, ""押金""), ""押金往來"",
  AND(E10349&lt;&gt;"""", F10349=""""), ""真實支出"",
  AND(E10349="""", F10349&lt;&gt;""""), ""真實收入"",
  TRUE, ""其他""
)"),"其他")</f>
        <v>其他</v>
      </c>
      <c r="K10349" s="270" t="str">
        <f t="shared" si="2"/>
        <v/>
      </c>
      <c r="L10349">
        <f t="shared" si="3"/>
        <v>0</v>
      </c>
    </row>
    <row r="10350">
      <c r="A10350" s="107"/>
      <c r="D10350" s="270"/>
      <c r="H10350" s="106" t="str">
        <f t="shared" si="1"/>
        <v/>
      </c>
      <c r="J10350" t="str">
        <f>IFERROR(__xludf.DUMMYFUNCTION("IFS(
  AND(REGEXMATCH(E10350, ""台銀籌備帳戶|玉山帳戶""), REGEXMATCH(C10350, ""薪資"")), ""分潤支出"",
  AND(REGEXMATCH(E10350, ""Ben帳戶|Elsa帳戶|Ben代墊|Ariel代墊|中信銀行共用""), REGEXMATCH(F10350, ""Ben帳戶|Elsa帳戶|Ben代墊|Ariel代墊|中信銀行共用"")), ""內部轉帳(忽略)"",
  AND(E10350&lt;&gt;"""", F10350&lt;&gt;"&amp;""""", NOT(REGEXMATCH(C10350, ""薪資""))), ""內部轉帳(忽略)"",
  REGEXMATCH(C10350, ""薪資""), ""薪資變動(不計入)"",
  REGEXMATCH(C10350, ""押金""), ""押金往來"",
  AND(E10350&lt;&gt;"""", F10350=""""), ""真實支出"",
  AND(E10350="""", F10350&lt;&gt;""""), ""真實收入"",
  TRUE, ""其他""
)"),"其他")</f>
        <v>其他</v>
      </c>
      <c r="K10350" s="270" t="str">
        <f t="shared" si="2"/>
        <v/>
      </c>
      <c r="L10350">
        <f t="shared" si="3"/>
        <v>0</v>
      </c>
    </row>
    <row r="10351">
      <c r="A10351" s="107"/>
      <c r="D10351" s="270"/>
      <c r="H10351" s="106" t="str">
        <f t="shared" si="1"/>
        <v/>
      </c>
      <c r="J10351" t="str">
        <f>IFERROR(__xludf.DUMMYFUNCTION("IFS(
  AND(REGEXMATCH(E10351, ""台銀籌備帳戶|玉山帳戶""), REGEXMATCH(C10351, ""薪資"")), ""分潤支出"",
  AND(REGEXMATCH(E10351, ""Ben帳戶|Elsa帳戶|Ben代墊|Ariel代墊|中信銀行共用""), REGEXMATCH(F10351, ""Ben帳戶|Elsa帳戶|Ben代墊|Ariel代墊|中信銀行共用"")), ""內部轉帳(忽略)"",
  AND(E10351&lt;&gt;"""", F10351&lt;&gt;"&amp;""""", NOT(REGEXMATCH(C10351, ""薪資""))), ""內部轉帳(忽略)"",
  REGEXMATCH(C10351, ""薪資""), ""薪資變動(不計入)"",
  REGEXMATCH(C10351, ""押金""), ""押金往來"",
  AND(E10351&lt;&gt;"""", F10351=""""), ""真實支出"",
  AND(E10351="""", F10351&lt;&gt;""""), ""真實收入"",
  TRUE, ""其他""
)"),"其他")</f>
        <v>其他</v>
      </c>
      <c r="K10351" s="270" t="str">
        <f t="shared" si="2"/>
        <v/>
      </c>
      <c r="L10351">
        <f t="shared" si="3"/>
        <v>0</v>
      </c>
    </row>
    <row r="10352">
      <c r="A10352" s="107"/>
      <c r="D10352" s="270"/>
      <c r="H10352" s="106" t="str">
        <f t="shared" si="1"/>
        <v/>
      </c>
      <c r="J10352" t="str">
        <f>IFERROR(__xludf.DUMMYFUNCTION("IFS(
  AND(REGEXMATCH(E10352, ""台銀籌備帳戶|玉山帳戶""), REGEXMATCH(C10352, ""薪資"")), ""分潤支出"",
  AND(REGEXMATCH(E10352, ""Ben帳戶|Elsa帳戶|Ben代墊|Ariel代墊|中信銀行共用""), REGEXMATCH(F10352, ""Ben帳戶|Elsa帳戶|Ben代墊|Ariel代墊|中信銀行共用"")), ""內部轉帳(忽略)"",
  AND(E10352&lt;&gt;"""", F10352&lt;&gt;"&amp;""""", NOT(REGEXMATCH(C10352, ""薪資""))), ""內部轉帳(忽略)"",
  REGEXMATCH(C10352, ""薪資""), ""薪資變動(不計入)"",
  REGEXMATCH(C10352, ""押金""), ""押金往來"",
  AND(E10352&lt;&gt;"""", F10352=""""), ""真實支出"",
  AND(E10352="""", F10352&lt;&gt;""""), ""真實收入"",
  TRUE, ""其他""
)"),"其他")</f>
        <v>其他</v>
      </c>
      <c r="K10352" s="270" t="str">
        <f t="shared" si="2"/>
        <v/>
      </c>
      <c r="L10352">
        <f t="shared" si="3"/>
        <v>0</v>
      </c>
    </row>
    <row r="10353">
      <c r="A10353" s="107"/>
      <c r="D10353" s="270"/>
      <c r="H10353" s="106" t="str">
        <f t="shared" si="1"/>
        <v/>
      </c>
      <c r="J10353" t="str">
        <f>IFERROR(__xludf.DUMMYFUNCTION("IFS(
  AND(REGEXMATCH(E10353, ""台銀籌備帳戶|玉山帳戶""), REGEXMATCH(C10353, ""薪資"")), ""分潤支出"",
  AND(REGEXMATCH(E10353, ""Ben帳戶|Elsa帳戶|Ben代墊|Ariel代墊|中信銀行共用""), REGEXMATCH(F10353, ""Ben帳戶|Elsa帳戶|Ben代墊|Ariel代墊|中信銀行共用"")), ""內部轉帳(忽略)"",
  AND(E10353&lt;&gt;"""", F10353&lt;&gt;"&amp;""""", NOT(REGEXMATCH(C10353, ""薪資""))), ""內部轉帳(忽略)"",
  REGEXMATCH(C10353, ""薪資""), ""薪資變動(不計入)"",
  REGEXMATCH(C10353, ""押金""), ""押金往來"",
  AND(E10353&lt;&gt;"""", F10353=""""), ""真實支出"",
  AND(E10353="""", F10353&lt;&gt;""""), ""真實收入"",
  TRUE, ""其他""
)"),"其他")</f>
        <v>其他</v>
      </c>
      <c r="K10353" s="270" t="str">
        <f t="shared" si="2"/>
        <v/>
      </c>
      <c r="L10353">
        <f t="shared" si="3"/>
        <v>0</v>
      </c>
    </row>
    <row r="10354">
      <c r="A10354" s="107"/>
      <c r="D10354" s="270"/>
      <c r="H10354" s="106" t="str">
        <f t="shared" si="1"/>
        <v/>
      </c>
      <c r="J10354" t="str">
        <f>IFERROR(__xludf.DUMMYFUNCTION("IFS(
  AND(REGEXMATCH(E10354, ""台銀籌備帳戶|玉山帳戶""), REGEXMATCH(C10354, ""薪資"")), ""分潤支出"",
  AND(REGEXMATCH(E10354, ""Ben帳戶|Elsa帳戶|Ben代墊|Ariel代墊|中信銀行共用""), REGEXMATCH(F10354, ""Ben帳戶|Elsa帳戶|Ben代墊|Ariel代墊|中信銀行共用"")), ""內部轉帳(忽略)"",
  AND(E10354&lt;&gt;"""", F10354&lt;&gt;"&amp;""""", NOT(REGEXMATCH(C10354, ""薪資""))), ""內部轉帳(忽略)"",
  REGEXMATCH(C10354, ""薪資""), ""薪資變動(不計入)"",
  REGEXMATCH(C10354, ""押金""), ""押金往來"",
  AND(E10354&lt;&gt;"""", F10354=""""), ""真實支出"",
  AND(E10354="""", F10354&lt;&gt;""""), ""真實收入"",
  TRUE, ""其他""
)"),"其他")</f>
        <v>其他</v>
      </c>
      <c r="K10354" s="270" t="str">
        <f t="shared" si="2"/>
        <v/>
      </c>
      <c r="L10354">
        <f t="shared" si="3"/>
        <v>0</v>
      </c>
    </row>
    <row r="10355">
      <c r="A10355" s="107"/>
      <c r="D10355" s="270"/>
      <c r="H10355" s="106" t="str">
        <f t="shared" si="1"/>
        <v/>
      </c>
      <c r="J10355" t="str">
        <f>IFERROR(__xludf.DUMMYFUNCTION("IFS(
  AND(REGEXMATCH(E10355, ""台銀籌備帳戶|玉山帳戶""), REGEXMATCH(C10355, ""薪資"")), ""分潤支出"",
  AND(REGEXMATCH(E10355, ""Ben帳戶|Elsa帳戶|Ben代墊|Ariel代墊|中信銀行共用""), REGEXMATCH(F10355, ""Ben帳戶|Elsa帳戶|Ben代墊|Ariel代墊|中信銀行共用"")), ""內部轉帳(忽略)"",
  AND(E10355&lt;&gt;"""", F10355&lt;&gt;"&amp;""""", NOT(REGEXMATCH(C10355, ""薪資""))), ""內部轉帳(忽略)"",
  REGEXMATCH(C10355, ""薪資""), ""薪資變動(不計入)"",
  REGEXMATCH(C10355, ""押金""), ""押金往來"",
  AND(E10355&lt;&gt;"""", F10355=""""), ""真實支出"",
  AND(E10355="""", F10355&lt;&gt;""""), ""真實收入"",
  TRUE, ""其他""
)"),"其他")</f>
        <v>其他</v>
      </c>
      <c r="K10355" s="270" t="str">
        <f t="shared" si="2"/>
        <v/>
      </c>
      <c r="L10355">
        <f t="shared" si="3"/>
        <v>0</v>
      </c>
    </row>
    <row r="10356">
      <c r="A10356" s="107"/>
      <c r="D10356" s="270"/>
      <c r="H10356" s="106" t="str">
        <f t="shared" si="1"/>
        <v/>
      </c>
      <c r="J10356" t="str">
        <f>IFERROR(__xludf.DUMMYFUNCTION("IFS(
  AND(REGEXMATCH(E10356, ""台銀籌備帳戶|玉山帳戶""), REGEXMATCH(C10356, ""薪資"")), ""分潤支出"",
  AND(REGEXMATCH(E10356, ""Ben帳戶|Elsa帳戶|Ben代墊|Ariel代墊|中信銀行共用""), REGEXMATCH(F10356, ""Ben帳戶|Elsa帳戶|Ben代墊|Ariel代墊|中信銀行共用"")), ""內部轉帳(忽略)"",
  AND(E10356&lt;&gt;"""", F10356&lt;&gt;"&amp;""""", NOT(REGEXMATCH(C10356, ""薪資""))), ""內部轉帳(忽略)"",
  REGEXMATCH(C10356, ""薪資""), ""薪資變動(不計入)"",
  REGEXMATCH(C10356, ""押金""), ""押金往來"",
  AND(E10356&lt;&gt;"""", F10356=""""), ""真實支出"",
  AND(E10356="""", F10356&lt;&gt;""""), ""真實收入"",
  TRUE, ""其他""
)"),"其他")</f>
        <v>其他</v>
      </c>
      <c r="K10356" s="270" t="str">
        <f t="shared" si="2"/>
        <v/>
      </c>
      <c r="L10356">
        <f t="shared" si="3"/>
        <v>0</v>
      </c>
    </row>
    <row r="10357">
      <c r="A10357" s="107"/>
      <c r="D10357" s="270"/>
      <c r="H10357" s="106" t="str">
        <f t="shared" si="1"/>
        <v/>
      </c>
      <c r="J10357" t="str">
        <f>IFERROR(__xludf.DUMMYFUNCTION("IFS(
  AND(REGEXMATCH(E10357, ""台銀籌備帳戶|玉山帳戶""), REGEXMATCH(C10357, ""薪資"")), ""分潤支出"",
  AND(REGEXMATCH(E10357, ""Ben帳戶|Elsa帳戶|Ben代墊|Ariel代墊|中信銀行共用""), REGEXMATCH(F10357, ""Ben帳戶|Elsa帳戶|Ben代墊|Ariel代墊|中信銀行共用"")), ""內部轉帳(忽略)"",
  AND(E10357&lt;&gt;"""", F10357&lt;&gt;"&amp;""""", NOT(REGEXMATCH(C10357, ""薪資""))), ""內部轉帳(忽略)"",
  REGEXMATCH(C10357, ""薪資""), ""薪資變動(不計入)"",
  REGEXMATCH(C10357, ""押金""), ""押金往來"",
  AND(E10357&lt;&gt;"""", F10357=""""), ""真實支出"",
  AND(E10357="""", F10357&lt;&gt;""""), ""真實收入"",
  TRUE, ""其他""
)"),"其他")</f>
        <v>其他</v>
      </c>
      <c r="K10357" s="270" t="str">
        <f t="shared" si="2"/>
        <v/>
      </c>
      <c r="L10357">
        <f t="shared" si="3"/>
        <v>0</v>
      </c>
    </row>
    <row r="10358">
      <c r="A10358" s="107"/>
      <c r="D10358" s="270"/>
      <c r="H10358" s="106" t="str">
        <f t="shared" si="1"/>
        <v/>
      </c>
      <c r="J10358" t="str">
        <f>IFERROR(__xludf.DUMMYFUNCTION("IFS(
  AND(REGEXMATCH(E10358, ""台銀籌備帳戶|玉山帳戶""), REGEXMATCH(C10358, ""薪資"")), ""分潤支出"",
  AND(REGEXMATCH(E10358, ""Ben帳戶|Elsa帳戶|Ben代墊|Ariel代墊|中信銀行共用""), REGEXMATCH(F10358, ""Ben帳戶|Elsa帳戶|Ben代墊|Ariel代墊|中信銀行共用"")), ""內部轉帳(忽略)"",
  AND(E10358&lt;&gt;"""", F10358&lt;&gt;"&amp;""""", NOT(REGEXMATCH(C10358, ""薪資""))), ""內部轉帳(忽略)"",
  REGEXMATCH(C10358, ""薪資""), ""薪資變動(不計入)"",
  REGEXMATCH(C10358, ""押金""), ""押金往來"",
  AND(E10358&lt;&gt;"""", F10358=""""), ""真實支出"",
  AND(E10358="""", F10358&lt;&gt;""""), ""真實收入"",
  TRUE, ""其他""
)"),"其他")</f>
        <v>其他</v>
      </c>
      <c r="K10358" s="270" t="str">
        <f t="shared" si="2"/>
        <v/>
      </c>
      <c r="L10358">
        <f t="shared" si="3"/>
        <v>0</v>
      </c>
    </row>
    <row r="10359">
      <c r="A10359" s="107"/>
      <c r="D10359" s="270"/>
      <c r="H10359" s="106" t="str">
        <f t="shared" si="1"/>
        <v/>
      </c>
      <c r="J10359" t="str">
        <f>IFERROR(__xludf.DUMMYFUNCTION("IFS(
  AND(REGEXMATCH(E10359, ""台銀籌備帳戶|玉山帳戶""), REGEXMATCH(C10359, ""薪資"")), ""分潤支出"",
  AND(REGEXMATCH(E10359, ""Ben帳戶|Elsa帳戶|Ben代墊|Ariel代墊|中信銀行共用""), REGEXMATCH(F10359, ""Ben帳戶|Elsa帳戶|Ben代墊|Ariel代墊|中信銀行共用"")), ""內部轉帳(忽略)"",
  AND(E10359&lt;&gt;"""", F10359&lt;&gt;"&amp;""""", NOT(REGEXMATCH(C10359, ""薪資""))), ""內部轉帳(忽略)"",
  REGEXMATCH(C10359, ""薪資""), ""薪資變動(不計入)"",
  REGEXMATCH(C10359, ""押金""), ""押金往來"",
  AND(E10359&lt;&gt;"""", F10359=""""), ""真實支出"",
  AND(E10359="""", F10359&lt;&gt;""""), ""真實收入"",
  TRUE, ""其他""
)"),"其他")</f>
        <v>其他</v>
      </c>
      <c r="K10359" s="270" t="str">
        <f t="shared" si="2"/>
        <v/>
      </c>
      <c r="L10359">
        <f t="shared" si="3"/>
        <v>0</v>
      </c>
    </row>
    <row r="10360">
      <c r="A10360" s="107"/>
      <c r="D10360" s="270"/>
      <c r="H10360" s="106" t="str">
        <f t="shared" si="1"/>
        <v/>
      </c>
      <c r="J10360" t="str">
        <f>IFERROR(__xludf.DUMMYFUNCTION("IFS(
  AND(REGEXMATCH(E10360, ""台銀籌備帳戶|玉山帳戶""), REGEXMATCH(C10360, ""薪資"")), ""分潤支出"",
  AND(REGEXMATCH(E10360, ""Ben帳戶|Elsa帳戶|Ben代墊|Ariel代墊|中信銀行共用""), REGEXMATCH(F10360, ""Ben帳戶|Elsa帳戶|Ben代墊|Ariel代墊|中信銀行共用"")), ""內部轉帳(忽略)"",
  AND(E10360&lt;&gt;"""", F10360&lt;&gt;"&amp;""""", NOT(REGEXMATCH(C10360, ""薪資""))), ""內部轉帳(忽略)"",
  REGEXMATCH(C10360, ""薪資""), ""薪資變動(不計入)"",
  REGEXMATCH(C10360, ""押金""), ""押金往來"",
  AND(E10360&lt;&gt;"""", F10360=""""), ""真實支出"",
  AND(E10360="""", F10360&lt;&gt;""""), ""真實收入"",
  TRUE, ""其他""
)"),"其他")</f>
        <v>其他</v>
      </c>
      <c r="K10360" s="270" t="str">
        <f t="shared" si="2"/>
        <v/>
      </c>
      <c r="L10360">
        <f t="shared" si="3"/>
        <v>0</v>
      </c>
    </row>
    <row r="10361">
      <c r="A10361" s="107"/>
      <c r="D10361" s="270"/>
      <c r="H10361" s="106" t="str">
        <f t="shared" si="1"/>
        <v/>
      </c>
      <c r="J10361" t="str">
        <f>IFERROR(__xludf.DUMMYFUNCTION("IFS(
  AND(REGEXMATCH(E10361, ""台銀籌備帳戶|玉山帳戶""), REGEXMATCH(C10361, ""薪資"")), ""分潤支出"",
  AND(REGEXMATCH(E10361, ""Ben帳戶|Elsa帳戶|Ben代墊|Ariel代墊|中信銀行共用""), REGEXMATCH(F10361, ""Ben帳戶|Elsa帳戶|Ben代墊|Ariel代墊|中信銀行共用"")), ""內部轉帳(忽略)"",
  AND(E10361&lt;&gt;"""", F10361&lt;&gt;"&amp;""""", NOT(REGEXMATCH(C10361, ""薪資""))), ""內部轉帳(忽略)"",
  REGEXMATCH(C10361, ""薪資""), ""薪資變動(不計入)"",
  REGEXMATCH(C10361, ""押金""), ""押金往來"",
  AND(E10361&lt;&gt;"""", F10361=""""), ""真實支出"",
  AND(E10361="""", F10361&lt;&gt;""""), ""真實收入"",
  TRUE, ""其他""
)"),"其他")</f>
        <v>其他</v>
      </c>
      <c r="K10361" s="270" t="str">
        <f t="shared" si="2"/>
        <v/>
      </c>
      <c r="L10361">
        <f t="shared" si="3"/>
        <v>0</v>
      </c>
    </row>
    <row r="10362">
      <c r="A10362" s="107"/>
      <c r="D10362" s="270"/>
      <c r="H10362" s="106" t="str">
        <f t="shared" si="1"/>
        <v/>
      </c>
      <c r="J10362" t="str">
        <f>IFERROR(__xludf.DUMMYFUNCTION("IFS(
  AND(REGEXMATCH(E10362, ""台銀籌備帳戶|玉山帳戶""), REGEXMATCH(C10362, ""薪資"")), ""分潤支出"",
  AND(REGEXMATCH(E10362, ""Ben帳戶|Elsa帳戶|Ben代墊|Ariel代墊|中信銀行共用""), REGEXMATCH(F10362, ""Ben帳戶|Elsa帳戶|Ben代墊|Ariel代墊|中信銀行共用"")), ""內部轉帳(忽略)"",
  AND(E10362&lt;&gt;"""", F10362&lt;&gt;"&amp;""""", NOT(REGEXMATCH(C10362, ""薪資""))), ""內部轉帳(忽略)"",
  REGEXMATCH(C10362, ""薪資""), ""薪資變動(不計入)"",
  REGEXMATCH(C10362, ""押金""), ""押金往來"",
  AND(E10362&lt;&gt;"""", F10362=""""), ""真實支出"",
  AND(E10362="""", F10362&lt;&gt;""""), ""真實收入"",
  TRUE, ""其他""
)"),"其他")</f>
        <v>其他</v>
      </c>
      <c r="K10362" s="270" t="str">
        <f t="shared" si="2"/>
        <v/>
      </c>
      <c r="L10362">
        <f t="shared" si="3"/>
        <v>0</v>
      </c>
    </row>
    <row r="10363">
      <c r="A10363" s="107"/>
      <c r="D10363" s="270"/>
      <c r="H10363" s="106" t="str">
        <f t="shared" si="1"/>
        <v/>
      </c>
      <c r="J10363" t="str">
        <f>IFERROR(__xludf.DUMMYFUNCTION("IFS(
  AND(REGEXMATCH(E10363, ""台銀籌備帳戶|玉山帳戶""), REGEXMATCH(C10363, ""薪資"")), ""分潤支出"",
  AND(REGEXMATCH(E10363, ""Ben帳戶|Elsa帳戶|Ben代墊|Ariel代墊|中信銀行共用""), REGEXMATCH(F10363, ""Ben帳戶|Elsa帳戶|Ben代墊|Ariel代墊|中信銀行共用"")), ""內部轉帳(忽略)"",
  AND(E10363&lt;&gt;"""", F10363&lt;&gt;"&amp;""""", NOT(REGEXMATCH(C10363, ""薪資""))), ""內部轉帳(忽略)"",
  REGEXMATCH(C10363, ""薪資""), ""薪資變動(不計入)"",
  REGEXMATCH(C10363, ""押金""), ""押金往來"",
  AND(E10363&lt;&gt;"""", F10363=""""), ""真實支出"",
  AND(E10363="""", F10363&lt;&gt;""""), ""真實收入"",
  TRUE, ""其他""
)"),"其他")</f>
        <v>其他</v>
      </c>
      <c r="K10363" s="270" t="str">
        <f t="shared" si="2"/>
        <v/>
      </c>
      <c r="L10363">
        <f t="shared" si="3"/>
        <v>0</v>
      </c>
    </row>
    <row r="10364">
      <c r="A10364" s="107"/>
      <c r="D10364" s="270"/>
      <c r="H10364" s="106" t="str">
        <f t="shared" si="1"/>
        <v/>
      </c>
      <c r="J10364" t="str">
        <f>IFERROR(__xludf.DUMMYFUNCTION("IFS(
  AND(REGEXMATCH(E10364, ""台銀籌備帳戶|玉山帳戶""), REGEXMATCH(C10364, ""薪資"")), ""分潤支出"",
  AND(REGEXMATCH(E10364, ""Ben帳戶|Elsa帳戶|Ben代墊|Ariel代墊|中信銀行共用""), REGEXMATCH(F10364, ""Ben帳戶|Elsa帳戶|Ben代墊|Ariel代墊|中信銀行共用"")), ""內部轉帳(忽略)"",
  AND(E10364&lt;&gt;"""", F10364&lt;&gt;"&amp;""""", NOT(REGEXMATCH(C10364, ""薪資""))), ""內部轉帳(忽略)"",
  REGEXMATCH(C10364, ""薪資""), ""薪資變動(不計入)"",
  REGEXMATCH(C10364, ""押金""), ""押金往來"",
  AND(E10364&lt;&gt;"""", F10364=""""), ""真實支出"",
  AND(E10364="""", F10364&lt;&gt;""""), ""真實收入"",
  TRUE, ""其他""
)"),"其他")</f>
        <v>其他</v>
      </c>
      <c r="K10364" s="270" t="str">
        <f t="shared" si="2"/>
        <v/>
      </c>
      <c r="L10364">
        <f t="shared" si="3"/>
        <v>0</v>
      </c>
    </row>
    <row r="10365">
      <c r="A10365" s="107"/>
      <c r="D10365" s="270"/>
      <c r="H10365" s="106" t="str">
        <f t="shared" si="1"/>
        <v/>
      </c>
      <c r="J10365" t="str">
        <f>IFERROR(__xludf.DUMMYFUNCTION("IFS(
  AND(REGEXMATCH(E10365, ""台銀籌備帳戶|玉山帳戶""), REGEXMATCH(C10365, ""薪資"")), ""分潤支出"",
  AND(REGEXMATCH(E10365, ""Ben帳戶|Elsa帳戶|Ben代墊|Ariel代墊|中信銀行共用""), REGEXMATCH(F10365, ""Ben帳戶|Elsa帳戶|Ben代墊|Ariel代墊|中信銀行共用"")), ""內部轉帳(忽略)"",
  AND(E10365&lt;&gt;"""", F10365&lt;&gt;"&amp;""""", NOT(REGEXMATCH(C10365, ""薪資""))), ""內部轉帳(忽略)"",
  REGEXMATCH(C10365, ""薪資""), ""薪資變動(不計入)"",
  REGEXMATCH(C10365, ""押金""), ""押金往來"",
  AND(E10365&lt;&gt;"""", F10365=""""), ""真實支出"",
  AND(E10365="""", F10365&lt;&gt;""""), ""真實收入"",
  TRUE, ""其他""
)"),"其他")</f>
        <v>其他</v>
      </c>
      <c r="K10365" s="270" t="str">
        <f t="shared" si="2"/>
        <v/>
      </c>
      <c r="L10365">
        <f t="shared" si="3"/>
        <v>0</v>
      </c>
    </row>
    <row r="10366">
      <c r="A10366" s="107"/>
      <c r="D10366" s="270"/>
      <c r="H10366" s="106" t="str">
        <f t="shared" si="1"/>
        <v/>
      </c>
      <c r="J10366" t="str">
        <f>IFERROR(__xludf.DUMMYFUNCTION("IFS(
  AND(REGEXMATCH(E10366, ""台銀籌備帳戶|玉山帳戶""), REGEXMATCH(C10366, ""薪資"")), ""分潤支出"",
  AND(REGEXMATCH(E10366, ""Ben帳戶|Elsa帳戶|Ben代墊|Ariel代墊|中信銀行共用""), REGEXMATCH(F10366, ""Ben帳戶|Elsa帳戶|Ben代墊|Ariel代墊|中信銀行共用"")), ""內部轉帳(忽略)"",
  AND(E10366&lt;&gt;"""", F10366&lt;&gt;"&amp;""""", NOT(REGEXMATCH(C10366, ""薪資""))), ""內部轉帳(忽略)"",
  REGEXMATCH(C10366, ""薪資""), ""薪資變動(不計入)"",
  REGEXMATCH(C10366, ""押金""), ""押金往來"",
  AND(E10366&lt;&gt;"""", F10366=""""), ""真實支出"",
  AND(E10366="""", F10366&lt;&gt;""""), ""真實收入"",
  TRUE, ""其他""
)"),"其他")</f>
        <v>其他</v>
      </c>
      <c r="K10366" s="270" t="str">
        <f t="shared" si="2"/>
        <v/>
      </c>
      <c r="L10366">
        <f t="shared" si="3"/>
        <v>0</v>
      </c>
    </row>
    <row r="10367">
      <c r="A10367" s="107"/>
      <c r="D10367" s="270"/>
      <c r="H10367" s="106" t="str">
        <f t="shared" si="1"/>
        <v/>
      </c>
      <c r="J10367" t="str">
        <f>IFERROR(__xludf.DUMMYFUNCTION("IFS(
  AND(REGEXMATCH(E10367, ""台銀籌備帳戶|玉山帳戶""), REGEXMATCH(C10367, ""薪資"")), ""分潤支出"",
  AND(REGEXMATCH(E10367, ""Ben帳戶|Elsa帳戶|Ben代墊|Ariel代墊|中信銀行共用""), REGEXMATCH(F10367, ""Ben帳戶|Elsa帳戶|Ben代墊|Ariel代墊|中信銀行共用"")), ""內部轉帳(忽略)"",
  AND(E10367&lt;&gt;"""", F10367&lt;&gt;"&amp;""""", NOT(REGEXMATCH(C10367, ""薪資""))), ""內部轉帳(忽略)"",
  REGEXMATCH(C10367, ""薪資""), ""薪資變動(不計入)"",
  REGEXMATCH(C10367, ""押金""), ""押金往來"",
  AND(E10367&lt;&gt;"""", F10367=""""), ""真實支出"",
  AND(E10367="""", F10367&lt;&gt;""""), ""真實收入"",
  TRUE, ""其他""
)"),"其他")</f>
        <v>其他</v>
      </c>
      <c r="K10367" s="270" t="str">
        <f t="shared" si="2"/>
        <v/>
      </c>
      <c r="L10367">
        <f t="shared" si="3"/>
        <v>0</v>
      </c>
    </row>
    <row r="10368">
      <c r="A10368" s="107"/>
      <c r="D10368" s="270"/>
      <c r="H10368" s="106" t="str">
        <f t="shared" si="1"/>
        <v/>
      </c>
      <c r="J10368" t="str">
        <f>IFERROR(__xludf.DUMMYFUNCTION("IFS(
  AND(REGEXMATCH(E10368, ""台銀籌備帳戶|玉山帳戶""), REGEXMATCH(C10368, ""薪資"")), ""分潤支出"",
  AND(REGEXMATCH(E10368, ""Ben帳戶|Elsa帳戶|Ben代墊|Ariel代墊|中信銀行共用""), REGEXMATCH(F10368, ""Ben帳戶|Elsa帳戶|Ben代墊|Ariel代墊|中信銀行共用"")), ""內部轉帳(忽略)"",
  AND(E10368&lt;&gt;"""", F10368&lt;&gt;"&amp;""""", NOT(REGEXMATCH(C10368, ""薪資""))), ""內部轉帳(忽略)"",
  REGEXMATCH(C10368, ""薪資""), ""薪資變動(不計入)"",
  REGEXMATCH(C10368, ""押金""), ""押金往來"",
  AND(E10368&lt;&gt;"""", F10368=""""), ""真實支出"",
  AND(E10368="""", F10368&lt;&gt;""""), ""真實收入"",
  TRUE, ""其他""
)"),"其他")</f>
        <v>其他</v>
      </c>
      <c r="K10368" s="270" t="str">
        <f t="shared" si="2"/>
        <v/>
      </c>
      <c r="L10368">
        <f t="shared" si="3"/>
        <v>0</v>
      </c>
    </row>
    <row r="10369">
      <c r="A10369" s="107"/>
      <c r="D10369" s="270"/>
      <c r="H10369" s="106" t="str">
        <f t="shared" si="1"/>
        <v/>
      </c>
      <c r="J10369" t="str">
        <f>IFERROR(__xludf.DUMMYFUNCTION("IFS(
  AND(REGEXMATCH(E10369, ""台銀籌備帳戶|玉山帳戶""), REGEXMATCH(C10369, ""薪資"")), ""分潤支出"",
  AND(REGEXMATCH(E10369, ""Ben帳戶|Elsa帳戶|Ben代墊|Ariel代墊|中信銀行共用""), REGEXMATCH(F10369, ""Ben帳戶|Elsa帳戶|Ben代墊|Ariel代墊|中信銀行共用"")), ""內部轉帳(忽略)"",
  AND(E10369&lt;&gt;"""", F10369&lt;&gt;"&amp;""""", NOT(REGEXMATCH(C10369, ""薪資""))), ""內部轉帳(忽略)"",
  REGEXMATCH(C10369, ""薪資""), ""薪資變動(不計入)"",
  REGEXMATCH(C10369, ""押金""), ""押金往來"",
  AND(E10369&lt;&gt;"""", F10369=""""), ""真實支出"",
  AND(E10369="""", F10369&lt;&gt;""""), ""真實收入"",
  TRUE, ""其他""
)"),"其他")</f>
        <v>其他</v>
      </c>
      <c r="K10369" s="270" t="str">
        <f t="shared" si="2"/>
        <v/>
      </c>
      <c r="L10369">
        <f t="shared" si="3"/>
        <v>0</v>
      </c>
    </row>
    <row r="10370">
      <c r="A10370" s="107"/>
      <c r="D10370" s="270"/>
      <c r="H10370" s="106" t="str">
        <f t="shared" si="1"/>
        <v/>
      </c>
      <c r="J10370" t="str">
        <f>IFERROR(__xludf.DUMMYFUNCTION("IFS(
  AND(REGEXMATCH(E10370, ""台銀籌備帳戶|玉山帳戶""), REGEXMATCH(C10370, ""薪資"")), ""分潤支出"",
  AND(REGEXMATCH(E10370, ""Ben帳戶|Elsa帳戶|Ben代墊|Ariel代墊|中信銀行共用""), REGEXMATCH(F10370, ""Ben帳戶|Elsa帳戶|Ben代墊|Ariel代墊|中信銀行共用"")), ""內部轉帳(忽略)"",
  AND(E10370&lt;&gt;"""", F10370&lt;&gt;"&amp;""""", NOT(REGEXMATCH(C10370, ""薪資""))), ""內部轉帳(忽略)"",
  REGEXMATCH(C10370, ""薪資""), ""薪資變動(不計入)"",
  REGEXMATCH(C10370, ""押金""), ""押金往來"",
  AND(E10370&lt;&gt;"""", F10370=""""), ""真實支出"",
  AND(E10370="""", F10370&lt;&gt;""""), ""真實收入"",
  TRUE, ""其他""
)"),"其他")</f>
        <v>其他</v>
      </c>
      <c r="K10370" s="270" t="str">
        <f t="shared" si="2"/>
        <v/>
      </c>
      <c r="L10370">
        <f t="shared" si="3"/>
        <v>0</v>
      </c>
    </row>
    <row r="10371">
      <c r="A10371" s="107"/>
      <c r="D10371" s="270"/>
      <c r="H10371" s="106" t="str">
        <f t="shared" si="1"/>
        <v/>
      </c>
      <c r="J10371" t="str">
        <f>IFERROR(__xludf.DUMMYFUNCTION("IFS(
  AND(REGEXMATCH(E10371, ""台銀籌備帳戶|玉山帳戶""), REGEXMATCH(C10371, ""薪資"")), ""分潤支出"",
  AND(REGEXMATCH(E10371, ""Ben帳戶|Elsa帳戶|Ben代墊|Ariel代墊|中信銀行共用""), REGEXMATCH(F10371, ""Ben帳戶|Elsa帳戶|Ben代墊|Ariel代墊|中信銀行共用"")), ""內部轉帳(忽略)"",
  AND(E10371&lt;&gt;"""", F10371&lt;&gt;"&amp;""""", NOT(REGEXMATCH(C10371, ""薪資""))), ""內部轉帳(忽略)"",
  REGEXMATCH(C10371, ""薪資""), ""薪資變動(不計入)"",
  REGEXMATCH(C10371, ""押金""), ""押金往來"",
  AND(E10371&lt;&gt;"""", F10371=""""), ""真實支出"",
  AND(E10371="""", F10371&lt;&gt;""""), ""真實收入"",
  TRUE, ""其他""
)"),"其他")</f>
        <v>其他</v>
      </c>
      <c r="K10371" s="270" t="str">
        <f t="shared" si="2"/>
        <v/>
      </c>
      <c r="L10371">
        <f t="shared" si="3"/>
        <v>0</v>
      </c>
    </row>
    <row r="10372">
      <c r="A10372" s="107"/>
      <c r="D10372" s="270"/>
      <c r="H10372" s="106" t="str">
        <f t="shared" si="1"/>
        <v/>
      </c>
      <c r="J10372" t="str">
        <f>IFERROR(__xludf.DUMMYFUNCTION("IFS(
  AND(REGEXMATCH(E10372, ""台銀籌備帳戶|玉山帳戶""), REGEXMATCH(C10372, ""薪資"")), ""分潤支出"",
  AND(REGEXMATCH(E10372, ""Ben帳戶|Elsa帳戶|Ben代墊|Ariel代墊|中信銀行共用""), REGEXMATCH(F10372, ""Ben帳戶|Elsa帳戶|Ben代墊|Ariel代墊|中信銀行共用"")), ""內部轉帳(忽略)"",
  AND(E10372&lt;&gt;"""", F10372&lt;&gt;"&amp;""""", NOT(REGEXMATCH(C10372, ""薪資""))), ""內部轉帳(忽略)"",
  REGEXMATCH(C10372, ""薪資""), ""薪資變動(不計入)"",
  REGEXMATCH(C10372, ""押金""), ""押金往來"",
  AND(E10372&lt;&gt;"""", F10372=""""), ""真實支出"",
  AND(E10372="""", F10372&lt;&gt;""""), ""真實收入"",
  TRUE, ""其他""
)"),"其他")</f>
        <v>其他</v>
      </c>
      <c r="K10372" s="270" t="str">
        <f t="shared" si="2"/>
        <v/>
      </c>
      <c r="L10372">
        <f t="shared" si="3"/>
        <v>0</v>
      </c>
    </row>
    <row r="10373">
      <c r="A10373" s="107"/>
      <c r="D10373" s="270"/>
      <c r="H10373" s="106" t="str">
        <f t="shared" si="1"/>
        <v/>
      </c>
      <c r="J10373" t="str">
        <f>IFERROR(__xludf.DUMMYFUNCTION("IFS(
  AND(REGEXMATCH(E10373, ""台銀籌備帳戶|玉山帳戶""), REGEXMATCH(C10373, ""薪資"")), ""分潤支出"",
  AND(REGEXMATCH(E10373, ""Ben帳戶|Elsa帳戶|Ben代墊|Ariel代墊|中信銀行共用""), REGEXMATCH(F10373, ""Ben帳戶|Elsa帳戶|Ben代墊|Ariel代墊|中信銀行共用"")), ""內部轉帳(忽略)"",
  AND(E10373&lt;&gt;"""", F10373&lt;&gt;"&amp;""""", NOT(REGEXMATCH(C10373, ""薪資""))), ""內部轉帳(忽略)"",
  REGEXMATCH(C10373, ""薪資""), ""薪資變動(不計入)"",
  REGEXMATCH(C10373, ""押金""), ""押金往來"",
  AND(E10373&lt;&gt;"""", F10373=""""), ""真實支出"",
  AND(E10373="""", F10373&lt;&gt;""""), ""真實收入"",
  TRUE, ""其他""
)"),"其他")</f>
        <v>其他</v>
      </c>
      <c r="K10373" s="270" t="str">
        <f t="shared" si="2"/>
        <v/>
      </c>
      <c r="L10373">
        <f t="shared" si="3"/>
        <v>0</v>
      </c>
    </row>
    <row r="10374">
      <c r="A10374" s="107"/>
      <c r="D10374" s="270"/>
      <c r="H10374" s="106" t="str">
        <f t="shared" si="1"/>
        <v/>
      </c>
      <c r="J10374" t="str">
        <f>IFERROR(__xludf.DUMMYFUNCTION("IFS(
  AND(REGEXMATCH(E10374, ""台銀籌備帳戶|玉山帳戶""), REGEXMATCH(C10374, ""薪資"")), ""分潤支出"",
  AND(REGEXMATCH(E10374, ""Ben帳戶|Elsa帳戶|Ben代墊|Ariel代墊|中信銀行共用""), REGEXMATCH(F10374, ""Ben帳戶|Elsa帳戶|Ben代墊|Ariel代墊|中信銀行共用"")), ""內部轉帳(忽略)"",
  AND(E10374&lt;&gt;"""", F10374&lt;&gt;"&amp;""""", NOT(REGEXMATCH(C10374, ""薪資""))), ""內部轉帳(忽略)"",
  REGEXMATCH(C10374, ""薪資""), ""薪資變動(不計入)"",
  REGEXMATCH(C10374, ""押金""), ""押金往來"",
  AND(E10374&lt;&gt;"""", F10374=""""), ""真實支出"",
  AND(E10374="""", F10374&lt;&gt;""""), ""真實收入"",
  TRUE, ""其他""
)"),"其他")</f>
        <v>其他</v>
      </c>
      <c r="K10374" s="270" t="str">
        <f t="shared" si="2"/>
        <v/>
      </c>
      <c r="L10374">
        <f t="shared" si="3"/>
        <v>0</v>
      </c>
    </row>
    <row r="10375">
      <c r="A10375" s="107"/>
      <c r="D10375" s="270"/>
      <c r="H10375" s="106" t="str">
        <f t="shared" si="1"/>
        <v/>
      </c>
      <c r="J10375" t="str">
        <f>IFERROR(__xludf.DUMMYFUNCTION("IFS(
  AND(REGEXMATCH(E10375, ""台銀籌備帳戶|玉山帳戶""), REGEXMATCH(C10375, ""薪資"")), ""分潤支出"",
  AND(REGEXMATCH(E10375, ""Ben帳戶|Elsa帳戶|Ben代墊|Ariel代墊|中信銀行共用""), REGEXMATCH(F10375, ""Ben帳戶|Elsa帳戶|Ben代墊|Ariel代墊|中信銀行共用"")), ""內部轉帳(忽略)"",
  AND(E10375&lt;&gt;"""", F10375&lt;&gt;"&amp;""""", NOT(REGEXMATCH(C10375, ""薪資""))), ""內部轉帳(忽略)"",
  REGEXMATCH(C10375, ""薪資""), ""薪資變動(不計入)"",
  REGEXMATCH(C10375, ""押金""), ""押金往來"",
  AND(E10375&lt;&gt;"""", F10375=""""), ""真實支出"",
  AND(E10375="""", F10375&lt;&gt;""""), ""真實收入"",
  TRUE, ""其他""
)"),"其他")</f>
        <v>其他</v>
      </c>
      <c r="K10375" s="270" t="str">
        <f t="shared" si="2"/>
        <v/>
      </c>
      <c r="L10375">
        <f t="shared" si="3"/>
        <v>0</v>
      </c>
    </row>
    <row r="10376">
      <c r="A10376" s="107"/>
      <c r="D10376" s="270"/>
      <c r="H10376" s="106" t="str">
        <f t="shared" si="1"/>
        <v/>
      </c>
      <c r="J10376" t="str">
        <f>IFERROR(__xludf.DUMMYFUNCTION("IFS(
  AND(REGEXMATCH(E10376, ""台銀籌備帳戶|玉山帳戶""), REGEXMATCH(C10376, ""薪資"")), ""分潤支出"",
  AND(REGEXMATCH(E10376, ""Ben帳戶|Elsa帳戶|Ben代墊|Ariel代墊|中信銀行共用""), REGEXMATCH(F10376, ""Ben帳戶|Elsa帳戶|Ben代墊|Ariel代墊|中信銀行共用"")), ""內部轉帳(忽略)"",
  AND(E10376&lt;&gt;"""", F10376&lt;&gt;"&amp;""""", NOT(REGEXMATCH(C10376, ""薪資""))), ""內部轉帳(忽略)"",
  REGEXMATCH(C10376, ""薪資""), ""薪資變動(不計入)"",
  REGEXMATCH(C10376, ""押金""), ""押金往來"",
  AND(E10376&lt;&gt;"""", F10376=""""), ""真實支出"",
  AND(E10376="""", F10376&lt;&gt;""""), ""真實收入"",
  TRUE, ""其他""
)"),"其他")</f>
        <v>其他</v>
      </c>
      <c r="K10376" s="270" t="str">
        <f t="shared" si="2"/>
        <v/>
      </c>
      <c r="L10376">
        <f t="shared" si="3"/>
        <v>0</v>
      </c>
    </row>
    <row r="10377">
      <c r="A10377" s="107"/>
      <c r="D10377" s="270"/>
      <c r="H10377" s="106" t="str">
        <f t="shared" si="1"/>
        <v/>
      </c>
      <c r="J10377" t="str">
        <f>IFERROR(__xludf.DUMMYFUNCTION("IFS(
  AND(REGEXMATCH(E10377, ""台銀籌備帳戶|玉山帳戶""), REGEXMATCH(C10377, ""薪資"")), ""分潤支出"",
  AND(REGEXMATCH(E10377, ""Ben帳戶|Elsa帳戶|Ben代墊|Ariel代墊|中信銀行共用""), REGEXMATCH(F10377, ""Ben帳戶|Elsa帳戶|Ben代墊|Ariel代墊|中信銀行共用"")), ""內部轉帳(忽略)"",
  AND(E10377&lt;&gt;"""", F10377&lt;&gt;"&amp;""""", NOT(REGEXMATCH(C10377, ""薪資""))), ""內部轉帳(忽略)"",
  REGEXMATCH(C10377, ""薪資""), ""薪資變動(不計入)"",
  REGEXMATCH(C10377, ""押金""), ""押金往來"",
  AND(E10377&lt;&gt;"""", F10377=""""), ""真實支出"",
  AND(E10377="""", F10377&lt;&gt;""""), ""真實收入"",
  TRUE, ""其他""
)"),"其他")</f>
        <v>其他</v>
      </c>
      <c r="K10377" s="270" t="str">
        <f t="shared" si="2"/>
        <v/>
      </c>
      <c r="L10377">
        <f t="shared" si="3"/>
        <v>0</v>
      </c>
    </row>
    <row r="10378">
      <c r="A10378" s="107"/>
      <c r="D10378" s="270"/>
      <c r="H10378" s="106" t="str">
        <f t="shared" si="1"/>
        <v/>
      </c>
      <c r="J10378" t="str">
        <f>IFERROR(__xludf.DUMMYFUNCTION("IFS(
  AND(REGEXMATCH(E10378, ""台銀籌備帳戶|玉山帳戶""), REGEXMATCH(C10378, ""薪資"")), ""分潤支出"",
  AND(REGEXMATCH(E10378, ""Ben帳戶|Elsa帳戶|Ben代墊|Ariel代墊|中信銀行共用""), REGEXMATCH(F10378, ""Ben帳戶|Elsa帳戶|Ben代墊|Ariel代墊|中信銀行共用"")), ""內部轉帳(忽略)"",
  AND(E10378&lt;&gt;"""", F10378&lt;&gt;"&amp;""""", NOT(REGEXMATCH(C10378, ""薪資""))), ""內部轉帳(忽略)"",
  REGEXMATCH(C10378, ""薪資""), ""薪資變動(不計入)"",
  REGEXMATCH(C10378, ""押金""), ""押金往來"",
  AND(E10378&lt;&gt;"""", F10378=""""), ""真實支出"",
  AND(E10378="""", F10378&lt;&gt;""""), ""真實收入"",
  TRUE, ""其他""
)"),"其他")</f>
        <v>其他</v>
      </c>
      <c r="K10378" s="270" t="str">
        <f t="shared" si="2"/>
        <v/>
      </c>
      <c r="L10378">
        <f t="shared" si="3"/>
        <v>0</v>
      </c>
    </row>
    <row r="10379">
      <c r="A10379" s="107"/>
      <c r="D10379" s="270"/>
      <c r="H10379" s="106" t="str">
        <f t="shared" si="1"/>
        <v/>
      </c>
      <c r="J10379" t="str">
        <f>IFERROR(__xludf.DUMMYFUNCTION("IFS(
  AND(REGEXMATCH(E10379, ""台銀籌備帳戶|玉山帳戶""), REGEXMATCH(C10379, ""薪資"")), ""分潤支出"",
  AND(REGEXMATCH(E10379, ""Ben帳戶|Elsa帳戶|Ben代墊|Ariel代墊|中信銀行共用""), REGEXMATCH(F10379, ""Ben帳戶|Elsa帳戶|Ben代墊|Ariel代墊|中信銀行共用"")), ""內部轉帳(忽略)"",
  AND(E10379&lt;&gt;"""", F10379&lt;&gt;"&amp;""""", NOT(REGEXMATCH(C10379, ""薪資""))), ""內部轉帳(忽略)"",
  REGEXMATCH(C10379, ""薪資""), ""薪資變動(不計入)"",
  REGEXMATCH(C10379, ""押金""), ""押金往來"",
  AND(E10379&lt;&gt;"""", F10379=""""), ""真實支出"",
  AND(E10379="""", F10379&lt;&gt;""""), ""真實收入"",
  TRUE, ""其他""
)"),"其他")</f>
        <v>其他</v>
      </c>
      <c r="K10379" s="270" t="str">
        <f t="shared" si="2"/>
        <v/>
      </c>
      <c r="L10379">
        <f t="shared" si="3"/>
        <v>0</v>
      </c>
    </row>
    <row r="10380">
      <c r="A10380" s="107"/>
      <c r="D10380" s="270"/>
      <c r="H10380" s="106" t="str">
        <f t="shared" si="1"/>
        <v/>
      </c>
      <c r="J10380" t="str">
        <f>IFERROR(__xludf.DUMMYFUNCTION("IFS(
  AND(REGEXMATCH(E10380, ""台銀籌備帳戶|玉山帳戶""), REGEXMATCH(C10380, ""薪資"")), ""分潤支出"",
  AND(REGEXMATCH(E10380, ""Ben帳戶|Elsa帳戶|Ben代墊|Ariel代墊|中信銀行共用""), REGEXMATCH(F10380, ""Ben帳戶|Elsa帳戶|Ben代墊|Ariel代墊|中信銀行共用"")), ""內部轉帳(忽略)"",
  AND(E10380&lt;&gt;"""", F10380&lt;&gt;"&amp;""""", NOT(REGEXMATCH(C10380, ""薪資""))), ""內部轉帳(忽略)"",
  REGEXMATCH(C10380, ""薪資""), ""薪資變動(不計入)"",
  REGEXMATCH(C10380, ""押金""), ""押金往來"",
  AND(E10380&lt;&gt;"""", F10380=""""), ""真實支出"",
  AND(E10380="""", F10380&lt;&gt;""""), ""真實收入"",
  TRUE, ""其他""
)"),"其他")</f>
        <v>其他</v>
      </c>
      <c r="K10380" s="270" t="str">
        <f t="shared" si="2"/>
        <v/>
      </c>
      <c r="L10380">
        <f t="shared" si="3"/>
        <v>0</v>
      </c>
    </row>
    <row r="10381">
      <c r="A10381" s="107"/>
      <c r="D10381" s="270"/>
      <c r="H10381" s="106" t="str">
        <f t="shared" si="1"/>
        <v/>
      </c>
      <c r="J10381" t="str">
        <f>IFERROR(__xludf.DUMMYFUNCTION("IFS(
  AND(REGEXMATCH(E10381, ""台銀籌備帳戶|玉山帳戶""), REGEXMATCH(C10381, ""薪資"")), ""分潤支出"",
  AND(REGEXMATCH(E10381, ""Ben帳戶|Elsa帳戶|Ben代墊|Ariel代墊|中信銀行共用""), REGEXMATCH(F10381, ""Ben帳戶|Elsa帳戶|Ben代墊|Ariel代墊|中信銀行共用"")), ""內部轉帳(忽略)"",
  AND(E10381&lt;&gt;"""", F10381&lt;&gt;"&amp;""""", NOT(REGEXMATCH(C10381, ""薪資""))), ""內部轉帳(忽略)"",
  REGEXMATCH(C10381, ""薪資""), ""薪資變動(不計入)"",
  REGEXMATCH(C10381, ""押金""), ""押金往來"",
  AND(E10381&lt;&gt;"""", F10381=""""), ""真實支出"",
  AND(E10381="""", F10381&lt;&gt;""""), ""真實收入"",
  TRUE, ""其他""
)"),"其他")</f>
        <v>其他</v>
      </c>
      <c r="K10381" s="270" t="str">
        <f t="shared" si="2"/>
        <v/>
      </c>
      <c r="L10381">
        <f t="shared" si="3"/>
        <v>0</v>
      </c>
    </row>
    <row r="10382">
      <c r="A10382" s="107"/>
      <c r="D10382" s="270"/>
      <c r="H10382" s="106" t="str">
        <f t="shared" si="1"/>
        <v/>
      </c>
      <c r="J10382" t="str">
        <f>IFERROR(__xludf.DUMMYFUNCTION("IFS(
  AND(REGEXMATCH(E10382, ""台銀籌備帳戶|玉山帳戶""), REGEXMATCH(C10382, ""薪資"")), ""分潤支出"",
  AND(REGEXMATCH(E10382, ""Ben帳戶|Elsa帳戶|Ben代墊|Ariel代墊|中信銀行共用""), REGEXMATCH(F10382, ""Ben帳戶|Elsa帳戶|Ben代墊|Ariel代墊|中信銀行共用"")), ""內部轉帳(忽略)"",
  AND(E10382&lt;&gt;"""", F10382&lt;&gt;"&amp;""""", NOT(REGEXMATCH(C10382, ""薪資""))), ""內部轉帳(忽略)"",
  REGEXMATCH(C10382, ""薪資""), ""薪資變動(不計入)"",
  REGEXMATCH(C10382, ""押金""), ""押金往來"",
  AND(E10382&lt;&gt;"""", F10382=""""), ""真實支出"",
  AND(E10382="""", F10382&lt;&gt;""""), ""真實收入"",
  TRUE, ""其他""
)"),"其他")</f>
        <v>其他</v>
      </c>
      <c r="K10382" s="270" t="str">
        <f t="shared" si="2"/>
        <v/>
      </c>
      <c r="L10382">
        <f t="shared" si="3"/>
        <v>0</v>
      </c>
    </row>
    <row r="10383">
      <c r="A10383" s="107"/>
      <c r="D10383" s="270"/>
      <c r="H10383" s="106" t="str">
        <f t="shared" si="1"/>
        <v/>
      </c>
      <c r="J10383" t="str">
        <f>IFERROR(__xludf.DUMMYFUNCTION("IFS(
  AND(REGEXMATCH(E10383, ""台銀籌備帳戶|玉山帳戶""), REGEXMATCH(C10383, ""薪資"")), ""分潤支出"",
  AND(REGEXMATCH(E10383, ""Ben帳戶|Elsa帳戶|Ben代墊|Ariel代墊|中信銀行共用""), REGEXMATCH(F10383, ""Ben帳戶|Elsa帳戶|Ben代墊|Ariel代墊|中信銀行共用"")), ""內部轉帳(忽略)"",
  AND(E10383&lt;&gt;"""", F10383&lt;&gt;"&amp;""""", NOT(REGEXMATCH(C10383, ""薪資""))), ""內部轉帳(忽略)"",
  REGEXMATCH(C10383, ""薪資""), ""薪資變動(不計入)"",
  REGEXMATCH(C10383, ""押金""), ""押金往來"",
  AND(E10383&lt;&gt;"""", F10383=""""), ""真實支出"",
  AND(E10383="""", F10383&lt;&gt;""""), ""真實收入"",
  TRUE, ""其他""
)"),"其他")</f>
        <v>其他</v>
      </c>
      <c r="K10383" s="270" t="str">
        <f t="shared" si="2"/>
        <v/>
      </c>
      <c r="L10383">
        <f t="shared" si="3"/>
        <v>0</v>
      </c>
    </row>
    <row r="10384">
      <c r="A10384" s="107"/>
      <c r="D10384" s="270"/>
      <c r="H10384" s="106" t="str">
        <f t="shared" si="1"/>
        <v/>
      </c>
      <c r="J10384" t="str">
        <f>IFERROR(__xludf.DUMMYFUNCTION("IFS(
  AND(REGEXMATCH(E10384, ""台銀籌備帳戶|玉山帳戶""), REGEXMATCH(C10384, ""薪資"")), ""分潤支出"",
  AND(REGEXMATCH(E10384, ""Ben帳戶|Elsa帳戶|Ben代墊|Ariel代墊|中信銀行共用""), REGEXMATCH(F10384, ""Ben帳戶|Elsa帳戶|Ben代墊|Ariel代墊|中信銀行共用"")), ""內部轉帳(忽略)"",
  AND(E10384&lt;&gt;"""", F10384&lt;&gt;"&amp;""""", NOT(REGEXMATCH(C10384, ""薪資""))), ""內部轉帳(忽略)"",
  REGEXMATCH(C10384, ""薪資""), ""薪資變動(不計入)"",
  REGEXMATCH(C10384, ""押金""), ""押金往來"",
  AND(E10384&lt;&gt;"""", F10384=""""), ""真實支出"",
  AND(E10384="""", F10384&lt;&gt;""""), ""真實收入"",
  TRUE, ""其他""
)"),"其他")</f>
        <v>其他</v>
      </c>
      <c r="K10384" s="270" t="str">
        <f t="shared" si="2"/>
        <v/>
      </c>
      <c r="L10384">
        <f t="shared" si="3"/>
        <v>0</v>
      </c>
    </row>
    <row r="10385">
      <c r="A10385" s="107"/>
      <c r="D10385" s="270"/>
      <c r="H10385" s="106" t="str">
        <f t="shared" si="1"/>
        <v/>
      </c>
      <c r="J10385" t="str">
        <f>IFERROR(__xludf.DUMMYFUNCTION("IFS(
  AND(REGEXMATCH(E10385, ""台銀籌備帳戶|玉山帳戶""), REGEXMATCH(C10385, ""薪資"")), ""分潤支出"",
  AND(REGEXMATCH(E10385, ""Ben帳戶|Elsa帳戶|Ben代墊|Ariel代墊|中信銀行共用""), REGEXMATCH(F10385, ""Ben帳戶|Elsa帳戶|Ben代墊|Ariel代墊|中信銀行共用"")), ""內部轉帳(忽略)"",
  AND(E10385&lt;&gt;"""", F10385&lt;&gt;"&amp;""""", NOT(REGEXMATCH(C10385, ""薪資""))), ""內部轉帳(忽略)"",
  REGEXMATCH(C10385, ""薪資""), ""薪資變動(不計入)"",
  REGEXMATCH(C10385, ""押金""), ""押金往來"",
  AND(E10385&lt;&gt;"""", F10385=""""), ""真實支出"",
  AND(E10385="""", F10385&lt;&gt;""""), ""真實收入"",
  TRUE, ""其他""
)"),"其他")</f>
        <v>其他</v>
      </c>
      <c r="K10385" s="270" t="str">
        <f t="shared" si="2"/>
        <v/>
      </c>
      <c r="L10385">
        <f t="shared" si="3"/>
        <v>0</v>
      </c>
    </row>
    <row r="10386">
      <c r="A10386" s="107"/>
      <c r="D10386" s="270"/>
      <c r="H10386" s="106" t="str">
        <f t="shared" si="1"/>
        <v/>
      </c>
      <c r="J10386" t="str">
        <f>IFERROR(__xludf.DUMMYFUNCTION("IFS(
  AND(REGEXMATCH(E10386, ""台銀籌備帳戶|玉山帳戶""), REGEXMATCH(C10386, ""薪資"")), ""分潤支出"",
  AND(REGEXMATCH(E10386, ""Ben帳戶|Elsa帳戶|Ben代墊|Ariel代墊|中信銀行共用""), REGEXMATCH(F10386, ""Ben帳戶|Elsa帳戶|Ben代墊|Ariel代墊|中信銀行共用"")), ""內部轉帳(忽略)"",
  AND(E10386&lt;&gt;"""", F10386&lt;&gt;"&amp;""""", NOT(REGEXMATCH(C10386, ""薪資""))), ""內部轉帳(忽略)"",
  REGEXMATCH(C10386, ""薪資""), ""薪資變動(不計入)"",
  REGEXMATCH(C10386, ""押金""), ""押金往來"",
  AND(E10386&lt;&gt;"""", F10386=""""), ""真實支出"",
  AND(E10386="""", F10386&lt;&gt;""""), ""真實收入"",
  TRUE, ""其他""
)"),"其他")</f>
        <v>其他</v>
      </c>
      <c r="K10386" s="270" t="str">
        <f t="shared" si="2"/>
        <v/>
      </c>
      <c r="L10386">
        <f t="shared" si="3"/>
        <v>0</v>
      </c>
    </row>
    <row r="10387">
      <c r="A10387" s="107"/>
      <c r="D10387" s="270"/>
      <c r="H10387" s="106" t="str">
        <f t="shared" si="1"/>
        <v/>
      </c>
      <c r="J10387" t="str">
        <f>IFERROR(__xludf.DUMMYFUNCTION("IFS(
  AND(REGEXMATCH(E10387, ""台銀籌備帳戶|玉山帳戶""), REGEXMATCH(C10387, ""薪資"")), ""分潤支出"",
  AND(REGEXMATCH(E10387, ""Ben帳戶|Elsa帳戶|Ben代墊|Ariel代墊|中信銀行共用""), REGEXMATCH(F10387, ""Ben帳戶|Elsa帳戶|Ben代墊|Ariel代墊|中信銀行共用"")), ""內部轉帳(忽略)"",
  AND(E10387&lt;&gt;"""", F10387&lt;&gt;"&amp;""""", NOT(REGEXMATCH(C10387, ""薪資""))), ""內部轉帳(忽略)"",
  REGEXMATCH(C10387, ""薪資""), ""薪資變動(不計入)"",
  REGEXMATCH(C10387, ""押金""), ""押金往來"",
  AND(E10387&lt;&gt;"""", F10387=""""), ""真實支出"",
  AND(E10387="""", F10387&lt;&gt;""""), ""真實收入"",
  TRUE, ""其他""
)"),"其他")</f>
        <v>其他</v>
      </c>
      <c r="K10387" s="270" t="str">
        <f t="shared" si="2"/>
        <v/>
      </c>
      <c r="L10387">
        <f t="shared" si="3"/>
        <v>0</v>
      </c>
    </row>
    <row r="10388">
      <c r="A10388" s="107"/>
      <c r="D10388" s="270"/>
      <c r="H10388" s="106" t="str">
        <f t="shared" si="1"/>
        <v/>
      </c>
      <c r="J10388" t="str">
        <f>IFERROR(__xludf.DUMMYFUNCTION("IFS(
  AND(REGEXMATCH(E10388, ""台銀籌備帳戶|玉山帳戶""), REGEXMATCH(C10388, ""薪資"")), ""分潤支出"",
  AND(REGEXMATCH(E10388, ""Ben帳戶|Elsa帳戶|Ben代墊|Ariel代墊|中信銀行共用""), REGEXMATCH(F10388, ""Ben帳戶|Elsa帳戶|Ben代墊|Ariel代墊|中信銀行共用"")), ""內部轉帳(忽略)"",
  AND(E10388&lt;&gt;"""", F10388&lt;&gt;"&amp;""""", NOT(REGEXMATCH(C10388, ""薪資""))), ""內部轉帳(忽略)"",
  REGEXMATCH(C10388, ""薪資""), ""薪資變動(不計入)"",
  REGEXMATCH(C10388, ""押金""), ""押金往來"",
  AND(E10388&lt;&gt;"""", F10388=""""), ""真實支出"",
  AND(E10388="""", F10388&lt;&gt;""""), ""真實收入"",
  TRUE, ""其他""
)"),"其他")</f>
        <v>其他</v>
      </c>
      <c r="K10388" s="270" t="str">
        <f t="shared" si="2"/>
        <v/>
      </c>
      <c r="L10388">
        <f t="shared" si="3"/>
        <v>0</v>
      </c>
    </row>
    <row r="10389">
      <c r="A10389" s="107"/>
      <c r="D10389" s="270"/>
      <c r="H10389" s="106" t="str">
        <f t="shared" si="1"/>
        <v/>
      </c>
      <c r="J10389" t="str">
        <f>IFERROR(__xludf.DUMMYFUNCTION("IFS(
  AND(REGEXMATCH(E10389, ""台銀籌備帳戶|玉山帳戶""), REGEXMATCH(C10389, ""薪資"")), ""分潤支出"",
  AND(REGEXMATCH(E10389, ""Ben帳戶|Elsa帳戶|Ben代墊|Ariel代墊|中信銀行共用""), REGEXMATCH(F10389, ""Ben帳戶|Elsa帳戶|Ben代墊|Ariel代墊|中信銀行共用"")), ""內部轉帳(忽略)"",
  AND(E10389&lt;&gt;"""", F10389&lt;&gt;"&amp;""""", NOT(REGEXMATCH(C10389, ""薪資""))), ""內部轉帳(忽略)"",
  REGEXMATCH(C10389, ""薪資""), ""薪資變動(不計入)"",
  REGEXMATCH(C10389, ""押金""), ""押金往來"",
  AND(E10389&lt;&gt;"""", F10389=""""), ""真實支出"",
  AND(E10389="""", F10389&lt;&gt;""""), ""真實收入"",
  TRUE, ""其他""
)"),"其他")</f>
        <v>其他</v>
      </c>
      <c r="K10389" s="270" t="str">
        <f t="shared" si="2"/>
        <v/>
      </c>
      <c r="L10389">
        <f t="shared" si="3"/>
        <v>0</v>
      </c>
    </row>
    <row r="10390">
      <c r="A10390" s="107"/>
      <c r="D10390" s="270"/>
      <c r="H10390" s="106" t="str">
        <f t="shared" si="1"/>
        <v/>
      </c>
      <c r="J10390" t="str">
        <f>IFERROR(__xludf.DUMMYFUNCTION("IFS(
  AND(REGEXMATCH(E10390, ""台銀籌備帳戶|玉山帳戶""), REGEXMATCH(C10390, ""薪資"")), ""分潤支出"",
  AND(REGEXMATCH(E10390, ""Ben帳戶|Elsa帳戶|Ben代墊|Ariel代墊|中信銀行共用""), REGEXMATCH(F10390, ""Ben帳戶|Elsa帳戶|Ben代墊|Ariel代墊|中信銀行共用"")), ""內部轉帳(忽略)"",
  AND(E10390&lt;&gt;"""", F10390&lt;&gt;"&amp;""""", NOT(REGEXMATCH(C10390, ""薪資""))), ""內部轉帳(忽略)"",
  REGEXMATCH(C10390, ""薪資""), ""薪資變動(不計入)"",
  REGEXMATCH(C10390, ""押金""), ""押金往來"",
  AND(E10390&lt;&gt;"""", F10390=""""), ""真實支出"",
  AND(E10390="""", F10390&lt;&gt;""""), ""真實收入"",
  TRUE, ""其他""
)"),"其他")</f>
        <v>其他</v>
      </c>
      <c r="K10390" s="270" t="str">
        <f t="shared" si="2"/>
        <v/>
      </c>
      <c r="L10390">
        <f t="shared" si="3"/>
        <v>0</v>
      </c>
    </row>
    <row r="10391">
      <c r="A10391" s="107"/>
      <c r="D10391" s="270"/>
      <c r="H10391" s="106" t="str">
        <f t="shared" si="1"/>
        <v/>
      </c>
      <c r="J10391" t="str">
        <f>IFERROR(__xludf.DUMMYFUNCTION("IFS(
  AND(REGEXMATCH(E10391, ""台銀籌備帳戶|玉山帳戶""), REGEXMATCH(C10391, ""薪資"")), ""分潤支出"",
  AND(REGEXMATCH(E10391, ""Ben帳戶|Elsa帳戶|Ben代墊|Ariel代墊|中信銀行共用""), REGEXMATCH(F10391, ""Ben帳戶|Elsa帳戶|Ben代墊|Ariel代墊|中信銀行共用"")), ""內部轉帳(忽略)"",
  AND(E10391&lt;&gt;"""", F10391&lt;&gt;"&amp;""""", NOT(REGEXMATCH(C10391, ""薪資""))), ""內部轉帳(忽略)"",
  REGEXMATCH(C10391, ""薪資""), ""薪資變動(不計入)"",
  REGEXMATCH(C10391, ""押金""), ""押金往來"",
  AND(E10391&lt;&gt;"""", F10391=""""), ""真實支出"",
  AND(E10391="""", F10391&lt;&gt;""""), ""真實收入"",
  TRUE, ""其他""
)"),"其他")</f>
        <v>其他</v>
      </c>
      <c r="K10391" s="270" t="str">
        <f t="shared" si="2"/>
        <v/>
      </c>
      <c r="L10391">
        <f t="shared" si="3"/>
        <v>0</v>
      </c>
    </row>
    <row r="10392">
      <c r="A10392" s="107"/>
      <c r="D10392" s="270"/>
      <c r="H10392" s="106" t="str">
        <f t="shared" si="1"/>
        <v/>
      </c>
      <c r="J10392" t="str">
        <f>IFERROR(__xludf.DUMMYFUNCTION("IFS(
  AND(REGEXMATCH(E10392, ""台銀籌備帳戶|玉山帳戶""), REGEXMATCH(C10392, ""薪資"")), ""分潤支出"",
  AND(REGEXMATCH(E10392, ""Ben帳戶|Elsa帳戶|Ben代墊|Ariel代墊|中信銀行共用""), REGEXMATCH(F10392, ""Ben帳戶|Elsa帳戶|Ben代墊|Ariel代墊|中信銀行共用"")), ""內部轉帳(忽略)"",
  AND(E10392&lt;&gt;"""", F10392&lt;&gt;"&amp;""""", NOT(REGEXMATCH(C10392, ""薪資""))), ""內部轉帳(忽略)"",
  REGEXMATCH(C10392, ""薪資""), ""薪資變動(不計入)"",
  REGEXMATCH(C10392, ""押金""), ""押金往來"",
  AND(E10392&lt;&gt;"""", F10392=""""), ""真實支出"",
  AND(E10392="""", F10392&lt;&gt;""""), ""真實收入"",
  TRUE, ""其他""
)"),"其他")</f>
        <v>其他</v>
      </c>
      <c r="K10392" s="270" t="str">
        <f t="shared" si="2"/>
        <v/>
      </c>
      <c r="L10392">
        <f t="shared" si="3"/>
        <v>0</v>
      </c>
    </row>
    <row r="10393">
      <c r="A10393" s="107"/>
      <c r="D10393" s="270"/>
      <c r="H10393" s="106" t="str">
        <f t="shared" si="1"/>
        <v/>
      </c>
      <c r="J10393" t="str">
        <f>IFERROR(__xludf.DUMMYFUNCTION("IFS(
  AND(REGEXMATCH(E10393, ""台銀籌備帳戶|玉山帳戶""), REGEXMATCH(C10393, ""薪資"")), ""分潤支出"",
  AND(REGEXMATCH(E10393, ""Ben帳戶|Elsa帳戶|Ben代墊|Ariel代墊|中信銀行共用""), REGEXMATCH(F10393, ""Ben帳戶|Elsa帳戶|Ben代墊|Ariel代墊|中信銀行共用"")), ""內部轉帳(忽略)"",
  AND(E10393&lt;&gt;"""", F10393&lt;&gt;"&amp;""""", NOT(REGEXMATCH(C10393, ""薪資""))), ""內部轉帳(忽略)"",
  REGEXMATCH(C10393, ""薪資""), ""薪資變動(不計入)"",
  REGEXMATCH(C10393, ""押金""), ""押金往來"",
  AND(E10393&lt;&gt;"""", F10393=""""), ""真實支出"",
  AND(E10393="""", F10393&lt;&gt;""""), ""真實收入"",
  TRUE, ""其他""
)"),"其他")</f>
        <v>其他</v>
      </c>
      <c r="K10393" s="270" t="str">
        <f t="shared" si="2"/>
        <v/>
      </c>
      <c r="L10393">
        <f t="shared" si="3"/>
        <v>0</v>
      </c>
    </row>
    <row r="10394">
      <c r="A10394" s="107"/>
      <c r="D10394" s="270"/>
      <c r="H10394" s="106" t="str">
        <f t="shared" si="1"/>
        <v/>
      </c>
      <c r="J10394" t="str">
        <f>IFERROR(__xludf.DUMMYFUNCTION("IFS(
  AND(REGEXMATCH(E10394, ""台銀籌備帳戶|玉山帳戶""), REGEXMATCH(C10394, ""薪資"")), ""分潤支出"",
  AND(REGEXMATCH(E10394, ""Ben帳戶|Elsa帳戶|Ben代墊|Ariel代墊|中信銀行共用""), REGEXMATCH(F10394, ""Ben帳戶|Elsa帳戶|Ben代墊|Ariel代墊|中信銀行共用"")), ""內部轉帳(忽略)"",
  AND(E10394&lt;&gt;"""", F10394&lt;&gt;"&amp;""""", NOT(REGEXMATCH(C10394, ""薪資""))), ""內部轉帳(忽略)"",
  REGEXMATCH(C10394, ""薪資""), ""薪資變動(不計入)"",
  REGEXMATCH(C10394, ""押金""), ""押金往來"",
  AND(E10394&lt;&gt;"""", F10394=""""), ""真實支出"",
  AND(E10394="""", F10394&lt;&gt;""""), ""真實收入"",
  TRUE, ""其他""
)"),"其他")</f>
        <v>其他</v>
      </c>
      <c r="K10394" s="270" t="str">
        <f t="shared" si="2"/>
        <v/>
      </c>
      <c r="L10394">
        <f t="shared" si="3"/>
        <v>0</v>
      </c>
    </row>
    <row r="10395">
      <c r="A10395" s="107"/>
      <c r="D10395" s="270"/>
      <c r="H10395" s="106" t="str">
        <f t="shared" si="1"/>
        <v/>
      </c>
      <c r="J10395" t="str">
        <f>IFERROR(__xludf.DUMMYFUNCTION("IFS(
  AND(REGEXMATCH(E10395, ""台銀籌備帳戶|玉山帳戶""), REGEXMATCH(C10395, ""薪資"")), ""分潤支出"",
  AND(REGEXMATCH(E10395, ""Ben帳戶|Elsa帳戶|Ben代墊|Ariel代墊|中信銀行共用""), REGEXMATCH(F10395, ""Ben帳戶|Elsa帳戶|Ben代墊|Ariel代墊|中信銀行共用"")), ""內部轉帳(忽略)"",
  AND(E10395&lt;&gt;"""", F10395&lt;&gt;"&amp;""""", NOT(REGEXMATCH(C10395, ""薪資""))), ""內部轉帳(忽略)"",
  REGEXMATCH(C10395, ""薪資""), ""薪資變動(不計入)"",
  REGEXMATCH(C10395, ""押金""), ""押金往來"",
  AND(E10395&lt;&gt;"""", F10395=""""), ""真實支出"",
  AND(E10395="""", F10395&lt;&gt;""""), ""真實收入"",
  TRUE, ""其他""
)"),"其他")</f>
        <v>其他</v>
      </c>
      <c r="K10395" s="270" t="str">
        <f t="shared" si="2"/>
        <v/>
      </c>
      <c r="L10395">
        <f t="shared" si="3"/>
        <v>0</v>
      </c>
    </row>
    <row r="10396">
      <c r="A10396" s="107"/>
      <c r="D10396" s="270"/>
      <c r="H10396" s="106" t="str">
        <f t="shared" si="1"/>
        <v/>
      </c>
      <c r="J10396" t="str">
        <f>IFERROR(__xludf.DUMMYFUNCTION("IFS(
  AND(REGEXMATCH(E10396, ""台銀籌備帳戶|玉山帳戶""), REGEXMATCH(C10396, ""薪資"")), ""分潤支出"",
  AND(REGEXMATCH(E10396, ""Ben帳戶|Elsa帳戶|Ben代墊|Ariel代墊|中信銀行共用""), REGEXMATCH(F10396, ""Ben帳戶|Elsa帳戶|Ben代墊|Ariel代墊|中信銀行共用"")), ""內部轉帳(忽略)"",
  AND(E10396&lt;&gt;"""", F10396&lt;&gt;"&amp;""""", NOT(REGEXMATCH(C10396, ""薪資""))), ""內部轉帳(忽略)"",
  REGEXMATCH(C10396, ""薪資""), ""薪資變動(不計入)"",
  REGEXMATCH(C10396, ""押金""), ""押金往來"",
  AND(E10396&lt;&gt;"""", F10396=""""), ""真實支出"",
  AND(E10396="""", F10396&lt;&gt;""""), ""真實收入"",
  TRUE, ""其他""
)"),"其他")</f>
        <v>其他</v>
      </c>
      <c r="K10396" s="270" t="str">
        <f t="shared" si="2"/>
        <v/>
      </c>
      <c r="L10396">
        <f t="shared" si="3"/>
        <v>0</v>
      </c>
    </row>
    <row r="10397">
      <c r="A10397" s="107"/>
      <c r="D10397" s="270"/>
      <c r="H10397" s="106" t="str">
        <f t="shared" si="1"/>
        <v/>
      </c>
      <c r="J10397" t="str">
        <f>IFERROR(__xludf.DUMMYFUNCTION("IFS(
  AND(REGEXMATCH(E10397, ""台銀籌備帳戶|玉山帳戶""), REGEXMATCH(C10397, ""薪資"")), ""分潤支出"",
  AND(REGEXMATCH(E10397, ""Ben帳戶|Elsa帳戶|Ben代墊|Ariel代墊|中信銀行共用""), REGEXMATCH(F10397, ""Ben帳戶|Elsa帳戶|Ben代墊|Ariel代墊|中信銀行共用"")), ""內部轉帳(忽略)"",
  AND(E10397&lt;&gt;"""", F10397&lt;&gt;"&amp;""""", NOT(REGEXMATCH(C10397, ""薪資""))), ""內部轉帳(忽略)"",
  REGEXMATCH(C10397, ""薪資""), ""薪資變動(不計入)"",
  REGEXMATCH(C10397, ""押金""), ""押金往來"",
  AND(E10397&lt;&gt;"""", F10397=""""), ""真實支出"",
  AND(E10397="""", F10397&lt;&gt;""""), ""真實收入"",
  TRUE, ""其他""
)"),"其他")</f>
        <v>其他</v>
      </c>
      <c r="K10397" s="270" t="str">
        <f t="shared" si="2"/>
        <v/>
      </c>
      <c r="L10397">
        <f t="shared" si="3"/>
        <v>0</v>
      </c>
    </row>
    <row r="10398">
      <c r="A10398" s="107"/>
      <c r="D10398" s="270"/>
      <c r="H10398" s="106" t="str">
        <f t="shared" si="1"/>
        <v/>
      </c>
      <c r="J10398" t="str">
        <f>IFERROR(__xludf.DUMMYFUNCTION("IFS(
  AND(REGEXMATCH(E10398, ""台銀籌備帳戶|玉山帳戶""), REGEXMATCH(C10398, ""薪資"")), ""分潤支出"",
  AND(REGEXMATCH(E10398, ""Ben帳戶|Elsa帳戶|Ben代墊|Ariel代墊|中信銀行共用""), REGEXMATCH(F10398, ""Ben帳戶|Elsa帳戶|Ben代墊|Ariel代墊|中信銀行共用"")), ""內部轉帳(忽略)"",
  AND(E10398&lt;&gt;"""", F10398&lt;&gt;"&amp;""""", NOT(REGEXMATCH(C10398, ""薪資""))), ""內部轉帳(忽略)"",
  REGEXMATCH(C10398, ""薪資""), ""薪資變動(不計入)"",
  REGEXMATCH(C10398, ""押金""), ""押金往來"",
  AND(E10398&lt;&gt;"""", F10398=""""), ""真實支出"",
  AND(E10398="""", F10398&lt;&gt;""""), ""真實收入"",
  TRUE, ""其他""
)"),"其他")</f>
        <v>其他</v>
      </c>
      <c r="K10398" s="270" t="str">
        <f t="shared" si="2"/>
        <v/>
      </c>
      <c r="L10398">
        <f t="shared" si="3"/>
        <v>0</v>
      </c>
    </row>
    <row r="10399">
      <c r="A10399" s="107"/>
      <c r="D10399" s="270"/>
      <c r="H10399" s="106" t="str">
        <f t="shared" si="1"/>
        <v/>
      </c>
      <c r="J10399" t="str">
        <f>IFERROR(__xludf.DUMMYFUNCTION("IFS(
  AND(REGEXMATCH(E10399, ""台銀籌備帳戶|玉山帳戶""), REGEXMATCH(C10399, ""薪資"")), ""分潤支出"",
  AND(REGEXMATCH(E10399, ""Ben帳戶|Elsa帳戶|Ben代墊|Ariel代墊|中信銀行共用""), REGEXMATCH(F10399, ""Ben帳戶|Elsa帳戶|Ben代墊|Ariel代墊|中信銀行共用"")), ""內部轉帳(忽略)"",
  AND(E10399&lt;&gt;"""", F10399&lt;&gt;"&amp;""""", NOT(REGEXMATCH(C10399, ""薪資""))), ""內部轉帳(忽略)"",
  REGEXMATCH(C10399, ""薪資""), ""薪資變動(不計入)"",
  REGEXMATCH(C10399, ""押金""), ""押金往來"",
  AND(E10399&lt;&gt;"""", F10399=""""), ""真實支出"",
  AND(E10399="""", F10399&lt;&gt;""""), ""真實收入"",
  TRUE, ""其他""
)"),"其他")</f>
        <v>其他</v>
      </c>
      <c r="K10399" s="270" t="str">
        <f t="shared" si="2"/>
        <v/>
      </c>
      <c r="L10399">
        <f t="shared" si="3"/>
        <v>0</v>
      </c>
    </row>
    <row r="10400">
      <c r="A10400" s="107"/>
      <c r="D10400" s="270"/>
      <c r="H10400" s="106" t="str">
        <f t="shared" si="1"/>
        <v/>
      </c>
      <c r="J10400" t="str">
        <f>IFERROR(__xludf.DUMMYFUNCTION("IFS(
  AND(REGEXMATCH(E10400, ""台銀籌備帳戶|玉山帳戶""), REGEXMATCH(C10400, ""薪資"")), ""分潤支出"",
  AND(REGEXMATCH(E10400, ""Ben帳戶|Elsa帳戶|Ben代墊|Ariel代墊|中信銀行共用""), REGEXMATCH(F10400, ""Ben帳戶|Elsa帳戶|Ben代墊|Ariel代墊|中信銀行共用"")), ""內部轉帳(忽略)"",
  AND(E10400&lt;&gt;"""", F10400&lt;&gt;"&amp;""""", NOT(REGEXMATCH(C10400, ""薪資""))), ""內部轉帳(忽略)"",
  REGEXMATCH(C10400, ""薪資""), ""薪資變動(不計入)"",
  REGEXMATCH(C10400, ""押金""), ""押金往來"",
  AND(E10400&lt;&gt;"""", F10400=""""), ""真實支出"",
  AND(E10400="""", F10400&lt;&gt;""""), ""真實收入"",
  TRUE, ""其他""
)"),"其他")</f>
        <v>其他</v>
      </c>
      <c r="K10400" s="270" t="str">
        <f t="shared" si="2"/>
        <v/>
      </c>
      <c r="L10400">
        <f t="shared" si="3"/>
        <v>0</v>
      </c>
    </row>
    <row r="10401">
      <c r="A10401" s="107"/>
      <c r="D10401" s="270"/>
      <c r="H10401" s="106" t="str">
        <f t="shared" si="1"/>
        <v/>
      </c>
      <c r="J10401" t="str">
        <f>IFERROR(__xludf.DUMMYFUNCTION("IFS(
  AND(REGEXMATCH(E10401, ""台銀籌備帳戶|玉山帳戶""), REGEXMATCH(C10401, ""薪資"")), ""分潤支出"",
  AND(REGEXMATCH(E10401, ""Ben帳戶|Elsa帳戶|Ben代墊|Ariel代墊|中信銀行共用""), REGEXMATCH(F10401, ""Ben帳戶|Elsa帳戶|Ben代墊|Ariel代墊|中信銀行共用"")), ""內部轉帳(忽略)"",
  AND(E10401&lt;&gt;"""", F10401&lt;&gt;"&amp;""""", NOT(REGEXMATCH(C10401, ""薪資""))), ""內部轉帳(忽略)"",
  REGEXMATCH(C10401, ""薪資""), ""薪資變動(不計入)"",
  REGEXMATCH(C10401, ""押金""), ""押金往來"",
  AND(E10401&lt;&gt;"""", F10401=""""), ""真實支出"",
  AND(E10401="""", F10401&lt;&gt;""""), ""真實收入"",
  TRUE, ""其他""
)"),"其他")</f>
        <v>其他</v>
      </c>
      <c r="K10401" s="270" t="str">
        <f t="shared" si="2"/>
        <v/>
      </c>
      <c r="L10401">
        <f t="shared" si="3"/>
        <v>0</v>
      </c>
    </row>
    <row r="10402">
      <c r="A10402" s="107"/>
      <c r="D10402" s="270"/>
      <c r="H10402" s="106" t="str">
        <f t="shared" si="1"/>
        <v/>
      </c>
      <c r="J10402" t="str">
        <f>IFERROR(__xludf.DUMMYFUNCTION("IFS(
  AND(REGEXMATCH(E10402, ""台銀籌備帳戶|玉山帳戶""), REGEXMATCH(C10402, ""薪資"")), ""分潤支出"",
  AND(REGEXMATCH(E10402, ""Ben帳戶|Elsa帳戶|Ben代墊|Ariel代墊|中信銀行共用""), REGEXMATCH(F10402, ""Ben帳戶|Elsa帳戶|Ben代墊|Ariel代墊|中信銀行共用"")), ""內部轉帳(忽略)"",
  AND(E10402&lt;&gt;"""", F10402&lt;&gt;"&amp;""""", NOT(REGEXMATCH(C10402, ""薪資""))), ""內部轉帳(忽略)"",
  REGEXMATCH(C10402, ""薪資""), ""薪資變動(不計入)"",
  REGEXMATCH(C10402, ""押金""), ""押金往來"",
  AND(E10402&lt;&gt;"""", F10402=""""), ""真實支出"",
  AND(E10402="""", F10402&lt;&gt;""""), ""真實收入"",
  TRUE, ""其他""
)"),"其他")</f>
        <v>其他</v>
      </c>
      <c r="K10402" s="270" t="str">
        <f t="shared" si="2"/>
        <v/>
      </c>
      <c r="L10402">
        <f t="shared" si="3"/>
        <v>0</v>
      </c>
    </row>
    <row r="10403">
      <c r="A10403" s="107"/>
      <c r="D10403" s="270"/>
      <c r="H10403" s="106" t="str">
        <f t="shared" si="1"/>
        <v/>
      </c>
      <c r="J10403" t="str">
        <f>IFERROR(__xludf.DUMMYFUNCTION("IFS(
  AND(REGEXMATCH(E10403, ""台銀籌備帳戶|玉山帳戶""), REGEXMATCH(C10403, ""薪資"")), ""分潤支出"",
  AND(REGEXMATCH(E10403, ""Ben帳戶|Elsa帳戶|Ben代墊|Ariel代墊|中信銀行共用""), REGEXMATCH(F10403, ""Ben帳戶|Elsa帳戶|Ben代墊|Ariel代墊|中信銀行共用"")), ""內部轉帳(忽略)"",
  AND(E10403&lt;&gt;"""", F10403&lt;&gt;"&amp;""""", NOT(REGEXMATCH(C10403, ""薪資""))), ""內部轉帳(忽略)"",
  REGEXMATCH(C10403, ""薪資""), ""薪資變動(不計入)"",
  REGEXMATCH(C10403, ""押金""), ""押金往來"",
  AND(E10403&lt;&gt;"""", F10403=""""), ""真實支出"",
  AND(E10403="""", F10403&lt;&gt;""""), ""真實收入"",
  TRUE, ""其他""
)"),"其他")</f>
        <v>其他</v>
      </c>
      <c r="K10403" s="270" t="str">
        <f t="shared" si="2"/>
        <v/>
      </c>
      <c r="L10403">
        <f t="shared" si="3"/>
        <v>0</v>
      </c>
    </row>
    <row r="10404">
      <c r="A10404" s="107"/>
      <c r="D10404" s="270"/>
      <c r="H10404" s="106" t="str">
        <f t="shared" si="1"/>
        <v/>
      </c>
      <c r="J10404" t="str">
        <f>IFERROR(__xludf.DUMMYFUNCTION("IFS(
  AND(REGEXMATCH(E10404, ""台銀籌備帳戶|玉山帳戶""), REGEXMATCH(C10404, ""薪資"")), ""分潤支出"",
  AND(REGEXMATCH(E10404, ""Ben帳戶|Elsa帳戶|Ben代墊|Ariel代墊|中信銀行共用""), REGEXMATCH(F10404, ""Ben帳戶|Elsa帳戶|Ben代墊|Ariel代墊|中信銀行共用"")), ""內部轉帳(忽略)"",
  AND(E10404&lt;&gt;"""", F10404&lt;&gt;"&amp;""""", NOT(REGEXMATCH(C10404, ""薪資""))), ""內部轉帳(忽略)"",
  REGEXMATCH(C10404, ""薪資""), ""薪資變動(不計入)"",
  REGEXMATCH(C10404, ""押金""), ""押金往來"",
  AND(E10404&lt;&gt;"""", F10404=""""), ""真實支出"",
  AND(E10404="""", F10404&lt;&gt;""""), ""真實收入"",
  TRUE, ""其他""
)"),"其他")</f>
        <v>其他</v>
      </c>
      <c r="K10404" s="270" t="str">
        <f t="shared" si="2"/>
        <v/>
      </c>
      <c r="L10404">
        <f t="shared" si="3"/>
        <v>0</v>
      </c>
    </row>
    <row r="10405">
      <c r="A10405" s="107"/>
      <c r="D10405" s="270"/>
      <c r="H10405" s="106" t="str">
        <f t="shared" si="1"/>
        <v/>
      </c>
      <c r="J10405" t="str">
        <f>IFERROR(__xludf.DUMMYFUNCTION("IFS(
  AND(REGEXMATCH(E10405, ""台銀籌備帳戶|玉山帳戶""), REGEXMATCH(C10405, ""薪資"")), ""分潤支出"",
  AND(REGEXMATCH(E10405, ""Ben帳戶|Elsa帳戶|Ben代墊|Ariel代墊|中信銀行共用""), REGEXMATCH(F10405, ""Ben帳戶|Elsa帳戶|Ben代墊|Ariel代墊|中信銀行共用"")), ""內部轉帳(忽略)"",
  AND(E10405&lt;&gt;"""", F10405&lt;&gt;"&amp;""""", NOT(REGEXMATCH(C10405, ""薪資""))), ""內部轉帳(忽略)"",
  REGEXMATCH(C10405, ""薪資""), ""薪資變動(不計入)"",
  REGEXMATCH(C10405, ""押金""), ""押金往來"",
  AND(E10405&lt;&gt;"""", F10405=""""), ""真實支出"",
  AND(E10405="""", F10405&lt;&gt;""""), ""真實收入"",
  TRUE, ""其他""
)"),"其他")</f>
        <v>其他</v>
      </c>
      <c r="K10405" s="270" t="str">
        <f t="shared" si="2"/>
        <v/>
      </c>
      <c r="L10405">
        <f t="shared" si="3"/>
        <v>0</v>
      </c>
    </row>
    <row r="10406">
      <c r="A10406" s="107"/>
      <c r="D10406" s="270"/>
      <c r="H10406" s="106" t="str">
        <f t="shared" si="1"/>
        <v/>
      </c>
      <c r="J10406" t="str">
        <f>IFERROR(__xludf.DUMMYFUNCTION("IFS(
  AND(REGEXMATCH(E10406, ""台銀籌備帳戶|玉山帳戶""), REGEXMATCH(C10406, ""薪資"")), ""分潤支出"",
  AND(REGEXMATCH(E10406, ""Ben帳戶|Elsa帳戶|Ben代墊|Ariel代墊|中信銀行共用""), REGEXMATCH(F10406, ""Ben帳戶|Elsa帳戶|Ben代墊|Ariel代墊|中信銀行共用"")), ""內部轉帳(忽略)"",
  AND(E10406&lt;&gt;"""", F10406&lt;&gt;"&amp;""""", NOT(REGEXMATCH(C10406, ""薪資""))), ""內部轉帳(忽略)"",
  REGEXMATCH(C10406, ""薪資""), ""薪資變動(不計入)"",
  REGEXMATCH(C10406, ""押金""), ""押金往來"",
  AND(E10406&lt;&gt;"""", F10406=""""), ""真實支出"",
  AND(E10406="""", F10406&lt;&gt;""""), ""真實收入"",
  TRUE, ""其他""
)"),"其他")</f>
        <v>其他</v>
      </c>
      <c r="K10406" s="270" t="str">
        <f t="shared" si="2"/>
        <v/>
      </c>
      <c r="L10406">
        <f t="shared" si="3"/>
        <v>0</v>
      </c>
    </row>
    <row r="10407">
      <c r="A10407" s="107"/>
      <c r="D10407" s="270"/>
      <c r="H10407" s="106" t="str">
        <f t="shared" si="1"/>
        <v/>
      </c>
      <c r="J10407" t="str">
        <f>IFERROR(__xludf.DUMMYFUNCTION("IFS(
  AND(REGEXMATCH(E10407, ""台銀籌備帳戶|玉山帳戶""), REGEXMATCH(C10407, ""薪資"")), ""分潤支出"",
  AND(REGEXMATCH(E10407, ""Ben帳戶|Elsa帳戶|Ben代墊|Ariel代墊|中信銀行共用""), REGEXMATCH(F10407, ""Ben帳戶|Elsa帳戶|Ben代墊|Ariel代墊|中信銀行共用"")), ""內部轉帳(忽略)"",
  AND(E10407&lt;&gt;"""", F10407&lt;&gt;"&amp;""""", NOT(REGEXMATCH(C10407, ""薪資""))), ""內部轉帳(忽略)"",
  REGEXMATCH(C10407, ""薪資""), ""薪資變動(不計入)"",
  REGEXMATCH(C10407, ""押金""), ""押金往來"",
  AND(E10407&lt;&gt;"""", F10407=""""), ""真實支出"",
  AND(E10407="""", F10407&lt;&gt;""""), ""真實收入"",
  TRUE, ""其他""
)"),"其他")</f>
        <v>其他</v>
      </c>
      <c r="K10407" s="270" t="str">
        <f t="shared" si="2"/>
        <v/>
      </c>
      <c r="L10407">
        <f t="shared" si="3"/>
        <v>0</v>
      </c>
    </row>
    <row r="10408">
      <c r="A10408" s="107"/>
      <c r="D10408" s="270"/>
      <c r="H10408" s="106" t="str">
        <f t="shared" si="1"/>
        <v/>
      </c>
      <c r="J10408" t="str">
        <f>IFERROR(__xludf.DUMMYFUNCTION("IFS(
  AND(REGEXMATCH(E10408, ""台銀籌備帳戶|玉山帳戶""), REGEXMATCH(C10408, ""薪資"")), ""分潤支出"",
  AND(REGEXMATCH(E10408, ""Ben帳戶|Elsa帳戶|Ben代墊|Ariel代墊|中信銀行共用""), REGEXMATCH(F10408, ""Ben帳戶|Elsa帳戶|Ben代墊|Ariel代墊|中信銀行共用"")), ""內部轉帳(忽略)"",
  AND(E10408&lt;&gt;"""", F10408&lt;&gt;"&amp;""""", NOT(REGEXMATCH(C10408, ""薪資""))), ""內部轉帳(忽略)"",
  REGEXMATCH(C10408, ""薪資""), ""薪資變動(不計入)"",
  REGEXMATCH(C10408, ""押金""), ""押金往來"",
  AND(E10408&lt;&gt;"""", F10408=""""), ""真實支出"",
  AND(E10408="""", F10408&lt;&gt;""""), ""真實收入"",
  TRUE, ""其他""
)"),"其他")</f>
        <v>其他</v>
      </c>
      <c r="K10408" s="270" t="str">
        <f t="shared" si="2"/>
        <v/>
      </c>
      <c r="L10408">
        <f t="shared" si="3"/>
        <v>0</v>
      </c>
    </row>
    <row r="10409">
      <c r="A10409" s="107"/>
      <c r="D10409" s="270"/>
      <c r="H10409" s="106" t="str">
        <f t="shared" si="1"/>
        <v/>
      </c>
      <c r="J10409" t="str">
        <f>IFERROR(__xludf.DUMMYFUNCTION("IFS(
  AND(REGEXMATCH(E10409, ""台銀籌備帳戶|玉山帳戶""), REGEXMATCH(C10409, ""薪資"")), ""分潤支出"",
  AND(REGEXMATCH(E10409, ""Ben帳戶|Elsa帳戶|Ben代墊|Ariel代墊|中信銀行共用""), REGEXMATCH(F10409, ""Ben帳戶|Elsa帳戶|Ben代墊|Ariel代墊|中信銀行共用"")), ""內部轉帳(忽略)"",
  AND(E10409&lt;&gt;"""", F10409&lt;&gt;"&amp;""""", NOT(REGEXMATCH(C10409, ""薪資""))), ""內部轉帳(忽略)"",
  REGEXMATCH(C10409, ""薪資""), ""薪資變動(不計入)"",
  REGEXMATCH(C10409, ""押金""), ""押金往來"",
  AND(E10409&lt;&gt;"""", F10409=""""), ""真實支出"",
  AND(E10409="""", F10409&lt;&gt;""""), ""真實收入"",
  TRUE, ""其他""
)"),"其他")</f>
        <v>其他</v>
      </c>
      <c r="K10409" s="270" t="str">
        <f t="shared" si="2"/>
        <v/>
      </c>
      <c r="L10409">
        <f t="shared" si="3"/>
        <v>0</v>
      </c>
    </row>
    <row r="10410">
      <c r="A10410" s="107"/>
      <c r="D10410" s="270"/>
      <c r="H10410" s="106" t="str">
        <f t="shared" si="1"/>
        <v/>
      </c>
      <c r="J10410" t="str">
        <f>IFERROR(__xludf.DUMMYFUNCTION("IFS(
  AND(REGEXMATCH(E10410, ""台銀籌備帳戶|玉山帳戶""), REGEXMATCH(C10410, ""薪資"")), ""分潤支出"",
  AND(REGEXMATCH(E10410, ""Ben帳戶|Elsa帳戶|Ben代墊|Ariel代墊|中信銀行共用""), REGEXMATCH(F10410, ""Ben帳戶|Elsa帳戶|Ben代墊|Ariel代墊|中信銀行共用"")), ""內部轉帳(忽略)"",
  AND(E10410&lt;&gt;"""", F10410&lt;&gt;"&amp;""""", NOT(REGEXMATCH(C10410, ""薪資""))), ""內部轉帳(忽略)"",
  REGEXMATCH(C10410, ""薪資""), ""薪資變動(不計入)"",
  REGEXMATCH(C10410, ""押金""), ""押金往來"",
  AND(E10410&lt;&gt;"""", F10410=""""), ""真實支出"",
  AND(E10410="""", F10410&lt;&gt;""""), ""真實收入"",
  TRUE, ""其他""
)"),"其他")</f>
        <v>其他</v>
      </c>
      <c r="K10410" s="270" t="str">
        <f t="shared" si="2"/>
        <v/>
      </c>
      <c r="L10410">
        <f t="shared" si="3"/>
        <v>0</v>
      </c>
    </row>
    <row r="10411">
      <c r="A10411" s="107"/>
      <c r="D10411" s="270"/>
      <c r="H10411" s="106" t="str">
        <f t="shared" si="1"/>
        <v/>
      </c>
      <c r="J10411" t="str">
        <f>IFERROR(__xludf.DUMMYFUNCTION("IFS(
  AND(REGEXMATCH(E10411, ""台銀籌備帳戶|玉山帳戶""), REGEXMATCH(C10411, ""薪資"")), ""分潤支出"",
  AND(REGEXMATCH(E10411, ""Ben帳戶|Elsa帳戶|Ben代墊|Ariel代墊|中信銀行共用""), REGEXMATCH(F10411, ""Ben帳戶|Elsa帳戶|Ben代墊|Ariel代墊|中信銀行共用"")), ""內部轉帳(忽略)"",
  AND(E10411&lt;&gt;"""", F10411&lt;&gt;"&amp;""""", NOT(REGEXMATCH(C10411, ""薪資""))), ""內部轉帳(忽略)"",
  REGEXMATCH(C10411, ""薪資""), ""薪資變動(不計入)"",
  REGEXMATCH(C10411, ""押金""), ""押金往來"",
  AND(E10411&lt;&gt;"""", F10411=""""), ""真實支出"",
  AND(E10411="""", F10411&lt;&gt;""""), ""真實收入"",
  TRUE, ""其他""
)"),"其他")</f>
        <v>其他</v>
      </c>
      <c r="K10411" s="270" t="str">
        <f t="shared" si="2"/>
        <v/>
      </c>
      <c r="L10411">
        <f t="shared" si="3"/>
        <v>0</v>
      </c>
    </row>
    <row r="10412">
      <c r="A10412" s="107"/>
      <c r="D10412" s="270"/>
      <c r="H10412" s="106" t="str">
        <f t="shared" si="1"/>
        <v/>
      </c>
      <c r="J10412" t="str">
        <f>IFERROR(__xludf.DUMMYFUNCTION("IFS(
  AND(REGEXMATCH(E10412, ""台銀籌備帳戶|玉山帳戶""), REGEXMATCH(C10412, ""薪資"")), ""分潤支出"",
  AND(REGEXMATCH(E10412, ""Ben帳戶|Elsa帳戶|Ben代墊|Ariel代墊|中信銀行共用""), REGEXMATCH(F10412, ""Ben帳戶|Elsa帳戶|Ben代墊|Ariel代墊|中信銀行共用"")), ""內部轉帳(忽略)"",
  AND(E10412&lt;&gt;"""", F10412&lt;&gt;"&amp;""""", NOT(REGEXMATCH(C10412, ""薪資""))), ""內部轉帳(忽略)"",
  REGEXMATCH(C10412, ""薪資""), ""薪資變動(不計入)"",
  REGEXMATCH(C10412, ""押金""), ""押金往來"",
  AND(E10412&lt;&gt;"""", F10412=""""), ""真實支出"",
  AND(E10412="""", F10412&lt;&gt;""""), ""真實收入"",
  TRUE, ""其他""
)"),"其他")</f>
        <v>其他</v>
      </c>
      <c r="K10412" s="270" t="str">
        <f t="shared" si="2"/>
        <v/>
      </c>
      <c r="L10412">
        <f t="shared" si="3"/>
        <v>0</v>
      </c>
    </row>
    <row r="10413">
      <c r="A10413" s="107"/>
      <c r="D10413" s="270"/>
      <c r="H10413" s="106" t="str">
        <f t="shared" si="1"/>
        <v/>
      </c>
      <c r="J10413" t="str">
        <f>IFERROR(__xludf.DUMMYFUNCTION("IFS(
  AND(REGEXMATCH(E10413, ""台銀籌備帳戶|玉山帳戶""), REGEXMATCH(C10413, ""薪資"")), ""分潤支出"",
  AND(REGEXMATCH(E10413, ""Ben帳戶|Elsa帳戶|Ben代墊|Ariel代墊|中信銀行共用""), REGEXMATCH(F10413, ""Ben帳戶|Elsa帳戶|Ben代墊|Ariel代墊|中信銀行共用"")), ""內部轉帳(忽略)"",
  AND(E10413&lt;&gt;"""", F10413&lt;&gt;"&amp;""""", NOT(REGEXMATCH(C10413, ""薪資""))), ""內部轉帳(忽略)"",
  REGEXMATCH(C10413, ""薪資""), ""薪資變動(不計入)"",
  REGEXMATCH(C10413, ""押金""), ""押金往來"",
  AND(E10413&lt;&gt;"""", F10413=""""), ""真實支出"",
  AND(E10413="""", F10413&lt;&gt;""""), ""真實收入"",
  TRUE, ""其他""
)"),"其他")</f>
        <v>其他</v>
      </c>
      <c r="K10413" s="270" t="str">
        <f t="shared" si="2"/>
        <v/>
      </c>
      <c r="L10413">
        <f t="shared" si="3"/>
        <v>0</v>
      </c>
    </row>
    <row r="10414">
      <c r="A10414" s="107"/>
      <c r="D10414" s="270"/>
      <c r="H10414" s="106" t="str">
        <f t="shared" si="1"/>
        <v/>
      </c>
      <c r="J10414" t="str">
        <f>IFERROR(__xludf.DUMMYFUNCTION("IFS(
  AND(REGEXMATCH(E10414, ""台銀籌備帳戶|玉山帳戶""), REGEXMATCH(C10414, ""薪資"")), ""分潤支出"",
  AND(REGEXMATCH(E10414, ""Ben帳戶|Elsa帳戶|Ben代墊|Ariel代墊|中信銀行共用""), REGEXMATCH(F10414, ""Ben帳戶|Elsa帳戶|Ben代墊|Ariel代墊|中信銀行共用"")), ""內部轉帳(忽略)"",
  AND(E10414&lt;&gt;"""", F10414&lt;&gt;"&amp;""""", NOT(REGEXMATCH(C10414, ""薪資""))), ""內部轉帳(忽略)"",
  REGEXMATCH(C10414, ""薪資""), ""薪資變動(不計入)"",
  REGEXMATCH(C10414, ""押金""), ""押金往來"",
  AND(E10414&lt;&gt;"""", F10414=""""), ""真實支出"",
  AND(E10414="""", F10414&lt;&gt;""""), ""真實收入"",
  TRUE, ""其他""
)"),"其他")</f>
        <v>其他</v>
      </c>
      <c r="K10414" s="270" t="str">
        <f t="shared" si="2"/>
        <v/>
      </c>
      <c r="L10414">
        <f t="shared" si="3"/>
        <v>0</v>
      </c>
    </row>
    <row r="10415">
      <c r="A10415" s="107"/>
      <c r="D10415" s="270"/>
      <c r="H10415" s="106" t="str">
        <f t="shared" si="1"/>
        <v/>
      </c>
      <c r="J10415" t="str">
        <f>IFERROR(__xludf.DUMMYFUNCTION("IFS(
  AND(REGEXMATCH(E10415, ""台銀籌備帳戶|玉山帳戶""), REGEXMATCH(C10415, ""薪資"")), ""分潤支出"",
  AND(REGEXMATCH(E10415, ""Ben帳戶|Elsa帳戶|Ben代墊|Ariel代墊|中信銀行共用""), REGEXMATCH(F10415, ""Ben帳戶|Elsa帳戶|Ben代墊|Ariel代墊|中信銀行共用"")), ""內部轉帳(忽略)"",
  AND(E10415&lt;&gt;"""", F10415&lt;&gt;"&amp;""""", NOT(REGEXMATCH(C10415, ""薪資""))), ""內部轉帳(忽略)"",
  REGEXMATCH(C10415, ""薪資""), ""薪資變動(不計入)"",
  REGEXMATCH(C10415, ""押金""), ""押金往來"",
  AND(E10415&lt;&gt;"""", F10415=""""), ""真實支出"",
  AND(E10415="""", F10415&lt;&gt;""""), ""真實收入"",
  TRUE, ""其他""
)"),"其他")</f>
        <v>其他</v>
      </c>
      <c r="K10415" s="270" t="str">
        <f t="shared" si="2"/>
        <v/>
      </c>
      <c r="L10415">
        <f t="shared" si="3"/>
        <v>0</v>
      </c>
    </row>
    <row r="10416">
      <c r="A10416" s="107"/>
      <c r="D10416" s="270"/>
      <c r="H10416" s="106" t="str">
        <f t="shared" si="1"/>
        <v/>
      </c>
      <c r="J10416" t="str">
        <f>IFERROR(__xludf.DUMMYFUNCTION("IFS(
  AND(REGEXMATCH(E10416, ""台銀籌備帳戶|玉山帳戶""), REGEXMATCH(C10416, ""薪資"")), ""分潤支出"",
  AND(REGEXMATCH(E10416, ""Ben帳戶|Elsa帳戶|Ben代墊|Ariel代墊|中信銀行共用""), REGEXMATCH(F10416, ""Ben帳戶|Elsa帳戶|Ben代墊|Ariel代墊|中信銀行共用"")), ""內部轉帳(忽略)"",
  AND(E10416&lt;&gt;"""", F10416&lt;&gt;"&amp;""""", NOT(REGEXMATCH(C10416, ""薪資""))), ""內部轉帳(忽略)"",
  REGEXMATCH(C10416, ""薪資""), ""薪資變動(不計入)"",
  REGEXMATCH(C10416, ""押金""), ""押金往來"",
  AND(E10416&lt;&gt;"""", F10416=""""), ""真實支出"",
  AND(E10416="""", F10416&lt;&gt;""""), ""真實收入"",
  TRUE, ""其他""
)"),"其他")</f>
        <v>其他</v>
      </c>
      <c r="K10416" s="270" t="str">
        <f t="shared" si="2"/>
        <v/>
      </c>
      <c r="L10416">
        <f t="shared" si="3"/>
        <v>0</v>
      </c>
    </row>
    <row r="10417">
      <c r="A10417" s="107"/>
      <c r="D10417" s="270"/>
      <c r="H10417" s="106" t="str">
        <f t="shared" si="1"/>
        <v/>
      </c>
      <c r="J10417" t="str">
        <f>IFERROR(__xludf.DUMMYFUNCTION("IFS(
  AND(REGEXMATCH(E10417, ""台銀籌備帳戶|玉山帳戶""), REGEXMATCH(C10417, ""薪資"")), ""分潤支出"",
  AND(REGEXMATCH(E10417, ""Ben帳戶|Elsa帳戶|Ben代墊|Ariel代墊|中信銀行共用""), REGEXMATCH(F10417, ""Ben帳戶|Elsa帳戶|Ben代墊|Ariel代墊|中信銀行共用"")), ""內部轉帳(忽略)"",
  AND(E10417&lt;&gt;"""", F10417&lt;&gt;"&amp;""""", NOT(REGEXMATCH(C10417, ""薪資""))), ""內部轉帳(忽略)"",
  REGEXMATCH(C10417, ""薪資""), ""薪資變動(不計入)"",
  REGEXMATCH(C10417, ""押金""), ""押金往來"",
  AND(E10417&lt;&gt;"""", F10417=""""), ""真實支出"",
  AND(E10417="""", F10417&lt;&gt;""""), ""真實收入"",
  TRUE, ""其他""
)"),"其他")</f>
        <v>其他</v>
      </c>
      <c r="K10417" s="270" t="str">
        <f t="shared" si="2"/>
        <v/>
      </c>
      <c r="L10417">
        <f t="shared" si="3"/>
        <v>0</v>
      </c>
    </row>
    <row r="10418">
      <c r="A10418" s="107"/>
      <c r="D10418" s="270"/>
      <c r="H10418" s="106" t="str">
        <f t="shared" si="1"/>
        <v/>
      </c>
      <c r="J10418" t="str">
        <f>IFERROR(__xludf.DUMMYFUNCTION("IFS(
  AND(REGEXMATCH(E10418, ""台銀籌備帳戶|玉山帳戶""), REGEXMATCH(C10418, ""薪資"")), ""分潤支出"",
  AND(REGEXMATCH(E10418, ""Ben帳戶|Elsa帳戶|Ben代墊|Ariel代墊|中信銀行共用""), REGEXMATCH(F10418, ""Ben帳戶|Elsa帳戶|Ben代墊|Ariel代墊|中信銀行共用"")), ""內部轉帳(忽略)"",
  AND(E10418&lt;&gt;"""", F10418&lt;&gt;"&amp;""""", NOT(REGEXMATCH(C10418, ""薪資""))), ""內部轉帳(忽略)"",
  REGEXMATCH(C10418, ""薪資""), ""薪資變動(不計入)"",
  REGEXMATCH(C10418, ""押金""), ""押金往來"",
  AND(E10418&lt;&gt;"""", F10418=""""), ""真實支出"",
  AND(E10418="""", F10418&lt;&gt;""""), ""真實收入"",
  TRUE, ""其他""
)"),"其他")</f>
        <v>其他</v>
      </c>
      <c r="K10418" s="270" t="str">
        <f t="shared" si="2"/>
        <v/>
      </c>
      <c r="L10418">
        <f t="shared" si="3"/>
        <v>0</v>
      </c>
    </row>
    <row r="10419">
      <c r="A10419" s="107"/>
      <c r="D10419" s="270"/>
      <c r="H10419" s="106" t="str">
        <f t="shared" si="1"/>
        <v/>
      </c>
      <c r="J10419" t="str">
        <f>IFERROR(__xludf.DUMMYFUNCTION("IFS(
  AND(REGEXMATCH(E10419, ""台銀籌備帳戶|玉山帳戶""), REGEXMATCH(C10419, ""薪資"")), ""分潤支出"",
  AND(REGEXMATCH(E10419, ""Ben帳戶|Elsa帳戶|Ben代墊|Ariel代墊|中信銀行共用""), REGEXMATCH(F10419, ""Ben帳戶|Elsa帳戶|Ben代墊|Ariel代墊|中信銀行共用"")), ""內部轉帳(忽略)"",
  AND(E10419&lt;&gt;"""", F10419&lt;&gt;"&amp;""""", NOT(REGEXMATCH(C10419, ""薪資""))), ""內部轉帳(忽略)"",
  REGEXMATCH(C10419, ""薪資""), ""薪資變動(不計入)"",
  REGEXMATCH(C10419, ""押金""), ""押金往來"",
  AND(E10419&lt;&gt;"""", F10419=""""), ""真實支出"",
  AND(E10419="""", F10419&lt;&gt;""""), ""真實收入"",
  TRUE, ""其他""
)"),"其他")</f>
        <v>其他</v>
      </c>
      <c r="K10419" s="270" t="str">
        <f t="shared" si="2"/>
        <v/>
      </c>
      <c r="L10419">
        <f t="shared" si="3"/>
        <v>0</v>
      </c>
    </row>
    <row r="10420">
      <c r="A10420" s="107"/>
      <c r="D10420" s="270"/>
      <c r="H10420" s="106" t="str">
        <f t="shared" si="1"/>
        <v/>
      </c>
      <c r="J10420" t="str">
        <f>IFERROR(__xludf.DUMMYFUNCTION("IFS(
  AND(REGEXMATCH(E10420, ""台銀籌備帳戶|玉山帳戶""), REGEXMATCH(C10420, ""薪資"")), ""分潤支出"",
  AND(REGEXMATCH(E10420, ""Ben帳戶|Elsa帳戶|Ben代墊|Ariel代墊|中信銀行共用""), REGEXMATCH(F10420, ""Ben帳戶|Elsa帳戶|Ben代墊|Ariel代墊|中信銀行共用"")), ""內部轉帳(忽略)"",
  AND(E10420&lt;&gt;"""", F10420&lt;&gt;"&amp;""""", NOT(REGEXMATCH(C10420, ""薪資""))), ""內部轉帳(忽略)"",
  REGEXMATCH(C10420, ""薪資""), ""薪資變動(不計入)"",
  REGEXMATCH(C10420, ""押金""), ""押金往來"",
  AND(E10420&lt;&gt;"""", F10420=""""), ""真實支出"",
  AND(E10420="""", F10420&lt;&gt;""""), ""真實收入"",
  TRUE, ""其他""
)"),"其他")</f>
        <v>其他</v>
      </c>
      <c r="K10420" s="270" t="str">
        <f t="shared" si="2"/>
        <v/>
      </c>
      <c r="L10420">
        <f t="shared" si="3"/>
        <v>0</v>
      </c>
    </row>
    <row r="10421">
      <c r="A10421" s="107"/>
      <c r="D10421" s="270"/>
      <c r="H10421" s="106" t="str">
        <f t="shared" si="1"/>
        <v/>
      </c>
      <c r="J10421" t="str">
        <f>IFERROR(__xludf.DUMMYFUNCTION("IFS(
  AND(REGEXMATCH(E10421, ""台銀籌備帳戶|玉山帳戶""), REGEXMATCH(C10421, ""薪資"")), ""分潤支出"",
  AND(REGEXMATCH(E10421, ""Ben帳戶|Elsa帳戶|Ben代墊|Ariel代墊|中信銀行共用""), REGEXMATCH(F10421, ""Ben帳戶|Elsa帳戶|Ben代墊|Ariel代墊|中信銀行共用"")), ""內部轉帳(忽略)"",
  AND(E10421&lt;&gt;"""", F10421&lt;&gt;"&amp;""""", NOT(REGEXMATCH(C10421, ""薪資""))), ""內部轉帳(忽略)"",
  REGEXMATCH(C10421, ""薪資""), ""薪資變動(不計入)"",
  REGEXMATCH(C10421, ""押金""), ""押金往來"",
  AND(E10421&lt;&gt;"""", F10421=""""), ""真實支出"",
  AND(E10421="""", F10421&lt;&gt;""""), ""真實收入"",
  TRUE, ""其他""
)"),"其他")</f>
        <v>其他</v>
      </c>
      <c r="K10421" s="270" t="str">
        <f t="shared" si="2"/>
        <v/>
      </c>
      <c r="L10421">
        <f t="shared" si="3"/>
        <v>0</v>
      </c>
    </row>
    <row r="10422">
      <c r="A10422" s="107"/>
      <c r="D10422" s="270"/>
      <c r="H10422" s="106" t="str">
        <f t="shared" si="1"/>
        <v/>
      </c>
      <c r="J10422" t="str">
        <f>IFERROR(__xludf.DUMMYFUNCTION("IFS(
  AND(REGEXMATCH(E10422, ""台銀籌備帳戶|玉山帳戶""), REGEXMATCH(C10422, ""薪資"")), ""分潤支出"",
  AND(REGEXMATCH(E10422, ""Ben帳戶|Elsa帳戶|Ben代墊|Ariel代墊|中信銀行共用""), REGEXMATCH(F10422, ""Ben帳戶|Elsa帳戶|Ben代墊|Ariel代墊|中信銀行共用"")), ""內部轉帳(忽略)"",
  AND(E10422&lt;&gt;"""", F10422&lt;&gt;"&amp;""""", NOT(REGEXMATCH(C10422, ""薪資""))), ""內部轉帳(忽略)"",
  REGEXMATCH(C10422, ""薪資""), ""薪資變動(不計入)"",
  REGEXMATCH(C10422, ""押金""), ""押金往來"",
  AND(E10422&lt;&gt;"""", F10422=""""), ""真實支出"",
  AND(E10422="""", F10422&lt;&gt;""""), ""真實收入"",
  TRUE, ""其他""
)"),"其他")</f>
        <v>其他</v>
      </c>
      <c r="K10422" s="270" t="str">
        <f t="shared" si="2"/>
        <v/>
      </c>
      <c r="L10422">
        <f t="shared" si="3"/>
        <v>0</v>
      </c>
    </row>
    <row r="10423">
      <c r="A10423" s="107"/>
      <c r="D10423" s="270"/>
      <c r="H10423" s="106" t="str">
        <f t="shared" si="1"/>
        <v/>
      </c>
      <c r="J10423" t="str">
        <f>IFERROR(__xludf.DUMMYFUNCTION("IFS(
  AND(REGEXMATCH(E10423, ""台銀籌備帳戶|玉山帳戶""), REGEXMATCH(C10423, ""薪資"")), ""分潤支出"",
  AND(REGEXMATCH(E10423, ""Ben帳戶|Elsa帳戶|Ben代墊|Ariel代墊|中信銀行共用""), REGEXMATCH(F10423, ""Ben帳戶|Elsa帳戶|Ben代墊|Ariel代墊|中信銀行共用"")), ""內部轉帳(忽略)"",
  AND(E10423&lt;&gt;"""", F10423&lt;&gt;"&amp;""""", NOT(REGEXMATCH(C10423, ""薪資""))), ""內部轉帳(忽略)"",
  REGEXMATCH(C10423, ""薪資""), ""薪資變動(不計入)"",
  REGEXMATCH(C10423, ""押金""), ""押金往來"",
  AND(E10423&lt;&gt;"""", F10423=""""), ""真實支出"",
  AND(E10423="""", F10423&lt;&gt;""""), ""真實收入"",
  TRUE, ""其他""
)"),"其他")</f>
        <v>其他</v>
      </c>
      <c r="K10423" s="270" t="str">
        <f t="shared" si="2"/>
        <v/>
      </c>
      <c r="L10423">
        <f t="shared" si="3"/>
        <v>0</v>
      </c>
    </row>
    <row r="10424">
      <c r="A10424" s="107"/>
      <c r="D10424" s="270"/>
      <c r="H10424" s="106" t="str">
        <f t="shared" si="1"/>
        <v/>
      </c>
      <c r="J10424" t="str">
        <f>IFERROR(__xludf.DUMMYFUNCTION("IFS(
  AND(REGEXMATCH(E10424, ""台銀籌備帳戶|玉山帳戶""), REGEXMATCH(C10424, ""薪資"")), ""分潤支出"",
  AND(REGEXMATCH(E10424, ""Ben帳戶|Elsa帳戶|Ben代墊|Ariel代墊|中信銀行共用""), REGEXMATCH(F10424, ""Ben帳戶|Elsa帳戶|Ben代墊|Ariel代墊|中信銀行共用"")), ""內部轉帳(忽略)"",
  AND(E10424&lt;&gt;"""", F10424&lt;&gt;"&amp;""""", NOT(REGEXMATCH(C10424, ""薪資""))), ""內部轉帳(忽略)"",
  REGEXMATCH(C10424, ""薪資""), ""薪資變動(不計入)"",
  REGEXMATCH(C10424, ""押金""), ""押金往來"",
  AND(E10424&lt;&gt;"""", F10424=""""), ""真實支出"",
  AND(E10424="""", F10424&lt;&gt;""""), ""真實收入"",
  TRUE, ""其他""
)"),"其他")</f>
        <v>其他</v>
      </c>
      <c r="K10424" s="270" t="str">
        <f t="shared" si="2"/>
        <v/>
      </c>
      <c r="L10424">
        <f t="shared" si="3"/>
        <v>0</v>
      </c>
    </row>
    <row r="10425">
      <c r="A10425" s="107"/>
      <c r="D10425" s="270"/>
      <c r="H10425" s="106" t="str">
        <f t="shared" si="1"/>
        <v/>
      </c>
      <c r="J10425" t="str">
        <f>IFERROR(__xludf.DUMMYFUNCTION("IFS(
  AND(REGEXMATCH(E10425, ""台銀籌備帳戶|玉山帳戶""), REGEXMATCH(C10425, ""薪資"")), ""分潤支出"",
  AND(REGEXMATCH(E10425, ""Ben帳戶|Elsa帳戶|Ben代墊|Ariel代墊|中信銀行共用""), REGEXMATCH(F10425, ""Ben帳戶|Elsa帳戶|Ben代墊|Ariel代墊|中信銀行共用"")), ""內部轉帳(忽略)"",
  AND(E10425&lt;&gt;"""", F10425&lt;&gt;"&amp;""""", NOT(REGEXMATCH(C10425, ""薪資""))), ""內部轉帳(忽略)"",
  REGEXMATCH(C10425, ""薪資""), ""薪資變動(不計入)"",
  REGEXMATCH(C10425, ""押金""), ""押金往來"",
  AND(E10425&lt;&gt;"""", F10425=""""), ""真實支出"",
  AND(E10425="""", F10425&lt;&gt;""""), ""真實收入"",
  TRUE, ""其他""
)"),"其他")</f>
        <v>其他</v>
      </c>
      <c r="K10425" s="270" t="str">
        <f t="shared" si="2"/>
        <v/>
      </c>
      <c r="L10425">
        <f t="shared" si="3"/>
        <v>0</v>
      </c>
    </row>
    <row r="10426">
      <c r="A10426" s="107"/>
      <c r="D10426" s="270"/>
      <c r="H10426" s="106" t="str">
        <f t="shared" si="1"/>
        <v/>
      </c>
      <c r="J10426" t="str">
        <f>IFERROR(__xludf.DUMMYFUNCTION("IFS(
  AND(REGEXMATCH(E10426, ""台銀籌備帳戶|玉山帳戶""), REGEXMATCH(C10426, ""薪資"")), ""分潤支出"",
  AND(REGEXMATCH(E10426, ""Ben帳戶|Elsa帳戶|Ben代墊|Ariel代墊|中信銀行共用""), REGEXMATCH(F10426, ""Ben帳戶|Elsa帳戶|Ben代墊|Ariel代墊|中信銀行共用"")), ""內部轉帳(忽略)"",
  AND(E10426&lt;&gt;"""", F10426&lt;&gt;"&amp;""""", NOT(REGEXMATCH(C10426, ""薪資""))), ""內部轉帳(忽略)"",
  REGEXMATCH(C10426, ""薪資""), ""薪資變動(不計入)"",
  REGEXMATCH(C10426, ""押金""), ""押金往來"",
  AND(E10426&lt;&gt;"""", F10426=""""), ""真實支出"",
  AND(E10426="""", F10426&lt;&gt;""""), ""真實收入"",
  TRUE, ""其他""
)"),"其他")</f>
        <v>其他</v>
      </c>
      <c r="K10426" s="270" t="str">
        <f t="shared" si="2"/>
        <v/>
      </c>
      <c r="L10426">
        <f t="shared" si="3"/>
        <v>0</v>
      </c>
    </row>
    <row r="10427">
      <c r="A10427" s="107"/>
      <c r="D10427" s="270"/>
      <c r="H10427" s="106" t="str">
        <f t="shared" si="1"/>
        <v/>
      </c>
      <c r="J10427" t="str">
        <f>IFERROR(__xludf.DUMMYFUNCTION("IFS(
  AND(REGEXMATCH(E10427, ""台銀籌備帳戶|玉山帳戶""), REGEXMATCH(C10427, ""薪資"")), ""分潤支出"",
  AND(REGEXMATCH(E10427, ""Ben帳戶|Elsa帳戶|Ben代墊|Ariel代墊|中信銀行共用""), REGEXMATCH(F10427, ""Ben帳戶|Elsa帳戶|Ben代墊|Ariel代墊|中信銀行共用"")), ""內部轉帳(忽略)"",
  AND(E10427&lt;&gt;"""", F10427&lt;&gt;"&amp;""""", NOT(REGEXMATCH(C10427, ""薪資""))), ""內部轉帳(忽略)"",
  REGEXMATCH(C10427, ""薪資""), ""薪資變動(不計入)"",
  REGEXMATCH(C10427, ""押金""), ""押金往來"",
  AND(E10427&lt;&gt;"""", F10427=""""), ""真實支出"",
  AND(E10427="""", F10427&lt;&gt;""""), ""真實收入"",
  TRUE, ""其他""
)"),"其他")</f>
        <v>其他</v>
      </c>
      <c r="K10427" s="270" t="str">
        <f t="shared" si="2"/>
        <v/>
      </c>
      <c r="L10427">
        <f t="shared" si="3"/>
        <v>0</v>
      </c>
    </row>
    <row r="10428">
      <c r="A10428" s="107"/>
      <c r="D10428" s="270"/>
      <c r="H10428" s="106" t="str">
        <f t="shared" si="1"/>
        <v/>
      </c>
      <c r="J10428" t="str">
        <f>IFERROR(__xludf.DUMMYFUNCTION("IFS(
  AND(REGEXMATCH(E10428, ""台銀籌備帳戶|玉山帳戶""), REGEXMATCH(C10428, ""薪資"")), ""分潤支出"",
  AND(REGEXMATCH(E10428, ""Ben帳戶|Elsa帳戶|Ben代墊|Ariel代墊|中信銀行共用""), REGEXMATCH(F10428, ""Ben帳戶|Elsa帳戶|Ben代墊|Ariel代墊|中信銀行共用"")), ""內部轉帳(忽略)"",
  AND(E10428&lt;&gt;"""", F10428&lt;&gt;"&amp;""""", NOT(REGEXMATCH(C10428, ""薪資""))), ""內部轉帳(忽略)"",
  REGEXMATCH(C10428, ""薪資""), ""薪資變動(不計入)"",
  REGEXMATCH(C10428, ""押金""), ""押金往來"",
  AND(E10428&lt;&gt;"""", F10428=""""), ""真實支出"",
  AND(E10428="""", F10428&lt;&gt;""""), ""真實收入"",
  TRUE, ""其他""
)"),"其他")</f>
        <v>其他</v>
      </c>
      <c r="K10428" s="270" t="str">
        <f t="shared" si="2"/>
        <v/>
      </c>
      <c r="L10428">
        <f t="shared" si="3"/>
        <v>0</v>
      </c>
    </row>
    <row r="10429">
      <c r="A10429" s="107"/>
      <c r="D10429" s="270"/>
      <c r="H10429" s="106" t="str">
        <f t="shared" si="1"/>
        <v/>
      </c>
      <c r="J10429" t="str">
        <f>IFERROR(__xludf.DUMMYFUNCTION("IFS(
  AND(REGEXMATCH(E10429, ""台銀籌備帳戶|玉山帳戶""), REGEXMATCH(C10429, ""薪資"")), ""分潤支出"",
  AND(REGEXMATCH(E10429, ""Ben帳戶|Elsa帳戶|Ben代墊|Ariel代墊|中信銀行共用""), REGEXMATCH(F10429, ""Ben帳戶|Elsa帳戶|Ben代墊|Ariel代墊|中信銀行共用"")), ""內部轉帳(忽略)"",
  AND(E10429&lt;&gt;"""", F10429&lt;&gt;"&amp;""""", NOT(REGEXMATCH(C10429, ""薪資""))), ""內部轉帳(忽略)"",
  REGEXMATCH(C10429, ""薪資""), ""薪資變動(不計入)"",
  REGEXMATCH(C10429, ""押金""), ""押金往來"",
  AND(E10429&lt;&gt;"""", F10429=""""), ""真實支出"",
  AND(E10429="""", F10429&lt;&gt;""""), ""真實收入"",
  TRUE, ""其他""
)"),"其他")</f>
        <v>其他</v>
      </c>
      <c r="K10429" s="270" t="str">
        <f t="shared" si="2"/>
        <v/>
      </c>
      <c r="L10429">
        <f t="shared" si="3"/>
        <v>0</v>
      </c>
    </row>
    <row r="10430">
      <c r="A10430" s="107"/>
      <c r="D10430" s="270"/>
      <c r="H10430" s="106" t="str">
        <f t="shared" si="1"/>
        <v/>
      </c>
      <c r="J10430" t="str">
        <f>IFERROR(__xludf.DUMMYFUNCTION("IFS(
  AND(REGEXMATCH(E10430, ""台銀籌備帳戶|玉山帳戶""), REGEXMATCH(C10430, ""薪資"")), ""分潤支出"",
  AND(REGEXMATCH(E10430, ""Ben帳戶|Elsa帳戶|Ben代墊|Ariel代墊|中信銀行共用""), REGEXMATCH(F10430, ""Ben帳戶|Elsa帳戶|Ben代墊|Ariel代墊|中信銀行共用"")), ""內部轉帳(忽略)"",
  AND(E10430&lt;&gt;"""", F10430&lt;&gt;"&amp;""""", NOT(REGEXMATCH(C10430, ""薪資""))), ""內部轉帳(忽略)"",
  REGEXMATCH(C10430, ""薪資""), ""薪資變動(不計入)"",
  REGEXMATCH(C10430, ""押金""), ""押金往來"",
  AND(E10430&lt;&gt;"""", F10430=""""), ""真實支出"",
  AND(E10430="""", F10430&lt;&gt;""""), ""真實收入"",
  TRUE, ""其他""
)"),"其他")</f>
        <v>其他</v>
      </c>
      <c r="K10430" s="270" t="str">
        <f t="shared" si="2"/>
        <v/>
      </c>
      <c r="L10430">
        <f t="shared" si="3"/>
        <v>0</v>
      </c>
    </row>
    <row r="10431">
      <c r="A10431" s="107"/>
      <c r="D10431" s="270"/>
      <c r="H10431" s="106" t="str">
        <f t="shared" si="1"/>
        <v/>
      </c>
      <c r="J10431" t="str">
        <f>IFERROR(__xludf.DUMMYFUNCTION("IFS(
  AND(REGEXMATCH(E10431, ""台銀籌備帳戶|玉山帳戶""), REGEXMATCH(C10431, ""薪資"")), ""分潤支出"",
  AND(REGEXMATCH(E10431, ""Ben帳戶|Elsa帳戶|Ben代墊|Ariel代墊|中信銀行共用""), REGEXMATCH(F10431, ""Ben帳戶|Elsa帳戶|Ben代墊|Ariel代墊|中信銀行共用"")), ""內部轉帳(忽略)"",
  AND(E10431&lt;&gt;"""", F10431&lt;&gt;"&amp;""""", NOT(REGEXMATCH(C10431, ""薪資""))), ""內部轉帳(忽略)"",
  REGEXMATCH(C10431, ""薪資""), ""薪資變動(不計入)"",
  REGEXMATCH(C10431, ""押金""), ""押金往來"",
  AND(E10431&lt;&gt;"""", F10431=""""), ""真實支出"",
  AND(E10431="""", F10431&lt;&gt;""""), ""真實收入"",
  TRUE, ""其他""
)"),"其他")</f>
        <v>其他</v>
      </c>
      <c r="K10431" s="270" t="str">
        <f t="shared" si="2"/>
        <v/>
      </c>
      <c r="L10431">
        <f t="shared" si="3"/>
        <v>0</v>
      </c>
    </row>
    <row r="10432">
      <c r="A10432" s="107"/>
      <c r="D10432" s="270"/>
      <c r="H10432" s="106" t="str">
        <f t="shared" si="1"/>
        <v/>
      </c>
      <c r="J10432" t="str">
        <f>IFERROR(__xludf.DUMMYFUNCTION("IFS(
  AND(REGEXMATCH(E10432, ""台銀籌備帳戶|玉山帳戶""), REGEXMATCH(C10432, ""薪資"")), ""分潤支出"",
  AND(REGEXMATCH(E10432, ""Ben帳戶|Elsa帳戶|Ben代墊|Ariel代墊|中信銀行共用""), REGEXMATCH(F10432, ""Ben帳戶|Elsa帳戶|Ben代墊|Ariel代墊|中信銀行共用"")), ""內部轉帳(忽略)"",
  AND(E10432&lt;&gt;"""", F10432&lt;&gt;"&amp;""""", NOT(REGEXMATCH(C10432, ""薪資""))), ""內部轉帳(忽略)"",
  REGEXMATCH(C10432, ""薪資""), ""薪資變動(不計入)"",
  REGEXMATCH(C10432, ""押金""), ""押金往來"",
  AND(E10432&lt;&gt;"""", F10432=""""), ""真實支出"",
  AND(E10432="""", F10432&lt;&gt;""""), ""真實收入"",
  TRUE, ""其他""
)"),"其他")</f>
        <v>其他</v>
      </c>
      <c r="K10432" s="270" t="str">
        <f t="shared" si="2"/>
        <v/>
      </c>
      <c r="L10432">
        <f t="shared" si="3"/>
        <v>0</v>
      </c>
    </row>
    <row r="10433">
      <c r="A10433" s="107"/>
      <c r="D10433" s="270"/>
      <c r="H10433" s="106" t="str">
        <f t="shared" si="1"/>
        <v/>
      </c>
      <c r="J10433" t="str">
        <f>IFERROR(__xludf.DUMMYFUNCTION("IFS(
  AND(REGEXMATCH(E10433, ""台銀籌備帳戶|玉山帳戶""), REGEXMATCH(C10433, ""薪資"")), ""分潤支出"",
  AND(REGEXMATCH(E10433, ""Ben帳戶|Elsa帳戶|Ben代墊|Ariel代墊|中信銀行共用""), REGEXMATCH(F10433, ""Ben帳戶|Elsa帳戶|Ben代墊|Ariel代墊|中信銀行共用"")), ""內部轉帳(忽略)"",
  AND(E10433&lt;&gt;"""", F10433&lt;&gt;"&amp;""""", NOT(REGEXMATCH(C10433, ""薪資""))), ""內部轉帳(忽略)"",
  REGEXMATCH(C10433, ""薪資""), ""薪資變動(不計入)"",
  REGEXMATCH(C10433, ""押金""), ""押金往來"",
  AND(E10433&lt;&gt;"""", F10433=""""), ""真實支出"",
  AND(E10433="""", F10433&lt;&gt;""""), ""真實收入"",
  TRUE, ""其他""
)"),"其他")</f>
        <v>其他</v>
      </c>
      <c r="K10433" s="270" t="str">
        <f t="shared" si="2"/>
        <v/>
      </c>
      <c r="L10433">
        <f t="shared" si="3"/>
        <v>0</v>
      </c>
    </row>
    <row r="10434">
      <c r="A10434" s="107"/>
      <c r="D10434" s="270"/>
      <c r="H10434" s="106" t="str">
        <f t="shared" si="1"/>
        <v/>
      </c>
      <c r="J10434" t="str">
        <f>IFERROR(__xludf.DUMMYFUNCTION("IFS(
  AND(REGEXMATCH(E10434, ""台銀籌備帳戶|玉山帳戶""), REGEXMATCH(C10434, ""薪資"")), ""分潤支出"",
  AND(REGEXMATCH(E10434, ""Ben帳戶|Elsa帳戶|Ben代墊|Ariel代墊|中信銀行共用""), REGEXMATCH(F10434, ""Ben帳戶|Elsa帳戶|Ben代墊|Ariel代墊|中信銀行共用"")), ""內部轉帳(忽略)"",
  AND(E10434&lt;&gt;"""", F10434&lt;&gt;"&amp;""""", NOT(REGEXMATCH(C10434, ""薪資""))), ""內部轉帳(忽略)"",
  REGEXMATCH(C10434, ""薪資""), ""薪資變動(不計入)"",
  REGEXMATCH(C10434, ""押金""), ""押金往來"",
  AND(E10434&lt;&gt;"""", F10434=""""), ""真實支出"",
  AND(E10434="""", F10434&lt;&gt;""""), ""真實收入"",
  TRUE, ""其他""
)"),"其他")</f>
        <v>其他</v>
      </c>
      <c r="K10434" s="270" t="str">
        <f t="shared" si="2"/>
        <v/>
      </c>
      <c r="L10434">
        <f t="shared" si="3"/>
        <v>0</v>
      </c>
    </row>
    <row r="10435">
      <c r="A10435" s="107"/>
      <c r="D10435" s="270"/>
      <c r="H10435" s="106" t="str">
        <f t="shared" si="1"/>
        <v/>
      </c>
      <c r="J10435" t="str">
        <f>IFERROR(__xludf.DUMMYFUNCTION("IFS(
  AND(REGEXMATCH(E10435, ""台銀籌備帳戶|玉山帳戶""), REGEXMATCH(C10435, ""薪資"")), ""分潤支出"",
  AND(REGEXMATCH(E10435, ""Ben帳戶|Elsa帳戶|Ben代墊|Ariel代墊|中信銀行共用""), REGEXMATCH(F10435, ""Ben帳戶|Elsa帳戶|Ben代墊|Ariel代墊|中信銀行共用"")), ""內部轉帳(忽略)"",
  AND(E10435&lt;&gt;"""", F10435&lt;&gt;"&amp;""""", NOT(REGEXMATCH(C10435, ""薪資""))), ""內部轉帳(忽略)"",
  REGEXMATCH(C10435, ""薪資""), ""薪資變動(不計入)"",
  REGEXMATCH(C10435, ""押金""), ""押金往來"",
  AND(E10435&lt;&gt;"""", F10435=""""), ""真實支出"",
  AND(E10435="""", F10435&lt;&gt;""""), ""真實收入"",
  TRUE, ""其他""
)"),"其他")</f>
        <v>其他</v>
      </c>
      <c r="K10435" s="270" t="str">
        <f t="shared" si="2"/>
        <v/>
      </c>
      <c r="L10435">
        <f t="shared" si="3"/>
        <v>0</v>
      </c>
    </row>
    <row r="10436">
      <c r="A10436" s="107"/>
      <c r="D10436" s="270"/>
      <c r="H10436" s="106" t="str">
        <f t="shared" si="1"/>
        <v/>
      </c>
      <c r="J10436" t="str">
        <f>IFERROR(__xludf.DUMMYFUNCTION("IFS(
  AND(REGEXMATCH(E10436, ""台銀籌備帳戶|玉山帳戶""), REGEXMATCH(C10436, ""薪資"")), ""分潤支出"",
  AND(REGEXMATCH(E10436, ""Ben帳戶|Elsa帳戶|Ben代墊|Ariel代墊|中信銀行共用""), REGEXMATCH(F10436, ""Ben帳戶|Elsa帳戶|Ben代墊|Ariel代墊|中信銀行共用"")), ""內部轉帳(忽略)"",
  AND(E10436&lt;&gt;"""", F10436&lt;&gt;"&amp;""""", NOT(REGEXMATCH(C10436, ""薪資""))), ""內部轉帳(忽略)"",
  REGEXMATCH(C10436, ""薪資""), ""薪資變動(不計入)"",
  REGEXMATCH(C10436, ""押金""), ""押金往來"",
  AND(E10436&lt;&gt;"""", F10436=""""), ""真實支出"",
  AND(E10436="""", F10436&lt;&gt;""""), ""真實收入"",
  TRUE, ""其他""
)"),"其他")</f>
        <v>其他</v>
      </c>
      <c r="K10436" s="270" t="str">
        <f t="shared" si="2"/>
        <v/>
      </c>
      <c r="L10436">
        <f t="shared" si="3"/>
        <v>0</v>
      </c>
    </row>
    <row r="10437">
      <c r="A10437" s="107"/>
      <c r="D10437" s="270"/>
      <c r="H10437" s="106" t="str">
        <f t="shared" si="1"/>
        <v/>
      </c>
      <c r="J10437" t="str">
        <f>IFERROR(__xludf.DUMMYFUNCTION("IFS(
  AND(REGEXMATCH(E10437, ""台銀籌備帳戶|玉山帳戶""), REGEXMATCH(C10437, ""薪資"")), ""分潤支出"",
  AND(REGEXMATCH(E10437, ""Ben帳戶|Elsa帳戶|Ben代墊|Ariel代墊|中信銀行共用""), REGEXMATCH(F10437, ""Ben帳戶|Elsa帳戶|Ben代墊|Ariel代墊|中信銀行共用"")), ""內部轉帳(忽略)"",
  AND(E10437&lt;&gt;"""", F10437&lt;&gt;"&amp;""""", NOT(REGEXMATCH(C10437, ""薪資""))), ""內部轉帳(忽略)"",
  REGEXMATCH(C10437, ""薪資""), ""薪資變動(不計入)"",
  REGEXMATCH(C10437, ""押金""), ""押金往來"",
  AND(E10437&lt;&gt;"""", F10437=""""), ""真實支出"",
  AND(E10437="""", F10437&lt;&gt;""""), ""真實收入"",
  TRUE, ""其他""
)"),"其他")</f>
        <v>其他</v>
      </c>
      <c r="K10437" s="270" t="str">
        <f t="shared" si="2"/>
        <v/>
      </c>
      <c r="L10437">
        <f t="shared" si="3"/>
        <v>0</v>
      </c>
    </row>
    <row r="10438">
      <c r="A10438" s="107"/>
      <c r="D10438" s="270"/>
      <c r="H10438" s="106" t="str">
        <f t="shared" si="1"/>
        <v/>
      </c>
      <c r="J10438" t="str">
        <f>IFERROR(__xludf.DUMMYFUNCTION("IFS(
  AND(REGEXMATCH(E10438, ""台銀籌備帳戶|玉山帳戶""), REGEXMATCH(C10438, ""薪資"")), ""分潤支出"",
  AND(REGEXMATCH(E10438, ""Ben帳戶|Elsa帳戶|Ben代墊|Ariel代墊|中信銀行共用""), REGEXMATCH(F10438, ""Ben帳戶|Elsa帳戶|Ben代墊|Ariel代墊|中信銀行共用"")), ""內部轉帳(忽略)"",
  AND(E10438&lt;&gt;"""", F10438&lt;&gt;"&amp;""""", NOT(REGEXMATCH(C10438, ""薪資""))), ""內部轉帳(忽略)"",
  REGEXMATCH(C10438, ""薪資""), ""薪資變動(不計入)"",
  REGEXMATCH(C10438, ""押金""), ""押金往來"",
  AND(E10438&lt;&gt;"""", F10438=""""), ""真實支出"",
  AND(E10438="""", F10438&lt;&gt;""""), ""真實收入"",
  TRUE, ""其他""
)"),"其他")</f>
        <v>其他</v>
      </c>
      <c r="K10438" s="270" t="str">
        <f t="shared" si="2"/>
        <v/>
      </c>
      <c r="L10438">
        <f t="shared" si="3"/>
        <v>0</v>
      </c>
    </row>
    <row r="10439">
      <c r="A10439" s="107"/>
      <c r="D10439" s="270"/>
      <c r="H10439" s="106" t="str">
        <f t="shared" si="1"/>
        <v/>
      </c>
      <c r="J10439" t="str">
        <f>IFERROR(__xludf.DUMMYFUNCTION("IFS(
  AND(REGEXMATCH(E10439, ""台銀籌備帳戶|玉山帳戶""), REGEXMATCH(C10439, ""薪資"")), ""分潤支出"",
  AND(REGEXMATCH(E10439, ""Ben帳戶|Elsa帳戶|Ben代墊|Ariel代墊|中信銀行共用""), REGEXMATCH(F10439, ""Ben帳戶|Elsa帳戶|Ben代墊|Ariel代墊|中信銀行共用"")), ""內部轉帳(忽略)"",
  AND(E10439&lt;&gt;"""", F10439&lt;&gt;"&amp;""""", NOT(REGEXMATCH(C10439, ""薪資""))), ""內部轉帳(忽略)"",
  REGEXMATCH(C10439, ""薪資""), ""薪資變動(不計入)"",
  REGEXMATCH(C10439, ""押金""), ""押金往來"",
  AND(E10439&lt;&gt;"""", F10439=""""), ""真實支出"",
  AND(E10439="""", F10439&lt;&gt;""""), ""真實收入"",
  TRUE, ""其他""
)"),"其他")</f>
        <v>其他</v>
      </c>
      <c r="K10439" s="270" t="str">
        <f t="shared" si="2"/>
        <v/>
      </c>
      <c r="L10439">
        <f t="shared" si="3"/>
        <v>0</v>
      </c>
    </row>
    <row r="10440">
      <c r="A10440" s="107"/>
      <c r="D10440" s="270"/>
      <c r="H10440" s="106" t="str">
        <f t="shared" si="1"/>
        <v/>
      </c>
      <c r="J10440" t="str">
        <f>IFERROR(__xludf.DUMMYFUNCTION("IFS(
  AND(REGEXMATCH(E10440, ""台銀籌備帳戶|玉山帳戶""), REGEXMATCH(C10440, ""薪資"")), ""分潤支出"",
  AND(REGEXMATCH(E10440, ""Ben帳戶|Elsa帳戶|Ben代墊|Ariel代墊|中信銀行共用""), REGEXMATCH(F10440, ""Ben帳戶|Elsa帳戶|Ben代墊|Ariel代墊|中信銀行共用"")), ""內部轉帳(忽略)"",
  AND(E10440&lt;&gt;"""", F10440&lt;&gt;"&amp;""""", NOT(REGEXMATCH(C10440, ""薪資""))), ""內部轉帳(忽略)"",
  REGEXMATCH(C10440, ""薪資""), ""薪資變動(不計入)"",
  REGEXMATCH(C10440, ""押金""), ""押金往來"",
  AND(E10440&lt;&gt;"""", F10440=""""), ""真實支出"",
  AND(E10440="""", F10440&lt;&gt;""""), ""真實收入"",
  TRUE, ""其他""
)"),"其他")</f>
        <v>其他</v>
      </c>
      <c r="K10440" s="270" t="str">
        <f t="shared" si="2"/>
        <v/>
      </c>
      <c r="L10440">
        <f t="shared" si="3"/>
        <v>0</v>
      </c>
    </row>
    <row r="10441">
      <c r="A10441" s="107"/>
      <c r="D10441" s="270"/>
      <c r="H10441" s="106" t="str">
        <f t="shared" si="1"/>
        <v/>
      </c>
      <c r="J10441" t="str">
        <f>IFERROR(__xludf.DUMMYFUNCTION("IFS(
  AND(REGEXMATCH(E10441, ""台銀籌備帳戶|玉山帳戶""), REGEXMATCH(C10441, ""薪資"")), ""分潤支出"",
  AND(REGEXMATCH(E10441, ""Ben帳戶|Elsa帳戶|Ben代墊|Ariel代墊|中信銀行共用""), REGEXMATCH(F10441, ""Ben帳戶|Elsa帳戶|Ben代墊|Ariel代墊|中信銀行共用"")), ""內部轉帳(忽略)"",
  AND(E10441&lt;&gt;"""", F10441&lt;&gt;"&amp;""""", NOT(REGEXMATCH(C10441, ""薪資""))), ""內部轉帳(忽略)"",
  REGEXMATCH(C10441, ""薪資""), ""薪資變動(不計入)"",
  REGEXMATCH(C10441, ""押金""), ""押金往來"",
  AND(E10441&lt;&gt;"""", F10441=""""), ""真實支出"",
  AND(E10441="""", F10441&lt;&gt;""""), ""真實收入"",
  TRUE, ""其他""
)"),"其他")</f>
        <v>其他</v>
      </c>
      <c r="K10441" s="270" t="str">
        <f t="shared" si="2"/>
        <v/>
      </c>
      <c r="L10441">
        <f t="shared" si="3"/>
        <v>0</v>
      </c>
    </row>
    <row r="10442">
      <c r="A10442" s="107"/>
      <c r="D10442" s="270"/>
      <c r="H10442" s="106" t="str">
        <f t="shared" si="1"/>
        <v/>
      </c>
      <c r="J10442" t="str">
        <f>IFERROR(__xludf.DUMMYFUNCTION("IFS(
  AND(REGEXMATCH(E10442, ""台銀籌備帳戶|玉山帳戶""), REGEXMATCH(C10442, ""薪資"")), ""分潤支出"",
  AND(REGEXMATCH(E10442, ""Ben帳戶|Elsa帳戶|Ben代墊|Ariel代墊|中信銀行共用""), REGEXMATCH(F10442, ""Ben帳戶|Elsa帳戶|Ben代墊|Ariel代墊|中信銀行共用"")), ""內部轉帳(忽略)"",
  AND(E10442&lt;&gt;"""", F10442&lt;&gt;"&amp;""""", NOT(REGEXMATCH(C10442, ""薪資""))), ""內部轉帳(忽略)"",
  REGEXMATCH(C10442, ""薪資""), ""薪資變動(不計入)"",
  REGEXMATCH(C10442, ""押金""), ""押金往來"",
  AND(E10442&lt;&gt;"""", F10442=""""), ""真實支出"",
  AND(E10442="""", F10442&lt;&gt;""""), ""真實收入"",
  TRUE, ""其他""
)"),"其他")</f>
        <v>其他</v>
      </c>
      <c r="K10442" s="270" t="str">
        <f t="shared" si="2"/>
        <v/>
      </c>
      <c r="L10442">
        <f t="shared" si="3"/>
        <v>0</v>
      </c>
    </row>
    <row r="10443">
      <c r="A10443" s="107"/>
      <c r="D10443" s="270"/>
      <c r="H10443" s="106" t="str">
        <f t="shared" si="1"/>
        <v/>
      </c>
      <c r="J10443" t="str">
        <f>IFERROR(__xludf.DUMMYFUNCTION("IFS(
  AND(REGEXMATCH(E10443, ""台銀籌備帳戶|玉山帳戶""), REGEXMATCH(C10443, ""薪資"")), ""分潤支出"",
  AND(REGEXMATCH(E10443, ""Ben帳戶|Elsa帳戶|Ben代墊|Ariel代墊|中信銀行共用""), REGEXMATCH(F10443, ""Ben帳戶|Elsa帳戶|Ben代墊|Ariel代墊|中信銀行共用"")), ""內部轉帳(忽略)"",
  AND(E10443&lt;&gt;"""", F10443&lt;&gt;"&amp;""""", NOT(REGEXMATCH(C10443, ""薪資""))), ""內部轉帳(忽略)"",
  REGEXMATCH(C10443, ""薪資""), ""薪資變動(不計入)"",
  REGEXMATCH(C10443, ""押金""), ""押金往來"",
  AND(E10443&lt;&gt;"""", F10443=""""), ""真實支出"",
  AND(E10443="""", F10443&lt;&gt;""""), ""真實收入"",
  TRUE, ""其他""
)"),"其他")</f>
        <v>其他</v>
      </c>
      <c r="K10443" s="270" t="str">
        <f t="shared" si="2"/>
        <v/>
      </c>
      <c r="L10443">
        <f t="shared" si="3"/>
        <v>0</v>
      </c>
    </row>
    <row r="10444">
      <c r="A10444" s="107"/>
      <c r="D10444" s="270"/>
      <c r="H10444" s="106" t="str">
        <f t="shared" si="1"/>
        <v/>
      </c>
      <c r="J10444" t="str">
        <f>IFERROR(__xludf.DUMMYFUNCTION("IFS(
  AND(REGEXMATCH(E10444, ""台銀籌備帳戶|玉山帳戶""), REGEXMATCH(C10444, ""薪資"")), ""分潤支出"",
  AND(REGEXMATCH(E10444, ""Ben帳戶|Elsa帳戶|Ben代墊|Ariel代墊|中信銀行共用""), REGEXMATCH(F10444, ""Ben帳戶|Elsa帳戶|Ben代墊|Ariel代墊|中信銀行共用"")), ""內部轉帳(忽略)"",
  AND(E10444&lt;&gt;"""", F10444&lt;&gt;"&amp;""""", NOT(REGEXMATCH(C10444, ""薪資""))), ""內部轉帳(忽略)"",
  REGEXMATCH(C10444, ""薪資""), ""薪資變動(不計入)"",
  REGEXMATCH(C10444, ""押金""), ""押金往來"",
  AND(E10444&lt;&gt;"""", F10444=""""), ""真實支出"",
  AND(E10444="""", F10444&lt;&gt;""""), ""真實收入"",
  TRUE, ""其他""
)"),"其他")</f>
        <v>其他</v>
      </c>
      <c r="K10444" s="270" t="str">
        <f t="shared" si="2"/>
        <v/>
      </c>
      <c r="L10444">
        <f t="shared" si="3"/>
        <v>0</v>
      </c>
    </row>
    <row r="10445">
      <c r="A10445" s="107"/>
      <c r="D10445" s="270"/>
      <c r="H10445" s="106" t="str">
        <f t="shared" si="1"/>
        <v/>
      </c>
      <c r="J10445" t="str">
        <f>IFERROR(__xludf.DUMMYFUNCTION("IFS(
  AND(REGEXMATCH(E10445, ""台銀籌備帳戶|玉山帳戶""), REGEXMATCH(C10445, ""薪資"")), ""分潤支出"",
  AND(REGEXMATCH(E10445, ""Ben帳戶|Elsa帳戶|Ben代墊|Ariel代墊|中信銀行共用""), REGEXMATCH(F10445, ""Ben帳戶|Elsa帳戶|Ben代墊|Ariel代墊|中信銀行共用"")), ""內部轉帳(忽略)"",
  AND(E10445&lt;&gt;"""", F10445&lt;&gt;"&amp;""""", NOT(REGEXMATCH(C10445, ""薪資""))), ""內部轉帳(忽略)"",
  REGEXMATCH(C10445, ""薪資""), ""薪資變動(不計入)"",
  REGEXMATCH(C10445, ""押金""), ""押金往來"",
  AND(E10445&lt;&gt;"""", F10445=""""), ""真實支出"",
  AND(E10445="""", F10445&lt;&gt;""""), ""真實收入"",
  TRUE, ""其他""
)"),"其他")</f>
        <v>其他</v>
      </c>
      <c r="K10445" s="270" t="str">
        <f t="shared" si="2"/>
        <v/>
      </c>
      <c r="L10445">
        <f t="shared" si="3"/>
        <v>0</v>
      </c>
    </row>
    <row r="10446">
      <c r="A10446" s="107"/>
      <c r="D10446" s="270"/>
      <c r="H10446" s="106" t="str">
        <f t="shared" si="1"/>
        <v/>
      </c>
      <c r="J10446" t="str">
        <f>IFERROR(__xludf.DUMMYFUNCTION("IFS(
  AND(REGEXMATCH(E10446, ""台銀籌備帳戶|玉山帳戶""), REGEXMATCH(C10446, ""薪資"")), ""分潤支出"",
  AND(REGEXMATCH(E10446, ""Ben帳戶|Elsa帳戶|Ben代墊|Ariel代墊|中信銀行共用""), REGEXMATCH(F10446, ""Ben帳戶|Elsa帳戶|Ben代墊|Ariel代墊|中信銀行共用"")), ""內部轉帳(忽略)"",
  AND(E10446&lt;&gt;"""", F10446&lt;&gt;"&amp;""""", NOT(REGEXMATCH(C10446, ""薪資""))), ""內部轉帳(忽略)"",
  REGEXMATCH(C10446, ""薪資""), ""薪資變動(不計入)"",
  REGEXMATCH(C10446, ""押金""), ""押金往來"",
  AND(E10446&lt;&gt;"""", F10446=""""), ""真實支出"",
  AND(E10446="""", F10446&lt;&gt;""""), ""真實收入"",
  TRUE, ""其他""
)"),"其他")</f>
        <v>其他</v>
      </c>
      <c r="K10446" s="270" t="str">
        <f t="shared" si="2"/>
        <v/>
      </c>
      <c r="L10446">
        <f t="shared" si="3"/>
        <v>0</v>
      </c>
    </row>
    <row r="10447">
      <c r="A10447" s="107"/>
      <c r="D10447" s="270"/>
      <c r="H10447" s="106" t="str">
        <f t="shared" si="1"/>
        <v/>
      </c>
      <c r="J10447" t="str">
        <f>IFERROR(__xludf.DUMMYFUNCTION("IFS(
  AND(REGEXMATCH(E10447, ""台銀籌備帳戶|玉山帳戶""), REGEXMATCH(C10447, ""薪資"")), ""分潤支出"",
  AND(REGEXMATCH(E10447, ""Ben帳戶|Elsa帳戶|Ben代墊|Ariel代墊|中信銀行共用""), REGEXMATCH(F10447, ""Ben帳戶|Elsa帳戶|Ben代墊|Ariel代墊|中信銀行共用"")), ""內部轉帳(忽略)"",
  AND(E10447&lt;&gt;"""", F10447&lt;&gt;"&amp;""""", NOT(REGEXMATCH(C10447, ""薪資""))), ""內部轉帳(忽略)"",
  REGEXMATCH(C10447, ""薪資""), ""薪資變動(不計入)"",
  REGEXMATCH(C10447, ""押金""), ""押金往來"",
  AND(E10447&lt;&gt;"""", F10447=""""), ""真實支出"",
  AND(E10447="""", F10447&lt;&gt;""""), ""真實收入"",
  TRUE, ""其他""
)"),"其他")</f>
        <v>其他</v>
      </c>
      <c r="K10447" s="270" t="str">
        <f t="shared" si="2"/>
        <v/>
      </c>
      <c r="L10447">
        <f t="shared" si="3"/>
        <v>0</v>
      </c>
    </row>
    <row r="10448">
      <c r="A10448" s="107"/>
      <c r="D10448" s="270"/>
      <c r="H10448" s="106" t="str">
        <f t="shared" si="1"/>
        <v/>
      </c>
      <c r="J10448" t="str">
        <f>IFERROR(__xludf.DUMMYFUNCTION("IFS(
  AND(REGEXMATCH(E10448, ""台銀籌備帳戶|玉山帳戶""), REGEXMATCH(C10448, ""薪資"")), ""分潤支出"",
  AND(REGEXMATCH(E10448, ""Ben帳戶|Elsa帳戶|Ben代墊|Ariel代墊|中信銀行共用""), REGEXMATCH(F10448, ""Ben帳戶|Elsa帳戶|Ben代墊|Ariel代墊|中信銀行共用"")), ""內部轉帳(忽略)"",
  AND(E10448&lt;&gt;"""", F10448&lt;&gt;"&amp;""""", NOT(REGEXMATCH(C10448, ""薪資""))), ""內部轉帳(忽略)"",
  REGEXMATCH(C10448, ""薪資""), ""薪資變動(不計入)"",
  REGEXMATCH(C10448, ""押金""), ""押金往來"",
  AND(E10448&lt;&gt;"""", F10448=""""), ""真實支出"",
  AND(E10448="""", F10448&lt;&gt;""""), ""真實收入"",
  TRUE, ""其他""
)"),"其他")</f>
        <v>其他</v>
      </c>
      <c r="K10448" s="270" t="str">
        <f t="shared" si="2"/>
        <v/>
      </c>
      <c r="L10448">
        <f t="shared" si="3"/>
        <v>0</v>
      </c>
    </row>
    <row r="10449">
      <c r="A10449" s="107"/>
      <c r="D10449" s="270"/>
      <c r="H10449" s="106" t="str">
        <f t="shared" si="1"/>
        <v/>
      </c>
      <c r="J10449" t="str">
        <f>IFERROR(__xludf.DUMMYFUNCTION("IFS(
  AND(REGEXMATCH(E10449, ""台銀籌備帳戶|玉山帳戶""), REGEXMATCH(C10449, ""薪資"")), ""分潤支出"",
  AND(REGEXMATCH(E10449, ""Ben帳戶|Elsa帳戶|Ben代墊|Ariel代墊|中信銀行共用""), REGEXMATCH(F10449, ""Ben帳戶|Elsa帳戶|Ben代墊|Ariel代墊|中信銀行共用"")), ""內部轉帳(忽略)"",
  AND(E10449&lt;&gt;"""", F10449&lt;&gt;"&amp;""""", NOT(REGEXMATCH(C10449, ""薪資""))), ""內部轉帳(忽略)"",
  REGEXMATCH(C10449, ""薪資""), ""薪資變動(不計入)"",
  REGEXMATCH(C10449, ""押金""), ""押金往來"",
  AND(E10449&lt;&gt;"""", F10449=""""), ""真實支出"",
  AND(E10449="""", F10449&lt;&gt;""""), ""真實收入"",
  TRUE, ""其他""
)"),"其他")</f>
        <v>其他</v>
      </c>
      <c r="K10449" s="270" t="str">
        <f t="shared" si="2"/>
        <v/>
      </c>
      <c r="L10449">
        <f t="shared" si="3"/>
        <v>0</v>
      </c>
    </row>
    <row r="10450">
      <c r="A10450" s="107"/>
      <c r="D10450" s="270"/>
      <c r="H10450" s="106" t="str">
        <f t="shared" si="1"/>
        <v/>
      </c>
      <c r="J10450" t="str">
        <f>IFERROR(__xludf.DUMMYFUNCTION("IFS(
  AND(REGEXMATCH(E10450, ""台銀籌備帳戶|玉山帳戶""), REGEXMATCH(C10450, ""薪資"")), ""分潤支出"",
  AND(REGEXMATCH(E10450, ""Ben帳戶|Elsa帳戶|Ben代墊|Ariel代墊|中信銀行共用""), REGEXMATCH(F10450, ""Ben帳戶|Elsa帳戶|Ben代墊|Ariel代墊|中信銀行共用"")), ""內部轉帳(忽略)"",
  AND(E10450&lt;&gt;"""", F10450&lt;&gt;"&amp;""""", NOT(REGEXMATCH(C10450, ""薪資""))), ""內部轉帳(忽略)"",
  REGEXMATCH(C10450, ""薪資""), ""薪資變動(不計入)"",
  REGEXMATCH(C10450, ""押金""), ""押金往來"",
  AND(E10450&lt;&gt;"""", F10450=""""), ""真實支出"",
  AND(E10450="""", F10450&lt;&gt;""""), ""真實收入"",
  TRUE, ""其他""
)"),"其他")</f>
        <v>其他</v>
      </c>
      <c r="K10450" s="270" t="str">
        <f t="shared" si="2"/>
        <v/>
      </c>
      <c r="L10450">
        <f t="shared" si="3"/>
        <v>0</v>
      </c>
    </row>
    <row r="10451">
      <c r="A10451" s="107"/>
      <c r="D10451" s="270"/>
      <c r="H10451" s="106" t="str">
        <f t="shared" si="1"/>
        <v/>
      </c>
      <c r="J10451" t="str">
        <f>IFERROR(__xludf.DUMMYFUNCTION("IFS(
  AND(REGEXMATCH(E10451, ""台銀籌備帳戶|玉山帳戶""), REGEXMATCH(C10451, ""薪資"")), ""分潤支出"",
  AND(REGEXMATCH(E10451, ""Ben帳戶|Elsa帳戶|Ben代墊|Ariel代墊|中信銀行共用""), REGEXMATCH(F10451, ""Ben帳戶|Elsa帳戶|Ben代墊|Ariel代墊|中信銀行共用"")), ""內部轉帳(忽略)"",
  AND(E10451&lt;&gt;"""", F10451&lt;&gt;"&amp;""""", NOT(REGEXMATCH(C10451, ""薪資""))), ""內部轉帳(忽略)"",
  REGEXMATCH(C10451, ""薪資""), ""薪資變動(不計入)"",
  REGEXMATCH(C10451, ""押金""), ""押金往來"",
  AND(E10451&lt;&gt;"""", F10451=""""), ""真實支出"",
  AND(E10451="""", F10451&lt;&gt;""""), ""真實收入"",
  TRUE, ""其他""
)"),"其他")</f>
        <v>其他</v>
      </c>
      <c r="K10451" s="270" t="str">
        <f t="shared" si="2"/>
        <v/>
      </c>
      <c r="L10451">
        <f t="shared" si="3"/>
        <v>0</v>
      </c>
    </row>
    <row r="10452">
      <c r="A10452" s="107"/>
      <c r="D10452" s="270"/>
      <c r="H10452" s="106" t="str">
        <f t="shared" si="1"/>
        <v/>
      </c>
      <c r="J10452" t="str">
        <f>IFERROR(__xludf.DUMMYFUNCTION("IFS(
  AND(REGEXMATCH(E10452, ""台銀籌備帳戶|玉山帳戶""), REGEXMATCH(C10452, ""薪資"")), ""分潤支出"",
  AND(REGEXMATCH(E10452, ""Ben帳戶|Elsa帳戶|Ben代墊|Ariel代墊|中信銀行共用""), REGEXMATCH(F10452, ""Ben帳戶|Elsa帳戶|Ben代墊|Ariel代墊|中信銀行共用"")), ""內部轉帳(忽略)"",
  AND(E10452&lt;&gt;"""", F10452&lt;&gt;"&amp;""""", NOT(REGEXMATCH(C10452, ""薪資""))), ""內部轉帳(忽略)"",
  REGEXMATCH(C10452, ""薪資""), ""薪資變動(不計入)"",
  REGEXMATCH(C10452, ""押金""), ""押金往來"",
  AND(E10452&lt;&gt;"""", F10452=""""), ""真實支出"",
  AND(E10452="""", F10452&lt;&gt;""""), ""真實收入"",
  TRUE, ""其他""
)"),"其他")</f>
        <v>其他</v>
      </c>
      <c r="K10452" s="270" t="str">
        <f t="shared" si="2"/>
        <v/>
      </c>
      <c r="L10452">
        <f t="shared" si="3"/>
        <v>0</v>
      </c>
    </row>
    <row r="10453">
      <c r="A10453" s="107"/>
      <c r="D10453" s="270"/>
      <c r="H10453" s="106" t="str">
        <f t="shared" si="1"/>
        <v/>
      </c>
      <c r="J10453" t="str">
        <f>IFERROR(__xludf.DUMMYFUNCTION("IFS(
  AND(REGEXMATCH(E10453, ""台銀籌備帳戶|玉山帳戶""), REGEXMATCH(C10453, ""薪資"")), ""分潤支出"",
  AND(REGEXMATCH(E10453, ""Ben帳戶|Elsa帳戶|Ben代墊|Ariel代墊|中信銀行共用""), REGEXMATCH(F10453, ""Ben帳戶|Elsa帳戶|Ben代墊|Ariel代墊|中信銀行共用"")), ""內部轉帳(忽略)"",
  AND(E10453&lt;&gt;"""", F10453&lt;&gt;"&amp;""""", NOT(REGEXMATCH(C10453, ""薪資""))), ""內部轉帳(忽略)"",
  REGEXMATCH(C10453, ""薪資""), ""薪資變動(不計入)"",
  REGEXMATCH(C10453, ""押金""), ""押金往來"",
  AND(E10453&lt;&gt;"""", F10453=""""), ""真實支出"",
  AND(E10453="""", F10453&lt;&gt;""""), ""真實收入"",
  TRUE, ""其他""
)"),"其他")</f>
        <v>其他</v>
      </c>
      <c r="K10453" s="270" t="str">
        <f t="shared" si="2"/>
        <v/>
      </c>
      <c r="L10453">
        <f t="shared" si="3"/>
        <v>0</v>
      </c>
    </row>
    <row r="10454">
      <c r="A10454" s="107"/>
      <c r="D10454" s="270"/>
      <c r="H10454" s="106" t="str">
        <f t="shared" si="1"/>
        <v/>
      </c>
      <c r="J10454" t="str">
        <f>IFERROR(__xludf.DUMMYFUNCTION("IFS(
  AND(REGEXMATCH(E10454, ""台銀籌備帳戶|玉山帳戶""), REGEXMATCH(C10454, ""薪資"")), ""分潤支出"",
  AND(REGEXMATCH(E10454, ""Ben帳戶|Elsa帳戶|Ben代墊|Ariel代墊|中信銀行共用""), REGEXMATCH(F10454, ""Ben帳戶|Elsa帳戶|Ben代墊|Ariel代墊|中信銀行共用"")), ""內部轉帳(忽略)"",
  AND(E10454&lt;&gt;"""", F10454&lt;&gt;"&amp;""""", NOT(REGEXMATCH(C10454, ""薪資""))), ""內部轉帳(忽略)"",
  REGEXMATCH(C10454, ""薪資""), ""薪資變動(不計入)"",
  REGEXMATCH(C10454, ""押金""), ""押金往來"",
  AND(E10454&lt;&gt;"""", F10454=""""), ""真實支出"",
  AND(E10454="""", F10454&lt;&gt;""""), ""真實收入"",
  TRUE, ""其他""
)"),"其他")</f>
        <v>其他</v>
      </c>
      <c r="K10454" s="270" t="str">
        <f t="shared" si="2"/>
        <v/>
      </c>
      <c r="L10454">
        <f t="shared" si="3"/>
        <v>0</v>
      </c>
    </row>
    <row r="10455">
      <c r="A10455" s="107"/>
      <c r="D10455" s="270"/>
      <c r="H10455" s="106" t="str">
        <f t="shared" si="1"/>
        <v/>
      </c>
      <c r="J10455" t="str">
        <f>IFERROR(__xludf.DUMMYFUNCTION("IFS(
  AND(REGEXMATCH(E10455, ""台銀籌備帳戶|玉山帳戶""), REGEXMATCH(C10455, ""薪資"")), ""分潤支出"",
  AND(REGEXMATCH(E10455, ""Ben帳戶|Elsa帳戶|Ben代墊|Ariel代墊|中信銀行共用""), REGEXMATCH(F10455, ""Ben帳戶|Elsa帳戶|Ben代墊|Ariel代墊|中信銀行共用"")), ""內部轉帳(忽略)"",
  AND(E10455&lt;&gt;"""", F10455&lt;&gt;"&amp;""""", NOT(REGEXMATCH(C10455, ""薪資""))), ""內部轉帳(忽略)"",
  REGEXMATCH(C10455, ""薪資""), ""薪資變動(不計入)"",
  REGEXMATCH(C10455, ""押金""), ""押金往來"",
  AND(E10455&lt;&gt;"""", F10455=""""), ""真實支出"",
  AND(E10455="""", F10455&lt;&gt;""""), ""真實收入"",
  TRUE, ""其他""
)"),"其他")</f>
        <v>其他</v>
      </c>
      <c r="K10455" s="270" t="str">
        <f t="shared" si="2"/>
        <v/>
      </c>
      <c r="L10455">
        <f t="shared" si="3"/>
        <v>0</v>
      </c>
    </row>
    <row r="10456">
      <c r="A10456" s="107"/>
      <c r="D10456" s="270"/>
      <c r="H10456" s="106" t="str">
        <f t="shared" si="1"/>
        <v/>
      </c>
      <c r="J10456" t="str">
        <f>IFERROR(__xludf.DUMMYFUNCTION("IFS(
  AND(REGEXMATCH(E10456, ""台銀籌備帳戶|玉山帳戶""), REGEXMATCH(C10456, ""薪資"")), ""分潤支出"",
  AND(REGEXMATCH(E10456, ""Ben帳戶|Elsa帳戶|Ben代墊|Ariel代墊|中信銀行共用""), REGEXMATCH(F10456, ""Ben帳戶|Elsa帳戶|Ben代墊|Ariel代墊|中信銀行共用"")), ""內部轉帳(忽略)"",
  AND(E10456&lt;&gt;"""", F10456&lt;&gt;"&amp;""""", NOT(REGEXMATCH(C10456, ""薪資""))), ""內部轉帳(忽略)"",
  REGEXMATCH(C10456, ""薪資""), ""薪資變動(不計入)"",
  REGEXMATCH(C10456, ""押金""), ""押金往來"",
  AND(E10456&lt;&gt;"""", F10456=""""), ""真實支出"",
  AND(E10456="""", F10456&lt;&gt;""""), ""真實收入"",
  TRUE, ""其他""
)"),"其他")</f>
        <v>其他</v>
      </c>
      <c r="K10456" s="270" t="str">
        <f t="shared" si="2"/>
        <v/>
      </c>
      <c r="L10456">
        <f t="shared" si="3"/>
        <v>0</v>
      </c>
    </row>
    <row r="10457">
      <c r="A10457" s="107"/>
      <c r="D10457" s="270"/>
      <c r="H10457" s="106" t="str">
        <f t="shared" si="1"/>
        <v/>
      </c>
      <c r="J10457" t="str">
        <f>IFERROR(__xludf.DUMMYFUNCTION("IFS(
  AND(REGEXMATCH(E10457, ""台銀籌備帳戶|玉山帳戶""), REGEXMATCH(C10457, ""薪資"")), ""分潤支出"",
  AND(REGEXMATCH(E10457, ""Ben帳戶|Elsa帳戶|Ben代墊|Ariel代墊|中信銀行共用""), REGEXMATCH(F10457, ""Ben帳戶|Elsa帳戶|Ben代墊|Ariel代墊|中信銀行共用"")), ""內部轉帳(忽略)"",
  AND(E10457&lt;&gt;"""", F10457&lt;&gt;"&amp;""""", NOT(REGEXMATCH(C10457, ""薪資""))), ""內部轉帳(忽略)"",
  REGEXMATCH(C10457, ""薪資""), ""薪資變動(不計入)"",
  REGEXMATCH(C10457, ""押金""), ""押金往來"",
  AND(E10457&lt;&gt;"""", F10457=""""), ""真實支出"",
  AND(E10457="""", F10457&lt;&gt;""""), ""真實收入"",
  TRUE, ""其他""
)"),"其他")</f>
        <v>其他</v>
      </c>
      <c r="K10457" s="270" t="str">
        <f t="shared" si="2"/>
        <v/>
      </c>
      <c r="L10457">
        <f t="shared" si="3"/>
        <v>0</v>
      </c>
    </row>
    <row r="10458">
      <c r="A10458" s="107"/>
      <c r="D10458" s="270"/>
      <c r="H10458" s="106" t="str">
        <f t="shared" si="1"/>
        <v/>
      </c>
      <c r="J10458" t="str">
        <f>IFERROR(__xludf.DUMMYFUNCTION("IFS(
  AND(REGEXMATCH(E10458, ""台銀籌備帳戶|玉山帳戶""), REGEXMATCH(C10458, ""薪資"")), ""分潤支出"",
  AND(REGEXMATCH(E10458, ""Ben帳戶|Elsa帳戶|Ben代墊|Ariel代墊|中信銀行共用""), REGEXMATCH(F10458, ""Ben帳戶|Elsa帳戶|Ben代墊|Ariel代墊|中信銀行共用"")), ""內部轉帳(忽略)"",
  AND(E10458&lt;&gt;"""", F10458&lt;&gt;"&amp;""""", NOT(REGEXMATCH(C10458, ""薪資""))), ""內部轉帳(忽略)"",
  REGEXMATCH(C10458, ""薪資""), ""薪資變動(不計入)"",
  REGEXMATCH(C10458, ""押金""), ""押金往來"",
  AND(E10458&lt;&gt;"""", F10458=""""), ""真實支出"",
  AND(E10458="""", F10458&lt;&gt;""""), ""真實收入"",
  TRUE, ""其他""
)"),"其他")</f>
        <v>其他</v>
      </c>
      <c r="K10458" s="270" t="str">
        <f t="shared" si="2"/>
        <v/>
      </c>
      <c r="L10458">
        <f t="shared" si="3"/>
        <v>0</v>
      </c>
    </row>
    <row r="10459">
      <c r="A10459" s="107"/>
      <c r="D10459" s="270"/>
      <c r="H10459" s="106" t="str">
        <f t="shared" si="1"/>
        <v/>
      </c>
      <c r="J10459" t="str">
        <f>IFERROR(__xludf.DUMMYFUNCTION("IFS(
  AND(REGEXMATCH(E10459, ""台銀籌備帳戶|玉山帳戶""), REGEXMATCH(C10459, ""薪資"")), ""分潤支出"",
  AND(REGEXMATCH(E10459, ""Ben帳戶|Elsa帳戶|Ben代墊|Ariel代墊|中信銀行共用""), REGEXMATCH(F10459, ""Ben帳戶|Elsa帳戶|Ben代墊|Ariel代墊|中信銀行共用"")), ""內部轉帳(忽略)"",
  AND(E10459&lt;&gt;"""", F10459&lt;&gt;"&amp;""""", NOT(REGEXMATCH(C10459, ""薪資""))), ""內部轉帳(忽略)"",
  REGEXMATCH(C10459, ""薪資""), ""薪資變動(不計入)"",
  REGEXMATCH(C10459, ""押金""), ""押金往來"",
  AND(E10459&lt;&gt;"""", F10459=""""), ""真實支出"",
  AND(E10459="""", F10459&lt;&gt;""""), ""真實收入"",
  TRUE, ""其他""
)"),"其他")</f>
        <v>其他</v>
      </c>
      <c r="K10459" s="270" t="str">
        <f t="shared" si="2"/>
        <v/>
      </c>
      <c r="L10459">
        <f t="shared" si="3"/>
        <v>0</v>
      </c>
    </row>
    <row r="10460">
      <c r="A10460" s="107"/>
      <c r="D10460" s="270"/>
      <c r="H10460" s="106" t="str">
        <f t="shared" si="1"/>
        <v/>
      </c>
      <c r="J10460" t="str">
        <f>IFERROR(__xludf.DUMMYFUNCTION("IFS(
  AND(REGEXMATCH(E10460, ""台銀籌備帳戶|玉山帳戶""), REGEXMATCH(C10460, ""薪資"")), ""分潤支出"",
  AND(REGEXMATCH(E10460, ""Ben帳戶|Elsa帳戶|Ben代墊|Ariel代墊|中信銀行共用""), REGEXMATCH(F10460, ""Ben帳戶|Elsa帳戶|Ben代墊|Ariel代墊|中信銀行共用"")), ""內部轉帳(忽略)"",
  AND(E10460&lt;&gt;"""", F10460&lt;&gt;"&amp;""""", NOT(REGEXMATCH(C10460, ""薪資""))), ""內部轉帳(忽略)"",
  REGEXMATCH(C10460, ""薪資""), ""薪資變動(不計入)"",
  REGEXMATCH(C10460, ""押金""), ""押金往來"",
  AND(E10460&lt;&gt;"""", F10460=""""), ""真實支出"",
  AND(E10460="""", F10460&lt;&gt;""""), ""真實收入"",
  TRUE, ""其他""
)"),"其他")</f>
        <v>其他</v>
      </c>
      <c r="K10460" s="270" t="str">
        <f t="shared" si="2"/>
        <v/>
      </c>
      <c r="L10460">
        <f t="shared" si="3"/>
        <v>0</v>
      </c>
    </row>
    <row r="10461">
      <c r="A10461" s="107"/>
      <c r="D10461" s="270"/>
      <c r="H10461" s="106" t="str">
        <f t="shared" si="1"/>
        <v/>
      </c>
      <c r="J10461" t="str">
        <f>IFERROR(__xludf.DUMMYFUNCTION("IFS(
  AND(REGEXMATCH(E10461, ""台銀籌備帳戶|玉山帳戶""), REGEXMATCH(C10461, ""薪資"")), ""分潤支出"",
  AND(REGEXMATCH(E10461, ""Ben帳戶|Elsa帳戶|Ben代墊|Ariel代墊|中信銀行共用""), REGEXMATCH(F10461, ""Ben帳戶|Elsa帳戶|Ben代墊|Ariel代墊|中信銀行共用"")), ""內部轉帳(忽略)"",
  AND(E10461&lt;&gt;"""", F10461&lt;&gt;"&amp;""""", NOT(REGEXMATCH(C10461, ""薪資""))), ""內部轉帳(忽略)"",
  REGEXMATCH(C10461, ""薪資""), ""薪資變動(不計入)"",
  REGEXMATCH(C10461, ""押金""), ""押金往來"",
  AND(E10461&lt;&gt;"""", F10461=""""), ""真實支出"",
  AND(E10461="""", F10461&lt;&gt;""""), ""真實收入"",
  TRUE, ""其他""
)"),"其他")</f>
        <v>其他</v>
      </c>
      <c r="K10461" s="270" t="str">
        <f t="shared" si="2"/>
        <v/>
      </c>
      <c r="L10461">
        <f t="shared" si="3"/>
        <v>0</v>
      </c>
    </row>
    <row r="10462">
      <c r="A10462" s="107"/>
      <c r="D10462" s="270"/>
      <c r="H10462" s="106" t="str">
        <f t="shared" si="1"/>
        <v/>
      </c>
      <c r="J10462" t="str">
        <f>IFERROR(__xludf.DUMMYFUNCTION("IFS(
  AND(REGEXMATCH(E10462, ""台銀籌備帳戶|玉山帳戶""), REGEXMATCH(C10462, ""薪資"")), ""分潤支出"",
  AND(REGEXMATCH(E10462, ""Ben帳戶|Elsa帳戶|Ben代墊|Ariel代墊|中信銀行共用""), REGEXMATCH(F10462, ""Ben帳戶|Elsa帳戶|Ben代墊|Ariel代墊|中信銀行共用"")), ""內部轉帳(忽略)"",
  AND(E10462&lt;&gt;"""", F10462&lt;&gt;"&amp;""""", NOT(REGEXMATCH(C10462, ""薪資""))), ""內部轉帳(忽略)"",
  REGEXMATCH(C10462, ""薪資""), ""薪資變動(不計入)"",
  REGEXMATCH(C10462, ""押金""), ""押金往來"",
  AND(E10462&lt;&gt;"""", F10462=""""), ""真實支出"",
  AND(E10462="""", F10462&lt;&gt;""""), ""真實收入"",
  TRUE, ""其他""
)"),"其他")</f>
        <v>其他</v>
      </c>
      <c r="K10462" s="270" t="str">
        <f t="shared" si="2"/>
        <v/>
      </c>
      <c r="L10462">
        <f t="shared" si="3"/>
        <v>0</v>
      </c>
    </row>
    <row r="10463">
      <c r="A10463" s="107"/>
      <c r="D10463" s="270"/>
      <c r="H10463" s="106" t="str">
        <f t="shared" si="1"/>
        <v/>
      </c>
      <c r="J10463" t="str">
        <f>IFERROR(__xludf.DUMMYFUNCTION("IFS(
  AND(REGEXMATCH(E10463, ""台銀籌備帳戶|玉山帳戶""), REGEXMATCH(C10463, ""薪資"")), ""分潤支出"",
  AND(REGEXMATCH(E10463, ""Ben帳戶|Elsa帳戶|Ben代墊|Ariel代墊|中信銀行共用""), REGEXMATCH(F10463, ""Ben帳戶|Elsa帳戶|Ben代墊|Ariel代墊|中信銀行共用"")), ""內部轉帳(忽略)"",
  AND(E10463&lt;&gt;"""", F10463&lt;&gt;"&amp;""""", NOT(REGEXMATCH(C10463, ""薪資""))), ""內部轉帳(忽略)"",
  REGEXMATCH(C10463, ""薪資""), ""薪資變動(不計入)"",
  REGEXMATCH(C10463, ""押金""), ""押金往來"",
  AND(E10463&lt;&gt;"""", F10463=""""), ""真實支出"",
  AND(E10463="""", F10463&lt;&gt;""""), ""真實收入"",
  TRUE, ""其他""
)"),"其他")</f>
        <v>其他</v>
      </c>
      <c r="K10463" s="270" t="str">
        <f t="shared" si="2"/>
        <v/>
      </c>
      <c r="L10463">
        <f t="shared" si="3"/>
        <v>0</v>
      </c>
    </row>
    <row r="10464">
      <c r="A10464" s="107"/>
      <c r="D10464" s="270"/>
      <c r="H10464" s="106" t="str">
        <f t="shared" si="1"/>
        <v/>
      </c>
      <c r="J10464" t="str">
        <f>IFERROR(__xludf.DUMMYFUNCTION("IFS(
  AND(REGEXMATCH(E10464, ""台銀籌備帳戶|玉山帳戶""), REGEXMATCH(C10464, ""薪資"")), ""分潤支出"",
  AND(REGEXMATCH(E10464, ""Ben帳戶|Elsa帳戶|Ben代墊|Ariel代墊|中信銀行共用""), REGEXMATCH(F10464, ""Ben帳戶|Elsa帳戶|Ben代墊|Ariel代墊|中信銀行共用"")), ""內部轉帳(忽略)"",
  AND(E10464&lt;&gt;"""", F10464&lt;&gt;"&amp;""""", NOT(REGEXMATCH(C10464, ""薪資""))), ""內部轉帳(忽略)"",
  REGEXMATCH(C10464, ""薪資""), ""薪資變動(不計入)"",
  REGEXMATCH(C10464, ""押金""), ""押金往來"",
  AND(E10464&lt;&gt;"""", F10464=""""), ""真實支出"",
  AND(E10464="""", F10464&lt;&gt;""""), ""真實收入"",
  TRUE, ""其他""
)"),"其他")</f>
        <v>其他</v>
      </c>
      <c r="K10464" s="270" t="str">
        <f t="shared" si="2"/>
        <v/>
      </c>
      <c r="L10464">
        <f t="shared" si="3"/>
        <v>0</v>
      </c>
    </row>
    <row r="10465">
      <c r="A10465" s="107"/>
      <c r="D10465" s="270"/>
      <c r="H10465" s="106" t="str">
        <f t="shared" si="1"/>
        <v/>
      </c>
      <c r="J10465" t="str">
        <f>IFERROR(__xludf.DUMMYFUNCTION("IFS(
  AND(REGEXMATCH(E10465, ""台銀籌備帳戶|玉山帳戶""), REGEXMATCH(C10465, ""薪資"")), ""分潤支出"",
  AND(REGEXMATCH(E10465, ""Ben帳戶|Elsa帳戶|Ben代墊|Ariel代墊|中信銀行共用""), REGEXMATCH(F10465, ""Ben帳戶|Elsa帳戶|Ben代墊|Ariel代墊|中信銀行共用"")), ""內部轉帳(忽略)"",
  AND(E10465&lt;&gt;"""", F10465&lt;&gt;"&amp;""""", NOT(REGEXMATCH(C10465, ""薪資""))), ""內部轉帳(忽略)"",
  REGEXMATCH(C10465, ""薪資""), ""薪資變動(不計入)"",
  REGEXMATCH(C10465, ""押金""), ""押金往來"",
  AND(E10465&lt;&gt;"""", F10465=""""), ""真實支出"",
  AND(E10465="""", F10465&lt;&gt;""""), ""真實收入"",
  TRUE, ""其他""
)"),"其他")</f>
        <v>其他</v>
      </c>
      <c r="K10465" s="270" t="str">
        <f t="shared" si="2"/>
        <v/>
      </c>
      <c r="L10465">
        <f t="shared" si="3"/>
        <v>0</v>
      </c>
    </row>
    <row r="10466">
      <c r="A10466" s="107"/>
      <c r="D10466" s="270"/>
      <c r="H10466" s="106" t="str">
        <f t="shared" si="1"/>
        <v/>
      </c>
      <c r="J10466" t="str">
        <f>IFERROR(__xludf.DUMMYFUNCTION("IFS(
  AND(REGEXMATCH(E10466, ""台銀籌備帳戶|玉山帳戶""), REGEXMATCH(C10466, ""薪資"")), ""分潤支出"",
  AND(REGEXMATCH(E10466, ""Ben帳戶|Elsa帳戶|Ben代墊|Ariel代墊|中信銀行共用""), REGEXMATCH(F10466, ""Ben帳戶|Elsa帳戶|Ben代墊|Ariel代墊|中信銀行共用"")), ""內部轉帳(忽略)"",
  AND(E10466&lt;&gt;"""", F10466&lt;&gt;"&amp;""""", NOT(REGEXMATCH(C10466, ""薪資""))), ""內部轉帳(忽略)"",
  REGEXMATCH(C10466, ""薪資""), ""薪資變動(不計入)"",
  REGEXMATCH(C10466, ""押金""), ""押金往來"",
  AND(E10466&lt;&gt;"""", F10466=""""), ""真實支出"",
  AND(E10466="""", F10466&lt;&gt;""""), ""真實收入"",
  TRUE, ""其他""
)"),"其他")</f>
        <v>其他</v>
      </c>
      <c r="K10466" s="270" t="str">
        <f t="shared" si="2"/>
        <v/>
      </c>
      <c r="L10466">
        <f t="shared" si="3"/>
        <v>0</v>
      </c>
    </row>
    <row r="10467">
      <c r="A10467" s="107"/>
      <c r="D10467" s="270"/>
      <c r="H10467" s="106" t="str">
        <f t="shared" si="1"/>
        <v/>
      </c>
      <c r="J10467" t="str">
        <f>IFERROR(__xludf.DUMMYFUNCTION("IFS(
  AND(REGEXMATCH(E10467, ""台銀籌備帳戶|玉山帳戶""), REGEXMATCH(C10467, ""薪資"")), ""分潤支出"",
  AND(REGEXMATCH(E10467, ""Ben帳戶|Elsa帳戶|Ben代墊|Ariel代墊|中信銀行共用""), REGEXMATCH(F10467, ""Ben帳戶|Elsa帳戶|Ben代墊|Ariel代墊|中信銀行共用"")), ""內部轉帳(忽略)"",
  AND(E10467&lt;&gt;"""", F10467&lt;&gt;"&amp;""""", NOT(REGEXMATCH(C10467, ""薪資""))), ""內部轉帳(忽略)"",
  REGEXMATCH(C10467, ""薪資""), ""薪資變動(不計入)"",
  REGEXMATCH(C10467, ""押金""), ""押金往來"",
  AND(E10467&lt;&gt;"""", F10467=""""), ""真實支出"",
  AND(E10467="""", F10467&lt;&gt;""""), ""真實收入"",
  TRUE, ""其他""
)"),"其他")</f>
        <v>其他</v>
      </c>
      <c r="K10467" s="270" t="str">
        <f t="shared" si="2"/>
        <v/>
      </c>
      <c r="L10467">
        <f t="shared" si="3"/>
        <v>0</v>
      </c>
    </row>
    <row r="10468">
      <c r="A10468" s="107"/>
      <c r="D10468" s="270"/>
      <c r="H10468" s="106" t="str">
        <f t="shared" si="1"/>
        <v/>
      </c>
      <c r="J10468" t="str">
        <f>IFERROR(__xludf.DUMMYFUNCTION("IFS(
  AND(REGEXMATCH(E10468, ""台銀籌備帳戶|玉山帳戶""), REGEXMATCH(C10468, ""薪資"")), ""分潤支出"",
  AND(REGEXMATCH(E10468, ""Ben帳戶|Elsa帳戶|Ben代墊|Ariel代墊|中信銀行共用""), REGEXMATCH(F10468, ""Ben帳戶|Elsa帳戶|Ben代墊|Ariel代墊|中信銀行共用"")), ""內部轉帳(忽略)"",
  AND(E10468&lt;&gt;"""", F10468&lt;&gt;"&amp;""""", NOT(REGEXMATCH(C10468, ""薪資""))), ""內部轉帳(忽略)"",
  REGEXMATCH(C10468, ""薪資""), ""薪資變動(不計入)"",
  REGEXMATCH(C10468, ""押金""), ""押金往來"",
  AND(E10468&lt;&gt;"""", F10468=""""), ""真實支出"",
  AND(E10468="""", F10468&lt;&gt;""""), ""真實收入"",
  TRUE, ""其他""
)"),"其他")</f>
        <v>其他</v>
      </c>
      <c r="K10468" s="270" t="str">
        <f t="shared" si="2"/>
        <v/>
      </c>
      <c r="L10468">
        <f t="shared" si="3"/>
        <v>0</v>
      </c>
    </row>
    <row r="10469">
      <c r="A10469" s="107"/>
      <c r="D10469" s="270"/>
      <c r="H10469" s="106" t="str">
        <f t="shared" si="1"/>
        <v/>
      </c>
      <c r="J10469" t="str">
        <f>IFERROR(__xludf.DUMMYFUNCTION("IFS(
  AND(REGEXMATCH(E10469, ""台銀籌備帳戶|玉山帳戶""), REGEXMATCH(C10469, ""薪資"")), ""分潤支出"",
  AND(REGEXMATCH(E10469, ""Ben帳戶|Elsa帳戶|Ben代墊|Ariel代墊|中信銀行共用""), REGEXMATCH(F10469, ""Ben帳戶|Elsa帳戶|Ben代墊|Ariel代墊|中信銀行共用"")), ""內部轉帳(忽略)"",
  AND(E10469&lt;&gt;"""", F10469&lt;&gt;"&amp;""""", NOT(REGEXMATCH(C10469, ""薪資""))), ""內部轉帳(忽略)"",
  REGEXMATCH(C10469, ""薪資""), ""薪資變動(不計入)"",
  REGEXMATCH(C10469, ""押金""), ""押金往來"",
  AND(E10469&lt;&gt;"""", F10469=""""), ""真實支出"",
  AND(E10469="""", F10469&lt;&gt;""""), ""真實收入"",
  TRUE, ""其他""
)"),"其他")</f>
        <v>其他</v>
      </c>
      <c r="K10469" s="270" t="str">
        <f t="shared" si="2"/>
        <v/>
      </c>
      <c r="L10469">
        <f t="shared" si="3"/>
        <v>0</v>
      </c>
    </row>
    <row r="10470">
      <c r="A10470" s="107"/>
      <c r="D10470" s="270"/>
      <c r="H10470" s="106" t="str">
        <f t="shared" si="1"/>
        <v/>
      </c>
      <c r="J10470" t="str">
        <f>IFERROR(__xludf.DUMMYFUNCTION("IFS(
  AND(REGEXMATCH(E10470, ""台銀籌備帳戶|玉山帳戶""), REGEXMATCH(C10470, ""薪資"")), ""分潤支出"",
  AND(REGEXMATCH(E10470, ""Ben帳戶|Elsa帳戶|Ben代墊|Ariel代墊|中信銀行共用""), REGEXMATCH(F10470, ""Ben帳戶|Elsa帳戶|Ben代墊|Ariel代墊|中信銀行共用"")), ""內部轉帳(忽略)"",
  AND(E10470&lt;&gt;"""", F10470&lt;&gt;"&amp;""""", NOT(REGEXMATCH(C10470, ""薪資""))), ""內部轉帳(忽略)"",
  REGEXMATCH(C10470, ""薪資""), ""薪資變動(不計入)"",
  REGEXMATCH(C10470, ""押金""), ""押金往來"",
  AND(E10470&lt;&gt;"""", F10470=""""), ""真實支出"",
  AND(E10470="""", F10470&lt;&gt;""""), ""真實收入"",
  TRUE, ""其他""
)"),"其他")</f>
        <v>其他</v>
      </c>
      <c r="K10470" s="270" t="str">
        <f t="shared" si="2"/>
        <v/>
      </c>
      <c r="L10470">
        <f t="shared" si="3"/>
        <v>0</v>
      </c>
    </row>
    <row r="10471">
      <c r="A10471" s="107"/>
      <c r="D10471" s="270"/>
      <c r="H10471" s="106" t="str">
        <f t="shared" si="1"/>
        <v/>
      </c>
      <c r="J10471" t="str">
        <f>IFERROR(__xludf.DUMMYFUNCTION("IFS(
  AND(REGEXMATCH(E10471, ""台銀籌備帳戶|玉山帳戶""), REGEXMATCH(C10471, ""薪資"")), ""分潤支出"",
  AND(REGEXMATCH(E10471, ""Ben帳戶|Elsa帳戶|Ben代墊|Ariel代墊|中信銀行共用""), REGEXMATCH(F10471, ""Ben帳戶|Elsa帳戶|Ben代墊|Ariel代墊|中信銀行共用"")), ""內部轉帳(忽略)"",
  AND(E10471&lt;&gt;"""", F10471&lt;&gt;"&amp;""""", NOT(REGEXMATCH(C10471, ""薪資""))), ""內部轉帳(忽略)"",
  REGEXMATCH(C10471, ""薪資""), ""薪資變動(不計入)"",
  REGEXMATCH(C10471, ""押金""), ""押金往來"",
  AND(E10471&lt;&gt;"""", F10471=""""), ""真實支出"",
  AND(E10471="""", F10471&lt;&gt;""""), ""真實收入"",
  TRUE, ""其他""
)"),"其他")</f>
        <v>其他</v>
      </c>
      <c r="K10471" s="270" t="str">
        <f t="shared" si="2"/>
        <v/>
      </c>
      <c r="L10471">
        <f t="shared" si="3"/>
        <v>0</v>
      </c>
    </row>
    <row r="10472">
      <c r="A10472" s="107"/>
      <c r="D10472" s="270"/>
      <c r="H10472" s="106" t="str">
        <f t="shared" si="1"/>
        <v/>
      </c>
      <c r="J10472" t="str">
        <f>IFERROR(__xludf.DUMMYFUNCTION("IFS(
  AND(REGEXMATCH(E10472, ""台銀籌備帳戶|玉山帳戶""), REGEXMATCH(C10472, ""薪資"")), ""分潤支出"",
  AND(REGEXMATCH(E10472, ""Ben帳戶|Elsa帳戶|Ben代墊|Ariel代墊|中信銀行共用""), REGEXMATCH(F10472, ""Ben帳戶|Elsa帳戶|Ben代墊|Ariel代墊|中信銀行共用"")), ""內部轉帳(忽略)"",
  AND(E10472&lt;&gt;"""", F10472&lt;&gt;"&amp;""""", NOT(REGEXMATCH(C10472, ""薪資""))), ""內部轉帳(忽略)"",
  REGEXMATCH(C10472, ""薪資""), ""薪資變動(不計入)"",
  REGEXMATCH(C10472, ""押金""), ""押金往來"",
  AND(E10472&lt;&gt;"""", F10472=""""), ""真實支出"",
  AND(E10472="""", F10472&lt;&gt;""""), ""真實收入"",
  TRUE, ""其他""
)"),"其他")</f>
        <v>其他</v>
      </c>
      <c r="K10472" s="270" t="str">
        <f t="shared" si="2"/>
        <v/>
      </c>
      <c r="L10472">
        <f t="shared" si="3"/>
        <v>0</v>
      </c>
    </row>
    <row r="10473">
      <c r="A10473" s="107"/>
      <c r="D10473" s="270"/>
      <c r="H10473" s="106" t="str">
        <f t="shared" si="1"/>
        <v/>
      </c>
      <c r="J10473" t="str">
        <f>IFERROR(__xludf.DUMMYFUNCTION("IFS(
  AND(REGEXMATCH(E10473, ""台銀籌備帳戶|玉山帳戶""), REGEXMATCH(C10473, ""薪資"")), ""分潤支出"",
  AND(REGEXMATCH(E10473, ""Ben帳戶|Elsa帳戶|Ben代墊|Ariel代墊|中信銀行共用""), REGEXMATCH(F10473, ""Ben帳戶|Elsa帳戶|Ben代墊|Ariel代墊|中信銀行共用"")), ""內部轉帳(忽略)"",
  AND(E10473&lt;&gt;"""", F10473&lt;&gt;"&amp;""""", NOT(REGEXMATCH(C10473, ""薪資""))), ""內部轉帳(忽略)"",
  REGEXMATCH(C10473, ""薪資""), ""薪資變動(不計入)"",
  REGEXMATCH(C10473, ""押金""), ""押金往來"",
  AND(E10473&lt;&gt;"""", F10473=""""), ""真實支出"",
  AND(E10473="""", F10473&lt;&gt;""""), ""真實收入"",
  TRUE, ""其他""
)"),"其他")</f>
        <v>其他</v>
      </c>
      <c r="K10473" s="270" t="str">
        <f t="shared" si="2"/>
        <v/>
      </c>
      <c r="L10473">
        <f t="shared" si="3"/>
        <v>0</v>
      </c>
    </row>
    <row r="10474">
      <c r="A10474" s="107"/>
      <c r="D10474" s="270"/>
      <c r="H10474" s="106" t="str">
        <f t="shared" si="1"/>
        <v/>
      </c>
      <c r="J10474" t="str">
        <f>IFERROR(__xludf.DUMMYFUNCTION("IFS(
  AND(REGEXMATCH(E10474, ""台銀籌備帳戶|玉山帳戶""), REGEXMATCH(C10474, ""薪資"")), ""分潤支出"",
  AND(REGEXMATCH(E10474, ""Ben帳戶|Elsa帳戶|Ben代墊|Ariel代墊|中信銀行共用""), REGEXMATCH(F10474, ""Ben帳戶|Elsa帳戶|Ben代墊|Ariel代墊|中信銀行共用"")), ""內部轉帳(忽略)"",
  AND(E10474&lt;&gt;"""", F10474&lt;&gt;"&amp;""""", NOT(REGEXMATCH(C10474, ""薪資""))), ""內部轉帳(忽略)"",
  REGEXMATCH(C10474, ""薪資""), ""薪資變動(不計入)"",
  REGEXMATCH(C10474, ""押金""), ""押金往來"",
  AND(E10474&lt;&gt;"""", F10474=""""), ""真實支出"",
  AND(E10474="""", F10474&lt;&gt;""""), ""真實收入"",
  TRUE, ""其他""
)"),"其他")</f>
        <v>其他</v>
      </c>
      <c r="K10474" s="270" t="str">
        <f t="shared" si="2"/>
        <v/>
      </c>
      <c r="L10474">
        <f t="shared" si="3"/>
        <v>0</v>
      </c>
    </row>
    <row r="10475">
      <c r="A10475" s="107"/>
      <c r="D10475" s="270"/>
      <c r="H10475" s="106" t="str">
        <f t="shared" si="1"/>
        <v/>
      </c>
      <c r="J10475" t="str">
        <f>IFERROR(__xludf.DUMMYFUNCTION("IFS(
  AND(REGEXMATCH(E10475, ""台銀籌備帳戶|玉山帳戶""), REGEXMATCH(C10475, ""薪資"")), ""分潤支出"",
  AND(REGEXMATCH(E10475, ""Ben帳戶|Elsa帳戶|Ben代墊|Ariel代墊|中信銀行共用""), REGEXMATCH(F10475, ""Ben帳戶|Elsa帳戶|Ben代墊|Ariel代墊|中信銀行共用"")), ""內部轉帳(忽略)"",
  AND(E10475&lt;&gt;"""", F10475&lt;&gt;"&amp;""""", NOT(REGEXMATCH(C10475, ""薪資""))), ""內部轉帳(忽略)"",
  REGEXMATCH(C10475, ""薪資""), ""薪資變動(不計入)"",
  REGEXMATCH(C10475, ""押金""), ""押金往來"",
  AND(E10475&lt;&gt;"""", F10475=""""), ""真實支出"",
  AND(E10475="""", F10475&lt;&gt;""""), ""真實收入"",
  TRUE, ""其他""
)"),"其他")</f>
        <v>其他</v>
      </c>
      <c r="K10475" s="270" t="str">
        <f t="shared" si="2"/>
        <v/>
      </c>
      <c r="L10475">
        <f t="shared" si="3"/>
        <v>0</v>
      </c>
    </row>
    <row r="10476">
      <c r="A10476" s="107"/>
      <c r="D10476" s="270"/>
      <c r="H10476" s="106" t="str">
        <f t="shared" si="1"/>
        <v/>
      </c>
      <c r="J10476" t="str">
        <f>IFERROR(__xludf.DUMMYFUNCTION("IFS(
  AND(REGEXMATCH(E10476, ""台銀籌備帳戶|玉山帳戶""), REGEXMATCH(C10476, ""薪資"")), ""分潤支出"",
  AND(REGEXMATCH(E10476, ""Ben帳戶|Elsa帳戶|Ben代墊|Ariel代墊|中信銀行共用""), REGEXMATCH(F10476, ""Ben帳戶|Elsa帳戶|Ben代墊|Ariel代墊|中信銀行共用"")), ""內部轉帳(忽略)"",
  AND(E10476&lt;&gt;"""", F10476&lt;&gt;"&amp;""""", NOT(REGEXMATCH(C10476, ""薪資""))), ""內部轉帳(忽略)"",
  REGEXMATCH(C10476, ""薪資""), ""薪資變動(不計入)"",
  REGEXMATCH(C10476, ""押金""), ""押金往來"",
  AND(E10476&lt;&gt;"""", F10476=""""), ""真實支出"",
  AND(E10476="""", F10476&lt;&gt;""""), ""真實收入"",
  TRUE, ""其他""
)"),"其他")</f>
        <v>其他</v>
      </c>
      <c r="K10476" s="270" t="str">
        <f t="shared" si="2"/>
        <v/>
      </c>
      <c r="L10476">
        <f t="shared" si="3"/>
        <v>0</v>
      </c>
    </row>
    <row r="10477">
      <c r="A10477" s="107"/>
      <c r="D10477" s="270"/>
      <c r="H10477" s="106" t="str">
        <f t="shared" si="1"/>
        <v/>
      </c>
      <c r="J10477" t="str">
        <f>IFERROR(__xludf.DUMMYFUNCTION("IFS(
  AND(REGEXMATCH(E10477, ""台銀籌備帳戶|玉山帳戶""), REGEXMATCH(C10477, ""薪資"")), ""分潤支出"",
  AND(REGEXMATCH(E10477, ""Ben帳戶|Elsa帳戶|Ben代墊|Ariel代墊|中信銀行共用""), REGEXMATCH(F10477, ""Ben帳戶|Elsa帳戶|Ben代墊|Ariel代墊|中信銀行共用"")), ""內部轉帳(忽略)"",
  AND(E10477&lt;&gt;"""", F10477&lt;&gt;"&amp;""""", NOT(REGEXMATCH(C10477, ""薪資""))), ""內部轉帳(忽略)"",
  REGEXMATCH(C10477, ""薪資""), ""薪資變動(不計入)"",
  REGEXMATCH(C10477, ""押金""), ""押金往來"",
  AND(E10477&lt;&gt;"""", F10477=""""), ""真實支出"",
  AND(E10477="""", F10477&lt;&gt;""""), ""真實收入"",
  TRUE, ""其他""
)"),"其他")</f>
        <v>其他</v>
      </c>
      <c r="K10477" s="270" t="str">
        <f t="shared" si="2"/>
        <v/>
      </c>
      <c r="L10477">
        <f t="shared" si="3"/>
        <v>0</v>
      </c>
    </row>
    <row r="10478">
      <c r="A10478" s="107"/>
      <c r="D10478" s="270"/>
      <c r="H10478" s="106" t="str">
        <f t="shared" si="1"/>
        <v/>
      </c>
      <c r="J10478" t="str">
        <f>IFERROR(__xludf.DUMMYFUNCTION("IFS(
  AND(REGEXMATCH(E10478, ""台銀籌備帳戶|玉山帳戶""), REGEXMATCH(C10478, ""薪資"")), ""分潤支出"",
  AND(REGEXMATCH(E10478, ""Ben帳戶|Elsa帳戶|Ben代墊|Ariel代墊|中信銀行共用""), REGEXMATCH(F10478, ""Ben帳戶|Elsa帳戶|Ben代墊|Ariel代墊|中信銀行共用"")), ""內部轉帳(忽略)"",
  AND(E10478&lt;&gt;"""", F10478&lt;&gt;"&amp;""""", NOT(REGEXMATCH(C10478, ""薪資""))), ""內部轉帳(忽略)"",
  REGEXMATCH(C10478, ""薪資""), ""薪資變動(不計入)"",
  REGEXMATCH(C10478, ""押金""), ""押金往來"",
  AND(E10478&lt;&gt;"""", F10478=""""), ""真實支出"",
  AND(E10478="""", F10478&lt;&gt;""""), ""真實收入"",
  TRUE, ""其他""
)"),"其他")</f>
        <v>其他</v>
      </c>
      <c r="K10478" s="270" t="str">
        <f t="shared" si="2"/>
        <v/>
      </c>
      <c r="L10478">
        <f t="shared" si="3"/>
        <v>0</v>
      </c>
    </row>
    <row r="10479">
      <c r="A10479" s="107"/>
      <c r="D10479" s="270"/>
      <c r="H10479" s="106" t="str">
        <f t="shared" si="1"/>
        <v/>
      </c>
      <c r="J10479" t="str">
        <f>IFERROR(__xludf.DUMMYFUNCTION("IFS(
  AND(REGEXMATCH(E10479, ""台銀籌備帳戶|玉山帳戶""), REGEXMATCH(C10479, ""薪資"")), ""分潤支出"",
  AND(REGEXMATCH(E10479, ""Ben帳戶|Elsa帳戶|Ben代墊|Ariel代墊|中信銀行共用""), REGEXMATCH(F10479, ""Ben帳戶|Elsa帳戶|Ben代墊|Ariel代墊|中信銀行共用"")), ""內部轉帳(忽略)"",
  AND(E10479&lt;&gt;"""", F10479&lt;&gt;"&amp;""""", NOT(REGEXMATCH(C10479, ""薪資""))), ""內部轉帳(忽略)"",
  REGEXMATCH(C10479, ""薪資""), ""薪資變動(不計入)"",
  REGEXMATCH(C10479, ""押金""), ""押金往來"",
  AND(E10479&lt;&gt;"""", F10479=""""), ""真實支出"",
  AND(E10479="""", F10479&lt;&gt;""""), ""真實收入"",
  TRUE, ""其他""
)"),"其他")</f>
        <v>其他</v>
      </c>
      <c r="K10479" s="270" t="str">
        <f t="shared" si="2"/>
        <v/>
      </c>
      <c r="L10479">
        <f t="shared" si="3"/>
        <v>0</v>
      </c>
    </row>
    <row r="10480">
      <c r="A10480" s="107"/>
      <c r="D10480" s="270"/>
      <c r="H10480" s="106" t="str">
        <f t="shared" si="1"/>
        <v/>
      </c>
      <c r="J10480" t="str">
        <f>IFERROR(__xludf.DUMMYFUNCTION("IFS(
  AND(REGEXMATCH(E10480, ""台銀籌備帳戶|玉山帳戶""), REGEXMATCH(C10480, ""薪資"")), ""分潤支出"",
  AND(REGEXMATCH(E10480, ""Ben帳戶|Elsa帳戶|Ben代墊|Ariel代墊|中信銀行共用""), REGEXMATCH(F10480, ""Ben帳戶|Elsa帳戶|Ben代墊|Ariel代墊|中信銀行共用"")), ""內部轉帳(忽略)"",
  AND(E10480&lt;&gt;"""", F10480&lt;&gt;"&amp;""""", NOT(REGEXMATCH(C10480, ""薪資""))), ""內部轉帳(忽略)"",
  REGEXMATCH(C10480, ""薪資""), ""薪資變動(不計入)"",
  REGEXMATCH(C10480, ""押金""), ""押金往來"",
  AND(E10480&lt;&gt;"""", F10480=""""), ""真實支出"",
  AND(E10480="""", F10480&lt;&gt;""""), ""真實收入"",
  TRUE, ""其他""
)"),"其他")</f>
        <v>其他</v>
      </c>
      <c r="K10480" s="270" t="str">
        <f t="shared" si="2"/>
        <v/>
      </c>
      <c r="L10480">
        <f t="shared" si="3"/>
        <v>0</v>
      </c>
    </row>
    <row r="10481">
      <c r="A10481" s="107"/>
      <c r="D10481" s="270"/>
      <c r="H10481" s="106" t="str">
        <f t="shared" si="1"/>
        <v/>
      </c>
      <c r="J10481" t="str">
        <f>IFERROR(__xludf.DUMMYFUNCTION("IFS(
  AND(REGEXMATCH(E10481, ""台銀籌備帳戶|玉山帳戶""), REGEXMATCH(C10481, ""薪資"")), ""分潤支出"",
  AND(REGEXMATCH(E10481, ""Ben帳戶|Elsa帳戶|Ben代墊|Ariel代墊|中信銀行共用""), REGEXMATCH(F10481, ""Ben帳戶|Elsa帳戶|Ben代墊|Ariel代墊|中信銀行共用"")), ""內部轉帳(忽略)"",
  AND(E10481&lt;&gt;"""", F10481&lt;&gt;"&amp;""""", NOT(REGEXMATCH(C10481, ""薪資""))), ""內部轉帳(忽略)"",
  REGEXMATCH(C10481, ""薪資""), ""薪資變動(不計入)"",
  REGEXMATCH(C10481, ""押金""), ""押金往來"",
  AND(E10481&lt;&gt;"""", F10481=""""), ""真實支出"",
  AND(E10481="""", F10481&lt;&gt;""""), ""真實收入"",
  TRUE, ""其他""
)"),"其他")</f>
        <v>其他</v>
      </c>
      <c r="K10481" s="270" t="str">
        <f t="shared" si="2"/>
        <v/>
      </c>
      <c r="L10481">
        <f t="shared" si="3"/>
        <v>0</v>
      </c>
    </row>
    <row r="10482">
      <c r="A10482" s="107"/>
      <c r="D10482" s="270"/>
      <c r="H10482" s="106" t="str">
        <f t="shared" si="1"/>
        <v/>
      </c>
      <c r="J10482" t="str">
        <f>IFERROR(__xludf.DUMMYFUNCTION("IFS(
  AND(REGEXMATCH(E10482, ""台銀籌備帳戶|玉山帳戶""), REGEXMATCH(C10482, ""薪資"")), ""分潤支出"",
  AND(REGEXMATCH(E10482, ""Ben帳戶|Elsa帳戶|Ben代墊|Ariel代墊|中信銀行共用""), REGEXMATCH(F10482, ""Ben帳戶|Elsa帳戶|Ben代墊|Ariel代墊|中信銀行共用"")), ""內部轉帳(忽略)"",
  AND(E10482&lt;&gt;"""", F10482&lt;&gt;"&amp;""""", NOT(REGEXMATCH(C10482, ""薪資""))), ""內部轉帳(忽略)"",
  REGEXMATCH(C10482, ""薪資""), ""薪資變動(不計入)"",
  REGEXMATCH(C10482, ""押金""), ""押金往來"",
  AND(E10482&lt;&gt;"""", F10482=""""), ""真實支出"",
  AND(E10482="""", F10482&lt;&gt;""""), ""真實收入"",
  TRUE, ""其他""
)"),"其他")</f>
        <v>其他</v>
      </c>
      <c r="K10482" s="270" t="str">
        <f t="shared" si="2"/>
        <v/>
      </c>
      <c r="L10482">
        <f t="shared" si="3"/>
        <v>0</v>
      </c>
    </row>
    <row r="10483">
      <c r="A10483" s="107"/>
      <c r="D10483" s="270"/>
      <c r="H10483" s="106" t="str">
        <f t="shared" si="1"/>
        <v/>
      </c>
      <c r="J10483" t="str">
        <f>IFERROR(__xludf.DUMMYFUNCTION("IFS(
  AND(REGEXMATCH(E10483, ""台銀籌備帳戶|玉山帳戶""), REGEXMATCH(C10483, ""薪資"")), ""分潤支出"",
  AND(REGEXMATCH(E10483, ""Ben帳戶|Elsa帳戶|Ben代墊|Ariel代墊|中信銀行共用""), REGEXMATCH(F10483, ""Ben帳戶|Elsa帳戶|Ben代墊|Ariel代墊|中信銀行共用"")), ""內部轉帳(忽略)"",
  AND(E10483&lt;&gt;"""", F10483&lt;&gt;"&amp;""""", NOT(REGEXMATCH(C10483, ""薪資""))), ""內部轉帳(忽略)"",
  REGEXMATCH(C10483, ""薪資""), ""薪資變動(不計入)"",
  REGEXMATCH(C10483, ""押金""), ""押金往來"",
  AND(E10483&lt;&gt;"""", F10483=""""), ""真實支出"",
  AND(E10483="""", F10483&lt;&gt;""""), ""真實收入"",
  TRUE, ""其他""
)"),"其他")</f>
        <v>其他</v>
      </c>
      <c r="K10483" s="270" t="str">
        <f t="shared" si="2"/>
        <v/>
      </c>
      <c r="L10483">
        <f t="shared" si="3"/>
        <v>0</v>
      </c>
    </row>
    <row r="10484">
      <c r="A10484" s="107"/>
      <c r="D10484" s="270"/>
      <c r="H10484" s="106" t="str">
        <f t="shared" si="1"/>
        <v/>
      </c>
      <c r="J10484" t="str">
        <f>IFERROR(__xludf.DUMMYFUNCTION("IFS(
  AND(REGEXMATCH(E10484, ""台銀籌備帳戶|玉山帳戶""), REGEXMATCH(C10484, ""薪資"")), ""分潤支出"",
  AND(REGEXMATCH(E10484, ""Ben帳戶|Elsa帳戶|Ben代墊|Ariel代墊|中信銀行共用""), REGEXMATCH(F10484, ""Ben帳戶|Elsa帳戶|Ben代墊|Ariel代墊|中信銀行共用"")), ""內部轉帳(忽略)"",
  AND(E10484&lt;&gt;"""", F10484&lt;&gt;"&amp;""""", NOT(REGEXMATCH(C10484, ""薪資""))), ""內部轉帳(忽略)"",
  REGEXMATCH(C10484, ""薪資""), ""薪資變動(不計入)"",
  REGEXMATCH(C10484, ""押金""), ""押金往來"",
  AND(E10484&lt;&gt;"""", F10484=""""), ""真實支出"",
  AND(E10484="""", F10484&lt;&gt;""""), ""真實收入"",
  TRUE, ""其他""
)"),"其他")</f>
        <v>其他</v>
      </c>
      <c r="K10484" s="270" t="str">
        <f t="shared" si="2"/>
        <v/>
      </c>
      <c r="L10484">
        <f t="shared" si="3"/>
        <v>0</v>
      </c>
    </row>
    <row r="10485">
      <c r="A10485" s="107"/>
      <c r="D10485" s="270"/>
      <c r="H10485" s="106" t="str">
        <f t="shared" si="1"/>
        <v/>
      </c>
      <c r="J10485" t="str">
        <f>IFERROR(__xludf.DUMMYFUNCTION("IFS(
  AND(REGEXMATCH(E10485, ""台銀籌備帳戶|玉山帳戶""), REGEXMATCH(C10485, ""薪資"")), ""分潤支出"",
  AND(REGEXMATCH(E10485, ""Ben帳戶|Elsa帳戶|Ben代墊|Ariel代墊|中信銀行共用""), REGEXMATCH(F10485, ""Ben帳戶|Elsa帳戶|Ben代墊|Ariel代墊|中信銀行共用"")), ""內部轉帳(忽略)"",
  AND(E10485&lt;&gt;"""", F10485&lt;&gt;"&amp;""""", NOT(REGEXMATCH(C10485, ""薪資""))), ""內部轉帳(忽略)"",
  REGEXMATCH(C10485, ""薪資""), ""薪資變動(不計入)"",
  REGEXMATCH(C10485, ""押金""), ""押金往來"",
  AND(E10485&lt;&gt;"""", F10485=""""), ""真實支出"",
  AND(E10485="""", F10485&lt;&gt;""""), ""真實收入"",
  TRUE, ""其他""
)"),"其他")</f>
        <v>其他</v>
      </c>
      <c r="K10485" s="270" t="str">
        <f t="shared" si="2"/>
        <v/>
      </c>
      <c r="L10485">
        <f t="shared" si="3"/>
        <v>0</v>
      </c>
    </row>
    <row r="10486">
      <c r="A10486" s="107"/>
      <c r="D10486" s="270"/>
      <c r="H10486" s="106" t="str">
        <f t="shared" si="1"/>
        <v/>
      </c>
      <c r="J10486" t="str">
        <f>IFERROR(__xludf.DUMMYFUNCTION("IFS(
  AND(REGEXMATCH(E10486, ""台銀籌備帳戶|玉山帳戶""), REGEXMATCH(C10486, ""薪資"")), ""分潤支出"",
  AND(REGEXMATCH(E10486, ""Ben帳戶|Elsa帳戶|Ben代墊|Ariel代墊|中信銀行共用""), REGEXMATCH(F10486, ""Ben帳戶|Elsa帳戶|Ben代墊|Ariel代墊|中信銀行共用"")), ""內部轉帳(忽略)"",
  AND(E10486&lt;&gt;"""", F10486&lt;&gt;"&amp;""""", NOT(REGEXMATCH(C10486, ""薪資""))), ""內部轉帳(忽略)"",
  REGEXMATCH(C10486, ""薪資""), ""薪資變動(不計入)"",
  REGEXMATCH(C10486, ""押金""), ""押金往來"",
  AND(E10486&lt;&gt;"""", F10486=""""), ""真實支出"",
  AND(E10486="""", F10486&lt;&gt;""""), ""真實收入"",
  TRUE, ""其他""
)"),"其他")</f>
        <v>其他</v>
      </c>
      <c r="K10486" s="270" t="str">
        <f t="shared" si="2"/>
        <v/>
      </c>
      <c r="L10486">
        <f t="shared" si="3"/>
        <v>0</v>
      </c>
    </row>
    <row r="10487">
      <c r="A10487" s="107"/>
      <c r="D10487" s="270"/>
      <c r="H10487" s="106" t="str">
        <f t="shared" si="1"/>
        <v/>
      </c>
      <c r="J10487" t="str">
        <f>IFERROR(__xludf.DUMMYFUNCTION("IFS(
  AND(REGEXMATCH(E10487, ""台銀籌備帳戶|玉山帳戶""), REGEXMATCH(C10487, ""薪資"")), ""分潤支出"",
  AND(REGEXMATCH(E10487, ""Ben帳戶|Elsa帳戶|Ben代墊|Ariel代墊|中信銀行共用""), REGEXMATCH(F10487, ""Ben帳戶|Elsa帳戶|Ben代墊|Ariel代墊|中信銀行共用"")), ""內部轉帳(忽略)"",
  AND(E10487&lt;&gt;"""", F10487&lt;&gt;"&amp;""""", NOT(REGEXMATCH(C10487, ""薪資""))), ""內部轉帳(忽略)"",
  REGEXMATCH(C10487, ""薪資""), ""薪資變動(不計入)"",
  REGEXMATCH(C10487, ""押金""), ""押金往來"",
  AND(E10487&lt;&gt;"""", F10487=""""), ""真實支出"",
  AND(E10487="""", F10487&lt;&gt;""""), ""真實收入"",
  TRUE, ""其他""
)"),"其他")</f>
        <v>其他</v>
      </c>
      <c r="K10487" s="270" t="str">
        <f t="shared" si="2"/>
        <v/>
      </c>
      <c r="L10487">
        <f t="shared" si="3"/>
        <v>0</v>
      </c>
    </row>
    <row r="10488">
      <c r="A10488" s="107"/>
      <c r="D10488" s="270"/>
      <c r="H10488" s="106" t="str">
        <f t="shared" si="1"/>
        <v/>
      </c>
      <c r="J10488" t="str">
        <f>IFERROR(__xludf.DUMMYFUNCTION("IFS(
  AND(REGEXMATCH(E10488, ""台銀籌備帳戶|玉山帳戶""), REGEXMATCH(C10488, ""薪資"")), ""分潤支出"",
  AND(REGEXMATCH(E10488, ""Ben帳戶|Elsa帳戶|Ben代墊|Ariel代墊|中信銀行共用""), REGEXMATCH(F10488, ""Ben帳戶|Elsa帳戶|Ben代墊|Ariel代墊|中信銀行共用"")), ""內部轉帳(忽略)"",
  AND(E10488&lt;&gt;"""", F10488&lt;&gt;"&amp;""""", NOT(REGEXMATCH(C10488, ""薪資""))), ""內部轉帳(忽略)"",
  REGEXMATCH(C10488, ""薪資""), ""薪資變動(不計入)"",
  REGEXMATCH(C10488, ""押金""), ""押金往來"",
  AND(E10488&lt;&gt;"""", F10488=""""), ""真實支出"",
  AND(E10488="""", F10488&lt;&gt;""""), ""真實收入"",
  TRUE, ""其他""
)"),"其他")</f>
        <v>其他</v>
      </c>
      <c r="K10488" s="270" t="str">
        <f t="shared" si="2"/>
        <v/>
      </c>
      <c r="L10488">
        <f t="shared" si="3"/>
        <v>0</v>
      </c>
    </row>
    <row r="10489">
      <c r="A10489" s="107"/>
      <c r="D10489" s="270"/>
      <c r="H10489" s="106" t="str">
        <f t="shared" si="1"/>
        <v/>
      </c>
      <c r="J10489" t="str">
        <f>IFERROR(__xludf.DUMMYFUNCTION("IFS(
  AND(REGEXMATCH(E10489, ""台銀籌備帳戶|玉山帳戶""), REGEXMATCH(C10489, ""薪資"")), ""分潤支出"",
  AND(REGEXMATCH(E10489, ""Ben帳戶|Elsa帳戶|Ben代墊|Ariel代墊|中信銀行共用""), REGEXMATCH(F10489, ""Ben帳戶|Elsa帳戶|Ben代墊|Ariel代墊|中信銀行共用"")), ""內部轉帳(忽略)"",
  AND(E10489&lt;&gt;"""", F10489&lt;&gt;"&amp;""""", NOT(REGEXMATCH(C10489, ""薪資""))), ""內部轉帳(忽略)"",
  REGEXMATCH(C10489, ""薪資""), ""薪資變動(不計入)"",
  REGEXMATCH(C10489, ""押金""), ""押金往來"",
  AND(E10489&lt;&gt;"""", F10489=""""), ""真實支出"",
  AND(E10489="""", F10489&lt;&gt;""""), ""真實收入"",
  TRUE, ""其他""
)"),"其他")</f>
        <v>其他</v>
      </c>
      <c r="K10489" s="270" t="str">
        <f t="shared" si="2"/>
        <v/>
      </c>
      <c r="L10489">
        <f t="shared" si="3"/>
        <v>0</v>
      </c>
    </row>
    <row r="10490">
      <c r="A10490" s="107"/>
      <c r="D10490" s="270"/>
      <c r="H10490" s="106" t="str">
        <f t="shared" si="1"/>
        <v/>
      </c>
      <c r="J10490" t="str">
        <f>IFERROR(__xludf.DUMMYFUNCTION("IFS(
  AND(REGEXMATCH(E10490, ""台銀籌備帳戶|玉山帳戶""), REGEXMATCH(C10490, ""薪資"")), ""分潤支出"",
  AND(REGEXMATCH(E10490, ""Ben帳戶|Elsa帳戶|Ben代墊|Ariel代墊|中信銀行共用""), REGEXMATCH(F10490, ""Ben帳戶|Elsa帳戶|Ben代墊|Ariel代墊|中信銀行共用"")), ""內部轉帳(忽略)"",
  AND(E10490&lt;&gt;"""", F10490&lt;&gt;"&amp;""""", NOT(REGEXMATCH(C10490, ""薪資""))), ""內部轉帳(忽略)"",
  REGEXMATCH(C10490, ""薪資""), ""薪資變動(不計入)"",
  REGEXMATCH(C10490, ""押金""), ""押金往來"",
  AND(E10490&lt;&gt;"""", F10490=""""), ""真實支出"",
  AND(E10490="""", F10490&lt;&gt;""""), ""真實收入"",
  TRUE, ""其他""
)"),"其他")</f>
        <v>其他</v>
      </c>
      <c r="K10490" s="270" t="str">
        <f t="shared" si="2"/>
        <v/>
      </c>
      <c r="L10490">
        <f t="shared" si="3"/>
        <v>0</v>
      </c>
    </row>
    <row r="10491">
      <c r="A10491" s="107"/>
      <c r="D10491" s="270"/>
      <c r="H10491" s="106" t="str">
        <f t="shared" si="1"/>
        <v/>
      </c>
      <c r="J10491" t="str">
        <f>IFERROR(__xludf.DUMMYFUNCTION("IFS(
  AND(REGEXMATCH(E10491, ""台銀籌備帳戶|玉山帳戶""), REGEXMATCH(C10491, ""薪資"")), ""分潤支出"",
  AND(REGEXMATCH(E10491, ""Ben帳戶|Elsa帳戶|Ben代墊|Ariel代墊|中信銀行共用""), REGEXMATCH(F10491, ""Ben帳戶|Elsa帳戶|Ben代墊|Ariel代墊|中信銀行共用"")), ""內部轉帳(忽略)"",
  AND(E10491&lt;&gt;"""", F10491&lt;&gt;"&amp;""""", NOT(REGEXMATCH(C10491, ""薪資""))), ""內部轉帳(忽略)"",
  REGEXMATCH(C10491, ""薪資""), ""薪資變動(不計入)"",
  REGEXMATCH(C10491, ""押金""), ""押金往來"",
  AND(E10491&lt;&gt;"""", F10491=""""), ""真實支出"",
  AND(E10491="""", F10491&lt;&gt;""""), ""真實收入"",
  TRUE, ""其他""
)"),"其他")</f>
        <v>其他</v>
      </c>
      <c r="K10491" s="270" t="str">
        <f t="shared" si="2"/>
        <v/>
      </c>
      <c r="L10491">
        <f t="shared" si="3"/>
        <v>0</v>
      </c>
    </row>
    <row r="10492">
      <c r="A10492" s="107"/>
      <c r="D10492" s="270"/>
      <c r="H10492" s="106" t="str">
        <f t="shared" si="1"/>
        <v/>
      </c>
      <c r="J10492" t="str">
        <f>IFERROR(__xludf.DUMMYFUNCTION("IFS(
  AND(REGEXMATCH(E10492, ""台銀籌備帳戶|玉山帳戶""), REGEXMATCH(C10492, ""薪資"")), ""分潤支出"",
  AND(REGEXMATCH(E10492, ""Ben帳戶|Elsa帳戶|Ben代墊|Ariel代墊|中信銀行共用""), REGEXMATCH(F10492, ""Ben帳戶|Elsa帳戶|Ben代墊|Ariel代墊|中信銀行共用"")), ""內部轉帳(忽略)"",
  AND(E10492&lt;&gt;"""", F10492&lt;&gt;"&amp;""""", NOT(REGEXMATCH(C10492, ""薪資""))), ""內部轉帳(忽略)"",
  REGEXMATCH(C10492, ""薪資""), ""薪資變動(不計入)"",
  REGEXMATCH(C10492, ""押金""), ""押金往來"",
  AND(E10492&lt;&gt;"""", F10492=""""), ""真實支出"",
  AND(E10492="""", F10492&lt;&gt;""""), ""真實收入"",
  TRUE, ""其他""
)"),"其他")</f>
        <v>其他</v>
      </c>
      <c r="K10492" s="270" t="str">
        <f t="shared" si="2"/>
        <v/>
      </c>
      <c r="L10492">
        <f t="shared" si="3"/>
        <v>0</v>
      </c>
    </row>
    <row r="10493">
      <c r="A10493" s="107"/>
      <c r="D10493" s="270"/>
      <c r="H10493" s="106" t="str">
        <f t="shared" si="1"/>
        <v/>
      </c>
      <c r="J10493" t="str">
        <f>IFERROR(__xludf.DUMMYFUNCTION("IFS(
  AND(REGEXMATCH(E10493, ""台銀籌備帳戶|玉山帳戶""), REGEXMATCH(C10493, ""薪資"")), ""分潤支出"",
  AND(REGEXMATCH(E10493, ""Ben帳戶|Elsa帳戶|Ben代墊|Ariel代墊|中信銀行共用""), REGEXMATCH(F10493, ""Ben帳戶|Elsa帳戶|Ben代墊|Ariel代墊|中信銀行共用"")), ""內部轉帳(忽略)"",
  AND(E10493&lt;&gt;"""", F10493&lt;&gt;"&amp;""""", NOT(REGEXMATCH(C10493, ""薪資""))), ""內部轉帳(忽略)"",
  REGEXMATCH(C10493, ""薪資""), ""薪資變動(不計入)"",
  REGEXMATCH(C10493, ""押金""), ""押金往來"",
  AND(E10493&lt;&gt;"""", F10493=""""), ""真實支出"",
  AND(E10493="""", F10493&lt;&gt;""""), ""真實收入"",
  TRUE, ""其他""
)"),"其他")</f>
        <v>其他</v>
      </c>
      <c r="K10493" s="270" t="str">
        <f t="shared" si="2"/>
        <v/>
      </c>
      <c r="L10493">
        <f t="shared" si="3"/>
        <v>0</v>
      </c>
    </row>
    <row r="10494">
      <c r="A10494" s="107"/>
      <c r="D10494" s="270"/>
      <c r="H10494" s="106" t="str">
        <f t="shared" si="1"/>
        <v/>
      </c>
      <c r="J10494" t="str">
        <f>IFERROR(__xludf.DUMMYFUNCTION("IFS(
  AND(REGEXMATCH(E10494, ""台銀籌備帳戶|玉山帳戶""), REGEXMATCH(C10494, ""薪資"")), ""分潤支出"",
  AND(REGEXMATCH(E10494, ""Ben帳戶|Elsa帳戶|Ben代墊|Ariel代墊|中信銀行共用""), REGEXMATCH(F10494, ""Ben帳戶|Elsa帳戶|Ben代墊|Ariel代墊|中信銀行共用"")), ""內部轉帳(忽略)"",
  AND(E10494&lt;&gt;"""", F10494&lt;&gt;"&amp;""""", NOT(REGEXMATCH(C10494, ""薪資""))), ""內部轉帳(忽略)"",
  REGEXMATCH(C10494, ""薪資""), ""薪資變動(不計入)"",
  REGEXMATCH(C10494, ""押金""), ""押金往來"",
  AND(E10494&lt;&gt;"""", F10494=""""), ""真實支出"",
  AND(E10494="""", F10494&lt;&gt;""""), ""真實收入"",
  TRUE, ""其他""
)"),"其他")</f>
        <v>其他</v>
      </c>
      <c r="K10494" s="270" t="str">
        <f t="shared" si="2"/>
        <v/>
      </c>
      <c r="L10494">
        <f t="shared" si="3"/>
        <v>0</v>
      </c>
    </row>
    <row r="10495">
      <c r="A10495" s="107"/>
      <c r="D10495" s="270"/>
      <c r="H10495" s="106" t="str">
        <f t="shared" si="1"/>
        <v/>
      </c>
      <c r="J10495" t="str">
        <f>IFERROR(__xludf.DUMMYFUNCTION("IFS(
  AND(REGEXMATCH(E10495, ""台銀籌備帳戶|玉山帳戶""), REGEXMATCH(C10495, ""薪資"")), ""分潤支出"",
  AND(REGEXMATCH(E10495, ""Ben帳戶|Elsa帳戶|Ben代墊|Ariel代墊|中信銀行共用""), REGEXMATCH(F10495, ""Ben帳戶|Elsa帳戶|Ben代墊|Ariel代墊|中信銀行共用"")), ""內部轉帳(忽略)"",
  AND(E10495&lt;&gt;"""", F10495&lt;&gt;"&amp;""""", NOT(REGEXMATCH(C10495, ""薪資""))), ""內部轉帳(忽略)"",
  REGEXMATCH(C10495, ""薪資""), ""薪資變動(不計入)"",
  REGEXMATCH(C10495, ""押金""), ""押金往來"",
  AND(E10495&lt;&gt;"""", F10495=""""), ""真實支出"",
  AND(E10495="""", F10495&lt;&gt;""""), ""真實收入"",
  TRUE, ""其他""
)"),"其他")</f>
        <v>其他</v>
      </c>
      <c r="K10495" s="270" t="str">
        <f t="shared" si="2"/>
        <v/>
      </c>
      <c r="L10495">
        <f t="shared" si="3"/>
        <v>0</v>
      </c>
    </row>
    <row r="10496">
      <c r="A10496" s="107"/>
      <c r="D10496" s="270"/>
      <c r="H10496" s="106" t="str">
        <f t="shared" si="1"/>
        <v/>
      </c>
      <c r="J10496" t="str">
        <f>IFERROR(__xludf.DUMMYFUNCTION("IFS(
  AND(REGEXMATCH(E10496, ""台銀籌備帳戶|玉山帳戶""), REGEXMATCH(C10496, ""薪資"")), ""分潤支出"",
  AND(REGEXMATCH(E10496, ""Ben帳戶|Elsa帳戶|Ben代墊|Ariel代墊|中信銀行共用""), REGEXMATCH(F10496, ""Ben帳戶|Elsa帳戶|Ben代墊|Ariel代墊|中信銀行共用"")), ""內部轉帳(忽略)"",
  AND(E10496&lt;&gt;"""", F10496&lt;&gt;"&amp;""""", NOT(REGEXMATCH(C10496, ""薪資""))), ""內部轉帳(忽略)"",
  REGEXMATCH(C10496, ""薪資""), ""薪資變動(不計入)"",
  REGEXMATCH(C10496, ""押金""), ""押金往來"",
  AND(E10496&lt;&gt;"""", F10496=""""), ""真實支出"",
  AND(E10496="""", F10496&lt;&gt;""""), ""真實收入"",
  TRUE, ""其他""
)"),"其他")</f>
        <v>其他</v>
      </c>
      <c r="K10496" s="270" t="str">
        <f t="shared" si="2"/>
        <v/>
      </c>
      <c r="L10496">
        <f t="shared" si="3"/>
        <v>0</v>
      </c>
    </row>
    <row r="10497">
      <c r="A10497" s="107"/>
      <c r="D10497" s="270"/>
      <c r="H10497" s="106" t="str">
        <f t="shared" si="1"/>
        <v/>
      </c>
      <c r="J10497" t="str">
        <f>IFERROR(__xludf.DUMMYFUNCTION("IFS(
  AND(REGEXMATCH(E10497, ""台銀籌備帳戶|玉山帳戶""), REGEXMATCH(C10497, ""薪資"")), ""分潤支出"",
  AND(REGEXMATCH(E10497, ""Ben帳戶|Elsa帳戶|Ben代墊|Ariel代墊|中信銀行共用""), REGEXMATCH(F10497, ""Ben帳戶|Elsa帳戶|Ben代墊|Ariel代墊|中信銀行共用"")), ""內部轉帳(忽略)"",
  AND(E10497&lt;&gt;"""", F10497&lt;&gt;"&amp;""""", NOT(REGEXMATCH(C10497, ""薪資""))), ""內部轉帳(忽略)"",
  REGEXMATCH(C10497, ""薪資""), ""薪資變動(不計入)"",
  REGEXMATCH(C10497, ""押金""), ""押金往來"",
  AND(E10497&lt;&gt;"""", F10497=""""), ""真實支出"",
  AND(E10497="""", F10497&lt;&gt;""""), ""真實收入"",
  TRUE, ""其他""
)"),"其他")</f>
        <v>其他</v>
      </c>
      <c r="K10497" s="270" t="str">
        <f t="shared" si="2"/>
        <v/>
      </c>
      <c r="L10497">
        <f t="shared" si="3"/>
        <v>0</v>
      </c>
    </row>
    <row r="10498">
      <c r="A10498" s="107"/>
      <c r="D10498" s="270"/>
      <c r="H10498" s="106" t="str">
        <f t="shared" si="1"/>
        <v/>
      </c>
      <c r="J10498" t="str">
        <f>IFERROR(__xludf.DUMMYFUNCTION("IFS(
  AND(REGEXMATCH(E10498, ""台銀籌備帳戶|玉山帳戶""), REGEXMATCH(C10498, ""薪資"")), ""分潤支出"",
  AND(REGEXMATCH(E10498, ""Ben帳戶|Elsa帳戶|Ben代墊|Ariel代墊|中信銀行共用""), REGEXMATCH(F10498, ""Ben帳戶|Elsa帳戶|Ben代墊|Ariel代墊|中信銀行共用"")), ""內部轉帳(忽略)"",
  AND(E10498&lt;&gt;"""", F10498&lt;&gt;"&amp;""""", NOT(REGEXMATCH(C10498, ""薪資""))), ""內部轉帳(忽略)"",
  REGEXMATCH(C10498, ""薪資""), ""薪資變動(不計入)"",
  REGEXMATCH(C10498, ""押金""), ""押金往來"",
  AND(E10498&lt;&gt;"""", F10498=""""), ""真實支出"",
  AND(E10498="""", F10498&lt;&gt;""""), ""真實收入"",
  TRUE, ""其他""
)"),"其他")</f>
        <v>其他</v>
      </c>
      <c r="K10498" s="270" t="str">
        <f t="shared" si="2"/>
        <v/>
      </c>
      <c r="L10498">
        <f t="shared" si="3"/>
        <v>0</v>
      </c>
    </row>
    <row r="10499">
      <c r="A10499" s="107"/>
      <c r="D10499" s="270"/>
      <c r="H10499" s="106" t="str">
        <f t="shared" si="1"/>
        <v/>
      </c>
      <c r="J10499" t="str">
        <f>IFERROR(__xludf.DUMMYFUNCTION("IFS(
  AND(REGEXMATCH(E10499, ""台銀籌備帳戶|玉山帳戶""), REGEXMATCH(C10499, ""薪資"")), ""分潤支出"",
  AND(REGEXMATCH(E10499, ""Ben帳戶|Elsa帳戶|Ben代墊|Ariel代墊|中信銀行共用""), REGEXMATCH(F10499, ""Ben帳戶|Elsa帳戶|Ben代墊|Ariel代墊|中信銀行共用"")), ""內部轉帳(忽略)"",
  AND(E10499&lt;&gt;"""", F10499&lt;&gt;"&amp;""""", NOT(REGEXMATCH(C10499, ""薪資""))), ""內部轉帳(忽略)"",
  REGEXMATCH(C10499, ""薪資""), ""薪資變動(不計入)"",
  REGEXMATCH(C10499, ""押金""), ""押金往來"",
  AND(E10499&lt;&gt;"""", F10499=""""), ""真實支出"",
  AND(E10499="""", F10499&lt;&gt;""""), ""真實收入"",
  TRUE, ""其他""
)"),"其他")</f>
        <v>其他</v>
      </c>
      <c r="K10499" s="270" t="str">
        <f t="shared" si="2"/>
        <v/>
      </c>
      <c r="L10499">
        <f t="shared" si="3"/>
        <v>0</v>
      </c>
    </row>
    <row r="10500">
      <c r="A10500" s="107"/>
      <c r="D10500" s="270"/>
      <c r="H10500" s="106" t="str">
        <f t="shared" si="1"/>
        <v/>
      </c>
      <c r="J10500" t="str">
        <f>IFERROR(__xludf.DUMMYFUNCTION("IFS(
  AND(REGEXMATCH(E10500, ""台銀籌備帳戶|玉山帳戶""), REGEXMATCH(C10500, ""薪資"")), ""分潤支出"",
  AND(REGEXMATCH(E10500, ""Ben帳戶|Elsa帳戶|Ben代墊|Ariel代墊|中信銀行共用""), REGEXMATCH(F10500, ""Ben帳戶|Elsa帳戶|Ben代墊|Ariel代墊|中信銀行共用"")), ""內部轉帳(忽略)"",
  AND(E10500&lt;&gt;"""", F10500&lt;&gt;"&amp;""""", NOT(REGEXMATCH(C10500, ""薪資""))), ""內部轉帳(忽略)"",
  REGEXMATCH(C10500, ""薪資""), ""薪資變動(不計入)"",
  REGEXMATCH(C10500, ""押金""), ""押金往來"",
  AND(E10500&lt;&gt;"""", F10500=""""), ""真實支出"",
  AND(E10500="""", F10500&lt;&gt;""""), ""真實收入"",
  TRUE, ""其他""
)"),"其他")</f>
        <v>其他</v>
      </c>
      <c r="K10500" s="270" t="str">
        <f t="shared" si="2"/>
        <v/>
      </c>
      <c r="L10500">
        <f t="shared" si="3"/>
        <v>0</v>
      </c>
    </row>
    <row r="10501">
      <c r="A10501" s="107"/>
      <c r="D10501" s="270"/>
      <c r="H10501" s="106" t="str">
        <f t="shared" si="1"/>
        <v/>
      </c>
      <c r="J10501" t="str">
        <f>IFERROR(__xludf.DUMMYFUNCTION("IFS(
  AND(REGEXMATCH(E10501, ""台銀籌備帳戶|玉山帳戶""), REGEXMATCH(C10501, ""薪資"")), ""分潤支出"",
  AND(REGEXMATCH(E10501, ""Ben帳戶|Elsa帳戶|Ben代墊|Ariel代墊|中信銀行共用""), REGEXMATCH(F10501, ""Ben帳戶|Elsa帳戶|Ben代墊|Ariel代墊|中信銀行共用"")), ""內部轉帳(忽略)"",
  AND(E10501&lt;&gt;"""", F10501&lt;&gt;"&amp;""""", NOT(REGEXMATCH(C10501, ""薪資""))), ""內部轉帳(忽略)"",
  REGEXMATCH(C10501, ""薪資""), ""薪資變動(不計入)"",
  REGEXMATCH(C10501, ""押金""), ""押金往來"",
  AND(E10501&lt;&gt;"""", F10501=""""), ""真實支出"",
  AND(E10501="""", F10501&lt;&gt;""""), ""真實收入"",
  TRUE, ""其他""
)"),"其他")</f>
        <v>其他</v>
      </c>
      <c r="K10501" s="270" t="str">
        <f t="shared" si="2"/>
        <v/>
      </c>
      <c r="L10501">
        <f t="shared" si="3"/>
        <v>0</v>
      </c>
    </row>
    <row r="10502">
      <c r="A10502" s="107"/>
      <c r="D10502" s="270"/>
      <c r="H10502" s="106" t="str">
        <f t="shared" si="1"/>
        <v/>
      </c>
      <c r="J10502" t="str">
        <f>IFERROR(__xludf.DUMMYFUNCTION("IFS(
  AND(REGEXMATCH(E10502, ""台銀籌備帳戶|玉山帳戶""), REGEXMATCH(C10502, ""薪資"")), ""分潤支出"",
  AND(REGEXMATCH(E10502, ""Ben帳戶|Elsa帳戶|Ben代墊|Ariel代墊|中信銀行共用""), REGEXMATCH(F10502, ""Ben帳戶|Elsa帳戶|Ben代墊|Ariel代墊|中信銀行共用"")), ""內部轉帳(忽略)"",
  AND(E10502&lt;&gt;"""", F10502&lt;&gt;"&amp;""""", NOT(REGEXMATCH(C10502, ""薪資""))), ""內部轉帳(忽略)"",
  REGEXMATCH(C10502, ""薪資""), ""薪資變動(不計入)"",
  REGEXMATCH(C10502, ""押金""), ""押金往來"",
  AND(E10502&lt;&gt;"""", F10502=""""), ""真實支出"",
  AND(E10502="""", F10502&lt;&gt;""""), ""真實收入"",
  TRUE, ""其他""
)"),"其他")</f>
        <v>其他</v>
      </c>
      <c r="K10502" s="270" t="str">
        <f t="shared" si="2"/>
        <v/>
      </c>
      <c r="L10502">
        <f t="shared" si="3"/>
        <v>0</v>
      </c>
    </row>
    <row r="10503">
      <c r="A10503" s="107"/>
      <c r="D10503" s="270"/>
      <c r="H10503" s="106" t="str">
        <f t="shared" si="1"/>
        <v/>
      </c>
      <c r="J10503" t="str">
        <f>IFERROR(__xludf.DUMMYFUNCTION("IFS(
  AND(REGEXMATCH(E10503, ""台銀籌備帳戶|玉山帳戶""), REGEXMATCH(C10503, ""薪資"")), ""分潤支出"",
  AND(REGEXMATCH(E10503, ""Ben帳戶|Elsa帳戶|Ben代墊|Ariel代墊|中信銀行共用""), REGEXMATCH(F10503, ""Ben帳戶|Elsa帳戶|Ben代墊|Ariel代墊|中信銀行共用"")), ""內部轉帳(忽略)"",
  AND(E10503&lt;&gt;"""", F10503&lt;&gt;"&amp;""""", NOT(REGEXMATCH(C10503, ""薪資""))), ""內部轉帳(忽略)"",
  REGEXMATCH(C10503, ""薪資""), ""薪資變動(不計入)"",
  REGEXMATCH(C10503, ""押金""), ""押金往來"",
  AND(E10503&lt;&gt;"""", F10503=""""), ""真實支出"",
  AND(E10503="""", F10503&lt;&gt;""""), ""真實收入"",
  TRUE, ""其他""
)"),"其他")</f>
        <v>其他</v>
      </c>
      <c r="K10503" s="270" t="str">
        <f t="shared" si="2"/>
        <v/>
      </c>
      <c r="L10503">
        <f t="shared" si="3"/>
        <v>0</v>
      </c>
    </row>
    <row r="10504">
      <c r="A10504" s="107"/>
      <c r="D10504" s="270"/>
      <c r="H10504" s="106" t="str">
        <f t="shared" si="1"/>
        <v/>
      </c>
      <c r="J10504" t="str">
        <f>IFERROR(__xludf.DUMMYFUNCTION("IFS(
  AND(REGEXMATCH(E10504, ""台銀籌備帳戶|玉山帳戶""), REGEXMATCH(C10504, ""薪資"")), ""分潤支出"",
  AND(REGEXMATCH(E10504, ""Ben帳戶|Elsa帳戶|Ben代墊|Ariel代墊|中信銀行共用""), REGEXMATCH(F10504, ""Ben帳戶|Elsa帳戶|Ben代墊|Ariel代墊|中信銀行共用"")), ""內部轉帳(忽略)"",
  AND(E10504&lt;&gt;"""", F10504&lt;&gt;"&amp;""""", NOT(REGEXMATCH(C10504, ""薪資""))), ""內部轉帳(忽略)"",
  REGEXMATCH(C10504, ""薪資""), ""薪資變動(不計入)"",
  REGEXMATCH(C10504, ""押金""), ""押金往來"",
  AND(E10504&lt;&gt;"""", F10504=""""), ""真實支出"",
  AND(E10504="""", F10504&lt;&gt;""""), ""真實收入"",
  TRUE, ""其他""
)"),"其他")</f>
        <v>其他</v>
      </c>
      <c r="K10504" s="270" t="str">
        <f t="shared" si="2"/>
        <v/>
      </c>
      <c r="L10504">
        <f t="shared" si="3"/>
        <v>0</v>
      </c>
    </row>
    <row r="10505">
      <c r="A10505" s="107"/>
      <c r="D10505" s="270"/>
      <c r="H10505" s="106" t="str">
        <f t="shared" si="1"/>
        <v/>
      </c>
      <c r="J10505" t="str">
        <f>IFERROR(__xludf.DUMMYFUNCTION("IFS(
  AND(REGEXMATCH(E10505, ""台銀籌備帳戶|玉山帳戶""), REGEXMATCH(C10505, ""薪資"")), ""分潤支出"",
  AND(REGEXMATCH(E10505, ""Ben帳戶|Elsa帳戶|Ben代墊|Ariel代墊|中信銀行共用""), REGEXMATCH(F10505, ""Ben帳戶|Elsa帳戶|Ben代墊|Ariel代墊|中信銀行共用"")), ""內部轉帳(忽略)"",
  AND(E10505&lt;&gt;"""", F10505&lt;&gt;"&amp;""""", NOT(REGEXMATCH(C10505, ""薪資""))), ""內部轉帳(忽略)"",
  REGEXMATCH(C10505, ""薪資""), ""薪資變動(不計入)"",
  REGEXMATCH(C10505, ""押金""), ""押金往來"",
  AND(E10505&lt;&gt;"""", F10505=""""), ""真實支出"",
  AND(E10505="""", F10505&lt;&gt;""""), ""真實收入"",
  TRUE, ""其他""
)"),"其他")</f>
        <v>其他</v>
      </c>
      <c r="K10505" s="270" t="str">
        <f t="shared" si="2"/>
        <v/>
      </c>
      <c r="L10505">
        <f t="shared" si="3"/>
        <v>0</v>
      </c>
    </row>
    <row r="10506">
      <c r="A10506" s="107"/>
      <c r="D10506" s="270"/>
      <c r="H10506" s="106" t="str">
        <f t="shared" si="1"/>
        <v/>
      </c>
      <c r="J10506" t="str">
        <f>IFERROR(__xludf.DUMMYFUNCTION("IFS(
  AND(REGEXMATCH(E10506, ""台銀籌備帳戶|玉山帳戶""), REGEXMATCH(C10506, ""薪資"")), ""分潤支出"",
  AND(REGEXMATCH(E10506, ""Ben帳戶|Elsa帳戶|Ben代墊|Ariel代墊|中信銀行共用""), REGEXMATCH(F10506, ""Ben帳戶|Elsa帳戶|Ben代墊|Ariel代墊|中信銀行共用"")), ""內部轉帳(忽略)"",
  AND(E10506&lt;&gt;"""", F10506&lt;&gt;"&amp;""""", NOT(REGEXMATCH(C10506, ""薪資""))), ""內部轉帳(忽略)"",
  REGEXMATCH(C10506, ""薪資""), ""薪資變動(不計入)"",
  REGEXMATCH(C10506, ""押金""), ""押金往來"",
  AND(E10506&lt;&gt;"""", F10506=""""), ""真實支出"",
  AND(E10506="""", F10506&lt;&gt;""""), ""真實收入"",
  TRUE, ""其他""
)"),"其他")</f>
        <v>其他</v>
      </c>
      <c r="K10506" s="270" t="str">
        <f t="shared" si="2"/>
        <v/>
      </c>
      <c r="L10506">
        <f t="shared" si="3"/>
        <v>0</v>
      </c>
    </row>
    <row r="10507">
      <c r="A10507" s="107"/>
      <c r="D10507" s="270"/>
      <c r="H10507" s="106" t="str">
        <f t="shared" si="1"/>
        <v/>
      </c>
      <c r="J10507" t="str">
        <f>IFERROR(__xludf.DUMMYFUNCTION("IFS(
  AND(REGEXMATCH(E10507, ""台銀籌備帳戶|玉山帳戶""), REGEXMATCH(C10507, ""薪資"")), ""分潤支出"",
  AND(REGEXMATCH(E10507, ""Ben帳戶|Elsa帳戶|Ben代墊|Ariel代墊|中信銀行共用""), REGEXMATCH(F10507, ""Ben帳戶|Elsa帳戶|Ben代墊|Ariel代墊|中信銀行共用"")), ""內部轉帳(忽略)"",
  AND(E10507&lt;&gt;"""", F10507&lt;&gt;"&amp;""""", NOT(REGEXMATCH(C10507, ""薪資""))), ""內部轉帳(忽略)"",
  REGEXMATCH(C10507, ""薪資""), ""薪資變動(不計入)"",
  REGEXMATCH(C10507, ""押金""), ""押金往來"",
  AND(E10507&lt;&gt;"""", F10507=""""), ""真實支出"",
  AND(E10507="""", F10507&lt;&gt;""""), ""真實收入"",
  TRUE, ""其他""
)"),"其他")</f>
        <v>其他</v>
      </c>
      <c r="K10507" s="270" t="str">
        <f t="shared" si="2"/>
        <v/>
      </c>
      <c r="L10507">
        <f t="shared" si="3"/>
        <v>0</v>
      </c>
    </row>
    <row r="10508">
      <c r="A10508" s="107"/>
      <c r="D10508" s="270"/>
      <c r="H10508" s="106" t="str">
        <f t="shared" si="1"/>
        <v/>
      </c>
      <c r="J10508" t="str">
        <f>IFERROR(__xludf.DUMMYFUNCTION("IFS(
  AND(REGEXMATCH(E10508, ""台銀籌備帳戶|玉山帳戶""), REGEXMATCH(C10508, ""薪資"")), ""分潤支出"",
  AND(REGEXMATCH(E10508, ""Ben帳戶|Elsa帳戶|Ben代墊|Ariel代墊|中信銀行共用""), REGEXMATCH(F10508, ""Ben帳戶|Elsa帳戶|Ben代墊|Ariel代墊|中信銀行共用"")), ""內部轉帳(忽略)"",
  AND(E10508&lt;&gt;"""", F10508&lt;&gt;"&amp;""""", NOT(REGEXMATCH(C10508, ""薪資""))), ""內部轉帳(忽略)"",
  REGEXMATCH(C10508, ""薪資""), ""薪資變動(不計入)"",
  REGEXMATCH(C10508, ""押金""), ""押金往來"",
  AND(E10508&lt;&gt;"""", F10508=""""), ""真實支出"",
  AND(E10508="""", F10508&lt;&gt;""""), ""真實收入"",
  TRUE, ""其他""
)"),"其他")</f>
        <v>其他</v>
      </c>
      <c r="K10508" s="270" t="str">
        <f t="shared" si="2"/>
        <v/>
      </c>
      <c r="L10508">
        <f t="shared" si="3"/>
        <v>0</v>
      </c>
    </row>
    <row r="10509">
      <c r="A10509" s="107"/>
      <c r="D10509" s="270"/>
      <c r="H10509" s="106" t="str">
        <f t="shared" si="1"/>
        <v/>
      </c>
      <c r="J10509" t="str">
        <f>IFERROR(__xludf.DUMMYFUNCTION("IFS(
  AND(REGEXMATCH(E10509, ""台銀籌備帳戶|玉山帳戶""), REGEXMATCH(C10509, ""薪資"")), ""分潤支出"",
  AND(REGEXMATCH(E10509, ""Ben帳戶|Elsa帳戶|Ben代墊|Ariel代墊|中信銀行共用""), REGEXMATCH(F10509, ""Ben帳戶|Elsa帳戶|Ben代墊|Ariel代墊|中信銀行共用"")), ""內部轉帳(忽略)"",
  AND(E10509&lt;&gt;"""", F10509&lt;&gt;"&amp;""""", NOT(REGEXMATCH(C10509, ""薪資""))), ""內部轉帳(忽略)"",
  REGEXMATCH(C10509, ""薪資""), ""薪資變動(不計入)"",
  REGEXMATCH(C10509, ""押金""), ""押金往來"",
  AND(E10509&lt;&gt;"""", F10509=""""), ""真實支出"",
  AND(E10509="""", F10509&lt;&gt;""""), ""真實收入"",
  TRUE, ""其他""
)"),"其他")</f>
        <v>其他</v>
      </c>
      <c r="K10509" s="270" t="str">
        <f t="shared" si="2"/>
        <v/>
      </c>
      <c r="L10509">
        <f t="shared" si="3"/>
        <v>0</v>
      </c>
    </row>
    <row r="10510">
      <c r="A10510" s="107"/>
      <c r="D10510" s="270"/>
      <c r="H10510" s="106" t="str">
        <f t="shared" si="1"/>
        <v/>
      </c>
      <c r="J10510" t="str">
        <f>IFERROR(__xludf.DUMMYFUNCTION("IFS(
  AND(REGEXMATCH(E10510, ""台銀籌備帳戶|玉山帳戶""), REGEXMATCH(C10510, ""薪資"")), ""分潤支出"",
  AND(REGEXMATCH(E10510, ""Ben帳戶|Elsa帳戶|Ben代墊|Ariel代墊|中信銀行共用""), REGEXMATCH(F10510, ""Ben帳戶|Elsa帳戶|Ben代墊|Ariel代墊|中信銀行共用"")), ""內部轉帳(忽略)"",
  AND(E10510&lt;&gt;"""", F10510&lt;&gt;"&amp;""""", NOT(REGEXMATCH(C10510, ""薪資""))), ""內部轉帳(忽略)"",
  REGEXMATCH(C10510, ""薪資""), ""薪資變動(不計入)"",
  REGEXMATCH(C10510, ""押金""), ""押金往來"",
  AND(E10510&lt;&gt;"""", F10510=""""), ""真實支出"",
  AND(E10510="""", F10510&lt;&gt;""""), ""真實收入"",
  TRUE, ""其他""
)"),"其他")</f>
        <v>其他</v>
      </c>
      <c r="K10510" s="270" t="str">
        <f t="shared" si="2"/>
        <v/>
      </c>
      <c r="L10510">
        <f t="shared" si="3"/>
        <v>0</v>
      </c>
    </row>
    <row r="10511">
      <c r="A10511" s="107"/>
      <c r="D10511" s="270"/>
      <c r="H10511" s="106" t="str">
        <f t="shared" si="1"/>
        <v/>
      </c>
      <c r="J10511" t="str">
        <f>IFERROR(__xludf.DUMMYFUNCTION("IFS(
  AND(REGEXMATCH(E10511, ""台銀籌備帳戶|玉山帳戶""), REGEXMATCH(C10511, ""薪資"")), ""分潤支出"",
  AND(REGEXMATCH(E10511, ""Ben帳戶|Elsa帳戶|Ben代墊|Ariel代墊|中信銀行共用""), REGEXMATCH(F10511, ""Ben帳戶|Elsa帳戶|Ben代墊|Ariel代墊|中信銀行共用"")), ""內部轉帳(忽略)"",
  AND(E10511&lt;&gt;"""", F10511&lt;&gt;"&amp;""""", NOT(REGEXMATCH(C10511, ""薪資""))), ""內部轉帳(忽略)"",
  REGEXMATCH(C10511, ""薪資""), ""薪資變動(不計入)"",
  REGEXMATCH(C10511, ""押金""), ""押金往來"",
  AND(E10511&lt;&gt;"""", F10511=""""), ""真實支出"",
  AND(E10511="""", F10511&lt;&gt;""""), ""真實收入"",
  TRUE, ""其他""
)"),"其他")</f>
        <v>其他</v>
      </c>
      <c r="K10511" s="270" t="str">
        <f t="shared" si="2"/>
        <v/>
      </c>
      <c r="L10511">
        <f t="shared" si="3"/>
        <v>0</v>
      </c>
    </row>
    <row r="10512">
      <c r="A10512" s="107"/>
      <c r="D10512" s="270"/>
      <c r="H10512" s="106" t="str">
        <f t="shared" si="1"/>
        <v/>
      </c>
      <c r="J10512" t="str">
        <f>IFERROR(__xludf.DUMMYFUNCTION("IFS(
  AND(REGEXMATCH(E10512, ""台銀籌備帳戶|玉山帳戶""), REGEXMATCH(C10512, ""薪資"")), ""分潤支出"",
  AND(REGEXMATCH(E10512, ""Ben帳戶|Elsa帳戶|Ben代墊|Ariel代墊|中信銀行共用""), REGEXMATCH(F10512, ""Ben帳戶|Elsa帳戶|Ben代墊|Ariel代墊|中信銀行共用"")), ""內部轉帳(忽略)"",
  AND(E10512&lt;&gt;"""", F10512&lt;&gt;"&amp;""""", NOT(REGEXMATCH(C10512, ""薪資""))), ""內部轉帳(忽略)"",
  REGEXMATCH(C10512, ""薪資""), ""薪資變動(不計入)"",
  REGEXMATCH(C10512, ""押金""), ""押金往來"",
  AND(E10512&lt;&gt;"""", F10512=""""), ""真實支出"",
  AND(E10512="""", F10512&lt;&gt;""""), ""真實收入"",
  TRUE, ""其他""
)"),"其他")</f>
        <v>其他</v>
      </c>
      <c r="K10512" s="270" t="str">
        <f t="shared" si="2"/>
        <v/>
      </c>
      <c r="L10512">
        <f t="shared" si="3"/>
        <v>0</v>
      </c>
    </row>
    <row r="10513">
      <c r="A10513" s="107"/>
      <c r="D10513" s="270"/>
      <c r="H10513" s="106" t="str">
        <f t="shared" si="1"/>
        <v/>
      </c>
      <c r="J10513" t="str">
        <f>IFERROR(__xludf.DUMMYFUNCTION("IFS(
  AND(REGEXMATCH(E10513, ""台銀籌備帳戶|玉山帳戶""), REGEXMATCH(C10513, ""薪資"")), ""分潤支出"",
  AND(REGEXMATCH(E10513, ""Ben帳戶|Elsa帳戶|Ben代墊|Ariel代墊|中信銀行共用""), REGEXMATCH(F10513, ""Ben帳戶|Elsa帳戶|Ben代墊|Ariel代墊|中信銀行共用"")), ""內部轉帳(忽略)"",
  AND(E10513&lt;&gt;"""", F10513&lt;&gt;"&amp;""""", NOT(REGEXMATCH(C10513, ""薪資""))), ""內部轉帳(忽略)"",
  REGEXMATCH(C10513, ""薪資""), ""薪資變動(不計入)"",
  REGEXMATCH(C10513, ""押金""), ""押金往來"",
  AND(E10513&lt;&gt;"""", F10513=""""), ""真實支出"",
  AND(E10513="""", F10513&lt;&gt;""""), ""真實收入"",
  TRUE, ""其他""
)"),"其他")</f>
        <v>其他</v>
      </c>
      <c r="K10513" s="270" t="str">
        <f t="shared" si="2"/>
        <v/>
      </c>
      <c r="L10513">
        <f t="shared" si="3"/>
        <v>0</v>
      </c>
    </row>
    <row r="10514">
      <c r="A10514" s="107"/>
      <c r="D10514" s="270"/>
      <c r="H10514" s="106" t="str">
        <f t="shared" si="1"/>
        <v/>
      </c>
      <c r="J10514" t="str">
        <f>IFERROR(__xludf.DUMMYFUNCTION("IFS(
  AND(REGEXMATCH(E10514, ""台銀籌備帳戶|玉山帳戶""), REGEXMATCH(C10514, ""薪資"")), ""分潤支出"",
  AND(REGEXMATCH(E10514, ""Ben帳戶|Elsa帳戶|Ben代墊|Ariel代墊|中信銀行共用""), REGEXMATCH(F10514, ""Ben帳戶|Elsa帳戶|Ben代墊|Ariel代墊|中信銀行共用"")), ""內部轉帳(忽略)"",
  AND(E10514&lt;&gt;"""", F10514&lt;&gt;"&amp;""""", NOT(REGEXMATCH(C10514, ""薪資""))), ""內部轉帳(忽略)"",
  REGEXMATCH(C10514, ""薪資""), ""薪資變動(不計入)"",
  REGEXMATCH(C10514, ""押金""), ""押金往來"",
  AND(E10514&lt;&gt;"""", F10514=""""), ""真實支出"",
  AND(E10514="""", F10514&lt;&gt;""""), ""真實收入"",
  TRUE, ""其他""
)"),"其他")</f>
        <v>其他</v>
      </c>
      <c r="K10514" s="270" t="str">
        <f t="shared" si="2"/>
        <v/>
      </c>
      <c r="L10514">
        <f t="shared" si="3"/>
        <v>0</v>
      </c>
    </row>
    <row r="10515">
      <c r="A10515" s="107"/>
      <c r="D10515" s="270"/>
      <c r="H10515" s="106" t="str">
        <f t="shared" si="1"/>
        <v/>
      </c>
      <c r="J10515" t="str">
        <f>IFERROR(__xludf.DUMMYFUNCTION("IFS(
  AND(REGEXMATCH(E10515, ""台銀籌備帳戶|玉山帳戶""), REGEXMATCH(C10515, ""薪資"")), ""分潤支出"",
  AND(REGEXMATCH(E10515, ""Ben帳戶|Elsa帳戶|Ben代墊|Ariel代墊|中信銀行共用""), REGEXMATCH(F10515, ""Ben帳戶|Elsa帳戶|Ben代墊|Ariel代墊|中信銀行共用"")), ""內部轉帳(忽略)"",
  AND(E10515&lt;&gt;"""", F10515&lt;&gt;"&amp;""""", NOT(REGEXMATCH(C10515, ""薪資""))), ""內部轉帳(忽略)"",
  REGEXMATCH(C10515, ""薪資""), ""薪資變動(不計入)"",
  REGEXMATCH(C10515, ""押金""), ""押金往來"",
  AND(E10515&lt;&gt;"""", F10515=""""), ""真實支出"",
  AND(E10515="""", F10515&lt;&gt;""""), ""真實收入"",
  TRUE, ""其他""
)"),"其他")</f>
        <v>其他</v>
      </c>
      <c r="K10515" s="270" t="str">
        <f t="shared" si="2"/>
        <v/>
      </c>
      <c r="L10515">
        <f t="shared" si="3"/>
        <v>0</v>
      </c>
    </row>
    <row r="10516">
      <c r="A10516" s="107"/>
      <c r="D10516" s="270"/>
      <c r="H10516" s="106" t="str">
        <f t="shared" si="1"/>
        <v/>
      </c>
      <c r="J10516" t="str">
        <f>IFERROR(__xludf.DUMMYFUNCTION("IFS(
  AND(REGEXMATCH(E10516, ""台銀籌備帳戶|玉山帳戶""), REGEXMATCH(C10516, ""薪資"")), ""分潤支出"",
  AND(REGEXMATCH(E10516, ""Ben帳戶|Elsa帳戶|Ben代墊|Ariel代墊|中信銀行共用""), REGEXMATCH(F10516, ""Ben帳戶|Elsa帳戶|Ben代墊|Ariel代墊|中信銀行共用"")), ""內部轉帳(忽略)"",
  AND(E10516&lt;&gt;"""", F10516&lt;&gt;"&amp;""""", NOT(REGEXMATCH(C10516, ""薪資""))), ""內部轉帳(忽略)"",
  REGEXMATCH(C10516, ""薪資""), ""薪資變動(不計入)"",
  REGEXMATCH(C10516, ""押金""), ""押金往來"",
  AND(E10516&lt;&gt;"""", F10516=""""), ""真實支出"",
  AND(E10516="""", F10516&lt;&gt;""""), ""真實收入"",
  TRUE, ""其他""
)"),"其他")</f>
        <v>其他</v>
      </c>
      <c r="K10516" s="270" t="str">
        <f t="shared" si="2"/>
        <v/>
      </c>
      <c r="L10516">
        <f t="shared" si="3"/>
        <v>0</v>
      </c>
    </row>
    <row r="10517">
      <c r="A10517" s="107"/>
      <c r="D10517" s="270"/>
      <c r="H10517" s="106" t="str">
        <f t="shared" si="1"/>
        <v/>
      </c>
      <c r="J10517" t="str">
        <f>IFERROR(__xludf.DUMMYFUNCTION("IFS(
  AND(REGEXMATCH(E10517, ""台銀籌備帳戶|玉山帳戶""), REGEXMATCH(C10517, ""薪資"")), ""分潤支出"",
  AND(REGEXMATCH(E10517, ""Ben帳戶|Elsa帳戶|Ben代墊|Ariel代墊|中信銀行共用""), REGEXMATCH(F10517, ""Ben帳戶|Elsa帳戶|Ben代墊|Ariel代墊|中信銀行共用"")), ""內部轉帳(忽略)"",
  AND(E10517&lt;&gt;"""", F10517&lt;&gt;"&amp;""""", NOT(REGEXMATCH(C10517, ""薪資""))), ""內部轉帳(忽略)"",
  REGEXMATCH(C10517, ""薪資""), ""薪資變動(不計入)"",
  REGEXMATCH(C10517, ""押金""), ""押金往來"",
  AND(E10517&lt;&gt;"""", F10517=""""), ""真實支出"",
  AND(E10517="""", F10517&lt;&gt;""""), ""真實收入"",
  TRUE, ""其他""
)"),"其他")</f>
        <v>其他</v>
      </c>
      <c r="K10517" s="270" t="str">
        <f t="shared" si="2"/>
        <v/>
      </c>
      <c r="L10517">
        <f t="shared" si="3"/>
        <v>0</v>
      </c>
    </row>
    <row r="10518">
      <c r="A10518" s="107"/>
      <c r="D10518" s="270"/>
      <c r="H10518" s="106" t="str">
        <f t="shared" si="1"/>
        <v/>
      </c>
      <c r="J10518" t="str">
        <f>IFERROR(__xludf.DUMMYFUNCTION("IFS(
  AND(REGEXMATCH(E10518, ""台銀籌備帳戶|玉山帳戶""), REGEXMATCH(C10518, ""薪資"")), ""分潤支出"",
  AND(REGEXMATCH(E10518, ""Ben帳戶|Elsa帳戶|Ben代墊|Ariel代墊|中信銀行共用""), REGEXMATCH(F10518, ""Ben帳戶|Elsa帳戶|Ben代墊|Ariel代墊|中信銀行共用"")), ""內部轉帳(忽略)"",
  AND(E10518&lt;&gt;"""", F10518&lt;&gt;"&amp;""""", NOT(REGEXMATCH(C10518, ""薪資""))), ""內部轉帳(忽略)"",
  REGEXMATCH(C10518, ""薪資""), ""薪資變動(不計入)"",
  REGEXMATCH(C10518, ""押金""), ""押金往來"",
  AND(E10518&lt;&gt;"""", F10518=""""), ""真實支出"",
  AND(E10518="""", F10518&lt;&gt;""""), ""真實收入"",
  TRUE, ""其他""
)"),"其他")</f>
        <v>其他</v>
      </c>
      <c r="K10518" s="270" t="str">
        <f t="shared" si="2"/>
        <v/>
      </c>
      <c r="L10518">
        <f t="shared" si="3"/>
        <v>0</v>
      </c>
    </row>
    <row r="10519">
      <c r="A10519" s="107"/>
      <c r="D10519" s="270"/>
      <c r="H10519" s="106" t="str">
        <f t="shared" si="1"/>
        <v/>
      </c>
      <c r="J10519" t="str">
        <f>IFERROR(__xludf.DUMMYFUNCTION("IFS(
  AND(REGEXMATCH(E10519, ""台銀籌備帳戶|玉山帳戶""), REGEXMATCH(C10519, ""薪資"")), ""分潤支出"",
  AND(REGEXMATCH(E10519, ""Ben帳戶|Elsa帳戶|Ben代墊|Ariel代墊|中信銀行共用""), REGEXMATCH(F10519, ""Ben帳戶|Elsa帳戶|Ben代墊|Ariel代墊|中信銀行共用"")), ""內部轉帳(忽略)"",
  AND(E10519&lt;&gt;"""", F10519&lt;&gt;"&amp;""""", NOT(REGEXMATCH(C10519, ""薪資""))), ""內部轉帳(忽略)"",
  REGEXMATCH(C10519, ""薪資""), ""薪資變動(不計入)"",
  REGEXMATCH(C10519, ""押金""), ""押金往來"",
  AND(E10519&lt;&gt;"""", F10519=""""), ""真實支出"",
  AND(E10519="""", F10519&lt;&gt;""""), ""真實收入"",
  TRUE, ""其他""
)"),"其他")</f>
        <v>其他</v>
      </c>
      <c r="K10519" s="270" t="str">
        <f t="shared" si="2"/>
        <v/>
      </c>
      <c r="L10519">
        <f t="shared" si="3"/>
        <v>0</v>
      </c>
    </row>
    <row r="10520">
      <c r="A10520" s="107"/>
      <c r="D10520" s="270"/>
      <c r="H10520" s="106" t="str">
        <f t="shared" si="1"/>
        <v/>
      </c>
      <c r="J10520" t="str">
        <f>IFERROR(__xludf.DUMMYFUNCTION("IFS(
  AND(REGEXMATCH(E10520, ""台銀籌備帳戶|玉山帳戶""), REGEXMATCH(C10520, ""薪資"")), ""分潤支出"",
  AND(REGEXMATCH(E10520, ""Ben帳戶|Elsa帳戶|Ben代墊|Ariel代墊|中信銀行共用""), REGEXMATCH(F10520, ""Ben帳戶|Elsa帳戶|Ben代墊|Ariel代墊|中信銀行共用"")), ""內部轉帳(忽略)"",
  AND(E10520&lt;&gt;"""", F10520&lt;&gt;"&amp;""""", NOT(REGEXMATCH(C10520, ""薪資""))), ""內部轉帳(忽略)"",
  REGEXMATCH(C10520, ""薪資""), ""薪資變動(不計入)"",
  REGEXMATCH(C10520, ""押金""), ""押金往來"",
  AND(E10520&lt;&gt;"""", F10520=""""), ""真實支出"",
  AND(E10520="""", F10520&lt;&gt;""""), ""真實收入"",
  TRUE, ""其他""
)"),"其他")</f>
        <v>其他</v>
      </c>
      <c r="K10520" s="270" t="str">
        <f t="shared" si="2"/>
        <v/>
      </c>
      <c r="L10520">
        <f t="shared" si="3"/>
        <v>0</v>
      </c>
    </row>
    <row r="10521">
      <c r="A10521" s="107"/>
      <c r="D10521" s="270"/>
      <c r="H10521" s="106" t="str">
        <f t="shared" si="1"/>
        <v/>
      </c>
      <c r="J10521" t="str">
        <f>IFERROR(__xludf.DUMMYFUNCTION("IFS(
  AND(REGEXMATCH(E10521, ""台銀籌備帳戶|玉山帳戶""), REGEXMATCH(C10521, ""薪資"")), ""分潤支出"",
  AND(REGEXMATCH(E10521, ""Ben帳戶|Elsa帳戶|Ben代墊|Ariel代墊|中信銀行共用""), REGEXMATCH(F10521, ""Ben帳戶|Elsa帳戶|Ben代墊|Ariel代墊|中信銀行共用"")), ""內部轉帳(忽略)"",
  AND(E10521&lt;&gt;"""", F10521&lt;&gt;"&amp;""""", NOT(REGEXMATCH(C10521, ""薪資""))), ""內部轉帳(忽略)"",
  REGEXMATCH(C10521, ""薪資""), ""薪資變動(不計入)"",
  REGEXMATCH(C10521, ""押金""), ""押金往來"",
  AND(E10521&lt;&gt;"""", F10521=""""), ""真實支出"",
  AND(E10521="""", F10521&lt;&gt;""""), ""真實收入"",
  TRUE, ""其他""
)"),"其他")</f>
        <v>其他</v>
      </c>
      <c r="K10521" s="270" t="str">
        <f t="shared" si="2"/>
        <v/>
      </c>
      <c r="L10521">
        <f t="shared" si="3"/>
        <v>0</v>
      </c>
    </row>
    <row r="10522">
      <c r="A10522" s="107"/>
      <c r="D10522" s="270"/>
      <c r="H10522" s="106" t="str">
        <f t="shared" si="1"/>
        <v/>
      </c>
      <c r="J10522" t="str">
        <f>IFERROR(__xludf.DUMMYFUNCTION("IFS(
  AND(REGEXMATCH(E10522, ""台銀籌備帳戶|玉山帳戶""), REGEXMATCH(C10522, ""薪資"")), ""分潤支出"",
  AND(REGEXMATCH(E10522, ""Ben帳戶|Elsa帳戶|Ben代墊|Ariel代墊|中信銀行共用""), REGEXMATCH(F10522, ""Ben帳戶|Elsa帳戶|Ben代墊|Ariel代墊|中信銀行共用"")), ""內部轉帳(忽略)"",
  AND(E10522&lt;&gt;"""", F10522&lt;&gt;"&amp;""""", NOT(REGEXMATCH(C10522, ""薪資""))), ""內部轉帳(忽略)"",
  REGEXMATCH(C10522, ""薪資""), ""薪資變動(不計入)"",
  REGEXMATCH(C10522, ""押金""), ""押金往來"",
  AND(E10522&lt;&gt;"""", F10522=""""), ""真實支出"",
  AND(E10522="""", F10522&lt;&gt;""""), ""真實收入"",
  TRUE, ""其他""
)"),"其他")</f>
        <v>其他</v>
      </c>
      <c r="K10522" s="270" t="str">
        <f t="shared" si="2"/>
        <v/>
      </c>
      <c r="L10522">
        <f t="shared" si="3"/>
        <v>0</v>
      </c>
    </row>
    <row r="10523">
      <c r="A10523" s="107"/>
      <c r="D10523" s="270"/>
      <c r="H10523" s="106" t="str">
        <f t="shared" si="1"/>
        <v/>
      </c>
      <c r="J10523" t="str">
        <f>IFERROR(__xludf.DUMMYFUNCTION("IFS(
  AND(REGEXMATCH(E10523, ""台銀籌備帳戶|玉山帳戶""), REGEXMATCH(C10523, ""薪資"")), ""分潤支出"",
  AND(REGEXMATCH(E10523, ""Ben帳戶|Elsa帳戶|Ben代墊|Ariel代墊|中信銀行共用""), REGEXMATCH(F10523, ""Ben帳戶|Elsa帳戶|Ben代墊|Ariel代墊|中信銀行共用"")), ""內部轉帳(忽略)"",
  AND(E10523&lt;&gt;"""", F10523&lt;&gt;"&amp;""""", NOT(REGEXMATCH(C10523, ""薪資""))), ""內部轉帳(忽略)"",
  REGEXMATCH(C10523, ""薪資""), ""薪資變動(不計入)"",
  REGEXMATCH(C10523, ""押金""), ""押金往來"",
  AND(E10523&lt;&gt;"""", F10523=""""), ""真實支出"",
  AND(E10523="""", F10523&lt;&gt;""""), ""真實收入"",
  TRUE, ""其他""
)"),"其他")</f>
        <v>其他</v>
      </c>
      <c r="K10523" s="270" t="str">
        <f t="shared" si="2"/>
        <v/>
      </c>
      <c r="L10523">
        <f t="shared" si="3"/>
        <v>0</v>
      </c>
    </row>
    <row r="10524">
      <c r="A10524" s="107"/>
      <c r="D10524" s="270"/>
      <c r="H10524" s="106" t="str">
        <f t="shared" si="1"/>
        <v/>
      </c>
      <c r="J10524" t="str">
        <f>IFERROR(__xludf.DUMMYFUNCTION("IFS(
  AND(REGEXMATCH(E10524, ""台銀籌備帳戶|玉山帳戶""), REGEXMATCH(C10524, ""薪資"")), ""分潤支出"",
  AND(REGEXMATCH(E10524, ""Ben帳戶|Elsa帳戶|Ben代墊|Ariel代墊|中信銀行共用""), REGEXMATCH(F10524, ""Ben帳戶|Elsa帳戶|Ben代墊|Ariel代墊|中信銀行共用"")), ""內部轉帳(忽略)"",
  AND(E10524&lt;&gt;"""", F10524&lt;&gt;"&amp;""""", NOT(REGEXMATCH(C10524, ""薪資""))), ""內部轉帳(忽略)"",
  REGEXMATCH(C10524, ""薪資""), ""薪資變動(不計入)"",
  REGEXMATCH(C10524, ""押金""), ""押金往來"",
  AND(E10524&lt;&gt;"""", F10524=""""), ""真實支出"",
  AND(E10524="""", F10524&lt;&gt;""""), ""真實收入"",
  TRUE, ""其他""
)"),"其他")</f>
        <v>其他</v>
      </c>
      <c r="K10524" s="270" t="str">
        <f t="shared" si="2"/>
        <v/>
      </c>
      <c r="L10524">
        <f t="shared" si="3"/>
        <v>0</v>
      </c>
    </row>
    <row r="10525">
      <c r="A10525" s="107"/>
      <c r="D10525" s="270"/>
      <c r="H10525" s="106" t="str">
        <f t="shared" si="1"/>
        <v/>
      </c>
      <c r="J10525" t="str">
        <f>IFERROR(__xludf.DUMMYFUNCTION("IFS(
  AND(REGEXMATCH(E10525, ""台銀籌備帳戶|玉山帳戶""), REGEXMATCH(C10525, ""薪資"")), ""分潤支出"",
  AND(REGEXMATCH(E10525, ""Ben帳戶|Elsa帳戶|Ben代墊|Ariel代墊|中信銀行共用""), REGEXMATCH(F10525, ""Ben帳戶|Elsa帳戶|Ben代墊|Ariel代墊|中信銀行共用"")), ""內部轉帳(忽略)"",
  AND(E10525&lt;&gt;"""", F10525&lt;&gt;"&amp;""""", NOT(REGEXMATCH(C10525, ""薪資""))), ""內部轉帳(忽略)"",
  REGEXMATCH(C10525, ""薪資""), ""薪資變動(不計入)"",
  REGEXMATCH(C10525, ""押金""), ""押金往來"",
  AND(E10525&lt;&gt;"""", F10525=""""), ""真實支出"",
  AND(E10525="""", F10525&lt;&gt;""""), ""真實收入"",
  TRUE, ""其他""
)"),"其他")</f>
        <v>其他</v>
      </c>
      <c r="K10525" s="270" t="str">
        <f t="shared" si="2"/>
        <v/>
      </c>
      <c r="L10525">
        <f t="shared" si="3"/>
        <v>0</v>
      </c>
    </row>
    <row r="10526">
      <c r="A10526" s="107"/>
      <c r="D10526" s="270"/>
      <c r="H10526" s="106" t="str">
        <f t="shared" si="1"/>
        <v/>
      </c>
      <c r="J10526" t="str">
        <f>IFERROR(__xludf.DUMMYFUNCTION("IFS(
  AND(REGEXMATCH(E10526, ""台銀籌備帳戶|玉山帳戶""), REGEXMATCH(C10526, ""薪資"")), ""分潤支出"",
  AND(REGEXMATCH(E10526, ""Ben帳戶|Elsa帳戶|Ben代墊|Ariel代墊|中信銀行共用""), REGEXMATCH(F10526, ""Ben帳戶|Elsa帳戶|Ben代墊|Ariel代墊|中信銀行共用"")), ""內部轉帳(忽略)"",
  AND(E10526&lt;&gt;"""", F10526&lt;&gt;"&amp;""""", NOT(REGEXMATCH(C10526, ""薪資""))), ""內部轉帳(忽略)"",
  REGEXMATCH(C10526, ""薪資""), ""薪資變動(不計入)"",
  REGEXMATCH(C10526, ""押金""), ""押金往來"",
  AND(E10526&lt;&gt;"""", F10526=""""), ""真實支出"",
  AND(E10526="""", F10526&lt;&gt;""""), ""真實收入"",
  TRUE, ""其他""
)"),"其他")</f>
        <v>其他</v>
      </c>
      <c r="K10526" s="270" t="str">
        <f t="shared" si="2"/>
        <v/>
      </c>
      <c r="L10526">
        <f t="shared" si="3"/>
        <v>0</v>
      </c>
    </row>
    <row r="10527">
      <c r="A10527" s="107"/>
      <c r="D10527" s="270"/>
      <c r="H10527" s="106" t="str">
        <f t="shared" si="1"/>
        <v/>
      </c>
      <c r="J10527" t="str">
        <f>IFERROR(__xludf.DUMMYFUNCTION("IFS(
  AND(REGEXMATCH(E10527, ""台銀籌備帳戶|玉山帳戶""), REGEXMATCH(C10527, ""薪資"")), ""分潤支出"",
  AND(REGEXMATCH(E10527, ""Ben帳戶|Elsa帳戶|Ben代墊|Ariel代墊|中信銀行共用""), REGEXMATCH(F10527, ""Ben帳戶|Elsa帳戶|Ben代墊|Ariel代墊|中信銀行共用"")), ""內部轉帳(忽略)"",
  AND(E10527&lt;&gt;"""", F10527&lt;&gt;"&amp;""""", NOT(REGEXMATCH(C10527, ""薪資""))), ""內部轉帳(忽略)"",
  REGEXMATCH(C10527, ""薪資""), ""薪資變動(不計入)"",
  REGEXMATCH(C10527, ""押金""), ""押金往來"",
  AND(E10527&lt;&gt;"""", F10527=""""), ""真實支出"",
  AND(E10527="""", F10527&lt;&gt;""""), ""真實收入"",
  TRUE, ""其他""
)"),"其他")</f>
        <v>其他</v>
      </c>
      <c r="K10527" s="270" t="str">
        <f t="shared" si="2"/>
        <v/>
      </c>
      <c r="L10527">
        <f t="shared" si="3"/>
        <v>0</v>
      </c>
    </row>
    <row r="10528">
      <c r="A10528" s="107"/>
      <c r="D10528" s="270"/>
      <c r="H10528" s="106" t="str">
        <f t="shared" si="1"/>
        <v/>
      </c>
      <c r="J10528" t="str">
        <f>IFERROR(__xludf.DUMMYFUNCTION("IFS(
  AND(REGEXMATCH(E10528, ""台銀籌備帳戶|玉山帳戶""), REGEXMATCH(C10528, ""薪資"")), ""分潤支出"",
  AND(REGEXMATCH(E10528, ""Ben帳戶|Elsa帳戶|Ben代墊|Ariel代墊|中信銀行共用""), REGEXMATCH(F10528, ""Ben帳戶|Elsa帳戶|Ben代墊|Ariel代墊|中信銀行共用"")), ""內部轉帳(忽略)"",
  AND(E10528&lt;&gt;"""", F10528&lt;&gt;"&amp;""""", NOT(REGEXMATCH(C10528, ""薪資""))), ""內部轉帳(忽略)"",
  REGEXMATCH(C10528, ""薪資""), ""薪資變動(不計入)"",
  REGEXMATCH(C10528, ""押金""), ""押金往來"",
  AND(E10528&lt;&gt;"""", F10528=""""), ""真實支出"",
  AND(E10528="""", F10528&lt;&gt;""""), ""真實收入"",
  TRUE, ""其他""
)"),"其他")</f>
        <v>其他</v>
      </c>
      <c r="K10528" s="270" t="str">
        <f t="shared" si="2"/>
        <v/>
      </c>
      <c r="L10528">
        <f t="shared" si="3"/>
        <v>0</v>
      </c>
    </row>
    <row r="10529">
      <c r="A10529" s="107"/>
      <c r="D10529" s="270"/>
      <c r="H10529" s="106" t="str">
        <f t="shared" si="1"/>
        <v/>
      </c>
      <c r="J10529" t="str">
        <f>IFERROR(__xludf.DUMMYFUNCTION("IFS(
  AND(REGEXMATCH(E10529, ""台銀籌備帳戶|玉山帳戶""), REGEXMATCH(C10529, ""薪資"")), ""分潤支出"",
  AND(REGEXMATCH(E10529, ""Ben帳戶|Elsa帳戶|Ben代墊|Ariel代墊|中信銀行共用""), REGEXMATCH(F10529, ""Ben帳戶|Elsa帳戶|Ben代墊|Ariel代墊|中信銀行共用"")), ""內部轉帳(忽略)"",
  AND(E10529&lt;&gt;"""", F10529&lt;&gt;"&amp;""""", NOT(REGEXMATCH(C10529, ""薪資""))), ""內部轉帳(忽略)"",
  REGEXMATCH(C10529, ""薪資""), ""薪資變動(不計入)"",
  REGEXMATCH(C10529, ""押金""), ""押金往來"",
  AND(E10529&lt;&gt;"""", F10529=""""), ""真實支出"",
  AND(E10529="""", F10529&lt;&gt;""""), ""真實收入"",
  TRUE, ""其他""
)"),"其他")</f>
        <v>其他</v>
      </c>
      <c r="K10529" s="270" t="str">
        <f t="shared" si="2"/>
        <v/>
      </c>
      <c r="L10529">
        <f t="shared" si="3"/>
        <v>0</v>
      </c>
    </row>
    <row r="10530">
      <c r="A10530" s="107"/>
      <c r="D10530" s="270"/>
      <c r="H10530" s="106" t="str">
        <f t="shared" si="1"/>
        <v/>
      </c>
      <c r="J10530" t="str">
        <f>IFERROR(__xludf.DUMMYFUNCTION("IFS(
  AND(REGEXMATCH(E10530, ""台銀籌備帳戶|玉山帳戶""), REGEXMATCH(C10530, ""薪資"")), ""分潤支出"",
  AND(REGEXMATCH(E10530, ""Ben帳戶|Elsa帳戶|Ben代墊|Ariel代墊|中信銀行共用""), REGEXMATCH(F10530, ""Ben帳戶|Elsa帳戶|Ben代墊|Ariel代墊|中信銀行共用"")), ""內部轉帳(忽略)"",
  AND(E10530&lt;&gt;"""", F10530&lt;&gt;"&amp;""""", NOT(REGEXMATCH(C10530, ""薪資""))), ""內部轉帳(忽略)"",
  REGEXMATCH(C10530, ""薪資""), ""薪資變動(不計入)"",
  REGEXMATCH(C10530, ""押金""), ""押金往來"",
  AND(E10530&lt;&gt;"""", F10530=""""), ""真實支出"",
  AND(E10530="""", F10530&lt;&gt;""""), ""真實收入"",
  TRUE, ""其他""
)"),"其他")</f>
        <v>其他</v>
      </c>
      <c r="K10530" s="270" t="str">
        <f t="shared" si="2"/>
        <v/>
      </c>
      <c r="L10530">
        <f t="shared" si="3"/>
        <v>0</v>
      </c>
    </row>
    <row r="10531">
      <c r="A10531" s="107"/>
      <c r="D10531" s="270"/>
      <c r="H10531" s="106" t="str">
        <f t="shared" si="1"/>
        <v/>
      </c>
      <c r="J10531" t="str">
        <f>IFERROR(__xludf.DUMMYFUNCTION("IFS(
  AND(REGEXMATCH(E10531, ""台銀籌備帳戶|玉山帳戶""), REGEXMATCH(C10531, ""薪資"")), ""分潤支出"",
  AND(REGEXMATCH(E10531, ""Ben帳戶|Elsa帳戶|Ben代墊|Ariel代墊|中信銀行共用""), REGEXMATCH(F10531, ""Ben帳戶|Elsa帳戶|Ben代墊|Ariel代墊|中信銀行共用"")), ""內部轉帳(忽略)"",
  AND(E10531&lt;&gt;"""", F10531&lt;&gt;"&amp;""""", NOT(REGEXMATCH(C10531, ""薪資""))), ""內部轉帳(忽略)"",
  REGEXMATCH(C10531, ""薪資""), ""薪資變動(不計入)"",
  REGEXMATCH(C10531, ""押金""), ""押金往來"",
  AND(E10531&lt;&gt;"""", F10531=""""), ""真實支出"",
  AND(E10531="""", F10531&lt;&gt;""""), ""真實收入"",
  TRUE, ""其他""
)"),"其他")</f>
        <v>其他</v>
      </c>
      <c r="K10531" s="270" t="str">
        <f t="shared" si="2"/>
        <v/>
      </c>
      <c r="L10531">
        <f t="shared" si="3"/>
        <v>0</v>
      </c>
    </row>
    <row r="10532">
      <c r="A10532" s="107"/>
      <c r="D10532" s="270"/>
      <c r="H10532" s="106" t="str">
        <f t="shared" si="1"/>
        <v/>
      </c>
      <c r="J10532" t="str">
        <f>IFERROR(__xludf.DUMMYFUNCTION("IFS(
  AND(REGEXMATCH(E10532, ""台銀籌備帳戶|玉山帳戶""), REGEXMATCH(C10532, ""薪資"")), ""分潤支出"",
  AND(REGEXMATCH(E10532, ""Ben帳戶|Elsa帳戶|Ben代墊|Ariel代墊|中信銀行共用""), REGEXMATCH(F10532, ""Ben帳戶|Elsa帳戶|Ben代墊|Ariel代墊|中信銀行共用"")), ""內部轉帳(忽略)"",
  AND(E10532&lt;&gt;"""", F10532&lt;&gt;"&amp;""""", NOT(REGEXMATCH(C10532, ""薪資""))), ""內部轉帳(忽略)"",
  REGEXMATCH(C10532, ""薪資""), ""薪資變動(不計入)"",
  REGEXMATCH(C10532, ""押金""), ""押金往來"",
  AND(E10532&lt;&gt;"""", F10532=""""), ""真實支出"",
  AND(E10532="""", F10532&lt;&gt;""""), ""真實收入"",
  TRUE, ""其他""
)"),"其他")</f>
        <v>其他</v>
      </c>
      <c r="K10532" s="270" t="str">
        <f t="shared" si="2"/>
        <v/>
      </c>
      <c r="L10532">
        <f t="shared" si="3"/>
        <v>0</v>
      </c>
    </row>
    <row r="10533">
      <c r="A10533" s="107"/>
      <c r="D10533" s="270"/>
      <c r="H10533" s="106" t="str">
        <f t="shared" si="1"/>
        <v/>
      </c>
      <c r="J10533" t="str">
        <f>IFERROR(__xludf.DUMMYFUNCTION("IFS(
  AND(REGEXMATCH(E10533, ""台銀籌備帳戶|玉山帳戶""), REGEXMATCH(C10533, ""薪資"")), ""分潤支出"",
  AND(REGEXMATCH(E10533, ""Ben帳戶|Elsa帳戶|Ben代墊|Ariel代墊|中信銀行共用""), REGEXMATCH(F10533, ""Ben帳戶|Elsa帳戶|Ben代墊|Ariel代墊|中信銀行共用"")), ""內部轉帳(忽略)"",
  AND(E10533&lt;&gt;"""", F10533&lt;&gt;"&amp;""""", NOT(REGEXMATCH(C10533, ""薪資""))), ""內部轉帳(忽略)"",
  REGEXMATCH(C10533, ""薪資""), ""薪資變動(不計入)"",
  REGEXMATCH(C10533, ""押金""), ""押金往來"",
  AND(E10533&lt;&gt;"""", F10533=""""), ""真實支出"",
  AND(E10533="""", F10533&lt;&gt;""""), ""真實收入"",
  TRUE, ""其他""
)"),"其他")</f>
        <v>其他</v>
      </c>
      <c r="K10533" s="270" t="str">
        <f t="shared" si="2"/>
        <v/>
      </c>
      <c r="L10533">
        <f t="shared" si="3"/>
        <v>0</v>
      </c>
    </row>
    <row r="10534">
      <c r="A10534" s="107"/>
      <c r="D10534" s="270"/>
      <c r="H10534" s="106" t="str">
        <f t="shared" si="1"/>
        <v/>
      </c>
      <c r="J10534" t="str">
        <f>IFERROR(__xludf.DUMMYFUNCTION("IFS(
  AND(REGEXMATCH(E10534, ""台銀籌備帳戶|玉山帳戶""), REGEXMATCH(C10534, ""薪資"")), ""分潤支出"",
  AND(REGEXMATCH(E10534, ""Ben帳戶|Elsa帳戶|Ben代墊|Ariel代墊|中信銀行共用""), REGEXMATCH(F10534, ""Ben帳戶|Elsa帳戶|Ben代墊|Ariel代墊|中信銀行共用"")), ""內部轉帳(忽略)"",
  AND(E10534&lt;&gt;"""", F10534&lt;&gt;"&amp;""""", NOT(REGEXMATCH(C10534, ""薪資""))), ""內部轉帳(忽略)"",
  REGEXMATCH(C10534, ""薪資""), ""薪資變動(不計入)"",
  REGEXMATCH(C10534, ""押金""), ""押金往來"",
  AND(E10534&lt;&gt;"""", F10534=""""), ""真實支出"",
  AND(E10534="""", F10534&lt;&gt;""""), ""真實收入"",
  TRUE, ""其他""
)"),"其他")</f>
        <v>其他</v>
      </c>
      <c r="K10534" s="270" t="str">
        <f t="shared" si="2"/>
        <v/>
      </c>
      <c r="L10534">
        <f t="shared" si="3"/>
        <v>0</v>
      </c>
    </row>
    <row r="10535">
      <c r="A10535" s="107"/>
      <c r="D10535" s="270"/>
      <c r="H10535" s="106" t="str">
        <f t="shared" si="1"/>
        <v/>
      </c>
      <c r="J10535" t="str">
        <f>IFERROR(__xludf.DUMMYFUNCTION("IFS(
  AND(REGEXMATCH(E10535, ""台銀籌備帳戶|玉山帳戶""), REGEXMATCH(C10535, ""薪資"")), ""分潤支出"",
  AND(REGEXMATCH(E10535, ""Ben帳戶|Elsa帳戶|Ben代墊|Ariel代墊|中信銀行共用""), REGEXMATCH(F10535, ""Ben帳戶|Elsa帳戶|Ben代墊|Ariel代墊|中信銀行共用"")), ""內部轉帳(忽略)"",
  AND(E10535&lt;&gt;"""", F10535&lt;&gt;"&amp;""""", NOT(REGEXMATCH(C10535, ""薪資""))), ""內部轉帳(忽略)"",
  REGEXMATCH(C10535, ""薪資""), ""薪資變動(不計入)"",
  REGEXMATCH(C10535, ""押金""), ""押金往來"",
  AND(E10535&lt;&gt;"""", F10535=""""), ""真實支出"",
  AND(E10535="""", F10535&lt;&gt;""""), ""真實收入"",
  TRUE, ""其他""
)"),"其他")</f>
        <v>其他</v>
      </c>
      <c r="K10535" s="270" t="str">
        <f t="shared" si="2"/>
        <v/>
      </c>
      <c r="L10535">
        <f t="shared" si="3"/>
        <v>0</v>
      </c>
    </row>
    <row r="10536">
      <c r="A10536" s="107"/>
      <c r="D10536" s="270"/>
      <c r="H10536" s="106" t="str">
        <f t="shared" si="1"/>
        <v/>
      </c>
      <c r="J10536" t="str">
        <f>IFERROR(__xludf.DUMMYFUNCTION("IFS(
  AND(REGEXMATCH(E10536, ""台銀籌備帳戶|玉山帳戶""), REGEXMATCH(C10536, ""薪資"")), ""分潤支出"",
  AND(REGEXMATCH(E10536, ""Ben帳戶|Elsa帳戶|Ben代墊|Ariel代墊|中信銀行共用""), REGEXMATCH(F10536, ""Ben帳戶|Elsa帳戶|Ben代墊|Ariel代墊|中信銀行共用"")), ""內部轉帳(忽略)"",
  AND(E10536&lt;&gt;"""", F10536&lt;&gt;"&amp;""""", NOT(REGEXMATCH(C10536, ""薪資""))), ""內部轉帳(忽略)"",
  REGEXMATCH(C10536, ""薪資""), ""薪資變動(不計入)"",
  REGEXMATCH(C10536, ""押金""), ""押金往來"",
  AND(E10536&lt;&gt;"""", F10536=""""), ""真實支出"",
  AND(E10536="""", F10536&lt;&gt;""""), ""真實收入"",
  TRUE, ""其他""
)"),"其他")</f>
        <v>其他</v>
      </c>
      <c r="K10536" s="270" t="str">
        <f t="shared" si="2"/>
        <v/>
      </c>
      <c r="L10536">
        <f t="shared" si="3"/>
        <v>0</v>
      </c>
    </row>
    <row r="10537">
      <c r="A10537" s="107"/>
      <c r="D10537" s="270"/>
      <c r="H10537" s="106" t="str">
        <f t="shared" si="1"/>
        <v/>
      </c>
      <c r="J10537" t="str">
        <f>IFERROR(__xludf.DUMMYFUNCTION("IFS(
  AND(REGEXMATCH(E10537, ""台銀籌備帳戶|玉山帳戶""), REGEXMATCH(C10537, ""薪資"")), ""分潤支出"",
  AND(REGEXMATCH(E10537, ""Ben帳戶|Elsa帳戶|Ben代墊|Ariel代墊|中信銀行共用""), REGEXMATCH(F10537, ""Ben帳戶|Elsa帳戶|Ben代墊|Ariel代墊|中信銀行共用"")), ""內部轉帳(忽略)"",
  AND(E10537&lt;&gt;"""", F10537&lt;&gt;"&amp;""""", NOT(REGEXMATCH(C10537, ""薪資""))), ""內部轉帳(忽略)"",
  REGEXMATCH(C10537, ""薪資""), ""薪資變動(不計入)"",
  REGEXMATCH(C10537, ""押金""), ""押金往來"",
  AND(E10537&lt;&gt;"""", F10537=""""), ""真實支出"",
  AND(E10537="""", F10537&lt;&gt;""""), ""真實收入"",
  TRUE, ""其他""
)"),"其他")</f>
        <v>其他</v>
      </c>
      <c r="K10537" s="270" t="str">
        <f t="shared" si="2"/>
        <v/>
      </c>
      <c r="L10537">
        <f t="shared" si="3"/>
        <v>0</v>
      </c>
    </row>
    <row r="10538">
      <c r="A10538" s="107"/>
      <c r="D10538" s="270"/>
      <c r="H10538" s="106" t="str">
        <f t="shared" si="1"/>
        <v/>
      </c>
      <c r="J10538" t="str">
        <f>IFERROR(__xludf.DUMMYFUNCTION("IFS(
  AND(REGEXMATCH(E10538, ""台銀籌備帳戶|玉山帳戶""), REGEXMATCH(C10538, ""薪資"")), ""分潤支出"",
  AND(REGEXMATCH(E10538, ""Ben帳戶|Elsa帳戶|Ben代墊|Ariel代墊|中信銀行共用""), REGEXMATCH(F10538, ""Ben帳戶|Elsa帳戶|Ben代墊|Ariel代墊|中信銀行共用"")), ""內部轉帳(忽略)"",
  AND(E10538&lt;&gt;"""", F10538&lt;&gt;"&amp;""""", NOT(REGEXMATCH(C10538, ""薪資""))), ""內部轉帳(忽略)"",
  REGEXMATCH(C10538, ""薪資""), ""薪資變動(不計入)"",
  REGEXMATCH(C10538, ""押金""), ""押金往來"",
  AND(E10538&lt;&gt;"""", F10538=""""), ""真實支出"",
  AND(E10538="""", F10538&lt;&gt;""""), ""真實收入"",
  TRUE, ""其他""
)"),"其他")</f>
        <v>其他</v>
      </c>
      <c r="K10538" s="270" t="str">
        <f t="shared" si="2"/>
        <v/>
      </c>
      <c r="L10538">
        <f t="shared" si="3"/>
        <v>0</v>
      </c>
    </row>
    <row r="10539">
      <c r="A10539" s="107"/>
      <c r="D10539" s="270"/>
      <c r="H10539" s="106" t="str">
        <f t="shared" si="1"/>
        <v/>
      </c>
      <c r="J10539" t="str">
        <f>IFERROR(__xludf.DUMMYFUNCTION("IFS(
  AND(REGEXMATCH(E10539, ""台銀籌備帳戶|玉山帳戶""), REGEXMATCH(C10539, ""薪資"")), ""分潤支出"",
  AND(REGEXMATCH(E10539, ""Ben帳戶|Elsa帳戶|Ben代墊|Ariel代墊|中信銀行共用""), REGEXMATCH(F10539, ""Ben帳戶|Elsa帳戶|Ben代墊|Ariel代墊|中信銀行共用"")), ""內部轉帳(忽略)"",
  AND(E10539&lt;&gt;"""", F10539&lt;&gt;"&amp;""""", NOT(REGEXMATCH(C10539, ""薪資""))), ""內部轉帳(忽略)"",
  REGEXMATCH(C10539, ""薪資""), ""薪資變動(不計入)"",
  REGEXMATCH(C10539, ""押金""), ""押金往來"",
  AND(E10539&lt;&gt;"""", F10539=""""), ""真實支出"",
  AND(E10539="""", F10539&lt;&gt;""""), ""真實收入"",
  TRUE, ""其他""
)"),"其他")</f>
        <v>其他</v>
      </c>
      <c r="K10539" s="270" t="str">
        <f t="shared" si="2"/>
        <v/>
      </c>
      <c r="L10539">
        <f t="shared" si="3"/>
        <v>0</v>
      </c>
    </row>
    <row r="10540">
      <c r="A10540" s="107"/>
      <c r="D10540" s="270"/>
      <c r="H10540" s="106" t="str">
        <f t="shared" si="1"/>
        <v/>
      </c>
      <c r="J10540" t="str">
        <f>IFERROR(__xludf.DUMMYFUNCTION("IFS(
  AND(REGEXMATCH(E10540, ""台銀籌備帳戶|玉山帳戶""), REGEXMATCH(C10540, ""薪資"")), ""分潤支出"",
  AND(REGEXMATCH(E10540, ""Ben帳戶|Elsa帳戶|Ben代墊|Ariel代墊|中信銀行共用""), REGEXMATCH(F10540, ""Ben帳戶|Elsa帳戶|Ben代墊|Ariel代墊|中信銀行共用"")), ""內部轉帳(忽略)"",
  AND(E10540&lt;&gt;"""", F10540&lt;&gt;"&amp;""""", NOT(REGEXMATCH(C10540, ""薪資""))), ""內部轉帳(忽略)"",
  REGEXMATCH(C10540, ""薪資""), ""薪資變動(不計入)"",
  REGEXMATCH(C10540, ""押金""), ""押金往來"",
  AND(E10540&lt;&gt;"""", F10540=""""), ""真實支出"",
  AND(E10540="""", F10540&lt;&gt;""""), ""真實收入"",
  TRUE, ""其他""
)"),"其他")</f>
        <v>其他</v>
      </c>
      <c r="K10540" s="270" t="str">
        <f t="shared" si="2"/>
        <v/>
      </c>
      <c r="L10540">
        <f t="shared" si="3"/>
        <v>0</v>
      </c>
    </row>
    <row r="10541">
      <c r="A10541" s="107"/>
      <c r="D10541" s="270"/>
      <c r="H10541" s="106" t="str">
        <f t="shared" si="1"/>
        <v/>
      </c>
      <c r="J10541" t="str">
        <f>IFERROR(__xludf.DUMMYFUNCTION("IFS(
  AND(REGEXMATCH(E10541, ""台銀籌備帳戶|玉山帳戶""), REGEXMATCH(C10541, ""薪資"")), ""分潤支出"",
  AND(REGEXMATCH(E10541, ""Ben帳戶|Elsa帳戶|Ben代墊|Ariel代墊|中信銀行共用""), REGEXMATCH(F10541, ""Ben帳戶|Elsa帳戶|Ben代墊|Ariel代墊|中信銀行共用"")), ""內部轉帳(忽略)"",
  AND(E10541&lt;&gt;"""", F10541&lt;&gt;"&amp;""""", NOT(REGEXMATCH(C10541, ""薪資""))), ""內部轉帳(忽略)"",
  REGEXMATCH(C10541, ""薪資""), ""薪資變動(不計入)"",
  REGEXMATCH(C10541, ""押金""), ""押金往來"",
  AND(E10541&lt;&gt;"""", F10541=""""), ""真實支出"",
  AND(E10541="""", F10541&lt;&gt;""""), ""真實收入"",
  TRUE, ""其他""
)"),"其他")</f>
        <v>其他</v>
      </c>
      <c r="K10541" s="270" t="str">
        <f t="shared" si="2"/>
        <v/>
      </c>
      <c r="L10541">
        <f t="shared" si="3"/>
        <v>0</v>
      </c>
    </row>
    <row r="10542">
      <c r="A10542" s="107"/>
      <c r="D10542" s="270"/>
      <c r="H10542" s="106" t="str">
        <f t="shared" si="1"/>
        <v/>
      </c>
      <c r="J10542" t="str">
        <f>IFERROR(__xludf.DUMMYFUNCTION("IFS(
  AND(REGEXMATCH(E10542, ""台銀籌備帳戶|玉山帳戶""), REGEXMATCH(C10542, ""薪資"")), ""分潤支出"",
  AND(REGEXMATCH(E10542, ""Ben帳戶|Elsa帳戶|Ben代墊|Ariel代墊|中信銀行共用""), REGEXMATCH(F10542, ""Ben帳戶|Elsa帳戶|Ben代墊|Ariel代墊|中信銀行共用"")), ""內部轉帳(忽略)"",
  AND(E10542&lt;&gt;"""", F10542&lt;&gt;"&amp;""""", NOT(REGEXMATCH(C10542, ""薪資""))), ""內部轉帳(忽略)"",
  REGEXMATCH(C10542, ""薪資""), ""薪資變動(不計入)"",
  REGEXMATCH(C10542, ""押金""), ""押金往來"",
  AND(E10542&lt;&gt;"""", F10542=""""), ""真實支出"",
  AND(E10542="""", F10542&lt;&gt;""""), ""真實收入"",
  TRUE, ""其他""
)"),"其他")</f>
        <v>其他</v>
      </c>
      <c r="K10542" s="270" t="str">
        <f t="shared" si="2"/>
        <v/>
      </c>
      <c r="L10542">
        <f t="shared" si="3"/>
        <v>0</v>
      </c>
    </row>
    <row r="10543">
      <c r="A10543" s="107"/>
      <c r="D10543" s="270"/>
      <c r="H10543" s="106" t="str">
        <f t="shared" si="1"/>
        <v/>
      </c>
      <c r="J10543" t="str">
        <f>IFERROR(__xludf.DUMMYFUNCTION("IFS(
  AND(REGEXMATCH(E10543, ""台銀籌備帳戶|玉山帳戶""), REGEXMATCH(C10543, ""薪資"")), ""分潤支出"",
  AND(REGEXMATCH(E10543, ""Ben帳戶|Elsa帳戶|Ben代墊|Ariel代墊|中信銀行共用""), REGEXMATCH(F10543, ""Ben帳戶|Elsa帳戶|Ben代墊|Ariel代墊|中信銀行共用"")), ""內部轉帳(忽略)"",
  AND(E10543&lt;&gt;"""", F10543&lt;&gt;"&amp;""""", NOT(REGEXMATCH(C10543, ""薪資""))), ""內部轉帳(忽略)"",
  REGEXMATCH(C10543, ""薪資""), ""薪資變動(不計入)"",
  REGEXMATCH(C10543, ""押金""), ""押金往來"",
  AND(E10543&lt;&gt;"""", F10543=""""), ""真實支出"",
  AND(E10543="""", F10543&lt;&gt;""""), ""真實收入"",
  TRUE, ""其他""
)"),"其他")</f>
        <v>其他</v>
      </c>
      <c r="K10543" s="270" t="str">
        <f t="shared" si="2"/>
        <v/>
      </c>
      <c r="L10543">
        <f t="shared" si="3"/>
        <v>0</v>
      </c>
    </row>
    <row r="10544">
      <c r="A10544" s="107"/>
      <c r="D10544" s="270"/>
      <c r="H10544" s="106" t="str">
        <f t="shared" si="1"/>
        <v/>
      </c>
      <c r="J10544" t="str">
        <f>IFERROR(__xludf.DUMMYFUNCTION("IFS(
  AND(REGEXMATCH(E10544, ""台銀籌備帳戶|玉山帳戶""), REGEXMATCH(C10544, ""薪資"")), ""分潤支出"",
  AND(REGEXMATCH(E10544, ""Ben帳戶|Elsa帳戶|Ben代墊|Ariel代墊|中信銀行共用""), REGEXMATCH(F10544, ""Ben帳戶|Elsa帳戶|Ben代墊|Ariel代墊|中信銀行共用"")), ""內部轉帳(忽略)"",
  AND(E10544&lt;&gt;"""", F10544&lt;&gt;"&amp;""""", NOT(REGEXMATCH(C10544, ""薪資""))), ""內部轉帳(忽略)"",
  REGEXMATCH(C10544, ""薪資""), ""薪資變動(不計入)"",
  REGEXMATCH(C10544, ""押金""), ""押金往來"",
  AND(E10544&lt;&gt;"""", F10544=""""), ""真實支出"",
  AND(E10544="""", F10544&lt;&gt;""""), ""真實收入"",
  TRUE, ""其他""
)"),"其他")</f>
        <v>其他</v>
      </c>
      <c r="K10544" s="270" t="str">
        <f t="shared" si="2"/>
        <v/>
      </c>
      <c r="L10544">
        <f t="shared" si="3"/>
        <v>0</v>
      </c>
    </row>
    <row r="10545">
      <c r="A10545" s="107"/>
      <c r="D10545" s="270"/>
      <c r="H10545" s="106" t="str">
        <f t="shared" si="1"/>
        <v/>
      </c>
      <c r="J10545" t="str">
        <f>IFERROR(__xludf.DUMMYFUNCTION("IFS(
  AND(REGEXMATCH(E10545, ""台銀籌備帳戶|玉山帳戶""), REGEXMATCH(C10545, ""薪資"")), ""分潤支出"",
  AND(REGEXMATCH(E10545, ""Ben帳戶|Elsa帳戶|Ben代墊|Ariel代墊|中信銀行共用""), REGEXMATCH(F10545, ""Ben帳戶|Elsa帳戶|Ben代墊|Ariel代墊|中信銀行共用"")), ""內部轉帳(忽略)"",
  AND(E10545&lt;&gt;"""", F10545&lt;&gt;"&amp;""""", NOT(REGEXMATCH(C10545, ""薪資""))), ""內部轉帳(忽略)"",
  REGEXMATCH(C10545, ""薪資""), ""薪資變動(不計入)"",
  REGEXMATCH(C10545, ""押金""), ""押金往來"",
  AND(E10545&lt;&gt;"""", F10545=""""), ""真實支出"",
  AND(E10545="""", F10545&lt;&gt;""""), ""真實收入"",
  TRUE, ""其他""
)"),"其他")</f>
        <v>其他</v>
      </c>
      <c r="K10545" s="270" t="str">
        <f t="shared" si="2"/>
        <v/>
      </c>
      <c r="L10545">
        <f t="shared" si="3"/>
        <v>0</v>
      </c>
    </row>
    <row r="10546">
      <c r="A10546" s="107"/>
      <c r="D10546" s="270"/>
      <c r="H10546" s="106" t="str">
        <f t="shared" si="1"/>
        <v/>
      </c>
      <c r="J10546" t="str">
        <f>IFERROR(__xludf.DUMMYFUNCTION("IFS(
  AND(REGEXMATCH(E10546, ""台銀籌備帳戶|玉山帳戶""), REGEXMATCH(C10546, ""薪資"")), ""分潤支出"",
  AND(REGEXMATCH(E10546, ""Ben帳戶|Elsa帳戶|Ben代墊|Ariel代墊|中信銀行共用""), REGEXMATCH(F10546, ""Ben帳戶|Elsa帳戶|Ben代墊|Ariel代墊|中信銀行共用"")), ""內部轉帳(忽略)"",
  AND(E10546&lt;&gt;"""", F10546&lt;&gt;"&amp;""""", NOT(REGEXMATCH(C10546, ""薪資""))), ""內部轉帳(忽略)"",
  REGEXMATCH(C10546, ""薪資""), ""薪資變動(不計入)"",
  REGEXMATCH(C10546, ""押金""), ""押金往來"",
  AND(E10546&lt;&gt;"""", F10546=""""), ""真實支出"",
  AND(E10546="""", F10546&lt;&gt;""""), ""真實收入"",
  TRUE, ""其他""
)"),"其他")</f>
        <v>其他</v>
      </c>
      <c r="K10546" s="270" t="str">
        <f t="shared" si="2"/>
        <v/>
      </c>
      <c r="L10546">
        <f t="shared" si="3"/>
        <v>0</v>
      </c>
    </row>
    <row r="10547">
      <c r="A10547" s="107"/>
      <c r="D10547" s="270"/>
      <c r="H10547" s="106" t="str">
        <f t="shared" si="1"/>
        <v/>
      </c>
      <c r="J10547" t="str">
        <f>IFERROR(__xludf.DUMMYFUNCTION("IFS(
  AND(REGEXMATCH(E10547, ""台銀籌備帳戶|玉山帳戶""), REGEXMATCH(C10547, ""薪資"")), ""分潤支出"",
  AND(REGEXMATCH(E10547, ""Ben帳戶|Elsa帳戶|Ben代墊|Ariel代墊|中信銀行共用""), REGEXMATCH(F10547, ""Ben帳戶|Elsa帳戶|Ben代墊|Ariel代墊|中信銀行共用"")), ""內部轉帳(忽略)"",
  AND(E10547&lt;&gt;"""", F10547&lt;&gt;"&amp;""""", NOT(REGEXMATCH(C10547, ""薪資""))), ""內部轉帳(忽略)"",
  REGEXMATCH(C10547, ""薪資""), ""薪資變動(不計入)"",
  REGEXMATCH(C10547, ""押金""), ""押金往來"",
  AND(E10547&lt;&gt;"""", F10547=""""), ""真實支出"",
  AND(E10547="""", F10547&lt;&gt;""""), ""真實收入"",
  TRUE, ""其他""
)"),"其他")</f>
        <v>其他</v>
      </c>
      <c r="K10547" s="270" t="str">
        <f t="shared" si="2"/>
        <v/>
      </c>
      <c r="L10547">
        <f t="shared" si="3"/>
        <v>0</v>
      </c>
    </row>
    <row r="10548">
      <c r="A10548" s="107"/>
      <c r="D10548" s="270"/>
      <c r="H10548" s="106" t="str">
        <f t="shared" si="1"/>
        <v/>
      </c>
      <c r="J10548" t="str">
        <f>IFERROR(__xludf.DUMMYFUNCTION("IFS(
  AND(REGEXMATCH(E10548, ""台銀籌備帳戶|玉山帳戶""), REGEXMATCH(C10548, ""薪資"")), ""分潤支出"",
  AND(REGEXMATCH(E10548, ""Ben帳戶|Elsa帳戶|Ben代墊|Ariel代墊|中信銀行共用""), REGEXMATCH(F10548, ""Ben帳戶|Elsa帳戶|Ben代墊|Ariel代墊|中信銀行共用"")), ""內部轉帳(忽略)"",
  AND(E10548&lt;&gt;"""", F10548&lt;&gt;"&amp;""""", NOT(REGEXMATCH(C10548, ""薪資""))), ""內部轉帳(忽略)"",
  REGEXMATCH(C10548, ""薪資""), ""薪資變動(不計入)"",
  REGEXMATCH(C10548, ""押金""), ""押金往來"",
  AND(E10548&lt;&gt;"""", F10548=""""), ""真實支出"",
  AND(E10548="""", F10548&lt;&gt;""""), ""真實收入"",
  TRUE, ""其他""
)"),"其他")</f>
        <v>其他</v>
      </c>
      <c r="K10548" s="270" t="str">
        <f t="shared" si="2"/>
        <v/>
      </c>
      <c r="L10548">
        <f t="shared" si="3"/>
        <v>0</v>
      </c>
    </row>
    <row r="10549">
      <c r="A10549" s="107"/>
      <c r="D10549" s="270"/>
      <c r="H10549" s="106" t="str">
        <f t="shared" si="1"/>
        <v/>
      </c>
      <c r="J10549" t="str">
        <f>IFERROR(__xludf.DUMMYFUNCTION("IFS(
  AND(REGEXMATCH(E10549, ""台銀籌備帳戶|玉山帳戶""), REGEXMATCH(C10549, ""薪資"")), ""分潤支出"",
  AND(REGEXMATCH(E10549, ""Ben帳戶|Elsa帳戶|Ben代墊|Ariel代墊|中信銀行共用""), REGEXMATCH(F10549, ""Ben帳戶|Elsa帳戶|Ben代墊|Ariel代墊|中信銀行共用"")), ""內部轉帳(忽略)"",
  AND(E10549&lt;&gt;"""", F10549&lt;&gt;"&amp;""""", NOT(REGEXMATCH(C10549, ""薪資""))), ""內部轉帳(忽略)"",
  REGEXMATCH(C10549, ""薪資""), ""薪資變動(不計入)"",
  REGEXMATCH(C10549, ""押金""), ""押金往來"",
  AND(E10549&lt;&gt;"""", F10549=""""), ""真實支出"",
  AND(E10549="""", F10549&lt;&gt;""""), ""真實收入"",
  TRUE, ""其他""
)"),"其他")</f>
        <v>其他</v>
      </c>
      <c r="K10549" s="270" t="str">
        <f t="shared" si="2"/>
        <v/>
      </c>
      <c r="L10549">
        <f t="shared" si="3"/>
        <v>0</v>
      </c>
    </row>
    <row r="10550">
      <c r="A10550" s="107"/>
      <c r="D10550" s="270"/>
      <c r="H10550" s="106" t="str">
        <f t="shared" si="1"/>
        <v/>
      </c>
      <c r="J10550" t="str">
        <f>IFERROR(__xludf.DUMMYFUNCTION("IFS(
  AND(REGEXMATCH(E10550, ""台銀籌備帳戶|玉山帳戶""), REGEXMATCH(C10550, ""薪資"")), ""分潤支出"",
  AND(REGEXMATCH(E10550, ""Ben帳戶|Elsa帳戶|Ben代墊|Ariel代墊|中信銀行共用""), REGEXMATCH(F10550, ""Ben帳戶|Elsa帳戶|Ben代墊|Ariel代墊|中信銀行共用"")), ""內部轉帳(忽略)"",
  AND(E10550&lt;&gt;"""", F10550&lt;&gt;"&amp;""""", NOT(REGEXMATCH(C10550, ""薪資""))), ""內部轉帳(忽略)"",
  REGEXMATCH(C10550, ""薪資""), ""薪資變動(不計入)"",
  REGEXMATCH(C10550, ""押金""), ""押金往來"",
  AND(E10550&lt;&gt;"""", F10550=""""), ""真實支出"",
  AND(E10550="""", F10550&lt;&gt;""""), ""真實收入"",
  TRUE, ""其他""
)"),"其他")</f>
        <v>其他</v>
      </c>
      <c r="K10550" s="270" t="str">
        <f t="shared" si="2"/>
        <v/>
      </c>
      <c r="L10550">
        <f t="shared" si="3"/>
        <v>0</v>
      </c>
    </row>
    <row r="10551">
      <c r="A10551" s="107"/>
      <c r="D10551" s="270"/>
      <c r="H10551" s="106" t="str">
        <f t="shared" si="1"/>
        <v/>
      </c>
      <c r="J10551" t="str">
        <f>IFERROR(__xludf.DUMMYFUNCTION("IFS(
  AND(REGEXMATCH(E10551, ""台銀籌備帳戶|玉山帳戶""), REGEXMATCH(C10551, ""薪資"")), ""分潤支出"",
  AND(REGEXMATCH(E10551, ""Ben帳戶|Elsa帳戶|Ben代墊|Ariel代墊|中信銀行共用""), REGEXMATCH(F10551, ""Ben帳戶|Elsa帳戶|Ben代墊|Ariel代墊|中信銀行共用"")), ""內部轉帳(忽略)"",
  AND(E10551&lt;&gt;"""", F10551&lt;&gt;"&amp;""""", NOT(REGEXMATCH(C10551, ""薪資""))), ""內部轉帳(忽略)"",
  REGEXMATCH(C10551, ""薪資""), ""薪資變動(不計入)"",
  REGEXMATCH(C10551, ""押金""), ""押金往來"",
  AND(E10551&lt;&gt;"""", F10551=""""), ""真實支出"",
  AND(E10551="""", F10551&lt;&gt;""""), ""真實收入"",
  TRUE, ""其他""
)"),"其他")</f>
        <v>其他</v>
      </c>
      <c r="K10551" s="270" t="str">
        <f t="shared" si="2"/>
        <v/>
      </c>
      <c r="L10551">
        <f t="shared" si="3"/>
        <v>0</v>
      </c>
    </row>
    <row r="10552">
      <c r="A10552" s="107"/>
      <c r="D10552" s="270"/>
      <c r="H10552" s="106" t="str">
        <f t="shared" si="1"/>
        <v/>
      </c>
      <c r="J10552" t="str">
        <f>IFERROR(__xludf.DUMMYFUNCTION("IFS(
  AND(REGEXMATCH(E10552, ""台銀籌備帳戶|玉山帳戶""), REGEXMATCH(C10552, ""薪資"")), ""分潤支出"",
  AND(REGEXMATCH(E10552, ""Ben帳戶|Elsa帳戶|Ben代墊|Ariel代墊|中信銀行共用""), REGEXMATCH(F10552, ""Ben帳戶|Elsa帳戶|Ben代墊|Ariel代墊|中信銀行共用"")), ""內部轉帳(忽略)"",
  AND(E10552&lt;&gt;"""", F10552&lt;&gt;"&amp;""""", NOT(REGEXMATCH(C10552, ""薪資""))), ""內部轉帳(忽略)"",
  REGEXMATCH(C10552, ""薪資""), ""薪資變動(不計入)"",
  REGEXMATCH(C10552, ""押金""), ""押金往來"",
  AND(E10552&lt;&gt;"""", F10552=""""), ""真實支出"",
  AND(E10552="""", F10552&lt;&gt;""""), ""真實收入"",
  TRUE, ""其他""
)"),"其他")</f>
        <v>其他</v>
      </c>
      <c r="K10552" s="270" t="str">
        <f t="shared" si="2"/>
        <v/>
      </c>
      <c r="L10552">
        <f t="shared" si="3"/>
        <v>0</v>
      </c>
    </row>
    <row r="10553">
      <c r="A10553" s="107"/>
      <c r="D10553" s="270"/>
      <c r="H10553" s="106" t="str">
        <f t="shared" si="1"/>
        <v/>
      </c>
      <c r="J10553" t="str">
        <f>IFERROR(__xludf.DUMMYFUNCTION("IFS(
  AND(REGEXMATCH(E10553, ""台銀籌備帳戶|玉山帳戶""), REGEXMATCH(C10553, ""薪資"")), ""分潤支出"",
  AND(REGEXMATCH(E10553, ""Ben帳戶|Elsa帳戶|Ben代墊|Ariel代墊|中信銀行共用""), REGEXMATCH(F10553, ""Ben帳戶|Elsa帳戶|Ben代墊|Ariel代墊|中信銀行共用"")), ""內部轉帳(忽略)"",
  AND(E10553&lt;&gt;"""", F10553&lt;&gt;"&amp;""""", NOT(REGEXMATCH(C10553, ""薪資""))), ""內部轉帳(忽略)"",
  REGEXMATCH(C10553, ""薪資""), ""薪資變動(不計入)"",
  REGEXMATCH(C10553, ""押金""), ""押金往來"",
  AND(E10553&lt;&gt;"""", F10553=""""), ""真實支出"",
  AND(E10553="""", F10553&lt;&gt;""""), ""真實收入"",
  TRUE, ""其他""
)"),"其他")</f>
        <v>其他</v>
      </c>
      <c r="K10553" s="270" t="str">
        <f t="shared" si="2"/>
        <v/>
      </c>
      <c r="L10553">
        <f t="shared" si="3"/>
        <v>0</v>
      </c>
    </row>
    <row r="10554">
      <c r="A10554" s="107"/>
      <c r="D10554" s="270"/>
      <c r="H10554" s="106" t="str">
        <f t="shared" si="1"/>
        <v/>
      </c>
      <c r="J10554" t="str">
        <f>IFERROR(__xludf.DUMMYFUNCTION("IFS(
  AND(REGEXMATCH(E10554, ""台銀籌備帳戶|玉山帳戶""), REGEXMATCH(C10554, ""薪資"")), ""分潤支出"",
  AND(REGEXMATCH(E10554, ""Ben帳戶|Elsa帳戶|Ben代墊|Ariel代墊|中信銀行共用""), REGEXMATCH(F10554, ""Ben帳戶|Elsa帳戶|Ben代墊|Ariel代墊|中信銀行共用"")), ""內部轉帳(忽略)"",
  AND(E10554&lt;&gt;"""", F10554&lt;&gt;"&amp;""""", NOT(REGEXMATCH(C10554, ""薪資""))), ""內部轉帳(忽略)"",
  REGEXMATCH(C10554, ""薪資""), ""薪資變動(不計入)"",
  REGEXMATCH(C10554, ""押金""), ""押金往來"",
  AND(E10554&lt;&gt;"""", F10554=""""), ""真實支出"",
  AND(E10554="""", F10554&lt;&gt;""""), ""真實收入"",
  TRUE, ""其他""
)"),"其他")</f>
        <v>其他</v>
      </c>
      <c r="K10554" s="270" t="str">
        <f t="shared" si="2"/>
        <v/>
      </c>
      <c r="L10554">
        <f t="shared" si="3"/>
        <v>0</v>
      </c>
    </row>
    <row r="10555">
      <c r="A10555" s="107"/>
      <c r="D10555" s="270"/>
      <c r="H10555" s="106" t="str">
        <f t="shared" si="1"/>
        <v/>
      </c>
      <c r="J10555" t="str">
        <f>IFERROR(__xludf.DUMMYFUNCTION("IFS(
  AND(REGEXMATCH(E10555, ""台銀籌備帳戶|玉山帳戶""), REGEXMATCH(C10555, ""薪資"")), ""分潤支出"",
  AND(REGEXMATCH(E10555, ""Ben帳戶|Elsa帳戶|Ben代墊|Ariel代墊|中信銀行共用""), REGEXMATCH(F10555, ""Ben帳戶|Elsa帳戶|Ben代墊|Ariel代墊|中信銀行共用"")), ""內部轉帳(忽略)"",
  AND(E10555&lt;&gt;"""", F10555&lt;&gt;"&amp;""""", NOT(REGEXMATCH(C10555, ""薪資""))), ""內部轉帳(忽略)"",
  REGEXMATCH(C10555, ""薪資""), ""薪資變動(不計入)"",
  REGEXMATCH(C10555, ""押金""), ""押金往來"",
  AND(E10555&lt;&gt;"""", F10555=""""), ""真實支出"",
  AND(E10555="""", F10555&lt;&gt;""""), ""真實收入"",
  TRUE, ""其他""
)"),"其他")</f>
        <v>其他</v>
      </c>
      <c r="K10555" s="270" t="str">
        <f t="shared" si="2"/>
        <v/>
      </c>
      <c r="L10555">
        <f t="shared" si="3"/>
        <v>0</v>
      </c>
    </row>
    <row r="10556">
      <c r="A10556" s="107"/>
      <c r="D10556" s="270"/>
      <c r="H10556" s="106" t="str">
        <f t="shared" si="1"/>
        <v/>
      </c>
      <c r="J10556" t="str">
        <f>IFERROR(__xludf.DUMMYFUNCTION("IFS(
  AND(REGEXMATCH(E10556, ""台銀籌備帳戶|玉山帳戶""), REGEXMATCH(C10556, ""薪資"")), ""分潤支出"",
  AND(REGEXMATCH(E10556, ""Ben帳戶|Elsa帳戶|Ben代墊|Ariel代墊|中信銀行共用""), REGEXMATCH(F10556, ""Ben帳戶|Elsa帳戶|Ben代墊|Ariel代墊|中信銀行共用"")), ""內部轉帳(忽略)"",
  AND(E10556&lt;&gt;"""", F10556&lt;&gt;"&amp;""""", NOT(REGEXMATCH(C10556, ""薪資""))), ""內部轉帳(忽略)"",
  REGEXMATCH(C10556, ""薪資""), ""薪資變動(不計入)"",
  REGEXMATCH(C10556, ""押金""), ""押金往來"",
  AND(E10556&lt;&gt;"""", F10556=""""), ""真實支出"",
  AND(E10556="""", F10556&lt;&gt;""""), ""真實收入"",
  TRUE, ""其他""
)"),"其他")</f>
        <v>其他</v>
      </c>
      <c r="K10556" s="270" t="str">
        <f t="shared" si="2"/>
        <v/>
      </c>
      <c r="L10556">
        <f t="shared" si="3"/>
        <v>0</v>
      </c>
    </row>
    <row r="10557">
      <c r="A10557" s="107"/>
      <c r="D10557" s="270"/>
      <c r="H10557" s="106" t="str">
        <f t="shared" si="1"/>
        <v/>
      </c>
      <c r="J10557" t="str">
        <f>IFERROR(__xludf.DUMMYFUNCTION("IFS(
  AND(REGEXMATCH(E10557, ""台銀籌備帳戶|玉山帳戶""), REGEXMATCH(C10557, ""薪資"")), ""分潤支出"",
  AND(REGEXMATCH(E10557, ""Ben帳戶|Elsa帳戶|Ben代墊|Ariel代墊|中信銀行共用""), REGEXMATCH(F10557, ""Ben帳戶|Elsa帳戶|Ben代墊|Ariel代墊|中信銀行共用"")), ""內部轉帳(忽略)"",
  AND(E10557&lt;&gt;"""", F10557&lt;&gt;"&amp;""""", NOT(REGEXMATCH(C10557, ""薪資""))), ""內部轉帳(忽略)"",
  REGEXMATCH(C10557, ""薪資""), ""薪資變動(不計入)"",
  REGEXMATCH(C10557, ""押金""), ""押金往來"",
  AND(E10557&lt;&gt;"""", F10557=""""), ""真實支出"",
  AND(E10557="""", F10557&lt;&gt;""""), ""真實收入"",
  TRUE, ""其他""
)"),"其他")</f>
        <v>其他</v>
      </c>
      <c r="K10557" s="270" t="str">
        <f t="shared" si="2"/>
        <v/>
      </c>
      <c r="L10557">
        <f t="shared" si="3"/>
        <v>0</v>
      </c>
    </row>
    <row r="10558">
      <c r="A10558" s="107"/>
      <c r="D10558" s="270"/>
      <c r="H10558" s="106" t="str">
        <f t="shared" si="1"/>
        <v/>
      </c>
      <c r="J10558" t="str">
        <f>IFERROR(__xludf.DUMMYFUNCTION("IFS(
  AND(REGEXMATCH(E10558, ""台銀籌備帳戶|玉山帳戶""), REGEXMATCH(C10558, ""薪資"")), ""分潤支出"",
  AND(REGEXMATCH(E10558, ""Ben帳戶|Elsa帳戶|Ben代墊|Ariel代墊|中信銀行共用""), REGEXMATCH(F10558, ""Ben帳戶|Elsa帳戶|Ben代墊|Ariel代墊|中信銀行共用"")), ""內部轉帳(忽略)"",
  AND(E10558&lt;&gt;"""", F10558&lt;&gt;"&amp;""""", NOT(REGEXMATCH(C10558, ""薪資""))), ""內部轉帳(忽略)"",
  REGEXMATCH(C10558, ""薪資""), ""薪資變動(不計入)"",
  REGEXMATCH(C10558, ""押金""), ""押金往來"",
  AND(E10558&lt;&gt;"""", F10558=""""), ""真實支出"",
  AND(E10558="""", F10558&lt;&gt;""""), ""真實收入"",
  TRUE, ""其他""
)"),"其他")</f>
        <v>其他</v>
      </c>
      <c r="K10558" s="270" t="str">
        <f t="shared" si="2"/>
        <v/>
      </c>
      <c r="L10558">
        <f t="shared" si="3"/>
        <v>0</v>
      </c>
    </row>
    <row r="10559">
      <c r="A10559" s="107"/>
      <c r="D10559" s="270"/>
      <c r="H10559" s="106" t="str">
        <f t="shared" si="1"/>
        <v/>
      </c>
      <c r="J10559" t="str">
        <f>IFERROR(__xludf.DUMMYFUNCTION("IFS(
  AND(REGEXMATCH(E10559, ""台銀籌備帳戶|玉山帳戶""), REGEXMATCH(C10559, ""薪資"")), ""分潤支出"",
  AND(REGEXMATCH(E10559, ""Ben帳戶|Elsa帳戶|Ben代墊|Ariel代墊|中信銀行共用""), REGEXMATCH(F10559, ""Ben帳戶|Elsa帳戶|Ben代墊|Ariel代墊|中信銀行共用"")), ""內部轉帳(忽略)"",
  AND(E10559&lt;&gt;"""", F10559&lt;&gt;"&amp;""""", NOT(REGEXMATCH(C10559, ""薪資""))), ""內部轉帳(忽略)"",
  REGEXMATCH(C10559, ""薪資""), ""薪資變動(不計入)"",
  REGEXMATCH(C10559, ""押金""), ""押金往來"",
  AND(E10559&lt;&gt;"""", F10559=""""), ""真實支出"",
  AND(E10559="""", F10559&lt;&gt;""""), ""真實收入"",
  TRUE, ""其他""
)"),"其他")</f>
        <v>其他</v>
      </c>
      <c r="K10559" s="270" t="str">
        <f t="shared" si="2"/>
        <v/>
      </c>
      <c r="L10559">
        <f t="shared" si="3"/>
        <v>0</v>
      </c>
    </row>
    <row r="10560">
      <c r="A10560" s="107"/>
      <c r="D10560" s="270"/>
      <c r="H10560" s="106" t="str">
        <f t="shared" si="1"/>
        <v/>
      </c>
      <c r="J10560" t="str">
        <f>IFERROR(__xludf.DUMMYFUNCTION("IFS(
  AND(REGEXMATCH(E10560, ""台銀籌備帳戶|玉山帳戶""), REGEXMATCH(C10560, ""薪資"")), ""分潤支出"",
  AND(REGEXMATCH(E10560, ""Ben帳戶|Elsa帳戶|Ben代墊|Ariel代墊|中信銀行共用""), REGEXMATCH(F10560, ""Ben帳戶|Elsa帳戶|Ben代墊|Ariel代墊|中信銀行共用"")), ""內部轉帳(忽略)"",
  AND(E10560&lt;&gt;"""", F10560&lt;&gt;"&amp;""""", NOT(REGEXMATCH(C10560, ""薪資""))), ""內部轉帳(忽略)"",
  REGEXMATCH(C10560, ""薪資""), ""薪資變動(不計入)"",
  REGEXMATCH(C10560, ""押金""), ""押金往來"",
  AND(E10560&lt;&gt;"""", F10560=""""), ""真實支出"",
  AND(E10560="""", F10560&lt;&gt;""""), ""真實收入"",
  TRUE, ""其他""
)"),"其他")</f>
        <v>其他</v>
      </c>
      <c r="K10560" s="270" t="str">
        <f t="shared" si="2"/>
        <v/>
      </c>
      <c r="L10560">
        <f t="shared" si="3"/>
        <v>0</v>
      </c>
    </row>
    <row r="10561">
      <c r="A10561" s="107"/>
      <c r="D10561" s="270"/>
      <c r="H10561" s="106" t="str">
        <f t="shared" si="1"/>
        <v/>
      </c>
      <c r="J10561" t="str">
        <f>IFERROR(__xludf.DUMMYFUNCTION("IFS(
  AND(REGEXMATCH(E10561, ""台銀籌備帳戶|玉山帳戶""), REGEXMATCH(C10561, ""薪資"")), ""分潤支出"",
  AND(REGEXMATCH(E10561, ""Ben帳戶|Elsa帳戶|Ben代墊|Ariel代墊|中信銀行共用""), REGEXMATCH(F10561, ""Ben帳戶|Elsa帳戶|Ben代墊|Ariel代墊|中信銀行共用"")), ""內部轉帳(忽略)"",
  AND(E10561&lt;&gt;"""", F10561&lt;&gt;"&amp;""""", NOT(REGEXMATCH(C10561, ""薪資""))), ""內部轉帳(忽略)"",
  REGEXMATCH(C10561, ""薪資""), ""薪資變動(不計入)"",
  REGEXMATCH(C10561, ""押金""), ""押金往來"",
  AND(E10561&lt;&gt;"""", F10561=""""), ""真實支出"",
  AND(E10561="""", F10561&lt;&gt;""""), ""真實收入"",
  TRUE, ""其他""
)"),"其他")</f>
        <v>其他</v>
      </c>
      <c r="K10561" s="270" t="str">
        <f t="shared" si="2"/>
        <v/>
      </c>
      <c r="L10561">
        <f t="shared" si="3"/>
        <v>0</v>
      </c>
    </row>
    <row r="10562">
      <c r="A10562" s="107"/>
      <c r="D10562" s="270"/>
      <c r="H10562" s="106" t="str">
        <f t="shared" si="1"/>
        <v/>
      </c>
      <c r="J10562" t="str">
        <f>IFERROR(__xludf.DUMMYFUNCTION("IFS(
  AND(REGEXMATCH(E10562, ""台銀籌備帳戶|玉山帳戶""), REGEXMATCH(C10562, ""薪資"")), ""分潤支出"",
  AND(REGEXMATCH(E10562, ""Ben帳戶|Elsa帳戶|Ben代墊|Ariel代墊|中信銀行共用""), REGEXMATCH(F10562, ""Ben帳戶|Elsa帳戶|Ben代墊|Ariel代墊|中信銀行共用"")), ""內部轉帳(忽略)"",
  AND(E10562&lt;&gt;"""", F10562&lt;&gt;"&amp;""""", NOT(REGEXMATCH(C10562, ""薪資""))), ""內部轉帳(忽略)"",
  REGEXMATCH(C10562, ""薪資""), ""薪資變動(不計入)"",
  REGEXMATCH(C10562, ""押金""), ""押金往來"",
  AND(E10562&lt;&gt;"""", F10562=""""), ""真實支出"",
  AND(E10562="""", F10562&lt;&gt;""""), ""真實收入"",
  TRUE, ""其他""
)"),"其他")</f>
        <v>其他</v>
      </c>
      <c r="K10562" s="270" t="str">
        <f t="shared" si="2"/>
        <v/>
      </c>
      <c r="L10562">
        <f t="shared" si="3"/>
        <v>0</v>
      </c>
    </row>
    <row r="10563">
      <c r="A10563" s="107"/>
      <c r="D10563" s="270"/>
      <c r="H10563" s="106" t="str">
        <f t="shared" si="1"/>
        <v/>
      </c>
      <c r="J10563" t="str">
        <f>IFERROR(__xludf.DUMMYFUNCTION("IFS(
  AND(REGEXMATCH(E10563, ""台銀籌備帳戶|玉山帳戶""), REGEXMATCH(C10563, ""薪資"")), ""分潤支出"",
  AND(REGEXMATCH(E10563, ""Ben帳戶|Elsa帳戶|Ben代墊|Ariel代墊|中信銀行共用""), REGEXMATCH(F10563, ""Ben帳戶|Elsa帳戶|Ben代墊|Ariel代墊|中信銀行共用"")), ""內部轉帳(忽略)"",
  AND(E10563&lt;&gt;"""", F10563&lt;&gt;"&amp;""""", NOT(REGEXMATCH(C10563, ""薪資""))), ""內部轉帳(忽略)"",
  REGEXMATCH(C10563, ""薪資""), ""薪資變動(不計入)"",
  REGEXMATCH(C10563, ""押金""), ""押金往來"",
  AND(E10563&lt;&gt;"""", F10563=""""), ""真實支出"",
  AND(E10563="""", F10563&lt;&gt;""""), ""真實收入"",
  TRUE, ""其他""
)"),"其他")</f>
        <v>其他</v>
      </c>
      <c r="K10563" s="270" t="str">
        <f t="shared" si="2"/>
        <v/>
      </c>
      <c r="L10563">
        <f t="shared" si="3"/>
        <v>0</v>
      </c>
    </row>
    <row r="10564">
      <c r="A10564" s="107"/>
      <c r="D10564" s="270"/>
      <c r="H10564" s="106" t="str">
        <f t="shared" si="1"/>
        <v/>
      </c>
      <c r="J10564" t="str">
        <f>IFERROR(__xludf.DUMMYFUNCTION("IFS(
  AND(REGEXMATCH(E10564, ""台銀籌備帳戶|玉山帳戶""), REGEXMATCH(C10564, ""薪資"")), ""分潤支出"",
  AND(REGEXMATCH(E10564, ""Ben帳戶|Elsa帳戶|Ben代墊|Ariel代墊|中信銀行共用""), REGEXMATCH(F10564, ""Ben帳戶|Elsa帳戶|Ben代墊|Ariel代墊|中信銀行共用"")), ""內部轉帳(忽略)"",
  AND(E10564&lt;&gt;"""", F10564&lt;&gt;"&amp;""""", NOT(REGEXMATCH(C10564, ""薪資""))), ""內部轉帳(忽略)"",
  REGEXMATCH(C10564, ""薪資""), ""薪資變動(不計入)"",
  REGEXMATCH(C10564, ""押金""), ""押金往來"",
  AND(E10564&lt;&gt;"""", F10564=""""), ""真實支出"",
  AND(E10564="""", F10564&lt;&gt;""""), ""真實收入"",
  TRUE, ""其他""
)"),"其他")</f>
        <v>其他</v>
      </c>
      <c r="K10564" s="270" t="str">
        <f t="shared" si="2"/>
        <v/>
      </c>
      <c r="L10564">
        <f t="shared" si="3"/>
        <v>0</v>
      </c>
    </row>
    <row r="10565">
      <c r="A10565" s="107"/>
      <c r="D10565" s="270"/>
      <c r="H10565" s="106" t="str">
        <f t="shared" si="1"/>
        <v/>
      </c>
      <c r="J10565" t="str">
        <f>IFERROR(__xludf.DUMMYFUNCTION("IFS(
  AND(REGEXMATCH(E10565, ""台銀籌備帳戶|玉山帳戶""), REGEXMATCH(C10565, ""薪資"")), ""分潤支出"",
  AND(REGEXMATCH(E10565, ""Ben帳戶|Elsa帳戶|Ben代墊|Ariel代墊|中信銀行共用""), REGEXMATCH(F10565, ""Ben帳戶|Elsa帳戶|Ben代墊|Ariel代墊|中信銀行共用"")), ""內部轉帳(忽略)"",
  AND(E10565&lt;&gt;"""", F10565&lt;&gt;"&amp;""""", NOT(REGEXMATCH(C10565, ""薪資""))), ""內部轉帳(忽略)"",
  REGEXMATCH(C10565, ""薪資""), ""薪資變動(不計入)"",
  REGEXMATCH(C10565, ""押金""), ""押金往來"",
  AND(E10565&lt;&gt;"""", F10565=""""), ""真實支出"",
  AND(E10565="""", F10565&lt;&gt;""""), ""真實收入"",
  TRUE, ""其他""
)"),"其他")</f>
        <v>其他</v>
      </c>
      <c r="K10565" s="270" t="str">
        <f t="shared" si="2"/>
        <v/>
      </c>
      <c r="L10565">
        <f t="shared" si="3"/>
        <v>0</v>
      </c>
    </row>
    <row r="10566">
      <c r="A10566" s="107"/>
      <c r="D10566" s="270"/>
      <c r="H10566" s="106" t="str">
        <f t="shared" si="1"/>
        <v/>
      </c>
      <c r="J10566" t="str">
        <f>IFERROR(__xludf.DUMMYFUNCTION("IFS(
  AND(REGEXMATCH(E10566, ""台銀籌備帳戶|玉山帳戶""), REGEXMATCH(C10566, ""薪資"")), ""分潤支出"",
  AND(REGEXMATCH(E10566, ""Ben帳戶|Elsa帳戶|Ben代墊|Ariel代墊|中信銀行共用""), REGEXMATCH(F10566, ""Ben帳戶|Elsa帳戶|Ben代墊|Ariel代墊|中信銀行共用"")), ""內部轉帳(忽略)"",
  AND(E10566&lt;&gt;"""", F10566&lt;&gt;"&amp;""""", NOT(REGEXMATCH(C10566, ""薪資""))), ""內部轉帳(忽略)"",
  REGEXMATCH(C10566, ""薪資""), ""薪資變動(不計入)"",
  REGEXMATCH(C10566, ""押金""), ""押金往來"",
  AND(E10566&lt;&gt;"""", F10566=""""), ""真實支出"",
  AND(E10566="""", F10566&lt;&gt;""""), ""真實收入"",
  TRUE, ""其他""
)"),"其他")</f>
        <v>其他</v>
      </c>
      <c r="K10566" s="270" t="str">
        <f t="shared" si="2"/>
        <v/>
      </c>
      <c r="L10566">
        <f t="shared" si="3"/>
        <v>0</v>
      </c>
    </row>
    <row r="10567">
      <c r="A10567" s="107"/>
      <c r="D10567" s="270"/>
      <c r="H10567" s="106" t="str">
        <f t="shared" si="1"/>
        <v/>
      </c>
      <c r="J10567" t="str">
        <f>IFERROR(__xludf.DUMMYFUNCTION("IFS(
  AND(REGEXMATCH(E10567, ""台銀籌備帳戶|玉山帳戶""), REGEXMATCH(C10567, ""薪資"")), ""分潤支出"",
  AND(REGEXMATCH(E10567, ""Ben帳戶|Elsa帳戶|Ben代墊|Ariel代墊|中信銀行共用""), REGEXMATCH(F10567, ""Ben帳戶|Elsa帳戶|Ben代墊|Ariel代墊|中信銀行共用"")), ""內部轉帳(忽略)"",
  AND(E10567&lt;&gt;"""", F10567&lt;&gt;"&amp;""""", NOT(REGEXMATCH(C10567, ""薪資""))), ""內部轉帳(忽略)"",
  REGEXMATCH(C10567, ""薪資""), ""薪資變動(不計入)"",
  REGEXMATCH(C10567, ""押金""), ""押金往來"",
  AND(E10567&lt;&gt;"""", F10567=""""), ""真實支出"",
  AND(E10567="""", F10567&lt;&gt;""""), ""真實收入"",
  TRUE, ""其他""
)"),"其他")</f>
        <v>其他</v>
      </c>
      <c r="K10567" s="270" t="str">
        <f t="shared" si="2"/>
        <v/>
      </c>
      <c r="L10567">
        <f t="shared" si="3"/>
        <v>0</v>
      </c>
    </row>
    <row r="10568">
      <c r="A10568" s="107"/>
      <c r="D10568" s="270"/>
      <c r="H10568" s="106" t="str">
        <f t="shared" si="1"/>
        <v/>
      </c>
      <c r="J10568" t="str">
        <f>IFERROR(__xludf.DUMMYFUNCTION("IFS(
  AND(REGEXMATCH(E10568, ""台銀籌備帳戶|玉山帳戶""), REGEXMATCH(C10568, ""薪資"")), ""分潤支出"",
  AND(REGEXMATCH(E10568, ""Ben帳戶|Elsa帳戶|Ben代墊|Ariel代墊|中信銀行共用""), REGEXMATCH(F10568, ""Ben帳戶|Elsa帳戶|Ben代墊|Ariel代墊|中信銀行共用"")), ""內部轉帳(忽略)"",
  AND(E10568&lt;&gt;"""", F10568&lt;&gt;"&amp;""""", NOT(REGEXMATCH(C10568, ""薪資""))), ""內部轉帳(忽略)"",
  REGEXMATCH(C10568, ""薪資""), ""薪資變動(不計入)"",
  REGEXMATCH(C10568, ""押金""), ""押金往來"",
  AND(E10568&lt;&gt;"""", F10568=""""), ""真實支出"",
  AND(E10568="""", F10568&lt;&gt;""""), ""真實收入"",
  TRUE, ""其他""
)"),"其他")</f>
        <v>其他</v>
      </c>
      <c r="K10568" s="270" t="str">
        <f t="shared" si="2"/>
        <v/>
      </c>
      <c r="L10568">
        <f t="shared" si="3"/>
        <v>0</v>
      </c>
    </row>
    <row r="10569">
      <c r="A10569" s="107"/>
      <c r="D10569" s="270"/>
      <c r="H10569" s="106" t="str">
        <f t="shared" si="1"/>
        <v/>
      </c>
      <c r="J10569" t="str">
        <f>IFERROR(__xludf.DUMMYFUNCTION("IFS(
  AND(REGEXMATCH(E10569, ""台銀籌備帳戶|玉山帳戶""), REGEXMATCH(C10569, ""薪資"")), ""分潤支出"",
  AND(REGEXMATCH(E10569, ""Ben帳戶|Elsa帳戶|Ben代墊|Ariel代墊|中信銀行共用""), REGEXMATCH(F10569, ""Ben帳戶|Elsa帳戶|Ben代墊|Ariel代墊|中信銀行共用"")), ""內部轉帳(忽略)"",
  AND(E10569&lt;&gt;"""", F10569&lt;&gt;"&amp;""""", NOT(REGEXMATCH(C10569, ""薪資""))), ""內部轉帳(忽略)"",
  REGEXMATCH(C10569, ""薪資""), ""薪資變動(不計入)"",
  REGEXMATCH(C10569, ""押金""), ""押金往來"",
  AND(E10569&lt;&gt;"""", F10569=""""), ""真實支出"",
  AND(E10569="""", F10569&lt;&gt;""""), ""真實收入"",
  TRUE, ""其他""
)"),"其他")</f>
        <v>其他</v>
      </c>
      <c r="K10569" s="270" t="str">
        <f t="shared" si="2"/>
        <v/>
      </c>
      <c r="L10569">
        <f t="shared" si="3"/>
        <v>0</v>
      </c>
    </row>
    <row r="10570">
      <c r="A10570" s="107"/>
      <c r="D10570" s="270"/>
      <c r="H10570" s="106" t="str">
        <f t="shared" si="1"/>
        <v/>
      </c>
      <c r="J10570" t="str">
        <f>IFERROR(__xludf.DUMMYFUNCTION("IFS(
  AND(REGEXMATCH(E10570, ""台銀籌備帳戶|玉山帳戶""), REGEXMATCH(C10570, ""薪資"")), ""分潤支出"",
  AND(REGEXMATCH(E10570, ""Ben帳戶|Elsa帳戶|Ben代墊|Ariel代墊|中信銀行共用""), REGEXMATCH(F10570, ""Ben帳戶|Elsa帳戶|Ben代墊|Ariel代墊|中信銀行共用"")), ""內部轉帳(忽略)"",
  AND(E10570&lt;&gt;"""", F10570&lt;&gt;"&amp;""""", NOT(REGEXMATCH(C10570, ""薪資""))), ""內部轉帳(忽略)"",
  REGEXMATCH(C10570, ""薪資""), ""薪資變動(不計入)"",
  REGEXMATCH(C10570, ""押金""), ""押金往來"",
  AND(E10570&lt;&gt;"""", F10570=""""), ""真實支出"",
  AND(E10570="""", F10570&lt;&gt;""""), ""真實收入"",
  TRUE, ""其他""
)"),"其他")</f>
        <v>其他</v>
      </c>
      <c r="K10570" s="270" t="str">
        <f t="shared" si="2"/>
        <v/>
      </c>
      <c r="L10570">
        <f t="shared" si="3"/>
        <v>0</v>
      </c>
    </row>
    <row r="10571">
      <c r="A10571" s="107"/>
      <c r="D10571" s="270"/>
      <c r="H10571" s="106" t="str">
        <f t="shared" si="1"/>
        <v/>
      </c>
      <c r="J10571" t="str">
        <f>IFERROR(__xludf.DUMMYFUNCTION("IFS(
  AND(REGEXMATCH(E10571, ""台銀籌備帳戶|玉山帳戶""), REGEXMATCH(C10571, ""薪資"")), ""分潤支出"",
  AND(REGEXMATCH(E10571, ""Ben帳戶|Elsa帳戶|Ben代墊|Ariel代墊|中信銀行共用""), REGEXMATCH(F10571, ""Ben帳戶|Elsa帳戶|Ben代墊|Ariel代墊|中信銀行共用"")), ""內部轉帳(忽略)"",
  AND(E10571&lt;&gt;"""", F10571&lt;&gt;"&amp;""""", NOT(REGEXMATCH(C10571, ""薪資""))), ""內部轉帳(忽略)"",
  REGEXMATCH(C10571, ""薪資""), ""薪資變動(不計入)"",
  REGEXMATCH(C10571, ""押金""), ""押金往來"",
  AND(E10571&lt;&gt;"""", F10571=""""), ""真實支出"",
  AND(E10571="""", F10571&lt;&gt;""""), ""真實收入"",
  TRUE, ""其他""
)"),"其他")</f>
        <v>其他</v>
      </c>
      <c r="K10571" s="270" t="str">
        <f t="shared" si="2"/>
        <v/>
      </c>
      <c r="L10571">
        <f t="shared" si="3"/>
        <v>0</v>
      </c>
    </row>
    <row r="10572">
      <c r="A10572" s="107"/>
      <c r="D10572" s="270"/>
      <c r="H10572" s="106" t="str">
        <f t="shared" si="1"/>
        <v/>
      </c>
      <c r="J10572" t="str">
        <f>IFERROR(__xludf.DUMMYFUNCTION("IFS(
  AND(REGEXMATCH(E10572, ""台銀籌備帳戶|玉山帳戶""), REGEXMATCH(C10572, ""薪資"")), ""分潤支出"",
  AND(REGEXMATCH(E10572, ""Ben帳戶|Elsa帳戶|Ben代墊|Ariel代墊|中信銀行共用""), REGEXMATCH(F10572, ""Ben帳戶|Elsa帳戶|Ben代墊|Ariel代墊|中信銀行共用"")), ""內部轉帳(忽略)"",
  AND(E10572&lt;&gt;"""", F10572&lt;&gt;"&amp;""""", NOT(REGEXMATCH(C10572, ""薪資""))), ""內部轉帳(忽略)"",
  REGEXMATCH(C10572, ""薪資""), ""薪資變動(不計入)"",
  REGEXMATCH(C10572, ""押金""), ""押金往來"",
  AND(E10572&lt;&gt;"""", F10572=""""), ""真實支出"",
  AND(E10572="""", F10572&lt;&gt;""""), ""真實收入"",
  TRUE, ""其他""
)"),"其他")</f>
        <v>其他</v>
      </c>
      <c r="K10572" s="270" t="str">
        <f t="shared" si="2"/>
        <v/>
      </c>
      <c r="L10572">
        <f t="shared" si="3"/>
        <v>0</v>
      </c>
    </row>
    <row r="10573">
      <c r="A10573" s="107"/>
      <c r="D10573" s="270"/>
      <c r="H10573" s="106" t="str">
        <f t="shared" si="1"/>
        <v/>
      </c>
      <c r="J10573" t="str">
        <f>IFERROR(__xludf.DUMMYFUNCTION("IFS(
  AND(REGEXMATCH(E10573, ""台銀籌備帳戶|玉山帳戶""), REGEXMATCH(C10573, ""薪資"")), ""分潤支出"",
  AND(REGEXMATCH(E10573, ""Ben帳戶|Elsa帳戶|Ben代墊|Ariel代墊|中信銀行共用""), REGEXMATCH(F10573, ""Ben帳戶|Elsa帳戶|Ben代墊|Ariel代墊|中信銀行共用"")), ""內部轉帳(忽略)"",
  AND(E10573&lt;&gt;"""", F10573&lt;&gt;"&amp;""""", NOT(REGEXMATCH(C10573, ""薪資""))), ""內部轉帳(忽略)"",
  REGEXMATCH(C10573, ""薪資""), ""薪資變動(不計入)"",
  REGEXMATCH(C10573, ""押金""), ""押金往來"",
  AND(E10573&lt;&gt;"""", F10573=""""), ""真實支出"",
  AND(E10573="""", F10573&lt;&gt;""""), ""真實收入"",
  TRUE, ""其他""
)"),"其他")</f>
        <v>其他</v>
      </c>
      <c r="K10573" s="270" t="str">
        <f t="shared" si="2"/>
        <v/>
      </c>
      <c r="L10573">
        <f t="shared" si="3"/>
        <v>0</v>
      </c>
    </row>
    <row r="10574">
      <c r="A10574" s="107"/>
      <c r="D10574" s="270"/>
      <c r="H10574" s="106" t="str">
        <f t="shared" si="1"/>
        <v/>
      </c>
      <c r="J10574" t="str">
        <f>IFERROR(__xludf.DUMMYFUNCTION("IFS(
  AND(REGEXMATCH(E10574, ""台銀籌備帳戶|玉山帳戶""), REGEXMATCH(C10574, ""薪資"")), ""分潤支出"",
  AND(REGEXMATCH(E10574, ""Ben帳戶|Elsa帳戶|Ben代墊|Ariel代墊|中信銀行共用""), REGEXMATCH(F10574, ""Ben帳戶|Elsa帳戶|Ben代墊|Ariel代墊|中信銀行共用"")), ""內部轉帳(忽略)"",
  AND(E10574&lt;&gt;"""", F10574&lt;&gt;"&amp;""""", NOT(REGEXMATCH(C10574, ""薪資""))), ""內部轉帳(忽略)"",
  REGEXMATCH(C10574, ""薪資""), ""薪資變動(不計入)"",
  REGEXMATCH(C10574, ""押金""), ""押金往來"",
  AND(E10574&lt;&gt;"""", F10574=""""), ""真實支出"",
  AND(E10574="""", F10574&lt;&gt;""""), ""真實收入"",
  TRUE, ""其他""
)"),"其他")</f>
        <v>其他</v>
      </c>
      <c r="K10574" s="270" t="str">
        <f t="shared" si="2"/>
        <v/>
      </c>
      <c r="L10574">
        <f t="shared" si="3"/>
        <v>0</v>
      </c>
    </row>
    <row r="10575">
      <c r="A10575" s="107"/>
      <c r="D10575" s="270"/>
      <c r="H10575" s="106" t="str">
        <f t="shared" si="1"/>
        <v/>
      </c>
      <c r="J10575" t="str">
        <f>IFERROR(__xludf.DUMMYFUNCTION("IFS(
  AND(REGEXMATCH(E10575, ""台銀籌備帳戶|玉山帳戶""), REGEXMATCH(C10575, ""薪資"")), ""分潤支出"",
  AND(REGEXMATCH(E10575, ""Ben帳戶|Elsa帳戶|Ben代墊|Ariel代墊|中信銀行共用""), REGEXMATCH(F10575, ""Ben帳戶|Elsa帳戶|Ben代墊|Ariel代墊|中信銀行共用"")), ""內部轉帳(忽略)"",
  AND(E10575&lt;&gt;"""", F10575&lt;&gt;"&amp;""""", NOT(REGEXMATCH(C10575, ""薪資""))), ""內部轉帳(忽略)"",
  REGEXMATCH(C10575, ""薪資""), ""薪資變動(不計入)"",
  REGEXMATCH(C10575, ""押金""), ""押金往來"",
  AND(E10575&lt;&gt;"""", F10575=""""), ""真實支出"",
  AND(E10575="""", F10575&lt;&gt;""""), ""真實收入"",
  TRUE, ""其他""
)"),"其他")</f>
        <v>其他</v>
      </c>
      <c r="K10575" s="270" t="str">
        <f t="shared" si="2"/>
        <v/>
      </c>
      <c r="L10575">
        <f t="shared" si="3"/>
        <v>0</v>
      </c>
    </row>
    <row r="10576">
      <c r="A10576" s="107"/>
      <c r="D10576" s="270"/>
      <c r="H10576" s="106" t="str">
        <f t="shared" si="1"/>
        <v/>
      </c>
      <c r="J10576" t="str">
        <f>IFERROR(__xludf.DUMMYFUNCTION("IFS(
  AND(REGEXMATCH(E10576, ""台銀籌備帳戶|玉山帳戶""), REGEXMATCH(C10576, ""薪資"")), ""分潤支出"",
  AND(REGEXMATCH(E10576, ""Ben帳戶|Elsa帳戶|Ben代墊|Ariel代墊|中信銀行共用""), REGEXMATCH(F10576, ""Ben帳戶|Elsa帳戶|Ben代墊|Ariel代墊|中信銀行共用"")), ""內部轉帳(忽略)"",
  AND(E10576&lt;&gt;"""", F10576&lt;&gt;"&amp;""""", NOT(REGEXMATCH(C10576, ""薪資""))), ""內部轉帳(忽略)"",
  REGEXMATCH(C10576, ""薪資""), ""薪資變動(不計入)"",
  REGEXMATCH(C10576, ""押金""), ""押金往來"",
  AND(E10576&lt;&gt;"""", F10576=""""), ""真實支出"",
  AND(E10576="""", F10576&lt;&gt;""""), ""真實收入"",
  TRUE, ""其他""
)"),"其他")</f>
        <v>其他</v>
      </c>
      <c r="K10576" s="270" t="str">
        <f t="shared" si="2"/>
        <v/>
      </c>
      <c r="L10576">
        <f t="shared" si="3"/>
        <v>0</v>
      </c>
    </row>
    <row r="10577">
      <c r="A10577" s="107"/>
      <c r="D10577" s="270"/>
      <c r="H10577" s="106" t="str">
        <f t="shared" si="1"/>
        <v/>
      </c>
      <c r="J10577" t="str">
        <f>IFERROR(__xludf.DUMMYFUNCTION("IFS(
  AND(REGEXMATCH(E10577, ""台銀籌備帳戶|玉山帳戶""), REGEXMATCH(C10577, ""薪資"")), ""分潤支出"",
  AND(REGEXMATCH(E10577, ""Ben帳戶|Elsa帳戶|Ben代墊|Ariel代墊|中信銀行共用""), REGEXMATCH(F10577, ""Ben帳戶|Elsa帳戶|Ben代墊|Ariel代墊|中信銀行共用"")), ""內部轉帳(忽略)"",
  AND(E10577&lt;&gt;"""", F10577&lt;&gt;"&amp;""""", NOT(REGEXMATCH(C10577, ""薪資""))), ""內部轉帳(忽略)"",
  REGEXMATCH(C10577, ""薪資""), ""薪資變動(不計入)"",
  REGEXMATCH(C10577, ""押金""), ""押金往來"",
  AND(E10577&lt;&gt;"""", F10577=""""), ""真實支出"",
  AND(E10577="""", F10577&lt;&gt;""""), ""真實收入"",
  TRUE, ""其他""
)"),"其他")</f>
        <v>其他</v>
      </c>
      <c r="K10577" s="270" t="str">
        <f t="shared" si="2"/>
        <v/>
      </c>
      <c r="L10577">
        <f t="shared" si="3"/>
        <v>0</v>
      </c>
    </row>
    <row r="10578">
      <c r="A10578" s="107"/>
      <c r="D10578" s="270"/>
      <c r="H10578" s="106" t="str">
        <f t="shared" si="1"/>
        <v/>
      </c>
      <c r="J10578" t="str">
        <f>IFERROR(__xludf.DUMMYFUNCTION("IFS(
  AND(REGEXMATCH(E10578, ""台銀籌備帳戶|玉山帳戶""), REGEXMATCH(C10578, ""薪資"")), ""分潤支出"",
  AND(REGEXMATCH(E10578, ""Ben帳戶|Elsa帳戶|Ben代墊|Ariel代墊|中信銀行共用""), REGEXMATCH(F10578, ""Ben帳戶|Elsa帳戶|Ben代墊|Ariel代墊|中信銀行共用"")), ""內部轉帳(忽略)"",
  AND(E10578&lt;&gt;"""", F10578&lt;&gt;"&amp;""""", NOT(REGEXMATCH(C10578, ""薪資""))), ""內部轉帳(忽略)"",
  REGEXMATCH(C10578, ""薪資""), ""薪資變動(不計入)"",
  REGEXMATCH(C10578, ""押金""), ""押金往來"",
  AND(E10578&lt;&gt;"""", F10578=""""), ""真實支出"",
  AND(E10578="""", F10578&lt;&gt;""""), ""真實收入"",
  TRUE, ""其他""
)"),"其他")</f>
        <v>其他</v>
      </c>
      <c r="K10578" s="270" t="str">
        <f t="shared" si="2"/>
        <v/>
      </c>
      <c r="L10578">
        <f t="shared" si="3"/>
        <v>0</v>
      </c>
    </row>
    <row r="10579">
      <c r="A10579" s="107"/>
      <c r="D10579" s="270"/>
      <c r="H10579" s="106" t="str">
        <f t="shared" si="1"/>
        <v/>
      </c>
      <c r="J10579" t="str">
        <f>IFERROR(__xludf.DUMMYFUNCTION("IFS(
  AND(REGEXMATCH(E10579, ""台銀籌備帳戶|玉山帳戶""), REGEXMATCH(C10579, ""薪資"")), ""分潤支出"",
  AND(REGEXMATCH(E10579, ""Ben帳戶|Elsa帳戶|Ben代墊|Ariel代墊|中信銀行共用""), REGEXMATCH(F10579, ""Ben帳戶|Elsa帳戶|Ben代墊|Ariel代墊|中信銀行共用"")), ""內部轉帳(忽略)"",
  AND(E10579&lt;&gt;"""", F10579&lt;&gt;"&amp;""""", NOT(REGEXMATCH(C10579, ""薪資""))), ""內部轉帳(忽略)"",
  REGEXMATCH(C10579, ""薪資""), ""薪資變動(不計入)"",
  REGEXMATCH(C10579, ""押金""), ""押金往來"",
  AND(E10579&lt;&gt;"""", F10579=""""), ""真實支出"",
  AND(E10579="""", F10579&lt;&gt;""""), ""真實收入"",
  TRUE, ""其他""
)"),"其他")</f>
        <v>其他</v>
      </c>
      <c r="K10579" s="270" t="str">
        <f t="shared" si="2"/>
        <v/>
      </c>
      <c r="L10579">
        <f t="shared" si="3"/>
        <v>0</v>
      </c>
    </row>
    <row r="10580">
      <c r="A10580" s="107"/>
      <c r="D10580" s="270"/>
      <c r="H10580" s="106" t="str">
        <f t="shared" si="1"/>
        <v/>
      </c>
      <c r="J10580" t="str">
        <f>IFERROR(__xludf.DUMMYFUNCTION("IFS(
  AND(REGEXMATCH(E10580, ""台銀籌備帳戶|玉山帳戶""), REGEXMATCH(C10580, ""薪資"")), ""分潤支出"",
  AND(REGEXMATCH(E10580, ""Ben帳戶|Elsa帳戶|Ben代墊|Ariel代墊|中信銀行共用""), REGEXMATCH(F10580, ""Ben帳戶|Elsa帳戶|Ben代墊|Ariel代墊|中信銀行共用"")), ""內部轉帳(忽略)"",
  AND(E10580&lt;&gt;"""", F10580&lt;&gt;"&amp;""""", NOT(REGEXMATCH(C10580, ""薪資""))), ""內部轉帳(忽略)"",
  REGEXMATCH(C10580, ""薪資""), ""薪資變動(不計入)"",
  REGEXMATCH(C10580, ""押金""), ""押金往來"",
  AND(E10580&lt;&gt;"""", F10580=""""), ""真實支出"",
  AND(E10580="""", F10580&lt;&gt;""""), ""真實收入"",
  TRUE, ""其他""
)"),"其他")</f>
        <v>其他</v>
      </c>
      <c r="K10580" s="270" t="str">
        <f t="shared" si="2"/>
        <v/>
      </c>
      <c r="L10580">
        <f t="shared" si="3"/>
        <v>0</v>
      </c>
    </row>
    <row r="10581">
      <c r="A10581" s="107"/>
      <c r="D10581" s="270"/>
      <c r="H10581" s="106" t="str">
        <f t="shared" si="1"/>
        <v/>
      </c>
      <c r="J10581" t="str">
        <f>IFERROR(__xludf.DUMMYFUNCTION("IFS(
  AND(REGEXMATCH(E10581, ""台銀籌備帳戶|玉山帳戶""), REGEXMATCH(C10581, ""薪資"")), ""分潤支出"",
  AND(REGEXMATCH(E10581, ""Ben帳戶|Elsa帳戶|Ben代墊|Ariel代墊|中信銀行共用""), REGEXMATCH(F10581, ""Ben帳戶|Elsa帳戶|Ben代墊|Ariel代墊|中信銀行共用"")), ""內部轉帳(忽略)"",
  AND(E10581&lt;&gt;"""", F10581&lt;&gt;"&amp;""""", NOT(REGEXMATCH(C10581, ""薪資""))), ""內部轉帳(忽略)"",
  REGEXMATCH(C10581, ""薪資""), ""薪資變動(不計入)"",
  REGEXMATCH(C10581, ""押金""), ""押金往來"",
  AND(E10581&lt;&gt;"""", F10581=""""), ""真實支出"",
  AND(E10581="""", F10581&lt;&gt;""""), ""真實收入"",
  TRUE, ""其他""
)"),"其他")</f>
        <v>其他</v>
      </c>
      <c r="K10581" s="270" t="str">
        <f t="shared" si="2"/>
        <v/>
      </c>
      <c r="L10581">
        <f t="shared" si="3"/>
        <v>0</v>
      </c>
    </row>
    <row r="10582">
      <c r="A10582" s="107"/>
      <c r="D10582" s="270"/>
      <c r="H10582" s="106" t="str">
        <f t="shared" si="1"/>
        <v/>
      </c>
      <c r="J10582" t="str">
        <f>IFERROR(__xludf.DUMMYFUNCTION("IFS(
  AND(REGEXMATCH(E10582, ""台銀籌備帳戶|玉山帳戶""), REGEXMATCH(C10582, ""薪資"")), ""分潤支出"",
  AND(REGEXMATCH(E10582, ""Ben帳戶|Elsa帳戶|Ben代墊|Ariel代墊|中信銀行共用""), REGEXMATCH(F10582, ""Ben帳戶|Elsa帳戶|Ben代墊|Ariel代墊|中信銀行共用"")), ""內部轉帳(忽略)"",
  AND(E10582&lt;&gt;"""", F10582&lt;&gt;"&amp;""""", NOT(REGEXMATCH(C10582, ""薪資""))), ""內部轉帳(忽略)"",
  REGEXMATCH(C10582, ""薪資""), ""薪資變動(不計入)"",
  REGEXMATCH(C10582, ""押金""), ""押金往來"",
  AND(E10582&lt;&gt;"""", F10582=""""), ""真實支出"",
  AND(E10582="""", F10582&lt;&gt;""""), ""真實收入"",
  TRUE, ""其他""
)"),"其他")</f>
        <v>其他</v>
      </c>
      <c r="K10582" s="270" t="str">
        <f t="shared" si="2"/>
        <v/>
      </c>
      <c r="L10582">
        <f t="shared" si="3"/>
        <v>0</v>
      </c>
    </row>
    <row r="10583">
      <c r="A10583" s="107"/>
      <c r="D10583" s="270"/>
      <c r="H10583" s="106" t="str">
        <f t="shared" si="1"/>
        <v/>
      </c>
      <c r="J10583" t="str">
        <f>IFERROR(__xludf.DUMMYFUNCTION("IFS(
  AND(REGEXMATCH(E10583, ""台銀籌備帳戶|玉山帳戶""), REGEXMATCH(C10583, ""薪資"")), ""分潤支出"",
  AND(REGEXMATCH(E10583, ""Ben帳戶|Elsa帳戶|Ben代墊|Ariel代墊|中信銀行共用""), REGEXMATCH(F10583, ""Ben帳戶|Elsa帳戶|Ben代墊|Ariel代墊|中信銀行共用"")), ""內部轉帳(忽略)"",
  AND(E10583&lt;&gt;"""", F10583&lt;&gt;"&amp;""""", NOT(REGEXMATCH(C10583, ""薪資""))), ""內部轉帳(忽略)"",
  REGEXMATCH(C10583, ""薪資""), ""薪資變動(不計入)"",
  REGEXMATCH(C10583, ""押金""), ""押金往來"",
  AND(E10583&lt;&gt;"""", F10583=""""), ""真實支出"",
  AND(E10583="""", F10583&lt;&gt;""""), ""真實收入"",
  TRUE, ""其他""
)"),"其他")</f>
        <v>其他</v>
      </c>
      <c r="K10583" s="270" t="str">
        <f t="shared" si="2"/>
        <v/>
      </c>
      <c r="L10583">
        <f t="shared" si="3"/>
        <v>0</v>
      </c>
    </row>
    <row r="10584">
      <c r="A10584" s="107"/>
      <c r="D10584" s="270"/>
      <c r="H10584" s="106" t="str">
        <f t="shared" si="1"/>
        <v/>
      </c>
      <c r="J10584" t="str">
        <f>IFERROR(__xludf.DUMMYFUNCTION("IFS(
  AND(REGEXMATCH(E10584, ""台銀籌備帳戶|玉山帳戶""), REGEXMATCH(C10584, ""薪資"")), ""分潤支出"",
  AND(REGEXMATCH(E10584, ""Ben帳戶|Elsa帳戶|Ben代墊|Ariel代墊|中信銀行共用""), REGEXMATCH(F10584, ""Ben帳戶|Elsa帳戶|Ben代墊|Ariel代墊|中信銀行共用"")), ""內部轉帳(忽略)"",
  AND(E10584&lt;&gt;"""", F10584&lt;&gt;"&amp;""""", NOT(REGEXMATCH(C10584, ""薪資""))), ""內部轉帳(忽略)"",
  REGEXMATCH(C10584, ""薪資""), ""薪資變動(不計入)"",
  REGEXMATCH(C10584, ""押金""), ""押金往來"",
  AND(E10584&lt;&gt;"""", F10584=""""), ""真實支出"",
  AND(E10584="""", F10584&lt;&gt;""""), ""真實收入"",
  TRUE, ""其他""
)"),"其他")</f>
        <v>其他</v>
      </c>
      <c r="K10584" s="270" t="str">
        <f t="shared" si="2"/>
        <v/>
      </c>
      <c r="L10584">
        <f t="shared" si="3"/>
        <v>0</v>
      </c>
    </row>
    <row r="10585">
      <c r="A10585" s="107"/>
      <c r="D10585" s="270"/>
      <c r="H10585" s="106" t="str">
        <f t="shared" si="1"/>
        <v/>
      </c>
      <c r="J10585" t="str">
        <f>IFERROR(__xludf.DUMMYFUNCTION("IFS(
  AND(REGEXMATCH(E10585, ""台銀籌備帳戶|玉山帳戶""), REGEXMATCH(C10585, ""薪資"")), ""分潤支出"",
  AND(REGEXMATCH(E10585, ""Ben帳戶|Elsa帳戶|Ben代墊|Ariel代墊|中信銀行共用""), REGEXMATCH(F10585, ""Ben帳戶|Elsa帳戶|Ben代墊|Ariel代墊|中信銀行共用"")), ""內部轉帳(忽略)"",
  AND(E10585&lt;&gt;"""", F10585&lt;&gt;"&amp;""""", NOT(REGEXMATCH(C10585, ""薪資""))), ""內部轉帳(忽略)"",
  REGEXMATCH(C10585, ""薪資""), ""薪資變動(不計入)"",
  REGEXMATCH(C10585, ""押金""), ""押金往來"",
  AND(E10585&lt;&gt;"""", F10585=""""), ""真實支出"",
  AND(E10585="""", F10585&lt;&gt;""""), ""真實收入"",
  TRUE, ""其他""
)"),"其他")</f>
        <v>其他</v>
      </c>
      <c r="K10585" s="270" t="str">
        <f t="shared" si="2"/>
        <v/>
      </c>
      <c r="L10585">
        <f t="shared" si="3"/>
        <v>0</v>
      </c>
    </row>
    <row r="10586">
      <c r="A10586" s="107"/>
      <c r="D10586" s="270"/>
      <c r="H10586" s="106" t="str">
        <f t="shared" si="1"/>
        <v/>
      </c>
      <c r="J10586" t="str">
        <f>IFERROR(__xludf.DUMMYFUNCTION("IFS(
  AND(REGEXMATCH(E10586, ""台銀籌備帳戶|玉山帳戶""), REGEXMATCH(C10586, ""薪資"")), ""分潤支出"",
  AND(REGEXMATCH(E10586, ""Ben帳戶|Elsa帳戶|Ben代墊|Ariel代墊|中信銀行共用""), REGEXMATCH(F10586, ""Ben帳戶|Elsa帳戶|Ben代墊|Ariel代墊|中信銀行共用"")), ""內部轉帳(忽略)"",
  AND(E10586&lt;&gt;"""", F10586&lt;&gt;"&amp;""""", NOT(REGEXMATCH(C10586, ""薪資""))), ""內部轉帳(忽略)"",
  REGEXMATCH(C10586, ""薪資""), ""薪資變動(不計入)"",
  REGEXMATCH(C10586, ""押金""), ""押金往來"",
  AND(E10586&lt;&gt;"""", F10586=""""), ""真實支出"",
  AND(E10586="""", F10586&lt;&gt;""""), ""真實收入"",
  TRUE, ""其他""
)"),"其他")</f>
        <v>其他</v>
      </c>
      <c r="K10586" s="270" t="str">
        <f t="shared" si="2"/>
        <v/>
      </c>
      <c r="L10586">
        <f t="shared" si="3"/>
        <v>0</v>
      </c>
    </row>
    <row r="10587">
      <c r="A10587" s="107"/>
      <c r="D10587" s="270"/>
      <c r="H10587" s="106" t="str">
        <f t="shared" si="1"/>
        <v/>
      </c>
      <c r="J10587" t="str">
        <f>IFERROR(__xludf.DUMMYFUNCTION("IFS(
  AND(REGEXMATCH(E10587, ""台銀籌備帳戶|玉山帳戶""), REGEXMATCH(C10587, ""薪資"")), ""分潤支出"",
  AND(REGEXMATCH(E10587, ""Ben帳戶|Elsa帳戶|Ben代墊|Ariel代墊|中信銀行共用""), REGEXMATCH(F10587, ""Ben帳戶|Elsa帳戶|Ben代墊|Ariel代墊|中信銀行共用"")), ""內部轉帳(忽略)"",
  AND(E10587&lt;&gt;"""", F10587&lt;&gt;"&amp;""""", NOT(REGEXMATCH(C10587, ""薪資""))), ""內部轉帳(忽略)"",
  REGEXMATCH(C10587, ""薪資""), ""薪資變動(不計入)"",
  REGEXMATCH(C10587, ""押金""), ""押金往來"",
  AND(E10587&lt;&gt;"""", F10587=""""), ""真實支出"",
  AND(E10587="""", F10587&lt;&gt;""""), ""真實收入"",
  TRUE, ""其他""
)"),"其他")</f>
        <v>其他</v>
      </c>
      <c r="K10587" s="270" t="str">
        <f t="shared" si="2"/>
        <v/>
      </c>
      <c r="L10587">
        <f t="shared" si="3"/>
        <v>0</v>
      </c>
    </row>
    <row r="10588">
      <c r="A10588" s="107"/>
      <c r="D10588" s="270"/>
      <c r="H10588" s="106" t="str">
        <f t="shared" si="1"/>
        <v/>
      </c>
      <c r="J10588" t="str">
        <f>IFERROR(__xludf.DUMMYFUNCTION("IFS(
  AND(REGEXMATCH(E10588, ""台銀籌備帳戶|玉山帳戶""), REGEXMATCH(C10588, ""薪資"")), ""分潤支出"",
  AND(REGEXMATCH(E10588, ""Ben帳戶|Elsa帳戶|Ben代墊|Ariel代墊|中信銀行共用""), REGEXMATCH(F10588, ""Ben帳戶|Elsa帳戶|Ben代墊|Ariel代墊|中信銀行共用"")), ""內部轉帳(忽略)"",
  AND(E10588&lt;&gt;"""", F10588&lt;&gt;"&amp;""""", NOT(REGEXMATCH(C10588, ""薪資""))), ""內部轉帳(忽略)"",
  REGEXMATCH(C10588, ""薪資""), ""薪資變動(不計入)"",
  REGEXMATCH(C10588, ""押金""), ""押金往來"",
  AND(E10588&lt;&gt;"""", F10588=""""), ""真實支出"",
  AND(E10588="""", F10588&lt;&gt;""""), ""真實收入"",
  TRUE, ""其他""
)"),"其他")</f>
        <v>其他</v>
      </c>
      <c r="K10588" s="270" t="str">
        <f t="shared" si="2"/>
        <v/>
      </c>
      <c r="L10588">
        <f t="shared" si="3"/>
        <v>0</v>
      </c>
    </row>
    <row r="10589">
      <c r="A10589" s="107"/>
      <c r="D10589" s="270"/>
      <c r="H10589" s="106" t="str">
        <f t="shared" si="1"/>
        <v/>
      </c>
      <c r="J10589" t="str">
        <f>IFERROR(__xludf.DUMMYFUNCTION("IFS(
  AND(REGEXMATCH(E10589, ""台銀籌備帳戶|玉山帳戶""), REGEXMATCH(C10589, ""薪資"")), ""分潤支出"",
  AND(REGEXMATCH(E10589, ""Ben帳戶|Elsa帳戶|Ben代墊|Ariel代墊|中信銀行共用""), REGEXMATCH(F10589, ""Ben帳戶|Elsa帳戶|Ben代墊|Ariel代墊|中信銀行共用"")), ""內部轉帳(忽略)"",
  AND(E10589&lt;&gt;"""", F10589&lt;&gt;"&amp;""""", NOT(REGEXMATCH(C10589, ""薪資""))), ""內部轉帳(忽略)"",
  REGEXMATCH(C10589, ""薪資""), ""薪資變動(不計入)"",
  REGEXMATCH(C10589, ""押金""), ""押金往來"",
  AND(E10589&lt;&gt;"""", F10589=""""), ""真實支出"",
  AND(E10589="""", F10589&lt;&gt;""""), ""真實收入"",
  TRUE, ""其他""
)"),"其他")</f>
        <v>其他</v>
      </c>
      <c r="K10589" s="270" t="str">
        <f t="shared" si="2"/>
        <v/>
      </c>
      <c r="L10589">
        <f t="shared" si="3"/>
        <v>0</v>
      </c>
    </row>
    <row r="10590">
      <c r="A10590" s="107"/>
      <c r="D10590" s="270"/>
      <c r="H10590" s="106" t="str">
        <f t="shared" si="1"/>
        <v/>
      </c>
      <c r="J10590" t="str">
        <f>IFERROR(__xludf.DUMMYFUNCTION("IFS(
  AND(REGEXMATCH(E10590, ""台銀籌備帳戶|玉山帳戶""), REGEXMATCH(C10590, ""薪資"")), ""分潤支出"",
  AND(REGEXMATCH(E10590, ""Ben帳戶|Elsa帳戶|Ben代墊|Ariel代墊|中信銀行共用""), REGEXMATCH(F10590, ""Ben帳戶|Elsa帳戶|Ben代墊|Ariel代墊|中信銀行共用"")), ""內部轉帳(忽略)"",
  AND(E10590&lt;&gt;"""", F10590&lt;&gt;"&amp;""""", NOT(REGEXMATCH(C10590, ""薪資""))), ""內部轉帳(忽略)"",
  REGEXMATCH(C10590, ""薪資""), ""薪資變動(不計入)"",
  REGEXMATCH(C10590, ""押金""), ""押金往來"",
  AND(E10590&lt;&gt;"""", F10590=""""), ""真實支出"",
  AND(E10590="""", F10590&lt;&gt;""""), ""真實收入"",
  TRUE, ""其他""
)"),"其他")</f>
        <v>其他</v>
      </c>
      <c r="K10590" s="270" t="str">
        <f t="shared" si="2"/>
        <v/>
      </c>
      <c r="L10590">
        <f t="shared" si="3"/>
        <v>0</v>
      </c>
    </row>
    <row r="10591">
      <c r="A10591" s="107"/>
      <c r="D10591" s="270"/>
      <c r="H10591" s="106" t="str">
        <f t="shared" si="1"/>
        <v/>
      </c>
      <c r="J10591" t="str">
        <f>IFERROR(__xludf.DUMMYFUNCTION("IFS(
  AND(REGEXMATCH(E10591, ""台銀籌備帳戶|玉山帳戶""), REGEXMATCH(C10591, ""薪資"")), ""分潤支出"",
  AND(REGEXMATCH(E10591, ""Ben帳戶|Elsa帳戶|Ben代墊|Ariel代墊|中信銀行共用""), REGEXMATCH(F10591, ""Ben帳戶|Elsa帳戶|Ben代墊|Ariel代墊|中信銀行共用"")), ""內部轉帳(忽略)"",
  AND(E10591&lt;&gt;"""", F10591&lt;&gt;"&amp;""""", NOT(REGEXMATCH(C10591, ""薪資""))), ""內部轉帳(忽略)"",
  REGEXMATCH(C10591, ""薪資""), ""薪資變動(不計入)"",
  REGEXMATCH(C10591, ""押金""), ""押金往來"",
  AND(E10591&lt;&gt;"""", F10591=""""), ""真實支出"",
  AND(E10591="""", F10591&lt;&gt;""""), ""真實收入"",
  TRUE, ""其他""
)"),"其他")</f>
        <v>其他</v>
      </c>
      <c r="K10591" s="270" t="str">
        <f t="shared" si="2"/>
        <v/>
      </c>
      <c r="L10591">
        <f t="shared" si="3"/>
        <v>0</v>
      </c>
    </row>
    <row r="10592">
      <c r="A10592" s="107"/>
      <c r="D10592" s="270"/>
      <c r="H10592" s="106" t="str">
        <f t="shared" si="1"/>
        <v/>
      </c>
      <c r="J10592" t="str">
        <f>IFERROR(__xludf.DUMMYFUNCTION("IFS(
  AND(REGEXMATCH(E10592, ""台銀籌備帳戶|玉山帳戶""), REGEXMATCH(C10592, ""薪資"")), ""分潤支出"",
  AND(REGEXMATCH(E10592, ""Ben帳戶|Elsa帳戶|Ben代墊|Ariel代墊|中信銀行共用""), REGEXMATCH(F10592, ""Ben帳戶|Elsa帳戶|Ben代墊|Ariel代墊|中信銀行共用"")), ""內部轉帳(忽略)"",
  AND(E10592&lt;&gt;"""", F10592&lt;&gt;"&amp;""""", NOT(REGEXMATCH(C10592, ""薪資""))), ""內部轉帳(忽略)"",
  REGEXMATCH(C10592, ""薪資""), ""薪資變動(不計入)"",
  REGEXMATCH(C10592, ""押金""), ""押金往來"",
  AND(E10592&lt;&gt;"""", F10592=""""), ""真實支出"",
  AND(E10592="""", F10592&lt;&gt;""""), ""真實收入"",
  TRUE, ""其他""
)"),"其他")</f>
        <v>其他</v>
      </c>
      <c r="K10592" s="270" t="str">
        <f t="shared" si="2"/>
        <v/>
      </c>
      <c r="L10592">
        <f t="shared" si="3"/>
        <v>0</v>
      </c>
    </row>
    <row r="10593">
      <c r="A10593" s="107"/>
      <c r="D10593" s="270"/>
      <c r="H10593" s="106" t="str">
        <f t="shared" si="1"/>
        <v/>
      </c>
      <c r="J10593" t="str">
        <f>IFERROR(__xludf.DUMMYFUNCTION("IFS(
  AND(REGEXMATCH(E10593, ""台銀籌備帳戶|玉山帳戶""), REGEXMATCH(C10593, ""薪資"")), ""分潤支出"",
  AND(REGEXMATCH(E10593, ""Ben帳戶|Elsa帳戶|Ben代墊|Ariel代墊|中信銀行共用""), REGEXMATCH(F10593, ""Ben帳戶|Elsa帳戶|Ben代墊|Ariel代墊|中信銀行共用"")), ""內部轉帳(忽略)"",
  AND(E10593&lt;&gt;"""", F10593&lt;&gt;"&amp;""""", NOT(REGEXMATCH(C10593, ""薪資""))), ""內部轉帳(忽略)"",
  REGEXMATCH(C10593, ""薪資""), ""薪資變動(不計入)"",
  REGEXMATCH(C10593, ""押金""), ""押金往來"",
  AND(E10593&lt;&gt;"""", F10593=""""), ""真實支出"",
  AND(E10593="""", F10593&lt;&gt;""""), ""真實收入"",
  TRUE, ""其他""
)"),"其他")</f>
        <v>其他</v>
      </c>
      <c r="K10593" s="270" t="str">
        <f t="shared" si="2"/>
        <v/>
      </c>
      <c r="L10593">
        <f t="shared" si="3"/>
        <v>0</v>
      </c>
    </row>
    <row r="10594">
      <c r="A10594" s="107"/>
      <c r="D10594" s="270"/>
      <c r="H10594" s="106" t="str">
        <f t="shared" si="1"/>
        <v/>
      </c>
      <c r="J10594" t="str">
        <f>IFERROR(__xludf.DUMMYFUNCTION("IFS(
  AND(REGEXMATCH(E10594, ""台銀籌備帳戶|玉山帳戶""), REGEXMATCH(C10594, ""薪資"")), ""分潤支出"",
  AND(REGEXMATCH(E10594, ""Ben帳戶|Elsa帳戶|Ben代墊|Ariel代墊|中信銀行共用""), REGEXMATCH(F10594, ""Ben帳戶|Elsa帳戶|Ben代墊|Ariel代墊|中信銀行共用"")), ""內部轉帳(忽略)"",
  AND(E10594&lt;&gt;"""", F10594&lt;&gt;"&amp;""""", NOT(REGEXMATCH(C10594, ""薪資""))), ""內部轉帳(忽略)"",
  REGEXMATCH(C10594, ""薪資""), ""薪資變動(不計入)"",
  REGEXMATCH(C10594, ""押金""), ""押金往來"",
  AND(E10594&lt;&gt;"""", F10594=""""), ""真實支出"",
  AND(E10594="""", F10594&lt;&gt;""""), ""真實收入"",
  TRUE, ""其他""
)"),"其他")</f>
        <v>其他</v>
      </c>
      <c r="K10594" s="270" t="str">
        <f t="shared" si="2"/>
        <v/>
      </c>
      <c r="L10594">
        <f t="shared" si="3"/>
        <v>0</v>
      </c>
    </row>
    <row r="10595">
      <c r="A10595" s="107"/>
      <c r="D10595" s="270"/>
      <c r="H10595" s="106" t="str">
        <f t="shared" si="1"/>
        <v/>
      </c>
      <c r="J10595" t="str">
        <f>IFERROR(__xludf.DUMMYFUNCTION("IFS(
  AND(REGEXMATCH(E10595, ""台銀籌備帳戶|玉山帳戶""), REGEXMATCH(C10595, ""薪資"")), ""分潤支出"",
  AND(REGEXMATCH(E10595, ""Ben帳戶|Elsa帳戶|Ben代墊|Ariel代墊|中信銀行共用""), REGEXMATCH(F10595, ""Ben帳戶|Elsa帳戶|Ben代墊|Ariel代墊|中信銀行共用"")), ""內部轉帳(忽略)"",
  AND(E10595&lt;&gt;"""", F10595&lt;&gt;"&amp;""""", NOT(REGEXMATCH(C10595, ""薪資""))), ""內部轉帳(忽略)"",
  REGEXMATCH(C10595, ""薪資""), ""薪資變動(不計入)"",
  REGEXMATCH(C10595, ""押金""), ""押金往來"",
  AND(E10595&lt;&gt;"""", F10595=""""), ""真實支出"",
  AND(E10595="""", F10595&lt;&gt;""""), ""真實收入"",
  TRUE, ""其他""
)"),"其他")</f>
        <v>其他</v>
      </c>
      <c r="K10595" s="270" t="str">
        <f t="shared" si="2"/>
        <v/>
      </c>
      <c r="L10595">
        <f t="shared" si="3"/>
        <v>0</v>
      </c>
    </row>
    <row r="10596">
      <c r="A10596" s="107"/>
      <c r="D10596" s="270"/>
      <c r="H10596" s="106" t="str">
        <f t="shared" si="1"/>
        <v/>
      </c>
      <c r="J10596" t="str">
        <f>IFERROR(__xludf.DUMMYFUNCTION("IFS(
  AND(REGEXMATCH(E10596, ""台銀籌備帳戶|玉山帳戶""), REGEXMATCH(C10596, ""薪資"")), ""分潤支出"",
  AND(REGEXMATCH(E10596, ""Ben帳戶|Elsa帳戶|Ben代墊|Ariel代墊|中信銀行共用""), REGEXMATCH(F10596, ""Ben帳戶|Elsa帳戶|Ben代墊|Ariel代墊|中信銀行共用"")), ""內部轉帳(忽略)"",
  AND(E10596&lt;&gt;"""", F10596&lt;&gt;"&amp;""""", NOT(REGEXMATCH(C10596, ""薪資""))), ""內部轉帳(忽略)"",
  REGEXMATCH(C10596, ""薪資""), ""薪資變動(不計入)"",
  REGEXMATCH(C10596, ""押金""), ""押金往來"",
  AND(E10596&lt;&gt;"""", F10596=""""), ""真實支出"",
  AND(E10596="""", F10596&lt;&gt;""""), ""真實收入"",
  TRUE, ""其他""
)"),"其他")</f>
        <v>其他</v>
      </c>
      <c r="K10596" s="270" t="str">
        <f t="shared" si="2"/>
        <v/>
      </c>
      <c r="L10596">
        <f t="shared" si="3"/>
        <v>0</v>
      </c>
    </row>
    <row r="10597">
      <c r="A10597" s="107"/>
      <c r="D10597" s="270"/>
      <c r="H10597" s="106" t="str">
        <f t="shared" si="1"/>
        <v/>
      </c>
      <c r="J10597" t="str">
        <f>IFERROR(__xludf.DUMMYFUNCTION("IFS(
  AND(REGEXMATCH(E10597, ""台銀籌備帳戶|玉山帳戶""), REGEXMATCH(C10597, ""薪資"")), ""分潤支出"",
  AND(REGEXMATCH(E10597, ""Ben帳戶|Elsa帳戶|Ben代墊|Ariel代墊|中信銀行共用""), REGEXMATCH(F10597, ""Ben帳戶|Elsa帳戶|Ben代墊|Ariel代墊|中信銀行共用"")), ""內部轉帳(忽略)"",
  AND(E10597&lt;&gt;"""", F10597&lt;&gt;"&amp;""""", NOT(REGEXMATCH(C10597, ""薪資""))), ""內部轉帳(忽略)"",
  REGEXMATCH(C10597, ""薪資""), ""薪資變動(不計入)"",
  REGEXMATCH(C10597, ""押金""), ""押金往來"",
  AND(E10597&lt;&gt;"""", F10597=""""), ""真實支出"",
  AND(E10597="""", F10597&lt;&gt;""""), ""真實收入"",
  TRUE, ""其他""
)"),"其他")</f>
        <v>其他</v>
      </c>
      <c r="K10597" s="270" t="str">
        <f t="shared" si="2"/>
        <v/>
      </c>
      <c r="L10597">
        <f t="shared" si="3"/>
        <v>0</v>
      </c>
    </row>
    <row r="10598">
      <c r="A10598" s="107"/>
      <c r="D10598" s="270"/>
      <c r="H10598" s="106" t="str">
        <f t="shared" si="1"/>
        <v/>
      </c>
      <c r="J10598" t="str">
        <f>IFERROR(__xludf.DUMMYFUNCTION("IFS(
  AND(REGEXMATCH(E10598, ""台銀籌備帳戶|玉山帳戶""), REGEXMATCH(C10598, ""薪資"")), ""分潤支出"",
  AND(REGEXMATCH(E10598, ""Ben帳戶|Elsa帳戶|Ben代墊|Ariel代墊|中信銀行共用""), REGEXMATCH(F10598, ""Ben帳戶|Elsa帳戶|Ben代墊|Ariel代墊|中信銀行共用"")), ""內部轉帳(忽略)"",
  AND(E10598&lt;&gt;"""", F10598&lt;&gt;"&amp;""""", NOT(REGEXMATCH(C10598, ""薪資""))), ""內部轉帳(忽略)"",
  REGEXMATCH(C10598, ""薪資""), ""薪資變動(不計入)"",
  REGEXMATCH(C10598, ""押金""), ""押金往來"",
  AND(E10598&lt;&gt;"""", F10598=""""), ""真實支出"",
  AND(E10598="""", F10598&lt;&gt;""""), ""真實收入"",
  TRUE, ""其他""
)"),"其他")</f>
        <v>其他</v>
      </c>
      <c r="K10598" s="270" t="str">
        <f t="shared" si="2"/>
        <v/>
      </c>
      <c r="L10598">
        <f t="shared" si="3"/>
        <v>0</v>
      </c>
    </row>
    <row r="10599">
      <c r="A10599" s="107"/>
      <c r="D10599" s="270"/>
      <c r="H10599" s="106" t="str">
        <f t="shared" si="1"/>
        <v/>
      </c>
      <c r="J10599" t="str">
        <f>IFERROR(__xludf.DUMMYFUNCTION("IFS(
  AND(REGEXMATCH(E10599, ""台銀籌備帳戶|玉山帳戶""), REGEXMATCH(C10599, ""薪資"")), ""分潤支出"",
  AND(REGEXMATCH(E10599, ""Ben帳戶|Elsa帳戶|Ben代墊|Ariel代墊|中信銀行共用""), REGEXMATCH(F10599, ""Ben帳戶|Elsa帳戶|Ben代墊|Ariel代墊|中信銀行共用"")), ""內部轉帳(忽略)"",
  AND(E10599&lt;&gt;"""", F10599&lt;&gt;"&amp;""""", NOT(REGEXMATCH(C10599, ""薪資""))), ""內部轉帳(忽略)"",
  REGEXMATCH(C10599, ""薪資""), ""薪資變動(不計入)"",
  REGEXMATCH(C10599, ""押金""), ""押金往來"",
  AND(E10599&lt;&gt;"""", F10599=""""), ""真實支出"",
  AND(E10599="""", F10599&lt;&gt;""""), ""真實收入"",
  TRUE, ""其他""
)"),"其他")</f>
        <v>其他</v>
      </c>
      <c r="K10599" s="270" t="str">
        <f t="shared" si="2"/>
        <v/>
      </c>
      <c r="L10599">
        <f t="shared" si="3"/>
        <v>0</v>
      </c>
    </row>
    <row r="10600">
      <c r="A10600" s="107"/>
      <c r="D10600" s="270"/>
      <c r="H10600" s="106" t="str">
        <f t="shared" si="1"/>
        <v/>
      </c>
      <c r="J10600" t="str">
        <f>IFERROR(__xludf.DUMMYFUNCTION("IFS(
  AND(REGEXMATCH(E10600, ""台銀籌備帳戶|玉山帳戶""), REGEXMATCH(C10600, ""薪資"")), ""分潤支出"",
  AND(REGEXMATCH(E10600, ""Ben帳戶|Elsa帳戶|Ben代墊|Ariel代墊|中信銀行共用""), REGEXMATCH(F10600, ""Ben帳戶|Elsa帳戶|Ben代墊|Ariel代墊|中信銀行共用"")), ""內部轉帳(忽略)"",
  AND(E10600&lt;&gt;"""", F10600&lt;&gt;"&amp;""""", NOT(REGEXMATCH(C10600, ""薪資""))), ""內部轉帳(忽略)"",
  REGEXMATCH(C10600, ""薪資""), ""薪資變動(不計入)"",
  REGEXMATCH(C10600, ""押金""), ""押金往來"",
  AND(E10600&lt;&gt;"""", F10600=""""), ""真實支出"",
  AND(E10600="""", F10600&lt;&gt;""""), ""真實收入"",
  TRUE, ""其他""
)"),"其他")</f>
        <v>其他</v>
      </c>
      <c r="K10600" s="270" t="str">
        <f t="shared" si="2"/>
        <v/>
      </c>
      <c r="L10600">
        <f t="shared" si="3"/>
        <v>0</v>
      </c>
    </row>
    <row r="10601">
      <c r="A10601" s="107"/>
      <c r="D10601" s="270"/>
      <c r="H10601" s="106" t="str">
        <f t="shared" si="1"/>
        <v/>
      </c>
      <c r="J10601" t="str">
        <f>IFERROR(__xludf.DUMMYFUNCTION("IFS(
  AND(REGEXMATCH(E10601, ""台銀籌備帳戶|玉山帳戶""), REGEXMATCH(C10601, ""薪資"")), ""分潤支出"",
  AND(REGEXMATCH(E10601, ""Ben帳戶|Elsa帳戶|Ben代墊|Ariel代墊|中信銀行共用""), REGEXMATCH(F10601, ""Ben帳戶|Elsa帳戶|Ben代墊|Ariel代墊|中信銀行共用"")), ""內部轉帳(忽略)"",
  AND(E10601&lt;&gt;"""", F10601&lt;&gt;"&amp;""""", NOT(REGEXMATCH(C10601, ""薪資""))), ""內部轉帳(忽略)"",
  REGEXMATCH(C10601, ""薪資""), ""薪資變動(不計入)"",
  REGEXMATCH(C10601, ""押金""), ""押金往來"",
  AND(E10601&lt;&gt;"""", F10601=""""), ""真實支出"",
  AND(E10601="""", F10601&lt;&gt;""""), ""真實收入"",
  TRUE, ""其他""
)"),"其他")</f>
        <v>其他</v>
      </c>
      <c r="K10601" s="270" t="str">
        <f t="shared" si="2"/>
        <v/>
      </c>
      <c r="L10601">
        <f t="shared" si="3"/>
        <v>0</v>
      </c>
    </row>
    <row r="10602">
      <c r="A10602" s="107"/>
      <c r="D10602" s="270"/>
      <c r="H10602" s="106" t="str">
        <f t="shared" si="1"/>
        <v/>
      </c>
      <c r="J10602" t="str">
        <f>IFERROR(__xludf.DUMMYFUNCTION("IFS(
  AND(REGEXMATCH(E10602, ""台銀籌備帳戶|玉山帳戶""), REGEXMATCH(C10602, ""薪資"")), ""分潤支出"",
  AND(REGEXMATCH(E10602, ""Ben帳戶|Elsa帳戶|Ben代墊|Ariel代墊|中信銀行共用""), REGEXMATCH(F10602, ""Ben帳戶|Elsa帳戶|Ben代墊|Ariel代墊|中信銀行共用"")), ""內部轉帳(忽略)"",
  AND(E10602&lt;&gt;"""", F10602&lt;&gt;"&amp;""""", NOT(REGEXMATCH(C10602, ""薪資""))), ""內部轉帳(忽略)"",
  REGEXMATCH(C10602, ""薪資""), ""薪資變動(不計入)"",
  REGEXMATCH(C10602, ""押金""), ""押金往來"",
  AND(E10602&lt;&gt;"""", F10602=""""), ""真實支出"",
  AND(E10602="""", F10602&lt;&gt;""""), ""真實收入"",
  TRUE, ""其他""
)"),"其他")</f>
        <v>其他</v>
      </c>
      <c r="K10602" s="270" t="str">
        <f t="shared" si="2"/>
        <v/>
      </c>
      <c r="L10602">
        <f t="shared" si="3"/>
        <v>0</v>
      </c>
    </row>
    <row r="10603">
      <c r="A10603" s="107"/>
      <c r="D10603" s="270"/>
      <c r="H10603" s="106" t="str">
        <f t="shared" si="1"/>
        <v/>
      </c>
      <c r="J10603" t="str">
        <f>IFERROR(__xludf.DUMMYFUNCTION("IFS(
  AND(REGEXMATCH(E10603, ""台銀籌備帳戶|玉山帳戶""), REGEXMATCH(C10603, ""薪資"")), ""分潤支出"",
  AND(REGEXMATCH(E10603, ""Ben帳戶|Elsa帳戶|Ben代墊|Ariel代墊|中信銀行共用""), REGEXMATCH(F10603, ""Ben帳戶|Elsa帳戶|Ben代墊|Ariel代墊|中信銀行共用"")), ""內部轉帳(忽略)"",
  AND(E10603&lt;&gt;"""", F10603&lt;&gt;"&amp;""""", NOT(REGEXMATCH(C10603, ""薪資""))), ""內部轉帳(忽略)"",
  REGEXMATCH(C10603, ""薪資""), ""薪資變動(不計入)"",
  REGEXMATCH(C10603, ""押金""), ""押金往來"",
  AND(E10603&lt;&gt;"""", F10603=""""), ""真實支出"",
  AND(E10603="""", F10603&lt;&gt;""""), ""真實收入"",
  TRUE, ""其他""
)"),"其他")</f>
        <v>其他</v>
      </c>
      <c r="K10603" s="270" t="str">
        <f t="shared" si="2"/>
        <v/>
      </c>
      <c r="L10603">
        <f t="shared" si="3"/>
        <v>0</v>
      </c>
    </row>
    <row r="10604">
      <c r="A10604" s="107"/>
      <c r="D10604" s="270"/>
      <c r="H10604" s="106" t="str">
        <f t="shared" si="1"/>
        <v/>
      </c>
      <c r="J10604" t="str">
        <f>IFERROR(__xludf.DUMMYFUNCTION("IFS(
  AND(REGEXMATCH(E10604, ""台銀籌備帳戶|玉山帳戶""), REGEXMATCH(C10604, ""薪資"")), ""分潤支出"",
  AND(REGEXMATCH(E10604, ""Ben帳戶|Elsa帳戶|Ben代墊|Ariel代墊|中信銀行共用""), REGEXMATCH(F10604, ""Ben帳戶|Elsa帳戶|Ben代墊|Ariel代墊|中信銀行共用"")), ""內部轉帳(忽略)"",
  AND(E10604&lt;&gt;"""", F10604&lt;&gt;"&amp;""""", NOT(REGEXMATCH(C10604, ""薪資""))), ""內部轉帳(忽略)"",
  REGEXMATCH(C10604, ""薪資""), ""薪資變動(不計入)"",
  REGEXMATCH(C10604, ""押金""), ""押金往來"",
  AND(E10604&lt;&gt;"""", F10604=""""), ""真實支出"",
  AND(E10604="""", F10604&lt;&gt;""""), ""真實收入"",
  TRUE, ""其他""
)"),"其他")</f>
        <v>其他</v>
      </c>
      <c r="K10604" s="270" t="str">
        <f t="shared" si="2"/>
        <v/>
      </c>
      <c r="L10604">
        <f t="shared" si="3"/>
        <v>0</v>
      </c>
    </row>
    <row r="10605">
      <c r="A10605" s="107"/>
      <c r="D10605" s="270"/>
      <c r="H10605" s="106" t="str">
        <f t="shared" si="1"/>
        <v/>
      </c>
      <c r="J10605" t="str">
        <f>IFERROR(__xludf.DUMMYFUNCTION("IFS(
  AND(REGEXMATCH(E10605, ""台銀籌備帳戶|玉山帳戶""), REGEXMATCH(C10605, ""薪資"")), ""分潤支出"",
  AND(REGEXMATCH(E10605, ""Ben帳戶|Elsa帳戶|Ben代墊|Ariel代墊|中信銀行共用""), REGEXMATCH(F10605, ""Ben帳戶|Elsa帳戶|Ben代墊|Ariel代墊|中信銀行共用"")), ""內部轉帳(忽略)"",
  AND(E10605&lt;&gt;"""", F10605&lt;&gt;"&amp;""""", NOT(REGEXMATCH(C10605, ""薪資""))), ""內部轉帳(忽略)"",
  REGEXMATCH(C10605, ""薪資""), ""薪資變動(不計入)"",
  REGEXMATCH(C10605, ""押金""), ""押金往來"",
  AND(E10605&lt;&gt;"""", F10605=""""), ""真實支出"",
  AND(E10605="""", F10605&lt;&gt;""""), ""真實收入"",
  TRUE, ""其他""
)"),"其他")</f>
        <v>其他</v>
      </c>
      <c r="K10605" s="270" t="str">
        <f t="shared" si="2"/>
        <v/>
      </c>
      <c r="L10605">
        <f t="shared" si="3"/>
        <v>0</v>
      </c>
    </row>
    <row r="10606">
      <c r="A10606" s="107"/>
      <c r="D10606" s="270"/>
      <c r="H10606" s="106" t="str">
        <f t="shared" si="1"/>
        <v/>
      </c>
      <c r="J10606" t="str">
        <f>IFERROR(__xludf.DUMMYFUNCTION("IFS(
  AND(REGEXMATCH(E10606, ""台銀籌備帳戶|玉山帳戶""), REGEXMATCH(C10606, ""薪資"")), ""分潤支出"",
  AND(REGEXMATCH(E10606, ""Ben帳戶|Elsa帳戶|Ben代墊|Ariel代墊|中信銀行共用""), REGEXMATCH(F10606, ""Ben帳戶|Elsa帳戶|Ben代墊|Ariel代墊|中信銀行共用"")), ""內部轉帳(忽略)"",
  AND(E10606&lt;&gt;"""", F10606&lt;&gt;"&amp;""""", NOT(REGEXMATCH(C10606, ""薪資""))), ""內部轉帳(忽略)"",
  REGEXMATCH(C10606, ""薪資""), ""薪資變動(不計入)"",
  REGEXMATCH(C10606, ""押金""), ""押金往來"",
  AND(E10606&lt;&gt;"""", F10606=""""), ""真實支出"",
  AND(E10606="""", F10606&lt;&gt;""""), ""真實收入"",
  TRUE, ""其他""
)"),"其他")</f>
        <v>其他</v>
      </c>
      <c r="K10606" s="270" t="str">
        <f t="shared" si="2"/>
        <v/>
      </c>
      <c r="L10606">
        <f t="shared" si="3"/>
        <v>0</v>
      </c>
    </row>
    <row r="10607">
      <c r="A10607" s="107"/>
      <c r="D10607" s="270"/>
      <c r="H10607" s="106" t="str">
        <f t="shared" si="1"/>
        <v/>
      </c>
      <c r="J10607" t="str">
        <f>IFERROR(__xludf.DUMMYFUNCTION("IFS(
  AND(REGEXMATCH(E10607, ""台銀籌備帳戶|玉山帳戶""), REGEXMATCH(C10607, ""薪資"")), ""分潤支出"",
  AND(REGEXMATCH(E10607, ""Ben帳戶|Elsa帳戶|Ben代墊|Ariel代墊|中信銀行共用""), REGEXMATCH(F10607, ""Ben帳戶|Elsa帳戶|Ben代墊|Ariel代墊|中信銀行共用"")), ""內部轉帳(忽略)"",
  AND(E10607&lt;&gt;"""", F10607&lt;&gt;"&amp;""""", NOT(REGEXMATCH(C10607, ""薪資""))), ""內部轉帳(忽略)"",
  REGEXMATCH(C10607, ""薪資""), ""薪資變動(不計入)"",
  REGEXMATCH(C10607, ""押金""), ""押金往來"",
  AND(E10607&lt;&gt;"""", F10607=""""), ""真實支出"",
  AND(E10607="""", F10607&lt;&gt;""""), ""真實收入"",
  TRUE, ""其他""
)"),"其他")</f>
        <v>其他</v>
      </c>
      <c r="K10607" s="270" t="str">
        <f t="shared" si="2"/>
        <v/>
      </c>
      <c r="L10607">
        <f t="shared" si="3"/>
        <v>0</v>
      </c>
    </row>
    <row r="10608">
      <c r="A10608" s="107"/>
      <c r="D10608" s="270"/>
      <c r="H10608" s="106" t="str">
        <f t="shared" si="1"/>
        <v/>
      </c>
      <c r="J10608" t="str">
        <f>IFERROR(__xludf.DUMMYFUNCTION("IFS(
  AND(REGEXMATCH(E10608, ""台銀籌備帳戶|玉山帳戶""), REGEXMATCH(C10608, ""薪資"")), ""分潤支出"",
  AND(REGEXMATCH(E10608, ""Ben帳戶|Elsa帳戶|Ben代墊|Ariel代墊|中信銀行共用""), REGEXMATCH(F10608, ""Ben帳戶|Elsa帳戶|Ben代墊|Ariel代墊|中信銀行共用"")), ""內部轉帳(忽略)"",
  AND(E10608&lt;&gt;"""", F10608&lt;&gt;"&amp;""""", NOT(REGEXMATCH(C10608, ""薪資""))), ""內部轉帳(忽略)"",
  REGEXMATCH(C10608, ""薪資""), ""薪資變動(不計入)"",
  REGEXMATCH(C10608, ""押金""), ""押金往來"",
  AND(E10608&lt;&gt;"""", F10608=""""), ""真實支出"",
  AND(E10608="""", F10608&lt;&gt;""""), ""真實收入"",
  TRUE, ""其他""
)"),"其他")</f>
        <v>其他</v>
      </c>
      <c r="K10608" s="270" t="str">
        <f t="shared" si="2"/>
        <v/>
      </c>
      <c r="L10608">
        <f t="shared" si="3"/>
        <v>0</v>
      </c>
    </row>
    <row r="10609">
      <c r="A10609" s="107"/>
      <c r="D10609" s="270"/>
      <c r="H10609" s="106" t="str">
        <f t="shared" si="1"/>
        <v/>
      </c>
      <c r="J10609" t="str">
        <f>IFERROR(__xludf.DUMMYFUNCTION("IFS(
  AND(REGEXMATCH(E10609, ""台銀籌備帳戶|玉山帳戶""), REGEXMATCH(C10609, ""薪資"")), ""分潤支出"",
  AND(REGEXMATCH(E10609, ""Ben帳戶|Elsa帳戶|Ben代墊|Ariel代墊|中信銀行共用""), REGEXMATCH(F10609, ""Ben帳戶|Elsa帳戶|Ben代墊|Ariel代墊|中信銀行共用"")), ""內部轉帳(忽略)"",
  AND(E10609&lt;&gt;"""", F10609&lt;&gt;"&amp;""""", NOT(REGEXMATCH(C10609, ""薪資""))), ""內部轉帳(忽略)"",
  REGEXMATCH(C10609, ""薪資""), ""薪資變動(不計入)"",
  REGEXMATCH(C10609, ""押金""), ""押金往來"",
  AND(E10609&lt;&gt;"""", F10609=""""), ""真實支出"",
  AND(E10609="""", F10609&lt;&gt;""""), ""真實收入"",
  TRUE, ""其他""
)"),"其他")</f>
        <v>其他</v>
      </c>
      <c r="K10609" s="270" t="str">
        <f t="shared" si="2"/>
        <v/>
      </c>
      <c r="L10609">
        <f t="shared" si="3"/>
        <v>0</v>
      </c>
    </row>
    <row r="10610">
      <c r="A10610" s="107"/>
      <c r="D10610" s="270"/>
      <c r="H10610" s="106" t="str">
        <f t="shared" si="1"/>
        <v/>
      </c>
      <c r="J10610" t="str">
        <f>IFERROR(__xludf.DUMMYFUNCTION("IFS(
  AND(REGEXMATCH(E10610, ""台銀籌備帳戶|玉山帳戶""), REGEXMATCH(C10610, ""薪資"")), ""分潤支出"",
  AND(REGEXMATCH(E10610, ""Ben帳戶|Elsa帳戶|Ben代墊|Ariel代墊|中信銀行共用""), REGEXMATCH(F10610, ""Ben帳戶|Elsa帳戶|Ben代墊|Ariel代墊|中信銀行共用"")), ""內部轉帳(忽略)"",
  AND(E10610&lt;&gt;"""", F10610&lt;&gt;"&amp;""""", NOT(REGEXMATCH(C10610, ""薪資""))), ""內部轉帳(忽略)"",
  REGEXMATCH(C10610, ""薪資""), ""薪資變動(不計入)"",
  REGEXMATCH(C10610, ""押金""), ""押金往來"",
  AND(E10610&lt;&gt;"""", F10610=""""), ""真實支出"",
  AND(E10610="""", F10610&lt;&gt;""""), ""真實收入"",
  TRUE, ""其他""
)"),"其他")</f>
        <v>其他</v>
      </c>
      <c r="K10610" s="270" t="str">
        <f t="shared" si="2"/>
        <v/>
      </c>
      <c r="L10610">
        <f t="shared" si="3"/>
        <v>0</v>
      </c>
    </row>
    <row r="10611">
      <c r="A10611" s="107"/>
      <c r="D10611" s="270"/>
      <c r="H10611" s="106" t="str">
        <f t="shared" si="1"/>
        <v/>
      </c>
      <c r="J10611" t="str">
        <f>IFERROR(__xludf.DUMMYFUNCTION("IFS(
  AND(REGEXMATCH(E10611, ""台銀籌備帳戶|玉山帳戶""), REGEXMATCH(C10611, ""薪資"")), ""分潤支出"",
  AND(REGEXMATCH(E10611, ""Ben帳戶|Elsa帳戶|Ben代墊|Ariel代墊|中信銀行共用""), REGEXMATCH(F10611, ""Ben帳戶|Elsa帳戶|Ben代墊|Ariel代墊|中信銀行共用"")), ""內部轉帳(忽略)"",
  AND(E10611&lt;&gt;"""", F10611&lt;&gt;"&amp;""""", NOT(REGEXMATCH(C10611, ""薪資""))), ""內部轉帳(忽略)"",
  REGEXMATCH(C10611, ""薪資""), ""薪資變動(不計入)"",
  REGEXMATCH(C10611, ""押金""), ""押金往來"",
  AND(E10611&lt;&gt;"""", F10611=""""), ""真實支出"",
  AND(E10611="""", F10611&lt;&gt;""""), ""真實收入"",
  TRUE, ""其他""
)"),"其他")</f>
        <v>其他</v>
      </c>
      <c r="K10611" s="270" t="str">
        <f t="shared" si="2"/>
        <v/>
      </c>
      <c r="L10611">
        <f t="shared" si="3"/>
        <v>0</v>
      </c>
    </row>
    <row r="10612">
      <c r="A10612" s="107"/>
      <c r="D10612" s="270"/>
      <c r="H10612" s="106" t="str">
        <f t="shared" si="1"/>
        <v/>
      </c>
      <c r="J10612" t="str">
        <f>IFERROR(__xludf.DUMMYFUNCTION("IFS(
  AND(REGEXMATCH(E10612, ""台銀籌備帳戶|玉山帳戶""), REGEXMATCH(C10612, ""薪資"")), ""分潤支出"",
  AND(REGEXMATCH(E10612, ""Ben帳戶|Elsa帳戶|Ben代墊|Ariel代墊|中信銀行共用""), REGEXMATCH(F10612, ""Ben帳戶|Elsa帳戶|Ben代墊|Ariel代墊|中信銀行共用"")), ""內部轉帳(忽略)"",
  AND(E10612&lt;&gt;"""", F10612&lt;&gt;"&amp;""""", NOT(REGEXMATCH(C10612, ""薪資""))), ""內部轉帳(忽略)"",
  REGEXMATCH(C10612, ""薪資""), ""薪資變動(不計入)"",
  REGEXMATCH(C10612, ""押金""), ""押金往來"",
  AND(E10612&lt;&gt;"""", F10612=""""), ""真實支出"",
  AND(E10612="""", F10612&lt;&gt;""""), ""真實收入"",
  TRUE, ""其他""
)"),"其他")</f>
        <v>其他</v>
      </c>
      <c r="K10612" s="270" t="str">
        <f t="shared" si="2"/>
        <v/>
      </c>
      <c r="L10612">
        <f t="shared" si="3"/>
        <v>0</v>
      </c>
    </row>
    <row r="10613">
      <c r="A10613" s="107"/>
      <c r="D10613" s="270"/>
      <c r="H10613" s="106" t="str">
        <f t="shared" si="1"/>
        <v/>
      </c>
      <c r="J10613" t="str">
        <f>IFERROR(__xludf.DUMMYFUNCTION("IFS(
  AND(REGEXMATCH(E10613, ""台銀籌備帳戶|玉山帳戶""), REGEXMATCH(C10613, ""薪資"")), ""分潤支出"",
  AND(REGEXMATCH(E10613, ""Ben帳戶|Elsa帳戶|Ben代墊|Ariel代墊|中信銀行共用""), REGEXMATCH(F10613, ""Ben帳戶|Elsa帳戶|Ben代墊|Ariel代墊|中信銀行共用"")), ""內部轉帳(忽略)"",
  AND(E10613&lt;&gt;"""", F10613&lt;&gt;"&amp;""""", NOT(REGEXMATCH(C10613, ""薪資""))), ""內部轉帳(忽略)"",
  REGEXMATCH(C10613, ""薪資""), ""薪資變動(不計入)"",
  REGEXMATCH(C10613, ""押金""), ""押金往來"",
  AND(E10613&lt;&gt;"""", F10613=""""), ""真實支出"",
  AND(E10613="""", F10613&lt;&gt;""""), ""真實收入"",
  TRUE, ""其他""
)"),"其他")</f>
        <v>其他</v>
      </c>
      <c r="K10613" s="270" t="str">
        <f t="shared" si="2"/>
        <v/>
      </c>
      <c r="L10613">
        <f t="shared" si="3"/>
        <v>0</v>
      </c>
    </row>
    <row r="10614">
      <c r="A10614" s="107"/>
      <c r="D10614" s="270"/>
      <c r="H10614" s="106" t="str">
        <f t="shared" si="1"/>
        <v/>
      </c>
      <c r="J10614" t="str">
        <f>IFERROR(__xludf.DUMMYFUNCTION("IFS(
  AND(REGEXMATCH(E10614, ""台銀籌備帳戶|玉山帳戶""), REGEXMATCH(C10614, ""薪資"")), ""分潤支出"",
  AND(REGEXMATCH(E10614, ""Ben帳戶|Elsa帳戶|Ben代墊|Ariel代墊|中信銀行共用""), REGEXMATCH(F10614, ""Ben帳戶|Elsa帳戶|Ben代墊|Ariel代墊|中信銀行共用"")), ""內部轉帳(忽略)"",
  AND(E10614&lt;&gt;"""", F10614&lt;&gt;"&amp;""""", NOT(REGEXMATCH(C10614, ""薪資""))), ""內部轉帳(忽略)"",
  REGEXMATCH(C10614, ""薪資""), ""薪資變動(不計入)"",
  REGEXMATCH(C10614, ""押金""), ""押金往來"",
  AND(E10614&lt;&gt;"""", F10614=""""), ""真實支出"",
  AND(E10614="""", F10614&lt;&gt;""""), ""真實收入"",
  TRUE, ""其他""
)"),"其他")</f>
        <v>其他</v>
      </c>
      <c r="K10614" s="270" t="str">
        <f t="shared" si="2"/>
        <v/>
      </c>
      <c r="L10614">
        <f t="shared" si="3"/>
        <v>0</v>
      </c>
    </row>
    <row r="10615">
      <c r="A10615" s="107"/>
      <c r="D10615" s="270"/>
      <c r="H10615" s="106" t="str">
        <f t="shared" si="1"/>
        <v/>
      </c>
      <c r="J10615" t="str">
        <f>IFERROR(__xludf.DUMMYFUNCTION("IFS(
  AND(REGEXMATCH(E10615, ""台銀籌備帳戶|玉山帳戶""), REGEXMATCH(C10615, ""薪資"")), ""分潤支出"",
  AND(REGEXMATCH(E10615, ""Ben帳戶|Elsa帳戶|Ben代墊|Ariel代墊|中信銀行共用""), REGEXMATCH(F10615, ""Ben帳戶|Elsa帳戶|Ben代墊|Ariel代墊|中信銀行共用"")), ""內部轉帳(忽略)"",
  AND(E10615&lt;&gt;"""", F10615&lt;&gt;"&amp;""""", NOT(REGEXMATCH(C10615, ""薪資""))), ""內部轉帳(忽略)"",
  REGEXMATCH(C10615, ""薪資""), ""薪資變動(不計入)"",
  REGEXMATCH(C10615, ""押金""), ""押金往來"",
  AND(E10615&lt;&gt;"""", F10615=""""), ""真實支出"",
  AND(E10615="""", F10615&lt;&gt;""""), ""真實收入"",
  TRUE, ""其他""
)"),"其他")</f>
        <v>其他</v>
      </c>
      <c r="K10615" s="270" t="str">
        <f t="shared" si="2"/>
        <v/>
      </c>
      <c r="L10615">
        <f t="shared" si="3"/>
        <v>0</v>
      </c>
    </row>
    <row r="10616">
      <c r="A10616" s="107"/>
      <c r="D10616" s="270"/>
      <c r="H10616" s="106" t="str">
        <f t="shared" si="1"/>
        <v/>
      </c>
      <c r="J10616" t="str">
        <f>IFERROR(__xludf.DUMMYFUNCTION("IFS(
  AND(REGEXMATCH(E10616, ""台銀籌備帳戶|玉山帳戶""), REGEXMATCH(C10616, ""薪資"")), ""分潤支出"",
  AND(REGEXMATCH(E10616, ""Ben帳戶|Elsa帳戶|Ben代墊|Ariel代墊|中信銀行共用""), REGEXMATCH(F10616, ""Ben帳戶|Elsa帳戶|Ben代墊|Ariel代墊|中信銀行共用"")), ""內部轉帳(忽略)"",
  AND(E10616&lt;&gt;"""", F10616&lt;&gt;"&amp;""""", NOT(REGEXMATCH(C10616, ""薪資""))), ""內部轉帳(忽略)"",
  REGEXMATCH(C10616, ""薪資""), ""薪資變動(不計入)"",
  REGEXMATCH(C10616, ""押金""), ""押金往來"",
  AND(E10616&lt;&gt;"""", F10616=""""), ""真實支出"",
  AND(E10616="""", F10616&lt;&gt;""""), ""真實收入"",
  TRUE, ""其他""
)"),"其他")</f>
        <v>其他</v>
      </c>
      <c r="K10616" s="270" t="str">
        <f t="shared" si="2"/>
        <v/>
      </c>
      <c r="L10616">
        <f t="shared" si="3"/>
        <v>0</v>
      </c>
    </row>
    <row r="10617">
      <c r="A10617" s="107"/>
      <c r="D10617" s="270"/>
      <c r="H10617" s="106" t="str">
        <f t="shared" si="1"/>
        <v/>
      </c>
      <c r="J10617" t="str">
        <f>IFERROR(__xludf.DUMMYFUNCTION("IFS(
  AND(REGEXMATCH(E10617, ""台銀籌備帳戶|玉山帳戶""), REGEXMATCH(C10617, ""薪資"")), ""分潤支出"",
  AND(REGEXMATCH(E10617, ""Ben帳戶|Elsa帳戶|Ben代墊|Ariel代墊|中信銀行共用""), REGEXMATCH(F10617, ""Ben帳戶|Elsa帳戶|Ben代墊|Ariel代墊|中信銀行共用"")), ""內部轉帳(忽略)"",
  AND(E10617&lt;&gt;"""", F10617&lt;&gt;"&amp;""""", NOT(REGEXMATCH(C10617, ""薪資""))), ""內部轉帳(忽略)"",
  REGEXMATCH(C10617, ""薪資""), ""薪資變動(不計入)"",
  REGEXMATCH(C10617, ""押金""), ""押金往來"",
  AND(E10617&lt;&gt;"""", F10617=""""), ""真實支出"",
  AND(E10617="""", F10617&lt;&gt;""""), ""真實收入"",
  TRUE, ""其他""
)"),"其他")</f>
        <v>其他</v>
      </c>
      <c r="K10617" s="270" t="str">
        <f t="shared" si="2"/>
        <v/>
      </c>
      <c r="L10617">
        <f t="shared" si="3"/>
        <v>0</v>
      </c>
    </row>
    <row r="10618">
      <c r="A10618" s="107"/>
      <c r="D10618" s="270"/>
      <c r="H10618" s="106" t="str">
        <f t="shared" si="1"/>
        <v/>
      </c>
      <c r="J10618" t="str">
        <f>IFERROR(__xludf.DUMMYFUNCTION("IFS(
  AND(REGEXMATCH(E10618, ""台銀籌備帳戶|玉山帳戶""), REGEXMATCH(C10618, ""薪資"")), ""分潤支出"",
  AND(REGEXMATCH(E10618, ""Ben帳戶|Elsa帳戶|Ben代墊|Ariel代墊|中信銀行共用""), REGEXMATCH(F10618, ""Ben帳戶|Elsa帳戶|Ben代墊|Ariel代墊|中信銀行共用"")), ""內部轉帳(忽略)"",
  AND(E10618&lt;&gt;"""", F10618&lt;&gt;"&amp;""""", NOT(REGEXMATCH(C10618, ""薪資""))), ""內部轉帳(忽略)"",
  REGEXMATCH(C10618, ""薪資""), ""薪資變動(不計入)"",
  REGEXMATCH(C10618, ""押金""), ""押金往來"",
  AND(E10618&lt;&gt;"""", F10618=""""), ""真實支出"",
  AND(E10618="""", F10618&lt;&gt;""""), ""真實收入"",
  TRUE, ""其他""
)"),"其他")</f>
        <v>其他</v>
      </c>
      <c r="K10618" s="270" t="str">
        <f t="shared" si="2"/>
        <v/>
      </c>
      <c r="L10618">
        <f t="shared" si="3"/>
        <v>0</v>
      </c>
    </row>
    <row r="10619">
      <c r="A10619" s="107"/>
      <c r="D10619" s="270"/>
      <c r="H10619" s="106" t="str">
        <f t="shared" si="1"/>
        <v/>
      </c>
      <c r="J10619" t="str">
        <f>IFERROR(__xludf.DUMMYFUNCTION("IFS(
  AND(REGEXMATCH(E10619, ""台銀籌備帳戶|玉山帳戶""), REGEXMATCH(C10619, ""薪資"")), ""分潤支出"",
  AND(REGEXMATCH(E10619, ""Ben帳戶|Elsa帳戶|Ben代墊|Ariel代墊|中信銀行共用""), REGEXMATCH(F10619, ""Ben帳戶|Elsa帳戶|Ben代墊|Ariel代墊|中信銀行共用"")), ""內部轉帳(忽略)"",
  AND(E10619&lt;&gt;"""", F10619&lt;&gt;"&amp;""""", NOT(REGEXMATCH(C10619, ""薪資""))), ""內部轉帳(忽略)"",
  REGEXMATCH(C10619, ""薪資""), ""薪資變動(不計入)"",
  REGEXMATCH(C10619, ""押金""), ""押金往來"",
  AND(E10619&lt;&gt;"""", F10619=""""), ""真實支出"",
  AND(E10619="""", F10619&lt;&gt;""""), ""真實收入"",
  TRUE, ""其他""
)"),"其他")</f>
        <v>其他</v>
      </c>
      <c r="K10619" s="270" t="str">
        <f t="shared" si="2"/>
        <v/>
      </c>
      <c r="L10619">
        <f t="shared" si="3"/>
        <v>0</v>
      </c>
    </row>
    <row r="10620">
      <c r="A10620" s="107"/>
      <c r="D10620" s="270"/>
      <c r="H10620" s="106" t="str">
        <f t="shared" si="1"/>
        <v/>
      </c>
      <c r="J10620" t="str">
        <f>IFERROR(__xludf.DUMMYFUNCTION("IFS(
  AND(REGEXMATCH(E10620, ""台銀籌備帳戶|玉山帳戶""), REGEXMATCH(C10620, ""薪資"")), ""分潤支出"",
  AND(REGEXMATCH(E10620, ""Ben帳戶|Elsa帳戶|Ben代墊|Ariel代墊|中信銀行共用""), REGEXMATCH(F10620, ""Ben帳戶|Elsa帳戶|Ben代墊|Ariel代墊|中信銀行共用"")), ""內部轉帳(忽略)"",
  AND(E10620&lt;&gt;"""", F10620&lt;&gt;"&amp;""""", NOT(REGEXMATCH(C10620, ""薪資""))), ""內部轉帳(忽略)"",
  REGEXMATCH(C10620, ""薪資""), ""薪資變動(不計入)"",
  REGEXMATCH(C10620, ""押金""), ""押金往來"",
  AND(E10620&lt;&gt;"""", F10620=""""), ""真實支出"",
  AND(E10620="""", F10620&lt;&gt;""""), ""真實收入"",
  TRUE, ""其他""
)"),"其他")</f>
        <v>其他</v>
      </c>
      <c r="K10620" s="270" t="str">
        <f t="shared" si="2"/>
        <v/>
      </c>
      <c r="L10620">
        <f t="shared" si="3"/>
        <v>0</v>
      </c>
    </row>
    <row r="10621">
      <c r="A10621" s="107"/>
      <c r="D10621" s="270"/>
      <c r="H10621" s="106" t="str">
        <f t="shared" si="1"/>
        <v/>
      </c>
      <c r="J10621" t="str">
        <f>IFERROR(__xludf.DUMMYFUNCTION("IFS(
  AND(REGEXMATCH(E10621, ""台銀籌備帳戶|玉山帳戶""), REGEXMATCH(C10621, ""薪資"")), ""分潤支出"",
  AND(REGEXMATCH(E10621, ""Ben帳戶|Elsa帳戶|Ben代墊|Ariel代墊|中信銀行共用""), REGEXMATCH(F10621, ""Ben帳戶|Elsa帳戶|Ben代墊|Ariel代墊|中信銀行共用"")), ""內部轉帳(忽略)"",
  AND(E10621&lt;&gt;"""", F10621&lt;&gt;"&amp;""""", NOT(REGEXMATCH(C10621, ""薪資""))), ""內部轉帳(忽略)"",
  REGEXMATCH(C10621, ""薪資""), ""薪資變動(不計入)"",
  REGEXMATCH(C10621, ""押金""), ""押金往來"",
  AND(E10621&lt;&gt;"""", F10621=""""), ""真實支出"",
  AND(E10621="""", F10621&lt;&gt;""""), ""真實收入"",
  TRUE, ""其他""
)"),"其他")</f>
        <v>其他</v>
      </c>
      <c r="K10621" s="270" t="str">
        <f t="shared" si="2"/>
        <v/>
      </c>
      <c r="L10621">
        <f t="shared" si="3"/>
        <v>0</v>
      </c>
    </row>
    <row r="10622">
      <c r="A10622" s="107"/>
      <c r="D10622" s="270"/>
      <c r="H10622" s="106" t="str">
        <f t="shared" si="1"/>
        <v/>
      </c>
      <c r="J10622" t="str">
        <f>IFERROR(__xludf.DUMMYFUNCTION("IFS(
  AND(REGEXMATCH(E10622, ""台銀籌備帳戶|玉山帳戶""), REGEXMATCH(C10622, ""薪資"")), ""分潤支出"",
  AND(REGEXMATCH(E10622, ""Ben帳戶|Elsa帳戶|Ben代墊|Ariel代墊|中信銀行共用""), REGEXMATCH(F10622, ""Ben帳戶|Elsa帳戶|Ben代墊|Ariel代墊|中信銀行共用"")), ""內部轉帳(忽略)"",
  AND(E10622&lt;&gt;"""", F10622&lt;&gt;"&amp;""""", NOT(REGEXMATCH(C10622, ""薪資""))), ""內部轉帳(忽略)"",
  REGEXMATCH(C10622, ""薪資""), ""薪資變動(不計入)"",
  REGEXMATCH(C10622, ""押金""), ""押金往來"",
  AND(E10622&lt;&gt;"""", F10622=""""), ""真實支出"",
  AND(E10622="""", F10622&lt;&gt;""""), ""真實收入"",
  TRUE, ""其他""
)"),"其他")</f>
        <v>其他</v>
      </c>
      <c r="K10622" s="270" t="str">
        <f t="shared" si="2"/>
        <v/>
      </c>
      <c r="L10622">
        <f t="shared" si="3"/>
        <v>0</v>
      </c>
    </row>
    <row r="10623">
      <c r="A10623" s="107"/>
      <c r="D10623" s="270"/>
      <c r="H10623" s="106" t="str">
        <f t="shared" si="1"/>
        <v/>
      </c>
      <c r="J10623" t="str">
        <f>IFERROR(__xludf.DUMMYFUNCTION("IFS(
  AND(REGEXMATCH(E10623, ""台銀籌備帳戶|玉山帳戶""), REGEXMATCH(C10623, ""薪資"")), ""分潤支出"",
  AND(REGEXMATCH(E10623, ""Ben帳戶|Elsa帳戶|Ben代墊|Ariel代墊|中信銀行共用""), REGEXMATCH(F10623, ""Ben帳戶|Elsa帳戶|Ben代墊|Ariel代墊|中信銀行共用"")), ""內部轉帳(忽略)"",
  AND(E10623&lt;&gt;"""", F10623&lt;&gt;"&amp;""""", NOT(REGEXMATCH(C10623, ""薪資""))), ""內部轉帳(忽略)"",
  REGEXMATCH(C10623, ""薪資""), ""薪資變動(不計入)"",
  REGEXMATCH(C10623, ""押金""), ""押金往來"",
  AND(E10623&lt;&gt;"""", F10623=""""), ""真實支出"",
  AND(E10623="""", F10623&lt;&gt;""""), ""真實收入"",
  TRUE, ""其他""
)"),"其他")</f>
        <v>其他</v>
      </c>
      <c r="K10623" s="270" t="str">
        <f t="shared" si="2"/>
        <v/>
      </c>
      <c r="L10623">
        <f t="shared" si="3"/>
        <v>0</v>
      </c>
    </row>
    <row r="10624">
      <c r="A10624" s="107"/>
      <c r="D10624" s="270"/>
      <c r="H10624" s="106" t="str">
        <f t="shared" si="1"/>
        <v/>
      </c>
      <c r="J10624" t="str">
        <f>IFERROR(__xludf.DUMMYFUNCTION("IFS(
  AND(REGEXMATCH(E10624, ""台銀籌備帳戶|玉山帳戶""), REGEXMATCH(C10624, ""薪資"")), ""分潤支出"",
  AND(REGEXMATCH(E10624, ""Ben帳戶|Elsa帳戶|Ben代墊|Ariel代墊|中信銀行共用""), REGEXMATCH(F10624, ""Ben帳戶|Elsa帳戶|Ben代墊|Ariel代墊|中信銀行共用"")), ""內部轉帳(忽略)"",
  AND(E10624&lt;&gt;"""", F10624&lt;&gt;"&amp;""""", NOT(REGEXMATCH(C10624, ""薪資""))), ""內部轉帳(忽略)"",
  REGEXMATCH(C10624, ""薪資""), ""薪資變動(不計入)"",
  REGEXMATCH(C10624, ""押金""), ""押金往來"",
  AND(E10624&lt;&gt;"""", F10624=""""), ""真實支出"",
  AND(E10624="""", F10624&lt;&gt;""""), ""真實收入"",
  TRUE, ""其他""
)"),"其他")</f>
        <v>其他</v>
      </c>
      <c r="K10624" s="270" t="str">
        <f t="shared" si="2"/>
        <v/>
      </c>
      <c r="L10624">
        <f t="shared" si="3"/>
        <v>0</v>
      </c>
    </row>
    <row r="10625">
      <c r="A10625" s="107"/>
      <c r="D10625" s="270"/>
      <c r="H10625" s="106" t="str">
        <f t="shared" si="1"/>
        <v/>
      </c>
      <c r="J10625" t="str">
        <f>IFERROR(__xludf.DUMMYFUNCTION("IFS(
  AND(REGEXMATCH(E10625, ""台銀籌備帳戶|玉山帳戶""), REGEXMATCH(C10625, ""薪資"")), ""分潤支出"",
  AND(REGEXMATCH(E10625, ""Ben帳戶|Elsa帳戶|Ben代墊|Ariel代墊|中信銀行共用""), REGEXMATCH(F10625, ""Ben帳戶|Elsa帳戶|Ben代墊|Ariel代墊|中信銀行共用"")), ""內部轉帳(忽略)"",
  AND(E10625&lt;&gt;"""", F10625&lt;&gt;"&amp;""""", NOT(REGEXMATCH(C10625, ""薪資""))), ""內部轉帳(忽略)"",
  REGEXMATCH(C10625, ""薪資""), ""薪資變動(不計入)"",
  REGEXMATCH(C10625, ""押金""), ""押金往來"",
  AND(E10625&lt;&gt;"""", F10625=""""), ""真實支出"",
  AND(E10625="""", F10625&lt;&gt;""""), ""真實收入"",
  TRUE, ""其他""
)"),"其他")</f>
        <v>其他</v>
      </c>
      <c r="K10625" s="270" t="str">
        <f t="shared" si="2"/>
        <v/>
      </c>
      <c r="L10625">
        <f t="shared" si="3"/>
        <v>0</v>
      </c>
    </row>
    <row r="10626">
      <c r="A10626" s="107"/>
      <c r="D10626" s="270"/>
      <c r="H10626" s="106" t="str">
        <f t="shared" si="1"/>
        <v/>
      </c>
      <c r="J10626" t="str">
        <f>IFERROR(__xludf.DUMMYFUNCTION("IFS(
  AND(REGEXMATCH(E10626, ""台銀籌備帳戶|玉山帳戶""), REGEXMATCH(C10626, ""薪資"")), ""分潤支出"",
  AND(REGEXMATCH(E10626, ""Ben帳戶|Elsa帳戶|Ben代墊|Ariel代墊|中信銀行共用""), REGEXMATCH(F10626, ""Ben帳戶|Elsa帳戶|Ben代墊|Ariel代墊|中信銀行共用"")), ""內部轉帳(忽略)"",
  AND(E10626&lt;&gt;"""", F10626&lt;&gt;"&amp;""""", NOT(REGEXMATCH(C10626, ""薪資""))), ""內部轉帳(忽略)"",
  REGEXMATCH(C10626, ""薪資""), ""薪資變動(不計入)"",
  REGEXMATCH(C10626, ""押金""), ""押金往來"",
  AND(E10626&lt;&gt;"""", F10626=""""), ""真實支出"",
  AND(E10626="""", F10626&lt;&gt;""""), ""真實收入"",
  TRUE, ""其他""
)"),"其他")</f>
        <v>其他</v>
      </c>
      <c r="K10626" s="270" t="str">
        <f t="shared" si="2"/>
        <v/>
      </c>
      <c r="L10626">
        <f t="shared" si="3"/>
        <v>0</v>
      </c>
    </row>
    <row r="10627">
      <c r="A10627" s="107"/>
      <c r="D10627" s="270"/>
      <c r="H10627" s="106" t="str">
        <f t="shared" si="1"/>
        <v/>
      </c>
      <c r="J10627" t="str">
        <f>IFERROR(__xludf.DUMMYFUNCTION("IFS(
  AND(REGEXMATCH(E10627, ""台銀籌備帳戶|玉山帳戶""), REGEXMATCH(C10627, ""薪資"")), ""分潤支出"",
  AND(REGEXMATCH(E10627, ""Ben帳戶|Elsa帳戶|Ben代墊|Ariel代墊|中信銀行共用""), REGEXMATCH(F10627, ""Ben帳戶|Elsa帳戶|Ben代墊|Ariel代墊|中信銀行共用"")), ""內部轉帳(忽略)"",
  AND(E10627&lt;&gt;"""", F10627&lt;&gt;"&amp;""""", NOT(REGEXMATCH(C10627, ""薪資""))), ""內部轉帳(忽略)"",
  REGEXMATCH(C10627, ""薪資""), ""薪資變動(不計入)"",
  REGEXMATCH(C10627, ""押金""), ""押金往來"",
  AND(E10627&lt;&gt;"""", F10627=""""), ""真實支出"",
  AND(E10627="""", F10627&lt;&gt;""""), ""真實收入"",
  TRUE, ""其他""
)"),"其他")</f>
        <v>其他</v>
      </c>
      <c r="K10627" s="270" t="str">
        <f t="shared" si="2"/>
        <v/>
      </c>
      <c r="L10627">
        <f t="shared" si="3"/>
        <v>0</v>
      </c>
    </row>
    <row r="10628">
      <c r="A10628" s="107"/>
      <c r="D10628" s="270"/>
      <c r="H10628" s="106" t="str">
        <f t="shared" si="1"/>
        <v/>
      </c>
      <c r="J10628" t="str">
        <f>IFERROR(__xludf.DUMMYFUNCTION("IFS(
  AND(REGEXMATCH(E10628, ""台銀籌備帳戶|玉山帳戶""), REGEXMATCH(C10628, ""薪資"")), ""分潤支出"",
  AND(REGEXMATCH(E10628, ""Ben帳戶|Elsa帳戶|Ben代墊|Ariel代墊|中信銀行共用""), REGEXMATCH(F10628, ""Ben帳戶|Elsa帳戶|Ben代墊|Ariel代墊|中信銀行共用"")), ""內部轉帳(忽略)"",
  AND(E10628&lt;&gt;"""", F10628&lt;&gt;"&amp;""""", NOT(REGEXMATCH(C10628, ""薪資""))), ""內部轉帳(忽略)"",
  REGEXMATCH(C10628, ""薪資""), ""薪資變動(不計入)"",
  REGEXMATCH(C10628, ""押金""), ""押金往來"",
  AND(E10628&lt;&gt;"""", F10628=""""), ""真實支出"",
  AND(E10628="""", F10628&lt;&gt;""""), ""真實收入"",
  TRUE, ""其他""
)"),"其他")</f>
        <v>其他</v>
      </c>
      <c r="K10628" s="270" t="str">
        <f t="shared" si="2"/>
        <v/>
      </c>
      <c r="L10628">
        <f t="shared" si="3"/>
        <v>0</v>
      </c>
    </row>
    <row r="10629">
      <c r="A10629" s="107"/>
      <c r="D10629" s="270"/>
      <c r="H10629" s="106" t="str">
        <f t="shared" si="1"/>
        <v/>
      </c>
      <c r="J10629" t="str">
        <f>IFERROR(__xludf.DUMMYFUNCTION("IFS(
  AND(REGEXMATCH(E10629, ""台銀籌備帳戶|玉山帳戶""), REGEXMATCH(C10629, ""薪資"")), ""分潤支出"",
  AND(REGEXMATCH(E10629, ""Ben帳戶|Elsa帳戶|Ben代墊|Ariel代墊|中信銀行共用""), REGEXMATCH(F10629, ""Ben帳戶|Elsa帳戶|Ben代墊|Ariel代墊|中信銀行共用"")), ""內部轉帳(忽略)"",
  AND(E10629&lt;&gt;"""", F10629&lt;&gt;"&amp;""""", NOT(REGEXMATCH(C10629, ""薪資""))), ""內部轉帳(忽略)"",
  REGEXMATCH(C10629, ""薪資""), ""薪資變動(不計入)"",
  REGEXMATCH(C10629, ""押金""), ""押金往來"",
  AND(E10629&lt;&gt;"""", F10629=""""), ""真實支出"",
  AND(E10629="""", F10629&lt;&gt;""""), ""真實收入"",
  TRUE, ""其他""
)"),"其他")</f>
        <v>其他</v>
      </c>
      <c r="K10629" s="270" t="str">
        <f t="shared" si="2"/>
        <v/>
      </c>
      <c r="L10629">
        <f t="shared" si="3"/>
        <v>0</v>
      </c>
    </row>
    <row r="10630">
      <c r="A10630" s="107"/>
      <c r="D10630" s="270"/>
      <c r="H10630" s="106" t="str">
        <f t="shared" si="1"/>
        <v/>
      </c>
      <c r="J10630" t="str">
        <f>IFERROR(__xludf.DUMMYFUNCTION("IFS(
  AND(REGEXMATCH(E10630, ""台銀籌備帳戶|玉山帳戶""), REGEXMATCH(C10630, ""薪資"")), ""分潤支出"",
  AND(REGEXMATCH(E10630, ""Ben帳戶|Elsa帳戶|Ben代墊|Ariel代墊|中信銀行共用""), REGEXMATCH(F10630, ""Ben帳戶|Elsa帳戶|Ben代墊|Ariel代墊|中信銀行共用"")), ""內部轉帳(忽略)"",
  AND(E10630&lt;&gt;"""", F10630&lt;&gt;"&amp;""""", NOT(REGEXMATCH(C10630, ""薪資""))), ""內部轉帳(忽略)"",
  REGEXMATCH(C10630, ""薪資""), ""薪資變動(不計入)"",
  REGEXMATCH(C10630, ""押金""), ""押金往來"",
  AND(E10630&lt;&gt;"""", F10630=""""), ""真實支出"",
  AND(E10630="""", F10630&lt;&gt;""""), ""真實收入"",
  TRUE, ""其他""
)"),"其他")</f>
        <v>其他</v>
      </c>
      <c r="K10630" s="270" t="str">
        <f t="shared" si="2"/>
        <v/>
      </c>
      <c r="L10630">
        <f t="shared" si="3"/>
        <v>0</v>
      </c>
    </row>
    <row r="10631">
      <c r="A10631" s="107"/>
      <c r="D10631" s="270"/>
      <c r="H10631" s="106" t="str">
        <f t="shared" si="1"/>
        <v/>
      </c>
      <c r="J10631" t="str">
        <f>IFERROR(__xludf.DUMMYFUNCTION("IFS(
  AND(REGEXMATCH(E10631, ""台銀籌備帳戶|玉山帳戶""), REGEXMATCH(C10631, ""薪資"")), ""分潤支出"",
  AND(REGEXMATCH(E10631, ""Ben帳戶|Elsa帳戶|Ben代墊|Ariel代墊|中信銀行共用""), REGEXMATCH(F10631, ""Ben帳戶|Elsa帳戶|Ben代墊|Ariel代墊|中信銀行共用"")), ""內部轉帳(忽略)"",
  AND(E10631&lt;&gt;"""", F10631&lt;&gt;"&amp;""""", NOT(REGEXMATCH(C10631, ""薪資""))), ""內部轉帳(忽略)"",
  REGEXMATCH(C10631, ""薪資""), ""薪資變動(不計入)"",
  REGEXMATCH(C10631, ""押金""), ""押金往來"",
  AND(E10631&lt;&gt;"""", F10631=""""), ""真實支出"",
  AND(E10631="""", F10631&lt;&gt;""""), ""真實收入"",
  TRUE, ""其他""
)"),"其他")</f>
        <v>其他</v>
      </c>
      <c r="K10631" s="270" t="str">
        <f t="shared" si="2"/>
        <v/>
      </c>
      <c r="L10631">
        <f t="shared" si="3"/>
        <v>0</v>
      </c>
    </row>
    <row r="10632">
      <c r="A10632" s="107"/>
      <c r="D10632" s="270"/>
      <c r="H10632" s="106" t="str">
        <f t="shared" si="1"/>
        <v/>
      </c>
      <c r="J10632" t="str">
        <f>IFERROR(__xludf.DUMMYFUNCTION("IFS(
  AND(REGEXMATCH(E10632, ""台銀籌備帳戶|玉山帳戶""), REGEXMATCH(C10632, ""薪資"")), ""分潤支出"",
  AND(REGEXMATCH(E10632, ""Ben帳戶|Elsa帳戶|Ben代墊|Ariel代墊|中信銀行共用""), REGEXMATCH(F10632, ""Ben帳戶|Elsa帳戶|Ben代墊|Ariel代墊|中信銀行共用"")), ""內部轉帳(忽略)"",
  AND(E10632&lt;&gt;"""", F10632&lt;&gt;"&amp;""""", NOT(REGEXMATCH(C10632, ""薪資""))), ""內部轉帳(忽略)"",
  REGEXMATCH(C10632, ""薪資""), ""薪資變動(不計入)"",
  REGEXMATCH(C10632, ""押金""), ""押金往來"",
  AND(E10632&lt;&gt;"""", F10632=""""), ""真實支出"",
  AND(E10632="""", F10632&lt;&gt;""""), ""真實收入"",
  TRUE, ""其他""
)"),"其他")</f>
        <v>其他</v>
      </c>
      <c r="K10632" s="270" t="str">
        <f t="shared" si="2"/>
        <v/>
      </c>
      <c r="L10632">
        <f t="shared" si="3"/>
        <v>0</v>
      </c>
    </row>
    <row r="10633">
      <c r="A10633" s="107"/>
      <c r="D10633" s="270"/>
      <c r="H10633" s="106" t="str">
        <f t="shared" si="1"/>
        <v/>
      </c>
      <c r="J10633" t="str">
        <f>IFERROR(__xludf.DUMMYFUNCTION("IFS(
  AND(REGEXMATCH(E10633, ""台銀籌備帳戶|玉山帳戶""), REGEXMATCH(C10633, ""薪資"")), ""分潤支出"",
  AND(REGEXMATCH(E10633, ""Ben帳戶|Elsa帳戶|Ben代墊|Ariel代墊|中信銀行共用""), REGEXMATCH(F10633, ""Ben帳戶|Elsa帳戶|Ben代墊|Ariel代墊|中信銀行共用"")), ""內部轉帳(忽略)"",
  AND(E10633&lt;&gt;"""", F10633&lt;&gt;"&amp;""""", NOT(REGEXMATCH(C10633, ""薪資""))), ""內部轉帳(忽略)"",
  REGEXMATCH(C10633, ""薪資""), ""薪資變動(不計入)"",
  REGEXMATCH(C10633, ""押金""), ""押金往來"",
  AND(E10633&lt;&gt;"""", F10633=""""), ""真實支出"",
  AND(E10633="""", F10633&lt;&gt;""""), ""真實收入"",
  TRUE, ""其他""
)"),"其他")</f>
        <v>其他</v>
      </c>
      <c r="K10633" s="270" t="str">
        <f t="shared" si="2"/>
        <v/>
      </c>
      <c r="L10633">
        <f t="shared" si="3"/>
        <v>0</v>
      </c>
    </row>
    <row r="10634">
      <c r="A10634" s="107"/>
      <c r="D10634" s="270"/>
      <c r="H10634" s="106" t="str">
        <f t="shared" si="1"/>
        <v/>
      </c>
      <c r="J10634" t="str">
        <f>IFERROR(__xludf.DUMMYFUNCTION("IFS(
  AND(REGEXMATCH(E10634, ""台銀籌備帳戶|玉山帳戶""), REGEXMATCH(C10634, ""薪資"")), ""分潤支出"",
  AND(REGEXMATCH(E10634, ""Ben帳戶|Elsa帳戶|Ben代墊|Ariel代墊|中信銀行共用""), REGEXMATCH(F10634, ""Ben帳戶|Elsa帳戶|Ben代墊|Ariel代墊|中信銀行共用"")), ""內部轉帳(忽略)"",
  AND(E10634&lt;&gt;"""", F10634&lt;&gt;"&amp;""""", NOT(REGEXMATCH(C10634, ""薪資""))), ""內部轉帳(忽略)"",
  REGEXMATCH(C10634, ""薪資""), ""薪資變動(不計入)"",
  REGEXMATCH(C10634, ""押金""), ""押金往來"",
  AND(E10634&lt;&gt;"""", F10634=""""), ""真實支出"",
  AND(E10634="""", F10634&lt;&gt;""""), ""真實收入"",
  TRUE, ""其他""
)"),"其他")</f>
        <v>其他</v>
      </c>
      <c r="K10634" s="270" t="str">
        <f t="shared" si="2"/>
        <v/>
      </c>
      <c r="L10634">
        <f t="shared" si="3"/>
        <v>0</v>
      </c>
    </row>
    <row r="10635">
      <c r="A10635" s="107"/>
      <c r="D10635" s="270"/>
      <c r="H10635" s="106" t="str">
        <f t="shared" si="1"/>
        <v/>
      </c>
      <c r="J10635" t="str">
        <f>IFERROR(__xludf.DUMMYFUNCTION("IFS(
  AND(REGEXMATCH(E10635, ""台銀籌備帳戶|玉山帳戶""), REGEXMATCH(C10635, ""薪資"")), ""分潤支出"",
  AND(REGEXMATCH(E10635, ""Ben帳戶|Elsa帳戶|Ben代墊|Ariel代墊|中信銀行共用""), REGEXMATCH(F10635, ""Ben帳戶|Elsa帳戶|Ben代墊|Ariel代墊|中信銀行共用"")), ""內部轉帳(忽略)"",
  AND(E10635&lt;&gt;"""", F10635&lt;&gt;"&amp;""""", NOT(REGEXMATCH(C10635, ""薪資""))), ""內部轉帳(忽略)"",
  REGEXMATCH(C10635, ""薪資""), ""薪資變動(不計入)"",
  REGEXMATCH(C10635, ""押金""), ""押金往來"",
  AND(E10635&lt;&gt;"""", F10635=""""), ""真實支出"",
  AND(E10635="""", F10635&lt;&gt;""""), ""真實收入"",
  TRUE, ""其他""
)"),"其他")</f>
        <v>其他</v>
      </c>
      <c r="K10635" s="270" t="str">
        <f t="shared" si="2"/>
        <v/>
      </c>
      <c r="L10635">
        <f t="shared" si="3"/>
        <v>0</v>
      </c>
    </row>
    <row r="10636">
      <c r="A10636" s="107"/>
      <c r="D10636" s="270"/>
      <c r="H10636" s="106" t="str">
        <f t="shared" si="1"/>
        <v/>
      </c>
      <c r="J10636" t="str">
        <f>IFERROR(__xludf.DUMMYFUNCTION("IFS(
  AND(REGEXMATCH(E10636, ""台銀籌備帳戶|玉山帳戶""), REGEXMATCH(C10636, ""薪資"")), ""分潤支出"",
  AND(REGEXMATCH(E10636, ""Ben帳戶|Elsa帳戶|Ben代墊|Ariel代墊|中信銀行共用""), REGEXMATCH(F10636, ""Ben帳戶|Elsa帳戶|Ben代墊|Ariel代墊|中信銀行共用"")), ""內部轉帳(忽略)"",
  AND(E10636&lt;&gt;"""", F10636&lt;&gt;"&amp;""""", NOT(REGEXMATCH(C10636, ""薪資""))), ""內部轉帳(忽略)"",
  REGEXMATCH(C10636, ""薪資""), ""薪資變動(不計入)"",
  REGEXMATCH(C10636, ""押金""), ""押金往來"",
  AND(E10636&lt;&gt;"""", F10636=""""), ""真實支出"",
  AND(E10636="""", F10636&lt;&gt;""""), ""真實收入"",
  TRUE, ""其他""
)"),"其他")</f>
        <v>其他</v>
      </c>
      <c r="K10636" s="270" t="str">
        <f t="shared" si="2"/>
        <v/>
      </c>
      <c r="L10636">
        <f t="shared" si="3"/>
        <v>0</v>
      </c>
    </row>
    <row r="10637">
      <c r="A10637" s="107"/>
      <c r="D10637" s="270"/>
      <c r="H10637" s="106" t="str">
        <f t="shared" si="1"/>
        <v/>
      </c>
      <c r="J10637" t="str">
        <f>IFERROR(__xludf.DUMMYFUNCTION("IFS(
  AND(REGEXMATCH(E10637, ""台銀籌備帳戶|玉山帳戶""), REGEXMATCH(C10637, ""薪資"")), ""分潤支出"",
  AND(REGEXMATCH(E10637, ""Ben帳戶|Elsa帳戶|Ben代墊|Ariel代墊|中信銀行共用""), REGEXMATCH(F10637, ""Ben帳戶|Elsa帳戶|Ben代墊|Ariel代墊|中信銀行共用"")), ""內部轉帳(忽略)"",
  AND(E10637&lt;&gt;"""", F10637&lt;&gt;"&amp;""""", NOT(REGEXMATCH(C10637, ""薪資""))), ""內部轉帳(忽略)"",
  REGEXMATCH(C10637, ""薪資""), ""薪資變動(不計入)"",
  REGEXMATCH(C10637, ""押金""), ""押金往來"",
  AND(E10637&lt;&gt;"""", F10637=""""), ""真實支出"",
  AND(E10637="""", F10637&lt;&gt;""""), ""真實收入"",
  TRUE, ""其他""
)"),"其他")</f>
        <v>其他</v>
      </c>
      <c r="K10637" s="270" t="str">
        <f t="shared" si="2"/>
        <v/>
      </c>
      <c r="L10637">
        <f t="shared" si="3"/>
        <v>0</v>
      </c>
    </row>
    <row r="10638">
      <c r="A10638" s="107"/>
      <c r="D10638" s="270"/>
      <c r="H10638" s="106" t="str">
        <f t="shared" si="1"/>
        <v/>
      </c>
      <c r="J10638" t="str">
        <f>IFERROR(__xludf.DUMMYFUNCTION("IFS(
  AND(REGEXMATCH(E10638, ""台銀籌備帳戶|玉山帳戶""), REGEXMATCH(C10638, ""薪資"")), ""分潤支出"",
  AND(REGEXMATCH(E10638, ""Ben帳戶|Elsa帳戶|Ben代墊|Ariel代墊|中信銀行共用""), REGEXMATCH(F10638, ""Ben帳戶|Elsa帳戶|Ben代墊|Ariel代墊|中信銀行共用"")), ""內部轉帳(忽略)"",
  AND(E10638&lt;&gt;"""", F10638&lt;&gt;"&amp;""""", NOT(REGEXMATCH(C10638, ""薪資""))), ""內部轉帳(忽略)"",
  REGEXMATCH(C10638, ""薪資""), ""薪資變動(不計入)"",
  REGEXMATCH(C10638, ""押金""), ""押金往來"",
  AND(E10638&lt;&gt;"""", F10638=""""), ""真實支出"",
  AND(E10638="""", F10638&lt;&gt;""""), ""真實收入"",
  TRUE, ""其他""
)"),"其他")</f>
        <v>其他</v>
      </c>
      <c r="K10638" s="270" t="str">
        <f t="shared" si="2"/>
        <v/>
      </c>
      <c r="L10638">
        <f t="shared" si="3"/>
        <v>0</v>
      </c>
    </row>
    <row r="10639">
      <c r="A10639" s="107"/>
      <c r="D10639" s="270"/>
      <c r="H10639" s="106" t="str">
        <f t="shared" si="1"/>
        <v/>
      </c>
      <c r="J10639" t="str">
        <f>IFERROR(__xludf.DUMMYFUNCTION("IFS(
  AND(REGEXMATCH(E10639, ""台銀籌備帳戶|玉山帳戶""), REGEXMATCH(C10639, ""薪資"")), ""分潤支出"",
  AND(REGEXMATCH(E10639, ""Ben帳戶|Elsa帳戶|Ben代墊|Ariel代墊|中信銀行共用""), REGEXMATCH(F10639, ""Ben帳戶|Elsa帳戶|Ben代墊|Ariel代墊|中信銀行共用"")), ""內部轉帳(忽略)"",
  AND(E10639&lt;&gt;"""", F10639&lt;&gt;"&amp;""""", NOT(REGEXMATCH(C10639, ""薪資""))), ""內部轉帳(忽略)"",
  REGEXMATCH(C10639, ""薪資""), ""薪資變動(不計入)"",
  REGEXMATCH(C10639, ""押金""), ""押金往來"",
  AND(E10639&lt;&gt;"""", F10639=""""), ""真實支出"",
  AND(E10639="""", F10639&lt;&gt;""""), ""真實收入"",
  TRUE, ""其他""
)"),"其他")</f>
        <v>其他</v>
      </c>
      <c r="K10639" s="270" t="str">
        <f t="shared" si="2"/>
        <v/>
      </c>
      <c r="L10639">
        <f t="shared" si="3"/>
        <v>0</v>
      </c>
    </row>
    <row r="10640">
      <c r="A10640" s="107"/>
      <c r="D10640" s="270"/>
      <c r="H10640" s="106" t="str">
        <f t="shared" si="1"/>
        <v/>
      </c>
      <c r="J10640" t="str">
        <f>IFERROR(__xludf.DUMMYFUNCTION("IFS(
  AND(REGEXMATCH(E10640, ""台銀籌備帳戶|玉山帳戶""), REGEXMATCH(C10640, ""薪資"")), ""分潤支出"",
  AND(REGEXMATCH(E10640, ""Ben帳戶|Elsa帳戶|Ben代墊|Ariel代墊|中信銀行共用""), REGEXMATCH(F10640, ""Ben帳戶|Elsa帳戶|Ben代墊|Ariel代墊|中信銀行共用"")), ""內部轉帳(忽略)"",
  AND(E10640&lt;&gt;"""", F10640&lt;&gt;"&amp;""""", NOT(REGEXMATCH(C10640, ""薪資""))), ""內部轉帳(忽略)"",
  REGEXMATCH(C10640, ""薪資""), ""薪資變動(不計入)"",
  REGEXMATCH(C10640, ""押金""), ""押金往來"",
  AND(E10640&lt;&gt;"""", F10640=""""), ""真實支出"",
  AND(E10640="""", F10640&lt;&gt;""""), ""真實收入"",
  TRUE, ""其他""
)"),"其他")</f>
        <v>其他</v>
      </c>
      <c r="K10640" s="270" t="str">
        <f t="shared" si="2"/>
        <v/>
      </c>
      <c r="L10640">
        <f t="shared" si="3"/>
        <v>0</v>
      </c>
    </row>
    <row r="10641">
      <c r="A10641" s="107"/>
      <c r="D10641" s="270"/>
      <c r="H10641" s="106" t="str">
        <f t="shared" si="1"/>
        <v/>
      </c>
      <c r="J10641" t="str">
        <f>IFERROR(__xludf.DUMMYFUNCTION("IFS(
  AND(REGEXMATCH(E10641, ""台銀籌備帳戶|玉山帳戶""), REGEXMATCH(C10641, ""薪資"")), ""分潤支出"",
  AND(REGEXMATCH(E10641, ""Ben帳戶|Elsa帳戶|Ben代墊|Ariel代墊|中信銀行共用""), REGEXMATCH(F10641, ""Ben帳戶|Elsa帳戶|Ben代墊|Ariel代墊|中信銀行共用"")), ""內部轉帳(忽略)"",
  AND(E10641&lt;&gt;"""", F10641&lt;&gt;"&amp;""""", NOT(REGEXMATCH(C10641, ""薪資""))), ""內部轉帳(忽略)"",
  REGEXMATCH(C10641, ""薪資""), ""薪資變動(不計入)"",
  REGEXMATCH(C10641, ""押金""), ""押金往來"",
  AND(E10641&lt;&gt;"""", F10641=""""), ""真實支出"",
  AND(E10641="""", F10641&lt;&gt;""""), ""真實收入"",
  TRUE, ""其他""
)"),"其他")</f>
        <v>其他</v>
      </c>
      <c r="K10641" s="270" t="str">
        <f t="shared" si="2"/>
        <v/>
      </c>
      <c r="L10641">
        <f t="shared" si="3"/>
        <v>0</v>
      </c>
    </row>
    <row r="10642">
      <c r="A10642" s="107"/>
      <c r="D10642" s="270"/>
      <c r="H10642" s="106" t="str">
        <f t="shared" si="1"/>
        <v/>
      </c>
      <c r="J10642" t="str">
        <f>IFERROR(__xludf.DUMMYFUNCTION("IFS(
  AND(REGEXMATCH(E10642, ""台銀籌備帳戶|玉山帳戶""), REGEXMATCH(C10642, ""薪資"")), ""分潤支出"",
  AND(REGEXMATCH(E10642, ""Ben帳戶|Elsa帳戶|Ben代墊|Ariel代墊|中信銀行共用""), REGEXMATCH(F10642, ""Ben帳戶|Elsa帳戶|Ben代墊|Ariel代墊|中信銀行共用"")), ""內部轉帳(忽略)"",
  AND(E10642&lt;&gt;"""", F10642&lt;&gt;"&amp;""""", NOT(REGEXMATCH(C10642, ""薪資""))), ""內部轉帳(忽略)"",
  REGEXMATCH(C10642, ""薪資""), ""薪資變動(不計入)"",
  REGEXMATCH(C10642, ""押金""), ""押金往來"",
  AND(E10642&lt;&gt;"""", F10642=""""), ""真實支出"",
  AND(E10642="""", F10642&lt;&gt;""""), ""真實收入"",
  TRUE, ""其他""
)"),"其他")</f>
        <v>其他</v>
      </c>
      <c r="K10642" s="270" t="str">
        <f t="shared" si="2"/>
        <v/>
      </c>
      <c r="L10642">
        <f t="shared" si="3"/>
        <v>0</v>
      </c>
    </row>
    <row r="10643">
      <c r="A10643" s="107"/>
      <c r="D10643" s="270"/>
      <c r="H10643" s="106" t="str">
        <f t="shared" si="1"/>
        <v/>
      </c>
      <c r="J10643" t="str">
        <f>IFERROR(__xludf.DUMMYFUNCTION("IFS(
  AND(REGEXMATCH(E10643, ""台銀籌備帳戶|玉山帳戶""), REGEXMATCH(C10643, ""薪資"")), ""分潤支出"",
  AND(REGEXMATCH(E10643, ""Ben帳戶|Elsa帳戶|Ben代墊|Ariel代墊|中信銀行共用""), REGEXMATCH(F10643, ""Ben帳戶|Elsa帳戶|Ben代墊|Ariel代墊|中信銀行共用"")), ""內部轉帳(忽略)"",
  AND(E10643&lt;&gt;"""", F10643&lt;&gt;"&amp;""""", NOT(REGEXMATCH(C10643, ""薪資""))), ""內部轉帳(忽略)"",
  REGEXMATCH(C10643, ""薪資""), ""薪資變動(不計入)"",
  REGEXMATCH(C10643, ""押金""), ""押金往來"",
  AND(E10643&lt;&gt;"""", F10643=""""), ""真實支出"",
  AND(E10643="""", F10643&lt;&gt;""""), ""真實收入"",
  TRUE, ""其他""
)"),"其他")</f>
        <v>其他</v>
      </c>
      <c r="K10643" s="270" t="str">
        <f t="shared" si="2"/>
        <v/>
      </c>
      <c r="L10643">
        <f t="shared" si="3"/>
        <v>0</v>
      </c>
    </row>
    <row r="10644">
      <c r="A10644" s="107"/>
      <c r="D10644" s="270"/>
      <c r="H10644" s="106" t="str">
        <f t="shared" si="1"/>
        <v/>
      </c>
      <c r="J10644" t="str">
        <f>IFERROR(__xludf.DUMMYFUNCTION("IFS(
  AND(REGEXMATCH(E10644, ""台銀籌備帳戶|玉山帳戶""), REGEXMATCH(C10644, ""薪資"")), ""分潤支出"",
  AND(REGEXMATCH(E10644, ""Ben帳戶|Elsa帳戶|Ben代墊|Ariel代墊|中信銀行共用""), REGEXMATCH(F10644, ""Ben帳戶|Elsa帳戶|Ben代墊|Ariel代墊|中信銀行共用"")), ""內部轉帳(忽略)"",
  AND(E10644&lt;&gt;"""", F10644&lt;&gt;"&amp;""""", NOT(REGEXMATCH(C10644, ""薪資""))), ""內部轉帳(忽略)"",
  REGEXMATCH(C10644, ""薪資""), ""薪資變動(不計入)"",
  REGEXMATCH(C10644, ""押金""), ""押金往來"",
  AND(E10644&lt;&gt;"""", F10644=""""), ""真實支出"",
  AND(E10644="""", F10644&lt;&gt;""""), ""真實收入"",
  TRUE, ""其他""
)"),"其他")</f>
        <v>其他</v>
      </c>
      <c r="K10644" s="270" t="str">
        <f t="shared" si="2"/>
        <v/>
      </c>
      <c r="L10644">
        <f t="shared" si="3"/>
        <v>0</v>
      </c>
    </row>
    <row r="10645">
      <c r="A10645" s="107"/>
      <c r="D10645" s="270"/>
      <c r="H10645" s="106" t="str">
        <f t="shared" si="1"/>
        <v/>
      </c>
      <c r="J10645" t="str">
        <f>IFERROR(__xludf.DUMMYFUNCTION("IFS(
  AND(REGEXMATCH(E10645, ""台銀籌備帳戶|玉山帳戶""), REGEXMATCH(C10645, ""薪資"")), ""分潤支出"",
  AND(REGEXMATCH(E10645, ""Ben帳戶|Elsa帳戶|Ben代墊|Ariel代墊|中信銀行共用""), REGEXMATCH(F10645, ""Ben帳戶|Elsa帳戶|Ben代墊|Ariel代墊|中信銀行共用"")), ""內部轉帳(忽略)"",
  AND(E10645&lt;&gt;"""", F10645&lt;&gt;"&amp;""""", NOT(REGEXMATCH(C10645, ""薪資""))), ""內部轉帳(忽略)"",
  REGEXMATCH(C10645, ""薪資""), ""薪資變動(不計入)"",
  REGEXMATCH(C10645, ""押金""), ""押金往來"",
  AND(E10645&lt;&gt;"""", F10645=""""), ""真實支出"",
  AND(E10645="""", F10645&lt;&gt;""""), ""真實收入"",
  TRUE, ""其他""
)"),"其他")</f>
        <v>其他</v>
      </c>
      <c r="K10645" s="270" t="str">
        <f t="shared" si="2"/>
        <v/>
      </c>
      <c r="L10645">
        <f t="shared" si="3"/>
        <v>0</v>
      </c>
    </row>
    <row r="10646">
      <c r="A10646" s="107"/>
      <c r="D10646" s="270"/>
      <c r="H10646" s="106" t="str">
        <f t="shared" si="1"/>
        <v/>
      </c>
      <c r="J10646" t="str">
        <f>IFERROR(__xludf.DUMMYFUNCTION("IFS(
  AND(REGEXMATCH(E10646, ""台銀籌備帳戶|玉山帳戶""), REGEXMATCH(C10646, ""薪資"")), ""分潤支出"",
  AND(REGEXMATCH(E10646, ""Ben帳戶|Elsa帳戶|Ben代墊|Ariel代墊|中信銀行共用""), REGEXMATCH(F10646, ""Ben帳戶|Elsa帳戶|Ben代墊|Ariel代墊|中信銀行共用"")), ""內部轉帳(忽略)"",
  AND(E10646&lt;&gt;"""", F10646&lt;&gt;"&amp;""""", NOT(REGEXMATCH(C10646, ""薪資""))), ""內部轉帳(忽略)"",
  REGEXMATCH(C10646, ""薪資""), ""薪資變動(不計入)"",
  REGEXMATCH(C10646, ""押金""), ""押金往來"",
  AND(E10646&lt;&gt;"""", F10646=""""), ""真實支出"",
  AND(E10646="""", F10646&lt;&gt;""""), ""真實收入"",
  TRUE, ""其他""
)"),"其他")</f>
        <v>其他</v>
      </c>
      <c r="K10646" s="270" t="str">
        <f t="shared" si="2"/>
        <v/>
      </c>
      <c r="L10646">
        <f t="shared" si="3"/>
        <v>0</v>
      </c>
    </row>
    <row r="10647">
      <c r="A10647" s="107"/>
      <c r="D10647" s="270"/>
      <c r="H10647" s="106" t="str">
        <f t="shared" si="1"/>
        <v/>
      </c>
      <c r="J10647" t="str">
        <f>IFERROR(__xludf.DUMMYFUNCTION("IFS(
  AND(REGEXMATCH(E10647, ""台銀籌備帳戶|玉山帳戶""), REGEXMATCH(C10647, ""薪資"")), ""分潤支出"",
  AND(REGEXMATCH(E10647, ""Ben帳戶|Elsa帳戶|Ben代墊|Ariel代墊|中信銀行共用""), REGEXMATCH(F10647, ""Ben帳戶|Elsa帳戶|Ben代墊|Ariel代墊|中信銀行共用"")), ""內部轉帳(忽略)"",
  AND(E10647&lt;&gt;"""", F10647&lt;&gt;"&amp;""""", NOT(REGEXMATCH(C10647, ""薪資""))), ""內部轉帳(忽略)"",
  REGEXMATCH(C10647, ""薪資""), ""薪資變動(不計入)"",
  REGEXMATCH(C10647, ""押金""), ""押金往來"",
  AND(E10647&lt;&gt;"""", F10647=""""), ""真實支出"",
  AND(E10647="""", F10647&lt;&gt;""""), ""真實收入"",
  TRUE, ""其他""
)"),"其他")</f>
        <v>其他</v>
      </c>
      <c r="K10647" s="270" t="str">
        <f t="shared" si="2"/>
        <v/>
      </c>
      <c r="L10647">
        <f t="shared" si="3"/>
        <v>0</v>
      </c>
    </row>
    <row r="10648">
      <c r="A10648" s="107"/>
      <c r="D10648" s="270"/>
      <c r="H10648" s="106" t="str">
        <f t="shared" si="1"/>
        <v/>
      </c>
      <c r="J10648" t="str">
        <f>IFERROR(__xludf.DUMMYFUNCTION("IFS(
  AND(REGEXMATCH(E10648, ""台銀籌備帳戶|玉山帳戶""), REGEXMATCH(C10648, ""薪資"")), ""分潤支出"",
  AND(REGEXMATCH(E10648, ""Ben帳戶|Elsa帳戶|Ben代墊|Ariel代墊|中信銀行共用""), REGEXMATCH(F10648, ""Ben帳戶|Elsa帳戶|Ben代墊|Ariel代墊|中信銀行共用"")), ""內部轉帳(忽略)"",
  AND(E10648&lt;&gt;"""", F10648&lt;&gt;"&amp;""""", NOT(REGEXMATCH(C10648, ""薪資""))), ""內部轉帳(忽略)"",
  REGEXMATCH(C10648, ""薪資""), ""薪資變動(不計入)"",
  REGEXMATCH(C10648, ""押金""), ""押金往來"",
  AND(E10648&lt;&gt;"""", F10648=""""), ""真實支出"",
  AND(E10648="""", F10648&lt;&gt;""""), ""真實收入"",
  TRUE, ""其他""
)"),"其他")</f>
        <v>其他</v>
      </c>
      <c r="K10648" s="270" t="str">
        <f t="shared" si="2"/>
        <v/>
      </c>
      <c r="L10648">
        <f t="shared" si="3"/>
        <v>0</v>
      </c>
    </row>
    <row r="10649">
      <c r="A10649" s="107"/>
      <c r="D10649" s="270"/>
      <c r="H10649" s="106" t="str">
        <f t="shared" si="1"/>
        <v/>
      </c>
      <c r="J10649" t="str">
        <f>IFERROR(__xludf.DUMMYFUNCTION("IFS(
  AND(REGEXMATCH(E10649, ""台銀籌備帳戶|玉山帳戶""), REGEXMATCH(C10649, ""薪資"")), ""分潤支出"",
  AND(REGEXMATCH(E10649, ""Ben帳戶|Elsa帳戶|Ben代墊|Ariel代墊|中信銀行共用""), REGEXMATCH(F10649, ""Ben帳戶|Elsa帳戶|Ben代墊|Ariel代墊|中信銀行共用"")), ""內部轉帳(忽略)"",
  AND(E10649&lt;&gt;"""", F10649&lt;&gt;"&amp;""""", NOT(REGEXMATCH(C10649, ""薪資""))), ""內部轉帳(忽略)"",
  REGEXMATCH(C10649, ""薪資""), ""薪資變動(不計入)"",
  REGEXMATCH(C10649, ""押金""), ""押金往來"",
  AND(E10649&lt;&gt;"""", F10649=""""), ""真實支出"",
  AND(E10649="""", F10649&lt;&gt;""""), ""真實收入"",
  TRUE, ""其他""
)"),"其他")</f>
        <v>其他</v>
      </c>
      <c r="K10649" s="270" t="str">
        <f t="shared" si="2"/>
        <v/>
      </c>
      <c r="L10649">
        <f t="shared" si="3"/>
        <v>0</v>
      </c>
    </row>
    <row r="10650">
      <c r="A10650" s="107"/>
      <c r="D10650" s="270"/>
      <c r="H10650" s="106" t="str">
        <f t="shared" si="1"/>
        <v/>
      </c>
      <c r="J10650" t="str">
        <f>IFERROR(__xludf.DUMMYFUNCTION("IFS(
  AND(REGEXMATCH(E10650, ""台銀籌備帳戶|玉山帳戶""), REGEXMATCH(C10650, ""薪資"")), ""分潤支出"",
  AND(REGEXMATCH(E10650, ""Ben帳戶|Elsa帳戶|Ben代墊|Ariel代墊|中信銀行共用""), REGEXMATCH(F10650, ""Ben帳戶|Elsa帳戶|Ben代墊|Ariel代墊|中信銀行共用"")), ""內部轉帳(忽略)"",
  AND(E10650&lt;&gt;"""", F10650&lt;&gt;"&amp;""""", NOT(REGEXMATCH(C10650, ""薪資""))), ""內部轉帳(忽略)"",
  REGEXMATCH(C10650, ""薪資""), ""薪資變動(不計入)"",
  REGEXMATCH(C10650, ""押金""), ""押金往來"",
  AND(E10650&lt;&gt;"""", F10650=""""), ""真實支出"",
  AND(E10650="""", F10650&lt;&gt;""""), ""真實收入"",
  TRUE, ""其他""
)"),"其他")</f>
        <v>其他</v>
      </c>
      <c r="K10650" s="270" t="str">
        <f t="shared" si="2"/>
        <v/>
      </c>
      <c r="L10650">
        <f t="shared" si="3"/>
        <v>0</v>
      </c>
    </row>
    <row r="10651">
      <c r="A10651" s="107"/>
      <c r="D10651" s="270"/>
      <c r="H10651" s="106" t="str">
        <f t="shared" si="1"/>
        <v/>
      </c>
      <c r="J10651" t="str">
        <f>IFERROR(__xludf.DUMMYFUNCTION("IFS(
  AND(REGEXMATCH(E10651, ""台銀籌備帳戶|玉山帳戶""), REGEXMATCH(C10651, ""薪資"")), ""分潤支出"",
  AND(REGEXMATCH(E10651, ""Ben帳戶|Elsa帳戶|Ben代墊|Ariel代墊|中信銀行共用""), REGEXMATCH(F10651, ""Ben帳戶|Elsa帳戶|Ben代墊|Ariel代墊|中信銀行共用"")), ""內部轉帳(忽略)"",
  AND(E10651&lt;&gt;"""", F10651&lt;&gt;"&amp;""""", NOT(REGEXMATCH(C10651, ""薪資""))), ""內部轉帳(忽略)"",
  REGEXMATCH(C10651, ""薪資""), ""薪資變動(不計入)"",
  REGEXMATCH(C10651, ""押金""), ""押金往來"",
  AND(E10651&lt;&gt;"""", F10651=""""), ""真實支出"",
  AND(E10651="""", F10651&lt;&gt;""""), ""真實收入"",
  TRUE, ""其他""
)"),"其他")</f>
        <v>其他</v>
      </c>
      <c r="K10651" s="270" t="str">
        <f t="shared" si="2"/>
        <v/>
      </c>
      <c r="L10651">
        <f t="shared" si="3"/>
        <v>0</v>
      </c>
    </row>
    <row r="10652">
      <c r="A10652" s="107"/>
      <c r="D10652" s="270"/>
      <c r="H10652" s="106" t="str">
        <f t="shared" si="1"/>
        <v/>
      </c>
      <c r="J10652" t="str">
        <f>IFERROR(__xludf.DUMMYFUNCTION("IFS(
  AND(REGEXMATCH(E10652, ""台銀籌備帳戶|玉山帳戶""), REGEXMATCH(C10652, ""薪資"")), ""分潤支出"",
  AND(REGEXMATCH(E10652, ""Ben帳戶|Elsa帳戶|Ben代墊|Ariel代墊|中信銀行共用""), REGEXMATCH(F10652, ""Ben帳戶|Elsa帳戶|Ben代墊|Ariel代墊|中信銀行共用"")), ""內部轉帳(忽略)"",
  AND(E10652&lt;&gt;"""", F10652&lt;&gt;"&amp;""""", NOT(REGEXMATCH(C10652, ""薪資""))), ""內部轉帳(忽略)"",
  REGEXMATCH(C10652, ""薪資""), ""薪資變動(不計入)"",
  REGEXMATCH(C10652, ""押金""), ""押金往來"",
  AND(E10652&lt;&gt;"""", F10652=""""), ""真實支出"",
  AND(E10652="""", F10652&lt;&gt;""""), ""真實收入"",
  TRUE, ""其他""
)"),"其他")</f>
        <v>其他</v>
      </c>
      <c r="K10652" s="270" t="str">
        <f t="shared" si="2"/>
        <v/>
      </c>
      <c r="L10652">
        <f t="shared" si="3"/>
        <v>0</v>
      </c>
    </row>
    <row r="10653">
      <c r="A10653" s="107"/>
      <c r="D10653" s="270"/>
      <c r="H10653" s="106" t="str">
        <f t="shared" si="1"/>
        <v/>
      </c>
      <c r="J10653" t="str">
        <f>IFERROR(__xludf.DUMMYFUNCTION("IFS(
  AND(REGEXMATCH(E10653, ""台銀籌備帳戶|玉山帳戶""), REGEXMATCH(C10653, ""薪資"")), ""分潤支出"",
  AND(REGEXMATCH(E10653, ""Ben帳戶|Elsa帳戶|Ben代墊|Ariel代墊|中信銀行共用""), REGEXMATCH(F10653, ""Ben帳戶|Elsa帳戶|Ben代墊|Ariel代墊|中信銀行共用"")), ""內部轉帳(忽略)"",
  AND(E10653&lt;&gt;"""", F10653&lt;&gt;"&amp;""""", NOT(REGEXMATCH(C10653, ""薪資""))), ""內部轉帳(忽略)"",
  REGEXMATCH(C10653, ""薪資""), ""薪資變動(不計入)"",
  REGEXMATCH(C10653, ""押金""), ""押金往來"",
  AND(E10653&lt;&gt;"""", F10653=""""), ""真實支出"",
  AND(E10653="""", F10653&lt;&gt;""""), ""真實收入"",
  TRUE, ""其他""
)"),"其他")</f>
        <v>其他</v>
      </c>
      <c r="K10653" s="270" t="str">
        <f t="shared" si="2"/>
        <v/>
      </c>
      <c r="L10653">
        <f t="shared" si="3"/>
        <v>0</v>
      </c>
    </row>
    <row r="10654">
      <c r="A10654" s="107"/>
      <c r="D10654" s="270"/>
      <c r="H10654" s="106" t="str">
        <f t="shared" si="1"/>
        <v/>
      </c>
      <c r="J10654" t="str">
        <f>IFERROR(__xludf.DUMMYFUNCTION("IFS(
  AND(REGEXMATCH(E10654, ""台銀籌備帳戶|玉山帳戶""), REGEXMATCH(C10654, ""薪資"")), ""分潤支出"",
  AND(REGEXMATCH(E10654, ""Ben帳戶|Elsa帳戶|Ben代墊|Ariel代墊|中信銀行共用""), REGEXMATCH(F10654, ""Ben帳戶|Elsa帳戶|Ben代墊|Ariel代墊|中信銀行共用"")), ""內部轉帳(忽略)"",
  AND(E10654&lt;&gt;"""", F10654&lt;&gt;"&amp;""""", NOT(REGEXMATCH(C10654, ""薪資""))), ""內部轉帳(忽略)"",
  REGEXMATCH(C10654, ""薪資""), ""薪資變動(不計入)"",
  REGEXMATCH(C10654, ""押金""), ""押金往來"",
  AND(E10654&lt;&gt;"""", F10654=""""), ""真實支出"",
  AND(E10654="""", F10654&lt;&gt;""""), ""真實收入"",
  TRUE, ""其他""
)"),"其他")</f>
        <v>其他</v>
      </c>
      <c r="K10654" s="270" t="str">
        <f t="shared" si="2"/>
        <v/>
      </c>
      <c r="L10654">
        <f t="shared" si="3"/>
        <v>0</v>
      </c>
    </row>
    <row r="10655">
      <c r="A10655" s="107"/>
      <c r="D10655" s="270"/>
      <c r="H10655" s="106" t="str">
        <f t="shared" si="1"/>
        <v/>
      </c>
      <c r="J10655" t="str">
        <f>IFERROR(__xludf.DUMMYFUNCTION("IFS(
  AND(REGEXMATCH(E10655, ""台銀籌備帳戶|玉山帳戶""), REGEXMATCH(C10655, ""薪資"")), ""分潤支出"",
  AND(REGEXMATCH(E10655, ""Ben帳戶|Elsa帳戶|Ben代墊|Ariel代墊|中信銀行共用""), REGEXMATCH(F10655, ""Ben帳戶|Elsa帳戶|Ben代墊|Ariel代墊|中信銀行共用"")), ""內部轉帳(忽略)"",
  AND(E10655&lt;&gt;"""", F10655&lt;&gt;"&amp;""""", NOT(REGEXMATCH(C10655, ""薪資""))), ""內部轉帳(忽略)"",
  REGEXMATCH(C10655, ""薪資""), ""薪資變動(不計入)"",
  REGEXMATCH(C10655, ""押金""), ""押金往來"",
  AND(E10655&lt;&gt;"""", F10655=""""), ""真實支出"",
  AND(E10655="""", F10655&lt;&gt;""""), ""真實收入"",
  TRUE, ""其他""
)"),"其他")</f>
        <v>其他</v>
      </c>
      <c r="K10655" s="270" t="str">
        <f t="shared" si="2"/>
        <v/>
      </c>
      <c r="L10655">
        <f t="shared" si="3"/>
        <v>0</v>
      </c>
    </row>
    <row r="10656">
      <c r="A10656" s="107"/>
      <c r="D10656" s="270"/>
      <c r="H10656" s="106" t="str">
        <f t="shared" si="1"/>
        <v/>
      </c>
      <c r="J10656" t="str">
        <f>IFERROR(__xludf.DUMMYFUNCTION("IFS(
  AND(REGEXMATCH(E10656, ""台銀籌備帳戶|玉山帳戶""), REGEXMATCH(C10656, ""薪資"")), ""分潤支出"",
  AND(REGEXMATCH(E10656, ""Ben帳戶|Elsa帳戶|Ben代墊|Ariel代墊|中信銀行共用""), REGEXMATCH(F10656, ""Ben帳戶|Elsa帳戶|Ben代墊|Ariel代墊|中信銀行共用"")), ""內部轉帳(忽略)"",
  AND(E10656&lt;&gt;"""", F10656&lt;&gt;"&amp;""""", NOT(REGEXMATCH(C10656, ""薪資""))), ""內部轉帳(忽略)"",
  REGEXMATCH(C10656, ""薪資""), ""薪資變動(不計入)"",
  REGEXMATCH(C10656, ""押金""), ""押金往來"",
  AND(E10656&lt;&gt;"""", F10656=""""), ""真實支出"",
  AND(E10656="""", F10656&lt;&gt;""""), ""真實收入"",
  TRUE, ""其他""
)"),"其他")</f>
        <v>其他</v>
      </c>
      <c r="K10656" s="270" t="str">
        <f t="shared" si="2"/>
        <v/>
      </c>
      <c r="L10656">
        <f t="shared" si="3"/>
        <v>0</v>
      </c>
    </row>
    <row r="10657">
      <c r="A10657" s="107"/>
      <c r="D10657" s="270"/>
      <c r="H10657" s="106" t="str">
        <f t="shared" si="1"/>
        <v/>
      </c>
      <c r="J10657" t="str">
        <f>IFERROR(__xludf.DUMMYFUNCTION("IFS(
  AND(REGEXMATCH(E10657, ""台銀籌備帳戶|玉山帳戶""), REGEXMATCH(C10657, ""薪資"")), ""分潤支出"",
  AND(REGEXMATCH(E10657, ""Ben帳戶|Elsa帳戶|Ben代墊|Ariel代墊|中信銀行共用""), REGEXMATCH(F10657, ""Ben帳戶|Elsa帳戶|Ben代墊|Ariel代墊|中信銀行共用"")), ""內部轉帳(忽略)"",
  AND(E10657&lt;&gt;"""", F10657&lt;&gt;"&amp;""""", NOT(REGEXMATCH(C10657, ""薪資""))), ""內部轉帳(忽略)"",
  REGEXMATCH(C10657, ""薪資""), ""薪資變動(不計入)"",
  REGEXMATCH(C10657, ""押金""), ""押金往來"",
  AND(E10657&lt;&gt;"""", F10657=""""), ""真實支出"",
  AND(E10657="""", F10657&lt;&gt;""""), ""真實收入"",
  TRUE, ""其他""
)"),"其他")</f>
        <v>其他</v>
      </c>
      <c r="K10657" s="270" t="str">
        <f t="shared" si="2"/>
        <v/>
      </c>
      <c r="L10657">
        <f t="shared" si="3"/>
        <v>0</v>
      </c>
    </row>
    <row r="10658">
      <c r="A10658" s="107"/>
      <c r="D10658" s="270"/>
      <c r="H10658" s="106" t="str">
        <f t="shared" si="1"/>
        <v/>
      </c>
      <c r="J10658" t="str">
        <f>IFERROR(__xludf.DUMMYFUNCTION("IFS(
  AND(REGEXMATCH(E10658, ""台銀籌備帳戶|玉山帳戶""), REGEXMATCH(C10658, ""薪資"")), ""分潤支出"",
  AND(REGEXMATCH(E10658, ""Ben帳戶|Elsa帳戶|Ben代墊|Ariel代墊|中信銀行共用""), REGEXMATCH(F10658, ""Ben帳戶|Elsa帳戶|Ben代墊|Ariel代墊|中信銀行共用"")), ""內部轉帳(忽略)"",
  AND(E10658&lt;&gt;"""", F10658&lt;&gt;"&amp;""""", NOT(REGEXMATCH(C10658, ""薪資""))), ""內部轉帳(忽略)"",
  REGEXMATCH(C10658, ""薪資""), ""薪資變動(不計入)"",
  REGEXMATCH(C10658, ""押金""), ""押金往來"",
  AND(E10658&lt;&gt;"""", F10658=""""), ""真實支出"",
  AND(E10658="""", F10658&lt;&gt;""""), ""真實收入"",
  TRUE, ""其他""
)"),"其他")</f>
        <v>其他</v>
      </c>
      <c r="K10658" s="270" t="str">
        <f t="shared" si="2"/>
        <v/>
      </c>
      <c r="L10658">
        <f t="shared" si="3"/>
        <v>0</v>
      </c>
    </row>
    <row r="10659">
      <c r="A10659" s="107"/>
      <c r="D10659" s="270"/>
      <c r="H10659" s="106" t="str">
        <f t="shared" si="1"/>
        <v/>
      </c>
      <c r="J10659" t="str">
        <f>IFERROR(__xludf.DUMMYFUNCTION("IFS(
  AND(REGEXMATCH(E10659, ""台銀籌備帳戶|玉山帳戶""), REGEXMATCH(C10659, ""薪資"")), ""分潤支出"",
  AND(REGEXMATCH(E10659, ""Ben帳戶|Elsa帳戶|Ben代墊|Ariel代墊|中信銀行共用""), REGEXMATCH(F10659, ""Ben帳戶|Elsa帳戶|Ben代墊|Ariel代墊|中信銀行共用"")), ""內部轉帳(忽略)"",
  AND(E10659&lt;&gt;"""", F10659&lt;&gt;"&amp;""""", NOT(REGEXMATCH(C10659, ""薪資""))), ""內部轉帳(忽略)"",
  REGEXMATCH(C10659, ""薪資""), ""薪資變動(不計入)"",
  REGEXMATCH(C10659, ""押金""), ""押金往來"",
  AND(E10659&lt;&gt;"""", F10659=""""), ""真實支出"",
  AND(E10659="""", F10659&lt;&gt;""""), ""真實收入"",
  TRUE, ""其他""
)"),"其他")</f>
        <v>其他</v>
      </c>
      <c r="K10659" s="270" t="str">
        <f t="shared" si="2"/>
        <v/>
      </c>
      <c r="L10659">
        <f t="shared" si="3"/>
        <v>0</v>
      </c>
    </row>
    <row r="10660">
      <c r="A10660" s="107"/>
      <c r="D10660" s="270"/>
      <c r="H10660" s="106" t="str">
        <f t="shared" si="1"/>
        <v/>
      </c>
      <c r="J10660" t="str">
        <f>IFERROR(__xludf.DUMMYFUNCTION("IFS(
  AND(REGEXMATCH(E10660, ""台銀籌備帳戶|玉山帳戶""), REGEXMATCH(C10660, ""薪資"")), ""分潤支出"",
  AND(REGEXMATCH(E10660, ""Ben帳戶|Elsa帳戶|Ben代墊|Ariel代墊|中信銀行共用""), REGEXMATCH(F10660, ""Ben帳戶|Elsa帳戶|Ben代墊|Ariel代墊|中信銀行共用"")), ""內部轉帳(忽略)"",
  AND(E10660&lt;&gt;"""", F10660&lt;&gt;"&amp;""""", NOT(REGEXMATCH(C10660, ""薪資""))), ""內部轉帳(忽略)"",
  REGEXMATCH(C10660, ""薪資""), ""薪資變動(不計入)"",
  REGEXMATCH(C10660, ""押金""), ""押金往來"",
  AND(E10660&lt;&gt;"""", F10660=""""), ""真實支出"",
  AND(E10660="""", F10660&lt;&gt;""""), ""真實收入"",
  TRUE, ""其他""
)"),"其他")</f>
        <v>其他</v>
      </c>
      <c r="K10660" s="270" t="str">
        <f t="shared" si="2"/>
        <v/>
      </c>
      <c r="L10660">
        <f t="shared" si="3"/>
        <v>0</v>
      </c>
    </row>
    <row r="10661">
      <c r="A10661" s="107"/>
      <c r="D10661" s="270"/>
      <c r="H10661" s="106" t="str">
        <f t="shared" si="1"/>
        <v/>
      </c>
      <c r="J10661" t="str">
        <f>IFERROR(__xludf.DUMMYFUNCTION("IFS(
  AND(REGEXMATCH(E10661, ""台銀籌備帳戶|玉山帳戶""), REGEXMATCH(C10661, ""薪資"")), ""分潤支出"",
  AND(REGEXMATCH(E10661, ""Ben帳戶|Elsa帳戶|Ben代墊|Ariel代墊|中信銀行共用""), REGEXMATCH(F10661, ""Ben帳戶|Elsa帳戶|Ben代墊|Ariel代墊|中信銀行共用"")), ""內部轉帳(忽略)"",
  AND(E10661&lt;&gt;"""", F10661&lt;&gt;"&amp;""""", NOT(REGEXMATCH(C10661, ""薪資""))), ""內部轉帳(忽略)"",
  REGEXMATCH(C10661, ""薪資""), ""薪資變動(不計入)"",
  REGEXMATCH(C10661, ""押金""), ""押金往來"",
  AND(E10661&lt;&gt;"""", F10661=""""), ""真實支出"",
  AND(E10661="""", F10661&lt;&gt;""""), ""真實收入"",
  TRUE, ""其他""
)"),"其他")</f>
        <v>其他</v>
      </c>
      <c r="K10661" s="270" t="str">
        <f t="shared" si="2"/>
        <v/>
      </c>
      <c r="L10661">
        <f t="shared" si="3"/>
        <v>0</v>
      </c>
    </row>
    <row r="10662">
      <c r="A10662" s="107"/>
      <c r="D10662" s="270"/>
      <c r="H10662" s="106" t="str">
        <f t="shared" si="1"/>
        <v/>
      </c>
      <c r="J10662" t="str">
        <f>IFERROR(__xludf.DUMMYFUNCTION("IFS(
  AND(REGEXMATCH(E10662, ""台銀籌備帳戶|玉山帳戶""), REGEXMATCH(C10662, ""薪資"")), ""分潤支出"",
  AND(REGEXMATCH(E10662, ""Ben帳戶|Elsa帳戶|Ben代墊|Ariel代墊|中信銀行共用""), REGEXMATCH(F10662, ""Ben帳戶|Elsa帳戶|Ben代墊|Ariel代墊|中信銀行共用"")), ""內部轉帳(忽略)"",
  AND(E10662&lt;&gt;"""", F10662&lt;&gt;"&amp;""""", NOT(REGEXMATCH(C10662, ""薪資""))), ""內部轉帳(忽略)"",
  REGEXMATCH(C10662, ""薪資""), ""薪資變動(不計入)"",
  REGEXMATCH(C10662, ""押金""), ""押金往來"",
  AND(E10662&lt;&gt;"""", F10662=""""), ""真實支出"",
  AND(E10662="""", F10662&lt;&gt;""""), ""真實收入"",
  TRUE, ""其他""
)"),"其他")</f>
        <v>其他</v>
      </c>
      <c r="K10662" s="270" t="str">
        <f t="shared" si="2"/>
        <v/>
      </c>
      <c r="L10662">
        <f t="shared" si="3"/>
        <v>0</v>
      </c>
    </row>
    <row r="10663">
      <c r="A10663" s="107"/>
      <c r="D10663" s="270"/>
      <c r="H10663" s="106" t="str">
        <f t="shared" si="1"/>
        <v/>
      </c>
      <c r="J10663" t="str">
        <f>IFERROR(__xludf.DUMMYFUNCTION("IFS(
  AND(REGEXMATCH(E10663, ""台銀籌備帳戶|玉山帳戶""), REGEXMATCH(C10663, ""薪資"")), ""分潤支出"",
  AND(REGEXMATCH(E10663, ""Ben帳戶|Elsa帳戶|Ben代墊|Ariel代墊|中信銀行共用""), REGEXMATCH(F10663, ""Ben帳戶|Elsa帳戶|Ben代墊|Ariel代墊|中信銀行共用"")), ""內部轉帳(忽略)"",
  AND(E10663&lt;&gt;"""", F10663&lt;&gt;"&amp;""""", NOT(REGEXMATCH(C10663, ""薪資""))), ""內部轉帳(忽略)"",
  REGEXMATCH(C10663, ""薪資""), ""薪資變動(不計入)"",
  REGEXMATCH(C10663, ""押金""), ""押金往來"",
  AND(E10663&lt;&gt;"""", F10663=""""), ""真實支出"",
  AND(E10663="""", F10663&lt;&gt;""""), ""真實收入"",
  TRUE, ""其他""
)"),"其他")</f>
        <v>其他</v>
      </c>
      <c r="K10663" s="270" t="str">
        <f t="shared" si="2"/>
        <v/>
      </c>
      <c r="L10663">
        <f t="shared" si="3"/>
        <v>0</v>
      </c>
    </row>
    <row r="10664">
      <c r="A10664" s="107"/>
      <c r="D10664" s="270"/>
      <c r="H10664" s="106" t="str">
        <f t="shared" si="1"/>
        <v/>
      </c>
      <c r="J10664" t="str">
        <f>IFERROR(__xludf.DUMMYFUNCTION("IFS(
  AND(REGEXMATCH(E10664, ""台銀籌備帳戶|玉山帳戶""), REGEXMATCH(C10664, ""薪資"")), ""分潤支出"",
  AND(REGEXMATCH(E10664, ""Ben帳戶|Elsa帳戶|Ben代墊|Ariel代墊|中信銀行共用""), REGEXMATCH(F10664, ""Ben帳戶|Elsa帳戶|Ben代墊|Ariel代墊|中信銀行共用"")), ""內部轉帳(忽略)"",
  AND(E10664&lt;&gt;"""", F10664&lt;&gt;"&amp;""""", NOT(REGEXMATCH(C10664, ""薪資""))), ""內部轉帳(忽略)"",
  REGEXMATCH(C10664, ""薪資""), ""薪資變動(不計入)"",
  REGEXMATCH(C10664, ""押金""), ""押金往來"",
  AND(E10664&lt;&gt;"""", F10664=""""), ""真實支出"",
  AND(E10664="""", F10664&lt;&gt;""""), ""真實收入"",
  TRUE, ""其他""
)"),"其他")</f>
        <v>其他</v>
      </c>
      <c r="K10664" s="270" t="str">
        <f t="shared" si="2"/>
        <v/>
      </c>
      <c r="L10664">
        <f t="shared" si="3"/>
        <v>0</v>
      </c>
    </row>
    <row r="10665">
      <c r="A10665" s="107"/>
      <c r="D10665" s="270"/>
      <c r="H10665" s="106" t="str">
        <f t="shared" si="1"/>
        <v/>
      </c>
      <c r="J10665" t="str">
        <f>IFERROR(__xludf.DUMMYFUNCTION("IFS(
  AND(REGEXMATCH(E10665, ""台銀籌備帳戶|玉山帳戶""), REGEXMATCH(C10665, ""薪資"")), ""分潤支出"",
  AND(REGEXMATCH(E10665, ""Ben帳戶|Elsa帳戶|Ben代墊|Ariel代墊|中信銀行共用""), REGEXMATCH(F10665, ""Ben帳戶|Elsa帳戶|Ben代墊|Ariel代墊|中信銀行共用"")), ""內部轉帳(忽略)"",
  AND(E10665&lt;&gt;"""", F10665&lt;&gt;"&amp;""""", NOT(REGEXMATCH(C10665, ""薪資""))), ""內部轉帳(忽略)"",
  REGEXMATCH(C10665, ""薪資""), ""薪資變動(不計入)"",
  REGEXMATCH(C10665, ""押金""), ""押金往來"",
  AND(E10665&lt;&gt;"""", F10665=""""), ""真實支出"",
  AND(E10665="""", F10665&lt;&gt;""""), ""真實收入"",
  TRUE, ""其他""
)"),"其他")</f>
        <v>其他</v>
      </c>
      <c r="K10665" s="270" t="str">
        <f t="shared" si="2"/>
        <v/>
      </c>
      <c r="L10665">
        <f t="shared" si="3"/>
        <v>0</v>
      </c>
    </row>
    <row r="10666">
      <c r="A10666" s="107"/>
      <c r="D10666" s="270"/>
      <c r="H10666" s="106" t="str">
        <f t="shared" si="1"/>
        <v/>
      </c>
      <c r="J10666" t="str">
        <f>IFERROR(__xludf.DUMMYFUNCTION("IFS(
  AND(REGEXMATCH(E10666, ""台銀籌備帳戶|玉山帳戶""), REGEXMATCH(C10666, ""薪資"")), ""分潤支出"",
  AND(REGEXMATCH(E10666, ""Ben帳戶|Elsa帳戶|Ben代墊|Ariel代墊|中信銀行共用""), REGEXMATCH(F10666, ""Ben帳戶|Elsa帳戶|Ben代墊|Ariel代墊|中信銀行共用"")), ""內部轉帳(忽略)"",
  AND(E10666&lt;&gt;"""", F10666&lt;&gt;"&amp;""""", NOT(REGEXMATCH(C10666, ""薪資""))), ""內部轉帳(忽略)"",
  REGEXMATCH(C10666, ""薪資""), ""薪資變動(不計入)"",
  REGEXMATCH(C10666, ""押金""), ""押金往來"",
  AND(E10666&lt;&gt;"""", F10666=""""), ""真實支出"",
  AND(E10666="""", F10666&lt;&gt;""""), ""真實收入"",
  TRUE, ""其他""
)"),"其他")</f>
        <v>其他</v>
      </c>
      <c r="K10666" s="270" t="str">
        <f t="shared" si="2"/>
        <v/>
      </c>
      <c r="L10666">
        <f t="shared" si="3"/>
        <v>0</v>
      </c>
    </row>
    <row r="10667">
      <c r="A10667" s="107"/>
      <c r="D10667" s="270"/>
      <c r="H10667" s="106" t="str">
        <f t="shared" si="1"/>
        <v/>
      </c>
      <c r="J10667" t="str">
        <f>IFERROR(__xludf.DUMMYFUNCTION("IFS(
  AND(REGEXMATCH(E10667, ""台銀籌備帳戶|玉山帳戶""), REGEXMATCH(C10667, ""薪資"")), ""分潤支出"",
  AND(REGEXMATCH(E10667, ""Ben帳戶|Elsa帳戶|Ben代墊|Ariel代墊|中信銀行共用""), REGEXMATCH(F10667, ""Ben帳戶|Elsa帳戶|Ben代墊|Ariel代墊|中信銀行共用"")), ""內部轉帳(忽略)"",
  AND(E10667&lt;&gt;"""", F10667&lt;&gt;"&amp;""""", NOT(REGEXMATCH(C10667, ""薪資""))), ""內部轉帳(忽略)"",
  REGEXMATCH(C10667, ""薪資""), ""薪資變動(不計入)"",
  REGEXMATCH(C10667, ""押金""), ""押金往來"",
  AND(E10667&lt;&gt;"""", F10667=""""), ""真實支出"",
  AND(E10667="""", F10667&lt;&gt;""""), ""真實收入"",
  TRUE, ""其他""
)"),"其他")</f>
        <v>其他</v>
      </c>
      <c r="K10667" s="270" t="str">
        <f t="shared" si="2"/>
        <v/>
      </c>
      <c r="L10667">
        <f t="shared" si="3"/>
        <v>0</v>
      </c>
    </row>
    <row r="10668">
      <c r="A10668" s="107"/>
      <c r="D10668" s="270"/>
      <c r="H10668" s="106" t="str">
        <f t="shared" si="1"/>
        <v/>
      </c>
      <c r="J10668" t="str">
        <f>IFERROR(__xludf.DUMMYFUNCTION("IFS(
  AND(REGEXMATCH(E10668, ""台銀籌備帳戶|玉山帳戶""), REGEXMATCH(C10668, ""薪資"")), ""分潤支出"",
  AND(REGEXMATCH(E10668, ""Ben帳戶|Elsa帳戶|Ben代墊|Ariel代墊|中信銀行共用""), REGEXMATCH(F10668, ""Ben帳戶|Elsa帳戶|Ben代墊|Ariel代墊|中信銀行共用"")), ""內部轉帳(忽略)"",
  AND(E10668&lt;&gt;"""", F10668&lt;&gt;"&amp;""""", NOT(REGEXMATCH(C10668, ""薪資""))), ""內部轉帳(忽略)"",
  REGEXMATCH(C10668, ""薪資""), ""薪資變動(不計入)"",
  REGEXMATCH(C10668, ""押金""), ""押金往來"",
  AND(E10668&lt;&gt;"""", F10668=""""), ""真實支出"",
  AND(E10668="""", F10668&lt;&gt;""""), ""真實收入"",
  TRUE, ""其他""
)"),"其他")</f>
        <v>其他</v>
      </c>
      <c r="K10668" s="270" t="str">
        <f t="shared" si="2"/>
        <v/>
      </c>
      <c r="L10668">
        <f t="shared" si="3"/>
        <v>0</v>
      </c>
    </row>
    <row r="10669">
      <c r="A10669" s="107"/>
      <c r="D10669" s="270"/>
      <c r="H10669" s="106" t="str">
        <f t="shared" si="1"/>
        <v/>
      </c>
      <c r="J10669" t="str">
        <f>IFERROR(__xludf.DUMMYFUNCTION("IFS(
  AND(REGEXMATCH(E10669, ""台銀籌備帳戶|玉山帳戶""), REGEXMATCH(C10669, ""薪資"")), ""分潤支出"",
  AND(REGEXMATCH(E10669, ""Ben帳戶|Elsa帳戶|Ben代墊|Ariel代墊|中信銀行共用""), REGEXMATCH(F10669, ""Ben帳戶|Elsa帳戶|Ben代墊|Ariel代墊|中信銀行共用"")), ""內部轉帳(忽略)"",
  AND(E10669&lt;&gt;"""", F10669&lt;&gt;"&amp;""""", NOT(REGEXMATCH(C10669, ""薪資""))), ""內部轉帳(忽略)"",
  REGEXMATCH(C10669, ""薪資""), ""薪資變動(不計入)"",
  REGEXMATCH(C10669, ""押金""), ""押金往來"",
  AND(E10669&lt;&gt;"""", F10669=""""), ""真實支出"",
  AND(E10669="""", F10669&lt;&gt;""""), ""真實收入"",
  TRUE, ""其他""
)"),"其他")</f>
        <v>其他</v>
      </c>
      <c r="K10669" s="270" t="str">
        <f t="shared" si="2"/>
        <v/>
      </c>
      <c r="L10669">
        <f t="shared" si="3"/>
        <v>0</v>
      </c>
    </row>
    <row r="10670">
      <c r="A10670" s="107"/>
      <c r="D10670" s="270"/>
      <c r="H10670" s="106" t="str">
        <f t="shared" si="1"/>
        <v/>
      </c>
      <c r="J10670" t="str">
        <f>IFERROR(__xludf.DUMMYFUNCTION("IFS(
  AND(REGEXMATCH(E10670, ""台銀籌備帳戶|玉山帳戶""), REGEXMATCH(C10670, ""薪資"")), ""分潤支出"",
  AND(REGEXMATCH(E10670, ""Ben帳戶|Elsa帳戶|Ben代墊|Ariel代墊|中信銀行共用""), REGEXMATCH(F10670, ""Ben帳戶|Elsa帳戶|Ben代墊|Ariel代墊|中信銀行共用"")), ""內部轉帳(忽略)"",
  AND(E10670&lt;&gt;"""", F10670&lt;&gt;"&amp;""""", NOT(REGEXMATCH(C10670, ""薪資""))), ""內部轉帳(忽略)"",
  REGEXMATCH(C10670, ""薪資""), ""薪資變動(不計入)"",
  REGEXMATCH(C10670, ""押金""), ""押金往來"",
  AND(E10670&lt;&gt;"""", F10670=""""), ""真實支出"",
  AND(E10670="""", F10670&lt;&gt;""""), ""真實收入"",
  TRUE, ""其他""
)"),"其他")</f>
        <v>其他</v>
      </c>
      <c r="K10670" s="270" t="str">
        <f t="shared" si="2"/>
        <v/>
      </c>
      <c r="L10670">
        <f t="shared" si="3"/>
        <v>0</v>
      </c>
    </row>
    <row r="10671">
      <c r="A10671" s="107"/>
      <c r="D10671" s="270"/>
      <c r="H10671" s="106" t="str">
        <f t="shared" si="1"/>
        <v/>
      </c>
      <c r="J10671" t="str">
        <f>IFERROR(__xludf.DUMMYFUNCTION("IFS(
  AND(REGEXMATCH(E10671, ""台銀籌備帳戶|玉山帳戶""), REGEXMATCH(C10671, ""薪資"")), ""分潤支出"",
  AND(REGEXMATCH(E10671, ""Ben帳戶|Elsa帳戶|Ben代墊|Ariel代墊|中信銀行共用""), REGEXMATCH(F10671, ""Ben帳戶|Elsa帳戶|Ben代墊|Ariel代墊|中信銀行共用"")), ""內部轉帳(忽略)"",
  AND(E10671&lt;&gt;"""", F10671&lt;&gt;"&amp;""""", NOT(REGEXMATCH(C10671, ""薪資""))), ""內部轉帳(忽略)"",
  REGEXMATCH(C10671, ""薪資""), ""薪資變動(不計入)"",
  REGEXMATCH(C10671, ""押金""), ""押金往來"",
  AND(E10671&lt;&gt;"""", F10671=""""), ""真實支出"",
  AND(E10671="""", F10671&lt;&gt;""""), ""真實收入"",
  TRUE, ""其他""
)"),"其他")</f>
        <v>其他</v>
      </c>
      <c r="K10671" s="270" t="str">
        <f t="shared" si="2"/>
        <v/>
      </c>
      <c r="L10671">
        <f t="shared" si="3"/>
        <v>0</v>
      </c>
    </row>
    <row r="10672">
      <c r="A10672" s="107"/>
      <c r="D10672" s="270"/>
      <c r="H10672" s="106" t="str">
        <f t="shared" si="1"/>
        <v/>
      </c>
      <c r="J10672" t="str">
        <f>IFERROR(__xludf.DUMMYFUNCTION("IFS(
  AND(REGEXMATCH(E10672, ""台銀籌備帳戶|玉山帳戶""), REGEXMATCH(C10672, ""薪資"")), ""分潤支出"",
  AND(REGEXMATCH(E10672, ""Ben帳戶|Elsa帳戶|Ben代墊|Ariel代墊|中信銀行共用""), REGEXMATCH(F10672, ""Ben帳戶|Elsa帳戶|Ben代墊|Ariel代墊|中信銀行共用"")), ""內部轉帳(忽略)"",
  AND(E10672&lt;&gt;"""", F10672&lt;&gt;"&amp;""""", NOT(REGEXMATCH(C10672, ""薪資""))), ""內部轉帳(忽略)"",
  REGEXMATCH(C10672, ""薪資""), ""薪資變動(不計入)"",
  REGEXMATCH(C10672, ""押金""), ""押金往來"",
  AND(E10672&lt;&gt;"""", F10672=""""), ""真實支出"",
  AND(E10672="""", F10672&lt;&gt;""""), ""真實收入"",
  TRUE, ""其他""
)"),"其他")</f>
        <v>其他</v>
      </c>
      <c r="K10672" s="270" t="str">
        <f t="shared" si="2"/>
        <v/>
      </c>
      <c r="L10672">
        <f t="shared" si="3"/>
        <v>0</v>
      </c>
    </row>
    <row r="10673">
      <c r="A10673" s="107"/>
      <c r="D10673" s="270"/>
      <c r="H10673" s="106" t="str">
        <f t="shared" si="1"/>
        <v/>
      </c>
      <c r="J10673" t="str">
        <f>IFERROR(__xludf.DUMMYFUNCTION("IFS(
  AND(REGEXMATCH(E10673, ""台銀籌備帳戶|玉山帳戶""), REGEXMATCH(C10673, ""薪資"")), ""分潤支出"",
  AND(REGEXMATCH(E10673, ""Ben帳戶|Elsa帳戶|Ben代墊|Ariel代墊|中信銀行共用""), REGEXMATCH(F10673, ""Ben帳戶|Elsa帳戶|Ben代墊|Ariel代墊|中信銀行共用"")), ""內部轉帳(忽略)"",
  AND(E10673&lt;&gt;"""", F10673&lt;&gt;"&amp;""""", NOT(REGEXMATCH(C10673, ""薪資""))), ""內部轉帳(忽略)"",
  REGEXMATCH(C10673, ""薪資""), ""薪資變動(不計入)"",
  REGEXMATCH(C10673, ""押金""), ""押金往來"",
  AND(E10673&lt;&gt;"""", F10673=""""), ""真實支出"",
  AND(E10673="""", F10673&lt;&gt;""""), ""真實收入"",
  TRUE, ""其他""
)"),"其他")</f>
        <v>其他</v>
      </c>
      <c r="K10673" s="270" t="str">
        <f t="shared" si="2"/>
        <v/>
      </c>
      <c r="L10673">
        <f t="shared" si="3"/>
        <v>0</v>
      </c>
    </row>
    <row r="10674">
      <c r="A10674" s="107"/>
      <c r="D10674" s="270"/>
      <c r="H10674" s="106" t="str">
        <f t="shared" si="1"/>
        <v/>
      </c>
      <c r="J10674" t="str">
        <f>IFERROR(__xludf.DUMMYFUNCTION("IFS(
  AND(REGEXMATCH(E10674, ""台銀籌備帳戶|玉山帳戶""), REGEXMATCH(C10674, ""薪資"")), ""分潤支出"",
  AND(REGEXMATCH(E10674, ""Ben帳戶|Elsa帳戶|Ben代墊|Ariel代墊|中信銀行共用""), REGEXMATCH(F10674, ""Ben帳戶|Elsa帳戶|Ben代墊|Ariel代墊|中信銀行共用"")), ""內部轉帳(忽略)"",
  AND(E10674&lt;&gt;"""", F10674&lt;&gt;"&amp;""""", NOT(REGEXMATCH(C10674, ""薪資""))), ""內部轉帳(忽略)"",
  REGEXMATCH(C10674, ""薪資""), ""薪資變動(不計入)"",
  REGEXMATCH(C10674, ""押金""), ""押金往來"",
  AND(E10674&lt;&gt;"""", F10674=""""), ""真實支出"",
  AND(E10674="""", F10674&lt;&gt;""""), ""真實收入"",
  TRUE, ""其他""
)"),"其他")</f>
        <v>其他</v>
      </c>
      <c r="K10674" s="270" t="str">
        <f t="shared" si="2"/>
        <v/>
      </c>
      <c r="L10674">
        <f t="shared" si="3"/>
        <v>0</v>
      </c>
    </row>
    <row r="10675">
      <c r="A10675" s="107"/>
      <c r="D10675" s="270"/>
      <c r="H10675" s="106" t="str">
        <f t="shared" si="1"/>
        <v/>
      </c>
      <c r="J10675" t="str">
        <f>IFERROR(__xludf.DUMMYFUNCTION("IFS(
  AND(REGEXMATCH(E10675, ""台銀籌備帳戶|玉山帳戶""), REGEXMATCH(C10675, ""薪資"")), ""分潤支出"",
  AND(REGEXMATCH(E10675, ""Ben帳戶|Elsa帳戶|Ben代墊|Ariel代墊|中信銀行共用""), REGEXMATCH(F10675, ""Ben帳戶|Elsa帳戶|Ben代墊|Ariel代墊|中信銀行共用"")), ""內部轉帳(忽略)"",
  AND(E10675&lt;&gt;"""", F10675&lt;&gt;"&amp;""""", NOT(REGEXMATCH(C10675, ""薪資""))), ""內部轉帳(忽略)"",
  REGEXMATCH(C10675, ""薪資""), ""薪資變動(不計入)"",
  REGEXMATCH(C10675, ""押金""), ""押金往來"",
  AND(E10675&lt;&gt;"""", F10675=""""), ""真實支出"",
  AND(E10675="""", F10675&lt;&gt;""""), ""真實收入"",
  TRUE, ""其他""
)"),"其他")</f>
        <v>其他</v>
      </c>
      <c r="K10675" s="270" t="str">
        <f t="shared" si="2"/>
        <v/>
      </c>
      <c r="L10675">
        <f t="shared" si="3"/>
        <v>0</v>
      </c>
    </row>
    <row r="10676">
      <c r="A10676" s="107"/>
      <c r="D10676" s="270"/>
      <c r="H10676" s="106" t="str">
        <f t="shared" si="1"/>
        <v/>
      </c>
      <c r="J10676" t="str">
        <f>IFERROR(__xludf.DUMMYFUNCTION("IFS(
  AND(REGEXMATCH(E10676, ""台銀籌備帳戶|玉山帳戶""), REGEXMATCH(C10676, ""薪資"")), ""分潤支出"",
  AND(REGEXMATCH(E10676, ""Ben帳戶|Elsa帳戶|Ben代墊|Ariel代墊|中信銀行共用""), REGEXMATCH(F10676, ""Ben帳戶|Elsa帳戶|Ben代墊|Ariel代墊|中信銀行共用"")), ""內部轉帳(忽略)"",
  AND(E10676&lt;&gt;"""", F10676&lt;&gt;"&amp;""""", NOT(REGEXMATCH(C10676, ""薪資""))), ""內部轉帳(忽略)"",
  REGEXMATCH(C10676, ""薪資""), ""薪資變動(不計入)"",
  REGEXMATCH(C10676, ""押金""), ""押金往來"",
  AND(E10676&lt;&gt;"""", F10676=""""), ""真實支出"",
  AND(E10676="""", F10676&lt;&gt;""""), ""真實收入"",
  TRUE, ""其他""
)"),"其他")</f>
        <v>其他</v>
      </c>
      <c r="K10676" s="270" t="str">
        <f t="shared" si="2"/>
        <v/>
      </c>
      <c r="L10676">
        <f t="shared" si="3"/>
        <v>0</v>
      </c>
    </row>
    <row r="10677">
      <c r="A10677" s="107"/>
      <c r="D10677" s="270"/>
      <c r="H10677" s="106" t="str">
        <f t="shared" si="1"/>
        <v/>
      </c>
      <c r="J10677" t="str">
        <f>IFERROR(__xludf.DUMMYFUNCTION("IFS(
  AND(REGEXMATCH(E10677, ""台銀籌備帳戶|玉山帳戶""), REGEXMATCH(C10677, ""薪資"")), ""分潤支出"",
  AND(REGEXMATCH(E10677, ""Ben帳戶|Elsa帳戶|Ben代墊|Ariel代墊|中信銀行共用""), REGEXMATCH(F10677, ""Ben帳戶|Elsa帳戶|Ben代墊|Ariel代墊|中信銀行共用"")), ""內部轉帳(忽略)"",
  AND(E10677&lt;&gt;"""", F10677&lt;&gt;"&amp;""""", NOT(REGEXMATCH(C10677, ""薪資""))), ""內部轉帳(忽略)"",
  REGEXMATCH(C10677, ""薪資""), ""薪資變動(不計入)"",
  REGEXMATCH(C10677, ""押金""), ""押金往來"",
  AND(E10677&lt;&gt;"""", F10677=""""), ""真實支出"",
  AND(E10677="""", F10677&lt;&gt;""""), ""真實收入"",
  TRUE, ""其他""
)"),"其他")</f>
        <v>其他</v>
      </c>
      <c r="K10677" s="270" t="str">
        <f t="shared" si="2"/>
        <v/>
      </c>
      <c r="L10677">
        <f t="shared" si="3"/>
        <v>0</v>
      </c>
    </row>
    <row r="10678">
      <c r="A10678" s="107"/>
      <c r="D10678" s="270"/>
      <c r="H10678" s="106" t="str">
        <f t="shared" si="1"/>
        <v/>
      </c>
      <c r="J10678" t="str">
        <f>IFERROR(__xludf.DUMMYFUNCTION("IFS(
  AND(REGEXMATCH(E10678, ""台銀籌備帳戶|玉山帳戶""), REGEXMATCH(C10678, ""薪資"")), ""分潤支出"",
  AND(REGEXMATCH(E10678, ""Ben帳戶|Elsa帳戶|Ben代墊|Ariel代墊|中信銀行共用""), REGEXMATCH(F10678, ""Ben帳戶|Elsa帳戶|Ben代墊|Ariel代墊|中信銀行共用"")), ""內部轉帳(忽略)"",
  AND(E10678&lt;&gt;"""", F10678&lt;&gt;"&amp;""""", NOT(REGEXMATCH(C10678, ""薪資""))), ""內部轉帳(忽略)"",
  REGEXMATCH(C10678, ""薪資""), ""薪資變動(不計入)"",
  REGEXMATCH(C10678, ""押金""), ""押金往來"",
  AND(E10678&lt;&gt;"""", F10678=""""), ""真實支出"",
  AND(E10678="""", F10678&lt;&gt;""""), ""真實收入"",
  TRUE, ""其他""
)"),"其他")</f>
        <v>其他</v>
      </c>
      <c r="K10678" s="270" t="str">
        <f t="shared" si="2"/>
        <v/>
      </c>
      <c r="L10678">
        <f t="shared" si="3"/>
        <v>0</v>
      </c>
    </row>
    <row r="10679">
      <c r="A10679" s="107"/>
      <c r="D10679" s="270"/>
      <c r="H10679" s="106" t="str">
        <f t="shared" si="1"/>
        <v/>
      </c>
      <c r="J10679" t="str">
        <f>IFERROR(__xludf.DUMMYFUNCTION("IFS(
  AND(REGEXMATCH(E10679, ""台銀籌備帳戶|玉山帳戶""), REGEXMATCH(C10679, ""薪資"")), ""分潤支出"",
  AND(REGEXMATCH(E10679, ""Ben帳戶|Elsa帳戶|Ben代墊|Ariel代墊|中信銀行共用""), REGEXMATCH(F10679, ""Ben帳戶|Elsa帳戶|Ben代墊|Ariel代墊|中信銀行共用"")), ""內部轉帳(忽略)"",
  AND(E10679&lt;&gt;"""", F10679&lt;&gt;"&amp;""""", NOT(REGEXMATCH(C10679, ""薪資""))), ""內部轉帳(忽略)"",
  REGEXMATCH(C10679, ""薪資""), ""薪資變動(不計入)"",
  REGEXMATCH(C10679, ""押金""), ""押金往來"",
  AND(E10679&lt;&gt;"""", F10679=""""), ""真實支出"",
  AND(E10679="""", F10679&lt;&gt;""""), ""真實收入"",
  TRUE, ""其他""
)"),"其他")</f>
        <v>其他</v>
      </c>
      <c r="K10679" s="270" t="str">
        <f t="shared" si="2"/>
        <v/>
      </c>
      <c r="L10679">
        <f t="shared" si="3"/>
        <v>0</v>
      </c>
    </row>
    <row r="10680">
      <c r="A10680" s="107"/>
      <c r="D10680" s="270"/>
      <c r="H10680" s="106" t="str">
        <f t="shared" si="1"/>
        <v/>
      </c>
      <c r="J10680" t="str">
        <f>IFERROR(__xludf.DUMMYFUNCTION("IFS(
  AND(REGEXMATCH(E10680, ""台銀籌備帳戶|玉山帳戶""), REGEXMATCH(C10680, ""薪資"")), ""分潤支出"",
  AND(REGEXMATCH(E10680, ""Ben帳戶|Elsa帳戶|Ben代墊|Ariel代墊|中信銀行共用""), REGEXMATCH(F10680, ""Ben帳戶|Elsa帳戶|Ben代墊|Ariel代墊|中信銀行共用"")), ""內部轉帳(忽略)"",
  AND(E10680&lt;&gt;"""", F10680&lt;&gt;"&amp;""""", NOT(REGEXMATCH(C10680, ""薪資""))), ""內部轉帳(忽略)"",
  REGEXMATCH(C10680, ""薪資""), ""薪資變動(不計入)"",
  REGEXMATCH(C10680, ""押金""), ""押金往來"",
  AND(E10680&lt;&gt;"""", F10680=""""), ""真實支出"",
  AND(E10680="""", F10680&lt;&gt;""""), ""真實收入"",
  TRUE, ""其他""
)"),"其他")</f>
        <v>其他</v>
      </c>
      <c r="K10680" s="270" t="str">
        <f t="shared" si="2"/>
        <v/>
      </c>
      <c r="L10680">
        <f t="shared" si="3"/>
        <v>0</v>
      </c>
    </row>
    <row r="10681">
      <c r="A10681" s="107"/>
      <c r="D10681" s="270"/>
      <c r="H10681" s="106" t="str">
        <f t="shared" si="1"/>
        <v/>
      </c>
      <c r="J10681" t="str">
        <f>IFERROR(__xludf.DUMMYFUNCTION("IFS(
  AND(REGEXMATCH(E10681, ""台銀籌備帳戶|玉山帳戶""), REGEXMATCH(C10681, ""薪資"")), ""分潤支出"",
  AND(REGEXMATCH(E10681, ""Ben帳戶|Elsa帳戶|Ben代墊|Ariel代墊|中信銀行共用""), REGEXMATCH(F10681, ""Ben帳戶|Elsa帳戶|Ben代墊|Ariel代墊|中信銀行共用"")), ""內部轉帳(忽略)"",
  AND(E10681&lt;&gt;"""", F10681&lt;&gt;"&amp;""""", NOT(REGEXMATCH(C10681, ""薪資""))), ""內部轉帳(忽略)"",
  REGEXMATCH(C10681, ""薪資""), ""薪資變動(不計入)"",
  REGEXMATCH(C10681, ""押金""), ""押金往來"",
  AND(E10681&lt;&gt;"""", F10681=""""), ""真實支出"",
  AND(E10681="""", F10681&lt;&gt;""""), ""真實收入"",
  TRUE, ""其他""
)"),"其他")</f>
        <v>其他</v>
      </c>
      <c r="K10681" s="270" t="str">
        <f t="shared" si="2"/>
        <v/>
      </c>
      <c r="L10681">
        <f t="shared" si="3"/>
        <v>0</v>
      </c>
    </row>
    <row r="10682">
      <c r="A10682" s="107"/>
      <c r="D10682" s="270"/>
      <c r="H10682" s="106" t="str">
        <f t="shared" si="1"/>
        <v/>
      </c>
      <c r="J10682" t="str">
        <f>IFERROR(__xludf.DUMMYFUNCTION("IFS(
  AND(REGEXMATCH(E10682, ""台銀籌備帳戶|玉山帳戶""), REGEXMATCH(C10682, ""薪資"")), ""分潤支出"",
  AND(REGEXMATCH(E10682, ""Ben帳戶|Elsa帳戶|Ben代墊|Ariel代墊|中信銀行共用""), REGEXMATCH(F10682, ""Ben帳戶|Elsa帳戶|Ben代墊|Ariel代墊|中信銀行共用"")), ""內部轉帳(忽略)"",
  AND(E10682&lt;&gt;"""", F10682&lt;&gt;"&amp;""""", NOT(REGEXMATCH(C10682, ""薪資""))), ""內部轉帳(忽略)"",
  REGEXMATCH(C10682, ""薪資""), ""薪資變動(不計入)"",
  REGEXMATCH(C10682, ""押金""), ""押金往來"",
  AND(E10682&lt;&gt;"""", F10682=""""), ""真實支出"",
  AND(E10682="""", F10682&lt;&gt;""""), ""真實收入"",
  TRUE, ""其他""
)"),"其他")</f>
        <v>其他</v>
      </c>
      <c r="K10682" s="270" t="str">
        <f t="shared" si="2"/>
        <v/>
      </c>
      <c r="L10682">
        <f t="shared" si="3"/>
        <v>0</v>
      </c>
    </row>
    <row r="10683">
      <c r="A10683" s="107"/>
      <c r="D10683" s="270"/>
      <c r="H10683" s="106" t="str">
        <f t="shared" si="1"/>
        <v/>
      </c>
      <c r="J10683" t="str">
        <f>IFERROR(__xludf.DUMMYFUNCTION("IFS(
  AND(REGEXMATCH(E10683, ""台銀籌備帳戶|玉山帳戶""), REGEXMATCH(C10683, ""薪資"")), ""分潤支出"",
  AND(REGEXMATCH(E10683, ""Ben帳戶|Elsa帳戶|Ben代墊|Ariel代墊|中信銀行共用""), REGEXMATCH(F10683, ""Ben帳戶|Elsa帳戶|Ben代墊|Ariel代墊|中信銀行共用"")), ""內部轉帳(忽略)"",
  AND(E10683&lt;&gt;"""", F10683&lt;&gt;"&amp;""""", NOT(REGEXMATCH(C10683, ""薪資""))), ""內部轉帳(忽略)"",
  REGEXMATCH(C10683, ""薪資""), ""薪資變動(不計入)"",
  REGEXMATCH(C10683, ""押金""), ""押金往來"",
  AND(E10683&lt;&gt;"""", F10683=""""), ""真實支出"",
  AND(E10683="""", F10683&lt;&gt;""""), ""真實收入"",
  TRUE, ""其他""
)"),"其他")</f>
        <v>其他</v>
      </c>
      <c r="K10683" s="270" t="str">
        <f t="shared" si="2"/>
        <v/>
      </c>
      <c r="L10683">
        <f t="shared" si="3"/>
        <v>0</v>
      </c>
    </row>
    <row r="10684">
      <c r="A10684" s="107"/>
      <c r="D10684" s="270"/>
      <c r="H10684" s="106" t="str">
        <f t="shared" si="1"/>
        <v/>
      </c>
      <c r="J10684" t="str">
        <f>IFERROR(__xludf.DUMMYFUNCTION("IFS(
  AND(REGEXMATCH(E10684, ""台銀籌備帳戶|玉山帳戶""), REGEXMATCH(C10684, ""薪資"")), ""分潤支出"",
  AND(REGEXMATCH(E10684, ""Ben帳戶|Elsa帳戶|Ben代墊|Ariel代墊|中信銀行共用""), REGEXMATCH(F10684, ""Ben帳戶|Elsa帳戶|Ben代墊|Ariel代墊|中信銀行共用"")), ""內部轉帳(忽略)"",
  AND(E10684&lt;&gt;"""", F10684&lt;&gt;"&amp;""""", NOT(REGEXMATCH(C10684, ""薪資""))), ""內部轉帳(忽略)"",
  REGEXMATCH(C10684, ""薪資""), ""薪資變動(不計入)"",
  REGEXMATCH(C10684, ""押金""), ""押金往來"",
  AND(E10684&lt;&gt;"""", F10684=""""), ""真實支出"",
  AND(E10684="""", F10684&lt;&gt;""""), ""真實收入"",
  TRUE, ""其他""
)"),"其他")</f>
        <v>其他</v>
      </c>
      <c r="K10684" s="270" t="str">
        <f t="shared" si="2"/>
        <v/>
      </c>
      <c r="L10684">
        <f t="shared" si="3"/>
        <v>0</v>
      </c>
    </row>
    <row r="10685">
      <c r="A10685" s="107"/>
      <c r="D10685" s="270"/>
      <c r="H10685" s="106" t="str">
        <f t="shared" si="1"/>
        <v/>
      </c>
      <c r="J10685" t="str">
        <f>IFERROR(__xludf.DUMMYFUNCTION("IFS(
  AND(REGEXMATCH(E10685, ""台銀籌備帳戶|玉山帳戶""), REGEXMATCH(C10685, ""薪資"")), ""分潤支出"",
  AND(REGEXMATCH(E10685, ""Ben帳戶|Elsa帳戶|Ben代墊|Ariel代墊|中信銀行共用""), REGEXMATCH(F10685, ""Ben帳戶|Elsa帳戶|Ben代墊|Ariel代墊|中信銀行共用"")), ""內部轉帳(忽略)"",
  AND(E10685&lt;&gt;"""", F10685&lt;&gt;"&amp;""""", NOT(REGEXMATCH(C10685, ""薪資""))), ""內部轉帳(忽略)"",
  REGEXMATCH(C10685, ""薪資""), ""薪資變動(不計入)"",
  REGEXMATCH(C10685, ""押金""), ""押金往來"",
  AND(E10685&lt;&gt;"""", F10685=""""), ""真實支出"",
  AND(E10685="""", F10685&lt;&gt;""""), ""真實收入"",
  TRUE, ""其他""
)"),"其他")</f>
        <v>其他</v>
      </c>
      <c r="K10685" s="270" t="str">
        <f t="shared" si="2"/>
        <v/>
      </c>
      <c r="L10685">
        <f t="shared" si="3"/>
        <v>0</v>
      </c>
    </row>
    <row r="10686">
      <c r="A10686" s="107"/>
      <c r="D10686" s="270"/>
      <c r="H10686" s="106" t="str">
        <f t="shared" si="1"/>
        <v/>
      </c>
      <c r="J10686" t="str">
        <f>IFERROR(__xludf.DUMMYFUNCTION("IFS(
  AND(REGEXMATCH(E10686, ""台銀籌備帳戶|玉山帳戶""), REGEXMATCH(C10686, ""薪資"")), ""分潤支出"",
  AND(REGEXMATCH(E10686, ""Ben帳戶|Elsa帳戶|Ben代墊|Ariel代墊|中信銀行共用""), REGEXMATCH(F10686, ""Ben帳戶|Elsa帳戶|Ben代墊|Ariel代墊|中信銀行共用"")), ""內部轉帳(忽略)"",
  AND(E10686&lt;&gt;"""", F10686&lt;&gt;"&amp;""""", NOT(REGEXMATCH(C10686, ""薪資""))), ""內部轉帳(忽略)"",
  REGEXMATCH(C10686, ""薪資""), ""薪資變動(不計入)"",
  REGEXMATCH(C10686, ""押金""), ""押金往來"",
  AND(E10686&lt;&gt;"""", F10686=""""), ""真實支出"",
  AND(E10686="""", F10686&lt;&gt;""""), ""真實收入"",
  TRUE, ""其他""
)"),"其他")</f>
        <v>其他</v>
      </c>
      <c r="K10686" s="270" t="str">
        <f t="shared" si="2"/>
        <v/>
      </c>
      <c r="L10686">
        <f t="shared" si="3"/>
        <v>0</v>
      </c>
    </row>
    <row r="10687">
      <c r="A10687" s="107"/>
      <c r="D10687" s="270"/>
      <c r="H10687" s="106" t="str">
        <f t="shared" si="1"/>
        <v/>
      </c>
      <c r="J10687" t="str">
        <f>IFERROR(__xludf.DUMMYFUNCTION("IFS(
  AND(REGEXMATCH(E10687, ""台銀籌備帳戶|玉山帳戶""), REGEXMATCH(C10687, ""薪資"")), ""分潤支出"",
  AND(REGEXMATCH(E10687, ""Ben帳戶|Elsa帳戶|Ben代墊|Ariel代墊|中信銀行共用""), REGEXMATCH(F10687, ""Ben帳戶|Elsa帳戶|Ben代墊|Ariel代墊|中信銀行共用"")), ""內部轉帳(忽略)"",
  AND(E10687&lt;&gt;"""", F10687&lt;&gt;"&amp;""""", NOT(REGEXMATCH(C10687, ""薪資""))), ""內部轉帳(忽略)"",
  REGEXMATCH(C10687, ""薪資""), ""薪資變動(不計入)"",
  REGEXMATCH(C10687, ""押金""), ""押金往來"",
  AND(E10687&lt;&gt;"""", F10687=""""), ""真實支出"",
  AND(E10687="""", F10687&lt;&gt;""""), ""真實收入"",
  TRUE, ""其他""
)"),"其他")</f>
        <v>其他</v>
      </c>
      <c r="K10687" s="270" t="str">
        <f t="shared" si="2"/>
        <v/>
      </c>
      <c r="L10687">
        <f t="shared" si="3"/>
        <v>0</v>
      </c>
    </row>
    <row r="10688">
      <c r="A10688" s="107"/>
      <c r="D10688" s="270"/>
      <c r="H10688" s="106" t="str">
        <f t="shared" si="1"/>
        <v/>
      </c>
      <c r="J10688" t="str">
        <f>IFERROR(__xludf.DUMMYFUNCTION("IFS(
  AND(REGEXMATCH(E10688, ""台銀籌備帳戶|玉山帳戶""), REGEXMATCH(C10688, ""薪資"")), ""分潤支出"",
  AND(REGEXMATCH(E10688, ""Ben帳戶|Elsa帳戶|Ben代墊|Ariel代墊|中信銀行共用""), REGEXMATCH(F10688, ""Ben帳戶|Elsa帳戶|Ben代墊|Ariel代墊|中信銀行共用"")), ""內部轉帳(忽略)"",
  AND(E10688&lt;&gt;"""", F10688&lt;&gt;"&amp;""""", NOT(REGEXMATCH(C10688, ""薪資""))), ""內部轉帳(忽略)"",
  REGEXMATCH(C10688, ""薪資""), ""薪資變動(不計入)"",
  REGEXMATCH(C10688, ""押金""), ""押金往來"",
  AND(E10688&lt;&gt;"""", F10688=""""), ""真實支出"",
  AND(E10688="""", F10688&lt;&gt;""""), ""真實收入"",
  TRUE, ""其他""
)"),"其他")</f>
        <v>其他</v>
      </c>
      <c r="K10688" s="270" t="str">
        <f t="shared" si="2"/>
        <v/>
      </c>
      <c r="L10688">
        <f t="shared" si="3"/>
        <v>0</v>
      </c>
    </row>
    <row r="10689">
      <c r="A10689" s="107"/>
      <c r="D10689" s="270"/>
      <c r="H10689" s="106" t="str">
        <f t="shared" si="1"/>
        <v/>
      </c>
      <c r="J10689" t="str">
        <f>IFERROR(__xludf.DUMMYFUNCTION("IFS(
  AND(REGEXMATCH(E10689, ""台銀籌備帳戶|玉山帳戶""), REGEXMATCH(C10689, ""薪資"")), ""分潤支出"",
  AND(REGEXMATCH(E10689, ""Ben帳戶|Elsa帳戶|Ben代墊|Ariel代墊|中信銀行共用""), REGEXMATCH(F10689, ""Ben帳戶|Elsa帳戶|Ben代墊|Ariel代墊|中信銀行共用"")), ""內部轉帳(忽略)"",
  AND(E10689&lt;&gt;"""", F10689&lt;&gt;"&amp;""""", NOT(REGEXMATCH(C10689, ""薪資""))), ""內部轉帳(忽略)"",
  REGEXMATCH(C10689, ""薪資""), ""薪資變動(不計入)"",
  REGEXMATCH(C10689, ""押金""), ""押金往來"",
  AND(E10689&lt;&gt;"""", F10689=""""), ""真實支出"",
  AND(E10689="""", F10689&lt;&gt;""""), ""真實收入"",
  TRUE, ""其他""
)"),"其他")</f>
        <v>其他</v>
      </c>
      <c r="K10689" s="270" t="str">
        <f t="shared" si="2"/>
        <v/>
      </c>
      <c r="L10689">
        <f t="shared" si="3"/>
        <v>0</v>
      </c>
    </row>
    <row r="10690">
      <c r="A10690" s="107"/>
      <c r="D10690" s="270"/>
      <c r="H10690" s="106" t="str">
        <f t="shared" si="1"/>
        <v/>
      </c>
      <c r="J10690" t="str">
        <f>IFERROR(__xludf.DUMMYFUNCTION("IFS(
  AND(REGEXMATCH(E10690, ""台銀籌備帳戶|玉山帳戶""), REGEXMATCH(C10690, ""薪資"")), ""分潤支出"",
  AND(REGEXMATCH(E10690, ""Ben帳戶|Elsa帳戶|Ben代墊|Ariel代墊|中信銀行共用""), REGEXMATCH(F10690, ""Ben帳戶|Elsa帳戶|Ben代墊|Ariel代墊|中信銀行共用"")), ""內部轉帳(忽略)"",
  AND(E10690&lt;&gt;"""", F10690&lt;&gt;"&amp;""""", NOT(REGEXMATCH(C10690, ""薪資""))), ""內部轉帳(忽略)"",
  REGEXMATCH(C10690, ""薪資""), ""薪資變動(不計入)"",
  REGEXMATCH(C10690, ""押金""), ""押金往來"",
  AND(E10690&lt;&gt;"""", F10690=""""), ""真實支出"",
  AND(E10690="""", F10690&lt;&gt;""""), ""真實收入"",
  TRUE, ""其他""
)"),"其他")</f>
        <v>其他</v>
      </c>
      <c r="K10690" s="270" t="str">
        <f t="shared" si="2"/>
        <v/>
      </c>
      <c r="L10690">
        <f t="shared" si="3"/>
        <v>0</v>
      </c>
    </row>
    <row r="10691">
      <c r="A10691" s="107"/>
      <c r="D10691" s="270"/>
      <c r="H10691" s="106" t="str">
        <f t="shared" si="1"/>
        <v/>
      </c>
      <c r="J10691" t="str">
        <f>IFERROR(__xludf.DUMMYFUNCTION("IFS(
  AND(REGEXMATCH(E10691, ""台銀籌備帳戶|玉山帳戶""), REGEXMATCH(C10691, ""薪資"")), ""分潤支出"",
  AND(REGEXMATCH(E10691, ""Ben帳戶|Elsa帳戶|Ben代墊|Ariel代墊|中信銀行共用""), REGEXMATCH(F10691, ""Ben帳戶|Elsa帳戶|Ben代墊|Ariel代墊|中信銀行共用"")), ""內部轉帳(忽略)"",
  AND(E10691&lt;&gt;"""", F10691&lt;&gt;"&amp;""""", NOT(REGEXMATCH(C10691, ""薪資""))), ""內部轉帳(忽略)"",
  REGEXMATCH(C10691, ""薪資""), ""薪資變動(不計入)"",
  REGEXMATCH(C10691, ""押金""), ""押金往來"",
  AND(E10691&lt;&gt;"""", F10691=""""), ""真實支出"",
  AND(E10691="""", F10691&lt;&gt;""""), ""真實收入"",
  TRUE, ""其他""
)"),"其他")</f>
        <v>其他</v>
      </c>
      <c r="K10691" s="270" t="str">
        <f t="shared" si="2"/>
        <v/>
      </c>
      <c r="L10691">
        <f t="shared" si="3"/>
        <v>0</v>
      </c>
    </row>
    <row r="10692">
      <c r="A10692" s="107"/>
      <c r="D10692" s="270"/>
      <c r="H10692" s="106" t="str">
        <f t="shared" si="1"/>
        <v/>
      </c>
      <c r="J10692" t="str">
        <f>IFERROR(__xludf.DUMMYFUNCTION("IFS(
  AND(REGEXMATCH(E10692, ""台銀籌備帳戶|玉山帳戶""), REGEXMATCH(C10692, ""薪資"")), ""分潤支出"",
  AND(REGEXMATCH(E10692, ""Ben帳戶|Elsa帳戶|Ben代墊|Ariel代墊|中信銀行共用""), REGEXMATCH(F10692, ""Ben帳戶|Elsa帳戶|Ben代墊|Ariel代墊|中信銀行共用"")), ""內部轉帳(忽略)"",
  AND(E10692&lt;&gt;"""", F10692&lt;&gt;"&amp;""""", NOT(REGEXMATCH(C10692, ""薪資""))), ""內部轉帳(忽略)"",
  REGEXMATCH(C10692, ""薪資""), ""薪資變動(不計入)"",
  REGEXMATCH(C10692, ""押金""), ""押金往來"",
  AND(E10692&lt;&gt;"""", F10692=""""), ""真實支出"",
  AND(E10692="""", F10692&lt;&gt;""""), ""真實收入"",
  TRUE, ""其他""
)"),"其他")</f>
        <v>其他</v>
      </c>
      <c r="K10692" s="270" t="str">
        <f t="shared" si="2"/>
        <v/>
      </c>
      <c r="L10692">
        <f t="shared" si="3"/>
        <v>0</v>
      </c>
    </row>
    <row r="10693">
      <c r="A10693" s="107"/>
      <c r="D10693" s="270"/>
      <c r="H10693" s="106" t="str">
        <f t="shared" si="1"/>
        <v/>
      </c>
      <c r="J10693" t="str">
        <f>IFERROR(__xludf.DUMMYFUNCTION("IFS(
  AND(REGEXMATCH(E10693, ""台銀籌備帳戶|玉山帳戶""), REGEXMATCH(C10693, ""薪資"")), ""分潤支出"",
  AND(REGEXMATCH(E10693, ""Ben帳戶|Elsa帳戶|Ben代墊|Ariel代墊|中信銀行共用""), REGEXMATCH(F10693, ""Ben帳戶|Elsa帳戶|Ben代墊|Ariel代墊|中信銀行共用"")), ""內部轉帳(忽略)"",
  AND(E10693&lt;&gt;"""", F10693&lt;&gt;"&amp;""""", NOT(REGEXMATCH(C10693, ""薪資""))), ""內部轉帳(忽略)"",
  REGEXMATCH(C10693, ""薪資""), ""薪資變動(不計入)"",
  REGEXMATCH(C10693, ""押金""), ""押金往來"",
  AND(E10693&lt;&gt;"""", F10693=""""), ""真實支出"",
  AND(E10693="""", F10693&lt;&gt;""""), ""真實收入"",
  TRUE, ""其他""
)"),"其他")</f>
        <v>其他</v>
      </c>
      <c r="K10693" s="270" t="str">
        <f t="shared" si="2"/>
        <v/>
      </c>
      <c r="L10693">
        <f t="shared" si="3"/>
        <v>0</v>
      </c>
    </row>
    <row r="10694">
      <c r="A10694" s="107"/>
      <c r="D10694" s="270"/>
      <c r="H10694" s="106" t="str">
        <f t="shared" si="1"/>
        <v/>
      </c>
      <c r="J10694" t="str">
        <f>IFERROR(__xludf.DUMMYFUNCTION("IFS(
  AND(REGEXMATCH(E10694, ""台銀籌備帳戶|玉山帳戶""), REGEXMATCH(C10694, ""薪資"")), ""分潤支出"",
  AND(REGEXMATCH(E10694, ""Ben帳戶|Elsa帳戶|Ben代墊|Ariel代墊|中信銀行共用""), REGEXMATCH(F10694, ""Ben帳戶|Elsa帳戶|Ben代墊|Ariel代墊|中信銀行共用"")), ""內部轉帳(忽略)"",
  AND(E10694&lt;&gt;"""", F10694&lt;&gt;"&amp;""""", NOT(REGEXMATCH(C10694, ""薪資""))), ""內部轉帳(忽略)"",
  REGEXMATCH(C10694, ""薪資""), ""薪資變動(不計入)"",
  REGEXMATCH(C10694, ""押金""), ""押金往來"",
  AND(E10694&lt;&gt;"""", F10694=""""), ""真實支出"",
  AND(E10694="""", F10694&lt;&gt;""""), ""真實收入"",
  TRUE, ""其他""
)"),"其他")</f>
        <v>其他</v>
      </c>
      <c r="K10694" s="270" t="str">
        <f t="shared" si="2"/>
        <v/>
      </c>
      <c r="L10694">
        <f t="shared" si="3"/>
        <v>0</v>
      </c>
    </row>
    <row r="10695">
      <c r="A10695" s="107"/>
      <c r="D10695" s="270"/>
      <c r="H10695" s="106" t="str">
        <f t="shared" si="1"/>
        <v/>
      </c>
      <c r="J10695" t="str">
        <f>IFERROR(__xludf.DUMMYFUNCTION("IFS(
  AND(REGEXMATCH(E10695, ""台銀籌備帳戶|玉山帳戶""), REGEXMATCH(C10695, ""薪資"")), ""分潤支出"",
  AND(REGEXMATCH(E10695, ""Ben帳戶|Elsa帳戶|Ben代墊|Ariel代墊|中信銀行共用""), REGEXMATCH(F10695, ""Ben帳戶|Elsa帳戶|Ben代墊|Ariel代墊|中信銀行共用"")), ""內部轉帳(忽略)"",
  AND(E10695&lt;&gt;"""", F10695&lt;&gt;"&amp;""""", NOT(REGEXMATCH(C10695, ""薪資""))), ""內部轉帳(忽略)"",
  REGEXMATCH(C10695, ""薪資""), ""薪資變動(不計入)"",
  REGEXMATCH(C10695, ""押金""), ""押金往來"",
  AND(E10695&lt;&gt;"""", F10695=""""), ""真實支出"",
  AND(E10695="""", F10695&lt;&gt;""""), ""真實收入"",
  TRUE, ""其他""
)"),"其他")</f>
        <v>其他</v>
      </c>
      <c r="K10695" s="270" t="str">
        <f t="shared" si="2"/>
        <v/>
      </c>
      <c r="L10695">
        <f t="shared" si="3"/>
        <v>0</v>
      </c>
    </row>
    <row r="10696">
      <c r="A10696" s="107"/>
      <c r="D10696" s="270"/>
      <c r="H10696" s="106" t="str">
        <f t="shared" si="1"/>
        <v/>
      </c>
      <c r="J10696" t="str">
        <f>IFERROR(__xludf.DUMMYFUNCTION("IFS(
  AND(REGEXMATCH(E10696, ""台銀籌備帳戶|玉山帳戶""), REGEXMATCH(C10696, ""薪資"")), ""分潤支出"",
  AND(REGEXMATCH(E10696, ""Ben帳戶|Elsa帳戶|Ben代墊|Ariel代墊|中信銀行共用""), REGEXMATCH(F10696, ""Ben帳戶|Elsa帳戶|Ben代墊|Ariel代墊|中信銀行共用"")), ""內部轉帳(忽略)"",
  AND(E10696&lt;&gt;"""", F10696&lt;&gt;"&amp;""""", NOT(REGEXMATCH(C10696, ""薪資""))), ""內部轉帳(忽略)"",
  REGEXMATCH(C10696, ""薪資""), ""薪資變動(不計入)"",
  REGEXMATCH(C10696, ""押金""), ""押金往來"",
  AND(E10696&lt;&gt;"""", F10696=""""), ""真實支出"",
  AND(E10696="""", F10696&lt;&gt;""""), ""真實收入"",
  TRUE, ""其他""
)"),"其他")</f>
        <v>其他</v>
      </c>
      <c r="K10696" s="270" t="str">
        <f t="shared" si="2"/>
        <v/>
      </c>
      <c r="L10696">
        <f t="shared" si="3"/>
        <v>0</v>
      </c>
    </row>
    <row r="10697">
      <c r="A10697" s="107"/>
      <c r="D10697" s="270"/>
      <c r="H10697" s="106" t="str">
        <f t="shared" si="1"/>
        <v/>
      </c>
      <c r="J10697" t="str">
        <f>IFERROR(__xludf.DUMMYFUNCTION("IFS(
  AND(REGEXMATCH(E10697, ""台銀籌備帳戶|玉山帳戶""), REGEXMATCH(C10697, ""薪資"")), ""分潤支出"",
  AND(REGEXMATCH(E10697, ""Ben帳戶|Elsa帳戶|Ben代墊|Ariel代墊|中信銀行共用""), REGEXMATCH(F10697, ""Ben帳戶|Elsa帳戶|Ben代墊|Ariel代墊|中信銀行共用"")), ""內部轉帳(忽略)"",
  AND(E10697&lt;&gt;"""", F10697&lt;&gt;"&amp;""""", NOT(REGEXMATCH(C10697, ""薪資""))), ""內部轉帳(忽略)"",
  REGEXMATCH(C10697, ""薪資""), ""薪資變動(不計入)"",
  REGEXMATCH(C10697, ""押金""), ""押金往來"",
  AND(E10697&lt;&gt;"""", F10697=""""), ""真實支出"",
  AND(E10697="""", F10697&lt;&gt;""""), ""真實收入"",
  TRUE, ""其他""
)"),"其他")</f>
        <v>其他</v>
      </c>
      <c r="K10697" s="270" t="str">
        <f t="shared" si="2"/>
        <v/>
      </c>
      <c r="L10697">
        <f t="shared" si="3"/>
        <v>0</v>
      </c>
    </row>
    <row r="10698">
      <c r="A10698" s="107"/>
      <c r="D10698" s="270"/>
      <c r="H10698" s="106" t="str">
        <f t="shared" si="1"/>
        <v/>
      </c>
      <c r="J10698" t="str">
        <f>IFERROR(__xludf.DUMMYFUNCTION("IFS(
  AND(REGEXMATCH(E10698, ""台銀籌備帳戶|玉山帳戶""), REGEXMATCH(C10698, ""薪資"")), ""分潤支出"",
  AND(REGEXMATCH(E10698, ""Ben帳戶|Elsa帳戶|Ben代墊|Ariel代墊|中信銀行共用""), REGEXMATCH(F10698, ""Ben帳戶|Elsa帳戶|Ben代墊|Ariel代墊|中信銀行共用"")), ""內部轉帳(忽略)"",
  AND(E10698&lt;&gt;"""", F10698&lt;&gt;"&amp;""""", NOT(REGEXMATCH(C10698, ""薪資""))), ""內部轉帳(忽略)"",
  REGEXMATCH(C10698, ""薪資""), ""薪資變動(不計入)"",
  REGEXMATCH(C10698, ""押金""), ""押金往來"",
  AND(E10698&lt;&gt;"""", F10698=""""), ""真實支出"",
  AND(E10698="""", F10698&lt;&gt;""""), ""真實收入"",
  TRUE, ""其他""
)"),"其他")</f>
        <v>其他</v>
      </c>
      <c r="K10698" s="270" t="str">
        <f t="shared" si="2"/>
        <v/>
      </c>
      <c r="L10698">
        <f t="shared" si="3"/>
        <v>0</v>
      </c>
    </row>
    <row r="10699">
      <c r="A10699" s="107"/>
      <c r="D10699" s="270"/>
      <c r="H10699" s="106" t="str">
        <f t="shared" si="1"/>
        <v/>
      </c>
      <c r="J10699" t="str">
        <f>IFERROR(__xludf.DUMMYFUNCTION("IFS(
  AND(REGEXMATCH(E10699, ""台銀籌備帳戶|玉山帳戶""), REGEXMATCH(C10699, ""薪資"")), ""分潤支出"",
  AND(REGEXMATCH(E10699, ""Ben帳戶|Elsa帳戶|Ben代墊|Ariel代墊|中信銀行共用""), REGEXMATCH(F10699, ""Ben帳戶|Elsa帳戶|Ben代墊|Ariel代墊|中信銀行共用"")), ""內部轉帳(忽略)"",
  AND(E10699&lt;&gt;"""", F10699&lt;&gt;"&amp;""""", NOT(REGEXMATCH(C10699, ""薪資""))), ""內部轉帳(忽略)"",
  REGEXMATCH(C10699, ""薪資""), ""薪資變動(不計入)"",
  REGEXMATCH(C10699, ""押金""), ""押金往來"",
  AND(E10699&lt;&gt;"""", F10699=""""), ""真實支出"",
  AND(E10699="""", F10699&lt;&gt;""""), ""真實收入"",
  TRUE, ""其他""
)"),"其他")</f>
        <v>其他</v>
      </c>
      <c r="K10699" s="270" t="str">
        <f t="shared" si="2"/>
        <v/>
      </c>
      <c r="L10699">
        <f t="shared" si="3"/>
        <v>0</v>
      </c>
    </row>
    <row r="10700">
      <c r="A10700" s="107"/>
      <c r="D10700" s="270"/>
      <c r="H10700" s="106" t="str">
        <f t="shared" si="1"/>
        <v/>
      </c>
      <c r="J10700" t="str">
        <f>IFERROR(__xludf.DUMMYFUNCTION("IFS(
  AND(REGEXMATCH(E10700, ""台銀籌備帳戶|玉山帳戶""), REGEXMATCH(C10700, ""薪資"")), ""分潤支出"",
  AND(REGEXMATCH(E10700, ""Ben帳戶|Elsa帳戶|Ben代墊|Ariel代墊|中信銀行共用""), REGEXMATCH(F10700, ""Ben帳戶|Elsa帳戶|Ben代墊|Ariel代墊|中信銀行共用"")), ""內部轉帳(忽略)"",
  AND(E10700&lt;&gt;"""", F10700&lt;&gt;"&amp;""""", NOT(REGEXMATCH(C10700, ""薪資""))), ""內部轉帳(忽略)"",
  REGEXMATCH(C10700, ""薪資""), ""薪資變動(不計入)"",
  REGEXMATCH(C10700, ""押金""), ""押金往來"",
  AND(E10700&lt;&gt;"""", F10700=""""), ""真實支出"",
  AND(E10700="""", F10700&lt;&gt;""""), ""真實收入"",
  TRUE, ""其他""
)"),"其他")</f>
        <v>其他</v>
      </c>
      <c r="K10700" s="270" t="str">
        <f t="shared" si="2"/>
        <v/>
      </c>
      <c r="L10700">
        <f t="shared" si="3"/>
        <v>0</v>
      </c>
    </row>
    <row r="10701">
      <c r="A10701" s="107"/>
      <c r="D10701" s="270"/>
      <c r="H10701" s="106" t="str">
        <f t="shared" si="1"/>
        <v/>
      </c>
      <c r="J10701" t="str">
        <f>IFERROR(__xludf.DUMMYFUNCTION("IFS(
  AND(REGEXMATCH(E10701, ""台銀籌備帳戶|玉山帳戶""), REGEXMATCH(C10701, ""薪資"")), ""分潤支出"",
  AND(REGEXMATCH(E10701, ""Ben帳戶|Elsa帳戶|Ben代墊|Ariel代墊|中信銀行共用""), REGEXMATCH(F10701, ""Ben帳戶|Elsa帳戶|Ben代墊|Ariel代墊|中信銀行共用"")), ""內部轉帳(忽略)"",
  AND(E10701&lt;&gt;"""", F10701&lt;&gt;"&amp;""""", NOT(REGEXMATCH(C10701, ""薪資""))), ""內部轉帳(忽略)"",
  REGEXMATCH(C10701, ""薪資""), ""薪資變動(不計入)"",
  REGEXMATCH(C10701, ""押金""), ""押金往來"",
  AND(E10701&lt;&gt;"""", F10701=""""), ""真實支出"",
  AND(E10701="""", F10701&lt;&gt;""""), ""真實收入"",
  TRUE, ""其他""
)"),"其他")</f>
        <v>其他</v>
      </c>
      <c r="K10701" s="270" t="str">
        <f t="shared" si="2"/>
        <v/>
      </c>
      <c r="L10701">
        <f t="shared" si="3"/>
        <v>0</v>
      </c>
    </row>
    <row r="10702">
      <c r="A10702" s="107"/>
      <c r="D10702" s="270"/>
      <c r="H10702" s="106" t="str">
        <f t="shared" si="1"/>
        <v/>
      </c>
      <c r="J10702" t="str">
        <f>IFERROR(__xludf.DUMMYFUNCTION("IFS(
  AND(REGEXMATCH(E10702, ""台銀籌備帳戶|玉山帳戶""), REGEXMATCH(C10702, ""薪資"")), ""分潤支出"",
  AND(REGEXMATCH(E10702, ""Ben帳戶|Elsa帳戶|Ben代墊|Ariel代墊|中信銀行共用""), REGEXMATCH(F10702, ""Ben帳戶|Elsa帳戶|Ben代墊|Ariel代墊|中信銀行共用"")), ""內部轉帳(忽略)"",
  AND(E10702&lt;&gt;"""", F10702&lt;&gt;"&amp;""""", NOT(REGEXMATCH(C10702, ""薪資""))), ""內部轉帳(忽略)"",
  REGEXMATCH(C10702, ""薪資""), ""薪資變動(不計入)"",
  REGEXMATCH(C10702, ""押金""), ""押金往來"",
  AND(E10702&lt;&gt;"""", F10702=""""), ""真實支出"",
  AND(E10702="""", F10702&lt;&gt;""""), ""真實收入"",
  TRUE, ""其他""
)"),"其他")</f>
        <v>其他</v>
      </c>
      <c r="K10702" s="270" t="str">
        <f t="shared" si="2"/>
        <v/>
      </c>
      <c r="L10702">
        <f t="shared" si="3"/>
        <v>0</v>
      </c>
    </row>
    <row r="10703">
      <c r="A10703" s="107"/>
      <c r="D10703" s="270"/>
      <c r="H10703" s="106" t="str">
        <f t="shared" si="1"/>
        <v/>
      </c>
      <c r="J10703" t="str">
        <f>IFERROR(__xludf.DUMMYFUNCTION("IFS(
  AND(REGEXMATCH(E10703, ""台銀籌備帳戶|玉山帳戶""), REGEXMATCH(C10703, ""薪資"")), ""分潤支出"",
  AND(REGEXMATCH(E10703, ""Ben帳戶|Elsa帳戶|Ben代墊|Ariel代墊|中信銀行共用""), REGEXMATCH(F10703, ""Ben帳戶|Elsa帳戶|Ben代墊|Ariel代墊|中信銀行共用"")), ""內部轉帳(忽略)"",
  AND(E10703&lt;&gt;"""", F10703&lt;&gt;"&amp;""""", NOT(REGEXMATCH(C10703, ""薪資""))), ""內部轉帳(忽略)"",
  REGEXMATCH(C10703, ""薪資""), ""薪資變動(不計入)"",
  REGEXMATCH(C10703, ""押金""), ""押金往來"",
  AND(E10703&lt;&gt;"""", F10703=""""), ""真實支出"",
  AND(E10703="""", F10703&lt;&gt;""""), ""真實收入"",
  TRUE, ""其他""
)"),"其他")</f>
        <v>其他</v>
      </c>
      <c r="K10703" s="270" t="str">
        <f t="shared" si="2"/>
        <v/>
      </c>
      <c r="L10703">
        <f t="shared" si="3"/>
        <v>0</v>
      </c>
    </row>
    <row r="10704">
      <c r="A10704" s="107"/>
      <c r="D10704" s="270"/>
      <c r="H10704" s="106" t="str">
        <f t="shared" si="1"/>
        <v/>
      </c>
      <c r="J10704" t="str">
        <f>IFERROR(__xludf.DUMMYFUNCTION("IFS(
  AND(REGEXMATCH(E10704, ""台銀籌備帳戶|玉山帳戶""), REGEXMATCH(C10704, ""薪資"")), ""分潤支出"",
  AND(REGEXMATCH(E10704, ""Ben帳戶|Elsa帳戶|Ben代墊|Ariel代墊|中信銀行共用""), REGEXMATCH(F10704, ""Ben帳戶|Elsa帳戶|Ben代墊|Ariel代墊|中信銀行共用"")), ""內部轉帳(忽略)"",
  AND(E10704&lt;&gt;"""", F10704&lt;&gt;"&amp;""""", NOT(REGEXMATCH(C10704, ""薪資""))), ""內部轉帳(忽略)"",
  REGEXMATCH(C10704, ""薪資""), ""薪資變動(不計入)"",
  REGEXMATCH(C10704, ""押金""), ""押金往來"",
  AND(E10704&lt;&gt;"""", F10704=""""), ""真實支出"",
  AND(E10704="""", F10704&lt;&gt;""""), ""真實收入"",
  TRUE, ""其他""
)"),"其他")</f>
        <v>其他</v>
      </c>
      <c r="K10704" s="270" t="str">
        <f t="shared" si="2"/>
        <v/>
      </c>
      <c r="L10704">
        <f t="shared" si="3"/>
        <v>0</v>
      </c>
    </row>
    <row r="10705">
      <c r="A10705" s="107"/>
      <c r="D10705" s="270"/>
      <c r="H10705" s="106" t="str">
        <f t="shared" si="1"/>
        <v/>
      </c>
      <c r="J10705" t="str">
        <f>IFERROR(__xludf.DUMMYFUNCTION("IFS(
  AND(REGEXMATCH(E10705, ""台銀籌備帳戶|玉山帳戶""), REGEXMATCH(C10705, ""薪資"")), ""分潤支出"",
  AND(REGEXMATCH(E10705, ""Ben帳戶|Elsa帳戶|Ben代墊|Ariel代墊|中信銀行共用""), REGEXMATCH(F10705, ""Ben帳戶|Elsa帳戶|Ben代墊|Ariel代墊|中信銀行共用"")), ""內部轉帳(忽略)"",
  AND(E10705&lt;&gt;"""", F10705&lt;&gt;"&amp;""""", NOT(REGEXMATCH(C10705, ""薪資""))), ""內部轉帳(忽略)"",
  REGEXMATCH(C10705, ""薪資""), ""薪資變動(不計入)"",
  REGEXMATCH(C10705, ""押金""), ""押金往來"",
  AND(E10705&lt;&gt;"""", F10705=""""), ""真實支出"",
  AND(E10705="""", F10705&lt;&gt;""""), ""真實收入"",
  TRUE, ""其他""
)"),"其他")</f>
        <v>其他</v>
      </c>
      <c r="K10705" s="270" t="str">
        <f t="shared" si="2"/>
        <v/>
      </c>
      <c r="L10705">
        <f t="shared" si="3"/>
        <v>0</v>
      </c>
    </row>
    <row r="10706">
      <c r="A10706" s="107"/>
      <c r="D10706" s="270"/>
      <c r="H10706" s="106" t="str">
        <f t="shared" si="1"/>
        <v/>
      </c>
      <c r="J10706" t="str">
        <f>IFERROR(__xludf.DUMMYFUNCTION("IFS(
  AND(REGEXMATCH(E10706, ""台銀籌備帳戶|玉山帳戶""), REGEXMATCH(C10706, ""薪資"")), ""分潤支出"",
  AND(REGEXMATCH(E10706, ""Ben帳戶|Elsa帳戶|Ben代墊|Ariel代墊|中信銀行共用""), REGEXMATCH(F10706, ""Ben帳戶|Elsa帳戶|Ben代墊|Ariel代墊|中信銀行共用"")), ""內部轉帳(忽略)"",
  AND(E10706&lt;&gt;"""", F10706&lt;&gt;"&amp;""""", NOT(REGEXMATCH(C10706, ""薪資""))), ""內部轉帳(忽略)"",
  REGEXMATCH(C10706, ""薪資""), ""薪資變動(不計入)"",
  REGEXMATCH(C10706, ""押金""), ""押金往來"",
  AND(E10706&lt;&gt;"""", F10706=""""), ""真實支出"",
  AND(E10706="""", F10706&lt;&gt;""""), ""真實收入"",
  TRUE, ""其他""
)"),"其他")</f>
        <v>其他</v>
      </c>
      <c r="K10706" s="270" t="str">
        <f t="shared" si="2"/>
        <v/>
      </c>
      <c r="L10706">
        <f t="shared" si="3"/>
        <v>0</v>
      </c>
    </row>
    <row r="10707">
      <c r="A10707" s="107"/>
      <c r="D10707" s="270"/>
      <c r="H10707" s="106" t="str">
        <f t="shared" si="1"/>
        <v/>
      </c>
      <c r="J10707" t="str">
        <f>IFERROR(__xludf.DUMMYFUNCTION("IFS(
  AND(REGEXMATCH(E10707, ""台銀籌備帳戶|玉山帳戶""), REGEXMATCH(C10707, ""薪資"")), ""分潤支出"",
  AND(REGEXMATCH(E10707, ""Ben帳戶|Elsa帳戶|Ben代墊|Ariel代墊|中信銀行共用""), REGEXMATCH(F10707, ""Ben帳戶|Elsa帳戶|Ben代墊|Ariel代墊|中信銀行共用"")), ""內部轉帳(忽略)"",
  AND(E10707&lt;&gt;"""", F10707&lt;&gt;"&amp;""""", NOT(REGEXMATCH(C10707, ""薪資""))), ""內部轉帳(忽略)"",
  REGEXMATCH(C10707, ""薪資""), ""薪資變動(不計入)"",
  REGEXMATCH(C10707, ""押金""), ""押金往來"",
  AND(E10707&lt;&gt;"""", F10707=""""), ""真實支出"",
  AND(E10707="""", F10707&lt;&gt;""""), ""真實收入"",
  TRUE, ""其他""
)"),"其他")</f>
        <v>其他</v>
      </c>
      <c r="K10707" s="270" t="str">
        <f t="shared" si="2"/>
        <v/>
      </c>
      <c r="L10707">
        <f t="shared" si="3"/>
        <v>0</v>
      </c>
    </row>
    <row r="10708">
      <c r="A10708" s="107"/>
      <c r="D10708" s="270"/>
      <c r="H10708" s="106" t="str">
        <f t="shared" si="1"/>
        <v/>
      </c>
      <c r="J10708" t="str">
        <f>IFERROR(__xludf.DUMMYFUNCTION("IFS(
  AND(REGEXMATCH(E10708, ""台銀籌備帳戶|玉山帳戶""), REGEXMATCH(C10708, ""薪資"")), ""分潤支出"",
  AND(REGEXMATCH(E10708, ""Ben帳戶|Elsa帳戶|Ben代墊|Ariel代墊|中信銀行共用""), REGEXMATCH(F10708, ""Ben帳戶|Elsa帳戶|Ben代墊|Ariel代墊|中信銀行共用"")), ""內部轉帳(忽略)"",
  AND(E10708&lt;&gt;"""", F10708&lt;&gt;"&amp;""""", NOT(REGEXMATCH(C10708, ""薪資""))), ""內部轉帳(忽略)"",
  REGEXMATCH(C10708, ""薪資""), ""薪資變動(不計入)"",
  REGEXMATCH(C10708, ""押金""), ""押金往來"",
  AND(E10708&lt;&gt;"""", F10708=""""), ""真實支出"",
  AND(E10708="""", F10708&lt;&gt;""""), ""真實收入"",
  TRUE, ""其他""
)"),"其他")</f>
        <v>其他</v>
      </c>
      <c r="K10708" s="270" t="str">
        <f t="shared" si="2"/>
        <v/>
      </c>
      <c r="L10708">
        <f t="shared" si="3"/>
        <v>0</v>
      </c>
    </row>
    <row r="10709">
      <c r="A10709" s="107"/>
      <c r="D10709" s="270"/>
      <c r="H10709" s="106" t="str">
        <f t="shared" si="1"/>
        <v/>
      </c>
      <c r="J10709" t="str">
        <f>IFERROR(__xludf.DUMMYFUNCTION("IFS(
  AND(REGEXMATCH(E10709, ""台銀籌備帳戶|玉山帳戶""), REGEXMATCH(C10709, ""薪資"")), ""分潤支出"",
  AND(REGEXMATCH(E10709, ""Ben帳戶|Elsa帳戶|Ben代墊|Ariel代墊|中信銀行共用""), REGEXMATCH(F10709, ""Ben帳戶|Elsa帳戶|Ben代墊|Ariel代墊|中信銀行共用"")), ""內部轉帳(忽略)"",
  AND(E10709&lt;&gt;"""", F10709&lt;&gt;"&amp;""""", NOT(REGEXMATCH(C10709, ""薪資""))), ""內部轉帳(忽略)"",
  REGEXMATCH(C10709, ""薪資""), ""薪資變動(不計入)"",
  REGEXMATCH(C10709, ""押金""), ""押金往來"",
  AND(E10709&lt;&gt;"""", F10709=""""), ""真實支出"",
  AND(E10709="""", F10709&lt;&gt;""""), ""真實收入"",
  TRUE, ""其他""
)"),"其他")</f>
        <v>其他</v>
      </c>
      <c r="K10709" s="270" t="str">
        <f t="shared" si="2"/>
        <v/>
      </c>
      <c r="L10709">
        <f t="shared" si="3"/>
        <v>0</v>
      </c>
    </row>
    <row r="10710">
      <c r="A10710" s="107"/>
      <c r="D10710" s="270"/>
      <c r="H10710" s="106" t="str">
        <f t="shared" si="1"/>
        <v/>
      </c>
      <c r="J10710" t="str">
        <f>IFERROR(__xludf.DUMMYFUNCTION("IFS(
  AND(REGEXMATCH(E10710, ""台銀籌備帳戶|玉山帳戶""), REGEXMATCH(C10710, ""薪資"")), ""分潤支出"",
  AND(REGEXMATCH(E10710, ""Ben帳戶|Elsa帳戶|Ben代墊|Ariel代墊|中信銀行共用""), REGEXMATCH(F10710, ""Ben帳戶|Elsa帳戶|Ben代墊|Ariel代墊|中信銀行共用"")), ""內部轉帳(忽略)"",
  AND(E10710&lt;&gt;"""", F10710&lt;&gt;"&amp;""""", NOT(REGEXMATCH(C10710, ""薪資""))), ""內部轉帳(忽略)"",
  REGEXMATCH(C10710, ""薪資""), ""薪資變動(不計入)"",
  REGEXMATCH(C10710, ""押金""), ""押金往來"",
  AND(E10710&lt;&gt;"""", F10710=""""), ""真實支出"",
  AND(E10710="""", F10710&lt;&gt;""""), ""真實收入"",
  TRUE, ""其他""
)"),"其他")</f>
        <v>其他</v>
      </c>
      <c r="K10710" s="270" t="str">
        <f t="shared" si="2"/>
        <v/>
      </c>
      <c r="L10710">
        <f t="shared" si="3"/>
        <v>0</v>
      </c>
    </row>
    <row r="10711">
      <c r="A10711" s="107"/>
      <c r="D10711" s="270"/>
      <c r="H10711" s="106" t="str">
        <f t="shared" si="1"/>
        <v/>
      </c>
      <c r="J10711" t="str">
        <f>IFERROR(__xludf.DUMMYFUNCTION("IFS(
  AND(REGEXMATCH(E10711, ""台銀籌備帳戶|玉山帳戶""), REGEXMATCH(C10711, ""薪資"")), ""分潤支出"",
  AND(REGEXMATCH(E10711, ""Ben帳戶|Elsa帳戶|Ben代墊|Ariel代墊|中信銀行共用""), REGEXMATCH(F10711, ""Ben帳戶|Elsa帳戶|Ben代墊|Ariel代墊|中信銀行共用"")), ""內部轉帳(忽略)"",
  AND(E10711&lt;&gt;"""", F10711&lt;&gt;"&amp;""""", NOT(REGEXMATCH(C10711, ""薪資""))), ""內部轉帳(忽略)"",
  REGEXMATCH(C10711, ""薪資""), ""薪資變動(不計入)"",
  REGEXMATCH(C10711, ""押金""), ""押金往來"",
  AND(E10711&lt;&gt;"""", F10711=""""), ""真實支出"",
  AND(E10711="""", F10711&lt;&gt;""""), ""真實收入"",
  TRUE, ""其他""
)"),"其他")</f>
        <v>其他</v>
      </c>
      <c r="K10711" s="270" t="str">
        <f t="shared" si="2"/>
        <v/>
      </c>
      <c r="L10711">
        <f t="shared" si="3"/>
        <v>0</v>
      </c>
    </row>
    <row r="10712">
      <c r="A10712" s="107"/>
      <c r="D10712" s="270"/>
      <c r="H10712" s="106" t="str">
        <f t="shared" si="1"/>
        <v/>
      </c>
      <c r="J10712" t="str">
        <f>IFERROR(__xludf.DUMMYFUNCTION("IFS(
  AND(REGEXMATCH(E10712, ""台銀籌備帳戶|玉山帳戶""), REGEXMATCH(C10712, ""薪資"")), ""分潤支出"",
  AND(REGEXMATCH(E10712, ""Ben帳戶|Elsa帳戶|Ben代墊|Ariel代墊|中信銀行共用""), REGEXMATCH(F10712, ""Ben帳戶|Elsa帳戶|Ben代墊|Ariel代墊|中信銀行共用"")), ""內部轉帳(忽略)"",
  AND(E10712&lt;&gt;"""", F10712&lt;&gt;"&amp;""""", NOT(REGEXMATCH(C10712, ""薪資""))), ""內部轉帳(忽略)"",
  REGEXMATCH(C10712, ""薪資""), ""薪資變動(不計入)"",
  REGEXMATCH(C10712, ""押金""), ""押金往來"",
  AND(E10712&lt;&gt;"""", F10712=""""), ""真實支出"",
  AND(E10712="""", F10712&lt;&gt;""""), ""真實收入"",
  TRUE, ""其他""
)"),"其他")</f>
        <v>其他</v>
      </c>
      <c r="K10712" s="270" t="str">
        <f t="shared" si="2"/>
        <v/>
      </c>
      <c r="L10712">
        <f t="shared" si="3"/>
        <v>0</v>
      </c>
    </row>
    <row r="10713">
      <c r="A10713" s="107"/>
      <c r="D10713" s="270"/>
      <c r="H10713" s="106" t="str">
        <f t="shared" si="1"/>
        <v/>
      </c>
      <c r="J10713" t="str">
        <f>IFERROR(__xludf.DUMMYFUNCTION("IFS(
  AND(REGEXMATCH(E10713, ""台銀籌備帳戶|玉山帳戶""), REGEXMATCH(C10713, ""薪資"")), ""分潤支出"",
  AND(REGEXMATCH(E10713, ""Ben帳戶|Elsa帳戶|Ben代墊|Ariel代墊|中信銀行共用""), REGEXMATCH(F10713, ""Ben帳戶|Elsa帳戶|Ben代墊|Ariel代墊|中信銀行共用"")), ""內部轉帳(忽略)"",
  AND(E10713&lt;&gt;"""", F10713&lt;&gt;"&amp;""""", NOT(REGEXMATCH(C10713, ""薪資""))), ""內部轉帳(忽略)"",
  REGEXMATCH(C10713, ""薪資""), ""薪資變動(不計入)"",
  REGEXMATCH(C10713, ""押金""), ""押金往來"",
  AND(E10713&lt;&gt;"""", F10713=""""), ""真實支出"",
  AND(E10713="""", F10713&lt;&gt;""""), ""真實收入"",
  TRUE, ""其他""
)"),"其他")</f>
        <v>其他</v>
      </c>
      <c r="K10713" s="270" t="str">
        <f t="shared" si="2"/>
        <v/>
      </c>
      <c r="L10713">
        <f t="shared" si="3"/>
        <v>0</v>
      </c>
    </row>
    <row r="10714">
      <c r="A10714" s="107"/>
      <c r="D10714" s="270"/>
      <c r="H10714" s="106" t="str">
        <f t="shared" si="1"/>
        <v/>
      </c>
      <c r="J10714" t="str">
        <f>IFERROR(__xludf.DUMMYFUNCTION("IFS(
  AND(REGEXMATCH(E10714, ""台銀籌備帳戶|玉山帳戶""), REGEXMATCH(C10714, ""薪資"")), ""分潤支出"",
  AND(REGEXMATCH(E10714, ""Ben帳戶|Elsa帳戶|Ben代墊|Ariel代墊|中信銀行共用""), REGEXMATCH(F10714, ""Ben帳戶|Elsa帳戶|Ben代墊|Ariel代墊|中信銀行共用"")), ""內部轉帳(忽略)"",
  AND(E10714&lt;&gt;"""", F10714&lt;&gt;"&amp;""""", NOT(REGEXMATCH(C10714, ""薪資""))), ""內部轉帳(忽略)"",
  REGEXMATCH(C10714, ""薪資""), ""薪資變動(不計入)"",
  REGEXMATCH(C10714, ""押金""), ""押金往來"",
  AND(E10714&lt;&gt;"""", F10714=""""), ""真實支出"",
  AND(E10714="""", F10714&lt;&gt;""""), ""真實收入"",
  TRUE, ""其他""
)"),"其他")</f>
        <v>其他</v>
      </c>
      <c r="K10714" s="270" t="str">
        <f t="shared" si="2"/>
        <v/>
      </c>
      <c r="L10714">
        <f t="shared" si="3"/>
        <v>0</v>
      </c>
    </row>
    <row r="10715">
      <c r="A10715" s="107"/>
      <c r="D10715" s="270"/>
      <c r="H10715" s="106" t="str">
        <f t="shared" si="1"/>
        <v/>
      </c>
      <c r="J10715" t="str">
        <f>IFERROR(__xludf.DUMMYFUNCTION("IFS(
  AND(REGEXMATCH(E10715, ""台銀籌備帳戶|玉山帳戶""), REGEXMATCH(C10715, ""薪資"")), ""分潤支出"",
  AND(REGEXMATCH(E10715, ""Ben帳戶|Elsa帳戶|Ben代墊|Ariel代墊|中信銀行共用""), REGEXMATCH(F10715, ""Ben帳戶|Elsa帳戶|Ben代墊|Ariel代墊|中信銀行共用"")), ""內部轉帳(忽略)"",
  AND(E10715&lt;&gt;"""", F10715&lt;&gt;"&amp;""""", NOT(REGEXMATCH(C10715, ""薪資""))), ""內部轉帳(忽略)"",
  REGEXMATCH(C10715, ""薪資""), ""薪資變動(不計入)"",
  REGEXMATCH(C10715, ""押金""), ""押金往來"",
  AND(E10715&lt;&gt;"""", F10715=""""), ""真實支出"",
  AND(E10715="""", F10715&lt;&gt;""""), ""真實收入"",
  TRUE, ""其他""
)"),"其他")</f>
        <v>其他</v>
      </c>
      <c r="K10715" s="270" t="str">
        <f t="shared" si="2"/>
        <v/>
      </c>
      <c r="L10715">
        <f t="shared" si="3"/>
        <v>0</v>
      </c>
    </row>
    <row r="10716">
      <c r="A10716" s="107"/>
      <c r="D10716" s="270"/>
      <c r="H10716" s="106" t="str">
        <f t="shared" si="1"/>
        <v/>
      </c>
      <c r="J10716" t="str">
        <f>IFERROR(__xludf.DUMMYFUNCTION("IFS(
  AND(REGEXMATCH(E10716, ""台銀籌備帳戶|玉山帳戶""), REGEXMATCH(C10716, ""薪資"")), ""分潤支出"",
  AND(REGEXMATCH(E10716, ""Ben帳戶|Elsa帳戶|Ben代墊|Ariel代墊|中信銀行共用""), REGEXMATCH(F10716, ""Ben帳戶|Elsa帳戶|Ben代墊|Ariel代墊|中信銀行共用"")), ""內部轉帳(忽略)"",
  AND(E10716&lt;&gt;"""", F10716&lt;&gt;"&amp;""""", NOT(REGEXMATCH(C10716, ""薪資""))), ""內部轉帳(忽略)"",
  REGEXMATCH(C10716, ""薪資""), ""薪資變動(不計入)"",
  REGEXMATCH(C10716, ""押金""), ""押金往來"",
  AND(E10716&lt;&gt;"""", F10716=""""), ""真實支出"",
  AND(E10716="""", F10716&lt;&gt;""""), ""真實收入"",
  TRUE, ""其他""
)"),"其他")</f>
        <v>其他</v>
      </c>
      <c r="K10716" s="270" t="str">
        <f t="shared" si="2"/>
        <v/>
      </c>
      <c r="L10716">
        <f t="shared" si="3"/>
        <v>0</v>
      </c>
    </row>
    <row r="10717">
      <c r="A10717" s="107"/>
      <c r="D10717" s="270"/>
      <c r="H10717" s="106" t="str">
        <f t="shared" si="1"/>
        <v/>
      </c>
      <c r="J10717" t="str">
        <f>IFERROR(__xludf.DUMMYFUNCTION("IFS(
  AND(REGEXMATCH(E10717, ""台銀籌備帳戶|玉山帳戶""), REGEXMATCH(C10717, ""薪資"")), ""分潤支出"",
  AND(REGEXMATCH(E10717, ""Ben帳戶|Elsa帳戶|Ben代墊|Ariel代墊|中信銀行共用""), REGEXMATCH(F10717, ""Ben帳戶|Elsa帳戶|Ben代墊|Ariel代墊|中信銀行共用"")), ""內部轉帳(忽略)"",
  AND(E10717&lt;&gt;"""", F10717&lt;&gt;"&amp;""""", NOT(REGEXMATCH(C10717, ""薪資""))), ""內部轉帳(忽略)"",
  REGEXMATCH(C10717, ""薪資""), ""薪資變動(不計入)"",
  REGEXMATCH(C10717, ""押金""), ""押金往來"",
  AND(E10717&lt;&gt;"""", F10717=""""), ""真實支出"",
  AND(E10717="""", F10717&lt;&gt;""""), ""真實收入"",
  TRUE, ""其他""
)"),"其他")</f>
        <v>其他</v>
      </c>
      <c r="K10717" s="270" t="str">
        <f t="shared" si="2"/>
        <v/>
      </c>
      <c r="L10717">
        <f t="shared" si="3"/>
        <v>0</v>
      </c>
    </row>
    <row r="10718">
      <c r="A10718" s="107"/>
      <c r="D10718" s="270"/>
      <c r="H10718" s="106" t="str">
        <f t="shared" si="1"/>
        <v/>
      </c>
      <c r="J10718" t="str">
        <f>IFERROR(__xludf.DUMMYFUNCTION("IFS(
  AND(REGEXMATCH(E10718, ""台銀籌備帳戶|玉山帳戶""), REGEXMATCH(C10718, ""薪資"")), ""分潤支出"",
  AND(REGEXMATCH(E10718, ""Ben帳戶|Elsa帳戶|Ben代墊|Ariel代墊|中信銀行共用""), REGEXMATCH(F10718, ""Ben帳戶|Elsa帳戶|Ben代墊|Ariel代墊|中信銀行共用"")), ""內部轉帳(忽略)"",
  AND(E10718&lt;&gt;"""", F10718&lt;&gt;"&amp;""""", NOT(REGEXMATCH(C10718, ""薪資""))), ""內部轉帳(忽略)"",
  REGEXMATCH(C10718, ""薪資""), ""薪資變動(不計入)"",
  REGEXMATCH(C10718, ""押金""), ""押金往來"",
  AND(E10718&lt;&gt;"""", F10718=""""), ""真實支出"",
  AND(E10718="""", F10718&lt;&gt;""""), ""真實收入"",
  TRUE, ""其他""
)"),"其他")</f>
        <v>其他</v>
      </c>
      <c r="K10718" s="270" t="str">
        <f t="shared" si="2"/>
        <v/>
      </c>
      <c r="L10718">
        <f t="shared" si="3"/>
        <v>0</v>
      </c>
    </row>
    <row r="10719">
      <c r="A10719" s="107"/>
      <c r="D10719" s="270"/>
      <c r="H10719" s="106" t="str">
        <f t="shared" si="1"/>
        <v/>
      </c>
      <c r="J10719" t="str">
        <f>IFERROR(__xludf.DUMMYFUNCTION("IFS(
  AND(REGEXMATCH(E10719, ""台銀籌備帳戶|玉山帳戶""), REGEXMATCH(C10719, ""薪資"")), ""分潤支出"",
  AND(REGEXMATCH(E10719, ""Ben帳戶|Elsa帳戶|Ben代墊|Ariel代墊|中信銀行共用""), REGEXMATCH(F10719, ""Ben帳戶|Elsa帳戶|Ben代墊|Ariel代墊|中信銀行共用"")), ""內部轉帳(忽略)"",
  AND(E10719&lt;&gt;"""", F10719&lt;&gt;"&amp;""""", NOT(REGEXMATCH(C10719, ""薪資""))), ""內部轉帳(忽略)"",
  REGEXMATCH(C10719, ""薪資""), ""薪資變動(不計入)"",
  REGEXMATCH(C10719, ""押金""), ""押金往來"",
  AND(E10719&lt;&gt;"""", F10719=""""), ""真實支出"",
  AND(E10719="""", F10719&lt;&gt;""""), ""真實收入"",
  TRUE, ""其他""
)"),"其他")</f>
        <v>其他</v>
      </c>
      <c r="K10719" s="270" t="str">
        <f t="shared" si="2"/>
        <v/>
      </c>
      <c r="L10719">
        <f t="shared" si="3"/>
        <v>0</v>
      </c>
    </row>
    <row r="10720">
      <c r="A10720" s="107"/>
      <c r="D10720" s="270"/>
      <c r="H10720" s="106" t="str">
        <f t="shared" si="1"/>
        <v/>
      </c>
      <c r="J10720" t="str">
        <f>IFERROR(__xludf.DUMMYFUNCTION("IFS(
  AND(REGEXMATCH(E10720, ""台銀籌備帳戶|玉山帳戶""), REGEXMATCH(C10720, ""薪資"")), ""分潤支出"",
  AND(REGEXMATCH(E10720, ""Ben帳戶|Elsa帳戶|Ben代墊|Ariel代墊|中信銀行共用""), REGEXMATCH(F10720, ""Ben帳戶|Elsa帳戶|Ben代墊|Ariel代墊|中信銀行共用"")), ""內部轉帳(忽略)"",
  AND(E10720&lt;&gt;"""", F10720&lt;&gt;"&amp;""""", NOT(REGEXMATCH(C10720, ""薪資""))), ""內部轉帳(忽略)"",
  REGEXMATCH(C10720, ""薪資""), ""薪資變動(不計入)"",
  REGEXMATCH(C10720, ""押金""), ""押金往來"",
  AND(E10720&lt;&gt;"""", F10720=""""), ""真實支出"",
  AND(E10720="""", F10720&lt;&gt;""""), ""真實收入"",
  TRUE, ""其他""
)"),"其他")</f>
        <v>其他</v>
      </c>
      <c r="K10720" s="270" t="str">
        <f t="shared" si="2"/>
        <v/>
      </c>
      <c r="L10720">
        <f t="shared" si="3"/>
        <v>0</v>
      </c>
    </row>
    <row r="10721">
      <c r="A10721" s="107"/>
      <c r="D10721" s="270"/>
      <c r="H10721" s="106" t="str">
        <f t="shared" si="1"/>
        <v/>
      </c>
      <c r="J10721" t="str">
        <f>IFERROR(__xludf.DUMMYFUNCTION("IFS(
  AND(REGEXMATCH(E10721, ""台銀籌備帳戶|玉山帳戶""), REGEXMATCH(C10721, ""薪資"")), ""分潤支出"",
  AND(REGEXMATCH(E10721, ""Ben帳戶|Elsa帳戶|Ben代墊|Ariel代墊|中信銀行共用""), REGEXMATCH(F10721, ""Ben帳戶|Elsa帳戶|Ben代墊|Ariel代墊|中信銀行共用"")), ""內部轉帳(忽略)"",
  AND(E10721&lt;&gt;"""", F10721&lt;&gt;"&amp;""""", NOT(REGEXMATCH(C10721, ""薪資""))), ""內部轉帳(忽略)"",
  REGEXMATCH(C10721, ""薪資""), ""薪資變動(不計入)"",
  REGEXMATCH(C10721, ""押金""), ""押金往來"",
  AND(E10721&lt;&gt;"""", F10721=""""), ""真實支出"",
  AND(E10721="""", F10721&lt;&gt;""""), ""真實收入"",
  TRUE, ""其他""
)"),"其他")</f>
        <v>其他</v>
      </c>
      <c r="K10721" s="270" t="str">
        <f t="shared" si="2"/>
        <v/>
      </c>
      <c r="L10721">
        <f t="shared" si="3"/>
        <v>0</v>
      </c>
    </row>
    <row r="10722">
      <c r="A10722" s="107"/>
      <c r="D10722" s="270"/>
      <c r="H10722" s="106" t="str">
        <f t="shared" si="1"/>
        <v/>
      </c>
      <c r="J10722" t="str">
        <f>IFERROR(__xludf.DUMMYFUNCTION("IFS(
  AND(REGEXMATCH(E10722, ""台銀籌備帳戶|玉山帳戶""), REGEXMATCH(C10722, ""薪資"")), ""分潤支出"",
  AND(REGEXMATCH(E10722, ""Ben帳戶|Elsa帳戶|Ben代墊|Ariel代墊|中信銀行共用""), REGEXMATCH(F10722, ""Ben帳戶|Elsa帳戶|Ben代墊|Ariel代墊|中信銀行共用"")), ""內部轉帳(忽略)"",
  AND(E10722&lt;&gt;"""", F10722&lt;&gt;"&amp;""""", NOT(REGEXMATCH(C10722, ""薪資""))), ""內部轉帳(忽略)"",
  REGEXMATCH(C10722, ""薪資""), ""薪資變動(不計入)"",
  REGEXMATCH(C10722, ""押金""), ""押金往來"",
  AND(E10722&lt;&gt;"""", F10722=""""), ""真實支出"",
  AND(E10722="""", F10722&lt;&gt;""""), ""真實收入"",
  TRUE, ""其他""
)"),"其他")</f>
        <v>其他</v>
      </c>
      <c r="K10722" s="270" t="str">
        <f t="shared" si="2"/>
        <v/>
      </c>
      <c r="L10722">
        <f t="shared" si="3"/>
        <v>0</v>
      </c>
    </row>
    <row r="10723">
      <c r="A10723" s="107"/>
      <c r="D10723" s="270"/>
      <c r="H10723" s="106" t="str">
        <f t="shared" si="1"/>
        <v/>
      </c>
      <c r="J10723" t="str">
        <f>IFERROR(__xludf.DUMMYFUNCTION("IFS(
  AND(REGEXMATCH(E10723, ""台銀籌備帳戶|玉山帳戶""), REGEXMATCH(C10723, ""薪資"")), ""分潤支出"",
  AND(REGEXMATCH(E10723, ""Ben帳戶|Elsa帳戶|Ben代墊|Ariel代墊|中信銀行共用""), REGEXMATCH(F10723, ""Ben帳戶|Elsa帳戶|Ben代墊|Ariel代墊|中信銀行共用"")), ""內部轉帳(忽略)"",
  AND(E10723&lt;&gt;"""", F10723&lt;&gt;"&amp;""""", NOT(REGEXMATCH(C10723, ""薪資""))), ""內部轉帳(忽略)"",
  REGEXMATCH(C10723, ""薪資""), ""薪資變動(不計入)"",
  REGEXMATCH(C10723, ""押金""), ""押金往來"",
  AND(E10723&lt;&gt;"""", F10723=""""), ""真實支出"",
  AND(E10723="""", F10723&lt;&gt;""""), ""真實收入"",
  TRUE, ""其他""
)"),"其他")</f>
        <v>其他</v>
      </c>
      <c r="K10723" s="270" t="str">
        <f t="shared" si="2"/>
        <v/>
      </c>
      <c r="L10723">
        <f t="shared" si="3"/>
        <v>0</v>
      </c>
    </row>
    <row r="10724">
      <c r="A10724" s="107"/>
      <c r="D10724" s="270"/>
      <c r="H10724" s="106" t="str">
        <f t="shared" si="1"/>
        <v/>
      </c>
      <c r="J10724" t="str">
        <f>IFERROR(__xludf.DUMMYFUNCTION("IFS(
  AND(REGEXMATCH(E10724, ""台銀籌備帳戶|玉山帳戶""), REGEXMATCH(C10724, ""薪資"")), ""分潤支出"",
  AND(REGEXMATCH(E10724, ""Ben帳戶|Elsa帳戶|Ben代墊|Ariel代墊|中信銀行共用""), REGEXMATCH(F10724, ""Ben帳戶|Elsa帳戶|Ben代墊|Ariel代墊|中信銀行共用"")), ""內部轉帳(忽略)"",
  AND(E10724&lt;&gt;"""", F10724&lt;&gt;"&amp;""""", NOT(REGEXMATCH(C10724, ""薪資""))), ""內部轉帳(忽略)"",
  REGEXMATCH(C10724, ""薪資""), ""薪資變動(不計入)"",
  REGEXMATCH(C10724, ""押金""), ""押金往來"",
  AND(E10724&lt;&gt;"""", F10724=""""), ""真實支出"",
  AND(E10724="""", F10724&lt;&gt;""""), ""真實收入"",
  TRUE, ""其他""
)"),"其他")</f>
        <v>其他</v>
      </c>
      <c r="K10724" s="270" t="str">
        <f t="shared" si="2"/>
        <v/>
      </c>
      <c r="L10724">
        <f t="shared" si="3"/>
        <v>0</v>
      </c>
    </row>
    <row r="10725">
      <c r="A10725" s="107"/>
      <c r="D10725" s="270"/>
      <c r="H10725" s="106" t="str">
        <f t="shared" si="1"/>
        <v/>
      </c>
      <c r="J10725" t="str">
        <f>IFERROR(__xludf.DUMMYFUNCTION("IFS(
  AND(REGEXMATCH(E10725, ""台銀籌備帳戶|玉山帳戶""), REGEXMATCH(C10725, ""薪資"")), ""分潤支出"",
  AND(REGEXMATCH(E10725, ""Ben帳戶|Elsa帳戶|Ben代墊|Ariel代墊|中信銀行共用""), REGEXMATCH(F10725, ""Ben帳戶|Elsa帳戶|Ben代墊|Ariel代墊|中信銀行共用"")), ""內部轉帳(忽略)"",
  AND(E10725&lt;&gt;"""", F10725&lt;&gt;"&amp;""""", NOT(REGEXMATCH(C10725, ""薪資""))), ""內部轉帳(忽略)"",
  REGEXMATCH(C10725, ""薪資""), ""薪資變動(不計入)"",
  REGEXMATCH(C10725, ""押金""), ""押金往來"",
  AND(E10725&lt;&gt;"""", F10725=""""), ""真實支出"",
  AND(E10725="""", F10725&lt;&gt;""""), ""真實收入"",
  TRUE, ""其他""
)"),"其他")</f>
        <v>其他</v>
      </c>
      <c r="K10725" s="270" t="str">
        <f t="shared" si="2"/>
        <v/>
      </c>
      <c r="L10725">
        <f t="shared" si="3"/>
        <v>0</v>
      </c>
    </row>
    <row r="10726">
      <c r="A10726" s="107"/>
      <c r="D10726" s="270"/>
      <c r="H10726" s="106" t="str">
        <f t="shared" si="1"/>
        <v/>
      </c>
      <c r="J10726" t="str">
        <f>IFERROR(__xludf.DUMMYFUNCTION("IFS(
  AND(REGEXMATCH(E10726, ""台銀籌備帳戶|玉山帳戶""), REGEXMATCH(C10726, ""薪資"")), ""分潤支出"",
  AND(REGEXMATCH(E10726, ""Ben帳戶|Elsa帳戶|Ben代墊|Ariel代墊|中信銀行共用""), REGEXMATCH(F10726, ""Ben帳戶|Elsa帳戶|Ben代墊|Ariel代墊|中信銀行共用"")), ""內部轉帳(忽略)"",
  AND(E10726&lt;&gt;"""", F10726&lt;&gt;"&amp;""""", NOT(REGEXMATCH(C10726, ""薪資""))), ""內部轉帳(忽略)"",
  REGEXMATCH(C10726, ""薪資""), ""薪資變動(不計入)"",
  REGEXMATCH(C10726, ""押金""), ""押金往來"",
  AND(E10726&lt;&gt;"""", F10726=""""), ""真實支出"",
  AND(E10726="""", F10726&lt;&gt;""""), ""真實收入"",
  TRUE, ""其他""
)"),"其他")</f>
        <v>其他</v>
      </c>
      <c r="K10726" s="270" t="str">
        <f t="shared" si="2"/>
        <v/>
      </c>
      <c r="L10726">
        <f t="shared" si="3"/>
        <v>0</v>
      </c>
    </row>
    <row r="10727">
      <c r="A10727" s="107"/>
      <c r="D10727" s="270"/>
      <c r="H10727" s="106" t="str">
        <f t="shared" si="1"/>
        <v/>
      </c>
      <c r="J10727" t="str">
        <f>IFERROR(__xludf.DUMMYFUNCTION("IFS(
  AND(REGEXMATCH(E10727, ""台銀籌備帳戶|玉山帳戶""), REGEXMATCH(C10727, ""薪資"")), ""分潤支出"",
  AND(REGEXMATCH(E10727, ""Ben帳戶|Elsa帳戶|Ben代墊|Ariel代墊|中信銀行共用""), REGEXMATCH(F10727, ""Ben帳戶|Elsa帳戶|Ben代墊|Ariel代墊|中信銀行共用"")), ""內部轉帳(忽略)"",
  AND(E10727&lt;&gt;"""", F10727&lt;&gt;"&amp;""""", NOT(REGEXMATCH(C10727, ""薪資""))), ""內部轉帳(忽略)"",
  REGEXMATCH(C10727, ""薪資""), ""薪資變動(不計入)"",
  REGEXMATCH(C10727, ""押金""), ""押金往來"",
  AND(E10727&lt;&gt;"""", F10727=""""), ""真實支出"",
  AND(E10727="""", F10727&lt;&gt;""""), ""真實收入"",
  TRUE, ""其他""
)"),"其他")</f>
        <v>其他</v>
      </c>
      <c r="K10727" s="270" t="str">
        <f t="shared" si="2"/>
        <v/>
      </c>
      <c r="L10727">
        <f t="shared" si="3"/>
        <v>0</v>
      </c>
    </row>
    <row r="10728">
      <c r="A10728" s="107"/>
      <c r="D10728" s="270"/>
      <c r="H10728" s="106" t="str">
        <f t="shared" si="1"/>
        <v/>
      </c>
      <c r="J10728" t="str">
        <f>IFERROR(__xludf.DUMMYFUNCTION("IFS(
  AND(REGEXMATCH(E10728, ""台銀籌備帳戶|玉山帳戶""), REGEXMATCH(C10728, ""薪資"")), ""分潤支出"",
  AND(REGEXMATCH(E10728, ""Ben帳戶|Elsa帳戶|Ben代墊|Ariel代墊|中信銀行共用""), REGEXMATCH(F10728, ""Ben帳戶|Elsa帳戶|Ben代墊|Ariel代墊|中信銀行共用"")), ""內部轉帳(忽略)"",
  AND(E10728&lt;&gt;"""", F10728&lt;&gt;"&amp;""""", NOT(REGEXMATCH(C10728, ""薪資""))), ""內部轉帳(忽略)"",
  REGEXMATCH(C10728, ""薪資""), ""薪資變動(不計入)"",
  REGEXMATCH(C10728, ""押金""), ""押金往來"",
  AND(E10728&lt;&gt;"""", F10728=""""), ""真實支出"",
  AND(E10728="""", F10728&lt;&gt;""""), ""真實收入"",
  TRUE, ""其他""
)"),"其他")</f>
        <v>其他</v>
      </c>
      <c r="K10728" s="270" t="str">
        <f t="shared" si="2"/>
        <v/>
      </c>
      <c r="L10728">
        <f t="shared" si="3"/>
        <v>0</v>
      </c>
    </row>
    <row r="10729">
      <c r="A10729" s="107"/>
      <c r="D10729" s="270"/>
      <c r="H10729" s="106" t="str">
        <f t="shared" si="1"/>
        <v/>
      </c>
      <c r="J10729" t="str">
        <f>IFERROR(__xludf.DUMMYFUNCTION("IFS(
  AND(REGEXMATCH(E10729, ""台銀籌備帳戶|玉山帳戶""), REGEXMATCH(C10729, ""薪資"")), ""分潤支出"",
  AND(REGEXMATCH(E10729, ""Ben帳戶|Elsa帳戶|Ben代墊|Ariel代墊|中信銀行共用""), REGEXMATCH(F10729, ""Ben帳戶|Elsa帳戶|Ben代墊|Ariel代墊|中信銀行共用"")), ""內部轉帳(忽略)"",
  AND(E10729&lt;&gt;"""", F10729&lt;&gt;"&amp;""""", NOT(REGEXMATCH(C10729, ""薪資""))), ""內部轉帳(忽略)"",
  REGEXMATCH(C10729, ""薪資""), ""薪資變動(不計入)"",
  REGEXMATCH(C10729, ""押金""), ""押金往來"",
  AND(E10729&lt;&gt;"""", F10729=""""), ""真實支出"",
  AND(E10729="""", F10729&lt;&gt;""""), ""真實收入"",
  TRUE, ""其他""
)"),"其他")</f>
        <v>其他</v>
      </c>
      <c r="K10729" s="270" t="str">
        <f t="shared" si="2"/>
        <v/>
      </c>
      <c r="L10729">
        <f t="shared" si="3"/>
        <v>0</v>
      </c>
    </row>
    <row r="10730">
      <c r="A10730" s="107"/>
      <c r="D10730" s="270"/>
      <c r="H10730" s="106" t="str">
        <f t="shared" si="1"/>
        <v/>
      </c>
      <c r="J10730" t="str">
        <f>IFERROR(__xludf.DUMMYFUNCTION("IFS(
  AND(REGEXMATCH(E10730, ""台銀籌備帳戶|玉山帳戶""), REGEXMATCH(C10730, ""薪資"")), ""分潤支出"",
  AND(REGEXMATCH(E10730, ""Ben帳戶|Elsa帳戶|Ben代墊|Ariel代墊|中信銀行共用""), REGEXMATCH(F10730, ""Ben帳戶|Elsa帳戶|Ben代墊|Ariel代墊|中信銀行共用"")), ""內部轉帳(忽略)"",
  AND(E10730&lt;&gt;"""", F10730&lt;&gt;"&amp;""""", NOT(REGEXMATCH(C10730, ""薪資""))), ""內部轉帳(忽略)"",
  REGEXMATCH(C10730, ""薪資""), ""薪資變動(不計入)"",
  REGEXMATCH(C10730, ""押金""), ""押金往來"",
  AND(E10730&lt;&gt;"""", F10730=""""), ""真實支出"",
  AND(E10730="""", F10730&lt;&gt;""""), ""真實收入"",
  TRUE, ""其他""
)"),"其他")</f>
        <v>其他</v>
      </c>
      <c r="K10730" s="270" t="str">
        <f t="shared" si="2"/>
        <v/>
      </c>
      <c r="L10730">
        <f t="shared" si="3"/>
        <v>0</v>
      </c>
    </row>
    <row r="10731">
      <c r="A10731" s="107"/>
      <c r="D10731" s="270"/>
      <c r="H10731" s="106" t="str">
        <f t="shared" si="1"/>
        <v/>
      </c>
      <c r="J10731" t="str">
        <f>IFERROR(__xludf.DUMMYFUNCTION("IFS(
  AND(REGEXMATCH(E10731, ""台銀籌備帳戶|玉山帳戶""), REGEXMATCH(C10731, ""薪資"")), ""分潤支出"",
  AND(REGEXMATCH(E10731, ""Ben帳戶|Elsa帳戶|Ben代墊|Ariel代墊|中信銀行共用""), REGEXMATCH(F10731, ""Ben帳戶|Elsa帳戶|Ben代墊|Ariel代墊|中信銀行共用"")), ""內部轉帳(忽略)"",
  AND(E10731&lt;&gt;"""", F10731&lt;&gt;"&amp;""""", NOT(REGEXMATCH(C10731, ""薪資""))), ""內部轉帳(忽略)"",
  REGEXMATCH(C10731, ""薪資""), ""薪資變動(不計入)"",
  REGEXMATCH(C10731, ""押金""), ""押金往來"",
  AND(E10731&lt;&gt;"""", F10731=""""), ""真實支出"",
  AND(E10731="""", F10731&lt;&gt;""""), ""真實收入"",
  TRUE, ""其他""
)"),"其他")</f>
        <v>其他</v>
      </c>
      <c r="K10731" s="270" t="str">
        <f t="shared" si="2"/>
        <v/>
      </c>
      <c r="L10731">
        <f t="shared" si="3"/>
        <v>0</v>
      </c>
    </row>
    <row r="10732">
      <c r="A10732" s="107"/>
      <c r="D10732" s="270"/>
      <c r="H10732" s="106" t="str">
        <f t="shared" si="1"/>
        <v/>
      </c>
      <c r="J10732" t="str">
        <f>IFERROR(__xludf.DUMMYFUNCTION("IFS(
  AND(REGEXMATCH(E10732, ""台銀籌備帳戶|玉山帳戶""), REGEXMATCH(C10732, ""薪資"")), ""分潤支出"",
  AND(REGEXMATCH(E10732, ""Ben帳戶|Elsa帳戶|Ben代墊|Ariel代墊|中信銀行共用""), REGEXMATCH(F10732, ""Ben帳戶|Elsa帳戶|Ben代墊|Ariel代墊|中信銀行共用"")), ""內部轉帳(忽略)"",
  AND(E10732&lt;&gt;"""", F10732&lt;&gt;"&amp;""""", NOT(REGEXMATCH(C10732, ""薪資""))), ""內部轉帳(忽略)"",
  REGEXMATCH(C10732, ""薪資""), ""薪資變動(不計入)"",
  REGEXMATCH(C10732, ""押金""), ""押金往來"",
  AND(E10732&lt;&gt;"""", F10732=""""), ""真實支出"",
  AND(E10732="""", F10732&lt;&gt;""""), ""真實收入"",
  TRUE, ""其他""
)"),"其他")</f>
        <v>其他</v>
      </c>
      <c r="K10732" s="270" t="str">
        <f t="shared" si="2"/>
        <v/>
      </c>
      <c r="L10732">
        <f t="shared" si="3"/>
        <v>0</v>
      </c>
    </row>
    <row r="10733">
      <c r="A10733" s="107"/>
      <c r="D10733" s="270"/>
      <c r="H10733" s="106" t="str">
        <f t="shared" si="1"/>
        <v/>
      </c>
      <c r="J10733" t="str">
        <f>IFERROR(__xludf.DUMMYFUNCTION("IFS(
  AND(REGEXMATCH(E10733, ""台銀籌備帳戶|玉山帳戶""), REGEXMATCH(C10733, ""薪資"")), ""分潤支出"",
  AND(REGEXMATCH(E10733, ""Ben帳戶|Elsa帳戶|Ben代墊|Ariel代墊|中信銀行共用""), REGEXMATCH(F10733, ""Ben帳戶|Elsa帳戶|Ben代墊|Ariel代墊|中信銀行共用"")), ""內部轉帳(忽略)"",
  AND(E10733&lt;&gt;"""", F10733&lt;&gt;"&amp;""""", NOT(REGEXMATCH(C10733, ""薪資""))), ""內部轉帳(忽略)"",
  REGEXMATCH(C10733, ""薪資""), ""薪資變動(不計入)"",
  REGEXMATCH(C10733, ""押金""), ""押金往來"",
  AND(E10733&lt;&gt;"""", F10733=""""), ""真實支出"",
  AND(E10733="""", F10733&lt;&gt;""""), ""真實收入"",
  TRUE, ""其他""
)"),"其他")</f>
        <v>其他</v>
      </c>
      <c r="K10733" s="270" t="str">
        <f t="shared" si="2"/>
        <v/>
      </c>
      <c r="L10733">
        <f t="shared" si="3"/>
        <v>0</v>
      </c>
    </row>
    <row r="10734">
      <c r="A10734" s="107"/>
      <c r="D10734" s="270"/>
      <c r="H10734" s="106" t="str">
        <f t="shared" si="1"/>
        <v/>
      </c>
      <c r="J10734" t="str">
        <f>IFERROR(__xludf.DUMMYFUNCTION("IFS(
  AND(REGEXMATCH(E10734, ""台銀籌備帳戶|玉山帳戶""), REGEXMATCH(C10734, ""薪資"")), ""分潤支出"",
  AND(REGEXMATCH(E10734, ""Ben帳戶|Elsa帳戶|Ben代墊|Ariel代墊|中信銀行共用""), REGEXMATCH(F10734, ""Ben帳戶|Elsa帳戶|Ben代墊|Ariel代墊|中信銀行共用"")), ""內部轉帳(忽略)"",
  AND(E10734&lt;&gt;"""", F10734&lt;&gt;"&amp;""""", NOT(REGEXMATCH(C10734, ""薪資""))), ""內部轉帳(忽略)"",
  REGEXMATCH(C10734, ""薪資""), ""薪資變動(不計入)"",
  REGEXMATCH(C10734, ""押金""), ""押金往來"",
  AND(E10734&lt;&gt;"""", F10734=""""), ""真實支出"",
  AND(E10734="""", F10734&lt;&gt;""""), ""真實收入"",
  TRUE, ""其他""
)"),"其他")</f>
        <v>其他</v>
      </c>
      <c r="K10734" s="270" t="str">
        <f t="shared" si="2"/>
        <v/>
      </c>
      <c r="L10734">
        <f t="shared" si="3"/>
        <v>0</v>
      </c>
    </row>
    <row r="10735">
      <c r="A10735" s="107"/>
      <c r="D10735" s="270"/>
      <c r="H10735" s="106" t="str">
        <f t="shared" si="1"/>
        <v/>
      </c>
      <c r="J10735" t="str">
        <f>IFERROR(__xludf.DUMMYFUNCTION("IFS(
  AND(REGEXMATCH(E10735, ""台銀籌備帳戶|玉山帳戶""), REGEXMATCH(C10735, ""薪資"")), ""分潤支出"",
  AND(REGEXMATCH(E10735, ""Ben帳戶|Elsa帳戶|Ben代墊|Ariel代墊|中信銀行共用""), REGEXMATCH(F10735, ""Ben帳戶|Elsa帳戶|Ben代墊|Ariel代墊|中信銀行共用"")), ""內部轉帳(忽略)"",
  AND(E10735&lt;&gt;"""", F10735&lt;&gt;"&amp;""""", NOT(REGEXMATCH(C10735, ""薪資""))), ""內部轉帳(忽略)"",
  REGEXMATCH(C10735, ""薪資""), ""薪資變動(不計入)"",
  REGEXMATCH(C10735, ""押金""), ""押金往來"",
  AND(E10735&lt;&gt;"""", F10735=""""), ""真實支出"",
  AND(E10735="""", F10735&lt;&gt;""""), ""真實收入"",
  TRUE, ""其他""
)"),"其他")</f>
        <v>其他</v>
      </c>
      <c r="K10735" s="270" t="str">
        <f t="shared" si="2"/>
        <v/>
      </c>
      <c r="L10735">
        <f t="shared" si="3"/>
        <v>0</v>
      </c>
    </row>
    <row r="10736">
      <c r="A10736" s="107"/>
      <c r="D10736" s="270"/>
      <c r="H10736" s="106" t="str">
        <f t="shared" si="1"/>
        <v/>
      </c>
      <c r="J10736" t="str">
        <f>IFERROR(__xludf.DUMMYFUNCTION("IFS(
  AND(REGEXMATCH(E10736, ""台銀籌備帳戶|玉山帳戶""), REGEXMATCH(C10736, ""薪資"")), ""分潤支出"",
  AND(REGEXMATCH(E10736, ""Ben帳戶|Elsa帳戶|Ben代墊|Ariel代墊|中信銀行共用""), REGEXMATCH(F10736, ""Ben帳戶|Elsa帳戶|Ben代墊|Ariel代墊|中信銀行共用"")), ""內部轉帳(忽略)"",
  AND(E10736&lt;&gt;"""", F10736&lt;&gt;"&amp;""""", NOT(REGEXMATCH(C10736, ""薪資""))), ""內部轉帳(忽略)"",
  REGEXMATCH(C10736, ""薪資""), ""薪資變動(不計入)"",
  REGEXMATCH(C10736, ""押金""), ""押金往來"",
  AND(E10736&lt;&gt;"""", F10736=""""), ""真實支出"",
  AND(E10736="""", F10736&lt;&gt;""""), ""真實收入"",
  TRUE, ""其他""
)"),"其他")</f>
        <v>其他</v>
      </c>
      <c r="K10736" s="270" t="str">
        <f t="shared" si="2"/>
        <v/>
      </c>
      <c r="L10736">
        <f t="shared" si="3"/>
        <v>0</v>
      </c>
    </row>
    <row r="10737">
      <c r="A10737" s="107"/>
      <c r="D10737" s="270"/>
      <c r="H10737" s="106" t="str">
        <f t="shared" si="1"/>
        <v/>
      </c>
      <c r="J10737" t="str">
        <f>IFERROR(__xludf.DUMMYFUNCTION("IFS(
  AND(REGEXMATCH(E10737, ""台銀籌備帳戶|玉山帳戶""), REGEXMATCH(C10737, ""薪資"")), ""分潤支出"",
  AND(REGEXMATCH(E10737, ""Ben帳戶|Elsa帳戶|Ben代墊|Ariel代墊|中信銀行共用""), REGEXMATCH(F10737, ""Ben帳戶|Elsa帳戶|Ben代墊|Ariel代墊|中信銀行共用"")), ""內部轉帳(忽略)"",
  AND(E10737&lt;&gt;"""", F10737&lt;&gt;"&amp;""""", NOT(REGEXMATCH(C10737, ""薪資""))), ""內部轉帳(忽略)"",
  REGEXMATCH(C10737, ""薪資""), ""薪資變動(不計入)"",
  REGEXMATCH(C10737, ""押金""), ""押金往來"",
  AND(E10737&lt;&gt;"""", F10737=""""), ""真實支出"",
  AND(E10737="""", F10737&lt;&gt;""""), ""真實收入"",
  TRUE, ""其他""
)"),"其他")</f>
        <v>其他</v>
      </c>
      <c r="K10737" s="270" t="str">
        <f t="shared" si="2"/>
        <v/>
      </c>
      <c r="L10737">
        <f t="shared" si="3"/>
        <v>0</v>
      </c>
    </row>
    <row r="10738">
      <c r="A10738" s="107"/>
      <c r="D10738" s="270"/>
      <c r="H10738" s="106" t="str">
        <f t="shared" si="1"/>
        <v/>
      </c>
      <c r="J10738" t="str">
        <f>IFERROR(__xludf.DUMMYFUNCTION("IFS(
  AND(REGEXMATCH(E10738, ""台銀籌備帳戶|玉山帳戶""), REGEXMATCH(C10738, ""薪資"")), ""分潤支出"",
  AND(REGEXMATCH(E10738, ""Ben帳戶|Elsa帳戶|Ben代墊|Ariel代墊|中信銀行共用""), REGEXMATCH(F10738, ""Ben帳戶|Elsa帳戶|Ben代墊|Ariel代墊|中信銀行共用"")), ""內部轉帳(忽略)"",
  AND(E10738&lt;&gt;"""", F10738&lt;&gt;"&amp;""""", NOT(REGEXMATCH(C10738, ""薪資""))), ""內部轉帳(忽略)"",
  REGEXMATCH(C10738, ""薪資""), ""薪資變動(不計入)"",
  REGEXMATCH(C10738, ""押金""), ""押金往來"",
  AND(E10738&lt;&gt;"""", F10738=""""), ""真實支出"",
  AND(E10738="""", F10738&lt;&gt;""""), ""真實收入"",
  TRUE, ""其他""
)"),"其他")</f>
        <v>其他</v>
      </c>
      <c r="K10738" s="270" t="str">
        <f t="shared" si="2"/>
        <v/>
      </c>
      <c r="L10738">
        <f t="shared" si="3"/>
        <v>0</v>
      </c>
    </row>
    <row r="10739">
      <c r="A10739" s="107"/>
      <c r="D10739" s="270"/>
      <c r="H10739" s="106" t="str">
        <f t="shared" si="1"/>
        <v/>
      </c>
      <c r="J10739" t="str">
        <f>IFERROR(__xludf.DUMMYFUNCTION("IFS(
  AND(REGEXMATCH(E10739, ""台銀籌備帳戶|玉山帳戶""), REGEXMATCH(C10739, ""薪資"")), ""分潤支出"",
  AND(REGEXMATCH(E10739, ""Ben帳戶|Elsa帳戶|Ben代墊|Ariel代墊|中信銀行共用""), REGEXMATCH(F10739, ""Ben帳戶|Elsa帳戶|Ben代墊|Ariel代墊|中信銀行共用"")), ""內部轉帳(忽略)"",
  AND(E10739&lt;&gt;"""", F10739&lt;&gt;"&amp;""""", NOT(REGEXMATCH(C10739, ""薪資""))), ""內部轉帳(忽略)"",
  REGEXMATCH(C10739, ""薪資""), ""薪資變動(不計入)"",
  REGEXMATCH(C10739, ""押金""), ""押金往來"",
  AND(E10739&lt;&gt;"""", F10739=""""), ""真實支出"",
  AND(E10739="""", F10739&lt;&gt;""""), ""真實收入"",
  TRUE, ""其他""
)"),"其他")</f>
        <v>其他</v>
      </c>
      <c r="K10739" s="270" t="str">
        <f t="shared" si="2"/>
        <v/>
      </c>
      <c r="L10739">
        <f t="shared" si="3"/>
        <v>0</v>
      </c>
    </row>
    <row r="10740">
      <c r="A10740" s="107"/>
      <c r="D10740" s="270"/>
      <c r="H10740" s="106" t="str">
        <f t="shared" si="1"/>
        <v/>
      </c>
      <c r="J10740" t="str">
        <f>IFERROR(__xludf.DUMMYFUNCTION("IFS(
  AND(REGEXMATCH(E10740, ""台銀籌備帳戶|玉山帳戶""), REGEXMATCH(C10740, ""薪資"")), ""分潤支出"",
  AND(REGEXMATCH(E10740, ""Ben帳戶|Elsa帳戶|Ben代墊|Ariel代墊|中信銀行共用""), REGEXMATCH(F10740, ""Ben帳戶|Elsa帳戶|Ben代墊|Ariel代墊|中信銀行共用"")), ""內部轉帳(忽略)"",
  AND(E10740&lt;&gt;"""", F10740&lt;&gt;"&amp;""""", NOT(REGEXMATCH(C10740, ""薪資""))), ""內部轉帳(忽略)"",
  REGEXMATCH(C10740, ""薪資""), ""薪資變動(不計入)"",
  REGEXMATCH(C10740, ""押金""), ""押金往來"",
  AND(E10740&lt;&gt;"""", F10740=""""), ""真實支出"",
  AND(E10740="""", F10740&lt;&gt;""""), ""真實收入"",
  TRUE, ""其他""
)"),"其他")</f>
        <v>其他</v>
      </c>
      <c r="K10740" s="270" t="str">
        <f t="shared" si="2"/>
        <v/>
      </c>
      <c r="L10740">
        <f t="shared" si="3"/>
        <v>0</v>
      </c>
    </row>
    <row r="10741">
      <c r="A10741" s="107"/>
      <c r="D10741" s="270"/>
      <c r="H10741" s="106" t="str">
        <f t="shared" si="1"/>
        <v/>
      </c>
      <c r="J10741" t="str">
        <f>IFERROR(__xludf.DUMMYFUNCTION("IFS(
  AND(REGEXMATCH(E10741, ""台銀籌備帳戶|玉山帳戶""), REGEXMATCH(C10741, ""薪資"")), ""分潤支出"",
  AND(REGEXMATCH(E10741, ""Ben帳戶|Elsa帳戶|Ben代墊|Ariel代墊|中信銀行共用""), REGEXMATCH(F10741, ""Ben帳戶|Elsa帳戶|Ben代墊|Ariel代墊|中信銀行共用"")), ""內部轉帳(忽略)"",
  AND(E10741&lt;&gt;"""", F10741&lt;&gt;"&amp;""""", NOT(REGEXMATCH(C10741, ""薪資""))), ""內部轉帳(忽略)"",
  REGEXMATCH(C10741, ""薪資""), ""薪資變動(不計入)"",
  REGEXMATCH(C10741, ""押金""), ""押金往來"",
  AND(E10741&lt;&gt;"""", F10741=""""), ""真實支出"",
  AND(E10741="""", F10741&lt;&gt;""""), ""真實收入"",
  TRUE, ""其他""
)"),"其他")</f>
        <v>其他</v>
      </c>
      <c r="K10741" s="270" t="str">
        <f t="shared" si="2"/>
        <v/>
      </c>
      <c r="L10741">
        <f t="shared" si="3"/>
        <v>0</v>
      </c>
    </row>
    <row r="10742">
      <c r="A10742" s="107"/>
      <c r="D10742" s="270"/>
      <c r="H10742" s="106" t="str">
        <f t="shared" si="1"/>
        <v/>
      </c>
      <c r="J10742" t="str">
        <f>IFERROR(__xludf.DUMMYFUNCTION("IFS(
  AND(REGEXMATCH(E10742, ""台銀籌備帳戶|玉山帳戶""), REGEXMATCH(C10742, ""薪資"")), ""分潤支出"",
  AND(REGEXMATCH(E10742, ""Ben帳戶|Elsa帳戶|Ben代墊|Ariel代墊|中信銀行共用""), REGEXMATCH(F10742, ""Ben帳戶|Elsa帳戶|Ben代墊|Ariel代墊|中信銀行共用"")), ""內部轉帳(忽略)"",
  AND(E10742&lt;&gt;"""", F10742&lt;&gt;"&amp;""""", NOT(REGEXMATCH(C10742, ""薪資""))), ""內部轉帳(忽略)"",
  REGEXMATCH(C10742, ""薪資""), ""薪資變動(不計入)"",
  REGEXMATCH(C10742, ""押金""), ""押金往來"",
  AND(E10742&lt;&gt;"""", F10742=""""), ""真實支出"",
  AND(E10742="""", F10742&lt;&gt;""""), ""真實收入"",
  TRUE, ""其他""
)"),"其他")</f>
        <v>其他</v>
      </c>
      <c r="K10742" s="270" t="str">
        <f t="shared" si="2"/>
        <v/>
      </c>
      <c r="L10742">
        <f t="shared" si="3"/>
        <v>0</v>
      </c>
    </row>
    <row r="10743">
      <c r="A10743" s="107"/>
      <c r="D10743" s="270"/>
      <c r="H10743" s="106" t="str">
        <f t="shared" si="1"/>
        <v/>
      </c>
      <c r="J10743" t="str">
        <f>IFERROR(__xludf.DUMMYFUNCTION("IFS(
  AND(REGEXMATCH(E10743, ""台銀籌備帳戶|玉山帳戶""), REGEXMATCH(C10743, ""薪資"")), ""分潤支出"",
  AND(REGEXMATCH(E10743, ""Ben帳戶|Elsa帳戶|Ben代墊|Ariel代墊|中信銀行共用""), REGEXMATCH(F10743, ""Ben帳戶|Elsa帳戶|Ben代墊|Ariel代墊|中信銀行共用"")), ""內部轉帳(忽略)"",
  AND(E10743&lt;&gt;"""", F10743&lt;&gt;"&amp;""""", NOT(REGEXMATCH(C10743, ""薪資""))), ""內部轉帳(忽略)"",
  REGEXMATCH(C10743, ""薪資""), ""薪資變動(不計入)"",
  REGEXMATCH(C10743, ""押金""), ""押金往來"",
  AND(E10743&lt;&gt;"""", F10743=""""), ""真實支出"",
  AND(E10743="""", F10743&lt;&gt;""""), ""真實收入"",
  TRUE, ""其他""
)"),"其他")</f>
        <v>其他</v>
      </c>
      <c r="K10743" s="270" t="str">
        <f t="shared" si="2"/>
        <v/>
      </c>
      <c r="L10743">
        <f t="shared" si="3"/>
        <v>0</v>
      </c>
    </row>
    <row r="10744">
      <c r="A10744" s="107"/>
      <c r="D10744" s="270"/>
      <c r="H10744" s="106" t="str">
        <f t="shared" si="1"/>
        <v/>
      </c>
      <c r="J10744" t="str">
        <f>IFERROR(__xludf.DUMMYFUNCTION("IFS(
  AND(REGEXMATCH(E10744, ""台銀籌備帳戶|玉山帳戶""), REGEXMATCH(C10744, ""薪資"")), ""分潤支出"",
  AND(REGEXMATCH(E10744, ""Ben帳戶|Elsa帳戶|Ben代墊|Ariel代墊|中信銀行共用""), REGEXMATCH(F10744, ""Ben帳戶|Elsa帳戶|Ben代墊|Ariel代墊|中信銀行共用"")), ""內部轉帳(忽略)"",
  AND(E10744&lt;&gt;"""", F10744&lt;&gt;"&amp;""""", NOT(REGEXMATCH(C10744, ""薪資""))), ""內部轉帳(忽略)"",
  REGEXMATCH(C10744, ""薪資""), ""薪資變動(不計入)"",
  REGEXMATCH(C10744, ""押金""), ""押金往來"",
  AND(E10744&lt;&gt;"""", F10744=""""), ""真實支出"",
  AND(E10744="""", F10744&lt;&gt;""""), ""真實收入"",
  TRUE, ""其他""
)"),"其他")</f>
        <v>其他</v>
      </c>
      <c r="K10744" s="270" t="str">
        <f t="shared" si="2"/>
        <v/>
      </c>
      <c r="L10744">
        <f t="shared" si="3"/>
        <v>0</v>
      </c>
    </row>
    <row r="10745">
      <c r="A10745" s="107"/>
      <c r="D10745" s="270"/>
      <c r="H10745" s="106" t="str">
        <f t="shared" si="1"/>
        <v/>
      </c>
      <c r="J10745" t="str">
        <f>IFERROR(__xludf.DUMMYFUNCTION("IFS(
  AND(REGEXMATCH(E10745, ""台銀籌備帳戶|玉山帳戶""), REGEXMATCH(C10745, ""薪資"")), ""分潤支出"",
  AND(REGEXMATCH(E10745, ""Ben帳戶|Elsa帳戶|Ben代墊|Ariel代墊|中信銀行共用""), REGEXMATCH(F10745, ""Ben帳戶|Elsa帳戶|Ben代墊|Ariel代墊|中信銀行共用"")), ""內部轉帳(忽略)"",
  AND(E10745&lt;&gt;"""", F10745&lt;&gt;"&amp;""""", NOT(REGEXMATCH(C10745, ""薪資""))), ""內部轉帳(忽略)"",
  REGEXMATCH(C10745, ""薪資""), ""薪資變動(不計入)"",
  REGEXMATCH(C10745, ""押金""), ""押金往來"",
  AND(E10745&lt;&gt;"""", F10745=""""), ""真實支出"",
  AND(E10745="""", F10745&lt;&gt;""""), ""真實收入"",
  TRUE, ""其他""
)"),"其他")</f>
        <v>其他</v>
      </c>
      <c r="K10745" s="270" t="str">
        <f t="shared" si="2"/>
        <v/>
      </c>
      <c r="L10745">
        <f t="shared" si="3"/>
        <v>0</v>
      </c>
    </row>
    <row r="10746">
      <c r="A10746" s="107"/>
      <c r="D10746" s="270"/>
      <c r="H10746" s="106" t="str">
        <f t="shared" si="1"/>
        <v/>
      </c>
      <c r="J10746" t="str">
        <f>IFERROR(__xludf.DUMMYFUNCTION("IFS(
  AND(REGEXMATCH(E10746, ""台銀籌備帳戶|玉山帳戶""), REGEXMATCH(C10746, ""薪資"")), ""分潤支出"",
  AND(REGEXMATCH(E10746, ""Ben帳戶|Elsa帳戶|Ben代墊|Ariel代墊|中信銀行共用""), REGEXMATCH(F10746, ""Ben帳戶|Elsa帳戶|Ben代墊|Ariel代墊|中信銀行共用"")), ""內部轉帳(忽略)"",
  AND(E10746&lt;&gt;"""", F10746&lt;&gt;"&amp;""""", NOT(REGEXMATCH(C10746, ""薪資""))), ""內部轉帳(忽略)"",
  REGEXMATCH(C10746, ""薪資""), ""薪資變動(不計入)"",
  REGEXMATCH(C10746, ""押金""), ""押金往來"",
  AND(E10746&lt;&gt;"""", F10746=""""), ""真實支出"",
  AND(E10746="""", F10746&lt;&gt;""""), ""真實收入"",
  TRUE, ""其他""
)"),"其他")</f>
        <v>其他</v>
      </c>
      <c r="K10746" s="270" t="str">
        <f t="shared" si="2"/>
        <v/>
      </c>
      <c r="L10746">
        <f t="shared" si="3"/>
        <v>0</v>
      </c>
    </row>
    <row r="10747">
      <c r="A10747" s="107"/>
      <c r="D10747" s="270"/>
      <c r="H10747" s="106" t="str">
        <f t="shared" si="1"/>
        <v/>
      </c>
      <c r="J10747" t="str">
        <f>IFERROR(__xludf.DUMMYFUNCTION("IFS(
  AND(REGEXMATCH(E10747, ""台銀籌備帳戶|玉山帳戶""), REGEXMATCH(C10747, ""薪資"")), ""分潤支出"",
  AND(REGEXMATCH(E10747, ""Ben帳戶|Elsa帳戶|Ben代墊|Ariel代墊|中信銀行共用""), REGEXMATCH(F10747, ""Ben帳戶|Elsa帳戶|Ben代墊|Ariel代墊|中信銀行共用"")), ""內部轉帳(忽略)"",
  AND(E10747&lt;&gt;"""", F10747&lt;&gt;"&amp;""""", NOT(REGEXMATCH(C10747, ""薪資""))), ""內部轉帳(忽略)"",
  REGEXMATCH(C10747, ""薪資""), ""薪資變動(不計入)"",
  REGEXMATCH(C10747, ""押金""), ""押金往來"",
  AND(E10747&lt;&gt;"""", F10747=""""), ""真實支出"",
  AND(E10747="""", F10747&lt;&gt;""""), ""真實收入"",
  TRUE, ""其他""
)"),"其他")</f>
        <v>其他</v>
      </c>
      <c r="K10747" s="270" t="str">
        <f t="shared" si="2"/>
        <v/>
      </c>
      <c r="L10747">
        <f t="shared" si="3"/>
        <v>0</v>
      </c>
    </row>
    <row r="10748">
      <c r="A10748" s="107"/>
      <c r="D10748" s="270"/>
      <c r="H10748" s="106" t="str">
        <f t="shared" si="1"/>
        <v/>
      </c>
      <c r="J10748" t="str">
        <f>IFERROR(__xludf.DUMMYFUNCTION("IFS(
  AND(REGEXMATCH(E10748, ""台銀籌備帳戶|玉山帳戶""), REGEXMATCH(C10748, ""薪資"")), ""分潤支出"",
  AND(REGEXMATCH(E10748, ""Ben帳戶|Elsa帳戶|Ben代墊|Ariel代墊|中信銀行共用""), REGEXMATCH(F10748, ""Ben帳戶|Elsa帳戶|Ben代墊|Ariel代墊|中信銀行共用"")), ""內部轉帳(忽略)"",
  AND(E10748&lt;&gt;"""", F10748&lt;&gt;"&amp;""""", NOT(REGEXMATCH(C10748, ""薪資""))), ""內部轉帳(忽略)"",
  REGEXMATCH(C10748, ""薪資""), ""薪資變動(不計入)"",
  REGEXMATCH(C10748, ""押金""), ""押金往來"",
  AND(E10748&lt;&gt;"""", F10748=""""), ""真實支出"",
  AND(E10748="""", F10748&lt;&gt;""""), ""真實收入"",
  TRUE, ""其他""
)"),"其他")</f>
        <v>其他</v>
      </c>
      <c r="K10748" s="270" t="str">
        <f t="shared" si="2"/>
        <v/>
      </c>
      <c r="L10748">
        <f t="shared" si="3"/>
        <v>0</v>
      </c>
    </row>
    <row r="10749">
      <c r="A10749" s="107"/>
      <c r="D10749" s="270"/>
      <c r="H10749" s="106" t="str">
        <f t="shared" si="1"/>
        <v/>
      </c>
      <c r="J10749" t="str">
        <f>IFERROR(__xludf.DUMMYFUNCTION("IFS(
  AND(REGEXMATCH(E10749, ""台銀籌備帳戶|玉山帳戶""), REGEXMATCH(C10749, ""薪資"")), ""分潤支出"",
  AND(REGEXMATCH(E10749, ""Ben帳戶|Elsa帳戶|Ben代墊|Ariel代墊|中信銀行共用""), REGEXMATCH(F10749, ""Ben帳戶|Elsa帳戶|Ben代墊|Ariel代墊|中信銀行共用"")), ""內部轉帳(忽略)"",
  AND(E10749&lt;&gt;"""", F10749&lt;&gt;"&amp;""""", NOT(REGEXMATCH(C10749, ""薪資""))), ""內部轉帳(忽略)"",
  REGEXMATCH(C10749, ""薪資""), ""薪資變動(不計入)"",
  REGEXMATCH(C10749, ""押金""), ""押金往來"",
  AND(E10749&lt;&gt;"""", F10749=""""), ""真實支出"",
  AND(E10749="""", F10749&lt;&gt;""""), ""真實收入"",
  TRUE, ""其他""
)"),"其他")</f>
        <v>其他</v>
      </c>
      <c r="K10749" s="270" t="str">
        <f t="shared" si="2"/>
        <v/>
      </c>
      <c r="L10749">
        <f t="shared" si="3"/>
        <v>0</v>
      </c>
    </row>
    <row r="10750">
      <c r="A10750" s="107"/>
      <c r="D10750" s="270"/>
      <c r="H10750" s="106" t="str">
        <f t="shared" si="1"/>
        <v/>
      </c>
      <c r="J10750" t="str">
        <f>IFERROR(__xludf.DUMMYFUNCTION("IFS(
  AND(REGEXMATCH(E10750, ""台銀籌備帳戶|玉山帳戶""), REGEXMATCH(C10750, ""薪資"")), ""分潤支出"",
  AND(REGEXMATCH(E10750, ""Ben帳戶|Elsa帳戶|Ben代墊|Ariel代墊|中信銀行共用""), REGEXMATCH(F10750, ""Ben帳戶|Elsa帳戶|Ben代墊|Ariel代墊|中信銀行共用"")), ""內部轉帳(忽略)"",
  AND(E10750&lt;&gt;"""", F10750&lt;&gt;"&amp;""""", NOT(REGEXMATCH(C10750, ""薪資""))), ""內部轉帳(忽略)"",
  REGEXMATCH(C10750, ""薪資""), ""薪資變動(不計入)"",
  REGEXMATCH(C10750, ""押金""), ""押金往來"",
  AND(E10750&lt;&gt;"""", F10750=""""), ""真實支出"",
  AND(E10750="""", F10750&lt;&gt;""""), ""真實收入"",
  TRUE, ""其他""
)"),"其他")</f>
        <v>其他</v>
      </c>
      <c r="K10750" s="270" t="str">
        <f t="shared" si="2"/>
        <v/>
      </c>
      <c r="L10750">
        <f t="shared" si="3"/>
        <v>0</v>
      </c>
    </row>
    <row r="10751">
      <c r="A10751" s="107"/>
      <c r="D10751" s="270"/>
      <c r="H10751" s="106" t="str">
        <f t="shared" si="1"/>
        <v/>
      </c>
      <c r="J10751" t="str">
        <f>IFERROR(__xludf.DUMMYFUNCTION("IFS(
  AND(REGEXMATCH(E10751, ""台銀籌備帳戶|玉山帳戶""), REGEXMATCH(C10751, ""薪資"")), ""分潤支出"",
  AND(REGEXMATCH(E10751, ""Ben帳戶|Elsa帳戶|Ben代墊|Ariel代墊|中信銀行共用""), REGEXMATCH(F10751, ""Ben帳戶|Elsa帳戶|Ben代墊|Ariel代墊|中信銀行共用"")), ""內部轉帳(忽略)"",
  AND(E10751&lt;&gt;"""", F10751&lt;&gt;"&amp;""""", NOT(REGEXMATCH(C10751, ""薪資""))), ""內部轉帳(忽略)"",
  REGEXMATCH(C10751, ""薪資""), ""薪資變動(不計入)"",
  REGEXMATCH(C10751, ""押金""), ""押金往來"",
  AND(E10751&lt;&gt;"""", F10751=""""), ""真實支出"",
  AND(E10751="""", F10751&lt;&gt;""""), ""真實收入"",
  TRUE, ""其他""
)"),"其他")</f>
        <v>其他</v>
      </c>
      <c r="K10751" s="270" t="str">
        <f t="shared" si="2"/>
        <v/>
      </c>
      <c r="L10751">
        <f t="shared" si="3"/>
        <v>0</v>
      </c>
    </row>
    <row r="10752">
      <c r="A10752" s="107"/>
      <c r="D10752" s="270"/>
      <c r="H10752" s="106" t="str">
        <f t="shared" si="1"/>
        <v/>
      </c>
      <c r="J10752" t="str">
        <f>IFERROR(__xludf.DUMMYFUNCTION("IFS(
  AND(REGEXMATCH(E10752, ""台銀籌備帳戶|玉山帳戶""), REGEXMATCH(C10752, ""薪資"")), ""分潤支出"",
  AND(REGEXMATCH(E10752, ""Ben帳戶|Elsa帳戶|Ben代墊|Ariel代墊|中信銀行共用""), REGEXMATCH(F10752, ""Ben帳戶|Elsa帳戶|Ben代墊|Ariel代墊|中信銀行共用"")), ""內部轉帳(忽略)"",
  AND(E10752&lt;&gt;"""", F10752&lt;&gt;"&amp;""""", NOT(REGEXMATCH(C10752, ""薪資""))), ""內部轉帳(忽略)"",
  REGEXMATCH(C10752, ""薪資""), ""薪資變動(不計入)"",
  REGEXMATCH(C10752, ""押金""), ""押金往來"",
  AND(E10752&lt;&gt;"""", F10752=""""), ""真實支出"",
  AND(E10752="""", F10752&lt;&gt;""""), ""真實收入"",
  TRUE, ""其他""
)"),"其他")</f>
        <v>其他</v>
      </c>
      <c r="K10752" s="270" t="str">
        <f t="shared" si="2"/>
        <v/>
      </c>
      <c r="L10752">
        <f t="shared" si="3"/>
        <v>0</v>
      </c>
    </row>
    <row r="10753">
      <c r="A10753" s="107"/>
      <c r="D10753" s="270"/>
      <c r="H10753" s="106" t="str">
        <f t="shared" si="1"/>
        <v/>
      </c>
      <c r="J10753" t="str">
        <f>IFERROR(__xludf.DUMMYFUNCTION("IFS(
  AND(REGEXMATCH(E10753, ""台銀籌備帳戶|玉山帳戶""), REGEXMATCH(C10753, ""薪資"")), ""分潤支出"",
  AND(REGEXMATCH(E10753, ""Ben帳戶|Elsa帳戶|Ben代墊|Ariel代墊|中信銀行共用""), REGEXMATCH(F10753, ""Ben帳戶|Elsa帳戶|Ben代墊|Ariel代墊|中信銀行共用"")), ""內部轉帳(忽略)"",
  AND(E10753&lt;&gt;"""", F10753&lt;&gt;"&amp;""""", NOT(REGEXMATCH(C10753, ""薪資""))), ""內部轉帳(忽略)"",
  REGEXMATCH(C10753, ""薪資""), ""薪資變動(不計入)"",
  REGEXMATCH(C10753, ""押金""), ""押金往來"",
  AND(E10753&lt;&gt;"""", F10753=""""), ""真實支出"",
  AND(E10753="""", F10753&lt;&gt;""""), ""真實收入"",
  TRUE, ""其他""
)"),"其他")</f>
        <v>其他</v>
      </c>
      <c r="K10753" s="270" t="str">
        <f t="shared" si="2"/>
        <v/>
      </c>
      <c r="L10753">
        <f t="shared" si="3"/>
        <v>0</v>
      </c>
    </row>
    <row r="10754">
      <c r="A10754" s="107"/>
      <c r="D10754" s="270"/>
      <c r="H10754" s="106" t="str">
        <f t="shared" si="1"/>
        <v/>
      </c>
      <c r="J10754" t="str">
        <f>IFERROR(__xludf.DUMMYFUNCTION("IFS(
  AND(REGEXMATCH(E10754, ""台銀籌備帳戶|玉山帳戶""), REGEXMATCH(C10754, ""薪資"")), ""分潤支出"",
  AND(REGEXMATCH(E10754, ""Ben帳戶|Elsa帳戶|Ben代墊|Ariel代墊|中信銀行共用""), REGEXMATCH(F10754, ""Ben帳戶|Elsa帳戶|Ben代墊|Ariel代墊|中信銀行共用"")), ""內部轉帳(忽略)"",
  AND(E10754&lt;&gt;"""", F10754&lt;&gt;"&amp;""""", NOT(REGEXMATCH(C10754, ""薪資""))), ""內部轉帳(忽略)"",
  REGEXMATCH(C10754, ""薪資""), ""薪資變動(不計入)"",
  REGEXMATCH(C10754, ""押金""), ""押金往來"",
  AND(E10754&lt;&gt;"""", F10754=""""), ""真實支出"",
  AND(E10754="""", F10754&lt;&gt;""""), ""真實收入"",
  TRUE, ""其他""
)"),"其他")</f>
        <v>其他</v>
      </c>
      <c r="K10754" s="270" t="str">
        <f t="shared" si="2"/>
        <v/>
      </c>
      <c r="L10754">
        <f t="shared" si="3"/>
        <v>0</v>
      </c>
    </row>
    <row r="10755">
      <c r="A10755" s="107"/>
      <c r="D10755" s="270"/>
      <c r="H10755" s="106" t="str">
        <f t="shared" si="1"/>
        <v/>
      </c>
      <c r="J10755" t="str">
        <f>IFERROR(__xludf.DUMMYFUNCTION("IFS(
  AND(REGEXMATCH(E10755, ""台銀籌備帳戶|玉山帳戶""), REGEXMATCH(C10755, ""薪資"")), ""分潤支出"",
  AND(REGEXMATCH(E10755, ""Ben帳戶|Elsa帳戶|Ben代墊|Ariel代墊|中信銀行共用""), REGEXMATCH(F10755, ""Ben帳戶|Elsa帳戶|Ben代墊|Ariel代墊|中信銀行共用"")), ""內部轉帳(忽略)"",
  AND(E10755&lt;&gt;"""", F10755&lt;&gt;"&amp;""""", NOT(REGEXMATCH(C10755, ""薪資""))), ""內部轉帳(忽略)"",
  REGEXMATCH(C10755, ""薪資""), ""薪資變動(不計入)"",
  REGEXMATCH(C10755, ""押金""), ""押金往來"",
  AND(E10755&lt;&gt;"""", F10755=""""), ""真實支出"",
  AND(E10755="""", F10755&lt;&gt;""""), ""真實收入"",
  TRUE, ""其他""
)"),"其他")</f>
        <v>其他</v>
      </c>
      <c r="K10755" s="270" t="str">
        <f t="shared" si="2"/>
        <v/>
      </c>
      <c r="L10755">
        <f t="shared" si="3"/>
        <v>0</v>
      </c>
    </row>
    <row r="10756">
      <c r="A10756" s="107"/>
      <c r="D10756" s="270"/>
      <c r="H10756" s="106" t="str">
        <f t="shared" si="1"/>
        <v/>
      </c>
      <c r="J10756" t="str">
        <f>IFERROR(__xludf.DUMMYFUNCTION("IFS(
  AND(REGEXMATCH(E10756, ""台銀籌備帳戶|玉山帳戶""), REGEXMATCH(C10756, ""薪資"")), ""分潤支出"",
  AND(REGEXMATCH(E10756, ""Ben帳戶|Elsa帳戶|Ben代墊|Ariel代墊|中信銀行共用""), REGEXMATCH(F10756, ""Ben帳戶|Elsa帳戶|Ben代墊|Ariel代墊|中信銀行共用"")), ""內部轉帳(忽略)"",
  AND(E10756&lt;&gt;"""", F10756&lt;&gt;"&amp;""""", NOT(REGEXMATCH(C10756, ""薪資""))), ""內部轉帳(忽略)"",
  REGEXMATCH(C10756, ""薪資""), ""薪資變動(不計入)"",
  REGEXMATCH(C10756, ""押金""), ""押金往來"",
  AND(E10756&lt;&gt;"""", F10756=""""), ""真實支出"",
  AND(E10756="""", F10756&lt;&gt;""""), ""真實收入"",
  TRUE, ""其他""
)"),"其他")</f>
        <v>其他</v>
      </c>
      <c r="K10756" s="270" t="str">
        <f t="shared" si="2"/>
        <v/>
      </c>
      <c r="L10756">
        <f t="shared" si="3"/>
        <v>0</v>
      </c>
    </row>
    <row r="10757">
      <c r="A10757" s="107"/>
      <c r="D10757" s="270"/>
      <c r="H10757" s="106" t="str">
        <f t="shared" si="1"/>
        <v/>
      </c>
      <c r="J10757" t="str">
        <f>IFERROR(__xludf.DUMMYFUNCTION("IFS(
  AND(REGEXMATCH(E10757, ""台銀籌備帳戶|玉山帳戶""), REGEXMATCH(C10757, ""薪資"")), ""分潤支出"",
  AND(REGEXMATCH(E10757, ""Ben帳戶|Elsa帳戶|Ben代墊|Ariel代墊|中信銀行共用""), REGEXMATCH(F10757, ""Ben帳戶|Elsa帳戶|Ben代墊|Ariel代墊|中信銀行共用"")), ""內部轉帳(忽略)"",
  AND(E10757&lt;&gt;"""", F10757&lt;&gt;"&amp;""""", NOT(REGEXMATCH(C10757, ""薪資""))), ""內部轉帳(忽略)"",
  REGEXMATCH(C10757, ""薪資""), ""薪資變動(不計入)"",
  REGEXMATCH(C10757, ""押金""), ""押金往來"",
  AND(E10757&lt;&gt;"""", F10757=""""), ""真實支出"",
  AND(E10757="""", F10757&lt;&gt;""""), ""真實收入"",
  TRUE, ""其他""
)"),"其他")</f>
        <v>其他</v>
      </c>
      <c r="K10757" s="270" t="str">
        <f t="shared" si="2"/>
        <v/>
      </c>
      <c r="L10757">
        <f t="shared" si="3"/>
        <v>0</v>
      </c>
    </row>
    <row r="10758">
      <c r="A10758" s="107"/>
      <c r="D10758" s="270"/>
      <c r="H10758" s="106" t="str">
        <f t="shared" si="1"/>
        <v/>
      </c>
      <c r="J10758" t="str">
        <f>IFERROR(__xludf.DUMMYFUNCTION("IFS(
  AND(REGEXMATCH(E10758, ""台銀籌備帳戶|玉山帳戶""), REGEXMATCH(C10758, ""薪資"")), ""分潤支出"",
  AND(REGEXMATCH(E10758, ""Ben帳戶|Elsa帳戶|Ben代墊|Ariel代墊|中信銀行共用""), REGEXMATCH(F10758, ""Ben帳戶|Elsa帳戶|Ben代墊|Ariel代墊|中信銀行共用"")), ""內部轉帳(忽略)"",
  AND(E10758&lt;&gt;"""", F10758&lt;&gt;"&amp;""""", NOT(REGEXMATCH(C10758, ""薪資""))), ""內部轉帳(忽略)"",
  REGEXMATCH(C10758, ""薪資""), ""薪資變動(不計入)"",
  REGEXMATCH(C10758, ""押金""), ""押金往來"",
  AND(E10758&lt;&gt;"""", F10758=""""), ""真實支出"",
  AND(E10758="""", F10758&lt;&gt;""""), ""真實收入"",
  TRUE, ""其他""
)"),"其他")</f>
        <v>其他</v>
      </c>
      <c r="K10758" s="270" t="str">
        <f t="shared" si="2"/>
        <v/>
      </c>
      <c r="L10758">
        <f t="shared" si="3"/>
        <v>0</v>
      </c>
    </row>
    <row r="10759">
      <c r="A10759" s="107"/>
      <c r="D10759" s="270"/>
      <c r="H10759" s="106" t="str">
        <f t="shared" si="1"/>
        <v/>
      </c>
      <c r="J10759" t="str">
        <f>IFERROR(__xludf.DUMMYFUNCTION("IFS(
  AND(REGEXMATCH(E10759, ""台銀籌備帳戶|玉山帳戶""), REGEXMATCH(C10759, ""薪資"")), ""分潤支出"",
  AND(REGEXMATCH(E10759, ""Ben帳戶|Elsa帳戶|Ben代墊|Ariel代墊|中信銀行共用""), REGEXMATCH(F10759, ""Ben帳戶|Elsa帳戶|Ben代墊|Ariel代墊|中信銀行共用"")), ""內部轉帳(忽略)"",
  AND(E10759&lt;&gt;"""", F10759&lt;&gt;"&amp;""""", NOT(REGEXMATCH(C10759, ""薪資""))), ""內部轉帳(忽略)"",
  REGEXMATCH(C10759, ""薪資""), ""薪資變動(不計入)"",
  REGEXMATCH(C10759, ""押金""), ""押金往來"",
  AND(E10759&lt;&gt;"""", F10759=""""), ""真實支出"",
  AND(E10759="""", F10759&lt;&gt;""""), ""真實收入"",
  TRUE, ""其他""
)"),"其他")</f>
        <v>其他</v>
      </c>
      <c r="K10759" s="270" t="str">
        <f t="shared" si="2"/>
        <v/>
      </c>
      <c r="L10759">
        <f t="shared" si="3"/>
        <v>0</v>
      </c>
    </row>
    <row r="10760">
      <c r="A10760" s="107"/>
      <c r="D10760" s="270"/>
      <c r="H10760" s="106" t="str">
        <f t="shared" si="1"/>
        <v/>
      </c>
      <c r="J10760" t="str">
        <f>IFERROR(__xludf.DUMMYFUNCTION("IFS(
  AND(REGEXMATCH(E10760, ""台銀籌備帳戶|玉山帳戶""), REGEXMATCH(C10760, ""薪資"")), ""分潤支出"",
  AND(REGEXMATCH(E10760, ""Ben帳戶|Elsa帳戶|Ben代墊|Ariel代墊|中信銀行共用""), REGEXMATCH(F10760, ""Ben帳戶|Elsa帳戶|Ben代墊|Ariel代墊|中信銀行共用"")), ""內部轉帳(忽略)"",
  AND(E10760&lt;&gt;"""", F10760&lt;&gt;"&amp;""""", NOT(REGEXMATCH(C10760, ""薪資""))), ""內部轉帳(忽略)"",
  REGEXMATCH(C10760, ""薪資""), ""薪資變動(不計入)"",
  REGEXMATCH(C10760, ""押金""), ""押金往來"",
  AND(E10760&lt;&gt;"""", F10760=""""), ""真實支出"",
  AND(E10760="""", F10760&lt;&gt;""""), ""真實收入"",
  TRUE, ""其他""
)"),"其他")</f>
        <v>其他</v>
      </c>
      <c r="K10760" s="270" t="str">
        <f t="shared" si="2"/>
        <v/>
      </c>
      <c r="L10760">
        <f t="shared" si="3"/>
        <v>0</v>
      </c>
    </row>
    <row r="10761">
      <c r="A10761" s="107"/>
      <c r="D10761" s="270"/>
      <c r="H10761" s="106" t="str">
        <f t="shared" si="1"/>
        <v/>
      </c>
      <c r="J10761" t="str">
        <f>IFERROR(__xludf.DUMMYFUNCTION("IFS(
  AND(REGEXMATCH(E10761, ""台銀籌備帳戶|玉山帳戶""), REGEXMATCH(C10761, ""薪資"")), ""分潤支出"",
  AND(REGEXMATCH(E10761, ""Ben帳戶|Elsa帳戶|Ben代墊|Ariel代墊|中信銀行共用""), REGEXMATCH(F10761, ""Ben帳戶|Elsa帳戶|Ben代墊|Ariel代墊|中信銀行共用"")), ""內部轉帳(忽略)"",
  AND(E10761&lt;&gt;"""", F10761&lt;&gt;"&amp;""""", NOT(REGEXMATCH(C10761, ""薪資""))), ""內部轉帳(忽略)"",
  REGEXMATCH(C10761, ""薪資""), ""薪資變動(不計入)"",
  REGEXMATCH(C10761, ""押金""), ""押金往來"",
  AND(E10761&lt;&gt;"""", F10761=""""), ""真實支出"",
  AND(E10761="""", F10761&lt;&gt;""""), ""真實收入"",
  TRUE, ""其他""
)"),"其他")</f>
        <v>其他</v>
      </c>
      <c r="K10761" s="270" t="str">
        <f t="shared" si="2"/>
        <v/>
      </c>
      <c r="L10761">
        <f t="shared" si="3"/>
        <v>0</v>
      </c>
    </row>
    <row r="10762">
      <c r="A10762" s="107"/>
      <c r="D10762" s="270"/>
      <c r="H10762" s="106" t="str">
        <f t="shared" si="1"/>
        <v/>
      </c>
      <c r="J10762" t="str">
        <f>IFERROR(__xludf.DUMMYFUNCTION("IFS(
  AND(REGEXMATCH(E10762, ""台銀籌備帳戶|玉山帳戶""), REGEXMATCH(C10762, ""薪資"")), ""分潤支出"",
  AND(REGEXMATCH(E10762, ""Ben帳戶|Elsa帳戶|Ben代墊|Ariel代墊|中信銀行共用""), REGEXMATCH(F10762, ""Ben帳戶|Elsa帳戶|Ben代墊|Ariel代墊|中信銀行共用"")), ""內部轉帳(忽略)"",
  AND(E10762&lt;&gt;"""", F10762&lt;&gt;"&amp;""""", NOT(REGEXMATCH(C10762, ""薪資""))), ""內部轉帳(忽略)"",
  REGEXMATCH(C10762, ""薪資""), ""薪資變動(不計入)"",
  REGEXMATCH(C10762, ""押金""), ""押金往來"",
  AND(E10762&lt;&gt;"""", F10762=""""), ""真實支出"",
  AND(E10762="""", F10762&lt;&gt;""""), ""真實收入"",
  TRUE, ""其他""
)"),"其他")</f>
        <v>其他</v>
      </c>
      <c r="K10762" s="270" t="str">
        <f t="shared" si="2"/>
        <v/>
      </c>
      <c r="L10762">
        <f t="shared" si="3"/>
        <v>0</v>
      </c>
    </row>
    <row r="10763">
      <c r="A10763" s="107"/>
      <c r="D10763" s="270"/>
      <c r="H10763" s="106" t="str">
        <f t="shared" si="1"/>
        <v/>
      </c>
      <c r="J10763" t="str">
        <f>IFERROR(__xludf.DUMMYFUNCTION("IFS(
  AND(REGEXMATCH(E10763, ""台銀籌備帳戶|玉山帳戶""), REGEXMATCH(C10763, ""薪資"")), ""分潤支出"",
  AND(REGEXMATCH(E10763, ""Ben帳戶|Elsa帳戶|Ben代墊|Ariel代墊|中信銀行共用""), REGEXMATCH(F10763, ""Ben帳戶|Elsa帳戶|Ben代墊|Ariel代墊|中信銀行共用"")), ""內部轉帳(忽略)"",
  AND(E10763&lt;&gt;"""", F10763&lt;&gt;"&amp;""""", NOT(REGEXMATCH(C10763, ""薪資""))), ""內部轉帳(忽略)"",
  REGEXMATCH(C10763, ""薪資""), ""薪資變動(不計入)"",
  REGEXMATCH(C10763, ""押金""), ""押金往來"",
  AND(E10763&lt;&gt;"""", F10763=""""), ""真實支出"",
  AND(E10763="""", F10763&lt;&gt;""""), ""真實收入"",
  TRUE, ""其他""
)"),"其他")</f>
        <v>其他</v>
      </c>
      <c r="K10763" s="270" t="str">
        <f t="shared" si="2"/>
        <v/>
      </c>
      <c r="L10763">
        <f t="shared" si="3"/>
        <v>0</v>
      </c>
    </row>
    <row r="10764">
      <c r="A10764" s="107"/>
      <c r="D10764" s="270"/>
      <c r="H10764" s="106" t="str">
        <f t="shared" si="1"/>
        <v/>
      </c>
      <c r="J10764" t="str">
        <f>IFERROR(__xludf.DUMMYFUNCTION("IFS(
  AND(REGEXMATCH(E10764, ""台銀籌備帳戶|玉山帳戶""), REGEXMATCH(C10764, ""薪資"")), ""分潤支出"",
  AND(REGEXMATCH(E10764, ""Ben帳戶|Elsa帳戶|Ben代墊|Ariel代墊|中信銀行共用""), REGEXMATCH(F10764, ""Ben帳戶|Elsa帳戶|Ben代墊|Ariel代墊|中信銀行共用"")), ""內部轉帳(忽略)"",
  AND(E10764&lt;&gt;"""", F10764&lt;&gt;"&amp;""""", NOT(REGEXMATCH(C10764, ""薪資""))), ""內部轉帳(忽略)"",
  REGEXMATCH(C10764, ""薪資""), ""薪資變動(不計入)"",
  REGEXMATCH(C10764, ""押金""), ""押金往來"",
  AND(E10764&lt;&gt;"""", F10764=""""), ""真實支出"",
  AND(E10764="""", F10764&lt;&gt;""""), ""真實收入"",
  TRUE, ""其他""
)"),"其他")</f>
        <v>其他</v>
      </c>
      <c r="K10764" s="270" t="str">
        <f t="shared" si="2"/>
        <v/>
      </c>
      <c r="L10764">
        <f t="shared" si="3"/>
        <v>0</v>
      </c>
    </row>
    <row r="10765">
      <c r="A10765" s="107"/>
      <c r="D10765" s="270"/>
      <c r="H10765" s="106" t="str">
        <f t="shared" si="1"/>
        <v/>
      </c>
      <c r="J10765" t="str">
        <f>IFERROR(__xludf.DUMMYFUNCTION("IFS(
  AND(REGEXMATCH(E10765, ""台銀籌備帳戶|玉山帳戶""), REGEXMATCH(C10765, ""薪資"")), ""分潤支出"",
  AND(REGEXMATCH(E10765, ""Ben帳戶|Elsa帳戶|Ben代墊|Ariel代墊|中信銀行共用""), REGEXMATCH(F10765, ""Ben帳戶|Elsa帳戶|Ben代墊|Ariel代墊|中信銀行共用"")), ""內部轉帳(忽略)"",
  AND(E10765&lt;&gt;"""", F10765&lt;&gt;"&amp;""""", NOT(REGEXMATCH(C10765, ""薪資""))), ""內部轉帳(忽略)"",
  REGEXMATCH(C10765, ""薪資""), ""薪資變動(不計入)"",
  REGEXMATCH(C10765, ""押金""), ""押金往來"",
  AND(E10765&lt;&gt;"""", F10765=""""), ""真實支出"",
  AND(E10765="""", F10765&lt;&gt;""""), ""真實收入"",
  TRUE, ""其他""
)"),"其他")</f>
        <v>其他</v>
      </c>
      <c r="K10765" s="270" t="str">
        <f t="shared" si="2"/>
        <v/>
      </c>
      <c r="L10765">
        <f t="shared" si="3"/>
        <v>0</v>
      </c>
    </row>
    <row r="10766">
      <c r="A10766" s="107"/>
      <c r="D10766" s="270"/>
      <c r="H10766" s="106" t="str">
        <f t="shared" si="1"/>
        <v/>
      </c>
      <c r="J10766" t="str">
        <f>IFERROR(__xludf.DUMMYFUNCTION("IFS(
  AND(REGEXMATCH(E10766, ""台銀籌備帳戶|玉山帳戶""), REGEXMATCH(C10766, ""薪資"")), ""分潤支出"",
  AND(REGEXMATCH(E10766, ""Ben帳戶|Elsa帳戶|Ben代墊|Ariel代墊|中信銀行共用""), REGEXMATCH(F10766, ""Ben帳戶|Elsa帳戶|Ben代墊|Ariel代墊|中信銀行共用"")), ""內部轉帳(忽略)"",
  AND(E10766&lt;&gt;"""", F10766&lt;&gt;"&amp;""""", NOT(REGEXMATCH(C10766, ""薪資""))), ""內部轉帳(忽略)"",
  REGEXMATCH(C10766, ""薪資""), ""薪資變動(不計入)"",
  REGEXMATCH(C10766, ""押金""), ""押金往來"",
  AND(E10766&lt;&gt;"""", F10766=""""), ""真實支出"",
  AND(E10766="""", F10766&lt;&gt;""""), ""真實收入"",
  TRUE, ""其他""
)"),"其他")</f>
        <v>其他</v>
      </c>
      <c r="K10766" s="270" t="str">
        <f t="shared" si="2"/>
        <v/>
      </c>
      <c r="L10766">
        <f t="shared" si="3"/>
        <v>0</v>
      </c>
    </row>
    <row r="10767">
      <c r="A10767" s="107"/>
      <c r="D10767" s="270"/>
      <c r="H10767" s="106" t="str">
        <f t="shared" si="1"/>
        <v/>
      </c>
      <c r="J10767" t="str">
        <f>IFERROR(__xludf.DUMMYFUNCTION("IFS(
  AND(REGEXMATCH(E10767, ""台銀籌備帳戶|玉山帳戶""), REGEXMATCH(C10767, ""薪資"")), ""分潤支出"",
  AND(REGEXMATCH(E10767, ""Ben帳戶|Elsa帳戶|Ben代墊|Ariel代墊|中信銀行共用""), REGEXMATCH(F10767, ""Ben帳戶|Elsa帳戶|Ben代墊|Ariel代墊|中信銀行共用"")), ""內部轉帳(忽略)"",
  AND(E10767&lt;&gt;"""", F10767&lt;&gt;"&amp;""""", NOT(REGEXMATCH(C10767, ""薪資""))), ""內部轉帳(忽略)"",
  REGEXMATCH(C10767, ""薪資""), ""薪資變動(不計入)"",
  REGEXMATCH(C10767, ""押金""), ""押金往來"",
  AND(E10767&lt;&gt;"""", F10767=""""), ""真實支出"",
  AND(E10767="""", F10767&lt;&gt;""""), ""真實收入"",
  TRUE, ""其他""
)"),"其他")</f>
        <v>其他</v>
      </c>
      <c r="K10767" s="270" t="str">
        <f t="shared" si="2"/>
        <v/>
      </c>
      <c r="L10767">
        <f t="shared" si="3"/>
        <v>0</v>
      </c>
    </row>
    <row r="10768">
      <c r="A10768" s="107"/>
      <c r="D10768" s="270"/>
      <c r="H10768" s="106" t="str">
        <f t="shared" si="1"/>
        <v/>
      </c>
      <c r="J10768" t="str">
        <f>IFERROR(__xludf.DUMMYFUNCTION("IFS(
  AND(REGEXMATCH(E10768, ""台銀籌備帳戶|玉山帳戶""), REGEXMATCH(C10768, ""薪資"")), ""分潤支出"",
  AND(REGEXMATCH(E10768, ""Ben帳戶|Elsa帳戶|Ben代墊|Ariel代墊|中信銀行共用""), REGEXMATCH(F10768, ""Ben帳戶|Elsa帳戶|Ben代墊|Ariel代墊|中信銀行共用"")), ""內部轉帳(忽略)"",
  AND(E10768&lt;&gt;"""", F10768&lt;&gt;"&amp;""""", NOT(REGEXMATCH(C10768, ""薪資""))), ""內部轉帳(忽略)"",
  REGEXMATCH(C10768, ""薪資""), ""薪資變動(不計入)"",
  REGEXMATCH(C10768, ""押金""), ""押金往來"",
  AND(E10768&lt;&gt;"""", F10768=""""), ""真實支出"",
  AND(E10768="""", F10768&lt;&gt;""""), ""真實收入"",
  TRUE, ""其他""
)"),"其他")</f>
        <v>其他</v>
      </c>
      <c r="K10768" s="270" t="str">
        <f t="shared" si="2"/>
        <v/>
      </c>
      <c r="L10768">
        <f t="shared" si="3"/>
        <v>0</v>
      </c>
    </row>
    <row r="10769">
      <c r="A10769" s="107"/>
      <c r="D10769" s="270"/>
      <c r="H10769" s="106" t="str">
        <f t="shared" si="1"/>
        <v/>
      </c>
      <c r="J10769" t="str">
        <f>IFERROR(__xludf.DUMMYFUNCTION("IFS(
  AND(REGEXMATCH(E10769, ""台銀籌備帳戶|玉山帳戶""), REGEXMATCH(C10769, ""薪資"")), ""分潤支出"",
  AND(REGEXMATCH(E10769, ""Ben帳戶|Elsa帳戶|Ben代墊|Ariel代墊|中信銀行共用""), REGEXMATCH(F10769, ""Ben帳戶|Elsa帳戶|Ben代墊|Ariel代墊|中信銀行共用"")), ""內部轉帳(忽略)"",
  AND(E10769&lt;&gt;"""", F10769&lt;&gt;"&amp;""""", NOT(REGEXMATCH(C10769, ""薪資""))), ""內部轉帳(忽略)"",
  REGEXMATCH(C10769, ""薪資""), ""薪資變動(不計入)"",
  REGEXMATCH(C10769, ""押金""), ""押金往來"",
  AND(E10769&lt;&gt;"""", F10769=""""), ""真實支出"",
  AND(E10769="""", F10769&lt;&gt;""""), ""真實收入"",
  TRUE, ""其他""
)"),"其他")</f>
        <v>其他</v>
      </c>
      <c r="K10769" s="270" t="str">
        <f t="shared" si="2"/>
        <v/>
      </c>
      <c r="L10769">
        <f t="shared" si="3"/>
        <v>0</v>
      </c>
    </row>
    <row r="10770">
      <c r="A10770" s="107"/>
      <c r="D10770" s="270"/>
      <c r="H10770" s="106" t="str">
        <f t="shared" si="1"/>
        <v/>
      </c>
      <c r="J10770" t="str">
        <f>IFERROR(__xludf.DUMMYFUNCTION("IFS(
  AND(REGEXMATCH(E10770, ""台銀籌備帳戶|玉山帳戶""), REGEXMATCH(C10770, ""薪資"")), ""分潤支出"",
  AND(REGEXMATCH(E10770, ""Ben帳戶|Elsa帳戶|Ben代墊|Ariel代墊|中信銀行共用""), REGEXMATCH(F10770, ""Ben帳戶|Elsa帳戶|Ben代墊|Ariel代墊|中信銀行共用"")), ""內部轉帳(忽略)"",
  AND(E10770&lt;&gt;"""", F10770&lt;&gt;"&amp;""""", NOT(REGEXMATCH(C10770, ""薪資""))), ""內部轉帳(忽略)"",
  REGEXMATCH(C10770, ""薪資""), ""薪資變動(不計入)"",
  REGEXMATCH(C10770, ""押金""), ""押金往來"",
  AND(E10770&lt;&gt;"""", F10770=""""), ""真實支出"",
  AND(E10770="""", F10770&lt;&gt;""""), ""真實收入"",
  TRUE, ""其他""
)"),"其他")</f>
        <v>其他</v>
      </c>
      <c r="K10770" s="270" t="str">
        <f t="shared" si="2"/>
        <v/>
      </c>
      <c r="L10770">
        <f t="shared" si="3"/>
        <v>0</v>
      </c>
    </row>
    <row r="10771">
      <c r="A10771" s="107"/>
      <c r="D10771" s="270"/>
      <c r="H10771" s="106" t="str">
        <f t="shared" si="1"/>
        <v/>
      </c>
      <c r="J10771" t="str">
        <f>IFERROR(__xludf.DUMMYFUNCTION("IFS(
  AND(REGEXMATCH(E10771, ""台銀籌備帳戶|玉山帳戶""), REGEXMATCH(C10771, ""薪資"")), ""分潤支出"",
  AND(REGEXMATCH(E10771, ""Ben帳戶|Elsa帳戶|Ben代墊|Ariel代墊|中信銀行共用""), REGEXMATCH(F10771, ""Ben帳戶|Elsa帳戶|Ben代墊|Ariel代墊|中信銀行共用"")), ""內部轉帳(忽略)"",
  AND(E10771&lt;&gt;"""", F10771&lt;&gt;"&amp;""""", NOT(REGEXMATCH(C10771, ""薪資""))), ""內部轉帳(忽略)"",
  REGEXMATCH(C10771, ""薪資""), ""薪資變動(不計入)"",
  REGEXMATCH(C10771, ""押金""), ""押金往來"",
  AND(E10771&lt;&gt;"""", F10771=""""), ""真實支出"",
  AND(E10771="""", F10771&lt;&gt;""""), ""真實收入"",
  TRUE, ""其他""
)"),"其他")</f>
        <v>其他</v>
      </c>
      <c r="K10771" s="270" t="str">
        <f t="shared" si="2"/>
        <v/>
      </c>
      <c r="L10771">
        <f t="shared" si="3"/>
        <v>0</v>
      </c>
    </row>
    <row r="10772">
      <c r="A10772" s="107"/>
      <c r="D10772" s="270"/>
      <c r="H10772" s="106" t="str">
        <f t="shared" si="1"/>
        <v/>
      </c>
      <c r="J10772" t="str">
        <f>IFERROR(__xludf.DUMMYFUNCTION("IFS(
  AND(REGEXMATCH(E10772, ""台銀籌備帳戶|玉山帳戶""), REGEXMATCH(C10772, ""薪資"")), ""分潤支出"",
  AND(REGEXMATCH(E10772, ""Ben帳戶|Elsa帳戶|Ben代墊|Ariel代墊|中信銀行共用""), REGEXMATCH(F10772, ""Ben帳戶|Elsa帳戶|Ben代墊|Ariel代墊|中信銀行共用"")), ""內部轉帳(忽略)"",
  AND(E10772&lt;&gt;"""", F10772&lt;&gt;"&amp;""""", NOT(REGEXMATCH(C10772, ""薪資""))), ""內部轉帳(忽略)"",
  REGEXMATCH(C10772, ""薪資""), ""薪資變動(不計入)"",
  REGEXMATCH(C10772, ""押金""), ""押金往來"",
  AND(E10772&lt;&gt;"""", F10772=""""), ""真實支出"",
  AND(E10772="""", F10772&lt;&gt;""""), ""真實收入"",
  TRUE, ""其他""
)"),"其他")</f>
        <v>其他</v>
      </c>
      <c r="K10772" s="270" t="str">
        <f t="shared" si="2"/>
        <v/>
      </c>
      <c r="L10772">
        <f t="shared" si="3"/>
        <v>0</v>
      </c>
    </row>
    <row r="10773">
      <c r="A10773" s="107"/>
      <c r="D10773" s="270"/>
      <c r="H10773" s="106" t="str">
        <f t="shared" si="1"/>
        <v/>
      </c>
      <c r="J10773" t="str">
        <f>IFERROR(__xludf.DUMMYFUNCTION("IFS(
  AND(REGEXMATCH(E10773, ""台銀籌備帳戶|玉山帳戶""), REGEXMATCH(C10773, ""薪資"")), ""分潤支出"",
  AND(REGEXMATCH(E10773, ""Ben帳戶|Elsa帳戶|Ben代墊|Ariel代墊|中信銀行共用""), REGEXMATCH(F10773, ""Ben帳戶|Elsa帳戶|Ben代墊|Ariel代墊|中信銀行共用"")), ""內部轉帳(忽略)"",
  AND(E10773&lt;&gt;"""", F10773&lt;&gt;"&amp;""""", NOT(REGEXMATCH(C10773, ""薪資""))), ""內部轉帳(忽略)"",
  REGEXMATCH(C10773, ""薪資""), ""薪資變動(不計入)"",
  REGEXMATCH(C10773, ""押金""), ""押金往來"",
  AND(E10773&lt;&gt;"""", F10773=""""), ""真實支出"",
  AND(E10773="""", F10773&lt;&gt;""""), ""真實收入"",
  TRUE, ""其他""
)"),"其他")</f>
        <v>其他</v>
      </c>
      <c r="K10773" s="270" t="str">
        <f t="shared" si="2"/>
        <v/>
      </c>
      <c r="L10773">
        <f t="shared" si="3"/>
        <v>0</v>
      </c>
    </row>
    <row r="10774">
      <c r="A10774" s="107"/>
      <c r="D10774" s="270"/>
      <c r="H10774" s="106" t="str">
        <f t="shared" si="1"/>
        <v/>
      </c>
      <c r="J10774" t="str">
        <f>IFERROR(__xludf.DUMMYFUNCTION("IFS(
  AND(REGEXMATCH(E10774, ""台銀籌備帳戶|玉山帳戶""), REGEXMATCH(C10774, ""薪資"")), ""分潤支出"",
  AND(REGEXMATCH(E10774, ""Ben帳戶|Elsa帳戶|Ben代墊|Ariel代墊|中信銀行共用""), REGEXMATCH(F10774, ""Ben帳戶|Elsa帳戶|Ben代墊|Ariel代墊|中信銀行共用"")), ""內部轉帳(忽略)"",
  AND(E10774&lt;&gt;"""", F10774&lt;&gt;"&amp;""""", NOT(REGEXMATCH(C10774, ""薪資""))), ""內部轉帳(忽略)"",
  REGEXMATCH(C10774, ""薪資""), ""薪資變動(不計入)"",
  REGEXMATCH(C10774, ""押金""), ""押金往來"",
  AND(E10774&lt;&gt;"""", F10774=""""), ""真實支出"",
  AND(E10774="""", F10774&lt;&gt;""""), ""真實收入"",
  TRUE, ""其他""
)"),"其他")</f>
        <v>其他</v>
      </c>
      <c r="K10774" s="270" t="str">
        <f t="shared" si="2"/>
        <v/>
      </c>
      <c r="L10774">
        <f t="shared" si="3"/>
        <v>0</v>
      </c>
    </row>
    <row r="10775">
      <c r="A10775" s="107"/>
      <c r="D10775" s="270"/>
      <c r="H10775" s="106" t="str">
        <f t="shared" si="1"/>
        <v/>
      </c>
      <c r="J10775" t="str">
        <f>IFERROR(__xludf.DUMMYFUNCTION("IFS(
  AND(REGEXMATCH(E10775, ""台銀籌備帳戶|玉山帳戶""), REGEXMATCH(C10775, ""薪資"")), ""分潤支出"",
  AND(REGEXMATCH(E10775, ""Ben帳戶|Elsa帳戶|Ben代墊|Ariel代墊|中信銀行共用""), REGEXMATCH(F10775, ""Ben帳戶|Elsa帳戶|Ben代墊|Ariel代墊|中信銀行共用"")), ""內部轉帳(忽略)"",
  AND(E10775&lt;&gt;"""", F10775&lt;&gt;"&amp;""""", NOT(REGEXMATCH(C10775, ""薪資""))), ""內部轉帳(忽略)"",
  REGEXMATCH(C10775, ""薪資""), ""薪資變動(不計入)"",
  REGEXMATCH(C10775, ""押金""), ""押金往來"",
  AND(E10775&lt;&gt;"""", F10775=""""), ""真實支出"",
  AND(E10775="""", F10775&lt;&gt;""""), ""真實收入"",
  TRUE, ""其他""
)"),"其他")</f>
        <v>其他</v>
      </c>
      <c r="K10775" s="270" t="str">
        <f t="shared" si="2"/>
        <v/>
      </c>
      <c r="L10775">
        <f t="shared" si="3"/>
        <v>0</v>
      </c>
    </row>
    <row r="10776">
      <c r="A10776" s="107"/>
      <c r="D10776" s="270"/>
      <c r="H10776" s="106" t="str">
        <f t="shared" si="1"/>
        <v/>
      </c>
      <c r="J10776" t="str">
        <f>IFERROR(__xludf.DUMMYFUNCTION("IFS(
  AND(REGEXMATCH(E10776, ""台銀籌備帳戶|玉山帳戶""), REGEXMATCH(C10776, ""薪資"")), ""分潤支出"",
  AND(REGEXMATCH(E10776, ""Ben帳戶|Elsa帳戶|Ben代墊|Ariel代墊|中信銀行共用""), REGEXMATCH(F10776, ""Ben帳戶|Elsa帳戶|Ben代墊|Ariel代墊|中信銀行共用"")), ""內部轉帳(忽略)"",
  AND(E10776&lt;&gt;"""", F10776&lt;&gt;"&amp;""""", NOT(REGEXMATCH(C10776, ""薪資""))), ""內部轉帳(忽略)"",
  REGEXMATCH(C10776, ""薪資""), ""薪資變動(不計入)"",
  REGEXMATCH(C10776, ""押金""), ""押金往來"",
  AND(E10776&lt;&gt;"""", F10776=""""), ""真實支出"",
  AND(E10776="""", F10776&lt;&gt;""""), ""真實收入"",
  TRUE, ""其他""
)"),"其他")</f>
        <v>其他</v>
      </c>
      <c r="K10776" s="270" t="str">
        <f t="shared" si="2"/>
        <v/>
      </c>
      <c r="L10776">
        <f t="shared" si="3"/>
        <v>0</v>
      </c>
    </row>
    <row r="10777">
      <c r="A10777" s="107"/>
      <c r="D10777" s="270"/>
      <c r="H10777" s="106" t="str">
        <f t="shared" si="1"/>
        <v/>
      </c>
      <c r="J10777" t="str">
        <f>IFERROR(__xludf.DUMMYFUNCTION("IFS(
  AND(REGEXMATCH(E10777, ""台銀籌備帳戶|玉山帳戶""), REGEXMATCH(C10777, ""薪資"")), ""分潤支出"",
  AND(REGEXMATCH(E10777, ""Ben帳戶|Elsa帳戶|Ben代墊|Ariel代墊|中信銀行共用""), REGEXMATCH(F10777, ""Ben帳戶|Elsa帳戶|Ben代墊|Ariel代墊|中信銀行共用"")), ""內部轉帳(忽略)"",
  AND(E10777&lt;&gt;"""", F10777&lt;&gt;"&amp;""""", NOT(REGEXMATCH(C10777, ""薪資""))), ""內部轉帳(忽略)"",
  REGEXMATCH(C10777, ""薪資""), ""薪資變動(不計入)"",
  REGEXMATCH(C10777, ""押金""), ""押金往來"",
  AND(E10777&lt;&gt;"""", F10777=""""), ""真實支出"",
  AND(E10777="""", F10777&lt;&gt;""""), ""真實收入"",
  TRUE, ""其他""
)"),"其他")</f>
        <v>其他</v>
      </c>
      <c r="K10777" s="270" t="str">
        <f t="shared" si="2"/>
        <v/>
      </c>
      <c r="L10777">
        <f t="shared" si="3"/>
        <v>0</v>
      </c>
    </row>
    <row r="10778">
      <c r="A10778" s="107"/>
      <c r="D10778" s="270"/>
      <c r="H10778" s="106" t="str">
        <f t="shared" si="1"/>
        <v/>
      </c>
      <c r="J10778" t="str">
        <f>IFERROR(__xludf.DUMMYFUNCTION("IFS(
  AND(REGEXMATCH(E10778, ""台銀籌備帳戶|玉山帳戶""), REGEXMATCH(C10778, ""薪資"")), ""分潤支出"",
  AND(REGEXMATCH(E10778, ""Ben帳戶|Elsa帳戶|Ben代墊|Ariel代墊|中信銀行共用""), REGEXMATCH(F10778, ""Ben帳戶|Elsa帳戶|Ben代墊|Ariel代墊|中信銀行共用"")), ""內部轉帳(忽略)"",
  AND(E10778&lt;&gt;"""", F10778&lt;&gt;"&amp;""""", NOT(REGEXMATCH(C10778, ""薪資""))), ""內部轉帳(忽略)"",
  REGEXMATCH(C10778, ""薪資""), ""薪資變動(不計入)"",
  REGEXMATCH(C10778, ""押金""), ""押金往來"",
  AND(E10778&lt;&gt;"""", F10778=""""), ""真實支出"",
  AND(E10778="""", F10778&lt;&gt;""""), ""真實收入"",
  TRUE, ""其他""
)"),"其他")</f>
        <v>其他</v>
      </c>
      <c r="K10778" s="270" t="str">
        <f t="shared" si="2"/>
        <v/>
      </c>
      <c r="L10778">
        <f t="shared" si="3"/>
        <v>0</v>
      </c>
    </row>
    <row r="10779">
      <c r="A10779" s="107"/>
      <c r="D10779" s="270"/>
      <c r="H10779" s="106" t="str">
        <f t="shared" si="1"/>
        <v/>
      </c>
      <c r="J10779" t="str">
        <f>IFERROR(__xludf.DUMMYFUNCTION("IFS(
  AND(REGEXMATCH(E10779, ""台銀籌備帳戶|玉山帳戶""), REGEXMATCH(C10779, ""薪資"")), ""分潤支出"",
  AND(REGEXMATCH(E10779, ""Ben帳戶|Elsa帳戶|Ben代墊|Ariel代墊|中信銀行共用""), REGEXMATCH(F10779, ""Ben帳戶|Elsa帳戶|Ben代墊|Ariel代墊|中信銀行共用"")), ""內部轉帳(忽略)"",
  AND(E10779&lt;&gt;"""", F10779&lt;&gt;"&amp;""""", NOT(REGEXMATCH(C10779, ""薪資""))), ""內部轉帳(忽略)"",
  REGEXMATCH(C10779, ""薪資""), ""薪資變動(不計入)"",
  REGEXMATCH(C10779, ""押金""), ""押金往來"",
  AND(E10779&lt;&gt;"""", F10779=""""), ""真實支出"",
  AND(E10779="""", F10779&lt;&gt;""""), ""真實收入"",
  TRUE, ""其他""
)"),"其他")</f>
        <v>其他</v>
      </c>
      <c r="K10779" s="270" t="str">
        <f t="shared" si="2"/>
        <v/>
      </c>
      <c r="L10779">
        <f t="shared" si="3"/>
        <v>0</v>
      </c>
    </row>
    <row r="10780">
      <c r="A10780" s="107"/>
      <c r="D10780" s="270"/>
      <c r="H10780" s="106" t="str">
        <f t="shared" si="1"/>
        <v/>
      </c>
      <c r="J10780" t="str">
        <f>IFERROR(__xludf.DUMMYFUNCTION("IFS(
  AND(REGEXMATCH(E10780, ""台銀籌備帳戶|玉山帳戶""), REGEXMATCH(C10780, ""薪資"")), ""分潤支出"",
  AND(REGEXMATCH(E10780, ""Ben帳戶|Elsa帳戶|Ben代墊|Ariel代墊|中信銀行共用""), REGEXMATCH(F10780, ""Ben帳戶|Elsa帳戶|Ben代墊|Ariel代墊|中信銀行共用"")), ""內部轉帳(忽略)"",
  AND(E10780&lt;&gt;"""", F10780&lt;&gt;"&amp;""""", NOT(REGEXMATCH(C10780, ""薪資""))), ""內部轉帳(忽略)"",
  REGEXMATCH(C10780, ""薪資""), ""薪資變動(不計入)"",
  REGEXMATCH(C10780, ""押金""), ""押金往來"",
  AND(E10780&lt;&gt;"""", F10780=""""), ""真實支出"",
  AND(E10780="""", F10780&lt;&gt;""""), ""真實收入"",
  TRUE, ""其他""
)"),"其他")</f>
        <v>其他</v>
      </c>
      <c r="K10780" s="270" t="str">
        <f t="shared" si="2"/>
        <v/>
      </c>
      <c r="L10780">
        <f t="shared" si="3"/>
        <v>0</v>
      </c>
    </row>
    <row r="10781">
      <c r="A10781" s="107"/>
      <c r="D10781" s="270"/>
      <c r="H10781" s="106" t="str">
        <f t="shared" si="1"/>
        <v/>
      </c>
      <c r="J10781" t="str">
        <f>IFERROR(__xludf.DUMMYFUNCTION("IFS(
  AND(REGEXMATCH(E10781, ""台銀籌備帳戶|玉山帳戶""), REGEXMATCH(C10781, ""薪資"")), ""分潤支出"",
  AND(REGEXMATCH(E10781, ""Ben帳戶|Elsa帳戶|Ben代墊|Ariel代墊|中信銀行共用""), REGEXMATCH(F10781, ""Ben帳戶|Elsa帳戶|Ben代墊|Ariel代墊|中信銀行共用"")), ""內部轉帳(忽略)"",
  AND(E10781&lt;&gt;"""", F10781&lt;&gt;"&amp;""""", NOT(REGEXMATCH(C10781, ""薪資""))), ""內部轉帳(忽略)"",
  REGEXMATCH(C10781, ""薪資""), ""薪資變動(不計入)"",
  REGEXMATCH(C10781, ""押金""), ""押金往來"",
  AND(E10781&lt;&gt;"""", F10781=""""), ""真實支出"",
  AND(E10781="""", F10781&lt;&gt;""""), ""真實收入"",
  TRUE, ""其他""
)"),"其他")</f>
        <v>其他</v>
      </c>
      <c r="K10781" s="270" t="str">
        <f t="shared" si="2"/>
        <v/>
      </c>
      <c r="L10781">
        <f t="shared" si="3"/>
        <v>0</v>
      </c>
    </row>
    <row r="10782">
      <c r="A10782" s="107"/>
      <c r="D10782" s="270"/>
      <c r="H10782" s="106" t="str">
        <f t="shared" si="1"/>
        <v/>
      </c>
      <c r="J10782" t="str">
        <f>IFERROR(__xludf.DUMMYFUNCTION("IFS(
  AND(REGEXMATCH(E10782, ""台銀籌備帳戶|玉山帳戶""), REGEXMATCH(C10782, ""薪資"")), ""分潤支出"",
  AND(REGEXMATCH(E10782, ""Ben帳戶|Elsa帳戶|Ben代墊|Ariel代墊|中信銀行共用""), REGEXMATCH(F10782, ""Ben帳戶|Elsa帳戶|Ben代墊|Ariel代墊|中信銀行共用"")), ""內部轉帳(忽略)"",
  AND(E10782&lt;&gt;"""", F10782&lt;&gt;"&amp;""""", NOT(REGEXMATCH(C10782, ""薪資""))), ""內部轉帳(忽略)"",
  REGEXMATCH(C10782, ""薪資""), ""薪資變動(不計入)"",
  REGEXMATCH(C10782, ""押金""), ""押金往來"",
  AND(E10782&lt;&gt;"""", F10782=""""), ""真實支出"",
  AND(E10782="""", F10782&lt;&gt;""""), ""真實收入"",
  TRUE, ""其他""
)"),"其他")</f>
        <v>其他</v>
      </c>
      <c r="K10782" s="270" t="str">
        <f t="shared" si="2"/>
        <v/>
      </c>
      <c r="L10782">
        <f t="shared" si="3"/>
        <v>0</v>
      </c>
    </row>
    <row r="10783">
      <c r="A10783" s="107"/>
      <c r="D10783" s="270"/>
      <c r="H10783" s="106" t="str">
        <f t="shared" si="1"/>
        <v/>
      </c>
      <c r="J10783" t="str">
        <f>IFERROR(__xludf.DUMMYFUNCTION("IFS(
  AND(REGEXMATCH(E10783, ""台銀籌備帳戶|玉山帳戶""), REGEXMATCH(C10783, ""薪資"")), ""分潤支出"",
  AND(REGEXMATCH(E10783, ""Ben帳戶|Elsa帳戶|Ben代墊|Ariel代墊|中信銀行共用""), REGEXMATCH(F10783, ""Ben帳戶|Elsa帳戶|Ben代墊|Ariel代墊|中信銀行共用"")), ""內部轉帳(忽略)"",
  AND(E10783&lt;&gt;"""", F10783&lt;&gt;"&amp;""""", NOT(REGEXMATCH(C10783, ""薪資""))), ""內部轉帳(忽略)"",
  REGEXMATCH(C10783, ""薪資""), ""薪資變動(不計入)"",
  REGEXMATCH(C10783, ""押金""), ""押金往來"",
  AND(E10783&lt;&gt;"""", F10783=""""), ""真實支出"",
  AND(E10783="""", F10783&lt;&gt;""""), ""真實收入"",
  TRUE, ""其他""
)"),"其他")</f>
        <v>其他</v>
      </c>
      <c r="K10783" s="270" t="str">
        <f t="shared" si="2"/>
        <v/>
      </c>
      <c r="L10783">
        <f t="shared" si="3"/>
        <v>0</v>
      </c>
    </row>
    <row r="10784">
      <c r="A10784" s="107"/>
      <c r="D10784" s="270"/>
      <c r="H10784" s="106" t="str">
        <f t="shared" si="1"/>
        <v/>
      </c>
      <c r="J10784" t="str">
        <f>IFERROR(__xludf.DUMMYFUNCTION("IFS(
  AND(REGEXMATCH(E10784, ""台銀籌備帳戶|玉山帳戶""), REGEXMATCH(C10784, ""薪資"")), ""分潤支出"",
  AND(REGEXMATCH(E10784, ""Ben帳戶|Elsa帳戶|Ben代墊|Ariel代墊|中信銀行共用""), REGEXMATCH(F10784, ""Ben帳戶|Elsa帳戶|Ben代墊|Ariel代墊|中信銀行共用"")), ""內部轉帳(忽略)"",
  AND(E10784&lt;&gt;"""", F10784&lt;&gt;"&amp;""""", NOT(REGEXMATCH(C10784, ""薪資""))), ""內部轉帳(忽略)"",
  REGEXMATCH(C10784, ""薪資""), ""薪資變動(不計入)"",
  REGEXMATCH(C10784, ""押金""), ""押金往來"",
  AND(E10784&lt;&gt;"""", F10784=""""), ""真實支出"",
  AND(E10784="""", F10784&lt;&gt;""""), ""真實收入"",
  TRUE, ""其他""
)"),"其他")</f>
        <v>其他</v>
      </c>
      <c r="K10784" s="270" t="str">
        <f t="shared" si="2"/>
        <v/>
      </c>
      <c r="L10784">
        <f t="shared" si="3"/>
        <v>0</v>
      </c>
    </row>
    <row r="10785">
      <c r="A10785" s="107"/>
      <c r="D10785" s="270"/>
      <c r="H10785" s="106" t="str">
        <f t="shared" si="1"/>
        <v/>
      </c>
      <c r="J10785" t="str">
        <f>IFERROR(__xludf.DUMMYFUNCTION("IFS(
  AND(REGEXMATCH(E10785, ""台銀籌備帳戶|玉山帳戶""), REGEXMATCH(C10785, ""薪資"")), ""分潤支出"",
  AND(REGEXMATCH(E10785, ""Ben帳戶|Elsa帳戶|Ben代墊|Ariel代墊|中信銀行共用""), REGEXMATCH(F10785, ""Ben帳戶|Elsa帳戶|Ben代墊|Ariel代墊|中信銀行共用"")), ""內部轉帳(忽略)"",
  AND(E10785&lt;&gt;"""", F10785&lt;&gt;"&amp;""""", NOT(REGEXMATCH(C10785, ""薪資""))), ""內部轉帳(忽略)"",
  REGEXMATCH(C10785, ""薪資""), ""薪資變動(不計入)"",
  REGEXMATCH(C10785, ""押金""), ""押金往來"",
  AND(E10785&lt;&gt;"""", F10785=""""), ""真實支出"",
  AND(E10785="""", F10785&lt;&gt;""""), ""真實收入"",
  TRUE, ""其他""
)"),"其他")</f>
        <v>其他</v>
      </c>
      <c r="K10785" s="270" t="str">
        <f t="shared" si="2"/>
        <v/>
      </c>
      <c r="L10785">
        <f t="shared" si="3"/>
        <v>0</v>
      </c>
    </row>
    <row r="10786">
      <c r="A10786" s="107"/>
      <c r="D10786" s="270"/>
      <c r="H10786" s="106" t="str">
        <f t="shared" si="1"/>
        <v/>
      </c>
      <c r="J10786" t="str">
        <f>IFERROR(__xludf.DUMMYFUNCTION("IFS(
  AND(REGEXMATCH(E10786, ""台銀籌備帳戶|玉山帳戶""), REGEXMATCH(C10786, ""薪資"")), ""分潤支出"",
  AND(REGEXMATCH(E10786, ""Ben帳戶|Elsa帳戶|Ben代墊|Ariel代墊|中信銀行共用""), REGEXMATCH(F10786, ""Ben帳戶|Elsa帳戶|Ben代墊|Ariel代墊|中信銀行共用"")), ""內部轉帳(忽略)"",
  AND(E10786&lt;&gt;"""", F10786&lt;&gt;"&amp;""""", NOT(REGEXMATCH(C10786, ""薪資""))), ""內部轉帳(忽略)"",
  REGEXMATCH(C10786, ""薪資""), ""薪資變動(不計入)"",
  REGEXMATCH(C10786, ""押金""), ""押金往來"",
  AND(E10786&lt;&gt;"""", F10786=""""), ""真實支出"",
  AND(E10786="""", F10786&lt;&gt;""""), ""真實收入"",
  TRUE, ""其他""
)"),"其他")</f>
        <v>其他</v>
      </c>
      <c r="K10786" s="270" t="str">
        <f t="shared" si="2"/>
        <v/>
      </c>
      <c r="L10786">
        <f t="shared" si="3"/>
        <v>0</v>
      </c>
    </row>
    <row r="10787">
      <c r="A10787" s="107"/>
      <c r="D10787" s="270"/>
      <c r="H10787" s="106" t="str">
        <f t="shared" si="1"/>
        <v/>
      </c>
      <c r="J10787" t="str">
        <f>IFERROR(__xludf.DUMMYFUNCTION("IFS(
  AND(REGEXMATCH(E10787, ""台銀籌備帳戶|玉山帳戶""), REGEXMATCH(C10787, ""薪資"")), ""分潤支出"",
  AND(REGEXMATCH(E10787, ""Ben帳戶|Elsa帳戶|Ben代墊|Ariel代墊|中信銀行共用""), REGEXMATCH(F10787, ""Ben帳戶|Elsa帳戶|Ben代墊|Ariel代墊|中信銀行共用"")), ""內部轉帳(忽略)"",
  AND(E10787&lt;&gt;"""", F10787&lt;&gt;"&amp;""""", NOT(REGEXMATCH(C10787, ""薪資""))), ""內部轉帳(忽略)"",
  REGEXMATCH(C10787, ""薪資""), ""薪資變動(不計入)"",
  REGEXMATCH(C10787, ""押金""), ""押金往來"",
  AND(E10787&lt;&gt;"""", F10787=""""), ""真實支出"",
  AND(E10787="""", F10787&lt;&gt;""""), ""真實收入"",
  TRUE, ""其他""
)"),"其他")</f>
        <v>其他</v>
      </c>
      <c r="K10787" s="270" t="str">
        <f t="shared" si="2"/>
        <v/>
      </c>
      <c r="L10787">
        <f t="shared" si="3"/>
        <v>0</v>
      </c>
    </row>
    <row r="10788">
      <c r="A10788" s="107"/>
      <c r="D10788" s="270"/>
      <c r="H10788" s="106" t="str">
        <f t="shared" si="1"/>
        <v/>
      </c>
      <c r="J10788" t="str">
        <f>IFERROR(__xludf.DUMMYFUNCTION("IFS(
  AND(REGEXMATCH(E10788, ""台銀籌備帳戶|玉山帳戶""), REGEXMATCH(C10788, ""薪資"")), ""分潤支出"",
  AND(REGEXMATCH(E10788, ""Ben帳戶|Elsa帳戶|Ben代墊|Ariel代墊|中信銀行共用""), REGEXMATCH(F10788, ""Ben帳戶|Elsa帳戶|Ben代墊|Ariel代墊|中信銀行共用"")), ""內部轉帳(忽略)"",
  AND(E10788&lt;&gt;"""", F10788&lt;&gt;"&amp;""""", NOT(REGEXMATCH(C10788, ""薪資""))), ""內部轉帳(忽略)"",
  REGEXMATCH(C10788, ""薪資""), ""薪資變動(不計入)"",
  REGEXMATCH(C10788, ""押金""), ""押金往來"",
  AND(E10788&lt;&gt;"""", F10788=""""), ""真實支出"",
  AND(E10788="""", F10788&lt;&gt;""""), ""真實收入"",
  TRUE, ""其他""
)"),"其他")</f>
        <v>其他</v>
      </c>
      <c r="K10788" s="270" t="str">
        <f t="shared" si="2"/>
        <v/>
      </c>
      <c r="L10788">
        <f t="shared" si="3"/>
        <v>0</v>
      </c>
    </row>
    <row r="10789">
      <c r="A10789" s="107"/>
      <c r="D10789" s="270"/>
      <c r="H10789" s="106" t="str">
        <f t="shared" si="1"/>
        <v/>
      </c>
      <c r="J10789" t="str">
        <f>IFERROR(__xludf.DUMMYFUNCTION("IFS(
  AND(REGEXMATCH(E10789, ""台銀籌備帳戶|玉山帳戶""), REGEXMATCH(C10789, ""薪資"")), ""分潤支出"",
  AND(REGEXMATCH(E10789, ""Ben帳戶|Elsa帳戶|Ben代墊|Ariel代墊|中信銀行共用""), REGEXMATCH(F10789, ""Ben帳戶|Elsa帳戶|Ben代墊|Ariel代墊|中信銀行共用"")), ""內部轉帳(忽略)"",
  AND(E10789&lt;&gt;"""", F10789&lt;&gt;"&amp;""""", NOT(REGEXMATCH(C10789, ""薪資""))), ""內部轉帳(忽略)"",
  REGEXMATCH(C10789, ""薪資""), ""薪資變動(不計入)"",
  REGEXMATCH(C10789, ""押金""), ""押金往來"",
  AND(E10789&lt;&gt;"""", F10789=""""), ""真實支出"",
  AND(E10789="""", F10789&lt;&gt;""""), ""真實收入"",
  TRUE, ""其他""
)"),"其他")</f>
        <v>其他</v>
      </c>
      <c r="K10789" s="270" t="str">
        <f t="shared" si="2"/>
        <v/>
      </c>
      <c r="L10789">
        <f t="shared" si="3"/>
        <v>0</v>
      </c>
    </row>
    <row r="10790">
      <c r="A10790" s="107"/>
      <c r="D10790" s="270"/>
      <c r="H10790" s="106" t="str">
        <f t="shared" si="1"/>
        <v/>
      </c>
      <c r="J10790" t="str">
        <f>IFERROR(__xludf.DUMMYFUNCTION("IFS(
  AND(REGEXMATCH(E10790, ""台銀籌備帳戶|玉山帳戶""), REGEXMATCH(C10790, ""薪資"")), ""分潤支出"",
  AND(REGEXMATCH(E10790, ""Ben帳戶|Elsa帳戶|Ben代墊|Ariel代墊|中信銀行共用""), REGEXMATCH(F10790, ""Ben帳戶|Elsa帳戶|Ben代墊|Ariel代墊|中信銀行共用"")), ""內部轉帳(忽略)"",
  AND(E10790&lt;&gt;"""", F10790&lt;&gt;"&amp;""""", NOT(REGEXMATCH(C10790, ""薪資""))), ""內部轉帳(忽略)"",
  REGEXMATCH(C10790, ""薪資""), ""薪資變動(不計入)"",
  REGEXMATCH(C10790, ""押金""), ""押金往來"",
  AND(E10790&lt;&gt;"""", F10790=""""), ""真實支出"",
  AND(E10790="""", F10790&lt;&gt;""""), ""真實收入"",
  TRUE, ""其他""
)"),"其他")</f>
        <v>其他</v>
      </c>
      <c r="K10790" s="270" t="str">
        <f t="shared" si="2"/>
        <v/>
      </c>
      <c r="L10790">
        <f t="shared" si="3"/>
        <v>0</v>
      </c>
    </row>
    <row r="10791">
      <c r="A10791" s="107"/>
      <c r="D10791" s="270"/>
      <c r="H10791" s="106" t="str">
        <f t="shared" si="1"/>
        <v/>
      </c>
      <c r="J10791" t="str">
        <f>IFERROR(__xludf.DUMMYFUNCTION("IFS(
  AND(REGEXMATCH(E10791, ""台銀籌備帳戶|玉山帳戶""), REGEXMATCH(C10791, ""薪資"")), ""分潤支出"",
  AND(REGEXMATCH(E10791, ""Ben帳戶|Elsa帳戶|Ben代墊|Ariel代墊|中信銀行共用""), REGEXMATCH(F10791, ""Ben帳戶|Elsa帳戶|Ben代墊|Ariel代墊|中信銀行共用"")), ""內部轉帳(忽略)"",
  AND(E10791&lt;&gt;"""", F10791&lt;&gt;"&amp;""""", NOT(REGEXMATCH(C10791, ""薪資""))), ""內部轉帳(忽略)"",
  REGEXMATCH(C10791, ""薪資""), ""薪資變動(不計入)"",
  REGEXMATCH(C10791, ""押金""), ""押金往來"",
  AND(E10791&lt;&gt;"""", F10791=""""), ""真實支出"",
  AND(E10791="""", F10791&lt;&gt;""""), ""真實收入"",
  TRUE, ""其他""
)"),"其他")</f>
        <v>其他</v>
      </c>
      <c r="K10791" s="270" t="str">
        <f t="shared" si="2"/>
        <v/>
      </c>
      <c r="L10791">
        <f t="shared" si="3"/>
        <v>0</v>
      </c>
    </row>
    <row r="10792">
      <c r="A10792" s="107"/>
      <c r="D10792" s="270"/>
      <c r="H10792" s="106" t="str">
        <f t="shared" si="1"/>
        <v/>
      </c>
      <c r="J10792" t="str">
        <f>IFERROR(__xludf.DUMMYFUNCTION("IFS(
  AND(REGEXMATCH(E10792, ""台銀籌備帳戶|玉山帳戶""), REGEXMATCH(C10792, ""薪資"")), ""分潤支出"",
  AND(REGEXMATCH(E10792, ""Ben帳戶|Elsa帳戶|Ben代墊|Ariel代墊|中信銀行共用""), REGEXMATCH(F10792, ""Ben帳戶|Elsa帳戶|Ben代墊|Ariel代墊|中信銀行共用"")), ""內部轉帳(忽略)"",
  AND(E10792&lt;&gt;"""", F10792&lt;&gt;"&amp;""""", NOT(REGEXMATCH(C10792, ""薪資""))), ""內部轉帳(忽略)"",
  REGEXMATCH(C10792, ""薪資""), ""薪資變動(不計入)"",
  REGEXMATCH(C10792, ""押金""), ""押金往來"",
  AND(E10792&lt;&gt;"""", F10792=""""), ""真實支出"",
  AND(E10792="""", F10792&lt;&gt;""""), ""真實收入"",
  TRUE, ""其他""
)"),"其他")</f>
        <v>其他</v>
      </c>
      <c r="K10792" s="270" t="str">
        <f t="shared" si="2"/>
        <v/>
      </c>
      <c r="L10792">
        <f t="shared" si="3"/>
        <v>0</v>
      </c>
    </row>
    <row r="10793">
      <c r="A10793" s="107"/>
      <c r="D10793" s="270"/>
      <c r="H10793" s="106" t="str">
        <f t="shared" si="1"/>
        <v/>
      </c>
      <c r="J10793" t="str">
        <f>IFERROR(__xludf.DUMMYFUNCTION("IFS(
  AND(REGEXMATCH(E10793, ""台銀籌備帳戶|玉山帳戶""), REGEXMATCH(C10793, ""薪資"")), ""分潤支出"",
  AND(REGEXMATCH(E10793, ""Ben帳戶|Elsa帳戶|Ben代墊|Ariel代墊|中信銀行共用""), REGEXMATCH(F10793, ""Ben帳戶|Elsa帳戶|Ben代墊|Ariel代墊|中信銀行共用"")), ""內部轉帳(忽略)"",
  AND(E10793&lt;&gt;"""", F10793&lt;&gt;"&amp;""""", NOT(REGEXMATCH(C10793, ""薪資""))), ""內部轉帳(忽略)"",
  REGEXMATCH(C10793, ""薪資""), ""薪資變動(不計入)"",
  REGEXMATCH(C10793, ""押金""), ""押金往來"",
  AND(E10793&lt;&gt;"""", F10793=""""), ""真實支出"",
  AND(E10793="""", F10793&lt;&gt;""""), ""真實收入"",
  TRUE, ""其他""
)"),"其他")</f>
        <v>其他</v>
      </c>
      <c r="K10793" s="270" t="str">
        <f t="shared" si="2"/>
        <v/>
      </c>
      <c r="L10793">
        <f t="shared" si="3"/>
        <v>0</v>
      </c>
    </row>
    <row r="10794">
      <c r="A10794" s="107"/>
      <c r="D10794" s="270"/>
      <c r="H10794" s="106" t="str">
        <f t="shared" si="1"/>
        <v/>
      </c>
      <c r="J10794" t="str">
        <f>IFERROR(__xludf.DUMMYFUNCTION("IFS(
  AND(REGEXMATCH(E10794, ""台銀籌備帳戶|玉山帳戶""), REGEXMATCH(C10794, ""薪資"")), ""分潤支出"",
  AND(REGEXMATCH(E10794, ""Ben帳戶|Elsa帳戶|Ben代墊|Ariel代墊|中信銀行共用""), REGEXMATCH(F10794, ""Ben帳戶|Elsa帳戶|Ben代墊|Ariel代墊|中信銀行共用"")), ""內部轉帳(忽略)"",
  AND(E10794&lt;&gt;"""", F10794&lt;&gt;"&amp;""""", NOT(REGEXMATCH(C10794, ""薪資""))), ""內部轉帳(忽略)"",
  REGEXMATCH(C10794, ""薪資""), ""薪資變動(不計入)"",
  REGEXMATCH(C10794, ""押金""), ""押金往來"",
  AND(E10794&lt;&gt;"""", F10794=""""), ""真實支出"",
  AND(E10794="""", F10794&lt;&gt;""""), ""真實收入"",
  TRUE, ""其他""
)"),"其他")</f>
        <v>其他</v>
      </c>
      <c r="K10794" s="270" t="str">
        <f t="shared" si="2"/>
        <v/>
      </c>
      <c r="L10794">
        <f t="shared" si="3"/>
        <v>0</v>
      </c>
    </row>
    <row r="10795">
      <c r="A10795" s="107"/>
      <c r="D10795" s="270"/>
      <c r="H10795" s="106" t="str">
        <f t="shared" si="1"/>
        <v/>
      </c>
      <c r="J10795" t="str">
        <f>IFERROR(__xludf.DUMMYFUNCTION("IFS(
  AND(REGEXMATCH(E10795, ""台銀籌備帳戶|玉山帳戶""), REGEXMATCH(C10795, ""薪資"")), ""分潤支出"",
  AND(REGEXMATCH(E10795, ""Ben帳戶|Elsa帳戶|Ben代墊|Ariel代墊|中信銀行共用""), REGEXMATCH(F10795, ""Ben帳戶|Elsa帳戶|Ben代墊|Ariel代墊|中信銀行共用"")), ""內部轉帳(忽略)"",
  AND(E10795&lt;&gt;"""", F10795&lt;&gt;"&amp;""""", NOT(REGEXMATCH(C10795, ""薪資""))), ""內部轉帳(忽略)"",
  REGEXMATCH(C10795, ""薪資""), ""薪資變動(不計入)"",
  REGEXMATCH(C10795, ""押金""), ""押金往來"",
  AND(E10795&lt;&gt;"""", F10795=""""), ""真實支出"",
  AND(E10795="""", F10795&lt;&gt;""""), ""真實收入"",
  TRUE, ""其他""
)"),"其他")</f>
        <v>其他</v>
      </c>
      <c r="K10795" s="270" t="str">
        <f t="shared" si="2"/>
        <v/>
      </c>
      <c r="L10795">
        <f t="shared" si="3"/>
        <v>0</v>
      </c>
    </row>
    <row r="10796">
      <c r="A10796" s="107"/>
      <c r="D10796" s="270"/>
      <c r="H10796" s="106" t="str">
        <f t="shared" si="1"/>
        <v/>
      </c>
      <c r="J10796" t="str">
        <f>IFERROR(__xludf.DUMMYFUNCTION("IFS(
  AND(REGEXMATCH(E10796, ""台銀籌備帳戶|玉山帳戶""), REGEXMATCH(C10796, ""薪資"")), ""分潤支出"",
  AND(REGEXMATCH(E10796, ""Ben帳戶|Elsa帳戶|Ben代墊|Ariel代墊|中信銀行共用""), REGEXMATCH(F10796, ""Ben帳戶|Elsa帳戶|Ben代墊|Ariel代墊|中信銀行共用"")), ""內部轉帳(忽略)"",
  AND(E10796&lt;&gt;"""", F10796&lt;&gt;"&amp;""""", NOT(REGEXMATCH(C10796, ""薪資""))), ""內部轉帳(忽略)"",
  REGEXMATCH(C10796, ""薪資""), ""薪資變動(不計入)"",
  REGEXMATCH(C10796, ""押金""), ""押金往來"",
  AND(E10796&lt;&gt;"""", F10796=""""), ""真實支出"",
  AND(E10796="""", F10796&lt;&gt;""""), ""真實收入"",
  TRUE, ""其他""
)"),"其他")</f>
        <v>其他</v>
      </c>
      <c r="K10796" s="270" t="str">
        <f t="shared" si="2"/>
        <v/>
      </c>
      <c r="L10796">
        <f t="shared" si="3"/>
        <v>0</v>
      </c>
    </row>
    <row r="10797">
      <c r="A10797" s="107"/>
      <c r="D10797" s="270"/>
      <c r="H10797" s="106" t="str">
        <f t="shared" si="1"/>
        <v/>
      </c>
      <c r="J10797" t="str">
        <f>IFERROR(__xludf.DUMMYFUNCTION("IFS(
  AND(REGEXMATCH(E10797, ""台銀籌備帳戶|玉山帳戶""), REGEXMATCH(C10797, ""薪資"")), ""分潤支出"",
  AND(REGEXMATCH(E10797, ""Ben帳戶|Elsa帳戶|Ben代墊|Ariel代墊|中信銀行共用""), REGEXMATCH(F10797, ""Ben帳戶|Elsa帳戶|Ben代墊|Ariel代墊|中信銀行共用"")), ""內部轉帳(忽略)"",
  AND(E10797&lt;&gt;"""", F10797&lt;&gt;"&amp;""""", NOT(REGEXMATCH(C10797, ""薪資""))), ""內部轉帳(忽略)"",
  REGEXMATCH(C10797, ""薪資""), ""薪資變動(不計入)"",
  REGEXMATCH(C10797, ""押金""), ""押金往來"",
  AND(E10797&lt;&gt;"""", F10797=""""), ""真實支出"",
  AND(E10797="""", F10797&lt;&gt;""""), ""真實收入"",
  TRUE, ""其他""
)"),"其他")</f>
        <v>其他</v>
      </c>
      <c r="K10797" s="270" t="str">
        <f t="shared" si="2"/>
        <v/>
      </c>
      <c r="L10797">
        <f t="shared" si="3"/>
        <v>0</v>
      </c>
    </row>
    <row r="10798">
      <c r="A10798" s="107"/>
      <c r="D10798" s="270"/>
      <c r="H10798" s="106" t="str">
        <f t="shared" si="1"/>
        <v/>
      </c>
      <c r="J10798" t="str">
        <f>IFERROR(__xludf.DUMMYFUNCTION("IFS(
  AND(REGEXMATCH(E10798, ""台銀籌備帳戶|玉山帳戶""), REGEXMATCH(C10798, ""薪資"")), ""分潤支出"",
  AND(REGEXMATCH(E10798, ""Ben帳戶|Elsa帳戶|Ben代墊|Ariel代墊|中信銀行共用""), REGEXMATCH(F10798, ""Ben帳戶|Elsa帳戶|Ben代墊|Ariel代墊|中信銀行共用"")), ""內部轉帳(忽略)"",
  AND(E10798&lt;&gt;"""", F10798&lt;&gt;"&amp;""""", NOT(REGEXMATCH(C10798, ""薪資""))), ""內部轉帳(忽略)"",
  REGEXMATCH(C10798, ""薪資""), ""薪資變動(不計入)"",
  REGEXMATCH(C10798, ""押金""), ""押金往來"",
  AND(E10798&lt;&gt;"""", F10798=""""), ""真實支出"",
  AND(E10798="""", F10798&lt;&gt;""""), ""真實收入"",
  TRUE, ""其他""
)"),"其他")</f>
        <v>其他</v>
      </c>
      <c r="K10798" s="270" t="str">
        <f t="shared" si="2"/>
        <v/>
      </c>
      <c r="L10798">
        <f t="shared" si="3"/>
        <v>0</v>
      </c>
    </row>
    <row r="10799">
      <c r="A10799" s="107"/>
      <c r="D10799" s="270"/>
      <c r="H10799" s="106" t="str">
        <f t="shared" si="1"/>
        <v/>
      </c>
      <c r="J10799" t="str">
        <f>IFERROR(__xludf.DUMMYFUNCTION("IFS(
  AND(REGEXMATCH(E10799, ""台銀籌備帳戶|玉山帳戶""), REGEXMATCH(C10799, ""薪資"")), ""分潤支出"",
  AND(REGEXMATCH(E10799, ""Ben帳戶|Elsa帳戶|Ben代墊|Ariel代墊|中信銀行共用""), REGEXMATCH(F10799, ""Ben帳戶|Elsa帳戶|Ben代墊|Ariel代墊|中信銀行共用"")), ""內部轉帳(忽略)"",
  AND(E10799&lt;&gt;"""", F10799&lt;&gt;"&amp;""""", NOT(REGEXMATCH(C10799, ""薪資""))), ""內部轉帳(忽略)"",
  REGEXMATCH(C10799, ""薪資""), ""薪資變動(不計入)"",
  REGEXMATCH(C10799, ""押金""), ""押金往來"",
  AND(E10799&lt;&gt;"""", F10799=""""), ""真實支出"",
  AND(E10799="""", F10799&lt;&gt;""""), ""真實收入"",
  TRUE, ""其他""
)"),"其他")</f>
        <v>其他</v>
      </c>
      <c r="K10799" s="270" t="str">
        <f t="shared" si="2"/>
        <v/>
      </c>
      <c r="L10799">
        <f t="shared" si="3"/>
        <v>0</v>
      </c>
    </row>
    <row r="10800">
      <c r="A10800" s="107"/>
      <c r="D10800" s="270"/>
      <c r="H10800" s="106" t="str">
        <f t="shared" si="1"/>
        <v/>
      </c>
      <c r="J10800" t="str">
        <f>IFERROR(__xludf.DUMMYFUNCTION("IFS(
  AND(REGEXMATCH(E10800, ""台銀籌備帳戶|玉山帳戶""), REGEXMATCH(C10800, ""薪資"")), ""分潤支出"",
  AND(REGEXMATCH(E10800, ""Ben帳戶|Elsa帳戶|Ben代墊|Ariel代墊|中信銀行共用""), REGEXMATCH(F10800, ""Ben帳戶|Elsa帳戶|Ben代墊|Ariel代墊|中信銀行共用"")), ""內部轉帳(忽略)"",
  AND(E10800&lt;&gt;"""", F10800&lt;&gt;"&amp;""""", NOT(REGEXMATCH(C10800, ""薪資""))), ""內部轉帳(忽略)"",
  REGEXMATCH(C10800, ""薪資""), ""薪資變動(不計入)"",
  REGEXMATCH(C10800, ""押金""), ""押金往來"",
  AND(E10800&lt;&gt;"""", F10800=""""), ""真實支出"",
  AND(E10800="""", F10800&lt;&gt;""""), ""真實收入"",
  TRUE, ""其他""
)"),"其他")</f>
        <v>其他</v>
      </c>
      <c r="K10800" s="270" t="str">
        <f t="shared" si="2"/>
        <v/>
      </c>
      <c r="L10800">
        <f t="shared" si="3"/>
        <v>0</v>
      </c>
    </row>
    <row r="10801">
      <c r="A10801" s="107"/>
      <c r="D10801" s="270"/>
      <c r="H10801" s="106" t="str">
        <f t="shared" si="1"/>
        <v/>
      </c>
      <c r="J10801" t="str">
        <f>IFERROR(__xludf.DUMMYFUNCTION("IFS(
  AND(REGEXMATCH(E10801, ""台銀籌備帳戶|玉山帳戶""), REGEXMATCH(C10801, ""薪資"")), ""分潤支出"",
  AND(REGEXMATCH(E10801, ""Ben帳戶|Elsa帳戶|Ben代墊|Ariel代墊|中信銀行共用""), REGEXMATCH(F10801, ""Ben帳戶|Elsa帳戶|Ben代墊|Ariel代墊|中信銀行共用"")), ""內部轉帳(忽略)"",
  AND(E10801&lt;&gt;"""", F10801&lt;&gt;"&amp;""""", NOT(REGEXMATCH(C10801, ""薪資""))), ""內部轉帳(忽略)"",
  REGEXMATCH(C10801, ""薪資""), ""薪資變動(不計入)"",
  REGEXMATCH(C10801, ""押金""), ""押金往來"",
  AND(E10801&lt;&gt;"""", F10801=""""), ""真實支出"",
  AND(E10801="""", F10801&lt;&gt;""""), ""真實收入"",
  TRUE, ""其他""
)"),"其他")</f>
        <v>其他</v>
      </c>
      <c r="K10801" s="270" t="str">
        <f t="shared" si="2"/>
        <v/>
      </c>
      <c r="L10801">
        <f t="shared" si="3"/>
        <v>0</v>
      </c>
    </row>
    <row r="10802">
      <c r="A10802" s="107"/>
      <c r="D10802" s="270"/>
      <c r="H10802" s="106" t="str">
        <f t="shared" si="1"/>
        <v/>
      </c>
      <c r="J10802" t="str">
        <f>IFERROR(__xludf.DUMMYFUNCTION("IFS(
  AND(REGEXMATCH(E10802, ""台銀籌備帳戶|玉山帳戶""), REGEXMATCH(C10802, ""薪資"")), ""分潤支出"",
  AND(REGEXMATCH(E10802, ""Ben帳戶|Elsa帳戶|Ben代墊|Ariel代墊|中信銀行共用""), REGEXMATCH(F10802, ""Ben帳戶|Elsa帳戶|Ben代墊|Ariel代墊|中信銀行共用"")), ""內部轉帳(忽略)"",
  AND(E10802&lt;&gt;"""", F10802&lt;&gt;"&amp;""""", NOT(REGEXMATCH(C10802, ""薪資""))), ""內部轉帳(忽略)"",
  REGEXMATCH(C10802, ""薪資""), ""薪資變動(不計入)"",
  REGEXMATCH(C10802, ""押金""), ""押金往來"",
  AND(E10802&lt;&gt;"""", F10802=""""), ""真實支出"",
  AND(E10802="""", F10802&lt;&gt;""""), ""真實收入"",
  TRUE, ""其他""
)"),"其他")</f>
        <v>其他</v>
      </c>
      <c r="K10802" s="270" t="str">
        <f t="shared" si="2"/>
        <v/>
      </c>
      <c r="L10802">
        <f t="shared" si="3"/>
        <v>0</v>
      </c>
    </row>
    <row r="10803">
      <c r="A10803" s="107"/>
      <c r="D10803" s="270"/>
      <c r="H10803" s="106" t="str">
        <f t="shared" si="1"/>
        <v/>
      </c>
      <c r="J10803" t="str">
        <f>IFERROR(__xludf.DUMMYFUNCTION("IFS(
  AND(REGEXMATCH(E10803, ""台銀籌備帳戶|玉山帳戶""), REGEXMATCH(C10803, ""薪資"")), ""分潤支出"",
  AND(REGEXMATCH(E10803, ""Ben帳戶|Elsa帳戶|Ben代墊|Ariel代墊|中信銀行共用""), REGEXMATCH(F10803, ""Ben帳戶|Elsa帳戶|Ben代墊|Ariel代墊|中信銀行共用"")), ""內部轉帳(忽略)"",
  AND(E10803&lt;&gt;"""", F10803&lt;&gt;"&amp;""""", NOT(REGEXMATCH(C10803, ""薪資""))), ""內部轉帳(忽略)"",
  REGEXMATCH(C10803, ""薪資""), ""薪資變動(不計入)"",
  REGEXMATCH(C10803, ""押金""), ""押金往來"",
  AND(E10803&lt;&gt;"""", F10803=""""), ""真實支出"",
  AND(E10803="""", F10803&lt;&gt;""""), ""真實收入"",
  TRUE, ""其他""
)"),"其他")</f>
        <v>其他</v>
      </c>
      <c r="K10803" s="270" t="str">
        <f t="shared" si="2"/>
        <v/>
      </c>
      <c r="L10803">
        <f t="shared" si="3"/>
        <v>0</v>
      </c>
    </row>
    <row r="10804">
      <c r="A10804" s="107"/>
      <c r="D10804" s="270"/>
      <c r="H10804" s="106" t="str">
        <f t="shared" si="1"/>
        <v/>
      </c>
      <c r="J10804" t="str">
        <f>IFERROR(__xludf.DUMMYFUNCTION("IFS(
  AND(REGEXMATCH(E10804, ""台銀籌備帳戶|玉山帳戶""), REGEXMATCH(C10804, ""薪資"")), ""分潤支出"",
  AND(REGEXMATCH(E10804, ""Ben帳戶|Elsa帳戶|Ben代墊|Ariel代墊|中信銀行共用""), REGEXMATCH(F10804, ""Ben帳戶|Elsa帳戶|Ben代墊|Ariel代墊|中信銀行共用"")), ""內部轉帳(忽略)"",
  AND(E10804&lt;&gt;"""", F10804&lt;&gt;"&amp;""""", NOT(REGEXMATCH(C10804, ""薪資""))), ""內部轉帳(忽略)"",
  REGEXMATCH(C10804, ""薪資""), ""薪資變動(不計入)"",
  REGEXMATCH(C10804, ""押金""), ""押金往來"",
  AND(E10804&lt;&gt;"""", F10804=""""), ""真實支出"",
  AND(E10804="""", F10804&lt;&gt;""""), ""真實收入"",
  TRUE, ""其他""
)"),"其他")</f>
        <v>其他</v>
      </c>
      <c r="K10804" s="270" t="str">
        <f t="shared" si="2"/>
        <v/>
      </c>
      <c r="L10804">
        <f t="shared" si="3"/>
        <v>0</v>
      </c>
    </row>
    <row r="10805">
      <c r="A10805" s="107"/>
      <c r="D10805" s="270"/>
      <c r="H10805" s="106" t="str">
        <f t="shared" si="1"/>
        <v/>
      </c>
      <c r="J10805" t="str">
        <f>IFERROR(__xludf.DUMMYFUNCTION("IFS(
  AND(REGEXMATCH(E10805, ""台銀籌備帳戶|玉山帳戶""), REGEXMATCH(C10805, ""薪資"")), ""分潤支出"",
  AND(REGEXMATCH(E10805, ""Ben帳戶|Elsa帳戶|Ben代墊|Ariel代墊|中信銀行共用""), REGEXMATCH(F10805, ""Ben帳戶|Elsa帳戶|Ben代墊|Ariel代墊|中信銀行共用"")), ""內部轉帳(忽略)"",
  AND(E10805&lt;&gt;"""", F10805&lt;&gt;"&amp;""""", NOT(REGEXMATCH(C10805, ""薪資""))), ""內部轉帳(忽略)"",
  REGEXMATCH(C10805, ""薪資""), ""薪資變動(不計入)"",
  REGEXMATCH(C10805, ""押金""), ""押金往來"",
  AND(E10805&lt;&gt;"""", F10805=""""), ""真實支出"",
  AND(E10805="""", F10805&lt;&gt;""""), ""真實收入"",
  TRUE, ""其他""
)"),"其他")</f>
        <v>其他</v>
      </c>
      <c r="K10805" s="270" t="str">
        <f t="shared" si="2"/>
        <v/>
      </c>
      <c r="L10805">
        <f t="shared" si="3"/>
        <v>0</v>
      </c>
    </row>
    <row r="10806">
      <c r="A10806" s="107"/>
      <c r="D10806" s="270"/>
      <c r="H10806" s="106" t="str">
        <f t="shared" si="1"/>
        <v/>
      </c>
      <c r="J10806" t="str">
        <f>IFERROR(__xludf.DUMMYFUNCTION("IFS(
  AND(REGEXMATCH(E10806, ""台銀籌備帳戶|玉山帳戶""), REGEXMATCH(C10806, ""薪資"")), ""分潤支出"",
  AND(REGEXMATCH(E10806, ""Ben帳戶|Elsa帳戶|Ben代墊|Ariel代墊|中信銀行共用""), REGEXMATCH(F10806, ""Ben帳戶|Elsa帳戶|Ben代墊|Ariel代墊|中信銀行共用"")), ""內部轉帳(忽略)"",
  AND(E10806&lt;&gt;"""", F10806&lt;&gt;"&amp;""""", NOT(REGEXMATCH(C10806, ""薪資""))), ""內部轉帳(忽略)"",
  REGEXMATCH(C10806, ""薪資""), ""薪資變動(不計入)"",
  REGEXMATCH(C10806, ""押金""), ""押金往來"",
  AND(E10806&lt;&gt;"""", F10806=""""), ""真實支出"",
  AND(E10806="""", F10806&lt;&gt;""""), ""真實收入"",
  TRUE, ""其他""
)"),"其他")</f>
        <v>其他</v>
      </c>
      <c r="K10806" s="270" t="str">
        <f t="shared" si="2"/>
        <v/>
      </c>
      <c r="L10806">
        <f t="shared" si="3"/>
        <v>0</v>
      </c>
    </row>
    <row r="10807">
      <c r="A10807" s="107"/>
      <c r="D10807" s="270"/>
      <c r="H10807" s="106" t="str">
        <f t="shared" si="1"/>
        <v/>
      </c>
      <c r="J10807" t="str">
        <f>IFERROR(__xludf.DUMMYFUNCTION("IFS(
  AND(REGEXMATCH(E10807, ""台銀籌備帳戶|玉山帳戶""), REGEXMATCH(C10807, ""薪資"")), ""分潤支出"",
  AND(REGEXMATCH(E10807, ""Ben帳戶|Elsa帳戶|Ben代墊|Ariel代墊|中信銀行共用""), REGEXMATCH(F10807, ""Ben帳戶|Elsa帳戶|Ben代墊|Ariel代墊|中信銀行共用"")), ""內部轉帳(忽略)"",
  AND(E10807&lt;&gt;"""", F10807&lt;&gt;"&amp;""""", NOT(REGEXMATCH(C10807, ""薪資""))), ""內部轉帳(忽略)"",
  REGEXMATCH(C10807, ""薪資""), ""薪資變動(不計入)"",
  REGEXMATCH(C10807, ""押金""), ""押金往來"",
  AND(E10807&lt;&gt;"""", F10807=""""), ""真實支出"",
  AND(E10807="""", F10807&lt;&gt;""""), ""真實收入"",
  TRUE, ""其他""
)"),"其他")</f>
        <v>其他</v>
      </c>
      <c r="K10807" s="270" t="str">
        <f t="shared" si="2"/>
        <v/>
      </c>
      <c r="L10807">
        <f t="shared" si="3"/>
        <v>0</v>
      </c>
    </row>
    <row r="10808">
      <c r="A10808" s="107"/>
      <c r="D10808" s="270"/>
      <c r="H10808" s="106" t="str">
        <f t="shared" si="1"/>
        <v/>
      </c>
      <c r="J10808" t="str">
        <f>IFERROR(__xludf.DUMMYFUNCTION("IFS(
  AND(REGEXMATCH(E10808, ""台銀籌備帳戶|玉山帳戶""), REGEXMATCH(C10808, ""薪資"")), ""分潤支出"",
  AND(REGEXMATCH(E10808, ""Ben帳戶|Elsa帳戶|Ben代墊|Ariel代墊|中信銀行共用""), REGEXMATCH(F10808, ""Ben帳戶|Elsa帳戶|Ben代墊|Ariel代墊|中信銀行共用"")), ""內部轉帳(忽略)"",
  AND(E10808&lt;&gt;"""", F10808&lt;&gt;"&amp;""""", NOT(REGEXMATCH(C10808, ""薪資""))), ""內部轉帳(忽略)"",
  REGEXMATCH(C10808, ""薪資""), ""薪資變動(不計入)"",
  REGEXMATCH(C10808, ""押金""), ""押金往來"",
  AND(E10808&lt;&gt;"""", F10808=""""), ""真實支出"",
  AND(E10808="""", F10808&lt;&gt;""""), ""真實收入"",
  TRUE, ""其他""
)"),"其他")</f>
        <v>其他</v>
      </c>
      <c r="K10808" s="270" t="str">
        <f t="shared" si="2"/>
        <v/>
      </c>
      <c r="L10808">
        <f t="shared" si="3"/>
        <v>0</v>
      </c>
    </row>
    <row r="10809">
      <c r="A10809" s="107"/>
      <c r="D10809" s="270"/>
      <c r="H10809" s="106" t="str">
        <f t="shared" si="1"/>
        <v/>
      </c>
      <c r="J10809" t="str">
        <f>IFERROR(__xludf.DUMMYFUNCTION("IFS(
  AND(REGEXMATCH(E10809, ""台銀籌備帳戶|玉山帳戶""), REGEXMATCH(C10809, ""薪資"")), ""分潤支出"",
  AND(REGEXMATCH(E10809, ""Ben帳戶|Elsa帳戶|Ben代墊|Ariel代墊|中信銀行共用""), REGEXMATCH(F10809, ""Ben帳戶|Elsa帳戶|Ben代墊|Ariel代墊|中信銀行共用"")), ""內部轉帳(忽略)"",
  AND(E10809&lt;&gt;"""", F10809&lt;&gt;"&amp;""""", NOT(REGEXMATCH(C10809, ""薪資""))), ""內部轉帳(忽略)"",
  REGEXMATCH(C10809, ""薪資""), ""薪資變動(不計入)"",
  REGEXMATCH(C10809, ""押金""), ""押金往來"",
  AND(E10809&lt;&gt;"""", F10809=""""), ""真實支出"",
  AND(E10809="""", F10809&lt;&gt;""""), ""真實收入"",
  TRUE, ""其他""
)"),"其他")</f>
        <v>其他</v>
      </c>
      <c r="K10809" s="270" t="str">
        <f t="shared" si="2"/>
        <v/>
      </c>
      <c r="L10809">
        <f t="shared" si="3"/>
        <v>0</v>
      </c>
    </row>
    <row r="10810">
      <c r="A10810" s="107"/>
      <c r="D10810" s="270"/>
      <c r="H10810" s="106" t="str">
        <f t="shared" si="1"/>
        <v/>
      </c>
      <c r="J10810" t="str">
        <f>IFERROR(__xludf.DUMMYFUNCTION("IFS(
  AND(REGEXMATCH(E10810, ""台銀籌備帳戶|玉山帳戶""), REGEXMATCH(C10810, ""薪資"")), ""分潤支出"",
  AND(REGEXMATCH(E10810, ""Ben帳戶|Elsa帳戶|Ben代墊|Ariel代墊|中信銀行共用""), REGEXMATCH(F10810, ""Ben帳戶|Elsa帳戶|Ben代墊|Ariel代墊|中信銀行共用"")), ""內部轉帳(忽略)"",
  AND(E10810&lt;&gt;"""", F10810&lt;&gt;"&amp;""""", NOT(REGEXMATCH(C10810, ""薪資""))), ""內部轉帳(忽略)"",
  REGEXMATCH(C10810, ""薪資""), ""薪資變動(不計入)"",
  REGEXMATCH(C10810, ""押金""), ""押金往來"",
  AND(E10810&lt;&gt;"""", F10810=""""), ""真實支出"",
  AND(E10810="""", F10810&lt;&gt;""""), ""真實收入"",
  TRUE, ""其他""
)"),"其他")</f>
        <v>其他</v>
      </c>
      <c r="K10810" s="270" t="str">
        <f t="shared" si="2"/>
        <v/>
      </c>
      <c r="L10810">
        <f t="shared" si="3"/>
        <v>0</v>
      </c>
    </row>
    <row r="10811">
      <c r="A10811" s="107"/>
      <c r="D10811" s="270"/>
      <c r="H10811" s="106" t="str">
        <f t="shared" si="1"/>
        <v/>
      </c>
      <c r="J10811" t="str">
        <f>IFERROR(__xludf.DUMMYFUNCTION("IFS(
  AND(REGEXMATCH(E10811, ""台銀籌備帳戶|玉山帳戶""), REGEXMATCH(C10811, ""薪資"")), ""分潤支出"",
  AND(REGEXMATCH(E10811, ""Ben帳戶|Elsa帳戶|Ben代墊|Ariel代墊|中信銀行共用""), REGEXMATCH(F10811, ""Ben帳戶|Elsa帳戶|Ben代墊|Ariel代墊|中信銀行共用"")), ""內部轉帳(忽略)"",
  AND(E10811&lt;&gt;"""", F10811&lt;&gt;"&amp;""""", NOT(REGEXMATCH(C10811, ""薪資""))), ""內部轉帳(忽略)"",
  REGEXMATCH(C10811, ""薪資""), ""薪資變動(不計入)"",
  REGEXMATCH(C10811, ""押金""), ""押金往來"",
  AND(E10811&lt;&gt;"""", F10811=""""), ""真實支出"",
  AND(E10811="""", F10811&lt;&gt;""""), ""真實收入"",
  TRUE, ""其他""
)"),"其他")</f>
        <v>其他</v>
      </c>
      <c r="K10811" s="270" t="str">
        <f t="shared" si="2"/>
        <v/>
      </c>
      <c r="L10811">
        <f t="shared" si="3"/>
        <v>0</v>
      </c>
    </row>
    <row r="10812">
      <c r="A10812" s="107"/>
      <c r="D10812" s="270"/>
      <c r="H10812" s="106" t="str">
        <f t="shared" si="1"/>
        <v/>
      </c>
      <c r="J10812" t="str">
        <f>IFERROR(__xludf.DUMMYFUNCTION("IFS(
  AND(REGEXMATCH(E10812, ""台銀籌備帳戶|玉山帳戶""), REGEXMATCH(C10812, ""薪資"")), ""分潤支出"",
  AND(REGEXMATCH(E10812, ""Ben帳戶|Elsa帳戶|Ben代墊|Ariel代墊|中信銀行共用""), REGEXMATCH(F10812, ""Ben帳戶|Elsa帳戶|Ben代墊|Ariel代墊|中信銀行共用"")), ""內部轉帳(忽略)"",
  AND(E10812&lt;&gt;"""", F10812&lt;&gt;"&amp;""""", NOT(REGEXMATCH(C10812, ""薪資""))), ""內部轉帳(忽略)"",
  REGEXMATCH(C10812, ""薪資""), ""薪資變動(不計入)"",
  REGEXMATCH(C10812, ""押金""), ""押金往來"",
  AND(E10812&lt;&gt;"""", F10812=""""), ""真實支出"",
  AND(E10812="""", F10812&lt;&gt;""""), ""真實收入"",
  TRUE, ""其他""
)"),"其他")</f>
        <v>其他</v>
      </c>
      <c r="K10812" s="270" t="str">
        <f t="shared" si="2"/>
        <v/>
      </c>
      <c r="L10812">
        <f t="shared" si="3"/>
        <v>0</v>
      </c>
    </row>
    <row r="10813">
      <c r="A10813" s="107"/>
      <c r="D10813" s="270"/>
      <c r="H10813" s="106" t="str">
        <f t="shared" si="1"/>
        <v/>
      </c>
      <c r="J10813" t="str">
        <f>IFERROR(__xludf.DUMMYFUNCTION("IFS(
  AND(REGEXMATCH(E10813, ""台銀籌備帳戶|玉山帳戶""), REGEXMATCH(C10813, ""薪資"")), ""分潤支出"",
  AND(REGEXMATCH(E10813, ""Ben帳戶|Elsa帳戶|Ben代墊|Ariel代墊|中信銀行共用""), REGEXMATCH(F10813, ""Ben帳戶|Elsa帳戶|Ben代墊|Ariel代墊|中信銀行共用"")), ""內部轉帳(忽略)"",
  AND(E10813&lt;&gt;"""", F10813&lt;&gt;"&amp;""""", NOT(REGEXMATCH(C10813, ""薪資""))), ""內部轉帳(忽略)"",
  REGEXMATCH(C10813, ""薪資""), ""薪資變動(不計入)"",
  REGEXMATCH(C10813, ""押金""), ""押金往來"",
  AND(E10813&lt;&gt;"""", F10813=""""), ""真實支出"",
  AND(E10813="""", F10813&lt;&gt;""""), ""真實收入"",
  TRUE, ""其他""
)"),"其他")</f>
        <v>其他</v>
      </c>
      <c r="K10813" s="270" t="str">
        <f t="shared" si="2"/>
        <v/>
      </c>
      <c r="L10813">
        <f t="shared" si="3"/>
        <v>0</v>
      </c>
    </row>
    <row r="10814">
      <c r="A10814" s="107"/>
      <c r="D10814" s="270"/>
      <c r="H10814" s="106" t="str">
        <f t="shared" si="1"/>
        <v/>
      </c>
      <c r="J10814" t="str">
        <f>IFERROR(__xludf.DUMMYFUNCTION("IFS(
  AND(REGEXMATCH(E10814, ""台銀籌備帳戶|玉山帳戶""), REGEXMATCH(C10814, ""薪資"")), ""分潤支出"",
  AND(REGEXMATCH(E10814, ""Ben帳戶|Elsa帳戶|Ben代墊|Ariel代墊|中信銀行共用""), REGEXMATCH(F10814, ""Ben帳戶|Elsa帳戶|Ben代墊|Ariel代墊|中信銀行共用"")), ""內部轉帳(忽略)"",
  AND(E10814&lt;&gt;"""", F10814&lt;&gt;"&amp;""""", NOT(REGEXMATCH(C10814, ""薪資""))), ""內部轉帳(忽略)"",
  REGEXMATCH(C10814, ""薪資""), ""薪資變動(不計入)"",
  REGEXMATCH(C10814, ""押金""), ""押金往來"",
  AND(E10814&lt;&gt;"""", F10814=""""), ""真實支出"",
  AND(E10814="""", F10814&lt;&gt;""""), ""真實收入"",
  TRUE, ""其他""
)"),"其他")</f>
        <v>其他</v>
      </c>
      <c r="K10814" s="270" t="str">
        <f t="shared" si="2"/>
        <v/>
      </c>
      <c r="L10814">
        <f t="shared" si="3"/>
        <v>0</v>
      </c>
    </row>
    <row r="10815">
      <c r="A10815" s="107"/>
      <c r="D10815" s="270"/>
      <c r="H10815" s="106" t="str">
        <f t="shared" si="1"/>
        <v/>
      </c>
      <c r="J10815" t="str">
        <f>IFERROR(__xludf.DUMMYFUNCTION("IFS(
  AND(REGEXMATCH(E10815, ""台銀籌備帳戶|玉山帳戶""), REGEXMATCH(C10815, ""薪資"")), ""分潤支出"",
  AND(REGEXMATCH(E10815, ""Ben帳戶|Elsa帳戶|Ben代墊|Ariel代墊|中信銀行共用""), REGEXMATCH(F10815, ""Ben帳戶|Elsa帳戶|Ben代墊|Ariel代墊|中信銀行共用"")), ""內部轉帳(忽略)"",
  AND(E10815&lt;&gt;"""", F10815&lt;&gt;"&amp;""""", NOT(REGEXMATCH(C10815, ""薪資""))), ""內部轉帳(忽略)"",
  REGEXMATCH(C10815, ""薪資""), ""薪資變動(不計入)"",
  REGEXMATCH(C10815, ""押金""), ""押金往來"",
  AND(E10815&lt;&gt;"""", F10815=""""), ""真實支出"",
  AND(E10815="""", F10815&lt;&gt;""""), ""真實收入"",
  TRUE, ""其他""
)"),"其他")</f>
        <v>其他</v>
      </c>
      <c r="K10815" s="270" t="str">
        <f t="shared" si="2"/>
        <v/>
      </c>
      <c r="L10815">
        <f t="shared" si="3"/>
        <v>0</v>
      </c>
    </row>
    <row r="10816">
      <c r="A10816" s="107"/>
      <c r="D10816" s="270"/>
      <c r="H10816" s="106" t="str">
        <f t="shared" si="1"/>
        <v/>
      </c>
      <c r="J10816" t="str">
        <f>IFERROR(__xludf.DUMMYFUNCTION("IFS(
  AND(REGEXMATCH(E10816, ""台銀籌備帳戶|玉山帳戶""), REGEXMATCH(C10816, ""薪資"")), ""分潤支出"",
  AND(REGEXMATCH(E10816, ""Ben帳戶|Elsa帳戶|Ben代墊|Ariel代墊|中信銀行共用""), REGEXMATCH(F10816, ""Ben帳戶|Elsa帳戶|Ben代墊|Ariel代墊|中信銀行共用"")), ""內部轉帳(忽略)"",
  AND(E10816&lt;&gt;"""", F10816&lt;&gt;"&amp;""""", NOT(REGEXMATCH(C10816, ""薪資""))), ""內部轉帳(忽略)"",
  REGEXMATCH(C10816, ""薪資""), ""薪資變動(不計入)"",
  REGEXMATCH(C10816, ""押金""), ""押金往來"",
  AND(E10816&lt;&gt;"""", F10816=""""), ""真實支出"",
  AND(E10816="""", F10816&lt;&gt;""""), ""真實收入"",
  TRUE, ""其他""
)"),"其他")</f>
        <v>其他</v>
      </c>
      <c r="K10816" s="270" t="str">
        <f t="shared" si="2"/>
        <v/>
      </c>
      <c r="L10816">
        <f t="shared" si="3"/>
        <v>0</v>
      </c>
    </row>
    <row r="10817">
      <c r="A10817" s="107"/>
      <c r="D10817" s="270"/>
      <c r="H10817" s="106" t="str">
        <f t="shared" si="1"/>
        <v/>
      </c>
      <c r="J10817" t="str">
        <f>IFERROR(__xludf.DUMMYFUNCTION("IFS(
  AND(REGEXMATCH(E10817, ""台銀籌備帳戶|玉山帳戶""), REGEXMATCH(C10817, ""薪資"")), ""分潤支出"",
  AND(REGEXMATCH(E10817, ""Ben帳戶|Elsa帳戶|Ben代墊|Ariel代墊|中信銀行共用""), REGEXMATCH(F10817, ""Ben帳戶|Elsa帳戶|Ben代墊|Ariel代墊|中信銀行共用"")), ""內部轉帳(忽略)"",
  AND(E10817&lt;&gt;"""", F10817&lt;&gt;"&amp;""""", NOT(REGEXMATCH(C10817, ""薪資""))), ""內部轉帳(忽略)"",
  REGEXMATCH(C10817, ""薪資""), ""薪資變動(不計入)"",
  REGEXMATCH(C10817, ""押金""), ""押金往來"",
  AND(E10817&lt;&gt;"""", F10817=""""), ""真實支出"",
  AND(E10817="""", F10817&lt;&gt;""""), ""真實收入"",
  TRUE, ""其他""
)"),"其他")</f>
        <v>其他</v>
      </c>
      <c r="K10817" s="270" t="str">
        <f t="shared" si="2"/>
        <v/>
      </c>
      <c r="L10817">
        <f t="shared" si="3"/>
        <v>0</v>
      </c>
    </row>
    <row r="10818">
      <c r="A10818" s="107"/>
      <c r="D10818" s="270"/>
      <c r="H10818" s="106" t="str">
        <f t="shared" si="1"/>
        <v/>
      </c>
      <c r="J10818" t="str">
        <f>IFERROR(__xludf.DUMMYFUNCTION("IFS(
  AND(REGEXMATCH(E10818, ""台銀籌備帳戶|玉山帳戶""), REGEXMATCH(C10818, ""薪資"")), ""分潤支出"",
  AND(REGEXMATCH(E10818, ""Ben帳戶|Elsa帳戶|Ben代墊|Ariel代墊|中信銀行共用""), REGEXMATCH(F10818, ""Ben帳戶|Elsa帳戶|Ben代墊|Ariel代墊|中信銀行共用"")), ""內部轉帳(忽略)"",
  AND(E10818&lt;&gt;"""", F10818&lt;&gt;"&amp;""""", NOT(REGEXMATCH(C10818, ""薪資""))), ""內部轉帳(忽略)"",
  REGEXMATCH(C10818, ""薪資""), ""薪資變動(不計入)"",
  REGEXMATCH(C10818, ""押金""), ""押金往來"",
  AND(E10818&lt;&gt;"""", F10818=""""), ""真實支出"",
  AND(E10818="""", F10818&lt;&gt;""""), ""真實收入"",
  TRUE, ""其他""
)"),"其他")</f>
        <v>其他</v>
      </c>
      <c r="K10818" s="270" t="str">
        <f t="shared" si="2"/>
        <v/>
      </c>
      <c r="L10818">
        <f t="shared" si="3"/>
        <v>0</v>
      </c>
    </row>
    <row r="10819">
      <c r="A10819" s="107"/>
      <c r="D10819" s="270"/>
      <c r="H10819" s="106" t="str">
        <f t="shared" si="1"/>
        <v/>
      </c>
      <c r="J10819" t="str">
        <f>IFERROR(__xludf.DUMMYFUNCTION("IFS(
  AND(REGEXMATCH(E10819, ""台銀籌備帳戶|玉山帳戶""), REGEXMATCH(C10819, ""薪資"")), ""分潤支出"",
  AND(REGEXMATCH(E10819, ""Ben帳戶|Elsa帳戶|Ben代墊|Ariel代墊|中信銀行共用""), REGEXMATCH(F10819, ""Ben帳戶|Elsa帳戶|Ben代墊|Ariel代墊|中信銀行共用"")), ""內部轉帳(忽略)"",
  AND(E10819&lt;&gt;"""", F10819&lt;&gt;"&amp;""""", NOT(REGEXMATCH(C10819, ""薪資""))), ""內部轉帳(忽略)"",
  REGEXMATCH(C10819, ""薪資""), ""薪資變動(不計入)"",
  REGEXMATCH(C10819, ""押金""), ""押金往來"",
  AND(E10819&lt;&gt;"""", F10819=""""), ""真實支出"",
  AND(E10819="""", F10819&lt;&gt;""""), ""真實收入"",
  TRUE, ""其他""
)"),"其他")</f>
        <v>其他</v>
      </c>
      <c r="K10819" s="270" t="str">
        <f t="shared" si="2"/>
        <v/>
      </c>
      <c r="L10819">
        <f t="shared" si="3"/>
        <v>0</v>
      </c>
    </row>
    <row r="10820">
      <c r="A10820" s="107"/>
      <c r="D10820" s="270"/>
      <c r="H10820" s="106" t="str">
        <f t="shared" si="1"/>
        <v/>
      </c>
      <c r="J10820" t="str">
        <f>IFERROR(__xludf.DUMMYFUNCTION("IFS(
  AND(REGEXMATCH(E10820, ""台銀籌備帳戶|玉山帳戶""), REGEXMATCH(C10820, ""薪資"")), ""分潤支出"",
  AND(REGEXMATCH(E10820, ""Ben帳戶|Elsa帳戶|Ben代墊|Ariel代墊|中信銀行共用""), REGEXMATCH(F10820, ""Ben帳戶|Elsa帳戶|Ben代墊|Ariel代墊|中信銀行共用"")), ""內部轉帳(忽略)"",
  AND(E10820&lt;&gt;"""", F10820&lt;&gt;"&amp;""""", NOT(REGEXMATCH(C10820, ""薪資""))), ""內部轉帳(忽略)"",
  REGEXMATCH(C10820, ""薪資""), ""薪資變動(不計入)"",
  REGEXMATCH(C10820, ""押金""), ""押金往來"",
  AND(E10820&lt;&gt;"""", F10820=""""), ""真實支出"",
  AND(E10820="""", F10820&lt;&gt;""""), ""真實收入"",
  TRUE, ""其他""
)"),"其他")</f>
        <v>其他</v>
      </c>
      <c r="K10820" s="270" t="str">
        <f t="shared" si="2"/>
        <v/>
      </c>
      <c r="L10820">
        <f t="shared" si="3"/>
        <v>0</v>
      </c>
    </row>
    <row r="10821">
      <c r="A10821" s="107"/>
      <c r="D10821" s="270"/>
      <c r="H10821" s="106" t="str">
        <f t="shared" si="1"/>
        <v/>
      </c>
      <c r="J10821" t="str">
        <f>IFERROR(__xludf.DUMMYFUNCTION("IFS(
  AND(REGEXMATCH(E10821, ""台銀籌備帳戶|玉山帳戶""), REGEXMATCH(C10821, ""薪資"")), ""分潤支出"",
  AND(REGEXMATCH(E10821, ""Ben帳戶|Elsa帳戶|Ben代墊|Ariel代墊|中信銀行共用""), REGEXMATCH(F10821, ""Ben帳戶|Elsa帳戶|Ben代墊|Ariel代墊|中信銀行共用"")), ""內部轉帳(忽略)"",
  AND(E10821&lt;&gt;"""", F10821&lt;&gt;"&amp;""""", NOT(REGEXMATCH(C10821, ""薪資""))), ""內部轉帳(忽略)"",
  REGEXMATCH(C10821, ""薪資""), ""薪資變動(不計入)"",
  REGEXMATCH(C10821, ""押金""), ""押金往來"",
  AND(E10821&lt;&gt;"""", F10821=""""), ""真實支出"",
  AND(E10821="""", F10821&lt;&gt;""""), ""真實收入"",
  TRUE, ""其他""
)"),"其他")</f>
        <v>其他</v>
      </c>
      <c r="K10821" s="270" t="str">
        <f t="shared" si="2"/>
        <v/>
      </c>
      <c r="L10821">
        <f t="shared" si="3"/>
        <v>0</v>
      </c>
    </row>
    <row r="10822">
      <c r="A10822" s="107"/>
      <c r="D10822" s="270"/>
      <c r="H10822" s="106" t="str">
        <f t="shared" si="1"/>
        <v/>
      </c>
      <c r="J10822" t="str">
        <f>IFERROR(__xludf.DUMMYFUNCTION("IFS(
  AND(REGEXMATCH(E10822, ""台銀籌備帳戶|玉山帳戶""), REGEXMATCH(C10822, ""薪資"")), ""分潤支出"",
  AND(REGEXMATCH(E10822, ""Ben帳戶|Elsa帳戶|Ben代墊|Ariel代墊|中信銀行共用""), REGEXMATCH(F10822, ""Ben帳戶|Elsa帳戶|Ben代墊|Ariel代墊|中信銀行共用"")), ""內部轉帳(忽略)"",
  AND(E10822&lt;&gt;"""", F10822&lt;&gt;"&amp;""""", NOT(REGEXMATCH(C10822, ""薪資""))), ""內部轉帳(忽略)"",
  REGEXMATCH(C10822, ""薪資""), ""薪資變動(不計入)"",
  REGEXMATCH(C10822, ""押金""), ""押金往來"",
  AND(E10822&lt;&gt;"""", F10822=""""), ""真實支出"",
  AND(E10822="""", F10822&lt;&gt;""""), ""真實收入"",
  TRUE, ""其他""
)"),"其他")</f>
        <v>其他</v>
      </c>
      <c r="K10822" s="270" t="str">
        <f t="shared" si="2"/>
        <v/>
      </c>
      <c r="L10822">
        <f t="shared" si="3"/>
        <v>0</v>
      </c>
    </row>
    <row r="10823">
      <c r="A10823" s="107"/>
      <c r="D10823" s="270"/>
      <c r="H10823" s="106" t="str">
        <f t="shared" si="1"/>
        <v/>
      </c>
      <c r="J10823" t="str">
        <f>IFERROR(__xludf.DUMMYFUNCTION("IFS(
  AND(REGEXMATCH(E10823, ""台銀籌備帳戶|玉山帳戶""), REGEXMATCH(C10823, ""薪資"")), ""分潤支出"",
  AND(REGEXMATCH(E10823, ""Ben帳戶|Elsa帳戶|Ben代墊|Ariel代墊|中信銀行共用""), REGEXMATCH(F10823, ""Ben帳戶|Elsa帳戶|Ben代墊|Ariel代墊|中信銀行共用"")), ""內部轉帳(忽略)"",
  AND(E10823&lt;&gt;"""", F10823&lt;&gt;"&amp;""""", NOT(REGEXMATCH(C10823, ""薪資""))), ""內部轉帳(忽略)"",
  REGEXMATCH(C10823, ""薪資""), ""薪資變動(不計入)"",
  REGEXMATCH(C10823, ""押金""), ""押金往來"",
  AND(E10823&lt;&gt;"""", F10823=""""), ""真實支出"",
  AND(E10823="""", F10823&lt;&gt;""""), ""真實收入"",
  TRUE, ""其他""
)"),"其他")</f>
        <v>其他</v>
      </c>
      <c r="K10823" s="270" t="str">
        <f t="shared" si="2"/>
        <v/>
      </c>
      <c r="L10823">
        <f t="shared" si="3"/>
        <v>0</v>
      </c>
    </row>
    <row r="10824">
      <c r="A10824" s="107"/>
      <c r="D10824" s="270"/>
      <c r="H10824" s="106" t="str">
        <f t="shared" si="1"/>
        <v/>
      </c>
      <c r="J10824" t="str">
        <f>IFERROR(__xludf.DUMMYFUNCTION("IFS(
  AND(REGEXMATCH(E10824, ""台銀籌備帳戶|玉山帳戶""), REGEXMATCH(C10824, ""薪資"")), ""分潤支出"",
  AND(REGEXMATCH(E10824, ""Ben帳戶|Elsa帳戶|Ben代墊|Ariel代墊|中信銀行共用""), REGEXMATCH(F10824, ""Ben帳戶|Elsa帳戶|Ben代墊|Ariel代墊|中信銀行共用"")), ""內部轉帳(忽略)"",
  AND(E10824&lt;&gt;"""", F10824&lt;&gt;"&amp;""""", NOT(REGEXMATCH(C10824, ""薪資""))), ""內部轉帳(忽略)"",
  REGEXMATCH(C10824, ""薪資""), ""薪資變動(不計入)"",
  REGEXMATCH(C10824, ""押金""), ""押金往來"",
  AND(E10824&lt;&gt;"""", F10824=""""), ""真實支出"",
  AND(E10824="""", F10824&lt;&gt;""""), ""真實收入"",
  TRUE, ""其他""
)"),"其他")</f>
        <v>其他</v>
      </c>
      <c r="K10824" s="270" t="str">
        <f t="shared" si="2"/>
        <v/>
      </c>
      <c r="L10824">
        <f t="shared" si="3"/>
        <v>0</v>
      </c>
    </row>
    <row r="10825">
      <c r="A10825" s="107"/>
      <c r="D10825" s="270"/>
      <c r="H10825" s="106" t="str">
        <f t="shared" si="1"/>
        <v/>
      </c>
      <c r="J10825" t="str">
        <f>IFERROR(__xludf.DUMMYFUNCTION("IFS(
  AND(REGEXMATCH(E10825, ""台銀籌備帳戶|玉山帳戶""), REGEXMATCH(C10825, ""薪資"")), ""分潤支出"",
  AND(REGEXMATCH(E10825, ""Ben帳戶|Elsa帳戶|Ben代墊|Ariel代墊|中信銀行共用""), REGEXMATCH(F10825, ""Ben帳戶|Elsa帳戶|Ben代墊|Ariel代墊|中信銀行共用"")), ""內部轉帳(忽略)"",
  AND(E10825&lt;&gt;"""", F10825&lt;&gt;"&amp;""""", NOT(REGEXMATCH(C10825, ""薪資""))), ""內部轉帳(忽略)"",
  REGEXMATCH(C10825, ""薪資""), ""薪資變動(不計入)"",
  REGEXMATCH(C10825, ""押金""), ""押金往來"",
  AND(E10825&lt;&gt;"""", F10825=""""), ""真實支出"",
  AND(E10825="""", F10825&lt;&gt;""""), ""真實收入"",
  TRUE, ""其他""
)"),"其他")</f>
        <v>其他</v>
      </c>
      <c r="K10825" s="270" t="str">
        <f t="shared" si="2"/>
        <v/>
      </c>
      <c r="L10825">
        <f t="shared" si="3"/>
        <v>0</v>
      </c>
    </row>
    <row r="10826">
      <c r="A10826" s="107"/>
      <c r="D10826" s="270"/>
      <c r="H10826" s="106" t="str">
        <f t="shared" si="1"/>
        <v/>
      </c>
      <c r="J10826" t="str">
        <f>IFERROR(__xludf.DUMMYFUNCTION("IFS(
  AND(REGEXMATCH(E10826, ""台銀籌備帳戶|玉山帳戶""), REGEXMATCH(C10826, ""薪資"")), ""分潤支出"",
  AND(REGEXMATCH(E10826, ""Ben帳戶|Elsa帳戶|Ben代墊|Ariel代墊|中信銀行共用""), REGEXMATCH(F10826, ""Ben帳戶|Elsa帳戶|Ben代墊|Ariel代墊|中信銀行共用"")), ""內部轉帳(忽略)"",
  AND(E10826&lt;&gt;"""", F10826&lt;&gt;"&amp;""""", NOT(REGEXMATCH(C10826, ""薪資""))), ""內部轉帳(忽略)"",
  REGEXMATCH(C10826, ""薪資""), ""薪資變動(不計入)"",
  REGEXMATCH(C10826, ""押金""), ""押金往來"",
  AND(E10826&lt;&gt;"""", F10826=""""), ""真實支出"",
  AND(E10826="""", F10826&lt;&gt;""""), ""真實收入"",
  TRUE, ""其他""
)"),"其他")</f>
        <v>其他</v>
      </c>
      <c r="K10826" s="270" t="str">
        <f t="shared" si="2"/>
        <v/>
      </c>
      <c r="L10826">
        <f t="shared" si="3"/>
        <v>0</v>
      </c>
    </row>
    <row r="10827">
      <c r="A10827" s="107"/>
      <c r="D10827" s="270"/>
      <c r="H10827" s="106" t="str">
        <f t="shared" si="1"/>
        <v/>
      </c>
      <c r="J10827" t="str">
        <f>IFERROR(__xludf.DUMMYFUNCTION("IFS(
  AND(REGEXMATCH(E10827, ""台銀籌備帳戶|玉山帳戶""), REGEXMATCH(C10827, ""薪資"")), ""分潤支出"",
  AND(REGEXMATCH(E10827, ""Ben帳戶|Elsa帳戶|Ben代墊|Ariel代墊|中信銀行共用""), REGEXMATCH(F10827, ""Ben帳戶|Elsa帳戶|Ben代墊|Ariel代墊|中信銀行共用"")), ""內部轉帳(忽略)"",
  AND(E10827&lt;&gt;"""", F10827&lt;&gt;"&amp;""""", NOT(REGEXMATCH(C10827, ""薪資""))), ""內部轉帳(忽略)"",
  REGEXMATCH(C10827, ""薪資""), ""薪資變動(不計入)"",
  REGEXMATCH(C10827, ""押金""), ""押金往來"",
  AND(E10827&lt;&gt;"""", F10827=""""), ""真實支出"",
  AND(E10827="""", F10827&lt;&gt;""""), ""真實收入"",
  TRUE, ""其他""
)"),"其他")</f>
        <v>其他</v>
      </c>
      <c r="K10827" s="270" t="str">
        <f t="shared" si="2"/>
        <v/>
      </c>
      <c r="L10827">
        <f t="shared" si="3"/>
        <v>0</v>
      </c>
    </row>
    <row r="10828">
      <c r="A10828" s="107"/>
      <c r="D10828" s="270"/>
      <c r="H10828" s="106" t="str">
        <f t="shared" si="1"/>
        <v/>
      </c>
      <c r="J10828" t="str">
        <f>IFERROR(__xludf.DUMMYFUNCTION("IFS(
  AND(REGEXMATCH(E10828, ""台銀籌備帳戶|玉山帳戶""), REGEXMATCH(C10828, ""薪資"")), ""分潤支出"",
  AND(REGEXMATCH(E10828, ""Ben帳戶|Elsa帳戶|Ben代墊|Ariel代墊|中信銀行共用""), REGEXMATCH(F10828, ""Ben帳戶|Elsa帳戶|Ben代墊|Ariel代墊|中信銀行共用"")), ""內部轉帳(忽略)"",
  AND(E10828&lt;&gt;"""", F10828&lt;&gt;"&amp;""""", NOT(REGEXMATCH(C10828, ""薪資""))), ""內部轉帳(忽略)"",
  REGEXMATCH(C10828, ""薪資""), ""薪資變動(不計入)"",
  REGEXMATCH(C10828, ""押金""), ""押金往來"",
  AND(E10828&lt;&gt;"""", F10828=""""), ""真實支出"",
  AND(E10828="""", F10828&lt;&gt;""""), ""真實收入"",
  TRUE, ""其他""
)"),"其他")</f>
        <v>其他</v>
      </c>
      <c r="K10828" s="270" t="str">
        <f t="shared" si="2"/>
        <v/>
      </c>
      <c r="L10828">
        <f t="shared" si="3"/>
        <v>0</v>
      </c>
    </row>
    <row r="10829">
      <c r="A10829" s="107"/>
      <c r="D10829" s="270"/>
      <c r="H10829" s="106" t="str">
        <f t="shared" si="1"/>
        <v/>
      </c>
      <c r="J10829" t="str">
        <f>IFERROR(__xludf.DUMMYFUNCTION("IFS(
  AND(REGEXMATCH(E10829, ""台銀籌備帳戶|玉山帳戶""), REGEXMATCH(C10829, ""薪資"")), ""分潤支出"",
  AND(REGEXMATCH(E10829, ""Ben帳戶|Elsa帳戶|Ben代墊|Ariel代墊|中信銀行共用""), REGEXMATCH(F10829, ""Ben帳戶|Elsa帳戶|Ben代墊|Ariel代墊|中信銀行共用"")), ""內部轉帳(忽略)"",
  AND(E10829&lt;&gt;"""", F10829&lt;&gt;"&amp;""""", NOT(REGEXMATCH(C10829, ""薪資""))), ""內部轉帳(忽略)"",
  REGEXMATCH(C10829, ""薪資""), ""薪資變動(不計入)"",
  REGEXMATCH(C10829, ""押金""), ""押金往來"",
  AND(E10829&lt;&gt;"""", F10829=""""), ""真實支出"",
  AND(E10829="""", F10829&lt;&gt;""""), ""真實收入"",
  TRUE, ""其他""
)"),"其他")</f>
        <v>其他</v>
      </c>
      <c r="K10829" s="270" t="str">
        <f t="shared" si="2"/>
        <v/>
      </c>
      <c r="L10829">
        <f t="shared" si="3"/>
        <v>0</v>
      </c>
    </row>
    <row r="10830">
      <c r="A10830" s="107"/>
      <c r="D10830" s="270"/>
      <c r="H10830" s="106" t="str">
        <f t="shared" si="1"/>
        <v/>
      </c>
      <c r="J10830" t="str">
        <f>IFERROR(__xludf.DUMMYFUNCTION("IFS(
  AND(REGEXMATCH(E10830, ""台銀籌備帳戶|玉山帳戶""), REGEXMATCH(C10830, ""薪資"")), ""分潤支出"",
  AND(REGEXMATCH(E10830, ""Ben帳戶|Elsa帳戶|Ben代墊|Ariel代墊|中信銀行共用""), REGEXMATCH(F10830, ""Ben帳戶|Elsa帳戶|Ben代墊|Ariel代墊|中信銀行共用"")), ""內部轉帳(忽略)"",
  AND(E10830&lt;&gt;"""", F10830&lt;&gt;"&amp;""""", NOT(REGEXMATCH(C10830, ""薪資""))), ""內部轉帳(忽略)"",
  REGEXMATCH(C10830, ""薪資""), ""薪資變動(不計入)"",
  REGEXMATCH(C10830, ""押金""), ""押金往來"",
  AND(E10830&lt;&gt;"""", F10830=""""), ""真實支出"",
  AND(E10830="""", F10830&lt;&gt;""""), ""真實收入"",
  TRUE, ""其他""
)"),"其他")</f>
        <v>其他</v>
      </c>
      <c r="K10830" s="270" t="str">
        <f t="shared" si="2"/>
        <v/>
      </c>
      <c r="L10830">
        <f t="shared" si="3"/>
        <v>0</v>
      </c>
    </row>
    <row r="10831">
      <c r="A10831" s="107"/>
      <c r="D10831" s="270"/>
      <c r="H10831" s="106" t="str">
        <f t="shared" si="1"/>
        <v/>
      </c>
      <c r="J10831" t="str">
        <f>IFERROR(__xludf.DUMMYFUNCTION("IFS(
  AND(REGEXMATCH(E10831, ""台銀籌備帳戶|玉山帳戶""), REGEXMATCH(C10831, ""薪資"")), ""分潤支出"",
  AND(REGEXMATCH(E10831, ""Ben帳戶|Elsa帳戶|Ben代墊|Ariel代墊|中信銀行共用""), REGEXMATCH(F10831, ""Ben帳戶|Elsa帳戶|Ben代墊|Ariel代墊|中信銀行共用"")), ""內部轉帳(忽略)"",
  AND(E10831&lt;&gt;"""", F10831&lt;&gt;"&amp;""""", NOT(REGEXMATCH(C10831, ""薪資""))), ""內部轉帳(忽略)"",
  REGEXMATCH(C10831, ""薪資""), ""薪資變動(不計入)"",
  REGEXMATCH(C10831, ""押金""), ""押金往來"",
  AND(E10831&lt;&gt;"""", F10831=""""), ""真實支出"",
  AND(E10831="""", F10831&lt;&gt;""""), ""真實收入"",
  TRUE, ""其他""
)"),"其他")</f>
        <v>其他</v>
      </c>
      <c r="K10831" s="270" t="str">
        <f t="shared" si="2"/>
        <v/>
      </c>
      <c r="L10831">
        <f t="shared" si="3"/>
        <v>0</v>
      </c>
    </row>
    <row r="10832">
      <c r="A10832" s="107"/>
      <c r="D10832" s="270"/>
      <c r="H10832" s="106" t="str">
        <f t="shared" si="1"/>
        <v/>
      </c>
      <c r="J10832" t="str">
        <f>IFERROR(__xludf.DUMMYFUNCTION("IFS(
  AND(REGEXMATCH(E10832, ""台銀籌備帳戶|玉山帳戶""), REGEXMATCH(C10832, ""薪資"")), ""分潤支出"",
  AND(REGEXMATCH(E10832, ""Ben帳戶|Elsa帳戶|Ben代墊|Ariel代墊|中信銀行共用""), REGEXMATCH(F10832, ""Ben帳戶|Elsa帳戶|Ben代墊|Ariel代墊|中信銀行共用"")), ""內部轉帳(忽略)"",
  AND(E10832&lt;&gt;"""", F10832&lt;&gt;"&amp;""""", NOT(REGEXMATCH(C10832, ""薪資""))), ""內部轉帳(忽略)"",
  REGEXMATCH(C10832, ""薪資""), ""薪資變動(不計入)"",
  REGEXMATCH(C10832, ""押金""), ""押金往來"",
  AND(E10832&lt;&gt;"""", F10832=""""), ""真實支出"",
  AND(E10832="""", F10832&lt;&gt;""""), ""真實收入"",
  TRUE, ""其他""
)"),"其他")</f>
        <v>其他</v>
      </c>
      <c r="K10832" s="270" t="str">
        <f t="shared" si="2"/>
        <v/>
      </c>
      <c r="L10832">
        <f t="shared" si="3"/>
        <v>0</v>
      </c>
    </row>
    <row r="10833">
      <c r="A10833" s="107"/>
      <c r="D10833" s="270"/>
      <c r="H10833" s="106" t="str">
        <f t="shared" si="1"/>
        <v/>
      </c>
      <c r="J10833" t="str">
        <f>IFERROR(__xludf.DUMMYFUNCTION("IFS(
  AND(REGEXMATCH(E10833, ""台銀籌備帳戶|玉山帳戶""), REGEXMATCH(C10833, ""薪資"")), ""分潤支出"",
  AND(REGEXMATCH(E10833, ""Ben帳戶|Elsa帳戶|Ben代墊|Ariel代墊|中信銀行共用""), REGEXMATCH(F10833, ""Ben帳戶|Elsa帳戶|Ben代墊|Ariel代墊|中信銀行共用"")), ""內部轉帳(忽略)"",
  AND(E10833&lt;&gt;"""", F10833&lt;&gt;"&amp;""""", NOT(REGEXMATCH(C10833, ""薪資""))), ""內部轉帳(忽略)"",
  REGEXMATCH(C10833, ""薪資""), ""薪資變動(不計入)"",
  REGEXMATCH(C10833, ""押金""), ""押金往來"",
  AND(E10833&lt;&gt;"""", F10833=""""), ""真實支出"",
  AND(E10833="""", F10833&lt;&gt;""""), ""真實收入"",
  TRUE, ""其他""
)"),"其他")</f>
        <v>其他</v>
      </c>
      <c r="K10833" s="270" t="str">
        <f t="shared" si="2"/>
        <v/>
      </c>
      <c r="L10833">
        <f t="shared" si="3"/>
        <v>0</v>
      </c>
    </row>
    <row r="10834">
      <c r="A10834" s="107"/>
      <c r="D10834" s="270"/>
      <c r="H10834" s="106" t="str">
        <f t="shared" si="1"/>
        <v/>
      </c>
      <c r="J10834" t="str">
        <f>IFERROR(__xludf.DUMMYFUNCTION("IFS(
  AND(REGEXMATCH(E10834, ""台銀籌備帳戶|玉山帳戶""), REGEXMATCH(C10834, ""薪資"")), ""分潤支出"",
  AND(REGEXMATCH(E10834, ""Ben帳戶|Elsa帳戶|Ben代墊|Ariel代墊|中信銀行共用""), REGEXMATCH(F10834, ""Ben帳戶|Elsa帳戶|Ben代墊|Ariel代墊|中信銀行共用"")), ""內部轉帳(忽略)"",
  AND(E10834&lt;&gt;"""", F10834&lt;&gt;"&amp;""""", NOT(REGEXMATCH(C10834, ""薪資""))), ""內部轉帳(忽略)"",
  REGEXMATCH(C10834, ""薪資""), ""薪資變動(不計入)"",
  REGEXMATCH(C10834, ""押金""), ""押金往來"",
  AND(E10834&lt;&gt;"""", F10834=""""), ""真實支出"",
  AND(E10834="""", F10834&lt;&gt;""""), ""真實收入"",
  TRUE, ""其他""
)"),"其他")</f>
        <v>其他</v>
      </c>
      <c r="K10834" s="270" t="str">
        <f t="shared" si="2"/>
        <v/>
      </c>
      <c r="L10834">
        <f t="shared" si="3"/>
        <v>0</v>
      </c>
    </row>
    <row r="10835">
      <c r="A10835" s="107"/>
      <c r="D10835" s="270"/>
      <c r="H10835" s="106" t="str">
        <f t="shared" si="1"/>
        <v/>
      </c>
      <c r="J10835" t="str">
        <f>IFERROR(__xludf.DUMMYFUNCTION("IFS(
  AND(REGEXMATCH(E10835, ""台銀籌備帳戶|玉山帳戶""), REGEXMATCH(C10835, ""薪資"")), ""分潤支出"",
  AND(REGEXMATCH(E10835, ""Ben帳戶|Elsa帳戶|Ben代墊|Ariel代墊|中信銀行共用""), REGEXMATCH(F10835, ""Ben帳戶|Elsa帳戶|Ben代墊|Ariel代墊|中信銀行共用"")), ""內部轉帳(忽略)"",
  AND(E10835&lt;&gt;"""", F10835&lt;&gt;"&amp;""""", NOT(REGEXMATCH(C10835, ""薪資""))), ""內部轉帳(忽略)"",
  REGEXMATCH(C10835, ""薪資""), ""薪資變動(不計入)"",
  REGEXMATCH(C10835, ""押金""), ""押金往來"",
  AND(E10835&lt;&gt;"""", F10835=""""), ""真實支出"",
  AND(E10835="""", F10835&lt;&gt;""""), ""真實收入"",
  TRUE, ""其他""
)"),"其他")</f>
        <v>其他</v>
      </c>
      <c r="K10835" s="270" t="str">
        <f t="shared" si="2"/>
        <v/>
      </c>
      <c r="L10835">
        <f t="shared" si="3"/>
        <v>0</v>
      </c>
    </row>
    <row r="10836">
      <c r="A10836" s="107"/>
      <c r="D10836" s="270"/>
      <c r="H10836" s="106" t="str">
        <f t="shared" si="1"/>
        <v/>
      </c>
      <c r="J10836" t="str">
        <f>IFERROR(__xludf.DUMMYFUNCTION("IFS(
  AND(REGEXMATCH(E10836, ""台銀籌備帳戶|玉山帳戶""), REGEXMATCH(C10836, ""薪資"")), ""分潤支出"",
  AND(REGEXMATCH(E10836, ""Ben帳戶|Elsa帳戶|Ben代墊|Ariel代墊|中信銀行共用""), REGEXMATCH(F10836, ""Ben帳戶|Elsa帳戶|Ben代墊|Ariel代墊|中信銀行共用"")), ""內部轉帳(忽略)"",
  AND(E10836&lt;&gt;"""", F10836&lt;&gt;"&amp;""""", NOT(REGEXMATCH(C10836, ""薪資""))), ""內部轉帳(忽略)"",
  REGEXMATCH(C10836, ""薪資""), ""薪資變動(不計入)"",
  REGEXMATCH(C10836, ""押金""), ""押金往來"",
  AND(E10836&lt;&gt;"""", F10836=""""), ""真實支出"",
  AND(E10836="""", F10836&lt;&gt;""""), ""真實收入"",
  TRUE, ""其他""
)"),"其他")</f>
        <v>其他</v>
      </c>
      <c r="K10836" s="270" t="str">
        <f t="shared" si="2"/>
        <v/>
      </c>
      <c r="L10836">
        <f t="shared" si="3"/>
        <v>0</v>
      </c>
    </row>
    <row r="10837">
      <c r="A10837" s="107"/>
      <c r="D10837" s="270"/>
      <c r="H10837" s="106" t="str">
        <f t="shared" si="1"/>
        <v/>
      </c>
      <c r="J10837" t="str">
        <f>IFERROR(__xludf.DUMMYFUNCTION("IFS(
  AND(REGEXMATCH(E10837, ""台銀籌備帳戶|玉山帳戶""), REGEXMATCH(C10837, ""薪資"")), ""分潤支出"",
  AND(REGEXMATCH(E10837, ""Ben帳戶|Elsa帳戶|Ben代墊|Ariel代墊|中信銀行共用""), REGEXMATCH(F10837, ""Ben帳戶|Elsa帳戶|Ben代墊|Ariel代墊|中信銀行共用"")), ""內部轉帳(忽略)"",
  AND(E10837&lt;&gt;"""", F10837&lt;&gt;"&amp;""""", NOT(REGEXMATCH(C10837, ""薪資""))), ""內部轉帳(忽略)"",
  REGEXMATCH(C10837, ""薪資""), ""薪資變動(不計入)"",
  REGEXMATCH(C10837, ""押金""), ""押金往來"",
  AND(E10837&lt;&gt;"""", F10837=""""), ""真實支出"",
  AND(E10837="""", F10837&lt;&gt;""""), ""真實收入"",
  TRUE, ""其他""
)"),"其他")</f>
        <v>其他</v>
      </c>
      <c r="K10837" s="270" t="str">
        <f t="shared" si="2"/>
        <v/>
      </c>
      <c r="L10837">
        <f t="shared" si="3"/>
        <v>0</v>
      </c>
    </row>
    <row r="10838">
      <c r="A10838" s="107"/>
      <c r="D10838" s="270"/>
      <c r="H10838" s="106" t="str">
        <f t="shared" si="1"/>
        <v/>
      </c>
      <c r="J10838" t="str">
        <f>IFERROR(__xludf.DUMMYFUNCTION("IFS(
  AND(REGEXMATCH(E10838, ""台銀籌備帳戶|玉山帳戶""), REGEXMATCH(C10838, ""薪資"")), ""分潤支出"",
  AND(REGEXMATCH(E10838, ""Ben帳戶|Elsa帳戶|Ben代墊|Ariel代墊|中信銀行共用""), REGEXMATCH(F10838, ""Ben帳戶|Elsa帳戶|Ben代墊|Ariel代墊|中信銀行共用"")), ""內部轉帳(忽略)"",
  AND(E10838&lt;&gt;"""", F10838&lt;&gt;"&amp;""""", NOT(REGEXMATCH(C10838, ""薪資""))), ""內部轉帳(忽略)"",
  REGEXMATCH(C10838, ""薪資""), ""薪資變動(不計入)"",
  REGEXMATCH(C10838, ""押金""), ""押金往來"",
  AND(E10838&lt;&gt;"""", F10838=""""), ""真實支出"",
  AND(E10838="""", F10838&lt;&gt;""""), ""真實收入"",
  TRUE, ""其他""
)"),"其他")</f>
        <v>其他</v>
      </c>
      <c r="K10838" s="270" t="str">
        <f t="shared" si="2"/>
        <v/>
      </c>
      <c r="L10838">
        <f t="shared" si="3"/>
        <v>0</v>
      </c>
    </row>
    <row r="10839">
      <c r="A10839" s="107"/>
      <c r="D10839" s="270"/>
      <c r="H10839" s="106" t="str">
        <f t="shared" si="1"/>
        <v/>
      </c>
      <c r="J10839" t="str">
        <f>IFERROR(__xludf.DUMMYFUNCTION("IFS(
  AND(REGEXMATCH(E10839, ""台銀籌備帳戶|玉山帳戶""), REGEXMATCH(C10839, ""薪資"")), ""分潤支出"",
  AND(REGEXMATCH(E10839, ""Ben帳戶|Elsa帳戶|Ben代墊|Ariel代墊|中信銀行共用""), REGEXMATCH(F10839, ""Ben帳戶|Elsa帳戶|Ben代墊|Ariel代墊|中信銀行共用"")), ""內部轉帳(忽略)"",
  AND(E10839&lt;&gt;"""", F10839&lt;&gt;"&amp;""""", NOT(REGEXMATCH(C10839, ""薪資""))), ""內部轉帳(忽略)"",
  REGEXMATCH(C10839, ""薪資""), ""薪資變動(不計入)"",
  REGEXMATCH(C10839, ""押金""), ""押金往來"",
  AND(E10839&lt;&gt;"""", F10839=""""), ""真實支出"",
  AND(E10839="""", F10839&lt;&gt;""""), ""真實收入"",
  TRUE, ""其他""
)"),"其他")</f>
        <v>其他</v>
      </c>
      <c r="K10839" s="270" t="str">
        <f t="shared" si="2"/>
        <v/>
      </c>
      <c r="L10839">
        <f t="shared" si="3"/>
        <v>0</v>
      </c>
    </row>
    <row r="10840">
      <c r="A10840" s="107"/>
      <c r="D10840" s="270"/>
      <c r="H10840" s="106" t="str">
        <f t="shared" si="1"/>
        <v/>
      </c>
      <c r="J10840" t="str">
        <f>IFERROR(__xludf.DUMMYFUNCTION("IFS(
  AND(REGEXMATCH(E10840, ""台銀籌備帳戶|玉山帳戶""), REGEXMATCH(C10840, ""薪資"")), ""分潤支出"",
  AND(REGEXMATCH(E10840, ""Ben帳戶|Elsa帳戶|Ben代墊|Ariel代墊|中信銀行共用""), REGEXMATCH(F10840, ""Ben帳戶|Elsa帳戶|Ben代墊|Ariel代墊|中信銀行共用"")), ""內部轉帳(忽略)"",
  AND(E10840&lt;&gt;"""", F10840&lt;&gt;"&amp;""""", NOT(REGEXMATCH(C10840, ""薪資""))), ""內部轉帳(忽略)"",
  REGEXMATCH(C10840, ""薪資""), ""薪資變動(不計入)"",
  REGEXMATCH(C10840, ""押金""), ""押金往來"",
  AND(E10840&lt;&gt;"""", F10840=""""), ""真實支出"",
  AND(E10840="""", F10840&lt;&gt;""""), ""真實收入"",
  TRUE, ""其他""
)"),"其他")</f>
        <v>其他</v>
      </c>
      <c r="K10840" s="270" t="str">
        <f t="shared" si="2"/>
        <v/>
      </c>
      <c r="L10840">
        <f t="shared" si="3"/>
        <v>0</v>
      </c>
    </row>
    <row r="10841">
      <c r="A10841" s="107"/>
      <c r="D10841" s="270"/>
      <c r="H10841" s="106" t="str">
        <f t="shared" si="1"/>
        <v/>
      </c>
      <c r="J10841" t="str">
        <f>IFERROR(__xludf.DUMMYFUNCTION("IFS(
  AND(REGEXMATCH(E10841, ""台銀籌備帳戶|玉山帳戶""), REGEXMATCH(C10841, ""薪資"")), ""分潤支出"",
  AND(REGEXMATCH(E10841, ""Ben帳戶|Elsa帳戶|Ben代墊|Ariel代墊|中信銀行共用""), REGEXMATCH(F10841, ""Ben帳戶|Elsa帳戶|Ben代墊|Ariel代墊|中信銀行共用"")), ""內部轉帳(忽略)"",
  AND(E10841&lt;&gt;"""", F10841&lt;&gt;"&amp;""""", NOT(REGEXMATCH(C10841, ""薪資""))), ""內部轉帳(忽略)"",
  REGEXMATCH(C10841, ""薪資""), ""薪資變動(不計入)"",
  REGEXMATCH(C10841, ""押金""), ""押金往來"",
  AND(E10841&lt;&gt;"""", F10841=""""), ""真實支出"",
  AND(E10841="""", F10841&lt;&gt;""""), ""真實收入"",
  TRUE, ""其他""
)"),"其他")</f>
        <v>其他</v>
      </c>
      <c r="K10841" s="270" t="str">
        <f t="shared" si="2"/>
        <v/>
      </c>
      <c r="L10841">
        <f t="shared" si="3"/>
        <v>0</v>
      </c>
    </row>
    <row r="10842">
      <c r="A10842" s="107"/>
      <c r="D10842" s="270"/>
      <c r="H10842" s="106" t="str">
        <f t="shared" si="1"/>
        <v/>
      </c>
      <c r="J10842" t="str">
        <f>IFERROR(__xludf.DUMMYFUNCTION("IFS(
  AND(REGEXMATCH(E10842, ""台銀籌備帳戶|玉山帳戶""), REGEXMATCH(C10842, ""薪資"")), ""分潤支出"",
  AND(REGEXMATCH(E10842, ""Ben帳戶|Elsa帳戶|Ben代墊|Ariel代墊|中信銀行共用""), REGEXMATCH(F10842, ""Ben帳戶|Elsa帳戶|Ben代墊|Ariel代墊|中信銀行共用"")), ""內部轉帳(忽略)"",
  AND(E10842&lt;&gt;"""", F10842&lt;&gt;"&amp;""""", NOT(REGEXMATCH(C10842, ""薪資""))), ""內部轉帳(忽略)"",
  REGEXMATCH(C10842, ""薪資""), ""薪資變動(不計入)"",
  REGEXMATCH(C10842, ""押金""), ""押金往來"",
  AND(E10842&lt;&gt;"""", F10842=""""), ""真實支出"",
  AND(E10842="""", F10842&lt;&gt;""""), ""真實收入"",
  TRUE, ""其他""
)"),"其他")</f>
        <v>其他</v>
      </c>
      <c r="K10842" s="270" t="str">
        <f t="shared" si="2"/>
        <v/>
      </c>
      <c r="L10842">
        <f t="shared" si="3"/>
        <v>0</v>
      </c>
    </row>
    <row r="10843">
      <c r="A10843" s="107"/>
      <c r="D10843" s="270"/>
      <c r="H10843" s="106" t="str">
        <f t="shared" si="1"/>
        <v/>
      </c>
      <c r="J10843" t="str">
        <f>IFERROR(__xludf.DUMMYFUNCTION("IFS(
  AND(REGEXMATCH(E10843, ""台銀籌備帳戶|玉山帳戶""), REGEXMATCH(C10843, ""薪資"")), ""分潤支出"",
  AND(REGEXMATCH(E10843, ""Ben帳戶|Elsa帳戶|Ben代墊|Ariel代墊|中信銀行共用""), REGEXMATCH(F10843, ""Ben帳戶|Elsa帳戶|Ben代墊|Ariel代墊|中信銀行共用"")), ""內部轉帳(忽略)"",
  AND(E10843&lt;&gt;"""", F10843&lt;&gt;"&amp;""""", NOT(REGEXMATCH(C10843, ""薪資""))), ""內部轉帳(忽略)"",
  REGEXMATCH(C10843, ""薪資""), ""薪資變動(不計入)"",
  REGEXMATCH(C10843, ""押金""), ""押金往來"",
  AND(E10843&lt;&gt;"""", F10843=""""), ""真實支出"",
  AND(E10843="""", F10843&lt;&gt;""""), ""真實收入"",
  TRUE, ""其他""
)"),"其他")</f>
        <v>其他</v>
      </c>
      <c r="K10843" s="270" t="str">
        <f t="shared" si="2"/>
        <v/>
      </c>
      <c r="L10843">
        <f t="shared" si="3"/>
        <v>0</v>
      </c>
    </row>
    <row r="10844">
      <c r="A10844" s="107"/>
      <c r="D10844" s="270"/>
      <c r="H10844" s="106" t="str">
        <f t="shared" si="1"/>
        <v/>
      </c>
      <c r="J10844" t="str">
        <f>IFERROR(__xludf.DUMMYFUNCTION("IFS(
  AND(REGEXMATCH(E10844, ""台銀籌備帳戶|玉山帳戶""), REGEXMATCH(C10844, ""薪資"")), ""分潤支出"",
  AND(REGEXMATCH(E10844, ""Ben帳戶|Elsa帳戶|Ben代墊|Ariel代墊|中信銀行共用""), REGEXMATCH(F10844, ""Ben帳戶|Elsa帳戶|Ben代墊|Ariel代墊|中信銀行共用"")), ""內部轉帳(忽略)"",
  AND(E10844&lt;&gt;"""", F10844&lt;&gt;"&amp;""""", NOT(REGEXMATCH(C10844, ""薪資""))), ""內部轉帳(忽略)"",
  REGEXMATCH(C10844, ""薪資""), ""薪資變動(不計入)"",
  REGEXMATCH(C10844, ""押金""), ""押金往來"",
  AND(E10844&lt;&gt;"""", F10844=""""), ""真實支出"",
  AND(E10844="""", F10844&lt;&gt;""""), ""真實收入"",
  TRUE, ""其他""
)"),"其他")</f>
        <v>其他</v>
      </c>
      <c r="K10844" s="270" t="str">
        <f t="shared" si="2"/>
        <v/>
      </c>
      <c r="L10844">
        <f t="shared" si="3"/>
        <v>0</v>
      </c>
    </row>
    <row r="10845">
      <c r="A10845" s="107"/>
      <c r="D10845" s="270"/>
      <c r="H10845" s="106" t="str">
        <f t="shared" si="1"/>
        <v/>
      </c>
      <c r="J10845" t="str">
        <f>IFERROR(__xludf.DUMMYFUNCTION("IFS(
  AND(REGEXMATCH(E10845, ""台銀籌備帳戶|玉山帳戶""), REGEXMATCH(C10845, ""薪資"")), ""分潤支出"",
  AND(REGEXMATCH(E10845, ""Ben帳戶|Elsa帳戶|Ben代墊|Ariel代墊|中信銀行共用""), REGEXMATCH(F10845, ""Ben帳戶|Elsa帳戶|Ben代墊|Ariel代墊|中信銀行共用"")), ""內部轉帳(忽略)"",
  AND(E10845&lt;&gt;"""", F10845&lt;&gt;"&amp;""""", NOT(REGEXMATCH(C10845, ""薪資""))), ""內部轉帳(忽略)"",
  REGEXMATCH(C10845, ""薪資""), ""薪資變動(不計入)"",
  REGEXMATCH(C10845, ""押金""), ""押金往來"",
  AND(E10845&lt;&gt;"""", F10845=""""), ""真實支出"",
  AND(E10845="""", F10845&lt;&gt;""""), ""真實收入"",
  TRUE, ""其他""
)"),"其他")</f>
        <v>其他</v>
      </c>
      <c r="K10845" s="270" t="str">
        <f t="shared" si="2"/>
        <v/>
      </c>
      <c r="L10845">
        <f t="shared" si="3"/>
        <v>0</v>
      </c>
    </row>
    <row r="10846">
      <c r="A10846" s="107"/>
      <c r="D10846" s="270"/>
      <c r="H10846" s="106" t="str">
        <f t="shared" si="1"/>
        <v/>
      </c>
      <c r="J10846" t="str">
        <f>IFERROR(__xludf.DUMMYFUNCTION("IFS(
  AND(REGEXMATCH(E10846, ""台銀籌備帳戶|玉山帳戶""), REGEXMATCH(C10846, ""薪資"")), ""分潤支出"",
  AND(REGEXMATCH(E10846, ""Ben帳戶|Elsa帳戶|Ben代墊|Ariel代墊|中信銀行共用""), REGEXMATCH(F10846, ""Ben帳戶|Elsa帳戶|Ben代墊|Ariel代墊|中信銀行共用"")), ""內部轉帳(忽略)"",
  AND(E10846&lt;&gt;"""", F10846&lt;&gt;"&amp;""""", NOT(REGEXMATCH(C10846, ""薪資""))), ""內部轉帳(忽略)"",
  REGEXMATCH(C10846, ""薪資""), ""薪資變動(不計入)"",
  REGEXMATCH(C10846, ""押金""), ""押金往來"",
  AND(E10846&lt;&gt;"""", F10846=""""), ""真實支出"",
  AND(E10846="""", F10846&lt;&gt;""""), ""真實收入"",
  TRUE, ""其他""
)"),"其他")</f>
        <v>其他</v>
      </c>
      <c r="K10846" s="270" t="str">
        <f t="shared" si="2"/>
        <v/>
      </c>
      <c r="L10846">
        <f t="shared" si="3"/>
        <v>0</v>
      </c>
    </row>
    <row r="10847">
      <c r="A10847" s="107"/>
      <c r="D10847" s="270"/>
      <c r="H10847" s="106" t="str">
        <f t="shared" si="1"/>
        <v/>
      </c>
      <c r="J10847" t="str">
        <f>IFERROR(__xludf.DUMMYFUNCTION("IFS(
  AND(REGEXMATCH(E10847, ""台銀籌備帳戶|玉山帳戶""), REGEXMATCH(C10847, ""薪資"")), ""分潤支出"",
  AND(REGEXMATCH(E10847, ""Ben帳戶|Elsa帳戶|Ben代墊|Ariel代墊|中信銀行共用""), REGEXMATCH(F10847, ""Ben帳戶|Elsa帳戶|Ben代墊|Ariel代墊|中信銀行共用"")), ""內部轉帳(忽略)"",
  AND(E10847&lt;&gt;"""", F10847&lt;&gt;"&amp;""""", NOT(REGEXMATCH(C10847, ""薪資""))), ""內部轉帳(忽略)"",
  REGEXMATCH(C10847, ""薪資""), ""薪資變動(不計入)"",
  REGEXMATCH(C10847, ""押金""), ""押金往來"",
  AND(E10847&lt;&gt;"""", F10847=""""), ""真實支出"",
  AND(E10847="""", F10847&lt;&gt;""""), ""真實收入"",
  TRUE, ""其他""
)"),"其他")</f>
        <v>其他</v>
      </c>
      <c r="K10847" s="270" t="str">
        <f t="shared" si="2"/>
        <v/>
      </c>
      <c r="L10847">
        <f t="shared" si="3"/>
        <v>0</v>
      </c>
    </row>
    <row r="10848">
      <c r="A10848" s="107"/>
      <c r="D10848" s="270"/>
      <c r="H10848" s="106" t="str">
        <f t="shared" si="1"/>
        <v/>
      </c>
      <c r="J10848" t="str">
        <f>IFERROR(__xludf.DUMMYFUNCTION("IFS(
  AND(REGEXMATCH(E10848, ""台銀籌備帳戶|玉山帳戶""), REGEXMATCH(C10848, ""薪資"")), ""分潤支出"",
  AND(REGEXMATCH(E10848, ""Ben帳戶|Elsa帳戶|Ben代墊|Ariel代墊|中信銀行共用""), REGEXMATCH(F10848, ""Ben帳戶|Elsa帳戶|Ben代墊|Ariel代墊|中信銀行共用"")), ""內部轉帳(忽略)"",
  AND(E10848&lt;&gt;"""", F10848&lt;&gt;"&amp;""""", NOT(REGEXMATCH(C10848, ""薪資""))), ""內部轉帳(忽略)"",
  REGEXMATCH(C10848, ""薪資""), ""薪資變動(不計入)"",
  REGEXMATCH(C10848, ""押金""), ""押金往來"",
  AND(E10848&lt;&gt;"""", F10848=""""), ""真實支出"",
  AND(E10848="""", F10848&lt;&gt;""""), ""真實收入"",
  TRUE, ""其他""
)"),"其他")</f>
        <v>其他</v>
      </c>
      <c r="K10848" s="270" t="str">
        <f t="shared" si="2"/>
        <v/>
      </c>
      <c r="L10848">
        <f t="shared" si="3"/>
        <v>0</v>
      </c>
    </row>
    <row r="10849">
      <c r="A10849" s="107"/>
      <c r="D10849" s="270"/>
      <c r="H10849" s="106" t="str">
        <f t="shared" si="1"/>
        <v/>
      </c>
      <c r="J10849" t="str">
        <f>IFERROR(__xludf.DUMMYFUNCTION("IFS(
  AND(REGEXMATCH(E10849, ""台銀籌備帳戶|玉山帳戶""), REGEXMATCH(C10849, ""薪資"")), ""分潤支出"",
  AND(REGEXMATCH(E10849, ""Ben帳戶|Elsa帳戶|Ben代墊|Ariel代墊|中信銀行共用""), REGEXMATCH(F10849, ""Ben帳戶|Elsa帳戶|Ben代墊|Ariel代墊|中信銀行共用"")), ""內部轉帳(忽略)"",
  AND(E10849&lt;&gt;"""", F10849&lt;&gt;"&amp;""""", NOT(REGEXMATCH(C10849, ""薪資""))), ""內部轉帳(忽略)"",
  REGEXMATCH(C10849, ""薪資""), ""薪資變動(不計入)"",
  REGEXMATCH(C10849, ""押金""), ""押金往來"",
  AND(E10849&lt;&gt;"""", F10849=""""), ""真實支出"",
  AND(E10849="""", F10849&lt;&gt;""""), ""真實收入"",
  TRUE, ""其他""
)"),"其他")</f>
        <v>其他</v>
      </c>
      <c r="K10849" s="270" t="str">
        <f t="shared" si="2"/>
        <v/>
      </c>
      <c r="L10849">
        <f t="shared" si="3"/>
        <v>0</v>
      </c>
    </row>
    <row r="10850">
      <c r="A10850" s="107"/>
      <c r="D10850" s="270"/>
      <c r="H10850" s="106" t="str">
        <f t="shared" si="1"/>
        <v/>
      </c>
      <c r="J10850" t="str">
        <f>IFERROR(__xludf.DUMMYFUNCTION("IFS(
  AND(REGEXMATCH(E10850, ""台銀籌備帳戶|玉山帳戶""), REGEXMATCH(C10850, ""薪資"")), ""分潤支出"",
  AND(REGEXMATCH(E10850, ""Ben帳戶|Elsa帳戶|Ben代墊|Ariel代墊|中信銀行共用""), REGEXMATCH(F10850, ""Ben帳戶|Elsa帳戶|Ben代墊|Ariel代墊|中信銀行共用"")), ""內部轉帳(忽略)"",
  AND(E10850&lt;&gt;"""", F10850&lt;&gt;"&amp;""""", NOT(REGEXMATCH(C10850, ""薪資""))), ""內部轉帳(忽略)"",
  REGEXMATCH(C10850, ""薪資""), ""薪資變動(不計入)"",
  REGEXMATCH(C10850, ""押金""), ""押金往來"",
  AND(E10850&lt;&gt;"""", F10850=""""), ""真實支出"",
  AND(E10850="""", F10850&lt;&gt;""""), ""真實收入"",
  TRUE, ""其他""
)"),"其他")</f>
        <v>其他</v>
      </c>
      <c r="K10850" s="270" t="str">
        <f t="shared" si="2"/>
        <v/>
      </c>
      <c r="L10850">
        <f t="shared" si="3"/>
        <v>0</v>
      </c>
    </row>
    <row r="10851">
      <c r="A10851" s="107"/>
      <c r="D10851" s="270"/>
      <c r="H10851" s="106" t="str">
        <f t="shared" si="1"/>
        <v/>
      </c>
      <c r="J10851" t="str">
        <f>IFERROR(__xludf.DUMMYFUNCTION("IFS(
  AND(REGEXMATCH(E10851, ""台銀籌備帳戶|玉山帳戶""), REGEXMATCH(C10851, ""薪資"")), ""分潤支出"",
  AND(REGEXMATCH(E10851, ""Ben帳戶|Elsa帳戶|Ben代墊|Ariel代墊|中信銀行共用""), REGEXMATCH(F10851, ""Ben帳戶|Elsa帳戶|Ben代墊|Ariel代墊|中信銀行共用"")), ""內部轉帳(忽略)"",
  AND(E10851&lt;&gt;"""", F10851&lt;&gt;"&amp;""""", NOT(REGEXMATCH(C10851, ""薪資""))), ""內部轉帳(忽略)"",
  REGEXMATCH(C10851, ""薪資""), ""薪資變動(不計入)"",
  REGEXMATCH(C10851, ""押金""), ""押金往來"",
  AND(E10851&lt;&gt;"""", F10851=""""), ""真實支出"",
  AND(E10851="""", F10851&lt;&gt;""""), ""真實收入"",
  TRUE, ""其他""
)"),"其他")</f>
        <v>其他</v>
      </c>
      <c r="K10851" s="270" t="str">
        <f t="shared" si="2"/>
        <v/>
      </c>
      <c r="L10851">
        <f t="shared" si="3"/>
        <v>0</v>
      </c>
    </row>
    <row r="10852">
      <c r="A10852" s="107"/>
      <c r="D10852" s="270"/>
      <c r="H10852" s="106" t="str">
        <f t="shared" si="1"/>
        <v/>
      </c>
      <c r="J10852" t="str">
        <f>IFERROR(__xludf.DUMMYFUNCTION("IFS(
  AND(REGEXMATCH(E10852, ""台銀籌備帳戶|玉山帳戶""), REGEXMATCH(C10852, ""薪資"")), ""分潤支出"",
  AND(REGEXMATCH(E10852, ""Ben帳戶|Elsa帳戶|Ben代墊|Ariel代墊|中信銀行共用""), REGEXMATCH(F10852, ""Ben帳戶|Elsa帳戶|Ben代墊|Ariel代墊|中信銀行共用"")), ""內部轉帳(忽略)"",
  AND(E10852&lt;&gt;"""", F10852&lt;&gt;"&amp;""""", NOT(REGEXMATCH(C10852, ""薪資""))), ""內部轉帳(忽略)"",
  REGEXMATCH(C10852, ""薪資""), ""薪資變動(不計入)"",
  REGEXMATCH(C10852, ""押金""), ""押金往來"",
  AND(E10852&lt;&gt;"""", F10852=""""), ""真實支出"",
  AND(E10852="""", F10852&lt;&gt;""""), ""真實收入"",
  TRUE, ""其他""
)"),"其他")</f>
        <v>其他</v>
      </c>
      <c r="K10852" s="270" t="str">
        <f t="shared" si="2"/>
        <v/>
      </c>
      <c r="L10852">
        <f t="shared" si="3"/>
        <v>0</v>
      </c>
    </row>
    <row r="10853">
      <c r="A10853" s="107"/>
      <c r="D10853" s="270"/>
      <c r="H10853" s="106" t="str">
        <f t="shared" si="1"/>
        <v/>
      </c>
      <c r="J10853" t="str">
        <f>IFERROR(__xludf.DUMMYFUNCTION("IFS(
  AND(REGEXMATCH(E10853, ""台銀籌備帳戶|玉山帳戶""), REGEXMATCH(C10853, ""薪資"")), ""分潤支出"",
  AND(REGEXMATCH(E10853, ""Ben帳戶|Elsa帳戶|Ben代墊|Ariel代墊|中信銀行共用""), REGEXMATCH(F10853, ""Ben帳戶|Elsa帳戶|Ben代墊|Ariel代墊|中信銀行共用"")), ""內部轉帳(忽略)"",
  AND(E10853&lt;&gt;"""", F10853&lt;&gt;"&amp;""""", NOT(REGEXMATCH(C10853, ""薪資""))), ""內部轉帳(忽略)"",
  REGEXMATCH(C10853, ""薪資""), ""薪資變動(不計入)"",
  REGEXMATCH(C10853, ""押金""), ""押金往來"",
  AND(E10853&lt;&gt;"""", F10853=""""), ""真實支出"",
  AND(E10853="""", F10853&lt;&gt;""""), ""真實收入"",
  TRUE, ""其他""
)"),"其他")</f>
        <v>其他</v>
      </c>
      <c r="K10853" s="270" t="str">
        <f t="shared" si="2"/>
        <v/>
      </c>
      <c r="L10853">
        <f t="shared" si="3"/>
        <v>0</v>
      </c>
    </row>
    <row r="10854">
      <c r="A10854" s="107"/>
      <c r="D10854" s="270"/>
      <c r="H10854" s="106" t="str">
        <f t="shared" si="1"/>
        <v/>
      </c>
      <c r="J10854" t="str">
        <f>IFERROR(__xludf.DUMMYFUNCTION("IFS(
  AND(REGEXMATCH(E10854, ""台銀籌備帳戶|玉山帳戶""), REGEXMATCH(C10854, ""薪資"")), ""分潤支出"",
  AND(REGEXMATCH(E10854, ""Ben帳戶|Elsa帳戶|Ben代墊|Ariel代墊|中信銀行共用""), REGEXMATCH(F10854, ""Ben帳戶|Elsa帳戶|Ben代墊|Ariel代墊|中信銀行共用"")), ""內部轉帳(忽略)"",
  AND(E10854&lt;&gt;"""", F10854&lt;&gt;"&amp;""""", NOT(REGEXMATCH(C10854, ""薪資""))), ""內部轉帳(忽略)"",
  REGEXMATCH(C10854, ""薪資""), ""薪資變動(不計入)"",
  REGEXMATCH(C10854, ""押金""), ""押金往來"",
  AND(E10854&lt;&gt;"""", F10854=""""), ""真實支出"",
  AND(E10854="""", F10854&lt;&gt;""""), ""真實收入"",
  TRUE, ""其他""
)"),"其他")</f>
        <v>其他</v>
      </c>
      <c r="K10854" s="270" t="str">
        <f t="shared" si="2"/>
        <v/>
      </c>
      <c r="L10854">
        <f t="shared" si="3"/>
        <v>0</v>
      </c>
    </row>
    <row r="10855">
      <c r="A10855" s="107"/>
      <c r="D10855" s="270"/>
      <c r="H10855" s="106" t="str">
        <f t="shared" si="1"/>
        <v/>
      </c>
      <c r="J10855" t="str">
        <f>IFERROR(__xludf.DUMMYFUNCTION("IFS(
  AND(REGEXMATCH(E10855, ""台銀籌備帳戶|玉山帳戶""), REGEXMATCH(C10855, ""薪資"")), ""分潤支出"",
  AND(REGEXMATCH(E10855, ""Ben帳戶|Elsa帳戶|Ben代墊|Ariel代墊|中信銀行共用""), REGEXMATCH(F10855, ""Ben帳戶|Elsa帳戶|Ben代墊|Ariel代墊|中信銀行共用"")), ""內部轉帳(忽略)"",
  AND(E10855&lt;&gt;"""", F10855&lt;&gt;"&amp;""""", NOT(REGEXMATCH(C10855, ""薪資""))), ""內部轉帳(忽略)"",
  REGEXMATCH(C10855, ""薪資""), ""薪資變動(不計入)"",
  REGEXMATCH(C10855, ""押金""), ""押金往來"",
  AND(E10855&lt;&gt;"""", F10855=""""), ""真實支出"",
  AND(E10855="""", F10855&lt;&gt;""""), ""真實收入"",
  TRUE, ""其他""
)"),"其他")</f>
        <v>其他</v>
      </c>
      <c r="K10855" s="270" t="str">
        <f t="shared" si="2"/>
        <v/>
      </c>
      <c r="L10855">
        <f t="shared" si="3"/>
        <v>0</v>
      </c>
    </row>
    <row r="10856">
      <c r="A10856" s="107"/>
      <c r="D10856" s="270"/>
      <c r="H10856" s="106" t="str">
        <f t="shared" si="1"/>
        <v/>
      </c>
      <c r="J10856" t="str">
        <f>IFERROR(__xludf.DUMMYFUNCTION("IFS(
  AND(REGEXMATCH(E10856, ""台銀籌備帳戶|玉山帳戶""), REGEXMATCH(C10856, ""薪資"")), ""分潤支出"",
  AND(REGEXMATCH(E10856, ""Ben帳戶|Elsa帳戶|Ben代墊|Ariel代墊|中信銀行共用""), REGEXMATCH(F10856, ""Ben帳戶|Elsa帳戶|Ben代墊|Ariel代墊|中信銀行共用"")), ""內部轉帳(忽略)"",
  AND(E10856&lt;&gt;"""", F10856&lt;&gt;"&amp;""""", NOT(REGEXMATCH(C10856, ""薪資""))), ""內部轉帳(忽略)"",
  REGEXMATCH(C10856, ""薪資""), ""薪資變動(不計入)"",
  REGEXMATCH(C10856, ""押金""), ""押金往來"",
  AND(E10856&lt;&gt;"""", F10856=""""), ""真實支出"",
  AND(E10856="""", F10856&lt;&gt;""""), ""真實收入"",
  TRUE, ""其他""
)"),"其他")</f>
        <v>其他</v>
      </c>
      <c r="K10856" s="270" t="str">
        <f t="shared" si="2"/>
        <v/>
      </c>
      <c r="L10856">
        <f t="shared" si="3"/>
        <v>0</v>
      </c>
    </row>
    <row r="10857">
      <c r="A10857" s="107"/>
      <c r="D10857" s="270"/>
      <c r="H10857" s="106" t="str">
        <f t="shared" si="1"/>
        <v/>
      </c>
      <c r="J10857" t="str">
        <f>IFERROR(__xludf.DUMMYFUNCTION("IFS(
  AND(REGEXMATCH(E10857, ""台銀籌備帳戶|玉山帳戶""), REGEXMATCH(C10857, ""薪資"")), ""分潤支出"",
  AND(REGEXMATCH(E10857, ""Ben帳戶|Elsa帳戶|Ben代墊|Ariel代墊|中信銀行共用""), REGEXMATCH(F10857, ""Ben帳戶|Elsa帳戶|Ben代墊|Ariel代墊|中信銀行共用"")), ""內部轉帳(忽略)"",
  AND(E10857&lt;&gt;"""", F10857&lt;&gt;"&amp;""""", NOT(REGEXMATCH(C10857, ""薪資""))), ""內部轉帳(忽略)"",
  REGEXMATCH(C10857, ""薪資""), ""薪資變動(不計入)"",
  REGEXMATCH(C10857, ""押金""), ""押金往來"",
  AND(E10857&lt;&gt;"""", F10857=""""), ""真實支出"",
  AND(E10857="""", F10857&lt;&gt;""""), ""真實收入"",
  TRUE, ""其他""
)"),"其他")</f>
        <v>其他</v>
      </c>
      <c r="K10857" s="270" t="str">
        <f t="shared" si="2"/>
        <v/>
      </c>
      <c r="L10857">
        <f t="shared" si="3"/>
        <v>0</v>
      </c>
    </row>
    <row r="10858">
      <c r="A10858" s="107"/>
      <c r="D10858" s="270"/>
      <c r="H10858" s="106" t="str">
        <f t="shared" si="1"/>
        <v/>
      </c>
      <c r="J10858" t="str">
        <f>IFERROR(__xludf.DUMMYFUNCTION("IFS(
  AND(REGEXMATCH(E10858, ""台銀籌備帳戶|玉山帳戶""), REGEXMATCH(C10858, ""薪資"")), ""分潤支出"",
  AND(REGEXMATCH(E10858, ""Ben帳戶|Elsa帳戶|Ben代墊|Ariel代墊|中信銀行共用""), REGEXMATCH(F10858, ""Ben帳戶|Elsa帳戶|Ben代墊|Ariel代墊|中信銀行共用"")), ""內部轉帳(忽略)"",
  AND(E10858&lt;&gt;"""", F10858&lt;&gt;"&amp;""""", NOT(REGEXMATCH(C10858, ""薪資""))), ""內部轉帳(忽略)"",
  REGEXMATCH(C10858, ""薪資""), ""薪資變動(不計入)"",
  REGEXMATCH(C10858, ""押金""), ""押金往來"",
  AND(E10858&lt;&gt;"""", F10858=""""), ""真實支出"",
  AND(E10858="""", F10858&lt;&gt;""""), ""真實收入"",
  TRUE, ""其他""
)"),"其他")</f>
        <v>其他</v>
      </c>
      <c r="K10858" s="270" t="str">
        <f t="shared" si="2"/>
        <v/>
      </c>
      <c r="L10858">
        <f t="shared" si="3"/>
        <v>0</v>
      </c>
    </row>
    <row r="10859">
      <c r="A10859" s="107"/>
      <c r="D10859" s="270"/>
      <c r="H10859" s="106" t="str">
        <f t="shared" si="1"/>
        <v/>
      </c>
      <c r="J10859" t="str">
        <f>IFERROR(__xludf.DUMMYFUNCTION("IFS(
  AND(REGEXMATCH(E10859, ""台銀籌備帳戶|玉山帳戶""), REGEXMATCH(C10859, ""薪資"")), ""分潤支出"",
  AND(REGEXMATCH(E10859, ""Ben帳戶|Elsa帳戶|Ben代墊|Ariel代墊|中信銀行共用""), REGEXMATCH(F10859, ""Ben帳戶|Elsa帳戶|Ben代墊|Ariel代墊|中信銀行共用"")), ""內部轉帳(忽略)"",
  AND(E10859&lt;&gt;"""", F10859&lt;&gt;"&amp;""""", NOT(REGEXMATCH(C10859, ""薪資""))), ""內部轉帳(忽略)"",
  REGEXMATCH(C10859, ""薪資""), ""薪資變動(不計入)"",
  REGEXMATCH(C10859, ""押金""), ""押金往來"",
  AND(E10859&lt;&gt;"""", F10859=""""), ""真實支出"",
  AND(E10859="""", F10859&lt;&gt;""""), ""真實收入"",
  TRUE, ""其他""
)"),"其他")</f>
        <v>其他</v>
      </c>
      <c r="K10859" s="270" t="str">
        <f t="shared" si="2"/>
        <v/>
      </c>
      <c r="L10859">
        <f t="shared" si="3"/>
        <v>0</v>
      </c>
    </row>
    <row r="10860">
      <c r="A10860" s="107"/>
      <c r="D10860" s="270"/>
      <c r="H10860" s="106" t="str">
        <f t="shared" si="1"/>
        <v/>
      </c>
      <c r="J10860" t="str">
        <f>IFERROR(__xludf.DUMMYFUNCTION("IFS(
  AND(REGEXMATCH(E10860, ""台銀籌備帳戶|玉山帳戶""), REGEXMATCH(C10860, ""薪資"")), ""分潤支出"",
  AND(REGEXMATCH(E10860, ""Ben帳戶|Elsa帳戶|Ben代墊|Ariel代墊|中信銀行共用""), REGEXMATCH(F10860, ""Ben帳戶|Elsa帳戶|Ben代墊|Ariel代墊|中信銀行共用"")), ""內部轉帳(忽略)"",
  AND(E10860&lt;&gt;"""", F10860&lt;&gt;"&amp;""""", NOT(REGEXMATCH(C10860, ""薪資""))), ""內部轉帳(忽略)"",
  REGEXMATCH(C10860, ""薪資""), ""薪資變動(不計入)"",
  REGEXMATCH(C10860, ""押金""), ""押金往來"",
  AND(E10860&lt;&gt;"""", F10860=""""), ""真實支出"",
  AND(E10860="""", F10860&lt;&gt;""""), ""真實收入"",
  TRUE, ""其他""
)"),"其他")</f>
        <v>其他</v>
      </c>
      <c r="K10860" s="270" t="str">
        <f t="shared" si="2"/>
        <v/>
      </c>
      <c r="L10860">
        <f t="shared" si="3"/>
        <v>0</v>
      </c>
    </row>
    <row r="10861">
      <c r="A10861" s="107"/>
      <c r="D10861" s="270"/>
      <c r="H10861" s="106" t="str">
        <f t="shared" si="1"/>
        <v/>
      </c>
      <c r="J10861" t="str">
        <f>IFERROR(__xludf.DUMMYFUNCTION("IFS(
  AND(REGEXMATCH(E10861, ""台銀籌備帳戶|玉山帳戶""), REGEXMATCH(C10861, ""薪資"")), ""分潤支出"",
  AND(REGEXMATCH(E10861, ""Ben帳戶|Elsa帳戶|Ben代墊|Ariel代墊|中信銀行共用""), REGEXMATCH(F10861, ""Ben帳戶|Elsa帳戶|Ben代墊|Ariel代墊|中信銀行共用"")), ""內部轉帳(忽略)"",
  AND(E10861&lt;&gt;"""", F10861&lt;&gt;"&amp;""""", NOT(REGEXMATCH(C10861, ""薪資""))), ""內部轉帳(忽略)"",
  REGEXMATCH(C10861, ""薪資""), ""薪資變動(不計入)"",
  REGEXMATCH(C10861, ""押金""), ""押金往來"",
  AND(E10861&lt;&gt;"""", F10861=""""), ""真實支出"",
  AND(E10861="""", F10861&lt;&gt;""""), ""真實收入"",
  TRUE, ""其他""
)"),"其他")</f>
        <v>其他</v>
      </c>
      <c r="K10861" s="270" t="str">
        <f t="shared" si="2"/>
        <v/>
      </c>
      <c r="L10861">
        <f t="shared" si="3"/>
        <v>0</v>
      </c>
    </row>
    <row r="10862">
      <c r="A10862" s="107"/>
      <c r="D10862" s="270"/>
      <c r="H10862" s="106" t="str">
        <f t="shared" si="1"/>
        <v/>
      </c>
      <c r="J10862" t="str">
        <f>IFERROR(__xludf.DUMMYFUNCTION("IFS(
  AND(REGEXMATCH(E10862, ""台銀籌備帳戶|玉山帳戶""), REGEXMATCH(C10862, ""薪資"")), ""分潤支出"",
  AND(REGEXMATCH(E10862, ""Ben帳戶|Elsa帳戶|Ben代墊|Ariel代墊|中信銀行共用""), REGEXMATCH(F10862, ""Ben帳戶|Elsa帳戶|Ben代墊|Ariel代墊|中信銀行共用"")), ""內部轉帳(忽略)"",
  AND(E10862&lt;&gt;"""", F10862&lt;&gt;"&amp;""""", NOT(REGEXMATCH(C10862, ""薪資""))), ""內部轉帳(忽略)"",
  REGEXMATCH(C10862, ""薪資""), ""薪資變動(不計入)"",
  REGEXMATCH(C10862, ""押金""), ""押金往來"",
  AND(E10862&lt;&gt;"""", F10862=""""), ""真實支出"",
  AND(E10862="""", F10862&lt;&gt;""""), ""真實收入"",
  TRUE, ""其他""
)"),"其他")</f>
        <v>其他</v>
      </c>
      <c r="K10862" s="270" t="str">
        <f t="shared" si="2"/>
        <v/>
      </c>
      <c r="L10862">
        <f t="shared" si="3"/>
        <v>0</v>
      </c>
    </row>
    <row r="10863">
      <c r="A10863" s="107"/>
      <c r="D10863" s="270"/>
      <c r="H10863" s="106" t="str">
        <f t="shared" si="1"/>
        <v/>
      </c>
      <c r="J10863" t="str">
        <f>IFERROR(__xludf.DUMMYFUNCTION("IFS(
  AND(REGEXMATCH(E10863, ""台銀籌備帳戶|玉山帳戶""), REGEXMATCH(C10863, ""薪資"")), ""分潤支出"",
  AND(REGEXMATCH(E10863, ""Ben帳戶|Elsa帳戶|Ben代墊|Ariel代墊|中信銀行共用""), REGEXMATCH(F10863, ""Ben帳戶|Elsa帳戶|Ben代墊|Ariel代墊|中信銀行共用"")), ""內部轉帳(忽略)"",
  AND(E10863&lt;&gt;"""", F10863&lt;&gt;"&amp;""""", NOT(REGEXMATCH(C10863, ""薪資""))), ""內部轉帳(忽略)"",
  REGEXMATCH(C10863, ""薪資""), ""薪資變動(不計入)"",
  REGEXMATCH(C10863, ""押金""), ""押金往來"",
  AND(E10863&lt;&gt;"""", F10863=""""), ""真實支出"",
  AND(E10863="""", F10863&lt;&gt;""""), ""真實收入"",
  TRUE, ""其他""
)"),"其他")</f>
        <v>其他</v>
      </c>
      <c r="K10863" s="270" t="str">
        <f t="shared" si="2"/>
        <v/>
      </c>
      <c r="L10863">
        <f t="shared" si="3"/>
        <v>0</v>
      </c>
    </row>
    <row r="10864">
      <c r="A10864" s="107"/>
      <c r="D10864" s="270"/>
      <c r="H10864" s="106" t="str">
        <f t="shared" si="1"/>
        <v/>
      </c>
      <c r="J10864" t="str">
        <f>IFERROR(__xludf.DUMMYFUNCTION("IFS(
  AND(REGEXMATCH(E10864, ""台銀籌備帳戶|玉山帳戶""), REGEXMATCH(C10864, ""薪資"")), ""分潤支出"",
  AND(REGEXMATCH(E10864, ""Ben帳戶|Elsa帳戶|Ben代墊|Ariel代墊|中信銀行共用""), REGEXMATCH(F10864, ""Ben帳戶|Elsa帳戶|Ben代墊|Ariel代墊|中信銀行共用"")), ""內部轉帳(忽略)"",
  AND(E10864&lt;&gt;"""", F10864&lt;&gt;"&amp;""""", NOT(REGEXMATCH(C10864, ""薪資""))), ""內部轉帳(忽略)"",
  REGEXMATCH(C10864, ""薪資""), ""薪資變動(不計入)"",
  REGEXMATCH(C10864, ""押金""), ""押金往來"",
  AND(E10864&lt;&gt;"""", F10864=""""), ""真實支出"",
  AND(E10864="""", F10864&lt;&gt;""""), ""真實收入"",
  TRUE, ""其他""
)"),"其他")</f>
        <v>其他</v>
      </c>
      <c r="K10864" s="270" t="str">
        <f t="shared" si="2"/>
        <v/>
      </c>
      <c r="L10864">
        <f t="shared" si="3"/>
        <v>0</v>
      </c>
    </row>
    <row r="10865">
      <c r="A10865" s="107"/>
      <c r="D10865" s="270"/>
      <c r="H10865" s="106" t="str">
        <f t="shared" si="1"/>
        <v/>
      </c>
      <c r="J10865" t="str">
        <f>IFERROR(__xludf.DUMMYFUNCTION("IFS(
  AND(REGEXMATCH(E10865, ""台銀籌備帳戶|玉山帳戶""), REGEXMATCH(C10865, ""薪資"")), ""分潤支出"",
  AND(REGEXMATCH(E10865, ""Ben帳戶|Elsa帳戶|Ben代墊|Ariel代墊|中信銀行共用""), REGEXMATCH(F10865, ""Ben帳戶|Elsa帳戶|Ben代墊|Ariel代墊|中信銀行共用"")), ""內部轉帳(忽略)"",
  AND(E10865&lt;&gt;"""", F10865&lt;&gt;"&amp;""""", NOT(REGEXMATCH(C10865, ""薪資""))), ""內部轉帳(忽略)"",
  REGEXMATCH(C10865, ""薪資""), ""薪資變動(不計入)"",
  REGEXMATCH(C10865, ""押金""), ""押金往來"",
  AND(E10865&lt;&gt;"""", F10865=""""), ""真實支出"",
  AND(E10865="""", F10865&lt;&gt;""""), ""真實收入"",
  TRUE, ""其他""
)"),"其他")</f>
        <v>其他</v>
      </c>
      <c r="K10865" s="270" t="str">
        <f t="shared" si="2"/>
        <v/>
      </c>
      <c r="L10865">
        <f t="shared" si="3"/>
        <v>0</v>
      </c>
    </row>
    <row r="10866">
      <c r="A10866" s="107"/>
      <c r="D10866" s="270"/>
      <c r="H10866" s="106" t="str">
        <f t="shared" si="1"/>
        <v/>
      </c>
      <c r="J10866" t="str">
        <f>IFERROR(__xludf.DUMMYFUNCTION("IFS(
  AND(REGEXMATCH(E10866, ""台銀籌備帳戶|玉山帳戶""), REGEXMATCH(C10866, ""薪資"")), ""分潤支出"",
  AND(REGEXMATCH(E10866, ""Ben帳戶|Elsa帳戶|Ben代墊|Ariel代墊|中信銀行共用""), REGEXMATCH(F10866, ""Ben帳戶|Elsa帳戶|Ben代墊|Ariel代墊|中信銀行共用"")), ""內部轉帳(忽略)"",
  AND(E10866&lt;&gt;"""", F10866&lt;&gt;"&amp;""""", NOT(REGEXMATCH(C10866, ""薪資""))), ""內部轉帳(忽略)"",
  REGEXMATCH(C10866, ""薪資""), ""薪資變動(不計入)"",
  REGEXMATCH(C10866, ""押金""), ""押金往來"",
  AND(E10866&lt;&gt;"""", F10866=""""), ""真實支出"",
  AND(E10866="""", F10866&lt;&gt;""""), ""真實收入"",
  TRUE, ""其他""
)"),"其他")</f>
        <v>其他</v>
      </c>
      <c r="K10866" s="270" t="str">
        <f t="shared" si="2"/>
        <v/>
      </c>
      <c r="L10866">
        <f t="shared" si="3"/>
        <v>0</v>
      </c>
    </row>
    <row r="10867">
      <c r="A10867" s="107"/>
      <c r="D10867" s="270"/>
      <c r="H10867" s="106" t="str">
        <f t="shared" si="1"/>
        <v/>
      </c>
      <c r="J10867" t="str">
        <f>IFERROR(__xludf.DUMMYFUNCTION("IFS(
  AND(REGEXMATCH(E10867, ""台銀籌備帳戶|玉山帳戶""), REGEXMATCH(C10867, ""薪資"")), ""分潤支出"",
  AND(REGEXMATCH(E10867, ""Ben帳戶|Elsa帳戶|Ben代墊|Ariel代墊|中信銀行共用""), REGEXMATCH(F10867, ""Ben帳戶|Elsa帳戶|Ben代墊|Ariel代墊|中信銀行共用"")), ""內部轉帳(忽略)"",
  AND(E10867&lt;&gt;"""", F10867&lt;&gt;"&amp;""""", NOT(REGEXMATCH(C10867, ""薪資""))), ""內部轉帳(忽略)"",
  REGEXMATCH(C10867, ""薪資""), ""薪資變動(不計入)"",
  REGEXMATCH(C10867, ""押金""), ""押金往來"",
  AND(E10867&lt;&gt;"""", F10867=""""), ""真實支出"",
  AND(E10867="""", F10867&lt;&gt;""""), ""真實收入"",
  TRUE, ""其他""
)"),"其他")</f>
        <v>其他</v>
      </c>
      <c r="K10867" s="270" t="str">
        <f t="shared" si="2"/>
        <v/>
      </c>
      <c r="L10867">
        <f t="shared" si="3"/>
        <v>0</v>
      </c>
    </row>
    <row r="10868">
      <c r="A10868" s="107"/>
      <c r="D10868" s="270"/>
      <c r="H10868" s="106" t="str">
        <f t="shared" si="1"/>
        <v/>
      </c>
      <c r="J10868" t="str">
        <f>IFERROR(__xludf.DUMMYFUNCTION("IFS(
  AND(REGEXMATCH(E10868, ""台銀籌備帳戶|玉山帳戶""), REGEXMATCH(C10868, ""薪資"")), ""分潤支出"",
  AND(REGEXMATCH(E10868, ""Ben帳戶|Elsa帳戶|Ben代墊|Ariel代墊|中信銀行共用""), REGEXMATCH(F10868, ""Ben帳戶|Elsa帳戶|Ben代墊|Ariel代墊|中信銀行共用"")), ""內部轉帳(忽略)"",
  AND(E10868&lt;&gt;"""", F10868&lt;&gt;"&amp;""""", NOT(REGEXMATCH(C10868, ""薪資""))), ""內部轉帳(忽略)"",
  REGEXMATCH(C10868, ""薪資""), ""薪資變動(不計入)"",
  REGEXMATCH(C10868, ""押金""), ""押金往來"",
  AND(E10868&lt;&gt;"""", F10868=""""), ""真實支出"",
  AND(E10868="""", F10868&lt;&gt;""""), ""真實收入"",
  TRUE, ""其他""
)"),"其他")</f>
        <v>其他</v>
      </c>
      <c r="K10868" s="270" t="str">
        <f t="shared" si="2"/>
        <v/>
      </c>
      <c r="L10868">
        <f t="shared" si="3"/>
        <v>0</v>
      </c>
    </row>
    <row r="10869">
      <c r="A10869" s="107"/>
      <c r="D10869" s="270"/>
      <c r="H10869" s="106" t="str">
        <f t="shared" si="1"/>
        <v/>
      </c>
      <c r="J10869" t="str">
        <f>IFERROR(__xludf.DUMMYFUNCTION("IFS(
  AND(REGEXMATCH(E10869, ""台銀籌備帳戶|玉山帳戶""), REGEXMATCH(C10869, ""薪資"")), ""分潤支出"",
  AND(REGEXMATCH(E10869, ""Ben帳戶|Elsa帳戶|Ben代墊|Ariel代墊|中信銀行共用""), REGEXMATCH(F10869, ""Ben帳戶|Elsa帳戶|Ben代墊|Ariel代墊|中信銀行共用"")), ""內部轉帳(忽略)"",
  AND(E10869&lt;&gt;"""", F10869&lt;&gt;"&amp;""""", NOT(REGEXMATCH(C10869, ""薪資""))), ""內部轉帳(忽略)"",
  REGEXMATCH(C10869, ""薪資""), ""薪資變動(不計入)"",
  REGEXMATCH(C10869, ""押金""), ""押金往來"",
  AND(E10869&lt;&gt;"""", F10869=""""), ""真實支出"",
  AND(E10869="""", F10869&lt;&gt;""""), ""真實收入"",
  TRUE, ""其他""
)"),"其他")</f>
        <v>其他</v>
      </c>
      <c r="K10869" s="270" t="str">
        <f t="shared" si="2"/>
        <v/>
      </c>
      <c r="L10869">
        <f t="shared" si="3"/>
        <v>0</v>
      </c>
    </row>
    <row r="10870">
      <c r="A10870" s="107"/>
      <c r="D10870" s="270"/>
      <c r="H10870" s="106" t="str">
        <f t="shared" si="1"/>
        <v/>
      </c>
      <c r="J10870" t="str">
        <f>IFERROR(__xludf.DUMMYFUNCTION("IFS(
  AND(REGEXMATCH(E10870, ""台銀籌備帳戶|玉山帳戶""), REGEXMATCH(C10870, ""薪資"")), ""分潤支出"",
  AND(REGEXMATCH(E10870, ""Ben帳戶|Elsa帳戶|Ben代墊|Ariel代墊|中信銀行共用""), REGEXMATCH(F10870, ""Ben帳戶|Elsa帳戶|Ben代墊|Ariel代墊|中信銀行共用"")), ""內部轉帳(忽略)"",
  AND(E10870&lt;&gt;"""", F10870&lt;&gt;"&amp;""""", NOT(REGEXMATCH(C10870, ""薪資""))), ""內部轉帳(忽略)"",
  REGEXMATCH(C10870, ""薪資""), ""薪資變動(不計入)"",
  REGEXMATCH(C10870, ""押金""), ""押金往來"",
  AND(E10870&lt;&gt;"""", F10870=""""), ""真實支出"",
  AND(E10870="""", F10870&lt;&gt;""""), ""真實收入"",
  TRUE, ""其他""
)"),"其他")</f>
        <v>其他</v>
      </c>
      <c r="K10870" s="270" t="str">
        <f t="shared" si="2"/>
        <v/>
      </c>
      <c r="L10870">
        <f t="shared" si="3"/>
        <v>0</v>
      </c>
    </row>
    <row r="10871">
      <c r="A10871" s="107"/>
      <c r="D10871" s="270"/>
      <c r="H10871" s="106" t="str">
        <f t="shared" si="1"/>
        <v/>
      </c>
      <c r="J10871" t="str">
        <f>IFERROR(__xludf.DUMMYFUNCTION("IFS(
  AND(REGEXMATCH(E10871, ""台銀籌備帳戶|玉山帳戶""), REGEXMATCH(C10871, ""薪資"")), ""分潤支出"",
  AND(REGEXMATCH(E10871, ""Ben帳戶|Elsa帳戶|Ben代墊|Ariel代墊|中信銀行共用""), REGEXMATCH(F10871, ""Ben帳戶|Elsa帳戶|Ben代墊|Ariel代墊|中信銀行共用"")), ""內部轉帳(忽略)"",
  AND(E10871&lt;&gt;"""", F10871&lt;&gt;"&amp;""""", NOT(REGEXMATCH(C10871, ""薪資""))), ""內部轉帳(忽略)"",
  REGEXMATCH(C10871, ""薪資""), ""薪資變動(不計入)"",
  REGEXMATCH(C10871, ""押金""), ""押金往來"",
  AND(E10871&lt;&gt;"""", F10871=""""), ""真實支出"",
  AND(E10871="""", F10871&lt;&gt;""""), ""真實收入"",
  TRUE, ""其他""
)"),"其他")</f>
        <v>其他</v>
      </c>
      <c r="K10871" s="270" t="str">
        <f t="shared" si="2"/>
        <v/>
      </c>
      <c r="L10871">
        <f t="shared" si="3"/>
        <v>0</v>
      </c>
    </row>
    <row r="10872">
      <c r="A10872" s="107"/>
      <c r="D10872" s="270"/>
      <c r="H10872" s="106" t="str">
        <f t="shared" si="1"/>
        <v/>
      </c>
      <c r="J10872" t="str">
        <f>IFERROR(__xludf.DUMMYFUNCTION("IFS(
  AND(REGEXMATCH(E10872, ""台銀籌備帳戶|玉山帳戶""), REGEXMATCH(C10872, ""薪資"")), ""分潤支出"",
  AND(REGEXMATCH(E10872, ""Ben帳戶|Elsa帳戶|Ben代墊|Ariel代墊|中信銀行共用""), REGEXMATCH(F10872, ""Ben帳戶|Elsa帳戶|Ben代墊|Ariel代墊|中信銀行共用"")), ""內部轉帳(忽略)"",
  AND(E10872&lt;&gt;"""", F10872&lt;&gt;"&amp;""""", NOT(REGEXMATCH(C10872, ""薪資""))), ""內部轉帳(忽略)"",
  REGEXMATCH(C10872, ""薪資""), ""薪資變動(不計入)"",
  REGEXMATCH(C10872, ""押金""), ""押金往來"",
  AND(E10872&lt;&gt;"""", F10872=""""), ""真實支出"",
  AND(E10872="""", F10872&lt;&gt;""""), ""真實收入"",
  TRUE, ""其他""
)"),"其他")</f>
        <v>其他</v>
      </c>
      <c r="K10872" s="270" t="str">
        <f t="shared" si="2"/>
        <v/>
      </c>
      <c r="L10872">
        <f t="shared" si="3"/>
        <v>0</v>
      </c>
    </row>
    <row r="10873">
      <c r="A10873" s="107"/>
      <c r="D10873" s="270"/>
      <c r="H10873" s="106" t="str">
        <f t="shared" si="1"/>
        <v/>
      </c>
      <c r="J10873" t="str">
        <f>IFERROR(__xludf.DUMMYFUNCTION("IFS(
  AND(REGEXMATCH(E10873, ""台銀籌備帳戶|玉山帳戶""), REGEXMATCH(C10873, ""薪資"")), ""分潤支出"",
  AND(REGEXMATCH(E10873, ""Ben帳戶|Elsa帳戶|Ben代墊|Ariel代墊|中信銀行共用""), REGEXMATCH(F10873, ""Ben帳戶|Elsa帳戶|Ben代墊|Ariel代墊|中信銀行共用"")), ""內部轉帳(忽略)"",
  AND(E10873&lt;&gt;"""", F10873&lt;&gt;"&amp;""""", NOT(REGEXMATCH(C10873, ""薪資""))), ""內部轉帳(忽略)"",
  REGEXMATCH(C10873, ""薪資""), ""薪資變動(不計入)"",
  REGEXMATCH(C10873, ""押金""), ""押金往來"",
  AND(E10873&lt;&gt;"""", F10873=""""), ""真實支出"",
  AND(E10873="""", F10873&lt;&gt;""""), ""真實收入"",
  TRUE, ""其他""
)"),"其他")</f>
        <v>其他</v>
      </c>
      <c r="K10873" s="270" t="str">
        <f t="shared" si="2"/>
        <v/>
      </c>
      <c r="L10873">
        <f t="shared" si="3"/>
        <v>0</v>
      </c>
    </row>
    <row r="10874">
      <c r="A10874" s="107"/>
      <c r="D10874" s="270"/>
      <c r="H10874" s="106" t="str">
        <f t="shared" si="1"/>
        <v/>
      </c>
      <c r="J10874" t="str">
        <f>IFERROR(__xludf.DUMMYFUNCTION("IFS(
  AND(REGEXMATCH(E10874, ""台銀籌備帳戶|玉山帳戶""), REGEXMATCH(C10874, ""薪資"")), ""分潤支出"",
  AND(REGEXMATCH(E10874, ""Ben帳戶|Elsa帳戶|Ben代墊|Ariel代墊|中信銀行共用""), REGEXMATCH(F10874, ""Ben帳戶|Elsa帳戶|Ben代墊|Ariel代墊|中信銀行共用"")), ""內部轉帳(忽略)"",
  AND(E10874&lt;&gt;"""", F10874&lt;&gt;"&amp;""""", NOT(REGEXMATCH(C10874, ""薪資""))), ""內部轉帳(忽略)"",
  REGEXMATCH(C10874, ""薪資""), ""薪資變動(不計入)"",
  REGEXMATCH(C10874, ""押金""), ""押金往來"",
  AND(E10874&lt;&gt;"""", F10874=""""), ""真實支出"",
  AND(E10874="""", F10874&lt;&gt;""""), ""真實收入"",
  TRUE, ""其他""
)"),"其他")</f>
        <v>其他</v>
      </c>
      <c r="K10874" s="270" t="str">
        <f t="shared" si="2"/>
        <v/>
      </c>
      <c r="L10874">
        <f t="shared" si="3"/>
        <v>0</v>
      </c>
    </row>
    <row r="10875">
      <c r="A10875" s="107"/>
      <c r="D10875" s="270"/>
      <c r="H10875" s="106" t="str">
        <f t="shared" si="1"/>
        <v/>
      </c>
      <c r="J10875" t="str">
        <f>IFERROR(__xludf.DUMMYFUNCTION("IFS(
  AND(REGEXMATCH(E10875, ""台銀籌備帳戶|玉山帳戶""), REGEXMATCH(C10875, ""薪資"")), ""分潤支出"",
  AND(REGEXMATCH(E10875, ""Ben帳戶|Elsa帳戶|Ben代墊|Ariel代墊|中信銀行共用""), REGEXMATCH(F10875, ""Ben帳戶|Elsa帳戶|Ben代墊|Ariel代墊|中信銀行共用"")), ""內部轉帳(忽略)"",
  AND(E10875&lt;&gt;"""", F10875&lt;&gt;"&amp;""""", NOT(REGEXMATCH(C10875, ""薪資""))), ""內部轉帳(忽略)"",
  REGEXMATCH(C10875, ""薪資""), ""薪資變動(不計入)"",
  REGEXMATCH(C10875, ""押金""), ""押金往來"",
  AND(E10875&lt;&gt;"""", F10875=""""), ""真實支出"",
  AND(E10875="""", F10875&lt;&gt;""""), ""真實收入"",
  TRUE, ""其他""
)"),"其他")</f>
        <v>其他</v>
      </c>
      <c r="K10875" s="270" t="str">
        <f t="shared" si="2"/>
        <v/>
      </c>
      <c r="L10875">
        <f t="shared" si="3"/>
        <v>0</v>
      </c>
    </row>
    <row r="10876">
      <c r="A10876" s="107"/>
      <c r="D10876" s="270"/>
      <c r="H10876" s="106" t="str">
        <f t="shared" si="1"/>
        <v/>
      </c>
      <c r="J10876" t="str">
        <f>IFERROR(__xludf.DUMMYFUNCTION("IFS(
  AND(REGEXMATCH(E10876, ""台銀籌備帳戶|玉山帳戶""), REGEXMATCH(C10876, ""薪資"")), ""分潤支出"",
  AND(REGEXMATCH(E10876, ""Ben帳戶|Elsa帳戶|Ben代墊|Ariel代墊|中信銀行共用""), REGEXMATCH(F10876, ""Ben帳戶|Elsa帳戶|Ben代墊|Ariel代墊|中信銀行共用"")), ""內部轉帳(忽略)"",
  AND(E10876&lt;&gt;"""", F10876&lt;&gt;"&amp;""""", NOT(REGEXMATCH(C10876, ""薪資""))), ""內部轉帳(忽略)"",
  REGEXMATCH(C10876, ""薪資""), ""薪資變動(不計入)"",
  REGEXMATCH(C10876, ""押金""), ""押金往來"",
  AND(E10876&lt;&gt;"""", F10876=""""), ""真實支出"",
  AND(E10876="""", F10876&lt;&gt;""""), ""真實收入"",
  TRUE, ""其他""
)"),"其他")</f>
        <v>其他</v>
      </c>
      <c r="K10876" s="270" t="str">
        <f t="shared" si="2"/>
        <v/>
      </c>
      <c r="L10876">
        <f t="shared" si="3"/>
        <v>0</v>
      </c>
    </row>
    <row r="10877">
      <c r="A10877" s="107"/>
      <c r="D10877" s="270"/>
      <c r="H10877" s="106" t="str">
        <f t="shared" si="1"/>
        <v/>
      </c>
      <c r="J10877" t="str">
        <f>IFERROR(__xludf.DUMMYFUNCTION("IFS(
  AND(REGEXMATCH(E10877, ""台銀籌備帳戶|玉山帳戶""), REGEXMATCH(C10877, ""薪資"")), ""分潤支出"",
  AND(REGEXMATCH(E10877, ""Ben帳戶|Elsa帳戶|Ben代墊|Ariel代墊|中信銀行共用""), REGEXMATCH(F10877, ""Ben帳戶|Elsa帳戶|Ben代墊|Ariel代墊|中信銀行共用"")), ""內部轉帳(忽略)"",
  AND(E10877&lt;&gt;"""", F10877&lt;&gt;"&amp;""""", NOT(REGEXMATCH(C10877, ""薪資""))), ""內部轉帳(忽略)"",
  REGEXMATCH(C10877, ""薪資""), ""薪資變動(不計入)"",
  REGEXMATCH(C10877, ""押金""), ""押金往來"",
  AND(E10877&lt;&gt;"""", F10877=""""), ""真實支出"",
  AND(E10877="""", F10877&lt;&gt;""""), ""真實收入"",
  TRUE, ""其他""
)"),"其他")</f>
        <v>其他</v>
      </c>
      <c r="K10877" s="270" t="str">
        <f t="shared" si="2"/>
        <v/>
      </c>
      <c r="L10877">
        <f t="shared" si="3"/>
        <v>0</v>
      </c>
    </row>
    <row r="10878">
      <c r="A10878" s="107"/>
      <c r="D10878" s="270"/>
      <c r="H10878" s="106" t="str">
        <f t="shared" si="1"/>
        <v/>
      </c>
      <c r="J10878" t="str">
        <f>IFERROR(__xludf.DUMMYFUNCTION("IFS(
  AND(REGEXMATCH(E10878, ""台銀籌備帳戶|玉山帳戶""), REGEXMATCH(C10878, ""薪資"")), ""分潤支出"",
  AND(REGEXMATCH(E10878, ""Ben帳戶|Elsa帳戶|Ben代墊|Ariel代墊|中信銀行共用""), REGEXMATCH(F10878, ""Ben帳戶|Elsa帳戶|Ben代墊|Ariel代墊|中信銀行共用"")), ""內部轉帳(忽略)"",
  AND(E10878&lt;&gt;"""", F10878&lt;&gt;"&amp;""""", NOT(REGEXMATCH(C10878, ""薪資""))), ""內部轉帳(忽略)"",
  REGEXMATCH(C10878, ""薪資""), ""薪資變動(不計入)"",
  REGEXMATCH(C10878, ""押金""), ""押金往來"",
  AND(E10878&lt;&gt;"""", F10878=""""), ""真實支出"",
  AND(E10878="""", F10878&lt;&gt;""""), ""真實收入"",
  TRUE, ""其他""
)"),"其他")</f>
        <v>其他</v>
      </c>
      <c r="K10878" s="270" t="str">
        <f t="shared" si="2"/>
        <v/>
      </c>
      <c r="L10878">
        <f t="shared" si="3"/>
        <v>0</v>
      </c>
    </row>
    <row r="10879">
      <c r="A10879" s="107"/>
      <c r="D10879" s="270"/>
      <c r="H10879" s="106" t="str">
        <f t="shared" si="1"/>
        <v/>
      </c>
      <c r="J10879" t="str">
        <f>IFERROR(__xludf.DUMMYFUNCTION("IFS(
  AND(REGEXMATCH(E10879, ""台銀籌備帳戶|玉山帳戶""), REGEXMATCH(C10879, ""薪資"")), ""分潤支出"",
  AND(REGEXMATCH(E10879, ""Ben帳戶|Elsa帳戶|Ben代墊|Ariel代墊|中信銀行共用""), REGEXMATCH(F10879, ""Ben帳戶|Elsa帳戶|Ben代墊|Ariel代墊|中信銀行共用"")), ""內部轉帳(忽略)"",
  AND(E10879&lt;&gt;"""", F10879&lt;&gt;"&amp;""""", NOT(REGEXMATCH(C10879, ""薪資""))), ""內部轉帳(忽略)"",
  REGEXMATCH(C10879, ""薪資""), ""薪資變動(不計入)"",
  REGEXMATCH(C10879, ""押金""), ""押金往來"",
  AND(E10879&lt;&gt;"""", F10879=""""), ""真實支出"",
  AND(E10879="""", F10879&lt;&gt;""""), ""真實收入"",
  TRUE, ""其他""
)"),"其他")</f>
        <v>其他</v>
      </c>
      <c r="K10879" s="270" t="str">
        <f t="shared" si="2"/>
        <v/>
      </c>
      <c r="L10879">
        <f t="shared" si="3"/>
        <v>0</v>
      </c>
    </row>
    <row r="10880">
      <c r="A10880" s="107"/>
      <c r="D10880" s="270"/>
      <c r="H10880" s="106" t="str">
        <f t="shared" si="1"/>
        <v/>
      </c>
      <c r="J10880" t="str">
        <f>IFERROR(__xludf.DUMMYFUNCTION("IFS(
  AND(REGEXMATCH(E10880, ""台銀籌備帳戶|玉山帳戶""), REGEXMATCH(C10880, ""薪資"")), ""分潤支出"",
  AND(REGEXMATCH(E10880, ""Ben帳戶|Elsa帳戶|Ben代墊|Ariel代墊|中信銀行共用""), REGEXMATCH(F10880, ""Ben帳戶|Elsa帳戶|Ben代墊|Ariel代墊|中信銀行共用"")), ""內部轉帳(忽略)"",
  AND(E10880&lt;&gt;"""", F10880&lt;&gt;"&amp;""""", NOT(REGEXMATCH(C10880, ""薪資""))), ""內部轉帳(忽略)"",
  REGEXMATCH(C10880, ""薪資""), ""薪資變動(不計入)"",
  REGEXMATCH(C10880, ""押金""), ""押金往來"",
  AND(E10880&lt;&gt;"""", F10880=""""), ""真實支出"",
  AND(E10880="""", F10880&lt;&gt;""""), ""真實收入"",
  TRUE, ""其他""
)"),"其他")</f>
        <v>其他</v>
      </c>
      <c r="K10880" s="270" t="str">
        <f t="shared" si="2"/>
        <v/>
      </c>
      <c r="L10880">
        <f t="shared" si="3"/>
        <v>0</v>
      </c>
    </row>
    <row r="10881">
      <c r="A10881" s="107"/>
      <c r="D10881" s="270"/>
      <c r="H10881" s="106" t="str">
        <f t="shared" si="1"/>
        <v/>
      </c>
      <c r="J10881" t="str">
        <f>IFERROR(__xludf.DUMMYFUNCTION("IFS(
  AND(REGEXMATCH(E10881, ""台銀籌備帳戶|玉山帳戶""), REGEXMATCH(C10881, ""薪資"")), ""分潤支出"",
  AND(REGEXMATCH(E10881, ""Ben帳戶|Elsa帳戶|Ben代墊|Ariel代墊|中信銀行共用""), REGEXMATCH(F10881, ""Ben帳戶|Elsa帳戶|Ben代墊|Ariel代墊|中信銀行共用"")), ""內部轉帳(忽略)"",
  AND(E10881&lt;&gt;"""", F10881&lt;&gt;"&amp;""""", NOT(REGEXMATCH(C10881, ""薪資""))), ""內部轉帳(忽略)"",
  REGEXMATCH(C10881, ""薪資""), ""薪資變動(不計入)"",
  REGEXMATCH(C10881, ""押金""), ""押金往來"",
  AND(E10881&lt;&gt;"""", F10881=""""), ""真實支出"",
  AND(E10881="""", F10881&lt;&gt;""""), ""真實收入"",
  TRUE, ""其他""
)"),"其他")</f>
        <v>其他</v>
      </c>
      <c r="K10881" s="270" t="str">
        <f t="shared" si="2"/>
        <v/>
      </c>
      <c r="L10881">
        <f t="shared" si="3"/>
        <v>0</v>
      </c>
    </row>
    <row r="10882">
      <c r="A10882" s="107"/>
      <c r="D10882" s="270"/>
      <c r="H10882" s="106" t="str">
        <f t="shared" si="1"/>
        <v/>
      </c>
      <c r="J10882" t="str">
        <f>IFERROR(__xludf.DUMMYFUNCTION("IFS(
  AND(REGEXMATCH(E10882, ""台銀籌備帳戶|玉山帳戶""), REGEXMATCH(C10882, ""薪資"")), ""分潤支出"",
  AND(REGEXMATCH(E10882, ""Ben帳戶|Elsa帳戶|Ben代墊|Ariel代墊|中信銀行共用""), REGEXMATCH(F10882, ""Ben帳戶|Elsa帳戶|Ben代墊|Ariel代墊|中信銀行共用"")), ""內部轉帳(忽略)"",
  AND(E10882&lt;&gt;"""", F10882&lt;&gt;"&amp;""""", NOT(REGEXMATCH(C10882, ""薪資""))), ""內部轉帳(忽略)"",
  REGEXMATCH(C10882, ""薪資""), ""薪資變動(不計入)"",
  REGEXMATCH(C10882, ""押金""), ""押金往來"",
  AND(E10882&lt;&gt;"""", F10882=""""), ""真實支出"",
  AND(E10882="""", F10882&lt;&gt;""""), ""真實收入"",
  TRUE, ""其他""
)"),"其他")</f>
        <v>其他</v>
      </c>
      <c r="K10882" s="270" t="str">
        <f t="shared" si="2"/>
        <v/>
      </c>
      <c r="L10882">
        <f t="shared" si="3"/>
        <v>0</v>
      </c>
    </row>
    <row r="10883">
      <c r="A10883" s="107"/>
      <c r="D10883" s="270"/>
      <c r="H10883" s="106" t="str">
        <f t="shared" si="1"/>
        <v/>
      </c>
      <c r="J10883" t="str">
        <f>IFERROR(__xludf.DUMMYFUNCTION("IFS(
  AND(REGEXMATCH(E10883, ""台銀籌備帳戶|玉山帳戶""), REGEXMATCH(C10883, ""薪資"")), ""分潤支出"",
  AND(REGEXMATCH(E10883, ""Ben帳戶|Elsa帳戶|Ben代墊|Ariel代墊|中信銀行共用""), REGEXMATCH(F10883, ""Ben帳戶|Elsa帳戶|Ben代墊|Ariel代墊|中信銀行共用"")), ""內部轉帳(忽略)"",
  AND(E10883&lt;&gt;"""", F10883&lt;&gt;"&amp;""""", NOT(REGEXMATCH(C10883, ""薪資""))), ""內部轉帳(忽略)"",
  REGEXMATCH(C10883, ""薪資""), ""薪資變動(不計入)"",
  REGEXMATCH(C10883, ""押金""), ""押金往來"",
  AND(E10883&lt;&gt;"""", F10883=""""), ""真實支出"",
  AND(E10883="""", F10883&lt;&gt;""""), ""真實收入"",
  TRUE, ""其他""
)"),"其他")</f>
        <v>其他</v>
      </c>
      <c r="K10883" s="270" t="str">
        <f t="shared" si="2"/>
        <v/>
      </c>
      <c r="L10883">
        <f t="shared" si="3"/>
        <v>0</v>
      </c>
    </row>
    <row r="10884">
      <c r="A10884" s="107"/>
      <c r="D10884" s="270"/>
      <c r="H10884" s="106" t="str">
        <f t="shared" si="1"/>
        <v/>
      </c>
      <c r="J10884" t="str">
        <f>IFERROR(__xludf.DUMMYFUNCTION("IFS(
  AND(REGEXMATCH(E10884, ""台銀籌備帳戶|玉山帳戶""), REGEXMATCH(C10884, ""薪資"")), ""分潤支出"",
  AND(REGEXMATCH(E10884, ""Ben帳戶|Elsa帳戶|Ben代墊|Ariel代墊|中信銀行共用""), REGEXMATCH(F10884, ""Ben帳戶|Elsa帳戶|Ben代墊|Ariel代墊|中信銀行共用"")), ""內部轉帳(忽略)"",
  AND(E10884&lt;&gt;"""", F10884&lt;&gt;"&amp;""""", NOT(REGEXMATCH(C10884, ""薪資""))), ""內部轉帳(忽略)"",
  REGEXMATCH(C10884, ""薪資""), ""薪資變動(不計入)"",
  REGEXMATCH(C10884, ""押金""), ""押金往來"",
  AND(E10884&lt;&gt;"""", F10884=""""), ""真實支出"",
  AND(E10884="""", F10884&lt;&gt;""""), ""真實收入"",
  TRUE, ""其他""
)"),"其他")</f>
        <v>其他</v>
      </c>
      <c r="K10884" s="270" t="str">
        <f t="shared" si="2"/>
        <v/>
      </c>
      <c r="L10884">
        <f t="shared" si="3"/>
        <v>0</v>
      </c>
    </row>
    <row r="10885">
      <c r="A10885" s="107"/>
      <c r="D10885" s="270"/>
      <c r="H10885" s="106" t="str">
        <f t="shared" si="1"/>
        <v/>
      </c>
      <c r="J10885" t="str">
        <f>IFERROR(__xludf.DUMMYFUNCTION("IFS(
  AND(REGEXMATCH(E10885, ""台銀籌備帳戶|玉山帳戶""), REGEXMATCH(C10885, ""薪資"")), ""分潤支出"",
  AND(REGEXMATCH(E10885, ""Ben帳戶|Elsa帳戶|Ben代墊|Ariel代墊|中信銀行共用""), REGEXMATCH(F10885, ""Ben帳戶|Elsa帳戶|Ben代墊|Ariel代墊|中信銀行共用"")), ""內部轉帳(忽略)"",
  AND(E10885&lt;&gt;"""", F10885&lt;&gt;"&amp;""""", NOT(REGEXMATCH(C10885, ""薪資""))), ""內部轉帳(忽略)"",
  REGEXMATCH(C10885, ""薪資""), ""薪資變動(不計入)"",
  REGEXMATCH(C10885, ""押金""), ""押金往來"",
  AND(E10885&lt;&gt;"""", F10885=""""), ""真實支出"",
  AND(E10885="""", F10885&lt;&gt;""""), ""真實收入"",
  TRUE, ""其他""
)"),"其他")</f>
        <v>其他</v>
      </c>
      <c r="K10885" s="270" t="str">
        <f t="shared" si="2"/>
        <v/>
      </c>
      <c r="L10885">
        <f t="shared" si="3"/>
        <v>0</v>
      </c>
    </row>
    <row r="10886">
      <c r="A10886" s="107"/>
      <c r="D10886" s="270"/>
      <c r="H10886" s="106" t="str">
        <f t="shared" si="1"/>
        <v/>
      </c>
      <c r="J10886" t="str">
        <f>IFERROR(__xludf.DUMMYFUNCTION("IFS(
  AND(REGEXMATCH(E10886, ""台銀籌備帳戶|玉山帳戶""), REGEXMATCH(C10886, ""薪資"")), ""分潤支出"",
  AND(REGEXMATCH(E10886, ""Ben帳戶|Elsa帳戶|Ben代墊|Ariel代墊|中信銀行共用""), REGEXMATCH(F10886, ""Ben帳戶|Elsa帳戶|Ben代墊|Ariel代墊|中信銀行共用"")), ""內部轉帳(忽略)"",
  AND(E10886&lt;&gt;"""", F10886&lt;&gt;"&amp;""""", NOT(REGEXMATCH(C10886, ""薪資""))), ""內部轉帳(忽略)"",
  REGEXMATCH(C10886, ""薪資""), ""薪資變動(不計入)"",
  REGEXMATCH(C10886, ""押金""), ""押金往來"",
  AND(E10886&lt;&gt;"""", F10886=""""), ""真實支出"",
  AND(E10886="""", F10886&lt;&gt;""""), ""真實收入"",
  TRUE, ""其他""
)"),"其他")</f>
        <v>其他</v>
      </c>
      <c r="K10886" s="270" t="str">
        <f t="shared" si="2"/>
        <v/>
      </c>
      <c r="L10886">
        <f t="shared" si="3"/>
        <v>0</v>
      </c>
    </row>
    <row r="10887">
      <c r="A10887" s="107"/>
      <c r="D10887" s="270"/>
      <c r="H10887" s="106" t="str">
        <f t="shared" si="1"/>
        <v/>
      </c>
      <c r="J10887" t="str">
        <f>IFERROR(__xludf.DUMMYFUNCTION("IFS(
  AND(REGEXMATCH(E10887, ""台銀籌備帳戶|玉山帳戶""), REGEXMATCH(C10887, ""薪資"")), ""分潤支出"",
  AND(REGEXMATCH(E10887, ""Ben帳戶|Elsa帳戶|Ben代墊|Ariel代墊|中信銀行共用""), REGEXMATCH(F10887, ""Ben帳戶|Elsa帳戶|Ben代墊|Ariel代墊|中信銀行共用"")), ""內部轉帳(忽略)"",
  AND(E10887&lt;&gt;"""", F10887&lt;&gt;"&amp;""""", NOT(REGEXMATCH(C10887, ""薪資""))), ""內部轉帳(忽略)"",
  REGEXMATCH(C10887, ""薪資""), ""薪資變動(不計入)"",
  REGEXMATCH(C10887, ""押金""), ""押金往來"",
  AND(E10887&lt;&gt;"""", F10887=""""), ""真實支出"",
  AND(E10887="""", F10887&lt;&gt;""""), ""真實收入"",
  TRUE, ""其他""
)"),"其他")</f>
        <v>其他</v>
      </c>
      <c r="K10887" s="270" t="str">
        <f t="shared" si="2"/>
        <v/>
      </c>
      <c r="L10887">
        <f t="shared" si="3"/>
        <v>0</v>
      </c>
    </row>
    <row r="10888">
      <c r="A10888" s="107"/>
      <c r="D10888" s="270"/>
      <c r="H10888" s="106" t="str">
        <f t="shared" si="1"/>
        <v/>
      </c>
      <c r="J10888" t="str">
        <f>IFERROR(__xludf.DUMMYFUNCTION("IFS(
  AND(REGEXMATCH(E10888, ""台銀籌備帳戶|玉山帳戶""), REGEXMATCH(C10888, ""薪資"")), ""分潤支出"",
  AND(REGEXMATCH(E10888, ""Ben帳戶|Elsa帳戶|Ben代墊|Ariel代墊|中信銀行共用""), REGEXMATCH(F10888, ""Ben帳戶|Elsa帳戶|Ben代墊|Ariel代墊|中信銀行共用"")), ""內部轉帳(忽略)"",
  AND(E10888&lt;&gt;"""", F10888&lt;&gt;"&amp;""""", NOT(REGEXMATCH(C10888, ""薪資""))), ""內部轉帳(忽略)"",
  REGEXMATCH(C10888, ""薪資""), ""薪資變動(不計入)"",
  REGEXMATCH(C10888, ""押金""), ""押金往來"",
  AND(E10888&lt;&gt;"""", F10888=""""), ""真實支出"",
  AND(E10888="""", F10888&lt;&gt;""""), ""真實收入"",
  TRUE, ""其他""
)"),"其他")</f>
        <v>其他</v>
      </c>
      <c r="K10888" s="270" t="str">
        <f t="shared" si="2"/>
        <v/>
      </c>
      <c r="L10888">
        <f t="shared" si="3"/>
        <v>0</v>
      </c>
    </row>
    <row r="10889">
      <c r="A10889" s="107"/>
      <c r="D10889" s="270"/>
      <c r="H10889" s="106" t="str">
        <f t="shared" si="1"/>
        <v/>
      </c>
      <c r="J10889" t="str">
        <f>IFERROR(__xludf.DUMMYFUNCTION("IFS(
  AND(REGEXMATCH(E10889, ""台銀籌備帳戶|玉山帳戶""), REGEXMATCH(C10889, ""薪資"")), ""分潤支出"",
  AND(REGEXMATCH(E10889, ""Ben帳戶|Elsa帳戶|Ben代墊|Ariel代墊|中信銀行共用""), REGEXMATCH(F10889, ""Ben帳戶|Elsa帳戶|Ben代墊|Ariel代墊|中信銀行共用"")), ""內部轉帳(忽略)"",
  AND(E10889&lt;&gt;"""", F10889&lt;&gt;"&amp;""""", NOT(REGEXMATCH(C10889, ""薪資""))), ""內部轉帳(忽略)"",
  REGEXMATCH(C10889, ""薪資""), ""薪資變動(不計入)"",
  REGEXMATCH(C10889, ""押金""), ""押金往來"",
  AND(E10889&lt;&gt;"""", F10889=""""), ""真實支出"",
  AND(E10889="""", F10889&lt;&gt;""""), ""真實收入"",
  TRUE, ""其他""
)"),"其他")</f>
        <v>其他</v>
      </c>
      <c r="K10889" s="270" t="str">
        <f t="shared" si="2"/>
        <v/>
      </c>
      <c r="L10889">
        <f t="shared" si="3"/>
        <v>0</v>
      </c>
    </row>
    <row r="10890">
      <c r="A10890" s="107"/>
      <c r="D10890" s="270"/>
      <c r="H10890" s="106" t="str">
        <f t="shared" si="1"/>
        <v/>
      </c>
      <c r="J10890" t="str">
        <f>IFERROR(__xludf.DUMMYFUNCTION("IFS(
  AND(REGEXMATCH(E10890, ""台銀籌備帳戶|玉山帳戶""), REGEXMATCH(C10890, ""薪資"")), ""分潤支出"",
  AND(REGEXMATCH(E10890, ""Ben帳戶|Elsa帳戶|Ben代墊|Ariel代墊|中信銀行共用""), REGEXMATCH(F10890, ""Ben帳戶|Elsa帳戶|Ben代墊|Ariel代墊|中信銀行共用"")), ""內部轉帳(忽略)"",
  AND(E10890&lt;&gt;"""", F10890&lt;&gt;"&amp;""""", NOT(REGEXMATCH(C10890, ""薪資""))), ""內部轉帳(忽略)"",
  REGEXMATCH(C10890, ""薪資""), ""薪資變動(不計入)"",
  REGEXMATCH(C10890, ""押金""), ""押金往來"",
  AND(E10890&lt;&gt;"""", F10890=""""), ""真實支出"",
  AND(E10890="""", F10890&lt;&gt;""""), ""真實收入"",
  TRUE, ""其他""
)"),"其他")</f>
        <v>其他</v>
      </c>
      <c r="K10890" s="270" t="str">
        <f t="shared" si="2"/>
        <v/>
      </c>
      <c r="L10890">
        <f t="shared" si="3"/>
        <v>0</v>
      </c>
    </row>
    <row r="10891">
      <c r="A10891" s="107"/>
      <c r="D10891" s="270"/>
      <c r="H10891" s="106" t="str">
        <f t="shared" si="1"/>
        <v/>
      </c>
      <c r="J10891" t="str">
        <f>IFERROR(__xludf.DUMMYFUNCTION("IFS(
  AND(REGEXMATCH(E10891, ""台銀籌備帳戶|玉山帳戶""), REGEXMATCH(C10891, ""薪資"")), ""分潤支出"",
  AND(REGEXMATCH(E10891, ""Ben帳戶|Elsa帳戶|Ben代墊|Ariel代墊|中信銀行共用""), REGEXMATCH(F10891, ""Ben帳戶|Elsa帳戶|Ben代墊|Ariel代墊|中信銀行共用"")), ""內部轉帳(忽略)"",
  AND(E10891&lt;&gt;"""", F10891&lt;&gt;"&amp;""""", NOT(REGEXMATCH(C10891, ""薪資""))), ""內部轉帳(忽略)"",
  REGEXMATCH(C10891, ""薪資""), ""薪資變動(不計入)"",
  REGEXMATCH(C10891, ""押金""), ""押金往來"",
  AND(E10891&lt;&gt;"""", F10891=""""), ""真實支出"",
  AND(E10891="""", F10891&lt;&gt;""""), ""真實收入"",
  TRUE, ""其他""
)"),"其他")</f>
        <v>其他</v>
      </c>
      <c r="K10891" s="270" t="str">
        <f t="shared" si="2"/>
        <v/>
      </c>
      <c r="L10891">
        <f t="shared" si="3"/>
        <v>0</v>
      </c>
    </row>
    <row r="10892">
      <c r="A10892" s="107"/>
      <c r="D10892" s="270"/>
      <c r="H10892" s="106" t="str">
        <f t="shared" si="1"/>
        <v/>
      </c>
      <c r="J10892" t="str">
        <f>IFERROR(__xludf.DUMMYFUNCTION("IFS(
  AND(REGEXMATCH(E10892, ""台銀籌備帳戶|玉山帳戶""), REGEXMATCH(C10892, ""薪資"")), ""分潤支出"",
  AND(REGEXMATCH(E10892, ""Ben帳戶|Elsa帳戶|Ben代墊|Ariel代墊|中信銀行共用""), REGEXMATCH(F10892, ""Ben帳戶|Elsa帳戶|Ben代墊|Ariel代墊|中信銀行共用"")), ""內部轉帳(忽略)"",
  AND(E10892&lt;&gt;"""", F10892&lt;&gt;"&amp;""""", NOT(REGEXMATCH(C10892, ""薪資""))), ""內部轉帳(忽略)"",
  REGEXMATCH(C10892, ""薪資""), ""薪資變動(不計入)"",
  REGEXMATCH(C10892, ""押金""), ""押金往來"",
  AND(E10892&lt;&gt;"""", F10892=""""), ""真實支出"",
  AND(E10892="""", F10892&lt;&gt;""""), ""真實收入"",
  TRUE, ""其他""
)"),"其他")</f>
        <v>其他</v>
      </c>
      <c r="K10892" s="270" t="str">
        <f t="shared" si="2"/>
        <v/>
      </c>
      <c r="L10892">
        <f t="shared" si="3"/>
        <v>0</v>
      </c>
    </row>
    <row r="10893">
      <c r="A10893" s="107"/>
      <c r="D10893" s="270"/>
      <c r="H10893" s="106" t="str">
        <f t="shared" si="1"/>
        <v/>
      </c>
      <c r="J10893" t="str">
        <f>IFERROR(__xludf.DUMMYFUNCTION("IFS(
  AND(REGEXMATCH(E10893, ""台銀籌備帳戶|玉山帳戶""), REGEXMATCH(C10893, ""薪資"")), ""分潤支出"",
  AND(REGEXMATCH(E10893, ""Ben帳戶|Elsa帳戶|Ben代墊|Ariel代墊|中信銀行共用""), REGEXMATCH(F10893, ""Ben帳戶|Elsa帳戶|Ben代墊|Ariel代墊|中信銀行共用"")), ""內部轉帳(忽略)"",
  AND(E10893&lt;&gt;"""", F10893&lt;&gt;"&amp;""""", NOT(REGEXMATCH(C10893, ""薪資""))), ""內部轉帳(忽略)"",
  REGEXMATCH(C10893, ""薪資""), ""薪資變動(不計入)"",
  REGEXMATCH(C10893, ""押金""), ""押金往來"",
  AND(E10893&lt;&gt;"""", F10893=""""), ""真實支出"",
  AND(E10893="""", F10893&lt;&gt;""""), ""真實收入"",
  TRUE, ""其他""
)"),"其他")</f>
        <v>其他</v>
      </c>
      <c r="K10893" s="270" t="str">
        <f t="shared" si="2"/>
        <v/>
      </c>
      <c r="L10893">
        <f t="shared" si="3"/>
        <v>0</v>
      </c>
    </row>
    <row r="10894">
      <c r="A10894" s="107"/>
      <c r="D10894" s="270"/>
      <c r="H10894" s="106" t="str">
        <f t="shared" si="1"/>
        <v/>
      </c>
      <c r="J10894" t="str">
        <f>IFERROR(__xludf.DUMMYFUNCTION("IFS(
  AND(REGEXMATCH(E10894, ""台銀籌備帳戶|玉山帳戶""), REGEXMATCH(C10894, ""薪資"")), ""分潤支出"",
  AND(REGEXMATCH(E10894, ""Ben帳戶|Elsa帳戶|Ben代墊|Ariel代墊|中信銀行共用""), REGEXMATCH(F10894, ""Ben帳戶|Elsa帳戶|Ben代墊|Ariel代墊|中信銀行共用"")), ""內部轉帳(忽略)"",
  AND(E10894&lt;&gt;"""", F10894&lt;&gt;"&amp;""""", NOT(REGEXMATCH(C10894, ""薪資""))), ""內部轉帳(忽略)"",
  REGEXMATCH(C10894, ""薪資""), ""薪資變動(不計入)"",
  REGEXMATCH(C10894, ""押金""), ""押金往來"",
  AND(E10894&lt;&gt;"""", F10894=""""), ""真實支出"",
  AND(E10894="""", F10894&lt;&gt;""""), ""真實收入"",
  TRUE, ""其他""
)"),"其他")</f>
        <v>其他</v>
      </c>
      <c r="K10894" s="270" t="str">
        <f t="shared" si="2"/>
        <v/>
      </c>
      <c r="L10894">
        <f t="shared" si="3"/>
        <v>0</v>
      </c>
    </row>
    <row r="10895">
      <c r="A10895" s="107"/>
      <c r="D10895" s="270"/>
      <c r="H10895" s="106" t="str">
        <f t="shared" si="1"/>
        <v/>
      </c>
      <c r="J10895" t="str">
        <f>IFERROR(__xludf.DUMMYFUNCTION("IFS(
  AND(REGEXMATCH(E10895, ""台銀籌備帳戶|玉山帳戶""), REGEXMATCH(C10895, ""薪資"")), ""分潤支出"",
  AND(REGEXMATCH(E10895, ""Ben帳戶|Elsa帳戶|Ben代墊|Ariel代墊|中信銀行共用""), REGEXMATCH(F10895, ""Ben帳戶|Elsa帳戶|Ben代墊|Ariel代墊|中信銀行共用"")), ""內部轉帳(忽略)"",
  AND(E10895&lt;&gt;"""", F10895&lt;&gt;"&amp;""""", NOT(REGEXMATCH(C10895, ""薪資""))), ""內部轉帳(忽略)"",
  REGEXMATCH(C10895, ""薪資""), ""薪資變動(不計入)"",
  REGEXMATCH(C10895, ""押金""), ""押金往來"",
  AND(E10895&lt;&gt;"""", F10895=""""), ""真實支出"",
  AND(E10895="""", F10895&lt;&gt;""""), ""真實收入"",
  TRUE, ""其他""
)"),"其他")</f>
        <v>其他</v>
      </c>
      <c r="K10895" s="270" t="str">
        <f t="shared" si="2"/>
        <v/>
      </c>
      <c r="L10895">
        <f t="shared" si="3"/>
        <v>0</v>
      </c>
    </row>
    <row r="10896">
      <c r="A10896" s="107"/>
      <c r="D10896" s="270"/>
      <c r="H10896" s="106" t="str">
        <f t="shared" si="1"/>
        <v/>
      </c>
      <c r="J10896" t="str">
        <f>IFERROR(__xludf.DUMMYFUNCTION("IFS(
  AND(REGEXMATCH(E10896, ""台銀籌備帳戶|玉山帳戶""), REGEXMATCH(C10896, ""薪資"")), ""分潤支出"",
  AND(REGEXMATCH(E10896, ""Ben帳戶|Elsa帳戶|Ben代墊|Ariel代墊|中信銀行共用""), REGEXMATCH(F10896, ""Ben帳戶|Elsa帳戶|Ben代墊|Ariel代墊|中信銀行共用"")), ""內部轉帳(忽略)"",
  AND(E10896&lt;&gt;"""", F10896&lt;&gt;"&amp;""""", NOT(REGEXMATCH(C10896, ""薪資""))), ""內部轉帳(忽略)"",
  REGEXMATCH(C10896, ""薪資""), ""薪資變動(不計入)"",
  REGEXMATCH(C10896, ""押金""), ""押金往來"",
  AND(E10896&lt;&gt;"""", F10896=""""), ""真實支出"",
  AND(E10896="""", F10896&lt;&gt;""""), ""真實收入"",
  TRUE, ""其他""
)"),"其他")</f>
        <v>其他</v>
      </c>
      <c r="K10896" s="270" t="str">
        <f t="shared" si="2"/>
        <v/>
      </c>
      <c r="L10896">
        <f t="shared" si="3"/>
        <v>0</v>
      </c>
    </row>
    <row r="10897">
      <c r="A10897" s="107"/>
      <c r="D10897" s="270"/>
      <c r="H10897" s="106" t="str">
        <f t="shared" si="1"/>
        <v/>
      </c>
      <c r="J10897" t="str">
        <f>IFERROR(__xludf.DUMMYFUNCTION("IFS(
  AND(REGEXMATCH(E10897, ""台銀籌備帳戶|玉山帳戶""), REGEXMATCH(C10897, ""薪資"")), ""分潤支出"",
  AND(REGEXMATCH(E10897, ""Ben帳戶|Elsa帳戶|Ben代墊|Ariel代墊|中信銀行共用""), REGEXMATCH(F10897, ""Ben帳戶|Elsa帳戶|Ben代墊|Ariel代墊|中信銀行共用"")), ""內部轉帳(忽略)"",
  AND(E10897&lt;&gt;"""", F10897&lt;&gt;"&amp;""""", NOT(REGEXMATCH(C10897, ""薪資""))), ""內部轉帳(忽略)"",
  REGEXMATCH(C10897, ""薪資""), ""薪資變動(不計入)"",
  REGEXMATCH(C10897, ""押金""), ""押金往來"",
  AND(E10897&lt;&gt;"""", F10897=""""), ""真實支出"",
  AND(E10897="""", F10897&lt;&gt;""""), ""真實收入"",
  TRUE, ""其他""
)"),"其他")</f>
        <v>其他</v>
      </c>
      <c r="K10897" s="270" t="str">
        <f t="shared" si="2"/>
        <v/>
      </c>
      <c r="L10897">
        <f t="shared" si="3"/>
        <v>0</v>
      </c>
    </row>
    <row r="10898">
      <c r="A10898" s="107"/>
      <c r="D10898" s="270"/>
      <c r="H10898" s="106" t="str">
        <f t="shared" si="1"/>
        <v/>
      </c>
      <c r="J10898" t="str">
        <f>IFERROR(__xludf.DUMMYFUNCTION("IFS(
  AND(REGEXMATCH(E10898, ""台銀籌備帳戶|玉山帳戶""), REGEXMATCH(C10898, ""薪資"")), ""分潤支出"",
  AND(REGEXMATCH(E10898, ""Ben帳戶|Elsa帳戶|Ben代墊|Ariel代墊|中信銀行共用""), REGEXMATCH(F10898, ""Ben帳戶|Elsa帳戶|Ben代墊|Ariel代墊|中信銀行共用"")), ""內部轉帳(忽略)"",
  AND(E10898&lt;&gt;"""", F10898&lt;&gt;"&amp;""""", NOT(REGEXMATCH(C10898, ""薪資""))), ""內部轉帳(忽略)"",
  REGEXMATCH(C10898, ""薪資""), ""薪資變動(不計入)"",
  REGEXMATCH(C10898, ""押金""), ""押金往來"",
  AND(E10898&lt;&gt;"""", F10898=""""), ""真實支出"",
  AND(E10898="""", F10898&lt;&gt;""""), ""真實收入"",
  TRUE, ""其他""
)"),"其他")</f>
        <v>其他</v>
      </c>
      <c r="K10898" s="270" t="str">
        <f t="shared" si="2"/>
        <v/>
      </c>
      <c r="L10898">
        <f t="shared" si="3"/>
        <v>0</v>
      </c>
    </row>
    <row r="10899">
      <c r="A10899" s="107"/>
      <c r="D10899" s="270"/>
      <c r="H10899" s="106" t="str">
        <f t="shared" si="1"/>
        <v/>
      </c>
      <c r="J10899" t="str">
        <f>IFERROR(__xludf.DUMMYFUNCTION("IFS(
  AND(REGEXMATCH(E10899, ""台銀籌備帳戶|玉山帳戶""), REGEXMATCH(C10899, ""薪資"")), ""分潤支出"",
  AND(REGEXMATCH(E10899, ""Ben帳戶|Elsa帳戶|Ben代墊|Ariel代墊|中信銀行共用""), REGEXMATCH(F10899, ""Ben帳戶|Elsa帳戶|Ben代墊|Ariel代墊|中信銀行共用"")), ""內部轉帳(忽略)"",
  AND(E10899&lt;&gt;"""", F10899&lt;&gt;"&amp;""""", NOT(REGEXMATCH(C10899, ""薪資""))), ""內部轉帳(忽略)"",
  REGEXMATCH(C10899, ""薪資""), ""薪資變動(不計入)"",
  REGEXMATCH(C10899, ""押金""), ""押金往來"",
  AND(E10899&lt;&gt;"""", F10899=""""), ""真實支出"",
  AND(E10899="""", F10899&lt;&gt;""""), ""真實收入"",
  TRUE, ""其他""
)"),"其他")</f>
        <v>其他</v>
      </c>
      <c r="K10899" s="270" t="str">
        <f t="shared" si="2"/>
        <v/>
      </c>
      <c r="L10899">
        <f t="shared" si="3"/>
        <v>0</v>
      </c>
    </row>
    <row r="10900">
      <c r="A10900" s="107"/>
      <c r="D10900" s="270"/>
      <c r="H10900" s="106" t="str">
        <f t="shared" si="1"/>
        <v/>
      </c>
      <c r="J10900" t="str">
        <f>IFERROR(__xludf.DUMMYFUNCTION("IFS(
  AND(REGEXMATCH(E10900, ""台銀籌備帳戶|玉山帳戶""), REGEXMATCH(C10900, ""薪資"")), ""分潤支出"",
  AND(REGEXMATCH(E10900, ""Ben帳戶|Elsa帳戶|Ben代墊|Ariel代墊|中信銀行共用""), REGEXMATCH(F10900, ""Ben帳戶|Elsa帳戶|Ben代墊|Ariel代墊|中信銀行共用"")), ""內部轉帳(忽略)"",
  AND(E10900&lt;&gt;"""", F10900&lt;&gt;"&amp;""""", NOT(REGEXMATCH(C10900, ""薪資""))), ""內部轉帳(忽略)"",
  REGEXMATCH(C10900, ""薪資""), ""薪資變動(不計入)"",
  REGEXMATCH(C10900, ""押金""), ""押金往來"",
  AND(E10900&lt;&gt;"""", F10900=""""), ""真實支出"",
  AND(E10900="""", F10900&lt;&gt;""""), ""真實收入"",
  TRUE, ""其他""
)"),"其他")</f>
        <v>其他</v>
      </c>
      <c r="K10900" s="270" t="str">
        <f t="shared" si="2"/>
        <v/>
      </c>
      <c r="L10900">
        <f t="shared" si="3"/>
        <v>0</v>
      </c>
    </row>
    <row r="10901">
      <c r="A10901" s="107"/>
      <c r="D10901" s="270"/>
      <c r="H10901" s="106" t="str">
        <f t="shared" si="1"/>
        <v/>
      </c>
      <c r="J10901" t="str">
        <f>IFERROR(__xludf.DUMMYFUNCTION("IFS(
  AND(REGEXMATCH(E10901, ""台銀籌備帳戶|玉山帳戶""), REGEXMATCH(C10901, ""薪資"")), ""分潤支出"",
  AND(REGEXMATCH(E10901, ""Ben帳戶|Elsa帳戶|Ben代墊|Ariel代墊|中信銀行共用""), REGEXMATCH(F10901, ""Ben帳戶|Elsa帳戶|Ben代墊|Ariel代墊|中信銀行共用"")), ""內部轉帳(忽略)"",
  AND(E10901&lt;&gt;"""", F10901&lt;&gt;"&amp;""""", NOT(REGEXMATCH(C10901, ""薪資""))), ""內部轉帳(忽略)"",
  REGEXMATCH(C10901, ""薪資""), ""薪資變動(不計入)"",
  REGEXMATCH(C10901, ""押金""), ""押金往來"",
  AND(E10901&lt;&gt;"""", F10901=""""), ""真實支出"",
  AND(E10901="""", F10901&lt;&gt;""""), ""真實收入"",
  TRUE, ""其他""
)"),"其他")</f>
        <v>其他</v>
      </c>
      <c r="K10901" s="270" t="str">
        <f t="shared" si="2"/>
        <v/>
      </c>
      <c r="L10901">
        <f t="shared" si="3"/>
        <v>0</v>
      </c>
    </row>
    <row r="10902">
      <c r="A10902" s="107"/>
      <c r="D10902" s="270"/>
      <c r="H10902" s="106" t="str">
        <f t="shared" si="1"/>
        <v/>
      </c>
      <c r="J10902" t="str">
        <f>IFERROR(__xludf.DUMMYFUNCTION("IFS(
  AND(REGEXMATCH(E10902, ""台銀籌備帳戶|玉山帳戶""), REGEXMATCH(C10902, ""薪資"")), ""分潤支出"",
  AND(REGEXMATCH(E10902, ""Ben帳戶|Elsa帳戶|Ben代墊|Ariel代墊|中信銀行共用""), REGEXMATCH(F10902, ""Ben帳戶|Elsa帳戶|Ben代墊|Ariel代墊|中信銀行共用"")), ""內部轉帳(忽略)"",
  AND(E10902&lt;&gt;"""", F10902&lt;&gt;"&amp;""""", NOT(REGEXMATCH(C10902, ""薪資""))), ""內部轉帳(忽略)"",
  REGEXMATCH(C10902, ""薪資""), ""薪資變動(不計入)"",
  REGEXMATCH(C10902, ""押金""), ""押金往來"",
  AND(E10902&lt;&gt;"""", F10902=""""), ""真實支出"",
  AND(E10902="""", F10902&lt;&gt;""""), ""真實收入"",
  TRUE, ""其他""
)"),"其他")</f>
        <v>其他</v>
      </c>
      <c r="K10902" s="270" t="str">
        <f t="shared" si="2"/>
        <v/>
      </c>
      <c r="L10902">
        <f t="shared" si="3"/>
        <v>0</v>
      </c>
    </row>
    <row r="10903">
      <c r="A10903" s="107"/>
      <c r="D10903" s="270"/>
      <c r="H10903" s="106" t="str">
        <f t="shared" si="1"/>
        <v/>
      </c>
      <c r="J10903" t="str">
        <f>IFERROR(__xludf.DUMMYFUNCTION("IFS(
  AND(REGEXMATCH(E10903, ""台銀籌備帳戶|玉山帳戶""), REGEXMATCH(C10903, ""薪資"")), ""分潤支出"",
  AND(REGEXMATCH(E10903, ""Ben帳戶|Elsa帳戶|Ben代墊|Ariel代墊|中信銀行共用""), REGEXMATCH(F10903, ""Ben帳戶|Elsa帳戶|Ben代墊|Ariel代墊|中信銀行共用"")), ""內部轉帳(忽略)"",
  AND(E10903&lt;&gt;"""", F10903&lt;&gt;"&amp;""""", NOT(REGEXMATCH(C10903, ""薪資""))), ""內部轉帳(忽略)"",
  REGEXMATCH(C10903, ""薪資""), ""薪資變動(不計入)"",
  REGEXMATCH(C10903, ""押金""), ""押金往來"",
  AND(E10903&lt;&gt;"""", F10903=""""), ""真實支出"",
  AND(E10903="""", F10903&lt;&gt;""""), ""真實收入"",
  TRUE, ""其他""
)"),"其他")</f>
        <v>其他</v>
      </c>
      <c r="K10903" s="270" t="str">
        <f t="shared" si="2"/>
        <v/>
      </c>
      <c r="L10903">
        <f t="shared" si="3"/>
        <v>0</v>
      </c>
    </row>
    <row r="10904">
      <c r="A10904" s="107"/>
      <c r="D10904" s="270"/>
      <c r="H10904" s="106" t="str">
        <f t="shared" si="1"/>
        <v/>
      </c>
      <c r="J10904" t="str">
        <f>IFERROR(__xludf.DUMMYFUNCTION("IFS(
  AND(REGEXMATCH(E10904, ""台銀籌備帳戶|玉山帳戶""), REGEXMATCH(C10904, ""薪資"")), ""分潤支出"",
  AND(REGEXMATCH(E10904, ""Ben帳戶|Elsa帳戶|Ben代墊|Ariel代墊|中信銀行共用""), REGEXMATCH(F10904, ""Ben帳戶|Elsa帳戶|Ben代墊|Ariel代墊|中信銀行共用"")), ""內部轉帳(忽略)"",
  AND(E10904&lt;&gt;"""", F10904&lt;&gt;"&amp;""""", NOT(REGEXMATCH(C10904, ""薪資""))), ""內部轉帳(忽略)"",
  REGEXMATCH(C10904, ""薪資""), ""薪資變動(不計入)"",
  REGEXMATCH(C10904, ""押金""), ""押金往來"",
  AND(E10904&lt;&gt;"""", F10904=""""), ""真實支出"",
  AND(E10904="""", F10904&lt;&gt;""""), ""真實收入"",
  TRUE, ""其他""
)"),"其他")</f>
        <v>其他</v>
      </c>
      <c r="K10904" s="270" t="str">
        <f t="shared" si="2"/>
        <v/>
      </c>
      <c r="L10904">
        <f t="shared" si="3"/>
        <v>0</v>
      </c>
    </row>
    <row r="10905">
      <c r="A10905" s="107"/>
      <c r="D10905" s="270"/>
      <c r="H10905" s="106" t="str">
        <f t="shared" si="1"/>
        <v/>
      </c>
      <c r="J10905" t="str">
        <f>IFERROR(__xludf.DUMMYFUNCTION("IFS(
  AND(REGEXMATCH(E10905, ""台銀籌備帳戶|玉山帳戶""), REGEXMATCH(C10905, ""薪資"")), ""分潤支出"",
  AND(REGEXMATCH(E10905, ""Ben帳戶|Elsa帳戶|Ben代墊|Ariel代墊|中信銀行共用""), REGEXMATCH(F10905, ""Ben帳戶|Elsa帳戶|Ben代墊|Ariel代墊|中信銀行共用"")), ""內部轉帳(忽略)"",
  AND(E10905&lt;&gt;"""", F10905&lt;&gt;"&amp;""""", NOT(REGEXMATCH(C10905, ""薪資""))), ""內部轉帳(忽略)"",
  REGEXMATCH(C10905, ""薪資""), ""薪資變動(不計入)"",
  REGEXMATCH(C10905, ""押金""), ""押金往來"",
  AND(E10905&lt;&gt;"""", F10905=""""), ""真實支出"",
  AND(E10905="""", F10905&lt;&gt;""""), ""真實收入"",
  TRUE, ""其他""
)"),"其他")</f>
        <v>其他</v>
      </c>
      <c r="K10905" s="270" t="str">
        <f t="shared" si="2"/>
        <v/>
      </c>
      <c r="L10905">
        <f t="shared" si="3"/>
        <v>0</v>
      </c>
    </row>
    <row r="10906">
      <c r="A10906" s="107"/>
      <c r="D10906" s="270"/>
      <c r="H10906" s="106" t="str">
        <f t="shared" si="1"/>
        <v/>
      </c>
      <c r="J10906" t="str">
        <f>IFERROR(__xludf.DUMMYFUNCTION("IFS(
  AND(REGEXMATCH(E10906, ""台銀籌備帳戶|玉山帳戶""), REGEXMATCH(C10906, ""薪資"")), ""分潤支出"",
  AND(REGEXMATCH(E10906, ""Ben帳戶|Elsa帳戶|Ben代墊|Ariel代墊|中信銀行共用""), REGEXMATCH(F10906, ""Ben帳戶|Elsa帳戶|Ben代墊|Ariel代墊|中信銀行共用"")), ""內部轉帳(忽略)"",
  AND(E10906&lt;&gt;"""", F10906&lt;&gt;"&amp;""""", NOT(REGEXMATCH(C10906, ""薪資""))), ""內部轉帳(忽略)"",
  REGEXMATCH(C10906, ""薪資""), ""薪資變動(不計入)"",
  REGEXMATCH(C10906, ""押金""), ""押金往來"",
  AND(E10906&lt;&gt;"""", F10906=""""), ""真實支出"",
  AND(E10906="""", F10906&lt;&gt;""""), ""真實收入"",
  TRUE, ""其他""
)"),"其他")</f>
        <v>其他</v>
      </c>
      <c r="K10906" s="270" t="str">
        <f t="shared" si="2"/>
        <v/>
      </c>
      <c r="L10906">
        <f t="shared" si="3"/>
        <v>0</v>
      </c>
    </row>
    <row r="10907">
      <c r="A10907" s="107"/>
      <c r="D10907" s="270"/>
      <c r="H10907" s="106" t="str">
        <f t="shared" si="1"/>
        <v/>
      </c>
      <c r="J10907" t="str">
        <f>IFERROR(__xludf.DUMMYFUNCTION("IFS(
  AND(REGEXMATCH(E10907, ""台銀籌備帳戶|玉山帳戶""), REGEXMATCH(C10907, ""薪資"")), ""分潤支出"",
  AND(REGEXMATCH(E10907, ""Ben帳戶|Elsa帳戶|Ben代墊|Ariel代墊|中信銀行共用""), REGEXMATCH(F10907, ""Ben帳戶|Elsa帳戶|Ben代墊|Ariel代墊|中信銀行共用"")), ""內部轉帳(忽略)"",
  AND(E10907&lt;&gt;"""", F10907&lt;&gt;"&amp;""""", NOT(REGEXMATCH(C10907, ""薪資""))), ""內部轉帳(忽略)"",
  REGEXMATCH(C10907, ""薪資""), ""薪資變動(不計入)"",
  REGEXMATCH(C10907, ""押金""), ""押金往來"",
  AND(E10907&lt;&gt;"""", F10907=""""), ""真實支出"",
  AND(E10907="""", F10907&lt;&gt;""""), ""真實收入"",
  TRUE, ""其他""
)"),"其他")</f>
        <v>其他</v>
      </c>
      <c r="K10907" s="270" t="str">
        <f t="shared" si="2"/>
        <v/>
      </c>
      <c r="L10907">
        <f t="shared" si="3"/>
        <v>0</v>
      </c>
    </row>
    <row r="10908">
      <c r="A10908" s="107"/>
      <c r="D10908" s="270"/>
      <c r="H10908" s="106" t="str">
        <f t="shared" si="1"/>
        <v/>
      </c>
      <c r="J10908" t="str">
        <f>IFERROR(__xludf.DUMMYFUNCTION("IFS(
  AND(REGEXMATCH(E10908, ""台銀籌備帳戶|玉山帳戶""), REGEXMATCH(C10908, ""薪資"")), ""分潤支出"",
  AND(REGEXMATCH(E10908, ""Ben帳戶|Elsa帳戶|Ben代墊|Ariel代墊|中信銀行共用""), REGEXMATCH(F10908, ""Ben帳戶|Elsa帳戶|Ben代墊|Ariel代墊|中信銀行共用"")), ""內部轉帳(忽略)"",
  AND(E10908&lt;&gt;"""", F10908&lt;&gt;"&amp;""""", NOT(REGEXMATCH(C10908, ""薪資""))), ""內部轉帳(忽略)"",
  REGEXMATCH(C10908, ""薪資""), ""薪資變動(不計入)"",
  REGEXMATCH(C10908, ""押金""), ""押金往來"",
  AND(E10908&lt;&gt;"""", F10908=""""), ""真實支出"",
  AND(E10908="""", F10908&lt;&gt;""""), ""真實收入"",
  TRUE, ""其他""
)"),"其他")</f>
        <v>其他</v>
      </c>
      <c r="K10908" s="270" t="str">
        <f t="shared" si="2"/>
        <v/>
      </c>
      <c r="L10908">
        <f t="shared" si="3"/>
        <v>0</v>
      </c>
    </row>
    <row r="10909">
      <c r="A10909" s="107"/>
      <c r="D10909" s="270"/>
      <c r="H10909" s="106" t="str">
        <f t="shared" si="1"/>
        <v/>
      </c>
      <c r="J10909" t="str">
        <f>IFERROR(__xludf.DUMMYFUNCTION("IFS(
  AND(REGEXMATCH(E10909, ""台銀籌備帳戶|玉山帳戶""), REGEXMATCH(C10909, ""薪資"")), ""分潤支出"",
  AND(REGEXMATCH(E10909, ""Ben帳戶|Elsa帳戶|Ben代墊|Ariel代墊|中信銀行共用""), REGEXMATCH(F10909, ""Ben帳戶|Elsa帳戶|Ben代墊|Ariel代墊|中信銀行共用"")), ""內部轉帳(忽略)"",
  AND(E10909&lt;&gt;"""", F10909&lt;&gt;"&amp;""""", NOT(REGEXMATCH(C10909, ""薪資""))), ""內部轉帳(忽略)"",
  REGEXMATCH(C10909, ""薪資""), ""薪資變動(不計入)"",
  REGEXMATCH(C10909, ""押金""), ""押金往來"",
  AND(E10909&lt;&gt;"""", F10909=""""), ""真實支出"",
  AND(E10909="""", F10909&lt;&gt;""""), ""真實收入"",
  TRUE, ""其他""
)"),"其他")</f>
        <v>其他</v>
      </c>
      <c r="K10909" s="270" t="str">
        <f t="shared" si="2"/>
        <v/>
      </c>
      <c r="L10909">
        <f t="shared" si="3"/>
        <v>0</v>
      </c>
    </row>
    <row r="10910">
      <c r="A10910" s="107"/>
      <c r="D10910" s="270"/>
      <c r="H10910" s="106" t="str">
        <f t="shared" si="1"/>
        <v/>
      </c>
      <c r="J10910" t="str">
        <f>IFERROR(__xludf.DUMMYFUNCTION("IFS(
  AND(REGEXMATCH(E10910, ""台銀籌備帳戶|玉山帳戶""), REGEXMATCH(C10910, ""薪資"")), ""分潤支出"",
  AND(REGEXMATCH(E10910, ""Ben帳戶|Elsa帳戶|Ben代墊|Ariel代墊|中信銀行共用""), REGEXMATCH(F10910, ""Ben帳戶|Elsa帳戶|Ben代墊|Ariel代墊|中信銀行共用"")), ""內部轉帳(忽略)"",
  AND(E10910&lt;&gt;"""", F10910&lt;&gt;"&amp;""""", NOT(REGEXMATCH(C10910, ""薪資""))), ""內部轉帳(忽略)"",
  REGEXMATCH(C10910, ""薪資""), ""薪資變動(不計入)"",
  REGEXMATCH(C10910, ""押金""), ""押金往來"",
  AND(E10910&lt;&gt;"""", F10910=""""), ""真實支出"",
  AND(E10910="""", F10910&lt;&gt;""""), ""真實收入"",
  TRUE, ""其他""
)"),"其他")</f>
        <v>其他</v>
      </c>
      <c r="K10910" s="270" t="str">
        <f t="shared" si="2"/>
        <v/>
      </c>
      <c r="L10910">
        <f t="shared" si="3"/>
        <v>0</v>
      </c>
    </row>
    <row r="10911">
      <c r="A10911" s="107"/>
      <c r="D10911" s="270"/>
      <c r="H10911" s="106" t="str">
        <f t="shared" si="1"/>
        <v/>
      </c>
      <c r="J10911" t="str">
        <f>IFERROR(__xludf.DUMMYFUNCTION("IFS(
  AND(REGEXMATCH(E10911, ""台銀籌備帳戶|玉山帳戶""), REGEXMATCH(C10911, ""薪資"")), ""分潤支出"",
  AND(REGEXMATCH(E10911, ""Ben帳戶|Elsa帳戶|Ben代墊|Ariel代墊|中信銀行共用""), REGEXMATCH(F10911, ""Ben帳戶|Elsa帳戶|Ben代墊|Ariel代墊|中信銀行共用"")), ""內部轉帳(忽略)"",
  AND(E10911&lt;&gt;"""", F10911&lt;&gt;"&amp;""""", NOT(REGEXMATCH(C10911, ""薪資""))), ""內部轉帳(忽略)"",
  REGEXMATCH(C10911, ""薪資""), ""薪資變動(不計入)"",
  REGEXMATCH(C10911, ""押金""), ""押金往來"",
  AND(E10911&lt;&gt;"""", F10911=""""), ""真實支出"",
  AND(E10911="""", F10911&lt;&gt;""""), ""真實收入"",
  TRUE, ""其他""
)"),"其他")</f>
        <v>其他</v>
      </c>
      <c r="K10911" s="270" t="str">
        <f t="shared" si="2"/>
        <v/>
      </c>
      <c r="L10911">
        <f t="shared" si="3"/>
        <v>0</v>
      </c>
    </row>
    <row r="10912">
      <c r="A10912" s="107"/>
      <c r="D10912" s="270"/>
      <c r="H10912" s="106" t="str">
        <f t="shared" si="1"/>
        <v/>
      </c>
      <c r="J10912" t="str">
        <f>IFERROR(__xludf.DUMMYFUNCTION("IFS(
  AND(REGEXMATCH(E10912, ""台銀籌備帳戶|玉山帳戶""), REGEXMATCH(C10912, ""薪資"")), ""分潤支出"",
  AND(REGEXMATCH(E10912, ""Ben帳戶|Elsa帳戶|Ben代墊|Ariel代墊|中信銀行共用""), REGEXMATCH(F10912, ""Ben帳戶|Elsa帳戶|Ben代墊|Ariel代墊|中信銀行共用"")), ""內部轉帳(忽略)"",
  AND(E10912&lt;&gt;"""", F10912&lt;&gt;"&amp;""""", NOT(REGEXMATCH(C10912, ""薪資""))), ""內部轉帳(忽略)"",
  REGEXMATCH(C10912, ""薪資""), ""薪資變動(不計入)"",
  REGEXMATCH(C10912, ""押金""), ""押金往來"",
  AND(E10912&lt;&gt;"""", F10912=""""), ""真實支出"",
  AND(E10912="""", F10912&lt;&gt;""""), ""真實收入"",
  TRUE, ""其他""
)"),"其他")</f>
        <v>其他</v>
      </c>
      <c r="K10912" s="270" t="str">
        <f t="shared" si="2"/>
        <v/>
      </c>
      <c r="L10912">
        <f t="shared" si="3"/>
        <v>0</v>
      </c>
    </row>
    <row r="10913">
      <c r="A10913" s="107"/>
      <c r="D10913" s="270"/>
      <c r="H10913" s="106" t="str">
        <f t="shared" si="1"/>
        <v/>
      </c>
      <c r="J10913" t="str">
        <f>IFERROR(__xludf.DUMMYFUNCTION("IFS(
  AND(REGEXMATCH(E10913, ""台銀籌備帳戶|玉山帳戶""), REGEXMATCH(C10913, ""薪資"")), ""分潤支出"",
  AND(REGEXMATCH(E10913, ""Ben帳戶|Elsa帳戶|Ben代墊|Ariel代墊|中信銀行共用""), REGEXMATCH(F10913, ""Ben帳戶|Elsa帳戶|Ben代墊|Ariel代墊|中信銀行共用"")), ""內部轉帳(忽略)"",
  AND(E10913&lt;&gt;"""", F10913&lt;&gt;"&amp;""""", NOT(REGEXMATCH(C10913, ""薪資""))), ""內部轉帳(忽略)"",
  REGEXMATCH(C10913, ""薪資""), ""薪資變動(不計入)"",
  REGEXMATCH(C10913, ""押金""), ""押金往來"",
  AND(E10913&lt;&gt;"""", F10913=""""), ""真實支出"",
  AND(E10913="""", F10913&lt;&gt;""""), ""真實收入"",
  TRUE, ""其他""
)"),"其他")</f>
        <v>其他</v>
      </c>
      <c r="K10913" s="270" t="str">
        <f t="shared" si="2"/>
        <v/>
      </c>
      <c r="L10913">
        <f t="shared" si="3"/>
        <v>0</v>
      </c>
    </row>
    <row r="10914">
      <c r="A10914" s="107"/>
      <c r="D10914" s="270"/>
      <c r="H10914" s="106" t="str">
        <f t="shared" si="1"/>
        <v/>
      </c>
      <c r="J10914" t="str">
        <f>IFERROR(__xludf.DUMMYFUNCTION("IFS(
  AND(REGEXMATCH(E10914, ""台銀籌備帳戶|玉山帳戶""), REGEXMATCH(C10914, ""薪資"")), ""分潤支出"",
  AND(REGEXMATCH(E10914, ""Ben帳戶|Elsa帳戶|Ben代墊|Ariel代墊|中信銀行共用""), REGEXMATCH(F10914, ""Ben帳戶|Elsa帳戶|Ben代墊|Ariel代墊|中信銀行共用"")), ""內部轉帳(忽略)"",
  AND(E10914&lt;&gt;"""", F10914&lt;&gt;"&amp;""""", NOT(REGEXMATCH(C10914, ""薪資""))), ""內部轉帳(忽略)"",
  REGEXMATCH(C10914, ""薪資""), ""薪資變動(不計入)"",
  REGEXMATCH(C10914, ""押金""), ""押金往來"",
  AND(E10914&lt;&gt;"""", F10914=""""), ""真實支出"",
  AND(E10914="""", F10914&lt;&gt;""""), ""真實收入"",
  TRUE, ""其他""
)"),"其他")</f>
        <v>其他</v>
      </c>
      <c r="K10914" s="270" t="str">
        <f t="shared" si="2"/>
        <v/>
      </c>
      <c r="L10914">
        <f t="shared" si="3"/>
        <v>0</v>
      </c>
    </row>
    <row r="10915">
      <c r="A10915" s="107"/>
      <c r="D10915" s="270"/>
      <c r="H10915" s="106" t="str">
        <f t="shared" si="1"/>
        <v/>
      </c>
      <c r="J10915" t="str">
        <f>IFERROR(__xludf.DUMMYFUNCTION("IFS(
  AND(REGEXMATCH(E10915, ""台銀籌備帳戶|玉山帳戶""), REGEXMATCH(C10915, ""薪資"")), ""分潤支出"",
  AND(REGEXMATCH(E10915, ""Ben帳戶|Elsa帳戶|Ben代墊|Ariel代墊|中信銀行共用""), REGEXMATCH(F10915, ""Ben帳戶|Elsa帳戶|Ben代墊|Ariel代墊|中信銀行共用"")), ""內部轉帳(忽略)"",
  AND(E10915&lt;&gt;"""", F10915&lt;&gt;"&amp;""""", NOT(REGEXMATCH(C10915, ""薪資""))), ""內部轉帳(忽略)"",
  REGEXMATCH(C10915, ""薪資""), ""薪資變動(不計入)"",
  REGEXMATCH(C10915, ""押金""), ""押金往來"",
  AND(E10915&lt;&gt;"""", F10915=""""), ""真實支出"",
  AND(E10915="""", F10915&lt;&gt;""""), ""真實收入"",
  TRUE, ""其他""
)"),"其他")</f>
        <v>其他</v>
      </c>
      <c r="K10915" s="270" t="str">
        <f t="shared" si="2"/>
        <v/>
      </c>
      <c r="L10915">
        <f t="shared" si="3"/>
        <v>0</v>
      </c>
    </row>
    <row r="10916">
      <c r="A10916" s="107"/>
      <c r="D10916" s="270"/>
      <c r="H10916" s="106" t="str">
        <f t="shared" si="1"/>
        <v/>
      </c>
      <c r="J10916" t="str">
        <f>IFERROR(__xludf.DUMMYFUNCTION("IFS(
  AND(REGEXMATCH(E10916, ""台銀籌備帳戶|玉山帳戶""), REGEXMATCH(C10916, ""薪資"")), ""分潤支出"",
  AND(REGEXMATCH(E10916, ""Ben帳戶|Elsa帳戶|Ben代墊|Ariel代墊|中信銀行共用""), REGEXMATCH(F10916, ""Ben帳戶|Elsa帳戶|Ben代墊|Ariel代墊|中信銀行共用"")), ""內部轉帳(忽略)"",
  AND(E10916&lt;&gt;"""", F10916&lt;&gt;"&amp;""""", NOT(REGEXMATCH(C10916, ""薪資""))), ""內部轉帳(忽略)"",
  REGEXMATCH(C10916, ""薪資""), ""薪資變動(不計入)"",
  REGEXMATCH(C10916, ""押金""), ""押金往來"",
  AND(E10916&lt;&gt;"""", F10916=""""), ""真實支出"",
  AND(E10916="""", F10916&lt;&gt;""""), ""真實收入"",
  TRUE, ""其他""
)"),"其他")</f>
        <v>其他</v>
      </c>
      <c r="K10916" s="270" t="str">
        <f t="shared" si="2"/>
        <v/>
      </c>
      <c r="L10916">
        <f t="shared" si="3"/>
        <v>0</v>
      </c>
    </row>
    <row r="10917">
      <c r="A10917" s="107"/>
      <c r="D10917" s="270"/>
      <c r="H10917" s="106" t="str">
        <f t="shared" si="1"/>
        <v/>
      </c>
      <c r="J10917" t="str">
        <f>IFERROR(__xludf.DUMMYFUNCTION("IFS(
  AND(REGEXMATCH(E10917, ""台銀籌備帳戶|玉山帳戶""), REGEXMATCH(C10917, ""薪資"")), ""分潤支出"",
  AND(REGEXMATCH(E10917, ""Ben帳戶|Elsa帳戶|Ben代墊|Ariel代墊|中信銀行共用""), REGEXMATCH(F10917, ""Ben帳戶|Elsa帳戶|Ben代墊|Ariel代墊|中信銀行共用"")), ""內部轉帳(忽略)"",
  AND(E10917&lt;&gt;"""", F10917&lt;&gt;"&amp;""""", NOT(REGEXMATCH(C10917, ""薪資""))), ""內部轉帳(忽略)"",
  REGEXMATCH(C10917, ""薪資""), ""薪資變動(不計入)"",
  REGEXMATCH(C10917, ""押金""), ""押金往來"",
  AND(E10917&lt;&gt;"""", F10917=""""), ""真實支出"",
  AND(E10917="""", F10917&lt;&gt;""""), ""真實收入"",
  TRUE, ""其他""
)"),"其他")</f>
        <v>其他</v>
      </c>
      <c r="K10917" s="270" t="str">
        <f t="shared" si="2"/>
        <v/>
      </c>
      <c r="L10917">
        <f t="shared" si="3"/>
        <v>0</v>
      </c>
    </row>
    <row r="10918">
      <c r="A10918" s="107"/>
      <c r="D10918" s="270"/>
      <c r="H10918" s="106" t="str">
        <f t="shared" si="1"/>
        <v/>
      </c>
      <c r="J10918" t="str">
        <f>IFERROR(__xludf.DUMMYFUNCTION("IFS(
  AND(REGEXMATCH(E10918, ""台銀籌備帳戶|玉山帳戶""), REGEXMATCH(C10918, ""薪資"")), ""分潤支出"",
  AND(REGEXMATCH(E10918, ""Ben帳戶|Elsa帳戶|Ben代墊|Ariel代墊|中信銀行共用""), REGEXMATCH(F10918, ""Ben帳戶|Elsa帳戶|Ben代墊|Ariel代墊|中信銀行共用"")), ""內部轉帳(忽略)"",
  AND(E10918&lt;&gt;"""", F10918&lt;&gt;"&amp;""""", NOT(REGEXMATCH(C10918, ""薪資""))), ""內部轉帳(忽略)"",
  REGEXMATCH(C10918, ""薪資""), ""薪資變動(不計入)"",
  REGEXMATCH(C10918, ""押金""), ""押金往來"",
  AND(E10918&lt;&gt;"""", F10918=""""), ""真實支出"",
  AND(E10918="""", F10918&lt;&gt;""""), ""真實收入"",
  TRUE, ""其他""
)"),"其他")</f>
        <v>其他</v>
      </c>
      <c r="K10918" s="270" t="str">
        <f t="shared" si="2"/>
        <v/>
      </c>
      <c r="L10918">
        <f t="shared" si="3"/>
        <v>0</v>
      </c>
    </row>
    <row r="10919">
      <c r="A10919" s="107"/>
      <c r="D10919" s="270"/>
      <c r="H10919" s="106" t="str">
        <f t="shared" si="1"/>
        <v/>
      </c>
      <c r="J10919" t="str">
        <f>IFERROR(__xludf.DUMMYFUNCTION("IFS(
  AND(REGEXMATCH(E10919, ""台銀籌備帳戶|玉山帳戶""), REGEXMATCH(C10919, ""薪資"")), ""分潤支出"",
  AND(REGEXMATCH(E10919, ""Ben帳戶|Elsa帳戶|Ben代墊|Ariel代墊|中信銀行共用""), REGEXMATCH(F10919, ""Ben帳戶|Elsa帳戶|Ben代墊|Ariel代墊|中信銀行共用"")), ""內部轉帳(忽略)"",
  AND(E10919&lt;&gt;"""", F10919&lt;&gt;"&amp;""""", NOT(REGEXMATCH(C10919, ""薪資""))), ""內部轉帳(忽略)"",
  REGEXMATCH(C10919, ""薪資""), ""薪資變動(不計入)"",
  REGEXMATCH(C10919, ""押金""), ""押金往來"",
  AND(E10919&lt;&gt;"""", F10919=""""), ""真實支出"",
  AND(E10919="""", F10919&lt;&gt;""""), ""真實收入"",
  TRUE, ""其他""
)"),"其他")</f>
        <v>其他</v>
      </c>
      <c r="K10919" s="270" t="str">
        <f t="shared" si="2"/>
        <v/>
      </c>
      <c r="L10919">
        <f t="shared" si="3"/>
        <v>0</v>
      </c>
    </row>
    <row r="10920">
      <c r="A10920" s="107"/>
      <c r="D10920" s="270"/>
      <c r="H10920" s="106" t="str">
        <f t="shared" si="1"/>
        <v/>
      </c>
      <c r="J10920" t="str">
        <f>IFERROR(__xludf.DUMMYFUNCTION("IFS(
  AND(REGEXMATCH(E10920, ""台銀籌備帳戶|玉山帳戶""), REGEXMATCH(C10920, ""薪資"")), ""分潤支出"",
  AND(REGEXMATCH(E10920, ""Ben帳戶|Elsa帳戶|Ben代墊|Ariel代墊|中信銀行共用""), REGEXMATCH(F10920, ""Ben帳戶|Elsa帳戶|Ben代墊|Ariel代墊|中信銀行共用"")), ""內部轉帳(忽略)"",
  AND(E10920&lt;&gt;"""", F10920&lt;&gt;"&amp;""""", NOT(REGEXMATCH(C10920, ""薪資""))), ""內部轉帳(忽略)"",
  REGEXMATCH(C10920, ""薪資""), ""薪資變動(不計入)"",
  REGEXMATCH(C10920, ""押金""), ""押金往來"",
  AND(E10920&lt;&gt;"""", F10920=""""), ""真實支出"",
  AND(E10920="""", F10920&lt;&gt;""""), ""真實收入"",
  TRUE, ""其他""
)"),"其他")</f>
        <v>其他</v>
      </c>
      <c r="K10920" s="270" t="str">
        <f t="shared" si="2"/>
        <v/>
      </c>
      <c r="L10920">
        <f t="shared" si="3"/>
        <v>0</v>
      </c>
    </row>
    <row r="10921">
      <c r="A10921" s="107"/>
      <c r="D10921" s="270"/>
      <c r="H10921" s="106" t="str">
        <f t="shared" si="1"/>
        <v/>
      </c>
      <c r="J10921" t="str">
        <f>IFERROR(__xludf.DUMMYFUNCTION("IFS(
  AND(REGEXMATCH(E10921, ""台銀籌備帳戶|玉山帳戶""), REGEXMATCH(C10921, ""薪資"")), ""分潤支出"",
  AND(REGEXMATCH(E10921, ""Ben帳戶|Elsa帳戶|Ben代墊|Ariel代墊|中信銀行共用""), REGEXMATCH(F10921, ""Ben帳戶|Elsa帳戶|Ben代墊|Ariel代墊|中信銀行共用"")), ""內部轉帳(忽略)"",
  AND(E10921&lt;&gt;"""", F10921&lt;&gt;"&amp;""""", NOT(REGEXMATCH(C10921, ""薪資""))), ""內部轉帳(忽略)"",
  REGEXMATCH(C10921, ""薪資""), ""薪資變動(不計入)"",
  REGEXMATCH(C10921, ""押金""), ""押金往來"",
  AND(E10921&lt;&gt;"""", F10921=""""), ""真實支出"",
  AND(E10921="""", F10921&lt;&gt;""""), ""真實收入"",
  TRUE, ""其他""
)"),"其他")</f>
        <v>其他</v>
      </c>
      <c r="K10921" s="270" t="str">
        <f t="shared" si="2"/>
        <v/>
      </c>
      <c r="L10921">
        <f t="shared" si="3"/>
        <v>0</v>
      </c>
    </row>
    <row r="10922">
      <c r="A10922" s="107"/>
      <c r="D10922" s="270"/>
      <c r="H10922" s="106" t="str">
        <f t="shared" si="1"/>
        <v/>
      </c>
      <c r="J10922" t="str">
        <f>IFERROR(__xludf.DUMMYFUNCTION("IFS(
  AND(REGEXMATCH(E10922, ""台銀籌備帳戶|玉山帳戶""), REGEXMATCH(C10922, ""薪資"")), ""分潤支出"",
  AND(REGEXMATCH(E10922, ""Ben帳戶|Elsa帳戶|Ben代墊|Ariel代墊|中信銀行共用""), REGEXMATCH(F10922, ""Ben帳戶|Elsa帳戶|Ben代墊|Ariel代墊|中信銀行共用"")), ""內部轉帳(忽略)"",
  AND(E10922&lt;&gt;"""", F10922&lt;&gt;"&amp;""""", NOT(REGEXMATCH(C10922, ""薪資""))), ""內部轉帳(忽略)"",
  REGEXMATCH(C10922, ""薪資""), ""薪資變動(不計入)"",
  REGEXMATCH(C10922, ""押金""), ""押金往來"",
  AND(E10922&lt;&gt;"""", F10922=""""), ""真實支出"",
  AND(E10922="""", F10922&lt;&gt;""""), ""真實收入"",
  TRUE, ""其他""
)"),"其他")</f>
        <v>其他</v>
      </c>
      <c r="K10922" s="270" t="str">
        <f t="shared" si="2"/>
        <v/>
      </c>
      <c r="L10922">
        <f t="shared" si="3"/>
        <v>0</v>
      </c>
    </row>
    <row r="10923">
      <c r="A10923" s="107"/>
      <c r="D10923" s="270"/>
      <c r="H10923" s="106" t="str">
        <f t="shared" si="1"/>
        <v/>
      </c>
      <c r="J10923" t="str">
        <f>IFERROR(__xludf.DUMMYFUNCTION("IFS(
  AND(REGEXMATCH(E10923, ""台銀籌備帳戶|玉山帳戶""), REGEXMATCH(C10923, ""薪資"")), ""分潤支出"",
  AND(REGEXMATCH(E10923, ""Ben帳戶|Elsa帳戶|Ben代墊|Ariel代墊|中信銀行共用""), REGEXMATCH(F10923, ""Ben帳戶|Elsa帳戶|Ben代墊|Ariel代墊|中信銀行共用"")), ""內部轉帳(忽略)"",
  AND(E10923&lt;&gt;"""", F10923&lt;&gt;"&amp;""""", NOT(REGEXMATCH(C10923, ""薪資""))), ""內部轉帳(忽略)"",
  REGEXMATCH(C10923, ""薪資""), ""薪資變動(不計入)"",
  REGEXMATCH(C10923, ""押金""), ""押金往來"",
  AND(E10923&lt;&gt;"""", F10923=""""), ""真實支出"",
  AND(E10923="""", F10923&lt;&gt;""""), ""真實收入"",
  TRUE, ""其他""
)"),"其他")</f>
        <v>其他</v>
      </c>
      <c r="K10923" s="270" t="str">
        <f t="shared" si="2"/>
        <v/>
      </c>
      <c r="L10923">
        <f t="shared" si="3"/>
        <v>0</v>
      </c>
    </row>
    <row r="10924">
      <c r="A10924" s="107"/>
      <c r="D10924" s="270"/>
      <c r="H10924" s="106" t="str">
        <f t="shared" si="1"/>
        <v/>
      </c>
      <c r="J10924" t="str">
        <f>IFERROR(__xludf.DUMMYFUNCTION("IFS(
  AND(REGEXMATCH(E10924, ""台銀籌備帳戶|玉山帳戶""), REGEXMATCH(C10924, ""薪資"")), ""分潤支出"",
  AND(REGEXMATCH(E10924, ""Ben帳戶|Elsa帳戶|Ben代墊|Ariel代墊|中信銀行共用""), REGEXMATCH(F10924, ""Ben帳戶|Elsa帳戶|Ben代墊|Ariel代墊|中信銀行共用"")), ""內部轉帳(忽略)"",
  AND(E10924&lt;&gt;"""", F10924&lt;&gt;"&amp;""""", NOT(REGEXMATCH(C10924, ""薪資""))), ""內部轉帳(忽略)"",
  REGEXMATCH(C10924, ""薪資""), ""薪資變動(不計入)"",
  REGEXMATCH(C10924, ""押金""), ""押金往來"",
  AND(E10924&lt;&gt;"""", F10924=""""), ""真實支出"",
  AND(E10924="""", F10924&lt;&gt;""""), ""真實收入"",
  TRUE, ""其他""
)"),"其他")</f>
        <v>其他</v>
      </c>
      <c r="K10924" s="270" t="str">
        <f t="shared" si="2"/>
        <v/>
      </c>
      <c r="L10924">
        <f t="shared" si="3"/>
        <v>0</v>
      </c>
    </row>
    <row r="10925">
      <c r="A10925" s="107"/>
      <c r="D10925" s="270"/>
      <c r="H10925" s="106" t="str">
        <f t="shared" si="1"/>
        <v/>
      </c>
      <c r="J10925" t="str">
        <f>IFERROR(__xludf.DUMMYFUNCTION("IFS(
  AND(REGEXMATCH(E10925, ""台銀籌備帳戶|玉山帳戶""), REGEXMATCH(C10925, ""薪資"")), ""分潤支出"",
  AND(REGEXMATCH(E10925, ""Ben帳戶|Elsa帳戶|Ben代墊|Ariel代墊|中信銀行共用""), REGEXMATCH(F10925, ""Ben帳戶|Elsa帳戶|Ben代墊|Ariel代墊|中信銀行共用"")), ""內部轉帳(忽略)"",
  AND(E10925&lt;&gt;"""", F10925&lt;&gt;"&amp;""""", NOT(REGEXMATCH(C10925, ""薪資""))), ""內部轉帳(忽略)"",
  REGEXMATCH(C10925, ""薪資""), ""薪資變動(不計入)"",
  REGEXMATCH(C10925, ""押金""), ""押金往來"",
  AND(E10925&lt;&gt;"""", F10925=""""), ""真實支出"",
  AND(E10925="""", F10925&lt;&gt;""""), ""真實收入"",
  TRUE, ""其他""
)"),"其他")</f>
        <v>其他</v>
      </c>
      <c r="K10925" s="270" t="str">
        <f t="shared" si="2"/>
        <v/>
      </c>
      <c r="L10925">
        <f t="shared" si="3"/>
        <v>0</v>
      </c>
    </row>
    <row r="10926">
      <c r="A10926" s="107"/>
      <c r="D10926" s="270"/>
      <c r="H10926" s="106" t="str">
        <f t="shared" si="1"/>
        <v/>
      </c>
      <c r="J10926" t="str">
        <f>IFERROR(__xludf.DUMMYFUNCTION("IFS(
  AND(REGEXMATCH(E10926, ""台銀籌備帳戶|玉山帳戶""), REGEXMATCH(C10926, ""薪資"")), ""分潤支出"",
  AND(REGEXMATCH(E10926, ""Ben帳戶|Elsa帳戶|Ben代墊|Ariel代墊|中信銀行共用""), REGEXMATCH(F10926, ""Ben帳戶|Elsa帳戶|Ben代墊|Ariel代墊|中信銀行共用"")), ""內部轉帳(忽略)"",
  AND(E10926&lt;&gt;"""", F10926&lt;&gt;"&amp;""""", NOT(REGEXMATCH(C10926, ""薪資""))), ""內部轉帳(忽略)"",
  REGEXMATCH(C10926, ""薪資""), ""薪資變動(不計入)"",
  REGEXMATCH(C10926, ""押金""), ""押金往來"",
  AND(E10926&lt;&gt;"""", F10926=""""), ""真實支出"",
  AND(E10926="""", F10926&lt;&gt;""""), ""真實收入"",
  TRUE, ""其他""
)"),"其他")</f>
        <v>其他</v>
      </c>
      <c r="K10926" s="270" t="str">
        <f t="shared" si="2"/>
        <v/>
      </c>
      <c r="L10926">
        <f t="shared" si="3"/>
        <v>0</v>
      </c>
    </row>
    <row r="10927">
      <c r="A10927" s="107"/>
      <c r="D10927" s="270"/>
      <c r="H10927" s="106" t="str">
        <f t="shared" si="1"/>
        <v/>
      </c>
      <c r="J10927" t="str">
        <f>IFERROR(__xludf.DUMMYFUNCTION("IFS(
  AND(REGEXMATCH(E10927, ""台銀籌備帳戶|玉山帳戶""), REGEXMATCH(C10927, ""薪資"")), ""分潤支出"",
  AND(REGEXMATCH(E10927, ""Ben帳戶|Elsa帳戶|Ben代墊|Ariel代墊|中信銀行共用""), REGEXMATCH(F10927, ""Ben帳戶|Elsa帳戶|Ben代墊|Ariel代墊|中信銀行共用"")), ""內部轉帳(忽略)"",
  AND(E10927&lt;&gt;"""", F10927&lt;&gt;"&amp;""""", NOT(REGEXMATCH(C10927, ""薪資""))), ""內部轉帳(忽略)"",
  REGEXMATCH(C10927, ""薪資""), ""薪資變動(不計入)"",
  REGEXMATCH(C10927, ""押金""), ""押金往來"",
  AND(E10927&lt;&gt;"""", F10927=""""), ""真實支出"",
  AND(E10927="""", F10927&lt;&gt;""""), ""真實收入"",
  TRUE, ""其他""
)"),"其他")</f>
        <v>其他</v>
      </c>
      <c r="K10927" s="270" t="str">
        <f t="shared" si="2"/>
        <v/>
      </c>
      <c r="L10927">
        <f t="shared" si="3"/>
        <v>0</v>
      </c>
    </row>
    <row r="10928">
      <c r="A10928" s="107"/>
      <c r="D10928" s="270"/>
      <c r="H10928" s="106" t="str">
        <f t="shared" si="1"/>
        <v/>
      </c>
      <c r="J10928" t="str">
        <f>IFERROR(__xludf.DUMMYFUNCTION("IFS(
  AND(REGEXMATCH(E10928, ""台銀籌備帳戶|玉山帳戶""), REGEXMATCH(C10928, ""薪資"")), ""分潤支出"",
  AND(REGEXMATCH(E10928, ""Ben帳戶|Elsa帳戶|Ben代墊|Ariel代墊|中信銀行共用""), REGEXMATCH(F10928, ""Ben帳戶|Elsa帳戶|Ben代墊|Ariel代墊|中信銀行共用"")), ""內部轉帳(忽略)"",
  AND(E10928&lt;&gt;"""", F10928&lt;&gt;"&amp;""""", NOT(REGEXMATCH(C10928, ""薪資""))), ""內部轉帳(忽略)"",
  REGEXMATCH(C10928, ""薪資""), ""薪資變動(不計入)"",
  REGEXMATCH(C10928, ""押金""), ""押金往來"",
  AND(E10928&lt;&gt;"""", F10928=""""), ""真實支出"",
  AND(E10928="""", F10928&lt;&gt;""""), ""真實收入"",
  TRUE, ""其他""
)"),"其他")</f>
        <v>其他</v>
      </c>
      <c r="K10928" s="270" t="str">
        <f t="shared" si="2"/>
        <v/>
      </c>
      <c r="L10928">
        <f t="shared" si="3"/>
        <v>0</v>
      </c>
    </row>
    <row r="10929">
      <c r="A10929" s="107"/>
      <c r="D10929" s="270"/>
      <c r="H10929" s="106" t="str">
        <f t="shared" si="1"/>
        <v/>
      </c>
      <c r="J10929" t="str">
        <f>IFERROR(__xludf.DUMMYFUNCTION("IFS(
  AND(REGEXMATCH(E10929, ""台銀籌備帳戶|玉山帳戶""), REGEXMATCH(C10929, ""薪資"")), ""分潤支出"",
  AND(REGEXMATCH(E10929, ""Ben帳戶|Elsa帳戶|Ben代墊|Ariel代墊|中信銀行共用""), REGEXMATCH(F10929, ""Ben帳戶|Elsa帳戶|Ben代墊|Ariel代墊|中信銀行共用"")), ""內部轉帳(忽略)"",
  AND(E10929&lt;&gt;"""", F10929&lt;&gt;"&amp;""""", NOT(REGEXMATCH(C10929, ""薪資""))), ""內部轉帳(忽略)"",
  REGEXMATCH(C10929, ""薪資""), ""薪資變動(不計入)"",
  REGEXMATCH(C10929, ""押金""), ""押金往來"",
  AND(E10929&lt;&gt;"""", F10929=""""), ""真實支出"",
  AND(E10929="""", F10929&lt;&gt;""""), ""真實收入"",
  TRUE, ""其他""
)"),"其他")</f>
        <v>其他</v>
      </c>
      <c r="K10929" s="270" t="str">
        <f t="shared" si="2"/>
        <v/>
      </c>
      <c r="L10929">
        <f t="shared" si="3"/>
        <v>0</v>
      </c>
    </row>
    <row r="10930">
      <c r="A10930" s="107"/>
      <c r="D10930" s="270"/>
      <c r="H10930" s="106" t="str">
        <f t="shared" si="1"/>
        <v/>
      </c>
      <c r="J10930" t="str">
        <f>IFERROR(__xludf.DUMMYFUNCTION("IFS(
  AND(REGEXMATCH(E10930, ""台銀籌備帳戶|玉山帳戶""), REGEXMATCH(C10930, ""薪資"")), ""分潤支出"",
  AND(REGEXMATCH(E10930, ""Ben帳戶|Elsa帳戶|Ben代墊|Ariel代墊|中信銀行共用""), REGEXMATCH(F10930, ""Ben帳戶|Elsa帳戶|Ben代墊|Ariel代墊|中信銀行共用"")), ""內部轉帳(忽略)"",
  AND(E10930&lt;&gt;"""", F10930&lt;&gt;"&amp;""""", NOT(REGEXMATCH(C10930, ""薪資""))), ""內部轉帳(忽略)"",
  REGEXMATCH(C10930, ""薪資""), ""薪資變動(不計入)"",
  REGEXMATCH(C10930, ""押金""), ""押金往來"",
  AND(E10930&lt;&gt;"""", F10930=""""), ""真實支出"",
  AND(E10930="""", F10930&lt;&gt;""""), ""真實收入"",
  TRUE, ""其他""
)"),"其他")</f>
        <v>其他</v>
      </c>
      <c r="K10930" s="270" t="str">
        <f t="shared" si="2"/>
        <v/>
      </c>
      <c r="L10930">
        <f t="shared" si="3"/>
        <v>0</v>
      </c>
    </row>
    <row r="10931">
      <c r="A10931" s="107"/>
      <c r="D10931" s="270"/>
      <c r="H10931" s="106" t="str">
        <f t="shared" si="1"/>
        <v/>
      </c>
      <c r="J10931" t="str">
        <f>IFERROR(__xludf.DUMMYFUNCTION("IFS(
  AND(REGEXMATCH(E10931, ""台銀籌備帳戶|玉山帳戶""), REGEXMATCH(C10931, ""薪資"")), ""分潤支出"",
  AND(REGEXMATCH(E10931, ""Ben帳戶|Elsa帳戶|Ben代墊|Ariel代墊|中信銀行共用""), REGEXMATCH(F10931, ""Ben帳戶|Elsa帳戶|Ben代墊|Ariel代墊|中信銀行共用"")), ""內部轉帳(忽略)"",
  AND(E10931&lt;&gt;"""", F10931&lt;&gt;"&amp;""""", NOT(REGEXMATCH(C10931, ""薪資""))), ""內部轉帳(忽略)"",
  REGEXMATCH(C10931, ""薪資""), ""薪資變動(不計入)"",
  REGEXMATCH(C10931, ""押金""), ""押金往來"",
  AND(E10931&lt;&gt;"""", F10931=""""), ""真實支出"",
  AND(E10931="""", F10931&lt;&gt;""""), ""真實收入"",
  TRUE, ""其他""
)"),"其他")</f>
        <v>其他</v>
      </c>
      <c r="K10931" s="270" t="str">
        <f t="shared" si="2"/>
        <v/>
      </c>
      <c r="L10931">
        <f t="shared" si="3"/>
        <v>0</v>
      </c>
    </row>
    <row r="10932">
      <c r="A10932" s="107"/>
      <c r="D10932" s="270"/>
      <c r="H10932" s="106" t="str">
        <f t="shared" si="1"/>
        <v/>
      </c>
      <c r="J10932" t="str">
        <f>IFERROR(__xludf.DUMMYFUNCTION("IFS(
  AND(REGEXMATCH(E10932, ""台銀籌備帳戶|玉山帳戶""), REGEXMATCH(C10932, ""薪資"")), ""分潤支出"",
  AND(REGEXMATCH(E10932, ""Ben帳戶|Elsa帳戶|Ben代墊|Ariel代墊|中信銀行共用""), REGEXMATCH(F10932, ""Ben帳戶|Elsa帳戶|Ben代墊|Ariel代墊|中信銀行共用"")), ""內部轉帳(忽略)"",
  AND(E10932&lt;&gt;"""", F10932&lt;&gt;"&amp;""""", NOT(REGEXMATCH(C10932, ""薪資""))), ""內部轉帳(忽略)"",
  REGEXMATCH(C10932, ""薪資""), ""薪資變動(不計入)"",
  REGEXMATCH(C10932, ""押金""), ""押金往來"",
  AND(E10932&lt;&gt;"""", F10932=""""), ""真實支出"",
  AND(E10932="""", F10932&lt;&gt;""""), ""真實收入"",
  TRUE, ""其他""
)"),"其他")</f>
        <v>其他</v>
      </c>
      <c r="K10932" s="270" t="str">
        <f t="shared" si="2"/>
        <v/>
      </c>
      <c r="L10932">
        <f t="shared" si="3"/>
        <v>0</v>
      </c>
    </row>
    <row r="10933">
      <c r="A10933" s="107"/>
      <c r="D10933" s="270"/>
      <c r="H10933" s="106" t="str">
        <f t="shared" si="1"/>
        <v/>
      </c>
      <c r="J10933" t="str">
        <f>IFERROR(__xludf.DUMMYFUNCTION("IFS(
  AND(REGEXMATCH(E10933, ""台銀籌備帳戶|玉山帳戶""), REGEXMATCH(C10933, ""薪資"")), ""分潤支出"",
  AND(REGEXMATCH(E10933, ""Ben帳戶|Elsa帳戶|Ben代墊|Ariel代墊|中信銀行共用""), REGEXMATCH(F10933, ""Ben帳戶|Elsa帳戶|Ben代墊|Ariel代墊|中信銀行共用"")), ""內部轉帳(忽略)"",
  AND(E10933&lt;&gt;"""", F10933&lt;&gt;"&amp;""""", NOT(REGEXMATCH(C10933, ""薪資""))), ""內部轉帳(忽略)"",
  REGEXMATCH(C10933, ""薪資""), ""薪資變動(不計入)"",
  REGEXMATCH(C10933, ""押金""), ""押金往來"",
  AND(E10933&lt;&gt;"""", F10933=""""), ""真實支出"",
  AND(E10933="""", F10933&lt;&gt;""""), ""真實收入"",
  TRUE, ""其他""
)"),"其他")</f>
        <v>其他</v>
      </c>
      <c r="K10933" s="270" t="str">
        <f t="shared" si="2"/>
        <v/>
      </c>
      <c r="L10933">
        <f t="shared" si="3"/>
        <v>0</v>
      </c>
    </row>
    <row r="10934">
      <c r="A10934" s="107"/>
      <c r="D10934" s="270"/>
      <c r="H10934" s="106" t="str">
        <f t="shared" si="1"/>
        <v/>
      </c>
      <c r="J10934" t="str">
        <f>IFERROR(__xludf.DUMMYFUNCTION("IFS(
  AND(REGEXMATCH(E10934, ""台銀籌備帳戶|玉山帳戶""), REGEXMATCH(C10934, ""薪資"")), ""分潤支出"",
  AND(REGEXMATCH(E10934, ""Ben帳戶|Elsa帳戶|Ben代墊|Ariel代墊|中信銀行共用""), REGEXMATCH(F10934, ""Ben帳戶|Elsa帳戶|Ben代墊|Ariel代墊|中信銀行共用"")), ""內部轉帳(忽略)"",
  AND(E10934&lt;&gt;"""", F10934&lt;&gt;"&amp;""""", NOT(REGEXMATCH(C10934, ""薪資""))), ""內部轉帳(忽略)"",
  REGEXMATCH(C10934, ""薪資""), ""薪資變動(不計入)"",
  REGEXMATCH(C10934, ""押金""), ""押金往來"",
  AND(E10934&lt;&gt;"""", F10934=""""), ""真實支出"",
  AND(E10934="""", F10934&lt;&gt;""""), ""真實收入"",
  TRUE, ""其他""
)"),"其他")</f>
        <v>其他</v>
      </c>
      <c r="K10934" s="270" t="str">
        <f t="shared" si="2"/>
        <v/>
      </c>
      <c r="L10934">
        <f t="shared" si="3"/>
        <v>0</v>
      </c>
    </row>
    <row r="10935">
      <c r="A10935" s="107"/>
      <c r="D10935" s="270"/>
      <c r="H10935" s="106" t="str">
        <f t="shared" si="1"/>
        <v/>
      </c>
      <c r="J10935" t="str">
        <f>IFERROR(__xludf.DUMMYFUNCTION("IFS(
  AND(REGEXMATCH(E10935, ""台銀籌備帳戶|玉山帳戶""), REGEXMATCH(C10935, ""薪資"")), ""分潤支出"",
  AND(REGEXMATCH(E10935, ""Ben帳戶|Elsa帳戶|Ben代墊|Ariel代墊|中信銀行共用""), REGEXMATCH(F10935, ""Ben帳戶|Elsa帳戶|Ben代墊|Ariel代墊|中信銀行共用"")), ""內部轉帳(忽略)"",
  AND(E10935&lt;&gt;"""", F10935&lt;&gt;"&amp;""""", NOT(REGEXMATCH(C10935, ""薪資""))), ""內部轉帳(忽略)"",
  REGEXMATCH(C10935, ""薪資""), ""薪資變動(不計入)"",
  REGEXMATCH(C10935, ""押金""), ""押金往來"",
  AND(E10935&lt;&gt;"""", F10935=""""), ""真實支出"",
  AND(E10935="""", F10935&lt;&gt;""""), ""真實收入"",
  TRUE, ""其他""
)"),"其他")</f>
        <v>其他</v>
      </c>
      <c r="K10935" s="270" t="str">
        <f t="shared" si="2"/>
        <v/>
      </c>
      <c r="L10935">
        <f t="shared" si="3"/>
        <v>0</v>
      </c>
    </row>
    <row r="10936">
      <c r="A10936" s="107"/>
      <c r="D10936" s="270"/>
      <c r="H10936" s="106" t="str">
        <f t="shared" si="1"/>
        <v/>
      </c>
      <c r="J10936" t="str">
        <f>IFERROR(__xludf.DUMMYFUNCTION("IFS(
  AND(REGEXMATCH(E10936, ""台銀籌備帳戶|玉山帳戶""), REGEXMATCH(C10936, ""薪資"")), ""分潤支出"",
  AND(REGEXMATCH(E10936, ""Ben帳戶|Elsa帳戶|Ben代墊|Ariel代墊|中信銀行共用""), REGEXMATCH(F10936, ""Ben帳戶|Elsa帳戶|Ben代墊|Ariel代墊|中信銀行共用"")), ""內部轉帳(忽略)"",
  AND(E10936&lt;&gt;"""", F10936&lt;&gt;"&amp;""""", NOT(REGEXMATCH(C10936, ""薪資""))), ""內部轉帳(忽略)"",
  REGEXMATCH(C10936, ""薪資""), ""薪資變動(不計入)"",
  REGEXMATCH(C10936, ""押金""), ""押金往來"",
  AND(E10936&lt;&gt;"""", F10936=""""), ""真實支出"",
  AND(E10936="""", F10936&lt;&gt;""""), ""真實收入"",
  TRUE, ""其他""
)"),"其他")</f>
        <v>其他</v>
      </c>
      <c r="K10936" s="270" t="str">
        <f t="shared" si="2"/>
        <v/>
      </c>
      <c r="L10936">
        <f t="shared" si="3"/>
        <v>0</v>
      </c>
    </row>
    <row r="10937">
      <c r="A10937" s="107"/>
      <c r="D10937" s="270"/>
      <c r="H10937" s="106" t="str">
        <f t="shared" si="1"/>
        <v/>
      </c>
      <c r="J10937" t="str">
        <f>IFERROR(__xludf.DUMMYFUNCTION("IFS(
  AND(REGEXMATCH(E10937, ""台銀籌備帳戶|玉山帳戶""), REGEXMATCH(C10937, ""薪資"")), ""分潤支出"",
  AND(REGEXMATCH(E10937, ""Ben帳戶|Elsa帳戶|Ben代墊|Ariel代墊|中信銀行共用""), REGEXMATCH(F10937, ""Ben帳戶|Elsa帳戶|Ben代墊|Ariel代墊|中信銀行共用"")), ""內部轉帳(忽略)"",
  AND(E10937&lt;&gt;"""", F10937&lt;&gt;"&amp;""""", NOT(REGEXMATCH(C10937, ""薪資""))), ""內部轉帳(忽略)"",
  REGEXMATCH(C10937, ""薪資""), ""薪資變動(不計入)"",
  REGEXMATCH(C10937, ""押金""), ""押金往來"",
  AND(E10937&lt;&gt;"""", F10937=""""), ""真實支出"",
  AND(E10937="""", F10937&lt;&gt;""""), ""真實收入"",
  TRUE, ""其他""
)"),"其他")</f>
        <v>其他</v>
      </c>
      <c r="K10937" s="270" t="str">
        <f t="shared" si="2"/>
        <v/>
      </c>
      <c r="L10937">
        <f t="shared" si="3"/>
        <v>0</v>
      </c>
    </row>
    <row r="10938">
      <c r="A10938" s="107"/>
      <c r="D10938" s="270"/>
      <c r="H10938" s="106" t="str">
        <f t="shared" si="1"/>
        <v/>
      </c>
      <c r="J10938" t="str">
        <f>IFERROR(__xludf.DUMMYFUNCTION("IFS(
  AND(REGEXMATCH(E10938, ""台銀籌備帳戶|玉山帳戶""), REGEXMATCH(C10938, ""薪資"")), ""分潤支出"",
  AND(REGEXMATCH(E10938, ""Ben帳戶|Elsa帳戶|Ben代墊|Ariel代墊|中信銀行共用""), REGEXMATCH(F10938, ""Ben帳戶|Elsa帳戶|Ben代墊|Ariel代墊|中信銀行共用"")), ""內部轉帳(忽略)"",
  AND(E10938&lt;&gt;"""", F10938&lt;&gt;"&amp;""""", NOT(REGEXMATCH(C10938, ""薪資""))), ""內部轉帳(忽略)"",
  REGEXMATCH(C10938, ""薪資""), ""薪資變動(不計入)"",
  REGEXMATCH(C10938, ""押金""), ""押金往來"",
  AND(E10938&lt;&gt;"""", F10938=""""), ""真實支出"",
  AND(E10938="""", F10938&lt;&gt;""""), ""真實收入"",
  TRUE, ""其他""
)"),"其他")</f>
        <v>其他</v>
      </c>
      <c r="K10938" s="270" t="str">
        <f t="shared" si="2"/>
        <v/>
      </c>
      <c r="L10938">
        <f t="shared" si="3"/>
        <v>0</v>
      </c>
    </row>
    <row r="10939">
      <c r="A10939" s="107"/>
      <c r="D10939" s="270"/>
      <c r="H10939" s="106" t="str">
        <f t="shared" si="1"/>
        <v/>
      </c>
      <c r="J10939" t="str">
        <f>IFERROR(__xludf.DUMMYFUNCTION("IFS(
  AND(REGEXMATCH(E10939, ""台銀籌備帳戶|玉山帳戶""), REGEXMATCH(C10939, ""薪資"")), ""分潤支出"",
  AND(REGEXMATCH(E10939, ""Ben帳戶|Elsa帳戶|Ben代墊|Ariel代墊|中信銀行共用""), REGEXMATCH(F10939, ""Ben帳戶|Elsa帳戶|Ben代墊|Ariel代墊|中信銀行共用"")), ""內部轉帳(忽略)"",
  AND(E10939&lt;&gt;"""", F10939&lt;&gt;"&amp;""""", NOT(REGEXMATCH(C10939, ""薪資""))), ""內部轉帳(忽略)"",
  REGEXMATCH(C10939, ""薪資""), ""薪資變動(不計入)"",
  REGEXMATCH(C10939, ""押金""), ""押金往來"",
  AND(E10939&lt;&gt;"""", F10939=""""), ""真實支出"",
  AND(E10939="""", F10939&lt;&gt;""""), ""真實收入"",
  TRUE, ""其他""
)"),"其他")</f>
        <v>其他</v>
      </c>
      <c r="K10939" s="270" t="str">
        <f t="shared" si="2"/>
        <v/>
      </c>
      <c r="L10939">
        <f t="shared" si="3"/>
        <v>0</v>
      </c>
    </row>
    <row r="10940">
      <c r="A10940" s="107"/>
      <c r="D10940" s="270"/>
      <c r="H10940" s="106" t="str">
        <f t="shared" si="1"/>
        <v/>
      </c>
      <c r="J10940" t="str">
        <f>IFERROR(__xludf.DUMMYFUNCTION("IFS(
  AND(REGEXMATCH(E10940, ""台銀籌備帳戶|玉山帳戶""), REGEXMATCH(C10940, ""薪資"")), ""分潤支出"",
  AND(REGEXMATCH(E10940, ""Ben帳戶|Elsa帳戶|Ben代墊|Ariel代墊|中信銀行共用""), REGEXMATCH(F10940, ""Ben帳戶|Elsa帳戶|Ben代墊|Ariel代墊|中信銀行共用"")), ""內部轉帳(忽略)"",
  AND(E10940&lt;&gt;"""", F10940&lt;&gt;"&amp;""""", NOT(REGEXMATCH(C10940, ""薪資""))), ""內部轉帳(忽略)"",
  REGEXMATCH(C10940, ""薪資""), ""薪資變動(不計入)"",
  REGEXMATCH(C10940, ""押金""), ""押金往來"",
  AND(E10940&lt;&gt;"""", F10940=""""), ""真實支出"",
  AND(E10940="""", F10940&lt;&gt;""""), ""真實收入"",
  TRUE, ""其他""
)"),"其他")</f>
        <v>其他</v>
      </c>
      <c r="K10940" s="270" t="str">
        <f t="shared" si="2"/>
        <v/>
      </c>
      <c r="L10940">
        <f t="shared" si="3"/>
        <v>0</v>
      </c>
    </row>
    <row r="10941">
      <c r="A10941" s="107"/>
      <c r="D10941" s="270"/>
      <c r="H10941" s="106" t="str">
        <f t="shared" si="1"/>
        <v/>
      </c>
      <c r="J10941" t="str">
        <f>IFERROR(__xludf.DUMMYFUNCTION("IFS(
  AND(REGEXMATCH(E10941, ""台銀籌備帳戶|玉山帳戶""), REGEXMATCH(C10941, ""薪資"")), ""分潤支出"",
  AND(REGEXMATCH(E10941, ""Ben帳戶|Elsa帳戶|Ben代墊|Ariel代墊|中信銀行共用""), REGEXMATCH(F10941, ""Ben帳戶|Elsa帳戶|Ben代墊|Ariel代墊|中信銀行共用"")), ""內部轉帳(忽略)"",
  AND(E10941&lt;&gt;"""", F10941&lt;&gt;"&amp;""""", NOT(REGEXMATCH(C10941, ""薪資""))), ""內部轉帳(忽略)"",
  REGEXMATCH(C10941, ""薪資""), ""薪資變動(不計入)"",
  REGEXMATCH(C10941, ""押金""), ""押金往來"",
  AND(E10941&lt;&gt;"""", F10941=""""), ""真實支出"",
  AND(E10941="""", F10941&lt;&gt;""""), ""真實收入"",
  TRUE, ""其他""
)"),"其他")</f>
        <v>其他</v>
      </c>
      <c r="K10941" s="270" t="str">
        <f t="shared" si="2"/>
        <v/>
      </c>
      <c r="L10941">
        <f t="shared" si="3"/>
        <v>0</v>
      </c>
    </row>
    <row r="10942">
      <c r="A10942" s="107"/>
      <c r="D10942" s="270"/>
      <c r="H10942" s="106" t="str">
        <f t="shared" si="1"/>
        <v/>
      </c>
      <c r="J10942" t="str">
        <f>IFERROR(__xludf.DUMMYFUNCTION("IFS(
  AND(REGEXMATCH(E10942, ""台銀籌備帳戶|玉山帳戶""), REGEXMATCH(C10942, ""薪資"")), ""分潤支出"",
  AND(REGEXMATCH(E10942, ""Ben帳戶|Elsa帳戶|Ben代墊|Ariel代墊|中信銀行共用""), REGEXMATCH(F10942, ""Ben帳戶|Elsa帳戶|Ben代墊|Ariel代墊|中信銀行共用"")), ""內部轉帳(忽略)"",
  AND(E10942&lt;&gt;"""", F10942&lt;&gt;"&amp;""""", NOT(REGEXMATCH(C10942, ""薪資""))), ""內部轉帳(忽略)"",
  REGEXMATCH(C10942, ""薪資""), ""薪資變動(不計入)"",
  REGEXMATCH(C10942, ""押金""), ""押金往來"",
  AND(E10942&lt;&gt;"""", F10942=""""), ""真實支出"",
  AND(E10942="""", F10942&lt;&gt;""""), ""真實收入"",
  TRUE, ""其他""
)"),"其他")</f>
        <v>其他</v>
      </c>
      <c r="K10942" s="270" t="str">
        <f t="shared" si="2"/>
        <v/>
      </c>
      <c r="L10942">
        <f t="shared" si="3"/>
        <v>0</v>
      </c>
    </row>
    <row r="10943">
      <c r="A10943" s="107"/>
      <c r="D10943" s="270"/>
      <c r="H10943" s="106" t="str">
        <f t="shared" si="1"/>
        <v/>
      </c>
      <c r="J10943" t="str">
        <f>IFERROR(__xludf.DUMMYFUNCTION("IFS(
  AND(REGEXMATCH(E10943, ""台銀籌備帳戶|玉山帳戶""), REGEXMATCH(C10943, ""薪資"")), ""分潤支出"",
  AND(REGEXMATCH(E10943, ""Ben帳戶|Elsa帳戶|Ben代墊|Ariel代墊|中信銀行共用""), REGEXMATCH(F10943, ""Ben帳戶|Elsa帳戶|Ben代墊|Ariel代墊|中信銀行共用"")), ""內部轉帳(忽略)"",
  AND(E10943&lt;&gt;"""", F10943&lt;&gt;"&amp;""""", NOT(REGEXMATCH(C10943, ""薪資""))), ""內部轉帳(忽略)"",
  REGEXMATCH(C10943, ""薪資""), ""薪資變動(不計入)"",
  REGEXMATCH(C10943, ""押金""), ""押金往來"",
  AND(E10943&lt;&gt;"""", F10943=""""), ""真實支出"",
  AND(E10943="""", F10943&lt;&gt;""""), ""真實收入"",
  TRUE, ""其他""
)"),"其他")</f>
        <v>其他</v>
      </c>
      <c r="K10943" s="270" t="str">
        <f t="shared" si="2"/>
        <v/>
      </c>
      <c r="L10943">
        <f t="shared" si="3"/>
        <v>0</v>
      </c>
    </row>
    <row r="10944">
      <c r="A10944" s="107"/>
      <c r="D10944" s="270"/>
      <c r="H10944" s="106" t="str">
        <f t="shared" si="1"/>
        <v/>
      </c>
      <c r="J10944" t="str">
        <f>IFERROR(__xludf.DUMMYFUNCTION("IFS(
  AND(REGEXMATCH(E10944, ""台銀籌備帳戶|玉山帳戶""), REGEXMATCH(C10944, ""薪資"")), ""分潤支出"",
  AND(REGEXMATCH(E10944, ""Ben帳戶|Elsa帳戶|Ben代墊|Ariel代墊|中信銀行共用""), REGEXMATCH(F10944, ""Ben帳戶|Elsa帳戶|Ben代墊|Ariel代墊|中信銀行共用"")), ""內部轉帳(忽略)"",
  AND(E10944&lt;&gt;"""", F10944&lt;&gt;"&amp;""""", NOT(REGEXMATCH(C10944, ""薪資""))), ""內部轉帳(忽略)"",
  REGEXMATCH(C10944, ""薪資""), ""薪資變動(不計入)"",
  REGEXMATCH(C10944, ""押金""), ""押金往來"",
  AND(E10944&lt;&gt;"""", F10944=""""), ""真實支出"",
  AND(E10944="""", F10944&lt;&gt;""""), ""真實收入"",
  TRUE, ""其他""
)"),"其他")</f>
        <v>其他</v>
      </c>
      <c r="K10944" s="270" t="str">
        <f t="shared" si="2"/>
        <v/>
      </c>
      <c r="L10944">
        <f t="shared" si="3"/>
        <v>0</v>
      </c>
    </row>
    <row r="10945">
      <c r="A10945" s="107"/>
      <c r="D10945" s="270"/>
      <c r="H10945" s="106" t="str">
        <f t="shared" si="1"/>
        <v/>
      </c>
      <c r="J10945" t="str">
        <f>IFERROR(__xludf.DUMMYFUNCTION("IFS(
  AND(REGEXMATCH(E10945, ""台銀籌備帳戶|玉山帳戶""), REGEXMATCH(C10945, ""薪資"")), ""分潤支出"",
  AND(REGEXMATCH(E10945, ""Ben帳戶|Elsa帳戶|Ben代墊|Ariel代墊|中信銀行共用""), REGEXMATCH(F10945, ""Ben帳戶|Elsa帳戶|Ben代墊|Ariel代墊|中信銀行共用"")), ""內部轉帳(忽略)"",
  AND(E10945&lt;&gt;"""", F10945&lt;&gt;"&amp;""""", NOT(REGEXMATCH(C10945, ""薪資""))), ""內部轉帳(忽略)"",
  REGEXMATCH(C10945, ""薪資""), ""薪資變動(不計入)"",
  REGEXMATCH(C10945, ""押金""), ""押金往來"",
  AND(E10945&lt;&gt;"""", F10945=""""), ""真實支出"",
  AND(E10945="""", F10945&lt;&gt;""""), ""真實收入"",
  TRUE, ""其他""
)"),"其他")</f>
        <v>其他</v>
      </c>
      <c r="K10945" s="270" t="str">
        <f t="shared" si="2"/>
        <v/>
      </c>
      <c r="L10945">
        <f t="shared" si="3"/>
        <v>0</v>
      </c>
    </row>
    <row r="10946">
      <c r="A10946" s="107"/>
      <c r="D10946" s="270"/>
      <c r="H10946" s="106" t="str">
        <f t="shared" si="1"/>
        <v/>
      </c>
      <c r="J10946" t="str">
        <f>IFERROR(__xludf.DUMMYFUNCTION("IFS(
  AND(REGEXMATCH(E10946, ""台銀籌備帳戶|玉山帳戶""), REGEXMATCH(C10946, ""薪資"")), ""分潤支出"",
  AND(REGEXMATCH(E10946, ""Ben帳戶|Elsa帳戶|Ben代墊|Ariel代墊|中信銀行共用""), REGEXMATCH(F10946, ""Ben帳戶|Elsa帳戶|Ben代墊|Ariel代墊|中信銀行共用"")), ""內部轉帳(忽略)"",
  AND(E10946&lt;&gt;"""", F10946&lt;&gt;"&amp;""""", NOT(REGEXMATCH(C10946, ""薪資""))), ""內部轉帳(忽略)"",
  REGEXMATCH(C10946, ""薪資""), ""薪資變動(不計入)"",
  REGEXMATCH(C10946, ""押金""), ""押金往來"",
  AND(E10946&lt;&gt;"""", F10946=""""), ""真實支出"",
  AND(E10946="""", F10946&lt;&gt;""""), ""真實收入"",
  TRUE, ""其他""
)"),"其他")</f>
        <v>其他</v>
      </c>
      <c r="K10946" s="270" t="str">
        <f t="shared" si="2"/>
        <v/>
      </c>
      <c r="L10946">
        <f t="shared" si="3"/>
        <v>0</v>
      </c>
    </row>
    <row r="10947">
      <c r="A10947" s="107"/>
      <c r="D10947" s="270"/>
      <c r="H10947" s="106" t="str">
        <f t="shared" si="1"/>
        <v/>
      </c>
      <c r="J10947" t="str">
        <f>IFERROR(__xludf.DUMMYFUNCTION("IFS(
  AND(REGEXMATCH(E10947, ""台銀籌備帳戶|玉山帳戶""), REGEXMATCH(C10947, ""薪資"")), ""分潤支出"",
  AND(REGEXMATCH(E10947, ""Ben帳戶|Elsa帳戶|Ben代墊|Ariel代墊|中信銀行共用""), REGEXMATCH(F10947, ""Ben帳戶|Elsa帳戶|Ben代墊|Ariel代墊|中信銀行共用"")), ""內部轉帳(忽略)"",
  AND(E10947&lt;&gt;"""", F10947&lt;&gt;"&amp;""""", NOT(REGEXMATCH(C10947, ""薪資""))), ""內部轉帳(忽略)"",
  REGEXMATCH(C10947, ""薪資""), ""薪資變動(不計入)"",
  REGEXMATCH(C10947, ""押金""), ""押金往來"",
  AND(E10947&lt;&gt;"""", F10947=""""), ""真實支出"",
  AND(E10947="""", F10947&lt;&gt;""""), ""真實收入"",
  TRUE, ""其他""
)"),"其他")</f>
        <v>其他</v>
      </c>
      <c r="K10947" s="270" t="str">
        <f t="shared" si="2"/>
        <v/>
      </c>
      <c r="L10947">
        <f t="shared" si="3"/>
        <v>0</v>
      </c>
    </row>
    <row r="10948">
      <c r="A10948" s="107"/>
      <c r="D10948" s="270"/>
      <c r="H10948" s="106" t="str">
        <f t="shared" si="1"/>
        <v/>
      </c>
      <c r="J10948" t="str">
        <f>IFERROR(__xludf.DUMMYFUNCTION("IFS(
  AND(REGEXMATCH(E10948, ""台銀籌備帳戶|玉山帳戶""), REGEXMATCH(C10948, ""薪資"")), ""分潤支出"",
  AND(REGEXMATCH(E10948, ""Ben帳戶|Elsa帳戶|Ben代墊|Ariel代墊|中信銀行共用""), REGEXMATCH(F10948, ""Ben帳戶|Elsa帳戶|Ben代墊|Ariel代墊|中信銀行共用"")), ""內部轉帳(忽略)"",
  AND(E10948&lt;&gt;"""", F10948&lt;&gt;"&amp;""""", NOT(REGEXMATCH(C10948, ""薪資""))), ""內部轉帳(忽略)"",
  REGEXMATCH(C10948, ""薪資""), ""薪資變動(不計入)"",
  REGEXMATCH(C10948, ""押金""), ""押金往來"",
  AND(E10948&lt;&gt;"""", F10948=""""), ""真實支出"",
  AND(E10948="""", F10948&lt;&gt;""""), ""真實收入"",
  TRUE, ""其他""
)"),"其他")</f>
        <v>其他</v>
      </c>
      <c r="K10948" s="270" t="str">
        <f t="shared" si="2"/>
        <v/>
      </c>
      <c r="L10948">
        <f t="shared" si="3"/>
        <v>0</v>
      </c>
    </row>
    <row r="10949">
      <c r="A10949" s="107"/>
      <c r="D10949" s="270"/>
      <c r="H10949" s="106" t="str">
        <f t="shared" si="1"/>
        <v/>
      </c>
      <c r="J10949" t="str">
        <f>IFERROR(__xludf.DUMMYFUNCTION("IFS(
  AND(REGEXMATCH(E10949, ""台銀籌備帳戶|玉山帳戶""), REGEXMATCH(C10949, ""薪資"")), ""分潤支出"",
  AND(REGEXMATCH(E10949, ""Ben帳戶|Elsa帳戶|Ben代墊|Ariel代墊|中信銀行共用""), REGEXMATCH(F10949, ""Ben帳戶|Elsa帳戶|Ben代墊|Ariel代墊|中信銀行共用"")), ""內部轉帳(忽略)"",
  AND(E10949&lt;&gt;"""", F10949&lt;&gt;"&amp;""""", NOT(REGEXMATCH(C10949, ""薪資""))), ""內部轉帳(忽略)"",
  REGEXMATCH(C10949, ""薪資""), ""薪資變動(不計入)"",
  REGEXMATCH(C10949, ""押金""), ""押金往來"",
  AND(E10949&lt;&gt;"""", F10949=""""), ""真實支出"",
  AND(E10949="""", F10949&lt;&gt;""""), ""真實收入"",
  TRUE, ""其他""
)"),"其他")</f>
        <v>其他</v>
      </c>
      <c r="K10949" s="270" t="str">
        <f t="shared" si="2"/>
        <v/>
      </c>
      <c r="L10949">
        <f t="shared" si="3"/>
        <v>0</v>
      </c>
    </row>
    <row r="10950">
      <c r="A10950" s="107"/>
      <c r="D10950" s="270"/>
      <c r="H10950" s="106" t="str">
        <f t="shared" si="1"/>
        <v/>
      </c>
      <c r="J10950" t="str">
        <f>IFERROR(__xludf.DUMMYFUNCTION("IFS(
  AND(REGEXMATCH(E10950, ""台銀籌備帳戶|玉山帳戶""), REGEXMATCH(C10950, ""薪資"")), ""分潤支出"",
  AND(REGEXMATCH(E10950, ""Ben帳戶|Elsa帳戶|Ben代墊|Ariel代墊|中信銀行共用""), REGEXMATCH(F10950, ""Ben帳戶|Elsa帳戶|Ben代墊|Ariel代墊|中信銀行共用"")), ""內部轉帳(忽略)"",
  AND(E10950&lt;&gt;"""", F10950&lt;&gt;"&amp;""""", NOT(REGEXMATCH(C10950, ""薪資""))), ""內部轉帳(忽略)"",
  REGEXMATCH(C10950, ""薪資""), ""薪資變動(不計入)"",
  REGEXMATCH(C10950, ""押金""), ""押金往來"",
  AND(E10950&lt;&gt;"""", F10950=""""), ""真實支出"",
  AND(E10950="""", F10950&lt;&gt;""""), ""真實收入"",
  TRUE, ""其他""
)"),"其他")</f>
        <v>其他</v>
      </c>
      <c r="K10950" s="270" t="str">
        <f t="shared" si="2"/>
        <v/>
      </c>
      <c r="L10950">
        <f t="shared" si="3"/>
        <v>0</v>
      </c>
    </row>
    <row r="10951">
      <c r="A10951" s="107"/>
      <c r="D10951" s="270"/>
      <c r="H10951" s="106" t="str">
        <f t="shared" si="1"/>
        <v/>
      </c>
      <c r="J10951" t="str">
        <f>IFERROR(__xludf.DUMMYFUNCTION("IFS(
  AND(REGEXMATCH(E10951, ""台銀籌備帳戶|玉山帳戶""), REGEXMATCH(C10951, ""薪資"")), ""分潤支出"",
  AND(REGEXMATCH(E10951, ""Ben帳戶|Elsa帳戶|Ben代墊|Ariel代墊|中信銀行共用""), REGEXMATCH(F10951, ""Ben帳戶|Elsa帳戶|Ben代墊|Ariel代墊|中信銀行共用"")), ""內部轉帳(忽略)"",
  AND(E10951&lt;&gt;"""", F10951&lt;&gt;"&amp;""""", NOT(REGEXMATCH(C10951, ""薪資""))), ""內部轉帳(忽略)"",
  REGEXMATCH(C10951, ""薪資""), ""薪資變動(不計入)"",
  REGEXMATCH(C10951, ""押金""), ""押金往來"",
  AND(E10951&lt;&gt;"""", F10951=""""), ""真實支出"",
  AND(E10951="""", F10951&lt;&gt;""""), ""真實收入"",
  TRUE, ""其他""
)"),"其他")</f>
        <v>其他</v>
      </c>
      <c r="K10951" s="270" t="str">
        <f t="shared" si="2"/>
        <v/>
      </c>
      <c r="L10951">
        <f t="shared" si="3"/>
        <v>0</v>
      </c>
    </row>
    <row r="10952">
      <c r="A10952" s="107"/>
      <c r="D10952" s="270"/>
      <c r="H10952" s="106" t="str">
        <f t="shared" si="1"/>
        <v/>
      </c>
      <c r="J10952" t="str">
        <f>IFERROR(__xludf.DUMMYFUNCTION("IFS(
  AND(REGEXMATCH(E10952, ""台銀籌備帳戶|玉山帳戶""), REGEXMATCH(C10952, ""薪資"")), ""分潤支出"",
  AND(REGEXMATCH(E10952, ""Ben帳戶|Elsa帳戶|Ben代墊|Ariel代墊|中信銀行共用""), REGEXMATCH(F10952, ""Ben帳戶|Elsa帳戶|Ben代墊|Ariel代墊|中信銀行共用"")), ""內部轉帳(忽略)"",
  AND(E10952&lt;&gt;"""", F10952&lt;&gt;"&amp;""""", NOT(REGEXMATCH(C10952, ""薪資""))), ""內部轉帳(忽略)"",
  REGEXMATCH(C10952, ""薪資""), ""薪資變動(不計入)"",
  REGEXMATCH(C10952, ""押金""), ""押金往來"",
  AND(E10952&lt;&gt;"""", F10952=""""), ""真實支出"",
  AND(E10952="""", F10952&lt;&gt;""""), ""真實收入"",
  TRUE, ""其他""
)"),"其他")</f>
        <v>其他</v>
      </c>
      <c r="K10952" s="270" t="str">
        <f t="shared" si="2"/>
        <v/>
      </c>
      <c r="L10952">
        <f t="shared" si="3"/>
        <v>0</v>
      </c>
    </row>
    <row r="10953">
      <c r="A10953" s="107"/>
      <c r="D10953" s="270"/>
      <c r="H10953" s="106" t="str">
        <f t="shared" si="1"/>
        <v/>
      </c>
      <c r="J10953" t="str">
        <f>IFERROR(__xludf.DUMMYFUNCTION("IFS(
  AND(REGEXMATCH(E10953, ""台銀籌備帳戶|玉山帳戶""), REGEXMATCH(C10953, ""薪資"")), ""分潤支出"",
  AND(REGEXMATCH(E10953, ""Ben帳戶|Elsa帳戶|Ben代墊|Ariel代墊|中信銀行共用""), REGEXMATCH(F10953, ""Ben帳戶|Elsa帳戶|Ben代墊|Ariel代墊|中信銀行共用"")), ""內部轉帳(忽略)"",
  AND(E10953&lt;&gt;"""", F10953&lt;&gt;"&amp;""""", NOT(REGEXMATCH(C10953, ""薪資""))), ""內部轉帳(忽略)"",
  REGEXMATCH(C10953, ""薪資""), ""薪資變動(不計入)"",
  REGEXMATCH(C10953, ""押金""), ""押金往來"",
  AND(E10953&lt;&gt;"""", F10953=""""), ""真實支出"",
  AND(E10953="""", F10953&lt;&gt;""""), ""真實收入"",
  TRUE, ""其他""
)"),"其他")</f>
        <v>其他</v>
      </c>
      <c r="K10953" s="270" t="str">
        <f t="shared" si="2"/>
        <v/>
      </c>
      <c r="L10953">
        <f t="shared" si="3"/>
        <v>0</v>
      </c>
    </row>
    <row r="10954">
      <c r="A10954" s="107"/>
      <c r="D10954" s="270"/>
      <c r="H10954" s="106" t="str">
        <f t="shared" si="1"/>
        <v/>
      </c>
      <c r="J10954" t="str">
        <f>IFERROR(__xludf.DUMMYFUNCTION("IFS(
  AND(REGEXMATCH(E10954, ""台銀籌備帳戶|玉山帳戶""), REGEXMATCH(C10954, ""薪資"")), ""分潤支出"",
  AND(REGEXMATCH(E10954, ""Ben帳戶|Elsa帳戶|Ben代墊|Ariel代墊|中信銀行共用""), REGEXMATCH(F10954, ""Ben帳戶|Elsa帳戶|Ben代墊|Ariel代墊|中信銀行共用"")), ""內部轉帳(忽略)"",
  AND(E10954&lt;&gt;"""", F10954&lt;&gt;"&amp;""""", NOT(REGEXMATCH(C10954, ""薪資""))), ""內部轉帳(忽略)"",
  REGEXMATCH(C10954, ""薪資""), ""薪資變動(不計入)"",
  REGEXMATCH(C10954, ""押金""), ""押金往來"",
  AND(E10954&lt;&gt;"""", F10954=""""), ""真實支出"",
  AND(E10954="""", F10954&lt;&gt;""""), ""真實收入"",
  TRUE, ""其他""
)"),"其他")</f>
        <v>其他</v>
      </c>
      <c r="K10954" s="270" t="str">
        <f t="shared" si="2"/>
        <v/>
      </c>
      <c r="L10954">
        <f t="shared" si="3"/>
        <v>0</v>
      </c>
    </row>
    <row r="10955">
      <c r="A10955" s="107"/>
      <c r="D10955" s="270"/>
      <c r="H10955" s="106" t="str">
        <f t="shared" si="1"/>
        <v/>
      </c>
      <c r="J10955" t="str">
        <f>IFERROR(__xludf.DUMMYFUNCTION("IFS(
  AND(REGEXMATCH(E10955, ""台銀籌備帳戶|玉山帳戶""), REGEXMATCH(C10955, ""薪資"")), ""分潤支出"",
  AND(REGEXMATCH(E10955, ""Ben帳戶|Elsa帳戶|Ben代墊|Ariel代墊|中信銀行共用""), REGEXMATCH(F10955, ""Ben帳戶|Elsa帳戶|Ben代墊|Ariel代墊|中信銀行共用"")), ""內部轉帳(忽略)"",
  AND(E10955&lt;&gt;"""", F10955&lt;&gt;"&amp;""""", NOT(REGEXMATCH(C10955, ""薪資""))), ""內部轉帳(忽略)"",
  REGEXMATCH(C10955, ""薪資""), ""薪資變動(不計入)"",
  REGEXMATCH(C10955, ""押金""), ""押金往來"",
  AND(E10955&lt;&gt;"""", F10955=""""), ""真實支出"",
  AND(E10955="""", F10955&lt;&gt;""""), ""真實收入"",
  TRUE, ""其他""
)"),"其他")</f>
        <v>其他</v>
      </c>
      <c r="K10955" s="270" t="str">
        <f t="shared" si="2"/>
        <v/>
      </c>
      <c r="L10955">
        <f t="shared" si="3"/>
        <v>0</v>
      </c>
    </row>
    <row r="10956">
      <c r="A10956" s="107"/>
      <c r="D10956" s="270"/>
      <c r="H10956" s="106" t="str">
        <f t="shared" si="1"/>
        <v/>
      </c>
      <c r="J10956" t="str">
        <f>IFERROR(__xludf.DUMMYFUNCTION("IFS(
  AND(REGEXMATCH(E10956, ""台銀籌備帳戶|玉山帳戶""), REGEXMATCH(C10956, ""薪資"")), ""分潤支出"",
  AND(REGEXMATCH(E10956, ""Ben帳戶|Elsa帳戶|Ben代墊|Ariel代墊|中信銀行共用""), REGEXMATCH(F10956, ""Ben帳戶|Elsa帳戶|Ben代墊|Ariel代墊|中信銀行共用"")), ""內部轉帳(忽略)"",
  AND(E10956&lt;&gt;"""", F10956&lt;&gt;"&amp;""""", NOT(REGEXMATCH(C10956, ""薪資""))), ""內部轉帳(忽略)"",
  REGEXMATCH(C10956, ""薪資""), ""薪資變動(不計入)"",
  REGEXMATCH(C10956, ""押金""), ""押金往來"",
  AND(E10956&lt;&gt;"""", F10956=""""), ""真實支出"",
  AND(E10956="""", F10956&lt;&gt;""""), ""真實收入"",
  TRUE, ""其他""
)"),"其他")</f>
        <v>其他</v>
      </c>
      <c r="K10956" s="270" t="str">
        <f t="shared" si="2"/>
        <v/>
      </c>
      <c r="L10956">
        <f t="shared" si="3"/>
        <v>0</v>
      </c>
    </row>
    <row r="10957">
      <c r="A10957" s="107"/>
      <c r="D10957" s="270"/>
      <c r="H10957" s="106" t="str">
        <f t="shared" si="1"/>
        <v/>
      </c>
      <c r="J10957" t="str">
        <f>IFERROR(__xludf.DUMMYFUNCTION("IFS(
  AND(REGEXMATCH(E10957, ""台銀籌備帳戶|玉山帳戶""), REGEXMATCH(C10957, ""薪資"")), ""分潤支出"",
  AND(REGEXMATCH(E10957, ""Ben帳戶|Elsa帳戶|Ben代墊|Ariel代墊|中信銀行共用""), REGEXMATCH(F10957, ""Ben帳戶|Elsa帳戶|Ben代墊|Ariel代墊|中信銀行共用"")), ""內部轉帳(忽略)"",
  AND(E10957&lt;&gt;"""", F10957&lt;&gt;"&amp;""""", NOT(REGEXMATCH(C10957, ""薪資""))), ""內部轉帳(忽略)"",
  REGEXMATCH(C10957, ""薪資""), ""薪資變動(不計入)"",
  REGEXMATCH(C10957, ""押金""), ""押金往來"",
  AND(E10957&lt;&gt;"""", F10957=""""), ""真實支出"",
  AND(E10957="""", F10957&lt;&gt;""""), ""真實收入"",
  TRUE, ""其他""
)"),"其他")</f>
        <v>其他</v>
      </c>
      <c r="K10957" s="270" t="str">
        <f t="shared" si="2"/>
        <v/>
      </c>
      <c r="L10957">
        <f t="shared" si="3"/>
        <v>0</v>
      </c>
    </row>
    <row r="10958">
      <c r="A10958" s="107"/>
      <c r="D10958" s="270"/>
      <c r="H10958" s="106" t="str">
        <f t="shared" si="1"/>
        <v/>
      </c>
      <c r="J10958" t="str">
        <f>IFERROR(__xludf.DUMMYFUNCTION("IFS(
  AND(REGEXMATCH(E10958, ""台銀籌備帳戶|玉山帳戶""), REGEXMATCH(C10958, ""薪資"")), ""分潤支出"",
  AND(REGEXMATCH(E10958, ""Ben帳戶|Elsa帳戶|Ben代墊|Ariel代墊|中信銀行共用""), REGEXMATCH(F10958, ""Ben帳戶|Elsa帳戶|Ben代墊|Ariel代墊|中信銀行共用"")), ""內部轉帳(忽略)"",
  AND(E10958&lt;&gt;"""", F10958&lt;&gt;"&amp;""""", NOT(REGEXMATCH(C10958, ""薪資""))), ""內部轉帳(忽略)"",
  REGEXMATCH(C10958, ""薪資""), ""薪資變動(不計入)"",
  REGEXMATCH(C10958, ""押金""), ""押金往來"",
  AND(E10958&lt;&gt;"""", F10958=""""), ""真實支出"",
  AND(E10958="""", F10958&lt;&gt;""""), ""真實收入"",
  TRUE, ""其他""
)"),"其他")</f>
        <v>其他</v>
      </c>
      <c r="K10958" s="270" t="str">
        <f t="shared" si="2"/>
        <v/>
      </c>
      <c r="L10958">
        <f t="shared" si="3"/>
        <v>0</v>
      </c>
    </row>
    <row r="10959">
      <c r="A10959" s="107"/>
      <c r="D10959" s="270"/>
      <c r="H10959" s="106" t="str">
        <f t="shared" si="1"/>
        <v/>
      </c>
      <c r="J10959" t="str">
        <f>IFERROR(__xludf.DUMMYFUNCTION("IFS(
  AND(REGEXMATCH(E10959, ""台銀籌備帳戶|玉山帳戶""), REGEXMATCH(C10959, ""薪資"")), ""分潤支出"",
  AND(REGEXMATCH(E10959, ""Ben帳戶|Elsa帳戶|Ben代墊|Ariel代墊|中信銀行共用""), REGEXMATCH(F10959, ""Ben帳戶|Elsa帳戶|Ben代墊|Ariel代墊|中信銀行共用"")), ""內部轉帳(忽略)"",
  AND(E10959&lt;&gt;"""", F10959&lt;&gt;"&amp;""""", NOT(REGEXMATCH(C10959, ""薪資""))), ""內部轉帳(忽略)"",
  REGEXMATCH(C10959, ""薪資""), ""薪資變動(不計入)"",
  REGEXMATCH(C10959, ""押金""), ""押金往來"",
  AND(E10959&lt;&gt;"""", F10959=""""), ""真實支出"",
  AND(E10959="""", F10959&lt;&gt;""""), ""真實收入"",
  TRUE, ""其他""
)"),"其他")</f>
        <v>其他</v>
      </c>
      <c r="K10959" s="270" t="str">
        <f t="shared" si="2"/>
        <v/>
      </c>
      <c r="L10959">
        <f t="shared" si="3"/>
        <v>0</v>
      </c>
    </row>
    <row r="10960">
      <c r="A10960" s="107"/>
      <c r="D10960" s="270"/>
      <c r="H10960" s="106" t="str">
        <f t="shared" si="1"/>
        <v/>
      </c>
      <c r="J10960" t="str">
        <f>IFERROR(__xludf.DUMMYFUNCTION("IFS(
  AND(REGEXMATCH(E10960, ""台銀籌備帳戶|玉山帳戶""), REGEXMATCH(C10960, ""薪資"")), ""分潤支出"",
  AND(REGEXMATCH(E10960, ""Ben帳戶|Elsa帳戶|Ben代墊|Ariel代墊|中信銀行共用""), REGEXMATCH(F10960, ""Ben帳戶|Elsa帳戶|Ben代墊|Ariel代墊|中信銀行共用"")), ""內部轉帳(忽略)"",
  AND(E10960&lt;&gt;"""", F10960&lt;&gt;"&amp;""""", NOT(REGEXMATCH(C10960, ""薪資""))), ""內部轉帳(忽略)"",
  REGEXMATCH(C10960, ""薪資""), ""薪資變動(不計入)"",
  REGEXMATCH(C10960, ""押金""), ""押金往來"",
  AND(E10960&lt;&gt;"""", F10960=""""), ""真實支出"",
  AND(E10960="""", F10960&lt;&gt;""""), ""真實收入"",
  TRUE, ""其他""
)"),"其他")</f>
        <v>其他</v>
      </c>
      <c r="K10960" s="270" t="str">
        <f t="shared" si="2"/>
        <v/>
      </c>
      <c r="L10960">
        <f t="shared" si="3"/>
        <v>0</v>
      </c>
    </row>
    <row r="10961">
      <c r="A10961" s="107"/>
      <c r="D10961" s="270"/>
      <c r="H10961" s="106" t="str">
        <f t="shared" si="1"/>
        <v/>
      </c>
      <c r="J10961" t="str">
        <f>IFERROR(__xludf.DUMMYFUNCTION("IFS(
  AND(REGEXMATCH(E10961, ""台銀籌備帳戶|玉山帳戶""), REGEXMATCH(C10961, ""薪資"")), ""分潤支出"",
  AND(REGEXMATCH(E10961, ""Ben帳戶|Elsa帳戶|Ben代墊|Ariel代墊|中信銀行共用""), REGEXMATCH(F10961, ""Ben帳戶|Elsa帳戶|Ben代墊|Ariel代墊|中信銀行共用"")), ""內部轉帳(忽略)"",
  AND(E10961&lt;&gt;"""", F10961&lt;&gt;"&amp;""""", NOT(REGEXMATCH(C10961, ""薪資""))), ""內部轉帳(忽略)"",
  REGEXMATCH(C10961, ""薪資""), ""薪資變動(不計入)"",
  REGEXMATCH(C10961, ""押金""), ""押金往來"",
  AND(E10961&lt;&gt;"""", F10961=""""), ""真實支出"",
  AND(E10961="""", F10961&lt;&gt;""""), ""真實收入"",
  TRUE, ""其他""
)"),"其他")</f>
        <v>其他</v>
      </c>
      <c r="K10961" s="270" t="str">
        <f t="shared" si="2"/>
        <v/>
      </c>
      <c r="L10961">
        <f t="shared" si="3"/>
        <v>0</v>
      </c>
    </row>
    <row r="10962">
      <c r="A10962" s="107"/>
      <c r="D10962" s="270"/>
      <c r="H10962" s="106" t="str">
        <f t="shared" si="1"/>
        <v/>
      </c>
      <c r="J10962" t="str">
        <f>IFERROR(__xludf.DUMMYFUNCTION("IFS(
  AND(REGEXMATCH(E10962, ""台銀籌備帳戶|玉山帳戶""), REGEXMATCH(C10962, ""薪資"")), ""分潤支出"",
  AND(REGEXMATCH(E10962, ""Ben帳戶|Elsa帳戶|Ben代墊|Ariel代墊|中信銀行共用""), REGEXMATCH(F10962, ""Ben帳戶|Elsa帳戶|Ben代墊|Ariel代墊|中信銀行共用"")), ""內部轉帳(忽略)"",
  AND(E10962&lt;&gt;"""", F10962&lt;&gt;"&amp;""""", NOT(REGEXMATCH(C10962, ""薪資""))), ""內部轉帳(忽略)"",
  REGEXMATCH(C10962, ""薪資""), ""薪資變動(不計入)"",
  REGEXMATCH(C10962, ""押金""), ""押金往來"",
  AND(E10962&lt;&gt;"""", F10962=""""), ""真實支出"",
  AND(E10962="""", F10962&lt;&gt;""""), ""真實收入"",
  TRUE, ""其他""
)"),"其他")</f>
        <v>其他</v>
      </c>
      <c r="K10962" s="270" t="str">
        <f t="shared" si="2"/>
        <v/>
      </c>
      <c r="L10962">
        <f t="shared" si="3"/>
        <v>0</v>
      </c>
    </row>
    <row r="10963">
      <c r="A10963" s="107"/>
      <c r="D10963" s="270"/>
      <c r="H10963" s="106" t="str">
        <f t="shared" si="1"/>
        <v/>
      </c>
      <c r="J10963" t="str">
        <f>IFERROR(__xludf.DUMMYFUNCTION("IFS(
  AND(REGEXMATCH(E10963, ""台銀籌備帳戶|玉山帳戶""), REGEXMATCH(C10963, ""薪資"")), ""分潤支出"",
  AND(REGEXMATCH(E10963, ""Ben帳戶|Elsa帳戶|Ben代墊|Ariel代墊|中信銀行共用""), REGEXMATCH(F10963, ""Ben帳戶|Elsa帳戶|Ben代墊|Ariel代墊|中信銀行共用"")), ""內部轉帳(忽略)"",
  AND(E10963&lt;&gt;"""", F10963&lt;&gt;"&amp;""""", NOT(REGEXMATCH(C10963, ""薪資""))), ""內部轉帳(忽略)"",
  REGEXMATCH(C10963, ""薪資""), ""薪資變動(不計入)"",
  REGEXMATCH(C10963, ""押金""), ""押金往來"",
  AND(E10963&lt;&gt;"""", F10963=""""), ""真實支出"",
  AND(E10963="""", F10963&lt;&gt;""""), ""真實收入"",
  TRUE, ""其他""
)"),"其他")</f>
        <v>其他</v>
      </c>
      <c r="K10963" s="270" t="str">
        <f t="shared" si="2"/>
        <v/>
      </c>
      <c r="L10963">
        <f t="shared" si="3"/>
        <v>0</v>
      </c>
    </row>
    <row r="10964">
      <c r="A10964" s="107"/>
      <c r="D10964" s="270"/>
      <c r="H10964" s="106" t="str">
        <f t="shared" si="1"/>
        <v/>
      </c>
      <c r="J10964" t="str">
        <f>IFERROR(__xludf.DUMMYFUNCTION("IFS(
  AND(REGEXMATCH(E10964, ""台銀籌備帳戶|玉山帳戶""), REGEXMATCH(C10964, ""薪資"")), ""分潤支出"",
  AND(REGEXMATCH(E10964, ""Ben帳戶|Elsa帳戶|Ben代墊|Ariel代墊|中信銀行共用""), REGEXMATCH(F10964, ""Ben帳戶|Elsa帳戶|Ben代墊|Ariel代墊|中信銀行共用"")), ""內部轉帳(忽略)"",
  AND(E10964&lt;&gt;"""", F10964&lt;&gt;"&amp;""""", NOT(REGEXMATCH(C10964, ""薪資""))), ""內部轉帳(忽略)"",
  REGEXMATCH(C10964, ""薪資""), ""薪資變動(不計入)"",
  REGEXMATCH(C10964, ""押金""), ""押金往來"",
  AND(E10964&lt;&gt;"""", F10964=""""), ""真實支出"",
  AND(E10964="""", F10964&lt;&gt;""""), ""真實收入"",
  TRUE, ""其他""
)"),"其他")</f>
        <v>其他</v>
      </c>
      <c r="K10964" s="270" t="str">
        <f t="shared" si="2"/>
        <v/>
      </c>
      <c r="L10964">
        <f t="shared" si="3"/>
        <v>0</v>
      </c>
    </row>
    <row r="10965">
      <c r="A10965" s="107"/>
      <c r="D10965" s="270"/>
      <c r="H10965" s="106" t="str">
        <f t="shared" si="1"/>
        <v/>
      </c>
      <c r="J10965" t="str">
        <f>IFERROR(__xludf.DUMMYFUNCTION("IFS(
  AND(REGEXMATCH(E10965, ""台銀籌備帳戶|玉山帳戶""), REGEXMATCH(C10965, ""薪資"")), ""分潤支出"",
  AND(REGEXMATCH(E10965, ""Ben帳戶|Elsa帳戶|Ben代墊|Ariel代墊|中信銀行共用""), REGEXMATCH(F10965, ""Ben帳戶|Elsa帳戶|Ben代墊|Ariel代墊|中信銀行共用"")), ""內部轉帳(忽略)"",
  AND(E10965&lt;&gt;"""", F10965&lt;&gt;"&amp;""""", NOT(REGEXMATCH(C10965, ""薪資""))), ""內部轉帳(忽略)"",
  REGEXMATCH(C10965, ""薪資""), ""薪資變動(不計入)"",
  REGEXMATCH(C10965, ""押金""), ""押金往來"",
  AND(E10965&lt;&gt;"""", F10965=""""), ""真實支出"",
  AND(E10965="""", F10965&lt;&gt;""""), ""真實收入"",
  TRUE, ""其他""
)"),"其他")</f>
        <v>其他</v>
      </c>
      <c r="K10965" s="270" t="str">
        <f t="shared" si="2"/>
        <v/>
      </c>
      <c r="L10965">
        <f t="shared" si="3"/>
        <v>0</v>
      </c>
    </row>
    <row r="10966">
      <c r="A10966" s="107"/>
      <c r="D10966" s="270"/>
      <c r="H10966" s="106" t="str">
        <f t="shared" si="1"/>
        <v/>
      </c>
      <c r="J10966" t="str">
        <f>IFERROR(__xludf.DUMMYFUNCTION("IFS(
  AND(REGEXMATCH(E10966, ""台銀籌備帳戶|玉山帳戶""), REGEXMATCH(C10966, ""薪資"")), ""分潤支出"",
  AND(REGEXMATCH(E10966, ""Ben帳戶|Elsa帳戶|Ben代墊|Ariel代墊|中信銀行共用""), REGEXMATCH(F10966, ""Ben帳戶|Elsa帳戶|Ben代墊|Ariel代墊|中信銀行共用"")), ""內部轉帳(忽略)"",
  AND(E10966&lt;&gt;"""", F10966&lt;&gt;"&amp;""""", NOT(REGEXMATCH(C10966, ""薪資""))), ""內部轉帳(忽略)"",
  REGEXMATCH(C10966, ""薪資""), ""薪資變動(不計入)"",
  REGEXMATCH(C10966, ""押金""), ""押金往來"",
  AND(E10966&lt;&gt;"""", F10966=""""), ""真實支出"",
  AND(E10966="""", F10966&lt;&gt;""""), ""真實收入"",
  TRUE, ""其他""
)"),"其他")</f>
        <v>其他</v>
      </c>
      <c r="K10966" s="270" t="str">
        <f t="shared" si="2"/>
        <v/>
      </c>
      <c r="L10966">
        <f t="shared" si="3"/>
        <v>0</v>
      </c>
    </row>
    <row r="10967">
      <c r="A10967" s="107"/>
      <c r="D10967" s="270"/>
      <c r="H10967" s="106" t="str">
        <f t="shared" si="1"/>
        <v/>
      </c>
      <c r="J10967" t="str">
        <f>IFERROR(__xludf.DUMMYFUNCTION("IFS(
  AND(REGEXMATCH(E10967, ""台銀籌備帳戶|玉山帳戶""), REGEXMATCH(C10967, ""薪資"")), ""分潤支出"",
  AND(REGEXMATCH(E10967, ""Ben帳戶|Elsa帳戶|Ben代墊|Ariel代墊|中信銀行共用""), REGEXMATCH(F10967, ""Ben帳戶|Elsa帳戶|Ben代墊|Ariel代墊|中信銀行共用"")), ""內部轉帳(忽略)"",
  AND(E10967&lt;&gt;"""", F10967&lt;&gt;"&amp;""""", NOT(REGEXMATCH(C10967, ""薪資""))), ""內部轉帳(忽略)"",
  REGEXMATCH(C10967, ""薪資""), ""薪資變動(不計入)"",
  REGEXMATCH(C10967, ""押金""), ""押金往來"",
  AND(E10967&lt;&gt;"""", F10967=""""), ""真實支出"",
  AND(E10967="""", F10967&lt;&gt;""""), ""真實收入"",
  TRUE, ""其他""
)"),"其他")</f>
        <v>其他</v>
      </c>
      <c r="K10967" s="270" t="str">
        <f t="shared" si="2"/>
        <v/>
      </c>
      <c r="L10967">
        <f t="shared" si="3"/>
        <v>0</v>
      </c>
    </row>
    <row r="10968">
      <c r="A10968" s="107"/>
      <c r="D10968" s="270"/>
      <c r="H10968" s="106" t="str">
        <f t="shared" si="1"/>
        <v/>
      </c>
      <c r="J10968" t="str">
        <f>IFERROR(__xludf.DUMMYFUNCTION("IFS(
  AND(REGEXMATCH(E10968, ""台銀籌備帳戶|玉山帳戶""), REGEXMATCH(C10968, ""薪資"")), ""分潤支出"",
  AND(REGEXMATCH(E10968, ""Ben帳戶|Elsa帳戶|Ben代墊|Ariel代墊|中信銀行共用""), REGEXMATCH(F10968, ""Ben帳戶|Elsa帳戶|Ben代墊|Ariel代墊|中信銀行共用"")), ""內部轉帳(忽略)"",
  AND(E10968&lt;&gt;"""", F10968&lt;&gt;"&amp;""""", NOT(REGEXMATCH(C10968, ""薪資""))), ""內部轉帳(忽略)"",
  REGEXMATCH(C10968, ""薪資""), ""薪資變動(不計入)"",
  REGEXMATCH(C10968, ""押金""), ""押金往來"",
  AND(E10968&lt;&gt;"""", F10968=""""), ""真實支出"",
  AND(E10968="""", F10968&lt;&gt;""""), ""真實收入"",
  TRUE, ""其他""
)"),"其他")</f>
        <v>其他</v>
      </c>
      <c r="K10968" s="270" t="str">
        <f t="shared" si="2"/>
        <v/>
      </c>
      <c r="L10968">
        <f t="shared" si="3"/>
        <v>0</v>
      </c>
    </row>
    <row r="10969">
      <c r="A10969" s="107"/>
      <c r="D10969" s="270"/>
      <c r="H10969" s="106" t="str">
        <f t="shared" si="1"/>
        <v/>
      </c>
      <c r="J10969" t="str">
        <f>IFERROR(__xludf.DUMMYFUNCTION("IFS(
  AND(REGEXMATCH(E10969, ""台銀籌備帳戶|玉山帳戶""), REGEXMATCH(C10969, ""薪資"")), ""分潤支出"",
  AND(REGEXMATCH(E10969, ""Ben帳戶|Elsa帳戶|Ben代墊|Ariel代墊|中信銀行共用""), REGEXMATCH(F10969, ""Ben帳戶|Elsa帳戶|Ben代墊|Ariel代墊|中信銀行共用"")), ""內部轉帳(忽略)"",
  AND(E10969&lt;&gt;"""", F10969&lt;&gt;"&amp;""""", NOT(REGEXMATCH(C10969, ""薪資""))), ""內部轉帳(忽略)"",
  REGEXMATCH(C10969, ""薪資""), ""薪資變動(不計入)"",
  REGEXMATCH(C10969, ""押金""), ""押金往來"",
  AND(E10969&lt;&gt;"""", F10969=""""), ""真實支出"",
  AND(E10969="""", F10969&lt;&gt;""""), ""真實收入"",
  TRUE, ""其他""
)"),"其他")</f>
        <v>其他</v>
      </c>
      <c r="K10969" s="270" t="str">
        <f t="shared" si="2"/>
        <v/>
      </c>
      <c r="L10969">
        <f t="shared" si="3"/>
        <v>0</v>
      </c>
    </row>
    <row r="10970">
      <c r="A10970" s="107"/>
      <c r="D10970" s="270"/>
      <c r="H10970" s="106" t="str">
        <f t="shared" si="1"/>
        <v/>
      </c>
      <c r="J10970" t="str">
        <f>IFERROR(__xludf.DUMMYFUNCTION("IFS(
  AND(REGEXMATCH(E10970, ""台銀籌備帳戶|玉山帳戶""), REGEXMATCH(C10970, ""薪資"")), ""分潤支出"",
  AND(REGEXMATCH(E10970, ""Ben帳戶|Elsa帳戶|Ben代墊|Ariel代墊|中信銀行共用""), REGEXMATCH(F10970, ""Ben帳戶|Elsa帳戶|Ben代墊|Ariel代墊|中信銀行共用"")), ""內部轉帳(忽略)"",
  AND(E10970&lt;&gt;"""", F10970&lt;&gt;"&amp;""""", NOT(REGEXMATCH(C10970, ""薪資""))), ""內部轉帳(忽略)"",
  REGEXMATCH(C10970, ""薪資""), ""薪資變動(不計入)"",
  REGEXMATCH(C10970, ""押金""), ""押金往來"",
  AND(E10970&lt;&gt;"""", F10970=""""), ""真實支出"",
  AND(E10970="""", F10970&lt;&gt;""""), ""真實收入"",
  TRUE, ""其他""
)"),"其他")</f>
        <v>其他</v>
      </c>
      <c r="K10970" s="270" t="str">
        <f t="shared" si="2"/>
        <v/>
      </c>
      <c r="L10970">
        <f t="shared" si="3"/>
        <v>0</v>
      </c>
    </row>
    <row r="10971">
      <c r="A10971" s="107"/>
      <c r="D10971" s="270"/>
      <c r="H10971" s="106" t="str">
        <f t="shared" si="1"/>
        <v/>
      </c>
      <c r="J10971" t="str">
        <f>IFERROR(__xludf.DUMMYFUNCTION("IFS(
  AND(REGEXMATCH(E10971, ""台銀籌備帳戶|玉山帳戶""), REGEXMATCH(C10971, ""薪資"")), ""分潤支出"",
  AND(REGEXMATCH(E10971, ""Ben帳戶|Elsa帳戶|Ben代墊|Ariel代墊|中信銀行共用""), REGEXMATCH(F10971, ""Ben帳戶|Elsa帳戶|Ben代墊|Ariel代墊|中信銀行共用"")), ""內部轉帳(忽略)"",
  AND(E10971&lt;&gt;"""", F10971&lt;&gt;"&amp;""""", NOT(REGEXMATCH(C10971, ""薪資""))), ""內部轉帳(忽略)"",
  REGEXMATCH(C10971, ""薪資""), ""薪資變動(不計入)"",
  REGEXMATCH(C10971, ""押金""), ""押金往來"",
  AND(E10971&lt;&gt;"""", F10971=""""), ""真實支出"",
  AND(E10971="""", F10971&lt;&gt;""""), ""真實收入"",
  TRUE, ""其他""
)"),"其他")</f>
        <v>其他</v>
      </c>
      <c r="K10971" s="270" t="str">
        <f t="shared" si="2"/>
        <v/>
      </c>
      <c r="L10971">
        <f t="shared" si="3"/>
        <v>0</v>
      </c>
    </row>
    <row r="10972">
      <c r="A10972" s="107"/>
      <c r="D10972" s="270"/>
      <c r="H10972" s="106" t="str">
        <f t="shared" si="1"/>
        <v/>
      </c>
      <c r="J10972" t="str">
        <f>IFERROR(__xludf.DUMMYFUNCTION("IFS(
  AND(REGEXMATCH(E10972, ""台銀籌備帳戶|玉山帳戶""), REGEXMATCH(C10972, ""薪資"")), ""分潤支出"",
  AND(REGEXMATCH(E10972, ""Ben帳戶|Elsa帳戶|Ben代墊|Ariel代墊|中信銀行共用""), REGEXMATCH(F10972, ""Ben帳戶|Elsa帳戶|Ben代墊|Ariel代墊|中信銀行共用"")), ""內部轉帳(忽略)"",
  AND(E10972&lt;&gt;"""", F10972&lt;&gt;"&amp;""""", NOT(REGEXMATCH(C10972, ""薪資""))), ""內部轉帳(忽略)"",
  REGEXMATCH(C10972, ""薪資""), ""薪資變動(不計入)"",
  REGEXMATCH(C10972, ""押金""), ""押金往來"",
  AND(E10972&lt;&gt;"""", F10972=""""), ""真實支出"",
  AND(E10972="""", F10972&lt;&gt;""""), ""真實收入"",
  TRUE, ""其他""
)"),"其他")</f>
        <v>其他</v>
      </c>
      <c r="K10972" s="270" t="str">
        <f t="shared" si="2"/>
        <v/>
      </c>
      <c r="L10972">
        <f t="shared" si="3"/>
        <v>0</v>
      </c>
    </row>
    <row r="10973">
      <c r="A10973" s="107"/>
      <c r="D10973" s="270"/>
      <c r="H10973" s="106" t="str">
        <f t="shared" si="1"/>
        <v/>
      </c>
      <c r="J10973" t="str">
        <f>IFERROR(__xludf.DUMMYFUNCTION("IFS(
  AND(REGEXMATCH(E10973, ""台銀籌備帳戶|玉山帳戶""), REGEXMATCH(C10973, ""薪資"")), ""分潤支出"",
  AND(REGEXMATCH(E10973, ""Ben帳戶|Elsa帳戶|Ben代墊|Ariel代墊|中信銀行共用""), REGEXMATCH(F10973, ""Ben帳戶|Elsa帳戶|Ben代墊|Ariel代墊|中信銀行共用"")), ""內部轉帳(忽略)"",
  AND(E10973&lt;&gt;"""", F10973&lt;&gt;"&amp;""""", NOT(REGEXMATCH(C10973, ""薪資""))), ""內部轉帳(忽略)"",
  REGEXMATCH(C10973, ""薪資""), ""薪資變動(不計入)"",
  REGEXMATCH(C10973, ""押金""), ""押金往來"",
  AND(E10973&lt;&gt;"""", F10973=""""), ""真實支出"",
  AND(E10973="""", F10973&lt;&gt;""""), ""真實收入"",
  TRUE, ""其他""
)"),"其他")</f>
        <v>其他</v>
      </c>
      <c r="K10973" s="270" t="str">
        <f t="shared" si="2"/>
        <v/>
      </c>
      <c r="L10973">
        <f t="shared" si="3"/>
        <v>0</v>
      </c>
    </row>
    <row r="10974">
      <c r="A10974" s="107"/>
      <c r="D10974" s="270"/>
      <c r="H10974" s="106" t="str">
        <f t="shared" si="1"/>
        <v/>
      </c>
      <c r="J10974" t="str">
        <f>IFERROR(__xludf.DUMMYFUNCTION("IFS(
  AND(REGEXMATCH(E10974, ""台銀籌備帳戶|玉山帳戶""), REGEXMATCH(C10974, ""薪資"")), ""分潤支出"",
  AND(REGEXMATCH(E10974, ""Ben帳戶|Elsa帳戶|Ben代墊|Ariel代墊|中信銀行共用""), REGEXMATCH(F10974, ""Ben帳戶|Elsa帳戶|Ben代墊|Ariel代墊|中信銀行共用"")), ""內部轉帳(忽略)"",
  AND(E10974&lt;&gt;"""", F10974&lt;&gt;"&amp;""""", NOT(REGEXMATCH(C10974, ""薪資""))), ""內部轉帳(忽略)"",
  REGEXMATCH(C10974, ""薪資""), ""薪資變動(不計入)"",
  REGEXMATCH(C10974, ""押金""), ""押金往來"",
  AND(E10974&lt;&gt;"""", F10974=""""), ""真實支出"",
  AND(E10974="""", F10974&lt;&gt;""""), ""真實收入"",
  TRUE, ""其他""
)"),"其他")</f>
        <v>其他</v>
      </c>
      <c r="K10974" s="270" t="str">
        <f t="shared" si="2"/>
        <v/>
      </c>
      <c r="L10974">
        <f t="shared" si="3"/>
        <v>0</v>
      </c>
    </row>
    <row r="10975">
      <c r="A10975" s="107"/>
      <c r="D10975" s="270"/>
      <c r="H10975" s="106" t="str">
        <f t="shared" si="1"/>
        <v/>
      </c>
      <c r="J10975" t="str">
        <f>IFERROR(__xludf.DUMMYFUNCTION("IFS(
  AND(REGEXMATCH(E10975, ""台銀籌備帳戶|玉山帳戶""), REGEXMATCH(C10975, ""薪資"")), ""分潤支出"",
  AND(REGEXMATCH(E10975, ""Ben帳戶|Elsa帳戶|Ben代墊|Ariel代墊|中信銀行共用""), REGEXMATCH(F10975, ""Ben帳戶|Elsa帳戶|Ben代墊|Ariel代墊|中信銀行共用"")), ""內部轉帳(忽略)"",
  AND(E10975&lt;&gt;"""", F10975&lt;&gt;"&amp;""""", NOT(REGEXMATCH(C10975, ""薪資""))), ""內部轉帳(忽略)"",
  REGEXMATCH(C10975, ""薪資""), ""薪資變動(不計入)"",
  REGEXMATCH(C10975, ""押金""), ""押金往來"",
  AND(E10975&lt;&gt;"""", F10975=""""), ""真實支出"",
  AND(E10975="""", F10975&lt;&gt;""""), ""真實收入"",
  TRUE, ""其他""
)"),"其他")</f>
        <v>其他</v>
      </c>
      <c r="K10975" s="270" t="str">
        <f t="shared" si="2"/>
        <v/>
      </c>
      <c r="L10975">
        <f t="shared" si="3"/>
        <v>0</v>
      </c>
    </row>
    <row r="10976">
      <c r="A10976" s="107"/>
      <c r="D10976" s="270"/>
      <c r="H10976" s="106" t="str">
        <f t="shared" si="1"/>
        <v/>
      </c>
      <c r="J10976" t="str">
        <f>IFERROR(__xludf.DUMMYFUNCTION("IFS(
  AND(REGEXMATCH(E10976, ""台銀籌備帳戶|玉山帳戶""), REGEXMATCH(C10976, ""薪資"")), ""分潤支出"",
  AND(REGEXMATCH(E10976, ""Ben帳戶|Elsa帳戶|Ben代墊|Ariel代墊|中信銀行共用""), REGEXMATCH(F10976, ""Ben帳戶|Elsa帳戶|Ben代墊|Ariel代墊|中信銀行共用"")), ""內部轉帳(忽略)"",
  AND(E10976&lt;&gt;"""", F10976&lt;&gt;"&amp;""""", NOT(REGEXMATCH(C10976, ""薪資""))), ""內部轉帳(忽略)"",
  REGEXMATCH(C10976, ""薪資""), ""薪資變動(不計入)"",
  REGEXMATCH(C10976, ""押金""), ""押金往來"",
  AND(E10976&lt;&gt;"""", F10976=""""), ""真實支出"",
  AND(E10976="""", F10976&lt;&gt;""""), ""真實收入"",
  TRUE, ""其他""
)"),"其他")</f>
        <v>其他</v>
      </c>
      <c r="K10976" s="270" t="str">
        <f t="shared" si="2"/>
        <v/>
      </c>
      <c r="L10976">
        <f t="shared" si="3"/>
        <v>0</v>
      </c>
    </row>
    <row r="10977">
      <c r="A10977" s="107"/>
      <c r="D10977" s="270"/>
      <c r="H10977" s="106" t="str">
        <f t="shared" si="1"/>
        <v/>
      </c>
      <c r="J10977" t="str">
        <f>IFERROR(__xludf.DUMMYFUNCTION("IFS(
  AND(REGEXMATCH(E10977, ""台銀籌備帳戶|玉山帳戶""), REGEXMATCH(C10977, ""薪資"")), ""分潤支出"",
  AND(REGEXMATCH(E10977, ""Ben帳戶|Elsa帳戶|Ben代墊|Ariel代墊|中信銀行共用""), REGEXMATCH(F10977, ""Ben帳戶|Elsa帳戶|Ben代墊|Ariel代墊|中信銀行共用"")), ""內部轉帳(忽略)"",
  AND(E10977&lt;&gt;"""", F10977&lt;&gt;"&amp;""""", NOT(REGEXMATCH(C10977, ""薪資""))), ""內部轉帳(忽略)"",
  REGEXMATCH(C10977, ""薪資""), ""薪資變動(不計入)"",
  REGEXMATCH(C10977, ""押金""), ""押金往來"",
  AND(E10977&lt;&gt;"""", F10977=""""), ""真實支出"",
  AND(E10977="""", F10977&lt;&gt;""""), ""真實收入"",
  TRUE, ""其他""
)"),"其他")</f>
        <v>其他</v>
      </c>
      <c r="K10977" s="270" t="str">
        <f t="shared" si="2"/>
        <v/>
      </c>
      <c r="L10977">
        <f t="shared" si="3"/>
        <v>0</v>
      </c>
    </row>
    <row r="10978">
      <c r="A10978" s="107"/>
      <c r="D10978" s="270"/>
      <c r="H10978" s="106" t="str">
        <f t="shared" si="1"/>
        <v/>
      </c>
      <c r="J10978" t="str">
        <f>IFERROR(__xludf.DUMMYFUNCTION("IFS(
  AND(REGEXMATCH(E10978, ""台銀籌備帳戶|玉山帳戶""), REGEXMATCH(C10978, ""薪資"")), ""分潤支出"",
  AND(REGEXMATCH(E10978, ""Ben帳戶|Elsa帳戶|Ben代墊|Ariel代墊|中信銀行共用""), REGEXMATCH(F10978, ""Ben帳戶|Elsa帳戶|Ben代墊|Ariel代墊|中信銀行共用"")), ""內部轉帳(忽略)"",
  AND(E10978&lt;&gt;"""", F10978&lt;&gt;"&amp;""""", NOT(REGEXMATCH(C10978, ""薪資""))), ""內部轉帳(忽略)"",
  REGEXMATCH(C10978, ""薪資""), ""薪資變動(不計入)"",
  REGEXMATCH(C10978, ""押金""), ""押金往來"",
  AND(E10978&lt;&gt;"""", F10978=""""), ""真實支出"",
  AND(E10978="""", F10978&lt;&gt;""""), ""真實收入"",
  TRUE, ""其他""
)"),"其他")</f>
        <v>其他</v>
      </c>
      <c r="K10978" s="270" t="str">
        <f t="shared" si="2"/>
        <v/>
      </c>
      <c r="L10978">
        <f t="shared" si="3"/>
        <v>0</v>
      </c>
    </row>
    <row r="10979">
      <c r="A10979" s="107"/>
      <c r="D10979" s="270"/>
      <c r="H10979" s="106" t="str">
        <f t="shared" si="1"/>
        <v/>
      </c>
      <c r="J10979" t="str">
        <f>IFERROR(__xludf.DUMMYFUNCTION("IFS(
  AND(REGEXMATCH(E10979, ""台銀籌備帳戶|玉山帳戶""), REGEXMATCH(C10979, ""薪資"")), ""分潤支出"",
  AND(REGEXMATCH(E10979, ""Ben帳戶|Elsa帳戶|Ben代墊|Ariel代墊|中信銀行共用""), REGEXMATCH(F10979, ""Ben帳戶|Elsa帳戶|Ben代墊|Ariel代墊|中信銀行共用"")), ""內部轉帳(忽略)"",
  AND(E10979&lt;&gt;"""", F10979&lt;&gt;"&amp;""""", NOT(REGEXMATCH(C10979, ""薪資""))), ""內部轉帳(忽略)"",
  REGEXMATCH(C10979, ""薪資""), ""薪資變動(不計入)"",
  REGEXMATCH(C10979, ""押金""), ""押金往來"",
  AND(E10979&lt;&gt;"""", F10979=""""), ""真實支出"",
  AND(E10979="""", F10979&lt;&gt;""""), ""真實收入"",
  TRUE, ""其他""
)"),"其他")</f>
        <v>其他</v>
      </c>
      <c r="K10979" s="270" t="str">
        <f t="shared" si="2"/>
        <v/>
      </c>
      <c r="L10979">
        <f t="shared" si="3"/>
        <v>0</v>
      </c>
    </row>
    <row r="10980">
      <c r="A10980" s="107"/>
      <c r="D10980" s="270"/>
      <c r="H10980" s="106" t="str">
        <f t="shared" si="1"/>
        <v/>
      </c>
      <c r="J10980" t="str">
        <f>IFERROR(__xludf.DUMMYFUNCTION("IFS(
  AND(REGEXMATCH(E10980, ""台銀籌備帳戶|玉山帳戶""), REGEXMATCH(C10980, ""薪資"")), ""分潤支出"",
  AND(REGEXMATCH(E10980, ""Ben帳戶|Elsa帳戶|Ben代墊|Ariel代墊|中信銀行共用""), REGEXMATCH(F10980, ""Ben帳戶|Elsa帳戶|Ben代墊|Ariel代墊|中信銀行共用"")), ""內部轉帳(忽略)"",
  AND(E10980&lt;&gt;"""", F10980&lt;&gt;"&amp;""""", NOT(REGEXMATCH(C10980, ""薪資""))), ""內部轉帳(忽略)"",
  REGEXMATCH(C10980, ""薪資""), ""薪資變動(不計入)"",
  REGEXMATCH(C10980, ""押金""), ""押金往來"",
  AND(E10980&lt;&gt;"""", F10980=""""), ""真實支出"",
  AND(E10980="""", F10980&lt;&gt;""""), ""真實收入"",
  TRUE, ""其他""
)"),"其他")</f>
        <v>其他</v>
      </c>
      <c r="K10980" s="270" t="str">
        <f t="shared" si="2"/>
        <v/>
      </c>
      <c r="L10980">
        <f t="shared" si="3"/>
        <v>0</v>
      </c>
    </row>
    <row r="10981">
      <c r="A10981" s="107"/>
      <c r="D10981" s="270"/>
      <c r="H10981" s="106" t="str">
        <f t="shared" si="1"/>
        <v/>
      </c>
      <c r="J10981" t="str">
        <f>IFERROR(__xludf.DUMMYFUNCTION("IFS(
  AND(REGEXMATCH(E10981, ""台銀籌備帳戶|玉山帳戶""), REGEXMATCH(C10981, ""薪資"")), ""分潤支出"",
  AND(REGEXMATCH(E10981, ""Ben帳戶|Elsa帳戶|Ben代墊|Ariel代墊|中信銀行共用""), REGEXMATCH(F10981, ""Ben帳戶|Elsa帳戶|Ben代墊|Ariel代墊|中信銀行共用"")), ""內部轉帳(忽略)"",
  AND(E10981&lt;&gt;"""", F10981&lt;&gt;"&amp;""""", NOT(REGEXMATCH(C10981, ""薪資""))), ""內部轉帳(忽略)"",
  REGEXMATCH(C10981, ""薪資""), ""薪資變動(不計入)"",
  REGEXMATCH(C10981, ""押金""), ""押金往來"",
  AND(E10981&lt;&gt;"""", F10981=""""), ""真實支出"",
  AND(E10981="""", F10981&lt;&gt;""""), ""真實收入"",
  TRUE, ""其他""
)"),"其他")</f>
        <v>其他</v>
      </c>
      <c r="K10981" s="270" t="str">
        <f t="shared" si="2"/>
        <v/>
      </c>
      <c r="L10981">
        <f t="shared" si="3"/>
        <v>0</v>
      </c>
    </row>
    <row r="10982">
      <c r="A10982" s="107"/>
      <c r="D10982" s="270"/>
      <c r="H10982" s="106" t="str">
        <f t="shared" si="1"/>
        <v/>
      </c>
      <c r="J10982" t="str">
        <f>IFERROR(__xludf.DUMMYFUNCTION("IFS(
  AND(REGEXMATCH(E10982, ""台銀籌備帳戶|玉山帳戶""), REGEXMATCH(C10982, ""薪資"")), ""分潤支出"",
  AND(REGEXMATCH(E10982, ""Ben帳戶|Elsa帳戶|Ben代墊|Ariel代墊|中信銀行共用""), REGEXMATCH(F10982, ""Ben帳戶|Elsa帳戶|Ben代墊|Ariel代墊|中信銀行共用"")), ""內部轉帳(忽略)"",
  AND(E10982&lt;&gt;"""", F10982&lt;&gt;"&amp;""""", NOT(REGEXMATCH(C10982, ""薪資""))), ""內部轉帳(忽略)"",
  REGEXMATCH(C10982, ""薪資""), ""薪資變動(不計入)"",
  REGEXMATCH(C10982, ""押金""), ""押金往來"",
  AND(E10982&lt;&gt;"""", F10982=""""), ""真實支出"",
  AND(E10982="""", F10982&lt;&gt;""""), ""真實收入"",
  TRUE, ""其他""
)"),"其他")</f>
        <v>其他</v>
      </c>
      <c r="K10982" s="270" t="str">
        <f t="shared" si="2"/>
        <v/>
      </c>
      <c r="L10982">
        <f t="shared" si="3"/>
        <v>0</v>
      </c>
    </row>
    <row r="10983">
      <c r="A10983" s="107"/>
      <c r="D10983" s="270"/>
      <c r="H10983" s="106" t="str">
        <f t="shared" si="1"/>
        <v/>
      </c>
      <c r="J10983" t="str">
        <f>IFERROR(__xludf.DUMMYFUNCTION("IFS(
  AND(REGEXMATCH(E10983, ""台銀籌備帳戶|玉山帳戶""), REGEXMATCH(C10983, ""薪資"")), ""分潤支出"",
  AND(REGEXMATCH(E10983, ""Ben帳戶|Elsa帳戶|Ben代墊|Ariel代墊|中信銀行共用""), REGEXMATCH(F10983, ""Ben帳戶|Elsa帳戶|Ben代墊|Ariel代墊|中信銀行共用"")), ""內部轉帳(忽略)"",
  AND(E10983&lt;&gt;"""", F10983&lt;&gt;"&amp;""""", NOT(REGEXMATCH(C10983, ""薪資""))), ""內部轉帳(忽略)"",
  REGEXMATCH(C10983, ""薪資""), ""薪資變動(不計入)"",
  REGEXMATCH(C10983, ""押金""), ""押金往來"",
  AND(E10983&lt;&gt;"""", F10983=""""), ""真實支出"",
  AND(E10983="""", F10983&lt;&gt;""""), ""真實收入"",
  TRUE, ""其他""
)"),"其他")</f>
        <v>其他</v>
      </c>
      <c r="K10983" s="270" t="str">
        <f t="shared" si="2"/>
        <v/>
      </c>
      <c r="L10983">
        <f t="shared" si="3"/>
        <v>0</v>
      </c>
    </row>
    <row r="10984">
      <c r="A10984" s="107"/>
      <c r="D10984" s="270"/>
      <c r="H10984" s="106" t="str">
        <f t="shared" si="1"/>
        <v/>
      </c>
      <c r="J10984" t="str">
        <f>IFERROR(__xludf.DUMMYFUNCTION("IFS(
  AND(REGEXMATCH(E10984, ""台銀籌備帳戶|玉山帳戶""), REGEXMATCH(C10984, ""薪資"")), ""分潤支出"",
  AND(REGEXMATCH(E10984, ""Ben帳戶|Elsa帳戶|Ben代墊|Ariel代墊|中信銀行共用""), REGEXMATCH(F10984, ""Ben帳戶|Elsa帳戶|Ben代墊|Ariel代墊|中信銀行共用"")), ""內部轉帳(忽略)"",
  AND(E10984&lt;&gt;"""", F10984&lt;&gt;"&amp;""""", NOT(REGEXMATCH(C10984, ""薪資""))), ""內部轉帳(忽略)"",
  REGEXMATCH(C10984, ""薪資""), ""薪資變動(不計入)"",
  REGEXMATCH(C10984, ""押金""), ""押金往來"",
  AND(E10984&lt;&gt;"""", F10984=""""), ""真實支出"",
  AND(E10984="""", F10984&lt;&gt;""""), ""真實收入"",
  TRUE, ""其他""
)"),"其他")</f>
        <v>其他</v>
      </c>
      <c r="K10984" s="270" t="str">
        <f t="shared" si="2"/>
        <v/>
      </c>
      <c r="L10984">
        <f t="shared" si="3"/>
        <v>0</v>
      </c>
    </row>
    <row r="10985">
      <c r="A10985" s="107"/>
      <c r="D10985" s="270"/>
      <c r="H10985" s="106" t="str">
        <f t="shared" si="1"/>
        <v/>
      </c>
      <c r="J10985" t="str">
        <f>IFERROR(__xludf.DUMMYFUNCTION("IFS(
  AND(REGEXMATCH(E10985, ""台銀籌備帳戶|玉山帳戶""), REGEXMATCH(C10985, ""薪資"")), ""分潤支出"",
  AND(REGEXMATCH(E10985, ""Ben帳戶|Elsa帳戶|Ben代墊|Ariel代墊|中信銀行共用""), REGEXMATCH(F10985, ""Ben帳戶|Elsa帳戶|Ben代墊|Ariel代墊|中信銀行共用"")), ""內部轉帳(忽略)"",
  AND(E10985&lt;&gt;"""", F10985&lt;&gt;"&amp;""""", NOT(REGEXMATCH(C10985, ""薪資""))), ""內部轉帳(忽略)"",
  REGEXMATCH(C10985, ""薪資""), ""薪資變動(不計入)"",
  REGEXMATCH(C10985, ""押金""), ""押金往來"",
  AND(E10985&lt;&gt;"""", F10985=""""), ""真實支出"",
  AND(E10985="""", F10985&lt;&gt;""""), ""真實收入"",
  TRUE, ""其他""
)"),"其他")</f>
        <v>其他</v>
      </c>
      <c r="K10985" s="270" t="str">
        <f t="shared" si="2"/>
        <v/>
      </c>
      <c r="L10985">
        <f t="shared" si="3"/>
        <v>0</v>
      </c>
    </row>
    <row r="10986">
      <c r="A10986" s="107"/>
      <c r="D10986" s="270"/>
      <c r="H10986" s="106" t="str">
        <f t="shared" si="1"/>
        <v/>
      </c>
      <c r="J10986" t="str">
        <f>IFERROR(__xludf.DUMMYFUNCTION("IFS(
  AND(REGEXMATCH(E10986, ""台銀籌備帳戶|玉山帳戶""), REGEXMATCH(C10986, ""薪資"")), ""分潤支出"",
  AND(REGEXMATCH(E10986, ""Ben帳戶|Elsa帳戶|Ben代墊|Ariel代墊|中信銀行共用""), REGEXMATCH(F10986, ""Ben帳戶|Elsa帳戶|Ben代墊|Ariel代墊|中信銀行共用"")), ""內部轉帳(忽略)"",
  AND(E10986&lt;&gt;"""", F10986&lt;&gt;"&amp;""""", NOT(REGEXMATCH(C10986, ""薪資""))), ""內部轉帳(忽略)"",
  REGEXMATCH(C10986, ""薪資""), ""薪資變動(不計入)"",
  REGEXMATCH(C10986, ""押金""), ""押金往來"",
  AND(E10986&lt;&gt;"""", F10986=""""), ""真實支出"",
  AND(E10986="""", F10986&lt;&gt;""""), ""真實收入"",
  TRUE, ""其他""
)"),"其他")</f>
        <v>其他</v>
      </c>
      <c r="K10986" s="270" t="str">
        <f t="shared" si="2"/>
        <v/>
      </c>
      <c r="L10986">
        <f t="shared" si="3"/>
        <v>0</v>
      </c>
    </row>
    <row r="10987">
      <c r="A10987" s="107"/>
      <c r="D10987" s="270"/>
      <c r="H10987" s="106" t="str">
        <f t="shared" si="1"/>
        <v/>
      </c>
      <c r="J10987" t="str">
        <f>IFERROR(__xludf.DUMMYFUNCTION("IFS(
  AND(REGEXMATCH(E10987, ""台銀籌備帳戶|玉山帳戶""), REGEXMATCH(C10987, ""薪資"")), ""分潤支出"",
  AND(REGEXMATCH(E10987, ""Ben帳戶|Elsa帳戶|Ben代墊|Ariel代墊|中信銀行共用""), REGEXMATCH(F10987, ""Ben帳戶|Elsa帳戶|Ben代墊|Ariel代墊|中信銀行共用"")), ""內部轉帳(忽略)"",
  AND(E10987&lt;&gt;"""", F10987&lt;&gt;"&amp;""""", NOT(REGEXMATCH(C10987, ""薪資""))), ""內部轉帳(忽略)"",
  REGEXMATCH(C10987, ""薪資""), ""薪資變動(不計入)"",
  REGEXMATCH(C10987, ""押金""), ""押金往來"",
  AND(E10987&lt;&gt;"""", F10987=""""), ""真實支出"",
  AND(E10987="""", F10987&lt;&gt;""""), ""真實收入"",
  TRUE, ""其他""
)"),"其他")</f>
        <v>其他</v>
      </c>
      <c r="K10987" s="270" t="str">
        <f t="shared" si="2"/>
        <v/>
      </c>
      <c r="L10987">
        <f t="shared" si="3"/>
        <v>0</v>
      </c>
    </row>
    <row r="10988">
      <c r="A10988" s="107"/>
      <c r="D10988" s="270"/>
      <c r="H10988" s="106" t="str">
        <f t="shared" si="1"/>
        <v/>
      </c>
      <c r="J10988" t="str">
        <f>IFERROR(__xludf.DUMMYFUNCTION("IFS(
  AND(REGEXMATCH(E10988, ""台銀籌備帳戶|玉山帳戶""), REGEXMATCH(C10988, ""薪資"")), ""分潤支出"",
  AND(REGEXMATCH(E10988, ""Ben帳戶|Elsa帳戶|Ben代墊|Ariel代墊|中信銀行共用""), REGEXMATCH(F10988, ""Ben帳戶|Elsa帳戶|Ben代墊|Ariel代墊|中信銀行共用"")), ""內部轉帳(忽略)"",
  AND(E10988&lt;&gt;"""", F10988&lt;&gt;"&amp;""""", NOT(REGEXMATCH(C10988, ""薪資""))), ""內部轉帳(忽略)"",
  REGEXMATCH(C10988, ""薪資""), ""薪資變動(不計入)"",
  REGEXMATCH(C10988, ""押金""), ""押金往來"",
  AND(E10988&lt;&gt;"""", F10988=""""), ""真實支出"",
  AND(E10988="""", F10988&lt;&gt;""""), ""真實收入"",
  TRUE, ""其他""
)"),"其他")</f>
        <v>其他</v>
      </c>
      <c r="K10988" s="270" t="str">
        <f t="shared" si="2"/>
        <v/>
      </c>
      <c r="L10988">
        <f t="shared" si="3"/>
        <v>0</v>
      </c>
    </row>
    <row r="10989">
      <c r="A10989" s="107"/>
      <c r="D10989" s="270"/>
      <c r="H10989" s="106" t="str">
        <f t="shared" si="1"/>
        <v/>
      </c>
      <c r="J10989" t="str">
        <f>IFERROR(__xludf.DUMMYFUNCTION("IFS(
  AND(REGEXMATCH(E10989, ""台銀籌備帳戶|玉山帳戶""), REGEXMATCH(C10989, ""薪資"")), ""分潤支出"",
  AND(REGEXMATCH(E10989, ""Ben帳戶|Elsa帳戶|Ben代墊|Ariel代墊|中信銀行共用""), REGEXMATCH(F10989, ""Ben帳戶|Elsa帳戶|Ben代墊|Ariel代墊|中信銀行共用"")), ""內部轉帳(忽略)"",
  AND(E10989&lt;&gt;"""", F10989&lt;&gt;"&amp;""""", NOT(REGEXMATCH(C10989, ""薪資""))), ""內部轉帳(忽略)"",
  REGEXMATCH(C10989, ""薪資""), ""薪資變動(不計入)"",
  REGEXMATCH(C10989, ""押金""), ""押金往來"",
  AND(E10989&lt;&gt;"""", F10989=""""), ""真實支出"",
  AND(E10989="""", F10989&lt;&gt;""""), ""真實收入"",
  TRUE, ""其他""
)"),"其他")</f>
        <v>其他</v>
      </c>
      <c r="K10989" s="270" t="str">
        <f t="shared" si="2"/>
        <v/>
      </c>
      <c r="L10989">
        <f t="shared" si="3"/>
        <v>0</v>
      </c>
    </row>
    <row r="10990">
      <c r="A10990" s="107"/>
      <c r="D10990" s="270"/>
      <c r="H10990" s="106" t="str">
        <f t="shared" si="1"/>
        <v/>
      </c>
      <c r="J10990" t="str">
        <f>IFERROR(__xludf.DUMMYFUNCTION("IFS(
  AND(REGEXMATCH(E10990, ""台銀籌備帳戶|玉山帳戶""), REGEXMATCH(C10990, ""薪資"")), ""分潤支出"",
  AND(REGEXMATCH(E10990, ""Ben帳戶|Elsa帳戶|Ben代墊|Ariel代墊|中信銀行共用""), REGEXMATCH(F10990, ""Ben帳戶|Elsa帳戶|Ben代墊|Ariel代墊|中信銀行共用"")), ""內部轉帳(忽略)"",
  AND(E10990&lt;&gt;"""", F10990&lt;&gt;"&amp;""""", NOT(REGEXMATCH(C10990, ""薪資""))), ""內部轉帳(忽略)"",
  REGEXMATCH(C10990, ""薪資""), ""薪資變動(不計入)"",
  REGEXMATCH(C10990, ""押金""), ""押金往來"",
  AND(E10990&lt;&gt;"""", F10990=""""), ""真實支出"",
  AND(E10990="""", F10990&lt;&gt;""""), ""真實收入"",
  TRUE, ""其他""
)"),"其他")</f>
        <v>其他</v>
      </c>
      <c r="K10990" s="270" t="str">
        <f t="shared" si="2"/>
        <v/>
      </c>
      <c r="L10990">
        <f t="shared" si="3"/>
        <v>0</v>
      </c>
    </row>
    <row r="10991">
      <c r="A10991" s="107"/>
      <c r="D10991" s="270"/>
      <c r="H10991" s="106" t="str">
        <f t="shared" si="1"/>
        <v/>
      </c>
      <c r="J10991" t="str">
        <f>IFERROR(__xludf.DUMMYFUNCTION("IFS(
  AND(REGEXMATCH(E10991, ""台銀籌備帳戶|玉山帳戶""), REGEXMATCH(C10991, ""薪資"")), ""分潤支出"",
  AND(REGEXMATCH(E10991, ""Ben帳戶|Elsa帳戶|Ben代墊|Ariel代墊|中信銀行共用""), REGEXMATCH(F10991, ""Ben帳戶|Elsa帳戶|Ben代墊|Ariel代墊|中信銀行共用"")), ""內部轉帳(忽略)"",
  AND(E10991&lt;&gt;"""", F10991&lt;&gt;"&amp;""""", NOT(REGEXMATCH(C10991, ""薪資""))), ""內部轉帳(忽略)"",
  REGEXMATCH(C10991, ""薪資""), ""薪資變動(不計入)"",
  REGEXMATCH(C10991, ""押金""), ""押金往來"",
  AND(E10991&lt;&gt;"""", F10991=""""), ""真實支出"",
  AND(E10991="""", F10991&lt;&gt;""""), ""真實收入"",
  TRUE, ""其他""
)"),"其他")</f>
        <v>其他</v>
      </c>
      <c r="K10991" s="270" t="str">
        <f t="shared" si="2"/>
        <v/>
      </c>
      <c r="L10991">
        <f t="shared" si="3"/>
        <v>0</v>
      </c>
    </row>
    <row r="10992">
      <c r="A10992" s="107"/>
      <c r="D10992" s="270"/>
      <c r="H10992" s="106" t="str">
        <f t="shared" si="1"/>
        <v/>
      </c>
      <c r="J10992" t="str">
        <f>IFERROR(__xludf.DUMMYFUNCTION("IFS(
  AND(REGEXMATCH(E10992, ""台銀籌備帳戶|玉山帳戶""), REGEXMATCH(C10992, ""薪資"")), ""分潤支出"",
  AND(REGEXMATCH(E10992, ""Ben帳戶|Elsa帳戶|Ben代墊|Ariel代墊|中信銀行共用""), REGEXMATCH(F10992, ""Ben帳戶|Elsa帳戶|Ben代墊|Ariel代墊|中信銀行共用"")), ""內部轉帳(忽略)"",
  AND(E10992&lt;&gt;"""", F10992&lt;&gt;"&amp;""""", NOT(REGEXMATCH(C10992, ""薪資""))), ""內部轉帳(忽略)"",
  REGEXMATCH(C10992, ""薪資""), ""薪資變動(不計入)"",
  REGEXMATCH(C10992, ""押金""), ""押金往來"",
  AND(E10992&lt;&gt;"""", F10992=""""), ""真實支出"",
  AND(E10992="""", F10992&lt;&gt;""""), ""真實收入"",
  TRUE, ""其他""
)"),"其他")</f>
        <v>其他</v>
      </c>
      <c r="K10992" s="270" t="str">
        <f t="shared" si="2"/>
        <v/>
      </c>
      <c r="L10992">
        <f t="shared" si="3"/>
        <v>0</v>
      </c>
    </row>
    <row r="10993">
      <c r="A10993" s="107"/>
      <c r="D10993" s="270"/>
      <c r="H10993" s="106" t="str">
        <f t="shared" si="1"/>
        <v/>
      </c>
      <c r="J10993" t="str">
        <f>IFERROR(__xludf.DUMMYFUNCTION("IFS(
  AND(REGEXMATCH(E10993, ""台銀籌備帳戶|玉山帳戶""), REGEXMATCH(C10993, ""薪資"")), ""分潤支出"",
  AND(REGEXMATCH(E10993, ""Ben帳戶|Elsa帳戶|Ben代墊|Ariel代墊|中信銀行共用""), REGEXMATCH(F10993, ""Ben帳戶|Elsa帳戶|Ben代墊|Ariel代墊|中信銀行共用"")), ""內部轉帳(忽略)"",
  AND(E10993&lt;&gt;"""", F10993&lt;&gt;"&amp;""""", NOT(REGEXMATCH(C10993, ""薪資""))), ""內部轉帳(忽略)"",
  REGEXMATCH(C10993, ""薪資""), ""薪資變動(不計入)"",
  REGEXMATCH(C10993, ""押金""), ""押金往來"",
  AND(E10993&lt;&gt;"""", F10993=""""), ""真實支出"",
  AND(E10993="""", F10993&lt;&gt;""""), ""真實收入"",
  TRUE, ""其他""
)"),"其他")</f>
        <v>其他</v>
      </c>
      <c r="K10993" s="270" t="str">
        <f t="shared" si="2"/>
        <v/>
      </c>
      <c r="L10993">
        <f t="shared" si="3"/>
        <v>0</v>
      </c>
    </row>
    <row r="10994">
      <c r="A10994" s="107"/>
      <c r="D10994" s="270"/>
      <c r="H10994" s="106" t="str">
        <f t="shared" si="1"/>
        <v/>
      </c>
      <c r="J10994" t="str">
        <f>IFERROR(__xludf.DUMMYFUNCTION("IFS(
  AND(REGEXMATCH(E10994, ""台銀籌備帳戶|玉山帳戶""), REGEXMATCH(C10994, ""薪資"")), ""分潤支出"",
  AND(REGEXMATCH(E10994, ""Ben帳戶|Elsa帳戶|Ben代墊|Ariel代墊|中信銀行共用""), REGEXMATCH(F10994, ""Ben帳戶|Elsa帳戶|Ben代墊|Ariel代墊|中信銀行共用"")), ""內部轉帳(忽略)"",
  AND(E10994&lt;&gt;"""", F10994&lt;&gt;"&amp;""""", NOT(REGEXMATCH(C10994, ""薪資""))), ""內部轉帳(忽略)"",
  REGEXMATCH(C10994, ""薪資""), ""薪資變動(不計入)"",
  REGEXMATCH(C10994, ""押金""), ""押金往來"",
  AND(E10994&lt;&gt;"""", F10994=""""), ""真實支出"",
  AND(E10994="""", F10994&lt;&gt;""""), ""真實收入"",
  TRUE, ""其他""
)"),"其他")</f>
        <v>其他</v>
      </c>
      <c r="K10994" s="270" t="str">
        <f t="shared" si="2"/>
        <v/>
      </c>
      <c r="L10994">
        <f t="shared" si="3"/>
        <v>0</v>
      </c>
    </row>
    <row r="10995">
      <c r="A10995" s="107"/>
      <c r="D10995" s="270"/>
      <c r="H10995" s="106" t="str">
        <f t="shared" si="1"/>
        <v/>
      </c>
      <c r="J10995" t="str">
        <f>IFERROR(__xludf.DUMMYFUNCTION("IFS(
  AND(REGEXMATCH(E10995, ""台銀籌備帳戶|玉山帳戶""), REGEXMATCH(C10995, ""薪資"")), ""分潤支出"",
  AND(REGEXMATCH(E10995, ""Ben帳戶|Elsa帳戶|Ben代墊|Ariel代墊|中信銀行共用""), REGEXMATCH(F10995, ""Ben帳戶|Elsa帳戶|Ben代墊|Ariel代墊|中信銀行共用"")), ""內部轉帳(忽略)"",
  AND(E10995&lt;&gt;"""", F10995&lt;&gt;"&amp;""""", NOT(REGEXMATCH(C10995, ""薪資""))), ""內部轉帳(忽略)"",
  REGEXMATCH(C10995, ""薪資""), ""薪資變動(不計入)"",
  REGEXMATCH(C10995, ""押金""), ""押金往來"",
  AND(E10995&lt;&gt;"""", F10995=""""), ""真實支出"",
  AND(E10995="""", F10995&lt;&gt;""""), ""真實收入"",
  TRUE, ""其他""
)"),"其他")</f>
        <v>其他</v>
      </c>
      <c r="K10995" s="270" t="str">
        <f t="shared" si="2"/>
        <v/>
      </c>
      <c r="L10995">
        <f t="shared" si="3"/>
        <v>0</v>
      </c>
    </row>
    <row r="10996">
      <c r="A10996" s="107"/>
      <c r="D10996" s="270"/>
      <c r="H10996" s="106" t="str">
        <f t="shared" si="1"/>
        <v/>
      </c>
      <c r="J10996" t="str">
        <f>IFERROR(__xludf.DUMMYFUNCTION("IFS(
  AND(REGEXMATCH(E10996, ""台銀籌備帳戶|玉山帳戶""), REGEXMATCH(C10996, ""薪資"")), ""分潤支出"",
  AND(REGEXMATCH(E10996, ""Ben帳戶|Elsa帳戶|Ben代墊|Ariel代墊|中信銀行共用""), REGEXMATCH(F10996, ""Ben帳戶|Elsa帳戶|Ben代墊|Ariel代墊|中信銀行共用"")), ""內部轉帳(忽略)"",
  AND(E10996&lt;&gt;"""", F10996&lt;&gt;"&amp;""""", NOT(REGEXMATCH(C10996, ""薪資""))), ""內部轉帳(忽略)"",
  REGEXMATCH(C10996, ""薪資""), ""薪資變動(不計入)"",
  REGEXMATCH(C10996, ""押金""), ""押金往來"",
  AND(E10996&lt;&gt;"""", F10996=""""), ""真實支出"",
  AND(E10996="""", F10996&lt;&gt;""""), ""真實收入"",
  TRUE, ""其他""
)"),"其他")</f>
        <v>其他</v>
      </c>
      <c r="K10996" s="270" t="str">
        <f t="shared" si="2"/>
        <v/>
      </c>
      <c r="L10996">
        <f t="shared" si="3"/>
        <v>0</v>
      </c>
    </row>
    <row r="10997">
      <c r="A10997" s="107"/>
      <c r="D10997" s="270"/>
      <c r="H10997" s="106" t="str">
        <f t="shared" si="1"/>
        <v/>
      </c>
      <c r="J10997" t="str">
        <f>IFERROR(__xludf.DUMMYFUNCTION("IFS(
  AND(REGEXMATCH(E10997, ""台銀籌備帳戶|玉山帳戶""), REGEXMATCH(C10997, ""薪資"")), ""分潤支出"",
  AND(REGEXMATCH(E10997, ""Ben帳戶|Elsa帳戶|Ben代墊|Ariel代墊|中信銀行共用""), REGEXMATCH(F10997, ""Ben帳戶|Elsa帳戶|Ben代墊|Ariel代墊|中信銀行共用"")), ""內部轉帳(忽略)"",
  AND(E10997&lt;&gt;"""", F10997&lt;&gt;"&amp;""""", NOT(REGEXMATCH(C10997, ""薪資""))), ""內部轉帳(忽略)"",
  REGEXMATCH(C10997, ""薪資""), ""薪資變動(不計入)"",
  REGEXMATCH(C10997, ""押金""), ""押金往來"",
  AND(E10997&lt;&gt;"""", F10997=""""), ""真實支出"",
  AND(E10997="""", F10997&lt;&gt;""""), ""真實收入"",
  TRUE, ""其他""
)"),"其他")</f>
        <v>其他</v>
      </c>
      <c r="K10997" s="270" t="str">
        <f t="shared" si="2"/>
        <v/>
      </c>
      <c r="L10997">
        <f t="shared" si="3"/>
        <v>0</v>
      </c>
    </row>
    <row r="10998">
      <c r="A10998" s="107"/>
      <c r="D10998" s="270"/>
      <c r="H10998" s="106" t="str">
        <f t="shared" si="1"/>
        <v/>
      </c>
      <c r="J10998" t="str">
        <f>IFERROR(__xludf.DUMMYFUNCTION("IFS(
  AND(REGEXMATCH(E10998, ""台銀籌備帳戶|玉山帳戶""), REGEXMATCH(C10998, ""薪資"")), ""分潤支出"",
  AND(REGEXMATCH(E10998, ""Ben帳戶|Elsa帳戶|Ben代墊|Ariel代墊|中信銀行共用""), REGEXMATCH(F10998, ""Ben帳戶|Elsa帳戶|Ben代墊|Ariel代墊|中信銀行共用"")), ""內部轉帳(忽略)"",
  AND(E10998&lt;&gt;"""", F10998&lt;&gt;"&amp;""""", NOT(REGEXMATCH(C10998, ""薪資""))), ""內部轉帳(忽略)"",
  REGEXMATCH(C10998, ""薪資""), ""薪資變動(不計入)"",
  REGEXMATCH(C10998, ""押金""), ""押金往來"",
  AND(E10998&lt;&gt;"""", F10998=""""), ""真實支出"",
  AND(E10998="""", F10998&lt;&gt;""""), ""真實收入"",
  TRUE, ""其他""
)"),"其他")</f>
        <v>其他</v>
      </c>
      <c r="K10998" s="270" t="str">
        <f t="shared" si="2"/>
        <v/>
      </c>
      <c r="L10998">
        <f t="shared" si="3"/>
        <v>0</v>
      </c>
    </row>
    <row r="10999">
      <c r="A10999" s="107"/>
      <c r="D10999" s="270"/>
      <c r="H10999" s="106" t="str">
        <f t="shared" si="1"/>
        <v/>
      </c>
      <c r="J10999" t="str">
        <f>IFERROR(__xludf.DUMMYFUNCTION("IFS(
  AND(REGEXMATCH(E10999, ""台銀籌備帳戶|玉山帳戶""), REGEXMATCH(C10999, ""薪資"")), ""分潤支出"",
  AND(REGEXMATCH(E10999, ""Ben帳戶|Elsa帳戶|Ben代墊|Ariel代墊|中信銀行共用""), REGEXMATCH(F10999, ""Ben帳戶|Elsa帳戶|Ben代墊|Ariel代墊|中信銀行共用"")), ""內部轉帳(忽略)"",
  AND(E10999&lt;&gt;"""", F10999&lt;&gt;"&amp;""""", NOT(REGEXMATCH(C10999, ""薪資""))), ""內部轉帳(忽略)"",
  REGEXMATCH(C10999, ""薪資""), ""薪資變動(不計入)"",
  REGEXMATCH(C10999, ""押金""), ""押金往來"",
  AND(E10999&lt;&gt;"""", F10999=""""), ""真實支出"",
  AND(E10999="""", F10999&lt;&gt;""""), ""真實收入"",
  TRUE, ""其他""
)"),"其他")</f>
        <v>其他</v>
      </c>
      <c r="K10999" s="270" t="str">
        <f t="shared" si="2"/>
        <v/>
      </c>
      <c r="L10999">
        <f t="shared" si="3"/>
        <v>0</v>
      </c>
    </row>
    <row r="11000">
      <c r="A11000" s="107"/>
      <c r="D11000" s="270"/>
      <c r="H11000" s="106" t="str">
        <f t="shared" si="1"/>
        <v/>
      </c>
      <c r="J11000" t="str">
        <f>IFERROR(__xludf.DUMMYFUNCTION("IFS(
  AND(REGEXMATCH(E11000, ""台銀籌備帳戶|玉山帳戶""), REGEXMATCH(C11000, ""薪資"")), ""分潤支出"",
  AND(REGEXMATCH(E11000, ""Ben帳戶|Elsa帳戶|Ben代墊|Ariel代墊|中信銀行共用""), REGEXMATCH(F11000, ""Ben帳戶|Elsa帳戶|Ben代墊|Ariel代墊|中信銀行共用"")), ""內部轉帳(忽略)"",
  AND(E11000&lt;&gt;"""", F11000&lt;&gt;"&amp;""""", NOT(REGEXMATCH(C11000, ""薪資""))), ""內部轉帳(忽略)"",
  REGEXMATCH(C11000, ""薪資""), ""薪資變動(不計入)"",
  REGEXMATCH(C11000, ""押金""), ""押金往來"",
  AND(E11000&lt;&gt;"""", F11000=""""), ""真實支出"",
  AND(E11000="""", F11000&lt;&gt;""""), ""真實收入"",
  TRUE, ""其他""
)"),"其他")</f>
        <v>其他</v>
      </c>
      <c r="K11000" s="270" t="str">
        <f t="shared" si="2"/>
        <v/>
      </c>
      <c r="L11000">
        <f t="shared" si="3"/>
        <v>0</v>
      </c>
    </row>
    <row r="11001">
      <c r="A11001" s="107"/>
      <c r="D11001" s="270"/>
      <c r="H11001" s="106" t="str">
        <f t="shared" si="1"/>
        <v/>
      </c>
      <c r="J11001" t="str">
        <f>IFERROR(__xludf.DUMMYFUNCTION("IFS(
  AND(REGEXMATCH(E11001, ""台銀籌備帳戶|玉山帳戶""), REGEXMATCH(C11001, ""薪資"")), ""分潤支出"",
  AND(REGEXMATCH(E11001, ""Ben帳戶|Elsa帳戶|Ben代墊|Ariel代墊|中信銀行共用""), REGEXMATCH(F11001, ""Ben帳戶|Elsa帳戶|Ben代墊|Ariel代墊|中信銀行共用"")), ""內部轉帳(忽略)"",
  AND(E11001&lt;&gt;"""", F11001&lt;&gt;"&amp;""""", NOT(REGEXMATCH(C11001, ""薪資""))), ""內部轉帳(忽略)"",
  REGEXMATCH(C11001, ""薪資""), ""薪資變動(不計入)"",
  REGEXMATCH(C11001, ""押金""), ""押金往來"",
  AND(E11001&lt;&gt;"""", F11001=""""), ""真實支出"",
  AND(E11001="""", F11001&lt;&gt;""""), ""真實收入"",
  TRUE, ""其他""
)"),"其他")</f>
        <v>其他</v>
      </c>
      <c r="K11001" s="270" t="str">
        <f t="shared" si="2"/>
        <v/>
      </c>
      <c r="L11001">
        <f t="shared" si="3"/>
        <v>0</v>
      </c>
    </row>
    <row r="11002">
      <c r="A11002" s="107"/>
      <c r="D11002" s="270"/>
      <c r="H11002" s="106" t="str">
        <f t="shared" si="1"/>
        <v/>
      </c>
      <c r="J11002" t="str">
        <f>IFERROR(__xludf.DUMMYFUNCTION("IFS(
  AND(REGEXMATCH(E11002, ""台銀籌備帳戶|玉山帳戶""), REGEXMATCH(C11002, ""薪資"")), ""分潤支出"",
  AND(REGEXMATCH(E11002, ""Ben帳戶|Elsa帳戶|Ben代墊|Ariel代墊|中信銀行共用""), REGEXMATCH(F11002, ""Ben帳戶|Elsa帳戶|Ben代墊|Ariel代墊|中信銀行共用"")), ""內部轉帳(忽略)"",
  AND(E11002&lt;&gt;"""", F11002&lt;&gt;"&amp;""""", NOT(REGEXMATCH(C11002, ""薪資""))), ""內部轉帳(忽略)"",
  REGEXMATCH(C11002, ""薪資""), ""薪資變動(不計入)"",
  REGEXMATCH(C11002, ""押金""), ""押金往來"",
  AND(E11002&lt;&gt;"""", F11002=""""), ""真實支出"",
  AND(E11002="""", F11002&lt;&gt;""""), ""真實收入"",
  TRUE, ""其他""
)"),"其他")</f>
        <v>其他</v>
      </c>
      <c r="K11002" s="270" t="str">
        <f t="shared" si="2"/>
        <v/>
      </c>
      <c r="L11002">
        <f t="shared" si="3"/>
        <v>0</v>
      </c>
    </row>
    <row r="11003">
      <c r="A11003" s="107"/>
      <c r="D11003" s="270"/>
      <c r="H11003" s="106" t="str">
        <f t="shared" si="1"/>
        <v/>
      </c>
      <c r="J11003" t="str">
        <f>IFERROR(__xludf.DUMMYFUNCTION("IFS(
  AND(REGEXMATCH(E11003, ""台銀籌備帳戶|玉山帳戶""), REGEXMATCH(C11003, ""薪資"")), ""分潤支出"",
  AND(REGEXMATCH(E11003, ""Ben帳戶|Elsa帳戶|Ben代墊|Ariel代墊|中信銀行共用""), REGEXMATCH(F11003, ""Ben帳戶|Elsa帳戶|Ben代墊|Ariel代墊|中信銀行共用"")), ""內部轉帳(忽略)"",
  AND(E11003&lt;&gt;"""", F11003&lt;&gt;"&amp;""""", NOT(REGEXMATCH(C11003, ""薪資""))), ""內部轉帳(忽略)"",
  REGEXMATCH(C11003, ""薪資""), ""薪資變動(不計入)"",
  REGEXMATCH(C11003, ""押金""), ""押金往來"",
  AND(E11003&lt;&gt;"""", F11003=""""), ""真實支出"",
  AND(E11003="""", F11003&lt;&gt;""""), ""真實收入"",
  TRUE, ""其他""
)"),"其他")</f>
        <v>其他</v>
      </c>
      <c r="K11003" s="270" t="str">
        <f t="shared" si="2"/>
        <v/>
      </c>
      <c r="L11003">
        <f t="shared" si="3"/>
        <v>0</v>
      </c>
    </row>
    <row r="11004">
      <c r="A11004" s="107"/>
      <c r="D11004" s="270"/>
      <c r="H11004" s="106" t="str">
        <f t="shared" si="1"/>
        <v/>
      </c>
      <c r="J11004" t="str">
        <f>IFERROR(__xludf.DUMMYFUNCTION("IFS(
  AND(REGEXMATCH(E11004, ""台銀籌備帳戶|玉山帳戶""), REGEXMATCH(C11004, ""薪資"")), ""分潤支出"",
  AND(REGEXMATCH(E11004, ""Ben帳戶|Elsa帳戶|Ben代墊|Ariel代墊|中信銀行共用""), REGEXMATCH(F11004, ""Ben帳戶|Elsa帳戶|Ben代墊|Ariel代墊|中信銀行共用"")), ""內部轉帳(忽略)"",
  AND(E11004&lt;&gt;"""", F11004&lt;&gt;"&amp;""""", NOT(REGEXMATCH(C11004, ""薪資""))), ""內部轉帳(忽略)"",
  REGEXMATCH(C11004, ""薪資""), ""薪資變動(不計入)"",
  REGEXMATCH(C11004, ""押金""), ""押金往來"",
  AND(E11004&lt;&gt;"""", F11004=""""), ""真實支出"",
  AND(E11004="""", F11004&lt;&gt;""""), ""真實收入"",
  TRUE, ""其他""
)"),"其他")</f>
        <v>其他</v>
      </c>
      <c r="K11004" s="270" t="str">
        <f t="shared" si="2"/>
        <v/>
      </c>
      <c r="L11004">
        <f t="shared" si="3"/>
        <v>0</v>
      </c>
    </row>
    <row r="11005">
      <c r="A11005" s="107"/>
      <c r="D11005" s="270"/>
      <c r="H11005" s="106" t="str">
        <f t="shared" si="1"/>
        <v/>
      </c>
      <c r="J11005" t="str">
        <f>IFERROR(__xludf.DUMMYFUNCTION("IFS(
  AND(REGEXMATCH(E11005, ""台銀籌備帳戶|玉山帳戶""), REGEXMATCH(C11005, ""薪資"")), ""分潤支出"",
  AND(REGEXMATCH(E11005, ""Ben帳戶|Elsa帳戶|Ben代墊|Ariel代墊|中信銀行共用""), REGEXMATCH(F11005, ""Ben帳戶|Elsa帳戶|Ben代墊|Ariel代墊|中信銀行共用"")), ""內部轉帳(忽略)"",
  AND(E11005&lt;&gt;"""", F11005&lt;&gt;"&amp;""""", NOT(REGEXMATCH(C11005, ""薪資""))), ""內部轉帳(忽略)"",
  REGEXMATCH(C11005, ""薪資""), ""薪資變動(不計入)"",
  REGEXMATCH(C11005, ""押金""), ""押金往來"",
  AND(E11005&lt;&gt;"""", F11005=""""), ""真實支出"",
  AND(E11005="""", F11005&lt;&gt;""""), ""真實收入"",
  TRUE, ""其他""
)"),"其他")</f>
        <v>其他</v>
      </c>
      <c r="K11005" s="270" t="str">
        <f t="shared" si="2"/>
        <v/>
      </c>
      <c r="L11005">
        <f t="shared" si="3"/>
        <v>0</v>
      </c>
    </row>
    <row r="11006">
      <c r="A11006" s="107"/>
      <c r="D11006" s="270"/>
      <c r="H11006" s="106" t="str">
        <f t="shared" si="1"/>
        <v/>
      </c>
      <c r="J11006" t="str">
        <f>IFERROR(__xludf.DUMMYFUNCTION("IFS(
  AND(REGEXMATCH(E11006, ""台銀籌備帳戶|玉山帳戶""), REGEXMATCH(C11006, ""薪資"")), ""分潤支出"",
  AND(REGEXMATCH(E11006, ""Ben帳戶|Elsa帳戶|Ben代墊|Ariel代墊|中信銀行共用""), REGEXMATCH(F11006, ""Ben帳戶|Elsa帳戶|Ben代墊|Ariel代墊|中信銀行共用"")), ""內部轉帳(忽略)"",
  AND(E11006&lt;&gt;"""", F11006&lt;&gt;"&amp;""""", NOT(REGEXMATCH(C11006, ""薪資""))), ""內部轉帳(忽略)"",
  REGEXMATCH(C11006, ""薪資""), ""薪資變動(不計入)"",
  REGEXMATCH(C11006, ""押金""), ""押金往來"",
  AND(E11006&lt;&gt;"""", F11006=""""), ""真實支出"",
  AND(E11006="""", F11006&lt;&gt;""""), ""真實收入"",
  TRUE, ""其他""
)"),"其他")</f>
        <v>其他</v>
      </c>
      <c r="K11006" s="270" t="str">
        <f t="shared" si="2"/>
        <v/>
      </c>
      <c r="L11006">
        <f t="shared" si="3"/>
        <v>0</v>
      </c>
    </row>
    <row r="11007">
      <c r="A11007" s="107"/>
      <c r="D11007" s="270"/>
      <c r="H11007" s="106" t="str">
        <f t="shared" si="1"/>
        <v/>
      </c>
      <c r="J11007" t="str">
        <f>IFERROR(__xludf.DUMMYFUNCTION("IFS(
  AND(REGEXMATCH(E11007, ""台銀籌備帳戶|玉山帳戶""), REGEXMATCH(C11007, ""薪資"")), ""分潤支出"",
  AND(REGEXMATCH(E11007, ""Ben帳戶|Elsa帳戶|Ben代墊|Ariel代墊|中信銀行共用""), REGEXMATCH(F11007, ""Ben帳戶|Elsa帳戶|Ben代墊|Ariel代墊|中信銀行共用"")), ""內部轉帳(忽略)"",
  AND(E11007&lt;&gt;"""", F11007&lt;&gt;"&amp;""""", NOT(REGEXMATCH(C11007, ""薪資""))), ""內部轉帳(忽略)"",
  REGEXMATCH(C11007, ""薪資""), ""薪資變動(不計入)"",
  REGEXMATCH(C11007, ""押金""), ""押金往來"",
  AND(E11007&lt;&gt;"""", F11007=""""), ""真實支出"",
  AND(E11007="""", F11007&lt;&gt;""""), ""真實收入"",
  TRUE, ""其他""
)"),"其他")</f>
        <v>其他</v>
      </c>
      <c r="K11007" s="270" t="str">
        <f t="shared" si="2"/>
        <v/>
      </c>
      <c r="L11007">
        <f t="shared" si="3"/>
        <v>0</v>
      </c>
    </row>
    <row r="11008">
      <c r="A11008" s="107"/>
      <c r="D11008" s="270"/>
      <c r="H11008" s="106" t="str">
        <f t="shared" si="1"/>
        <v/>
      </c>
      <c r="J11008" t="str">
        <f>IFERROR(__xludf.DUMMYFUNCTION("IFS(
  AND(REGEXMATCH(E11008, ""台銀籌備帳戶|玉山帳戶""), REGEXMATCH(C11008, ""薪資"")), ""分潤支出"",
  AND(REGEXMATCH(E11008, ""Ben帳戶|Elsa帳戶|Ben代墊|Ariel代墊|中信銀行共用""), REGEXMATCH(F11008, ""Ben帳戶|Elsa帳戶|Ben代墊|Ariel代墊|中信銀行共用"")), ""內部轉帳(忽略)"",
  AND(E11008&lt;&gt;"""", F11008&lt;&gt;"&amp;""""", NOT(REGEXMATCH(C11008, ""薪資""))), ""內部轉帳(忽略)"",
  REGEXMATCH(C11008, ""薪資""), ""薪資變動(不計入)"",
  REGEXMATCH(C11008, ""押金""), ""押金往來"",
  AND(E11008&lt;&gt;"""", F11008=""""), ""真實支出"",
  AND(E11008="""", F11008&lt;&gt;""""), ""真實收入"",
  TRUE, ""其他""
)"),"其他")</f>
        <v>其他</v>
      </c>
      <c r="K11008" s="270" t="str">
        <f t="shared" si="2"/>
        <v/>
      </c>
      <c r="L11008">
        <f t="shared" si="3"/>
        <v>0</v>
      </c>
    </row>
    <row r="11009">
      <c r="A11009" s="107"/>
      <c r="D11009" s="270"/>
      <c r="H11009" s="106" t="str">
        <f t="shared" si="1"/>
        <v/>
      </c>
      <c r="J11009" t="str">
        <f>IFERROR(__xludf.DUMMYFUNCTION("IFS(
  AND(REGEXMATCH(E11009, ""台銀籌備帳戶|玉山帳戶""), REGEXMATCH(C11009, ""薪資"")), ""分潤支出"",
  AND(REGEXMATCH(E11009, ""Ben帳戶|Elsa帳戶|Ben代墊|Ariel代墊|中信銀行共用""), REGEXMATCH(F11009, ""Ben帳戶|Elsa帳戶|Ben代墊|Ariel代墊|中信銀行共用"")), ""內部轉帳(忽略)"",
  AND(E11009&lt;&gt;"""", F11009&lt;&gt;"&amp;""""", NOT(REGEXMATCH(C11009, ""薪資""))), ""內部轉帳(忽略)"",
  REGEXMATCH(C11009, ""薪資""), ""薪資變動(不計入)"",
  REGEXMATCH(C11009, ""押金""), ""押金往來"",
  AND(E11009&lt;&gt;"""", F11009=""""), ""真實支出"",
  AND(E11009="""", F11009&lt;&gt;""""), ""真實收入"",
  TRUE, ""其他""
)"),"其他")</f>
        <v>其他</v>
      </c>
      <c r="K11009" s="270" t="str">
        <f t="shared" si="2"/>
        <v/>
      </c>
      <c r="L11009">
        <f t="shared" si="3"/>
        <v>0</v>
      </c>
    </row>
    <row r="11010">
      <c r="A11010" s="107"/>
      <c r="D11010" s="270"/>
      <c r="H11010" s="106" t="str">
        <f t="shared" si="1"/>
        <v/>
      </c>
      <c r="J11010" t="str">
        <f>IFERROR(__xludf.DUMMYFUNCTION("IFS(
  AND(REGEXMATCH(E11010, ""台銀籌備帳戶|玉山帳戶""), REGEXMATCH(C11010, ""薪資"")), ""分潤支出"",
  AND(REGEXMATCH(E11010, ""Ben帳戶|Elsa帳戶|Ben代墊|Ariel代墊|中信銀行共用""), REGEXMATCH(F11010, ""Ben帳戶|Elsa帳戶|Ben代墊|Ariel代墊|中信銀行共用"")), ""內部轉帳(忽略)"",
  AND(E11010&lt;&gt;"""", F11010&lt;&gt;"&amp;""""", NOT(REGEXMATCH(C11010, ""薪資""))), ""內部轉帳(忽略)"",
  REGEXMATCH(C11010, ""薪資""), ""薪資變動(不計入)"",
  REGEXMATCH(C11010, ""押金""), ""押金往來"",
  AND(E11010&lt;&gt;"""", F11010=""""), ""真實支出"",
  AND(E11010="""", F11010&lt;&gt;""""), ""真實收入"",
  TRUE, ""其他""
)"),"其他")</f>
        <v>其他</v>
      </c>
      <c r="K11010" s="270" t="str">
        <f t="shared" si="2"/>
        <v/>
      </c>
      <c r="L11010">
        <f t="shared" si="3"/>
        <v>0</v>
      </c>
    </row>
    <row r="11011">
      <c r="A11011" s="107"/>
      <c r="D11011" s="270"/>
      <c r="H11011" s="106" t="str">
        <f t="shared" si="1"/>
        <v/>
      </c>
      <c r="J11011" t="str">
        <f>IFERROR(__xludf.DUMMYFUNCTION("IFS(
  AND(REGEXMATCH(E11011, ""台銀籌備帳戶|玉山帳戶""), REGEXMATCH(C11011, ""薪資"")), ""分潤支出"",
  AND(REGEXMATCH(E11011, ""Ben帳戶|Elsa帳戶|Ben代墊|Ariel代墊|中信銀行共用""), REGEXMATCH(F11011, ""Ben帳戶|Elsa帳戶|Ben代墊|Ariel代墊|中信銀行共用"")), ""內部轉帳(忽略)"",
  AND(E11011&lt;&gt;"""", F11011&lt;&gt;"&amp;""""", NOT(REGEXMATCH(C11011, ""薪資""))), ""內部轉帳(忽略)"",
  REGEXMATCH(C11011, ""薪資""), ""薪資變動(不計入)"",
  REGEXMATCH(C11011, ""押金""), ""押金往來"",
  AND(E11011&lt;&gt;"""", F11011=""""), ""真實支出"",
  AND(E11011="""", F11011&lt;&gt;""""), ""真實收入"",
  TRUE, ""其他""
)"),"其他")</f>
        <v>其他</v>
      </c>
      <c r="K11011" s="270" t="str">
        <f t="shared" si="2"/>
        <v/>
      </c>
      <c r="L11011">
        <f t="shared" si="3"/>
        <v>0</v>
      </c>
    </row>
    <row r="11012">
      <c r="A11012" s="107"/>
      <c r="D11012" s="270"/>
      <c r="H11012" s="106" t="str">
        <f t="shared" si="1"/>
        <v/>
      </c>
      <c r="J11012" t="str">
        <f>IFERROR(__xludf.DUMMYFUNCTION("IFS(
  AND(REGEXMATCH(E11012, ""台銀籌備帳戶|玉山帳戶""), REGEXMATCH(C11012, ""薪資"")), ""分潤支出"",
  AND(REGEXMATCH(E11012, ""Ben帳戶|Elsa帳戶|Ben代墊|Ariel代墊|中信銀行共用""), REGEXMATCH(F11012, ""Ben帳戶|Elsa帳戶|Ben代墊|Ariel代墊|中信銀行共用"")), ""內部轉帳(忽略)"",
  AND(E11012&lt;&gt;"""", F11012&lt;&gt;"&amp;""""", NOT(REGEXMATCH(C11012, ""薪資""))), ""內部轉帳(忽略)"",
  REGEXMATCH(C11012, ""薪資""), ""薪資變動(不計入)"",
  REGEXMATCH(C11012, ""押金""), ""押金往來"",
  AND(E11012&lt;&gt;"""", F11012=""""), ""真實支出"",
  AND(E11012="""", F11012&lt;&gt;""""), ""真實收入"",
  TRUE, ""其他""
)"),"其他")</f>
        <v>其他</v>
      </c>
      <c r="K11012" s="270" t="str">
        <f t="shared" si="2"/>
        <v/>
      </c>
      <c r="L11012">
        <f t="shared" si="3"/>
        <v>0</v>
      </c>
    </row>
    <row r="11013">
      <c r="A11013" s="107"/>
      <c r="D11013" s="270"/>
      <c r="H11013" s="106" t="str">
        <f t="shared" si="1"/>
        <v/>
      </c>
      <c r="J11013" t="str">
        <f>IFERROR(__xludf.DUMMYFUNCTION("IFS(
  AND(REGEXMATCH(E11013, ""台銀籌備帳戶|玉山帳戶""), REGEXMATCH(C11013, ""薪資"")), ""分潤支出"",
  AND(REGEXMATCH(E11013, ""Ben帳戶|Elsa帳戶|Ben代墊|Ariel代墊|中信銀行共用""), REGEXMATCH(F11013, ""Ben帳戶|Elsa帳戶|Ben代墊|Ariel代墊|中信銀行共用"")), ""內部轉帳(忽略)"",
  AND(E11013&lt;&gt;"""", F11013&lt;&gt;"&amp;""""", NOT(REGEXMATCH(C11013, ""薪資""))), ""內部轉帳(忽略)"",
  REGEXMATCH(C11013, ""薪資""), ""薪資變動(不計入)"",
  REGEXMATCH(C11013, ""押金""), ""押金往來"",
  AND(E11013&lt;&gt;"""", F11013=""""), ""真實支出"",
  AND(E11013="""", F11013&lt;&gt;""""), ""真實收入"",
  TRUE, ""其他""
)"),"其他")</f>
        <v>其他</v>
      </c>
      <c r="K11013" s="270" t="str">
        <f t="shared" si="2"/>
        <v/>
      </c>
      <c r="L11013">
        <f t="shared" si="3"/>
        <v>0</v>
      </c>
    </row>
    <row r="11014">
      <c r="A11014" s="107"/>
      <c r="D11014" s="270"/>
      <c r="H11014" s="106" t="str">
        <f t="shared" si="1"/>
        <v/>
      </c>
      <c r="J11014" t="str">
        <f>IFERROR(__xludf.DUMMYFUNCTION("IFS(
  AND(REGEXMATCH(E11014, ""台銀籌備帳戶|玉山帳戶""), REGEXMATCH(C11014, ""薪資"")), ""分潤支出"",
  AND(REGEXMATCH(E11014, ""Ben帳戶|Elsa帳戶|Ben代墊|Ariel代墊|中信銀行共用""), REGEXMATCH(F11014, ""Ben帳戶|Elsa帳戶|Ben代墊|Ariel代墊|中信銀行共用"")), ""內部轉帳(忽略)"",
  AND(E11014&lt;&gt;"""", F11014&lt;&gt;"&amp;""""", NOT(REGEXMATCH(C11014, ""薪資""))), ""內部轉帳(忽略)"",
  REGEXMATCH(C11014, ""薪資""), ""薪資變動(不計入)"",
  REGEXMATCH(C11014, ""押金""), ""押金往來"",
  AND(E11014&lt;&gt;"""", F11014=""""), ""真實支出"",
  AND(E11014="""", F11014&lt;&gt;""""), ""真實收入"",
  TRUE, ""其他""
)"),"其他")</f>
        <v>其他</v>
      </c>
      <c r="K11014" s="270" t="str">
        <f t="shared" si="2"/>
        <v/>
      </c>
      <c r="L11014">
        <f t="shared" si="3"/>
        <v>0</v>
      </c>
    </row>
    <row r="11015">
      <c r="A11015" s="107"/>
      <c r="D11015" s="270"/>
      <c r="H11015" s="106" t="str">
        <f t="shared" si="1"/>
        <v/>
      </c>
      <c r="J11015" t="str">
        <f>IFERROR(__xludf.DUMMYFUNCTION("IFS(
  AND(REGEXMATCH(E11015, ""台銀籌備帳戶|玉山帳戶""), REGEXMATCH(C11015, ""薪資"")), ""分潤支出"",
  AND(REGEXMATCH(E11015, ""Ben帳戶|Elsa帳戶|Ben代墊|Ariel代墊|中信銀行共用""), REGEXMATCH(F11015, ""Ben帳戶|Elsa帳戶|Ben代墊|Ariel代墊|中信銀行共用"")), ""內部轉帳(忽略)"",
  AND(E11015&lt;&gt;"""", F11015&lt;&gt;"&amp;""""", NOT(REGEXMATCH(C11015, ""薪資""))), ""內部轉帳(忽略)"",
  REGEXMATCH(C11015, ""薪資""), ""薪資變動(不計入)"",
  REGEXMATCH(C11015, ""押金""), ""押金往來"",
  AND(E11015&lt;&gt;"""", F11015=""""), ""真實支出"",
  AND(E11015="""", F11015&lt;&gt;""""), ""真實收入"",
  TRUE, ""其他""
)"),"其他")</f>
        <v>其他</v>
      </c>
      <c r="K11015" s="270" t="str">
        <f t="shared" si="2"/>
        <v/>
      </c>
      <c r="L11015">
        <f t="shared" si="3"/>
        <v>0</v>
      </c>
    </row>
    <row r="11016">
      <c r="A11016" s="107"/>
      <c r="D11016" s="270"/>
      <c r="H11016" s="106" t="str">
        <f t="shared" si="1"/>
        <v/>
      </c>
      <c r="J11016" t="str">
        <f>IFERROR(__xludf.DUMMYFUNCTION("IFS(
  AND(REGEXMATCH(E11016, ""台銀籌備帳戶|玉山帳戶""), REGEXMATCH(C11016, ""薪資"")), ""分潤支出"",
  AND(REGEXMATCH(E11016, ""Ben帳戶|Elsa帳戶|Ben代墊|Ariel代墊|中信銀行共用""), REGEXMATCH(F11016, ""Ben帳戶|Elsa帳戶|Ben代墊|Ariel代墊|中信銀行共用"")), ""內部轉帳(忽略)"",
  AND(E11016&lt;&gt;"""", F11016&lt;&gt;"&amp;""""", NOT(REGEXMATCH(C11016, ""薪資""))), ""內部轉帳(忽略)"",
  REGEXMATCH(C11016, ""薪資""), ""薪資變動(不計入)"",
  REGEXMATCH(C11016, ""押金""), ""押金往來"",
  AND(E11016&lt;&gt;"""", F11016=""""), ""真實支出"",
  AND(E11016="""", F11016&lt;&gt;""""), ""真實收入"",
  TRUE, ""其他""
)"),"其他")</f>
        <v>其他</v>
      </c>
      <c r="K11016" s="270" t="str">
        <f t="shared" si="2"/>
        <v/>
      </c>
      <c r="L11016">
        <f t="shared" si="3"/>
        <v>0</v>
      </c>
    </row>
    <row r="11017">
      <c r="A11017" s="107"/>
      <c r="D11017" s="270"/>
      <c r="H11017" s="106" t="str">
        <f t="shared" si="1"/>
        <v/>
      </c>
      <c r="J11017" t="str">
        <f>IFERROR(__xludf.DUMMYFUNCTION("IFS(
  AND(REGEXMATCH(E11017, ""台銀籌備帳戶|玉山帳戶""), REGEXMATCH(C11017, ""薪資"")), ""分潤支出"",
  AND(REGEXMATCH(E11017, ""Ben帳戶|Elsa帳戶|Ben代墊|Ariel代墊|中信銀行共用""), REGEXMATCH(F11017, ""Ben帳戶|Elsa帳戶|Ben代墊|Ariel代墊|中信銀行共用"")), ""內部轉帳(忽略)"",
  AND(E11017&lt;&gt;"""", F11017&lt;&gt;"&amp;""""", NOT(REGEXMATCH(C11017, ""薪資""))), ""內部轉帳(忽略)"",
  REGEXMATCH(C11017, ""薪資""), ""薪資變動(不計入)"",
  REGEXMATCH(C11017, ""押金""), ""押金往來"",
  AND(E11017&lt;&gt;"""", F11017=""""), ""真實支出"",
  AND(E11017="""", F11017&lt;&gt;""""), ""真實收入"",
  TRUE, ""其他""
)"),"其他")</f>
        <v>其他</v>
      </c>
      <c r="K11017" s="270" t="str">
        <f t="shared" si="2"/>
        <v/>
      </c>
      <c r="L11017">
        <f t="shared" si="3"/>
        <v>0</v>
      </c>
    </row>
    <row r="11018">
      <c r="A11018" s="107"/>
      <c r="D11018" s="270"/>
      <c r="H11018" s="106" t="str">
        <f t="shared" si="1"/>
        <v/>
      </c>
      <c r="J11018" t="str">
        <f>IFERROR(__xludf.DUMMYFUNCTION("IFS(
  AND(REGEXMATCH(E11018, ""台銀籌備帳戶|玉山帳戶""), REGEXMATCH(C11018, ""薪資"")), ""分潤支出"",
  AND(REGEXMATCH(E11018, ""Ben帳戶|Elsa帳戶|Ben代墊|Ariel代墊|中信銀行共用""), REGEXMATCH(F11018, ""Ben帳戶|Elsa帳戶|Ben代墊|Ariel代墊|中信銀行共用"")), ""內部轉帳(忽略)"",
  AND(E11018&lt;&gt;"""", F11018&lt;&gt;"&amp;""""", NOT(REGEXMATCH(C11018, ""薪資""))), ""內部轉帳(忽略)"",
  REGEXMATCH(C11018, ""薪資""), ""薪資變動(不計入)"",
  REGEXMATCH(C11018, ""押金""), ""押金往來"",
  AND(E11018&lt;&gt;"""", F11018=""""), ""真實支出"",
  AND(E11018="""", F11018&lt;&gt;""""), ""真實收入"",
  TRUE, ""其他""
)"),"其他")</f>
        <v>其他</v>
      </c>
      <c r="K11018" s="270" t="str">
        <f t="shared" si="2"/>
        <v/>
      </c>
      <c r="L11018">
        <f t="shared" si="3"/>
        <v>0</v>
      </c>
    </row>
    <row r="11019">
      <c r="A11019" s="107"/>
      <c r="D11019" s="270"/>
      <c r="H11019" s="106" t="str">
        <f t="shared" si="1"/>
        <v/>
      </c>
      <c r="J11019" t="str">
        <f>IFERROR(__xludf.DUMMYFUNCTION("IFS(
  AND(REGEXMATCH(E11019, ""台銀籌備帳戶|玉山帳戶""), REGEXMATCH(C11019, ""薪資"")), ""分潤支出"",
  AND(REGEXMATCH(E11019, ""Ben帳戶|Elsa帳戶|Ben代墊|Ariel代墊|中信銀行共用""), REGEXMATCH(F11019, ""Ben帳戶|Elsa帳戶|Ben代墊|Ariel代墊|中信銀行共用"")), ""內部轉帳(忽略)"",
  AND(E11019&lt;&gt;"""", F11019&lt;&gt;"&amp;""""", NOT(REGEXMATCH(C11019, ""薪資""))), ""內部轉帳(忽略)"",
  REGEXMATCH(C11019, ""薪資""), ""薪資變動(不計入)"",
  REGEXMATCH(C11019, ""押金""), ""押金往來"",
  AND(E11019&lt;&gt;"""", F11019=""""), ""真實支出"",
  AND(E11019="""", F11019&lt;&gt;""""), ""真實收入"",
  TRUE, ""其他""
)"),"其他")</f>
        <v>其他</v>
      </c>
      <c r="K11019" s="270" t="str">
        <f t="shared" si="2"/>
        <v/>
      </c>
      <c r="L11019">
        <f t="shared" si="3"/>
        <v>0</v>
      </c>
    </row>
    <row r="11020">
      <c r="A11020" s="107"/>
      <c r="D11020" s="270"/>
      <c r="H11020" s="106" t="str">
        <f t="shared" si="1"/>
        <v/>
      </c>
      <c r="J11020" t="str">
        <f>IFERROR(__xludf.DUMMYFUNCTION("IFS(
  AND(REGEXMATCH(E11020, ""台銀籌備帳戶|玉山帳戶""), REGEXMATCH(C11020, ""薪資"")), ""分潤支出"",
  AND(REGEXMATCH(E11020, ""Ben帳戶|Elsa帳戶|Ben代墊|Ariel代墊|中信銀行共用""), REGEXMATCH(F11020, ""Ben帳戶|Elsa帳戶|Ben代墊|Ariel代墊|中信銀行共用"")), ""內部轉帳(忽略)"",
  AND(E11020&lt;&gt;"""", F11020&lt;&gt;"&amp;""""", NOT(REGEXMATCH(C11020, ""薪資""))), ""內部轉帳(忽略)"",
  REGEXMATCH(C11020, ""薪資""), ""薪資變動(不計入)"",
  REGEXMATCH(C11020, ""押金""), ""押金往來"",
  AND(E11020&lt;&gt;"""", F11020=""""), ""真實支出"",
  AND(E11020="""", F11020&lt;&gt;""""), ""真實收入"",
  TRUE, ""其他""
)"),"其他")</f>
        <v>其他</v>
      </c>
      <c r="K11020" s="270" t="str">
        <f t="shared" si="2"/>
        <v/>
      </c>
      <c r="L11020">
        <f t="shared" si="3"/>
        <v>0</v>
      </c>
    </row>
    <row r="11021">
      <c r="A11021" s="107"/>
      <c r="D11021" s="270"/>
      <c r="H11021" s="106" t="str">
        <f t="shared" si="1"/>
        <v/>
      </c>
      <c r="J11021" t="str">
        <f>IFERROR(__xludf.DUMMYFUNCTION("IFS(
  AND(REGEXMATCH(E11021, ""台銀籌備帳戶|玉山帳戶""), REGEXMATCH(C11021, ""薪資"")), ""分潤支出"",
  AND(REGEXMATCH(E11021, ""Ben帳戶|Elsa帳戶|Ben代墊|Ariel代墊|中信銀行共用""), REGEXMATCH(F11021, ""Ben帳戶|Elsa帳戶|Ben代墊|Ariel代墊|中信銀行共用"")), ""內部轉帳(忽略)"",
  AND(E11021&lt;&gt;"""", F11021&lt;&gt;"&amp;""""", NOT(REGEXMATCH(C11021, ""薪資""))), ""內部轉帳(忽略)"",
  REGEXMATCH(C11021, ""薪資""), ""薪資變動(不計入)"",
  REGEXMATCH(C11021, ""押金""), ""押金往來"",
  AND(E11021&lt;&gt;"""", F11021=""""), ""真實支出"",
  AND(E11021="""", F11021&lt;&gt;""""), ""真實收入"",
  TRUE, ""其他""
)"),"其他")</f>
        <v>其他</v>
      </c>
      <c r="K11021" s="270" t="str">
        <f t="shared" si="2"/>
        <v/>
      </c>
      <c r="L11021">
        <f t="shared" si="3"/>
        <v>0</v>
      </c>
    </row>
    <row r="11022">
      <c r="A11022" s="107"/>
      <c r="D11022" s="270"/>
      <c r="H11022" s="106" t="str">
        <f t="shared" si="1"/>
        <v/>
      </c>
      <c r="J11022" t="str">
        <f>IFERROR(__xludf.DUMMYFUNCTION("IFS(
  AND(REGEXMATCH(E11022, ""台銀籌備帳戶|玉山帳戶""), REGEXMATCH(C11022, ""薪資"")), ""分潤支出"",
  AND(REGEXMATCH(E11022, ""Ben帳戶|Elsa帳戶|Ben代墊|Ariel代墊|中信銀行共用""), REGEXMATCH(F11022, ""Ben帳戶|Elsa帳戶|Ben代墊|Ariel代墊|中信銀行共用"")), ""內部轉帳(忽略)"",
  AND(E11022&lt;&gt;"""", F11022&lt;&gt;"&amp;""""", NOT(REGEXMATCH(C11022, ""薪資""))), ""內部轉帳(忽略)"",
  REGEXMATCH(C11022, ""薪資""), ""薪資變動(不計入)"",
  REGEXMATCH(C11022, ""押金""), ""押金往來"",
  AND(E11022&lt;&gt;"""", F11022=""""), ""真實支出"",
  AND(E11022="""", F11022&lt;&gt;""""), ""真實收入"",
  TRUE, ""其他""
)"),"其他")</f>
        <v>其他</v>
      </c>
      <c r="K11022" s="270" t="str">
        <f t="shared" si="2"/>
        <v/>
      </c>
      <c r="L11022">
        <f t="shared" si="3"/>
        <v>0</v>
      </c>
    </row>
    <row r="11023">
      <c r="A11023" s="107"/>
      <c r="D11023" s="270"/>
      <c r="H11023" s="106" t="str">
        <f t="shared" si="1"/>
        <v/>
      </c>
      <c r="J11023" t="str">
        <f>IFERROR(__xludf.DUMMYFUNCTION("IFS(
  AND(REGEXMATCH(E11023, ""台銀籌備帳戶|玉山帳戶""), REGEXMATCH(C11023, ""薪資"")), ""分潤支出"",
  AND(REGEXMATCH(E11023, ""Ben帳戶|Elsa帳戶|Ben代墊|Ariel代墊|中信銀行共用""), REGEXMATCH(F11023, ""Ben帳戶|Elsa帳戶|Ben代墊|Ariel代墊|中信銀行共用"")), ""內部轉帳(忽略)"",
  AND(E11023&lt;&gt;"""", F11023&lt;&gt;"&amp;""""", NOT(REGEXMATCH(C11023, ""薪資""))), ""內部轉帳(忽略)"",
  REGEXMATCH(C11023, ""薪資""), ""薪資變動(不計入)"",
  REGEXMATCH(C11023, ""押金""), ""押金往來"",
  AND(E11023&lt;&gt;"""", F11023=""""), ""真實支出"",
  AND(E11023="""", F11023&lt;&gt;""""), ""真實收入"",
  TRUE, ""其他""
)"),"其他")</f>
        <v>其他</v>
      </c>
      <c r="K11023" s="270" t="str">
        <f t="shared" si="2"/>
        <v/>
      </c>
      <c r="L11023">
        <f t="shared" si="3"/>
        <v>0</v>
      </c>
    </row>
    <row r="11024">
      <c r="A11024" s="107"/>
      <c r="D11024" s="270"/>
      <c r="H11024" s="106" t="str">
        <f t="shared" si="1"/>
        <v/>
      </c>
      <c r="J11024" t="str">
        <f>IFERROR(__xludf.DUMMYFUNCTION("IFS(
  AND(REGEXMATCH(E11024, ""台銀籌備帳戶|玉山帳戶""), REGEXMATCH(C11024, ""薪資"")), ""分潤支出"",
  AND(REGEXMATCH(E11024, ""Ben帳戶|Elsa帳戶|Ben代墊|Ariel代墊|中信銀行共用""), REGEXMATCH(F11024, ""Ben帳戶|Elsa帳戶|Ben代墊|Ariel代墊|中信銀行共用"")), ""內部轉帳(忽略)"",
  AND(E11024&lt;&gt;"""", F11024&lt;&gt;"&amp;""""", NOT(REGEXMATCH(C11024, ""薪資""))), ""內部轉帳(忽略)"",
  REGEXMATCH(C11024, ""薪資""), ""薪資變動(不計入)"",
  REGEXMATCH(C11024, ""押金""), ""押金往來"",
  AND(E11024&lt;&gt;"""", F11024=""""), ""真實支出"",
  AND(E11024="""", F11024&lt;&gt;""""), ""真實收入"",
  TRUE, ""其他""
)"),"其他")</f>
        <v>其他</v>
      </c>
      <c r="K11024" s="270" t="str">
        <f t="shared" si="2"/>
        <v/>
      </c>
      <c r="L11024">
        <f t="shared" si="3"/>
        <v>0</v>
      </c>
    </row>
    <row r="11025">
      <c r="A11025" s="107"/>
      <c r="D11025" s="270"/>
      <c r="H11025" s="106" t="str">
        <f t="shared" si="1"/>
        <v/>
      </c>
      <c r="J11025" t="str">
        <f>IFERROR(__xludf.DUMMYFUNCTION("IFS(
  AND(REGEXMATCH(E11025, ""台銀籌備帳戶|玉山帳戶""), REGEXMATCH(C11025, ""薪資"")), ""分潤支出"",
  AND(REGEXMATCH(E11025, ""Ben帳戶|Elsa帳戶|Ben代墊|Ariel代墊|中信銀行共用""), REGEXMATCH(F11025, ""Ben帳戶|Elsa帳戶|Ben代墊|Ariel代墊|中信銀行共用"")), ""內部轉帳(忽略)"",
  AND(E11025&lt;&gt;"""", F11025&lt;&gt;"&amp;""""", NOT(REGEXMATCH(C11025, ""薪資""))), ""內部轉帳(忽略)"",
  REGEXMATCH(C11025, ""薪資""), ""薪資變動(不計入)"",
  REGEXMATCH(C11025, ""押金""), ""押金往來"",
  AND(E11025&lt;&gt;"""", F11025=""""), ""真實支出"",
  AND(E11025="""", F11025&lt;&gt;""""), ""真實收入"",
  TRUE, ""其他""
)"),"其他")</f>
        <v>其他</v>
      </c>
      <c r="K11025" s="270" t="str">
        <f t="shared" si="2"/>
        <v/>
      </c>
      <c r="L11025">
        <f t="shared" si="3"/>
        <v>0</v>
      </c>
    </row>
    <row r="11026">
      <c r="A11026" s="107"/>
      <c r="D11026" s="270"/>
      <c r="H11026" s="106" t="str">
        <f t="shared" si="1"/>
        <v/>
      </c>
      <c r="J11026" t="str">
        <f>IFERROR(__xludf.DUMMYFUNCTION("IFS(
  AND(REGEXMATCH(E11026, ""台銀籌備帳戶|玉山帳戶""), REGEXMATCH(C11026, ""薪資"")), ""分潤支出"",
  AND(REGEXMATCH(E11026, ""Ben帳戶|Elsa帳戶|Ben代墊|Ariel代墊|中信銀行共用""), REGEXMATCH(F11026, ""Ben帳戶|Elsa帳戶|Ben代墊|Ariel代墊|中信銀行共用"")), ""內部轉帳(忽略)"",
  AND(E11026&lt;&gt;"""", F11026&lt;&gt;"&amp;""""", NOT(REGEXMATCH(C11026, ""薪資""))), ""內部轉帳(忽略)"",
  REGEXMATCH(C11026, ""薪資""), ""薪資變動(不計入)"",
  REGEXMATCH(C11026, ""押金""), ""押金往來"",
  AND(E11026&lt;&gt;"""", F11026=""""), ""真實支出"",
  AND(E11026="""", F11026&lt;&gt;""""), ""真實收入"",
  TRUE, ""其他""
)"),"其他")</f>
        <v>其他</v>
      </c>
      <c r="K11026" s="270" t="str">
        <f t="shared" si="2"/>
        <v/>
      </c>
      <c r="L11026">
        <f t="shared" si="3"/>
        <v>0</v>
      </c>
    </row>
    <row r="11027">
      <c r="A11027" s="107"/>
      <c r="D11027" s="270"/>
      <c r="H11027" s="106" t="str">
        <f t="shared" si="1"/>
        <v/>
      </c>
      <c r="J11027" t="str">
        <f>IFERROR(__xludf.DUMMYFUNCTION("IFS(
  AND(REGEXMATCH(E11027, ""台銀籌備帳戶|玉山帳戶""), REGEXMATCH(C11027, ""薪資"")), ""分潤支出"",
  AND(REGEXMATCH(E11027, ""Ben帳戶|Elsa帳戶|Ben代墊|Ariel代墊|中信銀行共用""), REGEXMATCH(F11027, ""Ben帳戶|Elsa帳戶|Ben代墊|Ariel代墊|中信銀行共用"")), ""內部轉帳(忽略)"",
  AND(E11027&lt;&gt;"""", F11027&lt;&gt;"&amp;""""", NOT(REGEXMATCH(C11027, ""薪資""))), ""內部轉帳(忽略)"",
  REGEXMATCH(C11027, ""薪資""), ""薪資變動(不計入)"",
  REGEXMATCH(C11027, ""押金""), ""押金往來"",
  AND(E11027&lt;&gt;"""", F11027=""""), ""真實支出"",
  AND(E11027="""", F11027&lt;&gt;""""), ""真實收入"",
  TRUE, ""其他""
)"),"其他")</f>
        <v>其他</v>
      </c>
      <c r="K11027" s="270" t="str">
        <f t="shared" si="2"/>
        <v/>
      </c>
      <c r="L11027">
        <f t="shared" si="3"/>
        <v>0</v>
      </c>
    </row>
    <row r="11028">
      <c r="A11028" s="107"/>
      <c r="D11028" s="270"/>
      <c r="H11028" s="106" t="str">
        <f t="shared" si="1"/>
        <v/>
      </c>
      <c r="J11028" t="str">
        <f>IFERROR(__xludf.DUMMYFUNCTION("IFS(
  AND(REGEXMATCH(E11028, ""台銀籌備帳戶|玉山帳戶""), REGEXMATCH(C11028, ""薪資"")), ""分潤支出"",
  AND(REGEXMATCH(E11028, ""Ben帳戶|Elsa帳戶|Ben代墊|Ariel代墊|中信銀行共用""), REGEXMATCH(F11028, ""Ben帳戶|Elsa帳戶|Ben代墊|Ariel代墊|中信銀行共用"")), ""內部轉帳(忽略)"",
  AND(E11028&lt;&gt;"""", F11028&lt;&gt;"&amp;""""", NOT(REGEXMATCH(C11028, ""薪資""))), ""內部轉帳(忽略)"",
  REGEXMATCH(C11028, ""薪資""), ""薪資變動(不計入)"",
  REGEXMATCH(C11028, ""押金""), ""押金往來"",
  AND(E11028&lt;&gt;"""", F11028=""""), ""真實支出"",
  AND(E11028="""", F11028&lt;&gt;""""), ""真實收入"",
  TRUE, ""其他""
)"),"其他")</f>
        <v>其他</v>
      </c>
      <c r="K11028" s="270" t="str">
        <f t="shared" si="2"/>
        <v/>
      </c>
      <c r="L11028">
        <f t="shared" si="3"/>
        <v>0</v>
      </c>
    </row>
    <row r="11029">
      <c r="A11029" s="107"/>
      <c r="D11029" s="270"/>
      <c r="H11029" s="106" t="str">
        <f t="shared" si="1"/>
        <v/>
      </c>
      <c r="J11029" t="str">
        <f>IFERROR(__xludf.DUMMYFUNCTION("IFS(
  AND(REGEXMATCH(E11029, ""台銀籌備帳戶|玉山帳戶""), REGEXMATCH(C11029, ""薪資"")), ""分潤支出"",
  AND(REGEXMATCH(E11029, ""Ben帳戶|Elsa帳戶|Ben代墊|Ariel代墊|中信銀行共用""), REGEXMATCH(F11029, ""Ben帳戶|Elsa帳戶|Ben代墊|Ariel代墊|中信銀行共用"")), ""內部轉帳(忽略)"",
  AND(E11029&lt;&gt;"""", F11029&lt;&gt;"&amp;""""", NOT(REGEXMATCH(C11029, ""薪資""))), ""內部轉帳(忽略)"",
  REGEXMATCH(C11029, ""薪資""), ""薪資變動(不計入)"",
  REGEXMATCH(C11029, ""押金""), ""押金往來"",
  AND(E11029&lt;&gt;"""", F11029=""""), ""真實支出"",
  AND(E11029="""", F11029&lt;&gt;""""), ""真實收入"",
  TRUE, ""其他""
)"),"其他")</f>
        <v>其他</v>
      </c>
      <c r="K11029" s="270" t="str">
        <f t="shared" si="2"/>
        <v/>
      </c>
      <c r="L11029">
        <f t="shared" si="3"/>
        <v>0</v>
      </c>
    </row>
    <row r="11030">
      <c r="A11030" s="107"/>
      <c r="D11030" s="270"/>
      <c r="H11030" s="106" t="str">
        <f t="shared" si="1"/>
        <v/>
      </c>
      <c r="J11030" t="str">
        <f>IFERROR(__xludf.DUMMYFUNCTION("IFS(
  AND(REGEXMATCH(E11030, ""台銀籌備帳戶|玉山帳戶""), REGEXMATCH(C11030, ""薪資"")), ""分潤支出"",
  AND(REGEXMATCH(E11030, ""Ben帳戶|Elsa帳戶|Ben代墊|Ariel代墊|中信銀行共用""), REGEXMATCH(F11030, ""Ben帳戶|Elsa帳戶|Ben代墊|Ariel代墊|中信銀行共用"")), ""內部轉帳(忽略)"",
  AND(E11030&lt;&gt;"""", F11030&lt;&gt;"&amp;""""", NOT(REGEXMATCH(C11030, ""薪資""))), ""內部轉帳(忽略)"",
  REGEXMATCH(C11030, ""薪資""), ""薪資變動(不計入)"",
  REGEXMATCH(C11030, ""押金""), ""押金往來"",
  AND(E11030&lt;&gt;"""", F11030=""""), ""真實支出"",
  AND(E11030="""", F11030&lt;&gt;""""), ""真實收入"",
  TRUE, ""其他""
)"),"其他")</f>
        <v>其他</v>
      </c>
      <c r="K11030" s="270" t="str">
        <f t="shared" si="2"/>
        <v/>
      </c>
      <c r="L11030">
        <f t="shared" si="3"/>
        <v>0</v>
      </c>
    </row>
    <row r="11031">
      <c r="A11031" s="107"/>
      <c r="D11031" s="270"/>
      <c r="H11031" s="106" t="str">
        <f t="shared" si="1"/>
        <v/>
      </c>
      <c r="J11031" t="str">
        <f>IFERROR(__xludf.DUMMYFUNCTION("IFS(
  AND(REGEXMATCH(E11031, ""台銀籌備帳戶|玉山帳戶""), REGEXMATCH(C11031, ""薪資"")), ""分潤支出"",
  AND(REGEXMATCH(E11031, ""Ben帳戶|Elsa帳戶|Ben代墊|Ariel代墊|中信銀行共用""), REGEXMATCH(F11031, ""Ben帳戶|Elsa帳戶|Ben代墊|Ariel代墊|中信銀行共用"")), ""內部轉帳(忽略)"",
  AND(E11031&lt;&gt;"""", F11031&lt;&gt;"&amp;""""", NOT(REGEXMATCH(C11031, ""薪資""))), ""內部轉帳(忽略)"",
  REGEXMATCH(C11031, ""薪資""), ""薪資變動(不計入)"",
  REGEXMATCH(C11031, ""押金""), ""押金往來"",
  AND(E11031&lt;&gt;"""", F11031=""""), ""真實支出"",
  AND(E11031="""", F11031&lt;&gt;""""), ""真實收入"",
  TRUE, ""其他""
)"),"其他")</f>
        <v>其他</v>
      </c>
      <c r="K11031" s="270" t="str">
        <f t="shared" si="2"/>
        <v/>
      </c>
      <c r="L11031">
        <f t="shared" si="3"/>
        <v>0</v>
      </c>
    </row>
    <row r="11032">
      <c r="A11032" s="107"/>
      <c r="D11032" s="270"/>
      <c r="H11032" s="106" t="str">
        <f t="shared" si="1"/>
        <v/>
      </c>
      <c r="J11032" t="str">
        <f>IFERROR(__xludf.DUMMYFUNCTION("IFS(
  AND(REGEXMATCH(E11032, ""台銀籌備帳戶|玉山帳戶""), REGEXMATCH(C11032, ""薪資"")), ""分潤支出"",
  AND(REGEXMATCH(E11032, ""Ben帳戶|Elsa帳戶|Ben代墊|Ariel代墊|中信銀行共用""), REGEXMATCH(F11032, ""Ben帳戶|Elsa帳戶|Ben代墊|Ariel代墊|中信銀行共用"")), ""內部轉帳(忽略)"",
  AND(E11032&lt;&gt;"""", F11032&lt;&gt;"&amp;""""", NOT(REGEXMATCH(C11032, ""薪資""))), ""內部轉帳(忽略)"",
  REGEXMATCH(C11032, ""薪資""), ""薪資變動(不計入)"",
  REGEXMATCH(C11032, ""押金""), ""押金往來"",
  AND(E11032&lt;&gt;"""", F11032=""""), ""真實支出"",
  AND(E11032="""", F11032&lt;&gt;""""), ""真實收入"",
  TRUE, ""其他""
)"),"其他")</f>
        <v>其他</v>
      </c>
      <c r="K11032" s="270" t="str">
        <f t="shared" si="2"/>
        <v/>
      </c>
      <c r="L11032">
        <f t="shared" si="3"/>
        <v>0</v>
      </c>
    </row>
    <row r="11033">
      <c r="A11033" s="107"/>
      <c r="D11033" s="270"/>
      <c r="H11033" s="106" t="str">
        <f t="shared" si="1"/>
        <v/>
      </c>
      <c r="J11033" t="str">
        <f>IFERROR(__xludf.DUMMYFUNCTION("IFS(
  AND(REGEXMATCH(E11033, ""台銀籌備帳戶|玉山帳戶""), REGEXMATCH(C11033, ""薪資"")), ""分潤支出"",
  AND(REGEXMATCH(E11033, ""Ben帳戶|Elsa帳戶|Ben代墊|Ariel代墊|中信銀行共用""), REGEXMATCH(F11033, ""Ben帳戶|Elsa帳戶|Ben代墊|Ariel代墊|中信銀行共用"")), ""內部轉帳(忽略)"",
  AND(E11033&lt;&gt;"""", F11033&lt;&gt;"&amp;""""", NOT(REGEXMATCH(C11033, ""薪資""))), ""內部轉帳(忽略)"",
  REGEXMATCH(C11033, ""薪資""), ""薪資變動(不計入)"",
  REGEXMATCH(C11033, ""押金""), ""押金往來"",
  AND(E11033&lt;&gt;"""", F11033=""""), ""真實支出"",
  AND(E11033="""", F11033&lt;&gt;""""), ""真實收入"",
  TRUE, ""其他""
)"),"其他")</f>
        <v>其他</v>
      </c>
      <c r="K11033" s="270" t="str">
        <f t="shared" si="2"/>
        <v/>
      </c>
      <c r="L11033">
        <f t="shared" si="3"/>
        <v>0</v>
      </c>
    </row>
    <row r="11034">
      <c r="A11034" s="107"/>
      <c r="D11034" s="270"/>
      <c r="H11034" s="106" t="str">
        <f t="shared" si="1"/>
        <v/>
      </c>
      <c r="J11034" t="str">
        <f>IFERROR(__xludf.DUMMYFUNCTION("IFS(
  AND(REGEXMATCH(E11034, ""台銀籌備帳戶|玉山帳戶""), REGEXMATCH(C11034, ""薪資"")), ""分潤支出"",
  AND(REGEXMATCH(E11034, ""Ben帳戶|Elsa帳戶|Ben代墊|Ariel代墊|中信銀行共用""), REGEXMATCH(F11034, ""Ben帳戶|Elsa帳戶|Ben代墊|Ariel代墊|中信銀行共用"")), ""內部轉帳(忽略)"",
  AND(E11034&lt;&gt;"""", F11034&lt;&gt;"&amp;""""", NOT(REGEXMATCH(C11034, ""薪資""))), ""內部轉帳(忽略)"",
  REGEXMATCH(C11034, ""薪資""), ""薪資變動(不計入)"",
  REGEXMATCH(C11034, ""押金""), ""押金往來"",
  AND(E11034&lt;&gt;"""", F11034=""""), ""真實支出"",
  AND(E11034="""", F11034&lt;&gt;""""), ""真實收入"",
  TRUE, ""其他""
)"),"其他")</f>
        <v>其他</v>
      </c>
      <c r="K11034" s="270" t="str">
        <f t="shared" si="2"/>
        <v/>
      </c>
      <c r="L11034">
        <f t="shared" si="3"/>
        <v>0</v>
      </c>
    </row>
    <row r="11035">
      <c r="A11035" s="107"/>
      <c r="D11035" s="270"/>
      <c r="H11035" s="106" t="str">
        <f t="shared" si="1"/>
        <v/>
      </c>
      <c r="J11035" t="str">
        <f>IFERROR(__xludf.DUMMYFUNCTION("IFS(
  AND(REGEXMATCH(E11035, ""台銀籌備帳戶|玉山帳戶""), REGEXMATCH(C11035, ""薪資"")), ""分潤支出"",
  AND(REGEXMATCH(E11035, ""Ben帳戶|Elsa帳戶|Ben代墊|Ariel代墊|中信銀行共用""), REGEXMATCH(F11035, ""Ben帳戶|Elsa帳戶|Ben代墊|Ariel代墊|中信銀行共用"")), ""內部轉帳(忽略)"",
  AND(E11035&lt;&gt;"""", F11035&lt;&gt;"&amp;""""", NOT(REGEXMATCH(C11035, ""薪資""))), ""內部轉帳(忽略)"",
  REGEXMATCH(C11035, ""薪資""), ""薪資變動(不計入)"",
  REGEXMATCH(C11035, ""押金""), ""押金往來"",
  AND(E11035&lt;&gt;"""", F11035=""""), ""真實支出"",
  AND(E11035="""", F11035&lt;&gt;""""), ""真實收入"",
  TRUE, ""其他""
)"),"其他")</f>
        <v>其他</v>
      </c>
      <c r="K11035" s="270" t="str">
        <f t="shared" si="2"/>
        <v/>
      </c>
      <c r="L11035">
        <f t="shared" si="3"/>
        <v>0</v>
      </c>
    </row>
    <row r="11036">
      <c r="A11036" s="107"/>
      <c r="D11036" s="270"/>
      <c r="H11036" s="106" t="str">
        <f t="shared" si="1"/>
        <v/>
      </c>
      <c r="J11036" t="str">
        <f>IFERROR(__xludf.DUMMYFUNCTION("IFS(
  AND(REGEXMATCH(E11036, ""台銀籌備帳戶|玉山帳戶""), REGEXMATCH(C11036, ""薪資"")), ""分潤支出"",
  AND(REGEXMATCH(E11036, ""Ben帳戶|Elsa帳戶|Ben代墊|Ariel代墊|中信銀行共用""), REGEXMATCH(F11036, ""Ben帳戶|Elsa帳戶|Ben代墊|Ariel代墊|中信銀行共用"")), ""內部轉帳(忽略)"",
  AND(E11036&lt;&gt;"""", F11036&lt;&gt;"&amp;""""", NOT(REGEXMATCH(C11036, ""薪資""))), ""內部轉帳(忽略)"",
  REGEXMATCH(C11036, ""薪資""), ""薪資變動(不計入)"",
  REGEXMATCH(C11036, ""押金""), ""押金往來"",
  AND(E11036&lt;&gt;"""", F11036=""""), ""真實支出"",
  AND(E11036="""", F11036&lt;&gt;""""), ""真實收入"",
  TRUE, ""其他""
)"),"其他")</f>
        <v>其他</v>
      </c>
      <c r="K11036" s="270" t="str">
        <f t="shared" si="2"/>
        <v/>
      </c>
      <c r="L11036">
        <f t="shared" si="3"/>
        <v>0</v>
      </c>
    </row>
    <row r="11037">
      <c r="A11037" s="107"/>
      <c r="D11037" s="270"/>
      <c r="H11037" s="106" t="str">
        <f t="shared" si="1"/>
        <v/>
      </c>
      <c r="J11037" t="str">
        <f>IFERROR(__xludf.DUMMYFUNCTION("IFS(
  AND(REGEXMATCH(E11037, ""台銀籌備帳戶|玉山帳戶""), REGEXMATCH(C11037, ""薪資"")), ""分潤支出"",
  AND(REGEXMATCH(E11037, ""Ben帳戶|Elsa帳戶|Ben代墊|Ariel代墊|中信銀行共用""), REGEXMATCH(F11037, ""Ben帳戶|Elsa帳戶|Ben代墊|Ariel代墊|中信銀行共用"")), ""內部轉帳(忽略)"",
  AND(E11037&lt;&gt;"""", F11037&lt;&gt;"&amp;""""", NOT(REGEXMATCH(C11037, ""薪資""))), ""內部轉帳(忽略)"",
  REGEXMATCH(C11037, ""薪資""), ""薪資變動(不計入)"",
  REGEXMATCH(C11037, ""押金""), ""押金往來"",
  AND(E11037&lt;&gt;"""", F11037=""""), ""真實支出"",
  AND(E11037="""", F11037&lt;&gt;""""), ""真實收入"",
  TRUE, ""其他""
)"),"其他")</f>
        <v>其他</v>
      </c>
      <c r="K11037" s="270" t="str">
        <f t="shared" si="2"/>
        <v/>
      </c>
      <c r="L11037">
        <f t="shared" si="3"/>
        <v>0</v>
      </c>
    </row>
    <row r="11038">
      <c r="A11038" s="107"/>
      <c r="D11038" s="270"/>
      <c r="H11038" s="106" t="str">
        <f t="shared" si="1"/>
        <v/>
      </c>
      <c r="J11038" t="str">
        <f>IFERROR(__xludf.DUMMYFUNCTION("IFS(
  AND(REGEXMATCH(E11038, ""台銀籌備帳戶|玉山帳戶""), REGEXMATCH(C11038, ""薪資"")), ""分潤支出"",
  AND(REGEXMATCH(E11038, ""Ben帳戶|Elsa帳戶|Ben代墊|Ariel代墊|中信銀行共用""), REGEXMATCH(F11038, ""Ben帳戶|Elsa帳戶|Ben代墊|Ariel代墊|中信銀行共用"")), ""內部轉帳(忽略)"",
  AND(E11038&lt;&gt;"""", F11038&lt;&gt;"&amp;""""", NOT(REGEXMATCH(C11038, ""薪資""))), ""內部轉帳(忽略)"",
  REGEXMATCH(C11038, ""薪資""), ""薪資變動(不計入)"",
  REGEXMATCH(C11038, ""押金""), ""押金往來"",
  AND(E11038&lt;&gt;"""", F11038=""""), ""真實支出"",
  AND(E11038="""", F11038&lt;&gt;""""), ""真實收入"",
  TRUE, ""其他""
)"),"其他")</f>
        <v>其他</v>
      </c>
      <c r="K11038" s="270" t="str">
        <f t="shared" si="2"/>
        <v/>
      </c>
      <c r="L11038">
        <f t="shared" si="3"/>
        <v>0</v>
      </c>
    </row>
    <row r="11039">
      <c r="A11039" s="107"/>
      <c r="D11039" s="270"/>
      <c r="H11039" s="106" t="str">
        <f t="shared" si="1"/>
        <v/>
      </c>
      <c r="J11039" t="str">
        <f>IFERROR(__xludf.DUMMYFUNCTION("IFS(
  AND(REGEXMATCH(E11039, ""台銀籌備帳戶|玉山帳戶""), REGEXMATCH(C11039, ""薪資"")), ""分潤支出"",
  AND(REGEXMATCH(E11039, ""Ben帳戶|Elsa帳戶|Ben代墊|Ariel代墊|中信銀行共用""), REGEXMATCH(F11039, ""Ben帳戶|Elsa帳戶|Ben代墊|Ariel代墊|中信銀行共用"")), ""內部轉帳(忽略)"",
  AND(E11039&lt;&gt;"""", F11039&lt;&gt;"&amp;""""", NOT(REGEXMATCH(C11039, ""薪資""))), ""內部轉帳(忽略)"",
  REGEXMATCH(C11039, ""薪資""), ""薪資變動(不計入)"",
  REGEXMATCH(C11039, ""押金""), ""押金往來"",
  AND(E11039&lt;&gt;"""", F11039=""""), ""真實支出"",
  AND(E11039="""", F11039&lt;&gt;""""), ""真實收入"",
  TRUE, ""其他""
)"),"其他")</f>
        <v>其他</v>
      </c>
      <c r="K11039" s="270" t="str">
        <f t="shared" si="2"/>
        <v/>
      </c>
      <c r="L11039">
        <f t="shared" si="3"/>
        <v>0</v>
      </c>
    </row>
    <row r="11040">
      <c r="A11040" s="107"/>
      <c r="D11040" s="270"/>
      <c r="H11040" s="106" t="str">
        <f t="shared" si="1"/>
        <v/>
      </c>
      <c r="J11040" t="str">
        <f>IFERROR(__xludf.DUMMYFUNCTION("IFS(
  AND(REGEXMATCH(E11040, ""台銀籌備帳戶|玉山帳戶""), REGEXMATCH(C11040, ""薪資"")), ""分潤支出"",
  AND(REGEXMATCH(E11040, ""Ben帳戶|Elsa帳戶|Ben代墊|Ariel代墊|中信銀行共用""), REGEXMATCH(F11040, ""Ben帳戶|Elsa帳戶|Ben代墊|Ariel代墊|中信銀行共用"")), ""內部轉帳(忽略)"",
  AND(E11040&lt;&gt;"""", F11040&lt;&gt;"&amp;""""", NOT(REGEXMATCH(C11040, ""薪資""))), ""內部轉帳(忽略)"",
  REGEXMATCH(C11040, ""薪資""), ""薪資變動(不計入)"",
  REGEXMATCH(C11040, ""押金""), ""押金往來"",
  AND(E11040&lt;&gt;"""", F11040=""""), ""真實支出"",
  AND(E11040="""", F11040&lt;&gt;""""), ""真實收入"",
  TRUE, ""其他""
)"),"其他")</f>
        <v>其他</v>
      </c>
      <c r="K11040" s="270" t="str">
        <f t="shared" si="2"/>
        <v/>
      </c>
      <c r="L11040">
        <f t="shared" si="3"/>
        <v>0</v>
      </c>
    </row>
    <row r="11041">
      <c r="A11041" s="107"/>
      <c r="D11041" s="270"/>
      <c r="H11041" s="106" t="str">
        <f t="shared" si="1"/>
        <v/>
      </c>
      <c r="J11041" t="str">
        <f>IFERROR(__xludf.DUMMYFUNCTION("IFS(
  AND(REGEXMATCH(E11041, ""台銀籌備帳戶|玉山帳戶""), REGEXMATCH(C11041, ""薪資"")), ""分潤支出"",
  AND(REGEXMATCH(E11041, ""Ben帳戶|Elsa帳戶|Ben代墊|Ariel代墊|中信銀行共用""), REGEXMATCH(F11041, ""Ben帳戶|Elsa帳戶|Ben代墊|Ariel代墊|中信銀行共用"")), ""內部轉帳(忽略)"",
  AND(E11041&lt;&gt;"""", F11041&lt;&gt;"&amp;""""", NOT(REGEXMATCH(C11041, ""薪資""))), ""內部轉帳(忽略)"",
  REGEXMATCH(C11041, ""薪資""), ""薪資變動(不計入)"",
  REGEXMATCH(C11041, ""押金""), ""押金往來"",
  AND(E11041&lt;&gt;"""", F11041=""""), ""真實支出"",
  AND(E11041="""", F11041&lt;&gt;""""), ""真實收入"",
  TRUE, ""其他""
)"),"其他")</f>
        <v>其他</v>
      </c>
      <c r="K11041" s="270" t="str">
        <f t="shared" si="2"/>
        <v/>
      </c>
      <c r="L11041">
        <f t="shared" si="3"/>
        <v>0</v>
      </c>
    </row>
    <row r="11042">
      <c r="A11042" s="107"/>
      <c r="D11042" s="270"/>
      <c r="H11042" s="106" t="str">
        <f t="shared" si="1"/>
        <v/>
      </c>
      <c r="J11042" t="str">
        <f>IFERROR(__xludf.DUMMYFUNCTION("IFS(
  AND(REGEXMATCH(E11042, ""台銀籌備帳戶|玉山帳戶""), REGEXMATCH(C11042, ""薪資"")), ""分潤支出"",
  AND(REGEXMATCH(E11042, ""Ben帳戶|Elsa帳戶|Ben代墊|Ariel代墊|中信銀行共用""), REGEXMATCH(F11042, ""Ben帳戶|Elsa帳戶|Ben代墊|Ariel代墊|中信銀行共用"")), ""內部轉帳(忽略)"",
  AND(E11042&lt;&gt;"""", F11042&lt;&gt;"&amp;""""", NOT(REGEXMATCH(C11042, ""薪資""))), ""內部轉帳(忽略)"",
  REGEXMATCH(C11042, ""薪資""), ""薪資變動(不計入)"",
  REGEXMATCH(C11042, ""押金""), ""押金往來"",
  AND(E11042&lt;&gt;"""", F11042=""""), ""真實支出"",
  AND(E11042="""", F11042&lt;&gt;""""), ""真實收入"",
  TRUE, ""其他""
)"),"其他")</f>
        <v>其他</v>
      </c>
      <c r="K11042" s="270" t="str">
        <f t="shared" si="2"/>
        <v/>
      </c>
      <c r="L11042">
        <f t="shared" si="3"/>
        <v>0</v>
      </c>
    </row>
    <row r="11043">
      <c r="A11043" s="107"/>
      <c r="D11043" s="270"/>
      <c r="H11043" s="106" t="str">
        <f t="shared" si="1"/>
        <v/>
      </c>
      <c r="J11043" t="str">
        <f>IFERROR(__xludf.DUMMYFUNCTION("IFS(
  AND(REGEXMATCH(E11043, ""台銀籌備帳戶|玉山帳戶""), REGEXMATCH(C11043, ""薪資"")), ""分潤支出"",
  AND(REGEXMATCH(E11043, ""Ben帳戶|Elsa帳戶|Ben代墊|Ariel代墊|中信銀行共用""), REGEXMATCH(F11043, ""Ben帳戶|Elsa帳戶|Ben代墊|Ariel代墊|中信銀行共用"")), ""內部轉帳(忽略)"",
  AND(E11043&lt;&gt;"""", F11043&lt;&gt;"&amp;""""", NOT(REGEXMATCH(C11043, ""薪資""))), ""內部轉帳(忽略)"",
  REGEXMATCH(C11043, ""薪資""), ""薪資變動(不計入)"",
  REGEXMATCH(C11043, ""押金""), ""押金往來"",
  AND(E11043&lt;&gt;"""", F11043=""""), ""真實支出"",
  AND(E11043="""", F11043&lt;&gt;""""), ""真實收入"",
  TRUE, ""其他""
)"),"其他")</f>
        <v>其他</v>
      </c>
      <c r="K11043" s="270" t="str">
        <f t="shared" si="2"/>
        <v/>
      </c>
      <c r="L11043">
        <f t="shared" si="3"/>
        <v>0</v>
      </c>
    </row>
    <row r="11044">
      <c r="A11044" s="107"/>
      <c r="D11044" s="270"/>
      <c r="H11044" s="106" t="str">
        <f t="shared" si="1"/>
        <v/>
      </c>
      <c r="J11044" t="str">
        <f>IFERROR(__xludf.DUMMYFUNCTION("IFS(
  AND(REGEXMATCH(E11044, ""台銀籌備帳戶|玉山帳戶""), REGEXMATCH(C11044, ""薪資"")), ""分潤支出"",
  AND(REGEXMATCH(E11044, ""Ben帳戶|Elsa帳戶|Ben代墊|Ariel代墊|中信銀行共用""), REGEXMATCH(F11044, ""Ben帳戶|Elsa帳戶|Ben代墊|Ariel代墊|中信銀行共用"")), ""內部轉帳(忽略)"",
  AND(E11044&lt;&gt;"""", F11044&lt;&gt;"&amp;""""", NOT(REGEXMATCH(C11044, ""薪資""))), ""內部轉帳(忽略)"",
  REGEXMATCH(C11044, ""薪資""), ""薪資變動(不計入)"",
  REGEXMATCH(C11044, ""押金""), ""押金往來"",
  AND(E11044&lt;&gt;"""", F11044=""""), ""真實支出"",
  AND(E11044="""", F11044&lt;&gt;""""), ""真實收入"",
  TRUE, ""其他""
)"),"其他")</f>
        <v>其他</v>
      </c>
      <c r="K11044" s="270" t="str">
        <f t="shared" si="2"/>
        <v/>
      </c>
      <c r="L11044">
        <f t="shared" si="3"/>
        <v>0</v>
      </c>
    </row>
    <row r="11045">
      <c r="A11045" s="107"/>
      <c r="D11045" s="270"/>
      <c r="H11045" s="106" t="str">
        <f t="shared" si="1"/>
        <v/>
      </c>
      <c r="J11045" t="str">
        <f>IFERROR(__xludf.DUMMYFUNCTION("IFS(
  AND(REGEXMATCH(E11045, ""台銀籌備帳戶|玉山帳戶""), REGEXMATCH(C11045, ""薪資"")), ""分潤支出"",
  AND(REGEXMATCH(E11045, ""Ben帳戶|Elsa帳戶|Ben代墊|Ariel代墊|中信銀行共用""), REGEXMATCH(F11045, ""Ben帳戶|Elsa帳戶|Ben代墊|Ariel代墊|中信銀行共用"")), ""內部轉帳(忽略)"",
  AND(E11045&lt;&gt;"""", F11045&lt;&gt;"&amp;""""", NOT(REGEXMATCH(C11045, ""薪資""))), ""內部轉帳(忽略)"",
  REGEXMATCH(C11045, ""薪資""), ""薪資變動(不計入)"",
  REGEXMATCH(C11045, ""押金""), ""押金往來"",
  AND(E11045&lt;&gt;"""", F11045=""""), ""真實支出"",
  AND(E11045="""", F11045&lt;&gt;""""), ""真實收入"",
  TRUE, ""其他""
)"),"其他")</f>
        <v>其他</v>
      </c>
      <c r="K11045" s="270" t="str">
        <f t="shared" si="2"/>
        <v/>
      </c>
      <c r="L11045">
        <f t="shared" si="3"/>
        <v>0</v>
      </c>
    </row>
    <row r="11046">
      <c r="A11046" s="107"/>
      <c r="D11046" s="270"/>
      <c r="H11046" s="106" t="str">
        <f t="shared" si="1"/>
        <v/>
      </c>
      <c r="J11046" t="str">
        <f>IFERROR(__xludf.DUMMYFUNCTION("IFS(
  AND(REGEXMATCH(E11046, ""台銀籌備帳戶|玉山帳戶""), REGEXMATCH(C11046, ""薪資"")), ""分潤支出"",
  AND(REGEXMATCH(E11046, ""Ben帳戶|Elsa帳戶|Ben代墊|Ariel代墊|中信銀行共用""), REGEXMATCH(F11046, ""Ben帳戶|Elsa帳戶|Ben代墊|Ariel代墊|中信銀行共用"")), ""內部轉帳(忽略)"",
  AND(E11046&lt;&gt;"""", F11046&lt;&gt;"&amp;""""", NOT(REGEXMATCH(C11046, ""薪資""))), ""內部轉帳(忽略)"",
  REGEXMATCH(C11046, ""薪資""), ""薪資變動(不計入)"",
  REGEXMATCH(C11046, ""押金""), ""押金往來"",
  AND(E11046&lt;&gt;"""", F11046=""""), ""真實支出"",
  AND(E11046="""", F11046&lt;&gt;""""), ""真實收入"",
  TRUE, ""其他""
)"),"其他")</f>
        <v>其他</v>
      </c>
      <c r="K11046" s="270" t="str">
        <f t="shared" si="2"/>
        <v/>
      </c>
      <c r="L11046">
        <f t="shared" si="3"/>
        <v>0</v>
      </c>
    </row>
    <row r="11047">
      <c r="A11047" s="107"/>
      <c r="D11047" s="270"/>
      <c r="H11047" s="106" t="str">
        <f t="shared" si="1"/>
        <v/>
      </c>
      <c r="J11047" t="str">
        <f>IFERROR(__xludf.DUMMYFUNCTION("IFS(
  AND(REGEXMATCH(E11047, ""台銀籌備帳戶|玉山帳戶""), REGEXMATCH(C11047, ""薪資"")), ""分潤支出"",
  AND(REGEXMATCH(E11047, ""Ben帳戶|Elsa帳戶|Ben代墊|Ariel代墊|中信銀行共用""), REGEXMATCH(F11047, ""Ben帳戶|Elsa帳戶|Ben代墊|Ariel代墊|中信銀行共用"")), ""內部轉帳(忽略)"",
  AND(E11047&lt;&gt;"""", F11047&lt;&gt;"&amp;""""", NOT(REGEXMATCH(C11047, ""薪資""))), ""內部轉帳(忽略)"",
  REGEXMATCH(C11047, ""薪資""), ""薪資變動(不計入)"",
  REGEXMATCH(C11047, ""押金""), ""押金往來"",
  AND(E11047&lt;&gt;"""", F11047=""""), ""真實支出"",
  AND(E11047="""", F11047&lt;&gt;""""), ""真實收入"",
  TRUE, ""其他""
)"),"其他")</f>
        <v>其他</v>
      </c>
      <c r="K11047" s="270" t="str">
        <f t="shared" si="2"/>
        <v/>
      </c>
      <c r="L11047">
        <f t="shared" si="3"/>
        <v>0</v>
      </c>
    </row>
    <row r="11048">
      <c r="A11048" s="107"/>
      <c r="D11048" s="270"/>
      <c r="H11048" s="106" t="str">
        <f t="shared" si="1"/>
        <v/>
      </c>
      <c r="J11048" t="str">
        <f>IFERROR(__xludf.DUMMYFUNCTION("IFS(
  AND(REGEXMATCH(E11048, ""台銀籌備帳戶|玉山帳戶""), REGEXMATCH(C11048, ""薪資"")), ""分潤支出"",
  AND(REGEXMATCH(E11048, ""Ben帳戶|Elsa帳戶|Ben代墊|Ariel代墊|中信銀行共用""), REGEXMATCH(F11048, ""Ben帳戶|Elsa帳戶|Ben代墊|Ariel代墊|中信銀行共用"")), ""內部轉帳(忽略)"",
  AND(E11048&lt;&gt;"""", F11048&lt;&gt;"&amp;""""", NOT(REGEXMATCH(C11048, ""薪資""))), ""內部轉帳(忽略)"",
  REGEXMATCH(C11048, ""薪資""), ""薪資變動(不計入)"",
  REGEXMATCH(C11048, ""押金""), ""押金往來"",
  AND(E11048&lt;&gt;"""", F11048=""""), ""真實支出"",
  AND(E11048="""", F11048&lt;&gt;""""), ""真實收入"",
  TRUE, ""其他""
)"),"其他")</f>
        <v>其他</v>
      </c>
      <c r="K11048" s="270" t="str">
        <f t="shared" si="2"/>
        <v/>
      </c>
      <c r="L11048">
        <f t="shared" si="3"/>
        <v>0</v>
      </c>
    </row>
    <row r="11049">
      <c r="A11049" s="107"/>
      <c r="D11049" s="270"/>
      <c r="H11049" s="106" t="str">
        <f t="shared" si="1"/>
        <v/>
      </c>
      <c r="J11049" t="str">
        <f>IFERROR(__xludf.DUMMYFUNCTION("IFS(
  AND(REGEXMATCH(E11049, ""台銀籌備帳戶|玉山帳戶""), REGEXMATCH(C11049, ""薪資"")), ""分潤支出"",
  AND(REGEXMATCH(E11049, ""Ben帳戶|Elsa帳戶|Ben代墊|Ariel代墊|中信銀行共用""), REGEXMATCH(F11049, ""Ben帳戶|Elsa帳戶|Ben代墊|Ariel代墊|中信銀行共用"")), ""內部轉帳(忽略)"",
  AND(E11049&lt;&gt;"""", F11049&lt;&gt;"&amp;""""", NOT(REGEXMATCH(C11049, ""薪資""))), ""內部轉帳(忽略)"",
  REGEXMATCH(C11049, ""薪資""), ""薪資變動(不計入)"",
  REGEXMATCH(C11049, ""押金""), ""押金往來"",
  AND(E11049&lt;&gt;"""", F11049=""""), ""真實支出"",
  AND(E11049="""", F11049&lt;&gt;""""), ""真實收入"",
  TRUE, ""其他""
)"),"其他")</f>
        <v>其他</v>
      </c>
      <c r="K11049" s="270" t="str">
        <f t="shared" si="2"/>
        <v/>
      </c>
      <c r="L11049">
        <f t="shared" si="3"/>
        <v>0</v>
      </c>
    </row>
    <row r="11050">
      <c r="A11050" s="107"/>
      <c r="D11050" s="270"/>
      <c r="H11050" s="106" t="str">
        <f t="shared" si="1"/>
        <v/>
      </c>
      <c r="J11050" t="str">
        <f>IFERROR(__xludf.DUMMYFUNCTION("IFS(
  AND(REGEXMATCH(E11050, ""台銀籌備帳戶|玉山帳戶""), REGEXMATCH(C11050, ""薪資"")), ""分潤支出"",
  AND(REGEXMATCH(E11050, ""Ben帳戶|Elsa帳戶|Ben代墊|Ariel代墊|中信銀行共用""), REGEXMATCH(F11050, ""Ben帳戶|Elsa帳戶|Ben代墊|Ariel代墊|中信銀行共用"")), ""內部轉帳(忽略)"",
  AND(E11050&lt;&gt;"""", F11050&lt;&gt;"&amp;""""", NOT(REGEXMATCH(C11050, ""薪資""))), ""內部轉帳(忽略)"",
  REGEXMATCH(C11050, ""薪資""), ""薪資變動(不計入)"",
  REGEXMATCH(C11050, ""押金""), ""押金往來"",
  AND(E11050&lt;&gt;"""", F11050=""""), ""真實支出"",
  AND(E11050="""", F11050&lt;&gt;""""), ""真實收入"",
  TRUE, ""其他""
)"),"其他")</f>
        <v>其他</v>
      </c>
      <c r="K11050" s="270" t="str">
        <f t="shared" si="2"/>
        <v/>
      </c>
      <c r="L11050">
        <f t="shared" si="3"/>
        <v>0</v>
      </c>
    </row>
    <row r="11051">
      <c r="A11051" s="107"/>
      <c r="D11051" s="270"/>
      <c r="H11051" s="106" t="str">
        <f t="shared" si="1"/>
        <v/>
      </c>
      <c r="J11051" t="str">
        <f>IFERROR(__xludf.DUMMYFUNCTION("IFS(
  AND(REGEXMATCH(E11051, ""台銀籌備帳戶|玉山帳戶""), REGEXMATCH(C11051, ""薪資"")), ""分潤支出"",
  AND(REGEXMATCH(E11051, ""Ben帳戶|Elsa帳戶|Ben代墊|Ariel代墊|中信銀行共用""), REGEXMATCH(F11051, ""Ben帳戶|Elsa帳戶|Ben代墊|Ariel代墊|中信銀行共用"")), ""內部轉帳(忽略)"",
  AND(E11051&lt;&gt;"""", F11051&lt;&gt;"&amp;""""", NOT(REGEXMATCH(C11051, ""薪資""))), ""內部轉帳(忽略)"",
  REGEXMATCH(C11051, ""薪資""), ""薪資變動(不計入)"",
  REGEXMATCH(C11051, ""押金""), ""押金往來"",
  AND(E11051&lt;&gt;"""", F11051=""""), ""真實支出"",
  AND(E11051="""", F11051&lt;&gt;""""), ""真實收入"",
  TRUE, ""其他""
)"),"其他")</f>
        <v>其他</v>
      </c>
      <c r="K11051" s="270" t="str">
        <f t="shared" si="2"/>
        <v/>
      </c>
      <c r="L11051">
        <f t="shared" si="3"/>
        <v>0</v>
      </c>
    </row>
    <row r="11052">
      <c r="A11052" s="107"/>
      <c r="D11052" s="270"/>
      <c r="H11052" s="106" t="str">
        <f t="shared" si="1"/>
        <v/>
      </c>
      <c r="J11052" t="str">
        <f>IFERROR(__xludf.DUMMYFUNCTION("IFS(
  AND(REGEXMATCH(E11052, ""台銀籌備帳戶|玉山帳戶""), REGEXMATCH(C11052, ""薪資"")), ""分潤支出"",
  AND(REGEXMATCH(E11052, ""Ben帳戶|Elsa帳戶|Ben代墊|Ariel代墊|中信銀行共用""), REGEXMATCH(F11052, ""Ben帳戶|Elsa帳戶|Ben代墊|Ariel代墊|中信銀行共用"")), ""內部轉帳(忽略)"",
  AND(E11052&lt;&gt;"""", F11052&lt;&gt;"&amp;""""", NOT(REGEXMATCH(C11052, ""薪資""))), ""內部轉帳(忽略)"",
  REGEXMATCH(C11052, ""薪資""), ""薪資變動(不計入)"",
  REGEXMATCH(C11052, ""押金""), ""押金往來"",
  AND(E11052&lt;&gt;"""", F11052=""""), ""真實支出"",
  AND(E11052="""", F11052&lt;&gt;""""), ""真實收入"",
  TRUE, ""其他""
)"),"其他")</f>
        <v>其他</v>
      </c>
      <c r="K11052" s="270" t="str">
        <f t="shared" si="2"/>
        <v/>
      </c>
      <c r="L11052">
        <f t="shared" si="3"/>
        <v>0</v>
      </c>
    </row>
    <row r="11053">
      <c r="A11053" s="107"/>
      <c r="D11053" s="270"/>
      <c r="H11053" s="106" t="str">
        <f t="shared" si="1"/>
        <v/>
      </c>
      <c r="J11053" t="str">
        <f>IFERROR(__xludf.DUMMYFUNCTION("IFS(
  AND(REGEXMATCH(E11053, ""台銀籌備帳戶|玉山帳戶""), REGEXMATCH(C11053, ""薪資"")), ""分潤支出"",
  AND(REGEXMATCH(E11053, ""Ben帳戶|Elsa帳戶|Ben代墊|Ariel代墊|中信銀行共用""), REGEXMATCH(F11053, ""Ben帳戶|Elsa帳戶|Ben代墊|Ariel代墊|中信銀行共用"")), ""內部轉帳(忽略)"",
  AND(E11053&lt;&gt;"""", F11053&lt;&gt;"&amp;""""", NOT(REGEXMATCH(C11053, ""薪資""))), ""內部轉帳(忽略)"",
  REGEXMATCH(C11053, ""薪資""), ""薪資變動(不計入)"",
  REGEXMATCH(C11053, ""押金""), ""押金往來"",
  AND(E11053&lt;&gt;"""", F11053=""""), ""真實支出"",
  AND(E11053="""", F11053&lt;&gt;""""), ""真實收入"",
  TRUE, ""其他""
)"),"其他")</f>
        <v>其他</v>
      </c>
      <c r="K11053" s="270" t="str">
        <f t="shared" si="2"/>
        <v/>
      </c>
      <c r="L11053">
        <f t="shared" si="3"/>
        <v>0</v>
      </c>
    </row>
    <row r="11054">
      <c r="A11054" s="107"/>
      <c r="D11054" s="270"/>
      <c r="H11054" s="106" t="str">
        <f t="shared" si="1"/>
        <v/>
      </c>
      <c r="J11054" t="str">
        <f>IFERROR(__xludf.DUMMYFUNCTION("IFS(
  AND(REGEXMATCH(E11054, ""台銀籌備帳戶|玉山帳戶""), REGEXMATCH(C11054, ""薪資"")), ""分潤支出"",
  AND(REGEXMATCH(E11054, ""Ben帳戶|Elsa帳戶|Ben代墊|Ariel代墊|中信銀行共用""), REGEXMATCH(F11054, ""Ben帳戶|Elsa帳戶|Ben代墊|Ariel代墊|中信銀行共用"")), ""內部轉帳(忽略)"",
  AND(E11054&lt;&gt;"""", F11054&lt;&gt;"&amp;""""", NOT(REGEXMATCH(C11054, ""薪資""))), ""內部轉帳(忽略)"",
  REGEXMATCH(C11054, ""薪資""), ""薪資變動(不計入)"",
  REGEXMATCH(C11054, ""押金""), ""押金往來"",
  AND(E11054&lt;&gt;"""", F11054=""""), ""真實支出"",
  AND(E11054="""", F11054&lt;&gt;""""), ""真實收入"",
  TRUE, ""其他""
)"),"其他")</f>
        <v>其他</v>
      </c>
      <c r="K11054" s="270" t="str">
        <f t="shared" si="2"/>
        <v/>
      </c>
      <c r="L11054">
        <f t="shared" si="3"/>
        <v>0</v>
      </c>
    </row>
    <row r="11055">
      <c r="A11055" s="107"/>
      <c r="D11055" s="270"/>
      <c r="H11055" s="106" t="str">
        <f t="shared" si="1"/>
        <v/>
      </c>
      <c r="J11055" t="str">
        <f>IFERROR(__xludf.DUMMYFUNCTION("IFS(
  AND(REGEXMATCH(E11055, ""台銀籌備帳戶|玉山帳戶""), REGEXMATCH(C11055, ""薪資"")), ""分潤支出"",
  AND(REGEXMATCH(E11055, ""Ben帳戶|Elsa帳戶|Ben代墊|Ariel代墊|中信銀行共用""), REGEXMATCH(F11055, ""Ben帳戶|Elsa帳戶|Ben代墊|Ariel代墊|中信銀行共用"")), ""內部轉帳(忽略)"",
  AND(E11055&lt;&gt;"""", F11055&lt;&gt;"&amp;""""", NOT(REGEXMATCH(C11055, ""薪資""))), ""內部轉帳(忽略)"",
  REGEXMATCH(C11055, ""薪資""), ""薪資變動(不計入)"",
  REGEXMATCH(C11055, ""押金""), ""押金往來"",
  AND(E11055&lt;&gt;"""", F11055=""""), ""真實支出"",
  AND(E11055="""", F11055&lt;&gt;""""), ""真實收入"",
  TRUE, ""其他""
)"),"其他")</f>
        <v>其他</v>
      </c>
      <c r="K11055" s="270" t="str">
        <f t="shared" si="2"/>
        <v/>
      </c>
      <c r="L11055">
        <f t="shared" si="3"/>
        <v>0</v>
      </c>
    </row>
    <row r="11056">
      <c r="A11056" s="107"/>
      <c r="D11056" s="270"/>
      <c r="H11056" s="106" t="str">
        <f t="shared" si="1"/>
        <v/>
      </c>
      <c r="J11056" t="str">
        <f>IFERROR(__xludf.DUMMYFUNCTION("IFS(
  AND(REGEXMATCH(E11056, ""台銀籌備帳戶|玉山帳戶""), REGEXMATCH(C11056, ""薪資"")), ""分潤支出"",
  AND(REGEXMATCH(E11056, ""Ben帳戶|Elsa帳戶|Ben代墊|Ariel代墊|中信銀行共用""), REGEXMATCH(F11056, ""Ben帳戶|Elsa帳戶|Ben代墊|Ariel代墊|中信銀行共用"")), ""內部轉帳(忽略)"",
  AND(E11056&lt;&gt;"""", F11056&lt;&gt;"&amp;""""", NOT(REGEXMATCH(C11056, ""薪資""))), ""內部轉帳(忽略)"",
  REGEXMATCH(C11056, ""薪資""), ""薪資變動(不計入)"",
  REGEXMATCH(C11056, ""押金""), ""押金往來"",
  AND(E11056&lt;&gt;"""", F11056=""""), ""真實支出"",
  AND(E11056="""", F11056&lt;&gt;""""), ""真實收入"",
  TRUE, ""其他""
)"),"其他")</f>
        <v>其他</v>
      </c>
      <c r="K11056" s="270" t="str">
        <f t="shared" si="2"/>
        <v/>
      </c>
      <c r="L11056">
        <f t="shared" si="3"/>
        <v>0</v>
      </c>
    </row>
    <row r="11057">
      <c r="A11057" s="107"/>
      <c r="D11057" s="270"/>
      <c r="H11057" s="106" t="str">
        <f t="shared" si="1"/>
        <v/>
      </c>
      <c r="J11057" t="str">
        <f>IFERROR(__xludf.DUMMYFUNCTION("IFS(
  AND(REGEXMATCH(E11057, ""台銀籌備帳戶|玉山帳戶""), REGEXMATCH(C11057, ""薪資"")), ""分潤支出"",
  AND(REGEXMATCH(E11057, ""Ben帳戶|Elsa帳戶|Ben代墊|Ariel代墊|中信銀行共用""), REGEXMATCH(F11057, ""Ben帳戶|Elsa帳戶|Ben代墊|Ariel代墊|中信銀行共用"")), ""內部轉帳(忽略)"",
  AND(E11057&lt;&gt;"""", F11057&lt;&gt;"&amp;""""", NOT(REGEXMATCH(C11057, ""薪資""))), ""內部轉帳(忽略)"",
  REGEXMATCH(C11057, ""薪資""), ""薪資變動(不計入)"",
  REGEXMATCH(C11057, ""押金""), ""押金往來"",
  AND(E11057&lt;&gt;"""", F11057=""""), ""真實支出"",
  AND(E11057="""", F11057&lt;&gt;""""), ""真實收入"",
  TRUE, ""其他""
)"),"其他")</f>
        <v>其他</v>
      </c>
      <c r="K11057" s="270" t="str">
        <f t="shared" si="2"/>
        <v/>
      </c>
      <c r="L11057">
        <f t="shared" si="3"/>
        <v>0</v>
      </c>
    </row>
    <row r="11058">
      <c r="A11058" s="107"/>
      <c r="D11058" s="270"/>
      <c r="H11058" s="106" t="str">
        <f t="shared" si="1"/>
        <v/>
      </c>
      <c r="J11058" t="str">
        <f>IFERROR(__xludf.DUMMYFUNCTION("IFS(
  AND(REGEXMATCH(E11058, ""台銀籌備帳戶|玉山帳戶""), REGEXMATCH(C11058, ""薪資"")), ""分潤支出"",
  AND(REGEXMATCH(E11058, ""Ben帳戶|Elsa帳戶|Ben代墊|Ariel代墊|中信銀行共用""), REGEXMATCH(F11058, ""Ben帳戶|Elsa帳戶|Ben代墊|Ariel代墊|中信銀行共用"")), ""內部轉帳(忽略)"",
  AND(E11058&lt;&gt;"""", F11058&lt;&gt;"&amp;""""", NOT(REGEXMATCH(C11058, ""薪資""))), ""內部轉帳(忽略)"",
  REGEXMATCH(C11058, ""薪資""), ""薪資變動(不計入)"",
  REGEXMATCH(C11058, ""押金""), ""押金往來"",
  AND(E11058&lt;&gt;"""", F11058=""""), ""真實支出"",
  AND(E11058="""", F11058&lt;&gt;""""), ""真實收入"",
  TRUE, ""其他""
)"),"其他")</f>
        <v>其他</v>
      </c>
      <c r="K11058" s="270" t="str">
        <f t="shared" si="2"/>
        <v/>
      </c>
      <c r="L11058">
        <f t="shared" si="3"/>
        <v>0</v>
      </c>
    </row>
    <row r="11059">
      <c r="A11059" s="107"/>
      <c r="D11059" s="270"/>
      <c r="H11059" s="106" t="str">
        <f t="shared" si="1"/>
        <v/>
      </c>
      <c r="J11059" t="str">
        <f>IFERROR(__xludf.DUMMYFUNCTION("IFS(
  AND(REGEXMATCH(E11059, ""台銀籌備帳戶|玉山帳戶""), REGEXMATCH(C11059, ""薪資"")), ""分潤支出"",
  AND(REGEXMATCH(E11059, ""Ben帳戶|Elsa帳戶|Ben代墊|Ariel代墊|中信銀行共用""), REGEXMATCH(F11059, ""Ben帳戶|Elsa帳戶|Ben代墊|Ariel代墊|中信銀行共用"")), ""內部轉帳(忽略)"",
  AND(E11059&lt;&gt;"""", F11059&lt;&gt;"&amp;""""", NOT(REGEXMATCH(C11059, ""薪資""))), ""內部轉帳(忽略)"",
  REGEXMATCH(C11059, ""薪資""), ""薪資變動(不計入)"",
  REGEXMATCH(C11059, ""押金""), ""押金往來"",
  AND(E11059&lt;&gt;"""", F11059=""""), ""真實支出"",
  AND(E11059="""", F11059&lt;&gt;""""), ""真實收入"",
  TRUE, ""其他""
)"),"其他")</f>
        <v>其他</v>
      </c>
      <c r="K11059" s="270" t="str">
        <f t="shared" si="2"/>
        <v/>
      </c>
      <c r="L11059">
        <f t="shared" si="3"/>
        <v>0</v>
      </c>
    </row>
    <row r="11060">
      <c r="A11060" s="107"/>
      <c r="D11060" s="270"/>
      <c r="H11060" s="106" t="str">
        <f t="shared" si="1"/>
        <v/>
      </c>
      <c r="J11060" t="str">
        <f>IFERROR(__xludf.DUMMYFUNCTION("IFS(
  AND(REGEXMATCH(E11060, ""台銀籌備帳戶|玉山帳戶""), REGEXMATCH(C11060, ""薪資"")), ""分潤支出"",
  AND(REGEXMATCH(E11060, ""Ben帳戶|Elsa帳戶|Ben代墊|Ariel代墊|中信銀行共用""), REGEXMATCH(F11060, ""Ben帳戶|Elsa帳戶|Ben代墊|Ariel代墊|中信銀行共用"")), ""內部轉帳(忽略)"",
  AND(E11060&lt;&gt;"""", F11060&lt;&gt;"&amp;""""", NOT(REGEXMATCH(C11060, ""薪資""))), ""內部轉帳(忽略)"",
  REGEXMATCH(C11060, ""薪資""), ""薪資變動(不計入)"",
  REGEXMATCH(C11060, ""押金""), ""押金往來"",
  AND(E11060&lt;&gt;"""", F11060=""""), ""真實支出"",
  AND(E11060="""", F11060&lt;&gt;""""), ""真實收入"",
  TRUE, ""其他""
)"),"其他")</f>
        <v>其他</v>
      </c>
      <c r="K11060" s="270" t="str">
        <f t="shared" si="2"/>
        <v/>
      </c>
      <c r="L11060">
        <f t="shared" si="3"/>
        <v>0</v>
      </c>
    </row>
    <row r="11061">
      <c r="A11061" s="107"/>
      <c r="D11061" s="270"/>
      <c r="H11061" s="106" t="str">
        <f t="shared" si="1"/>
        <v/>
      </c>
      <c r="J11061" t="str">
        <f>IFERROR(__xludf.DUMMYFUNCTION("IFS(
  AND(REGEXMATCH(E11061, ""台銀籌備帳戶|玉山帳戶""), REGEXMATCH(C11061, ""薪資"")), ""分潤支出"",
  AND(REGEXMATCH(E11061, ""Ben帳戶|Elsa帳戶|Ben代墊|Ariel代墊|中信銀行共用""), REGEXMATCH(F11061, ""Ben帳戶|Elsa帳戶|Ben代墊|Ariel代墊|中信銀行共用"")), ""內部轉帳(忽略)"",
  AND(E11061&lt;&gt;"""", F11061&lt;&gt;"&amp;""""", NOT(REGEXMATCH(C11061, ""薪資""))), ""內部轉帳(忽略)"",
  REGEXMATCH(C11061, ""薪資""), ""薪資變動(不計入)"",
  REGEXMATCH(C11061, ""押金""), ""押金往來"",
  AND(E11061&lt;&gt;"""", F11061=""""), ""真實支出"",
  AND(E11061="""", F11061&lt;&gt;""""), ""真實收入"",
  TRUE, ""其他""
)"),"其他")</f>
        <v>其他</v>
      </c>
      <c r="K11061" s="270" t="str">
        <f t="shared" si="2"/>
        <v/>
      </c>
      <c r="L11061">
        <f t="shared" si="3"/>
        <v>0</v>
      </c>
    </row>
    <row r="11062">
      <c r="A11062" s="107"/>
      <c r="D11062" s="270"/>
      <c r="H11062" s="106" t="str">
        <f t="shared" si="1"/>
        <v/>
      </c>
      <c r="J11062" t="str">
        <f>IFERROR(__xludf.DUMMYFUNCTION("IFS(
  AND(REGEXMATCH(E11062, ""台銀籌備帳戶|玉山帳戶""), REGEXMATCH(C11062, ""薪資"")), ""分潤支出"",
  AND(REGEXMATCH(E11062, ""Ben帳戶|Elsa帳戶|Ben代墊|Ariel代墊|中信銀行共用""), REGEXMATCH(F11062, ""Ben帳戶|Elsa帳戶|Ben代墊|Ariel代墊|中信銀行共用"")), ""內部轉帳(忽略)"",
  AND(E11062&lt;&gt;"""", F11062&lt;&gt;"&amp;""""", NOT(REGEXMATCH(C11062, ""薪資""))), ""內部轉帳(忽略)"",
  REGEXMATCH(C11062, ""薪資""), ""薪資變動(不計入)"",
  REGEXMATCH(C11062, ""押金""), ""押金往來"",
  AND(E11062&lt;&gt;"""", F11062=""""), ""真實支出"",
  AND(E11062="""", F11062&lt;&gt;""""), ""真實收入"",
  TRUE, ""其他""
)"),"其他")</f>
        <v>其他</v>
      </c>
      <c r="K11062" s="270" t="str">
        <f t="shared" si="2"/>
        <v/>
      </c>
      <c r="L11062">
        <f t="shared" si="3"/>
        <v>0</v>
      </c>
    </row>
    <row r="11063">
      <c r="A11063" s="107"/>
      <c r="D11063" s="270"/>
      <c r="H11063" s="106" t="str">
        <f t="shared" si="1"/>
        <v/>
      </c>
      <c r="J11063" t="str">
        <f>IFERROR(__xludf.DUMMYFUNCTION("IFS(
  AND(REGEXMATCH(E11063, ""台銀籌備帳戶|玉山帳戶""), REGEXMATCH(C11063, ""薪資"")), ""分潤支出"",
  AND(REGEXMATCH(E11063, ""Ben帳戶|Elsa帳戶|Ben代墊|Ariel代墊|中信銀行共用""), REGEXMATCH(F11063, ""Ben帳戶|Elsa帳戶|Ben代墊|Ariel代墊|中信銀行共用"")), ""內部轉帳(忽略)"",
  AND(E11063&lt;&gt;"""", F11063&lt;&gt;"&amp;""""", NOT(REGEXMATCH(C11063, ""薪資""))), ""內部轉帳(忽略)"",
  REGEXMATCH(C11063, ""薪資""), ""薪資變動(不計入)"",
  REGEXMATCH(C11063, ""押金""), ""押金往來"",
  AND(E11063&lt;&gt;"""", F11063=""""), ""真實支出"",
  AND(E11063="""", F11063&lt;&gt;""""), ""真實收入"",
  TRUE, ""其他""
)"),"其他")</f>
        <v>其他</v>
      </c>
      <c r="K11063" s="270" t="str">
        <f t="shared" si="2"/>
        <v/>
      </c>
      <c r="L11063">
        <f t="shared" si="3"/>
        <v>0</v>
      </c>
    </row>
    <row r="11064">
      <c r="A11064" s="107"/>
      <c r="D11064" s="270"/>
      <c r="H11064" s="106" t="str">
        <f t="shared" si="1"/>
        <v/>
      </c>
      <c r="J11064" t="str">
        <f>IFERROR(__xludf.DUMMYFUNCTION("IFS(
  AND(REGEXMATCH(E11064, ""台銀籌備帳戶|玉山帳戶""), REGEXMATCH(C11064, ""薪資"")), ""分潤支出"",
  AND(REGEXMATCH(E11064, ""Ben帳戶|Elsa帳戶|Ben代墊|Ariel代墊|中信銀行共用""), REGEXMATCH(F11064, ""Ben帳戶|Elsa帳戶|Ben代墊|Ariel代墊|中信銀行共用"")), ""內部轉帳(忽略)"",
  AND(E11064&lt;&gt;"""", F11064&lt;&gt;"&amp;""""", NOT(REGEXMATCH(C11064, ""薪資""))), ""內部轉帳(忽略)"",
  REGEXMATCH(C11064, ""薪資""), ""薪資變動(不計入)"",
  REGEXMATCH(C11064, ""押金""), ""押金往來"",
  AND(E11064&lt;&gt;"""", F11064=""""), ""真實支出"",
  AND(E11064="""", F11064&lt;&gt;""""), ""真實收入"",
  TRUE, ""其他""
)"),"其他")</f>
        <v>其他</v>
      </c>
      <c r="K11064" s="270" t="str">
        <f t="shared" si="2"/>
        <v/>
      </c>
      <c r="L11064">
        <f t="shared" si="3"/>
        <v>0</v>
      </c>
    </row>
    <row r="11065">
      <c r="A11065" s="107"/>
      <c r="D11065" s="270"/>
      <c r="H11065" s="106" t="str">
        <f t="shared" si="1"/>
        <v/>
      </c>
      <c r="J11065" t="str">
        <f>IFERROR(__xludf.DUMMYFUNCTION("IFS(
  AND(REGEXMATCH(E11065, ""台銀籌備帳戶|玉山帳戶""), REGEXMATCH(C11065, ""薪資"")), ""分潤支出"",
  AND(REGEXMATCH(E11065, ""Ben帳戶|Elsa帳戶|Ben代墊|Ariel代墊|中信銀行共用""), REGEXMATCH(F11065, ""Ben帳戶|Elsa帳戶|Ben代墊|Ariel代墊|中信銀行共用"")), ""內部轉帳(忽略)"",
  AND(E11065&lt;&gt;"""", F11065&lt;&gt;"&amp;""""", NOT(REGEXMATCH(C11065, ""薪資""))), ""內部轉帳(忽略)"",
  REGEXMATCH(C11065, ""薪資""), ""薪資變動(不計入)"",
  REGEXMATCH(C11065, ""押金""), ""押金往來"",
  AND(E11065&lt;&gt;"""", F11065=""""), ""真實支出"",
  AND(E11065="""", F11065&lt;&gt;""""), ""真實收入"",
  TRUE, ""其他""
)"),"其他")</f>
        <v>其他</v>
      </c>
      <c r="K11065" s="270" t="str">
        <f t="shared" si="2"/>
        <v/>
      </c>
      <c r="L11065">
        <f t="shared" si="3"/>
        <v>0</v>
      </c>
    </row>
    <row r="11066">
      <c r="A11066" s="107"/>
      <c r="D11066" s="270"/>
      <c r="H11066" s="106" t="str">
        <f t="shared" si="1"/>
        <v/>
      </c>
      <c r="J11066" t="str">
        <f>IFERROR(__xludf.DUMMYFUNCTION("IFS(
  AND(REGEXMATCH(E11066, ""台銀籌備帳戶|玉山帳戶""), REGEXMATCH(C11066, ""薪資"")), ""分潤支出"",
  AND(REGEXMATCH(E11066, ""Ben帳戶|Elsa帳戶|Ben代墊|Ariel代墊|中信銀行共用""), REGEXMATCH(F11066, ""Ben帳戶|Elsa帳戶|Ben代墊|Ariel代墊|中信銀行共用"")), ""內部轉帳(忽略)"",
  AND(E11066&lt;&gt;"""", F11066&lt;&gt;"&amp;""""", NOT(REGEXMATCH(C11066, ""薪資""))), ""內部轉帳(忽略)"",
  REGEXMATCH(C11066, ""薪資""), ""薪資變動(不計入)"",
  REGEXMATCH(C11066, ""押金""), ""押金往來"",
  AND(E11066&lt;&gt;"""", F11066=""""), ""真實支出"",
  AND(E11066="""", F11066&lt;&gt;""""), ""真實收入"",
  TRUE, ""其他""
)"),"其他")</f>
        <v>其他</v>
      </c>
      <c r="K11066" s="270" t="str">
        <f t="shared" si="2"/>
        <v/>
      </c>
      <c r="L11066">
        <f t="shared" si="3"/>
        <v>0</v>
      </c>
    </row>
    <row r="11067">
      <c r="A11067" s="107"/>
      <c r="D11067" s="270"/>
      <c r="H11067" s="106" t="str">
        <f t="shared" si="1"/>
        <v/>
      </c>
      <c r="J11067" t="str">
        <f>IFERROR(__xludf.DUMMYFUNCTION("IFS(
  AND(REGEXMATCH(E11067, ""台銀籌備帳戶|玉山帳戶""), REGEXMATCH(C11067, ""薪資"")), ""分潤支出"",
  AND(REGEXMATCH(E11067, ""Ben帳戶|Elsa帳戶|Ben代墊|Ariel代墊|中信銀行共用""), REGEXMATCH(F11067, ""Ben帳戶|Elsa帳戶|Ben代墊|Ariel代墊|中信銀行共用"")), ""內部轉帳(忽略)"",
  AND(E11067&lt;&gt;"""", F11067&lt;&gt;"&amp;""""", NOT(REGEXMATCH(C11067, ""薪資""))), ""內部轉帳(忽略)"",
  REGEXMATCH(C11067, ""薪資""), ""薪資變動(不計入)"",
  REGEXMATCH(C11067, ""押金""), ""押金往來"",
  AND(E11067&lt;&gt;"""", F11067=""""), ""真實支出"",
  AND(E11067="""", F11067&lt;&gt;""""), ""真實收入"",
  TRUE, ""其他""
)"),"其他")</f>
        <v>其他</v>
      </c>
      <c r="K11067" s="270" t="str">
        <f t="shared" si="2"/>
        <v/>
      </c>
      <c r="L11067">
        <f t="shared" si="3"/>
        <v>0</v>
      </c>
    </row>
    <row r="11068">
      <c r="A11068" s="107"/>
      <c r="D11068" s="270"/>
      <c r="H11068" s="106" t="str">
        <f t="shared" si="1"/>
        <v/>
      </c>
      <c r="J11068" t="str">
        <f>IFERROR(__xludf.DUMMYFUNCTION("IFS(
  AND(REGEXMATCH(E11068, ""台銀籌備帳戶|玉山帳戶""), REGEXMATCH(C11068, ""薪資"")), ""分潤支出"",
  AND(REGEXMATCH(E11068, ""Ben帳戶|Elsa帳戶|Ben代墊|Ariel代墊|中信銀行共用""), REGEXMATCH(F11068, ""Ben帳戶|Elsa帳戶|Ben代墊|Ariel代墊|中信銀行共用"")), ""內部轉帳(忽略)"",
  AND(E11068&lt;&gt;"""", F11068&lt;&gt;"&amp;""""", NOT(REGEXMATCH(C11068, ""薪資""))), ""內部轉帳(忽略)"",
  REGEXMATCH(C11068, ""薪資""), ""薪資變動(不計入)"",
  REGEXMATCH(C11068, ""押金""), ""押金往來"",
  AND(E11068&lt;&gt;"""", F11068=""""), ""真實支出"",
  AND(E11068="""", F11068&lt;&gt;""""), ""真實收入"",
  TRUE, ""其他""
)"),"其他")</f>
        <v>其他</v>
      </c>
      <c r="K11068" s="270" t="str">
        <f t="shared" si="2"/>
        <v/>
      </c>
      <c r="L11068">
        <f t="shared" si="3"/>
        <v>0</v>
      </c>
    </row>
    <row r="11069">
      <c r="A11069" s="107"/>
      <c r="D11069" s="270"/>
      <c r="H11069" s="106" t="str">
        <f t="shared" si="1"/>
        <v/>
      </c>
      <c r="J11069" t="str">
        <f>IFERROR(__xludf.DUMMYFUNCTION("IFS(
  AND(REGEXMATCH(E11069, ""台銀籌備帳戶|玉山帳戶""), REGEXMATCH(C11069, ""薪資"")), ""分潤支出"",
  AND(REGEXMATCH(E11069, ""Ben帳戶|Elsa帳戶|Ben代墊|Ariel代墊|中信銀行共用""), REGEXMATCH(F11069, ""Ben帳戶|Elsa帳戶|Ben代墊|Ariel代墊|中信銀行共用"")), ""內部轉帳(忽略)"",
  AND(E11069&lt;&gt;"""", F11069&lt;&gt;"&amp;""""", NOT(REGEXMATCH(C11069, ""薪資""))), ""內部轉帳(忽略)"",
  REGEXMATCH(C11069, ""薪資""), ""薪資變動(不計入)"",
  REGEXMATCH(C11069, ""押金""), ""押金往來"",
  AND(E11069&lt;&gt;"""", F11069=""""), ""真實支出"",
  AND(E11069="""", F11069&lt;&gt;""""), ""真實收入"",
  TRUE, ""其他""
)"),"其他")</f>
        <v>其他</v>
      </c>
      <c r="K11069" s="270" t="str">
        <f t="shared" si="2"/>
        <v/>
      </c>
      <c r="L11069">
        <f t="shared" si="3"/>
        <v>0</v>
      </c>
    </row>
    <row r="11070">
      <c r="A11070" s="107"/>
      <c r="D11070" s="270"/>
      <c r="H11070" s="106" t="str">
        <f t="shared" si="1"/>
        <v/>
      </c>
      <c r="J11070" t="str">
        <f>IFERROR(__xludf.DUMMYFUNCTION("IFS(
  AND(REGEXMATCH(E11070, ""台銀籌備帳戶|玉山帳戶""), REGEXMATCH(C11070, ""薪資"")), ""分潤支出"",
  AND(REGEXMATCH(E11070, ""Ben帳戶|Elsa帳戶|Ben代墊|Ariel代墊|中信銀行共用""), REGEXMATCH(F11070, ""Ben帳戶|Elsa帳戶|Ben代墊|Ariel代墊|中信銀行共用"")), ""內部轉帳(忽略)"",
  AND(E11070&lt;&gt;"""", F11070&lt;&gt;"&amp;""""", NOT(REGEXMATCH(C11070, ""薪資""))), ""內部轉帳(忽略)"",
  REGEXMATCH(C11070, ""薪資""), ""薪資變動(不計入)"",
  REGEXMATCH(C11070, ""押金""), ""押金往來"",
  AND(E11070&lt;&gt;"""", F11070=""""), ""真實支出"",
  AND(E11070="""", F11070&lt;&gt;""""), ""真實收入"",
  TRUE, ""其他""
)"),"其他")</f>
        <v>其他</v>
      </c>
      <c r="K11070" s="270" t="str">
        <f t="shared" si="2"/>
        <v/>
      </c>
      <c r="L11070">
        <f t="shared" si="3"/>
        <v>0</v>
      </c>
    </row>
    <row r="11071">
      <c r="A11071" s="107"/>
      <c r="D11071" s="270"/>
      <c r="H11071" s="106" t="str">
        <f t="shared" si="1"/>
        <v/>
      </c>
      <c r="J11071" t="str">
        <f>IFERROR(__xludf.DUMMYFUNCTION("IFS(
  AND(REGEXMATCH(E11071, ""台銀籌備帳戶|玉山帳戶""), REGEXMATCH(C11071, ""薪資"")), ""分潤支出"",
  AND(REGEXMATCH(E11071, ""Ben帳戶|Elsa帳戶|Ben代墊|Ariel代墊|中信銀行共用""), REGEXMATCH(F11071, ""Ben帳戶|Elsa帳戶|Ben代墊|Ariel代墊|中信銀行共用"")), ""內部轉帳(忽略)"",
  AND(E11071&lt;&gt;"""", F11071&lt;&gt;"&amp;""""", NOT(REGEXMATCH(C11071, ""薪資""))), ""內部轉帳(忽略)"",
  REGEXMATCH(C11071, ""薪資""), ""薪資變動(不計入)"",
  REGEXMATCH(C11071, ""押金""), ""押金往來"",
  AND(E11071&lt;&gt;"""", F11071=""""), ""真實支出"",
  AND(E11071="""", F11071&lt;&gt;""""), ""真實收入"",
  TRUE, ""其他""
)"),"其他")</f>
        <v>其他</v>
      </c>
      <c r="K11071" s="270" t="str">
        <f t="shared" si="2"/>
        <v/>
      </c>
      <c r="L11071">
        <f t="shared" si="3"/>
        <v>0</v>
      </c>
    </row>
    <row r="11072">
      <c r="A11072" s="107"/>
      <c r="D11072" s="270"/>
      <c r="H11072" s="106" t="str">
        <f t="shared" si="1"/>
        <v/>
      </c>
      <c r="J11072" t="str">
        <f>IFERROR(__xludf.DUMMYFUNCTION("IFS(
  AND(REGEXMATCH(E11072, ""台銀籌備帳戶|玉山帳戶""), REGEXMATCH(C11072, ""薪資"")), ""分潤支出"",
  AND(REGEXMATCH(E11072, ""Ben帳戶|Elsa帳戶|Ben代墊|Ariel代墊|中信銀行共用""), REGEXMATCH(F11072, ""Ben帳戶|Elsa帳戶|Ben代墊|Ariel代墊|中信銀行共用"")), ""內部轉帳(忽略)"",
  AND(E11072&lt;&gt;"""", F11072&lt;&gt;"&amp;""""", NOT(REGEXMATCH(C11072, ""薪資""))), ""內部轉帳(忽略)"",
  REGEXMATCH(C11072, ""薪資""), ""薪資變動(不計入)"",
  REGEXMATCH(C11072, ""押金""), ""押金往來"",
  AND(E11072&lt;&gt;"""", F11072=""""), ""真實支出"",
  AND(E11072="""", F11072&lt;&gt;""""), ""真實收入"",
  TRUE, ""其他""
)"),"其他")</f>
        <v>其他</v>
      </c>
      <c r="K11072" s="270" t="str">
        <f t="shared" si="2"/>
        <v/>
      </c>
      <c r="L11072">
        <f t="shared" si="3"/>
        <v>0</v>
      </c>
    </row>
    <row r="11073">
      <c r="A11073" s="107"/>
      <c r="D11073" s="270"/>
      <c r="H11073" s="106" t="str">
        <f t="shared" si="1"/>
        <v/>
      </c>
      <c r="J11073" t="str">
        <f>IFERROR(__xludf.DUMMYFUNCTION("IFS(
  AND(REGEXMATCH(E11073, ""台銀籌備帳戶|玉山帳戶""), REGEXMATCH(C11073, ""薪資"")), ""分潤支出"",
  AND(REGEXMATCH(E11073, ""Ben帳戶|Elsa帳戶|Ben代墊|Ariel代墊|中信銀行共用""), REGEXMATCH(F11073, ""Ben帳戶|Elsa帳戶|Ben代墊|Ariel代墊|中信銀行共用"")), ""內部轉帳(忽略)"",
  AND(E11073&lt;&gt;"""", F11073&lt;&gt;"&amp;""""", NOT(REGEXMATCH(C11073, ""薪資""))), ""內部轉帳(忽略)"",
  REGEXMATCH(C11073, ""薪資""), ""薪資變動(不計入)"",
  REGEXMATCH(C11073, ""押金""), ""押金往來"",
  AND(E11073&lt;&gt;"""", F11073=""""), ""真實支出"",
  AND(E11073="""", F11073&lt;&gt;""""), ""真實收入"",
  TRUE, ""其他""
)"),"其他")</f>
        <v>其他</v>
      </c>
      <c r="K11073" s="270" t="str">
        <f t="shared" si="2"/>
        <v/>
      </c>
      <c r="L11073">
        <f t="shared" si="3"/>
        <v>0</v>
      </c>
    </row>
    <row r="11074">
      <c r="A11074" s="107"/>
      <c r="D11074" s="270"/>
      <c r="H11074" s="106" t="str">
        <f t="shared" si="1"/>
        <v/>
      </c>
      <c r="J11074" t="str">
        <f>IFERROR(__xludf.DUMMYFUNCTION("IFS(
  AND(REGEXMATCH(E11074, ""台銀籌備帳戶|玉山帳戶""), REGEXMATCH(C11074, ""薪資"")), ""分潤支出"",
  AND(REGEXMATCH(E11074, ""Ben帳戶|Elsa帳戶|Ben代墊|Ariel代墊|中信銀行共用""), REGEXMATCH(F11074, ""Ben帳戶|Elsa帳戶|Ben代墊|Ariel代墊|中信銀行共用"")), ""內部轉帳(忽略)"",
  AND(E11074&lt;&gt;"""", F11074&lt;&gt;"&amp;""""", NOT(REGEXMATCH(C11074, ""薪資""))), ""內部轉帳(忽略)"",
  REGEXMATCH(C11074, ""薪資""), ""薪資變動(不計入)"",
  REGEXMATCH(C11074, ""押金""), ""押金往來"",
  AND(E11074&lt;&gt;"""", F11074=""""), ""真實支出"",
  AND(E11074="""", F11074&lt;&gt;""""), ""真實收入"",
  TRUE, ""其他""
)"),"其他")</f>
        <v>其他</v>
      </c>
      <c r="K11074" s="270" t="str">
        <f t="shared" si="2"/>
        <v/>
      </c>
      <c r="L11074">
        <f t="shared" si="3"/>
        <v>0</v>
      </c>
    </row>
    <row r="11075">
      <c r="A11075" s="107"/>
      <c r="D11075" s="270"/>
      <c r="H11075" s="106" t="str">
        <f t="shared" si="1"/>
        <v/>
      </c>
      <c r="J11075" t="str">
        <f>IFERROR(__xludf.DUMMYFUNCTION("IFS(
  AND(REGEXMATCH(E11075, ""台銀籌備帳戶|玉山帳戶""), REGEXMATCH(C11075, ""薪資"")), ""分潤支出"",
  AND(REGEXMATCH(E11075, ""Ben帳戶|Elsa帳戶|Ben代墊|Ariel代墊|中信銀行共用""), REGEXMATCH(F11075, ""Ben帳戶|Elsa帳戶|Ben代墊|Ariel代墊|中信銀行共用"")), ""內部轉帳(忽略)"",
  AND(E11075&lt;&gt;"""", F11075&lt;&gt;"&amp;""""", NOT(REGEXMATCH(C11075, ""薪資""))), ""內部轉帳(忽略)"",
  REGEXMATCH(C11075, ""薪資""), ""薪資變動(不計入)"",
  REGEXMATCH(C11075, ""押金""), ""押金往來"",
  AND(E11075&lt;&gt;"""", F11075=""""), ""真實支出"",
  AND(E11075="""", F11075&lt;&gt;""""), ""真實收入"",
  TRUE, ""其他""
)"),"其他")</f>
        <v>其他</v>
      </c>
      <c r="K11075" s="270" t="str">
        <f t="shared" si="2"/>
        <v/>
      </c>
      <c r="L11075">
        <f t="shared" si="3"/>
        <v>0</v>
      </c>
    </row>
    <row r="11076">
      <c r="A11076" s="107"/>
      <c r="D11076" s="270"/>
      <c r="H11076" s="106" t="str">
        <f t="shared" si="1"/>
        <v/>
      </c>
      <c r="J11076" t="str">
        <f>IFERROR(__xludf.DUMMYFUNCTION("IFS(
  AND(REGEXMATCH(E11076, ""台銀籌備帳戶|玉山帳戶""), REGEXMATCH(C11076, ""薪資"")), ""分潤支出"",
  AND(REGEXMATCH(E11076, ""Ben帳戶|Elsa帳戶|Ben代墊|Ariel代墊|中信銀行共用""), REGEXMATCH(F11076, ""Ben帳戶|Elsa帳戶|Ben代墊|Ariel代墊|中信銀行共用"")), ""內部轉帳(忽略)"",
  AND(E11076&lt;&gt;"""", F11076&lt;&gt;"&amp;""""", NOT(REGEXMATCH(C11076, ""薪資""))), ""內部轉帳(忽略)"",
  REGEXMATCH(C11076, ""薪資""), ""薪資變動(不計入)"",
  REGEXMATCH(C11076, ""押金""), ""押金往來"",
  AND(E11076&lt;&gt;"""", F11076=""""), ""真實支出"",
  AND(E11076="""", F11076&lt;&gt;""""), ""真實收入"",
  TRUE, ""其他""
)"),"其他")</f>
        <v>其他</v>
      </c>
      <c r="K11076" s="270" t="str">
        <f t="shared" si="2"/>
        <v/>
      </c>
      <c r="L11076">
        <f t="shared" si="3"/>
        <v>0</v>
      </c>
    </row>
    <row r="11077">
      <c r="A11077" s="107"/>
      <c r="D11077" s="270"/>
      <c r="H11077" s="106" t="str">
        <f t="shared" si="1"/>
        <v/>
      </c>
      <c r="J11077" t="str">
        <f>IFERROR(__xludf.DUMMYFUNCTION("IFS(
  AND(REGEXMATCH(E11077, ""台銀籌備帳戶|玉山帳戶""), REGEXMATCH(C11077, ""薪資"")), ""分潤支出"",
  AND(REGEXMATCH(E11077, ""Ben帳戶|Elsa帳戶|Ben代墊|Ariel代墊|中信銀行共用""), REGEXMATCH(F11077, ""Ben帳戶|Elsa帳戶|Ben代墊|Ariel代墊|中信銀行共用"")), ""內部轉帳(忽略)"",
  AND(E11077&lt;&gt;"""", F11077&lt;&gt;"&amp;""""", NOT(REGEXMATCH(C11077, ""薪資""))), ""內部轉帳(忽略)"",
  REGEXMATCH(C11077, ""薪資""), ""薪資變動(不計入)"",
  REGEXMATCH(C11077, ""押金""), ""押金往來"",
  AND(E11077&lt;&gt;"""", F11077=""""), ""真實支出"",
  AND(E11077="""", F11077&lt;&gt;""""), ""真實收入"",
  TRUE, ""其他""
)"),"其他")</f>
        <v>其他</v>
      </c>
      <c r="K11077" s="270" t="str">
        <f t="shared" si="2"/>
        <v/>
      </c>
      <c r="L11077">
        <f t="shared" si="3"/>
        <v>0</v>
      </c>
    </row>
    <row r="11078">
      <c r="A11078" s="107"/>
      <c r="D11078" s="270"/>
      <c r="H11078" s="106" t="str">
        <f t="shared" si="1"/>
        <v/>
      </c>
      <c r="J11078" t="str">
        <f>IFERROR(__xludf.DUMMYFUNCTION("IFS(
  AND(REGEXMATCH(E11078, ""台銀籌備帳戶|玉山帳戶""), REGEXMATCH(C11078, ""薪資"")), ""分潤支出"",
  AND(REGEXMATCH(E11078, ""Ben帳戶|Elsa帳戶|Ben代墊|Ariel代墊|中信銀行共用""), REGEXMATCH(F11078, ""Ben帳戶|Elsa帳戶|Ben代墊|Ariel代墊|中信銀行共用"")), ""內部轉帳(忽略)"",
  AND(E11078&lt;&gt;"""", F11078&lt;&gt;"&amp;""""", NOT(REGEXMATCH(C11078, ""薪資""))), ""內部轉帳(忽略)"",
  REGEXMATCH(C11078, ""薪資""), ""薪資變動(不計入)"",
  REGEXMATCH(C11078, ""押金""), ""押金往來"",
  AND(E11078&lt;&gt;"""", F11078=""""), ""真實支出"",
  AND(E11078="""", F11078&lt;&gt;""""), ""真實收入"",
  TRUE, ""其他""
)"),"其他")</f>
        <v>其他</v>
      </c>
      <c r="K11078" s="270" t="str">
        <f t="shared" si="2"/>
        <v/>
      </c>
      <c r="L11078">
        <f t="shared" si="3"/>
        <v>0</v>
      </c>
    </row>
    <row r="11079">
      <c r="A11079" s="107"/>
      <c r="D11079" s="270"/>
      <c r="H11079" s="106" t="str">
        <f t="shared" si="1"/>
        <v/>
      </c>
      <c r="J11079" t="str">
        <f>IFERROR(__xludf.DUMMYFUNCTION("IFS(
  AND(REGEXMATCH(E11079, ""台銀籌備帳戶|玉山帳戶""), REGEXMATCH(C11079, ""薪資"")), ""分潤支出"",
  AND(REGEXMATCH(E11079, ""Ben帳戶|Elsa帳戶|Ben代墊|Ariel代墊|中信銀行共用""), REGEXMATCH(F11079, ""Ben帳戶|Elsa帳戶|Ben代墊|Ariel代墊|中信銀行共用"")), ""內部轉帳(忽略)"",
  AND(E11079&lt;&gt;"""", F11079&lt;&gt;"&amp;""""", NOT(REGEXMATCH(C11079, ""薪資""))), ""內部轉帳(忽略)"",
  REGEXMATCH(C11079, ""薪資""), ""薪資變動(不計入)"",
  REGEXMATCH(C11079, ""押金""), ""押金往來"",
  AND(E11079&lt;&gt;"""", F11079=""""), ""真實支出"",
  AND(E11079="""", F11079&lt;&gt;""""), ""真實收入"",
  TRUE, ""其他""
)"),"其他")</f>
        <v>其他</v>
      </c>
      <c r="K11079" s="270" t="str">
        <f t="shared" si="2"/>
        <v/>
      </c>
      <c r="L11079">
        <f t="shared" si="3"/>
        <v>0</v>
      </c>
    </row>
    <row r="11080">
      <c r="A11080" s="107"/>
      <c r="D11080" s="270"/>
      <c r="H11080" s="106" t="str">
        <f t="shared" si="1"/>
        <v/>
      </c>
      <c r="J11080" t="str">
        <f>IFERROR(__xludf.DUMMYFUNCTION("IFS(
  AND(REGEXMATCH(E11080, ""台銀籌備帳戶|玉山帳戶""), REGEXMATCH(C11080, ""薪資"")), ""分潤支出"",
  AND(REGEXMATCH(E11080, ""Ben帳戶|Elsa帳戶|Ben代墊|Ariel代墊|中信銀行共用""), REGEXMATCH(F11080, ""Ben帳戶|Elsa帳戶|Ben代墊|Ariel代墊|中信銀行共用"")), ""內部轉帳(忽略)"",
  AND(E11080&lt;&gt;"""", F11080&lt;&gt;"&amp;""""", NOT(REGEXMATCH(C11080, ""薪資""))), ""內部轉帳(忽略)"",
  REGEXMATCH(C11080, ""薪資""), ""薪資變動(不計入)"",
  REGEXMATCH(C11080, ""押金""), ""押金往來"",
  AND(E11080&lt;&gt;"""", F11080=""""), ""真實支出"",
  AND(E11080="""", F11080&lt;&gt;""""), ""真實收入"",
  TRUE, ""其他""
)"),"其他")</f>
        <v>其他</v>
      </c>
      <c r="K11080" s="270" t="str">
        <f t="shared" si="2"/>
        <v/>
      </c>
      <c r="L11080">
        <f t="shared" si="3"/>
        <v>0</v>
      </c>
    </row>
    <row r="11081">
      <c r="A11081" s="107"/>
      <c r="D11081" s="270"/>
      <c r="H11081" s="106" t="str">
        <f t="shared" si="1"/>
        <v/>
      </c>
      <c r="J11081" t="str">
        <f>IFERROR(__xludf.DUMMYFUNCTION("IFS(
  AND(REGEXMATCH(E11081, ""台銀籌備帳戶|玉山帳戶""), REGEXMATCH(C11081, ""薪資"")), ""分潤支出"",
  AND(REGEXMATCH(E11081, ""Ben帳戶|Elsa帳戶|Ben代墊|Ariel代墊|中信銀行共用""), REGEXMATCH(F11081, ""Ben帳戶|Elsa帳戶|Ben代墊|Ariel代墊|中信銀行共用"")), ""內部轉帳(忽略)"",
  AND(E11081&lt;&gt;"""", F11081&lt;&gt;"&amp;""""", NOT(REGEXMATCH(C11081, ""薪資""))), ""內部轉帳(忽略)"",
  REGEXMATCH(C11081, ""薪資""), ""薪資變動(不計入)"",
  REGEXMATCH(C11081, ""押金""), ""押金往來"",
  AND(E11081&lt;&gt;"""", F11081=""""), ""真實支出"",
  AND(E11081="""", F11081&lt;&gt;""""), ""真實收入"",
  TRUE, ""其他""
)"),"其他")</f>
        <v>其他</v>
      </c>
      <c r="K11081" s="270" t="str">
        <f t="shared" si="2"/>
        <v/>
      </c>
      <c r="L11081">
        <f t="shared" si="3"/>
        <v>0</v>
      </c>
    </row>
    <row r="11082">
      <c r="A11082" s="107"/>
      <c r="D11082" s="270"/>
      <c r="H11082" s="106" t="str">
        <f t="shared" si="1"/>
        <v/>
      </c>
      <c r="J11082" t="str">
        <f>IFERROR(__xludf.DUMMYFUNCTION("IFS(
  AND(REGEXMATCH(E11082, ""台銀籌備帳戶|玉山帳戶""), REGEXMATCH(C11082, ""薪資"")), ""分潤支出"",
  AND(REGEXMATCH(E11082, ""Ben帳戶|Elsa帳戶|Ben代墊|Ariel代墊|中信銀行共用""), REGEXMATCH(F11082, ""Ben帳戶|Elsa帳戶|Ben代墊|Ariel代墊|中信銀行共用"")), ""內部轉帳(忽略)"",
  AND(E11082&lt;&gt;"""", F11082&lt;&gt;"&amp;""""", NOT(REGEXMATCH(C11082, ""薪資""))), ""內部轉帳(忽略)"",
  REGEXMATCH(C11082, ""薪資""), ""薪資變動(不計入)"",
  REGEXMATCH(C11082, ""押金""), ""押金往來"",
  AND(E11082&lt;&gt;"""", F11082=""""), ""真實支出"",
  AND(E11082="""", F11082&lt;&gt;""""), ""真實收入"",
  TRUE, ""其他""
)"),"其他")</f>
        <v>其他</v>
      </c>
      <c r="K11082" s="270" t="str">
        <f t="shared" si="2"/>
        <v/>
      </c>
      <c r="L11082">
        <f t="shared" si="3"/>
        <v>0</v>
      </c>
    </row>
    <row r="11083">
      <c r="A11083" s="107"/>
      <c r="D11083" s="270"/>
      <c r="H11083" s="106" t="str">
        <f t="shared" si="1"/>
        <v/>
      </c>
      <c r="J11083" t="str">
        <f>IFERROR(__xludf.DUMMYFUNCTION("IFS(
  AND(REGEXMATCH(E11083, ""台銀籌備帳戶|玉山帳戶""), REGEXMATCH(C11083, ""薪資"")), ""分潤支出"",
  AND(REGEXMATCH(E11083, ""Ben帳戶|Elsa帳戶|Ben代墊|Ariel代墊|中信銀行共用""), REGEXMATCH(F11083, ""Ben帳戶|Elsa帳戶|Ben代墊|Ariel代墊|中信銀行共用"")), ""內部轉帳(忽略)"",
  AND(E11083&lt;&gt;"""", F11083&lt;&gt;"&amp;""""", NOT(REGEXMATCH(C11083, ""薪資""))), ""內部轉帳(忽略)"",
  REGEXMATCH(C11083, ""薪資""), ""薪資變動(不計入)"",
  REGEXMATCH(C11083, ""押金""), ""押金往來"",
  AND(E11083&lt;&gt;"""", F11083=""""), ""真實支出"",
  AND(E11083="""", F11083&lt;&gt;""""), ""真實收入"",
  TRUE, ""其他""
)"),"其他")</f>
        <v>其他</v>
      </c>
      <c r="K11083" s="270" t="str">
        <f t="shared" si="2"/>
        <v/>
      </c>
      <c r="L11083">
        <f t="shared" si="3"/>
        <v>0</v>
      </c>
    </row>
    <row r="11084">
      <c r="A11084" s="107"/>
      <c r="D11084" s="270"/>
      <c r="H11084" s="106" t="str">
        <f t="shared" si="1"/>
        <v/>
      </c>
      <c r="J11084" t="str">
        <f>IFERROR(__xludf.DUMMYFUNCTION("IFS(
  AND(REGEXMATCH(E11084, ""台銀籌備帳戶|玉山帳戶""), REGEXMATCH(C11084, ""薪資"")), ""分潤支出"",
  AND(REGEXMATCH(E11084, ""Ben帳戶|Elsa帳戶|Ben代墊|Ariel代墊|中信銀行共用""), REGEXMATCH(F11084, ""Ben帳戶|Elsa帳戶|Ben代墊|Ariel代墊|中信銀行共用"")), ""內部轉帳(忽略)"",
  AND(E11084&lt;&gt;"""", F11084&lt;&gt;"&amp;""""", NOT(REGEXMATCH(C11084, ""薪資""))), ""內部轉帳(忽略)"",
  REGEXMATCH(C11084, ""薪資""), ""薪資變動(不計入)"",
  REGEXMATCH(C11084, ""押金""), ""押金往來"",
  AND(E11084&lt;&gt;"""", F11084=""""), ""真實支出"",
  AND(E11084="""", F11084&lt;&gt;""""), ""真實收入"",
  TRUE, ""其他""
)"),"其他")</f>
        <v>其他</v>
      </c>
      <c r="K11084" s="270" t="str">
        <f t="shared" si="2"/>
        <v/>
      </c>
      <c r="L11084">
        <f t="shared" si="3"/>
        <v>0</v>
      </c>
    </row>
    <row r="11085">
      <c r="A11085" s="107"/>
      <c r="D11085" s="270"/>
      <c r="H11085" s="106" t="str">
        <f t="shared" si="1"/>
        <v/>
      </c>
      <c r="J11085" t="str">
        <f>IFERROR(__xludf.DUMMYFUNCTION("IFS(
  AND(REGEXMATCH(E11085, ""台銀籌備帳戶|玉山帳戶""), REGEXMATCH(C11085, ""薪資"")), ""分潤支出"",
  AND(REGEXMATCH(E11085, ""Ben帳戶|Elsa帳戶|Ben代墊|Ariel代墊|中信銀行共用""), REGEXMATCH(F11085, ""Ben帳戶|Elsa帳戶|Ben代墊|Ariel代墊|中信銀行共用"")), ""內部轉帳(忽略)"",
  AND(E11085&lt;&gt;"""", F11085&lt;&gt;"&amp;""""", NOT(REGEXMATCH(C11085, ""薪資""))), ""內部轉帳(忽略)"",
  REGEXMATCH(C11085, ""薪資""), ""薪資變動(不計入)"",
  REGEXMATCH(C11085, ""押金""), ""押金往來"",
  AND(E11085&lt;&gt;"""", F11085=""""), ""真實支出"",
  AND(E11085="""", F11085&lt;&gt;""""), ""真實收入"",
  TRUE, ""其他""
)"),"其他")</f>
        <v>其他</v>
      </c>
      <c r="K11085" s="270" t="str">
        <f t="shared" si="2"/>
        <v/>
      </c>
      <c r="L11085">
        <f t="shared" si="3"/>
        <v>0</v>
      </c>
    </row>
    <row r="11086">
      <c r="A11086" s="107"/>
      <c r="D11086" s="270"/>
      <c r="H11086" s="106" t="str">
        <f t="shared" si="1"/>
        <v/>
      </c>
      <c r="J11086" t="str">
        <f>IFERROR(__xludf.DUMMYFUNCTION("IFS(
  AND(REGEXMATCH(E11086, ""台銀籌備帳戶|玉山帳戶""), REGEXMATCH(C11086, ""薪資"")), ""分潤支出"",
  AND(REGEXMATCH(E11086, ""Ben帳戶|Elsa帳戶|Ben代墊|Ariel代墊|中信銀行共用""), REGEXMATCH(F11086, ""Ben帳戶|Elsa帳戶|Ben代墊|Ariel代墊|中信銀行共用"")), ""內部轉帳(忽略)"",
  AND(E11086&lt;&gt;"""", F11086&lt;&gt;"&amp;""""", NOT(REGEXMATCH(C11086, ""薪資""))), ""內部轉帳(忽略)"",
  REGEXMATCH(C11086, ""薪資""), ""薪資變動(不計入)"",
  REGEXMATCH(C11086, ""押金""), ""押金往來"",
  AND(E11086&lt;&gt;"""", F11086=""""), ""真實支出"",
  AND(E11086="""", F11086&lt;&gt;""""), ""真實收入"",
  TRUE, ""其他""
)"),"其他")</f>
        <v>其他</v>
      </c>
      <c r="K11086" s="270" t="str">
        <f t="shared" si="2"/>
        <v/>
      </c>
      <c r="L11086">
        <f t="shared" si="3"/>
        <v>0</v>
      </c>
    </row>
    <row r="11087">
      <c r="A11087" s="107"/>
      <c r="D11087" s="270"/>
      <c r="H11087" s="106" t="str">
        <f t="shared" si="1"/>
        <v/>
      </c>
      <c r="J11087" t="str">
        <f>IFERROR(__xludf.DUMMYFUNCTION("IFS(
  AND(REGEXMATCH(E11087, ""台銀籌備帳戶|玉山帳戶""), REGEXMATCH(C11087, ""薪資"")), ""分潤支出"",
  AND(REGEXMATCH(E11087, ""Ben帳戶|Elsa帳戶|Ben代墊|Ariel代墊|中信銀行共用""), REGEXMATCH(F11087, ""Ben帳戶|Elsa帳戶|Ben代墊|Ariel代墊|中信銀行共用"")), ""內部轉帳(忽略)"",
  AND(E11087&lt;&gt;"""", F11087&lt;&gt;"&amp;""""", NOT(REGEXMATCH(C11087, ""薪資""))), ""內部轉帳(忽略)"",
  REGEXMATCH(C11087, ""薪資""), ""薪資變動(不計入)"",
  REGEXMATCH(C11087, ""押金""), ""押金往來"",
  AND(E11087&lt;&gt;"""", F11087=""""), ""真實支出"",
  AND(E11087="""", F11087&lt;&gt;""""), ""真實收入"",
  TRUE, ""其他""
)"),"其他")</f>
        <v>其他</v>
      </c>
      <c r="K11087" s="270" t="str">
        <f t="shared" si="2"/>
        <v/>
      </c>
      <c r="L11087">
        <f t="shared" si="3"/>
        <v>0</v>
      </c>
    </row>
    <row r="11088">
      <c r="A11088" s="107"/>
      <c r="D11088" s="270"/>
      <c r="H11088" s="106" t="str">
        <f t="shared" si="1"/>
        <v/>
      </c>
      <c r="J11088" t="str">
        <f>IFERROR(__xludf.DUMMYFUNCTION("IFS(
  AND(REGEXMATCH(E11088, ""台銀籌備帳戶|玉山帳戶""), REGEXMATCH(C11088, ""薪資"")), ""分潤支出"",
  AND(REGEXMATCH(E11088, ""Ben帳戶|Elsa帳戶|Ben代墊|Ariel代墊|中信銀行共用""), REGEXMATCH(F11088, ""Ben帳戶|Elsa帳戶|Ben代墊|Ariel代墊|中信銀行共用"")), ""內部轉帳(忽略)"",
  AND(E11088&lt;&gt;"""", F11088&lt;&gt;"&amp;""""", NOT(REGEXMATCH(C11088, ""薪資""))), ""內部轉帳(忽略)"",
  REGEXMATCH(C11088, ""薪資""), ""薪資變動(不計入)"",
  REGEXMATCH(C11088, ""押金""), ""押金往來"",
  AND(E11088&lt;&gt;"""", F11088=""""), ""真實支出"",
  AND(E11088="""", F11088&lt;&gt;""""), ""真實收入"",
  TRUE, ""其他""
)"),"其他")</f>
        <v>其他</v>
      </c>
      <c r="K11088" s="270" t="str">
        <f t="shared" si="2"/>
        <v/>
      </c>
      <c r="L11088">
        <f t="shared" si="3"/>
        <v>0</v>
      </c>
    </row>
    <row r="11089">
      <c r="A11089" s="107"/>
      <c r="D11089" s="270"/>
      <c r="H11089" s="106" t="str">
        <f t="shared" si="1"/>
        <v/>
      </c>
      <c r="J11089" t="str">
        <f>IFERROR(__xludf.DUMMYFUNCTION("IFS(
  AND(REGEXMATCH(E11089, ""台銀籌備帳戶|玉山帳戶""), REGEXMATCH(C11089, ""薪資"")), ""分潤支出"",
  AND(REGEXMATCH(E11089, ""Ben帳戶|Elsa帳戶|Ben代墊|Ariel代墊|中信銀行共用""), REGEXMATCH(F11089, ""Ben帳戶|Elsa帳戶|Ben代墊|Ariel代墊|中信銀行共用"")), ""內部轉帳(忽略)"",
  AND(E11089&lt;&gt;"""", F11089&lt;&gt;"&amp;""""", NOT(REGEXMATCH(C11089, ""薪資""))), ""內部轉帳(忽略)"",
  REGEXMATCH(C11089, ""薪資""), ""薪資變動(不計入)"",
  REGEXMATCH(C11089, ""押金""), ""押金往來"",
  AND(E11089&lt;&gt;"""", F11089=""""), ""真實支出"",
  AND(E11089="""", F11089&lt;&gt;""""), ""真實收入"",
  TRUE, ""其他""
)"),"其他")</f>
        <v>其他</v>
      </c>
      <c r="K11089" s="270" t="str">
        <f t="shared" si="2"/>
        <v/>
      </c>
      <c r="L11089">
        <f t="shared" si="3"/>
        <v>0</v>
      </c>
    </row>
    <row r="11090">
      <c r="A11090" s="107"/>
      <c r="D11090" s="270"/>
      <c r="H11090" s="106" t="str">
        <f t="shared" si="1"/>
        <v/>
      </c>
      <c r="J11090" t="str">
        <f>IFERROR(__xludf.DUMMYFUNCTION("IFS(
  AND(REGEXMATCH(E11090, ""台銀籌備帳戶|玉山帳戶""), REGEXMATCH(C11090, ""薪資"")), ""分潤支出"",
  AND(REGEXMATCH(E11090, ""Ben帳戶|Elsa帳戶|Ben代墊|Ariel代墊|中信銀行共用""), REGEXMATCH(F11090, ""Ben帳戶|Elsa帳戶|Ben代墊|Ariel代墊|中信銀行共用"")), ""內部轉帳(忽略)"",
  AND(E11090&lt;&gt;"""", F11090&lt;&gt;"&amp;""""", NOT(REGEXMATCH(C11090, ""薪資""))), ""內部轉帳(忽略)"",
  REGEXMATCH(C11090, ""薪資""), ""薪資變動(不計入)"",
  REGEXMATCH(C11090, ""押金""), ""押金往來"",
  AND(E11090&lt;&gt;"""", F11090=""""), ""真實支出"",
  AND(E11090="""", F11090&lt;&gt;""""), ""真實收入"",
  TRUE, ""其他""
)"),"其他")</f>
        <v>其他</v>
      </c>
      <c r="K11090" s="270" t="str">
        <f t="shared" si="2"/>
        <v/>
      </c>
      <c r="L11090">
        <f t="shared" si="3"/>
        <v>0</v>
      </c>
    </row>
    <row r="11091">
      <c r="A11091" s="107"/>
      <c r="D11091" s="270"/>
      <c r="H11091" s="106" t="str">
        <f t="shared" si="1"/>
        <v/>
      </c>
      <c r="J11091" t="str">
        <f>IFERROR(__xludf.DUMMYFUNCTION("IFS(
  AND(REGEXMATCH(E11091, ""台銀籌備帳戶|玉山帳戶""), REGEXMATCH(C11091, ""薪資"")), ""分潤支出"",
  AND(REGEXMATCH(E11091, ""Ben帳戶|Elsa帳戶|Ben代墊|Ariel代墊|中信銀行共用""), REGEXMATCH(F11091, ""Ben帳戶|Elsa帳戶|Ben代墊|Ariel代墊|中信銀行共用"")), ""內部轉帳(忽略)"",
  AND(E11091&lt;&gt;"""", F11091&lt;&gt;"&amp;""""", NOT(REGEXMATCH(C11091, ""薪資""))), ""內部轉帳(忽略)"",
  REGEXMATCH(C11091, ""薪資""), ""薪資變動(不計入)"",
  REGEXMATCH(C11091, ""押金""), ""押金往來"",
  AND(E11091&lt;&gt;"""", F11091=""""), ""真實支出"",
  AND(E11091="""", F11091&lt;&gt;""""), ""真實收入"",
  TRUE, ""其他""
)"),"其他")</f>
        <v>其他</v>
      </c>
      <c r="K11091" s="270" t="str">
        <f t="shared" si="2"/>
        <v/>
      </c>
      <c r="L11091">
        <f t="shared" si="3"/>
        <v>0</v>
      </c>
    </row>
    <row r="11092">
      <c r="A11092" s="107"/>
      <c r="D11092" s="270"/>
      <c r="H11092" s="106" t="str">
        <f t="shared" si="1"/>
        <v/>
      </c>
      <c r="J11092" t="str">
        <f>IFERROR(__xludf.DUMMYFUNCTION("IFS(
  AND(REGEXMATCH(E11092, ""台銀籌備帳戶|玉山帳戶""), REGEXMATCH(C11092, ""薪資"")), ""分潤支出"",
  AND(REGEXMATCH(E11092, ""Ben帳戶|Elsa帳戶|Ben代墊|Ariel代墊|中信銀行共用""), REGEXMATCH(F11092, ""Ben帳戶|Elsa帳戶|Ben代墊|Ariel代墊|中信銀行共用"")), ""內部轉帳(忽略)"",
  AND(E11092&lt;&gt;"""", F11092&lt;&gt;"&amp;""""", NOT(REGEXMATCH(C11092, ""薪資""))), ""內部轉帳(忽略)"",
  REGEXMATCH(C11092, ""薪資""), ""薪資變動(不計入)"",
  REGEXMATCH(C11092, ""押金""), ""押金往來"",
  AND(E11092&lt;&gt;"""", F11092=""""), ""真實支出"",
  AND(E11092="""", F11092&lt;&gt;""""), ""真實收入"",
  TRUE, ""其他""
)"),"其他")</f>
        <v>其他</v>
      </c>
      <c r="K11092" s="270" t="str">
        <f t="shared" si="2"/>
        <v/>
      </c>
      <c r="L11092">
        <f t="shared" si="3"/>
        <v>0</v>
      </c>
    </row>
    <row r="11093">
      <c r="A11093" s="107"/>
      <c r="D11093" s="270"/>
      <c r="H11093" s="106" t="str">
        <f t="shared" si="1"/>
        <v/>
      </c>
      <c r="J11093" t="str">
        <f>IFERROR(__xludf.DUMMYFUNCTION("IFS(
  AND(REGEXMATCH(E11093, ""台銀籌備帳戶|玉山帳戶""), REGEXMATCH(C11093, ""薪資"")), ""分潤支出"",
  AND(REGEXMATCH(E11093, ""Ben帳戶|Elsa帳戶|Ben代墊|Ariel代墊|中信銀行共用""), REGEXMATCH(F11093, ""Ben帳戶|Elsa帳戶|Ben代墊|Ariel代墊|中信銀行共用"")), ""內部轉帳(忽略)"",
  AND(E11093&lt;&gt;"""", F11093&lt;&gt;"&amp;""""", NOT(REGEXMATCH(C11093, ""薪資""))), ""內部轉帳(忽略)"",
  REGEXMATCH(C11093, ""薪資""), ""薪資變動(不計入)"",
  REGEXMATCH(C11093, ""押金""), ""押金往來"",
  AND(E11093&lt;&gt;"""", F11093=""""), ""真實支出"",
  AND(E11093="""", F11093&lt;&gt;""""), ""真實收入"",
  TRUE, ""其他""
)"),"其他")</f>
        <v>其他</v>
      </c>
      <c r="K11093" s="270" t="str">
        <f t="shared" si="2"/>
        <v/>
      </c>
      <c r="L11093">
        <f t="shared" si="3"/>
        <v>0</v>
      </c>
    </row>
    <row r="11094">
      <c r="A11094" s="107"/>
      <c r="D11094" s="270"/>
      <c r="H11094" s="106" t="str">
        <f t="shared" si="1"/>
        <v/>
      </c>
      <c r="J11094" t="str">
        <f>IFERROR(__xludf.DUMMYFUNCTION("IFS(
  AND(REGEXMATCH(E11094, ""台銀籌備帳戶|玉山帳戶""), REGEXMATCH(C11094, ""薪資"")), ""分潤支出"",
  AND(REGEXMATCH(E11094, ""Ben帳戶|Elsa帳戶|Ben代墊|Ariel代墊|中信銀行共用""), REGEXMATCH(F11094, ""Ben帳戶|Elsa帳戶|Ben代墊|Ariel代墊|中信銀行共用"")), ""內部轉帳(忽略)"",
  AND(E11094&lt;&gt;"""", F11094&lt;&gt;"&amp;""""", NOT(REGEXMATCH(C11094, ""薪資""))), ""內部轉帳(忽略)"",
  REGEXMATCH(C11094, ""薪資""), ""薪資變動(不計入)"",
  REGEXMATCH(C11094, ""押金""), ""押金往來"",
  AND(E11094&lt;&gt;"""", F11094=""""), ""真實支出"",
  AND(E11094="""", F11094&lt;&gt;""""), ""真實收入"",
  TRUE, ""其他""
)"),"其他")</f>
        <v>其他</v>
      </c>
      <c r="K11094" s="270" t="str">
        <f t="shared" si="2"/>
        <v/>
      </c>
      <c r="L11094">
        <f t="shared" si="3"/>
        <v>0</v>
      </c>
    </row>
    <row r="11095">
      <c r="A11095" s="107"/>
      <c r="D11095" s="270"/>
      <c r="H11095" s="106" t="str">
        <f t="shared" si="1"/>
        <v/>
      </c>
      <c r="J11095" t="str">
        <f>IFERROR(__xludf.DUMMYFUNCTION("IFS(
  AND(REGEXMATCH(E11095, ""台銀籌備帳戶|玉山帳戶""), REGEXMATCH(C11095, ""薪資"")), ""分潤支出"",
  AND(REGEXMATCH(E11095, ""Ben帳戶|Elsa帳戶|Ben代墊|Ariel代墊|中信銀行共用""), REGEXMATCH(F11095, ""Ben帳戶|Elsa帳戶|Ben代墊|Ariel代墊|中信銀行共用"")), ""內部轉帳(忽略)"",
  AND(E11095&lt;&gt;"""", F11095&lt;&gt;"&amp;""""", NOT(REGEXMATCH(C11095, ""薪資""))), ""內部轉帳(忽略)"",
  REGEXMATCH(C11095, ""薪資""), ""薪資變動(不計入)"",
  REGEXMATCH(C11095, ""押金""), ""押金往來"",
  AND(E11095&lt;&gt;"""", F11095=""""), ""真實支出"",
  AND(E11095="""", F11095&lt;&gt;""""), ""真實收入"",
  TRUE, ""其他""
)"),"其他")</f>
        <v>其他</v>
      </c>
      <c r="K11095" s="270" t="str">
        <f t="shared" si="2"/>
        <v/>
      </c>
      <c r="L11095">
        <f t="shared" si="3"/>
        <v>0</v>
      </c>
    </row>
    <row r="11096">
      <c r="A11096" s="107"/>
      <c r="D11096" s="270"/>
      <c r="H11096" s="106" t="str">
        <f t="shared" si="1"/>
        <v/>
      </c>
      <c r="J11096" t="str">
        <f>IFERROR(__xludf.DUMMYFUNCTION("IFS(
  AND(REGEXMATCH(E11096, ""台銀籌備帳戶|玉山帳戶""), REGEXMATCH(C11096, ""薪資"")), ""分潤支出"",
  AND(REGEXMATCH(E11096, ""Ben帳戶|Elsa帳戶|Ben代墊|Ariel代墊|中信銀行共用""), REGEXMATCH(F11096, ""Ben帳戶|Elsa帳戶|Ben代墊|Ariel代墊|中信銀行共用"")), ""內部轉帳(忽略)"",
  AND(E11096&lt;&gt;"""", F11096&lt;&gt;"&amp;""""", NOT(REGEXMATCH(C11096, ""薪資""))), ""內部轉帳(忽略)"",
  REGEXMATCH(C11096, ""薪資""), ""薪資變動(不計入)"",
  REGEXMATCH(C11096, ""押金""), ""押金往來"",
  AND(E11096&lt;&gt;"""", F11096=""""), ""真實支出"",
  AND(E11096="""", F11096&lt;&gt;""""), ""真實收入"",
  TRUE, ""其他""
)"),"其他")</f>
        <v>其他</v>
      </c>
      <c r="K11096" s="270" t="str">
        <f t="shared" si="2"/>
        <v/>
      </c>
      <c r="L11096">
        <f t="shared" si="3"/>
        <v>0</v>
      </c>
    </row>
    <row r="11097">
      <c r="A11097" s="107"/>
      <c r="D11097" s="270"/>
      <c r="H11097" s="106" t="str">
        <f t="shared" si="1"/>
        <v/>
      </c>
      <c r="J11097" t="str">
        <f>IFERROR(__xludf.DUMMYFUNCTION("IFS(
  AND(REGEXMATCH(E11097, ""台銀籌備帳戶|玉山帳戶""), REGEXMATCH(C11097, ""薪資"")), ""分潤支出"",
  AND(REGEXMATCH(E11097, ""Ben帳戶|Elsa帳戶|Ben代墊|Ariel代墊|中信銀行共用""), REGEXMATCH(F11097, ""Ben帳戶|Elsa帳戶|Ben代墊|Ariel代墊|中信銀行共用"")), ""內部轉帳(忽略)"",
  AND(E11097&lt;&gt;"""", F11097&lt;&gt;"&amp;""""", NOT(REGEXMATCH(C11097, ""薪資""))), ""內部轉帳(忽略)"",
  REGEXMATCH(C11097, ""薪資""), ""薪資變動(不計入)"",
  REGEXMATCH(C11097, ""押金""), ""押金往來"",
  AND(E11097&lt;&gt;"""", F11097=""""), ""真實支出"",
  AND(E11097="""", F11097&lt;&gt;""""), ""真實收入"",
  TRUE, ""其他""
)"),"其他")</f>
        <v>其他</v>
      </c>
      <c r="K11097" s="270" t="str">
        <f t="shared" si="2"/>
        <v/>
      </c>
      <c r="L11097">
        <f t="shared" si="3"/>
        <v>0</v>
      </c>
    </row>
    <row r="11098">
      <c r="A11098" s="107"/>
      <c r="D11098" s="270"/>
      <c r="H11098" s="106" t="str">
        <f t="shared" si="1"/>
        <v/>
      </c>
      <c r="J11098" t="str">
        <f>IFERROR(__xludf.DUMMYFUNCTION("IFS(
  AND(REGEXMATCH(E11098, ""台銀籌備帳戶|玉山帳戶""), REGEXMATCH(C11098, ""薪資"")), ""分潤支出"",
  AND(REGEXMATCH(E11098, ""Ben帳戶|Elsa帳戶|Ben代墊|Ariel代墊|中信銀行共用""), REGEXMATCH(F11098, ""Ben帳戶|Elsa帳戶|Ben代墊|Ariel代墊|中信銀行共用"")), ""內部轉帳(忽略)"",
  AND(E11098&lt;&gt;"""", F11098&lt;&gt;"&amp;""""", NOT(REGEXMATCH(C11098, ""薪資""))), ""內部轉帳(忽略)"",
  REGEXMATCH(C11098, ""薪資""), ""薪資變動(不計入)"",
  REGEXMATCH(C11098, ""押金""), ""押金往來"",
  AND(E11098&lt;&gt;"""", F11098=""""), ""真實支出"",
  AND(E11098="""", F11098&lt;&gt;""""), ""真實收入"",
  TRUE, ""其他""
)"),"其他")</f>
        <v>其他</v>
      </c>
      <c r="K11098" s="270" t="str">
        <f t="shared" si="2"/>
        <v/>
      </c>
      <c r="L11098">
        <f t="shared" si="3"/>
        <v>0</v>
      </c>
    </row>
    <row r="11099">
      <c r="A11099" s="107"/>
      <c r="D11099" s="270"/>
      <c r="H11099" s="106" t="str">
        <f t="shared" si="1"/>
        <v/>
      </c>
      <c r="J11099" t="str">
        <f>IFERROR(__xludf.DUMMYFUNCTION("IFS(
  AND(REGEXMATCH(E11099, ""台銀籌備帳戶|玉山帳戶""), REGEXMATCH(C11099, ""薪資"")), ""分潤支出"",
  AND(REGEXMATCH(E11099, ""Ben帳戶|Elsa帳戶|Ben代墊|Ariel代墊|中信銀行共用""), REGEXMATCH(F11099, ""Ben帳戶|Elsa帳戶|Ben代墊|Ariel代墊|中信銀行共用"")), ""內部轉帳(忽略)"",
  AND(E11099&lt;&gt;"""", F11099&lt;&gt;"&amp;""""", NOT(REGEXMATCH(C11099, ""薪資""))), ""內部轉帳(忽略)"",
  REGEXMATCH(C11099, ""薪資""), ""薪資變動(不計入)"",
  REGEXMATCH(C11099, ""押金""), ""押金往來"",
  AND(E11099&lt;&gt;"""", F11099=""""), ""真實支出"",
  AND(E11099="""", F11099&lt;&gt;""""), ""真實收入"",
  TRUE, ""其他""
)"),"其他")</f>
        <v>其他</v>
      </c>
      <c r="K11099" s="270" t="str">
        <f t="shared" si="2"/>
        <v/>
      </c>
      <c r="L11099">
        <f t="shared" si="3"/>
        <v>0</v>
      </c>
    </row>
    <row r="11100">
      <c r="A11100" s="107"/>
      <c r="D11100" s="270"/>
      <c r="H11100" s="106" t="str">
        <f t="shared" si="1"/>
        <v/>
      </c>
      <c r="J11100" t="str">
        <f>IFERROR(__xludf.DUMMYFUNCTION("IFS(
  AND(REGEXMATCH(E11100, ""台銀籌備帳戶|玉山帳戶""), REGEXMATCH(C11100, ""薪資"")), ""分潤支出"",
  AND(REGEXMATCH(E11100, ""Ben帳戶|Elsa帳戶|Ben代墊|Ariel代墊|中信銀行共用""), REGEXMATCH(F11100, ""Ben帳戶|Elsa帳戶|Ben代墊|Ariel代墊|中信銀行共用"")), ""內部轉帳(忽略)"",
  AND(E11100&lt;&gt;"""", F11100&lt;&gt;"&amp;""""", NOT(REGEXMATCH(C11100, ""薪資""))), ""內部轉帳(忽略)"",
  REGEXMATCH(C11100, ""薪資""), ""薪資變動(不計入)"",
  REGEXMATCH(C11100, ""押金""), ""押金往來"",
  AND(E11100&lt;&gt;"""", F11100=""""), ""真實支出"",
  AND(E11100="""", F11100&lt;&gt;""""), ""真實收入"",
  TRUE, ""其他""
)"),"其他")</f>
        <v>其他</v>
      </c>
      <c r="K11100" s="270" t="str">
        <f t="shared" si="2"/>
        <v/>
      </c>
      <c r="L11100">
        <f t="shared" si="3"/>
        <v>0</v>
      </c>
    </row>
    <row r="11101">
      <c r="A11101" s="107"/>
      <c r="D11101" s="270"/>
      <c r="H11101" s="106" t="str">
        <f t="shared" si="1"/>
        <v/>
      </c>
      <c r="J11101" t="str">
        <f>IFERROR(__xludf.DUMMYFUNCTION("IFS(
  AND(REGEXMATCH(E11101, ""台銀籌備帳戶|玉山帳戶""), REGEXMATCH(C11101, ""薪資"")), ""分潤支出"",
  AND(REGEXMATCH(E11101, ""Ben帳戶|Elsa帳戶|Ben代墊|Ariel代墊|中信銀行共用""), REGEXMATCH(F11101, ""Ben帳戶|Elsa帳戶|Ben代墊|Ariel代墊|中信銀行共用"")), ""內部轉帳(忽略)"",
  AND(E11101&lt;&gt;"""", F11101&lt;&gt;"&amp;""""", NOT(REGEXMATCH(C11101, ""薪資""))), ""內部轉帳(忽略)"",
  REGEXMATCH(C11101, ""薪資""), ""薪資變動(不計入)"",
  REGEXMATCH(C11101, ""押金""), ""押金往來"",
  AND(E11101&lt;&gt;"""", F11101=""""), ""真實支出"",
  AND(E11101="""", F11101&lt;&gt;""""), ""真實收入"",
  TRUE, ""其他""
)"),"其他")</f>
        <v>其他</v>
      </c>
      <c r="K11101" s="270" t="str">
        <f t="shared" si="2"/>
        <v/>
      </c>
      <c r="L11101">
        <f t="shared" si="3"/>
        <v>0</v>
      </c>
    </row>
    <row r="11102">
      <c r="A11102" s="107"/>
      <c r="D11102" s="270"/>
      <c r="H11102" s="106" t="str">
        <f t="shared" si="1"/>
        <v/>
      </c>
      <c r="J11102" t="str">
        <f>IFERROR(__xludf.DUMMYFUNCTION("IFS(
  AND(REGEXMATCH(E11102, ""台銀籌備帳戶|玉山帳戶""), REGEXMATCH(C11102, ""薪資"")), ""分潤支出"",
  AND(REGEXMATCH(E11102, ""Ben帳戶|Elsa帳戶|Ben代墊|Ariel代墊|中信銀行共用""), REGEXMATCH(F11102, ""Ben帳戶|Elsa帳戶|Ben代墊|Ariel代墊|中信銀行共用"")), ""內部轉帳(忽略)"",
  AND(E11102&lt;&gt;"""", F11102&lt;&gt;"&amp;""""", NOT(REGEXMATCH(C11102, ""薪資""))), ""內部轉帳(忽略)"",
  REGEXMATCH(C11102, ""薪資""), ""薪資變動(不計入)"",
  REGEXMATCH(C11102, ""押金""), ""押金往來"",
  AND(E11102&lt;&gt;"""", F11102=""""), ""真實支出"",
  AND(E11102="""", F11102&lt;&gt;""""), ""真實收入"",
  TRUE, ""其他""
)"),"其他")</f>
        <v>其他</v>
      </c>
      <c r="K11102" s="270" t="str">
        <f t="shared" si="2"/>
        <v/>
      </c>
      <c r="L11102">
        <f t="shared" si="3"/>
        <v>0</v>
      </c>
    </row>
    <row r="11103">
      <c r="A11103" s="107"/>
      <c r="D11103" s="270"/>
      <c r="H11103" s="106" t="str">
        <f t="shared" si="1"/>
        <v/>
      </c>
      <c r="J11103" t="str">
        <f>IFERROR(__xludf.DUMMYFUNCTION("IFS(
  AND(REGEXMATCH(E11103, ""台銀籌備帳戶|玉山帳戶""), REGEXMATCH(C11103, ""薪資"")), ""分潤支出"",
  AND(REGEXMATCH(E11103, ""Ben帳戶|Elsa帳戶|Ben代墊|Ariel代墊|中信銀行共用""), REGEXMATCH(F11103, ""Ben帳戶|Elsa帳戶|Ben代墊|Ariel代墊|中信銀行共用"")), ""內部轉帳(忽略)"",
  AND(E11103&lt;&gt;"""", F11103&lt;&gt;"&amp;""""", NOT(REGEXMATCH(C11103, ""薪資""))), ""內部轉帳(忽略)"",
  REGEXMATCH(C11103, ""薪資""), ""薪資變動(不計入)"",
  REGEXMATCH(C11103, ""押金""), ""押金往來"",
  AND(E11103&lt;&gt;"""", F11103=""""), ""真實支出"",
  AND(E11103="""", F11103&lt;&gt;""""), ""真實收入"",
  TRUE, ""其他""
)"),"其他")</f>
        <v>其他</v>
      </c>
      <c r="K11103" s="270" t="str">
        <f t="shared" si="2"/>
        <v/>
      </c>
      <c r="L11103">
        <f t="shared" si="3"/>
        <v>0</v>
      </c>
    </row>
    <row r="11104">
      <c r="A11104" s="107"/>
      <c r="D11104" s="270"/>
      <c r="H11104" s="106" t="str">
        <f t="shared" si="1"/>
        <v/>
      </c>
      <c r="J11104" t="str">
        <f>IFERROR(__xludf.DUMMYFUNCTION("IFS(
  AND(REGEXMATCH(E11104, ""台銀籌備帳戶|玉山帳戶""), REGEXMATCH(C11104, ""薪資"")), ""分潤支出"",
  AND(REGEXMATCH(E11104, ""Ben帳戶|Elsa帳戶|Ben代墊|Ariel代墊|中信銀行共用""), REGEXMATCH(F11104, ""Ben帳戶|Elsa帳戶|Ben代墊|Ariel代墊|中信銀行共用"")), ""內部轉帳(忽略)"",
  AND(E11104&lt;&gt;"""", F11104&lt;&gt;"&amp;""""", NOT(REGEXMATCH(C11104, ""薪資""))), ""內部轉帳(忽略)"",
  REGEXMATCH(C11104, ""薪資""), ""薪資變動(不計入)"",
  REGEXMATCH(C11104, ""押金""), ""押金往來"",
  AND(E11104&lt;&gt;"""", F11104=""""), ""真實支出"",
  AND(E11104="""", F11104&lt;&gt;""""), ""真實收入"",
  TRUE, ""其他""
)"),"其他")</f>
        <v>其他</v>
      </c>
      <c r="K11104" s="270" t="str">
        <f t="shared" si="2"/>
        <v/>
      </c>
      <c r="L11104">
        <f t="shared" si="3"/>
        <v>0</v>
      </c>
    </row>
    <row r="11105">
      <c r="A11105" s="107"/>
      <c r="D11105" s="270"/>
      <c r="H11105" s="106" t="str">
        <f t="shared" si="1"/>
        <v/>
      </c>
      <c r="J11105" t="str">
        <f>IFERROR(__xludf.DUMMYFUNCTION("IFS(
  AND(REGEXMATCH(E11105, ""台銀籌備帳戶|玉山帳戶""), REGEXMATCH(C11105, ""薪資"")), ""分潤支出"",
  AND(REGEXMATCH(E11105, ""Ben帳戶|Elsa帳戶|Ben代墊|Ariel代墊|中信銀行共用""), REGEXMATCH(F11105, ""Ben帳戶|Elsa帳戶|Ben代墊|Ariel代墊|中信銀行共用"")), ""內部轉帳(忽略)"",
  AND(E11105&lt;&gt;"""", F11105&lt;&gt;"&amp;""""", NOT(REGEXMATCH(C11105, ""薪資""))), ""內部轉帳(忽略)"",
  REGEXMATCH(C11105, ""薪資""), ""薪資變動(不計入)"",
  REGEXMATCH(C11105, ""押金""), ""押金往來"",
  AND(E11105&lt;&gt;"""", F11105=""""), ""真實支出"",
  AND(E11105="""", F11105&lt;&gt;""""), ""真實收入"",
  TRUE, ""其他""
)"),"其他")</f>
        <v>其他</v>
      </c>
      <c r="K11105" s="270" t="str">
        <f t="shared" si="2"/>
        <v/>
      </c>
      <c r="L11105">
        <f t="shared" si="3"/>
        <v>0</v>
      </c>
    </row>
    <row r="11106">
      <c r="A11106" s="107"/>
      <c r="D11106" s="270"/>
      <c r="H11106" s="106" t="str">
        <f t="shared" si="1"/>
        <v/>
      </c>
      <c r="J11106" t="str">
        <f>IFERROR(__xludf.DUMMYFUNCTION("IFS(
  AND(REGEXMATCH(E11106, ""台銀籌備帳戶|玉山帳戶""), REGEXMATCH(C11106, ""薪資"")), ""分潤支出"",
  AND(REGEXMATCH(E11106, ""Ben帳戶|Elsa帳戶|Ben代墊|Ariel代墊|中信銀行共用""), REGEXMATCH(F11106, ""Ben帳戶|Elsa帳戶|Ben代墊|Ariel代墊|中信銀行共用"")), ""內部轉帳(忽略)"",
  AND(E11106&lt;&gt;"""", F11106&lt;&gt;"&amp;""""", NOT(REGEXMATCH(C11106, ""薪資""))), ""內部轉帳(忽略)"",
  REGEXMATCH(C11106, ""薪資""), ""薪資變動(不計入)"",
  REGEXMATCH(C11106, ""押金""), ""押金往來"",
  AND(E11106&lt;&gt;"""", F11106=""""), ""真實支出"",
  AND(E11106="""", F11106&lt;&gt;""""), ""真實收入"",
  TRUE, ""其他""
)"),"其他")</f>
        <v>其他</v>
      </c>
      <c r="K11106" s="270" t="str">
        <f t="shared" si="2"/>
        <v/>
      </c>
      <c r="L11106">
        <f t="shared" si="3"/>
        <v>0</v>
      </c>
    </row>
    <row r="11107">
      <c r="A11107" s="107"/>
      <c r="D11107" s="270"/>
      <c r="H11107" s="106" t="str">
        <f t="shared" si="1"/>
        <v/>
      </c>
      <c r="J11107" t="str">
        <f>IFERROR(__xludf.DUMMYFUNCTION("IFS(
  AND(REGEXMATCH(E11107, ""台銀籌備帳戶|玉山帳戶""), REGEXMATCH(C11107, ""薪資"")), ""分潤支出"",
  AND(REGEXMATCH(E11107, ""Ben帳戶|Elsa帳戶|Ben代墊|Ariel代墊|中信銀行共用""), REGEXMATCH(F11107, ""Ben帳戶|Elsa帳戶|Ben代墊|Ariel代墊|中信銀行共用"")), ""內部轉帳(忽略)"",
  AND(E11107&lt;&gt;"""", F11107&lt;&gt;"&amp;""""", NOT(REGEXMATCH(C11107, ""薪資""))), ""內部轉帳(忽略)"",
  REGEXMATCH(C11107, ""薪資""), ""薪資變動(不計入)"",
  REGEXMATCH(C11107, ""押金""), ""押金往來"",
  AND(E11107&lt;&gt;"""", F11107=""""), ""真實支出"",
  AND(E11107="""", F11107&lt;&gt;""""), ""真實收入"",
  TRUE, ""其他""
)"),"其他")</f>
        <v>其他</v>
      </c>
      <c r="K11107" s="270" t="str">
        <f t="shared" si="2"/>
        <v/>
      </c>
      <c r="L11107">
        <f t="shared" si="3"/>
        <v>0</v>
      </c>
    </row>
    <row r="11108">
      <c r="A11108" s="107"/>
      <c r="D11108" s="270"/>
      <c r="H11108" s="106" t="str">
        <f t="shared" si="1"/>
        <v/>
      </c>
      <c r="J11108" t="str">
        <f>IFERROR(__xludf.DUMMYFUNCTION("IFS(
  AND(REGEXMATCH(E11108, ""台銀籌備帳戶|玉山帳戶""), REGEXMATCH(C11108, ""薪資"")), ""分潤支出"",
  AND(REGEXMATCH(E11108, ""Ben帳戶|Elsa帳戶|Ben代墊|Ariel代墊|中信銀行共用""), REGEXMATCH(F11108, ""Ben帳戶|Elsa帳戶|Ben代墊|Ariel代墊|中信銀行共用"")), ""內部轉帳(忽略)"",
  AND(E11108&lt;&gt;"""", F11108&lt;&gt;"&amp;""""", NOT(REGEXMATCH(C11108, ""薪資""))), ""內部轉帳(忽略)"",
  REGEXMATCH(C11108, ""薪資""), ""薪資變動(不計入)"",
  REGEXMATCH(C11108, ""押金""), ""押金往來"",
  AND(E11108&lt;&gt;"""", F11108=""""), ""真實支出"",
  AND(E11108="""", F11108&lt;&gt;""""), ""真實收入"",
  TRUE, ""其他""
)"),"其他")</f>
        <v>其他</v>
      </c>
      <c r="K11108" s="270" t="str">
        <f t="shared" si="2"/>
        <v/>
      </c>
      <c r="L11108">
        <f t="shared" si="3"/>
        <v>0</v>
      </c>
    </row>
    <row r="11109">
      <c r="A11109" s="107"/>
      <c r="D11109" s="270"/>
      <c r="H11109" s="106" t="str">
        <f t="shared" si="1"/>
        <v/>
      </c>
      <c r="J11109" t="str">
        <f>IFERROR(__xludf.DUMMYFUNCTION("IFS(
  AND(REGEXMATCH(E11109, ""台銀籌備帳戶|玉山帳戶""), REGEXMATCH(C11109, ""薪資"")), ""分潤支出"",
  AND(REGEXMATCH(E11109, ""Ben帳戶|Elsa帳戶|Ben代墊|Ariel代墊|中信銀行共用""), REGEXMATCH(F11109, ""Ben帳戶|Elsa帳戶|Ben代墊|Ariel代墊|中信銀行共用"")), ""內部轉帳(忽略)"",
  AND(E11109&lt;&gt;"""", F11109&lt;&gt;"&amp;""""", NOT(REGEXMATCH(C11109, ""薪資""))), ""內部轉帳(忽略)"",
  REGEXMATCH(C11109, ""薪資""), ""薪資變動(不計入)"",
  REGEXMATCH(C11109, ""押金""), ""押金往來"",
  AND(E11109&lt;&gt;"""", F11109=""""), ""真實支出"",
  AND(E11109="""", F11109&lt;&gt;""""), ""真實收入"",
  TRUE, ""其他""
)"),"其他")</f>
        <v>其他</v>
      </c>
      <c r="K11109" s="270" t="str">
        <f t="shared" si="2"/>
        <v/>
      </c>
      <c r="L11109">
        <f t="shared" si="3"/>
        <v>0</v>
      </c>
    </row>
    <row r="11110">
      <c r="A11110" s="107"/>
      <c r="D11110" s="270"/>
      <c r="H11110" s="106" t="str">
        <f t="shared" si="1"/>
        <v/>
      </c>
      <c r="J11110" t="str">
        <f>IFERROR(__xludf.DUMMYFUNCTION("IFS(
  AND(REGEXMATCH(E11110, ""台銀籌備帳戶|玉山帳戶""), REGEXMATCH(C11110, ""薪資"")), ""分潤支出"",
  AND(REGEXMATCH(E11110, ""Ben帳戶|Elsa帳戶|Ben代墊|Ariel代墊|中信銀行共用""), REGEXMATCH(F11110, ""Ben帳戶|Elsa帳戶|Ben代墊|Ariel代墊|中信銀行共用"")), ""內部轉帳(忽略)"",
  AND(E11110&lt;&gt;"""", F11110&lt;&gt;"&amp;""""", NOT(REGEXMATCH(C11110, ""薪資""))), ""內部轉帳(忽略)"",
  REGEXMATCH(C11110, ""薪資""), ""薪資變動(不計入)"",
  REGEXMATCH(C11110, ""押金""), ""押金往來"",
  AND(E11110&lt;&gt;"""", F11110=""""), ""真實支出"",
  AND(E11110="""", F11110&lt;&gt;""""), ""真實收入"",
  TRUE, ""其他""
)"),"其他")</f>
        <v>其他</v>
      </c>
      <c r="K11110" s="270" t="str">
        <f t="shared" si="2"/>
        <v/>
      </c>
      <c r="L11110">
        <f t="shared" si="3"/>
        <v>0</v>
      </c>
    </row>
    <row r="11111">
      <c r="A11111" s="107"/>
      <c r="D11111" s="270"/>
      <c r="H11111" s="106" t="str">
        <f t="shared" si="1"/>
        <v/>
      </c>
      <c r="J11111" t="str">
        <f>IFERROR(__xludf.DUMMYFUNCTION("IFS(
  AND(REGEXMATCH(E11111, ""台銀籌備帳戶|玉山帳戶""), REGEXMATCH(C11111, ""薪資"")), ""分潤支出"",
  AND(REGEXMATCH(E11111, ""Ben帳戶|Elsa帳戶|Ben代墊|Ariel代墊|中信銀行共用""), REGEXMATCH(F11111, ""Ben帳戶|Elsa帳戶|Ben代墊|Ariel代墊|中信銀行共用"")), ""內部轉帳(忽略)"",
  AND(E11111&lt;&gt;"""", F11111&lt;&gt;"&amp;""""", NOT(REGEXMATCH(C11111, ""薪資""))), ""內部轉帳(忽略)"",
  REGEXMATCH(C11111, ""薪資""), ""薪資變動(不計入)"",
  REGEXMATCH(C11111, ""押金""), ""押金往來"",
  AND(E11111&lt;&gt;"""", F11111=""""), ""真實支出"",
  AND(E11111="""", F11111&lt;&gt;""""), ""真實收入"",
  TRUE, ""其他""
)"),"其他")</f>
        <v>其他</v>
      </c>
      <c r="K11111" s="270" t="str">
        <f t="shared" si="2"/>
        <v/>
      </c>
      <c r="L11111">
        <f t="shared" si="3"/>
        <v>0</v>
      </c>
    </row>
    <row r="11112">
      <c r="A11112" s="107"/>
      <c r="D11112" s="270"/>
      <c r="H11112" s="106" t="str">
        <f t="shared" si="1"/>
        <v/>
      </c>
      <c r="J11112" t="str">
        <f>IFERROR(__xludf.DUMMYFUNCTION("IFS(
  AND(REGEXMATCH(E11112, ""台銀籌備帳戶|玉山帳戶""), REGEXMATCH(C11112, ""薪資"")), ""分潤支出"",
  AND(REGEXMATCH(E11112, ""Ben帳戶|Elsa帳戶|Ben代墊|Ariel代墊|中信銀行共用""), REGEXMATCH(F11112, ""Ben帳戶|Elsa帳戶|Ben代墊|Ariel代墊|中信銀行共用"")), ""內部轉帳(忽略)"",
  AND(E11112&lt;&gt;"""", F11112&lt;&gt;"&amp;""""", NOT(REGEXMATCH(C11112, ""薪資""))), ""內部轉帳(忽略)"",
  REGEXMATCH(C11112, ""薪資""), ""薪資變動(不計入)"",
  REGEXMATCH(C11112, ""押金""), ""押金往來"",
  AND(E11112&lt;&gt;"""", F11112=""""), ""真實支出"",
  AND(E11112="""", F11112&lt;&gt;""""), ""真實收入"",
  TRUE, ""其他""
)"),"其他")</f>
        <v>其他</v>
      </c>
      <c r="K11112" s="270" t="str">
        <f t="shared" si="2"/>
        <v/>
      </c>
      <c r="L11112">
        <f t="shared" si="3"/>
        <v>0</v>
      </c>
    </row>
    <row r="11113">
      <c r="A11113" s="107"/>
      <c r="D11113" s="270"/>
      <c r="H11113" s="106" t="str">
        <f t="shared" si="1"/>
        <v/>
      </c>
      <c r="J11113" t="str">
        <f>IFERROR(__xludf.DUMMYFUNCTION("IFS(
  AND(REGEXMATCH(E11113, ""台銀籌備帳戶|玉山帳戶""), REGEXMATCH(C11113, ""薪資"")), ""分潤支出"",
  AND(REGEXMATCH(E11113, ""Ben帳戶|Elsa帳戶|Ben代墊|Ariel代墊|中信銀行共用""), REGEXMATCH(F11113, ""Ben帳戶|Elsa帳戶|Ben代墊|Ariel代墊|中信銀行共用"")), ""內部轉帳(忽略)"",
  AND(E11113&lt;&gt;"""", F11113&lt;&gt;"&amp;""""", NOT(REGEXMATCH(C11113, ""薪資""))), ""內部轉帳(忽略)"",
  REGEXMATCH(C11113, ""薪資""), ""薪資變動(不計入)"",
  REGEXMATCH(C11113, ""押金""), ""押金往來"",
  AND(E11113&lt;&gt;"""", F11113=""""), ""真實支出"",
  AND(E11113="""", F11113&lt;&gt;""""), ""真實收入"",
  TRUE, ""其他""
)"),"其他")</f>
        <v>其他</v>
      </c>
      <c r="K11113" s="270" t="str">
        <f t="shared" si="2"/>
        <v/>
      </c>
      <c r="L11113">
        <f t="shared" si="3"/>
        <v>0</v>
      </c>
    </row>
    <row r="11114">
      <c r="A11114" s="107"/>
      <c r="D11114" s="270"/>
      <c r="H11114" s="106" t="str">
        <f t="shared" si="1"/>
        <v/>
      </c>
      <c r="J11114" t="str">
        <f>IFERROR(__xludf.DUMMYFUNCTION("IFS(
  AND(REGEXMATCH(E11114, ""台銀籌備帳戶|玉山帳戶""), REGEXMATCH(C11114, ""薪資"")), ""分潤支出"",
  AND(REGEXMATCH(E11114, ""Ben帳戶|Elsa帳戶|Ben代墊|Ariel代墊|中信銀行共用""), REGEXMATCH(F11114, ""Ben帳戶|Elsa帳戶|Ben代墊|Ariel代墊|中信銀行共用"")), ""內部轉帳(忽略)"",
  AND(E11114&lt;&gt;"""", F11114&lt;&gt;"&amp;""""", NOT(REGEXMATCH(C11114, ""薪資""))), ""內部轉帳(忽略)"",
  REGEXMATCH(C11114, ""薪資""), ""薪資變動(不計入)"",
  REGEXMATCH(C11114, ""押金""), ""押金往來"",
  AND(E11114&lt;&gt;"""", F11114=""""), ""真實支出"",
  AND(E11114="""", F11114&lt;&gt;""""), ""真實收入"",
  TRUE, ""其他""
)"),"其他")</f>
        <v>其他</v>
      </c>
      <c r="K11114" s="270" t="str">
        <f t="shared" si="2"/>
        <v/>
      </c>
      <c r="L11114">
        <f t="shared" si="3"/>
        <v>0</v>
      </c>
    </row>
    <row r="11115">
      <c r="A11115" s="107"/>
      <c r="D11115" s="270"/>
      <c r="H11115" s="106" t="str">
        <f t="shared" si="1"/>
        <v/>
      </c>
      <c r="J11115" t="str">
        <f>IFERROR(__xludf.DUMMYFUNCTION("IFS(
  AND(REGEXMATCH(E11115, ""台銀籌備帳戶|玉山帳戶""), REGEXMATCH(C11115, ""薪資"")), ""分潤支出"",
  AND(REGEXMATCH(E11115, ""Ben帳戶|Elsa帳戶|Ben代墊|Ariel代墊|中信銀行共用""), REGEXMATCH(F11115, ""Ben帳戶|Elsa帳戶|Ben代墊|Ariel代墊|中信銀行共用"")), ""內部轉帳(忽略)"",
  AND(E11115&lt;&gt;"""", F11115&lt;&gt;"&amp;""""", NOT(REGEXMATCH(C11115, ""薪資""))), ""內部轉帳(忽略)"",
  REGEXMATCH(C11115, ""薪資""), ""薪資變動(不計入)"",
  REGEXMATCH(C11115, ""押金""), ""押金往來"",
  AND(E11115&lt;&gt;"""", F11115=""""), ""真實支出"",
  AND(E11115="""", F11115&lt;&gt;""""), ""真實收入"",
  TRUE, ""其他""
)"),"其他")</f>
        <v>其他</v>
      </c>
      <c r="K11115" s="270" t="str">
        <f t="shared" si="2"/>
        <v/>
      </c>
      <c r="L11115">
        <f t="shared" si="3"/>
        <v>0</v>
      </c>
    </row>
    <row r="11116">
      <c r="A11116" s="107"/>
      <c r="D11116" s="270"/>
      <c r="H11116" s="106" t="str">
        <f t="shared" si="1"/>
        <v/>
      </c>
      <c r="J11116" t="str">
        <f>IFERROR(__xludf.DUMMYFUNCTION("IFS(
  AND(REGEXMATCH(E11116, ""台銀籌備帳戶|玉山帳戶""), REGEXMATCH(C11116, ""薪資"")), ""分潤支出"",
  AND(REGEXMATCH(E11116, ""Ben帳戶|Elsa帳戶|Ben代墊|Ariel代墊|中信銀行共用""), REGEXMATCH(F11116, ""Ben帳戶|Elsa帳戶|Ben代墊|Ariel代墊|中信銀行共用"")), ""內部轉帳(忽略)"",
  AND(E11116&lt;&gt;"""", F11116&lt;&gt;"&amp;""""", NOT(REGEXMATCH(C11116, ""薪資""))), ""內部轉帳(忽略)"",
  REGEXMATCH(C11116, ""薪資""), ""薪資變動(不計入)"",
  REGEXMATCH(C11116, ""押金""), ""押金往來"",
  AND(E11116&lt;&gt;"""", F11116=""""), ""真實支出"",
  AND(E11116="""", F11116&lt;&gt;""""), ""真實收入"",
  TRUE, ""其他""
)"),"其他")</f>
        <v>其他</v>
      </c>
      <c r="K11116" s="270" t="str">
        <f t="shared" si="2"/>
        <v/>
      </c>
      <c r="L11116">
        <f t="shared" si="3"/>
        <v>0</v>
      </c>
    </row>
    <row r="11117">
      <c r="A11117" s="107"/>
      <c r="D11117" s="270"/>
      <c r="H11117" s="106" t="str">
        <f t="shared" si="1"/>
        <v/>
      </c>
      <c r="J11117" t="str">
        <f>IFERROR(__xludf.DUMMYFUNCTION("IFS(
  AND(REGEXMATCH(E11117, ""台銀籌備帳戶|玉山帳戶""), REGEXMATCH(C11117, ""薪資"")), ""分潤支出"",
  AND(REGEXMATCH(E11117, ""Ben帳戶|Elsa帳戶|Ben代墊|Ariel代墊|中信銀行共用""), REGEXMATCH(F11117, ""Ben帳戶|Elsa帳戶|Ben代墊|Ariel代墊|中信銀行共用"")), ""內部轉帳(忽略)"",
  AND(E11117&lt;&gt;"""", F11117&lt;&gt;"&amp;""""", NOT(REGEXMATCH(C11117, ""薪資""))), ""內部轉帳(忽略)"",
  REGEXMATCH(C11117, ""薪資""), ""薪資變動(不計入)"",
  REGEXMATCH(C11117, ""押金""), ""押金往來"",
  AND(E11117&lt;&gt;"""", F11117=""""), ""真實支出"",
  AND(E11117="""", F11117&lt;&gt;""""), ""真實收入"",
  TRUE, ""其他""
)"),"其他")</f>
        <v>其他</v>
      </c>
      <c r="K11117" s="270" t="str">
        <f t="shared" si="2"/>
        <v/>
      </c>
      <c r="L11117">
        <f t="shared" si="3"/>
        <v>0</v>
      </c>
    </row>
    <row r="11118">
      <c r="A11118" s="107"/>
      <c r="D11118" s="270"/>
      <c r="H11118" s="106" t="str">
        <f t="shared" si="1"/>
        <v/>
      </c>
      <c r="J11118" t="str">
        <f>IFERROR(__xludf.DUMMYFUNCTION("IFS(
  AND(REGEXMATCH(E11118, ""台銀籌備帳戶|玉山帳戶""), REGEXMATCH(C11118, ""薪資"")), ""分潤支出"",
  AND(REGEXMATCH(E11118, ""Ben帳戶|Elsa帳戶|Ben代墊|Ariel代墊|中信銀行共用""), REGEXMATCH(F11118, ""Ben帳戶|Elsa帳戶|Ben代墊|Ariel代墊|中信銀行共用"")), ""內部轉帳(忽略)"",
  AND(E11118&lt;&gt;"""", F11118&lt;&gt;"&amp;""""", NOT(REGEXMATCH(C11118, ""薪資""))), ""內部轉帳(忽略)"",
  REGEXMATCH(C11118, ""薪資""), ""薪資變動(不計入)"",
  REGEXMATCH(C11118, ""押金""), ""押金往來"",
  AND(E11118&lt;&gt;"""", F11118=""""), ""真實支出"",
  AND(E11118="""", F11118&lt;&gt;""""), ""真實收入"",
  TRUE, ""其他""
)"),"其他")</f>
        <v>其他</v>
      </c>
      <c r="K11118" s="270" t="str">
        <f t="shared" si="2"/>
        <v/>
      </c>
      <c r="L11118">
        <f t="shared" si="3"/>
        <v>0</v>
      </c>
    </row>
    <row r="11119">
      <c r="A11119" s="107"/>
      <c r="D11119" s="270"/>
      <c r="H11119" s="106" t="str">
        <f t="shared" si="1"/>
        <v/>
      </c>
      <c r="J11119" t="str">
        <f>IFERROR(__xludf.DUMMYFUNCTION("IFS(
  AND(REGEXMATCH(E11119, ""台銀籌備帳戶|玉山帳戶""), REGEXMATCH(C11119, ""薪資"")), ""分潤支出"",
  AND(REGEXMATCH(E11119, ""Ben帳戶|Elsa帳戶|Ben代墊|Ariel代墊|中信銀行共用""), REGEXMATCH(F11119, ""Ben帳戶|Elsa帳戶|Ben代墊|Ariel代墊|中信銀行共用"")), ""內部轉帳(忽略)"",
  AND(E11119&lt;&gt;"""", F11119&lt;&gt;"&amp;""""", NOT(REGEXMATCH(C11119, ""薪資""))), ""內部轉帳(忽略)"",
  REGEXMATCH(C11119, ""薪資""), ""薪資變動(不計入)"",
  REGEXMATCH(C11119, ""押金""), ""押金往來"",
  AND(E11119&lt;&gt;"""", F11119=""""), ""真實支出"",
  AND(E11119="""", F11119&lt;&gt;""""), ""真實收入"",
  TRUE, ""其他""
)"),"其他")</f>
        <v>其他</v>
      </c>
      <c r="K11119" s="270" t="str">
        <f t="shared" si="2"/>
        <v/>
      </c>
      <c r="L11119">
        <f t="shared" si="3"/>
        <v>0</v>
      </c>
    </row>
    <row r="11120">
      <c r="A11120" s="107"/>
      <c r="D11120" s="270"/>
      <c r="H11120" s="106" t="str">
        <f t="shared" si="1"/>
        <v/>
      </c>
      <c r="J11120" t="str">
        <f>IFERROR(__xludf.DUMMYFUNCTION("IFS(
  AND(REGEXMATCH(E11120, ""台銀籌備帳戶|玉山帳戶""), REGEXMATCH(C11120, ""薪資"")), ""分潤支出"",
  AND(REGEXMATCH(E11120, ""Ben帳戶|Elsa帳戶|Ben代墊|Ariel代墊|中信銀行共用""), REGEXMATCH(F11120, ""Ben帳戶|Elsa帳戶|Ben代墊|Ariel代墊|中信銀行共用"")), ""內部轉帳(忽略)"",
  AND(E11120&lt;&gt;"""", F11120&lt;&gt;"&amp;""""", NOT(REGEXMATCH(C11120, ""薪資""))), ""內部轉帳(忽略)"",
  REGEXMATCH(C11120, ""薪資""), ""薪資變動(不計入)"",
  REGEXMATCH(C11120, ""押金""), ""押金往來"",
  AND(E11120&lt;&gt;"""", F11120=""""), ""真實支出"",
  AND(E11120="""", F11120&lt;&gt;""""), ""真實收入"",
  TRUE, ""其他""
)"),"其他")</f>
        <v>其他</v>
      </c>
      <c r="K11120" s="270" t="str">
        <f t="shared" si="2"/>
        <v/>
      </c>
      <c r="L11120">
        <f t="shared" si="3"/>
        <v>0</v>
      </c>
    </row>
    <row r="11121">
      <c r="A11121" s="107"/>
      <c r="D11121" s="270"/>
      <c r="H11121" s="106" t="str">
        <f t="shared" si="1"/>
        <v/>
      </c>
      <c r="J11121" t="str">
        <f>IFERROR(__xludf.DUMMYFUNCTION("IFS(
  AND(REGEXMATCH(E11121, ""台銀籌備帳戶|玉山帳戶""), REGEXMATCH(C11121, ""薪資"")), ""分潤支出"",
  AND(REGEXMATCH(E11121, ""Ben帳戶|Elsa帳戶|Ben代墊|Ariel代墊|中信銀行共用""), REGEXMATCH(F11121, ""Ben帳戶|Elsa帳戶|Ben代墊|Ariel代墊|中信銀行共用"")), ""內部轉帳(忽略)"",
  AND(E11121&lt;&gt;"""", F11121&lt;&gt;"&amp;""""", NOT(REGEXMATCH(C11121, ""薪資""))), ""內部轉帳(忽略)"",
  REGEXMATCH(C11121, ""薪資""), ""薪資變動(不計入)"",
  REGEXMATCH(C11121, ""押金""), ""押金往來"",
  AND(E11121&lt;&gt;"""", F11121=""""), ""真實支出"",
  AND(E11121="""", F11121&lt;&gt;""""), ""真實收入"",
  TRUE, ""其他""
)"),"其他")</f>
        <v>其他</v>
      </c>
      <c r="K11121" s="270" t="str">
        <f t="shared" si="2"/>
        <v/>
      </c>
      <c r="L11121">
        <f t="shared" si="3"/>
        <v>0</v>
      </c>
    </row>
    <row r="11122">
      <c r="A11122" s="107"/>
      <c r="D11122" s="270"/>
      <c r="H11122" s="106" t="str">
        <f t="shared" si="1"/>
        <v/>
      </c>
      <c r="J11122" t="str">
        <f>IFERROR(__xludf.DUMMYFUNCTION("IFS(
  AND(REGEXMATCH(E11122, ""台銀籌備帳戶|玉山帳戶""), REGEXMATCH(C11122, ""薪資"")), ""分潤支出"",
  AND(REGEXMATCH(E11122, ""Ben帳戶|Elsa帳戶|Ben代墊|Ariel代墊|中信銀行共用""), REGEXMATCH(F11122, ""Ben帳戶|Elsa帳戶|Ben代墊|Ariel代墊|中信銀行共用"")), ""內部轉帳(忽略)"",
  AND(E11122&lt;&gt;"""", F11122&lt;&gt;"&amp;""""", NOT(REGEXMATCH(C11122, ""薪資""))), ""內部轉帳(忽略)"",
  REGEXMATCH(C11122, ""薪資""), ""薪資變動(不計入)"",
  REGEXMATCH(C11122, ""押金""), ""押金往來"",
  AND(E11122&lt;&gt;"""", F11122=""""), ""真實支出"",
  AND(E11122="""", F11122&lt;&gt;""""), ""真實收入"",
  TRUE, ""其他""
)"),"其他")</f>
        <v>其他</v>
      </c>
      <c r="K11122" s="270" t="str">
        <f t="shared" si="2"/>
        <v/>
      </c>
      <c r="L11122">
        <f t="shared" si="3"/>
        <v>0</v>
      </c>
    </row>
    <row r="11123">
      <c r="A11123" s="107"/>
      <c r="D11123" s="270"/>
      <c r="H11123" s="106" t="str">
        <f t="shared" si="1"/>
        <v/>
      </c>
      <c r="J11123" t="str">
        <f>IFERROR(__xludf.DUMMYFUNCTION("IFS(
  AND(REGEXMATCH(E11123, ""台銀籌備帳戶|玉山帳戶""), REGEXMATCH(C11123, ""薪資"")), ""分潤支出"",
  AND(REGEXMATCH(E11123, ""Ben帳戶|Elsa帳戶|Ben代墊|Ariel代墊|中信銀行共用""), REGEXMATCH(F11123, ""Ben帳戶|Elsa帳戶|Ben代墊|Ariel代墊|中信銀行共用"")), ""內部轉帳(忽略)"",
  AND(E11123&lt;&gt;"""", F11123&lt;&gt;"&amp;""""", NOT(REGEXMATCH(C11123, ""薪資""))), ""內部轉帳(忽略)"",
  REGEXMATCH(C11123, ""薪資""), ""薪資變動(不計入)"",
  REGEXMATCH(C11123, ""押金""), ""押金往來"",
  AND(E11123&lt;&gt;"""", F11123=""""), ""真實支出"",
  AND(E11123="""", F11123&lt;&gt;""""), ""真實收入"",
  TRUE, ""其他""
)"),"其他")</f>
        <v>其他</v>
      </c>
      <c r="K11123" s="270" t="str">
        <f t="shared" si="2"/>
        <v/>
      </c>
      <c r="L11123">
        <f t="shared" si="3"/>
        <v>0</v>
      </c>
    </row>
    <row r="11124">
      <c r="A11124" s="107"/>
      <c r="D11124" s="270"/>
      <c r="H11124" s="106" t="str">
        <f t="shared" si="1"/>
        <v/>
      </c>
      <c r="J11124" t="str">
        <f>IFERROR(__xludf.DUMMYFUNCTION("IFS(
  AND(REGEXMATCH(E11124, ""台銀籌備帳戶|玉山帳戶""), REGEXMATCH(C11124, ""薪資"")), ""分潤支出"",
  AND(REGEXMATCH(E11124, ""Ben帳戶|Elsa帳戶|Ben代墊|Ariel代墊|中信銀行共用""), REGEXMATCH(F11124, ""Ben帳戶|Elsa帳戶|Ben代墊|Ariel代墊|中信銀行共用"")), ""內部轉帳(忽略)"",
  AND(E11124&lt;&gt;"""", F11124&lt;&gt;"&amp;""""", NOT(REGEXMATCH(C11124, ""薪資""))), ""內部轉帳(忽略)"",
  REGEXMATCH(C11124, ""薪資""), ""薪資變動(不計入)"",
  REGEXMATCH(C11124, ""押金""), ""押金往來"",
  AND(E11124&lt;&gt;"""", F11124=""""), ""真實支出"",
  AND(E11124="""", F11124&lt;&gt;""""), ""真實收入"",
  TRUE, ""其他""
)"),"其他")</f>
        <v>其他</v>
      </c>
      <c r="K11124" s="270" t="str">
        <f t="shared" si="2"/>
        <v/>
      </c>
      <c r="L11124">
        <f t="shared" si="3"/>
        <v>0</v>
      </c>
    </row>
    <row r="11125">
      <c r="A11125" s="107"/>
      <c r="D11125" s="270"/>
      <c r="H11125" s="106" t="str">
        <f t="shared" si="1"/>
        <v/>
      </c>
      <c r="J11125" t="str">
        <f>IFERROR(__xludf.DUMMYFUNCTION("IFS(
  AND(REGEXMATCH(E11125, ""台銀籌備帳戶|玉山帳戶""), REGEXMATCH(C11125, ""薪資"")), ""分潤支出"",
  AND(REGEXMATCH(E11125, ""Ben帳戶|Elsa帳戶|Ben代墊|Ariel代墊|中信銀行共用""), REGEXMATCH(F11125, ""Ben帳戶|Elsa帳戶|Ben代墊|Ariel代墊|中信銀行共用"")), ""內部轉帳(忽略)"",
  AND(E11125&lt;&gt;"""", F11125&lt;&gt;"&amp;""""", NOT(REGEXMATCH(C11125, ""薪資""))), ""內部轉帳(忽略)"",
  REGEXMATCH(C11125, ""薪資""), ""薪資變動(不計入)"",
  REGEXMATCH(C11125, ""押金""), ""押金往來"",
  AND(E11125&lt;&gt;"""", F11125=""""), ""真實支出"",
  AND(E11125="""", F11125&lt;&gt;""""), ""真實收入"",
  TRUE, ""其他""
)"),"其他")</f>
        <v>其他</v>
      </c>
      <c r="K11125" s="270" t="str">
        <f t="shared" si="2"/>
        <v/>
      </c>
      <c r="L11125">
        <f t="shared" si="3"/>
        <v>0</v>
      </c>
    </row>
    <row r="11126">
      <c r="A11126" s="107"/>
      <c r="D11126" s="270"/>
      <c r="H11126" s="106" t="str">
        <f t="shared" si="1"/>
        <v/>
      </c>
      <c r="J11126" t="str">
        <f>IFERROR(__xludf.DUMMYFUNCTION("IFS(
  AND(REGEXMATCH(E11126, ""台銀籌備帳戶|玉山帳戶""), REGEXMATCH(C11126, ""薪資"")), ""分潤支出"",
  AND(REGEXMATCH(E11126, ""Ben帳戶|Elsa帳戶|Ben代墊|Ariel代墊|中信銀行共用""), REGEXMATCH(F11126, ""Ben帳戶|Elsa帳戶|Ben代墊|Ariel代墊|中信銀行共用"")), ""內部轉帳(忽略)"",
  AND(E11126&lt;&gt;"""", F11126&lt;&gt;"&amp;""""", NOT(REGEXMATCH(C11126, ""薪資""))), ""內部轉帳(忽略)"",
  REGEXMATCH(C11126, ""薪資""), ""薪資變動(不計入)"",
  REGEXMATCH(C11126, ""押金""), ""押金往來"",
  AND(E11126&lt;&gt;"""", F11126=""""), ""真實支出"",
  AND(E11126="""", F11126&lt;&gt;""""), ""真實收入"",
  TRUE, ""其他""
)"),"其他")</f>
        <v>其他</v>
      </c>
      <c r="K11126" s="270" t="str">
        <f t="shared" si="2"/>
        <v/>
      </c>
      <c r="L11126">
        <f t="shared" si="3"/>
        <v>0</v>
      </c>
    </row>
    <row r="11127">
      <c r="A11127" s="107"/>
      <c r="D11127" s="270"/>
      <c r="H11127" s="106" t="str">
        <f t="shared" si="1"/>
        <v/>
      </c>
      <c r="J11127" t="str">
        <f>IFERROR(__xludf.DUMMYFUNCTION("IFS(
  AND(REGEXMATCH(E11127, ""台銀籌備帳戶|玉山帳戶""), REGEXMATCH(C11127, ""薪資"")), ""分潤支出"",
  AND(REGEXMATCH(E11127, ""Ben帳戶|Elsa帳戶|Ben代墊|Ariel代墊|中信銀行共用""), REGEXMATCH(F11127, ""Ben帳戶|Elsa帳戶|Ben代墊|Ariel代墊|中信銀行共用"")), ""內部轉帳(忽略)"",
  AND(E11127&lt;&gt;"""", F11127&lt;&gt;"&amp;""""", NOT(REGEXMATCH(C11127, ""薪資""))), ""內部轉帳(忽略)"",
  REGEXMATCH(C11127, ""薪資""), ""薪資變動(不計入)"",
  REGEXMATCH(C11127, ""押金""), ""押金往來"",
  AND(E11127&lt;&gt;"""", F11127=""""), ""真實支出"",
  AND(E11127="""", F11127&lt;&gt;""""), ""真實收入"",
  TRUE, ""其他""
)"),"其他")</f>
        <v>其他</v>
      </c>
      <c r="K11127" s="270" t="str">
        <f t="shared" si="2"/>
        <v/>
      </c>
      <c r="L11127">
        <f t="shared" si="3"/>
        <v>0</v>
      </c>
    </row>
    <row r="11128">
      <c r="A11128" s="107"/>
      <c r="D11128" s="270"/>
      <c r="H11128" s="106" t="str">
        <f t="shared" si="1"/>
        <v/>
      </c>
      <c r="J11128" t="str">
        <f>IFERROR(__xludf.DUMMYFUNCTION("IFS(
  AND(REGEXMATCH(E11128, ""台銀籌備帳戶|玉山帳戶""), REGEXMATCH(C11128, ""薪資"")), ""分潤支出"",
  AND(REGEXMATCH(E11128, ""Ben帳戶|Elsa帳戶|Ben代墊|Ariel代墊|中信銀行共用""), REGEXMATCH(F11128, ""Ben帳戶|Elsa帳戶|Ben代墊|Ariel代墊|中信銀行共用"")), ""內部轉帳(忽略)"",
  AND(E11128&lt;&gt;"""", F11128&lt;&gt;"&amp;""""", NOT(REGEXMATCH(C11128, ""薪資""))), ""內部轉帳(忽略)"",
  REGEXMATCH(C11128, ""薪資""), ""薪資變動(不計入)"",
  REGEXMATCH(C11128, ""押金""), ""押金往來"",
  AND(E11128&lt;&gt;"""", F11128=""""), ""真實支出"",
  AND(E11128="""", F11128&lt;&gt;""""), ""真實收入"",
  TRUE, ""其他""
)"),"其他")</f>
        <v>其他</v>
      </c>
      <c r="K11128" s="270" t="str">
        <f t="shared" si="2"/>
        <v/>
      </c>
      <c r="L11128">
        <f t="shared" si="3"/>
        <v>0</v>
      </c>
    </row>
    <row r="11129">
      <c r="A11129" s="107"/>
      <c r="D11129" s="270"/>
      <c r="H11129" s="106" t="str">
        <f t="shared" si="1"/>
        <v/>
      </c>
      <c r="J11129" t="str">
        <f>IFERROR(__xludf.DUMMYFUNCTION("IFS(
  AND(REGEXMATCH(E11129, ""台銀籌備帳戶|玉山帳戶""), REGEXMATCH(C11129, ""薪資"")), ""分潤支出"",
  AND(REGEXMATCH(E11129, ""Ben帳戶|Elsa帳戶|Ben代墊|Ariel代墊|中信銀行共用""), REGEXMATCH(F11129, ""Ben帳戶|Elsa帳戶|Ben代墊|Ariel代墊|中信銀行共用"")), ""內部轉帳(忽略)"",
  AND(E11129&lt;&gt;"""", F11129&lt;&gt;"&amp;""""", NOT(REGEXMATCH(C11129, ""薪資""))), ""內部轉帳(忽略)"",
  REGEXMATCH(C11129, ""薪資""), ""薪資變動(不計入)"",
  REGEXMATCH(C11129, ""押金""), ""押金往來"",
  AND(E11129&lt;&gt;"""", F11129=""""), ""真實支出"",
  AND(E11129="""", F11129&lt;&gt;""""), ""真實收入"",
  TRUE, ""其他""
)"),"其他")</f>
        <v>其他</v>
      </c>
      <c r="K11129" s="270" t="str">
        <f t="shared" si="2"/>
        <v/>
      </c>
      <c r="L11129">
        <f t="shared" si="3"/>
        <v>0</v>
      </c>
    </row>
    <row r="11130">
      <c r="A11130" s="107"/>
      <c r="D11130" s="270"/>
      <c r="H11130" s="106" t="str">
        <f t="shared" si="1"/>
        <v/>
      </c>
      <c r="J11130" t="str">
        <f>IFERROR(__xludf.DUMMYFUNCTION("IFS(
  AND(REGEXMATCH(E11130, ""台銀籌備帳戶|玉山帳戶""), REGEXMATCH(C11130, ""薪資"")), ""分潤支出"",
  AND(REGEXMATCH(E11130, ""Ben帳戶|Elsa帳戶|Ben代墊|Ariel代墊|中信銀行共用""), REGEXMATCH(F11130, ""Ben帳戶|Elsa帳戶|Ben代墊|Ariel代墊|中信銀行共用"")), ""內部轉帳(忽略)"",
  AND(E11130&lt;&gt;"""", F11130&lt;&gt;"&amp;""""", NOT(REGEXMATCH(C11130, ""薪資""))), ""內部轉帳(忽略)"",
  REGEXMATCH(C11130, ""薪資""), ""薪資變動(不計入)"",
  REGEXMATCH(C11130, ""押金""), ""押金往來"",
  AND(E11130&lt;&gt;"""", F11130=""""), ""真實支出"",
  AND(E11130="""", F11130&lt;&gt;""""), ""真實收入"",
  TRUE, ""其他""
)"),"其他")</f>
        <v>其他</v>
      </c>
      <c r="K11130" s="270" t="str">
        <f t="shared" si="2"/>
        <v/>
      </c>
      <c r="L11130">
        <f t="shared" si="3"/>
        <v>0</v>
      </c>
    </row>
    <row r="11131">
      <c r="A11131" s="107"/>
      <c r="D11131" s="270"/>
      <c r="H11131" s="106" t="str">
        <f t="shared" si="1"/>
        <v/>
      </c>
      <c r="J11131" t="str">
        <f>IFERROR(__xludf.DUMMYFUNCTION("IFS(
  AND(REGEXMATCH(E11131, ""台銀籌備帳戶|玉山帳戶""), REGEXMATCH(C11131, ""薪資"")), ""分潤支出"",
  AND(REGEXMATCH(E11131, ""Ben帳戶|Elsa帳戶|Ben代墊|Ariel代墊|中信銀行共用""), REGEXMATCH(F11131, ""Ben帳戶|Elsa帳戶|Ben代墊|Ariel代墊|中信銀行共用"")), ""內部轉帳(忽略)"",
  AND(E11131&lt;&gt;"""", F11131&lt;&gt;"&amp;""""", NOT(REGEXMATCH(C11131, ""薪資""))), ""內部轉帳(忽略)"",
  REGEXMATCH(C11131, ""薪資""), ""薪資變動(不計入)"",
  REGEXMATCH(C11131, ""押金""), ""押金往來"",
  AND(E11131&lt;&gt;"""", F11131=""""), ""真實支出"",
  AND(E11131="""", F11131&lt;&gt;""""), ""真實收入"",
  TRUE, ""其他""
)"),"其他")</f>
        <v>其他</v>
      </c>
      <c r="K11131" s="270" t="str">
        <f t="shared" si="2"/>
        <v/>
      </c>
      <c r="L11131">
        <f t="shared" si="3"/>
        <v>0</v>
      </c>
    </row>
    <row r="11132">
      <c r="A11132" s="107"/>
      <c r="D11132" s="270"/>
      <c r="H11132" s="106" t="str">
        <f t="shared" si="1"/>
        <v/>
      </c>
      <c r="J11132" t="str">
        <f>IFERROR(__xludf.DUMMYFUNCTION("IFS(
  AND(REGEXMATCH(E11132, ""台銀籌備帳戶|玉山帳戶""), REGEXMATCH(C11132, ""薪資"")), ""分潤支出"",
  AND(REGEXMATCH(E11132, ""Ben帳戶|Elsa帳戶|Ben代墊|Ariel代墊|中信銀行共用""), REGEXMATCH(F11132, ""Ben帳戶|Elsa帳戶|Ben代墊|Ariel代墊|中信銀行共用"")), ""內部轉帳(忽略)"",
  AND(E11132&lt;&gt;"""", F11132&lt;&gt;"&amp;""""", NOT(REGEXMATCH(C11132, ""薪資""))), ""內部轉帳(忽略)"",
  REGEXMATCH(C11132, ""薪資""), ""薪資變動(不計入)"",
  REGEXMATCH(C11132, ""押金""), ""押金往來"",
  AND(E11132&lt;&gt;"""", F11132=""""), ""真實支出"",
  AND(E11132="""", F11132&lt;&gt;""""), ""真實收入"",
  TRUE, ""其他""
)"),"其他")</f>
        <v>其他</v>
      </c>
      <c r="K11132" s="270" t="str">
        <f t="shared" si="2"/>
        <v/>
      </c>
      <c r="L11132">
        <f t="shared" si="3"/>
        <v>0</v>
      </c>
    </row>
    <row r="11133">
      <c r="A11133" s="107"/>
      <c r="D11133" s="270"/>
      <c r="H11133" s="106" t="str">
        <f t="shared" si="1"/>
        <v/>
      </c>
      <c r="J11133" t="str">
        <f>IFERROR(__xludf.DUMMYFUNCTION("IFS(
  AND(REGEXMATCH(E11133, ""台銀籌備帳戶|玉山帳戶""), REGEXMATCH(C11133, ""薪資"")), ""分潤支出"",
  AND(REGEXMATCH(E11133, ""Ben帳戶|Elsa帳戶|Ben代墊|Ariel代墊|中信銀行共用""), REGEXMATCH(F11133, ""Ben帳戶|Elsa帳戶|Ben代墊|Ariel代墊|中信銀行共用"")), ""內部轉帳(忽略)"",
  AND(E11133&lt;&gt;"""", F11133&lt;&gt;"&amp;""""", NOT(REGEXMATCH(C11133, ""薪資""))), ""內部轉帳(忽略)"",
  REGEXMATCH(C11133, ""薪資""), ""薪資變動(不計入)"",
  REGEXMATCH(C11133, ""押金""), ""押金往來"",
  AND(E11133&lt;&gt;"""", F11133=""""), ""真實支出"",
  AND(E11133="""", F11133&lt;&gt;""""), ""真實收入"",
  TRUE, ""其他""
)"),"其他")</f>
        <v>其他</v>
      </c>
      <c r="K11133" s="270" t="str">
        <f t="shared" si="2"/>
        <v/>
      </c>
      <c r="L11133">
        <f t="shared" si="3"/>
        <v>0</v>
      </c>
    </row>
    <row r="11134">
      <c r="A11134" s="107"/>
      <c r="D11134" s="270"/>
      <c r="H11134" s="106" t="str">
        <f t="shared" si="1"/>
        <v/>
      </c>
      <c r="J11134" t="str">
        <f>IFERROR(__xludf.DUMMYFUNCTION("IFS(
  AND(REGEXMATCH(E11134, ""台銀籌備帳戶|玉山帳戶""), REGEXMATCH(C11134, ""薪資"")), ""分潤支出"",
  AND(REGEXMATCH(E11134, ""Ben帳戶|Elsa帳戶|Ben代墊|Ariel代墊|中信銀行共用""), REGEXMATCH(F11134, ""Ben帳戶|Elsa帳戶|Ben代墊|Ariel代墊|中信銀行共用"")), ""內部轉帳(忽略)"",
  AND(E11134&lt;&gt;"""", F11134&lt;&gt;"&amp;""""", NOT(REGEXMATCH(C11134, ""薪資""))), ""內部轉帳(忽略)"",
  REGEXMATCH(C11134, ""薪資""), ""薪資變動(不計入)"",
  REGEXMATCH(C11134, ""押金""), ""押金往來"",
  AND(E11134&lt;&gt;"""", F11134=""""), ""真實支出"",
  AND(E11134="""", F11134&lt;&gt;""""), ""真實收入"",
  TRUE, ""其他""
)"),"其他")</f>
        <v>其他</v>
      </c>
      <c r="K11134" s="270" t="str">
        <f t="shared" si="2"/>
        <v/>
      </c>
      <c r="L11134">
        <f t="shared" si="3"/>
        <v>0</v>
      </c>
    </row>
    <row r="11135">
      <c r="A11135" s="107"/>
      <c r="D11135" s="270"/>
      <c r="H11135" s="106" t="str">
        <f t="shared" si="1"/>
        <v/>
      </c>
      <c r="J11135" t="str">
        <f>IFERROR(__xludf.DUMMYFUNCTION("IFS(
  AND(REGEXMATCH(E11135, ""台銀籌備帳戶|玉山帳戶""), REGEXMATCH(C11135, ""薪資"")), ""分潤支出"",
  AND(REGEXMATCH(E11135, ""Ben帳戶|Elsa帳戶|Ben代墊|Ariel代墊|中信銀行共用""), REGEXMATCH(F11135, ""Ben帳戶|Elsa帳戶|Ben代墊|Ariel代墊|中信銀行共用"")), ""內部轉帳(忽略)"",
  AND(E11135&lt;&gt;"""", F11135&lt;&gt;"&amp;""""", NOT(REGEXMATCH(C11135, ""薪資""))), ""內部轉帳(忽略)"",
  REGEXMATCH(C11135, ""薪資""), ""薪資變動(不計入)"",
  REGEXMATCH(C11135, ""押金""), ""押金往來"",
  AND(E11135&lt;&gt;"""", F11135=""""), ""真實支出"",
  AND(E11135="""", F11135&lt;&gt;""""), ""真實收入"",
  TRUE, ""其他""
)"),"其他")</f>
        <v>其他</v>
      </c>
      <c r="K11135" s="270" t="str">
        <f t="shared" si="2"/>
        <v/>
      </c>
      <c r="L11135">
        <f t="shared" si="3"/>
        <v>0</v>
      </c>
    </row>
    <row r="11136">
      <c r="A11136" s="107"/>
      <c r="D11136" s="270"/>
      <c r="H11136" s="106" t="str">
        <f t="shared" si="1"/>
        <v/>
      </c>
      <c r="J11136" t="str">
        <f>IFERROR(__xludf.DUMMYFUNCTION("IFS(
  AND(REGEXMATCH(E11136, ""台銀籌備帳戶|玉山帳戶""), REGEXMATCH(C11136, ""薪資"")), ""分潤支出"",
  AND(REGEXMATCH(E11136, ""Ben帳戶|Elsa帳戶|Ben代墊|Ariel代墊|中信銀行共用""), REGEXMATCH(F11136, ""Ben帳戶|Elsa帳戶|Ben代墊|Ariel代墊|中信銀行共用"")), ""內部轉帳(忽略)"",
  AND(E11136&lt;&gt;"""", F11136&lt;&gt;"&amp;""""", NOT(REGEXMATCH(C11136, ""薪資""))), ""內部轉帳(忽略)"",
  REGEXMATCH(C11136, ""薪資""), ""薪資變動(不計入)"",
  REGEXMATCH(C11136, ""押金""), ""押金往來"",
  AND(E11136&lt;&gt;"""", F11136=""""), ""真實支出"",
  AND(E11136="""", F11136&lt;&gt;""""), ""真實收入"",
  TRUE, ""其他""
)"),"其他")</f>
        <v>其他</v>
      </c>
      <c r="K11136" s="270" t="str">
        <f t="shared" si="2"/>
        <v/>
      </c>
      <c r="L11136">
        <f t="shared" si="3"/>
        <v>0</v>
      </c>
    </row>
    <row r="11137">
      <c r="A11137" s="107"/>
      <c r="D11137" s="270"/>
      <c r="H11137" s="106" t="str">
        <f t="shared" si="1"/>
        <v/>
      </c>
      <c r="J11137" t="str">
        <f>IFERROR(__xludf.DUMMYFUNCTION("IFS(
  AND(REGEXMATCH(E11137, ""台銀籌備帳戶|玉山帳戶""), REGEXMATCH(C11137, ""薪資"")), ""分潤支出"",
  AND(REGEXMATCH(E11137, ""Ben帳戶|Elsa帳戶|Ben代墊|Ariel代墊|中信銀行共用""), REGEXMATCH(F11137, ""Ben帳戶|Elsa帳戶|Ben代墊|Ariel代墊|中信銀行共用"")), ""內部轉帳(忽略)"",
  AND(E11137&lt;&gt;"""", F11137&lt;&gt;"&amp;""""", NOT(REGEXMATCH(C11137, ""薪資""))), ""內部轉帳(忽略)"",
  REGEXMATCH(C11137, ""薪資""), ""薪資變動(不計入)"",
  REGEXMATCH(C11137, ""押金""), ""押金往來"",
  AND(E11137&lt;&gt;"""", F11137=""""), ""真實支出"",
  AND(E11137="""", F11137&lt;&gt;""""), ""真實收入"",
  TRUE, ""其他""
)"),"其他")</f>
        <v>其他</v>
      </c>
      <c r="K11137" s="270" t="str">
        <f t="shared" si="2"/>
        <v/>
      </c>
      <c r="L11137">
        <f t="shared" si="3"/>
        <v>0</v>
      </c>
    </row>
    <row r="11138">
      <c r="A11138" s="107"/>
      <c r="D11138" s="270"/>
      <c r="H11138" s="106" t="str">
        <f t="shared" si="1"/>
        <v/>
      </c>
      <c r="J11138" t="str">
        <f>IFERROR(__xludf.DUMMYFUNCTION("IFS(
  AND(REGEXMATCH(E11138, ""台銀籌備帳戶|玉山帳戶""), REGEXMATCH(C11138, ""薪資"")), ""分潤支出"",
  AND(REGEXMATCH(E11138, ""Ben帳戶|Elsa帳戶|Ben代墊|Ariel代墊|中信銀行共用""), REGEXMATCH(F11138, ""Ben帳戶|Elsa帳戶|Ben代墊|Ariel代墊|中信銀行共用"")), ""內部轉帳(忽略)"",
  AND(E11138&lt;&gt;"""", F11138&lt;&gt;"&amp;""""", NOT(REGEXMATCH(C11138, ""薪資""))), ""內部轉帳(忽略)"",
  REGEXMATCH(C11138, ""薪資""), ""薪資變動(不計入)"",
  REGEXMATCH(C11138, ""押金""), ""押金往來"",
  AND(E11138&lt;&gt;"""", F11138=""""), ""真實支出"",
  AND(E11138="""", F11138&lt;&gt;""""), ""真實收入"",
  TRUE, ""其他""
)"),"其他")</f>
        <v>其他</v>
      </c>
      <c r="K11138" s="270" t="str">
        <f t="shared" si="2"/>
        <v/>
      </c>
      <c r="L11138">
        <f t="shared" si="3"/>
        <v>0</v>
      </c>
    </row>
    <row r="11139">
      <c r="A11139" s="107"/>
      <c r="D11139" s="270"/>
      <c r="H11139" s="106" t="str">
        <f t="shared" si="1"/>
        <v/>
      </c>
      <c r="J11139" t="str">
        <f>IFERROR(__xludf.DUMMYFUNCTION("IFS(
  AND(REGEXMATCH(E11139, ""台銀籌備帳戶|玉山帳戶""), REGEXMATCH(C11139, ""薪資"")), ""分潤支出"",
  AND(REGEXMATCH(E11139, ""Ben帳戶|Elsa帳戶|Ben代墊|Ariel代墊|中信銀行共用""), REGEXMATCH(F11139, ""Ben帳戶|Elsa帳戶|Ben代墊|Ariel代墊|中信銀行共用"")), ""內部轉帳(忽略)"",
  AND(E11139&lt;&gt;"""", F11139&lt;&gt;"&amp;""""", NOT(REGEXMATCH(C11139, ""薪資""))), ""內部轉帳(忽略)"",
  REGEXMATCH(C11139, ""薪資""), ""薪資變動(不計入)"",
  REGEXMATCH(C11139, ""押金""), ""押金往來"",
  AND(E11139&lt;&gt;"""", F11139=""""), ""真實支出"",
  AND(E11139="""", F11139&lt;&gt;""""), ""真實收入"",
  TRUE, ""其他""
)"),"其他")</f>
        <v>其他</v>
      </c>
      <c r="K11139" s="270" t="str">
        <f t="shared" si="2"/>
        <v/>
      </c>
      <c r="L11139">
        <f t="shared" si="3"/>
        <v>0</v>
      </c>
    </row>
    <row r="11140">
      <c r="A11140" s="107"/>
      <c r="D11140" s="270"/>
      <c r="H11140" s="106" t="str">
        <f t="shared" si="1"/>
        <v/>
      </c>
      <c r="J11140" t="str">
        <f>IFERROR(__xludf.DUMMYFUNCTION("IFS(
  AND(REGEXMATCH(E11140, ""台銀籌備帳戶|玉山帳戶""), REGEXMATCH(C11140, ""薪資"")), ""分潤支出"",
  AND(REGEXMATCH(E11140, ""Ben帳戶|Elsa帳戶|Ben代墊|Ariel代墊|中信銀行共用""), REGEXMATCH(F11140, ""Ben帳戶|Elsa帳戶|Ben代墊|Ariel代墊|中信銀行共用"")), ""內部轉帳(忽略)"",
  AND(E11140&lt;&gt;"""", F11140&lt;&gt;"&amp;""""", NOT(REGEXMATCH(C11140, ""薪資""))), ""內部轉帳(忽略)"",
  REGEXMATCH(C11140, ""薪資""), ""薪資變動(不計入)"",
  REGEXMATCH(C11140, ""押金""), ""押金往來"",
  AND(E11140&lt;&gt;"""", F11140=""""), ""真實支出"",
  AND(E11140="""", F11140&lt;&gt;""""), ""真實收入"",
  TRUE, ""其他""
)"),"其他")</f>
        <v>其他</v>
      </c>
      <c r="K11140" s="270" t="str">
        <f t="shared" si="2"/>
        <v/>
      </c>
      <c r="L11140">
        <f t="shared" si="3"/>
        <v>0</v>
      </c>
    </row>
    <row r="11141">
      <c r="A11141" s="107"/>
      <c r="D11141" s="270"/>
      <c r="H11141" s="106" t="str">
        <f t="shared" si="1"/>
        <v/>
      </c>
      <c r="J11141" t="str">
        <f>IFERROR(__xludf.DUMMYFUNCTION("IFS(
  AND(REGEXMATCH(E11141, ""台銀籌備帳戶|玉山帳戶""), REGEXMATCH(C11141, ""薪資"")), ""分潤支出"",
  AND(REGEXMATCH(E11141, ""Ben帳戶|Elsa帳戶|Ben代墊|Ariel代墊|中信銀行共用""), REGEXMATCH(F11141, ""Ben帳戶|Elsa帳戶|Ben代墊|Ariel代墊|中信銀行共用"")), ""內部轉帳(忽略)"",
  AND(E11141&lt;&gt;"""", F11141&lt;&gt;"&amp;""""", NOT(REGEXMATCH(C11141, ""薪資""))), ""內部轉帳(忽略)"",
  REGEXMATCH(C11141, ""薪資""), ""薪資變動(不計入)"",
  REGEXMATCH(C11141, ""押金""), ""押金往來"",
  AND(E11141&lt;&gt;"""", F11141=""""), ""真實支出"",
  AND(E11141="""", F11141&lt;&gt;""""), ""真實收入"",
  TRUE, ""其他""
)"),"其他")</f>
        <v>其他</v>
      </c>
      <c r="K11141" s="270" t="str">
        <f t="shared" si="2"/>
        <v/>
      </c>
      <c r="L11141">
        <f t="shared" si="3"/>
        <v>0</v>
      </c>
    </row>
    <row r="11142">
      <c r="A11142" s="107"/>
      <c r="D11142" s="270"/>
      <c r="H11142" s="106" t="str">
        <f t="shared" si="1"/>
        <v/>
      </c>
      <c r="J11142" t="str">
        <f>IFERROR(__xludf.DUMMYFUNCTION("IFS(
  AND(REGEXMATCH(E11142, ""台銀籌備帳戶|玉山帳戶""), REGEXMATCH(C11142, ""薪資"")), ""分潤支出"",
  AND(REGEXMATCH(E11142, ""Ben帳戶|Elsa帳戶|Ben代墊|Ariel代墊|中信銀行共用""), REGEXMATCH(F11142, ""Ben帳戶|Elsa帳戶|Ben代墊|Ariel代墊|中信銀行共用"")), ""內部轉帳(忽略)"",
  AND(E11142&lt;&gt;"""", F11142&lt;&gt;"&amp;""""", NOT(REGEXMATCH(C11142, ""薪資""))), ""內部轉帳(忽略)"",
  REGEXMATCH(C11142, ""薪資""), ""薪資變動(不計入)"",
  REGEXMATCH(C11142, ""押金""), ""押金往來"",
  AND(E11142&lt;&gt;"""", F11142=""""), ""真實支出"",
  AND(E11142="""", F11142&lt;&gt;""""), ""真實收入"",
  TRUE, ""其他""
)"),"其他")</f>
        <v>其他</v>
      </c>
      <c r="K11142" s="270" t="str">
        <f t="shared" si="2"/>
        <v/>
      </c>
      <c r="L11142">
        <f t="shared" si="3"/>
        <v>0</v>
      </c>
    </row>
    <row r="11143">
      <c r="A11143" s="107"/>
      <c r="D11143" s="270"/>
      <c r="H11143" s="106" t="str">
        <f t="shared" si="1"/>
        <v/>
      </c>
      <c r="J11143" t="str">
        <f>IFERROR(__xludf.DUMMYFUNCTION("IFS(
  AND(REGEXMATCH(E11143, ""台銀籌備帳戶|玉山帳戶""), REGEXMATCH(C11143, ""薪資"")), ""分潤支出"",
  AND(REGEXMATCH(E11143, ""Ben帳戶|Elsa帳戶|Ben代墊|Ariel代墊|中信銀行共用""), REGEXMATCH(F11143, ""Ben帳戶|Elsa帳戶|Ben代墊|Ariel代墊|中信銀行共用"")), ""內部轉帳(忽略)"",
  AND(E11143&lt;&gt;"""", F11143&lt;&gt;"&amp;""""", NOT(REGEXMATCH(C11143, ""薪資""))), ""內部轉帳(忽略)"",
  REGEXMATCH(C11143, ""薪資""), ""薪資變動(不計入)"",
  REGEXMATCH(C11143, ""押金""), ""押金往來"",
  AND(E11143&lt;&gt;"""", F11143=""""), ""真實支出"",
  AND(E11143="""", F11143&lt;&gt;""""), ""真實收入"",
  TRUE, ""其他""
)"),"其他")</f>
        <v>其他</v>
      </c>
      <c r="K11143" s="270" t="str">
        <f t="shared" si="2"/>
        <v/>
      </c>
      <c r="L11143">
        <f t="shared" si="3"/>
        <v>0</v>
      </c>
    </row>
    <row r="11144">
      <c r="A11144" s="107"/>
      <c r="D11144" s="270"/>
      <c r="H11144" s="106" t="str">
        <f t="shared" si="1"/>
        <v/>
      </c>
      <c r="J11144" t="str">
        <f>IFERROR(__xludf.DUMMYFUNCTION("IFS(
  AND(REGEXMATCH(E11144, ""台銀籌備帳戶|玉山帳戶""), REGEXMATCH(C11144, ""薪資"")), ""分潤支出"",
  AND(REGEXMATCH(E11144, ""Ben帳戶|Elsa帳戶|Ben代墊|Ariel代墊|中信銀行共用""), REGEXMATCH(F11144, ""Ben帳戶|Elsa帳戶|Ben代墊|Ariel代墊|中信銀行共用"")), ""內部轉帳(忽略)"",
  AND(E11144&lt;&gt;"""", F11144&lt;&gt;"&amp;""""", NOT(REGEXMATCH(C11144, ""薪資""))), ""內部轉帳(忽略)"",
  REGEXMATCH(C11144, ""薪資""), ""薪資變動(不計入)"",
  REGEXMATCH(C11144, ""押金""), ""押金往來"",
  AND(E11144&lt;&gt;"""", F11144=""""), ""真實支出"",
  AND(E11144="""", F11144&lt;&gt;""""), ""真實收入"",
  TRUE, ""其他""
)"),"其他")</f>
        <v>其他</v>
      </c>
      <c r="K11144" s="270" t="str">
        <f t="shared" si="2"/>
        <v/>
      </c>
      <c r="L11144">
        <f t="shared" si="3"/>
        <v>0</v>
      </c>
    </row>
    <row r="11145">
      <c r="A11145" s="107"/>
      <c r="D11145" s="270"/>
      <c r="H11145" s="106" t="str">
        <f t="shared" si="1"/>
        <v/>
      </c>
      <c r="J11145" t="str">
        <f>IFERROR(__xludf.DUMMYFUNCTION("IFS(
  AND(REGEXMATCH(E11145, ""台銀籌備帳戶|玉山帳戶""), REGEXMATCH(C11145, ""薪資"")), ""分潤支出"",
  AND(REGEXMATCH(E11145, ""Ben帳戶|Elsa帳戶|Ben代墊|Ariel代墊|中信銀行共用""), REGEXMATCH(F11145, ""Ben帳戶|Elsa帳戶|Ben代墊|Ariel代墊|中信銀行共用"")), ""內部轉帳(忽略)"",
  AND(E11145&lt;&gt;"""", F11145&lt;&gt;"&amp;""""", NOT(REGEXMATCH(C11145, ""薪資""))), ""內部轉帳(忽略)"",
  REGEXMATCH(C11145, ""薪資""), ""薪資變動(不計入)"",
  REGEXMATCH(C11145, ""押金""), ""押金往來"",
  AND(E11145&lt;&gt;"""", F11145=""""), ""真實支出"",
  AND(E11145="""", F11145&lt;&gt;""""), ""真實收入"",
  TRUE, ""其他""
)"),"其他")</f>
        <v>其他</v>
      </c>
      <c r="K11145" s="270" t="str">
        <f t="shared" si="2"/>
        <v/>
      </c>
      <c r="L11145">
        <f t="shared" si="3"/>
        <v>0</v>
      </c>
    </row>
    <row r="11146">
      <c r="A11146" s="107"/>
      <c r="D11146" s="270"/>
      <c r="H11146" s="106" t="str">
        <f t="shared" si="1"/>
        <v/>
      </c>
      <c r="J11146" t="str">
        <f>IFERROR(__xludf.DUMMYFUNCTION("IFS(
  AND(REGEXMATCH(E11146, ""台銀籌備帳戶|玉山帳戶""), REGEXMATCH(C11146, ""薪資"")), ""分潤支出"",
  AND(REGEXMATCH(E11146, ""Ben帳戶|Elsa帳戶|Ben代墊|Ariel代墊|中信銀行共用""), REGEXMATCH(F11146, ""Ben帳戶|Elsa帳戶|Ben代墊|Ariel代墊|中信銀行共用"")), ""內部轉帳(忽略)"",
  AND(E11146&lt;&gt;"""", F11146&lt;&gt;"&amp;""""", NOT(REGEXMATCH(C11146, ""薪資""))), ""內部轉帳(忽略)"",
  REGEXMATCH(C11146, ""薪資""), ""薪資變動(不計入)"",
  REGEXMATCH(C11146, ""押金""), ""押金往來"",
  AND(E11146&lt;&gt;"""", F11146=""""), ""真實支出"",
  AND(E11146="""", F11146&lt;&gt;""""), ""真實收入"",
  TRUE, ""其他""
)"),"其他")</f>
        <v>其他</v>
      </c>
      <c r="K11146" s="270" t="str">
        <f t="shared" si="2"/>
        <v/>
      </c>
      <c r="L11146">
        <f t="shared" si="3"/>
        <v>0</v>
      </c>
    </row>
    <row r="11147">
      <c r="A11147" s="107"/>
      <c r="D11147" s="270"/>
      <c r="H11147" s="106" t="str">
        <f t="shared" si="1"/>
        <v/>
      </c>
      <c r="J11147" t="str">
        <f>IFERROR(__xludf.DUMMYFUNCTION("IFS(
  AND(REGEXMATCH(E11147, ""台銀籌備帳戶|玉山帳戶""), REGEXMATCH(C11147, ""薪資"")), ""分潤支出"",
  AND(REGEXMATCH(E11147, ""Ben帳戶|Elsa帳戶|Ben代墊|Ariel代墊|中信銀行共用""), REGEXMATCH(F11147, ""Ben帳戶|Elsa帳戶|Ben代墊|Ariel代墊|中信銀行共用"")), ""內部轉帳(忽略)"",
  AND(E11147&lt;&gt;"""", F11147&lt;&gt;"&amp;""""", NOT(REGEXMATCH(C11147, ""薪資""))), ""內部轉帳(忽略)"",
  REGEXMATCH(C11147, ""薪資""), ""薪資變動(不計入)"",
  REGEXMATCH(C11147, ""押金""), ""押金往來"",
  AND(E11147&lt;&gt;"""", F11147=""""), ""真實支出"",
  AND(E11147="""", F11147&lt;&gt;""""), ""真實收入"",
  TRUE, ""其他""
)"),"其他")</f>
        <v>其他</v>
      </c>
      <c r="K11147" s="270" t="str">
        <f t="shared" si="2"/>
        <v/>
      </c>
      <c r="L11147">
        <f t="shared" si="3"/>
        <v>0</v>
      </c>
    </row>
    <row r="11148">
      <c r="A11148" s="107"/>
      <c r="D11148" s="270"/>
      <c r="H11148" s="106" t="str">
        <f t="shared" si="1"/>
        <v/>
      </c>
      <c r="J11148" t="str">
        <f>IFERROR(__xludf.DUMMYFUNCTION("IFS(
  AND(REGEXMATCH(E11148, ""台銀籌備帳戶|玉山帳戶""), REGEXMATCH(C11148, ""薪資"")), ""分潤支出"",
  AND(REGEXMATCH(E11148, ""Ben帳戶|Elsa帳戶|Ben代墊|Ariel代墊|中信銀行共用""), REGEXMATCH(F11148, ""Ben帳戶|Elsa帳戶|Ben代墊|Ariel代墊|中信銀行共用"")), ""內部轉帳(忽略)"",
  AND(E11148&lt;&gt;"""", F11148&lt;&gt;"&amp;""""", NOT(REGEXMATCH(C11148, ""薪資""))), ""內部轉帳(忽略)"",
  REGEXMATCH(C11148, ""薪資""), ""薪資變動(不計入)"",
  REGEXMATCH(C11148, ""押金""), ""押金往來"",
  AND(E11148&lt;&gt;"""", F11148=""""), ""真實支出"",
  AND(E11148="""", F11148&lt;&gt;""""), ""真實收入"",
  TRUE, ""其他""
)"),"其他")</f>
        <v>其他</v>
      </c>
      <c r="K11148" s="270" t="str">
        <f t="shared" si="2"/>
        <v/>
      </c>
      <c r="L11148">
        <f t="shared" si="3"/>
        <v>0</v>
      </c>
    </row>
    <row r="11149">
      <c r="A11149" s="107"/>
      <c r="D11149" s="270"/>
      <c r="H11149" s="106" t="str">
        <f t="shared" si="1"/>
        <v/>
      </c>
      <c r="J11149" t="str">
        <f>IFERROR(__xludf.DUMMYFUNCTION("IFS(
  AND(REGEXMATCH(E11149, ""台銀籌備帳戶|玉山帳戶""), REGEXMATCH(C11149, ""薪資"")), ""分潤支出"",
  AND(REGEXMATCH(E11149, ""Ben帳戶|Elsa帳戶|Ben代墊|Ariel代墊|中信銀行共用""), REGEXMATCH(F11149, ""Ben帳戶|Elsa帳戶|Ben代墊|Ariel代墊|中信銀行共用"")), ""內部轉帳(忽略)"",
  AND(E11149&lt;&gt;"""", F11149&lt;&gt;"&amp;""""", NOT(REGEXMATCH(C11149, ""薪資""))), ""內部轉帳(忽略)"",
  REGEXMATCH(C11149, ""薪資""), ""薪資變動(不計入)"",
  REGEXMATCH(C11149, ""押金""), ""押金往來"",
  AND(E11149&lt;&gt;"""", F11149=""""), ""真實支出"",
  AND(E11149="""", F11149&lt;&gt;""""), ""真實收入"",
  TRUE, ""其他""
)"),"其他")</f>
        <v>其他</v>
      </c>
      <c r="K11149" s="270" t="str">
        <f t="shared" si="2"/>
        <v/>
      </c>
      <c r="L11149">
        <f t="shared" si="3"/>
        <v>0</v>
      </c>
    </row>
    <row r="11150">
      <c r="A11150" s="107"/>
      <c r="D11150" s="270"/>
      <c r="H11150" s="106" t="str">
        <f t="shared" si="1"/>
        <v/>
      </c>
      <c r="J11150" t="str">
        <f>IFERROR(__xludf.DUMMYFUNCTION("IFS(
  AND(REGEXMATCH(E11150, ""台銀籌備帳戶|玉山帳戶""), REGEXMATCH(C11150, ""薪資"")), ""分潤支出"",
  AND(REGEXMATCH(E11150, ""Ben帳戶|Elsa帳戶|Ben代墊|Ariel代墊|中信銀行共用""), REGEXMATCH(F11150, ""Ben帳戶|Elsa帳戶|Ben代墊|Ariel代墊|中信銀行共用"")), ""內部轉帳(忽略)"",
  AND(E11150&lt;&gt;"""", F11150&lt;&gt;"&amp;""""", NOT(REGEXMATCH(C11150, ""薪資""))), ""內部轉帳(忽略)"",
  REGEXMATCH(C11150, ""薪資""), ""薪資變動(不計入)"",
  REGEXMATCH(C11150, ""押金""), ""押金往來"",
  AND(E11150&lt;&gt;"""", F11150=""""), ""真實支出"",
  AND(E11150="""", F11150&lt;&gt;""""), ""真實收入"",
  TRUE, ""其他""
)"),"其他")</f>
        <v>其他</v>
      </c>
      <c r="K11150" s="270" t="str">
        <f t="shared" si="2"/>
        <v/>
      </c>
      <c r="L11150">
        <f t="shared" si="3"/>
        <v>0</v>
      </c>
    </row>
    <row r="11151">
      <c r="A11151" s="107"/>
      <c r="D11151" s="270"/>
      <c r="H11151" s="106" t="str">
        <f t="shared" si="1"/>
        <v/>
      </c>
      <c r="J11151" t="str">
        <f>IFERROR(__xludf.DUMMYFUNCTION("IFS(
  AND(REGEXMATCH(E11151, ""台銀籌備帳戶|玉山帳戶""), REGEXMATCH(C11151, ""薪資"")), ""分潤支出"",
  AND(REGEXMATCH(E11151, ""Ben帳戶|Elsa帳戶|Ben代墊|Ariel代墊|中信銀行共用""), REGEXMATCH(F11151, ""Ben帳戶|Elsa帳戶|Ben代墊|Ariel代墊|中信銀行共用"")), ""內部轉帳(忽略)"",
  AND(E11151&lt;&gt;"""", F11151&lt;&gt;"&amp;""""", NOT(REGEXMATCH(C11151, ""薪資""))), ""內部轉帳(忽略)"",
  REGEXMATCH(C11151, ""薪資""), ""薪資變動(不計入)"",
  REGEXMATCH(C11151, ""押金""), ""押金往來"",
  AND(E11151&lt;&gt;"""", F11151=""""), ""真實支出"",
  AND(E11151="""", F11151&lt;&gt;""""), ""真實收入"",
  TRUE, ""其他""
)"),"其他")</f>
        <v>其他</v>
      </c>
      <c r="K11151" s="270" t="str">
        <f t="shared" si="2"/>
        <v/>
      </c>
      <c r="L11151">
        <f t="shared" si="3"/>
        <v>0</v>
      </c>
    </row>
    <row r="11152">
      <c r="A11152" s="107"/>
      <c r="D11152" s="270"/>
      <c r="H11152" s="106" t="str">
        <f t="shared" si="1"/>
        <v/>
      </c>
      <c r="J11152" t="str">
        <f>IFERROR(__xludf.DUMMYFUNCTION("IFS(
  AND(REGEXMATCH(E11152, ""台銀籌備帳戶|玉山帳戶""), REGEXMATCH(C11152, ""薪資"")), ""分潤支出"",
  AND(REGEXMATCH(E11152, ""Ben帳戶|Elsa帳戶|Ben代墊|Ariel代墊|中信銀行共用""), REGEXMATCH(F11152, ""Ben帳戶|Elsa帳戶|Ben代墊|Ariel代墊|中信銀行共用"")), ""內部轉帳(忽略)"",
  AND(E11152&lt;&gt;"""", F11152&lt;&gt;"&amp;""""", NOT(REGEXMATCH(C11152, ""薪資""))), ""內部轉帳(忽略)"",
  REGEXMATCH(C11152, ""薪資""), ""薪資變動(不計入)"",
  REGEXMATCH(C11152, ""押金""), ""押金往來"",
  AND(E11152&lt;&gt;"""", F11152=""""), ""真實支出"",
  AND(E11152="""", F11152&lt;&gt;""""), ""真實收入"",
  TRUE, ""其他""
)"),"其他")</f>
        <v>其他</v>
      </c>
      <c r="K11152" s="270" t="str">
        <f t="shared" si="2"/>
        <v/>
      </c>
      <c r="L11152">
        <f t="shared" si="3"/>
        <v>0</v>
      </c>
    </row>
    <row r="11153">
      <c r="A11153" s="107"/>
      <c r="D11153" s="270"/>
      <c r="H11153" s="106" t="str">
        <f t="shared" si="1"/>
        <v/>
      </c>
      <c r="J11153" t="str">
        <f>IFERROR(__xludf.DUMMYFUNCTION("IFS(
  AND(REGEXMATCH(E11153, ""台銀籌備帳戶|玉山帳戶""), REGEXMATCH(C11153, ""薪資"")), ""分潤支出"",
  AND(REGEXMATCH(E11153, ""Ben帳戶|Elsa帳戶|Ben代墊|Ariel代墊|中信銀行共用""), REGEXMATCH(F11153, ""Ben帳戶|Elsa帳戶|Ben代墊|Ariel代墊|中信銀行共用"")), ""內部轉帳(忽略)"",
  AND(E11153&lt;&gt;"""", F11153&lt;&gt;"&amp;""""", NOT(REGEXMATCH(C11153, ""薪資""))), ""內部轉帳(忽略)"",
  REGEXMATCH(C11153, ""薪資""), ""薪資變動(不計入)"",
  REGEXMATCH(C11153, ""押金""), ""押金往來"",
  AND(E11153&lt;&gt;"""", F11153=""""), ""真實支出"",
  AND(E11153="""", F11153&lt;&gt;""""), ""真實收入"",
  TRUE, ""其他""
)"),"其他")</f>
        <v>其他</v>
      </c>
      <c r="K11153" s="270" t="str">
        <f t="shared" si="2"/>
        <v/>
      </c>
      <c r="L11153">
        <f t="shared" si="3"/>
        <v>0</v>
      </c>
    </row>
    <row r="11154">
      <c r="A11154" s="107"/>
      <c r="D11154" s="270"/>
      <c r="H11154" s="106" t="str">
        <f t="shared" si="1"/>
        <v/>
      </c>
      <c r="J11154" t="str">
        <f>IFERROR(__xludf.DUMMYFUNCTION("IFS(
  AND(REGEXMATCH(E11154, ""台銀籌備帳戶|玉山帳戶""), REGEXMATCH(C11154, ""薪資"")), ""分潤支出"",
  AND(REGEXMATCH(E11154, ""Ben帳戶|Elsa帳戶|Ben代墊|Ariel代墊|中信銀行共用""), REGEXMATCH(F11154, ""Ben帳戶|Elsa帳戶|Ben代墊|Ariel代墊|中信銀行共用"")), ""內部轉帳(忽略)"",
  AND(E11154&lt;&gt;"""", F11154&lt;&gt;"&amp;""""", NOT(REGEXMATCH(C11154, ""薪資""))), ""內部轉帳(忽略)"",
  REGEXMATCH(C11154, ""薪資""), ""薪資變動(不計入)"",
  REGEXMATCH(C11154, ""押金""), ""押金往來"",
  AND(E11154&lt;&gt;"""", F11154=""""), ""真實支出"",
  AND(E11154="""", F11154&lt;&gt;""""), ""真實收入"",
  TRUE, ""其他""
)"),"其他")</f>
        <v>其他</v>
      </c>
      <c r="K11154" s="270" t="str">
        <f t="shared" si="2"/>
        <v/>
      </c>
      <c r="L11154">
        <f t="shared" si="3"/>
        <v>0</v>
      </c>
    </row>
    <row r="11155">
      <c r="A11155" s="107"/>
      <c r="D11155" s="270"/>
      <c r="H11155" s="106" t="str">
        <f t="shared" si="1"/>
        <v/>
      </c>
      <c r="J11155" t="str">
        <f>IFERROR(__xludf.DUMMYFUNCTION("IFS(
  AND(REGEXMATCH(E11155, ""台銀籌備帳戶|玉山帳戶""), REGEXMATCH(C11155, ""薪資"")), ""分潤支出"",
  AND(REGEXMATCH(E11155, ""Ben帳戶|Elsa帳戶|Ben代墊|Ariel代墊|中信銀行共用""), REGEXMATCH(F11155, ""Ben帳戶|Elsa帳戶|Ben代墊|Ariel代墊|中信銀行共用"")), ""內部轉帳(忽略)"",
  AND(E11155&lt;&gt;"""", F11155&lt;&gt;"&amp;""""", NOT(REGEXMATCH(C11155, ""薪資""))), ""內部轉帳(忽略)"",
  REGEXMATCH(C11155, ""薪資""), ""薪資變動(不計入)"",
  REGEXMATCH(C11155, ""押金""), ""押金往來"",
  AND(E11155&lt;&gt;"""", F11155=""""), ""真實支出"",
  AND(E11155="""", F11155&lt;&gt;""""), ""真實收入"",
  TRUE, ""其他""
)"),"其他")</f>
        <v>其他</v>
      </c>
      <c r="K11155" s="270" t="str">
        <f t="shared" si="2"/>
        <v/>
      </c>
      <c r="L11155">
        <f t="shared" si="3"/>
        <v>0</v>
      </c>
    </row>
    <row r="11156">
      <c r="A11156" s="107"/>
      <c r="D11156" s="270"/>
      <c r="H11156" s="106" t="str">
        <f t="shared" si="1"/>
        <v/>
      </c>
      <c r="J11156" t="str">
        <f>IFERROR(__xludf.DUMMYFUNCTION("IFS(
  AND(REGEXMATCH(E11156, ""台銀籌備帳戶|玉山帳戶""), REGEXMATCH(C11156, ""薪資"")), ""分潤支出"",
  AND(REGEXMATCH(E11156, ""Ben帳戶|Elsa帳戶|Ben代墊|Ariel代墊|中信銀行共用""), REGEXMATCH(F11156, ""Ben帳戶|Elsa帳戶|Ben代墊|Ariel代墊|中信銀行共用"")), ""內部轉帳(忽略)"",
  AND(E11156&lt;&gt;"""", F11156&lt;&gt;"&amp;""""", NOT(REGEXMATCH(C11156, ""薪資""))), ""內部轉帳(忽略)"",
  REGEXMATCH(C11156, ""薪資""), ""薪資變動(不計入)"",
  REGEXMATCH(C11156, ""押金""), ""押金往來"",
  AND(E11156&lt;&gt;"""", F11156=""""), ""真實支出"",
  AND(E11156="""", F11156&lt;&gt;""""), ""真實收入"",
  TRUE, ""其他""
)"),"其他")</f>
        <v>其他</v>
      </c>
      <c r="K11156" s="270" t="str">
        <f t="shared" si="2"/>
        <v/>
      </c>
      <c r="L11156">
        <f t="shared" si="3"/>
        <v>0</v>
      </c>
    </row>
    <row r="11157">
      <c r="A11157" s="107"/>
      <c r="D11157" s="270"/>
      <c r="H11157" s="106" t="str">
        <f t="shared" si="1"/>
        <v/>
      </c>
      <c r="J11157" t="str">
        <f>IFERROR(__xludf.DUMMYFUNCTION("IFS(
  AND(REGEXMATCH(E11157, ""台銀籌備帳戶|玉山帳戶""), REGEXMATCH(C11157, ""薪資"")), ""分潤支出"",
  AND(REGEXMATCH(E11157, ""Ben帳戶|Elsa帳戶|Ben代墊|Ariel代墊|中信銀行共用""), REGEXMATCH(F11157, ""Ben帳戶|Elsa帳戶|Ben代墊|Ariel代墊|中信銀行共用"")), ""內部轉帳(忽略)"",
  AND(E11157&lt;&gt;"""", F11157&lt;&gt;"&amp;""""", NOT(REGEXMATCH(C11157, ""薪資""))), ""內部轉帳(忽略)"",
  REGEXMATCH(C11157, ""薪資""), ""薪資變動(不計入)"",
  REGEXMATCH(C11157, ""押金""), ""押金往來"",
  AND(E11157&lt;&gt;"""", F11157=""""), ""真實支出"",
  AND(E11157="""", F11157&lt;&gt;""""), ""真實收入"",
  TRUE, ""其他""
)"),"其他")</f>
        <v>其他</v>
      </c>
      <c r="K11157" s="270" t="str">
        <f t="shared" si="2"/>
        <v/>
      </c>
      <c r="L11157">
        <f t="shared" si="3"/>
        <v>0</v>
      </c>
    </row>
    <row r="11158">
      <c r="A11158" s="107"/>
      <c r="D11158" s="270"/>
      <c r="H11158" s="106" t="str">
        <f t="shared" si="1"/>
        <v/>
      </c>
      <c r="J11158" t="str">
        <f>IFERROR(__xludf.DUMMYFUNCTION("IFS(
  AND(REGEXMATCH(E11158, ""台銀籌備帳戶|玉山帳戶""), REGEXMATCH(C11158, ""薪資"")), ""分潤支出"",
  AND(REGEXMATCH(E11158, ""Ben帳戶|Elsa帳戶|Ben代墊|Ariel代墊|中信銀行共用""), REGEXMATCH(F11158, ""Ben帳戶|Elsa帳戶|Ben代墊|Ariel代墊|中信銀行共用"")), ""內部轉帳(忽略)"",
  AND(E11158&lt;&gt;"""", F11158&lt;&gt;"&amp;""""", NOT(REGEXMATCH(C11158, ""薪資""))), ""內部轉帳(忽略)"",
  REGEXMATCH(C11158, ""薪資""), ""薪資變動(不計入)"",
  REGEXMATCH(C11158, ""押金""), ""押金往來"",
  AND(E11158&lt;&gt;"""", F11158=""""), ""真實支出"",
  AND(E11158="""", F11158&lt;&gt;""""), ""真實收入"",
  TRUE, ""其他""
)"),"其他")</f>
        <v>其他</v>
      </c>
      <c r="K11158" s="270" t="str">
        <f t="shared" si="2"/>
        <v/>
      </c>
      <c r="L11158">
        <f t="shared" si="3"/>
        <v>0</v>
      </c>
    </row>
    <row r="11159">
      <c r="A11159" s="107"/>
      <c r="D11159" s="270"/>
      <c r="H11159" s="106" t="str">
        <f t="shared" si="1"/>
        <v/>
      </c>
      <c r="J11159" t="str">
        <f>IFERROR(__xludf.DUMMYFUNCTION("IFS(
  AND(REGEXMATCH(E11159, ""台銀籌備帳戶|玉山帳戶""), REGEXMATCH(C11159, ""薪資"")), ""分潤支出"",
  AND(REGEXMATCH(E11159, ""Ben帳戶|Elsa帳戶|Ben代墊|Ariel代墊|中信銀行共用""), REGEXMATCH(F11159, ""Ben帳戶|Elsa帳戶|Ben代墊|Ariel代墊|中信銀行共用"")), ""內部轉帳(忽略)"",
  AND(E11159&lt;&gt;"""", F11159&lt;&gt;"&amp;""""", NOT(REGEXMATCH(C11159, ""薪資""))), ""內部轉帳(忽略)"",
  REGEXMATCH(C11159, ""薪資""), ""薪資變動(不計入)"",
  REGEXMATCH(C11159, ""押金""), ""押金往來"",
  AND(E11159&lt;&gt;"""", F11159=""""), ""真實支出"",
  AND(E11159="""", F11159&lt;&gt;""""), ""真實收入"",
  TRUE, ""其他""
)"),"其他")</f>
        <v>其他</v>
      </c>
      <c r="K11159" s="270" t="str">
        <f t="shared" si="2"/>
        <v/>
      </c>
      <c r="L11159">
        <f t="shared" si="3"/>
        <v>0</v>
      </c>
    </row>
    <row r="11160">
      <c r="A11160" s="107"/>
      <c r="D11160" s="270"/>
      <c r="H11160" s="106" t="str">
        <f t="shared" si="1"/>
        <v/>
      </c>
      <c r="J11160" t="str">
        <f>IFERROR(__xludf.DUMMYFUNCTION("IFS(
  AND(REGEXMATCH(E11160, ""台銀籌備帳戶|玉山帳戶""), REGEXMATCH(C11160, ""薪資"")), ""分潤支出"",
  AND(REGEXMATCH(E11160, ""Ben帳戶|Elsa帳戶|Ben代墊|Ariel代墊|中信銀行共用""), REGEXMATCH(F11160, ""Ben帳戶|Elsa帳戶|Ben代墊|Ariel代墊|中信銀行共用"")), ""內部轉帳(忽略)"",
  AND(E11160&lt;&gt;"""", F11160&lt;&gt;"&amp;""""", NOT(REGEXMATCH(C11160, ""薪資""))), ""內部轉帳(忽略)"",
  REGEXMATCH(C11160, ""薪資""), ""薪資變動(不計入)"",
  REGEXMATCH(C11160, ""押金""), ""押金往來"",
  AND(E11160&lt;&gt;"""", F11160=""""), ""真實支出"",
  AND(E11160="""", F11160&lt;&gt;""""), ""真實收入"",
  TRUE, ""其他""
)"),"其他")</f>
        <v>其他</v>
      </c>
      <c r="K11160" s="270" t="str">
        <f t="shared" si="2"/>
        <v/>
      </c>
      <c r="L11160">
        <f t="shared" si="3"/>
        <v>0</v>
      </c>
    </row>
    <row r="11161">
      <c r="A11161" s="107"/>
      <c r="D11161" s="270"/>
      <c r="H11161" s="106" t="str">
        <f t="shared" si="1"/>
        <v/>
      </c>
      <c r="J11161" t="str">
        <f>IFERROR(__xludf.DUMMYFUNCTION("IFS(
  AND(REGEXMATCH(E11161, ""台銀籌備帳戶|玉山帳戶""), REGEXMATCH(C11161, ""薪資"")), ""分潤支出"",
  AND(REGEXMATCH(E11161, ""Ben帳戶|Elsa帳戶|Ben代墊|Ariel代墊|中信銀行共用""), REGEXMATCH(F11161, ""Ben帳戶|Elsa帳戶|Ben代墊|Ariel代墊|中信銀行共用"")), ""內部轉帳(忽略)"",
  AND(E11161&lt;&gt;"""", F11161&lt;&gt;"&amp;""""", NOT(REGEXMATCH(C11161, ""薪資""))), ""內部轉帳(忽略)"",
  REGEXMATCH(C11161, ""薪資""), ""薪資變動(不計入)"",
  REGEXMATCH(C11161, ""押金""), ""押金往來"",
  AND(E11161&lt;&gt;"""", F11161=""""), ""真實支出"",
  AND(E11161="""", F11161&lt;&gt;""""), ""真實收入"",
  TRUE, ""其他""
)"),"其他")</f>
        <v>其他</v>
      </c>
      <c r="K11161" s="270" t="str">
        <f t="shared" si="2"/>
        <v/>
      </c>
      <c r="L11161">
        <f t="shared" si="3"/>
        <v>0</v>
      </c>
    </row>
    <row r="11162">
      <c r="A11162" s="107"/>
      <c r="D11162" s="270"/>
      <c r="H11162" s="106" t="str">
        <f t="shared" si="1"/>
        <v/>
      </c>
      <c r="J11162" t="str">
        <f>IFERROR(__xludf.DUMMYFUNCTION("IFS(
  AND(REGEXMATCH(E11162, ""台銀籌備帳戶|玉山帳戶""), REGEXMATCH(C11162, ""薪資"")), ""分潤支出"",
  AND(REGEXMATCH(E11162, ""Ben帳戶|Elsa帳戶|Ben代墊|Ariel代墊|中信銀行共用""), REGEXMATCH(F11162, ""Ben帳戶|Elsa帳戶|Ben代墊|Ariel代墊|中信銀行共用"")), ""內部轉帳(忽略)"",
  AND(E11162&lt;&gt;"""", F11162&lt;&gt;"&amp;""""", NOT(REGEXMATCH(C11162, ""薪資""))), ""內部轉帳(忽略)"",
  REGEXMATCH(C11162, ""薪資""), ""薪資變動(不計入)"",
  REGEXMATCH(C11162, ""押金""), ""押金往來"",
  AND(E11162&lt;&gt;"""", F11162=""""), ""真實支出"",
  AND(E11162="""", F11162&lt;&gt;""""), ""真實收入"",
  TRUE, ""其他""
)"),"其他")</f>
        <v>其他</v>
      </c>
      <c r="K11162" s="270" t="str">
        <f t="shared" si="2"/>
        <v/>
      </c>
      <c r="L11162">
        <f t="shared" si="3"/>
        <v>0</v>
      </c>
    </row>
    <row r="11163">
      <c r="A11163" s="107"/>
      <c r="D11163" s="270"/>
      <c r="H11163" s="106" t="str">
        <f t="shared" si="1"/>
        <v/>
      </c>
      <c r="J11163" t="str">
        <f>IFERROR(__xludf.DUMMYFUNCTION("IFS(
  AND(REGEXMATCH(E11163, ""台銀籌備帳戶|玉山帳戶""), REGEXMATCH(C11163, ""薪資"")), ""分潤支出"",
  AND(REGEXMATCH(E11163, ""Ben帳戶|Elsa帳戶|Ben代墊|Ariel代墊|中信銀行共用""), REGEXMATCH(F11163, ""Ben帳戶|Elsa帳戶|Ben代墊|Ariel代墊|中信銀行共用"")), ""內部轉帳(忽略)"",
  AND(E11163&lt;&gt;"""", F11163&lt;&gt;"&amp;""""", NOT(REGEXMATCH(C11163, ""薪資""))), ""內部轉帳(忽略)"",
  REGEXMATCH(C11163, ""薪資""), ""薪資變動(不計入)"",
  REGEXMATCH(C11163, ""押金""), ""押金往來"",
  AND(E11163&lt;&gt;"""", F11163=""""), ""真實支出"",
  AND(E11163="""", F11163&lt;&gt;""""), ""真實收入"",
  TRUE, ""其他""
)"),"其他")</f>
        <v>其他</v>
      </c>
      <c r="K11163" s="270" t="str">
        <f t="shared" si="2"/>
        <v/>
      </c>
      <c r="L11163">
        <f t="shared" si="3"/>
        <v>0</v>
      </c>
    </row>
    <row r="11164">
      <c r="A11164" s="107"/>
      <c r="D11164" s="270"/>
      <c r="H11164" s="106" t="str">
        <f t="shared" si="1"/>
        <v/>
      </c>
      <c r="J11164" t="str">
        <f>IFERROR(__xludf.DUMMYFUNCTION("IFS(
  AND(REGEXMATCH(E11164, ""台銀籌備帳戶|玉山帳戶""), REGEXMATCH(C11164, ""薪資"")), ""分潤支出"",
  AND(REGEXMATCH(E11164, ""Ben帳戶|Elsa帳戶|Ben代墊|Ariel代墊|中信銀行共用""), REGEXMATCH(F11164, ""Ben帳戶|Elsa帳戶|Ben代墊|Ariel代墊|中信銀行共用"")), ""內部轉帳(忽略)"",
  AND(E11164&lt;&gt;"""", F11164&lt;&gt;"&amp;""""", NOT(REGEXMATCH(C11164, ""薪資""))), ""內部轉帳(忽略)"",
  REGEXMATCH(C11164, ""薪資""), ""薪資變動(不計入)"",
  REGEXMATCH(C11164, ""押金""), ""押金往來"",
  AND(E11164&lt;&gt;"""", F11164=""""), ""真實支出"",
  AND(E11164="""", F11164&lt;&gt;""""), ""真實收入"",
  TRUE, ""其他""
)"),"其他")</f>
        <v>其他</v>
      </c>
      <c r="K11164" s="270" t="str">
        <f t="shared" si="2"/>
        <v/>
      </c>
      <c r="L11164">
        <f t="shared" si="3"/>
        <v>0</v>
      </c>
    </row>
    <row r="11165">
      <c r="A11165" s="107"/>
      <c r="D11165" s="270"/>
      <c r="H11165" s="106" t="str">
        <f t="shared" si="1"/>
        <v/>
      </c>
      <c r="J11165" t="str">
        <f>IFERROR(__xludf.DUMMYFUNCTION("IFS(
  AND(REGEXMATCH(E11165, ""台銀籌備帳戶|玉山帳戶""), REGEXMATCH(C11165, ""薪資"")), ""分潤支出"",
  AND(REGEXMATCH(E11165, ""Ben帳戶|Elsa帳戶|Ben代墊|Ariel代墊|中信銀行共用""), REGEXMATCH(F11165, ""Ben帳戶|Elsa帳戶|Ben代墊|Ariel代墊|中信銀行共用"")), ""內部轉帳(忽略)"",
  AND(E11165&lt;&gt;"""", F11165&lt;&gt;"&amp;""""", NOT(REGEXMATCH(C11165, ""薪資""))), ""內部轉帳(忽略)"",
  REGEXMATCH(C11165, ""薪資""), ""薪資變動(不計入)"",
  REGEXMATCH(C11165, ""押金""), ""押金往來"",
  AND(E11165&lt;&gt;"""", F11165=""""), ""真實支出"",
  AND(E11165="""", F11165&lt;&gt;""""), ""真實收入"",
  TRUE, ""其他""
)"),"其他")</f>
        <v>其他</v>
      </c>
      <c r="K11165" s="270" t="str">
        <f t="shared" si="2"/>
        <v/>
      </c>
      <c r="L11165">
        <f t="shared" si="3"/>
        <v>0</v>
      </c>
    </row>
    <row r="11166">
      <c r="A11166" s="107"/>
      <c r="D11166" s="270"/>
      <c r="H11166" s="106" t="str">
        <f t="shared" si="1"/>
        <v/>
      </c>
      <c r="J11166" t="str">
        <f>IFERROR(__xludf.DUMMYFUNCTION("IFS(
  AND(REGEXMATCH(E11166, ""台銀籌備帳戶|玉山帳戶""), REGEXMATCH(C11166, ""薪資"")), ""分潤支出"",
  AND(REGEXMATCH(E11166, ""Ben帳戶|Elsa帳戶|Ben代墊|Ariel代墊|中信銀行共用""), REGEXMATCH(F11166, ""Ben帳戶|Elsa帳戶|Ben代墊|Ariel代墊|中信銀行共用"")), ""內部轉帳(忽略)"",
  AND(E11166&lt;&gt;"""", F11166&lt;&gt;"&amp;""""", NOT(REGEXMATCH(C11166, ""薪資""))), ""內部轉帳(忽略)"",
  REGEXMATCH(C11166, ""薪資""), ""薪資變動(不計入)"",
  REGEXMATCH(C11166, ""押金""), ""押金往來"",
  AND(E11166&lt;&gt;"""", F11166=""""), ""真實支出"",
  AND(E11166="""", F11166&lt;&gt;""""), ""真實收入"",
  TRUE, ""其他""
)"),"其他")</f>
        <v>其他</v>
      </c>
      <c r="K11166" s="270" t="str">
        <f t="shared" si="2"/>
        <v/>
      </c>
      <c r="L11166">
        <f t="shared" si="3"/>
        <v>0</v>
      </c>
    </row>
    <row r="11167">
      <c r="A11167" s="107"/>
      <c r="D11167" s="270"/>
      <c r="H11167" s="106" t="str">
        <f t="shared" si="1"/>
        <v/>
      </c>
      <c r="J11167" t="str">
        <f>IFERROR(__xludf.DUMMYFUNCTION("IFS(
  AND(REGEXMATCH(E11167, ""台銀籌備帳戶|玉山帳戶""), REGEXMATCH(C11167, ""薪資"")), ""分潤支出"",
  AND(REGEXMATCH(E11167, ""Ben帳戶|Elsa帳戶|Ben代墊|Ariel代墊|中信銀行共用""), REGEXMATCH(F11167, ""Ben帳戶|Elsa帳戶|Ben代墊|Ariel代墊|中信銀行共用"")), ""內部轉帳(忽略)"",
  AND(E11167&lt;&gt;"""", F11167&lt;&gt;"&amp;""""", NOT(REGEXMATCH(C11167, ""薪資""))), ""內部轉帳(忽略)"",
  REGEXMATCH(C11167, ""薪資""), ""薪資變動(不計入)"",
  REGEXMATCH(C11167, ""押金""), ""押金往來"",
  AND(E11167&lt;&gt;"""", F11167=""""), ""真實支出"",
  AND(E11167="""", F11167&lt;&gt;""""), ""真實收入"",
  TRUE, ""其他""
)"),"其他")</f>
        <v>其他</v>
      </c>
      <c r="K11167" s="270" t="str">
        <f t="shared" si="2"/>
        <v/>
      </c>
      <c r="L11167">
        <f t="shared" si="3"/>
        <v>0</v>
      </c>
    </row>
    <row r="11168">
      <c r="A11168" s="107"/>
      <c r="D11168" s="270"/>
      <c r="H11168" s="106" t="str">
        <f t="shared" si="1"/>
        <v/>
      </c>
      <c r="J11168" t="str">
        <f>IFERROR(__xludf.DUMMYFUNCTION("IFS(
  AND(REGEXMATCH(E11168, ""台銀籌備帳戶|玉山帳戶""), REGEXMATCH(C11168, ""薪資"")), ""分潤支出"",
  AND(REGEXMATCH(E11168, ""Ben帳戶|Elsa帳戶|Ben代墊|Ariel代墊|中信銀行共用""), REGEXMATCH(F11168, ""Ben帳戶|Elsa帳戶|Ben代墊|Ariel代墊|中信銀行共用"")), ""內部轉帳(忽略)"",
  AND(E11168&lt;&gt;"""", F11168&lt;&gt;"&amp;""""", NOT(REGEXMATCH(C11168, ""薪資""))), ""內部轉帳(忽略)"",
  REGEXMATCH(C11168, ""薪資""), ""薪資變動(不計入)"",
  REGEXMATCH(C11168, ""押金""), ""押金往來"",
  AND(E11168&lt;&gt;"""", F11168=""""), ""真實支出"",
  AND(E11168="""", F11168&lt;&gt;""""), ""真實收入"",
  TRUE, ""其他""
)"),"其他")</f>
        <v>其他</v>
      </c>
      <c r="K11168" s="270" t="str">
        <f t="shared" si="2"/>
        <v/>
      </c>
      <c r="L11168">
        <f t="shared" si="3"/>
        <v>0</v>
      </c>
    </row>
    <row r="11169">
      <c r="A11169" s="107"/>
      <c r="D11169" s="270"/>
      <c r="H11169" s="106" t="str">
        <f t="shared" si="1"/>
        <v/>
      </c>
      <c r="J11169" t="str">
        <f>IFERROR(__xludf.DUMMYFUNCTION("IFS(
  AND(REGEXMATCH(E11169, ""台銀籌備帳戶|玉山帳戶""), REGEXMATCH(C11169, ""薪資"")), ""分潤支出"",
  AND(REGEXMATCH(E11169, ""Ben帳戶|Elsa帳戶|Ben代墊|Ariel代墊|中信銀行共用""), REGEXMATCH(F11169, ""Ben帳戶|Elsa帳戶|Ben代墊|Ariel代墊|中信銀行共用"")), ""內部轉帳(忽略)"",
  AND(E11169&lt;&gt;"""", F11169&lt;&gt;"&amp;""""", NOT(REGEXMATCH(C11169, ""薪資""))), ""內部轉帳(忽略)"",
  REGEXMATCH(C11169, ""薪資""), ""薪資變動(不計入)"",
  REGEXMATCH(C11169, ""押金""), ""押金往來"",
  AND(E11169&lt;&gt;"""", F11169=""""), ""真實支出"",
  AND(E11169="""", F11169&lt;&gt;""""), ""真實收入"",
  TRUE, ""其他""
)"),"其他")</f>
        <v>其他</v>
      </c>
      <c r="K11169" s="270" t="str">
        <f t="shared" si="2"/>
        <v/>
      </c>
      <c r="L11169">
        <f t="shared" si="3"/>
        <v>0</v>
      </c>
    </row>
    <row r="11170">
      <c r="A11170" s="107"/>
      <c r="D11170" s="270"/>
      <c r="H11170" s="106" t="str">
        <f t="shared" si="1"/>
        <v/>
      </c>
      <c r="J11170" t="str">
        <f>IFERROR(__xludf.DUMMYFUNCTION("IFS(
  AND(REGEXMATCH(E11170, ""台銀籌備帳戶|玉山帳戶""), REGEXMATCH(C11170, ""薪資"")), ""分潤支出"",
  AND(REGEXMATCH(E11170, ""Ben帳戶|Elsa帳戶|Ben代墊|Ariel代墊|中信銀行共用""), REGEXMATCH(F11170, ""Ben帳戶|Elsa帳戶|Ben代墊|Ariel代墊|中信銀行共用"")), ""內部轉帳(忽略)"",
  AND(E11170&lt;&gt;"""", F11170&lt;&gt;"&amp;""""", NOT(REGEXMATCH(C11170, ""薪資""))), ""內部轉帳(忽略)"",
  REGEXMATCH(C11170, ""薪資""), ""薪資變動(不計入)"",
  REGEXMATCH(C11170, ""押金""), ""押金往來"",
  AND(E11170&lt;&gt;"""", F11170=""""), ""真實支出"",
  AND(E11170="""", F11170&lt;&gt;""""), ""真實收入"",
  TRUE, ""其他""
)"),"其他")</f>
        <v>其他</v>
      </c>
      <c r="K11170" s="270" t="str">
        <f t="shared" si="2"/>
        <v/>
      </c>
      <c r="L11170">
        <f t="shared" si="3"/>
        <v>0</v>
      </c>
    </row>
    <row r="11171">
      <c r="A11171" s="107"/>
      <c r="D11171" s="270"/>
      <c r="H11171" s="106" t="str">
        <f t="shared" si="1"/>
        <v/>
      </c>
      <c r="J11171" t="str">
        <f>IFERROR(__xludf.DUMMYFUNCTION("IFS(
  AND(REGEXMATCH(E11171, ""台銀籌備帳戶|玉山帳戶""), REGEXMATCH(C11171, ""薪資"")), ""分潤支出"",
  AND(REGEXMATCH(E11171, ""Ben帳戶|Elsa帳戶|Ben代墊|Ariel代墊|中信銀行共用""), REGEXMATCH(F11171, ""Ben帳戶|Elsa帳戶|Ben代墊|Ariel代墊|中信銀行共用"")), ""內部轉帳(忽略)"",
  AND(E11171&lt;&gt;"""", F11171&lt;&gt;"&amp;""""", NOT(REGEXMATCH(C11171, ""薪資""))), ""內部轉帳(忽略)"",
  REGEXMATCH(C11171, ""薪資""), ""薪資變動(不計入)"",
  REGEXMATCH(C11171, ""押金""), ""押金往來"",
  AND(E11171&lt;&gt;"""", F11171=""""), ""真實支出"",
  AND(E11171="""", F11171&lt;&gt;""""), ""真實收入"",
  TRUE, ""其他""
)"),"其他")</f>
        <v>其他</v>
      </c>
      <c r="K11171" s="270" t="str">
        <f t="shared" si="2"/>
        <v/>
      </c>
      <c r="L11171">
        <f t="shared" si="3"/>
        <v>0</v>
      </c>
    </row>
    <row r="11172">
      <c r="A11172" s="107"/>
      <c r="D11172" s="270"/>
      <c r="H11172" s="106" t="str">
        <f t="shared" si="1"/>
        <v/>
      </c>
      <c r="J11172" t="str">
        <f>IFERROR(__xludf.DUMMYFUNCTION("IFS(
  AND(REGEXMATCH(E11172, ""台銀籌備帳戶|玉山帳戶""), REGEXMATCH(C11172, ""薪資"")), ""分潤支出"",
  AND(REGEXMATCH(E11172, ""Ben帳戶|Elsa帳戶|Ben代墊|Ariel代墊|中信銀行共用""), REGEXMATCH(F11172, ""Ben帳戶|Elsa帳戶|Ben代墊|Ariel代墊|中信銀行共用"")), ""內部轉帳(忽略)"",
  AND(E11172&lt;&gt;"""", F11172&lt;&gt;"&amp;""""", NOT(REGEXMATCH(C11172, ""薪資""))), ""內部轉帳(忽略)"",
  REGEXMATCH(C11172, ""薪資""), ""薪資變動(不計入)"",
  REGEXMATCH(C11172, ""押金""), ""押金往來"",
  AND(E11172&lt;&gt;"""", F11172=""""), ""真實支出"",
  AND(E11172="""", F11172&lt;&gt;""""), ""真實收入"",
  TRUE, ""其他""
)"),"其他")</f>
        <v>其他</v>
      </c>
      <c r="K11172" s="270" t="str">
        <f t="shared" si="2"/>
        <v/>
      </c>
      <c r="L11172">
        <f t="shared" si="3"/>
        <v>0</v>
      </c>
    </row>
    <row r="11173">
      <c r="A11173" s="107"/>
      <c r="D11173" s="270"/>
      <c r="H11173" s="106" t="str">
        <f t="shared" si="1"/>
        <v/>
      </c>
      <c r="J11173" t="str">
        <f>IFERROR(__xludf.DUMMYFUNCTION("IFS(
  AND(REGEXMATCH(E11173, ""台銀籌備帳戶|玉山帳戶""), REGEXMATCH(C11173, ""薪資"")), ""分潤支出"",
  AND(REGEXMATCH(E11173, ""Ben帳戶|Elsa帳戶|Ben代墊|Ariel代墊|中信銀行共用""), REGEXMATCH(F11173, ""Ben帳戶|Elsa帳戶|Ben代墊|Ariel代墊|中信銀行共用"")), ""內部轉帳(忽略)"",
  AND(E11173&lt;&gt;"""", F11173&lt;&gt;"&amp;""""", NOT(REGEXMATCH(C11173, ""薪資""))), ""內部轉帳(忽略)"",
  REGEXMATCH(C11173, ""薪資""), ""薪資變動(不計入)"",
  REGEXMATCH(C11173, ""押金""), ""押金往來"",
  AND(E11173&lt;&gt;"""", F11173=""""), ""真實支出"",
  AND(E11173="""", F11173&lt;&gt;""""), ""真實收入"",
  TRUE, ""其他""
)"),"其他")</f>
        <v>其他</v>
      </c>
      <c r="K11173" s="270" t="str">
        <f t="shared" si="2"/>
        <v/>
      </c>
      <c r="L11173">
        <f t="shared" si="3"/>
        <v>0</v>
      </c>
    </row>
    <row r="11174">
      <c r="A11174" s="107"/>
      <c r="D11174" s="270"/>
      <c r="H11174" s="106" t="str">
        <f t="shared" si="1"/>
        <v/>
      </c>
      <c r="J11174" t="str">
        <f>IFERROR(__xludf.DUMMYFUNCTION("IFS(
  AND(REGEXMATCH(E11174, ""台銀籌備帳戶|玉山帳戶""), REGEXMATCH(C11174, ""薪資"")), ""分潤支出"",
  AND(REGEXMATCH(E11174, ""Ben帳戶|Elsa帳戶|Ben代墊|Ariel代墊|中信銀行共用""), REGEXMATCH(F11174, ""Ben帳戶|Elsa帳戶|Ben代墊|Ariel代墊|中信銀行共用"")), ""內部轉帳(忽略)"",
  AND(E11174&lt;&gt;"""", F11174&lt;&gt;"&amp;""""", NOT(REGEXMATCH(C11174, ""薪資""))), ""內部轉帳(忽略)"",
  REGEXMATCH(C11174, ""薪資""), ""薪資變動(不計入)"",
  REGEXMATCH(C11174, ""押金""), ""押金往來"",
  AND(E11174&lt;&gt;"""", F11174=""""), ""真實支出"",
  AND(E11174="""", F11174&lt;&gt;""""), ""真實收入"",
  TRUE, ""其他""
)"),"其他")</f>
        <v>其他</v>
      </c>
      <c r="K11174" s="270" t="str">
        <f t="shared" si="2"/>
        <v/>
      </c>
      <c r="L11174">
        <f t="shared" si="3"/>
        <v>0</v>
      </c>
    </row>
    <row r="11175">
      <c r="A11175" s="107"/>
      <c r="D11175" s="270"/>
      <c r="H11175" s="106" t="str">
        <f t="shared" si="1"/>
        <v/>
      </c>
      <c r="J11175" t="str">
        <f>IFERROR(__xludf.DUMMYFUNCTION("IFS(
  AND(REGEXMATCH(E11175, ""台銀籌備帳戶|玉山帳戶""), REGEXMATCH(C11175, ""薪資"")), ""分潤支出"",
  AND(REGEXMATCH(E11175, ""Ben帳戶|Elsa帳戶|Ben代墊|Ariel代墊|中信銀行共用""), REGEXMATCH(F11175, ""Ben帳戶|Elsa帳戶|Ben代墊|Ariel代墊|中信銀行共用"")), ""內部轉帳(忽略)"",
  AND(E11175&lt;&gt;"""", F11175&lt;&gt;"&amp;""""", NOT(REGEXMATCH(C11175, ""薪資""))), ""內部轉帳(忽略)"",
  REGEXMATCH(C11175, ""薪資""), ""薪資變動(不計入)"",
  REGEXMATCH(C11175, ""押金""), ""押金往來"",
  AND(E11175&lt;&gt;"""", F11175=""""), ""真實支出"",
  AND(E11175="""", F11175&lt;&gt;""""), ""真實收入"",
  TRUE, ""其他""
)"),"其他")</f>
        <v>其他</v>
      </c>
      <c r="K11175" s="270" t="str">
        <f t="shared" si="2"/>
        <v/>
      </c>
      <c r="L11175">
        <f t="shared" si="3"/>
        <v>0</v>
      </c>
    </row>
    <row r="11176">
      <c r="A11176" s="107"/>
      <c r="D11176" s="270"/>
      <c r="H11176" s="106" t="str">
        <f t="shared" si="1"/>
        <v/>
      </c>
      <c r="J11176" t="str">
        <f>IFERROR(__xludf.DUMMYFUNCTION("IFS(
  AND(REGEXMATCH(E11176, ""台銀籌備帳戶|玉山帳戶""), REGEXMATCH(C11176, ""薪資"")), ""分潤支出"",
  AND(REGEXMATCH(E11176, ""Ben帳戶|Elsa帳戶|Ben代墊|Ariel代墊|中信銀行共用""), REGEXMATCH(F11176, ""Ben帳戶|Elsa帳戶|Ben代墊|Ariel代墊|中信銀行共用"")), ""內部轉帳(忽略)"",
  AND(E11176&lt;&gt;"""", F11176&lt;&gt;"&amp;""""", NOT(REGEXMATCH(C11176, ""薪資""))), ""內部轉帳(忽略)"",
  REGEXMATCH(C11176, ""薪資""), ""薪資變動(不計入)"",
  REGEXMATCH(C11176, ""押金""), ""押金往來"",
  AND(E11176&lt;&gt;"""", F11176=""""), ""真實支出"",
  AND(E11176="""", F11176&lt;&gt;""""), ""真實收入"",
  TRUE, ""其他""
)"),"其他")</f>
        <v>其他</v>
      </c>
      <c r="K11176" s="270" t="str">
        <f t="shared" si="2"/>
        <v/>
      </c>
      <c r="L11176">
        <f t="shared" si="3"/>
        <v>0</v>
      </c>
    </row>
    <row r="11177">
      <c r="A11177" s="107"/>
      <c r="D11177" s="270"/>
      <c r="H11177" s="106" t="str">
        <f t="shared" si="1"/>
        <v/>
      </c>
      <c r="J11177" t="str">
        <f>IFERROR(__xludf.DUMMYFUNCTION("IFS(
  AND(REGEXMATCH(E11177, ""台銀籌備帳戶|玉山帳戶""), REGEXMATCH(C11177, ""薪資"")), ""分潤支出"",
  AND(REGEXMATCH(E11177, ""Ben帳戶|Elsa帳戶|Ben代墊|Ariel代墊|中信銀行共用""), REGEXMATCH(F11177, ""Ben帳戶|Elsa帳戶|Ben代墊|Ariel代墊|中信銀行共用"")), ""內部轉帳(忽略)"",
  AND(E11177&lt;&gt;"""", F11177&lt;&gt;"&amp;""""", NOT(REGEXMATCH(C11177, ""薪資""))), ""內部轉帳(忽略)"",
  REGEXMATCH(C11177, ""薪資""), ""薪資變動(不計入)"",
  REGEXMATCH(C11177, ""押金""), ""押金往來"",
  AND(E11177&lt;&gt;"""", F11177=""""), ""真實支出"",
  AND(E11177="""", F11177&lt;&gt;""""), ""真實收入"",
  TRUE, ""其他""
)"),"其他")</f>
        <v>其他</v>
      </c>
      <c r="K11177" s="270" t="str">
        <f t="shared" si="2"/>
        <v/>
      </c>
      <c r="L11177">
        <f t="shared" si="3"/>
        <v>0</v>
      </c>
    </row>
    <row r="11178">
      <c r="A11178" s="107"/>
      <c r="D11178" s="270"/>
      <c r="H11178" s="106" t="str">
        <f t="shared" si="1"/>
        <v/>
      </c>
      <c r="J11178" t="str">
        <f>IFERROR(__xludf.DUMMYFUNCTION("IFS(
  AND(REGEXMATCH(E11178, ""台銀籌備帳戶|玉山帳戶""), REGEXMATCH(C11178, ""薪資"")), ""分潤支出"",
  AND(REGEXMATCH(E11178, ""Ben帳戶|Elsa帳戶|Ben代墊|Ariel代墊|中信銀行共用""), REGEXMATCH(F11178, ""Ben帳戶|Elsa帳戶|Ben代墊|Ariel代墊|中信銀行共用"")), ""內部轉帳(忽略)"",
  AND(E11178&lt;&gt;"""", F11178&lt;&gt;"&amp;""""", NOT(REGEXMATCH(C11178, ""薪資""))), ""內部轉帳(忽略)"",
  REGEXMATCH(C11178, ""薪資""), ""薪資變動(不計入)"",
  REGEXMATCH(C11178, ""押金""), ""押金往來"",
  AND(E11178&lt;&gt;"""", F11178=""""), ""真實支出"",
  AND(E11178="""", F11178&lt;&gt;""""), ""真實收入"",
  TRUE, ""其他""
)"),"其他")</f>
        <v>其他</v>
      </c>
      <c r="K11178" s="270" t="str">
        <f t="shared" si="2"/>
        <v/>
      </c>
      <c r="L11178">
        <f t="shared" si="3"/>
        <v>0</v>
      </c>
    </row>
    <row r="11179">
      <c r="A11179" s="107"/>
      <c r="D11179" s="270"/>
      <c r="H11179" s="106" t="str">
        <f t="shared" si="1"/>
        <v/>
      </c>
      <c r="J11179" t="str">
        <f>IFERROR(__xludf.DUMMYFUNCTION("IFS(
  AND(REGEXMATCH(E11179, ""台銀籌備帳戶|玉山帳戶""), REGEXMATCH(C11179, ""薪資"")), ""分潤支出"",
  AND(REGEXMATCH(E11179, ""Ben帳戶|Elsa帳戶|Ben代墊|Ariel代墊|中信銀行共用""), REGEXMATCH(F11179, ""Ben帳戶|Elsa帳戶|Ben代墊|Ariel代墊|中信銀行共用"")), ""內部轉帳(忽略)"",
  AND(E11179&lt;&gt;"""", F11179&lt;&gt;"&amp;""""", NOT(REGEXMATCH(C11179, ""薪資""))), ""內部轉帳(忽略)"",
  REGEXMATCH(C11179, ""薪資""), ""薪資變動(不計入)"",
  REGEXMATCH(C11179, ""押金""), ""押金往來"",
  AND(E11179&lt;&gt;"""", F11179=""""), ""真實支出"",
  AND(E11179="""", F11179&lt;&gt;""""), ""真實收入"",
  TRUE, ""其他""
)"),"其他")</f>
        <v>其他</v>
      </c>
      <c r="K11179" s="270" t="str">
        <f t="shared" si="2"/>
        <v/>
      </c>
      <c r="L11179">
        <f t="shared" si="3"/>
        <v>0</v>
      </c>
    </row>
    <row r="11180">
      <c r="A11180" s="107"/>
      <c r="D11180" s="270"/>
      <c r="H11180" s="106" t="str">
        <f t="shared" si="1"/>
        <v/>
      </c>
      <c r="J11180" t="str">
        <f>IFERROR(__xludf.DUMMYFUNCTION("IFS(
  AND(REGEXMATCH(E11180, ""台銀籌備帳戶|玉山帳戶""), REGEXMATCH(C11180, ""薪資"")), ""分潤支出"",
  AND(REGEXMATCH(E11180, ""Ben帳戶|Elsa帳戶|Ben代墊|Ariel代墊|中信銀行共用""), REGEXMATCH(F11180, ""Ben帳戶|Elsa帳戶|Ben代墊|Ariel代墊|中信銀行共用"")), ""內部轉帳(忽略)"",
  AND(E11180&lt;&gt;"""", F11180&lt;&gt;"&amp;""""", NOT(REGEXMATCH(C11180, ""薪資""))), ""內部轉帳(忽略)"",
  REGEXMATCH(C11180, ""薪資""), ""薪資變動(不計入)"",
  REGEXMATCH(C11180, ""押金""), ""押金往來"",
  AND(E11180&lt;&gt;"""", F11180=""""), ""真實支出"",
  AND(E11180="""", F11180&lt;&gt;""""), ""真實收入"",
  TRUE, ""其他""
)"),"其他")</f>
        <v>其他</v>
      </c>
      <c r="K11180" s="270" t="str">
        <f t="shared" si="2"/>
        <v/>
      </c>
      <c r="L11180">
        <f t="shared" si="3"/>
        <v>0</v>
      </c>
    </row>
    <row r="11181">
      <c r="A11181" s="107"/>
      <c r="D11181" s="270"/>
      <c r="H11181" s="106" t="str">
        <f t="shared" si="1"/>
        <v/>
      </c>
      <c r="J11181" t="str">
        <f>IFERROR(__xludf.DUMMYFUNCTION("IFS(
  AND(REGEXMATCH(E11181, ""台銀籌備帳戶|玉山帳戶""), REGEXMATCH(C11181, ""薪資"")), ""分潤支出"",
  AND(REGEXMATCH(E11181, ""Ben帳戶|Elsa帳戶|Ben代墊|Ariel代墊|中信銀行共用""), REGEXMATCH(F11181, ""Ben帳戶|Elsa帳戶|Ben代墊|Ariel代墊|中信銀行共用"")), ""內部轉帳(忽略)"",
  AND(E11181&lt;&gt;"""", F11181&lt;&gt;"&amp;""""", NOT(REGEXMATCH(C11181, ""薪資""))), ""內部轉帳(忽略)"",
  REGEXMATCH(C11181, ""薪資""), ""薪資變動(不計入)"",
  REGEXMATCH(C11181, ""押金""), ""押金往來"",
  AND(E11181&lt;&gt;"""", F11181=""""), ""真實支出"",
  AND(E11181="""", F11181&lt;&gt;""""), ""真實收入"",
  TRUE, ""其他""
)"),"其他")</f>
        <v>其他</v>
      </c>
      <c r="K11181" s="270" t="str">
        <f t="shared" si="2"/>
        <v/>
      </c>
      <c r="L11181">
        <f t="shared" si="3"/>
        <v>0</v>
      </c>
    </row>
    <row r="11182">
      <c r="A11182" s="107"/>
      <c r="D11182" s="270"/>
      <c r="H11182" s="106" t="str">
        <f t="shared" si="1"/>
        <v/>
      </c>
      <c r="J11182" t="str">
        <f>IFERROR(__xludf.DUMMYFUNCTION("IFS(
  AND(REGEXMATCH(E11182, ""台銀籌備帳戶|玉山帳戶""), REGEXMATCH(C11182, ""薪資"")), ""分潤支出"",
  AND(REGEXMATCH(E11182, ""Ben帳戶|Elsa帳戶|Ben代墊|Ariel代墊|中信銀行共用""), REGEXMATCH(F11182, ""Ben帳戶|Elsa帳戶|Ben代墊|Ariel代墊|中信銀行共用"")), ""內部轉帳(忽略)"",
  AND(E11182&lt;&gt;"""", F11182&lt;&gt;"&amp;""""", NOT(REGEXMATCH(C11182, ""薪資""))), ""內部轉帳(忽略)"",
  REGEXMATCH(C11182, ""薪資""), ""薪資變動(不計入)"",
  REGEXMATCH(C11182, ""押金""), ""押金往來"",
  AND(E11182&lt;&gt;"""", F11182=""""), ""真實支出"",
  AND(E11182="""", F11182&lt;&gt;""""), ""真實收入"",
  TRUE, ""其他""
)"),"其他")</f>
        <v>其他</v>
      </c>
      <c r="K11182" s="270" t="str">
        <f t="shared" si="2"/>
        <v/>
      </c>
      <c r="L11182">
        <f t="shared" si="3"/>
        <v>0</v>
      </c>
    </row>
    <row r="11183">
      <c r="A11183" s="107"/>
      <c r="D11183" s="270"/>
      <c r="H11183" s="106" t="str">
        <f t="shared" si="1"/>
        <v/>
      </c>
      <c r="J11183" t="str">
        <f>IFERROR(__xludf.DUMMYFUNCTION("IFS(
  AND(REGEXMATCH(E11183, ""台銀籌備帳戶|玉山帳戶""), REGEXMATCH(C11183, ""薪資"")), ""分潤支出"",
  AND(REGEXMATCH(E11183, ""Ben帳戶|Elsa帳戶|Ben代墊|Ariel代墊|中信銀行共用""), REGEXMATCH(F11183, ""Ben帳戶|Elsa帳戶|Ben代墊|Ariel代墊|中信銀行共用"")), ""內部轉帳(忽略)"",
  AND(E11183&lt;&gt;"""", F11183&lt;&gt;"&amp;""""", NOT(REGEXMATCH(C11183, ""薪資""))), ""內部轉帳(忽略)"",
  REGEXMATCH(C11183, ""薪資""), ""薪資變動(不計入)"",
  REGEXMATCH(C11183, ""押金""), ""押金往來"",
  AND(E11183&lt;&gt;"""", F11183=""""), ""真實支出"",
  AND(E11183="""", F11183&lt;&gt;""""), ""真實收入"",
  TRUE, ""其他""
)"),"其他")</f>
        <v>其他</v>
      </c>
      <c r="K11183" s="270" t="str">
        <f t="shared" si="2"/>
        <v/>
      </c>
      <c r="L11183">
        <f t="shared" si="3"/>
        <v>0</v>
      </c>
    </row>
    <row r="11184">
      <c r="A11184" s="107"/>
      <c r="D11184" s="270"/>
      <c r="H11184" s="106" t="str">
        <f t="shared" si="1"/>
        <v/>
      </c>
      <c r="J11184" t="str">
        <f>IFERROR(__xludf.DUMMYFUNCTION("IFS(
  AND(REGEXMATCH(E11184, ""台銀籌備帳戶|玉山帳戶""), REGEXMATCH(C11184, ""薪資"")), ""分潤支出"",
  AND(REGEXMATCH(E11184, ""Ben帳戶|Elsa帳戶|Ben代墊|Ariel代墊|中信銀行共用""), REGEXMATCH(F11184, ""Ben帳戶|Elsa帳戶|Ben代墊|Ariel代墊|中信銀行共用"")), ""內部轉帳(忽略)"",
  AND(E11184&lt;&gt;"""", F11184&lt;&gt;"&amp;""""", NOT(REGEXMATCH(C11184, ""薪資""))), ""內部轉帳(忽略)"",
  REGEXMATCH(C11184, ""薪資""), ""薪資變動(不計入)"",
  REGEXMATCH(C11184, ""押金""), ""押金往來"",
  AND(E11184&lt;&gt;"""", F11184=""""), ""真實支出"",
  AND(E11184="""", F11184&lt;&gt;""""), ""真實收入"",
  TRUE, ""其他""
)"),"其他")</f>
        <v>其他</v>
      </c>
      <c r="K11184" s="270" t="str">
        <f t="shared" si="2"/>
        <v/>
      </c>
      <c r="L11184">
        <f t="shared" si="3"/>
        <v>0</v>
      </c>
    </row>
    <row r="11185">
      <c r="A11185" s="107"/>
      <c r="D11185" s="270"/>
      <c r="H11185" s="106" t="str">
        <f t="shared" si="1"/>
        <v/>
      </c>
      <c r="J11185" t="str">
        <f>IFERROR(__xludf.DUMMYFUNCTION("IFS(
  AND(REGEXMATCH(E11185, ""台銀籌備帳戶|玉山帳戶""), REGEXMATCH(C11185, ""薪資"")), ""分潤支出"",
  AND(REGEXMATCH(E11185, ""Ben帳戶|Elsa帳戶|Ben代墊|Ariel代墊|中信銀行共用""), REGEXMATCH(F11185, ""Ben帳戶|Elsa帳戶|Ben代墊|Ariel代墊|中信銀行共用"")), ""內部轉帳(忽略)"",
  AND(E11185&lt;&gt;"""", F11185&lt;&gt;"&amp;""""", NOT(REGEXMATCH(C11185, ""薪資""))), ""內部轉帳(忽略)"",
  REGEXMATCH(C11185, ""薪資""), ""薪資變動(不計入)"",
  REGEXMATCH(C11185, ""押金""), ""押金往來"",
  AND(E11185&lt;&gt;"""", F11185=""""), ""真實支出"",
  AND(E11185="""", F11185&lt;&gt;""""), ""真實收入"",
  TRUE, ""其他""
)"),"其他")</f>
        <v>其他</v>
      </c>
      <c r="K11185" s="270" t="str">
        <f t="shared" si="2"/>
        <v/>
      </c>
      <c r="L11185">
        <f t="shared" si="3"/>
        <v>0</v>
      </c>
    </row>
    <row r="11186">
      <c r="A11186" s="107"/>
      <c r="D11186" s="270"/>
      <c r="H11186" s="106" t="str">
        <f t="shared" si="1"/>
        <v/>
      </c>
      <c r="J11186" t="str">
        <f>IFERROR(__xludf.DUMMYFUNCTION("IFS(
  AND(REGEXMATCH(E11186, ""台銀籌備帳戶|玉山帳戶""), REGEXMATCH(C11186, ""薪資"")), ""分潤支出"",
  AND(REGEXMATCH(E11186, ""Ben帳戶|Elsa帳戶|Ben代墊|Ariel代墊|中信銀行共用""), REGEXMATCH(F11186, ""Ben帳戶|Elsa帳戶|Ben代墊|Ariel代墊|中信銀行共用"")), ""內部轉帳(忽略)"",
  AND(E11186&lt;&gt;"""", F11186&lt;&gt;"&amp;""""", NOT(REGEXMATCH(C11186, ""薪資""))), ""內部轉帳(忽略)"",
  REGEXMATCH(C11186, ""薪資""), ""薪資變動(不計入)"",
  REGEXMATCH(C11186, ""押金""), ""押金往來"",
  AND(E11186&lt;&gt;"""", F11186=""""), ""真實支出"",
  AND(E11186="""", F11186&lt;&gt;""""), ""真實收入"",
  TRUE, ""其他""
)"),"其他")</f>
        <v>其他</v>
      </c>
      <c r="K11186" s="270" t="str">
        <f t="shared" si="2"/>
        <v/>
      </c>
      <c r="L11186">
        <f t="shared" si="3"/>
        <v>0</v>
      </c>
    </row>
    <row r="11187">
      <c r="A11187" s="107"/>
      <c r="D11187" s="270"/>
      <c r="H11187" s="106" t="str">
        <f t="shared" si="1"/>
        <v/>
      </c>
      <c r="J11187" t="str">
        <f>IFERROR(__xludf.DUMMYFUNCTION("IFS(
  AND(REGEXMATCH(E11187, ""台銀籌備帳戶|玉山帳戶""), REGEXMATCH(C11187, ""薪資"")), ""分潤支出"",
  AND(REGEXMATCH(E11187, ""Ben帳戶|Elsa帳戶|Ben代墊|Ariel代墊|中信銀行共用""), REGEXMATCH(F11187, ""Ben帳戶|Elsa帳戶|Ben代墊|Ariel代墊|中信銀行共用"")), ""內部轉帳(忽略)"",
  AND(E11187&lt;&gt;"""", F11187&lt;&gt;"&amp;""""", NOT(REGEXMATCH(C11187, ""薪資""))), ""內部轉帳(忽略)"",
  REGEXMATCH(C11187, ""薪資""), ""薪資變動(不計入)"",
  REGEXMATCH(C11187, ""押金""), ""押金往來"",
  AND(E11187&lt;&gt;"""", F11187=""""), ""真實支出"",
  AND(E11187="""", F11187&lt;&gt;""""), ""真實收入"",
  TRUE, ""其他""
)"),"其他")</f>
        <v>其他</v>
      </c>
      <c r="K11187" s="270" t="str">
        <f t="shared" si="2"/>
        <v/>
      </c>
      <c r="L11187">
        <f t="shared" si="3"/>
        <v>0</v>
      </c>
    </row>
    <row r="11188">
      <c r="A11188" s="107"/>
      <c r="D11188" s="270"/>
      <c r="H11188" s="106" t="str">
        <f t="shared" si="1"/>
        <v/>
      </c>
      <c r="J11188" t="str">
        <f>IFERROR(__xludf.DUMMYFUNCTION("IFS(
  AND(REGEXMATCH(E11188, ""台銀籌備帳戶|玉山帳戶""), REGEXMATCH(C11188, ""薪資"")), ""分潤支出"",
  AND(REGEXMATCH(E11188, ""Ben帳戶|Elsa帳戶|Ben代墊|Ariel代墊|中信銀行共用""), REGEXMATCH(F11188, ""Ben帳戶|Elsa帳戶|Ben代墊|Ariel代墊|中信銀行共用"")), ""內部轉帳(忽略)"",
  AND(E11188&lt;&gt;"""", F11188&lt;&gt;"&amp;""""", NOT(REGEXMATCH(C11188, ""薪資""))), ""內部轉帳(忽略)"",
  REGEXMATCH(C11188, ""薪資""), ""薪資變動(不計入)"",
  REGEXMATCH(C11188, ""押金""), ""押金往來"",
  AND(E11188&lt;&gt;"""", F11188=""""), ""真實支出"",
  AND(E11188="""", F11188&lt;&gt;""""), ""真實收入"",
  TRUE, ""其他""
)"),"其他")</f>
        <v>其他</v>
      </c>
      <c r="K11188" s="270" t="str">
        <f t="shared" si="2"/>
        <v/>
      </c>
      <c r="L11188">
        <f t="shared" si="3"/>
        <v>0</v>
      </c>
    </row>
    <row r="11189">
      <c r="A11189" s="107"/>
      <c r="D11189" s="270"/>
      <c r="H11189" s="106" t="str">
        <f t="shared" si="1"/>
        <v/>
      </c>
      <c r="J11189" t="str">
        <f>IFERROR(__xludf.DUMMYFUNCTION("IFS(
  AND(REGEXMATCH(E11189, ""台銀籌備帳戶|玉山帳戶""), REGEXMATCH(C11189, ""薪資"")), ""分潤支出"",
  AND(REGEXMATCH(E11189, ""Ben帳戶|Elsa帳戶|Ben代墊|Ariel代墊|中信銀行共用""), REGEXMATCH(F11189, ""Ben帳戶|Elsa帳戶|Ben代墊|Ariel代墊|中信銀行共用"")), ""內部轉帳(忽略)"",
  AND(E11189&lt;&gt;"""", F11189&lt;&gt;"&amp;""""", NOT(REGEXMATCH(C11189, ""薪資""))), ""內部轉帳(忽略)"",
  REGEXMATCH(C11189, ""薪資""), ""薪資變動(不計入)"",
  REGEXMATCH(C11189, ""押金""), ""押金往來"",
  AND(E11189&lt;&gt;"""", F11189=""""), ""真實支出"",
  AND(E11189="""", F11189&lt;&gt;""""), ""真實收入"",
  TRUE, ""其他""
)"),"其他")</f>
        <v>其他</v>
      </c>
      <c r="K11189" s="270" t="str">
        <f t="shared" si="2"/>
        <v/>
      </c>
      <c r="L11189">
        <f t="shared" si="3"/>
        <v>0</v>
      </c>
    </row>
    <row r="11190">
      <c r="A11190" s="107"/>
      <c r="D11190" s="270"/>
      <c r="H11190" s="106" t="str">
        <f t="shared" si="1"/>
        <v/>
      </c>
      <c r="J11190" t="str">
        <f>IFERROR(__xludf.DUMMYFUNCTION("IFS(
  AND(REGEXMATCH(E11190, ""台銀籌備帳戶|玉山帳戶""), REGEXMATCH(C11190, ""薪資"")), ""分潤支出"",
  AND(REGEXMATCH(E11190, ""Ben帳戶|Elsa帳戶|Ben代墊|Ariel代墊|中信銀行共用""), REGEXMATCH(F11190, ""Ben帳戶|Elsa帳戶|Ben代墊|Ariel代墊|中信銀行共用"")), ""內部轉帳(忽略)"",
  AND(E11190&lt;&gt;"""", F11190&lt;&gt;"&amp;""""", NOT(REGEXMATCH(C11190, ""薪資""))), ""內部轉帳(忽略)"",
  REGEXMATCH(C11190, ""薪資""), ""薪資變動(不計入)"",
  REGEXMATCH(C11190, ""押金""), ""押金往來"",
  AND(E11190&lt;&gt;"""", F11190=""""), ""真實支出"",
  AND(E11190="""", F11190&lt;&gt;""""), ""真實收入"",
  TRUE, ""其他""
)"),"其他")</f>
        <v>其他</v>
      </c>
      <c r="K11190" s="270" t="str">
        <f t="shared" si="2"/>
        <v/>
      </c>
      <c r="L11190">
        <f t="shared" si="3"/>
        <v>0</v>
      </c>
    </row>
    <row r="11191">
      <c r="A11191" s="107"/>
      <c r="D11191" s="270"/>
      <c r="H11191" s="106" t="str">
        <f t="shared" si="1"/>
        <v/>
      </c>
      <c r="J11191" t="str">
        <f>IFERROR(__xludf.DUMMYFUNCTION("IFS(
  AND(REGEXMATCH(E11191, ""台銀籌備帳戶|玉山帳戶""), REGEXMATCH(C11191, ""薪資"")), ""分潤支出"",
  AND(REGEXMATCH(E11191, ""Ben帳戶|Elsa帳戶|Ben代墊|Ariel代墊|中信銀行共用""), REGEXMATCH(F11191, ""Ben帳戶|Elsa帳戶|Ben代墊|Ariel代墊|中信銀行共用"")), ""內部轉帳(忽略)"",
  AND(E11191&lt;&gt;"""", F11191&lt;&gt;"&amp;""""", NOT(REGEXMATCH(C11191, ""薪資""))), ""內部轉帳(忽略)"",
  REGEXMATCH(C11191, ""薪資""), ""薪資變動(不計入)"",
  REGEXMATCH(C11191, ""押金""), ""押金往來"",
  AND(E11191&lt;&gt;"""", F11191=""""), ""真實支出"",
  AND(E11191="""", F11191&lt;&gt;""""), ""真實收入"",
  TRUE, ""其他""
)"),"其他")</f>
        <v>其他</v>
      </c>
      <c r="K11191" s="270" t="str">
        <f t="shared" si="2"/>
        <v/>
      </c>
      <c r="L11191">
        <f t="shared" si="3"/>
        <v>0</v>
      </c>
    </row>
    <row r="11192">
      <c r="A11192" s="107"/>
      <c r="D11192" s="270"/>
      <c r="H11192" s="106" t="str">
        <f t="shared" si="1"/>
        <v/>
      </c>
      <c r="J11192" t="str">
        <f>IFERROR(__xludf.DUMMYFUNCTION("IFS(
  AND(REGEXMATCH(E11192, ""台銀籌備帳戶|玉山帳戶""), REGEXMATCH(C11192, ""薪資"")), ""分潤支出"",
  AND(REGEXMATCH(E11192, ""Ben帳戶|Elsa帳戶|Ben代墊|Ariel代墊|中信銀行共用""), REGEXMATCH(F11192, ""Ben帳戶|Elsa帳戶|Ben代墊|Ariel代墊|中信銀行共用"")), ""內部轉帳(忽略)"",
  AND(E11192&lt;&gt;"""", F11192&lt;&gt;"&amp;""""", NOT(REGEXMATCH(C11192, ""薪資""))), ""內部轉帳(忽略)"",
  REGEXMATCH(C11192, ""薪資""), ""薪資變動(不計入)"",
  REGEXMATCH(C11192, ""押金""), ""押金往來"",
  AND(E11192&lt;&gt;"""", F11192=""""), ""真實支出"",
  AND(E11192="""", F11192&lt;&gt;""""), ""真實收入"",
  TRUE, ""其他""
)"),"其他")</f>
        <v>其他</v>
      </c>
      <c r="K11192" s="270" t="str">
        <f t="shared" si="2"/>
        <v/>
      </c>
      <c r="L11192">
        <f t="shared" si="3"/>
        <v>0</v>
      </c>
    </row>
    <row r="11193">
      <c r="A11193" s="107"/>
      <c r="D11193" s="270"/>
      <c r="H11193" s="106" t="str">
        <f t="shared" si="1"/>
        <v/>
      </c>
      <c r="J11193" t="str">
        <f>IFERROR(__xludf.DUMMYFUNCTION("IFS(
  AND(REGEXMATCH(E11193, ""台銀籌備帳戶|玉山帳戶""), REGEXMATCH(C11193, ""薪資"")), ""分潤支出"",
  AND(REGEXMATCH(E11193, ""Ben帳戶|Elsa帳戶|Ben代墊|Ariel代墊|中信銀行共用""), REGEXMATCH(F11193, ""Ben帳戶|Elsa帳戶|Ben代墊|Ariel代墊|中信銀行共用"")), ""內部轉帳(忽略)"",
  AND(E11193&lt;&gt;"""", F11193&lt;&gt;"&amp;""""", NOT(REGEXMATCH(C11193, ""薪資""))), ""內部轉帳(忽略)"",
  REGEXMATCH(C11193, ""薪資""), ""薪資變動(不計入)"",
  REGEXMATCH(C11193, ""押金""), ""押金往來"",
  AND(E11193&lt;&gt;"""", F11193=""""), ""真實支出"",
  AND(E11193="""", F11193&lt;&gt;""""), ""真實收入"",
  TRUE, ""其他""
)"),"其他")</f>
        <v>其他</v>
      </c>
      <c r="K11193" s="270" t="str">
        <f t="shared" si="2"/>
        <v/>
      </c>
      <c r="L11193">
        <f t="shared" si="3"/>
        <v>0</v>
      </c>
    </row>
    <row r="11194">
      <c r="A11194" s="107"/>
      <c r="D11194" s="270"/>
      <c r="H11194" s="106" t="str">
        <f t="shared" si="1"/>
        <v/>
      </c>
      <c r="J11194" t="str">
        <f>IFERROR(__xludf.DUMMYFUNCTION("IFS(
  AND(REGEXMATCH(E11194, ""台銀籌備帳戶|玉山帳戶""), REGEXMATCH(C11194, ""薪資"")), ""分潤支出"",
  AND(REGEXMATCH(E11194, ""Ben帳戶|Elsa帳戶|Ben代墊|Ariel代墊|中信銀行共用""), REGEXMATCH(F11194, ""Ben帳戶|Elsa帳戶|Ben代墊|Ariel代墊|中信銀行共用"")), ""內部轉帳(忽略)"",
  AND(E11194&lt;&gt;"""", F11194&lt;&gt;"&amp;""""", NOT(REGEXMATCH(C11194, ""薪資""))), ""內部轉帳(忽略)"",
  REGEXMATCH(C11194, ""薪資""), ""薪資變動(不計入)"",
  REGEXMATCH(C11194, ""押金""), ""押金往來"",
  AND(E11194&lt;&gt;"""", F11194=""""), ""真實支出"",
  AND(E11194="""", F11194&lt;&gt;""""), ""真實收入"",
  TRUE, ""其他""
)"),"其他")</f>
        <v>其他</v>
      </c>
      <c r="K11194" s="270" t="str">
        <f t="shared" si="2"/>
        <v/>
      </c>
      <c r="L11194">
        <f t="shared" si="3"/>
        <v>0</v>
      </c>
    </row>
    <row r="11195">
      <c r="A11195" s="107"/>
      <c r="D11195" s="270"/>
      <c r="H11195" s="106" t="str">
        <f t="shared" si="1"/>
        <v/>
      </c>
      <c r="J11195" t="str">
        <f>IFERROR(__xludf.DUMMYFUNCTION("IFS(
  AND(REGEXMATCH(E11195, ""台銀籌備帳戶|玉山帳戶""), REGEXMATCH(C11195, ""薪資"")), ""分潤支出"",
  AND(REGEXMATCH(E11195, ""Ben帳戶|Elsa帳戶|Ben代墊|Ariel代墊|中信銀行共用""), REGEXMATCH(F11195, ""Ben帳戶|Elsa帳戶|Ben代墊|Ariel代墊|中信銀行共用"")), ""內部轉帳(忽略)"",
  AND(E11195&lt;&gt;"""", F11195&lt;&gt;"&amp;""""", NOT(REGEXMATCH(C11195, ""薪資""))), ""內部轉帳(忽略)"",
  REGEXMATCH(C11195, ""薪資""), ""薪資變動(不計入)"",
  REGEXMATCH(C11195, ""押金""), ""押金往來"",
  AND(E11195&lt;&gt;"""", F11195=""""), ""真實支出"",
  AND(E11195="""", F11195&lt;&gt;""""), ""真實收入"",
  TRUE, ""其他""
)"),"其他")</f>
        <v>其他</v>
      </c>
      <c r="K11195" s="270" t="str">
        <f t="shared" si="2"/>
        <v/>
      </c>
      <c r="L11195">
        <f t="shared" si="3"/>
        <v>0</v>
      </c>
    </row>
    <row r="11196">
      <c r="A11196" s="107"/>
      <c r="D11196" s="270"/>
      <c r="H11196" s="106" t="str">
        <f t="shared" si="1"/>
        <v/>
      </c>
      <c r="J11196" t="str">
        <f>IFERROR(__xludf.DUMMYFUNCTION("IFS(
  AND(REGEXMATCH(E11196, ""台銀籌備帳戶|玉山帳戶""), REGEXMATCH(C11196, ""薪資"")), ""分潤支出"",
  AND(REGEXMATCH(E11196, ""Ben帳戶|Elsa帳戶|Ben代墊|Ariel代墊|中信銀行共用""), REGEXMATCH(F11196, ""Ben帳戶|Elsa帳戶|Ben代墊|Ariel代墊|中信銀行共用"")), ""內部轉帳(忽略)"",
  AND(E11196&lt;&gt;"""", F11196&lt;&gt;"&amp;""""", NOT(REGEXMATCH(C11196, ""薪資""))), ""內部轉帳(忽略)"",
  REGEXMATCH(C11196, ""薪資""), ""薪資變動(不計入)"",
  REGEXMATCH(C11196, ""押金""), ""押金往來"",
  AND(E11196&lt;&gt;"""", F11196=""""), ""真實支出"",
  AND(E11196="""", F11196&lt;&gt;""""), ""真實收入"",
  TRUE, ""其他""
)"),"其他")</f>
        <v>其他</v>
      </c>
      <c r="K11196" s="270" t="str">
        <f t="shared" si="2"/>
        <v/>
      </c>
      <c r="L11196">
        <f t="shared" si="3"/>
        <v>0</v>
      </c>
    </row>
    <row r="11197">
      <c r="A11197" s="107"/>
      <c r="D11197" s="270"/>
      <c r="H11197" s="106" t="str">
        <f t="shared" si="1"/>
        <v/>
      </c>
      <c r="J11197" t="str">
        <f>IFERROR(__xludf.DUMMYFUNCTION("IFS(
  AND(REGEXMATCH(E11197, ""台銀籌備帳戶|玉山帳戶""), REGEXMATCH(C11197, ""薪資"")), ""分潤支出"",
  AND(REGEXMATCH(E11197, ""Ben帳戶|Elsa帳戶|Ben代墊|Ariel代墊|中信銀行共用""), REGEXMATCH(F11197, ""Ben帳戶|Elsa帳戶|Ben代墊|Ariel代墊|中信銀行共用"")), ""內部轉帳(忽略)"",
  AND(E11197&lt;&gt;"""", F11197&lt;&gt;"&amp;""""", NOT(REGEXMATCH(C11197, ""薪資""))), ""內部轉帳(忽略)"",
  REGEXMATCH(C11197, ""薪資""), ""薪資變動(不計入)"",
  REGEXMATCH(C11197, ""押金""), ""押金往來"",
  AND(E11197&lt;&gt;"""", F11197=""""), ""真實支出"",
  AND(E11197="""", F11197&lt;&gt;""""), ""真實收入"",
  TRUE, ""其他""
)"),"其他")</f>
        <v>其他</v>
      </c>
      <c r="K11197" s="270" t="str">
        <f t="shared" si="2"/>
        <v/>
      </c>
      <c r="L11197">
        <f t="shared" si="3"/>
        <v>0</v>
      </c>
    </row>
    <row r="11198">
      <c r="A11198" s="107"/>
      <c r="D11198" s="270"/>
      <c r="H11198" s="106" t="str">
        <f t="shared" si="1"/>
        <v/>
      </c>
      <c r="J11198" t="str">
        <f>IFERROR(__xludf.DUMMYFUNCTION("IFS(
  AND(REGEXMATCH(E11198, ""台銀籌備帳戶|玉山帳戶""), REGEXMATCH(C11198, ""薪資"")), ""分潤支出"",
  AND(REGEXMATCH(E11198, ""Ben帳戶|Elsa帳戶|Ben代墊|Ariel代墊|中信銀行共用""), REGEXMATCH(F11198, ""Ben帳戶|Elsa帳戶|Ben代墊|Ariel代墊|中信銀行共用"")), ""內部轉帳(忽略)"",
  AND(E11198&lt;&gt;"""", F11198&lt;&gt;"&amp;""""", NOT(REGEXMATCH(C11198, ""薪資""))), ""內部轉帳(忽略)"",
  REGEXMATCH(C11198, ""薪資""), ""薪資變動(不計入)"",
  REGEXMATCH(C11198, ""押金""), ""押金往來"",
  AND(E11198&lt;&gt;"""", F11198=""""), ""真實支出"",
  AND(E11198="""", F11198&lt;&gt;""""), ""真實收入"",
  TRUE, ""其他""
)"),"其他")</f>
        <v>其他</v>
      </c>
      <c r="K11198" s="270" t="str">
        <f t="shared" si="2"/>
        <v/>
      </c>
      <c r="L11198">
        <f t="shared" si="3"/>
        <v>0</v>
      </c>
    </row>
    <row r="11199">
      <c r="A11199" s="107"/>
      <c r="D11199" s="270"/>
      <c r="H11199" s="106" t="str">
        <f t="shared" si="1"/>
        <v/>
      </c>
      <c r="J11199" t="str">
        <f>IFERROR(__xludf.DUMMYFUNCTION("IFS(
  AND(REGEXMATCH(E11199, ""台銀籌備帳戶|玉山帳戶""), REGEXMATCH(C11199, ""薪資"")), ""分潤支出"",
  AND(REGEXMATCH(E11199, ""Ben帳戶|Elsa帳戶|Ben代墊|Ariel代墊|中信銀行共用""), REGEXMATCH(F11199, ""Ben帳戶|Elsa帳戶|Ben代墊|Ariel代墊|中信銀行共用"")), ""內部轉帳(忽略)"",
  AND(E11199&lt;&gt;"""", F11199&lt;&gt;"&amp;""""", NOT(REGEXMATCH(C11199, ""薪資""))), ""內部轉帳(忽略)"",
  REGEXMATCH(C11199, ""薪資""), ""薪資變動(不計入)"",
  REGEXMATCH(C11199, ""押金""), ""押金往來"",
  AND(E11199&lt;&gt;"""", F11199=""""), ""真實支出"",
  AND(E11199="""", F11199&lt;&gt;""""), ""真實收入"",
  TRUE, ""其他""
)"),"其他")</f>
        <v>其他</v>
      </c>
      <c r="K11199" s="270" t="str">
        <f t="shared" si="2"/>
        <v/>
      </c>
      <c r="L11199">
        <f t="shared" si="3"/>
        <v>0</v>
      </c>
    </row>
    <row r="11200">
      <c r="A11200" s="107"/>
      <c r="D11200" s="270"/>
      <c r="H11200" s="106" t="str">
        <f t="shared" si="1"/>
        <v/>
      </c>
      <c r="J11200" t="str">
        <f>IFERROR(__xludf.DUMMYFUNCTION("IFS(
  AND(REGEXMATCH(E11200, ""台銀籌備帳戶|玉山帳戶""), REGEXMATCH(C11200, ""薪資"")), ""分潤支出"",
  AND(REGEXMATCH(E11200, ""Ben帳戶|Elsa帳戶|Ben代墊|Ariel代墊|中信銀行共用""), REGEXMATCH(F11200, ""Ben帳戶|Elsa帳戶|Ben代墊|Ariel代墊|中信銀行共用"")), ""內部轉帳(忽略)"",
  AND(E11200&lt;&gt;"""", F11200&lt;&gt;"&amp;""""", NOT(REGEXMATCH(C11200, ""薪資""))), ""內部轉帳(忽略)"",
  REGEXMATCH(C11200, ""薪資""), ""薪資變動(不計入)"",
  REGEXMATCH(C11200, ""押金""), ""押金往來"",
  AND(E11200&lt;&gt;"""", F11200=""""), ""真實支出"",
  AND(E11200="""", F11200&lt;&gt;""""), ""真實收入"",
  TRUE, ""其他""
)"),"其他")</f>
        <v>其他</v>
      </c>
      <c r="K11200" s="270" t="str">
        <f t="shared" si="2"/>
        <v/>
      </c>
      <c r="L11200">
        <f t="shared" si="3"/>
        <v>0</v>
      </c>
    </row>
    <row r="11201">
      <c r="A11201" s="107"/>
      <c r="D11201" s="270"/>
      <c r="H11201" s="106" t="str">
        <f t="shared" si="1"/>
        <v/>
      </c>
      <c r="J11201" t="str">
        <f>IFERROR(__xludf.DUMMYFUNCTION("IFS(
  AND(REGEXMATCH(E11201, ""台銀籌備帳戶|玉山帳戶""), REGEXMATCH(C11201, ""薪資"")), ""分潤支出"",
  AND(REGEXMATCH(E11201, ""Ben帳戶|Elsa帳戶|Ben代墊|Ariel代墊|中信銀行共用""), REGEXMATCH(F11201, ""Ben帳戶|Elsa帳戶|Ben代墊|Ariel代墊|中信銀行共用"")), ""內部轉帳(忽略)"",
  AND(E11201&lt;&gt;"""", F11201&lt;&gt;"&amp;""""", NOT(REGEXMATCH(C11201, ""薪資""))), ""內部轉帳(忽略)"",
  REGEXMATCH(C11201, ""薪資""), ""薪資變動(不計入)"",
  REGEXMATCH(C11201, ""押金""), ""押金往來"",
  AND(E11201&lt;&gt;"""", F11201=""""), ""真實支出"",
  AND(E11201="""", F11201&lt;&gt;""""), ""真實收入"",
  TRUE, ""其他""
)"),"其他")</f>
        <v>其他</v>
      </c>
      <c r="K11201" s="270" t="str">
        <f t="shared" si="2"/>
        <v/>
      </c>
      <c r="L11201">
        <f t="shared" si="3"/>
        <v>0</v>
      </c>
    </row>
    <row r="11202">
      <c r="A11202" s="107"/>
      <c r="D11202" s="270"/>
      <c r="H11202" s="106" t="str">
        <f t="shared" si="1"/>
        <v/>
      </c>
      <c r="J11202" t="str">
        <f>IFERROR(__xludf.DUMMYFUNCTION("IFS(
  AND(REGEXMATCH(E11202, ""台銀籌備帳戶|玉山帳戶""), REGEXMATCH(C11202, ""薪資"")), ""分潤支出"",
  AND(REGEXMATCH(E11202, ""Ben帳戶|Elsa帳戶|Ben代墊|Ariel代墊|中信銀行共用""), REGEXMATCH(F11202, ""Ben帳戶|Elsa帳戶|Ben代墊|Ariel代墊|中信銀行共用"")), ""內部轉帳(忽略)"",
  AND(E11202&lt;&gt;"""", F11202&lt;&gt;"&amp;""""", NOT(REGEXMATCH(C11202, ""薪資""))), ""內部轉帳(忽略)"",
  REGEXMATCH(C11202, ""薪資""), ""薪資變動(不計入)"",
  REGEXMATCH(C11202, ""押金""), ""押金往來"",
  AND(E11202&lt;&gt;"""", F11202=""""), ""真實支出"",
  AND(E11202="""", F11202&lt;&gt;""""), ""真實收入"",
  TRUE, ""其他""
)"),"其他")</f>
        <v>其他</v>
      </c>
      <c r="K11202" s="270" t="str">
        <f t="shared" si="2"/>
        <v/>
      </c>
      <c r="L11202">
        <f t="shared" si="3"/>
        <v>0</v>
      </c>
    </row>
    <row r="11203">
      <c r="A11203" s="107"/>
      <c r="D11203" s="270"/>
      <c r="H11203" s="106" t="str">
        <f t="shared" si="1"/>
        <v/>
      </c>
      <c r="J11203" t="str">
        <f>IFERROR(__xludf.DUMMYFUNCTION("IFS(
  AND(REGEXMATCH(E11203, ""台銀籌備帳戶|玉山帳戶""), REGEXMATCH(C11203, ""薪資"")), ""分潤支出"",
  AND(REGEXMATCH(E11203, ""Ben帳戶|Elsa帳戶|Ben代墊|Ariel代墊|中信銀行共用""), REGEXMATCH(F11203, ""Ben帳戶|Elsa帳戶|Ben代墊|Ariel代墊|中信銀行共用"")), ""內部轉帳(忽略)"",
  AND(E11203&lt;&gt;"""", F11203&lt;&gt;"&amp;""""", NOT(REGEXMATCH(C11203, ""薪資""))), ""內部轉帳(忽略)"",
  REGEXMATCH(C11203, ""薪資""), ""薪資變動(不計入)"",
  REGEXMATCH(C11203, ""押金""), ""押金往來"",
  AND(E11203&lt;&gt;"""", F11203=""""), ""真實支出"",
  AND(E11203="""", F11203&lt;&gt;""""), ""真實收入"",
  TRUE, ""其他""
)"),"其他")</f>
        <v>其他</v>
      </c>
      <c r="K11203" s="270" t="str">
        <f t="shared" si="2"/>
        <v/>
      </c>
      <c r="L11203">
        <f t="shared" si="3"/>
        <v>0</v>
      </c>
    </row>
    <row r="11204">
      <c r="A11204" s="107"/>
      <c r="D11204" s="270"/>
      <c r="H11204" s="106" t="str">
        <f t="shared" si="1"/>
        <v/>
      </c>
      <c r="J11204" t="str">
        <f>IFERROR(__xludf.DUMMYFUNCTION("IFS(
  AND(REGEXMATCH(E11204, ""台銀籌備帳戶|玉山帳戶""), REGEXMATCH(C11204, ""薪資"")), ""分潤支出"",
  AND(REGEXMATCH(E11204, ""Ben帳戶|Elsa帳戶|Ben代墊|Ariel代墊|中信銀行共用""), REGEXMATCH(F11204, ""Ben帳戶|Elsa帳戶|Ben代墊|Ariel代墊|中信銀行共用"")), ""內部轉帳(忽略)"",
  AND(E11204&lt;&gt;"""", F11204&lt;&gt;"&amp;""""", NOT(REGEXMATCH(C11204, ""薪資""))), ""內部轉帳(忽略)"",
  REGEXMATCH(C11204, ""薪資""), ""薪資變動(不計入)"",
  REGEXMATCH(C11204, ""押金""), ""押金往來"",
  AND(E11204&lt;&gt;"""", F11204=""""), ""真實支出"",
  AND(E11204="""", F11204&lt;&gt;""""), ""真實收入"",
  TRUE, ""其他""
)"),"其他")</f>
        <v>其他</v>
      </c>
      <c r="K11204" s="270" t="str">
        <f t="shared" si="2"/>
        <v/>
      </c>
      <c r="L11204">
        <f t="shared" si="3"/>
        <v>0</v>
      </c>
    </row>
    <row r="11205">
      <c r="A11205" s="107"/>
      <c r="D11205" s="270"/>
      <c r="H11205" s="106" t="str">
        <f t="shared" si="1"/>
        <v/>
      </c>
      <c r="J11205" t="str">
        <f>IFERROR(__xludf.DUMMYFUNCTION("IFS(
  AND(REGEXMATCH(E11205, ""台銀籌備帳戶|玉山帳戶""), REGEXMATCH(C11205, ""薪資"")), ""分潤支出"",
  AND(REGEXMATCH(E11205, ""Ben帳戶|Elsa帳戶|Ben代墊|Ariel代墊|中信銀行共用""), REGEXMATCH(F11205, ""Ben帳戶|Elsa帳戶|Ben代墊|Ariel代墊|中信銀行共用"")), ""內部轉帳(忽略)"",
  AND(E11205&lt;&gt;"""", F11205&lt;&gt;"&amp;""""", NOT(REGEXMATCH(C11205, ""薪資""))), ""內部轉帳(忽略)"",
  REGEXMATCH(C11205, ""薪資""), ""薪資變動(不計入)"",
  REGEXMATCH(C11205, ""押金""), ""押金往來"",
  AND(E11205&lt;&gt;"""", F11205=""""), ""真實支出"",
  AND(E11205="""", F11205&lt;&gt;""""), ""真實收入"",
  TRUE, ""其他""
)"),"其他")</f>
        <v>其他</v>
      </c>
      <c r="K11205" s="270" t="str">
        <f t="shared" si="2"/>
        <v/>
      </c>
      <c r="L11205">
        <f t="shared" si="3"/>
        <v>0</v>
      </c>
    </row>
    <row r="11206">
      <c r="A11206" s="107"/>
      <c r="D11206" s="270"/>
      <c r="H11206" s="106" t="str">
        <f t="shared" si="1"/>
        <v/>
      </c>
      <c r="J11206" t="str">
        <f>IFERROR(__xludf.DUMMYFUNCTION("IFS(
  AND(REGEXMATCH(E11206, ""台銀籌備帳戶|玉山帳戶""), REGEXMATCH(C11206, ""薪資"")), ""分潤支出"",
  AND(REGEXMATCH(E11206, ""Ben帳戶|Elsa帳戶|Ben代墊|Ariel代墊|中信銀行共用""), REGEXMATCH(F11206, ""Ben帳戶|Elsa帳戶|Ben代墊|Ariel代墊|中信銀行共用"")), ""內部轉帳(忽略)"",
  AND(E11206&lt;&gt;"""", F11206&lt;&gt;"&amp;""""", NOT(REGEXMATCH(C11206, ""薪資""))), ""內部轉帳(忽略)"",
  REGEXMATCH(C11206, ""薪資""), ""薪資變動(不計入)"",
  REGEXMATCH(C11206, ""押金""), ""押金往來"",
  AND(E11206&lt;&gt;"""", F11206=""""), ""真實支出"",
  AND(E11206="""", F11206&lt;&gt;""""), ""真實收入"",
  TRUE, ""其他""
)"),"其他")</f>
        <v>其他</v>
      </c>
      <c r="K11206" s="270" t="str">
        <f t="shared" si="2"/>
        <v/>
      </c>
      <c r="L11206">
        <f t="shared" si="3"/>
        <v>0</v>
      </c>
    </row>
    <row r="11207">
      <c r="A11207" s="107"/>
      <c r="D11207" s="270"/>
      <c r="H11207" s="106" t="str">
        <f t="shared" si="1"/>
        <v/>
      </c>
      <c r="J11207" t="str">
        <f>IFERROR(__xludf.DUMMYFUNCTION("IFS(
  AND(REGEXMATCH(E11207, ""台銀籌備帳戶|玉山帳戶""), REGEXMATCH(C11207, ""薪資"")), ""分潤支出"",
  AND(REGEXMATCH(E11207, ""Ben帳戶|Elsa帳戶|Ben代墊|Ariel代墊|中信銀行共用""), REGEXMATCH(F11207, ""Ben帳戶|Elsa帳戶|Ben代墊|Ariel代墊|中信銀行共用"")), ""內部轉帳(忽略)"",
  AND(E11207&lt;&gt;"""", F11207&lt;&gt;"&amp;""""", NOT(REGEXMATCH(C11207, ""薪資""))), ""內部轉帳(忽略)"",
  REGEXMATCH(C11207, ""薪資""), ""薪資變動(不計入)"",
  REGEXMATCH(C11207, ""押金""), ""押金往來"",
  AND(E11207&lt;&gt;"""", F11207=""""), ""真實支出"",
  AND(E11207="""", F11207&lt;&gt;""""), ""真實收入"",
  TRUE, ""其他""
)"),"其他")</f>
        <v>其他</v>
      </c>
      <c r="K11207" s="270" t="str">
        <f t="shared" si="2"/>
        <v/>
      </c>
      <c r="L11207">
        <f t="shared" si="3"/>
        <v>0</v>
      </c>
    </row>
    <row r="11208">
      <c r="A11208" s="107"/>
      <c r="D11208" s="270"/>
      <c r="H11208" s="106" t="str">
        <f t="shared" si="1"/>
        <v/>
      </c>
      <c r="J11208" t="str">
        <f>IFERROR(__xludf.DUMMYFUNCTION("IFS(
  AND(REGEXMATCH(E11208, ""台銀籌備帳戶|玉山帳戶""), REGEXMATCH(C11208, ""薪資"")), ""分潤支出"",
  AND(REGEXMATCH(E11208, ""Ben帳戶|Elsa帳戶|Ben代墊|Ariel代墊|中信銀行共用""), REGEXMATCH(F11208, ""Ben帳戶|Elsa帳戶|Ben代墊|Ariel代墊|中信銀行共用"")), ""內部轉帳(忽略)"",
  AND(E11208&lt;&gt;"""", F11208&lt;&gt;"&amp;""""", NOT(REGEXMATCH(C11208, ""薪資""))), ""內部轉帳(忽略)"",
  REGEXMATCH(C11208, ""薪資""), ""薪資變動(不計入)"",
  REGEXMATCH(C11208, ""押金""), ""押金往來"",
  AND(E11208&lt;&gt;"""", F11208=""""), ""真實支出"",
  AND(E11208="""", F11208&lt;&gt;""""), ""真實收入"",
  TRUE, ""其他""
)"),"其他")</f>
        <v>其他</v>
      </c>
      <c r="K11208" s="270" t="str">
        <f t="shared" si="2"/>
        <v/>
      </c>
      <c r="L11208">
        <f t="shared" si="3"/>
        <v>0</v>
      </c>
    </row>
    <row r="11209">
      <c r="A11209" s="107"/>
      <c r="D11209" s="270"/>
      <c r="H11209" s="106" t="str">
        <f t="shared" si="1"/>
        <v/>
      </c>
      <c r="J11209" t="str">
        <f>IFERROR(__xludf.DUMMYFUNCTION("IFS(
  AND(REGEXMATCH(E11209, ""台銀籌備帳戶|玉山帳戶""), REGEXMATCH(C11209, ""薪資"")), ""分潤支出"",
  AND(REGEXMATCH(E11209, ""Ben帳戶|Elsa帳戶|Ben代墊|Ariel代墊|中信銀行共用""), REGEXMATCH(F11209, ""Ben帳戶|Elsa帳戶|Ben代墊|Ariel代墊|中信銀行共用"")), ""內部轉帳(忽略)"",
  AND(E11209&lt;&gt;"""", F11209&lt;&gt;"&amp;""""", NOT(REGEXMATCH(C11209, ""薪資""))), ""內部轉帳(忽略)"",
  REGEXMATCH(C11209, ""薪資""), ""薪資變動(不計入)"",
  REGEXMATCH(C11209, ""押金""), ""押金往來"",
  AND(E11209&lt;&gt;"""", F11209=""""), ""真實支出"",
  AND(E11209="""", F11209&lt;&gt;""""), ""真實收入"",
  TRUE, ""其他""
)"),"其他")</f>
        <v>其他</v>
      </c>
      <c r="K11209" s="270" t="str">
        <f t="shared" si="2"/>
        <v/>
      </c>
      <c r="L11209">
        <f t="shared" si="3"/>
        <v>0</v>
      </c>
    </row>
    <row r="11210">
      <c r="A11210" s="107"/>
      <c r="D11210" s="270"/>
      <c r="H11210" s="106" t="str">
        <f t="shared" si="1"/>
        <v/>
      </c>
      <c r="J11210" t="str">
        <f>IFERROR(__xludf.DUMMYFUNCTION("IFS(
  AND(REGEXMATCH(E11210, ""台銀籌備帳戶|玉山帳戶""), REGEXMATCH(C11210, ""薪資"")), ""分潤支出"",
  AND(REGEXMATCH(E11210, ""Ben帳戶|Elsa帳戶|Ben代墊|Ariel代墊|中信銀行共用""), REGEXMATCH(F11210, ""Ben帳戶|Elsa帳戶|Ben代墊|Ariel代墊|中信銀行共用"")), ""內部轉帳(忽略)"",
  AND(E11210&lt;&gt;"""", F11210&lt;&gt;"&amp;""""", NOT(REGEXMATCH(C11210, ""薪資""))), ""內部轉帳(忽略)"",
  REGEXMATCH(C11210, ""薪資""), ""薪資變動(不計入)"",
  REGEXMATCH(C11210, ""押金""), ""押金往來"",
  AND(E11210&lt;&gt;"""", F11210=""""), ""真實支出"",
  AND(E11210="""", F11210&lt;&gt;""""), ""真實收入"",
  TRUE, ""其他""
)"),"其他")</f>
        <v>其他</v>
      </c>
      <c r="K11210" s="270" t="str">
        <f t="shared" si="2"/>
        <v/>
      </c>
      <c r="L11210">
        <f t="shared" si="3"/>
        <v>0</v>
      </c>
    </row>
    <row r="11211">
      <c r="A11211" s="107"/>
      <c r="D11211" s="270"/>
      <c r="H11211" s="106" t="str">
        <f t="shared" si="1"/>
        <v/>
      </c>
      <c r="J11211" t="str">
        <f>IFERROR(__xludf.DUMMYFUNCTION("IFS(
  AND(REGEXMATCH(E11211, ""台銀籌備帳戶|玉山帳戶""), REGEXMATCH(C11211, ""薪資"")), ""分潤支出"",
  AND(REGEXMATCH(E11211, ""Ben帳戶|Elsa帳戶|Ben代墊|Ariel代墊|中信銀行共用""), REGEXMATCH(F11211, ""Ben帳戶|Elsa帳戶|Ben代墊|Ariel代墊|中信銀行共用"")), ""內部轉帳(忽略)"",
  AND(E11211&lt;&gt;"""", F11211&lt;&gt;"&amp;""""", NOT(REGEXMATCH(C11211, ""薪資""))), ""內部轉帳(忽略)"",
  REGEXMATCH(C11211, ""薪資""), ""薪資變動(不計入)"",
  REGEXMATCH(C11211, ""押金""), ""押金往來"",
  AND(E11211&lt;&gt;"""", F11211=""""), ""真實支出"",
  AND(E11211="""", F11211&lt;&gt;""""), ""真實收入"",
  TRUE, ""其他""
)"),"其他")</f>
        <v>其他</v>
      </c>
      <c r="K11211" s="270" t="str">
        <f t="shared" si="2"/>
        <v/>
      </c>
      <c r="L11211">
        <f t="shared" si="3"/>
        <v>0</v>
      </c>
    </row>
    <row r="11212">
      <c r="A11212" s="107"/>
      <c r="D11212" s="270"/>
      <c r="H11212" s="106" t="str">
        <f t="shared" si="1"/>
        <v/>
      </c>
      <c r="J11212" t="str">
        <f>IFERROR(__xludf.DUMMYFUNCTION("IFS(
  AND(REGEXMATCH(E11212, ""台銀籌備帳戶|玉山帳戶""), REGEXMATCH(C11212, ""薪資"")), ""分潤支出"",
  AND(REGEXMATCH(E11212, ""Ben帳戶|Elsa帳戶|Ben代墊|Ariel代墊|中信銀行共用""), REGEXMATCH(F11212, ""Ben帳戶|Elsa帳戶|Ben代墊|Ariel代墊|中信銀行共用"")), ""內部轉帳(忽略)"",
  AND(E11212&lt;&gt;"""", F11212&lt;&gt;"&amp;""""", NOT(REGEXMATCH(C11212, ""薪資""))), ""內部轉帳(忽略)"",
  REGEXMATCH(C11212, ""薪資""), ""薪資變動(不計入)"",
  REGEXMATCH(C11212, ""押金""), ""押金往來"",
  AND(E11212&lt;&gt;"""", F11212=""""), ""真實支出"",
  AND(E11212="""", F11212&lt;&gt;""""), ""真實收入"",
  TRUE, ""其他""
)"),"其他")</f>
        <v>其他</v>
      </c>
      <c r="K11212" s="270" t="str">
        <f t="shared" si="2"/>
        <v/>
      </c>
      <c r="L11212">
        <f t="shared" si="3"/>
        <v>0</v>
      </c>
    </row>
    <row r="11213">
      <c r="A11213" s="107"/>
      <c r="D11213" s="270"/>
      <c r="H11213" s="106" t="str">
        <f t="shared" si="1"/>
        <v/>
      </c>
      <c r="J11213" t="str">
        <f>IFERROR(__xludf.DUMMYFUNCTION("IFS(
  AND(REGEXMATCH(E11213, ""台銀籌備帳戶|玉山帳戶""), REGEXMATCH(C11213, ""薪資"")), ""分潤支出"",
  AND(REGEXMATCH(E11213, ""Ben帳戶|Elsa帳戶|Ben代墊|Ariel代墊|中信銀行共用""), REGEXMATCH(F11213, ""Ben帳戶|Elsa帳戶|Ben代墊|Ariel代墊|中信銀行共用"")), ""內部轉帳(忽略)"",
  AND(E11213&lt;&gt;"""", F11213&lt;&gt;"&amp;""""", NOT(REGEXMATCH(C11213, ""薪資""))), ""內部轉帳(忽略)"",
  REGEXMATCH(C11213, ""薪資""), ""薪資變動(不計入)"",
  REGEXMATCH(C11213, ""押金""), ""押金往來"",
  AND(E11213&lt;&gt;"""", F11213=""""), ""真實支出"",
  AND(E11213="""", F11213&lt;&gt;""""), ""真實收入"",
  TRUE, ""其他""
)"),"其他")</f>
        <v>其他</v>
      </c>
      <c r="K11213" s="270" t="str">
        <f t="shared" si="2"/>
        <v/>
      </c>
      <c r="L11213">
        <f t="shared" si="3"/>
        <v>0</v>
      </c>
    </row>
    <row r="11214">
      <c r="A11214" s="107"/>
      <c r="D11214" s="270"/>
      <c r="H11214" s="106" t="str">
        <f t="shared" si="1"/>
        <v/>
      </c>
      <c r="J11214" t="str">
        <f>IFERROR(__xludf.DUMMYFUNCTION("IFS(
  AND(REGEXMATCH(E11214, ""台銀籌備帳戶|玉山帳戶""), REGEXMATCH(C11214, ""薪資"")), ""分潤支出"",
  AND(REGEXMATCH(E11214, ""Ben帳戶|Elsa帳戶|Ben代墊|Ariel代墊|中信銀行共用""), REGEXMATCH(F11214, ""Ben帳戶|Elsa帳戶|Ben代墊|Ariel代墊|中信銀行共用"")), ""內部轉帳(忽略)"",
  AND(E11214&lt;&gt;"""", F11214&lt;&gt;"&amp;""""", NOT(REGEXMATCH(C11214, ""薪資""))), ""內部轉帳(忽略)"",
  REGEXMATCH(C11214, ""薪資""), ""薪資變動(不計入)"",
  REGEXMATCH(C11214, ""押金""), ""押金往來"",
  AND(E11214&lt;&gt;"""", F11214=""""), ""真實支出"",
  AND(E11214="""", F11214&lt;&gt;""""), ""真實收入"",
  TRUE, ""其他""
)"),"其他")</f>
        <v>其他</v>
      </c>
      <c r="K11214" s="270" t="str">
        <f t="shared" si="2"/>
        <v/>
      </c>
      <c r="L11214">
        <f t="shared" si="3"/>
        <v>0</v>
      </c>
    </row>
    <row r="11215">
      <c r="A11215" s="107"/>
      <c r="D11215" s="270"/>
      <c r="H11215" s="106" t="str">
        <f t="shared" si="1"/>
        <v/>
      </c>
      <c r="J11215" t="str">
        <f>IFERROR(__xludf.DUMMYFUNCTION("IFS(
  AND(REGEXMATCH(E11215, ""台銀籌備帳戶|玉山帳戶""), REGEXMATCH(C11215, ""薪資"")), ""分潤支出"",
  AND(REGEXMATCH(E11215, ""Ben帳戶|Elsa帳戶|Ben代墊|Ariel代墊|中信銀行共用""), REGEXMATCH(F11215, ""Ben帳戶|Elsa帳戶|Ben代墊|Ariel代墊|中信銀行共用"")), ""內部轉帳(忽略)"",
  AND(E11215&lt;&gt;"""", F11215&lt;&gt;"&amp;""""", NOT(REGEXMATCH(C11215, ""薪資""))), ""內部轉帳(忽略)"",
  REGEXMATCH(C11215, ""薪資""), ""薪資變動(不計入)"",
  REGEXMATCH(C11215, ""押金""), ""押金往來"",
  AND(E11215&lt;&gt;"""", F11215=""""), ""真實支出"",
  AND(E11215="""", F11215&lt;&gt;""""), ""真實收入"",
  TRUE, ""其他""
)"),"其他")</f>
        <v>其他</v>
      </c>
      <c r="K11215" s="270" t="str">
        <f t="shared" si="2"/>
        <v/>
      </c>
      <c r="L11215">
        <f t="shared" si="3"/>
        <v>0</v>
      </c>
    </row>
    <row r="11216">
      <c r="A11216" s="107"/>
      <c r="D11216" s="270"/>
      <c r="H11216" s="106" t="str">
        <f t="shared" si="1"/>
        <v/>
      </c>
      <c r="J11216" t="str">
        <f>IFERROR(__xludf.DUMMYFUNCTION("IFS(
  AND(REGEXMATCH(E11216, ""台銀籌備帳戶|玉山帳戶""), REGEXMATCH(C11216, ""薪資"")), ""分潤支出"",
  AND(REGEXMATCH(E11216, ""Ben帳戶|Elsa帳戶|Ben代墊|Ariel代墊|中信銀行共用""), REGEXMATCH(F11216, ""Ben帳戶|Elsa帳戶|Ben代墊|Ariel代墊|中信銀行共用"")), ""內部轉帳(忽略)"",
  AND(E11216&lt;&gt;"""", F11216&lt;&gt;"&amp;""""", NOT(REGEXMATCH(C11216, ""薪資""))), ""內部轉帳(忽略)"",
  REGEXMATCH(C11216, ""薪資""), ""薪資變動(不計入)"",
  REGEXMATCH(C11216, ""押金""), ""押金往來"",
  AND(E11216&lt;&gt;"""", F11216=""""), ""真實支出"",
  AND(E11216="""", F11216&lt;&gt;""""), ""真實收入"",
  TRUE, ""其他""
)"),"其他")</f>
        <v>其他</v>
      </c>
      <c r="K11216" s="270" t="str">
        <f t="shared" si="2"/>
        <v/>
      </c>
      <c r="L11216">
        <f t="shared" si="3"/>
        <v>0</v>
      </c>
    </row>
    <row r="11217">
      <c r="A11217" s="107"/>
      <c r="D11217" s="270"/>
      <c r="H11217" s="106" t="str">
        <f t="shared" si="1"/>
        <v/>
      </c>
      <c r="J11217" t="str">
        <f>IFERROR(__xludf.DUMMYFUNCTION("IFS(
  AND(REGEXMATCH(E11217, ""台銀籌備帳戶|玉山帳戶""), REGEXMATCH(C11217, ""薪資"")), ""分潤支出"",
  AND(REGEXMATCH(E11217, ""Ben帳戶|Elsa帳戶|Ben代墊|Ariel代墊|中信銀行共用""), REGEXMATCH(F11217, ""Ben帳戶|Elsa帳戶|Ben代墊|Ariel代墊|中信銀行共用"")), ""內部轉帳(忽略)"",
  AND(E11217&lt;&gt;"""", F11217&lt;&gt;"&amp;""""", NOT(REGEXMATCH(C11217, ""薪資""))), ""內部轉帳(忽略)"",
  REGEXMATCH(C11217, ""薪資""), ""薪資變動(不計入)"",
  REGEXMATCH(C11217, ""押金""), ""押金往來"",
  AND(E11217&lt;&gt;"""", F11217=""""), ""真實支出"",
  AND(E11217="""", F11217&lt;&gt;""""), ""真實收入"",
  TRUE, ""其他""
)"),"其他")</f>
        <v>其他</v>
      </c>
      <c r="K11217" s="270" t="str">
        <f t="shared" si="2"/>
        <v/>
      </c>
      <c r="L11217">
        <f t="shared" si="3"/>
        <v>0</v>
      </c>
    </row>
    <row r="11218">
      <c r="A11218" s="107"/>
      <c r="D11218" s="270"/>
      <c r="H11218" s="106" t="str">
        <f t="shared" si="1"/>
        <v/>
      </c>
      <c r="J11218" t="str">
        <f>IFERROR(__xludf.DUMMYFUNCTION("IFS(
  AND(REGEXMATCH(E11218, ""台銀籌備帳戶|玉山帳戶""), REGEXMATCH(C11218, ""薪資"")), ""分潤支出"",
  AND(REGEXMATCH(E11218, ""Ben帳戶|Elsa帳戶|Ben代墊|Ariel代墊|中信銀行共用""), REGEXMATCH(F11218, ""Ben帳戶|Elsa帳戶|Ben代墊|Ariel代墊|中信銀行共用"")), ""內部轉帳(忽略)"",
  AND(E11218&lt;&gt;"""", F11218&lt;&gt;"&amp;""""", NOT(REGEXMATCH(C11218, ""薪資""))), ""內部轉帳(忽略)"",
  REGEXMATCH(C11218, ""薪資""), ""薪資變動(不計入)"",
  REGEXMATCH(C11218, ""押金""), ""押金往來"",
  AND(E11218&lt;&gt;"""", F11218=""""), ""真實支出"",
  AND(E11218="""", F11218&lt;&gt;""""), ""真實收入"",
  TRUE, ""其他""
)"),"其他")</f>
        <v>其他</v>
      </c>
      <c r="K11218" s="270" t="str">
        <f t="shared" si="2"/>
        <v/>
      </c>
      <c r="L11218">
        <f t="shared" si="3"/>
        <v>0</v>
      </c>
    </row>
    <row r="11219">
      <c r="A11219" s="107"/>
      <c r="D11219" s="270"/>
      <c r="H11219" s="106" t="str">
        <f t="shared" si="1"/>
        <v/>
      </c>
      <c r="J11219" t="str">
        <f>IFERROR(__xludf.DUMMYFUNCTION("IFS(
  AND(REGEXMATCH(E11219, ""台銀籌備帳戶|玉山帳戶""), REGEXMATCH(C11219, ""薪資"")), ""分潤支出"",
  AND(REGEXMATCH(E11219, ""Ben帳戶|Elsa帳戶|Ben代墊|Ariel代墊|中信銀行共用""), REGEXMATCH(F11219, ""Ben帳戶|Elsa帳戶|Ben代墊|Ariel代墊|中信銀行共用"")), ""內部轉帳(忽略)"",
  AND(E11219&lt;&gt;"""", F11219&lt;&gt;"&amp;""""", NOT(REGEXMATCH(C11219, ""薪資""))), ""內部轉帳(忽略)"",
  REGEXMATCH(C11219, ""薪資""), ""薪資變動(不計入)"",
  REGEXMATCH(C11219, ""押金""), ""押金往來"",
  AND(E11219&lt;&gt;"""", F11219=""""), ""真實支出"",
  AND(E11219="""", F11219&lt;&gt;""""), ""真實收入"",
  TRUE, ""其他""
)"),"其他")</f>
        <v>其他</v>
      </c>
      <c r="K11219" s="270" t="str">
        <f t="shared" si="2"/>
        <v/>
      </c>
      <c r="L11219">
        <f t="shared" si="3"/>
        <v>0</v>
      </c>
    </row>
    <row r="11220">
      <c r="A11220" s="107"/>
      <c r="D11220" s="270"/>
      <c r="H11220" s="106" t="str">
        <f t="shared" si="1"/>
        <v/>
      </c>
      <c r="J11220" t="str">
        <f>IFERROR(__xludf.DUMMYFUNCTION("IFS(
  AND(REGEXMATCH(E11220, ""台銀籌備帳戶|玉山帳戶""), REGEXMATCH(C11220, ""薪資"")), ""分潤支出"",
  AND(REGEXMATCH(E11220, ""Ben帳戶|Elsa帳戶|Ben代墊|Ariel代墊|中信銀行共用""), REGEXMATCH(F11220, ""Ben帳戶|Elsa帳戶|Ben代墊|Ariel代墊|中信銀行共用"")), ""內部轉帳(忽略)"",
  AND(E11220&lt;&gt;"""", F11220&lt;&gt;"&amp;""""", NOT(REGEXMATCH(C11220, ""薪資""))), ""內部轉帳(忽略)"",
  REGEXMATCH(C11220, ""薪資""), ""薪資變動(不計入)"",
  REGEXMATCH(C11220, ""押金""), ""押金往來"",
  AND(E11220&lt;&gt;"""", F11220=""""), ""真實支出"",
  AND(E11220="""", F11220&lt;&gt;""""), ""真實收入"",
  TRUE, ""其他""
)"),"其他")</f>
        <v>其他</v>
      </c>
      <c r="K11220" s="270" t="str">
        <f t="shared" si="2"/>
        <v/>
      </c>
      <c r="L11220">
        <f t="shared" si="3"/>
        <v>0</v>
      </c>
    </row>
    <row r="11221">
      <c r="A11221" s="107"/>
      <c r="D11221" s="270"/>
      <c r="H11221" s="106" t="str">
        <f t="shared" si="1"/>
        <v/>
      </c>
      <c r="J11221" t="str">
        <f>IFERROR(__xludf.DUMMYFUNCTION("IFS(
  AND(REGEXMATCH(E11221, ""台銀籌備帳戶|玉山帳戶""), REGEXMATCH(C11221, ""薪資"")), ""分潤支出"",
  AND(REGEXMATCH(E11221, ""Ben帳戶|Elsa帳戶|Ben代墊|Ariel代墊|中信銀行共用""), REGEXMATCH(F11221, ""Ben帳戶|Elsa帳戶|Ben代墊|Ariel代墊|中信銀行共用"")), ""內部轉帳(忽略)"",
  AND(E11221&lt;&gt;"""", F11221&lt;&gt;"&amp;""""", NOT(REGEXMATCH(C11221, ""薪資""))), ""內部轉帳(忽略)"",
  REGEXMATCH(C11221, ""薪資""), ""薪資變動(不計入)"",
  REGEXMATCH(C11221, ""押金""), ""押金往來"",
  AND(E11221&lt;&gt;"""", F11221=""""), ""真實支出"",
  AND(E11221="""", F11221&lt;&gt;""""), ""真實收入"",
  TRUE, ""其他""
)"),"其他")</f>
        <v>其他</v>
      </c>
      <c r="K11221" s="270" t="str">
        <f t="shared" si="2"/>
        <v/>
      </c>
      <c r="L11221">
        <f t="shared" si="3"/>
        <v>0</v>
      </c>
    </row>
    <row r="11222">
      <c r="A11222" s="107"/>
      <c r="D11222" s="270"/>
      <c r="H11222" s="106" t="str">
        <f t="shared" si="1"/>
        <v/>
      </c>
      <c r="J11222" t="str">
        <f>IFERROR(__xludf.DUMMYFUNCTION("IFS(
  AND(REGEXMATCH(E11222, ""台銀籌備帳戶|玉山帳戶""), REGEXMATCH(C11222, ""薪資"")), ""分潤支出"",
  AND(REGEXMATCH(E11222, ""Ben帳戶|Elsa帳戶|Ben代墊|Ariel代墊|中信銀行共用""), REGEXMATCH(F11222, ""Ben帳戶|Elsa帳戶|Ben代墊|Ariel代墊|中信銀行共用"")), ""內部轉帳(忽略)"",
  AND(E11222&lt;&gt;"""", F11222&lt;&gt;"&amp;""""", NOT(REGEXMATCH(C11222, ""薪資""))), ""內部轉帳(忽略)"",
  REGEXMATCH(C11222, ""薪資""), ""薪資變動(不計入)"",
  REGEXMATCH(C11222, ""押金""), ""押金往來"",
  AND(E11222&lt;&gt;"""", F11222=""""), ""真實支出"",
  AND(E11222="""", F11222&lt;&gt;""""), ""真實收入"",
  TRUE, ""其他""
)"),"其他")</f>
        <v>其他</v>
      </c>
      <c r="K11222" s="270" t="str">
        <f t="shared" si="2"/>
        <v/>
      </c>
      <c r="L11222">
        <f t="shared" si="3"/>
        <v>0</v>
      </c>
    </row>
    <row r="11223">
      <c r="A11223" s="107"/>
      <c r="D11223" s="270"/>
      <c r="H11223" s="106" t="str">
        <f t="shared" si="1"/>
        <v/>
      </c>
      <c r="J11223" t="str">
        <f>IFERROR(__xludf.DUMMYFUNCTION("IFS(
  AND(REGEXMATCH(E11223, ""台銀籌備帳戶|玉山帳戶""), REGEXMATCH(C11223, ""薪資"")), ""分潤支出"",
  AND(REGEXMATCH(E11223, ""Ben帳戶|Elsa帳戶|Ben代墊|Ariel代墊|中信銀行共用""), REGEXMATCH(F11223, ""Ben帳戶|Elsa帳戶|Ben代墊|Ariel代墊|中信銀行共用"")), ""內部轉帳(忽略)"",
  AND(E11223&lt;&gt;"""", F11223&lt;&gt;"&amp;""""", NOT(REGEXMATCH(C11223, ""薪資""))), ""內部轉帳(忽略)"",
  REGEXMATCH(C11223, ""薪資""), ""薪資變動(不計入)"",
  REGEXMATCH(C11223, ""押金""), ""押金往來"",
  AND(E11223&lt;&gt;"""", F11223=""""), ""真實支出"",
  AND(E11223="""", F11223&lt;&gt;""""), ""真實收入"",
  TRUE, ""其他""
)"),"其他")</f>
        <v>其他</v>
      </c>
      <c r="K11223" s="270" t="str">
        <f t="shared" si="2"/>
        <v/>
      </c>
      <c r="L11223">
        <f t="shared" si="3"/>
        <v>0</v>
      </c>
    </row>
    <row r="11224">
      <c r="A11224" s="107"/>
      <c r="D11224" s="270"/>
      <c r="H11224" s="106" t="str">
        <f t="shared" si="1"/>
        <v/>
      </c>
      <c r="J11224" t="str">
        <f>IFERROR(__xludf.DUMMYFUNCTION("IFS(
  AND(REGEXMATCH(E11224, ""台銀籌備帳戶|玉山帳戶""), REGEXMATCH(C11224, ""薪資"")), ""分潤支出"",
  AND(REGEXMATCH(E11224, ""Ben帳戶|Elsa帳戶|Ben代墊|Ariel代墊|中信銀行共用""), REGEXMATCH(F11224, ""Ben帳戶|Elsa帳戶|Ben代墊|Ariel代墊|中信銀行共用"")), ""內部轉帳(忽略)"",
  AND(E11224&lt;&gt;"""", F11224&lt;&gt;"&amp;""""", NOT(REGEXMATCH(C11224, ""薪資""))), ""內部轉帳(忽略)"",
  REGEXMATCH(C11224, ""薪資""), ""薪資變動(不計入)"",
  REGEXMATCH(C11224, ""押金""), ""押金往來"",
  AND(E11224&lt;&gt;"""", F11224=""""), ""真實支出"",
  AND(E11224="""", F11224&lt;&gt;""""), ""真實收入"",
  TRUE, ""其他""
)"),"其他")</f>
        <v>其他</v>
      </c>
      <c r="K11224" s="270" t="str">
        <f t="shared" si="2"/>
        <v/>
      </c>
      <c r="L11224">
        <f t="shared" si="3"/>
        <v>0</v>
      </c>
    </row>
    <row r="11225">
      <c r="A11225" s="107"/>
      <c r="D11225" s="270"/>
      <c r="H11225" s="106" t="str">
        <f t="shared" si="1"/>
        <v/>
      </c>
      <c r="J11225" t="str">
        <f>IFERROR(__xludf.DUMMYFUNCTION("IFS(
  AND(REGEXMATCH(E11225, ""台銀籌備帳戶|玉山帳戶""), REGEXMATCH(C11225, ""薪資"")), ""分潤支出"",
  AND(REGEXMATCH(E11225, ""Ben帳戶|Elsa帳戶|Ben代墊|Ariel代墊|中信銀行共用""), REGEXMATCH(F11225, ""Ben帳戶|Elsa帳戶|Ben代墊|Ariel代墊|中信銀行共用"")), ""內部轉帳(忽略)"",
  AND(E11225&lt;&gt;"""", F11225&lt;&gt;"&amp;""""", NOT(REGEXMATCH(C11225, ""薪資""))), ""內部轉帳(忽略)"",
  REGEXMATCH(C11225, ""薪資""), ""薪資變動(不計入)"",
  REGEXMATCH(C11225, ""押金""), ""押金往來"",
  AND(E11225&lt;&gt;"""", F11225=""""), ""真實支出"",
  AND(E11225="""", F11225&lt;&gt;""""), ""真實收入"",
  TRUE, ""其他""
)"),"其他")</f>
        <v>其他</v>
      </c>
      <c r="K11225" s="270" t="str">
        <f t="shared" si="2"/>
        <v/>
      </c>
      <c r="L11225">
        <f t="shared" si="3"/>
        <v>0</v>
      </c>
    </row>
    <row r="11226">
      <c r="A11226" s="107"/>
      <c r="D11226" s="270"/>
      <c r="H11226" s="106" t="str">
        <f t="shared" si="1"/>
        <v/>
      </c>
      <c r="J11226" t="str">
        <f>IFERROR(__xludf.DUMMYFUNCTION("IFS(
  AND(REGEXMATCH(E11226, ""台銀籌備帳戶|玉山帳戶""), REGEXMATCH(C11226, ""薪資"")), ""分潤支出"",
  AND(REGEXMATCH(E11226, ""Ben帳戶|Elsa帳戶|Ben代墊|Ariel代墊|中信銀行共用""), REGEXMATCH(F11226, ""Ben帳戶|Elsa帳戶|Ben代墊|Ariel代墊|中信銀行共用"")), ""內部轉帳(忽略)"",
  AND(E11226&lt;&gt;"""", F11226&lt;&gt;"&amp;""""", NOT(REGEXMATCH(C11226, ""薪資""))), ""內部轉帳(忽略)"",
  REGEXMATCH(C11226, ""薪資""), ""薪資變動(不計入)"",
  REGEXMATCH(C11226, ""押金""), ""押金往來"",
  AND(E11226&lt;&gt;"""", F11226=""""), ""真實支出"",
  AND(E11226="""", F11226&lt;&gt;""""), ""真實收入"",
  TRUE, ""其他""
)"),"其他")</f>
        <v>其他</v>
      </c>
      <c r="K11226" s="270" t="str">
        <f t="shared" si="2"/>
        <v/>
      </c>
      <c r="L11226">
        <f t="shared" si="3"/>
        <v>0</v>
      </c>
    </row>
    <row r="11227">
      <c r="A11227" s="107"/>
      <c r="D11227" s="270"/>
      <c r="H11227" s="106" t="str">
        <f t="shared" si="1"/>
        <v/>
      </c>
      <c r="J11227" t="str">
        <f>IFERROR(__xludf.DUMMYFUNCTION("IFS(
  AND(REGEXMATCH(E11227, ""台銀籌備帳戶|玉山帳戶""), REGEXMATCH(C11227, ""薪資"")), ""分潤支出"",
  AND(REGEXMATCH(E11227, ""Ben帳戶|Elsa帳戶|Ben代墊|Ariel代墊|中信銀行共用""), REGEXMATCH(F11227, ""Ben帳戶|Elsa帳戶|Ben代墊|Ariel代墊|中信銀行共用"")), ""內部轉帳(忽略)"",
  AND(E11227&lt;&gt;"""", F11227&lt;&gt;"&amp;""""", NOT(REGEXMATCH(C11227, ""薪資""))), ""內部轉帳(忽略)"",
  REGEXMATCH(C11227, ""薪資""), ""薪資變動(不計入)"",
  REGEXMATCH(C11227, ""押金""), ""押金往來"",
  AND(E11227&lt;&gt;"""", F11227=""""), ""真實支出"",
  AND(E11227="""", F11227&lt;&gt;""""), ""真實收入"",
  TRUE, ""其他""
)"),"其他")</f>
        <v>其他</v>
      </c>
      <c r="K11227" s="270" t="str">
        <f t="shared" si="2"/>
        <v/>
      </c>
      <c r="L11227">
        <f t="shared" si="3"/>
        <v>0</v>
      </c>
    </row>
    <row r="11228">
      <c r="A11228" s="107"/>
      <c r="D11228" s="270"/>
      <c r="H11228" s="106" t="str">
        <f t="shared" si="1"/>
        <v/>
      </c>
      <c r="J11228" t="str">
        <f>IFERROR(__xludf.DUMMYFUNCTION("IFS(
  AND(REGEXMATCH(E11228, ""台銀籌備帳戶|玉山帳戶""), REGEXMATCH(C11228, ""薪資"")), ""分潤支出"",
  AND(REGEXMATCH(E11228, ""Ben帳戶|Elsa帳戶|Ben代墊|Ariel代墊|中信銀行共用""), REGEXMATCH(F11228, ""Ben帳戶|Elsa帳戶|Ben代墊|Ariel代墊|中信銀行共用"")), ""內部轉帳(忽略)"",
  AND(E11228&lt;&gt;"""", F11228&lt;&gt;"&amp;""""", NOT(REGEXMATCH(C11228, ""薪資""))), ""內部轉帳(忽略)"",
  REGEXMATCH(C11228, ""薪資""), ""薪資變動(不計入)"",
  REGEXMATCH(C11228, ""押金""), ""押金往來"",
  AND(E11228&lt;&gt;"""", F11228=""""), ""真實支出"",
  AND(E11228="""", F11228&lt;&gt;""""), ""真實收入"",
  TRUE, ""其他""
)"),"其他")</f>
        <v>其他</v>
      </c>
      <c r="K11228" s="270" t="str">
        <f t="shared" si="2"/>
        <v/>
      </c>
      <c r="L11228">
        <f t="shared" si="3"/>
        <v>0</v>
      </c>
    </row>
    <row r="11229">
      <c r="A11229" s="107"/>
      <c r="D11229" s="270"/>
      <c r="H11229" s="106" t="str">
        <f t="shared" si="1"/>
        <v/>
      </c>
      <c r="J11229" t="str">
        <f>IFERROR(__xludf.DUMMYFUNCTION("IFS(
  AND(REGEXMATCH(E11229, ""台銀籌備帳戶|玉山帳戶""), REGEXMATCH(C11229, ""薪資"")), ""分潤支出"",
  AND(REGEXMATCH(E11229, ""Ben帳戶|Elsa帳戶|Ben代墊|Ariel代墊|中信銀行共用""), REGEXMATCH(F11229, ""Ben帳戶|Elsa帳戶|Ben代墊|Ariel代墊|中信銀行共用"")), ""內部轉帳(忽略)"",
  AND(E11229&lt;&gt;"""", F11229&lt;&gt;"&amp;""""", NOT(REGEXMATCH(C11229, ""薪資""))), ""內部轉帳(忽略)"",
  REGEXMATCH(C11229, ""薪資""), ""薪資變動(不計入)"",
  REGEXMATCH(C11229, ""押金""), ""押金往來"",
  AND(E11229&lt;&gt;"""", F11229=""""), ""真實支出"",
  AND(E11229="""", F11229&lt;&gt;""""), ""真實收入"",
  TRUE, ""其他""
)"),"其他")</f>
        <v>其他</v>
      </c>
      <c r="K11229" s="270" t="str">
        <f t="shared" si="2"/>
        <v/>
      </c>
      <c r="L11229">
        <f t="shared" si="3"/>
        <v>0</v>
      </c>
    </row>
    <row r="11230">
      <c r="A11230" s="107"/>
      <c r="D11230" s="270"/>
      <c r="H11230" s="106" t="str">
        <f t="shared" si="1"/>
        <v/>
      </c>
      <c r="J11230" t="str">
        <f>IFERROR(__xludf.DUMMYFUNCTION("IFS(
  AND(REGEXMATCH(E11230, ""台銀籌備帳戶|玉山帳戶""), REGEXMATCH(C11230, ""薪資"")), ""分潤支出"",
  AND(REGEXMATCH(E11230, ""Ben帳戶|Elsa帳戶|Ben代墊|Ariel代墊|中信銀行共用""), REGEXMATCH(F11230, ""Ben帳戶|Elsa帳戶|Ben代墊|Ariel代墊|中信銀行共用"")), ""內部轉帳(忽略)"",
  AND(E11230&lt;&gt;"""", F11230&lt;&gt;"&amp;""""", NOT(REGEXMATCH(C11230, ""薪資""))), ""內部轉帳(忽略)"",
  REGEXMATCH(C11230, ""薪資""), ""薪資變動(不計入)"",
  REGEXMATCH(C11230, ""押金""), ""押金往來"",
  AND(E11230&lt;&gt;"""", F11230=""""), ""真實支出"",
  AND(E11230="""", F11230&lt;&gt;""""), ""真實收入"",
  TRUE, ""其他""
)"),"其他")</f>
        <v>其他</v>
      </c>
      <c r="K11230" s="270" t="str">
        <f t="shared" si="2"/>
        <v/>
      </c>
      <c r="L11230">
        <f t="shared" si="3"/>
        <v>0</v>
      </c>
    </row>
    <row r="11231">
      <c r="A11231" s="107"/>
      <c r="D11231" s="270"/>
      <c r="H11231" s="106" t="str">
        <f t="shared" si="1"/>
        <v/>
      </c>
      <c r="J11231" t="str">
        <f>IFERROR(__xludf.DUMMYFUNCTION("IFS(
  AND(REGEXMATCH(E11231, ""台銀籌備帳戶|玉山帳戶""), REGEXMATCH(C11231, ""薪資"")), ""分潤支出"",
  AND(REGEXMATCH(E11231, ""Ben帳戶|Elsa帳戶|Ben代墊|Ariel代墊|中信銀行共用""), REGEXMATCH(F11231, ""Ben帳戶|Elsa帳戶|Ben代墊|Ariel代墊|中信銀行共用"")), ""內部轉帳(忽略)"",
  AND(E11231&lt;&gt;"""", F11231&lt;&gt;"&amp;""""", NOT(REGEXMATCH(C11231, ""薪資""))), ""內部轉帳(忽略)"",
  REGEXMATCH(C11231, ""薪資""), ""薪資變動(不計入)"",
  REGEXMATCH(C11231, ""押金""), ""押金往來"",
  AND(E11231&lt;&gt;"""", F11231=""""), ""真實支出"",
  AND(E11231="""", F11231&lt;&gt;""""), ""真實收入"",
  TRUE, ""其他""
)"),"其他")</f>
        <v>其他</v>
      </c>
      <c r="K11231" s="270" t="str">
        <f t="shared" si="2"/>
        <v/>
      </c>
      <c r="L11231">
        <f t="shared" si="3"/>
        <v>0</v>
      </c>
    </row>
    <row r="11232">
      <c r="A11232" s="107"/>
      <c r="D11232" s="270"/>
      <c r="H11232" s="106" t="str">
        <f t="shared" si="1"/>
        <v/>
      </c>
      <c r="J11232" t="str">
        <f>IFERROR(__xludf.DUMMYFUNCTION("IFS(
  AND(REGEXMATCH(E11232, ""台銀籌備帳戶|玉山帳戶""), REGEXMATCH(C11232, ""薪資"")), ""分潤支出"",
  AND(REGEXMATCH(E11232, ""Ben帳戶|Elsa帳戶|Ben代墊|Ariel代墊|中信銀行共用""), REGEXMATCH(F11232, ""Ben帳戶|Elsa帳戶|Ben代墊|Ariel代墊|中信銀行共用"")), ""內部轉帳(忽略)"",
  AND(E11232&lt;&gt;"""", F11232&lt;&gt;"&amp;""""", NOT(REGEXMATCH(C11232, ""薪資""))), ""內部轉帳(忽略)"",
  REGEXMATCH(C11232, ""薪資""), ""薪資變動(不計入)"",
  REGEXMATCH(C11232, ""押金""), ""押金往來"",
  AND(E11232&lt;&gt;"""", F11232=""""), ""真實支出"",
  AND(E11232="""", F11232&lt;&gt;""""), ""真實收入"",
  TRUE, ""其他""
)"),"其他")</f>
        <v>其他</v>
      </c>
      <c r="K11232" s="270" t="str">
        <f t="shared" si="2"/>
        <v/>
      </c>
      <c r="L11232">
        <f t="shared" si="3"/>
        <v>0</v>
      </c>
    </row>
    <row r="11233">
      <c r="A11233" s="107"/>
      <c r="D11233" s="270"/>
      <c r="H11233" s="106" t="str">
        <f t="shared" si="1"/>
        <v/>
      </c>
      <c r="J11233" t="str">
        <f>IFERROR(__xludf.DUMMYFUNCTION("IFS(
  AND(REGEXMATCH(E11233, ""台銀籌備帳戶|玉山帳戶""), REGEXMATCH(C11233, ""薪資"")), ""分潤支出"",
  AND(REGEXMATCH(E11233, ""Ben帳戶|Elsa帳戶|Ben代墊|Ariel代墊|中信銀行共用""), REGEXMATCH(F11233, ""Ben帳戶|Elsa帳戶|Ben代墊|Ariel代墊|中信銀行共用"")), ""內部轉帳(忽略)"",
  AND(E11233&lt;&gt;"""", F11233&lt;&gt;"&amp;""""", NOT(REGEXMATCH(C11233, ""薪資""))), ""內部轉帳(忽略)"",
  REGEXMATCH(C11233, ""薪資""), ""薪資變動(不計入)"",
  REGEXMATCH(C11233, ""押金""), ""押金往來"",
  AND(E11233&lt;&gt;"""", F11233=""""), ""真實支出"",
  AND(E11233="""", F11233&lt;&gt;""""), ""真實收入"",
  TRUE, ""其他""
)"),"其他")</f>
        <v>其他</v>
      </c>
      <c r="K11233" s="270" t="str">
        <f t="shared" si="2"/>
        <v/>
      </c>
      <c r="L11233">
        <f t="shared" si="3"/>
        <v>0</v>
      </c>
    </row>
    <row r="11234">
      <c r="A11234" s="107"/>
      <c r="D11234" s="270"/>
      <c r="H11234" s="106" t="str">
        <f t="shared" si="1"/>
        <v/>
      </c>
      <c r="J11234" t="str">
        <f>IFERROR(__xludf.DUMMYFUNCTION("IFS(
  AND(REGEXMATCH(E11234, ""台銀籌備帳戶|玉山帳戶""), REGEXMATCH(C11234, ""薪資"")), ""分潤支出"",
  AND(REGEXMATCH(E11234, ""Ben帳戶|Elsa帳戶|Ben代墊|Ariel代墊|中信銀行共用""), REGEXMATCH(F11234, ""Ben帳戶|Elsa帳戶|Ben代墊|Ariel代墊|中信銀行共用"")), ""內部轉帳(忽略)"",
  AND(E11234&lt;&gt;"""", F11234&lt;&gt;"&amp;""""", NOT(REGEXMATCH(C11234, ""薪資""))), ""內部轉帳(忽略)"",
  REGEXMATCH(C11234, ""薪資""), ""薪資變動(不計入)"",
  REGEXMATCH(C11234, ""押金""), ""押金往來"",
  AND(E11234&lt;&gt;"""", F11234=""""), ""真實支出"",
  AND(E11234="""", F11234&lt;&gt;""""), ""真實收入"",
  TRUE, ""其他""
)"),"其他")</f>
        <v>其他</v>
      </c>
      <c r="K11234" s="270" t="str">
        <f t="shared" si="2"/>
        <v/>
      </c>
      <c r="L11234">
        <f t="shared" si="3"/>
        <v>0</v>
      </c>
    </row>
    <row r="11235">
      <c r="A11235" s="107"/>
      <c r="D11235" s="270"/>
      <c r="H11235" s="106" t="str">
        <f t="shared" si="1"/>
        <v/>
      </c>
      <c r="J11235" t="str">
        <f>IFERROR(__xludf.DUMMYFUNCTION("IFS(
  AND(REGEXMATCH(E11235, ""台銀籌備帳戶|玉山帳戶""), REGEXMATCH(C11235, ""薪資"")), ""分潤支出"",
  AND(REGEXMATCH(E11235, ""Ben帳戶|Elsa帳戶|Ben代墊|Ariel代墊|中信銀行共用""), REGEXMATCH(F11235, ""Ben帳戶|Elsa帳戶|Ben代墊|Ariel代墊|中信銀行共用"")), ""內部轉帳(忽略)"",
  AND(E11235&lt;&gt;"""", F11235&lt;&gt;"&amp;""""", NOT(REGEXMATCH(C11235, ""薪資""))), ""內部轉帳(忽略)"",
  REGEXMATCH(C11235, ""薪資""), ""薪資變動(不計入)"",
  REGEXMATCH(C11235, ""押金""), ""押金往來"",
  AND(E11235&lt;&gt;"""", F11235=""""), ""真實支出"",
  AND(E11235="""", F11235&lt;&gt;""""), ""真實收入"",
  TRUE, ""其他""
)"),"其他")</f>
        <v>其他</v>
      </c>
      <c r="K11235" s="270" t="str">
        <f t="shared" si="2"/>
        <v/>
      </c>
      <c r="L11235">
        <f t="shared" si="3"/>
        <v>0</v>
      </c>
    </row>
    <row r="11236">
      <c r="A11236" s="107"/>
      <c r="D11236" s="270"/>
      <c r="H11236" s="106" t="str">
        <f t="shared" si="1"/>
        <v/>
      </c>
      <c r="J11236" t="str">
        <f>IFERROR(__xludf.DUMMYFUNCTION("IFS(
  AND(REGEXMATCH(E11236, ""台銀籌備帳戶|玉山帳戶""), REGEXMATCH(C11236, ""薪資"")), ""分潤支出"",
  AND(REGEXMATCH(E11236, ""Ben帳戶|Elsa帳戶|Ben代墊|Ariel代墊|中信銀行共用""), REGEXMATCH(F11236, ""Ben帳戶|Elsa帳戶|Ben代墊|Ariel代墊|中信銀行共用"")), ""內部轉帳(忽略)"",
  AND(E11236&lt;&gt;"""", F11236&lt;&gt;"&amp;""""", NOT(REGEXMATCH(C11236, ""薪資""))), ""內部轉帳(忽略)"",
  REGEXMATCH(C11236, ""薪資""), ""薪資變動(不計入)"",
  REGEXMATCH(C11236, ""押金""), ""押金往來"",
  AND(E11236&lt;&gt;"""", F11236=""""), ""真實支出"",
  AND(E11236="""", F11236&lt;&gt;""""), ""真實收入"",
  TRUE, ""其他""
)"),"其他")</f>
        <v>其他</v>
      </c>
      <c r="K11236" s="270" t="str">
        <f t="shared" si="2"/>
        <v/>
      </c>
      <c r="L11236">
        <f t="shared" si="3"/>
        <v>0</v>
      </c>
    </row>
    <row r="11237">
      <c r="A11237" s="107"/>
      <c r="D11237" s="270"/>
      <c r="H11237" s="106" t="str">
        <f t="shared" si="1"/>
        <v/>
      </c>
      <c r="J11237" t="str">
        <f>IFERROR(__xludf.DUMMYFUNCTION("IFS(
  AND(REGEXMATCH(E11237, ""台銀籌備帳戶|玉山帳戶""), REGEXMATCH(C11237, ""薪資"")), ""分潤支出"",
  AND(REGEXMATCH(E11237, ""Ben帳戶|Elsa帳戶|Ben代墊|Ariel代墊|中信銀行共用""), REGEXMATCH(F11237, ""Ben帳戶|Elsa帳戶|Ben代墊|Ariel代墊|中信銀行共用"")), ""內部轉帳(忽略)"",
  AND(E11237&lt;&gt;"""", F11237&lt;&gt;"&amp;""""", NOT(REGEXMATCH(C11237, ""薪資""))), ""內部轉帳(忽略)"",
  REGEXMATCH(C11237, ""薪資""), ""薪資變動(不計入)"",
  REGEXMATCH(C11237, ""押金""), ""押金往來"",
  AND(E11237&lt;&gt;"""", F11237=""""), ""真實支出"",
  AND(E11237="""", F11237&lt;&gt;""""), ""真實收入"",
  TRUE, ""其他""
)"),"其他")</f>
        <v>其他</v>
      </c>
      <c r="K11237" s="270" t="str">
        <f t="shared" si="2"/>
        <v/>
      </c>
      <c r="L11237">
        <f t="shared" si="3"/>
        <v>0</v>
      </c>
    </row>
    <row r="11238">
      <c r="A11238" s="107"/>
      <c r="D11238" s="270"/>
      <c r="H11238" s="106" t="str">
        <f t="shared" si="1"/>
        <v/>
      </c>
      <c r="J11238" t="str">
        <f>IFERROR(__xludf.DUMMYFUNCTION("IFS(
  AND(REGEXMATCH(E11238, ""台銀籌備帳戶|玉山帳戶""), REGEXMATCH(C11238, ""薪資"")), ""分潤支出"",
  AND(REGEXMATCH(E11238, ""Ben帳戶|Elsa帳戶|Ben代墊|Ariel代墊|中信銀行共用""), REGEXMATCH(F11238, ""Ben帳戶|Elsa帳戶|Ben代墊|Ariel代墊|中信銀行共用"")), ""內部轉帳(忽略)"",
  AND(E11238&lt;&gt;"""", F11238&lt;&gt;"&amp;""""", NOT(REGEXMATCH(C11238, ""薪資""))), ""內部轉帳(忽略)"",
  REGEXMATCH(C11238, ""薪資""), ""薪資變動(不計入)"",
  REGEXMATCH(C11238, ""押金""), ""押金往來"",
  AND(E11238&lt;&gt;"""", F11238=""""), ""真實支出"",
  AND(E11238="""", F11238&lt;&gt;""""), ""真實收入"",
  TRUE, ""其他""
)"),"其他")</f>
        <v>其他</v>
      </c>
      <c r="K11238" s="270" t="str">
        <f t="shared" si="2"/>
        <v/>
      </c>
      <c r="L11238">
        <f t="shared" si="3"/>
        <v>0</v>
      </c>
    </row>
    <row r="11239">
      <c r="A11239" s="107"/>
      <c r="D11239" s="270"/>
      <c r="H11239" s="106" t="str">
        <f t="shared" si="1"/>
        <v/>
      </c>
      <c r="J11239" t="str">
        <f>IFERROR(__xludf.DUMMYFUNCTION("IFS(
  AND(REGEXMATCH(E11239, ""台銀籌備帳戶|玉山帳戶""), REGEXMATCH(C11239, ""薪資"")), ""分潤支出"",
  AND(REGEXMATCH(E11239, ""Ben帳戶|Elsa帳戶|Ben代墊|Ariel代墊|中信銀行共用""), REGEXMATCH(F11239, ""Ben帳戶|Elsa帳戶|Ben代墊|Ariel代墊|中信銀行共用"")), ""內部轉帳(忽略)"",
  AND(E11239&lt;&gt;"""", F11239&lt;&gt;"&amp;""""", NOT(REGEXMATCH(C11239, ""薪資""))), ""內部轉帳(忽略)"",
  REGEXMATCH(C11239, ""薪資""), ""薪資變動(不計入)"",
  REGEXMATCH(C11239, ""押金""), ""押金往來"",
  AND(E11239&lt;&gt;"""", F11239=""""), ""真實支出"",
  AND(E11239="""", F11239&lt;&gt;""""), ""真實收入"",
  TRUE, ""其他""
)"),"其他")</f>
        <v>其他</v>
      </c>
      <c r="K11239" s="270" t="str">
        <f t="shared" si="2"/>
        <v/>
      </c>
      <c r="L11239">
        <f t="shared" si="3"/>
        <v>0</v>
      </c>
    </row>
    <row r="11240">
      <c r="A11240" s="107"/>
      <c r="D11240" s="270"/>
      <c r="H11240" s="106" t="str">
        <f t="shared" si="1"/>
        <v/>
      </c>
      <c r="J11240" t="str">
        <f>IFERROR(__xludf.DUMMYFUNCTION("IFS(
  AND(REGEXMATCH(E11240, ""台銀籌備帳戶|玉山帳戶""), REGEXMATCH(C11240, ""薪資"")), ""分潤支出"",
  AND(REGEXMATCH(E11240, ""Ben帳戶|Elsa帳戶|Ben代墊|Ariel代墊|中信銀行共用""), REGEXMATCH(F11240, ""Ben帳戶|Elsa帳戶|Ben代墊|Ariel代墊|中信銀行共用"")), ""內部轉帳(忽略)"",
  AND(E11240&lt;&gt;"""", F11240&lt;&gt;"&amp;""""", NOT(REGEXMATCH(C11240, ""薪資""))), ""內部轉帳(忽略)"",
  REGEXMATCH(C11240, ""薪資""), ""薪資變動(不計入)"",
  REGEXMATCH(C11240, ""押金""), ""押金往來"",
  AND(E11240&lt;&gt;"""", F11240=""""), ""真實支出"",
  AND(E11240="""", F11240&lt;&gt;""""), ""真實收入"",
  TRUE, ""其他""
)"),"其他")</f>
        <v>其他</v>
      </c>
      <c r="K11240" s="270" t="str">
        <f t="shared" si="2"/>
        <v/>
      </c>
      <c r="L11240">
        <f t="shared" si="3"/>
        <v>0</v>
      </c>
    </row>
    <row r="11241">
      <c r="A11241" s="107"/>
      <c r="D11241" s="270"/>
      <c r="H11241" s="106" t="str">
        <f t="shared" si="1"/>
        <v/>
      </c>
      <c r="J11241" t="str">
        <f>IFERROR(__xludf.DUMMYFUNCTION("IFS(
  AND(REGEXMATCH(E11241, ""台銀籌備帳戶|玉山帳戶""), REGEXMATCH(C11241, ""薪資"")), ""分潤支出"",
  AND(REGEXMATCH(E11241, ""Ben帳戶|Elsa帳戶|Ben代墊|Ariel代墊|中信銀行共用""), REGEXMATCH(F11241, ""Ben帳戶|Elsa帳戶|Ben代墊|Ariel代墊|中信銀行共用"")), ""內部轉帳(忽略)"",
  AND(E11241&lt;&gt;"""", F11241&lt;&gt;"&amp;""""", NOT(REGEXMATCH(C11241, ""薪資""))), ""內部轉帳(忽略)"",
  REGEXMATCH(C11241, ""薪資""), ""薪資變動(不計入)"",
  REGEXMATCH(C11241, ""押金""), ""押金往來"",
  AND(E11241&lt;&gt;"""", F11241=""""), ""真實支出"",
  AND(E11241="""", F11241&lt;&gt;""""), ""真實收入"",
  TRUE, ""其他""
)"),"其他")</f>
        <v>其他</v>
      </c>
      <c r="K11241" s="270" t="str">
        <f t="shared" si="2"/>
        <v/>
      </c>
      <c r="L11241">
        <f t="shared" si="3"/>
        <v>0</v>
      </c>
    </row>
    <row r="11242">
      <c r="A11242" s="107"/>
      <c r="D11242" s="270"/>
      <c r="H11242" s="106" t="str">
        <f t="shared" si="1"/>
        <v/>
      </c>
      <c r="J11242" t="str">
        <f>IFERROR(__xludf.DUMMYFUNCTION("IFS(
  AND(REGEXMATCH(E11242, ""台銀籌備帳戶|玉山帳戶""), REGEXMATCH(C11242, ""薪資"")), ""分潤支出"",
  AND(REGEXMATCH(E11242, ""Ben帳戶|Elsa帳戶|Ben代墊|Ariel代墊|中信銀行共用""), REGEXMATCH(F11242, ""Ben帳戶|Elsa帳戶|Ben代墊|Ariel代墊|中信銀行共用"")), ""內部轉帳(忽略)"",
  AND(E11242&lt;&gt;"""", F11242&lt;&gt;"&amp;""""", NOT(REGEXMATCH(C11242, ""薪資""))), ""內部轉帳(忽略)"",
  REGEXMATCH(C11242, ""薪資""), ""薪資變動(不計入)"",
  REGEXMATCH(C11242, ""押金""), ""押金往來"",
  AND(E11242&lt;&gt;"""", F11242=""""), ""真實支出"",
  AND(E11242="""", F11242&lt;&gt;""""), ""真實收入"",
  TRUE, ""其他""
)"),"其他")</f>
        <v>其他</v>
      </c>
      <c r="K11242" s="270" t="str">
        <f t="shared" si="2"/>
        <v/>
      </c>
      <c r="L11242">
        <f t="shared" si="3"/>
        <v>0</v>
      </c>
    </row>
    <row r="11243">
      <c r="A11243" s="107"/>
      <c r="D11243" s="270"/>
      <c r="H11243" s="106" t="str">
        <f t="shared" si="1"/>
        <v/>
      </c>
      <c r="J11243" t="str">
        <f>IFERROR(__xludf.DUMMYFUNCTION("IFS(
  AND(REGEXMATCH(E11243, ""台銀籌備帳戶|玉山帳戶""), REGEXMATCH(C11243, ""薪資"")), ""分潤支出"",
  AND(REGEXMATCH(E11243, ""Ben帳戶|Elsa帳戶|Ben代墊|Ariel代墊|中信銀行共用""), REGEXMATCH(F11243, ""Ben帳戶|Elsa帳戶|Ben代墊|Ariel代墊|中信銀行共用"")), ""內部轉帳(忽略)"",
  AND(E11243&lt;&gt;"""", F11243&lt;&gt;"&amp;""""", NOT(REGEXMATCH(C11243, ""薪資""))), ""內部轉帳(忽略)"",
  REGEXMATCH(C11243, ""薪資""), ""薪資變動(不計入)"",
  REGEXMATCH(C11243, ""押金""), ""押金往來"",
  AND(E11243&lt;&gt;"""", F11243=""""), ""真實支出"",
  AND(E11243="""", F11243&lt;&gt;""""), ""真實收入"",
  TRUE, ""其他""
)"),"其他")</f>
        <v>其他</v>
      </c>
      <c r="K11243" s="270" t="str">
        <f t="shared" si="2"/>
        <v/>
      </c>
      <c r="L11243">
        <f t="shared" si="3"/>
        <v>0</v>
      </c>
    </row>
    <row r="11244">
      <c r="A11244" s="107"/>
      <c r="D11244" s="270"/>
      <c r="H11244" s="106" t="str">
        <f t="shared" si="1"/>
        <v/>
      </c>
      <c r="J11244" t="str">
        <f>IFERROR(__xludf.DUMMYFUNCTION("IFS(
  AND(REGEXMATCH(E11244, ""台銀籌備帳戶|玉山帳戶""), REGEXMATCH(C11244, ""薪資"")), ""分潤支出"",
  AND(REGEXMATCH(E11244, ""Ben帳戶|Elsa帳戶|Ben代墊|Ariel代墊|中信銀行共用""), REGEXMATCH(F11244, ""Ben帳戶|Elsa帳戶|Ben代墊|Ariel代墊|中信銀行共用"")), ""內部轉帳(忽略)"",
  AND(E11244&lt;&gt;"""", F11244&lt;&gt;"&amp;""""", NOT(REGEXMATCH(C11244, ""薪資""))), ""內部轉帳(忽略)"",
  REGEXMATCH(C11244, ""薪資""), ""薪資變動(不計入)"",
  REGEXMATCH(C11244, ""押金""), ""押金往來"",
  AND(E11244&lt;&gt;"""", F11244=""""), ""真實支出"",
  AND(E11244="""", F11244&lt;&gt;""""), ""真實收入"",
  TRUE, ""其他""
)"),"其他")</f>
        <v>其他</v>
      </c>
      <c r="K11244" s="270" t="str">
        <f t="shared" si="2"/>
        <v/>
      </c>
      <c r="L11244">
        <f t="shared" si="3"/>
        <v>0</v>
      </c>
    </row>
    <row r="11245">
      <c r="A11245" s="107"/>
      <c r="D11245" s="270"/>
      <c r="H11245" s="106" t="str">
        <f t="shared" si="1"/>
        <v/>
      </c>
      <c r="J11245" t="str">
        <f>IFERROR(__xludf.DUMMYFUNCTION("IFS(
  AND(REGEXMATCH(E11245, ""台銀籌備帳戶|玉山帳戶""), REGEXMATCH(C11245, ""薪資"")), ""分潤支出"",
  AND(REGEXMATCH(E11245, ""Ben帳戶|Elsa帳戶|Ben代墊|Ariel代墊|中信銀行共用""), REGEXMATCH(F11245, ""Ben帳戶|Elsa帳戶|Ben代墊|Ariel代墊|中信銀行共用"")), ""內部轉帳(忽略)"",
  AND(E11245&lt;&gt;"""", F11245&lt;&gt;"&amp;""""", NOT(REGEXMATCH(C11245, ""薪資""))), ""內部轉帳(忽略)"",
  REGEXMATCH(C11245, ""薪資""), ""薪資變動(不計入)"",
  REGEXMATCH(C11245, ""押金""), ""押金往來"",
  AND(E11245&lt;&gt;"""", F11245=""""), ""真實支出"",
  AND(E11245="""", F11245&lt;&gt;""""), ""真實收入"",
  TRUE, ""其他""
)"),"其他")</f>
        <v>其他</v>
      </c>
      <c r="K11245" s="270" t="str">
        <f t="shared" si="2"/>
        <v/>
      </c>
      <c r="L11245">
        <f t="shared" si="3"/>
        <v>0</v>
      </c>
    </row>
    <row r="11246">
      <c r="A11246" s="107"/>
      <c r="D11246" s="270"/>
      <c r="H11246" s="106" t="str">
        <f t="shared" si="1"/>
        <v/>
      </c>
      <c r="J11246" t="str">
        <f>IFERROR(__xludf.DUMMYFUNCTION("IFS(
  AND(REGEXMATCH(E11246, ""台銀籌備帳戶|玉山帳戶""), REGEXMATCH(C11246, ""薪資"")), ""分潤支出"",
  AND(REGEXMATCH(E11246, ""Ben帳戶|Elsa帳戶|Ben代墊|Ariel代墊|中信銀行共用""), REGEXMATCH(F11246, ""Ben帳戶|Elsa帳戶|Ben代墊|Ariel代墊|中信銀行共用"")), ""內部轉帳(忽略)"",
  AND(E11246&lt;&gt;"""", F11246&lt;&gt;"&amp;""""", NOT(REGEXMATCH(C11246, ""薪資""))), ""內部轉帳(忽略)"",
  REGEXMATCH(C11246, ""薪資""), ""薪資變動(不計入)"",
  REGEXMATCH(C11246, ""押金""), ""押金往來"",
  AND(E11246&lt;&gt;"""", F11246=""""), ""真實支出"",
  AND(E11246="""", F11246&lt;&gt;""""), ""真實收入"",
  TRUE, ""其他""
)"),"其他")</f>
        <v>其他</v>
      </c>
      <c r="K11246" s="270" t="str">
        <f t="shared" si="2"/>
        <v/>
      </c>
      <c r="L11246">
        <f t="shared" si="3"/>
        <v>0</v>
      </c>
    </row>
    <row r="11247">
      <c r="A11247" s="107"/>
      <c r="D11247" s="270"/>
      <c r="H11247" s="106" t="str">
        <f t="shared" si="1"/>
        <v/>
      </c>
      <c r="J11247" t="str">
        <f>IFERROR(__xludf.DUMMYFUNCTION("IFS(
  AND(REGEXMATCH(E11247, ""台銀籌備帳戶|玉山帳戶""), REGEXMATCH(C11247, ""薪資"")), ""分潤支出"",
  AND(REGEXMATCH(E11247, ""Ben帳戶|Elsa帳戶|Ben代墊|Ariel代墊|中信銀行共用""), REGEXMATCH(F11247, ""Ben帳戶|Elsa帳戶|Ben代墊|Ariel代墊|中信銀行共用"")), ""內部轉帳(忽略)"",
  AND(E11247&lt;&gt;"""", F11247&lt;&gt;"&amp;""""", NOT(REGEXMATCH(C11247, ""薪資""))), ""內部轉帳(忽略)"",
  REGEXMATCH(C11247, ""薪資""), ""薪資變動(不計入)"",
  REGEXMATCH(C11247, ""押金""), ""押金往來"",
  AND(E11247&lt;&gt;"""", F11247=""""), ""真實支出"",
  AND(E11247="""", F11247&lt;&gt;""""), ""真實收入"",
  TRUE, ""其他""
)"),"其他")</f>
        <v>其他</v>
      </c>
      <c r="K11247" s="270" t="str">
        <f t="shared" si="2"/>
        <v/>
      </c>
      <c r="L11247">
        <f t="shared" si="3"/>
        <v>0</v>
      </c>
    </row>
    <row r="11248">
      <c r="A11248" s="107"/>
      <c r="D11248" s="270"/>
      <c r="H11248" s="106" t="str">
        <f t="shared" si="1"/>
        <v/>
      </c>
      <c r="J11248" t="str">
        <f>IFERROR(__xludf.DUMMYFUNCTION("IFS(
  AND(REGEXMATCH(E11248, ""台銀籌備帳戶|玉山帳戶""), REGEXMATCH(C11248, ""薪資"")), ""分潤支出"",
  AND(REGEXMATCH(E11248, ""Ben帳戶|Elsa帳戶|Ben代墊|Ariel代墊|中信銀行共用""), REGEXMATCH(F11248, ""Ben帳戶|Elsa帳戶|Ben代墊|Ariel代墊|中信銀行共用"")), ""內部轉帳(忽略)"",
  AND(E11248&lt;&gt;"""", F11248&lt;&gt;"&amp;""""", NOT(REGEXMATCH(C11248, ""薪資""))), ""內部轉帳(忽略)"",
  REGEXMATCH(C11248, ""薪資""), ""薪資變動(不計入)"",
  REGEXMATCH(C11248, ""押金""), ""押金往來"",
  AND(E11248&lt;&gt;"""", F11248=""""), ""真實支出"",
  AND(E11248="""", F11248&lt;&gt;""""), ""真實收入"",
  TRUE, ""其他""
)"),"其他")</f>
        <v>其他</v>
      </c>
      <c r="K11248" s="270" t="str">
        <f t="shared" si="2"/>
        <v/>
      </c>
      <c r="L11248">
        <f t="shared" si="3"/>
        <v>0</v>
      </c>
    </row>
    <row r="11249">
      <c r="A11249" s="107"/>
      <c r="D11249" s="270"/>
      <c r="H11249" s="106" t="str">
        <f t="shared" si="1"/>
        <v/>
      </c>
      <c r="J11249" t="str">
        <f>IFERROR(__xludf.DUMMYFUNCTION("IFS(
  AND(REGEXMATCH(E11249, ""台銀籌備帳戶|玉山帳戶""), REGEXMATCH(C11249, ""薪資"")), ""分潤支出"",
  AND(REGEXMATCH(E11249, ""Ben帳戶|Elsa帳戶|Ben代墊|Ariel代墊|中信銀行共用""), REGEXMATCH(F11249, ""Ben帳戶|Elsa帳戶|Ben代墊|Ariel代墊|中信銀行共用"")), ""內部轉帳(忽略)"",
  AND(E11249&lt;&gt;"""", F11249&lt;&gt;"&amp;""""", NOT(REGEXMATCH(C11249, ""薪資""))), ""內部轉帳(忽略)"",
  REGEXMATCH(C11249, ""薪資""), ""薪資變動(不計入)"",
  REGEXMATCH(C11249, ""押金""), ""押金往來"",
  AND(E11249&lt;&gt;"""", F11249=""""), ""真實支出"",
  AND(E11249="""", F11249&lt;&gt;""""), ""真實收入"",
  TRUE, ""其他""
)"),"其他")</f>
        <v>其他</v>
      </c>
      <c r="K11249" s="270" t="str">
        <f t="shared" si="2"/>
        <v/>
      </c>
      <c r="L11249">
        <f t="shared" si="3"/>
        <v>0</v>
      </c>
    </row>
    <row r="11250">
      <c r="A11250" s="107"/>
      <c r="D11250" s="270"/>
      <c r="H11250" s="106" t="str">
        <f t="shared" si="1"/>
        <v/>
      </c>
      <c r="J11250" t="str">
        <f>IFERROR(__xludf.DUMMYFUNCTION("IFS(
  AND(REGEXMATCH(E11250, ""台銀籌備帳戶|玉山帳戶""), REGEXMATCH(C11250, ""薪資"")), ""分潤支出"",
  AND(REGEXMATCH(E11250, ""Ben帳戶|Elsa帳戶|Ben代墊|Ariel代墊|中信銀行共用""), REGEXMATCH(F11250, ""Ben帳戶|Elsa帳戶|Ben代墊|Ariel代墊|中信銀行共用"")), ""內部轉帳(忽略)"",
  AND(E11250&lt;&gt;"""", F11250&lt;&gt;"&amp;""""", NOT(REGEXMATCH(C11250, ""薪資""))), ""內部轉帳(忽略)"",
  REGEXMATCH(C11250, ""薪資""), ""薪資變動(不計入)"",
  REGEXMATCH(C11250, ""押金""), ""押金往來"",
  AND(E11250&lt;&gt;"""", F11250=""""), ""真實支出"",
  AND(E11250="""", F11250&lt;&gt;""""), ""真實收入"",
  TRUE, ""其他""
)"),"其他")</f>
        <v>其他</v>
      </c>
      <c r="K11250" s="270" t="str">
        <f t="shared" si="2"/>
        <v/>
      </c>
      <c r="L11250">
        <f t="shared" si="3"/>
        <v>0</v>
      </c>
    </row>
    <row r="11251">
      <c r="A11251" s="107"/>
      <c r="D11251" s="270"/>
      <c r="H11251" s="106" t="str">
        <f t="shared" si="1"/>
        <v/>
      </c>
      <c r="J11251" t="str">
        <f>IFERROR(__xludf.DUMMYFUNCTION("IFS(
  AND(REGEXMATCH(E11251, ""台銀籌備帳戶|玉山帳戶""), REGEXMATCH(C11251, ""薪資"")), ""分潤支出"",
  AND(REGEXMATCH(E11251, ""Ben帳戶|Elsa帳戶|Ben代墊|Ariel代墊|中信銀行共用""), REGEXMATCH(F11251, ""Ben帳戶|Elsa帳戶|Ben代墊|Ariel代墊|中信銀行共用"")), ""內部轉帳(忽略)"",
  AND(E11251&lt;&gt;"""", F11251&lt;&gt;"&amp;""""", NOT(REGEXMATCH(C11251, ""薪資""))), ""內部轉帳(忽略)"",
  REGEXMATCH(C11251, ""薪資""), ""薪資變動(不計入)"",
  REGEXMATCH(C11251, ""押金""), ""押金往來"",
  AND(E11251&lt;&gt;"""", F11251=""""), ""真實支出"",
  AND(E11251="""", F11251&lt;&gt;""""), ""真實收入"",
  TRUE, ""其他""
)"),"其他")</f>
        <v>其他</v>
      </c>
      <c r="K11251" s="270" t="str">
        <f t="shared" si="2"/>
        <v/>
      </c>
      <c r="L11251">
        <f t="shared" si="3"/>
        <v>0</v>
      </c>
    </row>
    <row r="11252">
      <c r="A11252" s="107"/>
      <c r="D11252" s="270"/>
      <c r="H11252" s="106" t="str">
        <f t="shared" si="1"/>
        <v/>
      </c>
      <c r="J11252" t="str">
        <f>IFERROR(__xludf.DUMMYFUNCTION("IFS(
  AND(REGEXMATCH(E11252, ""台銀籌備帳戶|玉山帳戶""), REGEXMATCH(C11252, ""薪資"")), ""分潤支出"",
  AND(REGEXMATCH(E11252, ""Ben帳戶|Elsa帳戶|Ben代墊|Ariel代墊|中信銀行共用""), REGEXMATCH(F11252, ""Ben帳戶|Elsa帳戶|Ben代墊|Ariel代墊|中信銀行共用"")), ""內部轉帳(忽略)"",
  AND(E11252&lt;&gt;"""", F11252&lt;&gt;"&amp;""""", NOT(REGEXMATCH(C11252, ""薪資""))), ""內部轉帳(忽略)"",
  REGEXMATCH(C11252, ""薪資""), ""薪資變動(不計入)"",
  REGEXMATCH(C11252, ""押金""), ""押金往來"",
  AND(E11252&lt;&gt;"""", F11252=""""), ""真實支出"",
  AND(E11252="""", F11252&lt;&gt;""""), ""真實收入"",
  TRUE, ""其他""
)"),"其他")</f>
        <v>其他</v>
      </c>
      <c r="K11252" s="270" t="str">
        <f t="shared" si="2"/>
        <v/>
      </c>
      <c r="L11252">
        <f t="shared" si="3"/>
        <v>0</v>
      </c>
    </row>
    <row r="11253">
      <c r="A11253" s="107"/>
      <c r="D11253" s="270"/>
      <c r="H11253" s="106" t="str">
        <f t="shared" si="1"/>
        <v/>
      </c>
      <c r="J11253" t="str">
        <f>IFERROR(__xludf.DUMMYFUNCTION("IFS(
  AND(REGEXMATCH(E11253, ""台銀籌備帳戶|玉山帳戶""), REGEXMATCH(C11253, ""薪資"")), ""分潤支出"",
  AND(REGEXMATCH(E11253, ""Ben帳戶|Elsa帳戶|Ben代墊|Ariel代墊|中信銀行共用""), REGEXMATCH(F11253, ""Ben帳戶|Elsa帳戶|Ben代墊|Ariel代墊|中信銀行共用"")), ""內部轉帳(忽略)"",
  AND(E11253&lt;&gt;"""", F11253&lt;&gt;"&amp;""""", NOT(REGEXMATCH(C11253, ""薪資""))), ""內部轉帳(忽略)"",
  REGEXMATCH(C11253, ""薪資""), ""薪資變動(不計入)"",
  REGEXMATCH(C11253, ""押金""), ""押金往來"",
  AND(E11253&lt;&gt;"""", F11253=""""), ""真實支出"",
  AND(E11253="""", F11253&lt;&gt;""""), ""真實收入"",
  TRUE, ""其他""
)"),"其他")</f>
        <v>其他</v>
      </c>
      <c r="K11253" s="270" t="str">
        <f t="shared" si="2"/>
        <v/>
      </c>
      <c r="L11253">
        <f t="shared" si="3"/>
        <v>0</v>
      </c>
    </row>
    <row r="11254">
      <c r="A11254" s="107"/>
      <c r="D11254" s="270"/>
      <c r="H11254" s="106" t="str">
        <f t="shared" si="1"/>
        <v/>
      </c>
      <c r="J11254" t="str">
        <f>IFERROR(__xludf.DUMMYFUNCTION("IFS(
  AND(REGEXMATCH(E11254, ""台銀籌備帳戶|玉山帳戶""), REGEXMATCH(C11254, ""薪資"")), ""分潤支出"",
  AND(REGEXMATCH(E11254, ""Ben帳戶|Elsa帳戶|Ben代墊|Ariel代墊|中信銀行共用""), REGEXMATCH(F11254, ""Ben帳戶|Elsa帳戶|Ben代墊|Ariel代墊|中信銀行共用"")), ""內部轉帳(忽略)"",
  AND(E11254&lt;&gt;"""", F11254&lt;&gt;"&amp;""""", NOT(REGEXMATCH(C11254, ""薪資""))), ""內部轉帳(忽略)"",
  REGEXMATCH(C11254, ""薪資""), ""薪資變動(不計入)"",
  REGEXMATCH(C11254, ""押金""), ""押金往來"",
  AND(E11254&lt;&gt;"""", F11254=""""), ""真實支出"",
  AND(E11254="""", F11254&lt;&gt;""""), ""真實收入"",
  TRUE, ""其他""
)"),"其他")</f>
        <v>其他</v>
      </c>
      <c r="K11254" s="270" t="str">
        <f t="shared" si="2"/>
        <v/>
      </c>
      <c r="L11254">
        <f t="shared" si="3"/>
        <v>0</v>
      </c>
    </row>
    <row r="11255">
      <c r="A11255" s="107"/>
      <c r="D11255" s="270"/>
      <c r="H11255" s="106" t="str">
        <f t="shared" si="1"/>
        <v/>
      </c>
      <c r="J11255" t="str">
        <f>IFERROR(__xludf.DUMMYFUNCTION("IFS(
  AND(REGEXMATCH(E11255, ""台銀籌備帳戶|玉山帳戶""), REGEXMATCH(C11255, ""薪資"")), ""分潤支出"",
  AND(REGEXMATCH(E11255, ""Ben帳戶|Elsa帳戶|Ben代墊|Ariel代墊|中信銀行共用""), REGEXMATCH(F11255, ""Ben帳戶|Elsa帳戶|Ben代墊|Ariel代墊|中信銀行共用"")), ""內部轉帳(忽略)"",
  AND(E11255&lt;&gt;"""", F11255&lt;&gt;"&amp;""""", NOT(REGEXMATCH(C11255, ""薪資""))), ""內部轉帳(忽略)"",
  REGEXMATCH(C11255, ""薪資""), ""薪資變動(不計入)"",
  REGEXMATCH(C11255, ""押金""), ""押金往來"",
  AND(E11255&lt;&gt;"""", F11255=""""), ""真實支出"",
  AND(E11255="""", F11255&lt;&gt;""""), ""真實收入"",
  TRUE, ""其他""
)"),"其他")</f>
        <v>其他</v>
      </c>
      <c r="K11255" s="270" t="str">
        <f t="shared" si="2"/>
        <v/>
      </c>
      <c r="L11255">
        <f t="shared" si="3"/>
        <v>0</v>
      </c>
    </row>
    <row r="11256">
      <c r="A11256" s="107"/>
      <c r="D11256" s="270"/>
      <c r="H11256" s="106" t="str">
        <f t="shared" si="1"/>
        <v/>
      </c>
      <c r="J11256" t="str">
        <f>IFERROR(__xludf.DUMMYFUNCTION("IFS(
  AND(REGEXMATCH(E11256, ""台銀籌備帳戶|玉山帳戶""), REGEXMATCH(C11256, ""薪資"")), ""分潤支出"",
  AND(REGEXMATCH(E11256, ""Ben帳戶|Elsa帳戶|Ben代墊|Ariel代墊|中信銀行共用""), REGEXMATCH(F11256, ""Ben帳戶|Elsa帳戶|Ben代墊|Ariel代墊|中信銀行共用"")), ""內部轉帳(忽略)"",
  AND(E11256&lt;&gt;"""", F11256&lt;&gt;"&amp;""""", NOT(REGEXMATCH(C11256, ""薪資""))), ""內部轉帳(忽略)"",
  REGEXMATCH(C11256, ""薪資""), ""薪資變動(不計入)"",
  REGEXMATCH(C11256, ""押金""), ""押金往來"",
  AND(E11256&lt;&gt;"""", F11256=""""), ""真實支出"",
  AND(E11256="""", F11256&lt;&gt;""""), ""真實收入"",
  TRUE, ""其他""
)"),"其他")</f>
        <v>其他</v>
      </c>
      <c r="K11256" s="270" t="str">
        <f t="shared" si="2"/>
        <v/>
      </c>
      <c r="L11256">
        <f t="shared" si="3"/>
        <v>0</v>
      </c>
    </row>
    <row r="11257">
      <c r="A11257" s="107"/>
      <c r="D11257" s="270"/>
      <c r="H11257" s="106" t="str">
        <f t="shared" si="1"/>
        <v/>
      </c>
      <c r="J11257" t="str">
        <f>IFERROR(__xludf.DUMMYFUNCTION("IFS(
  AND(REGEXMATCH(E11257, ""台銀籌備帳戶|玉山帳戶""), REGEXMATCH(C11257, ""薪資"")), ""分潤支出"",
  AND(REGEXMATCH(E11257, ""Ben帳戶|Elsa帳戶|Ben代墊|Ariel代墊|中信銀行共用""), REGEXMATCH(F11257, ""Ben帳戶|Elsa帳戶|Ben代墊|Ariel代墊|中信銀行共用"")), ""內部轉帳(忽略)"",
  AND(E11257&lt;&gt;"""", F11257&lt;&gt;"&amp;""""", NOT(REGEXMATCH(C11257, ""薪資""))), ""內部轉帳(忽略)"",
  REGEXMATCH(C11257, ""薪資""), ""薪資變動(不計入)"",
  REGEXMATCH(C11257, ""押金""), ""押金往來"",
  AND(E11257&lt;&gt;"""", F11257=""""), ""真實支出"",
  AND(E11257="""", F11257&lt;&gt;""""), ""真實收入"",
  TRUE, ""其他""
)"),"其他")</f>
        <v>其他</v>
      </c>
      <c r="K11257" s="270" t="str">
        <f t="shared" si="2"/>
        <v/>
      </c>
      <c r="L11257">
        <f t="shared" si="3"/>
        <v>0</v>
      </c>
    </row>
    <row r="11258">
      <c r="A11258" s="107"/>
      <c r="D11258" s="270"/>
      <c r="H11258" s="106" t="str">
        <f t="shared" si="1"/>
        <v/>
      </c>
      <c r="J11258" t="str">
        <f>IFERROR(__xludf.DUMMYFUNCTION("IFS(
  AND(REGEXMATCH(E11258, ""台銀籌備帳戶|玉山帳戶""), REGEXMATCH(C11258, ""薪資"")), ""分潤支出"",
  AND(REGEXMATCH(E11258, ""Ben帳戶|Elsa帳戶|Ben代墊|Ariel代墊|中信銀行共用""), REGEXMATCH(F11258, ""Ben帳戶|Elsa帳戶|Ben代墊|Ariel代墊|中信銀行共用"")), ""內部轉帳(忽略)"",
  AND(E11258&lt;&gt;"""", F11258&lt;&gt;"&amp;""""", NOT(REGEXMATCH(C11258, ""薪資""))), ""內部轉帳(忽略)"",
  REGEXMATCH(C11258, ""薪資""), ""薪資變動(不計入)"",
  REGEXMATCH(C11258, ""押金""), ""押金往來"",
  AND(E11258&lt;&gt;"""", F11258=""""), ""真實支出"",
  AND(E11258="""", F11258&lt;&gt;""""), ""真實收入"",
  TRUE, ""其他""
)"),"其他")</f>
        <v>其他</v>
      </c>
      <c r="K11258" s="270" t="str">
        <f t="shared" si="2"/>
        <v/>
      </c>
      <c r="L11258">
        <f t="shared" si="3"/>
        <v>0</v>
      </c>
    </row>
    <row r="11259">
      <c r="A11259" s="107"/>
      <c r="D11259" s="270"/>
      <c r="H11259" s="106" t="str">
        <f t="shared" si="1"/>
        <v/>
      </c>
      <c r="J11259" t="str">
        <f>IFERROR(__xludf.DUMMYFUNCTION("IFS(
  AND(REGEXMATCH(E11259, ""台銀籌備帳戶|玉山帳戶""), REGEXMATCH(C11259, ""薪資"")), ""分潤支出"",
  AND(REGEXMATCH(E11259, ""Ben帳戶|Elsa帳戶|Ben代墊|Ariel代墊|中信銀行共用""), REGEXMATCH(F11259, ""Ben帳戶|Elsa帳戶|Ben代墊|Ariel代墊|中信銀行共用"")), ""內部轉帳(忽略)"",
  AND(E11259&lt;&gt;"""", F11259&lt;&gt;"&amp;""""", NOT(REGEXMATCH(C11259, ""薪資""))), ""內部轉帳(忽略)"",
  REGEXMATCH(C11259, ""薪資""), ""薪資變動(不計入)"",
  REGEXMATCH(C11259, ""押金""), ""押金往來"",
  AND(E11259&lt;&gt;"""", F11259=""""), ""真實支出"",
  AND(E11259="""", F11259&lt;&gt;""""), ""真實收入"",
  TRUE, ""其他""
)"),"其他")</f>
        <v>其他</v>
      </c>
      <c r="K11259" s="270" t="str">
        <f t="shared" si="2"/>
        <v/>
      </c>
      <c r="L11259">
        <f t="shared" si="3"/>
        <v>0</v>
      </c>
    </row>
    <row r="11260">
      <c r="A11260" s="107"/>
      <c r="D11260" s="270"/>
      <c r="H11260" s="106" t="str">
        <f t="shared" si="1"/>
        <v/>
      </c>
      <c r="J11260" t="str">
        <f>IFERROR(__xludf.DUMMYFUNCTION("IFS(
  AND(REGEXMATCH(E11260, ""台銀籌備帳戶|玉山帳戶""), REGEXMATCH(C11260, ""薪資"")), ""分潤支出"",
  AND(REGEXMATCH(E11260, ""Ben帳戶|Elsa帳戶|Ben代墊|Ariel代墊|中信銀行共用""), REGEXMATCH(F11260, ""Ben帳戶|Elsa帳戶|Ben代墊|Ariel代墊|中信銀行共用"")), ""內部轉帳(忽略)"",
  AND(E11260&lt;&gt;"""", F11260&lt;&gt;"&amp;""""", NOT(REGEXMATCH(C11260, ""薪資""))), ""內部轉帳(忽略)"",
  REGEXMATCH(C11260, ""薪資""), ""薪資變動(不計入)"",
  REGEXMATCH(C11260, ""押金""), ""押金往來"",
  AND(E11260&lt;&gt;"""", F11260=""""), ""真實支出"",
  AND(E11260="""", F11260&lt;&gt;""""), ""真實收入"",
  TRUE, ""其他""
)"),"其他")</f>
        <v>其他</v>
      </c>
      <c r="K11260" s="270" t="str">
        <f t="shared" si="2"/>
        <v/>
      </c>
      <c r="L11260">
        <f t="shared" si="3"/>
        <v>0</v>
      </c>
    </row>
    <row r="11261">
      <c r="A11261" s="107"/>
      <c r="D11261" s="270"/>
      <c r="H11261" s="106" t="str">
        <f t="shared" si="1"/>
        <v/>
      </c>
      <c r="J11261" t="str">
        <f>IFERROR(__xludf.DUMMYFUNCTION("IFS(
  AND(REGEXMATCH(E11261, ""台銀籌備帳戶|玉山帳戶""), REGEXMATCH(C11261, ""薪資"")), ""分潤支出"",
  AND(REGEXMATCH(E11261, ""Ben帳戶|Elsa帳戶|Ben代墊|Ariel代墊|中信銀行共用""), REGEXMATCH(F11261, ""Ben帳戶|Elsa帳戶|Ben代墊|Ariel代墊|中信銀行共用"")), ""內部轉帳(忽略)"",
  AND(E11261&lt;&gt;"""", F11261&lt;&gt;"&amp;""""", NOT(REGEXMATCH(C11261, ""薪資""))), ""內部轉帳(忽略)"",
  REGEXMATCH(C11261, ""薪資""), ""薪資變動(不計入)"",
  REGEXMATCH(C11261, ""押金""), ""押金往來"",
  AND(E11261&lt;&gt;"""", F11261=""""), ""真實支出"",
  AND(E11261="""", F11261&lt;&gt;""""), ""真實收入"",
  TRUE, ""其他""
)"),"其他")</f>
        <v>其他</v>
      </c>
      <c r="K11261" s="270" t="str">
        <f t="shared" si="2"/>
        <v/>
      </c>
      <c r="L11261">
        <f t="shared" si="3"/>
        <v>0</v>
      </c>
    </row>
    <row r="11262">
      <c r="A11262" s="107"/>
      <c r="D11262" s="270"/>
      <c r="H11262" s="106" t="str">
        <f t="shared" si="1"/>
        <v/>
      </c>
      <c r="J11262" t="str">
        <f>IFERROR(__xludf.DUMMYFUNCTION("IFS(
  AND(REGEXMATCH(E11262, ""台銀籌備帳戶|玉山帳戶""), REGEXMATCH(C11262, ""薪資"")), ""分潤支出"",
  AND(REGEXMATCH(E11262, ""Ben帳戶|Elsa帳戶|Ben代墊|Ariel代墊|中信銀行共用""), REGEXMATCH(F11262, ""Ben帳戶|Elsa帳戶|Ben代墊|Ariel代墊|中信銀行共用"")), ""內部轉帳(忽略)"",
  AND(E11262&lt;&gt;"""", F11262&lt;&gt;"&amp;""""", NOT(REGEXMATCH(C11262, ""薪資""))), ""內部轉帳(忽略)"",
  REGEXMATCH(C11262, ""薪資""), ""薪資變動(不計入)"",
  REGEXMATCH(C11262, ""押金""), ""押金往來"",
  AND(E11262&lt;&gt;"""", F11262=""""), ""真實支出"",
  AND(E11262="""", F11262&lt;&gt;""""), ""真實收入"",
  TRUE, ""其他""
)"),"其他")</f>
        <v>其他</v>
      </c>
      <c r="K11262" s="270" t="str">
        <f t="shared" si="2"/>
        <v/>
      </c>
      <c r="L11262">
        <f t="shared" si="3"/>
        <v>0</v>
      </c>
    </row>
    <row r="11263">
      <c r="A11263" s="107"/>
      <c r="D11263" s="270"/>
      <c r="H11263" s="106" t="str">
        <f t="shared" si="1"/>
        <v/>
      </c>
      <c r="J11263" t="str">
        <f>IFERROR(__xludf.DUMMYFUNCTION("IFS(
  AND(REGEXMATCH(E11263, ""台銀籌備帳戶|玉山帳戶""), REGEXMATCH(C11263, ""薪資"")), ""分潤支出"",
  AND(REGEXMATCH(E11263, ""Ben帳戶|Elsa帳戶|Ben代墊|Ariel代墊|中信銀行共用""), REGEXMATCH(F11263, ""Ben帳戶|Elsa帳戶|Ben代墊|Ariel代墊|中信銀行共用"")), ""內部轉帳(忽略)"",
  AND(E11263&lt;&gt;"""", F11263&lt;&gt;"&amp;""""", NOT(REGEXMATCH(C11263, ""薪資""))), ""內部轉帳(忽略)"",
  REGEXMATCH(C11263, ""薪資""), ""薪資變動(不計入)"",
  REGEXMATCH(C11263, ""押金""), ""押金往來"",
  AND(E11263&lt;&gt;"""", F11263=""""), ""真實支出"",
  AND(E11263="""", F11263&lt;&gt;""""), ""真實收入"",
  TRUE, ""其他""
)"),"其他")</f>
        <v>其他</v>
      </c>
      <c r="K11263" s="270" t="str">
        <f t="shared" si="2"/>
        <v/>
      </c>
      <c r="L11263">
        <f t="shared" si="3"/>
        <v>0</v>
      </c>
    </row>
    <row r="11264">
      <c r="A11264" s="107"/>
      <c r="D11264" s="270"/>
      <c r="H11264" s="106" t="str">
        <f t="shared" si="1"/>
        <v/>
      </c>
      <c r="J11264" t="str">
        <f>IFERROR(__xludf.DUMMYFUNCTION("IFS(
  AND(REGEXMATCH(E11264, ""台銀籌備帳戶|玉山帳戶""), REGEXMATCH(C11264, ""薪資"")), ""分潤支出"",
  AND(REGEXMATCH(E11264, ""Ben帳戶|Elsa帳戶|Ben代墊|Ariel代墊|中信銀行共用""), REGEXMATCH(F11264, ""Ben帳戶|Elsa帳戶|Ben代墊|Ariel代墊|中信銀行共用"")), ""內部轉帳(忽略)"",
  AND(E11264&lt;&gt;"""", F11264&lt;&gt;"&amp;""""", NOT(REGEXMATCH(C11264, ""薪資""))), ""內部轉帳(忽略)"",
  REGEXMATCH(C11264, ""薪資""), ""薪資變動(不計入)"",
  REGEXMATCH(C11264, ""押金""), ""押金往來"",
  AND(E11264&lt;&gt;"""", F11264=""""), ""真實支出"",
  AND(E11264="""", F11264&lt;&gt;""""), ""真實收入"",
  TRUE, ""其他""
)"),"其他")</f>
        <v>其他</v>
      </c>
      <c r="K11264" s="270" t="str">
        <f t="shared" si="2"/>
        <v/>
      </c>
      <c r="L11264">
        <f t="shared" si="3"/>
        <v>0</v>
      </c>
    </row>
    <row r="11265">
      <c r="A11265" s="107"/>
      <c r="D11265" s="270"/>
      <c r="H11265" s="106" t="str">
        <f t="shared" si="1"/>
        <v/>
      </c>
      <c r="J11265" t="str">
        <f>IFERROR(__xludf.DUMMYFUNCTION("IFS(
  AND(REGEXMATCH(E11265, ""台銀籌備帳戶|玉山帳戶""), REGEXMATCH(C11265, ""薪資"")), ""分潤支出"",
  AND(REGEXMATCH(E11265, ""Ben帳戶|Elsa帳戶|Ben代墊|Ariel代墊|中信銀行共用""), REGEXMATCH(F11265, ""Ben帳戶|Elsa帳戶|Ben代墊|Ariel代墊|中信銀行共用"")), ""內部轉帳(忽略)"",
  AND(E11265&lt;&gt;"""", F11265&lt;&gt;"&amp;""""", NOT(REGEXMATCH(C11265, ""薪資""))), ""內部轉帳(忽略)"",
  REGEXMATCH(C11265, ""薪資""), ""薪資變動(不計入)"",
  REGEXMATCH(C11265, ""押金""), ""押金往來"",
  AND(E11265&lt;&gt;"""", F11265=""""), ""真實支出"",
  AND(E11265="""", F11265&lt;&gt;""""), ""真實收入"",
  TRUE, ""其他""
)"),"其他")</f>
        <v>其他</v>
      </c>
      <c r="K11265" s="270" t="str">
        <f t="shared" si="2"/>
        <v/>
      </c>
      <c r="L11265">
        <f t="shared" si="3"/>
        <v>0</v>
      </c>
    </row>
    <row r="11266">
      <c r="A11266" s="107"/>
      <c r="D11266" s="270"/>
      <c r="H11266" s="106" t="str">
        <f t="shared" si="1"/>
        <v/>
      </c>
      <c r="J11266" t="str">
        <f>IFERROR(__xludf.DUMMYFUNCTION("IFS(
  AND(REGEXMATCH(E11266, ""台銀籌備帳戶|玉山帳戶""), REGEXMATCH(C11266, ""薪資"")), ""分潤支出"",
  AND(REGEXMATCH(E11266, ""Ben帳戶|Elsa帳戶|Ben代墊|Ariel代墊|中信銀行共用""), REGEXMATCH(F11266, ""Ben帳戶|Elsa帳戶|Ben代墊|Ariel代墊|中信銀行共用"")), ""內部轉帳(忽略)"",
  AND(E11266&lt;&gt;"""", F11266&lt;&gt;"&amp;""""", NOT(REGEXMATCH(C11266, ""薪資""))), ""內部轉帳(忽略)"",
  REGEXMATCH(C11266, ""薪資""), ""薪資變動(不計入)"",
  REGEXMATCH(C11266, ""押金""), ""押金往來"",
  AND(E11266&lt;&gt;"""", F11266=""""), ""真實支出"",
  AND(E11266="""", F11266&lt;&gt;""""), ""真實收入"",
  TRUE, ""其他""
)"),"其他")</f>
        <v>其他</v>
      </c>
      <c r="K11266" s="270" t="str">
        <f t="shared" si="2"/>
        <v/>
      </c>
      <c r="L11266">
        <f t="shared" si="3"/>
        <v>0</v>
      </c>
    </row>
    <row r="11267">
      <c r="A11267" s="107"/>
      <c r="D11267" s="270"/>
      <c r="H11267" s="106" t="str">
        <f t="shared" si="1"/>
        <v/>
      </c>
      <c r="J11267" t="str">
        <f>IFERROR(__xludf.DUMMYFUNCTION("IFS(
  AND(REGEXMATCH(E11267, ""台銀籌備帳戶|玉山帳戶""), REGEXMATCH(C11267, ""薪資"")), ""分潤支出"",
  AND(REGEXMATCH(E11267, ""Ben帳戶|Elsa帳戶|Ben代墊|Ariel代墊|中信銀行共用""), REGEXMATCH(F11267, ""Ben帳戶|Elsa帳戶|Ben代墊|Ariel代墊|中信銀行共用"")), ""內部轉帳(忽略)"",
  AND(E11267&lt;&gt;"""", F11267&lt;&gt;"&amp;""""", NOT(REGEXMATCH(C11267, ""薪資""))), ""內部轉帳(忽略)"",
  REGEXMATCH(C11267, ""薪資""), ""薪資變動(不計入)"",
  REGEXMATCH(C11267, ""押金""), ""押金往來"",
  AND(E11267&lt;&gt;"""", F11267=""""), ""真實支出"",
  AND(E11267="""", F11267&lt;&gt;""""), ""真實收入"",
  TRUE, ""其他""
)"),"其他")</f>
        <v>其他</v>
      </c>
      <c r="K11267" s="270" t="str">
        <f t="shared" si="2"/>
        <v/>
      </c>
      <c r="L11267">
        <f t="shared" si="3"/>
        <v>0</v>
      </c>
    </row>
    <row r="11268">
      <c r="A11268" s="107"/>
      <c r="D11268" s="270"/>
      <c r="H11268" s="106" t="str">
        <f t="shared" si="1"/>
        <v/>
      </c>
      <c r="J11268" t="str">
        <f>IFERROR(__xludf.DUMMYFUNCTION("IFS(
  AND(REGEXMATCH(E11268, ""台銀籌備帳戶|玉山帳戶""), REGEXMATCH(C11268, ""薪資"")), ""分潤支出"",
  AND(REGEXMATCH(E11268, ""Ben帳戶|Elsa帳戶|Ben代墊|Ariel代墊|中信銀行共用""), REGEXMATCH(F11268, ""Ben帳戶|Elsa帳戶|Ben代墊|Ariel代墊|中信銀行共用"")), ""內部轉帳(忽略)"",
  AND(E11268&lt;&gt;"""", F11268&lt;&gt;"&amp;""""", NOT(REGEXMATCH(C11268, ""薪資""))), ""內部轉帳(忽略)"",
  REGEXMATCH(C11268, ""薪資""), ""薪資變動(不計入)"",
  REGEXMATCH(C11268, ""押金""), ""押金往來"",
  AND(E11268&lt;&gt;"""", F11268=""""), ""真實支出"",
  AND(E11268="""", F11268&lt;&gt;""""), ""真實收入"",
  TRUE, ""其他""
)"),"其他")</f>
        <v>其他</v>
      </c>
      <c r="K11268" s="270" t="str">
        <f t="shared" si="2"/>
        <v/>
      </c>
      <c r="L11268">
        <f t="shared" si="3"/>
        <v>0</v>
      </c>
    </row>
    <row r="11269">
      <c r="A11269" s="107"/>
      <c r="D11269" s="270"/>
      <c r="H11269" s="106" t="str">
        <f t="shared" si="1"/>
        <v/>
      </c>
      <c r="J11269" t="str">
        <f>IFERROR(__xludf.DUMMYFUNCTION("IFS(
  AND(REGEXMATCH(E11269, ""台銀籌備帳戶|玉山帳戶""), REGEXMATCH(C11269, ""薪資"")), ""分潤支出"",
  AND(REGEXMATCH(E11269, ""Ben帳戶|Elsa帳戶|Ben代墊|Ariel代墊|中信銀行共用""), REGEXMATCH(F11269, ""Ben帳戶|Elsa帳戶|Ben代墊|Ariel代墊|中信銀行共用"")), ""內部轉帳(忽略)"",
  AND(E11269&lt;&gt;"""", F11269&lt;&gt;"&amp;""""", NOT(REGEXMATCH(C11269, ""薪資""))), ""內部轉帳(忽略)"",
  REGEXMATCH(C11269, ""薪資""), ""薪資變動(不計入)"",
  REGEXMATCH(C11269, ""押金""), ""押金往來"",
  AND(E11269&lt;&gt;"""", F11269=""""), ""真實支出"",
  AND(E11269="""", F11269&lt;&gt;""""), ""真實收入"",
  TRUE, ""其他""
)"),"其他")</f>
        <v>其他</v>
      </c>
      <c r="K11269" s="270" t="str">
        <f t="shared" si="2"/>
        <v/>
      </c>
      <c r="L11269">
        <f t="shared" si="3"/>
        <v>0</v>
      </c>
    </row>
    <row r="11270">
      <c r="A11270" s="107"/>
      <c r="D11270" s="270"/>
      <c r="H11270" s="106" t="str">
        <f t="shared" si="1"/>
        <v/>
      </c>
      <c r="J11270" t="str">
        <f>IFERROR(__xludf.DUMMYFUNCTION("IFS(
  AND(REGEXMATCH(E11270, ""台銀籌備帳戶|玉山帳戶""), REGEXMATCH(C11270, ""薪資"")), ""分潤支出"",
  AND(REGEXMATCH(E11270, ""Ben帳戶|Elsa帳戶|Ben代墊|Ariel代墊|中信銀行共用""), REGEXMATCH(F11270, ""Ben帳戶|Elsa帳戶|Ben代墊|Ariel代墊|中信銀行共用"")), ""內部轉帳(忽略)"",
  AND(E11270&lt;&gt;"""", F11270&lt;&gt;"&amp;""""", NOT(REGEXMATCH(C11270, ""薪資""))), ""內部轉帳(忽略)"",
  REGEXMATCH(C11270, ""薪資""), ""薪資變動(不計入)"",
  REGEXMATCH(C11270, ""押金""), ""押金往來"",
  AND(E11270&lt;&gt;"""", F11270=""""), ""真實支出"",
  AND(E11270="""", F11270&lt;&gt;""""), ""真實收入"",
  TRUE, ""其他""
)"),"其他")</f>
        <v>其他</v>
      </c>
      <c r="K11270" s="270" t="str">
        <f t="shared" si="2"/>
        <v/>
      </c>
      <c r="L11270">
        <f t="shared" si="3"/>
        <v>0</v>
      </c>
    </row>
    <row r="11271">
      <c r="A11271" s="107"/>
      <c r="D11271" s="270"/>
      <c r="H11271" s="106" t="str">
        <f t="shared" si="1"/>
        <v/>
      </c>
      <c r="J11271" t="str">
        <f>IFERROR(__xludf.DUMMYFUNCTION("IFS(
  AND(REGEXMATCH(E11271, ""台銀籌備帳戶|玉山帳戶""), REGEXMATCH(C11271, ""薪資"")), ""分潤支出"",
  AND(REGEXMATCH(E11271, ""Ben帳戶|Elsa帳戶|Ben代墊|Ariel代墊|中信銀行共用""), REGEXMATCH(F11271, ""Ben帳戶|Elsa帳戶|Ben代墊|Ariel代墊|中信銀行共用"")), ""內部轉帳(忽略)"",
  AND(E11271&lt;&gt;"""", F11271&lt;&gt;"&amp;""""", NOT(REGEXMATCH(C11271, ""薪資""))), ""內部轉帳(忽略)"",
  REGEXMATCH(C11271, ""薪資""), ""薪資變動(不計入)"",
  REGEXMATCH(C11271, ""押金""), ""押金往來"",
  AND(E11271&lt;&gt;"""", F11271=""""), ""真實支出"",
  AND(E11271="""", F11271&lt;&gt;""""), ""真實收入"",
  TRUE, ""其他""
)"),"其他")</f>
        <v>其他</v>
      </c>
      <c r="K11271" s="270" t="str">
        <f t="shared" si="2"/>
        <v/>
      </c>
      <c r="L11271">
        <f t="shared" si="3"/>
        <v>0</v>
      </c>
    </row>
    <row r="11272">
      <c r="A11272" s="107"/>
      <c r="D11272" s="270"/>
      <c r="H11272" s="106" t="str">
        <f t="shared" si="1"/>
        <v/>
      </c>
      <c r="J11272" t="str">
        <f>IFERROR(__xludf.DUMMYFUNCTION("IFS(
  AND(REGEXMATCH(E11272, ""台銀籌備帳戶|玉山帳戶""), REGEXMATCH(C11272, ""薪資"")), ""分潤支出"",
  AND(REGEXMATCH(E11272, ""Ben帳戶|Elsa帳戶|Ben代墊|Ariel代墊|中信銀行共用""), REGEXMATCH(F11272, ""Ben帳戶|Elsa帳戶|Ben代墊|Ariel代墊|中信銀行共用"")), ""內部轉帳(忽略)"",
  AND(E11272&lt;&gt;"""", F11272&lt;&gt;"&amp;""""", NOT(REGEXMATCH(C11272, ""薪資""))), ""內部轉帳(忽略)"",
  REGEXMATCH(C11272, ""薪資""), ""薪資變動(不計入)"",
  REGEXMATCH(C11272, ""押金""), ""押金往來"",
  AND(E11272&lt;&gt;"""", F11272=""""), ""真實支出"",
  AND(E11272="""", F11272&lt;&gt;""""), ""真實收入"",
  TRUE, ""其他""
)"),"其他")</f>
        <v>其他</v>
      </c>
      <c r="K11272" s="270" t="str">
        <f t="shared" si="2"/>
        <v/>
      </c>
      <c r="L11272">
        <f t="shared" si="3"/>
        <v>0</v>
      </c>
    </row>
    <row r="11273">
      <c r="A11273" s="107"/>
      <c r="D11273" s="270"/>
      <c r="H11273" s="106" t="str">
        <f t="shared" si="1"/>
        <v/>
      </c>
      <c r="J11273" t="str">
        <f>IFERROR(__xludf.DUMMYFUNCTION("IFS(
  AND(REGEXMATCH(E11273, ""台銀籌備帳戶|玉山帳戶""), REGEXMATCH(C11273, ""薪資"")), ""分潤支出"",
  AND(REGEXMATCH(E11273, ""Ben帳戶|Elsa帳戶|Ben代墊|Ariel代墊|中信銀行共用""), REGEXMATCH(F11273, ""Ben帳戶|Elsa帳戶|Ben代墊|Ariel代墊|中信銀行共用"")), ""內部轉帳(忽略)"",
  AND(E11273&lt;&gt;"""", F11273&lt;&gt;"&amp;""""", NOT(REGEXMATCH(C11273, ""薪資""))), ""內部轉帳(忽略)"",
  REGEXMATCH(C11273, ""薪資""), ""薪資變動(不計入)"",
  REGEXMATCH(C11273, ""押金""), ""押金往來"",
  AND(E11273&lt;&gt;"""", F11273=""""), ""真實支出"",
  AND(E11273="""", F11273&lt;&gt;""""), ""真實收入"",
  TRUE, ""其他""
)"),"其他")</f>
        <v>其他</v>
      </c>
      <c r="K11273" s="270" t="str">
        <f t="shared" si="2"/>
        <v/>
      </c>
      <c r="L11273">
        <f t="shared" si="3"/>
        <v>0</v>
      </c>
    </row>
    <row r="11274">
      <c r="A11274" s="107"/>
      <c r="D11274" s="270"/>
      <c r="H11274" s="106" t="str">
        <f t="shared" si="1"/>
        <v/>
      </c>
      <c r="J11274" t="str">
        <f>IFERROR(__xludf.DUMMYFUNCTION("IFS(
  AND(REGEXMATCH(E11274, ""台銀籌備帳戶|玉山帳戶""), REGEXMATCH(C11274, ""薪資"")), ""分潤支出"",
  AND(REGEXMATCH(E11274, ""Ben帳戶|Elsa帳戶|Ben代墊|Ariel代墊|中信銀行共用""), REGEXMATCH(F11274, ""Ben帳戶|Elsa帳戶|Ben代墊|Ariel代墊|中信銀行共用"")), ""內部轉帳(忽略)"",
  AND(E11274&lt;&gt;"""", F11274&lt;&gt;"&amp;""""", NOT(REGEXMATCH(C11274, ""薪資""))), ""內部轉帳(忽略)"",
  REGEXMATCH(C11274, ""薪資""), ""薪資變動(不計入)"",
  REGEXMATCH(C11274, ""押金""), ""押金往來"",
  AND(E11274&lt;&gt;"""", F11274=""""), ""真實支出"",
  AND(E11274="""", F11274&lt;&gt;""""), ""真實收入"",
  TRUE, ""其他""
)"),"其他")</f>
        <v>其他</v>
      </c>
      <c r="K11274" s="270" t="str">
        <f t="shared" si="2"/>
        <v/>
      </c>
      <c r="L11274">
        <f t="shared" si="3"/>
        <v>0</v>
      </c>
    </row>
    <row r="11275">
      <c r="A11275" s="107"/>
      <c r="D11275" s="270"/>
      <c r="H11275" s="106" t="str">
        <f t="shared" si="1"/>
        <v/>
      </c>
      <c r="J11275" t="str">
        <f>IFERROR(__xludf.DUMMYFUNCTION("IFS(
  AND(REGEXMATCH(E11275, ""台銀籌備帳戶|玉山帳戶""), REGEXMATCH(C11275, ""薪資"")), ""分潤支出"",
  AND(REGEXMATCH(E11275, ""Ben帳戶|Elsa帳戶|Ben代墊|Ariel代墊|中信銀行共用""), REGEXMATCH(F11275, ""Ben帳戶|Elsa帳戶|Ben代墊|Ariel代墊|中信銀行共用"")), ""內部轉帳(忽略)"",
  AND(E11275&lt;&gt;"""", F11275&lt;&gt;"&amp;""""", NOT(REGEXMATCH(C11275, ""薪資""))), ""內部轉帳(忽略)"",
  REGEXMATCH(C11275, ""薪資""), ""薪資變動(不計入)"",
  REGEXMATCH(C11275, ""押金""), ""押金往來"",
  AND(E11275&lt;&gt;"""", F11275=""""), ""真實支出"",
  AND(E11275="""", F11275&lt;&gt;""""), ""真實收入"",
  TRUE, ""其他""
)"),"其他")</f>
        <v>其他</v>
      </c>
      <c r="K11275" s="270" t="str">
        <f t="shared" si="2"/>
        <v/>
      </c>
      <c r="L11275">
        <f t="shared" si="3"/>
        <v>0</v>
      </c>
    </row>
    <row r="11276">
      <c r="A11276" s="107"/>
      <c r="D11276" s="270"/>
      <c r="H11276" s="106" t="str">
        <f t="shared" si="1"/>
        <v/>
      </c>
      <c r="J11276" t="str">
        <f>IFERROR(__xludf.DUMMYFUNCTION("IFS(
  AND(REGEXMATCH(E11276, ""台銀籌備帳戶|玉山帳戶""), REGEXMATCH(C11276, ""薪資"")), ""分潤支出"",
  AND(REGEXMATCH(E11276, ""Ben帳戶|Elsa帳戶|Ben代墊|Ariel代墊|中信銀行共用""), REGEXMATCH(F11276, ""Ben帳戶|Elsa帳戶|Ben代墊|Ariel代墊|中信銀行共用"")), ""內部轉帳(忽略)"",
  AND(E11276&lt;&gt;"""", F11276&lt;&gt;"&amp;""""", NOT(REGEXMATCH(C11276, ""薪資""))), ""內部轉帳(忽略)"",
  REGEXMATCH(C11276, ""薪資""), ""薪資變動(不計入)"",
  REGEXMATCH(C11276, ""押金""), ""押金往來"",
  AND(E11276&lt;&gt;"""", F11276=""""), ""真實支出"",
  AND(E11276="""", F11276&lt;&gt;""""), ""真實收入"",
  TRUE, ""其他""
)"),"其他")</f>
        <v>其他</v>
      </c>
      <c r="K11276" s="270" t="str">
        <f t="shared" si="2"/>
        <v/>
      </c>
      <c r="L11276">
        <f t="shared" si="3"/>
        <v>0</v>
      </c>
    </row>
    <row r="11277">
      <c r="A11277" s="107"/>
      <c r="D11277" s="270"/>
      <c r="H11277" s="106" t="str">
        <f t="shared" si="1"/>
        <v/>
      </c>
      <c r="J11277" t="str">
        <f>IFERROR(__xludf.DUMMYFUNCTION("IFS(
  AND(REGEXMATCH(E11277, ""台銀籌備帳戶|玉山帳戶""), REGEXMATCH(C11277, ""薪資"")), ""分潤支出"",
  AND(REGEXMATCH(E11277, ""Ben帳戶|Elsa帳戶|Ben代墊|Ariel代墊|中信銀行共用""), REGEXMATCH(F11277, ""Ben帳戶|Elsa帳戶|Ben代墊|Ariel代墊|中信銀行共用"")), ""內部轉帳(忽略)"",
  AND(E11277&lt;&gt;"""", F11277&lt;&gt;"&amp;""""", NOT(REGEXMATCH(C11277, ""薪資""))), ""內部轉帳(忽略)"",
  REGEXMATCH(C11277, ""薪資""), ""薪資變動(不計入)"",
  REGEXMATCH(C11277, ""押金""), ""押金往來"",
  AND(E11277&lt;&gt;"""", F11277=""""), ""真實支出"",
  AND(E11277="""", F11277&lt;&gt;""""), ""真實收入"",
  TRUE, ""其他""
)"),"其他")</f>
        <v>其他</v>
      </c>
      <c r="K11277" s="270" t="str">
        <f t="shared" si="2"/>
        <v/>
      </c>
      <c r="L11277">
        <f t="shared" si="3"/>
        <v>0</v>
      </c>
    </row>
    <row r="11278">
      <c r="A11278" s="107"/>
      <c r="D11278" s="270"/>
      <c r="H11278" s="106" t="str">
        <f t="shared" si="1"/>
        <v/>
      </c>
      <c r="J11278" t="str">
        <f>IFERROR(__xludf.DUMMYFUNCTION("IFS(
  AND(REGEXMATCH(E11278, ""台銀籌備帳戶|玉山帳戶""), REGEXMATCH(C11278, ""薪資"")), ""分潤支出"",
  AND(REGEXMATCH(E11278, ""Ben帳戶|Elsa帳戶|Ben代墊|Ariel代墊|中信銀行共用""), REGEXMATCH(F11278, ""Ben帳戶|Elsa帳戶|Ben代墊|Ariel代墊|中信銀行共用"")), ""內部轉帳(忽略)"",
  AND(E11278&lt;&gt;"""", F11278&lt;&gt;"&amp;""""", NOT(REGEXMATCH(C11278, ""薪資""))), ""內部轉帳(忽略)"",
  REGEXMATCH(C11278, ""薪資""), ""薪資變動(不計入)"",
  REGEXMATCH(C11278, ""押金""), ""押金往來"",
  AND(E11278&lt;&gt;"""", F11278=""""), ""真實支出"",
  AND(E11278="""", F11278&lt;&gt;""""), ""真實收入"",
  TRUE, ""其他""
)"),"其他")</f>
        <v>其他</v>
      </c>
      <c r="K11278" s="270" t="str">
        <f t="shared" si="2"/>
        <v/>
      </c>
      <c r="L11278">
        <f t="shared" si="3"/>
        <v>0</v>
      </c>
    </row>
    <row r="11279">
      <c r="A11279" s="107"/>
      <c r="D11279" s="270"/>
      <c r="H11279" s="106" t="str">
        <f t="shared" si="1"/>
        <v/>
      </c>
      <c r="J11279" t="str">
        <f>IFERROR(__xludf.DUMMYFUNCTION("IFS(
  AND(REGEXMATCH(E11279, ""台銀籌備帳戶|玉山帳戶""), REGEXMATCH(C11279, ""薪資"")), ""分潤支出"",
  AND(REGEXMATCH(E11279, ""Ben帳戶|Elsa帳戶|Ben代墊|Ariel代墊|中信銀行共用""), REGEXMATCH(F11279, ""Ben帳戶|Elsa帳戶|Ben代墊|Ariel代墊|中信銀行共用"")), ""內部轉帳(忽略)"",
  AND(E11279&lt;&gt;"""", F11279&lt;&gt;"&amp;""""", NOT(REGEXMATCH(C11279, ""薪資""))), ""內部轉帳(忽略)"",
  REGEXMATCH(C11279, ""薪資""), ""薪資變動(不計入)"",
  REGEXMATCH(C11279, ""押金""), ""押金往來"",
  AND(E11279&lt;&gt;"""", F11279=""""), ""真實支出"",
  AND(E11279="""", F11279&lt;&gt;""""), ""真實收入"",
  TRUE, ""其他""
)"),"其他")</f>
        <v>其他</v>
      </c>
      <c r="K11279" s="270" t="str">
        <f t="shared" si="2"/>
        <v/>
      </c>
      <c r="L11279">
        <f t="shared" si="3"/>
        <v>0</v>
      </c>
    </row>
    <row r="11280">
      <c r="A11280" s="107"/>
      <c r="D11280" s="270"/>
      <c r="H11280" s="106" t="str">
        <f t="shared" si="1"/>
        <v/>
      </c>
      <c r="J11280" t="str">
        <f>IFERROR(__xludf.DUMMYFUNCTION("IFS(
  AND(REGEXMATCH(E11280, ""台銀籌備帳戶|玉山帳戶""), REGEXMATCH(C11280, ""薪資"")), ""分潤支出"",
  AND(REGEXMATCH(E11280, ""Ben帳戶|Elsa帳戶|Ben代墊|Ariel代墊|中信銀行共用""), REGEXMATCH(F11280, ""Ben帳戶|Elsa帳戶|Ben代墊|Ariel代墊|中信銀行共用"")), ""內部轉帳(忽略)"",
  AND(E11280&lt;&gt;"""", F11280&lt;&gt;"&amp;""""", NOT(REGEXMATCH(C11280, ""薪資""))), ""內部轉帳(忽略)"",
  REGEXMATCH(C11280, ""薪資""), ""薪資變動(不計入)"",
  REGEXMATCH(C11280, ""押金""), ""押金往來"",
  AND(E11280&lt;&gt;"""", F11280=""""), ""真實支出"",
  AND(E11280="""", F11280&lt;&gt;""""), ""真實收入"",
  TRUE, ""其他""
)"),"其他")</f>
        <v>其他</v>
      </c>
      <c r="K11280" s="270" t="str">
        <f t="shared" si="2"/>
        <v/>
      </c>
      <c r="L11280">
        <f t="shared" si="3"/>
        <v>0</v>
      </c>
    </row>
    <row r="11281">
      <c r="A11281" s="107"/>
      <c r="D11281" s="270"/>
      <c r="H11281" s="106" t="str">
        <f t="shared" si="1"/>
        <v/>
      </c>
      <c r="J11281" t="str">
        <f>IFERROR(__xludf.DUMMYFUNCTION("IFS(
  AND(REGEXMATCH(E11281, ""台銀籌備帳戶|玉山帳戶""), REGEXMATCH(C11281, ""薪資"")), ""分潤支出"",
  AND(REGEXMATCH(E11281, ""Ben帳戶|Elsa帳戶|Ben代墊|Ariel代墊|中信銀行共用""), REGEXMATCH(F11281, ""Ben帳戶|Elsa帳戶|Ben代墊|Ariel代墊|中信銀行共用"")), ""內部轉帳(忽略)"",
  AND(E11281&lt;&gt;"""", F11281&lt;&gt;"&amp;""""", NOT(REGEXMATCH(C11281, ""薪資""))), ""內部轉帳(忽略)"",
  REGEXMATCH(C11281, ""薪資""), ""薪資變動(不計入)"",
  REGEXMATCH(C11281, ""押金""), ""押金往來"",
  AND(E11281&lt;&gt;"""", F11281=""""), ""真實支出"",
  AND(E11281="""", F11281&lt;&gt;""""), ""真實收入"",
  TRUE, ""其他""
)"),"其他")</f>
        <v>其他</v>
      </c>
      <c r="K11281" s="270" t="str">
        <f t="shared" si="2"/>
        <v/>
      </c>
      <c r="L11281">
        <f t="shared" si="3"/>
        <v>0</v>
      </c>
    </row>
    <row r="11282">
      <c r="A11282" s="107"/>
      <c r="D11282" s="270"/>
      <c r="H11282" s="106" t="str">
        <f t="shared" si="1"/>
        <v/>
      </c>
      <c r="J11282" t="str">
        <f>IFERROR(__xludf.DUMMYFUNCTION("IFS(
  AND(REGEXMATCH(E11282, ""台銀籌備帳戶|玉山帳戶""), REGEXMATCH(C11282, ""薪資"")), ""分潤支出"",
  AND(REGEXMATCH(E11282, ""Ben帳戶|Elsa帳戶|Ben代墊|Ariel代墊|中信銀行共用""), REGEXMATCH(F11282, ""Ben帳戶|Elsa帳戶|Ben代墊|Ariel代墊|中信銀行共用"")), ""內部轉帳(忽略)"",
  AND(E11282&lt;&gt;"""", F11282&lt;&gt;"&amp;""""", NOT(REGEXMATCH(C11282, ""薪資""))), ""內部轉帳(忽略)"",
  REGEXMATCH(C11282, ""薪資""), ""薪資變動(不計入)"",
  REGEXMATCH(C11282, ""押金""), ""押金往來"",
  AND(E11282&lt;&gt;"""", F11282=""""), ""真實支出"",
  AND(E11282="""", F11282&lt;&gt;""""), ""真實收入"",
  TRUE, ""其他""
)"),"其他")</f>
        <v>其他</v>
      </c>
      <c r="K11282" s="270" t="str">
        <f t="shared" si="2"/>
        <v/>
      </c>
      <c r="L11282">
        <f t="shared" si="3"/>
        <v>0</v>
      </c>
    </row>
    <row r="11283">
      <c r="A11283" s="107"/>
      <c r="D11283" s="270"/>
      <c r="H11283" s="106" t="str">
        <f t="shared" si="1"/>
        <v/>
      </c>
      <c r="J11283" t="str">
        <f>IFERROR(__xludf.DUMMYFUNCTION("IFS(
  AND(REGEXMATCH(E11283, ""台銀籌備帳戶|玉山帳戶""), REGEXMATCH(C11283, ""薪資"")), ""分潤支出"",
  AND(REGEXMATCH(E11283, ""Ben帳戶|Elsa帳戶|Ben代墊|Ariel代墊|中信銀行共用""), REGEXMATCH(F11283, ""Ben帳戶|Elsa帳戶|Ben代墊|Ariel代墊|中信銀行共用"")), ""內部轉帳(忽略)"",
  AND(E11283&lt;&gt;"""", F11283&lt;&gt;"&amp;""""", NOT(REGEXMATCH(C11283, ""薪資""))), ""內部轉帳(忽略)"",
  REGEXMATCH(C11283, ""薪資""), ""薪資變動(不計入)"",
  REGEXMATCH(C11283, ""押金""), ""押金往來"",
  AND(E11283&lt;&gt;"""", F11283=""""), ""真實支出"",
  AND(E11283="""", F11283&lt;&gt;""""), ""真實收入"",
  TRUE, ""其他""
)"),"其他")</f>
        <v>其他</v>
      </c>
      <c r="K11283" s="270" t="str">
        <f t="shared" si="2"/>
        <v/>
      </c>
      <c r="L11283">
        <f t="shared" si="3"/>
        <v>0</v>
      </c>
    </row>
    <row r="11284">
      <c r="A11284" s="107"/>
      <c r="D11284" s="270"/>
      <c r="H11284" s="106" t="str">
        <f t="shared" si="1"/>
        <v/>
      </c>
      <c r="J11284" t="str">
        <f>IFERROR(__xludf.DUMMYFUNCTION("IFS(
  AND(REGEXMATCH(E11284, ""台銀籌備帳戶|玉山帳戶""), REGEXMATCH(C11284, ""薪資"")), ""分潤支出"",
  AND(REGEXMATCH(E11284, ""Ben帳戶|Elsa帳戶|Ben代墊|Ariel代墊|中信銀行共用""), REGEXMATCH(F11284, ""Ben帳戶|Elsa帳戶|Ben代墊|Ariel代墊|中信銀行共用"")), ""內部轉帳(忽略)"",
  AND(E11284&lt;&gt;"""", F11284&lt;&gt;"&amp;""""", NOT(REGEXMATCH(C11284, ""薪資""))), ""內部轉帳(忽略)"",
  REGEXMATCH(C11284, ""薪資""), ""薪資變動(不計入)"",
  REGEXMATCH(C11284, ""押金""), ""押金往來"",
  AND(E11284&lt;&gt;"""", F11284=""""), ""真實支出"",
  AND(E11284="""", F11284&lt;&gt;""""), ""真實收入"",
  TRUE, ""其他""
)"),"其他")</f>
        <v>其他</v>
      </c>
      <c r="K11284" s="270" t="str">
        <f t="shared" si="2"/>
        <v/>
      </c>
      <c r="L11284">
        <f t="shared" si="3"/>
        <v>0</v>
      </c>
    </row>
    <row r="11285">
      <c r="A11285" s="107"/>
      <c r="D11285" s="270"/>
      <c r="H11285" s="106" t="str">
        <f t="shared" si="1"/>
        <v/>
      </c>
      <c r="J11285" t="str">
        <f>IFERROR(__xludf.DUMMYFUNCTION("IFS(
  AND(REGEXMATCH(E11285, ""台銀籌備帳戶|玉山帳戶""), REGEXMATCH(C11285, ""薪資"")), ""分潤支出"",
  AND(REGEXMATCH(E11285, ""Ben帳戶|Elsa帳戶|Ben代墊|Ariel代墊|中信銀行共用""), REGEXMATCH(F11285, ""Ben帳戶|Elsa帳戶|Ben代墊|Ariel代墊|中信銀行共用"")), ""內部轉帳(忽略)"",
  AND(E11285&lt;&gt;"""", F11285&lt;&gt;"&amp;""""", NOT(REGEXMATCH(C11285, ""薪資""))), ""內部轉帳(忽略)"",
  REGEXMATCH(C11285, ""薪資""), ""薪資變動(不計入)"",
  REGEXMATCH(C11285, ""押金""), ""押金往來"",
  AND(E11285&lt;&gt;"""", F11285=""""), ""真實支出"",
  AND(E11285="""", F11285&lt;&gt;""""), ""真實收入"",
  TRUE, ""其他""
)"),"其他")</f>
        <v>其他</v>
      </c>
      <c r="K11285" s="270" t="str">
        <f t="shared" si="2"/>
        <v/>
      </c>
      <c r="L11285">
        <f t="shared" si="3"/>
        <v>0</v>
      </c>
    </row>
    <row r="11286">
      <c r="A11286" s="107"/>
      <c r="D11286" s="270"/>
      <c r="H11286" s="106" t="str">
        <f t="shared" si="1"/>
        <v/>
      </c>
      <c r="J11286" t="str">
        <f>IFERROR(__xludf.DUMMYFUNCTION("IFS(
  AND(REGEXMATCH(E11286, ""台銀籌備帳戶|玉山帳戶""), REGEXMATCH(C11286, ""薪資"")), ""分潤支出"",
  AND(REGEXMATCH(E11286, ""Ben帳戶|Elsa帳戶|Ben代墊|Ariel代墊|中信銀行共用""), REGEXMATCH(F11286, ""Ben帳戶|Elsa帳戶|Ben代墊|Ariel代墊|中信銀行共用"")), ""內部轉帳(忽略)"",
  AND(E11286&lt;&gt;"""", F11286&lt;&gt;"&amp;""""", NOT(REGEXMATCH(C11286, ""薪資""))), ""內部轉帳(忽略)"",
  REGEXMATCH(C11286, ""薪資""), ""薪資變動(不計入)"",
  REGEXMATCH(C11286, ""押金""), ""押金往來"",
  AND(E11286&lt;&gt;"""", F11286=""""), ""真實支出"",
  AND(E11286="""", F11286&lt;&gt;""""), ""真實收入"",
  TRUE, ""其他""
)"),"其他")</f>
        <v>其他</v>
      </c>
      <c r="K11286" s="270" t="str">
        <f t="shared" si="2"/>
        <v/>
      </c>
      <c r="L11286">
        <f t="shared" si="3"/>
        <v>0</v>
      </c>
    </row>
    <row r="11287">
      <c r="A11287" s="107"/>
      <c r="D11287" s="270"/>
      <c r="H11287" s="106" t="str">
        <f t="shared" si="1"/>
        <v/>
      </c>
      <c r="J11287" t="str">
        <f>IFERROR(__xludf.DUMMYFUNCTION("IFS(
  AND(REGEXMATCH(E11287, ""台銀籌備帳戶|玉山帳戶""), REGEXMATCH(C11287, ""薪資"")), ""分潤支出"",
  AND(REGEXMATCH(E11287, ""Ben帳戶|Elsa帳戶|Ben代墊|Ariel代墊|中信銀行共用""), REGEXMATCH(F11287, ""Ben帳戶|Elsa帳戶|Ben代墊|Ariel代墊|中信銀行共用"")), ""內部轉帳(忽略)"",
  AND(E11287&lt;&gt;"""", F11287&lt;&gt;"&amp;""""", NOT(REGEXMATCH(C11287, ""薪資""))), ""內部轉帳(忽略)"",
  REGEXMATCH(C11287, ""薪資""), ""薪資變動(不計入)"",
  REGEXMATCH(C11287, ""押金""), ""押金往來"",
  AND(E11287&lt;&gt;"""", F11287=""""), ""真實支出"",
  AND(E11287="""", F11287&lt;&gt;""""), ""真實收入"",
  TRUE, ""其他""
)"),"其他")</f>
        <v>其他</v>
      </c>
      <c r="K11287" s="270" t="str">
        <f t="shared" si="2"/>
        <v/>
      </c>
      <c r="L11287">
        <f t="shared" si="3"/>
        <v>0</v>
      </c>
    </row>
    <row r="11288">
      <c r="A11288" s="107"/>
      <c r="D11288" s="270"/>
      <c r="H11288" s="106" t="str">
        <f t="shared" si="1"/>
        <v/>
      </c>
      <c r="J11288" t="str">
        <f>IFERROR(__xludf.DUMMYFUNCTION("IFS(
  AND(REGEXMATCH(E11288, ""台銀籌備帳戶|玉山帳戶""), REGEXMATCH(C11288, ""薪資"")), ""分潤支出"",
  AND(REGEXMATCH(E11288, ""Ben帳戶|Elsa帳戶|Ben代墊|Ariel代墊|中信銀行共用""), REGEXMATCH(F11288, ""Ben帳戶|Elsa帳戶|Ben代墊|Ariel代墊|中信銀行共用"")), ""內部轉帳(忽略)"",
  AND(E11288&lt;&gt;"""", F11288&lt;&gt;"&amp;""""", NOT(REGEXMATCH(C11288, ""薪資""))), ""內部轉帳(忽略)"",
  REGEXMATCH(C11288, ""薪資""), ""薪資變動(不計入)"",
  REGEXMATCH(C11288, ""押金""), ""押金往來"",
  AND(E11288&lt;&gt;"""", F11288=""""), ""真實支出"",
  AND(E11288="""", F11288&lt;&gt;""""), ""真實收入"",
  TRUE, ""其他""
)"),"其他")</f>
        <v>其他</v>
      </c>
      <c r="K11288" s="270" t="str">
        <f t="shared" si="2"/>
        <v/>
      </c>
      <c r="L11288">
        <f t="shared" si="3"/>
        <v>0</v>
      </c>
    </row>
    <row r="11289">
      <c r="A11289" s="107"/>
      <c r="D11289" s="270"/>
      <c r="H11289" s="106" t="str">
        <f t="shared" si="1"/>
        <v/>
      </c>
      <c r="J11289" t="str">
        <f>IFERROR(__xludf.DUMMYFUNCTION("IFS(
  AND(REGEXMATCH(E11289, ""台銀籌備帳戶|玉山帳戶""), REGEXMATCH(C11289, ""薪資"")), ""分潤支出"",
  AND(REGEXMATCH(E11289, ""Ben帳戶|Elsa帳戶|Ben代墊|Ariel代墊|中信銀行共用""), REGEXMATCH(F11289, ""Ben帳戶|Elsa帳戶|Ben代墊|Ariel代墊|中信銀行共用"")), ""內部轉帳(忽略)"",
  AND(E11289&lt;&gt;"""", F11289&lt;&gt;"&amp;""""", NOT(REGEXMATCH(C11289, ""薪資""))), ""內部轉帳(忽略)"",
  REGEXMATCH(C11289, ""薪資""), ""薪資變動(不計入)"",
  REGEXMATCH(C11289, ""押金""), ""押金往來"",
  AND(E11289&lt;&gt;"""", F11289=""""), ""真實支出"",
  AND(E11289="""", F11289&lt;&gt;""""), ""真實收入"",
  TRUE, ""其他""
)"),"其他")</f>
        <v>其他</v>
      </c>
      <c r="K11289" s="270" t="str">
        <f t="shared" si="2"/>
        <v/>
      </c>
      <c r="L11289">
        <f t="shared" si="3"/>
        <v>0</v>
      </c>
    </row>
    <row r="11290">
      <c r="A11290" s="107"/>
      <c r="D11290" s="270"/>
      <c r="H11290" s="106" t="str">
        <f t="shared" si="1"/>
        <v/>
      </c>
      <c r="J11290" t="str">
        <f>IFERROR(__xludf.DUMMYFUNCTION("IFS(
  AND(REGEXMATCH(E11290, ""台銀籌備帳戶|玉山帳戶""), REGEXMATCH(C11290, ""薪資"")), ""分潤支出"",
  AND(REGEXMATCH(E11290, ""Ben帳戶|Elsa帳戶|Ben代墊|Ariel代墊|中信銀行共用""), REGEXMATCH(F11290, ""Ben帳戶|Elsa帳戶|Ben代墊|Ariel代墊|中信銀行共用"")), ""內部轉帳(忽略)"",
  AND(E11290&lt;&gt;"""", F11290&lt;&gt;"&amp;""""", NOT(REGEXMATCH(C11290, ""薪資""))), ""內部轉帳(忽略)"",
  REGEXMATCH(C11290, ""薪資""), ""薪資變動(不計入)"",
  REGEXMATCH(C11290, ""押金""), ""押金往來"",
  AND(E11290&lt;&gt;"""", F11290=""""), ""真實支出"",
  AND(E11290="""", F11290&lt;&gt;""""), ""真實收入"",
  TRUE, ""其他""
)"),"其他")</f>
        <v>其他</v>
      </c>
      <c r="K11290" s="270" t="str">
        <f t="shared" si="2"/>
        <v/>
      </c>
      <c r="L11290">
        <f t="shared" si="3"/>
        <v>0</v>
      </c>
    </row>
    <row r="11291">
      <c r="A11291" s="107"/>
      <c r="D11291" s="270"/>
      <c r="H11291" s="106" t="str">
        <f t="shared" si="1"/>
        <v/>
      </c>
      <c r="J11291" t="str">
        <f>IFERROR(__xludf.DUMMYFUNCTION("IFS(
  AND(REGEXMATCH(E11291, ""台銀籌備帳戶|玉山帳戶""), REGEXMATCH(C11291, ""薪資"")), ""分潤支出"",
  AND(REGEXMATCH(E11291, ""Ben帳戶|Elsa帳戶|Ben代墊|Ariel代墊|中信銀行共用""), REGEXMATCH(F11291, ""Ben帳戶|Elsa帳戶|Ben代墊|Ariel代墊|中信銀行共用"")), ""內部轉帳(忽略)"",
  AND(E11291&lt;&gt;"""", F11291&lt;&gt;"&amp;""""", NOT(REGEXMATCH(C11291, ""薪資""))), ""內部轉帳(忽略)"",
  REGEXMATCH(C11291, ""薪資""), ""薪資變動(不計入)"",
  REGEXMATCH(C11291, ""押金""), ""押金往來"",
  AND(E11291&lt;&gt;"""", F11291=""""), ""真實支出"",
  AND(E11291="""", F11291&lt;&gt;""""), ""真實收入"",
  TRUE, ""其他""
)"),"其他")</f>
        <v>其他</v>
      </c>
      <c r="K11291" s="270" t="str">
        <f t="shared" si="2"/>
        <v/>
      </c>
      <c r="L11291">
        <f t="shared" si="3"/>
        <v>0</v>
      </c>
    </row>
    <row r="11292">
      <c r="A11292" s="107"/>
      <c r="D11292" s="270"/>
      <c r="H11292" s="106" t="str">
        <f t="shared" si="1"/>
        <v/>
      </c>
      <c r="J11292" t="str">
        <f>IFERROR(__xludf.DUMMYFUNCTION("IFS(
  AND(REGEXMATCH(E11292, ""台銀籌備帳戶|玉山帳戶""), REGEXMATCH(C11292, ""薪資"")), ""分潤支出"",
  AND(REGEXMATCH(E11292, ""Ben帳戶|Elsa帳戶|Ben代墊|Ariel代墊|中信銀行共用""), REGEXMATCH(F11292, ""Ben帳戶|Elsa帳戶|Ben代墊|Ariel代墊|中信銀行共用"")), ""內部轉帳(忽略)"",
  AND(E11292&lt;&gt;"""", F11292&lt;&gt;"&amp;""""", NOT(REGEXMATCH(C11292, ""薪資""))), ""內部轉帳(忽略)"",
  REGEXMATCH(C11292, ""薪資""), ""薪資變動(不計入)"",
  REGEXMATCH(C11292, ""押金""), ""押金往來"",
  AND(E11292&lt;&gt;"""", F11292=""""), ""真實支出"",
  AND(E11292="""", F11292&lt;&gt;""""), ""真實收入"",
  TRUE, ""其他""
)"),"其他")</f>
        <v>其他</v>
      </c>
      <c r="K11292" s="270" t="str">
        <f t="shared" si="2"/>
        <v/>
      </c>
      <c r="L11292">
        <f t="shared" si="3"/>
        <v>0</v>
      </c>
    </row>
    <row r="11293">
      <c r="A11293" s="107"/>
      <c r="D11293" s="270"/>
      <c r="H11293" s="106" t="str">
        <f t="shared" si="1"/>
        <v/>
      </c>
      <c r="J11293" t="str">
        <f>IFERROR(__xludf.DUMMYFUNCTION("IFS(
  AND(REGEXMATCH(E11293, ""台銀籌備帳戶|玉山帳戶""), REGEXMATCH(C11293, ""薪資"")), ""分潤支出"",
  AND(REGEXMATCH(E11293, ""Ben帳戶|Elsa帳戶|Ben代墊|Ariel代墊|中信銀行共用""), REGEXMATCH(F11293, ""Ben帳戶|Elsa帳戶|Ben代墊|Ariel代墊|中信銀行共用"")), ""內部轉帳(忽略)"",
  AND(E11293&lt;&gt;"""", F11293&lt;&gt;"&amp;""""", NOT(REGEXMATCH(C11293, ""薪資""))), ""內部轉帳(忽略)"",
  REGEXMATCH(C11293, ""薪資""), ""薪資變動(不計入)"",
  REGEXMATCH(C11293, ""押金""), ""押金往來"",
  AND(E11293&lt;&gt;"""", F11293=""""), ""真實支出"",
  AND(E11293="""", F11293&lt;&gt;""""), ""真實收入"",
  TRUE, ""其他""
)"),"其他")</f>
        <v>其他</v>
      </c>
      <c r="K11293" s="270" t="str">
        <f t="shared" si="2"/>
        <v/>
      </c>
      <c r="L11293">
        <f t="shared" si="3"/>
        <v>0</v>
      </c>
    </row>
    <row r="11294">
      <c r="A11294" s="107"/>
      <c r="D11294" s="270"/>
      <c r="H11294" s="106" t="str">
        <f t="shared" si="1"/>
        <v/>
      </c>
      <c r="J11294" t="str">
        <f>IFERROR(__xludf.DUMMYFUNCTION("IFS(
  AND(REGEXMATCH(E11294, ""台銀籌備帳戶|玉山帳戶""), REGEXMATCH(C11294, ""薪資"")), ""分潤支出"",
  AND(REGEXMATCH(E11294, ""Ben帳戶|Elsa帳戶|Ben代墊|Ariel代墊|中信銀行共用""), REGEXMATCH(F11294, ""Ben帳戶|Elsa帳戶|Ben代墊|Ariel代墊|中信銀行共用"")), ""內部轉帳(忽略)"",
  AND(E11294&lt;&gt;"""", F11294&lt;&gt;"&amp;""""", NOT(REGEXMATCH(C11294, ""薪資""))), ""內部轉帳(忽略)"",
  REGEXMATCH(C11294, ""薪資""), ""薪資變動(不計入)"",
  REGEXMATCH(C11294, ""押金""), ""押金往來"",
  AND(E11294&lt;&gt;"""", F11294=""""), ""真實支出"",
  AND(E11294="""", F11294&lt;&gt;""""), ""真實收入"",
  TRUE, ""其他""
)"),"其他")</f>
        <v>其他</v>
      </c>
      <c r="K11294" s="270" t="str">
        <f t="shared" si="2"/>
        <v/>
      </c>
      <c r="L11294">
        <f t="shared" si="3"/>
        <v>0</v>
      </c>
    </row>
    <row r="11295">
      <c r="A11295" s="107"/>
      <c r="D11295" s="270"/>
      <c r="H11295" s="106" t="str">
        <f t="shared" si="1"/>
        <v/>
      </c>
      <c r="J11295" t="str">
        <f>IFERROR(__xludf.DUMMYFUNCTION("IFS(
  AND(REGEXMATCH(E11295, ""台銀籌備帳戶|玉山帳戶""), REGEXMATCH(C11295, ""薪資"")), ""分潤支出"",
  AND(REGEXMATCH(E11295, ""Ben帳戶|Elsa帳戶|Ben代墊|Ariel代墊|中信銀行共用""), REGEXMATCH(F11295, ""Ben帳戶|Elsa帳戶|Ben代墊|Ariel代墊|中信銀行共用"")), ""內部轉帳(忽略)"",
  AND(E11295&lt;&gt;"""", F11295&lt;&gt;"&amp;""""", NOT(REGEXMATCH(C11295, ""薪資""))), ""內部轉帳(忽略)"",
  REGEXMATCH(C11295, ""薪資""), ""薪資變動(不計入)"",
  REGEXMATCH(C11295, ""押金""), ""押金往來"",
  AND(E11295&lt;&gt;"""", F11295=""""), ""真實支出"",
  AND(E11295="""", F11295&lt;&gt;""""), ""真實收入"",
  TRUE, ""其他""
)"),"其他")</f>
        <v>其他</v>
      </c>
      <c r="K11295" s="270" t="str">
        <f t="shared" si="2"/>
        <v/>
      </c>
      <c r="L11295">
        <f t="shared" si="3"/>
        <v>0</v>
      </c>
    </row>
    <row r="11296">
      <c r="A11296" s="107"/>
      <c r="D11296" s="270"/>
      <c r="H11296" s="106" t="str">
        <f t="shared" si="1"/>
        <v/>
      </c>
      <c r="J11296" t="str">
        <f>IFERROR(__xludf.DUMMYFUNCTION("IFS(
  AND(REGEXMATCH(E11296, ""台銀籌備帳戶|玉山帳戶""), REGEXMATCH(C11296, ""薪資"")), ""分潤支出"",
  AND(REGEXMATCH(E11296, ""Ben帳戶|Elsa帳戶|Ben代墊|Ariel代墊|中信銀行共用""), REGEXMATCH(F11296, ""Ben帳戶|Elsa帳戶|Ben代墊|Ariel代墊|中信銀行共用"")), ""內部轉帳(忽略)"",
  AND(E11296&lt;&gt;"""", F11296&lt;&gt;"&amp;""""", NOT(REGEXMATCH(C11296, ""薪資""))), ""內部轉帳(忽略)"",
  REGEXMATCH(C11296, ""薪資""), ""薪資變動(不計入)"",
  REGEXMATCH(C11296, ""押金""), ""押金往來"",
  AND(E11296&lt;&gt;"""", F11296=""""), ""真實支出"",
  AND(E11296="""", F11296&lt;&gt;""""), ""真實收入"",
  TRUE, ""其他""
)"),"其他")</f>
        <v>其他</v>
      </c>
      <c r="K11296" s="270" t="str">
        <f t="shared" si="2"/>
        <v/>
      </c>
      <c r="L11296">
        <f t="shared" si="3"/>
        <v>0</v>
      </c>
    </row>
    <row r="11297">
      <c r="A11297" s="107"/>
      <c r="D11297" s="270"/>
      <c r="H11297" s="106" t="str">
        <f t="shared" si="1"/>
        <v/>
      </c>
      <c r="J11297" t="str">
        <f>IFERROR(__xludf.DUMMYFUNCTION("IFS(
  AND(REGEXMATCH(E11297, ""台銀籌備帳戶|玉山帳戶""), REGEXMATCH(C11297, ""薪資"")), ""分潤支出"",
  AND(REGEXMATCH(E11297, ""Ben帳戶|Elsa帳戶|Ben代墊|Ariel代墊|中信銀行共用""), REGEXMATCH(F11297, ""Ben帳戶|Elsa帳戶|Ben代墊|Ariel代墊|中信銀行共用"")), ""內部轉帳(忽略)"",
  AND(E11297&lt;&gt;"""", F11297&lt;&gt;"&amp;""""", NOT(REGEXMATCH(C11297, ""薪資""))), ""內部轉帳(忽略)"",
  REGEXMATCH(C11297, ""薪資""), ""薪資變動(不計入)"",
  REGEXMATCH(C11297, ""押金""), ""押金往來"",
  AND(E11297&lt;&gt;"""", F11297=""""), ""真實支出"",
  AND(E11297="""", F11297&lt;&gt;""""), ""真實收入"",
  TRUE, ""其他""
)"),"其他")</f>
        <v>其他</v>
      </c>
      <c r="K11297" s="270" t="str">
        <f t="shared" si="2"/>
        <v/>
      </c>
      <c r="L11297">
        <f t="shared" si="3"/>
        <v>0</v>
      </c>
    </row>
    <row r="11298">
      <c r="A11298" s="107"/>
      <c r="D11298" s="270"/>
      <c r="H11298" s="106" t="str">
        <f t="shared" si="1"/>
        <v/>
      </c>
      <c r="J11298" t="str">
        <f>IFERROR(__xludf.DUMMYFUNCTION("IFS(
  AND(REGEXMATCH(E11298, ""台銀籌備帳戶|玉山帳戶""), REGEXMATCH(C11298, ""薪資"")), ""分潤支出"",
  AND(REGEXMATCH(E11298, ""Ben帳戶|Elsa帳戶|Ben代墊|Ariel代墊|中信銀行共用""), REGEXMATCH(F11298, ""Ben帳戶|Elsa帳戶|Ben代墊|Ariel代墊|中信銀行共用"")), ""內部轉帳(忽略)"",
  AND(E11298&lt;&gt;"""", F11298&lt;&gt;"&amp;""""", NOT(REGEXMATCH(C11298, ""薪資""))), ""內部轉帳(忽略)"",
  REGEXMATCH(C11298, ""薪資""), ""薪資變動(不計入)"",
  REGEXMATCH(C11298, ""押金""), ""押金往來"",
  AND(E11298&lt;&gt;"""", F11298=""""), ""真實支出"",
  AND(E11298="""", F11298&lt;&gt;""""), ""真實收入"",
  TRUE, ""其他""
)"),"其他")</f>
        <v>其他</v>
      </c>
      <c r="K11298" s="270" t="str">
        <f t="shared" si="2"/>
        <v/>
      </c>
      <c r="L11298">
        <f t="shared" si="3"/>
        <v>0</v>
      </c>
    </row>
    <row r="11299">
      <c r="A11299" s="107"/>
      <c r="D11299" s="270"/>
      <c r="H11299" s="106" t="str">
        <f t="shared" si="1"/>
        <v/>
      </c>
      <c r="J11299" t="str">
        <f>IFERROR(__xludf.DUMMYFUNCTION("IFS(
  AND(REGEXMATCH(E11299, ""台銀籌備帳戶|玉山帳戶""), REGEXMATCH(C11299, ""薪資"")), ""分潤支出"",
  AND(REGEXMATCH(E11299, ""Ben帳戶|Elsa帳戶|Ben代墊|Ariel代墊|中信銀行共用""), REGEXMATCH(F11299, ""Ben帳戶|Elsa帳戶|Ben代墊|Ariel代墊|中信銀行共用"")), ""內部轉帳(忽略)"",
  AND(E11299&lt;&gt;"""", F11299&lt;&gt;"&amp;""""", NOT(REGEXMATCH(C11299, ""薪資""))), ""內部轉帳(忽略)"",
  REGEXMATCH(C11299, ""薪資""), ""薪資變動(不計入)"",
  REGEXMATCH(C11299, ""押金""), ""押金往來"",
  AND(E11299&lt;&gt;"""", F11299=""""), ""真實支出"",
  AND(E11299="""", F11299&lt;&gt;""""), ""真實收入"",
  TRUE, ""其他""
)"),"其他")</f>
        <v>其他</v>
      </c>
      <c r="K11299" s="270" t="str">
        <f t="shared" si="2"/>
        <v/>
      </c>
      <c r="L11299">
        <f t="shared" si="3"/>
        <v>0</v>
      </c>
    </row>
    <row r="11300">
      <c r="A11300" s="107"/>
      <c r="D11300" s="270"/>
      <c r="H11300" s="106" t="str">
        <f t="shared" si="1"/>
        <v/>
      </c>
      <c r="J11300" t="str">
        <f>IFERROR(__xludf.DUMMYFUNCTION("IFS(
  AND(REGEXMATCH(E11300, ""台銀籌備帳戶|玉山帳戶""), REGEXMATCH(C11300, ""薪資"")), ""分潤支出"",
  AND(REGEXMATCH(E11300, ""Ben帳戶|Elsa帳戶|Ben代墊|Ariel代墊|中信銀行共用""), REGEXMATCH(F11300, ""Ben帳戶|Elsa帳戶|Ben代墊|Ariel代墊|中信銀行共用"")), ""內部轉帳(忽略)"",
  AND(E11300&lt;&gt;"""", F11300&lt;&gt;"&amp;""""", NOT(REGEXMATCH(C11300, ""薪資""))), ""內部轉帳(忽略)"",
  REGEXMATCH(C11300, ""薪資""), ""薪資變動(不計入)"",
  REGEXMATCH(C11300, ""押金""), ""押金往來"",
  AND(E11300&lt;&gt;"""", F11300=""""), ""真實支出"",
  AND(E11300="""", F11300&lt;&gt;""""), ""真實收入"",
  TRUE, ""其他""
)"),"其他")</f>
        <v>其他</v>
      </c>
      <c r="K11300" s="270" t="str">
        <f t="shared" si="2"/>
        <v/>
      </c>
      <c r="L11300">
        <f t="shared" si="3"/>
        <v>0</v>
      </c>
    </row>
    <row r="11301">
      <c r="A11301" s="107"/>
      <c r="D11301" s="270"/>
      <c r="H11301" s="106" t="str">
        <f t="shared" si="1"/>
        <v/>
      </c>
      <c r="J11301" t="str">
        <f>IFERROR(__xludf.DUMMYFUNCTION("IFS(
  AND(REGEXMATCH(E11301, ""台銀籌備帳戶|玉山帳戶""), REGEXMATCH(C11301, ""薪資"")), ""分潤支出"",
  AND(REGEXMATCH(E11301, ""Ben帳戶|Elsa帳戶|Ben代墊|Ariel代墊|中信銀行共用""), REGEXMATCH(F11301, ""Ben帳戶|Elsa帳戶|Ben代墊|Ariel代墊|中信銀行共用"")), ""內部轉帳(忽略)"",
  AND(E11301&lt;&gt;"""", F11301&lt;&gt;"&amp;""""", NOT(REGEXMATCH(C11301, ""薪資""))), ""內部轉帳(忽略)"",
  REGEXMATCH(C11301, ""薪資""), ""薪資變動(不計入)"",
  REGEXMATCH(C11301, ""押金""), ""押金往來"",
  AND(E11301&lt;&gt;"""", F11301=""""), ""真實支出"",
  AND(E11301="""", F11301&lt;&gt;""""), ""真實收入"",
  TRUE, ""其他""
)"),"其他")</f>
        <v>其他</v>
      </c>
      <c r="K11301" s="270" t="str">
        <f t="shared" si="2"/>
        <v/>
      </c>
      <c r="L11301">
        <f t="shared" si="3"/>
        <v>0</v>
      </c>
    </row>
    <row r="11302">
      <c r="A11302" s="107"/>
      <c r="D11302" s="270"/>
      <c r="H11302" s="106" t="str">
        <f t="shared" si="1"/>
        <v/>
      </c>
      <c r="J11302" t="str">
        <f>IFERROR(__xludf.DUMMYFUNCTION("IFS(
  AND(REGEXMATCH(E11302, ""台銀籌備帳戶|玉山帳戶""), REGEXMATCH(C11302, ""薪資"")), ""分潤支出"",
  AND(REGEXMATCH(E11302, ""Ben帳戶|Elsa帳戶|Ben代墊|Ariel代墊|中信銀行共用""), REGEXMATCH(F11302, ""Ben帳戶|Elsa帳戶|Ben代墊|Ariel代墊|中信銀行共用"")), ""內部轉帳(忽略)"",
  AND(E11302&lt;&gt;"""", F11302&lt;&gt;"&amp;""""", NOT(REGEXMATCH(C11302, ""薪資""))), ""內部轉帳(忽略)"",
  REGEXMATCH(C11302, ""薪資""), ""薪資變動(不計入)"",
  REGEXMATCH(C11302, ""押金""), ""押金往來"",
  AND(E11302&lt;&gt;"""", F11302=""""), ""真實支出"",
  AND(E11302="""", F11302&lt;&gt;""""), ""真實收入"",
  TRUE, ""其他""
)"),"其他")</f>
        <v>其他</v>
      </c>
      <c r="K11302" s="270" t="str">
        <f t="shared" si="2"/>
        <v/>
      </c>
      <c r="L11302">
        <f t="shared" si="3"/>
        <v>0</v>
      </c>
    </row>
    <row r="11303">
      <c r="A11303" s="107"/>
      <c r="D11303" s="270"/>
      <c r="H11303" s="106" t="str">
        <f t="shared" si="1"/>
        <v/>
      </c>
      <c r="J11303" t="str">
        <f>IFERROR(__xludf.DUMMYFUNCTION("IFS(
  AND(REGEXMATCH(E11303, ""台銀籌備帳戶|玉山帳戶""), REGEXMATCH(C11303, ""薪資"")), ""分潤支出"",
  AND(REGEXMATCH(E11303, ""Ben帳戶|Elsa帳戶|Ben代墊|Ariel代墊|中信銀行共用""), REGEXMATCH(F11303, ""Ben帳戶|Elsa帳戶|Ben代墊|Ariel代墊|中信銀行共用"")), ""內部轉帳(忽略)"",
  AND(E11303&lt;&gt;"""", F11303&lt;&gt;"&amp;""""", NOT(REGEXMATCH(C11303, ""薪資""))), ""內部轉帳(忽略)"",
  REGEXMATCH(C11303, ""薪資""), ""薪資變動(不計入)"",
  REGEXMATCH(C11303, ""押金""), ""押金往來"",
  AND(E11303&lt;&gt;"""", F11303=""""), ""真實支出"",
  AND(E11303="""", F11303&lt;&gt;""""), ""真實收入"",
  TRUE, ""其他""
)"),"其他")</f>
        <v>其他</v>
      </c>
      <c r="K11303" s="270" t="str">
        <f t="shared" si="2"/>
        <v/>
      </c>
      <c r="L11303">
        <f t="shared" si="3"/>
        <v>0</v>
      </c>
    </row>
    <row r="11304">
      <c r="A11304" s="107"/>
      <c r="D11304" s="270"/>
      <c r="H11304" s="106" t="str">
        <f t="shared" si="1"/>
        <v/>
      </c>
      <c r="J11304" t="str">
        <f>IFERROR(__xludf.DUMMYFUNCTION("IFS(
  AND(REGEXMATCH(E11304, ""台銀籌備帳戶|玉山帳戶""), REGEXMATCH(C11304, ""薪資"")), ""分潤支出"",
  AND(REGEXMATCH(E11304, ""Ben帳戶|Elsa帳戶|Ben代墊|Ariel代墊|中信銀行共用""), REGEXMATCH(F11304, ""Ben帳戶|Elsa帳戶|Ben代墊|Ariel代墊|中信銀行共用"")), ""內部轉帳(忽略)"",
  AND(E11304&lt;&gt;"""", F11304&lt;&gt;"&amp;""""", NOT(REGEXMATCH(C11304, ""薪資""))), ""內部轉帳(忽略)"",
  REGEXMATCH(C11304, ""薪資""), ""薪資變動(不計入)"",
  REGEXMATCH(C11304, ""押金""), ""押金往來"",
  AND(E11304&lt;&gt;"""", F11304=""""), ""真實支出"",
  AND(E11304="""", F11304&lt;&gt;""""), ""真實收入"",
  TRUE, ""其他""
)"),"其他")</f>
        <v>其他</v>
      </c>
      <c r="K11304" s="270" t="str">
        <f t="shared" si="2"/>
        <v/>
      </c>
      <c r="L11304">
        <f t="shared" si="3"/>
        <v>0</v>
      </c>
    </row>
    <row r="11305">
      <c r="A11305" s="107"/>
      <c r="D11305" s="270"/>
      <c r="H11305" s="106" t="str">
        <f t="shared" si="1"/>
        <v/>
      </c>
      <c r="J11305" t="str">
        <f>IFERROR(__xludf.DUMMYFUNCTION("IFS(
  AND(REGEXMATCH(E11305, ""台銀籌備帳戶|玉山帳戶""), REGEXMATCH(C11305, ""薪資"")), ""分潤支出"",
  AND(REGEXMATCH(E11305, ""Ben帳戶|Elsa帳戶|Ben代墊|Ariel代墊|中信銀行共用""), REGEXMATCH(F11305, ""Ben帳戶|Elsa帳戶|Ben代墊|Ariel代墊|中信銀行共用"")), ""內部轉帳(忽略)"",
  AND(E11305&lt;&gt;"""", F11305&lt;&gt;"&amp;""""", NOT(REGEXMATCH(C11305, ""薪資""))), ""內部轉帳(忽略)"",
  REGEXMATCH(C11305, ""薪資""), ""薪資變動(不計入)"",
  REGEXMATCH(C11305, ""押金""), ""押金往來"",
  AND(E11305&lt;&gt;"""", F11305=""""), ""真實支出"",
  AND(E11305="""", F11305&lt;&gt;""""), ""真實收入"",
  TRUE, ""其他""
)"),"其他")</f>
        <v>其他</v>
      </c>
      <c r="K11305" s="270" t="str">
        <f t="shared" si="2"/>
        <v/>
      </c>
      <c r="L11305">
        <f t="shared" si="3"/>
        <v>0</v>
      </c>
    </row>
    <row r="11306">
      <c r="A11306" s="107"/>
      <c r="D11306" s="270"/>
      <c r="H11306" s="106" t="str">
        <f t="shared" si="1"/>
        <v/>
      </c>
      <c r="J11306" t="str">
        <f>IFERROR(__xludf.DUMMYFUNCTION("IFS(
  AND(REGEXMATCH(E11306, ""台銀籌備帳戶|玉山帳戶""), REGEXMATCH(C11306, ""薪資"")), ""分潤支出"",
  AND(REGEXMATCH(E11306, ""Ben帳戶|Elsa帳戶|Ben代墊|Ariel代墊|中信銀行共用""), REGEXMATCH(F11306, ""Ben帳戶|Elsa帳戶|Ben代墊|Ariel代墊|中信銀行共用"")), ""內部轉帳(忽略)"",
  AND(E11306&lt;&gt;"""", F11306&lt;&gt;"&amp;""""", NOT(REGEXMATCH(C11306, ""薪資""))), ""內部轉帳(忽略)"",
  REGEXMATCH(C11306, ""薪資""), ""薪資變動(不計入)"",
  REGEXMATCH(C11306, ""押金""), ""押金往來"",
  AND(E11306&lt;&gt;"""", F11306=""""), ""真實支出"",
  AND(E11306="""", F11306&lt;&gt;""""), ""真實收入"",
  TRUE, ""其他""
)"),"其他")</f>
        <v>其他</v>
      </c>
      <c r="K11306" s="270" t="str">
        <f t="shared" si="2"/>
        <v/>
      </c>
      <c r="L11306">
        <f t="shared" si="3"/>
        <v>0</v>
      </c>
    </row>
    <row r="11307">
      <c r="A11307" s="107"/>
      <c r="D11307" s="270"/>
      <c r="H11307" s="106" t="str">
        <f t="shared" si="1"/>
        <v/>
      </c>
      <c r="J11307" t="str">
        <f>IFERROR(__xludf.DUMMYFUNCTION("IFS(
  AND(REGEXMATCH(E11307, ""台銀籌備帳戶|玉山帳戶""), REGEXMATCH(C11307, ""薪資"")), ""分潤支出"",
  AND(REGEXMATCH(E11307, ""Ben帳戶|Elsa帳戶|Ben代墊|Ariel代墊|中信銀行共用""), REGEXMATCH(F11307, ""Ben帳戶|Elsa帳戶|Ben代墊|Ariel代墊|中信銀行共用"")), ""內部轉帳(忽略)"",
  AND(E11307&lt;&gt;"""", F11307&lt;&gt;"&amp;""""", NOT(REGEXMATCH(C11307, ""薪資""))), ""內部轉帳(忽略)"",
  REGEXMATCH(C11307, ""薪資""), ""薪資變動(不計入)"",
  REGEXMATCH(C11307, ""押金""), ""押金往來"",
  AND(E11307&lt;&gt;"""", F11307=""""), ""真實支出"",
  AND(E11307="""", F11307&lt;&gt;""""), ""真實收入"",
  TRUE, ""其他""
)"),"其他")</f>
        <v>其他</v>
      </c>
      <c r="K11307" s="270" t="str">
        <f t="shared" si="2"/>
        <v/>
      </c>
      <c r="L11307">
        <f t="shared" si="3"/>
        <v>0</v>
      </c>
    </row>
    <row r="11308">
      <c r="A11308" s="107"/>
      <c r="D11308" s="270"/>
      <c r="H11308" s="106" t="str">
        <f t="shared" si="1"/>
        <v/>
      </c>
      <c r="J11308" t="str">
        <f>IFERROR(__xludf.DUMMYFUNCTION("IFS(
  AND(REGEXMATCH(E11308, ""台銀籌備帳戶|玉山帳戶""), REGEXMATCH(C11308, ""薪資"")), ""分潤支出"",
  AND(REGEXMATCH(E11308, ""Ben帳戶|Elsa帳戶|Ben代墊|Ariel代墊|中信銀行共用""), REGEXMATCH(F11308, ""Ben帳戶|Elsa帳戶|Ben代墊|Ariel代墊|中信銀行共用"")), ""內部轉帳(忽略)"",
  AND(E11308&lt;&gt;"""", F11308&lt;&gt;"&amp;""""", NOT(REGEXMATCH(C11308, ""薪資""))), ""內部轉帳(忽略)"",
  REGEXMATCH(C11308, ""薪資""), ""薪資變動(不計入)"",
  REGEXMATCH(C11308, ""押金""), ""押金往來"",
  AND(E11308&lt;&gt;"""", F11308=""""), ""真實支出"",
  AND(E11308="""", F11308&lt;&gt;""""), ""真實收入"",
  TRUE, ""其他""
)"),"其他")</f>
        <v>其他</v>
      </c>
      <c r="K11308" s="270" t="str">
        <f t="shared" si="2"/>
        <v/>
      </c>
      <c r="L11308">
        <f t="shared" si="3"/>
        <v>0</v>
      </c>
    </row>
    <row r="11309">
      <c r="A11309" s="107"/>
      <c r="D11309" s="270"/>
      <c r="H11309" s="106" t="str">
        <f t="shared" si="1"/>
        <v/>
      </c>
      <c r="J11309" t="str">
        <f>IFERROR(__xludf.DUMMYFUNCTION("IFS(
  AND(REGEXMATCH(E11309, ""台銀籌備帳戶|玉山帳戶""), REGEXMATCH(C11309, ""薪資"")), ""分潤支出"",
  AND(REGEXMATCH(E11309, ""Ben帳戶|Elsa帳戶|Ben代墊|Ariel代墊|中信銀行共用""), REGEXMATCH(F11309, ""Ben帳戶|Elsa帳戶|Ben代墊|Ariel代墊|中信銀行共用"")), ""內部轉帳(忽略)"",
  AND(E11309&lt;&gt;"""", F11309&lt;&gt;"&amp;""""", NOT(REGEXMATCH(C11309, ""薪資""))), ""內部轉帳(忽略)"",
  REGEXMATCH(C11309, ""薪資""), ""薪資變動(不計入)"",
  REGEXMATCH(C11309, ""押金""), ""押金往來"",
  AND(E11309&lt;&gt;"""", F11309=""""), ""真實支出"",
  AND(E11309="""", F11309&lt;&gt;""""), ""真實收入"",
  TRUE, ""其他""
)"),"其他")</f>
        <v>其他</v>
      </c>
      <c r="K11309" s="270" t="str">
        <f t="shared" si="2"/>
        <v/>
      </c>
      <c r="L11309">
        <f t="shared" si="3"/>
        <v>0</v>
      </c>
    </row>
    <row r="11310">
      <c r="A11310" s="107"/>
      <c r="D11310" s="270"/>
      <c r="H11310" s="106" t="str">
        <f t="shared" si="1"/>
        <v/>
      </c>
      <c r="J11310" t="str">
        <f>IFERROR(__xludf.DUMMYFUNCTION("IFS(
  AND(REGEXMATCH(E11310, ""台銀籌備帳戶|玉山帳戶""), REGEXMATCH(C11310, ""薪資"")), ""分潤支出"",
  AND(REGEXMATCH(E11310, ""Ben帳戶|Elsa帳戶|Ben代墊|Ariel代墊|中信銀行共用""), REGEXMATCH(F11310, ""Ben帳戶|Elsa帳戶|Ben代墊|Ariel代墊|中信銀行共用"")), ""內部轉帳(忽略)"",
  AND(E11310&lt;&gt;"""", F11310&lt;&gt;"&amp;""""", NOT(REGEXMATCH(C11310, ""薪資""))), ""內部轉帳(忽略)"",
  REGEXMATCH(C11310, ""薪資""), ""薪資變動(不計入)"",
  REGEXMATCH(C11310, ""押金""), ""押金往來"",
  AND(E11310&lt;&gt;"""", F11310=""""), ""真實支出"",
  AND(E11310="""", F11310&lt;&gt;""""), ""真實收入"",
  TRUE, ""其他""
)"),"其他")</f>
        <v>其他</v>
      </c>
      <c r="K11310" s="270" t="str">
        <f t="shared" si="2"/>
        <v/>
      </c>
      <c r="L11310">
        <f t="shared" si="3"/>
        <v>0</v>
      </c>
    </row>
    <row r="11311">
      <c r="A11311" s="107"/>
      <c r="D11311" s="270"/>
      <c r="H11311" s="106" t="str">
        <f t="shared" si="1"/>
        <v/>
      </c>
      <c r="J11311" t="str">
        <f>IFERROR(__xludf.DUMMYFUNCTION("IFS(
  AND(REGEXMATCH(E11311, ""台銀籌備帳戶|玉山帳戶""), REGEXMATCH(C11311, ""薪資"")), ""分潤支出"",
  AND(REGEXMATCH(E11311, ""Ben帳戶|Elsa帳戶|Ben代墊|Ariel代墊|中信銀行共用""), REGEXMATCH(F11311, ""Ben帳戶|Elsa帳戶|Ben代墊|Ariel代墊|中信銀行共用"")), ""內部轉帳(忽略)"",
  AND(E11311&lt;&gt;"""", F11311&lt;&gt;"&amp;""""", NOT(REGEXMATCH(C11311, ""薪資""))), ""內部轉帳(忽略)"",
  REGEXMATCH(C11311, ""薪資""), ""薪資變動(不計入)"",
  REGEXMATCH(C11311, ""押金""), ""押金往來"",
  AND(E11311&lt;&gt;"""", F11311=""""), ""真實支出"",
  AND(E11311="""", F11311&lt;&gt;""""), ""真實收入"",
  TRUE, ""其他""
)"),"其他")</f>
        <v>其他</v>
      </c>
      <c r="K11311" s="270" t="str">
        <f t="shared" si="2"/>
        <v/>
      </c>
      <c r="L11311">
        <f t="shared" si="3"/>
        <v>0</v>
      </c>
    </row>
    <row r="11312">
      <c r="A11312" s="107"/>
      <c r="D11312" s="270"/>
      <c r="H11312" s="106" t="str">
        <f t="shared" si="1"/>
        <v/>
      </c>
      <c r="J11312" t="str">
        <f>IFERROR(__xludf.DUMMYFUNCTION("IFS(
  AND(REGEXMATCH(E11312, ""台銀籌備帳戶|玉山帳戶""), REGEXMATCH(C11312, ""薪資"")), ""分潤支出"",
  AND(REGEXMATCH(E11312, ""Ben帳戶|Elsa帳戶|Ben代墊|Ariel代墊|中信銀行共用""), REGEXMATCH(F11312, ""Ben帳戶|Elsa帳戶|Ben代墊|Ariel代墊|中信銀行共用"")), ""內部轉帳(忽略)"",
  AND(E11312&lt;&gt;"""", F11312&lt;&gt;"&amp;""""", NOT(REGEXMATCH(C11312, ""薪資""))), ""內部轉帳(忽略)"",
  REGEXMATCH(C11312, ""薪資""), ""薪資變動(不計入)"",
  REGEXMATCH(C11312, ""押金""), ""押金往來"",
  AND(E11312&lt;&gt;"""", F11312=""""), ""真實支出"",
  AND(E11312="""", F11312&lt;&gt;""""), ""真實收入"",
  TRUE, ""其他""
)"),"其他")</f>
        <v>其他</v>
      </c>
      <c r="K11312" s="270" t="str">
        <f t="shared" si="2"/>
        <v/>
      </c>
      <c r="L11312">
        <f t="shared" si="3"/>
        <v>0</v>
      </c>
    </row>
    <row r="11313">
      <c r="A11313" s="107"/>
      <c r="D11313" s="270"/>
      <c r="H11313" s="106" t="str">
        <f t="shared" si="1"/>
        <v/>
      </c>
      <c r="J11313" t="str">
        <f>IFERROR(__xludf.DUMMYFUNCTION("IFS(
  AND(REGEXMATCH(E11313, ""台銀籌備帳戶|玉山帳戶""), REGEXMATCH(C11313, ""薪資"")), ""分潤支出"",
  AND(REGEXMATCH(E11313, ""Ben帳戶|Elsa帳戶|Ben代墊|Ariel代墊|中信銀行共用""), REGEXMATCH(F11313, ""Ben帳戶|Elsa帳戶|Ben代墊|Ariel代墊|中信銀行共用"")), ""內部轉帳(忽略)"",
  AND(E11313&lt;&gt;"""", F11313&lt;&gt;"&amp;""""", NOT(REGEXMATCH(C11313, ""薪資""))), ""內部轉帳(忽略)"",
  REGEXMATCH(C11313, ""薪資""), ""薪資變動(不計入)"",
  REGEXMATCH(C11313, ""押金""), ""押金往來"",
  AND(E11313&lt;&gt;"""", F11313=""""), ""真實支出"",
  AND(E11313="""", F11313&lt;&gt;""""), ""真實收入"",
  TRUE, ""其他""
)"),"其他")</f>
        <v>其他</v>
      </c>
      <c r="K11313" s="270" t="str">
        <f t="shared" si="2"/>
        <v/>
      </c>
      <c r="L11313">
        <f t="shared" si="3"/>
        <v>0</v>
      </c>
    </row>
    <row r="11314">
      <c r="A11314" s="107"/>
      <c r="D11314" s="270"/>
      <c r="H11314" s="106" t="str">
        <f t="shared" si="1"/>
        <v/>
      </c>
      <c r="J11314" t="str">
        <f>IFERROR(__xludf.DUMMYFUNCTION("IFS(
  AND(REGEXMATCH(E11314, ""台銀籌備帳戶|玉山帳戶""), REGEXMATCH(C11314, ""薪資"")), ""分潤支出"",
  AND(REGEXMATCH(E11314, ""Ben帳戶|Elsa帳戶|Ben代墊|Ariel代墊|中信銀行共用""), REGEXMATCH(F11314, ""Ben帳戶|Elsa帳戶|Ben代墊|Ariel代墊|中信銀行共用"")), ""內部轉帳(忽略)"",
  AND(E11314&lt;&gt;"""", F11314&lt;&gt;"&amp;""""", NOT(REGEXMATCH(C11314, ""薪資""))), ""內部轉帳(忽略)"",
  REGEXMATCH(C11314, ""薪資""), ""薪資變動(不計入)"",
  REGEXMATCH(C11314, ""押金""), ""押金往來"",
  AND(E11314&lt;&gt;"""", F11314=""""), ""真實支出"",
  AND(E11314="""", F11314&lt;&gt;""""), ""真實收入"",
  TRUE, ""其他""
)"),"其他")</f>
        <v>其他</v>
      </c>
      <c r="K11314" s="270" t="str">
        <f t="shared" si="2"/>
        <v/>
      </c>
      <c r="L11314">
        <f t="shared" si="3"/>
        <v>0</v>
      </c>
    </row>
    <row r="11315">
      <c r="A11315" s="107"/>
      <c r="D11315" s="270"/>
      <c r="H11315" s="106" t="str">
        <f t="shared" si="1"/>
        <v/>
      </c>
      <c r="J11315" t="str">
        <f>IFERROR(__xludf.DUMMYFUNCTION("IFS(
  AND(REGEXMATCH(E11315, ""台銀籌備帳戶|玉山帳戶""), REGEXMATCH(C11315, ""薪資"")), ""分潤支出"",
  AND(REGEXMATCH(E11315, ""Ben帳戶|Elsa帳戶|Ben代墊|Ariel代墊|中信銀行共用""), REGEXMATCH(F11315, ""Ben帳戶|Elsa帳戶|Ben代墊|Ariel代墊|中信銀行共用"")), ""內部轉帳(忽略)"",
  AND(E11315&lt;&gt;"""", F11315&lt;&gt;"&amp;""""", NOT(REGEXMATCH(C11315, ""薪資""))), ""內部轉帳(忽略)"",
  REGEXMATCH(C11315, ""薪資""), ""薪資變動(不計入)"",
  REGEXMATCH(C11315, ""押金""), ""押金往來"",
  AND(E11315&lt;&gt;"""", F11315=""""), ""真實支出"",
  AND(E11315="""", F11315&lt;&gt;""""), ""真實收入"",
  TRUE, ""其他""
)"),"其他")</f>
        <v>其他</v>
      </c>
      <c r="K11315" s="270" t="str">
        <f t="shared" si="2"/>
        <v/>
      </c>
      <c r="L11315">
        <f t="shared" si="3"/>
        <v>0</v>
      </c>
    </row>
    <row r="11316">
      <c r="A11316" s="107"/>
      <c r="D11316" s="270"/>
      <c r="H11316" s="106" t="str">
        <f t="shared" si="1"/>
        <v/>
      </c>
      <c r="J11316" t="str">
        <f>IFERROR(__xludf.DUMMYFUNCTION("IFS(
  AND(REGEXMATCH(E11316, ""台銀籌備帳戶|玉山帳戶""), REGEXMATCH(C11316, ""薪資"")), ""分潤支出"",
  AND(REGEXMATCH(E11316, ""Ben帳戶|Elsa帳戶|Ben代墊|Ariel代墊|中信銀行共用""), REGEXMATCH(F11316, ""Ben帳戶|Elsa帳戶|Ben代墊|Ariel代墊|中信銀行共用"")), ""內部轉帳(忽略)"",
  AND(E11316&lt;&gt;"""", F11316&lt;&gt;"&amp;""""", NOT(REGEXMATCH(C11316, ""薪資""))), ""內部轉帳(忽略)"",
  REGEXMATCH(C11316, ""薪資""), ""薪資變動(不計入)"",
  REGEXMATCH(C11316, ""押金""), ""押金往來"",
  AND(E11316&lt;&gt;"""", F11316=""""), ""真實支出"",
  AND(E11316="""", F11316&lt;&gt;""""), ""真實收入"",
  TRUE, ""其他""
)"),"其他")</f>
        <v>其他</v>
      </c>
      <c r="K11316" s="270" t="str">
        <f t="shared" si="2"/>
        <v/>
      </c>
      <c r="L11316">
        <f t="shared" si="3"/>
        <v>0</v>
      </c>
    </row>
    <row r="11317">
      <c r="A11317" s="107"/>
      <c r="D11317" s="270"/>
      <c r="H11317" s="106" t="str">
        <f t="shared" si="1"/>
        <v/>
      </c>
      <c r="J11317" t="str">
        <f>IFERROR(__xludf.DUMMYFUNCTION("IFS(
  AND(REGEXMATCH(E11317, ""台銀籌備帳戶|玉山帳戶""), REGEXMATCH(C11317, ""薪資"")), ""分潤支出"",
  AND(REGEXMATCH(E11317, ""Ben帳戶|Elsa帳戶|Ben代墊|Ariel代墊|中信銀行共用""), REGEXMATCH(F11317, ""Ben帳戶|Elsa帳戶|Ben代墊|Ariel代墊|中信銀行共用"")), ""內部轉帳(忽略)"",
  AND(E11317&lt;&gt;"""", F11317&lt;&gt;"&amp;""""", NOT(REGEXMATCH(C11317, ""薪資""))), ""內部轉帳(忽略)"",
  REGEXMATCH(C11317, ""薪資""), ""薪資變動(不計入)"",
  REGEXMATCH(C11317, ""押金""), ""押金往來"",
  AND(E11317&lt;&gt;"""", F11317=""""), ""真實支出"",
  AND(E11317="""", F11317&lt;&gt;""""), ""真實收入"",
  TRUE, ""其他""
)"),"其他")</f>
        <v>其他</v>
      </c>
      <c r="K11317" s="270" t="str">
        <f t="shared" si="2"/>
        <v/>
      </c>
      <c r="L11317">
        <f t="shared" si="3"/>
        <v>0</v>
      </c>
    </row>
    <row r="11318">
      <c r="A11318" s="107"/>
      <c r="D11318" s="270"/>
      <c r="H11318" s="106" t="str">
        <f t="shared" si="1"/>
        <v/>
      </c>
      <c r="J11318" t="str">
        <f>IFERROR(__xludf.DUMMYFUNCTION("IFS(
  AND(REGEXMATCH(E11318, ""台銀籌備帳戶|玉山帳戶""), REGEXMATCH(C11318, ""薪資"")), ""分潤支出"",
  AND(REGEXMATCH(E11318, ""Ben帳戶|Elsa帳戶|Ben代墊|Ariel代墊|中信銀行共用""), REGEXMATCH(F11318, ""Ben帳戶|Elsa帳戶|Ben代墊|Ariel代墊|中信銀行共用"")), ""內部轉帳(忽略)"",
  AND(E11318&lt;&gt;"""", F11318&lt;&gt;"&amp;""""", NOT(REGEXMATCH(C11318, ""薪資""))), ""內部轉帳(忽略)"",
  REGEXMATCH(C11318, ""薪資""), ""薪資變動(不計入)"",
  REGEXMATCH(C11318, ""押金""), ""押金往來"",
  AND(E11318&lt;&gt;"""", F11318=""""), ""真實支出"",
  AND(E11318="""", F11318&lt;&gt;""""), ""真實收入"",
  TRUE, ""其他""
)"),"其他")</f>
        <v>其他</v>
      </c>
      <c r="K11318" s="270" t="str">
        <f t="shared" si="2"/>
        <v/>
      </c>
      <c r="L11318">
        <f t="shared" si="3"/>
        <v>0</v>
      </c>
    </row>
    <row r="11319">
      <c r="A11319" s="107"/>
      <c r="D11319" s="270"/>
      <c r="H11319" s="106" t="str">
        <f t="shared" si="1"/>
        <v/>
      </c>
      <c r="J11319" t="str">
        <f>IFERROR(__xludf.DUMMYFUNCTION("IFS(
  AND(REGEXMATCH(E11319, ""台銀籌備帳戶|玉山帳戶""), REGEXMATCH(C11319, ""薪資"")), ""分潤支出"",
  AND(REGEXMATCH(E11319, ""Ben帳戶|Elsa帳戶|Ben代墊|Ariel代墊|中信銀行共用""), REGEXMATCH(F11319, ""Ben帳戶|Elsa帳戶|Ben代墊|Ariel代墊|中信銀行共用"")), ""內部轉帳(忽略)"",
  AND(E11319&lt;&gt;"""", F11319&lt;&gt;"&amp;""""", NOT(REGEXMATCH(C11319, ""薪資""))), ""內部轉帳(忽略)"",
  REGEXMATCH(C11319, ""薪資""), ""薪資變動(不計入)"",
  REGEXMATCH(C11319, ""押金""), ""押金往來"",
  AND(E11319&lt;&gt;"""", F11319=""""), ""真實支出"",
  AND(E11319="""", F11319&lt;&gt;""""), ""真實收入"",
  TRUE, ""其他""
)"),"其他")</f>
        <v>其他</v>
      </c>
      <c r="K11319" s="270" t="str">
        <f t="shared" si="2"/>
        <v/>
      </c>
      <c r="L11319">
        <f t="shared" si="3"/>
        <v>0</v>
      </c>
    </row>
    <row r="11320">
      <c r="A11320" s="107"/>
      <c r="D11320" s="270"/>
      <c r="H11320" s="106" t="str">
        <f t="shared" si="1"/>
        <v/>
      </c>
      <c r="J11320" t="str">
        <f>IFERROR(__xludf.DUMMYFUNCTION("IFS(
  AND(REGEXMATCH(E11320, ""台銀籌備帳戶|玉山帳戶""), REGEXMATCH(C11320, ""薪資"")), ""分潤支出"",
  AND(REGEXMATCH(E11320, ""Ben帳戶|Elsa帳戶|Ben代墊|Ariel代墊|中信銀行共用""), REGEXMATCH(F11320, ""Ben帳戶|Elsa帳戶|Ben代墊|Ariel代墊|中信銀行共用"")), ""內部轉帳(忽略)"",
  AND(E11320&lt;&gt;"""", F11320&lt;&gt;"&amp;""""", NOT(REGEXMATCH(C11320, ""薪資""))), ""內部轉帳(忽略)"",
  REGEXMATCH(C11320, ""薪資""), ""薪資變動(不計入)"",
  REGEXMATCH(C11320, ""押金""), ""押金往來"",
  AND(E11320&lt;&gt;"""", F11320=""""), ""真實支出"",
  AND(E11320="""", F11320&lt;&gt;""""), ""真實收入"",
  TRUE, ""其他""
)"),"其他")</f>
        <v>其他</v>
      </c>
      <c r="K11320" s="270" t="str">
        <f t="shared" si="2"/>
        <v/>
      </c>
      <c r="L11320">
        <f t="shared" si="3"/>
        <v>0</v>
      </c>
    </row>
    <row r="11321">
      <c r="A11321" s="107"/>
      <c r="D11321" s="270"/>
      <c r="H11321" s="106" t="str">
        <f t="shared" si="1"/>
        <v/>
      </c>
      <c r="J11321" t="str">
        <f>IFERROR(__xludf.DUMMYFUNCTION("IFS(
  AND(REGEXMATCH(E11321, ""台銀籌備帳戶|玉山帳戶""), REGEXMATCH(C11321, ""薪資"")), ""分潤支出"",
  AND(REGEXMATCH(E11321, ""Ben帳戶|Elsa帳戶|Ben代墊|Ariel代墊|中信銀行共用""), REGEXMATCH(F11321, ""Ben帳戶|Elsa帳戶|Ben代墊|Ariel代墊|中信銀行共用"")), ""內部轉帳(忽略)"",
  AND(E11321&lt;&gt;"""", F11321&lt;&gt;"&amp;""""", NOT(REGEXMATCH(C11321, ""薪資""))), ""內部轉帳(忽略)"",
  REGEXMATCH(C11321, ""薪資""), ""薪資變動(不計入)"",
  REGEXMATCH(C11321, ""押金""), ""押金往來"",
  AND(E11321&lt;&gt;"""", F11321=""""), ""真實支出"",
  AND(E11321="""", F11321&lt;&gt;""""), ""真實收入"",
  TRUE, ""其他""
)"),"其他")</f>
        <v>其他</v>
      </c>
      <c r="K11321" s="270" t="str">
        <f t="shared" si="2"/>
        <v/>
      </c>
      <c r="L11321">
        <f t="shared" si="3"/>
        <v>0</v>
      </c>
    </row>
    <row r="11322">
      <c r="A11322" s="107"/>
      <c r="D11322" s="270"/>
      <c r="H11322" s="106" t="str">
        <f t="shared" si="1"/>
        <v/>
      </c>
      <c r="J11322" t="str">
        <f>IFERROR(__xludf.DUMMYFUNCTION("IFS(
  AND(REGEXMATCH(E11322, ""台銀籌備帳戶|玉山帳戶""), REGEXMATCH(C11322, ""薪資"")), ""分潤支出"",
  AND(REGEXMATCH(E11322, ""Ben帳戶|Elsa帳戶|Ben代墊|Ariel代墊|中信銀行共用""), REGEXMATCH(F11322, ""Ben帳戶|Elsa帳戶|Ben代墊|Ariel代墊|中信銀行共用"")), ""內部轉帳(忽略)"",
  AND(E11322&lt;&gt;"""", F11322&lt;&gt;"&amp;""""", NOT(REGEXMATCH(C11322, ""薪資""))), ""內部轉帳(忽略)"",
  REGEXMATCH(C11322, ""薪資""), ""薪資變動(不計入)"",
  REGEXMATCH(C11322, ""押金""), ""押金往來"",
  AND(E11322&lt;&gt;"""", F11322=""""), ""真實支出"",
  AND(E11322="""", F11322&lt;&gt;""""), ""真實收入"",
  TRUE, ""其他""
)"),"其他")</f>
        <v>其他</v>
      </c>
      <c r="K11322" s="270" t="str">
        <f t="shared" si="2"/>
        <v/>
      </c>
      <c r="L11322">
        <f t="shared" si="3"/>
        <v>0</v>
      </c>
    </row>
    <row r="11323">
      <c r="A11323" s="107"/>
      <c r="D11323" s="270"/>
      <c r="H11323" s="106" t="str">
        <f t="shared" si="1"/>
        <v/>
      </c>
      <c r="J11323" t="str">
        <f>IFERROR(__xludf.DUMMYFUNCTION("IFS(
  AND(REGEXMATCH(E11323, ""台銀籌備帳戶|玉山帳戶""), REGEXMATCH(C11323, ""薪資"")), ""分潤支出"",
  AND(REGEXMATCH(E11323, ""Ben帳戶|Elsa帳戶|Ben代墊|Ariel代墊|中信銀行共用""), REGEXMATCH(F11323, ""Ben帳戶|Elsa帳戶|Ben代墊|Ariel代墊|中信銀行共用"")), ""內部轉帳(忽略)"",
  AND(E11323&lt;&gt;"""", F11323&lt;&gt;"&amp;""""", NOT(REGEXMATCH(C11323, ""薪資""))), ""內部轉帳(忽略)"",
  REGEXMATCH(C11323, ""薪資""), ""薪資變動(不計入)"",
  REGEXMATCH(C11323, ""押金""), ""押金往來"",
  AND(E11323&lt;&gt;"""", F11323=""""), ""真實支出"",
  AND(E11323="""", F11323&lt;&gt;""""), ""真實收入"",
  TRUE, ""其他""
)"),"其他")</f>
        <v>其他</v>
      </c>
      <c r="K11323" s="270" t="str">
        <f t="shared" si="2"/>
        <v/>
      </c>
      <c r="L11323">
        <f t="shared" si="3"/>
        <v>0</v>
      </c>
    </row>
    <row r="11324">
      <c r="A11324" s="107"/>
      <c r="D11324" s="270"/>
      <c r="H11324" s="106" t="str">
        <f t="shared" si="1"/>
        <v/>
      </c>
      <c r="J11324" t="str">
        <f>IFERROR(__xludf.DUMMYFUNCTION("IFS(
  AND(REGEXMATCH(E11324, ""台銀籌備帳戶|玉山帳戶""), REGEXMATCH(C11324, ""薪資"")), ""分潤支出"",
  AND(REGEXMATCH(E11324, ""Ben帳戶|Elsa帳戶|Ben代墊|Ariel代墊|中信銀行共用""), REGEXMATCH(F11324, ""Ben帳戶|Elsa帳戶|Ben代墊|Ariel代墊|中信銀行共用"")), ""內部轉帳(忽略)"",
  AND(E11324&lt;&gt;"""", F11324&lt;&gt;"&amp;""""", NOT(REGEXMATCH(C11324, ""薪資""))), ""內部轉帳(忽略)"",
  REGEXMATCH(C11324, ""薪資""), ""薪資變動(不計入)"",
  REGEXMATCH(C11324, ""押金""), ""押金往來"",
  AND(E11324&lt;&gt;"""", F11324=""""), ""真實支出"",
  AND(E11324="""", F11324&lt;&gt;""""), ""真實收入"",
  TRUE, ""其他""
)"),"其他")</f>
        <v>其他</v>
      </c>
      <c r="K11324" s="270" t="str">
        <f t="shared" si="2"/>
        <v/>
      </c>
      <c r="L11324">
        <f t="shared" si="3"/>
        <v>0</v>
      </c>
    </row>
    <row r="11325">
      <c r="A11325" s="107"/>
      <c r="D11325" s="270"/>
      <c r="H11325" s="106" t="str">
        <f t="shared" si="1"/>
        <v/>
      </c>
      <c r="J11325" t="str">
        <f>IFERROR(__xludf.DUMMYFUNCTION("IFS(
  AND(REGEXMATCH(E11325, ""台銀籌備帳戶|玉山帳戶""), REGEXMATCH(C11325, ""薪資"")), ""分潤支出"",
  AND(REGEXMATCH(E11325, ""Ben帳戶|Elsa帳戶|Ben代墊|Ariel代墊|中信銀行共用""), REGEXMATCH(F11325, ""Ben帳戶|Elsa帳戶|Ben代墊|Ariel代墊|中信銀行共用"")), ""內部轉帳(忽略)"",
  AND(E11325&lt;&gt;"""", F11325&lt;&gt;"&amp;""""", NOT(REGEXMATCH(C11325, ""薪資""))), ""內部轉帳(忽略)"",
  REGEXMATCH(C11325, ""薪資""), ""薪資變動(不計入)"",
  REGEXMATCH(C11325, ""押金""), ""押金往來"",
  AND(E11325&lt;&gt;"""", F11325=""""), ""真實支出"",
  AND(E11325="""", F11325&lt;&gt;""""), ""真實收入"",
  TRUE, ""其他""
)"),"其他")</f>
        <v>其他</v>
      </c>
      <c r="K11325" s="270" t="str">
        <f t="shared" si="2"/>
        <v/>
      </c>
      <c r="L11325">
        <f t="shared" si="3"/>
        <v>0</v>
      </c>
    </row>
    <row r="11326">
      <c r="A11326" s="107"/>
      <c r="D11326" s="270"/>
      <c r="H11326" s="106" t="str">
        <f t="shared" si="1"/>
        <v/>
      </c>
      <c r="J11326" t="str">
        <f>IFERROR(__xludf.DUMMYFUNCTION("IFS(
  AND(REGEXMATCH(E11326, ""台銀籌備帳戶|玉山帳戶""), REGEXMATCH(C11326, ""薪資"")), ""分潤支出"",
  AND(REGEXMATCH(E11326, ""Ben帳戶|Elsa帳戶|Ben代墊|Ariel代墊|中信銀行共用""), REGEXMATCH(F11326, ""Ben帳戶|Elsa帳戶|Ben代墊|Ariel代墊|中信銀行共用"")), ""內部轉帳(忽略)"",
  AND(E11326&lt;&gt;"""", F11326&lt;&gt;"&amp;""""", NOT(REGEXMATCH(C11326, ""薪資""))), ""內部轉帳(忽略)"",
  REGEXMATCH(C11326, ""薪資""), ""薪資變動(不計入)"",
  REGEXMATCH(C11326, ""押金""), ""押金往來"",
  AND(E11326&lt;&gt;"""", F11326=""""), ""真實支出"",
  AND(E11326="""", F11326&lt;&gt;""""), ""真實收入"",
  TRUE, ""其他""
)"),"其他")</f>
        <v>其他</v>
      </c>
      <c r="K11326" s="270" t="str">
        <f t="shared" si="2"/>
        <v/>
      </c>
      <c r="L11326">
        <f t="shared" si="3"/>
        <v>0</v>
      </c>
    </row>
    <row r="11327">
      <c r="A11327" s="107"/>
      <c r="D11327" s="270"/>
      <c r="H11327" s="106" t="str">
        <f t="shared" si="1"/>
        <v/>
      </c>
      <c r="J11327" t="str">
        <f>IFERROR(__xludf.DUMMYFUNCTION("IFS(
  AND(REGEXMATCH(E11327, ""台銀籌備帳戶|玉山帳戶""), REGEXMATCH(C11327, ""薪資"")), ""分潤支出"",
  AND(REGEXMATCH(E11327, ""Ben帳戶|Elsa帳戶|Ben代墊|Ariel代墊|中信銀行共用""), REGEXMATCH(F11327, ""Ben帳戶|Elsa帳戶|Ben代墊|Ariel代墊|中信銀行共用"")), ""內部轉帳(忽略)"",
  AND(E11327&lt;&gt;"""", F11327&lt;&gt;"&amp;""""", NOT(REGEXMATCH(C11327, ""薪資""))), ""內部轉帳(忽略)"",
  REGEXMATCH(C11327, ""薪資""), ""薪資變動(不計入)"",
  REGEXMATCH(C11327, ""押金""), ""押金往來"",
  AND(E11327&lt;&gt;"""", F11327=""""), ""真實支出"",
  AND(E11327="""", F11327&lt;&gt;""""), ""真實收入"",
  TRUE, ""其他""
)"),"其他")</f>
        <v>其他</v>
      </c>
      <c r="K11327" s="270" t="str">
        <f t="shared" si="2"/>
        <v/>
      </c>
      <c r="L11327">
        <f t="shared" si="3"/>
        <v>0</v>
      </c>
    </row>
    <row r="11328">
      <c r="A11328" s="107"/>
      <c r="D11328" s="270"/>
      <c r="H11328" s="106" t="str">
        <f t="shared" si="1"/>
        <v/>
      </c>
      <c r="J11328" t="str">
        <f>IFERROR(__xludf.DUMMYFUNCTION("IFS(
  AND(REGEXMATCH(E11328, ""台銀籌備帳戶|玉山帳戶""), REGEXMATCH(C11328, ""薪資"")), ""分潤支出"",
  AND(REGEXMATCH(E11328, ""Ben帳戶|Elsa帳戶|Ben代墊|Ariel代墊|中信銀行共用""), REGEXMATCH(F11328, ""Ben帳戶|Elsa帳戶|Ben代墊|Ariel代墊|中信銀行共用"")), ""內部轉帳(忽略)"",
  AND(E11328&lt;&gt;"""", F11328&lt;&gt;"&amp;""""", NOT(REGEXMATCH(C11328, ""薪資""))), ""內部轉帳(忽略)"",
  REGEXMATCH(C11328, ""薪資""), ""薪資變動(不計入)"",
  REGEXMATCH(C11328, ""押金""), ""押金往來"",
  AND(E11328&lt;&gt;"""", F11328=""""), ""真實支出"",
  AND(E11328="""", F11328&lt;&gt;""""), ""真實收入"",
  TRUE, ""其他""
)"),"其他")</f>
        <v>其他</v>
      </c>
      <c r="K11328" s="270" t="str">
        <f t="shared" si="2"/>
        <v/>
      </c>
      <c r="L11328">
        <f t="shared" si="3"/>
        <v>0</v>
      </c>
    </row>
    <row r="11329">
      <c r="A11329" s="107"/>
      <c r="D11329" s="270"/>
      <c r="H11329" s="106" t="str">
        <f t="shared" si="1"/>
        <v/>
      </c>
      <c r="J11329" t="str">
        <f>IFERROR(__xludf.DUMMYFUNCTION("IFS(
  AND(REGEXMATCH(E11329, ""台銀籌備帳戶|玉山帳戶""), REGEXMATCH(C11329, ""薪資"")), ""分潤支出"",
  AND(REGEXMATCH(E11329, ""Ben帳戶|Elsa帳戶|Ben代墊|Ariel代墊|中信銀行共用""), REGEXMATCH(F11329, ""Ben帳戶|Elsa帳戶|Ben代墊|Ariel代墊|中信銀行共用"")), ""內部轉帳(忽略)"",
  AND(E11329&lt;&gt;"""", F11329&lt;&gt;"&amp;""""", NOT(REGEXMATCH(C11329, ""薪資""))), ""內部轉帳(忽略)"",
  REGEXMATCH(C11329, ""薪資""), ""薪資變動(不計入)"",
  REGEXMATCH(C11329, ""押金""), ""押金往來"",
  AND(E11329&lt;&gt;"""", F11329=""""), ""真實支出"",
  AND(E11329="""", F11329&lt;&gt;""""), ""真實收入"",
  TRUE, ""其他""
)"),"其他")</f>
        <v>其他</v>
      </c>
      <c r="K11329" s="270" t="str">
        <f t="shared" si="2"/>
        <v/>
      </c>
      <c r="L11329">
        <f t="shared" si="3"/>
        <v>0</v>
      </c>
    </row>
    <row r="11330">
      <c r="A11330" s="107"/>
      <c r="D11330" s="270"/>
      <c r="H11330" s="106" t="str">
        <f t="shared" si="1"/>
        <v/>
      </c>
      <c r="J11330" t="str">
        <f>IFERROR(__xludf.DUMMYFUNCTION("IFS(
  AND(REGEXMATCH(E11330, ""台銀籌備帳戶|玉山帳戶""), REGEXMATCH(C11330, ""薪資"")), ""分潤支出"",
  AND(REGEXMATCH(E11330, ""Ben帳戶|Elsa帳戶|Ben代墊|Ariel代墊|中信銀行共用""), REGEXMATCH(F11330, ""Ben帳戶|Elsa帳戶|Ben代墊|Ariel代墊|中信銀行共用"")), ""內部轉帳(忽略)"",
  AND(E11330&lt;&gt;"""", F11330&lt;&gt;"&amp;""""", NOT(REGEXMATCH(C11330, ""薪資""))), ""內部轉帳(忽略)"",
  REGEXMATCH(C11330, ""薪資""), ""薪資變動(不計入)"",
  REGEXMATCH(C11330, ""押金""), ""押金往來"",
  AND(E11330&lt;&gt;"""", F11330=""""), ""真實支出"",
  AND(E11330="""", F11330&lt;&gt;""""), ""真實收入"",
  TRUE, ""其他""
)"),"其他")</f>
        <v>其他</v>
      </c>
      <c r="K11330" s="270" t="str">
        <f t="shared" si="2"/>
        <v/>
      </c>
      <c r="L11330">
        <f t="shared" si="3"/>
        <v>0</v>
      </c>
    </row>
    <row r="11331">
      <c r="A11331" s="107"/>
      <c r="D11331" s="270"/>
      <c r="H11331" s="106" t="str">
        <f t="shared" si="1"/>
        <v/>
      </c>
      <c r="J11331" t="str">
        <f>IFERROR(__xludf.DUMMYFUNCTION("IFS(
  AND(REGEXMATCH(E11331, ""台銀籌備帳戶|玉山帳戶""), REGEXMATCH(C11331, ""薪資"")), ""分潤支出"",
  AND(REGEXMATCH(E11331, ""Ben帳戶|Elsa帳戶|Ben代墊|Ariel代墊|中信銀行共用""), REGEXMATCH(F11331, ""Ben帳戶|Elsa帳戶|Ben代墊|Ariel代墊|中信銀行共用"")), ""內部轉帳(忽略)"",
  AND(E11331&lt;&gt;"""", F11331&lt;&gt;"&amp;""""", NOT(REGEXMATCH(C11331, ""薪資""))), ""內部轉帳(忽略)"",
  REGEXMATCH(C11331, ""薪資""), ""薪資變動(不計入)"",
  REGEXMATCH(C11331, ""押金""), ""押金往來"",
  AND(E11331&lt;&gt;"""", F11331=""""), ""真實支出"",
  AND(E11331="""", F11331&lt;&gt;""""), ""真實收入"",
  TRUE, ""其他""
)"),"其他")</f>
        <v>其他</v>
      </c>
      <c r="K11331" s="270" t="str">
        <f t="shared" si="2"/>
        <v/>
      </c>
      <c r="L11331">
        <f t="shared" si="3"/>
        <v>0</v>
      </c>
    </row>
    <row r="11332">
      <c r="A11332" s="107"/>
      <c r="D11332" s="270"/>
      <c r="H11332" s="106" t="str">
        <f t="shared" si="1"/>
        <v/>
      </c>
      <c r="J11332" t="str">
        <f>IFERROR(__xludf.DUMMYFUNCTION("IFS(
  AND(REGEXMATCH(E11332, ""台銀籌備帳戶|玉山帳戶""), REGEXMATCH(C11332, ""薪資"")), ""分潤支出"",
  AND(REGEXMATCH(E11332, ""Ben帳戶|Elsa帳戶|Ben代墊|Ariel代墊|中信銀行共用""), REGEXMATCH(F11332, ""Ben帳戶|Elsa帳戶|Ben代墊|Ariel代墊|中信銀行共用"")), ""內部轉帳(忽略)"",
  AND(E11332&lt;&gt;"""", F11332&lt;&gt;"&amp;""""", NOT(REGEXMATCH(C11332, ""薪資""))), ""內部轉帳(忽略)"",
  REGEXMATCH(C11332, ""薪資""), ""薪資變動(不計入)"",
  REGEXMATCH(C11332, ""押金""), ""押金往來"",
  AND(E11332&lt;&gt;"""", F11332=""""), ""真實支出"",
  AND(E11332="""", F11332&lt;&gt;""""), ""真實收入"",
  TRUE, ""其他""
)"),"其他")</f>
        <v>其他</v>
      </c>
      <c r="K11332" s="270" t="str">
        <f t="shared" si="2"/>
        <v/>
      </c>
      <c r="L11332">
        <f t="shared" si="3"/>
        <v>0</v>
      </c>
    </row>
    <row r="11333">
      <c r="A11333" s="107"/>
      <c r="D11333" s="270"/>
      <c r="H11333" s="106" t="str">
        <f t="shared" si="1"/>
        <v/>
      </c>
      <c r="J11333" t="str">
        <f>IFERROR(__xludf.DUMMYFUNCTION("IFS(
  AND(REGEXMATCH(E11333, ""台銀籌備帳戶|玉山帳戶""), REGEXMATCH(C11333, ""薪資"")), ""分潤支出"",
  AND(REGEXMATCH(E11333, ""Ben帳戶|Elsa帳戶|Ben代墊|Ariel代墊|中信銀行共用""), REGEXMATCH(F11333, ""Ben帳戶|Elsa帳戶|Ben代墊|Ariel代墊|中信銀行共用"")), ""內部轉帳(忽略)"",
  AND(E11333&lt;&gt;"""", F11333&lt;&gt;"&amp;""""", NOT(REGEXMATCH(C11333, ""薪資""))), ""內部轉帳(忽略)"",
  REGEXMATCH(C11333, ""薪資""), ""薪資變動(不計入)"",
  REGEXMATCH(C11333, ""押金""), ""押金往來"",
  AND(E11333&lt;&gt;"""", F11333=""""), ""真實支出"",
  AND(E11333="""", F11333&lt;&gt;""""), ""真實收入"",
  TRUE, ""其他""
)"),"其他")</f>
        <v>其他</v>
      </c>
      <c r="K11333" s="270" t="str">
        <f t="shared" si="2"/>
        <v/>
      </c>
      <c r="L11333">
        <f t="shared" si="3"/>
        <v>0</v>
      </c>
    </row>
    <row r="11334">
      <c r="A11334" s="107"/>
      <c r="D11334" s="270"/>
      <c r="H11334" s="106" t="str">
        <f t="shared" si="1"/>
        <v/>
      </c>
      <c r="J11334" t="str">
        <f>IFERROR(__xludf.DUMMYFUNCTION("IFS(
  AND(REGEXMATCH(E11334, ""台銀籌備帳戶|玉山帳戶""), REGEXMATCH(C11334, ""薪資"")), ""分潤支出"",
  AND(REGEXMATCH(E11334, ""Ben帳戶|Elsa帳戶|Ben代墊|Ariel代墊|中信銀行共用""), REGEXMATCH(F11334, ""Ben帳戶|Elsa帳戶|Ben代墊|Ariel代墊|中信銀行共用"")), ""內部轉帳(忽略)"",
  AND(E11334&lt;&gt;"""", F11334&lt;&gt;"&amp;""""", NOT(REGEXMATCH(C11334, ""薪資""))), ""內部轉帳(忽略)"",
  REGEXMATCH(C11334, ""薪資""), ""薪資變動(不計入)"",
  REGEXMATCH(C11334, ""押金""), ""押金往來"",
  AND(E11334&lt;&gt;"""", F11334=""""), ""真實支出"",
  AND(E11334="""", F11334&lt;&gt;""""), ""真實收入"",
  TRUE, ""其他""
)"),"其他")</f>
        <v>其他</v>
      </c>
      <c r="K11334" s="270" t="str">
        <f t="shared" si="2"/>
        <v/>
      </c>
      <c r="L11334">
        <f t="shared" si="3"/>
        <v>0</v>
      </c>
    </row>
    <row r="11335">
      <c r="A11335" s="107"/>
      <c r="D11335" s="270"/>
      <c r="H11335" s="106" t="str">
        <f t="shared" si="1"/>
        <v/>
      </c>
      <c r="J11335" t="str">
        <f>IFERROR(__xludf.DUMMYFUNCTION("IFS(
  AND(REGEXMATCH(E11335, ""台銀籌備帳戶|玉山帳戶""), REGEXMATCH(C11335, ""薪資"")), ""分潤支出"",
  AND(REGEXMATCH(E11335, ""Ben帳戶|Elsa帳戶|Ben代墊|Ariel代墊|中信銀行共用""), REGEXMATCH(F11335, ""Ben帳戶|Elsa帳戶|Ben代墊|Ariel代墊|中信銀行共用"")), ""內部轉帳(忽略)"",
  AND(E11335&lt;&gt;"""", F11335&lt;&gt;"&amp;""""", NOT(REGEXMATCH(C11335, ""薪資""))), ""內部轉帳(忽略)"",
  REGEXMATCH(C11335, ""薪資""), ""薪資變動(不計入)"",
  REGEXMATCH(C11335, ""押金""), ""押金往來"",
  AND(E11335&lt;&gt;"""", F11335=""""), ""真實支出"",
  AND(E11335="""", F11335&lt;&gt;""""), ""真實收入"",
  TRUE, ""其他""
)"),"其他")</f>
        <v>其他</v>
      </c>
      <c r="K11335" s="270" t="str">
        <f t="shared" si="2"/>
        <v/>
      </c>
      <c r="L11335">
        <f t="shared" si="3"/>
        <v>0</v>
      </c>
    </row>
    <row r="11336">
      <c r="A11336" s="107"/>
      <c r="D11336" s="270"/>
      <c r="H11336" s="106" t="str">
        <f t="shared" si="1"/>
        <v/>
      </c>
      <c r="J11336" t="str">
        <f>IFERROR(__xludf.DUMMYFUNCTION("IFS(
  AND(REGEXMATCH(E11336, ""台銀籌備帳戶|玉山帳戶""), REGEXMATCH(C11336, ""薪資"")), ""分潤支出"",
  AND(REGEXMATCH(E11336, ""Ben帳戶|Elsa帳戶|Ben代墊|Ariel代墊|中信銀行共用""), REGEXMATCH(F11336, ""Ben帳戶|Elsa帳戶|Ben代墊|Ariel代墊|中信銀行共用"")), ""內部轉帳(忽略)"",
  AND(E11336&lt;&gt;"""", F11336&lt;&gt;"&amp;""""", NOT(REGEXMATCH(C11336, ""薪資""))), ""內部轉帳(忽略)"",
  REGEXMATCH(C11336, ""薪資""), ""薪資變動(不計入)"",
  REGEXMATCH(C11336, ""押金""), ""押金往來"",
  AND(E11336&lt;&gt;"""", F11336=""""), ""真實支出"",
  AND(E11336="""", F11336&lt;&gt;""""), ""真實收入"",
  TRUE, ""其他""
)"),"其他")</f>
        <v>其他</v>
      </c>
      <c r="K11336" s="270" t="str">
        <f t="shared" si="2"/>
        <v/>
      </c>
      <c r="L11336">
        <f t="shared" si="3"/>
        <v>0</v>
      </c>
    </row>
    <row r="11337">
      <c r="A11337" s="107"/>
      <c r="D11337" s="270"/>
      <c r="H11337" s="106" t="str">
        <f t="shared" si="1"/>
        <v/>
      </c>
      <c r="J11337" t="str">
        <f>IFERROR(__xludf.DUMMYFUNCTION("IFS(
  AND(REGEXMATCH(E11337, ""台銀籌備帳戶|玉山帳戶""), REGEXMATCH(C11337, ""薪資"")), ""分潤支出"",
  AND(REGEXMATCH(E11337, ""Ben帳戶|Elsa帳戶|Ben代墊|Ariel代墊|中信銀行共用""), REGEXMATCH(F11337, ""Ben帳戶|Elsa帳戶|Ben代墊|Ariel代墊|中信銀行共用"")), ""內部轉帳(忽略)"",
  AND(E11337&lt;&gt;"""", F11337&lt;&gt;"&amp;""""", NOT(REGEXMATCH(C11337, ""薪資""))), ""內部轉帳(忽略)"",
  REGEXMATCH(C11337, ""薪資""), ""薪資變動(不計入)"",
  REGEXMATCH(C11337, ""押金""), ""押金往來"",
  AND(E11337&lt;&gt;"""", F11337=""""), ""真實支出"",
  AND(E11337="""", F11337&lt;&gt;""""), ""真實收入"",
  TRUE, ""其他""
)"),"其他")</f>
        <v>其他</v>
      </c>
      <c r="K11337" s="270" t="str">
        <f t="shared" si="2"/>
        <v/>
      </c>
      <c r="L11337">
        <f t="shared" si="3"/>
        <v>0</v>
      </c>
    </row>
    <row r="11338">
      <c r="A11338" s="107"/>
      <c r="D11338" s="270"/>
      <c r="H11338" s="106" t="str">
        <f t="shared" si="1"/>
        <v/>
      </c>
      <c r="J11338" t="str">
        <f>IFERROR(__xludf.DUMMYFUNCTION("IFS(
  AND(REGEXMATCH(E11338, ""台銀籌備帳戶|玉山帳戶""), REGEXMATCH(C11338, ""薪資"")), ""分潤支出"",
  AND(REGEXMATCH(E11338, ""Ben帳戶|Elsa帳戶|Ben代墊|Ariel代墊|中信銀行共用""), REGEXMATCH(F11338, ""Ben帳戶|Elsa帳戶|Ben代墊|Ariel代墊|中信銀行共用"")), ""內部轉帳(忽略)"",
  AND(E11338&lt;&gt;"""", F11338&lt;&gt;"&amp;""""", NOT(REGEXMATCH(C11338, ""薪資""))), ""內部轉帳(忽略)"",
  REGEXMATCH(C11338, ""薪資""), ""薪資變動(不計入)"",
  REGEXMATCH(C11338, ""押金""), ""押金往來"",
  AND(E11338&lt;&gt;"""", F11338=""""), ""真實支出"",
  AND(E11338="""", F11338&lt;&gt;""""), ""真實收入"",
  TRUE, ""其他""
)"),"其他")</f>
        <v>其他</v>
      </c>
      <c r="K11338" s="270" t="str">
        <f t="shared" si="2"/>
        <v/>
      </c>
      <c r="L11338">
        <f t="shared" si="3"/>
        <v>0</v>
      </c>
    </row>
    <row r="11339">
      <c r="A11339" s="107"/>
      <c r="D11339" s="270"/>
      <c r="H11339" s="106" t="str">
        <f t="shared" si="1"/>
        <v/>
      </c>
      <c r="J11339" t="str">
        <f>IFERROR(__xludf.DUMMYFUNCTION("IFS(
  AND(REGEXMATCH(E11339, ""台銀籌備帳戶|玉山帳戶""), REGEXMATCH(C11339, ""薪資"")), ""分潤支出"",
  AND(REGEXMATCH(E11339, ""Ben帳戶|Elsa帳戶|Ben代墊|Ariel代墊|中信銀行共用""), REGEXMATCH(F11339, ""Ben帳戶|Elsa帳戶|Ben代墊|Ariel代墊|中信銀行共用"")), ""內部轉帳(忽略)"",
  AND(E11339&lt;&gt;"""", F11339&lt;&gt;"&amp;""""", NOT(REGEXMATCH(C11339, ""薪資""))), ""內部轉帳(忽略)"",
  REGEXMATCH(C11339, ""薪資""), ""薪資變動(不計入)"",
  REGEXMATCH(C11339, ""押金""), ""押金往來"",
  AND(E11339&lt;&gt;"""", F11339=""""), ""真實支出"",
  AND(E11339="""", F11339&lt;&gt;""""), ""真實收入"",
  TRUE, ""其他""
)"),"其他")</f>
        <v>其他</v>
      </c>
      <c r="K11339" s="270" t="str">
        <f t="shared" si="2"/>
        <v/>
      </c>
      <c r="L11339">
        <f t="shared" si="3"/>
        <v>0</v>
      </c>
    </row>
    <row r="11340">
      <c r="A11340" s="107"/>
      <c r="D11340" s="270"/>
      <c r="H11340" s="106" t="str">
        <f t="shared" si="1"/>
        <v/>
      </c>
      <c r="J11340" t="str">
        <f>IFERROR(__xludf.DUMMYFUNCTION("IFS(
  AND(REGEXMATCH(E11340, ""台銀籌備帳戶|玉山帳戶""), REGEXMATCH(C11340, ""薪資"")), ""分潤支出"",
  AND(REGEXMATCH(E11340, ""Ben帳戶|Elsa帳戶|Ben代墊|Ariel代墊|中信銀行共用""), REGEXMATCH(F11340, ""Ben帳戶|Elsa帳戶|Ben代墊|Ariel代墊|中信銀行共用"")), ""內部轉帳(忽略)"",
  AND(E11340&lt;&gt;"""", F11340&lt;&gt;"&amp;""""", NOT(REGEXMATCH(C11340, ""薪資""))), ""內部轉帳(忽略)"",
  REGEXMATCH(C11340, ""薪資""), ""薪資變動(不計入)"",
  REGEXMATCH(C11340, ""押金""), ""押金往來"",
  AND(E11340&lt;&gt;"""", F11340=""""), ""真實支出"",
  AND(E11340="""", F11340&lt;&gt;""""), ""真實收入"",
  TRUE, ""其他""
)"),"其他")</f>
        <v>其他</v>
      </c>
      <c r="K11340" s="270" t="str">
        <f t="shared" si="2"/>
        <v/>
      </c>
      <c r="L11340">
        <f t="shared" si="3"/>
        <v>0</v>
      </c>
    </row>
    <row r="11341">
      <c r="A11341" s="107"/>
      <c r="D11341" s="270"/>
      <c r="H11341" s="106" t="str">
        <f t="shared" si="1"/>
        <v/>
      </c>
      <c r="J11341" t="str">
        <f>IFERROR(__xludf.DUMMYFUNCTION("IFS(
  AND(REGEXMATCH(E11341, ""台銀籌備帳戶|玉山帳戶""), REGEXMATCH(C11341, ""薪資"")), ""分潤支出"",
  AND(REGEXMATCH(E11341, ""Ben帳戶|Elsa帳戶|Ben代墊|Ariel代墊|中信銀行共用""), REGEXMATCH(F11341, ""Ben帳戶|Elsa帳戶|Ben代墊|Ariel代墊|中信銀行共用"")), ""內部轉帳(忽略)"",
  AND(E11341&lt;&gt;"""", F11341&lt;&gt;"&amp;""""", NOT(REGEXMATCH(C11341, ""薪資""))), ""內部轉帳(忽略)"",
  REGEXMATCH(C11341, ""薪資""), ""薪資變動(不計入)"",
  REGEXMATCH(C11341, ""押金""), ""押金往來"",
  AND(E11341&lt;&gt;"""", F11341=""""), ""真實支出"",
  AND(E11341="""", F11341&lt;&gt;""""), ""真實收入"",
  TRUE, ""其他""
)"),"其他")</f>
        <v>其他</v>
      </c>
      <c r="K11341" s="270" t="str">
        <f t="shared" si="2"/>
        <v/>
      </c>
      <c r="L11341">
        <f t="shared" si="3"/>
        <v>0</v>
      </c>
    </row>
    <row r="11342">
      <c r="A11342" s="107"/>
      <c r="D11342" s="270"/>
      <c r="H11342" s="106" t="str">
        <f t="shared" si="1"/>
        <v/>
      </c>
      <c r="J11342" t="str">
        <f>IFERROR(__xludf.DUMMYFUNCTION("IFS(
  AND(REGEXMATCH(E11342, ""台銀籌備帳戶|玉山帳戶""), REGEXMATCH(C11342, ""薪資"")), ""分潤支出"",
  AND(REGEXMATCH(E11342, ""Ben帳戶|Elsa帳戶|Ben代墊|Ariel代墊|中信銀行共用""), REGEXMATCH(F11342, ""Ben帳戶|Elsa帳戶|Ben代墊|Ariel代墊|中信銀行共用"")), ""內部轉帳(忽略)"",
  AND(E11342&lt;&gt;"""", F11342&lt;&gt;"&amp;""""", NOT(REGEXMATCH(C11342, ""薪資""))), ""內部轉帳(忽略)"",
  REGEXMATCH(C11342, ""薪資""), ""薪資變動(不計入)"",
  REGEXMATCH(C11342, ""押金""), ""押金往來"",
  AND(E11342&lt;&gt;"""", F11342=""""), ""真實支出"",
  AND(E11342="""", F11342&lt;&gt;""""), ""真實收入"",
  TRUE, ""其他""
)"),"其他")</f>
        <v>其他</v>
      </c>
      <c r="K11342" s="270" t="str">
        <f t="shared" si="2"/>
        <v/>
      </c>
      <c r="L11342">
        <f t="shared" si="3"/>
        <v>0</v>
      </c>
    </row>
    <row r="11343">
      <c r="A11343" s="107"/>
      <c r="D11343" s="270"/>
      <c r="H11343" s="106" t="str">
        <f t="shared" si="1"/>
        <v/>
      </c>
      <c r="J11343" t="str">
        <f>IFERROR(__xludf.DUMMYFUNCTION("IFS(
  AND(REGEXMATCH(E11343, ""台銀籌備帳戶|玉山帳戶""), REGEXMATCH(C11343, ""薪資"")), ""分潤支出"",
  AND(REGEXMATCH(E11343, ""Ben帳戶|Elsa帳戶|Ben代墊|Ariel代墊|中信銀行共用""), REGEXMATCH(F11343, ""Ben帳戶|Elsa帳戶|Ben代墊|Ariel代墊|中信銀行共用"")), ""內部轉帳(忽略)"",
  AND(E11343&lt;&gt;"""", F11343&lt;&gt;"&amp;""""", NOT(REGEXMATCH(C11343, ""薪資""))), ""內部轉帳(忽略)"",
  REGEXMATCH(C11343, ""薪資""), ""薪資變動(不計入)"",
  REGEXMATCH(C11343, ""押金""), ""押金往來"",
  AND(E11343&lt;&gt;"""", F11343=""""), ""真實支出"",
  AND(E11343="""", F11343&lt;&gt;""""), ""真實收入"",
  TRUE, ""其他""
)"),"其他")</f>
        <v>其他</v>
      </c>
      <c r="K11343" s="270" t="str">
        <f t="shared" si="2"/>
        <v/>
      </c>
      <c r="L11343">
        <f t="shared" si="3"/>
        <v>0</v>
      </c>
    </row>
    <row r="11344">
      <c r="A11344" s="107"/>
      <c r="D11344" s="270"/>
      <c r="H11344" s="106" t="str">
        <f t="shared" si="1"/>
        <v/>
      </c>
      <c r="J11344" t="str">
        <f>IFERROR(__xludf.DUMMYFUNCTION("IFS(
  AND(REGEXMATCH(E11344, ""台銀籌備帳戶|玉山帳戶""), REGEXMATCH(C11344, ""薪資"")), ""分潤支出"",
  AND(REGEXMATCH(E11344, ""Ben帳戶|Elsa帳戶|Ben代墊|Ariel代墊|中信銀行共用""), REGEXMATCH(F11344, ""Ben帳戶|Elsa帳戶|Ben代墊|Ariel代墊|中信銀行共用"")), ""內部轉帳(忽略)"",
  AND(E11344&lt;&gt;"""", F11344&lt;&gt;"&amp;""""", NOT(REGEXMATCH(C11344, ""薪資""))), ""內部轉帳(忽略)"",
  REGEXMATCH(C11344, ""薪資""), ""薪資變動(不計入)"",
  REGEXMATCH(C11344, ""押金""), ""押金往來"",
  AND(E11344&lt;&gt;"""", F11344=""""), ""真實支出"",
  AND(E11344="""", F11344&lt;&gt;""""), ""真實收入"",
  TRUE, ""其他""
)"),"其他")</f>
        <v>其他</v>
      </c>
      <c r="K11344" s="270" t="str">
        <f t="shared" si="2"/>
        <v/>
      </c>
      <c r="L11344">
        <f t="shared" si="3"/>
        <v>0</v>
      </c>
    </row>
    <row r="11345">
      <c r="A11345" s="107"/>
      <c r="D11345" s="270"/>
      <c r="H11345" s="106" t="str">
        <f t="shared" si="1"/>
        <v/>
      </c>
      <c r="J11345" t="str">
        <f>IFERROR(__xludf.DUMMYFUNCTION("IFS(
  AND(REGEXMATCH(E11345, ""台銀籌備帳戶|玉山帳戶""), REGEXMATCH(C11345, ""薪資"")), ""分潤支出"",
  AND(REGEXMATCH(E11345, ""Ben帳戶|Elsa帳戶|Ben代墊|Ariel代墊|中信銀行共用""), REGEXMATCH(F11345, ""Ben帳戶|Elsa帳戶|Ben代墊|Ariel代墊|中信銀行共用"")), ""內部轉帳(忽略)"",
  AND(E11345&lt;&gt;"""", F11345&lt;&gt;"&amp;""""", NOT(REGEXMATCH(C11345, ""薪資""))), ""內部轉帳(忽略)"",
  REGEXMATCH(C11345, ""薪資""), ""薪資變動(不計入)"",
  REGEXMATCH(C11345, ""押金""), ""押金往來"",
  AND(E11345&lt;&gt;"""", F11345=""""), ""真實支出"",
  AND(E11345="""", F11345&lt;&gt;""""), ""真實收入"",
  TRUE, ""其他""
)"),"其他")</f>
        <v>其他</v>
      </c>
      <c r="K11345" s="270" t="str">
        <f t="shared" si="2"/>
        <v/>
      </c>
      <c r="L11345">
        <f t="shared" si="3"/>
        <v>0</v>
      </c>
    </row>
    <row r="11346">
      <c r="A11346" s="107"/>
      <c r="D11346" s="270"/>
      <c r="H11346" s="106" t="str">
        <f t="shared" si="1"/>
        <v/>
      </c>
      <c r="J11346" t="str">
        <f>IFERROR(__xludf.DUMMYFUNCTION("IFS(
  AND(REGEXMATCH(E11346, ""台銀籌備帳戶|玉山帳戶""), REGEXMATCH(C11346, ""薪資"")), ""分潤支出"",
  AND(REGEXMATCH(E11346, ""Ben帳戶|Elsa帳戶|Ben代墊|Ariel代墊|中信銀行共用""), REGEXMATCH(F11346, ""Ben帳戶|Elsa帳戶|Ben代墊|Ariel代墊|中信銀行共用"")), ""內部轉帳(忽略)"",
  AND(E11346&lt;&gt;"""", F11346&lt;&gt;"&amp;""""", NOT(REGEXMATCH(C11346, ""薪資""))), ""內部轉帳(忽略)"",
  REGEXMATCH(C11346, ""薪資""), ""薪資變動(不計入)"",
  REGEXMATCH(C11346, ""押金""), ""押金往來"",
  AND(E11346&lt;&gt;"""", F11346=""""), ""真實支出"",
  AND(E11346="""", F11346&lt;&gt;""""), ""真實收入"",
  TRUE, ""其他""
)"),"其他")</f>
        <v>其他</v>
      </c>
      <c r="K11346" s="270" t="str">
        <f t="shared" si="2"/>
        <v/>
      </c>
      <c r="L11346">
        <f t="shared" si="3"/>
        <v>0</v>
      </c>
    </row>
    <row r="11347">
      <c r="A11347" s="107"/>
      <c r="D11347" s="270"/>
      <c r="H11347" s="106" t="str">
        <f t="shared" si="1"/>
        <v/>
      </c>
      <c r="J11347" t="str">
        <f>IFERROR(__xludf.DUMMYFUNCTION("IFS(
  AND(REGEXMATCH(E11347, ""台銀籌備帳戶|玉山帳戶""), REGEXMATCH(C11347, ""薪資"")), ""分潤支出"",
  AND(REGEXMATCH(E11347, ""Ben帳戶|Elsa帳戶|Ben代墊|Ariel代墊|中信銀行共用""), REGEXMATCH(F11347, ""Ben帳戶|Elsa帳戶|Ben代墊|Ariel代墊|中信銀行共用"")), ""內部轉帳(忽略)"",
  AND(E11347&lt;&gt;"""", F11347&lt;&gt;"&amp;""""", NOT(REGEXMATCH(C11347, ""薪資""))), ""內部轉帳(忽略)"",
  REGEXMATCH(C11347, ""薪資""), ""薪資變動(不計入)"",
  REGEXMATCH(C11347, ""押金""), ""押金往來"",
  AND(E11347&lt;&gt;"""", F11347=""""), ""真實支出"",
  AND(E11347="""", F11347&lt;&gt;""""), ""真實收入"",
  TRUE, ""其他""
)"),"其他")</f>
        <v>其他</v>
      </c>
      <c r="K11347" s="270" t="str">
        <f t="shared" si="2"/>
        <v/>
      </c>
      <c r="L11347">
        <f t="shared" si="3"/>
        <v>0</v>
      </c>
    </row>
    <row r="11348">
      <c r="A11348" s="107"/>
      <c r="D11348" s="270"/>
      <c r="H11348" s="106" t="str">
        <f t="shared" si="1"/>
        <v/>
      </c>
      <c r="J11348" t="str">
        <f>IFERROR(__xludf.DUMMYFUNCTION("IFS(
  AND(REGEXMATCH(E11348, ""台銀籌備帳戶|玉山帳戶""), REGEXMATCH(C11348, ""薪資"")), ""分潤支出"",
  AND(REGEXMATCH(E11348, ""Ben帳戶|Elsa帳戶|Ben代墊|Ariel代墊|中信銀行共用""), REGEXMATCH(F11348, ""Ben帳戶|Elsa帳戶|Ben代墊|Ariel代墊|中信銀行共用"")), ""內部轉帳(忽略)"",
  AND(E11348&lt;&gt;"""", F11348&lt;&gt;"&amp;""""", NOT(REGEXMATCH(C11348, ""薪資""))), ""內部轉帳(忽略)"",
  REGEXMATCH(C11348, ""薪資""), ""薪資變動(不計入)"",
  REGEXMATCH(C11348, ""押金""), ""押金往來"",
  AND(E11348&lt;&gt;"""", F11348=""""), ""真實支出"",
  AND(E11348="""", F11348&lt;&gt;""""), ""真實收入"",
  TRUE, ""其他""
)"),"其他")</f>
        <v>其他</v>
      </c>
      <c r="K11348" s="270" t="str">
        <f t="shared" si="2"/>
        <v/>
      </c>
      <c r="L11348">
        <f t="shared" si="3"/>
        <v>0</v>
      </c>
    </row>
    <row r="11349">
      <c r="A11349" s="107"/>
      <c r="D11349" s="270"/>
      <c r="H11349" s="106" t="str">
        <f t="shared" si="1"/>
        <v/>
      </c>
      <c r="J11349" t="str">
        <f>IFERROR(__xludf.DUMMYFUNCTION("IFS(
  AND(REGEXMATCH(E11349, ""台銀籌備帳戶|玉山帳戶""), REGEXMATCH(C11349, ""薪資"")), ""分潤支出"",
  AND(REGEXMATCH(E11349, ""Ben帳戶|Elsa帳戶|Ben代墊|Ariel代墊|中信銀行共用""), REGEXMATCH(F11349, ""Ben帳戶|Elsa帳戶|Ben代墊|Ariel代墊|中信銀行共用"")), ""內部轉帳(忽略)"",
  AND(E11349&lt;&gt;"""", F11349&lt;&gt;"&amp;""""", NOT(REGEXMATCH(C11349, ""薪資""))), ""內部轉帳(忽略)"",
  REGEXMATCH(C11349, ""薪資""), ""薪資變動(不計入)"",
  REGEXMATCH(C11349, ""押金""), ""押金往來"",
  AND(E11349&lt;&gt;"""", F11349=""""), ""真實支出"",
  AND(E11349="""", F11349&lt;&gt;""""), ""真實收入"",
  TRUE, ""其他""
)"),"其他")</f>
        <v>其他</v>
      </c>
      <c r="K11349" s="270" t="str">
        <f t="shared" si="2"/>
        <v/>
      </c>
      <c r="L11349">
        <f t="shared" si="3"/>
        <v>0</v>
      </c>
    </row>
    <row r="11350">
      <c r="A11350" s="107"/>
      <c r="D11350" s="270"/>
      <c r="H11350" s="106" t="str">
        <f t="shared" si="1"/>
        <v/>
      </c>
      <c r="J11350" t="str">
        <f>IFERROR(__xludf.DUMMYFUNCTION("IFS(
  AND(REGEXMATCH(E11350, ""台銀籌備帳戶|玉山帳戶""), REGEXMATCH(C11350, ""薪資"")), ""分潤支出"",
  AND(REGEXMATCH(E11350, ""Ben帳戶|Elsa帳戶|Ben代墊|Ariel代墊|中信銀行共用""), REGEXMATCH(F11350, ""Ben帳戶|Elsa帳戶|Ben代墊|Ariel代墊|中信銀行共用"")), ""內部轉帳(忽略)"",
  AND(E11350&lt;&gt;"""", F11350&lt;&gt;"&amp;""""", NOT(REGEXMATCH(C11350, ""薪資""))), ""內部轉帳(忽略)"",
  REGEXMATCH(C11350, ""薪資""), ""薪資變動(不計入)"",
  REGEXMATCH(C11350, ""押金""), ""押金往來"",
  AND(E11350&lt;&gt;"""", F11350=""""), ""真實支出"",
  AND(E11350="""", F11350&lt;&gt;""""), ""真實收入"",
  TRUE, ""其他""
)"),"其他")</f>
        <v>其他</v>
      </c>
      <c r="K11350" s="270" t="str">
        <f t="shared" si="2"/>
        <v/>
      </c>
      <c r="L11350">
        <f t="shared" si="3"/>
        <v>0</v>
      </c>
    </row>
    <row r="11351">
      <c r="A11351" s="107"/>
      <c r="D11351" s="270"/>
      <c r="H11351" s="106" t="str">
        <f t="shared" si="1"/>
        <v/>
      </c>
      <c r="J11351" t="str">
        <f>IFERROR(__xludf.DUMMYFUNCTION("IFS(
  AND(REGEXMATCH(E11351, ""台銀籌備帳戶|玉山帳戶""), REGEXMATCH(C11351, ""薪資"")), ""分潤支出"",
  AND(REGEXMATCH(E11351, ""Ben帳戶|Elsa帳戶|Ben代墊|Ariel代墊|中信銀行共用""), REGEXMATCH(F11351, ""Ben帳戶|Elsa帳戶|Ben代墊|Ariel代墊|中信銀行共用"")), ""內部轉帳(忽略)"",
  AND(E11351&lt;&gt;"""", F11351&lt;&gt;"&amp;""""", NOT(REGEXMATCH(C11351, ""薪資""))), ""內部轉帳(忽略)"",
  REGEXMATCH(C11351, ""薪資""), ""薪資變動(不計入)"",
  REGEXMATCH(C11351, ""押金""), ""押金往來"",
  AND(E11351&lt;&gt;"""", F11351=""""), ""真實支出"",
  AND(E11351="""", F11351&lt;&gt;""""), ""真實收入"",
  TRUE, ""其他""
)"),"其他")</f>
        <v>其他</v>
      </c>
      <c r="K11351" s="270" t="str">
        <f t="shared" si="2"/>
        <v/>
      </c>
      <c r="L11351">
        <f t="shared" si="3"/>
        <v>0</v>
      </c>
    </row>
    <row r="11352">
      <c r="A11352" s="107"/>
      <c r="D11352" s="270"/>
      <c r="H11352" s="106" t="str">
        <f t="shared" si="1"/>
        <v/>
      </c>
      <c r="J11352" t="str">
        <f>IFERROR(__xludf.DUMMYFUNCTION("IFS(
  AND(REGEXMATCH(E11352, ""台銀籌備帳戶|玉山帳戶""), REGEXMATCH(C11352, ""薪資"")), ""分潤支出"",
  AND(REGEXMATCH(E11352, ""Ben帳戶|Elsa帳戶|Ben代墊|Ariel代墊|中信銀行共用""), REGEXMATCH(F11352, ""Ben帳戶|Elsa帳戶|Ben代墊|Ariel代墊|中信銀行共用"")), ""內部轉帳(忽略)"",
  AND(E11352&lt;&gt;"""", F11352&lt;&gt;"&amp;""""", NOT(REGEXMATCH(C11352, ""薪資""))), ""內部轉帳(忽略)"",
  REGEXMATCH(C11352, ""薪資""), ""薪資變動(不計入)"",
  REGEXMATCH(C11352, ""押金""), ""押金往來"",
  AND(E11352&lt;&gt;"""", F11352=""""), ""真實支出"",
  AND(E11352="""", F11352&lt;&gt;""""), ""真實收入"",
  TRUE, ""其他""
)"),"其他")</f>
        <v>其他</v>
      </c>
      <c r="K11352" s="270" t="str">
        <f t="shared" si="2"/>
        <v/>
      </c>
      <c r="L11352">
        <f t="shared" si="3"/>
        <v>0</v>
      </c>
    </row>
    <row r="11353">
      <c r="A11353" s="107"/>
      <c r="D11353" s="270"/>
      <c r="H11353" s="106" t="str">
        <f t="shared" si="1"/>
        <v/>
      </c>
      <c r="J11353" t="str">
        <f>IFERROR(__xludf.DUMMYFUNCTION("IFS(
  AND(REGEXMATCH(E11353, ""台銀籌備帳戶|玉山帳戶""), REGEXMATCH(C11353, ""薪資"")), ""分潤支出"",
  AND(REGEXMATCH(E11353, ""Ben帳戶|Elsa帳戶|Ben代墊|Ariel代墊|中信銀行共用""), REGEXMATCH(F11353, ""Ben帳戶|Elsa帳戶|Ben代墊|Ariel代墊|中信銀行共用"")), ""內部轉帳(忽略)"",
  AND(E11353&lt;&gt;"""", F11353&lt;&gt;"&amp;""""", NOT(REGEXMATCH(C11353, ""薪資""))), ""內部轉帳(忽略)"",
  REGEXMATCH(C11353, ""薪資""), ""薪資變動(不計入)"",
  REGEXMATCH(C11353, ""押金""), ""押金往來"",
  AND(E11353&lt;&gt;"""", F11353=""""), ""真實支出"",
  AND(E11353="""", F11353&lt;&gt;""""), ""真實收入"",
  TRUE, ""其他""
)"),"其他")</f>
        <v>其他</v>
      </c>
      <c r="K11353" s="270" t="str">
        <f t="shared" si="2"/>
        <v/>
      </c>
      <c r="L11353">
        <f t="shared" si="3"/>
        <v>0</v>
      </c>
    </row>
    <row r="11354">
      <c r="A11354" s="107"/>
      <c r="D11354" s="270"/>
      <c r="H11354" s="106" t="str">
        <f t="shared" si="1"/>
        <v/>
      </c>
      <c r="J11354" t="str">
        <f>IFERROR(__xludf.DUMMYFUNCTION("IFS(
  AND(REGEXMATCH(E11354, ""台銀籌備帳戶|玉山帳戶""), REGEXMATCH(C11354, ""薪資"")), ""分潤支出"",
  AND(REGEXMATCH(E11354, ""Ben帳戶|Elsa帳戶|Ben代墊|Ariel代墊|中信銀行共用""), REGEXMATCH(F11354, ""Ben帳戶|Elsa帳戶|Ben代墊|Ariel代墊|中信銀行共用"")), ""內部轉帳(忽略)"",
  AND(E11354&lt;&gt;"""", F11354&lt;&gt;"&amp;""""", NOT(REGEXMATCH(C11354, ""薪資""))), ""內部轉帳(忽略)"",
  REGEXMATCH(C11354, ""薪資""), ""薪資變動(不計入)"",
  REGEXMATCH(C11354, ""押金""), ""押金往來"",
  AND(E11354&lt;&gt;"""", F11354=""""), ""真實支出"",
  AND(E11354="""", F11354&lt;&gt;""""), ""真實收入"",
  TRUE, ""其他""
)"),"其他")</f>
        <v>其他</v>
      </c>
      <c r="K11354" s="270" t="str">
        <f t="shared" si="2"/>
        <v/>
      </c>
      <c r="L11354">
        <f t="shared" si="3"/>
        <v>0</v>
      </c>
    </row>
    <row r="11355">
      <c r="A11355" s="107"/>
      <c r="D11355" s="270"/>
      <c r="H11355" s="106" t="str">
        <f t="shared" si="1"/>
        <v/>
      </c>
      <c r="J11355" t="str">
        <f>IFERROR(__xludf.DUMMYFUNCTION("IFS(
  AND(REGEXMATCH(E11355, ""台銀籌備帳戶|玉山帳戶""), REGEXMATCH(C11355, ""薪資"")), ""分潤支出"",
  AND(REGEXMATCH(E11355, ""Ben帳戶|Elsa帳戶|Ben代墊|Ariel代墊|中信銀行共用""), REGEXMATCH(F11355, ""Ben帳戶|Elsa帳戶|Ben代墊|Ariel代墊|中信銀行共用"")), ""內部轉帳(忽略)"",
  AND(E11355&lt;&gt;"""", F11355&lt;&gt;"&amp;""""", NOT(REGEXMATCH(C11355, ""薪資""))), ""內部轉帳(忽略)"",
  REGEXMATCH(C11355, ""薪資""), ""薪資變動(不計入)"",
  REGEXMATCH(C11355, ""押金""), ""押金往來"",
  AND(E11355&lt;&gt;"""", F11355=""""), ""真實支出"",
  AND(E11355="""", F11355&lt;&gt;""""), ""真實收入"",
  TRUE, ""其他""
)"),"其他")</f>
        <v>其他</v>
      </c>
      <c r="K11355" s="270" t="str">
        <f t="shared" si="2"/>
        <v/>
      </c>
      <c r="L11355">
        <f t="shared" si="3"/>
        <v>0</v>
      </c>
    </row>
    <row r="11356">
      <c r="A11356" s="107"/>
      <c r="D11356" s="270"/>
      <c r="H11356" s="106" t="str">
        <f t="shared" si="1"/>
        <v/>
      </c>
      <c r="J11356" t="str">
        <f>IFERROR(__xludf.DUMMYFUNCTION("IFS(
  AND(REGEXMATCH(E11356, ""台銀籌備帳戶|玉山帳戶""), REGEXMATCH(C11356, ""薪資"")), ""分潤支出"",
  AND(REGEXMATCH(E11356, ""Ben帳戶|Elsa帳戶|Ben代墊|Ariel代墊|中信銀行共用""), REGEXMATCH(F11356, ""Ben帳戶|Elsa帳戶|Ben代墊|Ariel代墊|中信銀行共用"")), ""內部轉帳(忽略)"",
  AND(E11356&lt;&gt;"""", F11356&lt;&gt;"&amp;""""", NOT(REGEXMATCH(C11356, ""薪資""))), ""內部轉帳(忽略)"",
  REGEXMATCH(C11356, ""薪資""), ""薪資變動(不計入)"",
  REGEXMATCH(C11356, ""押金""), ""押金往來"",
  AND(E11356&lt;&gt;"""", F11356=""""), ""真實支出"",
  AND(E11356="""", F11356&lt;&gt;""""), ""真實收入"",
  TRUE, ""其他""
)"),"其他")</f>
        <v>其他</v>
      </c>
      <c r="K11356" s="270" t="str">
        <f t="shared" si="2"/>
        <v/>
      </c>
      <c r="L11356">
        <f t="shared" si="3"/>
        <v>0</v>
      </c>
    </row>
    <row r="11357">
      <c r="A11357" s="107"/>
      <c r="D11357" s="270"/>
      <c r="H11357" s="106" t="str">
        <f t="shared" si="1"/>
        <v/>
      </c>
      <c r="J11357" t="str">
        <f>IFERROR(__xludf.DUMMYFUNCTION("IFS(
  AND(REGEXMATCH(E11357, ""台銀籌備帳戶|玉山帳戶""), REGEXMATCH(C11357, ""薪資"")), ""分潤支出"",
  AND(REGEXMATCH(E11357, ""Ben帳戶|Elsa帳戶|Ben代墊|Ariel代墊|中信銀行共用""), REGEXMATCH(F11357, ""Ben帳戶|Elsa帳戶|Ben代墊|Ariel代墊|中信銀行共用"")), ""內部轉帳(忽略)"",
  AND(E11357&lt;&gt;"""", F11357&lt;&gt;"&amp;""""", NOT(REGEXMATCH(C11357, ""薪資""))), ""內部轉帳(忽略)"",
  REGEXMATCH(C11357, ""薪資""), ""薪資變動(不計入)"",
  REGEXMATCH(C11357, ""押金""), ""押金往來"",
  AND(E11357&lt;&gt;"""", F11357=""""), ""真實支出"",
  AND(E11357="""", F11357&lt;&gt;""""), ""真實收入"",
  TRUE, ""其他""
)"),"其他")</f>
        <v>其他</v>
      </c>
      <c r="K11357" s="270" t="str">
        <f t="shared" si="2"/>
        <v/>
      </c>
      <c r="L11357">
        <f t="shared" si="3"/>
        <v>0</v>
      </c>
    </row>
    <row r="11358">
      <c r="A11358" s="107"/>
      <c r="D11358" s="270"/>
      <c r="H11358" s="106" t="str">
        <f t="shared" si="1"/>
        <v/>
      </c>
      <c r="J11358" t="str">
        <f>IFERROR(__xludf.DUMMYFUNCTION("IFS(
  AND(REGEXMATCH(E11358, ""台銀籌備帳戶|玉山帳戶""), REGEXMATCH(C11358, ""薪資"")), ""分潤支出"",
  AND(REGEXMATCH(E11358, ""Ben帳戶|Elsa帳戶|Ben代墊|Ariel代墊|中信銀行共用""), REGEXMATCH(F11358, ""Ben帳戶|Elsa帳戶|Ben代墊|Ariel代墊|中信銀行共用"")), ""內部轉帳(忽略)"",
  AND(E11358&lt;&gt;"""", F11358&lt;&gt;"&amp;""""", NOT(REGEXMATCH(C11358, ""薪資""))), ""內部轉帳(忽略)"",
  REGEXMATCH(C11358, ""薪資""), ""薪資變動(不計入)"",
  REGEXMATCH(C11358, ""押金""), ""押金往來"",
  AND(E11358&lt;&gt;"""", F11358=""""), ""真實支出"",
  AND(E11358="""", F11358&lt;&gt;""""), ""真實收入"",
  TRUE, ""其他""
)"),"其他")</f>
        <v>其他</v>
      </c>
      <c r="K11358" s="270" t="str">
        <f t="shared" si="2"/>
        <v/>
      </c>
      <c r="L11358">
        <f t="shared" si="3"/>
        <v>0</v>
      </c>
    </row>
    <row r="11359">
      <c r="A11359" s="107"/>
      <c r="D11359" s="270"/>
      <c r="H11359" s="106" t="str">
        <f t="shared" si="1"/>
        <v/>
      </c>
      <c r="J11359" t="str">
        <f>IFERROR(__xludf.DUMMYFUNCTION("IFS(
  AND(REGEXMATCH(E11359, ""台銀籌備帳戶|玉山帳戶""), REGEXMATCH(C11359, ""薪資"")), ""分潤支出"",
  AND(REGEXMATCH(E11359, ""Ben帳戶|Elsa帳戶|Ben代墊|Ariel代墊|中信銀行共用""), REGEXMATCH(F11359, ""Ben帳戶|Elsa帳戶|Ben代墊|Ariel代墊|中信銀行共用"")), ""內部轉帳(忽略)"",
  AND(E11359&lt;&gt;"""", F11359&lt;&gt;"&amp;""""", NOT(REGEXMATCH(C11359, ""薪資""))), ""內部轉帳(忽略)"",
  REGEXMATCH(C11359, ""薪資""), ""薪資變動(不計入)"",
  REGEXMATCH(C11359, ""押金""), ""押金往來"",
  AND(E11359&lt;&gt;"""", F11359=""""), ""真實支出"",
  AND(E11359="""", F11359&lt;&gt;""""), ""真實收入"",
  TRUE, ""其他""
)"),"其他")</f>
        <v>其他</v>
      </c>
      <c r="K11359" s="270" t="str">
        <f t="shared" si="2"/>
        <v/>
      </c>
      <c r="L11359">
        <f t="shared" si="3"/>
        <v>0</v>
      </c>
    </row>
    <row r="11360">
      <c r="A11360" s="107"/>
      <c r="D11360" s="270"/>
      <c r="H11360" s="106" t="str">
        <f t="shared" si="1"/>
        <v/>
      </c>
      <c r="J11360" t="str">
        <f>IFERROR(__xludf.DUMMYFUNCTION("IFS(
  AND(REGEXMATCH(E11360, ""台銀籌備帳戶|玉山帳戶""), REGEXMATCH(C11360, ""薪資"")), ""分潤支出"",
  AND(REGEXMATCH(E11360, ""Ben帳戶|Elsa帳戶|Ben代墊|Ariel代墊|中信銀行共用""), REGEXMATCH(F11360, ""Ben帳戶|Elsa帳戶|Ben代墊|Ariel代墊|中信銀行共用"")), ""內部轉帳(忽略)"",
  AND(E11360&lt;&gt;"""", F11360&lt;&gt;"&amp;""""", NOT(REGEXMATCH(C11360, ""薪資""))), ""內部轉帳(忽略)"",
  REGEXMATCH(C11360, ""薪資""), ""薪資變動(不計入)"",
  REGEXMATCH(C11360, ""押金""), ""押金往來"",
  AND(E11360&lt;&gt;"""", F11360=""""), ""真實支出"",
  AND(E11360="""", F11360&lt;&gt;""""), ""真實收入"",
  TRUE, ""其他""
)"),"其他")</f>
        <v>其他</v>
      </c>
      <c r="K11360" s="270" t="str">
        <f t="shared" si="2"/>
        <v/>
      </c>
      <c r="L11360">
        <f t="shared" si="3"/>
        <v>0</v>
      </c>
    </row>
    <row r="11361">
      <c r="A11361" s="107"/>
      <c r="D11361" s="270"/>
      <c r="H11361" s="106" t="str">
        <f t="shared" si="1"/>
        <v/>
      </c>
      <c r="J11361" t="str">
        <f>IFERROR(__xludf.DUMMYFUNCTION("IFS(
  AND(REGEXMATCH(E11361, ""台銀籌備帳戶|玉山帳戶""), REGEXMATCH(C11361, ""薪資"")), ""分潤支出"",
  AND(REGEXMATCH(E11361, ""Ben帳戶|Elsa帳戶|Ben代墊|Ariel代墊|中信銀行共用""), REGEXMATCH(F11361, ""Ben帳戶|Elsa帳戶|Ben代墊|Ariel代墊|中信銀行共用"")), ""內部轉帳(忽略)"",
  AND(E11361&lt;&gt;"""", F11361&lt;&gt;"&amp;""""", NOT(REGEXMATCH(C11361, ""薪資""))), ""內部轉帳(忽略)"",
  REGEXMATCH(C11361, ""薪資""), ""薪資變動(不計入)"",
  REGEXMATCH(C11361, ""押金""), ""押金往來"",
  AND(E11361&lt;&gt;"""", F11361=""""), ""真實支出"",
  AND(E11361="""", F11361&lt;&gt;""""), ""真實收入"",
  TRUE, ""其他""
)"),"其他")</f>
        <v>其他</v>
      </c>
      <c r="K11361" s="270" t="str">
        <f t="shared" si="2"/>
        <v/>
      </c>
      <c r="L11361">
        <f t="shared" si="3"/>
        <v>0</v>
      </c>
    </row>
    <row r="11362">
      <c r="A11362" s="107"/>
      <c r="D11362" s="270"/>
      <c r="H11362" s="106" t="str">
        <f t="shared" si="1"/>
        <v/>
      </c>
      <c r="J11362" t="str">
        <f>IFERROR(__xludf.DUMMYFUNCTION("IFS(
  AND(REGEXMATCH(E11362, ""台銀籌備帳戶|玉山帳戶""), REGEXMATCH(C11362, ""薪資"")), ""分潤支出"",
  AND(REGEXMATCH(E11362, ""Ben帳戶|Elsa帳戶|Ben代墊|Ariel代墊|中信銀行共用""), REGEXMATCH(F11362, ""Ben帳戶|Elsa帳戶|Ben代墊|Ariel代墊|中信銀行共用"")), ""內部轉帳(忽略)"",
  AND(E11362&lt;&gt;"""", F11362&lt;&gt;"&amp;""""", NOT(REGEXMATCH(C11362, ""薪資""))), ""內部轉帳(忽略)"",
  REGEXMATCH(C11362, ""薪資""), ""薪資變動(不計入)"",
  REGEXMATCH(C11362, ""押金""), ""押金往來"",
  AND(E11362&lt;&gt;"""", F11362=""""), ""真實支出"",
  AND(E11362="""", F11362&lt;&gt;""""), ""真實收入"",
  TRUE, ""其他""
)"),"其他")</f>
        <v>其他</v>
      </c>
      <c r="K11362" s="270" t="str">
        <f t="shared" si="2"/>
        <v/>
      </c>
      <c r="L11362">
        <f t="shared" si="3"/>
        <v>0</v>
      </c>
    </row>
    <row r="11363">
      <c r="A11363" s="107"/>
      <c r="D11363" s="270"/>
      <c r="H11363" s="106" t="str">
        <f t="shared" si="1"/>
        <v/>
      </c>
      <c r="J11363" t="str">
        <f>IFERROR(__xludf.DUMMYFUNCTION("IFS(
  AND(REGEXMATCH(E11363, ""台銀籌備帳戶|玉山帳戶""), REGEXMATCH(C11363, ""薪資"")), ""分潤支出"",
  AND(REGEXMATCH(E11363, ""Ben帳戶|Elsa帳戶|Ben代墊|Ariel代墊|中信銀行共用""), REGEXMATCH(F11363, ""Ben帳戶|Elsa帳戶|Ben代墊|Ariel代墊|中信銀行共用"")), ""內部轉帳(忽略)"",
  AND(E11363&lt;&gt;"""", F11363&lt;&gt;"&amp;""""", NOT(REGEXMATCH(C11363, ""薪資""))), ""內部轉帳(忽略)"",
  REGEXMATCH(C11363, ""薪資""), ""薪資變動(不計入)"",
  REGEXMATCH(C11363, ""押金""), ""押金往來"",
  AND(E11363&lt;&gt;"""", F11363=""""), ""真實支出"",
  AND(E11363="""", F11363&lt;&gt;""""), ""真實收入"",
  TRUE, ""其他""
)"),"其他")</f>
        <v>其他</v>
      </c>
      <c r="K11363" s="270" t="str">
        <f t="shared" si="2"/>
        <v/>
      </c>
      <c r="L11363">
        <f t="shared" si="3"/>
        <v>0</v>
      </c>
    </row>
    <row r="11364">
      <c r="A11364" s="107"/>
      <c r="D11364" s="270"/>
      <c r="H11364" s="106" t="str">
        <f t="shared" si="1"/>
        <v/>
      </c>
      <c r="J11364" t="str">
        <f>IFERROR(__xludf.DUMMYFUNCTION("IFS(
  AND(REGEXMATCH(E11364, ""台銀籌備帳戶|玉山帳戶""), REGEXMATCH(C11364, ""薪資"")), ""分潤支出"",
  AND(REGEXMATCH(E11364, ""Ben帳戶|Elsa帳戶|Ben代墊|Ariel代墊|中信銀行共用""), REGEXMATCH(F11364, ""Ben帳戶|Elsa帳戶|Ben代墊|Ariel代墊|中信銀行共用"")), ""內部轉帳(忽略)"",
  AND(E11364&lt;&gt;"""", F11364&lt;&gt;"&amp;""""", NOT(REGEXMATCH(C11364, ""薪資""))), ""內部轉帳(忽略)"",
  REGEXMATCH(C11364, ""薪資""), ""薪資變動(不計入)"",
  REGEXMATCH(C11364, ""押金""), ""押金往來"",
  AND(E11364&lt;&gt;"""", F11364=""""), ""真實支出"",
  AND(E11364="""", F11364&lt;&gt;""""), ""真實收入"",
  TRUE, ""其他""
)"),"其他")</f>
        <v>其他</v>
      </c>
      <c r="K11364" s="270" t="str">
        <f t="shared" si="2"/>
        <v/>
      </c>
      <c r="L11364">
        <f t="shared" si="3"/>
        <v>0</v>
      </c>
    </row>
    <row r="11365">
      <c r="A11365" s="107"/>
      <c r="D11365" s="270"/>
      <c r="H11365" s="106" t="str">
        <f t="shared" si="1"/>
        <v/>
      </c>
      <c r="J11365" t="str">
        <f>IFERROR(__xludf.DUMMYFUNCTION("IFS(
  AND(REGEXMATCH(E11365, ""台銀籌備帳戶|玉山帳戶""), REGEXMATCH(C11365, ""薪資"")), ""分潤支出"",
  AND(REGEXMATCH(E11365, ""Ben帳戶|Elsa帳戶|Ben代墊|Ariel代墊|中信銀行共用""), REGEXMATCH(F11365, ""Ben帳戶|Elsa帳戶|Ben代墊|Ariel代墊|中信銀行共用"")), ""內部轉帳(忽略)"",
  AND(E11365&lt;&gt;"""", F11365&lt;&gt;"&amp;""""", NOT(REGEXMATCH(C11365, ""薪資""))), ""內部轉帳(忽略)"",
  REGEXMATCH(C11365, ""薪資""), ""薪資變動(不計入)"",
  REGEXMATCH(C11365, ""押金""), ""押金往來"",
  AND(E11365&lt;&gt;"""", F11365=""""), ""真實支出"",
  AND(E11365="""", F11365&lt;&gt;""""), ""真實收入"",
  TRUE, ""其他""
)"),"其他")</f>
        <v>其他</v>
      </c>
      <c r="K11365" s="270" t="str">
        <f t="shared" si="2"/>
        <v/>
      </c>
      <c r="L11365">
        <f t="shared" si="3"/>
        <v>0</v>
      </c>
    </row>
    <row r="11366">
      <c r="A11366" s="107"/>
      <c r="D11366" s="270"/>
      <c r="H11366" s="106" t="str">
        <f t="shared" si="1"/>
        <v/>
      </c>
      <c r="J11366" t="str">
        <f>IFERROR(__xludf.DUMMYFUNCTION("IFS(
  AND(REGEXMATCH(E11366, ""台銀籌備帳戶|玉山帳戶""), REGEXMATCH(C11366, ""薪資"")), ""分潤支出"",
  AND(REGEXMATCH(E11366, ""Ben帳戶|Elsa帳戶|Ben代墊|Ariel代墊|中信銀行共用""), REGEXMATCH(F11366, ""Ben帳戶|Elsa帳戶|Ben代墊|Ariel代墊|中信銀行共用"")), ""內部轉帳(忽略)"",
  AND(E11366&lt;&gt;"""", F11366&lt;&gt;"&amp;""""", NOT(REGEXMATCH(C11366, ""薪資""))), ""內部轉帳(忽略)"",
  REGEXMATCH(C11366, ""薪資""), ""薪資變動(不計入)"",
  REGEXMATCH(C11366, ""押金""), ""押金往來"",
  AND(E11366&lt;&gt;"""", F11366=""""), ""真實支出"",
  AND(E11366="""", F11366&lt;&gt;""""), ""真實收入"",
  TRUE, ""其他""
)"),"其他")</f>
        <v>其他</v>
      </c>
      <c r="K11366" s="270" t="str">
        <f t="shared" si="2"/>
        <v/>
      </c>
      <c r="L11366">
        <f t="shared" si="3"/>
        <v>0</v>
      </c>
    </row>
    <row r="11367">
      <c r="A11367" s="107"/>
      <c r="D11367" s="270"/>
      <c r="H11367" s="106" t="str">
        <f t="shared" si="1"/>
        <v/>
      </c>
      <c r="J11367" t="str">
        <f>IFERROR(__xludf.DUMMYFUNCTION("IFS(
  AND(REGEXMATCH(E11367, ""台銀籌備帳戶|玉山帳戶""), REGEXMATCH(C11367, ""薪資"")), ""分潤支出"",
  AND(REGEXMATCH(E11367, ""Ben帳戶|Elsa帳戶|Ben代墊|Ariel代墊|中信銀行共用""), REGEXMATCH(F11367, ""Ben帳戶|Elsa帳戶|Ben代墊|Ariel代墊|中信銀行共用"")), ""內部轉帳(忽略)"",
  AND(E11367&lt;&gt;"""", F11367&lt;&gt;"&amp;""""", NOT(REGEXMATCH(C11367, ""薪資""))), ""內部轉帳(忽略)"",
  REGEXMATCH(C11367, ""薪資""), ""薪資變動(不計入)"",
  REGEXMATCH(C11367, ""押金""), ""押金往來"",
  AND(E11367&lt;&gt;"""", F11367=""""), ""真實支出"",
  AND(E11367="""", F11367&lt;&gt;""""), ""真實收入"",
  TRUE, ""其他""
)"),"其他")</f>
        <v>其他</v>
      </c>
      <c r="K11367" s="270" t="str">
        <f t="shared" si="2"/>
        <v/>
      </c>
      <c r="L11367">
        <f t="shared" si="3"/>
        <v>0</v>
      </c>
    </row>
    <row r="11368">
      <c r="A11368" s="107"/>
      <c r="D11368" s="270"/>
      <c r="H11368" s="106" t="str">
        <f t="shared" si="1"/>
        <v/>
      </c>
      <c r="J11368" t="str">
        <f>IFERROR(__xludf.DUMMYFUNCTION("IFS(
  AND(REGEXMATCH(E11368, ""台銀籌備帳戶|玉山帳戶""), REGEXMATCH(C11368, ""薪資"")), ""分潤支出"",
  AND(REGEXMATCH(E11368, ""Ben帳戶|Elsa帳戶|Ben代墊|Ariel代墊|中信銀行共用""), REGEXMATCH(F11368, ""Ben帳戶|Elsa帳戶|Ben代墊|Ariel代墊|中信銀行共用"")), ""內部轉帳(忽略)"",
  AND(E11368&lt;&gt;"""", F11368&lt;&gt;"&amp;""""", NOT(REGEXMATCH(C11368, ""薪資""))), ""內部轉帳(忽略)"",
  REGEXMATCH(C11368, ""薪資""), ""薪資變動(不計入)"",
  REGEXMATCH(C11368, ""押金""), ""押金往來"",
  AND(E11368&lt;&gt;"""", F11368=""""), ""真實支出"",
  AND(E11368="""", F11368&lt;&gt;""""), ""真實收入"",
  TRUE, ""其他""
)"),"其他")</f>
        <v>其他</v>
      </c>
      <c r="K11368" s="270" t="str">
        <f t="shared" si="2"/>
        <v/>
      </c>
      <c r="L11368">
        <f t="shared" si="3"/>
        <v>0</v>
      </c>
    </row>
    <row r="11369">
      <c r="A11369" s="107"/>
      <c r="D11369" s="270"/>
      <c r="H11369" s="106" t="str">
        <f t="shared" si="1"/>
        <v/>
      </c>
      <c r="J11369" t="str">
        <f>IFERROR(__xludf.DUMMYFUNCTION("IFS(
  AND(REGEXMATCH(E11369, ""台銀籌備帳戶|玉山帳戶""), REGEXMATCH(C11369, ""薪資"")), ""分潤支出"",
  AND(REGEXMATCH(E11369, ""Ben帳戶|Elsa帳戶|Ben代墊|Ariel代墊|中信銀行共用""), REGEXMATCH(F11369, ""Ben帳戶|Elsa帳戶|Ben代墊|Ariel代墊|中信銀行共用"")), ""內部轉帳(忽略)"",
  AND(E11369&lt;&gt;"""", F11369&lt;&gt;"&amp;""""", NOT(REGEXMATCH(C11369, ""薪資""))), ""內部轉帳(忽略)"",
  REGEXMATCH(C11369, ""薪資""), ""薪資變動(不計入)"",
  REGEXMATCH(C11369, ""押金""), ""押金往來"",
  AND(E11369&lt;&gt;"""", F11369=""""), ""真實支出"",
  AND(E11369="""", F11369&lt;&gt;""""), ""真實收入"",
  TRUE, ""其他""
)"),"其他")</f>
        <v>其他</v>
      </c>
      <c r="K11369" s="270" t="str">
        <f t="shared" si="2"/>
        <v/>
      </c>
      <c r="L11369">
        <f t="shared" si="3"/>
        <v>0</v>
      </c>
    </row>
    <row r="11370">
      <c r="A11370" s="107"/>
      <c r="D11370" s="270"/>
      <c r="H11370" s="106" t="str">
        <f t="shared" si="1"/>
        <v/>
      </c>
      <c r="J11370" t="str">
        <f>IFERROR(__xludf.DUMMYFUNCTION("IFS(
  AND(REGEXMATCH(E11370, ""台銀籌備帳戶|玉山帳戶""), REGEXMATCH(C11370, ""薪資"")), ""分潤支出"",
  AND(REGEXMATCH(E11370, ""Ben帳戶|Elsa帳戶|Ben代墊|Ariel代墊|中信銀行共用""), REGEXMATCH(F11370, ""Ben帳戶|Elsa帳戶|Ben代墊|Ariel代墊|中信銀行共用"")), ""內部轉帳(忽略)"",
  AND(E11370&lt;&gt;"""", F11370&lt;&gt;"&amp;""""", NOT(REGEXMATCH(C11370, ""薪資""))), ""內部轉帳(忽略)"",
  REGEXMATCH(C11370, ""薪資""), ""薪資變動(不計入)"",
  REGEXMATCH(C11370, ""押金""), ""押金往來"",
  AND(E11370&lt;&gt;"""", F11370=""""), ""真實支出"",
  AND(E11370="""", F11370&lt;&gt;""""), ""真實收入"",
  TRUE, ""其他""
)"),"其他")</f>
        <v>其他</v>
      </c>
      <c r="K11370" s="270" t="str">
        <f t="shared" si="2"/>
        <v/>
      </c>
      <c r="L11370">
        <f t="shared" si="3"/>
        <v>0</v>
      </c>
    </row>
    <row r="11371">
      <c r="A11371" s="107"/>
      <c r="D11371" s="270"/>
      <c r="H11371" s="106" t="str">
        <f t="shared" si="1"/>
        <v/>
      </c>
      <c r="J11371" t="str">
        <f>IFERROR(__xludf.DUMMYFUNCTION("IFS(
  AND(REGEXMATCH(E11371, ""台銀籌備帳戶|玉山帳戶""), REGEXMATCH(C11371, ""薪資"")), ""分潤支出"",
  AND(REGEXMATCH(E11371, ""Ben帳戶|Elsa帳戶|Ben代墊|Ariel代墊|中信銀行共用""), REGEXMATCH(F11371, ""Ben帳戶|Elsa帳戶|Ben代墊|Ariel代墊|中信銀行共用"")), ""內部轉帳(忽略)"",
  AND(E11371&lt;&gt;"""", F11371&lt;&gt;"&amp;""""", NOT(REGEXMATCH(C11371, ""薪資""))), ""內部轉帳(忽略)"",
  REGEXMATCH(C11371, ""薪資""), ""薪資變動(不計入)"",
  REGEXMATCH(C11371, ""押金""), ""押金往來"",
  AND(E11371&lt;&gt;"""", F11371=""""), ""真實支出"",
  AND(E11371="""", F11371&lt;&gt;""""), ""真實收入"",
  TRUE, ""其他""
)"),"其他")</f>
        <v>其他</v>
      </c>
      <c r="K11371" s="270" t="str">
        <f t="shared" si="2"/>
        <v/>
      </c>
      <c r="L11371">
        <f t="shared" si="3"/>
        <v>0</v>
      </c>
    </row>
    <row r="11372">
      <c r="A11372" s="107"/>
      <c r="D11372" s="270"/>
      <c r="H11372" s="106" t="str">
        <f t="shared" si="1"/>
        <v/>
      </c>
      <c r="J11372" t="str">
        <f>IFERROR(__xludf.DUMMYFUNCTION("IFS(
  AND(REGEXMATCH(E11372, ""台銀籌備帳戶|玉山帳戶""), REGEXMATCH(C11372, ""薪資"")), ""分潤支出"",
  AND(REGEXMATCH(E11372, ""Ben帳戶|Elsa帳戶|Ben代墊|Ariel代墊|中信銀行共用""), REGEXMATCH(F11372, ""Ben帳戶|Elsa帳戶|Ben代墊|Ariel代墊|中信銀行共用"")), ""內部轉帳(忽略)"",
  AND(E11372&lt;&gt;"""", F11372&lt;&gt;"&amp;""""", NOT(REGEXMATCH(C11372, ""薪資""))), ""內部轉帳(忽略)"",
  REGEXMATCH(C11372, ""薪資""), ""薪資變動(不計入)"",
  REGEXMATCH(C11372, ""押金""), ""押金往來"",
  AND(E11372&lt;&gt;"""", F11372=""""), ""真實支出"",
  AND(E11372="""", F11372&lt;&gt;""""), ""真實收入"",
  TRUE, ""其他""
)"),"其他")</f>
        <v>其他</v>
      </c>
      <c r="K11372" s="270" t="str">
        <f t="shared" si="2"/>
        <v/>
      </c>
      <c r="L11372">
        <f t="shared" si="3"/>
        <v>0</v>
      </c>
    </row>
    <row r="11373">
      <c r="A11373" s="107"/>
      <c r="D11373" s="270"/>
      <c r="H11373" s="106" t="str">
        <f t="shared" si="1"/>
        <v/>
      </c>
      <c r="J11373" t="str">
        <f>IFERROR(__xludf.DUMMYFUNCTION("IFS(
  AND(REGEXMATCH(E11373, ""台銀籌備帳戶|玉山帳戶""), REGEXMATCH(C11373, ""薪資"")), ""分潤支出"",
  AND(REGEXMATCH(E11373, ""Ben帳戶|Elsa帳戶|Ben代墊|Ariel代墊|中信銀行共用""), REGEXMATCH(F11373, ""Ben帳戶|Elsa帳戶|Ben代墊|Ariel代墊|中信銀行共用"")), ""內部轉帳(忽略)"",
  AND(E11373&lt;&gt;"""", F11373&lt;&gt;"&amp;""""", NOT(REGEXMATCH(C11373, ""薪資""))), ""內部轉帳(忽略)"",
  REGEXMATCH(C11373, ""薪資""), ""薪資變動(不計入)"",
  REGEXMATCH(C11373, ""押金""), ""押金往來"",
  AND(E11373&lt;&gt;"""", F11373=""""), ""真實支出"",
  AND(E11373="""", F11373&lt;&gt;""""), ""真實收入"",
  TRUE, ""其他""
)"),"其他")</f>
        <v>其他</v>
      </c>
      <c r="K11373" s="270" t="str">
        <f t="shared" si="2"/>
        <v/>
      </c>
      <c r="L11373">
        <f t="shared" si="3"/>
        <v>0</v>
      </c>
    </row>
    <row r="11374">
      <c r="A11374" s="107"/>
      <c r="D11374" s="270"/>
      <c r="H11374" s="106" t="str">
        <f t="shared" si="1"/>
        <v/>
      </c>
      <c r="J11374" t="str">
        <f>IFERROR(__xludf.DUMMYFUNCTION("IFS(
  AND(REGEXMATCH(E11374, ""台銀籌備帳戶|玉山帳戶""), REGEXMATCH(C11374, ""薪資"")), ""分潤支出"",
  AND(REGEXMATCH(E11374, ""Ben帳戶|Elsa帳戶|Ben代墊|Ariel代墊|中信銀行共用""), REGEXMATCH(F11374, ""Ben帳戶|Elsa帳戶|Ben代墊|Ariel代墊|中信銀行共用"")), ""內部轉帳(忽略)"",
  AND(E11374&lt;&gt;"""", F11374&lt;&gt;"&amp;""""", NOT(REGEXMATCH(C11374, ""薪資""))), ""內部轉帳(忽略)"",
  REGEXMATCH(C11374, ""薪資""), ""薪資變動(不計入)"",
  REGEXMATCH(C11374, ""押金""), ""押金往來"",
  AND(E11374&lt;&gt;"""", F11374=""""), ""真實支出"",
  AND(E11374="""", F11374&lt;&gt;""""), ""真實收入"",
  TRUE, ""其他""
)"),"其他")</f>
        <v>其他</v>
      </c>
      <c r="K11374" s="270" t="str">
        <f t="shared" si="2"/>
        <v/>
      </c>
      <c r="L11374">
        <f t="shared" si="3"/>
        <v>0</v>
      </c>
    </row>
    <row r="11375">
      <c r="A11375" s="107"/>
      <c r="D11375" s="270"/>
      <c r="H11375" s="106" t="str">
        <f t="shared" si="1"/>
        <v/>
      </c>
      <c r="J11375" t="str">
        <f>IFERROR(__xludf.DUMMYFUNCTION("IFS(
  AND(REGEXMATCH(E11375, ""台銀籌備帳戶|玉山帳戶""), REGEXMATCH(C11375, ""薪資"")), ""分潤支出"",
  AND(REGEXMATCH(E11375, ""Ben帳戶|Elsa帳戶|Ben代墊|Ariel代墊|中信銀行共用""), REGEXMATCH(F11375, ""Ben帳戶|Elsa帳戶|Ben代墊|Ariel代墊|中信銀行共用"")), ""內部轉帳(忽略)"",
  AND(E11375&lt;&gt;"""", F11375&lt;&gt;"&amp;""""", NOT(REGEXMATCH(C11375, ""薪資""))), ""內部轉帳(忽略)"",
  REGEXMATCH(C11375, ""薪資""), ""薪資變動(不計入)"",
  REGEXMATCH(C11375, ""押金""), ""押金往來"",
  AND(E11375&lt;&gt;"""", F11375=""""), ""真實支出"",
  AND(E11375="""", F11375&lt;&gt;""""), ""真實收入"",
  TRUE, ""其他""
)"),"其他")</f>
        <v>其他</v>
      </c>
      <c r="K11375" s="270" t="str">
        <f t="shared" si="2"/>
        <v/>
      </c>
      <c r="L11375">
        <f t="shared" si="3"/>
        <v>0</v>
      </c>
    </row>
    <row r="11376">
      <c r="A11376" s="107"/>
      <c r="D11376" s="270"/>
      <c r="H11376" s="106" t="str">
        <f t="shared" si="1"/>
        <v/>
      </c>
      <c r="J11376" t="str">
        <f>IFERROR(__xludf.DUMMYFUNCTION("IFS(
  AND(REGEXMATCH(E11376, ""台銀籌備帳戶|玉山帳戶""), REGEXMATCH(C11376, ""薪資"")), ""分潤支出"",
  AND(REGEXMATCH(E11376, ""Ben帳戶|Elsa帳戶|Ben代墊|Ariel代墊|中信銀行共用""), REGEXMATCH(F11376, ""Ben帳戶|Elsa帳戶|Ben代墊|Ariel代墊|中信銀行共用"")), ""內部轉帳(忽略)"",
  AND(E11376&lt;&gt;"""", F11376&lt;&gt;"&amp;""""", NOT(REGEXMATCH(C11376, ""薪資""))), ""內部轉帳(忽略)"",
  REGEXMATCH(C11376, ""薪資""), ""薪資變動(不計入)"",
  REGEXMATCH(C11376, ""押金""), ""押金往來"",
  AND(E11376&lt;&gt;"""", F11376=""""), ""真實支出"",
  AND(E11376="""", F11376&lt;&gt;""""), ""真實收入"",
  TRUE, ""其他""
)"),"其他")</f>
        <v>其他</v>
      </c>
      <c r="K11376" s="270" t="str">
        <f t="shared" si="2"/>
        <v/>
      </c>
      <c r="L11376">
        <f t="shared" si="3"/>
        <v>0</v>
      </c>
    </row>
    <row r="11377">
      <c r="A11377" s="107"/>
      <c r="D11377" s="270"/>
      <c r="H11377" s="106" t="str">
        <f t="shared" si="1"/>
        <v/>
      </c>
      <c r="J11377" t="str">
        <f>IFERROR(__xludf.DUMMYFUNCTION("IFS(
  AND(REGEXMATCH(E11377, ""台銀籌備帳戶|玉山帳戶""), REGEXMATCH(C11377, ""薪資"")), ""分潤支出"",
  AND(REGEXMATCH(E11377, ""Ben帳戶|Elsa帳戶|Ben代墊|Ariel代墊|中信銀行共用""), REGEXMATCH(F11377, ""Ben帳戶|Elsa帳戶|Ben代墊|Ariel代墊|中信銀行共用"")), ""內部轉帳(忽略)"",
  AND(E11377&lt;&gt;"""", F11377&lt;&gt;"&amp;""""", NOT(REGEXMATCH(C11377, ""薪資""))), ""內部轉帳(忽略)"",
  REGEXMATCH(C11377, ""薪資""), ""薪資變動(不計入)"",
  REGEXMATCH(C11377, ""押金""), ""押金往來"",
  AND(E11377&lt;&gt;"""", F11377=""""), ""真實支出"",
  AND(E11377="""", F11377&lt;&gt;""""), ""真實收入"",
  TRUE, ""其他""
)"),"其他")</f>
        <v>其他</v>
      </c>
      <c r="K11377" s="270" t="str">
        <f t="shared" si="2"/>
        <v/>
      </c>
      <c r="L11377">
        <f t="shared" si="3"/>
        <v>0</v>
      </c>
    </row>
    <row r="11378">
      <c r="A11378" s="107"/>
      <c r="D11378" s="270"/>
      <c r="H11378" s="106" t="str">
        <f t="shared" si="1"/>
        <v/>
      </c>
      <c r="J11378" t="str">
        <f>IFERROR(__xludf.DUMMYFUNCTION("IFS(
  AND(REGEXMATCH(E11378, ""台銀籌備帳戶|玉山帳戶""), REGEXMATCH(C11378, ""薪資"")), ""分潤支出"",
  AND(REGEXMATCH(E11378, ""Ben帳戶|Elsa帳戶|Ben代墊|Ariel代墊|中信銀行共用""), REGEXMATCH(F11378, ""Ben帳戶|Elsa帳戶|Ben代墊|Ariel代墊|中信銀行共用"")), ""內部轉帳(忽略)"",
  AND(E11378&lt;&gt;"""", F11378&lt;&gt;"&amp;""""", NOT(REGEXMATCH(C11378, ""薪資""))), ""內部轉帳(忽略)"",
  REGEXMATCH(C11378, ""薪資""), ""薪資變動(不計入)"",
  REGEXMATCH(C11378, ""押金""), ""押金往來"",
  AND(E11378&lt;&gt;"""", F11378=""""), ""真實支出"",
  AND(E11378="""", F11378&lt;&gt;""""), ""真實收入"",
  TRUE, ""其他""
)"),"其他")</f>
        <v>其他</v>
      </c>
      <c r="K11378" s="270" t="str">
        <f t="shared" si="2"/>
        <v/>
      </c>
      <c r="L11378">
        <f t="shared" si="3"/>
        <v>0</v>
      </c>
    </row>
    <row r="11379">
      <c r="A11379" s="107"/>
      <c r="D11379" s="270"/>
      <c r="H11379" s="106" t="str">
        <f t="shared" si="1"/>
        <v/>
      </c>
      <c r="J11379" t="str">
        <f>IFERROR(__xludf.DUMMYFUNCTION("IFS(
  AND(REGEXMATCH(E11379, ""台銀籌備帳戶|玉山帳戶""), REGEXMATCH(C11379, ""薪資"")), ""分潤支出"",
  AND(REGEXMATCH(E11379, ""Ben帳戶|Elsa帳戶|Ben代墊|Ariel代墊|中信銀行共用""), REGEXMATCH(F11379, ""Ben帳戶|Elsa帳戶|Ben代墊|Ariel代墊|中信銀行共用"")), ""內部轉帳(忽略)"",
  AND(E11379&lt;&gt;"""", F11379&lt;&gt;"&amp;""""", NOT(REGEXMATCH(C11379, ""薪資""))), ""內部轉帳(忽略)"",
  REGEXMATCH(C11379, ""薪資""), ""薪資變動(不計入)"",
  REGEXMATCH(C11379, ""押金""), ""押金往來"",
  AND(E11379&lt;&gt;"""", F11379=""""), ""真實支出"",
  AND(E11379="""", F11379&lt;&gt;""""), ""真實收入"",
  TRUE, ""其他""
)"),"其他")</f>
        <v>其他</v>
      </c>
      <c r="K11379" s="270" t="str">
        <f t="shared" si="2"/>
        <v/>
      </c>
      <c r="L11379">
        <f t="shared" si="3"/>
        <v>0</v>
      </c>
    </row>
    <row r="11380">
      <c r="A11380" s="107"/>
      <c r="D11380" s="270"/>
      <c r="H11380" s="106" t="str">
        <f t="shared" si="1"/>
        <v/>
      </c>
      <c r="J11380" t="str">
        <f>IFERROR(__xludf.DUMMYFUNCTION("IFS(
  AND(REGEXMATCH(E11380, ""台銀籌備帳戶|玉山帳戶""), REGEXMATCH(C11380, ""薪資"")), ""分潤支出"",
  AND(REGEXMATCH(E11380, ""Ben帳戶|Elsa帳戶|Ben代墊|Ariel代墊|中信銀行共用""), REGEXMATCH(F11380, ""Ben帳戶|Elsa帳戶|Ben代墊|Ariel代墊|中信銀行共用"")), ""內部轉帳(忽略)"",
  AND(E11380&lt;&gt;"""", F11380&lt;&gt;"&amp;""""", NOT(REGEXMATCH(C11380, ""薪資""))), ""內部轉帳(忽略)"",
  REGEXMATCH(C11380, ""薪資""), ""薪資變動(不計入)"",
  REGEXMATCH(C11380, ""押金""), ""押金往來"",
  AND(E11380&lt;&gt;"""", F11380=""""), ""真實支出"",
  AND(E11380="""", F11380&lt;&gt;""""), ""真實收入"",
  TRUE, ""其他""
)"),"其他")</f>
        <v>其他</v>
      </c>
      <c r="K11380" s="270" t="str">
        <f t="shared" si="2"/>
        <v/>
      </c>
      <c r="L11380">
        <f t="shared" si="3"/>
        <v>0</v>
      </c>
    </row>
    <row r="11381">
      <c r="A11381" s="107"/>
      <c r="D11381" s="270"/>
      <c r="H11381" s="106" t="str">
        <f t="shared" si="1"/>
        <v/>
      </c>
      <c r="J11381" t="str">
        <f>IFERROR(__xludf.DUMMYFUNCTION("IFS(
  AND(REGEXMATCH(E11381, ""台銀籌備帳戶|玉山帳戶""), REGEXMATCH(C11381, ""薪資"")), ""分潤支出"",
  AND(REGEXMATCH(E11381, ""Ben帳戶|Elsa帳戶|Ben代墊|Ariel代墊|中信銀行共用""), REGEXMATCH(F11381, ""Ben帳戶|Elsa帳戶|Ben代墊|Ariel代墊|中信銀行共用"")), ""內部轉帳(忽略)"",
  AND(E11381&lt;&gt;"""", F11381&lt;&gt;"&amp;""""", NOT(REGEXMATCH(C11381, ""薪資""))), ""內部轉帳(忽略)"",
  REGEXMATCH(C11381, ""薪資""), ""薪資變動(不計入)"",
  REGEXMATCH(C11381, ""押金""), ""押金往來"",
  AND(E11381&lt;&gt;"""", F11381=""""), ""真實支出"",
  AND(E11381="""", F11381&lt;&gt;""""), ""真實收入"",
  TRUE, ""其他""
)"),"其他")</f>
        <v>其他</v>
      </c>
      <c r="K11381" s="270" t="str">
        <f t="shared" si="2"/>
        <v/>
      </c>
      <c r="L11381">
        <f t="shared" si="3"/>
        <v>0</v>
      </c>
    </row>
    <row r="11382">
      <c r="A11382" s="107"/>
      <c r="D11382" s="270"/>
      <c r="H11382" s="106" t="str">
        <f t="shared" si="1"/>
        <v/>
      </c>
      <c r="J11382" t="str">
        <f>IFERROR(__xludf.DUMMYFUNCTION("IFS(
  AND(REGEXMATCH(E11382, ""台銀籌備帳戶|玉山帳戶""), REGEXMATCH(C11382, ""薪資"")), ""分潤支出"",
  AND(REGEXMATCH(E11382, ""Ben帳戶|Elsa帳戶|Ben代墊|Ariel代墊|中信銀行共用""), REGEXMATCH(F11382, ""Ben帳戶|Elsa帳戶|Ben代墊|Ariel代墊|中信銀行共用"")), ""內部轉帳(忽略)"",
  AND(E11382&lt;&gt;"""", F11382&lt;&gt;"&amp;""""", NOT(REGEXMATCH(C11382, ""薪資""))), ""內部轉帳(忽略)"",
  REGEXMATCH(C11382, ""薪資""), ""薪資變動(不計入)"",
  REGEXMATCH(C11382, ""押金""), ""押金往來"",
  AND(E11382&lt;&gt;"""", F11382=""""), ""真實支出"",
  AND(E11382="""", F11382&lt;&gt;""""), ""真實收入"",
  TRUE, ""其他""
)"),"其他")</f>
        <v>其他</v>
      </c>
      <c r="K11382" s="270" t="str">
        <f t="shared" si="2"/>
        <v/>
      </c>
      <c r="L11382">
        <f t="shared" si="3"/>
        <v>0</v>
      </c>
    </row>
    <row r="11383">
      <c r="A11383" s="107"/>
      <c r="D11383" s="270"/>
      <c r="H11383" s="106" t="str">
        <f t="shared" si="1"/>
        <v/>
      </c>
      <c r="J11383" t="str">
        <f>IFERROR(__xludf.DUMMYFUNCTION("IFS(
  AND(REGEXMATCH(E11383, ""台銀籌備帳戶|玉山帳戶""), REGEXMATCH(C11383, ""薪資"")), ""分潤支出"",
  AND(REGEXMATCH(E11383, ""Ben帳戶|Elsa帳戶|Ben代墊|Ariel代墊|中信銀行共用""), REGEXMATCH(F11383, ""Ben帳戶|Elsa帳戶|Ben代墊|Ariel代墊|中信銀行共用"")), ""內部轉帳(忽略)"",
  AND(E11383&lt;&gt;"""", F11383&lt;&gt;"&amp;""""", NOT(REGEXMATCH(C11383, ""薪資""))), ""內部轉帳(忽略)"",
  REGEXMATCH(C11383, ""薪資""), ""薪資變動(不計入)"",
  REGEXMATCH(C11383, ""押金""), ""押金往來"",
  AND(E11383&lt;&gt;"""", F11383=""""), ""真實支出"",
  AND(E11383="""", F11383&lt;&gt;""""), ""真實收入"",
  TRUE, ""其他""
)"),"其他")</f>
        <v>其他</v>
      </c>
      <c r="K11383" s="270" t="str">
        <f t="shared" si="2"/>
        <v/>
      </c>
      <c r="L11383">
        <f t="shared" si="3"/>
        <v>0</v>
      </c>
    </row>
    <row r="11384">
      <c r="A11384" s="107"/>
      <c r="D11384" s="270"/>
      <c r="H11384" s="106" t="str">
        <f t="shared" si="1"/>
        <v/>
      </c>
      <c r="J11384" t="str">
        <f>IFERROR(__xludf.DUMMYFUNCTION("IFS(
  AND(REGEXMATCH(E11384, ""台銀籌備帳戶|玉山帳戶""), REGEXMATCH(C11384, ""薪資"")), ""分潤支出"",
  AND(REGEXMATCH(E11384, ""Ben帳戶|Elsa帳戶|Ben代墊|Ariel代墊|中信銀行共用""), REGEXMATCH(F11384, ""Ben帳戶|Elsa帳戶|Ben代墊|Ariel代墊|中信銀行共用"")), ""內部轉帳(忽略)"",
  AND(E11384&lt;&gt;"""", F11384&lt;&gt;"&amp;""""", NOT(REGEXMATCH(C11384, ""薪資""))), ""內部轉帳(忽略)"",
  REGEXMATCH(C11384, ""薪資""), ""薪資變動(不計入)"",
  REGEXMATCH(C11384, ""押金""), ""押金往來"",
  AND(E11384&lt;&gt;"""", F11384=""""), ""真實支出"",
  AND(E11384="""", F11384&lt;&gt;""""), ""真實收入"",
  TRUE, ""其他""
)"),"其他")</f>
        <v>其他</v>
      </c>
      <c r="K11384" s="270" t="str">
        <f t="shared" si="2"/>
        <v/>
      </c>
      <c r="L11384">
        <f t="shared" si="3"/>
        <v>0</v>
      </c>
    </row>
    <row r="11385">
      <c r="A11385" s="107"/>
      <c r="D11385" s="270"/>
      <c r="H11385" s="106" t="str">
        <f t="shared" si="1"/>
        <v/>
      </c>
      <c r="J11385" t="str">
        <f>IFERROR(__xludf.DUMMYFUNCTION("IFS(
  AND(REGEXMATCH(E11385, ""台銀籌備帳戶|玉山帳戶""), REGEXMATCH(C11385, ""薪資"")), ""分潤支出"",
  AND(REGEXMATCH(E11385, ""Ben帳戶|Elsa帳戶|Ben代墊|Ariel代墊|中信銀行共用""), REGEXMATCH(F11385, ""Ben帳戶|Elsa帳戶|Ben代墊|Ariel代墊|中信銀行共用"")), ""內部轉帳(忽略)"",
  AND(E11385&lt;&gt;"""", F11385&lt;&gt;"&amp;""""", NOT(REGEXMATCH(C11385, ""薪資""))), ""內部轉帳(忽略)"",
  REGEXMATCH(C11385, ""薪資""), ""薪資變動(不計入)"",
  REGEXMATCH(C11385, ""押金""), ""押金往來"",
  AND(E11385&lt;&gt;"""", F11385=""""), ""真實支出"",
  AND(E11385="""", F11385&lt;&gt;""""), ""真實收入"",
  TRUE, ""其他""
)"),"其他")</f>
        <v>其他</v>
      </c>
      <c r="K11385" s="270" t="str">
        <f t="shared" si="2"/>
        <v/>
      </c>
      <c r="L11385">
        <f t="shared" si="3"/>
        <v>0</v>
      </c>
    </row>
    <row r="11386">
      <c r="A11386" s="107"/>
      <c r="D11386" s="270"/>
      <c r="H11386" s="106" t="str">
        <f t="shared" si="1"/>
        <v/>
      </c>
      <c r="J11386" t="str">
        <f>IFERROR(__xludf.DUMMYFUNCTION("IFS(
  AND(REGEXMATCH(E11386, ""台銀籌備帳戶|玉山帳戶""), REGEXMATCH(C11386, ""薪資"")), ""分潤支出"",
  AND(REGEXMATCH(E11386, ""Ben帳戶|Elsa帳戶|Ben代墊|Ariel代墊|中信銀行共用""), REGEXMATCH(F11386, ""Ben帳戶|Elsa帳戶|Ben代墊|Ariel代墊|中信銀行共用"")), ""內部轉帳(忽略)"",
  AND(E11386&lt;&gt;"""", F11386&lt;&gt;"&amp;""""", NOT(REGEXMATCH(C11386, ""薪資""))), ""內部轉帳(忽略)"",
  REGEXMATCH(C11386, ""薪資""), ""薪資變動(不計入)"",
  REGEXMATCH(C11386, ""押金""), ""押金往來"",
  AND(E11386&lt;&gt;"""", F11386=""""), ""真實支出"",
  AND(E11386="""", F11386&lt;&gt;""""), ""真實收入"",
  TRUE, ""其他""
)"),"其他")</f>
        <v>其他</v>
      </c>
      <c r="K11386" s="270" t="str">
        <f t="shared" si="2"/>
        <v/>
      </c>
      <c r="L11386">
        <f t="shared" si="3"/>
        <v>0</v>
      </c>
    </row>
    <row r="11387">
      <c r="A11387" s="107"/>
      <c r="D11387" s="270"/>
      <c r="H11387" s="106" t="str">
        <f t="shared" si="1"/>
        <v/>
      </c>
      <c r="J11387" t="str">
        <f>IFERROR(__xludf.DUMMYFUNCTION("IFS(
  AND(REGEXMATCH(E11387, ""台銀籌備帳戶|玉山帳戶""), REGEXMATCH(C11387, ""薪資"")), ""分潤支出"",
  AND(REGEXMATCH(E11387, ""Ben帳戶|Elsa帳戶|Ben代墊|Ariel代墊|中信銀行共用""), REGEXMATCH(F11387, ""Ben帳戶|Elsa帳戶|Ben代墊|Ariel代墊|中信銀行共用"")), ""內部轉帳(忽略)"",
  AND(E11387&lt;&gt;"""", F11387&lt;&gt;"&amp;""""", NOT(REGEXMATCH(C11387, ""薪資""))), ""內部轉帳(忽略)"",
  REGEXMATCH(C11387, ""薪資""), ""薪資變動(不計入)"",
  REGEXMATCH(C11387, ""押金""), ""押金往來"",
  AND(E11387&lt;&gt;"""", F11387=""""), ""真實支出"",
  AND(E11387="""", F11387&lt;&gt;""""), ""真實收入"",
  TRUE, ""其他""
)"),"其他")</f>
        <v>其他</v>
      </c>
      <c r="K11387" s="270" t="str">
        <f t="shared" si="2"/>
        <v/>
      </c>
      <c r="L11387">
        <f t="shared" si="3"/>
        <v>0</v>
      </c>
    </row>
    <row r="11388">
      <c r="A11388" s="107"/>
      <c r="D11388" s="270"/>
      <c r="H11388" s="106" t="str">
        <f t="shared" si="1"/>
        <v/>
      </c>
      <c r="J11388" t="str">
        <f>IFERROR(__xludf.DUMMYFUNCTION("IFS(
  AND(REGEXMATCH(E11388, ""台銀籌備帳戶|玉山帳戶""), REGEXMATCH(C11388, ""薪資"")), ""分潤支出"",
  AND(REGEXMATCH(E11388, ""Ben帳戶|Elsa帳戶|Ben代墊|Ariel代墊|中信銀行共用""), REGEXMATCH(F11388, ""Ben帳戶|Elsa帳戶|Ben代墊|Ariel代墊|中信銀行共用"")), ""內部轉帳(忽略)"",
  AND(E11388&lt;&gt;"""", F11388&lt;&gt;"&amp;""""", NOT(REGEXMATCH(C11388, ""薪資""))), ""內部轉帳(忽略)"",
  REGEXMATCH(C11388, ""薪資""), ""薪資變動(不計入)"",
  REGEXMATCH(C11388, ""押金""), ""押金往來"",
  AND(E11388&lt;&gt;"""", F11388=""""), ""真實支出"",
  AND(E11388="""", F11388&lt;&gt;""""), ""真實收入"",
  TRUE, ""其他""
)"),"其他")</f>
        <v>其他</v>
      </c>
      <c r="K11388" s="270" t="str">
        <f t="shared" si="2"/>
        <v/>
      </c>
      <c r="L11388">
        <f t="shared" si="3"/>
        <v>0</v>
      </c>
    </row>
    <row r="11389">
      <c r="A11389" s="107"/>
      <c r="D11389" s="270"/>
      <c r="H11389" s="106" t="str">
        <f t="shared" si="1"/>
        <v/>
      </c>
      <c r="J11389" t="str">
        <f>IFERROR(__xludf.DUMMYFUNCTION("IFS(
  AND(REGEXMATCH(E11389, ""台銀籌備帳戶|玉山帳戶""), REGEXMATCH(C11389, ""薪資"")), ""分潤支出"",
  AND(REGEXMATCH(E11389, ""Ben帳戶|Elsa帳戶|Ben代墊|Ariel代墊|中信銀行共用""), REGEXMATCH(F11389, ""Ben帳戶|Elsa帳戶|Ben代墊|Ariel代墊|中信銀行共用"")), ""內部轉帳(忽略)"",
  AND(E11389&lt;&gt;"""", F11389&lt;&gt;"&amp;""""", NOT(REGEXMATCH(C11389, ""薪資""))), ""內部轉帳(忽略)"",
  REGEXMATCH(C11389, ""薪資""), ""薪資變動(不計入)"",
  REGEXMATCH(C11389, ""押金""), ""押金往來"",
  AND(E11389&lt;&gt;"""", F11389=""""), ""真實支出"",
  AND(E11389="""", F11389&lt;&gt;""""), ""真實收入"",
  TRUE, ""其他""
)"),"其他")</f>
        <v>其他</v>
      </c>
      <c r="K11389" s="270" t="str">
        <f t="shared" si="2"/>
        <v/>
      </c>
      <c r="L11389">
        <f t="shared" si="3"/>
        <v>0</v>
      </c>
    </row>
    <row r="11390">
      <c r="A11390" s="107"/>
      <c r="D11390" s="270"/>
      <c r="H11390" s="106" t="str">
        <f t="shared" si="1"/>
        <v/>
      </c>
      <c r="J11390" t="str">
        <f>IFERROR(__xludf.DUMMYFUNCTION("IFS(
  AND(REGEXMATCH(E11390, ""台銀籌備帳戶|玉山帳戶""), REGEXMATCH(C11390, ""薪資"")), ""分潤支出"",
  AND(REGEXMATCH(E11390, ""Ben帳戶|Elsa帳戶|Ben代墊|Ariel代墊|中信銀行共用""), REGEXMATCH(F11390, ""Ben帳戶|Elsa帳戶|Ben代墊|Ariel代墊|中信銀行共用"")), ""內部轉帳(忽略)"",
  AND(E11390&lt;&gt;"""", F11390&lt;&gt;"&amp;""""", NOT(REGEXMATCH(C11390, ""薪資""))), ""內部轉帳(忽略)"",
  REGEXMATCH(C11390, ""薪資""), ""薪資變動(不計入)"",
  REGEXMATCH(C11390, ""押金""), ""押金往來"",
  AND(E11390&lt;&gt;"""", F11390=""""), ""真實支出"",
  AND(E11390="""", F11390&lt;&gt;""""), ""真實收入"",
  TRUE, ""其他""
)"),"其他")</f>
        <v>其他</v>
      </c>
      <c r="K11390" s="270" t="str">
        <f t="shared" si="2"/>
        <v/>
      </c>
      <c r="L11390">
        <f t="shared" si="3"/>
        <v>0</v>
      </c>
    </row>
    <row r="11391">
      <c r="A11391" s="107"/>
      <c r="D11391" s="270"/>
      <c r="H11391" s="106" t="str">
        <f t="shared" si="1"/>
        <v/>
      </c>
      <c r="J11391" t="str">
        <f>IFERROR(__xludf.DUMMYFUNCTION("IFS(
  AND(REGEXMATCH(E11391, ""台銀籌備帳戶|玉山帳戶""), REGEXMATCH(C11391, ""薪資"")), ""分潤支出"",
  AND(REGEXMATCH(E11391, ""Ben帳戶|Elsa帳戶|Ben代墊|Ariel代墊|中信銀行共用""), REGEXMATCH(F11391, ""Ben帳戶|Elsa帳戶|Ben代墊|Ariel代墊|中信銀行共用"")), ""內部轉帳(忽略)"",
  AND(E11391&lt;&gt;"""", F11391&lt;&gt;"&amp;""""", NOT(REGEXMATCH(C11391, ""薪資""))), ""內部轉帳(忽略)"",
  REGEXMATCH(C11391, ""薪資""), ""薪資變動(不計入)"",
  REGEXMATCH(C11391, ""押金""), ""押金往來"",
  AND(E11391&lt;&gt;"""", F11391=""""), ""真實支出"",
  AND(E11391="""", F11391&lt;&gt;""""), ""真實收入"",
  TRUE, ""其他""
)"),"其他")</f>
        <v>其他</v>
      </c>
      <c r="K11391" s="270" t="str">
        <f t="shared" si="2"/>
        <v/>
      </c>
      <c r="L11391">
        <f t="shared" si="3"/>
        <v>0</v>
      </c>
    </row>
    <row r="11392">
      <c r="A11392" s="107"/>
      <c r="D11392" s="270"/>
      <c r="H11392" s="106" t="str">
        <f t="shared" si="1"/>
        <v/>
      </c>
      <c r="J11392" t="str">
        <f>IFERROR(__xludf.DUMMYFUNCTION("IFS(
  AND(REGEXMATCH(E11392, ""台銀籌備帳戶|玉山帳戶""), REGEXMATCH(C11392, ""薪資"")), ""分潤支出"",
  AND(REGEXMATCH(E11392, ""Ben帳戶|Elsa帳戶|Ben代墊|Ariel代墊|中信銀行共用""), REGEXMATCH(F11392, ""Ben帳戶|Elsa帳戶|Ben代墊|Ariel代墊|中信銀行共用"")), ""內部轉帳(忽略)"",
  AND(E11392&lt;&gt;"""", F11392&lt;&gt;"&amp;""""", NOT(REGEXMATCH(C11392, ""薪資""))), ""內部轉帳(忽略)"",
  REGEXMATCH(C11392, ""薪資""), ""薪資變動(不計入)"",
  REGEXMATCH(C11392, ""押金""), ""押金往來"",
  AND(E11392&lt;&gt;"""", F11392=""""), ""真實支出"",
  AND(E11392="""", F11392&lt;&gt;""""), ""真實收入"",
  TRUE, ""其他""
)"),"其他")</f>
        <v>其他</v>
      </c>
      <c r="K11392" s="270" t="str">
        <f t="shared" si="2"/>
        <v/>
      </c>
      <c r="L11392">
        <f t="shared" si="3"/>
        <v>0</v>
      </c>
    </row>
    <row r="11393">
      <c r="A11393" s="107"/>
      <c r="D11393" s="270"/>
      <c r="H11393" s="106" t="str">
        <f t="shared" si="1"/>
        <v/>
      </c>
      <c r="J11393" t="str">
        <f>IFERROR(__xludf.DUMMYFUNCTION("IFS(
  AND(REGEXMATCH(E11393, ""台銀籌備帳戶|玉山帳戶""), REGEXMATCH(C11393, ""薪資"")), ""分潤支出"",
  AND(REGEXMATCH(E11393, ""Ben帳戶|Elsa帳戶|Ben代墊|Ariel代墊|中信銀行共用""), REGEXMATCH(F11393, ""Ben帳戶|Elsa帳戶|Ben代墊|Ariel代墊|中信銀行共用"")), ""內部轉帳(忽略)"",
  AND(E11393&lt;&gt;"""", F11393&lt;&gt;"&amp;""""", NOT(REGEXMATCH(C11393, ""薪資""))), ""內部轉帳(忽略)"",
  REGEXMATCH(C11393, ""薪資""), ""薪資變動(不計入)"",
  REGEXMATCH(C11393, ""押金""), ""押金往來"",
  AND(E11393&lt;&gt;"""", F11393=""""), ""真實支出"",
  AND(E11393="""", F11393&lt;&gt;""""), ""真實收入"",
  TRUE, ""其他""
)"),"其他")</f>
        <v>其他</v>
      </c>
      <c r="K11393" s="270" t="str">
        <f t="shared" si="2"/>
        <v/>
      </c>
      <c r="L11393">
        <f t="shared" si="3"/>
        <v>0</v>
      </c>
    </row>
    <row r="11394">
      <c r="A11394" s="107"/>
      <c r="D11394" s="270"/>
      <c r="H11394" s="106" t="str">
        <f t="shared" si="1"/>
        <v/>
      </c>
      <c r="J11394" t="str">
        <f>IFERROR(__xludf.DUMMYFUNCTION("IFS(
  AND(REGEXMATCH(E11394, ""台銀籌備帳戶|玉山帳戶""), REGEXMATCH(C11394, ""薪資"")), ""分潤支出"",
  AND(REGEXMATCH(E11394, ""Ben帳戶|Elsa帳戶|Ben代墊|Ariel代墊|中信銀行共用""), REGEXMATCH(F11394, ""Ben帳戶|Elsa帳戶|Ben代墊|Ariel代墊|中信銀行共用"")), ""內部轉帳(忽略)"",
  AND(E11394&lt;&gt;"""", F11394&lt;&gt;"&amp;""""", NOT(REGEXMATCH(C11394, ""薪資""))), ""內部轉帳(忽略)"",
  REGEXMATCH(C11394, ""薪資""), ""薪資變動(不計入)"",
  REGEXMATCH(C11394, ""押金""), ""押金往來"",
  AND(E11394&lt;&gt;"""", F11394=""""), ""真實支出"",
  AND(E11394="""", F11394&lt;&gt;""""), ""真實收入"",
  TRUE, ""其他""
)"),"其他")</f>
        <v>其他</v>
      </c>
      <c r="K11394" s="270" t="str">
        <f t="shared" si="2"/>
        <v/>
      </c>
      <c r="L11394">
        <f t="shared" si="3"/>
        <v>0</v>
      </c>
    </row>
    <row r="11395">
      <c r="A11395" s="107"/>
      <c r="D11395" s="270"/>
      <c r="H11395" s="106" t="str">
        <f t="shared" si="1"/>
        <v/>
      </c>
      <c r="J11395" t="str">
        <f>IFERROR(__xludf.DUMMYFUNCTION("IFS(
  AND(REGEXMATCH(E11395, ""台銀籌備帳戶|玉山帳戶""), REGEXMATCH(C11395, ""薪資"")), ""分潤支出"",
  AND(REGEXMATCH(E11395, ""Ben帳戶|Elsa帳戶|Ben代墊|Ariel代墊|中信銀行共用""), REGEXMATCH(F11395, ""Ben帳戶|Elsa帳戶|Ben代墊|Ariel代墊|中信銀行共用"")), ""內部轉帳(忽略)"",
  AND(E11395&lt;&gt;"""", F11395&lt;&gt;"&amp;""""", NOT(REGEXMATCH(C11395, ""薪資""))), ""內部轉帳(忽略)"",
  REGEXMATCH(C11395, ""薪資""), ""薪資變動(不計入)"",
  REGEXMATCH(C11395, ""押金""), ""押金往來"",
  AND(E11395&lt;&gt;"""", F11395=""""), ""真實支出"",
  AND(E11395="""", F11395&lt;&gt;""""), ""真實收入"",
  TRUE, ""其他""
)"),"其他")</f>
        <v>其他</v>
      </c>
      <c r="K11395" s="270" t="str">
        <f t="shared" si="2"/>
        <v/>
      </c>
      <c r="L11395">
        <f t="shared" si="3"/>
        <v>0</v>
      </c>
    </row>
    <row r="11396">
      <c r="A11396" s="107"/>
      <c r="D11396" s="270"/>
      <c r="H11396" s="106" t="str">
        <f t="shared" si="1"/>
        <v/>
      </c>
      <c r="J11396" t="str">
        <f>IFERROR(__xludf.DUMMYFUNCTION("IFS(
  AND(REGEXMATCH(E11396, ""台銀籌備帳戶|玉山帳戶""), REGEXMATCH(C11396, ""薪資"")), ""分潤支出"",
  AND(REGEXMATCH(E11396, ""Ben帳戶|Elsa帳戶|Ben代墊|Ariel代墊|中信銀行共用""), REGEXMATCH(F11396, ""Ben帳戶|Elsa帳戶|Ben代墊|Ariel代墊|中信銀行共用"")), ""內部轉帳(忽略)"",
  AND(E11396&lt;&gt;"""", F11396&lt;&gt;"&amp;""""", NOT(REGEXMATCH(C11396, ""薪資""))), ""內部轉帳(忽略)"",
  REGEXMATCH(C11396, ""薪資""), ""薪資變動(不計入)"",
  REGEXMATCH(C11396, ""押金""), ""押金往來"",
  AND(E11396&lt;&gt;"""", F11396=""""), ""真實支出"",
  AND(E11396="""", F11396&lt;&gt;""""), ""真實收入"",
  TRUE, ""其他""
)"),"其他")</f>
        <v>其他</v>
      </c>
      <c r="K11396" s="270" t="str">
        <f t="shared" si="2"/>
        <v/>
      </c>
      <c r="L11396">
        <f t="shared" si="3"/>
        <v>0</v>
      </c>
    </row>
    <row r="11397">
      <c r="A11397" s="107"/>
      <c r="D11397" s="270"/>
      <c r="H11397" s="106" t="str">
        <f t="shared" si="1"/>
        <v/>
      </c>
      <c r="J11397" t="str">
        <f>IFERROR(__xludf.DUMMYFUNCTION("IFS(
  AND(REGEXMATCH(E11397, ""台銀籌備帳戶|玉山帳戶""), REGEXMATCH(C11397, ""薪資"")), ""分潤支出"",
  AND(REGEXMATCH(E11397, ""Ben帳戶|Elsa帳戶|Ben代墊|Ariel代墊|中信銀行共用""), REGEXMATCH(F11397, ""Ben帳戶|Elsa帳戶|Ben代墊|Ariel代墊|中信銀行共用"")), ""內部轉帳(忽略)"",
  AND(E11397&lt;&gt;"""", F11397&lt;&gt;"&amp;""""", NOT(REGEXMATCH(C11397, ""薪資""))), ""內部轉帳(忽略)"",
  REGEXMATCH(C11397, ""薪資""), ""薪資變動(不計入)"",
  REGEXMATCH(C11397, ""押金""), ""押金往來"",
  AND(E11397&lt;&gt;"""", F11397=""""), ""真實支出"",
  AND(E11397="""", F11397&lt;&gt;""""), ""真實收入"",
  TRUE, ""其他""
)"),"其他")</f>
        <v>其他</v>
      </c>
      <c r="K11397" s="270" t="str">
        <f t="shared" si="2"/>
        <v/>
      </c>
      <c r="L11397">
        <f t="shared" si="3"/>
        <v>0</v>
      </c>
    </row>
    <row r="11398">
      <c r="A11398" s="107"/>
      <c r="D11398" s="270"/>
      <c r="H11398" s="106" t="str">
        <f t="shared" si="1"/>
        <v/>
      </c>
      <c r="J11398" t="str">
        <f>IFERROR(__xludf.DUMMYFUNCTION("IFS(
  AND(REGEXMATCH(E11398, ""台銀籌備帳戶|玉山帳戶""), REGEXMATCH(C11398, ""薪資"")), ""分潤支出"",
  AND(REGEXMATCH(E11398, ""Ben帳戶|Elsa帳戶|Ben代墊|Ariel代墊|中信銀行共用""), REGEXMATCH(F11398, ""Ben帳戶|Elsa帳戶|Ben代墊|Ariel代墊|中信銀行共用"")), ""內部轉帳(忽略)"",
  AND(E11398&lt;&gt;"""", F11398&lt;&gt;"&amp;""""", NOT(REGEXMATCH(C11398, ""薪資""))), ""內部轉帳(忽略)"",
  REGEXMATCH(C11398, ""薪資""), ""薪資變動(不計入)"",
  REGEXMATCH(C11398, ""押金""), ""押金往來"",
  AND(E11398&lt;&gt;"""", F11398=""""), ""真實支出"",
  AND(E11398="""", F11398&lt;&gt;""""), ""真實收入"",
  TRUE, ""其他""
)"),"其他")</f>
        <v>其他</v>
      </c>
      <c r="K11398" s="270" t="str">
        <f t="shared" si="2"/>
        <v/>
      </c>
      <c r="L11398">
        <f t="shared" si="3"/>
        <v>0</v>
      </c>
    </row>
    <row r="11399">
      <c r="A11399" s="107"/>
      <c r="D11399" s="270"/>
      <c r="H11399" s="106" t="str">
        <f t="shared" si="1"/>
        <v/>
      </c>
      <c r="J11399" t="str">
        <f>IFERROR(__xludf.DUMMYFUNCTION("IFS(
  AND(REGEXMATCH(E11399, ""台銀籌備帳戶|玉山帳戶""), REGEXMATCH(C11399, ""薪資"")), ""分潤支出"",
  AND(REGEXMATCH(E11399, ""Ben帳戶|Elsa帳戶|Ben代墊|Ariel代墊|中信銀行共用""), REGEXMATCH(F11399, ""Ben帳戶|Elsa帳戶|Ben代墊|Ariel代墊|中信銀行共用"")), ""內部轉帳(忽略)"",
  AND(E11399&lt;&gt;"""", F11399&lt;&gt;"&amp;""""", NOT(REGEXMATCH(C11399, ""薪資""))), ""內部轉帳(忽略)"",
  REGEXMATCH(C11399, ""薪資""), ""薪資變動(不計入)"",
  REGEXMATCH(C11399, ""押金""), ""押金往來"",
  AND(E11399&lt;&gt;"""", F11399=""""), ""真實支出"",
  AND(E11399="""", F11399&lt;&gt;""""), ""真實收入"",
  TRUE, ""其他""
)"),"其他")</f>
        <v>其他</v>
      </c>
      <c r="K11399" s="270" t="str">
        <f t="shared" si="2"/>
        <v/>
      </c>
      <c r="L11399">
        <f t="shared" si="3"/>
        <v>0</v>
      </c>
    </row>
    <row r="11400">
      <c r="A11400" s="107"/>
      <c r="D11400" s="270"/>
      <c r="H11400" s="106" t="str">
        <f t="shared" si="1"/>
        <v/>
      </c>
      <c r="J11400" t="str">
        <f>IFERROR(__xludf.DUMMYFUNCTION("IFS(
  AND(REGEXMATCH(E11400, ""台銀籌備帳戶|玉山帳戶""), REGEXMATCH(C11400, ""薪資"")), ""分潤支出"",
  AND(REGEXMATCH(E11400, ""Ben帳戶|Elsa帳戶|Ben代墊|Ariel代墊|中信銀行共用""), REGEXMATCH(F11400, ""Ben帳戶|Elsa帳戶|Ben代墊|Ariel代墊|中信銀行共用"")), ""內部轉帳(忽略)"",
  AND(E11400&lt;&gt;"""", F11400&lt;&gt;"&amp;""""", NOT(REGEXMATCH(C11400, ""薪資""))), ""內部轉帳(忽略)"",
  REGEXMATCH(C11400, ""薪資""), ""薪資變動(不計入)"",
  REGEXMATCH(C11400, ""押金""), ""押金往來"",
  AND(E11400&lt;&gt;"""", F11400=""""), ""真實支出"",
  AND(E11400="""", F11400&lt;&gt;""""), ""真實收入"",
  TRUE, ""其他""
)"),"其他")</f>
        <v>其他</v>
      </c>
      <c r="K11400" s="270" t="str">
        <f t="shared" si="2"/>
        <v/>
      </c>
      <c r="L11400">
        <f t="shared" si="3"/>
        <v>0</v>
      </c>
    </row>
    <row r="11401">
      <c r="A11401" s="107"/>
      <c r="D11401" s="270"/>
      <c r="H11401" s="106" t="str">
        <f t="shared" si="1"/>
        <v/>
      </c>
      <c r="J11401" t="str">
        <f>IFERROR(__xludf.DUMMYFUNCTION("IFS(
  AND(REGEXMATCH(E11401, ""台銀籌備帳戶|玉山帳戶""), REGEXMATCH(C11401, ""薪資"")), ""分潤支出"",
  AND(REGEXMATCH(E11401, ""Ben帳戶|Elsa帳戶|Ben代墊|Ariel代墊|中信銀行共用""), REGEXMATCH(F11401, ""Ben帳戶|Elsa帳戶|Ben代墊|Ariel代墊|中信銀行共用"")), ""內部轉帳(忽略)"",
  AND(E11401&lt;&gt;"""", F11401&lt;&gt;"&amp;""""", NOT(REGEXMATCH(C11401, ""薪資""))), ""內部轉帳(忽略)"",
  REGEXMATCH(C11401, ""薪資""), ""薪資變動(不計入)"",
  REGEXMATCH(C11401, ""押金""), ""押金往來"",
  AND(E11401&lt;&gt;"""", F11401=""""), ""真實支出"",
  AND(E11401="""", F11401&lt;&gt;""""), ""真實收入"",
  TRUE, ""其他""
)"),"其他")</f>
        <v>其他</v>
      </c>
      <c r="K11401" s="270" t="str">
        <f t="shared" si="2"/>
        <v/>
      </c>
      <c r="L11401">
        <f t="shared" si="3"/>
        <v>0</v>
      </c>
    </row>
    <row r="11402">
      <c r="A11402" s="107"/>
      <c r="D11402" s="270"/>
      <c r="H11402" s="106" t="str">
        <f t="shared" si="1"/>
        <v/>
      </c>
      <c r="J11402" t="str">
        <f>IFERROR(__xludf.DUMMYFUNCTION("IFS(
  AND(REGEXMATCH(E11402, ""台銀籌備帳戶|玉山帳戶""), REGEXMATCH(C11402, ""薪資"")), ""分潤支出"",
  AND(REGEXMATCH(E11402, ""Ben帳戶|Elsa帳戶|Ben代墊|Ariel代墊|中信銀行共用""), REGEXMATCH(F11402, ""Ben帳戶|Elsa帳戶|Ben代墊|Ariel代墊|中信銀行共用"")), ""內部轉帳(忽略)"",
  AND(E11402&lt;&gt;"""", F11402&lt;&gt;"&amp;""""", NOT(REGEXMATCH(C11402, ""薪資""))), ""內部轉帳(忽略)"",
  REGEXMATCH(C11402, ""薪資""), ""薪資變動(不計入)"",
  REGEXMATCH(C11402, ""押金""), ""押金往來"",
  AND(E11402&lt;&gt;"""", F11402=""""), ""真實支出"",
  AND(E11402="""", F11402&lt;&gt;""""), ""真實收入"",
  TRUE, ""其他""
)"),"其他")</f>
        <v>其他</v>
      </c>
      <c r="K11402" s="270" t="str">
        <f t="shared" si="2"/>
        <v/>
      </c>
      <c r="L11402">
        <f t="shared" si="3"/>
        <v>0</v>
      </c>
    </row>
    <row r="11403">
      <c r="A11403" s="107"/>
      <c r="D11403" s="270"/>
      <c r="H11403" s="106" t="str">
        <f t="shared" si="1"/>
        <v/>
      </c>
      <c r="J11403" t="str">
        <f>IFERROR(__xludf.DUMMYFUNCTION("IFS(
  AND(REGEXMATCH(E11403, ""台銀籌備帳戶|玉山帳戶""), REGEXMATCH(C11403, ""薪資"")), ""分潤支出"",
  AND(REGEXMATCH(E11403, ""Ben帳戶|Elsa帳戶|Ben代墊|Ariel代墊|中信銀行共用""), REGEXMATCH(F11403, ""Ben帳戶|Elsa帳戶|Ben代墊|Ariel代墊|中信銀行共用"")), ""內部轉帳(忽略)"",
  AND(E11403&lt;&gt;"""", F11403&lt;&gt;"&amp;""""", NOT(REGEXMATCH(C11403, ""薪資""))), ""內部轉帳(忽略)"",
  REGEXMATCH(C11403, ""薪資""), ""薪資變動(不計入)"",
  REGEXMATCH(C11403, ""押金""), ""押金往來"",
  AND(E11403&lt;&gt;"""", F11403=""""), ""真實支出"",
  AND(E11403="""", F11403&lt;&gt;""""), ""真實收入"",
  TRUE, ""其他""
)"),"其他")</f>
        <v>其他</v>
      </c>
      <c r="K11403" s="270" t="str">
        <f t="shared" si="2"/>
        <v/>
      </c>
      <c r="L11403">
        <f t="shared" si="3"/>
        <v>0</v>
      </c>
    </row>
    <row r="11404">
      <c r="A11404" s="107"/>
      <c r="D11404" s="270"/>
      <c r="H11404" s="106" t="str">
        <f t="shared" si="1"/>
        <v/>
      </c>
      <c r="J11404" t="str">
        <f>IFERROR(__xludf.DUMMYFUNCTION("IFS(
  AND(REGEXMATCH(E11404, ""台銀籌備帳戶|玉山帳戶""), REGEXMATCH(C11404, ""薪資"")), ""分潤支出"",
  AND(REGEXMATCH(E11404, ""Ben帳戶|Elsa帳戶|Ben代墊|Ariel代墊|中信銀行共用""), REGEXMATCH(F11404, ""Ben帳戶|Elsa帳戶|Ben代墊|Ariel代墊|中信銀行共用"")), ""內部轉帳(忽略)"",
  AND(E11404&lt;&gt;"""", F11404&lt;&gt;"&amp;""""", NOT(REGEXMATCH(C11404, ""薪資""))), ""內部轉帳(忽略)"",
  REGEXMATCH(C11404, ""薪資""), ""薪資變動(不計入)"",
  REGEXMATCH(C11404, ""押金""), ""押金往來"",
  AND(E11404&lt;&gt;"""", F11404=""""), ""真實支出"",
  AND(E11404="""", F11404&lt;&gt;""""), ""真實收入"",
  TRUE, ""其他""
)"),"其他")</f>
        <v>其他</v>
      </c>
      <c r="K11404" s="270" t="str">
        <f t="shared" si="2"/>
        <v/>
      </c>
      <c r="L11404">
        <f t="shared" si="3"/>
        <v>0</v>
      </c>
    </row>
    <row r="11405">
      <c r="A11405" s="107"/>
      <c r="D11405" s="270"/>
      <c r="H11405" s="106" t="str">
        <f t="shared" si="1"/>
        <v/>
      </c>
      <c r="J11405" t="str">
        <f>IFERROR(__xludf.DUMMYFUNCTION("IFS(
  AND(REGEXMATCH(E11405, ""台銀籌備帳戶|玉山帳戶""), REGEXMATCH(C11405, ""薪資"")), ""分潤支出"",
  AND(REGEXMATCH(E11405, ""Ben帳戶|Elsa帳戶|Ben代墊|Ariel代墊|中信銀行共用""), REGEXMATCH(F11405, ""Ben帳戶|Elsa帳戶|Ben代墊|Ariel代墊|中信銀行共用"")), ""內部轉帳(忽略)"",
  AND(E11405&lt;&gt;"""", F11405&lt;&gt;"&amp;""""", NOT(REGEXMATCH(C11405, ""薪資""))), ""內部轉帳(忽略)"",
  REGEXMATCH(C11405, ""薪資""), ""薪資變動(不計入)"",
  REGEXMATCH(C11405, ""押金""), ""押金往來"",
  AND(E11405&lt;&gt;"""", F11405=""""), ""真實支出"",
  AND(E11405="""", F11405&lt;&gt;""""), ""真實收入"",
  TRUE, ""其他""
)"),"其他")</f>
        <v>其他</v>
      </c>
      <c r="K11405" s="270" t="str">
        <f t="shared" si="2"/>
        <v/>
      </c>
      <c r="L11405">
        <f t="shared" si="3"/>
        <v>0</v>
      </c>
    </row>
    <row r="11406">
      <c r="A11406" s="107"/>
      <c r="D11406" s="270"/>
      <c r="H11406" s="106" t="str">
        <f t="shared" si="1"/>
        <v/>
      </c>
      <c r="J11406" t="str">
        <f>IFERROR(__xludf.DUMMYFUNCTION("IFS(
  AND(REGEXMATCH(E11406, ""台銀籌備帳戶|玉山帳戶""), REGEXMATCH(C11406, ""薪資"")), ""分潤支出"",
  AND(REGEXMATCH(E11406, ""Ben帳戶|Elsa帳戶|Ben代墊|Ariel代墊|中信銀行共用""), REGEXMATCH(F11406, ""Ben帳戶|Elsa帳戶|Ben代墊|Ariel代墊|中信銀行共用"")), ""內部轉帳(忽略)"",
  AND(E11406&lt;&gt;"""", F11406&lt;&gt;"&amp;""""", NOT(REGEXMATCH(C11406, ""薪資""))), ""內部轉帳(忽略)"",
  REGEXMATCH(C11406, ""薪資""), ""薪資變動(不計入)"",
  REGEXMATCH(C11406, ""押金""), ""押金往來"",
  AND(E11406&lt;&gt;"""", F11406=""""), ""真實支出"",
  AND(E11406="""", F11406&lt;&gt;""""), ""真實收入"",
  TRUE, ""其他""
)"),"其他")</f>
        <v>其他</v>
      </c>
      <c r="K11406" s="270" t="str">
        <f t="shared" si="2"/>
        <v/>
      </c>
      <c r="L11406">
        <f t="shared" si="3"/>
        <v>0</v>
      </c>
    </row>
    <row r="11407">
      <c r="A11407" s="107"/>
      <c r="D11407" s="270"/>
      <c r="H11407" s="106" t="str">
        <f t="shared" si="1"/>
        <v/>
      </c>
      <c r="J11407" t="str">
        <f>IFERROR(__xludf.DUMMYFUNCTION("IFS(
  AND(REGEXMATCH(E11407, ""台銀籌備帳戶|玉山帳戶""), REGEXMATCH(C11407, ""薪資"")), ""分潤支出"",
  AND(REGEXMATCH(E11407, ""Ben帳戶|Elsa帳戶|Ben代墊|Ariel代墊|中信銀行共用""), REGEXMATCH(F11407, ""Ben帳戶|Elsa帳戶|Ben代墊|Ariel代墊|中信銀行共用"")), ""內部轉帳(忽略)"",
  AND(E11407&lt;&gt;"""", F11407&lt;&gt;"&amp;""""", NOT(REGEXMATCH(C11407, ""薪資""))), ""內部轉帳(忽略)"",
  REGEXMATCH(C11407, ""薪資""), ""薪資變動(不計入)"",
  REGEXMATCH(C11407, ""押金""), ""押金往來"",
  AND(E11407&lt;&gt;"""", F11407=""""), ""真實支出"",
  AND(E11407="""", F11407&lt;&gt;""""), ""真實收入"",
  TRUE, ""其他""
)"),"其他")</f>
        <v>其他</v>
      </c>
      <c r="K11407" s="270" t="str">
        <f t="shared" si="2"/>
        <v/>
      </c>
      <c r="L11407">
        <f t="shared" si="3"/>
        <v>0</v>
      </c>
    </row>
    <row r="11408">
      <c r="A11408" s="107"/>
      <c r="D11408" s="270"/>
      <c r="H11408" s="106" t="str">
        <f t="shared" si="1"/>
        <v/>
      </c>
      <c r="J11408" t="str">
        <f>IFERROR(__xludf.DUMMYFUNCTION("IFS(
  AND(REGEXMATCH(E11408, ""台銀籌備帳戶|玉山帳戶""), REGEXMATCH(C11408, ""薪資"")), ""分潤支出"",
  AND(REGEXMATCH(E11408, ""Ben帳戶|Elsa帳戶|Ben代墊|Ariel代墊|中信銀行共用""), REGEXMATCH(F11408, ""Ben帳戶|Elsa帳戶|Ben代墊|Ariel代墊|中信銀行共用"")), ""內部轉帳(忽略)"",
  AND(E11408&lt;&gt;"""", F11408&lt;&gt;"&amp;""""", NOT(REGEXMATCH(C11408, ""薪資""))), ""內部轉帳(忽略)"",
  REGEXMATCH(C11408, ""薪資""), ""薪資變動(不計入)"",
  REGEXMATCH(C11408, ""押金""), ""押金往來"",
  AND(E11408&lt;&gt;"""", F11408=""""), ""真實支出"",
  AND(E11408="""", F11408&lt;&gt;""""), ""真實收入"",
  TRUE, ""其他""
)"),"其他")</f>
        <v>其他</v>
      </c>
      <c r="K11408" s="270" t="str">
        <f t="shared" si="2"/>
        <v/>
      </c>
      <c r="L11408">
        <f t="shared" si="3"/>
        <v>0</v>
      </c>
    </row>
    <row r="11409">
      <c r="A11409" s="107"/>
      <c r="D11409" s="270"/>
      <c r="H11409" s="106" t="str">
        <f t="shared" si="1"/>
        <v/>
      </c>
      <c r="J11409" t="str">
        <f>IFERROR(__xludf.DUMMYFUNCTION("IFS(
  AND(REGEXMATCH(E11409, ""台銀籌備帳戶|玉山帳戶""), REGEXMATCH(C11409, ""薪資"")), ""分潤支出"",
  AND(REGEXMATCH(E11409, ""Ben帳戶|Elsa帳戶|Ben代墊|Ariel代墊|中信銀行共用""), REGEXMATCH(F11409, ""Ben帳戶|Elsa帳戶|Ben代墊|Ariel代墊|中信銀行共用"")), ""內部轉帳(忽略)"",
  AND(E11409&lt;&gt;"""", F11409&lt;&gt;"&amp;""""", NOT(REGEXMATCH(C11409, ""薪資""))), ""內部轉帳(忽略)"",
  REGEXMATCH(C11409, ""薪資""), ""薪資變動(不計入)"",
  REGEXMATCH(C11409, ""押金""), ""押金往來"",
  AND(E11409&lt;&gt;"""", F11409=""""), ""真實支出"",
  AND(E11409="""", F11409&lt;&gt;""""), ""真實收入"",
  TRUE, ""其他""
)"),"其他")</f>
        <v>其他</v>
      </c>
      <c r="K11409" s="270" t="str">
        <f t="shared" si="2"/>
        <v/>
      </c>
      <c r="L11409">
        <f t="shared" si="3"/>
        <v>0</v>
      </c>
    </row>
    <row r="11410">
      <c r="A11410" s="107"/>
      <c r="D11410" s="270"/>
      <c r="H11410" s="106" t="str">
        <f t="shared" si="1"/>
        <v/>
      </c>
      <c r="J11410" t="str">
        <f>IFERROR(__xludf.DUMMYFUNCTION("IFS(
  AND(REGEXMATCH(E11410, ""台銀籌備帳戶|玉山帳戶""), REGEXMATCH(C11410, ""薪資"")), ""分潤支出"",
  AND(REGEXMATCH(E11410, ""Ben帳戶|Elsa帳戶|Ben代墊|Ariel代墊|中信銀行共用""), REGEXMATCH(F11410, ""Ben帳戶|Elsa帳戶|Ben代墊|Ariel代墊|中信銀行共用"")), ""內部轉帳(忽略)"",
  AND(E11410&lt;&gt;"""", F11410&lt;&gt;"&amp;""""", NOT(REGEXMATCH(C11410, ""薪資""))), ""內部轉帳(忽略)"",
  REGEXMATCH(C11410, ""薪資""), ""薪資變動(不計入)"",
  REGEXMATCH(C11410, ""押金""), ""押金往來"",
  AND(E11410&lt;&gt;"""", F11410=""""), ""真實支出"",
  AND(E11410="""", F11410&lt;&gt;""""), ""真實收入"",
  TRUE, ""其他""
)"),"其他")</f>
        <v>其他</v>
      </c>
      <c r="K11410" s="270" t="str">
        <f t="shared" si="2"/>
        <v/>
      </c>
      <c r="L11410">
        <f t="shared" si="3"/>
        <v>0</v>
      </c>
    </row>
    <row r="11411">
      <c r="A11411" s="107"/>
      <c r="D11411" s="270"/>
      <c r="H11411" s="106" t="str">
        <f t="shared" si="1"/>
        <v/>
      </c>
      <c r="J11411" t="str">
        <f>IFERROR(__xludf.DUMMYFUNCTION("IFS(
  AND(REGEXMATCH(E11411, ""台銀籌備帳戶|玉山帳戶""), REGEXMATCH(C11411, ""薪資"")), ""分潤支出"",
  AND(REGEXMATCH(E11411, ""Ben帳戶|Elsa帳戶|Ben代墊|Ariel代墊|中信銀行共用""), REGEXMATCH(F11411, ""Ben帳戶|Elsa帳戶|Ben代墊|Ariel代墊|中信銀行共用"")), ""內部轉帳(忽略)"",
  AND(E11411&lt;&gt;"""", F11411&lt;&gt;"&amp;""""", NOT(REGEXMATCH(C11411, ""薪資""))), ""內部轉帳(忽略)"",
  REGEXMATCH(C11411, ""薪資""), ""薪資變動(不計入)"",
  REGEXMATCH(C11411, ""押金""), ""押金往來"",
  AND(E11411&lt;&gt;"""", F11411=""""), ""真實支出"",
  AND(E11411="""", F11411&lt;&gt;""""), ""真實收入"",
  TRUE, ""其他""
)"),"其他")</f>
        <v>其他</v>
      </c>
      <c r="K11411" s="270" t="str">
        <f t="shared" si="2"/>
        <v/>
      </c>
      <c r="L11411">
        <f t="shared" si="3"/>
        <v>0</v>
      </c>
    </row>
    <row r="11412">
      <c r="A11412" s="107"/>
      <c r="D11412" s="270"/>
      <c r="H11412" s="106" t="str">
        <f t="shared" si="1"/>
        <v/>
      </c>
      <c r="J11412" t="str">
        <f>IFERROR(__xludf.DUMMYFUNCTION("IFS(
  AND(REGEXMATCH(E11412, ""台銀籌備帳戶|玉山帳戶""), REGEXMATCH(C11412, ""薪資"")), ""分潤支出"",
  AND(REGEXMATCH(E11412, ""Ben帳戶|Elsa帳戶|Ben代墊|Ariel代墊|中信銀行共用""), REGEXMATCH(F11412, ""Ben帳戶|Elsa帳戶|Ben代墊|Ariel代墊|中信銀行共用"")), ""內部轉帳(忽略)"",
  AND(E11412&lt;&gt;"""", F11412&lt;&gt;"&amp;""""", NOT(REGEXMATCH(C11412, ""薪資""))), ""內部轉帳(忽略)"",
  REGEXMATCH(C11412, ""薪資""), ""薪資變動(不計入)"",
  REGEXMATCH(C11412, ""押金""), ""押金往來"",
  AND(E11412&lt;&gt;"""", F11412=""""), ""真實支出"",
  AND(E11412="""", F11412&lt;&gt;""""), ""真實收入"",
  TRUE, ""其他""
)"),"其他")</f>
        <v>其他</v>
      </c>
      <c r="K11412" s="270" t="str">
        <f t="shared" si="2"/>
        <v/>
      </c>
      <c r="L11412">
        <f t="shared" si="3"/>
        <v>0</v>
      </c>
    </row>
    <row r="11413">
      <c r="A11413" s="107"/>
      <c r="D11413" s="270"/>
      <c r="H11413" s="106" t="str">
        <f t="shared" si="1"/>
        <v/>
      </c>
      <c r="J11413" t="str">
        <f>IFERROR(__xludf.DUMMYFUNCTION("IFS(
  AND(REGEXMATCH(E11413, ""台銀籌備帳戶|玉山帳戶""), REGEXMATCH(C11413, ""薪資"")), ""分潤支出"",
  AND(REGEXMATCH(E11413, ""Ben帳戶|Elsa帳戶|Ben代墊|Ariel代墊|中信銀行共用""), REGEXMATCH(F11413, ""Ben帳戶|Elsa帳戶|Ben代墊|Ariel代墊|中信銀行共用"")), ""內部轉帳(忽略)"",
  AND(E11413&lt;&gt;"""", F11413&lt;&gt;"&amp;""""", NOT(REGEXMATCH(C11413, ""薪資""))), ""內部轉帳(忽略)"",
  REGEXMATCH(C11413, ""薪資""), ""薪資變動(不計入)"",
  REGEXMATCH(C11413, ""押金""), ""押金往來"",
  AND(E11413&lt;&gt;"""", F11413=""""), ""真實支出"",
  AND(E11413="""", F11413&lt;&gt;""""), ""真實收入"",
  TRUE, ""其他""
)"),"其他")</f>
        <v>其他</v>
      </c>
      <c r="K11413" s="270" t="str">
        <f t="shared" si="2"/>
        <v/>
      </c>
      <c r="L11413">
        <f t="shared" si="3"/>
        <v>0</v>
      </c>
    </row>
    <row r="11414">
      <c r="A11414" s="107"/>
      <c r="D11414" s="270"/>
      <c r="H11414" s="106" t="str">
        <f t="shared" si="1"/>
        <v/>
      </c>
      <c r="J11414" t="str">
        <f>IFERROR(__xludf.DUMMYFUNCTION("IFS(
  AND(REGEXMATCH(E11414, ""台銀籌備帳戶|玉山帳戶""), REGEXMATCH(C11414, ""薪資"")), ""分潤支出"",
  AND(REGEXMATCH(E11414, ""Ben帳戶|Elsa帳戶|Ben代墊|Ariel代墊|中信銀行共用""), REGEXMATCH(F11414, ""Ben帳戶|Elsa帳戶|Ben代墊|Ariel代墊|中信銀行共用"")), ""內部轉帳(忽略)"",
  AND(E11414&lt;&gt;"""", F11414&lt;&gt;"&amp;""""", NOT(REGEXMATCH(C11414, ""薪資""))), ""內部轉帳(忽略)"",
  REGEXMATCH(C11414, ""薪資""), ""薪資變動(不計入)"",
  REGEXMATCH(C11414, ""押金""), ""押金往來"",
  AND(E11414&lt;&gt;"""", F11414=""""), ""真實支出"",
  AND(E11414="""", F11414&lt;&gt;""""), ""真實收入"",
  TRUE, ""其他""
)"),"其他")</f>
        <v>其他</v>
      </c>
      <c r="K11414" s="270" t="str">
        <f t="shared" si="2"/>
        <v/>
      </c>
      <c r="L11414">
        <f t="shared" si="3"/>
        <v>0</v>
      </c>
    </row>
    <row r="11415">
      <c r="A11415" s="107"/>
      <c r="D11415" s="270"/>
      <c r="H11415" s="106" t="str">
        <f t="shared" si="1"/>
        <v/>
      </c>
      <c r="J11415" t="str">
        <f>IFERROR(__xludf.DUMMYFUNCTION("IFS(
  AND(REGEXMATCH(E11415, ""台銀籌備帳戶|玉山帳戶""), REGEXMATCH(C11415, ""薪資"")), ""分潤支出"",
  AND(REGEXMATCH(E11415, ""Ben帳戶|Elsa帳戶|Ben代墊|Ariel代墊|中信銀行共用""), REGEXMATCH(F11415, ""Ben帳戶|Elsa帳戶|Ben代墊|Ariel代墊|中信銀行共用"")), ""內部轉帳(忽略)"",
  AND(E11415&lt;&gt;"""", F11415&lt;&gt;"&amp;""""", NOT(REGEXMATCH(C11415, ""薪資""))), ""內部轉帳(忽略)"",
  REGEXMATCH(C11415, ""薪資""), ""薪資變動(不計入)"",
  REGEXMATCH(C11415, ""押金""), ""押金往來"",
  AND(E11415&lt;&gt;"""", F11415=""""), ""真實支出"",
  AND(E11415="""", F11415&lt;&gt;""""), ""真實收入"",
  TRUE, ""其他""
)"),"其他")</f>
        <v>其他</v>
      </c>
      <c r="K11415" s="270" t="str">
        <f t="shared" si="2"/>
        <v/>
      </c>
      <c r="L11415">
        <f t="shared" si="3"/>
        <v>0</v>
      </c>
    </row>
    <row r="11416">
      <c r="A11416" s="107"/>
      <c r="D11416" s="270"/>
      <c r="H11416" s="106" t="str">
        <f t="shared" si="1"/>
        <v/>
      </c>
      <c r="J11416" t="str">
        <f>IFERROR(__xludf.DUMMYFUNCTION("IFS(
  AND(REGEXMATCH(E11416, ""台銀籌備帳戶|玉山帳戶""), REGEXMATCH(C11416, ""薪資"")), ""分潤支出"",
  AND(REGEXMATCH(E11416, ""Ben帳戶|Elsa帳戶|Ben代墊|Ariel代墊|中信銀行共用""), REGEXMATCH(F11416, ""Ben帳戶|Elsa帳戶|Ben代墊|Ariel代墊|中信銀行共用"")), ""內部轉帳(忽略)"",
  AND(E11416&lt;&gt;"""", F11416&lt;&gt;"&amp;""""", NOT(REGEXMATCH(C11416, ""薪資""))), ""內部轉帳(忽略)"",
  REGEXMATCH(C11416, ""薪資""), ""薪資變動(不計入)"",
  REGEXMATCH(C11416, ""押金""), ""押金往來"",
  AND(E11416&lt;&gt;"""", F11416=""""), ""真實支出"",
  AND(E11416="""", F11416&lt;&gt;""""), ""真實收入"",
  TRUE, ""其他""
)"),"其他")</f>
        <v>其他</v>
      </c>
      <c r="K11416" s="270" t="str">
        <f t="shared" si="2"/>
        <v/>
      </c>
      <c r="L11416">
        <f t="shared" si="3"/>
        <v>0</v>
      </c>
    </row>
    <row r="11417">
      <c r="A11417" s="107"/>
      <c r="D11417" s="270"/>
      <c r="H11417" s="106" t="str">
        <f t="shared" si="1"/>
        <v/>
      </c>
      <c r="J11417" t="str">
        <f>IFERROR(__xludf.DUMMYFUNCTION("IFS(
  AND(REGEXMATCH(E11417, ""台銀籌備帳戶|玉山帳戶""), REGEXMATCH(C11417, ""薪資"")), ""分潤支出"",
  AND(REGEXMATCH(E11417, ""Ben帳戶|Elsa帳戶|Ben代墊|Ariel代墊|中信銀行共用""), REGEXMATCH(F11417, ""Ben帳戶|Elsa帳戶|Ben代墊|Ariel代墊|中信銀行共用"")), ""內部轉帳(忽略)"",
  AND(E11417&lt;&gt;"""", F11417&lt;&gt;"&amp;""""", NOT(REGEXMATCH(C11417, ""薪資""))), ""內部轉帳(忽略)"",
  REGEXMATCH(C11417, ""薪資""), ""薪資變動(不計入)"",
  REGEXMATCH(C11417, ""押金""), ""押金往來"",
  AND(E11417&lt;&gt;"""", F11417=""""), ""真實支出"",
  AND(E11417="""", F11417&lt;&gt;""""), ""真實收入"",
  TRUE, ""其他""
)"),"其他")</f>
        <v>其他</v>
      </c>
      <c r="K11417" s="270" t="str">
        <f t="shared" si="2"/>
        <v/>
      </c>
      <c r="L11417">
        <f t="shared" si="3"/>
        <v>0</v>
      </c>
    </row>
    <row r="11418">
      <c r="A11418" s="107"/>
      <c r="D11418" s="270"/>
      <c r="H11418" s="106" t="str">
        <f t="shared" si="1"/>
        <v/>
      </c>
      <c r="J11418" t="str">
        <f>IFERROR(__xludf.DUMMYFUNCTION("IFS(
  AND(REGEXMATCH(E11418, ""台銀籌備帳戶|玉山帳戶""), REGEXMATCH(C11418, ""薪資"")), ""分潤支出"",
  AND(REGEXMATCH(E11418, ""Ben帳戶|Elsa帳戶|Ben代墊|Ariel代墊|中信銀行共用""), REGEXMATCH(F11418, ""Ben帳戶|Elsa帳戶|Ben代墊|Ariel代墊|中信銀行共用"")), ""內部轉帳(忽略)"",
  AND(E11418&lt;&gt;"""", F11418&lt;&gt;"&amp;""""", NOT(REGEXMATCH(C11418, ""薪資""))), ""內部轉帳(忽略)"",
  REGEXMATCH(C11418, ""薪資""), ""薪資變動(不計入)"",
  REGEXMATCH(C11418, ""押金""), ""押金往來"",
  AND(E11418&lt;&gt;"""", F11418=""""), ""真實支出"",
  AND(E11418="""", F11418&lt;&gt;""""), ""真實收入"",
  TRUE, ""其他""
)"),"其他")</f>
        <v>其他</v>
      </c>
      <c r="K11418" s="270" t="str">
        <f t="shared" si="2"/>
        <v/>
      </c>
      <c r="L11418">
        <f t="shared" si="3"/>
        <v>0</v>
      </c>
    </row>
    <row r="11419">
      <c r="A11419" s="107"/>
      <c r="D11419" s="270"/>
      <c r="H11419" s="106" t="str">
        <f t="shared" si="1"/>
        <v/>
      </c>
      <c r="J11419" t="str">
        <f>IFERROR(__xludf.DUMMYFUNCTION("IFS(
  AND(REGEXMATCH(E11419, ""台銀籌備帳戶|玉山帳戶""), REGEXMATCH(C11419, ""薪資"")), ""分潤支出"",
  AND(REGEXMATCH(E11419, ""Ben帳戶|Elsa帳戶|Ben代墊|Ariel代墊|中信銀行共用""), REGEXMATCH(F11419, ""Ben帳戶|Elsa帳戶|Ben代墊|Ariel代墊|中信銀行共用"")), ""內部轉帳(忽略)"",
  AND(E11419&lt;&gt;"""", F11419&lt;&gt;"&amp;""""", NOT(REGEXMATCH(C11419, ""薪資""))), ""內部轉帳(忽略)"",
  REGEXMATCH(C11419, ""薪資""), ""薪資變動(不計入)"",
  REGEXMATCH(C11419, ""押金""), ""押金往來"",
  AND(E11419&lt;&gt;"""", F11419=""""), ""真實支出"",
  AND(E11419="""", F11419&lt;&gt;""""), ""真實收入"",
  TRUE, ""其他""
)"),"其他")</f>
        <v>其他</v>
      </c>
      <c r="K11419" s="270" t="str">
        <f t="shared" si="2"/>
        <v/>
      </c>
      <c r="L11419">
        <f t="shared" si="3"/>
        <v>0</v>
      </c>
    </row>
    <row r="11420">
      <c r="A11420" s="107"/>
      <c r="D11420" s="270"/>
      <c r="H11420" s="106" t="str">
        <f t="shared" si="1"/>
        <v/>
      </c>
      <c r="J11420" t="str">
        <f>IFERROR(__xludf.DUMMYFUNCTION("IFS(
  AND(REGEXMATCH(E11420, ""台銀籌備帳戶|玉山帳戶""), REGEXMATCH(C11420, ""薪資"")), ""分潤支出"",
  AND(REGEXMATCH(E11420, ""Ben帳戶|Elsa帳戶|Ben代墊|Ariel代墊|中信銀行共用""), REGEXMATCH(F11420, ""Ben帳戶|Elsa帳戶|Ben代墊|Ariel代墊|中信銀行共用"")), ""內部轉帳(忽略)"",
  AND(E11420&lt;&gt;"""", F11420&lt;&gt;"&amp;""""", NOT(REGEXMATCH(C11420, ""薪資""))), ""內部轉帳(忽略)"",
  REGEXMATCH(C11420, ""薪資""), ""薪資變動(不計入)"",
  REGEXMATCH(C11420, ""押金""), ""押金往來"",
  AND(E11420&lt;&gt;"""", F11420=""""), ""真實支出"",
  AND(E11420="""", F11420&lt;&gt;""""), ""真實收入"",
  TRUE, ""其他""
)"),"其他")</f>
        <v>其他</v>
      </c>
      <c r="K11420" s="270" t="str">
        <f t="shared" si="2"/>
        <v/>
      </c>
      <c r="L11420">
        <f t="shared" si="3"/>
        <v>0</v>
      </c>
    </row>
    <row r="11421">
      <c r="A11421" s="107"/>
      <c r="D11421" s="270"/>
      <c r="H11421" s="106" t="str">
        <f t="shared" si="1"/>
        <v/>
      </c>
      <c r="J11421" t="str">
        <f>IFERROR(__xludf.DUMMYFUNCTION("IFS(
  AND(REGEXMATCH(E11421, ""台銀籌備帳戶|玉山帳戶""), REGEXMATCH(C11421, ""薪資"")), ""分潤支出"",
  AND(REGEXMATCH(E11421, ""Ben帳戶|Elsa帳戶|Ben代墊|Ariel代墊|中信銀行共用""), REGEXMATCH(F11421, ""Ben帳戶|Elsa帳戶|Ben代墊|Ariel代墊|中信銀行共用"")), ""內部轉帳(忽略)"",
  AND(E11421&lt;&gt;"""", F11421&lt;&gt;"&amp;""""", NOT(REGEXMATCH(C11421, ""薪資""))), ""內部轉帳(忽略)"",
  REGEXMATCH(C11421, ""薪資""), ""薪資變動(不計入)"",
  REGEXMATCH(C11421, ""押金""), ""押金往來"",
  AND(E11421&lt;&gt;"""", F11421=""""), ""真實支出"",
  AND(E11421="""", F11421&lt;&gt;""""), ""真實收入"",
  TRUE, ""其他""
)"),"其他")</f>
        <v>其他</v>
      </c>
      <c r="K11421" s="270" t="str">
        <f t="shared" si="2"/>
        <v/>
      </c>
      <c r="L11421">
        <f t="shared" si="3"/>
        <v>0</v>
      </c>
    </row>
    <row r="11422">
      <c r="A11422" s="107"/>
      <c r="D11422" s="270"/>
      <c r="H11422" s="106" t="str">
        <f t="shared" si="1"/>
        <v/>
      </c>
      <c r="J11422" t="str">
        <f>IFERROR(__xludf.DUMMYFUNCTION("IFS(
  AND(REGEXMATCH(E11422, ""台銀籌備帳戶|玉山帳戶""), REGEXMATCH(C11422, ""薪資"")), ""分潤支出"",
  AND(REGEXMATCH(E11422, ""Ben帳戶|Elsa帳戶|Ben代墊|Ariel代墊|中信銀行共用""), REGEXMATCH(F11422, ""Ben帳戶|Elsa帳戶|Ben代墊|Ariel代墊|中信銀行共用"")), ""內部轉帳(忽略)"",
  AND(E11422&lt;&gt;"""", F11422&lt;&gt;"&amp;""""", NOT(REGEXMATCH(C11422, ""薪資""))), ""內部轉帳(忽略)"",
  REGEXMATCH(C11422, ""薪資""), ""薪資變動(不計入)"",
  REGEXMATCH(C11422, ""押金""), ""押金往來"",
  AND(E11422&lt;&gt;"""", F11422=""""), ""真實支出"",
  AND(E11422="""", F11422&lt;&gt;""""), ""真實收入"",
  TRUE, ""其他""
)"),"其他")</f>
        <v>其他</v>
      </c>
      <c r="K11422" s="270" t="str">
        <f t="shared" si="2"/>
        <v/>
      </c>
      <c r="L11422">
        <f t="shared" si="3"/>
        <v>0</v>
      </c>
    </row>
    <row r="11423">
      <c r="A11423" s="107"/>
      <c r="D11423" s="270"/>
      <c r="H11423" s="106" t="str">
        <f t="shared" si="1"/>
        <v/>
      </c>
      <c r="J11423" t="str">
        <f>IFERROR(__xludf.DUMMYFUNCTION("IFS(
  AND(REGEXMATCH(E11423, ""台銀籌備帳戶|玉山帳戶""), REGEXMATCH(C11423, ""薪資"")), ""分潤支出"",
  AND(REGEXMATCH(E11423, ""Ben帳戶|Elsa帳戶|Ben代墊|Ariel代墊|中信銀行共用""), REGEXMATCH(F11423, ""Ben帳戶|Elsa帳戶|Ben代墊|Ariel代墊|中信銀行共用"")), ""內部轉帳(忽略)"",
  AND(E11423&lt;&gt;"""", F11423&lt;&gt;"&amp;""""", NOT(REGEXMATCH(C11423, ""薪資""))), ""內部轉帳(忽略)"",
  REGEXMATCH(C11423, ""薪資""), ""薪資變動(不計入)"",
  REGEXMATCH(C11423, ""押金""), ""押金往來"",
  AND(E11423&lt;&gt;"""", F11423=""""), ""真實支出"",
  AND(E11423="""", F11423&lt;&gt;""""), ""真實收入"",
  TRUE, ""其他""
)"),"其他")</f>
        <v>其他</v>
      </c>
      <c r="K11423" s="270" t="str">
        <f t="shared" si="2"/>
        <v/>
      </c>
      <c r="L11423">
        <f t="shared" si="3"/>
        <v>0</v>
      </c>
    </row>
    <row r="11424">
      <c r="A11424" s="107"/>
      <c r="D11424" s="270"/>
      <c r="H11424" s="106" t="str">
        <f t="shared" si="1"/>
        <v/>
      </c>
      <c r="J11424" t="str">
        <f>IFERROR(__xludf.DUMMYFUNCTION("IFS(
  AND(REGEXMATCH(E11424, ""台銀籌備帳戶|玉山帳戶""), REGEXMATCH(C11424, ""薪資"")), ""分潤支出"",
  AND(REGEXMATCH(E11424, ""Ben帳戶|Elsa帳戶|Ben代墊|Ariel代墊|中信銀行共用""), REGEXMATCH(F11424, ""Ben帳戶|Elsa帳戶|Ben代墊|Ariel代墊|中信銀行共用"")), ""內部轉帳(忽略)"",
  AND(E11424&lt;&gt;"""", F11424&lt;&gt;"&amp;""""", NOT(REGEXMATCH(C11424, ""薪資""))), ""內部轉帳(忽略)"",
  REGEXMATCH(C11424, ""薪資""), ""薪資變動(不計入)"",
  REGEXMATCH(C11424, ""押金""), ""押金往來"",
  AND(E11424&lt;&gt;"""", F11424=""""), ""真實支出"",
  AND(E11424="""", F11424&lt;&gt;""""), ""真實收入"",
  TRUE, ""其他""
)"),"其他")</f>
        <v>其他</v>
      </c>
      <c r="K11424" s="270" t="str">
        <f t="shared" si="2"/>
        <v/>
      </c>
      <c r="L11424">
        <f t="shared" si="3"/>
        <v>0</v>
      </c>
    </row>
    <row r="11425">
      <c r="A11425" s="107"/>
      <c r="D11425" s="270"/>
      <c r="H11425" s="106" t="str">
        <f t="shared" si="1"/>
        <v/>
      </c>
      <c r="J11425" t="str">
        <f>IFERROR(__xludf.DUMMYFUNCTION("IFS(
  AND(REGEXMATCH(E11425, ""台銀籌備帳戶|玉山帳戶""), REGEXMATCH(C11425, ""薪資"")), ""分潤支出"",
  AND(REGEXMATCH(E11425, ""Ben帳戶|Elsa帳戶|Ben代墊|Ariel代墊|中信銀行共用""), REGEXMATCH(F11425, ""Ben帳戶|Elsa帳戶|Ben代墊|Ariel代墊|中信銀行共用"")), ""內部轉帳(忽略)"",
  AND(E11425&lt;&gt;"""", F11425&lt;&gt;"&amp;""""", NOT(REGEXMATCH(C11425, ""薪資""))), ""內部轉帳(忽略)"",
  REGEXMATCH(C11425, ""薪資""), ""薪資變動(不計入)"",
  REGEXMATCH(C11425, ""押金""), ""押金往來"",
  AND(E11425&lt;&gt;"""", F11425=""""), ""真實支出"",
  AND(E11425="""", F11425&lt;&gt;""""), ""真實收入"",
  TRUE, ""其他""
)"),"其他")</f>
        <v>其他</v>
      </c>
      <c r="K11425" s="270" t="str">
        <f t="shared" si="2"/>
        <v/>
      </c>
      <c r="L11425">
        <f t="shared" si="3"/>
        <v>0</v>
      </c>
    </row>
    <row r="11426">
      <c r="A11426" s="107"/>
      <c r="D11426" s="270"/>
      <c r="H11426" s="106" t="str">
        <f t="shared" si="1"/>
        <v/>
      </c>
      <c r="J11426" t="str">
        <f>IFERROR(__xludf.DUMMYFUNCTION("IFS(
  AND(REGEXMATCH(E11426, ""台銀籌備帳戶|玉山帳戶""), REGEXMATCH(C11426, ""薪資"")), ""分潤支出"",
  AND(REGEXMATCH(E11426, ""Ben帳戶|Elsa帳戶|Ben代墊|Ariel代墊|中信銀行共用""), REGEXMATCH(F11426, ""Ben帳戶|Elsa帳戶|Ben代墊|Ariel代墊|中信銀行共用"")), ""內部轉帳(忽略)"",
  AND(E11426&lt;&gt;"""", F11426&lt;&gt;"&amp;""""", NOT(REGEXMATCH(C11426, ""薪資""))), ""內部轉帳(忽略)"",
  REGEXMATCH(C11426, ""薪資""), ""薪資變動(不計入)"",
  REGEXMATCH(C11426, ""押金""), ""押金往來"",
  AND(E11426&lt;&gt;"""", F11426=""""), ""真實支出"",
  AND(E11426="""", F11426&lt;&gt;""""), ""真實收入"",
  TRUE, ""其他""
)"),"其他")</f>
        <v>其他</v>
      </c>
      <c r="K11426" s="270" t="str">
        <f t="shared" si="2"/>
        <v/>
      </c>
      <c r="L11426">
        <f t="shared" si="3"/>
        <v>0</v>
      </c>
    </row>
    <row r="11427">
      <c r="A11427" s="107"/>
      <c r="D11427" s="270"/>
      <c r="H11427" s="106" t="str">
        <f t="shared" si="1"/>
        <v/>
      </c>
      <c r="J11427" t="str">
        <f>IFERROR(__xludf.DUMMYFUNCTION("IFS(
  AND(REGEXMATCH(E11427, ""台銀籌備帳戶|玉山帳戶""), REGEXMATCH(C11427, ""薪資"")), ""分潤支出"",
  AND(REGEXMATCH(E11427, ""Ben帳戶|Elsa帳戶|Ben代墊|Ariel代墊|中信銀行共用""), REGEXMATCH(F11427, ""Ben帳戶|Elsa帳戶|Ben代墊|Ariel代墊|中信銀行共用"")), ""內部轉帳(忽略)"",
  AND(E11427&lt;&gt;"""", F11427&lt;&gt;"&amp;""""", NOT(REGEXMATCH(C11427, ""薪資""))), ""內部轉帳(忽略)"",
  REGEXMATCH(C11427, ""薪資""), ""薪資變動(不計入)"",
  REGEXMATCH(C11427, ""押金""), ""押金往來"",
  AND(E11427&lt;&gt;"""", F11427=""""), ""真實支出"",
  AND(E11427="""", F11427&lt;&gt;""""), ""真實收入"",
  TRUE, ""其他""
)"),"其他")</f>
        <v>其他</v>
      </c>
      <c r="K11427" s="270" t="str">
        <f t="shared" si="2"/>
        <v/>
      </c>
      <c r="L11427">
        <f t="shared" si="3"/>
        <v>0</v>
      </c>
    </row>
    <row r="11428">
      <c r="A11428" s="107"/>
      <c r="D11428" s="270"/>
      <c r="H11428" s="106" t="str">
        <f t="shared" si="1"/>
        <v/>
      </c>
      <c r="J11428" t="str">
        <f>IFERROR(__xludf.DUMMYFUNCTION("IFS(
  AND(REGEXMATCH(E11428, ""台銀籌備帳戶|玉山帳戶""), REGEXMATCH(C11428, ""薪資"")), ""分潤支出"",
  AND(REGEXMATCH(E11428, ""Ben帳戶|Elsa帳戶|Ben代墊|Ariel代墊|中信銀行共用""), REGEXMATCH(F11428, ""Ben帳戶|Elsa帳戶|Ben代墊|Ariel代墊|中信銀行共用"")), ""內部轉帳(忽略)"",
  AND(E11428&lt;&gt;"""", F11428&lt;&gt;"&amp;""""", NOT(REGEXMATCH(C11428, ""薪資""))), ""內部轉帳(忽略)"",
  REGEXMATCH(C11428, ""薪資""), ""薪資變動(不計入)"",
  REGEXMATCH(C11428, ""押金""), ""押金往來"",
  AND(E11428&lt;&gt;"""", F11428=""""), ""真實支出"",
  AND(E11428="""", F11428&lt;&gt;""""), ""真實收入"",
  TRUE, ""其他""
)"),"其他")</f>
        <v>其他</v>
      </c>
      <c r="K11428" s="270" t="str">
        <f t="shared" si="2"/>
        <v/>
      </c>
      <c r="L11428">
        <f t="shared" si="3"/>
        <v>0</v>
      </c>
    </row>
    <row r="11429">
      <c r="A11429" s="107"/>
      <c r="D11429" s="270"/>
      <c r="H11429" s="106" t="str">
        <f t="shared" si="1"/>
        <v/>
      </c>
      <c r="J11429" t="str">
        <f>IFERROR(__xludf.DUMMYFUNCTION("IFS(
  AND(REGEXMATCH(E11429, ""台銀籌備帳戶|玉山帳戶""), REGEXMATCH(C11429, ""薪資"")), ""分潤支出"",
  AND(REGEXMATCH(E11429, ""Ben帳戶|Elsa帳戶|Ben代墊|Ariel代墊|中信銀行共用""), REGEXMATCH(F11429, ""Ben帳戶|Elsa帳戶|Ben代墊|Ariel代墊|中信銀行共用"")), ""內部轉帳(忽略)"",
  AND(E11429&lt;&gt;"""", F11429&lt;&gt;"&amp;""""", NOT(REGEXMATCH(C11429, ""薪資""))), ""內部轉帳(忽略)"",
  REGEXMATCH(C11429, ""薪資""), ""薪資變動(不計入)"",
  REGEXMATCH(C11429, ""押金""), ""押金往來"",
  AND(E11429&lt;&gt;"""", F11429=""""), ""真實支出"",
  AND(E11429="""", F11429&lt;&gt;""""), ""真實收入"",
  TRUE, ""其他""
)"),"其他")</f>
        <v>其他</v>
      </c>
      <c r="K11429" s="270" t="str">
        <f t="shared" si="2"/>
        <v/>
      </c>
      <c r="L11429">
        <f t="shared" si="3"/>
        <v>0</v>
      </c>
    </row>
    <row r="11430">
      <c r="A11430" s="107"/>
      <c r="D11430" s="270"/>
      <c r="H11430" s="106" t="str">
        <f t="shared" si="1"/>
        <v/>
      </c>
      <c r="J11430" t="str">
        <f>IFERROR(__xludf.DUMMYFUNCTION("IFS(
  AND(REGEXMATCH(E11430, ""台銀籌備帳戶|玉山帳戶""), REGEXMATCH(C11430, ""薪資"")), ""分潤支出"",
  AND(REGEXMATCH(E11430, ""Ben帳戶|Elsa帳戶|Ben代墊|Ariel代墊|中信銀行共用""), REGEXMATCH(F11430, ""Ben帳戶|Elsa帳戶|Ben代墊|Ariel代墊|中信銀行共用"")), ""內部轉帳(忽略)"",
  AND(E11430&lt;&gt;"""", F11430&lt;&gt;"&amp;""""", NOT(REGEXMATCH(C11430, ""薪資""))), ""內部轉帳(忽略)"",
  REGEXMATCH(C11430, ""薪資""), ""薪資變動(不計入)"",
  REGEXMATCH(C11430, ""押金""), ""押金往來"",
  AND(E11430&lt;&gt;"""", F11430=""""), ""真實支出"",
  AND(E11430="""", F11430&lt;&gt;""""), ""真實收入"",
  TRUE, ""其他""
)"),"其他")</f>
        <v>其他</v>
      </c>
      <c r="K11430" s="270" t="str">
        <f t="shared" si="2"/>
        <v/>
      </c>
      <c r="L11430">
        <f t="shared" si="3"/>
        <v>0</v>
      </c>
    </row>
    <row r="11431">
      <c r="A11431" s="107"/>
      <c r="D11431" s="270"/>
      <c r="H11431" s="106" t="str">
        <f t="shared" si="1"/>
        <v/>
      </c>
      <c r="J11431" t="str">
        <f>IFERROR(__xludf.DUMMYFUNCTION("IFS(
  AND(REGEXMATCH(E11431, ""台銀籌備帳戶|玉山帳戶""), REGEXMATCH(C11431, ""薪資"")), ""分潤支出"",
  AND(REGEXMATCH(E11431, ""Ben帳戶|Elsa帳戶|Ben代墊|Ariel代墊|中信銀行共用""), REGEXMATCH(F11431, ""Ben帳戶|Elsa帳戶|Ben代墊|Ariel代墊|中信銀行共用"")), ""內部轉帳(忽略)"",
  AND(E11431&lt;&gt;"""", F11431&lt;&gt;"&amp;""""", NOT(REGEXMATCH(C11431, ""薪資""))), ""內部轉帳(忽略)"",
  REGEXMATCH(C11431, ""薪資""), ""薪資變動(不計入)"",
  REGEXMATCH(C11431, ""押金""), ""押金往來"",
  AND(E11431&lt;&gt;"""", F11431=""""), ""真實支出"",
  AND(E11431="""", F11431&lt;&gt;""""), ""真實收入"",
  TRUE, ""其他""
)"),"其他")</f>
        <v>其他</v>
      </c>
      <c r="K11431" s="270" t="str">
        <f t="shared" si="2"/>
        <v/>
      </c>
      <c r="L11431">
        <f t="shared" si="3"/>
        <v>0</v>
      </c>
    </row>
    <row r="11432">
      <c r="A11432" s="107"/>
      <c r="D11432" s="270"/>
      <c r="H11432" s="106" t="str">
        <f t="shared" si="1"/>
        <v/>
      </c>
      <c r="J11432" t="str">
        <f>IFERROR(__xludf.DUMMYFUNCTION("IFS(
  AND(REGEXMATCH(E11432, ""台銀籌備帳戶|玉山帳戶""), REGEXMATCH(C11432, ""薪資"")), ""分潤支出"",
  AND(REGEXMATCH(E11432, ""Ben帳戶|Elsa帳戶|Ben代墊|Ariel代墊|中信銀行共用""), REGEXMATCH(F11432, ""Ben帳戶|Elsa帳戶|Ben代墊|Ariel代墊|中信銀行共用"")), ""內部轉帳(忽略)"",
  AND(E11432&lt;&gt;"""", F11432&lt;&gt;"&amp;""""", NOT(REGEXMATCH(C11432, ""薪資""))), ""內部轉帳(忽略)"",
  REGEXMATCH(C11432, ""薪資""), ""薪資變動(不計入)"",
  REGEXMATCH(C11432, ""押金""), ""押金往來"",
  AND(E11432&lt;&gt;"""", F11432=""""), ""真實支出"",
  AND(E11432="""", F11432&lt;&gt;""""), ""真實收入"",
  TRUE, ""其他""
)"),"其他")</f>
        <v>其他</v>
      </c>
      <c r="K11432" s="270" t="str">
        <f t="shared" si="2"/>
        <v/>
      </c>
      <c r="L11432">
        <f t="shared" si="3"/>
        <v>0</v>
      </c>
    </row>
    <row r="11433">
      <c r="A11433" s="107"/>
      <c r="D11433" s="270"/>
      <c r="H11433" s="106" t="str">
        <f t="shared" si="1"/>
        <v/>
      </c>
      <c r="J11433" t="str">
        <f>IFERROR(__xludf.DUMMYFUNCTION("IFS(
  AND(REGEXMATCH(E11433, ""台銀籌備帳戶|玉山帳戶""), REGEXMATCH(C11433, ""薪資"")), ""分潤支出"",
  AND(REGEXMATCH(E11433, ""Ben帳戶|Elsa帳戶|Ben代墊|Ariel代墊|中信銀行共用""), REGEXMATCH(F11433, ""Ben帳戶|Elsa帳戶|Ben代墊|Ariel代墊|中信銀行共用"")), ""內部轉帳(忽略)"",
  AND(E11433&lt;&gt;"""", F11433&lt;&gt;"&amp;""""", NOT(REGEXMATCH(C11433, ""薪資""))), ""內部轉帳(忽略)"",
  REGEXMATCH(C11433, ""薪資""), ""薪資變動(不計入)"",
  REGEXMATCH(C11433, ""押金""), ""押金往來"",
  AND(E11433&lt;&gt;"""", F11433=""""), ""真實支出"",
  AND(E11433="""", F11433&lt;&gt;""""), ""真實收入"",
  TRUE, ""其他""
)"),"其他")</f>
        <v>其他</v>
      </c>
      <c r="K11433" s="270" t="str">
        <f t="shared" si="2"/>
        <v/>
      </c>
      <c r="L11433">
        <f t="shared" si="3"/>
        <v>0</v>
      </c>
    </row>
    <row r="11434">
      <c r="A11434" s="107"/>
      <c r="D11434" s="270"/>
      <c r="H11434" s="106" t="str">
        <f t="shared" si="1"/>
        <v/>
      </c>
      <c r="J11434" t="str">
        <f>IFERROR(__xludf.DUMMYFUNCTION("IFS(
  AND(REGEXMATCH(E11434, ""台銀籌備帳戶|玉山帳戶""), REGEXMATCH(C11434, ""薪資"")), ""分潤支出"",
  AND(REGEXMATCH(E11434, ""Ben帳戶|Elsa帳戶|Ben代墊|Ariel代墊|中信銀行共用""), REGEXMATCH(F11434, ""Ben帳戶|Elsa帳戶|Ben代墊|Ariel代墊|中信銀行共用"")), ""內部轉帳(忽略)"",
  AND(E11434&lt;&gt;"""", F11434&lt;&gt;"&amp;""""", NOT(REGEXMATCH(C11434, ""薪資""))), ""內部轉帳(忽略)"",
  REGEXMATCH(C11434, ""薪資""), ""薪資變動(不計入)"",
  REGEXMATCH(C11434, ""押金""), ""押金往來"",
  AND(E11434&lt;&gt;"""", F11434=""""), ""真實支出"",
  AND(E11434="""", F11434&lt;&gt;""""), ""真實收入"",
  TRUE, ""其他""
)"),"其他")</f>
        <v>其他</v>
      </c>
      <c r="K11434" s="270" t="str">
        <f t="shared" si="2"/>
        <v/>
      </c>
      <c r="L11434">
        <f t="shared" si="3"/>
        <v>0</v>
      </c>
    </row>
    <row r="11435">
      <c r="A11435" s="107"/>
      <c r="D11435" s="270"/>
      <c r="H11435" s="106" t="str">
        <f t="shared" si="1"/>
        <v/>
      </c>
      <c r="J11435" t="str">
        <f>IFERROR(__xludf.DUMMYFUNCTION("IFS(
  AND(REGEXMATCH(E11435, ""台銀籌備帳戶|玉山帳戶""), REGEXMATCH(C11435, ""薪資"")), ""分潤支出"",
  AND(REGEXMATCH(E11435, ""Ben帳戶|Elsa帳戶|Ben代墊|Ariel代墊|中信銀行共用""), REGEXMATCH(F11435, ""Ben帳戶|Elsa帳戶|Ben代墊|Ariel代墊|中信銀行共用"")), ""內部轉帳(忽略)"",
  AND(E11435&lt;&gt;"""", F11435&lt;&gt;"&amp;""""", NOT(REGEXMATCH(C11435, ""薪資""))), ""內部轉帳(忽略)"",
  REGEXMATCH(C11435, ""薪資""), ""薪資變動(不計入)"",
  REGEXMATCH(C11435, ""押金""), ""押金往來"",
  AND(E11435&lt;&gt;"""", F11435=""""), ""真實支出"",
  AND(E11435="""", F11435&lt;&gt;""""), ""真實收入"",
  TRUE, ""其他""
)"),"其他")</f>
        <v>其他</v>
      </c>
      <c r="K11435" s="270" t="str">
        <f t="shared" si="2"/>
        <v/>
      </c>
      <c r="L11435">
        <f t="shared" si="3"/>
        <v>0</v>
      </c>
    </row>
    <row r="11436">
      <c r="A11436" s="107"/>
      <c r="D11436" s="270"/>
      <c r="H11436" s="106" t="str">
        <f t="shared" si="1"/>
        <v/>
      </c>
      <c r="J11436" t="str">
        <f>IFERROR(__xludf.DUMMYFUNCTION("IFS(
  AND(REGEXMATCH(E11436, ""台銀籌備帳戶|玉山帳戶""), REGEXMATCH(C11436, ""薪資"")), ""分潤支出"",
  AND(REGEXMATCH(E11436, ""Ben帳戶|Elsa帳戶|Ben代墊|Ariel代墊|中信銀行共用""), REGEXMATCH(F11436, ""Ben帳戶|Elsa帳戶|Ben代墊|Ariel代墊|中信銀行共用"")), ""內部轉帳(忽略)"",
  AND(E11436&lt;&gt;"""", F11436&lt;&gt;"&amp;""""", NOT(REGEXMATCH(C11436, ""薪資""))), ""內部轉帳(忽略)"",
  REGEXMATCH(C11436, ""薪資""), ""薪資變動(不計入)"",
  REGEXMATCH(C11436, ""押金""), ""押金往來"",
  AND(E11436&lt;&gt;"""", F11436=""""), ""真實支出"",
  AND(E11436="""", F11436&lt;&gt;""""), ""真實收入"",
  TRUE, ""其他""
)"),"其他")</f>
        <v>其他</v>
      </c>
      <c r="K11436" s="270" t="str">
        <f t="shared" si="2"/>
        <v/>
      </c>
      <c r="L11436">
        <f t="shared" si="3"/>
        <v>0</v>
      </c>
    </row>
    <row r="11437">
      <c r="A11437" s="107"/>
      <c r="D11437" s="270"/>
      <c r="H11437" s="106" t="str">
        <f t="shared" si="1"/>
        <v/>
      </c>
      <c r="J11437" t="str">
        <f>IFERROR(__xludf.DUMMYFUNCTION("IFS(
  AND(REGEXMATCH(E11437, ""台銀籌備帳戶|玉山帳戶""), REGEXMATCH(C11437, ""薪資"")), ""分潤支出"",
  AND(REGEXMATCH(E11437, ""Ben帳戶|Elsa帳戶|Ben代墊|Ariel代墊|中信銀行共用""), REGEXMATCH(F11437, ""Ben帳戶|Elsa帳戶|Ben代墊|Ariel代墊|中信銀行共用"")), ""內部轉帳(忽略)"",
  AND(E11437&lt;&gt;"""", F11437&lt;&gt;"&amp;""""", NOT(REGEXMATCH(C11437, ""薪資""))), ""內部轉帳(忽略)"",
  REGEXMATCH(C11437, ""薪資""), ""薪資變動(不計入)"",
  REGEXMATCH(C11437, ""押金""), ""押金往來"",
  AND(E11437&lt;&gt;"""", F11437=""""), ""真實支出"",
  AND(E11437="""", F11437&lt;&gt;""""), ""真實收入"",
  TRUE, ""其他""
)"),"其他")</f>
        <v>其他</v>
      </c>
      <c r="K11437" s="270" t="str">
        <f t="shared" si="2"/>
        <v/>
      </c>
      <c r="L11437">
        <f t="shared" si="3"/>
        <v>0</v>
      </c>
    </row>
    <row r="11438">
      <c r="A11438" s="107"/>
      <c r="D11438" s="270"/>
      <c r="H11438" s="106" t="str">
        <f t="shared" si="1"/>
        <v/>
      </c>
      <c r="J11438" t="str">
        <f>IFERROR(__xludf.DUMMYFUNCTION("IFS(
  AND(REGEXMATCH(E11438, ""台銀籌備帳戶|玉山帳戶""), REGEXMATCH(C11438, ""薪資"")), ""分潤支出"",
  AND(REGEXMATCH(E11438, ""Ben帳戶|Elsa帳戶|Ben代墊|Ariel代墊|中信銀行共用""), REGEXMATCH(F11438, ""Ben帳戶|Elsa帳戶|Ben代墊|Ariel代墊|中信銀行共用"")), ""內部轉帳(忽略)"",
  AND(E11438&lt;&gt;"""", F11438&lt;&gt;"&amp;""""", NOT(REGEXMATCH(C11438, ""薪資""))), ""內部轉帳(忽略)"",
  REGEXMATCH(C11438, ""薪資""), ""薪資變動(不計入)"",
  REGEXMATCH(C11438, ""押金""), ""押金往來"",
  AND(E11438&lt;&gt;"""", F11438=""""), ""真實支出"",
  AND(E11438="""", F11438&lt;&gt;""""), ""真實收入"",
  TRUE, ""其他""
)"),"其他")</f>
        <v>其他</v>
      </c>
      <c r="K11438" s="270" t="str">
        <f t="shared" si="2"/>
        <v/>
      </c>
      <c r="L11438">
        <f t="shared" si="3"/>
        <v>0</v>
      </c>
    </row>
    <row r="11439">
      <c r="A11439" s="107"/>
      <c r="D11439" s="270"/>
      <c r="H11439" s="106" t="str">
        <f t="shared" si="1"/>
        <v/>
      </c>
      <c r="J11439" t="str">
        <f>IFERROR(__xludf.DUMMYFUNCTION("IFS(
  AND(REGEXMATCH(E11439, ""台銀籌備帳戶|玉山帳戶""), REGEXMATCH(C11439, ""薪資"")), ""分潤支出"",
  AND(REGEXMATCH(E11439, ""Ben帳戶|Elsa帳戶|Ben代墊|Ariel代墊|中信銀行共用""), REGEXMATCH(F11439, ""Ben帳戶|Elsa帳戶|Ben代墊|Ariel代墊|中信銀行共用"")), ""內部轉帳(忽略)"",
  AND(E11439&lt;&gt;"""", F11439&lt;&gt;"&amp;""""", NOT(REGEXMATCH(C11439, ""薪資""))), ""內部轉帳(忽略)"",
  REGEXMATCH(C11439, ""薪資""), ""薪資變動(不計入)"",
  REGEXMATCH(C11439, ""押金""), ""押金往來"",
  AND(E11439&lt;&gt;"""", F11439=""""), ""真實支出"",
  AND(E11439="""", F11439&lt;&gt;""""), ""真實收入"",
  TRUE, ""其他""
)"),"其他")</f>
        <v>其他</v>
      </c>
      <c r="K11439" s="270" t="str">
        <f t="shared" si="2"/>
        <v/>
      </c>
      <c r="L11439">
        <f t="shared" si="3"/>
        <v>0</v>
      </c>
    </row>
    <row r="11440">
      <c r="A11440" s="107"/>
      <c r="D11440" s="270"/>
      <c r="H11440" s="106" t="str">
        <f t="shared" si="1"/>
        <v/>
      </c>
      <c r="J11440" t="str">
        <f>IFERROR(__xludf.DUMMYFUNCTION("IFS(
  AND(REGEXMATCH(E11440, ""台銀籌備帳戶|玉山帳戶""), REGEXMATCH(C11440, ""薪資"")), ""分潤支出"",
  AND(REGEXMATCH(E11440, ""Ben帳戶|Elsa帳戶|Ben代墊|Ariel代墊|中信銀行共用""), REGEXMATCH(F11440, ""Ben帳戶|Elsa帳戶|Ben代墊|Ariel代墊|中信銀行共用"")), ""內部轉帳(忽略)"",
  AND(E11440&lt;&gt;"""", F11440&lt;&gt;"&amp;""""", NOT(REGEXMATCH(C11440, ""薪資""))), ""內部轉帳(忽略)"",
  REGEXMATCH(C11440, ""薪資""), ""薪資變動(不計入)"",
  REGEXMATCH(C11440, ""押金""), ""押金往來"",
  AND(E11440&lt;&gt;"""", F11440=""""), ""真實支出"",
  AND(E11440="""", F11440&lt;&gt;""""), ""真實收入"",
  TRUE, ""其他""
)"),"其他")</f>
        <v>其他</v>
      </c>
      <c r="K11440" s="270" t="str">
        <f t="shared" si="2"/>
        <v/>
      </c>
      <c r="L11440">
        <f t="shared" si="3"/>
        <v>0</v>
      </c>
    </row>
    <row r="11441">
      <c r="A11441" s="107"/>
      <c r="D11441" s="270"/>
      <c r="H11441" s="106" t="str">
        <f t="shared" si="1"/>
        <v/>
      </c>
      <c r="J11441" t="str">
        <f>IFERROR(__xludf.DUMMYFUNCTION("IFS(
  AND(REGEXMATCH(E11441, ""台銀籌備帳戶|玉山帳戶""), REGEXMATCH(C11441, ""薪資"")), ""分潤支出"",
  AND(REGEXMATCH(E11441, ""Ben帳戶|Elsa帳戶|Ben代墊|Ariel代墊|中信銀行共用""), REGEXMATCH(F11441, ""Ben帳戶|Elsa帳戶|Ben代墊|Ariel代墊|中信銀行共用"")), ""內部轉帳(忽略)"",
  AND(E11441&lt;&gt;"""", F11441&lt;&gt;"&amp;""""", NOT(REGEXMATCH(C11441, ""薪資""))), ""內部轉帳(忽略)"",
  REGEXMATCH(C11441, ""薪資""), ""薪資變動(不計入)"",
  REGEXMATCH(C11441, ""押金""), ""押金往來"",
  AND(E11441&lt;&gt;"""", F11441=""""), ""真實支出"",
  AND(E11441="""", F11441&lt;&gt;""""), ""真實收入"",
  TRUE, ""其他""
)"),"其他")</f>
        <v>其他</v>
      </c>
      <c r="K11441" s="270" t="str">
        <f t="shared" si="2"/>
        <v/>
      </c>
      <c r="L11441">
        <f t="shared" si="3"/>
        <v>0</v>
      </c>
    </row>
    <row r="11442">
      <c r="A11442" s="107"/>
      <c r="D11442" s="270"/>
      <c r="H11442" s="106" t="str">
        <f t="shared" si="1"/>
        <v/>
      </c>
      <c r="J11442" t="str">
        <f>IFERROR(__xludf.DUMMYFUNCTION("IFS(
  AND(REGEXMATCH(E11442, ""台銀籌備帳戶|玉山帳戶""), REGEXMATCH(C11442, ""薪資"")), ""分潤支出"",
  AND(REGEXMATCH(E11442, ""Ben帳戶|Elsa帳戶|Ben代墊|Ariel代墊|中信銀行共用""), REGEXMATCH(F11442, ""Ben帳戶|Elsa帳戶|Ben代墊|Ariel代墊|中信銀行共用"")), ""內部轉帳(忽略)"",
  AND(E11442&lt;&gt;"""", F11442&lt;&gt;"&amp;""""", NOT(REGEXMATCH(C11442, ""薪資""))), ""內部轉帳(忽略)"",
  REGEXMATCH(C11442, ""薪資""), ""薪資變動(不計入)"",
  REGEXMATCH(C11442, ""押金""), ""押金往來"",
  AND(E11442&lt;&gt;"""", F11442=""""), ""真實支出"",
  AND(E11442="""", F11442&lt;&gt;""""), ""真實收入"",
  TRUE, ""其他""
)"),"其他")</f>
        <v>其他</v>
      </c>
      <c r="K11442" s="270" t="str">
        <f t="shared" si="2"/>
        <v/>
      </c>
      <c r="L11442">
        <f t="shared" si="3"/>
        <v>0</v>
      </c>
    </row>
    <row r="11443">
      <c r="A11443" s="107"/>
      <c r="D11443" s="270"/>
      <c r="H11443" s="106" t="str">
        <f t="shared" si="1"/>
        <v/>
      </c>
      <c r="J11443" t="str">
        <f>IFERROR(__xludf.DUMMYFUNCTION("IFS(
  AND(REGEXMATCH(E11443, ""台銀籌備帳戶|玉山帳戶""), REGEXMATCH(C11443, ""薪資"")), ""分潤支出"",
  AND(REGEXMATCH(E11443, ""Ben帳戶|Elsa帳戶|Ben代墊|Ariel代墊|中信銀行共用""), REGEXMATCH(F11443, ""Ben帳戶|Elsa帳戶|Ben代墊|Ariel代墊|中信銀行共用"")), ""內部轉帳(忽略)"",
  AND(E11443&lt;&gt;"""", F11443&lt;&gt;"&amp;""""", NOT(REGEXMATCH(C11443, ""薪資""))), ""內部轉帳(忽略)"",
  REGEXMATCH(C11443, ""薪資""), ""薪資變動(不計入)"",
  REGEXMATCH(C11443, ""押金""), ""押金往來"",
  AND(E11443&lt;&gt;"""", F11443=""""), ""真實支出"",
  AND(E11443="""", F11443&lt;&gt;""""), ""真實收入"",
  TRUE, ""其他""
)"),"其他")</f>
        <v>其他</v>
      </c>
      <c r="K11443" s="270" t="str">
        <f t="shared" si="2"/>
        <v/>
      </c>
      <c r="L11443">
        <f t="shared" si="3"/>
        <v>0</v>
      </c>
    </row>
    <row r="11444">
      <c r="A11444" s="107"/>
      <c r="D11444" s="270"/>
      <c r="H11444" s="106" t="str">
        <f t="shared" si="1"/>
        <v/>
      </c>
      <c r="J11444" t="str">
        <f>IFERROR(__xludf.DUMMYFUNCTION("IFS(
  AND(REGEXMATCH(E11444, ""台銀籌備帳戶|玉山帳戶""), REGEXMATCH(C11444, ""薪資"")), ""分潤支出"",
  AND(REGEXMATCH(E11444, ""Ben帳戶|Elsa帳戶|Ben代墊|Ariel代墊|中信銀行共用""), REGEXMATCH(F11444, ""Ben帳戶|Elsa帳戶|Ben代墊|Ariel代墊|中信銀行共用"")), ""內部轉帳(忽略)"",
  AND(E11444&lt;&gt;"""", F11444&lt;&gt;"&amp;""""", NOT(REGEXMATCH(C11444, ""薪資""))), ""內部轉帳(忽略)"",
  REGEXMATCH(C11444, ""薪資""), ""薪資變動(不計入)"",
  REGEXMATCH(C11444, ""押金""), ""押金往來"",
  AND(E11444&lt;&gt;"""", F11444=""""), ""真實支出"",
  AND(E11444="""", F11444&lt;&gt;""""), ""真實收入"",
  TRUE, ""其他""
)"),"其他")</f>
        <v>其他</v>
      </c>
      <c r="K11444" s="270" t="str">
        <f t="shared" si="2"/>
        <v/>
      </c>
      <c r="L11444">
        <f t="shared" si="3"/>
        <v>0</v>
      </c>
    </row>
    <row r="11445">
      <c r="A11445" s="107"/>
      <c r="D11445" s="270"/>
      <c r="H11445" s="106" t="str">
        <f t="shared" si="1"/>
        <v/>
      </c>
      <c r="J11445" t="str">
        <f>IFERROR(__xludf.DUMMYFUNCTION("IFS(
  AND(REGEXMATCH(E11445, ""台銀籌備帳戶|玉山帳戶""), REGEXMATCH(C11445, ""薪資"")), ""分潤支出"",
  AND(REGEXMATCH(E11445, ""Ben帳戶|Elsa帳戶|Ben代墊|Ariel代墊|中信銀行共用""), REGEXMATCH(F11445, ""Ben帳戶|Elsa帳戶|Ben代墊|Ariel代墊|中信銀行共用"")), ""內部轉帳(忽略)"",
  AND(E11445&lt;&gt;"""", F11445&lt;&gt;"&amp;""""", NOT(REGEXMATCH(C11445, ""薪資""))), ""內部轉帳(忽略)"",
  REGEXMATCH(C11445, ""薪資""), ""薪資變動(不計入)"",
  REGEXMATCH(C11445, ""押金""), ""押金往來"",
  AND(E11445&lt;&gt;"""", F11445=""""), ""真實支出"",
  AND(E11445="""", F11445&lt;&gt;""""), ""真實收入"",
  TRUE, ""其他""
)"),"其他")</f>
        <v>其他</v>
      </c>
      <c r="K11445" s="270" t="str">
        <f t="shared" si="2"/>
        <v/>
      </c>
      <c r="L11445">
        <f t="shared" si="3"/>
        <v>0</v>
      </c>
    </row>
    <row r="11446">
      <c r="A11446" s="107"/>
      <c r="D11446" s="270"/>
      <c r="H11446" s="106" t="str">
        <f t="shared" si="1"/>
        <v/>
      </c>
      <c r="J11446" t="str">
        <f>IFERROR(__xludf.DUMMYFUNCTION("IFS(
  AND(REGEXMATCH(E11446, ""台銀籌備帳戶|玉山帳戶""), REGEXMATCH(C11446, ""薪資"")), ""分潤支出"",
  AND(REGEXMATCH(E11446, ""Ben帳戶|Elsa帳戶|Ben代墊|Ariel代墊|中信銀行共用""), REGEXMATCH(F11446, ""Ben帳戶|Elsa帳戶|Ben代墊|Ariel代墊|中信銀行共用"")), ""內部轉帳(忽略)"",
  AND(E11446&lt;&gt;"""", F11446&lt;&gt;"&amp;""""", NOT(REGEXMATCH(C11446, ""薪資""))), ""內部轉帳(忽略)"",
  REGEXMATCH(C11446, ""薪資""), ""薪資變動(不計入)"",
  REGEXMATCH(C11446, ""押金""), ""押金往來"",
  AND(E11446&lt;&gt;"""", F11446=""""), ""真實支出"",
  AND(E11446="""", F11446&lt;&gt;""""), ""真實收入"",
  TRUE, ""其他""
)"),"其他")</f>
        <v>其他</v>
      </c>
      <c r="K11446" s="270" t="str">
        <f t="shared" si="2"/>
        <v/>
      </c>
      <c r="L11446">
        <f t="shared" si="3"/>
        <v>0</v>
      </c>
    </row>
    <row r="11447">
      <c r="A11447" s="107"/>
      <c r="D11447" s="270"/>
      <c r="H11447" s="106" t="str">
        <f t="shared" si="1"/>
        <v/>
      </c>
      <c r="J11447" t="str">
        <f>IFERROR(__xludf.DUMMYFUNCTION("IFS(
  AND(REGEXMATCH(E11447, ""台銀籌備帳戶|玉山帳戶""), REGEXMATCH(C11447, ""薪資"")), ""分潤支出"",
  AND(REGEXMATCH(E11447, ""Ben帳戶|Elsa帳戶|Ben代墊|Ariel代墊|中信銀行共用""), REGEXMATCH(F11447, ""Ben帳戶|Elsa帳戶|Ben代墊|Ariel代墊|中信銀行共用"")), ""內部轉帳(忽略)"",
  AND(E11447&lt;&gt;"""", F11447&lt;&gt;"&amp;""""", NOT(REGEXMATCH(C11447, ""薪資""))), ""內部轉帳(忽略)"",
  REGEXMATCH(C11447, ""薪資""), ""薪資變動(不計入)"",
  REGEXMATCH(C11447, ""押金""), ""押金往來"",
  AND(E11447&lt;&gt;"""", F11447=""""), ""真實支出"",
  AND(E11447="""", F11447&lt;&gt;""""), ""真實收入"",
  TRUE, ""其他""
)"),"其他")</f>
        <v>其他</v>
      </c>
      <c r="K11447" s="270" t="str">
        <f t="shared" si="2"/>
        <v/>
      </c>
      <c r="L11447">
        <f t="shared" si="3"/>
        <v>0</v>
      </c>
    </row>
    <row r="11448">
      <c r="A11448" s="107"/>
      <c r="D11448" s="270"/>
      <c r="H11448" s="106" t="str">
        <f t="shared" si="1"/>
        <v/>
      </c>
      <c r="J11448" t="str">
        <f>IFERROR(__xludf.DUMMYFUNCTION("IFS(
  AND(REGEXMATCH(E11448, ""台銀籌備帳戶|玉山帳戶""), REGEXMATCH(C11448, ""薪資"")), ""分潤支出"",
  AND(REGEXMATCH(E11448, ""Ben帳戶|Elsa帳戶|Ben代墊|Ariel代墊|中信銀行共用""), REGEXMATCH(F11448, ""Ben帳戶|Elsa帳戶|Ben代墊|Ariel代墊|中信銀行共用"")), ""內部轉帳(忽略)"",
  AND(E11448&lt;&gt;"""", F11448&lt;&gt;"&amp;""""", NOT(REGEXMATCH(C11448, ""薪資""))), ""內部轉帳(忽略)"",
  REGEXMATCH(C11448, ""薪資""), ""薪資變動(不計入)"",
  REGEXMATCH(C11448, ""押金""), ""押金往來"",
  AND(E11448&lt;&gt;"""", F11448=""""), ""真實支出"",
  AND(E11448="""", F11448&lt;&gt;""""), ""真實收入"",
  TRUE, ""其他""
)"),"其他")</f>
        <v>其他</v>
      </c>
      <c r="K11448" s="270" t="str">
        <f t="shared" si="2"/>
        <v/>
      </c>
      <c r="L11448">
        <f t="shared" si="3"/>
        <v>0</v>
      </c>
    </row>
    <row r="11449">
      <c r="A11449" s="107"/>
      <c r="D11449" s="270"/>
      <c r="H11449" s="106" t="str">
        <f t="shared" si="1"/>
        <v/>
      </c>
      <c r="J11449" t="str">
        <f>IFERROR(__xludf.DUMMYFUNCTION("IFS(
  AND(REGEXMATCH(E11449, ""台銀籌備帳戶|玉山帳戶""), REGEXMATCH(C11449, ""薪資"")), ""分潤支出"",
  AND(REGEXMATCH(E11449, ""Ben帳戶|Elsa帳戶|Ben代墊|Ariel代墊|中信銀行共用""), REGEXMATCH(F11449, ""Ben帳戶|Elsa帳戶|Ben代墊|Ariel代墊|中信銀行共用"")), ""內部轉帳(忽略)"",
  AND(E11449&lt;&gt;"""", F11449&lt;&gt;"&amp;""""", NOT(REGEXMATCH(C11449, ""薪資""))), ""內部轉帳(忽略)"",
  REGEXMATCH(C11449, ""薪資""), ""薪資變動(不計入)"",
  REGEXMATCH(C11449, ""押金""), ""押金往來"",
  AND(E11449&lt;&gt;"""", F11449=""""), ""真實支出"",
  AND(E11449="""", F11449&lt;&gt;""""), ""真實收入"",
  TRUE, ""其他""
)"),"其他")</f>
        <v>其他</v>
      </c>
      <c r="K11449" s="270" t="str">
        <f t="shared" si="2"/>
        <v/>
      </c>
      <c r="L11449">
        <f t="shared" si="3"/>
        <v>0</v>
      </c>
    </row>
    <row r="11450">
      <c r="A11450" s="107"/>
      <c r="D11450" s="270"/>
      <c r="H11450" s="106" t="str">
        <f t="shared" si="1"/>
        <v/>
      </c>
      <c r="J11450" t="str">
        <f>IFERROR(__xludf.DUMMYFUNCTION("IFS(
  AND(REGEXMATCH(E11450, ""台銀籌備帳戶|玉山帳戶""), REGEXMATCH(C11450, ""薪資"")), ""分潤支出"",
  AND(REGEXMATCH(E11450, ""Ben帳戶|Elsa帳戶|Ben代墊|Ariel代墊|中信銀行共用""), REGEXMATCH(F11450, ""Ben帳戶|Elsa帳戶|Ben代墊|Ariel代墊|中信銀行共用"")), ""內部轉帳(忽略)"",
  AND(E11450&lt;&gt;"""", F11450&lt;&gt;"&amp;""""", NOT(REGEXMATCH(C11450, ""薪資""))), ""內部轉帳(忽略)"",
  REGEXMATCH(C11450, ""薪資""), ""薪資變動(不計入)"",
  REGEXMATCH(C11450, ""押金""), ""押金往來"",
  AND(E11450&lt;&gt;"""", F11450=""""), ""真實支出"",
  AND(E11450="""", F11450&lt;&gt;""""), ""真實收入"",
  TRUE, ""其他""
)"),"其他")</f>
        <v>其他</v>
      </c>
      <c r="K11450" s="270" t="str">
        <f t="shared" si="2"/>
        <v/>
      </c>
      <c r="L11450">
        <f t="shared" si="3"/>
        <v>0</v>
      </c>
    </row>
    <row r="11451">
      <c r="A11451" s="107"/>
      <c r="D11451" s="270"/>
      <c r="H11451" s="106" t="str">
        <f t="shared" si="1"/>
        <v/>
      </c>
      <c r="J11451" t="str">
        <f>IFERROR(__xludf.DUMMYFUNCTION("IFS(
  AND(REGEXMATCH(E11451, ""台銀籌備帳戶|玉山帳戶""), REGEXMATCH(C11451, ""薪資"")), ""分潤支出"",
  AND(REGEXMATCH(E11451, ""Ben帳戶|Elsa帳戶|Ben代墊|Ariel代墊|中信銀行共用""), REGEXMATCH(F11451, ""Ben帳戶|Elsa帳戶|Ben代墊|Ariel代墊|中信銀行共用"")), ""內部轉帳(忽略)"",
  AND(E11451&lt;&gt;"""", F11451&lt;&gt;"&amp;""""", NOT(REGEXMATCH(C11451, ""薪資""))), ""內部轉帳(忽略)"",
  REGEXMATCH(C11451, ""薪資""), ""薪資變動(不計入)"",
  REGEXMATCH(C11451, ""押金""), ""押金往來"",
  AND(E11451&lt;&gt;"""", F11451=""""), ""真實支出"",
  AND(E11451="""", F11451&lt;&gt;""""), ""真實收入"",
  TRUE, ""其他""
)"),"其他")</f>
        <v>其他</v>
      </c>
      <c r="K11451" s="270" t="str">
        <f t="shared" si="2"/>
        <v/>
      </c>
      <c r="L11451">
        <f t="shared" si="3"/>
        <v>0</v>
      </c>
    </row>
    <row r="11452">
      <c r="A11452" s="107"/>
      <c r="D11452" s="270"/>
      <c r="H11452" s="106" t="str">
        <f t="shared" si="1"/>
        <v/>
      </c>
      <c r="J11452" t="str">
        <f>IFERROR(__xludf.DUMMYFUNCTION("IFS(
  AND(REGEXMATCH(E11452, ""台銀籌備帳戶|玉山帳戶""), REGEXMATCH(C11452, ""薪資"")), ""分潤支出"",
  AND(REGEXMATCH(E11452, ""Ben帳戶|Elsa帳戶|Ben代墊|Ariel代墊|中信銀行共用""), REGEXMATCH(F11452, ""Ben帳戶|Elsa帳戶|Ben代墊|Ariel代墊|中信銀行共用"")), ""內部轉帳(忽略)"",
  AND(E11452&lt;&gt;"""", F11452&lt;&gt;"&amp;""""", NOT(REGEXMATCH(C11452, ""薪資""))), ""內部轉帳(忽略)"",
  REGEXMATCH(C11452, ""薪資""), ""薪資變動(不計入)"",
  REGEXMATCH(C11452, ""押金""), ""押金往來"",
  AND(E11452&lt;&gt;"""", F11452=""""), ""真實支出"",
  AND(E11452="""", F11452&lt;&gt;""""), ""真實收入"",
  TRUE, ""其他""
)"),"其他")</f>
        <v>其他</v>
      </c>
      <c r="K11452" s="270" t="str">
        <f t="shared" si="2"/>
        <v/>
      </c>
      <c r="L11452">
        <f t="shared" si="3"/>
        <v>0</v>
      </c>
    </row>
    <row r="11453">
      <c r="A11453" s="107"/>
      <c r="D11453" s="270"/>
      <c r="H11453" s="106" t="str">
        <f t="shared" si="1"/>
        <v/>
      </c>
      <c r="J11453" t="str">
        <f>IFERROR(__xludf.DUMMYFUNCTION("IFS(
  AND(REGEXMATCH(E11453, ""台銀籌備帳戶|玉山帳戶""), REGEXMATCH(C11453, ""薪資"")), ""分潤支出"",
  AND(REGEXMATCH(E11453, ""Ben帳戶|Elsa帳戶|Ben代墊|Ariel代墊|中信銀行共用""), REGEXMATCH(F11453, ""Ben帳戶|Elsa帳戶|Ben代墊|Ariel代墊|中信銀行共用"")), ""內部轉帳(忽略)"",
  AND(E11453&lt;&gt;"""", F11453&lt;&gt;"&amp;""""", NOT(REGEXMATCH(C11453, ""薪資""))), ""內部轉帳(忽略)"",
  REGEXMATCH(C11453, ""薪資""), ""薪資變動(不計入)"",
  REGEXMATCH(C11453, ""押金""), ""押金往來"",
  AND(E11453&lt;&gt;"""", F11453=""""), ""真實支出"",
  AND(E11453="""", F11453&lt;&gt;""""), ""真實收入"",
  TRUE, ""其他""
)"),"其他")</f>
        <v>其他</v>
      </c>
      <c r="K11453" s="270" t="str">
        <f t="shared" si="2"/>
        <v/>
      </c>
      <c r="L11453">
        <f t="shared" si="3"/>
        <v>0</v>
      </c>
    </row>
    <row r="11454">
      <c r="A11454" s="107"/>
      <c r="D11454" s="270"/>
      <c r="H11454" s="106" t="str">
        <f t="shared" si="1"/>
        <v/>
      </c>
      <c r="J11454" t="str">
        <f>IFERROR(__xludf.DUMMYFUNCTION("IFS(
  AND(REGEXMATCH(E11454, ""台銀籌備帳戶|玉山帳戶""), REGEXMATCH(C11454, ""薪資"")), ""分潤支出"",
  AND(REGEXMATCH(E11454, ""Ben帳戶|Elsa帳戶|Ben代墊|Ariel代墊|中信銀行共用""), REGEXMATCH(F11454, ""Ben帳戶|Elsa帳戶|Ben代墊|Ariel代墊|中信銀行共用"")), ""內部轉帳(忽略)"",
  AND(E11454&lt;&gt;"""", F11454&lt;&gt;"&amp;""""", NOT(REGEXMATCH(C11454, ""薪資""))), ""內部轉帳(忽略)"",
  REGEXMATCH(C11454, ""薪資""), ""薪資變動(不計入)"",
  REGEXMATCH(C11454, ""押金""), ""押金往來"",
  AND(E11454&lt;&gt;"""", F11454=""""), ""真實支出"",
  AND(E11454="""", F11454&lt;&gt;""""), ""真實收入"",
  TRUE, ""其他""
)"),"其他")</f>
        <v>其他</v>
      </c>
      <c r="K11454" s="270" t="str">
        <f t="shared" si="2"/>
        <v/>
      </c>
      <c r="L11454">
        <f t="shared" si="3"/>
        <v>0</v>
      </c>
    </row>
    <row r="11455">
      <c r="A11455" s="107"/>
      <c r="D11455" s="270"/>
      <c r="H11455" s="106" t="str">
        <f t="shared" si="1"/>
        <v/>
      </c>
      <c r="J11455" t="str">
        <f>IFERROR(__xludf.DUMMYFUNCTION("IFS(
  AND(REGEXMATCH(E11455, ""台銀籌備帳戶|玉山帳戶""), REGEXMATCH(C11455, ""薪資"")), ""分潤支出"",
  AND(REGEXMATCH(E11455, ""Ben帳戶|Elsa帳戶|Ben代墊|Ariel代墊|中信銀行共用""), REGEXMATCH(F11455, ""Ben帳戶|Elsa帳戶|Ben代墊|Ariel代墊|中信銀行共用"")), ""內部轉帳(忽略)"",
  AND(E11455&lt;&gt;"""", F11455&lt;&gt;"&amp;""""", NOT(REGEXMATCH(C11455, ""薪資""))), ""內部轉帳(忽略)"",
  REGEXMATCH(C11455, ""薪資""), ""薪資變動(不計入)"",
  REGEXMATCH(C11455, ""押金""), ""押金往來"",
  AND(E11455&lt;&gt;"""", F11455=""""), ""真實支出"",
  AND(E11455="""", F11455&lt;&gt;""""), ""真實收入"",
  TRUE, ""其他""
)"),"其他")</f>
        <v>其他</v>
      </c>
      <c r="K11455" s="270" t="str">
        <f t="shared" si="2"/>
        <v/>
      </c>
      <c r="L11455">
        <f t="shared" si="3"/>
        <v>0</v>
      </c>
    </row>
    <row r="11456">
      <c r="A11456" s="107"/>
      <c r="D11456" s="270"/>
      <c r="H11456" s="106" t="str">
        <f t="shared" si="1"/>
        <v/>
      </c>
      <c r="J11456" t="str">
        <f>IFERROR(__xludf.DUMMYFUNCTION("IFS(
  AND(REGEXMATCH(E11456, ""台銀籌備帳戶|玉山帳戶""), REGEXMATCH(C11456, ""薪資"")), ""分潤支出"",
  AND(REGEXMATCH(E11456, ""Ben帳戶|Elsa帳戶|Ben代墊|Ariel代墊|中信銀行共用""), REGEXMATCH(F11456, ""Ben帳戶|Elsa帳戶|Ben代墊|Ariel代墊|中信銀行共用"")), ""內部轉帳(忽略)"",
  AND(E11456&lt;&gt;"""", F11456&lt;&gt;"&amp;""""", NOT(REGEXMATCH(C11456, ""薪資""))), ""內部轉帳(忽略)"",
  REGEXMATCH(C11456, ""薪資""), ""薪資變動(不計入)"",
  REGEXMATCH(C11456, ""押金""), ""押金往來"",
  AND(E11456&lt;&gt;"""", F11456=""""), ""真實支出"",
  AND(E11456="""", F11456&lt;&gt;""""), ""真實收入"",
  TRUE, ""其他""
)"),"其他")</f>
        <v>其他</v>
      </c>
      <c r="K11456" s="270" t="str">
        <f t="shared" si="2"/>
        <v/>
      </c>
      <c r="L11456">
        <f t="shared" si="3"/>
        <v>0</v>
      </c>
    </row>
    <row r="11457">
      <c r="A11457" s="107"/>
      <c r="D11457" s="270"/>
      <c r="H11457" s="106" t="str">
        <f t="shared" si="1"/>
        <v/>
      </c>
      <c r="J11457" t="str">
        <f>IFERROR(__xludf.DUMMYFUNCTION("IFS(
  AND(REGEXMATCH(E11457, ""台銀籌備帳戶|玉山帳戶""), REGEXMATCH(C11457, ""薪資"")), ""分潤支出"",
  AND(REGEXMATCH(E11457, ""Ben帳戶|Elsa帳戶|Ben代墊|Ariel代墊|中信銀行共用""), REGEXMATCH(F11457, ""Ben帳戶|Elsa帳戶|Ben代墊|Ariel代墊|中信銀行共用"")), ""內部轉帳(忽略)"",
  AND(E11457&lt;&gt;"""", F11457&lt;&gt;"&amp;""""", NOT(REGEXMATCH(C11457, ""薪資""))), ""內部轉帳(忽略)"",
  REGEXMATCH(C11457, ""薪資""), ""薪資變動(不計入)"",
  REGEXMATCH(C11457, ""押金""), ""押金往來"",
  AND(E11457&lt;&gt;"""", F11457=""""), ""真實支出"",
  AND(E11457="""", F11457&lt;&gt;""""), ""真實收入"",
  TRUE, ""其他""
)"),"其他")</f>
        <v>其他</v>
      </c>
      <c r="K11457" s="270" t="str">
        <f t="shared" si="2"/>
        <v/>
      </c>
      <c r="L11457">
        <f t="shared" si="3"/>
        <v>0</v>
      </c>
    </row>
    <row r="11458">
      <c r="A11458" s="107"/>
      <c r="D11458" s="270"/>
      <c r="H11458" s="106" t="str">
        <f t="shared" si="1"/>
        <v/>
      </c>
      <c r="J11458" t="str">
        <f>IFERROR(__xludf.DUMMYFUNCTION("IFS(
  AND(REGEXMATCH(E11458, ""台銀籌備帳戶|玉山帳戶""), REGEXMATCH(C11458, ""薪資"")), ""分潤支出"",
  AND(REGEXMATCH(E11458, ""Ben帳戶|Elsa帳戶|Ben代墊|Ariel代墊|中信銀行共用""), REGEXMATCH(F11458, ""Ben帳戶|Elsa帳戶|Ben代墊|Ariel代墊|中信銀行共用"")), ""內部轉帳(忽略)"",
  AND(E11458&lt;&gt;"""", F11458&lt;&gt;"&amp;""""", NOT(REGEXMATCH(C11458, ""薪資""))), ""內部轉帳(忽略)"",
  REGEXMATCH(C11458, ""薪資""), ""薪資變動(不計入)"",
  REGEXMATCH(C11458, ""押金""), ""押金往來"",
  AND(E11458&lt;&gt;"""", F11458=""""), ""真實支出"",
  AND(E11458="""", F11458&lt;&gt;""""), ""真實收入"",
  TRUE, ""其他""
)"),"其他")</f>
        <v>其他</v>
      </c>
      <c r="K11458" s="270" t="str">
        <f t="shared" si="2"/>
        <v/>
      </c>
      <c r="L11458">
        <f t="shared" si="3"/>
        <v>0</v>
      </c>
    </row>
    <row r="11459">
      <c r="A11459" s="107"/>
      <c r="D11459" s="270"/>
      <c r="H11459" s="106" t="str">
        <f t="shared" si="1"/>
        <v/>
      </c>
      <c r="J11459" t="str">
        <f>IFERROR(__xludf.DUMMYFUNCTION("IFS(
  AND(REGEXMATCH(E11459, ""台銀籌備帳戶|玉山帳戶""), REGEXMATCH(C11459, ""薪資"")), ""分潤支出"",
  AND(REGEXMATCH(E11459, ""Ben帳戶|Elsa帳戶|Ben代墊|Ariel代墊|中信銀行共用""), REGEXMATCH(F11459, ""Ben帳戶|Elsa帳戶|Ben代墊|Ariel代墊|中信銀行共用"")), ""內部轉帳(忽略)"",
  AND(E11459&lt;&gt;"""", F11459&lt;&gt;"&amp;""""", NOT(REGEXMATCH(C11459, ""薪資""))), ""內部轉帳(忽略)"",
  REGEXMATCH(C11459, ""薪資""), ""薪資變動(不計入)"",
  REGEXMATCH(C11459, ""押金""), ""押金往來"",
  AND(E11459&lt;&gt;"""", F11459=""""), ""真實支出"",
  AND(E11459="""", F11459&lt;&gt;""""), ""真實收入"",
  TRUE, ""其他""
)"),"其他")</f>
        <v>其他</v>
      </c>
      <c r="K11459" s="270" t="str">
        <f t="shared" si="2"/>
        <v/>
      </c>
      <c r="L11459">
        <f t="shared" si="3"/>
        <v>0</v>
      </c>
    </row>
    <row r="11460">
      <c r="A11460" s="107"/>
      <c r="D11460" s="270"/>
      <c r="H11460" s="106" t="str">
        <f t="shared" si="1"/>
        <v/>
      </c>
      <c r="J11460" t="str">
        <f>IFERROR(__xludf.DUMMYFUNCTION("IFS(
  AND(REGEXMATCH(E11460, ""台銀籌備帳戶|玉山帳戶""), REGEXMATCH(C11460, ""薪資"")), ""分潤支出"",
  AND(REGEXMATCH(E11460, ""Ben帳戶|Elsa帳戶|Ben代墊|Ariel代墊|中信銀行共用""), REGEXMATCH(F11460, ""Ben帳戶|Elsa帳戶|Ben代墊|Ariel代墊|中信銀行共用"")), ""內部轉帳(忽略)"",
  AND(E11460&lt;&gt;"""", F11460&lt;&gt;"&amp;""""", NOT(REGEXMATCH(C11460, ""薪資""))), ""內部轉帳(忽略)"",
  REGEXMATCH(C11460, ""薪資""), ""薪資變動(不計入)"",
  REGEXMATCH(C11460, ""押金""), ""押金往來"",
  AND(E11460&lt;&gt;"""", F11460=""""), ""真實支出"",
  AND(E11460="""", F11460&lt;&gt;""""), ""真實收入"",
  TRUE, ""其他""
)"),"其他")</f>
        <v>其他</v>
      </c>
      <c r="K11460" s="270" t="str">
        <f t="shared" si="2"/>
        <v/>
      </c>
      <c r="L11460">
        <f t="shared" si="3"/>
        <v>0</v>
      </c>
    </row>
    <row r="11461">
      <c r="A11461" s="107"/>
      <c r="D11461" s="270"/>
      <c r="H11461" s="106" t="str">
        <f t="shared" si="1"/>
        <v/>
      </c>
      <c r="J11461" t="str">
        <f>IFERROR(__xludf.DUMMYFUNCTION("IFS(
  AND(REGEXMATCH(E11461, ""台銀籌備帳戶|玉山帳戶""), REGEXMATCH(C11461, ""薪資"")), ""分潤支出"",
  AND(REGEXMATCH(E11461, ""Ben帳戶|Elsa帳戶|Ben代墊|Ariel代墊|中信銀行共用""), REGEXMATCH(F11461, ""Ben帳戶|Elsa帳戶|Ben代墊|Ariel代墊|中信銀行共用"")), ""內部轉帳(忽略)"",
  AND(E11461&lt;&gt;"""", F11461&lt;&gt;"&amp;""""", NOT(REGEXMATCH(C11461, ""薪資""))), ""內部轉帳(忽略)"",
  REGEXMATCH(C11461, ""薪資""), ""薪資變動(不計入)"",
  REGEXMATCH(C11461, ""押金""), ""押金往來"",
  AND(E11461&lt;&gt;"""", F11461=""""), ""真實支出"",
  AND(E11461="""", F11461&lt;&gt;""""), ""真實收入"",
  TRUE, ""其他""
)"),"其他")</f>
        <v>其他</v>
      </c>
      <c r="K11461" s="270" t="str">
        <f t="shared" si="2"/>
        <v/>
      </c>
      <c r="L11461">
        <f t="shared" si="3"/>
        <v>0</v>
      </c>
    </row>
    <row r="11462">
      <c r="A11462" s="107"/>
      <c r="D11462" s="270"/>
      <c r="H11462" s="106" t="str">
        <f t="shared" si="1"/>
        <v/>
      </c>
      <c r="J11462" t="str">
        <f>IFERROR(__xludf.DUMMYFUNCTION("IFS(
  AND(REGEXMATCH(E11462, ""台銀籌備帳戶|玉山帳戶""), REGEXMATCH(C11462, ""薪資"")), ""分潤支出"",
  AND(REGEXMATCH(E11462, ""Ben帳戶|Elsa帳戶|Ben代墊|Ariel代墊|中信銀行共用""), REGEXMATCH(F11462, ""Ben帳戶|Elsa帳戶|Ben代墊|Ariel代墊|中信銀行共用"")), ""內部轉帳(忽略)"",
  AND(E11462&lt;&gt;"""", F11462&lt;&gt;"&amp;""""", NOT(REGEXMATCH(C11462, ""薪資""))), ""內部轉帳(忽略)"",
  REGEXMATCH(C11462, ""薪資""), ""薪資變動(不計入)"",
  REGEXMATCH(C11462, ""押金""), ""押金往來"",
  AND(E11462&lt;&gt;"""", F11462=""""), ""真實支出"",
  AND(E11462="""", F11462&lt;&gt;""""), ""真實收入"",
  TRUE, ""其他""
)"),"其他")</f>
        <v>其他</v>
      </c>
      <c r="K11462" s="270" t="str">
        <f t="shared" si="2"/>
        <v/>
      </c>
      <c r="L11462">
        <f t="shared" si="3"/>
        <v>0</v>
      </c>
    </row>
    <row r="11463">
      <c r="A11463" s="107"/>
      <c r="D11463" s="270"/>
      <c r="H11463" s="106" t="str">
        <f t="shared" si="1"/>
        <v/>
      </c>
      <c r="J11463" t="str">
        <f>IFERROR(__xludf.DUMMYFUNCTION("IFS(
  AND(REGEXMATCH(E11463, ""台銀籌備帳戶|玉山帳戶""), REGEXMATCH(C11463, ""薪資"")), ""分潤支出"",
  AND(REGEXMATCH(E11463, ""Ben帳戶|Elsa帳戶|Ben代墊|Ariel代墊|中信銀行共用""), REGEXMATCH(F11463, ""Ben帳戶|Elsa帳戶|Ben代墊|Ariel代墊|中信銀行共用"")), ""內部轉帳(忽略)"",
  AND(E11463&lt;&gt;"""", F11463&lt;&gt;"&amp;""""", NOT(REGEXMATCH(C11463, ""薪資""))), ""內部轉帳(忽略)"",
  REGEXMATCH(C11463, ""薪資""), ""薪資變動(不計入)"",
  REGEXMATCH(C11463, ""押金""), ""押金往來"",
  AND(E11463&lt;&gt;"""", F11463=""""), ""真實支出"",
  AND(E11463="""", F11463&lt;&gt;""""), ""真實收入"",
  TRUE, ""其他""
)"),"其他")</f>
        <v>其他</v>
      </c>
      <c r="K11463" s="270" t="str">
        <f t="shared" si="2"/>
        <v/>
      </c>
      <c r="L11463">
        <f t="shared" si="3"/>
        <v>0</v>
      </c>
    </row>
    <row r="11464">
      <c r="A11464" s="107"/>
      <c r="D11464" s="270"/>
      <c r="H11464" s="106" t="str">
        <f t="shared" si="1"/>
        <v/>
      </c>
      <c r="J11464" t="str">
        <f>IFERROR(__xludf.DUMMYFUNCTION("IFS(
  AND(REGEXMATCH(E11464, ""台銀籌備帳戶|玉山帳戶""), REGEXMATCH(C11464, ""薪資"")), ""分潤支出"",
  AND(REGEXMATCH(E11464, ""Ben帳戶|Elsa帳戶|Ben代墊|Ariel代墊|中信銀行共用""), REGEXMATCH(F11464, ""Ben帳戶|Elsa帳戶|Ben代墊|Ariel代墊|中信銀行共用"")), ""內部轉帳(忽略)"",
  AND(E11464&lt;&gt;"""", F11464&lt;&gt;"&amp;""""", NOT(REGEXMATCH(C11464, ""薪資""))), ""內部轉帳(忽略)"",
  REGEXMATCH(C11464, ""薪資""), ""薪資變動(不計入)"",
  REGEXMATCH(C11464, ""押金""), ""押金往來"",
  AND(E11464&lt;&gt;"""", F11464=""""), ""真實支出"",
  AND(E11464="""", F11464&lt;&gt;""""), ""真實收入"",
  TRUE, ""其他""
)"),"其他")</f>
        <v>其他</v>
      </c>
      <c r="K11464" s="270" t="str">
        <f t="shared" si="2"/>
        <v/>
      </c>
      <c r="L11464">
        <f t="shared" si="3"/>
        <v>0</v>
      </c>
    </row>
    <row r="11465">
      <c r="A11465" s="107"/>
      <c r="D11465" s="270"/>
      <c r="H11465" s="106" t="str">
        <f t="shared" si="1"/>
        <v/>
      </c>
      <c r="J11465" t="str">
        <f>IFERROR(__xludf.DUMMYFUNCTION("IFS(
  AND(REGEXMATCH(E11465, ""台銀籌備帳戶|玉山帳戶""), REGEXMATCH(C11465, ""薪資"")), ""分潤支出"",
  AND(REGEXMATCH(E11465, ""Ben帳戶|Elsa帳戶|Ben代墊|Ariel代墊|中信銀行共用""), REGEXMATCH(F11465, ""Ben帳戶|Elsa帳戶|Ben代墊|Ariel代墊|中信銀行共用"")), ""內部轉帳(忽略)"",
  AND(E11465&lt;&gt;"""", F11465&lt;&gt;"&amp;""""", NOT(REGEXMATCH(C11465, ""薪資""))), ""內部轉帳(忽略)"",
  REGEXMATCH(C11465, ""薪資""), ""薪資變動(不計入)"",
  REGEXMATCH(C11465, ""押金""), ""押金往來"",
  AND(E11465&lt;&gt;"""", F11465=""""), ""真實支出"",
  AND(E11465="""", F11465&lt;&gt;""""), ""真實收入"",
  TRUE, ""其他""
)"),"其他")</f>
        <v>其他</v>
      </c>
      <c r="K11465" s="270" t="str">
        <f t="shared" si="2"/>
        <v/>
      </c>
      <c r="L11465">
        <f t="shared" si="3"/>
        <v>0</v>
      </c>
    </row>
    <row r="11466">
      <c r="A11466" s="107"/>
      <c r="D11466" s="270"/>
      <c r="H11466" s="106" t="str">
        <f t="shared" si="1"/>
        <v/>
      </c>
      <c r="J11466" t="str">
        <f>IFERROR(__xludf.DUMMYFUNCTION("IFS(
  AND(REGEXMATCH(E11466, ""台銀籌備帳戶|玉山帳戶""), REGEXMATCH(C11466, ""薪資"")), ""分潤支出"",
  AND(REGEXMATCH(E11466, ""Ben帳戶|Elsa帳戶|Ben代墊|Ariel代墊|中信銀行共用""), REGEXMATCH(F11466, ""Ben帳戶|Elsa帳戶|Ben代墊|Ariel代墊|中信銀行共用"")), ""內部轉帳(忽略)"",
  AND(E11466&lt;&gt;"""", F11466&lt;&gt;"&amp;""""", NOT(REGEXMATCH(C11466, ""薪資""))), ""內部轉帳(忽略)"",
  REGEXMATCH(C11466, ""薪資""), ""薪資變動(不計入)"",
  REGEXMATCH(C11466, ""押金""), ""押金往來"",
  AND(E11466&lt;&gt;"""", F11466=""""), ""真實支出"",
  AND(E11466="""", F11466&lt;&gt;""""), ""真實收入"",
  TRUE, ""其他""
)"),"其他")</f>
        <v>其他</v>
      </c>
      <c r="K11466" s="270" t="str">
        <f t="shared" si="2"/>
        <v/>
      </c>
      <c r="L11466">
        <f t="shared" si="3"/>
        <v>0</v>
      </c>
    </row>
    <row r="11467">
      <c r="A11467" s="107"/>
      <c r="D11467" s="270"/>
      <c r="H11467" s="106" t="str">
        <f t="shared" si="1"/>
        <v/>
      </c>
      <c r="J11467" t="str">
        <f>IFERROR(__xludf.DUMMYFUNCTION("IFS(
  AND(REGEXMATCH(E11467, ""台銀籌備帳戶|玉山帳戶""), REGEXMATCH(C11467, ""薪資"")), ""分潤支出"",
  AND(REGEXMATCH(E11467, ""Ben帳戶|Elsa帳戶|Ben代墊|Ariel代墊|中信銀行共用""), REGEXMATCH(F11467, ""Ben帳戶|Elsa帳戶|Ben代墊|Ariel代墊|中信銀行共用"")), ""內部轉帳(忽略)"",
  AND(E11467&lt;&gt;"""", F11467&lt;&gt;"&amp;""""", NOT(REGEXMATCH(C11467, ""薪資""))), ""內部轉帳(忽略)"",
  REGEXMATCH(C11467, ""薪資""), ""薪資變動(不計入)"",
  REGEXMATCH(C11467, ""押金""), ""押金往來"",
  AND(E11467&lt;&gt;"""", F11467=""""), ""真實支出"",
  AND(E11467="""", F11467&lt;&gt;""""), ""真實收入"",
  TRUE, ""其他""
)"),"其他")</f>
        <v>其他</v>
      </c>
      <c r="K11467" s="270" t="str">
        <f t="shared" si="2"/>
        <v/>
      </c>
      <c r="L11467">
        <f t="shared" si="3"/>
        <v>0</v>
      </c>
    </row>
    <row r="11468">
      <c r="A11468" s="107"/>
      <c r="D11468" s="270"/>
      <c r="H11468" s="106" t="str">
        <f t="shared" si="1"/>
        <v/>
      </c>
      <c r="J11468" t="str">
        <f>IFERROR(__xludf.DUMMYFUNCTION("IFS(
  AND(REGEXMATCH(E11468, ""台銀籌備帳戶|玉山帳戶""), REGEXMATCH(C11468, ""薪資"")), ""分潤支出"",
  AND(REGEXMATCH(E11468, ""Ben帳戶|Elsa帳戶|Ben代墊|Ariel代墊|中信銀行共用""), REGEXMATCH(F11468, ""Ben帳戶|Elsa帳戶|Ben代墊|Ariel代墊|中信銀行共用"")), ""內部轉帳(忽略)"",
  AND(E11468&lt;&gt;"""", F11468&lt;&gt;"&amp;""""", NOT(REGEXMATCH(C11468, ""薪資""))), ""內部轉帳(忽略)"",
  REGEXMATCH(C11468, ""薪資""), ""薪資變動(不計入)"",
  REGEXMATCH(C11468, ""押金""), ""押金往來"",
  AND(E11468&lt;&gt;"""", F11468=""""), ""真實支出"",
  AND(E11468="""", F11468&lt;&gt;""""), ""真實收入"",
  TRUE, ""其他""
)"),"其他")</f>
        <v>其他</v>
      </c>
      <c r="K11468" s="270" t="str">
        <f t="shared" si="2"/>
        <v/>
      </c>
      <c r="L11468">
        <f t="shared" si="3"/>
        <v>0</v>
      </c>
    </row>
    <row r="11469">
      <c r="A11469" s="107"/>
      <c r="D11469" s="270"/>
      <c r="H11469" s="106" t="str">
        <f t="shared" si="1"/>
        <v/>
      </c>
      <c r="J11469" t="str">
        <f>IFERROR(__xludf.DUMMYFUNCTION("IFS(
  AND(REGEXMATCH(E11469, ""台銀籌備帳戶|玉山帳戶""), REGEXMATCH(C11469, ""薪資"")), ""分潤支出"",
  AND(REGEXMATCH(E11469, ""Ben帳戶|Elsa帳戶|Ben代墊|Ariel代墊|中信銀行共用""), REGEXMATCH(F11469, ""Ben帳戶|Elsa帳戶|Ben代墊|Ariel代墊|中信銀行共用"")), ""內部轉帳(忽略)"",
  AND(E11469&lt;&gt;"""", F11469&lt;&gt;"&amp;""""", NOT(REGEXMATCH(C11469, ""薪資""))), ""內部轉帳(忽略)"",
  REGEXMATCH(C11469, ""薪資""), ""薪資變動(不計入)"",
  REGEXMATCH(C11469, ""押金""), ""押金往來"",
  AND(E11469&lt;&gt;"""", F11469=""""), ""真實支出"",
  AND(E11469="""", F11469&lt;&gt;""""), ""真實收入"",
  TRUE, ""其他""
)"),"其他")</f>
        <v>其他</v>
      </c>
      <c r="K11469" s="270" t="str">
        <f t="shared" si="2"/>
        <v/>
      </c>
      <c r="L11469">
        <f t="shared" si="3"/>
        <v>0</v>
      </c>
    </row>
    <row r="11470">
      <c r="A11470" s="107"/>
      <c r="D11470" s="270"/>
      <c r="H11470" s="106" t="str">
        <f t="shared" si="1"/>
        <v/>
      </c>
      <c r="J11470" t="str">
        <f>IFERROR(__xludf.DUMMYFUNCTION("IFS(
  AND(REGEXMATCH(E11470, ""台銀籌備帳戶|玉山帳戶""), REGEXMATCH(C11470, ""薪資"")), ""分潤支出"",
  AND(REGEXMATCH(E11470, ""Ben帳戶|Elsa帳戶|Ben代墊|Ariel代墊|中信銀行共用""), REGEXMATCH(F11470, ""Ben帳戶|Elsa帳戶|Ben代墊|Ariel代墊|中信銀行共用"")), ""內部轉帳(忽略)"",
  AND(E11470&lt;&gt;"""", F11470&lt;&gt;"&amp;""""", NOT(REGEXMATCH(C11470, ""薪資""))), ""內部轉帳(忽略)"",
  REGEXMATCH(C11470, ""薪資""), ""薪資變動(不計入)"",
  REGEXMATCH(C11470, ""押金""), ""押金往來"",
  AND(E11470&lt;&gt;"""", F11470=""""), ""真實支出"",
  AND(E11470="""", F11470&lt;&gt;""""), ""真實收入"",
  TRUE, ""其他""
)"),"其他")</f>
        <v>其他</v>
      </c>
      <c r="K11470" s="270" t="str">
        <f t="shared" si="2"/>
        <v/>
      </c>
      <c r="L11470">
        <f t="shared" si="3"/>
        <v>0</v>
      </c>
    </row>
    <row r="11471">
      <c r="A11471" s="107"/>
      <c r="D11471" s="270"/>
      <c r="H11471" s="106" t="str">
        <f t="shared" si="1"/>
        <v/>
      </c>
      <c r="J11471" t="str">
        <f>IFERROR(__xludf.DUMMYFUNCTION("IFS(
  AND(REGEXMATCH(E11471, ""台銀籌備帳戶|玉山帳戶""), REGEXMATCH(C11471, ""薪資"")), ""分潤支出"",
  AND(REGEXMATCH(E11471, ""Ben帳戶|Elsa帳戶|Ben代墊|Ariel代墊|中信銀行共用""), REGEXMATCH(F11471, ""Ben帳戶|Elsa帳戶|Ben代墊|Ariel代墊|中信銀行共用"")), ""內部轉帳(忽略)"",
  AND(E11471&lt;&gt;"""", F11471&lt;&gt;"&amp;""""", NOT(REGEXMATCH(C11471, ""薪資""))), ""內部轉帳(忽略)"",
  REGEXMATCH(C11471, ""薪資""), ""薪資變動(不計入)"",
  REGEXMATCH(C11471, ""押金""), ""押金往來"",
  AND(E11471&lt;&gt;"""", F11471=""""), ""真實支出"",
  AND(E11471="""", F11471&lt;&gt;""""), ""真實收入"",
  TRUE, ""其他""
)"),"其他")</f>
        <v>其他</v>
      </c>
      <c r="K11471" s="270" t="str">
        <f t="shared" si="2"/>
        <v/>
      </c>
      <c r="L11471">
        <f t="shared" si="3"/>
        <v>0</v>
      </c>
    </row>
    <row r="11472">
      <c r="A11472" s="107"/>
      <c r="D11472" s="270"/>
      <c r="H11472" s="106" t="str">
        <f t="shared" si="1"/>
        <v/>
      </c>
      <c r="J11472" t="str">
        <f>IFERROR(__xludf.DUMMYFUNCTION("IFS(
  AND(REGEXMATCH(E11472, ""台銀籌備帳戶|玉山帳戶""), REGEXMATCH(C11472, ""薪資"")), ""分潤支出"",
  AND(REGEXMATCH(E11472, ""Ben帳戶|Elsa帳戶|Ben代墊|Ariel代墊|中信銀行共用""), REGEXMATCH(F11472, ""Ben帳戶|Elsa帳戶|Ben代墊|Ariel代墊|中信銀行共用"")), ""內部轉帳(忽略)"",
  AND(E11472&lt;&gt;"""", F11472&lt;&gt;"&amp;""""", NOT(REGEXMATCH(C11472, ""薪資""))), ""內部轉帳(忽略)"",
  REGEXMATCH(C11472, ""薪資""), ""薪資變動(不計入)"",
  REGEXMATCH(C11472, ""押金""), ""押金往來"",
  AND(E11472&lt;&gt;"""", F11472=""""), ""真實支出"",
  AND(E11472="""", F11472&lt;&gt;""""), ""真實收入"",
  TRUE, ""其他""
)"),"其他")</f>
        <v>其他</v>
      </c>
      <c r="K11472" s="270" t="str">
        <f t="shared" si="2"/>
        <v/>
      </c>
      <c r="L11472">
        <f t="shared" si="3"/>
        <v>0</v>
      </c>
    </row>
    <row r="11473">
      <c r="A11473" s="107"/>
      <c r="D11473" s="270"/>
      <c r="H11473" s="106" t="str">
        <f t="shared" si="1"/>
        <v/>
      </c>
      <c r="J11473" t="str">
        <f>IFERROR(__xludf.DUMMYFUNCTION("IFS(
  AND(REGEXMATCH(E11473, ""台銀籌備帳戶|玉山帳戶""), REGEXMATCH(C11473, ""薪資"")), ""分潤支出"",
  AND(REGEXMATCH(E11473, ""Ben帳戶|Elsa帳戶|Ben代墊|Ariel代墊|中信銀行共用""), REGEXMATCH(F11473, ""Ben帳戶|Elsa帳戶|Ben代墊|Ariel代墊|中信銀行共用"")), ""內部轉帳(忽略)"",
  AND(E11473&lt;&gt;"""", F11473&lt;&gt;"&amp;""""", NOT(REGEXMATCH(C11473, ""薪資""))), ""內部轉帳(忽略)"",
  REGEXMATCH(C11473, ""薪資""), ""薪資變動(不計入)"",
  REGEXMATCH(C11473, ""押金""), ""押金往來"",
  AND(E11473&lt;&gt;"""", F11473=""""), ""真實支出"",
  AND(E11473="""", F11473&lt;&gt;""""), ""真實收入"",
  TRUE, ""其他""
)"),"其他")</f>
        <v>其他</v>
      </c>
      <c r="K11473" s="270" t="str">
        <f t="shared" si="2"/>
        <v/>
      </c>
      <c r="L11473">
        <f t="shared" si="3"/>
        <v>0</v>
      </c>
    </row>
    <row r="11474">
      <c r="A11474" s="107"/>
      <c r="D11474" s="270"/>
      <c r="H11474" s="106" t="str">
        <f t="shared" si="1"/>
        <v/>
      </c>
      <c r="J11474" t="str">
        <f>IFERROR(__xludf.DUMMYFUNCTION("IFS(
  AND(REGEXMATCH(E11474, ""台銀籌備帳戶|玉山帳戶""), REGEXMATCH(C11474, ""薪資"")), ""分潤支出"",
  AND(REGEXMATCH(E11474, ""Ben帳戶|Elsa帳戶|Ben代墊|Ariel代墊|中信銀行共用""), REGEXMATCH(F11474, ""Ben帳戶|Elsa帳戶|Ben代墊|Ariel代墊|中信銀行共用"")), ""內部轉帳(忽略)"",
  AND(E11474&lt;&gt;"""", F11474&lt;&gt;"&amp;""""", NOT(REGEXMATCH(C11474, ""薪資""))), ""內部轉帳(忽略)"",
  REGEXMATCH(C11474, ""薪資""), ""薪資變動(不計入)"",
  REGEXMATCH(C11474, ""押金""), ""押金往來"",
  AND(E11474&lt;&gt;"""", F11474=""""), ""真實支出"",
  AND(E11474="""", F11474&lt;&gt;""""), ""真實收入"",
  TRUE, ""其他""
)"),"其他")</f>
        <v>其他</v>
      </c>
      <c r="K11474" s="270" t="str">
        <f t="shared" si="2"/>
        <v/>
      </c>
      <c r="L11474">
        <f t="shared" si="3"/>
        <v>0</v>
      </c>
    </row>
    <row r="11475">
      <c r="A11475" s="107"/>
      <c r="D11475" s="270"/>
      <c r="H11475" s="106" t="str">
        <f t="shared" si="1"/>
        <v/>
      </c>
      <c r="J11475" t="str">
        <f>IFERROR(__xludf.DUMMYFUNCTION("IFS(
  AND(REGEXMATCH(E11475, ""台銀籌備帳戶|玉山帳戶""), REGEXMATCH(C11475, ""薪資"")), ""分潤支出"",
  AND(REGEXMATCH(E11475, ""Ben帳戶|Elsa帳戶|Ben代墊|Ariel代墊|中信銀行共用""), REGEXMATCH(F11475, ""Ben帳戶|Elsa帳戶|Ben代墊|Ariel代墊|中信銀行共用"")), ""內部轉帳(忽略)"",
  AND(E11475&lt;&gt;"""", F11475&lt;&gt;"&amp;""""", NOT(REGEXMATCH(C11475, ""薪資""))), ""內部轉帳(忽略)"",
  REGEXMATCH(C11475, ""薪資""), ""薪資變動(不計入)"",
  REGEXMATCH(C11475, ""押金""), ""押金往來"",
  AND(E11475&lt;&gt;"""", F11475=""""), ""真實支出"",
  AND(E11475="""", F11475&lt;&gt;""""), ""真實收入"",
  TRUE, ""其他""
)"),"其他")</f>
        <v>其他</v>
      </c>
      <c r="K11475" s="270" t="str">
        <f t="shared" si="2"/>
        <v/>
      </c>
      <c r="L11475">
        <f t="shared" si="3"/>
        <v>0</v>
      </c>
    </row>
    <row r="11476">
      <c r="A11476" s="107"/>
      <c r="D11476" s="270"/>
      <c r="H11476" s="106" t="str">
        <f t="shared" si="1"/>
        <v/>
      </c>
      <c r="J11476" t="str">
        <f>IFERROR(__xludf.DUMMYFUNCTION("IFS(
  AND(REGEXMATCH(E11476, ""台銀籌備帳戶|玉山帳戶""), REGEXMATCH(C11476, ""薪資"")), ""分潤支出"",
  AND(REGEXMATCH(E11476, ""Ben帳戶|Elsa帳戶|Ben代墊|Ariel代墊|中信銀行共用""), REGEXMATCH(F11476, ""Ben帳戶|Elsa帳戶|Ben代墊|Ariel代墊|中信銀行共用"")), ""內部轉帳(忽略)"",
  AND(E11476&lt;&gt;"""", F11476&lt;&gt;"&amp;""""", NOT(REGEXMATCH(C11476, ""薪資""))), ""內部轉帳(忽略)"",
  REGEXMATCH(C11476, ""薪資""), ""薪資變動(不計入)"",
  REGEXMATCH(C11476, ""押金""), ""押金往來"",
  AND(E11476&lt;&gt;"""", F11476=""""), ""真實支出"",
  AND(E11476="""", F11476&lt;&gt;""""), ""真實收入"",
  TRUE, ""其他""
)"),"其他")</f>
        <v>其他</v>
      </c>
      <c r="K11476" s="270" t="str">
        <f t="shared" si="2"/>
        <v/>
      </c>
      <c r="L11476">
        <f t="shared" si="3"/>
        <v>0</v>
      </c>
    </row>
    <row r="11477">
      <c r="A11477" s="107"/>
      <c r="D11477" s="270"/>
      <c r="H11477" s="106" t="str">
        <f t="shared" si="1"/>
        <v/>
      </c>
      <c r="J11477" t="str">
        <f>IFERROR(__xludf.DUMMYFUNCTION("IFS(
  AND(REGEXMATCH(E11477, ""台銀籌備帳戶|玉山帳戶""), REGEXMATCH(C11477, ""薪資"")), ""分潤支出"",
  AND(REGEXMATCH(E11477, ""Ben帳戶|Elsa帳戶|Ben代墊|Ariel代墊|中信銀行共用""), REGEXMATCH(F11477, ""Ben帳戶|Elsa帳戶|Ben代墊|Ariel代墊|中信銀行共用"")), ""內部轉帳(忽略)"",
  AND(E11477&lt;&gt;"""", F11477&lt;&gt;"&amp;""""", NOT(REGEXMATCH(C11477, ""薪資""))), ""內部轉帳(忽略)"",
  REGEXMATCH(C11477, ""薪資""), ""薪資變動(不計入)"",
  REGEXMATCH(C11477, ""押金""), ""押金往來"",
  AND(E11477&lt;&gt;"""", F11477=""""), ""真實支出"",
  AND(E11477="""", F11477&lt;&gt;""""), ""真實收入"",
  TRUE, ""其他""
)"),"其他")</f>
        <v>其他</v>
      </c>
      <c r="K11477" s="270" t="str">
        <f t="shared" si="2"/>
        <v/>
      </c>
      <c r="L11477">
        <f t="shared" si="3"/>
        <v>0</v>
      </c>
    </row>
    <row r="11478">
      <c r="A11478" s="107"/>
      <c r="D11478" s="270"/>
      <c r="H11478" s="106" t="str">
        <f t="shared" si="1"/>
        <v/>
      </c>
      <c r="J11478" t="str">
        <f>IFERROR(__xludf.DUMMYFUNCTION("IFS(
  AND(REGEXMATCH(E11478, ""台銀籌備帳戶|玉山帳戶""), REGEXMATCH(C11478, ""薪資"")), ""分潤支出"",
  AND(REGEXMATCH(E11478, ""Ben帳戶|Elsa帳戶|Ben代墊|Ariel代墊|中信銀行共用""), REGEXMATCH(F11478, ""Ben帳戶|Elsa帳戶|Ben代墊|Ariel代墊|中信銀行共用"")), ""內部轉帳(忽略)"",
  AND(E11478&lt;&gt;"""", F11478&lt;&gt;"&amp;""""", NOT(REGEXMATCH(C11478, ""薪資""))), ""內部轉帳(忽略)"",
  REGEXMATCH(C11478, ""薪資""), ""薪資變動(不計入)"",
  REGEXMATCH(C11478, ""押金""), ""押金往來"",
  AND(E11478&lt;&gt;"""", F11478=""""), ""真實支出"",
  AND(E11478="""", F11478&lt;&gt;""""), ""真實收入"",
  TRUE, ""其他""
)"),"其他")</f>
        <v>其他</v>
      </c>
      <c r="K11478" s="270" t="str">
        <f t="shared" si="2"/>
        <v/>
      </c>
      <c r="L11478">
        <f t="shared" si="3"/>
        <v>0</v>
      </c>
    </row>
    <row r="11479">
      <c r="A11479" s="107"/>
      <c r="D11479" s="270"/>
      <c r="H11479" s="106" t="str">
        <f t="shared" si="1"/>
        <v/>
      </c>
      <c r="J11479" t="str">
        <f>IFERROR(__xludf.DUMMYFUNCTION("IFS(
  AND(REGEXMATCH(E11479, ""台銀籌備帳戶|玉山帳戶""), REGEXMATCH(C11479, ""薪資"")), ""分潤支出"",
  AND(REGEXMATCH(E11479, ""Ben帳戶|Elsa帳戶|Ben代墊|Ariel代墊|中信銀行共用""), REGEXMATCH(F11479, ""Ben帳戶|Elsa帳戶|Ben代墊|Ariel代墊|中信銀行共用"")), ""內部轉帳(忽略)"",
  AND(E11479&lt;&gt;"""", F11479&lt;&gt;"&amp;""""", NOT(REGEXMATCH(C11479, ""薪資""))), ""內部轉帳(忽略)"",
  REGEXMATCH(C11479, ""薪資""), ""薪資變動(不計入)"",
  REGEXMATCH(C11479, ""押金""), ""押金往來"",
  AND(E11479&lt;&gt;"""", F11479=""""), ""真實支出"",
  AND(E11479="""", F11479&lt;&gt;""""), ""真實收入"",
  TRUE, ""其他""
)"),"其他")</f>
        <v>其他</v>
      </c>
      <c r="K11479" s="270" t="str">
        <f t="shared" si="2"/>
        <v/>
      </c>
      <c r="L11479">
        <f t="shared" si="3"/>
        <v>0</v>
      </c>
    </row>
    <row r="11480">
      <c r="A11480" s="107"/>
      <c r="D11480" s="270"/>
      <c r="H11480" s="106" t="str">
        <f t="shared" si="1"/>
        <v/>
      </c>
      <c r="J11480" t="str">
        <f>IFERROR(__xludf.DUMMYFUNCTION("IFS(
  AND(REGEXMATCH(E11480, ""台銀籌備帳戶|玉山帳戶""), REGEXMATCH(C11480, ""薪資"")), ""分潤支出"",
  AND(REGEXMATCH(E11480, ""Ben帳戶|Elsa帳戶|Ben代墊|Ariel代墊|中信銀行共用""), REGEXMATCH(F11480, ""Ben帳戶|Elsa帳戶|Ben代墊|Ariel代墊|中信銀行共用"")), ""內部轉帳(忽略)"",
  AND(E11480&lt;&gt;"""", F11480&lt;&gt;"&amp;""""", NOT(REGEXMATCH(C11480, ""薪資""))), ""內部轉帳(忽略)"",
  REGEXMATCH(C11480, ""薪資""), ""薪資變動(不計入)"",
  REGEXMATCH(C11480, ""押金""), ""押金往來"",
  AND(E11480&lt;&gt;"""", F11480=""""), ""真實支出"",
  AND(E11480="""", F11480&lt;&gt;""""), ""真實收入"",
  TRUE, ""其他""
)"),"其他")</f>
        <v>其他</v>
      </c>
      <c r="K11480" s="270" t="str">
        <f t="shared" si="2"/>
        <v/>
      </c>
      <c r="L11480">
        <f t="shared" si="3"/>
        <v>0</v>
      </c>
    </row>
    <row r="11481">
      <c r="A11481" s="107"/>
      <c r="D11481" s="270"/>
      <c r="H11481" s="106" t="str">
        <f t="shared" si="1"/>
        <v/>
      </c>
      <c r="J11481" t="str">
        <f>IFERROR(__xludf.DUMMYFUNCTION("IFS(
  AND(REGEXMATCH(E11481, ""台銀籌備帳戶|玉山帳戶""), REGEXMATCH(C11481, ""薪資"")), ""分潤支出"",
  AND(REGEXMATCH(E11481, ""Ben帳戶|Elsa帳戶|Ben代墊|Ariel代墊|中信銀行共用""), REGEXMATCH(F11481, ""Ben帳戶|Elsa帳戶|Ben代墊|Ariel代墊|中信銀行共用"")), ""內部轉帳(忽略)"",
  AND(E11481&lt;&gt;"""", F11481&lt;&gt;"&amp;""""", NOT(REGEXMATCH(C11481, ""薪資""))), ""內部轉帳(忽略)"",
  REGEXMATCH(C11481, ""薪資""), ""薪資變動(不計入)"",
  REGEXMATCH(C11481, ""押金""), ""押金往來"",
  AND(E11481&lt;&gt;"""", F11481=""""), ""真實支出"",
  AND(E11481="""", F11481&lt;&gt;""""), ""真實收入"",
  TRUE, ""其他""
)"),"其他")</f>
        <v>其他</v>
      </c>
      <c r="K11481" s="270" t="str">
        <f t="shared" si="2"/>
        <v/>
      </c>
      <c r="L11481">
        <f t="shared" si="3"/>
        <v>0</v>
      </c>
    </row>
    <row r="11482">
      <c r="A11482" s="107"/>
      <c r="D11482" s="270"/>
      <c r="H11482" s="106" t="str">
        <f t="shared" si="1"/>
        <v/>
      </c>
      <c r="J11482" t="str">
        <f>IFERROR(__xludf.DUMMYFUNCTION("IFS(
  AND(REGEXMATCH(E11482, ""台銀籌備帳戶|玉山帳戶""), REGEXMATCH(C11482, ""薪資"")), ""分潤支出"",
  AND(REGEXMATCH(E11482, ""Ben帳戶|Elsa帳戶|Ben代墊|Ariel代墊|中信銀行共用""), REGEXMATCH(F11482, ""Ben帳戶|Elsa帳戶|Ben代墊|Ariel代墊|中信銀行共用"")), ""內部轉帳(忽略)"",
  AND(E11482&lt;&gt;"""", F11482&lt;&gt;"&amp;""""", NOT(REGEXMATCH(C11482, ""薪資""))), ""內部轉帳(忽略)"",
  REGEXMATCH(C11482, ""薪資""), ""薪資變動(不計入)"",
  REGEXMATCH(C11482, ""押金""), ""押金往來"",
  AND(E11482&lt;&gt;"""", F11482=""""), ""真實支出"",
  AND(E11482="""", F11482&lt;&gt;""""), ""真實收入"",
  TRUE, ""其他""
)"),"其他")</f>
        <v>其他</v>
      </c>
      <c r="K11482" s="270" t="str">
        <f t="shared" si="2"/>
        <v/>
      </c>
      <c r="L11482">
        <f t="shared" si="3"/>
        <v>0</v>
      </c>
    </row>
    <row r="11483">
      <c r="A11483" s="107"/>
      <c r="D11483" s="270"/>
      <c r="H11483" s="106" t="str">
        <f t="shared" si="1"/>
        <v/>
      </c>
      <c r="J11483" t="str">
        <f>IFERROR(__xludf.DUMMYFUNCTION("IFS(
  AND(REGEXMATCH(E11483, ""台銀籌備帳戶|玉山帳戶""), REGEXMATCH(C11483, ""薪資"")), ""分潤支出"",
  AND(REGEXMATCH(E11483, ""Ben帳戶|Elsa帳戶|Ben代墊|Ariel代墊|中信銀行共用""), REGEXMATCH(F11483, ""Ben帳戶|Elsa帳戶|Ben代墊|Ariel代墊|中信銀行共用"")), ""內部轉帳(忽略)"",
  AND(E11483&lt;&gt;"""", F11483&lt;&gt;"&amp;""""", NOT(REGEXMATCH(C11483, ""薪資""))), ""內部轉帳(忽略)"",
  REGEXMATCH(C11483, ""薪資""), ""薪資變動(不計入)"",
  REGEXMATCH(C11483, ""押金""), ""押金往來"",
  AND(E11483&lt;&gt;"""", F11483=""""), ""真實支出"",
  AND(E11483="""", F11483&lt;&gt;""""), ""真實收入"",
  TRUE, ""其他""
)"),"其他")</f>
        <v>其他</v>
      </c>
      <c r="K11483" s="270" t="str">
        <f t="shared" si="2"/>
        <v/>
      </c>
      <c r="L11483">
        <f t="shared" si="3"/>
        <v>0</v>
      </c>
    </row>
    <row r="11484">
      <c r="A11484" s="107"/>
      <c r="D11484" s="270"/>
      <c r="H11484" s="106" t="str">
        <f t="shared" si="1"/>
        <v/>
      </c>
      <c r="J11484" t="str">
        <f>IFERROR(__xludf.DUMMYFUNCTION("IFS(
  AND(REGEXMATCH(E11484, ""台銀籌備帳戶|玉山帳戶""), REGEXMATCH(C11484, ""薪資"")), ""分潤支出"",
  AND(REGEXMATCH(E11484, ""Ben帳戶|Elsa帳戶|Ben代墊|Ariel代墊|中信銀行共用""), REGEXMATCH(F11484, ""Ben帳戶|Elsa帳戶|Ben代墊|Ariel代墊|中信銀行共用"")), ""內部轉帳(忽略)"",
  AND(E11484&lt;&gt;"""", F11484&lt;&gt;"&amp;""""", NOT(REGEXMATCH(C11484, ""薪資""))), ""內部轉帳(忽略)"",
  REGEXMATCH(C11484, ""薪資""), ""薪資變動(不計入)"",
  REGEXMATCH(C11484, ""押金""), ""押金往來"",
  AND(E11484&lt;&gt;"""", F11484=""""), ""真實支出"",
  AND(E11484="""", F11484&lt;&gt;""""), ""真實收入"",
  TRUE, ""其他""
)"),"其他")</f>
        <v>其他</v>
      </c>
      <c r="K11484" s="270" t="str">
        <f t="shared" si="2"/>
        <v/>
      </c>
      <c r="L11484">
        <f t="shared" si="3"/>
        <v>0</v>
      </c>
    </row>
    <row r="11485">
      <c r="A11485" s="107"/>
      <c r="D11485" s="270"/>
      <c r="H11485" s="106" t="str">
        <f t="shared" si="1"/>
        <v/>
      </c>
      <c r="J11485" t="str">
        <f>IFERROR(__xludf.DUMMYFUNCTION("IFS(
  AND(REGEXMATCH(E11485, ""台銀籌備帳戶|玉山帳戶""), REGEXMATCH(C11485, ""薪資"")), ""分潤支出"",
  AND(REGEXMATCH(E11485, ""Ben帳戶|Elsa帳戶|Ben代墊|Ariel代墊|中信銀行共用""), REGEXMATCH(F11485, ""Ben帳戶|Elsa帳戶|Ben代墊|Ariel代墊|中信銀行共用"")), ""內部轉帳(忽略)"",
  AND(E11485&lt;&gt;"""", F11485&lt;&gt;"&amp;""""", NOT(REGEXMATCH(C11485, ""薪資""))), ""內部轉帳(忽略)"",
  REGEXMATCH(C11485, ""薪資""), ""薪資變動(不計入)"",
  REGEXMATCH(C11485, ""押金""), ""押金往來"",
  AND(E11485&lt;&gt;"""", F11485=""""), ""真實支出"",
  AND(E11485="""", F11485&lt;&gt;""""), ""真實收入"",
  TRUE, ""其他""
)"),"其他")</f>
        <v>其他</v>
      </c>
      <c r="K11485" s="270" t="str">
        <f t="shared" si="2"/>
        <v/>
      </c>
      <c r="L11485">
        <f t="shared" si="3"/>
        <v>0</v>
      </c>
    </row>
    <row r="11486">
      <c r="A11486" s="107"/>
      <c r="D11486" s="270"/>
      <c r="H11486" s="106" t="str">
        <f t="shared" si="1"/>
        <v/>
      </c>
      <c r="J11486" t="str">
        <f>IFERROR(__xludf.DUMMYFUNCTION("IFS(
  AND(REGEXMATCH(E11486, ""台銀籌備帳戶|玉山帳戶""), REGEXMATCH(C11486, ""薪資"")), ""分潤支出"",
  AND(REGEXMATCH(E11486, ""Ben帳戶|Elsa帳戶|Ben代墊|Ariel代墊|中信銀行共用""), REGEXMATCH(F11486, ""Ben帳戶|Elsa帳戶|Ben代墊|Ariel代墊|中信銀行共用"")), ""內部轉帳(忽略)"",
  AND(E11486&lt;&gt;"""", F11486&lt;&gt;"&amp;""""", NOT(REGEXMATCH(C11486, ""薪資""))), ""內部轉帳(忽略)"",
  REGEXMATCH(C11486, ""薪資""), ""薪資變動(不計入)"",
  REGEXMATCH(C11486, ""押金""), ""押金往來"",
  AND(E11486&lt;&gt;"""", F11486=""""), ""真實支出"",
  AND(E11486="""", F11486&lt;&gt;""""), ""真實收入"",
  TRUE, ""其他""
)"),"其他")</f>
        <v>其他</v>
      </c>
      <c r="K11486" s="270" t="str">
        <f t="shared" si="2"/>
        <v/>
      </c>
      <c r="L11486">
        <f t="shared" si="3"/>
        <v>0</v>
      </c>
    </row>
    <row r="11487">
      <c r="A11487" s="107"/>
      <c r="D11487" s="270"/>
      <c r="H11487" s="106" t="str">
        <f t="shared" si="1"/>
        <v/>
      </c>
      <c r="J11487" t="str">
        <f>IFERROR(__xludf.DUMMYFUNCTION("IFS(
  AND(REGEXMATCH(E11487, ""台銀籌備帳戶|玉山帳戶""), REGEXMATCH(C11487, ""薪資"")), ""分潤支出"",
  AND(REGEXMATCH(E11487, ""Ben帳戶|Elsa帳戶|Ben代墊|Ariel代墊|中信銀行共用""), REGEXMATCH(F11487, ""Ben帳戶|Elsa帳戶|Ben代墊|Ariel代墊|中信銀行共用"")), ""內部轉帳(忽略)"",
  AND(E11487&lt;&gt;"""", F11487&lt;&gt;"&amp;""""", NOT(REGEXMATCH(C11487, ""薪資""))), ""內部轉帳(忽略)"",
  REGEXMATCH(C11487, ""薪資""), ""薪資變動(不計入)"",
  REGEXMATCH(C11487, ""押金""), ""押金往來"",
  AND(E11487&lt;&gt;"""", F11487=""""), ""真實支出"",
  AND(E11487="""", F11487&lt;&gt;""""), ""真實收入"",
  TRUE, ""其他""
)"),"其他")</f>
        <v>其他</v>
      </c>
      <c r="K11487" s="270" t="str">
        <f t="shared" si="2"/>
        <v/>
      </c>
      <c r="L11487">
        <f t="shared" si="3"/>
        <v>0</v>
      </c>
    </row>
    <row r="11488">
      <c r="A11488" s="107"/>
      <c r="D11488" s="270"/>
      <c r="H11488" s="106" t="str">
        <f t="shared" si="1"/>
        <v/>
      </c>
      <c r="J11488" t="str">
        <f>IFERROR(__xludf.DUMMYFUNCTION("IFS(
  AND(REGEXMATCH(E11488, ""台銀籌備帳戶|玉山帳戶""), REGEXMATCH(C11488, ""薪資"")), ""分潤支出"",
  AND(REGEXMATCH(E11488, ""Ben帳戶|Elsa帳戶|Ben代墊|Ariel代墊|中信銀行共用""), REGEXMATCH(F11488, ""Ben帳戶|Elsa帳戶|Ben代墊|Ariel代墊|中信銀行共用"")), ""內部轉帳(忽略)"",
  AND(E11488&lt;&gt;"""", F11488&lt;&gt;"&amp;""""", NOT(REGEXMATCH(C11488, ""薪資""))), ""內部轉帳(忽略)"",
  REGEXMATCH(C11488, ""薪資""), ""薪資變動(不計入)"",
  REGEXMATCH(C11488, ""押金""), ""押金往來"",
  AND(E11488&lt;&gt;"""", F11488=""""), ""真實支出"",
  AND(E11488="""", F11488&lt;&gt;""""), ""真實收入"",
  TRUE, ""其他""
)"),"其他")</f>
        <v>其他</v>
      </c>
      <c r="K11488" s="270" t="str">
        <f t="shared" si="2"/>
        <v/>
      </c>
      <c r="L11488">
        <f t="shared" si="3"/>
        <v>0</v>
      </c>
    </row>
    <row r="11489">
      <c r="A11489" s="107"/>
      <c r="D11489" s="270"/>
      <c r="H11489" s="106" t="str">
        <f t="shared" si="1"/>
        <v/>
      </c>
      <c r="J11489" t="str">
        <f>IFERROR(__xludf.DUMMYFUNCTION("IFS(
  AND(REGEXMATCH(E11489, ""台銀籌備帳戶|玉山帳戶""), REGEXMATCH(C11489, ""薪資"")), ""分潤支出"",
  AND(REGEXMATCH(E11489, ""Ben帳戶|Elsa帳戶|Ben代墊|Ariel代墊|中信銀行共用""), REGEXMATCH(F11489, ""Ben帳戶|Elsa帳戶|Ben代墊|Ariel代墊|中信銀行共用"")), ""內部轉帳(忽略)"",
  AND(E11489&lt;&gt;"""", F11489&lt;&gt;"&amp;""""", NOT(REGEXMATCH(C11489, ""薪資""))), ""內部轉帳(忽略)"",
  REGEXMATCH(C11489, ""薪資""), ""薪資變動(不計入)"",
  REGEXMATCH(C11489, ""押金""), ""押金往來"",
  AND(E11489&lt;&gt;"""", F11489=""""), ""真實支出"",
  AND(E11489="""", F11489&lt;&gt;""""), ""真實收入"",
  TRUE, ""其他""
)"),"其他")</f>
        <v>其他</v>
      </c>
      <c r="K11489" s="270" t="str">
        <f t="shared" si="2"/>
        <v/>
      </c>
      <c r="L11489">
        <f t="shared" si="3"/>
        <v>0</v>
      </c>
    </row>
    <row r="11490">
      <c r="A11490" s="107"/>
      <c r="D11490" s="270"/>
      <c r="H11490" s="106" t="str">
        <f t="shared" si="1"/>
        <v/>
      </c>
      <c r="J11490" t="str">
        <f>IFERROR(__xludf.DUMMYFUNCTION("IFS(
  AND(REGEXMATCH(E11490, ""台銀籌備帳戶|玉山帳戶""), REGEXMATCH(C11490, ""薪資"")), ""分潤支出"",
  AND(REGEXMATCH(E11490, ""Ben帳戶|Elsa帳戶|Ben代墊|Ariel代墊|中信銀行共用""), REGEXMATCH(F11490, ""Ben帳戶|Elsa帳戶|Ben代墊|Ariel代墊|中信銀行共用"")), ""內部轉帳(忽略)"",
  AND(E11490&lt;&gt;"""", F11490&lt;&gt;"&amp;""""", NOT(REGEXMATCH(C11490, ""薪資""))), ""內部轉帳(忽略)"",
  REGEXMATCH(C11490, ""薪資""), ""薪資變動(不計入)"",
  REGEXMATCH(C11490, ""押金""), ""押金往來"",
  AND(E11490&lt;&gt;"""", F11490=""""), ""真實支出"",
  AND(E11490="""", F11490&lt;&gt;""""), ""真實收入"",
  TRUE, ""其他""
)"),"其他")</f>
        <v>其他</v>
      </c>
      <c r="K11490" s="270" t="str">
        <f t="shared" si="2"/>
        <v/>
      </c>
      <c r="L11490">
        <f t="shared" si="3"/>
        <v>0</v>
      </c>
    </row>
    <row r="11491">
      <c r="A11491" s="107"/>
      <c r="D11491" s="270"/>
      <c r="H11491" s="106" t="str">
        <f t="shared" si="1"/>
        <v/>
      </c>
      <c r="J11491" t="str">
        <f>IFERROR(__xludf.DUMMYFUNCTION("IFS(
  AND(REGEXMATCH(E11491, ""台銀籌備帳戶|玉山帳戶""), REGEXMATCH(C11491, ""薪資"")), ""分潤支出"",
  AND(REGEXMATCH(E11491, ""Ben帳戶|Elsa帳戶|Ben代墊|Ariel代墊|中信銀行共用""), REGEXMATCH(F11491, ""Ben帳戶|Elsa帳戶|Ben代墊|Ariel代墊|中信銀行共用"")), ""內部轉帳(忽略)"",
  AND(E11491&lt;&gt;"""", F11491&lt;&gt;"&amp;""""", NOT(REGEXMATCH(C11491, ""薪資""))), ""內部轉帳(忽略)"",
  REGEXMATCH(C11491, ""薪資""), ""薪資變動(不計入)"",
  REGEXMATCH(C11491, ""押金""), ""押金往來"",
  AND(E11491&lt;&gt;"""", F11491=""""), ""真實支出"",
  AND(E11491="""", F11491&lt;&gt;""""), ""真實收入"",
  TRUE, ""其他""
)"),"其他")</f>
        <v>其他</v>
      </c>
      <c r="K11491" s="270" t="str">
        <f t="shared" si="2"/>
        <v/>
      </c>
      <c r="L11491">
        <f t="shared" si="3"/>
        <v>0</v>
      </c>
    </row>
    <row r="11492">
      <c r="A11492" s="107"/>
      <c r="D11492" s="270"/>
      <c r="H11492" s="106" t="str">
        <f t="shared" si="1"/>
        <v/>
      </c>
      <c r="J11492" t="str">
        <f>IFERROR(__xludf.DUMMYFUNCTION("IFS(
  AND(REGEXMATCH(E11492, ""台銀籌備帳戶|玉山帳戶""), REGEXMATCH(C11492, ""薪資"")), ""分潤支出"",
  AND(REGEXMATCH(E11492, ""Ben帳戶|Elsa帳戶|Ben代墊|Ariel代墊|中信銀行共用""), REGEXMATCH(F11492, ""Ben帳戶|Elsa帳戶|Ben代墊|Ariel代墊|中信銀行共用"")), ""內部轉帳(忽略)"",
  AND(E11492&lt;&gt;"""", F11492&lt;&gt;"&amp;""""", NOT(REGEXMATCH(C11492, ""薪資""))), ""內部轉帳(忽略)"",
  REGEXMATCH(C11492, ""薪資""), ""薪資變動(不計入)"",
  REGEXMATCH(C11492, ""押金""), ""押金往來"",
  AND(E11492&lt;&gt;"""", F11492=""""), ""真實支出"",
  AND(E11492="""", F11492&lt;&gt;""""), ""真實收入"",
  TRUE, ""其他""
)"),"其他")</f>
        <v>其他</v>
      </c>
      <c r="K11492" s="270" t="str">
        <f t="shared" si="2"/>
        <v/>
      </c>
      <c r="L11492">
        <f t="shared" si="3"/>
        <v>0</v>
      </c>
    </row>
    <row r="11493">
      <c r="A11493" s="107"/>
      <c r="D11493" s="270"/>
      <c r="H11493" s="106" t="str">
        <f t="shared" si="1"/>
        <v/>
      </c>
      <c r="J11493" t="str">
        <f>IFERROR(__xludf.DUMMYFUNCTION("IFS(
  AND(REGEXMATCH(E11493, ""台銀籌備帳戶|玉山帳戶""), REGEXMATCH(C11493, ""薪資"")), ""分潤支出"",
  AND(REGEXMATCH(E11493, ""Ben帳戶|Elsa帳戶|Ben代墊|Ariel代墊|中信銀行共用""), REGEXMATCH(F11493, ""Ben帳戶|Elsa帳戶|Ben代墊|Ariel代墊|中信銀行共用"")), ""內部轉帳(忽略)"",
  AND(E11493&lt;&gt;"""", F11493&lt;&gt;"&amp;""""", NOT(REGEXMATCH(C11493, ""薪資""))), ""內部轉帳(忽略)"",
  REGEXMATCH(C11493, ""薪資""), ""薪資變動(不計入)"",
  REGEXMATCH(C11493, ""押金""), ""押金往來"",
  AND(E11493&lt;&gt;"""", F11493=""""), ""真實支出"",
  AND(E11493="""", F11493&lt;&gt;""""), ""真實收入"",
  TRUE, ""其他""
)"),"其他")</f>
        <v>其他</v>
      </c>
      <c r="K11493" s="270" t="str">
        <f t="shared" si="2"/>
        <v/>
      </c>
      <c r="L11493">
        <f t="shared" si="3"/>
        <v>0</v>
      </c>
    </row>
    <row r="11494">
      <c r="A11494" s="107"/>
      <c r="D11494" s="270"/>
      <c r="H11494" s="106" t="str">
        <f t="shared" si="1"/>
        <v/>
      </c>
      <c r="J11494" t="str">
        <f>IFERROR(__xludf.DUMMYFUNCTION("IFS(
  AND(REGEXMATCH(E11494, ""台銀籌備帳戶|玉山帳戶""), REGEXMATCH(C11494, ""薪資"")), ""分潤支出"",
  AND(REGEXMATCH(E11494, ""Ben帳戶|Elsa帳戶|Ben代墊|Ariel代墊|中信銀行共用""), REGEXMATCH(F11494, ""Ben帳戶|Elsa帳戶|Ben代墊|Ariel代墊|中信銀行共用"")), ""內部轉帳(忽略)"",
  AND(E11494&lt;&gt;"""", F11494&lt;&gt;"&amp;""""", NOT(REGEXMATCH(C11494, ""薪資""))), ""內部轉帳(忽略)"",
  REGEXMATCH(C11494, ""薪資""), ""薪資變動(不計入)"",
  REGEXMATCH(C11494, ""押金""), ""押金往來"",
  AND(E11494&lt;&gt;"""", F11494=""""), ""真實支出"",
  AND(E11494="""", F11494&lt;&gt;""""), ""真實收入"",
  TRUE, ""其他""
)"),"其他")</f>
        <v>其他</v>
      </c>
      <c r="K11494" s="270" t="str">
        <f t="shared" si="2"/>
        <v/>
      </c>
      <c r="L11494">
        <f t="shared" si="3"/>
        <v>0</v>
      </c>
    </row>
    <row r="11495">
      <c r="A11495" s="107"/>
      <c r="D11495" s="270"/>
      <c r="H11495" s="106" t="str">
        <f t="shared" si="1"/>
        <v/>
      </c>
      <c r="J11495" t="str">
        <f>IFERROR(__xludf.DUMMYFUNCTION("IFS(
  AND(REGEXMATCH(E11495, ""台銀籌備帳戶|玉山帳戶""), REGEXMATCH(C11495, ""薪資"")), ""分潤支出"",
  AND(REGEXMATCH(E11495, ""Ben帳戶|Elsa帳戶|Ben代墊|Ariel代墊|中信銀行共用""), REGEXMATCH(F11495, ""Ben帳戶|Elsa帳戶|Ben代墊|Ariel代墊|中信銀行共用"")), ""內部轉帳(忽略)"",
  AND(E11495&lt;&gt;"""", F11495&lt;&gt;"&amp;""""", NOT(REGEXMATCH(C11495, ""薪資""))), ""內部轉帳(忽略)"",
  REGEXMATCH(C11495, ""薪資""), ""薪資變動(不計入)"",
  REGEXMATCH(C11495, ""押金""), ""押金往來"",
  AND(E11495&lt;&gt;"""", F11495=""""), ""真實支出"",
  AND(E11495="""", F11495&lt;&gt;""""), ""真實收入"",
  TRUE, ""其他""
)"),"其他")</f>
        <v>其他</v>
      </c>
      <c r="K11495" s="270" t="str">
        <f t="shared" si="2"/>
        <v/>
      </c>
      <c r="L11495">
        <f t="shared" si="3"/>
        <v>0</v>
      </c>
    </row>
    <row r="11496">
      <c r="A11496" s="107"/>
      <c r="D11496" s="270"/>
      <c r="H11496" s="106" t="str">
        <f t="shared" si="1"/>
        <v/>
      </c>
      <c r="J11496" t="str">
        <f>IFERROR(__xludf.DUMMYFUNCTION("IFS(
  AND(REGEXMATCH(E11496, ""台銀籌備帳戶|玉山帳戶""), REGEXMATCH(C11496, ""薪資"")), ""分潤支出"",
  AND(REGEXMATCH(E11496, ""Ben帳戶|Elsa帳戶|Ben代墊|Ariel代墊|中信銀行共用""), REGEXMATCH(F11496, ""Ben帳戶|Elsa帳戶|Ben代墊|Ariel代墊|中信銀行共用"")), ""內部轉帳(忽略)"",
  AND(E11496&lt;&gt;"""", F11496&lt;&gt;"&amp;""""", NOT(REGEXMATCH(C11496, ""薪資""))), ""內部轉帳(忽略)"",
  REGEXMATCH(C11496, ""薪資""), ""薪資變動(不計入)"",
  REGEXMATCH(C11496, ""押金""), ""押金往來"",
  AND(E11496&lt;&gt;"""", F11496=""""), ""真實支出"",
  AND(E11496="""", F11496&lt;&gt;""""), ""真實收入"",
  TRUE, ""其他""
)"),"其他")</f>
        <v>其他</v>
      </c>
      <c r="K11496" s="270" t="str">
        <f t="shared" si="2"/>
        <v/>
      </c>
      <c r="L11496">
        <f t="shared" si="3"/>
        <v>0</v>
      </c>
    </row>
    <row r="11497">
      <c r="A11497" s="107"/>
      <c r="D11497" s="270"/>
      <c r="H11497" s="106" t="str">
        <f t="shared" si="1"/>
        <v/>
      </c>
      <c r="J11497" t="str">
        <f>IFERROR(__xludf.DUMMYFUNCTION("IFS(
  AND(REGEXMATCH(E11497, ""台銀籌備帳戶|玉山帳戶""), REGEXMATCH(C11497, ""薪資"")), ""分潤支出"",
  AND(REGEXMATCH(E11497, ""Ben帳戶|Elsa帳戶|Ben代墊|Ariel代墊|中信銀行共用""), REGEXMATCH(F11497, ""Ben帳戶|Elsa帳戶|Ben代墊|Ariel代墊|中信銀行共用"")), ""內部轉帳(忽略)"",
  AND(E11497&lt;&gt;"""", F11497&lt;&gt;"&amp;""""", NOT(REGEXMATCH(C11497, ""薪資""))), ""內部轉帳(忽略)"",
  REGEXMATCH(C11497, ""薪資""), ""薪資變動(不計入)"",
  REGEXMATCH(C11497, ""押金""), ""押金往來"",
  AND(E11497&lt;&gt;"""", F11497=""""), ""真實支出"",
  AND(E11497="""", F11497&lt;&gt;""""), ""真實收入"",
  TRUE, ""其他""
)"),"其他")</f>
        <v>其他</v>
      </c>
      <c r="K11497" s="270" t="str">
        <f t="shared" si="2"/>
        <v/>
      </c>
      <c r="L11497">
        <f t="shared" si="3"/>
        <v>0</v>
      </c>
    </row>
    <row r="11498">
      <c r="A11498" s="107"/>
      <c r="D11498" s="270"/>
      <c r="H11498" s="106" t="str">
        <f t="shared" si="1"/>
        <v/>
      </c>
      <c r="J11498" t="str">
        <f>IFERROR(__xludf.DUMMYFUNCTION("IFS(
  AND(REGEXMATCH(E11498, ""台銀籌備帳戶|玉山帳戶""), REGEXMATCH(C11498, ""薪資"")), ""分潤支出"",
  AND(REGEXMATCH(E11498, ""Ben帳戶|Elsa帳戶|Ben代墊|Ariel代墊|中信銀行共用""), REGEXMATCH(F11498, ""Ben帳戶|Elsa帳戶|Ben代墊|Ariel代墊|中信銀行共用"")), ""內部轉帳(忽略)"",
  AND(E11498&lt;&gt;"""", F11498&lt;&gt;"&amp;""""", NOT(REGEXMATCH(C11498, ""薪資""))), ""內部轉帳(忽略)"",
  REGEXMATCH(C11498, ""薪資""), ""薪資變動(不計入)"",
  REGEXMATCH(C11498, ""押金""), ""押金往來"",
  AND(E11498&lt;&gt;"""", F11498=""""), ""真實支出"",
  AND(E11498="""", F11498&lt;&gt;""""), ""真實收入"",
  TRUE, ""其他""
)"),"其他")</f>
        <v>其他</v>
      </c>
      <c r="K11498" s="270" t="str">
        <f t="shared" si="2"/>
        <v/>
      </c>
      <c r="L11498">
        <f t="shared" si="3"/>
        <v>0</v>
      </c>
    </row>
    <row r="11499">
      <c r="A11499" s="107"/>
      <c r="D11499" s="270"/>
      <c r="H11499" s="106" t="str">
        <f t="shared" si="1"/>
        <v/>
      </c>
      <c r="J11499" t="str">
        <f>IFERROR(__xludf.DUMMYFUNCTION("IFS(
  AND(REGEXMATCH(E11499, ""台銀籌備帳戶|玉山帳戶""), REGEXMATCH(C11499, ""薪資"")), ""分潤支出"",
  AND(REGEXMATCH(E11499, ""Ben帳戶|Elsa帳戶|Ben代墊|Ariel代墊|中信銀行共用""), REGEXMATCH(F11499, ""Ben帳戶|Elsa帳戶|Ben代墊|Ariel代墊|中信銀行共用"")), ""內部轉帳(忽略)"",
  AND(E11499&lt;&gt;"""", F11499&lt;&gt;"&amp;""""", NOT(REGEXMATCH(C11499, ""薪資""))), ""內部轉帳(忽略)"",
  REGEXMATCH(C11499, ""薪資""), ""薪資變動(不計入)"",
  REGEXMATCH(C11499, ""押金""), ""押金往來"",
  AND(E11499&lt;&gt;"""", F11499=""""), ""真實支出"",
  AND(E11499="""", F11499&lt;&gt;""""), ""真實收入"",
  TRUE, ""其他""
)"),"其他")</f>
        <v>其他</v>
      </c>
      <c r="K11499" s="270" t="str">
        <f t="shared" si="2"/>
        <v/>
      </c>
      <c r="L11499">
        <f t="shared" si="3"/>
        <v>0</v>
      </c>
    </row>
    <row r="11500">
      <c r="A11500" s="107"/>
      <c r="D11500" s="270"/>
      <c r="H11500" s="106" t="str">
        <f t="shared" si="1"/>
        <v/>
      </c>
      <c r="J11500" t="str">
        <f>IFERROR(__xludf.DUMMYFUNCTION("IFS(
  AND(REGEXMATCH(E11500, ""台銀籌備帳戶|玉山帳戶""), REGEXMATCH(C11500, ""薪資"")), ""分潤支出"",
  AND(REGEXMATCH(E11500, ""Ben帳戶|Elsa帳戶|Ben代墊|Ariel代墊|中信銀行共用""), REGEXMATCH(F11500, ""Ben帳戶|Elsa帳戶|Ben代墊|Ariel代墊|中信銀行共用"")), ""內部轉帳(忽略)"",
  AND(E11500&lt;&gt;"""", F11500&lt;&gt;"&amp;""""", NOT(REGEXMATCH(C11500, ""薪資""))), ""內部轉帳(忽略)"",
  REGEXMATCH(C11500, ""薪資""), ""薪資變動(不計入)"",
  REGEXMATCH(C11500, ""押金""), ""押金往來"",
  AND(E11500&lt;&gt;"""", F11500=""""), ""真實支出"",
  AND(E11500="""", F11500&lt;&gt;""""), ""真實收入"",
  TRUE, ""其他""
)"),"其他")</f>
        <v>其他</v>
      </c>
      <c r="K11500" s="270" t="str">
        <f t="shared" si="2"/>
        <v/>
      </c>
      <c r="L11500">
        <f t="shared" si="3"/>
        <v>0</v>
      </c>
    </row>
    <row r="11501">
      <c r="A11501" s="107"/>
      <c r="D11501" s="270"/>
      <c r="H11501" s="106" t="str">
        <f t="shared" si="1"/>
        <v/>
      </c>
      <c r="J11501" t="str">
        <f>IFERROR(__xludf.DUMMYFUNCTION("IFS(
  AND(REGEXMATCH(E11501, ""台銀籌備帳戶|玉山帳戶""), REGEXMATCH(C11501, ""薪資"")), ""分潤支出"",
  AND(REGEXMATCH(E11501, ""Ben帳戶|Elsa帳戶|Ben代墊|Ariel代墊|中信銀行共用""), REGEXMATCH(F11501, ""Ben帳戶|Elsa帳戶|Ben代墊|Ariel代墊|中信銀行共用"")), ""內部轉帳(忽略)"",
  AND(E11501&lt;&gt;"""", F11501&lt;&gt;"&amp;""""", NOT(REGEXMATCH(C11501, ""薪資""))), ""內部轉帳(忽略)"",
  REGEXMATCH(C11501, ""薪資""), ""薪資變動(不計入)"",
  REGEXMATCH(C11501, ""押金""), ""押金往來"",
  AND(E11501&lt;&gt;"""", F11501=""""), ""真實支出"",
  AND(E11501="""", F11501&lt;&gt;""""), ""真實收入"",
  TRUE, ""其他""
)"),"其他")</f>
        <v>其他</v>
      </c>
      <c r="K11501" s="270" t="str">
        <f t="shared" si="2"/>
        <v/>
      </c>
      <c r="L11501">
        <f t="shared" si="3"/>
        <v>0</v>
      </c>
    </row>
    <row r="11502">
      <c r="A11502" s="107"/>
      <c r="D11502" s="270"/>
      <c r="H11502" s="106" t="str">
        <f t="shared" si="1"/>
        <v/>
      </c>
      <c r="J11502" t="str">
        <f>IFERROR(__xludf.DUMMYFUNCTION("IFS(
  AND(REGEXMATCH(E11502, ""台銀籌備帳戶|玉山帳戶""), REGEXMATCH(C11502, ""薪資"")), ""分潤支出"",
  AND(REGEXMATCH(E11502, ""Ben帳戶|Elsa帳戶|Ben代墊|Ariel代墊|中信銀行共用""), REGEXMATCH(F11502, ""Ben帳戶|Elsa帳戶|Ben代墊|Ariel代墊|中信銀行共用"")), ""內部轉帳(忽略)"",
  AND(E11502&lt;&gt;"""", F11502&lt;&gt;"&amp;""""", NOT(REGEXMATCH(C11502, ""薪資""))), ""內部轉帳(忽略)"",
  REGEXMATCH(C11502, ""薪資""), ""薪資變動(不計入)"",
  REGEXMATCH(C11502, ""押金""), ""押金往來"",
  AND(E11502&lt;&gt;"""", F11502=""""), ""真實支出"",
  AND(E11502="""", F11502&lt;&gt;""""), ""真實收入"",
  TRUE, ""其他""
)"),"其他")</f>
        <v>其他</v>
      </c>
      <c r="K11502" s="270" t="str">
        <f t="shared" si="2"/>
        <v/>
      </c>
      <c r="L11502">
        <f t="shared" si="3"/>
        <v>0</v>
      </c>
    </row>
    <row r="11503">
      <c r="A11503" s="107"/>
      <c r="D11503" s="270"/>
      <c r="H11503" s="106" t="str">
        <f t="shared" si="1"/>
        <v/>
      </c>
      <c r="J11503" t="str">
        <f>IFERROR(__xludf.DUMMYFUNCTION("IFS(
  AND(REGEXMATCH(E11503, ""台銀籌備帳戶|玉山帳戶""), REGEXMATCH(C11503, ""薪資"")), ""分潤支出"",
  AND(REGEXMATCH(E11503, ""Ben帳戶|Elsa帳戶|Ben代墊|Ariel代墊|中信銀行共用""), REGEXMATCH(F11503, ""Ben帳戶|Elsa帳戶|Ben代墊|Ariel代墊|中信銀行共用"")), ""內部轉帳(忽略)"",
  AND(E11503&lt;&gt;"""", F11503&lt;&gt;"&amp;""""", NOT(REGEXMATCH(C11503, ""薪資""))), ""內部轉帳(忽略)"",
  REGEXMATCH(C11503, ""薪資""), ""薪資變動(不計入)"",
  REGEXMATCH(C11503, ""押金""), ""押金往來"",
  AND(E11503&lt;&gt;"""", F11503=""""), ""真實支出"",
  AND(E11503="""", F11503&lt;&gt;""""), ""真實收入"",
  TRUE, ""其他""
)"),"其他")</f>
        <v>其他</v>
      </c>
      <c r="K11503" s="270" t="str">
        <f t="shared" si="2"/>
        <v/>
      </c>
      <c r="L11503">
        <f t="shared" si="3"/>
        <v>0</v>
      </c>
    </row>
    <row r="11504">
      <c r="A11504" s="107"/>
      <c r="D11504" s="270"/>
      <c r="H11504" s="106" t="str">
        <f t="shared" si="1"/>
        <v/>
      </c>
      <c r="J11504" t="str">
        <f>IFERROR(__xludf.DUMMYFUNCTION("IFS(
  AND(REGEXMATCH(E11504, ""台銀籌備帳戶|玉山帳戶""), REGEXMATCH(C11504, ""薪資"")), ""分潤支出"",
  AND(REGEXMATCH(E11504, ""Ben帳戶|Elsa帳戶|Ben代墊|Ariel代墊|中信銀行共用""), REGEXMATCH(F11504, ""Ben帳戶|Elsa帳戶|Ben代墊|Ariel代墊|中信銀行共用"")), ""內部轉帳(忽略)"",
  AND(E11504&lt;&gt;"""", F11504&lt;&gt;"&amp;""""", NOT(REGEXMATCH(C11504, ""薪資""))), ""內部轉帳(忽略)"",
  REGEXMATCH(C11504, ""薪資""), ""薪資變動(不計入)"",
  REGEXMATCH(C11504, ""押金""), ""押金往來"",
  AND(E11504&lt;&gt;"""", F11504=""""), ""真實支出"",
  AND(E11504="""", F11504&lt;&gt;""""), ""真實收入"",
  TRUE, ""其他""
)"),"其他")</f>
        <v>其他</v>
      </c>
      <c r="K11504" s="270" t="str">
        <f t="shared" si="2"/>
        <v/>
      </c>
      <c r="L11504">
        <f t="shared" si="3"/>
        <v>0</v>
      </c>
    </row>
    <row r="11505">
      <c r="A11505" s="107"/>
      <c r="D11505" s="270"/>
      <c r="H11505" s="106" t="str">
        <f t="shared" si="1"/>
        <v/>
      </c>
      <c r="J11505" t="str">
        <f>IFERROR(__xludf.DUMMYFUNCTION("IFS(
  AND(REGEXMATCH(E11505, ""台銀籌備帳戶|玉山帳戶""), REGEXMATCH(C11505, ""薪資"")), ""分潤支出"",
  AND(REGEXMATCH(E11505, ""Ben帳戶|Elsa帳戶|Ben代墊|Ariel代墊|中信銀行共用""), REGEXMATCH(F11505, ""Ben帳戶|Elsa帳戶|Ben代墊|Ariel代墊|中信銀行共用"")), ""內部轉帳(忽略)"",
  AND(E11505&lt;&gt;"""", F11505&lt;&gt;"&amp;""""", NOT(REGEXMATCH(C11505, ""薪資""))), ""內部轉帳(忽略)"",
  REGEXMATCH(C11505, ""薪資""), ""薪資變動(不計入)"",
  REGEXMATCH(C11505, ""押金""), ""押金往來"",
  AND(E11505&lt;&gt;"""", F11505=""""), ""真實支出"",
  AND(E11505="""", F11505&lt;&gt;""""), ""真實收入"",
  TRUE, ""其他""
)"),"其他")</f>
        <v>其他</v>
      </c>
      <c r="K11505" s="270" t="str">
        <f t="shared" si="2"/>
        <v/>
      </c>
      <c r="L11505">
        <f t="shared" si="3"/>
        <v>0</v>
      </c>
    </row>
    <row r="11506">
      <c r="A11506" s="107"/>
      <c r="D11506" s="270"/>
      <c r="H11506" s="106" t="str">
        <f t="shared" si="1"/>
        <v/>
      </c>
      <c r="J11506" t="str">
        <f>IFERROR(__xludf.DUMMYFUNCTION("IFS(
  AND(REGEXMATCH(E11506, ""台銀籌備帳戶|玉山帳戶""), REGEXMATCH(C11506, ""薪資"")), ""分潤支出"",
  AND(REGEXMATCH(E11506, ""Ben帳戶|Elsa帳戶|Ben代墊|Ariel代墊|中信銀行共用""), REGEXMATCH(F11506, ""Ben帳戶|Elsa帳戶|Ben代墊|Ariel代墊|中信銀行共用"")), ""內部轉帳(忽略)"",
  AND(E11506&lt;&gt;"""", F11506&lt;&gt;"&amp;""""", NOT(REGEXMATCH(C11506, ""薪資""))), ""內部轉帳(忽略)"",
  REGEXMATCH(C11506, ""薪資""), ""薪資變動(不計入)"",
  REGEXMATCH(C11506, ""押金""), ""押金往來"",
  AND(E11506&lt;&gt;"""", F11506=""""), ""真實支出"",
  AND(E11506="""", F11506&lt;&gt;""""), ""真實收入"",
  TRUE, ""其他""
)"),"其他")</f>
        <v>其他</v>
      </c>
      <c r="K11506" s="270" t="str">
        <f t="shared" si="2"/>
        <v/>
      </c>
      <c r="L11506">
        <f t="shared" si="3"/>
        <v>0</v>
      </c>
    </row>
    <row r="11507">
      <c r="A11507" s="107"/>
      <c r="D11507" s="270"/>
      <c r="H11507" s="106" t="str">
        <f t="shared" si="1"/>
        <v/>
      </c>
      <c r="J11507" t="str">
        <f>IFERROR(__xludf.DUMMYFUNCTION("IFS(
  AND(REGEXMATCH(E11507, ""台銀籌備帳戶|玉山帳戶""), REGEXMATCH(C11507, ""薪資"")), ""分潤支出"",
  AND(REGEXMATCH(E11507, ""Ben帳戶|Elsa帳戶|Ben代墊|Ariel代墊|中信銀行共用""), REGEXMATCH(F11507, ""Ben帳戶|Elsa帳戶|Ben代墊|Ariel代墊|中信銀行共用"")), ""內部轉帳(忽略)"",
  AND(E11507&lt;&gt;"""", F11507&lt;&gt;"&amp;""""", NOT(REGEXMATCH(C11507, ""薪資""))), ""內部轉帳(忽略)"",
  REGEXMATCH(C11507, ""薪資""), ""薪資變動(不計入)"",
  REGEXMATCH(C11507, ""押金""), ""押金往來"",
  AND(E11507&lt;&gt;"""", F11507=""""), ""真實支出"",
  AND(E11507="""", F11507&lt;&gt;""""), ""真實收入"",
  TRUE, ""其他""
)"),"其他")</f>
        <v>其他</v>
      </c>
      <c r="K11507" s="270" t="str">
        <f t="shared" si="2"/>
        <v/>
      </c>
      <c r="L11507">
        <f t="shared" si="3"/>
        <v>0</v>
      </c>
    </row>
    <row r="11508">
      <c r="A11508" s="107"/>
      <c r="D11508" s="270"/>
      <c r="H11508" s="106" t="str">
        <f t="shared" si="1"/>
        <v/>
      </c>
      <c r="J11508" t="str">
        <f>IFERROR(__xludf.DUMMYFUNCTION("IFS(
  AND(REGEXMATCH(E11508, ""台銀籌備帳戶|玉山帳戶""), REGEXMATCH(C11508, ""薪資"")), ""分潤支出"",
  AND(REGEXMATCH(E11508, ""Ben帳戶|Elsa帳戶|Ben代墊|Ariel代墊|中信銀行共用""), REGEXMATCH(F11508, ""Ben帳戶|Elsa帳戶|Ben代墊|Ariel代墊|中信銀行共用"")), ""內部轉帳(忽略)"",
  AND(E11508&lt;&gt;"""", F11508&lt;&gt;"&amp;""""", NOT(REGEXMATCH(C11508, ""薪資""))), ""內部轉帳(忽略)"",
  REGEXMATCH(C11508, ""薪資""), ""薪資變動(不計入)"",
  REGEXMATCH(C11508, ""押金""), ""押金往來"",
  AND(E11508&lt;&gt;"""", F11508=""""), ""真實支出"",
  AND(E11508="""", F11508&lt;&gt;""""), ""真實收入"",
  TRUE, ""其他""
)"),"其他")</f>
        <v>其他</v>
      </c>
      <c r="K11508" s="270" t="str">
        <f t="shared" si="2"/>
        <v/>
      </c>
      <c r="L11508">
        <f t="shared" si="3"/>
        <v>0</v>
      </c>
    </row>
    <row r="11509">
      <c r="A11509" s="107"/>
      <c r="D11509" s="270"/>
      <c r="H11509" s="106" t="str">
        <f t="shared" si="1"/>
        <v/>
      </c>
      <c r="J11509" t="str">
        <f>IFERROR(__xludf.DUMMYFUNCTION("IFS(
  AND(REGEXMATCH(E11509, ""台銀籌備帳戶|玉山帳戶""), REGEXMATCH(C11509, ""薪資"")), ""分潤支出"",
  AND(REGEXMATCH(E11509, ""Ben帳戶|Elsa帳戶|Ben代墊|Ariel代墊|中信銀行共用""), REGEXMATCH(F11509, ""Ben帳戶|Elsa帳戶|Ben代墊|Ariel代墊|中信銀行共用"")), ""內部轉帳(忽略)"",
  AND(E11509&lt;&gt;"""", F11509&lt;&gt;"&amp;""""", NOT(REGEXMATCH(C11509, ""薪資""))), ""內部轉帳(忽略)"",
  REGEXMATCH(C11509, ""薪資""), ""薪資變動(不計入)"",
  REGEXMATCH(C11509, ""押金""), ""押金往來"",
  AND(E11509&lt;&gt;"""", F11509=""""), ""真實支出"",
  AND(E11509="""", F11509&lt;&gt;""""), ""真實收入"",
  TRUE, ""其他""
)"),"其他")</f>
        <v>其他</v>
      </c>
      <c r="K11509" s="270" t="str">
        <f t="shared" si="2"/>
        <v/>
      </c>
      <c r="L11509">
        <f t="shared" si="3"/>
        <v>0</v>
      </c>
    </row>
    <row r="11510">
      <c r="A11510" s="107"/>
      <c r="D11510" s="270"/>
      <c r="H11510" s="106" t="str">
        <f t="shared" si="1"/>
        <v/>
      </c>
      <c r="J11510" t="str">
        <f>IFERROR(__xludf.DUMMYFUNCTION("IFS(
  AND(REGEXMATCH(E11510, ""台銀籌備帳戶|玉山帳戶""), REGEXMATCH(C11510, ""薪資"")), ""分潤支出"",
  AND(REGEXMATCH(E11510, ""Ben帳戶|Elsa帳戶|Ben代墊|Ariel代墊|中信銀行共用""), REGEXMATCH(F11510, ""Ben帳戶|Elsa帳戶|Ben代墊|Ariel代墊|中信銀行共用"")), ""內部轉帳(忽略)"",
  AND(E11510&lt;&gt;"""", F11510&lt;&gt;"&amp;""""", NOT(REGEXMATCH(C11510, ""薪資""))), ""內部轉帳(忽略)"",
  REGEXMATCH(C11510, ""薪資""), ""薪資變動(不計入)"",
  REGEXMATCH(C11510, ""押金""), ""押金往來"",
  AND(E11510&lt;&gt;"""", F11510=""""), ""真實支出"",
  AND(E11510="""", F11510&lt;&gt;""""), ""真實收入"",
  TRUE, ""其他""
)"),"其他")</f>
        <v>其他</v>
      </c>
      <c r="K11510" s="270" t="str">
        <f t="shared" si="2"/>
        <v/>
      </c>
      <c r="L11510">
        <f t="shared" si="3"/>
        <v>0</v>
      </c>
    </row>
    <row r="11511">
      <c r="A11511" s="107"/>
      <c r="D11511" s="270"/>
      <c r="H11511" s="106" t="str">
        <f t="shared" si="1"/>
        <v/>
      </c>
      <c r="J11511" t="str">
        <f>IFERROR(__xludf.DUMMYFUNCTION("IFS(
  AND(REGEXMATCH(E11511, ""台銀籌備帳戶|玉山帳戶""), REGEXMATCH(C11511, ""薪資"")), ""分潤支出"",
  AND(REGEXMATCH(E11511, ""Ben帳戶|Elsa帳戶|Ben代墊|Ariel代墊|中信銀行共用""), REGEXMATCH(F11511, ""Ben帳戶|Elsa帳戶|Ben代墊|Ariel代墊|中信銀行共用"")), ""內部轉帳(忽略)"",
  AND(E11511&lt;&gt;"""", F11511&lt;&gt;"&amp;""""", NOT(REGEXMATCH(C11511, ""薪資""))), ""內部轉帳(忽略)"",
  REGEXMATCH(C11511, ""薪資""), ""薪資變動(不計入)"",
  REGEXMATCH(C11511, ""押金""), ""押金往來"",
  AND(E11511&lt;&gt;"""", F11511=""""), ""真實支出"",
  AND(E11511="""", F11511&lt;&gt;""""), ""真實收入"",
  TRUE, ""其他""
)"),"其他")</f>
        <v>其他</v>
      </c>
      <c r="K11511" s="270" t="str">
        <f t="shared" si="2"/>
        <v/>
      </c>
      <c r="L11511">
        <f t="shared" si="3"/>
        <v>0</v>
      </c>
    </row>
    <row r="11512">
      <c r="A11512" s="107"/>
      <c r="D11512" s="270"/>
      <c r="H11512" s="106" t="str">
        <f t="shared" si="1"/>
        <v/>
      </c>
      <c r="J11512" t="str">
        <f>IFERROR(__xludf.DUMMYFUNCTION("IFS(
  AND(REGEXMATCH(E11512, ""台銀籌備帳戶|玉山帳戶""), REGEXMATCH(C11512, ""薪資"")), ""分潤支出"",
  AND(REGEXMATCH(E11512, ""Ben帳戶|Elsa帳戶|Ben代墊|Ariel代墊|中信銀行共用""), REGEXMATCH(F11512, ""Ben帳戶|Elsa帳戶|Ben代墊|Ariel代墊|中信銀行共用"")), ""內部轉帳(忽略)"",
  AND(E11512&lt;&gt;"""", F11512&lt;&gt;"&amp;""""", NOT(REGEXMATCH(C11512, ""薪資""))), ""內部轉帳(忽略)"",
  REGEXMATCH(C11512, ""薪資""), ""薪資變動(不計入)"",
  REGEXMATCH(C11512, ""押金""), ""押金往來"",
  AND(E11512&lt;&gt;"""", F11512=""""), ""真實支出"",
  AND(E11512="""", F11512&lt;&gt;""""), ""真實收入"",
  TRUE, ""其他""
)"),"其他")</f>
        <v>其他</v>
      </c>
      <c r="K11512" s="270" t="str">
        <f t="shared" si="2"/>
        <v/>
      </c>
      <c r="L11512">
        <f t="shared" si="3"/>
        <v>0</v>
      </c>
    </row>
    <row r="11513">
      <c r="A11513" s="107"/>
      <c r="D11513" s="270"/>
      <c r="H11513" s="106" t="str">
        <f t="shared" si="1"/>
        <v/>
      </c>
      <c r="J11513" t="str">
        <f>IFERROR(__xludf.DUMMYFUNCTION("IFS(
  AND(REGEXMATCH(E11513, ""台銀籌備帳戶|玉山帳戶""), REGEXMATCH(C11513, ""薪資"")), ""分潤支出"",
  AND(REGEXMATCH(E11513, ""Ben帳戶|Elsa帳戶|Ben代墊|Ariel代墊|中信銀行共用""), REGEXMATCH(F11513, ""Ben帳戶|Elsa帳戶|Ben代墊|Ariel代墊|中信銀行共用"")), ""內部轉帳(忽略)"",
  AND(E11513&lt;&gt;"""", F11513&lt;&gt;"&amp;""""", NOT(REGEXMATCH(C11513, ""薪資""))), ""內部轉帳(忽略)"",
  REGEXMATCH(C11513, ""薪資""), ""薪資變動(不計入)"",
  REGEXMATCH(C11513, ""押金""), ""押金往來"",
  AND(E11513&lt;&gt;"""", F11513=""""), ""真實支出"",
  AND(E11513="""", F11513&lt;&gt;""""), ""真實收入"",
  TRUE, ""其他""
)"),"其他")</f>
        <v>其他</v>
      </c>
      <c r="K11513" s="270" t="str">
        <f t="shared" si="2"/>
        <v/>
      </c>
      <c r="L11513">
        <f t="shared" si="3"/>
        <v>0</v>
      </c>
    </row>
    <row r="11514">
      <c r="A11514" s="107"/>
      <c r="D11514" s="270"/>
      <c r="H11514" s="106" t="str">
        <f t="shared" si="1"/>
        <v/>
      </c>
      <c r="J11514" t="str">
        <f>IFERROR(__xludf.DUMMYFUNCTION("IFS(
  AND(REGEXMATCH(E11514, ""台銀籌備帳戶|玉山帳戶""), REGEXMATCH(C11514, ""薪資"")), ""分潤支出"",
  AND(REGEXMATCH(E11514, ""Ben帳戶|Elsa帳戶|Ben代墊|Ariel代墊|中信銀行共用""), REGEXMATCH(F11514, ""Ben帳戶|Elsa帳戶|Ben代墊|Ariel代墊|中信銀行共用"")), ""內部轉帳(忽略)"",
  AND(E11514&lt;&gt;"""", F11514&lt;&gt;"&amp;""""", NOT(REGEXMATCH(C11514, ""薪資""))), ""內部轉帳(忽略)"",
  REGEXMATCH(C11514, ""薪資""), ""薪資變動(不計入)"",
  REGEXMATCH(C11514, ""押金""), ""押金往來"",
  AND(E11514&lt;&gt;"""", F11514=""""), ""真實支出"",
  AND(E11514="""", F11514&lt;&gt;""""), ""真實收入"",
  TRUE, ""其他""
)"),"其他")</f>
        <v>其他</v>
      </c>
      <c r="K11514" s="270" t="str">
        <f t="shared" si="2"/>
        <v/>
      </c>
      <c r="L11514">
        <f t="shared" si="3"/>
        <v>0</v>
      </c>
    </row>
    <row r="11515">
      <c r="A11515" s="107"/>
      <c r="D11515" s="270"/>
      <c r="H11515" s="106" t="str">
        <f t="shared" si="1"/>
        <v/>
      </c>
      <c r="J11515" t="str">
        <f>IFERROR(__xludf.DUMMYFUNCTION("IFS(
  AND(REGEXMATCH(E11515, ""台銀籌備帳戶|玉山帳戶""), REGEXMATCH(C11515, ""薪資"")), ""分潤支出"",
  AND(REGEXMATCH(E11515, ""Ben帳戶|Elsa帳戶|Ben代墊|Ariel代墊|中信銀行共用""), REGEXMATCH(F11515, ""Ben帳戶|Elsa帳戶|Ben代墊|Ariel代墊|中信銀行共用"")), ""內部轉帳(忽略)"",
  AND(E11515&lt;&gt;"""", F11515&lt;&gt;"&amp;""""", NOT(REGEXMATCH(C11515, ""薪資""))), ""內部轉帳(忽略)"",
  REGEXMATCH(C11515, ""薪資""), ""薪資變動(不計入)"",
  REGEXMATCH(C11515, ""押金""), ""押金往來"",
  AND(E11515&lt;&gt;"""", F11515=""""), ""真實支出"",
  AND(E11515="""", F11515&lt;&gt;""""), ""真實收入"",
  TRUE, ""其他""
)"),"其他")</f>
        <v>其他</v>
      </c>
      <c r="K11515" s="270" t="str">
        <f t="shared" si="2"/>
        <v/>
      </c>
      <c r="L11515">
        <f t="shared" si="3"/>
        <v>0</v>
      </c>
    </row>
    <row r="11516">
      <c r="A11516" s="107"/>
      <c r="D11516" s="270"/>
      <c r="H11516" s="106" t="str">
        <f t="shared" si="1"/>
        <v/>
      </c>
      <c r="J11516" t="str">
        <f>IFERROR(__xludf.DUMMYFUNCTION("IFS(
  AND(REGEXMATCH(E11516, ""台銀籌備帳戶|玉山帳戶""), REGEXMATCH(C11516, ""薪資"")), ""分潤支出"",
  AND(REGEXMATCH(E11516, ""Ben帳戶|Elsa帳戶|Ben代墊|Ariel代墊|中信銀行共用""), REGEXMATCH(F11516, ""Ben帳戶|Elsa帳戶|Ben代墊|Ariel代墊|中信銀行共用"")), ""內部轉帳(忽略)"",
  AND(E11516&lt;&gt;"""", F11516&lt;&gt;"&amp;""""", NOT(REGEXMATCH(C11516, ""薪資""))), ""內部轉帳(忽略)"",
  REGEXMATCH(C11516, ""薪資""), ""薪資變動(不計入)"",
  REGEXMATCH(C11516, ""押金""), ""押金往來"",
  AND(E11516&lt;&gt;"""", F11516=""""), ""真實支出"",
  AND(E11516="""", F11516&lt;&gt;""""), ""真實收入"",
  TRUE, ""其他""
)"),"其他")</f>
        <v>其他</v>
      </c>
      <c r="K11516" s="270" t="str">
        <f t="shared" si="2"/>
        <v/>
      </c>
      <c r="L11516">
        <f t="shared" si="3"/>
        <v>0</v>
      </c>
    </row>
    <row r="11517">
      <c r="A11517" s="107"/>
      <c r="D11517" s="270"/>
      <c r="H11517" s="106" t="str">
        <f t="shared" si="1"/>
        <v/>
      </c>
      <c r="J11517" t="str">
        <f>IFERROR(__xludf.DUMMYFUNCTION("IFS(
  AND(REGEXMATCH(E11517, ""台銀籌備帳戶|玉山帳戶""), REGEXMATCH(C11517, ""薪資"")), ""分潤支出"",
  AND(REGEXMATCH(E11517, ""Ben帳戶|Elsa帳戶|Ben代墊|Ariel代墊|中信銀行共用""), REGEXMATCH(F11517, ""Ben帳戶|Elsa帳戶|Ben代墊|Ariel代墊|中信銀行共用"")), ""內部轉帳(忽略)"",
  AND(E11517&lt;&gt;"""", F11517&lt;&gt;"&amp;""""", NOT(REGEXMATCH(C11517, ""薪資""))), ""內部轉帳(忽略)"",
  REGEXMATCH(C11517, ""薪資""), ""薪資變動(不計入)"",
  REGEXMATCH(C11517, ""押金""), ""押金往來"",
  AND(E11517&lt;&gt;"""", F11517=""""), ""真實支出"",
  AND(E11517="""", F11517&lt;&gt;""""), ""真實收入"",
  TRUE, ""其他""
)"),"其他")</f>
        <v>其他</v>
      </c>
      <c r="K11517" s="270" t="str">
        <f t="shared" si="2"/>
        <v/>
      </c>
      <c r="L11517">
        <f t="shared" si="3"/>
        <v>0</v>
      </c>
    </row>
    <row r="11518">
      <c r="A11518" s="107"/>
      <c r="D11518" s="270"/>
      <c r="H11518" s="106" t="str">
        <f t="shared" si="1"/>
        <v/>
      </c>
      <c r="J11518" t="str">
        <f>IFERROR(__xludf.DUMMYFUNCTION("IFS(
  AND(REGEXMATCH(E11518, ""台銀籌備帳戶|玉山帳戶""), REGEXMATCH(C11518, ""薪資"")), ""分潤支出"",
  AND(REGEXMATCH(E11518, ""Ben帳戶|Elsa帳戶|Ben代墊|Ariel代墊|中信銀行共用""), REGEXMATCH(F11518, ""Ben帳戶|Elsa帳戶|Ben代墊|Ariel代墊|中信銀行共用"")), ""內部轉帳(忽略)"",
  AND(E11518&lt;&gt;"""", F11518&lt;&gt;"&amp;""""", NOT(REGEXMATCH(C11518, ""薪資""))), ""內部轉帳(忽略)"",
  REGEXMATCH(C11518, ""薪資""), ""薪資變動(不計入)"",
  REGEXMATCH(C11518, ""押金""), ""押金往來"",
  AND(E11518&lt;&gt;"""", F11518=""""), ""真實支出"",
  AND(E11518="""", F11518&lt;&gt;""""), ""真實收入"",
  TRUE, ""其他""
)"),"其他")</f>
        <v>其他</v>
      </c>
      <c r="K11518" s="270" t="str">
        <f t="shared" si="2"/>
        <v/>
      </c>
      <c r="L11518">
        <f t="shared" si="3"/>
        <v>0</v>
      </c>
    </row>
    <row r="11519">
      <c r="A11519" s="107"/>
      <c r="D11519" s="270"/>
      <c r="H11519" s="106" t="str">
        <f t="shared" si="1"/>
        <v/>
      </c>
      <c r="J11519" t="str">
        <f>IFERROR(__xludf.DUMMYFUNCTION("IFS(
  AND(REGEXMATCH(E11519, ""台銀籌備帳戶|玉山帳戶""), REGEXMATCH(C11519, ""薪資"")), ""分潤支出"",
  AND(REGEXMATCH(E11519, ""Ben帳戶|Elsa帳戶|Ben代墊|Ariel代墊|中信銀行共用""), REGEXMATCH(F11519, ""Ben帳戶|Elsa帳戶|Ben代墊|Ariel代墊|中信銀行共用"")), ""內部轉帳(忽略)"",
  AND(E11519&lt;&gt;"""", F11519&lt;&gt;"&amp;""""", NOT(REGEXMATCH(C11519, ""薪資""))), ""內部轉帳(忽略)"",
  REGEXMATCH(C11519, ""薪資""), ""薪資變動(不計入)"",
  REGEXMATCH(C11519, ""押金""), ""押金往來"",
  AND(E11519&lt;&gt;"""", F11519=""""), ""真實支出"",
  AND(E11519="""", F11519&lt;&gt;""""), ""真實收入"",
  TRUE, ""其他""
)"),"其他")</f>
        <v>其他</v>
      </c>
      <c r="K11519" s="270" t="str">
        <f t="shared" si="2"/>
        <v/>
      </c>
      <c r="L11519">
        <f t="shared" si="3"/>
        <v>0</v>
      </c>
    </row>
    <row r="11520">
      <c r="A11520" s="107"/>
      <c r="D11520" s="270"/>
      <c r="H11520" s="106" t="str">
        <f t="shared" si="1"/>
        <v/>
      </c>
      <c r="J11520" t="str">
        <f>IFERROR(__xludf.DUMMYFUNCTION("IFS(
  AND(REGEXMATCH(E11520, ""台銀籌備帳戶|玉山帳戶""), REGEXMATCH(C11520, ""薪資"")), ""分潤支出"",
  AND(REGEXMATCH(E11520, ""Ben帳戶|Elsa帳戶|Ben代墊|Ariel代墊|中信銀行共用""), REGEXMATCH(F11520, ""Ben帳戶|Elsa帳戶|Ben代墊|Ariel代墊|中信銀行共用"")), ""內部轉帳(忽略)"",
  AND(E11520&lt;&gt;"""", F11520&lt;&gt;"&amp;""""", NOT(REGEXMATCH(C11520, ""薪資""))), ""內部轉帳(忽略)"",
  REGEXMATCH(C11520, ""薪資""), ""薪資變動(不計入)"",
  REGEXMATCH(C11520, ""押金""), ""押金往來"",
  AND(E11520&lt;&gt;"""", F11520=""""), ""真實支出"",
  AND(E11520="""", F11520&lt;&gt;""""), ""真實收入"",
  TRUE, ""其他""
)"),"其他")</f>
        <v>其他</v>
      </c>
      <c r="K11520" s="270" t="str">
        <f t="shared" si="2"/>
        <v/>
      </c>
      <c r="L11520">
        <f t="shared" si="3"/>
        <v>0</v>
      </c>
    </row>
    <row r="11521">
      <c r="A11521" s="107"/>
      <c r="D11521" s="270"/>
      <c r="H11521" s="106" t="str">
        <f t="shared" si="1"/>
        <v/>
      </c>
      <c r="J11521" t="str">
        <f>IFERROR(__xludf.DUMMYFUNCTION("IFS(
  AND(REGEXMATCH(E11521, ""台銀籌備帳戶|玉山帳戶""), REGEXMATCH(C11521, ""薪資"")), ""分潤支出"",
  AND(REGEXMATCH(E11521, ""Ben帳戶|Elsa帳戶|Ben代墊|Ariel代墊|中信銀行共用""), REGEXMATCH(F11521, ""Ben帳戶|Elsa帳戶|Ben代墊|Ariel代墊|中信銀行共用"")), ""內部轉帳(忽略)"",
  AND(E11521&lt;&gt;"""", F11521&lt;&gt;"&amp;""""", NOT(REGEXMATCH(C11521, ""薪資""))), ""內部轉帳(忽略)"",
  REGEXMATCH(C11521, ""薪資""), ""薪資變動(不計入)"",
  REGEXMATCH(C11521, ""押金""), ""押金往來"",
  AND(E11521&lt;&gt;"""", F11521=""""), ""真實支出"",
  AND(E11521="""", F11521&lt;&gt;""""), ""真實收入"",
  TRUE, ""其他""
)"),"其他")</f>
        <v>其他</v>
      </c>
      <c r="K11521" s="270" t="str">
        <f t="shared" si="2"/>
        <v/>
      </c>
      <c r="L11521">
        <f t="shared" si="3"/>
        <v>0</v>
      </c>
    </row>
    <row r="11522">
      <c r="A11522" s="107"/>
      <c r="D11522" s="270"/>
      <c r="H11522" s="106" t="str">
        <f t="shared" si="1"/>
        <v/>
      </c>
      <c r="J11522" t="str">
        <f>IFERROR(__xludf.DUMMYFUNCTION("IFS(
  AND(REGEXMATCH(E11522, ""台銀籌備帳戶|玉山帳戶""), REGEXMATCH(C11522, ""薪資"")), ""分潤支出"",
  AND(REGEXMATCH(E11522, ""Ben帳戶|Elsa帳戶|Ben代墊|Ariel代墊|中信銀行共用""), REGEXMATCH(F11522, ""Ben帳戶|Elsa帳戶|Ben代墊|Ariel代墊|中信銀行共用"")), ""內部轉帳(忽略)"",
  AND(E11522&lt;&gt;"""", F11522&lt;&gt;"&amp;""""", NOT(REGEXMATCH(C11522, ""薪資""))), ""內部轉帳(忽略)"",
  REGEXMATCH(C11522, ""薪資""), ""薪資變動(不計入)"",
  REGEXMATCH(C11522, ""押金""), ""押金往來"",
  AND(E11522&lt;&gt;"""", F11522=""""), ""真實支出"",
  AND(E11522="""", F11522&lt;&gt;""""), ""真實收入"",
  TRUE, ""其他""
)"),"其他")</f>
        <v>其他</v>
      </c>
      <c r="K11522" s="270" t="str">
        <f t="shared" si="2"/>
        <v/>
      </c>
      <c r="L11522">
        <f t="shared" si="3"/>
        <v>0</v>
      </c>
    </row>
    <row r="11523">
      <c r="A11523" s="107"/>
      <c r="D11523" s="270"/>
      <c r="H11523" s="106" t="str">
        <f t="shared" si="1"/>
        <v/>
      </c>
      <c r="J11523" t="str">
        <f>IFERROR(__xludf.DUMMYFUNCTION("IFS(
  AND(REGEXMATCH(E11523, ""台銀籌備帳戶|玉山帳戶""), REGEXMATCH(C11523, ""薪資"")), ""分潤支出"",
  AND(REGEXMATCH(E11523, ""Ben帳戶|Elsa帳戶|Ben代墊|Ariel代墊|中信銀行共用""), REGEXMATCH(F11523, ""Ben帳戶|Elsa帳戶|Ben代墊|Ariel代墊|中信銀行共用"")), ""內部轉帳(忽略)"",
  AND(E11523&lt;&gt;"""", F11523&lt;&gt;"&amp;""""", NOT(REGEXMATCH(C11523, ""薪資""))), ""內部轉帳(忽略)"",
  REGEXMATCH(C11523, ""薪資""), ""薪資變動(不計入)"",
  REGEXMATCH(C11523, ""押金""), ""押金往來"",
  AND(E11523&lt;&gt;"""", F11523=""""), ""真實支出"",
  AND(E11523="""", F11523&lt;&gt;""""), ""真實收入"",
  TRUE, ""其他""
)"),"其他")</f>
        <v>其他</v>
      </c>
      <c r="K11523" s="270" t="str">
        <f t="shared" si="2"/>
        <v/>
      </c>
      <c r="L11523">
        <f t="shared" si="3"/>
        <v>0</v>
      </c>
    </row>
    <row r="11524">
      <c r="A11524" s="107"/>
      <c r="D11524" s="270"/>
      <c r="H11524" s="106" t="str">
        <f t="shared" si="1"/>
        <v/>
      </c>
      <c r="J11524" t="str">
        <f>IFERROR(__xludf.DUMMYFUNCTION("IFS(
  AND(REGEXMATCH(E11524, ""台銀籌備帳戶|玉山帳戶""), REGEXMATCH(C11524, ""薪資"")), ""分潤支出"",
  AND(REGEXMATCH(E11524, ""Ben帳戶|Elsa帳戶|Ben代墊|Ariel代墊|中信銀行共用""), REGEXMATCH(F11524, ""Ben帳戶|Elsa帳戶|Ben代墊|Ariel代墊|中信銀行共用"")), ""內部轉帳(忽略)"",
  AND(E11524&lt;&gt;"""", F11524&lt;&gt;"&amp;""""", NOT(REGEXMATCH(C11524, ""薪資""))), ""內部轉帳(忽略)"",
  REGEXMATCH(C11524, ""薪資""), ""薪資變動(不計入)"",
  REGEXMATCH(C11524, ""押金""), ""押金往來"",
  AND(E11524&lt;&gt;"""", F11524=""""), ""真實支出"",
  AND(E11524="""", F11524&lt;&gt;""""), ""真實收入"",
  TRUE, ""其他""
)"),"其他")</f>
        <v>其他</v>
      </c>
      <c r="K11524" s="270" t="str">
        <f t="shared" si="2"/>
        <v/>
      </c>
      <c r="L11524">
        <f t="shared" si="3"/>
        <v>0</v>
      </c>
    </row>
    <row r="11525">
      <c r="A11525" s="107"/>
      <c r="D11525" s="270"/>
      <c r="H11525" s="106" t="str">
        <f t="shared" si="1"/>
        <v/>
      </c>
      <c r="J11525" t="str">
        <f>IFERROR(__xludf.DUMMYFUNCTION("IFS(
  AND(REGEXMATCH(E11525, ""台銀籌備帳戶|玉山帳戶""), REGEXMATCH(C11525, ""薪資"")), ""分潤支出"",
  AND(REGEXMATCH(E11525, ""Ben帳戶|Elsa帳戶|Ben代墊|Ariel代墊|中信銀行共用""), REGEXMATCH(F11525, ""Ben帳戶|Elsa帳戶|Ben代墊|Ariel代墊|中信銀行共用"")), ""內部轉帳(忽略)"",
  AND(E11525&lt;&gt;"""", F11525&lt;&gt;"&amp;""""", NOT(REGEXMATCH(C11525, ""薪資""))), ""內部轉帳(忽略)"",
  REGEXMATCH(C11525, ""薪資""), ""薪資變動(不計入)"",
  REGEXMATCH(C11525, ""押金""), ""押金往來"",
  AND(E11525&lt;&gt;"""", F11525=""""), ""真實支出"",
  AND(E11525="""", F11525&lt;&gt;""""), ""真實收入"",
  TRUE, ""其他""
)"),"其他")</f>
        <v>其他</v>
      </c>
      <c r="K11525" s="270" t="str">
        <f t="shared" si="2"/>
        <v/>
      </c>
      <c r="L11525">
        <f t="shared" si="3"/>
        <v>0</v>
      </c>
    </row>
    <row r="11526">
      <c r="A11526" s="107"/>
      <c r="D11526" s="270"/>
      <c r="H11526" s="106" t="str">
        <f t="shared" si="1"/>
        <v/>
      </c>
      <c r="J11526" t="str">
        <f>IFERROR(__xludf.DUMMYFUNCTION("IFS(
  AND(REGEXMATCH(E11526, ""台銀籌備帳戶|玉山帳戶""), REGEXMATCH(C11526, ""薪資"")), ""分潤支出"",
  AND(REGEXMATCH(E11526, ""Ben帳戶|Elsa帳戶|Ben代墊|Ariel代墊|中信銀行共用""), REGEXMATCH(F11526, ""Ben帳戶|Elsa帳戶|Ben代墊|Ariel代墊|中信銀行共用"")), ""內部轉帳(忽略)"",
  AND(E11526&lt;&gt;"""", F11526&lt;&gt;"&amp;""""", NOT(REGEXMATCH(C11526, ""薪資""))), ""內部轉帳(忽略)"",
  REGEXMATCH(C11526, ""薪資""), ""薪資變動(不計入)"",
  REGEXMATCH(C11526, ""押金""), ""押金往來"",
  AND(E11526&lt;&gt;"""", F11526=""""), ""真實支出"",
  AND(E11526="""", F11526&lt;&gt;""""), ""真實收入"",
  TRUE, ""其他""
)"),"其他")</f>
        <v>其他</v>
      </c>
      <c r="K11526" s="270" t="str">
        <f t="shared" si="2"/>
        <v/>
      </c>
      <c r="L11526">
        <f t="shared" si="3"/>
        <v>0</v>
      </c>
    </row>
    <row r="11527">
      <c r="A11527" s="107"/>
      <c r="D11527" s="270"/>
      <c r="H11527" s="106" t="str">
        <f t="shared" si="1"/>
        <v/>
      </c>
      <c r="J11527" t="str">
        <f>IFERROR(__xludf.DUMMYFUNCTION("IFS(
  AND(REGEXMATCH(E11527, ""台銀籌備帳戶|玉山帳戶""), REGEXMATCH(C11527, ""薪資"")), ""分潤支出"",
  AND(REGEXMATCH(E11527, ""Ben帳戶|Elsa帳戶|Ben代墊|Ariel代墊|中信銀行共用""), REGEXMATCH(F11527, ""Ben帳戶|Elsa帳戶|Ben代墊|Ariel代墊|中信銀行共用"")), ""內部轉帳(忽略)"",
  AND(E11527&lt;&gt;"""", F11527&lt;&gt;"&amp;""""", NOT(REGEXMATCH(C11527, ""薪資""))), ""內部轉帳(忽略)"",
  REGEXMATCH(C11527, ""薪資""), ""薪資變動(不計入)"",
  REGEXMATCH(C11527, ""押金""), ""押金往來"",
  AND(E11527&lt;&gt;"""", F11527=""""), ""真實支出"",
  AND(E11527="""", F11527&lt;&gt;""""), ""真實收入"",
  TRUE, ""其他""
)"),"其他")</f>
        <v>其他</v>
      </c>
      <c r="K11527" s="270" t="str">
        <f t="shared" si="2"/>
        <v/>
      </c>
      <c r="L11527">
        <f t="shared" si="3"/>
        <v>0</v>
      </c>
    </row>
    <row r="11528">
      <c r="A11528" s="107"/>
      <c r="D11528" s="270"/>
      <c r="H11528" s="106" t="str">
        <f t="shared" si="1"/>
        <v/>
      </c>
      <c r="J11528" t="str">
        <f>IFERROR(__xludf.DUMMYFUNCTION("IFS(
  AND(REGEXMATCH(E11528, ""台銀籌備帳戶|玉山帳戶""), REGEXMATCH(C11528, ""薪資"")), ""分潤支出"",
  AND(REGEXMATCH(E11528, ""Ben帳戶|Elsa帳戶|Ben代墊|Ariel代墊|中信銀行共用""), REGEXMATCH(F11528, ""Ben帳戶|Elsa帳戶|Ben代墊|Ariel代墊|中信銀行共用"")), ""內部轉帳(忽略)"",
  AND(E11528&lt;&gt;"""", F11528&lt;&gt;"&amp;""""", NOT(REGEXMATCH(C11528, ""薪資""))), ""內部轉帳(忽略)"",
  REGEXMATCH(C11528, ""薪資""), ""薪資變動(不計入)"",
  REGEXMATCH(C11528, ""押金""), ""押金往來"",
  AND(E11528&lt;&gt;"""", F11528=""""), ""真實支出"",
  AND(E11528="""", F11528&lt;&gt;""""), ""真實收入"",
  TRUE, ""其他""
)"),"其他")</f>
        <v>其他</v>
      </c>
      <c r="K11528" s="270" t="str">
        <f t="shared" si="2"/>
        <v/>
      </c>
      <c r="L11528">
        <f t="shared" si="3"/>
        <v>0</v>
      </c>
    </row>
    <row r="11529">
      <c r="A11529" s="107"/>
      <c r="D11529" s="270"/>
      <c r="H11529" s="106" t="str">
        <f t="shared" si="1"/>
        <v/>
      </c>
      <c r="J11529" t="str">
        <f>IFERROR(__xludf.DUMMYFUNCTION("IFS(
  AND(REGEXMATCH(E11529, ""台銀籌備帳戶|玉山帳戶""), REGEXMATCH(C11529, ""薪資"")), ""分潤支出"",
  AND(REGEXMATCH(E11529, ""Ben帳戶|Elsa帳戶|Ben代墊|Ariel代墊|中信銀行共用""), REGEXMATCH(F11529, ""Ben帳戶|Elsa帳戶|Ben代墊|Ariel代墊|中信銀行共用"")), ""內部轉帳(忽略)"",
  AND(E11529&lt;&gt;"""", F11529&lt;&gt;"&amp;""""", NOT(REGEXMATCH(C11529, ""薪資""))), ""內部轉帳(忽略)"",
  REGEXMATCH(C11529, ""薪資""), ""薪資變動(不計入)"",
  REGEXMATCH(C11529, ""押金""), ""押金往來"",
  AND(E11529&lt;&gt;"""", F11529=""""), ""真實支出"",
  AND(E11529="""", F11529&lt;&gt;""""), ""真實收入"",
  TRUE, ""其他""
)"),"其他")</f>
        <v>其他</v>
      </c>
      <c r="K11529" s="270" t="str">
        <f t="shared" si="2"/>
        <v/>
      </c>
      <c r="L11529">
        <f t="shared" si="3"/>
        <v>0</v>
      </c>
    </row>
    <row r="11530">
      <c r="A11530" s="107"/>
      <c r="D11530" s="270"/>
      <c r="H11530" s="106" t="str">
        <f t="shared" si="1"/>
        <v/>
      </c>
      <c r="J11530" t="str">
        <f>IFERROR(__xludf.DUMMYFUNCTION("IFS(
  AND(REGEXMATCH(E11530, ""台銀籌備帳戶|玉山帳戶""), REGEXMATCH(C11530, ""薪資"")), ""分潤支出"",
  AND(REGEXMATCH(E11530, ""Ben帳戶|Elsa帳戶|Ben代墊|Ariel代墊|中信銀行共用""), REGEXMATCH(F11530, ""Ben帳戶|Elsa帳戶|Ben代墊|Ariel代墊|中信銀行共用"")), ""內部轉帳(忽略)"",
  AND(E11530&lt;&gt;"""", F11530&lt;&gt;"&amp;""""", NOT(REGEXMATCH(C11530, ""薪資""))), ""內部轉帳(忽略)"",
  REGEXMATCH(C11530, ""薪資""), ""薪資變動(不計入)"",
  REGEXMATCH(C11530, ""押金""), ""押金往來"",
  AND(E11530&lt;&gt;"""", F11530=""""), ""真實支出"",
  AND(E11530="""", F11530&lt;&gt;""""), ""真實收入"",
  TRUE, ""其他""
)"),"其他")</f>
        <v>其他</v>
      </c>
      <c r="K11530" s="270" t="str">
        <f t="shared" si="2"/>
        <v/>
      </c>
      <c r="L11530">
        <f t="shared" si="3"/>
        <v>0</v>
      </c>
    </row>
    <row r="11531">
      <c r="A11531" s="107"/>
      <c r="D11531" s="270"/>
      <c r="H11531" s="106" t="str">
        <f t="shared" si="1"/>
        <v/>
      </c>
      <c r="J11531" t="str">
        <f>IFERROR(__xludf.DUMMYFUNCTION("IFS(
  AND(REGEXMATCH(E11531, ""台銀籌備帳戶|玉山帳戶""), REGEXMATCH(C11531, ""薪資"")), ""分潤支出"",
  AND(REGEXMATCH(E11531, ""Ben帳戶|Elsa帳戶|Ben代墊|Ariel代墊|中信銀行共用""), REGEXMATCH(F11531, ""Ben帳戶|Elsa帳戶|Ben代墊|Ariel代墊|中信銀行共用"")), ""內部轉帳(忽略)"",
  AND(E11531&lt;&gt;"""", F11531&lt;&gt;"&amp;""""", NOT(REGEXMATCH(C11531, ""薪資""))), ""內部轉帳(忽略)"",
  REGEXMATCH(C11531, ""薪資""), ""薪資變動(不計入)"",
  REGEXMATCH(C11531, ""押金""), ""押金往來"",
  AND(E11531&lt;&gt;"""", F11531=""""), ""真實支出"",
  AND(E11531="""", F11531&lt;&gt;""""), ""真實收入"",
  TRUE, ""其他""
)"),"其他")</f>
        <v>其他</v>
      </c>
      <c r="K11531" s="270" t="str">
        <f t="shared" si="2"/>
        <v/>
      </c>
      <c r="L11531">
        <f t="shared" si="3"/>
        <v>0</v>
      </c>
    </row>
    <row r="11532">
      <c r="A11532" s="107"/>
      <c r="D11532" s="270"/>
      <c r="H11532" s="106" t="str">
        <f t="shared" si="1"/>
        <v/>
      </c>
      <c r="J11532" t="str">
        <f>IFERROR(__xludf.DUMMYFUNCTION("IFS(
  AND(REGEXMATCH(E11532, ""台銀籌備帳戶|玉山帳戶""), REGEXMATCH(C11532, ""薪資"")), ""分潤支出"",
  AND(REGEXMATCH(E11532, ""Ben帳戶|Elsa帳戶|Ben代墊|Ariel代墊|中信銀行共用""), REGEXMATCH(F11532, ""Ben帳戶|Elsa帳戶|Ben代墊|Ariel代墊|中信銀行共用"")), ""內部轉帳(忽略)"",
  AND(E11532&lt;&gt;"""", F11532&lt;&gt;"&amp;""""", NOT(REGEXMATCH(C11532, ""薪資""))), ""內部轉帳(忽略)"",
  REGEXMATCH(C11532, ""薪資""), ""薪資變動(不計入)"",
  REGEXMATCH(C11532, ""押金""), ""押金往來"",
  AND(E11532&lt;&gt;"""", F11532=""""), ""真實支出"",
  AND(E11532="""", F11532&lt;&gt;""""), ""真實收入"",
  TRUE, ""其他""
)"),"其他")</f>
        <v>其他</v>
      </c>
      <c r="K11532" s="270" t="str">
        <f t="shared" si="2"/>
        <v/>
      </c>
      <c r="L11532">
        <f t="shared" si="3"/>
        <v>0</v>
      </c>
    </row>
    <row r="11533">
      <c r="A11533" s="107"/>
      <c r="D11533" s="270"/>
      <c r="H11533" s="106" t="str">
        <f t="shared" si="1"/>
        <v/>
      </c>
      <c r="J11533" t="str">
        <f>IFERROR(__xludf.DUMMYFUNCTION("IFS(
  AND(REGEXMATCH(E11533, ""台銀籌備帳戶|玉山帳戶""), REGEXMATCH(C11533, ""薪資"")), ""分潤支出"",
  AND(REGEXMATCH(E11533, ""Ben帳戶|Elsa帳戶|Ben代墊|Ariel代墊|中信銀行共用""), REGEXMATCH(F11533, ""Ben帳戶|Elsa帳戶|Ben代墊|Ariel代墊|中信銀行共用"")), ""內部轉帳(忽略)"",
  AND(E11533&lt;&gt;"""", F11533&lt;&gt;"&amp;""""", NOT(REGEXMATCH(C11533, ""薪資""))), ""內部轉帳(忽略)"",
  REGEXMATCH(C11533, ""薪資""), ""薪資變動(不計入)"",
  REGEXMATCH(C11533, ""押金""), ""押金往來"",
  AND(E11533&lt;&gt;"""", F11533=""""), ""真實支出"",
  AND(E11533="""", F11533&lt;&gt;""""), ""真實收入"",
  TRUE, ""其他""
)"),"其他")</f>
        <v>其他</v>
      </c>
      <c r="K11533" s="270" t="str">
        <f t="shared" si="2"/>
        <v/>
      </c>
      <c r="L11533">
        <f t="shared" si="3"/>
        <v>0</v>
      </c>
    </row>
    <row r="11534">
      <c r="A11534" s="107"/>
      <c r="D11534" s="270"/>
      <c r="H11534" s="106" t="str">
        <f t="shared" si="1"/>
        <v/>
      </c>
      <c r="J11534" t="str">
        <f>IFERROR(__xludf.DUMMYFUNCTION("IFS(
  AND(REGEXMATCH(E11534, ""台銀籌備帳戶|玉山帳戶""), REGEXMATCH(C11534, ""薪資"")), ""分潤支出"",
  AND(REGEXMATCH(E11534, ""Ben帳戶|Elsa帳戶|Ben代墊|Ariel代墊|中信銀行共用""), REGEXMATCH(F11534, ""Ben帳戶|Elsa帳戶|Ben代墊|Ariel代墊|中信銀行共用"")), ""內部轉帳(忽略)"",
  AND(E11534&lt;&gt;"""", F11534&lt;&gt;"&amp;""""", NOT(REGEXMATCH(C11534, ""薪資""))), ""內部轉帳(忽略)"",
  REGEXMATCH(C11534, ""薪資""), ""薪資變動(不計入)"",
  REGEXMATCH(C11534, ""押金""), ""押金往來"",
  AND(E11534&lt;&gt;"""", F11534=""""), ""真實支出"",
  AND(E11534="""", F11534&lt;&gt;""""), ""真實收入"",
  TRUE, ""其他""
)"),"其他")</f>
        <v>其他</v>
      </c>
      <c r="K11534" s="270" t="str">
        <f t="shared" si="2"/>
        <v/>
      </c>
      <c r="L11534">
        <f t="shared" si="3"/>
        <v>0</v>
      </c>
    </row>
    <row r="11535">
      <c r="A11535" s="107"/>
      <c r="D11535" s="270"/>
      <c r="H11535" s="106" t="str">
        <f t="shared" si="1"/>
        <v/>
      </c>
      <c r="J11535" t="str">
        <f>IFERROR(__xludf.DUMMYFUNCTION("IFS(
  AND(REGEXMATCH(E11535, ""台銀籌備帳戶|玉山帳戶""), REGEXMATCH(C11535, ""薪資"")), ""分潤支出"",
  AND(REGEXMATCH(E11535, ""Ben帳戶|Elsa帳戶|Ben代墊|Ariel代墊|中信銀行共用""), REGEXMATCH(F11535, ""Ben帳戶|Elsa帳戶|Ben代墊|Ariel代墊|中信銀行共用"")), ""內部轉帳(忽略)"",
  AND(E11535&lt;&gt;"""", F11535&lt;&gt;"&amp;""""", NOT(REGEXMATCH(C11535, ""薪資""))), ""內部轉帳(忽略)"",
  REGEXMATCH(C11535, ""薪資""), ""薪資變動(不計入)"",
  REGEXMATCH(C11535, ""押金""), ""押金往來"",
  AND(E11535&lt;&gt;"""", F11535=""""), ""真實支出"",
  AND(E11535="""", F11535&lt;&gt;""""), ""真實收入"",
  TRUE, ""其他""
)"),"其他")</f>
        <v>其他</v>
      </c>
      <c r="K11535" s="270" t="str">
        <f t="shared" si="2"/>
        <v/>
      </c>
      <c r="L11535">
        <f t="shared" si="3"/>
        <v>0</v>
      </c>
    </row>
    <row r="11536">
      <c r="A11536" s="107"/>
      <c r="D11536" s="270"/>
      <c r="H11536" s="106" t="str">
        <f t="shared" si="1"/>
        <v/>
      </c>
      <c r="J11536" t="str">
        <f>IFERROR(__xludf.DUMMYFUNCTION("IFS(
  AND(REGEXMATCH(E11536, ""台銀籌備帳戶|玉山帳戶""), REGEXMATCH(C11536, ""薪資"")), ""分潤支出"",
  AND(REGEXMATCH(E11536, ""Ben帳戶|Elsa帳戶|Ben代墊|Ariel代墊|中信銀行共用""), REGEXMATCH(F11536, ""Ben帳戶|Elsa帳戶|Ben代墊|Ariel代墊|中信銀行共用"")), ""內部轉帳(忽略)"",
  AND(E11536&lt;&gt;"""", F11536&lt;&gt;"&amp;""""", NOT(REGEXMATCH(C11536, ""薪資""))), ""內部轉帳(忽略)"",
  REGEXMATCH(C11536, ""薪資""), ""薪資變動(不計入)"",
  REGEXMATCH(C11536, ""押金""), ""押金往來"",
  AND(E11536&lt;&gt;"""", F11536=""""), ""真實支出"",
  AND(E11536="""", F11536&lt;&gt;""""), ""真實收入"",
  TRUE, ""其他""
)"),"其他")</f>
        <v>其他</v>
      </c>
      <c r="K11536" s="270" t="str">
        <f t="shared" si="2"/>
        <v/>
      </c>
      <c r="L11536">
        <f t="shared" si="3"/>
        <v>0</v>
      </c>
    </row>
    <row r="11537">
      <c r="A11537" s="107"/>
      <c r="D11537" s="270"/>
      <c r="H11537" s="106" t="str">
        <f t="shared" si="1"/>
        <v/>
      </c>
      <c r="J11537" t="str">
        <f>IFERROR(__xludf.DUMMYFUNCTION("IFS(
  AND(REGEXMATCH(E11537, ""台銀籌備帳戶|玉山帳戶""), REGEXMATCH(C11537, ""薪資"")), ""分潤支出"",
  AND(REGEXMATCH(E11537, ""Ben帳戶|Elsa帳戶|Ben代墊|Ariel代墊|中信銀行共用""), REGEXMATCH(F11537, ""Ben帳戶|Elsa帳戶|Ben代墊|Ariel代墊|中信銀行共用"")), ""內部轉帳(忽略)"",
  AND(E11537&lt;&gt;"""", F11537&lt;&gt;"&amp;""""", NOT(REGEXMATCH(C11537, ""薪資""))), ""內部轉帳(忽略)"",
  REGEXMATCH(C11537, ""薪資""), ""薪資變動(不計入)"",
  REGEXMATCH(C11537, ""押金""), ""押金往來"",
  AND(E11537&lt;&gt;"""", F11537=""""), ""真實支出"",
  AND(E11537="""", F11537&lt;&gt;""""), ""真實收入"",
  TRUE, ""其他""
)"),"其他")</f>
        <v>其他</v>
      </c>
      <c r="K11537" s="270" t="str">
        <f t="shared" si="2"/>
        <v/>
      </c>
      <c r="L11537">
        <f t="shared" si="3"/>
        <v>0</v>
      </c>
    </row>
    <row r="11538">
      <c r="A11538" s="107"/>
      <c r="D11538" s="270"/>
      <c r="H11538" s="106" t="str">
        <f t="shared" si="1"/>
        <v/>
      </c>
      <c r="J11538" t="str">
        <f>IFERROR(__xludf.DUMMYFUNCTION("IFS(
  AND(REGEXMATCH(E11538, ""台銀籌備帳戶|玉山帳戶""), REGEXMATCH(C11538, ""薪資"")), ""分潤支出"",
  AND(REGEXMATCH(E11538, ""Ben帳戶|Elsa帳戶|Ben代墊|Ariel代墊|中信銀行共用""), REGEXMATCH(F11538, ""Ben帳戶|Elsa帳戶|Ben代墊|Ariel代墊|中信銀行共用"")), ""內部轉帳(忽略)"",
  AND(E11538&lt;&gt;"""", F11538&lt;&gt;"&amp;""""", NOT(REGEXMATCH(C11538, ""薪資""))), ""內部轉帳(忽略)"",
  REGEXMATCH(C11538, ""薪資""), ""薪資變動(不計入)"",
  REGEXMATCH(C11538, ""押金""), ""押金往來"",
  AND(E11538&lt;&gt;"""", F11538=""""), ""真實支出"",
  AND(E11538="""", F11538&lt;&gt;""""), ""真實收入"",
  TRUE, ""其他""
)"),"其他")</f>
        <v>其他</v>
      </c>
      <c r="K11538" s="270" t="str">
        <f t="shared" si="2"/>
        <v/>
      </c>
      <c r="L11538">
        <f t="shared" si="3"/>
        <v>0</v>
      </c>
    </row>
    <row r="11539">
      <c r="A11539" s="107"/>
      <c r="D11539" s="270"/>
      <c r="H11539" s="106" t="str">
        <f t="shared" si="1"/>
        <v/>
      </c>
      <c r="J11539" t="str">
        <f>IFERROR(__xludf.DUMMYFUNCTION("IFS(
  AND(REGEXMATCH(E11539, ""台銀籌備帳戶|玉山帳戶""), REGEXMATCH(C11539, ""薪資"")), ""分潤支出"",
  AND(REGEXMATCH(E11539, ""Ben帳戶|Elsa帳戶|Ben代墊|Ariel代墊|中信銀行共用""), REGEXMATCH(F11539, ""Ben帳戶|Elsa帳戶|Ben代墊|Ariel代墊|中信銀行共用"")), ""內部轉帳(忽略)"",
  AND(E11539&lt;&gt;"""", F11539&lt;&gt;"&amp;""""", NOT(REGEXMATCH(C11539, ""薪資""))), ""內部轉帳(忽略)"",
  REGEXMATCH(C11539, ""薪資""), ""薪資變動(不計入)"",
  REGEXMATCH(C11539, ""押金""), ""押金往來"",
  AND(E11539&lt;&gt;"""", F11539=""""), ""真實支出"",
  AND(E11539="""", F11539&lt;&gt;""""), ""真實收入"",
  TRUE, ""其他""
)"),"其他")</f>
        <v>其他</v>
      </c>
      <c r="K11539" s="270" t="str">
        <f t="shared" si="2"/>
        <v/>
      </c>
      <c r="L11539">
        <f t="shared" si="3"/>
        <v>0</v>
      </c>
    </row>
    <row r="11540">
      <c r="A11540" s="107"/>
      <c r="D11540" s="270"/>
      <c r="H11540" s="106" t="str">
        <f t="shared" si="1"/>
        <v/>
      </c>
      <c r="J11540" t="str">
        <f>IFERROR(__xludf.DUMMYFUNCTION("IFS(
  AND(REGEXMATCH(E11540, ""台銀籌備帳戶|玉山帳戶""), REGEXMATCH(C11540, ""薪資"")), ""分潤支出"",
  AND(REGEXMATCH(E11540, ""Ben帳戶|Elsa帳戶|Ben代墊|Ariel代墊|中信銀行共用""), REGEXMATCH(F11540, ""Ben帳戶|Elsa帳戶|Ben代墊|Ariel代墊|中信銀行共用"")), ""內部轉帳(忽略)"",
  AND(E11540&lt;&gt;"""", F11540&lt;&gt;"&amp;""""", NOT(REGEXMATCH(C11540, ""薪資""))), ""內部轉帳(忽略)"",
  REGEXMATCH(C11540, ""薪資""), ""薪資變動(不計入)"",
  REGEXMATCH(C11540, ""押金""), ""押金往來"",
  AND(E11540&lt;&gt;"""", F11540=""""), ""真實支出"",
  AND(E11540="""", F11540&lt;&gt;""""), ""真實收入"",
  TRUE, ""其他""
)"),"其他")</f>
        <v>其他</v>
      </c>
      <c r="K11540" s="270" t="str">
        <f t="shared" si="2"/>
        <v/>
      </c>
      <c r="L11540">
        <f t="shared" si="3"/>
        <v>0</v>
      </c>
    </row>
    <row r="11541">
      <c r="A11541" s="107"/>
      <c r="D11541" s="270"/>
      <c r="H11541" s="106" t="str">
        <f t="shared" si="1"/>
        <v/>
      </c>
      <c r="J11541" t="str">
        <f>IFERROR(__xludf.DUMMYFUNCTION("IFS(
  AND(REGEXMATCH(E11541, ""台銀籌備帳戶|玉山帳戶""), REGEXMATCH(C11541, ""薪資"")), ""分潤支出"",
  AND(REGEXMATCH(E11541, ""Ben帳戶|Elsa帳戶|Ben代墊|Ariel代墊|中信銀行共用""), REGEXMATCH(F11541, ""Ben帳戶|Elsa帳戶|Ben代墊|Ariel代墊|中信銀行共用"")), ""內部轉帳(忽略)"",
  AND(E11541&lt;&gt;"""", F11541&lt;&gt;"&amp;""""", NOT(REGEXMATCH(C11541, ""薪資""))), ""內部轉帳(忽略)"",
  REGEXMATCH(C11541, ""薪資""), ""薪資變動(不計入)"",
  REGEXMATCH(C11541, ""押金""), ""押金往來"",
  AND(E11541&lt;&gt;"""", F11541=""""), ""真實支出"",
  AND(E11541="""", F11541&lt;&gt;""""), ""真實收入"",
  TRUE, ""其他""
)"),"其他")</f>
        <v>其他</v>
      </c>
      <c r="K11541" s="270" t="str">
        <f t="shared" si="2"/>
        <v/>
      </c>
      <c r="L11541">
        <f t="shared" si="3"/>
        <v>0</v>
      </c>
    </row>
    <row r="11542">
      <c r="A11542" s="107"/>
      <c r="D11542" s="270"/>
      <c r="H11542" s="106" t="str">
        <f t="shared" si="1"/>
        <v/>
      </c>
      <c r="J11542" t="str">
        <f>IFERROR(__xludf.DUMMYFUNCTION("IFS(
  AND(REGEXMATCH(E11542, ""台銀籌備帳戶|玉山帳戶""), REGEXMATCH(C11542, ""薪資"")), ""分潤支出"",
  AND(REGEXMATCH(E11542, ""Ben帳戶|Elsa帳戶|Ben代墊|Ariel代墊|中信銀行共用""), REGEXMATCH(F11542, ""Ben帳戶|Elsa帳戶|Ben代墊|Ariel代墊|中信銀行共用"")), ""內部轉帳(忽略)"",
  AND(E11542&lt;&gt;"""", F11542&lt;&gt;"&amp;""""", NOT(REGEXMATCH(C11542, ""薪資""))), ""內部轉帳(忽略)"",
  REGEXMATCH(C11542, ""薪資""), ""薪資變動(不計入)"",
  REGEXMATCH(C11542, ""押金""), ""押金往來"",
  AND(E11542&lt;&gt;"""", F11542=""""), ""真實支出"",
  AND(E11542="""", F11542&lt;&gt;""""), ""真實收入"",
  TRUE, ""其他""
)"),"其他")</f>
        <v>其他</v>
      </c>
      <c r="K11542" s="270" t="str">
        <f t="shared" si="2"/>
        <v/>
      </c>
      <c r="L11542">
        <f t="shared" si="3"/>
        <v>0</v>
      </c>
    </row>
    <row r="11543">
      <c r="A11543" s="107"/>
      <c r="D11543" s="270"/>
      <c r="H11543" s="106" t="str">
        <f t="shared" si="1"/>
        <v/>
      </c>
      <c r="J11543" t="str">
        <f>IFERROR(__xludf.DUMMYFUNCTION("IFS(
  AND(REGEXMATCH(E11543, ""台銀籌備帳戶|玉山帳戶""), REGEXMATCH(C11543, ""薪資"")), ""分潤支出"",
  AND(REGEXMATCH(E11543, ""Ben帳戶|Elsa帳戶|Ben代墊|Ariel代墊|中信銀行共用""), REGEXMATCH(F11543, ""Ben帳戶|Elsa帳戶|Ben代墊|Ariel代墊|中信銀行共用"")), ""內部轉帳(忽略)"",
  AND(E11543&lt;&gt;"""", F11543&lt;&gt;"&amp;""""", NOT(REGEXMATCH(C11543, ""薪資""))), ""內部轉帳(忽略)"",
  REGEXMATCH(C11543, ""薪資""), ""薪資變動(不計入)"",
  REGEXMATCH(C11543, ""押金""), ""押金往來"",
  AND(E11543&lt;&gt;"""", F11543=""""), ""真實支出"",
  AND(E11543="""", F11543&lt;&gt;""""), ""真實收入"",
  TRUE, ""其他""
)"),"其他")</f>
        <v>其他</v>
      </c>
      <c r="K11543" s="270" t="str">
        <f t="shared" si="2"/>
        <v/>
      </c>
      <c r="L11543">
        <f t="shared" si="3"/>
        <v>0</v>
      </c>
    </row>
    <row r="11544">
      <c r="A11544" s="107"/>
      <c r="D11544" s="270"/>
      <c r="H11544" s="106" t="str">
        <f t="shared" si="1"/>
        <v/>
      </c>
      <c r="J11544" t="str">
        <f>IFERROR(__xludf.DUMMYFUNCTION("IFS(
  AND(REGEXMATCH(E11544, ""台銀籌備帳戶|玉山帳戶""), REGEXMATCH(C11544, ""薪資"")), ""分潤支出"",
  AND(REGEXMATCH(E11544, ""Ben帳戶|Elsa帳戶|Ben代墊|Ariel代墊|中信銀行共用""), REGEXMATCH(F11544, ""Ben帳戶|Elsa帳戶|Ben代墊|Ariel代墊|中信銀行共用"")), ""內部轉帳(忽略)"",
  AND(E11544&lt;&gt;"""", F11544&lt;&gt;"&amp;""""", NOT(REGEXMATCH(C11544, ""薪資""))), ""內部轉帳(忽略)"",
  REGEXMATCH(C11544, ""薪資""), ""薪資變動(不計入)"",
  REGEXMATCH(C11544, ""押金""), ""押金往來"",
  AND(E11544&lt;&gt;"""", F11544=""""), ""真實支出"",
  AND(E11544="""", F11544&lt;&gt;""""), ""真實收入"",
  TRUE, ""其他""
)"),"其他")</f>
        <v>其他</v>
      </c>
      <c r="K11544" s="270" t="str">
        <f t="shared" si="2"/>
        <v/>
      </c>
      <c r="L11544">
        <f t="shared" si="3"/>
        <v>0</v>
      </c>
    </row>
    <row r="11545">
      <c r="A11545" s="107"/>
      <c r="D11545" s="270"/>
      <c r="H11545" s="106" t="str">
        <f t="shared" si="1"/>
        <v/>
      </c>
      <c r="J11545" t="str">
        <f>IFERROR(__xludf.DUMMYFUNCTION("IFS(
  AND(REGEXMATCH(E11545, ""台銀籌備帳戶|玉山帳戶""), REGEXMATCH(C11545, ""薪資"")), ""分潤支出"",
  AND(REGEXMATCH(E11545, ""Ben帳戶|Elsa帳戶|Ben代墊|Ariel代墊|中信銀行共用""), REGEXMATCH(F11545, ""Ben帳戶|Elsa帳戶|Ben代墊|Ariel代墊|中信銀行共用"")), ""內部轉帳(忽略)"",
  AND(E11545&lt;&gt;"""", F11545&lt;&gt;"&amp;""""", NOT(REGEXMATCH(C11545, ""薪資""))), ""內部轉帳(忽略)"",
  REGEXMATCH(C11545, ""薪資""), ""薪資變動(不計入)"",
  REGEXMATCH(C11545, ""押金""), ""押金往來"",
  AND(E11545&lt;&gt;"""", F11545=""""), ""真實支出"",
  AND(E11545="""", F11545&lt;&gt;""""), ""真實收入"",
  TRUE, ""其他""
)"),"其他")</f>
        <v>其他</v>
      </c>
      <c r="K11545" s="270" t="str">
        <f t="shared" si="2"/>
        <v/>
      </c>
      <c r="L11545">
        <f t="shared" si="3"/>
        <v>0</v>
      </c>
    </row>
    <row r="11546">
      <c r="A11546" s="107"/>
      <c r="D11546" s="270"/>
      <c r="H11546" s="106" t="str">
        <f t="shared" si="1"/>
        <v/>
      </c>
      <c r="J11546" t="str">
        <f>IFERROR(__xludf.DUMMYFUNCTION("IFS(
  AND(REGEXMATCH(E11546, ""台銀籌備帳戶|玉山帳戶""), REGEXMATCH(C11546, ""薪資"")), ""分潤支出"",
  AND(REGEXMATCH(E11546, ""Ben帳戶|Elsa帳戶|Ben代墊|Ariel代墊|中信銀行共用""), REGEXMATCH(F11546, ""Ben帳戶|Elsa帳戶|Ben代墊|Ariel代墊|中信銀行共用"")), ""內部轉帳(忽略)"",
  AND(E11546&lt;&gt;"""", F11546&lt;&gt;"&amp;""""", NOT(REGEXMATCH(C11546, ""薪資""))), ""內部轉帳(忽略)"",
  REGEXMATCH(C11546, ""薪資""), ""薪資變動(不計入)"",
  REGEXMATCH(C11546, ""押金""), ""押金往來"",
  AND(E11546&lt;&gt;"""", F11546=""""), ""真實支出"",
  AND(E11546="""", F11546&lt;&gt;""""), ""真實收入"",
  TRUE, ""其他""
)"),"其他")</f>
        <v>其他</v>
      </c>
      <c r="K11546" s="270" t="str">
        <f t="shared" si="2"/>
        <v/>
      </c>
      <c r="L11546">
        <f t="shared" si="3"/>
        <v>0</v>
      </c>
    </row>
    <row r="11547">
      <c r="A11547" s="107"/>
      <c r="D11547" s="270"/>
      <c r="H11547" s="106" t="str">
        <f t="shared" si="1"/>
        <v/>
      </c>
      <c r="J11547" t="str">
        <f>IFERROR(__xludf.DUMMYFUNCTION("IFS(
  AND(REGEXMATCH(E11547, ""台銀籌備帳戶|玉山帳戶""), REGEXMATCH(C11547, ""薪資"")), ""分潤支出"",
  AND(REGEXMATCH(E11547, ""Ben帳戶|Elsa帳戶|Ben代墊|Ariel代墊|中信銀行共用""), REGEXMATCH(F11547, ""Ben帳戶|Elsa帳戶|Ben代墊|Ariel代墊|中信銀行共用"")), ""內部轉帳(忽略)"",
  AND(E11547&lt;&gt;"""", F11547&lt;&gt;"&amp;""""", NOT(REGEXMATCH(C11547, ""薪資""))), ""內部轉帳(忽略)"",
  REGEXMATCH(C11547, ""薪資""), ""薪資變動(不計入)"",
  REGEXMATCH(C11547, ""押金""), ""押金往來"",
  AND(E11547&lt;&gt;"""", F11547=""""), ""真實支出"",
  AND(E11547="""", F11547&lt;&gt;""""), ""真實收入"",
  TRUE, ""其他""
)"),"其他")</f>
        <v>其他</v>
      </c>
      <c r="K11547" s="270" t="str">
        <f t="shared" si="2"/>
        <v/>
      </c>
      <c r="L11547">
        <f t="shared" si="3"/>
        <v>0</v>
      </c>
    </row>
    <row r="11548">
      <c r="A11548" s="107"/>
      <c r="D11548" s="270"/>
      <c r="H11548" s="106" t="str">
        <f t="shared" si="1"/>
        <v/>
      </c>
      <c r="J11548" t="str">
        <f>IFERROR(__xludf.DUMMYFUNCTION("IFS(
  AND(REGEXMATCH(E11548, ""台銀籌備帳戶|玉山帳戶""), REGEXMATCH(C11548, ""薪資"")), ""分潤支出"",
  AND(REGEXMATCH(E11548, ""Ben帳戶|Elsa帳戶|Ben代墊|Ariel代墊|中信銀行共用""), REGEXMATCH(F11548, ""Ben帳戶|Elsa帳戶|Ben代墊|Ariel代墊|中信銀行共用"")), ""內部轉帳(忽略)"",
  AND(E11548&lt;&gt;"""", F11548&lt;&gt;"&amp;""""", NOT(REGEXMATCH(C11548, ""薪資""))), ""內部轉帳(忽略)"",
  REGEXMATCH(C11548, ""薪資""), ""薪資變動(不計入)"",
  REGEXMATCH(C11548, ""押金""), ""押金往來"",
  AND(E11548&lt;&gt;"""", F11548=""""), ""真實支出"",
  AND(E11548="""", F11548&lt;&gt;""""), ""真實收入"",
  TRUE, ""其他""
)"),"其他")</f>
        <v>其他</v>
      </c>
      <c r="K11548" s="270" t="str">
        <f t="shared" si="2"/>
        <v/>
      </c>
      <c r="L11548">
        <f t="shared" si="3"/>
        <v>0</v>
      </c>
    </row>
    <row r="11549">
      <c r="A11549" s="107"/>
      <c r="D11549" s="270"/>
      <c r="H11549" s="106" t="str">
        <f t="shared" si="1"/>
        <v/>
      </c>
      <c r="J11549" t="str">
        <f>IFERROR(__xludf.DUMMYFUNCTION("IFS(
  AND(REGEXMATCH(E11549, ""台銀籌備帳戶|玉山帳戶""), REGEXMATCH(C11549, ""薪資"")), ""分潤支出"",
  AND(REGEXMATCH(E11549, ""Ben帳戶|Elsa帳戶|Ben代墊|Ariel代墊|中信銀行共用""), REGEXMATCH(F11549, ""Ben帳戶|Elsa帳戶|Ben代墊|Ariel代墊|中信銀行共用"")), ""內部轉帳(忽略)"",
  AND(E11549&lt;&gt;"""", F11549&lt;&gt;"&amp;""""", NOT(REGEXMATCH(C11549, ""薪資""))), ""內部轉帳(忽略)"",
  REGEXMATCH(C11549, ""薪資""), ""薪資變動(不計入)"",
  REGEXMATCH(C11549, ""押金""), ""押金往來"",
  AND(E11549&lt;&gt;"""", F11549=""""), ""真實支出"",
  AND(E11549="""", F11549&lt;&gt;""""), ""真實收入"",
  TRUE, ""其他""
)"),"其他")</f>
        <v>其他</v>
      </c>
      <c r="K11549" s="270" t="str">
        <f t="shared" si="2"/>
        <v/>
      </c>
      <c r="L11549">
        <f t="shared" si="3"/>
        <v>0</v>
      </c>
    </row>
    <row r="11550">
      <c r="A11550" s="107"/>
      <c r="D11550" s="270"/>
      <c r="H11550" s="106" t="str">
        <f t="shared" si="1"/>
        <v/>
      </c>
      <c r="J11550" t="str">
        <f>IFERROR(__xludf.DUMMYFUNCTION("IFS(
  AND(REGEXMATCH(E11550, ""台銀籌備帳戶|玉山帳戶""), REGEXMATCH(C11550, ""薪資"")), ""分潤支出"",
  AND(REGEXMATCH(E11550, ""Ben帳戶|Elsa帳戶|Ben代墊|Ariel代墊|中信銀行共用""), REGEXMATCH(F11550, ""Ben帳戶|Elsa帳戶|Ben代墊|Ariel代墊|中信銀行共用"")), ""內部轉帳(忽略)"",
  AND(E11550&lt;&gt;"""", F11550&lt;&gt;"&amp;""""", NOT(REGEXMATCH(C11550, ""薪資""))), ""內部轉帳(忽略)"",
  REGEXMATCH(C11550, ""薪資""), ""薪資變動(不計入)"",
  REGEXMATCH(C11550, ""押金""), ""押金往來"",
  AND(E11550&lt;&gt;"""", F11550=""""), ""真實支出"",
  AND(E11550="""", F11550&lt;&gt;""""), ""真實收入"",
  TRUE, ""其他""
)"),"其他")</f>
        <v>其他</v>
      </c>
      <c r="K11550" s="270" t="str">
        <f t="shared" si="2"/>
        <v/>
      </c>
      <c r="L11550">
        <f t="shared" si="3"/>
        <v>0</v>
      </c>
    </row>
    <row r="11551">
      <c r="A11551" s="107"/>
      <c r="D11551" s="270"/>
      <c r="H11551" s="106" t="str">
        <f t="shared" si="1"/>
        <v/>
      </c>
      <c r="J11551" t="str">
        <f>IFERROR(__xludf.DUMMYFUNCTION("IFS(
  AND(REGEXMATCH(E11551, ""台銀籌備帳戶|玉山帳戶""), REGEXMATCH(C11551, ""薪資"")), ""分潤支出"",
  AND(REGEXMATCH(E11551, ""Ben帳戶|Elsa帳戶|Ben代墊|Ariel代墊|中信銀行共用""), REGEXMATCH(F11551, ""Ben帳戶|Elsa帳戶|Ben代墊|Ariel代墊|中信銀行共用"")), ""內部轉帳(忽略)"",
  AND(E11551&lt;&gt;"""", F11551&lt;&gt;"&amp;""""", NOT(REGEXMATCH(C11551, ""薪資""))), ""內部轉帳(忽略)"",
  REGEXMATCH(C11551, ""薪資""), ""薪資變動(不計入)"",
  REGEXMATCH(C11551, ""押金""), ""押金往來"",
  AND(E11551&lt;&gt;"""", F11551=""""), ""真實支出"",
  AND(E11551="""", F11551&lt;&gt;""""), ""真實收入"",
  TRUE, ""其他""
)"),"其他")</f>
        <v>其他</v>
      </c>
      <c r="K11551" s="270" t="str">
        <f t="shared" si="2"/>
        <v/>
      </c>
      <c r="L11551">
        <f t="shared" si="3"/>
        <v>0</v>
      </c>
    </row>
    <row r="11552">
      <c r="A11552" s="107"/>
      <c r="D11552" s="270"/>
      <c r="H11552" s="106" t="str">
        <f t="shared" si="1"/>
        <v/>
      </c>
      <c r="J11552" t="str">
        <f>IFERROR(__xludf.DUMMYFUNCTION("IFS(
  AND(REGEXMATCH(E11552, ""台銀籌備帳戶|玉山帳戶""), REGEXMATCH(C11552, ""薪資"")), ""分潤支出"",
  AND(REGEXMATCH(E11552, ""Ben帳戶|Elsa帳戶|Ben代墊|Ariel代墊|中信銀行共用""), REGEXMATCH(F11552, ""Ben帳戶|Elsa帳戶|Ben代墊|Ariel代墊|中信銀行共用"")), ""內部轉帳(忽略)"",
  AND(E11552&lt;&gt;"""", F11552&lt;&gt;"&amp;""""", NOT(REGEXMATCH(C11552, ""薪資""))), ""內部轉帳(忽略)"",
  REGEXMATCH(C11552, ""薪資""), ""薪資變動(不計入)"",
  REGEXMATCH(C11552, ""押金""), ""押金往來"",
  AND(E11552&lt;&gt;"""", F11552=""""), ""真實支出"",
  AND(E11552="""", F11552&lt;&gt;""""), ""真實收入"",
  TRUE, ""其他""
)"),"其他")</f>
        <v>其他</v>
      </c>
      <c r="K11552" s="270" t="str">
        <f t="shared" si="2"/>
        <v/>
      </c>
      <c r="L11552">
        <f t="shared" si="3"/>
        <v>0</v>
      </c>
    </row>
    <row r="11553">
      <c r="A11553" s="107"/>
      <c r="D11553" s="270"/>
      <c r="H11553" s="106" t="str">
        <f t="shared" si="1"/>
        <v/>
      </c>
      <c r="J11553" t="str">
        <f>IFERROR(__xludf.DUMMYFUNCTION("IFS(
  AND(REGEXMATCH(E11553, ""台銀籌備帳戶|玉山帳戶""), REGEXMATCH(C11553, ""薪資"")), ""分潤支出"",
  AND(REGEXMATCH(E11553, ""Ben帳戶|Elsa帳戶|Ben代墊|Ariel代墊|中信銀行共用""), REGEXMATCH(F11553, ""Ben帳戶|Elsa帳戶|Ben代墊|Ariel代墊|中信銀行共用"")), ""內部轉帳(忽略)"",
  AND(E11553&lt;&gt;"""", F11553&lt;&gt;"&amp;""""", NOT(REGEXMATCH(C11553, ""薪資""))), ""內部轉帳(忽略)"",
  REGEXMATCH(C11553, ""薪資""), ""薪資變動(不計入)"",
  REGEXMATCH(C11553, ""押金""), ""押金往來"",
  AND(E11553&lt;&gt;"""", F11553=""""), ""真實支出"",
  AND(E11553="""", F11553&lt;&gt;""""), ""真實收入"",
  TRUE, ""其他""
)"),"其他")</f>
        <v>其他</v>
      </c>
      <c r="K11553" s="270" t="str">
        <f t="shared" si="2"/>
        <v/>
      </c>
      <c r="L11553">
        <f t="shared" si="3"/>
        <v>0</v>
      </c>
    </row>
    <row r="11554">
      <c r="A11554" s="107"/>
      <c r="D11554" s="270"/>
      <c r="H11554" s="106" t="str">
        <f t="shared" si="1"/>
        <v/>
      </c>
      <c r="J11554" t="str">
        <f>IFERROR(__xludf.DUMMYFUNCTION("IFS(
  AND(REGEXMATCH(E11554, ""台銀籌備帳戶|玉山帳戶""), REGEXMATCH(C11554, ""薪資"")), ""分潤支出"",
  AND(REGEXMATCH(E11554, ""Ben帳戶|Elsa帳戶|Ben代墊|Ariel代墊|中信銀行共用""), REGEXMATCH(F11554, ""Ben帳戶|Elsa帳戶|Ben代墊|Ariel代墊|中信銀行共用"")), ""內部轉帳(忽略)"",
  AND(E11554&lt;&gt;"""", F11554&lt;&gt;"&amp;""""", NOT(REGEXMATCH(C11554, ""薪資""))), ""內部轉帳(忽略)"",
  REGEXMATCH(C11554, ""薪資""), ""薪資變動(不計入)"",
  REGEXMATCH(C11554, ""押金""), ""押金往來"",
  AND(E11554&lt;&gt;"""", F11554=""""), ""真實支出"",
  AND(E11554="""", F11554&lt;&gt;""""), ""真實收入"",
  TRUE, ""其他""
)"),"其他")</f>
        <v>其他</v>
      </c>
      <c r="K11554" s="270" t="str">
        <f t="shared" si="2"/>
        <v/>
      </c>
      <c r="L11554">
        <f t="shared" si="3"/>
        <v>0</v>
      </c>
    </row>
    <row r="11555">
      <c r="A11555" s="107"/>
      <c r="D11555" s="270"/>
      <c r="H11555" s="106" t="str">
        <f t="shared" si="1"/>
        <v/>
      </c>
      <c r="J11555" t="str">
        <f>IFERROR(__xludf.DUMMYFUNCTION("IFS(
  AND(REGEXMATCH(E11555, ""台銀籌備帳戶|玉山帳戶""), REGEXMATCH(C11555, ""薪資"")), ""分潤支出"",
  AND(REGEXMATCH(E11555, ""Ben帳戶|Elsa帳戶|Ben代墊|Ariel代墊|中信銀行共用""), REGEXMATCH(F11555, ""Ben帳戶|Elsa帳戶|Ben代墊|Ariel代墊|中信銀行共用"")), ""內部轉帳(忽略)"",
  AND(E11555&lt;&gt;"""", F11555&lt;&gt;"&amp;""""", NOT(REGEXMATCH(C11555, ""薪資""))), ""內部轉帳(忽略)"",
  REGEXMATCH(C11555, ""薪資""), ""薪資變動(不計入)"",
  REGEXMATCH(C11555, ""押金""), ""押金往來"",
  AND(E11555&lt;&gt;"""", F11555=""""), ""真實支出"",
  AND(E11555="""", F11555&lt;&gt;""""), ""真實收入"",
  TRUE, ""其他""
)"),"其他")</f>
        <v>其他</v>
      </c>
      <c r="K11555" s="270" t="str">
        <f t="shared" si="2"/>
        <v/>
      </c>
      <c r="L11555">
        <f t="shared" si="3"/>
        <v>0</v>
      </c>
    </row>
    <row r="11556">
      <c r="A11556" s="107"/>
      <c r="D11556" s="270"/>
      <c r="H11556" s="106" t="str">
        <f t="shared" si="1"/>
        <v/>
      </c>
      <c r="J11556" t="str">
        <f>IFERROR(__xludf.DUMMYFUNCTION("IFS(
  AND(REGEXMATCH(E11556, ""台銀籌備帳戶|玉山帳戶""), REGEXMATCH(C11556, ""薪資"")), ""分潤支出"",
  AND(REGEXMATCH(E11556, ""Ben帳戶|Elsa帳戶|Ben代墊|Ariel代墊|中信銀行共用""), REGEXMATCH(F11556, ""Ben帳戶|Elsa帳戶|Ben代墊|Ariel代墊|中信銀行共用"")), ""內部轉帳(忽略)"",
  AND(E11556&lt;&gt;"""", F11556&lt;&gt;"&amp;""""", NOT(REGEXMATCH(C11556, ""薪資""))), ""內部轉帳(忽略)"",
  REGEXMATCH(C11556, ""薪資""), ""薪資變動(不計入)"",
  REGEXMATCH(C11556, ""押金""), ""押金往來"",
  AND(E11556&lt;&gt;"""", F11556=""""), ""真實支出"",
  AND(E11556="""", F11556&lt;&gt;""""), ""真實收入"",
  TRUE, ""其他""
)"),"其他")</f>
        <v>其他</v>
      </c>
      <c r="K11556" s="270" t="str">
        <f t="shared" si="2"/>
        <v/>
      </c>
      <c r="L11556">
        <f t="shared" si="3"/>
        <v>0</v>
      </c>
    </row>
    <row r="11557">
      <c r="A11557" s="107"/>
      <c r="D11557" s="270"/>
      <c r="H11557" s="106" t="str">
        <f t="shared" si="1"/>
        <v/>
      </c>
      <c r="J11557" t="str">
        <f>IFERROR(__xludf.DUMMYFUNCTION("IFS(
  AND(REGEXMATCH(E11557, ""台銀籌備帳戶|玉山帳戶""), REGEXMATCH(C11557, ""薪資"")), ""分潤支出"",
  AND(REGEXMATCH(E11557, ""Ben帳戶|Elsa帳戶|Ben代墊|Ariel代墊|中信銀行共用""), REGEXMATCH(F11557, ""Ben帳戶|Elsa帳戶|Ben代墊|Ariel代墊|中信銀行共用"")), ""內部轉帳(忽略)"",
  AND(E11557&lt;&gt;"""", F11557&lt;&gt;"&amp;""""", NOT(REGEXMATCH(C11557, ""薪資""))), ""內部轉帳(忽略)"",
  REGEXMATCH(C11557, ""薪資""), ""薪資變動(不計入)"",
  REGEXMATCH(C11557, ""押金""), ""押金往來"",
  AND(E11557&lt;&gt;"""", F11557=""""), ""真實支出"",
  AND(E11557="""", F11557&lt;&gt;""""), ""真實收入"",
  TRUE, ""其他""
)"),"其他")</f>
        <v>其他</v>
      </c>
      <c r="K11557" s="270" t="str">
        <f t="shared" si="2"/>
        <v/>
      </c>
      <c r="L11557">
        <f t="shared" si="3"/>
        <v>0</v>
      </c>
    </row>
    <row r="11558">
      <c r="A11558" s="107"/>
      <c r="D11558" s="270"/>
      <c r="H11558" s="106" t="str">
        <f t="shared" si="1"/>
        <v/>
      </c>
      <c r="J11558" t="str">
        <f>IFERROR(__xludf.DUMMYFUNCTION("IFS(
  AND(REGEXMATCH(E11558, ""台銀籌備帳戶|玉山帳戶""), REGEXMATCH(C11558, ""薪資"")), ""分潤支出"",
  AND(REGEXMATCH(E11558, ""Ben帳戶|Elsa帳戶|Ben代墊|Ariel代墊|中信銀行共用""), REGEXMATCH(F11558, ""Ben帳戶|Elsa帳戶|Ben代墊|Ariel代墊|中信銀行共用"")), ""內部轉帳(忽略)"",
  AND(E11558&lt;&gt;"""", F11558&lt;&gt;"&amp;""""", NOT(REGEXMATCH(C11558, ""薪資""))), ""內部轉帳(忽略)"",
  REGEXMATCH(C11558, ""薪資""), ""薪資變動(不計入)"",
  REGEXMATCH(C11558, ""押金""), ""押金往來"",
  AND(E11558&lt;&gt;"""", F11558=""""), ""真實支出"",
  AND(E11558="""", F11558&lt;&gt;""""), ""真實收入"",
  TRUE, ""其他""
)"),"其他")</f>
        <v>其他</v>
      </c>
      <c r="K11558" s="270" t="str">
        <f t="shared" si="2"/>
        <v/>
      </c>
      <c r="L11558">
        <f t="shared" si="3"/>
        <v>0</v>
      </c>
    </row>
    <row r="11559">
      <c r="A11559" s="107"/>
      <c r="D11559" s="270"/>
      <c r="H11559" s="106" t="str">
        <f t="shared" si="1"/>
        <v/>
      </c>
      <c r="J11559" t="str">
        <f>IFERROR(__xludf.DUMMYFUNCTION("IFS(
  AND(REGEXMATCH(E11559, ""台銀籌備帳戶|玉山帳戶""), REGEXMATCH(C11559, ""薪資"")), ""分潤支出"",
  AND(REGEXMATCH(E11559, ""Ben帳戶|Elsa帳戶|Ben代墊|Ariel代墊|中信銀行共用""), REGEXMATCH(F11559, ""Ben帳戶|Elsa帳戶|Ben代墊|Ariel代墊|中信銀行共用"")), ""內部轉帳(忽略)"",
  AND(E11559&lt;&gt;"""", F11559&lt;&gt;"&amp;""""", NOT(REGEXMATCH(C11559, ""薪資""))), ""內部轉帳(忽略)"",
  REGEXMATCH(C11559, ""薪資""), ""薪資變動(不計入)"",
  REGEXMATCH(C11559, ""押金""), ""押金往來"",
  AND(E11559&lt;&gt;"""", F11559=""""), ""真實支出"",
  AND(E11559="""", F11559&lt;&gt;""""), ""真實收入"",
  TRUE, ""其他""
)"),"其他")</f>
        <v>其他</v>
      </c>
      <c r="K11559" s="270" t="str">
        <f t="shared" si="2"/>
        <v/>
      </c>
      <c r="L11559">
        <f t="shared" si="3"/>
        <v>0</v>
      </c>
    </row>
    <row r="11560">
      <c r="A11560" s="107"/>
      <c r="D11560" s="270"/>
      <c r="H11560" s="106" t="str">
        <f t="shared" si="1"/>
        <v/>
      </c>
      <c r="J11560" t="str">
        <f>IFERROR(__xludf.DUMMYFUNCTION("IFS(
  AND(REGEXMATCH(E11560, ""台銀籌備帳戶|玉山帳戶""), REGEXMATCH(C11560, ""薪資"")), ""分潤支出"",
  AND(REGEXMATCH(E11560, ""Ben帳戶|Elsa帳戶|Ben代墊|Ariel代墊|中信銀行共用""), REGEXMATCH(F11560, ""Ben帳戶|Elsa帳戶|Ben代墊|Ariel代墊|中信銀行共用"")), ""內部轉帳(忽略)"",
  AND(E11560&lt;&gt;"""", F11560&lt;&gt;"&amp;""""", NOT(REGEXMATCH(C11560, ""薪資""))), ""內部轉帳(忽略)"",
  REGEXMATCH(C11560, ""薪資""), ""薪資變動(不計入)"",
  REGEXMATCH(C11560, ""押金""), ""押金往來"",
  AND(E11560&lt;&gt;"""", F11560=""""), ""真實支出"",
  AND(E11560="""", F11560&lt;&gt;""""), ""真實收入"",
  TRUE, ""其他""
)"),"其他")</f>
        <v>其他</v>
      </c>
      <c r="K11560" s="270" t="str">
        <f t="shared" si="2"/>
        <v/>
      </c>
      <c r="L11560">
        <f t="shared" si="3"/>
        <v>0</v>
      </c>
    </row>
    <row r="11561">
      <c r="A11561" s="107"/>
      <c r="D11561" s="270"/>
      <c r="H11561" s="106" t="str">
        <f t="shared" si="1"/>
        <v/>
      </c>
      <c r="J11561" t="str">
        <f>IFERROR(__xludf.DUMMYFUNCTION("IFS(
  AND(REGEXMATCH(E11561, ""台銀籌備帳戶|玉山帳戶""), REGEXMATCH(C11561, ""薪資"")), ""分潤支出"",
  AND(REGEXMATCH(E11561, ""Ben帳戶|Elsa帳戶|Ben代墊|Ariel代墊|中信銀行共用""), REGEXMATCH(F11561, ""Ben帳戶|Elsa帳戶|Ben代墊|Ariel代墊|中信銀行共用"")), ""內部轉帳(忽略)"",
  AND(E11561&lt;&gt;"""", F11561&lt;&gt;"&amp;""""", NOT(REGEXMATCH(C11561, ""薪資""))), ""內部轉帳(忽略)"",
  REGEXMATCH(C11561, ""薪資""), ""薪資變動(不計入)"",
  REGEXMATCH(C11561, ""押金""), ""押金往來"",
  AND(E11561&lt;&gt;"""", F11561=""""), ""真實支出"",
  AND(E11561="""", F11561&lt;&gt;""""), ""真實收入"",
  TRUE, ""其他""
)"),"其他")</f>
        <v>其他</v>
      </c>
      <c r="K11561" s="270" t="str">
        <f t="shared" si="2"/>
        <v/>
      </c>
      <c r="L11561">
        <f t="shared" si="3"/>
        <v>0</v>
      </c>
    </row>
    <row r="11562">
      <c r="A11562" s="107"/>
      <c r="D11562" s="270"/>
      <c r="H11562" s="106" t="str">
        <f t="shared" si="1"/>
        <v/>
      </c>
      <c r="J11562" t="str">
        <f>IFERROR(__xludf.DUMMYFUNCTION("IFS(
  AND(REGEXMATCH(E11562, ""台銀籌備帳戶|玉山帳戶""), REGEXMATCH(C11562, ""薪資"")), ""分潤支出"",
  AND(REGEXMATCH(E11562, ""Ben帳戶|Elsa帳戶|Ben代墊|Ariel代墊|中信銀行共用""), REGEXMATCH(F11562, ""Ben帳戶|Elsa帳戶|Ben代墊|Ariel代墊|中信銀行共用"")), ""內部轉帳(忽略)"",
  AND(E11562&lt;&gt;"""", F11562&lt;&gt;"&amp;""""", NOT(REGEXMATCH(C11562, ""薪資""))), ""內部轉帳(忽略)"",
  REGEXMATCH(C11562, ""薪資""), ""薪資變動(不計入)"",
  REGEXMATCH(C11562, ""押金""), ""押金往來"",
  AND(E11562&lt;&gt;"""", F11562=""""), ""真實支出"",
  AND(E11562="""", F11562&lt;&gt;""""), ""真實收入"",
  TRUE, ""其他""
)"),"其他")</f>
        <v>其他</v>
      </c>
      <c r="K11562" s="270" t="str">
        <f t="shared" si="2"/>
        <v/>
      </c>
      <c r="L11562">
        <f t="shared" si="3"/>
        <v>0</v>
      </c>
    </row>
    <row r="11563">
      <c r="A11563" s="107"/>
      <c r="D11563" s="270"/>
      <c r="H11563" s="106" t="str">
        <f t="shared" si="1"/>
        <v/>
      </c>
      <c r="J11563" t="str">
        <f>IFERROR(__xludf.DUMMYFUNCTION("IFS(
  AND(REGEXMATCH(E11563, ""台銀籌備帳戶|玉山帳戶""), REGEXMATCH(C11563, ""薪資"")), ""分潤支出"",
  AND(REGEXMATCH(E11563, ""Ben帳戶|Elsa帳戶|Ben代墊|Ariel代墊|中信銀行共用""), REGEXMATCH(F11563, ""Ben帳戶|Elsa帳戶|Ben代墊|Ariel代墊|中信銀行共用"")), ""內部轉帳(忽略)"",
  AND(E11563&lt;&gt;"""", F11563&lt;&gt;"&amp;""""", NOT(REGEXMATCH(C11563, ""薪資""))), ""內部轉帳(忽略)"",
  REGEXMATCH(C11563, ""薪資""), ""薪資變動(不計入)"",
  REGEXMATCH(C11563, ""押金""), ""押金往來"",
  AND(E11563&lt;&gt;"""", F11563=""""), ""真實支出"",
  AND(E11563="""", F11563&lt;&gt;""""), ""真實收入"",
  TRUE, ""其他""
)"),"其他")</f>
        <v>其他</v>
      </c>
      <c r="K11563" s="270" t="str">
        <f t="shared" si="2"/>
        <v/>
      </c>
      <c r="L11563">
        <f t="shared" si="3"/>
        <v>0</v>
      </c>
    </row>
    <row r="11564">
      <c r="A11564" s="107"/>
      <c r="D11564" s="270"/>
      <c r="H11564" s="106" t="str">
        <f t="shared" si="1"/>
        <v/>
      </c>
      <c r="J11564" t="str">
        <f>IFERROR(__xludf.DUMMYFUNCTION("IFS(
  AND(REGEXMATCH(E11564, ""台銀籌備帳戶|玉山帳戶""), REGEXMATCH(C11564, ""薪資"")), ""分潤支出"",
  AND(REGEXMATCH(E11564, ""Ben帳戶|Elsa帳戶|Ben代墊|Ariel代墊|中信銀行共用""), REGEXMATCH(F11564, ""Ben帳戶|Elsa帳戶|Ben代墊|Ariel代墊|中信銀行共用"")), ""內部轉帳(忽略)"",
  AND(E11564&lt;&gt;"""", F11564&lt;&gt;"&amp;""""", NOT(REGEXMATCH(C11564, ""薪資""))), ""內部轉帳(忽略)"",
  REGEXMATCH(C11564, ""薪資""), ""薪資變動(不計入)"",
  REGEXMATCH(C11564, ""押金""), ""押金往來"",
  AND(E11564&lt;&gt;"""", F11564=""""), ""真實支出"",
  AND(E11564="""", F11564&lt;&gt;""""), ""真實收入"",
  TRUE, ""其他""
)"),"其他")</f>
        <v>其他</v>
      </c>
      <c r="K11564" s="270" t="str">
        <f t="shared" si="2"/>
        <v/>
      </c>
      <c r="L11564">
        <f t="shared" si="3"/>
        <v>0</v>
      </c>
    </row>
    <row r="11565">
      <c r="A11565" s="107"/>
      <c r="D11565" s="270"/>
      <c r="H11565" s="106" t="str">
        <f t="shared" si="1"/>
        <v/>
      </c>
      <c r="J11565" t="str">
        <f>IFERROR(__xludf.DUMMYFUNCTION("IFS(
  AND(REGEXMATCH(E11565, ""台銀籌備帳戶|玉山帳戶""), REGEXMATCH(C11565, ""薪資"")), ""分潤支出"",
  AND(REGEXMATCH(E11565, ""Ben帳戶|Elsa帳戶|Ben代墊|Ariel代墊|中信銀行共用""), REGEXMATCH(F11565, ""Ben帳戶|Elsa帳戶|Ben代墊|Ariel代墊|中信銀行共用"")), ""內部轉帳(忽略)"",
  AND(E11565&lt;&gt;"""", F11565&lt;&gt;"&amp;""""", NOT(REGEXMATCH(C11565, ""薪資""))), ""內部轉帳(忽略)"",
  REGEXMATCH(C11565, ""薪資""), ""薪資變動(不計入)"",
  REGEXMATCH(C11565, ""押金""), ""押金往來"",
  AND(E11565&lt;&gt;"""", F11565=""""), ""真實支出"",
  AND(E11565="""", F11565&lt;&gt;""""), ""真實收入"",
  TRUE, ""其他""
)"),"其他")</f>
        <v>其他</v>
      </c>
      <c r="K11565" s="270" t="str">
        <f t="shared" si="2"/>
        <v/>
      </c>
      <c r="L11565">
        <f t="shared" si="3"/>
        <v>0</v>
      </c>
    </row>
    <row r="11566">
      <c r="A11566" s="107"/>
      <c r="D11566" s="270"/>
      <c r="H11566" s="106" t="str">
        <f t="shared" si="1"/>
        <v/>
      </c>
      <c r="J11566" t="str">
        <f>IFERROR(__xludf.DUMMYFUNCTION("IFS(
  AND(REGEXMATCH(E11566, ""台銀籌備帳戶|玉山帳戶""), REGEXMATCH(C11566, ""薪資"")), ""分潤支出"",
  AND(REGEXMATCH(E11566, ""Ben帳戶|Elsa帳戶|Ben代墊|Ariel代墊|中信銀行共用""), REGEXMATCH(F11566, ""Ben帳戶|Elsa帳戶|Ben代墊|Ariel代墊|中信銀行共用"")), ""內部轉帳(忽略)"",
  AND(E11566&lt;&gt;"""", F11566&lt;&gt;"&amp;""""", NOT(REGEXMATCH(C11566, ""薪資""))), ""內部轉帳(忽略)"",
  REGEXMATCH(C11566, ""薪資""), ""薪資變動(不計入)"",
  REGEXMATCH(C11566, ""押金""), ""押金往來"",
  AND(E11566&lt;&gt;"""", F11566=""""), ""真實支出"",
  AND(E11566="""", F11566&lt;&gt;""""), ""真實收入"",
  TRUE, ""其他""
)"),"其他")</f>
        <v>其他</v>
      </c>
      <c r="K11566" s="270" t="str">
        <f t="shared" si="2"/>
        <v/>
      </c>
      <c r="L11566">
        <f t="shared" si="3"/>
        <v>0</v>
      </c>
    </row>
    <row r="11567">
      <c r="A11567" s="107"/>
      <c r="D11567" s="270"/>
      <c r="H11567" s="106" t="str">
        <f t="shared" si="1"/>
        <v/>
      </c>
      <c r="J11567" t="str">
        <f>IFERROR(__xludf.DUMMYFUNCTION("IFS(
  AND(REGEXMATCH(E11567, ""台銀籌備帳戶|玉山帳戶""), REGEXMATCH(C11567, ""薪資"")), ""分潤支出"",
  AND(REGEXMATCH(E11567, ""Ben帳戶|Elsa帳戶|Ben代墊|Ariel代墊|中信銀行共用""), REGEXMATCH(F11567, ""Ben帳戶|Elsa帳戶|Ben代墊|Ariel代墊|中信銀行共用"")), ""內部轉帳(忽略)"",
  AND(E11567&lt;&gt;"""", F11567&lt;&gt;"&amp;""""", NOT(REGEXMATCH(C11567, ""薪資""))), ""內部轉帳(忽略)"",
  REGEXMATCH(C11567, ""薪資""), ""薪資變動(不計入)"",
  REGEXMATCH(C11567, ""押金""), ""押金往來"",
  AND(E11567&lt;&gt;"""", F11567=""""), ""真實支出"",
  AND(E11567="""", F11567&lt;&gt;""""), ""真實收入"",
  TRUE, ""其他""
)"),"其他")</f>
        <v>其他</v>
      </c>
      <c r="K11567" s="270" t="str">
        <f t="shared" si="2"/>
        <v/>
      </c>
      <c r="L11567">
        <f t="shared" si="3"/>
        <v>0</v>
      </c>
    </row>
    <row r="11568">
      <c r="A11568" s="107"/>
      <c r="D11568" s="270"/>
      <c r="H11568" s="106" t="str">
        <f t="shared" si="1"/>
        <v/>
      </c>
      <c r="J11568" t="str">
        <f>IFERROR(__xludf.DUMMYFUNCTION("IFS(
  AND(REGEXMATCH(E11568, ""台銀籌備帳戶|玉山帳戶""), REGEXMATCH(C11568, ""薪資"")), ""分潤支出"",
  AND(REGEXMATCH(E11568, ""Ben帳戶|Elsa帳戶|Ben代墊|Ariel代墊|中信銀行共用""), REGEXMATCH(F11568, ""Ben帳戶|Elsa帳戶|Ben代墊|Ariel代墊|中信銀行共用"")), ""內部轉帳(忽略)"",
  AND(E11568&lt;&gt;"""", F11568&lt;&gt;"&amp;""""", NOT(REGEXMATCH(C11568, ""薪資""))), ""內部轉帳(忽略)"",
  REGEXMATCH(C11568, ""薪資""), ""薪資變動(不計入)"",
  REGEXMATCH(C11568, ""押金""), ""押金往來"",
  AND(E11568&lt;&gt;"""", F11568=""""), ""真實支出"",
  AND(E11568="""", F11568&lt;&gt;""""), ""真實收入"",
  TRUE, ""其他""
)"),"其他")</f>
        <v>其他</v>
      </c>
      <c r="K11568" s="270" t="str">
        <f t="shared" si="2"/>
        <v/>
      </c>
      <c r="L11568">
        <f t="shared" si="3"/>
        <v>0</v>
      </c>
    </row>
    <row r="11569">
      <c r="A11569" s="107"/>
      <c r="D11569" s="270"/>
      <c r="H11569" s="106" t="str">
        <f t="shared" si="1"/>
        <v/>
      </c>
      <c r="J11569" t="str">
        <f>IFERROR(__xludf.DUMMYFUNCTION("IFS(
  AND(REGEXMATCH(E11569, ""台銀籌備帳戶|玉山帳戶""), REGEXMATCH(C11569, ""薪資"")), ""分潤支出"",
  AND(REGEXMATCH(E11569, ""Ben帳戶|Elsa帳戶|Ben代墊|Ariel代墊|中信銀行共用""), REGEXMATCH(F11569, ""Ben帳戶|Elsa帳戶|Ben代墊|Ariel代墊|中信銀行共用"")), ""內部轉帳(忽略)"",
  AND(E11569&lt;&gt;"""", F11569&lt;&gt;"&amp;""""", NOT(REGEXMATCH(C11569, ""薪資""))), ""內部轉帳(忽略)"",
  REGEXMATCH(C11569, ""薪資""), ""薪資變動(不計入)"",
  REGEXMATCH(C11569, ""押金""), ""押金往來"",
  AND(E11569&lt;&gt;"""", F11569=""""), ""真實支出"",
  AND(E11569="""", F11569&lt;&gt;""""), ""真實收入"",
  TRUE, ""其他""
)"),"其他")</f>
        <v>其他</v>
      </c>
      <c r="K11569" s="270" t="str">
        <f t="shared" si="2"/>
        <v/>
      </c>
      <c r="L11569">
        <f t="shared" si="3"/>
        <v>0</v>
      </c>
    </row>
    <row r="11570">
      <c r="A11570" s="107"/>
      <c r="D11570" s="270"/>
      <c r="H11570" s="106" t="str">
        <f t="shared" si="1"/>
        <v/>
      </c>
      <c r="J11570" t="str">
        <f>IFERROR(__xludf.DUMMYFUNCTION("IFS(
  AND(REGEXMATCH(E11570, ""台銀籌備帳戶|玉山帳戶""), REGEXMATCH(C11570, ""薪資"")), ""分潤支出"",
  AND(REGEXMATCH(E11570, ""Ben帳戶|Elsa帳戶|Ben代墊|Ariel代墊|中信銀行共用""), REGEXMATCH(F11570, ""Ben帳戶|Elsa帳戶|Ben代墊|Ariel代墊|中信銀行共用"")), ""內部轉帳(忽略)"",
  AND(E11570&lt;&gt;"""", F11570&lt;&gt;"&amp;""""", NOT(REGEXMATCH(C11570, ""薪資""))), ""內部轉帳(忽略)"",
  REGEXMATCH(C11570, ""薪資""), ""薪資變動(不計入)"",
  REGEXMATCH(C11570, ""押金""), ""押金往來"",
  AND(E11570&lt;&gt;"""", F11570=""""), ""真實支出"",
  AND(E11570="""", F11570&lt;&gt;""""), ""真實收入"",
  TRUE, ""其他""
)"),"其他")</f>
        <v>其他</v>
      </c>
      <c r="K11570" s="270" t="str">
        <f t="shared" si="2"/>
        <v/>
      </c>
      <c r="L11570">
        <f t="shared" si="3"/>
        <v>0</v>
      </c>
    </row>
    <row r="11571">
      <c r="A11571" s="107"/>
      <c r="D11571" s="270"/>
      <c r="H11571" s="106" t="str">
        <f t="shared" si="1"/>
        <v/>
      </c>
      <c r="J11571" t="str">
        <f>IFERROR(__xludf.DUMMYFUNCTION("IFS(
  AND(REGEXMATCH(E11571, ""台銀籌備帳戶|玉山帳戶""), REGEXMATCH(C11571, ""薪資"")), ""分潤支出"",
  AND(REGEXMATCH(E11571, ""Ben帳戶|Elsa帳戶|Ben代墊|Ariel代墊|中信銀行共用""), REGEXMATCH(F11571, ""Ben帳戶|Elsa帳戶|Ben代墊|Ariel代墊|中信銀行共用"")), ""內部轉帳(忽略)"",
  AND(E11571&lt;&gt;"""", F11571&lt;&gt;"&amp;""""", NOT(REGEXMATCH(C11571, ""薪資""))), ""內部轉帳(忽略)"",
  REGEXMATCH(C11571, ""薪資""), ""薪資變動(不計入)"",
  REGEXMATCH(C11571, ""押金""), ""押金往來"",
  AND(E11571&lt;&gt;"""", F11571=""""), ""真實支出"",
  AND(E11571="""", F11571&lt;&gt;""""), ""真實收入"",
  TRUE, ""其他""
)"),"其他")</f>
        <v>其他</v>
      </c>
      <c r="K11571" s="270" t="str">
        <f t="shared" si="2"/>
        <v/>
      </c>
      <c r="L11571">
        <f t="shared" si="3"/>
        <v>0</v>
      </c>
    </row>
    <row r="11572">
      <c r="A11572" s="107"/>
      <c r="D11572" s="270"/>
      <c r="H11572" s="106" t="str">
        <f t="shared" si="1"/>
        <v/>
      </c>
      <c r="J11572" t="str">
        <f>IFERROR(__xludf.DUMMYFUNCTION("IFS(
  AND(REGEXMATCH(E11572, ""台銀籌備帳戶|玉山帳戶""), REGEXMATCH(C11572, ""薪資"")), ""分潤支出"",
  AND(REGEXMATCH(E11572, ""Ben帳戶|Elsa帳戶|Ben代墊|Ariel代墊|中信銀行共用""), REGEXMATCH(F11572, ""Ben帳戶|Elsa帳戶|Ben代墊|Ariel代墊|中信銀行共用"")), ""內部轉帳(忽略)"",
  AND(E11572&lt;&gt;"""", F11572&lt;&gt;"&amp;""""", NOT(REGEXMATCH(C11572, ""薪資""))), ""內部轉帳(忽略)"",
  REGEXMATCH(C11572, ""薪資""), ""薪資變動(不計入)"",
  REGEXMATCH(C11572, ""押金""), ""押金往來"",
  AND(E11572&lt;&gt;"""", F11572=""""), ""真實支出"",
  AND(E11572="""", F11572&lt;&gt;""""), ""真實收入"",
  TRUE, ""其他""
)"),"其他")</f>
        <v>其他</v>
      </c>
      <c r="K11572" s="270" t="str">
        <f t="shared" si="2"/>
        <v/>
      </c>
      <c r="L11572">
        <f t="shared" si="3"/>
        <v>0</v>
      </c>
    </row>
    <row r="11573">
      <c r="A11573" s="107"/>
      <c r="D11573" s="270"/>
      <c r="H11573" s="106" t="str">
        <f t="shared" si="1"/>
        <v/>
      </c>
      <c r="J11573" t="str">
        <f>IFERROR(__xludf.DUMMYFUNCTION("IFS(
  AND(REGEXMATCH(E11573, ""台銀籌備帳戶|玉山帳戶""), REGEXMATCH(C11573, ""薪資"")), ""分潤支出"",
  AND(REGEXMATCH(E11573, ""Ben帳戶|Elsa帳戶|Ben代墊|Ariel代墊|中信銀行共用""), REGEXMATCH(F11573, ""Ben帳戶|Elsa帳戶|Ben代墊|Ariel代墊|中信銀行共用"")), ""內部轉帳(忽略)"",
  AND(E11573&lt;&gt;"""", F11573&lt;&gt;"&amp;""""", NOT(REGEXMATCH(C11573, ""薪資""))), ""內部轉帳(忽略)"",
  REGEXMATCH(C11573, ""薪資""), ""薪資變動(不計入)"",
  REGEXMATCH(C11573, ""押金""), ""押金往來"",
  AND(E11573&lt;&gt;"""", F11573=""""), ""真實支出"",
  AND(E11573="""", F11573&lt;&gt;""""), ""真實收入"",
  TRUE, ""其他""
)"),"其他")</f>
        <v>其他</v>
      </c>
      <c r="K11573" s="270" t="str">
        <f t="shared" si="2"/>
        <v/>
      </c>
      <c r="L11573">
        <f t="shared" si="3"/>
        <v>0</v>
      </c>
    </row>
    <row r="11574">
      <c r="A11574" s="107"/>
      <c r="D11574" s="270"/>
      <c r="H11574" s="106" t="str">
        <f t="shared" si="1"/>
        <v/>
      </c>
      <c r="J11574" t="str">
        <f>IFERROR(__xludf.DUMMYFUNCTION("IFS(
  AND(REGEXMATCH(E11574, ""台銀籌備帳戶|玉山帳戶""), REGEXMATCH(C11574, ""薪資"")), ""分潤支出"",
  AND(REGEXMATCH(E11574, ""Ben帳戶|Elsa帳戶|Ben代墊|Ariel代墊|中信銀行共用""), REGEXMATCH(F11574, ""Ben帳戶|Elsa帳戶|Ben代墊|Ariel代墊|中信銀行共用"")), ""內部轉帳(忽略)"",
  AND(E11574&lt;&gt;"""", F11574&lt;&gt;"&amp;""""", NOT(REGEXMATCH(C11574, ""薪資""))), ""內部轉帳(忽略)"",
  REGEXMATCH(C11574, ""薪資""), ""薪資變動(不計入)"",
  REGEXMATCH(C11574, ""押金""), ""押金往來"",
  AND(E11574&lt;&gt;"""", F11574=""""), ""真實支出"",
  AND(E11574="""", F11574&lt;&gt;""""), ""真實收入"",
  TRUE, ""其他""
)"),"其他")</f>
        <v>其他</v>
      </c>
      <c r="K11574" s="270" t="str">
        <f t="shared" si="2"/>
        <v/>
      </c>
      <c r="L11574">
        <f t="shared" si="3"/>
        <v>0</v>
      </c>
    </row>
    <row r="11575">
      <c r="A11575" s="107"/>
      <c r="D11575" s="270"/>
      <c r="H11575" s="106" t="str">
        <f t="shared" si="1"/>
        <v/>
      </c>
      <c r="J11575" t="str">
        <f>IFERROR(__xludf.DUMMYFUNCTION("IFS(
  AND(REGEXMATCH(E11575, ""台銀籌備帳戶|玉山帳戶""), REGEXMATCH(C11575, ""薪資"")), ""分潤支出"",
  AND(REGEXMATCH(E11575, ""Ben帳戶|Elsa帳戶|Ben代墊|Ariel代墊|中信銀行共用""), REGEXMATCH(F11575, ""Ben帳戶|Elsa帳戶|Ben代墊|Ariel代墊|中信銀行共用"")), ""內部轉帳(忽略)"",
  AND(E11575&lt;&gt;"""", F11575&lt;&gt;"&amp;""""", NOT(REGEXMATCH(C11575, ""薪資""))), ""內部轉帳(忽略)"",
  REGEXMATCH(C11575, ""薪資""), ""薪資變動(不計入)"",
  REGEXMATCH(C11575, ""押金""), ""押金往來"",
  AND(E11575&lt;&gt;"""", F11575=""""), ""真實支出"",
  AND(E11575="""", F11575&lt;&gt;""""), ""真實收入"",
  TRUE, ""其他""
)"),"其他")</f>
        <v>其他</v>
      </c>
      <c r="K11575" s="270" t="str">
        <f t="shared" si="2"/>
        <v/>
      </c>
      <c r="L11575">
        <f t="shared" si="3"/>
        <v>0</v>
      </c>
    </row>
    <row r="11576">
      <c r="A11576" s="107"/>
      <c r="D11576" s="270"/>
      <c r="H11576" s="106" t="str">
        <f t="shared" si="1"/>
        <v/>
      </c>
      <c r="J11576" t="str">
        <f>IFERROR(__xludf.DUMMYFUNCTION("IFS(
  AND(REGEXMATCH(E11576, ""台銀籌備帳戶|玉山帳戶""), REGEXMATCH(C11576, ""薪資"")), ""分潤支出"",
  AND(REGEXMATCH(E11576, ""Ben帳戶|Elsa帳戶|Ben代墊|Ariel代墊|中信銀行共用""), REGEXMATCH(F11576, ""Ben帳戶|Elsa帳戶|Ben代墊|Ariel代墊|中信銀行共用"")), ""內部轉帳(忽略)"",
  AND(E11576&lt;&gt;"""", F11576&lt;&gt;"&amp;""""", NOT(REGEXMATCH(C11576, ""薪資""))), ""內部轉帳(忽略)"",
  REGEXMATCH(C11576, ""薪資""), ""薪資變動(不計入)"",
  REGEXMATCH(C11576, ""押金""), ""押金往來"",
  AND(E11576&lt;&gt;"""", F11576=""""), ""真實支出"",
  AND(E11576="""", F11576&lt;&gt;""""), ""真實收入"",
  TRUE, ""其他""
)"),"其他")</f>
        <v>其他</v>
      </c>
      <c r="K11576" s="270" t="str">
        <f t="shared" si="2"/>
        <v/>
      </c>
      <c r="L11576">
        <f t="shared" si="3"/>
        <v>0</v>
      </c>
    </row>
    <row r="11577">
      <c r="A11577" s="107"/>
      <c r="D11577" s="270"/>
      <c r="H11577" s="106" t="str">
        <f t="shared" si="1"/>
        <v/>
      </c>
      <c r="J11577" t="str">
        <f>IFERROR(__xludf.DUMMYFUNCTION("IFS(
  AND(REGEXMATCH(E11577, ""台銀籌備帳戶|玉山帳戶""), REGEXMATCH(C11577, ""薪資"")), ""分潤支出"",
  AND(REGEXMATCH(E11577, ""Ben帳戶|Elsa帳戶|Ben代墊|Ariel代墊|中信銀行共用""), REGEXMATCH(F11577, ""Ben帳戶|Elsa帳戶|Ben代墊|Ariel代墊|中信銀行共用"")), ""內部轉帳(忽略)"",
  AND(E11577&lt;&gt;"""", F11577&lt;&gt;"&amp;""""", NOT(REGEXMATCH(C11577, ""薪資""))), ""內部轉帳(忽略)"",
  REGEXMATCH(C11577, ""薪資""), ""薪資變動(不計入)"",
  REGEXMATCH(C11577, ""押金""), ""押金往來"",
  AND(E11577&lt;&gt;"""", F11577=""""), ""真實支出"",
  AND(E11577="""", F11577&lt;&gt;""""), ""真實收入"",
  TRUE, ""其他""
)"),"其他")</f>
        <v>其他</v>
      </c>
      <c r="K11577" s="270" t="str">
        <f t="shared" si="2"/>
        <v/>
      </c>
      <c r="L11577">
        <f t="shared" si="3"/>
        <v>0</v>
      </c>
    </row>
    <row r="11578">
      <c r="A11578" s="107"/>
      <c r="D11578" s="270"/>
      <c r="H11578" s="106" t="str">
        <f t="shared" si="1"/>
        <v/>
      </c>
      <c r="J11578" t="str">
        <f>IFERROR(__xludf.DUMMYFUNCTION("IFS(
  AND(REGEXMATCH(E11578, ""台銀籌備帳戶|玉山帳戶""), REGEXMATCH(C11578, ""薪資"")), ""分潤支出"",
  AND(REGEXMATCH(E11578, ""Ben帳戶|Elsa帳戶|Ben代墊|Ariel代墊|中信銀行共用""), REGEXMATCH(F11578, ""Ben帳戶|Elsa帳戶|Ben代墊|Ariel代墊|中信銀行共用"")), ""內部轉帳(忽略)"",
  AND(E11578&lt;&gt;"""", F11578&lt;&gt;"&amp;""""", NOT(REGEXMATCH(C11578, ""薪資""))), ""內部轉帳(忽略)"",
  REGEXMATCH(C11578, ""薪資""), ""薪資變動(不計入)"",
  REGEXMATCH(C11578, ""押金""), ""押金往來"",
  AND(E11578&lt;&gt;"""", F11578=""""), ""真實支出"",
  AND(E11578="""", F11578&lt;&gt;""""), ""真實收入"",
  TRUE, ""其他""
)"),"其他")</f>
        <v>其他</v>
      </c>
      <c r="K11578" s="270" t="str">
        <f t="shared" si="2"/>
        <v/>
      </c>
      <c r="L11578">
        <f t="shared" si="3"/>
        <v>0</v>
      </c>
    </row>
    <row r="11579">
      <c r="A11579" s="107"/>
      <c r="D11579" s="270"/>
      <c r="H11579" s="106" t="str">
        <f t="shared" si="1"/>
        <v/>
      </c>
      <c r="J11579" t="str">
        <f>IFERROR(__xludf.DUMMYFUNCTION("IFS(
  AND(REGEXMATCH(E11579, ""台銀籌備帳戶|玉山帳戶""), REGEXMATCH(C11579, ""薪資"")), ""分潤支出"",
  AND(REGEXMATCH(E11579, ""Ben帳戶|Elsa帳戶|Ben代墊|Ariel代墊|中信銀行共用""), REGEXMATCH(F11579, ""Ben帳戶|Elsa帳戶|Ben代墊|Ariel代墊|中信銀行共用"")), ""內部轉帳(忽略)"",
  AND(E11579&lt;&gt;"""", F11579&lt;&gt;"&amp;""""", NOT(REGEXMATCH(C11579, ""薪資""))), ""內部轉帳(忽略)"",
  REGEXMATCH(C11579, ""薪資""), ""薪資變動(不計入)"",
  REGEXMATCH(C11579, ""押金""), ""押金往來"",
  AND(E11579&lt;&gt;"""", F11579=""""), ""真實支出"",
  AND(E11579="""", F11579&lt;&gt;""""), ""真實收入"",
  TRUE, ""其他""
)"),"其他")</f>
        <v>其他</v>
      </c>
      <c r="K11579" s="270" t="str">
        <f t="shared" si="2"/>
        <v/>
      </c>
      <c r="L11579">
        <f t="shared" si="3"/>
        <v>0</v>
      </c>
    </row>
    <row r="11580">
      <c r="A11580" s="107"/>
      <c r="D11580" s="270"/>
      <c r="H11580" s="106" t="str">
        <f t="shared" si="1"/>
        <v/>
      </c>
      <c r="J11580" t="str">
        <f>IFERROR(__xludf.DUMMYFUNCTION("IFS(
  AND(REGEXMATCH(E11580, ""台銀籌備帳戶|玉山帳戶""), REGEXMATCH(C11580, ""薪資"")), ""分潤支出"",
  AND(REGEXMATCH(E11580, ""Ben帳戶|Elsa帳戶|Ben代墊|Ariel代墊|中信銀行共用""), REGEXMATCH(F11580, ""Ben帳戶|Elsa帳戶|Ben代墊|Ariel代墊|中信銀行共用"")), ""內部轉帳(忽略)"",
  AND(E11580&lt;&gt;"""", F11580&lt;&gt;"&amp;""""", NOT(REGEXMATCH(C11580, ""薪資""))), ""內部轉帳(忽略)"",
  REGEXMATCH(C11580, ""薪資""), ""薪資變動(不計入)"",
  REGEXMATCH(C11580, ""押金""), ""押金往來"",
  AND(E11580&lt;&gt;"""", F11580=""""), ""真實支出"",
  AND(E11580="""", F11580&lt;&gt;""""), ""真實收入"",
  TRUE, ""其他""
)"),"其他")</f>
        <v>其他</v>
      </c>
      <c r="K11580" s="270" t="str">
        <f t="shared" si="2"/>
        <v/>
      </c>
      <c r="L11580">
        <f t="shared" si="3"/>
        <v>0</v>
      </c>
    </row>
    <row r="11581">
      <c r="A11581" s="107"/>
      <c r="D11581" s="270"/>
      <c r="H11581" s="106" t="str">
        <f t="shared" si="1"/>
        <v/>
      </c>
      <c r="J11581" t="str">
        <f>IFERROR(__xludf.DUMMYFUNCTION("IFS(
  AND(REGEXMATCH(E11581, ""台銀籌備帳戶|玉山帳戶""), REGEXMATCH(C11581, ""薪資"")), ""分潤支出"",
  AND(REGEXMATCH(E11581, ""Ben帳戶|Elsa帳戶|Ben代墊|Ariel代墊|中信銀行共用""), REGEXMATCH(F11581, ""Ben帳戶|Elsa帳戶|Ben代墊|Ariel代墊|中信銀行共用"")), ""內部轉帳(忽略)"",
  AND(E11581&lt;&gt;"""", F11581&lt;&gt;"&amp;""""", NOT(REGEXMATCH(C11581, ""薪資""))), ""內部轉帳(忽略)"",
  REGEXMATCH(C11581, ""薪資""), ""薪資變動(不計入)"",
  REGEXMATCH(C11581, ""押金""), ""押金往來"",
  AND(E11581&lt;&gt;"""", F11581=""""), ""真實支出"",
  AND(E11581="""", F11581&lt;&gt;""""), ""真實收入"",
  TRUE, ""其他""
)"),"其他")</f>
        <v>其他</v>
      </c>
      <c r="K11581" s="270" t="str">
        <f t="shared" si="2"/>
        <v/>
      </c>
      <c r="L11581">
        <f t="shared" si="3"/>
        <v>0</v>
      </c>
    </row>
    <row r="11582">
      <c r="A11582" s="107"/>
      <c r="D11582" s="270"/>
      <c r="H11582" s="106" t="str">
        <f t="shared" si="1"/>
        <v/>
      </c>
      <c r="J11582" t="str">
        <f>IFERROR(__xludf.DUMMYFUNCTION("IFS(
  AND(REGEXMATCH(E11582, ""台銀籌備帳戶|玉山帳戶""), REGEXMATCH(C11582, ""薪資"")), ""分潤支出"",
  AND(REGEXMATCH(E11582, ""Ben帳戶|Elsa帳戶|Ben代墊|Ariel代墊|中信銀行共用""), REGEXMATCH(F11582, ""Ben帳戶|Elsa帳戶|Ben代墊|Ariel代墊|中信銀行共用"")), ""內部轉帳(忽略)"",
  AND(E11582&lt;&gt;"""", F11582&lt;&gt;"&amp;""""", NOT(REGEXMATCH(C11582, ""薪資""))), ""內部轉帳(忽略)"",
  REGEXMATCH(C11582, ""薪資""), ""薪資變動(不計入)"",
  REGEXMATCH(C11582, ""押金""), ""押金往來"",
  AND(E11582&lt;&gt;"""", F11582=""""), ""真實支出"",
  AND(E11582="""", F11582&lt;&gt;""""), ""真實收入"",
  TRUE, ""其他""
)"),"其他")</f>
        <v>其他</v>
      </c>
      <c r="K11582" s="270" t="str">
        <f t="shared" si="2"/>
        <v/>
      </c>
      <c r="L11582">
        <f t="shared" si="3"/>
        <v>0</v>
      </c>
    </row>
    <row r="11583">
      <c r="A11583" s="107"/>
      <c r="D11583" s="270"/>
      <c r="H11583" s="106" t="str">
        <f t="shared" si="1"/>
        <v/>
      </c>
      <c r="J11583" t="str">
        <f>IFERROR(__xludf.DUMMYFUNCTION("IFS(
  AND(REGEXMATCH(E11583, ""台銀籌備帳戶|玉山帳戶""), REGEXMATCH(C11583, ""薪資"")), ""分潤支出"",
  AND(REGEXMATCH(E11583, ""Ben帳戶|Elsa帳戶|Ben代墊|Ariel代墊|中信銀行共用""), REGEXMATCH(F11583, ""Ben帳戶|Elsa帳戶|Ben代墊|Ariel代墊|中信銀行共用"")), ""內部轉帳(忽略)"",
  AND(E11583&lt;&gt;"""", F11583&lt;&gt;"&amp;""""", NOT(REGEXMATCH(C11583, ""薪資""))), ""內部轉帳(忽略)"",
  REGEXMATCH(C11583, ""薪資""), ""薪資變動(不計入)"",
  REGEXMATCH(C11583, ""押金""), ""押金往來"",
  AND(E11583&lt;&gt;"""", F11583=""""), ""真實支出"",
  AND(E11583="""", F11583&lt;&gt;""""), ""真實收入"",
  TRUE, ""其他""
)"),"其他")</f>
        <v>其他</v>
      </c>
      <c r="K11583" s="270" t="str">
        <f t="shared" si="2"/>
        <v/>
      </c>
      <c r="L11583">
        <f t="shared" si="3"/>
        <v>0</v>
      </c>
    </row>
    <row r="11584">
      <c r="A11584" s="107"/>
      <c r="D11584" s="270"/>
      <c r="H11584" s="106" t="str">
        <f t="shared" si="1"/>
        <v/>
      </c>
      <c r="J11584" t="str">
        <f>IFERROR(__xludf.DUMMYFUNCTION("IFS(
  AND(REGEXMATCH(E11584, ""台銀籌備帳戶|玉山帳戶""), REGEXMATCH(C11584, ""薪資"")), ""分潤支出"",
  AND(REGEXMATCH(E11584, ""Ben帳戶|Elsa帳戶|Ben代墊|Ariel代墊|中信銀行共用""), REGEXMATCH(F11584, ""Ben帳戶|Elsa帳戶|Ben代墊|Ariel代墊|中信銀行共用"")), ""內部轉帳(忽略)"",
  AND(E11584&lt;&gt;"""", F11584&lt;&gt;"&amp;""""", NOT(REGEXMATCH(C11584, ""薪資""))), ""內部轉帳(忽略)"",
  REGEXMATCH(C11584, ""薪資""), ""薪資變動(不計入)"",
  REGEXMATCH(C11584, ""押金""), ""押金往來"",
  AND(E11584&lt;&gt;"""", F11584=""""), ""真實支出"",
  AND(E11584="""", F11584&lt;&gt;""""), ""真實收入"",
  TRUE, ""其他""
)"),"其他")</f>
        <v>其他</v>
      </c>
      <c r="K11584" s="270" t="str">
        <f t="shared" si="2"/>
        <v/>
      </c>
      <c r="L11584">
        <f t="shared" si="3"/>
        <v>0</v>
      </c>
    </row>
    <row r="11585">
      <c r="A11585" s="107"/>
      <c r="D11585" s="270"/>
      <c r="H11585" s="106" t="str">
        <f t="shared" si="1"/>
        <v/>
      </c>
      <c r="J11585" t="str">
        <f>IFERROR(__xludf.DUMMYFUNCTION("IFS(
  AND(REGEXMATCH(E11585, ""台銀籌備帳戶|玉山帳戶""), REGEXMATCH(C11585, ""薪資"")), ""分潤支出"",
  AND(REGEXMATCH(E11585, ""Ben帳戶|Elsa帳戶|Ben代墊|Ariel代墊|中信銀行共用""), REGEXMATCH(F11585, ""Ben帳戶|Elsa帳戶|Ben代墊|Ariel代墊|中信銀行共用"")), ""內部轉帳(忽略)"",
  AND(E11585&lt;&gt;"""", F11585&lt;&gt;"&amp;""""", NOT(REGEXMATCH(C11585, ""薪資""))), ""內部轉帳(忽略)"",
  REGEXMATCH(C11585, ""薪資""), ""薪資變動(不計入)"",
  REGEXMATCH(C11585, ""押金""), ""押金往來"",
  AND(E11585&lt;&gt;"""", F11585=""""), ""真實支出"",
  AND(E11585="""", F11585&lt;&gt;""""), ""真實收入"",
  TRUE, ""其他""
)"),"其他")</f>
        <v>其他</v>
      </c>
      <c r="K11585" s="270" t="str">
        <f t="shared" si="2"/>
        <v/>
      </c>
      <c r="L11585">
        <f t="shared" si="3"/>
        <v>0</v>
      </c>
    </row>
    <row r="11586">
      <c r="A11586" s="107"/>
      <c r="D11586" s="270"/>
      <c r="H11586" s="106" t="str">
        <f t="shared" si="1"/>
        <v/>
      </c>
      <c r="J11586" t="str">
        <f>IFERROR(__xludf.DUMMYFUNCTION("IFS(
  AND(REGEXMATCH(E11586, ""台銀籌備帳戶|玉山帳戶""), REGEXMATCH(C11586, ""薪資"")), ""分潤支出"",
  AND(REGEXMATCH(E11586, ""Ben帳戶|Elsa帳戶|Ben代墊|Ariel代墊|中信銀行共用""), REGEXMATCH(F11586, ""Ben帳戶|Elsa帳戶|Ben代墊|Ariel代墊|中信銀行共用"")), ""內部轉帳(忽略)"",
  AND(E11586&lt;&gt;"""", F11586&lt;&gt;"&amp;""""", NOT(REGEXMATCH(C11586, ""薪資""))), ""內部轉帳(忽略)"",
  REGEXMATCH(C11586, ""薪資""), ""薪資變動(不計入)"",
  REGEXMATCH(C11586, ""押金""), ""押金往來"",
  AND(E11586&lt;&gt;"""", F11586=""""), ""真實支出"",
  AND(E11586="""", F11586&lt;&gt;""""), ""真實收入"",
  TRUE, ""其他""
)"),"其他")</f>
        <v>其他</v>
      </c>
      <c r="K11586" s="270" t="str">
        <f t="shared" si="2"/>
        <v/>
      </c>
      <c r="L11586">
        <f t="shared" si="3"/>
        <v>0</v>
      </c>
    </row>
    <row r="11587">
      <c r="A11587" s="107"/>
      <c r="D11587" s="270"/>
      <c r="H11587" s="106" t="str">
        <f t="shared" si="1"/>
        <v/>
      </c>
      <c r="J11587" t="str">
        <f>IFERROR(__xludf.DUMMYFUNCTION("IFS(
  AND(REGEXMATCH(E11587, ""台銀籌備帳戶|玉山帳戶""), REGEXMATCH(C11587, ""薪資"")), ""分潤支出"",
  AND(REGEXMATCH(E11587, ""Ben帳戶|Elsa帳戶|Ben代墊|Ariel代墊|中信銀行共用""), REGEXMATCH(F11587, ""Ben帳戶|Elsa帳戶|Ben代墊|Ariel代墊|中信銀行共用"")), ""內部轉帳(忽略)"",
  AND(E11587&lt;&gt;"""", F11587&lt;&gt;"&amp;""""", NOT(REGEXMATCH(C11587, ""薪資""))), ""內部轉帳(忽略)"",
  REGEXMATCH(C11587, ""薪資""), ""薪資變動(不計入)"",
  REGEXMATCH(C11587, ""押金""), ""押金往來"",
  AND(E11587&lt;&gt;"""", F11587=""""), ""真實支出"",
  AND(E11587="""", F11587&lt;&gt;""""), ""真實收入"",
  TRUE, ""其他""
)"),"其他")</f>
        <v>其他</v>
      </c>
      <c r="K11587" s="270" t="str">
        <f t="shared" si="2"/>
        <v/>
      </c>
      <c r="L11587">
        <f t="shared" si="3"/>
        <v>0</v>
      </c>
    </row>
    <row r="11588">
      <c r="A11588" s="107"/>
      <c r="D11588" s="270"/>
      <c r="H11588" s="106" t="str">
        <f t="shared" si="1"/>
        <v/>
      </c>
      <c r="J11588" t="str">
        <f>IFERROR(__xludf.DUMMYFUNCTION("IFS(
  AND(REGEXMATCH(E11588, ""台銀籌備帳戶|玉山帳戶""), REGEXMATCH(C11588, ""薪資"")), ""分潤支出"",
  AND(REGEXMATCH(E11588, ""Ben帳戶|Elsa帳戶|Ben代墊|Ariel代墊|中信銀行共用""), REGEXMATCH(F11588, ""Ben帳戶|Elsa帳戶|Ben代墊|Ariel代墊|中信銀行共用"")), ""內部轉帳(忽略)"",
  AND(E11588&lt;&gt;"""", F11588&lt;&gt;"&amp;""""", NOT(REGEXMATCH(C11588, ""薪資""))), ""內部轉帳(忽略)"",
  REGEXMATCH(C11588, ""薪資""), ""薪資變動(不計入)"",
  REGEXMATCH(C11588, ""押金""), ""押金往來"",
  AND(E11588&lt;&gt;"""", F11588=""""), ""真實支出"",
  AND(E11588="""", F11588&lt;&gt;""""), ""真實收入"",
  TRUE, ""其他""
)"),"其他")</f>
        <v>其他</v>
      </c>
      <c r="K11588" s="270" t="str">
        <f t="shared" si="2"/>
        <v/>
      </c>
      <c r="L11588">
        <f t="shared" si="3"/>
        <v>0</v>
      </c>
    </row>
    <row r="11589">
      <c r="A11589" s="107"/>
      <c r="D11589" s="270"/>
      <c r="H11589" s="106" t="str">
        <f t="shared" si="1"/>
        <v/>
      </c>
      <c r="J11589" t="str">
        <f>IFERROR(__xludf.DUMMYFUNCTION("IFS(
  AND(REGEXMATCH(E11589, ""台銀籌備帳戶|玉山帳戶""), REGEXMATCH(C11589, ""薪資"")), ""分潤支出"",
  AND(REGEXMATCH(E11589, ""Ben帳戶|Elsa帳戶|Ben代墊|Ariel代墊|中信銀行共用""), REGEXMATCH(F11589, ""Ben帳戶|Elsa帳戶|Ben代墊|Ariel代墊|中信銀行共用"")), ""內部轉帳(忽略)"",
  AND(E11589&lt;&gt;"""", F11589&lt;&gt;"&amp;""""", NOT(REGEXMATCH(C11589, ""薪資""))), ""內部轉帳(忽略)"",
  REGEXMATCH(C11589, ""薪資""), ""薪資變動(不計入)"",
  REGEXMATCH(C11589, ""押金""), ""押金往來"",
  AND(E11589&lt;&gt;"""", F11589=""""), ""真實支出"",
  AND(E11589="""", F11589&lt;&gt;""""), ""真實收入"",
  TRUE, ""其他""
)"),"其他")</f>
        <v>其他</v>
      </c>
      <c r="K11589" s="270" t="str">
        <f t="shared" si="2"/>
        <v/>
      </c>
      <c r="L11589">
        <f t="shared" si="3"/>
        <v>0</v>
      </c>
    </row>
    <row r="11590">
      <c r="A11590" s="107"/>
      <c r="D11590" s="270"/>
      <c r="H11590" s="106" t="str">
        <f t="shared" si="1"/>
        <v/>
      </c>
      <c r="J11590" t="str">
        <f>IFERROR(__xludf.DUMMYFUNCTION("IFS(
  AND(REGEXMATCH(E11590, ""台銀籌備帳戶|玉山帳戶""), REGEXMATCH(C11590, ""薪資"")), ""分潤支出"",
  AND(REGEXMATCH(E11590, ""Ben帳戶|Elsa帳戶|Ben代墊|Ariel代墊|中信銀行共用""), REGEXMATCH(F11590, ""Ben帳戶|Elsa帳戶|Ben代墊|Ariel代墊|中信銀行共用"")), ""內部轉帳(忽略)"",
  AND(E11590&lt;&gt;"""", F11590&lt;&gt;"&amp;""""", NOT(REGEXMATCH(C11590, ""薪資""))), ""內部轉帳(忽略)"",
  REGEXMATCH(C11590, ""薪資""), ""薪資變動(不計入)"",
  REGEXMATCH(C11590, ""押金""), ""押金往來"",
  AND(E11590&lt;&gt;"""", F11590=""""), ""真實支出"",
  AND(E11590="""", F11590&lt;&gt;""""), ""真實收入"",
  TRUE, ""其他""
)"),"其他")</f>
        <v>其他</v>
      </c>
      <c r="K11590" s="270" t="str">
        <f t="shared" si="2"/>
        <v/>
      </c>
      <c r="L11590">
        <f t="shared" si="3"/>
        <v>0</v>
      </c>
    </row>
    <row r="11591">
      <c r="A11591" s="107"/>
      <c r="D11591" s="270"/>
      <c r="H11591" s="106" t="str">
        <f t="shared" si="1"/>
        <v/>
      </c>
      <c r="J11591" t="str">
        <f>IFERROR(__xludf.DUMMYFUNCTION("IFS(
  AND(REGEXMATCH(E11591, ""台銀籌備帳戶|玉山帳戶""), REGEXMATCH(C11591, ""薪資"")), ""分潤支出"",
  AND(REGEXMATCH(E11591, ""Ben帳戶|Elsa帳戶|Ben代墊|Ariel代墊|中信銀行共用""), REGEXMATCH(F11591, ""Ben帳戶|Elsa帳戶|Ben代墊|Ariel代墊|中信銀行共用"")), ""內部轉帳(忽略)"",
  AND(E11591&lt;&gt;"""", F11591&lt;&gt;"&amp;""""", NOT(REGEXMATCH(C11591, ""薪資""))), ""內部轉帳(忽略)"",
  REGEXMATCH(C11591, ""薪資""), ""薪資變動(不計入)"",
  REGEXMATCH(C11591, ""押金""), ""押金往來"",
  AND(E11591&lt;&gt;"""", F11591=""""), ""真實支出"",
  AND(E11591="""", F11591&lt;&gt;""""), ""真實收入"",
  TRUE, ""其他""
)"),"其他")</f>
        <v>其他</v>
      </c>
      <c r="K11591" s="270" t="str">
        <f t="shared" si="2"/>
        <v/>
      </c>
      <c r="L11591">
        <f t="shared" si="3"/>
        <v>0</v>
      </c>
    </row>
    <row r="11592">
      <c r="A11592" s="107"/>
      <c r="D11592" s="270"/>
      <c r="H11592" s="106" t="str">
        <f t="shared" si="1"/>
        <v/>
      </c>
      <c r="J11592" t="str">
        <f>IFERROR(__xludf.DUMMYFUNCTION("IFS(
  AND(REGEXMATCH(E11592, ""台銀籌備帳戶|玉山帳戶""), REGEXMATCH(C11592, ""薪資"")), ""分潤支出"",
  AND(REGEXMATCH(E11592, ""Ben帳戶|Elsa帳戶|Ben代墊|Ariel代墊|中信銀行共用""), REGEXMATCH(F11592, ""Ben帳戶|Elsa帳戶|Ben代墊|Ariel代墊|中信銀行共用"")), ""內部轉帳(忽略)"",
  AND(E11592&lt;&gt;"""", F11592&lt;&gt;"&amp;""""", NOT(REGEXMATCH(C11592, ""薪資""))), ""內部轉帳(忽略)"",
  REGEXMATCH(C11592, ""薪資""), ""薪資變動(不計入)"",
  REGEXMATCH(C11592, ""押金""), ""押金往來"",
  AND(E11592&lt;&gt;"""", F11592=""""), ""真實支出"",
  AND(E11592="""", F11592&lt;&gt;""""), ""真實收入"",
  TRUE, ""其他""
)"),"其他")</f>
        <v>其他</v>
      </c>
      <c r="K11592" s="270" t="str">
        <f t="shared" si="2"/>
        <v/>
      </c>
      <c r="L11592">
        <f t="shared" si="3"/>
        <v>0</v>
      </c>
    </row>
    <row r="11593">
      <c r="A11593" s="107"/>
      <c r="D11593" s="270"/>
      <c r="H11593" s="106" t="str">
        <f t="shared" si="1"/>
        <v/>
      </c>
      <c r="J11593" t="str">
        <f>IFERROR(__xludf.DUMMYFUNCTION("IFS(
  AND(REGEXMATCH(E11593, ""台銀籌備帳戶|玉山帳戶""), REGEXMATCH(C11593, ""薪資"")), ""分潤支出"",
  AND(REGEXMATCH(E11593, ""Ben帳戶|Elsa帳戶|Ben代墊|Ariel代墊|中信銀行共用""), REGEXMATCH(F11593, ""Ben帳戶|Elsa帳戶|Ben代墊|Ariel代墊|中信銀行共用"")), ""內部轉帳(忽略)"",
  AND(E11593&lt;&gt;"""", F11593&lt;&gt;"&amp;""""", NOT(REGEXMATCH(C11593, ""薪資""))), ""內部轉帳(忽略)"",
  REGEXMATCH(C11593, ""薪資""), ""薪資變動(不計入)"",
  REGEXMATCH(C11593, ""押金""), ""押金往來"",
  AND(E11593&lt;&gt;"""", F11593=""""), ""真實支出"",
  AND(E11593="""", F11593&lt;&gt;""""), ""真實收入"",
  TRUE, ""其他""
)"),"其他")</f>
        <v>其他</v>
      </c>
      <c r="K11593" s="270" t="str">
        <f t="shared" si="2"/>
        <v/>
      </c>
      <c r="L11593">
        <f t="shared" si="3"/>
        <v>0</v>
      </c>
    </row>
    <row r="11594">
      <c r="A11594" s="107"/>
      <c r="D11594" s="270"/>
      <c r="H11594" s="106" t="str">
        <f t="shared" si="1"/>
        <v/>
      </c>
      <c r="J11594" t="str">
        <f>IFERROR(__xludf.DUMMYFUNCTION("IFS(
  AND(REGEXMATCH(E11594, ""台銀籌備帳戶|玉山帳戶""), REGEXMATCH(C11594, ""薪資"")), ""分潤支出"",
  AND(REGEXMATCH(E11594, ""Ben帳戶|Elsa帳戶|Ben代墊|Ariel代墊|中信銀行共用""), REGEXMATCH(F11594, ""Ben帳戶|Elsa帳戶|Ben代墊|Ariel代墊|中信銀行共用"")), ""內部轉帳(忽略)"",
  AND(E11594&lt;&gt;"""", F11594&lt;&gt;"&amp;""""", NOT(REGEXMATCH(C11594, ""薪資""))), ""內部轉帳(忽略)"",
  REGEXMATCH(C11594, ""薪資""), ""薪資變動(不計入)"",
  REGEXMATCH(C11594, ""押金""), ""押金往來"",
  AND(E11594&lt;&gt;"""", F11594=""""), ""真實支出"",
  AND(E11594="""", F11594&lt;&gt;""""), ""真實收入"",
  TRUE, ""其他""
)"),"其他")</f>
        <v>其他</v>
      </c>
      <c r="K11594" s="270" t="str">
        <f t="shared" si="2"/>
        <v/>
      </c>
      <c r="L11594">
        <f t="shared" si="3"/>
        <v>0</v>
      </c>
    </row>
    <row r="11595">
      <c r="A11595" s="107"/>
      <c r="D11595" s="270"/>
      <c r="H11595" s="106" t="str">
        <f t="shared" si="1"/>
        <v/>
      </c>
      <c r="J11595" t="str">
        <f>IFERROR(__xludf.DUMMYFUNCTION("IFS(
  AND(REGEXMATCH(E11595, ""台銀籌備帳戶|玉山帳戶""), REGEXMATCH(C11595, ""薪資"")), ""分潤支出"",
  AND(REGEXMATCH(E11595, ""Ben帳戶|Elsa帳戶|Ben代墊|Ariel代墊|中信銀行共用""), REGEXMATCH(F11595, ""Ben帳戶|Elsa帳戶|Ben代墊|Ariel代墊|中信銀行共用"")), ""內部轉帳(忽略)"",
  AND(E11595&lt;&gt;"""", F11595&lt;&gt;"&amp;""""", NOT(REGEXMATCH(C11595, ""薪資""))), ""內部轉帳(忽略)"",
  REGEXMATCH(C11595, ""薪資""), ""薪資變動(不計入)"",
  REGEXMATCH(C11595, ""押金""), ""押金往來"",
  AND(E11595&lt;&gt;"""", F11595=""""), ""真實支出"",
  AND(E11595="""", F11595&lt;&gt;""""), ""真實收入"",
  TRUE, ""其他""
)"),"其他")</f>
        <v>其他</v>
      </c>
      <c r="K11595" s="270" t="str">
        <f t="shared" si="2"/>
        <v/>
      </c>
      <c r="L11595">
        <f t="shared" si="3"/>
        <v>0</v>
      </c>
    </row>
    <row r="11596">
      <c r="A11596" s="107"/>
      <c r="D11596" s="270"/>
      <c r="H11596" s="106" t="str">
        <f t="shared" si="1"/>
        <v/>
      </c>
      <c r="J11596" t="str">
        <f>IFERROR(__xludf.DUMMYFUNCTION("IFS(
  AND(REGEXMATCH(E11596, ""台銀籌備帳戶|玉山帳戶""), REGEXMATCH(C11596, ""薪資"")), ""分潤支出"",
  AND(REGEXMATCH(E11596, ""Ben帳戶|Elsa帳戶|Ben代墊|Ariel代墊|中信銀行共用""), REGEXMATCH(F11596, ""Ben帳戶|Elsa帳戶|Ben代墊|Ariel代墊|中信銀行共用"")), ""內部轉帳(忽略)"",
  AND(E11596&lt;&gt;"""", F11596&lt;&gt;"&amp;""""", NOT(REGEXMATCH(C11596, ""薪資""))), ""內部轉帳(忽略)"",
  REGEXMATCH(C11596, ""薪資""), ""薪資變動(不計入)"",
  REGEXMATCH(C11596, ""押金""), ""押金往來"",
  AND(E11596&lt;&gt;"""", F11596=""""), ""真實支出"",
  AND(E11596="""", F11596&lt;&gt;""""), ""真實收入"",
  TRUE, ""其他""
)"),"其他")</f>
        <v>其他</v>
      </c>
      <c r="K11596" s="270" t="str">
        <f t="shared" si="2"/>
        <v/>
      </c>
      <c r="L11596">
        <f t="shared" si="3"/>
        <v>0</v>
      </c>
    </row>
    <row r="11597">
      <c r="A11597" s="107"/>
      <c r="D11597" s="270"/>
      <c r="H11597" s="106" t="str">
        <f t="shared" si="1"/>
        <v/>
      </c>
      <c r="J11597" t="str">
        <f>IFERROR(__xludf.DUMMYFUNCTION("IFS(
  AND(REGEXMATCH(E11597, ""台銀籌備帳戶|玉山帳戶""), REGEXMATCH(C11597, ""薪資"")), ""分潤支出"",
  AND(REGEXMATCH(E11597, ""Ben帳戶|Elsa帳戶|Ben代墊|Ariel代墊|中信銀行共用""), REGEXMATCH(F11597, ""Ben帳戶|Elsa帳戶|Ben代墊|Ariel代墊|中信銀行共用"")), ""內部轉帳(忽略)"",
  AND(E11597&lt;&gt;"""", F11597&lt;&gt;"&amp;""""", NOT(REGEXMATCH(C11597, ""薪資""))), ""內部轉帳(忽略)"",
  REGEXMATCH(C11597, ""薪資""), ""薪資變動(不計入)"",
  REGEXMATCH(C11597, ""押金""), ""押金往來"",
  AND(E11597&lt;&gt;"""", F11597=""""), ""真實支出"",
  AND(E11597="""", F11597&lt;&gt;""""), ""真實收入"",
  TRUE, ""其他""
)"),"其他")</f>
        <v>其他</v>
      </c>
      <c r="K11597" s="270" t="str">
        <f t="shared" si="2"/>
        <v/>
      </c>
      <c r="L11597">
        <f t="shared" si="3"/>
        <v>0</v>
      </c>
    </row>
    <row r="11598">
      <c r="A11598" s="107"/>
      <c r="D11598" s="270"/>
      <c r="H11598" s="106" t="str">
        <f t="shared" si="1"/>
        <v/>
      </c>
      <c r="J11598" t="str">
        <f>IFERROR(__xludf.DUMMYFUNCTION("IFS(
  AND(REGEXMATCH(E11598, ""台銀籌備帳戶|玉山帳戶""), REGEXMATCH(C11598, ""薪資"")), ""分潤支出"",
  AND(REGEXMATCH(E11598, ""Ben帳戶|Elsa帳戶|Ben代墊|Ariel代墊|中信銀行共用""), REGEXMATCH(F11598, ""Ben帳戶|Elsa帳戶|Ben代墊|Ariel代墊|中信銀行共用"")), ""內部轉帳(忽略)"",
  AND(E11598&lt;&gt;"""", F11598&lt;&gt;"&amp;""""", NOT(REGEXMATCH(C11598, ""薪資""))), ""內部轉帳(忽略)"",
  REGEXMATCH(C11598, ""薪資""), ""薪資變動(不計入)"",
  REGEXMATCH(C11598, ""押金""), ""押金往來"",
  AND(E11598&lt;&gt;"""", F11598=""""), ""真實支出"",
  AND(E11598="""", F11598&lt;&gt;""""), ""真實收入"",
  TRUE, ""其他""
)"),"其他")</f>
        <v>其他</v>
      </c>
      <c r="K11598" s="270" t="str">
        <f t="shared" si="2"/>
        <v/>
      </c>
      <c r="L11598">
        <f t="shared" si="3"/>
        <v>0</v>
      </c>
    </row>
    <row r="11599">
      <c r="A11599" s="107"/>
      <c r="D11599" s="270"/>
      <c r="H11599" s="106" t="str">
        <f t="shared" si="1"/>
        <v/>
      </c>
      <c r="J11599" t="str">
        <f>IFERROR(__xludf.DUMMYFUNCTION("IFS(
  AND(REGEXMATCH(E11599, ""台銀籌備帳戶|玉山帳戶""), REGEXMATCH(C11599, ""薪資"")), ""分潤支出"",
  AND(REGEXMATCH(E11599, ""Ben帳戶|Elsa帳戶|Ben代墊|Ariel代墊|中信銀行共用""), REGEXMATCH(F11599, ""Ben帳戶|Elsa帳戶|Ben代墊|Ariel代墊|中信銀行共用"")), ""內部轉帳(忽略)"",
  AND(E11599&lt;&gt;"""", F11599&lt;&gt;"&amp;""""", NOT(REGEXMATCH(C11599, ""薪資""))), ""內部轉帳(忽略)"",
  REGEXMATCH(C11599, ""薪資""), ""薪資變動(不計入)"",
  REGEXMATCH(C11599, ""押金""), ""押金往來"",
  AND(E11599&lt;&gt;"""", F11599=""""), ""真實支出"",
  AND(E11599="""", F11599&lt;&gt;""""), ""真實收入"",
  TRUE, ""其他""
)"),"其他")</f>
        <v>其他</v>
      </c>
      <c r="K11599" s="270" t="str">
        <f t="shared" si="2"/>
        <v/>
      </c>
      <c r="L11599">
        <f t="shared" si="3"/>
        <v>0</v>
      </c>
    </row>
    <row r="11600">
      <c r="A11600" s="107"/>
      <c r="D11600" s="270"/>
      <c r="H11600" s="106" t="str">
        <f t="shared" si="1"/>
        <v/>
      </c>
      <c r="J11600" t="str">
        <f>IFERROR(__xludf.DUMMYFUNCTION("IFS(
  AND(REGEXMATCH(E11600, ""台銀籌備帳戶|玉山帳戶""), REGEXMATCH(C11600, ""薪資"")), ""分潤支出"",
  AND(REGEXMATCH(E11600, ""Ben帳戶|Elsa帳戶|Ben代墊|Ariel代墊|中信銀行共用""), REGEXMATCH(F11600, ""Ben帳戶|Elsa帳戶|Ben代墊|Ariel代墊|中信銀行共用"")), ""內部轉帳(忽略)"",
  AND(E11600&lt;&gt;"""", F11600&lt;&gt;"&amp;""""", NOT(REGEXMATCH(C11600, ""薪資""))), ""內部轉帳(忽略)"",
  REGEXMATCH(C11600, ""薪資""), ""薪資變動(不計入)"",
  REGEXMATCH(C11600, ""押金""), ""押金往來"",
  AND(E11600&lt;&gt;"""", F11600=""""), ""真實支出"",
  AND(E11600="""", F11600&lt;&gt;""""), ""真實收入"",
  TRUE, ""其他""
)"),"其他")</f>
        <v>其他</v>
      </c>
      <c r="K11600" s="270" t="str">
        <f t="shared" si="2"/>
        <v/>
      </c>
      <c r="L11600">
        <f t="shared" si="3"/>
        <v>0</v>
      </c>
    </row>
    <row r="11601">
      <c r="A11601" s="107"/>
      <c r="D11601" s="270"/>
      <c r="H11601" s="106" t="str">
        <f t="shared" si="1"/>
        <v/>
      </c>
      <c r="J11601" t="str">
        <f>IFERROR(__xludf.DUMMYFUNCTION("IFS(
  AND(REGEXMATCH(E11601, ""台銀籌備帳戶|玉山帳戶""), REGEXMATCH(C11601, ""薪資"")), ""分潤支出"",
  AND(REGEXMATCH(E11601, ""Ben帳戶|Elsa帳戶|Ben代墊|Ariel代墊|中信銀行共用""), REGEXMATCH(F11601, ""Ben帳戶|Elsa帳戶|Ben代墊|Ariel代墊|中信銀行共用"")), ""內部轉帳(忽略)"",
  AND(E11601&lt;&gt;"""", F11601&lt;&gt;"&amp;""""", NOT(REGEXMATCH(C11601, ""薪資""))), ""內部轉帳(忽略)"",
  REGEXMATCH(C11601, ""薪資""), ""薪資變動(不計入)"",
  REGEXMATCH(C11601, ""押金""), ""押金往來"",
  AND(E11601&lt;&gt;"""", F11601=""""), ""真實支出"",
  AND(E11601="""", F11601&lt;&gt;""""), ""真實收入"",
  TRUE, ""其他""
)"),"其他")</f>
        <v>其他</v>
      </c>
      <c r="K11601" s="270" t="str">
        <f t="shared" si="2"/>
        <v/>
      </c>
      <c r="L11601">
        <f t="shared" si="3"/>
        <v>0</v>
      </c>
    </row>
    <row r="11602">
      <c r="A11602" s="107"/>
      <c r="D11602" s="270"/>
      <c r="H11602" s="106" t="str">
        <f t="shared" si="1"/>
        <v/>
      </c>
      <c r="J11602" t="str">
        <f>IFERROR(__xludf.DUMMYFUNCTION("IFS(
  AND(REGEXMATCH(E11602, ""台銀籌備帳戶|玉山帳戶""), REGEXMATCH(C11602, ""薪資"")), ""分潤支出"",
  AND(REGEXMATCH(E11602, ""Ben帳戶|Elsa帳戶|Ben代墊|Ariel代墊|中信銀行共用""), REGEXMATCH(F11602, ""Ben帳戶|Elsa帳戶|Ben代墊|Ariel代墊|中信銀行共用"")), ""內部轉帳(忽略)"",
  AND(E11602&lt;&gt;"""", F11602&lt;&gt;"&amp;""""", NOT(REGEXMATCH(C11602, ""薪資""))), ""內部轉帳(忽略)"",
  REGEXMATCH(C11602, ""薪資""), ""薪資變動(不計入)"",
  REGEXMATCH(C11602, ""押金""), ""押金往來"",
  AND(E11602&lt;&gt;"""", F11602=""""), ""真實支出"",
  AND(E11602="""", F11602&lt;&gt;""""), ""真實收入"",
  TRUE, ""其他""
)"),"其他")</f>
        <v>其他</v>
      </c>
      <c r="K11602" s="270" t="str">
        <f t="shared" si="2"/>
        <v/>
      </c>
      <c r="L11602">
        <f t="shared" si="3"/>
        <v>0</v>
      </c>
    </row>
    <row r="11603">
      <c r="A11603" s="107"/>
      <c r="D11603" s="270"/>
      <c r="H11603" s="106" t="str">
        <f t="shared" si="1"/>
        <v/>
      </c>
      <c r="J11603" t="str">
        <f>IFERROR(__xludf.DUMMYFUNCTION("IFS(
  AND(REGEXMATCH(E11603, ""台銀籌備帳戶|玉山帳戶""), REGEXMATCH(C11603, ""薪資"")), ""分潤支出"",
  AND(REGEXMATCH(E11603, ""Ben帳戶|Elsa帳戶|Ben代墊|Ariel代墊|中信銀行共用""), REGEXMATCH(F11603, ""Ben帳戶|Elsa帳戶|Ben代墊|Ariel代墊|中信銀行共用"")), ""內部轉帳(忽略)"",
  AND(E11603&lt;&gt;"""", F11603&lt;&gt;"&amp;""""", NOT(REGEXMATCH(C11603, ""薪資""))), ""內部轉帳(忽略)"",
  REGEXMATCH(C11603, ""薪資""), ""薪資變動(不計入)"",
  REGEXMATCH(C11603, ""押金""), ""押金往來"",
  AND(E11603&lt;&gt;"""", F11603=""""), ""真實支出"",
  AND(E11603="""", F11603&lt;&gt;""""), ""真實收入"",
  TRUE, ""其他""
)"),"其他")</f>
        <v>其他</v>
      </c>
      <c r="K11603" s="270" t="str">
        <f t="shared" si="2"/>
        <v/>
      </c>
      <c r="L11603">
        <f t="shared" si="3"/>
        <v>0</v>
      </c>
    </row>
    <row r="11604">
      <c r="A11604" s="107"/>
      <c r="D11604" s="270"/>
      <c r="H11604" s="106" t="str">
        <f t="shared" si="1"/>
        <v/>
      </c>
      <c r="J11604" t="str">
        <f>IFERROR(__xludf.DUMMYFUNCTION("IFS(
  AND(REGEXMATCH(E11604, ""台銀籌備帳戶|玉山帳戶""), REGEXMATCH(C11604, ""薪資"")), ""分潤支出"",
  AND(REGEXMATCH(E11604, ""Ben帳戶|Elsa帳戶|Ben代墊|Ariel代墊|中信銀行共用""), REGEXMATCH(F11604, ""Ben帳戶|Elsa帳戶|Ben代墊|Ariel代墊|中信銀行共用"")), ""內部轉帳(忽略)"",
  AND(E11604&lt;&gt;"""", F11604&lt;&gt;"&amp;""""", NOT(REGEXMATCH(C11604, ""薪資""))), ""內部轉帳(忽略)"",
  REGEXMATCH(C11604, ""薪資""), ""薪資變動(不計入)"",
  REGEXMATCH(C11604, ""押金""), ""押金往來"",
  AND(E11604&lt;&gt;"""", F11604=""""), ""真實支出"",
  AND(E11604="""", F11604&lt;&gt;""""), ""真實收入"",
  TRUE, ""其他""
)"),"其他")</f>
        <v>其他</v>
      </c>
      <c r="K11604" s="270" t="str">
        <f t="shared" si="2"/>
        <v/>
      </c>
      <c r="L11604">
        <f t="shared" si="3"/>
        <v>0</v>
      </c>
    </row>
    <row r="11605">
      <c r="A11605" s="107"/>
      <c r="D11605" s="270"/>
      <c r="H11605" s="106" t="str">
        <f t="shared" si="1"/>
        <v/>
      </c>
      <c r="J11605" t="str">
        <f>IFERROR(__xludf.DUMMYFUNCTION("IFS(
  AND(REGEXMATCH(E11605, ""台銀籌備帳戶|玉山帳戶""), REGEXMATCH(C11605, ""薪資"")), ""分潤支出"",
  AND(REGEXMATCH(E11605, ""Ben帳戶|Elsa帳戶|Ben代墊|Ariel代墊|中信銀行共用""), REGEXMATCH(F11605, ""Ben帳戶|Elsa帳戶|Ben代墊|Ariel代墊|中信銀行共用"")), ""內部轉帳(忽略)"",
  AND(E11605&lt;&gt;"""", F11605&lt;&gt;"&amp;""""", NOT(REGEXMATCH(C11605, ""薪資""))), ""內部轉帳(忽略)"",
  REGEXMATCH(C11605, ""薪資""), ""薪資變動(不計入)"",
  REGEXMATCH(C11605, ""押金""), ""押金往來"",
  AND(E11605&lt;&gt;"""", F11605=""""), ""真實支出"",
  AND(E11605="""", F11605&lt;&gt;""""), ""真實收入"",
  TRUE, ""其他""
)"),"其他")</f>
        <v>其他</v>
      </c>
      <c r="K11605" s="270" t="str">
        <f t="shared" si="2"/>
        <v/>
      </c>
      <c r="L11605">
        <f t="shared" si="3"/>
        <v>0</v>
      </c>
    </row>
    <row r="11606">
      <c r="A11606" s="107"/>
      <c r="D11606" s="270"/>
      <c r="H11606" s="106" t="str">
        <f t="shared" si="1"/>
        <v/>
      </c>
      <c r="J11606" t="str">
        <f>IFERROR(__xludf.DUMMYFUNCTION("IFS(
  AND(REGEXMATCH(E11606, ""台銀籌備帳戶|玉山帳戶""), REGEXMATCH(C11606, ""薪資"")), ""分潤支出"",
  AND(REGEXMATCH(E11606, ""Ben帳戶|Elsa帳戶|Ben代墊|Ariel代墊|中信銀行共用""), REGEXMATCH(F11606, ""Ben帳戶|Elsa帳戶|Ben代墊|Ariel代墊|中信銀行共用"")), ""內部轉帳(忽略)"",
  AND(E11606&lt;&gt;"""", F11606&lt;&gt;"&amp;""""", NOT(REGEXMATCH(C11606, ""薪資""))), ""內部轉帳(忽略)"",
  REGEXMATCH(C11606, ""薪資""), ""薪資變動(不計入)"",
  REGEXMATCH(C11606, ""押金""), ""押金往來"",
  AND(E11606&lt;&gt;"""", F11606=""""), ""真實支出"",
  AND(E11606="""", F11606&lt;&gt;""""), ""真實收入"",
  TRUE, ""其他""
)"),"其他")</f>
        <v>其他</v>
      </c>
      <c r="K11606" s="270" t="str">
        <f t="shared" si="2"/>
        <v/>
      </c>
      <c r="L11606">
        <f t="shared" si="3"/>
        <v>0</v>
      </c>
    </row>
    <row r="11607">
      <c r="A11607" s="107"/>
      <c r="D11607" s="270"/>
      <c r="H11607" s="106" t="str">
        <f t="shared" si="1"/>
        <v/>
      </c>
      <c r="J11607" t="str">
        <f>IFERROR(__xludf.DUMMYFUNCTION("IFS(
  AND(REGEXMATCH(E11607, ""台銀籌備帳戶|玉山帳戶""), REGEXMATCH(C11607, ""薪資"")), ""分潤支出"",
  AND(REGEXMATCH(E11607, ""Ben帳戶|Elsa帳戶|Ben代墊|Ariel代墊|中信銀行共用""), REGEXMATCH(F11607, ""Ben帳戶|Elsa帳戶|Ben代墊|Ariel代墊|中信銀行共用"")), ""內部轉帳(忽略)"",
  AND(E11607&lt;&gt;"""", F11607&lt;&gt;"&amp;""""", NOT(REGEXMATCH(C11607, ""薪資""))), ""內部轉帳(忽略)"",
  REGEXMATCH(C11607, ""薪資""), ""薪資變動(不計入)"",
  REGEXMATCH(C11607, ""押金""), ""押金往來"",
  AND(E11607&lt;&gt;"""", F11607=""""), ""真實支出"",
  AND(E11607="""", F11607&lt;&gt;""""), ""真實收入"",
  TRUE, ""其他""
)"),"其他")</f>
        <v>其他</v>
      </c>
      <c r="K11607" s="270" t="str">
        <f t="shared" si="2"/>
        <v/>
      </c>
      <c r="L11607">
        <f t="shared" si="3"/>
        <v>0</v>
      </c>
    </row>
    <row r="11608">
      <c r="A11608" s="107"/>
      <c r="D11608" s="270"/>
      <c r="H11608" s="106" t="str">
        <f t="shared" si="1"/>
        <v/>
      </c>
      <c r="J11608" t="str">
        <f>IFERROR(__xludf.DUMMYFUNCTION("IFS(
  AND(REGEXMATCH(E11608, ""台銀籌備帳戶|玉山帳戶""), REGEXMATCH(C11608, ""薪資"")), ""分潤支出"",
  AND(REGEXMATCH(E11608, ""Ben帳戶|Elsa帳戶|Ben代墊|Ariel代墊|中信銀行共用""), REGEXMATCH(F11608, ""Ben帳戶|Elsa帳戶|Ben代墊|Ariel代墊|中信銀行共用"")), ""內部轉帳(忽略)"",
  AND(E11608&lt;&gt;"""", F11608&lt;&gt;"&amp;""""", NOT(REGEXMATCH(C11608, ""薪資""))), ""內部轉帳(忽略)"",
  REGEXMATCH(C11608, ""薪資""), ""薪資變動(不計入)"",
  REGEXMATCH(C11608, ""押金""), ""押金往來"",
  AND(E11608&lt;&gt;"""", F11608=""""), ""真實支出"",
  AND(E11608="""", F11608&lt;&gt;""""), ""真實收入"",
  TRUE, ""其他""
)"),"其他")</f>
        <v>其他</v>
      </c>
      <c r="K11608" s="270" t="str">
        <f t="shared" si="2"/>
        <v/>
      </c>
      <c r="L11608">
        <f t="shared" si="3"/>
        <v>0</v>
      </c>
    </row>
    <row r="11609">
      <c r="A11609" s="107"/>
      <c r="D11609" s="270"/>
      <c r="H11609" s="106" t="str">
        <f t="shared" si="1"/>
        <v/>
      </c>
      <c r="J11609" t="str">
        <f>IFERROR(__xludf.DUMMYFUNCTION("IFS(
  AND(REGEXMATCH(E11609, ""台銀籌備帳戶|玉山帳戶""), REGEXMATCH(C11609, ""薪資"")), ""分潤支出"",
  AND(REGEXMATCH(E11609, ""Ben帳戶|Elsa帳戶|Ben代墊|Ariel代墊|中信銀行共用""), REGEXMATCH(F11609, ""Ben帳戶|Elsa帳戶|Ben代墊|Ariel代墊|中信銀行共用"")), ""內部轉帳(忽略)"",
  AND(E11609&lt;&gt;"""", F11609&lt;&gt;"&amp;""""", NOT(REGEXMATCH(C11609, ""薪資""))), ""內部轉帳(忽略)"",
  REGEXMATCH(C11609, ""薪資""), ""薪資變動(不計入)"",
  REGEXMATCH(C11609, ""押金""), ""押金往來"",
  AND(E11609&lt;&gt;"""", F11609=""""), ""真實支出"",
  AND(E11609="""", F11609&lt;&gt;""""), ""真實收入"",
  TRUE, ""其他""
)"),"其他")</f>
        <v>其他</v>
      </c>
      <c r="K11609" s="270" t="str">
        <f t="shared" si="2"/>
        <v/>
      </c>
      <c r="L11609">
        <f t="shared" si="3"/>
        <v>0</v>
      </c>
    </row>
    <row r="11610">
      <c r="A11610" s="107"/>
      <c r="D11610" s="270"/>
      <c r="H11610" s="106" t="str">
        <f t="shared" si="1"/>
        <v/>
      </c>
      <c r="J11610" t="str">
        <f>IFERROR(__xludf.DUMMYFUNCTION("IFS(
  AND(REGEXMATCH(E11610, ""台銀籌備帳戶|玉山帳戶""), REGEXMATCH(C11610, ""薪資"")), ""分潤支出"",
  AND(REGEXMATCH(E11610, ""Ben帳戶|Elsa帳戶|Ben代墊|Ariel代墊|中信銀行共用""), REGEXMATCH(F11610, ""Ben帳戶|Elsa帳戶|Ben代墊|Ariel代墊|中信銀行共用"")), ""內部轉帳(忽略)"",
  AND(E11610&lt;&gt;"""", F11610&lt;&gt;"&amp;""""", NOT(REGEXMATCH(C11610, ""薪資""))), ""內部轉帳(忽略)"",
  REGEXMATCH(C11610, ""薪資""), ""薪資變動(不計入)"",
  REGEXMATCH(C11610, ""押金""), ""押金往來"",
  AND(E11610&lt;&gt;"""", F11610=""""), ""真實支出"",
  AND(E11610="""", F11610&lt;&gt;""""), ""真實收入"",
  TRUE, ""其他""
)"),"其他")</f>
        <v>其他</v>
      </c>
      <c r="K11610" s="270" t="str">
        <f t="shared" si="2"/>
        <v/>
      </c>
      <c r="L11610">
        <f t="shared" si="3"/>
        <v>0</v>
      </c>
    </row>
    <row r="11611">
      <c r="A11611" s="107"/>
      <c r="D11611" s="270"/>
      <c r="H11611" s="106" t="str">
        <f t="shared" si="1"/>
        <v/>
      </c>
      <c r="J11611" t="str">
        <f>IFERROR(__xludf.DUMMYFUNCTION("IFS(
  AND(REGEXMATCH(E11611, ""台銀籌備帳戶|玉山帳戶""), REGEXMATCH(C11611, ""薪資"")), ""分潤支出"",
  AND(REGEXMATCH(E11611, ""Ben帳戶|Elsa帳戶|Ben代墊|Ariel代墊|中信銀行共用""), REGEXMATCH(F11611, ""Ben帳戶|Elsa帳戶|Ben代墊|Ariel代墊|中信銀行共用"")), ""內部轉帳(忽略)"",
  AND(E11611&lt;&gt;"""", F11611&lt;&gt;"&amp;""""", NOT(REGEXMATCH(C11611, ""薪資""))), ""內部轉帳(忽略)"",
  REGEXMATCH(C11611, ""薪資""), ""薪資變動(不計入)"",
  REGEXMATCH(C11611, ""押金""), ""押金往來"",
  AND(E11611&lt;&gt;"""", F11611=""""), ""真實支出"",
  AND(E11611="""", F11611&lt;&gt;""""), ""真實收入"",
  TRUE, ""其他""
)"),"其他")</f>
        <v>其他</v>
      </c>
      <c r="K11611" s="270" t="str">
        <f t="shared" si="2"/>
        <v/>
      </c>
      <c r="L11611">
        <f t="shared" si="3"/>
        <v>0</v>
      </c>
    </row>
    <row r="11612">
      <c r="A11612" s="107"/>
      <c r="D11612" s="270"/>
      <c r="H11612" s="106" t="str">
        <f t="shared" si="1"/>
        <v/>
      </c>
      <c r="J11612" t="str">
        <f>IFERROR(__xludf.DUMMYFUNCTION("IFS(
  AND(REGEXMATCH(E11612, ""台銀籌備帳戶|玉山帳戶""), REGEXMATCH(C11612, ""薪資"")), ""分潤支出"",
  AND(REGEXMATCH(E11612, ""Ben帳戶|Elsa帳戶|Ben代墊|Ariel代墊|中信銀行共用""), REGEXMATCH(F11612, ""Ben帳戶|Elsa帳戶|Ben代墊|Ariel代墊|中信銀行共用"")), ""內部轉帳(忽略)"",
  AND(E11612&lt;&gt;"""", F11612&lt;&gt;"&amp;""""", NOT(REGEXMATCH(C11612, ""薪資""))), ""內部轉帳(忽略)"",
  REGEXMATCH(C11612, ""薪資""), ""薪資變動(不計入)"",
  REGEXMATCH(C11612, ""押金""), ""押金往來"",
  AND(E11612&lt;&gt;"""", F11612=""""), ""真實支出"",
  AND(E11612="""", F11612&lt;&gt;""""), ""真實收入"",
  TRUE, ""其他""
)"),"其他")</f>
        <v>其他</v>
      </c>
      <c r="K11612" s="270" t="str">
        <f t="shared" si="2"/>
        <v/>
      </c>
      <c r="L11612">
        <f t="shared" si="3"/>
        <v>0</v>
      </c>
    </row>
    <row r="11613">
      <c r="A11613" s="107"/>
      <c r="D11613" s="270"/>
      <c r="H11613" s="106" t="str">
        <f t="shared" si="1"/>
        <v/>
      </c>
      <c r="J11613" t="str">
        <f>IFERROR(__xludf.DUMMYFUNCTION("IFS(
  AND(REGEXMATCH(E11613, ""台銀籌備帳戶|玉山帳戶""), REGEXMATCH(C11613, ""薪資"")), ""分潤支出"",
  AND(REGEXMATCH(E11613, ""Ben帳戶|Elsa帳戶|Ben代墊|Ariel代墊|中信銀行共用""), REGEXMATCH(F11613, ""Ben帳戶|Elsa帳戶|Ben代墊|Ariel代墊|中信銀行共用"")), ""內部轉帳(忽略)"",
  AND(E11613&lt;&gt;"""", F11613&lt;&gt;"&amp;""""", NOT(REGEXMATCH(C11613, ""薪資""))), ""內部轉帳(忽略)"",
  REGEXMATCH(C11613, ""薪資""), ""薪資變動(不計入)"",
  REGEXMATCH(C11613, ""押金""), ""押金往來"",
  AND(E11613&lt;&gt;"""", F11613=""""), ""真實支出"",
  AND(E11613="""", F11613&lt;&gt;""""), ""真實收入"",
  TRUE, ""其他""
)"),"其他")</f>
        <v>其他</v>
      </c>
      <c r="K11613" s="270" t="str">
        <f t="shared" si="2"/>
        <v/>
      </c>
      <c r="L11613">
        <f t="shared" si="3"/>
        <v>0</v>
      </c>
    </row>
    <row r="11614">
      <c r="A11614" s="107"/>
      <c r="D11614" s="270"/>
      <c r="H11614" s="106" t="str">
        <f t="shared" si="1"/>
        <v/>
      </c>
      <c r="J11614" t="str">
        <f>IFERROR(__xludf.DUMMYFUNCTION("IFS(
  AND(REGEXMATCH(E11614, ""台銀籌備帳戶|玉山帳戶""), REGEXMATCH(C11614, ""薪資"")), ""分潤支出"",
  AND(REGEXMATCH(E11614, ""Ben帳戶|Elsa帳戶|Ben代墊|Ariel代墊|中信銀行共用""), REGEXMATCH(F11614, ""Ben帳戶|Elsa帳戶|Ben代墊|Ariel代墊|中信銀行共用"")), ""內部轉帳(忽略)"",
  AND(E11614&lt;&gt;"""", F11614&lt;&gt;"&amp;""""", NOT(REGEXMATCH(C11614, ""薪資""))), ""內部轉帳(忽略)"",
  REGEXMATCH(C11614, ""薪資""), ""薪資變動(不計入)"",
  REGEXMATCH(C11614, ""押金""), ""押金往來"",
  AND(E11614&lt;&gt;"""", F11614=""""), ""真實支出"",
  AND(E11614="""", F11614&lt;&gt;""""), ""真實收入"",
  TRUE, ""其他""
)"),"其他")</f>
        <v>其他</v>
      </c>
      <c r="K11614" s="270" t="str">
        <f t="shared" si="2"/>
        <v/>
      </c>
      <c r="L11614">
        <f t="shared" si="3"/>
        <v>0</v>
      </c>
    </row>
    <row r="11615">
      <c r="A11615" s="107"/>
      <c r="D11615" s="270"/>
      <c r="H11615" s="106" t="str">
        <f t="shared" si="1"/>
        <v/>
      </c>
      <c r="J11615" t="str">
        <f>IFERROR(__xludf.DUMMYFUNCTION("IFS(
  AND(REGEXMATCH(E11615, ""台銀籌備帳戶|玉山帳戶""), REGEXMATCH(C11615, ""薪資"")), ""分潤支出"",
  AND(REGEXMATCH(E11615, ""Ben帳戶|Elsa帳戶|Ben代墊|Ariel代墊|中信銀行共用""), REGEXMATCH(F11615, ""Ben帳戶|Elsa帳戶|Ben代墊|Ariel代墊|中信銀行共用"")), ""內部轉帳(忽略)"",
  AND(E11615&lt;&gt;"""", F11615&lt;&gt;"&amp;""""", NOT(REGEXMATCH(C11615, ""薪資""))), ""內部轉帳(忽略)"",
  REGEXMATCH(C11615, ""薪資""), ""薪資變動(不計入)"",
  REGEXMATCH(C11615, ""押金""), ""押金往來"",
  AND(E11615&lt;&gt;"""", F11615=""""), ""真實支出"",
  AND(E11615="""", F11615&lt;&gt;""""), ""真實收入"",
  TRUE, ""其他""
)"),"其他")</f>
        <v>其他</v>
      </c>
      <c r="K11615" s="270" t="str">
        <f t="shared" si="2"/>
        <v/>
      </c>
      <c r="L11615">
        <f t="shared" si="3"/>
        <v>0</v>
      </c>
    </row>
    <row r="11616">
      <c r="A11616" s="107"/>
      <c r="D11616" s="270"/>
      <c r="H11616" s="106" t="str">
        <f t="shared" si="1"/>
        <v/>
      </c>
      <c r="J11616" t="str">
        <f>IFERROR(__xludf.DUMMYFUNCTION("IFS(
  AND(REGEXMATCH(E11616, ""台銀籌備帳戶|玉山帳戶""), REGEXMATCH(C11616, ""薪資"")), ""分潤支出"",
  AND(REGEXMATCH(E11616, ""Ben帳戶|Elsa帳戶|Ben代墊|Ariel代墊|中信銀行共用""), REGEXMATCH(F11616, ""Ben帳戶|Elsa帳戶|Ben代墊|Ariel代墊|中信銀行共用"")), ""內部轉帳(忽略)"",
  AND(E11616&lt;&gt;"""", F11616&lt;&gt;"&amp;""""", NOT(REGEXMATCH(C11616, ""薪資""))), ""內部轉帳(忽略)"",
  REGEXMATCH(C11616, ""薪資""), ""薪資變動(不計入)"",
  REGEXMATCH(C11616, ""押金""), ""押金往來"",
  AND(E11616&lt;&gt;"""", F11616=""""), ""真實支出"",
  AND(E11616="""", F11616&lt;&gt;""""), ""真實收入"",
  TRUE, ""其他""
)"),"其他")</f>
        <v>其他</v>
      </c>
      <c r="K11616" s="270" t="str">
        <f t="shared" si="2"/>
        <v/>
      </c>
      <c r="L11616">
        <f t="shared" si="3"/>
        <v>0</v>
      </c>
    </row>
    <row r="11617">
      <c r="A11617" s="107"/>
      <c r="D11617" s="270"/>
      <c r="H11617" s="106" t="str">
        <f t="shared" si="1"/>
        <v/>
      </c>
      <c r="J11617" t="str">
        <f>IFERROR(__xludf.DUMMYFUNCTION("IFS(
  AND(REGEXMATCH(E11617, ""台銀籌備帳戶|玉山帳戶""), REGEXMATCH(C11617, ""薪資"")), ""分潤支出"",
  AND(REGEXMATCH(E11617, ""Ben帳戶|Elsa帳戶|Ben代墊|Ariel代墊|中信銀行共用""), REGEXMATCH(F11617, ""Ben帳戶|Elsa帳戶|Ben代墊|Ariel代墊|中信銀行共用"")), ""內部轉帳(忽略)"",
  AND(E11617&lt;&gt;"""", F11617&lt;&gt;"&amp;""""", NOT(REGEXMATCH(C11617, ""薪資""))), ""內部轉帳(忽略)"",
  REGEXMATCH(C11617, ""薪資""), ""薪資變動(不計入)"",
  REGEXMATCH(C11617, ""押金""), ""押金往來"",
  AND(E11617&lt;&gt;"""", F11617=""""), ""真實支出"",
  AND(E11617="""", F11617&lt;&gt;""""), ""真實收入"",
  TRUE, ""其他""
)"),"其他")</f>
        <v>其他</v>
      </c>
      <c r="K11617" s="270" t="str">
        <f t="shared" si="2"/>
        <v/>
      </c>
      <c r="L11617">
        <f t="shared" si="3"/>
        <v>0</v>
      </c>
    </row>
    <row r="11618">
      <c r="A11618" s="107"/>
      <c r="D11618" s="270"/>
      <c r="H11618" s="106" t="str">
        <f t="shared" si="1"/>
        <v/>
      </c>
      <c r="J11618" t="str">
        <f>IFERROR(__xludf.DUMMYFUNCTION("IFS(
  AND(REGEXMATCH(E11618, ""台銀籌備帳戶|玉山帳戶""), REGEXMATCH(C11618, ""薪資"")), ""分潤支出"",
  AND(REGEXMATCH(E11618, ""Ben帳戶|Elsa帳戶|Ben代墊|Ariel代墊|中信銀行共用""), REGEXMATCH(F11618, ""Ben帳戶|Elsa帳戶|Ben代墊|Ariel代墊|中信銀行共用"")), ""內部轉帳(忽略)"",
  AND(E11618&lt;&gt;"""", F11618&lt;&gt;"&amp;""""", NOT(REGEXMATCH(C11618, ""薪資""))), ""內部轉帳(忽略)"",
  REGEXMATCH(C11618, ""薪資""), ""薪資變動(不計入)"",
  REGEXMATCH(C11618, ""押金""), ""押金往來"",
  AND(E11618&lt;&gt;"""", F11618=""""), ""真實支出"",
  AND(E11618="""", F11618&lt;&gt;""""), ""真實收入"",
  TRUE, ""其他""
)"),"其他")</f>
        <v>其他</v>
      </c>
      <c r="K11618" s="270" t="str">
        <f t="shared" si="2"/>
        <v/>
      </c>
      <c r="L11618">
        <f t="shared" si="3"/>
        <v>0</v>
      </c>
    </row>
    <row r="11619">
      <c r="A11619" s="107"/>
      <c r="D11619" s="270"/>
      <c r="H11619" s="106" t="str">
        <f t="shared" si="1"/>
        <v/>
      </c>
      <c r="J11619" t="str">
        <f>IFERROR(__xludf.DUMMYFUNCTION("IFS(
  AND(REGEXMATCH(E11619, ""台銀籌備帳戶|玉山帳戶""), REGEXMATCH(C11619, ""薪資"")), ""分潤支出"",
  AND(REGEXMATCH(E11619, ""Ben帳戶|Elsa帳戶|Ben代墊|Ariel代墊|中信銀行共用""), REGEXMATCH(F11619, ""Ben帳戶|Elsa帳戶|Ben代墊|Ariel代墊|中信銀行共用"")), ""內部轉帳(忽略)"",
  AND(E11619&lt;&gt;"""", F11619&lt;&gt;"&amp;""""", NOT(REGEXMATCH(C11619, ""薪資""))), ""內部轉帳(忽略)"",
  REGEXMATCH(C11619, ""薪資""), ""薪資變動(不計入)"",
  REGEXMATCH(C11619, ""押金""), ""押金往來"",
  AND(E11619&lt;&gt;"""", F11619=""""), ""真實支出"",
  AND(E11619="""", F11619&lt;&gt;""""), ""真實收入"",
  TRUE, ""其他""
)"),"其他")</f>
        <v>其他</v>
      </c>
      <c r="K11619" s="270" t="str">
        <f t="shared" si="2"/>
        <v/>
      </c>
      <c r="L11619">
        <f t="shared" si="3"/>
        <v>0</v>
      </c>
    </row>
    <row r="11620">
      <c r="A11620" s="107"/>
      <c r="D11620" s="270"/>
      <c r="H11620" s="106" t="str">
        <f t="shared" si="1"/>
        <v/>
      </c>
      <c r="J11620" t="str">
        <f>IFERROR(__xludf.DUMMYFUNCTION("IFS(
  AND(REGEXMATCH(E11620, ""台銀籌備帳戶|玉山帳戶""), REGEXMATCH(C11620, ""薪資"")), ""分潤支出"",
  AND(REGEXMATCH(E11620, ""Ben帳戶|Elsa帳戶|Ben代墊|Ariel代墊|中信銀行共用""), REGEXMATCH(F11620, ""Ben帳戶|Elsa帳戶|Ben代墊|Ariel代墊|中信銀行共用"")), ""內部轉帳(忽略)"",
  AND(E11620&lt;&gt;"""", F11620&lt;&gt;"&amp;""""", NOT(REGEXMATCH(C11620, ""薪資""))), ""內部轉帳(忽略)"",
  REGEXMATCH(C11620, ""薪資""), ""薪資變動(不計入)"",
  REGEXMATCH(C11620, ""押金""), ""押金往來"",
  AND(E11620&lt;&gt;"""", F11620=""""), ""真實支出"",
  AND(E11620="""", F11620&lt;&gt;""""), ""真實收入"",
  TRUE, ""其他""
)"),"其他")</f>
        <v>其他</v>
      </c>
      <c r="K11620" s="270" t="str">
        <f t="shared" si="2"/>
        <v/>
      </c>
      <c r="L11620">
        <f t="shared" si="3"/>
        <v>0</v>
      </c>
    </row>
    <row r="11621">
      <c r="A11621" s="107"/>
      <c r="D11621" s="270"/>
      <c r="H11621" s="106" t="str">
        <f t="shared" si="1"/>
        <v/>
      </c>
      <c r="J11621" t="str">
        <f>IFERROR(__xludf.DUMMYFUNCTION("IFS(
  AND(REGEXMATCH(E11621, ""台銀籌備帳戶|玉山帳戶""), REGEXMATCH(C11621, ""薪資"")), ""分潤支出"",
  AND(REGEXMATCH(E11621, ""Ben帳戶|Elsa帳戶|Ben代墊|Ariel代墊|中信銀行共用""), REGEXMATCH(F11621, ""Ben帳戶|Elsa帳戶|Ben代墊|Ariel代墊|中信銀行共用"")), ""內部轉帳(忽略)"",
  AND(E11621&lt;&gt;"""", F11621&lt;&gt;"&amp;""""", NOT(REGEXMATCH(C11621, ""薪資""))), ""內部轉帳(忽略)"",
  REGEXMATCH(C11621, ""薪資""), ""薪資變動(不計入)"",
  REGEXMATCH(C11621, ""押金""), ""押金往來"",
  AND(E11621&lt;&gt;"""", F11621=""""), ""真實支出"",
  AND(E11621="""", F11621&lt;&gt;""""), ""真實收入"",
  TRUE, ""其他""
)"),"其他")</f>
        <v>其他</v>
      </c>
      <c r="K11621" s="270" t="str">
        <f t="shared" si="2"/>
        <v/>
      </c>
      <c r="L11621">
        <f t="shared" si="3"/>
        <v>0</v>
      </c>
    </row>
    <row r="11622">
      <c r="A11622" s="107"/>
      <c r="D11622" s="270"/>
      <c r="H11622" s="106" t="str">
        <f t="shared" si="1"/>
        <v/>
      </c>
      <c r="J11622" t="str">
        <f>IFERROR(__xludf.DUMMYFUNCTION("IFS(
  AND(REGEXMATCH(E11622, ""台銀籌備帳戶|玉山帳戶""), REGEXMATCH(C11622, ""薪資"")), ""分潤支出"",
  AND(REGEXMATCH(E11622, ""Ben帳戶|Elsa帳戶|Ben代墊|Ariel代墊|中信銀行共用""), REGEXMATCH(F11622, ""Ben帳戶|Elsa帳戶|Ben代墊|Ariel代墊|中信銀行共用"")), ""內部轉帳(忽略)"",
  AND(E11622&lt;&gt;"""", F11622&lt;&gt;"&amp;""""", NOT(REGEXMATCH(C11622, ""薪資""))), ""內部轉帳(忽略)"",
  REGEXMATCH(C11622, ""薪資""), ""薪資變動(不計入)"",
  REGEXMATCH(C11622, ""押金""), ""押金往來"",
  AND(E11622&lt;&gt;"""", F11622=""""), ""真實支出"",
  AND(E11622="""", F11622&lt;&gt;""""), ""真實收入"",
  TRUE, ""其他""
)"),"其他")</f>
        <v>其他</v>
      </c>
      <c r="K11622" s="270" t="str">
        <f t="shared" si="2"/>
        <v/>
      </c>
      <c r="L11622">
        <f t="shared" si="3"/>
        <v>0</v>
      </c>
    </row>
    <row r="11623">
      <c r="A11623" s="107"/>
      <c r="D11623" s="270"/>
      <c r="H11623" s="106" t="str">
        <f t="shared" si="1"/>
        <v/>
      </c>
      <c r="J11623" t="str">
        <f>IFERROR(__xludf.DUMMYFUNCTION("IFS(
  AND(REGEXMATCH(E11623, ""台銀籌備帳戶|玉山帳戶""), REGEXMATCH(C11623, ""薪資"")), ""分潤支出"",
  AND(REGEXMATCH(E11623, ""Ben帳戶|Elsa帳戶|Ben代墊|Ariel代墊|中信銀行共用""), REGEXMATCH(F11623, ""Ben帳戶|Elsa帳戶|Ben代墊|Ariel代墊|中信銀行共用"")), ""內部轉帳(忽略)"",
  AND(E11623&lt;&gt;"""", F11623&lt;&gt;"&amp;""""", NOT(REGEXMATCH(C11623, ""薪資""))), ""內部轉帳(忽略)"",
  REGEXMATCH(C11623, ""薪資""), ""薪資變動(不計入)"",
  REGEXMATCH(C11623, ""押金""), ""押金往來"",
  AND(E11623&lt;&gt;"""", F11623=""""), ""真實支出"",
  AND(E11623="""", F11623&lt;&gt;""""), ""真實收入"",
  TRUE, ""其他""
)"),"其他")</f>
        <v>其他</v>
      </c>
      <c r="K11623" s="270" t="str">
        <f t="shared" si="2"/>
        <v/>
      </c>
      <c r="L11623">
        <f t="shared" si="3"/>
        <v>0</v>
      </c>
    </row>
    <row r="11624">
      <c r="A11624" s="107"/>
      <c r="D11624" s="270"/>
      <c r="H11624" s="106" t="str">
        <f t="shared" si="1"/>
        <v/>
      </c>
      <c r="J11624" t="str">
        <f>IFERROR(__xludf.DUMMYFUNCTION("IFS(
  AND(REGEXMATCH(E11624, ""台銀籌備帳戶|玉山帳戶""), REGEXMATCH(C11624, ""薪資"")), ""分潤支出"",
  AND(REGEXMATCH(E11624, ""Ben帳戶|Elsa帳戶|Ben代墊|Ariel代墊|中信銀行共用""), REGEXMATCH(F11624, ""Ben帳戶|Elsa帳戶|Ben代墊|Ariel代墊|中信銀行共用"")), ""內部轉帳(忽略)"",
  AND(E11624&lt;&gt;"""", F11624&lt;&gt;"&amp;""""", NOT(REGEXMATCH(C11624, ""薪資""))), ""內部轉帳(忽略)"",
  REGEXMATCH(C11624, ""薪資""), ""薪資變動(不計入)"",
  REGEXMATCH(C11624, ""押金""), ""押金往來"",
  AND(E11624&lt;&gt;"""", F11624=""""), ""真實支出"",
  AND(E11624="""", F11624&lt;&gt;""""), ""真實收入"",
  TRUE, ""其他""
)"),"其他")</f>
        <v>其他</v>
      </c>
      <c r="K11624" s="270" t="str">
        <f t="shared" si="2"/>
        <v/>
      </c>
      <c r="L11624">
        <f t="shared" si="3"/>
        <v>0</v>
      </c>
    </row>
    <row r="11625">
      <c r="A11625" s="107"/>
      <c r="D11625" s="270"/>
      <c r="H11625" s="106" t="str">
        <f t="shared" si="1"/>
        <v/>
      </c>
      <c r="J11625" t="str">
        <f>IFERROR(__xludf.DUMMYFUNCTION("IFS(
  AND(REGEXMATCH(E11625, ""台銀籌備帳戶|玉山帳戶""), REGEXMATCH(C11625, ""薪資"")), ""分潤支出"",
  AND(REGEXMATCH(E11625, ""Ben帳戶|Elsa帳戶|Ben代墊|Ariel代墊|中信銀行共用""), REGEXMATCH(F11625, ""Ben帳戶|Elsa帳戶|Ben代墊|Ariel代墊|中信銀行共用"")), ""內部轉帳(忽略)"",
  AND(E11625&lt;&gt;"""", F11625&lt;&gt;"&amp;""""", NOT(REGEXMATCH(C11625, ""薪資""))), ""內部轉帳(忽略)"",
  REGEXMATCH(C11625, ""薪資""), ""薪資變動(不計入)"",
  REGEXMATCH(C11625, ""押金""), ""押金往來"",
  AND(E11625&lt;&gt;"""", F11625=""""), ""真實支出"",
  AND(E11625="""", F11625&lt;&gt;""""), ""真實收入"",
  TRUE, ""其他""
)"),"其他")</f>
        <v>其他</v>
      </c>
      <c r="K11625" s="270" t="str">
        <f t="shared" si="2"/>
        <v/>
      </c>
      <c r="L11625">
        <f t="shared" si="3"/>
        <v>0</v>
      </c>
    </row>
    <row r="11626">
      <c r="A11626" s="107"/>
      <c r="D11626" s="270"/>
      <c r="H11626" s="106" t="str">
        <f t="shared" si="1"/>
        <v/>
      </c>
      <c r="J11626" t="str">
        <f>IFERROR(__xludf.DUMMYFUNCTION("IFS(
  AND(REGEXMATCH(E11626, ""台銀籌備帳戶|玉山帳戶""), REGEXMATCH(C11626, ""薪資"")), ""分潤支出"",
  AND(REGEXMATCH(E11626, ""Ben帳戶|Elsa帳戶|Ben代墊|Ariel代墊|中信銀行共用""), REGEXMATCH(F11626, ""Ben帳戶|Elsa帳戶|Ben代墊|Ariel代墊|中信銀行共用"")), ""內部轉帳(忽略)"",
  AND(E11626&lt;&gt;"""", F11626&lt;&gt;"&amp;""""", NOT(REGEXMATCH(C11626, ""薪資""))), ""內部轉帳(忽略)"",
  REGEXMATCH(C11626, ""薪資""), ""薪資變動(不計入)"",
  REGEXMATCH(C11626, ""押金""), ""押金往來"",
  AND(E11626&lt;&gt;"""", F11626=""""), ""真實支出"",
  AND(E11626="""", F11626&lt;&gt;""""), ""真實收入"",
  TRUE, ""其他""
)"),"其他")</f>
        <v>其他</v>
      </c>
      <c r="K11626" s="270" t="str">
        <f t="shared" si="2"/>
        <v/>
      </c>
      <c r="L11626">
        <f t="shared" si="3"/>
        <v>0</v>
      </c>
    </row>
    <row r="11627">
      <c r="A11627" s="107"/>
      <c r="D11627" s="270"/>
      <c r="H11627" s="106" t="str">
        <f t="shared" si="1"/>
        <v/>
      </c>
      <c r="J11627" t="str">
        <f>IFERROR(__xludf.DUMMYFUNCTION("IFS(
  AND(REGEXMATCH(E11627, ""台銀籌備帳戶|玉山帳戶""), REGEXMATCH(C11627, ""薪資"")), ""分潤支出"",
  AND(REGEXMATCH(E11627, ""Ben帳戶|Elsa帳戶|Ben代墊|Ariel代墊|中信銀行共用""), REGEXMATCH(F11627, ""Ben帳戶|Elsa帳戶|Ben代墊|Ariel代墊|中信銀行共用"")), ""內部轉帳(忽略)"",
  AND(E11627&lt;&gt;"""", F11627&lt;&gt;"&amp;""""", NOT(REGEXMATCH(C11627, ""薪資""))), ""內部轉帳(忽略)"",
  REGEXMATCH(C11627, ""薪資""), ""薪資變動(不計入)"",
  REGEXMATCH(C11627, ""押金""), ""押金往來"",
  AND(E11627&lt;&gt;"""", F11627=""""), ""真實支出"",
  AND(E11627="""", F11627&lt;&gt;""""), ""真實收入"",
  TRUE, ""其他""
)"),"其他")</f>
        <v>其他</v>
      </c>
      <c r="K11627" s="270" t="str">
        <f t="shared" si="2"/>
        <v/>
      </c>
      <c r="L11627">
        <f t="shared" si="3"/>
        <v>0</v>
      </c>
    </row>
    <row r="11628">
      <c r="A11628" s="107"/>
      <c r="D11628" s="270"/>
      <c r="H11628" s="106" t="str">
        <f t="shared" si="1"/>
        <v/>
      </c>
      <c r="J11628" t="str">
        <f>IFERROR(__xludf.DUMMYFUNCTION("IFS(
  AND(REGEXMATCH(E11628, ""台銀籌備帳戶|玉山帳戶""), REGEXMATCH(C11628, ""薪資"")), ""分潤支出"",
  AND(REGEXMATCH(E11628, ""Ben帳戶|Elsa帳戶|Ben代墊|Ariel代墊|中信銀行共用""), REGEXMATCH(F11628, ""Ben帳戶|Elsa帳戶|Ben代墊|Ariel代墊|中信銀行共用"")), ""內部轉帳(忽略)"",
  AND(E11628&lt;&gt;"""", F11628&lt;&gt;"&amp;""""", NOT(REGEXMATCH(C11628, ""薪資""))), ""內部轉帳(忽略)"",
  REGEXMATCH(C11628, ""薪資""), ""薪資變動(不計入)"",
  REGEXMATCH(C11628, ""押金""), ""押金往來"",
  AND(E11628&lt;&gt;"""", F11628=""""), ""真實支出"",
  AND(E11628="""", F11628&lt;&gt;""""), ""真實收入"",
  TRUE, ""其他""
)"),"其他")</f>
        <v>其他</v>
      </c>
      <c r="K11628" s="270" t="str">
        <f t="shared" si="2"/>
        <v/>
      </c>
      <c r="L11628">
        <f t="shared" si="3"/>
        <v>0</v>
      </c>
    </row>
    <row r="11629">
      <c r="A11629" s="107"/>
      <c r="D11629" s="270"/>
      <c r="H11629" s="106" t="str">
        <f t="shared" si="1"/>
        <v/>
      </c>
      <c r="J11629" t="str">
        <f>IFERROR(__xludf.DUMMYFUNCTION("IFS(
  AND(REGEXMATCH(E11629, ""台銀籌備帳戶|玉山帳戶""), REGEXMATCH(C11629, ""薪資"")), ""分潤支出"",
  AND(REGEXMATCH(E11629, ""Ben帳戶|Elsa帳戶|Ben代墊|Ariel代墊|中信銀行共用""), REGEXMATCH(F11629, ""Ben帳戶|Elsa帳戶|Ben代墊|Ariel代墊|中信銀行共用"")), ""內部轉帳(忽略)"",
  AND(E11629&lt;&gt;"""", F11629&lt;&gt;"&amp;""""", NOT(REGEXMATCH(C11629, ""薪資""))), ""內部轉帳(忽略)"",
  REGEXMATCH(C11629, ""薪資""), ""薪資變動(不計入)"",
  REGEXMATCH(C11629, ""押金""), ""押金往來"",
  AND(E11629&lt;&gt;"""", F11629=""""), ""真實支出"",
  AND(E11629="""", F11629&lt;&gt;""""), ""真實收入"",
  TRUE, ""其他""
)"),"其他")</f>
        <v>其他</v>
      </c>
      <c r="K11629" s="270" t="str">
        <f t="shared" si="2"/>
        <v/>
      </c>
      <c r="L11629">
        <f t="shared" si="3"/>
        <v>0</v>
      </c>
    </row>
    <row r="11630">
      <c r="A11630" s="107"/>
      <c r="D11630" s="270"/>
      <c r="H11630" s="106" t="str">
        <f t="shared" si="1"/>
        <v/>
      </c>
      <c r="J11630" t="str">
        <f>IFERROR(__xludf.DUMMYFUNCTION("IFS(
  AND(REGEXMATCH(E11630, ""台銀籌備帳戶|玉山帳戶""), REGEXMATCH(C11630, ""薪資"")), ""分潤支出"",
  AND(REGEXMATCH(E11630, ""Ben帳戶|Elsa帳戶|Ben代墊|Ariel代墊|中信銀行共用""), REGEXMATCH(F11630, ""Ben帳戶|Elsa帳戶|Ben代墊|Ariel代墊|中信銀行共用"")), ""內部轉帳(忽略)"",
  AND(E11630&lt;&gt;"""", F11630&lt;&gt;"&amp;""""", NOT(REGEXMATCH(C11630, ""薪資""))), ""內部轉帳(忽略)"",
  REGEXMATCH(C11630, ""薪資""), ""薪資變動(不計入)"",
  REGEXMATCH(C11630, ""押金""), ""押金往來"",
  AND(E11630&lt;&gt;"""", F11630=""""), ""真實支出"",
  AND(E11630="""", F11630&lt;&gt;""""), ""真實收入"",
  TRUE, ""其他""
)"),"其他")</f>
        <v>其他</v>
      </c>
      <c r="K11630" s="270" t="str">
        <f t="shared" si="2"/>
        <v/>
      </c>
      <c r="L11630">
        <f t="shared" si="3"/>
        <v>0</v>
      </c>
    </row>
    <row r="11631">
      <c r="A11631" s="107"/>
      <c r="D11631" s="270"/>
      <c r="H11631" s="106" t="str">
        <f t="shared" si="1"/>
        <v/>
      </c>
      <c r="J11631" t="str">
        <f>IFERROR(__xludf.DUMMYFUNCTION("IFS(
  AND(REGEXMATCH(E11631, ""台銀籌備帳戶|玉山帳戶""), REGEXMATCH(C11631, ""薪資"")), ""分潤支出"",
  AND(REGEXMATCH(E11631, ""Ben帳戶|Elsa帳戶|Ben代墊|Ariel代墊|中信銀行共用""), REGEXMATCH(F11631, ""Ben帳戶|Elsa帳戶|Ben代墊|Ariel代墊|中信銀行共用"")), ""內部轉帳(忽略)"",
  AND(E11631&lt;&gt;"""", F11631&lt;&gt;"&amp;""""", NOT(REGEXMATCH(C11631, ""薪資""))), ""內部轉帳(忽略)"",
  REGEXMATCH(C11631, ""薪資""), ""薪資變動(不計入)"",
  REGEXMATCH(C11631, ""押金""), ""押金往來"",
  AND(E11631&lt;&gt;"""", F11631=""""), ""真實支出"",
  AND(E11631="""", F11631&lt;&gt;""""), ""真實收入"",
  TRUE, ""其他""
)"),"其他")</f>
        <v>其他</v>
      </c>
      <c r="K11631" s="270" t="str">
        <f t="shared" si="2"/>
        <v/>
      </c>
      <c r="L11631">
        <f t="shared" si="3"/>
        <v>0</v>
      </c>
    </row>
    <row r="11632">
      <c r="A11632" s="107"/>
      <c r="D11632" s="270"/>
      <c r="H11632" s="106" t="str">
        <f t="shared" si="1"/>
        <v/>
      </c>
      <c r="J11632" t="str">
        <f>IFERROR(__xludf.DUMMYFUNCTION("IFS(
  AND(REGEXMATCH(E11632, ""台銀籌備帳戶|玉山帳戶""), REGEXMATCH(C11632, ""薪資"")), ""分潤支出"",
  AND(REGEXMATCH(E11632, ""Ben帳戶|Elsa帳戶|Ben代墊|Ariel代墊|中信銀行共用""), REGEXMATCH(F11632, ""Ben帳戶|Elsa帳戶|Ben代墊|Ariel代墊|中信銀行共用"")), ""內部轉帳(忽略)"",
  AND(E11632&lt;&gt;"""", F11632&lt;&gt;"&amp;""""", NOT(REGEXMATCH(C11632, ""薪資""))), ""內部轉帳(忽略)"",
  REGEXMATCH(C11632, ""薪資""), ""薪資變動(不計入)"",
  REGEXMATCH(C11632, ""押金""), ""押金往來"",
  AND(E11632&lt;&gt;"""", F11632=""""), ""真實支出"",
  AND(E11632="""", F11632&lt;&gt;""""), ""真實收入"",
  TRUE, ""其他""
)"),"其他")</f>
        <v>其他</v>
      </c>
      <c r="K11632" s="270" t="str">
        <f t="shared" si="2"/>
        <v/>
      </c>
      <c r="L11632">
        <f t="shared" si="3"/>
        <v>0</v>
      </c>
    </row>
    <row r="11633">
      <c r="A11633" s="107"/>
      <c r="D11633" s="270"/>
      <c r="H11633" s="106" t="str">
        <f t="shared" si="1"/>
        <v/>
      </c>
      <c r="J11633" t="str">
        <f>IFERROR(__xludf.DUMMYFUNCTION("IFS(
  AND(REGEXMATCH(E11633, ""台銀籌備帳戶|玉山帳戶""), REGEXMATCH(C11633, ""薪資"")), ""分潤支出"",
  AND(REGEXMATCH(E11633, ""Ben帳戶|Elsa帳戶|Ben代墊|Ariel代墊|中信銀行共用""), REGEXMATCH(F11633, ""Ben帳戶|Elsa帳戶|Ben代墊|Ariel代墊|中信銀行共用"")), ""內部轉帳(忽略)"",
  AND(E11633&lt;&gt;"""", F11633&lt;&gt;"&amp;""""", NOT(REGEXMATCH(C11633, ""薪資""))), ""內部轉帳(忽略)"",
  REGEXMATCH(C11633, ""薪資""), ""薪資變動(不計入)"",
  REGEXMATCH(C11633, ""押金""), ""押金往來"",
  AND(E11633&lt;&gt;"""", F11633=""""), ""真實支出"",
  AND(E11633="""", F11633&lt;&gt;""""), ""真實收入"",
  TRUE, ""其他""
)"),"其他")</f>
        <v>其他</v>
      </c>
      <c r="K11633" s="270" t="str">
        <f t="shared" si="2"/>
        <v/>
      </c>
      <c r="L11633">
        <f t="shared" si="3"/>
        <v>0</v>
      </c>
    </row>
    <row r="11634">
      <c r="A11634" s="107"/>
      <c r="D11634" s="270"/>
      <c r="H11634" s="106" t="str">
        <f t="shared" si="1"/>
        <v/>
      </c>
      <c r="J11634" t="str">
        <f>IFERROR(__xludf.DUMMYFUNCTION("IFS(
  AND(REGEXMATCH(E11634, ""台銀籌備帳戶|玉山帳戶""), REGEXMATCH(C11634, ""薪資"")), ""分潤支出"",
  AND(REGEXMATCH(E11634, ""Ben帳戶|Elsa帳戶|Ben代墊|Ariel代墊|中信銀行共用""), REGEXMATCH(F11634, ""Ben帳戶|Elsa帳戶|Ben代墊|Ariel代墊|中信銀行共用"")), ""內部轉帳(忽略)"",
  AND(E11634&lt;&gt;"""", F11634&lt;&gt;"&amp;""""", NOT(REGEXMATCH(C11634, ""薪資""))), ""內部轉帳(忽略)"",
  REGEXMATCH(C11634, ""薪資""), ""薪資變動(不計入)"",
  REGEXMATCH(C11634, ""押金""), ""押金往來"",
  AND(E11634&lt;&gt;"""", F11634=""""), ""真實支出"",
  AND(E11634="""", F11634&lt;&gt;""""), ""真實收入"",
  TRUE, ""其他""
)"),"其他")</f>
        <v>其他</v>
      </c>
      <c r="K11634" s="270" t="str">
        <f t="shared" si="2"/>
        <v/>
      </c>
      <c r="L11634">
        <f t="shared" si="3"/>
        <v>0</v>
      </c>
    </row>
    <row r="11635">
      <c r="A11635" s="107"/>
      <c r="D11635" s="270"/>
      <c r="H11635" s="106" t="str">
        <f t="shared" si="1"/>
        <v/>
      </c>
      <c r="J11635" t="str">
        <f>IFERROR(__xludf.DUMMYFUNCTION("IFS(
  AND(REGEXMATCH(E11635, ""台銀籌備帳戶|玉山帳戶""), REGEXMATCH(C11635, ""薪資"")), ""分潤支出"",
  AND(REGEXMATCH(E11635, ""Ben帳戶|Elsa帳戶|Ben代墊|Ariel代墊|中信銀行共用""), REGEXMATCH(F11635, ""Ben帳戶|Elsa帳戶|Ben代墊|Ariel代墊|中信銀行共用"")), ""內部轉帳(忽略)"",
  AND(E11635&lt;&gt;"""", F11635&lt;&gt;"&amp;""""", NOT(REGEXMATCH(C11635, ""薪資""))), ""內部轉帳(忽略)"",
  REGEXMATCH(C11635, ""薪資""), ""薪資變動(不計入)"",
  REGEXMATCH(C11635, ""押金""), ""押金往來"",
  AND(E11635&lt;&gt;"""", F11635=""""), ""真實支出"",
  AND(E11635="""", F11635&lt;&gt;""""), ""真實收入"",
  TRUE, ""其他""
)"),"其他")</f>
        <v>其他</v>
      </c>
      <c r="K11635" s="270" t="str">
        <f t="shared" si="2"/>
        <v/>
      </c>
      <c r="L11635">
        <f t="shared" si="3"/>
        <v>0</v>
      </c>
    </row>
    <row r="11636">
      <c r="A11636" s="107"/>
      <c r="D11636" s="270"/>
      <c r="H11636" s="106" t="str">
        <f t="shared" si="1"/>
        <v/>
      </c>
      <c r="J11636" t="str">
        <f>IFERROR(__xludf.DUMMYFUNCTION("IFS(
  AND(REGEXMATCH(E11636, ""台銀籌備帳戶|玉山帳戶""), REGEXMATCH(C11636, ""薪資"")), ""分潤支出"",
  AND(REGEXMATCH(E11636, ""Ben帳戶|Elsa帳戶|Ben代墊|Ariel代墊|中信銀行共用""), REGEXMATCH(F11636, ""Ben帳戶|Elsa帳戶|Ben代墊|Ariel代墊|中信銀行共用"")), ""內部轉帳(忽略)"",
  AND(E11636&lt;&gt;"""", F11636&lt;&gt;"&amp;""""", NOT(REGEXMATCH(C11636, ""薪資""))), ""內部轉帳(忽略)"",
  REGEXMATCH(C11636, ""薪資""), ""薪資變動(不計入)"",
  REGEXMATCH(C11636, ""押金""), ""押金往來"",
  AND(E11636&lt;&gt;"""", F11636=""""), ""真實支出"",
  AND(E11636="""", F11636&lt;&gt;""""), ""真實收入"",
  TRUE, ""其他""
)"),"其他")</f>
        <v>其他</v>
      </c>
      <c r="K11636" s="270" t="str">
        <f t="shared" si="2"/>
        <v/>
      </c>
      <c r="L11636">
        <f t="shared" si="3"/>
        <v>0</v>
      </c>
    </row>
    <row r="11637">
      <c r="A11637" s="107"/>
      <c r="D11637" s="270"/>
      <c r="H11637" s="106" t="str">
        <f t="shared" si="1"/>
        <v/>
      </c>
      <c r="J11637" t="str">
        <f>IFERROR(__xludf.DUMMYFUNCTION("IFS(
  AND(REGEXMATCH(E11637, ""台銀籌備帳戶|玉山帳戶""), REGEXMATCH(C11637, ""薪資"")), ""分潤支出"",
  AND(REGEXMATCH(E11637, ""Ben帳戶|Elsa帳戶|Ben代墊|Ariel代墊|中信銀行共用""), REGEXMATCH(F11637, ""Ben帳戶|Elsa帳戶|Ben代墊|Ariel代墊|中信銀行共用"")), ""內部轉帳(忽略)"",
  AND(E11637&lt;&gt;"""", F11637&lt;&gt;"&amp;""""", NOT(REGEXMATCH(C11637, ""薪資""))), ""內部轉帳(忽略)"",
  REGEXMATCH(C11637, ""薪資""), ""薪資變動(不計入)"",
  REGEXMATCH(C11637, ""押金""), ""押金往來"",
  AND(E11637&lt;&gt;"""", F11637=""""), ""真實支出"",
  AND(E11637="""", F11637&lt;&gt;""""), ""真實收入"",
  TRUE, ""其他""
)"),"其他")</f>
        <v>其他</v>
      </c>
      <c r="K11637" s="270" t="str">
        <f t="shared" si="2"/>
        <v/>
      </c>
      <c r="L11637">
        <f t="shared" si="3"/>
        <v>0</v>
      </c>
    </row>
    <row r="11638">
      <c r="A11638" s="107"/>
      <c r="D11638" s="270"/>
      <c r="H11638" s="106" t="str">
        <f t="shared" si="1"/>
        <v/>
      </c>
      <c r="J11638" t="str">
        <f>IFERROR(__xludf.DUMMYFUNCTION("IFS(
  AND(REGEXMATCH(E11638, ""台銀籌備帳戶|玉山帳戶""), REGEXMATCH(C11638, ""薪資"")), ""分潤支出"",
  AND(REGEXMATCH(E11638, ""Ben帳戶|Elsa帳戶|Ben代墊|Ariel代墊|中信銀行共用""), REGEXMATCH(F11638, ""Ben帳戶|Elsa帳戶|Ben代墊|Ariel代墊|中信銀行共用"")), ""內部轉帳(忽略)"",
  AND(E11638&lt;&gt;"""", F11638&lt;&gt;"&amp;""""", NOT(REGEXMATCH(C11638, ""薪資""))), ""內部轉帳(忽略)"",
  REGEXMATCH(C11638, ""薪資""), ""薪資變動(不計入)"",
  REGEXMATCH(C11638, ""押金""), ""押金往來"",
  AND(E11638&lt;&gt;"""", F11638=""""), ""真實支出"",
  AND(E11638="""", F11638&lt;&gt;""""), ""真實收入"",
  TRUE, ""其他""
)"),"其他")</f>
        <v>其他</v>
      </c>
      <c r="K11638" s="270" t="str">
        <f t="shared" si="2"/>
        <v/>
      </c>
      <c r="L11638">
        <f t="shared" si="3"/>
        <v>0</v>
      </c>
    </row>
    <row r="11639">
      <c r="A11639" s="107"/>
      <c r="D11639" s="270"/>
      <c r="H11639" s="106" t="str">
        <f t="shared" si="1"/>
        <v/>
      </c>
      <c r="J11639" t="str">
        <f>IFERROR(__xludf.DUMMYFUNCTION("IFS(
  AND(REGEXMATCH(E11639, ""台銀籌備帳戶|玉山帳戶""), REGEXMATCH(C11639, ""薪資"")), ""分潤支出"",
  AND(REGEXMATCH(E11639, ""Ben帳戶|Elsa帳戶|Ben代墊|Ariel代墊|中信銀行共用""), REGEXMATCH(F11639, ""Ben帳戶|Elsa帳戶|Ben代墊|Ariel代墊|中信銀行共用"")), ""內部轉帳(忽略)"",
  AND(E11639&lt;&gt;"""", F11639&lt;&gt;"&amp;""""", NOT(REGEXMATCH(C11639, ""薪資""))), ""內部轉帳(忽略)"",
  REGEXMATCH(C11639, ""薪資""), ""薪資變動(不計入)"",
  REGEXMATCH(C11639, ""押金""), ""押金往來"",
  AND(E11639&lt;&gt;"""", F11639=""""), ""真實支出"",
  AND(E11639="""", F11639&lt;&gt;""""), ""真實收入"",
  TRUE, ""其他""
)"),"其他")</f>
        <v>其他</v>
      </c>
      <c r="K11639" s="270" t="str">
        <f t="shared" si="2"/>
        <v/>
      </c>
      <c r="L11639">
        <f t="shared" si="3"/>
        <v>0</v>
      </c>
    </row>
    <row r="11640">
      <c r="A11640" s="107"/>
      <c r="D11640" s="270"/>
      <c r="H11640" s="106" t="str">
        <f t="shared" si="1"/>
        <v/>
      </c>
      <c r="J11640" t="str">
        <f>IFERROR(__xludf.DUMMYFUNCTION("IFS(
  AND(REGEXMATCH(E11640, ""台銀籌備帳戶|玉山帳戶""), REGEXMATCH(C11640, ""薪資"")), ""分潤支出"",
  AND(REGEXMATCH(E11640, ""Ben帳戶|Elsa帳戶|Ben代墊|Ariel代墊|中信銀行共用""), REGEXMATCH(F11640, ""Ben帳戶|Elsa帳戶|Ben代墊|Ariel代墊|中信銀行共用"")), ""內部轉帳(忽略)"",
  AND(E11640&lt;&gt;"""", F11640&lt;&gt;"&amp;""""", NOT(REGEXMATCH(C11640, ""薪資""))), ""內部轉帳(忽略)"",
  REGEXMATCH(C11640, ""薪資""), ""薪資變動(不計入)"",
  REGEXMATCH(C11640, ""押金""), ""押金往來"",
  AND(E11640&lt;&gt;"""", F11640=""""), ""真實支出"",
  AND(E11640="""", F11640&lt;&gt;""""), ""真實收入"",
  TRUE, ""其他""
)"),"其他")</f>
        <v>其他</v>
      </c>
      <c r="K11640" s="270" t="str">
        <f t="shared" si="2"/>
        <v/>
      </c>
      <c r="L11640">
        <f t="shared" si="3"/>
        <v>0</v>
      </c>
    </row>
    <row r="11641">
      <c r="A11641" s="107"/>
      <c r="D11641" s="270"/>
      <c r="H11641" s="106" t="str">
        <f t="shared" si="1"/>
        <v/>
      </c>
      <c r="J11641" t="str">
        <f>IFERROR(__xludf.DUMMYFUNCTION("IFS(
  AND(REGEXMATCH(E11641, ""台銀籌備帳戶|玉山帳戶""), REGEXMATCH(C11641, ""薪資"")), ""分潤支出"",
  AND(REGEXMATCH(E11641, ""Ben帳戶|Elsa帳戶|Ben代墊|Ariel代墊|中信銀行共用""), REGEXMATCH(F11641, ""Ben帳戶|Elsa帳戶|Ben代墊|Ariel代墊|中信銀行共用"")), ""內部轉帳(忽略)"",
  AND(E11641&lt;&gt;"""", F11641&lt;&gt;"&amp;""""", NOT(REGEXMATCH(C11641, ""薪資""))), ""內部轉帳(忽略)"",
  REGEXMATCH(C11641, ""薪資""), ""薪資變動(不計入)"",
  REGEXMATCH(C11641, ""押金""), ""押金往來"",
  AND(E11641&lt;&gt;"""", F11641=""""), ""真實支出"",
  AND(E11641="""", F11641&lt;&gt;""""), ""真實收入"",
  TRUE, ""其他""
)"),"其他")</f>
        <v>其他</v>
      </c>
      <c r="K11641" s="270" t="str">
        <f t="shared" si="2"/>
        <v/>
      </c>
      <c r="L11641">
        <f t="shared" si="3"/>
        <v>0</v>
      </c>
    </row>
    <row r="11642">
      <c r="A11642" s="107"/>
      <c r="D11642" s="270"/>
      <c r="H11642" s="106" t="str">
        <f t="shared" si="1"/>
        <v/>
      </c>
      <c r="J11642" t="str">
        <f>IFERROR(__xludf.DUMMYFUNCTION("IFS(
  AND(REGEXMATCH(E11642, ""台銀籌備帳戶|玉山帳戶""), REGEXMATCH(C11642, ""薪資"")), ""分潤支出"",
  AND(REGEXMATCH(E11642, ""Ben帳戶|Elsa帳戶|Ben代墊|Ariel代墊|中信銀行共用""), REGEXMATCH(F11642, ""Ben帳戶|Elsa帳戶|Ben代墊|Ariel代墊|中信銀行共用"")), ""內部轉帳(忽略)"",
  AND(E11642&lt;&gt;"""", F11642&lt;&gt;"&amp;""""", NOT(REGEXMATCH(C11642, ""薪資""))), ""內部轉帳(忽略)"",
  REGEXMATCH(C11642, ""薪資""), ""薪資變動(不計入)"",
  REGEXMATCH(C11642, ""押金""), ""押金往來"",
  AND(E11642&lt;&gt;"""", F11642=""""), ""真實支出"",
  AND(E11642="""", F11642&lt;&gt;""""), ""真實收入"",
  TRUE, ""其他""
)"),"其他")</f>
        <v>其他</v>
      </c>
      <c r="K11642" s="270" t="str">
        <f t="shared" si="2"/>
        <v/>
      </c>
      <c r="L11642">
        <f t="shared" si="3"/>
        <v>0</v>
      </c>
    </row>
    <row r="11643">
      <c r="A11643" s="107"/>
      <c r="D11643" s="270"/>
      <c r="H11643" s="106" t="str">
        <f t="shared" si="1"/>
        <v/>
      </c>
      <c r="J11643" t="str">
        <f>IFERROR(__xludf.DUMMYFUNCTION("IFS(
  AND(REGEXMATCH(E11643, ""台銀籌備帳戶|玉山帳戶""), REGEXMATCH(C11643, ""薪資"")), ""分潤支出"",
  AND(REGEXMATCH(E11643, ""Ben帳戶|Elsa帳戶|Ben代墊|Ariel代墊|中信銀行共用""), REGEXMATCH(F11643, ""Ben帳戶|Elsa帳戶|Ben代墊|Ariel代墊|中信銀行共用"")), ""內部轉帳(忽略)"",
  AND(E11643&lt;&gt;"""", F11643&lt;&gt;"&amp;""""", NOT(REGEXMATCH(C11643, ""薪資""))), ""內部轉帳(忽略)"",
  REGEXMATCH(C11643, ""薪資""), ""薪資變動(不計入)"",
  REGEXMATCH(C11643, ""押金""), ""押金往來"",
  AND(E11643&lt;&gt;"""", F11643=""""), ""真實支出"",
  AND(E11643="""", F11643&lt;&gt;""""), ""真實收入"",
  TRUE, ""其他""
)"),"其他")</f>
        <v>其他</v>
      </c>
      <c r="K11643" s="270" t="str">
        <f t="shared" si="2"/>
        <v/>
      </c>
      <c r="L11643">
        <f t="shared" si="3"/>
        <v>0</v>
      </c>
    </row>
    <row r="11644">
      <c r="A11644" s="107"/>
      <c r="D11644" s="270"/>
      <c r="H11644" s="106" t="str">
        <f t="shared" si="1"/>
        <v/>
      </c>
      <c r="J11644" t="str">
        <f>IFERROR(__xludf.DUMMYFUNCTION("IFS(
  AND(REGEXMATCH(E11644, ""台銀籌備帳戶|玉山帳戶""), REGEXMATCH(C11644, ""薪資"")), ""分潤支出"",
  AND(REGEXMATCH(E11644, ""Ben帳戶|Elsa帳戶|Ben代墊|Ariel代墊|中信銀行共用""), REGEXMATCH(F11644, ""Ben帳戶|Elsa帳戶|Ben代墊|Ariel代墊|中信銀行共用"")), ""內部轉帳(忽略)"",
  AND(E11644&lt;&gt;"""", F11644&lt;&gt;"&amp;""""", NOT(REGEXMATCH(C11644, ""薪資""))), ""內部轉帳(忽略)"",
  REGEXMATCH(C11644, ""薪資""), ""薪資變動(不計入)"",
  REGEXMATCH(C11644, ""押金""), ""押金往來"",
  AND(E11644&lt;&gt;"""", F11644=""""), ""真實支出"",
  AND(E11644="""", F11644&lt;&gt;""""), ""真實收入"",
  TRUE, ""其他""
)"),"其他")</f>
        <v>其他</v>
      </c>
      <c r="K11644" s="270" t="str">
        <f t="shared" si="2"/>
        <v/>
      </c>
      <c r="L11644">
        <f t="shared" si="3"/>
        <v>0</v>
      </c>
    </row>
    <row r="11645">
      <c r="A11645" s="107"/>
      <c r="D11645" s="270"/>
      <c r="H11645" s="106" t="str">
        <f t="shared" si="1"/>
        <v/>
      </c>
      <c r="J11645" t="str">
        <f>IFERROR(__xludf.DUMMYFUNCTION("IFS(
  AND(REGEXMATCH(E11645, ""台銀籌備帳戶|玉山帳戶""), REGEXMATCH(C11645, ""薪資"")), ""分潤支出"",
  AND(REGEXMATCH(E11645, ""Ben帳戶|Elsa帳戶|Ben代墊|Ariel代墊|中信銀行共用""), REGEXMATCH(F11645, ""Ben帳戶|Elsa帳戶|Ben代墊|Ariel代墊|中信銀行共用"")), ""內部轉帳(忽略)"",
  AND(E11645&lt;&gt;"""", F11645&lt;&gt;"&amp;""""", NOT(REGEXMATCH(C11645, ""薪資""))), ""內部轉帳(忽略)"",
  REGEXMATCH(C11645, ""薪資""), ""薪資變動(不計入)"",
  REGEXMATCH(C11645, ""押金""), ""押金往來"",
  AND(E11645&lt;&gt;"""", F11645=""""), ""真實支出"",
  AND(E11645="""", F11645&lt;&gt;""""), ""真實收入"",
  TRUE, ""其他""
)"),"其他")</f>
        <v>其他</v>
      </c>
      <c r="K11645" s="270" t="str">
        <f t="shared" si="2"/>
        <v/>
      </c>
      <c r="L11645">
        <f t="shared" si="3"/>
        <v>0</v>
      </c>
    </row>
    <row r="11646">
      <c r="A11646" s="107"/>
      <c r="D11646" s="270"/>
      <c r="H11646" s="106" t="str">
        <f t="shared" si="1"/>
        <v/>
      </c>
      <c r="J11646" t="str">
        <f>IFERROR(__xludf.DUMMYFUNCTION("IFS(
  AND(REGEXMATCH(E11646, ""台銀籌備帳戶|玉山帳戶""), REGEXMATCH(C11646, ""薪資"")), ""分潤支出"",
  AND(REGEXMATCH(E11646, ""Ben帳戶|Elsa帳戶|Ben代墊|Ariel代墊|中信銀行共用""), REGEXMATCH(F11646, ""Ben帳戶|Elsa帳戶|Ben代墊|Ariel代墊|中信銀行共用"")), ""內部轉帳(忽略)"",
  AND(E11646&lt;&gt;"""", F11646&lt;&gt;"&amp;""""", NOT(REGEXMATCH(C11646, ""薪資""))), ""內部轉帳(忽略)"",
  REGEXMATCH(C11646, ""薪資""), ""薪資變動(不計入)"",
  REGEXMATCH(C11646, ""押金""), ""押金往來"",
  AND(E11646&lt;&gt;"""", F11646=""""), ""真實支出"",
  AND(E11646="""", F11646&lt;&gt;""""), ""真實收入"",
  TRUE, ""其他""
)"),"其他")</f>
        <v>其他</v>
      </c>
      <c r="K11646" s="270" t="str">
        <f t="shared" si="2"/>
        <v/>
      </c>
      <c r="L11646">
        <f t="shared" si="3"/>
        <v>0</v>
      </c>
    </row>
    <row r="11647">
      <c r="A11647" s="107"/>
      <c r="D11647" s="270"/>
      <c r="H11647" s="106" t="str">
        <f t="shared" si="1"/>
        <v/>
      </c>
      <c r="J11647" t="str">
        <f>IFERROR(__xludf.DUMMYFUNCTION("IFS(
  AND(REGEXMATCH(E11647, ""台銀籌備帳戶|玉山帳戶""), REGEXMATCH(C11647, ""薪資"")), ""分潤支出"",
  AND(REGEXMATCH(E11647, ""Ben帳戶|Elsa帳戶|Ben代墊|Ariel代墊|中信銀行共用""), REGEXMATCH(F11647, ""Ben帳戶|Elsa帳戶|Ben代墊|Ariel代墊|中信銀行共用"")), ""內部轉帳(忽略)"",
  AND(E11647&lt;&gt;"""", F11647&lt;&gt;"&amp;""""", NOT(REGEXMATCH(C11647, ""薪資""))), ""內部轉帳(忽略)"",
  REGEXMATCH(C11647, ""薪資""), ""薪資變動(不計入)"",
  REGEXMATCH(C11647, ""押金""), ""押金往來"",
  AND(E11647&lt;&gt;"""", F11647=""""), ""真實支出"",
  AND(E11647="""", F11647&lt;&gt;""""), ""真實收入"",
  TRUE, ""其他""
)"),"其他")</f>
        <v>其他</v>
      </c>
      <c r="K11647" s="270" t="str">
        <f t="shared" si="2"/>
        <v/>
      </c>
      <c r="L11647">
        <f t="shared" si="3"/>
        <v>0</v>
      </c>
    </row>
    <row r="11648">
      <c r="A11648" s="107"/>
      <c r="D11648" s="270"/>
      <c r="H11648" s="106" t="str">
        <f t="shared" si="1"/>
        <v/>
      </c>
      <c r="J11648" t="str">
        <f>IFERROR(__xludf.DUMMYFUNCTION("IFS(
  AND(REGEXMATCH(E11648, ""台銀籌備帳戶|玉山帳戶""), REGEXMATCH(C11648, ""薪資"")), ""分潤支出"",
  AND(REGEXMATCH(E11648, ""Ben帳戶|Elsa帳戶|Ben代墊|Ariel代墊|中信銀行共用""), REGEXMATCH(F11648, ""Ben帳戶|Elsa帳戶|Ben代墊|Ariel代墊|中信銀行共用"")), ""內部轉帳(忽略)"",
  AND(E11648&lt;&gt;"""", F11648&lt;&gt;"&amp;""""", NOT(REGEXMATCH(C11648, ""薪資""))), ""內部轉帳(忽略)"",
  REGEXMATCH(C11648, ""薪資""), ""薪資變動(不計入)"",
  REGEXMATCH(C11648, ""押金""), ""押金往來"",
  AND(E11648&lt;&gt;"""", F11648=""""), ""真實支出"",
  AND(E11648="""", F11648&lt;&gt;""""), ""真實收入"",
  TRUE, ""其他""
)"),"其他")</f>
        <v>其他</v>
      </c>
      <c r="K11648" s="270" t="str">
        <f t="shared" si="2"/>
        <v/>
      </c>
      <c r="L11648">
        <f t="shared" si="3"/>
        <v>0</v>
      </c>
    </row>
    <row r="11649">
      <c r="A11649" s="107"/>
      <c r="D11649" s="270"/>
      <c r="H11649" s="106" t="str">
        <f t="shared" si="1"/>
        <v/>
      </c>
      <c r="J11649" t="str">
        <f>IFERROR(__xludf.DUMMYFUNCTION("IFS(
  AND(REGEXMATCH(E11649, ""台銀籌備帳戶|玉山帳戶""), REGEXMATCH(C11649, ""薪資"")), ""分潤支出"",
  AND(REGEXMATCH(E11649, ""Ben帳戶|Elsa帳戶|Ben代墊|Ariel代墊|中信銀行共用""), REGEXMATCH(F11649, ""Ben帳戶|Elsa帳戶|Ben代墊|Ariel代墊|中信銀行共用"")), ""內部轉帳(忽略)"",
  AND(E11649&lt;&gt;"""", F11649&lt;&gt;"&amp;""""", NOT(REGEXMATCH(C11649, ""薪資""))), ""內部轉帳(忽略)"",
  REGEXMATCH(C11649, ""薪資""), ""薪資變動(不計入)"",
  REGEXMATCH(C11649, ""押金""), ""押金往來"",
  AND(E11649&lt;&gt;"""", F11649=""""), ""真實支出"",
  AND(E11649="""", F11649&lt;&gt;""""), ""真實收入"",
  TRUE, ""其他""
)"),"其他")</f>
        <v>其他</v>
      </c>
      <c r="K11649" s="270" t="str">
        <f t="shared" si="2"/>
        <v/>
      </c>
      <c r="L11649">
        <f t="shared" si="3"/>
        <v>0</v>
      </c>
    </row>
    <row r="11650">
      <c r="A11650" s="107"/>
      <c r="D11650" s="270"/>
      <c r="H11650" s="106" t="str">
        <f t="shared" si="1"/>
        <v/>
      </c>
      <c r="J11650" t="str">
        <f>IFERROR(__xludf.DUMMYFUNCTION("IFS(
  AND(REGEXMATCH(E11650, ""台銀籌備帳戶|玉山帳戶""), REGEXMATCH(C11650, ""薪資"")), ""分潤支出"",
  AND(REGEXMATCH(E11650, ""Ben帳戶|Elsa帳戶|Ben代墊|Ariel代墊|中信銀行共用""), REGEXMATCH(F11650, ""Ben帳戶|Elsa帳戶|Ben代墊|Ariel代墊|中信銀行共用"")), ""內部轉帳(忽略)"",
  AND(E11650&lt;&gt;"""", F11650&lt;&gt;"&amp;""""", NOT(REGEXMATCH(C11650, ""薪資""))), ""內部轉帳(忽略)"",
  REGEXMATCH(C11650, ""薪資""), ""薪資變動(不計入)"",
  REGEXMATCH(C11650, ""押金""), ""押金往來"",
  AND(E11650&lt;&gt;"""", F11650=""""), ""真實支出"",
  AND(E11650="""", F11650&lt;&gt;""""), ""真實收入"",
  TRUE, ""其他""
)"),"其他")</f>
        <v>其他</v>
      </c>
      <c r="K11650" s="270" t="str">
        <f t="shared" si="2"/>
        <v/>
      </c>
      <c r="L11650">
        <f t="shared" si="3"/>
        <v>0</v>
      </c>
    </row>
    <row r="11651">
      <c r="A11651" s="107"/>
      <c r="D11651" s="270"/>
      <c r="H11651" s="106" t="str">
        <f t="shared" si="1"/>
        <v/>
      </c>
      <c r="J11651" t="str">
        <f>IFERROR(__xludf.DUMMYFUNCTION("IFS(
  AND(REGEXMATCH(E11651, ""台銀籌備帳戶|玉山帳戶""), REGEXMATCH(C11651, ""薪資"")), ""分潤支出"",
  AND(REGEXMATCH(E11651, ""Ben帳戶|Elsa帳戶|Ben代墊|Ariel代墊|中信銀行共用""), REGEXMATCH(F11651, ""Ben帳戶|Elsa帳戶|Ben代墊|Ariel代墊|中信銀行共用"")), ""內部轉帳(忽略)"",
  AND(E11651&lt;&gt;"""", F11651&lt;&gt;"&amp;""""", NOT(REGEXMATCH(C11651, ""薪資""))), ""內部轉帳(忽略)"",
  REGEXMATCH(C11651, ""薪資""), ""薪資變動(不計入)"",
  REGEXMATCH(C11651, ""押金""), ""押金往來"",
  AND(E11651&lt;&gt;"""", F11651=""""), ""真實支出"",
  AND(E11651="""", F11651&lt;&gt;""""), ""真實收入"",
  TRUE, ""其他""
)"),"其他")</f>
        <v>其他</v>
      </c>
      <c r="K11651" s="270" t="str">
        <f t="shared" si="2"/>
        <v/>
      </c>
      <c r="L11651">
        <f t="shared" si="3"/>
        <v>0</v>
      </c>
    </row>
    <row r="11652">
      <c r="A11652" s="107"/>
      <c r="D11652" s="270"/>
      <c r="H11652" s="106" t="str">
        <f t="shared" si="1"/>
        <v/>
      </c>
      <c r="J11652" t="str">
        <f>IFERROR(__xludf.DUMMYFUNCTION("IFS(
  AND(REGEXMATCH(E11652, ""台銀籌備帳戶|玉山帳戶""), REGEXMATCH(C11652, ""薪資"")), ""分潤支出"",
  AND(REGEXMATCH(E11652, ""Ben帳戶|Elsa帳戶|Ben代墊|Ariel代墊|中信銀行共用""), REGEXMATCH(F11652, ""Ben帳戶|Elsa帳戶|Ben代墊|Ariel代墊|中信銀行共用"")), ""內部轉帳(忽略)"",
  AND(E11652&lt;&gt;"""", F11652&lt;&gt;"&amp;""""", NOT(REGEXMATCH(C11652, ""薪資""))), ""內部轉帳(忽略)"",
  REGEXMATCH(C11652, ""薪資""), ""薪資變動(不計入)"",
  REGEXMATCH(C11652, ""押金""), ""押金往來"",
  AND(E11652&lt;&gt;"""", F11652=""""), ""真實支出"",
  AND(E11652="""", F11652&lt;&gt;""""), ""真實收入"",
  TRUE, ""其他""
)"),"其他")</f>
        <v>其他</v>
      </c>
      <c r="K11652" s="270" t="str">
        <f t="shared" si="2"/>
        <v/>
      </c>
      <c r="L11652">
        <f t="shared" si="3"/>
        <v>0</v>
      </c>
    </row>
    <row r="11653">
      <c r="A11653" s="107"/>
      <c r="D11653" s="270"/>
      <c r="H11653" s="106" t="str">
        <f t="shared" si="1"/>
        <v/>
      </c>
      <c r="J11653" t="str">
        <f>IFERROR(__xludf.DUMMYFUNCTION("IFS(
  AND(REGEXMATCH(E11653, ""台銀籌備帳戶|玉山帳戶""), REGEXMATCH(C11653, ""薪資"")), ""分潤支出"",
  AND(REGEXMATCH(E11653, ""Ben帳戶|Elsa帳戶|Ben代墊|Ariel代墊|中信銀行共用""), REGEXMATCH(F11653, ""Ben帳戶|Elsa帳戶|Ben代墊|Ariel代墊|中信銀行共用"")), ""內部轉帳(忽略)"",
  AND(E11653&lt;&gt;"""", F11653&lt;&gt;"&amp;""""", NOT(REGEXMATCH(C11653, ""薪資""))), ""內部轉帳(忽略)"",
  REGEXMATCH(C11653, ""薪資""), ""薪資變動(不計入)"",
  REGEXMATCH(C11653, ""押金""), ""押金往來"",
  AND(E11653&lt;&gt;"""", F11653=""""), ""真實支出"",
  AND(E11653="""", F11653&lt;&gt;""""), ""真實收入"",
  TRUE, ""其他""
)"),"其他")</f>
        <v>其他</v>
      </c>
      <c r="K11653" s="270" t="str">
        <f t="shared" si="2"/>
        <v/>
      </c>
      <c r="L11653">
        <f t="shared" si="3"/>
        <v>0</v>
      </c>
    </row>
    <row r="11654">
      <c r="A11654" s="107"/>
      <c r="D11654" s="270"/>
      <c r="H11654" s="106" t="str">
        <f t="shared" si="1"/>
        <v/>
      </c>
      <c r="J11654" t="str">
        <f>IFERROR(__xludf.DUMMYFUNCTION("IFS(
  AND(REGEXMATCH(E11654, ""台銀籌備帳戶|玉山帳戶""), REGEXMATCH(C11654, ""薪資"")), ""分潤支出"",
  AND(REGEXMATCH(E11654, ""Ben帳戶|Elsa帳戶|Ben代墊|Ariel代墊|中信銀行共用""), REGEXMATCH(F11654, ""Ben帳戶|Elsa帳戶|Ben代墊|Ariel代墊|中信銀行共用"")), ""內部轉帳(忽略)"",
  AND(E11654&lt;&gt;"""", F11654&lt;&gt;"&amp;""""", NOT(REGEXMATCH(C11654, ""薪資""))), ""內部轉帳(忽略)"",
  REGEXMATCH(C11654, ""薪資""), ""薪資變動(不計入)"",
  REGEXMATCH(C11654, ""押金""), ""押金往來"",
  AND(E11654&lt;&gt;"""", F11654=""""), ""真實支出"",
  AND(E11654="""", F11654&lt;&gt;""""), ""真實收入"",
  TRUE, ""其他""
)"),"其他")</f>
        <v>其他</v>
      </c>
      <c r="K11654" s="270" t="str">
        <f t="shared" si="2"/>
        <v/>
      </c>
      <c r="L11654">
        <f t="shared" si="3"/>
        <v>0</v>
      </c>
    </row>
    <row r="11655">
      <c r="A11655" s="107"/>
      <c r="D11655" s="270"/>
      <c r="H11655" s="106" t="str">
        <f t="shared" si="1"/>
        <v/>
      </c>
      <c r="J11655" t="str">
        <f>IFERROR(__xludf.DUMMYFUNCTION("IFS(
  AND(REGEXMATCH(E11655, ""台銀籌備帳戶|玉山帳戶""), REGEXMATCH(C11655, ""薪資"")), ""分潤支出"",
  AND(REGEXMATCH(E11655, ""Ben帳戶|Elsa帳戶|Ben代墊|Ariel代墊|中信銀行共用""), REGEXMATCH(F11655, ""Ben帳戶|Elsa帳戶|Ben代墊|Ariel代墊|中信銀行共用"")), ""內部轉帳(忽略)"",
  AND(E11655&lt;&gt;"""", F11655&lt;&gt;"&amp;""""", NOT(REGEXMATCH(C11655, ""薪資""))), ""內部轉帳(忽略)"",
  REGEXMATCH(C11655, ""薪資""), ""薪資變動(不計入)"",
  REGEXMATCH(C11655, ""押金""), ""押金往來"",
  AND(E11655&lt;&gt;"""", F11655=""""), ""真實支出"",
  AND(E11655="""", F11655&lt;&gt;""""), ""真實收入"",
  TRUE, ""其他""
)"),"其他")</f>
        <v>其他</v>
      </c>
      <c r="K11655" s="270" t="str">
        <f t="shared" si="2"/>
        <v/>
      </c>
      <c r="L11655">
        <f t="shared" si="3"/>
        <v>0</v>
      </c>
    </row>
    <row r="11656">
      <c r="A11656" s="107"/>
      <c r="D11656" s="270"/>
      <c r="H11656" s="106" t="str">
        <f t="shared" si="1"/>
        <v/>
      </c>
      <c r="J11656" t="str">
        <f>IFERROR(__xludf.DUMMYFUNCTION("IFS(
  AND(REGEXMATCH(E11656, ""台銀籌備帳戶|玉山帳戶""), REGEXMATCH(C11656, ""薪資"")), ""分潤支出"",
  AND(REGEXMATCH(E11656, ""Ben帳戶|Elsa帳戶|Ben代墊|Ariel代墊|中信銀行共用""), REGEXMATCH(F11656, ""Ben帳戶|Elsa帳戶|Ben代墊|Ariel代墊|中信銀行共用"")), ""內部轉帳(忽略)"",
  AND(E11656&lt;&gt;"""", F11656&lt;&gt;"&amp;""""", NOT(REGEXMATCH(C11656, ""薪資""))), ""內部轉帳(忽略)"",
  REGEXMATCH(C11656, ""薪資""), ""薪資變動(不計入)"",
  REGEXMATCH(C11656, ""押金""), ""押金往來"",
  AND(E11656&lt;&gt;"""", F11656=""""), ""真實支出"",
  AND(E11656="""", F11656&lt;&gt;""""), ""真實收入"",
  TRUE, ""其他""
)"),"其他")</f>
        <v>其他</v>
      </c>
      <c r="K11656" s="270" t="str">
        <f t="shared" si="2"/>
        <v/>
      </c>
      <c r="L11656">
        <f t="shared" si="3"/>
        <v>0</v>
      </c>
    </row>
    <row r="11657">
      <c r="A11657" s="107"/>
      <c r="D11657" s="270"/>
      <c r="H11657" s="106" t="str">
        <f t="shared" si="1"/>
        <v/>
      </c>
      <c r="J11657" t="str">
        <f>IFERROR(__xludf.DUMMYFUNCTION("IFS(
  AND(REGEXMATCH(E11657, ""台銀籌備帳戶|玉山帳戶""), REGEXMATCH(C11657, ""薪資"")), ""分潤支出"",
  AND(REGEXMATCH(E11657, ""Ben帳戶|Elsa帳戶|Ben代墊|Ariel代墊|中信銀行共用""), REGEXMATCH(F11657, ""Ben帳戶|Elsa帳戶|Ben代墊|Ariel代墊|中信銀行共用"")), ""內部轉帳(忽略)"",
  AND(E11657&lt;&gt;"""", F11657&lt;&gt;"&amp;""""", NOT(REGEXMATCH(C11657, ""薪資""))), ""內部轉帳(忽略)"",
  REGEXMATCH(C11657, ""薪資""), ""薪資變動(不計入)"",
  REGEXMATCH(C11657, ""押金""), ""押金往來"",
  AND(E11657&lt;&gt;"""", F11657=""""), ""真實支出"",
  AND(E11657="""", F11657&lt;&gt;""""), ""真實收入"",
  TRUE, ""其他""
)"),"其他")</f>
        <v>其他</v>
      </c>
      <c r="K11657" s="270" t="str">
        <f t="shared" si="2"/>
        <v/>
      </c>
      <c r="L11657">
        <f t="shared" si="3"/>
        <v>0</v>
      </c>
    </row>
    <row r="11658">
      <c r="A11658" s="107"/>
      <c r="D11658" s="270"/>
      <c r="H11658" s="106" t="str">
        <f t="shared" si="1"/>
        <v/>
      </c>
      <c r="J11658" t="str">
        <f>IFERROR(__xludf.DUMMYFUNCTION("IFS(
  AND(REGEXMATCH(E11658, ""台銀籌備帳戶|玉山帳戶""), REGEXMATCH(C11658, ""薪資"")), ""分潤支出"",
  AND(REGEXMATCH(E11658, ""Ben帳戶|Elsa帳戶|Ben代墊|Ariel代墊|中信銀行共用""), REGEXMATCH(F11658, ""Ben帳戶|Elsa帳戶|Ben代墊|Ariel代墊|中信銀行共用"")), ""內部轉帳(忽略)"",
  AND(E11658&lt;&gt;"""", F11658&lt;&gt;"&amp;""""", NOT(REGEXMATCH(C11658, ""薪資""))), ""內部轉帳(忽略)"",
  REGEXMATCH(C11658, ""薪資""), ""薪資變動(不計入)"",
  REGEXMATCH(C11658, ""押金""), ""押金往來"",
  AND(E11658&lt;&gt;"""", F11658=""""), ""真實支出"",
  AND(E11658="""", F11658&lt;&gt;""""), ""真實收入"",
  TRUE, ""其他""
)"),"其他")</f>
        <v>其他</v>
      </c>
      <c r="K11658" s="270" t="str">
        <f t="shared" si="2"/>
        <v/>
      </c>
      <c r="L11658">
        <f t="shared" si="3"/>
        <v>0</v>
      </c>
    </row>
    <row r="11659">
      <c r="A11659" s="107"/>
      <c r="D11659" s="270"/>
      <c r="H11659" s="106" t="str">
        <f t="shared" si="1"/>
        <v/>
      </c>
      <c r="J11659" t="str">
        <f>IFERROR(__xludf.DUMMYFUNCTION("IFS(
  AND(REGEXMATCH(E11659, ""台銀籌備帳戶|玉山帳戶""), REGEXMATCH(C11659, ""薪資"")), ""分潤支出"",
  AND(REGEXMATCH(E11659, ""Ben帳戶|Elsa帳戶|Ben代墊|Ariel代墊|中信銀行共用""), REGEXMATCH(F11659, ""Ben帳戶|Elsa帳戶|Ben代墊|Ariel代墊|中信銀行共用"")), ""內部轉帳(忽略)"",
  AND(E11659&lt;&gt;"""", F11659&lt;&gt;"&amp;""""", NOT(REGEXMATCH(C11659, ""薪資""))), ""內部轉帳(忽略)"",
  REGEXMATCH(C11659, ""薪資""), ""薪資變動(不計入)"",
  REGEXMATCH(C11659, ""押金""), ""押金往來"",
  AND(E11659&lt;&gt;"""", F11659=""""), ""真實支出"",
  AND(E11659="""", F11659&lt;&gt;""""), ""真實收入"",
  TRUE, ""其他""
)"),"其他")</f>
        <v>其他</v>
      </c>
      <c r="K11659" s="270" t="str">
        <f t="shared" si="2"/>
        <v/>
      </c>
      <c r="L11659">
        <f t="shared" si="3"/>
        <v>0</v>
      </c>
    </row>
    <row r="11660">
      <c r="A11660" s="107"/>
      <c r="D11660" s="270"/>
      <c r="H11660" s="106" t="str">
        <f t="shared" si="1"/>
        <v/>
      </c>
      <c r="J11660" t="str">
        <f>IFERROR(__xludf.DUMMYFUNCTION("IFS(
  AND(REGEXMATCH(E11660, ""台銀籌備帳戶|玉山帳戶""), REGEXMATCH(C11660, ""薪資"")), ""分潤支出"",
  AND(REGEXMATCH(E11660, ""Ben帳戶|Elsa帳戶|Ben代墊|Ariel代墊|中信銀行共用""), REGEXMATCH(F11660, ""Ben帳戶|Elsa帳戶|Ben代墊|Ariel代墊|中信銀行共用"")), ""內部轉帳(忽略)"",
  AND(E11660&lt;&gt;"""", F11660&lt;&gt;"&amp;""""", NOT(REGEXMATCH(C11660, ""薪資""))), ""內部轉帳(忽略)"",
  REGEXMATCH(C11660, ""薪資""), ""薪資變動(不計入)"",
  REGEXMATCH(C11660, ""押金""), ""押金往來"",
  AND(E11660&lt;&gt;"""", F11660=""""), ""真實支出"",
  AND(E11660="""", F11660&lt;&gt;""""), ""真實收入"",
  TRUE, ""其他""
)"),"其他")</f>
        <v>其他</v>
      </c>
      <c r="K11660" s="270" t="str">
        <f t="shared" si="2"/>
        <v/>
      </c>
      <c r="L11660">
        <f t="shared" si="3"/>
        <v>0</v>
      </c>
    </row>
    <row r="11661">
      <c r="A11661" s="107"/>
      <c r="D11661" s="270"/>
      <c r="H11661" s="106" t="str">
        <f t="shared" si="1"/>
        <v/>
      </c>
      <c r="J11661" t="str">
        <f>IFERROR(__xludf.DUMMYFUNCTION("IFS(
  AND(REGEXMATCH(E11661, ""台銀籌備帳戶|玉山帳戶""), REGEXMATCH(C11661, ""薪資"")), ""分潤支出"",
  AND(REGEXMATCH(E11661, ""Ben帳戶|Elsa帳戶|Ben代墊|Ariel代墊|中信銀行共用""), REGEXMATCH(F11661, ""Ben帳戶|Elsa帳戶|Ben代墊|Ariel代墊|中信銀行共用"")), ""內部轉帳(忽略)"",
  AND(E11661&lt;&gt;"""", F11661&lt;&gt;"&amp;""""", NOT(REGEXMATCH(C11661, ""薪資""))), ""內部轉帳(忽略)"",
  REGEXMATCH(C11661, ""薪資""), ""薪資變動(不計入)"",
  REGEXMATCH(C11661, ""押金""), ""押金往來"",
  AND(E11661&lt;&gt;"""", F11661=""""), ""真實支出"",
  AND(E11661="""", F11661&lt;&gt;""""), ""真實收入"",
  TRUE, ""其他""
)"),"其他")</f>
        <v>其他</v>
      </c>
      <c r="K11661" s="270" t="str">
        <f t="shared" si="2"/>
        <v/>
      </c>
      <c r="L11661">
        <f t="shared" si="3"/>
        <v>0</v>
      </c>
    </row>
    <row r="11662">
      <c r="A11662" s="107"/>
      <c r="D11662" s="270"/>
      <c r="H11662" s="106" t="str">
        <f t="shared" si="1"/>
        <v/>
      </c>
      <c r="J11662" t="str">
        <f>IFERROR(__xludf.DUMMYFUNCTION("IFS(
  AND(REGEXMATCH(E11662, ""台銀籌備帳戶|玉山帳戶""), REGEXMATCH(C11662, ""薪資"")), ""分潤支出"",
  AND(REGEXMATCH(E11662, ""Ben帳戶|Elsa帳戶|Ben代墊|Ariel代墊|中信銀行共用""), REGEXMATCH(F11662, ""Ben帳戶|Elsa帳戶|Ben代墊|Ariel代墊|中信銀行共用"")), ""內部轉帳(忽略)"",
  AND(E11662&lt;&gt;"""", F11662&lt;&gt;"&amp;""""", NOT(REGEXMATCH(C11662, ""薪資""))), ""內部轉帳(忽略)"",
  REGEXMATCH(C11662, ""薪資""), ""薪資變動(不計入)"",
  REGEXMATCH(C11662, ""押金""), ""押金往來"",
  AND(E11662&lt;&gt;"""", F11662=""""), ""真實支出"",
  AND(E11662="""", F11662&lt;&gt;""""), ""真實收入"",
  TRUE, ""其他""
)"),"其他")</f>
        <v>其他</v>
      </c>
      <c r="K11662" s="270" t="str">
        <f t="shared" si="2"/>
        <v/>
      </c>
      <c r="L11662">
        <f t="shared" si="3"/>
        <v>0</v>
      </c>
    </row>
    <row r="11663">
      <c r="A11663" s="107"/>
      <c r="D11663" s="270"/>
      <c r="H11663" s="106" t="str">
        <f t="shared" si="1"/>
        <v/>
      </c>
      <c r="J11663" t="str">
        <f>IFERROR(__xludf.DUMMYFUNCTION("IFS(
  AND(REGEXMATCH(E11663, ""台銀籌備帳戶|玉山帳戶""), REGEXMATCH(C11663, ""薪資"")), ""分潤支出"",
  AND(REGEXMATCH(E11663, ""Ben帳戶|Elsa帳戶|Ben代墊|Ariel代墊|中信銀行共用""), REGEXMATCH(F11663, ""Ben帳戶|Elsa帳戶|Ben代墊|Ariel代墊|中信銀行共用"")), ""內部轉帳(忽略)"",
  AND(E11663&lt;&gt;"""", F11663&lt;&gt;"&amp;""""", NOT(REGEXMATCH(C11663, ""薪資""))), ""內部轉帳(忽略)"",
  REGEXMATCH(C11663, ""薪資""), ""薪資變動(不計入)"",
  REGEXMATCH(C11663, ""押金""), ""押金往來"",
  AND(E11663&lt;&gt;"""", F11663=""""), ""真實支出"",
  AND(E11663="""", F11663&lt;&gt;""""), ""真實收入"",
  TRUE, ""其他""
)"),"其他")</f>
        <v>其他</v>
      </c>
      <c r="K11663" s="270" t="str">
        <f t="shared" si="2"/>
        <v/>
      </c>
      <c r="L11663">
        <f t="shared" si="3"/>
        <v>0</v>
      </c>
    </row>
    <row r="11664">
      <c r="A11664" s="107"/>
      <c r="D11664" s="270"/>
      <c r="H11664" s="106" t="str">
        <f t="shared" si="1"/>
        <v/>
      </c>
      <c r="J11664" t="str">
        <f>IFERROR(__xludf.DUMMYFUNCTION("IFS(
  AND(REGEXMATCH(E11664, ""台銀籌備帳戶|玉山帳戶""), REGEXMATCH(C11664, ""薪資"")), ""分潤支出"",
  AND(REGEXMATCH(E11664, ""Ben帳戶|Elsa帳戶|Ben代墊|Ariel代墊|中信銀行共用""), REGEXMATCH(F11664, ""Ben帳戶|Elsa帳戶|Ben代墊|Ariel代墊|中信銀行共用"")), ""內部轉帳(忽略)"",
  AND(E11664&lt;&gt;"""", F11664&lt;&gt;"&amp;""""", NOT(REGEXMATCH(C11664, ""薪資""))), ""內部轉帳(忽略)"",
  REGEXMATCH(C11664, ""薪資""), ""薪資變動(不計入)"",
  REGEXMATCH(C11664, ""押金""), ""押金往來"",
  AND(E11664&lt;&gt;"""", F11664=""""), ""真實支出"",
  AND(E11664="""", F11664&lt;&gt;""""), ""真實收入"",
  TRUE, ""其他""
)"),"其他")</f>
        <v>其他</v>
      </c>
      <c r="K11664" s="270" t="str">
        <f t="shared" si="2"/>
        <v/>
      </c>
      <c r="L11664">
        <f t="shared" si="3"/>
        <v>0</v>
      </c>
    </row>
    <row r="11665">
      <c r="A11665" s="107"/>
      <c r="D11665" s="270"/>
      <c r="H11665" s="106" t="str">
        <f t="shared" si="1"/>
        <v/>
      </c>
      <c r="J11665" t="str">
        <f>IFERROR(__xludf.DUMMYFUNCTION("IFS(
  AND(REGEXMATCH(E11665, ""台銀籌備帳戶|玉山帳戶""), REGEXMATCH(C11665, ""薪資"")), ""分潤支出"",
  AND(REGEXMATCH(E11665, ""Ben帳戶|Elsa帳戶|Ben代墊|Ariel代墊|中信銀行共用""), REGEXMATCH(F11665, ""Ben帳戶|Elsa帳戶|Ben代墊|Ariel代墊|中信銀行共用"")), ""內部轉帳(忽略)"",
  AND(E11665&lt;&gt;"""", F11665&lt;&gt;"&amp;""""", NOT(REGEXMATCH(C11665, ""薪資""))), ""內部轉帳(忽略)"",
  REGEXMATCH(C11665, ""薪資""), ""薪資變動(不計入)"",
  REGEXMATCH(C11665, ""押金""), ""押金往來"",
  AND(E11665&lt;&gt;"""", F11665=""""), ""真實支出"",
  AND(E11665="""", F11665&lt;&gt;""""), ""真實收入"",
  TRUE, ""其他""
)"),"其他")</f>
        <v>其他</v>
      </c>
      <c r="K11665" s="270" t="str">
        <f t="shared" si="2"/>
        <v/>
      </c>
      <c r="L11665">
        <f t="shared" si="3"/>
        <v>0</v>
      </c>
    </row>
    <row r="11666">
      <c r="A11666" s="107"/>
      <c r="D11666" s="270"/>
      <c r="H11666" s="106" t="str">
        <f t="shared" si="1"/>
        <v/>
      </c>
      <c r="J11666" t="str">
        <f>IFERROR(__xludf.DUMMYFUNCTION("IFS(
  AND(REGEXMATCH(E11666, ""台銀籌備帳戶|玉山帳戶""), REGEXMATCH(C11666, ""薪資"")), ""分潤支出"",
  AND(REGEXMATCH(E11666, ""Ben帳戶|Elsa帳戶|Ben代墊|Ariel代墊|中信銀行共用""), REGEXMATCH(F11666, ""Ben帳戶|Elsa帳戶|Ben代墊|Ariel代墊|中信銀行共用"")), ""內部轉帳(忽略)"",
  AND(E11666&lt;&gt;"""", F11666&lt;&gt;"&amp;""""", NOT(REGEXMATCH(C11666, ""薪資""))), ""內部轉帳(忽略)"",
  REGEXMATCH(C11666, ""薪資""), ""薪資變動(不計入)"",
  REGEXMATCH(C11666, ""押金""), ""押金往來"",
  AND(E11666&lt;&gt;"""", F11666=""""), ""真實支出"",
  AND(E11666="""", F11666&lt;&gt;""""), ""真實收入"",
  TRUE, ""其他""
)"),"其他")</f>
        <v>其他</v>
      </c>
      <c r="K11666" s="270" t="str">
        <f t="shared" si="2"/>
        <v/>
      </c>
      <c r="L11666">
        <f t="shared" si="3"/>
        <v>0</v>
      </c>
    </row>
    <row r="11667">
      <c r="A11667" s="107"/>
      <c r="D11667" s="270"/>
      <c r="H11667" s="106" t="str">
        <f t="shared" si="1"/>
        <v/>
      </c>
      <c r="J11667" t="str">
        <f>IFERROR(__xludf.DUMMYFUNCTION("IFS(
  AND(REGEXMATCH(E11667, ""台銀籌備帳戶|玉山帳戶""), REGEXMATCH(C11667, ""薪資"")), ""分潤支出"",
  AND(REGEXMATCH(E11667, ""Ben帳戶|Elsa帳戶|Ben代墊|Ariel代墊|中信銀行共用""), REGEXMATCH(F11667, ""Ben帳戶|Elsa帳戶|Ben代墊|Ariel代墊|中信銀行共用"")), ""內部轉帳(忽略)"",
  AND(E11667&lt;&gt;"""", F11667&lt;&gt;"&amp;""""", NOT(REGEXMATCH(C11667, ""薪資""))), ""內部轉帳(忽略)"",
  REGEXMATCH(C11667, ""薪資""), ""薪資變動(不計入)"",
  REGEXMATCH(C11667, ""押金""), ""押金往來"",
  AND(E11667&lt;&gt;"""", F11667=""""), ""真實支出"",
  AND(E11667="""", F11667&lt;&gt;""""), ""真實收入"",
  TRUE, ""其他""
)"),"其他")</f>
        <v>其他</v>
      </c>
      <c r="K11667" s="270" t="str">
        <f t="shared" si="2"/>
        <v/>
      </c>
      <c r="L11667">
        <f t="shared" si="3"/>
        <v>0</v>
      </c>
    </row>
    <row r="11668">
      <c r="A11668" s="107"/>
      <c r="D11668" s="270"/>
      <c r="H11668" s="106" t="str">
        <f t="shared" si="1"/>
        <v/>
      </c>
      <c r="J11668" t="str">
        <f>IFERROR(__xludf.DUMMYFUNCTION("IFS(
  AND(REGEXMATCH(E11668, ""台銀籌備帳戶|玉山帳戶""), REGEXMATCH(C11668, ""薪資"")), ""分潤支出"",
  AND(REGEXMATCH(E11668, ""Ben帳戶|Elsa帳戶|Ben代墊|Ariel代墊|中信銀行共用""), REGEXMATCH(F11668, ""Ben帳戶|Elsa帳戶|Ben代墊|Ariel代墊|中信銀行共用"")), ""內部轉帳(忽略)"",
  AND(E11668&lt;&gt;"""", F11668&lt;&gt;"&amp;""""", NOT(REGEXMATCH(C11668, ""薪資""))), ""內部轉帳(忽略)"",
  REGEXMATCH(C11668, ""薪資""), ""薪資變動(不計入)"",
  REGEXMATCH(C11668, ""押金""), ""押金往來"",
  AND(E11668&lt;&gt;"""", F11668=""""), ""真實支出"",
  AND(E11668="""", F11668&lt;&gt;""""), ""真實收入"",
  TRUE, ""其他""
)"),"其他")</f>
        <v>其他</v>
      </c>
      <c r="K11668" s="270" t="str">
        <f t="shared" si="2"/>
        <v/>
      </c>
      <c r="L11668">
        <f t="shared" si="3"/>
        <v>0</v>
      </c>
    </row>
    <row r="11669">
      <c r="A11669" s="107"/>
      <c r="D11669" s="270"/>
      <c r="H11669" s="106" t="str">
        <f t="shared" si="1"/>
        <v/>
      </c>
      <c r="J11669" t="str">
        <f>IFERROR(__xludf.DUMMYFUNCTION("IFS(
  AND(REGEXMATCH(E11669, ""台銀籌備帳戶|玉山帳戶""), REGEXMATCH(C11669, ""薪資"")), ""分潤支出"",
  AND(REGEXMATCH(E11669, ""Ben帳戶|Elsa帳戶|Ben代墊|Ariel代墊|中信銀行共用""), REGEXMATCH(F11669, ""Ben帳戶|Elsa帳戶|Ben代墊|Ariel代墊|中信銀行共用"")), ""內部轉帳(忽略)"",
  AND(E11669&lt;&gt;"""", F11669&lt;&gt;"&amp;""""", NOT(REGEXMATCH(C11669, ""薪資""))), ""內部轉帳(忽略)"",
  REGEXMATCH(C11669, ""薪資""), ""薪資變動(不計入)"",
  REGEXMATCH(C11669, ""押金""), ""押金往來"",
  AND(E11669&lt;&gt;"""", F11669=""""), ""真實支出"",
  AND(E11669="""", F11669&lt;&gt;""""), ""真實收入"",
  TRUE, ""其他""
)"),"其他")</f>
        <v>其他</v>
      </c>
      <c r="K11669" s="270" t="str">
        <f t="shared" si="2"/>
        <v/>
      </c>
      <c r="L11669">
        <f t="shared" si="3"/>
        <v>0</v>
      </c>
    </row>
    <row r="11670">
      <c r="A11670" s="107"/>
      <c r="D11670" s="270"/>
      <c r="H11670" s="106" t="str">
        <f t="shared" si="1"/>
        <v/>
      </c>
      <c r="J11670" t="str">
        <f>IFERROR(__xludf.DUMMYFUNCTION("IFS(
  AND(REGEXMATCH(E11670, ""台銀籌備帳戶|玉山帳戶""), REGEXMATCH(C11670, ""薪資"")), ""分潤支出"",
  AND(REGEXMATCH(E11670, ""Ben帳戶|Elsa帳戶|Ben代墊|Ariel代墊|中信銀行共用""), REGEXMATCH(F11670, ""Ben帳戶|Elsa帳戶|Ben代墊|Ariel代墊|中信銀行共用"")), ""內部轉帳(忽略)"",
  AND(E11670&lt;&gt;"""", F11670&lt;&gt;"&amp;""""", NOT(REGEXMATCH(C11670, ""薪資""))), ""內部轉帳(忽略)"",
  REGEXMATCH(C11670, ""薪資""), ""薪資變動(不計入)"",
  REGEXMATCH(C11670, ""押金""), ""押金往來"",
  AND(E11670&lt;&gt;"""", F11670=""""), ""真實支出"",
  AND(E11670="""", F11670&lt;&gt;""""), ""真實收入"",
  TRUE, ""其他""
)"),"其他")</f>
        <v>其他</v>
      </c>
      <c r="K11670" s="270" t="str">
        <f t="shared" si="2"/>
        <v/>
      </c>
      <c r="L11670">
        <f t="shared" si="3"/>
        <v>0</v>
      </c>
    </row>
    <row r="11671">
      <c r="A11671" s="107"/>
      <c r="D11671" s="270"/>
      <c r="H11671" s="106" t="str">
        <f t="shared" si="1"/>
        <v/>
      </c>
      <c r="J11671" t="str">
        <f>IFERROR(__xludf.DUMMYFUNCTION("IFS(
  AND(REGEXMATCH(E11671, ""台銀籌備帳戶|玉山帳戶""), REGEXMATCH(C11671, ""薪資"")), ""分潤支出"",
  AND(REGEXMATCH(E11671, ""Ben帳戶|Elsa帳戶|Ben代墊|Ariel代墊|中信銀行共用""), REGEXMATCH(F11671, ""Ben帳戶|Elsa帳戶|Ben代墊|Ariel代墊|中信銀行共用"")), ""內部轉帳(忽略)"",
  AND(E11671&lt;&gt;"""", F11671&lt;&gt;"&amp;""""", NOT(REGEXMATCH(C11671, ""薪資""))), ""內部轉帳(忽略)"",
  REGEXMATCH(C11671, ""薪資""), ""薪資變動(不計入)"",
  REGEXMATCH(C11671, ""押金""), ""押金往來"",
  AND(E11671&lt;&gt;"""", F11671=""""), ""真實支出"",
  AND(E11671="""", F11671&lt;&gt;""""), ""真實收入"",
  TRUE, ""其他""
)"),"其他")</f>
        <v>其他</v>
      </c>
      <c r="K11671" s="270" t="str">
        <f t="shared" si="2"/>
        <v/>
      </c>
      <c r="L11671">
        <f t="shared" si="3"/>
        <v>0</v>
      </c>
    </row>
    <row r="11672">
      <c r="A11672" s="107"/>
      <c r="D11672" s="270"/>
      <c r="H11672" s="106" t="str">
        <f t="shared" si="1"/>
        <v/>
      </c>
      <c r="J11672" t="str">
        <f>IFERROR(__xludf.DUMMYFUNCTION("IFS(
  AND(REGEXMATCH(E11672, ""台銀籌備帳戶|玉山帳戶""), REGEXMATCH(C11672, ""薪資"")), ""分潤支出"",
  AND(REGEXMATCH(E11672, ""Ben帳戶|Elsa帳戶|Ben代墊|Ariel代墊|中信銀行共用""), REGEXMATCH(F11672, ""Ben帳戶|Elsa帳戶|Ben代墊|Ariel代墊|中信銀行共用"")), ""內部轉帳(忽略)"",
  AND(E11672&lt;&gt;"""", F11672&lt;&gt;"&amp;""""", NOT(REGEXMATCH(C11672, ""薪資""))), ""內部轉帳(忽略)"",
  REGEXMATCH(C11672, ""薪資""), ""薪資變動(不計入)"",
  REGEXMATCH(C11672, ""押金""), ""押金往來"",
  AND(E11672&lt;&gt;"""", F11672=""""), ""真實支出"",
  AND(E11672="""", F11672&lt;&gt;""""), ""真實收入"",
  TRUE, ""其他""
)"),"其他")</f>
        <v>其他</v>
      </c>
      <c r="K11672" s="270" t="str">
        <f t="shared" si="2"/>
        <v/>
      </c>
      <c r="L11672">
        <f t="shared" si="3"/>
        <v>0</v>
      </c>
    </row>
    <row r="11673">
      <c r="A11673" s="107"/>
      <c r="D11673" s="270"/>
      <c r="H11673" s="106" t="str">
        <f t="shared" si="1"/>
        <v/>
      </c>
      <c r="J11673" t="str">
        <f>IFERROR(__xludf.DUMMYFUNCTION("IFS(
  AND(REGEXMATCH(E11673, ""台銀籌備帳戶|玉山帳戶""), REGEXMATCH(C11673, ""薪資"")), ""分潤支出"",
  AND(REGEXMATCH(E11673, ""Ben帳戶|Elsa帳戶|Ben代墊|Ariel代墊|中信銀行共用""), REGEXMATCH(F11673, ""Ben帳戶|Elsa帳戶|Ben代墊|Ariel代墊|中信銀行共用"")), ""內部轉帳(忽略)"",
  AND(E11673&lt;&gt;"""", F11673&lt;&gt;"&amp;""""", NOT(REGEXMATCH(C11673, ""薪資""))), ""內部轉帳(忽略)"",
  REGEXMATCH(C11673, ""薪資""), ""薪資變動(不計入)"",
  REGEXMATCH(C11673, ""押金""), ""押金往來"",
  AND(E11673&lt;&gt;"""", F11673=""""), ""真實支出"",
  AND(E11673="""", F11673&lt;&gt;""""), ""真實收入"",
  TRUE, ""其他""
)"),"其他")</f>
        <v>其他</v>
      </c>
      <c r="K11673" s="270" t="str">
        <f t="shared" si="2"/>
        <v/>
      </c>
      <c r="L11673">
        <f t="shared" si="3"/>
        <v>0</v>
      </c>
    </row>
    <row r="11674">
      <c r="A11674" s="107"/>
      <c r="D11674" s="270"/>
      <c r="H11674" s="106" t="str">
        <f t="shared" si="1"/>
        <v/>
      </c>
      <c r="J11674" t="str">
        <f>IFERROR(__xludf.DUMMYFUNCTION("IFS(
  AND(REGEXMATCH(E11674, ""台銀籌備帳戶|玉山帳戶""), REGEXMATCH(C11674, ""薪資"")), ""分潤支出"",
  AND(REGEXMATCH(E11674, ""Ben帳戶|Elsa帳戶|Ben代墊|Ariel代墊|中信銀行共用""), REGEXMATCH(F11674, ""Ben帳戶|Elsa帳戶|Ben代墊|Ariel代墊|中信銀行共用"")), ""內部轉帳(忽略)"",
  AND(E11674&lt;&gt;"""", F11674&lt;&gt;"&amp;""""", NOT(REGEXMATCH(C11674, ""薪資""))), ""內部轉帳(忽略)"",
  REGEXMATCH(C11674, ""薪資""), ""薪資變動(不計入)"",
  REGEXMATCH(C11674, ""押金""), ""押金往來"",
  AND(E11674&lt;&gt;"""", F11674=""""), ""真實支出"",
  AND(E11674="""", F11674&lt;&gt;""""), ""真實收入"",
  TRUE, ""其他""
)"),"其他")</f>
        <v>其他</v>
      </c>
      <c r="K11674" s="270" t="str">
        <f t="shared" si="2"/>
        <v/>
      </c>
      <c r="L11674">
        <f t="shared" si="3"/>
        <v>0</v>
      </c>
    </row>
    <row r="11675">
      <c r="A11675" s="107"/>
      <c r="D11675" s="270"/>
      <c r="H11675" s="106" t="str">
        <f t="shared" si="1"/>
        <v/>
      </c>
      <c r="J11675" t="str">
        <f>IFERROR(__xludf.DUMMYFUNCTION("IFS(
  AND(REGEXMATCH(E11675, ""台銀籌備帳戶|玉山帳戶""), REGEXMATCH(C11675, ""薪資"")), ""分潤支出"",
  AND(REGEXMATCH(E11675, ""Ben帳戶|Elsa帳戶|Ben代墊|Ariel代墊|中信銀行共用""), REGEXMATCH(F11675, ""Ben帳戶|Elsa帳戶|Ben代墊|Ariel代墊|中信銀行共用"")), ""內部轉帳(忽略)"",
  AND(E11675&lt;&gt;"""", F11675&lt;&gt;"&amp;""""", NOT(REGEXMATCH(C11675, ""薪資""))), ""內部轉帳(忽略)"",
  REGEXMATCH(C11675, ""薪資""), ""薪資變動(不計入)"",
  REGEXMATCH(C11675, ""押金""), ""押金往來"",
  AND(E11675&lt;&gt;"""", F11675=""""), ""真實支出"",
  AND(E11675="""", F11675&lt;&gt;""""), ""真實收入"",
  TRUE, ""其他""
)"),"其他")</f>
        <v>其他</v>
      </c>
      <c r="K11675" s="270" t="str">
        <f t="shared" si="2"/>
        <v/>
      </c>
      <c r="L11675">
        <f t="shared" si="3"/>
        <v>0</v>
      </c>
    </row>
    <row r="11676">
      <c r="A11676" s="107"/>
      <c r="D11676" s="270"/>
      <c r="H11676" s="106" t="str">
        <f t="shared" si="1"/>
        <v/>
      </c>
      <c r="J11676" t="str">
        <f>IFERROR(__xludf.DUMMYFUNCTION("IFS(
  AND(REGEXMATCH(E11676, ""台銀籌備帳戶|玉山帳戶""), REGEXMATCH(C11676, ""薪資"")), ""分潤支出"",
  AND(REGEXMATCH(E11676, ""Ben帳戶|Elsa帳戶|Ben代墊|Ariel代墊|中信銀行共用""), REGEXMATCH(F11676, ""Ben帳戶|Elsa帳戶|Ben代墊|Ariel代墊|中信銀行共用"")), ""內部轉帳(忽略)"",
  AND(E11676&lt;&gt;"""", F11676&lt;&gt;"&amp;""""", NOT(REGEXMATCH(C11676, ""薪資""))), ""內部轉帳(忽略)"",
  REGEXMATCH(C11676, ""薪資""), ""薪資變動(不計入)"",
  REGEXMATCH(C11676, ""押金""), ""押金往來"",
  AND(E11676&lt;&gt;"""", F11676=""""), ""真實支出"",
  AND(E11676="""", F11676&lt;&gt;""""), ""真實收入"",
  TRUE, ""其他""
)"),"其他")</f>
        <v>其他</v>
      </c>
      <c r="K11676" s="270" t="str">
        <f t="shared" si="2"/>
        <v/>
      </c>
      <c r="L11676">
        <f t="shared" si="3"/>
        <v>0</v>
      </c>
    </row>
    <row r="11677">
      <c r="A11677" s="107"/>
      <c r="D11677" s="270"/>
      <c r="H11677" s="106" t="str">
        <f t="shared" si="1"/>
        <v/>
      </c>
      <c r="J11677" t="str">
        <f>IFERROR(__xludf.DUMMYFUNCTION("IFS(
  AND(REGEXMATCH(E11677, ""台銀籌備帳戶|玉山帳戶""), REGEXMATCH(C11677, ""薪資"")), ""分潤支出"",
  AND(REGEXMATCH(E11677, ""Ben帳戶|Elsa帳戶|Ben代墊|Ariel代墊|中信銀行共用""), REGEXMATCH(F11677, ""Ben帳戶|Elsa帳戶|Ben代墊|Ariel代墊|中信銀行共用"")), ""內部轉帳(忽略)"",
  AND(E11677&lt;&gt;"""", F11677&lt;&gt;"&amp;""""", NOT(REGEXMATCH(C11677, ""薪資""))), ""內部轉帳(忽略)"",
  REGEXMATCH(C11677, ""薪資""), ""薪資變動(不計入)"",
  REGEXMATCH(C11677, ""押金""), ""押金往來"",
  AND(E11677&lt;&gt;"""", F11677=""""), ""真實支出"",
  AND(E11677="""", F11677&lt;&gt;""""), ""真實收入"",
  TRUE, ""其他""
)"),"其他")</f>
        <v>其他</v>
      </c>
      <c r="K11677" s="270" t="str">
        <f t="shared" si="2"/>
        <v/>
      </c>
      <c r="L11677">
        <f t="shared" si="3"/>
        <v>0</v>
      </c>
    </row>
    <row r="11678">
      <c r="A11678" s="107"/>
      <c r="D11678" s="270"/>
      <c r="H11678" s="106" t="str">
        <f t="shared" si="1"/>
        <v/>
      </c>
      <c r="J11678" t="str">
        <f>IFERROR(__xludf.DUMMYFUNCTION("IFS(
  AND(REGEXMATCH(E11678, ""台銀籌備帳戶|玉山帳戶""), REGEXMATCH(C11678, ""薪資"")), ""分潤支出"",
  AND(REGEXMATCH(E11678, ""Ben帳戶|Elsa帳戶|Ben代墊|Ariel代墊|中信銀行共用""), REGEXMATCH(F11678, ""Ben帳戶|Elsa帳戶|Ben代墊|Ariel代墊|中信銀行共用"")), ""內部轉帳(忽略)"",
  AND(E11678&lt;&gt;"""", F11678&lt;&gt;"&amp;""""", NOT(REGEXMATCH(C11678, ""薪資""))), ""內部轉帳(忽略)"",
  REGEXMATCH(C11678, ""薪資""), ""薪資變動(不計入)"",
  REGEXMATCH(C11678, ""押金""), ""押金往來"",
  AND(E11678&lt;&gt;"""", F11678=""""), ""真實支出"",
  AND(E11678="""", F11678&lt;&gt;""""), ""真實收入"",
  TRUE, ""其他""
)"),"其他")</f>
        <v>其他</v>
      </c>
      <c r="K11678" s="270" t="str">
        <f t="shared" si="2"/>
        <v/>
      </c>
      <c r="L11678">
        <f t="shared" si="3"/>
        <v>0</v>
      </c>
    </row>
    <row r="11679">
      <c r="A11679" s="107"/>
      <c r="D11679" s="270"/>
      <c r="H11679" s="106" t="str">
        <f t="shared" si="1"/>
        <v/>
      </c>
      <c r="J11679" t="str">
        <f>IFERROR(__xludf.DUMMYFUNCTION("IFS(
  AND(REGEXMATCH(E11679, ""台銀籌備帳戶|玉山帳戶""), REGEXMATCH(C11679, ""薪資"")), ""分潤支出"",
  AND(REGEXMATCH(E11679, ""Ben帳戶|Elsa帳戶|Ben代墊|Ariel代墊|中信銀行共用""), REGEXMATCH(F11679, ""Ben帳戶|Elsa帳戶|Ben代墊|Ariel代墊|中信銀行共用"")), ""內部轉帳(忽略)"",
  AND(E11679&lt;&gt;"""", F11679&lt;&gt;"&amp;""""", NOT(REGEXMATCH(C11679, ""薪資""))), ""內部轉帳(忽略)"",
  REGEXMATCH(C11679, ""薪資""), ""薪資變動(不計入)"",
  REGEXMATCH(C11679, ""押金""), ""押金往來"",
  AND(E11679&lt;&gt;"""", F11679=""""), ""真實支出"",
  AND(E11679="""", F11679&lt;&gt;""""), ""真實收入"",
  TRUE, ""其他""
)"),"其他")</f>
        <v>其他</v>
      </c>
      <c r="K11679" s="270" t="str">
        <f t="shared" si="2"/>
        <v/>
      </c>
      <c r="L11679">
        <f t="shared" si="3"/>
        <v>0</v>
      </c>
    </row>
    <row r="11680">
      <c r="A11680" s="107"/>
      <c r="D11680" s="270"/>
      <c r="H11680" s="106" t="str">
        <f t="shared" si="1"/>
        <v/>
      </c>
      <c r="J11680" t="str">
        <f>IFERROR(__xludf.DUMMYFUNCTION("IFS(
  AND(REGEXMATCH(E11680, ""台銀籌備帳戶|玉山帳戶""), REGEXMATCH(C11680, ""薪資"")), ""分潤支出"",
  AND(REGEXMATCH(E11680, ""Ben帳戶|Elsa帳戶|Ben代墊|Ariel代墊|中信銀行共用""), REGEXMATCH(F11680, ""Ben帳戶|Elsa帳戶|Ben代墊|Ariel代墊|中信銀行共用"")), ""內部轉帳(忽略)"",
  AND(E11680&lt;&gt;"""", F11680&lt;&gt;"&amp;""""", NOT(REGEXMATCH(C11680, ""薪資""))), ""內部轉帳(忽略)"",
  REGEXMATCH(C11680, ""薪資""), ""薪資變動(不計入)"",
  REGEXMATCH(C11680, ""押金""), ""押金往來"",
  AND(E11680&lt;&gt;"""", F11680=""""), ""真實支出"",
  AND(E11680="""", F11680&lt;&gt;""""), ""真實收入"",
  TRUE, ""其他""
)"),"其他")</f>
        <v>其他</v>
      </c>
      <c r="K11680" s="270" t="str">
        <f t="shared" si="2"/>
        <v/>
      </c>
      <c r="L11680">
        <f t="shared" si="3"/>
        <v>0</v>
      </c>
    </row>
    <row r="11681">
      <c r="A11681" s="107"/>
      <c r="D11681" s="270"/>
      <c r="H11681" s="106" t="str">
        <f t="shared" si="1"/>
        <v/>
      </c>
      <c r="J11681" t="str">
        <f>IFERROR(__xludf.DUMMYFUNCTION("IFS(
  AND(REGEXMATCH(E11681, ""台銀籌備帳戶|玉山帳戶""), REGEXMATCH(C11681, ""薪資"")), ""分潤支出"",
  AND(REGEXMATCH(E11681, ""Ben帳戶|Elsa帳戶|Ben代墊|Ariel代墊|中信銀行共用""), REGEXMATCH(F11681, ""Ben帳戶|Elsa帳戶|Ben代墊|Ariel代墊|中信銀行共用"")), ""內部轉帳(忽略)"",
  AND(E11681&lt;&gt;"""", F11681&lt;&gt;"&amp;""""", NOT(REGEXMATCH(C11681, ""薪資""))), ""內部轉帳(忽略)"",
  REGEXMATCH(C11681, ""薪資""), ""薪資變動(不計入)"",
  REGEXMATCH(C11681, ""押金""), ""押金往來"",
  AND(E11681&lt;&gt;"""", F11681=""""), ""真實支出"",
  AND(E11681="""", F11681&lt;&gt;""""), ""真實收入"",
  TRUE, ""其他""
)"),"其他")</f>
        <v>其他</v>
      </c>
      <c r="K11681" s="270" t="str">
        <f t="shared" si="2"/>
        <v/>
      </c>
      <c r="L11681">
        <f t="shared" si="3"/>
        <v>0</v>
      </c>
    </row>
    <row r="11682">
      <c r="A11682" s="107"/>
      <c r="D11682" s="270"/>
      <c r="H11682" s="106" t="str">
        <f t="shared" si="1"/>
        <v/>
      </c>
      <c r="J11682" t="str">
        <f>IFERROR(__xludf.DUMMYFUNCTION("IFS(
  AND(REGEXMATCH(E11682, ""台銀籌備帳戶|玉山帳戶""), REGEXMATCH(C11682, ""薪資"")), ""分潤支出"",
  AND(REGEXMATCH(E11682, ""Ben帳戶|Elsa帳戶|Ben代墊|Ariel代墊|中信銀行共用""), REGEXMATCH(F11682, ""Ben帳戶|Elsa帳戶|Ben代墊|Ariel代墊|中信銀行共用"")), ""內部轉帳(忽略)"",
  AND(E11682&lt;&gt;"""", F11682&lt;&gt;"&amp;""""", NOT(REGEXMATCH(C11682, ""薪資""))), ""內部轉帳(忽略)"",
  REGEXMATCH(C11682, ""薪資""), ""薪資變動(不計入)"",
  REGEXMATCH(C11682, ""押金""), ""押金往來"",
  AND(E11682&lt;&gt;"""", F11682=""""), ""真實支出"",
  AND(E11682="""", F11682&lt;&gt;""""), ""真實收入"",
  TRUE, ""其他""
)"),"其他")</f>
        <v>其他</v>
      </c>
      <c r="K11682" s="270" t="str">
        <f t="shared" si="2"/>
        <v/>
      </c>
      <c r="L11682">
        <f t="shared" si="3"/>
        <v>0</v>
      </c>
    </row>
    <row r="11683">
      <c r="A11683" s="107"/>
      <c r="D11683" s="270"/>
      <c r="H11683" s="106" t="str">
        <f t="shared" si="1"/>
        <v/>
      </c>
      <c r="J11683" t="str">
        <f>IFERROR(__xludf.DUMMYFUNCTION("IFS(
  AND(REGEXMATCH(E11683, ""台銀籌備帳戶|玉山帳戶""), REGEXMATCH(C11683, ""薪資"")), ""分潤支出"",
  AND(REGEXMATCH(E11683, ""Ben帳戶|Elsa帳戶|Ben代墊|Ariel代墊|中信銀行共用""), REGEXMATCH(F11683, ""Ben帳戶|Elsa帳戶|Ben代墊|Ariel代墊|中信銀行共用"")), ""內部轉帳(忽略)"",
  AND(E11683&lt;&gt;"""", F11683&lt;&gt;"&amp;""""", NOT(REGEXMATCH(C11683, ""薪資""))), ""內部轉帳(忽略)"",
  REGEXMATCH(C11683, ""薪資""), ""薪資變動(不計入)"",
  REGEXMATCH(C11683, ""押金""), ""押金往來"",
  AND(E11683&lt;&gt;"""", F11683=""""), ""真實支出"",
  AND(E11683="""", F11683&lt;&gt;""""), ""真實收入"",
  TRUE, ""其他""
)"),"其他")</f>
        <v>其他</v>
      </c>
      <c r="K11683" s="270" t="str">
        <f t="shared" si="2"/>
        <v/>
      </c>
      <c r="L11683">
        <f t="shared" si="3"/>
        <v>0</v>
      </c>
    </row>
    <row r="11684">
      <c r="A11684" s="107"/>
      <c r="D11684" s="270"/>
      <c r="H11684" s="106" t="str">
        <f t="shared" si="1"/>
        <v/>
      </c>
      <c r="J11684" t="str">
        <f>IFERROR(__xludf.DUMMYFUNCTION("IFS(
  AND(REGEXMATCH(E11684, ""台銀籌備帳戶|玉山帳戶""), REGEXMATCH(C11684, ""薪資"")), ""分潤支出"",
  AND(REGEXMATCH(E11684, ""Ben帳戶|Elsa帳戶|Ben代墊|Ariel代墊|中信銀行共用""), REGEXMATCH(F11684, ""Ben帳戶|Elsa帳戶|Ben代墊|Ariel代墊|中信銀行共用"")), ""內部轉帳(忽略)"",
  AND(E11684&lt;&gt;"""", F11684&lt;&gt;"&amp;""""", NOT(REGEXMATCH(C11684, ""薪資""))), ""內部轉帳(忽略)"",
  REGEXMATCH(C11684, ""薪資""), ""薪資變動(不計入)"",
  REGEXMATCH(C11684, ""押金""), ""押金往來"",
  AND(E11684&lt;&gt;"""", F11684=""""), ""真實支出"",
  AND(E11684="""", F11684&lt;&gt;""""), ""真實收入"",
  TRUE, ""其他""
)"),"其他")</f>
        <v>其他</v>
      </c>
      <c r="K11684" s="270" t="str">
        <f t="shared" si="2"/>
        <v/>
      </c>
      <c r="L11684">
        <f t="shared" si="3"/>
        <v>0</v>
      </c>
    </row>
    <row r="11685">
      <c r="A11685" s="107"/>
      <c r="D11685" s="270"/>
      <c r="H11685" s="106" t="str">
        <f t="shared" si="1"/>
        <v/>
      </c>
      <c r="J11685" t="str">
        <f>IFERROR(__xludf.DUMMYFUNCTION("IFS(
  AND(REGEXMATCH(E11685, ""台銀籌備帳戶|玉山帳戶""), REGEXMATCH(C11685, ""薪資"")), ""分潤支出"",
  AND(REGEXMATCH(E11685, ""Ben帳戶|Elsa帳戶|Ben代墊|Ariel代墊|中信銀行共用""), REGEXMATCH(F11685, ""Ben帳戶|Elsa帳戶|Ben代墊|Ariel代墊|中信銀行共用"")), ""內部轉帳(忽略)"",
  AND(E11685&lt;&gt;"""", F11685&lt;&gt;"&amp;""""", NOT(REGEXMATCH(C11685, ""薪資""))), ""內部轉帳(忽略)"",
  REGEXMATCH(C11685, ""薪資""), ""薪資變動(不計入)"",
  REGEXMATCH(C11685, ""押金""), ""押金往來"",
  AND(E11685&lt;&gt;"""", F11685=""""), ""真實支出"",
  AND(E11685="""", F11685&lt;&gt;""""), ""真實收入"",
  TRUE, ""其他""
)"),"其他")</f>
        <v>其他</v>
      </c>
      <c r="K11685" s="270" t="str">
        <f t="shared" si="2"/>
        <v/>
      </c>
      <c r="L11685">
        <f t="shared" si="3"/>
        <v>0</v>
      </c>
    </row>
    <row r="11686">
      <c r="A11686" s="107"/>
      <c r="D11686" s="270"/>
      <c r="H11686" s="106" t="str">
        <f t="shared" si="1"/>
        <v/>
      </c>
      <c r="J11686" t="str">
        <f>IFERROR(__xludf.DUMMYFUNCTION("IFS(
  AND(REGEXMATCH(E11686, ""台銀籌備帳戶|玉山帳戶""), REGEXMATCH(C11686, ""薪資"")), ""分潤支出"",
  AND(REGEXMATCH(E11686, ""Ben帳戶|Elsa帳戶|Ben代墊|Ariel代墊|中信銀行共用""), REGEXMATCH(F11686, ""Ben帳戶|Elsa帳戶|Ben代墊|Ariel代墊|中信銀行共用"")), ""內部轉帳(忽略)"",
  AND(E11686&lt;&gt;"""", F11686&lt;&gt;"&amp;""""", NOT(REGEXMATCH(C11686, ""薪資""))), ""內部轉帳(忽略)"",
  REGEXMATCH(C11686, ""薪資""), ""薪資變動(不計入)"",
  REGEXMATCH(C11686, ""押金""), ""押金往來"",
  AND(E11686&lt;&gt;"""", F11686=""""), ""真實支出"",
  AND(E11686="""", F11686&lt;&gt;""""), ""真實收入"",
  TRUE, ""其他""
)"),"其他")</f>
        <v>其他</v>
      </c>
      <c r="K11686" s="270" t="str">
        <f t="shared" si="2"/>
        <v/>
      </c>
      <c r="L11686">
        <f t="shared" si="3"/>
        <v>0</v>
      </c>
    </row>
    <row r="11687">
      <c r="A11687" s="107"/>
      <c r="D11687" s="270"/>
      <c r="H11687" s="106" t="str">
        <f t="shared" si="1"/>
        <v/>
      </c>
      <c r="J11687" t="str">
        <f>IFERROR(__xludf.DUMMYFUNCTION("IFS(
  AND(REGEXMATCH(E11687, ""台銀籌備帳戶|玉山帳戶""), REGEXMATCH(C11687, ""薪資"")), ""分潤支出"",
  AND(REGEXMATCH(E11687, ""Ben帳戶|Elsa帳戶|Ben代墊|Ariel代墊|中信銀行共用""), REGEXMATCH(F11687, ""Ben帳戶|Elsa帳戶|Ben代墊|Ariel代墊|中信銀行共用"")), ""內部轉帳(忽略)"",
  AND(E11687&lt;&gt;"""", F11687&lt;&gt;"&amp;""""", NOT(REGEXMATCH(C11687, ""薪資""))), ""內部轉帳(忽略)"",
  REGEXMATCH(C11687, ""薪資""), ""薪資變動(不計入)"",
  REGEXMATCH(C11687, ""押金""), ""押金往來"",
  AND(E11687&lt;&gt;"""", F11687=""""), ""真實支出"",
  AND(E11687="""", F11687&lt;&gt;""""), ""真實收入"",
  TRUE, ""其他""
)"),"其他")</f>
        <v>其他</v>
      </c>
      <c r="K11687" s="270" t="str">
        <f t="shared" si="2"/>
        <v/>
      </c>
      <c r="L11687">
        <f t="shared" si="3"/>
        <v>0</v>
      </c>
    </row>
    <row r="11688">
      <c r="A11688" s="107"/>
      <c r="D11688" s="270"/>
      <c r="H11688" s="106" t="str">
        <f t="shared" si="1"/>
        <v/>
      </c>
      <c r="J11688" t="str">
        <f>IFERROR(__xludf.DUMMYFUNCTION("IFS(
  AND(REGEXMATCH(E11688, ""台銀籌備帳戶|玉山帳戶""), REGEXMATCH(C11688, ""薪資"")), ""分潤支出"",
  AND(REGEXMATCH(E11688, ""Ben帳戶|Elsa帳戶|Ben代墊|Ariel代墊|中信銀行共用""), REGEXMATCH(F11688, ""Ben帳戶|Elsa帳戶|Ben代墊|Ariel代墊|中信銀行共用"")), ""內部轉帳(忽略)"",
  AND(E11688&lt;&gt;"""", F11688&lt;&gt;"&amp;""""", NOT(REGEXMATCH(C11688, ""薪資""))), ""內部轉帳(忽略)"",
  REGEXMATCH(C11688, ""薪資""), ""薪資變動(不計入)"",
  REGEXMATCH(C11688, ""押金""), ""押金往來"",
  AND(E11688&lt;&gt;"""", F11688=""""), ""真實支出"",
  AND(E11688="""", F11688&lt;&gt;""""), ""真實收入"",
  TRUE, ""其他""
)"),"其他")</f>
        <v>其他</v>
      </c>
      <c r="K11688" s="270" t="str">
        <f t="shared" si="2"/>
        <v/>
      </c>
      <c r="L11688">
        <f t="shared" si="3"/>
        <v>0</v>
      </c>
    </row>
    <row r="11689">
      <c r="A11689" s="107"/>
      <c r="D11689" s="270"/>
      <c r="H11689" s="106" t="str">
        <f t="shared" si="1"/>
        <v/>
      </c>
      <c r="J11689" t="str">
        <f>IFERROR(__xludf.DUMMYFUNCTION("IFS(
  AND(REGEXMATCH(E11689, ""台銀籌備帳戶|玉山帳戶""), REGEXMATCH(C11689, ""薪資"")), ""分潤支出"",
  AND(REGEXMATCH(E11689, ""Ben帳戶|Elsa帳戶|Ben代墊|Ariel代墊|中信銀行共用""), REGEXMATCH(F11689, ""Ben帳戶|Elsa帳戶|Ben代墊|Ariel代墊|中信銀行共用"")), ""內部轉帳(忽略)"",
  AND(E11689&lt;&gt;"""", F11689&lt;&gt;"&amp;""""", NOT(REGEXMATCH(C11689, ""薪資""))), ""內部轉帳(忽略)"",
  REGEXMATCH(C11689, ""薪資""), ""薪資變動(不計入)"",
  REGEXMATCH(C11689, ""押金""), ""押金往來"",
  AND(E11689&lt;&gt;"""", F11689=""""), ""真實支出"",
  AND(E11689="""", F11689&lt;&gt;""""), ""真實收入"",
  TRUE, ""其他""
)"),"其他")</f>
        <v>其他</v>
      </c>
      <c r="K11689" s="270" t="str">
        <f t="shared" si="2"/>
        <v/>
      </c>
      <c r="L11689">
        <f t="shared" si="3"/>
        <v>0</v>
      </c>
    </row>
    <row r="11690">
      <c r="A11690" s="107"/>
      <c r="D11690" s="270"/>
      <c r="H11690" s="106" t="str">
        <f t="shared" si="1"/>
        <v/>
      </c>
      <c r="J11690" t="str">
        <f>IFERROR(__xludf.DUMMYFUNCTION("IFS(
  AND(REGEXMATCH(E11690, ""台銀籌備帳戶|玉山帳戶""), REGEXMATCH(C11690, ""薪資"")), ""分潤支出"",
  AND(REGEXMATCH(E11690, ""Ben帳戶|Elsa帳戶|Ben代墊|Ariel代墊|中信銀行共用""), REGEXMATCH(F11690, ""Ben帳戶|Elsa帳戶|Ben代墊|Ariel代墊|中信銀行共用"")), ""內部轉帳(忽略)"",
  AND(E11690&lt;&gt;"""", F11690&lt;&gt;"&amp;""""", NOT(REGEXMATCH(C11690, ""薪資""))), ""內部轉帳(忽略)"",
  REGEXMATCH(C11690, ""薪資""), ""薪資變動(不計入)"",
  REGEXMATCH(C11690, ""押金""), ""押金往來"",
  AND(E11690&lt;&gt;"""", F11690=""""), ""真實支出"",
  AND(E11690="""", F11690&lt;&gt;""""), ""真實收入"",
  TRUE, ""其他""
)"),"其他")</f>
        <v>其他</v>
      </c>
      <c r="K11690" s="270" t="str">
        <f t="shared" si="2"/>
        <v/>
      </c>
      <c r="L11690">
        <f t="shared" si="3"/>
        <v>0</v>
      </c>
    </row>
    <row r="11691">
      <c r="A11691" s="107"/>
      <c r="D11691" s="270"/>
      <c r="H11691" s="106" t="str">
        <f t="shared" si="1"/>
        <v/>
      </c>
      <c r="J11691" t="str">
        <f>IFERROR(__xludf.DUMMYFUNCTION("IFS(
  AND(REGEXMATCH(E11691, ""台銀籌備帳戶|玉山帳戶""), REGEXMATCH(C11691, ""薪資"")), ""分潤支出"",
  AND(REGEXMATCH(E11691, ""Ben帳戶|Elsa帳戶|Ben代墊|Ariel代墊|中信銀行共用""), REGEXMATCH(F11691, ""Ben帳戶|Elsa帳戶|Ben代墊|Ariel代墊|中信銀行共用"")), ""內部轉帳(忽略)"",
  AND(E11691&lt;&gt;"""", F11691&lt;&gt;"&amp;""""", NOT(REGEXMATCH(C11691, ""薪資""))), ""內部轉帳(忽略)"",
  REGEXMATCH(C11691, ""薪資""), ""薪資變動(不計入)"",
  REGEXMATCH(C11691, ""押金""), ""押金往來"",
  AND(E11691&lt;&gt;"""", F11691=""""), ""真實支出"",
  AND(E11691="""", F11691&lt;&gt;""""), ""真實收入"",
  TRUE, ""其他""
)"),"其他")</f>
        <v>其他</v>
      </c>
      <c r="K11691" s="270" t="str">
        <f t="shared" si="2"/>
        <v/>
      </c>
      <c r="L11691">
        <f t="shared" si="3"/>
        <v>0</v>
      </c>
    </row>
    <row r="11692">
      <c r="A11692" s="107"/>
      <c r="D11692" s="270"/>
      <c r="H11692" s="106" t="str">
        <f t="shared" si="1"/>
        <v/>
      </c>
      <c r="J11692" t="str">
        <f>IFERROR(__xludf.DUMMYFUNCTION("IFS(
  AND(REGEXMATCH(E11692, ""台銀籌備帳戶|玉山帳戶""), REGEXMATCH(C11692, ""薪資"")), ""分潤支出"",
  AND(REGEXMATCH(E11692, ""Ben帳戶|Elsa帳戶|Ben代墊|Ariel代墊|中信銀行共用""), REGEXMATCH(F11692, ""Ben帳戶|Elsa帳戶|Ben代墊|Ariel代墊|中信銀行共用"")), ""內部轉帳(忽略)"",
  AND(E11692&lt;&gt;"""", F11692&lt;&gt;"&amp;""""", NOT(REGEXMATCH(C11692, ""薪資""))), ""內部轉帳(忽略)"",
  REGEXMATCH(C11692, ""薪資""), ""薪資變動(不計入)"",
  REGEXMATCH(C11692, ""押金""), ""押金往來"",
  AND(E11692&lt;&gt;"""", F11692=""""), ""真實支出"",
  AND(E11692="""", F11692&lt;&gt;""""), ""真實收入"",
  TRUE, ""其他""
)"),"其他")</f>
        <v>其他</v>
      </c>
      <c r="K11692" s="270" t="str">
        <f t="shared" si="2"/>
        <v/>
      </c>
      <c r="L11692">
        <f t="shared" si="3"/>
        <v>0</v>
      </c>
    </row>
    <row r="11693">
      <c r="A11693" s="107"/>
      <c r="D11693" s="270"/>
      <c r="H11693" s="106" t="str">
        <f t="shared" si="1"/>
        <v/>
      </c>
      <c r="J11693" t="str">
        <f>IFERROR(__xludf.DUMMYFUNCTION("IFS(
  AND(REGEXMATCH(E11693, ""台銀籌備帳戶|玉山帳戶""), REGEXMATCH(C11693, ""薪資"")), ""分潤支出"",
  AND(REGEXMATCH(E11693, ""Ben帳戶|Elsa帳戶|Ben代墊|Ariel代墊|中信銀行共用""), REGEXMATCH(F11693, ""Ben帳戶|Elsa帳戶|Ben代墊|Ariel代墊|中信銀行共用"")), ""內部轉帳(忽略)"",
  AND(E11693&lt;&gt;"""", F11693&lt;&gt;"&amp;""""", NOT(REGEXMATCH(C11693, ""薪資""))), ""內部轉帳(忽略)"",
  REGEXMATCH(C11693, ""薪資""), ""薪資變動(不計入)"",
  REGEXMATCH(C11693, ""押金""), ""押金往來"",
  AND(E11693&lt;&gt;"""", F11693=""""), ""真實支出"",
  AND(E11693="""", F11693&lt;&gt;""""), ""真實收入"",
  TRUE, ""其他""
)"),"其他")</f>
        <v>其他</v>
      </c>
      <c r="K11693" s="270" t="str">
        <f t="shared" si="2"/>
        <v/>
      </c>
      <c r="L11693">
        <f t="shared" si="3"/>
        <v>0</v>
      </c>
    </row>
    <row r="11694">
      <c r="A11694" s="107"/>
      <c r="D11694" s="270"/>
      <c r="H11694" s="106" t="str">
        <f t="shared" si="1"/>
        <v/>
      </c>
      <c r="J11694" t="str">
        <f>IFERROR(__xludf.DUMMYFUNCTION("IFS(
  AND(REGEXMATCH(E11694, ""台銀籌備帳戶|玉山帳戶""), REGEXMATCH(C11694, ""薪資"")), ""分潤支出"",
  AND(REGEXMATCH(E11694, ""Ben帳戶|Elsa帳戶|Ben代墊|Ariel代墊|中信銀行共用""), REGEXMATCH(F11694, ""Ben帳戶|Elsa帳戶|Ben代墊|Ariel代墊|中信銀行共用"")), ""內部轉帳(忽略)"",
  AND(E11694&lt;&gt;"""", F11694&lt;&gt;"&amp;""""", NOT(REGEXMATCH(C11694, ""薪資""))), ""內部轉帳(忽略)"",
  REGEXMATCH(C11694, ""薪資""), ""薪資變動(不計入)"",
  REGEXMATCH(C11694, ""押金""), ""押金往來"",
  AND(E11694&lt;&gt;"""", F11694=""""), ""真實支出"",
  AND(E11694="""", F11694&lt;&gt;""""), ""真實收入"",
  TRUE, ""其他""
)"),"其他")</f>
        <v>其他</v>
      </c>
      <c r="K11694" s="270" t="str">
        <f t="shared" si="2"/>
        <v/>
      </c>
      <c r="L11694">
        <f t="shared" si="3"/>
        <v>0</v>
      </c>
    </row>
    <row r="11695">
      <c r="A11695" s="107"/>
      <c r="D11695" s="270"/>
      <c r="H11695" s="106" t="str">
        <f t="shared" si="1"/>
        <v/>
      </c>
      <c r="J11695" t="str">
        <f>IFERROR(__xludf.DUMMYFUNCTION("IFS(
  AND(REGEXMATCH(E11695, ""台銀籌備帳戶|玉山帳戶""), REGEXMATCH(C11695, ""薪資"")), ""分潤支出"",
  AND(REGEXMATCH(E11695, ""Ben帳戶|Elsa帳戶|Ben代墊|Ariel代墊|中信銀行共用""), REGEXMATCH(F11695, ""Ben帳戶|Elsa帳戶|Ben代墊|Ariel代墊|中信銀行共用"")), ""內部轉帳(忽略)"",
  AND(E11695&lt;&gt;"""", F11695&lt;&gt;"&amp;""""", NOT(REGEXMATCH(C11695, ""薪資""))), ""內部轉帳(忽略)"",
  REGEXMATCH(C11695, ""薪資""), ""薪資變動(不計入)"",
  REGEXMATCH(C11695, ""押金""), ""押金往來"",
  AND(E11695&lt;&gt;"""", F11695=""""), ""真實支出"",
  AND(E11695="""", F11695&lt;&gt;""""), ""真實收入"",
  TRUE, ""其他""
)"),"其他")</f>
        <v>其他</v>
      </c>
      <c r="K11695" s="270" t="str">
        <f t="shared" si="2"/>
        <v/>
      </c>
      <c r="L11695">
        <f t="shared" si="3"/>
        <v>0</v>
      </c>
    </row>
    <row r="11696">
      <c r="A11696" s="107"/>
      <c r="D11696" s="270"/>
      <c r="H11696" s="106" t="str">
        <f t="shared" si="1"/>
        <v/>
      </c>
      <c r="J11696" t="str">
        <f>IFERROR(__xludf.DUMMYFUNCTION("IFS(
  AND(REGEXMATCH(E11696, ""台銀籌備帳戶|玉山帳戶""), REGEXMATCH(C11696, ""薪資"")), ""分潤支出"",
  AND(REGEXMATCH(E11696, ""Ben帳戶|Elsa帳戶|Ben代墊|Ariel代墊|中信銀行共用""), REGEXMATCH(F11696, ""Ben帳戶|Elsa帳戶|Ben代墊|Ariel代墊|中信銀行共用"")), ""內部轉帳(忽略)"",
  AND(E11696&lt;&gt;"""", F11696&lt;&gt;"&amp;""""", NOT(REGEXMATCH(C11696, ""薪資""))), ""內部轉帳(忽略)"",
  REGEXMATCH(C11696, ""薪資""), ""薪資變動(不計入)"",
  REGEXMATCH(C11696, ""押金""), ""押金往來"",
  AND(E11696&lt;&gt;"""", F11696=""""), ""真實支出"",
  AND(E11696="""", F11696&lt;&gt;""""), ""真實收入"",
  TRUE, ""其他""
)"),"其他")</f>
        <v>其他</v>
      </c>
      <c r="K11696" s="270" t="str">
        <f t="shared" si="2"/>
        <v/>
      </c>
      <c r="L11696">
        <f t="shared" si="3"/>
        <v>0</v>
      </c>
    </row>
    <row r="11697">
      <c r="A11697" s="107"/>
      <c r="D11697" s="270"/>
      <c r="H11697" s="106" t="str">
        <f t="shared" si="1"/>
        <v/>
      </c>
      <c r="J11697" t="str">
        <f>IFERROR(__xludf.DUMMYFUNCTION("IFS(
  AND(REGEXMATCH(E11697, ""台銀籌備帳戶|玉山帳戶""), REGEXMATCH(C11697, ""薪資"")), ""分潤支出"",
  AND(REGEXMATCH(E11697, ""Ben帳戶|Elsa帳戶|Ben代墊|Ariel代墊|中信銀行共用""), REGEXMATCH(F11697, ""Ben帳戶|Elsa帳戶|Ben代墊|Ariel代墊|中信銀行共用"")), ""內部轉帳(忽略)"",
  AND(E11697&lt;&gt;"""", F11697&lt;&gt;"&amp;""""", NOT(REGEXMATCH(C11697, ""薪資""))), ""內部轉帳(忽略)"",
  REGEXMATCH(C11697, ""薪資""), ""薪資變動(不計入)"",
  REGEXMATCH(C11697, ""押金""), ""押金往來"",
  AND(E11697&lt;&gt;"""", F11697=""""), ""真實支出"",
  AND(E11697="""", F11697&lt;&gt;""""), ""真實收入"",
  TRUE, ""其他""
)"),"其他")</f>
        <v>其他</v>
      </c>
      <c r="K11697" s="270" t="str">
        <f t="shared" si="2"/>
        <v/>
      </c>
      <c r="L11697">
        <f t="shared" si="3"/>
        <v>0</v>
      </c>
    </row>
    <row r="11698">
      <c r="A11698" s="107"/>
      <c r="D11698" s="270"/>
      <c r="H11698" s="106" t="str">
        <f t="shared" si="1"/>
        <v/>
      </c>
      <c r="J11698" t="str">
        <f>IFERROR(__xludf.DUMMYFUNCTION("IFS(
  AND(REGEXMATCH(E11698, ""台銀籌備帳戶|玉山帳戶""), REGEXMATCH(C11698, ""薪資"")), ""分潤支出"",
  AND(REGEXMATCH(E11698, ""Ben帳戶|Elsa帳戶|Ben代墊|Ariel代墊|中信銀行共用""), REGEXMATCH(F11698, ""Ben帳戶|Elsa帳戶|Ben代墊|Ariel代墊|中信銀行共用"")), ""內部轉帳(忽略)"",
  AND(E11698&lt;&gt;"""", F11698&lt;&gt;"&amp;""""", NOT(REGEXMATCH(C11698, ""薪資""))), ""內部轉帳(忽略)"",
  REGEXMATCH(C11698, ""薪資""), ""薪資變動(不計入)"",
  REGEXMATCH(C11698, ""押金""), ""押金往來"",
  AND(E11698&lt;&gt;"""", F11698=""""), ""真實支出"",
  AND(E11698="""", F11698&lt;&gt;""""), ""真實收入"",
  TRUE, ""其他""
)"),"其他")</f>
        <v>其他</v>
      </c>
      <c r="K11698" s="270" t="str">
        <f t="shared" si="2"/>
        <v/>
      </c>
      <c r="L11698">
        <f t="shared" si="3"/>
        <v>0</v>
      </c>
    </row>
    <row r="11699">
      <c r="A11699" s="107"/>
      <c r="D11699" s="270"/>
      <c r="H11699" s="106" t="str">
        <f t="shared" si="1"/>
        <v/>
      </c>
      <c r="J11699" t="str">
        <f>IFERROR(__xludf.DUMMYFUNCTION("IFS(
  AND(REGEXMATCH(E11699, ""台銀籌備帳戶|玉山帳戶""), REGEXMATCH(C11699, ""薪資"")), ""分潤支出"",
  AND(REGEXMATCH(E11699, ""Ben帳戶|Elsa帳戶|Ben代墊|Ariel代墊|中信銀行共用""), REGEXMATCH(F11699, ""Ben帳戶|Elsa帳戶|Ben代墊|Ariel代墊|中信銀行共用"")), ""內部轉帳(忽略)"",
  AND(E11699&lt;&gt;"""", F11699&lt;&gt;"&amp;""""", NOT(REGEXMATCH(C11699, ""薪資""))), ""內部轉帳(忽略)"",
  REGEXMATCH(C11699, ""薪資""), ""薪資變動(不計入)"",
  REGEXMATCH(C11699, ""押金""), ""押金往來"",
  AND(E11699&lt;&gt;"""", F11699=""""), ""真實支出"",
  AND(E11699="""", F11699&lt;&gt;""""), ""真實收入"",
  TRUE, ""其他""
)"),"其他")</f>
        <v>其他</v>
      </c>
      <c r="K11699" s="270" t="str">
        <f t="shared" si="2"/>
        <v/>
      </c>
      <c r="L11699">
        <f t="shared" si="3"/>
        <v>0</v>
      </c>
    </row>
    <row r="11700">
      <c r="A11700" s="107"/>
      <c r="D11700" s="270"/>
      <c r="H11700" s="106" t="str">
        <f t="shared" si="1"/>
        <v/>
      </c>
      <c r="J11700" t="str">
        <f>IFERROR(__xludf.DUMMYFUNCTION("IFS(
  AND(REGEXMATCH(E11700, ""台銀籌備帳戶|玉山帳戶""), REGEXMATCH(C11700, ""薪資"")), ""分潤支出"",
  AND(REGEXMATCH(E11700, ""Ben帳戶|Elsa帳戶|Ben代墊|Ariel代墊|中信銀行共用""), REGEXMATCH(F11700, ""Ben帳戶|Elsa帳戶|Ben代墊|Ariel代墊|中信銀行共用"")), ""內部轉帳(忽略)"",
  AND(E11700&lt;&gt;"""", F11700&lt;&gt;"&amp;""""", NOT(REGEXMATCH(C11700, ""薪資""))), ""內部轉帳(忽略)"",
  REGEXMATCH(C11700, ""薪資""), ""薪資變動(不計入)"",
  REGEXMATCH(C11700, ""押金""), ""押金往來"",
  AND(E11700&lt;&gt;"""", F11700=""""), ""真實支出"",
  AND(E11700="""", F11700&lt;&gt;""""), ""真實收入"",
  TRUE, ""其他""
)"),"其他")</f>
        <v>其他</v>
      </c>
      <c r="K11700" s="270" t="str">
        <f t="shared" si="2"/>
        <v/>
      </c>
      <c r="L11700">
        <f t="shared" si="3"/>
        <v>0</v>
      </c>
    </row>
    <row r="11701">
      <c r="A11701" s="107"/>
      <c r="D11701" s="270"/>
      <c r="H11701" s="106" t="str">
        <f t="shared" si="1"/>
        <v/>
      </c>
      <c r="J11701" t="str">
        <f>IFERROR(__xludf.DUMMYFUNCTION("IFS(
  AND(REGEXMATCH(E11701, ""台銀籌備帳戶|玉山帳戶""), REGEXMATCH(C11701, ""薪資"")), ""分潤支出"",
  AND(REGEXMATCH(E11701, ""Ben帳戶|Elsa帳戶|Ben代墊|Ariel代墊|中信銀行共用""), REGEXMATCH(F11701, ""Ben帳戶|Elsa帳戶|Ben代墊|Ariel代墊|中信銀行共用"")), ""內部轉帳(忽略)"",
  AND(E11701&lt;&gt;"""", F11701&lt;&gt;"&amp;""""", NOT(REGEXMATCH(C11701, ""薪資""))), ""內部轉帳(忽略)"",
  REGEXMATCH(C11701, ""薪資""), ""薪資變動(不計入)"",
  REGEXMATCH(C11701, ""押金""), ""押金往來"",
  AND(E11701&lt;&gt;"""", F11701=""""), ""真實支出"",
  AND(E11701="""", F11701&lt;&gt;""""), ""真實收入"",
  TRUE, ""其他""
)"),"其他")</f>
        <v>其他</v>
      </c>
      <c r="K11701" s="270" t="str">
        <f t="shared" si="2"/>
        <v/>
      </c>
      <c r="L11701">
        <f t="shared" si="3"/>
        <v>0</v>
      </c>
    </row>
    <row r="11702">
      <c r="A11702" s="107"/>
      <c r="D11702" s="270"/>
      <c r="H11702" s="106" t="str">
        <f t="shared" si="1"/>
        <v/>
      </c>
      <c r="J11702" t="str">
        <f>IFERROR(__xludf.DUMMYFUNCTION("IFS(
  AND(REGEXMATCH(E11702, ""台銀籌備帳戶|玉山帳戶""), REGEXMATCH(C11702, ""薪資"")), ""分潤支出"",
  AND(REGEXMATCH(E11702, ""Ben帳戶|Elsa帳戶|Ben代墊|Ariel代墊|中信銀行共用""), REGEXMATCH(F11702, ""Ben帳戶|Elsa帳戶|Ben代墊|Ariel代墊|中信銀行共用"")), ""內部轉帳(忽略)"",
  AND(E11702&lt;&gt;"""", F11702&lt;&gt;"&amp;""""", NOT(REGEXMATCH(C11702, ""薪資""))), ""內部轉帳(忽略)"",
  REGEXMATCH(C11702, ""薪資""), ""薪資變動(不計入)"",
  REGEXMATCH(C11702, ""押金""), ""押金往來"",
  AND(E11702&lt;&gt;"""", F11702=""""), ""真實支出"",
  AND(E11702="""", F11702&lt;&gt;""""), ""真實收入"",
  TRUE, ""其他""
)"),"其他")</f>
        <v>其他</v>
      </c>
      <c r="K11702" s="270" t="str">
        <f t="shared" si="2"/>
        <v/>
      </c>
      <c r="L11702">
        <f t="shared" si="3"/>
        <v>0</v>
      </c>
    </row>
    <row r="11703">
      <c r="A11703" s="107"/>
      <c r="D11703" s="270"/>
      <c r="H11703" s="106" t="str">
        <f t="shared" si="1"/>
        <v/>
      </c>
      <c r="J11703" t="str">
        <f>IFERROR(__xludf.DUMMYFUNCTION("IFS(
  AND(REGEXMATCH(E11703, ""台銀籌備帳戶|玉山帳戶""), REGEXMATCH(C11703, ""薪資"")), ""分潤支出"",
  AND(REGEXMATCH(E11703, ""Ben帳戶|Elsa帳戶|Ben代墊|Ariel代墊|中信銀行共用""), REGEXMATCH(F11703, ""Ben帳戶|Elsa帳戶|Ben代墊|Ariel代墊|中信銀行共用"")), ""內部轉帳(忽略)"",
  AND(E11703&lt;&gt;"""", F11703&lt;&gt;"&amp;""""", NOT(REGEXMATCH(C11703, ""薪資""))), ""內部轉帳(忽略)"",
  REGEXMATCH(C11703, ""薪資""), ""薪資變動(不計入)"",
  REGEXMATCH(C11703, ""押金""), ""押金往來"",
  AND(E11703&lt;&gt;"""", F11703=""""), ""真實支出"",
  AND(E11703="""", F11703&lt;&gt;""""), ""真實收入"",
  TRUE, ""其他""
)"),"其他")</f>
        <v>其他</v>
      </c>
      <c r="K11703" s="270" t="str">
        <f t="shared" si="2"/>
        <v/>
      </c>
      <c r="L11703">
        <f t="shared" si="3"/>
        <v>0</v>
      </c>
    </row>
    <row r="11704">
      <c r="A11704" s="107"/>
      <c r="D11704" s="270"/>
      <c r="H11704" s="106" t="str">
        <f t="shared" si="1"/>
        <v/>
      </c>
      <c r="J11704" t="str">
        <f>IFERROR(__xludf.DUMMYFUNCTION("IFS(
  AND(REGEXMATCH(E11704, ""台銀籌備帳戶|玉山帳戶""), REGEXMATCH(C11704, ""薪資"")), ""分潤支出"",
  AND(REGEXMATCH(E11704, ""Ben帳戶|Elsa帳戶|Ben代墊|Ariel代墊|中信銀行共用""), REGEXMATCH(F11704, ""Ben帳戶|Elsa帳戶|Ben代墊|Ariel代墊|中信銀行共用"")), ""內部轉帳(忽略)"",
  AND(E11704&lt;&gt;"""", F11704&lt;&gt;"&amp;""""", NOT(REGEXMATCH(C11704, ""薪資""))), ""內部轉帳(忽略)"",
  REGEXMATCH(C11704, ""薪資""), ""薪資變動(不計入)"",
  REGEXMATCH(C11704, ""押金""), ""押金往來"",
  AND(E11704&lt;&gt;"""", F11704=""""), ""真實支出"",
  AND(E11704="""", F11704&lt;&gt;""""), ""真實收入"",
  TRUE, ""其他""
)"),"其他")</f>
        <v>其他</v>
      </c>
      <c r="K11704" s="270" t="str">
        <f t="shared" si="2"/>
        <v/>
      </c>
      <c r="L11704">
        <f t="shared" si="3"/>
        <v>0</v>
      </c>
    </row>
    <row r="11705">
      <c r="A11705" s="107"/>
      <c r="D11705" s="270"/>
      <c r="H11705" s="106" t="str">
        <f t="shared" si="1"/>
        <v/>
      </c>
      <c r="J11705" t="str">
        <f>IFERROR(__xludf.DUMMYFUNCTION("IFS(
  AND(REGEXMATCH(E11705, ""台銀籌備帳戶|玉山帳戶""), REGEXMATCH(C11705, ""薪資"")), ""分潤支出"",
  AND(REGEXMATCH(E11705, ""Ben帳戶|Elsa帳戶|Ben代墊|Ariel代墊|中信銀行共用""), REGEXMATCH(F11705, ""Ben帳戶|Elsa帳戶|Ben代墊|Ariel代墊|中信銀行共用"")), ""內部轉帳(忽略)"",
  AND(E11705&lt;&gt;"""", F11705&lt;&gt;"&amp;""""", NOT(REGEXMATCH(C11705, ""薪資""))), ""內部轉帳(忽略)"",
  REGEXMATCH(C11705, ""薪資""), ""薪資變動(不計入)"",
  REGEXMATCH(C11705, ""押金""), ""押金往來"",
  AND(E11705&lt;&gt;"""", F11705=""""), ""真實支出"",
  AND(E11705="""", F11705&lt;&gt;""""), ""真實收入"",
  TRUE, ""其他""
)"),"其他")</f>
        <v>其他</v>
      </c>
      <c r="K11705" s="270" t="str">
        <f t="shared" si="2"/>
        <v/>
      </c>
      <c r="L11705">
        <f t="shared" si="3"/>
        <v>0</v>
      </c>
    </row>
    <row r="11706">
      <c r="A11706" s="107"/>
      <c r="D11706" s="270"/>
      <c r="H11706" s="106" t="str">
        <f t="shared" si="1"/>
        <v/>
      </c>
      <c r="J11706" t="str">
        <f>IFERROR(__xludf.DUMMYFUNCTION("IFS(
  AND(REGEXMATCH(E11706, ""台銀籌備帳戶|玉山帳戶""), REGEXMATCH(C11706, ""薪資"")), ""分潤支出"",
  AND(REGEXMATCH(E11706, ""Ben帳戶|Elsa帳戶|Ben代墊|Ariel代墊|中信銀行共用""), REGEXMATCH(F11706, ""Ben帳戶|Elsa帳戶|Ben代墊|Ariel代墊|中信銀行共用"")), ""內部轉帳(忽略)"",
  AND(E11706&lt;&gt;"""", F11706&lt;&gt;"&amp;""""", NOT(REGEXMATCH(C11706, ""薪資""))), ""內部轉帳(忽略)"",
  REGEXMATCH(C11706, ""薪資""), ""薪資變動(不計入)"",
  REGEXMATCH(C11706, ""押金""), ""押金往來"",
  AND(E11706&lt;&gt;"""", F11706=""""), ""真實支出"",
  AND(E11706="""", F11706&lt;&gt;""""), ""真實收入"",
  TRUE, ""其他""
)"),"其他")</f>
        <v>其他</v>
      </c>
      <c r="K11706" s="270" t="str">
        <f t="shared" si="2"/>
        <v/>
      </c>
      <c r="L11706">
        <f t="shared" si="3"/>
        <v>0</v>
      </c>
    </row>
    <row r="11707">
      <c r="A11707" s="107"/>
      <c r="D11707" s="270"/>
      <c r="H11707" s="106" t="str">
        <f t="shared" si="1"/>
        <v/>
      </c>
      <c r="J11707" t="str">
        <f>IFERROR(__xludf.DUMMYFUNCTION("IFS(
  AND(REGEXMATCH(E11707, ""台銀籌備帳戶|玉山帳戶""), REGEXMATCH(C11707, ""薪資"")), ""分潤支出"",
  AND(REGEXMATCH(E11707, ""Ben帳戶|Elsa帳戶|Ben代墊|Ariel代墊|中信銀行共用""), REGEXMATCH(F11707, ""Ben帳戶|Elsa帳戶|Ben代墊|Ariel代墊|中信銀行共用"")), ""內部轉帳(忽略)"",
  AND(E11707&lt;&gt;"""", F11707&lt;&gt;"&amp;""""", NOT(REGEXMATCH(C11707, ""薪資""))), ""內部轉帳(忽略)"",
  REGEXMATCH(C11707, ""薪資""), ""薪資變動(不計入)"",
  REGEXMATCH(C11707, ""押金""), ""押金往來"",
  AND(E11707&lt;&gt;"""", F11707=""""), ""真實支出"",
  AND(E11707="""", F11707&lt;&gt;""""), ""真實收入"",
  TRUE, ""其他""
)"),"其他")</f>
        <v>其他</v>
      </c>
      <c r="K11707" s="270" t="str">
        <f t="shared" si="2"/>
        <v/>
      </c>
      <c r="L11707">
        <f t="shared" si="3"/>
        <v>0</v>
      </c>
    </row>
    <row r="11708">
      <c r="A11708" s="107"/>
      <c r="D11708" s="270"/>
      <c r="H11708" s="106" t="str">
        <f t="shared" si="1"/>
        <v/>
      </c>
      <c r="J11708" t="str">
        <f>IFERROR(__xludf.DUMMYFUNCTION("IFS(
  AND(REGEXMATCH(E11708, ""台銀籌備帳戶|玉山帳戶""), REGEXMATCH(C11708, ""薪資"")), ""分潤支出"",
  AND(REGEXMATCH(E11708, ""Ben帳戶|Elsa帳戶|Ben代墊|Ariel代墊|中信銀行共用""), REGEXMATCH(F11708, ""Ben帳戶|Elsa帳戶|Ben代墊|Ariel代墊|中信銀行共用"")), ""內部轉帳(忽略)"",
  AND(E11708&lt;&gt;"""", F11708&lt;&gt;"&amp;""""", NOT(REGEXMATCH(C11708, ""薪資""))), ""內部轉帳(忽略)"",
  REGEXMATCH(C11708, ""薪資""), ""薪資變動(不計入)"",
  REGEXMATCH(C11708, ""押金""), ""押金往來"",
  AND(E11708&lt;&gt;"""", F11708=""""), ""真實支出"",
  AND(E11708="""", F11708&lt;&gt;""""), ""真實收入"",
  TRUE, ""其他""
)"),"其他")</f>
        <v>其他</v>
      </c>
      <c r="K11708" s="270" t="str">
        <f t="shared" si="2"/>
        <v/>
      </c>
      <c r="L11708">
        <f t="shared" si="3"/>
        <v>0</v>
      </c>
    </row>
    <row r="11709">
      <c r="A11709" s="107"/>
      <c r="D11709" s="270"/>
      <c r="H11709" s="106" t="str">
        <f t="shared" si="1"/>
        <v/>
      </c>
      <c r="J11709" t="str">
        <f>IFERROR(__xludf.DUMMYFUNCTION("IFS(
  AND(REGEXMATCH(E11709, ""台銀籌備帳戶|玉山帳戶""), REGEXMATCH(C11709, ""薪資"")), ""分潤支出"",
  AND(REGEXMATCH(E11709, ""Ben帳戶|Elsa帳戶|Ben代墊|Ariel代墊|中信銀行共用""), REGEXMATCH(F11709, ""Ben帳戶|Elsa帳戶|Ben代墊|Ariel代墊|中信銀行共用"")), ""內部轉帳(忽略)"",
  AND(E11709&lt;&gt;"""", F11709&lt;&gt;"&amp;""""", NOT(REGEXMATCH(C11709, ""薪資""))), ""內部轉帳(忽略)"",
  REGEXMATCH(C11709, ""薪資""), ""薪資變動(不計入)"",
  REGEXMATCH(C11709, ""押金""), ""押金往來"",
  AND(E11709&lt;&gt;"""", F11709=""""), ""真實支出"",
  AND(E11709="""", F11709&lt;&gt;""""), ""真實收入"",
  TRUE, ""其他""
)"),"其他")</f>
        <v>其他</v>
      </c>
      <c r="K11709" s="270" t="str">
        <f t="shared" si="2"/>
        <v/>
      </c>
      <c r="L11709">
        <f t="shared" si="3"/>
        <v>0</v>
      </c>
    </row>
    <row r="11710">
      <c r="A11710" s="107"/>
      <c r="D11710" s="270"/>
      <c r="H11710" s="106" t="str">
        <f t="shared" si="1"/>
        <v/>
      </c>
      <c r="J11710" t="str">
        <f>IFERROR(__xludf.DUMMYFUNCTION("IFS(
  AND(REGEXMATCH(E11710, ""台銀籌備帳戶|玉山帳戶""), REGEXMATCH(C11710, ""薪資"")), ""分潤支出"",
  AND(REGEXMATCH(E11710, ""Ben帳戶|Elsa帳戶|Ben代墊|Ariel代墊|中信銀行共用""), REGEXMATCH(F11710, ""Ben帳戶|Elsa帳戶|Ben代墊|Ariel代墊|中信銀行共用"")), ""內部轉帳(忽略)"",
  AND(E11710&lt;&gt;"""", F11710&lt;&gt;"&amp;""""", NOT(REGEXMATCH(C11710, ""薪資""))), ""內部轉帳(忽略)"",
  REGEXMATCH(C11710, ""薪資""), ""薪資變動(不計入)"",
  REGEXMATCH(C11710, ""押金""), ""押金往來"",
  AND(E11710&lt;&gt;"""", F11710=""""), ""真實支出"",
  AND(E11710="""", F11710&lt;&gt;""""), ""真實收入"",
  TRUE, ""其他""
)"),"其他")</f>
        <v>其他</v>
      </c>
      <c r="K11710" s="270" t="str">
        <f t="shared" si="2"/>
        <v/>
      </c>
      <c r="L11710">
        <f t="shared" si="3"/>
        <v>0</v>
      </c>
    </row>
    <row r="11711">
      <c r="A11711" s="107"/>
      <c r="D11711" s="270"/>
      <c r="H11711" s="106" t="str">
        <f t="shared" si="1"/>
        <v/>
      </c>
      <c r="J11711" t="str">
        <f>IFERROR(__xludf.DUMMYFUNCTION("IFS(
  AND(REGEXMATCH(E11711, ""台銀籌備帳戶|玉山帳戶""), REGEXMATCH(C11711, ""薪資"")), ""分潤支出"",
  AND(REGEXMATCH(E11711, ""Ben帳戶|Elsa帳戶|Ben代墊|Ariel代墊|中信銀行共用""), REGEXMATCH(F11711, ""Ben帳戶|Elsa帳戶|Ben代墊|Ariel代墊|中信銀行共用"")), ""內部轉帳(忽略)"",
  AND(E11711&lt;&gt;"""", F11711&lt;&gt;"&amp;""""", NOT(REGEXMATCH(C11711, ""薪資""))), ""內部轉帳(忽略)"",
  REGEXMATCH(C11711, ""薪資""), ""薪資變動(不計入)"",
  REGEXMATCH(C11711, ""押金""), ""押金往來"",
  AND(E11711&lt;&gt;"""", F11711=""""), ""真實支出"",
  AND(E11711="""", F11711&lt;&gt;""""), ""真實收入"",
  TRUE, ""其他""
)"),"其他")</f>
        <v>其他</v>
      </c>
      <c r="K11711" s="270" t="str">
        <f t="shared" si="2"/>
        <v/>
      </c>
      <c r="L11711">
        <f t="shared" si="3"/>
        <v>0</v>
      </c>
    </row>
    <row r="11712">
      <c r="A11712" s="107"/>
      <c r="D11712" s="270"/>
      <c r="H11712" s="106" t="str">
        <f t="shared" si="1"/>
        <v/>
      </c>
      <c r="J11712" t="str">
        <f>IFERROR(__xludf.DUMMYFUNCTION("IFS(
  AND(REGEXMATCH(E11712, ""台銀籌備帳戶|玉山帳戶""), REGEXMATCH(C11712, ""薪資"")), ""分潤支出"",
  AND(REGEXMATCH(E11712, ""Ben帳戶|Elsa帳戶|Ben代墊|Ariel代墊|中信銀行共用""), REGEXMATCH(F11712, ""Ben帳戶|Elsa帳戶|Ben代墊|Ariel代墊|中信銀行共用"")), ""內部轉帳(忽略)"",
  AND(E11712&lt;&gt;"""", F11712&lt;&gt;"&amp;""""", NOT(REGEXMATCH(C11712, ""薪資""))), ""內部轉帳(忽略)"",
  REGEXMATCH(C11712, ""薪資""), ""薪資變動(不計入)"",
  REGEXMATCH(C11712, ""押金""), ""押金往來"",
  AND(E11712&lt;&gt;"""", F11712=""""), ""真實支出"",
  AND(E11712="""", F11712&lt;&gt;""""), ""真實收入"",
  TRUE, ""其他""
)"),"其他")</f>
        <v>其他</v>
      </c>
      <c r="K11712" s="270" t="str">
        <f t="shared" si="2"/>
        <v/>
      </c>
      <c r="L11712">
        <f t="shared" si="3"/>
        <v>0</v>
      </c>
    </row>
    <row r="11713">
      <c r="A11713" s="107"/>
      <c r="D11713" s="270"/>
      <c r="H11713" s="106" t="str">
        <f t="shared" si="1"/>
        <v/>
      </c>
      <c r="J11713" t="str">
        <f>IFERROR(__xludf.DUMMYFUNCTION("IFS(
  AND(REGEXMATCH(E11713, ""台銀籌備帳戶|玉山帳戶""), REGEXMATCH(C11713, ""薪資"")), ""分潤支出"",
  AND(REGEXMATCH(E11713, ""Ben帳戶|Elsa帳戶|Ben代墊|Ariel代墊|中信銀行共用""), REGEXMATCH(F11713, ""Ben帳戶|Elsa帳戶|Ben代墊|Ariel代墊|中信銀行共用"")), ""內部轉帳(忽略)"",
  AND(E11713&lt;&gt;"""", F11713&lt;&gt;"&amp;""""", NOT(REGEXMATCH(C11713, ""薪資""))), ""內部轉帳(忽略)"",
  REGEXMATCH(C11713, ""薪資""), ""薪資變動(不計入)"",
  REGEXMATCH(C11713, ""押金""), ""押金往來"",
  AND(E11713&lt;&gt;"""", F11713=""""), ""真實支出"",
  AND(E11713="""", F11713&lt;&gt;""""), ""真實收入"",
  TRUE, ""其他""
)"),"其他")</f>
        <v>其他</v>
      </c>
      <c r="K11713" s="270" t="str">
        <f t="shared" si="2"/>
        <v/>
      </c>
      <c r="L11713">
        <f t="shared" si="3"/>
        <v>0</v>
      </c>
    </row>
    <row r="11714">
      <c r="A11714" s="107"/>
      <c r="D11714" s="270"/>
      <c r="H11714" s="106" t="str">
        <f t="shared" si="1"/>
        <v/>
      </c>
      <c r="J11714" t="str">
        <f>IFERROR(__xludf.DUMMYFUNCTION("IFS(
  AND(REGEXMATCH(E11714, ""台銀籌備帳戶|玉山帳戶""), REGEXMATCH(C11714, ""薪資"")), ""分潤支出"",
  AND(REGEXMATCH(E11714, ""Ben帳戶|Elsa帳戶|Ben代墊|Ariel代墊|中信銀行共用""), REGEXMATCH(F11714, ""Ben帳戶|Elsa帳戶|Ben代墊|Ariel代墊|中信銀行共用"")), ""內部轉帳(忽略)"",
  AND(E11714&lt;&gt;"""", F11714&lt;&gt;"&amp;""""", NOT(REGEXMATCH(C11714, ""薪資""))), ""內部轉帳(忽略)"",
  REGEXMATCH(C11714, ""薪資""), ""薪資變動(不計入)"",
  REGEXMATCH(C11714, ""押金""), ""押金往來"",
  AND(E11714&lt;&gt;"""", F11714=""""), ""真實支出"",
  AND(E11714="""", F11714&lt;&gt;""""), ""真實收入"",
  TRUE, ""其他""
)"),"其他")</f>
        <v>其他</v>
      </c>
      <c r="K11714" s="270" t="str">
        <f t="shared" si="2"/>
        <v/>
      </c>
      <c r="L11714">
        <f t="shared" si="3"/>
        <v>0</v>
      </c>
    </row>
    <row r="11715">
      <c r="A11715" s="107"/>
      <c r="D11715" s="270"/>
      <c r="H11715" s="106" t="str">
        <f t="shared" si="1"/>
        <v/>
      </c>
      <c r="J11715" t="str">
        <f>IFERROR(__xludf.DUMMYFUNCTION("IFS(
  AND(REGEXMATCH(E11715, ""台銀籌備帳戶|玉山帳戶""), REGEXMATCH(C11715, ""薪資"")), ""分潤支出"",
  AND(REGEXMATCH(E11715, ""Ben帳戶|Elsa帳戶|Ben代墊|Ariel代墊|中信銀行共用""), REGEXMATCH(F11715, ""Ben帳戶|Elsa帳戶|Ben代墊|Ariel代墊|中信銀行共用"")), ""內部轉帳(忽略)"",
  AND(E11715&lt;&gt;"""", F11715&lt;&gt;"&amp;""""", NOT(REGEXMATCH(C11715, ""薪資""))), ""內部轉帳(忽略)"",
  REGEXMATCH(C11715, ""薪資""), ""薪資變動(不計入)"",
  REGEXMATCH(C11715, ""押金""), ""押金往來"",
  AND(E11715&lt;&gt;"""", F11715=""""), ""真實支出"",
  AND(E11715="""", F11715&lt;&gt;""""), ""真實收入"",
  TRUE, ""其他""
)"),"其他")</f>
        <v>其他</v>
      </c>
      <c r="K11715" s="270" t="str">
        <f t="shared" si="2"/>
        <v/>
      </c>
      <c r="L11715">
        <f t="shared" si="3"/>
        <v>0</v>
      </c>
    </row>
    <row r="11716">
      <c r="A11716" s="107"/>
      <c r="D11716" s="270"/>
      <c r="H11716" s="106" t="str">
        <f t="shared" si="1"/>
        <v/>
      </c>
      <c r="J11716" t="str">
        <f>IFERROR(__xludf.DUMMYFUNCTION("IFS(
  AND(REGEXMATCH(E11716, ""台銀籌備帳戶|玉山帳戶""), REGEXMATCH(C11716, ""薪資"")), ""分潤支出"",
  AND(REGEXMATCH(E11716, ""Ben帳戶|Elsa帳戶|Ben代墊|Ariel代墊|中信銀行共用""), REGEXMATCH(F11716, ""Ben帳戶|Elsa帳戶|Ben代墊|Ariel代墊|中信銀行共用"")), ""內部轉帳(忽略)"",
  AND(E11716&lt;&gt;"""", F11716&lt;&gt;"&amp;""""", NOT(REGEXMATCH(C11716, ""薪資""))), ""內部轉帳(忽略)"",
  REGEXMATCH(C11716, ""薪資""), ""薪資變動(不計入)"",
  REGEXMATCH(C11716, ""押金""), ""押金往來"",
  AND(E11716&lt;&gt;"""", F11716=""""), ""真實支出"",
  AND(E11716="""", F11716&lt;&gt;""""), ""真實收入"",
  TRUE, ""其他""
)"),"其他")</f>
        <v>其他</v>
      </c>
      <c r="K11716" s="270" t="str">
        <f t="shared" si="2"/>
        <v/>
      </c>
      <c r="L11716">
        <f t="shared" si="3"/>
        <v>0</v>
      </c>
    </row>
    <row r="11717">
      <c r="A11717" s="107"/>
      <c r="D11717" s="270"/>
      <c r="H11717" s="106" t="str">
        <f t="shared" si="1"/>
        <v/>
      </c>
      <c r="J11717" t="str">
        <f>IFERROR(__xludf.DUMMYFUNCTION("IFS(
  AND(REGEXMATCH(E11717, ""台銀籌備帳戶|玉山帳戶""), REGEXMATCH(C11717, ""薪資"")), ""分潤支出"",
  AND(REGEXMATCH(E11717, ""Ben帳戶|Elsa帳戶|Ben代墊|Ariel代墊|中信銀行共用""), REGEXMATCH(F11717, ""Ben帳戶|Elsa帳戶|Ben代墊|Ariel代墊|中信銀行共用"")), ""內部轉帳(忽略)"",
  AND(E11717&lt;&gt;"""", F11717&lt;&gt;"&amp;""""", NOT(REGEXMATCH(C11717, ""薪資""))), ""內部轉帳(忽略)"",
  REGEXMATCH(C11717, ""薪資""), ""薪資變動(不計入)"",
  REGEXMATCH(C11717, ""押金""), ""押金往來"",
  AND(E11717&lt;&gt;"""", F11717=""""), ""真實支出"",
  AND(E11717="""", F11717&lt;&gt;""""), ""真實收入"",
  TRUE, ""其他""
)"),"其他")</f>
        <v>其他</v>
      </c>
      <c r="K11717" s="270" t="str">
        <f t="shared" si="2"/>
        <v/>
      </c>
      <c r="L11717">
        <f t="shared" si="3"/>
        <v>0</v>
      </c>
    </row>
    <row r="11718">
      <c r="A11718" s="107"/>
      <c r="D11718" s="270"/>
      <c r="H11718" s="106" t="str">
        <f t="shared" si="1"/>
        <v/>
      </c>
      <c r="J11718" t="str">
        <f>IFERROR(__xludf.DUMMYFUNCTION("IFS(
  AND(REGEXMATCH(E11718, ""台銀籌備帳戶|玉山帳戶""), REGEXMATCH(C11718, ""薪資"")), ""分潤支出"",
  AND(REGEXMATCH(E11718, ""Ben帳戶|Elsa帳戶|Ben代墊|Ariel代墊|中信銀行共用""), REGEXMATCH(F11718, ""Ben帳戶|Elsa帳戶|Ben代墊|Ariel代墊|中信銀行共用"")), ""內部轉帳(忽略)"",
  AND(E11718&lt;&gt;"""", F11718&lt;&gt;"&amp;""""", NOT(REGEXMATCH(C11718, ""薪資""))), ""內部轉帳(忽略)"",
  REGEXMATCH(C11718, ""薪資""), ""薪資變動(不計入)"",
  REGEXMATCH(C11718, ""押金""), ""押金往來"",
  AND(E11718&lt;&gt;"""", F11718=""""), ""真實支出"",
  AND(E11718="""", F11718&lt;&gt;""""), ""真實收入"",
  TRUE, ""其他""
)"),"其他")</f>
        <v>其他</v>
      </c>
      <c r="K11718" s="270" t="str">
        <f t="shared" si="2"/>
        <v/>
      </c>
      <c r="L11718">
        <f t="shared" si="3"/>
        <v>0</v>
      </c>
    </row>
    <row r="11719">
      <c r="A11719" s="107"/>
      <c r="D11719" s="270"/>
      <c r="H11719" s="106" t="str">
        <f t="shared" si="1"/>
        <v/>
      </c>
      <c r="J11719" t="str">
        <f>IFERROR(__xludf.DUMMYFUNCTION("IFS(
  AND(REGEXMATCH(E11719, ""台銀籌備帳戶|玉山帳戶""), REGEXMATCH(C11719, ""薪資"")), ""分潤支出"",
  AND(REGEXMATCH(E11719, ""Ben帳戶|Elsa帳戶|Ben代墊|Ariel代墊|中信銀行共用""), REGEXMATCH(F11719, ""Ben帳戶|Elsa帳戶|Ben代墊|Ariel代墊|中信銀行共用"")), ""內部轉帳(忽略)"",
  AND(E11719&lt;&gt;"""", F11719&lt;&gt;"&amp;""""", NOT(REGEXMATCH(C11719, ""薪資""))), ""內部轉帳(忽略)"",
  REGEXMATCH(C11719, ""薪資""), ""薪資變動(不計入)"",
  REGEXMATCH(C11719, ""押金""), ""押金往來"",
  AND(E11719&lt;&gt;"""", F11719=""""), ""真實支出"",
  AND(E11719="""", F11719&lt;&gt;""""), ""真實收入"",
  TRUE, ""其他""
)"),"其他")</f>
        <v>其他</v>
      </c>
      <c r="K11719" s="270" t="str">
        <f t="shared" si="2"/>
        <v/>
      </c>
      <c r="L11719">
        <f t="shared" si="3"/>
        <v>0</v>
      </c>
    </row>
    <row r="11720">
      <c r="A11720" s="107"/>
      <c r="D11720" s="270"/>
      <c r="H11720" s="106" t="str">
        <f t="shared" si="1"/>
        <v/>
      </c>
      <c r="J11720" t="str">
        <f>IFERROR(__xludf.DUMMYFUNCTION("IFS(
  AND(REGEXMATCH(E11720, ""台銀籌備帳戶|玉山帳戶""), REGEXMATCH(C11720, ""薪資"")), ""分潤支出"",
  AND(REGEXMATCH(E11720, ""Ben帳戶|Elsa帳戶|Ben代墊|Ariel代墊|中信銀行共用""), REGEXMATCH(F11720, ""Ben帳戶|Elsa帳戶|Ben代墊|Ariel代墊|中信銀行共用"")), ""內部轉帳(忽略)"",
  AND(E11720&lt;&gt;"""", F11720&lt;&gt;"&amp;""""", NOT(REGEXMATCH(C11720, ""薪資""))), ""內部轉帳(忽略)"",
  REGEXMATCH(C11720, ""薪資""), ""薪資變動(不計入)"",
  REGEXMATCH(C11720, ""押金""), ""押金往來"",
  AND(E11720&lt;&gt;"""", F11720=""""), ""真實支出"",
  AND(E11720="""", F11720&lt;&gt;""""), ""真實收入"",
  TRUE, ""其他""
)"),"其他")</f>
        <v>其他</v>
      </c>
      <c r="K11720" s="270" t="str">
        <f t="shared" si="2"/>
        <v/>
      </c>
      <c r="L11720">
        <f t="shared" si="3"/>
        <v>0</v>
      </c>
    </row>
    <row r="11721">
      <c r="A11721" s="107"/>
      <c r="D11721" s="270"/>
      <c r="H11721" s="106" t="str">
        <f t="shared" si="1"/>
        <v/>
      </c>
      <c r="J11721" t="str">
        <f>IFERROR(__xludf.DUMMYFUNCTION("IFS(
  AND(REGEXMATCH(E11721, ""台銀籌備帳戶|玉山帳戶""), REGEXMATCH(C11721, ""薪資"")), ""分潤支出"",
  AND(REGEXMATCH(E11721, ""Ben帳戶|Elsa帳戶|Ben代墊|Ariel代墊|中信銀行共用""), REGEXMATCH(F11721, ""Ben帳戶|Elsa帳戶|Ben代墊|Ariel代墊|中信銀行共用"")), ""內部轉帳(忽略)"",
  AND(E11721&lt;&gt;"""", F11721&lt;&gt;"&amp;""""", NOT(REGEXMATCH(C11721, ""薪資""))), ""內部轉帳(忽略)"",
  REGEXMATCH(C11721, ""薪資""), ""薪資變動(不計入)"",
  REGEXMATCH(C11721, ""押金""), ""押金往來"",
  AND(E11721&lt;&gt;"""", F11721=""""), ""真實支出"",
  AND(E11721="""", F11721&lt;&gt;""""), ""真實收入"",
  TRUE, ""其他""
)"),"其他")</f>
        <v>其他</v>
      </c>
      <c r="K11721" s="270" t="str">
        <f t="shared" si="2"/>
        <v/>
      </c>
      <c r="L11721">
        <f t="shared" si="3"/>
        <v>0</v>
      </c>
    </row>
    <row r="11722">
      <c r="A11722" s="107"/>
      <c r="D11722" s="270"/>
      <c r="H11722" s="106" t="str">
        <f t="shared" si="1"/>
        <v/>
      </c>
      <c r="J11722" t="str">
        <f>IFERROR(__xludf.DUMMYFUNCTION("IFS(
  AND(REGEXMATCH(E11722, ""台銀籌備帳戶|玉山帳戶""), REGEXMATCH(C11722, ""薪資"")), ""分潤支出"",
  AND(REGEXMATCH(E11722, ""Ben帳戶|Elsa帳戶|Ben代墊|Ariel代墊|中信銀行共用""), REGEXMATCH(F11722, ""Ben帳戶|Elsa帳戶|Ben代墊|Ariel代墊|中信銀行共用"")), ""內部轉帳(忽略)"",
  AND(E11722&lt;&gt;"""", F11722&lt;&gt;"&amp;""""", NOT(REGEXMATCH(C11722, ""薪資""))), ""內部轉帳(忽略)"",
  REGEXMATCH(C11722, ""薪資""), ""薪資變動(不計入)"",
  REGEXMATCH(C11722, ""押金""), ""押金往來"",
  AND(E11722&lt;&gt;"""", F11722=""""), ""真實支出"",
  AND(E11722="""", F11722&lt;&gt;""""), ""真實收入"",
  TRUE, ""其他""
)"),"其他")</f>
        <v>其他</v>
      </c>
      <c r="K11722" s="270" t="str">
        <f t="shared" si="2"/>
        <v/>
      </c>
      <c r="L11722">
        <f t="shared" si="3"/>
        <v>0</v>
      </c>
    </row>
    <row r="11723">
      <c r="A11723" s="107"/>
      <c r="D11723" s="270"/>
      <c r="H11723" s="106" t="str">
        <f t="shared" si="1"/>
        <v/>
      </c>
      <c r="J11723" t="str">
        <f>IFERROR(__xludf.DUMMYFUNCTION("IFS(
  AND(REGEXMATCH(E11723, ""台銀籌備帳戶|玉山帳戶""), REGEXMATCH(C11723, ""薪資"")), ""分潤支出"",
  AND(REGEXMATCH(E11723, ""Ben帳戶|Elsa帳戶|Ben代墊|Ariel代墊|中信銀行共用""), REGEXMATCH(F11723, ""Ben帳戶|Elsa帳戶|Ben代墊|Ariel代墊|中信銀行共用"")), ""內部轉帳(忽略)"",
  AND(E11723&lt;&gt;"""", F11723&lt;&gt;"&amp;""""", NOT(REGEXMATCH(C11723, ""薪資""))), ""內部轉帳(忽略)"",
  REGEXMATCH(C11723, ""薪資""), ""薪資變動(不計入)"",
  REGEXMATCH(C11723, ""押金""), ""押金往來"",
  AND(E11723&lt;&gt;"""", F11723=""""), ""真實支出"",
  AND(E11723="""", F11723&lt;&gt;""""), ""真實收入"",
  TRUE, ""其他""
)"),"其他")</f>
        <v>其他</v>
      </c>
      <c r="K11723" s="270" t="str">
        <f t="shared" si="2"/>
        <v/>
      </c>
      <c r="L11723">
        <f t="shared" si="3"/>
        <v>0</v>
      </c>
    </row>
    <row r="11724">
      <c r="A11724" s="107"/>
      <c r="D11724" s="270"/>
      <c r="H11724" s="106" t="str">
        <f t="shared" si="1"/>
        <v/>
      </c>
      <c r="J11724" t="str">
        <f>IFERROR(__xludf.DUMMYFUNCTION("IFS(
  AND(REGEXMATCH(E11724, ""台銀籌備帳戶|玉山帳戶""), REGEXMATCH(C11724, ""薪資"")), ""分潤支出"",
  AND(REGEXMATCH(E11724, ""Ben帳戶|Elsa帳戶|Ben代墊|Ariel代墊|中信銀行共用""), REGEXMATCH(F11724, ""Ben帳戶|Elsa帳戶|Ben代墊|Ariel代墊|中信銀行共用"")), ""內部轉帳(忽略)"",
  AND(E11724&lt;&gt;"""", F11724&lt;&gt;"&amp;""""", NOT(REGEXMATCH(C11724, ""薪資""))), ""內部轉帳(忽略)"",
  REGEXMATCH(C11724, ""薪資""), ""薪資變動(不計入)"",
  REGEXMATCH(C11724, ""押金""), ""押金往來"",
  AND(E11724&lt;&gt;"""", F11724=""""), ""真實支出"",
  AND(E11724="""", F11724&lt;&gt;""""), ""真實收入"",
  TRUE, ""其他""
)"),"其他")</f>
        <v>其他</v>
      </c>
      <c r="K11724" s="270" t="str">
        <f t="shared" si="2"/>
        <v/>
      </c>
      <c r="L11724">
        <f t="shared" si="3"/>
        <v>0</v>
      </c>
    </row>
    <row r="11725">
      <c r="A11725" s="107"/>
      <c r="D11725" s="270"/>
      <c r="H11725" s="106" t="str">
        <f t="shared" si="1"/>
        <v/>
      </c>
      <c r="J11725" t="str">
        <f>IFERROR(__xludf.DUMMYFUNCTION("IFS(
  AND(REGEXMATCH(E11725, ""台銀籌備帳戶|玉山帳戶""), REGEXMATCH(C11725, ""薪資"")), ""分潤支出"",
  AND(REGEXMATCH(E11725, ""Ben帳戶|Elsa帳戶|Ben代墊|Ariel代墊|中信銀行共用""), REGEXMATCH(F11725, ""Ben帳戶|Elsa帳戶|Ben代墊|Ariel代墊|中信銀行共用"")), ""內部轉帳(忽略)"",
  AND(E11725&lt;&gt;"""", F11725&lt;&gt;"&amp;""""", NOT(REGEXMATCH(C11725, ""薪資""))), ""內部轉帳(忽略)"",
  REGEXMATCH(C11725, ""薪資""), ""薪資變動(不計入)"",
  REGEXMATCH(C11725, ""押金""), ""押金往來"",
  AND(E11725&lt;&gt;"""", F11725=""""), ""真實支出"",
  AND(E11725="""", F11725&lt;&gt;""""), ""真實收入"",
  TRUE, ""其他""
)"),"其他")</f>
        <v>其他</v>
      </c>
      <c r="K11725" s="270" t="str">
        <f t="shared" si="2"/>
        <v/>
      </c>
      <c r="L11725">
        <f t="shared" si="3"/>
        <v>0</v>
      </c>
    </row>
    <row r="11726">
      <c r="A11726" s="107"/>
      <c r="D11726" s="270"/>
      <c r="H11726" s="106" t="str">
        <f t="shared" si="1"/>
        <v/>
      </c>
      <c r="J11726" t="str">
        <f>IFERROR(__xludf.DUMMYFUNCTION("IFS(
  AND(REGEXMATCH(E11726, ""台銀籌備帳戶|玉山帳戶""), REGEXMATCH(C11726, ""薪資"")), ""分潤支出"",
  AND(REGEXMATCH(E11726, ""Ben帳戶|Elsa帳戶|Ben代墊|Ariel代墊|中信銀行共用""), REGEXMATCH(F11726, ""Ben帳戶|Elsa帳戶|Ben代墊|Ariel代墊|中信銀行共用"")), ""內部轉帳(忽略)"",
  AND(E11726&lt;&gt;"""", F11726&lt;&gt;"&amp;""""", NOT(REGEXMATCH(C11726, ""薪資""))), ""內部轉帳(忽略)"",
  REGEXMATCH(C11726, ""薪資""), ""薪資變動(不計入)"",
  REGEXMATCH(C11726, ""押金""), ""押金往來"",
  AND(E11726&lt;&gt;"""", F11726=""""), ""真實支出"",
  AND(E11726="""", F11726&lt;&gt;""""), ""真實收入"",
  TRUE, ""其他""
)"),"其他")</f>
        <v>其他</v>
      </c>
      <c r="K11726" s="270" t="str">
        <f t="shared" si="2"/>
        <v/>
      </c>
      <c r="L11726">
        <f t="shared" si="3"/>
        <v>0</v>
      </c>
    </row>
    <row r="11727">
      <c r="A11727" s="107"/>
      <c r="D11727" s="270"/>
      <c r="H11727" s="106" t="str">
        <f t="shared" si="1"/>
        <v/>
      </c>
      <c r="J11727" t="str">
        <f>IFERROR(__xludf.DUMMYFUNCTION("IFS(
  AND(REGEXMATCH(E11727, ""台銀籌備帳戶|玉山帳戶""), REGEXMATCH(C11727, ""薪資"")), ""分潤支出"",
  AND(REGEXMATCH(E11727, ""Ben帳戶|Elsa帳戶|Ben代墊|Ariel代墊|中信銀行共用""), REGEXMATCH(F11727, ""Ben帳戶|Elsa帳戶|Ben代墊|Ariel代墊|中信銀行共用"")), ""內部轉帳(忽略)"",
  AND(E11727&lt;&gt;"""", F11727&lt;&gt;"&amp;""""", NOT(REGEXMATCH(C11727, ""薪資""))), ""內部轉帳(忽略)"",
  REGEXMATCH(C11727, ""薪資""), ""薪資變動(不計入)"",
  REGEXMATCH(C11727, ""押金""), ""押金往來"",
  AND(E11727&lt;&gt;"""", F11727=""""), ""真實支出"",
  AND(E11727="""", F11727&lt;&gt;""""), ""真實收入"",
  TRUE, ""其他""
)"),"其他")</f>
        <v>其他</v>
      </c>
      <c r="K11727" s="270" t="str">
        <f t="shared" si="2"/>
        <v/>
      </c>
      <c r="L11727">
        <f t="shared" si="3"/>
        <v>0</v>
      </c>
    </row>
    <row r="11728">
      <c r="A11728" s="107"/>
      <c r="D11728" s="270"/>
      <c r="H11728" s="106" t="str">
        <f t="shared" si="1"/>
        <v/>
      </c>
      <c r="J11728" t="str">
        <f>IFERROR(__xludf.DUMMYFUNCTION("IFS(
  AND(REGEXMATCH(E11728, ""台銀籌備帳戶|玉山帳戶""), REGEXMATCH(C11728, ""薪資"")), ""分潤支出"",
  AND(REGEXMATCH(E11728, ""Ben帳戶|Elsa帳戶|Ben代墊|Ariel代墊|中信銀行共用""), REGEXMATCH(F11728, ""Ben帳戶|Elsa帳戶|Ben代墊|Ariel代墊|中信銀行共用"")), ""內部轉帳(忽略)"",
  AND(E11728&lt;&gt;"""", F11728&lt;&gt;"&amp;""""", NOT(REGEXMATCH(C11728, ""薪資""))), ""內部轉帳(忽略)"",
  REGEXMATCH(C11728, ""薪資""), ""薪資變動(不計入)"",
  REGEXMATCH(C11728, ""押金""), ""押金往來"",
  AND(E11728&lt;&gt;"""", F11728=""""), ""真實支出"",
  AND(E11728="""", F11728&lt;&gt;""""), ""真實收入"",
  TRUE, ""其他""
)"),"其他")</f>
        <v>其他</v>
      </c>
      <c r="K11728" s="270" t="str">
        <f t="shared" si="2"/>
        <v/>
      </c>
      <c r="L11728">
        <f t="shared" si="3"/>
        <v>0</v>
      </c>
    </row>
    <row r="11729">
      <c r="A11729" s="107"/>
      <c r="D11729" s="270"/>
      <c r="H11729" s="106" t="str">
        <f t="shared" si="1"/>
        <v/>
      </c>
      <c r="J11729" t="str">
        <f>IFERROR(__xludf.DUMMYFUNCTION("IFS(
  AND(REGEXMATCH(E11729, ""台銀籌備帳戶|玉山帳戶""), REGEXMATCH(C11729, ""薪資"")), ""分潤支出"",
  AND(REGEXMATCH(E11729, ""Ben帳戶|Elsa帳戶|Ben代墊|Ariel代墊|中信銀行共用""), REGEXMATCH(F11729, ""Ben帳戶|Elsa帳戶|Ben代墊|Ariel代墊|中信銀行共用"")), ""內部轉帳(忽略)"",
  AND(E11729&lt;&gt;"""", F11729&lt;&gt;"&amp;""""", NOT(REGEXMATCH(C11729, ""薪資""))), ""內部轉帳(忽略)"",
  REGEXMATCH(C11729, ""薪資""), ""薪資變動(不計入)"",
  REGEXMATCH(C11729, ""押金""), ""押金往來"",
  AND(E11729&lt;&gt;"""", F11729=""""), ""真實支出"",
  AND(E11729="""", F11729&lt;&gt;""""), ""真實收入"",
  TRUE, ""其他""
)"),"其他")</f>
        <v>其他</v>
      </c>
      <c r="K11729" s="270" t="str">
        <f t="shared" si="2"/>
        <v/>
      </c>
      <c r="L11729">
        <f t="shared" si="3"/>
        <v>0</v>
      </c>
    </row>
    <row r="11730">
      <c r="A11730" s="107"/>
      <c r="D11730" s="270"/>
      <c r="H11730" s="106" t="str">
        <f t="shared" si="1"/>
        <v/>
      </c>
      <c r="J11730" t="str">
        <f>IFERROR(__xludf.DUMMYFUNCTION("IFS(
  AND(REGEXMATCH(E11730, ""台銀籌備帳戶|玉山帳戶""), REGEXMATCH(C11730, ""薪資"")), ""分潤支出"",
  AND(REGEXMATCH(E11730, ""Ben帳戶|Elsa帳戶|Ben代墊|Ariel代墊|中信銀行共用""), REGEXMATCH(F11730, ""Ben帳戶|Elsa帳戶|Ben代墊|Ariel代墊|中信銀行共用"")), ""內部轉帳(忽略)"",
  AND(E11730&lt;&gt;"""", F11730&lt;&gt;"&amp;""""", NOT(REGEXMATCH(C11730, ""薪資""))), ""內部轉帳(忽略)"",
  REGEXMATCH(C11730, ""薪資""), ""薪資變動(不計入)"",
  REGEXMATCH(C11730, ""押金""), ""押金往來"",
  AND(E11730&lt;&gt;"""", F11730=""""), ""真實支出"",
  AND(E11730="""", F11730&lt;&gt;""""), ""真實收入"",
  TRUE, ""其他""
)"),"其他")</f>
        <v>其他</v>
      </c>
      <c r="K11730" s="270" t="str">
        <f t="shared" si="2"/>
        <v/>
      </c>
      <c r="L11730">
        <f t="shared" si="3"/>
        <v>0</v>
      </c>
    </row>
    <row r="11731">
      <c r="A11731" s="107"/>
      <c r="D11731" s="270"/>
      <c r="H11731" s="106" t="str">
        <f t="shared" si="1"/>
        <v/>
      </c>
      <c r="J11731" t="str">
        <f>IFERROR(__xludf.DUMMYFUNCTION("IFS(
  AND(REGEXMATCH(E11731, ""台銀籌備帳戶|玉山帳戶""), REGEXMATCH(C11731, ""薪資"")), ""分潤支出"",
  AND(REGEXMATCH(E11731, ""Ben帳戶|Elsa帳戶|Ben代墊|Ariel代墊|中信銀行共用""), REGEXMATCH(F11731, ""Ben帳戶|Elsa帳戶|Ben代墊|Ariel代墊|中信銀行共用"")), ""內部轉帳(忽略)"",
  AND(E11731&lt;&gt;"""", F11731&lt;&gt;"&amp;""""", NOT(REGEXMATCH(C11731, ""薪資""))), ""內部轉帳(忽略)"",
  REGEXMATCH(C11731, ""薪資""), ""薪資變動(不計入)"",
  REGEXMATCH(C11731, ""押金""), ""押金往來"",
  AND(E11731&lt;&gt;"""", F11731=""""), ""真實支出"",
  AND(E11731="""", F11731&lt;&gt;""""), ""真實收入"",
  TRUE, ""其他""
)"),"其他")</f>
        <v>其他</v>
      </c>
      <c r="K11731" s="270" t="str">
        <f t="shared" si="2"/>
        <v/>
      </c>
      <c r="L11731">
        <f t="shared" si="3"/>
        <v>0</v>
      </c>
    </row>
    <row r="11732">
      <c r="A11732" s="107"/>
      <c r="D11732" s="270"/>
      <c r="H11732" s="106" t="str">
        <f t="shared" si="1"/>
        <v/>
      </c>
      <c r="J11732" t="str">
        <f>IFERROR(__xludf.DUMMYFUNCTION("IFS(
  AND(REGEXMATCH(E11732, ""台銀籌備帳戶|玉山帳戶""), REGEXMATCH(C11732, ""薪資"")), ""分潤支出"",
  AND(REGEXMATCH(E11732, ""Ben帳戶|Elsa帳戶|Ben代墊|Ariel代墊|中信銀行共用""), REGEXMATCH(F11732, ""Ben帳戶|Elsa帳戶|Ben代墊|Ariel代墊|中信銀行共用"")), ""內部轉帳(忽略)"",
  AND(E11732&lt;&gt;"""", F11732&lt;&gt;"&amp;""""", NOT(REGEXMATCH(C11732, ""薪資""))), ""內部轉帳(忽略)"",
  REGEXMATCH(C11732, ""薪資""), ""薪資變動(不計入)"",
  REGEXMATCH(C11732, ""押金""), ""押金往來"",
  AND(E11732&lt;&gt;"""", F11732=""""), ""真實支出"",
  AND(E11732="""", F11732&lt;&gt;""""), ""真實收入"",
  TRUE, ""其他""
)"),"其他")</f>
        <v>其他</v>
      </c>
      <c r="K11732" s="270" t="str">
        <f t="shared" si="2"/>
        <v/>
      </c>
      <c r="L11732">
        <f t="shared" si="3"/>
        <v>0</v>
      </c>
    </row>
    <row r="11733">
      <c r="A11733" s="107"/>
      <c r="D11733" s="270"/>
      <c r="H11733" s="106" t="str">
        <f t="shared" si="1"/>
        <v/>
      </c>
      <c r="J11733" t="str">
        <f>IFERROR(__xludf.DUMMYFUNCTION("IFS(
  AND(REGEXMATCH(E11733, ""台銀籌備帳戶|玉山帳戶""), REGEXMATCH(C11733, ""薪資"")), ""分潤支出"",
  AND(REGEXMATCH(E11733, ""Ben帳戶|Elsa帳戶|Ben代墊|Ariel代墊|中信銀行共用""), REGEXMATCH(F11733, ""Ben帳戶|Elsa帳戶|Ben代墊|Ariel代墊|中信銀行共用"")), ""內部轉帳(忽略)"",
  AND(E11733&lt;&gt;"""", F11733&lt;&gt;"&amp;""""", NOT(REGEXMATCH(C11733, ""薪資""))), ""內部轉帳(忽略)"",
  REGEXMATCH(C11733, ""薪資""), ""薪資變動(不計入)"",
  REGEXMATCH(C11733, ""押金""), ""押金往來"",
  AND(E11733&lt;&gt;"""", F11733=""""), ""真實支出"",
  AND(E11733="""", F11733&lt;&gt;""""), ""真實收入"",
  TRUE, ""其他""
)"),"其他")</f>
        <v>其他</v>
      </c>
      <c r="K11733" s="270" t="str">
        <f t="shared" si="2"/>
        <v/>
      </c>
      <c r="L11733">
        <f t="shared" si="3"/>
        <v>0</v>
      </c>
    </row>
    <row r="11734">
      <c r="A11734" s="107"/>
      <c r="D11734" s="270"/>
      <c r="H11734" s="106" t="str">
        <f t="shared" si="1"/>
        <v/>
      </c>
      <c r="J11734" t="str">
        <f>IFERROR(__xludf.DUMMYFUNCTION("IFS(
  AND(REGEXMATCH(E11734, ""台銀籌備帳戶|玉山帳戶""), REGEXMATCH(C11734, ""薪資"")), ""分潤支出"",
  AND(REGEXMATCH(E11734, ""Ben帳戶|Elsa帳戶|Ben代墊|Ariel代墊|中信銀行共用""), REGEXMATCH(F11734, ""Ben帳戶|Elsa帳戶|Ben代墊|Ariel代墊|中信銀行共用"")), ""內部轉帳(忽略)"",
  AND(E11734&lt;&gt;"""", F11734&lt;&gt;"&amp;""""", NOT(REGEXMATCH(C11734, ""薪資""))), ""內部轉帳(忽略)"",
  REGEXMATCH(C11734, ""薪資""), ""薪資變動(不計入)"",
  REGEXMATCH(C11734, ""押金""), ""押金往來"",
  AND(E11734&lt;&gt;"""", F11734=""""), ""真實支出"",
  AND(E11734="""", F11734&lt;&gt;""""), ""真實收入"",
  TRUE, ""其他""
)"),"其他")</f>
        <v>其他</v>
      </c>
      <c r="K11734" s="270" t="str">
        <f t="shared" si="2"/>
        <v/>
      </c>
      <c r="L11734">
        <f t="shared" si="3"/>
        <v>0</v>
      </c>
    </row>
    <row r="11735">
      <c r="A11735" s="107"/>
      <c r="D11735" s="270"/>
      <c r="H11735" s="106" t="str">
        <f t="shared" si="1"/>
        <v/>
      </c>
      <c r="J11735" t="str">
        <f>IFERROR(__xludf.DUMMYFUNCTION("IFS(
  AND(REGEXMATCH(E11735, ""台銀籌備帳戶|玉山帳戶""), REGEXMATCH(C11735, ""薪資"")), ""分潤支出"",
  AND(REGEXMATCH(E11735, ""Ben帳戶|Elsa帳戶|Ben代墊|Ariel代墊|中信銀行共用""), REGEXMATCH(F11735, ""Ben帳戶|Elsa帳戶|Ben代墊|Ariel代墊|中信銀行共用"")), ""內部轉帳(忽略)"",
  AND(E11735&lt;&gt;"""", F11735&lt;&gt;"&amp;""""", NOT(REGEXMATCH(C11735, ""薪資""))), ""內部轉帳(忽略)"",
  REGEXMATCH(C11735, ""薪資""), ""薪資變動(不計入)"",
  REGEXMATCH(C11735, ""押金""), ""押金往來"",
  AND(E11735&lt;&gt;"""", F11735=""""), ""真實支出"",
  AND(E11735="""", F11735&lt;&gt;""""), ""真實收入"",
  TRUE, ""其他""
)"),"其他")</f>
        <v>其他</v>
      </c>
      <c r="K11735" s="270" t="str">
        <f t="shared" si="2"/>
        <v/>
      </c>
      <c r="L11735">
        <f t="shared" si="3"/>
        <v>0</v>
      </c>
    </row>
    <row r="11736">
      <c r="A11736" s="107"/>
      <c r="D11736" s="270"/>
      <c r="H11736" s="106" t="str">
        <f t="shared" si="1"/>
        <v/>
      </c>
      <c r="J11736" t="str">
        <f>IFERROR(__xludf.DUMMYFUNCTION("IFS(
  AND(REGEXMATCH(E11736, ""台銀籌備帳戶|玉山帳戶""), REGEXMATCH(C11736, ""薪資"")), ""分潤支出"",
  AND(REGEXMATCH(E11736, ""Ben帳戶|Elsa帳戶|Ben代墊|Ariel代墊|中信銀行共用""), REGEXMATCH(F11736, ""Ben帳戶|Elsa帳戶|Ben代墊|Ariel代墊|中信銀行共用"")), ""內部轉帳(忽略)"",
  AND(E11736&lt;&gt;"""", F11736&lt;&gt;"&amp;""""", NOT(REGEXMATCH(C11736, ""薪資""))), ""內部轉帳(忽略)"",
  REGEXMATCH(C11736, ""薪資""), ""薪資變動(不計入)"",
  REGEXMATCH(C11736, ""押金""), ""押金往來"",
  AND(E11736&lt;&gt;"""", F11736=""""), ""真實支出"",
  AND(E11736="""", F11736&lt;&gt;""""), ""真實收入"",
  TRUE, ""其他""
)"),"其他")</f>
        <v>其他</v>
      </c>
      <c r="K11736" s="270" t="str">
        <f t="shared" si="2"/>
        <v/>
      </c>
      <c r="L11736">
        <f t="shared" si="3"/>
        <v>0</v>
      </c>
    </row>
    <row r="11737">
      <c r="A11737" s="107"/>
      <c r="D11737" s="270"/>
      <c r="H11737" s="106" t="str">
        <f t="shared" si="1"/>
        <v/>
      </c>
      <c r="J11737" t="str">
        <f>IFERROR(__xludf.DUMMYFUNCTION("IFS(
  AND(REGEXMATCH(E11737, ""台銀籌備帳戶|玉山帳戶""), REGEXMATCH(C11737, ""薪資"")), ""分潤支出"",
  AND(REGEXMATCH(E11737, ""Ben帳戶|Elsa帳戶|Ben代墊|Ariel代墊|中信銀行共用""), REGEXMATCH(F11737, ""Ben帳戶|Elsa帳戶|Ben代墊|Ariel代墊|中信銀行共用"")), ""內部轉帳(忽略)"",
  AND(E11737&lt;&gt;"""", F11737&lt;&gt;"&amp;""""", NOT(REGEXMATCH(C11737, ""薪資""))), ""內部轉帳(忽略)"",
  REGEXMATCH(C11737, ""薪資""), ""薪資變動(不計入)"",
  REGEXMATCH(C11737, ""押金""), ""押金往來"",
  AND(E11737&lt;&gt;"""", F11737=""""), ""真實支出"",
  AND(E11737="""", F11737&lt;&gt;""""), ""真實收入"",
  TRUE, ""其他""
)"),"其他")</f>
        <v>其他</v>
      </c>
      <c r="K11737" s="270" t="str">
        <f t="shared" si="2"/>
        <v/>
      </c>
      <c r="L11737">
        <f t="shared" si="3"/>
        <v>0</v>
      </c>
    </row>
    <row r="11738">
      <c r="A11738" s="107"/>
      <c r="D11738" s="270"/>
      <c r="H11738" s="106" t="str">
        <f t="shared" si="1"/>
        <v/>
      </c>
      <c r="J11738" t="str">
        <f>IFERROR(__xludf.DUMMYFUNCTION("IFS(
  AND(REGEXMATCH(E11738, ""台銀籌備帳戶|玉山帳戶""), REGEXMATCH(C11738, ""薪資"")), ""分潤支出"",
  AND(REGEXMATCH(E11738, ""Ben帳戶|Elsa帳戶|Ben代墊|Ariel代墊|中信銀行共用""), REGEXMATCH(F11738, ""Ben帳戶|Elsa帳戶|Ben代墊|Ariel代墊|中信銀行共用"")), ""內部轉帳(忽略)"",
  AND(E11738&lt;&gt;"""", F11738&lt;&gt;"&amp;""""", NOT(REGEXMATCH(C11738, ""薪資""))), ""內部轉帳(忽略)"",
  REGEXMATCH(C11738, ""薪資""), ""薪資變動(不計入)"",
  REGEXMATCH(C11738, ""押金""), ""押金往來"",
  AND(E11738&lt;&gt;"""", F11738=""""), ""真實支出"",
  AND(E11738="""", F11738&lt;&gt;""""), ""真實收入"",
  TRUE, ""其他""
)"),"其他")</f>
        <v>其他</v>
      </c>
      <c r="K11738" s="270" t="str">
        <f t="shared" si="2"/>
        <v/>
      </c>
      <c r="L11738">
        <f t="shared" si="3"/>
        <v>0</v>
      </c>
    </row>
    <row r="11739">
      <c r="A11739" s="107"/>
      <c r="D11739" s="270"/>
      <c r="H11739" s="106" t="str">
        <f t="shared" si="1"/>
        <v/>
      </c>
      <c r="J11739" t="str">
        <f>IFERROR(__xludf.DUMMYFUNCTION("IFS(
  AND(REGEXMATCH(E11739, ""台銀籌備帳戶|玉山帳戶""), REGEXMATCH(C11739, ""薪資"")), ""分潤支出"",
  AND(REGEXMATCH(E11739, ""Ben帳戶|Elsa帳戶|Ben代墊|Ariel代墊|中信銀行共用""), REGEXMATCH(F11739, ""Ben帳戶|Elsa帳戶|Ben代墊|Ariel代墊|中信銀行共用"")), ""內部轉帳(忽略)"",
  AND(E11739&lt;&gt;"""", F11739&lt;&gt;"&amp;""""", NOT(REGEXMATCH(C11739, ""薪資""))), ""內部轉帳(忽略)"",
  REGEXMATCH(C11739, ""薪資""), ""薪資變動(不計入)"",
  REGEXMATCH(C11739, ""押金""), ""押金往來"",
  AND(E11739&lt;&gt;"""", F11739=""""), ""真實支出"",
  AND(E11739="""", F11739&lt;&gt;""""), ""真實收入"",
  TRUE, ""其他""
)"),"其他")</f>
        <v>其他</v>
      </c>
      <c r="K11739" s="270" t="str">
        <f t="shared" si="2"/>
        <v/>
      </c>
      <c r="L11739">
        <f t="shared" si="3"/>
        <v>0</v>
      </c>
    </row>
    <row r="11740">
      <c r="A11740" s="107"/>
      <c r="D11740" s="270"/>
      <c r="H11740" s="106" t="str">
        <f t="shared" si="1"/>
        <v/>
      </c>
      <c r="J11740" t="str">
        <f>IFERROR(__xludf.DUMMYFUNCTION("IFS(
  AND(REGEXMATCH(E11740, ""台銀籌備帳戶|玉山帳戶""), REGEXMATCH(C11740, ""薪資"")), ""分潤支出"",
  AND(REGEXMATCH(E11740, ""Ben帳戶|Elsa帳戶|Ben代墊|Ariel代墊|中信銀行共用""), REGEXMATCH(F11740, ""Ben帳戶|Elsa帳戶|Ben代墊|Ariel代墊|中信銀行共用"")), ""內部轉帳(忽略)"",
  AND(E11740&lt;&gt;"""", F11740&lt;&gt;"&amp;""""", NOT(REGEXMATCH(C11740, ""薪資""))), ""內部轉帳(忽略)"",
  REGEXMATCH(C11740, ""薪資""), ""薪資變動(不計入)"",
  REGEXMATCH(C11740, ""押金""), ""押金往來"",
  AND(E11740&lt;&gt;"""", F11740=""""), ""真實支出"",
  AND(E11740="""", F11740&lt;&gt;""""), ""真實收入"",
  TRUE, ""其他""
)"),"其他")</f>
        <v>其他</v>
      </c>
      <c r="K11740" s="270" t="str">
        <f t="shared" si="2"/>
        <v/>
      </c>
      <c r="L11740">
        <f t="shared" si="3"/>
        <v>0</v>
      </c>
    </row>
    <row r="11741">
      <c r="A11741" s="107"/>
      <c r="D11741" s="270"/>
      <c r="H11741" s="106" t="str">
        <f t="shared" si="1"/>
        <v/>
      </c>
      <c r="J11741" t="str">
        <f>IFERROR(__xludf.DUMMYFUNCTION("IFS(
  AND(REGEXMATCH(E11741, ""台銀籌備帳戶|玉山帳戶""), REGEXMATCH(C11741, ""薪資"")), ""分潤支出"",
  AND(REGEXMATCH(E11741, ""Ben帳戶|Elsa帳戶|Ben代墊|Ariel代墊|中信銀行共用""), REGEXMATCH(F11741, ""Ben帳戶|Elsa帳戶|Ben代墊|Ariel代墊|中信銀行共用"")), ""內部轉帳(忽略)"",
  AND(E11741&lt;&gt;"""", F11741&lt;&gt;"&amp;""""", NOT(REGEXMATCH(C11741, ""薪資""))), ""內部轉帳(忽略)"",
  REGEXMATCH(C11741, ""薪資""), ""薪資變動(不計入)"",
  REGEXMATCH(C11741, ""押金""), ""押金往來"",
  AND(E11741&lt;&gt;"""", F11741=""""), ""真實支出"",
  AND(E11741="""", F11741&lt;&gt;""""), ""真實收入"",
  TRUE, ""其他""
)"),"其他")</f>
        <v>其他</v>
      </c>
      <c r="K11741" s="270" t="str">
        <f t="shared" si="2"/>
        <v/>
      </c>
      <c r="L11741">
        <f t="shared" si="3"/>
        <v>0</v>
      </c>
    </row>
    <row r="11742">
      <c r="A11742" s="107"/>
      <c r="D11742" s="270"/>
      <c r="H11742" s="106" t="str">
        <f t="shared" si="1"/>
        <v/>
      </c>
      <c r="J11742" t="str">
        <f>IFERROR(__xludf.DUMMYFUNCTION("IFS(
  AND(REGEXMATCH(E11742, ""台銀籌備帳戶|玉山帳戶""), REGEXMATCH(C11742, ""薪資"")), ""分潤支出"",
  AND(REGEXMATCH(E11742, ""Ben帳戶|Elsa帳戶|Ben代墊|Ariel代墊|中信銀行共用""), REGEXMATCH(F11742, ""Ben帳戶|Elsa帳戶|Ben代墊|Ariel代墊|中信銀行共用"")), ""內部轉帳(忽略)"",
  AND(E11742&lt;&gt;"""", F11742&lt;&gt;"&amp;""""", NOT(REGEXMATCH(C11742, ""薪資""))), ""內部轉帳(忽略)"",
  REGEXMATCH(C11742, ""薪資""), ""薪資變動(不計入)"",
  REGEXMATCH(C11742, ""押金""), ""押金往來"",
  AND(E11742&lt;&gt;"""", F11742=""""), ""真實支出"",
  AND(E11742="""", F11742&lt;&gt;""""), ""真實收入"",
  TRUE, ""其他""
)"),"其他")</f>
        <v>其他</v>
      </c>
      <c r="K11742" s="270" t="str">
        <f t="shared" si="2"/>
        <v/>
      </c>
      <c r="L11742">
        <f t="shared" si="3"/>
        <v>0</v>
      </c>
    </row>
    <row r="11743">
      <c r="A11743" s="107"/>
      <c r="D11743" s="270"/>
      <c r="H11743" s="106" t="str">
        <f t="shared" si="1"/>
        <v/>
      </c>
      <c r="J11743" t="str">
        <f>IFERROR(__xludf.DUMMYFUNCTION("IFS(
  AND(REGEXMATCH(E11743, ""台銀籌備帳戶|玉山帳戶""), REGEXMATCH(C11743, ""薪資"")), ""分潤支出"",
  AND(REGEXMATCH(E11743, ""Ben帳戶|Elsa帳戶|Ben代墊|Ariel代墊|中信銀行共用""), REGEXMATCH(F11743, ""Ben帳戶|Elsa帳戶|Ben代墊|Ariel代墊|中信銀行共用"")), ""內部轉帳(忽略)"",
  AND(E11743&lt;&gt;"""", F11743&lt;&gt;"&amp;""""", NOT(REGEXMATCH(C11743, ""薪資""))), ""內部轉帳(忽略)"",
  REGEXMATCH(C11743, ""薪資""), ""薪資變動(不計入)"",
  REGEXMATCH(C11743, ""押金""), ""押金往來"",
  AND(E11743&lt;&gt;"""", F11743=""""), ""真實支出"",
  AND(E11743="""", F11743&lt;&gt;""""), ""真實收入"",
  TRUE, ""其他""
)"),"其他")</f>
        <v>其他</v>
      </c>
      <c r="K11743" s="270" t="str">
        <f t="shared" si="2"/>
        <v/>
      </c>
      <c r="L11743">
        <f t="shared" si="3"/>
        <v>0</v>
      </c>
    </row>
    <row r="11744">
      <c r="A11744" s="107"/>
      <c r="D11744" s="270"/>
      <c r="H11744" s="106" t="str">
        <f t="shared" si="1"/>
        <v/>
      </c>
      <c r="J11744" t="str">
        <f>IFERROR(__xludf.DUMMYFUNCTION("IFS(
  AND(REGEXMATCH(E11744, ""台銀籌備帳戶|玉山帳戶""), REGEXMATCH(C11744, ""薪資"")), ""分潤支出"",
  AND(REGEXMATCH(E11744, ""Ben帳戶|Elsa帳戶|Ben代墊|Ariel代墊|中信銀行共用""), REGEXMATCH(F11744, ""Ben帳戶|Elsa帳戶|Ben代墊|Ariel代墊|中信銀行共用"")), ""內部轉帳(忽略)"",
  AND(E11744&lt;&gt;"""", F11744&lt;&gt;"&amp;""""", NOT(REGEXMATCH(C11744, ""薪資""))), ""內部轉帳(忽略)"",
  REGEXMATCH(C11744, ""薪資""), ""薪資變動(不計入)"",
  REGEXMATCH(C11744, ""押金""), ""押金往來"",
  AND(E11744&lt;&gt;"""", F11744=""""), ""真實支出"",
  AND(E11744="""", F11744&lt;&gt;""""), ""真實收入"",
  TRUE, ""其他""
)"),"其他")</f>
        <v>其他</v>
      </c>
      <c r="K11744" s="270" t="str">
        <f t="shared" si="2"/>
        <v/>
      </c>
      <c r="L11744">
        <f t="shared" si="3"/>
        <v>0</v>
      </c>
    </row>
    <row r="11745">
      <c r="A11745" s="107"/>
      <c r="D11745" s="270"/>
      <c r="H11745" s="106" t="str">
        <f t="shared" si="1"/>
        <v/>
      </c>
      <c r="J11745" t="str">
        <f>IFERROR(__xludf.DUMMYFUNCTION("IFS(
  AND(REGEXMATCH(E11745, ""台銀籌備帳戶|玉山帳戶""), REGEXMATCH(C11745, ""薪資"")), ""分潤支出"",
  AND(REGEXMATCH(E11745, ""Ben帳戶|Elsa帳戶|Ben代墊|Ariel代墊|中信銀行共用""), REGEXMATCH(F11745, ""Ben帳戶|Elsa帳戶|Ben代墊|Ariel代墊|中信銀行共用"")), ""內部轉帳(忽略)"",
  AND(E11745&lt;&gt;"""", F11745&lt;&gt;"&amp;""""", NOT(REGEXMATCH(C11745, ""薪資""))), ""內部轉帳(忽略)"",
  REGEXMATCH(C11745, ""薪資""), ""薪資變動(不計入)"",
  REGEXMATCH(C11745, ""押金""), ""押金往來"",
  AND(E11745&lt;&gt;"""", F11745=""""), ""真實支出"",
  AND(E11745="""", F11745&lt;&gt;""""), ""真實收入"",
  TRUE, ""其他""
)"),"其他")</f>
        <v>其他</v>
      </c>
      <c r="K11745" s="270" t="str">
        <f t="shared" si="2"/>
        <v/>
      </c>
      <c r="L11745">
        <f t="shared" si="3"/>
        <v>0</v>
      </c>
    </row>
    <row r="11746">
      <c r="A11746" s="107"/>
      <c r="D11746" s="270"/>
      <c r="H11746" s="106" t="str">
        <f t="shared" si="1"/>
        <v/>
      </c>
      <c r="J11746" t="str">
        <f>IFERROR(__xludf.DUMMYFUNCTION("IFS(
  AND(REGEXMATCH(E11746, ""台銀籌備帳戶|玉山帳戶""), REGEXMATCH(C11746, ""薪資"")), ""分潤支出"",
  AND(REGEXMATCH(E11746, ""Ben帳戶|Elsa帳戶|Ben代墊|Ariel代墊|中信銀行共用""), REGEXMATCH(F11746, ""Ben帳戶|Elsa帳戶|Ben代墊|Ariel代墊|中信銀行共用"")), ""內部轉帳(忽略)"",
  AND(E11746&lt;&gt;"""", F11746&lt;&gt;"&amp;""""", NOT(REGEXMATCH(C11746, ""薪資""))), ""內部轉帳(忽略)"",
  REGEXMATCH(C11746, ""薪資""), ""薪資變動(不計入)"",
  REGEXMATCH(C11746, ""押金""), ""押金往來"",
  AND(E11746&lt;&gt;"""", F11746=""""), ""真實支出"",
  AND(E11746="""", F11746&lt;&gt;""""), ""真實收入"",
  TRUE, ""其他""
)"),"其他")</f>
        <v>其他</v>
      </c>
      <c r="K11746" s="270" t="str">
        <f t="shared" si="2"/>
        <v/>
      </c>
      <c r="L11746">
        <f t="shared" si="3"/>
        <v>0</v>
      </c>
    </row>
    <row r="11747">
      <c r="A11747" s="107"/>
      <c r="D11747" s="270"/>
      <c r="H11747" s="106" t="str">
        <f t="shared" si="1"/>
        <v/>
      </c>
      <c r="J11747" t="str">
        <f>IFERROR(__xludf.DUMMYFUNCTION("IFS(
  AND(REGEXMATCH(E11747, ""台銀籌備帳戶|玉山帳戶""), REGEXMATCH(C11747, ""薪資"")), ""分潤支出"",
  AND(REGEXMATCH(E11747, ""Ben帳戶|Elsa帳戶|Ben代墊|Ariel代墊|中信銀行共用""), REGEXMATCH(F11747, ""Ben帳戶|Elsa帳戶|Ben代墊|Ariel代墊|中信銀行共用"")), ""內部轉帳(忽略)"",
  AND(E11747&lt;&gt;"""", F11747&lt;&gt;"&amp;""""", NOT(REGEXMATCH(C11747, ""薪資""))), ""內部轉帳(忽略)"",
  REGEXMATCH(C11747, ""薪資""), ""薪資變動(不計入)"",
  REGEXMATCH(C11747, ""押金""), ""押金往來"",
  AND(E11747&lt;&gt;"""", F11747=""""), ""真實支出"",
  AND(E11747="""", F11747&lt;&gt;""""), ""真實收入"",
  TRUE, ""其他""
)"),"其他")</f>
        <v>其他</v>
      </c>
      <c r="K11747" s="270" t="str">
        <f t="shared" si="2"/>
        <v/>
      </c>
      <c r="L11747">
        <f t="shared" si="3"/>
        <v>0</v>
      </c>
    </row>
    <row r="11748">
      <c r="A11748" s="107"/>
      <c r="D11748" s="270"/>
      <c r="H11748" s="106" t="str">
        <f t="shared" si="1"/>
        <v/>
      </c>
      <c r="J11748" t="str">
        <f>IFERROR(__xludf.DUMMYFUNCTION("IFS(
  AND(REGEXMATCH(E11748, ""台銀籌備帳戶|玉山帳戶""), REGEXMATCH(C11748, ""薪資"")), ""分潤支出"",
  AND(REGEXMATCH(E11748, ""Ben帳戶|Elsa帳戶|Ben代墊|Ariel代墊|中信銀行共用""), REGEXMATCH(F11748, ""Ben帳戶|Elsa帳戶|Ben代墊|Ariel代墊|中信銀行共用"")), ""內部轉帳(忽略)"",
  AND(E11748&lt;&gt;"""", F11748&lt;&gt;"&amp;""""", NOT(REGEXMATCH(C11748, ""薪資""))), ""內部轉帳(忽略)"",
  REGEXMATCH(C11748, ""薪資""), ""薪資變動(不計入)"",
  REGEXMATCH(C11748, ""押金""), ""押金往來"",
  AND(E11748&lt;&gt;"""", F11748=""""), ""真實支出"",
  AND(E11748="""", F11748&lt;&gt;""""), ""真實收入"",
  TRUE, ""其他""
)"),"其他")</f>
        <v>其他</v>
      </c>
      <c r="K11748" s="270" t="str">
        <f t="shared" si="2"/>
        <v/>
      </c>
      <c r="L11748">
        <f t="shared" si="3"/>
        <v>0</v>
      </c>
    </row>
    <row r="11749">
      <c r="A11749" s="107"/>
      <c r="D11749" s="270"/>
      <c r="H11749" s="106" t="str">
        <f t="shared" si="1"/>
        <v/>
      </c>
      <c r="J11749" t="str">
        <f>IFERROR(__xludf.DUMMYFUNCTION("IFS(
  AND(REGEXMATCH(E11749, ""台銀籌備帳戶|玉山帳戶""), REGEXMATCH(C11749, ""薪資"")), ""分潤支出"",
  AND(REGEXMATCH(E11749, ""Ben帳戶|Elsa帳戶|Ben代墊|Ariel代墊|中信銀行共用""), REGEXMATCH(F11749, ""Ben帳戶|Elsa帳戶|Ben代墊|Ariel代墊|中信銀行共用"")), ""內部轉帳(忽略)"",
  AND(E11749&lt;&gt;"""", F11749&lt;&gt;"&amp;""""", NOT(REGEXMATCH(C11749, ""薪資""))), ""內部轉帳(忽略)"",
  REGEXMATCH(C11749, ""薪資""), ""薪資變動(不計入)"",
  REGEXMATCH(C11749, ""押金""), ""押金往來"",
  AND(E11749&lt;&gt;"""", F11749=""""), ""真實支出"",
  AND(E11749="""", F11749&lt;&gt;""""), ""真實收入"",
  TRUE, ""其他""
)"),"其他")</f>
        <v>其他</v>
      </c>
      <c r="K11749" s="270" t="str">
        <f t="shared" si="2"/>
        <v/>
      </c>
      <c r="L11749">
        <f t="shared" si="3"/>
        <v>0</v>
      </c>
    </row>
    <row r="11750">
      <c r="A11750" s="107"/>
      <c r="D11750" s="270"/>
      <c r="H11750" s="106" t="str">
        <f t="shared" si="1"/>
        <v/>
      </c>
      <c r="J11750" t="str">
        <f>IFERROR(__xludf.DUMMYFUNCTION("IFS(
  AND(REGEXMATCH(E11750, ""台銀籌備帳戶|玉山帳戶""), REGEXMATCH(C11750, ""薪資"")), ""分潤支出"",
  AND(REGEXMATCH(E11750, ""Ben帳戶|Elsa帳戶|Ben代墊|Ariel代墊|中信銀行共用""), REGEXMATCH(F11750, ""Ben帳戶|Elsa帳戶|Ben代墊|Ariel代墊|中信銀行共用"")), ""內部轉帳(忽略)"",
  AND(E11750&lt;&gt;"""", F11750&lt;&gt;"&amp;""""", NOT(REGEXMATCH(C11750, ""薪資""))), ""內部轉帳(忽略)"",
  REGEXMATCH(C11750, ""薪資""), ""薪資變動(不計入)"",
  REGEXMATCH(C11750, ""押金""), ""押金往來"",
  AND(E11750&lt;&gt;"""", F11750=""""), ""真實支出"",
  AND(E11750="""", F11750&lt;&gt;""""), ""真實收入"",
  TRUE, ""其他""
)"),"其他")</f>
        <v>其他</v>
      </c>
      <c r="K11750" s="270" t="str">
        <f t="shared" si="2"/>
        <v/>
      </c>
      <c r="L11750">
        <f t="shared" si="3"/>
        <v>0</v>
      </c>
    </row>
    <row r="11751">
      <c r="A11751" s="107"/>
      <c r="D11751" s="270"/>
      <c r="H11751" s="106" t="str">
        <f t="shared" si="1"/>
        <v/>
      </c>
      <c r="J11751" t="str">
        <f>IFERROR(__xludf.DUMMYFUNCTION("IFS(
  AND(REGEXMATCH(E11751, ""台銀籌備帳戶|玉山帳戶""), REGEXMATCH(C11751, ""薪資"")), ""分潤支出"",
  AND(REGEXMATCH(E11751, ""Ben帳戶|Elsa帳戶|Ben代墊|Ariel代墊|中信銀行共用""), REGEXMATCH(F11751, ""Ben帳戶|Elsa帳戶|Ben代墊|Ariel代墊|中信銀行共用"")), ""內部轉帳(忽略)"",
  AND(E11751&lt;&gt;"""", F11751&lt;&gt;"&amp;""""", NOT(REGEXMATCH(C11751, ""薪資""))), ""內部轉帳(忽略)"",
  REGEXMATCH(C11751, ""薪資""), ""薪資變動(不計入)"",
  REGEXMATCH(C11751, ""押金""), ""押金往來"",
  AND(E11751&lt;&gt;"""", F11751=""""), ""真實支出"",
  AND(E11751="""", F11751&lt;&gt;""""), ""真實收入"",
  TRUE, ""其他""
)"),"其他")</f>
        <v>其他</v>
      </c>
      <c r="K11751" s="270" t="str">
        <f t="shared" si="2"/>
        <v/>
      </c>
      <c r="L11751">
        <f t="shared" si="3"/>
        <v>0</v>
      </c>
    </row>
    <row r="11752">
      <c r="A11752" s="107"/>
      <c r="D11752" s="270"/>
      <c r="H11752" s="106" t="str">
        <f t="shared" si="1"/>
        <v/>
      </c>
      <c r="J11752" t="str">
        <f>IFERROR(__xludf.DUMMYFUNCTION("IFS(
  AND(REGEXMATCH(E11752, ""台銀籌備帳戶|玉山帳戶""), REGEXMATCH(C11752, ""薪資"")), ""分潤支出"",
  AND(REGEXMATCH(E11752, ""Ben帳戶|Elsa帳戶|Ben代墊|Ariel代墊|中信銀行共用""), REGEXMATCH(F11752, ""Ben帳戶|Elsa帳戶|Ben代墊|Ariel代墊|中信銀行共用"")), ""內部轉帳(忽略)"",
  AND(E11752&lt;&gt;"""", F11752&lt;&gt;"&amp;""""", NOT(REGEXMATCH(C11752, ""薪資""))), ""內部轉帳(忽略)"",
  REGEXMATCH(C11752, ""薪資""), ""薪資變動(不計入)"",
  REGEXMATCH(C11752, ""押金""), ""押金往來"",
  AND(E11752&lt;&gt;"""", F11752=""""), ""真實支出"",
  AND(E11752="""", F11752&lt;&gt;""""), ""真實收入"",
  TRUE, ""其他""
)"),"其他")</f>
        <v>其他</v>
      </c>
      <c r="K11752" s="270" t="str">
        <f t="shared" si="2"/>
        <v/>
      </c>
      <c r="L11752">
        <f t="shared" si="3"/>
        <v>0</v>
      </c>
    </row>
    <row r="11753">
      <c r="A11753" s="107"/>
      <c r="D11753" s="270"/>
      <c r="H11753" s="106" t="str">
        <f t="shared" si="1"/>
        <v/>
      </c>
      <c r="J11753" t="str">
        <f>IFERROR(__xludf.DUMMYFUNCTION("IFS(
  AND(REGEXMATCH(E11753, ""台銀籌備帳戶|玉山帳戶""), REGEXMATCH(C11753, ""薪資"")), ""分潤支出"",
  AND(REGEXMATCH(E11753, ""Ben帳戶|Elsa帳戶|Ben代墊|Ariel代墊|中信銀行共用""), REGEXMATCH(F11753, ""Ben帳戶|Elsa帳戶|Ben代墊|Ariel代墊|中信銀行共用"")), ""內部轉帳(忽略)"",
  AND(E11753&lt;&gt;"""", F11753&lt;&gt;"&amp;""""", NOT(REGEXMATCH(C11753, ""薪資""))), ""內部轉帳(忽略)"",
  REGEXMATCH(C11753, ""薪資""), ""薪資變動(不計入)"",
  REGEXMATCH(C11753, ""押金""), ""押金往來"",
  AND(E11753&lt;&gt;"""", F11753=""""), ""真實支出"",
  AND(E11753="""", F11753&lt;&gt;""""), ""真實收入"",
  TRUE, ""其他""
)"),"其他")</f>
        <v>其他</v>
      </c>
      <c r="K11753" s="270" t="str">
        <f t="shared" si="2"/>
        <v/>
      </c>
      <c r="L11753">
        <f t="shared" si="3"/>
        <v>0</v>
      </c>
    </row>
    <row r="11754">
      <c r="A11754" s="107"/>
      <c r="D11754" s="270"/>
      <c r="H11754" s="106" t="str">
        <f t="shared" si="1"/>
        <v/>
      </c>
      <c r="J11754" t="str">
        <f>IFERROR(__xludf.DUMMYFUNCTION("IFS(
  AND(REGEXMATCH(E11754, ""台銀籌備帳戶|玉山帳戶""), REGEXMATCH(C11754, ""薪資"")), ""分潤支出"",
  AND(REGEXMATCH(E11754, ""Ben帳戶|Elsa帳戶|Ben代墊|Ariel代墊|中信銀行共用""), REGEXMATCH(F11754, ""Ben帳戶|Elsa帳戶|Ben代墊|Ariel代墊|中信銀行共用"")), ""內部轉帳(忽略)"",
  AND(E11754&lt;&gt;"""", F11754&lt;&gt;"&amp;""""", NOT(REGEXMATCH(C11754, ""薪資""))), ""內部轉帳(忽略)"",
  REGEXMATCH(C11754, ""薪資""), ""薪資變動(不計入)"",
  REGEXMATCH(C11754, ""押金""), ""押金往來"",
  AND(E11754&lt;&gt;"""", F11754=""""), ""真實支出"",
  AND(E11754="""", F11754&lt;&gt;""""), ""真實收入"",
  TRUE, ""其他""
)"),"其他")</f>
        <v>其他</v>
      </c>
      <c r="K11754" s="270" t="str">
        <f t="shared" si="2"/>
        <v/>
      </c>
      <c r="L11754">
        <f t="shared" si="3"/>
        <v>0</v>
      </c>
    </row>
    <row r="11755">
      <c r="A11755" s="107"/>
      <c r="D11755" s="270"/>
      <c r="H11755" s="106" t="str">
        <f t="shared" si="1"/>
        <v/>
      </c>
      <c r="J11755" t="str">
        <f>IFERROR(__xludf.DUMMYFUNCTION("IFS(
  AND(REGEXMATCH(E11755, ""台銀籌備帳戶|玉山帳戶""), REGEXMATCH(C11755, ""薪資"")), ""分潤支出"",
  AND(REGEXMATCH(E11755, ""Ben帳戶|Elsa帳戶|Ben代墊|Ariel代墊|中信銀行共用""), REGEXMATCH(F11755, ""Ben帳戶|Elsa帳戶|Ben代墊|Ariel代墊|中信銀行共用"")), ""內部轉帳(忽略)"",
  AND(E11755&lt;&gt;"""", F11755&lt;&gt;"&amp;""""", NOT(REGEXMATCH(C11755, ""薪資""))), ""內部轉帳(忽略)"",
  REGEXMATCH(C11755, ""薪資""), ""薪資變動(不計入)"",
  REGEXMATCH(C11755, ""押金""), ""押金往來"",
  AND(E11755&lt;&gt;"""", F11755=""""), ""真實支出"",
  AND(E11755="""", F11755&lt;&gt;""""), ""真實收入"",
  TRUE, ""其他""
)"),"其他")</f>
        <v>其他</v>
      </c>
      <c r="K11755" s="270" t="str">
        <f t="shared" si="2"/>
        <v/>
      </c>
      <c r="L11755">
        <f t="shared" si="3"/>
        <v>0</v>
      </c>
    </row>
    <row r="11756">
      <c r="A11756" s="107"/>
      <c r="D11756" s="270"/>
      <c r="H11756" s="106" t="str">
        <f t="shared" si="1"/>
        <v/>
      </c>
      <c r="J11756" t="str">
        <f>IFERROR(__xludf.DUMMYFUNCTION("IFS(
  AND(REGEXMATCH(E11756, ""台銀籌備帳戶|玉山帳戶""), REGEXMATCH(C11756, ""薪資"")), ""分潤支出"",
  AND(REGEXMATCH(E11756, ""Ben帳戶|Elsa帳戶|Ben代墊|Ariel代墊|中信銀行共用""), REGEXMATCH(F11756, ""Ben帳戶|Elsa帳戶|Ben代墊|Ariel代墊|中信銀行共用"")), ""內部轉帳(忽略)"",
  AND(E11756&lt;&gt;"""", F11756&lt;&gt;"&amp;""""", NOT(REGEXMATCH(C11756, ""薪資""))), ""內部轉帳(忽略)"",
  REGEXMATCH(C11756, ""薪資""), ""薪資變動(不計入)"",
  REGEXMATCH(C11756, ""押金""), ""押金往來"",
  AND(E11756&lt;&gt;"""", F11756=""""), ""真實支出"",
  AND(E11756="""", F11756&lt;&gt;""""), ""真實收入"",
  TRUE, ""其他""
)"),"其他")</f>
        <v>其他</v>
      </c>
      <c r="K11756" s="270" t="str">
        <f t="shared" si="2"/>
        <v/>
      </c>
      <c r="L11756">
        <f t="shared" si="3"/>
        <v>0</v>
      </c>
    </row>
    <row r="11757">
      <c r="A11757" s="107"/>
      <c r="D11757" s="270"/>
      <c r="H11757" s="106" t="str">
        <f t="shared" si="1"/>
        <v/>
      </c>
      <c r="J11757" t="str">
        <f>IFERROR(__xludf.DUMMYFUNCTION("IFS(
  AND(REGEXMATCH(E11757, ""台銀籌備帳戶|玉山帳戶""), REGEXMATCH(C11757, ""薪資"")), ""分潤支出"",
  AND(REGEXMATCH(E11757, ""Ben帳戶|Elsa帳戶|Ben代墊|Ariel代墊|中信銀行共用""), REGEXMATCH(F11757, ""Ben帳戶|Elsa帳戶|Ben代墊|Ariel代墊|中信銀行共用"")), ""內部轉帳(忽略)"",
  AND(E11757&lt;&gt;"""", F11757&lt;&gt;"&amp;""""", NOT(REGEXMATCH(C11757, ""薪資""))), ""內部轉帳(忽略)"",
  REGEXMATCH(C11757, ""薪資""), ""薪資變動(不計入)"",
  REGEXMATCH(C11757, ""押金""), ""押金往來"",
  AND(E11757&lt;&gt;"""", F11757=""""), ""真實支出"",
  AND(E11757="""", F11757&lt;&gt;""""), ""真實收入"",
  TRUE, ""其他""
)"),"其他")</f>
        <v>其他</v>
      </c>
      <c r="K11757" s="270" t="str">
        <f t="shared" si="2"/>
        <v/>
      </c>
      <c r="L11757">
        <f t="shared" si="3"/>
        <v>0</v>
      </c>
    </row>
    <row r="11758">
      <c r="A11758" s="107"/>
      <c r="D11758" s="270"/>
      <c r="H11758" s="106" t="str">
        <f t="shared" si="1"/>
        <v/>
      </c>
      <c r="J11758" t="str">
        <f>IFERROR(__xludf.DUMMYFUNCTION("IFS(
  AND(REGEXMATCH(E11758, ""台銀籌備帳戶|玉山帳戶""), REGEXMATCH(C11758, ""薪資"")), ""分潤支出"",
  AND(REGEXMATCH(E11758, ""Ben帳戶|Elsa帳戶|Ben代墊|Ariel代墊|中信銀行共用""), REGEXMATCH(F11758, ""Ben帳戶|Elsa帳戶|Ben代墊|Ariel代墊|中信銀行共用"")), ""內部轉帳(忽略)"",
  AND(E11758&lt;&gt;"""", F11758&lt;&gt;"&amp;""""", NOT(REGEXMATCH(C11758, ""薪資""))), ""內部轉帳(忽略)"",
  REGEXMATCH(C11758, ""薪資""), ""薪資變動(不計入)"",
  REGEXMATCH(C11758, ""押金""), ""押金往來"",
  AND(E11758&lt;&gt;"""", F11758=""""), ""真實支出"",
  AND(E11758="""", F11758&lt;&gt;""""), ""真實收入"",
  TRUE, ""其他""
)"),"其他")</f>
        <v>其他</v>
      </c>
      <c r="K11758" s="270" t="str">
        <f t="shared" si="2"/>
        <v/>
      </c>
      <c r="L11758">
        <f t="shared" si="3"/>
        <v>0</v>
      </c>
    </row>
    <row r="11759">
      <c r="A11759" s="107"/>
      <c r="D11759" s="270"/>
      <c r="H11759" s="106" t="str">
        <f t="shared" si="1"/>
        <v/>
      </c>
      <c r="J11759" t="str">
        <f>IFERROR(__xludf.DUMMYFUNCTION("IFS(
  AND(REGEXMATCH(E11759, ""台銀籌備帳戶|玉山帳戶""), REGEXMATCH(C11759, ""薪資"")), ""分潤支出"",
  AND(REGEXMATCH(E11759, ""Ben帳戶|Elsa帳戶|Ben代墊|Ariel代墊|中信銀行共用""), REGEXMATCH(F11759, ""Ben帳戶|Elsa帳戶|Ben代墊|Ariel代墊|中信銀行共用"")), ""內部轉帳(忽略)"",
  AND(E11759&lt;&gt;"""", F11759&lt;&gt;"&amp;""""", NOT(REGEXMATCH(C11759, ""薪資""))), ""內部轉帳(忽略)"",
  REGEXMATCH(C11759, ""薪資""), ""薪資變動(不計入)"",
  REGEXMATCH(C11759, ""押金""), ""押金往來"",
  AND(E11759&lt;&gt;"""", F11759=""""), ""真實支出"",
  AND(E11759="""", F11759&lt;&gt;""""), ""真實收入"",
  TRUE, ""其他""
)"),"其他")</f>
        <v>其他</v>
      </c>
      <c r="K11759" s="270" t="str">
        <f t="shared" si="2"/>
        <v/>
      </c>
      <c r="L11759">
        <f t="shared" si="3"/>
        <v>0</v>
      </c>
    </row>
    <row r="11760">
      <c r="A11760" s="107"/>
      <c r="D11760" s="270"/>
      <c r="H11760" s="106" t="str">
        <f t="shared" si="1"/>
        <v/>
      </c>
      <c r="J11760" t="str">
        <f>IFERROR(__xludf.DUMMYFUNCTION("IFS(
  AND(REGEXMATCH(E11760, ""台銀籌備帳戶|玉山帳戶""), REGEXMATCH(C11760, ""薪資"")), ""分潤支出"",
  AND(REGEXMATCH(E11760, ""Ben帳戶|Elsa帳戶|Ben代墊|Ariel代墊|中信銀行共用""), REGEXMATCH(F11760, ""Ben帳戶|Elsa帳戶|Ben代墊|Ariel代墊|中信銀行共用"")), ""內部轉帳(忽略)"",
  AND(E11760&lt;&gt;"""", F11760&lt;&gt;"&amp;""""", NOT(REGEXMATCH(C11760, ""薪資""))), ""內部轉帳(忽略)"",
  REGEXMATCH(C11760, ""薪資""), ""薪資變動(不計入)"",
  REGEXMATCH(C11760, ""押金""), ""押金往來"",
  AND(E11760&lt;&gt;"""", F11760=""""), ""真實支出"",
  AND(E11760="""", F11760&lt;&gt;""""), ""真實收入"",
  TRUE, ""其他""
)"),"其他")</f>
        <v>其他</v>
      </c>
      <c r="K11760" s="270" t="str">
        <f t="shared" si="2"/>
        <v/>
      </c>
      <c r="L11760">
        <f t="shared" si="3"/>
        <v>0</v>
      </c>
    </row>
    <row r="11761">
      <c r="A11761" s="107"/>
      <c r="D11761" s="270"/>
      <c r="H11761" s="106" t="str">
        <f t="shared" si="1"/>
        <v/>
      </c>
      <c r="J11761" t="str">
        <f>IFERROR(__xludf.DUMMYFUNCTION("IFS(
  AND(REGEXMATCH(E11761, ""台銀籌備帳戶|玉山帳戶""), REGEXMATCH(C11761, ""薪資"")), ""分潤支出"",
  AND(REGEXMATCH(E11761, ""Ben帳戶|Elsa帳戶|Ben代墊|Ariel代墊|中信銀行共用""), REGEXMATCH(F11761, ""Ben帳戶|Elsa帳戶|Ben代墊|Ariel代墊|中信銀行共用"")), ""內部轉帳(忽略)"",
  AND(E11761&lt;&gt;"""", F11761&lt;&gt;"&amp;""""", NOT(REGEXMATCH(C11761, ""薪資""))), ""內部轉帳(忽略)"",
  REGEXMATCH(C11761, ""薪資""), ""薪資變動(不計入)"",
  REGEXMATCH(C11761, ""押金""), ""押金往來"",
  AND(E11761&lt;&gt;"""", F11761=""""), ""真實支出"",
  AND(E11761="""", F11761&lt;&gt;""""), ""真實收入"",
  TRUE, ""其他""
)"),"其他")</f>
        <v>其他</v>
      </c>
      <c r="K11761" s="270" t="str">
        <f t="shared" si="2"/>
        <v/>
      </c>
      <c r="L11761">
        <f t="shared" si="3"/>
        <v>0</v>
      </c>
    </row>
    <row r="11762">
      <c r="A11762" s="107"/>
      <c r="D11762" s="270"/>
      <c r="H11762" s="106" t="str">
        <f t="shared" si="1"/>
        <v/>
      </c>
      <c r="J11762" t="str">
        <f>IFERROR(__xludf.DUMMYFUNCTION("IFS(
  AND(REGEXMATCH(E11762, ""台銀籌備帳戶|玉山帳戶""), REGEXMATCH(C11762, ""薪資"")), ""分潤支出"",
  AND(REGEXMATCH(E11762, ""Ben帳戶|Elsa帳戶|Ben代墊|Ariel代墊|中信銀行共用""), REGEXMATCH(F11762, ""Ben帳戶|Elsa帳戶|Ben代墊|Ariel代墊|中信銀行共用"")), ""內部轉帳(忽略)"",
  AND(E11762&lt;&gt;"""", F11762&lt;&gt;"&amp;""""", NOT(REGEXMATCH(C11762, ""薪資""))), ""內部轉帳(忽略)"",
  REGEXMATCH(C11762, ""薪資""), ""薪資變動(不計入)"",
  REGEXMATCH(C11762, ""押金""), ""押金往來"",
  AND(E11762&lt;&gt;"""", F11762=""""), ""真實支出"",
  AND(E11762="""", F11762&lt;&gt;""""), ""真實收入"",
  TRUE, ""其他""
)"),"其他")</f>
        <v>其他</v>
      </c>
      <c r="K11762" s="270" t="str">
        <f t="shared" si="2"/>
        <v/>
      </c>
      <c r="L11762">
        <f t="shared" si="3"/>
        <v>0</v>
      </c>
    </row>
    <row r="11763">
      <c r="A11763" s="107"/>
      <c r="D11763" s="270"/>
      <c r="H11763" s="106" t="str">
        <f t="shared" si="1"/>
        <v/>
      </c>
      <c r="J11763" t="str">
        <f>IFERROR(__xludf.DUMMYFUNCTION("IFS(
  AND(REGEXMATCH(E11763, ""台銀籌備帳戶|玉山帳戶""), REGEXMATCH(C11763, ""薪資"")), ""分潤支出"",
  AND(REGEXMATCH(E11763, ""Ben帳戶|Elsa帳戶|Ben代墊|Ariel代墊|中信銀行共用""), REGEXMATCH(F11763, ""Ben帳戶|Elsa帳戶|Ben代墊|Ariel代墊|中信銀行共用"")), ""內部轉帳(忽略)"",
  AND(E11763&lt;&gt;"""", F11763&lt;&gt;"&amp;""""", NOT(REGEXMATCH(C11763, ""薪資""))), ""內部轉帳(忽略)"",
  REGEXMATCH(C11763, ""薪資""), ""薪資變動(不計入)"",
  REGEXMATCH(C11763, ""押金""), ""押金往來"",
  AND(E11763&lt;&gt;"""", F11763=""""), ""真實支出"",
  AND(E11763="""", F11763&lt;&gt;""""), ""真實收入"",
  TRUE, ""其他""
)"),"其他")</f>
        <v>其他</v>
      </c>
      <c r="K11763" s="270" t="str">
        <f t="shared" si="2"/>
        <v/>
      </c>
      <c r="L11763">
        <f t="shared" si="3"/>
        <v>0</v>
      </c>
    </row>
    <row r="11764">
      <c r="A11764" s="107"/>
      <c r="D11764" s="270"/>
      <c r="H11764" s="106" t="str">
        <f t="shared" si="1"/>
        <v/>
      </c>
      <c r="J11764" t="str">
        <f>IFERROR(__xludf.DUMMYFUNCTION("IFS(
  AND(REGEXMATCH(E11764, ""台銀籌備帳戶|玉山帳戶""), REGEXMATCH(C11764, ""薪資"")), ""分潤支出"",
  AND(REGEXMATCH(E11764, ""Ben帳戶|Elsa帳戶|Ben代墊|Ariel代墊|中信銀行共用""), REGEXMATCH(F11764, ""Ben帳戶|Elsa帳戶|Ben代墊|Ariel代墊|中信銀行共用"")), ""內部轉帳(忽略)"",
  AND(E11764&lt;&gt;"""", F11764&lt;&gt;"&amp;""""", NOT(REGEXMATCH(C11764, ""薪資""))), ""內部轉帳(忽略)"",
  REGEXMATCH(C11764, ""薪資""), ""薪資變動(不計入)"",
  REGEXMATCH(C11764, ""押金""), ""押金往來"",
  AND(E11764&lt;&gt;"""", F11764=""""), ""真實支出"",
  AND(E11764="""", F11764&lt;&gt;""""), ""真實收入"",
  TRUE, ""其他""
)"),"其他")</f>
        <v>其他</v>
      </c>
      <c r="K11764" s="270" t="str">
        <f t="shared" si="2"/>
        <v/>
      </c>
      <c r="L11764">
        <f t="shared" si="3"/>
        <v>0</v>
      </c>
    </row>
    <row r="11765">
      <c r="A11765" s="107"/>
      <c r="D11765" s="270"/>
      <c r="H11765" s="106" t="str">
        <f t="shared" si="1"/>
        <v/>
      </c>
      <c r="J11765" t="str">
        <f>IFERROR(__xludf.DUMMYFUNCTION("IFS(
  AND(REGEXMATCH(E11765, ""台銀籌備帳戶|玉山帳戶""), REGEXMATCH(C11765, ""薪資"")), ""分潤支出"",
  AND(REGEXMATCH(E11765, ""Ben帳戶|Elsa帳戶|Ben代墊|Ariel代墊|中信銀行共用""), REGEXMATCH(F11765, ""Ben帳戶|Elsa帳戶|Ben代墊|Ariel代墊|中信銀行共用"")), ""內部轉帳(忽略)"",
  AND(E11765&lt;&gt;"""", F11765&lt;&gt;"&amp;""""", NOT(REGEXMATCH(C11765, ""薪資""))), ""內部轉帳(忽略)"",
  REGEXMATCH(C11765, ""薪資""), ""薪資變動(不計入)"",
  REGEXMATCH(C11765, ""押金""), ""押金往來"",
  AND(E11765&lt;&gt;"""", F11765=""""), ""真實支出"",
  AND(E11765="""", F11765&lt;&gt;""""), ""真實收入"",
  TRUE, ""其他""
)"),"其他")</f>
        <v>其他</v>
      </c>
      <c r="K11765" s="270" t="str">
        <f t="shared" si="2"/>
        <v/>
      </c>
      <c r="L11765">
        <f t="shared" si="3"/>
        <v>0</v>
      </c>
    </row>
    <row r="11766">
      <c r="A11766" s="107"/>
      <c r="D11766" s="270"/>
      <c r="H11766" s="106" t="str">
        <f t="shared" si="1"/>
        <v/>
      </c>
      <c r="J11766" t="str">
        <f>IFERROR(__xludf.DUMMYFUNCTION("IFS(
  AND(REGEXMATCH(E11766, ""台銀籌備帳戶|玉山帳戶""), REGEXMATCH(C11766, ""薪資"")), ""分潤支出"",
  AND(REGEXMATCH(E11766, ""Ben帳戶|Elsa帳戶|Ben代墊|Ariel代墊|中信銀行共用""), REGEXMATCH(F11766, ""Ben帳戶|Elsa帳戶|Ben代墊|Ariel代墊|中信銀行共用"")), ""內部轉帳(忽略)"",
  AND(E11766&lt;&gt;"""", F11766&lt;&gt;"&amp;""""", NOT(REGEXMATCH(C11766, ""薪資""))), ""內部轉帳(忽略)"",
  REGEXMATCH(C11766, ""薪資""), ""薪資變動(不計入)"",
  REGEXMATCH(C11766, ""押金""), ""押金往來"",
  AND(E11766&lt;&gt;"""", F11766=""""), ""真實支出"",
  AND(E11766="""", F11766&lt;&gt;""""), ""真實收入"",
  TRUE, ""其他""
)"),"其他")</f>
        <v>其他</v>
      </c>
      <c r="K11766" s="270" t="str">
        <f t="shared" si="2"/>
        <v/>
      </c>
      <c r="L11766">
        <f t="shared" si="3"/>
        <v>0</v>
      </c>
    </row>
    <row r="11767">
      <c r="A11767" s="107"/>
      <c r="D11767" s="270"/>
      <c r="H11767" s="106" t="str">
        <f t="shared" si="1"/>
        <v/>
      </c>
      <c r="J11767" t="str">
        <f>IFERROR(__xludf.DUMMYFUNCTION("IFS(
  AND(REGEXMATCH(E11767, ""台銀籌備帳戶|玉山帳戶""), REGEXMATCH(C11767, ""薪資"")), ""分潤支出"",
  AND(REGEXMATCH(E11767, ""Ben帳戶|Elsa帳戶|Ben代墊|Ariel代墊|中信銀行共用""), REGEXMATCH(F11767, ""Ben帳戶|Elsa帳戶|Ben代墊|Ariel代墊|中信銀行共用"")), ""內部轉帳(忽略)"",
  AND(E11767&lt;&gt;"""", F11767&lt;&gt;"&amp;""""", NOT(REGEXMATCH(C11767, ""薪資""))), ""內部轉帳(忽略)"",
  REGEXMATCH(C11767, ""薪資""), ""薪資變動(不計入)"",
  REGEXMATCH(C11767, ""押金""), ""押金往來"",
  AND(E11767&lt;&gt;"""", F11767=""""), ""真實支出"",
  AND(E11767="""", F11767&lt;&gt;""""), ""真實收入"",
  TRUE, ""其他""
)"),"其他")</f>
        <v>其他</v>
      </c>
      <c r="K11767" s="270" t="str">
        <f t="shared" si="2"/>
        <v/>
      </c>
      <c r="L11767">
        <f t="shared" si="3"/>
        <v>0</v>
      </c>
    </row>
    <row r="11768">
      <c r="A11768" s="107"/>
      <c r="D11768" s="270"/>
      <c r="H11768" s="106" t="str">
        <f t="shared" si="1"/>
        <v/>
      </c>
      <c r="J11768" t="str">
        <f>IFERROR(__xludf.DUMMYFUNCTION("IFS(
  AND(REGEXMATCH(E11768, ""台銀籌備帳戶|玉山帳戶""), REGEXMATCH(C11768, ""薪資"")), ""分潤支出"",
  AND(REGEXMATCH(E11768, ""Ben帳戶|Elsa帳戶|Ben代墊|Ariel代墊|中信銀行共用""), REGEXMATCH(F11768, ""Ben帳戶|Elsa帳戶|Ben代墊|Ariel代墊|中信銀行共用"")), ""內部轉帳(忽略)"",
  AND(E11768&lt;&gt;"""", F11768&lt;&gt;"&amp;""""", NOT(REGEXMATCH(C11768, ""薪資""))), ""內部轉帳(忽略)"",
  REGEXMATCH(C11768, ""薪資""), ""薪資變動(不計入)"",
  REGEXMATCH(C11768, ""押金""), ""押金往來"",
  AND(E11768&lt;&gt;"""", F11768=""""), ""真實支出"",
  AND(E11768="""", F11768&lt;&gt;""""), ""真實收入"",
  TRUE, ""其他""
)"),"其他")</f>
        <v>其他</v>
      </c>
      <c r="K11768" s="270" t="str">
        <f t="shared" si="2"/>
        <v/>
      </c>
      <c r="L11768">
        <f t="shared" si="3"/>
        <v>0</v>
      </c>
    </row>
    <row r="11769">
      <c r="A11769" s="107"/>
      <c r="D11769" s="270"/>
      <c r="H11769" s="106" t="str">
        <f t="shared" si="1"/>
        <v/>
      </c>
      <c r="J11769" t="str">
        <f>IFERROR(__xludf.DUMMYFUNCTION("IFS(
  AND(REGEXMATCH(E11769, ""台銀籌備帳戶|玉山帳戶""), REGEXMATCH(C11769, ""薪資"")), ""分潤支出"",
  AND(REGEXMATCH(E11769, ""Ben帳戶|Elsa帳戶|Ben代墊|Ariel代墊|中信銀行共用""), REGEXMATCH(F11769, ""Ben帳戶|Elsa帳戶|Ben代墊|Ariel代墊|中信銀行共用"")), ""內部轉帳(忽略)"",
  AND(E11769&lt;&gt;"""", F11769&lt;&gt;"&amp;""""", NOT(REGEXMATCH(C11769, ""薪資""))), ""內部轉帳(忽略)"",
  REGEXMATCH(C11769, ""薪資""), ""薪資變動(不計入)"",
  REGEXMATCH(C11769, ""押金""), ""押金往來"",
  AND(E11769&lt;&gt;"""", F11769=""""), ""真實支出"",
  AND(E11769="""", F11769&lt;&gt;""""), ""真實收入"",
  TRUE, ""其他""
)"),"其他")</f>
        <v>其他</v>
      </c>
      <c r="K11769" s="270" t="str">
        <f t="shared" si="2"/>
        <v/>
      </c>
      <c r="L11769">
        <f t="shared" si="3"/>
        <v>0</v>
      </c>
    </row>
    <row r="11770">
      <c r="A11770" s="107"/>
      <c r="D11770" s="270"/>
      <c r="H11770" s="106" t="str">
        <f t="shared" si="1"/>
        <v/>
      </c>
      <c r="J11770" t="str">
        <f>IFERROR(__xludf.DUMMYFUNCTION("IFS(
  AND(REGEXMATCH(E11770, ""台銀籌備帳戶|玉山帳戶""), REGEXMATCH(C11770, ""薪資"")), ""分潤支出"",
  AND(REGEXMATCH(E11770, ""Ben帳戶|Elsa帳戶|Ben代墊|Ariel代墊|中信銀行共用""), REGEXMATCH(F11770, ""Ben帳戶|Elsa帳戶|Ben代墊|Ariel代墊|中信銀行共用"")), ""內部轉帳(忽略)"",
  AND(E11770&lt;&gt;"""", F11770&lt;&gt;"&amp;""""", NOT(REGEXMATCH(C11770, ""薪資""))), ""內部轉帳(忽略)"",
  REGEXMATCH(C11770, ""薪資""), ""薪資變動(不計入)"",
  REGEXMATCH(C11770, ""押金""), ""押金往來"",
  AND(E11770&lt;&gt;"""", F11770=""""), ""真實支出"",
  AND(E11770="""", F11770&lt;&gt;""""), ""真實收入"",
  TRUE, ""其他""
)"),"其他")</f>
        <v>其他</v>
      </c>
      <c r="K11770" s="270" t="str">
        <f t="shared" si="2"/>
        <v/>
      </c>
      <c r="L11770">
        <f t="shared" si="3"/>
        <v>0</v>
      </c>
    </row>
    <row r="11771">
      <c r="A11771" s="107"/>
      <c r="D11771" s="270"/>
      <c r="H11771" s="106" t="str">
        <f t="shared" si="1"/>
        <v/>
      </c>
      <c r="J11771" t="str">
        <f>IFERROR(__xludf.DUMMYFUNCTION("IFS(
  AND(REGEXMATCH(E11771, ""台銀籌備帳戶|玉山帳戶""), REGEXMATCH(C11771, ""薪資"")), ""分潤支出"",
  AND(REGEXMATCH(E11771, ""Ben帳戶|Elsa帳戶|Ben代墊|Ariel代墊|中信銀行共用""), REGEXMATCH(F11771, ""Ben帳戶|Elsa帳戶|Ben代墊|Ariel代墊|中信銀行共用"")), ""內部轉帳(忽略)"",
  AND(E11771&lt;&gt;"""", F11771&lt;&gt;"&amp;""""", NOT(REGEXMATCH(C11771, ""薪資""))), ""內部轉帳(忽略)"",
  REGEXMATCH(C11771, ""薪資""), ""薪資變動(不計入)"",
  REGEXMATCH(C11771, ""押金""), ""押金往來"",
  AND(E11771&lt;&gt;"""", F11771=""""), ""真實支出"",
  AND(E11771="""", F11771&lt;&gt;""""), ""真實收入"",
  TRUE, ""其他""
)"),"其他")</f>
        <v>其他</v>
      </c>
      <c r="K11771" s="270" t="str">
        <f t="shared" si="2"/>
        <v/>
      </c>
      <c r="L11771">
        <f t="shared" si="3"/>
        <v>0</v>
      </c>
    </row>
    <row r="11772">
      <c r="A11772" s="107"/>
      <c r="D11772" s="270"/>
      <c r="H11772" s="106" t="str">
        <f t="shared" si="1"/>
        <v/>
      </c>
      <c r="J11772" t="str">
        <f>IFERROR(__xludf.DUMMYFUNCTION("IFS(
  AND(REGEXMATCH(E11772, ""台銀籌備帳戶|玉山帳戶""), REGEXMATCH(C11772, ""薪資"")), ""分潤支出"",
  AND(REGEXMATCH(E11772, ""Ben帳戶|Elsa帳戶|Ben代墊|Ariel代墊|中信銀行共用""), REGEXMATCH(F11772, ""Ben帳戶|Elsa帳戶|Ben代墊|Ariel代墊|中信銀行共用"")), ""內部轉帳(忽略)"",
  AND(E11772&lt;&gt;"""", F11772&lt;&gt;"&amp;""""", NOT(REGEXMATCH(C11772, ""薪資""))), ""內部轉帳(忽略)"",
  REGEXMATCH(C11772, ""薪資""), ""薪資變動(不計入)"",
  REGEXMATCH(C11772, ""押金""), ""押金往來"",
  AND(E11772&lt;&gt;"""", F11772=""""), ""真實支出"",
  AND(E11772="""", F11772&lt;&gt;""""), ""真實收入"",
  TRUE, ""其他""
)"),"其他")</f>
        <v>其他</v>
      </c>
      <c r="K11772" s="270" t="str">
        <f t="shared" si="2"/>
        <v/>
      </c>
      <c r="L11772">
        <f t="shared" si="3"/>
        <v>0</v>
      </c>
    </row>
    <row r="11773">
      <c r="A11773" s="107"/>
      <c r="D11773" s="270"/>
      <c r="H11773" s="106" t="str">
        <f t="shared" si="1"/>
        <v/>
      </c>
      <c r="J11773" t="str">
        <f>IFERROR(__xludf.DUMMYFUNCTION("IFS(
  AND(REGEXMATCH(E11773, ""台銀籌備帳戶|玉山帳戶""), REGEXMATCH(C11773, ""薪資"")), ""分潤支出"",
  AND(REGEXMATCH(E11773, ""Ben帳戶|Elsa帳戶|Ben代墊|Ariel代墊|中信銀行共用""), REGEXMATCH(F11773, ""Ben帳戶|Elsa帳戶|Ben代墊|Ariel代墊|中信銀行共用"")), ""內部轉帳(忽略)"",
  AND(E11773&lt;&gt;"""", F11773&lt;&gt;"&amp;""""", NOT(REGEXMATCH(C11773, ""薪資""))), ""內部轉帳(忽略)"",
  REGEXMATCH(C11773, ""薪資""), ""薪資變動(不計入)"",
  REGEXMATCH(C11773, ""押金""), ""押金往來"",
  AND(E11773&lt;&gt;"""", F11773=""""), ""真實支出"",
  AND(E11773="""", F11773&lt;&gt;""""), ""真實收入"",
  TRUE, ""其他""
)"),"其他")</f>
        <v>其他</v>
      </c>
      <c r="K11773" s="270" t="str">
        <f t="shared" si="2"/>
        <v/>
      </c>
      <c r="L11773">
        <f t="shared" si="3"/>
        <v>0</v>
      </c>
    </row>
    <row r="11774">
      <c r="A11774" s="107"/>
      <c r="D11774" s="270"/>
      <c r="H11774" s="106" t="str">
        <f t="shared" si="1"/>
        <v/>
      </c>
      <c r="J11774" t="str">
        <f>IFERROR(__xludf.DUMMYFUNCTION("IFS(
  AND(REGEXMATCH(E11774, ""台銀籌備帳戶|玉山帳戶""), REGEXMATCH(C11774, ""薪資"")), ""分潤支出"",
  AND(REGEXMATCH(E11774, ""Ben帳戶|Elsa帳戶|Ben代墊|Ariel代墊|中信銀行共用""), REGEXMATCH(F11774, ""Ben帳戶|Elsa帳戶|Ben代墊|Ariel代墊|中信銀行共用"")), ""內部轉帳(忽略)"",
  AND(E11774&lt;&gt;"""", F11774&lt;&gt;"&amp;""""", NOT(REGEXMATCH(C11774, ""薪資""))), ""內部轉帳(忽略)"",
  REGEXMATCH(C11774, ""薪資""), ""薪資變動(不計入)"",
  REGEXMATCH(C11774, ""押金""), ""押金往來"",
  AND(E11774&lt;&gt;"""", F11774=""""), ""真實支出"",
  AND(E11774="""", F11774&lt;&gt;""""), ""真實收入"",
  TRUE, ""其他""
)"),"其他")</f>
        <v>其他</v>
      </c>
      <c r="K11774" s="270" t="str">
        <f t="shared" si="2"/>
        <v/>
      </c>
      <c r="L11774">
        <f t="shared" si="3"/>
        <v>0</v>
      </c>
    </row>
    <row r="11775">
      <c r="A11775" s="107"/>
      <c r="D11775" s="270"/>
      <c r="H11775" s="106" t="str">
        <f t="shared" si="1"/>
        <v/>
      </c>
      <c r="J11775" t="str">
        <f>IFERROR(__xludf.DUMMYFUNCTION("IFS(
  AND(REGEXMATCH(E11775, ""台銀籌備帳戶|玉山帳戶""), REGEXMATCH(C11775, ""薪資"")), ""分潤支出"",
  AND(REGEXMATCH(E11775, ""Ben帳戶|Elsa帳戶|Ben代墊|Ariel代墊|中信銀行共用""), REGEXMATCH(F11775, ""Ben帳戶|Elsa帳戶|Ben代墊|Ariel代墊|中信銀行共用"")), ""內部轉帳(忽略)"",
  AND(E11775&lt;&gt;"""", F11775&lt;&gt;"&amp;""""", NOT(REGEXMATCH(C11775, ""薪資""))), ""內部轉帳(忽略)"",
  REGEXMATCH(C11775, ""薪資""), ""薪資變動(不計入)"",
  REGEXMATCH(C11775, ""押金""), ""押金往來"",
  AND(E11775&lt;&gt;"""", F11775=""""), ""真實支出"",
  AND(E11775="""", F11775&lt;&gt;""""), ""真實收入"",
  TRUE, ""其他""
)"),"其他")</f>
        <v>其他</v>
      </c>
      <c r="K11775" s="270" t="str">
        <f t="shared" si="2"/>
        <v/>
      </c>
      <c r="L11775">
        <f t="shared" si="3"/>
        <v>0</v>
      </c>
    </row>
    <row r="11776">
      <c r="A11776" s="107"/>
      <c r="D11776" s="270"/>
      <c r="H11776" s="106" t="str">
        <f t="shared" si="1"/>
        <v/>
      </c>
      <c r="J11776" t="str">
        <f>IFERROR(__xludf.DUMMYFUNCTION("IFS(
  AND(REGEXMATCH(E11776, ""台銀籌備帳戶|玉山帳戶""), REGEXMATCH(C11776, ""薪資"")), ""分潤支出"",
  AND(REGEXMATCH(E11776, ""Ben帳戶|Elsa帳戶|Ben代墊|Ariel代墊|中信銀行共用""), REGEXMATCH(F11776, ""Ben帳戶|Elsa帳戶|Ben代墊|Ariel代墊|中信銀行共用"")), ""內部轉帳(忽略)"",
  AND(E11776&lt;&gt;"""", F11776&lt;&gt;"&amp;""""", NOT(REGEXMATCH(C11776, ""薪資""))), ""內部轉帳(忽略)"",
  REGEXMATCH(C11776, ""薪資""), ""薪資變動(不計入)"",
  REGEXMATCH(C11776, ""押金""), ""押金往來"",
  AND(E11776&lt;&gt;"""", F11776=""""), ""真實支出"",
  AND(E11776="""", F11776&lt;&gt;""""), ""真實收入"",
  TRUE, ""其他""
)"),"其他")</f>
        <v>其他</v>
      </c>
      <c r="K11776" s="270" t="str">
        <f t="shared" si="2"/>
        <v/>
      </c>
      <c r="L11776">
        <f t="shared" si="3"/>
        <v>0</v>
      </c>
    </row>
    <row r="11777">
      <c r="A11777" s="107"/>
      <c r="D11777" s="270"/>
      <c r="H11777" s="106" t="str">
        <f t="shared" si="1"/>
        <v/>
      </c>
      <c r="J11777" t="str">
        <f>IFERROR(__xludf.DUMMYFUNCTION("IFS(
  AND(REGEXMATCH(E11777, ""台銀籌備帳戶|玉山帳戶""), REGEXMATCH(C11777, ""薪資"")), ""分潤支出"",
  AND(REGEXMATCH(E11777, ""Ben帳戶|Elsa帳戶|Ben代墊|Ariel代墊|中信銀行共用""), REGEXMATCH(F11777, ""Ben帳戶|Elsa帳戶|Ben代墊|Ariel代墊|中信銀行共用"")), ""內部轉帳(忽略)"",
  AND(E11777&lt;&gt;"""", F11777&lt;&gt;"&amp;""""", NOT(REGEXMATCH(C11777, ""薪資""))), ""內部轉帳(忽略)"",
  REGEXMATCH(C11777, ""薪資""), ""薪資變動(不計入)"",
  REGEXMATCH(C11777, ""押金""), ""押金往來"",
  AND(E11777&lt;&gt;"""", F11777=""""), ""真實支出"",
  AND(E11777="""", F11777&lt;&gt;""""), ""真實收入"",
  TRUE, ""其他""
)"),"其他")</f>
        <v>其他</v>
      </c>
      <c r="K11777" s="270" t="str">
        <f t="shared" si="2"/>
        <v/>
      </c>
      <c r="L11777">
        <f t="shared" si="3"/>
        <v>0</v>
      </c>
    </row>
    <row r="11778">
      <c r="A11778" s="107"/>
      <c r="D11778" s="270"/>
      <c r="H11778" s="106" t="str">
        <f t="shared" si="1"/>
        <v/>
      </c>
      <c r="J11778" t="str">
        <f>IFERROR(__xludf.DUMMYFUNCTION("IFS(
  AND(REGEXMATCH(E11778, ""台銀籌備帳戶|玉山帳戶""), REGEXMATCH(C11778, ""薪資"")), ""分潤支出"",
  AND(REGEXMATCH(E11778, ""Ben帳戶|Elsa帳戶|Ben代墊|Ariel代墊|中信銀行共用""), REGEXMATCH(F11778, ""Ben帳戶|Elsa帳戶|Ben代墊|Ariel代墊|中信銀行共用"")), ""內部轉帳(忽略)"",
  AND(E11778&lt;&gt;"""", F11778&lt;&gt;"&amp;""""", NOT(REGEXMATCH(C11778, ""薪資""))), ""內部轉帳(忽略)"",
  REGEXMATCH(C11778, ""薪資""), ""薪資變動(不計入)"",
  REGEXMATCH(C11778, ""押金""), ""押金往來"",
  AND(E11778&lt;&gt;"""", F11778=""""), ""真實支出"",
  AND(E11778="""", F11778&lt;&gt;""""), ""真實收入"",
  TRUE, ""其他""
)"),"其他")</f>
        <v>其他</v>
      </c>
      <c r="K11778" s="270" t="str">
        <f t="shared" si="2"/>
        <v/>
      </c>
      <c r="L11778">
        <f t="shared" si="3"/>
        <v>0</v>
      </c>
    </row>
    <row r="11779">
      <c r="A11779" s="107"/>
      <c r="D11779" s="270"/>
      <c r="H11779" s="106" t="str">
        <f t="shared" si="1"/>
        <v/>
      </c>
      <c r="J11779" t="str">
        <f>IFERROR(__xludf.DUMMYFUNCTION("IFS(
  AND(REGEXMATCH(E11779, ""台銀籌備帳戶|玉山帳戶""), REGEXMATCH(C11779, ""薪資"")), ""分潤支出"",
  AND(REGEXMATCH(E11779, ""Ben帳戶|Elsa帳戶|Ben代墊|Ariel代墊|中信銀行共用""), REGEXMATCH(F11779, ""Ben帳戶|Elsa帳戶|Ben代墊|Ariel代墊|中信銀行共用"")), ""內部轉帳(忽略)"",
  AND(E11779&lt;&gt;"""", F11779&lt;&gt;"&amp;""""", NOT(REGEXMATCH(C11779, ""薪資""))), ""內部轉帳(忽略)"",
  REGEXMATCH(C11779, ""薪資""), ""薪資變動(不計入)"",
  REGEXMATCH(C11779, ""押金""), ""押金往來"",
  AND(E11779&lt;&gt;"""", F11779=""""), ""真實支出"",
  AND(E11779="""", F11779&lt;&gt;""""), ""真實收入"",
  TRUE, ""其他""
)"),"其他")</f>
        <v>其他</v>
      </c>
      <c r="K11779" s="270" t="str">
        <f t="shared" si="2"/>
        <v/>
      </c>
      <c r="L11779">
        <f t="shared" si="3"/>
        <v>0</v>
      </c>
    </row>
    <row r="11780">
      <c r="A11780" s="107"/>
      <c r="D11780" s="270"/>
      <c r="H11780" s="106" t="str">
        <f t="shared" si="1"/>
        <v/>
      </c>
      <c r="J11780" t="str">
        <f>IFERROR(__xludf.DUMMYFUNCTION("IFS(
  AND(REGEXMATCH(E11780, ""台銀籌備帳戶|玉山帳戶""), REGEXMATCH(C11780, ""薪資"")), ""分潤支出"",
  AND(REGEXMATCH(E11780, ""Ben帳戶|Elsa帳戶|Ben代墊|Ariel代墊|中信銀行共用""), REGEXMATCH(F11780, ""Ben帳戶|Elsa帳戶|Ben代墊|Ariel代墊|中信銀行共用"")), ""內部轉帳(忽略)"",
  AND(E11780&lt;&gt;"""", F11780&lt;&gt;"&amp;""""", NOT(REGEXMATCH(C11780, ""薪資""))), ""內部轉帳(忽略)"",
  REGEXMATCH(C11780, ""薪資""), ""薪資變動(不計入)"",
  REGEXMATCH(C11780, ""押金""), ""押金往來"",
  AND(E11780&lt;&gt;"""", F11780=""""), ""真實支出"",
  AND(E11780="""", F11780&lt;&gt;""""), ""真實收入"",
  TRUE, ""其他""
)"),"其他")</f>
        <v>其他</v>
      </c>
      <c r="K11780" s="270" t="str">
        <f t="shared" si="2"/>
        <v/>
      </c>
      <c r="L11780">
        <f t="shared" si="3"/>
        <v>0</v>
      </c>
    </row>
    <row r="11781">
      <c r="A11781" s="107"/>
      <c r="D11781" s="270"/>
      <c r="H11781" s="106" t="str">
        <f t="shared" si="1"/>
        <v/>
      </c>
      <c r="J11781" t="str">
        <f>IFERROR(__xludf.DUMMYFUNCTION("IFS(
  AND(REGEXMATCH(E11781, ""台銀籌備帳戶|玉山帳戶""), REGEXMATCH(C11781, ""薪資"")), ""分潤支出"",
  AND(REGEXMATCH(E11781, ""Ben帳戶|Elsa帳戶|Ben代墊|Ariel代墊|中信銀行共用""), REGEXMATCH(F11781, ""Ben帳戶|Elsa帳戶|Ben代墊|Ariel代墊|中信銀行共用"")), ""內部轉帳(忽略)"",
  AND(E11781&lt;&gt;"""", F11781&lt;&gt;"&amp;""""", NOT(REGEXMATCH(C11781, ""薪資""))), ""內部轉帳(忽略)"",
  REGEXMATCH(C11781, ""薪資""), ""薪資變動(不計入)"",
  REGEXMATCH(C11781, ""押金""), ""押金往來"",
  AND(E11781&lt;&gt;"""", F11781=""""), ""真實支出"",
  AND(E11781="""", F11781&lt;&gt;""""), ""真實收入"",
  TRUE, ""其他""
)"),"其他")</f>
        <v>其他</v>
      </c>
      <c r="K11781" s="270" t="str">
        <f t="shared" si="2"/>
        <v/>
      </c>
      <c r="L11781">
        <f t="shared" si="3"/>
        <v>0</v>
      </c>
    </row>
    <row r="11782">
      <c r="A11782" s="107"/>
      <c r="D11782" s="270"/>
      <c r="H11782" s="106" t="str">
        <f t="shared" si="1"/>
        <v/>
      </c>
      <c r="J11782" t="str">
        <f>IFERROR(__xludf.DUMMYFUNCTION("IFS(
  AND(REGEXMATCH(E11782, ""台銀籌備帳戶|玉山帳戶""), REGEXMATCH(C11782, ""薪資"")), ""分潤支出"",
  AND(REGEXMATCH(E11782, ""Ben帳戶|Elsa帳戶|Ben代墊|Ariel代墊|中信銀行共用""), REGEXMATCH(F11782, ""Ben帳戶|Elsa帳戶|Ben代墊|Ariel代墊|中信銀行共用"")), ""內部轉帳(忽略)"",
  AND(E11782&lt;&gt;"""", F11782&lt;&gt;"&amp;""""", NOT(REGEXMATCH(C11782, ""薪資""))), ""內部轉帳(忽略)"",
  REGEXMATCH(C11782, ""薪資""), ""薪資變動(不計入)"",
  REGEXMATCH(C11782, ""押金""), ""押金往來"",
  AND(E11782&lt;&gt;"""", F11782=""""), ""真實支出"",
  AND(E11782="""", F11782&lt;&gt;""""), ""真實收入"",
  TRUE, ""其他""
)"),"其他")</f>
        <v>其他</v>
      </c>
      <c r="K11782" s="270" t="str">
        <f t="shared" si="2"/>
        <v/>
      </c>
      <c r="L11782">
        <f t="shared" si="3"/>
        <v>0</v>
      </c>
    </row>
    <row r="11783">
      <c r="A11783" s="107"/>
      <c r="D11783" s="270"/>
      <c r="H11783" s="106" t="str">
        <f t="shared" si="1"/>
        <v/>
      </c>
      <c r="J11783" t="str">
        <f>IFERROR(__xludf.DUMMYFUNCTION("IFS(
  AND(REGEXMATCH(E11783, ""台銀籌備帳戶|玉山帳戶""), REGEXMATCH(C11783, ""薪資"")), ""分潤支出"",
  AND(REGEXMATCH(E11783, ""Ben帳戶|Elsa帳戶|Ben代墊|Ariel代墊|中信銀行共用""), REGEXMATCH(F11783, ""Ben帳戶|Elsa帳戶|Ben代墊|Ariel代墊|中信銀行共用"")), ""內部轉帳(忽略)"",
  AND(E11783&lt;&gt;"""", F11783&lt;&gt;"&amp;""""", NOT(REGEXMATCH(C11783, ""薪資""))), ""內部轉帳(忽略)"",
  REGEXMATCH(C11783, ""薪資""), ""薪資變動(不計入)"",
  REGEXMATCH(C11783, ""押金""), ""押金往來"",
  AND(E11783&lt;&gt;"""", F11783=""""), ""真實支出"",
  AND(E11783="""", F11783&lt;&gt;""""), ""真實收入"",
  TRUE, ""其他""
)"),"其他")</f>
        <v>其他</v>
      </c>
      <c r="K11783" s="270" t="str">
        <f t="shared" si="2"/>
        <v/>
      </c>
      <c r="L11783">
        <f t="shared" si="3"/>
        <v>0</v>
      </c>
    </row>
    <row r="11784">
      <c r="A11784" s="107"/>
      <c r="D11784" s="270"/>
      <c r="H11784" s="106" t="str">
        <f t="shared" si="1"/>
        <v/>
      </c>
      <c r="J11784" t="str">
        <f>IFERROR(__xludf.DUMMYFUNCTION("IFS(
  AND(REGEXMATCH(E11784, ""台銀籌備帳戶|玉山帳戶""), REGEXMATCH(C11784, ""薪資"")), ""分潤支出"",
  AND(REGEXMATCH(E11784, ""Ben帳戶|Elsa帳戶|Ben代墊|Ariel代墊|中信銀行共用""), REGEXMATCH(F11784, ""Ben帳戶|Elsa帳戶|Ben代墊|Ariel代墊|中信銀行共用"")), ""內部轉帳(忽略)"",
  AND(E11784&lt;&gt;"""", F11784&lt;&gt;"&amp;""""", NOT(REGEXMATCH(C11784, ""薪資""))), ""內部轉帳(忽略)"",
  REGEXMATCH(C11784, ""薪資""), ""薪資變動(不計入)"",
  REGEXMATCH(C11784, ""押金""), ""押金往來"",
  AND(E11784&lt;&gt;"""", F11784=""""), ""真實支出"",
  AND(E11784="""", F11784&lt;&gt;""""), ""真實收入"",
  TRUE, ""其他""
)"),"其他")</f>
        <v>其他</v>
      </c>
      <c r="K11784" s="270" t="str">
        <f t="shared" si="2"/>
        <v/>
      </c>
      <c r="L11784">
        <f t="shared" si="3"/>
        <v>0</v>
      </c>
    </row>
    <row r="11785">
      <c r="A11785" s="107"/>
      <c r="D11785" s="270"/>
      <c r="H11785" s="106" t="str">
        <f t="shared" si="1"/>
        <v/>
      </c>
      <c r="J11785" t="str">
        <f>IFERROR(__xludf.DUMMYFUNCTION("IFS(
  AND(REGEXMATCH(E11785, ""台銀籌備帳戶|玉山帳戶""), REGEXMATCH(C11785, ""薪資"")), ""分潤支出"",
  AND(REGEXMATCH(E11785, ""Ben帳戶|Elsa帳戶|Ben代墊|Ariel代墊|中信銀行共用""), REGEXMATCH(F11785, ""Ben帳戶|Elsa帳戶|Ben代墊|Ariel代墊|中信銀行共用"")), ""內部轉帳(忽略)"",
  AND(E11785&lt;&gt;"""", F11785&lt;&gt;"&amp;""""", NOT(REGEXMATCH(C11785, ""薪資""))), ""內部轉帳(忽略)"",
  REGEXMATCH(C11785, ""薪資""), ""薪資變動(不計入)"",
  REGEXMATCH(C11785, ""押金""), ""押金往來"",
  AND(E11785&lt;&gt;"""", F11785=""""), ""真實支出"",
  AND(E11785="""", F11785&lt;&gt;""""), ""真實收入"",
  TRUE, ""其他""
)"),"其他")</f>
        <v>其他</v>
      </c>
      <c r="K11785" s="270" t="str">
        <f t="shared" si="2"/>
        <v/>
      </c>
      <c r="L11785">
        <f t="shared" si="3"/>
        <v>0</v>
      </c>
    </row>
    <row r="11786">
      <c r="A11786" s="107"/>
      <c r="D11786" s="270"/>
      <c r="H11786" s="106" t="str">
        <f t="shared" si="1"/>
        <v/>
      </c>
      <c r="J11786" t="str">
        <f>IFERROR(__xludf.DUMMYFUNCTION("IFS(
  AND(REGEXMATCH(E11786, ""台銀籌備帳戶|玉山帳戶""), REGEXMATCH(C11786, ""薪資"")), ""分潤支出"",
  AND(REGEXMATCH(E11786, ""Ben帳戶|Elsa帳戶|Ben代墊|Ariel代墊|中信銀行共用""), REGEXMATCH(F11786, ""Ben帳戶|Elsa帳戶|Ben代墊|Ariel代墊|中信銀行共用"")), ""內部轉帳(忽略)"",
  AND(E11786&lt;&gt;"""", F11786&lt;&gt;"&amp;""""", NOT(REGEXMATCH(C11786, ""薪資""))), ""內部轉帳(忽略)"",
  REGEXMATCH(C11786, ""薪資""), ""薪資變動(不計入)"",
  REGEXMATCH(C11786, ""押金""), ""押金往來"",
  AND(E11786&lt;&gt;"""", F11786=""""), ""真實支出"",
  AND(E11786="""", F11786&lt;&gt;""""), ""真實收入"",
  TRUE, ""其他""
)"),"其他")</f>
        <v>其他</v>
      </c>
      <c r="K11786" s="270" t="str">
        <f t="shared" si="2"/>
        <v/>
      </c>
      <c r="L11786">
        <f t="shared" si="3"/>
        <v>0</v>
      </c>
    </row>
    <row r="11787">
      <c r="A11787" s="107"/>
      <c r="D11787" s="270"/>
      <c r="H11787" s="106" t="str">
        <f t="shared" si="1"/>
        <v/>
      </c>
      <c r="J11787" t="str">
        <f>IFERROR(__xludf.DUMMYFUNCTION("IFS(
  AND(REGEXMATCH(E11787, ""台銀籌備帳戶|玉山帳戶""), REGEXMATCH(C11787, ""薪資"")), ""分潤支出"",
  AND(REGEXMATCH(E11787, ""Ben帳戶|Elsa帳戶|Ben代墊|Ariel代墊|中信銀行共用""), REGEXMATCH(F11787, ""Ben帳戶|Elsa帳戶|Ben代墊|Ariel代墊|中信銀行共用"")), ""內部轉帳(忽略)"",
  AND(E11787&lt;&gt;"""", F11787&lt;&gt;"&amp;""""", NOT(REGEXMATCH(C11787, ""薪資""))), ""內部轉帳(忽略)"",
  REGEXMATCH(C11787, ""薪資""), ""薪資變動(不計入)"",
  REGEXMATCH(C11787, ""押金""), ""押金往來"",
  AND(E11787&lt;&gt;"""", F11787=""""), ""真實支出"",
  AND(E11787="""", F11787&lt;&gt;""""), ""真實收入"",
  TRUE, ""其他""
)"),"其他")</f>
        <v>其他</v>
      </c>
      <c r="K11787" s="270" t="str">
        <f t="shared" si="2"/>
        <v/>
      </c>
      <c r="L11787">
        <f t="shared" si="3"/>
        <v>0</v>
      </c>
    </row>
    <row r="11788">
      <c r="A11788" s="107"/>
      <c r="D11788" s="270"/>
      <c r="H11788" s="106" t="str">
        <f t="shared" si="1"/>
        <v/>
      </c>
      <c r="J11788" t="str">
        <f>IFERROR(__xludf.DUMMYFUNCTION("IFS(
  AND(REGEXMATCH(E11788, ""台銀籌備帳戶|玉山帳戶""), REGEXMATCH(C11788, ""薪資"")), ""分潤支出"",
  AND(REGEXMATCH(E11788, ""Ben帳戶|Elsa帳戶|Ben代墊|Ariel代墊|中信銀行共用""), REGEXMATCH(F11788, ""Ben帳戶|Elsa帳戶|Ben代墊|Ariel代墊|中信銀行共用"")), ""內部轉帳(忽略)"",
  AND(E11788&lt;&gt;"""", F11788&lt;&gt;"&amp;""""", NOT(REGEXMATCH(C11788, ""薪資""))), ""內部轉帳(忽略)"",
  REGEXMATCH(C11788, ""薪資""), ""薪資變動(不計入)"",
  REGEXMATCH(C11788, ""押金""), ""押金往來"",
  AND(E11788&lt;&gt;"""", F11788=""""), ""真實支出"",
  AND(E11788="""", F11788&lt;&gt;""""), ""真實收入"",
  TRUE, ""其他""
)"),"其他")</f>
        <v>其他</v>
      </c>
      <c r="K11788" s="270" t="str">
        <f t="shared" si="2"/>
        <v/>
      </c>
      <c r="L11788">
        <f t="shared" si="3"/>
        <v>0</v>
      </c>
    </row>
    <row r="11789">
      <c r="A11789" s="107"/>
      <c r="D11789" s="270"/>
      <c r="H11789" s="106" t="str">
        <f t="shared" si="1"/>
        <v/>
      </c>
      <c r="J11789" t="str">
        <f>IFERROR(__xludf.DUMMYFUNCTION("IFS(
  AND(REGEXMATCH(E11789, ""台銀籌備帳戶|玉山帳戶""), REGEXMATCH(C11789, ""薪資"")), ""分潤支出"",
  AND(REGEXMATCH(E11789, ""Ben帳戶|Elsa帳戶|Ben代墊|Ariel代墊|中信銀行共用""), REGEXMATCH(F11789, ""Ben帳戶|Elsa帳戶|Ben代墊|Ariel代墊|中信銀行共用"")), ""內部轉帳(忽略)"",
  AND(E11789&lt;&gt;"""", F11789&lt;&gt;"&amp;""""", NOT(REGEXMATCH(C11789, ""薪資""))), ""內部轉帳(忽略)"",
  REGEXMATCH(C11789, ""薪資""), ""薪資變動(不計入)"",
  REGEXMATCH(C11789, ""押金""), ""押金往來"",
  AND(E11789&lt;&gt;"""", F11789=""""), ""真實支出"",
  AND(E11789="""", F11789&lt;&gt;""""), ""真實收入"",
  TRUE, ""其他""
)"),"其他")</f>
        <v>其他</v>
      </c>
      <c r="K11789" s="270" t="str">
        <f t="shared" si="2"/>
        <v/>
      </c>
      <c r="L11789">
        <f t="shared" si="3"/>
        <v>0</v>
      </c>
    </row>
    <row r="11790">
      <c r="A11790" s="107"/>
      <c r="D11790" s="270"/>
      <c r="H11790" s="106" t="str">
        <f t="shared" si="1"/>
        <v/>
      </c>
      <c r="J11790" t="str">
        <f>IFERROR(__xludf.DUMMYFUNCTION("IFS(
  AND(REGEXMATCH(E11790, ""台銀籌備帳戶|玉山帳戶""), REGEXMATCH(C11790, ""薪資"")), ""分潤支出"",
  AND(REGEXMATCH(E11790, ""Ben帳戶|Elsa帳戶|Ben代墊|Ariel代墊|中信銀行共用""), REGEXMATCH(F11790, ""Ben帳戶|Elsa帳戶|Ben代墊|Ariel代墊|中信銀行共用"")), ""內部轉帳(忽略)"",
  AND(E11790&lt;&gt;"""", F11790&lt;&gt;"&amp;""""", NOT(REGEXMATCH(C11790, ""薪資""))), ""內部轉帳(忽略)"",
  REGEXMATCH(C11790, ""薪資""), ""薪資變動(不計入)"",
  REGEXMATCH(C11790, ""押金""), ""押金往來"",
  AND(E11790&lt;&gt;"""", F11790=""""), ""真實支出"",
  AND(E11790="""", F11790&lt;&gt;""""), ""真實收入"",
  TRUE, ""其他""
)"),"其他")</f>
        <v>其他</v>
      </c>
      <c r="K11790" s="270" t="str">
        <f t="shared" si="2"/>
        <v/>
      </c>
      <c r="L11790">
        <f t="shared" si="3"/>
        <v>0</v>
      </c>
    </row>
    <row r="11791">
      <c r="A11791" s="107"/>
      <c r="D11791" s="270"/>
      <c r="H11791" s="106" t="str">
        <f t="shared" si="1"/>
        <v/>
      </c>
      <c r="J11791" t="str">
        <f>IFERROR(__xludf.DUMMYFUNCTION("IFS(
  AND(REGEXMATCH(E11791, ""台銀籌備帳戶|玉山帳戶""), REGEXMATCH(C11791, ""薪資"")), ""分潤支出"",
  AND(REGEXMATCH(E11791, ""Ben帳戶|Elsa帳戶|Ben代墊|Ariel代墊|中信銀行共用""), REGEXMATCH(F11791, ""Ben帳戶|Elsa帳戶|Ben代墊|Ariel代墊|中信銀行共用"")), ""內部轉帳(忽略)"",
  AND(E11791&lt;&gt;"""", F11791&lt;&gt;"&amp;""""", NOT(REGEXMATCH(C11791, ""薪資""))), ""內部轉帳(忽略)"",
  REGEXMATCH(C11791, ""薪資""), ""薪資變動(不計入)"",
  REGEXMATCH(C11791, ""押金""), ""押金往來"",
  AND(E11791&lt;&gt;"""", F11791=""""), ""真實支出"",
  AND(E11791="""", F11791&lt;&gt;""""), ""真實收入"",
  TRUE, ""其他""
)"),"其他")</f>
        <v>其他</v>
      </c>
      <c r="K11791" s="270" t="str">
        <f t="shared" si="2"/>
        <v/>
      </c>
      <c r="L11791">
        <f t="shared" si="3"/>
        <v>0</v>
      </c>
    </row>
    <row r="11792">
      <c r="A11792" s="107"/>
      <c r="D11792" s="270"/>
      <c r="H11792" s="106" t="str">
        <f t="shared" si="1"/>
        <v/>
      </c>
      <c r="J11792" t="str">
        <f>IFERROR(__xludf.DUMMYFUNCTION("IFS(
  AND(REGEXMATCH(E11792, ""台銀籌備帳戶|玉山帳戶""), REGEXMATCH(C11792, ""薪資"")), ""分潤支出"",
  AND(REGEXMATCH(E11792, ""Ben帳戶|Elsa帳戶|Ben代墊|Ariel代墊|中信銀行共用""), REGEXMATCH(F11792, ""Ben帳戶|Elsa帳戶|Ben代墊|Ariel代墊|中信銀行共用"")), ""內部轉帳(忽略)"",
  AND(E11792&lt;&gt;"""", F11792&lt;&gt;"&amp;""""", NOT(REGEXMATCH(C11792, ""薪資""))), ""內部轉帳(忽略)"",
  REGEXMATCH(C11792, ""薪資""), ""薪資變動(不計入)"",
  REGEXMATCH(C11792, ""押金""), ""押金往來"",
  AND(E11792&lt;&gt;"""", F11792=""""), ""真實支出"",
  AND(E11792="""", F11792&lt;&gt;""""), ""真實收入"",
  TRUE, ""其他""
)"),"其他")</f>
        <v>其他</v>
      </c>
      <c r="K11792" s="270" t="str">
        <f t="shared" si="2"/>
        <v/>
      </c>
      <c r="L11792">
        <f t="shared" si="3"/>
        <v>0</v>
      </c>
    </row>
    <row r="11793">
      <c r="A11793" s="107"/>
      <c r="D11793" s="270"/>
      <c r="H11793" s="106" t="str">
        <f t="shared" si="1"/>
        <v/>
      </c>
      <c r="J11793" t="str">
        <f>IFERROR(__xludf.DUMMYFUNCTION("IFS(
  AND(REGEXMATCH(E11793, ""台銀籌備帳戶|玉山帳戶""), REGEXMATCH(C11793, ""薪資"")), ""分潤支出"",
  AND(REGEXMATCH(E11793, ""Ben帳戶|Elsa帳戶|Ben代墊|Ariel代墊|中信銀行共用""), REGEXMATCH(F11793, ""Ben帳戶|Elsa帳戶|Ben代墊|Ariel代墊|中信銀行共用"")), ""內部轉帳(忽略)"",
  AND(E11793&lt;&gt;"""", F11793&lt;&gt;"&amp;""""", NOT(REGEXMATCH(C11793, ""薪資""))), ""內部轉帳(忽略)"",
  REGEXMATCH(C11793, ""薪資""), ""薪資變動(不計入)"",
  REGEXMATCH(C11793, ""押金""), ""押金往來"",
  AND(E11793&lt;&gt;"""", F11793=""""), ""真實支出"",
  AND(E11793="""", F11793&lt;&gt;""""), ""真實收入"",
  TRUE, ""其他""
)"),"其他")</f>
        <v>其他</v>
      </c>
      <c r="K11793" s="270" t="str">
        <f t="shared" si="2"/>
        <v/>
      </c>
      <c r="L11793">
        <f t="shared" si="3"/>
        <v>0</v>
      </c>
    </row>
    <row r="11794">
      <c r="A11794" s="107"/>
      <c r="D11794" s="270"/>
      <c r="H11794" s="106" t="str">
        <f t="shared" si="1"/>
        <v/>
      </c>
      <c r="J11794" t="str">
        <f>IFERROR(__xludf.DUMMYFUNCTION("IFS(
  AND(REGEXMATCH(E11794, ""台銀籌備帳戶|玉山帳戶""), REGEXMATCH(C11794, ""薪資"")), ""分潤支出"",
  AND(REGEXMATCH(E11794, ""Ben帳戶|Elsa帳戶|Ben代墊|Ariel代墊|中信銀行共用""), REGEXMATCH(F11794, ""Ben帳戶|Elsa帳戶|Ben代墊|Ariel代墊|中信銀行共用"")), ""內部轉帳(忽略)"",
  AND(E11794&lt;&gt;"""", F11794&lt;&gt;"&amp;""""", NOT(REGEXMATCH(C11794, ""薪資""))), ""內部轉帳(忽略)"",
  REGEXMATCH(C11794, ""薪資""), ""薪資變動(不計入)"",
  REGEXMATCH(C11794, ""押金""), ""押金往來"",
  AND(E11794&lt;&gt;"""", F11794=""""), ""真實支出"",
  AND(E11794="""", F11794&lt;&gt;""""), ""真實收入"",
  TRUE, ""其他""
)"),"其他")</f>
        <v>其他</v>
      </c>
      <c r="K11794" s="270" t="str">
        <f t="shared" si="2"/>
        <v/>
      </c>
      <c r="L11794">
        <f t="shared" si="3"/>
        <v>0</v>
      </c>
    </row>
    <row r="11795">
      <c r="A11795" s="107"/>
      <c r="D11795" s="270"/>
      <c r="H11795" s="106" t="str">
        <f t="shared" si="1"/>
        <v/>
      </c>
      <c r="J11795" t="str">
        <f>IFERROR(__xludf.DUMMYFUNCTION("IFS(
  AND(REGEXMATCH(E11795, ""台銀籌備帳戶|玉山帳戶""), REGEXMATCH(C11795, ""薪資"")), ""分潤支出"",
  AND(REGEXMATCH(E11795, ""Ben帳戶|Elsa帳戶|Ben代墊|Ariel代墊|中信銀行共用""), REGEXMATCH(F11795, ""Ben帳戶|Elsa帳戶|Ben代墊|Ariel代墊|中信銀行共用"")), ""內部轉帳(忽略)"",
  AND(E11795&lt;&gt;"""", F11795&lt;&gt;"&amp;""""", NOT(REGEXMATCH(C11795, ""薪資""))), ""內部轉帳(忽略)"",
  REGEXMATCH(C11795, ""薪資""), ""薪資變動(不計入)"",
  REGEXMATCH(C11795, ""押金""), ""押金往來"",
  AND(E11795&lt;&gt;"""", F11795=""""), ""真實支出"",
  AND(E11795="""", F11795&lt;&gt;""""), ""真實收入"",
  TRUE, ""其他""
)"),"其他")</f>
        <v>其他</v>
      </c>
      <c r="K11795" s="270" t="str">
        <f t="shared" si="2"/>
        <v/>
      </c>
      <c r="L11795">
        <f t="shared" si="3"/>
        <v>0</v>
      </c>
    </row>
    <row r="11796">
      <c r="A11796" s="107"/>
      <c r="D11796" s="270"/>
      <c r="H11796" s="106" t="str">
        <f t="shared" si="1"/>
        <v/>
      </c>
      <c r="J11796" t="str">
        <f>IFERROR(__xludf.DUMMYFUNCTION("IFS(
  AND(REGEXMATCH(E11796, ""台銀籌備帳戶|玉山帳戶""), REGEXMATCH(C11796, ""薪資"")), ""分潤支出"",
  AND(REGEXMATCH(E11796, ""Ben帳戶|Elsa帳戶|Ben代墊|Ariel代墊|中信銀行共用""), REGEXMATCH(F11796, ""Ben帳戶|Elsa帳戶|Ben代墊|Ariel代墊|中信銀行共用"")), ""內部轉帳(忽略)"",
  AND(E11796&lt;&gt;"""", F11796&lt;&gt;"&amp;""""", NOT(REGEXMATCH(C11796, ""薪資""))), ""內部轉帳(忽略)"",
  REGEXMATCH(C11796, ""薪資""), ""薪資變動(不計入)"",
  REGEXMATCH(C11796, ""押金""), ""押金往來"",
  AND(E11796&lt;&gt;"""", F11796=""""), ""真實支出"",
  AND(E11796="""", F11796&lt;&gt;""""), ""真實收入"",
  TRUE, ""其他""
)"),"其他")</f>
        <v>其他</v>
      </c>
      <c r="K11796" s="270" t="str">
        <f t="shared" si="2"/>
        <v/>
      </c>
      <c r="L11796">
        <f t="shared" si="3"/>
        <v>0</v>
      </c>
    </row>
    <row r="11797">
      <c r="A11797" s="107"/>
      <c r="D11797" s="270"/>
      <c r="H11797" s="106" t="str">
        <f t="shared" si="1"/>
        <v/>
      </c>
      <c r="J11797" t="str">
        <f>IFERROR(__xludf.DUMMYFUNCTION("IFS(
  AND(REGEXMATCH(E11797, ""台銀籌備帳戶|玉山帳戶""), REGEXMATCH(C11797, ""薪資"")), ""分潤支出"",
  AND(REGEXMATCH(E11797, ""Ben帳戶|Elsa帳戶|Ben代墊|Ariel代墊|中信銀行共用""), REGEXMATCH(F11797, ""Ben帳戶|Elsa帳戶|Ben代墊|Ariel代墊|中信銀行共用"")), ""內部轉帳(忽略)"",
  AND(E11797&lt;&gt;"""", F11797&lt;&gt;"&amp;""""", NOT(REGEXMATCH(C11797, ""薪資""))), ""內部轉帳(忽略)"",
  REGEXMATCH(C11797, ""薪資""), ""薪資變動(不計入)"",
  REGEXMATCH(C11797, ""押金""), ""押金往來"",
  AND(E11797&lt;&gt;"""", F11797=""""), ""真實支出"",
  AND(E11797="""", F11797&lt;&gt;""""), ""真實收入"",
  TRUE, ""其他""
)"),"其他")</f>
        <v>其他</v>
      </c>
      <c r="K11797" s="270" t="str">
        <f t="shared" si="2"/>
        <v/>
      </c>
      <c r="L11797">
        <f t="shared" si="3"/>
        <v>0</v>
      </c>
    </row>
    <row r="11798">
      <c r="A11798" s="107"/>
      <c r="D11798" s="270"/>
      <c r="H11798" s="106" t="str">
        <f t="shared" si="1"/>
        <v/>
      </c>
      <c r="J11798" t="str">
        <f>IFERROR(__xludf.DUMMYFUNCTION("IFS(
  AND(REGEXMATCH(E11798, ""台銀籌備帳戶|玉山帳戶""), REGEXMATCH(C11798, ""薪資"")), ""分潤支出"",
  AND(REGEXMATCH(E11798, ""Ben帳戶|Elsa帳戶|Ben代墊|Ariel代墊|中信銀行共用""), REGEXMATCH(F11798, ""Ben帳戶|Elsa帳戶|Ben代墊|Ariel代墊|中信銀行共用"")), ""內部轉帳(忽略)"",
  AND(E11798&lt;&gt;"""", F11798&lt;&gt;"&amp;""""", NOT(REGEXMATCH(C11798, ""薪資""))), ""內部轉帳(忽略)"",
  REGEXMATCH(C11798, ""薪資""), ""薪資變動(不計入)"",
  REGEXMATCH(C11798, ""押金""), ""押金往來"",
  AND(E11798&lt;&gt;"""", F11798=""""), ""真實支出"",
  AND(E11798="""", F11798&lt;&gt;""""), ""真實收入"",
  TRUE, ""其他""
)"),"其他")</f>
        <v>其他</v>
      </c>
      <c r="K11798" s="270" t="str">
        <f t="shared" si="2"/>
        <v/>
      </c>
      <c r="L11798">
        <f t="shared" si="3"/>
        <v>0</v>
      </c>
    </row>
    <row r="11799">
      <c r="A11799" s="107"/>
      <c r="D11799" s="270"/>
      <c r="H11799" s="106" t="str">
        <f t="shared" si="1"/>
        <v/>
      </c>
      <c r="J11799" t="str">
        <f>IFERROR(__xludf.DUMMYFUNCTION("IFS(
  AND(REGEXMATCH(E11799, ""台銀籌備帳戶|玉山帳戶""), REGEXMATCH(C11799, ""薪資"")), ""分潤支出"",
  AND(REGEXMATCH(E11799, ""Ben帳戶|Elsa帳戶|Ben代墊|Ariel代墊|中信銀行共用""), REGEXMATCH(F11799, ""Ben帳戶|Elsa帳戶|Ben代墊|Ariel代墊|中信銀行共用"")), ""內部轉帳(忽略)"",
  AND(E11799&lt;&gt;"""", F11799&lt;&gt;"&amp;""""", NOT(REGEXMATCH(C11799, ""薪資""))), ""內部轉帳(忽略)"",
  REGEXMATCH(C11799, ""薪資""), ""薪資變動(不計入)"",
  REGEXMATCH(C11799, ""押金""), ""押金往來"",
  AND(E11799&lt;&gt;"""", F11799=""""), ""真實支出"",
  AND(E11799="""", F11799&lt;&gt;""""), ""真實收入"",
  TRUE, ""其他""
)"),"其他")</f>
        <v>其他</v>
      </c>
      <c r="K11799" s="270" t="str">
        <f t="shared" si="2"/>
        <v/>
      </c>
      <c r="L11799">
        <f t="shared" si="3"/>
        <v>0</v>
      </c>
    </row>
    <row r="11800">
      <c r="A11800" s="107"/>
      <c r="D11800" s="270"/>
      <c r="H11800" s="106" t="str">
        <f t="shared" si="1"/>
        <v/>
      </c>
      <c r="J11800" t="str">
        <f>IFERROR(__xludf.DUMMYFUNCTION("IFS(
  AND(REGEXMATCH(E11800, ""台銀籌備帳戶|玉山帳戶""), REGEXMATCH(C11800, ""薪資"")), ""分潤支出"",
  AND(REGEXMATCH(E11800, ""Ben帳戶|Elsa帳戶|Ben代墊|Ariel代墊|中信銀行共用""), REGEXMATCH(F11800, ""Ben帳戶|Elsa帳戶|Ben代墊|Ariel代墊|中信銀行共用"")), ""內部轉帳(忽略)"",
  AND(E11800&lt;&gt;"""", F11800&lt;&gt;"&amp;""""", NOT(REGEXMATCH(C11800, ""薪資""))), ""內部轉帳(忽略)"",
  REGEXMATCH(C11800, ""薪資""), ""薪資變動(不計入)"",
  REGEXMATCH(C11800, ""押金""), ""押金往來"",
  AND(E11800&lt;&gt;"""", F11800=""""), ""真實支出"",
  AND(E11800="""", F11800&lt;&gt;""""), ""真實收入"",
  TRUE, ""其他""
)"),"其他")</f>
        <v>其他</v>
      </c>
      <c r="K11800" s="270" t="str">
        <f t="shared" si="2"/>
        <v/>
      </c>
      <c r="L11800">
        <f t="shared" si="3"/>
        <v>0</v>
      </c>
    </row>
    <row r="11801">
      <c r="A11801" s="107"/>
      <c r="D11801" s="270"/>
      <c r="H11801" s="106" t="str">
        <f t="shared" si="1"/>
        <v/>
      </c>
      <c r="J11801" t="str">
        <f>IFERROR(__xludf.DUMMYFUNCTION("IFS(
  AND(REGEXMATCH(E11801, ""台銀籌備帳戶|玉山帳戶""), REGEXMATCH(C11801, ""薪資"")), ""分潤支出"",
  AND(REGEXMATCH(E11801, ""Ben帳戶|Elsa帳戶|Ben代墊|Ariel代墊|中信銀行共用""), REGEXMATCH(F11801, ""Ben帳戶|Elsa帳戶|Ben代墊|Ariel代墊|中信銀行共用"")), ""內部轉帳(忽略)"",
  AND(E11801&lt;&gt;"""", F11801&lt;&gt;"&amp;""""", NOT(REGEXMATCH(C11801, ""薪資""))), ""內部轉帳(忽略)"",
  REGEXMATCH(C11801, ""薪資""), ""薪資變動(不計入)"",
  REGEXMATCH(C11801, ""押金""), ""押金往來"",
  AND(E11801&lt;&gt;"""", F11801=""""), ""真實支出"",
  AND(E11801="""", F11801&lt;&gt;""""), ""真實收入"",
  TRUE, ""其他""
)"),"其他")</f>
        <v>其他</v>
      </c>
      <c r="K11801" s="270" t="str">
        <f t="shared" si="2"/>
        <v/>
      </c>
      <c r="L11801">
        <f t="shared" si="3"/>
        <v>0</v>
      </c>
    </row>
    <row r="11802">
      <c r="A11802" s="107"/>
      <c r="D11802" s="270"/>
      <c r="H11802" s="106" t="str">
        <f t="shared" si="1"/>
        <v/>
      </c>
      <c r="J11802" t="str">
        <f>IFERROR(__xludf.DUMMYFUNCTION("IFS(
  AND(REGEXMATCH(E11802, ""台銀籌備帳戶|玉山帳戶""), REGEXMATCH(C11802, ""薪資"")), ""分潤支出"",
  AND(REGEXMATCH(E11802, ""Ben帳戶|Elsa帳戶|Ben代墊|Ariel代墊|中信銀行共用""), REGEXMATCH(F11802, ""Ben帳戶|Elsa帳戶|Ben代墊|Ariel代墊|中信銀行共用"")), ""內部轉帳(忽略)"",
  AND(E11802&lt;&gt;"""", F11802&lt;&gt;"&amp;""""", NOT(REGEXMATCH(C11802, ""薪資""))), ""內部轉帳(忽略)"",
  REGEXMATCH(C11802, ""薪資""), ""薪資變動(不計入)"",
  REGEXMATCH(C11802, ""押金""), ""押金往來"",
  AND(E11802&lt;&gt;"""", F11802=""""), ""真實支出"",
  AND(E11802="""", F11802&lt;&gt;""""), ""真實收入"",
  TRUE, ""其他""
)"),"其他")</f>
        <v>其他</v>
      </c>
      <c r="K11802" s="270" t="str">
        <f t="shared" si="2"/>
        <v/>
      </c>
      <c r="L11802">
        <f t="shared" si="3"/>
        <v>0</v>
      </c>
    </row>
    <row r="11803">
      <c r="A11803" s="107"/>
      <c r="D11803" s="270"/>
      <c r="H11803" s="106" t="str">
        <f t="shared" si="1"/>
        <v/>
      </c>
      <c r="J11803" t="str">
        <f>IFERROR(__xludf.DUMMYFUNCTION("IFS(
  AND(REGEXMATCH(E11803, ""台銀籌備帳戶|玉山帳戶""), REGEXMATCH(C11803, ""薪資"")), ""分潤支出"",
  AND(REGEXMATCH(E11803, ""Ben帳戶|Elsa帳戶|Ben代墊|Ariel代墊|中信銀行共用""), REGEXMATCH(F11803, ""Ben帳戶|Elsa帳戶|Ben代墊|Ariel代墊|中信銀行共用"")), ""內部轉帳(忽略)"",
  AND(E11803&lt;&gt;"""", F11803&lt;&gt;"&amp;""""", NOT(REGEXMATCH(C11803, ""薪資""))), ""內部轉帳(忽略)"",
  REGEXMATCH(C11803, ""薪資""), ""薪資變動(不計入)"",
  REGEXMATCH(C11803, ""押金""), ""押金往來"",
  AND(E11803&lt;&gt;"""", F11803=""""), ""真實支出"",
  AND(E11803="""", F11803&lt;&gt;""""), ""真實收入"",
  TRUE, ""其他""
)"),"其他")</f>
        <v>其他</v>
      </c>
      <c r="K11803" s="270" t="str">
        <f t="shared" si="2"/>
        <v/>
      </c>
      <c r="L11803">
        <f t="shared" si="3"/>
        <v>0</v>
      </c>
    </row>
    <row r="11804">
      <c r="A11804" s="107"/>
      <c r="D11804" s="270"/>
      <c r="H11804" s="106" t="str">
        <f t="shared" si="1"/>
        <v/>
      </c>
      <c r="J11804" t="str">
        <f>IFERROR(__xludf.DUMMYFUNCTION("IFS(
  AND(REGEXMATCH(E11804, ""台銀籌備帳戶|玉山帳戶""), REGEXMATCH(C11804, ""薪資"")), ""分潤支出"",
  AND(REGEXMATCH(E11804, ""Ben帳戶|Elsa帳戶|Ben代墊|Ariel代墊|中信銀行共用""), REGEXMATCH(F11804, ""Ben帳戶|Elsa帳戶|Ben代墊|Ariel代墊|中信銀行共用"")), ""內部轉帳(忽略)"",
  AND(E11804&lt;&gt;"""", F11804&lt;&gt;"&amp;""""", NOT(REGEXMATCH(C11804, ""薪資""))), ""內部轉帳(忽略)"",
  REGEXMATCH(C11804, ""薪資""), ""薪資變動(不計入)"",
  REGEXMATCH(C11804, ""押金""), ""押金往來"",
  AND(E11804&lt;&gt;"""", F11804=""""), ""真實支出"",
  AND(E11804="""", F11804&lt;&gt;""""), ""真實收入"",
  TRUE, ""其他""
)"),"其他")</f>
        <v>其他</v>
      </c>
      <c r="K11804" s="270" t="str">
        <f t="shared" si="2"/>
        <v/>
      </c>
      <c r="L11804">
        <f t="shared" si="3"/>
        <v>0</v>
      </c>
    </row>
    <row r="11805">
      <c r="A11805" s="107"/>
      <c r="D11805" s="270"/>
      <c r="H11805" s="106" t="str">
        <f t="shared" si="1"/>
        <v/>
      </c>
      <c r="J11805" t="str">
        <f>IFERROR(__xludf.DUMMYFUNCTION("IFS(
  AND(REGEXMATCH(E11805, ""台銀籌備帳戶|玉山帳戶""), REGEXMATCH(C11805, ""薪資"")), ""分潤支出"",
  AND(REGEXMATCH(E11805, ""Ben帳戶|Elsa帳戶|Ben代墊|Ariel代墊|中信銀行共用""), REGEXMATCH(F11805, ""Ben帳戶|Elsa帳戶|Ben代墊|Ariel代墊|中信銀行共用"")), ""內部轉帳(忽略)"",
  AND(E11805&lt;&gt;"""", F11805&lt;&gt;"&amp;""""", NOT(REGEXMATCH(C11805, ""薪資""))), ""內部轉帳(忽略)"",
  REGEXMATCH(C11805, ""薪資""), ""薪資變動(不計入)"",
  REGEXMATCH(C11805, ""押金""), ""押金往來"",
  AND(E11805&lt;&gt;"""", F11805=""""), ""真實支出"",
  AND(E11805="""", F11805&lt;&gt;""""), ""真實收入"",
  TRUE, ""其他""
)"),"其他")</f>
        <v>其他</v>
      </c>
      <c r="K11805" s="270" t="str">
        <f t="shared" si="2"/>
        <v/>
      </c>
      <c r="L11805">
        <f t="shared" si="3"/>
        <v>0</v>
      </c>
    </row>
    <row r="11806">
      <c r="A11806" s="107"/>
      <c r="D11806" s="270"/>
      <c r="H11806" s="106" t="str">
        <f t="shared" si="1"/>
        <v/>
      </c>
      <c r="J11806" t="str">
        <f>IFERROR(__xludf.DUMMYFUNCTION("IFS(
  AND(REGEXMATCH(E11806, ""台銀籌備帳戶|玉山帳戶""), REGEXMATCH(C11806, ""薪資"")), ""分潤支出"",
  AND(REGEXMATCH(E11806, ""Ben帳戶|Elsa帳戶|Ben代墊|Ariel代墊|中信銀行共用""), REGEXMATCH(F11806, ""Ben帳戶|Elsa帳戶|Ben代墊|Ariel代墊|中信銀行共用"")), ""內部轉帳(忽略)"",
  AND(E11806&lt;&gt;"""", F11806&lt;&gt;"&amp;""""", NOT(REGEXMATCH(C11806, ""薪資""))), ""內部轉帳(忽略)"",
  REGEXMATCH(C11806, ""薪資""), ""薪資變動(不計入)"",
  REGEXMATCH(C11806, ""押金""), ""押金往來"",
  AND(E11806&lt;&gt;"""", F11806=""""), ""真實支出"",
  AND(E11806="""", F11806&lt;&gt;""""), ""真實收入"",
  TRUE, ""其他""
)"),"其他")</f>
        <v>其他</v>
      </c>
      <c r="K11806" s="270" t="str">
        <f t="shared" si="2"/>
        <v/>
      </c>
      <c r="L11806">
        <f t="shared" si="3"/>
        <v>0</v>
      </c>
    </row>
    <row r="11807">
      <c r="A11807" s="107"/>
      <c r="D11807" s="270"/>
      <c r="H11807" s="106" t="str">
        <f t="shared" si="1"/>
        <v/>
      </c>
      <c r="J11807" t="str">
        <f>IFERROR(__xludf.DUMMYFUNCTION("IFS(
  AND(REGEXMATCH(E11807, ""台銀籌備帳戶|玉山帳戶""), REGEXMATCH(C11807, ""薪資"")), ""分潤支出"",
  AND(REGEXMATCH(E11807, ""Ben帳戶|Elsa帳戶|Ben代墊|Ariel代墊|中信銀行共用""), REGEXMATCH(F11807, ""Ben帳戶|Elsa帳戶|Ben代墊|Ariel代墊|中信銀行共用"")), ""內部轉帳(忽略)"",
  AND(E11807&lt;&gt;"""", F11807&lt;&gt;"&amp;""""", NOT(REGEXMATCH(C11807, ""薪資""))), ""內部轉帳(忽略)"",
  REGEXMATCH(C11807, ""薪資""), ""薪資變動(不計入)"",
  REGEXMATCH(C11807, ""押金""), ""押金往來"",
  AND(E11807&lt;&gt;"""", F11807=""""), ""真實支出"",
  AND(E11807="""", F11807&lt;&gt;""""), ""真實收入"",
  TRUE, ""其他""
)"),"其他")</f>
        <v>其他</v>
      </c>
      <c r="K11807" s="270" t="str">
        <f t="shared" si="2"/>
        <v/>
      </c>
      <c r="L11807">
        <f t="shared" si="3"/>
        <v>0</v>
      </c>
    </row>
    <row r="11808">
      <c r="A11808" s="107"/>
      <c r="D11808" s="270"/>
      <c r="H11808" s="106" t="str">
        <f t="shared" si="1"/>
        <v/>
      </c>
      <c r="J11808" t="str">
        <f>IFERROR(__xludf.DUMMYFUNCTION("IFS(
  AND(REGEXMATCH(E11808, ""台銀籌備帳戶|玉山帳戶""), REGEXMATCH(C11808, ""薪資"")), ""分潤支出"",
  AND(REGEXMATCH(E11808, ""Ben帳戶|Elsa帳戶|Ben代墊|Ariel代墊|中信銀行共用""), REGEXMATCH(F11808, ""Ben帳戶|Elsa帳戶|Ben代墊|Ariel代墊|中信銀行共用"")), ""內部轉帳(忽略)"",
  AND(E11808&lt;&gt;"""", F11808&lt;&gt;"&amp;""""", NOT(REGEXMATCH(C11808, ""薪資""))), ""內部轉帳(忽略)"",
  REGEXMATCH(C11808, ""薪資""), ""薪資變動(不計入)"",
  REGEXMATCH(C11808, ""押金""), ""押金往來"",
  AND(E11808&lt;&gt;"""", F11808=""""), ""真實支出"",
  AND(E11808="""", F11808&lt;&gt;""""), ""真實收入"",
  TRUE, ""其他""
)"),"其他")</f>
        <v>其他</v>
      </c>
      <c r="K11808" s="270" t="str">
        <f t="shared" si="2"/>
        <v/>
      </c>
      <c r="L11808">
        <f t="shared" si="3"/>
        <v>0</v>
      </c>
    </row>
    <row r="11809">
      <c r="A11809" s="107"/>
      <c r="D11809" s="270"/>
      <c r="H11809" s="106" t="str">
        <f t="shared" si="1"/>
        <v/>
      </c>
      <c r="J11809" t="str">
        <f>IFERROR(__xludf.DUMMYFUNCTION("IFS(
  AND(REGEXMATCH(E11809, ""台銀籌備帳戶|玉山帳戶""), REGEXMATCH(C11809, ""薪資"")), ""分潤支出"",
  AND(REGEXMATCH(E11809, ""Ben帳戶|Elsa帳戶|Ben代墊|Ariel代墊|中信銀行共用""), REGEXMATCH(F11809, ""Ben帳戶|Elsa帳戶|Ben代墊|Ariel代墊|中信銀行共用"")), ""內部轉帳(忽略)"",
  AND(E11809&lt;&gt;"""", F11809&lt;&gt;"&amp;""""", NOT(REGEXMATCH(C11809, ""薪資""))), ""內部轉帳(忽略)"",
  REGEXMATCH(C11809, ""薪資""), ""薪資變動(不計入)"",
  REGEXMATCH(C11809, ""押金""), ""押金往來"",
  AND(E11809&lt;&gt;"""", F11809=""""), ""真實支出"",
  AND(E11809="""", F11809&lt;&gt;""""), ""真實收入"",
  TRUE, ""其他""
)"),"其他")</f>
        <v>其他</v>
      </c>
      <c r="K11809" s="270" t="str">
        <f t="shared" si="2"/>
        <v/>
      </c>
      <c r="L11809">
        <f t="shared" si="3"/>
        <v>0</v>
      </c>
    </row>
    <row r="11810">
      <c r="A11810" s="107"/>
      <c r="D11810" s="270"/>
      <c r="H11810" s="106" t="str">
        <f t="shared" si="1"/>
        <v/>
      </c>
      <c r="J11810" t="str">
        <f>IFERROR(__xludf.DUMMYFUNCTION("IFS(
  AND(REGEXMATCH(E11810, ""台銀籌備帳戶|玉山帳戶""), REGEXMATCH(C11810, ""薪資"")), ""分潤支出"",
  AND(REGEXMATCH(E11810, ""Ben帳戶|Elsa帳戶|Ben代墊|Ariel代墊|中信銀行共用""), REGEXMATCH(F11810, ""Ben帳戶|Elsa帳戶|Ben代墊|Ariel代墊|中信銀行共用"")), ""內部轉帳(忽略)"",
  AND(E11810&lt;&gt;"""", F11810&lt;&gt;"&amp;""""", NOT(REGEXMATCH(C11810, ""薪資""))), ""內部轉帳(忽略)"",
  REGEXMATCH(C11810, ""薪資""), ""薪資變動(不計入)"",
  REGEXMATCH(C11810, ""押金""), ""押金往來"",
  AND(E11810&lt;&gt;"""", F11810=""""), ""真實支出"",
  AND(E11810="""", F11810&lt;&gt;""""), ""真實收入"",
  TRUE, ""其他""
)"),"其他")</f>
        <v>其他</v>
      </c>
      <c r="K11810" s="270" t="str">
        <f t="shared" si="2"/>
        <v/>
      </c>
      <c r="L11810">
        <f t="shared" si="3"/>
        <v>0</v>
      </c>
    </row>
    <row r="11811">
      <c r="A11811" s="107"/>
      <c r="D11811" s="270"/>
      <c r="H11811" s="106" t="str">
        <f t="shared" si="1"/>
        <v/>
      </c>
      <c r="J11811" t="str">
        <f>IFERROR(__xludf.DUMMYFUNCTION("IFS(
  AND(REGEXMATCH(E11811, ""台銀籌備帳戶|玉山帳戶""), REGEXMATCH(C11811, ""薪資"")), ""分潤支出"",
  AND(REGEXMATCH(E11811, ""Ben帳戶|Elsa帳戶|Ben代墊|Ariel代墊|中信銀行共用""), REGEXMATCH(F11811, ""Ben帳戶|Elsa帳戶|Ben代墊|Ariel代墊|中信銀行共用"")), ""內部轉帳(忽略)"",
  AND(E11811&lt;&gt;"""", F11811&lt;&gt;"&amp;""""", NOT(REGEXMATCH(C11811, ""薪資""))), ""內部轉帳(忽略)"",
  REGEXMATCH(C11811, ""薪資""), ""薪資變動(不計入)"",
  REGEXMATCH(C11811, ""押金""), ""押金往來"",
  AND(E11811&lt;&gt;"""", F11811=""""), ""真實支出"",
  AND(E11811="""", F11811&lt;&gt;""""), ""真實收入"",
  TRUE, ""其他""
)"),"其他")</f>
        <v>其他</v>
      </c>
      <c r="K11811" s="270" t="str">
        <f t="shared" si="2"/>
        <v/>
      </c>
      <c r="L11811">
        <f t="shared" si="3"/>
        <v>0</v>
      </c>
    </row>
    <row r="11812">
      <c r="A11812" s="107"/>
      <c r="D11812" s="270"/>
      <c r="H11812" s="106" t="str">
        <f t="shared" si="1"/>
        <v/>
      </c>
      <c r="J11812" t="str">
        <f>IFERROR(__xludf.DUMMYFUNCTION("IFS(
  AND(REGEXMATCH(E11812, ""台銀籌備帳戶|玉山帳戶""), REGEXMATCH(C11812, ""薪資"")), ""分潤支出"",
  AND(REGEXMATCH(E11812, ""Ben帳戶|Elsa帳戶|Ben代墊|Ariel代墊|中信銀行共用""), REGEXMATCH(F11812, ""Ben帳戶|Elsa帳戶|Ben代墊|Ariel代墊|中信銀行共用"")), ""內部轉帳(忽略)"",
  AND(E11812&lt;&gt;"""", F11812&lt;&gt;"&amp;""""", NOT(REGEXMATCH(C11812, ""薪資""))), ""內部轉帳(忽略)"",
  REGEXMATCH(C11812, ""薪資""), ""薪資變動(不計入)"",
  REGEXMATCH(C11812, ""押金""), ""押金往來"",
  AND(E11812&lt;&gt;"""", F11812=""""), ""真實支出"",
  AND(E11812="""", F11812&lt;&gt;""""), ""真實收入"",
  TRUE, ""其他""
)"),"其他")</f>
        <v>其他</v>
      </c>
      <c r="K11812" s="270" t="str">
        <f t="shared" si="2"/>
        <v/>
      </c>
      <c r="L11812">
        <f t="shared" si="3"/>
        <v>0</v>
      </c>
    </row>
    <row r="11813">
      <c r="A11813" s="107"/>
      <c r="D11813" s="270"/>
      <c r="H11813" s="106" t="str">
        <f t="shared" si="1"/>
        <v/>
      </c>
      <c r="J11813" t="str">
        <f>IFERROR(__xludf.DUMMYFUNCTION("IFS(
  AND(REGEXMATCH(E11813, ""台銀籌備帳戶|玉山帳戶""), REGEXMATCH(C11813, ""薪資"")), ""分潤支出"",
  AND(REGEXMATCH(E11813, ""Ben帳戶|Elsa帳戶|Ben代墊|Ariel代墊|中信銀行共用""), REGEXMATCH(F11813, ""Ben帳戶|Elsa帳戶|Ben代墊|Ariel代墊|中信銀行共用"")), ""內部轉帳(忽略)"",
  AND(E11813&lt;&gt;"""", F11813&lt;&gt;"&amp;""""", NOT(REGEXMATCH(C11813, ""薪資""))), ""內部轉帳(忽略)"",
  REGEXMATCH(C11813, ""薪資""), ""薪資變動(不計入)"",
  REGEXMATCH(C11813, ""押金""), ""押金往來"",
  AND(E11813&lt;&gt;"""", F11813=""""), ""真實支出"",
  AND(E11813="""", F11813&lt;&gt;""""), ""真實收入"",
  TRUE, ""其他""
)"),"其他")</f>
        <v>其他</v>
      </c>
      <c r="K11813" s="270" t="str">
        <f t="shared" si="2"/>
        <v/>
      </c>
      <c r="L11813">
        <f t="shared" si="3"/>
        <v>0</v>
      </c>
    </row>
    <row r="11814">
      <c r="A11814" s="107"/>
      <c r="D11814" s="270"/>
      <c r="H11814" s="106" t="str">
        <f t="shared" si="1"/>
        <v/>
      </c>
      <c r="J11814" t="str">
        <f>IFERROR(__xludf.DUMMYFUNCTION("IFS(
  AND(REGEXMATCH(E11814, ""台銀籌備帳戶|玉山帳戶""), REGEXMATCH(C11814, ""薪資"")), ""分潤支出"",
  AND(REGEXMATCH(E11814, ""Ben帳戶|Elsa帳戶|Ben代墊|Ariel代墊|中信銀行共用""), REGEXMATCH(F11814, ""Ben帳戶|Elsa帳戶|Ben代墊|Ariel代墊|中信銀行共用"")), ""內部轉帳(忽略)"",
  AND(E11814&lt;&gt;"""", F11814&lt;&gt;"&amp;""""", NOT(REGEXMATCH(C11814, ""薪資""))), ""內部轉帳(忽略)"",
  REGEXMATCH(C11814, ""薪資""), ""薪資變動(不計入)"",
  REGEXMATCH(C11814, ""押金""), ""押金往來"",
  AND(E11814&lt;&gt;"""", F11814=""""), ""真實支出"",
  AND(E11814="""", F11814&lt;&gt;""""), ""真實收入"",
  TRUE, ""其他""
)"),"其他")</f>
        <v>其他</v>
      </c>
      <c r="K11814" s="270" t="str">
        <f t="shared" si="2"/>
        <v/>
      </c>
      <c r="L11814">
        <f t="shared" si="3"/>
        <v>0</v>
      </c>
    </row>
    <row r="11815">
      <c r="A11815" s="107"/>
      <c r="D11815" s="270"/>
      <c r="H11815" s="106" t="str">
        <f t="shared" si="1"/>
        <v/>
      </c>
      <c r="J11815" t="str">
        <f>IFERROR(__xludf.DUMMYFUNCTION("IFS(
  AND(REGEXMATCH(E11815, ""台銀籌備帳戶|玉山帳戶""), REGEXMATCH(C11815, ""薪資"")), ""分潤支出"",
  AND(REGEXMATCH(E11815, ""Ben帳戶|Elsa帳戶|Ben代墊|Ariel代墊|中信銀行共用""), REGEXMATCH(F11815, ""Ben帳戶|Elsa帳戶|Ben代墊|Ariel代墊|中信銀行共用"")), ""內部轉帳(忽略)"",
  AND(E11815&lt;&gt;"""", F11815&lt;&gt;"&amp;""""", NOT(REGEXMATCH(C11815, ""薪資""))), ""內部轉帳(忽略)"",
  REGEXMATCH(C11815, ""薪資""), ""薪資變動(不計入)"",
  REGEXMATCH(C11815, ""押金""), ""押金往來"",
  AND(E11815&lt;&gt;"""", F11815=""""), ""真實支出"",
  AND(E11815="""", F11815&lt;&gt;""""), ""真實收入"",
  TRUE, ""其他""
)"),"其他")</f>
        <v>其他</v>
      </c>
      <c r="K11815" s="270" t="str">
        <f t="shared" si="2"/>
        <v/>
      </c>
      <c r="L11815">
        <f t="shared" si="3"/>
        <v>0</v>
      </c>
    </row>
    <row r="11816">
      <c r="A11816" s="107"/>
      <c r="D11816" s="270"/>
      <c r="H11816" s="106" t="str">
        <f t="shared" si="1"/>
        <v/>
      </c>
      <c r="J11816" t="str">
        <f>IFERROR(__xludf.DUMMYFUNCTION("IFS(
  AND(REGEXMATCH(E11816, ""台銀籌備帳戶|玉山帳戶""), REGEXMATCH(C11816, ""薪資"")), ""分潤支出"",
  AND(REGEXMATCH(E11816, ""Ben帳戶|Elsa帳戶|Ben代墊|Ariel代墊|中信銀行共用""), REGEXMATCH(F11816, ""Ben帳戶|Elsa帳戶|Ben代墊|Ariel代墊|中信銀行共用"")), ""內部轉帳(忽略)"",
  AND(E11816&lt;&gt;"""", F11816&lt;&gt;"&amp;""""", NOT(REGEXMATCH(C11816, ""薪資""))), ""內部轉帳(忽略)"",
  REGEXMATCH(C11816, ""薪資""), ""薪資變動(不計入)"",
  REGEXMATCH(C11816, ""押金""), ""押金往來"",
  AND(E11816&lt;&gt;"""", F11816=""""), ""真實支出"",
  AND(E11816="""", F11816&lt;&gt;""""), ""真實收入"",
  TRUE, ""其他""
)"),"其他")</f>
        <v>其他</v>
      </c>
      <c r="K11816" s="270" t="str">
        <f t="shared" si="2"/>
        <v/>
      </c>
      <c r="L11816">
        <f t="shared" si="3"/>
        <v>0</v>
      </c>
    </row>
    <row r="11817">
      <c r="A11817" s="107"/>
      <c r="D11817" s="270"/>
      <c r="H11817" s="106" t="str">
        <f t="shared" si="1"/>
        <v/>
      </c>
      <c r="J11817" t="str">
        <f>IFERROR(__xludf.DUMMYFUNCTION("IFS(
  AND(REGEXMATCH(E11817, ""台銀籌備帳戶|玉山帳戶""), REGEXMATCH(C11817, ""薪資"")), ""分潤支出"",
  AND(REGEXMATCH(E11817, ""Ben帳戶|Elsa帳戶|Ben代墊|Ariel代墊|中信銀行共用""), REGEXMATCH(F11817, ""Ben帳戶|Elsa帳戶|Ben代墊|Ariel代墊|中信銀行共用"")), ""內部轉帳(忽略)"",
  AND(E11817&lt;&gt;"""", F11817&lt;&gt;"&amp;""""", NOT(REGEXMATCH(C11817, ""薪資""))), ""內部轉帳(忽略)"",
  REGEXMATCH(C11817, ""薪資""), ""薪資變動(不計入)"",
  REGEXMATCH(C11817, ""押金""), ""押金往來"",
  AND(E11817&lt;&gt;"""", F11817=""""), ""真實支出"",
  AND(E11817="""", F11817&lt;&gt;""""), ""真實收入"",
  TRUE, ""其他""
)"),"其他")</f>
        <v>其他</v>
      </c>
      <c r="K11817" s="270" t="str">
        <f t="shared" si="2"/>
        <v/>
      </c>
      <c r="L11817">
        <f t="shared" si="3"/>
        <v>0</v>
      </c>
    </row>
    <row r="11818">
      <c r="A11818" s="107"/>
      <c r="D11818" s="270"/>
      <c r="H11818" s="106" t="str">
        <f t="shared" si="1"/>
        <v/>
      </c>
      <c r="J11818" t="str">
        <f>IFERROR(__xludf.DUMMYFUNCTION("IFS(
  AND(REGEXMATCH(E11818, ""台銀籌備帳戶|玉山帳戶""), REGEXMATCH(C11818, ""薪資"")), ""分潤支出"",
  AND(REGEXMATCH(E11818, ""Ben帳戶|Elsa帳戶|Ben代墊|Ariel代墊|中信銀行共用""), REGEXMATCH(F11818, ""Ben帳戶|Elsa帳戶|Ben代墊|Ariel代墊|中信銀行共用"")), ""內部轉帳(忽略)"",
  AND(E11818&lt;&gt;"""", F11818&lt;&gt;"&amp;""""", NOT(REGEXMATCH(C11818, ""薪資""))), ""內部轉帳(忽略)"",
  REGEXMATCH(C11818, ""薪資""), ""薪資變動(不計入)"",
  REGEXMATCH(C11818, ""押金""), ""押金往來"",
  AND(E11818&lt;&gt;"""", F11818=""""), ""真實支出"",
  AND(E11818="""", F11818&lt;&gt;""""), ""真實收入"",
  TRUE, ""其他""
)"),"其他")</f>
        <v>其他</v>
      </c>
      <c r="K11818" s="270" t="str">
        <f t="shared" si="2"/>
        <v/>
      </c>
      <c r="L11818">
        <f t="shared" si="3"/>
        <v>0</v>
      </c>
    </row>
    <row r="11819">
      <c r="A11819" s="107"/>
      <c r="D11819" s="270"/>
      <c r="H11819" s="106" t="str">
        <f t="shared" si="1"/>
        <v/>
      </c>
      <c r="J11819" t="str">
        <f>IFERROR(__xludf.DUMMYFUNCTION("IFS(
  AND(REGEXMATCH(E11819, ""台銀籌備帳戶|玉山帳戶""), REGEXMATCH(C11819, ""薪資"")), ""分潤支出"",
  AND(REGEXMATCH(E11819, ""Ben帳戶|Elsa帳戶|Ben代墊|Ariel代墊|中信銀行共用""), REGEXMATCH(F11819, ""Ben帳戶|Elsa帳戶|Ben代墊|Ariel代墊|中信銀行共用"")), ""內部轉帳(忽略)"",
  AND(E11819&lt;&gt;"""", F11819&lt;&gt;"&amp;""""", NOT(REGEXMATCH(C11819, ""薪資""))), ""內部轉帳(忽略)"",
  REGEXMATCH(C11819, ""薪資""), ""薪資變動(不計入)"",
  REGEXMATCH(C11819, ""押金""), ""押金往來"",
  AND(E11819&lt;&gt;"""", F11819=""""), ""真實支出"",
  AND(E11819="""", F11819&lt;&gt;""""), ""真實收入"",
  TRUE, ""其他""
)"),"其他")</f>
        <v>其他</v>
      </c>
      <c r="K11819" s="270" t="str">
        <f t="shared" si="2"/>
        <v/>
      </c>
      <c r="L11819">
        <f t="shared" si="3"/>
        <v>0</v>
      </c>
    </row>
    <row r="11820">
      <c r="A11820" s="107"/>
      <c r="D11820" s="270"/>
      <c r="H11820" s="106" t="str">
        <f t="shared" si="1"/>
        <v/>
      </c>
      <c r="J11820" t="str">
        <f>IFERROR(__xludf.DUMMYFUNCTION("IFS(
  AND(REGEXMATCH(E11820, ""台銀籌備帳戶|玉山帳戶""), REGEXMATCH(C11820, ""薪資"")), ""分潤支出"",
  AND(REGEXMATCH(E11820, ""Ben帳戶|Elsa帳戶|Ben代墊|Ariel代墊|中信銀行共用""), REGEXMATCH(F11820, ""Ben帳戶|Elsa帳戶|Ben代墊|Ariel代墊|中信銀行共用"")), ""內部轉帳(忽略)"",
  AND(E11820&lt;&gt;"""", F11820&lt;&gt;"&amp;""""", NOT(REGEXMATCH(C11820, ""薪資""))), ""內部轉帳(忽略)"",
  REGEXMATCH(C11820, ""薪資""), ""薪資變動(不計入)"",
  REGEXMATCH(C11820, ""押金""), ""押金往來"",
  AND(E11820&lt;&gt;"""", F11820=""""), ""真實支出"",
  AND(E11820="""", F11820&lt;&gt;""""), ""真實收入"",
  TRUE, ""其他""
)"),"其他")</f>
        <v>其他</v>
      </c>
      <c r="K11820" s="270" t="str">
        <f t="shared" si="2"/>
        <v/>
      </c>
      <c r="L11820">
        <f t="shared" si="3"/>
        <v>0</v>
      </c>
    </row>
    <row r="11821">
      <c r="A11821" s="107"/>
      <c r="D11821" s="270"/>
      <c r="H11821" s="106" t="str">
        <f t="shared" si="1"/>
        <v/>
      </c>
      <c r="J11821" t="str">
        <f>IFERROR(__xludf.DUMMYFUNCTION("IFS(
  AND(REGEXMATCH(E11821, ""台銀籌備帳戶|玉山帳戶""), REGEXMATCH(C11821, ""薪資"")), ""分潤支出"",
  AND(REGEXMATCH(E11821, ""Ben帳戶|Elsa帳戶|Ben代墊|Ariel代墊|中信銀行共用""), REGEXMATCH(F11821, ""Ben帳戶|Elsa帳戶|Ben代墊|Ariel代墊|中信銀行共用"")), ""內部轉帳(忽略)"",
  AND(E11821&lt;&gt;"""", F11821&lt;&gt;"&amp;""""", NOT(REGEXMATCH(C11821, ""薪資""))), ""內部轉帳(忽略)"",
  REGEXMATCH(C11821, ""薪資""), ""薪資變動(不計入)"",
  REGEXMATCH(C11821, ""押金""), ""押金往來"",
  AND(E11821&lt;&gt;"""", F11821=""""), ""真實支出"",
  AND(E11821="""", F11821&lt;&gt;""""), ""真實收入"",
  TRUE, ""其他""
)"),"其他")</f>
        <v>其他</v>
      </c>
      <c r="K11821" s="270" t="str">
        <f t="shared" si="2"/>
        <v/>
      </c>
      <c r="L11821">
        <f t="shared" si="3"/>
        <v>0</v>
      </c>
    </row>
    <row r="11822">
      <c r="A11822" s="107"/>
      <c r="D11822" s="270"/>
      <c r="H11822" s="106" t="str">
        <f t="shared" si="1"/>
        <v/>
      </c>
      <c r="J11822" t="str">
        <f>IFERROR(__xludf.DUMMYFUNCTION("IFS(
  AND(REGEXMATCH(E11822, ""台銀籌備帳戶|玉山帳戶""), REGEXMATCH(C11822, ""薪資"")), ""分潤支出"",
  AND(REGEXMATCH(E11822, ""Ben帳戶|Elsa帳戶|Ben代墊|Ariel代墊|中信銀行共用""), REGEXMATCH(F11822, ""Ben帳戶|Elsa帳戶|Ben代墊|Ariel代墊|中信銀行共用"")), ""內部轉帳(忽略)"",
  AND(E11822&lt;&gt;"""", F11822&lt;&gt;"&amp;""""", NOT(REGEXMATCH(C11822, ""薪資""))), ""內部轉帳(忽略)"",
  REGEXMATCH(C11822, ""薪資""), ""薪資變動(不計入)"",
  REGEXMATCH(C11822, ""押金""), ""押金往來"",
  AND(E11822&lt;&gt;"""", F11822=""""), ""真實支出"",
  AND(E11822="""", F11822&lt;&gt;""""), ""真實收入"",
  TRUE, ""其他""
)"),"其他")</f>
        <v>其他</v>
      </c>
      <c r="K11822" s="270" t="str">
        <f t="shared" si="2"/>
        <v/>
      </c>
      <c r="L11822">
        <f t="shared" si="3"/>
        <v>0</v>
      </c>
    </row>
    <row r="11823">
      <c r="A11823" s="107"/>
      <c r="D11823" s="270"/>
      <c r="H11823" s="106" t="str">
        <f t="shared" si="1"/>
        <v/>
      </c>
      <c r="J11823" t="str">
        <f>IFERROR(__xludf.DUMMYFUNCTION("IFS(
  AND(REGEXMATCH(E11823, ""台銀籌備帳戶|玉山帳戶""), REGEXMATCH(C11823, ""薪資"")), ""分潤支出"",
  AND(REGEXMATCH(E11823, ""Ben帳戶|Elsa帳戶|Ben代墊|Ariel代墊|中信銀行共用""), REGEXMATCH(F11823, ""Ben帳戶|Elsa帳戶|Ben代墊|Ariel代墊|中信銀行共用"")), ""內部轉帳(忽略)"",
  AND(E11823&lt;&gt;"""", F11823&lt;&gt;"&amp;""""", NOT(REGEXMATCH(C11823, ""薪資""))), ""內部轉帳(忽略)"",
  REGEXMATCH(C11823, ""薪資""), ""薪資變動(不計入)"",
  REGEXMATCH(C11823, ""押金""), ""押金往來"",
  AND(E11823&lt;&gt;"""", F11823=""""), ""真實支出"",
  AND(E11823="""", F11823&lt;&gt;""""), ""真實收入"",
  TRUE, ""其他""
)"),"其他")</f>
        <v>其他</v>
      </c>
      <c r="K11823" s="270" t="str">
        <f t="shared" si="2"/>
        <v/>
      </c>
      <c r="L11823">
        <f t="shared" si="3"/>
        <v>0</v>
      </c>
    </row>
    <row r="11824">
      <c r="A11824" s="107"/>
      <c r="D11824" s="270"/>
      <c r="H11824" s="106" t="str">
        <f t="shared" si="1"/>
        <v/>
      </c>
      <c r="J11824" t="str">
        <f>IFERROR(__xludf.DUMMYFUNCTION("IFS(
  AND(REGEXMATCH(E11824, ""台銀籌備帳戶|玉山帳戶""), REGEXMATCH(C11824, ""薪資"")), ""分潤支出"",
  AND(REGEXMATCH(E11824, ""Ben帳戶|Elsa帳戶|Ben代墊|Ariel代墊|中信銀行共用""), REGEXMATCH(F11824, ""Ben帳戶|Elsa帳戶|Ben代墊|Ariel代墊|中信銀行共用"")), ""內部轉帳(忽略)"",
  AND(E11824&lt;&gt;"""", F11824&lt;&gt;"&amp;""""", NOT(REGEXMATCH(C11824, ""薪資""))), ""內部轉帳(忽略)"",
  REGEXMATCH(C11824, ""薪資""), ""薪資變動(不計入)"",
  REGEXMATCH(C11824, ""押金""), ""押金往來"",
  AND(E11824&lt;&gt;"""", F11824=""""), ""真實支出"",
  AND(E11824="""", F11824&lt;&gt;""""), ""真實收入"",
  TRUE, ""其他""
)"),"其他")</f>
        <v>其他</v>
      </c>
      <c r="K11824" s="270" t="str">
        <f t="shared" si="2"/>
        <v/>
      </c>
      <c r="L11824">
        <f t="shared" si="3"/>
        <v>0</v>
      </c>
    </row>
    <row r="11825">
      <c r="A11825" s="107"/>
      <c r="D11825" s="270"/>
      <c r="H11825" s="106" t="str">
        <f t="shared" si="1"/>
        <v/>
      </c>
      <c r="J11825" t="str">
        <f>IFERROR(__xludf.DUMMYFUNCTION("IFS(
  AND(REGEXMATCH(E11825, ""台銀籌備帳戶|玉山帳戶""), REGEXMATCH(C11825, ""薪資"")), ""分潤支出"",
  AND(REGEXMATCH(E11825, ""Ben帳戶|Elsa帳戶|Ben代墊|Ariel代墊|中信銀行共用""), REGEXMATCH(F11825, ""Ben帳戶|Elsa帳戶|Ben代墊|Ariel代墊|中信銀行共用"")), ""內部轉帳(忽略)"",
  AND(E11825&lt;&gt;"""", F11825&lt;&gt;"&amp;""""", NOT(REGEXMATCH(C11825, ""薪資""))), ""內部轉帳(忽略)"",
  REGEXMATCH(C11825, ""薪資""), ""薪資變動(不計入)"",
  REGEXMATCH(C11825, ""押金""), ""押金往來"",
  AND(E11825&lt;&gt;"""", F11825=""""), ""真實支出"",
  AND(E11825="""", F11825&lt;&gt;""""), ""真實收入"",
  TRUE, ""其他""
)"),"其他")</f>
        <v>其他</v>
      </c>
      <c r="K11825" s="270" t="str">
        <f t="shared" si="2"/>
        <v/>
      </c>
      <c r="L11825">
        <f t="shared" si="3"/>
        <v>0</v>
      </c>
    </row>
    <row r="11826">
      <c r="A11826" s="107"/>
      <c r="D11826" s="270"/>
      <c r="H11826" s="106" t="str">
        <f t="shared" si="1"/>
        <v/>
      </c>
      <c r="J11826" t="str">
        <f>IFERROR(__xludf.DUMMYFUNCTION("IFS(
  AND(REGEXMATCH(E11826, ""台銀籌備帳戶|玉山帳戶""), REGEXMATCH(C11826, ""薪資"")), ""分潤支出"",
  AND(REGEXMATCH(E11826, ""Ben帳戶|Elsa帳戶|Ben代墊|Ariel代墊|中信銀行共用""), REGEXMATCH(F11826, ""Ben帳戶|Elsa帳戶|Ben代墊|Ariel代墊|中信銀行共用"")), ""內部轉帳(忽略)"",
  AND(E11826&lt;&gt;"""", F11826&lt;&gt;"&amp;""""", NOT(REGEXMATCH(C11826, ""薪資""))), ""內部轉帳(忽略)"",
  REGEXMATCH(C11826, ""薪資""), ""薪資變動(不計入)"",
  REGEXMATCH(C11826, ""押金""), ""押金往來"",
  AND(E11826&lt;&gt;"""", F11826=""""), ""真實支出"",
  AND(E11826="""", F11826&lt;&gt;""""), ""真實收入"",
  TRUE, ""其他""
)"),"其他")</f>
        <v>其他</v>
      </c>
      <c r="K11826" s="270" t="str">
        <f t="shared" si="2"/>
        <v/>
      </c>
      <c r="L11826">
        <f t="shared" si="3"/>
        <v>0</v>
      </c>
    </row>
    <row r="11827">
      <c r="A11827" s="107"/>
      <c r="D11827" s="270"/>
      <c r="H11827" s="106" t="str">
        <f t="shared" si="1"/>
        <v/>
      </c>
      <c r="J11827" t="str">
        <f>IFERROR(__xludf.DUMMYFUNCTION("IFS(
  AND(REGEXMATCH(E11827, ""台銀籌備帳戶|玉山帳戶""), REGEXMATCH(C11827, ""薪資"")), ""分潤支出"",
  AND(REGEXMATCH(E11827, ""Ben帳戶|Elsa帳戶|Ben代墊|Ariel代墊|中信銀行共用""), REGEXMATCH(F11827, ""Ben帳戶|Elsa帳戶|Ben代墊|Ariel代墊|中信銀行共用"")), ""內部轉帳(忽略)"",
  AND(E11827&lt;&gt;"""", F11827&lt;&gt;"&amp;""""", NOT(REGEXMATCH(C11827, ""薪資""))), ""內部轉帳(忽略)"",
  REGEXMATCH(C11827, ""薪資""), ""薪資變動(不計入)"",
  REGEXMATCH(C11827, ""押金""), ""押金往來"",
  AND(E11827&lt;&gt;"""", F11827=""""), ""真實支出"",
  AND(E11827="""", F11827&lt;&gt;""""), ""真實收入"",
  TRUE, ""其他""
)"),"其他")</f>
        <v>其他</v>
      </c>
      <c r="K11827" s="270" t="str">
        <f t="shared" si="2"/>
        <v/>
      </c>
      <c r="L11827">
        <f t="shared" si="3"/>
        <v>0</v>
      </c>
    </row>
    <row r="11828">
      <c r="A11828" s="107"/>
      <c r="D11828" s="270"/>
      <c r="H11828" s="106" t="str">
        <f t="shared" si="1"/>
        <v/>
      </c>
      <c r="J11828" t="str">
        <f>IFERROR(__xludf.DUMMYFUNCTION("IFS(
  AND(REGEXMATCH(E11828, ""台銀籌備帳戶|玉山帳戶""), REGEXMATCH(C11828, ""薪資"")), ""分潤支出"",
  AND(REGEXMATCH(E11828, ""Ben帳戶|Elsa帳戶|Ben代墊|Ariel代墊|中信銀行共用""), REGEXMATCH(F11828, ""Ben帳戶|Elsa帳戶|Ben代墊|Ariel代墊|中信銀行共用"")), ""內部轉帳(忽略)"",
  AND(E11828&lt;&gt;"""", F11828&lt;&gt;"&amp;""""", NOT(REGEXMATCH(C11828, ""薪資""))), ""內部轉帳(忽略)"",
  REGEXMATCH(C11828, ""薪資""), ""薪資變動(不計入)"",
  REGEXMATCH(C11828, ""押金""), ""押金往來"",
  AND(E11828&lt;&gt;"""", F11828=""""), ""真實支出"",
  AND(E11828="""", F11828&lt;&gt;""""), ""真實收入"",
  TRUE, ""其他""
)"),"其他")</f>
        <v>其他</v>
      </c>
      <c r="K11828" s="270" t="str">
        <f t="shared" si="2"/>
        <v/>
      </c>
      <c r="L11828">
        <f t="shared" si="3"/>
        <v>0</v>
      </c>
    </row>
    <row r="11829">
      <c r="A11829" s="107"/>
      <c r="D11829" s="270"/>
      <c r="H11829" s="106" t="str">
        <f t="shared" si="1"/>
        <v/>
      </c>
      <c r="J11829" t="str">
        <f>IFERROR(__xludf.DUMMYFUNCTION("IFS(
  AND(REGEXMATCH(E11829, ""台銀籌備帳戶|玉山帳戶""), REGEXMATCH(C11829, ""薪資"")), ""分潤支出"",
  AND(REGEXMATCH(E11829, ""Ben帳戶|Elsa帳戶|Ben代墊|Ariel代墊|中信銀行共用""), REGEXMATCH(F11829, ""Ben帳戶|Elsa帳戶|Ben代墊|Ariel代墊|中信銀行共用"")), ""內部轉帳(忽略)"",
  AND(E11829&lt;&gt;"""", F11829&lt;&gt;"&amp;""""", NOT(REGEXMATCH(C11829, ""薪資""))), ""內部轉帳(忽略)"",
  REGEXMATCH(C11829, ""薪資""), ""薪資變動(不計入)"",
  REGEXMATCH(C11829, ""押金""), ""押金往來"",
  AND(E11829&lt;&gt;"""", F11829=""""), ""真實支出"",
  AND(E11829="""", F11829&lt;&gt;""""), ""真實收入"",
  TRUE, ""其他""
)"),"其他")</f>
        <v>其他</v>
      </c>
      <c r="K11829" s="270" t="str">
        <f t="shared" si="2"/>
        <v/>
      </c>
      <c r="L11829">
        <f t="shared" si="3"/>
        <v>0</v>
      </c>
    </row>
    <row r="11830">
      <c r="A11830" s="107"/>
      <c r="D11830" s="270"/>
      <c r="H11830" s="106" t="str">
        <f t="shared" si="1"/>
        <v/>
      </c>
      <c r="J11830" t="str">
        <f>IFERROR(__xludf.DUMMYFUNCTION("IFS(
  AND(REGEXMATCH(E11830, ""台銀籌備帳戶|玉山帳戶""), REGEXMATCH(C11830, ""薪資"")), ""分潤支出"",
  AND(REGEXMATCH(E11830, ""Ben帳戶|Elsa帳戶|Ben代墊|Ariel代墊|中信銀行共用""), REGEXMATCH(F11830, ""Ben帳戶|Elsa帳戶|Ben代墊|Ariel代墊|中信銀行共用"")), ""內部轉帳(忽略)"",
  AND(E11830&lt;&gt;"""", F11830&lt;&gt;"&amp;""""", NOT(REGEXMATCH(C11830, ""薪資""))), ""內部轉帳(忽略)"",
  REGEXMATCH(C11830, ""薪資""), ""薪資變動(不計入)"",
  REGEXMATCH(C11830, ""押金""), ""押金往來"",
  AND(E11830&lt;&gt;"""", F11830=""""), ""真實支出"",
  AND(E11830="""", F11830&lt;&gt;""""), ""真實收入"",
  TRUE, ""其他""
)"),"其他")</f>
        <v>其他</v>
      </c>
      <c r="K11830" s="270" t="str">
        <f t="shared" si="2"/>
        <v/>
      </c>
      <c r="L11830">
        <f t="shared" si="3"/>
        <v>0</v>
      </c>
    </row>
    <row r="11831">
      <c r="A11831" s="107"/>
      <c r="D11831" s="270"/>
      <c r="H11831" s="106" t="str">
        <f t="shared" si="1"/>
        <v/>
      </c>
      <c r="J11831" t="str">
        <f>IFERROR(__xludf.DUMMYFUNCTION("IFS(
  AND(REGEXMATCH(E11831, ""台銀籌備帳戶|玉山帳戶""), REGEXMATCH(C11831, ""薪資"")), ""分潤支出"",
  AND(REGEXMATCH(E11831, ""Ben帳戶|Elsa帳戶|Ben代墊|Ariel代墊|中信銀行共用""), REGEXMATCH(F11831, ""Ben帳戶|Elsa帳戶|Ben代墊|Ariel代墊|中信銀行共用"")), ""內部轉帳(忽略)"",
  AND(E11831&lt;&gt;"""", F11831&lt;&gt;"&amp;""""", NOT(REGEXMATCH(C11831, ""薪資""))), ""內部轉帳(忽略)"",
  REGEXMATCH(C11831, ""薪資""), ""薪資變動(不計入)"",
  REGEXMATCH(C11831, ""押金""), ""押金往來"",
  AND(E11831&lt;&gt;"""", F11831=""""), ""真實支出"",
  AND(E11831="""", F11831&lt;&gt;""""), ""真實收入"",
  TRUE, ""其他""
)"),"其他")</f>
        <v>其他</v>
      </c>
      <c r="K11831" s="270" t="str">
        <f t="shared" si="2"/>
        <v/>
      </c>
      <c r="L11831">
        <f t="shared" si="3"/>
        <v>0</v>
      </c>
    </row>
    <row r="11832">
      <c r="A11832" s="107"/>
      <c r="D11832" s="270"/>
      <c r="H11832" s="106" t="str">
        <f t="shared" si="1"/>
        <v/>
      </c>
      <c r="J11832" t="str">
        <f>IFERROR(__xludf.DUMMYFUNCTION("IFS(
  AND(REGEXMATCH(E11832, ""台銀籌備帳戶|玉山帳戶""), REGEXMATCH(C11832, ""薪資"")), ""分潤支出"",
  AND(REGEXMATCH(E11832, ""Ben帳戶|Elsa帳戶|Ben代墊|Ariel代墊|中信銀行共用""), REGEXMATCH(F11832, ""Ben帳戶|Elsa帳戶|Ben代墊|Ariel代墊|中信銀行共用"")), ""內部轉帳(忽略)"",
  AND(E11832&lt;&gt;"""", F11832&lt;&gt;"&amp;""""", NOT(REGEXMATCH(C11832, ""薪資""))), ""內部轉帳(忽略)"",
  REGEXMATCH(C11832, ""薪資""), ""薪資變動(不計入)"",
  REGEXMATCH(C11832, ""押金""), ""押金往來"",
  AND(E11832&lt;&gt;"""", F11832=""""), ""真實支出"",
  AND(E11832="""", F11832&lt;&gt;""""), ""真實收入"",
  TRUE, ""其他""
)"),"其他")</f>
        <v>其他</v>
      </c>
      <c r="K11832" s="270" t="str">
        <f t="shared" si="2"/>
        <v/>
      </c>
      <c r="L11832">
        <f t="shared" si="3"/>
        <v>0</v>
      </c>
    </row>
    <row r="11833">
      <c r="A11833" s="107"/>
      <c r="D11833" s="270"/>
      <c r="H11833" s="106" t="str">
        <f t="shared" si="1"/>
        <v/>
      </c>
      <c r="J11833" t="str">
        <f>IFERROR(__xludf.DUMMYFUNCTION("IFS(
  AND(REGEXMATCH(E11833, ""台銀籌備帳戶|玉山帳戶""), REGEXMATCH(C11833, ""薪資"")), ""分潤支出"",
  AND(REGEXMATCH(E11833, ""Ben帳戶|Elsa帳戶|Ben代墊|Ariel代墊|中信銀行共用""), REGEXMATCH(F11833, ""Ben帳戶|Elsa帳戶|Ben代墊|Ariel代墊|中信銀行共用"")), ""內部轉帳(忽略)"",
  AND(E11833&lt;&gt;"""", F11833&lt;&gt;"&amp;""""", NOT(REGEXMATCH(C11833, ""薪資""))), ""內部轉帳(忽略)"",
  REGEXMATCH(C11833, ""薪資""), ""薪資變動(不計入)"",
  REGEXMATCH(C11833, ""押金""), ""押金往來"",
  AND(E11833&lt;&gt;"""", F11833=""""), ""真實支出"",
  AND(E11833="""", F11833&lt;&gt;""""), ""真實收入"",
  TRUE, ""其他""
)"),"其他")</f>
        <v>其他</v>
      </c>
      <c r="K11833" s="270" t="str">
        <f t="shared" si="2"/>
        <v/>
      </c>
      <c r="L11833">
        <f t="shared" si="3"/>
        <v>0</v>
      </c>
    </row>
    <row r="11834">
      <c r="A11834" s="107"/>
      <c r="D11834" s="270"/>
      <c r="H11834" s="106" t="str">
        <f t="shared" si="1"/>
        <v/>
      </c>
      <c r="J11834" t="str">
        <f>IFERROR(__xludf.DUMMYFUNCTION("IFS(
  AND(REGEXMATCH(E11834, ""台銀籌備帳戶|玉山帳戶""), REGEXMATCH(C11834, ""薪資"")), ""分潤支出"",
  AND(REGEXMATCH(E11834, ""Ben帳戶|Elsa帳戶|Ben代墊|Ariel代墊|中信銀行共用""), REGEXMATCH(F11834, ""Ben帳戶|Elsa帳戶|Ben代墊|Ariel代墊|中信銀行共用"")), ""內部轉帳(忽略)"",
  AND(E11834&lt;&gt;"""", F11834&lt;&gt;"&amp;""""", NOT(REGEXMATCH(C11834, ""薪資""))), ""內部轉帳(忽略)"",
  REGEXMATCH(C11834, ""薪資""), ""薪資變動(不計入)"",
  REGEXMATCH(C11834, ""押金""), ""押金往來"",
  AND(E11834&lt;&gt;"""", F11834=""""), ""真實支出"",
  AND(E11834="""", F11834&lt;&gt;""""), ""真實收入"",
  TRUE, ""其他""
)"),"其他")</f>
        <v>其他</v>
      </c>
      <c r="K11834" s="270" t="str">
        <f t="shared" si="2"/>
        <v/>
      </c>
      <c r="L11834">
        <f t="shared" si="3"/>
        <v>0</v>
      </c>
    </row>
    <row r="11835">
      <c r="A11835" s="107"/>
      <c r="D11835" s="270"/>
      <c r="H11835" s="106" t="str">
        <f t="shared" si="1"/>
        <v/>
      </c>
      <c r="J11835" t="str">
        <f>IFERROR(__xludf.DUMMYFUNCTION("IFS(
  AND(REGEXMATCH(E11835, ""台銀籌備帳戶|玉山帳戶""), REGEXMATCH(C11835, ""薪資"")), ""分潤支出"",
  AND(REGEXMATCH(E11835, ""Ben帳戶|Elsa帳戶|Ben代墊|Ariel代墊|中信銀行共用""), REGEXMATCH(F11835, ""Ben帳戶|Elsa帳戶|Ben代墊|Ariel代墊|中信銀行共用"")), ""內部轉帳(忽略)"",
  AND(E11835&lt;&gt;"""", F11835&lt;&gt;"&amp;""""", NOT(REGEXMATCH(C11835, ""薪資""))), ""內部轉帳(忽略)"",
  REGEXMATCH(C11835, ""薪資""), ""薪資變動(不計入)"",
  REGEXMATCH(C11835, ""押金""), ""押金往來"",
  AND(E11835&lt;&gt;"""", F11835=""""), ""真實支出"",
  AND(E11835="""", F11835&lt;&gt;""""), ""真實收入"",
  TRUE, ""其他""
)"),"其他")</f>
        <v>其他</v>
      </c>
      <c r="K11835" s="270" t="str">
        <f t="shared" si="2"/>
        <v/>
      </c>
      <c r="L11835">
        <f t="shared" si="3"/>
        <v>0</v>
      </c>
    </row>
    <row r="11836">
      <c r="A11836" s="107"/>
      <c r="D11836" s="270"/>
      <c r="H11836" s="106" t="str">
        <f t="shared" si="1"/>
        <v/>
      </c>
      <c r="J11836" t="str">
        <f>IFERROR(__xludf.DUMMYFUNCTION("IFS(
  AND(REGEXMATCH(E11836, ""台銀籌備帳戶|玉山帳戶""), REGEXMATCH(C11836, ""薪資"")), ""分潤支出"",
  AND(REGEXMATCH(E11836, ""Ben帳戶|Elsa帳戶|Ben代墊|Ariel代墊|中信銀行共用""), REGEXMATCH(F11836, ""Ben帳戶|Elsa帳戶|Ben代墊|Ariel代墊|中信銀行共用"")), ""內部轉帳(忽略)"",
  AND(E11836&lt;&gt;"""", F11836&lt;&gt;"&amp;""""", NOT(REGEXMATCH(C11836, ""薪資""))), ""內部轉帳(忽略)"",
  REGEXMATCH(C11836, ""薪資""), ""薪資變動(不計入)"",
  REGEXMATCH(C11836, ""押金""), ""押金往來"",
  AND(E11836&lt;&gt;"""", F11836=""""), ""真實支出"",
  AND(E11836="""", F11836&lt;&gt;""""), ""真實收入"",
  TRUE, ""其他""
)"),"其他")</f>
        <v>其他</v>
      </c>
      <c r="K11836" s="270" t="str">
        <f t="shared" si="2"/>
        <v/>
      </c>
      <c r="L11836">
        <f t="shared" si="3"/>
        <v>0</v>
      </c>
    </row>
    <row r="11837">
      <c r="A11837" s="107"/>
      <c r="D11837" s="270"/>
      <c r="H11837" s="106" t="str">
        <f t="shared" si="1"/>
        <v/>
      </c>
      <c r="J11837" t="str">
        <f>IFERROR(__xludf.DUMMYFUNCTION("IFS(
  AND(REGEXMATCH(E11837, ""台銀籌備帳戶|玉山帳戶""), REGEXMATCH(C11837, ""薪資"")), ""分潤支出"",
  AND(REGEXMATCH(E11837, ""Ben帳戶|Elsa帳戶|Ben代墊|Ariel代墊|中信銀行共用""), REGEXMATCH(F11837, ""Ben帳戶|Elsa帳戶|Ben代墊|Ariel代墊|中信銀行共用"")), ""內部轉帳(忽略)"",
  AND(E11837&lt;&gt;"""", F11837&lt;&gt;"&amp;""""", NOT(REGEXMATCH(C11837, ""薪資""))), ""內部轉帳(忽略)"",
  REGEXMATCH(C11837, ""薪資""), ""薪資變動(不計入)"",
  REGEXMATCH(C11837, ""押金""), ""押金往來"",
  AND(E11837&lt;&gt;"""", F11837=""""), ""真實支出"",
  AND(E11837="""", F11837&lt;&gt;""""), ""真實收入"",
  TRUE, ""其他""
)"),"其他")</f>
        <v>其他</v>
      </c>
      <c r="K11837" s="270" t="str">
        <f t="shared" si="2"/>
        <v/>
      </c>
      <c r="L11837">
        <f t="shared" si="3"/>
        <v>0</v>
      </c>
    </row>
    <row r="11838">
      <c r="A11838" s="107"/>
      <c r="D11838" s="270"/>
      <c r="H11838" s="106" t="str">
        <f t="shared" si="1"/>
        <v/>
      </c>
      <c r="J11838" t="str">
        <f>IFERROR(__xludf.DUMMYFUNCTION("IFS(
  AND(REGEXMATCH(E11838, ""台銀籌備帳戶|玉山帳戶""), REGEXMATCH(C11838, ""薪資"")), ""分潤支出"",
  AND(REGEXMATCH(E11838, ""Ben帳戶|Elsa帳戶|Ben代墊|Ariel代墊|中信銀行共用""), REGEXMATCH(F11838, ""Ben帳戶|Elsa帳戶|Ben代墊|Ariel代墊|中信銀行共用"")), ""內部轉帳(忽略)"",
  AND(E11838&lt;&gt;"""", F11838&lt;&gt;"&amp;""""", NOT(REGEXMATCH(C11838, ""薪資""))), ""內部轉帳(忽略)"",
  REGEXMATCH(C11838, ""薪資""), ""薪資變動(不計入)"",
  REGEXMATCH(C11838, ""押金""), ""押金往來"",
  AND(E11838&lt;&gt;"""", F11838=""""), ""真實支出"",
  AND(E11838="""", F11838&lt;&gt;""""), ""真實收入"",
  TRUE, ""其他""
)"),"其他")</f>
        <v>其他</v>
      </c>
      <c r="K11838" s="270" t="str">
        <f t="shared" si="2"/>
        <v/>
      </c>
      <c r="L11838">
        <f t="shared" si="3"/>
        <v>0</v>
      </c>
    </row>
    <row r="11839">
      <c r="A11839" s="107"/>
      <c r="D11839" s="270"/>
      <c r="H11839" s="106" t="str">
        <f t="shared" si="1"/>
        <v/>
      </c>
      <c r="J11839" t="str">
        <f>IFERROR(__xludf.DUMMYFUNCTION("IFS(
  AND(REGEXMATCH(E11839, ""台銀籌備帳戶|玉山帳戶""), REGEXMATCH(C11839, ""薪資"")), ""分潤支出"",
  AND(REGEXMATCH(E11839, ""Ben帳戶|Elsa帳戶|Ben代墊|Ariel代墊|中信銀行共用""), REGEXMATCH(F11839, ""Ben帳戶|Elsa帳戶|Ben代墊|Ariel代墊|中信銀行共用"")), ""內部轉帳(忽略)"",
  AND(E11839&lt;&gt;"""", F11839&lt;&gt;"&amp;""""", NOT(REGEXMATCH(C11839, ""薪資""))), ""內部轉帳(忽略)"",
  REGEXMATCH(C11839, ""薪資""), ""薪資變動(不計入)"",
  REGEXMATCH(C11839, ""押金""), ""押金往來"",
  AND(E11839&lt;&gt;"""", F11839=""""), ""真實支出"",
  AND(E11839="""", F11839&lt;&gt;""""), ""真實收入"",
  TRUE, ""其他""
)"),"其他")</f>
        <v>其他</v>
      </c>
      <c r="K11839" s="270" t="str">
        <f t="shared" si="2"/>
        <v/>
      </c>
      <c r="L11839">
        <f t="shared" si="3"/>
        <v>0</v>
      </c>
    </row>
    <row r="11840">
      <c r="A11840" s="107"/>
      <c r="D11840" s="270"/>
      <c r="H11840" s="106" t="str">
        <f t="shared" si="1"/>
        <v/>
      </c>
      <c r="J11840" t="str">
        <f>IFERROR(__xludf.DUMMYFUNCTION("IFS(
  AND(REGEXMATCH(E11840, ""台銀籌備帳戶|玉山帳戶""), REGEXMATCH(C11840, ""薪資"")), ""分潤支出"",
  AND(REGEXMATCH(E11840, ""Ben帳戶|Elsa帳戶|Ben代墊|Ariel代墊|中信銀行共用""), REGEXMATCH(F11840, ""Ben帳戶|Elsa帳戶|Ben代墊|Ariel代墊|中信銀行共用"")), ""內部轉帳(忽略)"",
  AND(E11840&lt;&gt;"""", F11840&lt;&gt;"&amp;""""", NOT(REGEXMATCH(C11840, ""薪資""))), ""內部轉帳(忽略)"",
  REGEXMATCH(C11840, ""薪資""), ""薪資變動(不計入)"",
  REGEXMATCH(C11840, ""押金""), ""押金往來"",
  AND(E11840&lt;&gt;"""", F11840=""""), ""真實支出"",
  AND(E11840="""", F11840&lt;&gt;""""), ""真實收入"",
  TRUE, ""其他""
)"),"其他")</f>
        <v>其他</v>
      </c>
      <c r="K11840" s="270" t="str">
        <f t="shared" si="2"/>
        <v/>
      </c>
      <c r="L11840">
        <f t="shared" si="3"/>
        <v>0</v>
      </c>
    </row>
    <row r="11841">
      <c r="A11841" s="107"/>
      <c r="D11841" s="270"/>
      <c r="H11841" s="106" t="str">
        <f t="shared" si="1"/>
        <v/>
      </c>
      <c r="J11841" t="str">
        <f>IFERROR(__xludf.DUMMYFUNCTION("IFS(
  AND(REGEXMATCH(E11841, ""台銀籌備帳戶|玉山帳戶""), REGEXMATCH(C11841, ""薪資"")), ""分潤支出"",
  AND(REGEXMATCH(E11841, ""Ben帳戶|Elsa帳戶|Ben代墊|Ariel代墊|中信銀行共用""), REGEXMATCH(F11841, ""Ben帳戶|Elsa帳戶|Ben代墊|Ariel代墊|中信銀行共用"")), ""內部轉帳(忽略)"",
  AND(E11841&lt;&gt;"""", F11841&lt;&gt;"&amp;""""", NOT(REGEXMATCH(C11841, ""薪資""))), ""內部轉帳(忽略)"",
  REGEXMATCH(C11841, ""薪資""), ""薪資變動(不計入)"",
  REGEXMATCH(C11841, ""押金""), ""押金往來"",
  AND(E11841&lt;&gt;"""", F11841=""""), ""真實支出"",
  AND(E11841="""", F11841&lt;&gt;""""), ""真實收入"",
  TRUE, ""其他""
)"),"其他")</f>
        <v>其他</v>
      </c>
      <c r="K11841" s="270" t="str">
        <f t="shared" si="2"/>
        <v/>
      </c>
      <c r="L11841">
        <f t="shared" si="3"/>
        <v>0</v>
      </c>
    </row>
    <row r="11842">
      <c r="A11842" s="107"/>
      <c r="D11842" s="270"/>
      <c r="H11842" s="106" t="str">
        <f t="shared" si="1"/>
        <v/>
      </c>
      <c r="J11842" t="str">
        <f>IFERROR(__xludf.DUMMYFUNCTION("IFS(
  AND(REGEXMATCH(E11842, ""台銀籌備帳戶|玉山帳戶""), REGEXMATCH(C11842, ""薪資"")), ""分潤支出"",
  AND(REGEXMATCH(E11842, ""Ben帳戶|Elsa帳戶|Ben代墊|Ariel代墊|中信銀行共用""), REGEXMATCH(F11842, ""Ben帳戶|Elsa帳戶|Ben代墊|Ariel代墊|中信銀行共用"")), ""內部轉帳(忽略)"",
  AND(E11842&lt;&gt;"""", F11842&lt;&gt;"&amp;""""", NOT(REGEXMATCH(C11842, ""薪資""))), ""內部轉帳(忽略)"",
  REGEXMATCH(C11842, ""薪資""), ""薪資變動(不計入)"",
  REGEXMATCH(C11842, ""押金""), ""押金往來"",
  AND(E11842&lt;&gt;"""", F11842=""""), ""真實支出"",
  AND(E11842="""", F11842&lt;&gt;""""), ""真實收入"",
  TRUE, ""其他""
)"),"其他")</f>
        <v>其他</v>
      </c>
      <c r="K11842" s="270" t="str">
        <f t="shared" si="2"/>
        <v/>
      </c>
      <c r="L11842">
        <f t="shared" si="3"/>
        <v>0</v>
      </c>
    </row>
    <row r="11843">
      <c r="A11843" s="107"/>
      <c r="D11843" s="270"/>
      <c r="H11843" s="106" t="str">
        <f t="shared" si="1"/>
        <v/>
      </c>
      <c r="J11843" t="str">
        <f>IFERROR(__xludf.DUMMYFUNCTION("IFS(
  AND(REGEXMATCH(E11843, ""台銀籌備帳戶|玉山帳戶""), REGEXMATCH(C11843, ""薪資"")), ""分潤支出"",
  AND(REGEXMATCH(E11843, ""Ben帳戶|Elsa帳戶|Ben代墊|Ariel代墊|中信銀行共用""), REGEXMATCH(F11843, ""Ben帳戶|Elsa帳戶|Ben代墊|Ariel代墊|中信銀行共用"")), ""內部轉帳(忽略)"",
  AND(E11843&lt;&gt;"""", F11843&lt;&gt;"&amp;""""", NOT(REGEXMATCH(C11843, ""薪資""))), ""內部轉帳(忽略)"",
  REGEXMATCH(C11843, ""薪資""), ""薪資變動(不計入)"",
  REGEXMATCH(C11843, ""押金""), ""押金往來"",
  AND(E11843&lt;&gt;"""", F11843=""""), ""真實支出"",
  AND(E11843="""", F11843&lt;&gt;""""), ""真實收入"",
  TRUE, ""其他""
)"),"其他")</f>
        <v>其他</v>
      </c>
      <c r="K11843" s="270" t="str">
        <f t="shared" si="2"/>
        <v/>
      </c>
      <c r="L11843">
        <f t="shared" si="3"/>
        <v>0</v>
      </c>
    </row>
    <row r="11844">
      <c r="A11844" s="107"/>
      <c r="D11844" s="270"/>
      <c r="H11844" s="106" t="str">
        <f t="shared" si="1"/>
        <v/>
      </c>
      <c r="J11844" t="str">
        <f>IFERROR(__xludf.DUMMYFUNCTION("IFS(
  AND(REGEXMATCH(E11844, ""台銀籌備帳戶|玉山帳戶""), REGEXMATCH(C11844, ""薪資"")), ""分潤支出"",
  AND(REGEXMATCH(E11844, ""Ben帳戶|Elsa帳戶|Ben代墊|Ariel代墊|中信銀行共用""), REGEXMATCH(F11844, ""Ben帳戶|Elsa帳戶|Ben代墊|Ariel代墊|中信銀行共用"")), ""內部轉帳(忽略)"",
  AND(E11844&lt;&gt;"""", F11844&lt;&gt;"&amp;""""", NOT(REGEXMATCH(C11844, ""薪資""))), ""內部轉帳(忽略)"",
  REGEXMATCH(C11844, ""薪資""), ""薪資變動(不計入)"",
  REGEXMATCH(C11844, ""押金""), ""押金往來"",
  AND(E11844&lt;&gt;"""", F11844=""""), ""真實支出"",
  AND(E11844="""", F11844&lt;&gt;""""), ""真實收入"",
  TRUE, ""其他""
)"),"其他")</f>
        <v>其他</v>
      </c>
      <c r="K11844" s="270" t="str">
        <f t="shared" si="2"/>
        <v/>
      </c>
      <c r="L11844">
        <f t="shared" si="3"/>
        <v>0</v>
      </c>
    </row>
    <row r="11845">
      <c r="A11845" s="107"/>
      <c r="D11845" s="270"/>
      <c r="H11845" s="106" t="str">
        <f t="shared" si="1"/>
        <v/>
      </c>
      <c r="J11845" t="str">
        <f>IFERROR(__xludf.DUMMYFUNCTION("IFS(
  AND(REGEXMATCH(E11845, ""台銀籌備帳戶|玉山帳戶""), REGEXMATCH(C11845, ""薪資"")), ""分潤支出"",
  AND(REGEXMATCH(E11845, ""Ben帳戶|Elsa帳戶|Ben代墊|Ariel代墊|中信銀行共用""), REGEXMATCH(F11845, ""Ben帳戶|Elsa帳戶|Ben代墊|Ariel代墊|中信銀行共用"")), ""內部轉帳(忽略)"",
  AND(E11845&lt;&gt;"""", F11845&lt;&gt;"&amp;""""", NOT(REGEXMATCH(C11845, ""薪資""))), ""內部轉帳(忽略)"",
  REGEXMATCH(C11845, ""薪資""), ""薪資變動(不計入)"",
  REGEXMATCH(C11845, ""押金""), ""押金往來"",
  AND(E11845&lt;&gt;"""", F11845=""""), ""真實支出"",
  AND(E11845="""", F11845&lt;&gt;""""), ""真實收入"",
  TRUE, ""其他""
)"),"其他")</f>
        <v>其他</v>
      </c>
      <c r="K11845" s="270" t="str">
        <f t="shared" si="2"/>
        <v/>
      </c>
      <c r="L11845">
        <f t="shared" si="3"/>
        <v>0</v>
      </c>
    </row>
    <row r="11846">
      <c r="A11846" s="107"/>
      <c r="D11846" s="270"/>
      <c r="H11846" s="106" t="str">
        <f t="shared" si="1"/>
        <v/>
      </c>
      <c r="J11846" t="str">
        <f>IFERROR(__xludf.DUMMYFUNCTION("IFS(
  AND(REGEXMATCH(E11846, ""台銀籌備帳戶|玉山帳戶""), REGEXMATCH(C11846, ""薪資"")), ""分潤支出"",
  AND(REGEXMATCH(E11846, ""Ben帳戶|Elsa帳戶|Ben代墊|Ariel代墊|中信銀行共用""), REGEXMATCH(F11846, ""Ben帳戶|Elsa帳戶|Ben代墊|Ariel代墊|中信銀行共用"")), ""內部轉帳(忽略)"",
  AND(E11846&lt;&gt;"""", F11846&lt;&gt;"&amp;""""", NOT(REGEXMATCH(C11846, ""薪資""))), ""內部轉帳(忽略)"",
  REGEXMATCH(C11846, ""薪資""), ""薪資變動(不計入)"",
  REGEXMATCH(C11846, ""押金""), ""押金往來"",
  AND(E11846&lt;&gt;"""", F11846=""""), ""真實支出"",
  AND(E11846="""", F11846&lt;&gt;""""), ""真實收入"",
  TRUE, ""其他""
)"),"其他")</f>
        <v>其他</v>
      </c>
      <c r="K11846" s="270" t="str">
        <f t="shared" si="2"/>
        <v/>
      </c>
      <c r="L11846">
        <f t="shared" si="3"/>
        <v>0</v>
      </c>
    </row>
    <row r="11847">
      <c r="A11847" s="107"/>
      <c r="D11847" s="270"/>
      <c r="H11847" s="106" t="str">
        <f t="shared" si="1"/>
        <v/>
      </c>
      <c r="J11847" t="str">
        <f>IFERROR(__xludf.DUMMYFUNCTION("IFS(
  AND(REGEXMATCH(E11847, ""台銀籌備帳戶|玉山帳戶""), REGEXMATCH(C11847, ""薪資"")), ""分潤支出"",
  AND(REGEXMATCH(E11847, ""Ben帳戶|Elsa帳戶|Ben代墊|Ariel代墊|中信銀行共用""), REGEXMATCH(F11847, ""Ben帳戶|Elsa帳戶|Ben代墊|Ariel代墊|中信銀行共用"")), ""內部轉帳(忽略)"",
  AND(E11847&lt;&gt;"""", F11847&lt;&gt;"&amp;""""", NOT(REGEXMATCH(C11847, ""薪資""))), ""內部轉帳(忽略)"",
  REGEXMATCH(C11847, ""薪資""), ""薪資變動(不計入)"",
  REGEXMATCH(C11847, ""押金""), ""押金往來"",
  AND(E11847&lt;&gt;"""", F11847=""""), ""真實支出"",
  AND(E11847="""", F11847&lt;&gt;""""), ""真實收入"",
  TRUE, ""其他""
)"),"其他")</f>
        <v>其他</v>
      </c>
      <c r="K11847" s="270" t="str">
        <f t="shared" si="2"/>
        <v/>
      </c>
      <c r="L11847">
        <f t="shared" si="3"/>
        <v>0</v>
      </c>
    </row>
    <row r="11848">
      <c r="A11848" s="107"/>
      <c r="D11848" s="270"/>
      <c r="H11848" s="106" t="str">
        <f t="shared" si="1"/>
        <v/>
      </c>
      <c r="J11848" t="str">
        <f>IFERROR(__xludf.DUMMYFUNCTION("IFS(
  AND(REGEXMATCH(E11848, ""台銀籌備帳戶|玉山帳戶""), REGEXMATCH(C11848, ""薪資"")), ""分潤支出"",
  AND(REGEXMATCH(E11848, ""Ben帳戶|Elsa帳戶|Ben代墊|Ariel代墊|中信銀行共用""), REGEXMATCH(F11848, ""Ben帳戶|Elsa帳戶|Ben代墊|Ariel代墊|中信銀行共用"")), ""內部轉帳(忽略)"",
  AND(E11848&lt;&gt;"""", F11848&lt;&gt;"&amp;""""", NOT(REGEXMATCH(C11848, ""薪資""))), ""內部轉帳(忽略)"",
  REGEXMATCH(C11848, ""薪資""), ""薪資變動(不計入)"",
  REGEXMATCH(C11848, ""押金""), ""押金往來"",
  AND(E11848&lt;&gt;"""", F11848=""""), ""真實支出"",
  AND(E11848="""", F11848&lt;&gt;""""), ""真實收入"",
  TRUE, ""其他""
)"),"其他")</f>
        <v>其他</v>
      </c>
      <c r="K11848" s="270" t="str">
        <f t="shared" si="2"/>
        <v/>
      </c>
      <c r="L11848">
        <f t="shared" si="3"/>
        <v>0</v>
      </c>
    </row>
    <row r="11849">
      <c r="A11849" s="107"/>
      <c r="D11849" s="270"/>
      <c r="H11849" s="106" t="str">
        <f t="shared" si="1"/>
        <v/>
      </c>
      <c r="J11849" t="str">
        <f>IFERROR(__xludf.DUMMYFUNCTION("IFS(
  AND(REGEXMATCH(E11849, ""台銀籌備帳戶|玉山帳戶""), REGEXMATCH(C11849, ""薪資"")), ""分潤支出"",
  AND(REGEXMATCH(E11849, ""Ben帳戶|Elsa帳戶|Ben代墊|Ariel代墊|中信銀行共用""), REGEXMATCH(F11849, ""Ben帳戶|Elsa帳戶|Ben代墊|Ariel代墊|中信銀行共用"")), ""內部轉帳(忽略)"",
  AND(E11849&lt;&gt;"""", F11849&lt;&gt;"&amp;""""", NOT(REGEXMATCH(C11849, ""薪資""))), ""內部轉帳(忽略)"",
  REGEXMATCH(C11849, ""薪資""), ""薪資變動(不計入)"",
  REGEXMATCH(C11849, ""押金""), ""押金往來"",
  AND(E11849&lt;&gt;"""", F11849=""""), ""真實支出"",
  AND(E11849="""", F11849&lt;&gt;""""), ""真實收入"",
  TRUE, ""其他""
)"),"其他")</f>
        <v>其他</v>
      </c>
      <c r="K11849" s="270" t="str">
        <f t="shared" si="2"/>
        <v/>
      </c>
      <c r="L11849">
        <f t="shared" si="3"/>
        <v>0</v>
      </c>
    </row>
    <row r="11850">
      <c r="A11850" s="107"/>
      <c r="D11850" s="270"/>
      <c r="H11850" s="106" t="str">
        <f t="shared" si="1"/>
        <v/>
      </c>
      <c r="J11850" t="str">
        <f>IFERROR(__xludf.DUMMYFUNCTION("IFS(
  AND(REGEXMATCH(E11850, ""台銀籌備帳戶|玉山帳戶""), REGEXMATCH(C11850, ""薪資"")), ""分潤支出"",
  AND(REGEXMATCH(E11850, ""Ben帳戶|Elsa帳戶|Ben代墊|Ariel代墊|中信銀行共用""), REGEXMATCH(F11850, ""Ben帳戶|Elsa帳戶|Ben代墊|Ariel代墊|中信銀行共用"")), ""內部轉帳(忽略)"",
  AND(E11850&lt;&gt;"""", F11850&lt;&gt;"&amp;""""", NOT(REGEXMATCH(C11850, ""薪資""))), ""內部轉帳(忽略)"",
  REGEXMATCH(C11850, ""薪資""), ""薪資變動(不計入)"",
  REGEXMATCH(C11850, ""押金""), ""押金往來"",
  AND(E11850&lt;&gt;"""", F11850=""""), ""真實支出"",
  AND(E11850="""", F11850&lt;&gt;""""), ""真實收入"",
  TRUE, ""其他""
)"),"其他")</f>
        <v>其他</v>
      </c>
      <c r="K11850" s="270" t="str">
        <f t="shared" si="2"/>
        <v/>
      </c>
      <c r="L11850">
        <f t="shared" si="3"/>
        <v>0</v>
      </c>
    </row>
    <row r="11851">
      <c r="A11851" s="107"/>
      <c r="D11851" s="270"/>
      <c r="H11851" s="106" t="str">
        <f t="shared" si="1"/>
        <v/>
      </c>
      <c r="J11851" t="str">
        <f>IFERROR(__xludf.DUMMYFUNCTION("IFS(
  AND(REGEXMATCH(E11851, ""台銀籌備帳戶|玉山帳戶""), REGEXMATCH(C11851, ""薪資"")), ""分潤支出"",
  AND(REGEXMATCH(E11851, ""Ben帳戶|Elsa帳戶|Ben代墊|Ariel代墊|中信銀行共用""), REGEXMATCH(F11851, ""Ben帳戶|Elsa帳戶|Ben代墊|Ariel代墊|中信銀行共用"")), ""內部轉帳(忽略)"",
  AND(E11851&lt;&gt;"""", F11851&lt;&gt;"&amp;""""", NOT(REGEXMATCH(C11851, ""薪資""))), ""內部轉帳(忽略)"",
  REGEXMATCH(C11851, ""薪資""), ""薪資變動(不計入)"",
  REGEXMATCH(C11851, ""押金""), ""押金往來"",
  AND(E11851&lt;&gt;"""", F11851=""""), ""真實支出"",
  AND(E11851="""", F11851&lt;&gt;""""), ""真實收入"",
  TRUE, ""其他""
)"),"其他")</f>
        <v>其他</v>
      </c>
      <c r="K11851" s="270" t="str">
        <f t="shared" si="2"/>
        <v/>
      </c>
      <c r="L11851">
        <f t="shared" si="3"/>
        <v>0</v>
      </c>
    </row>
    <row r="11852">
      <c r="A11852" s="107"/>
      <c r="D11852" s="270"/>
      <c r="H11852" s="106" t="str">
        <f t="shared" si="1"/>
        <v/>
      </c>
      <c r="J11852" t="str">
        <f>IFERROR(__xludf.DUMMYFUNCTION("IFS(
  AND(REGEXMATCH(E11852, ""台銀籌備帳戶|玉山帳戶""), REGEXMATCH(C11852, ""薪資"")), ""分潤支出"",
  AND(REGEXMATCH(E11852, ""Ben帳戶|Elsa帳戶|Ben代墊|Ariel代墊|中信銀行共用""), REGEXMATCH(F11852, ""Ben帳戶|Elsa帳戶|Ben代墊|Ariel代墊|中信銀行共用"")), ""內部轉帳(忽略)"",
  AND(E11852&lt;&gt;"""", F11852&lt;&gt;"&amp;""""", NOT(REGEXMATCH(C11852, ""薪資""))), ""內部轉帳(忽略)"",
  REGEXMATCH(C11852, ""薪資""), ""薪資變動(不計入)"",
  REGEXMATCH(C11852, ""押金""), ""押金往來"",
  AND(E11852&lt;&gt;"""", F11852=""""), ""真實支出"",
  AND(E11852="""", F11852&lt;&gt;""""), ""真實收入"",
  TRUE, ""其他""
)"),"其他")</f>
        <v>其他</v>
      </c>
      <c r="K11852" s="270" t="str">
        <f t="shared" si="2"/>
        <v/>
      </c>
      <c r="L11852">
        <f t="shared" si="3"/>
        <v>0</v>
      </c>
    </row>
    <row r="11853">
      <c r="A11853" s="107"/>
      <c r="D11853" s="270"/>
      <c r="H11853" s="106" t="str">
        <f t="shared" si="1"/>
        <v/>
      </c>
      <c r="J11853" t="str">
        <f>IFERROR(__xludf.DUMMYFUNCTION("IFS(
  AND(REGEXMATCH(E11853, ""台銀籌備帳戶|玉山帳戶""), REGEXMATCH(C11853, ""薪資"")), ""分潤支出"",
  AND(REGEXMATCH(E11853, ""Ben帳戶|Elsa帳戶|Ben代墊|Ariel代墊|中信銀行共用""), REGEXMATCH(F11853, ""Ben帳戶|Elsa帳戶|Ben代墊|Ariel代墊|中信銀行共用"")), ""內部轉帳(忽略)"",
  AND(E11853&lt;&gt;"""", F11853&lt;&gt;"&amp;""""", NOT(REGEXMATCH(C11853, ""薪資""))), ""內部轉帳(忽略)"",
  REGEXMATCH(C11853, ""薪資""), ""薪資變動(不計入)"",
  REGEXMATCH(C11853, ""押金""), ""押金往來"",
  AND(E11853&lt;&gt;"""", F11853=""""), ""真實支出"",
  AND(E11853="""", F11853&lt;&gt;""""), ""真實收入"",
  TRUE, ""其他""
)"),"其他")</f>
        <v>其他</v>
      </c>
      <c r="K11853" s="270" t="str">
        <f t="shared" si="2"/>
        <v/>
      </c>
      <c r="L11853">
        <f t="shared" si="3"/>
        <v>0</v>
      </c>
    </row>
    <row r="11854">
      <c r="A11854" s="107"/>
      <c r="D11854" s="270"/>
      <c r="H11854" s="106" t="str">
        <f t="shared" si="1"/>
        <v/>
      </c>
      <c r="J11854" t="str">
        <f>IFERROR(__xludf.DUMMYFUNCTION("IFS(
  AND(REGEXMATCH(E11854, ""台銀籌備帳戶|玉山帳戶""), REGEXMATCH(C11854, ""薪資"")), ""分潤支出"",
  AND(REGEXMATCH(E11854, ""Ben帳戶|Elsa帳戶|Ben代墊|Ariel代墊|中信銀行共用""), REGEXMATCH(F11854, ""Ben帳戶|Elsa帳戶|Ben代墊|Ariel代墊|中信銀行共用"")), ""內部轉帳(忽略)"",
  AND(E11854&lt;&gt;"""", F11854&lt;&gt;"&amp;""""", NOT(REGEXMATCH(C11854, ""薪資""))), ""內部轉帳(忽略)"",
  REGEXMATCH(C11854, ""薪資""), ""薪資變動(不計入)"",
  REGEXMATCH(C11854, ""押金""), ""押金往來"",
  AND(E11854&lt;&gt;"""", F11854=""""), ""真實支出"",
  AND(E11854="""", F11854&lt;&gt;""""), ""真實收入"",
  TRUE, ""其他""
)"),"其他")</f>
        <v>其他</v>
      </c>
      <c r="K11854" s="270" t="str">
        <f t="shared" si="2"/>
        <v/>
      </c>
      <c r="L11854">
        <f t="shared" si="3"/>
        <v>0</v>
      </c>
    </row>
    <row r="11855">
      <c r="A11855" s="107"/>
      <c r="D11855" s="270"/>
      <c r="H11855" s="106" t="str">
        <f t="shared" si="1"/>
        <v/>
      </c>
      <c r="J11855" t="str">
        <f>IFERROR(__xludf.DUMMYFUNCTION("IFS(
  AND(REGEXMATCH(E11855, ""台銀籌備帳戶|玉山帳戶""), REGEXMATCH(C11855, ""薪資"")), ""分潤支出"",
  AND(REGEXMATCH(E11855, ""Ben帳戶|Elsa帳戶|Ben代墊|Ariel代墊|中信銀行共用""), REGEXMATCH(F11855, ""Ben帳戶|Elsa帳戶|Ben代墊|Ariel代墊|中信銀行共用"")), ""內部轉帳(忽略)"",
  AND(E11855&lt;&gt;"""", F11855&lt;&gt;"&amp;""""", NOT(REGEXMATCH(C11855, ""薪資""))), ""內部轉帳(忽略)"",
  REGEXMATCH(C11855, ""薪資""), ""薪資變動(不計入)"",
  REGEXMATCH(C11855, ""押金""), ""押金往來"",
  AND(E11855&lt;&gt;"""", F11855=""""), ""真實支出"",
  AND(E11855="""", F11855&lt;&gt;""""), ""真實收入"",
  TRUE, ""其他""
)"),"其他")</f>
        <v>其他</v>
      </c>
      <c r="K11855" s="270" t="str">
        <f t="shared" si="2"/>
        <v/>
      </c>
      <c r="L11855">
        <f t="shared" si="3"/>
        <v>0</v>
      </c>
    </row>
    <row r="11856">
      <c r="A11856" s="107"/>
      <c r="D11856" s="270"/>
      <c r="H11856" s="106" t="str">
        <f t="shared" si="1"/>
        <v/>
      </c>
      <c r="J11856" t="str">
        <f>IFERROR(__xludf.DUMMYFUNCTION("IFS(
  AND(REGEXMATCH(E11856, ""台銀籌備帳戶|玉山帳戶""), REGEXMATCH(C11856, ""薪資"")), ""分潤支出"",
  AND(REGEXMATCH(E11856, ""Ben帳戶|Elsa帳戶|Ben代墊|Ariel代墊|中信銀行共用""), REGEXMATCH(F11856, ""Ben帳戶|Elsa帳戶|Ben代墊|Ariel代墊|中信銀行共用"")), ""內部轉帳(忽略)"",
  AND(E11856&lt;&gt;"""", F11856&lt;&gt;"&amp;""""", NOT(REGEXMATCH(C11856, ""薪資""))), ""內部轉帳(忽略)"",
  REGEXMATCH(C11856, ""薪資""), ""薪資變動(不計入)"",
  REGEXMATCH(C11856, ""押金""), ""押金往來"",
  AND(E11856&lt;&gt;"""", F11856=""""), ""真實支出"",
  AND(E11856="""", F11856&lt;&gt;""""), ""真實收入"",
  TRUE, ""其他""
)"),"其他")</f>
        <v>其他</v>
      </c>
      <c r="K11856" s="270" t="str">
        <f t="shared" si="2"/>
        <v/>
      </c>
      <c r="L11856">
        <f t="shared" si="3"/>
        <v>0</v>
      </c>
    </row>
    <row r="11857">
      <c r="A11857" s="107"/>
      <c r="D11857" s="270"/>
      <c r="H11857" s="106" t="str">
        <f t="shared" si="1"/>
        <v/>
      </c>
      <c r="J11857" t="str">
        <f>IFERROR(__xludf.DUMMYFUNCTION("IFS(
  AND(REGEXMATCH(E11857, ""台銀籌備帳戶|玉山帳戶""), REGEXMATCH(C11857, ""薪資"")), ""分潤支出"",
  AND(REGEXMATCH(E11857, ""Ben帳戶|Elsa帳戶|Ben代墊|Ariel代墊|中信銀行共用""), REGEXMATCH(F11857, ""Ben帳戶|Elsa帳戶|Ben代墊|Ariel代墊|中信銀行共用"")), ""內部轉帳(忽略)"",
  AND(E11857&lt;&gt;"""", F11857&lt;&gt;"&amp;""""", NOT(REGEXMATCH(C11857, ""薪資""))), ""內部轉帳(忽略)"",
  REGEXMATCH(C11857, ""薪資""), ""薪資變動(不計入)"",
  REGEXMATCH(C11857, ""押金""), ""押金往來"",
  AND(E11857&lt;&gt;"""", F11857=""""), ""真實支出"",
  AND(E11857="""", F11857&lt;&gt;""""), ""真實收入"",
  TRUE, ""其他""
)"),"其他")</f>
        <v>其他</v>
      </c>
      <c r="K11857" s="270" t="str">
        <f t="shared" si="2"/>
        <v/>
      </c>
      <c r="L11857">
        <f t="shared" si="3"/>
        <v>0</v>
      </c>
    </row>
    <row r="11858">
      <c r="A11858" s="107"/>
      <c r="D11858" s="270"/>
      <c r="H11858" s="106" t="str">
        <f t="shared" si="1"/>
        <v/>
      </c>
      <c r="J11858" t="str">
        <f>IFERROR(__xludf.DUMMYFUNCTION("IFS(
  AND(REGEXMATCH(E11858, ""台銀籌備帳戶|玉山帳戶""), REGEXMATCH(C11858, ""薪資"")), ""分潤支出"",
  AND(REGEXMATCH(E11858, ""Ben帳戶|Elsa帳戶|Ben代墊|Ariel代墊|中信銀行共用""), REGEXMATCH(F11858, ""Ben帳戶|Elsa帳戶|Ben代墊|Ariel代墊|中信銀行共用"")), ""內部轉帳(忽略)"",
  AND(E11858&lt;&gt;"""", F11858&lt;&gt;"&amp;""""", NOT(REGEXMATCH(C11858, ""薪資""))), ""內部轉帳(忽略)"",
  REGEXMATCH(C11858, ""薪資""), ""薪資變動(不計入)"",
  REGEXMATCH(C11858, ""押金""), ""押金往來"",
  AND(E11858&lt;&gt;"""", F11858=""""), ""真實支出"",
  AND(E11858="""", F11858&lt;&gt;""""), ""真實收入"",
  TRUE, ""其他""
)"),"其他")</f>
        <v>其他</v>
      </c>
      <c r="K11858" s="270" t="str">
        <f t="shared" si="2"/>
        <v/>
      </c>
      <c r="L11858">
        <f t="shared" si="3"/>
        <v>0</v>
      </c>
    </row>
    <row r="11859">
      <c r="A11859" s="107"/>
      <c r="D11859" s="270"/>
      <c r="H11859" s="106" t="str">
        <f t="shared" si="1"/>
        <v/>
      </c>
      <c r="J11859" t="str">
        <f>IFERROR(__xludf.DUMMYFUNCTION("IFS(
  AND(REGEXMATCH(E11859, ""台銀籌備帳戶|玉山帳戶""), REGEXMATCH(C11859, ""薪資"")), ""分潤支出"",
  AND(REGEXMATCH(E11859, ""Ben帳戶|Elsa帳戶|Ben代墊|Ariel代墊|中信銀行共用""), REGEXMATCH(F11859, ""Ben帳戶|Elsa帳戶|Ben代墊|Ariel代墊|中信銀行共用"")), ""內部轉帳(忽略)"",
  AND(E11859&lt;&gt;"""", F11859&lt;&gt;"&amp;""""", NOT(REGEXMATCH(C11859, ""薪資""))), ""內部轉帳(忽略)"",
  REGEXMATCH(C11859, ""薪資""), ""薪資變動(不計入)"",
  REGEXMATCH(C11859, ""押金""), ""押金往來"",
  AND(E11859&lt;&gt;"""", F11859=""""), ""真實支出"",
  AND(E11859="""", F11859&lt;&gt;""""), ""真實收入"",
  TRUE, ""其他""
)"),"其他")</f>
        <v>其他</v>
      </c>
      <c r="K11859" s="270" t="str">
        <f t="shared" si="2"/>
        <v/>
      </c>
      <c r="L11859">
        <f t="shared" si="3"/>
        <v>0</v>
      </c>
    </row>
    <row r="11860">
      <c r="A11860" s="107"/>
      <c r="D11860" s="270"/>
      <c r="H11860" s="106" t="str">
        <f t="shared" si="1"/>
        <v/>
      </c>
      <c r="J11860" t="str">
        <f>IFERROR(__xludf.DUMMYFUNCTION("IFS(
  AND(REGEXMATCH(E11860, ""台銀籌備帳戶|玉山帳戶""), REGEXMATCH(C11860, ""薪資"")), ""分潤支出"",
  AND(REGEXMATCH(E11860, ""Ben帳戶|Elsa帳戶|Ben代墊|Ariel代墊|中信銀行共用""), REGEXMATCH(F11860, ""Ben帳戶|Elsa帳戶|Ben代墊|Ariel代墊|中信銀行共用"")), ""內部轉帳(忽略)"",
  AND(E11860&lt;&gt;"""", F11860&lt;&gt;"&amp;""""", NOT(REGEXMATCH(C11860, ""薪資""))), ""內部轉帳(忽略)"",
  REGEXMATCH(C11860, ""薪資""), ""薪資變動(不計入)"",
  REGEXMATCH(C11860, ""押金""), ""押金往來"",
  AND(E11860&lt;&gt;"""", F11860=""""), ""真實支出"",
  AND(E11860="""", F11860&lt;&gt;""""), ""真實收入"",
  TRUE, ""其他""
)"),"其他")</f>
        <v>其他</v>
      </c>
      <c r="K11860" s="270" t="str">
        <f t="shared" si="2"/>
        <v/>
      </c>
      <c r="L11860">
        <f t="shared" si="3"/>
        <v>0</v>
      </c>
    </row>
    <row r="11861">
      <c r="A11861" s="107"/>
      <c r="D11861" s="270"/>
      <c r="H11861" s="106" t="str">
        <f t="shared" si="1"/>
        <v/>
      </c>
      <c r="J11861" t="str">
        <f>IFERROR(__xludf.DUMMYFUNCTION("IFS(
  AND(REGEXMATCH(E11861, ""台銀籌備帳戶|玉山帳戶""), REGEXMATCH(C11861, ""薪資"")), ""分潤支出"",
  AND(REGEXMATCH(E11861, ""Ben帳戶|Elsa帳戶|Ben代墊|Ariel代墊|中信銀行共用""), REGEXMATCH(F11861, ""Ben帳戶|Elsa帳戶|Ben代墊|Ariel代墊|中信銀行共用"")), ""內部轉帳(忽略)"",
  AND(E11861&lt;&gt;"""", F11861&lt;&gt;"&amp;""""", NOT(REGEXMATCH(C11861, ""薪資""))), ""內部轉帳(忽略)"",
  REGEXMATCH(C11861, ""薪資""), ""薪資變動(不計入)"",
  REGEXMATCH(C11861, ""押金""), ""押金往來"",
  AND(E11861&lt;&gt;"""", F11861=""""), ""真實支出"",
  AND(E11861="""", F11861&lt;&gt;""""), ""真實收入"",
  TRUE, ""其他""
)"),"其他")</f>
        <v>其他</v>
      </c>
      <c r="K11861" s="270" t="str">
        <f t="shared" si="2"/>
        <v/>
      </c>
      <c r="L11861">
        <f t="shared" si="3"/>
        <v>0</v>
      </c>
    </row>
    <row r="11862">
      <c r="A11862" s="107"/>
      <c r="D11862" s="270"/>
      <c r="H11862" s="106" t="str">
        <f t="shared" si="1"/>
        <v/>
      </c>
      <c r="J11862" t="str">
        <f>IFERROR(__xludf.DUMMYFUNCTION("IFS(
  AND(REGEXMATCH(E11862, ""台銀籌備帳戶|玉山帳戶""), REGEXMATCH(C11862, ""薪資"")), ""分潤支出"",
  AND(REGEXMATCH(E11862, ""Ben帳戶|Elsa帳戶|Ben代墊|Ariel代墊|中信銀行共用""), REGEXMATCH(F11862, ""Ben帳戶|Elsa帳戶|Ben代墊|Ariel代墊|中信銀行共用"")), ""內部轉帳(忽略)"",
  AND(E11862&lt;&gt;"""", F11862&lt;&gt;"&amp;""""", NOT(REGEXMATCH(C11862, ""薪資""))), ""內部轉帳(忽略)"",
  REGEXMATCH(C11862, ""薪資""), ""薪資變動(不計入)"",
  REGEXMATCH(C11862, ""押金""), ""押金往來"",
  AND(E11862&lt;&gt;"""", F11862=""""), ""真實支出"",
  AND(E11862="""", F11862&lt;&gt;""""), ""真實收入"",
  TRUE, ""其他""
)"),"其他")</f>
        <v>其他</v>
      </c>
      <c r="K11862" s="270" t="str">
        <f t="shared" si="2"/>
        <v/>
      </c>
      <c r="L11862">
        <f t="shared" si="3"/>
        <v>0</v>
      </c>
    </row>
    <row r="11863">
      <c r="A11863" s="107"/>
      <c r="D11863" s="270"/>
      <c r="H11863" s="106" t="str">
        <f t="shared" si="1"/>
        <v/>
      </c>
      <c r="J11863" t="str">
        <f>IFERROR(__xludf.DUMMYFUNCTION("IFS(
  AND(REGEXMATCH(E11863, ""台銀籌備帳戶|玉山帳戶""), REGEXMATCH(C11863, ""薪資"")), ""分潤支出"",
  AND(REGEXMATCH(E11863, ""Ben帳戶|Elsa帳戶|Ben代墊|Ariel代墊|中信銀行共用""), REGEXMATCH(F11863, ""Ben帳戶|Elsa帳戶|Ben代墊|Ariel代墊|中信銀行共用"")), ""內部轉帳(忽略)"",
  AND(E11863&lt;&gt;"""", F11863&lt;&gt;"&amp;""""", NOT(REGEXMATCH(C11863, ""薪資""))), ""內部轉帳(忽略)"",
  REGEXMATCH(C11863, ""薪資""), ""薪資變動(不計入)"",
  REGEXMATCH(C11863, ""押金""), ""押金往來"",
  AND(E11863&lt;&gt;"""", F11863=""""), ""真實支出"",
  AND(E11863="""", F11863&lt;&gt;""""), ""真實收入"",
  TRUE, ""其他""
)"),"其他")</f>
        <v>其他</v>
      </c>
      <c r="K11863" s="270" t="str">
        <f t="shared" si="2"/>
        <v/>
      </c>
      <c r="L11863">
        <f t="shared" si="3"/>
        <v>0</v>
      </c>
    </row>
    <row r="11864">
      <c r="A11864" s="107"/>
      <c r="D11864" s="270"/>
      <c r="H11864" s="106" t="str">
        <f t="shared" si="1"/>
        <v/>
      </c>
      <c r="J11864" t="str">
        <f>IFERROR(__xludf.DUMMYFUNCTION("IFS(
  AND(REGEXMATCH(E11864, ""台銀籌備帳戶|玉山帳戶""), REGEXMATCH(C11864, ""薪資"")), ""分潤支出"",
  AND(REGEXMATCH(E11864, ""Ben帳戶|Elsa帳戶|Ben代墊|Ariel代墊|中信銀行共用""), REGEXMATCH(F11864, ""Ben帳戶|Elsa帳戶|Ben代墊|Ariel代墊|中信銀行共用"")), ""內部轉帳(忽略)"",
  AND(E11864&lt;&gt;"""", F11864&lt;&gt;"&amp;""""", NOT(REGEXMATCH(C11864, ""薪資""))), ""內部轉帳(忽略)"",
  REGEXMATCH(C11864, ""薪資""), ""薪資變動(不計入)"",
  REGEXMATCH(C11864, ""押金""), ""押金往來"",
  AND(E11864&lt;&gt;"""", F11864=""""), ""真實支出"",
  AND(E11864="""", F11864&lt;&gt;""""), ""真實收入"",
  TRUE, ""其他""
)"),"其他")</f>
        <v>其他</v>
      </c>
      <c r="K11864" s="270" t="str">
        <f t="shared" si="2"/>
        <v/>
      </c>
      <c r="L11864">
        <f t="shared" si="3"/>
        <v>0</v>
      </c>
    </row>
    <row r="11865">
      <c r="A11865" s="107"/>
      <c r="D11865" s="270"/>
      <c r="H11865" s="106" t="str">
        <f t="shared" si="1"/>
        <v/>
      </c>
      <c r="J11865" t="str">
        <f>IFERROR(__xludf.DUMMYFUNCTION("IFS(
  AND(REGEXMATCH(E11865, ""台銀籌備帳戶|玉山帳戶""), REGEXMATCH(C11865, ""薪資"")), ""分潤支出"",
  AND(REGEXMATCH(E11865, ""Ben帳戶|Elsa帳戶|Ben代墊|Ariel代墊|中信銀行共用""), REGEXMATCH(F11865, ""Ben帳戶|Elsa帳戶|Ben代墊|Ariel代墊|中信銀行共用"")), ""內部轉帳(忽略)"",
  AND(E11865&lt;&gt;"""", F11865&lt;&gt;"&amp;""""", NOT(REGEXMATCH(C11865, ""薪資""))), ""內部轉帳(忽略)"",
  REGEXMATCH(C11865, ""薪資""), ""薪資變動(不計入)"",
  REGEXMATCH(C11865, ""押金""), ""押金往來"",
  AND(E11865&lt;&gt;"""", F11865=""""), ""真實支出"",
  AND(E11865="""", F11865&lt;&gt;""""), ""真實收入"",
  TRUE, ""其他""
)"),"其他")</f>
        <v>其他</v>
      </c>
      <c r="K11865" s="270" t="str">
        <f t="shared" si="2"/>
        <v/>
      </c>
      <c r="L11865">
        <f t="shared" si="3"/>
        <v>0</v>
      </c>
    </row>
    <row r="11866">
      <c r="A11866" s="107"/>
      <c r="D11866" s="270"/>
      <c r="H11866" s="106" t="str">
        <f t="shared" si="1"/>
        <v/>
      </c>
      <c r="J11866" t="str">
        <f>IFERROR(__xludf.DUMMYFUNCTION("IFS(
  AND(REGEXMATCH(E11866, ""台銀籌備帳戶|玉山帳戶""), REGEXMATCH(C11866, ""薪資"")), ""分潤支出"",
  AND(REGEXMATCH(E11866, ""Ben帳戶|Elsa帳戶|Ben代墊|Ariel代墊|中信銀行共用""), REGEXMATCH(F11866, ""Ben帳戶|Elsa帳戶|Ben代墊|Ariel代墊|中信銀行共用"")), ""內部轉帳(忽略)"",
  AND(E11866&lt;&gt;"""", F11866&lt;&gt;"&amp;""""", NOT(REGEXMATCH(C11866, ""薪資""))), ""內部轉帳(忽略)"",
  REGEXMATCH(C11866, ""薪資""), ""薪資變動(不計入)"",
  REGEXMATCH(C11866, ""押金""), ""押金往來"",
  AND(E11866&lt;&gt;"""", F11866=""""), ""真實支出"",
  AND(E11866="""", F11866&lt;&gt;""""), ""真實收入"",
  TRUE, ""其他""
)"),"其他")</f>
        <v>其他</v>
      </c>
      <c r="K11866" s="270" t="str">
        <f t="shared" si="2"/>
        <v/>
      </c>
      <c r="L11866">
        <f t="shared" si="3"/>
        <v>0</v>
      </c>
    </row>
    <row r="11867">
      <c r="A11867" s="107"/>
      <c r="D11867" s="270"/>
      <c r="H11867" s="106" t="str">
        <f t="shared" si="1"/>
        <v/>
      </c>
      <c r="J11867" t="str">
        <f>IFERROR(__xludf.DUMMYFUNCTION("IFS(
  AND(REGEXMATCH(E11867, ""台銀籌備帳戶|玉山帳戶""), REGEXMATCH(C11867, ""薪資"")), ""分潤支出"",
  AND(REGEXMATCH(E11867, ""Ben帳戶|Elsa帳戶|Ben代墊|Ariel代墊|中信銀行共用""), REGEXMATCH(F11867, ""Ben帳戶|Elsa帳戶|Ben代墊|Ariel代墊|中信銀行共用"")), ""內部轉帳(忽略)"",
  AND(E11867&lt;&gt;"""", F11867&lt;&gt;"&amp;""""", NOT(REGEXMATCH(C11867, ""薪資""))), ""內部轉帳(忽略)"",
  REGEXMATCH(C11867, ""薪資""), ""薪資變動(不計入)"",
  REGEXMATCH(C11867, ""押金""), ""押金往來"",
  AND(E11867&lt;&gt;"""", F11867=""""), ""真實支出"",
  AND(E11867="""", F11867&lt;&gt;""""), ""真實收入"",
  TRUE, ""其他""
)"),"其他")</f>
        <v>其他</v>
      </c>
      <c r="K11867" s="270" t="str">
        <f t="shared" si="2"/>
        <v/>
      </c>
      <c r="L11867">
        <f t="shared" si="3"/>
        <v>0</v>
      </c>
    </row>
    <row r="11868">
      <c r="A11868" s="107"/>
      <c r="D11868" s="270"/>
      <c r="H11868" s="106" t="str">
        <f t="shared" si="1"/>
        <v/>
      </c>
      <c r="J11868" t="str">
        <f>IFERROR(__xludf.DUMMYFUNCTION("IFS(
  AND(REGEXMATCH(E11868, ""台銀籌備帳戶|玉山帳戶""), REGEXMATCH(C11868, ""薪資"")), ""分潤支出"",
  AND(REGEXMATCH(E11868, ""Ben帳戶|Elsa帳戶|Ben代墊|Ariel代墊|中信銀行共用""), REGEXMATCH(F11868, ""Ben帳戶|Elsa帳戶|Ben代墊|Ariel代墊|中信銀行共用"")), ""內部轉帳(忽略)"",
  AND(E11868&lt;&gt;"""", F11868&lt;&gt;"&amp;""""", NOT(REGEXMATCH(C11868, ""薪資""))), ""內部轉帳(忽略)"",
  REGEXMATCH(C11868, ""薪資""), ""薪資變動(不計入)"",
  REGEXMATCH(C11868, ""押金""), ""押金往來"",
  AND(E11868&lt;&gt;"""", F11868=""""), ""真實支出"",
  AND(E11868="""", F11868&lt;&gt;""""), ""真實收入"",
  TRUE, ""其他""
)"),"其他")</f>
        <v>其他</v>
      </c>
      <c r="K11868" s="270" t="str">
        <f t="shared" si="2"/>
        <v/>
      </c>
      <c r="L11868">
        <f t="shared" si="3"/>
        <v>0</v>
      </c>
    </row>
    <row r="11869">
      <c r="A11869" s="107"/>
      <c r="D11869" s="270"/>
      <c r="H11869" s="106" t="str">
        <f t="shared" si="1"/>
        <v/>
      </c>
      <c r="J11869" t="str">
        <f>IFERROR(__xludf.DUMMYFUNCTION("IFS(
  AND(REGEXMATCH(E11869, ""台銀籌備帳戶|玉山帳戶""), REGEXMATCH(C11869, ""薪資"")), ""分潤支出"",
  AND(REGEXMATCH(E11869, ""Ben帳戶|Elsa帳戶|Ben代墊|Ariel代墊|中信銀行共用""), REGEXMATCH(F11869, ""Ben帳戶|Elsa帳戶|Ben代墊|Ariel代墊|中信銀行共用"")), ""內部轉帳(忽略)"",
  AND(E11869&lt;&gt;"""", F11869&lt;&gt;"&amp;""""", NOT(REGEXMATCH(C11869, ""薪資""))), ""內部轉帳(忽略)"",
  REGEXMATCH(C11869, ""薪資""), ""薪資變動(不計入)"",
  REGEXMATCH(C11869, ""押金""), ""押金往來"",
  AND(E11869&lt;&gt;"""", F11869=""""), ""真實支出"",
  AND(E11869="""", F11869&lt;&gt;""""), ""真實收入"",
  TRUE, ""其他""
)"),"其他")</f>
        <v>其他</v>
      </c>
      <c r="K11869" s="270" t="str">
        <f t="shared" si="2"/>
        <v/>
      </c>
      <c r="L11869">
        <f t="shared" si="3"/>
        <v>0</v>
      </c>
    </row>
    <row r="11870">
      <c r="A11870" s="107"/>
      <c r="D11870" s="270"/>
      <c r="H11870" s="106" t="str">
        <f t="shared" si="1"/>
        <v/>
      </c>
      <c r="J11870" t="str">
        <f>IFERROR(__xludf.DUMMYFUNCTION("IFS(
  AND(REGEXMATCH(E11870, ""台銀籌備帳戶|玉山帳戶""), REGEXMATCH(C11870, ""薪資"")), ""分潤支出"",
  AND(REGEXMATCH(E11870, ""Ben帳戶|Elsa帳戶|Ben代墊|Ariel代墊|中信銀行共用""), REGEXMATCH(F11870, ""Ben帳戶|Elsa帳戶|Ben代墊|Ariel代墊|中信銀行共用"")), ""內部轉帳(忽略)"",
  AND(E11870&lt;&gt;"""", F11870&lt;&gt;"&amp;""""", NOT(REGEXMATCH(C11870, ""薪資""))), ""內部轉帳(忽略)"",
  REGEXMATCH(C11870, ""薪資""), ""薪資變動(不計入)"",
  REGEXMATCH(C11870, ""押金""), ""押金往來"",
  AND(E11870&lt;&gt;"""", F11870=""""), ""真實支出"",
  AND(E11870="""", F11870&lt;&gt;""""), ""真實收入"",
  TRUE, ""其他""
)"),"其他")</f>
        <v>其他</v>
      </c>
      <c r="K11870" s="270" t="str">
        <f t="shared" si="2"/>
        <v/>
      </c>
      <c r="L11870">
        <f t="shared" si="3"/>
        <v>0</v>
      </c>
    </row>
    <row r="11871">
      <c r="A11871" s="107"/>
      <c r="D11871" s="270"/>
      <c r="H11871" s="106" t="str">
        <f t="shared" si="1"/>
        <v/>
      </c>
      <c r="J11871" t="str">
        <f>IFERROR(__xludf.DUMMYFUNCTION("IFS(
  AND(REGEXMATCH(E11871, ""台銀籌備帳戶|玉山帳戶""), REGEXMATCH(C11871, ""薪資"")), ""分潤支出"",
  AND(REGEXMATCH(E11871, ""Ben帳戶|Elsa帳戶|Ben代墊|Ariel代墊|中信銀行共用""), REGEXMATCH(F11871, ""Ben帳戶|Elsa帳戶|Ben代墊|Ariel代墊|中信銀行共用"")), ""內部轉帳(忽略)"",
  AND(E11871&lt;&gt;"""", F11871&lt;&gt;"&amp;""""", NOT(REGEXMATCH(C11871, ""薪資""))), ""內部轉帳(忽略)"",
  REGEXMATCH(C11871, ""薪資""), ""薪資變動(不計入)"",
  REGEXMATCH(C11871, ""押金""), ""押金往來"",
  AND(E11871&lt;&gt;"""", F11871=""""), ""真實支出"",
  AND(E11871="""", F11871&lt;&gt;""""), ""真實收入"",
  TRUE, ""其他""
)"),"其他")</f>
        <v>其他</v>
      </c>
      <c r="K11871" s="270" t="str">
        <f t="shared" si="2"/>
        <v/>
      </c>
      <c r="L11871">
        <f t="shared" si="3"/>
        <v>0</v>
      </c>
    </row>
    <row r="11872">
      <c r="A11872" s="107"/>
      <c r="D11872" s="270"/>
      <c r="H11872" s="106" t="str">
        <f t="shared" si="1"/>
        <v/>
      </c>
      <c r="J11872" t="str">
        <f>IFERROR(__xludf.DUMMYFUNCTION("IFS(
  AND(REGEXMATCH(E11872, ""台銀籌備帳戶|玉山帳戶""), REGEXMATCH(C11872, ""薪資"")), ""分潤支出"",
  AND(REGEXMATCH(E11872, ""Ben帳戶|Elsa帳戶|Ben代墊|Ariel代墊|中信銀行共用""), REGEXMATCH(F11872, ""Ben帳戶|Elsa帳戶|Ben代墊|Ariel代墊|中信銀行共用"")), ""內部轉帳(忽略)"",
  AND(E11872&lt;&gt;"""", F11872&lt;&gt;"&amp;""""", NOT(REGEXMATCH(C11872, ""薪資""))), ""內部轉帳(忽略)"",
  REGEXMATCH(C11872, ""薪資""), ""薪資變動(不計入)"",
  REGEXMATCH(C11872, ""押金""), ""押金往來"",
  AND(E11872&lt;&gt;"""", F11872=""""), ""真實支出"",
  AND(E11872="""", F11872&lt;&gt;""""), ""真實收入"",
  TRUE, ""其他""
)"),"其他")</f>
        <v>其他</v>
      </c>
      <c r="K11872" s="270" t="str">
        <f t="shared" si="2"/>
        <v/>
      </c>
      <c r="L11872">
        <f t="shared" si="3"/>
        <v>0</v>
      </c>
    </row>
    <row r="11873">
      <c r="A11873" s="107"/>
      <c r="D11873" s="270"/>
      <c r="H11873" s="106" t="str">
        <f t="shared" si="1"/>
        <v/>
      </c>
      <c r="J11873" t="str">
        <f>IFERROR(__xludf.DUMMYFUNCTION("IFS(
  AND(REGEXMATCH(E11873, ""台銀籌備帳戶|玉山帳戶""), REGEXMATCH(C11873, ""薪資"")), ""分潤支出"",
  AND(REGEXMATCH(E11873, ""Ben帳戶|Elsa帳戶|Ben代墊|Ariel代墊|中信銀行共用""), REGEXMATCH(F11873, ""Ben帳戶|Elsa帳戶|Ben代墊|Ariel代墊|中信銀行共用"")), ""內部轉帳(忽略)"",
  AND(E11873&lt;&gt;"""", F11873&lt;&gt;"&amp;""""", NOT(REGEXMATCH(C11873, ""薪資""))), ""內部轉帳(忽略)"",
  REGEXMATCH(C11873, ""薪資""), ""薪資變動(不計入)"",
  REGEXMATCH(C11873, ""押金""), ""押金往來"",
  AND(E11873&lt;&gt;"""", F11873=""""), ""真實支出"",
  AND(E11873="""", F11873&lt;&gt;""""), ""真實收入"",
  TRUE, ""其他""
)"),"其他")</f>
        <v>其他</v>
      </c>
      <c r="K11873" s="270" t="str">
        <f t="shared" si="2"/>
        <v/>
      </c>
      <c r="L11873">
        <f t="shared" si="3"/>
        <v>0</v>
      </c>
    </row>
    <row r="11874">
      <c r="A11874" s="107"/>
      <c r="D11874" s="270"/>
      <c r="H11874" s="106" t="str">
        <f t="shared" si="1"/>
        <v/>
      </c>
      <c r="J11874" t="str">
        <f>IFERROR(__xludf.DUMMYFUNCTION("IFS(
  AND(REGEXMATCH(E11874, ""台銀籌備帳戶|玉山帳戶""), REGEXMATCH(C11874, ""薪資"")), ""分潤支出"",
  AND(REGEXMATCH(E11874, ""Ben帳戶|Elsa帳戶|Ben代墊|Ariel代墊|中信銀行共用""), REGEXMATCH(F11874, ""Ben帳戶|Elsa帳戶|Ben代墊|Ariel代墊|中信銀行共用"")), ""內部轉帳(忽略)"",
  AND(E11874&lt;&gt;"""", F11874&lt;&gt;"&amp;""""", NOT(REGEXMATCH(C11874, ""薪資""))), ""內部轉帳(忽略)"",
  REGEXMATCH(C11874, ""薪資""), ""薪資變動(不計入)"",
  REGEXMATCH(C11874, ""押金""), ""押金往來"",
  AND(E11874&lt;&gt;"""", F11874=""""), ""真實支出"",
  AND(E11874="""", F11874&lt;&gt;""""), ""真實收入"",
  TRUE, ""其他""
)"),"其他")</f>
        <v>其他</v>
      </c>
      <c r="K11874" s="270" t="str">
        <f t="shared" si="2"/>
        <v/>
      </c>
      <c r="L11874">
        <f t="shared" si="3"/>
        <v>0</v>
      </c>
    </row>
    <row r="11875">
      <c r="A11875" s="107"/>
      <c r="D11875" s="270"/>
      <c r="H11875" s="106" t="str">
        <f t="shared" si="1"/>
        <v/>
      </c>
      <c r="J11875" t="str">
        <f>IFERROR(__xludf.DUMMYFUNCTION("IFS(
  AND(REGEXMATCH(E11875, ""台銀籌備帳戶|玉山帳戶""), REGEXMATCH(C11875, ""薪資"")), ""分潤支出"",
  AND(REGEXMATCH(E11875, ""Ben帳戶|Elsa帳戶|Ben代墊|Ariel代墊|中信銀行共用""), REGEXMATCH(F11875, ""Ben帳戶|Elsa帳戶|Ben代墊|Ariel代墊|中信銀行共用"")), ""內部轉帳(忽略)"",
  AND(E11875&lt;&gt;"""", F11875&lt;&gt;"&amp;""""", NOT(REGEXMATCH(C11875, ""薪資""))), ""內部轉帳(忽略)"",
  REGEXMATCH(C11875, ""薪資""), ""薪資變動(不計入)"",
  REGEXMATCH(C11875, ""押金""), ""押金往來"",
  AND(E11875&lt;&gt;"""", F11875=""""), ""真實支出"",
  AND(E11875="""", F11875&lt;&gt;""""), ""真實收入"",
  TRUE, ""其他""
)"),"其他")</f>
        <v>其他</v>
      </c>
      <c r="K11875" s="270" t="str">
        <f t="shared" si="2"/>
        <v/>
      </c>
      <c r="L11875">
        <f t="shared" si="3"/>
        <v>0</v>
      </c>
    </row>
    <row r="11876">
      <c r="A11876" s="107"/>
      <c r="D11876" s="270"/>
      <c r="H11876" s="106" t="str">
        <f t="shared" si="1"/>
        <v/>
      </c>
      <c r="J11876" t="str">
        <f>IFERROR(__xludf.DUMMYFUNCTION("IFS(
  AND(REGEXMATCH(E11876, ""台銀籌備帳戶|玉山帳戶""), REGEXMATCH(C11876, ""薪資"")), ""分潤支出"",
  AND(REGEXMATCH(E11876, ""Ben帳戶|Elsa帳戶|Ben代墊|Ariel代墊|中信銀行共用""), REGEXMATCH(F11876, ""Ben帳戶|Elsa帳戶|Ben代墊|Ariel代墊|中信銀行共用"")), ""內部轉帳(忽略)"",
  AND(E11876&lt;&gt;"""", F11876&lt;&gt;"&amp;""""", NOT(REGEXMATCH(C11876, ""薪資""))), ""內部轉帳(忽略)"",
  REGEXMATCH(C11876, ""薪資""), ""薪資變動(不計入)"",
  REGEXMATCH(C11876, ""押金""), ""押金往來"",
  AND(E11876&lt;&gt;"""", F11876=""""), ""真實支出"",
  AND(E11876="""", F11876&lt;&gt;""""), ""真實收入"",
  TRUE, ""其他""
)"),"其他")</f>
        <v>其他</v>
      </c>
      <c r="K11876" s="270" t="str">
        <f t="shared" si="2"/>
        <v/>
      </c>
      <c r="L11876">
        <f t="shared" si="3"/>
        <v>0</v>
      </c>
    </row>
    <row r="11877">
      <c r="A11877" s="107"/>
      <c r="D11877" s="270"/>
      <c r="H11877" s="106" t="str">
        <f t="shared" si="1"/>
        <v/>
      </c>
      <c r="J11877" t="str">
        <f>IFERROR(__xludf.DUMMYFUNCTION("IFS(
  AND(REGEXMATCH(E11877, ""台銀籌備帳戶|玉山帳戶""), REGEXMATCH(C11877, ""薪資"")), ""分潤支出"",
  AND(REGEXMATCH(E11877, ""Ben帳戶|Elsa帳戶|Ben代墊|Ariel代墊|中信銀行共用""), REGEXMATCH(F11877, ""Ben帳戶|Elsa帳戶|Ben代墊|Ariel代墊|中信銀行共用"")), ""內部轉帳(忽略)"",
  AND(E11877&lt;&gt;"""", F11877&lt;&gt;"&amp;""""", NOT(REGEXMATCH(C11877, ""薪資""))), ""內部轉帳(忽略)"",
  REGEXMATCH(C11877, ""薪資""), ""薪資變動(不計入)"",
  REGEXMATCH(C11877, ""押金""), ""押金往來"",
  AND(E11877&lt;&gt;"""", F11877=""""), ""真實支出"",
  AND(E11877="""", F11877&lt;&gt;""""), ""真實收入"",
  TRUE, ""其他""
)"),"其他")</f>
        <v>其他</v>
      </c>
      <c r="K11877" s="270" t="str">
        <f t="shared" si="2"/>
        <v/>
      </c>
      <c r="L11877">
        <f t="shared" si="3"/>
        <v>0</v>
      </c>
    </row>
    <row r="11878">
      <c r="A11878" s="107"/>
      <c r="D11878" s="270"/>
      <c r="H11878" s="106" t="str">
        <f t="shared" si="1"/>
        <v/>
      </c>
      <c r="J11878" t="str">
        <f>IFERROR(__xludf.DUMMYFUNCTION("IFS(
  AND(REGEXMATCH(E11878, ""台銀籌備帳戶|玉山帳戶""), REGEXMATCH(C11878, ""薪資"")), ""分潤支出"",
  AND(REGEXMATCH(E11878, ""Ben帳戶|Elsa帳戶|Ben代墊|Ariel代墊|中信銀行共用""), REGEXMATCH(F11878, ""Ben帳戶|Elsa帳戶|Ben代墊|Ariel代墊|中信銀行共用"")), ""內部轉帳(忽略)"",
  AND(E11878&lt;&gt;"""", F11878&lt;&gt;"&amp;""""", NOT(REGEXMATCH(C11878, ""薪資""))), ""內部轉帳(忽略)"",
  REGEXMATCH(C11878, ""薪資""), ""薪資變動(不計入)"",
  REGEXMATCH(C11878, ""押金""), ""押金往來"",
  AND(E11878&lt;&gt;"""", F11878=""""), ""真實支出"",
  AND(E11878="""", F11878&lt;&gt;""""), ""真實收入"",
  TRUE, ""其他""
)"),"其他")</f>
        <v>其他</v>
      </c>
      <c r="K11878" s="270" t="str">
        <f t="shared" si="2"/>
        <v/>
      </c>
      <c r="L11878">
        <f t="shared" si="3"/>
        <v>0</v>
      </c>
    </row>
    <row r="11879">
      <c r="A11879" s="107"/>
      <c r="D11879" s="270"/>
      <c r="H11879" s="106" t="str">
        <f t="shared" si="1"/>
        <v/>
      </c>
      <c r="J11879" t="str">
        <f>IFERROR(__xludf.DUMMYFUNCTION("IFS(
  AND(REGEXMATCH(E11879, ""台銀籌備帳戶|玉山帳戶""), REGEXMATCH(C11879, ""薪資"")), ""分潤支出"",
  AND(REGEXMATCH(E11879, ""Ben帳戶|Elsa帳戶|Ben代墊|Ariel代墊|中信銀行共用""), REGEXMATCH(F11879, ""Ben帳戶|Elsa帳戶|Ben代墊|Ariel代墊|中信銀行共用"")), ""內部轉帳(忽略)"",
  AND(E11879&lt;&gt;"""", F11879&lt;&gt;"&amp;""""", NOT(REGEXMATCH(C11879, ""薪資""))), ""內部轉帳(忽略)"",
  REGEXMATCH(C11879, ""薪資""), ""薪資變動(不計入)"",
  REGEXMATCH(C11879, ""押金""), ""押金往來"",
  AND(E11879&lt;&gt;"""", F11879=""""), ""真實支出"",
  AND(E11879="""", F11879&lt;&gt;""""), ""真實收入"",
  TRUE, ""其他""
)"),"其他")</f>
        <v>其他</v>
      </c>
      <c r="K11879" s="270" t="str">
        <f t="shared" si="2"/>
        <v/>
      </c>
      <c r="L11879">
        <f t="shared" si="3"/>
        <v>0</v>
      </c>
    </row>
    <row r="11880">
      <c r="A11880" s="107"/>
      <c r="D11880" s="270"/>
      <c r="H11880" s="106" t="str">
        <f t="shared" si="1"/>
        <v/>
      </c>
      <c r="J11880" t="str">
        <f>IFERROR(__xludf.DUMMYFUNCTION("IFS(
  AND(REGEXMATCH(E11880, ""台銀籌備帳戶|玉山帳戶""), REGEXMATCH(C11880, ""薪資"")), ""分潤支出"",
  AND(REGEXMATCH(E11880, ""Ben帳戶|Elsa帳戶|Ben代墊|Ariel代墊|中信銀行共用""), REGEXMATCH(F11880, ""Ben帳戶|Elsa帳戶|Ben代墊|Ariel代墊|中信銀行共用"")), ""內部轉帳(忽略)"",
  AND(E11880&lt;&gt;"""", F11880&lt;&gt;"&amp;""""", NOT(REGEXMATCH(C11880, ""薪資""))), ""內部轉帳(忽略)"",
  REGEXMATCH(C11880, ""薪資""), ""薪資變動(不計入)"",
  REGEXMATCH(C11880, ""押金""), ""押金往來"",
  AND(E11880&lt;&gt;"""", F11880=""""), ""真實支出"",
  AND(E11880="""", F11880&lt;&gt;""""), ""真實收入"",
  TRUE, ""其他""
)"),"其他")</f>
        <v>其他</v>
      </c>
      <c r="K11880" s="270" t="str">
        <f t="shared" si="2"/>
        <v/>
      </c>
      <c r="L11880">
        <f t="shared" si="3"/>
        <v>0</v>
      </c>
    </row>
    <row r="11881">
      <c r="A11881" s="107"/>
      <c r="D11881" s="270"/>
      <c r="H11881" s="106" t="str">
        <f t="shared" si="1"/>
        <v/>
      </c>
      <c r="J11881" t="str">
        <f>IFERROR(__xludf.DUMMYFUNCTION("IFS(
  AND(REGEXMATCH(E11881, ""台銀籌備帳戶|玉山帳戶""), REGEXMATCH(C11881, ""薪資"")), ""分潤支出"",
  AND(REGEXMATCH(E11881, ""Ben帳戶|Elsa帳戶|Ben代墊|Ariel代墊|中信銀行共用""), REGEXMATCH(F11881, ""Ben帳戶|Elsa帳戶|Ben代墊|Ariel代墊|中信銀行共用"")), ""內部轉帳(忽略)"",
  AND(E11881&lt;&gt;"""", F11881&lt;&gt;"&amp;""""", NOT(REGEXMATCH(C11881, ""薪資""))), ""內部轉帳(忽略)"",
  REGEXMATCH(C11881, ""薪資""), ""薪資變動(不計入)"",
  REGEXMATCH(C11881, ""押金""), ""押金往來"",
  AND(E11881&lt;&gt;"""", F11881=""""), ""真實支出"",
  AND(E11881="""", F11881&lt;&gt;""""), ""真實收入"",
  TRUE, ""其他""
)"),"其他")</f>
        <v>其他</v>
      </c>
      <c r="K11881" s="270" t="str">
        <f t="shared" si="2"/>
        <v/>
      </c>
      <c r="L11881">
        <f t="shared" si="3"/>
        <v>0</v>
      </c>
    </row>
    <row r="11882">
      <c r="A11882" s="107"/>
      <c r="D11882" s="270"/>
      <c r="H11882" s="106" t="str">
        <f t="shared" si="1"/>
        <v/>
      </c>
      <c r="J11882" t="str">
        <f>IFERROR(__xludf.DUMMYFUNCTION("IFS(
  AND(REGEXMATCH(E11882, ""台銀籌備帳戶|玉山帳戶""), REGEXMATCH(C11882, ""薪資"")), ""分潤支出"",
  AND(REGEXMATCH(E11882, ""Ben帳戶|Elsa帳戶|Ben代墊|Ariel代墊|中信銀行共用""), REGEXMATCH(F11882, ""Ben帳戶|Elsa帳戶|Ben代墊|Ariel代墊|中信銀行共用"")), ""內部轉帳(忽略)"",
  AND(E11882&lt;&gt;"""", F11882&lt;&gt;"&amp;""""", NOT(REGEXMATCH(C11882, ""薪資""))), ""內部轉帳(忽略)"",
  REGEXMATCH(C11882, ""薪資""), ""薪資變動(不計入)"",
  REGEXMATCH(C11882, ""押金""), ""押金往來"",
  AND(E11882&lt;&gt;"""", F11882=""""), ""真實支出"",
  AND(E11882="""", F11882&lt;&gt;""""), ""真實收入"",
  TRUE, ""其他""
)"),"其他")</f>
        <v>其他</v>
      </c>
      <c r="K11882" s="270" t="str">
        <f t="shared" si="2"/>
        <v/>
      </c>
      <c r="L11882">
        <f t="shared" si="3"/>
        <v>0</v>
      </c>
    </row>
    <row r="11883">
      <c r="A11883" s="107"/>
      <c r="D11883" s="270"/>
      <c r="H11883" s="106" t="str">
        <f t="shared" si="1"/>
        <v/>
      </c>
      <c r="J11883" t="str">
        <f>IFERROR(__xludf.DUMMYFUNCTION("IFS(
  AND(REGEXMATCH(E11883, ""台銀籌備帳戶|玉山帳戶""), REGEXMATCH(C11883, ""薪資"")), ""分潤支出"",
  AND(REGEXMATCH(E11883, ""Ben帳戶|Elsa帳戶|Ben代墊|Ariel代墊|中信銀行共用""), REGEXMATCH(F11883, ""Ben帳戶|Elsa帳戶|Ben代墊|Ariel代墊|中信銀行共用"")), ""內部轉帳(忽略)"",
  AND(E11883&lt;&gt;"""", F11883&lt;&gt;"&amp;""""", NOT(REGEXMATCH(C11883, ""薪資""))), ""內部轉帳(忽略)"",
  REGEXMATCH(C11883, ""薪資""), ""薪資變動(不計入)"",
  REGEXMATCH(C11883, ""押金""), ""押金往來"",
  AND(E11883&lt;&gt;"""", F11883=""""), ""真實支出"",
  AND(E11883="""", F11883&lt;&gt;""""), ""真實收入"",
  TRUE, ""其他""
)"),"其他")</f>
        <v>其他</v>
      </c>
      <c r="K11883" s="270" t="str">
        <f t="shared" si="2"/>
        <v/>
      </c>
      <c r="L11883">
        <f t="shared" si="3"/>
        <v>0</v>
      </c>
    </row>
    <row r="11884">
      <c r="A11884" s="107"/>
      <c r="D11884" s="270"/>
      <c r="H11884" s="106" t="str">
        <f t="shared" si="1"/>
        <v/>
      </c>
      <c r="J11884" t="str">
        <f>IFERROR(__xludf.DUMMYFUNCTION("IFS(
  AND(REGEXMATCH(E11884, ""台銀籌備帳戶|玉山帳戶""), REGEXMATCH(C11884, ""薪資"")), ""分潤支出"",
  AND(REGEXMATCH(E11884, ""Ben帳戶|Elsa帳戶|Ben代墊|Ariel代墊|中信銀行共用""), REGEXMATCH(F11884, ""Ben帳戶|Elsa帳戶|Ben代墊|Ariel代墊|中信銀行共用"")), ""內部轉帳(忽略)"",
  AND(E11884&lt;&gt;"""", F11884&lt;&gt;"&amp;""""", NOT(REGEXMATCH(C11884, ""薪資""))), ""內部轉帳(忽略)"",
  REGEXMATCH(C11884, ""薪資""), ""薪資變動(不計入)"",
  REGEXMATCH(C11884, ""押金""), ""押金往來"",
  AND(E11884&lt;&gt;"""", F11884=""""), ""真實支出"",
  AND(E11884="""", F11884&lt;&gt;""""), ""真實收入"",
  TRUE, ""其他""
)"),"其他")</f>
        <v>其他</v>
      </c>
      <c r="K11884" s="270" t="str">
        <f t="shared" si="2"/>
        <v/>
      </c>
      <c r="L11884">
        <f t="shared" si="3"/>
        <v>0</v>
      </c>
    </row>
    <row r="11885">
      <c r="A11885" s="107"/>
      <c r="D11885" s="270"/>
      <c r="H11885" s="106" t="str">
        <f t="shared" si="1"/>
        <v/>
      </c>
      <c r="J11885" t="str">
        <f>IFERROR(__xludf.DUMMYFUNCTION("IFS(
  AND(REGEXMATCH(E11885, ""台銀籌備帳戶|玉山帳戶""), REGEXMATCH(C11885, ""薪資"")), ""分潤支出"",
  AND(REGEXMATCH(E11885, ""Ben帳戶|Elsa帳戶|Ben代墊|Ariel代墊|中信銀行共用""), REGEXMATCH(F11885, ""Ben帳戶|Elsa帳戶|Ben代墊|Ariel代墊|中信銀行共用"")), ""內部轉帳(忽略)"",
  AND(E11885&lt;&gt;"""", F11885&lt;&gt;"&amp;""""", NOT(REGEXMATCH(C11885, ""薪資""))), ""內部轉帳(忽略)"",
  REGEXMATCH(C11885, ""薪資""), ""薪資變動(不計入)"",
  REGEXMATCH(C11885, ""押金""), ""押金往來"",
  AND(E11885&lt;&gt;"""", F11885=""""), ""真實支出"",
  AND(E11885="""", F11885&lt;&gt;""""), ""真實收入"",
  TRUE, ""其他""
)"),"其他")</f>
        <v>其他</v>
      </c>
      <c r="K11885" s="270" t="str">
        <f t="shared" si="2"/>
        <v/>
      </c>
      <c r="L11885">
        <f t="shared" si="3"/>
        <v>0</v>
      </c>
    </row>
    <row r="11886">
      <c r="A11886" s="107"/>
      <c r="D11886" s="270"/>
      <c r="H11886" s="106" t="str">
        <f t="shared" si="1"/>
        <v/>
      </c>
      <c r="J11886" t="str">
        <f>IFERROR(__xludf.DUMMYFUNCTION("IFS(
  AND(REGEXMATCH(E11886, ""台銀籌備帳戶|玉山帳戶""), REGEXMATCH(C11886, ""薪資"")), ""分潤支出"",
  AND(REGEXMATCH(E11886, ""Ben帳戶|Elsa帳戶|Ben代墊|Ariel代墊|中信銀行共用""), REGEXMATCH(F11886, ""Ben帳戶|Elsa帳戶|Ben代墊|Ariel代墊|中信銀行共用"")), ""內部轉帳(忽略)"",
  AND(E11886&lt;&gt;"""", F11886&lt;&gt;"&amp;""""", NOT(REGEXMATCH(C11886, ""薪資""))), ""內部轉帳(忽略)"",
  REGEXMATCH(C11886, ""薪資""), ""薪資變動(不計入)"",
  REGEXMATCH(C11886, ""押金""), ""押金往來"",
  AND(E11886&lt;&gt;"""", F11886=""""), ""真實支出"",
  AND(E11886="""", F11886&lt;&gt;""""), ""真實收入"",
  TRUE, ""其他""
)"),"其他")</f>
        <v>其他</v>
      </c>
      <c r="K11886" s="270" t="str">
        <f t="shared" si="2"/>
        <v/>
      </c>
      <c r="L11886">
        <f t="shared" si="3"/>
        <v>0</v>
      </c>
    </row>
    <row r="11887">
      <c r="A11887" s="107"/>
      <c r="D11887" s="270"/>
      <c r="H11887" s="106" t="str">
        <f t="shared" si="1"/>
        <v/>
      </c>
      <c r="J11887" t="str">
        <f>IFERROR(__xludf.DUMMYFUNCTION("IFS(
  AND(REGEXMATCH(E11887, ""台銀籌備帳戶|玉山帳戶""), REGEXMATCH(C11887, ""薪資"")), ""分潤支出"",
  AND(REGEXMATCH(E11887, ""Ben帳戶|Elsa帳戶|Ben代墊|Ariel代墊|中信銀行共用""), REGEXMATCH(F11887, ""Ben帳戶|Elsa帳戶|Ben代墊|Ariel代墊|中信銀行共用"")), ""內部轉帳(忽略)"",
  AND(E11887&lt;&gt;"""", F11887&lt;&gt;"&amp;""""", NOT(REGEXMATCH(C11887, ""薪資""))), ""內部轉帳(忽略)"",
  REGEXMATCH(C11887, ""薪資""), ""薪資變動(不計入)"",
  REGEXMATCH(C11887, ""押金""), ""押金往來"",
  AND(E11887&lt;&gt;"""", F11887=""""), ""真實支出"",
  AND(E11887="""", F11887&lt;&gt;""""), ""真實收入"",
  TRUE, ""其他""
)"),"其他")</f>
        <v>其他</v>
      </c>
      <c r="K11887" s="270" t="str">
        <f t="shared" si="2"/>
        <v/>
      </c>
      <c r="L11887">
        <f t="shared" si="3"/>
        <v>0</v>
      </c>
    </row>
    <row r="11888">
      <c r="A11888" s="107"/>
      <c r="D11888" s="270"/>
      <c r="H11888" s="106" t="str">
        <f t="shared" si="1"/>
        <v/>
      </c>
      <c r="J11888" t="str">
        <f>IFERROR(__xludf.DUMMYFUNCTION("IFS(
  AND(REGEXMATCH(E11888, ""台銀籌備帳戶|玉山帳戶""), REGEXMATCH(C11888, ""薪資"")), ""分潤支出"",
  AND(REGEXMATCH(E11888, ""Ben帳戶|Elsa帳戶|Ben代墊|Ariel代墊|中信銀行共用""), REGEXMATCH(F11888, ""Ben帳戶|Elsa帳戶|Ben代墊|Ariel代墊|中信銀行共用"")), ""內部轉帳(忽略)"",
  AND(E11888&lt;&gt;"""", F11888&lt;&gt;"&amp;""""", NOT(REGEXMATCH(C11888, ""薪資""))), ""內部轉帳(忽略)"",
  REGEXMATCH(C11888, ""薪資""), ""薪資變動(不計入)"",
  REGEXMATCH(C11888, ""押金""), ""押金往來"",
  AND(E11888&lt;&gt;"""", F11888=""""), ""真實支出"",
  AND(E11888="""", F11888&lt;&gt;""""), ""真實收入"",
  TRUE, ""其他""
)"),"其他")</f>
        <v>其他</v>
      </c>
      <c r="K11888" s="270" t="str">
        <f t="shared" si="2"/>
        <v/>
      </c>
      <c r="L11888">
        <f t="shared" si="3"/>
        <v>0</v>
      </c>
    </row>
    <row r="11889">
      <c r="A11889" s="107"/>
      <c r="D11889" s="270"/>
      <c r="H11889" s="106" t="str">
        <f t="shared" si="1"/>
        <v/>
      </c>
      <c r="J11889" t="str">
        <f>IFERROR(__xludf.DUMMYFUNCTION("IFS(
  AND(REGEXMATCH(E11889, ""台銀籌備帳戶|玉山帳戶""), REGEXMATCH(C11889, ""薪資"")), ""分潤支出"",
  AND(REGEXMATCH(E11889, ""Ben帳戶|Elsa帳戶|Ben代墊|Ariel代墊|中信銀行共用""), REGEXMATCH(F11889, ""Ben帳戶|Elsa帳戶|Ben代墊|Ariel代墊|中信銀行共用"")), ""內部轉帳(忽略)"",
  AND(E11889&lt;&gt;"""", F11889&lt;&gt;"&amp;""""", NOT(REGEXMATCH(C11889, ""薪資""))), ""內部轉帳(忽略)"",
  REGEXMATCH(C11889, ""薪資""), ""薪資變動(不計入)"",
  REGEXMATCH(C11889, ""押金""), ""押金往來"",
  AND(E11889&lt;&gt;"""", F11889=""""), ""真實支出"",
  AND(E11889="""", F11889&lt;&gt;""""), ""真實收入"",
  TRUE, ""其他""
)"),"其他")</f>
        <v>其他</v>
      </c>
      <c r="K11889" s="270" t="str">
        <f t="shared" si="2"/>
        <v/>
      </c>
      <c r="L11889">
        <f t="shared" si="3"/>
        <v>0</v>
      </c>
    </row>
    <row r="11890">
      <c r="A11890" s="107"/>
      <c r="D11890" s="270"/>
      <c r="H11890" s="106" t="str">
        <f t="shared" si="1"/>
        <v/>
      </c>
      <c r="J11890" t="str">
        <f>IFERROR(__xludf.DUMMYFUNCTION("IFS(
  AND(REGEXMATCH(E11890, ""台銀籌備帳戶|玉山帳戶""), REGEXMATCH(C11890, ""薪資"")), ""分潤支出"",
  AND(REGEXMATCH(E11890, ""Ben帳戶|Elsa帳戶|Ben代墊|Ariel代墊|中信銀行共用""), REGEXMATCH(F11890, ""Ben帳戶|Elsa帳戶|Ben代墊|Ariel代墊|中信銀行共用"")), ""內部轉帳(忽略)"",
  AND(E11890&lt;&gt;"""", F11890&lt;&gt;"&amp;""""", NOT(REGEXMATCH(C11890, ""薪資""))), ""內部轉帳(忽略)"",
  REGEXMATCH(C11890, ""薪資""), ""薪資變動(不計入)"",
  REGEXMATCH(C11890, ""押金""), ""押金往來"",
  AND(E11890&lt;&gt;"""", F11890=""""), ""真實支出"",
  AND(E11890="""", F11890&lt;&gt;""""), ""真實收入"",
  TRUE, ""其他""
)"),"其他")</f>
        <v>其他</v>
      </c>
      <c r="K11890" s="270" t="str">
        <f t="shared" si="2"/>
        <v/>
      </c>
      <c r="L11890">
        <f t="shared" si="3"/>
        <v>0</v>
      </c>
    </row>
    <row r="11891">
      <c r="A11891" s="107"/>
      <c r="D11891" s="270"/>
      <c r="H11891" s="106" t="str">
        <f t="shared" si="1"/>
        <v/>
      </c>
      <c r="J11891" t="str">
        <f>IFERROR(__xludf.DUMMYFUNCTION("IFS(
  AND(REGEXMATCH(E11891, ""台銀籌備帳戶|玉山帳戶""), REGEXMATCH(C11891, ""薪資"")), ""分潤支出"",
  AND(REGEXMATCH(E11891, ""Ben帳戶|Elsa帳戶|Ben代墊|Ariel代墊|中信銀行共用""), REGEXMATCH(F11891, ""Ben帳戶|Elsa帳戶|Ben代墊|Ariel代墊|中信銀行共用"")), ""內部轉帳(忽略)"",
  AND(E11891&lt;&gt;"""", F11891&lt;&gt;"&amp;""""", NOT(REGEXMATCH(C11891, ""薪資""))), ""內部轉帳(忽略)"",
  REGEXMATCH(C11891, ""薪資""), ""薪資變動(不計入)"",
  REGEXMATCH(C11891, ""押金""), ""押金往來"",
  AND(E11891&lt;&gt;"""", F11891=""""), ""真實支出"",
  AND(E11891="""", F11891&lt;&gt;""""), ""真實收入"",
  TRUE, ""其他""
)"),"其他")</f>
        <v>其他</v>
      </c>
      <c r="K11891" s="270" t="str">
        <f t="shared" si="2"/>
        <v/>
      </c>
      <c r="L11891">
        <f t="shared" si="3"/>
        <v>0</v>
      </c>
    </row>
    <row r="11892">
      <c r="A11892" s="107"/>
      <c r="D11892" s="270"/>
      <c r="H11892" s="106" t="str">
        <f t="shared" si="1"/>
        <v/>
      </c>
      <c r="J11892" t="str">
        <f>IFERROR(__xludf.DUMMYFUNCTION("IFS(
  AND(REGEXMATCH(E11892, ""台銀籌備帳戶|玉山帳戶""), REGEXMATCH(C11892, ""薪資"")), ""分潤支出"",
  AND(REGEXMATCH(E11892, ""Ben帳戶|Elsa帳戶|Ben代墊|Ariel代墊|中信銀行共用""), REGEXMATCH(F11892, ""Ben帳戶|Elsa帳戶|Ben代墊|Ariel代墊|中信銀行共用"")), ""內部轉帳(忽略)"",
  AND(E11892&lt;&gt;"""", F11892&lt;&gt;"&amp;""""", NOT(REGEXMATCH(C11892, ""薪資""))), ""內部轉帳(忽略)"",
  REGEXMATCH(C11892, ""薪資""), ""薪資變動(不計入)"",
  REGEXMATCH(C11892, ""押金""), ""押金往來"",
  AND(E11892&lt;&gt;"""", F11892=""""), ""真實支出"",
  AND(E11892="""", F11892&lt;&gt;""""), ""真實收入"",
  TRUE, ""其他""
)"),"其他")</f>
        <v>其他</v>
      </c>
      <c r="K11892" s="270" t="str">
        <f t="shared" si="2"/>
        <v/>
      </c>
      <c r="L11892">
        <f t="shared" si="3"/>
        <v>0</v>
      </c>
    </row>
    <row r="11893">
      <c r="A11893" s="107"/>
      <c r="D11893" s="270"/>
      <c r="H11893" s="106" t="str">
        <f t="shared" si="1"/>
        <v/>
      </c>
      <c r="J11893" t="str">
        <f>IFERROR(__xludf.DUMMYFUNCTION("IFS(
  AND(REGEXMATCH(E11893, ""台銀籌備帳戶|玉山帳戶""), REGEXMATCH(C11893, ""薪資"")), ""分潤支出"",
  AND(REGEXMATCH(E11893, ""Ben帳戶|Elsa帳戶|Ben代墊|Ariel代墊|中信銀行共用""), REGEXMATCH(F11893, ""Ben帳戶|Elsa帳戶|Ben代墊|Ariel代墊|中信銀行共用"")), ""內部轉帳(忽略)"",
  AND(E11893&lt;&gt;"""", F11893&lt;&gt;"&amp;""""", NOT(REGEXMATCH(C11893, ""薪資""))), ""內部轉帳(忽略)"",
  REGEXMATCH(C11893, ""薪資""), ""薪資變動(不計入)"",
  REGEXMATCH(C11893, ""押金""), ""押金往來"",
  AND(E11893&lt;&gt;"""", F11893=""""), ""真實支出"",
  AND(E11893="""", F11893&lt;&gt;""""), ""真實收入"",
  TRUE, ""其他""
)"),"其他")</f>
        <v>其他</v>
      </c>
      <c r="K11893" s="270" t="str">
        <f t="shared" si="2"/>
        <v/>
      </c>
      <c r="L11893">
        <f t="shared" si="3"/>
        <v>0</v>
      </c>
    </row>
    <row r="11894">
      <c r="A11894" s="107"/>
      <c r="D11894" s="270"/>
      <c r="H11894" s="106" t="str">
        <f t="shared" si="1"/>
        <v/>
      </c>
      <c r="J11894" t="str">
        <f>IFERROR(__xludf.DUMMYFUNCTION("IFS(
  AND(REGEXMATCH(E11894, ""台銀籌備帳戶|玉山帳戶""), REGEXMATCH(C11894, ""薪資"")), ""分潤支出"",
  AND(REGEXMATCH(E11894, ""Ben帳戶|Elsa帳戶|Ben代墊|Ariel代墊|中信銀行共用""), REGEXMATCH(F11894, ""Ben帳戶|Elsa帳戶|Ben代墊|Ariel代墊|中信銀行共用"")), ""內部轉帳(忽略)"",
  AND(E11894&lt;&gt;"""", F11894&lt;&gt;"&amp;""""", NOT(REGEXMATCH(C11894, ""薪資""))), ""內部轉帳(忽略)"",
  REGEXMATCH(C11894, ""薪資""), ""薪資變動(不計入)"",
  REGEXMATCH(C11894, ""押金""), ""押金往來"",
  AND(E11894&lt;&gt;"""", F11894=""""), ""真實支出"",
  AND(E11894="""", F11894&lt;&gt;""""), ""真實收入"",
  TRUE, ""其他""
)"),"其他")</f>
        <v>其他</v>
      </c>
      <c r="K11894" s="270" t="str">
        <f t="shared" si="2"/>
        <v/>
      </c>
      <c r="L11894">
        <f t="shared" si="3"/>
        <v>0</v>
      </c>
    </row>
    <row r="11895">
      <c r="A11895" s="107"/>
      <c r="D11895" s="270"/>
      <c r="H11895" s="106" t="str">
        <f t="shared" si="1"/>
        <v/>
      </c>
      <c r="J11895" t="str">
        <f>IFERROR(__xludf.DUMMYFUNCTION("IFS(
  AND(REGEXMATCH(E11895, ""台銀籌備帳戶|玉山帳戶""), REGEXMATCH(C11895, ""薪資"")), ""分潤支出"",
  AND(REGEXMATCH(E11895, ""Ben帳戶|Elsa帳戶|Ben代墊|Ariel代墊|中信銀行共用""), REGEXMATCH(F11895, ""Ben帳戶|Elsa帳戶|Ben代墊|Ariel代墊|中信銀行共用"")), ""內部轉帳(忽略)"",
  AND(E11895&lt;&gt;"""", F11895&lt;&gt;"&amp;""""", NOT(REGEXMATCH(C11895, ""薪資""))), ""內部轉帳(忽略)"",
  REGEXMATCH(C11895, ""薪資""), ""薪資變動(不計入)"",
  REGEXMATCH(C11895, ""押金""), ""押金往來"",
  AND(E11895&lt;&gt;"""", F11895=""""), ""真實支出"",
  AND(E11895="""", F11895&lt;&gt;""""), ""真實收入"",
  TRUE, ""其他""
)"),"其他")</f>
        <v>其他</v>
      </c>
      <c r="K11895" s="270" t="str">
        <f t="shared" si="2"/>
        <v/>
      </c>
      <c r="L11895">
        <f t="shared" si="3"/>
        <v>0</v>
      </c>
    </row>
    <row r="11896">
      <c r="A11896" s="107"/>
      <c r="D11896" s="270"/>
      <c r="H11896" s="106" t="str">
        <f t="shared" si="1"/>
        <v/>
      </c>
      <c r="J11896" t="str">
        <f>IFERROR(__xludf.DUMMYFUNCTION("IFS(
  AND(REGEXMATCH(E11896, ""台銀籌備帳戶|玉山帳戶""), REGEXMATCH(C11896, ""薪資"")), ""分潤支出"",
  AND(REGEXMATCH(E11896, ""Ben帳戶|Elsa帳戶|Ben代墊|Ariel代墊|中信銀行共用""), REGEXMATCH(F11896, ""Ben帳戶|Elsa帳戶|Ben代墊|Ariel代墊|中信銀行共用"")), ""內部轉帳(忽略)"",
  AND(E11896&lt;&gt;"""", F11896&lt;&gt;"&amp;""""", NOT(REGEXMATCH(C11896, ""薪資""))), ""內部轉帳(忽略)"",
  REGEXMATCH(C11896, ""薪資""), ""薪資變動(不計入)"",
  REGEXMATCH(C11896, ""押金""), ""押金往來"",
  AND(E11896&lt;&gt;"""", F11896=""""), ""真實支出"",
  AND(E11896="""", F11896&lt;&gt;""""), ""真實收入"",
  TRUE, ""其他""
)"),"其他")</f>
        <v>其他</v>
      </c>
      <c r="K11896" s="270" t="str">
        <f t="shared" si="2"/>
        <v/>
      </c>
      <c r="L11896">
        <f t="shared" si="3"/>
        <v>0</v>
      </c>
    </row>
    <row r="11897">
      <c r="A11897" s="107"/>
      <c r="D11897" s="270"/>
      <c r="H11897" s="106" t="str">
        <f t="shared" si="1"/>
        <v/>
      </c>
      <c r="J11897" t="str">
        <f>IFERROR(__xludf.DUMMYFUNCTION("IFS(
  AND(REGEXMATCH(E11897, ""台銀籌備帳戶|玉山帳戶""), REGEXMATCH(C11897, ""薪資"")), ""分潤支出"",
  AND(REGEXMATCH(E11897, ""Ben帳戶|Elsa帳戶|Ben代墊|Ariel代墊|中信銀行共用""), REGEXMATCH(F11897, ""Ben帳戶|Elsa帳戶|Ben代墊|Ariel代墊|中信銀行共用"")), ""內部轉帳(忽略)"",
  AND(E11897&lt;&gt;"""", F11897&lt;&gt;"&amp;""""", NOT(REGEXMATCH(C11897, ""薪資""))), ""內部轉帳(忽略)"",
  REGEXMATCH(C11897, ""薪資""), ""薪資變動(不計入)"",
  REGEXMATCH(C11897, ""押金""), ""押金往來"",
  AND(E11897&lt;&gt;"""", F11897=""""), ""真實支出"",
  AND(E11897="""", F11897&lt;&gt;""""), ""真實收入"",
  TRUE, ""其他""
)"),"其他")</f>
        <v>其他</v>
      </c>
      <c r="K11897" s="270" t="str">
        <f t="shared" si="2"/>
        <v/>
      </c>
      <c r="L11897">
        <f t="shared" si="3"/>
        <v>0</v>
      </c>
    </row>
    <row r="11898">
      <c r="A11898" s="107"/>
      <c r="D11898" s="270"/>
      <c r="H11898" s="106" t="str">
        <f t="shared" si="1"/>
        <v/>
      </c>
      <c r="J11898" t="str">
        <f>IFERROR(__xludf.DUMMYFUNCTION("IFS(
  AND(REGEXMATCH(E11898, ""台銀籌備帳戶|玉山帳戶""), REGEXMATCH(C11898, ""薪資"")), ""分潤支出"",
  AND(REGEXMATCH(E11898, ""Ben帳戶|Elsa帳戶|Ben代墊|Ariel代墊|中信銀行共用""), REGEXMATCH(F11898, ""Ben帳戶|Elsa帳戶|Ben代墊|Ariel代墊|中信銀行共用"")), ""內部轉帳(忽略)"",
  AND(E11898&lt;&gt;"""", F11898&lt;&gt;"&amp;""""", NOT(REGEXMATCH(C11898, ""薪資""))), ""內部轉帳(忽略)"",
  REGEXMATCH(C11898, ""薪資""), ""薪資變動(不計入)"",
  REGEXMATCH(C11898, ""押金""), ""押金往來"",
  AND(E11898&lt;&gt;"""", F11898=""""), ""真實支出"",
  AND(E11898="""", F11898&lt;&gt;""""), ""真實收入"",
  TRUE, ""其他""
)"),"其他")</f>
        <v>其他</v>
      </c>
      <c r="K11898" s="270" t="str">
        <f t="shared" si="2"/>
        <v/>
      </c>
      <c r="L11898">
        <f t="shared" si="3"/>
        <v>0</v>
      </c>
    </row>
    <row r="11899">
      <c r="A11899" s="107"/>
      <c r="D11899" s="270"/>
      <c r="H11899" s="106" t="str">
        <f t="shared" si="1"/>
        <v/>
      </c>
      <c r="J11899" t="str">
        <f>IFERROR(__xludf.DUMMYFUNCTION("IFS(
  AND(REGEXMATCH(E11899, ""台銀籌備帳戶|玉山帳戶""), REGEXMATCH(C11899, ""薪資"")), ""分潤支出"",
  AND(REGEXMATCH(E11899, ""Ben帳戶|Elsa帳戶|Ben代墊|Ariel代墊|中信銀行共用""), REGEXMATCH(F11899, ""Ben帳戶|Elsa帳戶|Ben代墊|Ariel代墊|中信銀行共用"")), ""內部轉帳(忽略)"",
  AND(E11899&lt;&gt;"""", F11899&lt;&gt;"&amp;""""", NOT(REGEXMATCH(C11899, ""薪資""))), ""內部轉帳(忽略)"",
  REGEXMATCH(C11899, ""薪資""), ""薪資變動(不計入)"",
  REGEXMATCH(C11899, ""押金""), ""押金往來"",
  AND(E11899&lt;&gt;"""", F11899=""""), ""真實支出"",
  AND(E11899="""", F11899&lt;&gt;""""), ""真實收入"",
  TRUE, ""其他""
)"),"其他")</f>
        <v>其他</v>
      </c>
      <c r="K11899" s="270" t="str">
        <f t="shared" si="2"/>
        <v/>
      </c>
      <c r="L11899">
        <f t="shared" si="3"/>
        <v>0</v>
      </c>
    </row>
    <row r="11900">
      <c r="A11900" s="107"/>
      <c r="D11900" s="270"/>
      <c r="H11900" s="106" t="str">
        <f t="shared" si="1"/>
        <v/>
      </c>
      <c r="J11900" t="str">
        <f>IFERROR(__xludf.DUMMYFUNCTION("IFS(
  AND(REGEXMATCH(E11900, ""台銀籌備帳戶|玉山帳戶""), REGEXMATCH(C11900, ""薪資"")), ""分潤支出"",
  AND(REGEXMATCH(E11900, ""Ben帳戶|Elsa帳戶|Ben代墊|Ariel代墊|中信銀行共用""), REGEXMATCH(F11900, ""Ben帳戶|Elsa帳戶|Ben代墊|Ariel代墊|中信銀行共用"")), ""內部轉帳(忽略)"",
  AND(E11900&lt;&gt;"""", F11900&lt;&gt;"&amp;""""", NOT(REGEXMATCH(C11900, ""薪資""))), ""內部轉帳(忽略)"",
  REGEXMATCH(C11900, ""薪資""), ""薪資變動(不計入)"",
  REGEXMATCH(C11900, ""押金""), ""押金往來"",
  AND(E11900&lt;&gt;"""", F11900=""""), ""真實支出"",
  AND(E11900="""", F11900&lt;&gt;""""), ""真實收入"",
  TRUE, ""其他""
)"),"其他")</f>
        <v>其他</v>
      </c>
      <c r="K11900" s="270" t="str">
        <f t="shared" si="2"/>
        <v/>
      </c>
      <c r="L11900">
        <f t="shared" si="3"/>
        <v>0</v>
      </c>
    </row>
    <row r="11901">
      <c r="A11901" s="107"/>
      <c r="D11901" s="270"/>
      <c r="H11901" s="106" t="str">
        <f t="shared" si="1"/>
        <v/>
      </c>
      <c r="J11901" t="str">
        <f>IFERROR(__xludf.DUMMYFUNCTION("IFS(
  AND(REGEXMATCH(E11901, ""台銀籌備帳戶|玉山帳戶""), REGEXMATCH(C11901, ""薪資"")), ""分潤支出"",
  AND(REGEXMATCH(E11901, ""Ben帳戶|Elsa帳戶|Ben代墊|Ariel代墊|中信銀行共用""), REGEXMATCH(F11901, ""Ben帳戶|Elsa帳戶|Ben代墊|Ariel代墊|中信銀行共用"")), ""內部轉帳(忽略)"",
  AND(E11901&lt;&gt;"""", F11901&lt;&gt;"&amp;""""", NOT(REGEXMATCH(C11901, ""薪資""))), ""內部轉帳(忽略)"",
  REGEXMATCH(C11901, ""薪資""), ""薪資變動(不計入)"",
  REGEXMATCH(C11901, ""押金""), ""押金往來"",
  AND(E11901&lt;&gt;"""", F11901=""""), ""真實支出"",
  AND(E11901="""", F11901&lt;&gt;""""), ""真實收入"",
  TRUE, ""其他""
)"),"其他")</f>
        <v>其他</v>
      </c>
      <c r="K11901" s="270" t="str">
        <f t="shared" si="2"/>
        <v/>
      </c>
      <c r="L11901">
        <f t="shared" si="3"/>
        <v>0</v>
      </c>
    </row>
    <row r="11902">
      <c r="A11902" s="107"/>
      <c r="D11902" s="270"/>
      <c r="H11902" s="106" t="str">
        <f t="shared" si="1"/>
        <v/>
      </c>
      <c r="J11902" t="str">
        <f>IFERROR(__xludf.DUMMYFUNCTION("IFS(
  AND(REGEXMATCH(E11902, ""台銀籌備帳戶|玉山帳戶""), REGEXMATCH(C11902, ""薪資"")), ""分潤支出"",
  AND(REGEXMATCH(E11902, ""Ben帳戶|Elsa帳戶|Ben代墊|Ariel代墊|中信銀行共用""), REGEXMATCH(F11902, ""Ben帳戶|Elsa帳戶|Ben代墊|Ariel代墊|中信銀行共用"")), ""內部轉帳(忽略)"",
  AND(E11902&lt;&gt;"""", F11902&lt;&gt;"&amp;""""", NOT(REGEXMATCH(C11902, ""薪資""))), ""內部轉帳(忽略)"",
  REGEXMATCH(C11902, ""薪資""), ""薪資變動(不計入)"",
  REGEXMATCH(C11902, ""押金""), ""押金往來"",
  AND(E11902&lt;&gt;"""", F11902=""""), ""真實支出"",
  AND(E11902="""", F11902&lt;&gt;""""), ""真實收入"",
  TRUE, ""其他""
)"),"其他")</f>
        <v>其他</v>
      </c>
      <c r="K11902" s="270" t="str">
        <f t="shared" si="2"/>
        <v/>
      </c>
      <c r="L11902">
        <f t="shared" si="3"/>
        <v>0</v>
      </c>
    </row>
    <row r="11903">
      <c r="A11903" s="107"/>
      <c r="D11903" s="270"/>
      <c r="H11903" s="106" t="str">
        <f t="shared" si="1"/>
        <v/>
      </c>
      <c r="J11903" t="str">
        <f>IFERROR(__xludf.DUMMYFUNCTION("IFS(
  AND(REGEXMATCH(E11903, ""台銀籌備帳戶|玉山帳戶""), REGEXMATCH(C11903, ""薪資"")), ""分潤支出"",
  AND(REGEXMATCH(E11903, ""Ben帳戶|Elsa帳戶|Ben代墊|Ariel代墊|中信銀行共用""), REGEXMATCH(F11903, ""Ben帳戶|Elsa帳戶|Ben代墊|Ariel代墊|中信銀行共用"")), ""內部轉帳(忽略)"",
  AND(E11903&lt;&gt;"""", F11903&lt;&gt;"&amp;""""", NOT(REGEXMATCH(C11903, ""薪資""))), ""內部轉帳(忽略)"",
  REGEXMATCH(C11903, ""薪資""), ""薪資變動(不計入)"",
  REGEXMATCH(C11903, ""押金""), ""押金往來"",
  AND(E11903&lt;&gt;"""", F11903=""""), ""真實支出"",
  AND(E11903="""", F11903&lt;&gt;""""), ""真實收入"",
  TRUE, ""其他""
)"),"其他")</f>
        <v>其他</v>
      </c>
      <c r="K11903" s="270" t="str">
        <f t="shared" si="2"/>
        <v/>
      </c>
      <c r="L11903">
        <f t="shared" si="3"/>
        <v>0</v>
      </c>
    </row>
    <row r="11904">
      <c r="A11904" s="107"/>
      <c r="D11904" s="270"/>
      <c r="H11904" s="106" t="str">
        <f t="shared" si="1"/>
        <v/>
      </c>
      <c r="J11904" t="str">
        <f>IFERROR(__xludf.DUMMYFUNCTION("IFS(
  AND(REGEXMATCH(E11904, ""台銀籌備帳戶|玉山帳戶""), REGEXMATCH(C11904, ""薪資"")), ""分潤支出"",
  AND(REGEXMATCH(E11904, ""Ben帳戶|Elsa帳戶|Ben代墊|Ariel代墊|中信銀行共用""), REGEXMATCH(F11904, ""Ben帳戶|Elsa帳戶|Ben代墊|Ariel代墊|中信銀行共用"")), ""內部轉帳(忽略)"",
  AND(E11904&lt;&gt;"""", F11904&lt;&gt;"&amp;""""", NOT(REGEXMATCH(C11904, ""薪資""))), ""內部轉帳(忽略)"",
  REGEXMATCH(C11904, ""薪資""), ""薪資變動(不計入)"",
  REGEXMATCH(C11904, ""押金""), ""押金往來"",
  AND(E11904&lt;&gt;"""", F11904=""""), ""真實支出"",
  AND(E11904="""", F11904&lt;&gt;""""), ""真實收入"",
  TRUE, ""其他""
)"),"其他")</f>
        <v>其他</v>
      </c>
      <c r="K11904" s="270" t="str">
        <f t="shared" si="2"/>
        <v/>
      </c>
      <c r="L11904">
        <f t="shared" si="3"/>
        <v>0</v>
      </c>
    </row>
    <row r="11905">
      <c r="A11905" s="107"/>
      <c r="D11905" s="270"/>
      <c r="H11905" s="106" t="str">
        <f t="shared" si="1"/>
        <v/>
      </c>
      <c r="J11905" t="str">
        <f>IFERROR(__xludf.DUMMYFUNCTION("IFS(
  AND(REGEXMATCH(E11905, ""台銀籌備帳戶|玉山帳戶""), REGEXMATCH(C11905, ""薪資"")), ""分潤支出"",
  AND(REGEXMATCH(E11905, ""Ben帳戶|Elsa帳戶|Ben代墊|Ariel代墊|中信銀行共用""), REGEXMATCH(F11905, ""Ben帳戶|Elsa帳戶|Ben代墊|Ariel代墊|中信銀行共用"")), ""內部轉帳(忽略)"",
  AND(E11905&lt;&gt;"""", F11905&lt;&gt;"&amp;""""", NOT(REGEXMATCH(C11905, ""薪資""))), ""內部轉帳(忽略)"",
  REGEXMATCH(C11905, ""薪資""), ""薪資變動(不計入)"",
  REGEXMATCH(C11905, ""押金""), ""押金往來"",
  AND(E11905&lt;&gt;"""", F11905=""""), ""真實支出"",
  AND(E11905="""", F11905&lt;&gt;""""), ""真實收入"",
  TRUE, ""其他""
)"),"其他")</f>
        <v>其他</v>
      </c>
      <c r="K11905" s="270" t="str">
        <f t="shared" si="2"/>
        <v/>
      </c>
      <c r="L11905">
        <f t="shared" si="3"/>
        <v>0</v>
      </c>
    </row>
    <row r="11906">
      <c r="A11906" s="107"/>
      <c r="D11906" s="270"/>
      <c r="H11906" s="106" t="str">
        <f t="shared" si="1"/>
        <v/>
      </c>
      <c r="J11906" t="str">
        <f>IFERROR(__xludf.DUMMYFUNCTION("IFS(
  AND(REGEXMATCH(E11906, ""台銀籌備帳戶|玉山帳戶""), REGEXMATCH(C11906, ""薪資"")), ""分潤支出"",
  AND(REGEXMATCH(E11906, ""Ben帳戶|Elsa帳戶|Ben代墊|Ariel代墊|中信銀行共用""), REGEXMATCH(F11906, ""Ben帳戶|Elsa帳戶|Ben代墊|Ariel代墊|中信銀行共用"")), ""內部轉帳(忽略)"",
  AND(E11906&lt;&gt;"""", F11906&lt;&gt;"&amp;""""", NOT(REGEXMATCH(C11906, ""薪資""))), ""內部轉帳(忽略)"",
  REGEXMATCH(C11906, ""薪資""), ""薪資變動(不計入)"",
  REGEXMATCH(C11906, ""押金""), ""押金往來"",
  AND(E11906&lt;&gt;"""", F11906=""""), ""真實支出"",
  AND(E11906="""", F11906&lt;&gt;""""), ""真實收入"",
  TRUE, ""其他""
)"),"其他")</f>
        <v>其他</v>
      </c>
      <c r="K11906" s="270" t="str">
        <f t="shared" si="2"/>
        <v/>
      </c>
      <c r="L11906">
        <f t="shared" si="3"/>
        <v>0</v>
      </c>
    </row>
    <row r="11907">
      <c r="A11907" s="107"/>
      <c r="D11907" s="270"/>
      <c r="H11907" s="106" t="str">
        <f t="shared" si="1"/>
        <v/>
      </c>
      <c r="J11907" t="str">
        <f>IFERROR(__xludf.DUMMYFUNCTION("IFS(
  AND(REGEXMATCH(E11907, ""台銀籌備帳戶|玉山帳戶""), REGEXMATCH(C11907, ""薪資"")), ""分潤支出"",
  AND(REGEXMATCH(E11907, ""Ben帳戶|Elsa帳戶|Ben代墊|Ariel代墊|中信銀行共用""), REGEXMATCH(F11907, ""Ben帳戶|Elsa帳戶|Ben代墊|Ariel代墊|中信銀行共用"")), ""內部轉帳(忽略)"",
  AND(E11907&lt;&gt;"""", F11907&lt;&gt;"&amp;""""", NOT(REGEXMATCH(C11907, ""薪資""))), ""內部轉帳(忽略)"",
  REGEXMATCH(C11907, ""薪資""), ""薪資變動(不計入)"",
  REGEXMATCH(C11907, ""押金""), ""押金往來"",
  AND(E11907&lt;&gt;"""", F11907=""""), ""真實支出"",
  AND(E11907="""", F11907&lt;&gt;""""), ""真實收入"",
  TRUE, ""其他""
)"),"其他")</f>
        <v>其他</v>
      </c>
      <c r="K11907" s="270" t="str">
        <f t="shared" si="2"/>
        <v/>
      </c>
      <c r="L11907">
        <f t="shared" si="3"/>
        <v>0</v>
      </c>
    </row>
    <row r="11908">
      <c r="A11908" s="107"/>
      <c r="D11908" s="270"/>
      <c r="H11908" s="106" t="str">
        <f t="shared" si="1"/>
        <v/>
      </c>
      <c r="J11908" t="str">
        <f>IFERROR(__xludf.DUMMYFUNCTION("IFS(
  AND(REGEXMATCH(E11908, ""台銀籌備帳戶|玉山帳戶""), REGEXMATCH(C11908, ""薪資"")), ""分潤支出"",
  AND(REGEXMATCH(E11908, ""Ben帳戶|Elsa帳戶|Ben代墊|Ariel代墊|中信銀行共用""), REGEXMATCH(F11908, ""Ben帳戶|Elsa帳戶|Ben代墊|Ariel代墊|中信銀行共用"")), ""內部轉帳(忽略)"",
  AND(E11908&lt;&gt;"""", F11908&lt;&gt;"&amp;""""", NOT(REGEXMATCH(C11908, ""薪資""))), ""內部轉帳(忽略)"",
  REGEXMATCH(C11908, ""薪資""), ""薪資變動(不計入)"",
  REGEXMATCH(C11908, ""押金""), ""押金往來"",
  AND(E11908&lt;&gt;"""", F11908=""""), ""真實支出"",
  AND(E11908="""", F11908&lt;&gt;""""), ""真實收入"",
  TRUE, ""其他""
)"),"其他")</f>
        <v>其他</v>
      </c>
      <c r="K11908" s="270" t="str">
        <f t="shared" si="2"/>
        <v/>
      </c>
      <c r="L11908">
        <f t="shared" si="3"/>
        <v>0</v>
      </c>
    </row>
    <row r="11909">
      <c r="A11909" s="107"/>
      <c r="D11909" s="270"/>
      <c r="H11909" s="106" t="str">
        <f t="shared" si="1"/>
        <v/>
      </c>
      <c r="J11909" t="str">
        <f>IFERROR(__xludf.DUMMYFUNCTION("IFS(
  AND(REGEXMATCH(E11909, ""台銀籌備帳戶|玉山帳戶""), REGEXMATCH(C11909, ""薪資"")), ""分潤支出"",
  AND(REGEXMATCH(E11909, ""Ben帳戶|Elsa帳戶|Ben代墊|Ariel代墊|中信銀行共用""), REGEXMATCH(F11909, ""Ben帳戶|Elsa帳戶|Ben代墊|Ariel代墊|中信銀行共用"")), ""內部轉帳(忽略)"",
  AND(E11909&lt;&gt;"""", F11909&lt;&gt;"&amp;""""", NOT(REGEXMATCH(C11909, ""薪資""))), ""內部轉帳(忽略)"",
  REGEXMATCH(C11909, ""薪資""), ""薪資變動(不計入)"",
  REGEXMATCH(C11909, ""押金""), ""押金往來"",
  AND(E11909&lt;&gt;"""", F11909=""""), ""真實支出"",
  AND(E11909="""", F11909&lt;&gt;""""), ""真實收入"",
  TRUE, ""其他""
)"),"其他")</f>
        <v>其他</v>
      </c>
      <c r="K11909" s="270" t="str">
        <f t="shared" si="2"/>
        <v/>
      </c>
      <c r="L11909">
        <f t="shared" si="3"/>
        <v>0</v>
      </c>
    </row>
    <row r="11910">
      <c r="A11910" s="107"/>
      <c r="D11910" s="270"/>
      <c r="H11910" s="106" t="str">
        <f t="shared" si="1"/>
        <v/>
      </c>
      <c r="J11910" t="str">
        <f>IFERROR(__xludf.DUMMYFUNCTION("IFS(
  AND(REGEXMATCH(E11910, ""台銀籌備帳戶|玉山帳戶""), REGEXMATCH(C11910, ""薪資"")), ""分潤支出"",
  AND(REGEXMATCH(E11910, ""Ben帳戶|Elsa帳戶|Ben代墊|Ariel代墊|中信銀行共用""), REGEXMATCH(F11910, ""Ben帳戶|Elsa帳戶|Ben代墊|Ariel代墊|中信銀行共用"")), ""內部轉帳(忽略)"",
  AND(E11910&lt;&gt;"""", F11910&lt;&gt;"&amp;""""", NOT(REGEXMATCH(C11910, ""薪資""))), ""內部轉帳(忽略)"",
  REGEXMATCH(C11910, ""薪資""), ""薪資變動(不計入)"",
  REGEXMATCH(C11910, ""押金""), ""押金往來"",
  AND(E11910&lt;&gt;"""", F11910=""""), ""真實支出"",
  AND(E11910="""", F11910&lt;&gt;""""), ""真實收入"",
  TRUE, ""其他""
)"),"其他")</f>
        <v>其他</v>
      </c>
      <c r="K11910" s="270" t="str">
        <f t="shared" si="2"/>
        <v/>
      </c>
      <c r="L11910">
        <f t="shared" si="3"/>
        <v>0</v>
      </c>
    </row>
    <row r="11911">
      <c r="A11911" s="107"/>
      <c r="D11911" s="270"/>
      <c r="H11911" s="106" t="str">
        <f t="shared" si="1"/>
        <v/>
      </c>
      <c r="J11911" t="str">
        <f>IFERROR(__xludf.DUMMYFUNCTION("IFS(
  AND(REGEXMATCH(E11911, ""台銀籌備帳戶|玉山帳戶""), REGEXMATCH(C11911, ""薪資"")), ""分潤支出"",
  AND(REGEXMATCH(E11911, ""Ben帳戶|Elsa帳戶|Ben代墊|Ariel代墊|中信銀行共用""), REGEXMATCH(F11911, ""Ben帳戶|Elsa帳戶|Ben代墊|Ariel代墊|中信銀行共用"")), ""內部轉帳(忽略)"",
  AND(E11911&lt;&gt;"""", F11911&lt;&gt;"&amp;""""", NOT(REGEXMATCH(C11911, ""薪資""))), ""內部轉帳(忽略)"",
  REGEXMATCH(C11911, ""薪資""), ""薪資變動(不計入)"",
  REGEXMATCH(C11911, ""押金""), ""押金往來"",
  AND(E11911&lt;&gt;"""", F11911=""""), ""真實支出"",
  AND(E11911="""", F11911&lt;&gt;""""), ""真實收入"",
  TRUE, ""其他""
)"),"其他")</f>
        <v>其他</v>
      </c>
      <c r="K11911" s="270" t="str">
        <f t="shared" si="2"/>
        <v/>
      </c>
      <c r="L11911">
        <f t="shared" si="3"/>
        <v>0</v>
      </c>
    </row>
    <row r="11912">
      <c r="A11912" s="107"/>
      <c r="D11912" s="270"/>
      <c r="H11912" s="106" t="str">
        <f t="shared" si="1"/>
        <v/>
      </c>
      <c r="J11912" t="str">
        <f>IFERROR(__xludf.DUMMYFUNCTION("IFS(
  AND(REGEXMATCH(E11912, ""台銀籌備帳戶|玉山帳戶""), REGEXMATCH(C11912, ""薪資"")), ""分潤支出"",
  AND(REGEXMATCH(E11912, ""Ben帳戶|Elsa帳戶|Ben代墊|Ariel代墊|中信銀行共用""), REGEXMATCH(F11912, ""Ben帳戶|Elsa帳戶|Ben代墊|Ariel代墊|中信銀行共用"")), ""內部轉帳(忽略)"",
  AND(E11912&lt;&gt;"""", F11912&lt;&gt;"&amp;""""", NOT(REGEXMATCH(C11912, ""薪資""))), ""內部轉帳(忽略)"",
  REGEXMATCH(C11912, ""薪資""), ""薪資變動(不計入)"",
  REGEXMATCH(C11912, ""押金""), ""押金往來"",
  AND(E11912&lt;&gt;"""", F11912=""""), ""真實支出"",
  AND(E11912="""", F11912&lt;&gt;""""), ""真實收入"",
  TRUE, ""其他""
)"),"其他")</f>
        <v>其他</v>
      </c>
      <c r="K11912" s="270" t="str">
        <f t="shared" si="2"/>
        <v/>
      </c>
      <c r="L11912">
        <f t="shared" si="3"/>
        <v>0</v>
      </c>
    </row>
    <row r="11913">
      <c r="A11913" s="107"/>
      <c r="D11913" s="270"/>
      <c r="H11913" s="106" t="str">
        <f t="shared" si="1"/>
        <v/>
      </c>
      <c r="J11913" t="str">
        <f>IFERROR(__xludf.DUMMYFUNCTION("IFS(
  AND(REGEXMATCH(E11913, ""台銀籌備帳戶|玉山帳戶""), REGEXMATCH(C11913, ""薪資"")), ""分潤支出"",
  AND(REGEXMATCH(E11913, ""Ben帳戶|Elsa帳戶|Ben代墊|Ariel代墊|中信銀行共用""), REGEXMATCH(F11913, ""Ben帳戶|Elsa帳戶|Ben代墊|Ariel代墊|中信銀行共用"")), ""內部轉帳(忽略)"",
  AND(E11913&lt;&gt;"""", F11913&lt;&gt;"&amp;""""", NOT(REGEXMATCH(C11913, ""薪資""))), ""內部轉帳(忽略)"",
  REGEXMATCH(C11913, ""薪資""), ""薪資變動(不計入)"",
  REGEXMATCH(C11913, ""押金""), ""押金往來"",
  AND(E11913&lt;&gt;"""", F11913=""""), ""真實支出"",
  AND(E11913="""", F11913&lt;&gt;""""), ""真實收入"",
  TRUE, ""其他""
)"),"其他")</f>
        <v>其他</v>
      </c>
      <c r="K11913" s="270" t="str">
        <f t="shared" si="2"/>
        <v/>
      </c>
      <c r="L11913">
        <f t="shared" si="3"/>
        <v>0</v>
      </c>
    </row>
    <row r="11914">
      <c r="A11914" s="107"/>
      <c r="D11914" s="270"/>
      <c r="H11914" s="106" t="str">
        <f t="shared" si="1"/>
        <v/>
      </c>
      <c r="J11914" t="str">
        <f>IFERROR(__xludf.DUMMYFUNCTION("IFS(
  AND(REGEXMATCH(E11914, ""台銀籌備帳戶|玉山帳戶""), REGEXMATCH(C11914, ""薪資"")), ""分潤支出"",
  AND(REGEXMATCH(E11914, ""Ben帳戶|Elsa帳戶|Ben代墊|Ariel代墊|中信銀行共用""), REGEXMATCH(F11914, ""Ben帳戶|Elsa帳戶|Ben代墊|Ariel代墊|中信銀行共用"")), ""內部轉帳(忽略)"",
  AND(E11914&lt;&gt;"""", F11914&lt;&gt;"&amp;""""", NOT(REGEXMATCH(C11914, ""薪資""))), ""內部轉帳(忽略)"",
  REGEXMATCH(C11914, ""薪資""), ""薪資變動(不計入)"",
  REGEXMATCH(C11914, ""押金""), ""押金往來"",
  AND(E11914&lt;&gt;"""", F11914=""""), ""真實支出"",
  AND(E11914="""", F11914&lt;&gt;""""), ""真實收入"",
  TRUE, ""其他""
)"),"其他")</f>
        <v>其他</v>
      </c>
      <c r="K11914" s="270" t="str">
        <f t="shared" si="2"/>
        <v/>
      </c>
      <c r="L11914">
        <f t="shared" si="3"/>
        <v>0</v>
      </c>
    </row>
    <row r="11915">
      <c r="A11915" s="107"/>
      <c r="D11915" s="270"/>
      <c r="H11915" s="106" t="str">
        <f t="shared" si="1"/>
        <v/>
      </c>
      <c r="J11915" t="str">
        <f>IFERROR(__xludf.DUMMYFUNCTION("IFS(
  AND(REGEXMATCH(E11915, ""台銀籌備帳戶|玉山帳戶""), REGEXMATCH(C11915, ""薪資"")), ""分潤支出"",
  AND(REGEXMATCH(E11915, ""Ben帳戶|Elsa帳戶|Ben代墊|Ariel代墊|中信銀行共用""), REGEXMATCH(F11915, ""Ben帳戶|Elsa帳戶|Ben代墊|Ariel代墊|中信銀行共用"")), ""內部轉帳(忽略)"",
  AND(E11915&lt;&gt;"""", F11915&lt;&gt;"&amp;""""", NOT(REGEXMATCH(C11915, ""薪資""))), ""內部轉帳(忽略)"",
  REGEXMATCH(C11915, ""薪資""), ""薪資變動(不計入)"",
  REGEXMATCH(C11915, ""押金""), ""押金往來"",
  AND(E11915&lt;&gt;"""", F11915=""""), ""真實支出"",
  AND(E11915="""", F11915&lt;&gt;""""), ""真實收入"",
  TRUE, ""其他""
)"),"其他")</f>
        <v>其他</v>
      </c>
      <c r="K11915" s="270" t="str">
        <f t="shared" si="2"/>
        <v/>
      </c>
      <c r="L11915">
        <f t="shared" si="3"/>
        <v>0</v>
      </c>
    </row>
    <row r="11916">
      <c r="A11916" s="107"/>
      <c r="D11916" s="270"/>
      <c r="H11916" s="106" t="str">
        <f t="shared" si="1"/>
        <v/>
      </c>
      <c r="J11916" t="str">
        <f>IFERROR(__xludf.DUMMYFUNCTION("IFS(
  AND(REGEXMATCH(E11916, ""台銀籌備帳戶|玉山帳戶""), REGEXMATCH(C11916, ""薪資"")), ""分潤支出"",
  AND(REGEXMATCH(E11916, ""Ben帳戶|Elsa帳戶|Ben代墊|Ariel代墊|中信銀行共用""), REGEXMATCH(F11916, ""Ben帳戶|Elsa帳戶|Ben代墊|Ariel代墊|中信銀行共用"")), ""內部轉帳(忽略)"",
  AND(E11916&lt;&gt;"""", F11916&lt;&gt;"&amp;""""", NOT(REGEXMATCH(C11916, ""薪資""))), ""內部轉帳(忽略)"",
  REGEXMATCH(C11916, ""薪資""), ""薪資變動(不計入)"",
  REGEXMATCH(C11916, ""押金""), ""押金往來"",
  AND(E11916&lt;&gt;"""", F11916=""""), ""真實支出"",
  AND(E11916="""", F11916&lt;&gt;""""), ""真實收入"",
  TRUE, ""其他""
)"),"其他")</f>
        <v>其他</v>
      </c>
      <c r="K11916" s="270" t="str">
        <f t="shared" si="2"/>
        <v/>
      </c>
      <c r="L11916">
        <f t="shared" si="3"/>
        <v>0</v>
      </c>
    </row>
    <row r="11917">
      <c r="A11917" s="107"/>
      <c r="D11917" s="270"/>
      <c r="H11917" s="106" t="str">
        <f t="shared" si="1"/>
        <v/>
      </c>
      <c r="J11917" t="str">
        <f>IFERROR(__xludf.DUMMYFUNCTION("IFS(
  AND(REGEXMATCH(E11917, ""台銀籌備帳戶|玉山帳戶""), REGEXMATCH(C11917, ""薪資"")), ""分潤支出"",
  AND(REGEXMATCH(E11917, ""Ben帳戶|Elsa帳戶|Ben代墊|Ariel代墊|中信銀行共用""), REGEXMATCH(F11917, ""Ben帳戶|Elsa帳戶|Ben代墊|Ariel代墊|中信銀行共用"")), ""內部轉帳(忽略)"",
  AND(E11917&lt;&gt;"""", F11917&lt;&gt;"&amp;""""", NOT(REGEXMATCH(C11917, ""薪資""))), ""內部轉帳(忽略)"",
  REGEXMATCH(C11917, ""薪資""), ""薪資變動(不計入)"",
  REGEXMATCH(C11917, ""押金""), ""押金往來"",
  AND(E11917&lt;&gt;"""", F11917=""""), ""真實支出"",
  AND(E11917="""", F11917&lt;&gt;""""), ""真實收入"",
  TRUE, ""其他""
)"),"其他")</f>
        <v>其他</v>
      </c>
      <c r="K11917" s="270" t="str">
        <f t="shared" si="2"/>
        <v/>
      </c>
      <c r="L11917">
        <f t="shared" si="3"/>
        <v>0</v>
      </c>
    </row>
    <row r="11918">
      <c r="A11918" s="107"/>
      <c r="D11918" s="270"/>
      <c r="H11918" s="106" t="str">
        <f t="shared" si="1"/>
        <v/>
      </c>
      <c r="J11918" t="str">
        <f>IFERROR(__xludf.DUMMYFUNCTION("IFS(
  AND(REGEXMATCH(E11918, ""台銀籌備帳戶|玉山帳戶""), REGEXMATCH(C11918, ""薪資"")), ""分潤支出"",
  AND(REGEXMATCH(E11918, ""Ben帳戶|Elsa帳戶|Ben代墊|Ariel代墊|中信銀行共用""), REGEXMATCH(F11918, ""Ben帳戶|Elsa帳戶|Ben代墊|Ariel代墊|中信銀行共用"")), ""內部轉帳(忽略)"",
  AND(E11918&lt;&gt;"""", F11918&lt;&gt;"&amp;""""", NOT(REGEXMATCH(C11918, ""薪資""))), ""內部轉帳(忽略)"",
  REGEXMATCH(C11918, ""薪資""), ""薪資變動(不計入)"",
  REGEXMATCH(C11918, ""押金""), ""押金往來"",
  AND(E11918&lt;&gt;"""", F11918=""""), ""真實支出"",
  AND(E11918="""", F11918&lt;&gt;""""), ""真實收入"",
  TRUE, ""其他""
)"),"其他")</f>
        <v>其他</v>
      </c>
      <c r="K11918" s="270" t="str">
        <f t="shared" si="2"/>
        <v/>
      </c>
      <c r="L11918">
        <f t="shared" si="3"/>
        <v>0</v>
      </c>
    </row>
    <row r="11919">
      <c r="A11919" s="107"/>
      <c r="D11919" s="270"/>
      <c r="H11919" s="106" t="str">
        <f t="shared" si="1"/>
        <v/>
      </c>
      <c r="J11919" t="str">
        <f>IFERROR(__xludf.DUMMYFUNCTION("IFS(
  AND(REGEXMATCH(E11919, ""台銀籌備帳戶|玉山帳戶""), REGEXMATCH(C11919, ""薪資"")), ""分潤支出"",
  AND(REGEXMATCH(E11919, ""Ben帳戶|Elsa帳戶|Ben代墊|Ariel代墊|中信銀行共用""), REGEXMATCH(F11919, ""Ben帳戶|Elsa帳戶|Ben代墊|Ariel代墊|中信銀行共用"")), ""內部轉帳(忽略)"",
  AND(E11919&lt;&gt;"""", F11919&lt;&gt;"&amp;""""", NOT(REGEXMATCH(C11919, ""薪資""))), ""內部轉帳(忽略)"",
  REGEXMATCH(C11919, ""薪資""), ""薪資變動(不計入)"",
  REGEXMATCH(C11919, ""押金""), ""押金往來"",
  AND(E11919&lt;&gt;"""", F11919=""""), ""真實支出"",
  AND(E11919="""", F11919&lt;&gt;""""), ""真實收入"",
  TRUE, ""其他""
)"),"其他")</f>
        <v>其他</v>
      </c>
      <c r="K11919" s="270" t="str">
        <f t="shared" si="2"/>
        <v/>
      </c>
      <c r="L11919">
        <f t="shared" si="3"/>
        <v>0</v>
      </c>
    </row>
    <row r="11920">
      <c r="A11920" s="107"/>
      <c r="D11920" s="270"/>
      <c r="H11920" s="106" t="str">
        <f t="shared" si="1"/>
        <v/>
      </c>
      <c r="J11920" t="str">
        <f>IFERROR(__xludf.DUMMYFUNCTION("IFS(
  AND(REGEXMATCH(E11920, ""台銀籌備帳戶|玉山帳戶""), REGEXMATCH(C11920, ""薪資"")), ""分潤支出"",
  AND(REGEXMATCH(E11920, ""Ben帳戶|Elsa帳戶|Ben代墊|Ariel代墊|中信銀行共用""), REGEXMATCH(F11920, ""Ben帳戶|Elsa帳戶|Ben代墊|Ariel代墊|中信銀行共用"")), ""內部轉帳(忽略)"",
  AND(E11920&lt;&gt;"""", F11920&lt;&gt;"&amp;""""", NOT(REGEXMATCH(C11920, ""薪資""))), ""內部轉帳(忽略)"",
  REGEXMATCH(C11920, ""薪資""), ""薪資變動(不計入)"",
  REGEXMATCH(C11920, ""押金""), ""押金往來"",
  AND(E11920&lt;&gt;"""", F11920=""""), ""真實支出"",
  AND(E11920="""", F11920&lt;&gt;""""), ""真實收入"",
  TRUE, ""其他""
)"),"其他")</f>
        <v>其他</v>
      </c>
      <c r="K11920" s="270" t="str">
        <f t="shared" si="2"/>
        <v/>
      </c>
      <c r="L11920">
        <f t="shared" si="3"/>
        <v>0</v>
      </c>
    </row>
    <row r="11921">
      <c r="A11921" s="107"/>
      <c r="D11921" s="270"/>
      <c r="H11921" s="106" t="str">
        <f t="shared" si="1"/>
        <v/>
      </c>
      <c r="J11921" t="str">
        <f>IFERROR(__xludf.DUMMYFUNCTION("IFS(
  AND(REGEXMATCH(E11921, ""台銀籌備帳戶|玉山帳戶""), REGEXMATCH(C11921, ""薪資"")), ""分潤支出"",
  AND(REGEXMATCH(E11921, ""Ben帳戶|Elsa帳戶|Ben代墊|Ariel代墊|中信銀行共用""), REGEXMATCH(F11921, ""Ben帳戶|Elsa帳戶|Ben代墊|Ariel代墊|中信銀行共用"")), ""內部轉帳(忽略)"",
  AND(E11921&lt;&gt;"""", F11921&lt;&gt;"&amp;""""", NOT(REGEXMATCH(C11921, ""薪資""))), ""內部轉帳(忽略)"",
  REGEXMATCH(C11921, ""薪資""), ""薪資變動(不計入)"",
  REGEXMATCH(C11921, ""押金""), ""押金往來"",
  AND(E11921&lt;&gt;"""", F11921=""""), ""真實支出"",
  AND(E11921="""", F11921&lt;&gt;""""), ""真實收入"",
  TRUE, ""其他""
)"),"其他")</f>
        <v>其他</v>
      </c>
      <c r="K11921" s="270" t="str">
        <f t="shared" si="2"/>
        <v/>
      </c>
      <c r="L11921">
        <f t="shared" si="3"/>
        <v>0</v>
      </c>
    </row>
    <row r="11922">
      <c r="A11922" s="107"/>
      <c r="D11922" s="270"/>
      <c r="H11922" s="106" t="str">
        <f t="shared" si="1"/>
        <v/>
      </c>
      <c r="J11922" t="str">
        <f>IFERROR(__xludf.DUMMYFUNCTION("IFS(
  AND(REGEXMATCH(E11922, ""台銀籌備帳戶|玉山帳戶""), REGEXMATCH(C11922, ""薪資"")), ""分潤支出"",
  AND(REGEXMATCH(E11922, ""Ben帳戶|Elsa帳戶|Ben代墊|Ariel代墊|中信銀行共用""), REGEXMATCH(F11922, ""Ben帳戶|Elsa帳戶|Ben代墊|Ariel代墊|中信銀行共用"")), ""內部轉帳(忽略)"",
  AND(E11922&lt;&gt;"""", F11922&lt;&gt;"&amp;""""", NOT(REGEXMATCH(C11922, ""薪資""))), ""內部轉帳(忽略)"",
  REGEXMATCH(C11922, ""薪資""), ""薪資變動(不計入)"",
  REGEXMATCH(C11922, ""押金""), ""押金往來"",
  AND(E11922&lt;&gt;"""", F11922=""""), ""真實支出"",
  AND(E11922="""", F11922&lt;&gt;""""), ""真實收入"",
  TRUE, ""其他""
)"),"其他")</f>
        <v>其他</v>
      </c>
      <c r="K11922" s="270" t="str">
        <f t="shared" si="2"/>
        <v/>
      </c>
      <c r="L11922">
        <f t="shared" si="3"/>
        <v>0</v>
      </c>
    </row>
    <row r="11923">
      <c r="A11923" s="107"/>
      <c r="D11923" s="270"/>
      <c r="H11923" s="106" t="str">
        <f t="shared" si="1"/>
        <v/>
      </c>
      <c r="J11923" t="str">
        <f>IFERROR(__xludf.DUMMYFUNCTION("IFS(
  AND(REGEXMATCH(E11923, ""台銀籌備帳戶|玉山帳戶""), REGEXMATCH(C11923, ""薪資"")), ""分潤支出"",
  AND(REGEXMATCH(E11923, ""Ben帳戶|Elsa帳戶|Ben代墊|Ariel代墊|中信銀行共用""), REGEXMATCH(F11923, ""Ben帳戶|Elsa帳戶|Ben代墊|Ariel代墊|中信銀行共用"")), ""內部轉帳(忽略)"",
  AND(E11923&lt;&gt;"""", F11923&lt;&gt;"&amp;""""", NOT(REGEXMATCH(C11923, ""薪資""))), ""內部轉帳(忽略)"",
  REGEXMATCH(C11923, ""薪資""), ""薪資變動(不計入)"",
  REGEXMATCH(C11923, ""押金""), ""押金往來"",
  AND(E11923&lt;&gt;"""", F11923=""""), ""真實支出"",
  AND(E11923="""", F11923&lt;&gt;""""), ""真實收入"",
  TRUE, ""其他""
)"),"其他")</f>
        <v>其他</v>
      </c>
      <c r="K11923" s="270" t="str">
        <f t="shared" si="2"/>
        <v/>
      </c>
      <c r="L11923">
        <f t="shared" si="3"/>
        <v>0</v>
      </c>
    </row>
    <row r="11924">
      <c r="A11924" s="107"/>
      <c r="D11924" s="270"/>
      <c r="H11924" s="106" t="str">
        <f t="shared" si="1"/>
        <v/>
      </c>
      <c r="J11924" t="str">
        <f>IFERROR(__xludf.DUMMYFUNCTION("IFS(
  AND(REGEXMATCH(E11924, ""台銀籌備帳戶|玉山帳戶""), REGEXMATCH(C11924, ""薪資"")), ""分潤支出"",
  AND(REGEXMATCH(E11924, ""Ben帳戶|Elsa帳戶|Ben代墊|Ariel代墊|中信銀行共用""), REGEXMATCH(F11924, ""Ben帳戶|Elsa帳戶|Ben代墊|Ariel代墊|中信銀行共用"")), ""內部轉帳(忽略)"",
  AND(E11924&lt;&gt;"""", F11924&lt;&gt;"&amp;""""", NOT(REGEXMATCH(C11924, ""薪資""))), ""內部轉帳(忽略)"",
  REGEXMATCH(C11924, ""薪資""), ""薪資變動(不計入)"",
  REGEXMATCH(C11924, ""押金""), ""押金往來"",
  AND(E11924&lt;&gt;"""", F11924=""""), ""真實支出"",
  AND(E11924="""", F11924&lt;&gt;""""), ""真實收入"",
  TRUE, ""其他""
)"),"其他")</f>
        <v>其他</v>
      </c>
      <c r="K11924" s="270" t="str">
        <f t="shared" si="2"/>
        <v/>
      </c>
      <c r="L11924">
        <f t="shared" si="3"/>
        <v>0</v>
      </c>
    </row>
    <row r="11925">
      <c r="A11925" s="107"/>
      <c r="D11925" s="270"/>
      <c r="H11925" s="106" t="str">
        <f t="shared" si="1"/>
        <v/>
      </c>
      <c r="J11925" t="str">
        <f>IFERROR(__xludf.DUMMYFUNCTION("IFS(
  AND(REGEXMATCH(E11925, ""台銀籌備帳戶|玉山帳戶""), REGEXMATCH(C11925, ""薪資"")), ""分潤支出"",
  AND(REGEXMATCH(E11925, ""Ben帳戶|Elsa帳戶|Ben代墊|Ariel代墊|中信銀行共用""), REGEXMATCH(F11925, ""Ben帳戶|Elsa帳戶|Ben代墊|Ariel代墊|中信銀行共用"")), ""內部轉帳(忽略)"",
  AND(E11925&lt;&gt;"""", F11925&lt;&gt;"&amp;""""", NOT(REGEXMATCH(C11925, ""薪資""))), ""內部轉帳(忽略)"",
  REGEXMATCH(C11925, ""薪資""), ""薪資變動(不計入)"",
  REGEXMATCH(C11925, ""押金""), ""押金往來"",
  AND(E11925&lt;&gt;"""", F11925=""""), ""真實支出"",
  AND(E11925="""", F11925&lt;&gt;""""), ""真實收入"",
  TRUE, ""其他""
)"),"其他")</f>
        <v>其他</v>
      </c>
      <c r="K11925" s="270" t="str">
        <f t="shared" si="2"/>
        <v/>
      </c>
      <c r="L11925">
        <f t="shared" si="3"/>
        <v>0</v>
      </c>
    </row>
    <row r="11926">
      <c r="A11926" s="107"/>
      <c r="D11926" s="270"/>
      <c r="H11926" s="106" t="str">
        <f t="shared" si="1"/>
        <v/>
      </c>
      <c r="J11926" t="str">
        <f>IFERROR(__xludf.DUMMYFUNCTION("IFS(
  AND(REGEXMATCH(E11926, ""台銀籌備帳戶|玉山帳戶""), REGEXMATCH(C11926, ""薪資"")), ""分潤支出"",
  AND(REGEXMATCH(E11926, ""Ben帳戶|Elsa帳戶|Ben代墊|Ariel代墊|中信銀行共用""), REGEXMATCH(F11926, ""Ben帳戶|Elsa帳戶|Ben代墊|Ariel代墊|中信銀行共用"")), ""內部轉帳(忽略)"",
  AND(E11926&lt;&gt;"""", F11926&lt;&gt;"&amp;""""", NOT(REGEXMATCH(C11926, ""薪資""))), ""內部轉帳(忽略)"",
  REGEXMATCH(C11926, ""薪資""), ""薪資變動(不計入)"",
  REGEXMATCH(C11926, ""押金""), ""押金往來"",
  AND(E11926&lt;&gt;"""", F11926=""""), ""真實支出"",
  AND(E11926="""", F11926&lt;&gt;""""), ""真實收入"",
  TRUE, ""其他""
)"),"其他")</f>
        <v>其他</v>
      </c>
      <c r="K11926" s="270" t="str">
        <f t="shared" si="2"/>
        <v/>
      </c>
      <c r="L11926">
        <f t="shared" si="3"/>
        <v>0</v>
      </c>
    </row>
    <row r="11927">
      <c r="A11927" s="107"/>
      <c r="D11927" s="270"/>
      <c r="H11927" s="106" t="str">
        <f t="shared" si="1"/>
        <v/>
      </c>
      <c r="J11927" t="str">
        <f>IFERROR(__xludf.DUMMYFUNCTION("IFS(
  AND(REGEXMATCH(E11927, ""台銀籌備帳戶|玉山帳戶""), REGEXMATCH(C11927, ""薪資"")), ""分潤支出"",
  AND(REGEXMATCH(E11927, ""Ben帳戶|Elsa帳戶|Ben代墊|Ariel代墊|中信銀行共用""), REGEXMATCH(F11927, ""Ben帳戶|Elsa帳戶|Ben代墊|Ariel代墊|中信銀行共用"")), ""內部轉帳(忽略)"",
  AND(E11927&lt;&gt;"""", F11927&lt;&gt;"&amp;""""", NOT(REGEXMATCH(C11927, ""薪資""))), ""內部轉帳(忽略)"",
  REGEXMATCH(C11927, ""薪資""), ""薪資變動(不計入)"",
  REGEXMATCH(C11927, ""押金""), ""押金往來"",
  AND(E11927&lt;&gt;"""", F11927=""""), ""真實支出"",
  AND(E11927="""", F11927&lt;&gt;""""), ""真實收入"",
  TRUE, ""其他""
)"),"其他")</f>
        <v>其他</v>
      </c>
      <c r="K11927" s="270" t="str">
        <f t="shared" si="2"/>
        <v/>
      </c>
      <c r="L11927">
        <f t="shared" si="3"/>
        <v>0</v>
      </c>
    </row>
    <row r="11928">
      <c r="A11928" s="107"/>
      <c r="D11928" s="270"/>
      <c r="H11928" s="106" t="str">
        <f t="shared" si="1"/>
        <v/>
      </c>
      <c r="J11928" t="str">
        <f>IFERROR(__xludf.DUMMYFUNCTION("IFS(
  AND(REGEXMATCH(E11928, ""台銀籌備帳戶|玉山帳戶""), REGEXMATCH(C11928, ""薪資"")), ""分潤支出"",
  AND(REGEXMATCH(E11928, ""Ben帳戶|Elsa帳戶|Ben代墊|Ariel代墊|中信銀行共用""), REGEXMATCH(F11928, ""Ben帳戶|Elsa帳戶|Ben代墊|Ariel代墊|中信銀行共用"")), ""內部轉帳(忽略)"",
  AND(E11928&lt;&gt;"""", F11928&lt;&gt;"&amp;""""", NOT(REGEXMATCH(C11928, ""薪資""))), ""內部轉帳(忽略)"",
  REGEXMATCH(C11928, ""薪資""), ""薪資變動(不計入)"",
  REGEXMATCH(C11928, ""押金""), ""押金往來"",
  AND(E11928&lt;&gt;"""", F11928=""""), ""真實支出"",
  AND(E11928="""", F11928&lt;&gt;""""), ""真實收入"",
  TRUE, ""其他""
)"),"其他")</f>
        <v>其他</v>
      </c>
      <c r="K11928" s="270" t="str">
        <f t="shared" si="2"/>
        <v/>
      </c>
      <c r="L11928">
        <f t="shared" si="3"/>
        <v>0</v>
      </c>
    </row>
    <row r="11929">
      <c r="A11929" s="107"/>
      <c r="D11929" s="270"/>
      <c r="H11929" s="106" t="str">
        <f t="shared" si="1"/>
        <v/>
      </c>
      <c r="J11929" t="str">
        <f>IFERROR(__xludf.DUMMYFUNCTION("IFS(
  AND(REGEXMATCH(E11929, ""台銀籌備帳戶|玉山帳戶""), REGEXMATCH(C11929, ""薪資"")), ""分潤支出"",
  AND(REGEXMATCH(E11929, ""Ben帳戶|Elsa帳戶|Ben代墊|Ariel代墊|中信銀行共用""), REGEXMATCH(F11929, ""Ben帳戶|Elsa帳戶|Ben代墊|Ariel代墊|中信銀行共用"")), ""內部轉帳(忽略)"",
  AND(E11929&lt;&gt;"""", F11929&lt;&gt;"&amp;""""", NOT(REGEXMATCH(C11929, ""薪資""))), ""內部轉帳(忽略)"",
  REGEXMATCH(C11929, ""薪資""), ""薪資變動(不計入)"",
  REGEXMATCH(C11929, ""押金""), ""押金往來"",
  AND(E11929&lt;&gt;"""", F11929=""""), ""真實支出"",
  AND(E11929="""", F11929&lt;&gt;""""), ""真實收入"",
  TRUE, ""其他""
)"),"其他")</f>
        <v>其他</v>
      </c>
      <c r="K11929" s="270" t="str">
        <f t="shared" si="2"/>
        <v/>
      </c>
      <c r="L11929">
        <f t="shared" si="3"/>
        <v>0</v>
      </c>
    </row>
    <row r="11930">
      <c r="A11930" s="107"/>
      <c r="D11930" s="270"/>
      <c r="H11930" s="106" t="str">
        <f t="shared" si="1"/>
        <v/>
      </c>
      <c r="J11930" t="str">
        <f>IFERROR(__xludf.DUMMYFUNCTION("IFS(
  AND(REGEXMATCH(E11930, ""台銀籌備帳戶|玉山帳戶""), REGEXMATCH(C11930, ""薪資"")), ""分潤支出"",
  AND(REGEXMATCH(E11930, ""Ben帳戶|Elsa帳戶|Ben代墊|Ariel代墊|中信銀行共用""), REGEXMATCH(F11930, ""Ben帳戶|Elsa帳戶|Ben代墊|Ariel代墊|中信銀行共用"")), ""內部轉帳(忽略)"",
  AND(E11930&lt;&gt;"""", F11930&lt;&gt;"&amp;""""", NOT(REGEXMATCH(C11930, ""薪資""))), ""內部轉帳(忽略)"",
  REGEXMATCH(C11930, ""薪資""), ""薪資變動(不計入)"",
  REGEXMATCH(C11930, ""押金""), ""押金往來"",
  AND(E11930&lt;&gt;"""", F11930=""""), ""真實支出"",
  AND(E11930="""", F11930&lt;&gt;""""), ""真實收入"",
  TRUE, ""其他""
)"),"其他")</f>
        <v>其他</v>
      </c>
      <c r="K11930" s="270" t="str">
        <f t="shared" si="2"/>
        <v/>
      </c>
      <c r="L11930">
        <f t="shared" si="3"/>
        <v>0</v>
      </c>
    </row>
    <row r="11931">
      <c r="A11931" s="107"/>
      <c r="D11931" s="270"/>
      <c r="H11931" s="106" t="str">
        <f t="shared" si="1"/>
        <v/>
      </c>
      <c r="J11931" t="str">
        <f>IFERROR(__xludf.DUMMYFUNCTION("IFS(
  AND(REGEXMATCH(E11931, ""台銀籌備帳戶|玉山帳戶""), REGEXMATCH(C11931, ""薪資"")), ""分潤支出"",
  AND(REGEXMATCH(E11931, ""Ben帳戶|Elsa帳戶|Ben代墊|Ariel代墊|中信銀行共用""), REGEXMATCH(F11931, ""Ben帳戶|Elsa帳戶|Ben代墊|Ariel代墊|中信銀行共用"")), ""內部轉帳(忽略)"",
  AND(E11931&lt;&gt;"""", F11931&lt;&gt;"&amp;""""", NOT(REGEXMATCH(C11931, ""薪資""))), ""內部轉帳(忽略)"",
  REGEXMATCH(C11931, ""薪資""), ""薪資變動(不計入)"",
  REGEXMATCH(C11931, ""押金""), ""押金往來"",
  AND(E11931&lt;&gt;"""", F11931=""""), ""真實支出"",
  AND(E11931="""", F11931&lt;&gt;""""), ""真實收入"",
  TRUE, ""其他""
)"),"其他")</f>
        <v>其他</v>
      </c>
      <c r="K11931" s="270" t="str">
        <f t="shared" si="2"/>
        <v/>
      </c>
      <c r="L11931">
        <f t="shared" si="3"/>
        <v>0</v>
      </c>
    </row>
    <row r="11932">
      <c r="A11932" s="107"/>
      <c r="D11932" s="270"/>
      <c r="H11932" s="106" t="str">
        <f t="shared" si="1"/>
        <v/>
      </c>
      <c r="J11932" t="str">
        <f>IFERROR(__xludf.DUMMYFUNCTION("IFS(
  AND(REGEXMATCH(E11932, ""台銀籌備帳戶|玉山帳戶""), REGEXMATCH(C11932, ""薪資"")), ""分潤支出"",
  AND(REGEXMATCH(E11932, ""Ben帳戶|Elsa帳戶|Ben代墊|Ariel代墊|中信銀行共用""), REGEXMATCH(F11932, ""Ben帳戶|Elsa帳戶|Ben代墊|Ariel代墊|中信銀行共用"")), ""內部轉帳(忽略)"",
  AND(E11932&lt;&gt;"""", F11932&lt;&gt;"&amp;""""", NOT(REGEXMATCH(C11932, ""薪資""))), ""內部轉帳(忽略)"",
  REGEXMATCH(C11932, ""薪資""), ""薪資變動(不計入)"",
  REGEXMATCH(C11932, ""押金""), ""押金往來"",
  AND(E11932&lt;&gt;"""", F11932=""""), ""真實支出"",
  AND(E11932="""", F11932&lt;&gt;""""), ""真實收入"",
  TRUE, ""其他""
)"),"其他")</f>
        <v>其他</v>
      </c>
      <c r="K11932" s="270" t="str">
        <f t="shared" si="2"/>
        <v/>
      </c>
      <c r="L11932">
        <f t="shared" si="3"/>
        <v>0</v>
      </c>
    </row>
    <row r="11933">
      <c r="A11933" s="107"/>
      <c r="D11933" s="270"/>
      <c r="H11933" s="106" t="str">
        <f t="shared" si="1"/>
        <v/>
      </c>
      <c r="J11933" t="str">
        <f>IFERROR(__xludf.DUMMYFUNCTION("IFS(
  AND(REGEXMATCH(E11933, ""台銀籌備帳戶|玉山帳戶""), REGEXMATCH(C11933, ""薪資"")), ""分潤支出"",
  AND(REGEXMATCH(E11933, ""Ben帳戶|Elsa帳戶|Ben代墊|Ariel代墊|中信銀行共用""), REGEXMATCH(F11933, ""Ben帳戶|Elsa帳戶|Ben代墊|Ariel代墊|中信銀行共用"")), ""內部轉帳(忽略)"",
  AND(E11933&lt;&gt;"""", F11933&lt;&gt;"&amp;""""", NOT(REGEXMATCH(C11933, ""薪資""))), ""內部轉帳(忽略)"",
  REGEXMATCH(C11933, ""薪資""), ""薪資變動(不計入)"",
  REGEXMATCH(C11933, ""押金""), ""押金往來"",
  AND(E11933&lt;&gt;"""", F11933=""""), ""真實支出"",
  AND(E11933="""", F11933&lt;&gt;""""), ""真實收入"",
  TRUE, ""其他""
)"),"其他")</f>
        <v>其他</v>
      </c>
      <c r="K11933" s="270" t="str">
        <f t="shared" si="2"/>
        <v/>
      </c>
      <c r="L11933">
        <f t="shared" si="3"/>
        <v>0</v>
      </c>
    </row>
    <row r="11934">
      <c r="A11934" s="107"/>
      <c r="D11934" s="270"/>
      <c r="H11934" s="106" t="str">
        <f t="shared" si="1"/>
        <v/>
      </c>
      <c r="J11934" t="str">
        <f>IFERROR(__xludf.DUMMYFUNCTION("IFS(
  AND(REGEXMATCH(E11934, ""台銀籌備帳戶|玉山帳戶""), REGEXMATCH(C11934, ""薪資"")), ""分潤支出"",
  AND(REGEXMATCH(E11934, ""Ben帳戶|Elsa帳戶|Ben代墊|Ariel代墊|中信銀行共用""), REGEXMATCH(F11934, ""Ben帳戶|Elsa帳戶|Ben代墊|Ariel代墊|中信銀行共用"")), ""內部轉帳(忽略)"",
  AND(E11934&lt;&gt;"""", F11934&lt;&gt;"&amp;""""", NOT(REGEXMATCH(C11934, ""薪資""))), ""內部轉帳(忽略)"",
  REGEXMATCH(C11934, ""薪資""), ""薪資變動(不計入)"",
  REGEXMATCH(C11934, ""押金""), ""押金往來"",
  AND(E11934&lt;&gt;"""", F11934=""""), ""真實支出"",
  AND(E11934="""", F11934&lt;&gt;""""), ""真實收入"",
  TRUE, ""其他""
)"),"其他")</f>
        <v>其他</v>
      </c>
      <c r="K11934" s="270" t="str">
        <f t="shared" si="2"/>
        <v/>
      </c>
      <c r="L11934">
        <f t="shared" si="3"/>
        <v>0</v>
      </c>
    </row>
    <row r="11935">
      <c r="A11935" s="107"/>
      <c r="D11935" s="270"/>
      <c r="H11935" s="106" t="str">
        <f t="shared" si="1"/>
        <v/>
      </c>
      <c r="J11935" t="str">
        <f>IFERROR(__xludf.DUMMYFUNCTION("IFS(
  AND(REGEXMATCH(E11935, ""台銀籌備帳戶|玉山帳戶""), REGEXMATCH(C11935, ""薪資"")), ""分潤支出"",
  AND(REGEXMATCH(E11935, ""Ben帳戶|Elsa帳戶|Ben代墊|Ariel代墊|中信銀行共用""), REGEXMATCH(F11935, ""Ben帳戶|Elsa帳戶|Ben代墊|Ariel代墊|中信銀行共用"")), ""內部轉帳(忽略)"",
  AND(E11935&lt;&gt;"""", F11935&lt;&gt;"&amp;""""", NOT(REGEXMATCH(C11935, ""薪資""))), ""內部轉帳(忽略)"",
  REGEXMATCH(C11935, ""薪資""), ""薪資變動(不計入)"",
  REGEXMATCH(C11935, ""押金""), ""押金往來"",
  AND(E11935&lt;&gt;"""", F11935=""""), ""真實支出"",
  AND(E11935="""", F11935&lt;&gt;""""), ""真實收入"",
  TRUE, ""其他""
)"),"其他")</f>
        <v>其他</v>
      </c>
      <c r="K11935" s="270" t="str">
        <f t="shared" si="2"/>
        <v/>
      </c>
      <c r="L11935">
        <f t="shared" si="3"/>
        <v>0</v>
      </c>
    </row>
    <row r="11936">
      <c r="A11936" s="107"/>
      <c r="D11936" s="270"/>
      <c r="H11936" s="106" t="str">
        <f t="shared" si="1"/>
        <v/>
      </c>
      <c r="J11936" t="str">
        <f>IFERROR(__xludf.DUMMYFUNCTION("IFS(
  AND(REGEXMATCH(E11936, ""台銀籌備帳戶|玉山帳戶""), REGEXMATCH(C11936, ""薪資"")), ""分潤支出"",
  AND(REGEXMATCH(E11936, ""Ben帳戶|Elsa帳戶|Ben代墊|Ariel代墊|中信銀行共用""), REGEXMATCH(F11936, ""Ben帳戶|Elsa帳戶|Ben代墊|Ariel代墊|中信銀行共用"")), ""內部轉帳(忽略)"",
  AND(E11936&lt;&gt;"""", F11936&lt;&gt;"&amp;""""", NOT(REGEXMATCH(C11936, ""薪資""))), ""內部轉帳(忽略)"",
  REGEXMATCH(C11936, ""薪資""), ""薪資變動(不計入)"",
  REGEXMATCH(C11936, ""押金""), ""押金往來"",
  AND(E11936&lt;&gt;"""", F11936=""""), ""真實支出"",
  AND(E11936="""", F11936&lt;&gt;""""), ""真實收入"",
  TRUE, ""其他""
)"),"其他")</f>
        <v>其他</v>
      </c>
      <c r="K11936" s="270" t="str">
        <f t="shared" si="2"/>
        <v/>
      </c>
      <c r="L11936">
        <f t="shared" si="3"/>
        <v>0</v>
      </c>
    </row>
    <row r="11937">
      <c r="A11937" s="107"/>
      <c r="D11937" s="270"/>
      <c r="H11937" s="106" t="str">
        <f t="shared" si="1"/>
        <v/>
      </c>
      <c r="J11937" t="str">
        <f>IFERROR(__xludf.DUMMYFUNCTION("IFS(
  AND(REGEXMATCH(E11937, ""台銀籌備帳戶|玉山帳戶""), REGEXMATCH(C11937, ""薪資"")), ""分潤支出"",
  AND(REGEXMATCH(E11937, ""Ben帳戶|Elsa帳戶|Ben代墊|Ariel代墊|中信銀行共用""), REGEXMATCH(F11937, ""Ben帳戶|Elsa帳戶|Ben代墊|Ariel代墊|中信銀行共用"")), ""內部轉帳(忽略)"",
  AND(E11937&lt;&gt;"""", F11937&lt;&gt;"&amp;""""", NOT(REGEXMATCH(C11937, ""薪資""))), ""內部轉帳(忽略)"",
  REGEXMATCH(C11937, ""薪資""), ""薪資變動(不計入)"",
  REGEXMATCH(C11937, ""押金""), ""押金往來"",
  AND(E11937&lt;&gt;"""", F11937=""""), ""真實支出"",
  AND(E11937="""", F11937&lt;&gt;""""), ""真實收入"",
  TRUE, ""其他""
)"),"其他")</f>
        <v>其他</v>
      </c>
      <c r="K11937" s="270" t="str">
        <f t="shared" si="2"/>
        <v/>
      </c>
      <c r="L11937">
        <f t="shared" si="3"/>
        <v>0</v>
      </c>
    </row>
    <row r="11938">
      <c r="A11938" s="107"/>
      <c r="D11938" s="270"/>
      <c r="H11938" s="106" t="str">
        <f t="shared" si="1"/>
        <v/>
      </c>
      <c r="J11938" t="str">
        <f>IFERROR(__xludf.DUMMYFUNCTION("IFS(
  AND(REGEXMATCH(E11938, ""台銀籌備帳戶|玉山帳戶""), REGEXMATCH(C11938, ""薪資"")), ""分潤支出"",
  AND(REGEXMATCH(E11938, ""Ben帳戶|Elsa帳戶|Ben代墊|Ariel代墊|中信銀行共用""), REGEXMATCH(F11938, ""Ben帳戶|Elsa帳戶|Ben代墊|Ariel代墊|中信銀行共用"")), ""內部轉帳(忽略)"",
  AND(E11938&lt;&gt;"""", F11938&lt;&gt;"&amp;""""", NOT(REGEXMATCH(C11938, ""薪資""))), ""內部轉帳(忽略)"",
  REGEXMATCH(C11938, ""薪資""), ""薪資變動(不計入)"",
  REGEXMATCH(C11938, ""押金""), ""押金往來"",
  AND(E11938&lt;&gt;"""", F11938=""""), ""真實支出"",
  AND(E11938="""", F11938&lt;&gt;""""), ""真實收入"",
  TRUE, ""其他""
)"),"其他")</f>
        <v>其他</v>
      </c>
      <c r="K11938" s="270" t="str">
        <f t="shared" si="2"/>
        <v/>
      </c>
      <c r="L11938">
        <f t="shared" si="3"/>
        <v>0</v>
      </c>
    </row>
    <row r="11939">
      <c r="A11939" s="107"/>
      <c r="D11939" s="270"/>
      <c r="H11939" s="106" t="str">
        <f t="shared" si="1"/>
        <v/>
      </c>
      <c r="J11939" t="str">
        <f>IFERROR(__xludf.DUMMYFUNCTION("IFS(
  AND(REGEXMATCH(E11939, ""台銀籌備帳戶|玉山帳戶""), REGEXMATCH(C11939, ""薪資"")), ""分潤支出"",
  AND(REGEXMATCH(E11939, ""Ben帳戶|Elsa帳戶|Ben代墊|Ariel代墊|中信銀行共用""), REGEXMATCH(F11939, ""Ben帳戶|Elsa帳戶|Ben代墊|Ariel代墊|中信銀行共用"")), ""內部轉帳(忽略)"",
  AND(E11939&lt;&gt;"""", F11939&lt;&gt;"&amp;""""", NOT(REGEXMATCH(C11939, ""薪資""))), ""內部轉帳(忽略)"",
  REGEXMATCH(C11939, ""薪資""), ""薪資變動(不計入)"",
  REGEXMATCH(C11939, ""押金""), ""押金往來"",
  AND(E11939&lt;&gt;"""", F11939=""""), ""真實支出"",
  AND(E11939="""", F11939&lt;&gt;""""), ""真實收入"",
  TRUE, ""其他""
)"),"其他")</f>
        <v>其他</v>
      </c>
      <c r="K11939" s="270" t="str">
        <f t="shared" si="2"/>
        <v/>
      </c>
      <c r="L11939">
        <f t="shared" si="3"/>
        <v>0</v>
      </c>
    </row>
    <row r="11940">
      <c r="A11940" s="107"/>
      <c r="D11940" s="270"/>
      <c r="H11940" s="106" t="str">
        <f t="shared" si="1"/>
        <v/>
      </c>
      <c r="J11940" t="str">
        <f>IFERROR(__xludf.DUMMYFUNCTION("IFS(
  AND(REGEXMATCH(E11940, ""台銀籌備帳戶|玉山帳戶""), REGEXMATCH(C11940, ""薪資"")), ""分潤支出"",
  AND(REGEXMATCH(E11940, ""Ben帳戶|Elsa帳戶|Ben代墊|Ariel代墊|中信銀行共用""), REGEXMATCH(F11940, ""Ben帳戶|Elsa帳戶|Ben代墊|Ariel代墊|中信銀行共用"")), ""內部轉帳(忽略)"",
  AND(E11940&lt;&gt;"""", F11940&lt;&gt;"&amp;""""", NOT(REGEXMATCH(C11940, ""薪資""))), ""內部轉帳(忽略)"",
  REGEXMATCH(C11940, ""薪資""), ""薪資變動(不計入)"",
  REGEXMATCH(C11940, ""押金""), ""押金往來"",
  AND(E11940&lt;&gt;"""", F11940=""""), ""真實支出"",
  AND(E11940="""", F11940&lt;&gt;""""), ""真實收入"",
  TRUE, ""其他""
)"),"其他")</f>
        <v>其他</v>
      </c>
      <c r="K11940" s="270" t="str">
        <f t="shared" si="2"/>
        <v/>
      </c>
      <c r="L11940">
        <f t="shared" si="3"/>
        <v>0</v>
      </c>
    </row>
    <row r="11941">
      <c r="A11941" s="107"/>
      <c r="D11941" s="270"/>
      <c r="H11941" s="106" t="str">
        <f t="shared" si="1"/>
        <v/>
      </c>
      <c r="J11941" t="str">
        <f>IFERROR(__xludf.DUMMYFUNCTION("IFS(
  AND(REGEXMATCH(E11941, ""台銀籌備帳戶|玉山帳戶""), REGEXMATCH(C11941, ""薪資"")), ""分潤支出"",
  AND(REGEXMATCH(E11941, ""Ben帳戶|Elsa帳戶|Ben代墊|Ariel代墊|中信銀行共用""), REGEXMATCH(F11941, ""Ben帳戶|Elsa帳戶|Ben代墊|Ariel代墊|中信銀行共用"")), ""內部轉帳(忽略)"",
  AND(E11941&lt;&gt;"""", F11941&lt;&gt;"&amp;""""", NOT(REGEXMATCH(C11941, ""薪資""))), ""內部轉帳(忽略)"",
  REGEXMATCH(C11941, ""薪資""), ""薪資變動(不計入)"",
  REGEXMATCH(C11941, ""押金""), ""押金往來"",
  AND(E11941&lt;&gt;"""", F11941=""""), ""真實支出"",
  AND(E11941="""", F11941&lt;&gt;""""), ""真實收入"",
  TRUE, ""其他""
)"),"其他")</f>
        <v>其他</v>
      </c>
      <c r="K11941" s="270" t="str">
        <f t="shared" si="2"/>
        <v/>
      </c>
      <c r="L11941">
        <f t="shared" si="3"/>
        <v>0</v>
      </c>
    </row>
    <row r="11942">
      <c r="A11942" s="107"/>
      <c r="D11942" s="270"/>
      <c r="H11942" s="106" t="str">
        <f t="shared" si="1"/>
        <v/>
      </c>
      <c r="J11942" t="str">
        <f>IFERROR(__xludf.DUMMYFUNCTION("IFS(
  AND(REGEXMATCH(E11942, ""台銀籌備帳戶|玉山帳戶""), REGEXMATCH(C11942, ""薪資"")), ""分潤支出"",
  AND(REGEXMATCH(E11942, ""Ben帳戶|Elsa帳戶|Ben代墊|Ariel代墊|中信銀行共用""), REGEXMATCH(F11942, ""Ben帳戶|Elsa帳戶|Ben代墊|Ariel代墊|中信銀行共用"")), ""內部轉帳(忽略)"",
  AND(E11942&lt;&gt;"""", F11942&lt;&gt;"&amp;""""", NOT(REGEXMATCH(C11942, ""薪資""))), ""內部轉帳(忽略)"",
  REGEXMATCH(C11942, ""薪資""), ""薪資變動(不計入)"",
  REGEXMATCH(C11942, ""押金""), ""押金往來"",
  AND(E11942&lt;&gt;"""", F11942=""""), ""真實支出"",
  AND(E11942="""", F11942&lt;&gt;""""), ""真實收入"",
  TRUE, ""其他""
)"),"其他")</f>
        <v>其他</v>
      </c>
      <c r="K11942" s="270" t="str">
        <f t="shared" si="2"/>
        <v/>
      </c>
      <c r="L11942">
        <f t="shared" si="3"/>
        <v>0</v>
      </c>
    </row>
    <row r="11943">
      <c r="A11943" s="107"/>
      <c r="D11943" s="270"/>
      <c r="H11943" s="106" t="str">
        <f t="shared" si="1"/>
        <v/>
      </c>
      <c r="J11943" t="str">
        <f>IFERROR(__xludf.DUMMYFUNCTION("IFS(
  AND(REGEXMATCH(E11943, ""台銀籌備帳戶|玉山帳戶""), REGEXMATCH(C11943, ""薪資"")), ""分潤支出"",
  AND(REGEXMATCH(E11943, ""Ben帳戶|Elsa帳戶|Ben代墊|Ariel代墊|中信銀行共用""), REGEXMATCH(F11943, ""Ben帳戶|Elsa帳戶|Ben代墊|Ariel代墊|中信銀行共用"")), ""內部轉帳(忽略)"",
  AND(E11943&lt;&gt;"""", F11943&lt;&gt;"&amp;""""", NOT(REGEXMATCH(C11943, ""薪資""))), ""內部轉帳(忽略)"",
  REGEXMATCH(C11943, ""薪資""), ""薪資變動(不計入)"",
  REGEXMATCH(C11943, ""押金""), ""押金往來"",
  AND(E11943&lt;&gt;"""", F11943=""""), ""真實支出"",
  AND(E11943="""", F11943&lt;&gt;""""), ""真實收入"",
  TRUE, ""其他""
)"),"其他")</f>
        <v>其他</v>
      </c>
      <c r="K11943" s="270" t="str">
        <f t="shared" si="2"/>
        <v/>
      </c>
      <c r="L11943">
        <f t="shared" si="3"/>
        <v>0</v>
      </c>
    </row>
    <row r="11944">
      <c r="A11944" s="107"/>
      <c r="D11944" s="270"/>
      <c r="H11944" s="106" t="str">
        <f t="shared" si="1"/>
        <v/>
      </c>
      <c r="J11944" t="str">
        <f>IFERROR(__xludf.DUMMYFUNCTION("IFS(
  AND(REGEXMATCH(E11944, ""台銀籌備帳戶|玉山帳戶""), REGEXMATCH(C11944, ""薪資"")), ""分潤支出"",
  AND(REGEXMATCH(E11944, ""Ben帳戶|Elsa帳戶|Ben代墊|Ariel代墊|中信銀行共用""), REGEXMATCH(F11944, ""Ben帳戶|Elsa帳戶|Ben代墊|Ariel代墊|中信銀行共用"")), ""內部轉帳(忽略)"",
  AND(E11944&lt;&gt;"""", F11944&lt;&gt;"&amp;""""", NOT(REGEXMATCH(C11944, ""薪資""))), ""內部轉帳(忽略)"",
  REGEXMATCH(C11944, ""薪資""), ""薪資變動(不計入)"",
  REGEXMATCH(C11944, ""押金""), ""押金往來"",
  AND(E11944&lt;&gt;"""", F11944=""""), ""真實支出"",
  AND(E11944="""", F11944&lt;&gt;""""), ""真實收入"",
  TRUE, ""其他""
)"),"其他")</f>
        <v>其他</v>
      </c>
      <c r="K11944" s="270" t="str">
        <f t="shared" si="2"/>
        <v/>
      </c>
      <c r="L11944">
        <f t="shared" si="3"/>
        <v>0</v>
      </c>
    </row>
    <row r="11945">
      <c r="A11945" s="107"/>
      <c r="D11945" s="270"/>
      <c r="H11945" s="106" t="str">
        <f t="shared" si="1"/>
        <v/>
      </c>
      <c r="J11945" t="str">
        <f>IFERROR(__xludf.DUMMYFUNCTION("IFS(
  AND(REGEXMATCH(E11945, ""台銀籌備帳戶|玉山帳戶""), REGEXMATCH(C11945, ""薪資"")), ""分潤支出"",
  AND(REGEXMATCH(E11945, ""Ben帳戶|Elsa帳戶|Ben代墊|Ariel代墊|中信銀行共用""), REGEXMATCH(F11945, ""Ben帳戶|Elsa帳戶|Ben代墊|Ariel代墊|中信銀行共用"")), ""內部轉帳(忽略)"",
  AND(E11945&lt;&gt;"""", F11945&lt;&gt;"&amp;""""", NOT(REGEXMATCH(C11945, ""薪資""))), ""內部轉帳(忽略)"",
  REGEXMATCH(C11945, ""薪資""), ""薪資變動(不計入)"",
  REGEXMATCH(C11945, ""押金""), ""押金往來"",
  AND(E11945&lt;&gt;"""", F11945=""""), ""真實支出"",
  AND(E11945="""", F11945&lt;&gt;""""), ""真實收入"",
  TRUE, ""其他""
)"),"其他")</f>
        <v>其他</v>
      </c>
      <c r="K11945" s="270" t="str">
        <f t="shared" si="2"/>
        <v/>
      </c>
      <c r="L11945">
        <f t="shared" si="3"/>
        <v>0</v>
      </c>
    </row>
    <row r="11946">
      <c r="A11946" s="107"/>
      <c r="D11946" s="270"/>
      <c r="H11946" s="106" t="str">
        <f t="shared" si="1"/>
        <v/>
      </c>
      <c r="J11946" t="str">
        <f>IFERROR(__xludf.DUMMYFUNCTION("IFS(
  AND(REGEXMATCH(E11946, ""台銀籌備帳戶|玉山帳戶""), REGEXMATCH(C11946, ""薪資"")), ""分潤支出"",
  AND(REGEXMATCH(E11946, ""Ben帳戶|Elsa帳戶|Ben代墊|Ariel代墊|中信銀行共用""), REGEXMATCH(F11946, ""Ben帳戶|Elsa帳戶|Ben代墊|Ariel代墊|中信銀行共用"")), ""內部轉帳(忽略)"",
  AND(E11946&lt;&gt;"""", F11946&lt;&gt;"&amp;""""", NOT(REGEXMATCH(C11946, ""薪資""))), ""內部轉帳(忽略)"",
  REGEXMATCH(C11946, ""薪資""), ""薪資變動(不計入)"",
  REGEXMATCH(C11946, ""押金""), ""押金往來"",
  AND(E11946&lt;&gt;"""", F11946=""""), ""真實支出"",
  AND(E11946="""", F11946&lt;&gt;""""), ""真實收入"",
  TRUE, ""其他""
)"),"其他")</f>
        <v>其他</v>
      </c>
      <c r="K11946" s="270" t="str">
        <f t="shared" si="2"/>
        <v/>
      </c>
      <c r="L11946">
        <f t="shared" si="3"/>
        <v>0</v>
      </c>
    </row>
    <row r="11947">
      <c r="A11947" s="107"/>
      <c r="D11947" s="270"/>
      <c r="H11947" s="106" t="str">
        <f t="shared" si="1"/>
        <v/>
      </c>
      <c r="J11947" t="str">
        <f>IFERROR(__xludf.DUMMYFUNCTION("IFS(
  AND(REGEXMATCH(E11947, ""台銀籌備帳戶|玉山帳戶""), REGEXMATCH(C11947, ""薪資"")), ""分潤支出"",
  AND(REGEXMATCH(E11947, ""Ben帳戶|Elsa帳戶|Ben代墊|Ariel代墊|中信銀行共用""), REGEXMATCH(F11947, ""Ben帳戶|Elsa帳戶|Ben代墊|Ariel代墊|中信銀行共用"")), ""內部轉帳(忽略)"",
  AND(E11947&lt;&gt;"""", F11947&lt;&gt;"&amp;""""", NOT(REGEXMATCH(C11947, ""薪資""))), ""內部轉帳(忽略)"",
  REGEXMATCH(C11947, ""薪資""), ""薪資變動(不計入)"",
  REGEXMATCH(C11947, ""押金""), ""押金往來"",
  AND(E11947&lt;&gt;"""", F11947=""""), ""真實支出"",
  AND(E11947="""", F11947&lt;&gt;""""), ""真實收入"",
  TRUE, ""其他""
)"),"其他")</f>
        <v>其他</v>
      </c>
      <c r="K11947" s="270" t="str">
        <f t="shared" si="2"/>
        <v/>
      </c>
      <c r="L11947">
        <f t="shared" si="3"/>
        <v>0</v>
      </c>
    </row>
    <row r="11948">
      <c r="A11948" s="107"/>
      <c r="D11948" s="270"/>
      <c r="H11948" s="106" t="str">
        <f t="shared" si="1"/>
        <v/>
      </c>
      <c r="J11948" t="str">
        <f>IFERROR(__xludf.DUMMYFUNCTION("IFS(
  AND(REGEXMATCH(E11948, ""台銀籌備帳戶|玉山帳戶""), REGEXMATCH(C11948, ""薪資"")), ""分潤支出"",
  AND(REGEXMATCH(E11948, ""Ben帳戶|Elsa帳戶|Ben代墊|Ariel代墊|中信銀行共用""), REGEXMATCH(F11948, ""Ben帳戶|Elsa帳戶|Ben代墊|Ariel代墊|中信銀行共用"")), ""內部轉帳(忽略)"",
  AND(E11948&lt;&gt;"""", F11948&lt;&gt;"&amp;""""", NOT(REGEXMATCH(C11948, ""薪資""))), ""內部轉帳(忽略)"",
  REGEXMATCH(C11948, ""薪資""), ""薪資變動(不計入)"",
  REGEXMATCH(C11948, ""押金""), ""押金往來"",
  AND(E11948&lt;&gt;"""", F11948=""""), ""真實支出"",
  AND(E11948="""", F11948&lt;&gt;""""), ""真實收入"",
  TRUE, ""其他""
)"),"其他")</f>
        <v>其他</v>
      </c>
      <c r="K11948" s="270" t="str">
        <f t="shared" si="2"/>
        <v/>
      </c>
      <c r="L11948">
        <f t="shared" si="3"/>
        <v>0</v>
      </c>
    </row>
    <row r="11949">
      <c r="A11949" s="107"/>
      <c r="D11949" s="270"/>
      <c r="H11949" s="106" t="str">
        <f t="shared" si="1"/>
        <v/>
      </c>
      <c r="J11949" t="str">
        <f>IFERROR(__xludf.DUMMYFUNCTION("IFS(
  AND(REGEXMATCH(E11949, ""台銀籌備帳戶|玉山帳戶""), REGEXMATCH(C11949, ""薪資"")), ""分潤支出"",
  AND(REGEXMATCH(E11949, ""Ben帳戶|Elsa帳戶|Ben代墊|Ariel代墊|中信銀行共用""), REGEXMATCH(F11949, ""Ben帳戶|Elsa帳戶|Ben代墊|Ariel代墊|中信銀行共用"")), ""內部轉帳(忽略)"",
  AND(E11949&lt;&gt;"""", F11949&lt;&gt;"&amp;""""", NOT(REGEXMATCH(C11949, ""薪資""))), ""內部轉帳(忽略)"",
  REGEXMATCH(C11949, ""薪資""), ""薪資變動(不計入)"",
  REGEXMATCH(C11949, ""押金""), ""押金往來"",
  AND(E11949&lt;&gt;"""", F11949=""""), ""真實支出"",
  AND(E11949="""", F11949&lt;&gt;""""), ""真實收入"",
  TRUE, ""其他""
)"),"其他")</f>
        <v>其他</v>
      </c>
      <c r="K11949" s="270" t="str">
        <f t="shared" si="2"/>
        <v/>
      </c>
      <c r="L11949">
        <f t="shared" si="3"/>
        <v>0</v>
      </c>
    </row>
    <row r="11950">
      <c r="A11950" s="107"/>
      <c r="D11950" s="270"/>
      <c r="H11950" s="106" t="str">
        <f t="shared" si="1"/>
        <v/>
      </c>
      <c r="J11950" t="str">
        <f>IFERROR(__xludf.DUMMYFUNCTION("IFS(
  AND(REGEXMATCH(E11950, ""台銀籌備帳戶|玉山帳戶""), REGEXMATCH(C11950, ""薪資"")), ""分潤支出"",
  AND(REGEXMATCH(E11950, ""Ben帳戶|Elsa帳戶|Ben代墊|Ariel代墊|中信銀行共用""), REGEXMATCH(F11950, ""Ben帳戶|Elsa帳戶|Ben代墊|Ariel代墊|中信銀行共用"")), ""內部轉帳(忽略)"",
  AND(E11950&lt;&gt;"""", F11950&lt;&gt;"&amp;""""", NOT(REGEXMATCH(C11950, ""薪資""))), ""內部轉帳(忽略)"",
  REGEXMATCH(C11950, ""薪資""), ""薪資變動(不計入)"",
  REGEXMATCH(C11950, ""押金""), ""押金往來"",
  AND(E11950&lt;&gt;"""", F11950=""""), ""真實支出"",
  AND(E11950="""", F11950&lt;&gt;""""), ""真實收入"",
  TRUE, ""其他""
)"),"其他")</f>
        <v>其他</v>
      </c>
      <c r="K11950" s="270" t="str">
        <f t="shared" si="2"/>
        <v/>
      </c>
      <c r="L11950">
        <f t="shared" si="3"/>
        <v>0</v>
      </c>
    </row>
    <row r="11951">
      <c r="A11951" s="107"/>
      <c r="D11951" s="270"/>
      <c r="H11951" s="106" t="str">
        <f t="shared" si="1"/>
        <v/>
      </c>
      <c r="J11951" t="str">
        <f>IFERROR(__xludf.DUMMYFUNCTION("IFS(
  AND(REGEXMATCH(E11951, ""台銀籌備帳戶|玉山帳戶""), REGEXMATCH(C11951, ""薪資"")), ""分潤支出"",
  AND(REGEXMATCH(E11951, ""Ben帳戶|Elsa帳戶|Ben代墊|Ariel代墊|中信銀行共用""), REGEXMATCH(F11951, ""Ben帳戶|Elsa帳戶|Ben代墊|Ariel代墊|中信銀行共用"")), ""內部轉帳(忽略)"",
  AND(E11951&lt;&gt;"""", F11951&lt;&gt;"&amp;""""", NOT(REGEXMATCH(C11951, ""薪資""))), ""內部轉帳(忽略)"",
  REGEXMATCH(C11951, ""薪資""), ""薪資變動(不計入)"",
  REGEXMATCH(C11951, ""押金""), ""押金往來"",
  AND(E11951&lt;&gt;"""", F11951=""""), ""真實支出"",
  AND(E11951="""", F11951&lt;&gt;""""), ""真實收入"",
  TRUE, ""其他""
)"),"其他")</f>
        <v>其他</v>
      </c>
      <c r="K11951" s="270" t="str">
        <f t="shared" si="2"/>
        <v/>
      </c>
      <c r="L11951">
        <f t="shared" si="3"/>
        <v>0</v>
      </c>
    </row>
    <row r="11952">
      <c r="A11952" s="107"/>
      <c r="D11952" s="270"/>
      <c r="H11952" s="106" t="str">
        <f t="shared" si="1"/>
        <v/>
      </c>
      <c r="J11952" t="str">
        <f>IFERROR(__xludf.DUMMYFUNCTION("IFS(
  AND(REGEXMATCH(E11952, ""台銀籌備帳戶|玉山帳戶""), REGEXMATCH(C11952, ""薪資"")), ""分潤支出"",
  AND(REGEXMATCH(E11952, ""Ben帳戶|Elsa帳戶|Ben代墊|Ariel代墊|中信銀行共用""), REGEXMATCH(F11952, ""Ben帳戶|Elsa帳戶|Ben代墊|Ariel代墊|中信銀行共用"")), ""內部轉帳(忽略)"",
  AND(E11952&lt;&gt;"""", F11952&lt;&gt;"&amp;""""", NOT(REGEXMATCH(C11952, ""薪資""))), ""內部轉帳(忽略)"",
  REGEXMATCH(C11952, ""薪資""), ""薪資變動(不計入)"",
  REGEXMATCH(C11952, ""押金""), ""押金往來"",
  AND(E11952&lt;&gt;"""", F11952=""""), ""真實支出"",
  AND(E11952="""", F11952&lt;&gt;""""), ""真實收入"",
  TRUE, ""其他""
)"),"其他")</f>
        <v>其他</v>
      </c>
      <c r="K11952" s="270" t="str">
        <f t="shared" si="2"/>
        <v/>
      </c>
      <c r="L11952">
        <f t="shared" si="3"/>
        <v>0</v>
      </c>
    </row>
    <row r="11953">
      <c r="A11953" s="107"/>
      <c r="D11953" s="270"/>
      <c r="H11953" s="106" t="str">
        <f t="shared" si="1"/>
        <v/>
      </c>
      <c r="J11953" t="str">
        <f>IFERROR(__xludf.DUMMYFUNCTION("IFS(
  AND(REGEXMATCH(E11953, ""台銀籌備帳戶|玉山帳戶""), REGEXMATCH(C11953, ""薪資"")), ""分潤支出"",
  AND(REGEXMATCH(E11953, ""Ben帳戶|Elsa帳戶|Ben代墊|Ariel代墊|中信銀行共用""), REGEXMATCH(F11953, ""Ben帳戶|Elsa帳戶|Ben代墊|Ariel代墊|中信銀行共用"")), ""內部轉帳(忽略)"",
  AND(E11953&lt;&gt;"""", F11953&lt;&gt;"&amp;""""", NOT(REGEXMATCH(C11953, ""薪資""))), ""內部轉帳(忽略)"",
  REGEXMATCH(C11953, ""薪資""), ""薪資變動(不計入)"",
  REGEXMATCH(C11953, ""押金""), ""押金往來"",
  AND(E11953&lt;&gt;"""", F11953=""""), ""真實支出"",
  AND(E11953="""", F11953&lt;&gt;""""), ""真實收入"",
  TRUE, ""其他""
)"),"其他")</f>
        <v>其他</v>
      </c>
      <c r="K11953" s="270" t="str">
        <f t="shared" si="2"/>
        <v/>
      </c>
      <c r="L11953">
        <f t="shared" si="3"/>
        <v>0</v>
      </c>
    </row>
    <row r="11954">
      <c r="A11954" s="107"/>
      <c r="D11954" s="270"/>
      <c r="H11954" s="106" t="str">
        <f t="shared" si="1"/>
        <v/>
      </c>
      <c r="J11954" t="str">
        <f>IFERROR(__xludf.DUMMYFUNCTION("IFS(
  AND(REGEXMATCH(E11954, ""台銀籌備帳戶|玉山帳戶""), REGEXMATCH(C11954, ""薪資"")), ""分潤支出"",
  AND(REGEXMATCH(E11954, ""Ben帳戶|Elsa帳戶|Ben代墊|Ariel代墊|中信銀行共用""), REGEXMATCH(F11954, ""Ben帳戶|Elsa帳戶|Ben代墊|Ariel代墊|中信銀行共用"")), ""內部轉帳(忽略)"",
  AND(E11954&lt;&gt;"""", F11954&lt;&gt;"&amp;""""", NOT(REGEXMATCH(C11954, ""薪資""))), ""內部轉帳(忽略)"",
  REGEXMATCH(C11954, ""薪資""), ""薪資變動(不計入)"",
  REGEXMATCH(C11954, ""押金""), ""押金往來"",
  AND(E11954&lt;&gt;"""", F11954=""""), ""真實支出"",
  AND(E11954="""", F11954&lt;&gt;""""), ""真實收入"",
  TRUE, ""其他""
)"),"其他")</f>
        <v>其他</v>
      </c>
      <c r="K11954" s="270" t="str">
        <f t="shared" si="2"/>
        <v/>
      </c>
      <c r="L11954">
        <f t="shared" si="3"/>
        <v>0</v>
      </c>
    </row>
    <row r="11955">
      <c r="A11955" s="107"/>
      <c r="D11955" s="270"/>
      <c r="H11955" s="106" t="str">
        <f t="shared" si="1"/>
        <v/>
      </c>
      <c r="J11955" t="str">
        <f>IFERROR(__xludf.DUMMYFUNCTION("IFS(
  AND(REGEXMATCH(E11955, ""台銀籌備帳戶|玉山帳戶""), REGEXMATCH(C11955, ""薪資"")), ""分潤支出"",
  AND(REGEXMATCH(E11955, ""Ben帳戶|Elsa帳戶|Ben代墊|Ariel代墊|中信銀行共用""), REGEXMATCH(F11955, ""Ben帳戶|Elsa帳戶|Ben代墊|Ariel代墊|中信銀行共用"")), ""內部轉帳(忽略)"",
  AND(E11955&lt;&gt;"""", F11955&lt;&gt;"&amp;""""", NOT(REGEXMATCH(C11955, ""薪資""))), ""內部轉帳(忽略)"",
  REGEXMATCH(C11955, ""薪資""), ""薪資變動(不計入)"",
  REGEXMATCH(C11955, ""押金""), ""押金往來"",
  AND(E11955&lt;&gt;"""", F11955=""""), ""真實支出"",
  AND(E11955="""", F11955&lt;&gt;""""), ""真實收入"",
  TRUE, ""其他""
)"),"其他")</f>
        <v>其他</v>
      </c>
      <c r="K11955" s="270" t="str">
        <f t="shared" si="2"/>
        <v/>
      </c>
      <c r="L11955">
        <f t="shared" si="3"/>
        <v>0</v>
      </c>
    </row>
    <row r="11956">
      <c r="A11956" s="107"/>
      <c r="D11956" s="270"/>
      <c r="H11956" s="106" t="str">
        <f t="shared" si="1"/>
        <v/>
      </c>
      <c r="J11956" t="str">
        <f>IFERROR(__xludf.DUMMYFUNCTION("IFS(
  AND(REGEXMATCH(E11956, ""台銀籌備帳戶|玉山帳戶""), REGEXMATCH(C11956, ""薪資"")), ""分潤支出"",
  AND(REGEXMATCH(E11956, ""Ben帳戶|Elsa帳戶|Ben代墊|Ariel代墊|中信銀行共用""), REGEXMATCH(F11956, ""Ben帳戶|Elsa帳戶|Ben代墊|Ariel代墊|中信銀行共用"")), ""內部轉帳(忽略)"",
  AND(E11956&lt;&gt;"""", F11956&lt;&gt;"&amp;""""", NOT(REGEXMATCH(C11956, ""薪資""))), ""內部轉帳(忽略)"",
  REGEXMATCH(C11956, ""薪資""), ""薪資變動(不計入)"",
  REGEXMATCH(C11956, ""押金""), ""押金往來"",
  AND(E11956&lt;&gt;"""", F11956=""""), ""真實支出"",
  AND(E11956="""", F11956&lt;&gt;""""), ""真實收入"",
  TRUE, ""其他""
)"),"其他")</f>
        <v>其他</v>
      </c>
      <c r="K11956" s="270" t="str">
        <f t="shared" si="2"/>
        <v/>
      </c>
      <c r="L11956">
        <f t="shared" si="3"/>
        <v>0</v>
      </c>
    </row>
    <row r="11957">
      <c r="A11957" s="107"/>
      <c r="D11957" s="270"/>
      <c r="H11957" s="106" t="str">
        <f t="shared" si="1"/>
        <v/>
      </c>
      <c r="J11957" t="str">
        <f>IFERROR(__xludf.DUMMYFUNCTION("IFS(
  AND(REGEXMATCH(E11957, ""台銀籌備帳戶|玉山帳戶""), REGEXMATCH(C11957, ""薪資"")), ""分潤支出"",
  AND(REGEXMATCH(E11957, ""Ben帳戶|Elsa帳戶|Ben代墊|Ariel代墊|中信銀行共用""), REGEXMATCH(F11957, ""Ben帳戶|Elsa帳戶|Ben代墊|Ariel代墊|中信銀行共用"")), ""內部轉帳(忽略)"",
  AND(E11957&lt;&gt;"""", F11957&lt;&gt;"&amp;""""", NOT(REGEXMATCH(C11957, ""薪資""))), ""內部轉帳(忽略)"",
  REGEXMATCH(C11957, ""薪資""), ""薪資變動(不計入)"",
  REGEXMATCH(C11957, ""押金""), ""押金往來"",
  AND(E11957&lt;&gt;"""", F11957=""""), ""真實支出"",
  AND(E11957="""", F11957&lt;&gt;""""), ""真實收入"",
  TRUE, ""其他""
)"),"其他")</f>
        <v>其他</v>
      </c>
      <c r="K11957" s="270" t="str">
        <f t="shared" si="2"/>
        <v/>
      </c>
      <c r="L11957">
        <f t="shared" si="3"/>
        <v>0</v>
      </c>
    </row>
    <row r="11958">
      <c r="A11958" s="107"/>
      <c r="D11958" s="270"/>
      <c r="H11958" s="106" t="str">
        <f t="shared" si="1"/>
        <v/>
      </c>
      <c r="J11958" t="str">
        <f>IFERROR(__xludf.DUMMYFUNCTION("IFS(
  AND(REGEXMATCH(E11958, ""台銀籌備帳戶|玉山帳戶""), REGEXMATCH(C11958, ""薪資"")), ""分潤支出"",
  AND(REGEXMATCH(E11958, ""Ben帳戶|Elsa帳戶|Ben代墊|Ariel代墊|中信銀行共用""), REGEXMATCH(F11958, ""Ben帳戶|Elsa帳戶|Ben代墊|Ariel代墊|中信銀行共用"")), ""內部轉帳(忽略)"",
  AND(E11958&lt;&gt;"""", F11958&lt;&gt;"&amp;""""", NOT(REGEXMATCH(C11958, ""薪資""))), ""內部轉帳(忽略)"",
  REGEXMATCH(C11958, ""薪資""), ""薪資變動(不計入)"",
  REGEXMATCH(C11958, ""押金""), ""押金往來"",
  AND(E11958&lt;&gt;"""", F11958=""""), ""真實支出"",
  AND(E11958="""", F11958&lt;&gt;""""), ""真實收入"",
  TRUE, ""其他""
)"),"其他")</f>
        <v>其他</v>
      </c>
      <c r="K11958" s="270" t="str">
        <f t="shared" si="2"/>
        <v/>
      </c>
      <c r="L11958">
        <f t="shared" si="3"/>
        <v>0</v>
      </c>
    </row>
    <row r="11959">
      <c r="A11959" s="107"/>
      <c r="D11959" s="270"/>
      <c r="H11959" s="106" t="str">
        <f t="shared" si="1"/>
        <v/>
      </c>
      <c r="J11959" t="str">
        <f>IFERROR(__xludf.DUMMYFUNCTION("IFS(
  AND(REGEXMATCH(E11959, ""台銀籌備帳戶|玉山帳戶""), REGEXMATCH(C11959, ""薪資"")), ""分潤支出"",
  AND(REGEXMATCH(E11959, ""Ben帳戶|Elsa帳戶|Ben代墊|Ariel代墊|中信銀行共用""), REGEXMATCH(F11959, ""Ben帳戶|Elsa帳戶|Ben代墊|Ariel代墊|中信銀行共用"")), ""內部轉帳(忽略)"",
  AND(E11959&lt;&gt;"""", F11959&lt;&gt;"&amp;""""", NOT(REGEXMATCH(C11959, ""薪資""))), ""內部轉帳(忽略)"",
  REGEXMATCH(C11959, ""薪資""), ""薪資變動(不計入)"",
  REGEXMATCH(C11959, ""押金""), ""押金往來"",
  AND(E11959&lt;&gt;"""", F11959=""""), ""真實支出"",
  AND(E11959="""", F11959&lt;&gt;""""), ""真實收入"",
  TRUE, ""其他""
)"),"其他")</f>
        <v>其他</v>
      </c>
      <c r="K11959" s="270" t="str">
        <f t="shared" si="2"/>
        <v/>
      </c>
      <c r="L11959">
        <f t="shared" si="3"/>
        <v>0</v>
      </c>
    </row>
    <row r="11960">
      <c r="A11960" s="107"/>
      <c r="D11960" s="270"/>
      <c r="H11960" s="106" t="str">
        <f t="shared" si="1"/>
        <v/>
      </c>
      <c r="J11960" t="str">
        <f>IFERROR(__xludf.DUMMYFUNCTION("IFS(
  AND(REGEXMATCH(E11960, ""台銀籌備帳戶|玉山帳戶""), REGEXMATCH(C11960, ""薪資"")), ""分潤支出"",
  AND(REGEXMATCH(E11960, ""Ben帳戶|Elsa帳戶|Ben代墊|Ariel代墊|中信銀行共用""), REGEXMATCH(F11960, ""Ben帳戶|Elsa帳戶|Ben代墊|Ariel代墊|中信銀行共用"")), ""內部轉帳(忽略)"",
  AND(E11960&lt;&gt;"""", F11960&lt;&gt;"&amp;""""", NOT(REGEXMATCH(C11960, ""薪資""))), ""內部轉帳(忽略)"",
  REGEXMATCH(C11960, ""薪資""), ""薪資變動(不計入)"",
  REGEXMATCH(C11960, ""押金""), ""押金往來"",
  AND(E11960&lt;&gt;"""", F11960=""""), ""真實支出"",
  AND(E11960="""", F11960&lt;&gt;""""), ""真實收入"",
  TRUE, ""其他""
)"),"其他")</f>
        <v>其他</v>
      </c>
      <c r="K11960" s="270" t="str">
        <f t="shared" si="2"/>
        <v/>
      </c>
      <c r="L11960">
        <f t="shared" si="3"/>
        <v>0</v>
      </c>
    </row>
    <row r="11961">
      <c r="A11961" s="107"/>
      <c r="D11961" s="270"/>
      <c r="H11961" s="106" t="str">
        <f t="shared" si="1"/>
        <v/>
      </c>
      <c r="J11961" t="str">
        <f>IFERROR(__xludf.DUMMYFUNCTION("IFS(
  AND(REGEXMATCH(E11961, ""台銀籌備帳戶|玉山帳戶""), REGEXMATCH(C11961, ""薪資"")), ""分潤支出"",
  AND(REGEXMATCH(E11961, ""Ben帳戶|Elsa帳戶|Ben代墊|Ariel代墊|中信銀行共用""), REGEXMATCH(F11961, ""Ben帳戶|Elsa帳戶|Ben代墊|Ariel代墊|中信銀行共用"")), ""內部轉帳(忽略)"",
  AND(E11961&lt;&gt;"""", F11961&lt;&gt;"&amp;""""", NOT(REGEXMATCH(C11961, ""薪資""))), ""內部轉帳(忽略)"",
  REGEXMATCH(C11961, ""薪資""), ""薪資變動(不計入)"",
  REGEXMATCH(C11961, ""押金""), ""押金往來"",
  AND(E11961&lt;&gt;"""", F11961=""""), ""真實支出"",
  AND(E11961="""", F11961&lt;&gt;""""), ""真實收入"",
  TRUE, ""其他""
)"),"其他")</f>
        <v>其他</v>
      </c>
      <c r="K11961" s="270" t="str">
        <f t="shared" si="2"/>
        <v/>
      </c>
      <c r="L11961">
        <f t="shared" si="3"/>
        <v>0</v>
      </c>
    </row>
    <row r="11962">
      <c r="A11962" s="107"/>
      <c r="D11962" s="270"/>
      <c r="H11962" s="106" t="str">
        <f t="shared" si="1"/>
        <v/>
      </c>
      <c r="J11962" t="str">
        <f>IFERROR(__xludf.DUMMYFUNCTION("IFS(
  AND(REGEXMATCH(E11962, ""台銀籌備帳戶|玉山帳戶""), REGEXMATCH(C11962, ""薪資"")), ""分潤支出"",
  AND(REGEXMATCH(E11962, ""Ben帳戶|Elsa帳戶|Ben代墊|Ariel代墊|中信銀行共用""), REGEXMATCH(F11962, ""Ben帳戶|Elsa帳戶|Ben代墊|Ariel代墊|中信銀行共用"")), ""內部轉帳(忽略)"",
  AND(E11962&lt;&gt;"""", F11962&lt;&gt;"&amp;""""", NOT(REGEXMATCH(C11962, ""薪資""))), ""內部轉帳(忽略)"",
  REGEXMATCH(C11962, ""薪資""), ""薪資變動(不計入)"",
  REGEXMATCH(C11962, ""押金""), ""押金往來"",
  AND(E11962&lt;&gt;"""", F11962=""""), ""真實支出"",
  AND(E11962="""", F11962&lt;&gt;""""), ""真實收入"",
  TRUE, ""其他""
)"),"其他")</f>
        <v>其他</v>
      </c>
      <c r="K11962" s="270" t="str">
        <f t="shared" si="2"/>
        <v/>
      </c>
      <c r="L11962">
        <f t="shared" si="3"/>
        <v>0</v>
      </c>
    </row>
    <row r="11963">
      <c r="A11963" s="107"/>
      <c r="D11963" s="270"/>
      <c r="H11963" s="106" t="str">
        <f t="shared" si="1"/>
        <v/>
      </c>
      <c r="J11963" t="str">
        <f>IFERROR(__xludf.DUMMYFUNCTION("IFS(
  AND(REGEXMATCH(E11963, ""台銀籌備帳戶|玉山帳戶""), REGEXMATCH(C11963, ""薪資"")), ""分潤支出"",
  AND(REGEXMATCH(E11963, ""Ben帳戶|Elsa帳戶|Ben代墊|Ariel代墊|中信銀行共用""), REGEXMATCH(F11963, ""Ben帳戶|Elsa帳戶|Ben代墊|Ariel代墊|中信銀行共用"")), ""內部轉帳(忽略)"",
  AND(E11963&lt;&gt;"""", F11963&lt;&gt;"&amp;""""", NOT(REGEXMATCH(C11963, ""薪資""))), ""內部轉帳(忽略)"",
  REGEXMATCH(C11963, ""薪資""), ""薪資變動(不計入)"",
  REGEXMATCH(C11963, ""押金""), ""押金往來"",
  AND(E11963&lt;&gt;"""", F11963=""""), ""真實支出"",
  AND(E11963="""", F11963&lt;&gt;""""), ""真實收入"",
  TRUE, ""其他""
)"),"其他")</f>
        <v>其他</v>
      </c>
      <c r="K11963" s="270" t="str">
        <f t="shared" si="2"/>
        <v/>
      </c>
      <c r="L11963">
        <f t="shared" si="3"/>
        <v>0</v>
      </c>
    </row>
    <row r="11964">
      <c r="A11964" s="107"/>
      <c r="D11964" s="270"/>
      <c r="H11964" s="106" t="str">
        <f t="shared" si="1"/>
        <v/>
      </c>
      <c r="J11964" t="str">
        <f>IFERROR(__xludf.DUMMYFUNCTION("IFS(
  AND(REGEXMATCH(E11964, ""台銀籌備帳戶|玉山帳戶""), REGEXMATCH(C11964, ""薪資"")), ""分潤支出"",
  AND(REGEXMATCH(E11964, ""Ben帳戶|Elsa帳戶|Ben代墊|Ariel代墊|中信銀行共用""), REGEXMATCH(F11964, ""Ben帳戶|Elsa帳戶|Ben代墊|Ariel代墊|中信銀行共用"")), ""內部轉帳(忽略)"",
  AND(E11964&lt;&gt;"""", F11964&lt;&gt;"&amp;""""", NOT(REGEXMATCH(C11964, ""薪資""))), ""內部轉帳(忽略)"",
  REGEXMATCH(C11964, ""薪資""), ""薪資變動(不計入)"",
  REGEXMATCH(C11964, ""押金""), ""押金往來"",
  AND(E11964&lt;&gt;"""", F11964=""""), ""真實支出"",
  AND(E11964="""", F11964&lt;&gt;""""), ""真實收入"",
  TRUE, ""其他""
)"),"其他")</f>
        <v>其他</v>
      </c>
      <c r="K11964" s="270" t="str">
        <f t="shared" si="2"/>
        <v/>
      </c>
      <c r="L11964">
        <f t="shared" si="3"/>
        <v>0</v>
      </c>
    </row>
    <row r="11965">
      <c r="A11965" s="107"/>
      <c r="D11965" s="270"/>
      <c r="H11965" s="106" t="str">
        <f t="shared" si="1"/>
        <v/>
      </c>
      <c r="J11965" t="str">
        <f>IFERROR(__xludf.DUMMYFUNCTION("IFS(
  AND(REGEXMATCH(E11965, ""台銀籌備帳戶|玉山帳戶""), REGEXMATCH(C11965, ""薪資"")), ""分潤支出"",
  AND(REGEXMATCH(E11965, ""Ben帳戶|Elsa帳戶|Ben代墊|Ariel代墊|中信銀行共用""), REGEXMATCH(F11965, ""Ben帳戶|Elsa帳戶|Ben代墊|Ariel代墊|中信銀行共用"")), ""內部轉帳(忽略)"",
  AND(E11965&lt;&gt;"""", F11965&lt;&gt;"&amp;""""", NOT(REGEXMATCH(C11965, ""薪資""))), ""內部轉帳(忽略)"",
  REGEXMATCH(C11965, ""薪資""), ""薪資變動(不計入)"",
  REGEXMATCH(C11965, ""押金""), ""押金往來"",
  AND(E11965&lt;&gt;"""", F11965=""""), ""真實支出"",
  AND(E11965="""", F11965&lt;&gt;""""), ""真實收入"",
  TRUE, ""其他""
)"),"其他")</f>
        <v>其他</v>
      </c>
      <c r="K11965" s="270" t="str">
        <f t="shared" si="2"/>
        <v/>
      </c>
      <c r="L11965">
        <f t="shared" si="3"/>
        <v>0</v>
      </c>
    </row>
    <row r="11966">
      <c r="A11966" s="107"/>
      <c r="D11966" s="270"/>
      <c r="H11966" s="106" t="str">
        <f t="shared" si="1"/>
        <v/>
      </c>
      <c r="J11966" t="str">
        <f>IFERROR(__xludf.DUMMYFUNCTION("IFS(
  AND(REGEXMATCH(E11966, ""台銀籌備帳戶|玉山帳戶""), REGEXMATCH(C11966, ""薪資"")), ""分潤支出"",
  AND(REGEXMATCH(E11966, ""Ben帳戶|Elsa帳戶|Ben代墊|Ariel代墊|中信銀行共用""), REGEXMATCH(F11966, ""Ben帳戶|Elsa帳戶|Ben代墊|Ariel代墊|中信銀行共用"")), ""內部轉帳(忽略)"",
  AND(E11966&lt;&gt;"""", F11966&lt;&gt;"&amp;""""", NOT(REGEXMATCH(C11966, ""薪資""))), ""內部轉帳(忽略)"",
  REGEXMATCH(C11966, ""薪資""), ""薪資變動(不計入)"",
  REGEXMATCH(C11966, ""押金""), ""押金往來"",
  AND(E11966&lt;&gt;"""", F11966=""""), ""真實支出"",
  AND(E11966="""", F11966&lt;&gt;""""), ""真實收入"",
  TRUE, ""其他""
)"),"其他")</f>
        <v>其他</v>
      </c>
      <c r="K11966" s="270" t="str">
        <f t="shared" si="2"/>
        <v/>
      </c>
      <c r="L11966">
        <f t="shared" si="3"/>
        <v>0</v>
      </c>
    </row>
    <row r="11967">
      <c r="A11967" s="107"/>
      <c r="D11967" s="270"/>
      <c r="H11967" s="106" t="str">
        <f t="shared" si="1"/>
        <v/>
      </c>
      <c r="J11967" t="str">
        <f>IFERROR(__xludf.DUMMYFUNCTION("IFS(
  AND(REGEXMATCH(E11967, ""台銀籌備帳戶|玉山帳戶""), REGEXMATCH(C11967, ""薪資"")), ""分潤支出"",
  AND(REGEXMATCH(E11967, ""Ben帳戶|Elsa帳戶|Ben代墊|Ariel代墊|中信銀行共用""), REGEXMATCH(F11967, ""Ben帳戶|Elsa帳戶|Ben代墊|Ariel代墊|中信銀行共用"")), ""內部轉帳(忽略)"",
  AND(E11967&lt;&gt;"""", F11967&lt;&gt;"&amp;""""", NOT(REGEXMATCH(C11967, ""薪資""))), ""內部轉帳(忽略)"",
  REGEXMATCH(C11967, ""薪資""), ""薪資變動(不計入)"",
  REGEXMATCH(C11967, ""押金""), ""押金往來"",
  AND(E11967&lt;&gt;"""", F11967=""""), ""真實支出"",
  AND(E11967="""", F11967&lt;&gt;""""), ""真實收入"",
  TRUE, ""其他""
)"),"其他")</f>
        <v>其他</v>
      </c>
      <c r="K11967" s="270" t="str">
        <f t="shared" si="2"/>
        <v/>
      </c>
      <c r="L11967">
        <f t="shared" si="3"/>
        <v>0</v>
      </c>
    </row>
    <row r="11968">
      <c r="A11968" s="107"/>
      <c r="D11968" s="270"/>
      <c r="H11968" s="106" t="str">
        <f t="shared" si="1"/>
        <v/>
      </c>
      <c r="J11968" t="str">
        <f>IFERROR(__xludf.DUMMYFUNCTION("IFS(
  AND(REGEXMATCH(E11968, ""台銀籌備帳戶|玉山帳戶""), REGEXMATCH(C11968, ""薪資"")), ""分潤支出"",
  AND(REGEXMATCH(E11968, ""Ben帳戶|Elsa帳戶|Ben代墊|Ariel代墊|中信銀行共用""), REGEXMATCH(F11968, ""Ben帳戶|Elsa帳戶|Ben代墊|Ariel代墊|中信銀行共用"")), ""內部轉帳(忽略)"",
  AND(E11968&lt;&gt;"""", F11968&lt;&gt;"&amp;""""", NOT(REGEXMATCH(C11968, ""薪資""))), ""內部轉帳(忽略)"",
  REGEXMATCH(C11968, ""薪資""), ""薪資變動(不計入)"",
  REGEXMATCH(C11968, ""押金""), ""押金往來"",
  AND(E11968&lt;&gt;"""", F11968=""""), ""真實支出"",
  AND(E11968="""", F11968&lt;&gt;""""), ""真實收入"",
  TRUE, ""其他""
)"),"其他")</f>
        <v>其他</v>
      </c>
      <c r="K11968" s="270" t="str">
        <f t="shared" si="2"/>
        <v/>
      </c>
      <c r="L11968">
        <f t="shared" si="3"/>
        <v>0</v>
      </c>
    </row>
    <row r="11969">
      <c r="A11969" s="107"/>
      <c r="D11969" s="270"/>
      <c r="H11969" s="106" t="str">
        <f t="shared" si="1"/>
        <v/>
      </c>
      <c r="J11969" t="str">
        <f>IFERROR(__xludf.DUMMYFUNCTION("IFS(
  AND(REGEXMATCH(E11969, ""台銀籌備帳戶|玉山帳戶""), REGEXMATCH(C11969, ""薪資"")), ""分潤支出"",
  AND(REGEXMATCH(E11969, ""Ben帳戶|Elsa帳戶|Ben代墊|Ariel代墊|中信銀行共用""), REGEXMATCH(F11969, ""Ben帳戶|Elsa帳戶|Ben代墊|Ariel代墊|中信銀行共用"")), ""內部轉帳(忽略)"",
  AND(E11969&lt;&gt;"""", F11969&lt;&gt;"&amp;""""", NOT(REGEXMATCH(C11969, ""薪資""))), ""內部轉帳(忽略)"",
  REGEXMATCH(C11969, ""薪資""), ""薪資變動(不計入)"",
  REGEXMATCH(C11969, ""押金""), ""押金往來"",
  AND(E11969&lt;&gt;"""", F11969=""""), ""真實支出"",
  AND(E11969="""", F11969&lt;&gt;""""), ""真實收入"",
  TRUE, ""其他""
)"),"其他")</f>
        <v>其他</v>
      </c>
      <c r="K11969" s="270" t="str">
        <f t="shared" si="2"/>
        <v/>
      </c>
      <c r="L11969">
        <f t="shared" si="3"/>
        <v>0</v>
      </c>
    </row>
    <row r="11970">
      <c r="A11970" s="107"/>
      <c r="D11970" s="270"/>
      <c r="H11970" s="106" t="str">
        <f t="shared" si="1"/>
        <v/>
      </c>
      <c r="J11970" t="str">
        <f>IFERROR(__xludf.DUMMYFUNCTION("IFS(
  AND(REGEXMATCH(E11970, ""台銀籌備帳戶|玉山帳戶""), REGEXMATCH(C11970, ""薪資"")), ""分潤支出"",
  AND(REGEXMATCH(E11970, ""Ben帳戶|Elsa帳戶|Ben代墊|Ariel代墊|中信銀行共用""), REGEXMATCH(F11970, ""Ben帳戶|Elsa帳戶|Ben代墊|Ariel代墊|中信銀行共用"")), ""內部轉帳(忽略)"",
  AND(E11970&lt;&gt;"""", F11970&lt;&gt;"&amp;""""", NOT(REGEXMATCH(C11970, ""薪資""))), ""內部轉帳(忽略)"",
  REGEXMATCH(C11970, ""薪資""), ""薪資變動(不計入)"",
  REGEXMATCH(C11970, ""押金""), ""押金往來"",
  AND(E11970&lt;&gt;"""", F11970=""""), ""真實支出"",
  AND(E11970="""", F11970&lt;&gt;""""), ""真實收入"",
  TRUE, ""其他""
)"),"其他")</f>
        <v>其他</v>
      </c>
      <c r="K11970" s="270" t="str">
        <f t="shared" si="2"/>
        <v/>
      </c>
      <c r="L11970">
        <f t="shared" si="3"/>
        <v>0</v>
      </c>
    </row>
    <row r="11971">
      <c r="A11971" s="107"/>
      <c r="D11971" s="270"/>
      <c r="H11971" s="106" t="str">
        <f t="shared" si="1"/>
        <v/>
      </c>
      <c r="J11971" t="str">
        <f>IFERROR(__xludf.DUMMYFUNCTION("IFS(
  AND(REGEXMATCH(E11971, ""台銀籌備帳戶|玉山帳戶""), REGEXMATCH(C11971, ""薪資"")), ""分潤支出"",
  AND(REGEXMATCH(E11971, ""Ben帳戶|Elsa帳戶|Ben代墊|Ariel代墊|中信銀行共用""), REGEXMATCH(F11971, ""Ben帳戶|Elsa帳戶|Ben代墊|Ariel代墊|中信銀行共用"")), ""內部轉帳(忽略)"",
  AND(E11971&lt;&gt;"""", F11971&lt;&gt;"&amp;""""", NOT(REGEXMATCH(C11971, ""薪資""))), ""內部轉帳(忽略)"",
  REGEXMATCH(C11971, ""薪資""), ""薪資變動(不計入)"",
  REGEXMATCH(C11971, ""押金""), ""押金往來"",
  AND(E11971&lt;&gt;"""", F11971=""""), ""真實支出"",
  AND(E11971="""", F11971&lt;&gt;""""), ""真實收入"",
  TRUE, ""其他""
)"),"其他")</f>
        <v>其他</v>
      </c>
      <c r="K11971" s="270" t="str">
        <f t="shared" si="2"/>
        <v/>
      </c>
      <c r="L11971">
        <f t="shared" si="3"/>
        <v>0</v>
      </c>
    </row>
    <row r="11972">
      <c r="A11972" s="107"/>
      <c r="D11972" s="270"/>
      <c r="H11972" s="106" t="str">
        <f t="shared" si="1"/>
        <v/>
      </c>
      <c r="J11972" t="str">
        <f>IFERROR(__xludf.DUMMYFUNCTION("IFS(
  AND(REGEXMATCH(E11972, ""台銀籌備帳戶|玉山帳戶""), REGEXMATCH(C11972, ""薪資"")), ""分潤支出"",
  AND(REGEXMATCH(E11972, ""Ben帳戶|Elsa帳戶|Ben代墊|Ariel代墊|中信銀行共用""), REGEXMATCH(F11972, ""Ben帳戶|Elsa帳戶|Ben代墊|Ariel代墊|中信銀行共用"")), ""內部轉帳(忽略)"",
  AND(E11972&lt;&gt;"""", F11972&lt;&gt;"&amp;""""", NOT(REGEXMATCH(C11972, ""薪資""))), ""內部轉帳(忽略)"",
  REGEXMATCH(C11972, ""薪資""), ""薪資變動(不計入)"",
  REGEXMATCH(C11972, ""押金""), ""押金往來"",
  AND(E11972&lt;&gt;"""", F11972=""""), ""真實支出"",
  AND(E11972="""", F11972&lt;&gt;""""), ""真實收入"",
  TRUE, ""其他""
)"),"其他")</f>
        <v>其他</v>
      </c>
      <c r="K11972" s="270" t="str">
        <f t="shared" si="2"/>
        <v/>
      </c>
      <c r="L11972">
        <f t="shared" si="3"/>
        <v>0</v>
      </c>
    </row>
    <row r="11973">
      <c r="A11973" s="107"/>
      <c r="D11973" s="270"/>
      <c r="H11973" s="106" t="str">
        <f t="shared" si="1"/>
        <v/>
      </c>
      <c r="J11973" t="str">
        <f>IFERROR(__xludf.DUMMYFUNCTION("IFS(
  AND(REGEXMATCH(E11973, ""台銀籌備帳戶|玉山帳戶""), REGEXMATCH(C11973, ""薪資"")), ""分潤支出"",
  AND(REGEXMATCH(E11973, ""Ben帳戶|Elsa帳戶|Ben代墊|Ariel代墊|中信銀行共用""), REGEXMATCH(F11973, ""Ben帳戶|Elsa帳戶|Ben代墊|Ariel代墊|中信銀行共用"")), ""內部轉帳(忽略)"",
  AND(E11973&lt;&gt;"""", F11973&lt;&gt;"&amp;""""", NOT(REGEXMATCH(C11973, ""薪資""))), ""內部轉帳(忽略)"",
  REGEXMATCH(C11973, ""薪資""), ""薪資變動(不計入)"",
  REGEXMATCH(C11973, ""押金""), ""押金往來"",
  AND(E11973&lt;&gt;"""", F11973=""""), ""真實支出"",
  AND(E11973="""", F11973&lt;&gt;""""), ""真實收入"",
  TRUE, ""其他""
)"),"其他")</f>
        <v>其他</v>
      </c>
      <c r="K11973" s="270" t="str">
        <f t="shared" si="2"/>
        <v/>
      </c>
      <c r="L11973">
        <f t="shared" si="3"/>
        <v>0</v>
      </c>
    </row>
    <row r="11974">
      <c r="A11974" s="107"/>
      <c r="D11974" s="270"/>
      <c r="H11974" s="106" t="str">
        <f t="shared" si="1"/>
        <v/>
      </c>
      <c r="J11974" t="str">
        <f>IFERROR(__xludf.DUMMYFUNCTION("IFS(
  AND(REGEXMATCH(E11974, ""台銀籌備帳戶|玉山帳戶""), REGEXMATCH(C11974, ""薪資"")), ""分潤支出"",
  AND(REGEXMATCH(E11974, ""Ben帳戶|Elsa帳戶|Ben代墊|Ariel代墊|中信銀行共用""), REGEXMATCH(F11974, ""Ben帳戶|Elsa帳戶|Ben代墊|Ariel代墊|中信銀行共用"")), ""內部轉帳(忽略)"",
  AND(E11974&lt;&gt;"""", F11974&lt;&gt;"&amp;""""", NOT(REGEXMATCH(C11974, ""薪資""))), ""內部轉帳(忽略)"",
  REGEXMATCH(C11974, ""薪資""), ""薪資變動(不計入)"",
  REGEXMATCH(C11974, ""押金""), ""押金往來"",
  AND(E11974&lt;&gt;"""", F11974=""""), ""真實支出"",
  AND(E11974="""", F11974&lt;&gt;""""), ""真實收入"",
  TRUE, ""其他""
)"),"其他")</f>
        <v>其他</v>
      </c>
      <c r="K11974" s="270" t="str">
        <f t="shared" si="2"/>
        <v/>
      </c>
      <c r="L11974">
        <f t="shared" si="3"/>
        <v>0</v>
      </c>
    </row>
    <row r="11975">
      <c r="A11975" s="107"/>
      <c r="D11975" s="270"/>
      <c r="H11975" s="106" t="str">
        <f t="shared" si="1"/>
        <v/>
      </c>
      <c r="J11975" t="str">
        <f>IFERROR(__xludf.DUMMYFUNCTION("IFS(
  AND(REGEXMATCH(E11975, ""台銀籌備帳戶|玉山帳戶""), REGEXMATCH(C11975, ""薪資"")), ""分潤支出"",
  AND(REGEXMATCH(E11975, ""Ben帳戶|Elsa帳戶|Ben代墊|Ariel代墊|中信銀行共用""), REGEXMATCH(F11975, ""Ben帳戶|Elsa帳戶|Ben代墊|Ariel代墊|中信銀行共用"")), ""內部轉帳(忽略)"",
  AND(E11975&lt;&gt;"""", F11975&lt;&gt;"&amp;""""", NOT(REGEXMATCH(C11975, ""薪資""))), ""內部轉帳(忽略)"",
  REGEXMATCH(C11975, ""薪資""), ""薪資變動(不計入)"",
  REGEXMATCH(C11975, ""押金""), ""押金往來"",
  AND(E11975&lt;&gt;"""", F11975=""""), ""真實支出"",
  AND(E11975="""", F11975&lt;&gt;""""), ""真實收入"",
  TRUE, ""其他""
)"),"其他")</f>
        <v>其他</v>
      </c>
      <c r="K11975" s="270" t="str">
        <f t="shared" si="2"/>
        <v/>
      </c>
      <c r="L11975">
        <f t="shared" si="3"/>
        <v>0</v>
      </c>
    </row>
    <row r="11976">
      <c r="A11976" s="107"/>
      <c r="D11976" s="270"/>
      <c r="H11976" s="106" t="str">
        <f t="shared" si="1"/>
        <v/>
      </c>
      <c r="J11976" t="str">
        <f>IFERROR(__xludf.DUMMYFUNCTION("IFS(
  AND(REGEXMATCH(E11976, ""台銀籌備帳戶|玉山帳戶""), REGEXMATCH(C11976, ""薪資"")), ""分潤支出"",
  AND(REGEXMATCH(E11976, ""Ben帳戶|Elsa帳戶|Ben代墊|Ariel代墊|中信銀行共用""), REGEXMATCH(F11976, ""Ben帳戶|Elsa帳戶|Ben代墊|Ariel代墊|中信銀行共用"")), ""內部轉帳(忽略)"",
  AND(E11976&lt;&gt;"""", F11976&lt;&gt;"&amp;""""", NOT(REGEXMATCH(C11976, ""薪資""))), ""內部轉帳(忽略)"",
  REGEXMATCH(C11976, ""薪資""), ""薪資變動(不計入)"",
  REGEXMATCH(C11976, ""押金""), ""押金往來"",
  AND(E11976&lt;&gt;"""", F11976=""""), ""真實支出"",
  AND(E11976="""", F11976&lt;&gt;""""), ""真實收入"",
  TRUE, ""其他""
)"),"其他")</f>
        <v>其他</v>
      </c>
      <c r="K11976" s="270" t="str">
        <f t="shared" si="2"/>
        <v/>
      </c>
      <c r="L11976">
        <f t="shared" si="3"/>
        <v>0</v>
      </c>
    </row>
    <row r="11977">
      <c r="A11977" s="107"/>
      <c r="D11977" s="270"/>
      <c r="H11977" s="106" t="str">
        <f t="shared" si="1"/>
        <v/>
      </c>
      <c r="J11977" t="str">
        <f>IFERROR(__xludf.DUMMYFUNCTION("IFS(
  AND(REGEXMATCH(E11977, ""台銀籌備帳戶|玉山帳戶""), REGEXMATCH(C11977, ""薪資"")), ""分潤支出"",
  AND(REGEXMATCH(E11977, ""Ben帳戶|Elsa帳戶|Ben代墊|Ariel代墊|中信銀行共用""), REGEXMATCH(F11977, ""Ben帳戶|Elsa帳戶|Ben代墊|Ariel代墊|中信銀行共用"")), ""內部轉帳(忽略)"",
  AND(E11977&lt;&gt;"""", F11977&lt;&gt;"&amp;""""", NOT(REGEXMATCH(C11977, ""薪資""))), ""內部轉帳(忽略)"",
  REGEXMATCH(C11977, ""薪資""), ""薪資變動(不計入)"",
  REGEXMATCH(C11977, ""押金""), ""押金往來"",
  AND(E11977&lt;&gt;"""", F11977=""""), ""真實支出"",
  AND(E11977="""", F11977&lt;&gt;""""), ""真實收入"",
  TRUE, ""其他""
)"),"其他")</f>
        <v>其他</v>
      </c>
      <c r="K11977" s="270" t="str">
        <f t="shared" si="2"/>
        <v/>
      </c>
      <c r="L11977">
        <f t="shared" si="3"/>
        <v>0</v>
      </c>
    </row>
    <row r="11978">
      <c r="A11978" s="107"/>
      <c r="D11978" s="270"/>
      <c r="H11978" s="106" t="str">
        <f t="shared" si="1"/>
        <v/>
      </c>
      <c r="J11978" t="str">
        <f>IFERROR(__xludf.DUMMYFUNCTION("IFS(
  AND(REGEXMATCH(E11978, ""台銀籌備帳戶|玉山帳戶""), REGEXMATCH(C11978, ""薪資"")), ""分潤支出"",
  AND(REGEXMATCH(E11978, ""Ben帳戶|Elsa帳戶|Ben代墊|Ariel代墊|中信銀行共用""), REGEXMATCH(F11978, ""Ben帳戶|Elsa帳戶|Ben代墊|Ariel代墊|中信銀行共用"")), ""內部轉帳(忽略)"",
  AND(E11978&lt;&gt;"""", F11978&lt;&gt;"&amp;""""", NOT(REGEXMATCH(C11978, ""薪資""))), ""內部轉帳(忽略)"",
  REGEXMATCH(C11978, ""薪資""), ""薪資變動(不計入)"",
  REGEXMATCH(C11978, ""押金""), ""押金往來"",
  AND(E11978&lt;&gt;"""", F11978=""""), ""真實支出"",
  AND(E11978="""", F11978&lt;&gt;""""), ""真實收入"",
  TRUE, ""其他""
)"),"其他")</f>
        <v>其他</v>
      </c>
      <c r="K11978" s="270" t="str">
        <f t="shared" si="2"/>
        <v/>
      </c>
      <c r="L11978">
        <f t="shared" si="3"/>
        <v>0</v>
      </c>
    </row>
    <row r="11979">
      <c r="A11979" s="107"/>
      <c r="D11979" s="270"/>
      <c r="H11979" s="106" t="str">
        <f t="shared" si="1"/>
        <v/>
      </c>
      <c r="J11979" t="str">
        <f>IFERROR(__xludf.DUMMYFUNCTION("IFS(
  AND(REGEXMATCH(E11979, ""台銀籌備帳戶|玉山帳戶""), REGEXMATCH(C11979, ""薪資"")), ""分潤支出"",
  AND(REGEXMATCH(E11979, ""Ben帳戶|Elsa帳戶|Ben代墊|Ariel代墊|中信銀行共用""), REGEXMATCH(F11979, ""Ben帳戶|Elsa帳戶|Ben代墊|Ariel代墊|中信銀行共用"")), ""內部轉帳(忽略)"",
  AND(E11979&lt;&gt;"""", F11979&lt;&gt;"&amp;""""", NOT(REGEXMATCH(C11979, ""薪資""))), ""內部轉帳(忽略)"",
  REGEXMATCH(C11979, ""薪資""), ""薪資變動(不計入)"",
  REGEXMATCH(C11979, ""押金""), ""押金往來"",
  AND(E11979&lt;&gt;"""", F11979=""""), ""真實支出"",
  AND(E11979="""", F11979&lt;&gt;""""), ""真實收入"",
  TRUE, ""其他""
)"),"其他")</f>
        <v>其他</v>
      </c>
      <c r="K11979" s="270" t="str">
        <f t="shared" si="2"/>
        <v/>
      </c>
      <c r="L11979">
        <f t="shared" si="3"/>
        <v>0</v>
      </c>
    </row>
    <row r="11980">
      <c r="A11980" s="107"/>
      <c r="D11980" s="270"/>
      <c r="H11980" s="106" t="str">
        <f t="shared" si="1"/>
        <v/>
      </c>
      <c r="J11980" t="str">
        <f>IFERROR(__xludf.DUMMYFUNCTION("IFS(
  AND(REGEXMATCH(E11980, ""台銀籌備帳戶|玉山帳戶""), REGEXMATCH(C11980, ""薪資"")), ""分潤支出"",
  AND(REGEXMATCH(E11980, ""Ben帳戶|Elsa帳戶|Ben代墊|Ariel代墊|中信銀行共用""), REGEXMATCH(F11980, ""Ben帳戶|Elsa帳戶|Ben代墊|Ariel代墊|中信銀行共用"")), ""內部轉帳(忽略)"",
  AND(E11980&lt;&gt;"""", F11980&lt;&gt;"&amp;""""", NOT(REGEXMATCH(C11980, ""薪資""))), ""內部轉帳(忽略)"",
  REGEXMATCH(C11980, ""薪資""), ""薪資變動(不計入)"",
  REGEXMATCH(C11980, ""押金""), ""押金往來"",
  AND(E11980&lt;&gt;"""", F11980=""""), ""真實支出"",
  AND(E11980="""", F11980&lt;&gt;""""), ""真實收入"",
  TRUE, ""其他""
)"),"其他")</f>
        <v>其他</v>
      </c>
      <c r="K11980" s="270" t="str">
        <f t="shared" si="2"/>
        <v/>
      </c>
      <c r="L11980">
        <f t="shared" si="3"/>
        <v>0</v>
      </c>
    </row>
    <row r="11981">
      <c r="A11981" s="107"/>
      <c r="D11981" s="270"/>
      <c r="H11981" s="106" t="str">
        <f t="shared" si="1"/>
        <v/>
      </c>
      <c r="J11981" t="str">
        <f>IFERROR(__xludf.DUMMYFUNCTION("IFS(
  AND(REGEXMATCH(E11981, ""台銀籌備帳戶|玉山帳戶""), REGEXMATCH(C11981, ""薪資"")), ""分潤支出"",
  AND(REGEXMATCH(E11981, ""Ben帳戶|Elsa帳戶|Ben代墊|Ariel代墊|中信銀行共用""), REGEXMATCH(F11981, ""Ben帳戶|Elsa帳戶|Ben代墊|Ariel代墊|中信銀行共用"")), ""內部轉帳(忽略)"",
  AND(E11981&lt;&gt;"""", F11981&lt;&gt;"&amp;""""", NOT(REGEXMATCH(C11981, ""薪資""))), ""內部轉帳(忽略)"",
  REGEXMATCH(C11981, ""薪資""), ""薪資變動(不計入)"",
  REGEXMATCH(C11981, ""押金""), ""押金往來"",
  AND(E11981&lt;&gt;"""", F11981=""""), ""真實支出"",
  AND(E11981="""", F11981&lt;&gt;""""), ""真實收入"",
  TRUE, ""其他""
)"),"其他")</f>
        <v>其他</v>
      </c>
      <c r="K11981" s="270" t="str">
        <f t="shared" si="2"/>
        <v/>
      </c>
      <c r="L11981">
        <f t="shared" si="3"/>
        <v>0</v>
      </c>
    </row>
    <row r="11982">
      <c r="A11982" s="107"/>
      <c r="D11982" s="270"/>
      <c r="H11982" s="106" t="str">
        <f t="shared" si="1"/>
        <v/>
      </c>
      <c r="J11982" t="str">
        <f>IFERROR(__xludf.DUMMYFUNCTION("IFS(
  AND(REGEXMATCH(E11982, ""台銀籌備帳戶|玉山帳戶""), REGEXMATCH(C11982, ""薪資"")), ""分潤支出"",
  AND(REGEXMATCH(E11982, ""Ben帳戶|Elsa帳戶|Ben代墊|Ariel代墊|中信銀行共用""), REGEXMATCH(F11982, ""Ben帳戶|Elsa帳戶|Ben代墊|Ariel代墊|中信銀行共用"")), ""內部轉帳(忽略)"",
  AND(E11982&lt;&gt;"""", F11982&lt;&gt;"&amp;""""", NOT(REGEXMATCH(C11982, ""薪資""))), ""內部轉帳(忽略)"",
  REGEXMATCH(C11982, ""薪資""), ""薪資變動(不計入)"",
  REGEXMATCH(C11982, ""押金""), ""押金往來"",
  AND(E11982&lt;&gt;"""", F11982=""""), ""真實支出"",
  AND(E11982="""", F11982&lt;&gt;""""), ""真實收入"",
  TRUE, ""其他""
)"),"其他")</f>
        <v>其他</v>
      </c>
      <c r="K11982" s="270" t="str">
        <f t="shared" si="2"/>
        <v/>
      </c>
      <c r="L11982">
        <f t="shared" si="3"/>
        <v>0</v>
      </c>
    </row>
    <row r="11983">
      <c r="A11983" s="107"/>
      <c r="D11983" s="270"/>
      <c r="H11983" s="106" t="str">
        <f t="shared" si="1"/>
        <v/>
      </c>
      <c r="J11983" t="str">
        <f>IFERROR(__xludf.DUMMYFUNCTION("IFS(
  AND(REGEXMATCH(E11983, ""台銀籌備帳戶|玉山帳戶""), REGEXMATCH(C11983, ""薪資"")), ""分潤支出"",
  AND(REGEXMATCH(E11983, ""Ben帳戶|Elsa帳戶|Ben代墊|Ariel代墊|中信銀行共用""), REGEXMATCH(F11983, ""Ben帳戶|Elsa帳戶|Ben代墊|Ariel代墊|中信銀行共用"")), ""內部轉帳(忽略)"",
  AND(E11983&lt;&gt;"""", F11983&lt;&gt;"&amp;""""", NOT(REGEXMATCH(C11983, ""薪資""))), ""內部轉帳(忽略)"",
  REGEXMATCH(C11983, ""薪資""), ""薪資變動(不計入)"",
  REGEXMATCH(C11983, ""押金""), ""押金往來"",
  AND(E11983&lt;&gt;"""", F11983=""""), ""真實支出"",
  AND(E11983="""", F11983&lt;&gt;""""), ""真實收入"",
  TRUE, ""其他""
)"),"其他")</f>
        <v>其他</v>
      </c>
      <c r="K11983" s="270" t="str">
        <f t="shared" si="2"/>
        <v/>
      </c>
      <c r="L11983">
        <f t="shared" si="3"/>
        <v>0</v>
      </c>
    </row>
    <row r="11984">
      <c r="A11984" s="107"/>
      <c r="D11984" s="270"/>
      <c r="H11984" s="106" t="str">
        <f t="shared" si="1"/>
        <v/>
      </c>
      <c r="J11984" t="str">
        <f>IFERROR(__xludf.DUMMYFUNCTION("IFS(
  AND(REGEXMATCH(E11984, ""台銀籌備帳戶|玉山帳戶""), REGEXMATCH(C11984, ""薪資"")), ""分潤支出"",
  AND(REGEXMATCH(E11984, ""Ben帳戶|Elsa帳戶|Ben代墊|Ariel代墊|中信銀行共用""), REGEXMATCH(F11984, ""Ben帳戶|Elsa帳戶|Ben代墊|Ariel代墊|中信銀行共用"")), ""內部轉帳(忽略)"",
  AND(E11984&lt;&gt;"""", F11984&lt;&gt;"&amp;""""", NOT(REGEXMATCH(C11984, ""薪資""))), ""內部轉帳(忽略)"",
  REGEXMATCH(C11984, ""薪資""), ""薪資變動(不計入)"",
  REGEXMATCH(C11984, ""押金""), ""押金往來"",
  AND(E11984&lt;&gt;"""", F11984=""""), ""真實支出"",
  AND(E11984="""", F11984&lt;&gt;""""), ""真實收入"",
  TRUE, ""其他""
)"),"其他")</f>
        <v>其他</v>
      </c>
      <c r="K11984" s="270" t="str">
        <f t="shared" si="2"/>
        <v/>
      </c>
      <c r="L11984">
        <f t="shared" si="3"/>
        <v>0</v>
      </c>
    </row>
    <row r="11985">
      <c r="A11985" s="107"/>
      <c r="D11985" s="270"/>
      <c r="H11985" s="106" t="str">
        <f t="shared" si="1"/>
        <v/>
      </c>
      <c r="J11985" t="str">
        <f>IFERROR(__xludf.DUMMYFUNCTION("IFS(
  AND(REGEXMATCH(E11985, ""台銀籌備帳戶|玉山帳戶""), REGEXMATCH(C11985, ""薪資"")), ""分潤支出"",
  AND(REGEXMATCH(E11985, ""Ben帳戶|Elsa帳戶|Ben代墊|Ariel代墊|中信銀行共用""), REGEXMATCH(F11985, ""Ben帳戶|Elsa帳戶|Ben代墊|Ariel代墊|中信銀行共用"")), ""內部轉帳(忽略)"",
  AND(E11985&lt;&gt;"""", F11985&lt;&gt;"&amp;""""", NOT(REGEXMATCH(C11985, ""薪資""))), ""內部轉帳(忽略)"",
  REGEXMATCH(C11985, ""薪資""), ""薪資變動(不計入)"",
  REGEXMATCH(C11985, ""押金""), ""押金往來"",
  AND(E11985&lt;&gt;"""", F11985=""""), ""真實支出"",
  AND(E11985="""", F11985&lt;&gt;""""), ""真實收入"",
  TRUE, ""其他""
)"),"其他")</f>
        <v>其他</v>
      </c>
      <c r="K11985" s="270" t="str">
        <f t="shared" si="2"/>
        <v/>
      </c>
      <c r="L11985">
        <f t="shared" si="3"/>
        <v>0</v>
      </c>
    </row>
    <row r="11986">
      <c r="A11986" s="107"/>
      <c r="D11986" s="270"/>
      <c r="H11986" s="106" t="str">
        <f t="shared" si="1"/>
        <v/>
      </c>
      <c r="J11986" t="str">
        <f>IFERROR(__xludf.DUMMYFUNCTION("IFS(
  AND(REGEXMATCH(E11986, ""台銀籌備帳戶|玉山帳戶""), REGEXMATCH(C11986, ""薪資"")), ""分潤支出"",
  AND(REGEXMATCH(E11986, ""Ben帳戶|Elsa帳戶|Ben代墊|Ariel代墊|中信銀行共用""), REGEXMATCH(F11986, ""Ben帳戶|Elsa帳戶|Ben代墊|Ariel代墊|中信銀行共用"")), ""內部轉帳(忽略)"",
  AND(E11986&lt;&gt;"""", F11986&lt;&gt;"&amp;""""", NOT(REGEXMATCH(C11986, ""薪資""))), ""內部轉帳(忽略)"",
  REGEXMATCH(C11986, ""薪資""), ""薪資變動(不計入)"",
  REGEXMATCH(C11986, ""押金""), ""押金往來"",
  AND(E11986&lt;&gt;"""", F11986=""""), ""真實支出"",
  AND(E11986="""", F11986&lt;&gt;""""), ""真實收入"",
  TRUE, ""其他""
)"),"其他")</f>
        <v>其他</v>
      </c>
      <c r="K11986" s="270" t="str">
        <f t="shared" si="2"/>
        <v/>
      </c>
      <c r="L11986">
        <f t="shared" si="3"/>
        <v>0</v>
      </c>
    </row>
    <row r="11987">
      <c r="A11987" s="107"/>
      <c r="D11987" s="270"/>
      <c r="H11987" s="106" t="str">
        <f t="shared" si="1"/>
        <v/>
      </c>
      <c r="J11987" t="str">
        <f>IFERROR(__xludf.DUMMYFUNCTION("IFS(
  AND(REGEXMATCH(E11987, ""台銀籌備帳戶|玉山帳戶""), REGEXMATCH(C11987, ""薪資"")), ""分潤支出"",
  AND(REGEXMATCH(E11987, ""Ben帳戶|Elsa帳戶|Ben代墊|Ariel代墊|中信銀行共用""), REGEXMATCH(F11987, ""Ben帳戶|Elsa帳戶|Ben代墊|Ariel代墊|中信銀行共用"")), ""內部轉帳(忽略)"",
  AND(E11987&lt;&gt;"""", F11987&lt;&gt;"&amp;""""", NOT(REGEXMATCH(C11987, ""薪資""))), ""內部轉帳(忽略)"",
  REGEXMATCH(C11987, ""薪資""), ""薪資變動(不計入)"",
  REGEXMATCH(C11987, ""押金""), ""押金往來"",
  AND(E11987&lt;&gt;"""", F11987=""""), ""真實支出"",
  AND(E11987="""", F11987&lt;&gt;""""), ""真實收入"",
  TRUE, ""其他""
)"),"其他")</f>
        <v>其他</v>
      </c>
      <c r="K11987" s="270" t="str">
        <f t="shared" si="2"/>
        <v/>
      </c>
      <c r="L11987">
        <f t="shared" si="3"/>
        <v>0</v>
      </c>
    </row>
    <row r="11988">
      <c r="A11988" s="107"/>
      <c r="D11988" s="270"/>
      <c r="H11988" s="106" t="str">
        <f t="shared" si="1"/>
        <v/>
      </c>
      <c r="J11988" t="str">
        <f>IFERROR(__xludf.DUMMYFUNCTION("IFS(
  AND(REGEXMATCH(E11988, ""台銀籌備帳戶|玉山帳戶""), REGEXMATCH(C11988, ""薪資"")), ""分潤支出"",
  AND(REGEXMATCH(E11988, ""Ben帳戶|Elsa帳戶|Ben代墊|Ariel代墊|中信銀行共用""), REGEXMATCH(F11988, ""Ben帳戶|Elsa帳戶|Ben代墊|Ariel代墊|中信銀行共用"")), ""內部轉帳(忽略)"",
  AND(E11988&lt;&gt;"""", F11988&lt;&gt;"&amp;""""", NOT(REGEXMATCH(C11988, ""薪資""))), ""內部轉帳(忽略)"",
  REGEXMATCH(C11988, ""薪資""), ""薪資變動(不計入)"",
  REGEXMATCH(C11988, ""押金""), ""押金往來"",
  AND(E11988&lt;&gt;"""", F11988=""""), ""真實支出"",
  AND(E11988="""", F11988&lt;&gt;""""), ""真實收入"",
  TRUE, ""其他""
)"),"其他")</f>
        <v>其他</v>
      </c>
      <c r="K11988" s="270" t="str">
        <f t="shared" si="2"/>
        <v/>
      </c>
      <c r="L11988">
        <f t="shared" si="3"/>
        <v>0</v>
      </c>
    </row>
    <row r="11989">
      <c r="A11989" s="107"/>
      <c r="D11989" s="270"/>
      <c r="H11989" s="106" t="str">
        <f t="shared" si="1"/>
        <v/>
      </c>
      <c r="J11989" t="str">
        <f>IFERROR(__xludf.DUMMYFUNCTION("IFS(
  AND(REGEXMATCH(E11989, ""台銀籌備帳戶|玉山帳戶""), REGEXMATCH(C11989, ""薪資"")), ""分潤支出"",
  AND(REGEXMATCH(E11989, ""Ben帳戶|Elsa帳戶|Ben代墊|Ariel代墊|中信銀行共用""), REGEXMATCH(F11989, ""Ben帳戶|Elsa帳戶|Ben代墊|Ariel代墊|中信銀行共用"")), ""內部轉帳(忽略)"",
  AND(E11989&lt;&gt;"""", F11989&lt;&gt;"&amp;""""", NOT(REGEXMATCH(C11989, ""薪資""))), ""內部轉帳(忽略)"",
  REGEXMATCH(C11989, ""薪資""), ""薪資變動(不計入)"",
  REGEXMATCH(C11989, ""押金""), ""押金往來"",
  AND(E11989&lt;&gt;"""", F11989=""""), ""真實支出"",
  AND(E11989="""", F11989&lt;&gt;""""), ""真實收入"",
  TRUE, ""其他""
)"),"其他")</f>
        <v>其他</v>
      </c>
      <c r="K11989" s="270" t="str">
        <f t="shared" si="2"/>
        <v/>
      </c>
      <c r="L11989">
        <f t="shared" si="3"/>
        <v>0</v>
      </c>
    </row>
    <row r="11990">
      <c r="A11990" s="107"/>
      <c r="D11990" s="270"/>
      <c r="H11990" s="106" t="str">
        <f t="shared" si="1"/>
        <v/>
      </c>
      <c r="J11990" t="str">
        <f>IFERROR(__xludf.DUMMYFUNCTION("IFS(
  AND(REGEXMATCH(E11990, ""台銀籌備帳戶|玉山帳戶""), REGEXMATCH(C11990, ""薪資"")), ""分潤支出"",
  AND(REGEXMATCH(E11990, ""Ben帳戶|Elsa帳戶|Ben代墊|Ariel代墊|中信銀行共用""), REGEXMATCH(F11990, ""Ben帳戶|Elsa帳戶|Ben代墊|Ariel代墊|中信銀行共用"")), ""內部轉帳(忽略)"",
  AND(E11990&lt;&gt;"""", F11990&lt;&gt;"&amp;""""", NOT(REGEXMATCH(C11990, ""薪資""))), ""內部轉帳(忽略)"",
  REGEXMATCH(C11990, ""薪資""), ""薪資變動(不計入)"",
  REGEXMATCH(C11990, ""押金""), ""押金往來"",
  AND(E11990&lt;&gt;"""", F11990=""""), ""真實支出"",
  AND(E11990="""", F11990&lt;&gt;""""), ""真實收入"",
  TRUE, ""其他""
)"),"其他")</f>
        <v>其他</v>
      </c>
      <c r="K11990" s="270" t="str">
        <f t="shared" si="2"/>
        <v/>
      </c>
      <c r="L11990">
        <f t="shared" si="3"/>
        <v>0</v>
      </c>
    </row>
    <row r="11991">
      <c r="A11991" s="107"/>
      <c r="D11991" s="270"/>
      <c r="H11991" s="106" t="str">
        <f t="shared" si="1"/>
        <v/>
      </c>
      <c r="J11991" t="str">
        <f>IFERROR(__xludf.DUMMYFUNCTION("IFS(
  AND(REGEXMATCH(E11991, ""台銀籌備帳戶|玉山帳戶""), REGEXMATCH(C11991, ""薪資"")), ""分潤支出"",
  AND(REGEXMATCH(E11991, ""Ben帳戶|Elsa帳戶|Ben代墊|Ariel代墊|中信銀行共用""), REGEXMATCH(F11991, ""Ben帳戶|Elsa帳戶|Ben代墊|Ariel代墊|中信銀行共用"")), ""內部轉帳(忽略)"",
  AND(E11991&lt;&gt;"""", F11991&lt;&gt;"&amp;""""", NOT(REGEXMATCH(C11991, ""薪資""))), ""內部轉帳(忽略)"",
  REGEXMATCH(C11991, ""薪資""), ""薪資變動(不計入)"",
  REGEXMATCH(C11991, ""押金""), ""押金往來"",
  AND(E11991&lt;&gt;"""", F11991=""""), ""真實支出"",
  AND(E11991="""", F11991&lt;&gt;""""), ""真實收入"",
  TRUE, ""其他""
)"),"其他")</f>
        <v>其他</v>
      </c>
      <c r="K11991" s="270" t="str">
        <f t="shared" si="2"/>
        <v/>
      </c>
      <c r="L11991">
        <f t="shared" si="3"/>
        <v>0</v>
      </c>
    </row>
    <row r="11992">
      <c r="A11992" s="107"/>
      <c r="D11992" s="270"/>
      <c r="H11992" s="106" t="str">
        <f t="shared" si="1"/>
        <v/>
      </c>
      <c r="J11992" t="str">
        <f>IFERROR(__xludf.DUMMYFUNCTION("IFS(
  AND(REGEXMATCH(E11992, ""台銀籌備帳戶|玉山帳戶""), REGEXMATCH(C11992, ""薪資"")), ""分潤支出"",
  AND(REGEXMATCH(E11992, ""Ben帳戶|Elsa帳戶|Ben代墊|Ariel代墊|中信銀行共用""), REGEXMATCH(F11992, ""Ben帳戶|Elsa帳戶|Ben代墊|Ariel代墊|中信銀行共用"")), ""內部轉帳(忽略)"",
  AND(E11992&lt;&gt;"""", F11992&lt;&gt;"&amp;""""", NOT(REGEXMATCH(C11992, ""薪資""))), ""內部轉帳(忽略)"",
  REGEXMATCH(C11992, ""薪資""), ""薪資變動(不計入)"",
  REGEXMATCH(C11992, ""押金""), ""押金往來"",
  AND(E11992&lt;&gt;"""", F11992=""""), ""真實支出"",
  AND(E11992="""", F11992&lt;&gt;""""), ""真實收入"",
  TRUE, ""其他""
)"),"其他")</f>
        <v>其他</v>
      </c>
      <c r="K11992" s="270" t="str">
        <f t="shared" si="2"/>
        <v/>
      </c>
      <c r="L11992">
        <f t="shared" si="3"/>
        <v>0</v>
      </c>
    </row>
    <row r="11993">
      <c r="A11993" s="107"/>
      <c r="D11993" s="270"/>
      <c r="H11993" s="106" t="str">
        <f t="shared" si="1"/>
        <v/>
      </c>
      <c r="J11993" t="str">
        <f>IFERROR(__xludf.DUMMYFUNCTION("IFS(
  AND(REGEXMATCH(E11993, ""台銀籌備帳戶|玉山帳戶""), REGEXMATCH(C11993, ""薪資"")), ""分潤支出"",
  AND(REGEXMATCH(E11993, ""Ben帳戶|Elsa帳戶|Ben代墊|Ariel代墊|中信銀行共用""), REGEXMATCH(F11993, ""Ben帳戶|Elsa帳戶|Ben代墊|Ariel代墊|中信銀行共用"")), ""內部轉帳(忽略)"",
  AND(E11993&lt;&gt;"""", F11993&lt;&gt;"&amp;""""", NOT(REGEXMATCH(C11993, ""薪資""))), ""內部轉帳(忽略)"",
  REGEXMATCH(C11993, ""薪資""), ""薪資變動(不計入)"",
  REGEXMATCH(C11993, ""押金""), ""押金往來"",
  AND(E11993&lt;&gt;"""", F11993=""""), ""真實支出"",
  AND(E11993="""", F11993&lt;&gt;""""), ""真實收入"",
  TRUE, ""其他""
)"),"其他")</f>
        <v>其他</v>
      </c>
      <c r="K11993" s="270" t="str">
        <f t="shared" si="2"/>
        <v/>
      </c>
      <c r="L11993">
        <f t="shared" si="3"/>
        <v>0</v>
      </c>
    </row>
    <row r="11994">
      <c r="A11994" s="107"/>
      <c r="D11994" s="270"/>
      <c r="H11994" s="106" t="str">
        <f t="shared" si="1"/>
        <v/>
      </c>
      <c r="J11994" t="str">
        <f>IFERROR(__xludf.DUMMYFUNCTION("IFS(
  AND(REGEXMATCH(E11994, ""台銀籌備帳戶|玉山帳戶""), REGEXMATCH(C11994, ""薪資"")), ""分潤支出"",
  AND(REGEXMATCH(E11994, ""Ben帳戶|Elsa帳戶|Ben代墊|Ariel代墊|中信銀行共用""), REGEXMATCH(F11994, ""Ben帳戶|Elsa帳戶|Ben代墊|Ariel代墊|中信銀行共用"")), ""內部轉帳(忽略)"",
  AND(E11994&lt;&gt;"""", F11994&lt;&gt;"&amp;""""", NOT(REGEXMATCH(C11994, ""薪資""))), ""內部轉帳(忽略)"",
  REGEXMATCH(C11994, ""薪資""), ""薪資變動(不計入)"",
  REGEXMATCH(C11994, ""押金""), ""押金往來"",
  AND(E11994&lt;&gt;"""", F11994=""""), ""真實支出"",
  AND(E11994="""", F11994&lt;&gt;""""), ""真實收入"",
  TRUE, ""其他""
)"),"其他")</f>
        <v>其他</v>
      </c>
      <c r="K11994" s="270" t="str">
        <f t="shared" si="2"/>
        <v/>
      </c>
      <c r="L11994">
        <f t="shared" si="3"/>
        <v>0</v>
      </c>
    </row>
    <row r="11995">
      <c r="A11995" s="107"/>
      <c r="D11995" s="270"/>
      <c r="H11995" s="106" t="str">
        <f t="shared" si="1"/>
        <v/>
      </c>
      <c r="J11995" t="str">
        <f>IFERROR(__xludf.DUMMYFUNCTION("IFS(
  AND(REGEXMATCH(E11995, ""台銀籌備帳戶|玉山帳戶""), REGEXMATCH(C11995, ""薪資"")), ""分潤支出"",
  AND(REGEXMATCH(E11995, ""Ben帳戶|Elsa帳戶|Ben代墊|Ariel代墊|中信銀行共用""), REGEXMATCH(F11995, ""Ben帳戶|Elsa帳戶|Ben代墊|Ariel代墊|中信銀行共用"")), ""內部轉帳(忽略)"",
  AND(E11995&lt;&gt;"""", F11995&lt;&gt;"&amp;""""", NOT(REGEXMATCH(C11995, ""薪資""))), ""內部轉帳(忽略)"",
  REGEXMATCH(C11995, ""薪資""), ""薪資變動(不計入)"",
  REGEXMATCH(C11995, ""押金""), ""押金往來"",
  AND(E11995&lt;&gt;"""", F11995=""""), ""真實支出"",
  AND(E11995="""", F11995&lt;&gt;""""), ""真實收入"",
  TRUE, ""其他""
)"),"其他")</f>
        <v>其他</v>
      </c>
      <c r="K11995" s="270" t="str">
        <f t="shared" si="2"/>
        <v/>
      </c>
      <c r="L11995">
        <f t="shared" si="3"/>
        <v>0</v>
      </c>
    </row>
    <row r="11996">
      <c r="A11996" s="107"/>
      <c r="D11996" s="270"/>
      <c r="H11996" s="106" t="str">
        <f t="shared" si="1"/>
        <v/>
      </c>
      <c r="J11996" t="str">
        <f>IFERROR(__xludf.DUMMYFUNCTION("IFS(
  AND(REGEXMATCH(E11996, ""台銀籌備帳戶|玉山帳戶""), REGEXMATCH(C11996, ""薪資"")), ""分潤支出"",
  AND(REGEXMATCH(E11996, ""Ben帳戶|Elsa帳戶|Ben代墊|Ariel代墊|中信銀行共用""), REGEXMATCH(F11996, ""Ben帳戶|Elsa帳戶|Ben代墊|Ariel代墊|中信銀行共用"")), ""內部轉帳(忽略)"",
  AND(E11996&lt;&gt;"""", F11996&lt;&gt;"&amp;""""", NOT(REGEXMATCH(C11996, ""薪資""))), ""內部轉帳(忽略)"",
  REGEXMATCH(C11996, ""薪資""), ""薪資變動(不計入)"",
  REGEXMATCH(C11996, ""押金""), ""押金往來"",
  AND(E11996&lt;&gt;"""", F11996=""""), ""真實支出"",
  AND(E11996="""", F11996&lt;&gt;""""), ""真實收入"",
  TRUE, ""其他""
)"),"其他")</f>
        <v>其他</v>
      </c>
      <c r="K11996" s="270" t="str">
        <f t="shared" si="2"/>
        <v/>
      </c>
      <c r="L11996">
        <f t="shared" si="3"/>
        <v>0</v>
      </c>
    </row>
    <row r="11997">
      <c r="A11997" s="107"/>
      <c r="D11997" s="270"/>
      <c r="H11997" s="106" t="str">
        <f t="shared" si="1"/>
        <v/>
      </c>
      <c r="J11997" t="str">
        <f>IFERROR(__xludf.DUMMYFUNCTION("IFS(
  AND(REGEXMATCH(E11997, ""台銀籌備帳戶|玉山帳戶""), REGEXMATCH(C11997, ""薪資"")), ""分潤支出"",
  AND(REGEXMATCH(E11997, ""Ben帳戶|Elsa帳戶|Ben代墊|Ariel代墊|中信銀行共用""), REGEXMATCH(F11997, ""Ben帳戶|Elsa帳戶|Ben代墊|Ariel代墊|中信銀行共用"")), ""內部轉帳(忽略)"",
  AND(E11997&lt;&gt;"""", F11997&lt;&gt;"&amp;""""", NOT(REGEXMATCH(C11997, ""薪資""))), ""內部轉帳(忽略)"",
  REGEXMATCH(C11997, ""薪資""), ""薪資變動(不計入)"",
  REGEXMATCH(C11997, ""押金""), ""押金往來"",
  AND(E11997&lt;&gt;"""", F11997=""""), ""真實支出"",
  AND(E11997="""", F11997&lt;&gt;""""), ""真實收入"",
  TRUE, ""其他""
)"),"其他")</f>
        <v>其他</v>
      </c>
      <c r="K11997" s="270" t="str">
        <f t="shared" si="2"/>
        <v/>
      </c>
      <c r="L11997">
        <f t="shared" si="3"/>
        <v>0</v>
      </c>
    </row>
    <row r="11998">
      <c r="A11998" s="107"/>
      <c r="D11998" s="270"/>
      <c r="H11998" s="106" t="str">
        <f t="shared" si="1"/>
        <v/>
      </c>
      <c r="J11998" t="str">
        <f>IFERROR(__xludf.DUMMYFUNCTION("IFS(
  AND(REGEXMATCH(E11998, ""台銀籌備帳戶|玉山帳戶""), REGEXMATCH(C11998, ""薪資"")), ""分潤支出"",
  AND(REGEXMATCH(E11998, ""Ben帳戶|Elsa帳戶|Ben代墊|Ariel代墊|中信銀行共用""), REGEXMATCH(F11998, ""Ben帳戶|Elsa帳戶|Ben代墊|Ariel代墊|中信銀行共用"")), ""內部轉帳(忽略)"",
  AND(E11998&lt;&gt;"""", F11998&lt;&gt;"&amp;""""", NOT(REGEXMATCH(C11998, ""薪資""))), ""內部轉帳(忽略)"",
  REGEXMATCH(C11998, ""薪資""), ""薪資變動(不計入)"",
  REGEXMATCH(C11998, ""押金""), ""押金往來"",
  AND(E11998&lt;&gt;"""", F11998=""""), ""真實支出"",
  AND(E11998="""", F11998&lt;&gt;""""), ""真實收入"",
  TRUE, ""其他""
)"),"其他")</f>
        <v>其他</v>
      </c>
      <c r="K11998" s="270" t="str">
        <f t="shared" si="2"/>
        <v/>
      </c>
      <c r="L11998">
        <f t="shared" si="3"/>
        <v>0</v>
      </c>
    </row>
    <row r="11999">
      <c r="A11999" s="107"/>
      <c r="D11999" s="270"/>
      <c r="H11999" s="106" t="str">
        <f t="shared" si="1"/>
        <v/>
      </c>
      <c r="J11999" t="str">
        <f>IFERROR(__xludf.DUMMYFUNCTION("IFS(
  AND(REGEXMATCH(E11999, ""台銀籌備帳戶|玉山帳戶""), REGEXMATCH(C11999, ""薪資"")), ""分潤支出"",
  AND(REGEXMATCH(E11999, ""Ben帳戶|Elsa帳戶|Ben代墊|Ariel代墊|中信銀行共用""), REGEXMATCH(F11999, ""Ben帳戶|Elsa帳戶|Ben代墊|Ariel代墊|中信銀行共用"")), ""內部轉帳(忽略)"",
  AND(E11999&lt;&gt;"""", F11999&lt;&gt;"&amp;""""", NOT(REGEXMATCH(C11999, ""薪資""))), ""內部轉帳(忽略)"",
  REGEXMATCH(C11999, ""薪資""), ""薪資變動(不計入)"",
  REGEXMATCH(C11999, ""押金""), ""押金往來"",
  AND(E11999&lt;&gt;"""", F11999=""""), ""真實支出"",
  AND(E11999="""", F11999&lt;&gt;""""), ""真實收入"",
  TRUE, ""其他""
)"),"其他")</f>
        <v>其他</v>
      </c>
      <c r="K11999" s="270" t="str">
        <f t="shared" si="2"/>
        <v/>
      </c>
      <c r="L11999">
        <f t="shared" si="3"/>
        <v>0</v>
      </c>
    </row>
    <row r="12000">
      <c r="A12000" s="107"/>
      <c r="D12000" s="270"/>
      <c r="H12000" s="106" t="str">
        <f t="shared" si="1"/>
        <v/>
      </c>
      <c r="J12000" t="str">
        <f>IFERROR(__xludf.DUMMYFUNCTION("IFS(
  AND(REGEXMATCH(E12000, ""台銀籌備帳戶|玉山帳戶""), REGEXMATCH(C12000, ""薪資"")), ""分潤支出"",
  AND(REGEXMATCH(E12000, ""Ben帳戶|Elsa帳戶|Ben代墊|Ariel代墊|中信銀行共用""), REGEXMATCH(F12000, ""Ben帳戶|Elsa帳戶|Ben代墊|Ariel代墊|中信銀行共用"")), ""內部轉帳(忽略)"",
  AND(E12000&lt;&gt;"""", F12000&lt;&gt;"&amp;""""", NOT(REGEXMATCH(C12000, ""薪資""))), ""內部轉帳(忽略)"",
  REGEXMATCH(C12000, ""薪資""), ""薪資變動(不計入)"",
  REGEXMATCH(C12000, ""押金""), ""押金往來"",
  AND(E12000&lt;&gt;"""", F12000=""""), ""真實支出"",
  AND(E12000="""", F12000&lt;&gt;""""), ""真實收入"",
  TRUE, ""其他""
)"),"其他")</f>
        <v>其他</v>
      </c>
      <c r="K12000" s="270" t="str">
        <f t="shared" si="2"/>
        <v/>
      </c>
      <c r="L12000">
        <f t="shared" si="3"/>
        <v>0</v>
      </c>
    </row>
    <row r="12001">
      <c r="A12001" s="107"/>
      <c r="D12001" s="270"/>
      <c r="H12001" s="106" t="str">
        <f t="shared" si="1"/>
        <v/>
      </c>
      <c r="J12001" t="str">
        <f>IFERROR(__xludf.DUMMYFUNCTION("IFS(
  AND(REGEXMATCH(E12001, ""台銀籌備帳戶|玉山帳戶""), REGEXMATCH(C12001, ""薪資"")), ""分潤支出"",
  AND(REGEXMATCH(E12001, ""Ben帳戶|Elsa帳戶|Ben代墊|Ariel代墊|中信銀行共用""), REGEXMATCH(F12001, ""Ben帳戶|Elsa帳戶|Ben代墊|Ariel代墊|中信銀行共用"")), ""內部轉帳(忽略)"",
  AND(E12001&lt;&gt;"""", F12001&lt;&gt;"&amp;""""", NOT(REGEXMATCH(C12001, ""薪資""))), ""內部轉帳(忽略)"",
  REGEXMATCH(C12001, ""薪資""), ""薪資變動(不計入)"",
  REGEXMATCH(C12001, ""押金""), ""押金往來"",
  AND(E12001&lt;&gt;"""", F12001=""""), ""真實支出"",
  AND(E12001="""", F12001&lt;&gt;""""), ""真實收入"",
  TRUE, ""其他""
)"),"其他")</f>
        <v>其他</v>
      </c>
      <c r="K12001" s="270" t="str">
        <f t="shared" si="2"/>
        <v/>
      </c>
      <c r="L12001">
        <f t="shared" si="3"/>
        <v>0</v>
      </c>
    </row>
    <row r="12002">
      <c r="A12002" s="107"/>
      <c r="D12002" s="270"/>
      <c r="H12002" s="106" t="str">
        <f t="shared" si="1"/>
        <v/>
      </c>
      <c r="J12002" t="str">
        <f>IFERROR(__xludf.DUMMYFUNCTION("IFS(
  AND(REGEXMATCH(E12002, ""台銀籌備帳戶|玉山帳戶""), REGEXMATCH(C12002, ""薪資"")), ""分潤支出"",
  AND(REGEXMATCH(E12002, ""Ben帳戶|Elsa帳戶|Ben代墊|Ariel代墊|中信銀行共用""), REGEXMATCH(F12002, ""Ben帳戶|Elsa帳戶|Ben代墊|Ariel代墊|中信銀行共用"")), ""內部轉帳(忽略)"",
  AND(E12002&lt;&gt;"""", F12002&lt;&gt;"&amp;""""", NOT(REGEXMATCH(C12002, ""薪資""))), ""內部轉帳(忽略)"",
  REGEXMATCH(C12002, ""薪資""), ""薪資變動(不計入)"",
  REGEXMATCH(C12002, ""押金""), ""押金往來"",
  AND(E12002&lt;&gt;"""", F12002=""""), ""真實支出"",
  AND(E12002="""", F12002&lt;&gt;""""), ""真實收入"",
  TRUE, ""其他""
)"),"其他")</f>
        <v>其他</v>
      </c>
      <c r="K12002" s="270" t="str">
        <f t="shared" si="2"/>
        <v/>
      </c>
      <c r="L12002">
        <f t="shared" si="3"/>
        <v>0</v>
      </c>
    </row>
    <row r="12003">
      <c r="A12003" s="107"/>
      <c r="D12003" s="270"/>
      <c r="H12003" s="106" t="str">
        <f t="shared" si="1"/>
        <v/>
      </c>
      <c r="J12003" t="str">
        <f>IFERROR(__xludf.DUMMYFUNCTION("IFS(
  AND(REGEXMATCH(E12003, ""台銀籌備帳戶|玉山帳戶""), REGEXMATCH(C12003, ""薪資"")), ""分潤支出"",
  AND(REGEXMATCH(E12003, ""Ben帳戶|Elsa帳戶|Ben代墊|Ariel代墊|中信銀行共用""), REGEXMATCH(F12003, ""Ben帳戶|Elsa帳戶|Ben代墊|Ariel代墊|中信銀行共用"")), ""內部轉帳(忽略)"",
  AND(E12003&lt;&gt;"""", F12003&lt;&gt;"&amp;""""", NOT(REGEXMATCH(C12003, ""薪資""))), ""內部轉帳(忽略)"",
  REGEXMATCH(C12003, ""薪資""), ""薪資變動(不計入)"",
  REGEXMATCH(C12003, ""押金""), ""押金往來"",
  AND(E12003&lt;&gt;"""", F12003=""""), ""真實支出"",
  AND(E12003="""", F12003&lt;&gt;""""), ""真實收入"",
  TRUE, ""其他""
)"),"其他")</f>
        <v>其他</v>
      </c>
      <c r="K12003" s="270" t="str">
        <f t="shared" si="2"/>
        <v/>
      </c>
      <c r="L12003">
        <f t="shared" si="3"/>
        <v>0</v>
      </c>
    </row>
    <row r="12004">
      <c r="A12004" s="107"/>
      <c r="D12004" s="270"/>
      <c r="H12004" s="106" t="str">
        <f t="shared" si="1"/>
        <v/>
      </c>
      <c r="J12004" t="str">
        <f>IFERROR(__xludf.DUMMYFUNCTION("IFS(
  AND(REGEXMATCH(E12004, ""台銀籌備帳戶|玉山帳戶""), REGEXMATCH(C12004, ""薪資"")), ""分潤支出"",
  AND(REGEXMATCH(E12004, ""Ben帳戶|Elsa帳戶|Ben代墊|Ariel代墊|中信銀行共用""), REGEXMATCH(F12004, ""Ben帳戶|Elsa帳戶|Ben代墊|Ariel代墊|中信銀行共用"")), ""內部轉帳(忽略)"",
  AND(E12004&lt;&gt;"""", F12004&lt;&gt;"&amp;""""", NOT(REGEXMATCH(C12004, ""薪資""))), ""內部轉帳(忽略)"",
  REGEXMATCH(C12004, ""薪資""), ""薪資變動(不計入)"",
  REGEXMATCH(C12004, ""押金""), ""押金往來"",
  AND(E12004&lt;&gt;"""", F12004=""""), ""真實支出"",
  AND(E12004="""", F12004&lt;&gt;""""), ""真實收入"",
  TRUE, ""其他""
)"),"其他")</f>
        <v>其他</v>
      </c>
      <c r="K12004" s="270" t="str">
        <f t="shared" si="2"/>
        <v/>
      </c>
      <c r="L12004">
        <f t="shared" si="3"/>
        <v>0</v>
      </c>
    </row>
    <row r="12005">
      <c r="A12005" s="107"/>
      <c r="D12005" s="270"/>
      <c r="H12005" s="106" t="str">
        <f t="shared" si="1"/>
        <v/>
      </c>
      <c r="J12005" t="str">
        <f>IFERROR(__xludf.DUMMYFUNCTION("IFS(
  AND(REGEXMATCH(E12005, ""台銀籌備帳戶|玉山帳戶""), REGEXMATCH(C12005, ""薪資"")), ""分潤支出"",
  AND(REGEXMATCH(E12005, ""Ben帳戶|Elsa帳戶|Ben代墊|Ariel代墊|中信銀行共用""), REGEXMATCH(F12005, ""Ben帳戶|Elsa帳戶|Ben代墊|Ariel代墊|中信銀行共用"")), ""內部轉帳(忽略)"",
  AND(E12005&lt;&gt;"""", F12005&lt;&gt;"&amp;""""", NOT(REGEXMATCH(C12005, ""薪資""))), ""內部轉帳(忽略)"",
  REGEXMATCH(C12005, ""薪資""), ""薪資變動(不計入)"",
  REGEXMATCH(C12005, ""押金""), ""押金往來"",
  AND(E12005&lt;&gt;"""", F12005=""""), ""真實支出"",
  AND(E12005="""", F12005&lt;&gt;""""), ""真實收入"",
  TRUE, ""其他""
)"),"其他")</f>
        <v>其他</v>
      </c>
      <c r="K12005" s="270" t="str">
        <f t="shared" si="2"/>
        <v/>
      </c>
      <c r="L12005">
        <f t="shared" si="3"/>
        <v>0</v>
      </c>
    </row>
    <row r="12006">
      <c r="A12006" s="107"/>
      <c r="D12006" s="270"/>
      <c r="H12006" s="106" t="str">
        <f t="shared" si="1"/>
        <v/>
      </c>
      <c r="J12006" t="str">
        <f>IFERROR(__xludf.DUMMYFUNCTION("IFS(
  AND(REGEXMATCH(E12006, ""台銀籌備帳戶|玉山帳戶""), REGEXMATCH(C12006, ""薪資"")), ""分潤支出"",
  AND(REGEXMATCH(E12006, ""Ben帳戶|Elsa帳戶|Ben代墊|Ariel代墊|中信銀行共用""), REGEXMATCH(F12006, ""Ben帳戶|Elsa帳戶|Ben代墊|Ariel代墊|中信銀行共用"")), ""內部轉帳(忽略)"",
  AND(E12006&lt;&gt;"""", F12006&lt;&gt;"&amp;""""", NOT(REGEXMATCH(C12006, ""薪資""))), ""內部轉帳(忽略)"",
  REGEXMATCH(C12006, ""薪資""), ""薪資變動(不計入)"",
  REGEXMATCH(C12006, ""押金""), ""押金往來"",
  AND(E12006&lt;&gt;"""", F12006=""""), ""真實支出"",
  AND(E12006="""", F12006&lt;&gt;""""), ""真實收入"",
  TRUE, ""其他""
)"),"其他")</f>
        <v>其他</v>
      </c>
      <c r="K12006" s="270" t="str">
        <f t="shared" si="2"/>
        <v/>
      </c>
      <c r="L12006">
        <f t="shared" si="3"/>
        <v>0</v>
      </c>
    </row>
    <row r="12007">
      <c r="A12007" s="107"/>
      <c r="D12007" s="270"/>
      <c r="H12007" s="106" t="str">
        <f t="shared" si="1"/>
        <v/>
      </c>
      <c r="J12007" t="str">
        <f>IFERROR(__xludf.DUMMYFUNCTION("IFS(
  AND(REGEXMATCH(E12007, ""台銀籌備帳戶|玉山帳戶""), REGEXMATCH(C12007, ""薪資"")), ""分潤支出"",
  AND(REGEXMATCH(E12007, ""Ben帳戶|Elsa帳戶|Ben代墊|Ariel代墊|中信銀行共用""), REGEXMATCH(F12007, ""Ben帳戶|Elsa帳戶|Ben代墊|Ariel代墊|中信銀行共用"")), ""內部轉帳(忽略)"",
  AND(E12007&lt;&gt;"""", F12007&lt;&gt;"&amp;""""", NOT(REGEXMATCH(C12007, ""薪資""))), ""內部轉帳(忽略)"",
  REGEXMATCH(C12007, ""薪資""), ""薪資變動(不計入)"",
  REGEXMATCH(C12007, ""押金""), ""押金往來"",
  AND(E12007&lt;&gt;"""", F12007=""""), ""真實支出"",
  AND(E12007="""", F12007&lt;&gt;""""), ""真實收入"",
  TRUE, ""其他""
)"),"其他")</f>
        <v>其他</v>
      </c>
      <c r="K12007" s="270" t="str">
        <f t="shared" si="2"/>
        <v/>
      </c>
      <c r="L12007">
        <f t="shared" si="3"/>
        <v>0</v>
      </c>
    </row>
    <row r="12008">
      <c r="A12008" s="107"/>
      <c r="D12008" s="270"/>
      <c r="H12008" s="106" t="str">
        <f t="shared" si="1"/>
        <v/>
      </c>
      <c r="J12008" t="str">
        <f>IFERROR(__xludf.DUMMYFUNCTION("IFS(
  AND(REGEXMATCH(E12008, ""台銀籌備帳戶|玉山帳戶""), REGEXMATCH(C12008, ""薪資"")), ""分潤支出"",
  AND(REGEXMATCH(E12008, ""Ben帳戶|Elsa帳戶|Ben代墊|Ariel代墊|中信銀行共用""), REGEXMATCH(F12008, ""Ben帳戶|Elsa帳戶|Ben代墊|Ariel代墊|中信銀行共用"")), ""內部轉帳(忽略)"",
  AND(E12008&lt;&gt;"""", F12008&lt;&gt;"&amp;""""", NOT(REGEXMATCH(C12008, ""薪資""))), ""內部轉帳(忽略)"",
  REGEXMATCH(C12008, ""薪資""), ""薪資變動(不計入)"",
  REGEXMATCH(C12008, ""押金""), ""押金往來"",
  AND(E12008&lt;&gt;"""", F12008=""""), ""真實支出"",
  AND(E12008="""", F12008&lt;&gt;""""), ""真實收入"",
  TRUE, ""其他""
)"),"其他")</f>
        <v>其他</v>
      </c>
      <c r="K12008" s="270" t="str">
        <f t="shared" si="2"/>
        <v/>
      </c>
      <c r="L12008">
        <f t="shared" si="3"/>
        <v>0</v>
      </c>
    </row>
    <row r="12009">
      <c r="A12009" s="107"/>
      <c r="D12009" s="270"/>
      <c r="H12009" s="106" t="str">
        <f t="shared" si="1"/>
        <v/>
      </c>
      <c r="J12009" t="str">
        <f>IFERROR(__xludf.DUMMYFUNCTION("IFS(
  AND(REGEXMATCH(E12009, ""台銀籌備帳戶|玉山帳戶""), REGEXMATCH(C12009, ""薪資"")), ""分潤支出"",
  AND(REGEXMATCH(E12009, ""Ben帳戶|Elsa帳戶|Ben代墊|Ariel代墊|中信銀行共用""), REGEXMATCH(F12009, ""Ben帳戶|Elsa帳戶|Ben代墊|Ariel代墊|中信銀行共用"")), ""內部轉帳(忽略)"",
  AND(E12009&lt;&gt;"""", F12009&lt;&gt;"&amp;""""", NOT(REGEXMATCH(C12009, ""薪資""))), ""內部轉帳(忽略)"",
  REGEXMATCH(C12009, ""薪資""), ""薪資變動(不計入)"",
  REGEXMATCH(C12009, ""押金""), ""押金往來"",
  AND(E12009&lt;&gt;"""", F12009=""""), ""真實支出"",
  AND(E12009="""", F12009&lt;&gt;""""), ""真實收入"",
  TRUE, ""其他""
)"),"其他")</f>
        <v>其他</v>
      </c>
      <c r="K12009" s="270" t="str">
        <f t="shared" si="2"/>
        <v/>
      </c>
      <c r="L12009">
        <f t="shared" si="3"/>
        <v>0</v>
      </c>
    </row>
    <row r="12010">
      <c r="A12010" s="107"/>
      <c r="D12010" s="270"/>
      <c r="H12010" s="106" t="str">
        <f t="shared" si="1"/>
        <v/>
      </c>
      <c r="J12010" t="str">
        <f>IFERROR(__xludf.DUMMYFUNCTION("IFS(
  AND(REGEXMATCH(E12010, ""台銀籌備帳戶|玉山帳戶""), REGEXMATCH(C12010, ""薪資"")), ""分潤支出"",
  AND(REGEXMATCH(E12010, ""Ben帳戶|Elsa帳戶|Ben代墊|Ariel代墊|中信銀行共用""), REGEXMATCH(F12010, ""Ben帳戶|Elsa帳戶|Ben代墊|Ariel代墊|中信銀行共用"")), ""內部轉帳(忽略)"",
  AND(E12010&lt;&gt;"""", F12010&lt;&gt;"&amp;""""", NOT(REGEXMATCH(C12010, ""薪資""))), ""內部轉帳(忽略)"",
  REGEXMATCH(C12010, ""薪資""), ""薪資變動(不計入)"",
  REGEXMATCH(C12010, ""押金""), ""押金往來"",
  AND(E12010&lt;&gt;"""", F12010=""""), ""真實支出"",
  AND(E12010="""", F12010&lt;&gt;""""), ""真實收入"",
  TRUE, ""其他""
)"),"其他")</f>
        <v>其他</v>
      </c>
      <c r="K12010" s="270" t="str">
        <f t="shared" si="2"/>
        <v/>
      </c>
      <c r="L12010">
        <f t="shared" si="3"/>
        <v>0</v>
      </c>
    </row>
    <row r="12011">
      <c r="A12011" s="107"/>
      <c r="D12011" s="270"/>
      <c r="H12011" s="106" t="str">
        <f t="shared" si="1"/>
        <v/>
      </c>
      <c r="J12011" t="str">
        <f>IFERROR(__xludf.DUMMYFUNCTION("IFS(
  AND(REGEXMATCH(E12011, ""台銀籌備帳戶|玉山帳戶""), REGEXMATCH(C12011, ""薪資"")), ""分潤支出"",
  AND(REGEXMATCH(E12011, ""Ben帳戶|Elsa帳戶|Ben代墊|Ariel代墊|中信銀行共用""), REGEXMATCH(F12011, ""Ben帳戶|Elsa帳戶|Ben代墊|Ariel代墊|中信銀行共用"")), ""內部轉帳(忽略)"",
  AND(E12011&lt;&gt;"""", F12011&lt;&gt;"&amp;""""", NOT(REGEXMATCH(C12011, ""薪資""))), ""內部轉帳(忽略)"",
  REGEXMATCH(C12011, ""薪資""), ""薪資變動(不計入)"",
  REGEXMATCH(C12011, ""押金""), ""押金往來"",
  AND(E12011&lt;&gt;"""", F12011=""""), ""真實支出"",
  AND(E12011="""", F12011&lt;&gt;""""), ""真實收入"",
  TRUE, ""其他""
)"),"其他")</f>
        <v>其他</v>
      </c>
      <c r="K12011" s="270" t="str">
        <f t="shared" si="2"/>
        <v/>
      </c>
      <c r="L12011">
        <f t="shared" si="3"/>
        <v>0</v>
      </c>
    </row>
    <row r="12012">
      <c r="A12012" s="107"/>
      <c r="D12012" s="270"/>
      <c r="H12012" s="106" t="str">
        <f t="shared" si="1"/>
        <v/>
      </c>
      <c r="J12012" t="str">
        <f>IFERROR(__xludf.DUMMYFUNCTION("IFS(
  AND(REGEXMATCH(E12012, ""台銀籌備帳戶|玉山帳戶""), REGEXMATCH(C12012, ""薪資"")), ""分潤支出"",
  AND(REGEXMATCH(E12012, ""Ben帳戶|Elsa帳戶|Ben代墊|Ariel代墊|中信銀行共用""), REGEXMATCH(F12012, ""Ben帳戶|Elsa帳戶|Ben代墊|Ariel代墊|中信銀行共用"")), ""內部轉帳(忽略)"",
  AND(E12012&lt;&gt;"""", F12012&lt;&gt;"&amp;""""", NOT(REGEXMATCH(C12012, ""薪資""))), ""內部轉帳(忽略)"",
  REGEXMATCH(C12012, ""薪資""), ""薪資變動(不計入)"",
  REGEXMATCH(C12012, ""押金""), ""押金往來"",
  AND(E12012&lt;&gt;"""", F12012=""""), ""真實支出"",
  AND(E12012="""", F12012&lt;&gt;""""), ""真實收入"",
  TRUE, ""其他""
)"),"其他")</f>
        <v>其他</v>
      </c>
      <c r="K12012" s="270" t="str">
        <f t="shared" si="2"/>
        <v/>
      </c>
      <c r="L12012">
        <f t="shared" si="3"/>
        <v>0</v>
      </c>
    </row>
    <row r="12013">
      <c r="A12013" s="107"/>
      <c r="D12013" s="270"/>
      <c r="H12013" s="106" t="str">
        <f t="shared" si="1"/>
        <v/>
      </c>
      <c r="J12013" t="str">
        <f>IFERROR(__xludf.DUMMYFUNCTION("IFS(
  AND(REGEXMATCH(E12013, ""台銀籌備帳戶|玉山帳戶""), REGEXMATCH(C12013, ""薪資"")), ""分潤支出"",
  AND(REGEXMATCH(E12013, ""Ben帳戶|Elsa帳戶|Ben代墊|Ariel代墊|中信銀行共用""), REGEXMATCH(F12013, ""Ben帳戶|Elsa帳戶|Ben代墊|Ariel代墊|中信銀行共用"")), ""內部轉帳(忽略)"",
  AND(E12013&lt;&gt;"""", F12013&lt;&gt;"&amp;""""", NOT(REGEXMATCH(C12013, ""薪資""))), ""內部轉帳(忽略)"",
  REGEXMATCH(C12013, ""薪資""), ""薪資變動(不計入)"",
  REGEXMATCH(C12013, ""押金""), ""押金往來"",
  AND(E12013&lt;&gt;"""", F12013=""""), ""真實支出"",
  AND(E12013="""", F12013&lt;&gt;""""), ""真實收入"",
  TRUE, ""其他""
)"),"其他")</f>
        <v>其他</v>
      </c>
      <c r="K12013" s="270" t="str">
        <f t="shared" si="2"/>
        <v/>
      </c>
      <c r="L12013">
        <f t="shared" si="3"/>
        <v>0</v>
      </c>
    </row>
    <row r="12014">
      <c r="A12014" s="107"/>
      <c r="D12014" s="270"/>
      <c r="H12014" s="106" t="str">
        <f t="shared" si="1"/>
        <v/>
      </c>
      <c r="J12014" t="str">
        <f>IFERROR(__xludf.DUMMYFUNCTION("IFS(
  AND(REGEXMATCH(E12014, ""台銀籌備帳戶|玉山帳戶""), REGEXMATCH(C12014, ""薪資"")), ""分潤支出"",
  AND(REGEXMATCH(E12014, ""Ben帳戶|Elsa帳戶|Ben代墊|Ariel代墊|中信銀行共用""), REGEXMATCH(F12014, ""Ben帳戶|Elsa帳戶|Ben代墊|Ariel代墊|中信銀行共用"")), ""內部轉帳(忽略)"",
  AND(E12014&lt;&gt;"""", F12014&lt;&gt;"&amp;""""", NOT(REGEXMATCH(C12014, ""薪資""))), ""內部轉帳(忽略)"",
  REGEXMATCH(C12014, ""薪資""), ""薪資變動(不計入)"",
  REGEXMATCH(C12014, ""押金""), ""押金往來"",
  AND(E12014&lt;&gt;"""", F12014=""""), ""真實支出"",
  AND(E12014="""", F12014&lt;&gt;""""), ""真實收入"",
  TRUE, ""其他""
)"),"其他")</f>
        <v>其他</v>
      </c>
      <c r="K12014" s="270" t="str">
        <f t="shared" si="2"/>
        <v/>
      </c>
      <c r="L12014">
        <f t="shared" si="3"/>
        <v>0</v>
      </c>
    </row>
    <row r="12015">
      <c r="A12015" s="107"/>
      <c r="D12015" s="270"/>
      <c r="H12015" s="106" t="str">
        <f t="shared" si="1"/>
        <v/>
      </c>
      <c r="J12015" t="str">
        <f>IFERROR(__xludf.DUMMYFUNCTION("IFS(
  AND(REGEXMATCH(E12015, ""台銀籌備帳戶|玉山帳戶""), REGEXMATCH(C12015, ""薪資"")), ""分潤支出"",
  AND(REGEXMATCH(E12015, ""Ben帳戶|Elsa帳戶|Ben代墊|Ariel代墊|中信銀行共用""), REGEXMATCH(F12015, ""Ben帳戶|Elsa帳戶|Ben代墊|Ariel代墊|中信銀行共用"")), ""內部轉帳(忽略)"",
  AND(E12015&lt;&gt;"""", F12015&lt;&gt;"&amp;""""", NOT(REGEXMATCH(C12015, ""薪資""))), ""內部轉帳(忽略)"",
  REGEXMATCH(C12015, ""薪資""), ""薪資變動(不計入)"",
  REGEXMATCH(C12015, ""押金""), ""押金往來"",
  AND(E12015&lt;&gt;"""", F12015=""""), ""真實支出"",
  AND(E12015="""", F12015&lt;&gt;""""), ""真實收入"",
  TRUE, ""其他""
)"),"其他")</f>
        <v>其他</v>
      </c>
      <c r="K12015" s="270" t="str">
        <f t="shared" si="2"/>
        <v/>
      </c>
      <c r="L12015">
        <f t="shared" si="3"/>
        <v>0</v>
      </c>
    </row>
    <row r="12016">
      <c r="A12016" s="107"/>
      <c r="D12016" s="270"/>
      <c r="H12016" s="106" t="str">
        <f t="shared" si="1"/>
        <v/>
      </c>
      <c r="J12016" t="str">
        <f>IFERROR(__xludf.DUMMYFUNCTION("IFS(
  AND(REGEXMATCH(E12016, ""台銀籌備帳戶|玉山帳戶""), REGEXMATCH(C12016, ""薪資"")), ""分潤支出"",
  AND(REGEXMATCH(E12016, ""Ben帳戶|Elsa帳戶|Ben代墊|Ariel代墊|中信銀行共用""), REGEXMATCH(F12016, ""Ben帳戶|Elsa帳戶|Ben代墊|Ariel代墊|中信銀行共用"")), ""內部轉帳(忽略)"",
  AND(E12016&lt;&gt;"""", F12016&lt;&gt;"&amp;""""", NOT(REGEXMATCH(C12016, ""薪資""))), ""內部轉帳(忽略)"",
  REGEXMATCH(C12016, ""薪資""), ""薪資變動(不計入)"",
  REGEXMATCH(C12016, ""押金""), ""押金往來"",
  AND(E12016&lt;&gt;"""", F12016=""""), ""真實支出"",
  AND(E12016="""", F12016&lt;&gt;""""), ""真實收入"",
  TRUE, ""其他""
)"),"其他")</f>
        <v>其他</v>
      </c>
      <c r="K12016" s="270" t="str">
        <f t="shared" si="2"/>
        <v/>
      </c>
      <c r="L12016">
        <f t="shared" si="3"/>
        <v>0</v>
      </c>
    </row>
    <row r="12017">
      <c r="A12017" s="107"/>
      <c r="D12017" s="270"/>
      <c r="H12017" s="106" t="str">
        <f t="shared" si="1"/>
        <v/>
      </c>
      <c r="J12017" t="str">
        <f>IFERROR(__xludf.DUMMYFUNCTION("IFS(
  AND(REGEXMATCH(E12017, ""台銀籌備帳戶|玉山帳戶""), REGEXMATCH(C12017, ""薪資"")), ""分潤支出"",
  AND(REGEXMATCH(E12017, ""Ben帳戶|Elsa帳戶|Ben代墊|Ariel代墊|中信銀行共用""), REGEXMATCH(F12017, ""Ben帳戶|Elsa帳戶|Ben代墊|Ariel代墊|中信銀行共用"")), ""內部轉帳(忽略)"",
  AND(E12017&lt;&gt;"""", F12017&lt;&gt;"&amp;""""", NOT(REGEXMATCH(C12017, ""薪資""))), ""內部轉帳(忽略)"",
  REGEXMATCH(C12017, ""薪資""), ""薪資變動(不計入)"",
  REGEXMATCH(C12017, ""押金""), ""押金往來"",
  AND(E12017&lt;&gt;"""", F12017=""""), ""真實支出"",
  AND(E12017="""", F12017&lt;&gt;""""), ""真實收入"",
  TRUE, ""其他""
)"),"其他")</f>
        <v>其他</v>
      </c>
      <c r="K12017" s="270" t="str">
        <f t="shared" si="2"/>
        <v/>
      </c>
      <c r="L12017">
        <f t="shared" si="3"/>
        <v>0</v>
      </c>
    </row>
    <row r="12018">
      <c r="A12018" s="107"/>
      <c r="D12018" s="270"/>
      <c r="H12018" s="106" t="str">
        <f t="shared" si="1"/>
        <v/>
      </c>
      <c r="J12018" t="str">
        <f>IFERROR(__xludf.DUMMYFUNCTION("IFS(
  AND(REGEXMATCH(E12018, ""台銀籌備帳戶|玉山帳戶""), REGEXMATCH(C12018, ""薪資"")), ""分潤支出"",
  AND(REGEXMATCH(E12018, ""Ben帳戶|Elsa帳戶|Ben代墊|Ariel代墊|中信銀行共用""), REGEXMATCH(F12018, ""Ben帳戶|Elsa帳戶|Ben代墊|Ariel代墊|中信銀行共用"")), ""內部轉帳(忽略)"",
  AND(E12018&lt;&gt;"""", F12018&lt;&gt;"&amp;""""", NOT(REGEXMATCH(C12018, ""薪資""))), ""內部轉帳(忽略)"",
  REGEXMATCH(C12018, ""薪資""), ""薪資變動(不計入)"",
  REGEXMATCH(C12018, ""押金""), ""押金往來"",
  AND(E12018&lt;&gt;"""", F12018=""""), ""真實支出"",
  AND(E12018="""", F12018&lt;&gt;""""), ""真實收入"",
  TRUE, ""其他""
)"),"其他")</f>
        <v>其他</v>
      </c>
      <c r="K12018" s="270" t="str">
        <f t="shared" si="2"/>
        <v/>
      </c>
      <c r="L12018">
        <f t="shared" si="3"/>
        <v>0</v>
      </c>
    </row>
    <row r="12019">
      <c r="A12019" s="107"/>
      <c r="D12019" s="270"/>
      <c r="H12019" s="106" t="str">
        <f t="shared" si="1"/>
        <v/>
      </c>
      <c r="J12019" t="str">
        <f>IFERROR(__xludf.DUMMYFUNCTION("IFS(
  AND(REGEXMATCH(E12019, ""台銀籌備帳戶|玉山帳戶""), REGEXMATCH(C12019, ""薪資"")), ""分潤支出"",
  AND(REGEXMATCH(E12019, ""Ben帳戶|Elsa帳戶|Ben代墊|Ariel代墊|中信銀行共用""), REGEXMATCH(F12019, ""Ben帳戶|Elsa帳戶|Ben代墊|Ariel代墊|中信銀行共用"")), ""內部轉帳(忽略)"",
  AND(E12019&lt;&gt;"""", F12019&lt;&gt;"&amp;""""", NOT(REGEXMATCH(C12019, ""薪資""))), ""內部轉帳(忽略)"",
  REGEXMATCH(C12019, ""薪資""), ""薪資變動(不計入)"",
  REGEXMATCH(C12019, ""押金""), ""押金往來"",
  AND(E12019&lt;&gt;"""", F12019=""""), ""真實支出"",
  AND(E12019="""", F12019&lt;&gt;""""), ""真實收入"",
  TRUE, ""其他""
)"),"其他")</f>
        <v>其他</v>
      </c>
      <c r="K12019" s="270" t="str">
        <f t="shared" si="2"/>
        <v/>
      </c>
      <c r="L12019">
        <f t="shared" si="3"/>
        <v>0</v>
      </c>
    </row>
    <row r="12020">
      <c r="A12020" s="107"/>
      <c r="D12020" s="270"/>
      <c r="H12020" s="106" t="str">
        <f t="shared" si="1"/>
        <v/>
      </c>
      <c r="J12020" t="str">
        <f>IFERROR(__xludf.DUMMYFUNCTION("IFS(
  AND(REGEXMATCH(E12020, ""台銀籌備帳戶|玉山帳戶""), REGEXMATCH(C12020, ""薪資"")), ""分潤支出"",
  AND(REGEXMATCH(E12020, ""Ben帳戶|Elsa帳戶|Ben代墊|Ariel代墊|中信銀行共用""), REGEXMATCH(F12020, ""Ben帳戶|Elsa帳戶|Ben代墊|Ariel代墊|中信銀行共用"")), ""內部轉帳(忽略)"",
  AND(E12020&lt;&gt;"""", F12020&lt;&gt;"&amp;""""", NOT(REGEXMATCH(C12020, ""薪資""))), ""內部轉帳(忽略)"",
  REGEXMATCH(C12020, ""薪資""), ""薪資變動(不計入)"",
  REGEXMATCH(C12020, ""押金""), ""押金往來"",
  AND(E12020&lt;&gt;"""", F12020=""""), ""真實支出"",
  AND(E12020="""", F12020&lt;&gt;""""), ""真實收入"",
  TRUE, ""其他""
)"),"其他")</f>
        <v>其他</v>
      </c>
      <c r="K12020" s="270" t="str">
        <f t="shared" si="2"/>
        <v/>
      </c>
      <c r="L12020">
        <f t="shared" si="3"/>
        <v>0</v>
      </c>
    </row>
    <row r="12021">
      <c r="A12021" s="107"/>
      <c r="D12021" s="270"/>
      <c r="H12021" s="106" t="str">
        <f t="shared" si="1"/>
        <v/>
      </c>
      <c r="J12021" t="str">
        <f>IFERROR(__xludf.DUMMYFUNCTION("IFS(
  AND(REGEXMATCH(E12021, ""台銀籌備帳戶|玉山帳戶""), REGEXMATCH(C12021, ""薪資"")), ""分潤支出"",
  AND(REGEXMATCH(E12021, ""Ben帳戶|Elsa帳戶|Ben代墊|Ariel代墊|中信銀行共用""), REGEXMATCH(F12021, ""Ben帳戶|Elsa帳戶|Ben代墊|Ariel代墊|中信銀行共用"")), ""內部轉帳(忽略)"",
  AND(E12021&lt;&gt;"""", F12021&lt;&gt;"&amp;""""", NOT(REGEXMATCH(C12021, ""薪資""))), ""內部轉帳(忽略)"",
  REGEXMATCH(C12021, ""薪資""), ""薪資變動(不計入)"",
  REGEXMATCH(C12021, ""押金""), ""押金往來"",
  AND(E12021&lt;&gt;"""", F12021=""""), ""真實支出"",
  AND(E12021="""", F12021&lt;&gt;""""), ""真實收入"",
  TRUE, ""其他""
)"),"其他")</f>
        <v>其他</v>
      </c>
      <c r="K12021" s="270" t="str">
        <f t="shared" si="2"/>
        <v/>
      </c>
      <c r="L12021">
        <f t="shared" si="3"/>
        <v>0</v>
      </c>
    </row>
    <row r="12022">
      <c r="A12022" s="107"/>
      <c r="D12022" s="270"/>
      <c r="H12022" s="106" t="str">
        <f t="shared" si="1"/>
        <v/>
      </c>
      <c r="J12022" t="str">
        <f>IFERROR(__xludf.DUMMYFUNCTION("IFS(
  AND(REGEXMATCH(E12022, ""台銀籌備帳戶|玉山帳戶""), REGEXMATCH(C12022, ""薪資"")), ""分潤支出"",
  AND(REGEXMATCH(E12022, ""Ben帳戶|Elsa帳戶|Ben代墊|Ariel代墊|中信銀行共用""), REGEXMATCH(F12022, ""Ben帳戶|Elsa帳戶|Ben代墊|Ariel代墊|中信銀行共用"")), ""內部轉帳(忽略)"",
  AND(E12022&lt;&gt;"""", F12022&lt;&gt;"&amp;""""", NOT(REGEXMATCH(C12022, ""薪資""))), ""內部轉帳(忽略)"",
  REGEXMATCH(C12022, ""薪資""), ""薪資變動(不計入)"",
  REGEXMATCH(C12022, ""押金""), ""押金往來"",
  AND(E12022&lt;&gt;"""", F12022=""""), ""真實支出"",
  AND(E12022="""", F12022&lt;&gt;""""), ""真實收入"",
  TRUE, ""其他""
)"),"其他")</f>
        <v>其他</v>
      </c>
      <c r="K12022" s="270" t="str">
        <f t="shared" si="2"/>
        <v/>
      </c>
      <c r="L12022">
        <f t="shared" si="3"/>
        <v>0</v>
      </c>
    </row>
    <row r="12023">
      <c r="A12023" s="107"/>
      <c r="D12023" s="270"/>
      <c r="H12023" s="106" t="str">
        <f t="shared" si="1"/>
        <v/>
      </c>
      <c r="J12023" t="str">
        <f>IFERROR(__xludf.DUMMYFUNCTION("IFS(
  AND(REGEXMATCH(E12023, ""台銀籌備帳戶|玉山帳戶""), REGEXMATCH(C12023, ""薪資"")), ""分潤支出"",
  AND(REGEXMATCH(E12023, ""Ben帳戶|Elsa帳戶|Ben代墊|Ariel代墊|中信銀行共用""), REGEXMATCH(F12023, ""Ben帳戶|Elsa帳戶|Ben代墊|Ariel代墊|中信銀行共用"")), ""內部轉帳(忽略)"",
  AND(E12023&lt;&gt;"""", F12023&lt;&gt;"&amp;""""", NOT(REGEXMATCH(C12023, ""薪資""))), ""內部轉帳(忽略)"",
  REGEXMATCH(C12023, ""薪資""), ""薪資變動(不計入)"",
  REGEXMATCH(C12023, ""押金""), ""押金往來"",
  AND(E12023&lt;&gt;"""", F12023=""""), ""真實支出"",
  AND(E12023="""", F12023&lt;&gt;""""), ""真實收入"",
  TRUE, ""其他""
)"),"其他")</f>
        <v>其他</v>
      </c>
      <c r="K12023" s="270" t="str">
        <f t="shared" si="2"/>
        <v/>
      </c>
      <c r="L12023">
        <f t="shared" si="3"/>
        <v>0</v>
      </c>
    </row>
    <row r="12024">
      <c r="A12024" s="107"/>
      <c r="D12024" s="270"/>
      <c r="H12024" s="106" t="str">
        <f t="shared" si="1"/>
        <v/>
      </c>
      <c r="J12024" t="str">
        <f>IFERROR(__xludf.DUMMYFUNCTION("IFS(
  AND(REGEXMATCH(E12024, ""台銀籌備帳戶|玉山帳戶""), REGEXMATCH(C12024, ""薪資"")), ""分潤支出"",
  AND(REGEXMATCH(E12024, ""Ben帳戶|Elsa帳戶|Ben代墊|Ariel代墊|中信銀行共用""), REGEXMATCH(F12024, ""Ben帳戶|Elsa帳戶|Ben代墊|Ariel代墊|中信銀行共用"")), ""內部轉帳(忽略)"",
  AND(E12024&lt;&gt;"""", F12024&lt;&gt;"&amp;""""", NOT(REGEXMATCH(C12024, ""薪資""))), ""內部轉帳(忽略)"",
  REGEXMATCH(C12024, ""薪資""), ""薪資變動(不計入)"",
  REGEXMATCH(C12024, ""押金""), ""押金往來"",
  AND(E12024&lt;&gt;"""", F12024=""""), ""真實支出"",
  AND(E12024="""", F12024&lt;&gt;""""), ""真實收入"",
  TRUE, ""其他""
)"),"其他")</f>
        <v>其他</v>
      </c>
      <c r="K12024" s="270" t="str">
        <f t="shared" si="2"/>
        <v/>
      </c>
      <c r="L12024">
        <f t="shared" si="3"/>
        <v>0</v>
      </c>
    </row>
    <row r="12025">
      <c r="A12025" s="107"/>
      <c r="D12025" s="270"/>
      <c r="H12025" s="106" t="str">
        <f t="shared" si="1"/>
        <v/>
      </c>
      <c r="J12025" t="str">
        <f>IFERROR(__xludf.DUMMYFUNCTION("IFS(
  AND(REGEXMATCH(E12025, ""台銀籌備帳戶|玉山帳戶""), REGEXMATCH(C12025, ""薪資"")), ""分潤支出"",
  AND(REGEXMATCH(E12025, ""Ben帳戶|Elsa帳戶|Ben代墊|Ariel代墊|中信銀行共用""), REGEXMATCH(F12025, ""Ben帳戶|Elsa帳戶|Ben代墊|Ariel代墊|中信銀行共用"")), ""內部轉帳(忽略)"",
  AND(E12025&lt;&gt;"""", F12025&lt;&gt;"&amp;""""", NOT(REGEXMATCH(C12025, ""薪資""))), ""內部轉帳(忽略)"",
  REGEXMATCH(C12025, ""薪資""), ""薪資變動(不計入)"",
  REGEXMATCH(C12025, ""押金""), ""押金往來"",
  AND(E12025&lt;&gt;"""", F12025=""""), ""真實支出"",
  AND(E12025="""", F12025&lt;&gt;""""), ""真實收入"",
  TRUE, ""其他""
)"),"其他")</f>
        <v>其他</v>
      </c>
      <c r="K12025" s="270" t="str">
        <f t="shared" si="2"/>
        <v/>
      </c>
      <c r="L12025">
        <f t="shared" si="3"/>
        <v>0</v>
      </c>
    </row>
    <row r="12026">
      <c r="A12026" s="107"/>
      <c r="D12026" s="270"/>
      <c r="H12026" s="106" t="str">
        <f t="shared" si="1"/>
        <v/>
      </c>
      <c r="J12026" t="str">
        <f>IFERROR(__xludf.DUMMYFUNCTION("IFS(
  AND(REGEXMATCH(E12026, ""台銀籌備帳戶|玉山帳戶""), REGEXMATCH(C12026, ""薪資"")), ""分潤支出"",
  AND(REGEXMATCH(E12026, ""Ben帳戶|Elsa帳戶|Ben代墊|Ariel代墊|中信銀行共用""), REGEXMATCH(F12026, ""Ben帳戶|Elsa帳戶|Ben代墊|Ariel代墊|中信銀行共用"")), ""內部轉帳(忽略)"",
  AND(E12026&lt;&gt;"""", F12026&lt;&gt;"&amp;""""", NOT(REGEXMATCH(C12026, ""薪資""))), ""內部轉帳(忽略)"",
  REGEXMATCH(C12026, ""薪資""), ""薪資變動(不計入)"",
  REGEXMATCH(C12026, ""押金""), ""押金往來"",
  AND(E12026&lt;&gt;"""", F12026=""""), ""真實支出"",
  AND(E12026="""", F12026&lt;&gt;""""), ""真實收入"",
  TRUE, ""其他""
)"),"其他")</f>
        <v>其他</v>
      </c>
      <c r="K12026" s="270" t="str">
        <f t="shared" si="2"/>
        <v/>
      </c>
      <c r="L12026">
        <f t="shared" si="3"/>
        <v>0</v>
      </c>
    </row>
    <row r="12027">
      <c r="A12027" s="107"/>
      <c r="D12027" s="270"/>
      <c r="H12027" s="106" t="str">
        <f t="shared" si="1"/>
        <v/>
      </c>
      <c r="J12027" t="str">
        <f>IFERROR(__xludf.DUMMYFUNCTION("IFS(
  AND(REGEXMATCH(E12027, ""台銀籌備帳戶|玉山帳戶""), REGEXMATCH(C12027, ""薪資"")), ""分潤支出"",
  AND(REGEXMATCH(E12027, ""Ben帳戶|Elsa帳戶|Ben代墊|Ariel代墊|中信銀行共用""), REGEXMATCH(F12027, ""Ben帳戶|Elsa帳戶|Ben代墊|Ariel代墊|中信銀行共用"")), ""內部轉帳(忽略)"",
  AND(E12027&lt;&gt;"""", F12027&lt;&gt;"&amp;""""", NOT(REGEXMATCH(C12027, ""薪資""))), ""內部轉帳(忽略)"",
  REGEXMATCH(C12027, ""薪資""), ""薪資變動(不計入)"",
  REGEXMATCH(C12027, ""押金""), ""押金往來"",
  AND(E12027&lt;&gt;"""", F12027=""""), ""真實支出"",
  AND(E12027="""", F12027&lt;&gt;""""), ""真實收入"",
  TRUE, ""其他""
)"),"其他")</f>
        <v>其他</v>
      </c>
      <c r="K12027" s="270" t="str">
        <f t="shared" si="2"/>
        <v/>
      </c>
      <c r="L12027">
        <f t="shared" si="3"/>
        <v>0</v>
      </c>
    </row>
    <row r="12028">
      <c r="A12028" s="107"/>
      <c r="D12028" s="270"/>
      <c r="H12028" s="106" t="str">
        <f t="shared" si="1"/>
        <v/>
      </c>
      <c r="J12028" t="str">
        <f>IFERROR(__xludf.DUMMYFUNCTION("IFS(
  AND(REGEXMATCH(E12028, ""台銀籌備帳戶|玉山帳戶""), REGEXMATCH(C12028, ""薪資"")), ""分潤支出"",
  AND(REGEXMATCH(E12028, ""Ben帳戶|Elsa帳戶|Ben代墊|Ariel代墊|中信銀行共用""), REGEXMATCH(F12028, ""Ben帳戶|Elsa帳戶|Ben代墊|Ariel代墊|中信銀行共用"")), ""內部轉帳(忽略)"",
  AND(E12028&lt;&gt;"""", F12028&lt;&gt;"&amp;""""", NOT(REGEXMATCH(C12028, ""薪資""))), ""內部轉帳(忽略)"",
  REGEXMATCH(C12028, ""薪資""), ""薪資變動(不計入)"",
  REGEXMATCH(C12028, ""押金""), ""押金往來"",
  AND(E12028&lt;&gt;"""", F12028=""""), ""真實支出"",
  AND(E12028="""", F12028&lt;&gt;""""), ""真實收入"",
  TRUE, ""其他""
)"),"其他")</f>
        <v>其他</v>
      </c>
      <c r="K12028" s="270" t="str">
        <f t="shared" si="2"/>
        <v/>
      </c>
      <c r="L12028">
        <f t="shared" si="3"/>
        <v>0</v>
      </c>
    </row>
    <row r="12029">
      <c r="A12029" s="107"/>
      <c r="D12029" s="270"/>
      <c r="H12029" s="106" t="str">
        <f t="shared" si="1"/>
        <v/>
      </c>
      <c r="J12029" t="str">
        <f>IFERROR(__xludf.DUMMYFUNCTION("IFS(
  AND(REGEXMATCH(E12029, ""台銀籌備帳戶|玉山帳戶""), REGEXMATCH(C12029, ""薪資"")), ""分潤支出"",
  AND(REGEXMATCH(E12029, ""Ben帳戶|Elsa帳戶|Ben代墊|Ariel代墊|中信銀行共用""), REGEXMATCH(F12029, ""Ben帳戶|Elsa帳戶|Ben代墊|Ariel代墊|中信銀行共用"")), ""內部轉帳(忽略)"",
  AND(E12029&lt;&gt;"""", F12029&lt;&gt;"&amp;""""", NOT(REGEXMATCH(C12029, ""薪資""))), ""內部轉帳(忽略)"",
  REGEXMATCH(C12029, ""薪資""), ""薪資變動(不計入)"",
  REGEXMATCH(C12029, ""押金""), ""押金往來"",
  AND(E12029&lt;&gt;"""", F12029=""""), ""真實支出"",
  AND(E12029="""", F12029&lt;&gt;""""), ""真實收入"",
  TRUE, ""其他""
)"),"其他")</f>
        <v>其他</v>
      </c>
      <c r="K12029" s="270" t="str">
        <f t="shared" si="2"/>
        <v/>
      </c>
      <c r="L12029">
        <f t="shared" si="3"/>
        <v>0</v>
      </c>
    </row>
    <row r="12030">
      <c r="A12030" s="107"/>
      <c r="D12030" s="270"/>
      <c r="H12030" s="106" t="str">
        <f t="shared" si="1"/>
        <v/>
      </c>
      <c r="J12030" t="str">
        <f>IFERROR(__xludf.DUMMYFUNCTION("IFS(
  AND(REGEXMATCH(E12030, ""台銀籌備帳戶|玉山帳戶""), REGEXMATCH(C12030, ""薪資"")), ""分潤支出"",
  AND(REGEXMATCH(E12030, ""Ben帳戶|Elsa帳戶|Ben代墊|Ariel代墊|中信銀行共用""), REGEXMATCH(F12030, ""Ben帳戶|Elsa帳戶|Ben代墊|Ariel代墊|中信銀行共用"")), ""內部轉帳(忽略)"",
  AND(E12030&lt;&gt;"""", F12030&lt;&gt;"&amp;""""", NOT(REGEXMATCH(C12030, ""薪資""))), ""內部轉帳(忽略)"",
  REGEXMATCH(C12030, ""薪資""), ""薪資變動(不計入)"",
  REGEXMATCH(C12030, ""押金""), ""押金往來"",
  AND(E12030&lt;&gt;"""", F12030=""""), ""真實支出"",
  AND(E12030="""", F12030&lt;&gt;""""), ""真實收入"",
  TRUE, ""其他""
)"),"其他")</f>
        <v>其他</v>
      </c>
      <c r="K12030" s="270" t="str">
        <f t="shared" si="2"/>
        <v/>
      </c>
      <c r="L12030">
        <f t="shared" si="3"/>
        <v>0</v>
      </c>
    </row>
    <row r="12031">
      <c r="A12031" s="107"/>
      <c r="D12031" s="270"/>
      <c r="H12031" s="106" t="str">
        <f t="shared" si="1"/>
        <v/>
      </c>
      <c r="J12031" t="str">
        <f>IFERROR(__xludf.DUMMYFUNCTION("IFS(
  AND(REGEXMATCH(E12031, ""台銀籌備帳戶|玉山帳戶""), REGEXMATCH(C12031, ""薪資"")), ""分潤支出"",
  AND(REGEXMATCH(E12031, ""Ben帳戶|Elsa帳戶|Ben代墊|Ariel代墊|中信銀行共用""), REGEXMATCH(F12031, ""Ben帳戶|Elsa帳戶|Ben代墊|Ariel代墊|中信銀行共用"")), ""內部轉帳(忽略)"",
  AND(E12031&lt;&gt;"""", F12031&lt;&gt;"&amp;""""", NOT(REGEXMATCH(C12031, ""薪資""))), ""內部轉帳(忽略)"",
  REGEXMATCH(C12031, ""薪資""), ""薪資變動(不計入)"",
  REGEXMATCH(C12031, ""押金""), ""押金往來"",
  AND(E12031&lt;&gt;"""", F12031=""""), ""真實支出"",
  AND(E12031="""", F12031&lt;&gt;""""), ""真實收入"",
  TRUE, ""其他""
)"),"其他")</f>
        <v>其他</v>
      </c>
      <c r="K12031" s="270" t="str">
        <f t="shared" si="2"/>
        <v/>
      </c>
      <c r="L12031">
        <f t="shared" si="3"/>
        <v>0</v>
      </c>
    </row>
    <row r="12032">
      <c r="A12032" s="107"/>
      <c r="D12032" s="270"/>
      <c r="H12032" s="106" t="str">
        <f t="shared" si="1"/>
        <v/>
      </c>
      <c r="J12032" t="str">
        <f>IFERROR(__xludf.DUMMYFUNCTION("IFS(
  AND(REGEXMATCH(E12032, ""台銀籌備帳戶|玉山帳戶""), REGEXMATCH(C12032, ""薪資"")), ""分潤支出"",
  AND(REGEXMATCH(E12032, ""Ben帳戶|Elsa帳戶|Ben代墊|Ariel代墊|中信銀行共用""), REGEXMATCH(F12032, ""Ben帳戶|Elsa帳戶|Ben代墊|Ariel代墊|中信銀行共用"")), ""內部轉帳(忽略)"",
  AND(E12032&lt;&gt;"""", F12032&lt;&gt;"&amp;""""", NOT(REGEXMATCH(C12032, ""薪資""))), ""內部轉帳(忽略)"",
  REGEXMATCH(C12032, ""薪資""), ""薪資變動(不計入)"",
  REGEXMATCH(C12032, ""押金""), ""押金往來"",
  AND(E12032&lt;&gt;"""", F12032=""""), ""真實支出"",
  AND(E12032="""", F12032&lt;&gt;""""), ""真實收入"",
  TRUE, ""其他""
)"),"其他")</f>
        <v>其他</v>
      </c>
      <c r="K12032" s="270" t="str">
        <f t="shared" si="2"/>
        <v/>
      </c>
      <c r="L12032">
        <f t="shared" si="3"/>
        <v>0</v>
      </c>
    </row>
    <row r="12033">
      <c r="A12033" s="107"/>
      <c r="D12033" s="270"/>
      <c r="H12033" s="106" t="str">
        <f t="shared" si="1"/>
        <v/>
      </c>
      <c r="J12033" t="str">
        <f>IFERROR(__xludf.DUMMYFUNCTION("IFS(
  AND(REGEXMATCH(E12033, ""台銀籌備帳戶|玉山帳戶""), REGEXMATCH(C12033, ""薪資"")), ""分潤支出"",
  AND(REGEXMATCH(E12033, ""Ben帳戶|Elsa帳戶|Ben代墊|Ariel代墊|中信銀行共用""), REGEXMATCH(F12033, ""Ben帳戶|Elsa帳戶|Ben代墊|Ariel代墊|中信銀行共用"")), ""內部轉帳(忽略)"",
  AND(E12033&lt;&gt;"""", F12033&lt;&gt;"&amp;""""", NOT(REGEXMATCH(C12033, ""薪資""))), ""內部轉帳(忽略)"",
  REGEXMATCH(C12033, ""薪資""), ""薪資變動(不計入)"",
  REGEXMATCH(C12033, ""押金""), ""押金往來"",
  AND(E12033&lt;&gt;"""", F12033=""""), ""真實支出"",
  AND(E12033="""", F12033&lt;&gt;""""), ""真實收入"",
  TRUE, ""其他""
)"),"其他")</f>
        <v>其他</v>
      </c>
      <c r="K12033" s="270" t="str">
        <f t="shared" si="2"/>
        <v/>
      </c>
      <c r="L12033">
        <f t="shared" si="3"/>
        <v>0</v>
      </c>
    </row>
    <row r="12034">
      <c r="A12034" s="107"/>
      <c r="D12034" s="270"/>
      <c r="H12034" s="106" t="str">
        <f t="shared" si="1"/>
        <v/>
      </c>
      <c r="J12034" t="str">
        <f>IFERROR(__xludf.DUMMYFUNCTION("IFS(
  AND(REGEXMATCH(E12034, ""台銀籌備帳戶|玉山帳戶""), REGEXMATCH(C12034, ""薪資"")), ""分潤支出"",
  AND(REGEXMATCH(E12034, ""Ben帳戶|Elsa帳戶|Ben代墊|Ariel代墊|中信銀行共用""), REGEXMATCH(F12034, ""Ben帳戶|Elsa帳戶|Ben代墊|Ariel代墊|中信銀行共用"")), ""內部轉帳(忽略)"",
  AND(E12034&lt;&gt;"""", F12034&lt;&gt;"&amp;""""", NOT(REGEXMATCH(C12034, ""薪資""))), ""內部轉帳(忽略)"",
  REGEXMATCH(C12034, ""薪資""), ""薪資變動(不計入)"",
  REGEXMATCH(C12034, ""押金""), ""押金往來"",
  AND(E12034&lt;&gt;"""", F12034=""""), ""真實支出"",
  AND(E12034="""", F12034&lt;&gt;""""), ""真實收入"",
  TRUE, ""其他""
)"),"其他")</f>
        <v>其他</v>
      </c>
      <c r="K12034" s="270" t="str">
        <f t="shared" si="2"/>
        <v/>
      </c>
      <c r="L12034">
        <f t="shared" si="3"/>
        <v>0</v>
      </c>
    </row>
    <row r="12035">
      <c r="A12035" s="107"/>
      <c r="D12035" s="270"/>
      <c r="H12035" s="106" t="str">
        <f t="shared" si="1"/>
        <v/>
      </c>
      <c r="J12035" t="str">
        <f>IFERROR(__xludf.DUMMYFUNCTION("IFS(
  AND(REGEXMATCH(E12035, ""台銀籌備帳戶|玉山帳戶""), REGEXMATCH(C12035, ""薪資"")), ""分潤支出"",
  AND(REGEXMATCH(E12035, ""Ben帳戶|Elsa帳戶|Ben代墊|Ariel代墊|中信銀行共用""), REGEXMATCH(F12035, ""Ben帳戶|Elsa帳戶|Ben代墊|Ariel代墊|中信銀行共用"")), ""內部轉帳(忽略)"",
  AND(E12035&lt;&gt;"""", F12035&lt;&gt;"&amp;""""", NOT(REGEXMATCH(C12035, ""薪資""))), ""內部轉帳(忽略)"",
  REGEXMATCH(C12035, ""薪資""), ""薪資變動(不計入)"",
  REGEXMATCH(C12035, ""押金""), ""押金往來"",
  AND(E12035&lt;&gt;"""", F12035=""""), ""真實支出"",
  AND(E12035="""", F12035&lt;&gt;""""), ""真實收入"",
  TRUE, ""其他""
)"),"其他")</f>
        <v>其他</v>
      </c>
      <c r="K12035" s="270" t="str">
        <f t="shared" si="2"/>
        <v/>
      </c>
      <c r="L12035">
        <f t="shared" si="3"/>
        <v>0</v>
      </c>
    </row>
    <row r="12036">
      <c r="A12036" s="107"/>
      <c r="D12036" s="270"/>
      <c r="H12036" s="106" t="str">
        <f t="shared" si="1"/>
        <v/>
      </c>
      <c r="J12036" t="str">
        <f>IFERROR(__xludf.DUMMYFUNCTION("IFS(
  AND(REGEXMATCH(E12036, ""台銀籌備帳戶|玉山帳戶""), REGEXMATCH(C12036, ""薪資"")), ""分潤支出"",
  AND(REGEXMATCH(E12036, ""Ben帳戶|Elsa帳戶|Ben代墊|Ariel代墊|中信銀行共用""), REGEXMATCH(F12036, ""Ben帳戶|Elsa帳戶|Ben代墊|Ariel代墊|中信銀行共用"")), ""內部轉帳(忽略)"",
  AND(E12036&lt;&gt;"""", F12036&lt;&gt;"&amp;""""", NOT(REGEXMATCH(C12036, ""薪資""))), ""內部轉帳(忽略)"",
  REGEXMATCH(C12036, ""薪資""), ""薪資變動(不計入)"",
  REGEXMATCH(C12036, ""押金""), ""押金往來"",
  AND(E12036&lt;&gt;"""", F12036=""""), ""真實支出"",
  AND(E12036="""", F12036&lt;&gt;""""), ""真實收入"",
  TRUE, ""其他""
)"),"其他")</f>
        <v>其他</v>
      </c>
      <c r="K12036" s="270" t="str">
        <f t="shared" si="2"/>
        <v/>
      </c>
      <c r="L12036">
        <f t="shared" si="3"/>
        <v>0</v>
      </c>
    </row>
    <row r="12037">
      <c r="A12037" s="107"/>
      <c r="D12037" s="270"/>
      <c r="H12037" s="106" t="str">
        <f t="shared" si="1"/>
        <v/>
      </c>
      <c r="J12037" t="str">
        <f>IFERROR(__xludf.DUMMYFUNCTION("IFS(
  AND(REGEXMATCH(E12037, ""台銀籌備帳戶|玉山帳戶""), REGEXMATCH(C12037, ""薪資"")), ""分潤支出"",
  AND(REGEXMATCH(E12037, ""Ben帳戶|Elsa帳戶|Ben代墊|Ariel代墊|中信銀行共用""), REGEXMATCH(F12037, ""Ben帳戶|Elsa帳戶|Ben代墊|Ariel代墊|中信銀行共用"")), ""內部轉帳(忽略)"",
  AND(E12037&lt;&gt;"""", F12037&lt;&gt;"&amp;""""", NOT(REGEXMATCH(C12037, ""薪資""))), ""內部轉帳(忽略)"",
  REGEXMATCH(C12037, ""薪資""), ""薪資變動(不計入)"",
  REGEXMATCH(C12037, ""押金""), ""押金往來"",
  AND(E12037&lt;&gt;"""", F12037=""""), ""真實支出"",
  AND(E12037="""", F12037&lt;&gt;""""), ""真實收入"",
  TRUE, ""其他""
)"),"其他")</f>
        <v>其他</v>
      </c>
      <c r="K12037" s="270" t="str">
        <f t="shared" si="2"/>
        <v/>
      </c>
      <c r="L12037">
        <f t="shared" si="3"/>
        <v>0</v>
      </c>
    </row>
    <row r="12038">
      <c r="A12038" s="107"/>
      <c r="D12038" s="270"/>
      <c r="H12038" s="106" t="str">
        <f t="shared" si="1"/>
        <v/>
      </c>
      <c r="J12038" t="str">
        <f>IFERROR(__xludf.DUMMYFUNCTION("IFS(
  AND(REGEXMATCH(E12038, ""台銀籌備帳戶|玉山帳戶""), REGEXMATCH(C12038, ""薪資"")), ""分潤支出"",
  AND(REGEXMATCH(E12038, ""Ben帳戶|Elsa帳戶|Ben代墊|Ariel代墊|中信銀行共用""), REGEXMATCH(F12038, ""Ben帳戶|Elsa帳戶|Ben代墊|Ariel代墊|中信銀行共用"")), ""內部轉帳(忽略)"",
  AND(E12038&lt;&gt;"""", F12038&lt;&gt;"&amp;""""", NOT(REGEXMATCH(C12038, ""薪資""))), ""內部轉帳(忽略)"",
  REGEXMATCH(C12038, ""薪資""), ""薪資變動(不計入)"",
  REGEXMATCH(C12038, ""押金""), ""押金往來"",
  AND(E12038&lt;&gt;"""", F12038=""""), ""真實支出"",
  AND(E12038="""", F12038&lt;&gt;""""), ""真實收入"",
  TRUE, ""其他""
)"),"其他")</f>
        <v>其他</v>
      </c>
      <c r="K12038" s="270" t="str">
        <f t="shared" si="2"/>
        <v/>
      </c>
      <c r="L12038">
        <f t="shared" si="3"/>
        <v>0</v>
      </c>
    </row>
    <row r="12039">
      <c r="A12039" s="107"/>
      <c r="D12039" s="270"/>
      <c r="H12039" s="106" t="str">
        <f t="shared" si="1"/>
        <v/>
      </c>
      <c r="J12039" t="str">
        <f>IFERROR(__xludf.DUMMYFUNCTION("IFS(
  AND(REGEXMATCH(E12039, ""台銀籌備帳戶|玉山帳戶""), REGEXMATCH(C12039, ""薪資"")), ""分潤支出"",
  AND(REGEXMATCH(E12039, ""Ben帳戶|Elsa帳戶|Ben代墊|Ariel代墊|中信銀行共用""), REGEXMATCH(F12039, ""Ben帳戶|Elsa帳戶|Ben代墊|Ariel代墊|中信銀行共用"")), ""內部轉帳(忽略)"",
  AND(E12039&lt;&gt;"""", F12039&lt;&gt;"&amp;""""", NOT(REGEXMATCH(C12039, ""薪資""))), ""內部轉帳(忽略)"",
  REGEXMATCH(C12039, ""薪資""), ""薪資變動(不計入)"",
  REGEXMATCH(C12039, ""押金""), ""押金往來"",
  AND(E12039&lt;&gt;"""", F12039=""""), ""真實支出"",
  AND(E12039="""", F12039&lt;&gt;""""), ""真實收入"",
  TRUE, ""其他""
)"),"其他")</f>
        <v>其他</v>
      </c>
      <c r="K12039" s="270" t="str">
        <f t="shared" si="2"/>
        <v/>
      </c>
      <c r="L12039">
        <f t="shared" si="3"/>
        <v>0</v>
      </c>
    </row>
    <row r="12040">
      <c r="A12040" s="107"/>
      <c r="D12040" s="270"/>
      <c r="H12040" s="106" t="str">
        <f t="shared" si="1"/>
        <v/>
      </c>
      <c r="J12040" t="str">
        <f>IFERROR(__xludf.DUMMYFUNCTION("IFS(
  AND(REGEXMATCH(E12040, ""台銀籌備帳戶|玉山帳戶""), REGEXMATCH(C12040, ""薪資"")), ""分潤支出"",
  AND(REGEXMATCH(E12040, ""Ben帳戶|Elsa帳戶|Ben代墊|Ariel代墊|中信銀行共用""), REGEXMATCH(F12040, ""Ben帳戶|Elsa帳戶|Ben代墊|Ariel代墊|中信銀行共用"")), ""內部轉帳(忽略)"",
  AND(E12040&lt;&gt;"""", F12040&lt;&gt;"&amp;""""", NOT(REGEXMATCH(C12040, ""薪資""))), ""內部轉帳(忽略)"",
  REGEXMATCH(C12040, ""薪資""), ""薪資變動(不計入)"",
  REGEXMATCH(C12040, ""押金""), ""押金往來"",
  AND(E12040&lt;&gt;"""", F12040=""""), ""真實支出"",
  AND(E12040="""", F12040&lt;&gt;""""), ""真實收入"",
  TRUE, ""其他""
)"),"其他")</f>
        <v>其他</v>
      </c>
      <c r="K12040" s="270" t="str">
        <f t="shared" si="2"/>
        <v/>
      </c>
      <c r="L12040">
        <f t="shared" si="3"/>
        <v>0</v>
      </c>
    </row>
    <row r="12041">
      <c r="A12041" s="107"/>
      <c r="D12041" s="270"/>
      <c r="H12041" s="106" t="str">
        <f t="shared" si="1"/>
        <v/>
      </c>
      <c r="J12041" t="str">
        <f>IFERROR(__xludf.DUMMYFUNCTION("IFS(
  AND(REGEXMATCH(E12041, ""台銀籌備帳戶|玉山帳戶""), REGEXMATCH(C12041, ""薪資"")), ""分潤支出"",
  AND(REGEXMATCH(E12041, ""Ben帳戶|Elsa帳戶|Ben代墊|Ariel代墊|中信銀行共用""), REGEXMATCH(F12041, ""Ben帳戶|Elsa帳戶|Ben代墊|Ariel代墊|中信銀行共用"")), ""內部轉帳(忽略)"",
  AND(E12041&lt;&gt;"""", F12041&lt;&gt;"&amp;""""", NOT(REGEXMATCH(C12041, ""薪資""))), ""內部轉帳(忽略)"",
  REGEXMATCH(C12041, ""薪資""), ""薪資變動(不計入)"",
  REGEXMATCH(C12041, ""押金""), ""押金往來"",
  AND(E12041&lt;&gt;"""", F12041=""""), ""真實支出"",
  AND(E12041="""", F12041&lt;&gt;""""), ""真實收入"",
  TRUE, ""其他""
)"),"其他")</f>
        <v>其他</v>
      </c>
      <c r="K12041" s="270" t="str">
        <f t="shared" si="2"/>
        <v/>
      </c>
      <c r="L12041">
        <f t="shared" si="3"/>
        <v>0</v>
      </c>
    </row>
    <row r="12042">
      <c r="A12042" s="107"/>
      <c r="D12042" s="270"/>
      <c r="H12042" s="106" t="str">
        <f t="shared" si="1"/>
        <v/>
      </c>
      <c r="J12042" t="str">
        <f>IFERROR(__xludf.DUMMYFUNCTION("IFS(
  AND(REGEXMATCH(E12042, ""台銀籌備帳戶|玉山帳戶""), REGEXMATCH(C12042, ""薪資"")), ""分潤支出"",
  AND(REGEXMATCH(E12042, ""Ben帳戶|Elsa帳戶|Ben代墊|Ariel代墊|中信銀行共用""), REGEXMATCH(F12042, ""Ben帳戶|Elsa帳戶|Ben代墊|Ariel代墊|中信銀行共用"")), ""內部轉帳(忽略)"",
  AND(E12042&lt;&gt;"""", F12042&lt;&gt;"&amp;""""", NOT(REGEXMATCH(C12042, ""薪資""))), ""內部轉帳(忽略)"",
  REGEXMATCH(C12042, ""薪資""), ""薪資變動(不計入)"",
  REGEXMATCH(C12042, ""押金""), ""押金往來"",
  AND(E12042&lt;&gt;"""", F12042=""""), ""真實支出"",
  AND(E12042="""", F12042&lt;&gt;""""), ""真實收入"",
  TRUE, ""其他""
)"),"其他")</f>
        <v>其他</v>
      </c>
      <c r="K12042" s="270" t="str">
        <f t="shared" si="2"/>
        <v/>
      </c>
      <c r="L12042">
        <f t="shared" si="3"/>
        <v>0</v>
      </c>
    </row>
    <row r="12043">
      <c r="A12043" s="107"/>
      <c r="D12043" s="270"/>
      <c r="H12043" s="106" t="str">
        <f t="shared" si="1"/>
        <v/>
      </c>
      <c r="J12043" t="str">
        <f>IFERROR(__xludf.DUMMYFUNCTION("IFS(
  AND(REGEXMATCH(E12043, ""台銀籌備帳戶|玉山帳戶""), REGEXMATCH(C12043, ""薪資"")), ""分潤支出"",
  AND(REGEXMATCH(E12043, ""Ben帳戶|Elsa帳戶|Ben代墊|Ariel代墊|中信銀行共用""), REGEXMATCH(F12043, ""Ben帳戶|Elsa帳戶|Ben代墊|Ariel代墊|中信銀行共用"")), ""內部轉帳(忽略)"",
  AND(E12043&lt;&gt;"""", F12043&lt;&gt;"&amp;""""", NOT(REGEXMATCH(C12043, ""薪資""))), ""內部轉帳(忽略)"",
  REGEXMATCH(C12043, ""薪資""), ""薪資變動(不計入)"",
  REGEXMATCH(C12043, ""押金""), ""押金往來"",
  AND(E12043&lt;&gt;"""", F12043=""""), ""真實支出"",
  AND(E12043="""", F12043&lt;&gt;""""), ""真實收入"",
  TRUE, ""其他""
)"),"其他")</f>
        <v>其他</v>
      </c>
      <c r="K12043" s="270" t="str">
        <f t="shared" si="2"/>
        <v/>
      </c>
      <c r="L12043">
        <f t="shared" si="3"/>
        <v>0</v>
      </c>
    </row>
    <row r="12044">
      <c r="A12044" s="107"/>
      <c r="D12044" s="270"/>
      <c r="H12044" s="106" t="str">
        <f t="shared" si="1"/>
        <v/>
      </c>
      <c r="J12044" t="str">
        <f>IFERROR(__xludf.DUMMYFUNCTION("IFS(
  AND(REGEXMATCH(E12044, ""台銀籌備帳戶|玉山帳戶""), REGEXMATCH(C12044, ""薪資"")), ""分潤支出"",
  AND(REGEXMATCH(E12044, ""Ben帳戶|Elsa帳戶|Ben代墊|Ariel代墊|中信銀行共用""), REGEXMATCH(F12044, ""Ben帳戶|Elsa帳戶|Ben代墊|Ariel代墊|中信銀行共用"")), ""內部轉帳(忽略)"",
  AND(E12044&lt;&gt;"""", F12044&lt;&gt;"&amp;""""", NOT(REGEXMATCH(C12044, ""薪資""))), ""內部轉帳(忽略)"",
  REGEXMATCH(C12044, ""薪資""), ""薪資變動(不計入)"",
  REGEXMATCH(C12044, ""押金""), ""押金往來"",
  AND(E12044&lt;&gt;"""", F12044=""""), ""真實支出"",
  AND(E12044="""", F12044&lt;&gt;""""), ""真實收入"",
  TRUE, ""其他""
)"),"其他")</f>
        <v>其他</v>
      </c>
      <c r="K12044" s="270" t="str">
        <f t="shared" si="2"/>
        <v/>
      </c>
      <c r="L12044">
        <f t="shared" si="3"/>
        <v>0</v>
      </c>
    </row>
    <row r="12045">
      <c r="A12045" s="107"/>
      <c r="D12045" s="270"/>
      <c r="H12045" s="106" t="str">
        <f t="shared" si="1"/>
        <v/>
      </c>
      <c r="J12045" t="str">
        <f>IFERROR(__xludf.DUMMYFUNCTION("IFS(
  AND(REGEXMATCH(E12045, ""台銀籌備帳戶|玉山帳戶""), REGEXMATCH(C12045, ""薪資"")), ""分潤支出"",
  AND(REGEXMATCH(E12045, ""Ben帳戶|Elsa帳戶|Ben代墊|Ariel代墊|中信銀行共用""), REGEXMATCH(F12045, ""Ben帳戶|Elsa帳戶|Ben代墊|Ariel代墊|中信銀行共用"")), ""內部轉帳(忽略)"",
  AND(E12045&lt;&gt;"""", F12045&lt;&gt;"&amp;""""", NOT(REGEXMATCH(C12045, ""薪資""))), ""內部轉帳(忽略)"",
  REGEXMATCH(C12045, ""薪資""), ""薪資變動(不計入)"",
  REGEXMATCH(C12045, ""押金""), ""押金往來"",
  AND(E12045&lt;&gt;"""", F12045=""""), ""真實支出"",
  AND(E12045="""", F12045&lt;&gt;""""), ""真實收入"",
  TRUE, ""其他""
)"),"其他")</f>
        <v>其他</v>
      </c>
      <c r="K12045" s="270" t="str">
        <f t="shared" si="2"/>
        <v/>
      </c>
      <c r="L12045">
        <f t="shared" si="3"/>
        <v>0</v>
      </c>
    </row>
    <row r="12046">
      <c r="A12046" s="107"/>
      <c r="D12046" s="270"/>
      <c r="H12046" s="106" t="str">
        <f t="shared" si="1"/>
        <v/>
      </c>
      <c r="J12046" t="str">
        <f>IFERROR(__xludf.DUMMYFUNCTION("IFS(
  AND(REGEXMATCH(E12046, ""台銀籌備帳戶|玉山帳戶""), REGEXMATCH(C12046, ""薪資"")), ""分潤支出"",
  AND(REGEXMATCH(E12046, ""Ben帳戶|Elsa帳戶|Ben代墊|Ariel代墊|中信銀行共用""), REGEXMATCH(F12046, ""Ben帳戶|Elsa帳戶|Ben代墊|Ariel代墊|中信銀行共用"")), ""內部轉帳(忽略)"",
  AND(E12046&lt;&gt;"""", F12046&lt;&gt;"&amp;""""", NOT(REGEXMATCH(C12046, ""薪資""))), ""內部轉帳(忽略)"",
  REGEXMATCH(C12046, ""薪資""), ""薪資變動(不計入)"",
  REGEXMATCH(C12046, ""押金""), ""押金往來"",
  AND(E12046&lt;&gt;"""", F12046=""""), ""真實支出"",
  AND(E12046="""", F12046&lt;&gt;""""), ""真實收入"",
  TRUE, ""其他""
)"),"其他")</f>
        <v>其他</v>
      </c>
      <c r="K12046" s="270" t="str">
        <f t="shared" si="2"/>
        <v/>
      </c>
      <c r="L12046">
        <f t="shared" si="3"/>
        <v>0</v>
      </c>
    </row>
    <row r="12047">
      <c r="A12047" s="107"/>
      <c r="D12047" s="270"/>
      <c r="H12047" s="106" t="str">
        <f t="shared" si="1"/>
        <v/>
      </c>
      <c r="J12047" t="str">
        <f>IFERROR(__xludf.DUMMYFUNCTION("IFS(
  AND(REGEXMATCH(E12047, ""台銀籌備帳戶|玉山帳戶""), REGEXMATCH(C12047, ""薪資"")), ""分潤支出"",
  AND(REGEXMATCH(E12047, ""Ben帳戶|Elsa帳戶|Ben代墊|Ariel代墊|中信銀行共用""), REGEXMATCH(F12047, ""Ben帳戶|Elsa帳戶|Ben代墊|Ariel代墊|中信銀行共用"")), ""內部轉帳(忽略)"",
  AND(E12047&lt;&gt;"""", F12047&lt;&gt;"&amp;""""", NOT(REGEXMATCH(C12047, ""薪資""))), ""內部轉帳(忽略)"",
  REGEXMATCH(C12047, ""薪資""), ""薪資變動(不計入)"",
  REGEXMATCH(C12047, ""押金""), ""押金往來"",
  AND(E12047&lt;&gt;"""", F12047=""""), ""真實支出"",
  AND(E12047="""", F12047&lt;&gt;""""), ""真實收入"",
  TRUE, ""其他""
)"),"其他")</f>
        <v>其他</v>
      </c>
      <c r="K12047" s="270" t="str">
        <f t="shared" si="2"/>
        <v/>
      </c>
      <c r="L12047">
        <f t="shared" si="3"/>
        <v>0</v>
      </c>
    </row>
    <row r="12048">
      <c r="A12048" s="107"/>
      <c r="D12048" s="270"/>
      <c r="H12048" s="106" t="str">
        <f t="shared" si="1"/>
        <v/>
      </c>
      <c r="J12048" t="str">
        <f>IFERROR(__xludf.DUMMYFUNCTION("IFS(
  AND(REGEXMATCH(E12048, ""台銀籌備帳戶|玉山帳戶""), REGEXMATCH(C12048, ""薪資"")), ""分潤支出"",
  AND(REGEXMATCH(E12048, ""Ben帳戶|Elsa帳戶|Ben代墊|Ariel代墊|中信銀行共用""), REGEXMATCH(F12048, ""Ben帳戶|Elsa帳戶|Ben代墊|Ariel代墊|中信銀行共用"")), ""內部轉帳(忽略)"",
  AND(E12048&lt;&gt;"""", F12048&lt;&gt;"&amp;""""", NOT(REGEXMATCH(C12048, ""薪資""))), ""內部轉帳(忽略)"",
  REGEXMATCH(C12048, ""薪資""), ""薪資變動(不計入)"",
  REGEXMATCH(C12048, ""押金""), ""押金往來"",
  AND(E12048&lt;&gt;"""", F12048=""""), ""真實支出"",
  AND(E12048="""", F12048&lt;&gt;""""), ""真實收入"",
  TRUE, ""其他""
)"),"其他")</f>
        <v>其他</v>
      </c>
      <c r="K12048" s="270" t="str">
        <f t="shared" si="2"/>
        <v/>
      </c>
      <c r="L12048">
        <f t="shared" si="3"/>
        <v>0</v>
      </c>
    </row>
    <row r="12049">
      <c r="A12049" s="107"/>
      <c r="D12049" s="270"/>
      <c r="H12049" s="106" t="str">
        <f t="shared" si="1"/>
        <v/>
      </c>
      <c r="J12049" t="str">
        <f>IFERROR(__xludf.DUMMYFUNCTION("IFS(
  AND(REGEXMATCH(E12049, ""台銀籌備帳戶|玉山帳戶""), REGEXMATCH(C12049, ""薪資"")), ""分潤支出"",
  AND(REGEXMATCH(E12049, ""Ben帳戶|Elsa帳戶|Ben代墊|Ariel代墊|中信銀行共用""), REGEXMATCH(F12049, ""Ben帳戶|Elsa帳戶|Ben代墊|Ariel代墊|中信銀行共用"")), ""內部轉帳(忽略)"",
  AND(E12049&lt;&gt;"""", F12049&lt;&gt;"&amp;""""", NOT(REGEXMATCH(C12049, ""薪資""))), ""內部轉帳(忽略)"",
  REGEXMATCH(C12049, ""薪資""), ""薪資變動(不計入)"",
  REGEXMATCH(C12049, ""押金""), ""押金往來"",
  AND(E12049&lt;&gt;"""", F12049=""""), ""真實支出"",
  AND(E12049="""", F12049&lt;&gt;""""), ""真實收入"",
  TRUE, ""其他""
)"),"其他")</f>
        <v>其他</v>
      </c>
      <c r="K12049" s="270" t="str">
        <f t="shared" si="2"/>
        <v/>
      </c>
      <c r="L12049">
        <f t="shared" si="3"/>
        <v>0</v>
      </c>
    </row>
    <row r="12050">
      <c r="A12050" s="107"/>
      <c r="D12050" s="270"/>
      <c r="H12050" s="106" t="str">
        <f t="shared" si="1"/>
        <v/>
      </c>
      <c r="J12050" t="str">
        <f>IFERROR(__xludf.DUMMYFUNCTION("IFS(
  AND(REGEXMATCH(E12050, ""台銀籌備帳戶|玉山帳戶""), REGEXMATCH(C12050, ""薪資"")), ""分潤支出"",
  AND(REGEXMATCH(E12050, ""Ben帳戶|Elsa帳戶|Ben代墊|Ariel代墊|中信銀行共用""), REGEXMATCH(F12050, ""Ben帳戶|Elsa帳戶|Ben代墊|Ariel代墊|中信銀行共用"")), ""內部轉帳(忽略)"",
  AND(E12050&lt;&gt;"""", F12050&lt;&gt;"&amp;""""", NOT(REGEXMATCH(C12050, ""薪資""))), ""內部轉帳(忽略)"",
  REGEXMATCH(C12050, ""薪資""), ""薪資變動(不計入)"",
  REGEXMATCH(C12050, ""押金""), ""押金往來"",
  AND(E12050&lt;&gt;"""", F12050=""""), ""真實支出"",
  AND(E12050="""", F12050&lt;&gt;""""), ""真實收入"",
  TRUE, ""其他""
)"),"其他")</f>
        <v>其他</v>
      </c>
      <c r="K12050" s="270" t="str">
        <f t="shared" si="2"/>
        <v/>
      </c>
      <c r="L12050">
        <f t="shared" si="3"/>
        <v>0</v>
      </c>
    </row>
    <row r="12051">
      <c r="A12051" s="107"/>
      <c r="D12051" s="270"/>
      <c r="H12051" s="106" t="str">
        <f t="shared" si="1"/>
        <v/>
      </c>
      <c r="J12051" t="str">
        <f>IFERROR(__xludf.DUMMYFUNCTION("IFS(
  AND(REGEXMATCH(E12051, ""台銀籌備帳戶|玉山帳戶""), REGEXMATCH(C12051, ""薪資"")), ""分潤支出"",
  AND(REGEXMATCH(E12051, ""Ben帳戶|Elsa帳戶|Ben代墊|Ariel代墊|中信銀行共用""), REGEXMATCH(F12051, ""Ben帳戶|Elsa帳戶|Ben代墊|Ariel代墊|中信銀行共用"")), ""內部轉帳(忽略)"",
  AND(E12051&lt;&gt;"""", F12051&lt;&gt;"&amp;""""", NOT(REGEXMATCH(C12051, ""薪資""))), ""內部轉帳(忽略)"",
  REGEXMATCH(C12051, ""薪資""), ""薪資變動(不計入)"",
  REGEXMATCH(C12051, ""押金""), ""押金往來"",
  AND(E12051&lt;&gt;"""", F12051=""""), ""真實支出"",
  AND(E12051="""", F12051&lt;&gt;""""), ""真實收入"",
  TRUE, ""其他""
)"),"其他")</f>
        <v>其他</v>
      </c>
      <c r="K12051" s="270" t="str">
        <f t="shared" si="2"/>
        <v/>
      </c>
      <c r="L12051">
        <f t="shared" si="3"/>
        <v>0</v>
      </c>
    </row>
    <row r="12052">
      <c r="A12052" s="107"/>
      <c r="D12052" s="270"/>
      <c r="H12052" s="106" t="str">
        <f t="shared" si="1"/>
        <v/>
      </c>
      <c r="J12052" t="str">
        <f>IFERROR(__xludf.DUMMYFUNCTION("IFS(
  AND(REGEXMATCH(E12052, ""台銀籌備帳戶|玉山帳戶""), REGEXMATCH(C12052, ""薪資"")), ""分潤支出"",
  AND(REGEXMATCH(E12052, ""Ben帳戶|Elsa帳戶|Ben代墊|Ariel代墊|中信銀行共用""), REGEXMATCH(F12052, ""Ben帳戶|Elsa帳戶|Ben代墊|Ariel代墊|中信銀行共用"")), ""內部轉帳(忽略)"",
  AND(E12052&lt;&gt;"""", F12052&lt;&gt;"&amp;""""", NOT(REGEXMATCH(C12052, ""薪資""))), ""內部轉帳(忽略)"",
  REGEXMATCH(C12052, ""薪資""), ""薪資變動(不計入)"",
  REGEXMATCH(C12052, ""押金""), ""押金往來"",
  AND(E12052&lt;&gt;"""", F12052=""""), ""真實支出"",
  AND(E12052="""", F12052&lt;&gt;""""), ""真實收入"",
  TRUE, ""其他""
)"),"其他")</f>
        <v>其他</v>
      </c>
      <c r="K12052" s="270" t="str">
        <f t="shared" si="2"/>
        <v/>
      </c>
      <c r="L12052">
        <f t="shared" si="3"/>
        <v>0</v>
      </c>
    </row>
    <row r="12053">
      <c r="A12053" s="107"/>
      <c r="D12053" s="270"/>
      <c r="H12053" s="106" t="str">
        <f t="shared" si="1"/>
        <v/>
      </c>
      <c r="J12053" t="str">
        <f>IFERROR(__xludf.DUMMYFUNCTION("IFS(
  AND(REGEXMATCH(E12053, ""台銀籌備帳戶|玉山帳戶""), REGEXMATCH(C12053, ""薪資"")), ""分潤支出"",
  AND(REGEXMATCH(E12053, ""Ben帳戶|Elsa帳戶|Ben代墊|Ariel代墊|中信銀行共用""), REGEXMATCH(F12053, ""Ben帳戶|Elsa帳戶|Ben代墊|Ariel代墊|中信銀行共用"")), ""內部轉帳(忽略)"",
  AND(E12053&lt;&gt;"""", F12053&lt;&gt;"&amp;""""", NOT(REGEXMATCH(C12053, ""薪資""))), ""內部轉帳(忽略)"",
  REGEXMATCH(C12053, ""薪資""), ""薪資變動(不計入)"",
  REGEXMATCH(C12053, ""押金""), ""押金往來"",
  AND(E12053&lt;&gt;"""", F12053=""""), ""真實支出"",
  AND(E12053="""", F12053&lt;&gt;""""), ""真實收入"",
  TRUE, ""其他""
)"),"其他")</f>
        <v>其他</v>
      </c>
      <c r="K12053" s="270" t="str">
        <f t="shared" si="2"/>
        <v/>
      </c>
      <c r="L12053">
        <f t="shared" si="3"/>
        <v>0</v>
      </c>
    </row>
    <row r="12054">
      <c r="A12054" s="107"/>
      <c r="D12054" s="270"/>
      <c r="H12054" s="106" t="str">
        <f t="shared" si="1"/>
        <v/>
      </c>
      <c r="J12054" t="str">
        <f>IFERROR(__xludf.DUMMYFUNCTION("IFS(
  AND(REGEXMATCH(E12054, ""台銀籌備帳戶|玉山帳戶""), REGEXMATCH(C12054, ""薪資"")), ""分潤支出"",
  AND(REGEXMATCH(E12054, ""Ben帳戶|Elsa帳戶|Ben代墊|Ariel代墊|中信銀行共用""), REGEXMATCH(F12054, ""Ben帳戶|Elsa帳戶|Ben代墊|Ariel代墊|中信銀行共用"")), ""內部轉帳(忽略)"",
  AND(E12054&lt;&gt;"""", F12054&lt;&gt;"&amp;""""", NOT(REGEXMATCH(C12054, ""薪資""))), ""內部轉帳(忽略)"",
  REGEXMATCH(C12054, ""薪資""), ""薪資變動(不計入)"",
  REGEXMATCH(C12054, ""押金""), ""押金往來"",
  AND(E12054&lt;&gt;"""", F12054=""""), ""真實支出"",
  AND(E12054="""", F12054&lt;&gt;""""), ""真實收入"",
  TRUE, ""其他""
)"),"其他")</f>
        <v>其他</v>
      </c>
      <c r="K12054" s="270" t="str">
        <f t="shared" si="2"/>
        <v/>
      </c>
      <c r="L12054">
        <f t="shared" si="3"/>
        <v>0</v>
      </c>
    </row>
    <row r="12055">
      <c r="A12055" s="107"/>
      <c r="D12055" s="270"/>
      <c r="H12055" s="106" t="str">
        <f t="shared" si="1"/>
        <v/>
      </c>
      <c r="J12055" t="str">
        <f>IFERROR(__xludf.DUMMYFUNCTION("IFS(
  AND(REGEXMATCH(E12055, ""台銀籌備帳戶|玉山帳戶""), REGEXMATCH(C12055, ""薪資"")), ""分潤支出"",
  AND(REGEXMATCH(E12055, ""Ben帳戶|Elsa帳戶|Ben代墊|Ariel代墊|中信銀行共用""), REGEXMATCH(F12055, ""Ben帳戶|Elsa帳戶|Ben代墊|Ariel代墊|中信銀行共用"")), ""內部轉帳(忽略)"",
  AND(E12055&lt;&gt;"""", F12055&lt;&gt;"&amp;""""", NOT(REGEXMATCH(C12055, ""薪資""))), ""內部轉帳(忽略)"",
  REGEXMATCH(C12055, ""薪資""), ""薪資變動(不計入)"",
  REGEXMATCH(C12055, ""押金""), ""押金往來"",
  AND(E12055&lt;&gt;"""", F12055=""""), ""真實支出"",
  AND(E12055="""", F12055&lt;&gt;""""), ""真實收入"",
  TRUE, ""其他""
)"),"其他")</f>
        <v>其他</v>
      </c>
      <c r="K12055" s="270" t="str">
        <f t="shared" si="2"/>
        <v/>
      </c>
      <c r="L12055">
        <f t="shared" si="3"/>
        <v>0</v>
      </c>
    </row>
    <row r="12056">
      <c r="A12056" s="107"/>
      <c r="D12056" s="270"/>
      <c r="H12056" s="106" t="str">
        <f t="shared" si="1"/>
        <v/>
      </c>
      <c r="J12056" t="str">
        <f>IFERROR(__xludf.DUMMYFUNCTION("IFS(
  AND(REGEXMATCH(E12056, ""台銀籌備帳戶|玉山帳戶""), REGEXMATCH(C12056, ""薪資"")), ""分潤支出"",
  AND(REGEXMATCH(E12056, ""Ben帳戶|Elsa帳戶|Ben代墊|Ariel代墊|中信銀行共用""), REGEXMATCH(F12056, ""Ben帳戶|Elsa帳戶|Ben代墊|Ariel代墊|中信銀行共用"")), ""內部轉帳(忽略)"",
  AND(E12056&lt;&gt;"""", F12056&lt;&gt;"&amp;""""", NOT(REGEXMATCH(C12056, ""薪資""))), ""內部轉帳(忽略)"",
  REGEXMATCH(C12056, ""薪資""), ""薪資變動(不計入)"",
  REGEXMATCH(C12056, ""押金""), ""押金往來"",
  AND(E12056&lt;&gt;"""", F12056=""""), ""真實支出"",
  AND(E12056="""", F12056&lt;&gt;""""), ""真實收入"",
  TRUE, ""其他""
)"),"其他")</f>
        <v>其他</v>
      </c>
      <c r="K12056" s="270" t="str">
        <f t="shared" si="2"/>
        <v/>
      </c>
      <c r="L12056">
        <f t="shared" si="3"/>
        <v>0</v>
      </c>
    </row>
    <row r="12057">
      <c r="A12057" s="107"/>
      <c r="D12057" s="270"/>
      <c r="H12057" s="106" t="str">
        <f t="shared" si="1"/>
        <v/>
      </c>
      <c r="J12057" t="str">
        <f>IFERROR(__xludf.DUMMYFUNCTION("IFS(
  AND(REGEXMATCH(E12057, ""台銀籌備帳戶|玉山帳戶""), REGEXMATCH(C12057, ""薪資"")), ""分潤支出"",
  AND(REGEXMATCH(E12057, ""Ben帳戶|Elsa帳戶|Ben代墊|Ariel代墊|中信銀行共用""), REGEXMATCH(F12057, ""Ben帳戶|Elsa帳戶|Ben代墊|Ariel代墊|中信銀行共用"")), ""內部轉帳(忽略)"",
  AND(E12057&lt;&gt;"""", F12057&lt;&gt;"&amp;""""", NOT(REGEXMATCH(C12057, ""薪資""))), ""內部轉帳(忽略)"",
  REGEXMATCH(C12057, ""薪資""), ""薪資變動(不計入)"",
  REGEXMATCH(C12057, ""押金""), ""押金往來"",
  AND(E12057&lt;&gt;"""", F12057=""""), ""真實支出"",
  AND(E12057="""", F12057&lt;&gt;""""), ""真實收入"",
  TRUE, ""其他""
)"),"其他")</f>
        <v>其他</v>
      </c>
      <c r="K12057" s="270" t="str">
        <f t="shared" si="2"/>
        <v/>
      </c>
      <c r="L12057">
        <f t="shared" si="3"/>
        <v>0</v>
      </c>
    </row>
    <row r="12058">
      <c r="A12058" s="107"/>
      <c r="D12058" s="270"/>
      <c r="H12058" s="106" t="str">
        <f t="shared" si="1"/>
        <v/>
      </c>
      <c r="J12058" t="str">
        <f>IFERROR(__xludf.DUMMYFUNCTION("IFS(
  AND(REGEXMATCH(E12058, ""台銀籌備帳戶|玉山帳戶""), REGEXMATCH(C12058, ""薪資"")), ""分潤支出"",
  AND(REGEXMATCH(E12058, ""Ben帳戶|Elsa帳戶|Ben代墊|Ariel代墊|中信銀行共用""), REGEXMATCH(F12058, ""Ben帳戶|Elsa帳戶|Ben代墊|Ariel代墊|中信銀行共用"")), ""內部轉帳(忽略)"",
  AND(E12058&lt;&gt;"""", F12058&lt;&gt;"&amp;""""", NOT(REGEXMATCH(C12058, ""薪資""))), ""內部轉帳(忽略)"",
  REGEXMATCH(C12058, ""薪資""), ""薪資變動(不計入)"",
  REGEXMATCH(C12058, ""押金""), ""押金往來"",
  AND(E12058&lt;&gt;"""", F12058=""""), ""真實支出"",
  AND(E12058="""", F12058&lt;&gt;""""), ""真實收入"",
  TRUE, ""其他""
)"),"其他")</f>
        <v>其他</v>
      </c>
      <c r="K12058" s="270" t="str">
        <f t="shared" si="2"/>
        <v/>
      </c>
      <c r="L12058">
        <f t="shared" si="3"/>
        <v>0</v>
      </c>
    </row>
    <row r="12059">
      <c r="A12059" s="107"/>
      <c r="D12059" s="270"/>
      <c r="H12059" s="106" t="str">
        <f t="shared" si="1"/>
        <v/>
      </c>
      <c r="J12059" t="str">
        <f>IFERROR(__xludf.DUMMYFUNCTION("IFS(
  AND(REGEXMATCH(E12059, ""台銀籌備帳戶|玉山帳戶""), REGEXMATCH(C12059, ""薪資"")), ""分潤支出"",
  AND(REGEXMATCH(E12059, ""Ben帳戶|Elsa帳戶|Ben代墊|Ariel代墊|中信銀行共用""), REGEXMATCH(F12059, ""Ben帳戶|Elsa帳戶|Ben代墊|Ariel代墊|中信銀行共用"")), ""內部轉帳(忽略)"",
  AND(E12059&lt;&gt;"""", F12059&lt;&gt;"&amp;""""", NOT(REGEXMATCH(C12059, ""薪資""))), ""內部轉帳(忽略)"",
  REGEXMATCH(C12059, ""薪資""), ""薪資變動(不計入)"",
  REGEXMATCH(C12059, ""押金""), ""押金往來"",
  AND(E12059&lt;&gt;"""", F12059=""""), ""真實支出"",
  AND(E12059="""", F12059&lt;&gt;""""), ""真實收入"",
  TRUE, ""其他""
)"),"其他")</f>
        <v>其他</v>
      </c>
      <c r="K12059" s="270" t="str">
        <f t="shared" si="2"/>
        <v/>
      </c>
      <c r="L12059">
        <f t="shared" si="3"/>
        <v>0</v>
      </c>
    </row>
    <row r="12060">
      <c r="A12060" s="107"/>
      <c r="D12060" s="270"/>
      <c r="H12060" s="106" t="str">
        <f t="shared" si="1"/>
        <v/>
      </c>
      <c r="J12060" t="str">
        <f>IFERROR(__xludf.DUMMYFUNCTION("IFS(
  AND(REGEXMATCH(E12060, ""台銀籌備帳戶|玉山帳戶""), REGEXMATCH(C12060, ""薪資"")), ""分潤支出"",
  AND(REGEXMATCH(E12060, ""Ben帳戶|Elsa帳戶|Ben代墊|Ariel代墊|中信銀行共用""), REGEXMATCH(F12060, ""Ben帳戶|Elsa帳戶|Ben代墊|Ariel代墊|中信銀行共用"")), ""內部轉帳(忽略)"",
  AND(E12060&lt;&gt;"""", F12060&lt;&gt;"&amp;""""", NOT(REGEXMATCH(C12060, ""薪資""))), ""內部轉帳(忽略)"",
  REGEXMATCH(C12060, ""薪資""), ""薪資變動(不計入)"",
  REGEXMATCH(C12060, ""押金""), ""押金往來"",
  AND(E12060&lt;&gt;"""", F12060=""""), ""真實支出"",
  AND(E12060="""", F12060&lt;&gt;""""), ""真實收入"",
  TRUE, ""其他""
)"),"其他")</f>
        <v>其他</v>
      </c>
      <c r="K12060" s="270" t="str">
        <f t="shared" si="2"/>
        <v/>
      </c>
      <c r="L12060">
        <f t="shared" si="3"/>
        <v>0</v>
      </c>
    </row>
    <row r="12061">
      <c r="A12061" s="107"/>
      <c r="D12061" s="270"/>
      <c r="H12061" s="106" t="str">
        <f t="shared" si="1"/>
        <v/>
      </c>
      <c r="J12061" t="str">
        <f>IFERROR(__xludf.DUMMYFUNCTION("IFS(
  AND(REGEXMATCH(E12061, ""台銀籌備帳戶|玉山帳戶""), REGEXMATCH(C12061, ""薪資"")), ""分潤支出"",
  AND(REGEXMATCH(E12061, ""Ben帳戶|Elsa帳戶|Ben代墊|Ariel代墊|中信銀行共用""), REGEXMATCH(F12061, ""Ben帳戶|Elsa帳戶|Ben代墊|Ariel代墊|中信銀行共用"")), ""內部轉帳(忽略)"",
  AND(E12061&lt;&gt;"""", F12061&lt;&gt;"&amp;""""", NOT(REGEXMATCH(C12061, ""薪資""))), ""內部轉帳(忽略)"",
  REGEXMATCH(C12061, ""薪資""), ""薪資變動(不計入)"",
  REGEXMATCH(C12061, ""押金""), ""押金往來"",
  AND(E12061&lt;&gt;"""", F12061=""""), ""真實支出"",
  AND(E12061="""", F12061&lt;&gt;""""), ""真實收入"",
  TRUE, ""其他""
)"),"其他")</f>
        <v>其他</v>
      </c>
      <c r="K12061" s="270" t="str">
        <f t="shared" si="2"/>
        <v/>
      </c>
      <c r="L12061">
        <f t="shared" si="3"/>
        <v>0</v>
      </c>
    </row>
    <row r="12062">
      <c r="A12062" s="107"/>
      <c r="D12062" s="270"/>
      <c r="H12062" s="106" t="str">
        <f t="shared" si="1"/>
        <v/>
      </c>
      <c r="J12062" t="str">
        <f>IFERROR(__xludf.DUMMYFUNCTION("IFS(
  AND(REGEXMATCH(E12062, ""台銀籌備帳戶|玉山帳戶""), REGEXMATCH(C12062, ""薪資"")), ""分潤支出"",
  AND(REGEXMATCH(E12062, ""Ben帳戶|Elsa帳戶|Ben代墊|Ariel代墊|中信銀行共用""), REGEXMATCH(F12062, ""Ben帳戶|Elsa帳戶|Ben代墊|Ariel代墊|中信銀行共用"")), ""內部轉帳(忽略)"",
  AND(E12062&lt;&gt;"""", F12062&lt;&gt;"&amp;""""", NOT(REGEXMATCH(C12062, ""薪資""))), ""內部轉帳(忽略)"",
  REGEXMATCH(C12062, ""薪資""), ""薪資變動(不計入)"",
  REGEXMATCH(C12062, ""押金""), ""押金往來"",
  AND(E12062&lt;&gt;"""", F12062=""""), ""真實支出"",
  AND(E12062="""", F12062&lt;&gt;""""), ""真實收入"",
  TRUE, ""其他""
)"),"其他")</f>
        <v>其他</v>
      </c>
      <c r="K12062" s="270" t="str">
        <f t="shared" si="2"/>
        <v/>
      </c>
      <c r="L12062">
        <f t="shared" si="3"/>
        <v>0</v>
      </c>
    </row>
    <row r="12063">
      <c r="A12063" s="107"/>
      <c r="D12063" s="270"/>
      <c r="H12063" s="106" t="str">
        <f t="shared" si="1"/>
        <v/>
      </c>
      <c r="J12063" t="str">
        <f>IFERROR(__xludf.DUMMYFUNCTION("IFS(
  AND(REGEXMATCH(E12063, ""台銀籌備帳戶|玉山帳戶""), REGEXMATCH(C12063, ""薪資"")), ""分潤支出"",
  AND(REGEXMATCH(E12063, ""Ben帳戶|Elsa帳戶|Ben代墊|Ariel代墊|中信銀行共用""), REGEXMATCH(F12063, ""Ben帳戶|Elsa帳戶|Ben代墊|Ariel代墊|中信銀行共用"")), ""內部轉帳(忽略)"",
  AND(E12063&lt;&gt;"""", F12063&lt;&gt;"&amp;""""", NOT(REGEXMATCH(C12063, ""薪資""))), ""內部轉帳(忽略)"",
  REGEXMATCH(C12063, ""薪資""), ""薪資變動(不計入)"",
  REGEXMATCH(C12063, ""押金""), ""押金往來"",
  AND(E12063&lt;&gt;"""", F12063=""""), ""真實支出"",
  AND(E12063="""", F12063&lt;&gt;""""), ""真實收入"",
  TRUE, ""其他""
)"),"其他")</f>
        <v>其他</v>
      </c>
      <c r="K12063" s="270" t="str">
        <f t="shared" si="2"/>
        <v/>
      </c>
      <c r="L12063">
        <f t="shared" si="3"/>
        <v>0</v>
      </c>
    </row>
    <row r="12064">
      <c r="A12064" s="107"/>
      <c r="D12064" s="270"/>
      <c r="H12064" s="106" t="str">
        <f t="shared" si="1"/>
        <v/>
      </c>
      <c r="J12064" t="str">
        <f>IFERROR(__xludf.DUMMYFUNCTION("IFS(
  AND(REGEXMATCH(E12064, ""台銀籌備帳戶|玉山帳戶""), REGEXMATCH(C12064, ""薪資"")), ""分潤支出"",
  AND(REGEXMATCH(E12064, ""Ben帳戶|Elsa帳戶|Ben代墊|Ariel代墊|中信銀行共用""), REGEXMATCH(F12064, ""Ben帳戶|Elsa帳戶|Ben代墊|Ariel代墊|中信銀行共用"")), ""內部轉帳(忽略)"",
  AND(E12064&lt;&gt;"""", F12064&lt;&gt;"&amp;""""", NOT(REGEXMATCH(C12064, ""薪資""))), ""內部轉帳(忽略)"",
  REGEXMATCH(C12064, ""薪資""), ""薪資變動(不計入)"",
  REGEXMATCH(C12064, ""押金""), ""押金往來"",
  AND(E12064&lt;&gt;"""", F12064=""""), ""真實支出"",
  AND(E12064="""", F12064&lt;&gt;""""), ""真實收入"",
  TRUE, ""其他""
)"),"其他")</f>
        <v>其他</v>
      </c>
      <c r="K12064" s="270" t="str">
        <f t="shared" si="2"/>
        <v/>
      </c>
      <c r="L12064">
        <f t="shared" si="3"/>
        <v>0</v>
      </c>
    </row>
    <row r="12065">
      <c r="A12065" s="107"/>
      <c r="D12065" s="270"/>
      <c r="H12065" s="106" t="str">
        <f t="shared" si="1"/>
        <v/>
      </c>
      <c r="J12065" t="str">
        <f>IFERROR(__xludf.DUMMYFUNCTION("IFS(
  AND(REGEXMATCH(E12065, ""台銀籌備帳戶|玉山帳戶""), REGEXMATCH(C12065, ""薪資"")), ""分潤支出"",
  AND(REGEXMATCH(E12065, ""Ben帳戶|Elsa帳戶|Ben代墊|Ariel代墊|中信銀行共用""), REGEXMATCH(F12065, ""Ben帳戶|Elsa帳戶|Ben代墊|Ariel代墊|中信銀行共用"")), ""內部轉帳(忽略)"",
  AND(E12065&lt;&gt;"""", F12065&lt;&gt;"&amp;""""", NOT(REGEXMATCH(C12065, ""薪資""))), ""內部轉帳(忽略)"",
  REGEXMATCH(C12065, ""薪資""), ""薪資變動(不計入)"",
  REGEXMATCH(C12065, ""押金""), ""押金往來"",
  AND(E12065&lt;&gt;"""", F12065=""""), ""真實支出"",
  AND(E12065="""", F12065&lt;&gt;""""), ""真實收入"",
  TRUE, ""其他""
)"),"其他")</f>
        <v>其他</v>
      </c>
      <c r="K12065" s="270" t="str">
        <f t="shared" si="2"/>
        <v/>
      </c>
      <c r="L12065">
        <f t="shared" si="3"/>
        <v>0</v>
      </c>
    </row>
    <row r="12066">
      <c r="A12066" s="107"/>
      <c r="D12066" s="270"/>
      <c r="H12066" s="106" t="str">
        <f t="shared" si="1"/>
        <v/>
      </c>
      <c r="J12066" t="str">
        <f>IFERROR(__xludf.DUMMYFUNCTION("IFS(
  AND(REGEXMATCH(E12066, ""台銀籌備帳戶|玉山帳戶""), REGEXMATCH(C12066, ""薪資"")), ""分潤支出"",
  AND(REGEXMATCH(E12066, ""Ben帳戶|Elsa帳戶|Ben代墊|Ariel代墊|中信銀行共用""), REGEXMATCH(F12066, ""Ben帳戶|Elsa帳戶|Ben代墊|Ariel代墊|中信銀行共用"")), ""內部轉帳(忽略)"",
  AND(E12066&lt;&gt;"""", F12066&lt;&gt;"&amp;""""", NOT(REGEXMATCH(C12066, ""薪資""))), ""內部轉帳(忽略)"",
  REGEXMATCH(C12066, ""薪資""), ""薪資變動(不計入)"",
  REGEXMATCH(C12066, ""押金""), ""押金往來"",
  AND(E12066&lt;&gt;"""", F12066=""""), ""真實支出"",
  AND(E12066="""", F12066&lt;&gt;""""), ""真實收入"",
  TRUE, ""其他""
)"),"其他")</f>
        <v>其他</v>
      </c>
      <c r="K12066" s="270" t="str">
        <f t="shared" si="2"/>
        <v/>
      </c>
      <c r="L12066">
        <f t="shared" si="3"/>
        <v>0</v>
      </c>
    </row>
    <row r="12067">
      <c r="A12067" s="107"/>
      <c r="D12067" s="270"/>
      <c r="H12067" s="106" t="str">
        <f t="shared" si="1"/>
        <v/>
      </c>
      <c r="J12067" t="str">
        <f>IFERROR(__xludf.DUMMYFUNCTION("IFS(
  AND(REGEXMATCH(E12067, ""台銀籌備帳戶|玉山帳戶""), REGEXMATCH(C12067, ""薪資"")), ""分潤支出"",
  AND(REGEXMATCH(E12067, ""Ben帳戶|Elsa帳戶|Ben代墊|Ariel代墊|中信銀行共用""), REGEXMATCH(F12067, ""Ben帳戶|Elsa帳戶|Ben代墊|Ariel代墊|中信銀行共用"")), ""內部轉帳(忽略)"",
  AND(E12067&lt;&gt;"""", F12067&lt;&gt;"&amp;""""", NOT(REGEXMATCH(C12067, ""薪資""))), ""內部轉帳(忽略)"",
  REGEXMATCH(C12067, ""薪資""), ""薪資變動(不計入)"",
  REGEXMATCH(C12067, ""押金""), ""押金往來"",
  AND(E12067&lt;&gt;"""", F12067=""""), ""真實支出"",
  AND(E12067="""", F12067&lt;&gt;""""), ""真實收入"",
  TRUE, ""其他""
)"),"其他")</f>
        <v>其他</v>
      </c>
      <c r="K12067" s="270" t="str">
        <f t="shared" si="2"/>
        <v/>
      </c>
      <c r="L12067">
        <f t="shared" si="3"/>
        <v>0</v>
      </c>
    </row>
    <row r="12068">
      <c r="A12068" s="107"/>
      <c r="D12068" s="270"/>
      <c r="H12068" s="106" t="str">
        <f t="shared" si="1"/>
        <v/>
      </c>
      <c r="J12068" t="str">
        <f>IFERROR(__xludf.DUMMYFUNCTION("IFS(
  AND(REGEXMATCH(E12068, ""台銀籌備帳戶|玉山帳戶""), REGEXMATCH(C12068, ""薪資"")), ""分潤支出"",
  AND(REGEXMATCH(E12068, ""Ben帳戶|Elsa帳戶|Ben代墊|Ariel代墊|中信銀行共用""), REGEXMATCH(F12068, ""Ben帳戶|Elsa帳戶|Ben代墊|Ariel代墊|中信銀行共用"")), ""內部轉帳(忽略)"",
  AND(E12068&lt;&gt;"""", F12068&lt;&gt;"&amp;""""", NOT(REGEXMATCH(C12068, ""薪資""))), ""內部轉帳(忽略)"",
  REGEXMATCH(C12068, ""薪資""), ""薪資變動(不計入)"",
  REGEXMATCH(C12068, ""押金""), ""押金往來"",
  AND(E12068&lt;&gt;"""", F12068=""""), ""真實支出"",
  AND(E12068="""", F12068&lt;&gt;""""), ""真實收入"",
  TRUE, ""其他""
)"),"其他")</f>
        <v>其他</v>
      </c>
      <c r="K12068" s="270" t="str">
        <f t="shared" si="2"/>
        <v/>
      </c>
      <c r="L12068">
        <f t="shared" si="3"/>
        <v>0</v>
      </c>
    </row>
    <row r="12069">
      <c r="A12069" s="107"/>
      <c r="D12069" s="270"/>
      <c r="H12069" s="106" t="str">
        <f t="shared" si="1"/>
        <v/>
      </c>
      <c r="J12069" t="str">
        <f>IFERROR(__xludf.DUMMYFUNCTION("IFS(
  AND(REGEXMATCH(E12069, ""台銀籌備帳戶|玉山帳戶""), REGEXMATCH(C12069, ""薪資"")), ""分潤支出"",
  AND(REGEXMATCH(E12069, ""Ben帳戶|Elsa帳戶|Ben代墊|Ariel代墊|中信銀行共用""), REGEXMATCH(F12069, ""Ben帳戶|Elsa帳戶|Ben代墊|Ariel代墊|中信銀行共用"")), ""內部轉帳(忽略)"",
  AND(E12069&lt;&gt;"""", F12069&lt;&gt;"&amp;""""", NOT(REGEXMATCH(C12069, ""薪資""))), ""內部轉帳(忽略)"",
  REGEXMATCH(C12069, ""薪資""), ""薪資變動(不計入)"",
  REGEXMATCH(C12069, ""押金""), ""押金往來"",
  AND(E12069&lt;&gt;"""", F12069=""""), ""真實支出"",
  AND(E12069="""", F12069&lt;&gt;""""), ""真實收入"",
  TRUE, ""其他""
)"),"其他")</f>
        <v>其他</v>
      </c>
      <c r="K12069" s="270" t="str">
        <f t="shared" si="2"/>
        <v/>
      </c>
      <c r="L12069">
        <f t="shared" si="3"/>
        <v>0</v>
      </c>
    </row>
    <row r="12070">
      <c r="A12070" s="107"/>
      <c r="D12070" s="270"/>
      <c r="H12070" s="106" t="str">
        <f t="shared" si="1"/>
        <v/>
      </c>
      <c r="J12070" t="str">
        <f>IFERROR(__xludf.DUMMYFUNCTION("IFS(
  AND(REGEXMATCH(E12070, ""台銀籌備帳戶|玉山帳戶""), REGEXMATCH(C12070, ""薪資"")), ""分潤支出"",
  AND(REGEXMATCH(E12070, ""Ben帳戶|Elsa帳戶|Ben代墊|Ariel代墊|中信銀行共用""), REGEXMATCH(F12070, ""Ben帳戶|Elsa帳戶|Ben代墊|Ariel代墊|中信銀行共用"")), ""內部轉帳(忽略)"",
  AND(E12070&lt;&gt;"""", F12070&lt;&gt;"&amp;""""", NOT(REGEXMATCH(C12070, ""薪資""))), ""內部轉帳(忽略)"",
  REGEXMATCH(C12070, ""薪資""), ""薪資變動(不計入)"",
  REGEXMATCH(C12070, ""押金""), ""押金往來"",
  AND(E12070&lt;&gt;"""", F12070=""""), ""真實支出"",
  AND(E12070="""", F12070&lt;&gt;""""), ""真實收入"",
  TRUE, ""其他""
)"),"其他")</f>
        <v>其他</v>
      </c>
      <c r="K12070" s="270" t="str">
        <f t="shared" si="2"/>
        <v/>
      </c>
      <c r="L12070">
        <f t="shared" si="3"/>
        <v>0</v>
      </c>
    </row>
    <row r="12071">
      <c r="A12071" s="107"/>
      <c r="D12071" s="270"/>
      <c r="H12071" s="106" t="str">
        <f t="shared" si="1"/>
        <v/>
      </c>
      <c r="J12071" t="str">
        <f>IFERROR(__xludf.DUMMYFUNCTION("IFS(
  AND(REGEXMATCH(E12071, ""台銀籌備帳戶|玉山帳戶""), REGEXMATCH(C12071, ""薪資"")), ""分潤支出"",
  AND(REGEXMATCH(E12071, ""Ben帳戶|Elsa帳戶|Ben代墊|Ariel代墊|中信銀行共用""), REGEXMATCH(F12071, ""Ben帳戶|Elsa帳戶|Ben代墊|Ariel代墊|中信銀行共用"")), ""內部轉帳(忽略)"",
  AND(E12071&lt;&gt;"""", F12071&lt;&gt;"&amp;""""", NOT(REGEXMATCH(C12071, ""薪資""))), ""內部轉帳(忽略)"",
  REGEXMATCH(C12071, ""薪資""), ""薪資變動(不計入)"",
  REGEXMATCH(C12071, ""押金""), ""押金往來"",
  AND(E12071&lt;&gt;"""", F12071=""""), ""真實支出"",
  AND(E12071="""", F12071&lt;&gt;""""), ""真實收入"",
  TRUE, ""其他""
)"),"其他")</f>
        <v>其他</v>
      </c>
      <c r="K12071" s="270" t="str">
        <f t="shared" si="2"/>
        <v/>
      </c>
      <c r="L12071">
        <f t="shared" si="3"/>
        <v>0</v>
      </c>
    </row>
    <row r="12072">
      <c r="A12072" s="107"/>
      <c r="D12072" s="270"/>
      <c r="H12072" s="106" t="str">
        <f t="shared" si="1"/>
        <v/>
      </c>
      <c r="J12072" t="str">
        <f>IFERROR(__xludf.DUMMYFUNCTION("IFS(
  AND(REGEXMATCH(E12072, ""台銀籌備帳戶|玉山帳戶""), REGEXMATCH(C12072, ""薪資"")), ""分潤支出"",
  AND(REGEXMATCH(E12072, ""Ben帳戶|Elsa帳戶|Ben代墊|Ariel代墊|中信銀行共用""), REGEXMATCH(F12072, ""Ben帳戶|Elsa帳戶|Ben代墊|Ariel代墊|中信銀行共用"")), ""內部轉帳(忽略)"",
  AND(E12072&lt;&gt;"""", F12072&lt;&gt;"&amp;""""", NOT(REGEXMATCH(C12072, ""薪資""))), ""內部轉帳(忽略)"",
  REGEXMATCH(C12072, ""薪資""), ""薪資變動(不計入)"",
  REGEXMATCH(C12072, ""押金""), ""押金往來"",
  AND(E12072&lt;&gt;"""", F12072=""""), ""真實支出"",
  AND(E12072="""", F12072&lt;&gt;""""), ""真實收入"",
  TRUE, ""其他""
)"),"其他")</f>
        <v>其他</v>
      </c>
      <c r="K12072" s="270" t="str">
        <f t="shared" si="2"/>
        <v/>
      </c>
      <c r="L12072">
        <f t="shared" si="3"/>
        <v>0</v>
      </c>
    </row>
    <row r="12073">
      <c r="A12073" s="107"/>
      <c r="D12073" s="270"/>
      <c r="H12073" s="106" t="str">
        <f t="shared" si="1"/>
        <v/>
      </c>
      <c r="J12073" t="str">
        <f>IFERROR(__xludf.DUMMYFUNCTION("IFS(
  AND(REGEXMATCH(E12073, ""台銀籌備帳戶|玉山帳戶""), REGEXMATCH(C12073, ""薪資"")), ""分潤支出"",
  AND(REGEXMATCH(E12073, ""Ben帳戶|Elsa帳戶|Ben代墊|Ariel代墊|中信銀行共用""), REGEXMATCH(F12073, ""Ben帳戶|Elsa帳戶|Ben代墊|Ariel代墊|中信銀行共用"")), ""內部轉帳(忽略)"",
  AND(E12073&lt;&gt;"""", F12073&lt;&gt;"&amp;""""", NOT(REGEXMATCH(C12073, ""薪資""))), ""內部轉帳(忽略)"",
  REGEXMATCH(C12073, ""薪資""), ""薪資變動(不計入)"",
  REGEXMATCH(C12073, ""押金""), ""押金往來"",
  AND(E12073&lt;&gt;"""", F12073=""""), ""真實支出"",
  AND(E12073="""", F12073&lt;&gt;""""), ""真實收入"",
  TRUE, ""其他""
)"),"其他")</f>
        <v>其他</v>
      </c>
      <c r="K12073" s="270" t="str">
        <f t="shared" si="2"/>
        <v/>
      </c>
      <c r="L12073">
        <f t="shared" si="3"/>
        <v>0</v>
      </c>
    </row>
    <row r="12074">
      <c r="A12074" s="107"/>
      <c r="D12074" s="270"/>
      <c r="H12074" s="106" t="str">
        <f t="shared" si="1"/>
        <v/>
      </c>
      <c r="J12074" t="str">
        <f>IFERROR(__xludf.DUMMYFUNCTION("IFS(
  AND(REGEXMATCH(E12074, ""台銀籌備帳戶|玉山帳戶""), REGEXMATCH(C12074, ""薪資"")), ""分潤支出"",
  AND(REGEXMATCH(E12074, ""Ben帳戶|Elsa帳戶|Ben代墊|Ariel代墊|中信銀行共用""), REGEXMATCH(F12074, ""Ben帳戶|Elsa帳戶|Ben代墊|Ariel代墊|中信銀行共用"")), ""內部轉帳(忽略)"",
  AND(E12074&lt;&gt;"""", F12074&lt;&gt;"&amp;""""", NOT(REGEXMATCH(C12074, ""薪資""))), ""內部轉帳(忽略)"",
  REGEXMATCH(C12074, ""薪資""), ""薪資變動(不計入)"",
  REGEXMATCH(C12074, ""押金""), ""押金往來"",
  AND(E12074&lt;&gt;"""", F12074=""""), ""真實支出"",
  AND(E12074="""", F12074&lt;&gt;""""), ""真實收入"",
  TRUE, ""其他""
)"),"其他")</f>
        <v>其他</v>
      </c>
      <c r="K12074" s="270" t="str">
        <f t="shared" si="2"/>
        <v/>
      </c>
      <c r="L12074">
        <f t="shared" si="3"/>
        <v>0</v>
      </c>
    </row>
    <row r="12075">
      <c r="A12075" s="107"/>
      <c r="D12075" s="270"/>
      <c r="H12075" s="106" t="str">
        <f t="shared" si="1"/>
        <v/>
      </c>
      <c r="J12075" t="str">
        <f>IFERROR(__xludf.DUMMYFUNCTION("IFS(
  AND(REGEXMATCH(E12075, ""台銀籌備帳戶|玉山帳戶""), REGEXMATCH(C12075, ""薪資"")), ""分潤支出"",
  AND(REGEXMATCH(E12075, ""Ben帳戶|Elsa帳戶|Ben代墊|Ariel代墊|中信銀行共用""), REGEXMATCH(F12075, ""Ben帳戶|Elsa帳戶|Ben代墊|Ariel代墊|中信銀行共用"")), ""內部轉帳(忽略)"",
  AND(E12075&lt;&gt;"""", F12075&lt;&gt;"&amp;""""", NOT(REGEXMATCH(C12075, ""薪資""))), ""內部轉帳(忽略)"",
  REGEXMATCH(C12075, ""薪資""), ""薪資變動(不計入)"",
  REGEXMATCH(C12075, ""押金""), ""押金往來"",
  AND(E12075&lt;&gt;"""", F12075=""""), ""真實支出"",
  AND(E12075="""", F12075&lt;&gt;""""), ""真實收入"",
  TRUE, ""其他""
)"),"其他")</f>
        <v>其他</v>
      </c>
      <c r="K12075" s="270" t="str">
        <f t="shared" si="2"/>
        <v/>
      </c>
      <c r="L12075">
        <f t="shared" si="3"/>
        <v>0</v>
      </c>
    </row>
    <row r="12076">
      <c r="A12076" s="107"/>
      <c r="D12076" s="270"/>
      <c r="H12076" s="106" t="str">
        <f t="shared" si="1"/>
        <v/>
      </c>
      <c r="J12076" t="str">
        <f>IFERROR(__xludf.DUMMYFUNCTION("IFS(
  AND(REGEXMATCH(E12076, ""台銀籌備帳戶|玉山帳戶""), REGEXMATCH(C12076, ""薪資"")), ""分潤支出"",
  AND(REGEXMATCH(E12076, ""Ben帳戶|Elsa帳戶|Ben代墊|Ariel代墊|中信銀行共用""), REGEXMATCH(F12076, ""Ben帳戶|Elsa帳戶|Ben代墊|Ariel代墊|中信銀行共用"")), ""內部轉帳(忽略)"",
  AND(E12076&lt;&gt;"""", F12076&lt;&gt;"&amp;""""", NOT(REGEXMATCH(C12076, ""薪資""))), ""內部轉帳(忽略)"",
  REGEXMATCH(C12076, ""薪資""), ""薪資變動(不計入)"",
  REGEXMATCH(C12076, ""押金""), ""押金往來"",
  AND(E12076&lt;&gt;"""", F12076=""""), ""真實支出"",
  AND(E12076="""", F12076&lt;&gt;""""), ""真實收入"",
  TRUE, ""其他""
)"),"其他")</f>
        <v>其他</v>
      </c>
      <c r="K12076" s="270" t="str">
        <f t="shared" si="2"/>
        <v/>
      </c>
      <c r="L12076">
        <f t="shared" si="3"/>
        <v>0</v>
      </c>
    </row>
    <row r="12077">
      <c r="A12077" s="107"/>
      <c r="D12077" s="270"/>
      <c r="H12077" s="106" t="str">
        <f t="shared" si="1"/>
        <v/>
      </c>
      <c r="J12077" t="str">
        <f>IFERROR(__xludf.DUMMYFUNCTION("IFS(
  AND(REGEXMATCH(E12077, ""台銀籌備帳戶|玉山帳戶""), REGEXMATCH(C12077, ""薪資"")), ""分潤支出"",
  AND(REGEXMATCH(E12077, ""Ben帳戶|Elsa帳戶|Ben代墊|Ariel代墊|中信銀行共用""), REGEXMATCH(F12077, ""Ben帳戶|Elsa帳戶|Ben代墊|Ariel代墊|中信銀行共用"")), ""內部轉帳(忽略)"",
  AND(E12077&lt;&gt;"""", F12077&lt;&gt;"&amp;""""", NOT(REGEXMATCH(C12077, ""薪資""))), ""內部轉帳(忽略)"",
  REGEXMATCH(C12077, ""薪資""), ""薪資變動(不計入)"",
  REGEXMATCH(C12077, ""押金""), ""押金往來"",
  AND(E12077&lt;&gt;"""", F12077=""""), ""真實支出"",
  AND(E12077="""", F12077&lt;&gt;""""), ""真實收入"",
  TRUE, ""其他""
)"),"其他")</f>
        <v>其他</v>
      </c>
      <c r="K12077" s="270" t="str">
        <f t="shared" si="2"/>
        <v/>
      </c>
      <c r="L12077">
        <f t="shared" si="3"/>
        <v>0</v>
      </c>
    </row>
    <row r="12078">
      <c r="A12078" s="107"/>
      <c r="D12078" s="270"/>
      <c r="H12078" s="106" t="str">
        <f t="shared" si="1"/>
        <v/>
      </c>
      <c r="J12078" t="str">
        <f>IFERROR(__xludf.DUMMYFUNCTION("IFS(
  AND(REGEXMATCH(E12078, ""台銀籌備帳戶|玉山帳戶""), REGEXMATCH(C12078, ""薪資"")), ""分潤支出"",
  AND(REGEXMATCH(E12078, ""Ben帳戶|Elsa帳戶|Ben代墊|Ariel代墊|中信銀行共用""), REGEXMATCH(F12078, ""Ben帳戶|Elsa帳戶|Ben代墊|Ariel代墊|中信銀行共用"")), ""內部轉帳(忽略)"",
  AND(E12078&lt;&gt;"""", F12078&lt;&gt;"&amp;""""", NOT(REGEXMATCH(C12078, ""薪資""))), ""內部轉帳(忽略)"",
  REGEXMATCH(C12078, ""薪資""), ""薪資變動(不計入)"",
  REGEXMATCH(C12078, ""押金""), ""押金往來"",
  AND(E12078&lt;&gt;"""", F12078=""""), ""真實支出"",
  AND(E12078="""", F12078&lt;&gt;""""), ""真實收入"",
  TRUE, ""其他""
)"),"其他")</f>
        <v>其他</v>
      </c>
      <c r="K12078" s="270" t="str">
        <f t="shared" si="2"/>
        <v/>
      </c>
      <c r="L12078">
        <f t="shared" si="3"/>
        <v>0</v>
      </c>
    </row>
    <row r="12079">
      <c r="A12079" s="107"/>
      <c r="D12079" s="270"/>
      <c r="H12079" s="106" t="str">
        <f t="shared" si="1"/>
        <v/>
      </c>
      <c r="J12079" t="str">
        <f>IFERROR(__xludf.DUMMYFUNCTION("IFS(
  AND(REGEXMATCH(E12079, ""台銀籌備帳戶|玉山帳戶""), REGEXMATCH(C12079, ""薪資"")), ""分潤支出"",
  AND(REGEXMATCH(E12079, ""Ben帳戶|Elsa帳戶|Ben代墊|Ariel代墊|中信銀行共用""), REGEXMATCH(F12079, ""Ben帳戶|Elsa帳戶|Ben代墊|Ariel代墊|中信銀行共用"")), ""內部轉帳(忽略)"",
  AND(E12079&lt;&gt;"""", F12079&lt;&gt;"&amp;""""", NOT(REGEXMATCH(C12079, ""薪資""))), ""內部轉帳(忽略)"",
  REGEXMATCH(C12079, ""薪資""), ""薪資變動(不計入)"",
  REGEXMATCH(C12079, ""押金""), ""押金往來"",
  AND(E12079&lt;&gt;"""", F12079=""""), ""真實支出"",
  AND(E12079="""", F12079&lt;&gt;""""), ""真實收入"",
  TRUE, ""其他""
)"),"其他")</f>
        <v>其他</v>
      </c>
      <c r="K12079" s="270" t="str">
        <f t="shared" si="2"/>
        <v/>
      </c>
      <c r="L12079">
        <f t="shared" si="3"/>
        <v>0</v>
      </c>
    </row>
    <row r="12080">
      <c r="A12080" s="107"/>
      <c r="D12080" s="270"/>
      <c r="H12080" s="106" t="str">
        <f t="shared" si="1"/>
        <v/>
      </c>
      <c r="J12080" t="str">
        <f>IFERROR(__xludf.DUMMYFUNCTION("IFS(
  AND(REGEXMATCH(E12080, ""台銀籌備帳戶|玉山帳戶""), REGEXMATCH(C12080, ""薪資"")), ""分潤支出"",
  AND(REGEXMATCH(E12080, ""Ben帳戶|Elsa帳戶|Ben代墊|Ariel代墊|中信銀行共用""), REGEXMATCH(F12080, ""Ben帳戶|Elsa帳戶|Ben代墊|Ariel代墊|中信銀行共用"")), ""內部轉帳(忽略)"",
  AND(E12080&lt;&gt;"""", F12080&lt;&gt;"&amp;""""", NOT(REGEXMATCH(C12080, ""薪資""))), ""內部轉帳(忽略)"",
  REGEXMATCH(C12080, ""薪資""), ""薪資變動(不計入)"",
  REGEXMATCH(C12080, ""押金""), ""押金往來"",
  AND(E12080&lt;&gt;"""", F12080=""""), ""真實支出"",
  AND(E12080="""", F12080&lt;&gt;""""), ""真實收入"",
  TRUE, ""其他""
)"),"其他")</f>
        <v>其他</v>
      </c>
      <c r="K12080" s="270" t="str">
        <f t="shared" si="2"/>
        <v/>
      </c>
      <c r="L12080">
        <f t="shared" si="3"/>
        <v>0</v>
      </c>
    </row>
    <row r="12081">
      <c r="A12081" s="107"/>
      <c r="D12081" s="270"/>
      <c r="H12081" s="106" t="str">
        <f t="shared" si="1"/>
        <v/>
      </c>
      <c r="J12081" t="str">
        <f>IFERROR(__xludf.DUMMYFUNCTION("IFS(
  AND(REGEXMATCH(E12081, ""台銀籌備帳戶|玉山帳戶""), REGEXMATCH(C12081, ""薪資"")), ""分潤支出"",
  AND(REGEXMATCH(E12081, ""Ben帳戶|Elsa帳戶|Ben代墊|Ariel代墊|中信銀行共用""), REGEXMATCH(F12081, ""Ben帳戶|Elsa帳戶|Ben代墊|Ariel代墊|中信銀行共用"")), ""內部轉帳(忽略)"",
  AND(E12081&lt;&gt;"""", F12081&lt;&gt;"&amp;""""", NOT(REGEXMATCH(C12081, ""薪資""))), ""內部轉帳(忽略)"",
  REGEXMATCH(C12081, ""薪資""), ""薪資變動(不計入)"",
  REGEXMATCH(C12081, ""押金""), ""押金往來"",
  AND(E12081&lt;&gt;"""", F12081=""""), ""真實支出"",
  AND(E12081="""", F12081&lt;&gt;""""), ""真實收入"",
  TRUE, ""其他""
)"),"其他")</f>
        <v>其他</v>
      </c>
      <c r="K12081" s="270" t="str">
        <f t="shared" si="2"/>
        <v/>
      </c>
      <c r="L12081">
        <f t="shared" si="3"/>
        <v>0</v>
      </c>
    </row>
    <row r="12082">
      <c r="A12082" s="107"/>
      <c r="D12082" s="270"/>
      <c r="H12082" s="106" t="str">
        <f t="shared" si="1"/>
        <v/>
      </c>
      <c r="J12082" t="str">
        <f>IFERROR(__xludf.DUMMYFUNCTION("IFS(
  AND(REGEXMATCH(E12082, ""台銀籌備帳戶|玉山帳戶""), REGEXMATCH(C12082, ""薪資"")), ""分潤支出"",
  AND(REGEXMATCH(E12082, ""Ben帳戶|Elsa帳戶|Ben代墊|Ariel代墊|中信銀行共用""), REGEXMATCH(F12082, ""Ben帳戶|Elsa帳戶|Ben代墊|Ariel代墊|中信銀行共用"")), ""內部轉帳(忽略)"",
  AND(E12082&lt;&gt;"""", F12082&lt;&gt;"&amp;""""", NOT(REGEXMATCH(C12082, ""薪資""))), ""內部轉帳(忽略)"",
  REGEXMATCH(C12082, ""薪資""), ""薪資變動(不計入)"",
  REGEXMATCH(C12082, ""押金""), ""押金往來"",
  AND(E12082&lt;&gt;"""", F12082=""""), ""真實支出"",
  AND(E12082="""", F12082&lt;&gt;""""), ""真實收入"",
  TRUE, ""其他""
)"),"其他")</f>
        <v>其他</v>
      </c>
      <c r="K12082" s="270" t="str">
        <f t="shared" si="2"/>
        <v/>
      </c>
      <c r="L12082">
        <f t="shared" si="3"/>
        <v>0</v>
      </c>
    </row>
    <row r="12083">
      <c r="A12083" s="107"/>
      <c r="D12083" s="270"/>
      <c r="H12083" s="106" t="str">
        <f t="shared" si="1"/>
        <v/>
      </c>
      <c r="J12083" t="str">
        <f>IFERROR(__xludf.DUMMYFUNCTION("IFS(
  AND(REGEXMATCH(E12083, ""台銀籌備帳戶|玉山帳戶""), REGEXMATCH(C12083, ""薪資"")), ""分潤支出"",
  AND(REGEXMATCH(E12083, ""Ben帳戶|Elsa帳戶|Ben代墊|Ariel代墊|中信銀行共用""), REGEXMATCH(F12083, ""Ben帳戶|Elsa帳戶|Ben代墊|Ariel代墊|中信銀行共用"")), ""內部轉帳(忽略)"",
  AND(E12083&lt;&gt;"""", F12083&lt;&gt;"&amp;""""", NOT(REGEXMATCH(C12083, ""薪資""))), ""內部轉帳(忽略)"",
  REGEXMATCH(C12083, ""薪資""), ""薪資變動(不計入)"",
  REGEXMATCH(C12083, ""押金""), ""押金往來"",
  AND(E12083&lt;&gt;"""", F12083=""""), ""真實支出"",
  AND(E12083="""", F12083&lt;&gt;""""), ""真實收入"",
  TRUE, ""其他""
)"),"其他")</f>
        <v>其他</v>
      </c>
      <c r="K12083" s="270" t="str">
        <f t="shared" si="2"/>
        <v/>
      </c>
      <c r="L12083">
        <f t="shared" si="3"/>
        <v>0</v>
      </c>
    </row>
    <row r="12084">
      <c r="A12084" s="107"/>
      <c r="D12084" s="270"/>
      <c r="H12084" s="106" t="str">
        <f t="shared" si="1"/>
        <v/>
      </c>
      <c r="J12084" t="str">
        <f>IFERROR(__xludf.DUMMYFUNCTION("IFS(
  AND(REGEXMATCH(E12084, ""台銀籌備帳戶|玉山帳戶""), REGEXMATCH(C12084, ""薪資"")), ""分潤支出"",
  AND(REGEXMATCH(E12084, ""Ben帳戶|Elsa帳戶|Ben代墊|Ariel代墊|中信銀行共用""), REGEXMATCH(F12084, ""Ben帳戶|Elsa帳戶|Ben代墊|Ariel代墊|中信銀行共用"")), ""內部轉帳(忽略)"",
  AND(E12084&lt;&gt;"""", F12084&lt;&gt;"&amp;""""", NOT(REGEXMATCH(C12084, ""薪資""))), ""內部轉帳(忽略)"",
  REGEXMATCH(C12084, ""薪資""), ""薪資變動(不計入)"",
  REGEXMATCH(C12084, ""押金""), ""押金往來"",
  AND(E12084&lt;&gt;"""", F12084=""""), ""真實支出"",
  AND(E12084="""", F12084&lt;&gt;""""), ""真實收入"",
  TRUE, ""其他""
)"),"其他")</f>
        <v>其他</v>
      </c>
      <c r="K12084" s="270" t="str">
        <f t="shared" si="2"/>
        <v/>
      </c>
      <c r="L12084">
        <f t="shared" si="3"/>
        <v>0</v>
      </c>
    </row>
    <row r="12085">
      <c r="A12085" s="107"/>
      <c r="D12085" s="270"/>
      <c r="H12085" s="106" t="str">
        <f t="shared" si="1"/>
        <v/>
      </c>
      <c r="J12085" t="str">
        <f>IFERROR(__xludf.DUMMYFUNCTION("IFS(
  AND(REGEXMATCH(E12085, ""台銀籌備帳戶|玉山帳戶""), REGEXMATCH(C12085, ""薪資"")), ""分潤支出"",
  AND(REGEXMATCH(E12085, ""Ben帳戶|Elsa帳戶|Ben代墊|Ariel代墊|中信銀行共用""), REGEXMATCH(F12085, ""Ben帳戶|Elsa帳戶|Ben代墊|Ariel代墊|中信銀行共用"")), ""內部轉帳(忽略)"",
  AND(E12085&lt;&gt;"""", F12085&lt;&gt;"&amp;""""", NOT(REGEXMATCH(C12085, ""薪資""))), ""內部轉帳(忽略)"",
  REGEXMATCH(C12085, ""薪資""), ""薪資變動(不計入)"",
  REGEXMATCH(C12085, ""押金""), ""押金往來"",
  AND(E12085&lt;&gt;"""", F12085=""""), ""真實支出"",
  AND(E12085="""", F12085&lt;&gt;""""), ""真實收入"",
  TRUE, ""其他""
)"),"其他")</f>
        <v>其他</v>
      </c>
      <c r="K12085" s="270" t="str">
        <f t="shared" si="2"/>
        <v/>
      </c>
      <c r="L12085">
        <f t="shared" si="3"/>
        <v>0</v>
      </c>
    </row>
    <row r="12086">
      <c r="A12086" s="107"/>
      <c r="D12086" s="270"/>
      <c r="H12086" s="106" t="str">
        <f t="shared" si="1"/>
        <v/>
      </c>
      <c r="J12086" t="str">
        <f>IFERROR(__xludf.DUMMYFUNCTION("IFS(
  AND(REGEXMATCH(E12086, ""台銀籌備帳戶|玉山帳戶""), REGEXMATCH(C12086, ""薪資"")), ""分潤支出"",
  AND(REGEXMATCH(E12086, ""Ben帳戶|Elsa帳戶|Ben代墊|Ariel代墊|中信銀行共用""), REGEXMATCH(F12086, ""Ben帳戶|Elsa帳戶|Ben代墊|Ariel代墊|中信銀行共用"")), ""內部轉帳(忽略)"",
  AND(E12086&lt;&gt;"""", F12086&lt;&gt;"&amp;""""", NOT(REGEXMATCH(C12086, ""薪資""))), ""內部轉帳(忽略)"",
  REGEXMATCH(C12086, ""薪資""), ""薪資變動(不計入)"",
  REGEXMATCH(C12086, ""押金""), ""押金往來"",
  AND(E12086&lt;&gt;"""", F12086=""""), ""真實支出"",
  AND(E12086="""", F12086&lt;&gt;""""), ""真實收入"",
  TRUE, ""其他""
)"),"其他")</f>
        <v>其他</v>
      </c>
      <c r="K12086" s="270" t="str">
        <f t="shared" si="2"/>
        <v/>
      </c>
      <c r="L12086">
        <f t="shared" si="3"/>
        <v>0</v>
      </c>
    </row>
    <row r="12087">
      <c r="A12087" s="107"/>
      <c r="D12087" s="270"/>
      <c r="H12087" s="106" t="str">
        <f t="shared" si="1"/>
        <v/>
      </c>
      <c r="J12087" t="str">
        <f>IFERROR(__xludf.DUMMYFUNCTION("IFS(
  AND(REGEXMATCH(E12087, ""台銀籌備帳戶|玉山帳戶""), REGEXMATCH(C12087, ""薪資"")), ""分潤支出"",
  AND(REGEXMATCH(E12087, ""Ben帳戶|Elsa帳戶|Ben代墊|Ariel代墊|中信銀行共用""), REGEXMATCH(F12087, ""Ben帳戶|Elsa帳戶|Ben代墊|Ariel代墊|中信銀行共用"")), ""內部轉帳(忽略)"",
  AND(E12087&lt;&gt;"""", F12087&lt;&gt;"&amp;""""", NOT(REGEXMATCH(C12087, ""薪資""))), ""內部轉帳(忽略)"",
  REGEXMATCH(C12087, ""薪資""), ""薪資變動(不計入)"",
  REGEXMATCH(C12087, ""押金""), ""押金往來"",
  AND(E12087&lt;&gt;"""", F12087=""""), ""真實支出"",
  AND(E12087="""", F12087&lt;&gt;""""), ""真實收入"",
  TRUE, ""其他""
)"),"其他")</f>
        <v>其他</v>
      </c>
      <c r="K12087" s="270" t="str">
        <f t="shared" si="2"/>
        <v/>
      </c>
      <c r="L12087">
        <f t="shared" si="3"/>
        <v>0</v>
      </c>
    </row>
    <row r="12088">
      <c r="A12088" s="107"/>
      <c r="D12088" s="270"/>
      <c r="H12088" s="106" t="str">
        <f t="shared" si="1"/>
        <v/>
      </c>
      <c r="J12088" t="str">
        <f>IFERROR(__xludf.DUMMYFUNCTION("IFS(
  AND(REGEXMATCH(E12088, ""台銀籌備帳戶|玉山帳戶""), REGEXMATCH(C12088, ""薪資"")), ""分潤支出"",
  AND(REGEXMATCH(E12088, ""Ben帳戶|Elsa帳戶|Ben代墊|Ariel代墊|中信銀行共用""), REGEXMATCH(F12088, ""Ben帳戶|Elsa帳戶|Ben代墊|Ariel代墊|中信銀行共用"")), ""內部轉帳(忽略)"",
  AND(E12088&lt;&gt;"""", F12088&lt;&gt;"&amp;""""", NOT(REGEXMATCH(C12088, ""薪資""))), ""內部轉帳(忽略)"",
  REGEXMATCH(C12088, ""薪資""), ""薪資變動(不計入)"",
  REGEXMATCH(C12088, ""押金""), ""押金往來"",
  AND(E12088&lt;&gt;"""", F12088=""""), ""真實支出"",
  AND(E12088="""", F12088&lt;&gt;""""), ""真實收入"",
  TRUE, ""其他""
)"),"其他")</f>
        <v>其他</v>
      </c>
      <c r="K12088" s="270" t="str">
        <f t="shared" si="2"/>
        <v/>
      </c>
      <c r="L12088">
        <f t="shared" si="3"/>
        <v>0</v>
      </c>
    </row>
    <row r="12089">
      <c r="A12089" s="107"/>
      <c r="D12089" s="270"/>
      <c r="H12089" s="106" t="str">
        <f t="shared" si="1"/>
        <v/>
      </c>
      <c r="J12089" t="str">
        <f>IFERROR(__xludf.DUMMYFUNCTION("IFS(
  AND(REGEXMATCH(E12089, ""台銀籌備帳戶|玉山帳戶""), REGEXMATCH(C12089, ""薪資"")), ""分潤支出"",
  AND(REGEXMATCH(E12089, ""Ben帳戶|Elsa帳戶|Ben代墊|Ariel代墊|中信銀行共用""), REGEXMATCH(F12089, ""Ben帳戶|Elsa帳戶|Ben代墊|Ariel代墊|中信銀行共用"")), ""內部轉帳(忽略)"",
  AND(E12089&lt;&gt;"""", F12089&lt;&gt;"&amp;""""", NOT(REGEXMATCH(C12089, ""薪資""))), ""內部轉帳(忽略)"",
  REGEXMATCH(C12089, ""薪資""), ""薪資變動(不計入)"",
  REGEXMATCH(C12089, ""押金""), ""押金往來"",
  AND(E12089&lt;&gt;"""", F12089=""""), ""真實支出"",
  AND(E12089="""", F12089&lt;&gt;""""), ""真實收入"",
  TRUE, ""其他""
)"),"其他")</f>
        <v>其他</v>
      </c>
      <c r="K12089" s="270" t="str">
        <f t="shared" si="2"/>
        <v/>
      </c>
      <c r="L12089">
        <f t="shared" si="3"/>
        <v>0</v>
      </c>
    </row>
    <row r="12090">
      <c r="A12090" s="107"/>
      <c r="D12090" s="270"/>
      <c r="H12090" s="106" t="str">
        <f t="shared" si="1"/>
        <v/>
      </c>
      <c r="J12090" t="str">
        <f>IFERROR(__xludf.DUMMYFUNCTION("IFS(
  AND(REGEXMATCH(E12090, ""台銀籌備帳戶|玉山帳戶""), REGEXMATCH(C12090, ""薪資"")), ""分潤支出"",
  AND(REGEXMATCH(E12090, ""Ben帳戶|Elsa帳戶|Ben代墊|Ariel代墊|中信銀行共用""), REGEXMATCH(F12090, ""Ben帳戶|Elsa帳戶|Ben代墊|Ariel代墊|中信銀行共用"")), ""內部轉帳(忽略)"",
  AND(E12090&lt;&gt;"""", F12090&lt;&gt;"&amp;""""", NOT(REGEXMATCH(C12090, ""薪資""))), ""內部轉帳(忽略)"",
  REGEXMATCH(C12090, ""薪資""), ""薪資變動(不計入)"",
  REGEXMATCH(C12090, ""押金""), ""押金往來"",
  AND(E12090&lt;&gt;"""", F12090=""""), ""真實支出"",
  AND(E12090="""", F12090&lt;&gt;""""), ""真實收入"",
  TRUE, ""其他""
)"),"其他")</f>
        <v>其他</v>
      </c>
      <c r="K12090" s="270" t="str">
        <f t="shared" si="2"/>
        <v/>
      </c>
      <c r="L12090">
        <f t="shared" si="3"/>
        <v>0</v>
      </c>
    </row>
    <row r="12091">
      <c r="A12091" s="107"/>
      <c r="D12091" s="270"/>
      <c r="H12091" s="106" t="str">
        <f t="shared" si="1"/>
        <v/>
      </c>
      <c r="J12091" t="str">
        <f>IFERROR(__xludf.DUMMYFUNCTION("IFS(
  AND(REGEXMATCH(E12091, ""台銀籌備帳戶|玉山帳戶""), REGEXMATCH(C12091, ""薪資"")), ""分潤支出"",
  AND(REGEXMATCH(E12091, ""Ben帳戶|Elsa帳戶|Ben代墊|Ariel代墊|中信銀行共用""), REGEXMATCH(F12091, ""Ben帳戶|Elsa帳戶|Ben代墊|Ariel代墊|中信銀行共用"")), ""內部轉帳(忽略)"",
  AND(E12091&lt;&gt;"""", F12091&lt;&gt;"&amp;""""", NOT(REGEXMATCH(C12091, ""薪資""))), ""內部轉帳(忽略)"",
  REGEXMATCH(C12091, ""薪資""), ""薪資變動(不計入)"",
  REGEXMATCH(C12091, ""押金""), ""押金往來"",
  AND(E12091&lt;&gt;"""", F12091=""""), ""真實支出"",
  AND(E12091="""", F12091&lt;&gt;""""), ""真實收入"",
  TRUE, ""其他""
)"),"其他")</f>
        <v>其他</v>
      </c>
      <c r="K12091" s="270" t="str">
        <f t="shared" si="2"/>
        <v/>
      </c>
      <c r="L12091">
        <f t="shared" si="3"/>
        <v>0</v>
      </c>
    </row>
    <row r="12092">
      <c r="A12092" s="107"/>
      <c r="D12092" s="270"/>
      <c r="H12092" s="106" t="str">
        <f t="shared" si="1"/>
        <v/>
      </c>
      <c r="J12092" t="str">
        <f>IFERROR(__xludf.DUMMYFUNCTION("IFS(
  AND(REGEXMATCH(E12092, ""台銀籌備帳戶|玉山帳戶""), REGEXMATCH(C12092, ""薪資"")), ""分潤支出"",
  AND(REGEXMATCH(E12092, ""Ben帳戶|Elsa帳戶|Ben代墊|Ariel代墊|中信銀行共用""), REGEXMATCH(F12092, ""Ben帳戶|Elsa帳戶|Ben代墊|Ariel代墊|中信銀行共用"")), ""內部轉帳(忽略)"",
  AND(E12092&lt;&gt;"""", F12092&lt;&gt;"&amp;""""", NOT(REGEXMATCH(C12092, ""薪資""))), ""內部轉帳(忽略)"",
  REGEXMATCH(C12092, ""薪資""), ""薪資變動(不計入)"",
  REGEXMATCH(C12092, ""押金""), ""押金往來"",
  AND(E12092&lt;&gt;"""", F12092=""""), ""真實支出"",
  AND(E12092="""", F12092&lt;&gt;""""), ""真實收入"",
  TRUE, ""其他""
)"),"其他")</f>
        <v>其他</v>
      </c>
      <c r="K12092" s="270" t="str">
        <f t="shared" si="2"/>
        <v/>
      </c>
      <c r="L12092">
        <f t="shared" si="3"/>
        <v>0</v>
      </c>
    </row>
    <row r="12093">
      <c r="A12093" s="107"/>
      <c r="D12093" s="270"/>
      <c r="H12093" s="106" t="str">
        <f t="shared" si="1"/>
        <v/>
      </c>
      <c r="J12093" t="str">
        <f>IFERROR(__xludf.DUMMYFUNCTION("IFS(
  AND(REGEXMATCH(E12093, ""台銀籌備帳戶|玉山帳戶""), REGEXMATCH(C12093, ""薪資"")), ""分潤支出"",
  AND(REGEXMATCH(E12093, ""Ben帳戶|Elsa帳戶|Ben代墊|Ariel代墊|中信銀行共用""), REGEXMATCH(F12093, ""Ben帳戶|Elsa帳戶|Ben代墊|Ariel代墊|中信銀行共用"")), ""內部轉帳(忽略)"",
  AND(E12093&lt;&gt;"""", F12093&lt;&gt;"&amp;""""", NOT(REGEXMATCH(C12093, ""薪資""))), ""內部轉帳(忽略)"",
  REGEXMATCH(C12093, ""薪資""), ""薪資變動(不計入)"",
  REGEXMATCH(C12093, ""押金""), ""押金往來"",
  AND(E12093&lt;&gt;"""", F12093=""""), ""真實支出"",
  AND(E12093="""", F12093&lt;&gt;""""), ""真實收入"",
  TRUE, ""其他""
)"),"其他")</f>
        <v>其他</v>
      </c>
      <c r="K12093" s="270" t="str">
        <f t="shared" si="2"/>
        <v/>
      </c>
      <c r="L12093">
        <f t="shared" si="3"/>
        <v>0</v>
      </c>
    </row>
    <row r="12094">
      <c r="A12094" s="107"/>
      <c r="D12094" s="270"/>
      <c r="H12094" s="106" t="str">
        <f t="shared" si="1"/>
        <v/>
      </c>
      <c r="J12094" t="str">
        <f>IFERROR(__xludf.DUMMYFUNCTION("IFS(
  AND(REGEXMATCH(E12094, ""台銀籌備帳戶|玉山帳戶""), REGEXMATCH(C12094, ""薪資"")), ""分潤支出"",
  AND(REGEXMATCH(E12094, ""Ben帳戶|Elsa帳戶|Ben代墊|Ariel代墊|中信銀行共用""), REGEXMATCH(F12094, ""Ben帳戶|Elsa帳戶|Ben代墊|Ariel代墊|中信銀行共用"")), ""內部轉帳(忽略)"",
  AND(E12094&lt;&gt;"""", F12094&lt;&gt;"&amp;""""", NOT(REGEXMATCH(C12094, ""薪資""))), ""內部轉帳(忽略)"",
  REGEXMATCH(C12094, ""薪資""), ""薪資變動(不計入)"",
  REGEXMATCH(C12094, ""押金""), ""押金往來"",
  AND(E12094&lt;&gt;"""", F12094=""""), ""真實支出"",
  AND(E12094="""", F12094&lt;&gt;""""), ""真實收入"",
  TRUE, ""其他""
)"),"其他")</f>
        <v>其他</v>
      </c>
      <c r="K12094" s="270" t="str">
        <f t="shared" si="2"/>
        <v/>
      </c>
      <c r="L12094">
        <f t="shared" si="3"/>
        <v>0</v>
      </c>
    </row>
    <row r="12095">
      <c r="A12095" s="107"/>
      <c r="D12095" s="270"/>
      <c r="H12095" s="106" t="str">
        <f t="shared" si="1"/>
        <v/>
      </c>
      <c r="J12095" t="str">
        <f>IFERROR(__xludf.DUMMYFUNCTION("IFS(
  AND(REGEXMATCH(E12095, ""台銀籌備帳戶|玉山帳戶""), REGEXMATCH(C12095, ""薪資"")), ""分潤支出"",
  AND(REGEXMATCH(E12095, ""Ben帳戶|Elsa帳戶|Ben代墊|Ariel代墊|中信銀行共用""), REGEXMATCH(F12095, ""Ben帳戶|Elsa帳戶|Ben代墊|Ariel代墊|中信銀行共用"")), ""內部轉帳(忽略)"",
  AND(E12095&lt;&gt;"""", F12095&lt;&gt;"&amp;""""", NOT(REGEXMATCH(C12095, ""薪資""))), ""內部轉帳(忽略)"",
  REGEXMATCH(C12095, ""薪資""), ""薪資變動(不計入)"",
  REGEXMATCH(C12095, ""押金""), ""押金往來"",
  AND(E12095&lt;&gt;"""", F12095=""""), ""真實支出"",
  AND(E12095="""", F12095&lt;&gt;""""), ""真實收入"",
  TRUE, ""其他""
)"),"其他")</f>
        <v>其他</v>
      </c>
      <c r="K12095" s="270" t="str">
        <f t="shared" si="2"/>
        <v/>
      </c>
      <c r="L12095">
        <f t="shared" si="3"/>
        <v>0</v>
      </c>
    </row>
    <row r="12096">
      <c r="A12096" s="107"/>
      <c r="D12096" s="270"/>
      <c r="H12096" s="106" t="str">
        <f t="shared" si="1"/>
        <v/>
      </c>
      <c r="J12096" t="str">
        <f>IFERROR(__xludf.DUMMYFUNCTION("IFS(
  AND(REGEXMATCH(E12096, ""台銀籌備帳戶|玉山帳戶""), REGEXMATCH(C12096, ""薪資"")), ""分潤支出"",
  AND(REGEXMATCH(E12096, ""Ben帳戶|Elsa帳戶|Ben代墊|Ariel代墊|中信銀行共用""), REGEXMATCH(F12096, ""Ben帳戶|Elsa帳戶|Ben代墊|Ariel代墊|中信銀行共用"")), ""內部轉帳(忽略)"",
  AND(E12096&lt;&gt;"""", F12096&lt;&gt;"&amp;""""", NOT(REGEXMATCH(C12096, ""薪資""))), ""內部轉帳(忽略)"",
  REGEXMATCH(C12096, ""薪資""), ""薪資變動(不計入)"",
  REGEXMATCH(C12096, ""押金""), ""押金往來"",
  AND(E12096&lt;&gt;"""", F12096=""""), ""真實支出"",
  AND(E12096="""", F12096&lt;&gt;""""), ""真實收入"",
  TRUE, ""其他""
)"),"其他")</f>
        <v>其他</v>
      </c>
      <c r="K12096" s="270" t="str">
        <f t="shared" si="2"/>
        <v/>
      </c>
      <c r="L12096">
        <f t="shared" si="3"/>
        <v>0</v>
      </c>
    </row>
    <row r="12097">
      <c r="A12097" s="107"/>
      <c r="D12097" s="270"/>
      <c r="H12097" s="106" t="str">
        <f t="shared" si="1"/>
        <v/>
      </c>
      <c r="J12097" t="str">
        <f>IFERROR(__xludf.DUMMYFUNCTION("IFS(
  AND(REGEXMATCH(E12097, ""台銀籌備帳戶|玉山帳戶""), REGEXMATCH(C12097, ""薪資"")), ""分潤支出"",
  AND(REGEXMATCH(E12097, ""Ben帳戶|Elsa帳戶|Ben代墊|Ariel代墊|中信銀行共用""), REGEXMATCH(F12097, ""Ben帳戶|Elsa帳戶|Ben代墊|Ariel代墊|中信銀行共用"")), ""內部轉帳(忽略)"",
  AND(E12097&lt;&gt;"""", F12097&lt;&gt;"&amp;""""", NOT(REGEXMATCH(C12097, ""薪資""))), ""內部轉帳(忽略)"",
  REGEXMATCH(C12097, ""薪資""), ""薪資變動(不計入)"",
  REGEXMATCH(C12097, ""押金""), ""押金往來"",
  AND(E12097&lt;&gt;"""", F12097=""""), ""真實支出"",
  AND(E12097="""", F12097&lt;&gt;""""), ""真實收入"",
  TRUE, ""其他""
)"),"其他")</f>
        <v>其他</v>
      </c>
      <c r="K12097" s="270" t="str">
        <f t="shared" si="2"/>
        <v/>
      </c>
      <c r="L12097">
        <f t="shared" si="3"/>
        <v>0</v>
      </c>
    </row>
    <row r="12098">
      <c r="A12098" s="107"/>
      <c r="D12098" s="270"/>
      <c r="H12098" s="106" t="str">
        <f t="shared" si="1"/>
        <v/>
      </c>
      <c r="J12098" t="str">
        <f>IFERROR(__xludf.DUMMYFUNCTION("IFS(
  AND(REGEXMATCH(E12098, ""台銀籌備帳戶|玉山帳戶""), REGEXMATCH(C12098, ""薪資"")), ""分潤支出"",
  AND(REGEXMATCH(E12098, ""Ben帳戶|Elsa帳戶|Ben代墊|Ariel代墊|中信銀行共用""), REGEXMATCH(F12098, ""Ben帳戶|Elsa帳戶|Ben代墊|Ariel代墊|中信銀行共用"")), ""內部轉帳(忽略)"",
  AND(E12098&lt;&gt;"""", F12098&lt;&gt;"&amp;""""", NOT(REGEXMATCH(C12098, ""薪資""))), ""內部轉帳(忽略)"",
  REGEXMATCH(C12098, ""薪資""), ""薪資變動(不計入)"",
  REGEXMATCH(C12098, ""押金""), ""押金往來"",
  AND(E12098&lt;&gt;"""", F12098=""""), ""真實支出"",
  AND(E12098="""", F12098&lt;&gt;""""), ""真實收入"",
  TRUE, ""其他""
)"),"其他")</f>
        <v>其他</v>
      </c>
      <c r="K12098" s="270" t="str">
        <f t="shared" si="2"/>
        <v/>
      </c>
      <c r="L12098">
        <f t="shared" si="3"/>
        <v>0</v>
      </c>
    </row>
    <row r="12099">
      <c r="A12099" s="107"/>
      <c r="D12099" s="270"/>
      <c r="H12099" s="106" t="str">
        <f t="shared" si="1"/>
        <v/>
      </c>
      <c r="J12099" t="str">
        <f>IFERROR(__xludf.DUMMYFUNCTION("IFS(
  AND(REGEXMATCH(E12099, ""台銀籌備帳戶|玉山帳戶""), REGEXMATCH(C12099, ""薪資"")), ""分潤支出"",
  AND(REGEXMATCH(E12099, ""Ben帳戶|Elsa帳戶|Ben代墊|Ariel代墊|中信銀行共用""), REGEXMATCH(F12099, ""Ben帳戶|Elsa帳戶|Ben代墊|Ariel代墊|中信銀行共用"")), ""內部轉帳(忽略)"",
  AND(E12099&lt;&gt;"""", F12099&lt;&gt;"&amp;""""", NOT(REGEXMATCH(C12099, ""薪資""))), ""內部轉帳(忽略)"",
  REGEXMATCH(C12099, ""薪資""), ""薪資變動(不計入)"",
  REGEXMATCH(C12099, ""押金""), ""押金往來"",
  AND(E12099&lt;&gt;"""", F12099=""""), ""真實支出"",
  AND(E12099="""", F12099&lt;&gt;""""), ""真實收入"",
  TRUE, ""其他""
)"),"其他")</f>
        <v>其他</v>
      </c>
      <c r="K12099" s="270" t="str">
        <f t="shared" si="2"/>
        <v/>
      </c>
      <c r="L12099">
        <f t="shared" si="3"/>
        <v>0</v>
      </c>
    </row>
    <row r="12100">
      <c r="A12100" s="107"/>
      <c r="D12100" s="270"/>
      <c r="H12100" s="106" t="str">
        <f t="shared" si="1"/>
        <v/>
      </c>
      <c r="J12100" t="str">
        <f>IFERROR(__xludf.DUMMYFUNCTION("IFS(
  AND(REGEXMATCH(E12100, ""台銀籌備帳戶|玉山帳戶""), REGEXMATCH(C12100, ""薪資"")), ""分潤支出"",
  AND(REGEXMATCH(E12100, ""Ben帳戶|Elsa帳戶|Ben代墊|Ariel代墊|中信銀行共用""), REGEXMATCH(F12100, ""Ben帳戶|Elsa帳戶|Ben代墊|Ariel代墊|中信銀行共用"")), ""內部轉帳(忽略)"",
  AND(E12100&lt;&gt;"""", F12100&lt;&gt;"&amp;""""", NOT(REGEXMATCH(C12100, ""薪資""))), ""內部轉帳(忽略)"",
  REGEXMATCH(C12100, ""薪資""), ""薪資變動(不計入)"",
  REGEXMATCH(C12100, ""押金""), ""押金往來"",
  AND(E12100&lt;&gt;"""", F12100=""""), ""真實支出"",
  AND(E12100="""", F12100&lt;&gt;""""), ""真實收入"",
  TRUE, ""其他""
)"),"其他")</f>
        <v>其他</v>
      </c>
      <c r="K12100" s="270" t="str">
        <f t="shared" si="2"/>
        <v/>
      </c>
      <c r="L12100">
        <f t="shared" si="3"/>
        <v>0</v>
      </c>
    </row>
    <row r="12101">
      <c r="A12101" s="107"/>
      <c r="D12101" s="270"/>
      <c r="H12101" s="106" t="str">
        <f t="shared" si="1"/>
        <v/>
      </c>
      <c r="J12101" t="str">
        <f>IFERROR(__xludf.DUMMYFUNCTION("IFS(
  AND(REGEXMATCH(E12101, ""台銀籌備帳戶|玉山帳戶""), REGEXMATCH(C12101, ""薪資"")), ""分潤支出"",
  AND(REGEXMATCH(E12101, ""Ben帳戶|Elsa帳戶|Ben代墊|Ariel代墊|中信銀行共用""), REGEXMATCH(F12101, ""Ben帳戶|Elsa帳戶|Ben代墊|Ariel代墊|中信銀行共用"")), ""內部轉帳(忽略)"",
  AND(E12101&lt;&gt;"""", F12101&lt;&gt;"&amp;""""", NOT(REGEXMATCH(C12101, ""薪資""))), ""內部轉帳(忽略)"",
  REGEXMATCH(C12101, ""薪資""), ""薪資變動(不計入)"",
  REGEXMATCH(C12101, ""押金""), ""押金往來"",
  AND(E12101&lt;&gt;"""", F12101=""""), ""真實支出"",
  AND(E12101="""", F12101&lt;&gt;""""), ""真實收入"",
  TRUE, ""其他""
)"),"其他")</f>
        <v>其他</v>
      </c>
      <c r="K12101" s="270" t="str">
        <f t="shared" si="2"/>
        <v/>
      </c>
      <c r="L12101">
        <f t="shared" si="3"/>
        <v>0</v>
      </c>
    </row>
    <row r="12102">
      <c r="A12102" s="107"/>
      <c r="D12102" s="270"/>
      <c r="H12102" s="106" t="str">
        <f t="shared" si="1"/>
        <v/>
      </c>
      <c r="J12102" t="str">
        <f>IFERROR(__xludf.DUMMYFUNCTION("IFS(
  AND(REGEXMATCH(E12102, ""台銀籌備帳戶|玉山帳戶""), REGEXMATCH(C12102, ""薪資"")), ""分潤支出"",
  AND(REGEXMATCH(E12102, ""Ben帳戶|Elsa帳戶|Ben代墊|Ariel代墊|中信銀行共用""), REGEXMATCH(F12102, ""Ben帳戶|Elsa帳戶|Ben代墊|Ariel代墊|中信銀行共用"")), ""內部轉帳(忽略)"",
  AND(E12102&lt;&gt;"""", F12102&lt;&gt;"&amp;""""", NOT(REGEXMATCH(C12102, ""薪資""))), ""內部轉帳(忽略)"",
  REGEXMATCH(C12102, ""薪資""), ""薪資變動(不計入)"",
  REGEXMATCH(C12102, ""押金""), ""押金往來"",
  AND(E12102&lt;&gt;"""", F12102=""""), ""真實支出"",
  AND(E12102="""", F12102&lt;&gt;""""), ""真實收入"",
  TRUE, ""其他""
)"),"其他")</f>
        <v>其他</v>
      </c>
      <c r="K12102" s="270" t="str">
        <f t="shared" si="2"/>
        <v/>
      </c>
      <c r="L12102">
        <f t="shared" si="3"/>
        <v>0</v>
      </c>
    </row>
    <row r="12103">
      <c r="A12103" s="107"/>
      <c r="D12103" s="270"/>
      <c r="H12103" s="106" t="str">
        <f t="shared" si="1"/>
        <v/>
      </c>
      <c r="J12103" t="str">
        <f>IFERROR(__xludf.DUMMYFUNCTION("IFS(
  AND(REGEXMATCH(E12103, ""台銀籌備帳戶|玉山帳戶""), REGEXMATCH(C12103, ""薪資"")), ""分潤支出"",
  AND(REGEXMATCH(E12103, ""Ben帳戶|Elsa帳戶|Ben代墊|Ariel代墊|中信銀行共用""), REGEXMATCH(F12103, ""Ben帳戶|Elsa帳戶|Ben代墊|Ariel代墊|中信銀行共用"")), ""內部轉帳(忽略)"",
  AND(E12103&lt;&gt;"""", F12103&lt;&gt;"&amp;""""", NOT(REGEXMATCH(C12103, ""薪資""))), ""內部轉帳(忽略)"",
  REGEXMATCH(C12103, ""薪資""), ""薪資變動(不計入)"",
  REGEXMATCH(C12103, ""押金""), ""押金往來"",
  AND(E12103&lt;&gt;"""", F12103=""""), ""真實支出"",
  AND(E12103="""", F12103&lt;&gt;""""), ""真實收入"",
  TRUE, ""其他""
)"),"其他")</f>
        <v>其他</v>
      </c>
      <c r="K12103" s="270" t="str">
        <f t="shared" si="2"/>
        <v/>
      </c>
      <c r="L12103">
        <f t="shared" si="3"/>
        <v>0</v>
      </c>
    </row>
    <row r="12104">
      <c r="A12104" s="107"/>
      <c r="D12104" s="270"/>
      <c r="H12104" s="106" t="str">
        <f t="shared" si="1"/>
        <v/>
      </c>
      <c r="J12104" t="str">
        <f>IFERROR(__xludf.DUMMYFUNCTION("IFS(
  AND(REGEXMATCH(E12104, ""台銀籌備帳戶|玉山帳戶""), REGEXMATCH(C12104, ""薪資"")), ""分潤支出"",
  AND(REGEXMATCH(E12104, ""Ben帳戶|Elsa帳戶|Ben代墊|Ariel代墊|中信銀行共用""), REGEXMATCH(F12104, ""Ben帳戶|Elsa帳戶|Ben代墊|Ariel代墊|中信銀行共用"")), ""內部轉帳(忽略)"",
  AND(E12104&lt;&gt;"""", F12104&lt;&gt;"&amp;""""", NOT(REGEXMATCH(C12104, ""薪資""))), ""內部轉帳(忽略)"",
  REGEXMATCH(C12104, ""薪資""), ""薪資變動(不計入)"",
  REGEXMATCH(C12104, ""押金""), ""押金往來"",
  AND(E12104&lt;&gt;"""", F12104=""""), ""真實支出"",
  AND(E12104="""", F12104&lt;&gt;""""), ""真實收入"",
  TRUE, ""其他""
)"),"其他")</f>
        <v>其他</v>
      </c>
      <c r="K12104" s="270" t="str">
        <f t="shared" si="2"/>
        <v/>
      </c>
      <c r="L12104">
        <f t="shared" si="3"/>
        <v>0</v>
      </c>
    </row>
    <row r="12105">
      <c r="A12105" s="107"/>
      <c r="D12105" s="270"/>
      <c r="H12105" s="106" t="str">
        <f t="shared" si="1"/>
        <v/>
      </c>
      <c r="J12105" t="str">
        <f>IFERROR(__xludf.DUMMYFUNCTION("IFS(
  AND(REGEXMATCH(E12105, ""台銀籌備帳戶|玉山帳戶""), REGEXMATCH(C12105, ""薪資"")), ""分潤支出"",
  AND(REGEXMATCH(E12105, ""Ben帳戶|Elsa帳戶|Ben代墊|Ariel代墊|中信銀行共用""), REGEXMATCH(F12105, ""Ben帳戶|Elsa帳戶|Ben代墊|Ariel代墊|中信銀行共用"")), ""內部轉帳(忽略)"",
  AND(E12105&lt;&gt;"""", F12105&lt;&gt;"&amp;""""", NOT(REGEXMATCH(C12105, ""薪資""))), ""內部轉帳(忽略)"",
  REGEXMATCH(C12105, ""薪資""), ""薪資變動(不計入)"",
  REGEXMATCH(C12105, ""押金""), ""押金往來"",
  AND(E12105&lt;&gt;"""", F12105=""""), ""真實支出"",
  AND(E12105="""", F12105&lt;&gt;""""), ""真實收入"",
  TRUE, ""其他""
)"),"其他")</f>
        <v>其他</v>
      </c>
      <c r="K12105" s="270" t="str">
        <f t="shared" si="2"/>
        <v/>
      </c>
      <c r="L12105">
        <f t="shared" si="3"/>
        <v>0</v>
      </c>
    </row>
    <row r="12106">
      <c r="A12106" s="107"/>
      <c r="D12106" s="270"/>
      <c r="H12106" s="106" t="str">
        <f t="shared" si="1"/>
        <v/>
      </c>
      <c r="J12106" t="str">
        <f>IFERROR(__xludf.DUMMYFUNCTION("IFS(
  AND(REGEXMATCH(E12106, ""台銀籌備帳戶|玉山帳戶""), REGEXMATCH(C12106, ""薪資"")), ""分潤支出"",
  AND(REGEXMATCH(E12106, ""Ben帳戶|Elsa帳戶|Ben代墊|Ariel代墊|中信銀行共用""), REGEXMATCH(F12106, ""Ben帳戶|Elsa帳戶|Ben代墊|Ariel代墊|中信銀行共用"")), ""內部轉帳(忽略)"",
  AND(E12106&lt;&gt;"""", F12106&lt;&gt;"&amp;""""", NOT(REGEXMATCH(C12106, ""薪資""))), ""內部轉帳(忽略)"",
  REGEXMATCH(C12106, ""薪資""), ""薪資變動(不計入)"",
  REGEXMATCH(C12106, ""押金""), ""押金往來"",
  AND(E12106&lt;&gt;"""", F12106=""""), ""真實支出"",
  AND(E12106="""", F12106&lt;&gt;""""), ""真實收入"",
  TRUE, ""其他""
)"),"其他")</f>
        <v>其他</v>
      </c>
      <c r="K12106" s="270" t="str">
        <f t="shared" si="2"/>
        <v/>
      </c>
      <c r="L12106">
        <f t="shared" si="3"/>
        <v>0</v>
      </c>
    </row>
    <row r="12107">
      <c r="A12107" s="107"/>
      <c r="D12107" s="270"/>
      <c r="H12107" s="106" t="str">
        <f t="shared" si="1"/>
        <v/>
      </c>
      <c r="J12107" t="str">
        <f>IFERROR(__xludf.DUMMYFUNCTION("IFS(
  AND(REGEXMATCH(E12107, ""台銀籌備帳戶|玉山帳戶""), REGEXMATCH(C12107, ""薪資"")), ""分潤支出"",
  AND(REGEXMATCH(E12107, ""Ben帳戶|Elsa帳戶|Ben代墊|Ariel代墊|中信銀行共用""), REGEXMATCH(F12107, ""Ben帳戶|Elsa帳戶|Ben代墊|Ariel代墊|中信銀行共用"")), ""內部轉帳(忽略)"",
  AND(E12107&lt;&gt;"""", F12107&lt;&gt;"&amp;""""", NOT(REGEXMATCH(C12107, ""薪資""))), ""內部轉帳(忽略)"",
  REGEXMATCH(C12107, ""薪資""), ""薪資變動(不計入)"",
  REGEXMATCH(C12107, ""押金""), ""押金往來"",
  AND(E12107&lt;&gt;"""", F12107=""""), ""真實支出"",
  AND(E12107="""", F12107&lt;&gt;""""), ""真實收入"",
  TRUE, ""其他""
)"),"其他")</f>
        <v>其他</v>
      </c>
      <c r="K12107" s="270" t="str">
        <f t="shared" si="2"/>
        <v/>
      </c>
      <c r="L12107">
        <f t="shared" si="3"/>
        <v>0</v>
      </c>
    </row>
    <row r="12108">
      <c r="A12108" s="107"/>
      <c r="D12108" s="270"/>
      <c r="H12108" s="106" t="str">
        <f t="shared" si="1"/>
        <v/>
      </c>
      <c r="J12108" t="str">
        <f>IFERROR(__xludf.DUMMYFUNCTION("IFS(
  AND(REGEXMATCH(E12108, ""台銀籌備帳戶|玉山帳戶""), REGEXMATCH(C12108, ""薪資"")), ""分潤支出"",
  AND(REGEXMATCH(E12108, ""Ben帳戶|Elsa帳戶|Ben代墊|Ariel代墊|中信銀行共用""), REGEXMATCH(F12108, ""Ben帳戶|Elsa帳戶|Ben代墊|Ariel代墊|中信銀行共用"")), ""內部轉帳(忽略)"",
  AND(E12108&lt;&gt;"""", F12108&lt;&gt;"&amp;""""", NOT(REGEXMATCH(C12108, ""薪資""))), ""內部轉帳(忽略)"",
  REGEXMATCH(C12108, ""薪資""), ""薪資變動(不計入)"",
  REGEXMATCH(C12108, ""押金""), ""押金往來"",
  AND(E12108&lt;&gt;"""", F12108=""""), ""真實支出"",
  AND(E12108="""", F12108&lt;&gt;""""), ""真實收入"",
  TRUE, ""其他""
)"),"其他")</f>
        <v>其他</v>
      </c>
      <c r="K12108" s="270" t="str">
        <f t="shared" si="2"/>
        <v/>
      </c>
      <c r="L12108">
        <f t="shared" si="3"/>
        <v>0</v>
      </c>
    </row>
    <row r="12109">
      <c r="A12109" s="107"/>
      <c r="D12109" s="270"/>
      <c r="H12109" s="106" t="str">
        <f t="shared" si="1"/>
        <v/>
      </c>
      <c r="J12109" t="str">
        <f>IFERROR(__xludf.DUMMYFUNCTION("IFS(
  AND(REGEXMATCH(E12109, ""台銀籌備帳戶|玉山帳戶""), REGEXMATCH(C12109, ""薪資"")), ""分潤支出"",
  AND(REGEXMATCH(E12109, ""Ben帳戶|Elsa帳戶|Ben代墊|Ariel代墊|中信銀行共用""), REGEXMATCH(F12109, ""Ben帳戶|Elsa帳戶|Ben代墊|Ariel代墊|中信銀行共用"")), ""內部轉帳(忽略)"",
  AND(E12109&lt;&gt;"""", F12109&lt;&gt;"&amp;""""", NOT(REGEXMATCH(C12109, ""薪資""))), ""內部轉帳(忽略)"",
  REGEXMATCH(C12109, ""薪資""), ""薪資變動(不計入)"",
  REGEXMATCH(C12109, ""押金""), ""押金往來"",
  AND(E12109&lt;&gt;"""", F12109=""""), ""真實支出"",
  AND(E12109="""", F12109&lt;&gt;""""), ""真實收入"",
  TRUE, ""其他""
)"),"其他")</f>
        <v>其他</v>
      </c>
      <c r="K12109" s="270" t="str">
        <f t="shared" si="2"/>
        <v/>
      </c>
      <c r="L12109">
        <f t="shared" si="3"/>
        <v>0</v>
      </c>
    </row>
    <row r="12110">
      <c r="A12110" s="107"/>
      <c r="D12110" s="270"/>
      <c r="H12110" s="106" t="str">
        <f t="shared" si="1"/>
        <v/>
      </c>
      <c r="J12110" t="str">
        <f>IFERROR(__xludf.DUMMYFUNCTION("IFS(
  AND(REGEXMATCH(E12110, ""台銀籌備帳戶|玉山帳戶""), REGEXMATCH(C12110, ""薪資"")), ""分潤支出"",
  AND(REGEXMATCH(E12110, ""Ben帳戶|Elsa帳戶|Ben代墊|Ariel代墊|中信銀行共用""), REGEXMATCH(F12110, ""Ben帳戶|Elsa帳戶|Ben代墊|Ariel代墊|中信銀行共用"")), ""內部轉帳(忽略)"",
  AND(E12110&lt;&gt;"""", F12110&lt;&gt;"&amp;""""", NOT(REGEXMATCH(C12110, ""薪資""))), ""內部轉帳(忽略)"",
  REGEXMATCH(C12110, ""薪資""), ""薪資變動(不計入)"",
  REGEXMATCH(C12110, ""押金""), ""押金往來"",
  AND(E12110&lt;&gt;"""", F12110=""""), ""真實支出"",
  AND(E12110="""", F12110&lt;&gt;""""), ""真實收入"",
  TRUE, ""其他""
)"),"其他")</f>
        <v>其他</v>
      </c>
      <c r="K12110" s="270" t="str">
        <f t="shared" si="2"/>
        <v/>
      </c>
      <c r="L12110">
        <f t="shared" si="3"/>
        <v>0</v>
      </c>
    </row>
    <row r="12111">
      <c r="A12111" s="107"/>
      <c r="D12111" s="270"/>
      <c r="H12111" s="106" t="str">
        <f t="shared" si="1"/>
        <v/>
      </c>
      <c r="J12111" t="str">
        <f>IFERROR(__xludf.DUMMYFUNCTION("IFS(
  AND(REGEXMATCH(E12111, ""台銀籌備帳戶|玉山帳戶""), REGEXMATCH(C12111, ""薪資"")), ""分潤支出"",
  AND(REGEXMATCH(E12111, ""Ben帳戶|Elsa帳戶|Ben代墊|Ariel代墊|中信銀行共用""), REGEXMATCH(F12111, ""Ben帳戶|Elsa帳戶|Ben代墊|Ariel代墊|中信銀行共用"")), ""內部轉帳(忽略)"",
  AND(E12111&lt;&gt;"""", F12111&lt;&gt;"&amp;""""", NOT(REGEXMATCH(C12111, ""薪資""))), ""內部轉帳(忽略)"",
  REGEXMATCH(C12111, ""薪資""), ""薪資變動(不計入)"",
  REGEXMATCH(C12111, ""押金""), ""押金往來"",
  AND(E12111&lt;&gt;"""", F12111=""""), ""真實支出"",
  AND(E12111="""", F12111&lt;&gt;""""), ""真實收入"",
  TRUE, ""其他""
)"),"其他")</f>
        <v>其他</v>
      </c>
      <c r="K12111" s="270" t="str">
        <f t="shared" si="2"/>
        <v/>
      </c>
      <c r="L12111">
        <f t="shared" si="3"/>
        <v>0</v>
      </c>
    </row>
    <row r="12112">
      <c r="A12112" s="107"/>
      <c r="D12112" s="270"/>
      <c r="H12112" s="106" t="str">
        <f t="shared" si="1"/>
        <v/>
      </c>
      <c r="J12112" t="str">
        <f>IFERROR(__xludf.DUMMYFUNCTION("IFS(
  AND(REGEXMATCH(E12112, ""台銀籌備帳戶|玉山帳戶""), REGEXMATCH(C12112, ""薪資"")), ""分潤支出"",
  AND(REGEXMATCH(E12112, ""Ben帳戶|Elsa帳戶|Ben代墊|Ariel代墊|中信銀行共用""), REGEXMATCH(F12112, ""Ben帳戶|Elsa帳戶|Ben代墊|Ariel代墊|中信銀行共用"")), ""內部轉帳(忽略)"",
  AND(E12112&lt;&gt;"""", F12112&lt;&gt;"&amp;""""", NOT(REGEXMATCH(C12112, ""薪資""))), ""內部轉帳(忽略)"",
  REGEXMATCH(C12112, ""薪資""), ""薪資變動(不計入)"",
  REGEXMATCH(C12112, ""押金""), ""押金往來"",
  AND(E12112&lt;&gt;"""", F12112=""""), ""真實支出"",
  AND(E12112="""", F12112&lt;&gt;""""), ""真實收入"",
  TRUE, ""其他""
)"),"其他")</f>
        <v>其他</v>
      </c>
      <c r="K12112" s="270" t="str">
        <f t="shared" si="2"/>
        <v/>
      </c>
      <c r="L12112">
        <f t="shared" si="3"/>
        <v>0</v>
      </c>
    </row>
    <row r="12113">
      <c r="A12113" s="107"/>
      <c r="D12113" s="270"/>
      <c r="H12113" s="106" t="str">
        <f t="shared" si="1"/>
        <v/>
      </c>
      <c r="J12113" t="str">
        <f>IFERROR(__xludf.DUMMYFUNCTION("IFS(
  AND(REGEXMATCH(E12113, ""台銀籌備帳戶|玉山帳戶""), REGEXMATCH(C12113, ""薪資"")), ""分潤支出"",
  AND(REGEXMATCH(E12113, ""Ben帳戶|Elsa帳戶|Ben代墊|Ariel代墊|中信銀行共用""), REGEXMATCH(F12113, ""Ben帳戶|Elsa帳戶|Ben代墊|Ariel代墊|中信銀行共用"")), ""內部轉帳(忽略)"",
  AND(E12113&lt;&gt;"""", F12113&lt;&gt;"&amp;""""", NOT(REGEXMATCH(C12113, ""薪資""))), ""內部轉帳(忽略)"",
  REGEXMATCH(C12113, ""薪資""), ""薪資變動(不計入)"",
  REGEXMATCH(C12113, ""押金""), ""押金往來"",
  AND(E12113&lt;&gt;"""", F12113=""""), ""真實支出"",
  AND(E12113="""", F12113&lt;&gt;""""), ""真實收入"",
  TRUE, ""其他""
)"),"其他")</f>
        <v>其他</v>
      </c>
      <c r="K12113" s="270" t="str">
        <f t="shared" si="2"/>
        <v/>
      </c>
      <c r="L12113">
        <f t="shared" si="3"/>
        <v>0</v>
      </c>
    </row>
    <row r="12114">
      <c r="A12114" s="107"/>
      <c r="D12114" s="270"/>
      <c r="H12114" s="106" t="str">
        <f t="shared" si="1"/>
        <v/>
      </c>
      <c r="J12114" t="str">
        <f>IFERROR(__xludf.DUMMYFUNCTION("IFS(
  AND(REGEXMATCH(E12114, ""台銀籌備帳戶|玉山帳戶""), REGEXMATCH(C12114, ""薪資"")), ""分潤支出"",
  AND(REGEXMATCH(E12114, ""Ben帳戶|Elsa帳戶|Ben代墊|Ariel代墊|中信銀行共用""), REGEXMATCH(F12114, ""Ben帳戶|Elsa帳戶|Ben代墊|Ariel代墊|中信銀行共用"")), ""內部轉帳(忽略)"",
  AND(E12114&lt;&gt;"""", F12114&lt;&gt;"&amp;""""", NOT(REGEXMATCH(C12114, ""薪資""))), ""內部轉帳(忽略)"",
  REGEXMATCH(C12114, ""薪資""), ""薪資變動(不計入)"",
  REGEXMATCH(C12114, ""押金""), ""押金往來"",
  AND(E12114&lt;&gt;"""", F12114=""""), ""真實支出"",
  AND(E12114="""", F12114&lt;&gt;""""), ""真實收入"",
  TRUE, ""其他""
)"),"其他")</f>
        <v>其他</v>
      </c>
      <c r="K12114" s="270" t="str">
        <f t="shared" si="2"/>
        <v/>
      </c>
      <c r="L12114">
        <f t="shared" si="3"/>
        <v>0</v>
      </c>
    </row>
    <row r="12115">
      <c r="A12115" s="107"/>
      <c r="D12115" s="270"/>
      <c r="H12115" s="106" t="str">
        <f t="shared" si="1"/>
        <v/>
      </c>
      <c r="J12115" t="str">
        <f>IFERROR(__xludf.DUMMYFUNCTION("IFS(
  AND(REGEXMATCH(E12115, ""台銀籌備帳戶|玉山帳戶""), REGEXMATCH(C12115, ""薪資"")), ""分潤支出"",
  AND(REGEXMATCH(E12115, ""Ben帳戶|Elsa帳戶|Ben代墊|Ariel代墊|中信銀行共用""), REGEXMATCH(F12115, ""Ben帳戶|Elsa帳戶|Ben代墊|Ariel代墊|中信銀行共用"")), ""內部轉帳(忽略)"",
  AND(E12115&lt;&gt;"""", F12115&lt;&gt;"&amp;""""", NOT(REGEXMATCH(C12115, ""薪資""))), ""內部轉帳(忽略)"",
  REGEXMATCH(C12115, ""薪資""), ""薪資變動(不計入)"",
  REGEXMATCH(C12115, ""押金""), ""押金往來"",
  AND(E12115&lt;&gt;"""", F12115=""""), ""真實支出"",
  AND(E12115="""", F12115&lt;&gt;""""), ""真實收入"",
  TRUE, ""其他""
)"),"其他")</f>
        <v>其他</v>
      </c>
      <c r="K12115" s="270" t="str">
        <f t="shared" si="2"/>
        <v/>
      </c>
      <c r="L12115">
        <f t="shared" si="3"/>
        <v>0</v>
      </c>
    </row>
    <row r="12116">
      <c r="A12116" s="107"/>
      <c r="D12116" s="270"/>
      <c r="H12116" s="106" t="str">
        <f t="shared" si="1"/>
        <v/>
      </c>
      <c r="J12116" t="str">
        <f>IFERROR(__xludf.DUMMYFUNCTION("IFS(
  AND(REGEXMATCH(E12116, ""台銀籌備帳戶|玉山帳戶""), REGEXMATCH(C12116, ""薪資"")), ""分潤支出"",
  AND(REGEXMATCH(E12116, ""Ben帳戶|Elsa帳戶|Ben代墊|Ariel代墊|中信銀行共用""), REGEXMATCH(F12116, ""Ben帳戶|Elsa帳戶|Ben代墊|Ariel代墊|中信銀行共用"")), ""內部轉帳(忽略)"",
  AND(E12116&lt;&gt;"""", F12116&lt;&gt;"&amp;""""", NOT(REGEXMATCH(C12116, ""薪資""))), ""內部轉帳(忽略)"",
  REGEXMATCH(C12116, ""薪資""), ""薪資變動(不計入)"",
  REGEXMATCH(C12116, ""押金""), ""押金往來"",
  AND(E12116&lt;&gt;"""", F12116=""""), ""真實支出"",
  AND(E12116="""", F12116&lt;&gt;""""), ""真實收入"",
  TRUE, ""其他""
)"),"其他")</f>
        <v>其他</v>
      </c>
      <c r="K12116" s="270" t="str">
        <f t="shared" si="2"/>
        <v/>
      </c>
      <c r="L12116">
        <f t="shared" si="3"/>
        <v>0</v>
      </c>
    </row>
    <row r="12117">
      <c r="A12117" s="107"/>
      <c r="D12117" s="270"/>
      <c r="H12117" s="106" t="str">
        <f t="shared" si="1"/>
        <v/>
      </c>
      <c r="J12117" t="str">
        <f>IFERROR(__xludf.DUMMYFUNCTION("IFS(
  AND(REGEXMATCH(E12117, ""台銀籌備帳戶|玉山帳戶""), REGEXMATCH(C12117, ""薪資"")), ""分潤支出"",
  AND(REGEXMATCH(E12117, ""Ben帳戶|Elsa帳戶|Ben代墊|Ariel代墊|中信銀行共用""), REGEXMATCH(F12117, ""Ben帳戶|Elsa帳戶|Ben代墊|Ariel代墊|中信銀行共用"")), ""內部轉帳(忽略)"",
  AND(E12117&lt;&gt;"""", F12117&lt;&gt;"&amp;""""", NOT(REGEXMATCH(C12117, ""薪資""))), ""內部轉帳(忽略)"",
  REGEXMATCH(C12117, ""薪資""), ""薪資變動(不計入)"",
  REGEXMATCH(C12117, ""押金""), ""押金往來"",
  AND(E12117&lt;&gt;"""", F12117=""""), ""真實支出"",
  AND(E12117="""", F12117&lt;&gt;""""), ""真實收入"",
  TRUE, ""其他""
)"),"其他")</f>
        <v>其他</v>
      </c>
      <c r="K12117" s="270" t="str">
        <f t="shared" si="2"/>
        <v/>
      </c>
      <c r="L12117">
        <f t="shared" si="3"/>
        <v>0</v>
      </c>
    </row>
    <row r="12118">
      <c r="A12118" s="107"/>
      <c r="D12118" s="270"/>
      <c r="H12118" s="106" t="str">
        <f t="shared" si="1"/>
        <v/>
      </c>
      <c r="J12118" t="str">
        <f>IFERROR(__xludf.DUMMYFUNCTION("IFS(
  AND(REGEXMATCH(E12118, ""台銀籌備帳戶|玉山帳戶""), REGEXMATCH(C12118, ""薪資"")), ""分潤支出"",
  AND(REGEXMATCH(E12118, ""Ben帳戶|Elsa帳戶|Ben代墊|Ariel代墊|中信銀行共用""), REGEXMATCH(F12118, ""Ben帳戶|Elsa帳戶|Ben代墊|Ariel代墊|中信銀行共用"")), ""內部轉帳(忽略)"",
  AND(E12118&lt;&gt;"""", F12118&lt;&gt;"&amp;""""", NOT(REGEXMATCH(C12118, ""薪資""))), ""內部轉帳(忽略)"",
  REGEXMATCH(C12118, ""薪資""), ""薪資變動(不計入)"",
  REGEXMATCH(C12118, ""押金""), ""押金往來"",
  AND(E12118&lt;&gt;"""", F12118=""""), ""真實支出"",
  AND(E12118="""", F12118&lt;&gt;""""), ""真實收入"",
  TRUE, ""其他""
)"),"其他")</f>
        <v>其他</v>
      </c>
      <c r="K12118" s="270" t="str">
        <f t="shared" si="2"/>
        <v/>
      </c>
      <c r="L12118">
        <f t="shared" si="3"/>
        <v>0</v>
      </c>
    </row>
    <row r="12119">
      <c r="A12119" s="107"/>
      <c r="D12119" s="270"/>
      <c r="H12119" s="106" t="str">
        <f t="shared" si="1"/>
        <v/>
      </c>
      <c r="J12119" t="str">
        <f>IFERROR(__xludf.DUMMYFUNCTION("IFS(
  AND(REGEXMATCH(E12119, ""台銀籌備帳戶|玉山帳戶""), REGEXMATCH(C12119, ""薪資"")), ""分潤支出"",
  AND(REGEXMATCH(E12119, ""Ben帳戶|Elsa帳戶|Ben代墊|Ariel代墊|中信銀行共用""), REGEXMATCH(F12119, ""Ben帳戶|Elsa帳戶|Ben代墊|Ariel代墊|中信銀行共用"")), ""內部轉帳(忽略)"",
  AND(E12119&lt;&gt;"""", F12119&lt;&gt;"&amp;""""", NOT(REGEXMATCH(C12119, ""薪資""))), ""內部轉帳(忽略)"",
  REGEXMATCH(C12119, ""薪資""), ""薪資變動(不計入)"",
  REGEXMATCH(C12119, ""押金""), ""押金往來"",
  AND(E12119&lt;&gt;"""", F12119=""""), ""真實支出"",
  AND(E12119="""", F12119&lt;&gt;""""), ""真實收入"",
  TRUE, ""其他""
)"),"其他")</f>
        <v>其他</v>
      </c>
      <c r="K12119" s="270" t="str">
        <f t="shared" si="2"/>
        <v/>
      </c>
      <c r="L12119">
        <f t="shared" si="3"/>
        <v>0</v>
      </c>
    </row>
    <row r="12120">
      <c r="A12120" s="107"/>
      <c r="D12120" s="270"/>
      <c r="H12120" s="106" t="str">
        <f t="shared" si="1"/>
        <v/>
      </c>
      <c r="J12120" t="str">
        <f>IFERROR(__xludf.DUMMYFUNCTION("IFS(
  AND(REGEXMATCH(E12120, ""台銀籌備帳戶|玉山帳戶""), REGEXMATCH(C12120, ""薪資"")), ""分潤支出"",
  AND(REGEXMATCH(E12120, ""Ben帳戶|Elsa帳戶|Ben代墊|Ariel代墊|中信銀行共用""), REGEXMATCH(F12120, ""Ben帳戶|Elsa帳戶|Ben代墊|Ariel代墊|中信銀行共用"")), ""內部轉帳(忽略)"",
  AND(E12120&lt;&gt;"""", F12120&lt;&gt;"&amp;""""", NOT(REGEXMATCH(C12120, ""薪資""))), ""內部轉帳(忽略)"",
  REGEXMATCH(C12120, ""薪資""), ""薪資變動(不計入)"",
  REGEXMATCH(C12120, ""押金""), ""押金往來"",
  AND(E12120&lt;&gt;"""", F12120=""""), ""真實支出"",
  AND(E12120="""", F12120&lt;&gt;""""), ""真實收入"",
  TRUE, ""其他""
)"),"其他")</f>
        <v>其他</v>
      </c>
      <c r="K12120" s="270" t="str">
        <f t="shared" si="2"/>
        <v/>
      </c>
      <c r="L12120">
        <f t="shared" si="3"/>
        <v>0</v>
      </c>
    </row>
    <row r="12121">
      <c r="A12121" s="107"/>
      <c r="D12121" s="270"/>
      <c r="H12121" s="106" t="str">
        <f t="shared" si="1"/>
        <v/>
      </c>
      <c r="J12121" t="str">
        <f>IFERROR(__xludf.DUMMYFUNCTION("IFS(
  AND(REGEXMATCH(E12121, ""台銀籌備帳戶|玉山帳戶""), REGEXMATCH(C12121, ""薪資"")), ""分潤支出"",
  AND(REGEXMATCH(E12121, ""Ben帳戶|Elsa帳戶|Ben代墊|Ariel代墊|中信銀行共用""), REGEXMATCH(F12121, ""Ben帳戶|Elsa帳戶|Ben代墊|Ariel代墊|中信銀行共用"")), ""內部轉帳(忽略)"",
  AND(E12121&lt;&gt;"""", F12121&lt;&gt;"&amp;""""", NOT(REGEXMATCH(C12121, ""薪資""))), ""內部轉帳(忽略)"",
  REGEXMATCH(C12121, ""薪資""), ""薪資變動(不計入)"",
  REGEXMATCH(C12121, ""押金""), ""押金往來"",
  AND(E12121&lt;&gt;"""", F12121=""""), ""真實支出"",
  AND(E12121="""", F12121&lt;&gt;""""), ""真實收入"",
  TRUE, ""其他""
)"),"其他")</f>
        <v>其他</v>
      </c>
      <c r="K12121" s="270" t="str">
        <f t="shared" si="2"/>
        <v/>
      </c>
      <c r="L12121">
        <f t="shared" si="3"/>
        <v>0</v>
      </c>
    </row>
    <row r="12122">
      <c r="A12122" s="107"/>
      <c r="D12122" s="270"/>
      <c r="H12122" s="106" t="str">
        <f t="shared" si="1"/>
        <v/>
      </c>
      <c r="J12122" t="str">
        <f>IFERROR(__xludf.DUMMYFUNCTION("IFS(
  AND(REGEXMATCH(E12122, ""台銀籌備帳戶|玉山帳戶""), REGEXMATCH(C12122, ""薪資"")), ""分潤支出"",
  AND(REGEXMATCH(E12122, ""Ben帳戶|Elsa帳戶|Ben代墊|Ariel代墊|中信銀行共用""), REGEXMATCH(F12122, ""Ben帳戶|Elsa帳戶|Ben代墊|Ariel代墊|中信銀行共用"")), ""內部轉帳(忽略)"",
  AND(E12122&lt;&gt;"""", F12122&lt;&gt;"&amp;""""", NOT(REGEXMATCH(C12122, ""薪資""))), ""內部轉帳(忽略)"",
  REGEXMATCH(C12122, ""薪資""), ""薪資變動(不計入)"",
  REGEXMATCH(C12122, ""押金""), ""押金往來"",
  AND(E12122&lt;&gt;"""", F12122=""""), ""真實支出"",
  AND(E12122="""", F12122&lt;&gt;""""), ""真實收入"",
  TRUE, ""其他""
)"),"其他")</f>
        <v>其他</v>
      </c>
      <c r="K12122" s="270" t="str">
        <f t="shared" si="2"/>
        <v/>
      </c>
      <c r="L12122">
        <f t="shared" si="3"/>
        <v>0</v>
      </c>
    </row>
    <row r="12123">
      <c r="A12123" s="107"/>
      <c r="D12123" s="270"/>
      <c r="H12123" s="106" t="str">
        <f t="shared" si="1"/>
        <v/>
      </c>
      <c r="J12123" t="str">
        <f>IFERROR(__xludf.DUMMYFUNCTION("IFS(
  AND(REGEXMATCH(E12123, ""台銀籌備帳戶|玉山帳戶""), REGEXMATCH(C12123, ""薪資"")), ""分潤支出"",
  AND(REGEXMATCH(E12123, ""Ben帳戶|Elsa帳戶|Ben代墊|Ariel代墊|中信銀行共用""), REGEXMATCH(F12123, ""Ben帳戶|Elsa帳戶|Ben代墊|Ariel代墊|中信銀行共用"")), ""內部轉帳(忽略)"",
  AND(E12123&lt;&gt;"""", F12123&lt;&gt;"&amp;""""", NOT(REGEXMATCH(C12123, ""薪資""))), ""內部轉帳(忽略)"",
  REGEXMATCH(C12123, ""薪資""), ""薪資變動(不計入)"",
  REGEXMATCH(C12123, ""押金""), ""押金往來"",
  AND(E12123&lt;&gt;"""", F12123=""""), ""真實支出"",
  AND(E12123="""", F12123&lt;&gt;""""), ""真實收入"",
  TRUE, ""其他""
)"),"其他")</f>
        <v>其他</v>
      </c>
      <c r="K12123" s="270" t="str">
        <f t="shared" si="2"/>
        <v/>
      </c>
      <c r="L12123">
        <f t="shared" si="3"/>
        <v>0</v>
      </c>
    </row>
    <row r="12124">
      <c r="A12124" s="107"/>
      <c r="D12124" s="270"/>
      <c r="H12124" s="106" t="str">
        <f t="shared" si="1"/>
        <v/>
      </c>
      <c r="J12124" t="str">
        <f>IFERROR(__xludf.DUMMYFUNCTION("IFS(
  AND(REGEXMATCH(E12124, ""台銀籌備帳戶|玉山帳戶""), REGEXMATCH(C12124, ""薪資"")), ""分潤支出"",
  AND(REGEXMATCH(E12124, ""Ben帳戶|Elsa帳戶|Ben代墊|Ariel代墊|中信銀行共用""), REGEXMATCH(F12124, ""Ben帳戶|Elsa帳戶|Ben代墊|Ariel代墊|中信銀行共用"")), ""內部轉帳(忽略)"",
  AND(E12124&lt;&gt;"""", F12124&lt;&gt;"&amp;""""", NOT(REGEXMATCH(C12124, ""薪資""))), ""內部轉帳(忽略)"",
  REGEXMATCH(C12124, ""薪資""), ""薪資變動(不計入)"",
  REGEXMATCH(C12124, ""押金""), ""押金往來"",
  AND(E12124&lt;&gt;"""", F12124=""""), ""真實支出"",
  AND(E12124="""", F12124&lt;&gt;""""), ""真實收入"",
  TRUE, ""其他""
)"),"其他")</f>
        <v>其他</v>
      </c>
      <c r="K12124" s="270" t="str">
        <f t="shared" si="2"/>
        <v/>
      </c>
      <c r="L12124">
        <f t="shared" si="3"/>
        <v>0</v>
      </c>
    </row>
    <row r="12125">
      <c r="A12125" s="107"/>
      <c r="D12125" s="270"/>
      <c r="H12125" s="106" t="str">
        <f t="shared" si="1"/>
        <v/>
      </c>
      <c r="J12125" t="str">
        <f>IFERROR(__xludf.DUMMYFUNCTION("IFS(
  AND(REGEXMATCH(E12125, ""台銀籌備帳戶|玉山帳戶""), REGEXMATCH(C12125, ""薪資"")), ""分潤支出"",
  AND(REGEXMATCH(E12125, ""Ben帳戶|Elsa帳戶|Ben代墊|Ariel代墊|中信銀行共用""), REGEXMATCH(F12125, ""Ben帳戶|Elsa帳戶|Ben代墊|Ariel代墊|中信銀行共用"")), ""內部轉帳(忽略)"",
  AND(E12125&lt;&gt;"""", F12125&lt;&gt;"&amp;""""", NOT(REGEXMATCH(C12125, ""薪資""))), ""內部轉帳(忽略)"",
  REGEXMATCH(C12125, ""薪資""), ""薪資變動(不計入)"",
  REGEXMATCH(C12125, ""押金""), ""押金往來"",
  AND(E12125&lt;&gt;"""", F12125=""""), ""真實支出"",
  AND(E12125="""", F12125&lt;&gt;""""), ""真實收入"",
  TRUE, ""其他""
)"),"其他")</f>
        <v>其他</v>
      </c>
      <c r="K12125" s="270" t="str">
        <f t="shared" si="2"/>
        <v/>
      </c>
      <c r="L12125">
        <f t="shared" si="3"/>
        <v>0</v>
      </c>
    </row>
    <row r="12126">
      <c r="A12126" s="107"/>
      <c r="D12126" s="270"/>
      <c r="H12126" s="106" t="str">
        <f t="shared" si="1"/>
        <v/>
      </c>
      <c r="J12126" t="str">
        <f>IFERROR(__xludf.DUMMYFUNCTION("IFS(
  AND(REGEXMATCH(E12126, ""台銀籌備帳戶|玉山帳戶""), REGEXMATCH(C12126, ""薪資"")), ""分潤支出"",
  AND(REGEXMATCH(E12126, ""Ben帳戶|Elsa帳戶|Ben代墊|Ariel代墊|中信銀行共用""), REGEXMATCH(F12126, ""Ben帳戶|Elsa帳戶|Ben代墊|Ariel代墊|中信銀行共用"")), ""內部轉帳(忽略)"",
  AND(E12126&lt;&gt;"""", F12126&lt;&gt;"&amp;""""", NOT(REGEXMATCH(C12126, ""薪資""))), ""內部轉帳(忽略)"",
  REGEXMATCH(C12126, ""薪資""), ""薪資變動(不計入)"",
  REGEXMATCH(C12126, ""押金""), ""押金往來"",
  AND(E12126&lt;&gt;"""", F12126=""""), ""真實支出"",
  AND(E12126="""", F12126&lt;&gt;""""), ""真實收入"",
  TRUE, ""其他""
)"),"其他")</f>
        <v>其他</v>
      </c>
      <c r="K12126" s="270" t="str">
        <f t="shared" si="2"/>
        <v/>
      </c>
      <c r="L12126">
        <f t="shared" si="3"/>
        <v>0</v>
      </c>
    </row>
    <row r="12127">
      <c r="A12127" s="107"/>
      <c r="D12127" s="270"/>
      <c r="H12127" s="106" t="str">
        <f t="shared" si="1"/>
        <v/>
      </c>
      <c r="J12127" t="str">
        <f>IFERROR(__xludf.DUMMYFUNCTION("IFS(
  AND(REGEXMATCH(E12127, ""台銀籌備帳戶|玉山帳戶""), REGEXMATCH(C12127, ""薪資"")), ""分潤支出"",
  AND(REGEXMATCH(E12127, ""Ben帳戶|Elsa帳戶|Ben代墊|Ariel代墊|中信銀行共用""), REGEXMATCH(F12127, ""Ben帳戶|Elsa帳戶|Ben代墊|Ariel代墊|中信銀行共用"")), ""內部轉帳(忽略)"",
  AND(E12127&lt;&gt;"""", F12127&lt;&gt;"&amp;""""", NOT(REGEXMATCH(C12127, ""薪資""))), ""內部轉帳(忽略)"",
  REGEXMATCH(C12127, ""薪資""), ""薪資變動(不計入)"",
  REGEXMATCH(C12127, ""押金""), ""押金往來"",
  AND(E12127&lt;&gt;"""", F12127=""""), ""真實支出"",
  AND(E12127="""", F12127&lt;&gt;""""), ""真實收入"",
  TRUE, ""其他""
)"),"其他")</f>
        <v>其他</v>
      </c>
      <c r="K12127" s="270" t="str">
        <f t="shared" si="2"/>
        <v/>
      </c>
      <c r="L12127">
        <f t="shared" si="3"/>
        <v>0</v>
      </c>
    </row>
    <row r="12128">
      <c r="A12128" s="107"/>
      <c r="D12128" s="270"/>
      <c r="H12128" s="106" t="str">
        <f t="shared" si="1"/>
        <v/>
      </c>
      <c r="J12128" t="str">
        <f>IFERROR(__xludf.DUMMYFUNCTION("IFS(
  AND(REGEXMATCH(E12128, ""台銀籌備帳戶|玉山帳戶""), REGEXMATCH(C12128, ""薪資"")), ""分潤支出"",
  AND(REGEXMATCH(E12128, ""Ben帳戶|Elsa帳戶|Ben代墊|Ariel代墊|中信銀行共用""), REGEXMATCH(F12128, ""Ben帳戶|Elsa帳戶|Ben代墊|Ariel代墊|中信銀行共用"")), ""內部轉帳(忽略)"",
  AND(E12128&lt;&gt;"""", F12128&lt;&gt;"&amp;""""", NOT(REGEXMATCH(C12128, ""薪資""))), ""內部轉帳(忽略)"",
  REGEXMATCH(C12128, ""薪資""), ""薪資變動(不計入)"",
  REGEXMATCH(C12128, ""押金""), ""押金往來"",
  AND(E12128&lt;&gt;"""", F12128=""""), ""真實支出"",
  AND(E12128="""", F12128&lt;&gt;""""), ""真實收入"",
  TRUE, ""其他""
)"),"其他")</f>
        <v>其他</v>
      </c>
      <c r="K12128" s="270" t="str">
        <f t="shared" si="2"/>
        <v/>
      </c>
      <c r="L12128">
        <f t="shared" si="3"/>
        <v>0</v>
      </c>
    </row>
    <row r="12129">
      <c r="A12129" s="107"/>
      <c r="D12129" s="270"/>
      <c r="H12129" s="106" t="str">
        <f t="shared" si="1"/>
        <v/>
      </c>
      <c r="J12129" t="str">
        <f>IFERROR(__xludf.DUMMYFUNCTION("IFS(
  AND(REGEXMATCH(E12129, ""台銀籌備帳戶|玉山帳戶""), REGEXMATCH(C12129, ""薪資"")), ""分潤支出"",
  AND(REGEXMATCH(E12129, ""Ben帳戶|Elsa帳戶|Ben代墊|Ariel代墊|中信銀行共用""), REGEXMATCH(F12129, ""Ben帳戶|Elsa帳戶|Ben代墊|Ariel代墊|中信銀行共用"")), ""內部轉帳(忽略)"",
  AND(E12129&lt;&gt;"""", F12129&lt;&gt;"&amp;""""", NOT(REGEXMATCH(C12129, ""薪資""))), ""內部轉帳(忽略)"",
  REGEXMATCH(C12129, ""薪資""), ""薪資變動(不計入)"",
  REGEXMATCH(C12129, ""押金""), ""押金往來"",
  AND(E12129&lt;&gt;"""", F12129=""""), ""真實支出"",
  AND(E12129="""", F12129&lt;&gt;""""), ""真實收入"",
  TRUE, ""其他""
)"),"其他")</f>
        <v>其他</v>
      </c>
      <c r="K12129" s="270" t="str">
        <f t="shared" si="2"/>
        <v/>
      </c>
      <c r="L12129">
        <f t="shared" si="3"/>
        <v>0</v>
      </c>
    </row>
    <row r="12130">
      <c r="A12130" s="107"/>
      <c r="D12130" s="270"/>
      <c r="H12130" s="106" t="str">
        <f t="shared" si="1"/>
        <v/>
      </c>
      <c r="J12130" t="str">
        <f>IFERROR(__xludf.DUMMYFUNCTION("IFS(
  AND(REGEXMATCH(E12130, ""台銀籌備帳戶|玉山帳戶""), REGEXMATCH(C12130, ""薪資"")), ""分潤支出"",
  AND(REGEXMATCH(E12130, ""Ben帳戶|Elsa帳戶|Ben代墊|Ariel代墊|中信銀行共用""), REGEXMATCH(F12130, ""Ben帳戶|Elsa帳戶|Ben代墊|Ariel代墊|中信銀行共用"")), ""內部轉帳(忽略)"",
  AND(E12130&lt;&gt;"""", F12130&lt;&gt;"&amp;""""", NOT(REGEXMATCH(C12130, ""薪資""))), ""內部轉帳(忽略)"",
  REGEXMATCH(C12130, ""薪資""), ""薪資變動(不計入)"",
  REGEXMATCH(C12130, ""押金""), ""押金往來"",
  AND(E12130&lt;&gt;"""", F12130=""""), ""真實支出"",
  AND(E12130="""", F12130&lt;&gt;""""), ""真實收入"",
  TRUE, ""其他""
)"),"其他")</f>
        <v>其他</v>
      </c>
      <c r="K12130" s="270" t="str">
        <f t="shared" si="2"/>
        <v/>
      </c>
      <c r="L12130">
        <f t="shared" si="3"/>
        <v>0</v>
      </c>
    </row>
    <row r="12131">
      <c r="A12131" s="107"/>
      <c r="D12131" s="270"/>
      <c r="H12131" s="106" t="str">
        <f t="shared" si="1"/>
        <v/>
      </c>
      <c r="J12131" t="str">
        <f>IFERROR(__xludf.DUMMYFUNCTION("IFS(
  AND(REGEXMATCH(E12131, ""台銀籌備帳戶|玉山帳戶""), REGEXMATCH(C12131, ""薪資"")), ""分潤支出"",
  AND(REGEXMATCH(E12131, ""Ben帳戶|Elsa帳戶|Ben代墊|Ariel代墊|中信銀行共用""), REGEXMATCH(F12131, ""Ben帳戶|Elsa帳戶|Ben代墊|Ariel代墊|中信銀行共用"")), ""內部轉帳(忽略)"",
  AND(E12131&lt;&gt;"""", F12131&lt;&gt;"&amp;""""", NOT(REGEXMATCH(C12131, ""薪資""))), ""內部轉帳(忽略)"",
  REGEXMATCH(C12131, ""薪資""), ""薪資變動(不計入)"",
  REGEXMATCH(C12131, ""押金""), ""押金往來"",
  AND(E12131&lt;&gt;"""", F12131=""""), ""真實支出"",
  AND(E12131="""", F12131&lt;&gt;""""), ""真實收入"",
  TRUE, ""其他""
)"),"其他")</f>
        <v>其他</v>
      </c>
      <c r="K12131" s="270" t="str">
        <f t="shared" si="2"/>
        <v/>
      </c>
      <c r="L12131">
        <f t="shared" si="3"/>
        <v>0</v>
      </c>
    </row>
    <row r="12132">
      <c r="A12132" s="107"/>
      <c r="D12132" s="270"/>
      <c r="H12132" s="106" t="str">
        <f t="shared" si="1"/>
        <v/>
      </c>
      <c r="J12132" t="str">
        <f>IFERROR(__xludf.DUMMYFUNCTION("IFS(
  AND(REGEXMATCH(E12132, ""台銀籌備帳戶|玉山帳戶""), REGEXMATCH(C12132, ""薪資"")), ""分潤支出"",
  AND(REGEXMATCH(E12132, ""Ben帳戶|Elsa帳戶|Ben代墊|Ariel代墊|中信銀行共用""), REGEXMATCH(F12132, ""Ben帳戶|Elsa帳戶|Ben代墊|Ariel代墊|中信銀行共用"")), ""內部轉帳(忽略)"",
  AND(E12132&lt;&gt;"""", F12132&lt;&gt;"&amp;""""", NOT(REGEXMATCH(C12132, ""薪資""))), ""內部轉帳(忽略)"",
  REGEXMATCH(C12132, ""薪資""), ""薪資變動(不計入)"",
  REGEXMATCH(C12132, ""押金""), ""押金往來"",
  AND(E12132&lt;&gt;"""", F12132=""""), ""真實支出"",
  AND(E12132="""", F12132&lt;&gt;""""), ""真實收入"",
  TRUE, ""其他""
)"),"其他")</f>
        <v>其他</v>
      </c>
      <c r="K12132" s="270" t="str">
        <f t="shared" si="2"/>
        <v/>
      </c>
      <c r="L12132">
        <f t="shared" si="3"/>
        <v>0</v>
      </c>
    </row>
    <row r="12133">
      <c r="A12133" s="107"/>
      <c r="D12133" s="270"/>
      <c r="H12133" s="106" t="str">
        <f t="shared" si="1"/>
        <v/>
      </c>
      <c r="J12133" t="str">
        <f>IFERROR(__xludf.DUMMYFUNCTION("IFS(
  AND(REGEXMATCH(E12133, ""台銀籌備帳戶|玉山帳戶""), REGEXMATCH(C12133, ""薪資"")), ""分潤支出"",
  AND(REGEXMATCH(E12133, ""Ben帳戶|Elsa帳戶|Ben代墊|Ariel代墊|中信銀行共用""), REGEXMATCH(F12133, ""Ben帳戶|Elsa帳戶|Ben代墊|Ariel代墊|中信銀行共用"")), ""內部轉帳(忽略)"",
  AND(E12133&lt;&gt;"""", F12133&lt;&gt;"&amp;""""", NOT(REGEXMATCH(C12133, ""薪資""))), ""內部轉帳(忽略)"",
  REGEXMATCH(C12133, ""薪資""), ""薪資變動(不計入)"",
  REGEXMATCH(C12133, ""押金""), ""押金往來"",
  AND(E12133&lt;&gt;"""", F12133=""""), ""真實支出"",
  AND(E12133="""", F12133&lt;&gt;""""), ""真實收入"",
  TRUE, ""其他""
)"),"其他")</f>
        <v>其他</v>
      </c>
      <c r="K12133" s="270" t="str">
        <f t="shared" si="2"/>
        <v/>
      </c>
      <c r="L12133">
        <f t="shared" si="3"/>
        <v>0</v>
      </c>
    </row>
    <row r="12134">
      <c r="A12134" s="107"/>
      <c r="D12134" s="270"/>
      <c r="H12134" s="106" t="str">
        <f t="shared" si="1"/>
        <v/>
      </c>
      <c r="J12134" t="str">
        <f>IFERROR(__xludf.DUMMYFUNCTION("IFS(
  AND(REGEXMATCH(E12134, ""台銀籌備帳戶|玉山帳戶""), REGEXMATCH(C12134, ""薪資"")), ""分潤支出"",
  AND(REGEXMATCH(E12134, ""Ben帳戶|Elsa帳戶|Ben代墊|Ariel代墊|中信銀行共用""), REGEXMATCH(F12134, ""Ben帳戶|Elsa帳戶|Ben代墊|Ariel代墊|中信銀行共用"")), ""內部轉帳(忽略)"",
  AND(E12134&lt;&gt;"""", F12134&lt;&gt;"&amp;""""", NOT(REGEXMATCH(C12134, ""薪資""))), ""內部轉帳(忽略)"",
  REGEXMATCH(C12134, ""薪資""), ""薪資變動(不計入)"",
  REGEXMATCH(C12134, ""押金""), ""押金往來"",
  AND(E12134&lt;&gt;"""", F12134=""""), ""真實支出"",
  AND(E12134="""", F12134&lt;&gt;""""), ""真實收入"",
  TRUE, ""其他""
)"),"其他")</f>
        <v>其他</v>
      </c>
      <c r="K12134" s="270" t="str">
        <f t="shared" si="2"/>
        <v/>
      </c>
      <c r="L12134">
        <f t="shared" si="3"/>
        <v>0</v>
      </c>
    </row>
    <row r="12135">
      <c r="A12135" s="107"/>
      <c r="D12135" s="270"/>
      <c r="H12135" s="106" t="str">
        <f t="shared" si="1"/>
        <v/>
      </c>
      <c r="J12135" t="str">
        <f>IFERROR(__xludf.DUMMYFUNCTION("IFS(
  AND(REGEXMATCH(E12135, ""台銀籌備帳戶|玉山帳戶""), REGEXMATCH(C12135, ""薪資"")), ""分潤支出"",
  AND(REGEXMATCH(E12135, ""Ben帳戶|Elsa帳戶|Ben代墊|Ariel代墊|中信銀行共用""), REGEXMATCH(F12135, ""Ben帳戶|Elsa帳戶|Ben代墊|Ariel代墊|中信銀行共用"")), ""內部轉帳(忽略)"",
  AND(E12135&lt;&gt;"""", F12135&lt;&gt;"&amp;""""", NOT(REGEXMATCH(C12135, ""薪資""))), ""內部轉帳(忽略)"",
  REGEXMATCH(C12135, ""薪資""), ""薪資變動(不計入)"",
  REGEXMATCH(C12135, ""押金""), ""押金往來"",
  AND(E12135&lt;&gt;"""", F12135=""""), ""真實支出"",
  AND(E12135="""", F12135&lt;&gt;""""), ""真實收入"",
  TRUE, ""其他""
)"),"其他")</f>
        <v>其他</v>
      </c>
      <c r="K12135" s="270" t="str">
        <f t="shared" si="2"/>
        <v/>
      </c>
      <c r="L12135">
        <f t="shared" si="3"/>
        <v>0</v>
      </c>
    </row>
    <row r="12136">
      <c r="A12136" s="107"/>
      <c r="D12136" s="270"/>
      <c r="H12136" s="106" t="str">
        <f t="shared" si="1"/>
        <v/>
      </c>
      <c r="J12136" t="str">
        <f>IFERROR(__xludf.DUMMYFUNCTION("IFS(
  AND(REGEXMATCH(E12136, ""台銀籌備帳戶|玉山帳戶""), REGEXMATCH(C12136, ""薪資"")), ""分潤支出"",
  AND(REGEXMATCH(E12136, ""Ben帳戶|Elsa帳戶|Ben代墊|Ariel代墊|中信銀行共用""), REGEXMATCH(F12136, ""Ben帳戶|Elsa帳戶|Ben代墊|Ariel代墊|中信銀行共用"")), ""內部轉帳(忽略)"",
  AND(E12136&lt;&gt;"""", F12136&lt;&gt;"&amp;""""", NOT(REGEXMATCH(C12136, ""薪資""))), ""內部轉帳(忽略)"",
  REGEXMATCH(C12136, ""薪資""), ""薪資變動(不計入)"",
  REGEXMATCH(C12136, ""押金""), ""押金往來"",
  AND(E12136&lt;&gt;"""", F12136=""""), ""真實支出"",
  AND(E12136="""", F12136&lt;&gt;""""), ""真實收入"",
  TRUE, ""其他""
)"),"其他")</f>
        <v>其他</v>
      </c>
      <c r="K12136" s="270" t="str">
        <f t="shared" si="2"/>
        <v/>
      </c>
      <c r="L12136">
        <f t="shared" si="3"/>
        <v>0</v>
      </c>
    </row>
    <row r="12137">
      <c r="A12137" s="107"/>
      <c r="D12137" s="270"/>
      <c r="H12137" s="106" t="str">
        <f t="shared" si="1"/>
        <v/>
      </c>
      <c r="J12137" t="str">
        <f>IFERROR(__xludf.DUMMYFUNCTION("IFS(
  AND(REGEXMATCH(E12137, ""台銀籌備帳戶|玉山帳戶""), REGEXMATCH(C12137, ""薪資"")), ""分潤支出"",
  AND(REGEXMATCH(E12137, ""Ben帳戶|Elsa帳戶|Ben代墊|Ariel代墊|中信銀行共用""), REGEXMATCH(F12137, ""Ben帳戶|Elsa帳戶|Ben代墊|Ariel代墊|中信銀行共用"")), ""內部轉帳(忽略)"",
  AND(E12137&lt;&gt;"""", F12137&lt;&gt;"&amp;""""", NOT(REGEXMATCH(C12137, ""薪資""))), ""內部轉帳(忽略)"",
  REGEXMATCH(C12137, ""薪資""), ""薪資變動(不計入)"",
  REGEXMATCH(C12137, ""押金""), ""押金往來"",
  AND(E12137&lt;&gt;"""", F12137=""""), ""真實支出"",
  AND(E12137="""", F12137&lt;&gt;""""), ""真實收入"",
  TRUE, ""其他""
)"),"其他")</f>
        <v>其他</v>
      </c>
      <c r="K12137" s="270" t="str">
        <f t="shared" si="2"/>
        <v/>
      </c>
      <c r="L12137">
        <f t="shared" si="3"/>
        <v>0</v>
      </c>
    </row>
    <row r="12138">
      <c r="A12138" s="107"/>
      <c r="D12138" s="270"/>
      <c r="H12138" s="106" t="str">
        <f t="shared" si="1"/>
        <v/>
      </c>
      <c r="J12138" t="str">
        <f>IFERROR(__xludf.DUMMYFUNCTION("IFS(
  AND(REGEXMATCH(E12138, ""台銀籌備帳戶|玉山帳戶""), REGEXMATCH(C12138, ""薪資"")), ""分潤支出"",
  AND(REGEXMATCH(E12138, ""Ben帳戶|Elsa帳戶|Ben代墊|Ariel代墊|中信銀行共用""), REGEXMATCH(F12138, ""Ben帳戶|Elsa帳戶|Ben代墊|Ariel代墊|中信銀行共用"")), ""內部轉帳(忽略)"",
  AND(E12138&lt;&gt;"""", F12138&lt;&gt;"&amp;""""", NOT(REGEXMATCH(C12138, ""薪資""))), ""內部轉帳(忽略)"",
  REGEXMATCH(C12138, ""薪資""), ""薪資變動(不計入)"",
  REGEXMATCH(C12138, ""押金""), ""押金往來"",
  AND(E12138&lt;&gt;"""", F12138=""""), ""真實支出"",
  AND(E12138="""", F12138&lt;&gt;""""), ""真實收入"",
  TRUE, ""其他""
)"),"其他")</f>
        <v>其他</v>
      </c>
      <c r="K12138" s="270" t="str">
        <f t="shared" si="2"/>
        <v/>
      </c>
      <c r="L12138">
        <f t="shared" si="3"/>
        <v>0</v>
      </c>
    </row>
    <row r="12139">
      <c r="A12139" s="107"/>
      <c r="D12139" s="270"/>
      <c r="H12139" s="106" t="str">
        <f t="shared" si="1"/>
        <v/>
      </c>
      <c r="J12139" t="str">
        <f>IFERROR(__xludf.DUMMYFUNCTION("IFS(
  AND(REGEXMATCH(E12139, ""台銀籌備帳戶|玉山帳戶""), REGEXMATCH(C12139, ""薪資"")), ""分潤支出"",
  AND(REGEXMATCH(E12139, ""Ben帳戶|Elsa帳戶|Ben代墊|Ariel代墊|中信銀行共用""), REGEXMATCH(F12139, ""Ben帳戶|Elsa帳戶|Ben代墊|Ariel代墊|中信銀行共用"")), ""內部轉帳(忽略)"",
  AND(E12139&lt;&gt;"""", F12139&lt;&gt;"&amp;""""", NOT(REGEXMATCH(C12139, ""薪資""))), ""內部轉帳(忽略)"",
  REGEXMATCH(C12139, ""薪資""), ""薪資變動(不計入)"",
  REGEXMATCH(C12139, ""押金""), ""押金往來"",
  AND(E12139&lt;&gt;"""", F12139=""""), ""真實支出"",
  AND(E12139="""", F12139&lt;&gt;""""), ""真實收入"",
  TRUE, ""其他""
)"),"其他")</f>
        <v>其他</v>
      </c>
      <c r="K12139" s="270" t="str">
        <f t="shared" si="2"/>
        <v/>
      </c>
      <c r="L12139">
        <f t="shared" si="3"/>
        <v>0</v>
      </c>
    </row>
    <row r="12140">
      <c r="A12140" s="107"/>
      <c r="D12140" s="270"/>
      <c r="H12140" s="106" t="str">
        <f t="shared" si="1"/>
        <v/>
      </c>
      <c r="J12140" t="str">
        <f>IFERROR(__xludf.DUMMYFUNCTION("IFS(
  AND(REGEXMATCH(E12140, ""台銀籌備帳戶|玉山帳戶""), REGEXMATCH(C12140, ""薪資"")), ""分潤支出"",
  AND(REGEXMATCH(E12140, ""Ben帳戶|Elsa帳戶|Ben代墊|Ariel代墊|中信銀行共用""), REGEXMATCH(F12140, ""Ben帳戶|Elsa帳戶|Ben代墊|Ariel代墊|中信銀行共用"")), ""內部轉帳(忽略)"",
  AND(E12140&lt;&gt;"""", F12140&lt;&gt;"&amp;""""", NOT(REGEXMATCH(C12140, ""薪資""))), ""內部轉帳(忽略)"",
  REGEXMATCH(C12140, ""薪資""), ""薪資變動(不計入)"",
  REGEXMATCH(C12140, ""押金""), ""押金往來"",
  AND(E12140&lt;&gt;"""", F12140=""""), ""真實支出"",
  AND(E12140="""", F12140&lt;&gt;""""), ""真實收入"",
  TRUE, ""其他""
)"),"其他")</f>
        <v>其他</v>
      </c>
      <c r="K12140" s="270" t="str">
        <f t="shared" si="2"/>
        <v/>
      </c>
      <c r="L12140">
        <f t="shared" si="3"/>
        <v>0</v>
      </c>
    </row>
    <row r="12141">
      <c r="A12141" s="107"/>
      <c r="D12141" s="270"/>
      <c r="H12141" s="106" t="str">
        <f t="shared" si="1"/>
        <v/>
      </c>
      <c r="J12141" t="str">
        <f>IFERROR(__xludf.DUMMYFUNCTION("IFS(
  AND(REGEXMATCH(E12141, ""台銀籌備帳戶|玉山帳戶""), REGEXMATCH(C12141, ""薪資"")), ""分潤支出"",
  AND(REGEXMATCH(E12141, ""Ben帳戶|Elsa帳戶|Ben代墊|Ariel代墊|中信銀行共用""), REGEXMATCH(F12141, ""Ben帳戶|Elsa帳戶|Ben代墊|Ariel代墊|中信銀行共用"")), ""內部轉帳(忽略)"",
  AND(E12141&lt;&gt;"""", F12141&lt;&gt;"&amp;""""", NOT(REGEXMATCH(C12141, ""薪資""))), ""內部轉帳(忽略)"",
  REGEXMATCH(C12141, ""薪資""), ""薪資變動(不計入)"",
  REGEXMATCH(C12141, ""押金""), ""押金往來"",
  AND(E12141&lt;&gt;"""", F12141=""""), ""真實支出"",
  AND(E12141="""", F12141&lt;&gt;""""), ""真實收入"",
  TRUE, ""其他""
)"),"其他")</f>
        <v>其他</v>
      </c>
      <c r="K12141" s="270" t="str">
        <f t="shared" si="2"/>
        <v/>
      </c>
      <c r="L12141">
        <f t="shared" si="3"/>
        <v>0</v>
      </c>
    </row>
    <row r="12142">
      <c r="A12142" s="107"/>
      <c r="D12142" s="270"/>
      <c r="H12142" s="106" t="str">
        <f t="shared" si="1"/>
        <v/>
      </c>
      <c r="J12142" t="str">
        <f>IFERROR(__xludf.DUMMYFUNCTION("IFS(
  AND(REGEXMATCH(E12142, ""台銀籌備帳戶|玉山帳戶""), REGEXMATCH(C12142, ""薪資"")), ""分潤支出"",
  AND(REGEXMATCH(E12142, ""Ben帳戶|Elsa帳戶|Ben代墊|Ariel代墊|中信銀行共用""), REGEXMATCH(F12142, ""Ben帳戶|Elsa帳戶|Ben代墊|Ariel代墊|中信銀行共用"")), ""內部轉帳(忽略)"",
  AND(E12142&lt;&gt;"""", F12142&lt;&gt;"&amp;""""", NOT(REGEXMATCH(C12142, ""薪資""))), ""內部轉帳(忽略)"",
  REGEXMATCH(C12142, ""薪資""), ""薪資變動(不計入)"",
  REGEXMATCH(C12142, ""押金""), ""押金往來"",
  AND(E12142&lt;&gt;"""", F12142=""""), ""真實支出"",
  AND(E12142="""", F12142&lt;&gt;""""), ""真實收入"",
  TRUE, ""其他""
)"),"其他")</f>
        <v>其他</v>
      </c>
      <c r="K12142" s="270" t="str">
        <f t="shared" si="2"/>
        <v/>
      </c>
      <c r="L12142">
        <f t="shared" si="3"/>
        <v>0</v>
      </c>
    </row>
    <row r="12143">
      <c r="A12143" s="107"/>
      <c r="D12143" s="270"/>
      <c r="H12143" s="106" t="str">
        <f t="shared" si="1"/>
        <v/>
      </c>
      <c r="J12143" t="str">
        <f>IFERROR(__xludf.DUMMYFUNCTION("IFS(
  AND(REGEXMATCH(E12143, ""台銀籌備帳戶|玉山帳戶""), REGEXMATCH(C12143, ""薪資"")), ""分潤支出"",
  AND(REGEXMATCH(E12143, ""Ben帳戶|Elsa帳戶|Ben代墊|Ariel代墊|中信銀行共用""), REGEXMATCH(F12143, ""Ben帳戶|Elsa帳戶|Ben代墊|Ariel代墊|中信銀行共用"")), ""內部轉帳(忽略)"",
  AND(E12143&lt;&gt;"""", F12143&lt;&gt;"&amp;""""", NOT(REGEXMATCH(C12143, ""薪資""))), ""內部轉帳(忽略)"",
  REGEXMATCH(C12143, ""薪資""), ""薪資變動(不計入)"",
  REGEXMATCH(C12143, ""押金""), ""押金往來"",
  AND(E12143&lt;&gt;"""", F12143=""""), ""真實支出"",
  AND(E12143="""", F12143&lt;&gt;""""), ""真實收入"",
  TRUE, ""其他""
)"),"其他")</f>
        <v>其他</v>
      </c>
      <c r="K12143" s="270" t="str">
        <f t="shared" si="2"/>
        <v/>
      </c>
      <c r="L12143">
        <f t="shared" si="3"/>
        <v>0</v>
      </c>
    </row>
    <row r="12144">
      <c r="A12144" s="107"/>
      <c r="D12144" s="270"/>
      <c r="H12144" s="106" t="str">
        <f t="shared" si="1"/>
        <v/>
      </c>
      <c r="J12144" t="str">
        <f>IFERROR(__xludf.DUMMYFUNCTION("IFS(
  AND(REGEXMATCH(E12144, ""台銀籌備帳戶|玉山帳戶""), REGEXMATCH(C12144, ""薪資"")), ""分潤支出"",
  AND(REGEXMATCH(E12144, ""Ben帳戶|Elsa帳戶|Ben代墊|Ariel代墊|中信銀行共用""), REGEXMATCH(F12144, ""Ben帳戶|Elsa帳戶|Ben代墊|Ariel代墊|中信銀行共用"")), ""內部轉帳(忽略)"",
  AND(E12144&lt;&gt;"""", F12144&lt;&gt;"&amp;""""", NOT(REGEXMATCH(C12144, ""薪資""))), ""內部轉帳(忽略)"",
  REGEXMATCH(C12144, ""薪資""), ""薪資變動(不計入)"",
  REGEXMATCH(C12144, ""押金""), ""押金往來"",
  AND(E12144&lt;&gt;"""", F12144=""""), ""真實支出"",
  AND(E12144="""", F12144&lt;&gt;""""), ""真實收入"",
  TRUE, ""其他""
)"),"其他")</f>
        <v>其他</v>
      </c>
      <c r="K12144" s="270" t="str">
        <f t="shared" si="2"/>
        <v/>
      </c>
      <c r="L12144">
        <f t="shared" si="3"/>
        <v>0</v>
      </c>
    </row>
    <row r="12145">
      <c r="A12145" s="107"/>
      <c r="D12145" s="270"/>
      <c r="H12145" s="106" t="str">
        <f t="shared" si="1"/>
        <v/>
      </c>
      <c r="J12145" t="str">
        <f>IFERROR(__xludf.DUMMYFUNCTION("IFS(
  AND(REGEXMATCH(E12145, ""台銀籌備帳戶|玉山帳戶""), REGEXMATCH(C12145, ""薪資"")), ""分潤支出"",
  AND(REGEXMATCH(E12145, ""Ben帳戶|Elsa帳戶|Ben代墊|Ariel代墊|中信銀行共用""), REGEXMATCH(F12145, ""Ben帳戶|Elsa帳戶|Ben代墊|Ariel代墊|中信銀行共用"")), ""內部轉帳(忽略)"",
  AND(E12145&lt;&gt;"""", F12145&lt;&gt;"&amp;""""", NOT(REGEXMATCH(C12145, ""薪資""))), ""內部轉帳(忽略)"",
  REGEXMATCH(C12145, ""薪資""), ""薪資變動(不計入)"",
  REGEXMATCH(C12145, ""押金""), ""押金往來"",
  AND(E12145&lt;&gt;"""", F12145=""""), ""真實支出"",
  AND(E12145="""", F12145&lt;&gt;""""), ""真實收入"",
  TRUE, ""其他""
)"),"其他")</f>
        <v>其他</v>
      </c>
      <c r="K12145" s="270" t="str">
        <f t="shared" si="2"/>
        <v/>
      </c>
      <c r="L12145">
        <f t="shared" si="3"/>
        <v>0</v>
      </c>
    </row>
    <row r="12146">
      <c r="A12146" s="107"/>
      <c r="D12146" s="270"/>
      <c r="H12146" s="106" t="str">
        <f t="shared" si="1"/>
        <v/>
      </c>
      <c r="J12146" t="str">
        <f>IFERROR(__xludf.DUMMYFUNCTION("IFS(
  AND(REGEXMATCH(E12146, ""台銀籌備帳戶|玉山帳戶""), REGEXMATCH(C12146, ""薪資"")), ""分潤支出"",
  AND(REGEXMATCH(E12146, ""Ben帳戶|Elsa帳戶|Ben代墊|Ariel代墊|中信銀行共用""), REGEXMATCH(F12146, ""Ben帳戶|Elsa帳戶|Ben代墊|Ariel代墊|中信銀行共用"")), ""內部轉帳(忽略)"",
  AND(E12146&lt;&gt;"""", F12146&lt;&gt;"&amp;""""", NOT(REGEXMATCH(C12146, ""薪資""))), ""內部轉帳(忽略)"",
  REGEXMATCH(C12146, ""薪資""), ""薪資變動(不計入)"",
  REGEXMATCH(C12146, ""押金""), ""押金往來"",
  AND(E12146&lt;&gt;"""", F12146=""""), ""真實支出"",
  AND(E12146="""", F12146&lt;&gt;""""), ""真實收入"",
  TRUE, ""其他""
)"),"其他")</f>
        <v>其他</v>
      </c>
      <c r="K12146" s="270" t="str">
        <f t="shared" si="2"/>
        <v/>
      </c>
      <c r="L12146">
        <f t="shared" si="3"/>
        <v>0</v>
      </c>
    </row>
    <row r="12147">
      <c r="A12147" s="107"/>
      <c r="D12147" s="270"/>
      <c r="H12147" s="106" t="str">
        <f t="shared" si="1"/>
        <v/>
      </c>
      <c r="J12147" t="str">
        <f>IFERROR(__xludf.DUMMYFUNCTION("IFS(
  AND(REGEXMATCH(E12147, ""台銀籌備帳戶|玉山帳戶""), REGEXMATCH(C12147, ""薪資"")), ""分潤支出"",
  AND(REGEXMATCH(E12147, ""Ben帳戶|Elsa帳戶|Ben代墊|Ariel代墊|中信銀行共用""), REGEXMATCH(F12147, ""Ben帳戶|Elsa帳戶|Ben代墊|Ariel代墊|中信銀行共用"")), ""內部轉帳(忽略)"",
  AND(E12147&lt;&gt;"""", F12147&lt;&gt;"&amp;""""", NOT(REGEXMATCH(C12147, ""薪資""))), ""內部轉帳(忽略)"",
  REGEXMATCH(C12147, ""薪資""), ""薪資變動(不計入)"",
  REGEXMATCH(C12147, ""押金""), ""押金往來"",
  AND(E12147&lt;&gt;"""", F12147=""""), ""真實支出"",
  AND(E12147="""", F12147&lt;&gt;""""), ""真實收入"",
  TRUE, ""其他""
)"),"其他")</f>
        <v>其他</v>
      </c>
      <c r="K12147" s="270" t="str">
        <f t="shared" si="2"/>
        <v/>
      </c>
      <c r="L12147">
        <f t="shared" si="3"/>
        <v>0</v>
      </c>
    </row>
    <row r="12148">
      <c r="A12148" s="107"/>
      <c r="D12148" s="270"/>
      <c r="H12148" s="106" t="str">
        <f t="shared" si="1"/>
        <v/>
      </c>
      <c r="J12148" t="str">
        <f>IFERROR(__xludf.DUMMYFUNCTION("IFS(
  AND(REGEXMATCH(E12148, ""台銀籌備帳戶|玉山帳戶""), REGEXMATCH(C12148, ""薪資"")), ""分潤支出"",
  AND(REGEXMATCH(E12148, ""Ben帳戶|Elsa帳戶|Ben代墊|Ariel代墊|中信銀行共用""), REGEXMATCH(F12148, ""Ben帳戶|Elsa帳戶|Ben代墊|Ariel代墊|中信銀行共用"")), ""內部轉帳(忽略)"",
  AND(E12148&lt;&gt;"""", F12148&lt;&gt;"&amp;""""", NOT(REGEXMATCH(C12148, ""薪資""))), ""內部轉帳(忽略)"",
  REGEXMATCH(C12148, ""薪資""), ""薪資變動(不計入)"",
  REGEXMATCH(C12148, ""押金""), ""押金往來"",
  AND(E12148&lt;&gt;"""", F12148=""""), ""真實支出"",
  AND(E12148="""", F12148&lt;&gt;""""), ""真實收入"",
  TRUE, ""其他""
)"),"其他")</f>
        <v>其他</v>
      </c>
      <c r="K12148" s="270" t="str">
        <f t="shared" si="2"/>
        <v/>
      </c>
      <c r="L12148">
        <f t="shared" si="3"/>
        <v>0</v>
      </c>
    </row>
    <row r="12149">
      <c r="A12149" s="107"/>
      <c r="D12149" s="270"/>
      <c r="H12149" s="106" t="str">
        <f t="shared" si="1"/>
        <v/>
      </c>
      <c r="J12149" t="str">
        <f>IFERROR(__xludf.DUMMYFUNCTION("IFS(
  AND(REGEXMATCH(E12149, ""台銀籌備帳戶|玉山帳戶""), REGEXMATCH(C12149, ""薪資"")), ""分潤支出"",
  AND(REGEXMATCH(E12149, ""Ben帳戶|Elsa帳戶|Ben代墊|Ariel代墊|中信銀行共用""), REGEXMATCH(F12149, ""Ben帳戶|Elsa帳戶|Ben代墊|Ariel代墊|中信銀行共用"")), ""內部轉帳(忽略)"",
  AND(E12149&lt;&gt;"""", F12149&lt;&gt;"&amp;""""", NOT(REGEXMATCH(C12149, ""薪資""))), ""內部轉帳(忽略)"",
  REGEXMATCH(C12149, ""薪資""), ""薪資變動(不計入)"",
  REGEXMATCH(C12149, ""押金""), ""押金往來"",
  AND(E12149&lt;&gt;"""", F12149=""""), ""真實支出"",
  AND(E12149="""", F12149&lt;&gt;""""), ""真實收入"",
  TRUE, ""其他""
)"),"其他")</f>
        <v>其他</v>
      </c>
      <c r="K12149" s="270" t="str">
        <f t="shared" si="2"/>
        <v/>
      </c>
      <c r="L12149">
        <f t="shared" si="3"/>
        <v>0</v>
      </c>
    </row>
    <row r="12150">
      <c r="A12150" s="107"/>
      <c r="D12150" s="270"/>
      <c r="H12150" s="106" t="str">
        <f t="shared" si="1"/>
        <v/>
      </c>
      <c r="J12150" t="str">
        <f>IFERROR(__xludf.DUMMYFUNCTION("IFS(
  AND(REGEXMATCH(E12150, ""台銀籌備帳戶|玉山帳戶""), REGEXMATCH(C12150, ""薪資"")), ""分潤支出"",
  AND(REGEXMATCH(E12150, ""Ben帳戶|Elsa帳戶|Ben代墊|Ariel代墊|中信銀行共用""), REGEXMATCH(F12150, ""Ben帳戶|Elsa帳戶|Ben代墊|Ariel代墊|中信銀行共用"")), ""內部轉帳(忽略)"",
  AND(E12150&lt;&gt;"""", F12150&lt;&gt;"&amp;""""", NOT(REGEXMATCH(C12150, ""薪資""))), ""內部轉帳(忽略)"",
  REGEXMATCH(C12150, ""薪資""), ""薪資變動(不計入)"",
  REGEXMATCH(C12150, ""押金""), ""押金往來"",
  AND(E12150&lt;&gt;"""", F12150=""""), ""真實支出"",
  AND(E12150="""", F12150&lt;&gt;""""), ""真實收入"",
  TRUE, ""其他""
)"),"其他")</f>
        <v>其他</v>
      </c>
      <c r="K12150" s="270" t="str">
        <f t="shared" si="2"/>
        <v/>
      </c>
      <c r="L12150">
        <f t="shared" si="3"/>
        <v>0</v>
      </c>
    </row>
    <row r="12151">
      <c r="A12151" s="107"/>
      <c r="D12151" s="270"/>
      <c r="H12151" s="106" t="str">
        <f t="shared" si="1"/>
        <v/>
      </c>
      <c r="J12151" t="str">
        <f>IFERROR(__xludf.DUMMYFUNCTION("IFS(
  AND(REGEXMATCH(E12151, ""台銀籌備帳戶|玉山帳戶""), REGEXMATCH(C12151, ""薪資"")), ""分潤支出"",
  AND(REGEXMATCH(E12151, ""Ben帳戶|Elsa帳戶|Ben代墊|Ariel代墊|中信銀行共用""), REGEXMATCH(F12151, ""Ben帳戶|Elsa帳戶|Ben代墊|Ariel代墊|中信銀行共用"")), ""內部轉帳(忽略)"",
  AND(E12151&lt;&gt;"""", F12151&lt;&gt;"&amp;""""", NOT(REGEXMATCH(C12151, ""薪資""))), ""內部轉帳(忽略)"",
  REGEXMATCH(C12151, ""薪資""), ""薪資變動(不計入)"",
  REGEXMATCH(C12151, ""押金""), ""押金往來"",
  AND(E12151&lt;&gt;"""", F12151=""""), ""真實支出"",
  AND(E12151="""", F12151&lt;&gt;""""), ""真實收入"",
  TRUE, ""其他""
)"),"其他")</f>
        <v>其他</v>
      </c>
      <c r="K12151" s="270" t="str">
        <f t="shared" si="2"/>
        <v/>
      </c>
      <c r="L12151">
        <f t="shared" si="3"/>
        <v>0</v>
      </c>
    </row>
    <row r="12152">
      <c r="A12152" s="107"/>
      <c r="D12152" s="270"/>
      <c r="H12152" s="106" t="str">
        <f t="shared" si="1"/>
        <v/>
      </c>
      <c r="J12152" t="str">
        <f>IFERROR(__xludf.DUMMYFUNCTION("IFS(
  AND(REGEXMATCH(E12152, ""台銀籌備帳戶|玉山帳戶""), REGEXMATCH(C12152, ""薪資"")), ""分潤支出"",
  AND(REGEXMATCH(E12152, ""Ben帳戶|Elsa帳戶|Ben代墊|Ariel代墊|中信銀行共用""), REGEXMATCH(F12152, ""Ben帳戶|Elsa帳戶|Ben代墊|Ariel代墊|中信銀行共用"")), ""內部轉帳(忽略)"",
  AND(E12152&lt;&gt;"""", F12152&lt;&gt;"&amp;""""", NOT(REGEXMATCH(C12152, ""薪資""))), ""內部轉帳(忽略)"",
  REGEXMATCH(C12152, ""薪資""), ""薪資變動(不計入)"",
  REGEXMATCH(C12152, ""押金""), ""押金往來"",
  AND(E12152&lt;&gt;"""", F12152=""""), ""真實支出"",
  AND(E12152="""", F12152&lt;&gt;""""), ""真實收入"",
  TRUE, ""其他""
)"),"其他")</f>
        <v>其他</v>
      </c>
      <c r="K12152" s="270" t="str">
        <f t="shared" si="2"/>
        <v/>
      </c>
      <c r="L12152">
        <f t="shared" si="3"/>
        <v>0</v>
      </c>
    </row>
    <row r="12153">
      <c r="A12153" s="107"/>
      <c r="D12153" s="270"/>
      <c r="H12153" s="106" t="str">
        <f t="shared" si="1"/>
        <v/>
      </c>
      <c r="J12153" t="str">
        <f>IFERROR(__xludf.DUMMYFUNCTION("IFS(
  AND(REGEXMATCH(E12153, ""台銀籌備帳戶|玉山帳戶""), REGEXMATCH(C12153, ""薪資"")), ""分潤支出"",
  AND(REGEXMATCH(E12153, ""Ben帳戶|Elsa帳戶|Ben代墊|Ariel代墊|中信銀行共用""), REGEXMATCH(F12153, ""Ben帳戶|Elsa帳戶|Ben代墊|Ariel代墊|中信銀行共用"")), ""內部轉帳(忽略)"",
  AND(E12153&lt;&gt;"""", F12153&lt;&gt;"&amp;""""", NOT(REGEXMATCH(C12153, ""薪資""))), ""內部轉帳(忽略)"",
  REGEXMATCH(C12153, ""薪資""), ""薪資變動(不計入)"",
  REGEXMATCH(C12153, ""押金""), ""押金往來"",
  AND(E12153&lt;&gt;"""", F12153=""""), ""真實支出"",
  AND(E12153="""", F12153&lt;&gt;""""), ""真實收入"",
  TRUE, ""其他""
)"),"其他")</f>
        <v>其他</v>
      </c>
      <c r="K12153" s="270" t="str">
        <f t="shared" si="2"/>
        <v/>
      </c>
      <c r="L12153">
        <f t="shared" si="3"/>
        <v>0</v>
      </c>
    </row>
    <row r="12154">
      <c r="A12154" s="107"/>
      <c r="D12154" s="270"/>
      <c r="H12154" s="106" t="str">
        <f t="shared" si="1"/>
        <v/>
      </c>
      <c r="J12154" t="str">
        <f>IFERROR(__xludf.DUMMYFUNCTION("IFS(
  AND(REGEXMATCH(E12154, ""台銀籌備帳戶|玉山帳戶""), REGEXMATCH(C12154, ""薪資"")), ""分潤支出"",
  AND(REGEXMATCH(E12154, ""Ben帳戶|Elsa帳戶|Ben代墊|Ariel代墊|中信銀行共用""), REGEXMATCH(F12154, ""Ben帳戶|Elsa帳戶|Ben代墊|Ariel代墊|中信銀行共用"")), ""內部轉帳(忽略)"",
  AND(E12154&lt;&gt;"""", F12154&lt;&gt;"&amp;""""", NOT(REGEXMATCH(C12154, ""薪資""))), ""內部轉帳(忽略)"",
  REGEXMATCH(C12154, ""薪資""), ""薪資變動(不計入)"",
  REGEXMATCH(C12154, ""押金""), ""押金往來"",
  AND(E12154&lt;&gt;"""", F12154=""""), ""真實支出"",
  AND(E12154="""", F12154&lt;&gt;""""), ""真實收入"",
  TRUE, ""其他""
)"),"其他")</f>
        <v>其他</v>
      </c>
      <c r="K12154" s="270" t="str">
        <f t="shared" si="2"/>
        <v/>
      </c>
      <c r="L12154">
        <f t="shared" si="3"/>
        <v>0</v>
      </c>
    </row>
    <row r="12155">
      <c r="A12155" s="107"/>
      <c r="D12155" s="270"/>
      <c r="H12155" s="106" t="str">
        <f t="shared" si="1"/>
        <v/>
      </c>
      <c r="J12155" t="str">
        <f>IFERROR(__xludf.DUMMYFUNCTION("IFS(
  AND(REGEXMATCH(E12155, ""台銀籌備帳戶|玉山帳戶""), REGEXMATCH(C12155, ""薪資"")), ""分潤支出"",
  AND(REGEXMATCH(E12155, ""Ben帳戶|Elsa帳戶|Ben代墊|Ariel代墊|中信銀行共用""), REGEXMATCH(F12155, ""Ben帳戶|Elsa帳戶|Ben代墊|Ariel代墊|中信銀行共用"")), ""內部轉帳(忽略)"",
  AND(E12155&lt;&gt;"""", F12155&lt;&gt;"&amp;""""", NOT(REGEXMATCH(C12155, ""薪資""))), ""內部轉帳(忽略)"",
  REGEXMATCH(C12155, ""薪資""), ""薪資變動(不計入)"",
  REGEXMATCH(C12155, ""押金""), ""押金往來"",
  AND(E12155&lt;&gt;"""", F12155=""""), ""真實支出"",
  AND(E12155="""", F12155&lt;&gt;""""), ""真實收入"",
  TRUE, ""其他""
)"),"其他")</f>
        <v>其他</v>
      </c>
      <c r="K12155" s="270" t="str">
        <f t="shared" si="2"/>
        <v/>
      </c>
      <c r="L12155">
        <f t="shared" si="3"/>
        <v>0</v>
      </c>
    </row>
    <row r="12156">
      <c r="A12156" s="107"/>
      <c r="D12156" s="270"/>
      <c r="H12156" s="106" t="str">
        <f t="shared" si="1"/>
        <v/>
      </c>
      <c r="J12156" t="str">
        <f>IFERROR(__xludf.DUMMYFUNCTION("IFS(
  AND(REGEXMATCH(E12156, ""台銀籌備帳戶|玉山帳戶""), REGEXMATCH(C12156, ""薪資"")), ""分潤支出"",
  AND(REGEXMATCH(E12156, ""Ben帳戶|Elsa帳戶|Ben代墊|Ariel代墊|中信銀行共用""), REGEXMATCH(F12156, ""Ben帳戶|Elsa帳戶|Ben代墊|Ariel代墊|中信銀行共用"")), ""內部轉帳(忽略)"",
  AND(E12156&lt;&gt;"""", F12156&lt;&gt;"&amp;""""", NOT(REGEXMATCH(C12156, ""薪資""))), ""內部轉帳(忽略)"",
  REGEXMATCH(C12156, ""薪資""), ""薪資變動(不計入)"",
  REGEXMATCH(C12156, ""押金""), ""押金往來"",
  AND(E12156&lt;&gt;"""", F12156=""""), ""真實支出"",
  AND(E12156="""", F12156&lt;&gt;""""), ""真實收入"",
  TRUE, ""其他""
)"),"其他")</f>
        <v>其他</v>
      </c>
      <c r="K12156" s="270" t="str">
        <f t="shared" si="2"/>
        <v/>
      </c>
      <c r="L12156">
        <f t="shared" si="3"/>
        <v>0</v>
      </c>
    </row>
    <row r="12157">
      <c r="A12157" s="107"/>
      <c r="D12157" s="270"/>
      <c r="H12157" s="106" t="str">
        <f t="shared" si="1"/>
        <v/>
      </c>
      <c r="J12157" t="str">
        <f>IFERROR(__xludf.DUMMYFUNCTION("IFS(
  AND(REGEXMATCH(E12157, ""台銀籌備帳戶|玉山帳戶""), REGEXMATCH(C12157, ""薪資"")), ""分潤支出"",
  AND(REGEXMATCH(E12157, ""Ben帳戶|Elsa帳戶|Ben代墊|Ariel代墊|中信銀行共用""), REGEXMATCH(F12157, ""Ben帳戶|Elsa帳戶|Ben代墊|Ariel代墊|中信銀行共用"")), ""內部轉帳(忽略)"",
  AND(E12157&lt;&gt;"""", F12157&lt;&gt;"&amp;""""", NOT(REGEXMATCH(C12157, ""薪資""))), ""內部轉帳(忽略)"",
  REGEXMATCH(C12157, ""薪資""), ""薪資變動(不計入)"",
  REGEXMATCH(C12157, ""押金""), ""押金往來"",
  AND(E12157&lt;&gt;"""", F12157=""""), ""真實支出"",
  AND(E12157="""", F12157&lt;&gt;""""), ""真實收入"",
  TRUE, ""其他""
)"),"其他")</f>
        <v>其他</v>
      </c>
      <c r="K12157" s="270" t="str">
        <f t="shared" si="2"/>
        <v/>
      </c>
      <c r="L12157">
        <f t="shared" si="3"/>
        <v>0</v>
      </c>
    </row>
    <row r="12158">
      <c r="A12158" s="107"/>
      <c r="D12158" s="270"/>
      <c r="H12158" s="106" t="str">
        <f t="shared" si="1"/>
        <v/>
      </c>
      <c r="J12158" t="str">
        <f>IFERROR(__xludf.DUMMYFUNCTION("IFS(
  AND(REGEXMATCH(E12158, ""台銀籌備帳戶|玉山帳戶""), REGEXMATCH(C12158, ""薪資"")), ""分潤支出"",
  AND(REGEXMATCH(E12158, ""Ben帳戶|Elsa帳戶|Ben代墊|Ariel代墊|中信銀行共用""), REGEXMATCH(F12158, ""Ben帳戶|Elsa帳戶|Ben代墊|Ariel代墊|中信銀行共用"")), ""內部轉帳(忽略)"",
  AND(E12158&lt;&gt;"""", F12158&lt;&gt;"&amp;""""", NOT(REGEXMATCH(C12158, ""薪資""))), ""內部轉帳(忽略)"",
  REGEXMATCH(C12158, ""薪資""), ""薪資變動(不計入)"",
  REGEXMATCH(C12158, ""押金""), ""押金往來"",
  AND(E12158&lt;&gt;"""", F12158=""""), ""真實支出"",
  AND(E12158="""", F12158&lt;&gt;""""), ""真實收入"",
  TRUE, ""其他""
)"),"其他")</f>
        <v>其他</v>
      </c>
      <c r="K12158" s="270" t="str">
        <f t="shared" si="2"/>
        <v/>
      </c>
      <c r="L12158">
        <f t="shared" si="3"/>
        <v>0</v>
      </c>
    </row>
    <row r="12159">
      <c r="A12159" s="107"/>
      <c r="D12159" s="270"/>
      <c r="H12159" s="106" t="str">
        <f t="shared" si="1"/>
        <v/>
      </c>
      <c r="J12159" t="str">
        <f>IFERROR(__xludf.DUMMYFUNCTION("IFS(
  AND(REGEXMATCH(E12159, ""台銀籌備帳戶|玉山帳戶""), REGEXMATCH(C12159, ""薪資"")), ""分潤支出"",
  AND(REGEXMATCH(E12159, ""Ben帳戶|Elsa帳戶|Ben代墊|Ariel代墊|中信銀行共用""), REGEXMATCH(F12159, ""Ben帳戶|Elsa帳戶|Ben代墊|Ariel代墊|中信銀行共用"")), ""內部轉帳(忽略)"",
  AND(E12159&lt;&gt;"""", F12159&lt;&gt;"&amp;""""", NOT(REGEXMATCH(C12159, ""薪資""))), ""內部轉帳(忽略)"",
  REGEXMATCH(C12159, ""薪資""), ""薪資變動(不計入)"",
  REGEXMATCH(C12159, ""押金""), ""押金往來"",
  AND(E12159&lt;&gt;"""", F12159=""""), ""真實支出"",
  AND(E12159="""", F12159&lt;&gt;""""), ""真實收入"",
  TRUE, ""其他""
)"),"其他")</f>
        <v>其他</v>
      </c>
      <c r="K12159" s="270" t="str">
        <f t="shared" si="2"/>
        <v/>
      </c>
      <c r="L12159">
        <f t="shared" si="3"/>
        <v>0</v>
      </c>
    </row>
    <row r="12160">
      <c r="A12160" s="107"/>
      <c r="D12160" s="270"/>
      <c r="H12160" s="106" t="str">
        <f t="shared" si="1"/>
        <v/>
      </c>
      <c r="J12160" t="str">
        <f>IFERROR(__xludf.DUMMYFUNCTION("IFS(
  AND(REGEXMATCH(E12160, ""台銀籌備帳戶|玉山帳戶""), REGEXMATCH(C12160, ""薪資"")), ""分潤支出"",
  AND(REGEXMATCH(E12160, ""Ben帳戶|Elsa帳戶|Ben代墊|Ariel代墊|中信銀行共用""), REGEXMATCH(F12160, ""Ben帳戶|Elsa帳戶|Ben代墊|Ariel代墊|中信銀行共用"")), ""內部轉帳(忽略)"",
  AND(E12160&lt;&gt;"""", F12160&lt;&gt;"&amp;""""", NOT(REGEXMATCH(C12160, ""薪資""))), ""內部轉帳(忽略)"",
  REGEXMATCH(C12160, ""薪資""), ""薪資變動(不計入)"",
  REGEXMATCH(C12160, ""押金""), ""押金往來"",
  AND(E12160&lt;&gt;"""", F12160=""""), ""真實支出"",
  AND(E12160="""", F12160&lt;&gt;""""), ""真實收入"",
  TRUE, ""其他""
)"),"其他")</f>
        <v>其他</v>
      </c>
      <c r="K12160" s="270" t="str">
        <f t="shared" si="2"/>
        <v/>
      </c>
      <c r="L12160">
        <f t="shared" si="3"/>
        <v>0</v>
      </c>
    </row>
    <row r="12161">
      <c r="A12161" s="107"/>
      <c r="D12161" s="270"/>
      <c r="H12161" s="106" t="str">
        <f t="shared" si="1"/>
        <v/>
      </c>
      <c r="J12161" t="str">
        <f>IFERROR(__xludf.DUMMYFUNCTION("IFS(
  AND(REGEXMATCH(E12161, ""台銀籌備帳戶|玉山帳戶""), REGEXMATCH(C12161, ""薪資"")), ""分潤支出"",
  AND(REGEXMATCH(E12161, ""Ben帳戶|Elsa帳戶|Ben代墊|Ariel代墊|中信銀行共用""), REGEXMATCH(F12161, ""Ben帳戶|Elsa帳戶|Ben代墊|Ariel代墊|中信銀行共用"")), ""內部轉帳(忽略)"",
  AND(E12161&lt;&gt;"""", F12161&lt;&gt;"&amp;""""", NOT(REGEXMATCH(C12161, ""薪資""))), ""內部轉帳(忽略)"",
  REGEXMATCH(C12161, ""薪資""), ""薪資變動(不計入)"",
  REGEXMATCH(C12161, ""押金""), ""押金往來"",
  AND(E12161&lt;&gt;"""", F12161=""""), ""真實支出"",
  AND(E12161="""", F12161&lt;&gt;""""), ""真實收入"",
  TRUE, ""其他""
)"),"其他")</f>
        <v>其他</v>
      </c>
      <c r="K12161" s="270" t="str">
        <f t="shared" si="2"/>
        <v/>
      </c>
      <c r="L12161">
        <f t="shared" si="3"/>
        <v>0</v>
      </c>
    </row>
    <row r="12162">
      <c r="A12162" s="107"/>
      <c r="D12162" s="270"/>
      <c r="H12162" s="106" t="str">
        <f t="shared" si="1"/>
        <v/>
      </c>
      <c r="J12162" t="str">
        <f>IFERROR(__xludf.DUMMYFUNCTION("IFS(
  AND(REGEXMATCH(E12162, ""台銀籌備帳戶|玉山帳戶""), REGEXMATCH(C12162, ""薪資"")), ""分潤支出"",
  AND(REGEXMATCH(E12162, ""Ben帳戶|Elsa帳戶|Ben代墊|Ariel代墊|中信銀行共用""), REGEXMATCH(F12162, ""Ben帳戶|Elsa帳戶|Ben代墊|Ariel代墊|中信銀行共用"")), ""內部轉帳(忽略)"",
  AND(E12162&lt;&gt;"""", F12162&lt;&gt;"&amp;""""", NOT(REGEXMATCH(C12162, ""薪資""))), ""內部轉帳(忽略)"",
  REGEXMATCH(C12162, ""薪資""), ""薪資變動(不計入)"",
  REGEXMATCH(C12162, ""押金""), ""押金往來"",
  AND(E12162&lt;&gt;"""", F12162=""""), ""真實支出"",
  AND(E12162="""", F12162&lt;&gt;""""), ""真實收入"",
  TRUE, ""其他""
)"),"其他")</f>
        <v>其他</v>
      </c>
      <c r="K12162" s="270" t="str">
        <f t="shared" si="2"/>
        <v/>
      </c>
      <c r="L12162">
        <f t="shared" si="3"/>
        <v>0</v>
      </c>
    </row>
    <row r="12163">
      <c r="A12163" s="107"/>
      <c r="D12163" s="270"/>
      <c r="H12163" s="106" t="str">
        <f t="shared" si="1"/>
        <v/>
      </c>
      <c r="J12163" t="str">
        <f>IFERROR(__xludf.DUMMYFUNCTION("IFS(
  AND(REGEXMATCH(E12163, ""台銀籌備帳戶|玉山帳戶""), REGEXMATCH(C12163, ""薪資"")), ""分潤支出"",
  AND(REGEXMATCH(E12163, ""Ben帳戶|Elsa帳戶|Ben代墊|Ariel代墊|中信銀行共用""), REGEXMATCH(F12163, ""Ben帳戶|Elsa帳戶|Ben代墊|Ariel代墊|中信銀行共用"")), ""內部轉帳(忽略)"",
  AND(E12163&lt;&gt;"""", F12163&lt;&gt;"&amp;""""", NOT(REGEXMATCH(C12163, ""薪資""))), ""內部轉帳(忽略)"",
  REGEXMATCH(C12163, ""薪資""), ""薪資變動(不計入)"",
  REGEXMATCH(C12163, ""押金""), ""押金往來"",
  AND(E12163&lt;&gt;"""", F12163=""""), ""真實支出"",
  AND(E12163="""", F12163&lt;&gt;""""), ""真實收入"",
  TRUE, ""其他""
)"),"其他")</f>
        <v>其他</v>
      </c>
      <c r="K12163" s="270" t="str">
        <f t="shared" si="2"/>
        <v/>
      </c>
      <c r="L12163">
        <f t="shared" si="3"/>
        <v>0</v>
      </c>
    </row>
    <row r="12164">
      <c r="A12164" s="107"/>
      <c r="D12164" s="270"/>
      <c r="H12164" s="106" t="str">
        <f t="shared" si="1"/>
        <v/>
      </c>
      <c r="J12164" t="str">
        <f>IFERROR(__xludf.DUMMYFUNCTION("IFS(
  AND(REGEXMATCH(E12164, ""台銀籌備帳戶|玉山帳戶""), REGEXMATCH(C12164, ""薪資"")), ""分潤支出"",
  AND(REGEXMATCH(E12164, ""Ben帳戶|Elsa帳戶|Ben代墊|Ariel代墊|中信銀行共用""), REGEXMATCH(F12164, ""Ben帳戶|Elsa帳戶|Ben代墊|Ariel代墊|中信銀行共用"")), ""內部轉帳(忽略)"",
  AND(E12164&lt;&gt;"""", F12164&lt;&gt;"&amp;""""", NOT(REGEXMATCH(C12164, ""薪資""))), ""內部轉帳(忽略)"",
  REGEXMATCH(C12164, ""薪資""), ""薪資變動(不計入)"",
  REGEXMATCH(C12164, ""押金""), ""押金往來"",
  AND(E12164&lt;&gt;"""", F12164=""""), ""真實支出"",
  AND(E12164="""", F12164&lt;&gt;""""), ""真實收入"",
  TRUE, ""其他""
)"),"其他")</f>
        <v>其他</v>
      </c>
      <c r="K12164" s="270" t="str">
        <f t="shared" si="2"/>
        <v/>
      </c>
      <c r="L12164">
        <f t="shared" si="3"/>
        <v>0</v>
      </c>
    </row>
    <row r="12165">
      <c r="A12165" s="107"/>
      <c r="D12165" s="270"/>
      <c r="H12165" s="106" t="str">
        <f t="shared" si="1"/>
        <v/>
      </c>
      <c r="J12165" t="str">
        <f>IFERROR(__xludf.DUMMYFUNCTION("IFS(
  AND(REGEXMATCH(E12165, ""台銀籌備帳戶|玉山帳戶""), REGEXMATCH(C12165, ""薪資"")), ""分潤支出"",
  AND(REGEXMATCH(E12165, ""Ben帳戶|Elsa帳戶|Ben代墊|Ariel代墊|中信銀行共用""), REGEXMATCH(F12165, ""Ben帳戶|Elsa帳戶|Ben代墊|Ariel代墊|中信銀行共用"")), ""內部轉帳(忽略)"",
  AND(E12165&lt;&gt;"""", F12165&lt;&gt;"&amp;""""", NOT(REGEXMATCH(C12165, ""薪資""))), ""內部轉帳(忽略)"",
  REGEXMATCH(C12165, ""薪資""), ""薪資變動(不計入)"",
  REGEXMATCH(C12165, ""押金""), ""押金往來"",
  AND(E12165&lt;&gt;"""", F12165=""""), ""真實支出"",
  AND(E12165="""", F12165&lt;&gt;""""), ""真實收入"",
  TRUE, ""其他""
)"),"其他")</f>
        <v>其他</v>
      </c>
      <c r="K12165" s="270" t="str">
        <f t="shared" si="2"/>
        <v/>
      </c>
      <c r="L12165">
        <f t="shared" si="3"/>
        <v>0</v>
      </c>
    </row>
    <row r="12166">
      <c r="A12166" s="107"/>
      <c r="D12166" s="270"/>
      <c r="H12166" s="106" t="str">
        <f t="shared" si="1"/>
        <v/>
      </c>
      <c r="J12166" t="str">
        <f>IFERROR(__xludf.DUMMYFUNCTION("IFS(
  AND(REGEXMATCH(E12166, ""台銀籌備帳戶|玉山帳戶""), REGEXMATCH(C12166, ""薪資"")), ""分潤支出"",
  AND(REGEXMATCH(E12166, ""Ben帳戶|Elsa帳戶|Ben代墊|Ariel代墊|中信銀行共用""), REGEXMATCH(F12166, ""Ben帳戶|Elsa帳戶|Ben代墊|Ariel代墊|中信銀行共用"")), ""內部轉帳(忽略)"",
  AND(E12166&lt;&gt;"""", F12166&lt;&gt;"&amp;""""", NOT(REGEXMATCH(C12166, ""薪資""))), ""內部轉帳(忽略)"",
  REGEXMATCH(C12166, ""薪資""), ""薪資變動(不計入)"",
  REGEXMATCH(C12166, ""押金""), ""押金往來"",
  AND(E12166&lt;&gt;"""", F12166=""""), ""真實支出"",
  AND(E12166="""", F12166&lt;&gt;""""), ""真實收入"",
  TRUE, ""其他""
)"),"其他")</f>
        <v>其他</v>
      </c>
      <c r="K12166" s="270" t="str">
        <f t="shared" si="2"/>
        <v/>
      </c>
      <c r="L12166">
        <f t="shared" si="3"/>
        <v>0</v>
      </c>
    </row>
    <row r="12167">
      <c r="A12167" s="107"/>
      <c r="D12167" s="270"/>
      <c r="H12167" s="106" t="str">
        <f t="shared" si="1"/>
        <v/>
      </c>
      <c r="J12167" t="str">
        <f>IFERROR(__xludf.DUMMYFUNCTION("IFS(
  AND(REGEXMATCH(E12167, ""台銀籌備帳戶|玉山帳戶""), REGEXMATCH(C12167, ""薪資"")), ""分潤支出"",
  AND(REGEXMATCH(E12167, ""Ben帳戶|Elsa帳戶|Ben代墊|Ariel代墊|中信銀行共用""), REGEXMATCH(F12167, ""Ben帳戶|Elsa帳戶|Ben代墊|Ariel代墊|中信銀行共用"")), ""內部轉帳(忽略)"",
  AND(E12167&lt;&gt;"""", F12167&lt;&gt;"&amp;""""", NOT(REGEXMATCH(C12167, ""薪資""))), ""內部轉帳(忽略)"",
  REGEXMATCH(C12167, ""薪資""), ""薪資變動(不計入)"",
  REGEXMATCH(C12167, ""押金""), ""押金往來"",
  AND(E12167&lt;&gt;"""", F12167=""""), ""真實支出"",
  AND(E12167="""", F12167&lt;&gt;""""), ""真實收入"",
  TRUE, ""其他""
)"),"其他")</f>
        <v>其他</v>
      </c>
      <c r="K12167" s="270" t="str">
        <f t="shared" si="2"/>
        <v/>
      </c>
      <c r="L12167">
        <f t="shared" si="3"/>
        <v>0</v>
      </c>
    </row>
    <row r="12168">
      <c r="A12168" s="107"/>
      <c r="D12168" s="270"/>
      <c r="H12168" s="106" t="str">
        <f t="shared" si="1"/>
        <v/>
      </c>
      <c r="J12168" t="str">
        <f>IFERROR(__xludf.DUMMYFUNCTION("IFS(
  AND(REGEXMATCH(E12168, ""台銀籌備帳戶|玉山帳戶""), REGEXMATCH(C12168, ""薪資"")), ""分潤支出"",
  AND(REGEXMATCH(E12168, ""Ben帳戶|Elsa帳戶|Ben代墊|Ariel代墊|中信銀行共用""), REGEXMATCH(F12168, ""Ben帳戶|Elsa帳戶|Ben代墊|Ariel代墊|中信銀行共用"")), ""內部轉帳(忽略)"",
  AND(E12168&lt;&gt;"""", F12168&lt;&gt;"&amp;""""", NOT(REGEXMATCH(C12168, ""薪資""))), ""內部轉帳(忽略)"",
  REGEXMATCH(C12168, ""薪資""), ""薪資變動(不計入)"",
  REGEXMATCH(C12168, ""押金""), ""押金往來"",
  AND(E12168&lt;&gt;"""", F12168=""""), ""真實支出"",
  AND(E12168="""", F12168&lt;&gt;""""), ""真實收入"",
  TRUE, ""其他""
)"),"其他")</f>
        <v>其他</v>
      </c>
      <c r="K12168" s="270" t="str">
        <f t="shared" si="2"/>
        <v/>
      </c>
      <c r="L12168">
        <f t="shared" si="3"/>
        <v>0</v>
      </c>
    </row>
    <row r="12169">
      <c r="A12169" s="107"/>
      <c r="D12169" s="270"/>
      <c r="H12169" s="106" t="str">
        <f t="shared" si="1"/>
        <v/>
      </c>
      <c r="J12169" t="str">
        <f>IFERROR(__xludf.DUMMYFUNCTION("IFS(
  AND(REGEXMATCH(E12169, ""台銀籌備帳戶|玉山帳戶""), REGEXMATCH(C12169, ""薪資"")), ""分潤支出"",
  AND(REGEXMATCH(E12169, ""Ben帳戶|Elsa帳戶|Ben代墊|Ariel代墊|中信銀行共用""), REGEXMATCH(F12169, ""Ben帳戶|Elsa帳戶|Ben代墊|Ariel代墊|中信銀行共用"")), ""內部轉帳(忽略)"",
  AND(E12169&lt;&gt;"""", F12169&lt;&gt;"&amp;""""", NOT(REGEXMATCH(C12169, ""薪資""))), ""內部轉帳(忽略)"",
  REGEXMATCH(C12169, ""薪資""), ""薪資變動(不計入)"",
  REGEXMATCH(C12169, ""押金""), ""押金往來"",
  AND(E12169&lt;&gt;"""", F12169=""""), ""真實支出"",
  AND(E12169="""", F12169&lt;&gt;""""), ""真實收入"",
  TRUE, ""其他""
)"),"其他")</f>
        <v>其他</v>
      </c>
      <c r="K12169" s="270" t="str">
        <f t="shared" si="2"/>
        <v/>
      </c>
      <c r="L12169">
        <f t="shared" si="3"/>
        <v>0</v>
      </c>
    </row>
    <row r="12170">
      <c r="A12170" s="107"/>
      <c r="D12170" s="270"/>
      <c r="H12170" s="106" t="str">
        <f t="shared" si="1"/>
        <v/>
      </c>
      <c r="J12170" t="str">
        <f>IFERROR(__xludf.DUMMYFUNCTION("IFS(
  AND(REGEXMATCH(E12170, ""台銀籌備帳戶|玉山帳戶""), REGEXMATCH(C12170, ""薪資"")), ""分潤支出"",
  AND(REGEXMATCH(E12170, ""Ben帳戶|Elsa帳戶|Ben代墊|Ariel代墊|中信銀行共用""), REGEXMATCH(F12170, ""Ben帳戶|Elsa帳戶|Ben代墊|Ariel代墊|中信銀行共用"")), ""內部轉帳(忽略)"",
  AND(E12170&lt;&gt;"""", F12170&lt;&gt;"&amp;""""", NOT(REGEXMATCH(C12170, ""薪資""))), ""內部轉帳(忽略)"",
  REGEXMATCH(C12170, ""薪資""), ""薪資變動(不計入)"",
  REGEXMATCH(C12170, ""押金""), ""押金往來"",
  AND(E12170&lt;&gt;"""", F12170=""""), ""真實支出"",
  AND(E12170="""", F12170&lt;&gt;""""), ""真實收入"",
  TRUE, ""其他""
)"),"其他")</f>
        <v>其他</v>
      </c>
      <c r="K12170" s="270" t="str">
        <f t="shared" si="2"/>
        <v/>
      </c>
      <c r="L12170">
        <f t="shared" si="3"/>
        <v>0</v>
      </c>
    </row>
    <row r="12171">
      <c r="A12171" s="107"/>
      <c r="D12171" s="270"/>
      <c r="H12171" s="106" t="str">
        <f t="shared" si="1"/>
        <v/>
      </c>
      <c r="J12171" t="str">
        <f>IFERROR(__xludf.DUMMYFUNCTION("IFS(
  AND(REGEXMATCH(E12171, ""台銀籌備帳戶|玉山帳戶""), REGEXMATCH(C12171, ""薪資"")), ""分潤支出"",
  AND(REGEXMATCH(E12171, ""Ben帳戶|Elsa帳戶|Ben代墊|Ariel代墊|中信銀行共用""), REGEXMATCH(F12171, ""Ben帳戶|Elsa帳戶|Ben代墊|Ariel代墊|中信銀行共用"")), ""內部轉帳(忽略)"",
  AND(E12171&lt;&gt;"""", F12171&lt;&gt;"&amp;""""", NOT(REGEXMATCH(C12171, ""薪資""))), ""內部轉帳(忽略)"",
  REGEXMATCH(C12171, ""薪資""), ""薪資變動(不計入)"",
  REGEXMATCH(C12171, ""押金""), ""押金往來"",
  AND(E12171&lt;&gt;"""", F12171=""""), ""真實支出"",
  AND(E12171="""", F12171&lt;&gt;""""), ""真實收入"",
  TRUE, ""其他""
)"),"其他")</f>
        <v>其他</v>
      </c>
      <c r="K12171" s="270" t="str">
        <f t="shared" si="2"/>
        <v/>
      </c>
      <c r="L12171">
        <f t="shared" si="3"/>
        <v>0</v>
      </c>
    </row>
    <row r="12172">
      <c r="A12172" s="107"/>
      <c r="D12172" s="270"/>
      <c r="H12172" s="106" t="str">
        <f t="shared" si="1"/>
        <v/>
      </c>
      <c r="J12172" t="str">
        <f>IFERROR(__xludf.DUMMYFUNCTION("IFS(
  AND(REGEXMATCH(E12172, ""台銀籌備帳戶|玉山帳戶""), REGEXMATCH(C12172, ""薪資"")), ""分潤支出"",
  AND(REGEXMATCH(E12172, ""Ben帳戶|Elsa帳戶|Ben代墊|Ariel代墊|中信銀行共用""), REGEXMATCH(F12172, ""Ben帳戶|Elsa帳戶|Ben代墊|Ariel代墊|中信銀行共用"")), ""內部轉帳(忽略)"",
  AND(E12172&lt;&gt;"""", F12172&lt;&gt;"&amp;""""", NOT(REGEXMATCH(C12172, ""薪資""))), ""內部轉帳(忽略)"",
  REGEXMATCH(C12172, ""薪資""), ""薪資變動(不計入)"",
  REGEXMATCH(C12172, ""押金""), ""押金往來"",
  AND(E12172&lt;&gt;"""", F12172=""""), ""真實支出"",
  AND(E12172="""", F12172&lt;&gt;""""), ""真實收入"",
  TRUE, ""其他""
)"),"其他")</f>
        <v>其他</v>
      </c>
      <c r="K12172" s="270" t="str">
        <f t="shared" si="2"/>
        <v/>
      </c>
      <c r="L12172">
        <f t="shared" si="3"/>
        <v>0</v>
      </c>
    </row>
    <row r="12173">
      <c r="A12173" s="107"/>
      <c r="D12173" s="270"/>
      <c r="H12173" s="106" t="str">
        <f t="shared" si="1"/>
        <v/>
      </c>
      <c r="J12173" t="str">
        <f>IFERROR(__xludf.DUMMYFUNCTION("IFS(
  AND(REGEXMATCH(E12173, ""台銀籌備帳戶|玉山帳戶""), REGEXMATCH(C12173, ""薪資"")), ""分潤支出"",
  AND(REGEXMATCH(E12173, ""Ben帳戶|Elsa帳戶|Ben代墊|Ariel代墊|中信銀行共用""), REGEXMATCH(F12173, ""Ben帳戶|Elsa帳戶|Ben代墊|Ariel代墊|中信銀行共用"")), ""內部轉帳(忽略)"",
  AND(E12173&lt;&gt;"""", F12173&lt;&gt;"&amp;""""", NOT(REGEXMATCH(C12173, ""薪資""))), ""內部轉帳(忽略)"",
  REGEXMATCH(C12173, ""薪資""), ""薪資變動(不計入)"",
  REGEXMATCH(C12173, ""押金""), ""押金往來"",
  AND(E12173&lt;&gt;"""", F12173=""""), ""真實支出"",
  AND(E12173="""", F12173&lt;&gt;""""), ""真實收入"",
  TRUE, ""其他""
)"),"其他")</f>
        <v>其他</v>
      </c>
      <c r="K12173" s="270" t="str">
        <f t="shared" si="2"/>
        <v/>
      </c>
      <c r="L12173">
        <f t="shared" si="3"/>
        <v>0</v>
      </c>
    </row>
    <row r="12174">
      <c r="A12174" s="107"/>
      <c r="D12174" s="270"/>
      <c r="H12174" s="106" t="str">
        <f t="shared" si="1"/>
        <v/>
      </c>
      <c r="J12174" t="str">
        <f>IFERROR(__xludf.DUMMYFUNCTION("IFS(
  AND(REGEXMATCH(E12174, ""台銀籌備帳戶|玉山帳戶""), REGEXMATCH(C12174, ""薪資"")), ""分潤支出"",
  AND(REGEXMATCH(E12174, ""Ben帳戶|Elsa帳戶|Ben代墊|Ariel代墊|中信銀行共用""), REGEXMATCH(F12174, ""Ben帳戶|Elsa帳戶|Ben代墊|Ariel代墊|中信銀行共用"")), ""內部轉帳(忽略)"",
  AND(E12174&lt;&gt;"""", F12174&lt;&gt;"&amp;""""", NOT(REGEXMATCH(C12174, ""薪資""))), ""內部轉帳(忽略)"",
  REGEXMATCH(C12174, ""薪資""), ""薪資變動(不計入)"",
  REGEXMATCH(C12174, ""押金""), ""押金往來"",
  AND(E12174&lt;&gt;"""", F12174=""""), ""真實支出"",
  AND(E12174="""", F12174&lt;&gt;""""), ""真實收入"",
  TRUE, ""其他""
)"),"其他")</f>
        <v>其他</v>
      </c>
      <c r="K12174" s="270" t="str">
        <f t="shared" si="2"/>
        <v/>
      </c>
      <c r="L12174">
        <f t="shared" si="3"/>
        <v>0</v>
      </c>
    </row>
    <row r="12175">
      <c r="A12175" s="107"/>
      <c r="D12175" s="270"/>
      <c r="H12175" s="106" t="str">
        <f t="shared" si="1"/>
        <v/>
      </c>
      <c r="J12175" t="str">
        <f>IFERROR(__xludf.DUMMYFUNCTION("IFS(
  AND(REGEXMATCH(E12175, ""台銀籌備帳戶|玉山帳戶""), REGEXMATCH(C12175, ""薪資"")), ""分潤支出"",
  AND(REGEXMATCH(E12175, ""Ben帳戶|Elsa帳戶|Ben代墊|Ariel代墊|中信銀行共用""), REGEXMATCH(F12175, ""Ben帳戶|Elsa帳戶|Ben代墊|Ariel代墊|中信銀行共用"")), ""內部轉帳(忽略)"",
  AND(E12175&lt;&gt;"""", F12175&lt;&gt;"&amp;""""", NOT(REGEXMATCH(C12175, ""薪資""))), ""內部轉帳(忽略)"",
  REGEXMATCH(C12175, ""薪資""), ""薪資變動(不計入)"",
  REGEXMATCH(C12175, ""押金""), ""押金往來"",
  AND(E12175&lt;&gt;"""", F12175=""""), ""真實支出"",
  AND(E12175="""", F12175&lt;&gt;""""), ""真實收入"",
  TRUE, ""其他""
)"),"其他")</f>
        <v>其他</v>
      </c>
      <c r="K12175" s="270" t="str">
        <f t="shared" si="2"/>
        <v/>
      </c>
      <c r="L12175">
        <f t="shared" si="3"/>
        <v>0</v>
      </c>
    </row>
    <row r="12176">
      <c r="A12176" s="107"/>
      <c r="D12176" s="270"/>
      <c r="H12176" s="106" t="str">
        <f t="shared" si="1"/>
        <v/>
      </c>
      <c r="J12176" t="str">
        <f>IFERROR(__xludf.DUMMYFUNCTION("IFS(
  AND(REGEXMATCH(E12176, ""台銀籌備帳戶|玉山帳戶""), REGEXMATCH(C12176, ""薪資"")), ""分潤支出"",
  AND(REGEXMATCH(E12176, ""Ben帳戶|Elsa帳戶|Ben代墊|Ariel代墊|中信銀行共用""), REGEXMATCH(F12176, ""Ben帳戶|Elsa帳戶|Ben代墊|Ariel代墊|中信銀行共用"")), ""內部轉帳(忽略)"",
  AND(E12176&lt;&gt;"""", F12176&lt;&gt;"&amp;""""", NOT(REGEXMATCH(C12176, ""薪資""))), ""內部轉帳(忽略)"",
  REGEXMATCH(C12176, ""薪資""), ""薪資變動(不計入)"",
  REGEXMATCH(C12176, ""押金""), ""押金往來"",
  AND(E12176&lt;&gt;"""", F12176=""""), ""真實支出"",
  AND(E12176="""", F12176&lt;&gt;""""), ""真實收入"",
  TRUE, ""其他""
)"),"其他")</f>
        <v>其他</v>
      </c>
      <c r="K12176" s="270" t="str">
        <f t="shared" si="2"/>
        <v/>
      </c>
      <c r="L12176">
        <f t="shared" si="3"/>
        <v>0</v>
      </c>
    </row>
    <row r="12177">
      <c r="A12177" s="107"/>
      <c r="D12177" s="270"/>
      <c r="H12177" s="106" t="str">
        <f t="shared" si="1"/>
        <v/>
      </c>
      <c r="J12177" t="str">
        <f>IFERROR(__xludf.DUMMYFUNCTION("IFS(
  AND(REGEXMATCH(E12177, ""台銀籌備帳戶|玉山帳戶""), REGEXMATCH(C12177, ""薪資"")), ""分潤支出"",
  AND(REGEXMATCH(E12177, ""Ben帳戶|Elsa帳戶|Ben代墊|Ariel代墊|中信銀行共用""), REGEXMATCH(F12177, ""Ben帳戶|Elsa帳戶|Ben代墊|Ariel代墊|中信銀行共用"")), ""內部轉帳(忽略)"",
  AND(E12177&lt;&gt;"""", F12177&lt;&gt;"&amp;""""", NOT(REGEXMATCH(C12177, ""薪資""))), ""內部轉帳(忽略)"",
  REGEXMATCH(C12177, ""薪資""), ""薪資變動(不計入)"",
  REGEXMATCH(C12177, ""押金""), ""押金往來"",
  AND(E12177&lt;&gt;"""", F12177=""""), ""真實支出"",
  AND(E12177="""", F12177&lt;&gt;""""), ""真實收入"",
  TRUE, ""其他""
)"),"其他")</f>
        <v>其他</v>
      </c>
      <c r="K12177" s="270" t="str">
        <f t="shared" si="2"/>
        <v/>
      </c>
      <c r="L12177">
        <f t="shared" si="3"/>
        <v>0</v>
      </c>
    </row>
    <row r="12178">
      <c r="A12178" s="107"/>
      <c r="D12178" s="270"/>
      <c r="H12178" s="106" t="str">
        <f t="shared" si="1"/>
        <v/>
      </c>
      <c r="J12178" t="str">
        <f>IFERROR(__xludf.DUMMYFUNCTION("IFS(
  AND(REGEXMATCH(E12178, ""台銀籌備帳戶|玉山帳戶""), REGEXMATCH(C12178, ""薪資"")), ""分潤支出"",
  AND(REGEXMATCH(E12178, ""Ben帳戶|Elsa帳戶|Ben代墊|Ariel代墊|中信銀行共用""), REGEXMATCH(F12178, ""Ben帳戶|Elsa帳戶|Ben代墊|Ariel代墊|中信銀行共用"")), ""內部轉帳(忽略)"",
  AND(E12178&lt;&gt;"""", F12178&lt;&gt;"&amp;""""", NOT(REGEXMATCH(C12178, ""薪資""))), ""內部轉帳(忽略)"",
  REGEXMATCH(C12178, ""薪資""), ""薪資變動(不計入)"",
  REGEXMATCH(C12178, ""押金""), ""押金往來"",
  AND(E12178&lt;&gt;"""", F12178=""""), ""真實支出"",
  AND(E12178="""", F12178&lt;&gt;""""), ""真實收入"",
  TRUE, ""其他""
)"),"其他")</f>
        <v>其他</v>
      </c>
      <c r="K12178" s="270" t="str">
        <f t="shared" si="2"/>
        <v/>
      </c>
      <c r="L12178">
        <f t="shared" si="3"/>
        <v>0</v>
      </c>
    </row>
    <row r="12179">
      <c r="A12179" s="107"/>
      <c r="D12179" s="270"/>
      <c r="H12179" s="106" t="str">
        <f t="shared" si="1"/>
        <v/>
      </c>
      <c r="J12179" t="str">
        <f>IFERROR(__xludf.DUMMYFUNCTION("IFS(
  AND(REGEXMATCH(E12179, ""台銀籌備帳戶|玉山帳戶""), REGEXMATCH(C12179, ""薪資"")), ""分潤支出"",
  AND(REGEXMATCH(E12179, ""Ben帳戶|Elsa帳戶|Ben代墊|Ariel代墊|中信銀行共用""), REGEXMATCH(F12179, ""Ben帳戶|Elsa帳戶|Ben代墊|Ariel代墊|中信銀行共用"")), ""內部轉帳(忽略)"",
  AND(E12179&lt;&gt;"""", F12179&lt;&gt;"&amp;""""", NOT(REGEXMATCH(C12179, ""薪資""))), ""內部轉帳(忽略)"",
  REGEXMATCH(C12179, ""薪資""), ""薪資變動(不計入)"",
  REGEXMATCH(C12179, ""押金""), ""押金往來"",
  AND(E12179&lt;&gt;"""", F12179=""""), ""真實支出"",
  AND(E12179="""", F12179&lt;&gt;""""), ""真實收入"",
  TRUE, ""其他""
)"),"其他")</f>
        <v>其他</v>
      </c>
      <c r="K12179" s="270" t="str">
        <f t="shared" si="2"/>
        <v/>
      </c>
      <c r="L12179">
        <f t="shared" si="3"/>
        <v>0</v>
      </c>
    </row>
    <row r="12180">
      <c r="A12180" s="107"/>
      <c r="D12180" s="270"/>
      <c r="H12180" s="106" t="str">
        <f t="shared" si="1"/>
        <v/>
      </c>
      <c r="J12180" t="str">
        <f>IFERROR(__xludf.DUMMYFUNCTION("IFS(
  AND(REGEXMATCH(E12180, ""台銀籌備帳戶|玉山帳戶""), REGEXMATCH(C12180, ""薪資"")), ""分潤支出"",
  AND(REGEXMATCH(E12180, ""Ben帳戶|Elsa帳戶|Ben代墊|Ariel代墊|中信銀行共用""), REGEXMATCH(F12180, ""Ben帳戶|Elsa帳戶|Ben代墊|Ariel代墊|中信銀行共用"")), ""內部轉帳(忽略)"",
  AND(E12180&lt;&gt;"""", F12180&lt;&gt;"&amp;""""", NOT(REGEXMATCH(C12180, ""薪資""))), ""內部轉帳(忽略)"",
  REGEXMATCH(C12180, ""薪資""), ""薪資變動(不計入)"",
  REGEXMATCH(C12180, ""押金""), ""押金往來"",
  AND(E12180&lt;&gt;"""", F12180=""""), ""真實支出"",
  AND(E12180="""", F12180&lt;&gt;""""), ""真實收入"",
  TRUE, ""其他""
)"),"其他")</f>
        <v>其他</v>
      </c>
      <c r="K12180" s="270" t="str">
        <f t="shared" si="2"/>
        <v/>
      </c>
      <c r="L12180">
        <f t="shared" si="3"/>
        <v>0</v>
      </c>
    </row>
    <row r="12181">
      <c r="A12181" s="107"/>
      <c r="D12181" s="270"/>
      <c r="H12181" s="106" t="str">
        <f t="shared" si="1"/>
        <v/>
      </c>
      <c r="J12181" t="str">
        <f>IFERROR(__xludf.DUMMYFUNCTION("IFS(
  AND(REGEXMATCH(E12181, ""台銀籌備帳戶|玉山帳戶""), REGEXMATCH(C12181, ""薪資"")), ""分潤支出"",
  AND(REGEXMATCH(E12181, ""Ben帳戶|Elsa帳戶|Ben代墊|Ariel代墊|中信銀行共用""), REGEXMATCH(F12181, ""Ben帳戶|Elsa帳戶|Ben代墊|Ariel代墊|中信銀行共用"")), ""內部轉帳(忽略)"",
  AND(E12181&lt;&gt;"""", F12181&lt;&gt;"&amp;""""", NOT(REGEXMATCH(C12181, ""薪資""))), ""內部轉帳(忽略)"",
  REGEXMATCH(C12181, ""薪資""), ""薪資變動(不計入)"",
  REGEXMATCH(C12181, ""押金""), ""押金往來"",
  AND(E12181&lt;&gt;"""", F12181=""""), ""真實支出"",
  AND(E12181="""", F12181&lt;&gt;""""), ""真實收入"",
  TRUE, ""其他""
)"),"其他")</f>
        <v>其他</v>
      </c>
      <c r="K12181" s="270" t="str">
        <f t="shared" si="2"/>
        <v/>
      </c>
      <c r="L12181">
        <f t="shared" si="3"/>
        <v>0</v>
      </c>
    </row>
    <row r="12182">
      <c r="A12182" s="107"/>
      <c r="D12182" s="270"/>
      <c r="H12182" s="106" t="str">
        <f t="shared" si="1"/>
        <v/>
      </c>
      <c r="J12182" t="str">
        <f>IFERROR(__xludf.DUMMYFUNCTION("IFS(
  AND(REGEXMATCH(E12182, ""台銀籌備帳戶|玉山帳戶""), REGEXMATCH(C12182, ""薪資"")), ""分潤支出"",
  AND(REGEXMATCH(E12182, ""Ben帳戶|Elsa帳戶|Ben代墊|Ariel代墊|中信銀行共用""), REGEXMATCH(F12182, ""Ben帳戶|Elsa帳戶|Ben代墊|Ariel代墊|中信銀行共用"")), ""內部轉帳(忽略)"",
  AND(E12182&lt;&gt;"""", F12182&lt;&gt;"&amp;""""", NOT(REGEXMATCH(C12182, ""薪資""))), ""內部轉帳(忽略)"",
  REGEXMATCH(C12182, ""薪資""), ""薪資變動(不計入)"",
  REGEXMATCH(C12182, ""押金""), ""押金往來"",
  AND(E12182&lt;&gt;"""", F12182=""""), ""真實支出"",
  AND(E12182="""", F12182&lt;&gt;""""), ""真實收入"",
  TRUE, ""其他""
)"),"其他")</f>
        <v>其他</v>
      </c>
      <c r="K12182" s="270" t="str">
        <f t="shared" si="2"/>
        <v/>
      </c>
      <c r="L12182">
        <f t="shared" si="3"/>
        <v>0</v>
      </c>
    </row>
    <row r="12183">
      <c r="A12183" s="107"/>
      <c r="D12183" s="270"/>
      <c r="H12183" s="106" t="str">
        <f t="shared" si="1"/>
        <v/>
      </c>
      <c r="J12183" t="str">
        <f>IFERROR(__xludf.DUMMYFUNCTION("IFS(
  AND(REGEXMATCH(E12183, ""台銀籌備帳戶|玉山帳戶""), REGEXMATCH(C12183, ""薪資"")), ""分潤支出"",
  AND(REGEXMATCH(E12183, ""Ben帳戶|Elsa帳戶|Ben代墊|Ariel代墊|中信銀行共用""), REGEXMATCH(F12183, ""Ben帳戶|Elsa帳戶|Ben代墊|Ariel代墊|中信銀行共用"")), ""內部轉帳(忽略)"",
  AND(E12183&lt;&gt;"""", F12183&lt;&gt;"&amp;""""", NOT(REGEXMATCH(C12183, ""薪資""))), ""內部轉帳(忽略)"",
  REGEXMATCH(C12183, ""薪資""), ""薪資變動(不計入)"",
  REGEXMATCH(C12183, ""押金""), ""押金往來"",
  AND(E12183&lt;&gt;"""", F12183=""""), ""真實支出"",
  AND(E12183="""", F12183&lt;&gt;""""), ""真實收入"",
  TRUE, ""其他""
)"),"其他")</f>
        <v>其他</v>
      </c>
      <c r="K12183" s="270" t="str">
        <f t="shared" si="2"/>
        <v/>
      </c>
      <c r="L12183">
        <f t="shared" si="3"/>
        <v>0</v>
      </c>
    </row>
    <row r="12184">
      <c r="A12184" s="107"/>
      <c r="D12184" s="270"/>
      <c r="H12184" s="106" t="str">
        <f t="shared" si="1"/>
        <v/>
      </c>
      <c r="J12184" t="str">
        <f>IFERROR(__xludf.DUMMYFUNCTION("IFS(
  AND(REGEXMATCH(E12184, ""台銀籌備帳戶|玉山帳戶""), REGEXMATCH(C12184, ""薪資"")), ""分潤支出"",
  AND(REGEXMATCH(E12184, ""Ben帳戶|Elsa帳戶|Ben代墊|Ariel代墊|中信銀行共用""), REGEXMATCH(F12184, ""Ben帳戶|Elsa帳戶|Ben代墊|Ariel代墊|中信銀行共用"")), ""內部轉帳(忽略)"",
  AND(E12184&lt;&gt;"""", F12184&lt;&gt;"&amp;""""", NOT(REGEXMATCH(C12184, ""薪資""))), ""內部轉帳(忽略)"",
  REGEXMATCH(C12184, ""薪資""), ""薪資變動(不計入)"",
  REGEXMATCH(C12184, ""押金""), ""押金往來"",
  AND(E12184&lt;&gt;"""", F12184=""""), ""真實支出"",
  AND(E12184="""", F12184&lt;&gt;""""), ""真實收入"",
  TRUE, ""其他""
)"),"其他")</f>
        <v>其他</v>
      </c>
      <c r="K12184" s="270" t="str">
        <f t="shared" si="2"/>
        <v/>
      </c>
      <c r="L12184">
        <f t="shared" si="3"/>
        <v>0</v>
      </c>
    </row>
    <row r="12185">
      <c r="A12185" s="107"/>
      <c r="D12185" s="270"/>
      <c r="H12185" s="106" t="str">
        <f t="shared" si="1"/>
        <v/>
      </c>
      <c r="J12185" t="str">
        <f>IFERROR(__xludf.DUMMYFUNCTION("IFS(
  AND(REGEXMATCH(E12185, ""台銀籌備帳戶|玉山帳戶""), REGEXMATCH(C12185, ""薪資"")), ""分潤支出"",
  AND(REGEXMATCH(E12185, ""Ben帳戶|Elsa帳戶|Ben代墊|Ariel代墊|中信銀行共用""), REGEXMATCH(F12185, ""Ben帳戶|Elsa帳戶|Ben代墊|Ariel代墊|中信銀行共用"")), ""內部轉帳(忽略)"",
  AND(E12185&lt;&gt;"""", F12185&lt;&gt;"&amp;""""", NOT(REGEXMATCH(C12185, ""薪資""))), ""內部轉帳(忽略)"",
  REGEXMATCH(C12185, ""薪資""), ""薪資變動(不計入)"",
  REGEXMATCH(C12185, ""押金""), ""押金往來"",
  AND(E12185&lt;&gt;"""", F12185=""""), ""真實支出"",
  AND(E12185="""", F12185&lt;&gt;""""), ""真實收入"",
  TRUE, ""其他""
)"),"其他")</f>
        <v>其他</v>
      </c>
      <c r="K12185" s="270" t="str">
        <f t="shared" si="2"/>
        <v/>
      </c>
      <c r="L12185">
        <f t="shared" si="3"/>
        <v>0</v>
      </c>
    </row>
    <row r="12186">
      <c r="A12186" s="107"/>
      <c r="D12186" s="270"/>
      <c r="H12186" s="106" t="str">
        <f t="shared" si="1"/>
        <v/>
      </c>
      <c r="J12186" t="str">
        <f>IFERROR(__xludf.DUMMYFUNCTION("IFS(
  AND(REGEXMATCH(E12186, ""台銀籌備帳戶|玉山帳戶""), REGEXMATCH(C12186, ""薪資"")), ""分潤支出"",
  AND(REGEXMATCH(E12186, ""Ben帳戶|Elsa帳戶|Ben代墊|Ariel代墊|中信銀行共用""), REGEXMATCH(F12186, ""Ben帳戶|Elsa帳戶|Ben代墊|Ariel代墊|中信銀行共用"")), ""內部轉帳(忽略)"",
  AND(E12186&lt;&gt;"""", F12186&lt;&gt;"&amp;""""", NOT(REGEXMATCH(C12186, ""薪資""))), ""內部轉帳(忽略)"",
  REGEXMATCH(C12186, ""薪資""), ""薪資變動(不計入)"",
  REGEXMATCH(C12186, ""押金""), ""押金往來"",
  AND(E12186&lt;&gt;"""", F12186=""""), ""真實支出"",
  AND(E12186="""", F12186&lt;&gt;""""), ""真實收入"",
  TRUE, ""其他""
)"),"其他")</f>
        <v>其他</v>
      </c>
      <c r="K12186" s="270" t="str">
        <f t="shared" si="2"/>
        <v/>
      </c>
      <c r="L12186">
        <f t="shared" si="3"/>
        <v>0</v>
      </c>
    </row>
    <row r="12187">
      <c r="A12187" s="107"/>
      <c r="D12187" s="270"/>
      <c r="H12187" s="106" t="str">
        <f t="shared" si="1"/>
        <v/>
      </c>
      <c r="J12187" t="str">
        <f>IFERROR(__xludf.DUMMYFUNCTION("IFS(
  AND(REGEXMATCH(E12187, ""台銀籌備帳戶|玉山帳戶""), REGEXMATCH(C12187, ""薪資"")), ""分潤支出"",
  AND(REGEXMATCH(E12187, ""Ben帳戶|Elsa帳戶|Ben代墊|Ariel代墊|中信銀行共用""), REGEXMATCH(F12187, ""Ben帳戶|Elsa帳戶|Ben代墊|Ariel代墊|中信銀行共用"")), ""內部轉帳(忽略)"",
  AND(E12187&lt;&gt;"""", F12187&lt;&gt;"&amp;""""", NOT(REGEXMATCH(C12187, ""薪資""))), ""內部轉帳(忽略)"",
  REGEXMATCH(C12187, ""薪資""), ""薪資變動(不計入)"",
  REGEXMATCH(C12187, ""押金""), ""押金往來"",
  AND(E12187&lt;&gt;"""", F12187=""""), ""真實支出"",
  AND(E12187="""", F12187&lt;&gt;""""), ""真實收入"",
  TRUE, ""其他""
)"),"其他")</f>
        <v>其他</v>
      </c>
      <c r="K12187" s="270" t="str">
        <f t="shared" si="2"/>
        <v/>
      </c>
      <c r="L12187">
        <f t="shared" si="3"/>
        <v>0</v>
      </c>
    </row>
    <row r="12188">
      <c r="A12188" s="107"/>
      <c r="D12188" s="270"/>
      <c r="H12188" s="106" t="str">
        <f t="shared" si="1"/>
        <v/>
      </c>
      <c r="J12188" t="str">
        <f>IFERROR(__xludf.DUMMYFUNCTION("IFS(
  AND(REGEXMATCH(E12188, ""台銀籌備帳戶|玉山帳戶""), REGEXMATCH(C12188, ""薪資"")), ""分潤支出"",
  AND(REGEXMATCH(E12188, ""Ben帳戶|Elsa帳戶|Ben代墊|Ariel代墊|中信銀行共用""), REGEXMATCH(F12188, ""Ben帳戶|Elsa帳戶|Ben代墊|Ariel代墊|中信銀行共用"")), ""內部轉帳(忽略)"",
  AND(E12188&lt;&gt;"""", F12188&lt;&gt;"&amp;""""", NOT(REGEXMATCH(C12188, ""薪資""))), ""內部轉帳(忽略)"",
  REGEXMATCH(C12188, ""薪資""), ""薪資變動(不計入)"",
  REGEXMATCH(C12188, ""押金""), ""押金往來"",
  AND(E12188&lt;&gt;"""", F12188=""""), ""真實支出"",
  AND(E12188="""", F12188&lt;&gt;""""), ""真實收入"",
  TRUE, ""其他""
)"),"其他")</f>
        <v>其他</v>
      </c>
      <c r="K12188" s="270" t="str">
        <f t="shared" si="2"/>
        <v/>
      </c>
      <c r="L12188">
        <f t="shared" si="3"/>
        <v>0</v>
      </c>
    </row>
    <row r="12189">
      <c r="A12189" s="107"/>
      <c r="D12189" s="270"/>
      <c r="H12189" s="106" t="str">
        <f t="shared" si="1"/>
        <v/>
      </c>
      <c r="J12189" t="str">
        <f>IFERROR(__xludf.DUMMYFUNCTION("IFS(
  AND(REGEXMATCH(E12189, ""台銀籌備帳戶|玉山帳戶""), REGEXMATCH(C12189, ""薪資"")), ""分潤支出"",
  AND(REGEXMATCH(E12189, ""Ben帳戶|Elsa帳戶|Ben代墊|Ariel代墊|中信銀行共用""), REGEXMATCH(F12189, ""Ben帳戶|Elsa帳戶|Ben代墊|Ariel代墊|中信銀行共用"")), ""內部轉帳(忽略)"",
  AND(E12189&lt;&gt;"""", F12189&lt;&gt;"&amp;""""", NOT(REGEXMATCH(C12189, ""薪資""))), ""內部轉帳(忽略)"",
  REGEXMATCH(C12189, ""薪資""), ""薪資變動(不計入)"",
  REGEXMATCH(C12189, ""押金""), ""押金往來"",
  AND(E12189&lt;&gt;"""", F12189=""""), ""真實支出"",
  AND(E12189="""", F12189&lt;&gt;""""), ""真實收入"",
  TRUE, ""其他""
)"),"其他")</f>
        <v>其他</v>
      </c>
      <c r="K12189" s="270" t="str">
        <f t="shared" si="2"/>
        <v/>
      </c>
      <c r="L12189">
        <f t="shared" si="3"/>
        <v>0</v>
      </c>
    </row>
    <row r="12190">
      <c r="A12190" s="107"/>
      <c r="D12190" s="270"/>
      <c r="H12190" s="106" t="str">
        <f t="shared" si="1"/>
        <v/>
      </c>
      <c r="J12190" t="str">
        <f>IFERROR(__xludf.DUMMYFUNCTION("IFS(
  AND(REGEXMATCH(E12190, ""台銀籌備帳戶|玉山帳戶""), REGEXMATCH(C12190, ""薪資"")), ""分潤支出"",
  AND(REGEXMATCH(E12190, ""Ben帳戶|Elsa帳戶|Ben代墊|Ariel代墊|中信銀行共用""), REGEXMATCH(F12190, ""Ben帳戶|Elsa帳戶|Ben代墊|Ariel代墊|中信銀行共用"")), ""內部轉帳(忽略)"",
  AND(E12190&lt;&gt;"""", F12190&lt;&gt;"&amp;""""", NOT(REGEXMATCH(C12190, ""薪資""))), ""內部轉帳(忽略)"",
  REGEXMATCH(C12190, ""薪資""), ""薪資變動(不計入)"",
  REGEXMATCH(C12190, ""押金""), ""押金往來"",
  AND(E12190&lt;&gt;"""", F12190=""""), ""真實支出"",
  AND(E12190="""", F12190&lt;&gt;""""), ""真實收入"",
  TRUE, ""其他""
)"),"其他")</f>
        <v>其他</v>
      </c>
      <c r="K12190" s="270" t="str">
        <f t="shared" si="2"/>
        <v/>
      </c>
      <c r="L12190">
        <f t="shared" si="3"/>
        <v>0</v>
      </c>
    </row>
    <row r="12191">
      <c r="A12191" s="107"/>
      <c r="D12191" s="270"/>
      <c r="H12191" s="106" t="str">
        <f t="shared" si="1"/>
        <v/>
      </c>
      <c r="J12191" t="str">
        <f>IFERROR(__xludf.DUMMYFUNCTION("IFS(
  AND(REGEXMATCH(E12191, ""台銀籌備帳戶|玉山帳戶""), REGEXMATCH(C12191, ""薪資"")), ""分潤支出"",
  AND(REGEXMATCH(E12191, ""Ben帳戶|Elsa帳戶|Ben代墊|Ariel代墊|中信銀行共用""), REGEXMATCH(F12191, ""Ben帳戶|Elsa帳戶|Ben代墊|Ariel代墊|中信銀行共用"")), ""內部轉帳(忽略)"",
  AND(E12191&lt;&gt;"""", F12191&lt;&gt;"&amp;""""", NOT(REGEXMATCH(C12191, ""薪資""))), ""內部轉帳(忽略)"",
  REGEXMATCH(C12191, ""薪資""), ""薪資變動(不計入)"",
  REGEXMATCH(C12191, ""押金""), ""押金往來"",
  AND(E12191&lt;&gt;"""", F12191=""""), ""真實支出"",
  AND(E12191="""", F12191&lt;&gt;""""), ""真實收入"",
  TRUE, ""其他""
)"),"其他")</f>
        <v>其他</v>
      </c>
      <c r="K12191" s="270" t="str">
        <f t="shared" si="2"/>
        <v/>
      </c>
      <c r="L12191">
        <f t="shared" si="3"/>
        <v>0</v>
      </c>
    </row>
    <row r="12192">
      <c r="A12192" s="107"/>
      <c r="D12192" s="270"/>
      <c r="H12192" s="106" t="str">
        <f t="shared" si="1"/>
        <v/>
      </c>
      <c r="J12192" t="str">
        <f>IFERROR(__xludf.DUMMYFUNCTION("IFS(
  AND(REGEXMATCH(E12192, ""台銀籌備帳戶|玉山帳戶""), REGEXMATCH(C12192, ""薪資"")), ""分潤支出"",
  AND(REGEXMATCH(E12192, ""Ben帳戶|Elsa帳戶|Ben代墊|Ariel代墊|中信銀行共用""), REGEXMATCH(F12192, ""Ben帳戶|Elsa帳戶|Ben代墊|Ariel代墊|中信銀行共用"")), ""內部轉帳(忽略)"",
  AND(E12192&lt;&gt;"""", F12192&lt;&gt;"&amp;""""", NOT(REGEXMATCH(C12192, ""薪資""))), ""內部轉帳(忽略)"",
  REGEXMATCH(C12192, ""薪資""), ""薪資變動(不計入)"",
  REGEXMATCH(C12192, ""押金""), ""押金往來"",
  AND(E12192&lt;&gt;"""", F12192=""""), ""真實支出"",
  AND(E12192="""", F12192&lt;&gt;""""), ""真實收入"",
  TRUE, ""其他""
)"),"其他")</f>
        <v>其他</v>
      </c>
      <c r="K12192" s="270" t="str">
        <f t="shared" si="2"/>
        <v/>
      </c>
      <c r="L12192">
        <f t="shared" si="3"/>
        <v>0</v>
      </c>
    </row>
    <row r="12193">
      <c r="A12193" s="107"/>
      <c r="D12193" s="270"/>
      <c r="H12193" s="106" t="str">
        <f t="shared" si="1"/>
        <v/>
      </c>
      <c r="J12193" t="str">
        <f>IFERROR(__xludf.DUMMYFUNCTION("IFS(
  AND(REGEXMATCH(E12193, ""台銀籌備帳戶|玉山帳戶""), REGEXMATCH(C12193, ""薪資"")), ""分潤支出"",
  AND(REGEXMATCH(E12193, ""Ben帳戶|Elsa帳戶|Ben代墊|Ariel代墊|中信銀行共用""), REGEXMATCH(F12193, ""Ben帳戶|Elsa帳戶|Ben代墊|Ariel代墊|中信銀行共用"")), ""內部轉帳(忽略)"",
  AND(E12193&lt;&gt;"""", F12193&lt;&gt;"&amp;""""", NOT(REGEXMATCH(C12193, ""薪資""))), ""內部轉帳(忽略)"",
  REGEXMATCH(C12193, ""薪資""), ""薪資變動(不計入)"",
  REGEXMATCH(C12193, ""押金""), ""押金往來"",
  AND(E12193&lt;&gt;"""", F12193=""""), ""真實支出"",
  AND(E12193="""", F12193&lt;&gt;""""), ""真實收入"",
  TRUE, ""其他""
)"),"其他")</f>
        <v>其他</v>
      </c>
      <c r="K12193" s="270" t="str">
        <f t="shared" si="2"/>
        <v/>
      </c>
      <c r="L12193">
        <f t="shared" si="3"/>
        <v>0</v>
      </c>
    </row>
    <row r="12194">
      <c r="A12194" s="107"/>
      <c r="D12194" s="270"/>
      <c r="H12194" s="106" t="str">
        <f t="shared" si="1"/>
        <v/>
      </c>
      <c r="J12194" t="str">
        <f>IFERROR(__xludf.DUMMYFUNCTION("IFS(
  AND(REGEXMATCH(E12194, ""台銀籌備帳戶|玉山帳戶""), REGEXMATCH(C12194, ""薪資"")), ""分潤支出"",
  AND(REGEXMATCH(E12194, ""Ben帳戶|Elsa帳戶|Ben代墊|Ariel代墊|中信銀行共用""), REGEXMATCH(F12194, ""Ben帳戶|Elsa帳戶|Ben代墊|Ariel代墊|中信銀行共用"")), ""內部轉帳(忽略)"",
  AND(E12194&lt;&gt;"""", F12194&lt;&gt;"&amp;""""", NOT(REGEXMATCH(C12194, ""薪資""))), ""內部轉帳(忽略)"",
  REGEXMATCH(C12194, ""薪資""), ""薪資變動(不計入)"",
  REGEXMATCH(C12194, ""押金""), ""押金往來"",
  AND(E12194&lt;&gt;"""", F12194=""""), ""真實支出"",
  AND(E12194="""", F12194&lt;&gt;""""), ""真實收入"",
  TRUE, ""其他""
)"),"其他")</f>
        <v>其他</v>
      </c>
      <c r="K12194" s="270" t="str">
        <f t="shared" si="2"/>
        <v/>
      </c>
      <c r="L12194">
        <f t="shared" si="3"/>
        <v>0</v>
      </c>
    </row>
    <row r="12195">
      <c r="A12195" s="107"/>
      <c r="D12195" s="270"/>
      <c r="H12195" s="106" t="str">
        <f t="shared" si="1"/>
        <v/>
      </c>
      <c r="J12195" t="str">
        <f>IFERROR(__xludf.DUMMYFUNCTION("IFS(
  AND(REGEXMATCH(E12195, ""台銀籌備帳戶|玉山帳戶""), REGEXMATCH(C12195, ""薪資"")), ""分潤支出"",
  AND(REGEXMATCH(E12195, ""Ben帳戶|Elsa帳戶|Ben代墊|Ariel代墊|中信銀行共用""), REGEXMATCH(F12195, ""Ben帳戶|Elsa帳戶|Ben代墊|Ariel代墊|中信銀行共用"")), ""內部轉帳(忽略)"",
  AND(E12195&lt;&gt;"""", F12195&lt;&gt;"&amp;""""", NOT(REGEXMATCH(C12195, ""薪資""))), ""內部轉帳(忽略)"",
  REGEXMATCH(C12195, ""薪資""), ""薪資變動(不計入)"",
  REGEXMATCH(C12195, ""押金""), ""押金往來"",
  AND(E12195&lt;&gt;"""", F12195=""""), ""真實支出"",
  AND(E12195="""", F12195&lt;&gt;""""), ""真實收入"",
  TRUE, ""其他""
)"),"其他")</f>
        <v>其他</v>
      </c>
      <c r="K12195" s="270" t="str">
        <f t="shared" si="2"/>
        <v/>
      </c>
      <c r="L12195">
        <f t="shared" si="3"/>
        <v>0</v>
      </c>
    </row>
    <row r="12196">
      <c r="A12196" s="107"/>
      <c r="D12196" s="270"/>
      <c r="H12196" s="106" t="str">
        <f t="shared" si="1"/>
        <v/>
      </c>
      <c r="J12196" t="str">
        <f>IFERROR(__xludf.DUMMYFUNCTION("IFS(
  AND(REGEXMATCH(E12196, ""台銀籌備帳戶|玉山帳戶""), REGEXMATCH(C12196, ""薪資"")), ""分潤支出"",
  AND(REGEXMATCH(E12196, ""Ben帳戶|Elsa帳戶|Ben代墊|Ariel代墊|中信銀行共用""), REGEXMATCH(F12196, ""Ben帳戶|Elsa帳戶|Ben代墊|Ariel代墊|中信銀行共用"")), ""內部轉帳(忽略)"",
  AND(E12196&lt;&gt;"""", F12196&lt;&gt;"&amp;""""", NOT(REGEXMATCH(C12196, ""薪資""))), ""內部轉帳(忽略)"",
  REGEXMATCH(C12196, ""薪資""), ""薪資變動(不計入)"",
  REGEXMATCH(C12196, ""押金""), ""押金往來"",
  AND(E12196&lt;&gt;"""", F12196=""""), ""真實支出"",
  AND(E12196="""", F12196&lt;&gt;""""), ""真實收入"",
  TRUE, ""其他""
)"),"其他")</f>
        <v>其他</v>
      </c>
      <c r="K12196" s="270" t="str">
        <f t="shared" si="2"/>
        <v/>
      </c>
      <c r="L12196">
        <f t="shared" si="3"/>
        <v>0</v>
      </c>
    </row>
    <row r="12197">
      <c r="A12197" s="107"/>
      <c r="D12197" s="270"/>
      <c r="H12197" s="106" t="str">
        <f t="shared" si="1"/>
        <v/>
      </c>
      <c r="J12197" t="str">
        <f>IFERROR(__xludf.DUMMYFUNCTION("IFS(
  AND(REGEXMATCH(E12197, ""台銀籌備帳戶|玉山帳戶""), REGEXMATCH(C12197, ""薪資"")), ""分潤支出"",
  AND(REGEXMATCH(E12197, ""Ben帳戶|Elsa帳戶|Ben代墊|Ariel代墊|中信銀行共用""), REGEXMATCH(F12197, ""Ben帳戶|Elsa帳戶|Ben代墊|Ariel代墊|中信銀行共用"")), ""內部轉帳(忽略)"",
  AND(E12197&lt;&gt;"""", F12197&lt;&gt;"&amp;""""", NOT(REGEXMATCH(C12197, ""薪資""))), ""內部轉帳(忽略)"",
  REGEXMATCH(C12197, ""薪資""), ""薪資變動(不計入)"",
  REGEXMATCH(C12197, ""押金""), ""押金往來"",
  AND(E12197&lt;&gt;"""", F12197=""""), ""真實支出"",
  AND(E12197="""", F12197&lt;&gt;""""), ""真實收入"",
  TRUE, ""其他""
)"),"其他")</f>
        <v>其他</v>
      </c>
      <c r="K12197" s="270" t="str">
        <f t="shared" si="2"/>
        <v/>
      </c>
      <c r="L12197">
        <f t="shared" si="3"/>
        <v>0</v>
      </c>
    </row>
    <row r="12198">
      <c r="A12198" s="107"/>
      <c r="D12198" s="270"/>
      <c r="H12198" s="106" t="str">
        <f t="shared" si="1"/>
        <v/>
      </c>
      <c r="J12198" t="str">
        <f>IFERROR(__xludf.DUMMYFUNCTION("IFS(
  AND(REGEXMATCH(E12198, ""台銀籌備帳戶|玉山帳戶""), REGEXMATCH(C12198, ""薪資"")), ""分潤支出"",
  AND(REGEXMATCH(E12198, ""Ben帳戶|Elsa帳戶|Ben代墊|Ariel代墊|中信銀行共用""), REGEXMATCH(F12198, ""Ben帳戶|Elsa帳戶|Ben代墊|Ariel代墊|中信銀行共用"")), ""內部轉帳(忽略)"",
  AND(E12198&lt;&gt;"""", F12198&lt;&gt;"&amp;""""", NOT(REGEXMATCH(C12198, ""薪資""))), ""內部轉帳(忽略)"",
  REGEXMATCH(C12198, ""薪資""), ""薪資變動(不計入)"",
  REGEXMATCH(C12198, ""押金""), ""押金往來"",
  AND(E12198&lt;&gt;"""", F12198=""""), ""真實支出"",
  AND(E12198="""", F12198&lt;&gt;""""), ""真實收入"",
  TRUE, ""其他""
)"),"其他")</f>
        <v>其他</v>
      </c>
      <c r="K12198" s="270" t="str">
        <f t="shared" si="2"/>
        <v/>
      </c>
      <c r="L12198">
        <f t="shared" si="3"/>
        <v>0</v>
      </c>
    </row>
    <row r="12199">
      <c r="A12199" s="107"/>
      <c r="D12199" s="270"/>
      <c r="H12199" s="106" t="str">
        <f t="shared" si="1"/>
        <v/>
      </c>
      <c r="J12199" t="str">
        <f>IFERROR(__xludf.DUMMYFUNCTION("IFS(
  AND(REGEXMATCH(E12199, ""台銀籌備帳戶|玉山帳戶""), REGEXMATCH(C12199, ""薪資"")), ""分潤支出"",
  AND(REGEXMATCH(E12199, ""Ben帳戶|Elsa帳戶|Ben代墊|Ariel代墊|中信銀行共用""), REGEXMATCH(F12199, ""Ben帳戶|Elsa帳戶|Ben代墊|Ariel代墊|中信銀行共用"")), ""內部轉帳(忽略)"",
  AND(E12199&lt;&gt;"""", F12199&lt;&gt;"&amp;""""", NOT(REGEXMATCH(C12199, ""薪資""))), ""內部轉帳(忽略)"",
  REGEXMATCH(C12199, ""薪資""), ""薪資變動(不計入)"",
  REGEXMATCH(C12199, ""押金""), ""押金往來"",
  AND(E12199&lt;&gt;"""", F12199=""""), ""真實支出"",
  AND(E12199="""", F12199&lt;&gt;""""), ""真實收入"",
  TRUE, ""其他""
)"),"其他")</f>
        <v>其他</v>
      </c>
      <c r="K12199" s="270" t="str">
        <f t="shared" si="2"/>
        <v/>
      </c>
      <c r="L12199">
        <f t="shared" si="3"/>
        <v>0</v>
      </c>
    </row>
    <row r="12200">
      <c r="A12200" s="107"/>
      <c r="D12200" s="270"/>
      <c r="H12200" s="106" t="str">
        <f t="shared" si="1"/>
        <v/>
      </c>
      <c r="J12200" t="str">
        <f>IFERROR(__xludf.DUMMYFUNCTION("IFS(
  AND(REGEXMATCH(E12200, ""台銀籌備帳戶|玉山帳戶""), REGEXMATCH(C12200, ""薪資"")), ""分潤支出"",
  AND(REGEXMATCH(E12200, ""Ben帳戶|Elsa帳戶|Ben代墊|Ariel代墊|中信銀行共用""), REGEXMATCH(F12200, ""Ben帳戶|Elsa帳戶|Ben代墊|Ariel代墊|中信銀行共用"")), ""內部轉帳(忽略)"",
  AND(E12200&lt;&gt;"""", F12200&lt;&gt;"&amp;""""", NOT(REGEXMATCH(C12200, ""薪資""))), ""內部轉帳(忽略)"",
  REGEXMATCH(C12200, ""薪資""), ""薪資變動(不計入)"",
  REGEXMATCH(C12200, ""押金""), ""押金往來"",
  AND(E12200&lt;&gt;"""", F12200=""""), ""真實支出"",
  AND(E12200="""", F12200&lt;&gt;""""), ""真實收入"",
  TRUE, ""其他""
)"),"其他")</f>
        <v>其他</v>
      </c>
      <c r="K12200" s="270" t="str">
        <f t="shared" si="2"/>
        <v/>
      </c>
      <c r="L12200">
        <f t="shared" si="3"/>
        <v>0</v>
      </c>
    </row>
    <row r="12201">
      <c r="A12201" s="107"/>
      <c r="D12201" s="270"/>
      <c r="H12201" s="106" t="str">
        <f t="shared" si="1"/>
        <v/>
      </c>
      <c r="J12201" t="str">
        <f>IFERROR(__xludf.DUMMYFUNCTION("IFS(
  AND(REGEXMATCH(E12201, ""台銀籌備帳戶|玉山帳戶""), REGEXMATCH(C12201, ""薪資"")), ""分潤支出"",
  AND(REGEXMATCH(E12201, ""Ben帳戶|Elsa帳戶|Ben代墊|Ariel代墊|中信銀行共用""), REGEXMATCH(F12201, ""Ben帳戶|Elsa帳戶|Ben代墊|Ariel代墊|中信銀行共用"")), ""內部轉帳(忽略)"",
  AND(E12201&lt;&gt;"""", F12201&lt;&gt;"&amp;""""", NOT(REGEXMATCH(C12201, ""薪資""))), ""內部轉帳(忽略)"",
  REGEXMATCH(C12201, ""薪資""), ""薪資變動(不計入)"",
  REGEXMATCH(C12201, ""押金""), ""押金往來"",
  AND(E12201&lt;&gt;"""", F12201=""""), ""真實支出"",
  AND(E12201="""", F12201&lt;&gt;""""), ""真實收入"",
  TRUE, ""其他""
)"),"其他")</f>
        <v>其他</v>
      </c>
      <c r="K12201" s="270" t="str">
        <f t="shared" si="2"/>
        <v/>
      </c>
      <c r="L12201">
        <f t="shared" si="3"/>
        <v>0</v>
      </c>
    </row>
    <row r="12202">
      <c r="A12202" s="107"/>
      <c r="D12202" s="270"/>
      <c r="H12202" s="106" t="str">
        <f t="shared" si="1"/>
        <v/>
      </c>
      <c r="J12202" t="str">
        <f>IFERROR(__xludf.DUMMYFUNCTION("IFS(
  AND(REGEXMATCH(E12202, ""台銀籌備帳戶|玉山帳戶""), REGEXMATCH(C12202, ""薪資"")), ""分潤支出"",
  AND(REGEXMATCH(E12202, ""Ben帳戶|Elsa帳戶|Ben代墊|Ariel代墊|中信銀行共用""), REGEXMATCH(F12202, ""Ben帳戶|Elsa帳戶|Ben代墊|Ariel代墊|中信銀行共用"")), ""內部轉帳(忽略)"",
  AND(E12202&lt;&gt;"""", F12202&lt;&gt;"&amp;""""", NOT(REGEXMATCH(C12202, ""薪資""))), ""內部轉帳(忽略)"",
  REGEXMATCH(C12202, ""薪資""), ""薪資變動(不計入)"",
  REGEXMATCH(C12202, ""押金""), ""押金往來"",
  AND(E12202&lt;&gt;"""", F12202=""""), ""真實支出"",
  AND(E12202="""", F12202&lt;&gt;""""), ""真實收入"",
  TRUE, ""其他""
)"),"其他")</f>
        <v>其他</v>
      </c>
      <c r="K12202" s="270" t="str">
        <f t="shared" si="2"/>
        <v/>
      </c>
      <c r="L12202">
        <f t="shared" si="3"/>
        <v>0</v>
      </c>
    </row>
    <row r="12203">
      <c r="A12203" s="107"/>
      <c r="D12203" s="270"/>
      <c r="H12203" s="106" t="str">
        <f t="shared" si="1"/>
        <v/>
      </c>
      <c r="J12203" t="str">
        <f>IFERROR(__xludf.DUMMYFUNCTION("IFS(
  AND(REGEXMATCH(E12203, ""台銀籌備帳戶|玉山帳戶""), REGEXMATCH(C12203, ""薪資"")), ""分潤支出"",
  AND(REGEXMATCH(E12203, ""Ben帳戶|Elsa帳戶|Ben代墊|Ariel代墊|中信銀行共用""), REGEXMATCH(F12203, ""Ben帳戶|Elsa帳戶|Ben代墊|Ariel代墊|中信銀行共用"")), ""內部轉帳(忽略)"",
  AND(E12203&lt;&gt;"""", F12203&lt;&gt;"&amp;""""", NOT(REGEXMATCH(C12203, ""薪資""))), ""內部轉帳(忽略)"",
  REGEXMATCH(C12203, ""薪資""), ""薪資變動(不計入)"",
  REGEXMATCH(C12203, ""押金""), ""押金往來"",
  AND(E12203&lt;&gt;"""", F12203=""""), ""真實支出"",
  AND(E12203="""", F12203&lt;&gt;""""), ""真實收入"",
  TRUE, ""其他""
)"),"其他")</f>
        <v>其他</v>
      </c>
      <c r="K12203" s="270" t="str">
        <f t="shared" si="2"/>
        <v/>
      </c>
      <c r="L12203">
        <f t="shared" si="3"/>
        <v>0</v>
      </c>
    </row>
    <row r="12204">
      <c r="A12204" s="107"/>
      <c r="D12204" s="270"/>
      <c r="H12204" s="106" t="str">
        <f t="shared" si="1"/>
        <v/>
      </c>
      <c r="J12204" t="str">
        <f>IFERROR(__xludf.DUMMYFUNCTION("IFS(
  AND(REGEXMATCH(E12204, ""台銀籌備帳戶|玉山帳戶""), REGEXMATCH(C12204, ""薪資"")), ""分潤支出"",
  AND(REGEXMATCH(E12204, ""Ben帳戶|Elsa帳戶|Ben代墊|Ariel代墊|中信銀行共用""), REGEXMATCH(F12204, ""Ben帳戶|Elsa帳戶|Ben代墊|Ariel代墊|中信銀行共用"")), ""內部轉帳(忽略)"",
  AND(E12204&lt;&gt;"""", F12204&lt;&gt;"&amp;""""", NOT(REGEXMATCH(C12204, ""薪資""))), ""內部轉帳(忽略)"",
  REGEXMATCH(C12204, ""薪資""), ""薪資變動(不計入)"",
  REGEXMATCH(C12204, ""押金""), ""押金往來"",
  AND(E12204&lt;&gt;"""", F12204=""""), ""真實支出"",
  AND(E12204="""", F12204&lt;&gt;""""), ""真實收入"",
  TRUE, ""其他""
)"),"其他")</f>
        <v>其他</v>
      </c>
      <c r="K12204" s="270" t="str">
        <f t="shared" si="2"/>
        <v/>
      </c>
      <c r="L12204">
        <f t="shared" si="3"/>
        <v>0</v>
      </c>
    </row>
    <row r="12205">
      <c r="A12205" s="107"/>
      <c r="D12205" s="270"/>
      <c r="H12205" s="106" t="str">
        <f t="shared" si="1"/>
        <v/>
      </c>
      <c r="J12205" t="str">
        <f>IFERROR(__xludf.DUMMYFUNCTION("IFS(
  AND(REGEXMATCH(E12205, ""台銀籌備帳戶|玉山帳戶""), REGEXMATCH(C12205, ""薪資"")), ""分潤支出"",
  AND(REGEXMATCH(E12205, ""Ben帳戶|Elsa帳戶|Ben代墊|Ariel代墊|中信銀行共用""), REGEXMATCH(F12205, ""Ben帳戶|Elsa帳戶|Ben代墊|Ariel代墊|中信銀行共用"")), ""內部轉帳(忽略)"",
  AND(E12205&lt;&gt;"""", F12205&lt;&gt;"&amp;""""", NOT(REGEXMATCH(C12205, ""薪資""))), ""內部轉帳(忽略)"",
  REGEXMATCH(C12205, ""薪資""), ""薪資變動(不計入)"",
  REGEXMATCH(C12205, ""押金""), ""押金往來"",
  AND(E12205&lt;&gt;"""", F12205=""""), ""真實支出"",
  AND(E12205="""", F12205&lt;&gt;""""), ""真實收入"",
  TRUE, ""其他""
)"),"其他")</f>
        <v>其他</v>
      </c>
      <c r="K12205" s="270" t="str">
        <f t="shared" si="2"/>
        <v/>
      </c>
      <c r="L12205">
        <f t="shared" si="3"/>
        <v>0</v>
      </c>
    </row>
    <row r="12206">
      <c r="A12206" s="107"/>
      <c r="D12206" s="270"/>
      <c r="H12206" s="106" t="str">
        <f t="shared" si="1"/>
        <v/>
      </c>
      <c r="J12206" t="str">
        <f>IFERROR(__xludf.DUMMYFUNCTION("IFS(
  AND(REGEXMATCH(E12206, ""台銀籌備帳戶|玉山帳戶""), REGEXMATCH(C12206, ""薪資"")), ""分潤支出"",
  AND(REGEXMATCH(E12206, ""Ben帳戶|Elsa帳戶|Ben代墊|Ariel代墊|中信銀行共用""), REGEXMATCH(F12206, ""Ben帳戶|Elsa帳戶|Ben代墊|Ariel代墊|中信銀行共用"")), ""內部轉帳(忽略)"",
  AND(E12206&lt;&gt;"""", F12206&lt;&gt;"&amp;""""", NOT(REGEXMATCH(C12206, ""薪資""))), ""內部轉帳(忽略)"",
  REGEXMATCH(C12206, ""薪資""), ""薪資變動(不計入)"",
  REGEXMATCH(C12206, ""押金""), ""押金往來"",
  AND(E12206&lt;&gt;"""", F12206=""""), ""真實支出"",
  AND(E12206="""", F12206&lt;&gt;""""), ""真實收入"",
  TRUE, ""其他""
)"),"其他")</f>
        <v>其他</v>
      </c>
      <c r="K12206" s="270" t="str">
        <f t="shared" si="2"/>
        <v/>
      </c>
      <c r="L12206">
        <f t="shared" si="3"/>
        <v>0</v>
      </c>
    </row>
    <row r="12207">
      <c r="A12207" s="107"/>
      <c r="D12207" s="270"/>
      <c r="H12207" s="106" t="str">
        <f t="shared" si="1"/>
        <v/>
      </c>
      <c r="J12207" t="str">
        <f>IFERROR(__xludf.DUMMYFUNCTION("IFS(
  AND(REGEXMATCH(E12207, ""台銀籌備帳戶|玉山帳戶""), REGEXMATCH(C12207, ""薪資"")), ""分潤支出"",
  AND(REGEXMATCH(E12207, ""Ben帳戶|Elsa帳戶|Ben代墊|Ariel代墊|中信銀行共用""), REGEXMATCH(F12207, ""Ben帳戶|Elsa帳戶|Ben代墊|Ariel代墊|中信銀行共用"")), ""內部轉帳(忽略)"",
  AND(E12207&lt;&gt;"""", F12207&lt;&gt;"&amp;""""", NOT(REGEXMATCH(C12207, ""薪資""))), ""內部轉帳(忽略)"",
  REGEXMATCH(C12207, ""薪資""), ""薪資變動(不計入)"",
  REGEXMATCH(C12207, ""押金""), ""押金往來"",
  AND(E12207&lt;&gt;"""", F12207=""""), ""真實支出"",
  AND(E12207="""", F12207&lt;&gt;""""), ""真實收入"",
  TRUE, ""其他""
)"),"其他")</f>
        <v>其他</v>
      </c>
      <c r="K12207" s="270" t="str">
        <f t="shared" si="2"/>
        <v/>
      </c>
      <c r="L12207">
        <f t="shared" si="3"/>
        <v>0</v>
      </c>
    </row>
    <row r="12208">
      <c r="A12208" s="107"/>
      <c r="D12208" s="270"/>
      <c r="H12208" s="106" t="str">
        <f t="shared" si="1"/>
        <v/>
      </c>
      <c r="J12208" t="str">
        <f>IFERROR(__xludf.DUMMYFUNCTION("IFS(
  AND(REGEXMATCH(E12208, ""台銀籌備帳戶|玉山帳戶""), REGEXMATCH(C12208, ""薪資"")), ""分潤支出"",
  AND(REGEXMATCH(E12208, ""Ben帳戶|Elsa帳戶|Ben代墊|Ariel代墊|中信銀行共用""), REGEXMATCH(F12208, ""Ben帳戶|Elsa帳戶|Ben代墊|Ariel代墊|中信銀行共用"")), ""內部轉帳(忽略)"",
  AND(E12208&lt;&gt;"""", F12208&lt;&gt;"&amp;""""", NOT(REGEXMATCH(C12208, ""薪資""))), ""內部轉帳(忽略)"",
  REGEXMATCH(C12208, ""薪資""), ""薪資變動(不計入)"",
  REGEXMATCH(C12208, ""押金""), ""押金往來"",
  AND(E12208&lt;&gt;"""", F12208=""""), ""真實支出"",
  AND(E12208="""", F12208&lt;&gt;""""), ""真實收入"",
  TRUE, ""其他""
)"),"其他")</f>
        <v>其他</v>
      </c>
      <c r="K12208" s="270" t="str">
        <f t="shared" si="2"/>
        <v/>
      </c>
      <c r="L12208">
        <f t="shared" si="3"/>
        <v>0</v>
      </c>
    </row>
    <row r="12209">
      <c r="A12209" s="107"/>
      <c r="D12209" s="270"/>
      <c r="H12209" s="106" t="str">
        <f t="shared" si="1"/>
        <v/>
      </c>
      <c r="J12209" t="str">
        <f>IFERROR(__xludf.DUMMYFUNCTION("IFS(
  AND(REGEXMATCH(E12209, ""台銀籌備帳戶|玉山帳戶""), REGEXMATCH(C12209, ""薪資"")), ""分潤支出"",
  AND(REGEXMATCH(E12209, ""Ben帳戶|Elsa帳戶|Ben代墊|Ariel代墊|中信銀行共用""), REGEXMATCH(F12209, ""Ben帳戶|Elsa帳戶|Ben代墊|Ariel代墊|中信銀行共用"")), ""內部轉帳(忽略)"",
  AND(E12209&lt;&gt;"""", F12209&lt;&gt;"&amp;""""", NOT(REGEXMATCH(C12209, ""薪資""))), ""內部轉帳(忽略)"",
  REGEXMATCH(C12209, ""薪資""), ""薪資變動(不計入)"",
  REGEXMATCH(C12209, ""押金""), ""押金往來"",
  AND(E12209&lt;&gt;"""", F12209=""""), ""真實支出"",
  AND(E12209="""", F12209&lt;&gt;""""), ""真實收入"",
  TRUE, ""其他""
)"),"其他")</f>
        <v>其他</v>
      </c>
      <c r="K12209" s="270" t="str">
        <f t="shared" si="2"/>
        <v/>
      </c>
      <c r="L12209">
        <f t="shared" si="3"/>
        <v>0</v>
      </c>
    </row>
    <row r="12210">
      <c r="A12210" s="107"/>
      <c r="D12210" s="270"/>
      <c r="H12210" s="106" t="str">
        <f t="shared" si="1"/>
        <v/>
      </c>
      <c r="J12210" t="str">
        <f>IFERROR(__xludf.DUMMYFUNCTION("IFS(
  AND(REGEXMATCH(E12210, ""台銀籌備帳戶|玉山帳戶""), REGEXMATCH(C12210, ""薪資"")), ""分潤支出"",
  AND(REGEXMATCH(E12210, ""Ben帳戶|Elsa帳戶|Ben代墊|Ariel代墊|中信銀行共用""), REGEXMATCH(F12210, ""Ben帳戶|Elsa帳戶|Ben代墊|Ariel代墊|中信銀行共用"")), ""內部轉帳(忽略)"",
  AND(E12210&lt;&gt;"""", F12210&lt;&gt;"&amp;""""", NOT(REGEXMATCH(C12210, ""薪資""))), ""內部轉帳(忽略)"",
  REGEXMATCH(C12210, ""薪資""), ""薪資變動(不計入)"",
  REGEXMATCH(C12210, ""押金""), ""押金往來"",
  AND(E12210&lt;&gt;"""", F12210=""""), ""真實支出"",
  AND(E12210="""", F12210&lt;&gt;""""), ""真實收入"",
  TRUE, ""其他""
)"),"其他")</f>
        <v>其他</v>
      </c>
      <c r="K12210" s="270" t="str">
        <f t="shared" si="2"/>
        <v/>
      </c>
      <c r="L12210">
        <f t="shared" si="3"/>
        <v>0</v>
      </c>
    </row>
    <row r="12211">
      <c r="A12211" s="107"/>
      <c r="D12211" s="270"/>
      <c r="H12211" s="106" t="str">
        <f t="shared" si="1"/>
        <v/>
      </c>
      <c r="J12211" t="str">
        <f>IFERROR(__xludf.DUMMYFUNCTION("IFS(
  AND(REGEXMATCH(E12211, ""台銀籌備帳戶|玉山帳戶""), REGEXMATCH(C12211, ""薪資"")), ""分潤支出"",
  AND(REGEXMATCH(E12211, ""Ben帳戶|Elsa帳戶|Ben代墊|Ariel代墊|中信銀行共用""), REGEXMATCH(F12211, ""Ben帳戶|Elsa帳戶|Ben代墊|Ariel代墊|中信銀行共用"")), ""內部轉帳(忽略)"",
  AND(E12211&lt;&gt;"""", F12211&lt;&gt;"&amp;""""", NOT(REGEXMATCH(C12211, ""薪資""))), ""內部轉帳(忽略)"",
  REGEXMATCH(C12211, ""薪資""), ""薪資變動(不計入)"",
  REGEXMATCH(C12211, ""押金""), ""押金往來"",
  AND(E12211&lt;&gt;"""", F12211=""""), ""真實支出"",
  AND(E12211="""", F12211&lt;&gt;""""), ""真實收入"",
  TRUE, ""其他""
)"),"其他")</f>
        <v>其他</v>
      </c>
      <c r="K12211" s="270" t="str">
        <f t="shared" si="2"/>
        <v/>
      </c>
      <c r="L12211">
        <f t="shared" si="3"/>
        <v>0</v>
      </c>
    </row>
    <row r="12212">
      <c r="A12212" s="107"/>
      <c r="D12212" s="270"/>
      <c r="H12212" s="106" t="str">
        <f t="shared" si="1"/>
        <v/>
      </c>
      <c r="J12212" t="str">
        <f>IFERROR(__xludf.DUMMYFUNCTION("IFS(
  AND(REGEXMATCH(E12212, ""台銀籌備帳戶|玉山帳戶""), REGEXMATCH(C12212, ""薪資"")), ""分潤支出"",
  AND(REGEXMATCH(E12212, ""Ben帳戶|Elsa帳戶|Ben代墊|Ariel代墊|中信銀行共用""), REGEXMATCH(F12212, ""Ben帳戶|Elsa帳戶|Ben代墊|Ariel代墊|中信銀行共用"")), ""內部轉帳(忽略)"",
  AND(E12212&lt;&gt;"""", F12212&lt;&gt;"&amp;""""", NOT(REGEXMATCH(C12212, ""薪資""))), ""內部轉帳(忽略)"",
  REGEXMATCH(C12212, ""薪資""), ""薪資變動(不計入)"",
  REGEXMATCH(C12212, ""押金""), ""押金往來"",
  AND(E12212&lt;&gt;"""", F12212=""""), ""真實支出"",
  AND(E12212="""", F12212&lt;&gt;""""), ""真實收入"",
  TRUE, ""其他""
)"),"其他")</f>
        <v>其他</v>
      </c>
      <c r="K12212" s="270" t="str">
        <f t="shared" si="2"/>
        <v/>
      </c>
      <c r="L12212">
        <f t="shared" si="3"/>
        <v>0</v>
      </c>
    </row>
    <row r="12213">
      <c r="A12213" s="107"/>
      <c r="D12213" s="270"/>
      <c r="H12213" s="106" t="str">
        <f t="shared" si="1"/>
        <v/>
      </c>
      <c r="J12213" t="str">
        <f>IFERROR(__xludf.DUMMYFUNCTION("IFS(
  AND(REGEXMATCH(E12213, ""台銀籌備帳戶|玉山帳戶""), REGEXMATCH(C12213, ""薪資"")), ""分潤支出"",
  AND(REGEXMATCH(E12213, ""Ben帳戶|Elsa帳戶|Ben代墊|Ariel代墊|中信銀行共用""), REGEXMATCH(F12213, ""Ben帳戶|Elsa帳戶|Ben代墊|Ariel代墊|中信銀行共用"")), ""內部轉帳(忽略)"",
  AND(E12213&lt;&gt;"""", F12213&lt;&gt;"&amp;""""", NOT(REGEXMATCH(C12213, ""薪資""))), ""內部轉帳(忽略)"",
  REGEXMATCH(C12213, ""薪資""), ""薪資變動(不計入)"",
  REGEXMATCH(C12213, ""押金""), ""押金往來"",
  AND(E12213&lt;&gt;"""", F12213=""""), ""真實支出"",
  AND(E12213="""", F12213&lt;&gt;""""), ""真實收入"",
  TRUE, ""其他""
)"),"其他")</f>
        <v>其他</v>
      </c>
      <c r="K12213" s="270" t="str">
        <f t="shared" si="2"/>
        <v/>
      </c>
      <c r="L12213">
        <f t="shared" si="3"/>
        <v>0</v>
      </c>
    </row>
    <row r="12214">
      <c r="A12214" s="107"/>
      <c r="D12214" s="270"/>
      <c r="H12214" s="106" t="str">
        <f t="shared" si="1"/>
        <v/>
      </c>
      <c r="J12214" t="str">
        <f>IFERROR(__xludf.DUMMYFUNCTION("IFS(
  AND(REGEXMATCH(E12214, ""台銀籌備帳戶|玉山帳戶""), REGEXMATCH(C12214, ""薪資"")), ""分潤支出"",
  AND(REGEXMATCH(E12214, ""Ben帳戶|Elsa帳戶|Ben代墊|Ariel代墊|中信銀行共用""), REGEXMATCH(F12214, ""Ben帳戶|Elsa帳戶|Ben代墊|Ariel代墊|中信銀行共用"")), ""內部轉帳(忽略)"",
  AND(E12214&lt;&gt;"""", F12214&lt;&gt;"&amp;""""", NOT(REGEXMATCH(C12214, ""薪資""))), ""內部轉帳(忽略)"",
  REGEXMATCH(C12214, ""薪資""), ""薪資變動(不計入)"",
  REGEXMATCH(C12214, ""押金""), ""押金往來"",
  AND(E12214&lt;&gt;"""", F12214=""""), ""真實支出"",
  AND(E12214="""", F12214&lt;&gt;""""), ""真實收入"",
  TRUE, ""其他""
)"),"其他")</f>
        <v>其他</v>
      </c>
      <c r="K12214" s="270" t="str">
        <f t="shared" si="2"/>
        <v/>
      </c>
      <c r="L12214">
        <f t="shared" si="3"/>
        <v>0</v>
      </c>
    </row>
    <row r="12215">
      <c r="A12215" s="107"/>
      <c r="D12215" s="270"/>
      <c r="H12215" s="106" t="str">
        <f t="shared" si="1"/>
        <v/>
      </c>
      <c r="J12215" t="str">
        <f>IFERROR(__xludf.DUMMYFUNCTION("IFS(
  AND(REGEXMATCH(E12215, ""台銀籌備帳戶|玉山帳戶""), REGEXMATCH(C12215, ""薪資"")), ""分潤支出"",
  AND(REGEXMATCH(E12215, ""Ben帳戶|Elsa帳戶|Ben代墊|Ariel代墊|中信銀行共用""), REGEXMATCH(F12215, ""Ben帳戶|Elsa帳戶|Ben代墊|Ariel代墊|中信銀行共用"")), ""內部轉帳(忽略)"",
  AND(E12215&lt;&gt;"""", F12215&lt;&gt;"&amp;""""", NOT(REGEXMATCH(C12215, ""薪資""))), ""內部轉帳(忽略)"",
  REGEXMATCH(C12215, ""薪資""), ""薪資變動(不計入)"",
  REGEXMATCH(C12215, ""押金""), ""押金往來"",
  AND(E12215&lt;&gt;"""", F12215=""""), ""真實支出"",
  AND(E12215="""", F12215&lt;&gt;""""), ""真實收入"",
  TRUE, ""其他""
)"),"其他")</f>
        <v>其他</v>
      </c>
      <c r="K12215" s="270" t="str">
        <f t="shared" si="2"/>
        <v/>
      </c>
      <c r="L12215">
        <f t="shared" si="3"/>
        <v>0</v>
      </c>
    </row>
    <row r="12216">
      <c r="A12216" s="107"/>
      <c r="D12216" s="270"/>
      <c r="H12216" s="106" t="str">
        <f t="shared" si="1"/>
        <v/>
      </c>
      <c r="J12216" t="str">
        <f>IFERROR(__xludf.DUMMYFUNCTION("IFS(
  AND(REGEXMATCH(E12216, ""台銀籌備帳戶|玉山帳戶""), REGEXMATCH(C12216, ""薪資"")), ""分潤支出"",
  AND(REGEXMATCH(E12216, ""Ben帳戶|Elsa帳戶|Ben代墊|Ariel代墊|中信銀行共用""), REGEXMATCH(F12216, ""Ben帳戶|Elsa帳戶|Ben代墊|Ariel代墊|中信銀行共用"")), ""內部轉帳(忽略)"",
  AND(E12216&lt;&gt;"""", F12216&lt;&gt;"&amp;""""", NOT(REGEXMATCH(C12216, ""薪資""))), ""內部轉帳(忽略)"",
  REGEXMATCH(C12216, ""薪資""), ""薪資變動(不計入)"",
  REGEXMATCH(C12216, ""押金""), ""押金往來"",
  AND(E12216&lt;&gt;"""", F12216=""""), ""真實支出"",
  AND(E12216="""", F12216&lt;&gt;""""), ""真實收入"",
  TRUE, ""其他""
)"),"其他")</f>
        <v>其他</v>
      </c>
      <c r="K12216" s="270" t="str">
        <f t="shared" si="2"/>
        <v/>
      </c>
      <c r="L12216">
        <f t="shared" si="3"/>
        <v>0</v>
      </c>
    </row>
    <row r="12217">
      <c r="A12217" s="107"/>
      <c r="D12217" s="270"/>
      <c r="H12217" s="106" t="str">
        <f t="shared" si="1"/>
        <v/>
      </c>
      <c r="J12217" t="str">
        <f>IFERROR(__xludf.DUMMYFUNCTION("IFS(
  AND(REGEXMATCH(E12217, ""台銀籌備帳戶|玉山帳戶""), REGEXMATCH(C12217, ""薪資"")), ""分潤支出"",
  AND(REGEXMATCH(E12217, ""Ben帳戶|Elsa帳戶|Ben代墊|Ariel代墊|中信銀行共用""), REGEXMATCH(F12217, ""Ben帳戶|Elsa帳戶|Ben代墊|Ariel代墊|中信銀行共用"")), ""內部轉帳(忽略)"",
  AND(E12217&lt;&gt;"""", F12217&lt;&gt;"&amp;""""", NOT(REGEXMATCH(C12217, ""薪資""))), ""內部轉帳(忽略)"",
  REGEXMATCH(C12217, ""薪資""), ""薪資變動(不計入)"",
  REGEXMATCH(C12217, ""押金""), ""押金往來"",
  AND(E12217&lt;&gt;"""", F12217=""""), ""真實支出"",
  AND(E12217="""", F12217&lt;&gt;""""), ""真實收入"",
  TRUE, ""其他""
)"),"其他")</f>
        <v>其他</v>
      </c>
      <c r="K12217" s="270" t="str">
        <f t="shared" si="2"/>
        <v/>
      </c>
      <c r="L12217">
        <f t="shared" si="3"/>
        <v>0</v>
      </c>
    </row>
    <row r="12218">
      <c r="A12218" s="107"/>
      <c r="D12218" s="270"/>
      <c r="H12218" s="106" t="str">
        <f t="shared" si="1"/>
        <v/>
      </c>
      <c r="J12218" t="str">
        <f>IFERROR(__xludf.DUMMYFUNCTION("IFS(
  AND(REGEXMATCH(E12218, ""台銀籌備帳戶|玉山帳戶""), REGEXMATCH(C12218, ""薪資"")), ""分潤支出"",
  AND(REGEXMATCH(E12218, ""Ben帳戶|Elsa帳戶|Ben代墊|Ariel代墊|中信銀行共用""), REGEXMATCH(F12218, ""Ben帳戶|Elsa帳戶|Ben代墊|Ariel代墊|中信銀行共用"")), ""內部轉帳(忽略)"",
  AND(E12218&lt;&gt;"""", F12218&lt;&gt;"&amp;""""", NOT(REGEXMATCH(C12218, ""薪資""))), ""內部轉帳(忽略)"",
  REGEXMATCH(C12218, ""薪資""), ""薪資變動(不計入)"",
  REGEXMATCH(C12218, ""押金""), ""押金往來"",
  AND(E12218&lt;&gt;"""", F12218=""""), ""真實支出"",
  AND(E12218="""", F12218&lt;&gt;""""), ""真實收入"",
  TRUE, ""其他""
)"),"其他")</f>
        <v>其他</v>
      </c>
      <c r="K12218" s="270" t="str">
        <f t="shared" si="2"/>
        <v/>
      </c>
      <c r="L12218">
        <f t="shared" si="3"/>
        <v>0</v>
      </c>
    </row>
    <row r="12219">
      <c r="A12219" s="107"/>
      <c r="D12219" s="270"/>
      <c r="H12219" s="106" t="str">
        <f t="shared" si="1"/>
        <v/>
      </c>
      <c r="J12219" t="str">
        <f>IFERROR(__xludf.DUMMYFUNCTION("IFS(
  AND(REGEXMATCH(E12219, ""台銀籌備帳戶|玉山帳戶""), REGEXMATCH(C12219, ""薪資"")), ""分潤支出"",
  AND(REGEXMATCH(E12219, ""Ben帳戶|Elsa帳戶|Ben代墊|Ariel代墊|中信銀行共用""), REGEXMATCH(F12219, ""Ben帳戶|Elsa帳戶|Ben代墊|Ariel代墊|中信銀行共用"")), ""內部轉帳(忽略)"",
  AND(E12219&lt;&gt;"""", F12219&lt;&gt;"&amp;""""", NOT(REGEXMATCH(C12219, ""薪資""))), ""內部轉帳(忽略)"",
  REGEXMATCH(C12219, ""薪資""), ""薪資變動(不計入)"",
  REGEXMATCH(C12219, ""押金""), ""押金往來"",
  AND(E12219&lt;&gt;"""", F12219=""""), ""真實支出"",
  AND(E12219="""", F12219&lt;&gt;""""), ""真實收入"",
  TRUE, ""其他""
)"),"其他")</f>
        <v>其他</v>
      </c>
      <c r="K12219" s="270" t="str">
        <f t="shared" si="2"/>
        <v/>
      </c>
      <c r="L12219">
        <f t="shared" si="3"/>
        <v>0</v>
      </c>
    </row>
    <row r="12220">
      <c r="A12220" s="107"/>
      <c r="D12220" s="270"/>
      <c r="H12220" s="106" t="str">
        <f t="shared" si="1"/>
        <v/>
      </c>
      <c r="J12220" t="str">
        <f>IFERROR(__xludf.DUMMYFUNCTION("IFS(
  AND(REGEXMATCH(E12220, ""台銀籌備帳戶|玉山帳戶""), REGEXMATCH(C12220, ""薪資"")), ""分潤支出"",
  AND(REGEXMATCH(E12220, ""Ben帳戶|Elsa帳戶|Ben代墊|Ariel代墊|中信銀行共用""), REGEXMATCH(F12220, ""Ben帳戶|Elsa帳戶|Ben代墊|Ariel代墊|中信銀行共用"")), ""內部轉帳(忽略)"",
  AND(E12220&lt;&gt;"""", F12220&lt;&gt;"&amp;""""", NOT(REGEXMATCH(C12220, ""薪資""))), ""內部轉帳(忽略)"",
  REGEXMATCH(C12220, ""薪資""), ""薪資變動(不計入)"",
  REGEXMATCH(C12220, ""押金""), ""押金往來"",
  AND(E12220&lt;&gt;"""", F12220=""""), ""真實支出"",
  AND(E12220="""", F12220&lt;&gt;""""), ""真實收入"",
  TRUE, ""其他""
)"),"其他")</f>
        <v>其他</v>
      </c>
      <c r="K12220" s="270" t="str">
        <f t="shared" si="2"/>
        <v/>
      </c>
      <c r="L12220">
        <f t="shared" si="3"/>
        <v>0</v>
      </c>
    </row>
    <row r="12221">
      <c r="A12221" s="107"/>
      <c r="D12221" s="270"/>
      <c r="H12221" s="106" t="str">
        <f t="shared" si="1"/>
        <v/>
      </c>
      <c r="J12221" t="str">
        <f>IFERROR(__xludf.DUMMYFUNCTION("IFS(
  AND(REGEXMATCH(E12221, ""台銀籌備帳戶|玉山帳戶""), REGEXMATCH(C12221, ""薪資"")), ""分潤支出"",
  AND(REGEXMATCH(E12221, ""Ben帳戶|Elsa帳戶|Ben代墊|Ariel代墊|中信銀行共用""), REGEXMATCH(F12221, ""Ben帳戶|Elsa帳戶|Ben代墊|Ariel代墊|中信銀行共用"")), ""內部轉帳(忽略)"",
  AND(E12221&lt;&gt;"""", F12221&lt;&gt;"&amp;""""", NOT(REGEXMATCH(C12221, ""薪資""))), ""內部轉帳(忽略)"",
  REGEXMATCH(C12221, ""薪資""), ""薪資變動(不計入)"",
  REGEXMATCH(C12221, ""押金""), ""押金往來"",
  AND(E12221&lt;&gt;"""", F12221=""""), ""真實支出"",
  AND(E12221="""", F12221&lt;&gt;""""), ""真實收入"",
  TRUE, ""其他""
)"),"其他")</f>
        <v>其他</v>
      </c>
      <c r="K12221" s="270" t="str">
        <f t="shared" si="2"/>
        <v/>
      </c>
      <c r="L12221">
        <f t="shared" si="3"/>
        <v>0</v>
      </c>
    </row>
    <row r="12222">
      <c r="A12222" s="107"/>
      <c r="D12222" s="270"/>
      <c r="H12222" s="106" t="str">
        <f t="shared" si="1"/>
        <v/>
      </c>
      <c r="J12222" t="str">
        <f>IFERROR(__xludf.DUMMYFUNCTION("IFS(
  AND(REGEXMATCH(E12222, ""台銀籌備帳戶|玉山帳戶""), REGEXMATCH(C12222, ""薪資"")), ""分潤支出"",
  AND(REGEXMATCH(E12222, ""Ben帳戶|Elsa帳戶|Ben代墊|Ariel代墊|中信銀行共用""), REGEXMATCH(F12222, ""Ben帳戶|Elsa帳戶|Ben代墊|Ariel代墊|中信銀行共用"")), ""內部轉帳(忽略)"",
  AND(E12222&lt;&gt;"""", F12222&lt;&gt;"&amp;""""", NOT(REGEXMATCH(C12222, ""薪資""))), ""內部轉帳(忽略)"",
  REGEXMATCH(C12222, ""薪資""), ""薪資變動(不計入)"",
  REGEXMATCH(C12222, ""押金""), ""押金往來"",
  AND(E12222&lt;&gt;"""", F12222=""""), ""真實支出"",
  AND(E12222="""", F12222&lt;&gt;""""), ""真實收入"",
  TRUE, ""其他""
)"),"其他")</f>
        <v>其他</v>
      </c>
      <c r="K12222" s="270" t="str">
        <f t="shared" si="2"/>
        <v/>
      </c>
      <c r="L12222">
        <f t="shared" si="3"/>
        <v>0</v>
      </c>
    </row>
    <row r="12223">
      <c r="A12223" s="107"/>
      <c r="D12223" s="270"/>
      <c r="H12223" s="106" t="str">
        <f t="shared" si="1"/>
        <v/>
      </c>
      <c r="J12223" t="str">
        <f>IFERROR(__xludf.DUMMYFUNCTION("IFS(
  AND(REGEXMATCH(E12223, ""台銀籌備帳戶|玉山帳戶""), REGEXMATCH(C12223, ""薪資"")), ""分潤支出"",
  AND(REGEXMATCH(E12223, ""Ben帳戶|Elsa帳戶|Ben代墊|Ariel代墊|中信銀行共用""), REGEXMATCH(F12223, ""Ben帳戶|Elsa帳戶|Ben代墊|Ariel代墊|中信銀行共用"")), ""內部轉帳(忽略)"",
  AND(E12223&lt;&gt;"""", F12223&lt;&gt;"&amp;""""", NOT(REGEXMATCH(C12223, ""薪資""))), ""內部轉帳(忽略)"",
  REGEXMATCH(C12223, ""薪資""), ""薪資變動(不計入)"",
  REGEXMATCH(C12223, ""押金""), ""押金往來"",
  AND(E12223&lt;&gt;"""", F12223=""""), ""真實支出"",
  AND(E12223="""", F12223&lt;&gt;""""), ""真實收入"",
  TRUE, ""其他""
)"),"其他")</f>
        <v>其他</v>
      </c>
      <c r="K12223" s="270" t="str">
        <f t="shared" si="2"/>
        <v/>
      </c>
      <c r="L12223">
        <f t="shared" si="3"/>
        <v>0</v>
      </c>
    </row>
    <row r="12224">
      <c r="A12224" s="107"/>
      <c r="D12224" s="270"/>
      <c r="H12224" s="106" t="str">
        <f t="shared" si="1"/>
        <v/>
      </c>
      <c r="J12224" t="str">
        <f>IFERROR(__xludf.DUMMYFUNCTION("IFS(
  AND(REGEXMATCH(E12224, ""台銀籌備帳戶|玉山帳戶""), REGEXMATCH(C12224, ""薪資"")), ""分潤支出"",
  AND(REGEXMATCH(E12224, ""Ben帳戶|Elsa帳戶|Ben代墊|Ariel代墊|中信銀行共用""), REGEXMATCH(F12224, ""Ben帳戶|Elsa帳戶|Ben代墊|Ariel代墊|中信銀行共用"")), ""內部轉帳(忽略)"",
  AND(E12224&lt;&gt;"""", F12224&lt;&gt;"&amp;""""", NOT(REGEXMATCH(C12224, ""薪資""))), ""內部轉帳(忽略)"",
  REGEXMATCH(C12224, ""薪資""), ""薪資變動(不計入)"",
  REGEXMATCH(C12224, ""押金""), ""押金往來"",
  AND(E12224&lt;&gt;"""", F12224=""""), ""真實支出"",
  AND(E12224="""", F12224&lt;&gt;""""), ""真實收入"",
  TRUE, ""其他""
)"),"其他")</f>
        <v>其他</v>
      </c>
      <c r="K12224" s="270" t="str">
        <f t="shared" si="2"/>
        <v/>
      </c>
      <c r="L12224">
        <f t="shared" si="3"/>
        <v>0</v>
      </c>
    </row>
    <row r="12225">
      <c r="A12225" s="107"/>
      <c r="D12225" s="270"/>
      <c r="H12225" s="106" t="str">
        <f t="shared" si="1"/>
        <v/>
      </c>
      <c r="J12225" t="str">
        <f>IFERROR(__xludf.DUMMYFUNCTION("IFS(
  AND(REGEXMATCH(E12225, ""台銀籌備帳戶|玉山帳戶""), REGEXMATCH(C12225, ""薪資"")), ""分潤支出"",
  AND(REGEXMATCH(E12225, ""Ben帳戶|Elsa帳戶|Ben代墊|Ariel代墊|中信銀行共用""), REGEXMATCH(F12225, ""Ben帳戶|Elsa帳戶|Ben代墊|Ariel代墊|中信銀行共用"")), ""內部轉帳(忽略)"",
  AND(E12225&lt;&gt;"""", F12225&lt;&gt;"&amp;""""", NOT(REGEXMATCH(C12225, ""薪資""))), ""內部轉帳(忽略)"",
  REGEXMATCH(C12225, ""薪資""), ""薪資變動(不計入)"",
  REGEXMATCH(C12225, ""押金""), ""押金往來"",
  AND(E12225&lt;&gt;"""", F12225=""""), ""真實支出"",
  AND(E12225="""", F12225&lt;&gt;""""), ""真實收入"",
  TRUE, ""其他""
)"),"其他")</f>
        <v>其他</v>
      </c>
      <c r="K12225" s="270" t="str">
        <f t="shared" si="2"/>
        <v/>
      </c>
      <c r="L12225">
        <f t="shared" si="3"/>
        <v>0</v>
      </c>
    </row>
    <row r="12226">
      <c r="A12226" s="107"/>
      <c r="D12226" s="270"/>
      <c r="H12226" s="106" t="str">
        <f t="shared" si="1"/>
        <v/>
      </c>
      <c r="J12226" t="str">
        <f>IFERROR(__xludf.DUMMYFUNCTION("IFS(
  AND(REGEXMATCH(E12226, ""台銀籌備帳戶|玉山帳戶""), REGEXMATCH(C12226, ""薪資"")), ""分潤支出"",
  AND(REGEXMATCH(E12226, ""Ben帳戶|Elsa帳戶|Ben代墊|Ariel代墊|中信銀行共用""), REGEXMATCH(F12226, ""Ben帳戶|Elsa帳戶|Ben代墊|Ariel代墊|中信銀行共用"")), ""內部轉帳(忽略)"",
  AND(E12226&lt;&gt;"""", F12226&lt;&gt;"&amp;""""", NOT(REGEXMATCH(C12226, ""薪資""))), ""內部轉帳(忽略)"",
  REGEXMATCH(C12226, ""薪資""), ""薪資變動(不計入)"",
  REGEXMATCH(C12226, ""押金""), ""押金往來"",
  AND(E12226&lt;&gt;"""", F12226=""""), ""真實支出"",
  AND(E12226="""", F12226&lt;&gt;""""), ""真實收入"",
  TRUE, ""其他""
)"),"其他")</f>
        <v>其他</v>
      </c>
      <c r="K12226" s="270" t="str">
        <f t="shared" si="2"/>
        <v/>
      </c>
      <c r="L12226">
        <f t="shared" si="3"/>
        <v>0</v>
      </c>
    </row>
    <row r="12227">
      <c r="A12227" s="107"/>
      <c r="D12227" s="270"/>
      <c r="H12227" s="106" t="str">
        <f t="shared" si="1"/>
        <v/>
      </c>
      <c r="J12227" t="str">
        <f>IFERROR(__xludf.DUMMYFUNCTION("IFS(
  AND(REGEXMATCH(E12227, ""台銀籌備帳戶|玉山帳戶""), REGEXMATCH(C12227, ""薪資"")), ""分潤支出"",
  AND(REGEXMATCH(E12227, ""Ben帳戶|Elsa帳戶|Ben代墊|Ariel代墊|中信銀行共用""), REGEXMATCH(F12227, ""Ben帳戶|Elsa帳戶|Ben代墊|Ariel代墊|中信銀行共用"")), ""內部轉帳(忽略)"",
  AND(E12227&lt;&gt;"""", F12227&lt;&gt;"&amp;""""", NOT(REGEXMATCH(C12227, ""薪資""))), ""內部轉帳(忽略)"",
  REGEXMATCH(C12227, ""薪資""), ""薪資變動(不計入)"",
  REGEXMATCH(C12227, ""押金""), ""押金往來"",
  AND(E12227&lt;&gt;"""", F12227=""""), ""真實支出"",
  AND(E12227="""", F12227&lt;&gt;""""), ""真實收入"",
  TRUE, ""其他""
)"),"其他")</f>
        <v>其他</v>
      </c>
      <c r="K12227" s="270" t="str">
        <f t="shared" si="2"/>
        <v/>
      </c>
      <c r="L12227">
        <f t="shared" si="3"/>
        <v>0</v>
      </c>
    </row>
    <row r="12228">
      <c r="A12228" s="107"/>
      <c r="D12228" s="270"/>
      <c r="H12228" s="106" t="str">
        <f t="shared" si="1"/>
        <v/>
      </c>
      <c r="J12228" t="str">
        <f>IFERROR(__xludf.DUMMYFUNCTION("IFS(
  AND(REGEXMATCH(E12228, ""台銀籌備帳戶|玉山帳戶""), REGEXMATCH(C12228, ""薪資"")), ""分潤支出"",
  AND(REGEXMATCH(E12228, ""Ben帳戶|Elsa帳戶|Ben代墊|Ariel代墊|中信銀行共用""), REGEXMATCH(F12228, ""Ben帳戶|Elsa帳戶|Ben代墊|Ariel代墊|中信銀行共用"")), ""內部轉帳(忽略)"",
  AND(E12228&lt;&gt;"""", F12228&lt;&gt;"&amp;""""", NOT(REGEXMATCH(C12228, ""薪資""))), ""內部轉帳(忽略)"",
  REGEXMATCH(C12228, ""薪資""), ""薪資變動(不計入)"",
  REGEXMATCH(C12228, ""押金""), ""押金往來"",
  AND(E12228&lt;&gt;"""", F12228=""""), ""真實支出"",
  AND(E12228="""", F12228&lt;&gt;""""), ""真實收入"",
  TRUE, ""其他""
)"),"其他")</f>
        <v>其他</v>
      </c>
      <c r="K12228" s="270" t="str">
        <f t="shared" si="2"/>
        <v/>
      </c>
      <c r="L12228">
        <f t="shared" si="3"/>
        <v>0</v>
      </c>
    </row>
    <row r="12229">
      <c r="A12229" s="107"/>
      <c r="D12229" s="270"/>
      <c r="H12229" s="106" t="str">
        <f t="shared" si="1"/>
        <v/>
      </c>
      <c r="J12229" t="str">
        <f>IFERROR(__xludf.DUMMYFUNCTION("IFS(
  AND(REGEXMATCH(E12229, ""台銀籌備帳戶|玉山帳戶""), REGEXMATCH(C12229, ""薪資"")), ""分潤支出"",
  AND(REGEXMATCH(E12229, ""Ben帳戶|Elsa帳戶|Ben代墊|Ariel代墊|中信銀行共用""), REGEXMATCH(F12229, ""Ben帳戶|Elsa帳戶|Ben代墊|Ariel代墊|中信銀行共用"")), ""內部轉帳(忽略)"",
  AND(E12229&lt;&gt;"""", F12229&lt;&gt;"&amp;""""", NOT(REGEXMATCH(C12229, ""薪資""))), ""內部轉帳(忽略)"",
  REGEXMATCH(C12229, ""薪資""), ""薪資變動(不計入)"",
  REGEXMATCH(C12229, ""押金""), ""押金往來"",
  AND(E12229&lt;&gt;"""", F12229=""""), ""真實支出"",
  AND(E12229="""", F12229&lt;&gt;""""), ""真實收入"",
  TRUE, ""其他""
)"),"其他")</f>
        <v>其他</v>
      </c>
      <c r="K12229" s="270" t="str">
        <f t="shared" si="2"/>
        <v/>
      </c>
      <c r="L12229">
        <f t="shared" si="3"/>
        <v>0</v>
      </c>
    </row>
    <row r="12230">
      <c r="A12230" s="107"/>
      <c r="D12230" s="270"/>
      <c r="H12230" s="106" t="str">
        <f t="shared" si="1"/>
        <v/>
      </c>
      <c r="J12230" t="str">
        <f>IFERROR(__xludf.DUMMYFUNCTION("IFS(
  AND(REGEXMATCH(E12230, ""台銀籌備帳戶|玉山帳戶""), REGEXMATCH(C12230, ""薪資"")), ""分潤支出"",
  AND(REGEXMATCH(E12230, ""Ben帳戶|Elsa帳戶|Ben代墊|Ariel代墊|中信銀行共用""), REGEXMATCH(F12230, ""Ben帳戶|Elsa帳戶|Ben代墊|Ariel代墊|中信銀行共用"")), ""內部轉帳(忽略)"",
  AND(E12230&lt;&gt;"""", F12230&lt;&gt;"&amp;""""", NOT(REGEXMATCH(C12230, ""薪資""))), ""內部轉帳(忽略)"",
  REGEXMATCH(C12230, ""薪資""), ""薪資變動(不計入)"",
  REGEXMATCH(C12230, ""押金""), ""押金往來"",
  AND(E12230&lt;&gt;"""", F12230=""""), ""真實支出"",
  AND(E12230="""", F12230&lt;&gt;""""), ""真實收入"",
  TRUE, ""其他""
)"),"其他")</f>
        <v>其他</v>
      </c>
      <c r="K12230" s="270" t="str">
        <f t="shared" si="2"/>
        <v/>
      </c>
      <c r="L12230">
        <f t="shared" si="3"/>
        <v>0</v>
      </c>
    </row>
    <row r="12231">
      <c r="A12231" s="107"/>
      <c r="D12231" s="270"/>
      <c r="H12231" s="106" t="str">
        <f t="shared" si="1"/>
        <v/>
      </c>
      <c r="J12231" t="str">
        <f>IFERROR(__xludf.DUMMYFUNCTION("IFS(
  AND(REGEXMATCH(E12231, ""台銀籌備帳戶|玉山帳戶""), REGEXMATCH(C12231, ""薪資"")), ""分潤支出"",
  AND(REGEXMATCH(E12231, ""Ben帳戶|Elsa帳戶|Ben代墊|Ariel代墊|中信銀行共用""), REGEXMATCH(F12231, ""Ben帳戶|Elsa帳戶|Ben代墊|Ariel代墊|中信銀行共用"")), ""內部轉帳(忽略)"",
  AND(E12231&lt;&gt;"""", F12231&lt;&gt;"&amp;""""", NOT(REGEXMATCH(C12231, ""薪資""))), ""內部轉帳(忽略)"",
  REGEXMATCH(C12231, ""薪資""), ""薪資變動(不計入)"",
  REGEXMATCH(C12231, ""押金""), ""押金往來"",
  AND(E12231&lt;&gt;"""", F12231=""""), ""真實支出"",
  AND(E12231="""", F12231&lt;&gt;""""), ""真實收入"",
  TRUE, ""其他""
)"),"其他")</f>
        <v>其他</v>
      </c>
      <c r="K12231" s="270" t="str">
        <f t="shared" si="2"/>
        <v/>
      </c>
      <c r="L12231">
        <f t="shared" si="3"/>
        <v>0</v>
      </c>
    </row>
    <row r="12232">
      <c r="A12232" s="107"/>
      <c r="D12232" s="270"/>
      <c r="H12232" s="106" t="str">
        <f t="shared" si="1"/>
        <v/>
      </c>
      <c r="J12232" t="str">
        <f>IFERROR(__xludf.DUMMYFUNCTION("IFS(
  AND(REGEXMATCH(E12232, ""台銀籌備帳戶|玉山帳戶""), REGEXMATCH(C12232, ""薪資"")), ""分潤支出"",
  AND(REGEXMATCH(E12232, ""Ben帳戶|Elsa帳戶|Ben代墊|Ariel代墊|中信銀行共用""), REGEXMATCH(F12232, ""Ben帳戶|Elsa帳戶|Ben代墊|Ariel代墊|中信銀行共用"")), ""內部轉帳(忽略)"",
  AND(E12232&lt;&gt;"""", F12232&lt;&gt;"&amp;""""", NOT(REGEXMATCH(C12232, ""薪資""))), ""內部轉帳(忽略)"",
  REGEXMATCH(C12232, ""薪資""), ""薪資變動(不計入)"",
  REGEXMATCH(C12232, ""押金""), ""押金往來"",
  AND(E12232&lt;&gt;"""", F12232=""""), ""真實支出"",
  AND(E12232="""", F12232&lt;&gt;""""), ""真實收入"",
  TRUE, ""其他""
)"),"其他")</f>
        <v>其他</v>
      </c>
      <c r="K12232" s="270" t="str">
        <f t="shared" si="2"/>
        <v/>
      </c>
      <c r="L12232">
        <f t="shared" si="3"/>
        <v>0</v>
      </c>
    </row>
    <row r="12233">
      <c r="A12233" s="107"/>
      <c r="D12233" s="270"/>
      <c r="H12233" s="106" t="str">
        <f t="shared" si="1"/>
        <v/>
      </c>
      <c r="J12233" t="str">
        <f>IFERROR(__xludf.DUMMYFUNCTION("IFS(
  AND(REGEXMATCH(E12233, ""台銀籌備帳戶|玉山帳戶""), REGEXMATCH(C12233, ""薪資"")), ""分潤支出"",
  AND(REGEXMATCH(E12233, ""Ben帳戶|Elsa帳戶|Ben代墊|Ariel代墊|中信銀行共用""), REGEXMATCH(F12233, ""Ben帳戶|Elsa帳戶|Ben代墊|Ariel代墊|中信銀行共用"")), ""內部轉帳(忽略)"",
  AND(E12233&lt;&gt;"""", F12233&lt;&gt;"&amp;""""", NOT(REGEXMATCH(C12233, ""薪資""))), ""內部轉帳(忽略)"",
  REGEXMATCH(C12233, ""薪資""), ""薪資變動(不計入)"",
  REGEXMATCH(C12233, ""押金""), ""押金往來"",
  AND(E12233&lt;&gt;"""", F12233=""""), ""真實支出"",
  AND(E12233="""", F12233&lt;&gt;""""), ""真實收入"",
  TRUE, ""其他""
)"),"其他")</f>
        <v>其他</v>
      </c>
      <c r="K12233" s="270" t="str">
        <f t="shared" si="2"/>
        <v/>
      </c>
      <c r="L12233">
        <f t="shared" si="3"/>
        <v>0</v>
      </c>
    </row>
    <row r="12234">
      <c r="A12234" s="107"/>
      <c r="D12234" s="270"/>
      <c r="H12234" s="106" t="str">
        <f t="shared" si="1"/>
        <v/>
      </c>
      <c r="J12234" t="str">
        <f>IFERROR(__xludf.DUMMYFUNCTION("IFS(
  AND(REGEXMATCH(E12234, ""台銀籌備帳戶|玉山帳戶""), REGEXMATCH(C12234, ""薪資"")), ""分潤支出"",
  AND(REGEXMATCH(E12234, ""Ben帳戶|Elsa帳戶|Ben代墊|Ariel代墊|中信銀行共用""), REGEXMATCH(F12234, ""Ben帳戶|Elsa帳戶|Ben代墊|Ariel代墊|中信銀行共用"")), ""內部轉帳(忽略)"",
  AND(E12234&lt;&gt;"""", F12234&lt;&gt;"&amp;""""", NOT(REGEXMATCH(C12234, ""薪資""))), ""內部轉帳(忽略)"",
  REGEXMATCH(C12234, ""薪資""), ""薪資變動(不計入)"",
  REGEXMATCH(C12234, ""押金""), ""押金往來"",
  AND(E12234&lt;&gt;"""", F12234=""""), ""真實支出"",
  AND(E12234="""", F12234&lt;&gt;""""), ""真實收入"",
  TRUE, ""其他""
)"),"其他")</f>
        <v>其他</v>
      </c>
      <c r="K12234" s="270" t="str">
        <f t="shared" si="2"/>
        <v/>
      </c>
      <c r="L12234">
        <f t="shared" si="3"/>
        <v>0</v>
      </c>
    </row>
    <row r="12235">
      <c r="A12235" s="107"/>
      <c r="D12235" s="270"/>
      <c r="H12235" s="106" t="str">
        <f t="shared" si="1"/>
        <v/>
      </c>
      <c r="J12235" t="str">
        <f>IFERROR(__xludf.DUMMYFUNCTION("IFS(
  AND(REGEXMATCH(E12235, ""台銀籌備帳戶|玉山帳戶""), REGEXMATCH(C12235, ""薪資"")), ""分潤支出"",
  AND(REGEXMATCH(E12235, ""Ben帳戶|Elsa帳戶|Ben代墊|Ariel代墊|中信銀行共用""), REGEXMATCH(F12235, ""Ben帳戶|Elsa帳戶|Ben代墊|Ariel代墊|中信銀行共用"")), ""內部轉帳(忽略)"",
  AND(E12235&lt;&gt;"""", F12235&lt;&gt;"&amp;""""", NOT(REGEXMATCH(C12235, ""薪資""))), ""內部轉帳(忽略)"",
  REGEXMATCH(C12235, ""薪資""), ""薪資變動(不計入)"",
  REGEXMATCH(C12235, ""押金""), ""押金往來"",
  AND(E12235&lt;&gt;"""", F12235=""""), ""真實支出"",
  AND(E12235="""", F12235&lt;&gt;""""), ""真實收入"",
  TRUE, ""其他""
)"),"其他")</f>
        <v>其他</v>
      </c>
      <c r="K12235" s="270" t="str">
        <f t="shared" si="2"/>
        <v/>
      </c>
      <c r="L12235">
        <f t="shared" si="3"/>
        <v>0</v>
      </c>
    </row>
    <row r="12236">
      <c r="A12236" s="107"/>
      <c r="D12236" s="270"/>
      <c r="H12236" s="106" t="str">
        <f t="shared" si="1"/>
        <v/>
      </c>
      <c r="J12236" t="str">
        <f>IFERROR(__xludf.DUMMYFUNCTION("IFS(
  AND(REGEXMATCH(E12236, ""台銀籌備帳戶|玉山帳戶""), REGEXMATCH(C12236, ""薪資"")), ""分潤支出"",
  AND(REGEXMATCH(E12236, ""Ben帳戶|Elsa帳戶|Ben代墊|Ariel代墊|中信銀行共用""), REGEXMATCH(F12236, ""Ben帳戶|Elsa帳戶|Ben代墊|Ariel代墊|中信銀行共用"")), ""內部轉帳(忽略)"",
  AND(E12236&lt;&gt;"""", F12236&lt;&gt;"&amp;""""", NOT(REGEXMATCH(C12236, ""薪資""))), ""內部轉帳(忽略)"",
  REGEXMATCH(C12236, ""薪資""), ""薪資變動(不計入)"",
  REGEXMATCH(C12236, ""押金""), ""押金往來"",
  AND(E12236&lt;&gt;"""", F12236=""""), ""真實支出"",
  AND(E12236="""", F12236&lt;&gt;""""), ""真實收入"",
  TRUE, ""其他""
)"),"其他")</f>
        <v>其他</v>
      </c>
      <c r="K12236" s="270" t="str">
        <f t="shared" si="2"/>
        <v/>
      </c>
      <c r="L12236">
        <f t="shared" si="3"/>
        <v>0</v>
      </c>
    </row>
    <row r="12237">
      <c r="A12237" s="107"/>
      <c r="D12237" s="270"/>
      <c r="H12237" s="106" t="str">
        <f t="shared" si="1"/>
        <v/>
      </c>
      <c r="J12237" t="str">
        <f>IFERROR(__xludf.DUMMYFUNCTION("IFS(
  AND(REGEXMATCH(E12237, ""台銀籌備帳戶|玉山帳戶""), REGEXMATCH(C12237, ""薪資"")), ""分潤支出"",
  AND(REGEXMATCH(E12237, ""Ben帳戶|Elsa帳戶|Ben代墊|Ariel代墊|中信銀行共用""), REGEXMATCH(F12237, ""Ben帳戶|Elsa帳戶|Ben代墊|Ariel代墊|中信銀行共用"")), ""內部轉帳(忽略)"",
  AND(E12237&lt;&gt;"""", F12237&lt;&gt;"&amp;""""", NOT(REGEXMATCH(C12237, ""薪資""))), ""內部轉帳(忽略)"",
  REGEXMATCH(C12237, ""薪資""), ""薪資變動(不計入)"",
  REGEXMATCH(C12237, ""押金""), ""押金往來"",
  AND(E12237&lt;&gt;"""", F12237=""""), ""真實支出"",
  AND(E12237="""", F12237&lt;&gt;""""), ""真實收入"",
  TRUE, ""其他""
)"),"其他")</f>
        <v>其他</v>
      </c>
      <c r="K12237" s="270" t="str">
        <f t="shared" si="2"/>
        <v/>
      </c>
      <c r="L12237">
        <f t="shared" si="3"/>
        <v>0</v>
      </c>
    </row>
    <row r="12238">
      <c r="A12238" s="107"/>
      <c r="D12238" s="270"/>
      <c r="H12238" s="106" t="str">
        <f t="shared" si="1"/>
        <v/>
      </c>
      <c r="J12238" t="str">
        <f>IFERROR(__xludf.DUMMYFUNCTION("IFS(
  AND(REGEXMATCH(E12238, ""台銀籌備帳戶|玉山帳戶""), REGEXMATCH(C12238, ""薪資"")), ""分潤支出"",
  AND(REGEXMATCH(E12238, ""Ben帳戶|Elsa帳戶|Ben代墊|Ariel代墊|中信銀行共用""), REGEXMATCH(F12238, ""Ben帳戶|Elsa帳戶|Ben代墊|Ariel代墊|中信銀行共用"")), ""內部轉帳(忽略)"",
  AND(E12238&lt;&gt;"""", F12238&lt;&gt;"&amp;""""", NOT(REGEXMATCH(C12238, ""薪資""))), ""內部轉帳(忽略)"",
  REGEXMATCH(C12238, ""薪資""), ""薪資變動(不計入)"",
  REGEXMATCH(C12238, ""押金""), ""押金往來"",
  AND(E12238&lt;&gt;"""", F12238=""""), ""真實支出"",
  AND(E12238="""", F12238&lt;&gt;""""), ""真實收入"",
  TRUE, ""其他""
)"),"其他")</f>
        <v>其他</v>
      </c>
      <c r="K12238" s="270" t="str">
        <f t="shared" si="2"/>
        <v/>
      </c>
      <c r="L12238">
        <f t="shared" si="3"/>
        <v>0</v>
      </c>
    </row>
    <row r="12239">
      <c r="A12239" s="107"/>
      <c r="D12239" s="270"/>
      <c r="H12239" s="106" t="str">
        <f t="shared" si="1"/>
        <v/>
      </c>
      <c r="J12239" t="str">
        <f>IFERROR(__xludf.DUMMYFUNCTION("IFS(
  AND(REGEXMATCH(E12239, ""台銀籌備帳戶|玉山帳戶""), REGEXMATCH(C12239, ""薪資"")), ""分潤支出"",
  AND(REGEXMATCH(E12239, ""Ben帳戶|Elsa帳戶|Ben代墊|Ariel代墊|中信銀行共用""), REGEXMATCH(F12239, ""Ben帳戶|Elsa帳戶|Ben代墊|Ariel代墊|中信銀行共用"")), ""內部轉帳(忽略)"",
  AND(E12239&lt;&gt;"""", F12239&lt;&gt;"&amp;""""", NOT(REGEXMATCH(C12239, ""薪資""))), ""內部轉帳(忽略)"",
  REGEXMATCH(C12239, ""薪資""), ""薪資變動(不計入)"",
  REGEXMATCH(C12239, ""押金""), ""押金往來"",
  AND(E12239&lt;&gt;"""", F12239=""""), ""真實支出"",
  AND(E12239="""", F12239&lt;&gt;""""), ""真實收入"",
  TRUE, ""其他""
)"),"其他")</f>
        <v>其他</v>
      </c>
      <c r="K12239" s="270" t="str">
        <f t="shared" si="2"/>
        <v/>
      </c>
      <c r="L12239">
        <f t="shared" si="3"/>
        <v>0</v>
      </c>
    </row>
    <row r="12240">
      <c r="A12240" s="107"/>
      <c r="D12240" s="270"/>
      <c r="H12240" s="106" t="str">
        <f t="shared" si="1"/>
        <v/>
      </c>
      <c r="J12240" t="str">
        <f>IFERROR(__xludf.DUMMYFUNCTION("IFS(
  AND(REGEXMATCH(E12240, ""台銀籌備帳戶|玉山帳戶""), REGEXMATCH(C12240, ""薪資"")), ""分潤支出"",
  AND(REGEXMATCH(E12240, ""Ben帳戶|Elsa帳戶|Ben代墊|Ariel代墊|中信銀行共用""), REGEXMATCH(F12240, ""Ben帳戶|Elsa帳戶|Ben代墊|Ariel代墊|中信銀行共用"")), ""內部轉帳(忽略)"",
  AND(E12240&lt;&gt;"""", F12240&lt;&gt;"&amp;""""", NOT(REGEXMATCH(C12240, ""薪資""))), ""內部轉帳(忽略)"",
  REGEXMATCH(C12240, ""薪資""), ""薪資變動(不計入)"",
  REGEXMATCH(C12240, ""押金""), ""押金往來"",
  AND(E12240&lt;&gt;"""", F12240=""""), ""真實支出"",
  AND(E12240="""", F12240&lt;&gt;""""), ""真實收入"",
  TRUE, ""其他""
)"),"其他")</f>
        <v>其他</v>
      </c>
      <c r="K12240" s="270" t="str">
        <f t="shared" si="2"/>
        <v/>
      </c>
      <c r="L12240">
        <f t="shared" si="3"/>
        <v>0</v>
      </c>
    </row>
    <row r="12241">
      <c r="A12241" s="107"/>
      <c r="D12241" s="270"/>
      <c r="H12241" s="106" t="str">
        <f t="shared" si="1"/>
        <v/>
      </c>
      <c r="J12241" t="str">
        <f>IFERROR(__xludf.DUMMYFUNCTION("IFS(
  AND(REGEXMATCH(E12241, ""台銀籌備帳戶|玉山帳戶""), REGEXMATCH(C12241, ""薪資"")), ""分潤支出"",
  AND(REGEXMATCH(E12241, ""Ben帳戶|Elsa帳戶|Ben代墊|Ariel代墊|中信銀行共用""), REGEXMATCH(F12241, ""Ben帳戶|Elsa帳戶|Ben代墊|Ariel代墊|中信銀行共用"")), ""內部轉帳(忽略)"",
  AND(E12241&lt;&gt;"""", F12241&lt;&gt;"&amp;""""", NOT(REGEXMATCH(C12241, ""薪資""))), ""內部轉帳(忽略)"",
  REGEXMATCH(C12241, ""薪資""), ""薪資變動(不計入)"",
  REGEXMATCH(C12241, ""押金""), ""押金往來"",
  AND(E12241&lt;&gt;"""", F12241=""""), ""真實支出"",
  AND(E12241="""", F12241&lt;&gt;""""), ""真實收入"",
  TRUE, ""其他""
)"),"其他")</f>
        <v>其他</v>
      </c>
      <c r="K12241" s="270" t="str">
        <f t="shared" si="2"/>
        <v/>
      </c>
      <c r="L12241">
        <f t="shared" si="3"/>
        <v>0</v>
      </c>
    </row>
    <row r="12242">
      <c r="A12242" s="107"/>
      <c r="D12242" s="270"/>
      <c r="H12242" s="106" t="str">
        <f t="shared" si="1"/>
        <v/>
      </c>
      <c r="J12242" t="str">
        <f>IFERROR(__xludf.DUMMYFUNCTION("IFS(
  AND(REGEXMATCH(E12242, ""台銀籌備帳戶|玉山帳戶""), REGEXMATCH(C12242, ""薪資"")), ""分潤支出"",
  AND(REGEXMATCH(E12242, ""Ben帳戶|Elsa帳戶|Ben代墊|Ariel代墊|中信銀行共用""), REGEXMATCH(F12242, ""Ben帳戶|Elsa帳戶|Ben代墊|Ariel代墊|中信銀行共用"")), ""內部轉帳(忽略)"",
  AND(E12242&lt;&gt;"""", F12242&lt;&gt;"&amp;""""", NOT(REGEXMATCH(C12242, ""薪資""))), ""內部轉帳(忽略)"",
  REGEXMATCH(C12242, ""薪資""), ""薪資變動(不計入)"",
  REGEXMATCH(C12242, ""押金""), ""押金往來"",
  AND(E12242&lt;&gt;"""", F12242=""""), ""真實支出"",
  AND(E12242="""", F12242&lt;&gt;""""), ""真實收入"",
  TRUE, ""其他""
)"),"其他")</f>
        <v>其他</v>
      </c>
      <c r="K12242" s="270" t="str">
        <f t="shared" si="2"/>
        <v/>
      </c>
      <c r="L12242">
        <f t="shared" si="3"/>
        <v>0</v>
      </c>
    </row>
    <row r="12243">
      <c r="A12243" s="107"/>
      <c r="D12243" s="270"/>
      <c r="H12243" s="106" t="str">
        <f t="shared" si="1"/>
        <v/>
      </c>
      <c r="J12243" t="str">
        <f>IFERROR(__xludf.DUMMYFUNCTION("IFS(
  AND(REGEXMATCH(E12243, ""台銀籌備帳戶|玉山帳戶""), REGEXMATCH(C12243, ""薪資"")), ""分潤支出"",
  AND(REGEXMATCH(E12243, ""Ben帳戶|Elsa帳戶|Ben代墊|Ariel代墊|中信銀行共用""), REGEXMATCH(F12243, ""Ben帳戶|Elsa帳戶|Ben代墊|Ariel代墊|中信銀行共用"")), ""內部轉帳(忽略)"",
  AND(E12243&lt;&gt;"""", F12243&lt;&gt;"&amp;""""", NOT(REGEXMATCH(C12243, ""薪資""))), ""內部轉帳(忽略)"",
  REGEXMATCH(C12243, ""薪資""), ""薪資變動(不計入)"",
  REGEXMATCH(C12243, ""押金""), ""押金往來"",
  AND(E12243&lt;&gt;"""", F12243=""""), ""真實支出"",
  AND(E12243="""", F12243&lt;&gt;""""), ""真實收入"",
  TRUE, ""其他""
)"),"其他")</f>
        <v>其他</v>
      </c>
      <c r="K12243" s="270" t="str">
        <f t="shared" si="2"/>
        <v/>
      </c>
      <c r="L12243">
        <f t="shared" si="3"/>
        <v>0</v>
      </c>
    </row>
    <row r="12244">
      <c r="A12244" s="107"/>
      <c r="D12244" s="270"/>
      <c r="H12244" s="106" t="str">
        <f t="shared" si="1"/>
        <v/>
      </c>
      <c r="J12244" t="str">
        <f>IFERROR(__xludf.DUMMYFUNCTION("IFS(
  AND(REGEXMATCH(E12244, ""台銀籌備帳戶|玉山帳戶""), REGEXMATCH(C12244, ""薪資"")), ""分潤支出"",
  AND(REGEXMATCH(E12244, ""Ben帳戶|Elsa帳戶|Ben代墊|Ariel代墊|中信銀行共用""), REGEXMATCH(F12244, ""Ben帳戶|Elsa帳戶|Ben代墊|Ariel代墊|中信銀行共用"")), ""內部轉帳(忽略)"",
  AND(E12244&lt;&gt;"""", F12244&lt;&gt;"&amp;""""", NOT(REGEXMATCH(C12244, ""薪資""))), ""內部轉帳(忽略)"",
  REGEXMATCH(C12244, ""薪資""), ""薪資變動(不計入)"",
  REGEXMATCH(C12244, ""押金""), ""押金往來"",
  AND(E12244&lt;&gt;"""", F12244=""""), ""真實支出"",
  AND(E12244="""", F12244&lt;&gt;""""), ""真實收入"",
  TRUE, ""其他""
)"),"其他")</f>
        <v>其他</v>
      </c>
      <c r="K12244" s="270" t="str">
        <f t="shared" si="2"/>
        <v/>
      </c>
      <c r="L12244">
        <f t="shared" si="3"/>
        <v>0</v>
      </c>
    </row>
    <row r="12245">
      <c r="A12245" s="107"/>
      <c r="D12245" s="270"/>
      <c r="H12245" s="106" t="str">
        <f t="shared" si="1"/>
        <v/>
      </c>
      <c r="J12245" t="str">
        <f>IFERROR(__xludf.DUMMYFUNCTION("IFS(
  AND(REGEXMATCH(E12245, ""台銀籌備帳戶|玉山帳戶""), REGEXMATCH(C12245, ""薪資"")), ""分潤支出"",
  AND(REGEXMATCH(E12245, ""Ben帳戶|Elsa帳戶|Ben代墊|Ariel代墊|中信銀行共用""), REGEXMATCH(F12245, ""Ben帳戶|Elsa帳戶|Ben代墊|Ariel代墊|中信銀行共用"")), ""內部轉帳(忽略)"",
  AND(E12245&lt;&gt;"""", F12245&lt;&gt;"&amp;""""", NOT(REGEXMATCH(C12245, ""薪資""))), ""內部轉帳(忽略)"",
  REGEXMATCH(C12245, ""薪資""), ""薪資變動(不計入)"",
  REGEXMATCH(C12245, ""押金""), ""押金往來"",
  AND(E12245&lt;&gt;"""", F12245=""""), ""真實支出"",
  AND(E12245="""", F12245&lt;&gt;""""), ""真實收入"",
  TRUE, ""其他""
)"),"其他")</f>
        <v>其他</v>
      </c>
      <c r="K12245" s="270" t="str">
        <f t="shared" si="2"/>
        <v/>
      </c>
      <c r="L12245">
        <f t="shared" si="3"/>
        <v>0</v>
      </c>
    </row>
    <row r="12246">
      <c r="A12246" s="107"/>
      <c r="D12246" s="270"/>
      <c r="H12246" s="106" t="str">
        <f t="shared" si="1"/>
        <v/>
      </c>
      <c r="J12246" t="str">
        <f>IFERROR(__xludf.DUMMYFUNCTION("IFS(
  AND(REGEXMATCH(E12246, ""台銀籌備帳戶|玉山帳戶""), REGEXMATCH(C12246, ""薪資"")), ""分潤支出"",
  AND(REGEXMATCH(E12246, ""Ben帳戶|Elsa帳戶|Ben代墊|Ariel代墊|中信銀行共用""), REGEXMATCH(F12246, ""Ben帳戶|Elsa帳戶|Ben代墊|Ariel代墊|中信銀行共用"")), ""內部轉帳(忽略)"",
  AND(E12246&lt;&gt;"""", F12246&lt;&gt;"&amp;""""", NOT(REGEXMATCH(C12246, ""薪資""))), ""內部轉帳(忽略)"",
  REGEXMATCH(C12246, ""薪資""), ""薪資變動(不計入)"",
  REGEXMATCH(C12246, ""押金""), ""押金往來"",
  AND(E12246&lt;&gt;"""", F12246=""""), ""真實支出"",
  AND(E12246="""", F12246&lt;&gt;""""), ""真實收入"",
  TRUE, ""其他""
)"),"其他")</f>
        <v>其他</v>
      </c>
      <c r="K12246" s="270" t="str">
        <f t="shared" si="2"/>
        <v/>
      </c>
      <c r="L12246">
        <f t="shared" si="3"/>
        <v>0</v>
      </c>
    </row>
    <row r="12247">
      <c r="A12247" s="107"/>
      <c r="D12247" s="270"/>
      <c r="H12247" s="106" t="str">
        <f t="shared" si="1"/>
        <v/>
      </c>
      <c r="J12247" t="str">
        <f>IFERROR(__xludf.DUMMYFUNCTION("IFS(
  AND(REGEXMATCH(E12247, ""台銀籌備帳戶|玉山帳戶""), REGEXMATCH(C12247, ""薪資"")), ""分潤支出"",
  AND(REGEXMATCH(E12247, ""Ben帳戶|Elsa帳戶|Ben代墊|Ariel代墊|中信銀行共用""), REGEXMATCH(F12247, ""Ben帳戶|Elsa帳戶|Ben代墊|Ariel代墊|中信銀行共用"")), ""內部轉帳(忽略)"",
  AND(E12247&lt;&gt;"""", F12247&lt;&gt;"&amp;""""", NOT(REGEXMATCH(C12247, ""薪資""))), ""內部轉帳(忽略)"",
  REGEXMATCH(C12247, ""薪資""), ""薪資變動(不計入)"",
  REGEXMATCH(C12247, ""押金""), ""押金往來"",
  AND(E12247&lt;&gt;"""", F12247=""""), ""真實支出"",
  AND(E12247="""", F12247&lt;&gt;""""), ""真實收入"",
  TRUE, ""其他""
)"),"其他")</f>
        <v>其他</v>
      </c>
      <c r="K12247" s="270" t="str">
        <f t="shared" si="2"/>
        <v/>
      </c>
      <c r="L12247">
        <f t="shared" si="3"/>
        <v>0</v>
      </c>
    </row>
    <row r="12248">
      <c r="A12248" s="107"/>
      <c r="D12248" s="270"/>
      <c r="H12248" s="106" t="str">
        <f t="shared" si="1"/>
        <v/>
      </c>
      <c r="J12248" t="str">
        <f>IFERROR(__xludf.DUMMYFUNCTION("IFS(
  AND(REGEXMATCH(E12248, ""台銀籌備帳戶|玉山帳戶""), REGEXMATCH(C12248, ""薪資"")), ""分潤支出"",
  AND(REGEXMATCH(E12248, ""Ben帳戶|Elsa帳戶|Ben代墊|Ariel代墊|中信銀行共用""), REGEXMATCH(F12248, ""Ben帳戶|Elsa帳戶|Ben代墊|Ariel代墊|中信銀行共用"")), ""內部轉帳(忽略)"",
  AND(E12248&lt;&gt;"""", F12248&lt;&gt;"&amp;""""", NOT(REGEXMATCH(C12248, ""薪資""))), ""內部轉帳(忽略)"",
  REGEXMATCH(C12248, ""薪資""), ""薪資變動(不計入)"",
  REGEXMATCH(C12248, ""押金""), ""押金往來"",
  AND(E12248&lt;&gt;"""", F12248=""""), ""真實支出"",
  AND(E12248="""", F12248&lt;&gt;""""), ""真實收入"",
  TRUE, ""其他""
)"),"其他")</f>
        <v>其他</v>
      </c>
      <c r="K12248" s="270" t="str">
        <f t="shared" si="2"/>
        <v/>
      </c>
      <c r="L12248">
        <f t="shared" si="3"/>
        <v>0</v>
      </c>
    </row>
    <row r="12249">
      <c r="A12249" s="107"/>
      <c r="D12249" s="270"/>
      <c r="H12249" s="106" t="str">
        <f t="shared" si="1"/>
        <v/>
      </c>
      <c r="J12249" t="str">
        <f>IFERROR(__xludf.DUMMYFUNCTION("IFS(
  AND(REGEXMATCH(E12249, ""台銀籌備帳戶|玉山帳戶""), REGEXMATCH(C12249, ""薪資"")), ""分潤支出"",
  AND(REGEXMATCH(E12249, ""Ben帳戶|Elsa帳戶|Ben代墊|Ariel代墊|中信銀行共用""), REGEXMATCH(F12249, ""Ben帳戶|Elsa帳戶|Ben代墊|Ariel代墊|中信銀行共用"")), ""內部轉帳(忽略)"",
  AND(E12249&lt;&gt;"""", F12249&lt;&gt;"&amp;""""", NOT(REGEXMATCH(C12249, ""薪資""))), ""內部轉帳(忽略)"",
  REGEXMATCH(C12249, ""薪資""), ""薪資變動(不計入)"",
  REGEXMATCH(C12249, ""押金""), ""押金往來"",
  AND(E12249&lt;&gt;"""", F12249=""""), ""真實支出"",
  AND(E12249="""", F12249&lt;&gt;""""), ""真實收入"",
  TRUE, ""其他""
)"),"其他")</f>
        <v>其他</v>
      </c>
      <c r="K12249" s="270" t="str">
        <f t="shared" si="2"/>
        <v/>
      </c>
      <c r="L12249">
        <f t="shared" si="3"/>
        <v>0</v>
      </c>
    </row>
    <row r="12250">
      <c r="A12250" s="107"/>
      <c r="D12250" s="270"/>
      <c r="H12250" s="106" t="str">
        <f t="shared" si="1"/>
        <v/>
      </c>
      <c r="J12250" t="str">
        <f>IFERROR(__xludf.DUMMYFUNCTION("IFS(
  AND(REGEXMATCH(E12250, ""台銀籌備帳戶|玉山帳戶""), REGEXMATCH(C12250, ""薪資"")), ""分潤支出"",
  AND(REGEXMATCH(E12250, ""Ben帳戶|Elsa帳戶|Ben代墊|Ariel代墊|中信銀行共用""), REGEXMATCH(F12250, ""Ben帳戶|Elsa帳戶|Ben代墊|Ariel代墊|中信銀行共用"")), ""內部轉帳(忽略)"",
  AND(E12250&lt;&gt;"""", F12250&lt;&gt;"&amp;""""", NOT(REGEXMATCH(C12250, ""薪資""))), ""內部轉帳(忽略)"",
  REGEXMATCH(C12250, ""薪資""), ""薪資變動(不計入)"",
  REGEXMATCH(C12250, ""押金""), ""押金往來"",
  AND(E12250&lt;&gt;"""", F12250=""""), ""真實支出"",
  AND(E12250="""", F12250&lt;&gt;""""), ""真實收入"",
  TRUE, ""其他""
)"),"其他")</f>
        <v>其他</v>
      </c>
      <c r="K12250" s="270" t="str">
        <f t="shared" si="2"/>
        <v/>
      </c>
      <c r="L12250">
        <f t="shared" si="3"/>
        <v>0</v>
      </c>
    </row>
    <row r="12251">
      <c r="A12251" s="107"/>
      <c r="D12251" s="270"/>
      <c r="H12251" s="106" t="str">
        <f t="shared" si="1"/>
        <v/>
      </c>
      <c r="J12251" t="str">
        <f>IFERROR(__xludf.DUMMYFUNCTION("IFS(
  AND(REGEXMATCH(E12251, ""台銀籌備帳戶|玉山帳戶""), REGEXMATCH(C12251, ""薪資"")), ""分潤支出"",
  AND(REGEXMATCH(E12251, ""Ben帳戶|Elsa帳戶|Ben代墊|Ariel代墊|中信銀行共用""), REGEXMATCH(F12251, ""Ben帳戶|Elsa帳戶|Ben代墊|Ariel代墊|中信銀行共用"")), ""內部轉帳(忽略)"",
  AND(E12251&lt;&gt;"""", F12251&lt;&gt;"&amp;""""", NOT(REGEXMATCH(C12251, ""薪資""))), ""內部轉帳(忽略)"",
  REGEXMATCH(C12251, ""薪資""), ""薪資變動(不計入)"",
  REGEXMATCH(C12251, ""押金""), ""押金往來"",
  AND(E12251&lt;&gt;"""", F12251=""""), ""真實支出"",
  AND(E12251="""", F12251&lt;&gt;""""), ""真實收入"",
  TRUE, ""其他""
)"),"其他")</f>
        <v>其他</v>
      </c>
      <c r="K12251" s="270" t="str">
        <f t="shared" si="2"/>
        <v/>
      </c>
      <c r="L12251">
        <f t="shared" si="3"/>
        <v>0</v>
      </c>
    </row>
    <row r="12252">
      <c r="A12252" s="107"/>
      <c r="D12252" s="270"/>
      <c r="H12252" s="106" t="str">
        <f t="shared" si="1"/>
        <v/>
      </c>
      <c r="J12252" t="str">
        <f>IFERROR(__xludf.DUMMYFUNCTION("IFS(
  AND(REGEXMATCH(E12252, ""台銀籌備帳戶|玉山帳戶""), REGEXMATCH(C12252, ""薪資"")), ""分潤支出"",
  AND(REGEXMATCH(E12252, ""Ben帳戶|Elsa帳戶|Ben代墊|Ariel代墊|中信銀行共用""), REGEXMATCH(F12252, ""Ben帳戶|Elsa帳戶|Ben代墊|Ariel代墊|中信銀行共用"")), ""內部轉帳(忽略)"",
  AND(E12252&lt;&gt;"""", F12252&lt;&gt;"&amp;""""", NOT(REGEXMATCH(C12252, ""薪資""))), ""內部轉帳(忽略)"",
  REGEXMATCH(C12252, ""薪資""), ""薪資變動(不計入)"",
  REGEXMATCH(C12252, ""押金""), ""押金往來"",
  AND(E12252&lt;&gt;"""", F12252=""""), ""真實支出"",
  AND(E12252="""", F12252&lt;&gt;""""), ""真實收入"",
  TRUE, ""其他""
)"),"其他")</f>
        <v>其他</v>
      </c>
      <c r="K12252" s="270" t="str">
        <f t="shared" si="2"/>
        <v/>
      </c>
      <c r="L12252">
        <f t="shared" si="3"/>
        <v>0</v>
      </c>
    </row>
    <row r="12253">
      <c r="A12253" s="107"/>
      <c r="D12253" s="270"/>
      <c r="H12253" s="106" t="str">
        <f t="shared" si="1"/>
        <v/>
      </c>
      <c r="J12253" t="str">
        <f>IFERROR(__xludf.DUMMYFUNCTION("IFS(
  AND(REGEXMATCH(E12253, ""台銀籌備帳戶|玉山帳戶""), REGEXMATCH(C12253, ""薪資"")), ""分潤支出"",
  AND(REGEXMATCH(E12253, ""Ben帳戶|Elsa帳戶|Ben代墊|Ariel代墊|中信銀行共用""), REGEXMATCH(F12253, ""Ben帳戶|Elsa帳戶|Ben代墊|Ariel代墊|中信銀行共用"")), ""內部轉帳(忽略)"",
  AND(E12253&lt;&gt;"""", F12253&lt;&gt;"&amp;""""", NOT(REGEXMATCH(C12253, ""薪資""))), ""內部轉帳(忽略)"",
  REGEXMATCH(C12253, ""薪資""), ""薪資變動(不計入)"",
  REGEXMATCH(C12253, ""押金""), ""押金往來"",
  AND(E12253&lt;&gt;"""", F12253=""""), ""真實支出"",
  AND(E12253="""", F12253&lt;&gt;""""), ""真實收入"",
  TRUE, ""其他""
)"),"其他")</f>
        <v>其他</v>
      </c>
      <c r="K12253" s="270" t="str">
        <f t="shared" si="2"/>
        <v/>
      </c>
      <c r="L12253">
        <f t="shared" si="3"/>
        <v>0</v>
      </c>
    </row>
    <row r="12254">
      <c r="A12254" s="107"/>
      <c r="D12254" s="270"/>
      <c r="H12254" s="106" t="str">
        <f t="shared" si="1"/>
        <v/>
      </c>
      <c r="J12254" t="str">
        <f>IFERROR(__xludf.DUMMYFUNCTION("IFS(
  AND(REGEXMATCH(E12254, ""台銀籌備帳戶|玉山帳戶""), REGEXMATCH(C12254, ""薪資"")), ""分潤支出"",
  AND(REGEXMATCH(E12254, ""Ben帳戶|Elsa帳戶|Ben代墊|Ariel代墊|中信銀行共用""), REGEXMATCH(F12254, ""Ben帳戶|Elsa帳戶|Ben代墊|Ariel代墊|中信銀行共用"")), ""內部轉帳(忽略)"",
  AND(E12254&lt;&gt;"""", F12254&lt;&gt;"&amp;""""", NOT(REGEXMATCH(C12254, ""薪資""))), ""內部轉帳(忽略)"",
  REGEXMATCH(C12254, ""薪資""), ""薪資變動(不計入)"",
  REGEXMATCH(C12254, ""押金""), ""押金往來"",
  AND(E12254&lt;&gt;"""", F12254=""""), ""真實支出"",
  AND(E12254="""", F12254&lt;&gt;""""), ""真實收入"",
  TRUE, ""其他""
)"),"其他")</f>
        <v>其他</v>
      </c>
      <c r="K12254" s="270" t="str">
        <f t="shared" si="2"/>
        <v/>
      </c>
      <c r="L12254">
        <f t="shared" si="3"/>
        <v>0</v>
      </c>
    </row>
    <row r="12255">
      <c r="A12255" s="107"/>
      <c r="D12255" s="270"/>
      <c r="H12255" s="106" t="str">
        <f t="shared" si="1"/>
        <v/>
      </c>
      <c r="J12255" t="str">
        <f>IFERROR(__xludf.DUMMYFUNCTION("IFS(
  AND(REGEXMATCH(E12255, ""台銀籌備帳戶|玉山帳戶""), REGEXMATCH(C12255, ""薪資"")), ""分潤支出"",
  AND(REGEXMATCH(E12255, ""Ben帳戶|Elsa帳戶|Ben代墊|Ariel代墊|中信銀行共用""), REGEXMATCH(F12255, ""Ben帳戶|Elsa帳戶|Ben代墊|Ariel代墊|中信銀行共用"")), ""內部轉帳(忽略)"",
  AND(E12255&lt;&gt;"""", F12255&lt;&gt;"&amp;""""", NOT(REGEXMATCH(C12255, ""薪資""))), ""內部轉帳(忽略)"",
  REGEXMATCH(C12255, ""薪資""), ""薪資變動(不計入)"",
  REGEXMATCH(C12255, ""押金""), ""押金往來"",
  AND(E12255&lt;&gt;"""", F12255=""""), ""真實支出"",
  AND(E12255="""", F12255&lt;&gt;""""), ""真實收入"",
  TRUE, ""其他""
)"),"其他")</f>
        <v>其他</v>
      </c>
      <c r="K12255" s="270" t="str">
        <f t="shared" si="2"/>
        <v/>
      </c>
      <c r="L12255">
        <f t="shared" si="3"/>
        <v>0</v>
      </c>
    </row>
    <row r="12256">
      <c r="A12256" s="107"/>
      <c r="D12256" s="270"/>
      <c r="H12256" s="106" t="str">
        <f t="shared" si="1"/>
        <v/>
      </c>
      <c r="J12256" t="str">
        <f>IFERROR(__xludf.DUMMYFUNCTION("IFS(
  AND(REGEXMATCH(E12256, ""台銀籌備帳戶|玉山帳戶""), REGEXMATCH(C12256, ""薪資"")), ""分潤支出"",
  AND(REGEXMATCH(E12256, ""Ben帳戶|Elsa帳戶|Ben代墊|Ariel代墊|中信銀行共用""), REGEXMATCH(F12256, ""Ben帳戶|Elsa帳戶|Ben代墊|Ariel代墊|中信銀行共用"")), ""內部轉帳(忽略)"",
  AND(E12256&lt;&gt;"""", F12256&lt;&gt;"&amp;""""", NOT(REGEXMATCH(C12256, ""薪資""))), ""內部轉帳(忽略)"",
  REGEXMATCH(C12256, ""薪資""), ""薪資變動(不計入)"",
  REGEXMATCH(C12256, ""押金""), ""押金往來"",
  AND(E12256&lt;&gt;"""", F12256=""""), ""真實支出"",
  AND(E12256="""", F12256&lt;&gt;""""), ""真實收入"",
  TRUE, ""其他""
)"),"其他")</f>
        <v>其他</v>
      </c>
      <c r="K12256" s="270" t="str">
        <f t="shared" si="2"/>
        <v/>
      </c>
      <c r="L12256">
        <f t="shared" si="3"/>
        <v>0</v>
      </c>
    </row>
    <row r="12257">
      <c r="A12257" s="107"/>
      <c r="D12257" s="270"/>
      <c r="H12257" s="106" t="str">
        <f t="shared" si="1"/>
        <v/>
      </c>
      <c r="J12257" t="str">
        <f>IFERROR(__xludf.DUMMYFUNCTION("IFS(
  AND(REGEXMATCH(E12257, ""台銀籌備帳戶|玉山帳戶""), REGEXMATCH(C12257, ""薪資"")), ""分潤支出"",
  AND(REGEXMATCH(E12257, ""Ben帳戶|Elsa帳戶|Ben代墊|Ariel代墊|中信銀行共用""), REGEXMATCH(F12257, ""Ben帳戶|Elsa帳戶|Ben代墊|Ariel代墊|中信銀行共用"")), ""內部轉帳(忽略)"",
  AND(E12257&lt;&gt;"""", F12257&lt;&gt;"&amp;""""", NOT(REGEXMATCH(C12257, ""薪資""))), ""內部轉帳(忽略)"",
  REGEXMATCH(C12257, ""薪資""), ""薪資變動(不計入)"",
  REGEXMATCH(C12257, ""押金""), ""押金往來"",
  AND(E12257&lt;&gt;"""", F12257=""""), ""真實支出"",
  AND(E12257="""", F12257&lt;&gt;""""), ""真實收入"",
  TRUE, ""其他""
)"),"其他")</f>
        <v>其他</v>
      </c>
      <c r="K12257" s="270" t="str">
        <f t="shared" si="2"/>
        <v/>
      </c>
      <c r="L12257">
        <f t="shared" si="3"/>
        <v>0</v>
      </c>
    </row>
    <row r="12258">
      <c r="A12258" s="107"/>
      <c r="D12258" s="270"/>
      <c r="H12258" s="106" t="str">
        <f t="shared" si="1"/>
        <v/>
      </c>
      <c r="J12258" t="str">
        <f>IFERROR(__xludf.DUMMYFUNCTION("IFS(
  AND(REGEXMATCH(E12258, ""台銀籌備帳戶|玉山帳戶""), REGEXMATCH(C12258, ""薪資"")), ""分潤支出"",
  AND(REGEXMATCH(E12258, ""Ben帳戶|Elsa帳戶|Ben代墊|Ariel代墊|中信銀行共用""), REGEXMATCH(F12258, ""Ben帳戶|Elsa帳戶|Ben代墊|Ariel代墊|中信銀行共用"")), ""內部轉帳(忽略)"",
  AND(E12258&lt;&gt;"""", F12258&lt;&gt;"&amp;""""", NOT(REGEXMATCH(C12258, ""薪資""))), ""內部轉帳(忽略)"",
  REGEXMATCH(C12258, ""薪資""), ""薪資變動(不計入)"",
  REGEXMATCH(C12258, ""押金""), ""押金往來"",
  AND(E12258&lt;&gt;"""", F12258=""""), ""真實支出"",
  AND(E12258="""", F12258&lt;&gt;""""), ""真實收入"",
  TRUE, ""其他""
)"),"其他")</f>
        <v>其他</v>
      </c>
      <c r="K12258" s="270" t="str">
        <f t="shared" si="2"/>
        <v/>
      </c>
      <c r="L12258">
        <f t="shared" si="3"/>
        <v>0</v>
      </c>
    </row>
    <row r="12259">
      <c r="A12259" s="107"/>
      <c r="D12259" s="270"/>
      <c r="H12259" s="106" t="str">
        <f t="shared" si="1"/>
        <v/>
      </c>
      <c r="J12259" t="str">
        <f>IFERROR(__xludf.DUMMYFUNCTION("IFS(
  AND(REGEXMATCH(E12259, ""台銀籌備帳戶|玉山帳戶""), REGEXMATCH(C12259, ""薪資"")), ""分潤支出"",
  AND(REGEXMATCH(E12259, ""Ben帳戶|Elsa帳戶|Ben代墊|Ariel代墊|中信銀行共用""), REGEXMATCH(F12259, ""Ben帳戶|Elsa帳戶|Ben代墊|Ariel代墊|中信銀行共用"")), ""內部轉帳(忽略)"",
  AND(E12259&lt;&gt;"""", F12259&lt;&gt;"&amp;""""", NOT(REGEXMATCH(C12259, ""薪資""))), ""內部轉帳(忽略)"",
  REGEXMATCH(C12259, ""薪資""), ""薪資變動(不計入)"",
  REGEXMATCH(C12259, ""押金""), ""押金往來"",
  AND(E12259&lt;&gt;"""", F12259=""""), ""真實支出"",
  AND(E12259="""", F12259&lt;&gt;""""), ""真實收入"",
  TRUE, ""其他""
)"),"其他")</f>
        <v>其他</v>
      </c>
      <c r="K12259" s="270" t="str">
        <f t="shared" si="2"/>
        <v/>
      </c>
      <c r="L12259">
        <f t="shared" si="3"/>
        <v>0</v>
      </c>
    </row>
    <row r="12260">
      <c r="A12260" s="107"/>
      <c r="D12260" s="270"/>
      <c r="H12260" s="106" t="str">
        <f t="shared" si="1"/>
        <v/>
      </c>
      <c r="J12260" t="str">
        <f>IFERROR(__xludf.DUMMYFUNCTION("IFS(
  AND(REGEXMATCH(E12260, ""台銀籌備帳戶|玉山帳戶""), REGEXMATCH(C12260, ""薪資"")), ""分潤支出"",
  AND(REGEXMATCH(E12260, ""Ben帳戶|Elsa帳戶|Ben代墊|Ariel代墊|中信銀行共用""), REGEXMATCH(F12260, ""Ben帳戶|Elsa帳戶|Ben代墊|Ariel代墊|中信銀行共用"")), ""內部轉帳(忽略)"",
  AND(E12260&lt;&gt;"""", F12260&lt;&gt;"&amp;""""", NOT(REGEXMATCH(C12260, ""薪資""))), ""內部轉帳(忽略)"",
  REGEXMATCH(C12260, ""薪資""), ""薪資變動(不計入)"",
  REGEXMATCH(C12260, ""押金""), ""押金往來"",
  AND(E12260&lt;&gt;"""", F12260=""""), ""真實支出"",
  AND(E12260="""", F12260&lt;&gt;""""), ""真實收入"",
  TRUE, ""其他""
)"),"其他")</f>
        <v>其他</v>
      </c>
      <c r="K12260" s="270" t="str">
        <f t="shared" si="2"/>
        <v/>
      </c>
      <c r="L12260">
        <f t="shared" si="3"/>
        <v>0</v>
      </c>
    </row>
    <row r="12261">
      <c r="A12261" s="107"/>
      <c r="D12261" s="270"/>
      <c r="H12261" s="106" t="str">
        <f t="shared" si="1"/>
        <v/>
      </c>
      <c r="J12261" t="str">
        <f>IFERROR(__xludf.DUMMYFUNCTION("IFS(
  AND(REGEXMATCH(E12261, ""台銀籌備帳戶|玉山帳戶""), REGEXMATCH(C12261, ""薪資"")), ""分潤支出"",
  AND(REGEXMATCH(E12261, ""Ben帳戶|Elsa帳戶|Ben代墊|Ariel代墊|中信銀行共用""), REGEXMATCH(F12261, ""Ben帳戶|Elsa帳戶|Ben代墊|Ariel代墊|中信銀行共用"")), ""內部轉帳(忽略)"",
  AND(E12261&lt;&gt;"""", F12261&lt;&gt;"&amp;""""", NOT(REGEXMATCH(C12261, ""薪資""))), ""內部轉帳(忽略)"",
  REGEXMATCH(C12261, ""薪資""), ""薪資變動(不計入)"",
  REGEXMATCH(C12261, ""押金""), ""押金往來"",
  AND(E12261&lt;&gt;"""", F12261=""""), ""真實支出"",
  AND(E12261="""", F12261&lt;&gt;""""), ""真實收入"",
  TRUE, ""其他""
)"),"其他")</f>
        <v>其他</v>
      </c>
      <c r="K12261" s="270" t="str">
        <f t="shared" si="2"/>
        <v/>
      </c>
      <c r="L12261">
        <f t="shared" si="3"/>
        <v>0</v>
      </c>
    </row>
    <row r="12262">
      <c r="A12262" s="107"/>
      <c r="D12262" s="270"/>
      <c r="H12262" s="106" t="str">
        <f t="shared" si="1"/>
        <v/>
      </c>
      <c r="J12262" t="str">
        <f>IFERROR(__xludf.DUMMYFUNCTION("IFS(
  AND(REGEXMATCH(E12262, ""台銀籌備帳戶|玉山帳戶""), REGEXMATCH(C12262, ""薪資"")), ""分潤支出"",
  AND(REGEXMATCH(E12262, ""Ben帳戶|Elsa帳戶|Ben代墊|Ariel代墊|中信銀行共用""), REGEXMATCH(F12262, ""Ben帳戶|Elsa帳戶|Ben代墊|Ariel代墊|中信銀行共用"")), ""內部轉帳(忽略)"",
  AND(E12262&lt;&gt;"""", F12262&lt;&gt;"&amp;""""", NOT(REGEXMATCH(C12262, ""薪資""))), ""內部轉帳(忽略)"",
  REGEXMATCH(C12262, ""薪資""), ""薪資變動(不計入)"",
  REGEXMATCH(C12262, ""押金""), ""押金往來"",
  AND(E12262&lt;&gt;"""", F12262=""""), ""真實支出"",
  AND(E12262="""", F12262&lt;&gt;""""), ""真實收入"",
  TRUE, ""其他""
)"),"其他")</f>
        <v>其他</v>
      </c>
      <c r="K12262" s="270" t="str">
        <f t="shared" si="2"/>
        <v/>
      </c>
      <c r="L12262">
        <f t="shared" si="3"/>
        <v>0</v>
      </c>
    </row>
    <row r="12263">
      <c r="A12263" s="107"/>
      <c r="D12263" s="270"/>
      <c r="H12263" s="106" t="str">
        <f t="shared" si="1"/>
        <v/>
      </c>
      <c r="J12263" t="str">
        <f>IFERROR(__xludf.DUMMYFUNCTION("IFS(
  AND(REGEXMATCH(E12263, ""台銀籌備帳戶|玉山帳戶""), REGEXMATCH(C12263, ""薪資"")), ""分潤支出"",
  AND(REGEXMATCH(E12263, ""Ben帳戶|Elsa帳戶|Ben代墊|Ariel代墊|中信銀行共用""), REGEXMATCH(F12263, ""Ben帳戶|Elsa帳戶|Ben代墊|Ariel代墊|中信銀行共用"")), ""內部轉帳(忽略)"",
  AND(E12263&lt;&gt;"""", F12263&lt;&gt;"&amp;""""", NOT(REGEXMATCH(C12263, ""薪資""))), ""內部轉帳(忽略)"",
  REGEXMATCH(C12263, ""薪資""), ""薪資變動(不計入)"",
  REGEXMATCH(C12263, ""押金""), ""押金往來"",
  AND(E12263&lt;&gt;"""", F12263=""""), ""真實支出"",
  AND(E12263="""", F12263&lt;&gt;""""), ""真實收入"",
  TRUE, ""其他""
)"),"其他")</f>
        <v>其他</v>
      </c>
      <c r="K12263" s="270" t="str">
        <f t="shared" si="2"/>
        <v/>
      </c>
      <c r="L12263">
        <f t="shared" si="3"/>
        <v>0</v>
      </c>
    </row>
    <row r="12264">
      <c r="A12264" s="107"/>
      <c r="D12264" s="270"/>
      <c r="H12264" s="106" t="str">
        <f t="shared" si="1"/>
        <v/>
      </c>
      <c r="J12264" t="str">
        <f>IFERROR(__xludf.DUMMYFUNCTION("IFS(
  AND(REGEXMATCH(E12264, ""台銀籌備帳戶|玉山帳戶""), REGEXMATCH(C12264, ""薪資"")), ""分潤支出"",
  AND(REGEXMATCH(E12264, ""Ben帳戶|Elsa帳戶|Ben代墊|Ariel代墊|中信銀行共用""), REGEXMATCH(F12264, ""Ben帳戶|Elsa帳戶|Ben代墊|Ariel代墊|中信銀行共用"")), ""內部轉帳(忽略)"",
  AND(E12264&lt;&gt;"""", F12264&lt;&gt;"&amp;""""", NOT(REGEXMATCH(C12264, ""薪資""))), ""內部轉帳(忽略)"",
  REGEXMATCH(C12264, ""薪資""), ""薪資變動(不計入)"",
  REGEXMATCH(C12264, ""押金""), ""押金往來"",
  AND(E12264&lt;&gt;"""", F12264=""""), ""真實支出"",
  AND(E12264="""", F12264&lt;&gt;""""), ""真實收入"",
  TRUE, ""其他""
)"),"其他")</f>
        <v>其他</v>
      </c>
      <c r="K12264" s="270" t="str">
        <f t="shared" si="2"/>
        <v/>
      </c>
      <c r="L12264">
        <f t="shared" si="3"/>
        <v>0</v>
      </c>
    </row>
    <row r="12265">
      <c r="A12265" s="107"/>
      <c r="D12265" s="270"/>
      <c r="H12265" s="106" t="str">
        <f t="shared" si="1"/>
        <v/>
      </c>
      <c r="J12265" t="str">
        <f>IFERROR(__xludf.DUMMYFUNCTION("IFS(
  AND(REGEXMATCH(E12265, ""台銀籌備帳戶|玉山帳戶""), REGEXMATCH(C12265, ""薪資"")), ""分潤支出"",
  AND(REGEXMATCH(E12265, ""Ben帳戶|Elsa帳戶|Ben代墊|Ariel代墊|中信銀行共用""), REGEXMATCH(F12265, ""Ben帳戶|Elsa帳戶|Ben代墊|Ariel代墊|中信銀行共用"")), ""內部轉帳(忽略)"",
  AND(E12265&lt;&gt;"""", F12265&lt;&gt;"&amp;""""", NOT(REGEXMATCH(C12265, ""薪資""))), ""內部轉帳(忽略)"",
  REGEXMATCH(C12265, ""薪資""), ""薪資變動(不計入)"",
  REGEXMATCH(C12265, ""押金""), ""押金往來"",
  AND(E12265&lt;&gt;"""", F12265=""""), ""真實支出"",
  AND(E12265="""", F12265&lt;&gt;""""), ""真實收入"",
  TRUE, ""其他""
)"),"其他")</f>
        <v>其他</v>
      </c>
      <c r="K12265" s="270" t="str">
        <f t="shared" si="2"/>
        <v/>
      </c>
      <c r="L12265">
        <f t="shared" si="3"/>
        <v>0</v>
      </c>
    </row>
    <row r="12266">
      <c r="A12266" s="107"/>
      <c r="D12266" s="270"/>
      <c r="H12266" s="106" t="str">
        <f t="shared" si="1"/>
        <v/>
      </c>
      <c r="J12266" t="str">
        <f>IFERROR(__xludf.DUMMYFUNCTION("IFS(
  AND(REGEXMATCH(E12266, ""台銀籌備帳戶|玉山帳戶""), REGEXMATCH(C12266, ""薪資"")), ""分潤支出"",
  AND(REGEXMATCH(E12266, ""Ben帳戶|Elsa帳戶|Ben代墊|Ariel代墊|中信銀行共用""), REGEXMATCH(F12266, ""Ben帳戶|Elsa帳戶|Ben代墊|Ariel代墊|中信銀行共用"")), ""內部轉帳(忽略)"",
  AND(E12266&lt;&gt;"""", F12266&lt;&gt;"&amp;""""", NOT(REGEXMATCH(C12266, ""薪資""))), ""內部轉帳(忽略)"",
  REGEXMATCH(C12266, ""薪資""), ""薪資變動(不計入)"",
  REGEXMATCH(C12266, ""押金""), ""押金往來"",
  AND(E12266&lt;&gt;"""", F12266=""""), ""真實支出"",
  AND(E12266="""", F12266&lt;&gt;""""), ""真實收入"",
  TRUE, ""其他""
)"),"其他")</f>
        <v>其他</v>
      </c>
      <c r="K12266" s="270" t="str">
        <f t="shared" si="2"/>
        <v/>
      </c>
      <c r="L12266">
        <f t="shared" si="3"/>
        <v>0</v>
      </c>
    </row>
    <row r="12267">
      <c r="A12267" s="107"/>
      <c r="D12267" s="270"/>
      <c r="H12267" s="106" t="str">
        <f t="shared" si="1"/>
        <v/>
      </c>
      <c r="J12267" t="str">
        <f>IFERROR(__xludf.DUMMYFUNCTION("IFS(
  AND(REGEXMATCH(E12267, ""台銀籌備帳戶|玉山帳戶""), REGEXMATCH(C12267, ""薪資"")), ""分潤支出"",
  AND(REGEXMATCH(E12267, ""Ben帳戶|Elsa帳戶|Ben代墊|Ariel代墊|中信銀行共用""), REGEXMATCH(F12267, ""Ben帳戶|Elsa帳戶|Ben代墊|Ariel代墊|中信銀行共用"")), ""內部轉帳(忽略)"",
  AND(E12267&lt;&gt;"""", F12267&lt;&gt;"&amp;""""", NOT(REGEXMATCH(C12267, ""薪資""))), ""內部轉帳(忽略)"",
  REGEXMATCH(C12267, ""薪資""), ""薪資變動(不計入)"",
  REGEXMATCH(C12267, ""押金""), ""押金往來"",
  AND(E12267&lt;&gt;"""", F12267=""""), ""真實支出"",
  AND(E12267="""", F12267&lt;&gt;""""), ""真實收入"",
  TRUE, ""其他""
)"),"其他")</f>
        <v>其他</v>
      </c>
      <c r="K12267" s="270" t="str">
        <f t="shared" si="2"/>
        <v/>
      </c>
      <c r="L12267">
        <f t="shared" si="3"/>
        <v>0</v>
      </c>
    </row>
    <row r="12268">
      <c r="A12268" s="107"/>
      <c r="D12268" s="270"/>
      <c r="H12268" s="106" t="str">
        <f t="shared" si="1"/>
        <v/>
      </c>
      <c r="J12268" t="str">
        <f>IFERROR(__xludf.DUMMYFUNCTION("IFS(
  AND(REGEXMATCH(E12268, ""台銀籌備帳戶|玉山帳戶""), REGEXMATCH(C12268, ""薪資"")), ""分潤支出"",
  AND(REGEXMATCH(E12268, ""Ben帳戶|Elsa帳戶|Ben代墊|Ariel代墊|中信銀行共用""), REGEXMATCH(F12268, ""Ben帳戶|Elsa帳戶|Ben代墊|Ariel代墊|中信銀行共用"")), ""內部轉帳(忽略)"",
  AND(E12268&lt;&gt;"""", F12268&lt;&gt;"&amp;""""", NOT(REGEXMATCH(C12268, ""薪資""))), ""內部轉帳(忽略)"",
  REGEXMATCH(C12268, ""薪資""), ""薪資變動(不計入)"",
  REGEXMATCH(C12268, ""押金""), ""押金往來"",
  AND(E12268&lt;&gt;"""", F12268=""""), ""真實支出"",
  AND(E12268="""", F12268&lt;&gt;""""), ""真實收入"",
  TRUE, ""其他""
)"),"其他")</f>
        <v>其他</v>
      </c>
      <c r="K12268" s="270" t="str">
        <f t="shared" si="2"/>
        <v/>
      </c>
      <c r="L12268">
        <f t="shared" si="3"/>
        <v>0</v>
      </c>
    </row>
    <row r="12269">
      <c r="A12269" s="107"/>
      <c r="D12269" s="270"/>
      <c r="H12269" s="106" t="str">
        <f t="shared" si="1"/>
        <v/>
      </c>
      <c r="J12269" t="str">
        <f>IFERROR(__xludf.DUMMYFUNCTION("IFS(
  AND(REGEXMATCH(E12269, ""台銀籌備帳戶|玉山帳戶""), REGEXMATCH(C12269, ""薪資"")), ""分潤支出"",
  AND(REGEXMATCH(E12269, ""Ben帳戶|Elsa帳戶|Ben代墊|Ariel代墊|中信銀行共用""), REGEXMATCH(F12269, ""Ben帳戶|Elsa帳戶|Ben代墊|Ariel代墊|中信銀行共用"")), ""內部轉帳(忽略)"",
  AND(E12269&lt;&gt;"""", F12269&lt;&gt;"&amp;""""", NOT(REGEXMATCH(C12269, ""薪資""))), ""內部轉帳(忽略)"",
  REGEXMATCH(C12269, ""薪資""), ""薪資變動(不計入)"",
  REGEXMATCH(C12269, ""押金""), ""押金往來"",
  AND(E12269&lt;&gt;"""", F12269=""""), ""真實支出"",
  AND(E12269="""", F12269&lt;&gt;""""), ""真實收入"",
  TRUE, ""其他""
)"),"其他")</f>
        <v>其他</v>
      </c>
      <c r="K12269" s="270" t="str">
        <f t="shared" si="2"/>
        <v/>
      </c>
      <c r="L12269">
        <f t="shared" si="3"/>
        <v>0</v>
      </c>
    </row>
    <row r="12270">
      <c r="A12270" s="107"/>
      <c r="D12270" s="270"/>
      <c r="H12270" s="106" t="str">
        <f t="shared" si="1"/>
        <v/>
      </c>
      <c r="J12270" t="str">
        <f>IFERROR(__xludf.DUMMYFUNCTION("IFS(
  AND(REGEXMATCH(E12270, ""台銀籌備帳戶|玉山帳戶""), REGEXMATCH(C12270, ""薪資"")), ""分潤支出"",
  AND(REGEXMATCH(E12270, ""Ben帳戶|Elsa帳戶|Ben代墊|Ariel代墊|中信銀行共用""), REGEXMATCH(F12270, ""Ben帳戶|Elsa帳戶|Ben代墊|Ariel代墊|中信銀行共用"")), ""內部轉帳(忽略)"",
  AND(E12270&lt;&gt;"""", F12270&lt;&gt;"&amp;""""", NOT(REGEXMATCH(C12270, ""薪資""))), ""內部轉帳(忽略)"",
  REGEXMATCH(C12270, ""薪資""), ""薪資變動(不計入)"",
  REGEXMATCH(C12270, ""押金""), ""押金往來"",
  AND(E12270&lt;&gt;"""", F12270=""""), ""真實支出"",
  AND(E12270="""", F12270&lt;&gt;""""), ""真實收入"",
  TRUE, ""其他""
)"),"其他")</f>
        <v>其他</v>
      </c>
      <c r="K12270" s="270" t="str">
        <f t="shared" si="2"/>
        <v/>
      </c>
      <c r="L12270">
        <f t="shared" si="3"/>
        <v>0</v>
      </c>
    </row>
    <row r="12271">
      <c r="A12271" s="107"/>
      <c r="D12271" s="270"/>
      <c r="H12271" s="106" t="str">
        <f t="shared" si="1"/>
        <v/>
      </c>
      <c r="J12271" t="str">
        <f>IFERROR(__xludf.DUMMYFUNCTION("IFS(
  AND(REGEXMATCH(E12271, ""台銀籌備帳戶|玉山帳戶""), REGEXMATCH(C12271, ""薪資"")), ""分潤支出"",
  AND(REGEXMATCH(E12271, ""Ben帳戶|Elsa帳戶|Ben代墊|Ariel代墊|中信銀行共用""), REGEXMATCH(F12271, ""Ben帳戶|Elsa帳戶|Ben代墊|Ariel代墊|中信銀行共用"")), ""內部轉帳(忽略)"",
  AND(E12271&lt;&gt;"""", F12271&lt;&gt;"&amp;""""", NOT(REGEXMATCH(C12271, ""薪資""))), ""內部轉帳(忽略)"",
  REGEXMATCH(C12271, ""薪資""), ""薪資變動(不計入)"",
  REGEXMATCH(C12271, ""押金""), ""押金往來"",
  AND(E12271&lt;&gt;"""", F12271=""""), ""真實支出"",
  AND(E12271="""", F12271&lt;&gt;""""), ""真實收入"",
  TRUE, ""其他""
)"),"其他")</f>
        <v>其他</v>
      </c>
      <c r="K12271" s="270" t="str">
        <f t="shared" si="2"/>
        <v/>
      </c>
      <c r="L12271">
        <f t="shared" si="3"/>
        <v>0</v>
      </c>
    </row>
    <row r="12272">
      <c r="A12272" s="107"/>
      <c r="D12272" s="270"/>
      <c r="H12272" s="106" t="str">
        <f t="shared" si="1"/>
        <v/>
      </c>
      <c r="J12272" t="str">
        <f>IFERROR(__xludf.DUMMYFUNCTION("IFS(
  AND(REGEXMATCH(E12272, ""台銀籌備帳戶|玉山帳戶""), REGEXMATCH(C12272, ""薪資"")), ""分潤支出"",
  AND(REGEXMATCH(E12272, ""Ben帳戶|Elsa帳戶|Ben代墊|Ariel代墊|中信銀行共用""), REGEXMATCH(F12272, ""Ben帳戶|Elsa帳戶|Ben代墊|Ariel代墊|中信銀行共用"")), ""內部轉帳(忽略)"",
  AND(E12272&lt;&gt;"""", F12272&lt;&gt;"&amp;""""", NOT(REGEXMATCH(C12272, ""薪資""))), ""內部轉帳(忽略)"",
  REGEXMATCH(C12272, ""薪資""), ""薪資變動(不計入)"",
  REGEXMATCH(C12272, ""押金""), ""押金往來"",
  AND(E12272&lt;&gt;"""", F12272=""""), ""真實支出"",
  AND(E12272="""", F12272&lt;&gt;""""), ""真實收入"",
  TRUE, ""其他""
)"),"其他")</f>
        <v>其他</v>
      </c>
      <c r="K12272" s="270" t="str">
        <f t="shared" si="2"/>
        <v/>
      </c>
      <c r="L12272">
        <f t="shared" si="3"/>
        <v>0</v>
      </c>
    </row>
    <row r="12273">
      <c r="A12273" s="107"/>
      <c r="D12273" s="270"/>
      <c r="H12273" s="106" t="str">
        <f t="shared" si="1"/>
        <v/>
      </c>
      <c r="J12273" t="str">
        <f>IFERROR(__xludf.DUMMYFUNCTION("IFS(
  AND(REGEXMATCH(E12273, ""台銀籌備帳戶|玉山帳戶""), REGEXMATCH(C12273, ""薪資"")), ""分潤支出"",
  AND(REGEXMATCH(E12273, ""Ben帳戶|Elsa帳戶|Ben代墊|Ariel代墊|中信銀行共用""), REGEXMATCH(F12273, ""Ben帳戶|Elsa帳戶|Ben代墊|Ariel代墊|中信銀行共用"")), ""內部轉帳(忽略)"",
  AND(E12273&lt;&gt;"""", F12273&lt;&gt;"&amp;""""", NOT(REGEXMATCH(C12273, ""薪資""))), ""內部轉帳(忽略)"",
  REGEXMATCH(C12273, ""薪資""), ""薪資變動(不計入)"",
  REGEXMATCH(C12273, ""押金""), ""押金往來"",
  AND(E12273&lt;&gt;"""", F12273=""""), ""真實支出"",
  AND(E12273="""", F12273&lt;&gt;""""), ""真實收入"",
  TRUE, ""其他""
)"),"其他")</f>
        <v>其他</v>
      </c>
      <c r="K12273" s="270" t="str">
        <f t="shared" si="2"/>
        <v/>
      </c>
      <c r="L12273">
        <f t="shared" si="3"/>
        <v>0</v>
      </c>
    </row>
    <row r="12274">
      <c r="A12274" s="107"/>
      <c r="D12274" s="270"/>
      <c r="H12274" s="106" t="str">
        <f t="shared" si="1"/>
        <v/>
      </c>
      <c r="J12274" t="str">
        <f>IFERROR(__xludf.DUMMYFUNCTION("IFS(
  AND(REGEXMATCH(E12274, ""台銀籌備帳戶|玉山帳戶""), REGEXMATCH(C12274, ""薪資"")), ""分潤支出"",
  AND(REGEXMATCH(E12274, ""Ben帳戶|Elsa帳戶|Ben代墊|Ariel代墊|中信銀行共用""), REGEXMATCH(F12274, ""Ben帳戶|Elsa帳戶|Ben代墊|Ariel代墊|中信銀行共用"")), ""內部轉帳(忽略)"",
  AND(E12274&lt;&gt;"""", F12274&lt;&gt;"&amp;""""", NOT(REGEXMATCH(C12274, ""薪資""))), ""內部轉帳(忽略)"",
  REGEXMATCH(C12274, ""薪資""), ""薪資變動(不計入)"",
  REGEXMATCH(C12274, ""押金""), ""押金往來"",
  AND(E12274&lt;&gt;"""", F12274=""""), ""真實支出"",
  AND(E12274="""", F12274&lt;&gt;""""), ""真實收入"",
  TRUE, ""其他""
)"),"其他")</f>
        <v>其他</v>
      </c>
      <c r="K12274" s="270" t="str">
        <f t="shared" si="2"/>
        <v/>
      </c>
      <c r="L12274">
        <f t="shared" si="3"/>
        <v>0</v>
      </c>
    </row>
    <row r="12275">
      <c r="A12275" s="107"/>
      <c r="D12275" s="270"/>
      <c r="H12275" s="106" t="str">
        <f t="shared" si="1"/>
        <v/>
      </c>
      <c r="J12275" t="str">
        <f>IFERROR(__xludf.DUMMYFUNCTION("IFS(
  AND(REGEXMATCH(E12275, ""台銀籌備帳戶|玉山帳戶""), REGEXMATCH(C12275, ""薪資"")), ""分潤支出"",
  AND(REGEXMATCH(E12275, ""Ben帳戶|Elsa帳戶|Ben代墊|Ariel代墊|中信銀行共用""), REGEXMATCH(F12275, ""Ben帳戶|Elsa帳戶|Ben代墊|Ariel代墊|中信銀行共用"")), ""內部轉帳(忽略)"",
  AND(E12275&lt;&gt;"""", F12275&lt;&gt;"&amp;""""", NOT(REGEXMATCH(C12275, ""薪資""))), ""內部轉帳(忽略)"",
  REGEXMATCH(C12275, ""薪資""), ""薪資變動(不計入)"",
  REGEXMATCH(C12275, ""押金""), ""押金往來"",
  AND(E12275&lt;&gt;"""", F12275=""""), ""真實支出"",
  AND(E12275="""", F12275&lt;&gt;""""), ""真實收入"",
  TRUE, ""其他""
)"),"其他")</f>
        <v>其他</v>
      </c>
      <c r="K12275" s="270" t="str">
        <f t="shared" si="2"/>
        <v/>
      </c>
      <c r="L12275">
        <f t="shared" si="3"/>
        <v>0</v>
      </c>
    </row>
    <row r="12276">
      <c r="A12276" s="107"/>
      <c r="D12276" s="270"/>
      <c r="H12276" s="106" t="str">
        <f t="shared" si="1"/>
        <v/>
      </c>
      <c r="J12276" t="str">
        <f>IFERROR(__xludf.DUMMYFUNCTION("IFS(
  AND(REGEXMATCH(E12276, ""台銀籌備帳戶|玉山帳戶""), REGEXMATCH(C12276, ""薪資"")), ""分潤支出"",
  AND(REGEXMATCH(E12276, ""Ben帳戶|Elsa帳戶|Ben代墊|Ariel代墊|中信銀行共用""), REGEXMATCH(F12276, ""Ben帳戶|Elsa帳戶|Ben代墊|Ariel代墊|中信銀行共用"")), ""內部轉帳(忽略)"",
  AND(E12276&lt;&gt;"""", F12276&lt;&gt;"&amp;""""", NOT(REGEXMATCH(C12276, ""薪資""))), ""內部轉帳(忽略)"",
  REGEXMATCH(C12276, ""薪資""), ""薪資變動(不計入)"",
  REGEXMATCH(C12276, ""押金""), ""押金往來"",
  AND(E12276&lt;&gt;"""", F12276=""""), ""真實支出"",
  AND(E12276="""", F12276&lt;&gt;""""), ""真實收入"",
  TRUE, ""其他""
)"),"其他")</f>
        <v>其他</v>
      </c>
      <c r="K12276" s="270" t="str">
        <f t="shared" si="2"/>
        <v/>
      </c>
      <c r="L12276">
        <f t="shared" si="3"/>
        <v>0</v>
      </c>
    </row>
    <row r="12277">
      <c r="A12277" s="107"/>
      <c r="D12277" s="270"/>
      <c r="H12277" s="106" t="str">
        <f t="shared" si="1"/>
        <v/>
      </c>
      <c r="J12277" t="str">
        <f>IFERROR(__xludf.DUMMYFUNCTION("IFS(
  AND(REGEXMATCH(E12277, ""台銀籌備帳戶|玉山帳戶""), REGEXMATCH(C12277, ""薪資"")), ""分潤支出"",
  AND(REGEXMATCH(E12277, ""Ben帳戶|Elsa帳戶|Ben代墊|Ariel代墊|中信銀行共用""), REGEXMATCH(F12277, ""Ben帳戶|Elsa帳戶|Ben代墊|Ariel代墊|中信銀行共用"")), ""內部轉帳(忽略)"",
  AND(E12277&lt;&gt;"""", F12277&lt;&gt;"&amp;""""", NOT(REGEXMATCH(C12277, ""薪資""))), ""內部轉帳(忽略)"",
  REGEXMATCH(C12277, ""薪資""), ""薪資變動(不計入)"",
  REGEXMATCH(C12277, ""押金""), ""押金往來"",
  AND(E12277&lt;&gt;"""", F12277=""""), ""真實支出"",
  AND(E12277="""", F12277&lt;&gt;""""), ""真實收入"",
  TRUE, ""其他""
)"),"其他")</f>
        <v>其他</v>
      </c>
      <c r="K12277" s="270" t="str">
        <f t="shared" si="2"/>
        <v/>
      </c>
      <c r="L12277">
        <f t="shared" si="3"/>
        <v>0</v>
      </c>
    </row>
    <row r="12278">
      <c r="A12278" s="107"/>
      <c r="D12278" s="270"/>
      <c r="H12278" s="106" t="str">
        <f t="shared" si="1"/>
        <v/>
      </c>
      <c r="J12278" t="str">
        <f>IFERROR(__xludf.DUMMYFUNCTION("IFS(
  AND(REGEXMATCH(E12278, ""台銀籌備帳戶|玉山帳戶""), REGEXMATCH(C12278, ""薪資"")), ""分潤支出"",
  AND(REGEXMATCH(E12278, ""Ben帳戶|Elsa帳戶|Ben代墊|Ariel代墊|中信銀行共用""), REGEXMATCH(F12278, ""Ben帳戶|Elsa帳戶|Ben代墊|Ariel代墊|中信銀行共用"")), ""內部轉帳(忽略)"",
  AND(E12278&lt;&gt;"""", F12278&lt;&gt;"&amp;""""", NOT(REGEXMATCH(C12278, ""薪資""))), ""內部轉帳(忽略)"",
  REGEXMATCH(C12278, ""薪資""), ""薪資變動(不計入)"",
  REGEXMATCH(C12278, ""押金""), ""押金往來"",
  AND(E12278&lt;&gt;"""", F12278=""""), ""真實支出"",
  AND(E12278="""", F12278&lt;&gt;""""), ""真實收入"",
  TRUE, ""其他""
)"),"其他")</f>
        <v>其他</v>
      </c>
      <c r="K12278" s="270" t="str">
        <f t="shared" si="2"/>
        <v/>
      </c>
      <c r="L12278">
        <f t="shared" si="3"/>
        <v>0</v>
      </c>
    </row>
    <row r="12279">
      <c r="A12279" s="107"/>
      <c r="D12279" s="270"/>
      <c r="H12279" s="106" t="str">
        <f t="shared" si="1"/>
        <v/>
      </c>
      <c r="J12279" t="str">
        <f>IFERROR(__xludf.DUMMYFUNCTION("IFS(
  AND(REGEXMATCH(E12279, ""台銀籌備帳戶|玉山帳戶""), REGEXMATCH(C12279, ""薪資"")), ""分潤支出"",
  AND(REGEXMATCH(E12279, ""Ben帳戶|Elsa帳戶|Ben代墊|Ariel代墊|中信銀行共用""), REGEXMATCH(F12279, ""Ben帳戶|Elsa帳戶|Ben代墊|Ariel代墊|中信銀行共用"")), ""內部轉帳(忽略)"",
  AND(E12279&lt;&gt;"""", F12279&lt;&gt;"&amp;""""", NOT(REGEXMATCH(C12279, ""薪資""))), ""內部轉帳(忽略)"",
  REGEXMATCH(C12279, ""薪資""), ""薪資變動(不計入)"",
  REGEXMATCH(C12279, ""押金""), ""押金往來"",
  AND(E12279&lt;&gt;"""", F12279=""""), ""真實支出"",
  AND(E12279="""", F12279&lt;&gt;""""), ""真實收入"",
  TRUE, ""其他""
)"),"其他")</f>
        <v>其他</v>
      </c>
      <c r="K12279" s="270" t="str">
        <f t="shared" si="2"/>
        <v/>
      </c>
      <c r="L12279">
        <f t="shared" si="3"/>
        <v>0</v>
      </c>
    </row>
    <row r="12280">
      <c r="A12280" s="107"/>
      <c r="D12280" s="270"/>
      <c r="H12280" s="106" t="str">
        <f t="shared" si="1"/>
        <v/>
      </c>
      <c r="J12280" t="str">
        <f>IFERROR(__xludf.DUMMYFUNCTION("IFS(
  AND(REGEXMATCH(E12280, ""台銀籌備帳戶|玉山帳戶""), REGEXMATCH(C12280, ""薪資"")), ""分潤支出"",
  AND(REGEXMATCH(E12280, ""Ben帳戶|Elsa帳戶|Ben代墊|Ariel代墊|中信銀行共用""), REGEXMATCH(F12280, ""Ben帳戶|Elsa帳戶|Ben代墊|Ariel代墊|中信銀行共用"")), ""內部轉帳(忽略)"",
  AND(E12280&lt;&gt;"""", F12280&lt;&gt;"&amp;""""", NOT(REGEXMATCH(C12280, ""薪資""))), ""內部轉帳(忽略)"",
  REGEXMATCH(C12280, ""薪資""), ""薪資變動(不計入)"",
  REGEXMATCH(C12280, ""押金""), ""押金往來"",
  AND(E12280&lt;&gt;"""", F12280=""""), ""真實支出"",
  AND(E12280="""", F12280&lt;&gt;""""), ""真實收入"",
  TRUE, ""其他""
)"),"其他")</f>
        <v>其他</v>
      </c>
      <c r="K12280" s="270" t="str">
        <f t="shared" si="2"/>
        <v/>
      </c>
      <c r="L12280">
        <f t="shared" si="3"/>
        <v>0</v>
      </c>
    </row>
    <row r="12281">
      <c r="A12281" s="107"/>
      <c r="D12281" s="270"/>
      <c r="H12281" s="106" t="str">
        <f t="shared" si="1"/>
        <v/>
      </c>
      <c r="J12281" t="str">
        <f>IFERROR(__xludf.DUMMYFUNCTION("IFS(
  AND(REGEXMATCH(E12281, ""台銀籌備帳戶|玉山帳戶""), REGEXMATCH(C12281, ""薪資"")), ""分潤支出"",
  AND(REGEXMATCH(E12281, ""Ben帳戶|Elsa帳戶|Ben代墊|Ariel代墊|中信銀行共用""), REGEXMATCH(F12281, ""Ben帳戶|Elsa帳戶|Ben代墊|Ariel代墊|中信銀行共用"")), ""內部轉帳(忽略)"",
  AND(E12281&lt;&gt;"""", F12281&lt;&gt;"&amp;""""", NOT(REGEXMATCH(C12281, ""薪資""))), ""內部轉帳(忽略)"",
  REGEXMATCH(C12281, ""薪資""), ""薪資變動(不計入)"",
  REGEXMATCH(C12281, ""押金""), ""押金往來"",
  AND(E12281&lt;&gt;"""", F12281=""""), ""真實支出"",
  AND(E12281="""", F12281&lt;&gt;""""), ""真實收入"",
  TRUE, ""其他""
)"),"其他")</f>
        <v>其他</v>
      </c>
      <c r="K12281" s="270" t="str">
        <f t="shared" si="2"/>
        <v/>
      </c>
      <c r="L12281">
        <f t="shared" si="3"/>
        <v>0</v>
      </c>
    </row>
    <row r="12282">
      <c r="A12282" s="107"/>
      <c r="D12282" s="270"/>
      <c r="H12282" s="106" t="str">
        <f t="shared" si="1"/>
        <v/>
      </c>
      <c r="J12282" t="str">
        <f>IFERROR(__xludf.DUMMYFUNCTION("IFS(
  AND(REGEXMATCH(E12282, ""台銀籌備帳戶|玉山帳戶""), REGEXMATCH(C12282, ""薪資"")), ""分潤支出"",
  AND(REGEXMATCH(E12282, ""Ben帳戶|Elsa帳戶|Ben代墊|Ariel代墊|中信銀行共用""), REGEXMATCH(F12282, ""Ben帳戶|Elsa帳戶|Ben代墊|Ariel代墊|中信銀行共用"")), ""內部轉帳(忽略)"",
  AND(E12282&lt;&gt;"""", F12282&lt;&gt;"&amp;""""", NOT(REGEXMATCH(C12282, ""薪資""))), ""內部轉帳(忽略)"",
  REGEXMATCH(C12282, ""薪資""), ""薪資變動(不計入)"",
  REGEXMATCH(C12282, ""押金""), ""押金往來"",
  AND(E12282&lt;&gt;"""", F12282=""""), ""真實支出"",
  AND(E12282="""", F12282&lt;&gt;""""), ""真實收入"",
  TRUE, ""其他""
)"),"其他")</f>
        <v>其他</v>
      </c>
      <c r="K12282" s="270" t="str">
        <f t="shared" si="2"/>
        <v/>
      </c>
      <c r="L12282">
        <f t="shared" si="3"/>
        <v>0</v>
      </c>
    </row>
    <row r="12283">
      <c r="A12283" s="107"/>
      <c r="D12283" s="270"/>
      <c r="H12283" s="106" t="str">
        <f t="shared" si="1"/>
        <v/>
      </c>
      <c r="J12283" t="str">
        <f>IFERROR(__xludf.DUMMYFUNCTION("IFS(
  AND(REGEXMATCH(E12283, ""台銀籌備帳戶|玉山帳戶""), REGEXMATCH(C12283, ""薪資"")), ""分潤支出"",
  AND(REGEXMATCH(E12283, ""Ben帳戶|Elsa帳戶|Ben代墊|Ariel代墊|中信銀行共用""), REGEXMATCH(F12283, ""Ben帳戶|Elsa帳戶|Ben代墊|Ariel代墊|中信銀行共用"")), ""內部轉帳(忽略)"",
  AND(E12283&lt;&gt;"""", F12283&lt;&gt;"&amp;""""", NOT(REGEXMATCH(C12283, ""薪資""))), ""內部轉帳(忽略)"",
  REGEXMATCH(C12283, ""薪資""), ""薪資變動(不計入)"",
  REGEXMATCH(C12283, ""押金""), ""押金往來"",
  AND(E12283&lt;&gt;"""", F12283=""""), ""真實支出"",
  AND(E12283="""", F12283&lt;&gt;""""), ""真實收入"",
  TRUE, ""其他""
)"),"其他")</f>
        <v>其他</v>
      </c>
      <c r="K12283" s="270" t="str">
        <f t="shared" si="2"/>
        <v/>
      </c>
      <c r="L12283">
        <f t="shared" si="3"/>
        <v>0</v>
      </c>
    </row>
    <row r="12284">
      <c r="A12284" s="107"/>
      <c r="D12284" s="270"/>
      <c r="H12284" s="106" t="str">
        <f t="shared" si="1"/>
        <v/>
      </c>
      <c r="J12284" t="str">
        <f>IFERROR(__xludf.DUMMYFUNCTION("IFS(
  AND(REGEXMATCH(E12284, ""台銀籌備帳戶|玉山帳戶""), REGEXMATCH(C12284, ""薪資"")), ""分潤支出"",
  AND(REGEXMATCH(E12284, ""Ben帳戶|Elsa帳戶|Ben代墊|Ariel代墊|中信銀行共用""), REGEXMATCH(F12284, ""Ben帳戶|Elsa帳戶|Ben代墊|Ariel代墊|中信銀行共用"")), ""內部轉帳(忽略)"",
  AND(E12284&lt;&gt;"""", F12284&lt;&gt;"&amp;""""", NOT(REGEXMATCH(C12284, ""薪資""))), ""內部轉帳(忽略)"",
  REGEXMATCH(C12284, ""薪資""), ""薪資變動(不計入)"",
  REGEXMATCH(C12284, ""押金""), ""押金往來"",
  AND(E12284&lt;&gt;"""", F12284=""""), ""真實支出"",
  AND(E12284="""", F12284&lt;&gt;""""), ""真實收入"",
  TRUE, ""其他""
)"),"其他")</f>
        <v>其他</v>
      </c>
      <c r="K12284" s="270" t="str">
        <f t="shared" si="2"/>
        <v/>
      </c>
      <c r="L12284">
        <f t="shared" si="3"/>
        <v>0</v>
      </c>
    </row>
    <row r="12285">
      <c r="A12285" s="107"/>
      <c r="D12285" s="270"/>
      <c r="H12285" s="106" t="str">
        <f t="shared" si="1"/>
        <v/>
      </c>
      <c r="J12285" t="str">
        <f>IFERROR(__xludf.DUMMYFUNCTION("IFS(
  AND(REGEXMATCH(E12285, ""台銀籌備帳戶|玉山帳戶""), REGEXMATCH(C12285, ""薪資"")), ""分潤支出"",
  AND(REGEXMATCH(E12285, ""Ben帳戶|Elsa帳戶|Ben代墊|Ariel代墊|中信銀行共用""), REGEXMATCH(F12285, ""Ben帳戶|Elsa帳戶|Ben代墊|Ariel代墊|中信銀行共用"")), ""內部轉帳(忽略)"",
  AND(E12285&lt;&gt;"""", F12285&lt;&gt;"&amp;""""", NOT(REGEXMATCH(C12285, ""薪資""))), ""內部轉帳(忽略)"",
  REGEXMATCH(C12285, ""薪資""), ""薪資變動(不計入)"",
  REGEXMATCH(C12285, ""押金""), ""押金往來"",
  AND(E12285&lt;&gt;"""", F12285=""""), ""真實支出"",
  AND(E12285="""", F12285&lt;&gt;""""), ""真實收入"",
  TRUE, ""其他""
)"),"其他")</f>
        <v>其他</v>
      </c>
      <c r="K12285" s="270" t="str">
        <f t="shared" si="2"/>
        <v/>
      </c>
      <c r="L12285">
        <f t="shared" si="3"/>
        <v>0</v>
      </c>
    </row>
    <row r="12286">
      <c r="A12286" s="107"/>
      <c r="D12286" s="270"/>
      <c r="H12286" s="106" t="str">
        <f t="shared" si="1"/>
        <v/>
      </c>
      <c r="J12286" t="str">
        <f>IFERROR(__xludf.DUMMYFUNCTION("IFS(
  AND(REGEXMATCH(E12286, ""台銀籌備帳戶|玉山帳戶""), REGEXMATCH(C12286, ""薪資"")), ""分潤支出"",
  AND(REGEXMATCH(E12286, ""Ben帳戶|Elsa帳戶|Ben代墊|Ariel代墊|中信銀行共用""), REGEXMATCH(F12286, ""Ben帳戶|Elsa帳戶|Ben代墊|Ariel代墊|中信銀行共用"")), ""內部轉帳(忽略)"",
  AND(E12286&lt;&gt;"""", F12286&lt;&gt;"&amp;""""", NOT(REGEXMATCH(C12286, ""薪資""))), ""內部轉帳(忽略)"",
  REGEXMATCH(C12286, ""薪資""), ""薪資變動(不計入)"",
  REGEXMATCH(C12286, ""押金""), ""押金往來"",
  AND(E12286&lt;&gt;"""", F12286=""""), ""真實支出"",
  AND(E12286="""", F12286&lt;&gt;""""), ""真實收入"",
  TRUE, ""其他""
)"),"其他")</f>
        <v>其他</v>
      </c>
      <c r="K12286" s="270" t="str">
        <f t="shared" si="2"/>
        <v/>
      </c>
      <c r="L12286">
        <f t="shared" si="3"/>
        <v>0</v>
      </c>
    </row>
    <row r="12287">
      <c r="A12287" s="107"/>
      <c r="D12287" s="270"/>
      <c r="H12287" s="106" t="str">
        <f t="shared" si="1"/>
        <v/>
      </c>
      <c r="J12287" t="str">
        <f>IFERROR(__xludf.DUMMYFUNCTION("IFS(
  AND(REGEXMATCH(E12287, ""台銀籌備帳戶|玉山帳戶""), REGEXMATCH(C12287, ""薪資"")), ""分潤支出"",
  AND(REGEXMATCH(E12287, ""Ben帳戶|Elsa帳戶|Ben代墊|Ariel代墊|中信銀行共用""), REGEXMATCH(F12287, ""Ben帳戶|Elsa帳戶|Ben代墊|Ariel代墊|中信銀行共用"")), ""內部轉帳(忽略)"",
  AND(E12287&lt;&gt;"""", F12287&lt;&gt;"&amp;""""", NOT(REGEXMATCH(C12287, ""薪資""))), ""內部轉帳(忽略)"",
  REGEXMATCH(C12287, ""薪資""), ""薪資變動(不計入)"",
  REGEXMATCH(C12287, ""押金""), ""押金往來"",
  AND(E12287&lt;&gt;"""", F12287=""""), ""真實支出"",
  AND(E12287="""", F12287&lt;&gt;""""), ""真實收入"",
  TRUE, ""其他""
)"),"其他")</f>
        <v>其他</v>
      </c>
      <c r="K12287" s="270" t="str">
        <f t="shared" si="2"/>
        <v/>
      </c>
      <c r="L12287">
        <f t="shared" si="3"/>
        <v>0</v>
      </c>
    </row>
    <row r="12288">
      <c r="A12288" s="107"/>
      <c r="D12288" s="270"/>
      <c r="H12288" s="106" t="str">
        <f t="shared" si="1"/>
        <v/>
      </c>
      <c r="J12288" t="str">
        <f>IFERROR(__xludf.DUMMYFUNCTION("IFS(
  AND(REGEXMATCH(E12288, ""台銀籌備帳戶|玉山帳戶""), REGEXMATCH(C12288, ""薪資"")), ""分潤支出"",
  AND(REGEXMATCH(E12288, ""Ben帳戶|Elsa帳戶|Ben代墊|Ariel代墊|中信銀行共用""), REGEXMATCH(F12288, ""Ben帳戶|Elsa帳戶|Ben代墊|Ariel代墊|中信銀行共用"")), ""內部轉帳(忽略)"",
  AND(E12288&lt;&gt;"""", F12288&lt;&gt;"&amp;""""", NOT(REGEXMATCH(C12288, ""薪資""))), ""內部轉帳(忽略)"",
  REGEXMATCH(C12288, ""薪資""), ""薪資變動(不計入)"",
  REGEXMATCH(C12288, ""押金""), ""押金往來"",
  AND(E12288&lt;&gt;"""", F12288=""""), ""真實支出"",
  AND(E12288="""", F12288&lt;&gt;""""), ""真實收入"",
  TRUE, ""其他""
)"),"其他")</f>
        <v>其他</v>
      </c>
      <c r="K12288" s="270" t="str">
        <f t="shared" si="2"/>
        <v/>
      </c>
      <c r="L12288">
        <f t="shared" si="3"/>
        <v>0</v>
      </c>
    </row>
    <row r="12289">
      <c r="A12289" s="107"/>
      <c r="D12289" s="270"/>
      <c r="H12289" s="106" t="str">
        <f t="shared" si="1"/>
        <v/>
      </c>
      <c r="J12289" t="str">
        <f>IFERROR(__xludf.DUMMYFUNCTION("IFS(
  AND(REGEXMATCH(E12289, ""台銀籌備帳戶|玉山帳戶""), REGEXMATCH(C12289, ""薪資"")), ""分潤支出"",
  AND(REGEXMATCH(E12289, ""Ben帳戶|Elsa帳戶|Ben代墊|Ariel代墊|中信銀行共用""), REGEXMATCH(F12289, ""Ben帳戶|Elsa帳戶|Ben代墊|Ariel代墊|中信銀行共用"")), ""內部轉帳(忽略)"",
  AND(E12289&lt;&gt;"""", F12289&lt;&gt;"&amp;""""", NOT(REGEXMATCH(C12289, ""薪資""))), ""內部轉帳(忽略)"",
  REGEXMATCH(C12289, ""薪資""), ""薪資變動(不計入)"",
  REGEXMATCH(C12289, ""押金""), ""押金往來"",
  AND(E12289&lt;&gt;"""", F12289=""""), ""真實支出"",
  AND(E12289="""", F12289&lt;&gt;""""), ""真實收入"",
  TRUE, ""其他""
)"),"其他")</f>
        <v>其他</v>
      </c>
      <c r="K12289" s="270" t="str">
        <f t="shared" si="2"/>
        <v/>
      </c>
      <c r="L12289">
        <f t="shared" si="3"/>
        <v>0</v>
      </c>
    </row>
    <row r="12290">
      <c r="A12290" s="107"/>
      <c r="D12290" s="270"/>
      <c r="H12290" s="106" t="str">
        <f t="shared" si="1"/>
        <v/>
      </c>
      <c r="J12290" t="str">
        <f>IFERROR(__xludf.DUMMYFUNCTION("IFS(
  AND(REGEXMATCH(E12290, ""台銀籌備帳戶|玉山帳戶""), REGEXMATCH(C12290, ""薪資"")), ""分潤支出"",
  AND(REGEXMATCH(E12290, ""Ben帳戶|Elsa帳戶|Ben代墊|Ariel代墊|中信銀行共用""), REGEXMATCH(F12290, ""Ben帳戶|Elsa帳戶|Ben代墊|Ariel代墊|中信銀行共用"")), ""內部轉帳(忽略)"",
  AND(E12290&lt;&gt;"""", F12290&lt;&gt;"&amp;""""", NOT(REGEXMATCH(C12290, ""薪資""))), ""內部轉帳(忽略)"",
  REGEXMATCH(C12290, ""薪資""), ""薪資變動(不計入)"",
  REGEXMATCH(C12290, ""押金""), ""押金往來"",
  AND(E12290&lt;&gt;"""", F12290=""""), ""真實支出"",
  AND(E12290="""", F12290&lt;&gt;""""), ""真實收入"",
  TRUE, ""其他""
)"),"其他")</f>
        <v>其他</v>
      </c>
      <c r="K12290" s="270" t="str">
        <f t="shared" si="2"/>
        <v/>
      </c>
      <c r="L12290">
        <f t="shared" si="3"/>
        <v>0</v>
      </c>
    </row>
    <row r="12291">
      <c r="A12291" s="107"/>
      <c r="D12291" s="270"/>
      <c r="H12291" s="106" t="str">
        <f t="shared" si="1"/>
        <v/>
      </c>
      <c r="J12291" t="str">
        <f>IFERROR(__xludf.DUMMYFUNCTION("IFS(
  AND(REGEXMATCH(E12291, ""台銀籌備帳戶|玉山帳戶""), REGEXMATCH(C12291, ""薪資"")), ""分潤支出"",
  AND(REGEXMATCH(E12291, ""Ben帳戶|Elsa帳戶|Ben代墊|Ariel代墊|中信銀行共用""), REGEXMATCH(F12291, ""Ben帳戶|Elsa帳戶|Ben代墊|Ariel代墊|中信銀行共用"")), ""內部轉帳(忽略)"",
  AND(E12291&lt;&gt;"""", F12291&lt;&gt;"&amp;""""", NOT(REGEXMATCH(C12291, ""薪資""))), ""內部轉帳(忽略)"",
  REGEXMATCH(C12291, ""薪資""), ""薪資變動(不計入)"",
  REGEXMATCH(C12291, ""押金""), ""押金往來"",
  AND(E12291&lt;&gt;"""", F12291=""""), ""真實支出"",
  AND(E12291="""", F12291&lt;&gt;""""), ""真實收入"",
  TRUE, ""其他""
)"),"其他")</f>
        <v>其他</v>
      </c>
      <c r="K12291" s="270" t="str">
        <f t="shared" si="2"/>
        <v/>
      </c>
      <c r="L12291">
        <f t="shared" si="3"/>
        <v>0</v>
      </c>
    </row>
    <row r="12292">
      <c r="A12292" s="107"/>
      <c r="D12292" s="270"/>
      <c r="H12292" s="106" t="str">
        <f t="shared" si="1"/>
        <v/>
      </c>
      <c r="J12292" t="str">
        <f>IFERROR(__xludf.DUMMYFUNCTION("IFS(
  AND(REGEXMATCH(E12292, ""台銀籌備帳戶|玉山帳戶""), REGEXMATCH(C12292, ""薪資"")), ""分潤支出"",
  AND(REGEXMATCH(E12292, ""Ben帳戶|Elsa帳戶|Ben代墊|Ariel代墊|中信銀行共用""), REGEXMATCH(F12292, ""Ben帳戶|Elsa帳戶|Ben代墊|Ariel代墊|中信銀行共用"")), ""內部轉帳(忽略)"",
  AND(E12292&lt;&gt;"""", F12292&lt;&gt;"&amp;""""", NOT(REGEXMATCH(C12292, ""薪資""))), ""內部轉帳(忽略)"",
  REGEXMATCH(C12292, ""薪資""), ""薪資變動(不計入)"",
  REGEXMATCH(C12292, ""押金""), ""押金往來"",
  AND(E12292&lt;&gt;"""", F12292=""""), ""真實支出"",
  AND(E12292="""", F12292&lt;&gt;""""), ""真實收入"",
  TRUE, ""其他""
)"),"其他")</f>
        <v>其他</v>
      </c>
      <c r="K12292" s="270" t="str">
        <f t="shared" si="2"/>
        <v/>
      </c>
      <c r="L12292">
        <f t="shared" si="3"/>
        <v>0</v>
      </c>
    </row>
    <row r="12293">
      <c r="A12293" s="107"/>
      <c r="D12293" s="270"/>
      <c r="H12293" s="106" t="str">
        <f t="shared" si="1"/>
        <v/>
      </c>
      <c r="J12293" t="str">
        <f>IFERROR(__xludf.DUMMYFUNCTION("IFS(
  AND(REGEXMATCH(E12293, ""台銀籌備帳戶|玉山帳戶""), REGEXMATCH(C12293, ""薪資"")), ""分潤支出"",
  AND(REGEXMATCH(E12293, ""Ben帳戶|Elsa帳戶|Ben代墊|Ariel代墊|中信銀行共用""), REGEXMATCH(F12293, ""Ben帳戶|Elsa帳戶|Ben代墊|Ariel代墊|中信銀行共用"")), ""內部轉帳(忽略)"",
  AND(E12293&lt;&gt;"""", F12293&lt;&gt;"&amp;""""", NOT(REGEXMATCH(C12293, ""薪資""))), ""內部轉帳(忽略)"",
  REGEXMATCH(C12293, ""薪資""), ""薪資變動(不計入)"",
  REGEXMATCH(C12293, ""押金""), ""押金往來"",
  AND(E12293&lt;&gt;"""", F12293=""""), ""真實支出"",
  AND(E12293="""", F12293&lt;&gt;""""), ""真實收入"",
  TRUE, ""其他""
)"),"其他")</f>
        <v>其他</v>
      </c>
      <c r="K12293" s="270" t="str">
        <f t="shared" si="2"/>
        <v/>
      </c>
      <c r="L12293">
        <f t="shared" si="3"/>
        <v>0</v>
      </c>
    </row>
    <row r="12294">
      <c r="A12294" s="107"/>
      <c r="D12294" s="270"/>
      <c r="H12294" s="106" t="str">
        <f t="shared" si="1"/>
        <v/>
      </c>
      <c r="J12294" t="str">
        <f>IFERROR(__xludf.DUMMYFUNCTION("IFS(
  AND(REGEXMATCH(E12294, ""台銀籌備帳戶|玉山帳戶""), REGEXMATCH(C12294, ""薪資"")), ""分潤支出"",
  AND(REGEXMATCH(E12294, ""Ben帳戶|Elsa帳戶|Ben代墊|Ariel代墊|中信銀行共用""), REGEXMATCH(F12294, ""Ben帳戶|Elsa帳戶|Ben代墊|Ariel代墊|中信銀行共用"")), ""內部轉帳(忽略)"",
  AND(E12294&lt;&gt;"""", F12294&lt;&gt;"&amp;""""", NOT(REGEXMATCH(C12294, ""薪資""))), ""內部轉帳(忽略)"",
  REGEXMATCH(C12294, ""薪資""), ""薪資變動(不計入)"",
  REGEXMATCH(C12294, ""押金""), ""押金往來"",
  AND(E12294&lt;&gt;"""", F12294=""""), ""真實支出"",
  AND(E12294="""", F12294&lt;&gt;""""), ""真實收入"",
  TRUE, ""其他""
)"),"其他")</f>
        <v>其他</v>
      </c>
      <c r="K12294" s="270" t="str">
        <f t="shared" si="2"/>
        <v/>
      </c>
      <c r="L12294">
        <f t="shared" si="3"/>
        <v>0</v>
      </c>
    </row>
    <row r="12295">
      <c r="A12295" s="107"/>
      <c r="D12295" s="270"/>
      <c r="H12295" s="106" t="str">
        <f t="shared" si="1"/>
        <v/>
      </c>
      <c r="J12295" t="str">
        <f>IFERROR(__xludf.DUMMYFUNCTION("IFS(
  AND(REGEXMATCH(E12295, ""台銀籌備帳戶|玉山帳戶""), REGEXMATCH(C12295, ""薪資"")), ""分潤支出"",
  AND(REGEXMATCH(E12295, ""Ben帳戶|Elsa帳戶|Ben代墊|Ariel代墊|中信銀行共用""), REGEXMATCH(F12295, ""Ben帳戶|Elsa帳戶|Ben代墊|Ariel代墊|中信銀行共用"")), ""內部轉帳(忽略)"",
  AND(E12295&lt;&gt;"""", F12295&lt;&gt;"&amp;""""", NOT(REGEXMATCH(C12295, ""薪資""))), ""內部轉帳(忽略)"",
  REGEXMATCH(C12295, ""薪資""), ""薪資變動(不計入)"",
  REGEXMATCH(C12295, ""押金""), ""押金往來"",
  AND(E12295&lt;&gt;"""", F12295=""""), ""真實支出"",
  AND(E12295="""", F12295&lt;&gt;""""), ""真實收入"",
  TRUE, ""其他""
)"),"其他")</f>
        <v>其他</v>
      </c>
      <c r="K12295" s="270" t="str">
        <f t="shared" si="2"/>
        <v/>
      </c>
      <c r="L12295">
        <f t="shared" si="3"/>
        <v>0</v>
      </c>
    </row>
    <row r="12296">
      <c r="A12296" s="107"/>
      <c r="D12296" s="270"/>
      <c r="H12296" s="106" t="str">
        <f t="shared" si="1"/>
        <v/>
      </c>
      <c r="J12296" t="str">
        <f>IFERROR(__xludf.DUMMYFUNCTION("IFS(
  AND(REGEXMATCH(E12296, ""台銀籌備帳戶|玉山帳戶""), REGEXMATCH(C12296, ""薪資"")), ""分潤支出"",
  AND(REGEXMATCH(E12296, ""Ben帳戶|Elsa帳戶|Ben代墊|Ariel代墊|中信銀行共用""), REGEXMATCH(F12296, ""Ben帳戶|Elsa帳戶|Ben代墊|Ariel代墊|中信銀行共用"")), ""內部轉帳(忽略)"",
  AND(E12296&lt;&gt;"""", F12296&lt;&gt;"&amp;""""", NOT(REGEXMATCH(C12296, ""薪資""))), ""內部轉帳(忽略)"",
  REGEXMATCH(C12296, ""薪資""), ""薪資變動(不計入)"",
  REGEXMATCH(C12296, ""押金""), ""押金往來"",
  AND(E12296&lt;&gt;"""", F12296=""""), ""真實支出"",
  AND(E12296="""", F12296&lt;&gt;""""), ""真實收入"",
  TRUE, ""其他""
)"),"其他")</f>
        <v>其他</v>
      </c>
      <c r="K12296" s="270" t="str">
        <f t="shared" si="2"/>
        <v/>
      </c>
      <c r="L12296">
        <f t="shared" si="3"/>
        <v>0</v>
      </c>
    </row>
    <row r="12297">
      <c r="A12297" s="107"/>
      <c r="D12297" s="270"/>
      <c r="H12297" s="106" t="str">
        <f t="shared" si="1"/>
        <v/>
      </c>
      <c r="J12297" t="str">
        <f>IFERROR(__xludf.DUMMYFUNCTION("IFS(
  AND(REGEXMATCH(E12297, ""台銀籌備帳戶|玉山帳戶""), REGEXMATCH(C12297, ""薪資"")), ""分潤支出"",
  AND(REGEXMATCH(E12297, ""Ben帳戶|Elsa帳戶|Ben代墊|Ariel代墊|中信銀行共用""), REGEXMATCH(F12297, ""Ben帳戶|Elsa帳戶|Ben代墊|Ariel代墊|中信銀行共用"")), ""內部轉帳(忽略)"",
  AND(E12297&lt;&gt;"""", F12297&lt;&gt;"&amp;""""", NOT(REGEXMATCH(C12297, ""薪資""))), ""內部轉帳(忽略)"",
  REGEXMATCH(C12297, ""薪資""), ""薪資變動(不計入)"",
  REGEXMATCH(C12297, ""押金""), ""押金往來"",
  AND(E12297&lt;&gt;"""", F12297=""""), ""真實支出"",
  AND(E12297="""", F12297&lt;&gt;""""), ""真實收入"",
  TRUE, ""其他""
)"),"其他")</f>
        <v>其他</v>
      </c>
      <c r="K12297" s="270" t="str">
        <f t="shared" si="2"/>
        <v/>
      </c>
      <c r="L12297">
        <f t="shared" si="3"/>
        <v>0</v>
      </c>
    </row>
    <row r="12298">
      <c r="A12298" s="107"/>
      <c r="D12298" s="270"/>
      <c r="H12298" s="106" t="str">
        <f t="shared" si="1"/>
        <v/>
      </c>
      <c r="J12298" t="str">
        <f>IFERROR(__xludf.DUMMYFUNCTION("IFS(
  AND(REGEXMATCH(E12298, ""台銀籌備帳戶|玉山帳戶""), REGEXMATCH(C12298, ""薪資"")), ""分潤支出"",
  AND(REGEXMATCH(E12298, ""Ben帳戶|Elsa帳戶|Ben代墊|Ariel代墊|中信銀行共用""), REGEXMATCH(F12298, ""Ben帳戶|Elsa帳戶|Ben代墊|Ariel代墊|中信銀行共用"")), ""內部轉帳(忽略)"",
  AND(E12298&lt;&gt;"""", F12298&lt;&gt;"&amp;""""", NOT(REGEXMATCH(C12298, ""薪資""))), ""內部轉帳(忽略)"",
  REGEXMATCH(C12298, ""薪資""), ""薪資變動(不計入)"",
  REGEXMATCH(C12298, ""押金""), ""押金往來"",
  AND(E12298&lt;&gt;"""", F12298=""""), ""真實支出"",
  AND(E12298="""", F12298&lt;&gt;""""), ""真實收入"",
  TRUE, ""其他""
)"),"其他")</f>
        <v>其他</v>
      </c>
      <c r="K12298" s="270" t="str">
        <f t="shared" si="2"/>
        <v/>
      </c>
      <c r="L12298">
        <f t="shared" si="3"/>
        <v>0</v>
      </c>
    </row>
    <row r="12299">
      <c r="A12299" s="107"/>
      <c r="D12299" s="270"/>
      <c r="H12299" s="106" t="str">
        <f t="shared" si="1"/>
        <v/>
      </c>
      <c r="J12299" t="str">
        <f>IFERROR(__xludf.DUMMYFUNCTION("IFS(
  AND(REGEXMATCH(E12299, ""台銀籌備帳戶|玉山帳戶""), REGEXMATCH(C12299, ""薪資"")), ""分潤支出"",
  AND(REGEXMATCH(E12299, ""Ben帳戶|Elsa帳戶|Ben代墊|Ariel代墊|中信銀行共用""), REGEXMATCH(F12299, ""Ben帳戶|Elsa帳戶|Ben代墊|Ariel代墊|中信銀行共用"")), ""內部轉帳(忽略)"",
  AND(E12299&lt;&gt;"""", F12299&lt;&gt;"&amp;""""", NOT(REGEXMATCH(C12299, ""薪資""))), ""內部轉帳(忽略)"",
  REGEXMATCH(C12299, ""薪資""), ""薪資變動(不計入)"",
  REGEXMATCH(C12299, ""押金""), ""押金往來"",
  AND(E12299&lt;&gt;"""", F12299=""""), ""真實支出"",
  AND(E12299="""", F12299&lt;&gt;""""), ""真實收入"",
  TRUE, ""其他""
)"),"其他")</f>
        <v>其他</v>
      </c>
      <c r="K12299" s="270" t="str">
        <f t="shared" si="2"/>
        <v/>
      </c>
      <c r="L12299">
        <f t="shared" si="3"/>
        <v>0</v>
      </c>
    </row>
    <row r="12300">
      <c r="A12300" s="107"/>
      <c r="D12300" s="270"/>
      <c r="H12300" s="106" t="str">
        <f t="shared" si="1"/>
        <v/>
      </c>
      <c r="J12300" t="str">
        <f>IFERROR(__xludf.DUMMYFUNCTION("IFS(
  AND(REGEXMATCH(E12300, ""台銀籌備帳戶|玉山帳戶""), REGEXMATCH(C12300, ""薪資"")), ""分潤支出"",
  AND(REGEXMATCH(E12300, ""Ben帳戶|Elsa帳戶|Ben代墊|Ariel代墊|中信銀行共用""), REGEXMATCH(F12300, ""Ben帳戶|Elsa帳戶|Ben代墊|Ariel代墊|中信銀行共用"")), ""內部轉帳(忽略)"",
  AND(E12300&lt;&gt;"""", F12300&lt;&gt;"&amp;""""", NOT(REGEXMATCH(C12300, ""薪資""))), ""內部轉帳(忽略)"",
  REGEXMATCH(C12300, ""薪資""), ""薪資變動(不計入)"",
  REGEXMATCH(C12300, ""押金""), ""押金往來"",
  AND(E12300&lt;&gt;"""", F12300=""""), ""真實支出"",
  AND(E12300="""", F12300&lt;&gt;""""), ""真實收入"",
  TRUE, ""其他""
)"),"其他")</f>
        <v>其他</v>
      </c>
      <c r="K12300" s="270" t="str">
        <f t="shared" si="2"/>
        <v/>
      </c>
      <c r="L12300">
        <f t="shared" si="3"/>
        <v>0</v>
      </c>
    </row>
    <row r="12301">
      <c r="A12301" s="107"/>
      <c r="D12301" s="270"/>
      <c r="H12301" s="106" t="str">
        <f t="shared" si="1"/>
        <v/>
      </c>
      <c r="J12301" t="str">
        <f>IFERROR(__xludf.DUMMYFUNCTION("IFS(
  AND(REGEXMATCH(E12301, ""台銀籌備帳戶|玉山帳戶""), REGEXMATCH(C12301, ""薪資"")), ""分潤支出"",
  AND(REGEXMATCH(E12301, ""Ben帳戶|Elsa帳戶|Ben代墊|Ariel代墊|中信銀行共用""), REGEXMATCH(F12301, ""Ben帳戶|Elsa帳戶|Ben代墊|Ariel代墊|中信銀行共用"")), ""內部轉帳(忽略)"",
  AND(E12301&lt;&gt;"""", F12301&lt;&gt;"&amp;""""", NOT(REGEXMATCH(C12301, ""薪資""))), ""內部轉帳(忽略)"",
  REGEXMATCH(C12301, ""薪資""), ""薪資變動(不計入)"",
  REGEXMATCH(C12301, ""押金""), ""押金往來"",
  AND(E12301&lt;&gt;"""", F12301=""""), ""真實支出"",
  AND(E12301="""", F12301&lt;&gt;""""), ""真實收入"",
  TRUE, ""其他""
)"),"其他")</f>
        <v>其他</v>
      </c>
      <c r="K12301" s="270" t="str">
        <f t="shared" si="2"/>
        <v/>
      </c>
      <c r="L12301">
        <f t="shared" si="3"/>
        <v>0</v>
      </c>
    </row>
    <row r="12302">
      <c r="A12302" s="107"/>
      <c r="D12302" s="270"/>
      <c r="H12302" s="106" t="str">
        <f t="shared" si="1"/>
        <v/>
      </c>
      <c r="J12302" t="str">
        <f>IFERROR(__xludf.DUMMYFUNCTION("IFS(
  AND(REGEXMATCH(E12302, ""台銀籌備帳戶|玉山帳戶""), REGEXMATCH(C12302, ""薪資"")), ""分潤支出"",
  AND(REGEXMATCH(E12302, ""Ben帳戶|Elsa帳戶|Ben代墊|Ariel代墊|中信銀行共用""), REGEXMATCH(F12302, ""Ben帳戶|Elsa帳戶|Ben代墊|Ariel代墊|中信銀行共用"")), ""內部轉帳(忽略)"",
  AND(E12302&lt;&gt;"""", F12302&lt;&gt;"&amp;""""", NOT(REGEXMATCH(C12302, ""薪資""))), ""內部轉帳(忽略)"",
  REGEXMATCH(C12302, ""薪資""), ""薪資變動(不計入)"",
  REGEXMATCH(C12302, ""押金""), ""押金往來"",
  AND(E12302&lt;&gt;"""", F12302=""""), ""真實支出"",
  AND(E12302="""", F12302&lt;&gt;""""), ""真實收入"",
  TRUE, ""其他""
)"),"其他")</f>
        <v>其他</v>
      </c>
      <c r="K12302" s="270" t="str">
        <f t="shared" si="2"/>
        <v/>
      </c>
      <c r="L12302">
        <f t="shared" si="3"/>
        <v>0</v>
      </c>
    </row>
    <row r="12303">
      <c r="A12303" s="107"/>
      <c r="D12303" s="270"/>
      <c r="H12303" s="106" t="str">
        <f t="shared" si="1"/>
        <v/>
      </c>
      <c r="J12303" t="str">
        <f>IFERROR(__xludf.DUMMYFUNCTION("IFS(
  AND(REGEXMATCH(E12303, ""台銀籌備帳戶|玉山帳戶""), REGEXMATCH(C12303, ""薪資"")), ""分潤支出"",
  AND(REGEXMATCH(E12303, ""Ben帳戶|Elsa帳戶|Ben代墊|Ariel代墊|中信銀行共用""), REGEXMATCH(F12303, ""Ben帳戶|Elsa帳戶|Ben代墊|Ariel代墊|中信銀行共用"")), ""內部轉帳(忽略)"",
  AND(E12303&lt;&gt;"""", F12303&lt;&gt;"&amp;""""", NOT(REGEXMATCH(C12303, ""薪資""))), ""內部轉帳(忽略)"",
  REGEXMATCH(C12303, ""薪資""), ""薪資變動(不計入)"",
  REGEXMATCH(C12303, ""押金""), ""押金往來"",
  AND(E12303&lt;&gt;"""", F12303=""""), ""真實支出"",
  AND(E12303="""", F12303&lt;&gt;""""), ""真實收入"",
  TRUE, ""其他""
)"),"其他")</f>
        <v>其他</v>
      </c>
      <c r="K12303" s="270" t="str">
        <f t="shared" si="2"/>
        <v/>
      </c>
      <c r="L12303">
        <f t="shared" si="3"/>
        <v>0</v>
      </c>
    </row>
    <row r="12304">
      <c r="A12304" s="107"/>
      <c r="D12304" s="270"/>
      <c r="H12304" s="106" t="str">
        <f t="shared" si="1"/>
        <v/>
      </c>
      <c r="J12304" t="str">
        <f>IFERROR(__xludf.DUMMYFUNCTION("IFS(
  AND(REGEXMATCH(E12304, ""台銀籌備帳戶|玉山帳戶""), REGEXMATCH(C12304, ""薪資"")), ""分潤支出"",
  AND(REGEXMATCH(E12304, ""Ben帳戶|Elsa帳戶|Ben代墊|Ariel代墊|中信銀行共用""), REGEXMATCH(F12304, ""Ben帳戶|Elsa帳戶|Ben代墊|Ariel代墊|中信銀行共用"")), ""內部轉帳(忽略)"",
  AND(E12304&lt;&gt;"""", F12304&lt;&gt;"&amp;""""", NOT(REGEXMATCH(C12304, ""薪資""))), ""內部轉帳(忽略)"",
  REGEXMATCH(C12304, ""薪資""), ""薪資變動(不計入)"",
  REGEXMATCH(C12304, ""押金""), ""押金往來"",
  AND(E12304&lt;&gt;"""", F12304=""""), ""真實支出"",
  AND(E12304="""", F12304&lt;&gt;""""), ""真實收入"",
  TRUE, ""其他""
)"),"其他")</f>
        <v>其他</v>
      </c>
      <c r="K12304" s="270" t="str">
        <f t="shared" si="2"/>
        <v/>
      </c>
      <c r="L12304">
        <f t="shared" si="3"/>
        <v>0</v>
      </c>
    </row>
    <row r="12305">
      <c r="A12305" s="107"/>
      <c r="D12305" s="270"/>
      <c r="H12305" s="106" t="str">
        <f t="shared" si="1"/>
        <v/>
      </c>
      <c r="J12305" t="str">
        <f>IFERROR(__xludf.DUMMYFUNCTION("IFS(
  AND(REGEXMATCH(E12305, ""台銀籌備帳戶|玉山帳戶""), REGEXMATCH(C12305, ""薪資"")), ""分潤支出"",
  AND(REGEXMATCH(E12305, ""Ben帳戶|Elsa帳戶|Ben代墊|Ariel代墊|中信銀行共用""), REGEXMATCH(F12305, ""Ben帳戶|Elsa帳戶|Ben代墊|Ariel代墊|中信銀行共用"")), ""內部轉帳(忽略)"",
  AND(E12305&lt;&gt;"""", F12305&lt;&gt;"&amp;""""", NOT(REGEXMATCH(C12305, ""薪資""))), ""內部轉帳(忽略)"",
  REGEXMATCH(C12305, ""薪資""), ""薪資變動(不計入)"",
  REGEXMATCH(C12305, ""押金""), ""押金往來"",
  AND(E12305&lt;&gt;"""", F12305=""""), ""真實支出"",
  AND(E12305="""", F12305&lt;&gt;""""), ""真實收入"",
  TRUE, ""其他""
)"),"其他")</f>
        <v>其他</v>
      </c>
      <c r="K12305" s="270" t="str">
        <f t="shared" si="2"/>
        <v/>
      </c>
      <c r="L12305">
        <f t="shared" si="3"/>
        <v>0</v>
      </c>
    </row>
    <row r="12306">
      <c r="A12306" s="107"/>
      <c r="D12306" s="270"/>
      <c r="H12306" s="106" t="str">
        <f t="shared" si="1"/>
        <v/>
      </c>
      <c r="J12306" t="str">
        <f>IFERROR(__xludf.DUMMYFUNCTION("IFS(
  AND(REGEXMATCH(E12306, ""台銀籌備帳戶|玉山帳戶""), REGEXMATCH(C12306, ""薪資"")), ""分潤支出"",
  AND(REGEXMATCH(E12306, ""Ben帳戶|Elsa帳戶|Ben代墊|Ariel代墊|中信銀行共用""), REGEXMATCH(F12306, ""Ben帳戶|Elsa帳戶|Ben代墊|Ariel代墊|中信銀行共用"")), ""內部轉帳(忽略)"",
  AND(E12306&lt;&gt;"""", F12306&lt;&gt;"&amp;""""", NOT(REGEXMATCH(C12306, ""薪資""))), ""內部轉帳(忽略)"",
  REGEXMATCH(C12306, ""薪資""), ""薪資變動(不計入)"",
  REGEXMATCH(C12306, ""押金""), ""押金往來"",
  AND(E12306&lt;&gt;"""", F12306=""""), ""真實支出"",
  AND(E12306="""", F12306&lt;&gt;""""), ""真實收入"",
  TRUE, ""其他""
)"),"其他")</f>
        <v>其他</v>
      </c>
      <c r="K12306" s="270" t="str">
        <f t="shared" si="2"/>
        <v/>
      </c>
      <c r="L12306">
        <f t="shared" si="3"/>
        <v>0</v>
      </c>
    </row>
    <row r="12307">
      <c r="A12307" s="107"/>
      <c r="D12307" s="270"/>
      <c r="H12307" s="106" t="str">
        <f t="shared" si="1"/>
        <v/>
      </c>
      <c r="J12307" t="str">
        <f>IFERROR(__xludf.DUMMYFUNCTION("IFS(
  AND(REGEXMATCH(E12307, ""台銀籌備帳戶|玉山帳戶""), REGEXMATCH(C12307, ""薪資"")), ""分潤支出"",
  AND(REGEXMATCH(E12307, ""Ben帳戶|Elsa帳戶|Ben代墊|Ariel代墊|中信銀行共用""), REGEXMATCH(F12307, ""Ben帳戶|Elsa帳戶|Ben代墊|Ariel代墊|中信銀行共用"")), ""內部轉帳(忽略)"",
  AND(E12307&lt;&gt;"""", F12307&lt;&gt;"&amp;""""", NOT(REGEXMATCH(C12307, ""薪資""))), ""內部轉帳(忽略)"",
  REGEXMATCH(C12307, ""薪資""), ""薪資變動(不計入)"",
  REGEXMATCH(C12307, ""押金""), ""押金往來"",
  AND(E12307&lt;&gt;"""", F12307=""""), ""真實支出"",
  AND(E12307="""", F12307&lt;&gt;""""), ""真實收入"",
  TRUE, ""其他""
)"),"其他")</f>
        <v>其他</v>
      </c>
      <c r="K12307" s="270" t="str">
        <f t="shared" si="2"/>
        <v/>
      </c>
      <c r="L12307">
        <f t="shared" si="3"/>
        <v>0</v>
      </c>
    </row>
    <row r="12308">
      <c r="A12308" s="107"/>
      <c r="D12308" s="270"/>
      <c r="H12308" s="106" t="str">
        <f t="shared" si="1"/>
        <v/>
      </c>
      <c r="J12308" t="str">
        <f>IFERROR(__xludf.DUMMYFUNCTION("IFS(
  AND(REGEXMATCH(E12308, ""台銀籌備帳戶|玉山帳戶""), REGEXMATCH(C12308, ""薪資"")), ""分潤支出"",
  AND(REGEXMATCH(E12308, ""Ben帳戶|Elsa帳戶|Ben代墊|Ariel代墊|中信銀行共用""), REGEXMATCH(F12308, ""Ben帳戶|Elsa帳戶|Ben代墊|Ariel代墊|中信銀行共用"")), ""內部轉帳(忽略)"",
  AND(E12308&lt;&gt;"""", F12308&lt;&gt;"&amp;""""", NOT(REGEXMATCH(C12308, ""薪資""))), ""內部轉帳(忽略)"",
  REGEXMATCH(C12308, ""薪資""), ""薪資變動(不計入)"",
  REGEXMATCH(C12308, ""押金""), ""押金往來"",
  AND(E12308&lt;&gt;"""", F12308=""""), ""真實支出"",
  AND(E12308="""", F12308&lt;&gt;""""), ""真實收入"",
  TRUE, ""其他""
)"),"其他")</f>
        <v>其他</v>
      </c>
      <c r="K12308" s="270" t="str">
        <f t="shared" si="2"/>
        <v/>
      </c>
      <c r="L12308">
        <f t="shared" si="3"/>
        <v>0</v>
      </c>
    </row>
    <row r="12309">
      <c r="A12309" s="107"/>
      <c r="D12309" s="270"/>
      <c r="H12309" s="106" t="str">
        <f t="shared" si="1"/>
        <v/>
      </c>
      <c r="J12309" t="str">
        <f>IFERROR(__xludf.DUMMYFUNCTION("IFS(
  AND(REGEXMATCH(E12309, ""台銀籌備帳戶|玉山帳戶""), REGEXMATCH(C12309, ""薪資"")), ""分潤支出"",
  AND(REGEXMATCH(E12309, ""Ben帳戶|Elsa帳戶|Ben代墊|Ariel代墊|中信銀行共用""), REGEXMATCH(F12309, ""Ben帳戶|Elsa帳戶|Ben代墊|Ariel代墊|中信銀行共用"")), ""內部轉帳(忽略)"",
  AND(E12309&lt;&gt;"""", F12309&lt;&gt;"&amp;""""", NOT(REGEXMATCH(C12309, ""薪資""))), ""內部轉帳(忽略)"",
  REGEXMATCH(C12309, ""薪資""), ""薪資變動(不計入)"",
  REGEXMATCH(C12309, ""押金""), ""押金往來"",
  AND(E12309&lt;&gt;"""", F12309=""""), ""真實支出"",
  AND(E12309="""", F12309&lt;&gt;""""), ""真實收入"",
  TRUE, ""其他""
)"),"其他")</f>
        <v>其他</v>
      </c>
      <c r="K12309" s="270" t="str">
        <f t="shared" si="2"/>
        <v/>
      </c>
      <c r="L12309">
        <f t="shared" si="3"/>
        <v>0</v>
      </c>
    </row>
    <row r="12310">
      <c r="A12310" s="107"/>
      <c r="D12310" s="270"/>
      <c r="H12310" s="106" t="str">
        <f t="shared" si="1"/>
        <v/>
      </c>
      <c r="J12310" t="str">
        <f>IFERROR(__xludf.DUMMYFUNCTION("IFS(
  AND(REGEXMATCH(E12310, ""台銀籌備帳戶|玉山帳戶""), REGEXMATCH(C12310, ""薪資"")), ""分潤支出"",
  AND(REGEXMATCH(E12310, ""Ben帳戶|Elsa帳戶|Ben代墊|Ariel代墊|中信銀行共用""), REGEXMATCH(F12310, ""Ben帳戶|Elsa帳戶|Ben代墊|Ariel代墊|中信銀行共用"")), ""內部轉帳(忽略)"",
  AND(E12310&lt;&gt;"""", F12310&lt;&gt;"&amp;""""", NOT(REGEXMATCH(C12310, ""薪資""))), ""內部轉帳(忽略)"",
  REGEXMATCH(C12310, ""薪資""), ""薪資變動(不計入)"",
  REGEXMATCH(C12310, ""押金""), ""押金往來"",
  AND(E12310&lt;&gt;"""", F12310=""""), ""真實支出"",
  AND(E12310="""", F12310&lt;&gt;""""), ""真實收入"",
  TRUE, ""其他""
)"),"其他")</f>
        <v>其他</v>
      </c>
      <c r="K12310" s="270" t="str">
        <f t="shared" si="2"/>
        <v/>
      </c>
      <c r="L12310">
        <f t="shared" si="3"/>
        <v>0</v>
      </c>
    </row>
    <row r="12311">
      <c r="A12311" s="107"/>
      <c r="D12311" s="270"/>
      <c r="H12311" s="106" t="str">
        <f t="shared" si="1"/>
        <v/>
      </c>
      <c r="J12311" t="str">
        <f>IFERROR(__xludf.DUMMYFUNCTION("IFS(
  AND(REGEXMATCH(E12311, ""台銀籌備帳戶|玉山帳戶""), REGEXMATCH(C12311, ""薪資"")), ""分潤支出"",
  AND(REGEXMATCH(E12311, ""Ben帳戶|Elsa帳戶|Ben代墊|Ariel代墊|中信銀行共用""), REGEXMATCH(F12311, ""Ben帳戶|Elsa帳戶|Ben代墊|Ariel代墊|中信銀行共用"")), ""內部轉帳(忽略)"",
  AND(E12311&lt;&gt;"""", F12311&lt;&gt;"&amp;""""", NOT(REGEXMATCH(C12311, ""薪資""))), ""內部轉帳(忽略)"",
  REGEXMATCH(C12311, ""薪資""), ""薪資變動(不計入)"",
  REGEXMATCH(C12311, ""押金""), ""押金往來"",
  AND(E12311&lt;&gt;"""", F12311=""""), ""真實支出"",
  AND(E12311="""", F12311&lt;&gt;""""), ""真實收入"",
  TRUE, ""其他""
)"),"其他")</f>
        <v>其他</v>
      </c>
      <c r="K12311" s="270" t="str">
        <f t="shared" si="2"/>
        <v/>
      </c>
      <c r="L12311">
        <f t="shared" si="3"/>
        <v>0</v>
      </c>
    </row>
    <row r="12312">
      <c r="A12312" s="107"/>
      <c r="D12312" s="270"/>
      <c r="H12312" s="106" t="str">
        <f t="shared" si="1"/>
        <v/>
      </c>
      <c r="J12312" t="str">
        <f>IFERROR(__xludf.DUMMYFUNCTION("IFS(
  AND(REGEXMATCH(E12312, ""台銀籌備帳戶|玉山帳戶""), REGEXMATCH(C12312, ""薪資"")), ""分潤支出"",
  AND(REGEXMATCH(E12312, ""Ben帳戶|Elsa帳戶|Ben代墊|Ariel代墊|中信銀行共用""), REGEXMATCH(F12312, ""Ben帳戶|Elsa帳戶|Ben代墊|Ariel代墊|中信銀行共用"")), ""內部轉帳(忽略)"",
  AND(E12312&lt;&gt;"""", F12312&lt;&gt;"&amp;""""", NOT(REGEXMATCH(C12312, ""薪資""))), ""內部轉帳(忽略)"",
  REGEXMATCH(C12312, ""薪資""), ""薪資變動(不計入)"",
  REGEXMATCH(C12312, ""押金""), ""押金往來"",
  AND(E12312&lt;&gt;"""", F12312=""""), ""真實支出"",
  AND(E12312="""", F12312&lt;&gt;""""), ""真實收入"",
  TRUE, ""其他""
)"),"其他")</f>
        <v>其他</v>
      </c>
      <c r="K12312" s="270" t="str">
        <f t="shared" si="2"/>
        <v/>
      </c>
      <c r="L12312">
        <f t="shared" si="3"/>
        <v>0</v>
      </c>
    </row>
    <row r="12313">
      <c r="A12313" s="107"/>
      <c r="D12313" s="270"/>
      <c r="H12313" s="106" t="str">
        <f t="shared" si="1"/>
        <v/>
      </c>
      <c r="J12313" t="str">
        <f>IFERROR(__xludf.DUMMYFUNCTION("IFS(
  AND(REGEXMATCH(E12313, ""台銀籌備帳戶|玉山帳戶""), REGEXMATCH(C12313, ""薪資"")), ""分潤支出"",
  AND(REGEXMATCH(E12313, ""Ben帳戶|Elsa帳戶|Ben代墊|Ariel代墊|中信銀行共用""), REGEXMATCH(F12313, ""Ben帳戶|Elsa帳戶|Ben代墊|Ariel代墊|中信銀行共用"")), ""內部轉帳(忽略)"",
  AND(E12313&lt;&gt;"""", F12313&lt;&gt;"&amp;""""", NOT(REGEXMATCH(C12313, ""薪資""))), ""內部轉帳(忽略)"",
  REGEXMATCH(C12313, ""薪資""), ""薪資變動(不計入)"",
  REGEXMATCH(C12313, ""押金""), ""押金往來"",
  AND(E12313&lt;&gt;"""", F12313=""""), ""真實支出"",
  AND(E12313="""", F12313&lt;&gt;""""), ""真實收入"",
  TRUE, ""其他""
)"),"其他")</f>
        <v>其他</v>
      </c>
      <c r="K12313" s="270" t="str">
        <f t="shared" si="2"/>
        <v/>
      </c>
      <c r="L12313">
        <f t="shared" si="3"/>
        <v>0</v>
      </c>
    </row>
    <row r="12314">
      <c r="A12314" s="107"/>
      <c r="D12314" s="270"/>
      <c r="H12314" s="106" t="str">
        <f t="shared" si="1"/>
        <v/>
      </c>
      <c r="J12314" t="str">
        <f>IFERROR(__xludf.DUMMYFUNCTION("IFS(
  AND(REGEXMATCH(E12314, ""台銀籌備帳戶|玉山帳戶""), REGEXMATCH(C12314, ""薪資"")), ""分潤支出"",
  AND(REGEXMATCH(E12314, ""Ben帳戶|Elsa帳戶|Ben代墊|Ariel代墊|中信銀行共用""), REGEXMATCH(F12314, ""Ben帳戶|Elsa帳戶|Ben代墊|Ariel代墊|中信銀行共用"")), ""內部轉帳(忽略)"",
  AND(E12314&lt;&gt;"""", F12314&lt;&gt;"&amp;""""", NOT(REGEXMATCH(C12314, ""薪資""))), ""內部轉帳(忽略)"",
  REGEXMATCH(C12314, ""薪資""), ""薪資變動(不計入)"",
  REGEXMATCH(C12314, ""押金""), ""押金往來"",
  AND(E12314&lt;&gt;"""", F12314=""""), ""真實支出"",
  AND(E12314="""", F12314&lt;&gt;""""), ""真實收入"",
  TRUE, ""其他""
)"),"其他")</f>
        <v>其他</v>
      </c>
      <c r="K12314" s="270" t="str">
        <f t="shared" si="2"/>
        <v/>
      </c>
      <c r="L12314">
        <f t="shared" si="3"/>
        <v>0</v>
      </c>
    </row>
    <row r="12315">
      <c r="A12315" s="107"/>
      <c r="D12315" s="270"/>
      <c r="H12315" s="106" t="str">
        <f t="shared" si="1"/>
        <v/>
      </c>
      <c r="J12315" t="str">
        <f>IFERROR(__xludf.DUMMYFUNCTION("IFS(
  AND(REGEXMATCH(E12315, ""台銀籌備帳戶|玉山帳戶""), REGEXMATCH(C12315, ""薪資"")), ""分潤支出"",
  AND(REGEXMATCH(E12315, ""Ben帳戶|Elsa帳戶|Ben代墊|Ariel代墊|中信銀行共用""), REGEXMATCH(F12315, ""Ben帳戶|Elsa帳戶|Ben代墊|Ariel代墊|中信銀行共用"")), ""內部轉帳(忽略)"",
  AND(E12315&lt;&gt;"""", F12315&lt;&gt;"&amp;""""", NOT(REGEXMATCH(C12315, ""薪資""))), ""內部轉帳(忽略)"",
  REGEXMATCH(C12315, ""薪資""), ""薪資變動(不計入)"",
  REGEXMATCH(C12315, ""押金""), ""押金往來"",
  AND(E12315&lt;&gt;"""", F12315=""""), ""真實支出"",
  AND(E12315="""", F12315&lt;&gt;""""), ""真實收入"",
  TRUE, ""其他""
)"),"其他")</f>
        <v>其他</v>
      </c>
      <c r="K12315" s="270" t="str">
        <f t="shared" si="2"/>
        <v/>
      </c>
      <c r="L12315">
        <f t="shared" si="3"/>
        <v>0</v>
      </c>
    </row>
    <row r="12316">
      <c r="A12316" s="107"/>
      <c r="D12316" s="270"/>
      <c r="H12316" s="106" t="str">
        <f t="shared" si="1"/>
        <v/>
      </c>
      <c r="J12316" t="str">
        <f>IFERROR(__xludf.DUMMYFUNCTION("IFS(
  AND(REGEXMATCH(E12316, ""台銀籌備帳戶|玉山帳戶""), REGEXMATCH(C12316, ""薪資"")), ""分潤支出"",
  AND(REGEXMATCH(E12316, ""Ben帳戶|Elsa帳戶|Ben代墊|Ariel代墊|中信銀行共用""), REGEXMATCH(F12316, ""Ben帳戶|Elsa帳戶|Ben代墊|Ariel代墊|中信銀行共用"")), ""內部轉帳(忽略)"",
  AND(E12316&lt;&gt;"""", F12316&lt;&gt;"&amp;""""", NOT(REGEXMATCH(C12316, ""薪資""))), ""內部轉帳(忽略)"",
  REGEXMATCH(C12316, ""薪資""), ""薪資變動(不計入)"",
  REGEXMATCH(C12316, ""押金""), ""押金往來"",
  AND(E12316&lt;&gt;"""", F12316=""""), ""真實支出"",
  AND(E12316="""", F12316&lt;&gt;""""), ""真實收入"",
  TRUE, ""其他""
)"),"其他")</f>
        <v>其他</v>
      </c>
      <c r="K12316" s="270" t="str">
        <f t="shared" si="2"/>
        <v/>
      </c>
      <c r="L12316">
        <f t="shared" si="3"/>
        <v>0</v>
      </c>
    </row>
    <row r="12317">
      <c r="A12317" s="107"/>
      <c r="D12317" s="270"/>
      <c r="H12317" s="106" t="str">
        <f t="shared" si="1"/>
        <v/>
      </c>
      <c r="J12317" t="str">
        <f>IFERROR(__xludf.DUMMYFUNCTION("IFS(
  AND(REGEXMATCH(E12317, ""台銀籌備帳戶|玉山帳戶""), REGEXMATCH(C12317, ""薪資"")), ""分潤支出"",
  AND(REGEXMATCH(E12317, ""Ben帳戶|Elsa帳戶|Ben代墊|Ariel代墊|中信銀行共用""), REGEXMATCH(F12317, ""Ben帳戶|Elsa帳戶|Ben代墊|Ariel代墊|中信銀行共用"")), ""內部轉帳(忽略)"",
  AND(E12317&lt;&gt;"""", F12317&lt;&gt;"&amp;""""", NOT(REGEXMATCH(C12317, ""薪資""))), ""內部轉帳(忽略)"",
  REGEXMATCH(C12317, ""薪資""), ""薪資變動(不計入)"",
  REGEXMATCH(C12317, ""押金""), ""押金往來"",
  AND(E12317&lt;&gt;"""", F12317=""""), ""真實支出"",
  AND(E12317="""", F12317&lt;&gt;""""), ""真實收入"",
  TRUE, ""其他""
)"),"其他")</f>
        <v>其他</v>
      </c>
      <c r="K12317" s="270" t="str">
        <f t="shared" si="2"/>
        <v/>
      </c>
      <c r="L12317">
        <f t="shared" si="3"/>
        <v>0</v>
      </c>
    </row>
    <row r="12318">
      <c r="A12318" s="107"/>
      <c r="D12318" s="270"/>
      <c r="H12318" s="106" t="str">
        <f t="shared" si="1"/>
        <v/>
      </c>
      <c r="J12318" t="str">
        <f>IFERROR(__xludf.DUMMYFUNCTION("IFS(
  AND(REGEXMATCH(E12318, ""台銀籌備帳戶|玉山帳戶""), REGEXMATCH(C12318, ""薪資"")), ""分潤支出"",
  AND(REGEXMATCH(E12318, ""Ben帳戶|Elsa帳戶|Ben代墊|Ariel代墊|中信銀行共用""), REGEXMATCH(F12318, ""Ben帳戶|Elsa帳戶|Ben代墊|Ariel代墊|中信銀行共用"")), ""內部轉帳(忽略)"",
  AND(E12318&lt;&gt;"""", F12318&lt;&gt;"&amp;""""", NOT(REGEXMATCH(C12318, ""薪資""))), ""內部轉帳(忽略)"",
  REGEXMATCH(C12318, ""薪資""), ""薪資變動(不計入)"",
  REGEXMATCH(C12318, ""押金""), ""押金往來"",
  AND(E12318&lt;&gt;"""", F12318=""""), ""真實支出"",
  AND(E12318="""", F12318&lt;&gt;""""), ""真實收入"",
  TRUE, ""其他""
)"),"其他")</f>
        <v>其他</v>
      </c>
      <c r="K12318" s="270" t="str">
        <f t="shared" si="2"/>
        <v/>
      </c>
      <c r="L12318">
        <f t="shared" si="3"/>
        <v>0</v>
      </c>
    </row>
    <row r="12319">
      <c r="A12319" s="107"/>
      <c r="D12319" s="270"/>
      <c r="H12319" s="106" t="str">
        <f t="shared" si="1"/>
        <v/>
      </c>
      <c r="J12319" t="str">
        <f>IFERROR(__xludf.DUMMYFUNCTION("IFS(
  AND(REGEXMATCH(E12319, ""台銀籌備帳戶|玉山帳戶""), REGEXMATCH(C12319, ""薪資"")), ""分潤支出"",
  AND(REGEXMATCH(E12319, ""Ben帳戶|Elsa帳戶|Ben代墊|Ariel代墊|中信銀行共用""), REGEXMATCH(F12319, ""Ben帳戶|Elsa帳戶|Ben代墊|Ariel代墊|中信銀行共用"")), ""內部轉帳(忽略)"",
  AND(E12319&lt;&gt;"""", F12319&lt;&gt;"&amp;""""", NOT(REGEXMATCH(C12319, ""薪資""))), ""內部轉帳(忽略)"",
  REGEXMATCH(C12319, ""薪資""), ""薪資變動(不計入)"",
  REGEXMATCH(C12319, ""押金""), ""押金往來"",
  AND(E12319&lt;&gt;"""", F12319=""""), ""真實支出"",
  AND(E12319="""", F12319&lt;&gt;""""), ""真實收入"",
  TRUE, ""其他""
)"),"其他")</f>
        <v>其他</v>
      </c>
      <c r="K12319" s="270" t="str">
        <f t="shared" si="2"/>
        <v/>
      </c>
      <c r="L12319">
        <f t="shared" si="3"/>
        <v>0</v>
      </c>
    </row>
    <row r="12320">
      <c r="A12320" s="107"/>
      <c r="D12320" s="270"/>
      <c r="H12320" s="106" t="str">
        <f t="shared" si="1"/>
        <v/>
      </c>
      <c r="J12320" t="str">
        <f>IFERROR(__xludf.DUMMYFUNCTION("IFS(
  AND(REGEXMATCH(E12320, ""台銀籌備帳戶|玉山帳戶""), REGEXMATCH(C12320, ""薪資"")), ""分潤支出"",
  AND(REGEXMATCH(E12320, ""Ben帳戶|Elsa帳戶|Ben代墊|Ariel代墊|中信銀行共用""), REGEXMATCH(F12320, ""Ben帳戶|Elsa帳戶|Ben代墊|Ariel代墊|中信銀行共用"")), ""內部轉帳(忽略)"",
  AND(E12320&lt;&gt;"""", F12320&lt;&gt;"&amp;""""", NOT(REGEXMATCH(C12320, ""薪資""))), ""內部轉帳(忽略)"",
  REGEXMATCH(C12320, ""薪資""), ""薪資變動(不計入)"",
  REGEXMATCH(C12320, ""押金""), ""押金往來"",
  AND(E12320&lt;&gt;"""", F12320=""""), ""真實支出"",
  AND(E12320="""", F12320&lt;&gt;""""), ""真實收入"",
  TRUE, ""其他""
)"),"其他")</f>
        <v>其他</v>
      </c>
      <c r="K12320" s="270" t="str">
        <f t="shared" si="2"/>
        <v/>
      </c>
      <c r="L12320">
        <f t="shared" si="3"/>
        <v>0</v>
      </c>
    </row>
    <row r="12321">
      <c r="A12321" s="107"/>
      <c r="D12321" s="270"/>
      <c r="H12321" s="106" t="str">
        <f t="shared" si="1"/>
        <v/>
      </c>
      <c r="J12321" t="str">
        <f>IFERROR(__xludf.DUMMYFUNCTION("IFS(
  AND(REGEXMATCH(E12321, ""台銀籌備帳戶|玉山帳戶""), REGEXMATCH(C12321, ""薪資"")), ""分潤支出"",
  AND(REGEXMATCH(E12321, ""Ben帳戶|Elsa帳戶|Ben代墊|Ariel代墊|中信銀行共用""), REGEXMATCH(F12321, ""Ben帳戶|Elsa帳戶|Ben代墊|Ariel代墊|中信銀行共用"")), ""內部轉帳(忽略)"",
  AND(E12321&lt;&gt;"""", F12321&lt;&gt;"&amp;""""", NOT(REGEXMATCH(C12321, ""薪資""))), ""內部轉帳(忽略)"",
  REGEXMATCH(C12321, ""薪資""), ""薪資變動(不計入)"",
  REGEXMATCH(C12321, ""押金""), ""押金往來"",
  AND(E12321&lt;&gt;"""", F12321=""""), ""真實支出"",
  AND(E12321="""", F12321&lt;&gt;""""), ""真實收入"",
  TRUE, ""其他""
)"),"其他")</f>
        <v>其他</v>
      </c>
      <c r="K12321" s="270" t="str">
        <f t="shared" si="2"/>
        <v/>
      </c>
      <c r="L12321">
        <f t="shared" si="3"/>
        <v>0</v>
      </c>
    </row>
    <row r="12322">
      <c r="A12322" s="107"/>
      <c r="D12322" s="270"/>
      <c r="H12322" s="106" t="str">
        <f t="shared" si="1"/>
        <v/>
      </c>
      <c r="J12322" t="str">
        <f>IFERROR(__xludf.DUMMYFUNCTION("IFS(
  AND(REGEXMATCH(E12322, ""台銀籌備帳戶|玉山帳戶""), REGEXMATCH(C12322, ""薪資"")), ""分潤支出"",
  AND(REGEXMATCH(E12322, ""Ben帳戶|Elsa帳戶|Ben代墊|Ariel代墊|中信銀行共用""), REGEXMATCH(F12322, ""Ben帳戶|Elsa帳戶|Ben代墊|Ariel代墊|中信銀行共用"")), ""內部轉帳(忽略)"",
  AND(E12322&lt;&gt;"""", F12322&lt;&gt;"&amp;""""", NOT(REGEXMATCH(C12322, ""薪資""))), ""內部轉帳(忽略)"",
  REGEXMATCH(C12322, ""薪資""), ""薪資變動(不計入)"",
  REGEXMATCH(C12322, ""押金""), ""押金往來"",
  AND(E12322&lt;&gt;"""", F12322=""""), ""真實支出"",
  AND(E12322="""", F12322&lt;&gt;""""), ""真實收入"",
  TRUE, ""其他""
)"),"其他")</f>
        <v>其他</v>
      </c>
      <c r="K12322" s="270" t="str">
        <f t="shared" si="2"/>
        <v/>
      </c>
      <c r="L12322">
        <f t="shared" si="3"/>
        <v>0</v>
      </c>
    </row>
    <row r="12323">
      <c r="A12323" s="107"/>
      <c r="D12323" s="270"/>
      <c r="H12323" s="106" t="str">
        <f t="shared" si="1"/>
        <v/>
      </c>
      <c r="J12323" t="str">
        <f>IFERROR(__xludf.DUMMYFUNCTION("IFS(
  AND(REGEXMATCH(E12323, ""台銀籌備帳戶|玉山帳戶""), REGEXMATCH(C12323, ""薪資"")), ""分潤支出"",
  AND(REGEXMATCH(E12323, ""Ben帳戶|Elsa帳戶|Ben代墊|Ariel代墊|中信銀行共用""), REGEXMATCH(F12323, ""Ben帳戶|Elsa帳戶|Ben代墊|Ariel代墊|中信銀行共用"")), ""內部轉帳(忽略)"",
  AND(E12323&lt;&gt;"""", F12323&lt;&gt;"&amp;""""", NOT(REGEXMATCH(C12323, ""薪資""))), ""內部轉帳(忽略)"",
  REGEXMATCH(C12323, ""薪資""), ""薪資變動(不計入)"",
  REGEXMATCH(C12323, ""押金""), ""押金往來"",
  AND(E12323&lt;&gt;"""", F12323=""""), ""真實支出"",
  AND(E12323="""", F12323&lt;&gt;""""), ""真實收入"",
  TRUE, ""其他""
)"),"其他")</f>
        <v>其他</v>
      </c>
      <c r="K12323" s="270" t="str">
        <f t="shared" si="2"/>
        <v/>
      </c>
      <c r="L12323">
        <f t="shared" si="3"/>
        <v>0</v>
      </c>
    </row>
    <row r="12324">
      <c r="A12324" s="107"/>
      <c r="D12324" s="270"/>
      <c r="H12324" s="106" t="str">
        <f t="shared" si="1"/>
        <v/>
      </c>
      <c r="J12324" t="str">
        <f>IFERROR(__xludf.DUMMYFUNCTION("IFS(
  AND(REGEXMATCH(E12324, ""台銀籌備帳戶|玉山帳戶""), REGEXMATCH(C12324, ""薪資"")), ""分潤支出"",
  AND(REGEXMATCH(E12324, ""Ben帳戶|Elsa帳戶|Ben代墊|Ariel代墊|中信銀行共用""), REGEXMATCH(F12324, ""Ben帳戶|Elsa帳戶|Ben代墊|Ariel代墊|中信銀行共用"")), ""內部轉帳(忽略)"",
  AND(E12324&lt;&gt;"""", F12324&lt;&gt;"&amp;""""", NOT(REGEXMATCH(C12324, ""薪資""))), ""內部轉帳(忽略)"",
  REGEXMATCH(C12324, ""薪資""), ""薪資變動(不計入)"",
  REGEXMATCH(C12324, ""押金""), ""押金往來"",
  AND(E12324&lt;&gt;"""", F12324=""""), ""真實支出"",
  AND(E12324="""", F12324&lt;&gt;""""), ""真實收入"",
  TRUE, ""其他""
)"),"其他")</f>
        <v>其他</v>
      </c>
      <c r="K12324" s="270" t="str">
        <f t="shared" si="2"/>
        <v/>
      </c>
      <c r="L12324">
        <f t="shared" si="3"/>
        <v>0</v>
      </c>
    </row>
    <row r="12325">
      <c r="A12325" s="107"/>
      <c r="D12325" s="270"/>
      <c r="H12325" s="106" t="str">
        <f t="shared" si="1"/>
        <v/>
      </c>
      <c r="J12325" t="str">
        <f>IFERROR(__xludf.DUMMYFUNCTION("IFS(
  AND(REGEXMATCH(E12325, ""台銀籌備帳戶|玉山帳戶""), REGEXMATCH(C12325, ""薪資"")), ""分潤支出"",
  AND(REGEXMATCH(E12325, ""Ben帳戶|Elsa帳戶|Ben代墊|Ariel代墊|中信銀行共用""), REGEXMATCH(F12325, ""Ben帳戶|Elsa帳戶|Ben代墊|Ariel代墊|中信銀行共用"")), ""內部轉帳(忽略)"",
  AND(E12325&lt;&gt;"""", F12325&lt;&gt;"&amp;""""", NOT(REGEXMATCH(C12325, ""薪資""))), ""內部轉帳(忽略)"",
  REGEXMATCH(C12325, ""薪資""), ""薪資變動(不計入)"",
  REGEXMATCH(C12325, ""押金""), ""押金往來"",
  AND(E12325&lt;&gt;"""", F12325=""""), ""真實支出"",
  AND(E12325="""", F12325&lt;&gt;""""), ""真實收入"",
  TRUE, ""其他""
)"),"其他")</f>
        <v>其他</v>
      </c>
      <c r="K12325" s="270" t="str">
        <f t="shared" si="2"/>
        <v/>
      </c>
      <c r="L12325">
        <f t="shared" si="3"/>
        <v>0</v>
      </c>
    </row>
    <row r="12326">
      <c r="A12326" s="107"/>
      <c r="D12326" s="270"/>
      <c r="H12326" s="106" t="str">
        <f t="shared" si="1"/>
        <v/>
      </c>
      <c r="J12326" t="str">
        <f>IFERROR(__xludf.DUMMYFUNCTION("IFS(
  AND(REGEXMATCH(E12326, ""台銀籌備帳戶|玉山帳戶""), REGEXMATCH(C12326, ""薪資"")), ""分潤支出"",
  AND(REGEXMATCH(E12326, ""Ben帳戶|Elsa帳戶|Ben代墊|Ariel代墊|中信銀行共用""), REGEXMATCH(F12326, ""Ben帳戶|Elsa帳戶|Ben代墊|Ariel代墊|中信銀行共用"")), ""內部轉帳(忽略)"",
  AND(E12326&lt;&gt;"""", F12326&lt;&gt;"&amp;""""", NOT(REGEXMATCH(C12326, ""薪資""))), ""內部轉帳(忽略)"",
  REGEXMATCH(C12326, ""薪資""), ""薪資變動(不計入)"",
  REGEXMATCH(C12326, ""押金""), ""押金往來"",
  AND(E12326&lt;&gt;"""", F12326=""""), ""真實支出"",
  AND(E12326="""", F12326&lt;&gt;""""), ""真實收入"",
  TRUE, ""其他""
)"),"其他")</f>
        <v>其他</v>
      </c>
      <c r="K12326" s="270" t="str">
        <f t="shared" si="2"/>
        <v/>
      </c>
      <c r="L12326">
        <f t="shared" si="3"/>
        <v>0</v>
      </c>
    </row>
    <row r="12327">
      <c r="A12327" s="107"/>
      <c r="D12327" s="270"/>
      <c r="H12327" s="106" t="str">
        <f t="shared" si="1"/>
        <v/>
      </c>
      <c r="J12327" t="str">
        <f>IFERROR(__xludf.DUMMYFUNCTION("IFS(
  AND(REGEXMATCH(E12327, ""台銀籌備帳戶|玉山帳戶""), REGEXMATCH(C12327, ""薪資"")), ""分潤支出"",
  AND(REGEXMATCH(E12327, ""Ben帳戶|Elsa帳戶|Ben代墊|Ariel代墊|中信銀行共用""), REGEXMATCH(F12327, ""Ben帳戶|Elsa帳戶|Ben代墊|Ariel代墊|中信銀行共用"")), ""內部轉帳(忽略)"",
  AND(E12327&lt;&gt;"""", F12327&lt;&gt;"&amp;""""", NOT(REGEXMATCH(C12327, ""薪資""))), ""內部轉帳(忽略)"",
  REGEXMATCH(C12327, ""薪資""), ""薪資變動(不計入)"",
  REGEXMATCH(C12327, ""押金""), ""押金往來"",
  AND(E12327&lt;&gt;"""", F12327=""""), ""真實支出"",
  AND(E12327="""", F12327&lt;&gt;""""), ""真實收入"",
  TRUE, ""其他""
)"),"其他")</f>
        <v>其他</v>
      </c>
      <c r="K12327" s="270" t="str">
        <f t="shared" si="2"/>
        <v/>
      </c>
      <c r="L12327">
        <f t="shared" si="3"/>
        <v>0</v>
      </c>
    </row>
    <row r="12328">
      <c r="A12328" s="107"/>
      <c r="D12328" s="270"/>
      <c r="H12328" s="106" t="str">
        <f t="shared" si="1"/>
        <v/>
      </c>
      <c r="J12328" t="str">
        <f>IFERROR(__xludf.DUMMYFUNCTION("IFS(
  AND(REGEXMATCH(E12328, ""台銀籌備帳戶|玉山帳戶""), REGEXMATCH(C12328, ""薪資"")), ""分潤支出"",
  AND(REGEXMATCH(E12328, ""Ben帳戶|Elsa帳戶|Ben代墊|Ariel代墊|中信銀行共用""), REGEXMATCH(F12328, ""Ben帳戶|Elsa帳戶|Ben代墊|Ariel代墊|中信銀行共用"")), ""內部轉帳(忽略)"",
  AND(E12328&lt;&gt;"""", F12328&lt;&gt;"&amp;""""", NOT(REGEXMATCH(C12328, ""薪資""))), ""內部轉帳(忽略)"",
  REGEXMATCH(C12328, ""薪資""), ""薪資變動(不計入)"",
  REGEXMATCH(C12328, ""押金""), ""押金往來"",
  AND(E12328&lt;&gt;"""", F12328=""""), ""真實支出"",
  AND(E12328="""", F12328&lt;&gt;""""), ""真實收入"",
  TRUE, ""其他""
)"),"其他")</f>
        <v>其他</v>
      </c>
      <c r="K12328" s="270" t="str">
        <f t="shared" si="2"/>
        <v/>
      </c>
      <c r="L12328">
        <f t="shared" si="3"/>
        <v>0</v>
      </c>
    </row>
    <row r="12329">
      <c r="A12329" s="107"/>
      <c r="D12329" s="270"/>
      <c r="H12329" s="106" t="str">
        <f t="shared" si="1"/>
        <v/>
      </c>
      <c r="J12329" t="str">
        <f>IFERROR(__xludf.DUMMYFUNCTION("IFS(
  AND(REGEXMATCH(E12329, ""台銀籌備帳戶|玉山帳戶""), REGEXMATCH(C12329, ""薪資"")), ""分潤支出"",
  AND(REGEXMATCH(E12329, ""Ben帳戶|Elsa帳戶|Ben代墊|Ariel代墊|中信銀行共用""), REGEXMATCH(F12329, ""Ben帳戶|Elsa帳戶|Ben代墊|Ariel代墊|中信銀行共用"")), ""內部轉帳(忽略)"",
  AND(E12329&lt;&gt;"""", F12329&lt;&gt;"&amp;""""", NOT(REGEXMATCH(C12329, ""薪資""))), ""內部轉帳(忽略)"",
  REGEXMATCH(C12329, ""薪資""), ""薪資變動(不計入)"",
  REGEXMATCH(C12329, ""押金""), ""押金往來"",
  AND(E12329&lt;&gt;"""", F12329=""""), ""真實支出"",
  AND(E12329="""", F12329&lt;&gt;""""), ""真實收入"",
  TRUE, ""其他""
)"),"其他")</f>
        <v>其他</v>
      </c>
      <c r="K12329" s="270" t="str">
        <f t="shared" si="2"/>
        <v/>
      </c>
      <c r="L12329">
        <f t="shared" si="3"/>
        <v>0</v>
      </c>
    </row>
    <row r="12330">
      <c r="A12330" s="107"/>
      <c r="D12330" s="270"/>
      <c r="H12330" s="106" t="str">
        <f t="shared" si="1"/>
        <v/>
      </c>
      <c r="J12330" t="str">
        <f>IFERROR(__xludf.DUMMYFUNCTION("IFS(
  AND(REGEXMATCH(E12330, ""台銀籌備帳戶|玉山帳戶""), REGEXMATCH(C12330, ""薪資"")), ""分潤支出"",
  AND(REGEXMATCH(E12330, ""Ben帳戶|Elsa帳戶|Ben代墊|Ariel代墊|中信銀行共用""), REGEXMATCH(F12330, ""Ben帳戶|Elsa帳戶|Ben代墊|Ariel代墊|中信銀行共用"")), ""內部轉帳(忽略)"",
  AND(E12330&lt;&gt;"""", F12330&lt;&gt;"&amp;""""", NOT(REGEXMATCH(C12330, ""薪資""))), ""內部轉帳(忽略)"",
  REGEXMATCH(C12330, ""薪資""), ""薪資變動(不計入)"",
  REGEXMATCH(C12330, ""押金""), ""押金往來"",
  AND(E12330&lt;&gt;"""", F12330=""""), ""真實支出"",
  AND(E12330="""", F12330&lt;&gt;""""), ""真實收入"",
  TRUE, ""其他""
)"),"其他")</f>
        <v>其他</v>
      </c>
      <c r="K12330" s="270" t="str">
        <f t="shared" si="2"/>
        <v/>
      </c>
      <c r="L12330">
        <f t="shared" si="3"/>
        <v>0</v>
      </c>
    </row>
    <row r="12331">
      <c r="A12331" s="107"/>
      <c r="D12331" s="270"/>
      <c r="H12331" s="106" t="str">
        <f t="shared" si="1"/>
        <v/>
      </c>
      <c r="J12331" t="str">
        <f>IFERROR(__xludf.DUMMYFUNCTION("IFS(
  AND(REGEXMATCH(E12331, ""台銀籌備帳戶|玉山帳戶""), REGEXMATCH(C12331, ""薪資"")), ""分潤支出"",
  AND(REGEXMATCH(E12331, ""Ben帳戶|Elsa帳戶|Ben代墊|Ariel代墊|中信銀行共用""), REGEXMATCH(F12331, ""Ben帳戶|Elsa帳戶|Ben代墊|Ariel代墊|中信銀行共用"")), ""內部轉帳(忽略)"",
  AND(E12331&lt;&gt;"""", F12331&lt;&gt;"&amp;""""", NOT(REGEXMATCH(C12331, ""薪資""))), ""內部轉帳(忽略)"",
  REGEXMATCH(C12331, ""薪資""), ""薪資變動(不計入)"",
  REGEXMATCH(C12331, ""押金""), ""押金往來"",
  AND(E12331&lt;&gt;"""", F12331=""""), ""真實支出"",
  AND(E12331="""", F12331&lt;&gt;""""), ""真實收入"",
  TRUE, ""其他""
)"),"其他")</f>
        <v>其他</v>
      </c>
      <c r="K12331" s="270" t="str">
        <f t="shared" si="2"/>
        <v/>
      </c>
      <c r="L12331">
        <f t="shared" si="3"/>
        <v>0</v>
      </c>
    </row>
    <row r="12332">
      <c r="A12332" s="107"/>
      <c r="D12332" s="270"/>
      <c r="H12332" s="106" t="str">
        <f t="shared" si="1"/>
        <v/>
      </c>
      <c r="J12332" t="str">
        <f>IFERROR(__xludf.DUMMYFUNCTION("IFS(
  AND(REGEXMATCH(E12332, ""台銀籌備帳戶|玉山帳戶""), REGEXMATCH(C12332, ""薪資"")), ""分潤支出"",
  AND(REGEXMATCH(E12332, ""Ben帳戶|Elsa帳戶|Ben代墊|Ariel代墊|中信銀行共用""), REGEXMATCH(F12332, ""Ben帳戶|Elsa帳戶|Ben代墊|Ariel代墊|中信銀行共用"")), ""內部轉帳(忽略)"",
  AND(E12332&lt;&gt;"""", F12332&lt;&gt;"&amp;""""", NOT(REGEXMATCH(C12332, ""薪資""))), ""內部轉帳(忽略)"",
  REGEXMATCH(C12332, ""薪資""), ""薪資變動(不計入)"",
  REGEXMATCH(C12332, ""押金""), ""押金往來"",
  AND(E12332&lt;&gt;"""", F12332=""""), ""真實支出"",
  AND(E12332="""", F12332&lt;&gt;""""), ""真實收入"",
  TRUE, ""其他""
)"),"其他")</f>
        <v>其他</v>
      </c>
      <c r="K12332" s="270" t="str">
        <f t="shared" si="2"/>
        <v/>
      </c>
      <c r="L12332">
        <f t="shared" si="3"/>
        <v>0</v>
      </c>
    </row>
    <row r="12333">
      <c r="A12333" s="107"/>
      <c r="D12333" s="270"/>
      <c r="H12333" s="106" t="str">
        <f t="shared" si="1"/>
        <v/>
      </c>
      <c r="J12333" t="str">
        <f>IFERROR(__xludf.DUMMYFUNCTION("IFS(
  AND(REGEXMATCH(E12333, ""台銀籌備帳戶|玉山帳戶""), REGEXMATCH(C12333, ""薪資"")), ""分潤支出"",
  AND(REGEXMATCH(E12333, ""Ben帳戶|Elsa帳戶|Ben代墊|Ariel代墊|中信銀行共用""), REGEXMATCH(F12333, ""Ben帳戶|Elsa帳戶|Ben代墊|Ariel代墊|中信銀行共用"")), ""內部轉帳(忽略)"",
  AND(E12333&lt;&gt;"""", F12333&lt;&gt;"&amp;""""", NOT(REGEXMATCH(C12333, ""薪資""))), ""內部轉帳(忽略)"",
  REGEXMATCH(C12333, ""薪資""), ""薪資變動(不計入)"",
  REGEXMATCH(C12333, ""押金""), ""押金往來"",
  AND(E12333&lt;&gt;"""", F12333=""""), ""真實支出"",
  AND(E12333="""", F12333&lt;&gt;""""), ""真實收入"",
  TRUE, ""其他""
)"),"其他")</f>
        <v>其他</v>
      </c>
      <c r="K12333" s="270" t="str">
        <f t="shared" si="2"/>
        <v/>
      </c>
      <c r="L12333">
        <f t="shared" si="3"/>
        <v>0</v>
      </c>
    </row>
    <row r="12334">
      <c r="A12334" s="107"/>
      <c r="D12334" s="270"/>
      <c r="H12334" s="106" t="str">
        <f t="shared" si="1"/>
        <v/>
      </c>
      <c r="J12334" t="str">
        <f>IFERROR(__xludf.DUMMYFUNCTION("IFS(
  AND(REGEXMATCH(E12334, ""台銀籌備帳戶|玉山帳戶""), REGEXMATCH(C12334, ""薪資"")), ""分潤支出"",
  AND(REGEXMATCH(E12334, ""Ben帳戶|Elsa帳戶|Ben代墊|Ariel代墊|中信銀行共用""), REGEXMATCH(F12334, ""Ben帳戶|Elsa帳戶|Ben代墊|Ariel代墊|中信銀行共用"")), ""內部轉帳(忽略)"",
  AND(E12334&lt;&gt;"""", F12334&lt;&gt;"&amp;""""", NOT(REGEXMATCH(C12334, ""薪資""))), ""內部轉帳(忽略)"",
  REGEXMATCH(C12334, ""薪資""), ""薪資變動(不計入)"",
  REGEXMATCH(C12334, ""押金""), ""押金往來"",
  AND(E12334&lt;&gt;"""", F12334=""""), ""真實支出"",
  AND(E12334="""", F12334&lt;&gt;""""), ""真實收入"",
  TRUE, ""其他""
)"),"其他")</f>
        <v>其他</v>
      </c>
      <c r="K12334" s="270" t="str">
        <f t="shared" si="2"/>
        <v/>
      </c>
      <c r="L12334">
        <f t="shared" si="3"/>
        <v>0</v>
      </c>
    </row>
    <row r="12335">
      <c r="A12335" s="107"/>
      <c r="D12335" s="270"/>
      <c r="H12335" s="106" t="str">
        <f t="shared" si="1"/>
        <v/>
      </c>
      <c r="J12335" t="str">
        <f>IFERROR(__xludf.DUMMYFUNCTION("IFS(
  AND(REGEXMATCH(E12335, ""台銀籌備帳戶|玉山帳戶""), REGEXMATCH(C12335, ""薪資"")), ""分潤支出"",
  AND(REGEXMATCH(E12335, ""Ben帳戶|Elsa帳戶|Ben代墊|Ariel代墊|中信銀行共用""), REGEXMATCH(F12335, ""Ben帳戶|Elsa帳戶|Ben代墊|Ariel代墊|中信銀行共用"")), ""內部轉帳(忽略)"",
  AND(E12335&lt;&gt;"""", F12335&lt;&gt;"&amp;""""", NOT(REGEXMATCH(C12335, ""薪資""))), ""內部轉帳(忽略)"",
  REGEXMATCH(C12335, ""薪資""), ""薪資變動(不計入)"",
  REGEXMATCH(C12335, ""押金""), ""押金往來"",
  AND(E12335&lt;&gt;"""", F12335=""""), ""真實支出"",
  AND(E12335="""", F12335&lt;&gt;""""), ""真實收入"",
  TRUE, ""其他""
)"),"其他")</f>
        <v>其他</v>
      </c>
      <c r="K12335" s="270" t="str">
        <f t="shared" si="2"/>
        <v/>
      </c>
      <c r="L12335">
        <f t="shared" si="3"/>
        <v>0</v>
      </c>
    </row>
    <row r="12336">
      <c r="A12336" s="107"/>
      <c r="D12336" s="270"/>
      <c r="H12336" s="106" t="str">
        <f t="shared" si="1"/>
        <v/>
      </c>
      <c r="J12336" t="str">
        <f>IFERROR(__xludf.DUMMYFUNCTION("IFS(
  AND(REGEXMATCH(E12336, ""台銀籌備帳戶|玉山帳戶""), REGEXMATCH(C12336, ""薪資"")), ""分潤支出"",
  AND(REGEXMATCH(E12336, ""Ben帳戶|Elsa帳戶|Ben代墊|Ariel代墊|中信銀行共用""), REGEXMATCH(F12336, ""Ben帳戶|Elsa帳戶|Ben代墊|Ariel代墊|中信銀行共用"")), ""內部轉帳(忽略)"",
  AND(E12336&lt;&gt;"""", F12336&lt;&gt;"&amp;""""", NOT(REGEXMATCH(C12336, ""薪資""))), ""內部轉帳(忽略)"",
  REGEXMATCH(C12336, ""薪資""), ""薪資變動(不計入)"",
  REGEXMATCH(C12336, ""押金""), ""押金往來"",
  AND(E12336&lt;&gt;"""", F12336=""""), ""真實支出"",
  AND(E12336="""", F12336&lt;&gt;""""), ""真實收入"",
  TRUE, ""其他""
)"),"其他")</f>
        <v>其他</v>
      </c>
      <c r="K12336" s="270" t="str">
        <f t="shared" si="2"/>
        <v/>
      </c>
      <c r="L12336">
        <f t="shared" si="3"/>
        <v>0</v>
      </c>
    </row>
    <row r="12337">
      <c r="A12337" s="107"/>
      <c r="D12337" s="270"/>
      <c r="H12337" s="106" t="str">
        <f t="shared" si="1"/>
        <v/>
      </c>
      <c r="J12337" t="str">
        <f>IFERROR(__xludf.DUMMYFUNCTION("IFS(
  AND(REGEXMATCH(E12337, ""台銀籌備帳戶|玉山帳戶""), REGEXMATCH(C12337, ""薪資"")), ""分潤支出"",
  AND(REGEXMATCH(E12337, ""Ben帳戶|Elsa帳戶|Ben代墊|Ariel代墊|中信銀行共用""), REGEXMATCH(F12337, ""Ben帳戶|Elsa帳戶|Ben代墊|Ariel代墊|中信銀行共用"")), ""內部轉帳(忽略)"",
  AND(E12337&lt;&gt;"""", F12337&lt;&gt;"&amp;""""", NOT(REGEXMATCH(C12337, ""薪資""))), ""內部轉帳(忽略)"",
  REGEXMATCH(C12337, ""薪資""), ""薪資變動(不計入)"",
  REGEXMATCH(C12337, ""押金""), ""押金往來"",
  AND(E12337&lt;&gt;"""", F12337=""""), ""真實支出"",
  AND(E12337="""", F12337&lt;&gt;""""), ""真實收入"",
  TRUE, ""其他""
)"),"其他")</f>
        <v>其他</v>
      </c>
      <c r="K12337" s="270" t="str">
        <f t="shared" si="2"/>
        <v/>
      </c>
      <c r="L12337">
        <f t="shared" si="3"/>
        <v>0</v>
      </c>
    </row>
    <row r="12338">
      <c r="A12338" s="107"/>
      <c r="D12338" s="270"/>
      <c r="H12338" s="106" t="str">
        <f t="shared" si="1"/>
        <v/>
      </c>
      <c r="J12338" t="str">
        <f>IFERROR(__xludf.DUMMYFUNCTION("IFS(
  AND(REGEXMATCH(E12338, ""台銀籌備帳戶|玉山帳戶""), REGEXMATCH(C12338, ""薪資"")), ""分潤支出"",
  AND(REGEXMATCH(E12338, ""Ben帳戶|Elsa帳戶|Ben代墊|Ariel代墊|中信銀行共用""), REGEXMATCH(F12338, ""Ben帳戶|Elsa帳戶|Ben代墊|Ariel代墊|中信銀行共用"")), ""內部轉帳(忽略)"",
  AND(E12338&lt;&gt;"""", F12338&lt;&gt;"&amp;""""", NOT(REGEXMATCH(C12338, ""薪資""))), ""內部轉帳(忽略)"",
  REGEXMATCH(C12338, ""薪資""), ""薪資變動(不計入)"",
  REGEXMATCH(C12338, ""押金""), ""押金往來"",
  AND(E12338&lt;&gt;"""", F12338=""""), ""真實支出"",
  AND(E12338="""", F12338&lt;&gt;""""), ""真實收入"",
  TRUE, ""其他""
)"),"其他")</f>
        <v>其他</v>
      </c>
      <c r="K12338" s="270" t="str">
        <f t="shared" si="2"/>
        <v/>
      </c>
      <c r="L12338">
        <f t="shared" si="3"/>
        <v>0</v>
      </c>
    </row>
    <row r="12339">
      <c r="A12339" s="107"/>
      <c r="D12339" s="270"/>
      <c r="H12339" s="106" t="str">
        <f t="shared" si="1"/>
        <v/>
      </c>
      <c r="J12339" t="str">
        <f>IFERROR(__xludf.DUMMYFUNCTION("IFS(
  AND(REGEXMATCH(E12339, ""台銀籌備帳戶|玉山帳戶""), REGEXMATCH(C12339, ""薪資"")), ""分潤支出"",
  AND(REGEXMATCH(E12339, ""Ben帳戶|Elsa帳戶|Ben代墊|Ariel代墊|中信銀行共用""), REGEXMATCH(F12339, ""Ben帳戶|Elsa帳戶|Ben代墊|Ariel代墊|中信銀行共用"")), ""內部轉帳(忽略)"",
  AND(E12339&lt;&gt;"""", F12339&lt;&gt;"&amp;""""", NOT(REGEXMATCH(C12339, ""薪資""))), ""內部轉帳(忽略)"",
  REGEXMATCH(C12339, ""薪資""), ""薪資變動(不計入)"",
  REGEXMATCH(C12339, ""押金""), ""押金往來"",
  AND(E12339&lt;&gt;"""", F12339=""""), ""真實支出"",
  AND(E12339="""", F12339&lt;&gt;""""), ""真實收入"",
  TRUE, ""其他""
)"),"其他")</f>
        <v>其他</v>
      </c>
      <c r="K12339" s="270" t="str">
        <f t="shared" si="2"/>
        <v/>
      </c>
      <c r="L12339">
        <f t="shared" si="3"/>
        <v>0</v>
      </c>
    </row>
    <row r="12340">
      <c r="A12340" s="107"/>
      <c r="D12340" s="270"/>
      <c r="H12340" s="106" t="str">
        <f t="shared" si="1"/>
        <v/>
      </c>
      <c r="J12340" t="str">
        <f>IFERROR(__xludf.DUMMYFUNCTION("IFS(
  AND(REGEXMATCH(E12340, ""台銀籌備帳戶|玉山帳戶""), REGEXMATCH(C12340, ""薪資"")), ""分潤支出"",
  AND(REGEXMATCH(E12340, ""Ben帳戶|Elsa帳戶|Ben代墊|Ariel代墊|中信銀行共用""), REGEXMATCH(F12340, ""Ben帳戶|Elsa帳戶|Ben代墊|Ariel代墊|中信銀行共用"")), ""內部轉帳(忽略)"",
  AND(E12340&lt;&gt;"""", F12340&lt;&gt;"&amp;""""", NOT(REGEXMATCH(C12340, ""薪資""))), ""內部轉帳(忽略)"",
  REGEXMATCH(C12340, ""薪資""), ""薪資變動(不計入)"",
  REGEXMATCH(C12340, ""押金""), ""押金往來"",
  AND(E12340&lt;&gt;"""", F12340=""""), ""真實支出"",
  AND(E12340="""", F12340&lt;&gt;""""), ""真實收入"",
  TRUE, ""其他""
)"),"其他")</f>
        <v>其他</v>
      </c>
      <c r="K12340" s="270" t="str">
        <f t="shared" si="2"/>
        <v/>
      </c>
      <c r="L12340">
        <f t="shared" si="3"/>
        <v>0</v>
      </c>
    </row>
    <row r="12341">
      <c r="A12341" s="107"/>
      <c r="D12341" s="270"/>
      <c r="H12341" s="106" t="str">
        <f t="shared" si="1"/>
        <v/>
      </c>
      <c r="J12341" t="str">
        <f>IFERROR(__xludf.DUMMYFUNCTION("IFS(
  AND(REGEXMATCH(E12341, ""台銀籌備帳戶|玉山帳戶""), REGEXMATCH(C12341, ""薪資"")), ""分潤支出"",
  AND(REGEXMATCH(E12341, ""Ben帳戶|Elsa帳戶|Ben代墊|Ariel代墊|中信銀行共用""), REGEXMATCH(F12341, ""Ben帳戶|Elsa帳戶|Ben代墊|Ariel代墊|中信銀行共用"")), ""內部轉帳(忽略)"",
  AND(E12341&lt;&gt;"""", F12341&lt;&gt;"&amp;""""", NOT(REGEXMATCH(C12341, ""薪資""))), ""內部轉帳(忽略)"",
  REGEXMATCH(C12341, ""薪資""), ""薪資變動(不計入)"",
  REGEXMATCH(C12341, ""押金""), ""押金往來"",
  AND(E12341&lt;&gt;"""", F12341=""""), ""真實支出"",
  AND(E12341="""", F12341&lt;&gt;""""), ""真實收入"",
  TRUE, ""其他""
)"),"其他")</f>
        <v>其他</v>
      </c>
      <c r="K12341" s="270" t="str">
        <f t="shared" si="2"/>
        <v/>
      </c>
      <c r="L12341">
        <f t="shared" si="3"/>
        <v>0</v>
      </c>
    </row>
    <row r="12342">
      <c r="A12342" s="107"/>
      <c r="D12342" s="270"/>
      <c r="H12342" s="106" t="str">
        <f t="shared" si="1"/>
        <v/>
      </c>
      <c r="J12342" t="str">
        <f>IFERROR(__xludf.DUMMYFUNCTION("IFS(
  AND(REGEXMATCH(E12342, ""台銀籌備帳戶|玉山帳戶""), REGEXMATCH(C12342, ""薪資"")), ""分潤支出"",
  AND(REGEXMATCH(E12342, ""Ben帳戶|Elsa帳戶|Ben代墊|Ariel代墊|中信銀行共用""), REGEXMATCH(F12342, ""Ben帳戶|Elsa帳戶|Ben代墊|Ariel代墊|中信銀行共用"")), ""內部轉帳(忽略)"",
  AND(E12342&lt;&gt;"""", F12342&lt;&gt;"&amp;""""", NOT(REGEXMATCH(C12342, ""薪資""))), ""內部轉帳(忽略)"",
  REGEXMATCH(C12342, ""薪資""), ""薪資變動(不計入)"",
  REGEXMATCH(C12342, ""押金""), ""押金往來"",
  AND(E12342&lt;&gt;"""", F12342=""""), ""真實支出"",
  AND(E12342="""", F12342&lt;&gt;""""), ""真實收入"",
  TRUE, ""其他""
)"),"其他")</f>
        <v>其他</v>
      </c>
      <c r="K12342" s="270" t="str">
        <f t="shared" si="2"/>
        <v/>
      </c>
      <c r="L12342">
        <f t="shared" si="3"/>
        <v>0</v>
      </c>
    </row>
    <row r="12343">
      <c r="A12343" s="107"/>
      <c r="D12343" s="270"/>
      <c r="H12343" s="106" t="str">
        <f t="shared" si="1"/>
        <v/>
      </c>
      <c r="J12343" t="str">
        <f>IFERROR(__xludf.DUMMYFUNCTION("IFS(
  AND(REGEXMATCH(E12343, ""台銀籌備帳戶|玉山帳戶""), REGEXMATCH(C12343, ""薪資"")), ""分潤支出"",
  AND(REGEXMATCH(E12343, ""Ben帳戶|Elsa帳戶|Ben代墊|Ariel代墊|中信銀行共用""), REGEXMATCH(F12343, ""Ben帳戶|Elsa帳戶|Ben代墊|Ariel代墊|中信銀行共用"")), ""內部轉帳(忽略)"",
  AND(E12343&lt;&gt;"""", F12343&lt;&gt;"&amp;""""", NOT(REGEXMATCH(C12343, ""薪資""))), ""內部轉帳(忽略)"",
  REGEXMATCH(C12343, ""薪資""), ""薪資變動(不計入)"",
  REGEXMATCH(C12343, ""押金""), ""押金往來"",
  AND(E12343&lt;&gt;"""", F12343=""""), ""真實支出"",
  AND(E12343="""", F12343&lt;&gt;""""), ""真實收入"",
  TRUE, ""其他""
)"),"其他")</f>
        <v>其他</v>
      </c>
      <c r="K12343" s="270" t="str">
        <f t="shared" si="2"/>
        <v/>
      </c>
      <c r="L12343">
        <f t="shared" si="3"/>
        <v>0</v>
      </c>
    </row>
    <row r="12344">
      <c r="A12344" s="107"/>
      <c r="D12344" s="270"/>
      <c r="H12344" s="106" t="str">
        <f t="shared" si="1"/>
        <v/>
      </c>
      <c r="J12344" t="str">
        <f>IFERROR(__xludf.DUMMYFUNCTION("IFS(
  AND(REGEXMATCH(E12344, ""台銀籌備帳戶|玉山帳戶""), REGEXMATCH(C12344, ""薪資"")), ""分潤支出"",
  AND(REGEXMATCH(E12344, ""Ben帳戶|Elsa帳戶|Ben代墊|Ariel代墊|中信銀行共用""), REGEXMATCH(F12344, ""Ben帳戶|Elsa帳戶|Ben代墊|Ariel代墊|中信銀行共用"")), ""內部轉帳(忽略)"",
  AND(E12344&lt;&gt;"""", F12344&lt;&gt;"&amp;""""", NOT(REGEXMATCH(C12344, ""薪資""))), ""內部轉帳(忽略)"",
  REGEXMATCH(C12344, ""薪資""), ""薪資變動(不計入)"",
  REGEXMATCH(C12344, ""押金""), ""押金往來"",
  AND(E12344&lt;&gt;"""", F12344=""""), ""真實支出"",
  AND(E12344="""", F12344&lt;&gt;""""), ""真實收入"",
  TRUE, ""其他""
)"),"其他")</f>
        <v>其他</v>
      </c>
      <c r="K12344" s="270" t="str">
        <f t="shared" si="2"/>
        <v/>
      </c>
      <c r="L12344">
        <f t="shared" si="3"/>
        <v>0</v>
      </c>
    </row>
    <row r="12345">
      <c r="A12345" s="107"/>
      <c r="D12345" s="270"/>
      <c r="H12345" s="106" t="str">
        <f t="shared" si="1"/>
        <v/>
      </c>
      <c r="J12345" t="str">
        <f>IFERROR(__xludf.DUMMYFUNCTION("IFS(
  AND(REGEXMATCH(E12345, ""台銀籌備帳戶|玉山帳戶""), REGEXMATCH(C12345, ""薪資"")), ""分潤支出"",
  AND(REGEXMATCH(E12345, ""Ben帳戶|Elsa帳戶|Ben代墊|Ariel代墊|中信銀行共用""), REGEXMATCH(F12345, ""Ben帳戶|Elsa帳戶|Ben代墊|Ariel代墊|中信銀行共用"")), ""內部轉帳(忽略)"",
  AND(E12345&lt;&gt;"""", F12345&lt;&gt;"&amp;""""", NOT(REGEXMATCH(C12345, ""薪資""))), ""內部轉帳(忽略)"",
  REGEXMATCH(C12345, ""薪資""), ""薪資變動(不計入)"",
  REGEXMATCH(C12345, ""押金""), ""押金往來"",
  AND(E12345&lt;&gt;"""", F12345=""""), ""真實支出"",
  AND(E12345="""", F12345&lt;&gt;""""), ""真實收入"",
  TRUE, ""其他""
)"),"其他")</f>
        <v>其他</v>
      </c>
      <c r="K12345" s="270" t="str">
        <f t="shared" si="2"/>
        <v/>
      </c>
      <c r="L12345">
        <f t="shared" si="3"/>
        <v>0</v>
      </c>
    </row>
    <row r="12346">
      <c r="A12346" s="107"/>
      <c r="D12346" s="270"/>
      <c r="H12346" s="106" t="str">
        <f t="shared" si="1"/>
        <v/>
      </c>
      <c r="J12346" t="str">
        <f>IFERROR(__xludf.DUMMYFUNCTION("IFS(
  AND(REGEXMATCH(E12346, ""台銀籌備帳戶|玉山帳戶""), REGEXMATCH(C12346, ""薪資"")), ""分潤支出"",
  AND(REGEXMATCH(E12346, ""Ben帳戶|Elsa帳戶|Ben代墊|Ariel代墊|中信銀行共用""), REGEXMATCH(F12346, ""Ben帳戶|Elsa帳戶|Ben代墊|Ariel代墊|中信銀行共用"")), ""內部轉帳(忽略)"",
  AND(E12346&lt;&gt;"""", F12346&lt;&gt;"&amp;""""", NOT(REGEXMATCH(C12346, ""薪資""))), ""內部轉帳(忽略)"",
  REGEXMATCH(C12346, ""薪資""), ""薪資變動(不計入)"",
  REGEXMATCH(C12346, ""押金""), ""押金往來"",
  AND(E12346&lt;&gt;"""", F12346=""""), ""真實支出"",
  AND(E12346="""", F12346&lt;&gt;""""), ""真實收入"",
  TRUE, ""其他""
)"),"其他")</f>
        <v>其他</v>
      </c>
      <c r="K12346" s="270" t="str">
        <f t="shared" si="2"/>
        <v/>
      </c>
      <c r="L12346">
        <f t="shared" si="3"/>
        <v>0</v>
      </c>
    </row>
    <row r="12347">
      <c r="A12347" s="107"/>
      <c r="D12347" s="270"/>
      <c r="H12347" s="106" t="str">
        <f t="shared" si="1"/>
        <v/>
      </c>
      <c r="J12347" t="str">
        <f>IFERROR(__xludf.DUMMYFUNCTION("IFS(
  AND(REGEXMATCH(E12347, ""台銀籌備帳戶|玉山帳戶""), REGEXMATCH(C12347, ""薪資"")), ""分潤支出"",
  AND(REGEXMATCH(E12347, ""Ben帳戶|Elsa帳戶|Ben代墊|Ariel代墊|中信銀行共用""), REGEXMATCH(F12347, ""Ben帳戶|Elsa帳戶|Ben代墊|Ariel代墊|中信銀行共用"")), ""內部轉帳(忽略)"",
  AND(E12347&lt;&gt;"""", F12347&lt;&gt;"&amp;""""", NOT(REGEXMATCH(C12347, ""薪資""))), ""內部轉帳(忽略)"",
  REGEXMATCH(C12347, ""薪資""), ""薪資變動(不計入)"",
  REGEXMATCH(C12347, ""押金""), ""押金往來"",
  AND(E12347&lt;&gt;"""", F12347=""""), ""真實支出"",
  AND(E12347="""", F12347&lt;&gt;""""), ""真實收入"",
  TRUE, ""其他""
)"),"其他")</f>
        <v>其他</v>
      </c>
      <c r="K12347" s="270" t="str">
        <f t="shared" si="2"/>
        <v/>
      </c>
      <c r="L12347">
        <f t="shared" si="3"/>
        <v>0</v>
      </c>
    </row>
    <row r="12348">
      <c r="A12348" s="107"/>
      <c r="D12348" s="270"/>
      <c r="H12348" s="106" t="str">
        <f t="shared" si="1"/>
        <v/>
      </c>
      <c r="J12348" t="str">
        <f>IFERROR(__xludf.DUMMYFUNCTION("IFS(
  AND(REGEXMATCH(E12348, ""台銀籌備帳戶|玉山帳戶""), REGEXMATCH(C12348, ""薪資"")), ""分潤支出"",
  AND(REGEXMATCH(E12348, ""Ben帳戶|Elsa帳戶|Ben代墊|Ariel代墊|中信銀行共用""), REGEXMATCH(F12348, ""Ben帳戶|Elsa帳戶|Ben代墊|Ariel代墊|中信銀行共用"")), ""內部轉帳(忽略)"",
  AND(E12348&lt;&gt;"""", F12348&lt;&gt;"&amp;""""", NOT(REGEXMATCH(C12348, ""薪資""))), ""內部轉帳(忽略)"",
  REGEXMATCH(C12348, ""薪資""), ""薪資變動(不計入)"",
  REGEXMATCH(C12348, ""押金""), ""押金往來"",
  AND(E12348&lt;&gt;"""", F12348=""""), ""真實支出"",
  AND(E12348="""", F12348&lt;&gt;""""), ""真實收入"",
  TRUE, ""其他""
)"),"其他")</f>
        <v>其他</v>
      </c>
      <c r="K12348" s="270" t="str">
        <f t="shared" si="2"/>
        <v/>
      </c>
      <c r="L12348">
        <f t="shared" si="3"/>
        <v>0</v>
      </c>
    </row>
    <row r="12349">
      <c r="A12349" s="107"/>
      <c r="D12349" s="270"/>
      <c r="H12349" s="106" t="str">
        <f t="shared" si="1"/>
        <v/>
      </c>
      <c r="J12349" t="str">
        <f>IFERROR(__xludf.DUMMYFUNCTION("IFS(
  AND(REGEXMATCH(E12349, ""台銀籌備帳戶|玉山帳戶""), REGEXMATCH(C12349, ""薪資"")), ""分潤支出"",
  AND(REGEXMATCH(E12349, ""Ben帳戶|Elsa帳戶|Ben代墊|Ariel代墊|中信銀行共用""), REGEXMATCH(F12349, ""Ben帳戶|Elsa帳戶|Ben代墊|Ariel代墊|中信銀行共用"")), ""內部轉帳(忽略)"",
  AND(E12349&lt;&gt;"""", F12349&lt;&gt;"&amp;""""", NOT(REGEXMATCH(C12349, ""薪資""))), ""內部轉帳(忽略)"",
  REGEXMATCH(C12349, ""薪資""), ""薪資變動(不計入)"",
  REGEXMATCH(C12349, ""押金""), ""押金往來"",
  AND(E12349&lt;&gt;"""", F12349=""""), ""真實支出"",
  AND(E12349="""", F12349&lt;&gt;""""), ""真實收入"",
  TRUE, ""其他""
)"),"其他")</f>
        <v>其他</v>
      </c>
      <c r="K12349" s="270" t="str">
        <f t="shared" si="2"/>
        <v/>
      </c>
      <c r="L12349">
        <f t="shared" si="3"/>
        <v>0</v>
      </c>
    </row>
    <row r="12350">
      <c r="A12350" s="107"/>
      <c r="D12350" s="270"/>
      <c r="H12350" s="106" t="str">
        <f t="shared" si="1"/>
        <v/>
      </c>
      <c r="J12350" t="str">
        <f>IFERROR(__xludf.DUMMYFUNCTION("IFS(
  AND(REGEXMATCH(E12350, ""台銀籌備帳戶|玉山帳戶""), REGEXMATCH(C12350, ""薪資"")), ""分潤支出"",
  AND(REGEXMATCH(E12350, ""Ben帳戶|Elsa帳戶|Ben代墊|Ariel代墊|中信銀行共用""), REGEXMATCH(F12350, ""Ben帳戶|Elsa帳戶|Ben代墊|Ariel代墊|中信銀行共用"")), ""內部轉帳(忽略)"",
  AND(E12350&lt;&gt;"""", F12350&lt;&gt;"&amp;""""", NOT(REGEXMATCH(C12350, ""薪資""))), ""內部轉帳(忽略)"",
  REGEXMATCH(C12350, ""薪資""), ""薪資變動(不計入)"",
  REGEXMATCH(C12350, ""押金""), ""押金往來"",
  AND(E12350&lt;&gt;"""", F12350=""""), ""真實支出"",
  AND(E12350="""", F12350&lt;&gt;""""), ""真實收入"",
  TRUE, ""其他""
)"),"其他")</f>
        <v>其他</v>
      </c>
      <c r="K12350" s="270" t="str">
        <f t="shared" si="2"/>
        <v/>
      </c>
      <c r="L12350">
        <f t="shared" si="3"/>
        <v>0</v>
      </c>
    </row>
    <row r="12351">
      <c r="A12351" s="107"/>
      <c r="D12351" s="270"/>
      <c r="H12351" s="106" t="str">
        <f t="shared" si="1"/>
        <v/>
      </c>
      <c r="J12351" t="str">
        <f>IFERROR(__xludf.DUMMYFUNCTION("IFS(
  AND(REGEXMATCH(E12351, ""台銀籌備帳戶|玉山帳戶""), REGEXMATCH(C12351, ""薪資"")), ""分潤支出"",
  AND(REGEXMATCH(E12351, ""Ben帳戶|Elsa帳戶|Ben代墊|Ariel代墊|中信銀行共用""), REGEXMATCH(F12351, ""Ben帳戶|Elsa帳戶|Ben代墊|Ariel代墊|中信銀行共用"")), ""內部轉帳(忽略)"",
  AND(E12351&lt;&gt;"""", F12351&lt;&gt;"&amp;""""", NOT(REGEXMATCH(C12351, ""薪資""))), ""內部轉帳(忽略)"",
  REGEXMATCH(C12351, ""薪資""), ""薪資變動(不計入)"",
  REGEXMATCH(C12351, ""押金""), ""押金往來"",
  AND(E12351&lt;&gt;"""", F12351=""""), ""真實支出"",
  AND(E12351="""", F12351&lt;&gt;""""), ""真實收入"",
  TRUE, ""其他""
)"),"其他")</f>
        <v>其他</v>
      </c>
      <c r="K12351" s="270" t="str">
        <f t="shared" si="2"/>
        <v/>
      </c>
      <c r="L12351">
        <f t="shared" si="3"/>
        <v>0</v>
      </c>
    </row>
    <row r="12352">
      <c r="A12352" s="107"/>
      <c r="D12352" s="270"/>
      <c r="H12352" s="106" t="str">
        <f t="shared" si="1"/>
        <v/>
      </c>
      <c r="J12352" t="str">
        <f>IFERROR(__xludf.DUMMYFUNCTION("IFS(
  AND(REGEXMATCH(E12352, ""台銀籌備帳戶|玉山帳戶""), REGEXMATCH(C12352, ""薪資"")), ""分潤支出"",
  AND(REGEXMATCH(E12352, ""Ben帳戶|Elsa帳戶|Ben代墊|Ariel代墊|中信銀行共用""), REGEXMATCH(F12352, ""Ben帳戶|Elsa帳戶|Ben代墊|Ariel代墊|中信銀行共用"")), ""內部轉帳(忽略)"",
  AND(E12352&lt;&gt;"""", F12352&lt;&gt;"&amp;""""", NOT(REGEXMATCH(C12352, ""薪資""))), ""內部轉帳(忽略)"",
  REGEXMATCH(C12352, ""薪資""), ""薪資變動(不計入)"",
  REGEXMATCH(C12352, ""押金""), ""押金往來"",
  AND(E12352&lt;&gt;"""", F12352=""""), ""真實支出"",
  AND(E12352="""", F12352&lt;&gt;""""), ""真實收入"",
  TRUE, ""其他""
)"),"其他")</f>
        <v>其他</v>
      </c>
      <c r="K12352" s="270" t="str">
        <f t="shared" si="2"/>
        <v/>
      </c>
      <c r="L12352">
        <f t="shared" si="3"/>
        <v>0</v>
      </c>
    </row>
    <row r="12353">
      <c r="A12353" s="107"/>
      <c r="D12353" s="270"/>
      <c r="H12353" s="106" t="str">
        <f t="shared" si="1"/>
        <v/>
      </c>
      <c r="J12353" t="str">
        <f>IFERROR(__xludf.DUMMYFUNCTION("IFS(
  AND(REGEXMATCH(E12353, ""台銀籌備帳戶|玉山帳戶""), REGEXMATCH(C12353, ""薪資"")), ""分潤支出"",
  AND(REGEXMATCH(E12353, ""Ben帳戶|Elsa帳戶|Ben代墊|Ariel代墊|中信銀行共用""), REGEXMATCH(F12353, ""Ben帳戶|Elsa帳戶|Ben代墊|Ariel代墊|中信銀行共用"")), ""內部轉帳(忽略)"",
  AND(E12353&lt;&gt;"""", F12353&lt;&gt;"&amp;""""", NOT(REGEXMATCH(C12353, ""薪資""))), ""內部轉帳(忽略)"",
  REGEXMATCH(C12353, ""薪資""), ""薪資變動(不計入)"",
  REGEXMATCH(C12353, ""押金""), ""押金往來"",
  AND(E12353&lt;&gt;"""", F12353=""""), ""真實支出"",
  AND(E12353="""", F12353&lt;&gt;""""), ""真實收入"",
  TRUE, ""其他""
)"),"其他")</f>
        <v>其他</v>
      </c>
      <c r="K12353" s="270" t="str">
        <f t="shared" si="2"/>
        <v/>
      </c>
      <c r="L12353">
        <f t="shared" si="3"/>
        <v>0</v>
      </c>
    </row>
    <row r="12354">
      <c r="A12354" s="107"/>
      <c r="D12354" s="270"/>
      <c r="H12354" s="106" t="str">
        <f t="shared" si="1"/>
        <v/>
      </c>
      <c r="J12354" t="str">
        <f>IFERROR(__xludf.DUMMYFUNCTION("IFS(
  AND(REGEXMATCH(E12354, ""台銀籌備帳戶|玉山帳戶""), REGEXMATCH(C12354, ""薪資"")), ""分潤支出"",
  AND(REGEXMATCH(E12354, ""Ben帳戶|Elsa帳戶|Ben代墊|Ariel代墊|中信銀行共用""), REGEXMATCH(F12354, ""Ben帳戶|Elsa帳戶|Ben代墊|Ariel代墊|中信銀行共用"")), ""內部轉帳(忽略)"",
  AND(E12354&lt;&gt;"""", F12354&lt;&gt;"&amp;""""", NOT(REGEXMATCH(C12354, ""薪資""))), ""內部轉帳(忽略)"",
  REGEXMATCH(C12354, ""薪資""), ""薪資變動(不計入)"",
  REGEXMATCH(C12354, ""押金""), ""押金往來"",
  AND(E12354&lt;&gt;"""", F12354=""""), ""真實支出"",
  AND(E12354="""", F12354&lt;&gt;""""), ""真實收入"",
  TRUE, ""其他""
)"),"其他")</f>
        <v>其他</v>
      </c>
      <c r="K12354" s="270" t="str">
        <f t="shared" si="2"/>
        <v/>
      </c>
      <c r="L12354">
        <f t="shared" si="3"/>
        <v>0</v>
      </c>
    </row>
    <row r="12355">
      <c r="A12355" s="107"/>
      <c r="D12355" s="270"/>
      <c r="H12355" s="106" t="str">
        <f t="shared" si="1"/>
        <v/>
      </c>
      <c r="J12355" t="str">
        <f>IFERROR(__xludf.DUMMYFUNCTION("IFS(
  AND(REGEXMATCH(E12355, ""台銀籌備帳戶|玉山帳戶""), REGEXMATCH(C12355, ""薪資"")), ""分潤支出"",
  AND(REGEXMATCH(E12355, ""Ben帳戶|Elsa帳戶|Ben代墊|Ariel代墊|中信銀行共用""), REGEXMATCH(F12355, ""Ben帳戶|Elsa帳戶|Ben代墊|Ariel代墊|中信銀行共用"")), ""內部轉帳(忽略)"",
  AND(E12355&lt;&gt;"""", F12355&lt;&gt;"&amp;""""", NOT(REGEXMATCH(C12355, ""薪資""))), ""內部轉帳(忽略)"",
  REGEXMATCH(C12355, ""薪資""), ""薪資變動(不計入)"",
  REGEXMATCH(C12355, ""押金""), ""押金往來"",
  AND(E12355&lt;&gt;"""", F12355=""""), ""真實支出"",
  AND(E12355="""", F12355&lt;&gt;""""), ""真實收入"",
  TRUE, ""其他""
)"),"其他")</f>
        <v>其他</v>
      </c>
      <c r="K12355" s="270" t="str">
        <f t="shared" si="2"/>
        <v/>
      </c>
      <c r="L12355">
        <f t="shared" si="3"/>
        <v>0</v>
      </c>
    </row>
    <row r="12356">
      <c r="A12356" s="107"/>
      <c r="D12356" s="270"/>
      <c r="H12356" s="106" t="str">
        <f t="shared" si="1"/>
        <v/>
      </c>
      <c r="J12356" t="str">
        <f>IFERROR(__xludf.DUMMYFUNCTION("IFS(
  AND(REGEXMATCH(E12356, ""台銀籌備帳戶|玉山帳戶""), REGEXMATCH(C12356, ""薪資"")), ""分潤支出"",
  AND(REGEXMATCH(E12356, ""Ben帳戶|Elsa帳戶|Ben代墊|Ariel代墊|中信銀行共用""), REGEXMATCH(F12356, ""Ben帳戶|Elsa帳戶|Ben代墊|Ariel代墊|中信銀行共用"")), ""內部轉帳(忽略)"",
  AND(E12356&lt;&gt;"""", F12356&lt;&gt;"&amp;""""", NOT(REGEXMATCH(C12356, ""薪資""))), ""內部轉帳(忽略)"",
  REGEXMATCH(C12356, ""薪資""), ""薪資變動(不計入)"",
  REGEXMATCH(C12356, ""押金""), ""押金往來"",
  AND(E12356&lt;&gt;"""", F12356=""""), ""真實支出"",
  AND(E12356="""", F12356&lt;&gt;""""), ""真實收入"",
  TRUE, ""其他""
)"),"其他")</f>
        <v>其他</v>
      </c>
      <c r="K12356" s="270" t="str">
        <f t="shared" si="2"/>
        <v/>
      </c>
      <c r="L12356">
        <f t="shared" si="3"/>
        <v>0</v>
      </c>
    </row>
    <row r="12357">
      <c r="A12357" s="107"/>
      <c r="D12357" s="270"/>
      <c r="H12357" s="106" t="str">
        <f t="shared" si="1"/>
        <v/>
      </c>
      <c r="J12357" t="str">
        <f>IFERROR(__xludf.DUMMYFUNCTION("IFS(
  AND(REGEXMATCH(E12357, ""台銀籌備帳戶|玉山帳戶""), REGEXMATCH(C12357, ""薪資"")), ""分潤支出"",
  AND(REGEXMATCH(E12357, ""Ben帳戶|Elsa帳戶|Ben代墊|Ariel代墊|中信銀行共用""), REGEXMATCH(F12357, ""Ben帳戶|Elsa帳戶|Ben代墊|Ariel代墊|中信銀行共用"")), ""內部轉帳(忽略)"",
  AND(E12357&lt;&gt;"""", F12357&lt;&gt;"&amp;""""", NOT(REGEXMATCH(C12357, ""薪資""))), ""內部轉帳(忽略)"",
  REGEXMATCH(C12357, ""薪資""), ""薪資變動(不計入)"",
  REGEXMATCH(C12357, ""押金""), ""押金往來"",
  AND(E12357&lt;&gt;"""", F12357=""""), ""真實支出"",
  AND(E12357="""", F12357&lt;&gt;""""), ""真實收入"",
  TRUE, ""其他""
)"),"其他")</f>
        <v>其他</v>
      </c>
      <c r="K12357" s="270" t="str">
        <f t="shared" si="2"/>
        <v/>
      </c>
      <c r="L12357">
        <f t="shared" si="3"/>
        <v>0</v>
      </c>
    </row>
    <row r="12358">
      <c r="A12358" s="107"/>
      <c r="D12358" s="270"/>
      <c r="H12358" s="106" t="str">
        <f t="shared" si="1"/>
        <v/>
      </c>
      <c r="J12358" t="str">
        <f>IFERROR(__xludf.DUMMYFUNCTION("IFS(
  AND(REGEXMATCH(E12358, ""台銀籌備帳戶|玉山帳戶""), REGEXMATCH(C12358, ""薪資"")), ""分潤支出"",
  AND(REGEXMATCH(E12358, ""Ben帳戶|Elsa帳戶|Ben代墊|Ariel代墊|中信銀行共用""), REGEXMATCH(F12358, ""Ben帳戶|Elsa帳戶|Ben代墊|Ariel代墊|中信銀行共用"")), ""內部轉帳(忽略)"",
  AND(E12358&lt;&gt;"""", F12358&lt;&gt;"&amp;""""", NOT(REGEXMATCH(C12358, ""薪資""))), ""內部轉帳(忽略)"",
  REGEXMATCH(C12358, ""薪資""), ""薪資變動(不計入)"",
  REGEXMATCH(C12358, ""押金""), ""押金往來"",
  AND(E12358&lt;&gt;"""", F12358=""""), ""真實支出"",
  AND(E12358="""", F12358&lt;&gt;""""), ""真實收入"",
  TRUE, ""其他""
)"),"其他")</f>
        <v>其他</v>
      </c>
      <c r="K12358" s="270" t="str">
        <f t="shared" si="2"/>
        <v/>
      </c>
      <c r="L12358">
        <f t="shared" si="3"/>
        <v>0</v>
      </c>
    </row>
    <row r="12359">
      <c r="A12359" s="107"/>
      <c r="D12359" s="270"/>
      <c r="H12359" s="106" t="str">
        <f t="shared" si="1"/>
        <v/>
      </c>
      <c r="J12359" t="str">
        <f>IFERROR(__xludf.DUMMYFUNCTION("IFS(
  AND(REGEXMATCH(E12359, ""台銀籌備帳戶|玉山帳戶""), REGEXMATCH(C12359, ""薪資"")), ""分潤支出"",
  AND(REGEXMATCH(E12359, ""Ben帳戶|Elsa帳戶|Ben代墊|Ariel代墊|中信銀行共用""), REGEXMATCH(F12359, ""Ben帳戶|Elsa帳戶|Ben代墊|Ariel代墊|中信銀行共用"")), ""內部轉帳(忽略)"",
  AND(E12359&lt;&gt;"""", F12359&lt;&gt;"&amp;""""", NOT(REGEXMATCH(C12359, ""薪資""))), ""內部轉帳(忽略)"",
  REGEXMATCH(C12359, ""薪資""), ""薪資變動(不計入)"",
  REGEXMATCH(C12359, ""押金""), ""押金往來"",
  AND(E12359&lt;&gt;"""", F12359=""""), ""真實支出"",
  AND(E12359="""", F12359&lt;&gt;""""), ""真實收入"",
  TRUE, ""其他""
)"),"其他")</f>
        <v>其他</v>
      </c>
      <c r="K12359" s="270" t="str">
        <f t="shared" si="2"/>
        <v/>
      </c>
      <c r="L12359">
        <f t="shared" si="3"/>
        <v>0</v>
      </c>
    </row>
    <row r="12360">
      <c r="A12360" s="107"/>
      <c r="D12360" s="270"/>
      <c r="H12360" s="106" t="str">
        <f t="shared" si="1"/>
        <v/>
      </c>
      <c r="J12360" t="str">
        <f>IFERROR(__xludf.DUMMYFUNCTION("IFS(
  AND(REGEXMATCH(E12360, ""台銀籌備帳戶|玉山帳戶""), REGEXMATCH(C12360, ""薪資"")), ""分潤支出"",
  AND(REGEXMATCH(E12360, ""Ben帳戶|Elsa帳戶|Ben代墊|Ariel代墊|中信銀行共用""), REGEXMATCH(F12360, ""Ben帳戶|Elsa帳戶|Ben代墊|Ariel代墊|中信銀行共用"")), ""內部轉帳(忽略)"",
  AND(E12360&lt;&gt;"""", F12360&lt;&gt;"&amp;""""", NOT(REGEXMATCH(C12360, ""薪資""))), ""內部轉帳(忽略)"",
  REGEXMATCH(C12360, ""薪資""), ""薪資變動(不計入)"",
  REGEXMATCH(C12360, ""押金""), ""押金往來"",
  AND(E12360&lt;&gt;"""", F12360=""""), ""真實支出"",
  AND(E12360="""", F12360&lt;&gt;""""), ""真實收入"",
  TRUE, ""其他""
)"),"其他")</f>
        <v>其他</v>
      </c>
      <c r="K12360" s="270" t="str">
        <f t="shared" si="2"/>
        <v/>
      </c>
      <c r="L12360">
        <f t="shared" si="3"/>
        <v>0</v>
      </c>
    </row>
    <row r="12361">
      <c r="A12361" s="107"/>
      <c r="D12361" s="270"/>
      <c r="H12361" s="106" t="str">
        <f t="shared" si="1"/>
        <v/>
      </c>
      <c r="J12361" t="str">
        <f>IFERROR(__xludf.DUMMYFUNCTION("IFS(
  AND(REGEXMATCH(E12361, ""台銀籌備帳戶|玉山帳戶""), REGEXMATCH(C12361, ""薪資"")), ""分潤支出"",
  AND(REGEXMATCH(E12361, ""Ben帳戶|Elsa帳戶|Ben代墊|Ariel代墊|中信銀行共用""), REGEXMATCH(F12361, ""Ben帳戶|Elsa帳戶|Ben代墊|Ariel代墊|中信銀行共用"")), ""內部轉帳(忽略)"",
  AND(E12361&lt;&gt;"""", F12361&lt;&gt;"&amp;""""", NOT(REGEXMATCH(C12361, ""薪資""))), ""內部轉帳(忽略)"",
  REGEXMATCH(C12361, ""薪資""), ""薪資變動(不計入)"",
  REGEXMATCH(C12361, ""押金""), ""押金往來"",
  AND(E12361&lt;&gt;"""", F12361=""""), ""真實支出"",
  AND(E12361="""", F12361&lt;&gt;""""), ""真實收入"",
  TRUE, ""其他""
)"),"其他")</f>
        <v>其他</v>
      </c>
      <c r="K12361" s="270" t="str">
        <f t="shared" si="2"/>
        <v/>
      </c>
      <c r="L12361">
        <f t="shared" si="3"/>
        <v>0</v>
      </c>
    </row>
    <row r="12362">
      <c r="A12362" s="107"/>
      <c r="D12362" s="270"/>
      <c r="H12362" s="106" t="str">
        <f t="shared" si="1"/>
        <v/>
      </c>
      <c r="J12362" t="str">
        <f>IFERROR(__xludf.DUMMYFUNCTION("IFS(
  AND(REGEXMATCH(E12362, ""台銀籌備帳戶|玉山帳戶""), REGEXMATCH(C12362, ""薪資"")), ""分潤支出"",
  AND(REGEXMATCH(E12362, ""Ben帳戶|Elsa帳戶|Ben代墊|Ariel代墊|中信銀行共用""), REGEXMATCH(F12362, ""Ben帳戶|Elsa帳戶|Ben代墊|Ariel代墊|中信銀行共用"")), ""內部轉帳(忽略)"",
  AND(E12362&lt;&gt;"""", F12362&lt;&gt;"&amp;""""", NOT(REGEXMATCH(C12362, ""薪資""))), ""內部轉帳(忽略)"",
  REGEXMATCH(C12362, ""薪資""), ""薪資變動(不計入)"",
  REGEXMATCH(C12362, ""押金""), ""押金往來"",
  AND(E12362&lt;&gt;"""", F12362=""""), ""真實支出"",
  AND(E12362="""", F12362&lt;&gt;""""), ""真實收入"",
  TRUE, ""其他""
)"),"其他")</f>
        <v>其他</v>
      </c>
      <c r="K12362" s="270" t="str">
        <f t="shared" si="2"/>
        <v/>
      </c>
      <c r="L12362">
        <f t="shared" si="3"/>
        <v>0</v>
      </c>
    </row>
    <row r="12363">
      <c r="A12363" s="107"/>
      <c r="D12363" s="270"/>
      <c r="H12363" s="106" t="str">
        <f t="shared" si="1"/>
        <v/>
      </c>
      <c r="J12363" t="str">
        <f>IFERROR(__xludf.DUMMYFUNCTION("IFS(
  AND(REGEXMATCH(E12363, ""台銀籌備帳戶|玉山帳戶""), REGEXMATCH(C12363, ""薪資"")), ""分潤支出"",
  AND(REGEXMATCH(E12363, ""Ben帳戶|Elsa帳戶|Ben代墊|Ariel代墊|中信銀行共用""), REGEXMATCH(F12363, ""Ben帳戶|Elsa帳戶|Ben代墊|Ariel代墊|中信銀行共用"")), ""內部轉帳(忽略)"",
  AND(E12363&lt;&gt;"""", F12363&lt;&gt;"&amp;""""", NOT(REGEXMATCH(C12363, ""薪資""))), ""內部轉帳(忽略)"",
  REGEXMATCH(C12363, ""薪資""), ""薪資變動(不計入)"",
  REGEXMATCH(C12363, ""押金""), ""押金往來"",
  AND(E12363&lt;&gt;"""", F12363=""""), ""真實支出"",
  AND(E12363="""", F12363&lt;&gt;""""), ""真實收入"",
  TRUE, ""其他""
)"),"其他")</f>
        <v>其他</v>
      </c>
      <c r="K12363" s="270" t="str">
        <f t="shared" si="2"/>
        <v/>
      </c>
      <c r="L12363">
        <f t="shared" si="3"/>
        <v>0</v>
      </c>
    </row>
    <row r="12364">
      <c r="A12364" s="107"/>
      <c r="D12364" s="270"/>
      <c r="H12364" s="106" t="str">
        <f t="shared" si="1"/>
        <v/>
      </c>
      <c r="J12364" t="str">
        <f>IFERROR(__xludf.DUMMYFUNCTION("IFS(
  AND(REGEXMATCH(E12364, ""台銀籌備帳戶|玉山帳戶""), REGEXMATCH(C12364, ""薪資"")), ""分潤支出"",
  AND(REGEXMATCH(E12364, ""Ben帳戶|Elsa帳戶|Ben代墊|Ariel代墊|中信銀行共用""), REGEXMATCH(F12364, ""Ben帳戶|Elsa帳戶|Ben代墊|Ariel代墊|中信銀行共用"")), ""內部轉帳(忽略)"",
  AND(E12364&lt;&gt;"""", F12364&lt;&gt;"&amp;""""", NOT(REGEXMATCH(C12364, ""薪資""))), ""內部轉帳(忽略)"",
  REGEXMATCH(C12364, ""薪資""), ""薪資變動(不計入)"",
  REGEXMATCH(C12364, ""押金""), ""押金往來"",
  AND(E12364&lt;&gt;"""", F12364=""""), ""真實支出"",
  AND(E12364="""", F12364&lt;&gt;""""), ""真實收入"",
  TRUE, ""其他""
)"),"其他")</f>
        <v>其他</v>
      </c>
      <c r="K12364" s="270" t="str">
        <f t="shared" si="2"/>
        <v/>
      </c>
      <c r="L12364">
        <f t="shared" si="3"/>
        <v>0</v>
      </c>
    </row>
    <row r="12365">
      <c r="A12365" s="107"/>
      <c r="D12365" s="270"/>
      <c r="H12365" s="106" t="str">
        <f t="shared" si="1"/>
        <v/>
      </c>
      <c r="J12365" t="str">
        <f>IFERROR(__xludf.DUMMYFUNCTION("IFS(
  AND(REGEXMATCH(E12365, ""台銀籌備帳戶|玉山帳戶""), REGEXMATCH(C12365, ""薪資"")), ""分潤支出"",
  AND(REGEXMATCH(E12365, ""Ben帳戶|Elsa帳戶|Ben代墊|Ariel代墊|中信銀行共用""), REGEXMATCH(F12365, ""Ben帳戶|Elsa帳戶|Ben代墊|Ariel代墊|中信銀行共用"")), ""內部轉帳(忽略)"",
  AND(E12365&lt;&gt;"""", F12365&lt;&gt;"&amp;""""", NOT(REGEXMATCH(C12365, ""薪資""))), ""內部轉帳(忽略)"",
  REGEXMATCH(C12365, ""薪資""), ""薪資變動(不計入)"",
  REGEXMATCH(C12365, ""押金""), ""押金往來"",
  AND(E12365&lt;&gt;"""", F12365=""""), ""真實支出"",
  AND(E12365="""", F12365&lt;&gt;""""), ""真實收入"",
  TRUE, ""其他""
)"),"其他")</f>
        <v>其他</v>
      </c>
      <c r="K12365" s="270" t="str">
        <f t="shared" si="2"/>
        <v/>
      </c>
      <c r="L12365">
        <f t="shared" si="3"/>
        <v>0</v>
      </c>
    </row>
    <row r="12366">
      <c r="A12366" s="107"/>
      <c r="D12366" s="270"/>
      <c r="H12366" s="106" t="str">
        <f t="shared" si="1"/>
        <v/>
      </c>
      <c r="J12366" t="str">
        <f>IFERROR(__xludf.DUMMYFUNCTION("IFS(
  AND(REGEXMATCH(E12366, ""台銀籌備帳戶|玉山帳戶""), REGEXMATCH(C12366, ""薪資"")), ""分潤支出"",
  AND(REGEXMATCH(E12366, ""Ben帳戶|Elsa帳戶|Ben代墊|Ariel代墊|中信銀行共用""), REGEXMATCH(F12366, ""Ben帳戶|Elsa帳戶|Ben代墊|Ariel代墊|中信銀行共用"")), ""內部轉帳(忽略)"",
  AND(E12366&lt;&gt;"""", F12366&lt;&gt;"&amp;""""", NOT(REGEXMATCH(C12366, ""薪資""))), ""內部轉帳(忽略)"",
  REGEXMATCH(C12366, ""薪資""), ""薪資變動(不計入)"",
  REGEXMATCH(C12366, ""押金""), ""押金往來"",
  AND(E12366&lt;&gt;"""", F12366=""""), ""真實支出"",
  AND(E12366="""", F12366&lt;&gt;""""), ""真實收入"",
  TRUE, ""其他""
)"),"其他")</f>
        <v>其他</v>
      </c>
      <c r="K12366" s="270" t="str">
        <f t="shared" si="2"/>
        <v/>
      </c>
      <c r="L12366">
        <f t="shared" si="3"/>
        <v>0</v>
      </c>
    </row>
    <row r="12367">
      <c r="A12367" s="107"/>
      <c r="D12367" s="270"/>
      <c r="H12367" s="106" t="str">
        <f t="shared" si="1"/>
        <v/>
      </c>
      <c r="J12367" t="str">
        <f>IFERROR(__xludf.DUMMYFUNCTION("IFS(
  AND(REGEXMATCH(E12367, ""台銀籌備帳戶|玉山帳戶""), REGEXMATCH(C12367, ""薪資"")), ""分潤支出"",
  AND(REGEXMATCH(E12367, ""Ben帳戶|Elsa帳戶|Ben代墊|Ariel代墊|中信銀行共用""), REGEXMATCH(F12367, ""Ben帳戶|Elsa帳戶|Ben代墊|Ariel代墊|中信銀行共用"")), ""內部轉帳(忽略)"",
  AND(E12367&lt;&gt;"""", F12367&lt;&gt;"&amp;""""", NOT(REGEXMATCH(C12367, ""薪資""))), ""內部轉帳(忽略)"",
  REGEXMATCH(C12367, ""薪資""), ""薪資變動(不計入)"",
  REGEXMATCH(C12367, ""押金""), ""押金往來"",
  AND(E12367&lt;&gt;"""", F12367=""""), ""真實支出"",
  AND(E12367="""", F12367&lt;&gt;""""), ""真實收入"",
  TRUE, ""其他""
)"),"其他")</f>
        <v>其他</v>
      </c>
      <c r="K12367" s="270" t="str">
        <f t="shared" si="2"/>
        <v/>
      </c>
      <c r="L12367">
        <f t="shared" si="3"/>
        <v>0</v>
      </c>
    </row>
    <row r="12368">
      <c r="A12368" s="107"/>
      <c r="D12368" s="270"/>
      <c r="H12368" s="106" t="str">
        <f t="shared" si="1"/>
        <v/>
      </c>
      <c r="J12368" t="str">
        <f>IFERROR(__xludf.DUMMYFUNCTION("IFS(
  AND(REGEXMATCH(E12368, ""台銀籌備帳戶|玉山帳戶""), REGEXMATCH(C12368, ""薪資"")), ""分潤支出"",
  AND(REGEXMATCH(E12368, ""Ben帳戶|Elsa帳戶|Ben代墊|Ariel代墊|中信銀行共用""), REGEXMATCH(F12368, ""Ben帳戶|Elsa帳戶|Ben代墊|Ariel代墊|中信銀行共用"")), ""內部轉帳(忽略)"",
  AND(E12368&lt;&gt;"""", F12368&lt;&gt;"&amp;""""", NOT(REGEXMATCH(C12368, ""薪資""))), ""內部轉帳(忽略)"",
  REGEXMATCH(C12368, ""薪資""), ""薪資變動(不計入)"",
  REGEXMATCH(C12368, ""押金""), ""押金往來"",
  AND(E12368&lt;&gt;"""", F12368=""""), ""真實支出"",
  AND(E12368="""", F12368&lt;&gt;""""), ""真實收入"",
  TRUE, ""其他""
)"),"其他")</f>
        <v>其他</v>
      </c>
      <c r="K12368" s="270" t="str">
        <f t="shared" si="2"/>
        <v/>
      </c>
      <c r="L12368">
        <f t="shared" si="3"/>
        <v>0</v>
      </c>
    </row>
    <row r="12369">
      <c r="A12369" s="107"/>
      <c r="D12369" s="270"/>
      <c r="H12369" s="106" t="str">
        <f t="shared" si="1"/>
        <v/>
      </c>
      <c r="J12369" t="str">
        <f>IFERROR(__xludf.DUMMYFUNCTION("IFS(
  AND(REGEXMATCH(E12369, ""台銀籌備帳戶|玉山帳戶""), REGEXMATCH(C12369, ""薪資"")), ""分潤支出"",
  AND(REGEXMATCH(E12369, ""Ben帳戶|Elsa帳戶|Ben代墊|Ariel代墊|中信銀行共用""), REGEXMATCH(F12369, ""Ben帳戶|Elsa帳戶|Ben代墊|Ariel代墊|中信銀行共用"")), ""內部轉帳(忽略)"",
  AND(E12369&lt;&gt;"""", F12369&lt;&gt;"&amp;""""", NOT(REGEXMATCH(C12369, ""薪資""))), ""內部轉帳(忽略)"",
  REGEXMATCH(C12369, ""薪資""), ""薪資變動(不計入)"",
  REGEXMATCH(C12369, ""押金""), ""押金往來"",
  AND(E12369&lt;&gt;"""", F12369=""""), ""真實支出"",
  AND(E12369="""", F12369&lt;&gt;""""), ""真實收入"",
  TRUE, ""其他""
)"),"其他")</f>
        <v>其他</v>
      </c>
      <c r="K12369" s="270" t="str">
        <f t="shared" si="2"/>
        <v/>
      </c>
      <c r="L12369">
        <f t="shared" si="3"/>
        <v>0</v>
      </c>
    </row>
    <row r="12370">
      <c r="A12370" s="107"/>
      <c r="D12370" s="270"/>
      <c r="H12370" s="106" t="str">
        <f t="shared" si="1"/>
        <v/>
      </c>
      <c r="J12370" t="str">
        <f>IFERROR(__xludf.DUMMYFUNCTION("IFS(
  AND(REGEXMATCH(E12370, ""台銀籌備帳戶|玉山帳戶""), REGEXMATCH(C12370, ""薪資"")), ""分潤支出"",
  AND(REGEXMATCH(E12370, ""Ben帳戶|Elsa帳戶|Ben代墊|Ariel代墊|中信銀行共用""), REGEXMATCH(F12370, ""Ben帳戶|Elsa帳戶|Ben代墊|Ariel代墊|中信銀行共用"")), ""內部轉帳(忽略)"",
  AND(E12370&lt;&gt;"""", F12370&lt;&gt;"&amp;""""", NOT(REGEXMATCH(C12370, ""薪資""))), ""內部轉帳(忽略)"",
  REGEXMATCH(C12370, ""薪資""), ""薪資變動(不計入)"",
  REGEXMATCH(C12370, ""押金""), ""押金往來"",
  AND(E12370&lt;&gt;"""", F12370=""""), ""真實支出"",
  AND(E12370="""", F12370&lt;&gt;""""), ""真實收入"",
  TRUE, ""其他""
)"),"其他")</f>
        <v>其他</v>
      </c>
      <c r="K12370" s="270" t="str">
        <f t="shared" si="2"/>
        <v/>
      </c>
      <c r="L12370">
        <f t="shared" si="3"/>
        <v>0</v>
      </c>
    </row>
    <row r="12371">
      <c r="A12371" s="107"/>
      <c r="D12371" s="270"/>
      <c r="H12371" s="106" t="str">
        <f t="shared" si="1"/>
        <v/>
      </c>
      <c r="J12371" t="str">
        <f>IFERROR(__xludf.DUMMYFUNCTION("IFS(
  AND(REGEXMATCH(E12371, ""台銀籌備帳戶|玉山帳戶""), REGEXMATCH(C12371, ""薪資"")), ""分潤支出"",
  AND(REGEXMATCH(E12371, ""Ben帳戶|Elsa帳戶|Ben代墊|Ariel代墊|中信銀行共用""), REGEXMATCH(F12371, ""Ben帳戶|Elsa帳戶|Ben代墊|Ariel代墊|中信銀行共用"")), ""內部轉帳(忽略)"",
  AND(E12371&lt;&gt;"""", F12371&lt;&gt;"&amp;""""", NOT(REGEXMATCH(C12371, ""薪資""))), ""內部轉帳(忽略)"",
  REGEXMATCH(C12371, ""薪資""), ""薪資變動(不計入)"",
  REGEXMATCH(C12371, ""押金""), ""押金往來"",
  AND(E12371&lt;&gt;"""", F12371=""""), ""真實支出"",
  AND(E12371="""", F12371&lt;&gt;""""), ""真實收入"",
  TRUE, ""其他""
)"),"其他")</f>
        <v>其他</v>
      </c>
      <c r="K12371" s="270" t="str">
        <f t="shared" si="2"/>
        <v/>
      </c>
      <c r="L12371">
        <f t="shared" si="3"/>
        <v>0</v>
      </c>
    </row>
    <row r="12372">
      <c r="A12372" s="107"/>
      <c r="D12372" s="270"/>
      <c r="H12372" s="106" t="str">
        <f t="shared" si="1"/>
        <v/>
      </c>
      <c r="J12372" t="str">
        <f>IFERROR(__xludf.DUMMYFUNCTION("IFS(
  AND(REGEXMATCH(E12372, ""台銀籌備帳戶|玉山帳戶""), REGEXMATCH(C12372, ""薪資"")), ""分潤支出"",
  AND(REGEXMATCH(E12372, ""Ben帳戶|Elsa帳戶|Ben代墊|Ariel代墊|中信銀行共用""), REGEXMATCH(F12372, ""Ben帳戶|Elsa帳戶|Ben代墊|Ariel代墊|中信銀行共用"")), ""內部轉帳(忽略)"",
  AND(E12372&lt;&gt;"""", F12372&lt;&gt;"&amp;""""", NOT(REGEXMATCH(C12372, ""薪資""))), ""內部轉帳(忽略)"",
  REGEXMATCH(C12372, ""薪資""), ""薪資變動(不計入)"",
  REGEXMATCH(C12372, ""押金""), ""押金往來"",
  AND(E12372&lt;&gt;"""", F12372=""""), ""真實支出"",
  AND(E12372="""", F12372&lt;&gt;""""), ""真實收入"",
  TRUE, ""其他""
)"),"其他")</f>
        <v>其他</v>
      </c>
      <c r="K12372" s="270" t="str">
        <f t="shared" si="2"/>
        <v/>
      </c>
      <c r="L12372">
        <f t="shared" si="3"/>
        <v>0</v>
      </c>
    </row>
    <row r="12373">
      <c r="A12373" s="107"/>
      <c r="D12373" s="270"/>
      <c r="H12373" s="106" t="str">
        <f t="shared" si="1"/>
        <v/>
      </c>
      <c r="J12373" t="str">
        <f>IFERROR(__xludf.DUMMYFUNCTION("IFS(
  AND(REGEXMATCH(E12373, ""台銀籌備帳戶|玉山帳戶""), REGEXMATCH(C12373, ""薪資"")), ""分潤支出"",
  AND(REGEXMATCH(E12373, ""Ben帳戶|Elsa帳戶|Ben代墊|Ariel代墊|中信銀行共用""), REGEXMATCH(F12373, ""Ben帳戶|Elsa帳戶|Ben代墊|Ariel代墊|中信銀行共用"")), ""內部轉帳(忽略)"",
  AND(E12373&lt;&gt;"""", F12373&lt;&gt;"&amp;""""", NOT(REGEXMATCH(C12373, ""薪資""))), ""內部轉帳(忽略)"",
  REGEXMATCH(C12373, ""薪資""), ""薪資變動(不計入)"",
  REGEXMATCH(C12373, ""押金""), ""押金往來"",
  AND(E12373&lt;&gt;"""", F12373=""""), ""真實支出"",
  AND(E12373="""", F12373&lt;&gt;""""), ""真實收入"",
  TRUE, ""其他""
)"),"其他")</f>
        <v>其他</v>
      </c>
      <c r="K12373" s="270" t="str">
        <f t="shared" si="2"/>
        <v/>
      </c>
      <c r="L12373">
        <f t="shared" si="3"/>
        <v>0</v>
      </c>
    </row>
    <row r="12374">
      <c r="A12374" s="107"/>
      <c r="D12374" s="270"/>
      <c r="H12374" s="106" t="str">
        <f t="shared" si="1"/>
        <v/>
      </c>
      <c r="J12374" t="str">
        <f>IFERROR(__xludf.DUMMYFUNCTION("IFS(
  AND(REGEXMATCH(E12374, ""台銀籌備帳戶|玉山帳戶""), REGEXMATCH(C12374, ""薪資"")), ""分潤支出"",
  AND(REGEXMATCH(E12374, ""Ben帳戶|Elsa帳戶|Ben代墊|Ariel代墊|中信銀行共用""), REGEXMATCH(F12374, ""Ben帳戶|Elsa帳戶|Ben代墊|Ariel代墊|中信銀行共用"")), ""內部轉帳(忽略)"",
  AND(E12374&lt;&gt;"""", F12374&lt;&gt;"&amp;""""", NOT(REGEXMATCH(C12374, ""薪資""))), ""內部轉帳(忽略)"",
  REGEXMATCH(C12374, ""薪資""), ""薪資變動(不計入)"",
  REGEXMATCH(C12374, ""押金""), ""押金往來"",
  AND(E12374&lt;&gt;"""", F12374=""""), ""真實支出"",
  AND(E12374="""", F12374&lt;&gt;""""), ""真實收入"",
  TRUE, ""其他""
)"),"其他")</f>
        <v>其他</v>
      </c>
      <c r="K12374" s="270" t="str">
        <f t="shared" si="2"/>
        <v/>
      </c>
      <c r="L12374">
        <f t="shared" si="3"/>
        <v>0</v>
      </c>
    </row>
    <row r="12375">
      <c r="A12375" s="107"/>
      <c r="D12375" s="270"/>
      <c r="H12375" s="106" t="str">
        <f t="shared" si="1"/>
        <v/>
      </c>
      <c r="J12375" t="str">
        <f>IFERROR(__xludf.DUMMYFUNCTION("IFS(
  AND(REGEXMATCH(E12375, ""台銀籌備帳戶|玉山帳戶""), REGEXMATCH(C12375, ""薪資"")), ""分潤支出"",
  AND(REGEXMATCH(E12375, ""Ben帳戶|Elsa帳戶|Ben代墊|Ariel代墊|中信銀行共用""), REGEXMATCH(F12375, ""Ben帳戶|Elsa帳戶|Ben代墊|Ariel代墊|中信銀行共用"")), ""內部轉帳(忽略)"",
  AND(E12375&lt;&gt;"""", F12375&lt;&gt;"&amp;""""", NOT(REGEXMATCH(C12375, ""薪資""))), ""內部轉帳(忽略)"",
  REGEXMATCH(C12375, ""薪資""), ""薪資變動(不計入)"",
  REGEXMATCH(C12375, ""押金""), ""押金往來"",
  AND(E12375&lt;&gt;"""", F12375=""""), ""真實支出"",
  AND(E12375="""", F12375&lt;&gt;""""), ""真實收入"",
  TRUE, ""其他""
)"),"其他")</f>
        <v>其他</v>
      </c>
      <c r="K12375" s="270" t="str">
        <f t="shared" si="2"/>
        <v/>
      </c>
      <c r="L12375">
        <f t="shared" si="3"/>
        <v>0</v>
      </c>
    </row>
    <row r="12376">
      <c r="A12376" s="107"/>
      <c r="D12376" s="270"/>
      <c r="H12376" s="106" t="str">
        <f t="shared" si="1"/>
        <v/>
      </c>
      <c r="J12376" t="str">
        <f>IFERROR(__xludf.DUMMYFUNCTION("IFS(
  AND(REGEXMATCH(E12376, ""台銀籌備帳戶|玉山帳戶""), REGEXMATCH(C12376, ""薪資"")), ""分潤支出"",
  AND(REGEXMATCH(E12376, ""Ben帳戶|Elsa帳戶|Ben代墊|Ariel代墊|中信銀行共用""), REGEXMATCH(F12376, ""Ben帳戶|Elsa帳戶|Ben代墊|Ariel代墊|中信銀行共用"")), ""內部轉帳(忽略)"",
  AND(E12376&lt;&gt;"""", F12376&lt;&gt;"&amp;""""", NOT(REGEXMATCH(C12376, ""薪資""))), ""內部轉帳(忽略)"",
  REGEXMATCH(C12376, ""薪資""), ""薪資變動(不計入)"",
  REGEXMATCH(C12376, ""押金""), ""押金往來"",
  AND(E12376&lt;&gt;"""", F12376=""""), ""真實支出"",
  AND(E12376="""", F12376&lt;&gt;""""), ""真實收入"",
  TRUE, ""其他""
)"),"其他")</f>
        <v>其他</v>
      </c>
      <c r="K12376" s="270" t="str">
        <f t="shared" si="2"/>
        <v/>
      </c>
      <c r="L12376">
        <f t="shared" si="3"/>
        <v>0</v>
      </c>
    </row>
    <row r="12377">
      <c r="A12377" s="107"/>
      <c r="D12377" s="270"/>
      <c r="H12377" s="106" t="str">
        <f t="shared" si="1"/>
        <v/>
      </c>
      <c r="J12377" t="str">
        <f>IFERROR(__xludf.DUMMYFUNCTION("IFS(
  AND(REGEXMATCH(E12377, ""台銀籌備帳戶|玉山帳戶""), REGEXMATCH(C12377, ""薪資"")), ""分潤支出"",
  AND(REGEXMATCH(E12377, ""Ben帳戶|Elsa帳戶|Ben代墊|Ariel代墊|中信銀行共用""), REGEXMATCH(F12377, ""Ben帳戶|Elsa帳戶|Ben代墊|Ariel代墊|中信銀行共用"")), ""內部轉帳(忽略)"",
  AND(E12377&lt;&gt;"""", F12377&lt;&gt;"&amp;""""", NOT(REGEXMATCH(C12377, ""薪資""))), ""內部轉帳(忽略)"",
  REGEXMATCH(C12377, ""薪資""), ""薪資變動(不計入)"",
  REGEXMATCH(C12377, ""押金""), ""押金往來"",
  AND(E12377&lt;&gt;"""", F12377=""""), ""真實支出"",
  AND(E12377="""", F12377&lt;&gt;""""), ""真實收入"",
  TRUE, ""其他""
)"),"其他")</f>
        <v>其他</v>
      </c>
      <c r="K12377" s="270" t="str">
        <f t="shared" si="2"/>
        <v/>
      </c>
      <c r="L12377">
        <f t="shared" si="3"/>
        <v>0</v>
      </c>
    </row>
    <row r="12378">
      <c r="A12378" s="107"/>
      <c r="D12378" s="270"/>
      <c r="H12378" s="106" t="str">
        <f t="shared" si="1"/>
        <v/>
      </c>
      <c r="J12378" t="str">
        <f>IFERROR(__xludf.DUMMYFUNCTION("IFS(
  AND(REGEXMATCH(E12378, ""台銀籌備帳戶|玉山帳戶""), REGEXMATCH(C12378, ""薪資"")), ""分潤支出"",
  AND(REGEXMATCH(E12378, ""Ben帳戶|Elsa帳戶|Ben代墊|Ariel代墊|中信銀行共用""), REGEXMATCH(F12378, ""Ben帳戶|Elsa帳戶|Ben代墊|Ariel代墊|中信銀行共用"")), ""內部轉帳(忽略)"",
  AND(E12378&lt;&gt;"""", F12378&lt;&gt;"&amp;""""", NOT(REGEXMATCH(C12378, ""薪資""))), ""內部轉帳(忽略)"",
  REGEXMATCH(C12378, ""薪資""), ""薪資變動(不計入)"",
  REGEXMATCH(C12378, ""押金""), ""押金往來"",
  AND(E12378&lt;&gt;"""", F12378=""""), ""真實支出"",
  AND(E12378="""", F12378&lt;&gt;""""), ""真實收入"",
  TRUE, ""其他""
)"),"其他")</f>
        <v>其他</v>
      </c>
      <c r="K12378" s="270" t="str">
        <f t="shared" si="2"/>
        <v/>
      </c>
      <c r="L12378">
        <f t="shared" si="3"/>
        <v>0</v>
      </c>
    </row>
    <row r="12379">
      <c r="A12379" s="107"/>
      <c r="D12379" s="270"/>
      <c r="H12379" s="106" t="str">
        <f t="shared" si="1"/>
        <v/>
      </c>
      <c r="J12379" t="str">
        <f>IFERROR(__xludf.DUMMYFUNCTION("IFS(
  AND(REGEXMATCH(E12379, ""台銀籌備帳戶|玉山帳戶""), REGEXMATCH(C12379, ""薪資"")), ""分潤支出"",
  AND(REGEXMATCH(E12379, ""Ben帳戶|Elsa帳戶|Ben代墊|Ariel代墊|中信銀行共用""), REGEXMATCH(F12379, ""Ben帳戶|Elsa帳戶|Ben代墊|Ariel代墊|中信銀行共用"")), ""內部轉帳(忽略)"",
  AND(E12379&lt;&gt;"""", F12379&lt;&gt;"&amp;""""", NOT(REGEXMATCH(C12379, ""薪資""))), ""內部轉帳(忽略)"",
  REGEXMATCH(C12379, ""薪資""), ""薪資變動(不計入)"",
  REGEXMATCH(C12379, ""押金""), ""押金往來"",
  AND(E12379&lt;&gt;"""", F12379=""""), ""真實支出"",
  AND(E12379="""", F12379&lt;&gt;""""), ""真實收入"",
  TRUE, ""其他""
)"),"其他")</f>
        <v>其他</v>
      </c>
      <c r="K12379" s="270" t="str">
        <f t="shared" si="2"/>
        <v/>
      </c>
      <c r="L12379">
        <f t="shared" si="3"/>
        <v>0</v>
      </c>
    </row>
    <row r="12380">
      <c r="A12380" s="107"/>
      <c r="D12380" s="270"/>
      <c r="H12380" s="106" t="str">
        <f t="shared" si="1"/>
        <v/>
      </c>
      <c r="J12380" t="str">
        <f>IFERROR(__xludf.DUMMYFUNCTION("IFS(
  AND(REGEXMATCH(E12380, ""台銀籌備帳戶|玉山帳戶""), REGEXMATCH(C12380, ""薪資"")), ""分潤支出"",
  AND(REGEXMATCH(E12380, ""Ben帳戶|Elsa帳戶|Ben代墊|Ariel代墊|中信銀行共用""), REGEXMATCH(F12380, ""Ben帳戶|Elsa帳戶|Ben代墊|Ariel代墊|中信銀行共用"")), ""內部轉帳(忽略)"",
  AND(E12380&lt;&gt;"""", F12380&lt;&gt;"&amp;""""", NOT(REGEXMATCH(C12380, ""薪資""))), ""內部轉帳(忽略)"",
  REGEXMATCH(C12380, ""薪資""), ""薪資變動(不計入)"",
  REGEXMATCH(C12380, ""押金""), ""押金往來"",
  AND(E12380&lt;&gt;"""", F12380=""""), ""真實支出"",
  AND(E12380="""", F12380&lt;&gt;""""), ""真實收入"",
  TRUE, ""其他""
)"),"其他")</f>
        <v>其他</v>
      </c>
      <c r="K12380" s="270" t="str">
        <f t="shared" si="2"/>
        <v/>
      </c>
      <c r="L12380">
        <f t="shared" si="3"/>
        <v>0</v>
      </c>
    </row>
    <row r="12381">
      <c r="A12381" s="107"/>
      <c r="D12381" s="270"/>
      <c r="H12381" s="106" t="str">
        <f t="shared" si="1"/>
        <v/>
      </c>
      <c r="J12381" t="str">
        <f>IFERROR(__xludf.DUMMYFUNCTION("IFS(
  AND(REGEXMATCH(E12381, ""台銀籌備帳戶|玉山帳戶""), REGEXMATCH(C12381, ""薪資"")), ""分潤支出"",
  AND(REGEXMATCH(E12381, ""Ben帳戶|Elsa帳戶|Ben代墊|Ariel代墊|中信銀行共用""), REGEXMATCH(F12381, ""Ben帳戶|Elsa帳戶|Ben代墊|Ariel代墊|中信銀行共用"")), ""內部轉帳(忽略)"",
  AND(E12381&lt;&gt;"""", F12381&lt;&gt;"&amp;""""", NOT(REGEXMATCH(C12381, ""薪資""))), ""內部轉帳(忽略)"",
  REGEXMATCH(C12381, ""薪資""), ""薪資變動(不計入)"",
  REGEXMATCH(C12381, ""押金""), ""押金往來"",
  AND(E12381&lt;&gt;"""", F12381=""""), ""真實支出"",
  AND(E12381="""", F12381&lt;&gt;""""), ""真實收入"",
  TRUE, ""其他""
)"),"其他")</f>
        <v>其他</v>
      </c>
      <c r="K12381" s="270" t="str">
        <f t="shared" si="2"/>
        <v/>
      </c>
      <c r="L12381">
        <f t="shared" si="3"/>
        <v>0</v>
      </c>
    </row>
    <row r="12382">
      <c r="A12382" s="107"/>
      <c r="D12382" s="270"/>
      <c r="H12382" s="106" t="str">
        <f t="shared" si="1"/>
        <v/>
      </c>
      <c r="J12382" t="str">
        <f>IFERROR(__xludf.DUMMYFUNCTION("IFS(
  AND(REGEXMATCH(E12382, ""台銀籌備帳戶|玉山帳戶""), REGEXMATCH(C12382, ""薪資"")), ""分潤支出"",
  AND(REGEXMATCH(E12382, ""Ben帳戶|Elsa帳戶|Ben代墊|Ariel代墊|中信銀行共用""), REGEXMATCH(F12382, ""Ben帳戶|Elsa帳戶|Ben代墊|Ariel代墊|中信銀行共用"")), ""內部轉帳(忽略)"",
  AND(E12382&lt;&gt;"""", F12382&lt;&gt;"&amp;""""", NOT(REGEXMATCH(C12382, ""薪資""))), ""內部轉帳(忽略)"",
  REGEXMATCH(C12382, ""薪資""), ""薪資變動(不計入)"",
  REGEXMATCH(C12382, ""押金""), ""押金往來"",
  AND(E12382&lt;&gt;"""", F12382=""""), ""真實支出"",
  AND(E12382="""", F12382&lt;&gt;""""), ""真實收入"",
  TRUE, ""其他""
)"),"其他")</f>
        <v>其他</v>
      </c>
      <c r="K12382" s="270" t="str">
        <f t="shared" si="2"/>
        <v/>
      </c>
      <c r="L12382">
        <f t="shared" si="3"/>
        <v>0</v>
      </c>
    </row>
    <row r="12383">
      <c r="A12383" s="107"/>
      <c r="D12383" s="270"/>
      <c r="H12383" s="106" t="str">
        <f t="shared" si="1"/>
        <v/>
      </c>
      <c r="J12383" t="str">
        <f>IFERROR(__xludf.DUMMYFUNCTION("IFS(
  AND(REGEXMATCH(E12383, ""台銀籌備帳戶|玉山帳戶""), REGEXMATCH(C12383, ""薪資"")), ""分潤支出"",
  AND(REGEXMATCH(E12383, ""Ben帳戶|Elsa帳戶|Ben代墊|Ariel代墊|中信銀行共用""), REGEXMATCH(F12383, ""Ben帳戶|Elsa帳戶|Ben代墊|Ariel代墊|中信銀行共用"")), ""內部轉帳(忽略)"",
  AND(E12383&lt;&gt;"""", F12383&lt;&gt;"&amp;""""", NOT(REGEXMATCH(C12383, ""薪資""))), ""內部轉帳(忽略)"",
  REGEXMATCH(C12383, ""薪資""), ""薪資變動(不計入)"",
  REGEXMATCH(C12383, ""押金""), ""押金往來"",
  AND(E12383&lt;&gt;"""", F12383=""""), ""真實支出"",
  AND(E12383="""", F12383&lt;&gt;""""), ""真實收入"",
  TRUE, ""其他""
)"),"其他")</f>
        <v>其他</v>
      </c>
      <c r="K12383" s="270" t="str">
        <f t="shared" si="2"/>
        <v/>
      </c>
      <c r="L12383">
        <f t="shared" si="3"/>
        <v>0</v>
      </c>
    </row>
    <row r="12384">
      <c r="A12384" s="107"/>
      <c r="D12384" s="270"/>
      <c r="H12384" s="106" t="str">
        <f t="shared" si="1"/>
        <v/>
      </c>
      <c r="J12384" t="str">
        <f>IFERROR(__xludf.DUMMYFUNCTION("IFS(
  AND(REGEXMATCH(E12384, ""台銀籌備帳戶|玉山帳戶""), REGEXMATCH(C12384, ""薪資"")), ""分潤支出"",
  AND(REGEXMATCH(E12384, ""Ben帳戶|Elsa帳戶|Ben代墊|Ariel代墊|中信銀行共用""), REGEXMATCH(F12384, ""Ben帳戶|Elsa帳戶|Ben代墊|Ariel代墊|中信銀行共用"")), ""內部轉帳(忽略)"",
  AND(E12384&lt;&gt;"""", F12384&lt;&gt;"&amp;""""", NOT(REGEXMATCH(C12384, ""薪資""))), ""內部轉帳(忽略)"",
  REGEXMATCH(C12384, ""薪資""), ""薪資變動(不計入)"",
  REGEXMATCH(C12384, ""押金""), ""押金往來"",
  AND(E12384&lt;&gt;"""", F12384=""""), ""真實支出"",
  AND(E12384="""", F12384&lt;&gt;""""), ""真實收入"",
  TRUE, ""其他""
)"),"其他")</f>
        <v>其他</v>
      </c>
      <c r="K12384" s="270" t="str">
        <f t="shared" si="2"/>
        <v/>
      </c>
      <c r="L12384">
        <f t="shared" si="3"/>
        <v>0</v>
      </c>
    </row>
    <row r="12385">
      <c r="A12385" s="107"/>
      <c r="D12385" s="270"/>
      <c r="H12385" s="106" t="str">
        <f t="shared" si="1"/>
        <v/>
      </c>
      <c r="J12385" t="str">
        <f>IFERROR(__xludf.DUMMYFUNCTION("IFS(
  AND(REGEXMATCH(E12385, ""台銀籌備帳戶|玉山帳戶""), REGEXMATCH(C12385, ""薪資"")), ""分潤支出"",
  AND(REGEXMATCH(E12385, ""Ben帳戶|Elsa帳戶|Ben代墊|Ariel代墊|中信銀行共用""), REGEXMATCH(F12385, ""Ben帳戶|Elsa帳戶|Ben代墊|Ariel代墊|中信銀行共用"")), ""內部轉帳(忽略)"",
  AND(E12385&lt;&gt;"""", F12385&lt;&gt;"&amp;""""", NOT(REGEXMATCH(C12385, ""薪資""))), ""內部轉帳(忽略)"",
  REGEXMATCH(C12385, ""薪資""), ""薪資變動(不計入)"",
  REGEXMATCH(C12385, ""押金""), ""押金往來"",
  AND(E12385&lt;&gt;"""", F12385=""""), ""真實支出"",
  AND(E12385="""", F12385&lt;&gt;""""), ""真實收入"",
  TRUE, ""其他""
)"),"其他")</f>
        <v>其他</v>
      </c>
      <c r="K12385" s="270" t="str">
        <f t="shared" si="2"/>
        <v/>
      </c>
      <c r="L12385">
        <f t="shared" si="3"/>
        <v>0</v>
      </c>
    </row>
    <row r="12386">
      <c r="A12386" s="107"/>
      <c r="D12386" s="270"/>
      <c r="H12386" s="106" t="str">
        <f t="shared" si="1"/>
        <v/>
      </c>
      <c r="J12386" t="str">
        <f>IFERROR(__xludf.DUMMYFUNCTION("IFS(
  AND(REGEXMATCH(E12386, ""台銀籌備帳戶|玉山帳戶""), REGEXMATCH(C12386, ""薪資"")), ""分潤支出"",
  AND(REGEXMATCH(E12386, ""Ben帳戶|Elsa帳戶|Ben代墊|Ariel代墊|中信銀行共用""), REGEXMATCH(F12386, ""Ben帳戶|Elsa帳戶|Ben代墊|Ariel代墊|中信銀行共用"")), ""內部轉帳(忽略)"",
  AND(E12386&lt;&gt;"""", F12386&lt;&gt;"&amp;""""", NOT(REGEXMATCH(C12386, ""薪資""))), ""內部轉帳(忽略)"",
  REGEXMATCH(C12386, ""薪資""), ""薪資變動(不計入)"",
  REGEXMATCH(C12386, ""押金""), ""押金往來"",
  AND(E12386&lt;&gt;"""", F12386=""""), ""真實支出"",
  AND(E12386="""", F12386&lt;&gt;""""), ""真實收入"",
  TRUE, ""其他""
)"),"其他")</f>
        <v>其他</v>
      </c>
      <c r="K12386" s="270" t="str">
        <f t="shared" si="2"/>
        <v/>
      </c>
      <c r="L12386">
        <f t="shared" si="3"/>
        <v>0</v>
      </c>
    </row>
    <row r="12387">
      <c r="A12387" s="107"/>
      <c r="D12387" s="270"/>
      <c r="H12387" s="106" t="str">
        <f t="shared" si="1"/>
        <v/>
      </c>
      <c r="J12387" t="str">
        <f>IFERROR(__xludf.DUMMYFUNCTION("IFS(
  AND(REGEXMATCH(E12387, ""台銀籌備帳戶|玉山帳戶""), REGEXMATCH(C12387, ""薪資"")), ""分潤支出"",
  AND(REGEXMATCH(E12387, ""Ben帳戶|Elsa帳戶|Ben代墊|Ariel代墊|中信銀行共用""), REGEXMATCH(F12387, ""Ben帳戶|Elsa帳戶|Ben代墊|Ariel代墊|中信銀行共用"")), ""內部轉帳(忽略)"",
  AND(E12387&lt;&gt;"""", F12387&lt;&gt;"&amp;""""", NOT(REGEXMATCH(C12387, ""薪資""))), ""內部轉帳(忽略)"",
  REGEXMATCH(C12387, ""薪資""), ""薪資變動(不計入)"",
  REGEXMATCH(C12387, ""押金""), ""押金往來"",
  AND(E12387&lt;&gt;"""", F12387=""""), ""真實支出"",
  AND(E12387="""", F12387&lt;&gt;""""), ""真實收入"",
  TRUE, ""其他""
)"),"其他")</f>
        <v>其他</v>
      </c>
      <c r="K12387" s="270" t="str">
        <f t="shared" si="2"/>
        <v/>
      </c>
      <c r="L12387">
        <f t="shared" si="3"/>
        <v>0</v>
      </c>
    </row>
    <row r="12388">
      <c r="A12388" s="107"/>
      <c r="D12388" s="270"/>
      <c r="H12388" s="106" t="str">
        <f t="shared" si="1"/>
        <v/>
      </c>
      <c r="J12388" t="str">
        <f>IFERROR(__xludf.DUMMYFUNCTION("IFS(
  AND(REGEXMATCH(E12388, ""台銀籌備帳戶|玉山帳戶""), REGEXMATCH(C12388, ""薪資"")), ""分潤支出"",
  AND(REGEXMATCH(E12388, ""Ben帳戶|Elsa帳戶|Ben代墊|Ariel代墊|中信銀行共用""), REGEXMATCH(F12388, ""Ben帳戶|Elsa帳戶|Ben代墊|Ariel代墊|中信銀行共用"")), ""內部轉帳(忽略)"",
  AND(E12388&lt;&gt;"""", F12388&lt;&gt;"&amp;""""", NOT(REGEXMATCH(C12388, ""薪資""))), ""內部轉帳(忽略)"",
  REGEXMATCH(C12388, ""薪資""), ""薪資變動(不計入)"",
  REGEXMATCH(C12388, ""押金""), ""押金往來"",
  AND(E12388&lt;&gt;"""", F12388=""""), ""真實支出"",
  AND(E12388="""", F12388&lt;&gt;""""), ""真實收入"",
  TRUE, ""其他""
)"),"其他")</f>
        <v>其他</v>
      </c>
      <c r="K12388" s="270" t="str">
        <f t="shared" si="2"/>
        <v/>
      </c>
      <c r="L12388">
        <f t="shared" si="3"/>
        <v>0</v>
      </c>
    </row>
    <row r="12389">
      <c r="A12389" s="107"/>
      <c r="D12389" s="270"/>
      <c r="H12389" s="106" t="str">
        <f t="shared" si="1"/>
        <v/>
      </c>
      <c r="J12389" t="str">
        <f>IFERROR(__xludf.DUMMYFUNCTION("IFS(
  AND(REGEXMATCH(E12389, ""台銀籌備帳戶|玉山帳戶""), REGEXMATCH(C12389, ""薪資"")), ""分潤支出"",
  AND(REGEXMATCH(E12389, ""Ben帳戶|Elsa帳戶|Ben代墊|Ariel代墊|中信銀行共用""), REGEXMATCH(F12389, ""Ben帳戶|Elsa帳戶|Ben代墊|Ariel代墊|中信銀行共用"")), ""內部轉帳(忽略)"",
  AND(E12389&lt;&gt;"""", F12389&lt;&gt;"&amp;""""", NOT(REGEXMATCH(C12389, ""薪資""))), ""內部轉帳(忽略)"",
  REGEXMATCH(C12389, ""薪資""), ""薪資變動(不計入)"",
  REGEXMATCH(C12389, ""押金""), ""押金往來"",
  AND(E12389&lt;&gt;"""", F12389=""""), ""真實支出"",
  AND(E12389="""", F12389&lt;&gt;""""), ""真實收入"",
  TRUE, ""其他""
)"),"其他")</f>
        <v>其他</v>
      </c>
      <c r="K12389" s="270" t="str">
        <f t="shared" si="2"/>
        <v/>
      </c>
      <c r="L12389">
        <f t="shared" si="3"/>
        <v>0</v>
      </c>
    </row>
    <row r="12390">
      <c r="A12390" s="107"/>
      <c r="D12390" s="270"/>
      <c r="H12390" s="106" t="str">
        <f t="shared" si="1"/>
        <v/>
      </c>
      <c r="J12390" t="str">
        <f>IFERROR(__xludf.DUMMYFUNCTION("IFS(
  AND(REGEXMATCH(E12390, ""台銀籌備帳戶|玉山帳戶""), REGEXMATCH(C12390, ""薪資"")), ""分潤支出"",
  AND(REGEXMATCH(E12390, ""Ben帳戶|Elsa帳戶|Ben代墊|Ariel代墊|中信銀行共用""), REGEXMATCH(F12390, ""Ben帳戶|Elsa帳戶|Ben代墊|Ariel代墊|中信銀行共用"")), ""內部轉帳(忽略)"",
  AND(E12390&lt;&gt;"""", F12390&lt;&gt;"&amp;""""", NOT(REGEXMATCH(C12390, ""薪資""))), ""內部轉帳(忽略)"",
  REGEXMATCH(C12390, ""薪資""), ""薪資變動(不計入)"",
  REGEXMATCH(C12390, ""押金""), ""押金往來"",
  AND(E12390&lt;&gt;"""", F12390=""""), ""真實支出"",
  AND(E12390="""", F12390&lt;&gt;""""), ""真實收入"",
  TRUE, ""其他""
)"),"其他")</f>
        <v>其他</v>
      </c>
      <c r="K12390" s="270" t="str">
        <f t="shared" si="2"/>
        <v/>
      </c>
      <c r="L12390">
        <f t="shared" si="3"/>
        <v>0</v>
      </c>
    </row>
    <row r="12391">
      <c r="A12391" s="107"/>
      <c r="D12391" s="270"/>
      <c r="H12391" s="106" t="str">
        <f t="shared" si="1"/>
        <v/>
      </c>
      <c r="J12391" t="str">
        <f>IFERROR(__xludf.DUMMYFUNCTION("IFS(
  AND(REGEXMATCH(E12391, ""台銀籌備帳戶|玉山帳戶""), REGEXMATCH(C12391, ""薪資"")), ""分潤支出"",
  AND(REGEXMATCH(E12391, ""Ben帳戶|Elsa帳戶|Ben代墊|Ariel代墊|中信銀行共用""), REGEXMATCH(F12391, ""Ben帳戶|Elsa帳戶|Ben代墊|Ariel代墊|中信銀行共用"")), ""內部轉帳(忽略)"",
  AND(E12391&lt;&gt;"""", F12391&lt;&gt;"&amp;""""", NOT(REGEXMATCH(C12391, ""薪資""))), ""內部轉帳(忽略)"",
  REGEXMATCH(C12391, ""薪資""), ""薪資變動(不計入)"",
  REGEXMATCH(C12391, ""押金""), ""押金往來"",
  AND(E12391&lt;&gt;"""", F12391=""""), ""真實支出"",
  AND(E12391="""", F12391&lt;&gt;""""), ""真實收入"",
  TRUE, ""其他""
)"),"其他")</f>
        <v>其他</v>
      </c>
      <c r="K12391" s="270" t="str">
        <f t="shared" si="2"/>
        <v/>
      </c>
      <c r="L12391">
        <f t="shared" si="3"/>
        <v>0</v>
      </c>
    </row>
    <row r="12392">
      <c r="A12392" s="107"/>
      <c r="D12392" s="270"/>
      <c r="H12392" s="106" t="str">
        <f t="shared" si="1"/>
        <v/>
      </c>
      <c r="J12392" t="str">
        <f>IFERROR(__xludf.DUMMYFUNCTION("IFS(
  AND(REGEXMATCH(E12392, ""台銀籌備帳戶|玉山帳戶""), REGEXMATCH(C12392, ""薪資"")), ""分潤支出"",
  AND(REGEXMATCH(E12392, ""Ben帳戶|Elsa帳戶|Ben代墊|Ariel代墊|中信銀行共用""), REGEXMATCH(F12392, ""Ben帳戶|Elsa帳戶|Ben代墊|Ariel代墊|中信銀行共用"")), ""內部轉帳(忽略)"",
  AND(E12392&lt;&gt;"""", F12392&lt;&gt;"&amp;""""", NOT(REGEXMATCH(C12392, ""薪資""))), ""內部轉帳(忽略)"",
  REGEXMATCH(C12392, ""薪資""), ""薪資變動(不計入)"",
  REGEXMATCH(C12392, ""押金""), ""押金往來"",
  AND(E12392&lt;&gt;"""", F12392=""""), ""真實支出"",
  AND(E12392="""", F12392&lt;&gt;""""), ""真實收入"",
  TRUE, ""其他""
)"),"其他")</f>
        <v>其他</v>
      </c>
      <c r="K12392" s="270" t="str">
        <f t="shared" si="2"/>
        <v/>
      </c>
      <c r="L12392">
        <f t="shared" si="3"/>
        <v>0</v>
      </c>
    </row>
    <row r="12393">
      <c r="A12393" s="107"/>
      <c r="D12393" s="270"/>
      <c r="H12393" s="106" t="str">
        <f t="shared" si="1"/>
        <v/>
      </c>
      <c r="J12393" t="str">
        <f>IFERROR(__xludf.DUMMYFUNCTION("IFS(
  AND(REGEXMATCH(E12393, ""台銀籌備帳戶|玉山帳戶""), REGEXMATCH(C12393, ""薪資"")), ""分潤支出"",
  AND(REGEXMATCH(E12393, ""Ben帳戶|Elsa帳戶|Ben代墊|Ariel代墊|中信銀行共用""), REGEXMATCH(F12393, ""Ben帳戶|Elsa帳戶|Ben代墊|Ariel代墊|中信銀行共用"")), ""內部轉帳(忽略)"",
  AND(E12393&lt;&gt;"""", F12393&lt;&gt;"&amp;""""", NOT(REGEXMATCH(C12393, ""薪資""))), ""內部轉帳(忽略)"",
  REGEXMATCH(C12393, ""薪資""), ""薪資變動(不計入)"",
  REGEXMATCH(C12393, ""押金""), ""押金往來"",
  AND(E12393&lt;&gt;"""", F12393=""""), ""真實支出"",
  AND(E12393="""", F12393&lt;&gt;""""), ""真實收入"",
  TRUE, ""其他""
)"),"其他")</f>
        <v>其他</v>
      </c>
      <c r="K12393" s="270" t="str">
        <f t="shared" si="2"/>
        <v/>
      </c>
      <c r="L12393">
        <f t="shared" si="3"/>
        <v>0</v>
      </c>
    </row>
    <row r="12394">
      <c r="A12394" s="107"/>
      <c r="D12394" s="270"/>
      <c r="H12394" s="106" t="str">
        <f t="shared" si="1"/>
        <v/>
      </c>
      <c r="J12394" t="str">
        <f>IFERROR(__xludf.DUMMYFUNCTION("IFS(
  AND(REGEXMATCH(E12394, ""台銀籌備帳戶|玉山帳戶""), REGEXMATCH(C12394, ""薪資"")), ""分潤支出"",
  AND(REGEXMATCH(E12394, ""Ben帳戶|Elsa帳戶|Ben代墊|Ariel代墊|中信銀行共用""), REGEXMATCH(F12394, ""Ben帳戶|Elsa帳戶|Ben代墊|Ariel代墊|中信銀行共用"")), ""內部轉帳(忽略)"",
  AND(E12394&lt;&gt;"""", F12394&lt;&gt;"&amp;""""", NOT(REGEXMATCH(C12394, ""薪資""))), ""內部轉帳(忽略)"",
  REGEXMATCH(C12394, ""薪資""), ""薪資變動(不計入)"",
  REGEXMATCH(C12394, ""押金""), ""押金往來"",
  AND(E12394&lt;&gt;"""", F12394=""""), ""真實支出"",
  AND(E12394="""", F12394&lt;&gt;""""), ""真實收入"",
  TRUE, ""其他""
)"),"其他")</f>
        <v>其他</v>
      </c>
      <c r="K12394" s="270" t="str">
        <f t="shared" si="2"/>
        <v/>
      </c>
      <c r="L12394">
        <f t="shared" si="3"/>
        <v>0</v>
      </c>
    </row>
    <row r="12395">
      <c r="A12395" s="107"/>
      <c r="D12395" s="270"/>
      <c r="H12395" s="106" t="str">
        <f t="shared" si="1"/>
        <v/>
      </c>
      <c r="J12395" t="str">
        <f>IFERROR(__xludf.DUMMYFUNCTION("IFS(
  AND(REGEXMATCH(E12395, ""台銀籌備帳戶|玉山帳戶""), REGEXMATCH(C12395, ""薪資"")), ""分潤支出"",
  AND(REGEXMATCH(E12395, ""Ben帳戶|Elsa帳戶|Ben代墊|Ariel代墊|中信銀行共用""), REGEXMATCH(F12395, ""Ben帳戶|Elsa帳戶|Ben代墊|Ariel代墊|中信銀行共用"")), ""內部轉帳(忽略)"",
  AND(E12395&lt;&gt;"""", F12395&lt;&gt;"&amp;""""", NOT(REGEXMATCH(C12395, ""薪資""))), ""內部轉帳(忽略)"",
  REGEXMATCH(C12395, ""薪資""), ""薪資變動(不計入)"",
  REGEXMATCH(C12395, ""押金""), ""押金往來"",
  AND(E12395&lt;&gt;"""", F12395=""""), ""真實支出"",
  AND(E12395="""", F12395&lt;&gt;""""), ""真實收入"",
  TRUE, ""其他""
)"),"其他")</f>
        <v>其他</v>
      </c>
      <c r="K12395" s="270" t="str">
        <f t="shared" si="2"/>
        <v/>
      </c>
      <c r="L12395">
        <f t="shared" si="3"/>
        <v>0</v>
      </c>
    </row>
    <row r="12396">
      <c r="A12396" s="107"/>
      <c r="D12396" s="270"/>
      <c r="H12396" s="106" t="str">
        <f t="shared" si="1"/>
        <v/>
      </c>
      <c r="J12396" t="str">
        <f>IFERROR(__xludf.DUMMYFUNCTION("IFS(
  AND(REGEXMATCH(E12396, ""台銀籌備帳戶|玉山帳戶""), REGEXMATCH(C12396, ""薪資"")), ""分潤支出"",
  AND(REGEXMATCH(E12396, ""Ben帳戶|Elsa帳戶|Ben代墊|Ariel代墊|中信銀行共用""), REGEXMATCH(F12396, ""Ben帳戶|Elsa帳戶|Ben代墊|Ariel代墊|中信銀行共用"")), ""內部轉帳(忽略)"",
  AND(E12396&lt;&gt;"""", F12396&lt;&gt;"&amp;""""", NOT(REGEXMATCH(C12396, ""薪資""))), ""內部轉帳(忽略)"",
  REGEXMATCH(C12396, ""薪資""), ""薪資變動(不計入)"",
  REGEXMATCH(C12396, ""押金""), ""押金往來"",
  AND(E12396&lt;&gt;"""", F12396=""""), ""真實支出"",
  AND(E12396="""", F12396&lt;&gt;""""), ""真實收入"",
  TRUE, ""其他""
)"),"其他")</f>
        <v>其他</v>
      </c>
      <c r="K12396" s="270" t="str">
        <f t="shared" si="2"/>
        <v/>
      </c>
      <c r="L12396">
        <f t="shared" si="3"/>
        <v>0</v>
      </c>
    </row>
    <row r="12397">
      <c r="A12397" s="107"/>
      <c r="D12397" s="270"/>
      <c r="H12397" s="106" t="str">
        <f t="shared" si="1"/>
        <v/>
      </c>
      <c r="J12397" t="str">
        <f>IFERROR(__xludf.DUMMYFUNCTION("IFS(
  AND(REGEXMATCH(E12397, ""台銀籌備帳戶|玉山帳戶""), REGEXMATCH(C12397, ""薪資"")), ""分潤支出"",
  AND(REGEXMATCH(E12397, ""Ben帳戶|Elsa帳戶|Ben代墊|Ariel代墊|中信銀行共用""), REGEXMATCH(F12397, ""Ben帳戶|Elsa帳戶|Ben代墊|Ariel代墊|中信銀行共用"")), ""內部轉帳(忽略)"",
  AND(E12397&lt;&gt;"""", F12397&lt;&gt;"&amp;""""", NOT(REGEXMATCH(C12397, ""薪資""))), ""內部轉帳(忽略)"",
  REGEXMATCH(C12397, ""薪資""), ""薪資變動(不計入)"",
  REGEXMATCH(C12397, ""押金""), ""押金往來"",
  AND(E12397&lt;&gt;"""", F12397=""""), ""真實支出"",
  AND(E12397="""", F12397&lt;&gt;""""), ""真實收入"",
  TRUE, ""其他""
)"),"其他")</f>
        <v>其他</v>
      </c>
      <c r="K12397" s="270" t="str">
        <f t="shared" si="2"/>
        <v/>
      </c>
      <c r="L12397">
        <f t="shared" si="3"/>
        <v>0</v>
      </c>
    </row>
    <row r="12398">
      <c r="A12398" s="107"/>
      <c r="D12398" s="270"/>
      <c r="H12398" s="106" t="str">
        <f t="shared" si="1"/>
        <v/>
      </c>
      <c r="J12398" t="str">
        <f>IFERROR(__xludf.DUMMYFUNCTION("IFS(
  AND(REGEXMATCH(E12398, ""台銀籌備帳戶|玉山帳戶""), REGEXMATCH(C12398, ""薪資"")), ""分潤支出"",
  AND(REGEXMATCH(E12398, ""Ben帳戶|Elsa帳戶|Ben代墊|Ariel代墊|中信銀行共用""), REGEXMATCH(F12398, ""Ben帳戶|Elsa帳戶|Ben代墊|Ariel代墊|中信銀行共用"")), ""內部轉帳(忽略)"",
  AND(E12398&lt;&gt;"""", F12398&lt;&gt;"&amp;""""", NOT(REGEXMATCH(C12398, ""薪資""))), ""內部轉帳(忽略)"",
  REGEXMATCH(C12398, ""薪資""), ""薪資變動(不計入)"",
  REGEXMATCH(C12398, ""押金""), ""押金往來"",
  AND(E12398&lt;&gt;"""", F12398=""""), ""真實支出"",
  AND(E12398="""", F12398&lt;&gt;""""), ""真實收入"",
  TRUE, ""其他""
)"),"其他")</f>
        <v>其他</v>
      </c>
      <c r="K12398" s="270" t="str">
        <f t="shared" si="2"/>
        <v/>
      </c>
      <c r="L12398">
        <f t="shared" si="3"/>
        <v>0</v>
      </c>
    </row>
    <row r="12399">
      <c r="A12399" s="107"/>
      <c r="D12399" s="270"/>
      <c r="H12399" s="106" t="str">
        <f t="shared" si="1"/>
        <v/>
      </c>
      <c r="J12399" t="str">
        <f>IFERROR(__xludf.DUMMYFUNCTION("IFS(
  AND(REGEXMATCH(E12399, ""台銀籌備帳戶|玉山帳戶""), REGEXMATCH(C12399, ""薪資"")), ""分潤支出"",
  AND(REGEXMATCH(E12399, ""Ben帳戶|Elsa帳戶|Ben代墊|Ariel代墊|中信銀行共用""), REGEXMATCH(F12399, ""Ben帳戶|Elsa帳戶|Ben代墊|Ariel代墊|中信銀行共用"")), ""內部轉帳(忽略)"",
  AND(E12399&lt;&gt;"""", F12399&lt;&gt;"&amp;""""", NOT(REGEXMATCH(C12399, ""薪資""))), ""內部轉帳(忽略)"",
  REGEXMATCH(C12399, ""薪資""), ""薪資變動(不計入)"",
  REGEXMATCH(C12399, ""押金""), ""押金往來"",
  AND(E12399&lt;&gt;"""", F12399=""""), ""真實支出"",
  AND(E12399="""", F12399&lt;&gt;""""), ""真實收入"",
  TRUE, ""其他""
)"),"其他")</f>
        <v>其他</v>
      </c>
      <c r="K12399" s="270" t="str">
        <f t="shared" si="2"/>
        <v/>
      </c>
      <c r="L12399">
        <f t="shared" si="3"/>
        <v>0</v>
      </c>
    </row>
    <row r="12400">
      <c r="A12400" s="107"/>
      <c r="D12400" s="270"/>
      <c r="H12400" s="106" t="str">
        <f t="shared" si="1"/>
        <v/>
      </c>
      <c r="J12400" t="str">
        <f>IFERROR(__xludf.DUMMYFUNCTION("IFS(
  AND(REGEXMATCH(E12400, ""台銀籌備帳戶|玉山帳戶""), REGEXMATCH(C12400, ""薪資"")), ""分潤支出"",
  AND(REGEXMATCH(E12400, ""Ben帳戶|Elsa帳戶|Ben代墊|Ariel代墊|中信銀行共用""), REGEXMATCH(F12400, ""Ben帳戶|Elsa帳戶|Ben代墊|Ariel代墊|中信銀行共用"")), ""內部轉帳(忽略)"",
  AND(E12400&lt;&gt;"""", F12400&lt;&gt;"&amp;""""", NOT(REGEXMATCH(C12400, ""薪資""))), ""內部轉帳(忽略)"",
  REGEXMATCH(C12400, ""薪資""), ""薪資變動(不計入)"",
  REGEXMATCH(C12400, ""押金""), ""押金往來"",
  AND(E12400&lt;&gt;"""", F12400=""""), ""真實支出"",
  AND(E12400="""", F12400&lt;&gt;""""), ""真實收入"",
  TRUE, ""其他""
)"),"其他")</f>
        <v>其他</v>
      </c>
      <c r="K12400" s="270" t="str">
        <f t="shared" si="2"/>
        <v/>
      </c>
      <c r="L12400">
        <f t="shared" si="3"/>
        <v>0</v>
      </c>
    </row>
    <row r="12401">
      <c r="A12401" s="107"/>
      <c r="D12401" s="270"/>
      <c r="H12401" s="106" t="str">
        <f t="shared" si="1"/>
        <v/>
      </c>
      <c r="J12401" t="str">
        <f>IFERROR(__xludf.DUMMYFUNCTION("IFS(
  AND(REGEXMATCH(E12401, ""台銀籌備帳戶|玉山帳戶""), REGEXMATCH(C12401, ""薪資"")), ""分潤支出"",
  AND(REGEXMATCH(E12401, ""Ben帳戶|Elsa帳戶|Ben代墊|Ariel代墊|中信銀行共用""), REGEXMATCH(F12401, ""Ben帳戶|Elsa帳戶|Ben代墊|Ariel代墊|中信銀行共用"")), ""內部轉帳(忽略)"",
  AND(E12401&lt;&gt;"""", F12401&lt;&gt;"&amp;""""", NOT(REGEXMATCH(C12401, ""薪資""))), ""內部轉帳(忽略)"",
  REGEXMATCH(C12401, ""薪資""), ""薪資變動(不計入)"",
  REGEXMATCH(C12401, ""押金""), ""押金往來"",
  AND(E12401&lt;&gt;"""", F12401=""""), ""真實支出"",
  AND(E12401="""", F12401&lt;&gt;""""), ""真實收入"",
  TRUE, ""其他""
)"),"其他")</f>
        <v>其他</v>
      </c>
      <c r="K12401" s="270" t="str">
        <f t="shared" si="2"/>
        <v/>
      </c>
      <c r="L12401">
        <f t="shared" si="3"/>
        <v>0</v>
      </c>
    </row>
    <row r="12402">
      <c r="A12402" s="107"/>
      <c r="D12402" s="270"/>
      <c r="H12402" s="106" t="str">
        <f t="shared" si="1"/>
        <v/>
      </c>
      <c r="J12402" t="str">
        <f>IFERROR(__xludf.DUMMYFUNCTION("IFS(
  AND(REGEXMATCH(E12402, ""台銀籌備帳戶|玉山帳戶""), REGEXMATCH(C12402, ""薪資"")), ""分潤支出"",
  AND(REGEXMATCH(E12402, ""Ben帳戶|Elsa帳戶|Ben代墊|Ariel代墊|中信銀行共用""), REGEXMATCH(F12402, ""Ben帳戶|Elsa帳戶|Ben代墊|Ariel代墊|中信銀行共用"")), ""內部轉帳(忽略)"",
  AND(E12402&lt;&gt;"""", F12402&lt;&gt;"&amp;""""", NOT(REGEXMATCH(C12402, ""薪資""))), ""內部轉帳(忽略)"",
  REGEXMATCH(C12402, ""薪資""), ""薪資變動(不計入)"",
  REGEXMATCH(C12402, ""押金""), ""押金往來"",
  AND(E12402&lt;&gt;"""", F12402=""""), ""真實支出"",
  AND(E12402="""", F12402&lt;&gt;""""), ""真實收入"",
  TRUE, ""其他""
)"),"其他")</f>
        <v>其他</v>
      </c>
      <c r="K12402" s="270" t="str">
        <f t="shared" si="2"/>
        <v/>
      </c>
      <c r="L12402">
        <f t="shared" si="3"/>
        <v>0</v>
      </c>
    </row>
    <row r="12403">
      <c r="A12403" s="107"/>
      <c r="D12403" s="270"/>
      <c r="H12403" s="106" t="str">
        <f t="shared" si="1"/>
        <v/>
      </c>
      <c r="J12403" t="str">
        <f>IFERROR(__xludf.DUMMYFUNCTION("IFS(
  AND(REGEXMATCH(E12403, ""台銀籌備帳戶|玉山帳戶""), REGEXMATCH(C12403, ""薪資"")), ""分潤支出"",
  AND(REGEXMATCH(E12403, ""Ben帳戶|Elsa帳戶|Ben代墊|Ariel代墊|中信銀行共用""), REGEXMATCH(F12403, ""Ben帳戶|Elsa帳戶|Ben代墊|Ariel代墊|中信銀行共用"")), ""內部轉帳(忽略)"",
  AND(E12403&lt;&gt;"""", F12403&lt;&gt;"&amp;""""", NOT(REGEXMATCH(C12403, ""薪資""))), ""內部轉帳(忽略)"",
  REGEXMATCH(C12403, ""薪資""), ""薪資變動(不計入)"",
  REGEXMATCH(C12403, ""押金""), ""押金往來"",
  AND(E12403&lt;&gt;"""", F12403=""""), ""真實支出"",
  AND(E12403="""", F12403&lt;&gt;""""), ""真實收入"",
  TRUE, ""其他""
)"),"其他")</f>
        <v>其他</v>
      </c>
      <c r="K12403" s="270" t="str">
        <f t="shared" si="2"/>
        <v/>
      </c>
      <c r="L12403">
        <f t="shared" si="3"/>
        <v>0</v>
      </c>
    </row>
    <row r="12404">
      <c r="A12404" s="107"/>
      <c r="D12404" s="270"/>
      <c r="H12404" s="106" t="str">
        <f t="shared" si="1"/>
        <v/>
      </c>
      <c r="J12404" t="str">
        <f>IFERROR(__xludf.DUMMYFUNCTION("IFS(
  AND(REGEXMATCH(E12404, ""台銀籌備帳戶|玉山帳戶""), REGEXMATCH(C12404, ""薪資"")), ""分潤支出"",
  AND(REGEXMATCH(E12404, ""Ben帳戶|Elsa帳戶|Ben代墊|Ariel代墊|中信銀行共用""), REGEXMATCH(F12404, ""Ben帳戶|Elsa帳戶|Ben代墊|Ariel代墊|中信銀行共用"")), ""內部轉帳(忽略)"",
  AND(E12404&lt;&gt;"""", F12404&lt;&gt;"&amp;""""", NOT(REGEXMATCH(C12404, ""薪資""))), ""內部轉帳(忽略)"",
  REGEXMATCH(C12404, ""薪資""), ""薪資變動(不計入)"",
  REGEXMATCH(C12404, ""押金""), ""押金往來"",
  AND(E12404&lt;&gt;"""", F12404=""""), ""真實支出"",
  AND(E12404="""", F12404&lt;&gt;""""), ""真實收入"",
  TRUE, ""其他""
)"),"其他")</f>
        <v>其他</v>
      </c>
      <c r="K12404" s="270" t="str">
        <f t="shared" si="2"/>
        <v/>
      </c>
      <c r="L12404">
        <f t="shared" si="3"/>
        <v>0</v>
      </c>
    </row>
    <row r="12405">
      <c r="A12405" s="107"/>
      <c r="D12405" s="270"/>
      <c r="H12405" s="106" t="str">
        <f t="shared" si="1"/>
        <v/>
      </c>
      <c r="J12405" t="str">
        <f>IFERROR(__xludf.DUMMYFUNCTION("IFS(
  AND(REGEXMATCH(E12405, ""台銀籌備帳戶|玉山帳戶""), REGEXMATCH(C12405, ""薪資"")), ""分潤支出"",
  AND(REGEXMATCH(E12405, ""Ben帳戶|Elsa帳戶|Ben代墊|Ariel代墊|中信銀行共用""), REGEXMATCH(F12405, ""Ben帳戶|Elsa帳戶|Ben代墊|Ariel代墊|中信銀行共用"")), ""內部轉帳(忽略)"",
  AND(E12405&lt;&gt;"""", F12405&lt;&gt;"&amp;""""", NOT(REGEXMATCH(C12405, ""薪資""))), ""內部轉帳(忽略)"",
  REGEXMATCH(C12405, ""薪資""), ""薪資變動(不計入)"",
  REGEXMATCH(C12405, ""押金""), ""押金往來"",
  AND(E12405&lt;&gt;"""", F12405=""""), ""真實支出"",
  AND(E12405="""", F12405&lt;&gt;""""), ""真實收入"",
  TRUE, ""其他""
)"),"其他")</f>
        <v>其他</v>
      </c>
      <c r="K12405" s="270" t="str">
        <f t="shared" si="2"/>
        <v/>
      </c>
      <c r="L12405">
        <f t="shared" si="3"/>
        <v>0</v>
      </c>
    </row>
    <row r="12406">
      <c r="A12406" s="107"/>
      <c r="D12406" s="270"/>
      <c r="H12406" s="106" t="str">
        <f t="shared" si="1"/>
        <v/>
      </c>
      <c r="J12406" t="str">
        <f>IFERROR(__xludf.DUMMYFUNCTION("IFS(
  AND(REGEXMATCH(E12406, ""台銀籌備帳戶|玉山帳戶""), REGEXMATCH(C12406, ""薪資"")), ""分潤支出"",
  AND(REGEXMATCH(E12406, ""Ben帳戶|Elsa帳戶|Ben代墊|Ariel代墊|中信銀行共用""), REGEXMATCH(F12406, ""Ben帳戶|Elsa帳戶|Ben代墊|Ariel代墊|中信銀行共用"")), ""內部轉帳(忽略)"",
  AND(E12406&lt;&gt;"""", F12406&lt;&gt;"&amp;""""", NOT(REGEXMATCH(C12406, ""薪資""))), ""內部轉帳(忽略)"",
  REGEXMATCH(C12406, ""薪資""), ""薪資變動(不計入)"",
  REGEXMATCH(C12406, ""押金""), ""押金往來"",
  AND(E12406&lt;&gt;"""", F12406=""""), ""真實支出"",
  AND(E12406="""", F12406&lt;&gt;""""), ""真實收入"",
  TRUE, ""其他""
)"),"其他")</f>
        <v>其他</v>
      </c>
      <c r="K12406" s="270" t="str">
        <f t="shared" si="2"/>
        <v/>
      </c>
      <c r="L12406">
        <f t="shared" si="3"/>
        <v>0</v>
      </c>
    </row>
    <row r="12407">
      <c r="A12407" s="107"/>
      <c r="D12407" s="270"/>
      <c r="H12407" s="106" t="str">
        <f t="shared" si="1"/>
        <v/>
      </c>
      <c r="J12407" t="str">
        <f>IFERROR(__xludf.DUMMYFUNCTION("IFS(
  AND(REGEXMATCH(E12407, ""台銀籌備帳戶|玉山帳戶""), REGEXMATCH(C12407, ""薪資"")), ""分潤支出"",
  AND(REGEXMATCH(E12407, ""Ben帳戶|Elsa帳戶|Ben代墊|Ariel代墊|中信銀行共用""), REGEXMATCH(F12407, ""Ben帳戶|Elsa帳戶|Ben代墊|Ariel代墊|中信銀行共用"")), ""內部轉帳(忽略)"",
  AND(E12407&lt;&gt;"""", F12407&lt;&gt;"&amp;""""", NOT(REGEXMATCH(C12407, ""薪資""))), ""內部轉帳(忽略)"",
  REGEXMATCH(C12407, ""薪資""), ""薪資變動(不計入)"",
  REGEXMATCH(C12407, ""押金""), ""押金往來"",
  AND(E12407&lt;&gt;"""", F12407=""""), ""真實支出"",
  AND(E12407="""", F12407&lt;&gt;""""), ""真實收入"",
  TRUE, ""其他""
)"),"其他")</f>
        <v>其他</v>
      </c>
      <c r="K12407" s="270" t="str">
        <f t="shared" si="2"/>
        <v/>
      </c>
      <c r="L12407">
        <f t="shared" si="3"/>
        <v>0</v>
      </c>
    </row>
    <row r="12408">
      <c r="A12408" s="107"/>
      <c r="D12408" s="270"/>
      <c r="H12408" s="106" t="str">
        <f t="shared" si="1"/>
        <v/>
      </c>
      <c r="J12408" t="str">
        <f>IFERROR(__xludf.DUMMYFUNCTION("IFS(
  AND(REGEXMATCH(E12408, ""台銀籌備帳戶|玉山帳戶""), REGEXMATCH(C12408, ""薪資"")), ""分潤支出"",
  AND(REGEXMATCH(E12408, ""Ben帳戶|Elsa帳戶|Ben代墊|Ariel代墊|中信銀行共用""), REGEXMATCH(F12408, ""Ben帳戶|Elsa帳戶|Ben代墊|Ariel代墊|中信銀行共用"")), ""內部轉帳(忽略)"",
  AND(E12408&lt;&gt;"""", F12408&lt;&gt;"&amp;""""", NOT(REGEXMATCH(C12408, ""薪資""))), ""內部轉帳(忽略)"",
  REGEXMATCH(C12408, ""薪資""), ""薪資變動(不計入)"",
  REGEXMATCH(C12408, ""押金""), ""押金往來"",
  AND(E12408&lt;&gt;"""", F12408=""""), ""真實支出"",
  AND(E12408="""", F12408&lt;&gt;""""), ""真實收入"",
  TRUE, ""其他""
)"),"其他")</f>
        <v>其他</v>
      </c>
      <c r="K12408" s="270" t="str">
        <f t="shared" si="2"/>
        <v/>
      </c>
      <c r="L12408">
        <f t="shared" si="3"/>
        <v>0</v>
      </c>
    </row>
    <row r="12409">
      <c r="A12409" s="107"/>
      <c r="D12409" s="270"/>
      <c r="H12409" s="106" t="str">
        <f t="shared" si="1"/>
        <v/>
      </c>
      <c r="J12409" t="str">
        <f>IFERROR(__xludf.DUMMYFUNCTION("IFS(
  AND(REGEXMATCH(E12409, ""台銀籌備帳戶|玉山帳戶""), REGEXMATCH(C12409, ""薪資"")), ""分潤支出"",
  AND(REGEXMATCH(E12409, ""Ben帳戶|Elsa帳戶|Ben代墊|Ariel代墊|中信銀行共用""), REGEXMATCH(F12409, ""Ben帳戶|Elsa帳戶|Ben代墊|Ariel代墊|中信銀行共用"")), ""內部轉帳(忽略)"",
  AND(E12409&lt;&gt;"""", F12409&lt;&gt;"&amp;""""", NOT(REGEXMATCH(C12409, ""薪資""))), ""內部轉帳(忽略)"",
  REGEXMATCH(C12409, ""薪資""), ""薪資變動(不計入)"",
  REGEXMATCH(C12409, ""押金""), ""押金往來"",
  AND(E12409&lt;&gt;"""", F12409=""""), ""真實支出"",
  AND(E12409="""", F12409&lt;&gt;""""), ""真實收入"",
  TRUE, ""其他""
)"),"其他")</f>
        <v>其他</v>
      </c>
      <c r="K12409" s="270" t="str">
        <f t="shared" si="2"/>
        <v/>
      </c>
      <c r="L12409">
        <f t="shared" si="3"/>
        <v>0</v>
      </c>
    </row>
    <row r="12410">
      <c r="A12410" s="107"/>
      <c r="D12410" s="270"/>
      <c r="H12410" s="106" t="str">
        <f t="shared" si="1"/>
        <v/>
      </c>
      <c r="J12410" t="str">
        <f>IFERROR(__xludf.DUMMYFUNCTION("IFS(
  AND(REGEXMATCH(E12410, ""台銀籌備帳戶|玉山帳戶""), REGEXMATCH(C12410, ""薪資"")), ""分潤支出"",
  AND(REGEXMATCH(E12410, ""Ben帳戶|Elsa帳戶|Ben代墊|Ariel代墊|中信銀行共用""), REGEXMATCH(F12410, ""Ben帳戶|Elsa帳戶|Ben代墊|Ariel代墊|中信銀行共用"")), ""內部轉帳(忽略)"",
  AND(E12410&lt;&gt;"""", F12410&lt;&gt;"&amp;""""", NOT(REGEXMATCH(C12410, ""薪資""))), ""內部轉帳(忽略)"",
  REGEXMATCH(C12410, ""薪資""), ""薪資變動(不計入)"",
  REGEXMATCH(C12410, ""押金""), ""押金往來"",
  AND(E12410&lt;&gt;"""", F12410=""""), ""真實支出"",
  AND(E12410="""", F12410&lt;&gt;""""), ""真實收入"",
  TRUE, ""其他""
)"),"其他")</f>
        <v>其他</v>
      </c>
      <c r="K12410" s="270" t="str">
        <f t="shared" si="2"/>
        <v/>
      </c>
      <c r="L12410">
        <f t="shared" si="3"/>
        <v>0</v>
      </c>
    </row>
    <row r="12411">
      <c r="A12411" s="107"/>
      <c r="D12411" s="270"/>
      <c r="H12411" s="106" t="str">
        <f t="shared" si="1"/>
        <v/>
      </c>
      <c r="J12411" t="str">
        <f>IFERROR(__xludf.DUMMYFUNCTION("IFS(
  AND(REGEXMATCH(E12411, ""台銀籌備帳戶|玉山帳戶""), REGEXMATCH(C12411, ""薪資"")), ""分潤支出"",
  AND(REGEXMATCH(E12411, ""Ben帳戶|Elsa帳戶|Ben代墊|Ariel代墊|中信銀行共用""), REGEXMATCH(F12411, ""Ben帳戶|Elsa帳戶|Ben代墊|Ariel代墊|中信銀行共用"")), ""內部轉帳(忽略)"",
  AND(E12411&lt;&gt;"""", F12411&lt;&gt;"&amp;""""", NOT(REGEXMATCH(C12411, ""薪資""))), ""內部轉帳(忽略)"",
  REGEXMATCH(C12411, ""薪資""), ""薪資變動(不計入)"",
  REGEXMATCH(C12411, ""押金""), ""押金往來"",
  AND(E12411&lt;&gt;"""", F12411=""""), ""真實支出"",
  AND(E12411="""", F12411&lt;&gt;""""), ""真實收入"",
  TRUE, ""其他""
)"),"其他")</f>
        <v>其他</v>
      </c>
      <c r="K12411" s="270" t="str">
        <f t="shared" si="2"/>
        <v/>
      </c>
      <c r="L12411">
        <f t="shared" si="3"/>
        <v>0</v>
      </c>
    </row>
    <row r="12412">
      <c r="A12412" s="107"/>
      <c r="D12412" s="270"/>
      <c r="H12412" s="106" t="str">
        <f t="shared" si="1"/>
        <v/>
      </c>
      <c r="J12412" t="str">
        <f>IFERROR(__xludf.DUMMYFUNCTION("IFS(
  AND(REGEXMATCH(E12412, ""台銀籌備帳戶|玉山帳戶""), REGEXMATCH(C12412, ""薪資"")), ""分潤支出"",
  AND(REGEXMATCH(E12412, ""Ben帳戶|Elsa帳戶|Ben代墊|Ariel代墊|中信銀行共用""), REGEXMATCH(F12412, ""Ben帳戶|Elsa帳戶|Ben代墊|Ariel代墊|中信銀行共用"")), ""內部轉帳(忽略)"",
  AND(E12412&lt;&gt;"""", F12412&lt;&gt;"&amp;""""", NOT(REGEXMATCH(C12412, ""薪資""))), ""內部轉帳(忽略)"",
  REGEXMATCH(C12412, ""薪資""), ""薪資變動(不計入)"",
  REGEXMATCH(C12412, ""押金""), ""押金往來"",
  AND(E12412&lt;&gt;"""", F12412=""""), ""真實支出"",
  AND(E12412="""", F12412&lt;&gt;""""), ""真實收入"",
  TRUE, ""其他""
)"),"其他")</f>
        <v>其他</v>
      </c>
      <c r="K12412" s="270" t="str">
        <f t="shared" si="2"/>
        <v/>
      </c>
      <c r="L12412">
        <f t="shared" si="3"/>
        <v>0</v>
      </c>
    </row>
    <row r="12413">
      <c r="A12413" s="107"/>
      <c r="D12413" s="270"/>
      <c r="H12413" s="106" t="str">
        <f t="shared" si="1"/>
        <v/>
      </c>
      <c r="J12413" t="str">
        <f>IFERROR(__xludf.DUMMYFUNCTION("IFS(
  AND(REGEXMATCH(E12413, ""台銀籌備帳戶|玉山帳戶""), REGEXMATCH(C12413, ""薪資"")), ""分潤支出"",
  AND(REGEXMATCH(E12413, ""Ben帳戶|Elsa帳戶|Ben代墊|Ariel代墊|中信銀行共用""), REGEXMATCH(F12413, ""Ben帳戶|Elsa帳戶|Ben代墊|Ariel代墊|中信銀行共用"")), ""內部轉帳(忽略)"",
  AND(E12413&lt;&gt;"""", F12413&lt;&gt;"&amp;""""", NOT(REGEXMATCH(C12413, ""薪資""))), ""內部轉帳(忽略)"",
  REGEXMATCH(C12413, ""薪資""), ""薪資變動(不計入)"",
  REGEXMATCH(C12413, ""押金""), ""押金往來"",
  AND(E12413&lt;&gt;"""", F12413=""""), ""真實支出"",
  AND(E12413="""", F12413&lt;&gt;""""), ""真實收入"",
  TRUE, ""其他""
)"),"其他")</f>
        <v>其他</v>
      </c>
      <c r="K12413" s="270" t="str">
        <f t="shared" si="2"/>
        <v/>
      </c>
      <c r="L12413">
        <f t="shared" si="3"/>
        <v>0</v>
      </c>
    </row>
    <row r="12414">
      <c r="A12414" s="107"/>
      <c r="D12414" s="270"/>
      <c r="H12414" s="106" t="str">
        <f t="shared" si="1"/>
        <v/>
      </c>
      <c r="J12414" t="str">
        <f>IFERROR(__xludf.DUMMYFUNCTION("IFS(
  AND(REGEXMATCH(E12414, ""台銀籌備帳戶|玉山帳戶""), REGEXMATCH(C12414, ""薪資"")), ""分潤支出"",
  AND(REGEXMATCH(E12414, ""Ben帳戶|Elsa帳戶|Ben代墊|Ariel代墊|中信銀行共用""), REGEXMATCH(F12414, ""Ben帳戶|Elsa帳戶|Ben代墊|Ariel代墊|中信銀行共用"")), ""內部轉帳(忽略)"",
  AND(E12414&lt;&gt;"""", F12414&lt;&gt;"&amp;""""", NOT(REGEXMATCH(C12414, ""薪資""))), ""內部轉帳(忽略)"",
  REGEXMATCH(C12414, ""薪資""), ""薪資變動(不計入)"",
  REGEXMATCH(C12414, ""押金""), ""押金往來"",
  AND(E12414&lt;&gt;"""", F12414=""""), ""真實支出"",
  AND(E12414="""", F12414&lt;&gt;""""), ""真實收入"",
  TRUE, ""其他""
)"),"其他")</f>
        <v>其他</v>
      </c>
      <c r="K12414" s="270" t="str">
        <f t="shared" si="2"/>
        <v/>
      </c>
      <c r="L12414">
        <f t="shared" si="3"/>
        <v>0</v>
      </c>
    </row>
    <row r="12415">
      <c r="A12415" s="107"/>
      <c r="D12415" s="270"/>
      <c r="H12415" s="106" t="str">
        <f t="shared" si="1"/>
        <v/>
      </c>
      <c r="J12415" t="str">
        <f>IFERROR(__xludf.DUMMYFUNCTION("IFS(
  AND(REGEXMATCH(E12415, ""台銀籌備帳戶|玉山帳戶""), REGEXMATCH(C12415, ""薪資"")), ""分潤支出"",
  AND(REGEXMATCH(E12415, ""Ben帳戶|Elsa帳戶|Ben代墊|Ariel代墊|中信銀行共用""), REGEXMATCH(F12415, ""Ben帳戶|Elsa帳戶|Ben代墊|Ariel代墊|中信銀行共用"")), ""內部轉帳(忽略)"",
  AND(E12415&lt;&gt;"""", F12415&lt;&gt;"&amp;""""", NOT(REGEXMATCH(C12415, ""薪資""))), ""內部轉帳(忽略)"",
  REGEXMATCH(C12415, ""薪資""), ""薪資變動(不計入)"",
  REGEXMATCH(C12415, ""押金""), ""押金往來"",
  AND(E12415&lt;&gt;"""", F12415=""""), ""真實支出"",
  AND(E12415="""", F12415&lt;&gt;""""), ""真實收入"",
  TRUE, ""其他""
)"),"其他")</f>
        <v>其他</v>
      </c>
      <c r="K12415" s="270" t="str">
        <f t="shared" si="2"/>
        <v/>
      </c>
      <c r="L12415">
        <f t="shared" si="3"/>
        <v>0</v>
      </c>
    </row>
    <row r="12416">
      <c r="A12416" s="107"/>
      <c r="D12416" s="270"/>
      <c r="H12416" s="106" t="str">
        <f t="shared" si="1"/>
        <v/>
      </c>
      <c r="J12416" t="str">
        <f>IFERROR(__xludf.DUMMYFUNCTION("IFS(
  AND(REGEXMATCH(E12416, ""台銀籌備帳戶|玉山帳戶""), REGEXMATCH(C12416, ""薪資"")), ""分潤支出"",
  AND(REGEXMATCH(E12416, ""Ben帳戶|Elsa帳戶|Ben代墊|Ariel代墊|中信銀行共用""), REGEXMATCH(F12416, ""Ben帳戶|Elsa帳戶|Ben代墊|Ariel代墊|中信銀行共用"")), ""內部轉帳(忽略)"",
  AND(E12416&lt;&gt;"""", F12416&lt;&gt;"&amp;""""", NOT(REGEXMATCH(C12416, ""薪資""))), ""內部轉帳(忽略)"",
  REGEXMATCH(C12416, ""薪資""), ""薪資變動(不計入)"",
  REGEXMATCH(C12416, ""押金""), ""押金往來"",
  AND(E12416&lt;&gt;"""", F12416=""""), ""真實支出"",
  AND(E12416="""", F12416&lt;&gt;""""), ""真實收入"",
  TRUE, ""其他""
)"),"其他")</f>
        <v>其他</v>
      </c>
      <c r="K12416" s="270" t="str">
        <f t="shared" si="2"/>
        <v/>
      </c>
      <c r="L12416">
        <f t="shared" si="3"/>
        <v>0</v>
      </c>
    </row>
    <row r="12417">
      <c r="A12417" s="107"/>
      <c r="D12417" s="270"/>
      <c r="H12417" s="106" t="str">
        <f t="shared" si="1"/>
        <v/>
      </c>
      <c r="J12417" t="str">
        <f>IFERROR(__xludf.DUMMYFUNCTION("IFS(
  AND(REGEXMATCH(E12417, ""台銀籌備帳戶|玉山帳戶""), REGEXMATCH(C12417, ""薪資"")), ""分潤支出"",
  AND(REGEXMATCH(E12417, ""Ben帳戶|Elsa帳戶|Ben代墊|Ariel代墊|中信銀行共用""), REGEXMATCH(F12417, ""Ben帳戶|Elsa帳戶|Ben代墊|Ariel代墊|中信銀行共用"")), ""內部轉帳(忽略)"",
  AND(E12417&lt;&gt;"""", F12417&lt;&gt;"&amp;""""", NOT(REGEXMATCH(C12417, ""薪資""))), ""內部轉帳(忽略)"",
  REGEXMATCH(C12417, ""薪資""), ""薪資變動(不計入)"",
  REGEXMATCH(C12417, ""押金""), ""押金往來"",
  AND(E12417&lt;&gt;"""", F12417=""""), ""真實支出"",
  AND(E12417="""", F12417&lt;&gt;""""), ""真實收入"",
  TRUE, ""其他""
)"),"其他")</f>
        <v>其他</v>
      </c>
      <c r="K12417" s="270" t="str">
        <f t="shared" si="2"/>
        <v/>
      </c>
      <c r="L12417">
        <f t="shared" si="3"/>
        <v>0</v>
      </c>
    </row>
    <row r="12418">
      <c r="A12418" s="107"/>
      <c r="D12418" s="270"/>
      <c r="H12418" s="106" t="str">
        <f t="shared" si="1"/>
        <v/>
      </c>
      <c r="J12418" t="str">
        <f>IFERROR(__xludf.DUMMYFUNCTION("IFS(
  AND(REGEXMATCH(E12418, ""台銀籌備帳戶|玉山帳戶""), REGEXMATCH(C12418, ""薪資"")), ""分潤支出"",
  AND(REGEXMATCH(E12418, ""Ben帳戶|Elsa帳戶|Ben代墊|Ariel代墊|中信銀行共用""), REGEXMATCH(F12418, ""Ben帳戶|Elsa帳戶|Ben代墊|Ariel代墊|中信銀行共用"")), ""內部轉帳(忽略)"",
  AND(E12418&lt;&gt;"""", F12418&lt;&gt;"&amp;""""", NOT(REGEXMATCH(C12418, ""薪資""))), ""內部轉帳(忽略)"",
  REGEXMATCH(C12418, ""薪資""), ""薪資變動(不計入)"",
  REGEXMATCH(C12418, ""押金""), ""押金往來"",
  AND(E12418&lt;&gt;"""", F12418=""""), ""真實支出"",
  AND(E12418="""", F12418&lt;&gt;""""), ""真實收入"",
  TRUE, ""其他""
)"),"其他")</f>
        <v>其他</v>
      </c>
      <c r="K12418" s="270" t="str">
        <f t="shared" si="2"/>
        <v/>
      </c>
      <c r="L12418">
        <f t="shared" si="3"/>
        <v>0</v>
      </c>
    </row>
    <row r="12419">
      <c r="A12419" s="107"/>
      <c r="D12419" s="270"/>
      <c r="H12419" s="106" t="str">
        <f t="shared" si="1"/>
        <v/>
      </c>
      <c r="J12419" t="str">
        <f>IFERROR(__xludf.DUMMYFUNCTION("IFS(
  AND(REGEXMATCH(E12419, ""台銀籌備帳戶|玉山帳戶""), REGEXMATCH(C12419, ""薪資"")), ""分潤支出"",
  AND(REGEXMATCH(E12419, ""Ben帳戶|Elsa帳戶|Ben代墊|Ariel代墊|中信銀行共用""), REGEXMATCH(F12419, ""Ben帳戶|Elsa帳戶|Ben代墊|Ariel代墊|中信銀行共用"")), ""內部轉帳(忽略)"",
  AND(E12419&lt;&gt;"""", F12419&lt;&gt;"&amp;""""", NOT(REGEXMATCH(C12419, ""薪資""))), ""內部轉帳(忽略)"",
  REGEXMATCH(C12419, ""薪資""), ""薪資變動(不計入)"",
  REGEXMATCH(C12419, ""押金""), ""押金往來"",
  AND(E12419&lt;&gt;"""", F12419=""""), ""真實支出"",
  AND(E12419="""", F12419&lt;&gt;""""), ""真實收入"",
  TRUE, ""其他""
)"),"其他")</f>
        <v>其他</v>
      </c>
      <c r="K12419" s="270" t="str">
        <f t="shared" si="2"/>
        <v/>
      </c>
      <c r="L12419">
        <f t="shared" si="3"/>
        <v>0</v>
      </c>
    </row>
    <row r="12420">
      <c r="A12420" s="107"/>
      <c r="D12420" s="270"/>
      <c r="H12420" s="106" t="str">
        <f t="shared" si="1"/>
        <v/>
      </c>
      <c r="J12420" t="str">
        <f>IFERROR(__xludf.DUMMYFUNCTION("IFS(
  AND(REGEXMATCH(E12420, ""台銀籌備帳戶|玉山帳戶""), REGEXMATCH(C12420, ""薪資"")), ""分潤支出"",
  AND(REGEXMATCH(E12420, ""Ben帳戶|Elsa帳戶|Ben代墊|Ariel代墊|中信銀行共用""), REGEXMATCH(F12420, ""Ben帳戶|Elsa帳戶|Ben代墊|Ariel代墊|中信銀行共用"")), ""內部轉帳(忽略)"",
  AND(E12420&lt;&gt;"""", F12420&lt;&gt;"&amp;""""", NOT(REGEXMATCH(C12420, ""薪資""))), ""內部轉帳(忽略)"",
  REGEXMATCH(C12420, ""薪資""), ""薪資變動(不計入)"",
  REGEXMATCH(C12420, ""押金""), ""押金往來"",
  AND(E12420&lt;&gt;"""", F12420=""""), ""真實支出"",
  AND(E12420="""", F12420&lt;&gt;""""), ""真實收入"",
  TRUE, ""其他""
)"),"其他")</f>
        <v>其他</v>
      </c>
      <c r="K12420" s="270" t="str">
        <f t="shared" si="2"/>
        <v/>
      </c>
      <c r="L12420">
        <f t="shared" si="3"/>
        <v>0</v>
      </c>
    </row>
    <row r="12421">
      <c r="A12421" s="107"/>
      <c r="D12421" s="270"/>
      <c r="H12421" s="106" t="str">
        <f t="shared" si="1"/>
        <v/>
      </c>
      <c r="J12421" t="str">
        <f>IFERROR(__xludf.DUMMYFUNCTION("IFS(
  AND(REGEXMATCH(E12421, ""台銀籌備帳戶|玉山帳戶""), REGEXMATCH(C12421, ""薪資"")), ""分潤支出"",
  AND(REGEXMATCH(E12421, ""Ben帳戶|Elsa帳戶|Ben代墊|Ariel代墊|中信銀行共用""), REGEXMATCH(F12421, ""Ben帳戶|Elsa帳戶|Ben代墊|Ariel代墊|中信銀行共用"")), ""內部轉帳(忽略)"",
  AND(E12421&lt;&gt;"""", F12421&lt;&gt;"&amp;""""", NOT(REGEXMATCH(C12421, ""薪資""))), ""內部轉帳(忽略)"",
  REGEXMATCH(C12421, ""薪資""), ""薪資變動(不計入)"",
  REGEXMATCH(C12421, ""押金""), ""押金往來"",
  AND(E12421&lt;&gt;"""", F12421=""""), ""真實支出"",
  AND(E12421="""", F12421&lt;&gt;""""), ""真實收入"",
  TRUE, ""其他""
)"),"其他")</f>
        <v>其他</v>
      </c>
      <c r="K12421" s="270" t="str">
        <f t="shared" si="2"/>
        <v/>
      </c>
      <c r="L12421">
        <f t="shared" si="3"/>
        <v>0</v>
      </c>
    </row>
    <row r="12422">
      <c r="A12422" s="107"/>
      <c r="D12422" s="270"/>
      <c r="H12422" s="106" t="str">
        <f t="shared" si="1"/>
        <v/>
      </c>
      <c r="J12422" t="str">
        <f>IFERROR(__xludf.DUMMYFUNCTION("IFS(
  AND(REGEXMATCH(E12422, ""台銀籌備帳戶|玉山帳戶""), REGEXMATCH(C12422, ""薪資"")), ""分潤支出"",
  AND(REGEXMATCH(E12422, ""Ben帳戶|Elsa帳戶|Ben代墊|Ariel代墊|中信銀行共用""), REGEXMATCH(F12422, ""Ben帳戶|Elsa帳戶|Ben代墊|Ariel代墊|中信銀行共用"")), ""內部轉帳(忽略)"",
  AND(E12422&lt;&gt;"""", F12422&lt;&gt;"&amp;""""", NOT(REGEXMATCH(C12422, ""薪資""))), ""內部轉帳(忽略)"",
  REGEXMATCH(C12422, ""薪資""), ""薪資變動(不計入)"",
  REGEXMATCH(C12422, ""押金""), ""押金往來"",
  AND(E12422&lt;&gt;"""", F12422=""""), ""真實支出"",
  AND(E12422="""", F12422&lt;&gt;""""), ""真實收入"",
  TRUE, ""其他""
)"),"其他")</f>
        <v>其他</v>
      </c>
      <c r="K12422" s="270" t="str">
        <f t="shared" si="2"/>
        <v/>
      </c>
      <c r="L12422">
        <f t="shared" si="3"/>
        <v>0</v>
      </c>
    </row>
    <row r="12423">
      <c r="A12423" s="107"/>
      <c r="D12423" s="270"/>
      <c r="H12423" s="106" t="str">
        <f t="shared" si="1"/>
        <v/>
      </c>
      <c r="J12423" t="str">
        <f>IFERROR(__xludf.DUMMYFUNCTION("IFS(
  AND(REGEXMATCH(E12423, ""台銀籌備帳戶|玉山帳戶""), REGEXMATCH(C12423, ""薪資"")), ""分潤支出"",
  AND(REGEXMATCH(E12423, ""Ben帳戶|Elsa帳戶|Ben代墊|Ariel代墊|中信銀行共用""), REGEXMATCH(F12423, ""Ben帳戶|Elsa帳戶|Ben代墊|Ariel代墊|中信銀行共用"")), ""內部轉帳(忽略)"",
  AND(E12423&lt;&gt;"""", F12423&lt;&gt;"&amp;""""", NOT(REGEXMATCH(C12423, ""薪資""))), ""內部轉帳(忽略)"",
  REGEXMATCH(C12423, ""薪資""), ""薪資變動(不計入)"",
  REGEXMATCH(C12423, ""押金""), ""押金往來"",
  AND(E12423&lt;&gt;"""", F12423=""""), ""真實支出"",
  AND(E12423="""", F12423&lt;&gt;""""), ""真實收入"",
  TRUE, ""其他""
)"),"其他")</f>
        <v>其他</v>
      </c>
      <c r="K12423" s="270" t="str">
        <f t="shared" si="2"/>
        <v/>
      </c>
      <c r="L12423">
        <f t="shared" si="3"/>
        <v>0</v>
      </c>
    </row>
    <row r="12424">
      <c r="A12424" s="107"/>
      <c r="D12424" s="270"/>
      <c r="H12424" s="106" t="str">
        <f t="shared" si="1"/>
        <v/>
      </c>
      <c r="J12424" t="str">
        <f>IFERROR(__xludf.DUMMYFUNCTION("IFS(
  AND(REGEXMATCH(E12424, ""台銀籌備帳戶|玉山帳戶""), REGEXMATCH(C12424, ""薪資"")), ""分潤支出"",
  AND(REGEXMATCH(E12424, ""Ben帳戶|Elsa帳戶|Ben代墊|Ariel代墊|中信銀行共用""), REGEXMATCH(F12424, ""Ben帳戶|Elsa帳戶|Ben代墊|Ariel代墊|中信銀行共用"")), ""內部轉帳(忽略)"",
  AND(E12424&lt;&gt;"""", F12424&lt;&gt;"&amp;""""", NOT(REGEXMATCH(C12424, ""薪資""))), ""內部轉帳(忽略)"",
  REGEXMATCH(C12424, ""薪資""), ""薪資變動(不計入)"",
  REGEXMATCH(C12424, ""押金""), ""押金往來"",
  AND(E12424&lt;&gt;"""", F12424=""""), ""真實支出"",
  AND(E12424="""", F12424&lt;&gt;""""), ""真實收入"",
  TRUE, ""其他""
)"),"其他")</f>
        <v>其他</v>
      </c>
      <c r="K12424" s="270" t="str">
        <f t="shared" si="2"/>
        <v/>
      </c>
      <c r="L12424">
        <f t="shared" si="3"/>
        <v>0</v>
      </c>
    </row>
    <row r="12425">
      <c r="A12425" s="107"/>
      <c r="D12425" s="270"/>
      <c r="H12425" s="106" t="str">
        <f t="shared" si="1"/>
        <v/>
      </c>
      <c r="J12425" t="str">
        <f>IFERROR(__xludf.DUMMYFUNCTION("IFS(
  AND(REGEXMATCH(E12425, ""台銀籌備帳戶|玉山帳戶""), REGEXMATCH(C12425, ""薪資"")), ""分潤支出"",
  AND(REGEXMATCH(E12425, ""Ben帳戶|Elsa帳戶|Ben代墊|Ariel代墊|中信銀行共用""), REGEXMATCH(F12425, ""Ben帳戶|Elsa帳戶|Ben代墊|Ariel代墊|中信銀行共用"")), ""內部轉帳(忽略)"",
  AND(E12425&lt;&gt;"""", F12425&lt;&gt;"&amp;""""", NOT(REGEXMATCH(C12425, ""薪資""))), ""內部轉帳(忽略)"",
  REGEXMATCH(C12425, ""薪資""), ""薪資變動(不計入)"",
  REGEXMATCH(C12425, ""押金""), ""押金往來"",
  AND(E12425&lt;&gt;"""", F12425=""""), ""真實支出"",
  AND(E12425="""", F12425&lt;&gt;""""), ""真實收入"",
  TRUE, ""其他""
)"),"其他")</f>
        <v>其他</v>
      </c>
      <c r="K12425" s="270" t="str">
        <f t="shared" si="2"/>
        <v/>
      </c>
      <c r="L12425">
        <f t="shared" si="3"/>
        <v>0</v>
      </c>
    </row>
    <row r="12426">
      <c r="A12426" s="107"/>
      <c r="D12426" s="270"/>
      <c r="H12426" s="106" t="str">
        <f t="shared" si="1"/>
        <v/>
      </c>
      <c r="J12426" t="str">
        <f>IFERROR(__xludf.DUMMYFUNCTION("IFS(
  AND(REGEXMATCH(E12426, ""台銀籌備帳戶|玉山帳戶""), REGEXMATCH(C12426, ""薪資"")), ""分潤支出"",
  AND(REGEXMATCH(E12426, ""Ben帳戶|Elsa帳戶|Ben代墊|Ariel代墊|中信銀行共用""), REGEXMATCH(F12426, ""Ben帳戶|Elsa帳戶|Ben代墊|Ariel代墊|中信銀行共用"")), ""內部轉帳(忽略)"",
  AND(E12426&lt;&gt;"""", F12426&lt;&gt;"&amp;""""", NOT(REGEXMATCH(C12426, ""薪資""))), ""內部轉帳(忽略)"",
  REGEXMATCH(C12426, ""薪資""), ""薪資變動(不計入)"",
  REGEXMATCH(C12426, ""押金""), ""押金往來"",
  AND(E12426&lt;&gt;"""", F12426=""""), ""真實支出"",
  AND(E12426="""", F12426&lt;&gt;""""), ""真實收入"",
  TRUE, ""其他""
)"),"其他")</f>
        <v>其他</v>
      </c>
      <c r="K12426" s="270" t="str">
        <f t="shared" si="2"/>
        <v/>
      </c>
      <c r="L12426">
        <f t="shared" si="3"/>
        <v>0</v>
      </c>
    </row>
    <row r="12427">
      <c r="A12427" s="107"/>
      <c r="D12427" s="270"/>
      <c r="H12427" s="106" t="str">
        <f t="shared" si="1"/>
        <v/>
      </c>
      <c r="J12427" t="str">
        <f>IFERROR(__xludf.DUMMYFUNCTION("IFS(
  AND(REGEXMATCH(E12427, ""台銀籌備帳戶|玉山帳戶""), REGEXMATCH(C12427, ""薪資"")), ""分潤支出"",
  AND(REGEXMATCH(E12427, ""Ben帳戶|Elsa帳戶|Ben代墊|Ariel代墊|中信銀行共用""), REGEXMATCH(F12427, ""Ben帳戶|Elsa帳戶|Ben代墊|Ariel代墊|中信銀行共用"")), ""內部轉帳(忽略)"",
  AND(E12427&lt;&gt;"""", F12427&lt;&gt;"&amp;""""", NOT(REGEXMATCH(C12427, ""薪資""))), ""內部轉帳(忽略)"",
  REGEXMATCH(C12427, ""薪資""), ""薪資變動(不計入)"",
  REGEXMATCH(C12427, ""押金""), ""押金往來"",
  AND(E12427&lt;&gt;"""", F12427=""""), ""真實支出"",
  AND(E12427="""", F12427&lt;&gt;""""), ""真實收入"",
  TRUE, ""其他""
)"),"其他")</f>
        <v>其他</v>
      </c>
      <c r="K12427" s="270" t="str">
        <f t="shared" si="2"/>
        <v/>
      </c>
      <c r="L12427">
        <f t="shared" si="3"/>
        <v>0</v>
      </c>
    </row>
    <row r="12428">
      <c r="A12428" s="107"/>
      <c r="D12428" s="270"/>
      <c r="H12428" s="106" t="str">
        <f t="shared" si="1"/>
        <v/>
      </c>
      <c r="J12428" t="str">
        <f>IFERROR(__xludf.DUMMYFUNCTION("IFS(
  AND(REGEXMATCH(E12428, ""台銀籌備帳戶|玉山帳戶""), REGEXMATCH(C12428, ""薪資"")), ""分潤支出"",
  AND(REGEXMATCH(E12428, ""Ben帳戶|Elsa帳戶|Ben代墊|Ariel代墊|中信銀行共用""), REGEXMATCH(F12428, ""Ben帳戶|Elsa帳戶|Ben代墊|Ariel代墊|中信銀行共用"")), ""內部轉帳(忽略)"",
  AND(E12428&lt;&gt;"""", F12428&lt;&gt;"&amp;""""", NOT(REGEXMATCH(C12428, ""薪資""))), ""內部轉帳(忽略)"",
  REGEXMATCH(C12428, ""薪資""), ""薪資變動(不計入)"",
  REGEXMATCH(C12428, ""押金""), ""押金往來"",
  AND(E12428&lt;&gt;"""", F12428=""""), ""真實支出"",
  AND(E12428="""", F12428&lt;&gt;""""), ""真實收入"",
  TRUE, ""其他""
)"),"其他")</f>
        <v>其他</v>
      </c>
      <c r="K12428" s="270" t="str">
        <f t="shared" si="2"/>
        <v/>
      </c>
      <c r="L12428">
        <f t="shared" si="3"/>
        <v>0</v>
      </c>
    </row>
    <row r="12429">
      <c r="A12429" s="107"/>
      <c r="D12429" s="270"/>
      <c r="H12429" s="106" t="str">
        <f t="shared" si="1"/>
        <v/>
      </c>
      <c r="J12429" t="str">
        <f>IFERROR(__xludf.DUMMYFUNCTION("IFS(
  AND(REGEXMATCH(E12429, ""台銀籌備帳戶|玉山帳戶""), REGEXMATCH(C12429, ""薪資"")), ""分潤支出"",
  AND(REGEXMATCH(E12429, ""Ben帳戶|Elsa帳戶|Ben代墊|Ariel代墊|中信銀行共用""), REGEXMATCH(F12429, ""Ben帳戶|Elsa帳戶|Ben代墊|Ariel代墊|中信銀行共用"")), ""內部轉帳(忽略)"",
  AND(E12429&lt;&gt;"""", F12429&lt;&gt;"&amp;""""", NOT(REGEXMATCH(C12429, ""薪資""))), ""內部轉帳(忽略)"",
  REGEXMATCH(C12429, ""薪資""), ""薪資變動(不計入)"",
  REGEXMATCH(C12429, ""押金""), ""押金往來"",
  AND(E12429&lt;&gt;"""", F12429=""""), ""真實支出"",
  AND(E12429="""", F12429&lt;&gt;""""), ""真實收入"",
  TRUE, ""其他""
)"),"其他")</f>
        <v>其他</v>
      </c>
      <c r="K12429" s="270" t="str">
        <f t="shared" si="2"/>
        <v/>
      </c>
      <c r="L12429">
        <f t="shared" si="3"/>
        <v>0</v>
      </c>
    </row>
    <row r="12430">
      <c r="A12430" s="107"/>
      <c r="D12430" s="270"/>
      <c r="H12430" s="106" t="str">
        <f t="shared" si="1"/>
        <v/>
      </c>
      <c r="J12430" t="str">
        <f>IFERROR(__xludf.DUMMYFUNCTION("IFS(
  AND(REGEXMATCH(E12430, ""台銀籌備帳戶|玉山帳戶""), REGEXMATCH(C12430, ""薪資"")), ""分潤支出"",
  AND(REGEXMATCH(E12430, ""Ben帳戶|Elsa帳戶|Ben代墊|Ariel代墊|中信銀行共用""), REGEXMATCH(F12430, ""Ben帳戶|Elsa帳戶|Ben代墊|Ariel代墊|中信銀行共用"")), ""內部轉帳(忽略)"",
  AND(E12430&lt;&gt;"""", F12430&lt;&gt;"&amp;""""", NOT(REGEXMATCH(C12430, ""薪資""))), ""內部轉帳(忽略)"",
  REGEXMATCH(C12430, ""薪資""), ""薪資變動(不計入)"",
  REGEXMATCH(C12430, ""押金""), ""押金往來"",
  AND(E12430&lt;&gt;"""", F12430=""""), ""真實支出"",
  AND(E12430="""", F12430&lt;&gt;""""), ""真實收入"",
  TRUE, ""其他""
)"),"其他")</f>
        <v>其他</v>
      </c>
      <c r="K12430" s="270" t="str">
        <f t="shared" si="2"/>
        <v/>
      </c>
      <c r="L12430">
        <f t="shared" si="3"/>
        <v>0</v>
      </c>
    </row>
    <row r="12431">
      <c r="A12431" s="107"/>
      <c r="D12431" s="270"/>
      <c r="H12431" s="106" t="str">
        <f t="shared" si="1"/>
        <v/>
      </c>
      <c r="J12431" t="str">
        <f>IFERROR(__xludf.DUMMYFUNCTION("IFS(
  AND(REGEXMATCH(E12431, ""台銀籌備帳戶|玉山帳戶""), REGEXMATCH(C12431, ""薪資"")), ""分潤支出"",
  AND(REGEXMATCH(E12431, ""Ben帳戶|Elsa帳戶|Ben代墊|Ariel代墊|中信銀行共用""), REGEXMATCH(F12431, ""Ben帳戶|Elsa帳戶|Ben代墊|Ariel代墊|中信銀行共用"")), ""內部轉帳(忽略)"",
  AND(E12431&lt;&gt;"""", F12431&lt;&gt;"&amp;""""", NOT(REGEXMATCH(C12431, ""薪資""))), ""內部轉帳(忽略)"",
  REGEXMATCH(C12431, ""薪資""), ""薪資變動(不計入)"",
  REGEXMATCH(C12431, ""押金""), ""押金往來"",
  AND(E12431&lt;&gt;"""", F12431=""""), ""真實支出"",
  AND(E12431="""", F12431&lt;&gt;""""), ""真實收入"",
  TRUE, ""其他""
)"),"其他")</f>
        <v>其他</v>
      </c>
      <c r="K12431" s="270" t="str">
        <f t="shared" si="2"/>
        <v/>
      </c>
      <c r="L12431">
        <f t="shared" si="3"/>
        <v>0</v>
      </c>
    </row>
    <row r="12432">
      <c r="A12432" s="107"/>
      <c r="D12432" s="270"/>
      <c r="H12432" s="106" t="str">
        <f t="shared" si="1"/>
        <v/>
      </c>
      <c r="J12432" t="str">
        <f>IFERROR(__xludf.DUMMYFUNCTION("IFS(
  AND(REGEXMATCH(E12432, ""台銀籌備帳戶|玉山帳戶""), REGEXMATCH(C12432, ""薪資"")), ""分潤支出"",
  AND(REGEXMATCH(E12432, ""Ben帳戶|Elsa帳戶|Ben代墊|Ariel代墊|中信銀行共用""), REGEXMATCH(F12432, ""Ben帳戶|Elsa帳戶|Ben代墊|Ariel代墊|中信銀行共用"")), ""內部轉帳(忽略)"",
  AND(E12432&lt;&gt;"""", F12432&lt;&gt;"&amp;""""", NOT(REGEXMATCH(C12432, ""薪資""))), ""內部轉帳(忽略)"",
  REGEXMATCH(C12432, ""薪資""), ""薪資變動(不計入)"",
  REGEXMATCH(C12432, ""押金""), ""押金往來"",
  AND(E12432&lt;&gt;"""", F12432=""""), ""真實支出"",
  AND(E12432="""", F12432&lt;&gt;""""), ""真實收入"",
  TRUE, ""其他""
)"),"其他")</f>
        <v>其他</v>
      </c>
      <c r="K12432" s="270" t="str">
        <f t="shared" si="2"/>
        <v/>
      </c>
      <c r="L12432">
        <f t="shared" si="3"/>
        <v>0</v>
      </c>
    </row>
    <row r="12433">
      <c r="A12433" s="107"/>
      <c r="D12433" s="270"/>
      <c r="H12433" s="106" t="str">
        <f t="shared" si="1"/>
        <v/>
      </c>
      <c r="J12433" t="str">
        <f>IFERROR(__xludf.DUMMYFUNCTION("IFS(
  AND(REGEXMATCH(E12433, ""台銀籌備帳戶|玉山帳戶""), REGEXMATCH(C12433, ""薪資"")), ""分潤支出"",
  AND(REGEXMATCH(E12433, ""Ben帳戶|Elsa帳戶|Ben代墊|Ariel代墊|中信銀行共用""), REGEXMATCH(F12433, ""Ben帳戶|Elsa帳戶|Ben代墊|Ariel代墊|中信銀行共用"")), ""內部轉帳(忽略)"",
  AND(E12433&lt;&gt;"""", F12433&lt;&gt;"&amp;""""", NOT(REGEXMATCH(C12433, ""薪資""))), ""內部轉帳(忽略)"",
  REGEXMATCH(C12433, ""薪資""), ""薪資變動(不計入)"",
  REGEXMATCH(C12433, ""押金""), ""押金往來"",
  AND(E12433&lt;&gt;"""", F12433=""""), ""真實支出"",
  AND(E12433="""", F12433&lt;&gt;""""), ""真實收入"",
  TRUE, ""其他""
)"),"其他")</f>
        <v>其他</v>
      </c>
      <c r="K12433" s="270" t="str">
        <f t="shared" si="2"/>
        <v/>
      </c>
      <c r="L12433">
        <f t="shared" si="3"/>
        <v>0</v>
      </c>
    </row>
    <row r="12434">
      <c r="A12434" s="107"/>
      <c r="D12434" s="270"/>
      <c r="H12434" s="106" t="str">
        <f t="shared" si="1"/>
        <v/>
      </c>
      <c r="J12434" t="str">
        <f>IFERROR(__xludf.DUMMYFUNCTION("IFS(
  AND(REGEXMATCH(E12434, ""台銀籌備帳戶|玉山帳戶""), REGEXMATCH(C12434, ""薪資"")), ""分潤支出"",
  AND(REGEXMATCH(E12434, ""Ben帳戶|Elsa帳戶|Ben代墊|Ariel代墊|中信銀行共用""), REGEXMATCH(F12434, ""Ben帳戶|Elsa帳戶|Ben代墊|Ariel代墊|中信銀行共用"")), ""內部轉帳(忽略)"",
  AND(E12434&lt;&gt;"""", F12434&lt;&gt;"&amp;""""", NOT(REGEXMATCH(C12434, ""薪資""))), ""內部轉帳(忽略)"",
  REGEXMATCH(C12434, ""薪資""), ""薪資變動(不計入)"",
  REGEXMATCH(C12434, ""押金""), ""押金往來"",
  AND(E12434&lt;&gt;"""", F12434=""""), ""真實支出"",
  AND(E12434="""", F12434&lt;&gt;""""), ""真實收入"",
  TRUE, ""其他""
)"),"其他")</f>
        <v>其他</v>
      </c>
      <c r="K12434" s="270" t="str">
        <f t="shared" si="2"/>
        <v/>
      </c>
      <c r="L12434">
        <f t="shared" si="3"/>
        <v>0</v>
      </c>
    </row>
    <row r="12435">
      <c r="A12435" s="107"/>
      <c r="D12435" s="270"/>
      <c r="H12435" s="106" t="str">
        <f t="shared" si="1"/>
        <v/>
      </c>
      <c r="J12435" t="str">
        <f>IFERROR(__xludf.DUMMYFUNCTION("IFS(
  AND(REGEXMATCH(E12435, ""台銀籌備帳戶|玉山帳戶""), REGEXMATCH(C12435, ""薪資"")), ""分潤支出"",
  AND(REGEXMATCH(E12435, ""Ben帳戶|Elsa帳戶|Ben代墊|Ariel代墊|中信銀行共用""), REGEXMATCH(F12435, ""Ben帳戶|Elsa帳戶|Ben代墊|Ariel代墊|中信銀行共用"")), ""內部轉帳(忽略)"",
  AND(E12435&lt;&gt;"""", F12435&lt;&gt;"&amp;""""", NOT(REGEXMATCH(C12435, ""薪資""))), ""內部轉帳(忽略)"",
  REGEXMATCH(C12435, ""薪資""), ""薪資變動(不計入)"",
  REGEXMATCH(C12435, ""押金""), ""押金往來"",
  AND(E12435&lt;&gt;"""", F12435=""""), ""真實支出"",
  AND(E12435="""", F12435&lt;&gt;""""), ""真實收入"",
  TRUE, ""其他""
)"),"其他")</f>
        <v>其他</v>
      </c>
      <c r="K12435" s="270" t="str">
        <f t="shared" si="2"/>
        <v/>
      </c>
      <c r="L12435">
        <f t="shared" si="3"/>
        <v>0</v>
      </c>
    </row>
    <row r="12436">
      <c r="A12436" s="107"/>
      <c r="D12436" s="270"/>
      <c r="H12436" s="106" t="str">
        <f t="shared" si="1"/>
        <v/>
      </c>
      <c r="J12436" t="str">
        <f>IFERROR(__xludf.DUMMYFUNCTION("IFS(
  AND(REGEXMATCH(E12436, ""台銀籌備帳戶|玉山帳戶""), REGEXMATCH(C12436, ""薪資"")), ""分潤支出"",
  AND(REGEXMATCH(E12436, ""Ben帳戶|Elsa帳戶|Ben代墊|Ariel代墊|中信銀行共用""), REGEXMATCH(F12436, ""Ben帳戶|Elsa帳戶|Ben代墊|Ariel代墊|中信銀行共用"")), ""內部轉帳(忽略)"",
  AND(E12436&lt;&gt;"""", F12436&lt;&gt;"&amp;""""", NOT(REGEXMATCH(C12436, ""薪資""))), ""內部轉帳(忽略)"",
  REGEXMATCH(C12436, ""薪資""), ""薪資變動(不計入)"",
  REGEXMATCH(C12436, ""押金""), ""押金往來"",
  AND(E12436&lt;&gt;"""", F12436=""""), ""真實支出"",
  AND(E12436="""", F12436&lt;&gt;""""), ""真實收入"",
  TRUE, ""其他""
)"),"其他")</f>
        <v>其他</v>
      </c>
      <c r="K12436" s="270" t="str">
        <f t="shared" si="2"/>
        <v/>
      </c>
      <c r="L12436">
        <f t="shared" si="3"/>
        <v>0</v>
      </c>
    </row>
    <row r="12437">
      <c r="A12437" s="107"/>
      <c r="D12437" s="270"/>
      <c r="H12437" s="106" t="str">
        <f t="shared" si="1"/>
        <v/>
      </c>
      <c r="J12437" t="str">
        <f>IFERROR(__xludf.DUMMYFUNCTION("IFS(
  AND(REGEXMATCH(E12437, ""台銀籌備帳戶|玉山帳戶""), REGEXMATCH(C12437, ""薪資"")), ""分潤支出"",
  AND(REGEXMATCH(E12437, ""Ben帳戶|Elsa帳戶|Ben代墊|Ariel代墊|中信銀行共用""), REGEXMATCH(F12437, ""Ben帳戶|Elsa帳戶|Ben代墊|Ariel代墊|中信銀行共用"")), ""內部轉帳(忽略)"",
  AND(E12437&lt;&gt;"""", F12437&lt;&gt;"&amp;""""", NOT(REGEXMATCH(C12437, ""薪資""))), ""內部轉帳(忽略)"",
  REGEXMATCH(C12437, ""薪資""), ""薪資變動(不計入)"",
  REGEXMATCH(C12437, ""押金""), ""押金往來"",
  AND(E12437&lt;&gt;"""", F12437=""""), ""真實支出"",
  AND(E12437="""", F12437&lt;&gt;""""), ""真實收入"",
  TRUE, ""其他""
)"),"其他")</f>
        <v>其他</v>
      </c>
      <c r="K12437" s="270" t="str">
        <f t="shared" si="2"/>
        <v/>
      </c>
      <c r="L12437">
        <f t="shared" si="3"/>
        <v>0</v>
      </c>
    </row>
    <row r="12438">
      <c r="A12438" s="107"/>
      <c r="D12438" s="270"/>
      <c r="H12438" s="106" t="str">
        <f t="shared" si="1"/>
        <v/>
      </c>
      <c r="J12438" t="str">
        <f>IFERROR(__xludf.DUMMYFUNCTION("IFS(
  AND(REGEXMATCH(E12438, ""台銀籌備帳戶|玉山帳戶""), REGEXMATCH(C12438, ""薪資"")), ""分潤支出"",
  AND(REGEXMATCH(E12438, ""Ben帳戶|Elsa帳戶|Ben代墊|Ariel代墊|中信銀行共用""), REGEXMATCH(F12438, ""Ben帳戶|Elsa帳戶|Ben代墊|Ariel代墊|中信銀行共用"")), ""內部轉帳(忽略)"",
  AND(E12438&lt;&gt;"""", F12438&lt;&gt;"&amp;""""", NOT(REGEXMATCH(C12438, ""薪資""))), ""內部轉帳(忽略)"",
  REGEXMATCH(C12438, ""薪資""), ""薪資變動(不計入)"",
  REGEXMATCH(C12438, ""押金""), ""押金往來"",
  AND(E12438&lt;&gt;"""", F12438=""""), ""真實支出"",
  AND(E12438="""", F12438&lt;&gt;""""), ""真實收入"",
  TRUE, ""其他""
)"),"其他")</f>
        <v>其他</v>
      </c>
      <c r="K12438" s="270" t="str">
        <f t="shared" si="2"/>
        <v/>
      </c>
      <c r="L12438">
        <f t="shared" si="3"/>
        <v>0</v>
      </c>
    </row>
    <row r="12439">
      <c r="A12439" s="107"/>
      <c r="D12439" s="270"/>
      <c r="H12439" s="106" t="str">
        <f t="shared" si="1"/>
        <v/>
      </c>
      <c r="J12439" t="str">
        <f>IFERROR(__xludf.DUMMYFUNCTION("IFS(
  AND(REGEXMATCH(E12439, ""台銀籌備帳戶|玉山帳戶""), REGEXMATCH(C12439, ""薪資"")), ""分潤支出"",
  AND(REGEXMATCH(E12439, ""Ben帳戶|Elsa帳戶|Ben代墊|Ariel代墊|中信銀行共用""), REGEXMATCH(F12439, ""Ben帳戶|Elsa帳戶|Ben代墊|Ariel代墊|中信銀行共用"")), ""內部轉帳(忽略)"",
  AND(E12439&lt;&gt;"""", F12439&lt;&gt;"&amp;""""", NOT(REGEXMATCH(C12439, ""薪資""))), ""內部轉帳(忽略)"",
  REGEXMATCH(C12439, ""薪資""), ""薪資變動(不計入)"",
  REGEXMATCH(C12439, ""押金""), ""押金往來"",
  AND(E12439&lt;&gt;"""", F12439=""""), ""真實支出"",
  AND(E12439="""", F12439&lt;&gt;""""), ""真實收入"",
  TRUE, ""其他""
)"),"其他")</f>
        <v>其他</v>
      </c>
      <c r="K12439" s="270" t="str">
        <f t="shared" si="2"/>
        <v/>
      </c>
      <c r="L12439">
        <f t="shared" si="3"/>
        <v>0</v>
      </c>
    </row>
    <row r="12440">
      <c r="A12440" s="107"/>
      <c r="D12440" s="270"/>
      <c r="H12440" s="106" t="str">
        <f t="shared" si="1"/>
        <v/>
      </c>
      <c r="J12440" t="str">
        <f>IFERROR(__xludf.DUMMYFUNCTION("IFS(
  AND(REGEXMATCH(E12440, ""台銀籌備帳戶|玉山帳戶""), REGEXMATCH(C12440, ""薪資"")), ""分潤支出"",
  AND(REGEXMATCH(E12440, ""Ben帳戶|Elsa帳戶|Ben代墊|Ariel代墊|中信銀行共用""), REGEXMATCH(F12440, ""Ben帳戶|Elsa帳戶|Ben代墊|Ariel代墊|中信銀行共用"")), ""內部轉帳(忽略)"",
  AND(E12440&lt;&gt;"""", F12440&lt;&gt;"&amp;""""", NOT(REGEXMATCH(C12440, ""薪資""))), ""內部轉帳(忽略)"",
  REGEXMATCH(C12440, ""薪資""), ""薪資變動(不計入)"",
  REGEXMATCH(C12440, ""押金""), ""押金往來"",
  AND(E12440&lt;&gt;"""", F12440=""""), ""真實支出"",
  AND(E12440="""", F12440&lt;&gt;""""), ""真實收入"",
  TRUE, ""其他""
)"),"其他")</f>
        <v>其他</v>
      </c>
      <c r="K12440" s="270" t="str">
        <f t="shared" si="2"/>
        <v/>
      </c>
      <c r="L12440">
        <f t="shared" si="3"/>
        <v>0</v>
      </c>
    </row>
    <row r="12441">
      <c r="A12441" s="107"/>
      <c r="D12441" s="270"/>
      <c r="H12441" s="106" t="str">
        <f t="shared" si="1"/>
        <v/>
      </c>
      <c r="J12441" t="str">
        <f>IFERROR(__xludf.DUMMYFUNCTION("IFS(
  AND(REGEXMATCH(E12441, ""台銀籌備帳戶|玉山帳戶""), REGEXMATCH(C12441, ""薪資"")), ""分潤支出"",
  AND(REGEXMATCH(E12441, ""Ben帳戶|Elsa帳戶|Ben代墊|Ariel代墊|中信銀行共用""), REGEXMATCH(F12441, ""Ben帳戶|Elsa帳戶|Ben代墊|Ariel代墊|中信銀行共用"")), ""內部轉帳(忽略)"",
  AND(E12441&lt;&gt;"""", F12441&lt;&gt;"&amp;""""", NOT(REGEXMATCH(C12441, ""薪資""))), ""內部轉帳(忽略)"",
  REGEXMATCH(C12441, ""薪資""), ""薪資變動(不計入)"",
  REGEXMATCH(C12441, ""押金""), ""押金往來"",
  AND(E12441&lt;&gt;"""", F12441=""""), ""真實支出"",
  AND(E12441="""", F12441&lt;&gt;""""), ""真實收入"",
  TRUE, ""其他""
)"),"其他")</f>
        <v>其他</v>
      </c>
      <c r="K12441" s="270" t="str">
        <f t="shared" si="2"/>
        <v/>
      </c>
      <c r="L12441">
        <f t="shared" si="3"/>
        <v>0</v>
      </c>
    </row>
    <row r="12442">
      <c r="A12442" s="107"/>
      <c r="D12442" s="270"/>
      <c r="H12442" s="106" t="str">
        <f t="shared" si="1"/>
        <v/>
      </c>
      <c r="J12442" t="str">
        <f>IFERROR(__xludf.DUMMYFUNCTION("IFS(
  AND(REGEXMATCH(E12442, ""台銀籌備帳戶|玉山帳戶""), REGEXMATCH(C12442, ""薪資"")), ""分潤支出"",
  AND(REGEXMATCH(E12442, ""Ben帳戶|Elsa帳戶|Ben代墊|Ariel代墊|中信銀行共用""), REGEXMATCH(F12442, ""Ben帳戶|Elsa帳戶|Ben代墊|Ariel代墊|中信銀行共用"")), ""內部轉帳(忽略)"",
  AND(E12442&lt;&gt;"""", F12442&lt;&gt;"&amp;""""", NOT(REGEXMATCH(C12442, ""薪資""))), ""內部轉帳(忽略)"",
  REGEXMATCH(C12442, ""薪資""), ""薪資變動(不計入)"",
  REGEXMATCH(C12442, ""押金""), ""押金往來"",
  AND(E12442&lt;&gt;"""", F12442=""""), ""真實支出"",
  AND(E12442="""", F12442&lt;&gt;""""), ""真實收入"",
  TRUE, ""其他""
)"),"其他")</f>
        <v>其他</v>
      </c>
      <c r="K12442" s="270" t="str">
        <f t="shared" si="2"/>
        <v/>
      </c>
      <c r="L12442">
        <f t="shared" si="3"/>
        <v>0</v>
      </c>
    </row>
    <row r="12443">
      <c r="A12443" s="107"/>
      <c r="D12443" s="270"/>
      <c r="H12443" s="106" t="str">
        <f t="shared" si="1"/>
        <v/>
      </c>
      <c r="J12443" t="str">
        <f>IFERROR(__xludf.DUMMYFUNCTION("IFS(
  AND(REGEXMATCH(E12443, ""台銀籌備帳戶|玉山帳戶""), REGEXMATCH(C12443, ""薪資"")), ""分潤支出"",
  AND(REGEXMATCH(E12443, ""Ben帳戶|Elsa帳戶|Ben代墊|Ariel代墊|中信銀行共用""), REGEXMATCH(F12443, ""Ben帳戶|Elsa帳戶|Ben代墊|Ariel代墊|中信銀行共用"")), ""內部轉帳(忽略)"",
  AND(E12443&lt;&gt;"""", F12443&lt;&gt;"&amp;""""", NOT(REGEXMATCH(C12443, ""薪資""))), ""內部轉帳(忽略)"",
  REGEXMATCH(C12443, ""薪資""), ""薪資變動(不計入)"",
  REGEXMATCH(C12443, ""押金""), ""押金往來"",
  AND(E12443&lt;&gt;"""", F12443=""""), ""真實支出"",
  AND(E12443="""", F12443&lt;&gt;""""), ""真實收入"",
  TRUE, ""其他""
)"),"其他")</f>
        <v>其他</v>
      </c>
      <c r="K12443" s="270" t="str">
        <f t="shared" si="2"/>
        <v/>
      </c>
      <c r="L12443">
        <f t="shared" si="3"/>
        <v>0</v>
      </c>
    </row>
    <row r="12444">
      <c r="A12444" s="107"/>
      <c r="D12444" s="270"/>
      <c r="H12444" s="106" t="str">
        <f t="shared" si="1"/>
        <v/>
      </c>
      <c r="J12444" t="str">
        <f>IFERROR(__xludf.DUMMYFUNCTION("IFS(
  AND(REGEXMATCH(E12444, ""台銀籌備帳戶|玉山帳戶""), REGEXMATCH(C12444, ""薪資"")), ""分潤支出"",
  AND(REGEXMATCH(E12444, ""Ben帳戶|Elsa帳戶|Ben代墊|Ariel代墊|中信銀行共用""), REGEXMATCH(F12444, ""Ben帳戶|Elsa帳戶|Ben代墊|Ariel代墊|中信銀行共用"")), ""內部轉帳(忽略)"",
  AND(E12444&lt;&gt;"""", F12444&lt;&gt;"&amp;""""", NOT(REGEXMATCH(C12444, ""薪資""))), ""內部轉帳(忽略)"",
  REGEXMATCH(C12444, ""薪資""), ""薪資變動(不計入)"",
  REGEXMATCH(C12444, ""押金""), ""押金往來"",
  AND(E12444&lt;&gt;"""", F12444=""""), ""真實支出"",
  AND(E12444="""", F12444&lt;&gt;""""), ""真實收入"",
  TRUE, ""其他""
)"),"其他")</f>
        <v>其他</v>
      </c>
      <c r="K12444" s="270" t="str">
        <f t="shared" si="2"/>
        <v/>
      </c>
      <c r="L12444">
        <f t="shared" si="3"/>
        <v>0</v>
      </c>
    </row>
    <row r="12445">
      <c r="A12445" s="107"/>
      <c r="D12445" s="270"/>
      <c r="H12445" s="106" t="str">
        <f t="shared" si="1"/>
        <v/>
      </c>
      <c r="J12445" t="str">
        <f>IFERROR(__xludf.DUMMYFUNCTION("IFS(
  AND(REGEXMATCH(E12445, ""台銀籌備帳戶|玉山帳戶""), REGEXMATCH(C12445, ""薪資"")), ""分潤支出"",
  AND(REGEXMATCH(E12445, ""Ben帳戶|Elsa帳戶|Ben代墊|Ariel代墊|中信銀行共用""), REGEXMATCH(F12445, ""Ben帳戶|Elsa帳戶|Ben代墊|Ariel代墊|中信銀行共用"")), ""內部轉帳(忽略)"",
  AND(E12445&lt;&gt;"""", F12445&lt;&gt;"&amp;""""", NOT(REGEXMATCH(C12445, ""薪資""))), ""內部轉帳(忽略)"",
  REGEXMATCH(C12445, ""薪資""), ""薪資變動(不計入)"",
  REGEXMATCH(C12445, ""押金""), ""押金往來"",
  AND(E12445&lt;&gt;"""", F12445=""""), ""真實支出"",
  AND(E12445="""", F12445&lt;&gt;""""), ""真實收入"",
  TRUE, ""其他""
)"),"其他")</f>
        <v>其他</v>
      </c>
      <c r="K12445" s="270" t="str">
        <f t="shared" si="2"/>
        <v/>
      </c>
      <c r="L12445">
        <f t="shared" si="3"/>
        <v>0</v>
      </c>
    </row>
    <row r="12446">
      <c r="A12446" s="107"/>
      <c r="D12446" s="270"/>
      <c r="H12446" s="106" t="str">
        <f t="shared" si="1"/>
        <v/>
      </c>
      <c r="J12446" t="str">
        <f>IFERROR(__xludf.DUMMYFUNCTION("IFS(
  AND(REGEXMATCH(E12446, ""台銀籌備帳戶|玉山帳戶""), REGEXMATCH(C12446, ""薪資"")), ""分潤支出"",
  AND(REGEXMATCH(E12446, ""Ben帳戶|Elsa帳戶|Ben代墊|Ariel代墊|中信銀行共用""), REGEXMATCH(F12446, ""Ben帳戶|Elsa帳戶|Ben代墊|Ariel代墊|中信銀行共用"")), ""內部轉帳(忽略)"",
  AND(E12446&lt;&gt;"""", F12446&lt;&gt;"&amp;""""", NOT(REGEXMATCH(C12446, ""薪資""))), ""內部轉帳(忽略)"",
  REGEXMATCH(C12446, ""薪資""), ""薪資變動(不計入)"",
  REGEXMATCH(C12446, ""押金""), ""押金往來"",
  AND(E12446&lt;&gt;"""", F12446=""""), ""真實支出"",
  AND(E12446="""", F12446&lt;&gt;""""), ""真實收入"",
  TRUE, ""其他""
)"),"其他")</f>
        <v>其他</v>
      </c>
      <c r="K12446" s="270" t="str">
        <f t="shared" si="2"/>
        <v/>
      </c>
      <c r="L12446">
        <f t="shared" si="3"/>
        <v>0</v>
      </c>
    </row>
    <row r="12447">
      <c r="A12447" s="107"/>
      <c r="D12447" s="270"/>
      <c r="H12447" s="106" t="str">
        <f t="shared" si="1"/>
        <v/>
      </c>
      <c r="J12447" t="str">
        <f>IFERROR(__xludf.DUMMYFUNCTION("IFS(
  AND(REGEXMATCH(E12447, ""台銀籌備帳戶|玉山帳戶""), REGEXMATCH(C12447, ""薪資"")), ""分潤支出"",
  AND(REGEXMATCH(E12447, ""Ben帳戶|Elsa帳戶|Ben代墊|Ariel代墊|中信銀行共用""), REGEXMATCH(F12447, ""Ben帳戶|Elsa帳戶|Ben代墊|Ariel代墊|中信銀行共用"")), ""內部轉帳(忽略)"",
  AND(E12447&lt;&gt;"""", F12447&lt;&gt;"&amp;""""", NOT(REGEXMATCH(C12447, ""薪資""))), ""內部轉帳(忽略)"",
  REGEXMATCH(C12447, ""薪資""), ""薪資變動(不計入)"",
  REGEXMATCH(C12447, ""押金""), ""押金往來"",
  AND(E12447&lt;&gt;"""", F12447=""""), ""真實支出"",
  AND(E12447="""", F12447&lt;&gt;""""), ""真實收入"",
  TRUE, ""其他""
)"),"其他")</f>
        <v>其他</v>
      </c>
      <c r="K12447" s="270" t="str">
        <f t="shared" si="2"/>
        <v/>
      </c>
      <c r="L12447">
        <f t="shared" si="3"/>
        <v>0</v>
      </c>
    </row>
    <row r="12448">
      <c r="A12448" s="107"/>
      <c r="D12448" s="270"/>
      <c r="H12448" s="106" t="str">
        <f t="shared" si="1"/>
        <v/>
      </c>
      <c r="J12448" t="str">
        <f>IFERROR(__xludf.DUMMYFUNCTION("IFS(
  AND(REGEXMATCH(E12448, ""台銀籌備帳戶|玉山帳戶""), REGEXMATCH(C12448, ""薪資"")), ""分潤支出"",
  AND(REGEXMATCH(E12448, ""Ben帳戶|Elsa帳戶|Ben代墊|Ariel代墊|中信銀行共用""), REGEXMATCH(F12448, ""Ben帳戶|Elsa帳戶|Ben代墊|Ariel代墊|中信銀行共用"")), ""內部轉帳(忽略)"",
  AND(E12448&lt;&gt;"""", F12448&lt;&gt;"&amp;""""", NOT(REGEXMATCH(C12448, ""薪資""))), ""內部轉帳(忽略)"",
  REGEXMATCH(C12448, ""薪資""), ""薪資變動(不計入)"",
  REGEXMATCH(C12448, ""押金""), ""押金往來"",
  AND(E12448&lt;&gt;"""", F12448=""""), ""真實支出"",
  AND(E12448="""", F12448&lt;&gt;""""), ""真實收入"",
  TRUE, ""其他""
)"),"其他")</f>
        <v>其他</v>
      </c>
      <c r="K12448" s="270" t="str">
        <f t="shared" si="2"/>
        <v/>
      </c>
      <c r="L12448">
        <f t="shared" si="3"/>
        <v>0</v>
      </c>
    </row>
    <row r="12449">
      <c r="A12449" s="107"/>
      <c r="D12449" s="270"/>
      <c r="H12449" s="106" t="str">
        <f t="shared" si="1"/>
        <v/>
      </c>
      <c r="J12449" t="str">
        <f>IFERROR(__xludf.DUMMYFUNCTION("IFS(
  AND(REGEXMATCH(E12449, ""台銀籌備帳戶|玉山帳戶""), REGEXMATCH(C12449, ""薪資"")), ""分潤支出"",
  AND(REGEXMATCH(E12449, ""Ben帳戶|Elsa帳戶|Ben代墊|Ariel代墊|中信銀行共用""), REGEXMATCH(F12449, ""Ben帳戶|Elsa帳戶|Ben代墊|Ariel代墊|中信銀行共用"")), ""內部轉帳(忽略)"",
  AND(E12449&lt;&gt;"""", F12449&lt;&gt;"&amp;""""", NOT(REGEXMATCH(C12449, ""薪資""))), ""內部轉帳(忽略)"",
  REGEXMATCH(C12449, ""薪資""), ""薪資變動(不計入)"",
  REGEXMATCH(C12449, ""押金""), ""押金往來"",
  AND(E12449&lt;&gt;"""", F12449=""""), ""真實支出"",
  AND(E12449="""", F12449&lt;&gt;""""), ""真實收入"",
  TRUE, ""其他""
)"),"其他")</f>
        <v>其他</v>
      </c>
      <c r="K12449" s="270" t="str">
        <f t="shared" si="2"/>
        <v/>
      </c>
      <c r="L12449">
        <f t="shared" si="3"/>
        <v>0</v>
      </c>
    </row>
    <row r="12450">
      <c r="A12450" s="107"/>
      <c r="D12450" s="270"/>
      <c r="H12450" s="106" t="str">
        <f t="shared" si="1"/>
        <v/>
      </c>
      <c r="J12450" t="str">
        <f>IFERROR(__xludf.DUMMYFUNCTION("IFS(
  AND(REGEXMATCH(E12450, ""台銀籌備帳戶|玉山帳戶""), REGEXMATCH(C12450, ""薪資"")), ""分潤支出"",
  AND(REGEXMATCH(E12450, ""Ben帳戶|Elsa帳戶|Ben代墊|Ariel代墊|中信銀行共用""), REGEXMATCH(F12450, ""Ben帳戶|Elsa帳戶|Ben代墊|Ariel代墊|中信銀行共用"")), ""內部轉帳(忽略)"",
  AND(E12450&lt;&gt;"""", F12450&lt;&gt;"&amp;""""", NOT(REGEXMATCH(C12450, ""薪資""))), ""內部轉帳(忽略)"",
  REGEXMATCH(C12450, ""薪資""), ""薪資變動(不計入)"",
  REGEXMATCH(C12450, ""押金""), ""押金往來"",
  AND(E12450&lt;&gt;"""", F12450=""""), ""真實支出"",
  AND(E12450="""", F12450&lt;&gt;""""), ""真實收入"",
  TRUE, ""其他""
)"),"其他")</f>
        <v>其他</v>
      </c>
      <c r="K12450" s="270" t="str">
        <f t="shared" si="2"/>
        <v/>
      </c>
      <c r="L12450">
        <f t="shared" si="3"/>
        <v>0</v>
      </c>
    </row>
    <row r="12451">
      <c r="A12451" s="107"/>
      <c r="D12451" s="270"/>
      <c r="H12451" s="106" t="str">
        <f t="shared" si="1"/>
        <v/>
      </c>
      <c r="J12451" t="str">
        <f>IFERROR(__xludf.DUMMYFUNCTION("IFS(
  AND(REGEXMATCH(E12451, ""台銀籌備帳戶|玉山帳戶""), REGEXMATCH(C12451, ""薪資"")), ""分潤支出"",
  AND(REGEXMATCH(E12451, ""Ben帳戶|Elsa帳戶|Ben代墊|Ariel代墊|中信銀行共用""), REGEXMATCH(F12451, ""Ben帳戶|Elsa帳戶|Ben代墊|Ariel代墊|中信銀行共用"")), ""內部轉帳(忽略)"",
  AND(E12451&lt;&gt;"""", F12451&lt;&gt;"&amp;""""", NOT(REGEXMATCH(C12451, ""薪資""))), ""內部轉帳(忽略)"",
  REGEXMATCH(C12451, ""薪資""), ""薪資變動(不計入)"",
  REGEXMATCH(C12451, ""押金""), ""押金往來"",
  AND(E12451&lt;&gt;"""", F12451=""""), ""真實支出"",
  AND(E12451="""", F12451&lt;&gt;""""), ""真實收入"",
  TRUE, ""其他""
)"),"其他")</f>
        <v>其他</v>
      </c>
      <c r="K12451" s="270" t="str">
        <f t="shared" si="2"/>
        <v/>
      </c>
      <c r="L12451">
        <f t="shared" si="3"/>
        <v>0</v>
      </c>
    </row>
    <row r="12452">
      <c r="A12452" s="107"/>
      <c r="D12452" s="270"/>
      <c r="H12452" s="106" t="str">
        <f t="shared" si="1"/>
        <v/>
      </c>
      <c r="J12452" t="str">
        <f>IFERROR(__xludf.DUMMYFUNCTION("IFS(
  AND(REGEXMATCH(E12452, ""台銀籌備帳戶|玉山帳戶""), REGEXMATCH(C12452, ""薪資"")), ""分潤支出"",
  AND(REGEXMATCH(E12452, ""Ben帳戶|Elsa帳戶|Ben代墊|Ariel代墊|中信銀行共用""), REGEXMATCH(F12452, ""Ben帳戶|Elsa帳戶|Ben代墊|Ariel代墊|中信銀行共用"")), ""內部轉帳(忽略)"",
  AND(E12452&lt;&gt;"""", F12452&lt;&gt;"&amp;""""", NOT(REGEXMATCH(C12452, ""薪資""))), ""內部轉帳(忽略)"",
  REGEXMATCH(C12452, ""薪資""), ""薪資變動(不計入)"",
  REGEXMATCH(C12452, ""押金""), ""押金往來"",
  AND(E12452&lt;&gt;"""", F12452=""""), ""真實支出"",
  AND(E12452="""", F12452&lt;&gt;""""), ""真實收入"",
  TRUE, ""其他""
)"),"其他")</f>
        <v>其他</v>
      </c>
      <c r="K12452" s="270" t="str">
        <f t="shared" si="2"/>
        <v/>
      </c>
      <c r="L12452">
        <f t="shared" si="3"/>
        <v>0</v>
      </c>
    </row>
    <row r="12453">
      <c r="A12453" s="107"/>
      <c r="D12453" s="270"/>
      <c r="H12453" s="106" t="str">
        <f t="shared" si="1"/>
        <v/>
      </c>
      <c r="J12453" t="str">
        <f>IFERROR(__xludf.DUMMYFUNCTION("IFS(
  AND(REGEXMATCH(E12453, ""台銀籌備帳戶|玉山帳戶""), REGEXMATCH(C12453, ""薪資"")), ""分潤支出"",
  AND(REGEXMATCH(E12453, ""Ben帳戶|Elsa帳戶|Ben代墊|Ariel代墊|中信銀行共用""), REGEXMATCH(F12453, ""Ben帳戶|Elsa帳戶|Ben代墊|Ariel代墊|中信銀行共用"")), ""內部轉帳(忽略)"",
  AND(E12453&lt;&gt;"""", F12453&lt;&gt;"&amp;""""", NOT(REGEXMATCH(C12453, ""薪資""))), ""內部轉帳(忽略)"",
  REGEXMATCH(C12453, ""薪資""), ""薪資變動(不計入)"",
  REGEXMATCH(C12453, ""押金""), ""押金往來"",
  AND(E12453&lt;&gt;"""", F12453=""""), ""真實支出"",
  AND(E12453="""", F12453&lt;&gt;""""), ""真實收入"",
  TRUE, ""其他""
)"),"其他")</f>
        <v>其他</v>
      </c>
      <c r="K12453" s="270" t="str">
        <f t="shared" si="2"/>
        <v/>
      </c>
      <c r="L12453">
        <f t="shared" si="3"/>
        <v>0</v>
      </c>
    </row>
    <row r="12454">
      <c r="A12454" s="107"/>
      <c r="D12454" s="270"/>
      <c r="H12454" s="106" t="str">
        <f t="shared" si="1"/>
        <v/>
      </c>
      <c r="J12454" t="str">
        <f>IFERROR(__xludf.DUMMYFUNCTION("IFS(
  AND(REGEXMATCH(E12454, ""台銀籌備帳戶|玉山帳戶""), REGEXMATCH(C12454, ""薪資"")), ""分潤支出"",
  AND(REGEXMATCH(E12454, ""Ben帳戶|Elsa帳戶|Ben代墊|Ariel代墊|中信銀行共用""), REGEXMATCH(F12454, ""Ben帳戶|Elsa帳戶|Ben代墊|Ariel代墊|中信銀行共用"")), ""內部轉帳(忽略)"",
  AND(E12454&lt;&gt;"""", F12454&lt;&gt;"&amp;""""", NOT(REGEXMATCH(C12454, ""薪資""))), ""內部轉帳(忽略)"",
  REGEXMATCH(C12454, ""薪資""), ""薪資變動(不計入)"",
  REGEXMATCH(C12454, ""押金""), ""押金往來"",
  AND(E12454&lt;&gt;"""", F12454=""""), ""真實支出"",
  AND(E12454="""", F12454&lt;&gt;""""), ""真實收入"",
  TRUE, ""其他""
)"),"其他")</f>
        <v>其他</v>
      </c>
      <c r="K12454" s="270" t="str">
        <f t="shared" si="2"/>
        <v/>
      </c>
      <c r="L12454">
        <f t="shared" si="3"/>
        <v>0</v>
      </c>
    </row>
    <row r="12455">
      <c r="A12455" s="107"/>
      <c r="D12455" s="270"/>
      <c r="H12455" s="106" t="str">
        <f t="shared" si="1"/>
        <v/>
      </c>
      <c r="J12455" t="str">
        <f>IFERROR(__xludf.DUMMYFUNCTION("IFS(
  AND(REGEXMATCH(E12455, ""台銀籌備帳戶|玉山帳戶""), REGEXMATCH(C12455, ""薪資"")), ""分潤支出"",
  AND(REGEXMATCH(E12455, ""Ben帳戶|Elsa帳戶|Ben代墊|Ariel代墊|中信銀行共用""), REGEXMATCH(F12455, ""Ben帳戶|Elsa帳戶|Ben代墊|Ariel代墊|中信銀行共用"")), ""內部轉帳(忽略)"",
  AND(E12455&lt;&gt;"""", F12455&lt;&gt;"&amp;""""", NOT(REGEXMATCH(C12455, ""薪資""))), ""內部轉帳(忽略)"",
  REGEXMATCH(C12455, ""薪資""), ""薪資變動(不計入)"",
  REGEXMATCH(C12455, ""押金""), ""押金往來"",
  AND(E12455&lt;&gt;"""", F12455=""""), ""真實支出"",
  AND(E12455="""", F12455&lt;&gt;""""), ""真實收入"",
  TRUE, ""其他""
)"),"其他")</f>
        <v>其他</v>
      </c>
      <c r="K12455" s="270" t="str">
        <f t="shared" si="2"/>
        <v/>
      </c>
      <c r="L12455">
        <f t="shared" si="3"/>
        <v>0</v>
      </c>
    </row>
    <row r="12456">
      <c r="A12456" s="107"/>
      <c r="D12456" s="270"/>
      <c r="H12456" s="106" t="str">
        <f t="shared" si="1"/>
        <v/>
      </c>
      <c r="J12456" t="str">
        <f>IFERROR(__xludf.DUMMYFUNCTION("IFS(
  AND(REGEXMATCH(E12456, ""台銀籌備帳戶|玉山帳戶""), REGEXMATCH(C12456, ""薪資"")), ""分潤支出"",
  AND(REGEXMATCH(E12456, ""Ben帳戶|Elsa帳戶|Ben代墊|Ariel代墊|中信銀行共用""), REGEXMATCH(F12456, ""Ben帳戶|Elsa帳戶|Ben代墊|Ariel代墊|中信銀行共用"")), ""內部轉帳(忽略)"",
  AND(E12456&lt;&gt;"""", F12456&lt;&gt;"&amp;""""", NOT(REGEXMATCH(C12456, ""薪資""))), ""內部轉帳(忽略)"",
  REGEXMATCH(C12456, ""薪資""), ""薪資變動(不計入)"",
  REGEXMATCH(C12456, ""押金""), ""押金往來"",
  AND(E12456&lt;&gt;"""", F12456=""""), ""真實支出"",
  AND(E12456="""", F12456&lt;&gt;""""), ""真實收入"",
  TRUE, ""其他""
)"),"其他")</f>
        <v>其他</v>
      </c>
      <c r="K12456" s="270" t="str">
        <f t="shared" si="2"/>
        <v/>
      </c>
      <c r="L12456">
        <f t="shared" si="3"/>
        <v>0</v>
      </c>
    </row>
    <row r="12457">
      <c r="A12457" s="107"/>
      <c r="D12457" s="270"/>
      <c r="H12457" s="106" t="str">
        <f t="shared" si="1"/>
        <v/>
      </c>
      <c r="J12457" t="str">
        <f>IFERROR(__xludf.DUMMYFUNCTION("IFS(
  AND(REGEXMATCH(E12457, ""台銀籌備帳戶|玉山帳戶""), REGEXMATCH(C12457, ""薪資"")), ""分潤支出"",
  AND(REGEXMATCH(E12457, ""Ben帳戶|Elsa帳戶|Ben代墊|Ariel代墊|中信銀行共用""), REGEXMATCH(F12457, ""Ben帳戶|Elsa帳戶|Ben代墊|Ariel代墊|中信銀行共用"")), ""內部轉帳(忽略)"",
  AND(E12457&lt;&gt;"""", F12457&lt;&gt;"&amp;""""", NOT(REGEXMATCH(C12457, ""薪資""))), ""內部轉帳(忽略)"",
  REGEXMATCH(C12457, ""薪資""), ""薪資變動(不計入)"",
  REGEXMATCH(C12457, ""押金""), ""押金往來"",
  AND(E12457&lt;&gt;"""", F12457=""""), ""真實支出"",
  AND(E12457="""", F12457&lt;&gt;""""), ""真實收入"",
  TRUE, ""其他""
)"),"其他")</f>
        <v>其他</v>
      </c>
      <c r="K12457" s="270" t="str">
        <f t="shared" si="2"/>
        <v/>
      </c>
      <c r="L12457">
        <f t="shared" si="3"/>
        <v>0</v>
      </c>
    </row>
    <row r="12458">
      <c r="A12458" s="107"/>
      <c r="D12458" s="270"/>
      <c r="H12458" s="106" t="str">
        <f t="shared" si="1"/>
        <v/>
      </c>
      <c r="J12458" t="str">
        <f>IFERROR(__xludf.DUMMYFUNCTION("IFS(
  AND(REGEXMATCH(E12458, ""台銀籌備帳戶|玉山帳戶""), REGEXMATCH(C12458, ""薪資"")), ""分潤支出"",
  AND(REGEXMATCH(E12458, ""Ben帳戶|Elsa帳戶|Ben代墊|Ariel代墊|中信銀行共用""), REGEXMATCH(F12458, ""Ben帳戶|Elsa帳戶|Ben代墊|Ariel代墊|中信銀行共用"")), ""內部轉帳(忽略)"",
  AND(E12458&lt;&gt;"""", F12458&lt;&gt;"&amp;""""", NOT(REGEXMATCH(C12458, ""薪資""))), ""內部轉帳(忽略)"",
  REGEXMATCH(C12458, ""薪資""), ""薪資變動(不計入)"",
  REGEXMATCH(C12458, ""押金""), ""押金往來"",
  AND(E12458&lt;&gt;"""", F12458=""""), ""真實支出"",
  AND(E12458="""", F12458&lt;&gt;""""), ""真實收入"",
  TRUE, ""其他""
)"),"其他")</f>
        <v>其他</v>
      </c>
      <c r="K12458" s="270" t="str">
        <f t="shared" si="2"/>
        <v/>
      </c>
      <c r="L12458">
        <f t="shared" si="3"/>
        <v>0</v>
      </c>
    </row>
    <row r="12459">
      <c r="A12459" s="107"/>
      <c r="D12459" s="270"/>
      <c r="H12459" s="106" t="str">
        <f t="shared" si="1"/>
        <v/>
      </c>
      <c r="J12459" t="str">
        <f>IFERROR(__xludf.DUMMYFUNCTION("IFS(
  AND(REGEXMATCH(E12459, ""台銀籌備帳戶|玉山帳戶""), REGEXMATCH(C12459, ""薪資"")), ""分潤支出"",
  AND(REGEXMATCH(E12459, ""Ben帳戶|Elsa帳戶|Ben代墊|Ariel代墊|中信銀行共用""), REGEXMATCH(F12459, ""Ben帳戶|Elsa帳戶|Ben代墊|Ariel代墊|中信銀行共用"")), ""內部轉帳(忽略)"",
  AND(E12459&lt;&gt;"""", F12459&lt;&gt;"&amp;""""", NOT(REGEXMATCH(C12459, ""薪資""))), ""內部轉帳(忽略)"",
  REGEXMATCH(C12459, ""薪資""), ""薪資變動(不計入)"",
  REGEXMATCH(C12459, ""押金""), ""押金往來"",
  AND(E12459&lt;&gt;"""", F12459=""""), ""真實支出"",
  AND(E12459="""", F12459&lt;&gt;""""), ""真實收入"",
  TRUE, ""其他""
)"),"其他")</f>
        <v>其他</v>
      </c>
      <c r="K12459" s="270" t="str">
        <f t="shared" si="2"/>
        <v/>
      </c>
      <c r="L12459">
        <f t="shared" si="3"/>
        <v>0</v>
      </c>
    </row>
    <row r="12460">
      <c r="A12460" s="107"/>
      <c r="D12460" s="270"/>
      <c r="H12460" s="106" t="str">
        <f t="shared" si="1"/>
        <v/>
      </c>
      <c r="J12460" t="str">
        <f>IFERROR(__xludf.DUMMYFUNCTION("IFS(
  AND(REGEXMATCH(E12460, ""台銀籌備帳戶|玉山帳戶""), REGEXMATCH(C12460, ""薪資"")), ""分潤支出"",
  AND(REGEXMATCH(E12460, ""Ben帳戶|Elsa帳戶|Ben代墊|Ariel代墊|中信銀行共用""), REGEXMATCH(F12460, ""Ben帳戶|Elsa帳戶|Ben代墊|Ariel代墊|中信銀行共用"")), ""內部轉帳(忽略)"",
  AND(E12460&lt;&gt;"""", F12460&lt;&gt;"&amp;""""", NOT(REGEXMATCH(C12460, ""薪資""))), ""內部轉帳(忽略)"",
  REGEXMATCH(C12460, ""薪資""), ""薪資變動(不計入)"",
  REGEXMATCH(C12460, ""押金""), ""押金往來"",
  AND(E12460&lt;&gt;"""", F12460=""""), ""真實支出"",
  AND(E12460="""", F12460&lt;&gt;""""), ""真實收入"",
  TRUE, ""其他""
)"),"其他")</f>
        <v>其他</v>
      </c>
      <c r="K12460" s="270" t="str">
        <f t="shared" si="2"/>
        <v/>
      </c>
      <c r="L12460">
        <f t="shared" si="3"/>
        <v>0</v>
      </c>
    </row>
    <row r="12461">
      <c r="A12461" s="107"/>
      <c r="D12461" s="270"/>
      <c r="H12461" s="106" t="str">
        <f t="shared" si="1"/>
        <v/>
      </c>
      <c r="J12461" t="str">
        <f>IFERROR(__xludf.DUMMYFUNCTION("IFS(
  AND(REGEXMATCH(E12461, ""台銀籌備帳戶|玉山帳戶""), REGEXMATCH(C12461, ""薪資"")), ""分潤支出"",
  AND(REGEXMATCH(E12461, ""Ben帳戶|Elsa帳戶|Ben代墊|Ariel代墊|中信銀行共用""), REGEXMATCH(F12461, ""Ben帳戶|Elsa帳戶|Ben代墊|Ariel代墊|中信銀行共用"")), ""內部轉帳(忽略)"",
  AND(E12461&lt;&gt;"""", F12461&lt;&gt;"&amp;""""", NOT(REGEXMATCH(C12461, ""薪資""))), ""內部轉帳(忽略)"",
  REGEXMATCH(C12461, ""薪資""), ""薪資變動(不計入)"",
  REGEXMATCH(C12461, ""押金""), ""押金往來"",
  AND(E12461&lt;&gt;"""", F12461=""""), ""真實支出"",
  AND(E12461="""", F12461&lt;&gt;""""), ""真實收入"",
  TRUE, ""其他""
)"),"其他")</f>
        <v>其他</v>
      </c>
      <c r="K12461" s="270" t="str">
        <f t="shared" si="2"/>
        <v/>
      </c>
      <c r="L12461">
        <f t="shared" si="3"/>
        <v>0</v>
      </c>
    </row>
    <row r="12462">
      <c r="A12462" s="107"/>
      <c r="D12462" s="270"/>
      <c r="H12462" s="106" t="str">
        <f t="shared" si="1"/>
        <v/>
      </c>
      <c r="J12462" t="str">
        <f>IFERROR(__xludf.DUMMYFUNCTION("IFS(
  AND(REGEXMATCH(E12462, ""台銀籌備帳戶|玉山帳戶""), REGEXMATCH(C12462, ""薪資"")), ""分潤支出"",
  AND(REGEXMATCH(E12462, ""Ben帳戶|Elsa帳戶|Ben代墊|Ariel代墊|中信銀行共用""), REGEXMATCH(F12462, ""Ben帳戶|Elsa帳戶|Ben代墊|Ariel代墊|中信銀行共用"")), ""內部轉帳(忽略)"",
  AND(E12462&lt;&gt;"""", F12462&lt;&gt;"&amp;""""", NOT(REGEXMATCH(C12462, ""薪資""))), ""內部轉帳(忽略)"",
  REGEXMATCH(C12462, ""薪資""), ""薪資變動(不計入)"",
  REGEXMATCH(C12462, ""押金""), ""押金往來"",
  AND(E12462&lt;&gt;"""", F12462=""""), ""真實支出"",
  AND(E12462="""", F12462&lt;&gt;""""), ""真實收入"",
  TRUE, ""其他""
)"),"其他")</f>
        <v>其他</v>
      </c>
      <c r="K12462" s="270" t="str">
        <f t="shared" si="2"/>
        <v/>
      </c>
      <c r="L12462">
        <f t="shared" si="3"/>
        <v>0</v>
      </c>
    </row>
    <row r="12463">
      <c r="A12463" s="107"/>
      <c r="D12463" s="270"/>
      <c r="H12463" s="106" t="str">
        <f t="shared" si="1"/>
        <v/>
      </c>
      <c r="J12463" t="str">
        <f>IFERROR(__xludf.DUMMYFUNCTION("IFS(
  AND(REGEXMATCH(E12463, ""台銀籌備帳戶|玉山帳戶""), REGEXMATCH(C12463, ""薪資"")), ""分潤支出"",
  AND(REGEXMATCH(E12463, ""Ben帳戶|Elsa帳戶|Ben代墊|Ariel代墊|中信銀行共用""), REGEXMATCH(F12463, ""Ben帳戶|Elsa帳戶|Ben代墊|Ariel代墊|中信銀行共用"")), ""內部轉帳(忽略)"",
  AND(E12463&lt;&gt;"""", F12463&lt;&gt;"&amp;""""", NOT(REGEXMATCH(C12463, ""薪資""))), ""內部轉帳(忽略)"",
  REGEXMATCH(C12463, ""薪資""), ""薪資變動(不計入)"",
  REGEXMATCH(C12463, ""押金""), ""押金往來"",
  AND(E12463&lt;&gt;"""", F12463=""""), ""真實支出"",
  AND(E12463="""", F12463&lt;&gt;""""), ""真實收入"",
  TRUE, ""其他""
)"),"其他")</f>
        <v>其他</v>
      </c>
      <c r="K12463" s="270" t="str">
        <f t="shared" si="2"/>
        <v/>
      </c>
      <c r="L12463">
        <f t="shared" si="3"/>
        <v>0</v>
      </c>
    </row>
    <row r="12464">
      <c r="A12464" s="107"/>
      <c r="D12464" s="270"/>
      <c r="H12464" s="106" t="str">
        <f t="shared" si="1"/>
        <v/>
      </c>
      <c r="J12464" t="str">
        <f>IFERROR(__xludf.DUMMYFUNCTION("IFS(
  AND(REGEXMATCH(E12464, ""台銀籌備帳戶|玉山帳戶""), REGEXMATCH(C12464, ""薪資"")), ""分潤支出"",
  AND(REGEXMATCH(E12464, ""Ben帳戶|Elsa帳戶|Ben代墊|Ariel代墊|中信銀行共用""), REGEXMATCH(F12464, ""Ben帳戶|Elsa帳戶|Ben代墊|Ariel代墊|中信銀行共用"")), ""內部轉帳(忽略)"",
  AND(E12464&lt;&gt;"""", F12464&lt;&gt;"&amp;""""", NOT(REGEXMATCH(C12464, ""薪資""))), ""內部轉帳(忽略)"",
  REGEXMATCH(C12464, ""薪資""), ""薪資變動(不計入)"",
  REGEXMATCH(C12464, ""押金""), ""押金往來"",
  AND(E12464&lt;&gt;"""", F12464=""""), ""真實支出"",
  AND(E12464="""", F12464&lt;&gt;""""), ""真實收入"",
  TRUE, ""其他""
)"),"其他")</f>
        <v>其他</v>
      </c>
      <c r="K12464" s="270" t="str">
        <f t="shared" si="2"/>
        <v/>
      </c>
      <c r="L12464">
        <f t="shared" si="3"/>
        <v>0</v>
      </c>
    </row>
    <row r="12465">
      <c r="A12465" s="107"/>
      <c r="D12465" s="270"/>
      <c r="H12465" s="106" t="str">
        <f t="shared" si="1"/>
        <v/>
      </c>
      <c r="J12465" t="str">
        <f>IFERROR(__xludf.DUMMYFUNCTION("IFS(
  AND(REGEXMATCH(E12465, ""台銀籌備帳戶|玉山帳戶""), REGEXMATCH(C12465, ""薪資"")), ""分潤支出"",
  AND(REGEXMATCH(E12465, ""Ben帳戶|Elsa帳戶|Ben代墊|Ariel代墊|中信銀行共用""), REGEXMATCH(F12465, ""Ben帳戶|Elsa帳戶|Ben代墊|Ariel代墊|中信銀行共用"")), ""內部轉帳(忽略)"",
  AND(E12465&lt;&gt;"""", F12465&lt;&gt;"&amp;""""", NOT(REGEXMATCH(C12465, ""薪資""))), ""內部轉帳(忽略)"",
  REGEXMATCH(C12465, ""薪資""), ""薪資變動(不計入)"",
  REGEXMATCH(C12465, ""押金""), ""押金往來"",
  AND(E12465&lt;&gt;"""", F12465=""""), ""真實支出"",
  AND(E12465="""", F12465&lt;&gt;""""), ""真實收入"",
  TRUE, ""其他""
)"),"其他")</f>
        <v>其他</v>
      </c>
      <c r="K12465" s="270" t="str">
        <f t="shared" si="2"/>
        <v/>
      </c>
      <c r="L12465">
        <f t="shared" si="3"/>
        <v>0</v>
      </c>
    </row>
    <row r="12466">
      <c r="A12466" s="107"/>
      <c r="D12466" s="270"/>
      <c r="H12466" s="106" t="str">
        <f t="shared" si="1"/>
        <v/>
      </c>
      <c r="J12466" t="str">
        <f>IFERROR(__xludf.DUMMYFUNCTION("IFS(
  AND(REGEXMATCH(E12466, ""台銀籌備帳戶|玉山帳戶""), REGEXMATCH(C12466, ""薪資"")), ""分潤支出"",
  AND(REGEXMATCH(E12466, ""Ben帳戶|Elsa帳戶|Ben代墊|Ariel代墊|中信銀行共用""), REGEXMATCH(F12466, ""Ben帳戶|Elsa帳戶|Ben代墊|Ariel代墊|中信銀行共用"")), ""內部轉帳(忽略)"",
  AND(E12466&lt;&gt;"""", F12466&lt;&gt;"&amp;""""", NOT(REGEXMATCH(C12466, ""薪資""))), ""內部轉帳(忽略)"",
  REGEXMATCH(C12466, ""薪資""), ""薪資變動(不計入)"",
  REGEXMATCH(C12466, ""押金""), ""押金往來"",
  AND(E12466&lt;&gt;"""", F12466=""""), ""真實支出"",
  AND(E12466="""", F12466&lt;&gt;""""), ""真實收入"",
  TRUE, ""其他""
)"),"其他")</f>
        <v>其他</v>
      </c>
      <c r="K12466" s="270" t="str">
        <f t="shared" si="2"/>
        <v/>
      </c>
      <c r="L12466">
        <f t="shared" si="3"/>
        <v>0</v>
      </c>
    </row>
    <row r="12467">
      <c r="A12467" s="107"/>
      <c r="D12467" s="270"/>
      <c r="H12467" s="106" t="str">
        <f t="shared" si="1"/>
        <v/>
      </c>
      <c r="J12467" t="str">
        <f>IFERROR(__xludf.DUMMYFUNCTION("IFS(
  AND(REGEXMATCH(E12467, ""台銀籌備帳戶|玉山帳戶""), REGEXMATCH(C12467, ""薪資"")), ""分潤支出"",
  AND(REGEXMATCH(E12467, ""Ben帳戶|Elsa帳戶|Ben代墊|Ariel代墊|中信銀行共用""), REGEXMATCH(F12467, ""Ben帳戶|Elsa帳戶|Ben代墊|Ariel代墊|中信銀行共用"")), ""內部轉帳(忽略)"",
  AND(E12467&lt;&gt;"""", F12467&lt;&gt;"&amp;""""", NOT(REGEXMATCH(C12467, ""薪資""))), ""內部轉帳(忽略)"",
  REGEXMATCH(C12467, ""薪資""), ""薪資變動(不計入)"",
  REGEXMATCH(C12467, ""押金""), ""押金往來"",
  AND(E12467&lt;&gt;"""", F12467=""""), ""真實支出"",
  AND(E12467="""", F12467&lt;&gt;""""), ""真實收入"",
  TRUE, ""其他""
)"),"其他")</f>
        <v>其他</v>
      </c>
      <c r="K12467" s="270" t="str">
        <f t="shared" si="2"/>
        <v/>
      </c>
      <c r="L12467">
        <f t="shared" si="3"/>
        <v>0</v>
      </c>
    </row>
    <row r="12468">
      <c r="A12468" s="107"/>
      <c r="D12468" s="270"/>
      <c r="H12468" s="106" t="str">
        <f t="shared" si="1"/>
        <v/>
      </c>
      <c r="J12468" t="str">
        <f>IFERROR(__xludf.DUMMYFUNCTION("IFS(
  AND(REGEXMATCH(E12468, ""台銀籌備帳戶|玉山帳戶""), REGEXMATCH(C12468, ""薪資"")), ""分潤支出"",
  AND(REGEXMATCH(E12468, ""Ben帳戶|Elsa帳戶|Ben代墊|Ariel代墊|中信銀行共用""), REGEXMATCH(F12468, ""Ben帳戶|Elsa帳戶|Ben代墊|Ariel代墊|中信銀行共用"")), ""內部轉帳(忽略)"",
  AND(E12468&lt;&gt;"""", F12468&lt;&gt;"&amp;""""", NOT(REGEXMATCH(C12468, ""薪資""))), ""內部轉帳(忽略)"",
  REGEXMATCH(C12468, ""薪資""), ""薪資變動(不計入)"",
  REGEXMATCH(C12468, ""押金""), ""押金往來"",
  AND(E12468&lt;&gt;"""", F12468=""""), ""真實支出"",
  AND(E12468="""", F12468&lt;&gt;""""), ""真實收入"",
  TRUE, ""其他""
)"),"其他")</f>
        <v>其他</v>
      </c>
      <c r="K12468" s="270" t="str">
        <f t="shared" si="2"/>
        <v/>
      </c>
      <c r="L12468">
        <f t="shared" si="3"/>
        <v>0</v>
      </c>
    </row>
    <row r="12469">
      <c r="A12469" s="107"/>
      <c r="D12469" s="270"/>
      <c r="H12469" s="106" t="str">
        <f t="shared" si="1"/>
        <v/>
      </c>
      <c r="J12469" t="str">
        <f>IFERROR(__xludf.DUMMYFUNCTION("IFS(
  AND(REGEXMATCH(E12469, ""台銀籌備帳戶|玉山帳戶""), REGEXMATCH(C12469, ""薪資"")), ""分潤支出"",
  AND(REGEXMATCH(E12469, ""Ben帳戶|Elsa帳戶|Ben代墊|Ariel代墊|中信銀行共用""), REGEXMATCH(F12469, ""Ben帳戶|Elsa帳戶|Ben代墊|Ariel代墊|中信銀行共用"")), ""內部轉帳(忽略)"",
  AND(E12469&lt;&gt;"""", F12469&lt;&gt;"&amp;""""", NOT(REGEXMATCH(C12469, ""薪資""))), ""內部轉帳(忽略)"",
  REGEXMATCH(C12469, ""薪資""), ""薪資變動(不計入)"",
  REGEXMATCH(C12469, ""押金""), ""押金往來"",
  AND(E12469&lt;&gt;"""", F12469=""""), ""真實支出"",
  AND(E12469="""", F12469&lt;&gt;""""), ""真實收入"",
  TRUE, ""其他""
)"),"其他")</f>
        <v>其他</v>
      </c>
      <c r="K12469" s="270" t="str">
        <f t="shared" si="2"/>
        <v/>
      </c>
      <c r="L12469">
        <f t="shared" si="3"/>
        <v>0</v>
      </c>
    </row>
    <row r="12470">
      <c r="A12470" s="107"/>
      <c r="D12470" s="270"/>
      <c r="H12470" s="106" t="str">
        <f t="shared" si="1"/>
        <v/>
      </c>
      <c r="J12470" t="str">
        <f>IFERROR(__xludf.DUMMYFUNCTION("IFS(
  AND(REGEXMATCH(E12470, ""台銀籌備帳戶|玉山帳戶""), REGEXMATCH(C12470, ""薪資"")), ""分潤支出"",
  AND(REGEXMATCH(E12470, ""Ben帳戶|Elsa帳戶|Ben代墊|Ariel代墊|中信銀行共用""), REGEXMATCH(F12470, ""Ben帳戶|Elsa帳戶|Ben代墊|Ariel代墊|中信銀行共用"")), ""內部轉帳(忽略)"",
  AND(E12470&lt;&gt;"""", F12470&lt;&gt;"&amp;""""", NOT(REGEXMATCH(C12470, ""薪資""))), ""內部轉帳(忽略)"",
  REGEXMATCH(C12470, ""薪資""), ""薪資變動(不計入)"",
  REGEXMATCH(C12470, ""押金""), ""押金往來"",
  AND(E12470&lt;&gt;"""", F12470=""""), ""真實支出"",
  AND(E12470="""", F12470&lt;&gt;""""), ""真實收入"",
  TRUE, ""其他""
)"),"其他")</f>
        <v>其他</v>
      </c>
      <c r="K12470" s="270" t="str">
        <f t="shared" si="2"/>
        <v/>
      </c>
      <c r="L12470">
        <f t="shared" si="3"/>
        <v>0</v>
      </c>
    </row>
    <row r="12471">
      <c r="A12471" s="107"/>
      <c r="D12471" s="270"/>
      <c r="H12471" s="106" t="str">
        <f t="shared" si="1"/>
        <v/>
      </c>
      <c r="J12471" t="str">
        <f>IFERROR(__xludf.DUMMYFUNCTION("IFS(
  AND(REGEXMATCH(E12471, ""台銀籌備帳戶|玉山帳戶""), REGEXMATCH(C12471, ""薪資"")), ""分潤支出"",
  AND(REGEXMATCH(E12471, ""Ben帳戶|Elsa帳戶|Ben代墊|Ariel代墊|中信銀行共用""), REGEXMATCH(F12471, ""Ben帳戶|Elsa帳戶|Ben代墊|Ariel代墊|中信銀行共用"")), ""內部轉帳(忽略)"",
  AND(E12471&lt;&gt;"""", F12471&lt;&gt;"&amp;""""", NOT(REGEXMATCH(C12471, ""薪資""))), ""內部轉帳(忽略)"",
  REGEXMATCH(C12471, ""薪資""), ""薪資變動(不計入)"",
  REGEXMATCH(C12471, ""押金""), ""押金往來"",
  AND(E12471&lt;&gt;"""", F12471=""""), ""真實支出"",
  AND(E12471="""", F12471&lt;&gt;""""), ""真實收入"",
  TRUE, ""其他""
)"),"其他")</f>
        <v>其他</v>
      </c>
      <c r="K12471" s="270" t="str">
        <f t="shared" si="2"/>
        <v/>
      </c>
      <c r="L12471">
        <f t="shared" si="3"/>
        <v>0</v>
      </c>
    </row>
    <row r="12472">
      <c r="A12472" s="107"/>
      <c r="D12472" s="270"/>
      <c r="H12472" s="106" t="str">
        <f t="shared" si="1"/>
        <v/>
      </c>
      <c r="J12472" t="str">
        <f>IFERROR(__xludf.DUMMYFUNCTION("IFS(
  AND(REGEXMATCH(E12472, ""台銀籌備帳戶|玉山帳戶""), REGEXMATCH(C12472, ""薪資"")), ""分潤支出"",
  AND(REGEXMATCH(E12472, ""Ben帳戶|Elsa帳戶|Ben代墊|Ariel代墊|中信銀行共用""), REGEXMATCH(F12472, ""Ben帳戶|Elsa帳戶|Ben代墊|Ariel代墊|中信銀行共用"")), ""內部轉帳(忽略)"",
  AND(E12472&lt;&gt;"""", F12472&lt;&gt;"&amp;""""", NOT(REGEXMATCH(C12472, ""薪資""))), ""內部轉帳(忽略)"",
  REGEXMATCH(C12472, ""薪資""), ""薪資變動(不計入)"",
  REGEXMATCH(C12472, ""押金""), ""押金往來"",
  AND(E12472&lt;&gt;"""", F12472=""""), ""真實支出"",
  AND(E12472="""", F12472&lt;&gt;""""), ""真實收入"",
  TRUE, ""其他""
)"),"其他")</f>
        <v>其他</v>
      </c>
      <c r="K12472" s="270" t="str">
        <f t="shared" si="2"/>
        <v/>
      </c>
      <c r="L12472">
        <f t="shared" si="3"/>
        <v>0</v>
      </c>
    </row>
    <row r="12473">
      <c r="A12473" s="107"/>
      <c r="D12473" s="270"/>
      <c r="H12473" s="106" t="str">
        <f t="shared" si="1"/>
        <v/>
      </c>
      <c r="J12473" t="str">
        <f>IFERROR(__xludf.DUMMYFUNCTION("IFS(
  AND(REGEXMATCH(E12473, ""台銀籌備帳戶|玉山帳戶""), REGEXMATCH(C12473, ""薪資"")), ""分潤支出"",
  AND(REGEXMATCH(E12473, ""Ben帳戶|Elsa帳戶|Ben代墊|Ariel代墊|中信銀行共用""), REGEXMATCH(F12473, ""Ben帳戶|Elsa帳戶|Ben代墊|Ariel代墊|中信銀行共用"")), ""內部轉帳(忽略)"",
  AND(E12473&lt;&gt;"""", F12473&lt;&gt;"&amp;""""", NOT(REGEXMATCH(C12473, ""薪資""))), ""內部轉帳(忽略)"",
  REGEXMATCH(C12473, ""薪資""), ""薪資變動(不計入)"",
  REGEXMATCH(C12473, ""押金""), ""押金往來"",
  AND(E12473&lt;&gt;"""", F12473=""""), ""真實支出"",
  AND(E12473="""", F12473&lt;&gt;""""), ""真實收入"",
  TRUE, ""其他""
)"),"其他")</f>
        <v>其他</v>
      </c>
      <c r="K12473" s="270" t="str">
        <f t="shared" si="2"/>
        <v/>
      </c>
      <c r="L12473">
        <f t="shared" si="3"/>
        <v>0</v>
      </c>
    </row>
    <row r="12474">
      <c r="A12474" s="107"/>
      <c r="D12474" s="270"/>
      <c r="H12474" s="106" t="str">
        <f t="shared" si="1"/>
        <v/>
      </c>
      <c r="J12474" t="str">
        <f>IFERROR(__xludf.DUMMYFUNCTION("IFS(
  AND(REGEXMATCH(E12474, ""台銀籌備帳戶|玉山帳戶""), REGEXMATCH(C12474, ""薪資"")), ""分潤支出"",
  AND(REGEXMATCH(E12474, ""Ben帳戶|Elsa帳戶|Ben代墊|Ariel代墊|中信銀行共用""), REGEXMATCH(F12474, ""Ben帳戶|Elsa帳戶|Ben代墊|Ariel代墊|中信銀行共用"")), ""內部轉帳(忽略)"",
  AND(E12474&lt;&gt;"""", F12474&lt;&gt;"&amp;""""", NOT(REGEXMATCH(C12474, ""薪資""))), ""內部轉帳(忽略)"",
  REGEXMATCH(C12474, ""薪資""), ""薪資變動(不計入)"",
  REGEXMATCH(C12474, ""押金""), ""押金往來"",
  AND(E12474&lt;&gt;"""", F12474=""""), ""真實支出"",
  AND(E12474="""", F12474&lt;&gt;""""), ""真實收入"",
  TRUE, ""其他""
)"),"其他")</f>
        <v>其他</v>
      </c>
      <c r="K12474" s="270" t="str">
        <f t="shared" si="2"/>
        <v/>
      </c>
      <c r="L12474">
        <f t="shared" si="3"/>
        <v>0</v>
      </c>
    </row>
    <row r="12475">
      <c r="A12475" s="107"/>
      <c r="D12475" s="270"/>
      <c r="H12475" s="106" t="str">
        <f t="shared" si="1"/>
        <v/>
      </c>
      <c r="J12475" t="str">
        <f>IFERROR(__xludf.DUMMYFUNCTION("IFS(
  AND(REGEXMATCH(E12475, ""台銀籌備帳戶|玉山帳戶""), REGEXMATCH(C12475, ""薪資"")), ""分潤支出"",
  AND(REGEXMATCH(E12475, ""Ben帳戶|Elsa帳戶|Ben代墊|Ariel代墊|中信銀行共用""), REGEXMATCH(F12475, ""Ben帳戶|Elsa帳戶|Ben代墊|Ariel代墊|中信銀行共用"")), ""內部轉帳(忽略)"",
  AND(E12475&lt;&gt;"""", F12475&lt;&gt;"&amp;""""", NOT(REGEXMATCH(C12475, ""薪資""))), ""內部轉帳(忽略)"",
  REGEXMATCH(C12475, ""薪資""), ""薪資變動(不計入)"",
  REGEXMATCH(C12475, ""押金""), ""押金往來"",
  AND(E12475&lt;&gt;"""", F12475=""""), ""真實支出"",
  AND(E12475="""", F12475&lt;&gt;""""), ""真實收入"",
  TRUE, ""其他""
)"),"其他")</f>
        <v>其他</v>
      </c>
      <c r="K12475" s="270" t="str">
        <f t="shared" si="2"/>
        <v/>
      </c>
      <c r="L12475">
        <f t="shared" si="3"/>
        <v>0</v>
      </c>
    </row>
    <row r="12476">
      <c r="A12476" s="107"/>
      <c r="D12476" s="270"/>
      <c r="H12476" s="106" t="str">
        <f t="shared" si="1"/>
        <v/>
      </c>
      <c r="J12476" t="str">
        <f>IFERROR(__xludf.DUMMYFUNCTION("IFS(
  AND(REGEXMATCH(E12476, ""台銀籌備帳戶|玉山帳戶""), REGEXMATCH(C12476, ""薪資"")), ""分潤支出"",
  AND(REGEXMATCH(E12476, ""Ben帳戶|Elsa帳戶|Ben代墊|Ariel代墊|中信銀行共用""), REGEXMATCH(F12476, ""Ben帳戶|Elsa帳戶|Ben代墊|Ariel代墊|中信銀行共用"")), ""內部轉帳(忽略)"",
  AND(E12476&lt;&gt;"""", F12476&lt;&gt;"&amp;""""", NOT(REGEXMATCH(C12476, ""薪資""))), ""內部轉帳(忽略)"",
  REGEXMATCH(C12476, ""薪資""), ""薪資變動(不計入)"",
  REGEXMATCH(C12476, ""押金""), ""押金往來"",
  AND(E12476&lt;&gt;"""", F12476=""""), ""真實支出"",
  AND(E12476="""", F12476&lt;&gt;""""), ""真實收入"",
  TRUE, ""其他""
)"),"其他")</f>
        <v>其他</v>
      </c>
      <c r="K12476" s="270" t="str">
        <f t="shared" si="2"/>
        <v/>
      </c>
      <c r="L12476">
        <f t="shared" si="3"/>
        <v>0</v>
      </c>
    </row>
    <row r="12477">
      <c r="A12477" s="107"/>
      <c r="D12477" s="270"/>
      <c r="H12477" s="106" t="str">
        <f t="shared" si="1"/>
        <v/>
      </c>
      <c r="J12477" t="str">
        <f>IFERROR(__xludf.DUMMYFUNCTION("IFS(
  AND(REGEXMATCH(E12477, ""台銀籌備帳戶|玉山帳戶""), REGEXMATCH(C12477, ""薪資"")), ""分潤支出"",
  AND(REGEXMATCH(E12477, ""Ben帳戶|Elsa帳戶|Ben代墊|Ariel代墊|中信銀行共用""), REGEXMATCH(F12477, ""Ben帳戶|Elsa帳戶|Ben代墊|Ariel代墊|中信銀行共用"")), ""內部轉帳(忽略)"",
  AND(E12477&lt;&gt;"""", F12477&lt;&gt;"&amp;""""", NOT(REGEXMATCH(C12477, ""薪資""))), ""內部轉帳(忽略)"",
  REGEXMATCH(C12477, ""薪資""), ""薪資變動(不計入)"",
  REGEXMATCH(C12477, ""押金""), ""押金往來"",
  AND(E12477&lt;&gt;"""", F12477=""""), ""真實支出"",
  AND(E12477="""", F12477&lt;&gt;""""), ""真實收入"",
  TRUE, ""其他""
)"),"其他")</f>
        <v>其他</v>
      </c>
      <c r="K12477" s="270" t="str">
        <f t="shared" si="2"/>
        <v/>
      </c>
      <c r="L12477">
        <f t="shared" si="3"/>
        <v>0</v>
      </c>
    </row>
    <row r="12478">
      <c r="A12478" s="107"/>
      <c r="D12478" s="270"/>
      <c r="H12478" s="106" t="str">
        <f t="shared" si="1"/>
        <v/>
      </c>
      <c r="J12478" t="str">
        <f>IFERROR(__xludf.DUMMYFUNCTION("IFS(
  AND(REGEXMATCH(E12478, ""台銀籌備帳戶|玉山帳戶""), REGEXMATCH(C12478, ""薪資"")), ""分潤支出"",
  AND(REGEXMATCH(E12478, ""Ben帳戶|Elsa帳戶|Ben代墊|Ariel代墊|中信銀行共用""), REGEXMATCH(F12478, ""Ben帳戶|Elsa帳戶|Ben代墊|Ariel代墊|中信銀行共用"")), ""內部轉帳(忽略)"",
  AND(E12478&lt;&gt;"""", F12478&lt;&gt;"&amp;""""", NOT(REGEXMATCH(C12478, ""薪資""))), ""內部轉帳(忽略)"",
  REGEXMATCH(C12478, ""薪資""), ""薪資變動(不計入)"",
  REGEXMATCH(C12478, ""押金""), ""押金往來"",
  AND(E12478&lt;&gt;"""", F12478=""""), ""真實支出"",
  AND(E12478="""", F12478&lt;&gt;""""), ""真實收入"",
  TRUE, ""其他""
)"),"其他")</f>
        <v>其他</v>
      </c>
      <c r="K12478" s="270" t="str">
        <f t="shared" si="2"/>
        <v/>
      </c>
      <c r="L12478">
        <f t="shared" si="3"/>
        <v>0</v>
      </c>
    </row>
    <row r="12479">
      <c r="A12479" s="107"/>
      <c r="D12479" s="270"/>
      <c r="H12479" s="106" t="str">
        <f t="shared" si="1"/>
        <v/>
      </c>
      <c r="J12479" t="str">
        <f>IFERROR(__xludf.DUMMYFUNCTION("IFS(
  AND(REGEXMATCH(E12479, ""台銀籌備帳戶|玉山帳戶""), REGEXMATCH(C12479, ""薪資"")), ""分潤支出"",
  AND(REGEXMATCH(E12479, ""Ben帳戶|Elsa帳戶|Ben代墊|Ariel代墊|中信銀行共用""), REGEXMATCH(F12479, ""Ben帳戶|Elsa帳戶|Ben代墊|Ariel代墊|中信銀行共用"")), ""內部轉帳(忽略)"",
  AND(E12479&lt;&gt;"""", F12479&lt;&gt;"&amp;""""", NOT(REGEXMATCH(C12479, ""薪資""))), ""內部轉帳(忽略)"",
  REGEXMATCH(C12479, ""薪資""), ""薪資變動(不計入)"",
  REGEXMATCH(C12479, ""押金""), ""押金往來"",
  AND(E12479&lt;&gt;"""", F12479=""""), ""真實支出"",
  AND(E12479="""", F12479&lt;&gt;""""), ""真實收入"",
  TRUE, ""其他""
)"),"其他")</f>
        <v>其他</v>
      </c>
      <c r="K12479" s="270" t="str">
        <f t="shared" si="2"/>
        <v/>
      </c>
      <c r="L12479">
        <f t="shared" si="3"/>
        <v>0</v>
      </c>
    </row>
    <row r="12480">
      <c r="A12480" s="107"/>
      <c r="D12480" s="270"/>
      <c r="H12480" s="106" t="str">
        <f t="shared" si="1"/>
        <v/>
      </c>
      <c r="J12480" t="str">
        <f>IFERROR(__xludf.DUMMYFUNCTION("IFS(
  AND(REGEXMATCH(E12480, ""台銀籌備帳戶|玉山帳戶""), REGEXMATCH(C12480, ""薪資"")), ""分潤支出"",
  AND(REGEXMATCH(E12480, ""Ben帳戶|Elsa帳戶|Ben代墊|Ariel代墊|中信銀行共用""), REGEXMATCH(F12480, ""Ben帳戶|Elsa帳戶|Ben代墊|Ariel代墊|中信銀行共用"")), ""內部轉帳(忽略)"",
  AND(E12480&lt;&gt;"""", F12480&lt;&gt;"&amp;""""", NOT(REGEXMATCH(C12480, ""薪資""))), ""內部轉帳(忽略)"",
  REGEXMATCH(C12480, ""薪資""), ""薪資變動(不計入)"",
  REGEXMATCH(C12480, ""押金""), ""押金往來"",
  AND(E12480&lt;&gt;"""", F12480=""""), ""真實支出"",
  AND(E12480="""", F12480&lt;&gt;""""), ""真實收入"",
  TRUE, ""其他""
)"),"其他")</f>
        <v>其他</v>
      </c>
      <c r="K12480" s="270" t="str">
        <f t="shared" si="2"/>
        <v/>
      </c>
      <c r="L12480">
        <f t="shared" si="3"/>
        <v>0</v>
      </c>
    </row>
    <row r="12481">
      <c r="A12481" s="107"/>
      <c r="D12481" s="270"/>
      <c r="H12481" s="106" t="str">
        <f t="shared" si="1"/>
        <v/>
      </c>
      <c r="J12481" t="str">
        <f>IFERROR(__xludf.DUMMYFUNCTION("IFS(
  AND(REGEXMATCH(E12481, ""台銀籌備帳戶|玉山帳戶""), REGEXMATCH(C12481, ""薪資"")), ""分潤支出"",
  AND(REGEXMATCH(E12481, ""Ben帳戶|Elsa帳戶|Ben代墊|Ariel代墊|中信銀行共用""), REGEXMATCH(F12481, ""Ben帳戶|Elsa帳戶|Ben代墊|Ariel代墊|中信銀行共用"")), ""內部轉帳(忽略)"",
  AND(E12481&lt;&gt;"""", F12481&lt;&gt;"&amp;""""", NOT(REGEXMATCH(C12481, ""薪資""))), ""內部轉帳(忽略)"",
  REGEXMATCH(C12481, ""薪資""), ""薪資變動(不計入)"",
  REGEXMATCH(C12481, ""押金""), ""押金往來"",
  AND(E12481&lt;&gt;"""", F12481=""""), ""真實支出"",
  AND(E12481="""", F12481&lt;&gt;""""), ""真實收入"",
  TRUE, ""其他""
)"),"其他")</f>
        <v>其他</v>
      </c>
      <c r="K12481" s="270" t="str">
        <f t="shared" si="2"/>
        <v/>
      </c>
      <c r="L12481">
        <f t="shared" si="3"/>
        <v>0</v>
      </c>
    </row>
    <row r="12482">
      <c r="A12482" s="107"/>
      <c r="D12482" s="270"/>
      <c r="H12482" s="106" t="str">
        <f t="shared" si="1"/>
        <v/>
      </c>
      <c r="J12482" t="str">
        <f>IFERROR(__xludf.DUMMYFUNCTION("IFS(
  AND(REGEXMATCH(E12482, ""台銀籌備帳戶|玉山帳戶""), REGEXMATCH(C12482, ""薪資"")), ""分潤支出"",
  AND(REGEXMATCH(E12482, ""Ben帳戶|Elsa帳戶|Ben代墊|Ariel代墊|中信銀行共用""), REGEXMATCH(F12482, ""Ben帳戶|Elsa帳戶|Ben代墊|Ariel代墊|中信銀行共用"")), ""內部轉帳(忽略)"",
  AND(E12482&lt;&gt;"""", F12482&lt;&gt;"&amp;""""", NOT(REGEXMATCH(C12482, ""薪資""))), ""內部轉帳(忽略)"",
  REGEXMATCH(C12482, ""薪資""), ""薪資變動(不計入)"",
  REGEXMATCH(C12482, ""押金""), ""押金往來"",
  AND(E12482&lt;&gt;"""", F12482=""""), ""真實支出"",
  AND(E12482="""", F12482&lt;&gt;""""), ""真實收入"",
  TRUE, ""其他""
)"),"其他")</f>
        <v>其他</v>
      </c>
      <c r="K12482" s="270" t="str">
        <f t="shared" si="2"/>
        <v/>
      </c>
      <c r="L12482">
        <f t="shared" si="3"/>
        <v>0</v>
      </c>
    </row>
    <row r="12483">
      <c r="A12483" s="107"/>
      <c r="D12483" s="270"/>
      <c r="H12483" s="106" t="str">
        <f t="shared" si="1"/>
        <v/>
      </c>
      <c r="J12483" t="str">
        <f>IFERROR(__xludf.DUMMYFUNCTION("IFS(
  AND(REGEXMATCH(E12483, ""台銀籌備帳戶|玉山帳戶""), REGEXMATCH(C12483, ""薪資"")), ""分潤支出"",
  AND(REGEXMATCH(E12483, ""Ben帳戶|Elsa帳戶|Ben代墊|Ariel代墊|中信銀行共用""), REGEXMATCH(F12483, ""Ben帳戶|Elsa帳戶|Ben代墊|Ariel代墊|中信銀行共用"")), ""內部轉帳(忽略)"",
  AND(E12483&lt;&gt;"""", F12483&lt;&gt;"&amp;""""", NOT(REGEXMATCH(C12483, ""薪資""))), ""內部轉帳(忽略)"",
  REGEXMATCH(C12483, ""薪資""), ""薪資變動(不計入)"",
  REGEXMATCH(C12483, ""押金""), ""押金往來"",
  AND(E12483&lt;&gt;"""", F12483=""""), ""真實支出"",
  AND(E12483="""", F12483&lt;&gt;""""), ""真實收入"",
  TRUE, ""其他""
)"),"其他")</f>
        <v>其他</v>
      </c>
      <c r="K12483" s="270" t="str">
        <f t="shared" si="2"/>
        <v/>
      </c>
      <c r="L12483">
        <f t="shared" si="3"/>
        <v>0</v>
      </c>
    </row>
    <row r="12484">
      <c r="A12484" s="107"/>
      <c r="D12484" s="270"/>
      <c r="H12484" s="106" t="str">
        <f t="shared" si="1"/>
        <v/>
      </c>
      <c r="J12484" t="str">
        <f>IFERROR(__xludf.DUMMYFUNCTION("IFS(
  AND(REGEXMATCH(E12484, ""台銀籌備帳戶|玉山帳戶""), REGEXMATCH(C12484, ""薪資"")), ""分潤支出"",
  AND(REGEXMATCH(E12484, ""Ben帳戶|Elsa帳戶|Ben代墊|Ariel代墊|中信銀行共用""), REGEXMATCH(F12484, ""Ben帳戶|Elsa帳戶|Ben代墊|Ariel代墊|中信銀行共用"")), ""內部轉帳(忽略)"",
  AND(E12484&lt;&gt;"""", F12484&lt;&gt;"&amp;""""", NOT(REGEXMATCH(C12484, ""薪資""))), ""內部轉帳(忽略)"",
  REGEXMATCH(C12484, ""薪資""), ""薪資變動(不計入)"",
  REGEXMATCH(C12484, ""押金""), ""押金往來"",
  AND(E12484&lt;&gt;"""", F12484=""""), ""真實支出"",
  AND(E12484="""", F12484&lt;&gt;""""), ""真實收入"",
  TRUE, ""其他""
)"),"其他")</f>
        <v>其他</v>
      </c>
      <c r="K12484" s="270" t="str">
        <f t="shared" si="2"/>
        <v/>
      </c>
      <c r="L12484">
        <f t="shared" si="3"/>
        <v>0</v>
      </c>
    </row>
    <row r="12485">
      <c r="A12485" s="107"/>
      <c r="D12485" s="270"/>
      <c r="H12485" s="106" t="str">
        <f t="shared" si="1"/>
        <v/>
      </c>
      <c r="J12485" t="str">
        <f>IFERROR(__xludf.DUMMYFUNCTION("IFS(
  AND(REGEXMATCH(E12485, ""台銀籌備帳戶|玉山帳戶""), REGEXMATCH(C12485, ""薪資"")), ""分潤支出"",
  AND(REGEXMATCH(E12485, ""Ben帳戶|Elsa帳戶|Ben代墊|Ariel代墊|中信銀行共用""), REGEXMATCH(F12485, ""Ben帳戶|Elsa帳戶|Ben代墊|Ariel代墊|中信銀行共用"")), ""內部轉帳(忽略)"",
  AND(E12485&lt;&gt;"""", F12485&lt;&gt;"&amp;""""", NOT(REGEXMATCH(C12485, ""薪資""))), ""內部轉帳(忽略)"",
  REGEXMATCH(C12485, ""薪資""), ""薪資變動(不計入)"",
  REGEXMATCH(C12485, ""押金""), ""押金往來"",
  AND(E12485&lt;&gt;"""", F12485=""""), ""真實支出"",
  AND(E12485="""", F12485&lt;&gt;""""), ""真實收入"",
  TRUE, ""其他""
)"),"其他")</f>
        <v>其他</v>
      </c>
      <c r="K12485" s="270" t="str">
        <f t="shared" si="2"/>
        <v/>
      </c>
      <c r="L12485">
        <f t="shared" si="3"/>
        <v>0</v>
      </c>
    </row>
    <row r="12486">
      <c r="A12486" s="107"/>
      <c r="D12486" s="270"/>
      <c r="H12486" s="106" t="str">
        <f t="shared" si="1"/>
        <v/>
      </c>
      <c r="J12486" t="str">
        <f>IFERROR(__xludf.DUMMYFUNCTION("IFS(
  AND(REGEXMATCH(E12486, ""台銀籌備帳戶|玉山帳戶""), REGEXMATCH(C12486, ""薪資"")), ""分潤支出"",
  AND(REGEXMATCH(E12486, ""Ben帳戶|Elsa帳戶|Ben代墊|Ariel代墊|中信銀行共用""), REGEXMATCH(F12486, ""Ben帳戶|Elsa帳戶|Ben代墊|Ariel代墊|中信銀行共用"")), ""內部轉帳(忽略)"",
  AND(E12486&lt;&gt;"""", F12486&lt;&gt;"&amp;""""", NOT(REGEXMATCH(C12486, ""薪資""))), ""內部轉帳(忽略)"",
  REGEXMATCH(C12486, ""薪資""), ""薪資變動(不計入)"",
  REGEXMATCH(C12486, ""押金""), ""押金往來"",
  AND(E12486&lt;&gt;"""", F12486=""""), ""真實支出"",
  AND(E12486="""", F12486&lt;&gt;""""), ""真實收入"",
  TRUE, ""其他""
)"),"其他")</f>
        <v>其他</v>
      </c>
      <c r="K12486" s="270" t="str">
        <f t="shared" si="2"/>
        <v/>
      </c>
      <c r="L12486">
        <f t="shared" si="3"/>
        <v>0</v>
      </c>
    </row>
    <row r="12487">
      <c r="A12487" s="107"/>
      <c r="D12487" s="270"/>
      <c r="H12487" s="106" t="str">
        <f t="shared" si="1"/>
        <v/>
      </c>
      <c r="J12487" t="str">
        <f>IFERROR(__xludf.DUMMYFUNCTION("IFS(
  AND(REGEXMATCH(E12487, ""台銀籌備帳戶|玉山帳戶""), REGEXMATCH(C12487, ""薪資"")), ""分潤支出"",
  AND(REGEXMATCH(E12487, ""Ben帳戶|Elsa帳戶|Ben代墊|Ariel代墊|中信銀行共用""), REGEXMATCH(F12487, ""Ben帳戶|Elsa帳戶|Ben代墊|Ariel代墊|中信銀行共用"")), ""內部轉帳(忽略)"",
  AND(E12487&lt;&gt;"""", F12487&lt;&gt;"&amp;""""", NOT(REGEXMATCH(C12487, ""薪資""))), ""內部轉帳(忽略)"",
  REGEXMATCH(C12487, ""薪資""), ""薪資變動(不計入)"",
  REGEXMATCH(C12487, ""押金""), ""押金往來"",
  AND(E12487&lt;&gt;"""", F12487=""""), ""真實支出"",
  AND(E12487="""", F12487&lt;&gt;""""), ""真實收入"",
  TRUE, ""其他""
)"),"其他")</f>
        <v>其他</v>
      </c>
      <c r="K12487" s="270" t="str">
        <f t="shared" si="2"/>
        <v/>
      </c>
      <c r="L12487">
        <f t="shared" si="3"/>
        <v>0</v>
      </c>
    </row>
    <row r="12488">
      <c r="A12488" s="107"/>
      <c r="D12488" s="270"/>
      <c r="H12488" s="106" t="str">
        <f t="shared" si="1"/>
        <v/>
      </c>
      <c r="J12488" t="str">
        <f>IFERROR(__xludf.DUMMYFUNCTION("IFS(
  AND(REGEXMATCH(E12488, ""台銀籌備帳戶|玉山帳戶""), REGEXMATCH(C12488, ""薪資"")), ""分潤支出"",
  AND(REGEXMATCH(E12488, ""Ben帳戶|Elsa帳戶|Ben代墊|Ariel代墊|中信銀行共用""), REGEXMATCH(F12488, ""Ben帳戶|Elsa帳戶|Ben代墊|Ariel代墊|中信銀行共用"")), ""內部轉帳(忽略)"",
  AND(E12488&lt;&gt;"""", F12488&lt;&gt;"&amp;""""", NOT(REGEXMATCH(C12488, ""薪資""))), ""內部轉帳(忽略)"",
  REGEXMATCH(C12488, ""薪資""), ""薪資變動(不計入)"",
  REGEXMATCH(C12488, ""押金""), ""押金往來"",
  AND(E12488&lt;&gt;"""", F12488=""""), ""真實支出"",
  AND(E12488="""", F12488&lt;&gt;""""), ""真實收入"",
  TRUE, ""其他""
)"),"其他")</f>
        <v>其他</v>
      </c>
      <c r="K12488" s="270" t="str">
        <f t="shared" si="2"/>
        <v/>
      </c>
      <c r="L12488">
        <f t="shared" si="3"/>
        <v>0</v>
      </c>
    </row>
    <row r="12489">
      <c r="A12489" s="107"/>
      <c r="D12489" s="270"/>
      <c r="H12489" s="106" t="str">
        <f t="shared" si="1"/>
        <v/>
      </c>
      <c r="J12489" t="str">
        <f>IFERROR(__xludf.DUMMYFUNCTION("IFS(
  AND(REGEXMATCH(E12489, ""台銀籌備帳戶|玉山帳戶""), REGEXMATCH(C12489, ""薪資"")), ""分潤支出"",
  AND(REGEXMATCH(E12489, ""Ben帳戶|Elsa帳戶|Ben代墊|Ariel代墊|中信銀行共用""), REGEXMATCH(F12489, ""Ben帳戶|Elsa帳戶|Ben代墊|Ariel代墊|中信銀行共用"")), ""內部轉帳(忽略)"",
  AND(E12489&lt;&gt;"""", F12489&lt;&gt;"&amp;""""", NOT(REGEXMATCH(C12489, ""薪資""))), ""內部轉帳(忽略)"",
  REGEXMATCH(C12489, ""薪資""), ""薪資變動(不計入)"",
  REGEXMATCH(C12489, ""押金""), ""押金往來"",
  AND(E12489&lt;&gt;"""", F12489=""""), ""真實支出"",
  AND(E12489="""", F12489&lt;&gt;""""), ""真實收入"",
  TRUE, ""其他""
)"),"其他")</f>
        <v>其他</v>
      </c>
      <c r="K12489" s="270" t="str">
        <f t="shared" si="2"/>
        <v/>
      </c>
      <c r="L12489">
        <f t="shared" si="3"/>
        <v>0</v>
      </c>
    </row>
    <row r="12490">
      <c r="A12490" s="107"/>
      <c r="D12490" s="270"/>
      <c r="H12490" s="106" t="str">
        <f t="shared" si="1"/>
        <v/>
      </c>
      <c r="J12490" t="str">
        <f>IFERROR(__xludf.DUMMYFUNCTION("IFS(
  AND(REGEXMATCH(E12490, ""台銀籌備帳戶|玉山帳戶""), REGEXMATCH(C12490, ""薪資"")), ""分潤支出"",
  AND(REGEXMATCH(E12490, ""Ben帳戶|Elsa帳戶|Ben代墊|Ariel代墊|中信銀行共用""), REGEXMATCH(F12490, ""Ben帳戶|Elsa帳戶|Ben代墊|Ariel代墊|中信銀行共用"")), ""內部轉帳(忽略)"",
  AND(E12490&lt;&gt;"""", F12490&lt;&gt;"&amp;""""", NOT(REGEXMATCH(C12490, ""薪資""))), ""內部轉帳(忽略)"",
  REGEXMATCH(C12490, ""薪資""), ""薪資變動(不計入)"",
  REGEXMATCH(C12490, ""押金""), ""押金往來"",
  AND(E12490&lt;&gt;"""", F12490=""""), ""真實支出"",
  AND(E12490="""", F12490&lt;&gt;""""), ""真實收入"",
  TRUE, ""其他""
)"),"其他")</f>
        <v>其他</v>
      </c>
      <c r="K12490" s="270" t="str">
        <f t="shared" si="2"/>
        <v/>
      </c>
      <c r="L12490">
        <f t="shared" si="3"/>
        <v>0</v>
      </c>
    </row>
    <row r="12491">
      <c r="A12491" s="107"/>
      <c r="D12491" s="270"/>
      <c r="H12491" s="106" t="str">
        <f t="shared" si="1"/>
        <v/>
      </c>
      <c r="J12491" t="str">
        <f>IFERROR(__xludf.DUMMYFUNCTION("IFS(
  AND(REGEXMATCH(E12491, ""台銀籌備帳戶|玉山帳戶""), REGEXMATCH(C12491, ""薪資"")), ""分潤支出"",
  AND(REGEXMATCH(E12491, ""Ben帳戶|Elsa帳戶|Ben代墊|Ariel代墊|中信銀行共用""), REGEXMATCH(F12491, ""Ben帳戶|Elsa帳戶|Ben代墊|Ariel代墊|中信銀行共用"")), ""內部轉帳(忽略)"",
  AND(E12491&lt;&gt;"""", F12491&lt;&gt;"&amp;""""", NOT(REGEXMATCH(C12491, ""薪資""))), ""內部轉帳(忽略)"",
  REGEXMATCH(C12491, ""薪資""), ""薪資變動(不計入)"",
  REGEXMATCH(C12491, ""押金""), ""押金往來"",
  AND(E12491&lt;&gt;"""", F12491=""""), ""真實支出"",
  AND(E12491="""", F12491&lt;&gt;""""), ""真實收入"",
  TRUE, ""其他""
)"),"其他")</f>
        <v>其他</v>
      </c>
      <c r="K12491" s="270" t="str">
        <f t="shared" si="2"/>
        <v/>
      </c>
      <c r="L12491">
        <f t="shared" si="3"/>
        <v>0</v>
      </c>
    </row>
    <row r="12492">
      <c r="A12492" s="107"/>
      <c r="D12492" s="270"/>
      <c r="H12492" s="106" t="str">
        <f t="shared" si="1"/>
        <v/>
      </c>
      <c r="J12492" t="str">
        <f>IFERROR(__xludf.DUMMYFUNCTION("IFS(
  AND(REGEXMATCH(E12492, ""台銀籌備帳戶|玉山帳戶""), REGEXMATCH(C12492, ""薪資"")), ""分潤支出"",
  AND(REGEXMATCH(E12492, ""Ben帳戶|Elsa帳戶|Ben代墊|Ariel代墊|中信銀行共用""), REGEXMATCH(F12492, ""Ben帳戶|Elsa帳戶|Ben代墊|Ariel代墊|中信銀行共用"")), ""內部轉帳(忽略)"",
  AND(E12492&lt;&gt;"""", F12492&lt;&gt;"&amp;""""", NOT(REGEXMATCH(C12492, ""薪資""))), ""內部轉帳(忽略)"",
  REGEXMATCH(C12492, ""薪資""), ""薪資變動(不計入)"",
  REGEXMATCH(C12492, ""押金""), ""押金往來"",
  AND(E12492&lt;&gt;"""", F12492=""""), ""真實支出"",
  AND(E12492="""", F12492&lt;&gt;""""), ""真實收入"",
  TRUE, ""其他""
)"),"其他")</f>
        <v>其他</v>
      </c>
      <c r="K12492" s="270" t="str">
        <f t="shared" si="2"/>
        <v/>
      </c>
      <c r="L12492">
        <f t="shared" si="3"/>
        <v>0</v>
      </c>
    </row>
    <row r="12493">
      <c r="A12493" s="107"/>
      <c r="D12493" s="270"/>
      <c r="H12493" s="106" t="str">
        <f t="shared" si="1"/>
        <v/>
      </c>
      <c r="J12493" t="str">
        <f>IFERROR(__xludf.DUMMYFUNCTION("IFS(
  AND(REGEXMATCH(E12493, ""台銀籌備帳戶|玉山帳戶""), REGEXMATCH(C12493, ""薪資"")), ""分潤支出"",
  AND(REGEXMATCH(E12493, ""Ben帳戶|Elsa帳戶|Ben代墊|Ariel代墊|中信銀行共用""), REGEXMATCH(F12493, ""Ben帳戶|Elsa帳戶|Ben代墊|Ariel代墊|中信銀行共用"")), ""內部轉帳(忽略)"",
  AND(E12493&lt;&gt;"""", F12493&lt;&gt;"&amp;""""", NOT(REGEXMATCH(C12493, ""薪資""))), ""內部轉帳(忽略)"",
  REGEXMATCH(C12493, ""薪資""), ""薪資變動(不計入)"",
  REGEXMATCH(C12493, ""押金""), ""押金往來"",
  AND(E12493&lt;&gt;"""", F12493=""""), ""真實支出"",
  AND(E12493="""", F12493&lt;&gt;""""), ""真實收入"",
  TRUE, ""其他""
)"),"其他")</f>
        <v>其他</v>
      </c>
      <c r="K12493" s="270" t="str">
        <f t="shared" si="2"/>
        <v/>
      </c>
      <c r="L12493">
        <f t="shared" si="3"/>
        <v>0</v>
      </c>
    </row>
    <row r="12494">
      <c r="A12494" s="107"/>
      <c r="D12494" s="270"/>
      <c r="H12494" s="106" t="str">
        <f t="shared" si="1"/>
        <v/>
      </c>
      <c r="J12494" t="str">
        <f>IFERROR(__xludf.DUMMYFUNCTION("IFS(
  AND(REGEXMATCH(E12494, ""台銀籌備帳戶|玉山帳戶""), REGEXMATCH(C12494, ""薪資"")), ""分潤支出"",
  AND(REGEXMATCH(E12494, ""Ben帳戶|Elsa帳戶|Ben代墊|Ariel代墊|中信銀行共用""), REGEXMATCH(F12494, ""Ben帳戶|Elsa帳戶|Ben代墊|Ariel代墊|中信銀行共用"")), ""內部轉帳(忽略)"",
  AND(E12494&lt;&gt;"""", F12494&lt;&gt;"&amp;""""", NOT(REGEXMATCH(C12494, ""薪資""))), ""內部轉帳(忽略)"",
  REGEXMATCH(C12494, ""薪資""), ""薪資變動(不計入)"",
  REGEXMATCH(C12494, ""押金""), ""押金往來"",
  AND(E12494&lt;&gt;"""", F12494=""""), ""真實支出"",
  AND(E12494="""", F12494&lt;&gt;""""), ""真實收入"",
  TRUE, ""其他""
)"),"其他")</f>
        <v>其他</v>
      </c>
      <c r="K12494" s="270" t="str">
        <f t="shared" si="2"/>
        <v/>
      </c>
      <c r="L12494">
        <f t="shared" si="3"/>
        <v>0</v>
      </c>
    </row>
    <row r="12495">
      <c r="A12495" s="107"/>
      <c r="D12495" s="270"/>
      <c r="H12495" s="106" t="str">
        <f t="shared" si="1"/>
        <v/>
      </c>
      <c r="J12495" t="str">
        <f>IFERROR(__xludf.DUMMYFUNCTION("IFS(
  AND(REGEXMATCH(E12495, ""台銀籌備帳戶|玉山帳戶""), REGEXMATCH(C12495, ""薪資"")), ""分潤支出"",
  AND(REGEXMATCH(E12495, ""Ben帳戶|Elsa帳戶|Ben代墊|Ariel代墊|中信銀行共用""), REGEXMATCH(F12495, ""Ben帳戶|Elsa帳戶|Ben代墊|Ariel代墊|中信銀行共用"")), ""內部轉帳(忽略)"",
  AND(E12495&lt;&gt;"""", F12495&lt;&gt;"&amp;""""", NOT(REGEXMATCH(C12495, ""薪資""))), ""內部轉帳(忽略)"",
  REGEXMATCH(C12495, ""薪資""), ""薪資變動(不計入)"",
  REGEXMATCH(C12495, ""押金""), ""押金往來"",
  AND(E12495&lt;&gt;"""", F12495=""""), ""真實支出"",
  AND(E12495="""", F12495&lt;&gt;""""), ""真實收入"",
  TRUE, ""其他""
)"),"其他")</f>
        <v>其他</v>
      </c>
      <c r="K12495" s="270" t="str">
        <f t="shared" si="2"/>
        <v/>
      </c>
      <c r="L12495">
        <f t="shared" si="3"/>
        <v>0</v>
      </c>
    </row>
    <row r="12496">
      <c r="A12496" s="107"/>
      <c r="D12496" s="270"/>
      <c r="H12496" s="106" t="str">
        <f t="shared" si="1"/>
        <v/>
      </c>
      <c r="J12496" t="str">
        <f>IFERROR(__xludf.DUMMYFUNCTION("IFS(
  AND(REGEXMATCH(E12496, ""台銀籌備帳戶|玉山帳戶""), REGEXMATCH(C12496, ""薪資"")), ""分潤支出"",
  AND(REGEXMATCH(E12496, ""Ben帳戶|Elsa帳戶|Ben代墊|Ariel代墊|中信銀行共用""), REGEXMATCH(F12496, ""Ben帳戶|Elsa帳戶|Ben代墊|Ariel代墊|中信銀行共用"")), ""內部轉帳(忽略)"",
  AND(E12496&lt;&gt;"""", F12496&lt;&gt;"&amp;""""", NOT(REGEXMATCH(C12496, ""薪資""))), ""內部轉帳(忽略)"",
  REGEXMATCH(C12496, ""薪資""), ""薪資變動(不計入)"",
  REGEXMATCH(C12496, ""押金""), ""押金往來"",
  AND(E12496&lt;&gt;"""", F12496=""""), ""真實支出"",
  AND(E12496="""", F12496&lt;&gt;""""), ""真實收入"",
  TRUE, ""其他""
)"),"其他")</f>
        <v>其他</v>
      </c>
      <c r="K12496" s="270" t="str">
        <f t="shared" si="2"/>
        <v/>
      </c>
      <c r="L12496">
        <f t="shared" si="3"/>
        <v>0</v>
      </c>
    </row>
    <row r="12497">
      <c r="A12497" s="107"/>
      <c r="D12497" s="270"/>
      <c r="H12497" s="106" t="str">
        <f t="shared" si="1"/>
        <v/>
      </c>
      <c r="J12497" t="str">
        <f>IFERROR(__xludf.DUMMYFUNCTION("IFS(
  AND(REGEXMATCH(E12497, ""台銀籌備帳戶|玉山帳戶""), REGEXMATCH(C12497, ""薪資"")), ""分潤支出"",
  AND(REGEXMATCH(E12497, ""Ben帳戶|Elsa帳戶|Ben代墊|Ariel代墊|中信銀行共用""), REGEXMATCH(F12497, ""Ben帳戶|Elsa帳戶|Ben代墊|Ariel代墊|中信銀行共用"")), ""內部轉帳(忽略)"",
  AND(E12497&lt;&gt;"""", F12497&lt;&gt;"&amp;""""", NOT(REGEXMATCH(C12497, ""薪資""))), ""內部轉帳(忽略)"",
  REGEXMATCH(C12497, ""薪資""), ""薪資變動(不計入)"",
  REGEXMATCH(C12497, ""押金""), ""押金往來"",
  AND(E12497&lt;&gt;"""", F12497=""""), ""真實支出"",
  AND(E12497="""", F12497&lt;&gt;""""), ""真實收入"",
  TRUE, ""其他""
)"),"其他")</f>
        <v>其他</v>
      </c>
      <c r="K12497" s="270" t="str">
        <f t="shared" si="2"/>
        <v/>
      </c>
      <c r="L12497">
        <f t="shared" si="3"/>
        <v>0</v>
      </c>
    </row>
    <row r="12498">
      <c r="A12498" s="107"/>
      <c r="D12498" s="270"/>
      <c r="H12498" s="106" t="str">
        <f t="shared" si="1"/>
        <v/>
      </c>
      <c r="J12498" t="str">
        <f>IFERROR(__xludf.DUMMYFUNCTION("IFS(
  AND(REGEXMATCH(E12498, ""台銀籌備帳戶|玉山帳戶""), REGEXMATCH(C12498, ""薪資"")), ""分潤支出"",
  AND(REGEXMATCH(E12498, ""Ben帳戶|Elsa帳戶|Ben代墊|Ariel代墊|中信銀行共用""), REGEXMATCH(F12498, ""Ben帳戶|Elsa帳戶|Ben代墊|Ariel代墊|中信銀行共用"")), ""內部轉帳(忽略)"",
  AND(E12498&lt;&gt;"""", F12498&lt;&gt;"&amp;""""", NOT(REGEXMATCH(C12498, ""薪資""))), ""內部轉帳(忽略)"",
  REGEXMATCH(C12498, ""薪資""), ""薪資變動(不計入)"",
  REGEXMATCH(C12498, ""押金""), ""押金往來"",
  AND(E12498&lt;&gt;"""", F12498=""""), ""真實支出"",
  AND(E12498="""", F12498&lt;&gt;""""), ""真實收入"",
  TRUE, ""其他""
)"),"其他")</f>
        <v>其他</v>
      </c>
      <c r="K12498" s="270" t="str">
        <f t="shared" si="2"/>
        <v/>
      </c>
      <c r="L12498">
        <f t="shared" si="3"/>
        <v>0</v>
      </c>
    </row>
    <row r="12499">
      <c r="A12499" s="107"/>
      <c r="D12499" s="270"/>
      <c r="H12499" s="106" t="str">
        <f t="shared" si="1"/>
        <v/>
      </c>
      <c r="J12499" t="str">
        <f>IFERROR(__xludf.DUMMYFUNCTION("IFS(
  AND(REGEXMATCH(E12499, ""台銀籌備帳戶|玉山帳戶""), REGEXMATCH(C12499, ""薪資"")), ""分潤支出"",
  AND(REGEXMATCH(E12499, ""Ben帳戶|Elsa帳戶|Ben代墊|Ariel代墊|中信銀行共用""), REGEXMATCH(F12499, ""Ben帳戶|Elsa帳戶|Ben代墊|Ariel代墊|中信銀行共用"")), ""內部轉帳(忽略)"",
  AND(E12499&lt;&gt;"""", F12499&lt;&gt;"&amp;""""", NOT(REGEXMATCH(C12499, ""薪資""))), ""內部轉帳(忽略)"",
  REGEXMATCH(C12499, ""薪資""), ""薪資變動(不計入)"",
  REGEXMATCH(C12499, ""押金""), ""押金往來"",
  AND(E12499&lt;&gt;"""", F12499=""""), ""真實支出"",
  AND(E12499="""", F12499&lt;&gt;""""), ""真實收入"",
  TRUE, ""其他""
)"),"其他")</f>
        <v>其他</v>
      </c>
      <c r="K12499" s="270" t="str">
        <f t="shared" si="2"/>
        <v/>
      </c>
      <c r="L12499">
        <f t="shared" si="3"/>
        <v>0</v>
      </c>
    </row>
    <row r="12500">
      <c r="A12500" s="107"/>
      <c r="D12500" s="270"/>
      <c r="H12500" s="106" t="str">
        <f t="shared" si="1"/>
        <v/>
      </c>
      <c r="J12500" t="str">
        <f>IFERROR(__xludf.DUMMYFUNCTION("IFS(
  AND(REGEXMATCH(E12500, ""台銀籌備帳戶|玉山帳戶""), REGEXMATCH(C12500, ""薪資"")), ""分潤支出"",
  AND(REGEXMATCH(E12500, ""Ben帳戶|Elsa帳戶|Ben代墊|Ariel代墊|中信銀行共用""), REGEXMATCH(F12500, ""Ben帳戶|Elsa帳戶|Ben代墊|Ariel代墊|中信銀行共用"")), ""內部轉帳(忽略)"",
  AND(E12500&lt;&gt;"""", F12500&lt;&gt;"&amp;""""", NOT(REGEXMATCH(C12500, ""薪資""))), ""內部轉帳(忽略)"",
  REGEXMATCH(C12500, ""薪資""), ""薪資變動(不計入)"",
  REGEXMATCH(C12500, ""押金""), ""押金往來"",
  AND(E12500&lt;&gt;"""", F12500=""""), ""真實支出"",
  AND(E12500="""", F12500&lt;&gt;""""), ""真實收入"",
  TRUE, ""其他""
)"),"其他")</f>
        <v>其他</v>
      </c>
      <c r="K12500" s="270" t="str">
        <f t="shared" si="2"/>
        <v/>
      </c>
      <c r="L12500">
        <f t="shared" si="3"/>
        <v>0</v>
      </c>
    </row>
    <row r="12501">
      <c r="A12501" s="107"/>
      <c r="D12501" s="270"/>
      <c r="H12501" s="106" t="str">
        <f t="shared" si="1"/>
        <v/>
      </c>
      <c r="J12501" t="str">
        <f>IFERROR(__xludf.DUMMYFUNCTION("IFS(
  AND(REGEXMATCH(E12501, ""台銀籌備帳戶|玉山帳戶""), REGEXMATCH(C12501, ""薪資"")), ""分潤支出"",
  AND(REGEXMATCH(E12501, ""Ben帳戶|Elsa帳戶|Ben代墊|Ariel代墊|中信銀行共用""), REGEXMATCH(F12501, ""Ben帳戶|Elsa帳戶|Ben代墊|Ariel代墊|中信銀行共用"")), ""內部轉帳(忽略)"",
  AND(E12501&lt;&gt;"""", F12501&lt;&gt;"&amp;""""", NOT(REGEXMATCH(C12501, ""薪資""))), ""內部轉帳(忽略)"",
  REGEXMATCH(C12501, ""薪資""), ""薪資變動(不計入)"",
  REGEXMATCH(C12501, ""押金""), ""押金往來"",
  AND(E12501&lt;&gt;"""", F12501=""""), ""真實支出"",
  AND(E12501="""", F12501&lt;&gt;""""), ""真實收入"",
  TRUE, ""其他""
)"),"其他")</f>
        <v>其他</v>
      </c>
      <c r="K12501" s="270" t="str">
        <f t="shared" si="2"/>
        <v/>
      </c>
      <c r="L12501">
        <f t="shared" si="3"/>
        <v>0</v>
      </c>
    </row>
    <row r="12502">
      <c r="A12502" s="107"/>
      <c r="D12502" s="270"/>
      <c r="H12502" s="106" t="str">
        <f t="shared" si="1"/>
        <v/>
      </c>
      <c r="J12502" t="str">
        <f>IFERROR(__xludf.DUMMYFUNCTION("IFS(
  AND(REGEXMATCH(E12502, ""台銀籌備帳戶|玉山帳戶""), REGEXMATCH(C12502, ""薪資"")), ""分潤支出"",
  AND(REGEXMATCH(E12502, ""Ben帳戶|Elsa帳戶|Ben代墊|Ariel代墊|中信銀行共用""), REGEXMATCH(F12502, ""Ben帳戶|Elsa帳戶|Ben代墊|Ariel代墊|中信銀行共用"")), ""內部轉帳(忽略)"",
  AND(E12502&lt;&gt;"""", F12502&lt;&gt;"&amp;""""", NOT(REGEXMATCH(C12502, ""薪資""))), ""內部轉帳(忽略)"",
  REGEXMATCH(C12502, ""薪資""), ""薪資變動(不計入)"",
  REGEXMATCH(C12502, ""押金""), ""押金往來"",
  AND(E12502&lt;&gt;"""", F12502=""""), ""真實支出"",
  AND(E12502="""", F12502&lt;&gt;""""), ""真實收入"",
  TRUE, ""其他""
)"),"其他")</f>
        <v>其他</v>
      </c>
      <c r="K12502" s="270" t="str">
        <f t="shared" si="2"/>
        <v/>
      </c>
      <c r="L12502">
        <f t="shared" si="3"/>
        <v>0</v>
      </c>
    </row>
    <row r="12503">
      <c r="A12503" s="107"/>
      <c r="D12503" s="270"/>
      <c r="H12503" s="106" t="str">
        <f t="shared" si="1"/>
        <v/>
      </c>
      <c r="J12503" t="str">
        <f>IFERROR(__xludf.DUMMYFUNCTION("IFS(
  AND(REGEXMATCH(E12503, ""台銀籌備帳戶|玉山帳戶""), REGEXMATCH(C12503, ""薪資"")), ""分潤支出"",
  AND(REGEXMATCH(E12503, ""Ben帳戶|Elsa帳戶|Ben代墊|Ariel代墊|中信銀行共用""), REGEXMATCH(F12503, ""Ben帳戶|Elsa帳戶|Ben代墊|Ariel代墊|中信銀行共用"")), ""內部轉帳(忽略)"",
  AND(E12503&lt;&gt;"""", F12503&lt;&gt;"&amp;""""", NOT(REGEXMATCH(C12503, ""薪資""))), ""內部轉帳(忽略)"",
  REGEXMATCH(C12503, ""薪資""), ""薪資變動(不計入)"",
  REGEXMATCH(C12503, ""押金""), ""押金往來"",
  AND(E12503&lt;&gt;"""", F12503=""""), ""真實支出"",
  AND(E12503="""", F12503&lt;&gt;""""), ""真實收入"",
  TRUE, ""其他""
)"),"其他")</f>
        <v>其他</v>
      </c>
      <c r="K12503" s="270" t="str">
        <f t="shared" si="2"/>
        <v/>
      </c>
      <c r="L12503">
        <f t="shared" si="3"/>
        <v>0</v>
      </c>
    </row>
    <row r="12504">
      <c r="A12504" s="107"/>
      <c r="D12504" s="270"/>
      <c r="H12504" s="106" t="str">
        <f t="shared" si="1"/>
        <v/>
      </c>
      <c r="J12504" t="str">
        <f>IFERROR(__xludf.DUMMYFUNCTION("IFS(
  AND(REGEXMATCH(E12504, ""台銀籌備帳戶|玉山帳戶""), REGEXMATCH(C12504, ""薪資"")), ""分潤支出"",
  AND(REGEXMATCH(E12504, ""Ben帳戶|Elsa帳戶|Ben代墊|Ariel代墊|中信銀行共用""), REGEXMATCH(F12504, ""Ben帳戶|Elsa帳戶|Ben代墊|Ariel代墊|中信銀行共用"")), ""內部轉帳(忽略)"",
  AND(E12504&lt;&gt;"""", F12504&lt;&gt;"&amp;""""", NOT(REGEXMATCH(C12504, ""薪資""))), ""內部轉帳(忽略)"",
  REGEXMATCH(C12504, ""薪資""), ""薪資變動(不計入)"",
  REGEXMATCH(C12504, ""押金""), ""押金往來"",
  AND(E12504&lt;&gt;"""", F12504=""""), ""真實支出"",
  AND(E12504="""", F12504&lt;&gt;""""), ""真實收入"",
  TRUE, ""其他""
)"),"其他")</f>
        <v>其他</v>
      </c>
      <c r="K12504" s="270" t="str">
        <f t="shared" si="2"/>
        <v/>
      </c>
      <c r="L12504">
        <f t="shared" si="3"/>
        <v>0</v>
      </c>
    </row>
    <row r="12505">
      <c r="A12505" s="107"/>
      <c r="D12505" s="270"/>
      <c r="H12505" s="106" t="str">
        <f t="shared" si="1"/>
        <v/>
      </c>
      <c r="J12505" t="str">
        <f>IFERROR(__xludf.DUMMYFUNCTION("IFS(
  AND(REGEXMATCH(E12505, ""台銀籌備帳戶|玉山帳戶""), REGEXMATCH(C12505, ""薪資"")), ""分潤支出"",
  AND(REGEXMATCH(E12505, ""Ben帳戶|Elsa帳戶|Ben代墊|Ariel代墊|中信銀行共用""), REGEXMATCH(F12505, ""Ben帳戶|Elsa帳戶|Ben代墊|Ariel代墊|中信銀行共用"")), ""內部轉帳(忽略)"",
  AND(E12505&lt;&gt;"""", F12505&lt;&gt;"&amp;""""", NOT(REGEXMATCH(C12505, ""薪資""))), ""內部轉帳(忽略)"",
  REGEXMATCH(C12505, ""薪資""), ""薪資變動(不計入)"",
  REGEXMATCH(C12505, ""押金""), ""押金往來"",
  AND(E12505&lt;&gt;"""", F12505=""""), ""真實支出"",
  AND(E12505="""", F12505&lt;&gt;""""), ""真實收入"",
  TRUE, ""其他""
)"),"其他")</f>
        <v>其他</v>
      </c>
      <c r="K12505" s="270" t="str">
        <f t="shared" si="2"/>
        <v/>
      </c>
      <c r="L12505">
        <f t="shared" si="3"/>
        <v>0</v>
      </c>
    </row>
    <row r="12506">
      <c r="A12506" s="107"/>
      <c r="D12506" s="270"/>
      <c r="H12506" s="106" t="str">
        <f t="shared" si="1"/>
        <v/>
      </c>
      <c r="J12506" t="str">
        <f>IFERROR(__xludf.DUMMYFUNCTION("IFS(
  AND(REGEXMATCH(E12506, ""台銀籌備帳戶|玉山帳戶""), REGEXMATCH(C12506, ""薪資"")), ""分潤支出"",
  AND(REGEXMATCH(E12506, ""Ben帳戶|Elsa帳戶|Ben代墊|Ariel代墊|中信銀行共用""), REGEXMATCH(F12506, ""Ben帳戶|Elsa帳戶|Ben代墊|Ariel代墊|中信銀行共用"")), ""內部轉帳(忽略)"",
  AND(E12506&lt;&gt;"""", F12506&lt;&gt;"&amp;""""", NOT(REGEXMATCH(C12506, ""薪資""))), ""內部轉帳(忽略)"",
  REGEXMATCH(C12506, ""薪資""), ""薪資變動(不計入)"",
  REGEXMATCH(C12506, ""押金""), ""押金往來"",
  AND(E12506&lt;&gt;"""", F12506=""""), ""真實支出"",
  AND(E12506="""", F12506&lt;&gt;""""), ""真實收入"",
  TRUE, ""其他""
)"),"其他")</f>
        <v>其他</v>
      </c>
      <c r="K12506" s="270" t="str">
        <f t="shared" si="2"/>
        <v/>
      </c>
      <c r="L12506">
        <f t="shared" si="3"/>
        <v>0</v>
      </c>
    </row>
    <row r="12507">
      <c r="A12507" s="107"/>
      <c r="D12507" s="270"/>
      <c r="H12507" s="106" t="str">
        <f t="shared" si="1"/>
        <v/>
      </c>
      <c r="J12507" t="str">
        <f>IFERROR(__xludf.DUMMYFUNCTION("IFS(
  AND(REGEXMATCH(E12507, ""台銀籌備帳戶|玉山帳戶""), REGEXMATCH(C12507, ""薪資"")), ""分潤支出"",
  AND(REGEXMATCH(E12507, ""Ben帳戶|Elsa帳戶|Ben代墊|Ariel代墊|中信銀行共用""), REGEXMATCH(F12507, ""Ben帳戶|Elsa帳戶|Ben代墊|Ariel代墊|中信銀行共用"")), ""內部轉帳(忽略)"",
  AND(E12507&lt;&gt;"""", F12507&lt;&gt;"&amp;""""", NOT(REGEXMATCH(C12507, ""薪資""))), ""內部轉帳(忽略)"",
  REGEXMATCH(C12507, ""薪資""), ""薪資變動(不計入)"",
  REGEXMATCH(C12507, ""押金""), ""押金往來"",
  AND(E12507&lt;&gt;"""", F12507=""""), ""真實支出"",
  AND(E12507="""", F12507&lt;&gt;""""), ""真實收入"",
  TRUE, ""其他""
)"),"其他")</f>
        <v>其他</v>
      </c>
      <c r="K12507" s="270" t="str">
        <f t="shared" si="2"/>
        <v/>
      </c>
      <c r="L12507">
        <f t="shared" si="3"/>
        <v>0</v>
      </c>
    </row>
    <row r="12508">
      <c r="A12508" s="107"/>
      <c r="D12508" s="270"/>
      <c r="H12508" s="106" t="str">
        <f t="shared" si="1"/>
        <v/>
      </c>
      <c r="J12508" t="str">
        <f>IFERROR(__xludf.DUMMYFUNCTION("IFS(
  AND(REGEXMATCH(E12508, ""台銀籌備帳戶|玉山帳戶""), REGEXMATCH(C12508, ""薪資"")), ""分潤支出"",
  AND(REGEXMATCH(E12508, ""Ben帳戶|Elsa帳戶|Ben代墊|Ariel代墊|中信銀行共用""), REGEXMATCH(F12508, ""Ben帳戶|Elsa帳戶|Ben代墊|Ariel代墊|中信銀行共用"")), ""內部轉帳(忽略)"",
  AND(E12508&lt;&gt;"""", F12508&lt;&gt;"&amp;""""", NOT(REGEXMATCH(C12508, ""薪資""))), ""內部轉帳(忽略)"",
  REGEXMATCH(C12508, ""薪資""), ""薪資變動(不計入)"",
  REGEXMATCH(C12508, ""押金""), ""押金往來"",
  AND(E12508&lt;&gt;"""", F12508=""""), ""真實支出"",
  AND(E12508="""", F12508&lt;&gt;""""), ""真實收入"",
  TRUE, ""其他""
)"),"其他")</f>
        <v>其他</v>
      </c>
      <c r="K12508" s="270" t="str">
        <f t="shared" si="2"/>
        <v/>
      </c>
      <c r="L12508">
        <f t="shared" si="3"/>
        <v>0</v>
      </c>
    </row>
    <row r="12509">
      <c r="A12509" s="107"/>
      <c r="D12509" s="270"/>
      <c r="H12509" s="106" t="str">
        <f t="shared" si="1"/>
        <v/>
      </c>
      <c r="J12509" t="str">
        <f>IFERROR(__xludf.DUMMYFUNCTION("IFS(
  AND(REGEXMATCH(E12509, ""台銀籌備帳戶|玉山帳戶""), REGEXMATCH(C12509, ""薪資"")), ""分潤支出"",
  AND(REGEXMATCH(E12509, ""Ben帳戶|Elsa帳戶|Ben代墊|Ariel代墊|中信銀行共用""), REGEXMATCH(F12509, ""Ben帳戶|Elsa帳戶|Ben代墊|Ariel代墊|中信銀行共用"")), ""內部轉帳(忽略)"",
  AND(E12509&lt;&gt;"""", F12509&lt;&gt;"&amp;""""", NOT(REGEXMATCH(C12509, ""薪資""))), ""內部轉帳(忽略)"",
  REGEXMATCH(C12509, ""薪資""), ""薪資變動(不計入)"",
  REGEXMATCH(C12509, ""押金""), ""押金往來"",
  AND(E12509&lt;&gt;"""", F12509=""""), ""真實支出"",
  AND(E12509="""", F12509&lt;&gt;""""), ""真實收入"",
  TRUE, ""其他""
)"),"其他")</f>
        <v>其他</v>
      </c>
      <c r="K12509" s="270" t="str">
        <f t="shared" si="2"/>
        <v/>
      </c>
      <c r="L12509">
        <f t="shared" si="3"/>
        <v>0</v>
      </c>
    </row>
    <row r="12510">
      <c r="A12510" s="107"/>
      <c r="D12510" s="270"/>
      <c r="H12510" s="106" t="str">
        <f t="shared" si="1"/>
        <v/>
      </c>
      <c r="J12510" t="str">
        <f>IFERROR(__xludf.DUMMYFUNCTION("IFS(
  AND(REGEXMATCH(E12510, ""台銀籌備帳戶|玉山帳戶""), REGEXMATCH(C12510, ""薪資"")), ""分潤支出"",
  AND(REGEXMATCH(E12510, ""Ben帳戶|Elsa帳戶|Ben代墊|Ariel代墊|中信銀行共用""), REGEXMATCH(F12510, ""Ben帳戶|Elsa帳戶|Ben代墊|Ariel代墊|中信銀行共用"")), ""內部轉帳(忽略)"",
  AND(E12510&lt;&gt;"""", F12510&lt;&gt;"&amp;""""", NOT(REGEXMATCH(C12510, ""薪資""))), ""內部轉帳(忽略)"",
  REGEXMATCH(C12510, ""薪資""), ""薪資變動(不計入)"",
  REGEXMATCH(C12510, ""押金""), ""押金往來"",
  AND(E12510&lt;&gt;"""", F12510=""""), ""真實支出"",
  AND(E12510="""", F12510&lt;&gt;""""), ""真實收入"",
  TRUE, ""其他""
)"),"其他")</f>
        <v>其他</v>
      </c>
      <c r="K12510" s="270" t="str">
        <f t="shared" si="2"/>
        <v/>
      </c>
      <c r="L12510">
        <f t="shared" si="3"/>
        <v>0</v>
      </c>
    </row>
    <row r="12511">
      <c r="A12511" s="107"/>
      <c r="D12511" s="270"/>
      <c r="H12511" s="106" t="str">
        <f t="shared" si="1"/>
        <v/>
      </c>
      <c r="J12511" t="str">
        <f>IFERROR(__xludf.DUMMYFUNCTION("IFS(
  AND(REGEXMATCH(E12511, ""台銀籌備帳戶|玉山帳戶""), REGEXMATCH(C12511, ""薪資"")), ""分潤支出"",
  AND(REGEXMATCH(E12511, ""Ben帳戶|Elsa帳戶|Ben代墊|Ariel代墊|中信銀行共用""), REGEXMATCH(F12511, ""Ben帳戶|Elsa帳戶|Ben代墊|Ariel代墊|中信銀行共用"")), ""內部轉帳(忽略)"",
  AND(E12511&lt;&gt;"""", F12511&lt;&gt;"&amp;""""", NOT(REGEXMATCH(C12511, ""薪資""))), ""內部轉帳(忽略)"",
  REGEXMATCH(C12511, ""薪資""), ""薪資變動(不計入)"",
  REGEXMATCH(C12511, ""押金""), ""押金往來"",
  AND(E12511&lt;&gt;"""", F12511=""""), ""真實支出"",
  AND(E12511="""", F12511&lt;&gt;""""), ""真實收入"",
  TRUE, ""其他""
)"),"其他")</f>
        <v>其他</v>
      </c>
      <c r="K12511" s="270" t="str">
        <f t="shared" si="2"/>
        <v/>
      </c>
      <c r="L12511">
        <f t="shared" si="3"/>
        <v>0</v>
      </c>
    </row>
    <row r="12512">
      <c r="A12512" s="107"/>
      <c r="D12512" s="270"/>
      <c r="H12512" s="106" t="str">
        <f t="shared" si="1"/>
        <v/>
      </c>
      <c r="J12512" t="str">
        <f>IFERROR(__xludf.DUMMYFUNCTION("IFS(
  AND(REGEXMATCH(E12512, ""台銀籌備帳戶|玉山帳戶""), REGEXMATCH(C12512, ""薪資"")), ""分潤支出"",
  AND(REGEXMATCH(E12512, ""Ben帳戶|Elsa帳戶|Ben代墊|Ariel代墊|中信銀行共用""), REGEXMATCH(F12512, ""Ben帳戶|Elsa帳戶|Ben代墊|Ariel代墊|中信銀行共用"")), ""內部轉帳(忽略)"",
  AND(E12512&lt;&gt;"""", F12512&lt;&gt;"&amp;""""", NOT(REGEXMATCH(C12512, ""薪資""))), ""內部轉帳(忽略)"",
  REGEXMATCH(C12512, ""薪資""), ""薪資變動(不計入)"",
  REGEXMATCH(C12512, ""押金""), ""押金往來"",
  AND(E12512&lt;&gt;"""", F12512=""""), ""真實支出"",
  AND(E12512="""", F12512&lt;&gt;""""), ""真實收入"",
  TRUE, ""其他""
)"),"其他")</f>
        <v>其他</v>
      </c>
      <c r="K12512" s="270" t="str">
        <f t="shared" si="2"/>
        <v/>
      </c>
      <c r="L12512">
        <f t="shared" si="3"/>
        <v>0</v>
      </c>
    </row>
    <row r="12513">
      <c r="A12513" s="107"/>
      <c r="D12513" s="270"/>
      <c r="H12513" s="106" t="str">
        <f t="shared" si="1"/>
        <v/>
      </c>
      <c r="J12513" t="str">
        <f>IFERROR(__xludf.DUMMYFUNCTION("IFS(
  AND(REGEXMATCH(E12513, ""台銀籌備帳戶|玉山帳戶""), REGEXMATCH(C12513, ""薪資"")), ""分潤支出"",
  AND(REGEXMATCH(E12513, ""Ben帳戶|Elsa帳戶|Ben代墊|Ariel代墊|中信銀行共用""), REGEXMATCH(F12513, ""Ben帳戶|Elsa帳戶|Ben代墊|Ariel代墊|中信銀行共用"")), ""內部轉帳(忽略)"",
  AND(E12513&lt;&gt;"""", F12513&lt;&gt;"&amp;""""", NOT(REGEXMATCH(C12513, ""薪資""))), ""內部轉帳(忽略)"",
  REGEXMATCH(C12513, ""薪資""), ""薪資變動(不計入)"",
  REGEXMATCH(C12513, ""押金""), ""押金往來"",
  AND(E12513&lt;&gt;"""", F12513=""""), ""真實支出"",
  AND(E12513="""", F12513&lt;&gt;""""), ""真實收入"",
  TRUE, ""其他""
)"),"其他")</f>
        <v>其他</v>
      </c>
      <c r="K12513" s="270" t="str">
        <f t="shared" si="2"/>
        <v/>
      </c>
      <c r="L12513">
        <f t="shared" si="3"/>
        <v>0</v>
      </c>
    </row>
    <row r="12514">
      <c r="A12514" s="107"/>
      <c r="D12514" s="270"/>
      <c r="H12514" s="106" t="str">
        <f t="shared" si="1"/>
        <v/>
      </c>
      <c r="J12514" t="str">
        <f>IFERROR(__xludf.DUMMYFUNCTION("IFS(
  AND(REGEXMATCH(E12514, ""台銀籌備帳戶|玉山帳戶""), REGEXMATCH(C12514, ""薪資"")), ""分潤支出"",
  AND(REGEXMATCH(E12514, ""Ben帳戶|Elsa帳戶|Ben代墊|Ariel代墊|中信銀行共用""), REGEXMATCH(F12514, ""Ben帳戶|Elsa帳戶|Ben代墊|Ariel代墊|中信銀行共用"")), ""內部轉帳(忽略)"",
  AND(E12514&lt;&gt;"""", F12514&lt;&gt;"&amp;""""", NOT(REGEXMATCH(C12514, ""薪資""))), ""內部轉帳(忽略)"",
  REGEXMATCH(C12514, ""薪資""), ""薪資變動(不計入)"",
  REGEXMATCH(C12514, ""押金""), ""押金往來"",
  AND(E12514&lt;&gt;"""", F12514=""""), ""真實支出"",
  AND(E12514="""", F12514&lt;&gt;""""), ""真實收入"",
  TRUE, ""其他""
)"),"其他")</f>
        <v>其他</v>
      </c>
      <c r="K12514" s="270" t="str">
        <f t="shared" si="2"/>
        <v/>
      </c>
      <c r="L12514">
        <f t="shared" si="3"/>
        <v>0</v>
      </c>
    </row>
    <row r="12515">
      <c r="A12515" s="107"/>
      <c r="D12515" s="270"/>
      <c r="H12515" s="106" t="str">
        <f t="shared" si="1"/>
        <v/>
      </c>
      <c r="J12515" t="str">
        <f>IFERROR(__xludf.DUMMYFUNCTION("IFS(
  AND(REGEXMATCH(E12515, ""台銀籌備帳戶|玉山帳戶""), REGEXMATCH(C12515, ""薪資"")), ""分潤支出"",
  AND(REGEXMATCH(E12515, ""Ben帳戶|Elsa帳戶|Ben代墊|Ariel代墊|中信銀行共用""), REGEXMATCH(F12515, ""Ben帳戶|Elsa帳戶|Ben代墊|Ariel代墊|中信銀行共用"")), ""內部轉帳(忽略)"",
  AND(E12515&lt;&gt;"""", F12515&lt;&gt;"&amp;""""", NOT(REGEXMATCH(C12515, ""薪資""))), ""內部轉帳(忽略)"",
  REGEXMATCH(C12515, ""薪資""), ""薪資變動(不計入)"",
  REGEXMATCH(C12515, ""押金""), ""押金往來"",
  AND(E12515&lt;&gt;"""", F12515=""""), ""真實支出"",
  AND(E12515="""", F12515&lt;&gt;""""), ""真實收入"",
  TRUE, ""其他""
)"),"其他")</f>
        <v>其他</v>
      </c>
      <c r="K12515" s="270" t="str">
        <f t="shared" si="2"/>
        <v/>
      </c>
      <c r="L12515">
        <f t="shared" si="3"/>
        <v>0</v>
      </c>
    </row>
    <row r="12516">
      <c r="A12516" s="107"/>
      <c r="D12516" s="270"/>
      <c r="H12516" s="106" t="str">
        <f t="shared" si="1"/>
        <v/>
      </c>
      <c r="J12516" t="str">
        <f>IFERROR(__xludf.DUMMYFUNCTION("IFS(
  AND(REGEXMATCH(E12516, ""台銀籌備帳戶|玉山帳戶""), REGEXMATCH(C12516, ""薪資"")), ""分潤支出"",
  AND(REGEXMATCH(E12516, ""Ben帳戶|Elsa帳戶|Ben代墊|Ariel代墊|中信銀行共用""), REGEXMATCH(F12516, ""Ben帳戶|Elsa帳戶|Ben代墊|Ariel代墊|中信銀行共用"")), ""內部轉帳(忽略)"",
  AND(E12516&lt;&gt;"""", F12516&lt;&gt;"&amp;""""", NOT(REGEXMATCH(C12516, ""薪資""))), ""內部轉帳(忽略)"",
  REGEXMATCH(C12516, ""薪資""), ""薪資變動(不計入)"",
  REGEXMATCH(C12516, ""押金""), ""押金往來"",
  AND(E12516&lt;&gt;"""", F12516=""""), ""真實支出"",
  AND(E12516="""", F12516&lt;&gt;""""), ""真實收入"",
  TRUE, ""其他""
)"),"其他")</f>
        <v>其他</v>
      </c>
      <c r="K12516" s="270" t="str">
        <f t="shared" si="2"/>
        <v/>
      </c>
      <c r="L12516">
        <f t="shared" si="3"/>
        <v>0</v>
      </c>
    </row>
    <row r="12517">
      <c r="A12517" s="107"/>
      <c r="D12517" s="270"/>
      <c r="H12517" s="106" t="str">
        <f t="shared" si="1"/>
        <v/>
      </c>
      <c r="J12517" t="str">
        <f>IFERROR(__xludf.DUMMYFUNCTION("IFS(
  AND(REGEXMATCH(E12517, ""台銀籌備帳戶|玉山帳戶""), REGEXMATCH(C12517, ""薪資"")), ""分潤支出"",
  AND(REGEXMATCH(E12517, ""Ben帳戶|Elsa帳戶|Ben代墊|Ariel代墊|中信銀行共用""), REGEXMATCH(F12517, ""Ben帳戶|Elsa帳戶|Ben代墊|Ariel代墊|中信銀行共用"")), ""內部轉帳(忽略)"",
  AND(E12517&lt;&gt;"""", F12517&lt;&gt;"&amp;""""", NOT(REGEXMATCH(C12517, ""薪資""))), ""內部轉帳(忽略)"",
  REGEXMATCH(C12517, ""薪資""), ""薪資變動(不計入)"",
  REGEXMATCH(C12517, ""押金""), ""押金往來"",
  AND(E12517&lt;&gt;"""", F12517=""""), ""真實支出"",
  AND(E12517="""", F12517&lt;&gt;""""), ""真實收入"",
  TRUE, ""其他""
)"),"其他")</f>
        <v>其他</v>
      </c>
      <c r="K12517" s="270" t="str">
        <f t="shared" si="2"/>
        <v/>
      </c>
      <c r="L12517">
        <f t="shared" si="3"/>
        <v>0</v>
      </c>
    </row>
    <row r="12518">
      <c r="A12518" s="107"/>
      <c r="D12518" s="270"/>
      <c r="H12518" s="106" t="str">
        <f t="shared" si="1"/>
        <v/>
      </c>
      <c r="J12518" t="str">
        <f>IFERROR(__xludf.DUMMYFUNCTION("IFS(
  AND(REGEXMATCH(E12518, ""台銀籌備帳戶|玉山帳戶""), REGEXMATCH(C12518, ""薪資"")), ""分潤支出"",
  AND(REGEXMATCH(E12518, ""Ben帳戶|Elsa帳戶|Ben代墊|Ariel代墊|中信銀行共用""), REGEXMATCH(F12518, ""Ben帳戶|Elsa帳戶|Ben代墊|Ariel代墊|中信銀行共用"")), ""內部轉帳(忽略)"",
  AND(E12518&lt;&gt;"""", F12518&lt;&gt;"&amp;""""", NOT(REGEXMATCH(C12518, ""薪資""))), ""內部轉帳(忽略)"",
  REGEXMATCH(C12518, ""薪資""), ""薪資變動(不計入)"",
  REGEXMATCH(C12518, ""押金""), ""押金往來"",
  AND(E12518&lt;&gt;"""", F12518=""""), ""真實支出"",
  AND(E12518="""", F12518&lt;&gt;""""), ""真實收入"",
  TRUE, ""其他""
)"),"其他")</f>
        <v>其他</v>
      </c>
      <c r="K12518" s="270" t="str">
        <f t="shared" si="2"/>
        <v/>
      </c>
      <c r="L12518">
        <f t="shared" si="3"/>
        <v>0</v>
      </c>
    </row>
    <row r="12519">
      <c r="A12519" s="107"/>
      <c r="D12519" s="270"/>
      <c r="H12519" s="106" t="str">
        <f t="shared" si="1"/>
        <v/>
      </c>
      <c r="J12519" t="str">
        <f>IFERROR(__xludf.DUMMYFUNCTION("IFS(
  AND(REGEXMATCH(E12519, ""台銀籌備帳戶|玉山帳戶""), REGEXMATCH(C12519, ""薪資"")), ""分潤支出"",
  AND(REGEXMATCH(E12519, ""Ben帳戶|Elsa帳戶|Ben代墊|Ariel代墊|中信銀行共用""), REGEXMATCH(F12519, ""Ben帳戶|Elsa帳戶|Ben代墊|Ariel代墊|中信銀行共用"")), ""內部轉帳(忽略)"",
  AND(E12519&lt;&gt;"""", F12519&lt;&gt;"&amp;""""", NOT(REGEXMATCH(C12519, ""薪資""))), ""內部轉帳(忽略)"",
  REGEXMATCH(C12519, ""薪資""), ""薪資變動(不計入)"",
  REGEXMATCH(C12519, ""押金""), ""押金往來"",
  AND(E12519&lt;&gt;"""", F12519=""""), ""真實支出"",
  AND(E12519="""", F12519&lt;&gt;""""), ""真實收入"",
  TRUE, ""其他""
)"),"其他")</f>
        <v>其他</v>
      </c>
      <c r="K12519" s="270" t="str">
        <f t="shared" si="2"/>
        <v/>
      </c>
      <c r="L12519">
        <f t="shared" si="3"/>
        <v>0</v>
      </c>
    </row>
    <row r="12520">
      <c r="A12520" s="107"/>
      <c r="D12520" s="270"/>
      <c r="H12520" s="106" t="str">
        <f t="shared" si="1"/>
        <v/>
      </c>
      <c r="J12520" t="str">
        <f>IFERROR(__xludf.DUMMYFUNCTION("IFS(
  AND(REGEXMATCH(E12520, ""台銀籌備帳戶|玉山帳戶""), REGEXMATCH(C12520, ""薪資"")), ""分潤支出"",
  AND(REGEXMATCH(E12520, ""Ben帳戶|Elsa帳戶|Ben代墊|Ariel代墊|中信銀行共用""), REGEXMATCH(F12520, ""Ben帳戶|Elsa帳戶|Ben代墊|Ariel代墊|中信銀行共用"")), ""內部轉帳(忽略)"",
  AND(E12520&lt;&gt;"""", F12520&lt;&gt;"&amp;""""", NOT(REGEXMATCH(C12520, ""薪資""))), ""內部轉帳(忽略)"",
  REGEXMATCH(C12520, ""薪資""), ""薪資變動(不計入)"",
  REGEXMATCH(C12520, ""押金""), ""押金往來"",
  AND(E12520&lt;&gt;"""", F12520=""""), ""真實支出"",
  AND(E12520="""", F12520&lt;&gt;""""), ""真實收入"",
  TRUE, ""其他""
)"),"其他")</f>
        <v>其他</v>
      </c>
      <c r="K12520" s="270" t="str">
        <f t="shared" si="2"/>
        <v/>
      </c>
      <c r="L12520">
        <f t="shared" si="3"/>
        <v>0</v>
      </c>
    </row>
    <row r="12521">
      <c r="A12521" s="107"/>
      <c r="D12521" s="270"/>
      <c r="H12521" s="106" t="str">
        <f t="shared" si="1"/>
        <v/>
      </c>
      <c r="J12521" t="str">
        <f>IFERROR(__xludf.DUMMYFUNCTION("IFS(
  AND(REGEXMATCH(E12521, ""台銀籌備帳戶|玉山帳戶""), REGEXMATCH(C12521, ""薪資"")), ""分潤支出"",
  AND(REGEXMATCH(E12521, ""Ben帳戶|Elsa帳戶|Ben代墊|Ariel代墊|中信銀行共用""), REGEXMATCH(F12521, ""Ben帳戶|Elsa帳戶|Ben代墊|Ariel代墊|中信銀行共用"")), ""內部轉帳(忽略)"",
  AND(E12521&lt;&gt;"""", F12521&lt;&gt;"&amp;""""", NOT(REGEXMATCH(C12521, ""薪資""))), ""內部轉帳(忽略)"",
  REGEXMATCH(C12521, ""薪資""), ""薪資變動(不計入)"",
  REGEXMATCH(C12521, ""押金""), ""押金往來"",
  AND(E12521&lt;&gt;"""", F12521=""""), ""真實支出"",
  AND(E12521="""", F12521&lt;&gt;""""), ""真實收入"",
  TRUE, ""其他""
)"),"其他")</f>
        <v>其他</v>
      </c>
      <c r="K12521" s="270" t="str">
        <f t="shared" si="2"/>
        <v/>
      </c>
      <c r="L12521">
        <f t="shared" si="3"/>
        <v>0</v>
      </c>
    </row>
    <row r="12522">
      <c r="A12522" s="107"/>
      <c r="D12522" s="270"/>
      <c r="H12522" s="106" t="str">
        <f t="shared" si="1"/>
        <v/>
      </c>
      <c r="J12522" t="str">
        <f>IFERROR(__xludf.DUMMYFUNCTION("IFS(
  AND(REGEXMATCH(E12522, ""台銀籌備帳戶|玉山帳戶""), REGEXMATCH(C12522, ""薪資"")), ""分潤支出"",
  AND(REGEXMATCH(E12522, ""Ben帳戶|Elsa帳戶|Ben代墊|Ariel代墊|中信銀行共用""), REGEXMATCH(F12522, ""Ben帳戶|Elsa帳戶|Ben代墊|Ariel代墊|中信銀行共用"")), ""內部轉帳(忽略)"",
  AND(E12522&lt;&gt;"""", F12522&lt;&gt;"&amp;""""", NOT(REGEXMATCH(C12522, ""薪資""))), ""內部轉帳(忽略)"",
  REGEXMATCH(C12522, ""薪資""), ""薪資變動(不計入)"",
  REGEXMATCH(C12522, ""押金""), ""押金往來"",
  AND(E12522&lt;&gt;"""", F12522=""""), ""真實支出"",
  AND(E12522="""", F12522&lt;&gt;""""), ""真實收入"",
  TRUE, ""其他""
)"),"其他")</f>
        <v>其他</v>
      </c>
      <c r="K12522" s="270" t="str">
        <f t="shared" si="2"/>
        <v/>
      </c>
      <c r="L12522">
        <f t="shared" si="3"/>
        <v>0</v>
      </c>
    </row>
    <row r="12523">
      <c r="A12523" s="107"/>
      <c r="D12523" s="270"/>
      <c r="H12523" s="106" t="str">
        <f t="shared" si="1"/>
        <v/>
      </c>
      <c r="J12523" t="str">
        <f>IFERROR(__xludf.DUMMYFUNCTION("IFS(
  AND(REGEXMATCH(E12523, ""台銀籌備帳戶|玉山帳戶""), REGEXMATCH(C12523, ""薪資"")), ""分潤支出"",
  AND(REGEXMATCH(E12523, ""Ben帳戶|Elsa帳戶|Ben代墊|Ariel代墊|中信銀行共用""), REGEXMATCH(F12523, ""Ben帳戶|Elsa帳戶|Ben代墊|Ariel代墊|中信銀行共用"")), ""內部轉帳(忽略)"",
  AND(E12523&lt;&gt;"""", F12523&lt;&gt;"&amp;""""", NOT(REGEXMATCH(C12523, ""薪資""))), ""內部轉帳(忽略)"",
  REGEXMATCH(C12523, ""薪資""), ""薪資變動(不計入)"",
  REGEXMATCH(C12523, ""押金""), ""押金往來"",
  AND(E12523&lt;&gt;"""", F12523=""""), ""真實支出"",
  AND(E12523="""", F12523&lt;&gt;""""), ""真實收入"",
  TRUE, ""其他""
)"),"其他")</f>
        <v>其他</v>
      </c>
      <c r="K12523" s="270" t="str">
        <f t="shared" si="2"/>
        <v/>
      </c>
      <c r="L12523">
        <f t="shared" si="3"/>
        <v>0</v>
      </c>
    </row>
    <row r="12524">
      <c r="A12524" s="107"/>
      <c r="D12524" s="270"/>
      <c r="H12524" s="106" t="str">
        <f t="shared" si="1"/>
        <v/>
      </c>
      <c r="J12524" t="str">
        <f>IFERROR(__xludf.DUMMYFUNCTION("IFS(
  AND(REGEXMATCH(E12524, ""台銀籌備帳戶|玉山帳戶""), REGEXMATCH(C12524, ""薪資"")), ""分潤支出"",
  AND(REGEXMATCH(E12524, ""Ben帳戶|Elsa帳戶|Ben代墊|Ariel代墊|中信銀行共用""), REGEXMATCH(F12524, ""Ben帳戶|Elsa帳戶|Ben代墊|Ariel代墊|中信銀行共用"")), ""內部轉帳(忽略)"",
  AND(E12524&lt;&gt;"""", F12524&lt;&gt;"&amp;""""", NOT(REGEXMATCH(C12524, ""薪資""))), ""內部轉帳(忽略)"",
  REGEXMATCH(C12524, ""薪資""), ""薪資變動(不計入)"",
  REGEXMATCH(C12524, ""押金""), ""押金往來"",
  AND(E12524&lt;&gt;"""", F12524=""""), ""真實支出"",
  AND(E12524="""", F12524&lt;&gt;""""), ""真實收入"",
  TRUE, ""其他""
)"),"其他")</f>
        <v>其他</v>
      </c>
      <c r="K12524" s="270" t="str">
        <f t="shared" si="2"/>
        <v/>
      </c>
      <c r="L12524">
        <f t="shared" si="3"/>
        <v>0</v>
      </c>
    </row>
    <row r="12525">
      <c r="A12525" s="107"/>
      <c r="D12525" s="270"/>
      <c r="H12525" s="106" t="str">
        <f t="shared" si="1"/>
        <v/>
      </c>
      <c r="J12525" t="str">
        <f>IFERROR(__xludf.DUMMYFUNCTION("IFS(
  AND(REGEXMATCH(E12525, ""台銀籌備帳戶|玉山帳戶""), REGEXMATCH(C12525, ""薪資"")), ""分潤支出"",
  AND(REGEXMATCH(E12525, ""Ben帳戶|Elsa帳戶|Ben代墊|Ariel代墊|中信銀行共用""), REGEXMATCH(F12525, ""Ben帳戶|Elsa帳戶|Ben代墊|Ariel代墊|中信銀行共用"")), ""內部轉帳(忽略)"",
  AND(E12525&lt;&gt;"""", F12525&lt;&gt;"&amp;""""", NOT(REGEXMATCH(C12525, ""薪資""))), ""內部轉帳(忽略)"",
  REGEXMATCH(C12525, ""薪資""), ""薪資變動(不計入)"",
  REGEXMATCH(C12525, ""押金""), ""押金往來"",
  AND(E12525&lt;&gt;"""", F12525=""""), ""真實支出"",
  AND(E12525="""", F12525&lt;&gt;""""), ""真實收入"",
  TRUE, ""其他""
)"),"其他")</f>
        <v>其他</v>
      </c>
      <c r="K12525" s="270" t="str">
        <f t="shared" si="2"/>
        <v/>
      </c>
      <c r="L12525">
        <f t="shared" si="3"/>
        <v>0</v>
      </c>
    </row>
    <row r="12526">
      <c r="A12526" s="107"/>
      <c r="D12526" s="270"/>
      <c r="H12526" s="106" t="str">
        <f t="shared" si="1"/>
        <v/>
      </c>
      <c r="J12526" t="str">
        <f>IFERROR(__xludf.DUMMYFUNCTION("IFS(
  AND(REGEXMATCH(E12526, ""台銀籌備帳戶|玉山帳戶""), REGEXMATCH(C12526, ""薪資"")), ""分潤支出"",
  AND(REGEXMATCH(E12526, ""Ben帳戶|Elsa帳戶|Ben代墊|Ariel代墊|中信銀行共用""), REGEXMATCH(F12526, ""Ben帳戶|Elsa帳戶|Ben代墊|Ariel代墊|中信銀行共用"")), ""內部轉帳(忽略)"",
  AND(E12526&lt;&gt;"""", F12526&lt;&gt;"&amp;""""", NOT(REGEXMATCH(C12526, ""薪資""))), ""內部轉帳(忽略)"",
  REGEXMATCH(C12526, ""薪資""), ""薪資變動(不計入)"",
  REGEXMATCH(C12526, ""押金""), ""押金往來"",
  AND(E12526&lt;&gt;"""", F12526=""""), ""真實支出"",
  AND(E12526="""", F12526&lt;&gt;""""), ""真實收入"",
  TRUE, ""其他""
)"),"其他")</f>
        <v>其他</v>
      </c>
      <c r="K12526" s="270" t="str">
        <f t="shared" si="2"/>
        <v/>
      </c>
      <c r="L12526">
        <f t="shared" si="3"/>
        <v>0</v>
      </c>
    </row>
    <row r="12527">
      <c r="A12527" s="107"/>
      <c r="D12527" s="270"/>
      <c r="H12527" s="106" t="str">
        <f t="shared" si="1"/>
        <v/>
      </c>
      <c r="J12527" t="str">
        <f>IFERROR(__xludf.DUMMYFUNCTION("IFS(
  AND(REGEXMATCH(E12527, ""台銀籌備帳戶|玉山帳戶""), REGEXMATCH(C12527, ""薪資"")), ""分潤支出"",
  AND(REGEXMATCH(E12527, ""Ben帳戶|Elsa帳戶|Ben代墊|Ariel代墊|中信銀行共用""), REGEXMATCH(F12527, ""Ben帳戶|Elsa帳戶|Ben代墊|Ariel代墊|中信銀行共用"")), ""內部轉帳(忽略)"",
  AND(E12527&lt;&gt;"""", F12527&lt;&gt;"&amp;""""", NOT(REGEXMATCH(C12527, ""薪資""))), ""內部轉帳(忽略)"",
  REGEXMATCH(C12527, ""薪資""), ""薪資變動(不計入)"",
  REGEXMATCH(C12527, ""押金""), ""押金往來"",
  AND(E12527&lt;&gt;"""", F12527=""""), ""真實支出"",
  AND(E12527="""", F12527&lt;&gt;""""), ""真實收入"",
  TRUE, ""其他""
)"),"其他")</f>
        <v>其他</v>
      </c>
      <c r="K12527" s="270" t="str">
        <f t="shared" si="2"/>
        <v/>
      </c>
      <c r="L12527">
        <f t="shared" si="3"/>
        <v>0</v>
      </c>
    </row>
    <row r="12528">
      <c r="A12528" s="107"/>
      <c r="D12528" s="270"/>
      <c r="H12528" s="106" t="str">
        <f t="shared" si="1"/>
        <v/>
      </c>
      <c r="J12528" t="str">
        <f>IFERROR(__xludf.DUMMYFUNCTION("IFS(
  AND(REGEXMATCH(E12528, ""台銀籌備帳戶|玉山帳戶""), REGEXMATCH(C12528, ""薪資"")), ""分潤支出"",
  AND(REGEXMATCH(E12528, ""Ben帳戶|Elsa帳戶|Ben代墊|Ariel代墊|中信銀行共用""), REGEXMATCH(F12528, ""Ben帳戶|Elsa帳戶|Ben代墊|Ariel代墊|中信銀行共用"")), ""內部轉帳(忽略)"",
  AND(E12528&lt;&gt;"""", F12528&lt;&gt;"&amp;""""", NOT(REGEXMATCH(C12528, ""薪資""))), ""內部轉帳(忽略)"",
  REGEXMATCH(C12528, ""薪資""), ""薪資變動(不計入)"",
  REGEXMATCH(C12528, ""押金""), ""押金往來"",
  AND(E12528&lt;&gt;"""", F12528=""""), ""真實支出"",
  AND(E12528="""", F12528&lt;&gt;""""), ""真實收入"",
  TRUE, ""其他""
)"),"其他")</f>
        <v>其他</v>
      </c>
      <c r="K12528" s="270" t="str">
        <f t="shared" si="2"/>
        <v/>
      </c>
      <c r="L12528">
        <f t="shared" si="3"/>
        <v>0</v>
      </c>
    </row>
    <row r="12529">
      <c r="A12529" s="107"/>
      <c r="D12529" s="270"/>
      <c r="H12529" s="106" t="str">
        <f t="shared" si="1"/>
        <v/>
      </c>
      <c r="J12529" t="str">
        <f>IFERROR(__xludf.DUMMYFUNCTION("IFS(
  AND(REGEXMATCH(E12529, ""台銀籌備帳戶|玉山帳戶""), REGEXMATCH(C12529, ""薪資"")), ""分潤支出"",
  AND(REGEXMATCH(E12529, ""Ben帳戶|Elsa帳戶|Ben代墊|Ariel代墊|中信銀行共用""), REGEXMATCH(F12529, ""Ben帳戶|Elsa帳戶|Ben代墊|Ariel代墊|中信銀行共用"")), ""內部轉帳(忽略)"",
  AND(E12529&lt;&gt;"""", F12529&lt;&gt;"&amp;""""", NOT(REGEXMATCH(C12529, ""薪資""))), ""內部轉帳(忽略)"",
  REGEXMATCH(C12529, ""薪資""), ""薪資變動(不計入)"",
  REGEXMATCH(C12529, ""押金""), ""押金往來"",
  AND(E12529&lt;&gt;"""", F12529=""""), ""真實支出"",
  AND(E12529="""", F12529&lt;&gt;""""), ""真實收入"",
  TRUE, ""其他""
)"),"其他")</f>
        <v>其他</v>
      </c>
      <c r="K12529" s="270" t="str">
        <f t="shared" si="2"/>
        <v/>
      </c>
      <c r="L12529">
        <f t="shared" si="3"/>
        <v>0</v>
      </c>
    </row>
    <row r="12530">
      <c r="A12530" s="107"/>
      <c r="D12530" s="270"/>
      <c r="H12530" s="106" t="str">
        <f t="shared" si="1"/>
        <v/>
      </c>
      <c r="J12530" t="str">
        <f>IFERROR(__xludf.DUMMYFUNCTION("IFS(
  AND(REGEXMATCH(E12530, ""台銀籌備帳戶|玉山帳戶""), REGEXMATCH(C12530, ""薪資"")), ""分潤支出"",
  AND(REGEXMATCH(E12530, ""Ben帳戶|Elsa帳戶|Ben代墊|Ariel代墊|中信銀行共用""), REGEXMATCH(F12530, ""Ben帳戶|Elsa帳戶|Ben代墊|Ariel代墊|中信銀行共用"")), ""內部轉帳(忽略)"",
  AND(E12530&lt;&gt;"""", F12530&lt;&gt;"&amp;""""", NOT(REGEXMATCH(C12530, ""薪資""))), ""內部轉帳(忽略)"",
  REGEXMATCH(C12530, ""薪資""), ""薪資變動(不計入)"",
  REGEXMATCH(C12530, ""押金""), ""押金往來"",
  AND(E12530&lt;&gt;"""", F12530=""""), ""真實支出"",
  AND(E12530="""", F12530&lt;&gt;""""), ""真實收入"",
  TRUE, ""其他""
)"),"其他")</f>
        <v>其他</v>
      </c>
      <c r="K12530" s="270" t="str">
        <f t="shared" si="2"/>
        <v/>
      </c>
      <c r="L12530">
        <f t="shared" si="3"/>
        <v>0</v>
      </c>
    </row>
    <row r="12531">
      <c r="A12531" s="107"/>
      <c r="D12531" s="270"/>
      <c r="H12531" s="106" t="str">
        <f t="shared" si="1"/>
        <v/>
      </c>
      <c r="J12531" t="str">
        <f>IFERROR(__xludf.DUMMYFUNCTION("IFS(
  AND(REGEXMATCH(E12531, ""台銀籌備帳戶|玉山帳戶""), REGEXMATCH(C12531, ""薪資"")), ""分潤支出"",
  AND(REGEXMATCH(E12531, ""Ben帳戶|Elsa帳戶|Ben代墊|Ariel代墊|中信銀行共用""), REGEXMATCH(F12531, ""Ben帳戶|Elsa帳戶|Ben代墊|Ariel代墊|中信銀行共用"")), ""內部轉帳(忽略)"",
  AND(E12531&lt;&gt;"""", F12531&lt;&gt;"&amp;""""", NOT(REGEXMATCH(C12531, ""薪資""))), ""內部轉帳(忽略)"",
  REGEXMATCH(C12531, ""薪資""), ""薪資變動(不計入)"",
  REGEXMATCH(C12531, ""押金""), ""押金往來"",
  AND(E12531&lt;&gt;"""", F12531=""""), ""真實支出"",
  AND(E12531="""", F12531&lt;&gt;""""), ""真實收入"",
  TRUE, ""其他""
)"),"其他")</f>
        <v>其他</v>
      </c>
      <c r="K12531" s="270" t="str">
        <f t="shared" si="2"/>
        <v/>
      </c>
      <c r="L12531">
        <f t="shared" si="3"/>
        <v>0</v>
      </c>
    </row>
    <row r="12532">
      <c r="A12532" s="107"/>
      <c r="D12532" s="270"/>
      <c r="H12532" s="106" t="str">
        <f t="shared" si="1"/>
        <v/>
      </c>
      <c r="J12532" t="str">
        <f>IFERROR(__xludf.DUMMYFUNCTION("IFS(
  AND(REGEXMATCH(E12532, ""台銀籌備帳戶|玉山帳戶""), REGEXMATCH(C12532, ""薪資"")), ""分潤支出"",
  AND(REGEXMATCH(E12532, ""Ben帳戶|Elsa帳戶|Ben代墊|Ariel代墊|中信銀行共用""), REGEXMATCH(F12532, ""Ben帳戶|Elsa帳戶|Ben代墊|Ariel代墊|中信銀行共用"")), ""內部轉帳(忽略)"",
  AND(E12532&lt;&gt;"""", F12532&lt;&gt;"&amp;""""", NOT(REGEXMATCH(C12532, ""薪資""))), ""內部轉帳(忽略)"",
  REGEXMATCH(C12532, ""薪資""), ""薪資變動(不計入)"",
  REGEXMATCH(C12532, ""押金""), ""押金往來"",
  AND(E12532&lt;&gt;"""", F12532=""""), ""真實支出"",
  AND(E12532="""", F12532&lt;&gt;""""), ""真實收入"",
  TRUE, ""其他""
)"),"其他")</f>
        <v>其他</v>
      </c>
      <c r="K12532" s="270" t="str">
        <f t="shared" si="2"/>
        <v/>
      </c>
      <c r="L12532">
        <f t="shared" si="3"/>
        <v>0</v>
      </c>
    </row>
    <row r="12533">
      <c r="A12533" s="107"/>
      <c r="D12533" s="270"/>
      <c r="H12533" s="106" t="str">
        <f t="shared" si="1"/>
        <v/>
      </c>
      <c r="J12533" t="str">
        <f>IFERROR(__xludf.DUMMYFUNCTION("IFS(
  AND(REGEXMATCH(E12533, ""台銀籌備帳戶|玉山帳戶""), REGEXMATCH(C12533, ""薪資"")), ""分潤支出"",
  AND(REGEXMATCH(E12533, ""Ben帳戶|Elsa帳戶|Ben代墊|Ariel代墊|中信銀行共用""), REGEXMATCH(F12533, ""Ben帳戶|Elsa帳戶|Ben代墊|Ariel代墊|中信銀行共用"")), ""內部轉帳(忽略)"",
  AND(E12533&lt;&gt;"""", F12533&lt;&gt;"&amp;""""", NOT(REGEXMATCH(C12533, ""薪資""))), ""內部轉帳(忽略)"",
  REGEXMATCH(C12533, ""薪資""), ""薪資變動(不計入)"",
  REGEXMATCH(C12533, ""押金""), ""押金往來"",
  AND(E12533&lt;&gt;"""", F12533=""""), ""真實支出"",
  AND(E12533="""", F12533&lt;&gt;""""), ""真實收入"",
  TRUE, ""其他""
)"),"其他")</f>
        <v>其他</v>
      </c>
      <c r="K12533" s="270" t="str">
        <f t="shared" si="2"/>
        <v/>
      </c>
      <c r="L12533">
        <f t="shared" si="3"/>
        <v>0</v>
      </c>
    </row>
    <row r="12534">
      <c r="A12534" s="107"/>
      <c r="D12534" s="270"/>
      <c r="H12534" s="106" t="str">
        <f t="shared" si="1"/>
        <v/>
      </c>
      <c r="J12534" t="str">
        <f>IFERROR(__xludf.DUMMYFUNCTION("IFS(
  AND(REGEXMATCH(E12534, ""台銀籌備帳戶|玉山帳戶""), REGEXMATCH(C12534, ""薪資"")), ""分潤支出"",
  AND(REGEXMATCH(E12534, ""Ben帳戶|Elsa帳戶|Ben代墊|Ariel代墊|中信銀行共用""), REGEXMATCH(F12534, ""Ben帳戶|Elsa帳戶|Ben代墊|Ariel代墊|中信銀行共用"")), ""內部轉帳(忽略)"",
  AND(E12534&lt;&gt;"""", F12534&lt;&gt;"&amp;""""", NOT(REGEXMATCH(C12534, ""薪資""))), ""內部轉帳(忽略)"",
  REGEXMATCH(C12534, ""薪資""), ""薪資變動(不計入)"",
  REGEXMATCH(C12534, ""押金""), ""押金往來"",
  AND(E12534&lt;&gt;"""", F12534=""""), ""真實支出"",
  AND(E12534="""", F12534&lt;&gt;""""), ""真實收入"",
  TRUE, ""其他""
)"),"其他")</f>
        <v>其他</v>
      </c>
      <c r="K12534" s="270" t="str">
        <f t="shared" si="2"/>
        <v/>
      </c>
      <c r="L12534">
        <f t="shared" si="3"/>
        <v>0</v>
      </c>
    </row>
    <row r="12535">
      <c r="A12535" s="107"/>
      <c r="D12535" s="270"/>
      <c r="H12535" s="106" t="str">
        <f t="shared" si="1"/>
        <v/>
      </c>
      <c r="J12535" t="str">
        <f>IFERROR(__xludf.DUMMYFUNCTION("IFS(
  AND(REGEXMATCH(E12535, ""台銀籌備帳戶|玉山帳戶""), REGEXMATCH(C12535, ""薪資"")), ""分潤支出"",
  AND(REGEXMATCH(E12535, ""Ben帳戶|Elsa帳戶|Ben代墊|Ariel代墊|中信銀行共用""), REGEXMATCH(F12535, ""Ben帳戶|Elsa帳戶|Ben代墊|Ariel代墊|中信銀行共用"")), ""內部轉帳(忽略)"",
  AND(E12535&lt;&gt;"""", F12535&lt;&gt;"&amp;""""", NOT(REGEXMATCH(C12535, ""薪資""))), ""內部轉帳(忽略)"",
  REGEXMATCH(C12535, ""薪資""), ""薪資變動(不計入)"",
  REGEXMATCH(C12535, ""押金""), ""押金往來"",
  AND(E12535&lt;&gt;"""", F12535=""""), ""真實支出"",
  AND(E12535="""", F12535&lt;&gt;""""), ""真實收入"",
  TRUE, ""其他""
)"),"其他")</f>
        <v>其他</v>
      </c>
      <c r="K12535" s="270" t="str">
        <f t="shared" si="2"/>
        <v/>
      </c>
      <c r="L12535">
        <f t="shared" si="3"/>
        <v>0</v>
      </c>
    </row>
    <row r="12536">
      <c r="A12536" s="107"/>
      <c r="D12536" s="270"/>
      <c r="H12536" s="106" t="str">
        <f t="shared" si="1"/>
        <v/>
      </c>
      <c r="J12536" t="str">
        <f>IFERROR(__xludf.DUMMYFUNCTION("IFS(
  AND(REGEXMATCH(E12536, ""台銀籌備帳戶|玉山帳戶""), REGEXMATCH(C12536, ""薪資"")), ""分潤支出"",
  AND(REGEXMATCH(E12536, ""Ben帳戶|Elsa帳戶|Ben代墊|Ariel代墊|中信銀行共用""), REGEXMATCH(F12536, ""Ben帳戶|Elsa帳戶|Ben代墊|Ariel代墊|中信銀行共用"")), ""內部轉帳(忽略)"",
  AND(E12536&lt;&gt;"""", F12536&lt;&gt;"&amp;""""", NOT(REGEXMATCH(C12536, ""薪資""))), ""內部轉帳(忽略)"",
  REGEXMATCH(C12536, ""薪資""), ""薪資變動(不計入)"",
  REGEXMATCH(C12536, ""押金""), ""押金往來"",
  AND(E12536&lt;&gt;"""", F12536=""""), ""真實支出"",
  AND(E12536="""", F12536&lt;&gt;""""), ""真實收入"",
  TRUE, ""其他""
)"),"其他")</f>
        <v>其他</v>
      </c>
      <c r="K12536" s="270" t="str">
        <f t="shared" si="2"/>
        <v/>
      </c>
      <c r="L12536">
        <f t="shared" si="3"/>
        <v>0</v>
      </c>
    </row>
    <row r="12537">
      <c r="A12537" s="107"/>
      <c r="D12537" s="270"/>
      <c r="H12537" s="106" t="str">
        <f t="shared" si="1"/>
        <v/>
      </c>
      <c r="J12537" t="str">
        <f>IFERROR(__xludf.DUMMYFUNCTION("IFS(
  AND(REGEXMATCH(E12537, ""台銀籌備帳戶|玉山帳戶""), REGEXMATCH(C12537, ""薪資"")), ""分潤支出"",
  AND(REGEXMATCH(E12537, ""Ben帳戶|Elsa帳戶|Ben代墊|Ariel代墊|中信銀行共用""), REGEXMATCH(F12537, ""Ben帳戶|Elsa帳戶|Ben代墊|Ariel代墊|中信銀行共用"")), ""內部轉帳(忽略)"",
  AND(E12537&lt;&gt;"""", F12537&lt;&gt;"&amp;""""", NOT(REGEXMATCH(C12537, ""薪資""))), ""內部轉帳(忽略)"",
  REGEXMATCH(C12537, ""薪資""), ""薪資變動(不計入)"",
  REGEXMATCH(C12537, ""押金""), ""押金往來"",
  AND(E12537&lt;&gt;"""", F12537=""""), ""真實支出"",
  AND(E12537="""", F12537&lt;&gt;""""), ""真實收入"",
  TRUE, ""其他""
)"),"其他")</f>
        <v>其他</v>
      </c>
      <c r="K12537" s="270" t="str">
        <f t="shared" si="2"/>
        <v/>
      </c>
      <c r="L12537">
        <f t="shared" si="3"/>
        <v>0</v>
      </c>
    </row>
    <row r="12538">
      <c r="A12538" s="107"/>
      <c r="D12538" s="270"/>
      <c r="H12538" s="106" t="str">
        <f t="shared" si="1"/>
        <v/>
      </c>
      <c r="J12538" t="str">
        <f>IFERROR(__xludf.DUMMYFUNCTION("IFS(
  AND(REGEXMATCH(E12538, ""台銀籌備帳戶|玉山帳戶""), REGEXMATCH(C12538, ""薪資"")), ""分潤支出"",
  AND(REGEXMATCH(E12538, ""Ben帳戶|Elsa帳戶|Ben代墊|Ariel代墊|中信銀行共用""), REGEXMATCH(F12538, ""Ben帳戶|Elsa帳戶|Ben代墊|Ariel代墊|中信銀行共用"")), ""內部轉帳(忽略)"",
  AND(E12538&lt;&gt;"""", F12538&lt;&gt;"&amp;""""", NOT(REGEXMATCH(C12538, ""薪資""))), ""內部轉帳(忽略)"",
  REGEXMATCH(C12538, ""薪資""), ""薪資變動(不計入)"",
  REGEXMATCH(C12538, ""押金""), ""押金往來"",
  AND(E12538&lt;&gt;"""", F12538=""""), ""真實支出"",
  AND(E12538="""", F12538&lt;&gt;""""), ""真實收入"",
  TRUE, ""其他""
)"),"其他")</f>
        <v>其他</v>
      </c>
      <c r="K12538" s="270" t="str">
        <f t="shared" si="2"/>
        <v/>
      </c>
      <c r="L12538">
        <f t="shared" si="3"/>
        <v>0</v>
      </c>
    </row>
    <row r="12539">
      <c r="A12539" s="107"/>
      <c r="D12539" s="270"/>
      <c r="H12539" s="106" t="str">
        <f t="shared" si="1"/>
        <v/>
      </c>
      <c r="J12539" t="str">
        <f>IFERROR(__xludf.DUMMYFUNCTION("IFS(
  AND(REGEXMATCH(E12539, ""台銀籌備帳戶|玉山帳戶""), REGEXMATCH(C12539, ""薪資"")), ""分潤支出"",
  AND(REGEXMATCH(E12539, ""Ben帳戶|Elsa帳戶|Ben代墊|Ariel代墊|中信銀行共用""), REGEXMATCH(F12539, ""Ben帳戶|Elsa帳戶|Ben代墊|Ariel代墊|中信銀行共用"")), ""內部轉帳(忽略)"",
  AND(E12539&lt;&gt;"""", F12539&lt;&gt;"&amp;""""", NOT(REGEXMATCH(C12539, ""薪資""))), ""內部轉帳(忽略)"",
  REGEXMATCH(C12539, ""薪資""), ""薪資變動(不計入)"",
  REGEXMATCH(C12539, ""押金""), ""押金往來"",
  AND(E12539&lt;&gt;"""", F12539=""""), ""真實支出"",
  AND(E12539="""", F12539&lt;&gt;""""), ""真實收入"",
  TRUE, ""其他""
)"),"其他")</f>
        <v>其他</v>
      </c>
      <c r="K12539" s="270" t="str">
        <f t="shared" si="2"/>
        <v/>
      </c>
      <c r="L12539">
        <f t="shared" si="3"/>
        <v>0</v>
      </c>
    </row>
    <row r="12540">
      <c r="A12540" s="107"/>
      <c r="D12540" s="270"/>
      <c r="H12540" s="106" t="str">
        <f t="shared" si="1"/>
        <v/>
      </c>
      <c r="J12540" t="str">
        <f>IFERROR(__xludf.DUMMYFUNCTION("IFS(
  AND(REGEXMATCH(E12540, ""台銀籌備帳戶|玉山帳戶""), REGEXMATCH(C12540, ""薪資"")), ""分潤支出"",
  AND(REGEXMATCH(E12540, ""Ben帳戶|Elsa帳戶|Ben代墊|Ariel代墊|中信銀行共用""), REGEXMATCH(F12540, ""Ben帳戶|Elsa帳戶|Ben代墊|Ariel代墊|中信銀行共用"")), ""內部轉帳(忽略)"",
  AND(E12540&lt;&gt;"""", F12540&lt;&gt;"&amp;""""", NOT(REGEXMATCH(C12540, ""薪資""))), ""內部轉帳(忽略)"",
  REGEXMATCH(C12540, ""薪資""), ""薪資變動(不計入)"",
  REGEXMATCH(C12540, ""押金""), ""押金往來"",
  AND(E12540&lt;&gt;"""", F12540=""""), ""真實支出"",
  AND(E12540="""", F12540&lt;&gt;""""), ""真實收入"",
  TRUE, ""其他""
)"),"其他")</f>
        <v>其他</v>
      </c>
      <c r="K12540" s="270" t="str">
        <f t="shared" si="2"/>
        <v/>
      </c>
      <c r="L12540">
        <f t="shared" si="3"/>
        <v>0</v>
      </c>
    </row>
    <row r="12541">
      <c r="A12541" s="107"/>
      <c r="D12541" s="270"/>
      <c r="H12541" s="106" t="str">
        <f t="shared" si="1"/>
        <v/>
      </c>
      <c r="J12541" t="str">
        <f>IFERROR(__xludf.DUMMYFUNCTION("IFS(
  AND(REGEXMATCH(E12541, ""台銀籌備帳戶|玉山帳戶""), REGEXMATCH(C12541, ""薪資"")), ""分潤支出"",
  AND(REGEXMATCH(E12541, ""Ben帳戶|Elsa帳戶|Ben代墊|Ariel代墊|中信銀行共用""), REGEXMATCH(F12541, ""Ben帳戶|Elsa帳戶|Ben代墊|Ariel代墊|中信銀行共用"")), ""內部轉帳(忽略)"",
  AND(E12541&lt;&gt;"""", F12541&lt;&gt;"&amp;""""", NOT(REGEXMATCH(C12541, ""薪資""))), ""內部轉帳(忽略)"",
  REGEXMATCH(C12541, ""薪資""), ""薪資變動(不計入)"",
  REGEXMATCH(C12541, ""押金""), ""押金往來"",
  AND(E12541&lt;&gt;"""", F12541=""""), ""真實支出"",
  AND(E12541="""", F12541&lt;&gt;""""), ""真實收入"",
  TRUE, ""其他""
)"),"其他")</f>
        <v>其他</v>
      </c>
      <c r="K12541" s="270" t="str">
        <f t="shared" si="2"/>
        <v/>
      </c>
      <c r="L12541">
        <f t="shared" si="3"/>
        <v>0</v>
      </c>
    </row>
    <row r="12542">
      <c r="A12542" s="107"/>
      <c r="D12542" s="270"/>
      <c r="H12542" s="106" t="str">
        <f t="shared" si="1"/>
        <v/>
      </c>
      <c r="J12542" t="str">
        <f>IFERROR(__xludf.DUMMYFUNCTION("IFS(
  AND(REGEXMATCH(E12542, ""台銀籌備帳戶|玉山帳戶""), REGEXMATCH(C12542, ""薪資"")), ""分潤支出"",
  AND(REGEXMATCH(E12542, ""Ben帳戶|Elsa帳戶|Ben代墊|Ariel代墊|中信銀行共用""), REGEXMATCH(F12542, ""Ben帳戶|Elsa帳戶|Ben代墊|Ariel代墊|中信銀行共用"")), ""內部轉帳(忽略)"",
  AND(E12542&lt;&gt;"""", F12542&lt;&gt;"&amp;""""", NOT(REGEXMATCH(C12542, ""薪資""))), ""內部轉帳(忽略)"",
  REGEXMATCH(C12542, ""薪資""), ""薪資變動(不計入)"",
  REGEXMATCH(C12542, ""押金""), ""押金往來"",
  AND(E12542&lt;&gt;"""", F12542=""""), ""真實支出"",
  AND(E12542="""", F12542&lt;&gt;""""), ""真實收入"",
  TRUE, ""其他""
)"),"其他")</f>
        <v>其他</v>
      </c>
      <c r="K12542" s="270" t="str">
        <f t="shared" si="2"/>
        <v/>
      </c>
      <c r="L12542">
        <f t="shared" si="3"/>
        <v>0</v>
      </c>
    </row>
    <row r="12543">
      <c r="A12543" s="107"/>
      <c r="D12543" s="270"/>
      <c r="H12543" s="106" t="str">
        <f t="shared" si="1"/>
        <v/>
      </c>
      <c r="J12543" t="str">
        <f>IFERROR(__xludf.DUMMYFUNCTION("IFS(
  AND(REGEXMATCH(E12543, ""台銀籌備帳戶|玉山帳戶""), REGEXMATCH(C12543, ""薪資"")), ""分潤支出"",
  AND(REGEXMATCH(E12543, ""Ben帳戶|Elsa帳戶|Ben代墊|Ariel代墊|中信銀行共用""), REGEXMATCH(F12543, ""Ben帳戶|Elsa帳戶|Ben代墊|Ariel代墊|中信銀行共用"")), ""內部轉帳(忽略)"",
  AND(E12543&lt;&gt;"""", F12543&lt;&gt;"&amp;""""", NOT(REGEXMATCH(C12543, ""薪資""))), ""內部轉帳(忽略)"",
  REGEXMATCH(C12543, ""薪資""), ""薪資變動(不計入)"",
  REGEXMATCH(C12543, ""押金""), ""押金往來"",
  AND(E12543&lt;&gt;"""", F12543=""""), ""真實支出"",
  AND(E12543="""", F12543&lt;&gt;""""), ""真實收入"",
  TRUE, ""其他""
)"),"其他")</f>
        <v>其他</v>
      </c>
      <c r="K12543" s="270" t="str">
        <f t="shared" si="2"/>
        <v/>
      </c>
      <c r="L12543">
        <f t="shared" si="3"/>
        <v>0</v>
      </c>
    </row>
    <row r="12544">
      <c r="A12544" s="107"/>
      <c r="D12544" s="270"/>
      <c r="H12544" s="106" t="str">
        <f t="shared" si="1"/>
        <v/>
      </c>
      <c r="J12544" t="str">
        <f>IFERROR(__xludf.DUMMYFUNCTION("IFS(
  AND(REGEXMATCH(E12544, ""台銀籌備帳戶|玉山帳戶""), REGEXMATCH(C12544, ""薪資"")), ""分潤支出"",
  AND(REGEXMATCH(E12544, ""Ben帳戶|Elsa帳戶|Ben代墊|Ariel代墊|中信銀行共用""), REGEXMATCH(F12544, ""Ben帳戶|Elsa帳戶|Ben代墊|Ariel代墊|中信銀行共用"")), ""內部轉帳(忽略)"",
  AND(E12544&lt;&gt;"""", F12544&lt;&gt;"&amp;""""", NOT(REGEXMATCH(C12544, ""薪資""))), ""內部轉帳(忽略)"",
  REGEXMATCH(C12544, ""薪資""), ""薪資變動(不計入)"",
  REGEXMATCH(C12544, ""押金""), ""押金往來"",
  AND(E12544&lt;&gt;"""", F12544=""""), ""真實支出"",
  AND(E12544="""", F12544&lt;&gt;""""), ""真實收入"",
  TRUE, ""其他""
)"),"其他")</f>
        <v>其他</v>
      </c>
      <c r="K12544" s="270" t="str">
        <f t="shared" si="2"/>
        <v/>
      </c>
      <c r="L12544">
        <f t="shared" si="3"/>
        <v>0</v>
      </c>
    </row>
    <row r="12545">
      <c r="A12545" s="107"/>
      <c r="D12545" s="270"/>
      <c r="H12545" s="106" t="str">
        <f t="shared" si="1"/>
        <v/>
      </c>
      <c r="J12545" t="str">
        <f>IFERROR(__xludf.DUMMYFUNCTION("IFS(
  AND(REGEXMATCH(E12545, ""台銀籌備帳戶|玉山帳戶""), REGEXMATCH(C12545, ""薪資"")), ""分潤支出"",
  AND(REGEXMATCH(E12545, ""Ben帳戶|Elsa帳戶|Ben代墊|Ariel代墊|中信銀行共用""), REGEXMATCH(F12545, ""Ben帳戶|Elsa帳戶|Ben代墊|Ariel代墊|中信銀行共用"")), ""內部轉帳(忽略)"",
  AND(E12545&lt;&gt;"""", F12545&lt;&gt;"&amp;""""", NOT(REGEXMATCH(C12545, ""薪資""))), ""內部轉帳(忽略)"",
  REGEXMATCH(C12545, ""薪資""), ""薪資變動(不計入)"",
  REGEXMATCH(C12545, ""押金""), ""押金往來"",
  AND(E12545&lt;&gt;"""", F12545=""""), ""真實支出"",
  AND(E12545="""", F12545&lt;&gt;""""), ""真實收入"",
  TRUE, ""其他""
)"),"其他")</f>
        <v>其他</v>
      </c>
      <c r="K12545" s="270" t="str">
        <f t="shared" si="2"/>
        <v/>
      </c>
      <c r="L12545">
        <f t="shared" si="3"/>
        <v>0</v>
      </c>
    </row>
    <row r="12546">
      <c r="A12546" s="107"/>
      <c r="D12546" s="270"/>
      <c r="H12546" s="106" t="str">
        <f t="shared" si="1"/>
        <v/>
      </c>
      <c r="J12546" t="str">
        <f>IFERROR(__xludf.DUMMYFUNCTION("IFS(
  AND(REGEXMATCH(E12546, ""台銀籌備帳戶|玉山帳戶""), REGEXMATCH(C12546, ""薪資"")), ""分潤支出"",
  AND(REGEXMATCH(E12546, ""Ben帳戶|Elsa帳戶|Ben代墊|Ariel代墊|中信銀行共用""), REGEXMATCH(F12546, ""Ben帳戶|Elsa帳戶|Ben代墊|Ariel代墊|中信銀行共用"")), ""內部轉帳(忽略)"",
  AND(E12546&lt;&gt;"""", F12546&lt;&gt;"&amp;""""", NOT(REGEXMATCH(C12546, ""薪資""))), ""內部轉帳(忽略)"",
  REGEXMATCH(C12546, ""薪資""), ""薪資變動(不計入)"",
  REGEXMATCH(C12546, ""押金""), ""押金往來"",
  AND(E12546&lt;&gt;"""", F12546=""""), ""真實支出"",
  AND(E12546="""", F12546&lt;&gt;""""), ""真實收入"",
  TRUE, ""其他""
)"),"其他")</f>
        <v>其他</v>
      </c>
      <c r="K12546" s="270" t="str">
        <f t="shared" si="2"/>
        <v/>
      </c>
      <c r="L12546">
        <f t="shared" si="3"/>
        <v>0</v>
      </c>
    </row>
    <row r="12547">
      <c r="A12547" s="107"/>
      <c r="D12547" s="270"/>
      <c r="H12547" s="106" t="str">
        <f t="shared" si="1"/>
        <v/>
      </c>
      <c r="J12547" t="str">
        <f>IFERROR(__xludf.DUMMYFUNCTION("IFS(
  AND(REGEXMATCH(E12547, ""台銀籌備帳戶|玉山帳戶""), REGEXMATCH(C12547, ""薪資"")), ""分潤支出"",
  AND(REGEXMATCH(E12547, ""Ben帳戶|Elsa帳戶|Ben代墊|Ariel代墊|中信銀行共用""), REGEXMATCH(F12547, ""Ben帳戶|Elsa帳戶|Ben代墊|Ariel代墊|中信銀行共用"")), ""內部轉帳(忽略)"",
  AND(E12547&lt;&gt;"""", F12547&lt;&gt;"&amp;""""", NOT(REGEXMATCH(C12547, ""薪資""))), ""內部轉帳(忽略)"",
  REGEXMATCH(C12547, ""薪資""), ""薪資變動(不計入)"",
  REGEXMATCH(C12547, ""押金""), ""押金往來"",
  AND(E12547&lt;&gt;"""", F12547=""""), ""真實支出"",
  AND(E12547="""", F12547&lt;&gt;""""), ""真實收入"",
  TRUE, ""其他""
)"),"其他")</f>
        <v>其他</v>
      </c>
      <c r="K12547" s="270" t="str">
        <f t="shared" si="2"/>
        <v/>
      </c>
      <c r="L12547">
        <f t="shared" si="3"/>
        <v>0</v>
      </c>
    </row>
    <row r="12548">
      <c r="A12548" s="107"/>
      <c r="D12548" s="270"/>
      <c r="H12548" s="106" t="str">
        <f t="shared" si="1"/>
        <v/>
      </c>
      <c r="J12548" t="str">
        <f>IFERROR(__xludf.DUMMYFUNCTION("IFS(
  AND(REGEXMATCH(E12548, ""台銀籌備帳戶|玉山帳戶""), REGEXMATCH(C12548, ""薪資"")), ""分潤支出"",
  AND(REGEXMATCH(E12548, ""Ben帳戶|Elsa帳戶|Ben代墊|Ariel代墊|中信銀行共用""), REGEXMATCH(F12548, ""Ben帳戶|Elsa帳戶|Ben代墊|Ariel代墊|中信銀行共用"")), ""內部轉帳(忽略)"",
  AND(E12548&lt;&gt;"""", F12548&lt;&gt;"&amp;""""", NOT(REGEXMATCH(C12548, ""薪資""))), ""內部轉帳(忽略)"",
  REGEXMATCH(C12548, ""薪資""), ""薪資變動(不計入)"",
  REGEXMATCH(C12548, ""押金""), ""押金往來"",
  AND(E12548&lt;&gt;"""", F12548=""""), ""真實支出"",
  AND(E12548="""", F12548&lt;&gt;""""), ""真實收入"",
  TRUE, ""其他""
)"),"其他")</f>
        <v>其他</v>
      </c>
      <c r="K12548" s="270" t="str">
        <f t="shared" si="2"/>
        <v/>
      </c>
      <c r="L12548">
        <f t="shared" si="3"/>
        <v>0</v>
      </c>
    </row>
    <row r="12549">
      <c r="A12549" s="107"/>
      <c r="D12549" s="270"/>
      <c r="H12549" s="106" t="str">
        <f t="shared" si="1"/>
        <v/>
      </c>
      <c r="J12549" t="str">
        <f>IFERROR(__xludf.DUMMYFUNCTION("IFS(
  AND(REGEXMATCH(E12549, ""台銀籌備帳戶|玉山帳戶""), REGEXMATCH(C12549, ""薪資"")), ""分潤支出"",
  AND(REGEXMATCH(E12549, ""Ben帳戶|Elsa帳戶|Ben代墊|Ariel代墊|中信銀行共用""), REGEXMATCH(F12549, ""Ben帳戶|Elsa帳戶|Ben代墊|Ariel代墊|中信銀行共用"")), ""內部轉帳(忽略)"",
  AND(E12549&lt;&gt;"""", F12549&lt;&gt;"&amp;""""", NOT(REGEXMATCH(C12549, ""薪資""))), ""內部轉帳(忽略)"",
  REGEXMATCH(C12549, ""薪資""), ""薪資變動(不計入)"",
  REGEXMATCH(C12549, ""押金""), ""押金往來"",
  AND(E12549&lt;&gt;"""", F12549=""""), ""真實支出"",
  AND(E12549="""", F12549&lt;&gt;""""), ""真實收入"",
  TRUE, ""其他""
)"),"其他")</f>
        <v>其他</v>
      </c>
      <c r="K12549" s="270" t="str">
        <f t="shared" si="2"/>
        <v/>
      </c>
      <c r="L12549">
        <f t="shared" si="3"/>
        <v>0</v>
      </c>
    </row>
    <row r="12550">
      <c r="A12550" s="107"/>
      <c r="D12550" s="270"/>
      <c r="H12550" s="106" t="str">
        <f t="shared" si="1"/>
        <v/>
      </c>
      <c r="J12550" t="str">
        <f>IFERROR(__xludf.DUMMYFUNCTION("IFS(
  AND(REGEXMATCH(E12550, ""台銀籌備帳戶|玉山帳戶""), REGEXMATCH(C12550, ""薪資"")), ""分潤支出"",
  AND(REGEXMATCH(E12550, ""Ben帳戶|Elsa帳戶|Ben代墊|Ariel代墊|中信銀行共用""), REGEXMATCH(F12550, ""Ben帳戶|Elsa帳戶|Ben代墊|Ariel代墊|中信銀行共用"")), ""內部轉帳(忽略)"",
  AND(E12550&lt;&gt;"""", F12550&lt;&gt;"&amp;""""", NOT(REGEXMATCH(C12550, ""薪資""))), ""內部轉帳(忽略)"",
  REGEXMATCH(C12550, ""薪資""), ""薪資變動(不計入)"",
  REGEXMATCH(C12550, ""押金""), ""押金往來"",
  AND(E12550&lt;&gt;"""", F12550=""""), ""真實支出"",
  AND(E12550="""", F12550&lt;&gt;""""), ""真實收入"",
  TRUE, ""其他""
)"),"其他")</f>
        <v>其他</v>
      </c>
      <c r="K12550" s="270" t="str">
        <f t="shared" si="2"/>
        <v/>
      </c>
      <c r="L12550">
        <f t="shared" si="3"/>
        <v>0</v>
      </c>
    </row>
    <row r="12551">
      <c r="A12551" s="107"/>
      <c r="D12551" s="270"/>
      <c r="H12551" s="106" t="str">
        <f t="shared" si="1"/>
        <v/>
      </c>
      <c r="J12551" t="str">
        <f>IFERROR(__xludf.DUMMYFUNCTION("IFS(
  AND(REGEXMATCH(E12551, ""台銀籌備帳戶|玉山帳戶""), REGEXMATCH(C12551, ""薪資"")), ""分潤支出"",
  AND(REGEXMATCH(E12551, ""Ben帳戶|Elsa帳戶|Ben代墊|Ariel代墊|中信銀行共用""), REGEXMATCH(F12551, ""Ben帳戶|Elsa帳戶|Ben代墊|Ariel代墊|中信銀行共用"")), ""內部轉帳(忽略)"",
  AND(E12551&lt;&gt;"""", F12551&lt;&gt;"&amp;""""", NOT(REGEXMATCH(C12551, ""薪資""))), ""內部轉帳(忽略)"",
  REGEXMATCH(C12551, ""薪資""), ""薪資變動(不計入)"",
  REGEXMATCH(C12551, ""押金""), ""押金往來"",
  AND(E12551&lt;&gt;"""", F12551=""""), ""真實支出"",
  AND(E12551="""", F12551&lt;&gt;""""), ""真實收入"",
  TRUE, ""其他""
)"),"其他")</f>
        <v>其他</v>
      </c>
      <c r="K12551" s="270" t="str">
        <f t="shared" si="2"/>
        <v/>
      </c>
      <c r="L12551">
        <f t="shared" si="3"/>
        <v>0</v>
      </c>
    </row>
    <row r="12552">
      <c r="A12552" s="107"/>
      <c r="D12552" s="270"/>
      <c r="H12552" s="106" t="str">
        <f t="shared" si="1"/>
        <v/>
      </c>
      <c r="J12552" t="str">
        <f>IFERROR(__xludf.DUMMYFUNCTION("IFS(
  AND(REGEXMATCH(E12552, ""台銀籌備帳戶|玉山帳戶""), REGEXMATCH(C12552, ""薪資"")), ""分潤支出"",
  AND(REGEXMATCH(E12552, ""Ben帳戶|Elsa帳戶|Ben代墊|Ariel代墊|中信銀行共用""), REGEXMATCH(F12552, ""Ben帳戶|Elsa帳戶|Ben代墊|Ariel代墊|中信銀行共用"")), ""內部轉帳(忽略)"",
  AND(E12552&lt;&gt;"""", F12552&lt;&gt;"&amp;""""", NOT(REGEXMATCH(C12552, ""薪資""))), ""內部轉帳(忽略)"",
  REGEXMATCH(C12552, ""薪資""), ""薪資變動(不計入)"",
  REGEXMATCH(C12552, ""押金""), ""押金往來"",
  AND(E12552&lt;&gt;"""", F12552=""""), ""真實支出"",
  AND(E12552="""", F12552&lt;&gt;""""), ""真實收入"",
  TRUE, ""其他""
)"),"其他")</f>
        <v>其他</v>
      </c>
      <c r="K12552" s="270" t="str">
        <f t="shared" si="2"/>
        <v/>
      </c>
      <c r="L12552">
        <f t="shared" si="3"/>
        <v>0</v>
      </c>
    </row>
    <row r="12553">
      <c r="A12553" s="107"/>
      <c r="D12553" s="270"/>
      <c r="H12553" s="106" t="str">
        <f t="shared" si="1"/>
        <v/>
      </c>
      <c r="J12553" t="str">
        <f>IFERROR(__xludf.DUMMYFUNCTION("IFS(
  AND(REGEXMATCH(E12553, ""台銀籌備帳戶|玉山帳戶""), REGEXMATCH(C12553, ""薪資"")), ""分潤支出"",
  AND(REGEXMATCH(E12553, ""Ben帳戶|Elsa帳戶|Ben代墊|Ariel代墊|中信銀行共用""), REGEXMATCH(F12553, ""Ben帳戶|Elsa帳戶|Ben代墊|Ariel代墊|中信銀行共用"")), ""內部轉帳(忽略)"",
  AND(E12553&lt;&gt;"""", F12553&lt;&gt;"&amp;""""", NOT(REGEXMATCH(C12553, ""薪資""))), ""內部轉帳(忽略)"",
  REGEXMATCH(C12553, ""薪資""), ""薪資變動(不計入)"",
  REGEXMATCH(C12553, ""押金""), ""押金往來"",
  AND(E12553&lt;&gt;"""", F12553=""""), ""真實支出"",
  AND(E12553="""", F12553&lt;&gt;""""), ""真實收入"",
  TRUE, ""其他""
)"),"其他")</f>
        <v>其他</v>
      </c>
      <c r="K12553" s="270" t="str">
        <f t="shared" si="2"/>
        <v/>
      </c>
      <c r="L12553">
        <f t="shared" si="3"/>
        <v>0</v>
      </c>
    </row>
    <row r="12554">
      <c r="A12554" s="107"/>
      <c r="D12554" s="270"/>
      <c r="H12554" s="106" t="str">
        <f t="shared" si="1"/>
        <v/>
      </c>
      <c r="J12554" t="str">
        <f>IFERROR(__xludf.DUMMYFUNCTION("IFS(
  AND(REGEXMATCH(E12554, ""台銀籌備帳戶|玉山帳戶""), REGEXMATCH(C12554, ""薪資"")), ""分潤支出"",
  AND(REGEXMATCH(E12554, ""Ben帳戶|Elsa帳戶|Ben代墊|Ariel代墊|中信銀行共用""), REGEXMATCH(F12554, ""Ben帳戶|Elsa帳戶|Ben代墊|Ariel代墊|中信銀行共用"")), ""內部轉帳(忽略)"",
  AND(E12554&lt;&gt;"""", F12554&lt;&gt;"&amp;""""", NOT(REGEXMATCH(C12554, ""薪資""))), ""內部轉帳(忽略)"",
  REGEXMATCH(C12554, ""薪資""), ""薪資變動(不計入)"",
  REGEXMATCH(C12554, ""押金""), ""押金往來"",
  AND(E12554&lt;&gt;"""", F12554=""""), ""真實支出"",
  AND(E12554="""", F12554&lt;&gt;""""), ""真實收入"",
  TRUE, ""其他""
)"),"其他")</f>
        <v>其他</v>
      </c>
      <c r="K12554" s="270" t="str">
        <f t="shared" si="2"/>
        <v/>
      </c>
      <c r="L12554">
        <f t="shared" si="3"/>
        <v>0</v>
      </c>
    </row>
    <row r="12555">
      <c r="A12555" s="107"/>
      <c r="D12555" s="270"/>
      <c r="H12555" s="106" t="str">
        <f t="shared" si="1"/>
        <v/>
      </c>
      <c r="J12555" t="str">
        <f>IFERROR(__xludf.DUMMYFUNCTION("IFS(
  AND(REGEXMATCH(E12555, ""台銀籌備帳戶|玉山帳戶""), REGEXMATCH(C12555, ""薪資"")), ""分潤支出"",
  AND(REGEXMATCH(E12555, ""Ben帳戶|Elsa帳戶|Ben代墊|Ariel代墊|中信銀行共用""), REGEXMATCH(F12555, ""Ben帳戶|Elsa帳戶|Ben代墊|Ariel代墊|中信銀行共用"")), ""內部轉帳(忽略)"",
  AND(E12555&lt;&gt;"""", F12555&lt;&gt;"&amp;""""", NOT(REGEXMATCH(C12555, ""薪資""))), ""內部轉帳(忽略)"",
  REGEXMATCH(C12555, ""薪資""), ""薪資變動(不計入)"",
  REGEXMATCH(C12555, ""押金""), ""押金往來"",
  AND(E12555&lt;&gt;"""", F12555=""""), ""真實支出"",
  AND(E12555="""", F12555&lt;&gt;""""), ""真實收入"",
  TRUE, ""其他""
)"),"其他")</f>
        <v>其他</v>
      </c>
      <c r="K12555" s="270" t="str">
        <f t="shared" si="2"/>
        <v/>
      </c>
      <c r="L12555">
        <f t="shared" si="3"/>
        <v>0</v>
      </c>
    </row>
    <row r="12556">
      <c r="A12556" s="107"/>
      <c r="D12556" s="270"/>
      <c r="H12556" s="106" t="str">
        <f t="shared" si="1"/>
        <v/>
      </c>
      <c r="J12556" t="str">
        <f>IFERROR(__xludf.DUMMYFUNCTION("IFS(
  AND(REGEXMATCH(E12556, ""台銀籌備帳戶|玉山帳戶""), REGEXMATCH(C12556, ""薪資"")), ""分潤支出"",
  AND(REGEXMATCH(E12556, ""Ben帳戶|Elsa帳戶|Ben代墊|Ariel代墊|中信銀行共用""), REGEXMATCH(F12556, ""Ben帳戶|Elsa帳戶|Ben代墊|Ariel代墊|中信銀行共用"")), ""內部轉帳(忽略)"",
  AND(E12556&lt;&gt;"""", F12556&lt;&gt;"&amp;""""", NOT(REGEXMATCH(C12556, ""薪資""))), ""內部轉帳(忽略)"",
  REGEXMATCH(C12556, ""薪資""), ""薪資變動(不計入)"",
  REGEXMATCH(C12556, ""押金""), ""押金往來"",
  AND(E12556&lt;&gt;"""", F12556=""""), ""真實支出"",
  AND(E12556="""", F12556&lt;&gt;""""), ""真實收入"",
  TRUE, ""其他""
)"),"其他")</f>
        <v>其他</v>
      </c>
      <c r="K12556" s="270" t="str">
        <f t="shared" si="2"/>
        <v/>
      </c>
      <c r="L12556">
        <f t="shared" si="3"/>
        <v>0</v>
      </c>
    </row>
    <row r="12557">
      <c r="A12557" s="107"/>
      <c r="D12557" s="270"/>
      <c r="H12557" s="106" t="str">
        <f t="shared" si="1"/>
        <v/>
      </c>
      <c r="J12557" t="str">
        <f>IFERROR(__xludf.DUMMYFUNCTION("IFS(
  AND(REGEXMATCH(E12557, ""台銀籌備帳戶|玉山帳戶""), REGEXMATCH(C12557, ""薪資"")), ""分潤支出"",
  AND(REGEXMATCH(E12557, ""Ben帳戶|Elsa帳戶|Ben代墊|Ariel代墊|中信銀行共用""), REGEXMATCH(F12557, ""Ben帳戶|Elsa帳戶|Ben代墊|Ariel代墊|中信銀行共用"")), ""內部轉帳(忽略)"",
  AND(E12557&lt;&gt;"""", F12557&lt;&gt;"&amp;""""", NOT(REGEXMATCH(C12557, ""薪資""))), ""內部轉帳(忽略)"",
  REGEXMATCH(C12557, ""薪資""), ""薪資變動(不計入)"",
  REGEXMATCH(C12557, ""押金""), ""押金往來"",
  AND(E12557&lt;&gt;"""", F12557=""""), ""真實支出"",
  AND(E12557="""", F12557&lt;&gt;""""), ""真實收入"",
  TRUE, ""其他""
)"),"其他")</f>
        <v>其他</v>
      </c>
      <c r="K12557" s="270" t="str">
        <f t="shared" si="2"/>
        <v/>
      </c>
      <c r="L12557">
        <f t="shared" si="3"/>
        <v>0</v>
      </c>
    </row>
    <row r="12558">
      <c r="A12558" s="107"/>
      <c r="D12558" s="270"/>
      <c r="H12558" s="106" t="str">
        <f t="shared" si="1"/>
        <v/>
      </c>
      <c r="J12558" t="str">
        <f>IFERROR(__xludf.DUMMYFUNCTION("IFS(
  AND(REGEXMATCH(E12558, ""台銀籌備帳戶|玉山帳戶""), REGEXMATCH(C12558, ""薪資"")), ""分潤支出"",
  AND(REGEXMATCH(E12558, ""Ben帳戶|Elsa帳戶|Ben代墊|Ariel代墊|中信銀行共用""), REGEXMATCH(F12558, ""Ben帳戶|Elsa帳戶|Ben代墊|Ariel代墊|中信銀行共用"")), ""內部轉帳(忽略)"",
  AND(E12558&lt;&gt;"""", F12558&lt;&gt;"&amp;""""", NOT(REGEXMATCH(C12558, ""薪資""))), ""內部轉帳(忽略)"",
  REGEXMATCH(C12558, ""薪資""), ""薪資變動(不計入)"",
  REGEXMATCH(C12558, ""押金""), ""押金往來"",
  AND(E12558&lt;&gt;"""", F12558=""""), ""真實支出"",
  AND(E12558="""", F12558&lt;&gt;""""), ""真實收入"",
  TRUE, ""其他""
)"),"其他")</f>
        <v>其他</v>
      </c>
      <c r="K12558" s="270" t="str">
        <f t="shared" si="2"/>
        <v/>
      </c>
      <c r="L12558">
        <f t="shared" si="3"/>
        <v>0</v>
      </c>
    </row>
    <row r="12559">
      <c r="A12559" s="107"/>
      <c r="D12559" s="270"/>
      <c r="H12559" s="106" t="str">
        <f t="shared" si="1"/>
        <v/>
      </c>
      <c r="J12559" t="str">
        <f>IFERROR(__xludf.DUMMYFUNCTION("IFS(
  AND(REGEXMATCH(E12559, ""台銀籌備帳戶|玉山帳戶""), REGEXMATCH(C12559, ""薪資"")), ""分潤支出"",
  AND(REGEXMATCH(E12559, ""Ben帳戶|Elsa帳戶|Ben代墊|Ariel代墊|中信銀行共用""), REGEXMATCH(F12559, ""Ben帳戶|Elsa帳戶|Ben代墊|Ariel代墊|中信銀行共用"")), ""內部轉帳(忽略)"",
  AND(E12559&lt;&gt;"""", F12559&lt;&gt;"&amp;""""", NOT(REGEXMATCH(C12559, ""薪資""))), ""內部轉帳(忽略)"",
  REGEXMATCH(C12559, ""薪資""), ""薪資變動(不計入)"",
  REGEXMATCH(C12559, ""押金""), ""押金往來"",
  AND(E12559&lt;&gt;"""", F12559=""""), ""真實支出"",
  AND(E12559="""", F12559&lt;&gt;""""), ""真實收入"",
  TRUE, ""其他""
)"),"其他")</f>
        <v>其他</v>
      </c>
      <c r="K12559" s="270" t="str">
        <f t="shared" si="2"/>
        <v/>
      </c>
      <c r="L12559">
        <f t="shared" si="3"/>
        <v>0</v>
      </c>
    </row>
    <row r="12560">
      <c r="A12560" s="107"/>
      <c r="D12560" s="270"/>
      <c r="H12560" s="106" t="str">
        <f t="shared" si="1"/>
        <v/>
      </c>
      <c r="J12560" t="str">
        <f>IFERROR(__xludf.DUMMYFUNCTION("IFS(
  AND(REGEXMATCH(E12560, ""台銀籌備帳戶|玉山帳戶""), REGEXMATCH(C12560, ""薪資"")), ""分潤支出"",
  AND(REGEXMATCH(E12560, ""Ben帳戶|Elsa帳戶|Ben代墊|Ariel代墊|中信銀行共用""), REGEXMATCH(F12560, ""Ben帳戶|Elsa帳戶|Ben代墊|Ariel代墊|中信銀行共用"")), ""內部轉帳(忽略)"",
  AND(E12560&lt;&gt;"""", F12560&lt;&gt;"&amp;""""", NOT(REGEXMATCH(C12560, ""薪資""))), ""內部轉帳(忽略)"",
  REGEXMATCH(C12560, ""薪資""), ""薪資變動(不計入)"",
  REGEXMATCH(C12560, ""押金""), ""押金往來"",
  AND(E12560&lt;&gt;"""", F12560=""""), ""真實支出"",
  AND(E12560="""", F12560&lt;&gt;""""), ""真實收入"",
  TRUE, ""其他""
)"),"其他")</f>
        <v>其他</v>
      </c>
      <c r="K12560" s="270" t="str">
        <f t="shared" si="2"/>
        <v/>
      </c>
      <c r="L12560">
        <f t="shared" si="3"/>
        <v>0</v>
      </c>
    </row>
    <row r="12561">
      <c r="A12561" s="107"/>
      <c r="D12561" s="270"/>
      <c r="H12561" s="106" t="str">
        <f t="shared" si="1"/>
        <v/>
      </c>
      <c r="J12561" t="str">
        <f>IFERROR(__xludf.DUMMYFUNCTION("IFS(
  AND(REGEXMATCH(E12561, ""台銀籌備帳戶|玉山帳戶""), REGEXMATCH(C12561, ""薪資"")), ""分潤支出"",
  AND(REGEXMATCH(E12561, ""Ben帳戶|Elsa帳戶|Ben代墊|Ariel代墊|中信銀行共用""), REGEXMATCH(F12561, ""Ben帳戶|Elsa帳戶|Ben代墊|Ariel代墊|中信銀行共用"")), ""內部轉帳(忽略)"",
  AND(E12561&lt;&gt;"""", F12561&lt;&gt;"&amp;""""", NOT(REGEXMATCH(C12561, ""薪資""))), ""內部轉帳(忽略)"",
  REGEXMATCH(C12561, ""薪資""), ""薪資變動(不計入)"",
  REGEXMATCH(C12561, ""押金""), ""押金往來"",
  AND(E12561&lt;&gt;"""", F12561=""""), ""真實支出"",
  AND(E12561="""", F12561&lt;&gt;""""), ""真實收入"",
  TRUE, ""其他""
)"),"其他")</f>
        <v>其他</v>
      </c>
      <c r="K12561" s="270" t="str">
        <f t="shared" si="2"/>
        <v/>
      </c>
      <c r="L12561">
        <f t="shared" si="3"/>
        <v>0</v>
      </c>
    </row>
    <row r="12562">
      <c r="A12562" s="107"/>
      <c r="D12562" s="270"/>
      <c r="H12562" s="106" t="str">
        <f t="shared" si="1"/>
        <v/>
      </c>
      <c r="J12562" t="str">
        <f>IFERROR(__xludf.DUMMYFUNCTION("IFS(
  AND(REGEXMATCH(E12562, ""台銀籌備帳戶|玉山帳戶""), REGEXMATCH(C12562, ""薪資"")), ""分潤支出"",
  AND(REGEXMATCH(E12562, ""Ben帳戶|Elsa帳戶|Ben代墊|Ariel代墊|中信銀行共用""), REGEXMATCH(F12562, ""Ben帳戶|Elsa帳戶|Ben代墊|Ariel代墊|中信銀行共用"")), ""內部轉帳(忽略)"",
  AND(E12562&lt;&gt;"""", F12562&lt;&gt;"&amp;""""", NOT(REGEXMATCH(C12562, ""薪資""))), ""內部轉帳(忽略)"",
  REGEXMATCH(C12562, ""薪資""), ""薪資變動(不計入)"",
  REGEXMATCH(C12562, ""押金""), ""押金往來"",
  AND(E12562&lt;&gt;"""", F12562=""""), ""真實支出"",
  AND(E12562="""", F12562&lt;&gt;""""), ""真實收入"",
  TRUE, ""其他""
)"),"其他")</f>
        <v>其他</v>
      </c>
      <c r="K12562" s="270" t="str">
        <f t="shared" si="2"/>
        <v/>
      </c>
      <c r="L12562">
        <f t="shared" si="3"/>
        <v>0</v>
      </c>
    </row>
    <row r="12563">
      <c r="A12563" s="107"/>
      <c r="D12563" s="270"/>
      <c r="H12563" s="106" t="str">
        <f t="shared" si="1"/>
        <v/>
      </c>
      <c r="J12563" t="str">
        <f>IFERROR(__xludf.DUMMYFUNCTION("IFS(
  AND(REGEXMATCH(E12563, ""台銀籌備帳戶|玉山帳戶""), REGEXMATCH(C12563, ""薪資"")), ""分潤支出"",
  AND(REGEXMATCH(E12563, ""Ben帳戶|Elsa帳戶|Ben代墊|Ariel代墊|中信銀行共用""), REGEXMATCH(F12563, ""Ben帳戶|Elsa帳戶|Ben代墊|Ariel代墊|中信銀行共用"")), ""內部轉帳(忽略)"",
  AND(E12563&lt;&gt;"""", F12563&lt;&gt;"&amp;""""", NOT(REGEXMATCH(C12563, ""薪資""))), ""內部轉帳(忽略)"",
  REGEXMATCH(C12563, ""薪資""), ""薪資變動(不計入)"",
  REGEXMATCH(C12563, ""押金""), ""押金往來"",
  AND(E12563&lt;&gt;"""", F12563=""""), ""真實支出"",
  AND(E12563="""", F12563&lt;&gt;""""), ""真實收入"",
  TRUE, ""其他""
)"),"其他")</f>
        <v>其他</v>
      </c>
      <c r="K12563" s="270" t="str">
        <f t="shared" si="2"/>
        <v/>
      </c>
      <c r="L12563">
        <f t="shared" si="3"/>
        <v>0</v>
      </c>
    </row>
    <row r="12564">
      <c r="A12564" s="107"/>
      <c r="D12564" s="270"/>
      <c r="H12564" s="106" t="str">
        <f t="shared" si="1"/>
        <v/>
      </c>
      <c r="J12564" t="str">
        <f>IFERROR(__xludf.DUMMYFUNCTION("IFS(
  AND(REGEXMATCH(E12564, ""台銀籌備帳戶|玉山帳戶""), REGEXMATCH(C12564, ""薪資"")), ""分潤支出"",
  AND(REGEXMATCH(E12564, ""Ben帳戶|Elsa帳戶|Ben代墊|Ariel代墊|中信銀行共用""), REGEXMATCH(F12564, ""Ben帳戶|Elsa帳戶|Ben代墊|Ariel代墊|中信銀行共用"")), ""內部轉帳(忽略)"",
  AND(E12564&lt;&gt;"""", F12564&lt;&gt;"&amp;""""", NOT(REGEXMATCH(C12564, ""薪資""))), ""內部轉帳(忽略)"",
  REGEXMATCH(C12564, ""薪資""), ""薪資變動(不計入)"",
  REGEXMATCH(C12564, ""押金""), ""押金往來"",
  AND(E12564&lt;&gt;"""", F12564=""""), ""真實支出"",
  AND(E12564="""", F12564&lt;&gt;""""), ""真實收入"",
  TRUE, ""其他""
)"),"其他")</f>
        <v>其他</v>
      </c>
      <c r="K12564" s="270" t="str">
        <f t="shared" si="2"/>
        <v/>
      </c>
      <c r="L12564">
        <f t="shared" si="3"/>
        <v>0</v>
      </c>
    </row>
    <row r="12565">
      <c r="A12565" s="107"/>
      <c r="D12565" s="270"/>
      <c r="H12565" s="106" t="str">
        <f t="shared" si="1"/>
        <v/>
      </c>
      <c r="J12565" t="str">
        <f>IFERROR(__xludf.DUMMYFUNCTION("IFS(
  AND(REGEXMATCH(E12565, ""台銀籌備帳戶|玉山帳戶""), REGEXMATCH(C12565, ""薪資"")), ""分潤支出"",
  AND(REGEXMATCH(E12565, ""Ben帳戶|Elsa帳戶|Ben代墊|Ariel代墊|中信銀行共用""), REGEXMATCH(F12565, ""Ben帳戶|Elsa帳戶|Ben代墊|Ariel代墊|中信銀行共用"")), ""內部轉帳(忽略)"",
  AND(E12565&lt;&gt;"""", F12565&lt;&gt;"&amp;""""", NOT(REGEXMATCH(C12565, ""薪資""))), ""內部轉帳(忽略)"",
  REGEXMATCH(C12565, ""薪資""), ""薪資變動(不計入)"",
  REGEXMATCH(C12565, ""押金""), ""押金往來"",
  AND(E12565&lt;&gt;"""", F12565=""""), ""真實支出"",
  AND(E12565="""", F12565&lt;&gt;""""), ""真實收入"",
  TRUE, ""其他""
)"),"其他")</f>
        <v>其他</v>
      </c>
      <c r="K12565" s="270" t="str">
        <f t="shared" si="2"/>
        <v/>
      </c>
      <c r="L12565">
        <f t="shared" si="3"/>
        <v>0</v>
      </c>
    </row>
    <row r="12566">
      <c r="A12566" s="107"/>
      <c r="D12566" s="270"/>
      <c r="H12566" s="106" t="str">
        <f t="shared" si="1"/>
        <v/>
      </c>
      <c r="J12566" t="str">
        <f>IFERROR(__xludf.DUMMYFUNCTION("IFS(
  AND(REGEXMATCH(E12566, ""台銀籌備帳戶|玉山帳戶""), REGEXMATCH(C12566, ""薪資"")), ""分潤支出"",
  AND(REGEXMATCH(E12566, ""Ben帳戶|Elsa帳戶|Ben代墊|Ariel代墊|中信銀行共用""), REGEXMATCH(F12566, ""Ben帳戶|Elsa帳戶|Ben代墊|Ariel代墊|中信銀行共用"")), ""內部轉帳(忽略)"",
  AND(E12566&lt;&gt;"""", F12566&lt;&gt;"&amp;""""", NOT(REGEXMATCH(C12566, ""薪資""))), ""內部轉帳(忽略)"",
  REGEXMATCH(C12566, ""薪資""), ""薪資變動(不計入)"",
  REGEXMATCH(C12566, ""押金""), ""押金往來"",
  AND(E12566&lt;&gt;"""", F12566=""""), ""真實支出"",
  AND(E12566="""", F12566&lt;&gt;""""), ""真實收入"",
  TRUE, ""其他""
)"),"其他")</f>
        <v>其他</v>
      </c>
      <c r="K12566" s="270" t="str">
        <f t="shared" si="2"/>
        <v/>
      </c>
      <c r="L12566">
        <f t="shared" si="3"/>
        <v>0</v>
      </c>
    </row>
    <row r="12567">
      <c r="A12567" s="107"/>
      <c r="D12567" s="270"/>
      <c r="H12567" s="106" t="str">
        <f t="shared" si="1"/>
        <v/>
      </c>
      <c r="J12567" t="str">
        <f>IFERROR(__xludf.DUMMYFUNCTION("IFS(
  AND(REGEXMATCH(E12567, ""台銀籌備帳戶|玉山帳戶""), REGEXMATCH(C12567, ""薪資"")), ""分潤支出"",
  AND(REGEXMATCH(E12567, ""Ben帳戶|Elsa帳戶|Ben代墊|Ariel代墊|中信銀行共用""), REGEXMATCH(F12567, ""Ben帳戶|Elsa帳戶|Ben代墊|Ariel代墊|中信銀行共用"")), ""內部轉帳(忽略)"",
  AND(E12567&lt;&gt;"""", F12567&lt;&gt;"&amp;""""", NOT(REGEXMATCH(C12567, ""薪資""))), ""內部轉帳(忽略)"",
  REGEXMATCH(C12567, ""薪資""), ""薪資變動(不計入)"",
  REGEXMATCH(C12567, ""押金""), ""押金往來"",
  AND(E12567&lt;&gt;"""", F12567=""""), ""真實支出"",
  AND(E12567="""", F12567&lt;&gt;""""), ""真實收入"",
  TRUE, ""其他""
)"),"其他")</f>
        <v>其他</v>
      </c>
      <c r="K12567" s="270" t="str">
        <f t="shared" si="2"/>
        <v/>
      </c>
      <c r="L12567">
        <f t="shared" si="3"/>
        <v>0</v>
      </c>
    </row>
    <row r="12568">
      <c r="A12568" s="107"/>
      <c r="D12568" s="270"/>
      <c r="H12568" s="106" t="str">
        <f t="shared" si="1"/>
        <v/>
      </c>
      <c r="J12568" t="str">
        <f>IFERROR(__xludf.DUMMYFUNCTION("IFS(
  AND(REGEXMATCH(E12568, ""台銀籌備帳戶|玉山帳戶""), REGEXMATCH(C12568, ""薪資"")), ""分潤支出"",
  AND(REGEXMATCH(E12568, ""Ben帳戶|Elsa帳戶|Ben代墊|Ariel代墊|中信銀行共用""), REGEXMATCH(F12568, ""Ben帳戶|Elsa帳戶|Ben代墊|Ariel代墊|中信銀行共用"")), ""內部轉帳(忽略)"",
  AND(E12568&lt;&gt;"""", F12568&lt;&gt;"&amp;""""", NOT(REGEXMATCH(C12568, ""薪資""))), ""內部轉帳(忽略)"",
  REGEXMATCH(C12568, ""薪資""), ""薪資變動(不計入)"",
  REGEXMATCH(C12568, ""押金""), ""押金往來"",
  AND(E12568&lt;&gt;"""", F12568=""""), ""真實支出"",
  AND(E12568="""", F12568&lt;&gt;""""), ""真實收入"",
  TRUE, ""其他""
)"),"其他")</f>
        <v>其他</v>
      </c>
      <c r="K12568" s="270" t="str">
        <f t="shared" si="2"/>
        <v/>
      </c>
      <c r="L12568">
        <f t="shared" si="3"/>
        <v>0</v>
      </c>
    </row>
    <row r="12569">
      <c r="A12569" s="107"/>
      <c r="D12569" s="270"/>
      <c r="H12569" s="106" t="str">
        <f t="shared" si="1"/>
        <v/>
      </c>
      <c r="J12569" t="str">
        <f>IFERROR(__xludf.DUMMYFUNCTION("IFS(
  AND(REGEXMATCH(E12569, ""台銀籌備帳戶|玉山帳戶""), REGEXMATCH(C12569, ""薪資"")), ""分潤支出"",
  AND(REGEXMATCH(E12569, ""Ben帳戶|Elsa帳戶|Ben代墊|Ariel代墊|中信銀行共用""), REGEXMATCH(F12569, ""Ben帳戶|Elsa帳戶|Ben代墊|Ariel代墊|中信銀行共用"")), ""內部轉帳(忽略)"",
  AND(E12569&lt;&gt;"""", F12569&lt;&gt;"&amp;""""", NOT(REGEXMATCH(C12569, ""薪資""))), ""內部轉帳(忽略)"",
  REGEXMATCH(C12569, ""薪資""), ""薪資變動(不計入)"",
  REGEXMATCH(C12569, ""押金""), ""押金往來"",
  AND(E12569&lt;&gt;"""", F12569=""""), ""真實支出"",
  AND(E12569="""", F12569&lt;&gt;""""), ""真實收入"",
  TRUE, ""其他""
)"),"其他")</f>
        <v>其他</v>
      </c>
      <c r="K12569" s="270" t="str">
        <f t="shared" si="2"/>
        <v/>
      </c>
      <c r="L12569">
        <f t="shared" si="3"/>
        <v>0</v>
      </c>
    </row>
    <row r="12570">
      <c r="A12570" s="107"/>
      <c r="D12570" s="270"/>
      <c r="H12570" s="106" t="str">
        <f t="shared" si="1"/>
        <v/>
      </c>
      <c r="J12570" t="str">
        <f>IFERROR(__xludf.DUMMYFUNCTION("IFS(
  AND(REGEXMATCH(E12570, ""台銀籌備帳戶|玉山帳戶""), REGEXMATCH(C12570, ""薪資"")), ""分潤支出"",
  AND(REGEXMATCH(E12570, ""Ben帳戶|Elsa帳戶|Ben代墊|Ariel代墊|中信銀行共用""), REGEXMATCH(F12570, ""Ben帳戶|Elsa帳戶|Ben代墊|Ariel代墊|中信銀行共用"")), ""內部轉帳(忽略)"",
  AND(E12570&lt;&gt;"""", F12570&lt;&gt;"&amp;""""", NOT(REGEXMATCH(C12570, ""薪資""))), ""內部轉帳(忽略)"",
  REGEXMATCH(C12570, ""薪資""), ""薪資變動(不計入)"",
  REGEXMATCH(C12570, ""押金""), ""押金往來"",
  AND(E12570&lt;&gt;"""", F12570=""""), ""真實支出"",
  AND(E12570="""", F12570&lt;&gt;""""), ""真實收入"",
  TRUE, ""其他""
)"),"其他")</f>
        <v>其他</v>
      </c>
      <c r="K12570" s="270" t="str">
        <f t="shared" si="2"/>
        <v/>
      </c>
      <c r="L12570">
        <f t="shared" si="3"/>
        <v>0</v>
      </c>
    </row>
    <row r="12571">
      <c r="A12571" s="107"/>
      <c r="D12571" s="270"/>
      <c r="H12571" s="106" t="str">
        <f t="shared" si="1"/>
        <v/>
      </c>
      <c r="J12571" t="str">
        <f>IFERROR(__xludf.DUMMYFUNCTION("IFS(
  AND(REGEXMATCH(E12571, ""台銀籌備帳戶|玉山帳戶""), REGEXMATCH(C12571, ""薪資"")), ""分潤支出"",
  AND(REGEXMATCH(E12571, ""Ben帳戶|Elsa帳戶|Ben代墊|Ariel代墊|中信銀行共用""), REGEXMATCH(F12571, ""Ben帳戶|Elsa帳戶|Ben代墊|Ariel代墊|中信銀行共用"")), ""內部轉帳(忽略)"",
  AND(E12571&lt;&gt;"""", F12571&lt;&gt;"&amp;""""", NOT(REGEXMATCH(C12571, ""薪資""))), ""內部轉帳(忽略)"",
  REGEXMATCH(C12571, ""薪資""), ""薪資變動(不計入)"",
  REGEXMATCH(C12571, ""押金""), ""押金往來"",
  AND(E12571&lt;&gt;"""", F12571=""""), ""真實支出"",
  AND(E12571="""", F12571&lt;&gt;""""), ""真實收入"",
  TRUE, ""其他""
)"),"其他")</f>
        <v>其他</v>
      </c>
      <c r="K12571" s="270" t="str">
        <f t="shared" si="2"/>
        <v/>
      </c>
      <c r="L12571">
        <f t="shared" si="3"/>
        <v>0</v>
      </c>
    </row>
    <row r="12572">
      <c r="A12572" s="107"/>
      <c r="D12572" s="270"/>
      <c r="H12572" s="106" t="str">
        <f t="shared" si="1"/>
        <v/>
      </c>
      <c r="J12572" t="str">
        <f>IFERROR(__xludf.DUMMYFUNCTION("IFS(
  AND(REGEXMATCH(E12572, ""台銀籌備帳戶|玉山帳戶""), REGEXMATCH(C12572, ""薪資"")), ""分潤支出"",
  AND(REGEXMATCH(E12572, ""Ben帳戶|Elsa帳戶|Ben代墊|Ariel代墊|中信銀行共用""), REGEXMATCH(F12572, ""Ben帳戶|Elsa帳戶|Ben代墊|Ariel代墊|中信銀行共用"")), ""內部轉帳(忽略)"",
  AND(E12572&lt;&gt;"""", F12572&lt;&gt;"&amp;""""", NOT(REGEXMATCH(C12572, ""薪資""))), ""內部轉帳(忽略)"",
  REGEXMATCH(C12572, ""薪資""), ""薪資變動(不計入)"",
  REGEXMATCH(C12572, ""押金""), ""押金往來"",
  AND(E12572&lt;&gt;"""", F12572=""""), ""真實支出"",
  AND(E12572="""", F12572&lt;&gt;""""), ""真實收入"",
  TRUE, ""其他""
)"),"其他")</f>
        <v>其他</v>
      </c>
      <c r="K12572" s="270" t="str">
        <f t="shared" si="2"/>
        <v/>
      </c>
      <c r="L12572">
        <f t="shared" si="3"/>
        <v>0</v>
      </c>
    </row>
    <row r="12573">
      <c r="A12573" s="107"/>
      <c r="D12573" s="270"/>
      <c r="H12573" s="106" t="str">
        <f t="shared" si="1"/>
        <v/>
      </c>
      <c r="J12573" t="str">
        <f>IFERROR(__xludf.DUMMYFUNCTION("IFS(
  AND(REGEXMATCH(E12573, ""台銀籌備帳戶|玉山帳戶""), REGEXMATCH(C12573, ""薪資"")), ""分潤支出"",
  AND(REGEXMATCH(E12573, ""Ben帳戶|Elsa帳戶|Ben代墊|Ariel代墊|中信銀行共用""), REGEXMATCH(F12573, ""Ben帳戶|Elsa帳戶|Ben代墊|Ariel代墊|中信銀行共用"")), ""內部轉帳(忽略)"",
  AND(E12573&lt;&gt;"""", F12573&lt;&gt;"&amp;""""", NOT(REGEXMATCH(C12573, ""薪資""))), ""內部轉帳(忽略)"",
  REGEXMATCH(C12573, ""薪資""), ""薪資變動(不計入)"",
  REGEXMATCH(C12573, ""押金""), ""押金往來"",
  AND(E12573&lt;&gt;"""", F12573=""""), ""真實支出"",
  AND(E12573="""", F12573&lt;&gt;""""), ""真實收入"",
  TRUE, ""其他""
)"),"其他")</f>
        <v>其他</v>
      </c>
      <c r="K12573" s="270" t="str">
        <f t="shared" si="2"/>
        <v/>
      </c>
      <c r="L12573">
        <f t="shared" si="3"/>
        <v>0</v>
      </c>
    </row>
    <row r="12574">
      <c r="A12574" s="107"/>
      <c r="D12574" s="270"/>
      <c r="H12574" s="106" t="str">
        <f t="shared" si="1"/>
        <v/>
      </c>
      <c r="J12574" t="str">
        <f>IFERROR(__xludf.DUMMYFUNCTION("IFS(
  AND(REGEXMATCH(E12574, ""台銀籌備帳戶|玉山帳戶""), REGEXMATCH(C12574, ""薪資"")), ""分潤支出"",
  AND(REGEXMATCH(E12574, ""Ben帳戶|Elsa帳戶|Ben代墊|Ariel代墊|中信銀行共用""), REGEXMATCH(F12574, ""Ben帳戶|Elsa帳戶|Ben代墊|Ariel代墊|中信銀行共用"")), ""內部轉帳(忽略)"",
  AND(E12574&lt;&gt;"""", F12574&lt;&gt;"&amp;""""", NOT(REGEXMATCH(C12574, ""薪資""))), ""內部轉帳(忽略)"",
  REGEXMATCH(C12574, ""薪資""), ""薪資變動(不計入)"",
  REGEXMATCH(C12574, ""押金""), ""押金往來"",
  AND(E12574&lt;&gt;"""", F12574=""""), ""真實支出"",
  AND(E12574="""", F12574&lt;&gt;""""), ""真實收入"",
  TRUE, ""其他""
)"),"其他")</f>
        <v>其他</v>
      </c>
      <c r="K12574" s="270" t="str">
        <f t="shared" si="2"/>
        <v/>
      </c>
      <c r="L12574">
        <f t="shared" si="3"/>
        <v>0</v>
      </c>
    </row>
    <row r="12575">
      <c r="A12575" s="107"/>
      <c r="D12575" s="270"/>
      <c r="H12575" s="106" t="str">
        <f t="shared" si="1"/>
        <v/>
      </c>
      <c r="J12575" t="str">
        <f>IFERROR(__xludf.DUMMYFUNCTION("IFS(
  AND(REGEXMATCH(E12575, ""台銀籌備帳戶|玉山帳戶""), REGEXMATCH(C12575, ""薪資"")), ""分潤支出"",
  AND(REGEXMATCH(E12575, ""Ben帳戶|Elsa帳戶|Ben代墊|Ariel代墊|中信銀行共用""), REGEXMATCH(F12575, ""Ben帳戶|Elsa帳戶|Ben代墊|Ariel代墊|中信銀行共用"")), ""內部轉帳(忽略)"",
  AND(E12575&lt;&gt;"""", F12575&lt;&gt;"&amp;""""", NOT(REGEXMATCH(C12575, ""薪資""))), ""內部轉帳(忽略)"",
  REGEXMATCH(C12575, ""薪資""), ""薪資變動(不計入)"",
  REGEXMATCH(C12575, ""押金""), ""押金往來"",
  AND(E12575&lt;&gt;"""", F12575=""""), ""真實支出"",
  AND(E12575="""", F12575&lt;&gt;""""), ""真實收入"",
  TRUE, ""其他""
)"),"其他")</f>
        <v>其他</v>
      </c>
      <c r="K12575" s="270" t="str">
        <f t="shared" si="2"/>
        <v/>
      </c>
      <c r="L12575">
        <f t="shared" si="3"/>
        <v>0</v>
      </c>
    </row>
    <row r="12576">
      <c r="A12576" s="107"/>
      <c r="D12576" s="270"/>
      <c r="H12576" s="106" t="str">
        <f t="shared" si="1"/>
        <v/>
      </c>
      <c r="J12576" t="str">
        <f>IFERROR(__xludf.DUMMYFUNCTION("IFS(
  AND(REGEXMATCH(E12576, ""台銀籌備帳戶|玉山帳戶""), REGEXMATCH(C12576, ""薪資"")), ""分潤支出"",
  AND(REGEXMATCH(E12576, ""Ben帳戶|Elsa帳戶|Ben代墊|Ariel代墊|中信銀行共用""), REGEXMATCH(F12576, ""Ben帳戶|Elsa帳戶|Ben代墊|Ariel代墊|中信銀行共用"")), ""內部轉帳(忽略)"",
  AND(E12576&lt;&gt;"""", F12576&lt;&gt;"&amp;""""", NOT(REGEXMATCH(C12576, ""薪資""))), ""內部轉帳(忽略)"",
  REGEXMATCH(C12576, ""薪資""), ""薪資變動(不計入)"",
  REGEXMATCH(C12576, ""押金""), ""押金往來"",
  AND(E12576&lt;&gt;"""", F12576=""""), ""真實支出"",
  AND(E12576="""", F12576&lt;&gt;""""), ""真實收入"",
  TRUE, ""其他""
)"),"其他")</f>
        <v>其他</v>
      </c>
      <c r="K12576" s="270" t="str">
        <f t="shared" si="2"/>
        <v/>
      </c>
      <c r="L12576">
        <f t="shared" si="3"/>
        <v>0</v>
      </c>
    </row>
    <row r="12577">
      <c r="A12577" s="107"/>
      <c r="D12577" s="270"/>
      <c r="H12577" s="106" t="str">
        <f t="shared" si="1"/>
        <v/>
      </c>
      <c r="J12577" t="str">
        <f>IFERROR(__xludf.DUMMYFUNCTION("IFS(
  AND(REGEXMATCH(E12577, ""台銀籌備帳戶|玉山帳戶""), REGEXMATCH(C12577, ""薪資"")), ""分潤支出"",
  AND(REGEXMATCH(E12577, ""Ben帳戶|Elsa帳戶|Ben代墊|Ariel代墊|中信銀行共用""), REGEXMATCH(F12577, ""Ben帳戶|Elsa帳戶|Ben代墊|Ariel代墊|中信銀行共用"")), ""內部轉帳(忽略)"",
  AND(E12577&lt;&gt;"""", F12577&lt;&gt;"&amp;""""", NOT(REGEXMATCH(C12577, ""薪資""))), ""內部轉帳(忽略)"",
  REGEXMATCH(C12577, ""薪資""), ""薪資變動(不計入)"",
  REGEXMATCH(C12577, ""押金""), ""押金往來"",
  AND(E12577&lt;&gt;"""", F12577=""""), ""真實支出"",
  AND(E12577="""", F12577&lt;&gt;""""), ""真實收入"",
  TRUE, ""其他""
)"),"其他")</f>
        <v>其他</v>
      </c>
      <c r="K12577" s="270" t="str">
        <f t="shared" si="2"/>
        <v/>
      </c>
      <c r="L12577">
        <f t="shared" si="3"/>
        <v>0</v>
      </c>
    </row>
    <row r="12578">
      <c r="A12578" s="107"/>
      <c r="D12578" s="270"/>
      <c r="H12578" s="106" t="str">
        <f t="shared" si="1"/>
        <v/>
      </c>
      <c r="J12578" t="str">
        <f>IFERROR(__xludf.DUMMYFUNCTION("IFS(
  AND(REGEXMATCH(E12578, ""台銀籌備帳戶|玉山帳戶""), REGEXMATCH(C12578, ""薪資"")), ""分潤支出"",
  AND(REGEXMATCH(E12578, ""Ben帳戶|Elsa帳戶|Ben代墊|Ariel代墊|中信銀行共用""), REGEXMATCH(F12578, ""Ben帳戶|Elsa帳戶|Ben代墊|Ariel代墊|中信銀行共用"")), ""內部轉帳(忽略)"",
  AND(E12578&lt;&gt;"""", F12578&lt;&gt;"&amp;""""", NOT(REGEXMATCH(C12578, ""薪資""))), ""內部轉帳(忽略)"",
  REGEXMATCH(C12578, ""薪資""), ""薪資變動(不計入)"",
  REGEXMATCH(C12578, ""押金""), ""押金往來"",
  AND(E12578&lt;&gt;"""", F12578=""""), ""真實支出"",
  AND(E12578="""", F12578&lt;&gt;""""), ""真實收入"",
  TRUE, ""其他""
)"),"其他")</f>
        <v>其他</v>
      </c>
      <c r="K12578" s="270" t="str">
        <f t="shared" si="2"/>
        <v/>
      </c>
      <c r="L12578">
        <f t="shared" si="3"/>
        <v>0</v>
      </c>
    </row>
    <row r="12579">
      <c r="A12579" s="107"/>
      <c r="D12579" s="270"/>
      <c r="H12579" s="106" t="str">
        <f t="shared" si="1"/>
        <v/>
      </c>
      <c r="J12579" t="str">
        <f>IFERROR(__xludf.DUMMYFUNCTION("IFS(
  AND(REGEXMATCH(E12579, ""台銀籌備帳戶|玉山帳戶""), REGEXMATCH(C12579, ""薪資"")), ""分潤支出"",
  AND(REGEXMATCH(E12579, ""Ben帳戶|Elsa帳戶|Ben代墊|Ariel代墊|中信銀行共用""), REGEXMATCH(F12579, ""Ben帳戶|Elsa帳戶|Ben代墊|Ariel代墊|中信銀行共用"")), ""內部轉帳(忽略)"",
  AND(E12579&lt;&gt;"""", F12579&lt;&gt;"&amp;""""", NOT(REGEXMATCH(C12579, ""薪資""))), ""內部轉帳(忽略)"",
  REGEXMATCH(C12579, ""薪資""), ""薪資變動(不計入)"",
  REGEXMATCH(C12579, ""押金""), ""押金往來"",
  AND(E12579&lt;&gt;"""", F12579=""""), ""真實支出"",
  AND(E12579="""", F12579&lt;&gt;""""), ""真實收入"",
  TRUE, ""其他""
)"),"其他")</f>
        <v>其他</v>
      </c>
      <c r="K12579" s="270" t="str">
        <f t="shared" si="2"/>
        <v/>
      </c>
      <c r="L12579">
        <f t="shared" si="3"/>
        <v>0</v>
      </c>
    </row>
    <row r="12580">
      <c r="A12580" s="107"/>
      <c r="D12580" s="270"/>
      <c r="H12580" s="106" t="str">
        <f t="shared" si="1"/>
        <v/>
      </c>
      <c r="J12580" t="str">
        <f>IFERROR(__xludf.DUMMYFUNCTION("IFS(
  AND(REGEXMATCH(E12580, ""台銀籌備帳戶|玉山帳戶""), REGEXMATCH(C12580, ""薪資"")), ""分潤支出"",
  AND(REGEXMATCH(E12580, ""Ben帳戶|Elsa帳戶|Ben代墊|Ariel代墊|中信銀行共用""), REGEXMATCH(F12580, ""Ben帳戶|Elsa帳戶|Ben代墊|Ariel代墊|中信銀行共用"")), ""內部轉帳(忽略)"",
  AND(E12580&lt;&gt;"""", F12580&lt;&gt;"&amp;""""", NOT(REGEXMATCH(C12580, ""薪資""))), ""內部轉帳(忽略)"",
  REGEXMATCH(C12580, ""薪資""), ""薪資變動(不計入)"",
  REGEXMATCH(C12580, ""押金""), ""押金往來"",
  AND(E12580&lt;&gt;"""", F12580=""""), ""真實支出"",
  AND(E12580="""", F12580&lt;&gt;""""), ""真實收入"",
  TRUE, ""其他""
)"),"其他")</f>
        <v>其他</v>
      </c>
      <c r="K12580" s="270" t="str">
        <f t="shared" si="2"/>
        <v/>
      </c>
      <c r="L12580">
        <f t="shared" si="3"/>
        <v>0</v>
      </c>
    </row>
    <row r="12581">
      <c r="A12581" s="107"/>
      <c r="D12581" s="270"/>
      <c r="H12581" s="106" t="str">
        <f t="shared" si="1"/>
        <v/>
      </c>
      <c r="J12581" t="str">
        <f>IFERROR(__xludf.DUMMYFUNCTION("IFS(
  AND(REGEXMATCH(E12581, ""台銀籌備帳戶|玉山帳戶""), REGEXMATCH(C12581, ""薪資"")), ""分潤支出"",
  AND(REGEXMATCH(E12581, ""Ben帳戶|Elsa帳戶|Ben代墊|Ariel代墊|中信銀行共用""), REGEXMATCH(F12581, ""Ben帳戶|Elsa帳戶|Ben代墊|Ariel代墊|中信銀行共用"")), ""內部轉帳(忽略)"",
  AND(E12581&lt;&gt;"""", F12581&lt;&gt;"&amp;""""", NOT(REGEXMATCH(C12581, ""薪資""))), ""內部轉帳(忽略)"",
  REGEXMATCH(C12581, ""薪資""), ""薪資變動(不計入)"",
  REGEXMATCH(C12581, ""押金""), ""押金往來"",
  AND(E12581&lt;&gt;"""", F12581=""""), ""真實支出"",
  AND(E12581="""", F12581&lt;&gt;""""), ""真實收入"",
  TRUE, ""其他""
)"),"其他")</f>
        <v>其他</v>
      </c>
      <c r="K12581" s="270" t="str">
        <f t="shared" si="2"/>
        <v/>
      </c>
      <c r="L12581">
        <f t="shared" si="3"/>
        <v>0</v>
      </c>
    </row>
    <row r="12582">
      <c r="A12582" s="107"/>
      <c r="D12582" s="270"/>
      <c r="H12582" s="106" t="str">
        <f t="shared" si="1"/>
        <v/>
      </c>
      <c r="J12582" t="str">
        <f>IFERROR(__xludf.DUMMYFUNCTION("IFS(
  AND(REGEXMATCH(E12582, ""台銀籌備帳戶|玉山帳戶""), REGEXMATCH(C12582, ""薪資"")), ""分潤支出"",
  AND(REGEXMATCH(E12582, ""Ben帳戶|Elsa帳戶|Ben代墊|Ariel代墊|中信銀行共用""), REGEXMATCH(F12582, ""Ben帳戶|Elsa帳戶|Ben代墊|Ariel代墊|中信銀行共用"")), ""內部轉帳(忽略)"",
  AND(E12582&lt;&gt;"""", F12582&lt;&gt;"&amp;""""", NOT(REGEXMATCH(C12582, ""薪資""))), ""內部轉帳(忽略)"",
  REGEXMATCH(C12582, ""薪資""), ""薪資變動(不計入)"",
  REGEXMATCH(C12582, ""押金""), ""押金往來"",
  AND(E12582&lt;&gt;"""", F12582=""""), ""真實支出"",
  AND(E12582="""", F12582&lt;&gt;""""), ""真實收入"",
  TRUE, ""其他""
)"),"其他")</f>
        <v>其他</v>
      </c>
      <c r="K12582" s="270" t="str">
        <f t="shared" si="2"/>
        <v/>
      </c>
      <c r="L12582">
        <f t="shared" si="3"/>
        <v>0</v>
      </c>
    </row>
    <row r="12583">
      <c r="A12583" s="107"/>
      <c r="D12583" s="270"/>
      <c r="H12583" s="106" t="str">
        <f t="shared" si="1"/>
        <v/>
      </c>
      <c r="J12583" t="str">
        <f>IFERROR(__xludf.DUMMYFUNCTION("IFS(
  AND(REGEXMATCH(E12583, ""台銀籌備帳戶|玉山帳戶""), REGEXMATCH(C12583, ""薪資"")), ""分潤支出"",
  AND(REGEXMATCH(E12583, ""Ben帳戶|Elsa帳戶|Ben代墊|Ariel代墊|中信銀行共用""), REGEXMATCH(F12583, ""Ben帳戶|Elsa帳戶|Ben代墊|Ariel代墊|中信銀行共用"")), ""內部轉帳(忽略)"",
  AND(E12583&lt;&gt;"""", F12583&lt;&gt;"&amp;""""", NOT(REGEXMATCH(C12583, ""薪資""))), ""內部轉帳(忽略)"",
  REGEXMATCH(C12583, ""薪資""), ""薪資變動(不計入)"",
  REGEXMATCH(C12583, ""押金""), ""押金往來"",
  AND(E12583&lt;&gt;"""", F12583=""""), ""真實支出"",
  AND(E12583="""", F12583&lt;&gt;""""), ""真實收入"",
  TRUE, ""其他""
)"),"其他")</f>
        <v>其他</v>
      </c>
      <c r="K12583" s="270" t="str">
        <f t="shared" si="2"/>
        <v/>
      </c>
      <c r="L12583">
        <f t="shared" si="3"/>
        <v>0</v>
      </c>
    </row>
    <row r="12584">
      <c r="A12584" s="107"/>
      <c r="D12584" s="270"/>
      <c r="H12584" s="106" t="str">
        <f t="shared" si="1"/>
        <v/>
      </c>
      <c r="J12584" t="str">
        <f>IFERROR(__xludf.DUMMYFUNCTION("IFS(
  AND(REGEXMATCH(E12584, ""台銀籌備帳戶|玉山帳戶""), REGEXMATCH(C12584, ""薪資"")), ""分潤支出"",
  AND(REGEXMATCH(E12584, ""Ben帳戶|Elsa帳戶|Ben代墊|Ariel代墊|中信銀行共用""), REGEXMATCH(F12584, ""Ben帳戶|Elsa帳戶|Ben代墊|Ariel代墊|中信銀行共用"")), ""內部轉帳(忽略)"",
  AND(E12584&lt;&gt;"""", F12584&lt;&gt;"&amp;""""", NOT(REGEXMATCH(C12584, ""薪資""))), ""內部轉帳(忽略)"",
  REGEXMATCH(C12584, ""薪資""), ""薪資變動(不計入)"",
  REGEXMATCH(C12584, ""押金""), ""押金往來"",
  AND(E12584&lt;&gt;"""", F12584=""""), ""真實支出"",
  AND(E12584="""", F12584&lt;&gt;""""), ""真實收入"",
  TRUE, ""其他""
)"),"其他")</f>
        <v>其他</v>
      </c>
      <c r="K12584" s="270" t="str">
        <f t="shared" si="2"/>
        <v/>
      </c>
      <c r="L12584">
        <f t="shared" si="3"/>
        <v>0</v>
      </c>
    </row>
    <row r="12585">
      <c r="A12585" s="107"/>
      <c r="D12585" s="270"/>
      <c r="H12585" s="106" t="str">
        <f t="shared" si="1"/>
        <v/>
      </c>
      <c r="J12585" t="str">
        <f>IFERROR(__xludf.DUMMYFUNCTION("IFS(
  AND(REGEXMATCH(E12585, ""台銀籌備帳戶|玉山帳戶""), REGEXMATCH(C12585, ""薪資"")), ""分潤支出"",
  AND(REGEXMATCH(E12585, ""Ben帳戶|Elsa帳戶|Ben代墊|Ariel代墊|中信銀行共用""), REGEXMATCH(F12585, ""Ben帳戶|Elsa帳戶|Ben代墊|Ariel代墊|中信銀行共用"")), ""內部轉帳(忽略)"",
  AND(E12585&lt;&gt;"""", F12585&lt;&gt;"&amp;""""", NOT(REGEXMATCH(C12585, ""薪資""))), ""內部轉帳(忽略)"",
  REGEXMATCH(C12585, ""薪資""), ""薪資變動(不計入)"",
  REGEXMATCH(C12585, ""押金""), ""押金往來"",
  AND(E12585&lt;&gt;"""", F12585=""""), ""真實支出"",
  AND(E12585="""", F12585&lt;&gt;""""), ""真實收入"",
  TRUE, ""其他""
)"),"其他")</f>
        <v>其他</v>
      </c>
      <c r="K12585" s="270" t="str">
        <f t="shared" si="2"/>
        <v/>
      </c>
      <c r="L12585">
        <f t="shared" si="3"/>
        <v>0</v>
      </c>
    </row>
    <row r="12586">
      <c r="A12586" s="107"/>
      <c r="D12586" s="270"/>
      <c r="H12586" s="106" t="str">
        <f t="shared" si="1"/>
        <v/>
      </c>
      <c r="J12586" t="str">
        <f>IFERROR(__xludf.DUMMYFUNCTION("IFS(
  AND(REGEXMATCH(E12586, ""台銀籌備帳戶|玉山帳戶""), REGEXMATCH(C12586, ""薪資"")), ""分潤支出"",
  AND(REGEXMATCH(E12586, ""Ben帳戶|Elsa帳戶|Ben代墊|Ariel代墊|中信銀行共用""), REGEXMATCH(F12586, ""Ben帳戶|Elsa帳戶|Ben代墊|Ariel代墊|中信銀行共用"")), ""內部轉帳(忽略)"",
  AND(E12586&lt;&gt;"""", F12586&lt;&gt;"&amp;""""", NOT(REGEXMATCH(C12586, ""薪資""))), ""內部轉帳(忽略)"",
  REGEXMATCH(C12586, ""薪資""), ""薪資變動(不計入)"",
  REGEXMATCH(C12586, ""押金""), ""押金往來"",
  AND(E12586&lt;&gt;"""", F12586=""""), ""真實支出"",
  AND(E12586="""", F12586&lt;&gt;""""), ""真實收入"",
  TRUE, ""其他""
)"),"其他")</f>
        <v>其他</v>
      </c>
      <c r="K12586" s="270" t="str">
        <f t="shared" si="2"/>
        <v/>
      </c>
      <c r="L12586">
        <f t="shared" si="3"/>
        <v>0</v>
      </c>
    </row>
    <row r="12587">
      <c r="A12587" s="107"/>
      <c r="D12587" s="270"/>
      <c r="H12587" s="106" t="str">
        <f t="shared" si="1"/>
        <v/>
      </c>
      <c r="J12587" t="str">
        <f>IFERROR(__xludf.DUMMYFUNCTION("IFS(
  AND(REGEXMATCH(E12587, ""台銀籌備帳戶|玉山帳戶""), REGEXMATCH(C12587, ""薪資"")), ""分潤支出"",
  AND(REGEXMATCH(E12587, ""Ben帳戶|Elsa帳戶|Ben代墊|Ariel代墊|中信銀行共用""), REGEXMATCH(F12587, ""Ben帳戶|Elsa帳戶|Ben代墊|Ariel代墊|中信銀行共用"")), ""內部轉帳(忽略)"",
  AND(E12587&lt;&gt;"""", F12587&lt;&gt;"&amp;""""", NOT(REGEXMATCH(C12587, ""薪資""))), ""內部轉帳(忽略)"",
  REGEXMATCH(C12587, ""薪資""), ""薪資變動(不計入)"",
  REGEXMATCH(C12587, ""押金""), ""押金往來"",
  AND(E12587&lt;&gt;"""", F12587=""""), ""真實支出"",
  AND(E12587="""", F12587&lt;&gt;""""), ""真實收入"",
  TRUE, ""其他""
)"),"其他")</f>
        <v>其他</v>
      </c>
      <c r="K12587" s="270" t="str">
        <f t="shared" si="2"/>
        <v/>
      </c>
      <c r="L12587">
        <f t="shared" si="3"/>
        <v>0</v>
      </c>
    </row>
    <row r="12588">
      <c r="A12588" s="107"/>
      <c r="D12588" s="270"/>
      <c r="H12588" s="106" t="str">
        <f t="shared" si="1"/>
        <v/>
      </c>
      <c r="J12588" t="str">
        <f>IFERROR(__xludf.DUMMYFUNCTION("IFS(
  AND(REGEXMATCH(E12588, ""台銀籌備帳戶|玉山帳戶""), REGEXMATCH(C12588, ""薪資"")), ""分潤支出"",
  AND(REGEXMATCH(E12588, ""Ben帳戶|Elsa帳戶|Ben代墊|Ariel代墊|中信銀行共用""), REGEXMATCH(F12588, ""Ben帳戶|Elsa帳戶|Ben代墊|Ariel代墊|中信銀行共用"")), ""內部轉帳(忽略)"",
  AND(E12588&lt;&gt;"""", F12588&lt;&gt;"&amp;""""", NOT(REGEXMATCH(C12588, ""薪資""))), ""內部轉帳(忽略)"",
  REGEXMATCH(C12588, ""薪資""), ""薪資變動(不計入)"",
  REGEXMATCH(C12588, ""押金""), ""押金往來"",
  AND(E12588&lt;&gt;"""", F12588=""""), ""真實支出"",
  AND(E12588="""", F12588&lt;&gt;""""), ""真實收入"",
  TRUE, ""其他""
)"),"其他")</f>
        <v>其他</v>
      </c>
      <c r="K12588" s="270" t="str">
        <f t="shared" si="2"/>
        <v/>
      </c>
      <c r="L12588">
        <f t="shared" si="3"/>
        <v>0</v>
      </c>
    </row>
    <row r="12589">
      <c r="A12589" s="107"/>
      <c r="D12589" s="270"/>
      <c r="H12589" s="106" t="str">
        <f t="shared" si="1"/>
        <v/>
      </c>
      <c r="J12589" t="str">
        <f>IFERROR(__xludf.DUMMYFUNCTION("IFS(
  AND(REGEXMATCH(E12589, ""台銀籌備帳戶|玉山帳戶""), REGEXMATCH(C12589, ""薪資"")), ""分潤支出"",
  AND(REGEXMATCH(E12589, ""Ben帳戶|Elsa帳戶|Ben代墊|Ariel代墊|中信銀行共用""), REGEXMATCH(F12589, ""Ben帳戶|Elsa帳戶|Ben代墊|Ariel代墊|中信銀行共用"")), ""內部轉帳(忽略)"",
  AND(E12589&lt;&gt;"""", F12589&lt;&gt;"&amp;""""", NOT(REGEXMATCH(C12589, ""薪資""))), ""內部轉帳(忽略)"",
  REGEXMATCH(C12589, ""薪資""), ""薪資變動(不計入)"",
  REGEXMATCH(C12589, ""押金""), ""押金往來"",
  AND(E12589&lt;&gt;"""", F12589=""""), ""真實支出"",
  AND(E12589="""", F12589&lt;&gt;""""), ""真實收入"",
  TRUE, ""其他""
)"),"其他")</f>
        <v>其他</v>
      </c>
      <c r="K12589" s="270" t="str">
        <f t="shared" si="2"/>
        <v/>
      </c>
      <c r="L12589">
        <f t="shared" si="3"/>
        <v>0</v>
      </c>
    </row>
    <row r="12590">
      <c r="A12590" s="107"/>
      <c r="D12590" s="270"/>
      <c r="H12590" s="106" t="str">
        <f t="shared" si="1"/>
        <v/>
      </c>
      <c r="J12590" t="str">
        <f>IFERROR(__xludf.DUMMYFUNCTION("IFS(
  AND(REGEXMATCH(E12590, ""台銀籌備帳戶|玉山帳戶""), REGEXMATCH(C12590, ""薪資"")), ""分潤支出"",
  AND(REGEXMATCH(E12590, ""Ben帳戶|Elsa帳戶|Ben代墊|Ariel代墊|中信銀行共用""), REGEXMATCH(F12590, ""Ben帳戶|Elsa帳戶|Ben代墊|Ariel代墊|中信銀行共用"")), ""內部轉帳(忽略)"",
  AND(E12590&lt;&gt;"""", F12590&lt;&gt;"&amp;""""", NOT(REGEXMATCH(C12590, ""薪資""))), ""內部轉帳(忽略)"",
  REGEXMATCH(C12590, ""薪資""), ""薪資變動(不計入)"",
  REGEXMATCH(C12590, ""押金""), ""押金往來"",
  AND(E12590&lt;&gt;"""", F12590=""""), ""真實支出"",
  AND(E12590="""", F12590&lt;&gt;""""), ""真實收入"",
  TRUE, ""其他""
)"),"其他")</f>
        <v>其他</v>
      </c>
      <c r="K12590" s="270" t="str">
        <f t="shared" si="2"/>
        <v/>
      </c>
      <c r="L12590">
        <f t="shared" si="3"/>
        <v>0</v>
      </c>
    </row>
    <row r="12591">
      <c r="A12591" s="107"/>
      <c r="D12591" s="270"/>
      <c r="H12591" s="106" t="str">
        <f t="shared" si="1"/>
        <v/>
      </c>
      <c r="J12591" t="str">
        <f>IFERROR(__xludf.DUMMYFUNCTION("IFS(
  AND(REGEXMATCH(E12591, ""台銀籌備帳戶|玉山帳戶""), REGEXMATCH(C12591, ""薪資"")), ""分潤支出"",
  AND(REGEXMATCH(E12591, ""Ben帳戶|Elsa帳戶|Ben代墊|Ariel代墊|中信銀行共用""), REGEXMATCH(F12591, ""Ben帳戶|Elsa帳戶|Ben代墊|Ariel代墊|中信銀行共用"")), ""內部轉帳(忽略)"",
  AND(E12591&lt;&gt;"""", F12591&lt;&gt;"&amp;""""", NOT(REGEXMATCH(C12591, ""薪資""))), ""內部轉帳(忽略)"",
  REGEXMATCH(C12591, ""薪資""), ""薪資變動(不計入)"",
  REGEXMATCH(C12591, ""押金""), ""押金往來"",
  AND(E12591&lt;&gt;"""", F12591=""""), ""真實支出"",
  AND(E12591="""", F12591&lt;&gt;""""), ""真實收入"",
  TRUE, ""其他""
)"),"其他")</f>
        <v>其他</v>
      </c>
      <c r="K12591" s="270" t="str">
        <f t="shared" si="2"/>
        <v/>
      </c>
      <c r="L12591">
        <f t="shared" si="3"/>
        <v>0</v>
      </c>
    </row>
    <row r="12592">
      <c r="A12592" s="107"/>
      <c r="D12592" s="270"/>
      <c r="H12592" s="106" t="str">
        <f t="shared" si="1"/>
        <v/>
      </c>
      <c r="J12592" t="str">
        <f>IFERROR(__xludf.DUMMYFUNCTION("IFS(
  AND(REGEXMATCH(E12592, ""台銀籌備帳戶|玉山帳戶""), REGEXMATCH(C12592, ""薪資"")), ""分潤支出"",
  AND(REGEXMATCH(E12592, ""Ben帳戶|Elsa帳戶|Ben代墊|Ariel代墊|中信銀行共用""), REGEXMATCH(F12592, ""Ben帳戶|Elsa帳戶|Ben代墊|Ariel代墊|中信銀行共用"")), ""內部轉帳(忽略)"",
  AND(E12592&lt;&gt;"""", F12592&lt;&gt;"&amp;""""", NOT(REGEXMATCH(C12592, ""薪資""))), ""內部轉帳(忽略)"",
  REGEXMATCH(C12592, ""薪資""), ""薪資變動(不計入)"",
  REGEXMATCH(C12592, ""押金""), ""押金往來"",
  AND(E12592&lt;&gt;"""", F12592=""""), ""真實支出"",
  AND(E12592="""", F12592&lt;&gt;""""), ""真實收入"",
  TRUE, ""其他""
)"),"其他")</f>
        <v>其他</v>
      </c>
      <c r="K12592" s="270" t="str">
        <f t="shared" si="2"/>
        <v/>
      </c>
      <c r="L12592">
        <f t="shared" si="3"/>
        <v>0</v>
      </c>
    </row>
    <row r="12593">
      <c r="A12593" s="107"/>
      <c r="D12593" s="270"/>
      <c r="H12593" s="106" t="str">
        <f t="shared" si="1"/>
        <v/>
      </c>
      <c r="J12593" t="str">
        <f>IFERROR(__xludf.DUMMYFUNCTION("IFS(
  AND(REGEXMATCH(E12593, ""台銀籌備帳戶|玉山帳戶""), REGEXMATCH(C12593, ""薪資"")), ""分潤支出"",
  AND(REGEXMATCH(E12593, ""Ben帳戶|Elsa帳戶|Ben代墊|Ariel代墊|中信銀行共用""), REGEXMATCH(F12593, ""Ben帳戶|Elsa帳戶|Ben代墊|Ariel代墊|中信銀行共用"")), ""內部轉帳(忽略)"",
  AND(E12593&lt;&gt;"""", F12593&lt;&gt;"&amp;""""", NOT(REGEXMATCH(C12593, ""薪資""))), ""內部轉帳(忽略)"",
  REGEXMATCH(C12593, ""薪資""), ""薪資變動(不計入)"",
  REGEXMATCH(C12593, ""押金""), ""押金往來"",
  AND(E12593&lt;&gt;"""", F12593=""""), ""真實支出"",
  AND(E12593="""", F12593&lt;&gt;""""), ""真實收入"",
  TRUE, ""其他""
)"),"其他")</f>
        <v>其他</v>
      </c>
      <c r="K12593" s="270" t="str">
        <f t="shared" si="2"/>
        <v/>
      </c>
      <c r="L12593">
        <f t="shared" si="3"/>
        <v>0</v>
      </c>
    </row>
    <row r="12594">
      <c r="A12594" s="107"/>
      <c r="D12594" s="270"/>
      <c r="H12594" s="106" t="str">
        <f t="shared" si="1"/>
        <v/>
      </c>
      <c r="J12594" t="str">
        <f>IFERROR(__xludf.DUMMYFUNCTION("IFS(
  AND(REGEXMATCH(E12594, ""台銀籌備帳戶|玉山帳戶""), REGEXMATCH(C12594, ""薪資"")), ""分潤支出"",
  AND(REGEXMATCH(E12594, ""Ben帳戶|Elsa帳戶|Ben代墊|Ariel代墊|中信銀行共用""), REGEXMATCH(F12594, ""Ben帳戶|Elsa帳戶|Ben代墊|Ariel代墊|中信銀行共用"")), ""內部轉帳(忽略)"",
  AND(E12594&lt;&gt;"""", F12594&lt;&gt;"&amp;""""", NOT(REGEXMATCH(C12594, ""薪資""))), ""內部轉帳(忽略)"",
  REGEXMATCH(C12594, ""薪資""), ""薪資變動(不計入)"",
  REGEXMATCH(C12594, ""押金""), ""押金往來"",
  AND(E12594&lt;&gt;"""", F12594=""""), ""真實支出"",
  AND(E12594="""", F12594&lt;&gt;""""), ""真實收入"",
  TRUE, ""其他""
)"),"其他")</f>
        <v>其他</v>
      </c>
      <c r="K12594" s="270" t="str">
        <f t="shared" si="2"/>
        <v/>
      </c>
      <c r="L12594">
        <f t="shared" si="3"/>
        <v>0</v>
      </c>
    </row>
    <row r="12595">
      <c r="A12595" s="107"/>
      <c r="D12595" s="270"/>
      <c r="H12595" s="106" t="str">
        <f t="shared" si="1"/>
        <v/>
      </c>
      <c r="J12595" t="str">
        <f>IFERROR(__xludf.DUMMYFUNCTION("IFS(
  AND(REGEXMATCH(E12595, ""台銀籌備帳戶|玉山帳戶""), REGEXMATCH(C12595, ""薪資"")), ""分潤支出"",
  AND(REGEXMATCH(E12595, ""Ben帳戶|Elsa帳戶|Ben代墊|Ariel代墊|中信銀行共用""), REGEXMATCH(F12595, ""Ben帳戶|Elsa帳戶|Ben代墊|Ariel代墊|中信銀行共用"")), ""內部轉帳(忽略)"",
  AND(E12595&lt;&gt;"""", F12595&lt;&gt;"&amp;""""", NOT(REGEXMATCH(C12595, ""薪資""))), ""內部轉帳(忽略)"",
  REGEXMATCH(C12595, ""薪資""), ""薪資變動(不計入)"",
  REGEXMATCH(C12595, ""押金""), ""押金往來"",
  AND(E12595&lt;&gt;"""", F12595=""""), ""真實支出"",
  AND(E12595="""", F12595&lt;&gt;""""), ""真實收入"",
  TRUE, ""其他""
)"),"其他")</f>
        <v>其他</v>
      </c>
      <c r="K12595" s="270" t="str">
        <f t="shared" si="2"/>
        <v/>
      </c>
      <c r="L12595">
        <f t="shared" si="3"/>
        <v>0</v>
      </c>
    </row>
    <row r="12596">
      <c r="A12596" s="107"/>
      <c r="D12596" s="270"/>
      <c r="H12596" s="106" t="str">
        <f t="shared" si="1"/>
        <v/>
      </c>
      <c r="J12596" t="str">
        <f>IFERROR(__xludf.DUMMYFUNCTION("IFS(
  AND(REGEXMATCH(E12596, ""台銀籌備帳戶|玉山帳戶""), REGEXMATCH(C12596, ""薪資"")), ""分潤支出"",
  AND(REGEXMATCH(E12596, ""Ben帳戶|Elsa帳戶|Ben代墊|Ariel代墊|中信銀行共用""), REGEXMATCH(F12596, ""Ben帳戶|Elsa帳戶|Ben代墊|Ariel代墊|中信銀行共用"")), ""內部轉帳(忽略)"",
  AND(E12596&lt;&gt;"""", F12596&lt;&gt;"&amp;""""", NOT(REGEXMATCH(C12596, ""薪資""))), ""內部轉帳(忽略)"",
  REGEXMATCH(C12596, ""薪資""), ""薪資變動(不計入)"",
  REGEXMATCH(C12596, ""押金""), ""押金往來"",
  AND(E12596&lt;&gt;"""", F12596=""""), ""真實支出"",
  AND(E12596="""", F12596&lt;&gt;""""), ""真實收入"",
  TRUE, ""其他""
)"),"其他")</f>
        <v>其他</v>
      </c>
      <c r="K12596" s="270" t="str">
        <f t="shared" si="2"/>
        <v/>
      </c>
      <c r="L12596">
        <f t="shared" si="3"/>
        <v>0</v>
      </c>
    </row>
    <row r="12597">
      <c r="A12597" s="107"/>
      <c r="D12597" s="270"/>
      <c r="H12597" s="106" t="str">
        <f t="shared" si="1"/>
        <v/>
      </c>
      <c r="J12597" t="str">
        <f>IFERROR(__xludf.DUMMYFUNCTION("IFS(
  AND(REGEXMATCH(E12597, ""台銀籌備帳戶|玉山帳戶""), REGEXMATCH(C12597, ""薪資"")), ""分潤支出"",
  AND(REGEXMATCH(E12597, ""Ben帳戶|Elsa帳戶|Ben代墊|Ariel代墊|中信銀行共用""), REGEXMATCH(F12597, ""Ben帳戶|Elsa帳戶|Ben代墊|Ariel代墊|中信銀行共用"")), ""內部轉帳(忽略)"",
  AND(E12597&lt;&gt;"""", F12597&lt;&gt;"&amp;""""", NOT(REGEXMATCH(C12597, ""薪資""))), ""內部轉帳(忽略)"",
  REGEXMATCH(C12597, ""薪資""), ""薪資變動(不計入)"",
  REGEXMATCH(C12597, ""押金""), ""押金往來"",
  AND(E12597&lt;&gt;"""", F12597=""""), ""真實支出"",
  AND(E12597="""", F12597&lt;&gt;""""), ""真實收入"",
  TRUE, ""其他""
)"),"其他")</f>
        <v>其他</v>
      </c>
      <c r="K12597" s="270" t="str">
        <f t="shared" si="2"/>
        <v/>
      </c>
      <c r="L12597">
        <f t="shared" si="3"/>
        <v>0</v>
      </c>
    </row>
    <row r="12598">
      <c r="A12598" s="107"/>
      <c r="D12598" s="270"/>
      <c r="H12598" s="106" t="str">
        <f t="shared" si="1"/>
        <v/>
      </c>
      <c r="J12598" t="str">
        <f>IFERROR(__xludf.DUMMYFUNCTION("IFS(
  AND(REGEXMATCH(E12598, ""台銀籌備帳戶|玉山帳戶""), REGEXMATCH(C12598, ""薪資"")), ""分潤支出"",
  AND(REGEXMATCH(E12598, ""Ben帳戶|Elsa帳戶|Ben代墊|Ariel代墊|中信銀行共用""), REGEXMATCH(F12598, ""Ben帳戶|Elsa帳戶|Ben代墊|Ariel代墊|中信銀行共用"")), ""內部轉帳(忽略)"",
  AND(E12598&lt;&gt;"""", F12598&lt;&gt;"&amp;""""", NOT(REGEXMATCH(C12598, ""薪資""))), ""內部轉帳(忽略)"",
  REGEXMATCH(C12598, ""薪資""), ""薪資變動(不計入)"",
  REGEXMATCH(C12598, ""押金""), ""押金往來"",
  AND(E12598&lt;&gt;"""", F12598=""""), ""真實支出"",
  AND(E12598="""", F12598&lt;&gt;""""), ""真實收入"",
  TRUE, ""其他""
)"),"其他")</f>
        <v>其他</v>
      </c>
      <c r="K12598" s="270" t="str">
        <f t="shared" si="2"/>
        <v/>
      </c>
      <c r="L12598">
        <f t="shared" si="3"/>
        <v>0</v>
      </c>
    </row>
    <row r="12599">
      <c r="A12599" s="107"/>
      <c r="D12599" s="270"/>
      <c r="H12599" s="106" t="str">
        <f t="shared" si="1"/>
        <v/>
      </c>
      <c r="J12599" t="str">
        <f>IFERROR(__xludf.DUMMYFUNCTION("IFS(
  AND(REGEXMATCH(E12599, ""台銀籌備帳戶|玉山帳戶""), REGEXMATCH(C12599, ""薪資"")), ""分潤支出"",
  AND(REGEXMATCH(E12599, ""Ben帳戶|Elsa帳戶|Ben代墊|Ariel代墊|中信銀行共用""), REGEXMATCH(F12599, ""Ben帳戶|Elsa帳戶|Ben代墊|Ariel代墊|中信銀行共用"")), ""內部轉帳(忽略)"",
  AND(E12599&lt;&gt;"""", F12599&lt;&gt;"&amp;""""", NOT(REGEXMATCH(C12599, ""薪資""))), ""內部轉帳(忽略)"",
  REGEXMATCH(C12599, ""薪資""), ""薪資變動(不計入)"",
  REGEXMATCH(C12599, ""押金""), ""押金往來"",
  AND(E12599&lt;&gt;"""", F12599=""""), ""真實支出"",
  AND(E12599="""", F12599&lt;&gt;""""), ""真實收入"",
  TRUE, ""其他""
)"),"其他")</f>
        <v>其他</v>
      </c>
      <c r="K12599" s="270" t="str">
        <f t="shared" si="2"/>
        <v/>
      </c>
      <c r="L12599">
        <f t="shared" si="3"/>
        <v>0</v>
      </c>
    </row>
    <row r="12600">
      <c r="A12600" s="107"/>
      <c r="D12600" s="270"/>
      <c r="H12600" s="106" t="str">
        <f t="shared" si="1"/>
        <v/>
      </c>
      <c r="J12600" t="str">
        <f>IFERROR(__xludf.DUMMYFUNCTION("IFS(
  AND(REGEXMATCH(E12600, ""台銀籌備帳戶|玉山帳戶""), REGEXMATCH(C12600, ""薪資"")), ""分潤支出"",
  AND(REGEXMATCH(E12600, ""Ben帳戶|Elsa帳戶|Ben代墊|Ariel代墊|中信銀行共用""), REGEXMATCH(F12600, ""Ben帳戶|Elsa帳戶|Ben代墊|Ariel代墊|中信銀行共用"")), ""內部轉帳(忽略)"",
  AND(E12600&lt;&gt;"""", F12600&lt;&gt;"&amp;""""", NOT(REGEXMATCH(C12600, ""薪資""))), ""內部轉帳(忽略)"",
  REGEXMATCH(C12600, ""薪資""), ""薪資變動(不計入)"",
  REGEXMATCH(C12600, ""押金""), ""押金往來"",
  AND(E12600&lt;&gt;"""", F12600=""""), ""真實支出"",
  AND(E12600="""", F12600&lt;&gt;""""), ""真實收入"",
  TRUE, ""其他""
)"),"其他")</f>
        <v>其他</v>
      </c>
      <c r="K12600" s="270" t="str">
        <f t="shared" si="2"/>
        <v/>
      </c>
      <c r="L12600">
        <f t="shared" si="3"/>
        <v>0</v>
      </c>
    </row>
    <row r="12601">
      <c r="A12601" s="107"/>
      <c r="D12601" s="270"/>
      <c r="H12601" s="106" t="str">
        <f t="shared" si="1"/>
        <v/>
      </c>
      <c r="J12601" t="str">
        <f>IFERROR(__xludf.DUMMYFUNCTION("IFS(
  AND(REGEXMATCH(E12601, ""台銀籌備帳戶|玉山帳戶""), REGEXMATCH(C12601, ""薪資"")), ""分潤支出"",
  AND(REGEXMATCH(E12601, ""Ben帳戶|Elsa帳戶|Ben代墊|Ariel代墊|中信銀行共用""), REGEXMATCH(F12601, ""Ben帳戶|Elsa帳戶|Ben代墊|Ariel代墊|中信銀行共用"")), ""內部轉帳(忽略)"",
  AND(E12601&lt;&gt;"""", F12601&lt;&gt;"&amp;""""", NOT(REGEXMATCH(C12601, ""薪資""))), ""內部轉帳(忽略)"",
  REGEXMATCH(C12601, ""薪資""), ""薪資變動(不計入)"",
  REGEXMATCH(C12601, ""押金""), ""押金往來"",
  AND(E12601&lt;&gt;"""", F12601=""""), ""真實支出"",
  AND(E12601="""", F12601&lt;&gt;""""), ""真實收入"",
  TRUE, ""其他""
)"),"其他")</f>
        <v>其他</v>
      </c>
      <c r="K12601" s="270" t="str">
        <f t="shared" si="2"/>
        <v/>
      </c>
      <c r="L12601">
        <f t="shared" si="3"/>
        <v>0</v>
      </c>
    </row>
    <row r="12602">
      <c r="A12602" s="107"/>
      <c r="D12602" s="270"/>
      <c r="H12602" s="106" t="str">
        <f t="shared" si="1"/>
        <v/>
      </c>
      <c r="J12602" t="str">
        <f>IFERROR(__xludf.DUMMYFUNCTION("IFS(
  AND(REGEXMATCH(E12602, ""台銀籌備帳戶|玉山帳戶""), REGEXMATCH(C12602, ""薪資"")), ""分潤支出"",
  AND(REGEXMATCH(E12602, ""Ben帳戶|Elsa帳戶|Ben代墊|Ariel代墊|中信銀行共用""), REGEXMATCH(F12602, ""Ben帳戶|Elsa帳戶|Ben代墊|Ariel代墊|中信銀行共用"")), ""內部轉帳(忽略)"",
  AND(E12602&lt;&gt;"""", F12602&lt;&gt;"&amp;""""", NOT(REGEXMATCH(C12602, ""薪資""))), ""內部轉帳(忽略)"",
  REGEXMATCH(C12602, ""薪資""), ""薪資變動(不計入)"",
  REGEXMATCH(C12602, ""押金""), ""押金往來"",
  AND(E12602&lt;&gt;"""", F12602=""""), ""真實支出"",
  AND(E12602="""", F12602&lt;&gt;""""), ""真實收入"",
  TRUE, ""其他""
)"),"其他")</f>
        <v>其他</v>
      </c>
      <c r="K12602" s="270" t="str">
        <f t="shared" si="2"/>
        <v/>
      </c>
      <c r="L12602">
        <f t="shared" si="3"/>
        <v>0</v>
      </c>
    </row>
    <row r="12603">
      <c r="A12603" s="107"/>
      <c r="D12603" s="270"/>
      <c r="H12603" s="106" t="str">
        <f t="shared" si="1"/>
        <v/>
      </c>
      <c r="J12603" t="str">
        <f>IFERROR(__xludf.DUMMYFUNCTION("IFS(
  AND(REGEXMATCH(E12603, ""台銀籌備帳戶|玉山帳戶""), REGEXMATCH(C12603, ""薪資"")), ""分潤支出"",
  AND(REGEXMATCH(E12603, ""Ben帳戶|Elsa帳戶|Ben代墊|Ariel代墊|中信銀行共用""), REGEXMATCH(F12603, ""Ben帳戶|Elsa帳戶|Ben代墊|Ariel代墊|中信銀行共用"")), ""內部轉帳(忽略)"",
  AND(E12603&lt;&gt;"""", F12603&lt;&gt;"&amp;""""", NOT(REGEXMATCH(C12603, ""薪資""))), ""內部轉帳(忽略)"",
  REGEXMATCH(C12603, ""薪資""), ""薪資變動(不計入)"",
  REGEXMATCH(C12603, ""押金""), ""押金往來"",
  AND(E12603&lt;&gt;"""", F12603=""""), ""真實支出"",
  AND(E12603="""", F12603&lt;&gt;""""), ""真實收入"",
  TRUE, ""其他""
)"),"其他")</f>
        <v>其他</v>
      </c>
      <c r="K12603" s="270" t="str">
        <f t="shared" si="2"/>
        <v/>
      </c>
      <c r="L12603">
        <f t="shared" si="3"/>
        <v>0</v>
      </c>
    </row>
    <row r="12604">
      <c r="A12604" s="107"/>
      <c r="D12604" s="270"/>
      <c r="H12604" s="106" t="str">
        <f t="shared" si="1"/>
        <v/>
      </c>
      <c r="J12604" t="str">
        <f>IFERROR(__xludf.DUMMYFUNCTION("IFS(
  AND(REGEXMATCH(E12604, ""台銀籌備帳戶|玉山帳戶""), REGEXMATCH(C12604, ""薪資"")), ""分潤支出"",
  AND(REGEXMATCH(E12604, ""Ben帳戶|Elsa帳戶|Ben代墊|Ariel代墊|中信銀行共用""), REGEXMATCH(F12604, ""Ben帳戶|Elsa帳戶|Ben代墊|Ariel代墊|中信銀行共用"")), ""內部轉帳(忽略)"",
  AND(E12604&lt;&gt;"""", F12604&lt;&gt;"&amp;""""", NOT(REGEXMATCH(C12604, ""薪資""))), ""內部轉帳(忽略)"",
  REGEXMATCH(C12604, ""薪資""), ""薪資變動(不計入)"",
  REGEXMATCH(C12604, ""押金""), ""押金往來"",
  AND(E12604&lt;&gt;"""", F12604=""""), ""真實支出"",
  AND(E12604="""", F12604&lt;&gt;""""), ""真實收入"",
  TRUE, ""其他""
)"),"其他")</f>
        <v>其他</v>
      </c>
      <c r="K12604" s="270" t="str">
        <f t="shared" si="2"/>
        <v/>
      </c>
      <c r="L12604">
        <f t="shared" si="3"/>
        <v>0</v>
      </c>
    </row>
    <row r="12605">
      <c r="A12605" s="107"/>
      <c r="D12605" s="270"/>
      <c r="H12605" s="106" t="str">
        <f t="shared" si="1"/>
        <v/>
      </c>
      <c r="J12605" t="str">
        <f>IFERROR(__xludf.DUMMYFUNCTION("IFS(
  AND(REGEXMATCH(E12605, ""台銀籌備帳戶|玉山帳戶""), REGEXMATCH(C12605, ""薪資"")), ""分潤支出"",
  AND(REGEXMATCH(E12605, ""Ben帳戶|Elsa帳戶|Ben代墊|Ariel代墊|中信銀行共用""), REGEXMATCH(F12605, ""Ben帳戶|Elsa帳戶|Ben代墊|Ariel代墊|中信銀行共用"")), ""內部轉帳(忽略)"",
  AND(E12605&lt;&gt;"""", F12605&lt;&gt;"&amp;""""", NOT(REGEXMATCH(C12605, ""薪資""))), ""內部轉帳(忽略)"",
  REGEXMATCH(C12605, ""薪資""), ""薪資變動(不計入)"",
  REGEXMATCH(C12605, ""押金""), ""押金往來"",
  AND(E12605&lt;&gt;"""", F12605=""""), ""真實支出"",
  AND(E12605="""", F12605&lt;&gt;""""), ""真實收入"",
  TRUE, ""其他""
)"),"其他")</f>
        <v>其他</v>
      </c>
      <c r="K12605" s="270" t="str">
        <f t="shared" si="2"/>
        <v/>
      </c>
      <c r="L12605">
        <f t="shared" si="3"/>
        <v>0</v>
      </c>
    </row>
    <row r="12606">
      <c r="A12606" s="107"/>
      <c r="D12606" s="270"/>
      <c r="H12606" s="106" t="str">
        <f t="shared" si="1"/>
        <v/>
      </c>
      <c r="J12606" t="str">
        <f>IFERROR(__xludf.DUMMYFUNCTION("IFS(
  AND(REGEXMATCH(E12606, ""台銀籌備帳戶|玉山帳戶""), REGEXMATCH(C12606, ""薪資"")), ""分潤支出"",
  AND(REGEXMATCH(E12606, ""Ben帳戶|Elsa帳戶|Ben代墊|Ariel代墊|中信銀行共用""), REGEXMATCH(F12606, ""Ben帳戶|Elsa帳戶|Ben代墊|Ariel代墊|中信銀行共用"")), ""內部轉帳(忽略)"",
  AND(E12606&lt;&gt;"""", F12606&lt;&gt;"&amp;""""", NOT(REGEXMATCH(C12606, ""薪資""))), ""內部轉帳(忽略)"",
  REGEXMATCH(C12606, ""薪資""), ""薪資變動(不計入)"",
  REGEXMATCH(C12606, ""押金""), ""押金往來"",
  AND(E12606&lt;&gt;"""", F12606=""""), ""真實支出"",
  AND(E12606="""", F12606&lt;&gt;""""), ""真實收入"",
  TRUE, ""其他""
)"),"其他")</f>
        <v>其他</v>
      </c>
      <c r="K12606" s="270" t="str">
        <f t="shared" si="2"/>
        <v/>
      </c>
      <c r="L12606">
        <f t="shared" si="3"/>
        <v>0</v>
      </c>
    </row>
    <row r="12607">
      <c r="A12607" s="107"/>
      <c r="D12607" s="270"/>
      <c r="H12607" s="106" t="str">
        <f t="shared" si="1"/>
        <v/>
      </c>
      <c r="J12607" t="str">
        <f>IFERROR(__xludf.DUMMYFUNCTION("IFS(
  AND(REGEXMATCH(E12607, ""台銀籌備帳戶|玉山帳戶""), REGEXMATCH(C12607, ""薪資"")), ""分潤支出"",
  AND(REGEXMATCH(E12607, ""Ben帳戶|Elsa帳戶|Ben代墊|Ariel代墊|中信銀行共用""), REGEXMATCH(F12607, ""Ben帳戶|Elsa帳戶|Ben代墊|Ariel代墊|中信銀行共用"")), ""內部轉帳(忽略)"",
  AND(E12607&lt;&gt;"""", F12607&lt;&gt;"&amp;""""", NOT(REGEXMATCH(C12607, ""薪資""))), ""內部轉帳(忽略)"",
  REGEXMATCH(C12607, ""薪資""), ""薪資變動(不計入)"",
  REGEXMATCH(C12607, ""押金""), ""押金往來"",
  AND(E12607&lt;&gt;"""", F12607=""""), ""真實支出"",
  AND(E12607="""", F12607&lt;&gt;""""), ""真實收入"",
  TRUE, ""其他""
)"),"其他")</f>
        <v>其他</v>
      </c>
      <c r="K12607" s="270" t="str">
        <f t="shared" si="2"/>
        <v/>
      </c>
      <c r="L12607">
        <f t="shared" si="3"/>
        <v>0</v>
      </c>
    </row>
    <row r="12608">
      <c r="A12608" s="107"/>
      <c r="D12608" s="270"/>
      <c r="H12608" s="106" t="str">
        <f t="shared" si="1"/>
        <v/>
      </c>
      <c r="J12608" t="str">
        <f>IFERROR(__xludf.DUMMYFUNCTION("IFS(
  AND(REGEXMATCH(E12608, ""台銀籌備帳戶|玉山帳戶""), REGEXMATCH(C12608, ""薪資"")), ""分潤支出"",
  AND(REGEXMATCH(E12608, ""Ben帳戶|Elsa帳戶|Ben代墊|Ariel代墊|中信銀行共用""), REGEXMATCH(F12608, ""Ben帳戶|Elsa帳戶|Ben代墊|Ariel代墊|中信銀行共用"")), ""內部轉帳(忽略)"",
  AND(E12608&lt;&gt;"""", F12608&lt;&gt;"&amp;""""", NOT(REGEXMATCH(C12608, ""薪資""))), ""內部轉帳(忽略)"",
  REGEXMATCH(C12608, ""薪資""), ""薪資變動(不計入)"",
  REGEXMATCH(C12608, ""押金""), ""押金往來"",
  AND(E12608&lt;&gt;"""", F12608=""""), ""真實支出"",
  AND(E12608="""", F12608&lt;&gt;""""), ""真實收入"",
  TRUE, ""其他""
)"),"其他")</f>
        <v>其他</v>
      </c>
      <c r="K12608" s="270" t="str">
        <f t="shared" si="2"/>
        <v/>
      </c>
      <c r="L12608">
        <f t="shared" si="3"/>
        <v>0</v>
      </c>
    </row>
    <row r="12609">
      <c r="A12609" s="107"/>
      <c r="D12609" s="270"/>
      <c r="H12609" s="106" t="str">
        <f t="shared" si="1"/>
        <v/>
      </c>
      <c r="J12609" t="str">
        <f>IFERROR(__xludf.DUMMYFUNCTION("IFS(
  AND(REGEXMATCH(E12609, ""台銀籌備帳戶|玉山帳戶""), REGEXMATCH(C12609, ""薪資"")), ""分潤支出"",
  AND(REGEXMATCH(E12609, ""Ben帳戶|Elsa帳戶|Ben代墊|Ariel代墊|中信銀行共用""), REGEXMATCH(F12609, ""Ben帳戶|Elsa帳戶|Ben代墊|Ariel代墊|中信銀行共用"")), ""內部轉帳(忽略)"",
  AND(E12609&lt;&gt;"""", F12609&lt;&gt;"&amp;""""", NOT(REGEXMATCH(C12609, ""薪資""))), ""內部轉帳(忽略)"",
  REGEXMATCH(C12609, ""薪資""), ""薪資變動(不計入)"",
  REGEXMATCH(C12609, ""押金""), ""押金往來"",
  AND(E12609&lt;&gt;"""", F12609=""""), ""真實支出"",
  AND(E12609="""", F12609&lt;&gt;""""), ""真實收入"",
  TRUE, ""其他""
)"),"其他")</f>
        <v>其他</v>
      </c>
      <c r="K12609" s="270" t="str">
        <f t="shared" si="2"/>
        <v/>
      </c>
      <c r="L12609">
        <f t="shared" si="3"/>
        <v>0</v>
      </c>
    </row>
    <row r="12610">
      <c r="A12610" s="107"/>
      <c r="D12610" s="270"/>
      <c r="H12610" s="106" t="str">
        <f t="shared" si="1"/>
        <v/>
      </c>
      <c r="J12610" t="str">
        <f>IFERROR(__xludf.DUMMYFUNCTION("IFS(
  AND(REGEXMATCH(E12610, ""台銀籌備帳戶|玉山帳戶""), REGEXMATCH(C12610, ""薪資"")), ""分潤支出"",
  AND(REGEXMATCH(E12610, ""Ben帳戶|Elsa帳戶|Ben代墊|Ariel代墊|中信銀行共用""), REGEXMATCH(F12610, ""Ben帳戶|Elsa帳戶|Ben代墊|Ariel代墊|中信銀行共用"")), ""內部轉帳(忽略)"",
  AND(E12610&lt;&gt;"""", F12610&lt;&gt;"&amp;""""", NOT(REGEXMATCH(C12610, ""薪資""))), ""內部轉帳(忽略)"",
  REGEXMATCH(C12610, ""薪資""), ""薪資變動(不計入)"",
  REGEXMATCH(C12610, ""押金""), ""押金往來"",
  AND(E12610&lt;&gt;"""", F12610=""""), ""真實支出"",
  AND(E12610="""", F12610&lt;&gt;""""), ""真實收入"",
  TRUE, ""其他""
)"),"其他")</f>
        <v>其他</v>
      </c>
      <c r="K12610" s="270" t="str">
        <f t="shared" si="2"/>
        <v/>
      </c>
      <c r="L12610">
        <f t="shared" si="3"/>
        <v>0</v>
      </c>
    </row>
    <row r="12611">
      <c r="A12611" s="107"/>
      <c r="D12611" s="270"/>
      <c r="H12611" s="106" t="str">
        <f t="shared" si="1"/>
        <v/>
      </c>
      <c r="J12611" t="str">
        <f>IFERROR(__xludf.DUMMYFUNCTION("IFS(
  AND(REGEXMATCH(E12611, ""台銀籌備帳戶|玉山帳戶""), REGEXMATCH(C12611, ""薪資"")), ""分潤支出"",
  AND(REGEXMATCH(E12611, ""Ben帳戶|Elsa帳戶|Ben代墊|Ariel代墊|中信銀行共用""), REGEXMATCH(F12611, ""Ben帳戶|Elsa帳戶|Ben代墊|Ariel代墊|中信銀行共用"")), ""內部轉帳(忽略)"",
  AND(E12611&lt;&gt;"""", F12611&lt;&gt;"&amp;""""", NOT(REGEXMATCH(C12611, ""薪資""))), ""內部轉帳(忽略)"",
  REGEXMATCH(C12611, ""薪資""), ""薪資變動(不計入)"",
  REGEXMATCH(C12611, ""押金""), ""押金往來"",
  AND(E12611&lt;&gt;"""", F12611=""""), ""真實支出"",
  AND(E12611="""", F12611&lt;&gt;""""), ""真實收入"",
  TRUE, ""其他""
)"),"其他")</f>
        <v>其他</v>
      </c>
      <c r="K12611" s="270" t="str">
        <f t="shared" si="2"/>
        <v/>
      </c>
      <c r="L12611">
        <f t="shared" si="3"/>
        <v>0</v>
      </c>
    </row>
    <row r="12612">
      <c r="A12612" s="107"/>
      <c r="D12612" s="270"/>
      <c r="H12612" s="106" t="str">
        <f t="shared" si="1"/>
        <v/>
      </c>
      <c r="J12612" t="str">
        <f>IFERROR(__xludf.DUMMYFUNCTION("IFS(
  AND(REGEXMATCH(E12612, ""台銀籌備帳戶|玉山帳戶""), REGEXMATCH(C12612, ""薪資"")), ""分潤支出"",
  AND(REGEXMATCH(E12612, ""Ben帳戶|Elsa帳戶|Ben代墊|Ariel代墊|中信銀行共用""), REGEXMATCH(F12612, ""Ben帳戶|Elsa帳戶|Ben代墊|Ariel代墊|中信銀行共用"")), ""內部轉帳(忽略)"",
  AND(E12612&lt;&gt;"""", F12612&lt;&gt;"&amp;""""", NOT(REGEXMATCH(C12612, ""薪資""))), ""內部轉帳(忽略)"",
  REGEXMATCH(C12612, ""薪資""), ""薪資變動(不計入)"",
  REGEXMATCH(C12612, ""押金""), ""押金往來"",
  AND(E12612&lt;&gt;"""", F12612=""""), ""真實支出"",
  AND(E12612="""", F12612&lt;&gt;""""), ""真實收入"",
  TRUE, ""其他""
)"),"其他")</f>
        <v>其他</v>
      </c>
      <c r="K12612" s="270" t="str">
        <f t="shared" si="2"/>
        <v/>
      </c>
      <c r="L12612">
        <f t="shared" si="3"/>
        <v>0</v>
      </c>
    </row>
    <row r="12613">
      <c r="A12613" s="107"/>
      <c r="D12613" s="270"/>
      <c r="H12613" s="106" t="str">
        <f t="shared" si="1"/>
        <v/>
      </c>
      <c r="J12613" t="str">
        <f>IFERROR(__xludf.DUMMYFUNCTION("IFS(
  AND(REGEXMATCH(E12613, ""台銀籌備帳戶|玉山帳戶""), REGEXMATCH(C12613, ""薪資"")), ""分潤支出"",
  AND(REGEXMATCH(E12613, ""Ben帳戶|Elsa帳戶|Ben代墊|Ariel代墊|中信銀行共用""), REGEXMATCH(F12613, ""Ben帳戶|Elsa帳戶|Ben代墊|Ariel代墊|中信銀行共用"")), ""內部轉帳(忽略)"",
  AND(E12613&lt;&gt;"""", F12613&lt;&gt;"&amp;""""", NOT(REGEXMATCH(C12613, ""薪資""))), ""內部轉帳(忽略)"",
  REGEXMATCH(C12613, ""薪資""), ""薪資變動(不計入)"",
  REGEXMATCH(C12613, ""押金""), ""押金往來"",
  AND(E12613&lt;&gt;"""", F12613=""""), ""真實支出"",
  AND(E12613="""", F12613&lt;&gt;""""), ""真實收入"",
  TRUE, ""其他""
)"),"其他")</f>
        <v>其他</v>
      </c>
      <c r="K12613" s="270" t="str">
        <f t="shared" si="2"/>
        <v/>
      </c>
      <c r="L12613">
        <f t="shared" si="3"/>
        <v>0</v>
      </c>
    </row>
    <row r="12614">
      <c r="A12614" s="107"/>
      <c r="D12614" s="270"/>
      <c r="H12614" s="106" t="str">
        <f t="shared" si="1"/>
        <v/>
      </c>
      <c r="J12614" t="str">
        <f>IFERROR(__xludf.DUMMYFUNCTION("IFS(
  AND(REGEXMATCH(E12614, ""台銀籌備帳戶|玉山帳戶""), REGEXMATCH(C12614, ""薪資"")), ""分潤支出"",
  AND(REGEXMATCH(E12614, ""Ben帳戶|Elsa帳戶|Ben代墊|Ariel代墊|中信銀行共用""), REGEXMATCH(F12614, ""Ben帳戶|Elsa帳戶|Ben代墊|Ariel代墊|中信銀行共用"")), ""內部轉帳(忽略)"",
  AND(E12614&lt;&gt;"""", F12614&lt;&gt;"&amp;""""", NOT(REGEXMATCH(C12614, ""薪資""))), ""內部轉帳(忽略)"",
  REGEXMATCH(C12614, ""薪資""), ""薪資變動(不計入)"",
  REGEXMATCH(C12614, ""押金""), ""押金往來"",
  AND(E12614&lt;&gt;"""", F12614=""""), ""真實支出"",
  AND(E12614="""", F12614&lt;&gt;""""), ""真實收入"",
  TRUE, ""其他""
)"),"其他")</f>
        <v>其他</v>
      </c>
      <c r="K12614" s="270" t="str">
        <f t="shared" si="2"/>
        <v/>
      </c>
      <c r="L12614">
        <f t="shared" si="3"/>
        <v>0</v>
      </c>
    </row>
    <row r="12615">
      <c r="A12615" s="107"/>
      <c r="D12615" s="270"/>
      <c r="H12615" s="106" t="str">
        <f t="shared" si="1"/>
        <v/>
      </c>
      <c r="J12615" t="str">
        <f>IFERROR(__xludf.DUMMYFUNCTION("IFS(
  AND(REGEXMATCH(E12615, ""台銀籌備帳戶|玉山帳戶""), REGEXMATCH(C12615, ""薪資"")), ""分潤支出"",
  AND(REGEXMATCH(E12615, ""Ben帳戶|Elsa帳戶|Ben代墊|Ariel代墊|中信銀行共用""), REGEXMATCH(F12615, ""Ben帳戶|Elsa帳戶|Ben代墊|Ariel代墊|中信銀行共用"")), ""內部轉帳(忽略)"",
  AND(E12615&lt;&gt;"""", F12615&lt;&gt;"&amp;""""", NOT(REGEXMATCH(C12615, ""薪資""))), ""內部轉帳(忽略)"",
  REGEXMATCH(C12615, ""薪資""), ""薪資變動(不計入)"",
  REGEXMATCH(C12615, ""押金""), ""押金往來"",
  AND(E12615&lt;&gt;"""", F12615=""""), ""真實支出"",
  AND(E12615="""", F12615&lt;&gt;""""), ""真實收入"",
  TRUE, ""其他""
)"),"其他")</f>
        <v>其他</v>
      </c>
      <c r="K12615" s="270" t="str">
        <f t="shared" si="2"/>
        <v/>
      </c>
      <c r="L12615">
        <f t="shared" si="3"/>
        <v>0</v>
      </c>
    </row>
    <row r="12616">
      <c r="A12616" s="107"/>
      <c r="D12616" s="270"/>
      <c r="H12616" s="106" t="str">
        <f t="shared" si="1"/>
        <v/>
      </c>
      <c r="J12616" t="str">
        <f>IFERROR(__xludf.DUMMYFUNCTION("IFS(
  AND(REGEXMATCH(E12616, ""台銀籌備帳戶|玉山帳戶""), REGEXMATCH(C12616, ""薪資"")), ""分潤支出"",
  AND(REGEXMATCH(E12616, ""Ben帳戶|Elsa帳戶|Ben代墊|Ariel代墊|中信銀行共用""), REGEXMATCH(F12616, ""Ben帳戶|Elsa帳戶|Ben代墊|Ariel代墊|中信銀行共用"")), ""內部轉帳(忽略)"",
  AND(E12616&lt;&gt;"""", F12616&lt;&gt;"&amp;""""", NOT(REGEXMATCH(C12616, ""薪資""))), ""內部轉帳(忽略)"",
  REGEXMATCH(C12616, ""薪資""), ""薪資變動(不計入)"",
  REGEXMATCH(C12616, ""押金""), ""押金往來"",
  AND(E12616&lt;&gt;"""", F12616=""""), ""真實支出"",
  AND(E12616="""", F12616&lt;&gt;""""), ""真實收入"",
  TRUE, ""其他""
)"),"其他")</f>
        <v>其他</v>
      </c>
      <c r="K12616" s="270" t="str">
        <f t="shared" si="2"/>
        <v/>
      </c>
      <c r="L12616">
        <f t="shared" si="3"/>
        <v>0</v>
      </c>
    </row>
    <row r="12617">
      <c r="A12617" s="107"/>
      <c r="D12617" s="270"/>
      <c r="H12617" s="106" t="str">
        <f t="shared" si="1"/>
        <v/>
      </c>
      <c r="J12617" t="str">
        <f>IFERROR(__xludf.DUMMYFUNCTION("IFS(
  AND(REGEXMATCH(E12617, ""台銀籌備帳戶|玉山帳戶""), REGEXMATCH(C12617, ""薪資"")), ""分潤支出"",
  AND(REGEXMATCH(E12617, ""Ben帳戶|Elsa帳戶|Ben代墊|Ariel代墊|中信銀行共用""), REGEXMATCH(F12617, ""Ben帳戶|Elsa帳戶|Ben代墊|Ariel代墊|中信銀行共用"")), ""內部轉帳(忽略)"",
  AND(E12617&lt;&gt;"""", F12617&lt;&gt;"&amp;""""", NOT(REGEXMATCH(C12617, ""薪資""))), ""內部轉帳(忽略)"",
  REGEXMATCH(C12617, ""薪資""), ""薪資變動(不計入)"",
  REGEXMATCH(C12617, ""押金""), ""押金往來"",
  AND(E12617&lt;&gt;"""", F12617=""""), ""真實支出"",
  AND(E12617="""", F12617&lt;&gt;""""), ""真實收入"",
  TRUE, ""其他""
)"),"其他")</f>
        <v>其他</v>
      </c>
      <c r="K12617" s="270" t="str">
        <f t="shared" si="2"/>
        <v/>
      </c>
      <c r="L12617">
        <f t="shared" si="3"/>
        <v>0</v>
      </c>
    </row>
    <row r="12618">
      <c r="A12618" s="107"/>
      <c r="D12618" s="270"/>
      <c r="H12618" s="106" t="str">
        <f t="shared" si="1"/>
        <v/>
      </c>
      <c r="J12618" t="str">
        <f>IFERROR(__xludf.DUMMYFUNCTION("IFS(
  AND(REGEXMATCH(E12618, ""台銀籌備帳戶|玉山帳戶""), REGEXMATCH(C12618, ""薪資"")), ""分潤支出"",
  AND(REGEXMATCH(E12618, ""Ben帳戶|Elsa帳戶|Ben代墊|Ariel代墊|中信銀行共用""), REGEXMATCH(F12618, ""Ben帳戶|Elsa帳戶|Ben代墊|Ariel代墊|中信銀行共用"")), ""內部轉帳(忽略)"",
  AND(E12618&lt;&gt;"""", F12618&lt;&gt;"&amp;""""", NOT(REGEXMATCH(C12618, ""薪資""))), ""內部轉帳(忽略)"",
  REGEXMATCH(C12618, ""薪資""), ""薪資變動(不計入)"",
  REGEXMATCH(C12618, ""押金""), ""押金往來"",
  AND(E12618&lt;&gt;"""", F12618=""""), ""真實支出"",
  AND(E12618="""", F12618&lt;&gt;""""), ""真實收入"",
  TRUE, ""其他""
)"),"其他")</f>
        <v>其他</v>
      </c>
      <c r="K12618" s="270" t="str">
        <f t="shared" si="2"/>
        <v/>
      </c>
      <c r="L12618">
        <f t="shared" si="3"/>
        <v>0</v>
      </c>
    </row>
    <row r="12619">
      <c r="A12619" s="107"/>
      <c r="D12619" s="270"/>
      <c r="H12619" s="106" t="str">
        <f t="shared" si="1"/>
        <v/>
      </c>
      <c r="J12619" t="str">
        <f>IFERROR(__xludf.DUMMYFUNCTION("IFS(
  AND(REGEXMATCH(E12619, ""台銀籌備帳戶|玉山帳戶""), REGEXMATCH(C12619, ""薪資"")), ""分潤支出"",
  AND(REGEXMATCH(E12619, ""Ben帳戶|Elsa帳戶|Ben代墊|Ariel代墊|中信銀行共用""), REGEXMATCH(F12619, ""Ben帳戶|Elsa帳戶|Ben代墊|Ariel代墊|中信銀行共用"")), ""內部轉帳(忽略)"",
  AND(E12619&lt;&gt;"""", F12619&lt;&gt;"&amp;""""", NOT(REGEXMATCH(C12619, ""薪資""))), ""內部轉帳(忽略)"",
  REGEXMATCH(C12619, ""薪資""), ""薪資變動(不計入)"",
  REGEXMATCH(C12619, ""押金""), ""押金往來"",
  AND(E12619&lt;&gt;"""", F12619=""""), ""真實支出"",
  AND(E12619="""", F12619&lt;&gt;""""), ""真實收入"",
  TRUE, ""其他""
)"),"其他")</f>
        <v>其他</v>
      </c>
      <c r="K12619" s="270" t="str">
        <f t="shared" si="2"/>
        <v/>
      </c>
      <c r="L12619">
        <f t="shared" si="3"/>
        <v>0</v>
      </c>
    </row>
    <row r="12620">
      <c r="A12620" s="107"/>
      <c r="D12620" s="270"/>
      <c r="H12620" s="106" t="str">
        <f t="shared" si="1"/>
        <v/>
      </c>
      <c r="J12620" t="str">
        <f>IFERROR(__xludf.DUMMYFUNCTION("IFS(
  AND(REGEXMATCH(E12620, ""台銀籌備帳戶|玉山帳戶""), REGEXMATCH(C12620, ""薪資"")), ""分潤支出"",
  AND(REGEXMATCH(E12620, ""Ben帳戶|Elsa帳戶|Ben代墊|Ariel代墊|中信銀行共用""), REGEXMATCH(F12620, ""Ben帳戶|Elsa帳戶|Ben代墊|Ariel代墊|中信銀行共用"")), ""內部轉帳(忽略)"",
  AND(E12620&lt;&gt;"""", F12620&lt;&gt;"&amp;""""", NOT(REGEXMATCH(C12620, ""薪資""))), ""內部轉帳(忽略)"",
  REGEXMATCH(C12620, ""薪資""), ""薪資變動(不計入)"",
  REGEXMATCH(C12620, ""押金""), ""押金往來"",
  AND(E12620&lt;&gt;"""", F12620=""""), ""真實支出"",
  AND(E12620="""", F12620&lt;&gt;""""), ""真實收入"",
  TRUE, ""其他""
)"),"其他")</f>
        <v>其他</v>
      </c>
      <c r="K12620" s="270" t="str">
        <f t="shared" si="2"/>
        <v/>
      </c>
      <c r="L12620">
        <f t="shared" si="3"/>
        <v>0</v>
      </c>
    </row>
    <row r="12621">
      <c r="A12621" s="107"/>
      <c r="D12621" s="270"/>
      <c r="H12621" s="106" t="str">
        <f t="shared" si="1"/>
        <v/>
      </c>
      <c r="J12621" t="str">
        <f>IFERROR(__xludf.DUMMYFUNCTION("IFS(
  AND(REGEXMATCH(E12621, ""台銀籌備帳戶|玉山帳戶""), REGEXMATCH(C12621, ""薪資"")), ""分潤支出"",
  AND(REGEXMATCH(E12621, ""Ben帳戶|Elsa帳戶|Ben代墊|Ariel代墊|中信銀行共用""), REGEXMATCH(F12621, ""Ben帳戶|Elsa帳戶|Ben代墊|Ariel代墊|中信銀行共用"")), ""內部轉帳(忽略)"",
  AND(E12621&lt;&gt;"""", F12621&lt;&gt;"&amp;""""", NOT(REGEXMATCH(C12621, ""薪資""))), ""內部轉帳(忽略)"",
  REGEXMATCH(C12621, ""薪資""), ""薪資變動(不計入)"",
  REGEXMATCH(C12621, ""押金""), ""押金往來"",
  AND(E12621&lt;&gt;"""", F12621=""""), ""真實支出"",
  AND(E12621="""", F12621&lt;&gt;""""), ""真實收入"",
  TRUE, ""其他""
)"),"其他")</f>
        <v>其他</v>
      </c>
      <c r="K12621" s="270" t="str">
        <f t="shared" si="2"/>
        <v/>
      </c>
      <c r="L12621">
        <f t="shared" si="3"/>
        <v>0</v>
      </c>
    </row>
    <row r="12622">
      <c r="A12622" s="107"/>
      <c r="D12622" s="270"/>
      <c r="H12622" s="106" t="str">
        <f t="shared" si="1"/>
        <v/>
      </c>
      <c r="J12622" t="str">
        <f>IFERROR(__xludf.DUMMYFUNCTION("IFS(
  AND(REGEXMATCH(E12622, ""台銀籌備帳戶|玉山帳戶""), REGEXMATCH(C12622, ""薪資"")), ""分潤支出"",
  AND(REGEXMATCH(E12622, ""Ben帳戶|Elsa帳戶|Ben代墊|Ariel代墊|中信銀行共用""), REGEXMATCH(F12622, ""Ben帳戶|Elsa帳戶|Ben代墊|Ariel代墊|中信銀行共用"")), ""內部轉帳(忽略)"",
  AND(E12622&lt;&gt;"""", F12622&lt;&gt;"&amp;""""", NOT(REGEXMATCH(C12622, ""薪資""))), ""內部轉帳(忽略)"",
  REGEXMATCH(C12622, ""薪資""), ""薪資變動(不計入)"",
  REGEXMATCH(C12622, ""押金""), ""押金往來"",
  AND(E12622&lt;&gt;"""", F12622=""""), ""真實支出"",
  AND(E12622="""", F12622&lt;&gt;""""), ""真實收入"",
  TRUE, ""其他""
)"),"其他")</f>
        <v>其他</v>
      </c>
      <c r="K12622" s="270" t="str">
        <f t="shared" si="2"/>
        <v/>
      </c>
      <c r="L12622">
        <f t="shared" si="3"/>
        <v>0</v>
      </c>
    </row>
    <row r="12623">
      <c r="A12623" s="107"/>
      <c r="D12623" s="270"/>
      <c r="H12623" s="106" t="str">
        <f t="shared" si="1"/>
        <v/>
      </c>
      <c r="J12623" t="str">
        <f>IFERROR(__xludf.DUMMYFUNCTION("IFS(
  AND(REGEXMATCH(E12623, ""台銀籌備帳戶|玉山帳戶""), REGEXMATCH(C12623, ""薪資"")), ""分潤支出"",
  AND(REGEXMATCH(E12623, ""Ben帳戶|Elsa帳戶|Ben代墊|Ariel代墊|中信銀行共用""), REGEXMATCH(F12623, ""Ben帳戶|Elsa帳戶|Ben代墊|Ariel代墊|中信銀行共用"")), ""內部轉帳(忽略)"",
  AND(E12623&lt;&gt;"""", F12623&lt;&gt;"&amp;""""", NOT(REGEXMATCH(C12623, ""薪資""))), ""內部轉帳(忽略)"",
  REGEXMATCH(C12623, ""薪資""), ""薪資變動(不計入)"",
  REGEXMATCH(C12623, ""押金""), ""押金往來"",
  AND(E12623&lt;&gt;"""", F12623=""""), ""真實支出"",
  AND(E12623="""", F12623&lt;&gt;""""), ""真實收入"",
  TRUE, ""其他""
)"),"其他")</f>
        <v>其他</v>
      </c>
      <c r="K12623" s="270" t="str">
        <f t="shared" si="2"/>
        <v/>
      </c>
      <c r="L12623">
        <f t="shared" si="3"/>
        <v>0</v>
      </c>
    </row>
    <row r="12624">
      <c r="A12624" s="107"/>
      <c r="D12624" s="270"/>
      <c r="H12624" s="106" t="str">
        <f t="shared" si="1"/>
        <v/>
      </c>
      <c r="J12624" t="str">
        <f>IFERROR(__xludf.DUMMYFUNCTION("IFS(
  AND(REGEXMATCH(E12624, ""台銀籌備帳戶|玉山帳戶""), REGEXMATCH(C12624, ""薪資"")), ""分潤支出"",
  AND(REGEXMATCH(E12624, ""Ben帳戶|Elsa帳戶|Ben代墊|Ariel代墊|中信銀行共用""), REGEXMATCH(F12624, ""Ben帳戶|Elsa帳戶|Ben代墊|Ariel代墊|中信銀行共用"")), ""內部轉帳(忽略)"",
  AND(E12624&lt;&gt;"""", F12624&lt;&gt;"&amp;""""", NOT(REGEXMATCH(C12624, ""薪資""))), ""內部轉帳(忽略)"",
  REGEXMATCH(C12624, ""薪資""), ""薪資變動(不計入)"",
  REGEXMATCH(C12624, ""押金""), ""押金往來"",
  AND(E12624&lt;&gt;"""", F12624=""""), ""真實支出"",
  AND(E12624="""", F12624&lt;&gt;""""), ""真實收入"",
  TRUE, ""其他""
)"),"其他")</f>
        <v>其他</v>
      </c>
      <c r="K12624" s="270" t="str">
        <f t="shared" si="2"/>
        <v/>
      </c>
      <c r="L12624">
        <f t="shared" si="3"/>
        <v>0</v>
      </c>
    </row>
    <row r="12625">
      <c r="A12625" s="107"/>
      <c r="D12625" s="270"/>
      <c r="H12625" s="106" t="str">
        <f t="shared" si="1"/>
        <v/>
      </c>
      <c r="J12625" t="str">
        <f>IFERROR(__xludf.DUMMYFUNCTION("IFS(
  AND(REGEXMATCH(E12625, ""台銀籌備帳戶|玉山帳戶""), REGEXMATCH(C12625, ""薪資"")), ""分潤支出"",
  AND(REGEXMATCH(E12625, ""Ben帳戶|Elsa帳戶|Ben代墊|Ariel代墊|中信銀行共用""), REGEXMATCH(F12625, ""Ben帳戶|Elsa帳戶|Ben代墊|Ariel代墊|中信銀行共用"")), ""內部轉帳(忽略)"",
  AND(E12625&lt;&gt;"""", F12625&lt;&gt;"&amp;""""", NOT(REGEXMATCH(C12625, ""薪資""))), ""內部轉帳(忽略)"",
  REGEXMATCH(C12625, ""薪資""), ""薪資變動(不計入)"",
  REGEXMATCH(C12625, ""押金""), ""押金往來"",
  AND(E12625&lt;&gt;"""", F12625=""""), ""真實支出"",
  AND(E12625="""", F12625&lt;&gt;""""), ""真實收入"",
  TRUE, ""其他""
)"),"其他")</f>
        <v>其他</v>
      </c>
      <c r="K12625" s="270" t="str">
        <f t="shared" si="2"/>
        <v/>
      </c>
      <c r="L12625">
        <f t="shared" si="3"/>
        <v>0</v>
      </c>
    </row>
    <row r="12626">
      <c r="A12626" s="107"/>
      <c r="D12626" s="270"/>
      <c r="H12626" s="106" t="str">
        <f t="shared" si="1"/>
        <v/>
      </c>
      <c r="J12626" t="str">
        <f>IFERROR(__xludf.DUMMYFUNCTION("IFS(
  AND(REGEXMATCH(E12626, ""台銀籌備帳戶|玉山帳戶""), REGEXMATCH(C12626, ""薪資"")), ""分潤支出"",
  AND(REGEXMATCH(E12626, ""Ben帳戶|Elsa帳戶|Ben代墊|Ariel代墊|中信銀行共用""), REGEXMATCH(F12626, ""Ben帳戶|Elsa帳戶|Ben代墊|Ariel代墊|中信銀行共用"")), ""內部轉帳(忽略)"",
  AND(E12626&lt;&gt;"""", F12626&lt;&gt;"&amp;""""", NOT(REGEXMATCH(C12626, ""薪資""))), ""內部轉帳(忽略)"",
  REGEXMATCH(C12626, ""薪資""), ""薪資變動(不計入)"",
  REGEXMATCH(C12626, ""押金""), ""押金往來"",
  AND(E12626&lt;&gt;"""", F12626=""""), ""真實支出"",
  AND(E12626="""", F12626&lt;&gt;""""), ""真實收入"",
  TRUE, ""其他""
)"),"其他")</f>
        <v>其他</v>
      </c>
      <c r="K12626" s="270" t="str">
        <f t="shared" si="2"/>
        <v/>
      </c>
      <c r="L12626">
        <f t="shared" si="3"/>
        <v>0</v>
      </c>
    </row>
    <row r="12627">
      <c r="A12627" s="107"/>
      <c r="D12627" s="270"/>
      <c r="H12627" s="106" t="str">
        <f t="shared" si="1"/>
        <v/>
      </c>
      <c r="J12627" t="str">
        <f>IFERROR(__xludf.DUMMYFUNCTION("IFS(
  AND(REGEXMATCH(E12627, ""台銀籌備帳戶|玉山帳戶""), REGEXMATCH(C12627, ""薪資"")), ""分潤支出"",
  AND(REGEXMATCH(E12627, ""Ben帳戶|Elsa帳戶|Ben代墊|Ariel代墊|中信銀行共用""), REGEXMATCH(F12627, ""Ben帳戶|Elsa帳戶|Ben代墊|Ariel代墊|中信銀行共用"")), ""內部轉帳(忽略)"",
  AND(E12627&lt;&gt;"""", F12627&lt;&gt;"&amp;""""", NOT(REGEXMATCH(C12627, ""薪資""))), ""內部轉帳(忽略)"",
  REGEXMATCH(C12627, ""薪資""), ""薪資變動(不計入)"",
  REGEXMATCH(C12627, ""押金""), ""押金往來"",
  AND(E12627&lt;&gt;"""", F12627=""""), ""真實支出"",
  AND(E12627="""", F12627&lt;&gt;""""), ""真實收入"",
  TRUE, ""其他""
)"),"其他")</f>
        <v>其他</v>
      </c>
      <c r="K12627" s="270" t="str">
        <f t="shared" si="2"/>
        <v/>
      </c>
      <c r="L12627">
        <f t="shared" si="3"/>
        <v>0</v>
      </c>
    </row>
    <row r="12628">
      <c r="A12628" s="107"/>
      <c r="D12628" s="270"/>
      <c r="H12628" s="106" t="str">
        <f t="shared" si="1"/>
        <v/>
      </c>
      <c r="J12628" t="str">
        <f>IFERROR(__xludf.DUMMYFUNCTION("IFS(
  AND(REGEXMATCH(E12628, ""台銀籌備帳戶|玉山帳戶""), REGEXMATCH(C12628, ""薪資"")), ""分潤支出"",
  AND(REGEXMATCH(E12628, ""Ben帳戶|Elsa帳戶|Ben代墊|Ariel代墊|中信銀行共用""), REGEXMATCH(F12628, ""Ben帳戶|Elsa帳戶|Ben代墊|Ariel代墊|中信銀行共用"")), ""內部轉帳(忽略)"",
  AND(E12628&lt;&gt;"""", F12628&lt;&gt;"&amp;""""", NOT(REGEXMATCH(C12628, ""薪資""))), ""內部轉帳(忽略)"",
  REGEXMATCH(C12628, ""薪資""), ""薪資變動(不計入)"",
  REGEXMATCH(C12628, ""押金""), ""押金往來"",
  AND(E12628&lt;&gt;"""", F12628=""""), ""真實支出"",
  AND(E12628="""", F12628&lt;&gt;""""), ""真實收入"",
  TRUE, ""其他""
)"),"其他")</f>
        <v>其他</v>
      </c>
      <c r="K12628" s="270" t="str">
        <f t="shared" si="2"/>
        <v/>
      </c>
      <c r="L12628">
        <f t="shared" si="3"/>
        <v>0</v>
      </c>
    </row>
    <row r="12629">
      <c r="A12629" s="107"/>
      <c r="D12629" s="270"/>
      <c r="H12629" s="106" t="str">
        <f t="shared" si="1"/>
        <v/>
      </c>
      <c r="J12629" t="str">
        <f>IFERROR(__xludf.DUMMYFUNCTION("IFS(
  AND(REGEXMATCH(E12629, ""台銀籌備帳戶|玉山帳戶""), REGEXMATCH(C12629, ""薪資"")), ""分潤支出"",
  AND(REGEXMATCH(E12629, ""Ben帳戶|Elsa帳戶|Ben代墊|Ariel代墊|中信銀行共用""), REGEXMATCH(F12629, ""Ben帳戶|Elsa帳戶|Ben代墊|Ariel代墊|中信銀行共用"")), ""內部轉帳(忽略)"",
  AND(E12629&lt;&gt;"""", F12629&lt;&gt;"&amp;""""", NOT(REGEXMATCH(C12629, ""薪資""))), ""內部轉帳(忽略)"",
  REGEXMATCH(C12629, ""薪資""), ""薪資變動(不計入)"",
  REGEXMATCH(C12629, ""押金""), ""押金往來"",
  AND(E12629&lt;&gt;"""", F12629=""""), ""真實支出"",
  AND(E12629="""", F12629&lt;&gt;""""), ""真實收入"",
  TRUE, ""其他""
)"),"其他")</f>
        <v>其他</v>
      </c>
      <c r="K12629" s="270" t="str">
        <f t="shared" si="2"/>
        <v/>
      </c>
      <c r="L12629">
        <f t="shared" si="3"/>
        <v>0</v>
      </c>
    </row>
    <row r="12630">
      <c r="A12630" s="107"/>
      <c r="D12630" s="270"/>
      <c r="H12630" s="106" t="str">
        <f t="shared" si="1"/>
        <v/>
      </c>
      <c r="J12630" t="str">
        <f>IFERROR(__xludf.DUMMYFUNCTION("IFS(
  AND(REGEXMATCH(E12630, ""台銀籌備帳戶|玉山帳戶""), REGEXMATCH(C12630, ""薪資"")), ""分潤支出"",
  AND(REGEXMATCH(E12630, ""Ben帳戶|Elsa帳戶|Ben代墊|Ariel代墊|中信銀行共用""), REGEXMATCH(F12630, ""Ben帳戶|Elsa帳戶|Ben代墊|Ariel代墊|中信銀行共用"")), ""內部轉帳(忽略)"",
  AND(E12630&lt;&gt;"""", F12630&lt;&gt;"&amp;""""", NOT(REGEXMATCH(C12630, ""薪資""))), ""內部轉帳(忽略)"",
  REGEXMATCH(C12630, ""薪資""), ""薪資變動(不計入)"",
  REGEXMATCH(C12630, ""押金""), ""押金往來"",
  AND(E12630&lt;&gt;"""", F12630=""""), ""真實支出"",
  AND(E12630="""", F12630&lt;&gt;""""), ""真實收入"",
  TRUE, ""其他""
)"),"其他")</f>
        <v>其他</v>
      </c>
      <c r="K12630" s="270" t="str">
        <f t="shared" si="2"/>
        <v/>
      </c>
      <c r="L12630">
        <f t="shared" si="3"/>
        <v>0</v>
      </c>
    </row>
    <row r="12631">
      <c r="A12631" s="107"/>
      <c r="D12631" s="270"/>
      <c r="H12631" s="106" t="str">
        <f t="shared" si="1"/>
        <v/>
      </c>
      <c r="J12631" t="str">
        <f>IFERROR(__xludf.DUMMYFUNCTION("IFS(
  AND(REGEXMATCH(E12631, ""台銀籌備帳戶|玉山帳戶""), REGEXMATCH(C12631, ""薪資"")), ""分潤支出"",
  AND(REGEXMATCH(E12631, ""Ben帳戶|Elsa帳戶|Ben代墊|Ariel代墊|中信銀行共用""), REGEXMATCH(F12631, ""Ben帳戶|Elsa帳戶|Ben代墊|Ariel代墊|中信銀行共用"")), ""內部轉帳(忽略)"",
  AND(E12631&lt;&gt;"""", F12631&lt;&gt;"&amp;""""", NOT(REGEXMATCH(C12631, ""薪資""))), ""內部轉帳(忽略)"",
  REGEXMATCH(C12631, ""薪資""), ""薪資變動(不計入)"",
  REGEXMATCH(C12631, ""押金""), ""押金往來"",
  AND(E12631&lt;&gt;"""", F12631=""""), ""真實支出"",
  AND(E12631="""", F12631&lt;&gt;""""), ""真實收入"",
  TRUE, ""其他""
)"),"其他")</f>
        <v>其他</v>
      </c>
      <c r="K12631" s="270" t="str">
        <f t="shared" si="2"/>
        <v/>
      </c>
      <c r="L12631">
        <f t="shared" si="3"/>
        <v>0</v>
      </c>
    </row>
    <row r="12632">
      <c r="A12632" s="107"/>
      <c r="D12632" s="270"/>
      <c r="H12632" s="106" t="str">
        <f t="shared" si="1"/>
        <v/>
      </c>
      <c r="J12632" t="str">
        <f>IFERROR(__xludf.DUMMYFUNCTION("IFS(
  AND(REGEXMATCH(E12632, ""台銀籌備帳戶|玉山帳戶""), REGEXMATCH(C12632, ""薪資"")), ""分潤支出"",
  AND(REGEXMATCH(E12632, ""Ben帳戶|Elsa帳戶|Ben代墊|Ariel代墊|中信銀行共用""), REGEXMATCH(F12632, ""Ben帳戶|Elsa帳戶|Ben代墊|Ariel代墊|中信銀行共用"")), ""內部轉帳(忽略)"",
  AND(E12632&lt;&gt;"""", F12632&lt;&gt;"&amp;""""", NOT(REGEXMATCH(C12632, ""薪資""))), ""內部轉帳(忽略)"",
  REGEXMATCH(C12632, ""薪資""), ""薪資變動(不計入)"",
  REGEXMATCH(C12632, ""押金""), ""押金往來"",
  AND(E12632&lt;&gt;"""", F12632=""""), ""真實支出"",
  AND(E12632="""", F12632&lt;&gt;""""), ""真實收入"",
  TRUE, ""其他""
)"),"其他")</f>
        <v>其他</v>
      </c>
      <c r="K12632" s="270" t="str">
        <f t="shared" si="2"/>
        <v/>
      </c>
      <c r="L12632">
        <f t="shared" si="3"/>
        <v>0</v>
      </c>
    </row>
    <row r="12633">
      <c r="A12633" s="107"/>
      <c r="D12633" s="270"/>
      <c r="H12633" s="106" t="str">
        <f t="shared" si="1"/>
        <v/>
      </c>
      <c r="J12633" t="str">
        <f>IFERROR(__xludf.DUMMYFUNCTION("IFS(
  AND(REGEXMATCH(E12633, ""台銀籌備帳戶|玉山帳戶""), REGEXMATCH(C12633, ""薪資"")), ""分潤支出"",
  AND(REGEXMATCH(E12633, ""Ben帳戶|Elsa帳戶|Ben代墊|Ariel代墊|中信銀行共用""), REGEXMATCH(F12633, ""Ben帳戶|Elsa帳戶|Ben代墊|Ariel代墊|中信銀行共用"")), ""內部轉帳(忽略)"",
  AND(E12633&lt;&gt;"""", F12633&lt;&gt;"&amp;""""", NOT(REGEXMATCH(C12633, ""薪資""))), ""內部轉帳(忽略)"",
  REGEXMATCH(C12633, ""薪資""), ""薪資變動(不計入)"",
  REGEXMATCH(C12633, ""押金""), ""押金往來"",
  AND(E12633&lt;&gt;"""", F12633=""""), ""真實支出"",
  AND(E12633="""", F12633&lt;&gt;""""), ""真實收入"",
  TRUE, ""其他""
)"),"其他")</f>
        <v>其他</v>
      </c>
      <c r="K12633" s="270" t="str">
        <f t="shared" si="2"/>
        <v/>
      </c>
      <c r="L12633">
        <f t="shared" si="3"/>
        <v>0</v>
      </c>
    </row>
    <row r="12634">
      <c r="A12634" s="107"/>
      <c r="D12634" s="270"/>
      <c r="H12634" s="106" t="str">
        <f t="shared" si="1"/>
        <v/>
      </c>
      <c r="J12634" t="str">
        <f>IFERROR(__xludf.DUMMYFUNCTION("IFS(
  AND(REGEXMATCH(E12634, ""台銀籌備帳戶|玉山帳戶""), REGEXMATCH(C12634, ""薪資"")), ""分潤支出"",
  AND(REGEXMATCH(E12634, ""Ben帳戶|Elsa帳戶|Ben代墊|Ariel代墊|中信銀行共用""), REGEXMATCH(F12634, ""Ben帳戶|Elsa帳戶|Ben代墊|Ariel代墊|中信銀行共用"")), ""內部轉帳(忽略)"",
  AND(E12634&lt;&gt;"""", F12634&lt;&gt;"&amp;""""", NOT(REGEXMATCH(C12634, ""薪資""))), ""內部轉帳(忽略)"",
  REGEXMATCH(C12634, ""薪資""), ""薪資變動(不計入)"",
  REGEXMATCH(C12634, ""押金""), ""押金往來"",
  AND(E12634&lt;&gt;"""", F12634=""""), ""真實支出"",
  AND(E12634="""", F12634&lt;&gt;""""), ""真實收入"",
  TRUE, ""其他""
)"),"其他")</f>
        <v>其他</v>
      </c>
      <c r="K12634" s="270" t="str">
        <f t="shared" si="2"/>
        <v/>
      </c>
      <c r="L12634">
        <f t="shared" si="3"/>
        <v>0</v>
      </c>
    </row>
    <row r="12635">
      <c r="A12635" s="107"/>
      <c r="D12635" s="270"/>
      <c r="H12635" s="106" t="str">
        <f t="shared" si="1"/>
        <v/>
      </c>
      <c r="J12635" t="str">
        <f>IFERROR(__xludf.DUMMYFUNCTION("IFS(
  AND(REGEXMATCH(E12635, ""台銀籌備帳戶|玉山帳戶""), REGEXMATCH(C12635, ""薪資"")), ""分潤支出"",
  AND(REGEXMATCH(E12635, ""Ben帳戶|Elsa帳戶|Ben代墊|Ariel代墊|中信銀行共用""), REGEXMATCH(F12635, ""Ben帳戶|Elsa帳戶|Ben代墊|Ariel代墊|中信銀行共用"")), ""內部轉帳(忽略)"",
  AND(E12635&lt;&gt;"""", F12635&lt;&gt;"&amp;""""", NOT(REGEXMATCH(C12635, ""薪資""))), ""內部轉帳(忽略)"",
  REGEXMATCH(C12635, ""薪資""), ""薪資變動(不計入)"",
  REGEXMATCH(C12635, ""押金""), ""押金往來"",
  AND(E12635&lt;&gt;"""", F12635=""""), ""真實支出"",
  AND(E12635="""", F12635&lt;&gt;""""), ""真實收入"",
  TRUE, ""其他""
)"),"其他")</f>
        <v>其他</v>
      </c>
      <c r="K12635" s="270" t="str">
        <f t="shared" si="2"/>
        <v/>
      </c>
      <c r="L12635">
        <f t="shared" si="3"/>
        <v>0</v>
      </c>
    </row>
    <row r="12636">
      <c r="A12636" s="107"/>
      <c r="D12636" s="270"/>
      <c r="H12636" s="106" t="str">
        <f t="shared" si="1"/>
        <v/>
      </c>
      <c r="J12636" t="str">
        <f>IFERROR(__xludf.DUMMYFUNCTION("IFS(
  AND(REGEXMATCH(E12636, ""台銀籌備帳戶|玉山帳戶""), REGEXMATCH(C12636, ""薪資"")), ""分潤支出"",
  AND(REGEXMATCH(E12636, ""Ben帳戶|Elsa帳戶|Ben代墊|Ariel代墊|中信銀行共用""), REGEXMATCH(F12636, ""Ben帳戶|Elsa帳戶|Ben代墊|Ariel代墊|中信銀行共用"")), ""內部轉帳(忽略)"",
  AND(E12636&lt;&gt;"""", F12636&lt;&gt;"&amp;""""", NOT(REGEXMATCH(C12636, ""薪資""))), ""內部轉帳(忽略)"",
  REGEXMATCH(C12636, ""薪資""), ""薪資變動(不計入)"",
  REGEXMATCH(C12636, ""押金""), ""押金往來"",
  AND(E12636&lt;&gt;"""", F12636=""""), ""真實支出"",
  AND(E12636="""", F12636&lt;&gt;""""), ""真實收入"",
  TRUE, ""其他""
)"),"其他")</f>
        <v>其他</v>
      </c>
      <c r="K12636" s="270" t="str">
        <f t="shared" si="2"/>
        <v/>
      </c>
      <c r="L12636">
        <f t="shared" si="3"/>
        <v>0</v>
      </c>
    </row>
    <row r="12637">
      <c r="A12637" s="107"/>
      <c r="D12637" s="270"/>
      <c r="H12637" s="106" t="str">
        <f t="shared" si="1"/>
        <v/>
      </c>
      <c r="J12637" t="str">
        <f>IFERROR(__xludf.DUMMYFUNCTION("IFS(
  AND(REGEXMATCH(E12637, ""台銀籌備帳戶|玉山帳戶""), REGEXMATCH(C12637, ""薪資"")), ""分潤支出"",
  AND(REGEXMATCH(E12637, ""Ben帳戶|Elsa帳戶|Ben代墊|Ariel代墊|中信銀行共用""), REGEXMATCH(F12637, ""Ben帳戶|Elsa帳戶|Ben代墊|Ariel代墊|中信銀行共用"")), ""內部轉帳(忽略)"",
  AND(E12637&lt;&gt;"""", F12637&lt;&gt;"&amp;""""", NOT(REGEXMATCH(C12637, ""薪資""))), ""內部轉帳(忽略)"",
  REGEXMATCH(C12637, ""薪資""), ""薪資變動(不計入)"",
  REGEXMATCH(C12637, ""押金""), ""押金往來"",
  AND(E12637&lt;&gt;"""", F12637=""""), ""真實支出"",
  AND(E12637="""", F12637&lt;&gt;""""), ""真實收入"",
  TRUE, ""其他""
)"),"其他")</f>
        <v>其他</v>
      </c>
      <c r="K12637" s="270" t="str">
        <f t="shared" si="2"/>
        <v/>
      </c>
      <c r="L12637">
        <f t="shared" si="3"/>
        <v>0</v>
      </c>
    </row>
    <row r="12638">
      <c r="A12638" s="107"/>
      <c r="D12638" s="270"/>
      <c r="H12638" s="106" t="str">
        <f t="shared" si="1"/>
        <v/>
      </c>
      <c r="J12638" t="str">
        <f>IFERROR(__xludf.DUMMYFUNCTION("IFS(
  AND(REGEXMATCH(E12638, ""台銀籌備帳戶|玉山帳戶""), REGEXMATCH(C12638, ""薪資"")), ""分潤支出"",
  AND(REGEXMATCH(E12638, ""Ben帳戶|Elsa帳戶|Ben代墊|Ariel代墊|中信銀行共用""), REGEXMATCH(F12638, ""Ben帳戶|Elsa帳戶|Ben代墊|Ariel代墊|中信銀行共用"")), ""內部轉帳(忽略)"",
  AND(E12638&lt;&gt;"""", F12638&lt;&gt;"&amp;""""", NOT(REGEXMATCH(C12638, ""薪資""))), ""內部轉帳(忽略)"",
  REGEXMATCH(C12638, ""薪資""), ""薪資變動(不計入)"",
  REGEXMATCH(C12638, ""押金""), ""押金往來"",
  AND(E12638&lt;&gt;"""", F12638=""""), ""真實支出"",
  AND(E12638="""", F12638&lt;&gt;""""), ""真實收入"",
  TRUE, ""其他""
)"),"其他")</f>
        <v>其他</v>
      </c>
      <c r="K12638" s="270" t="str">
        <f t="shared" si="2"/>
        <v/>
      </c>
      <c r="L12638">
        <f t="shared" si="3"/>
        <v>0</v>
      </c>
    </row>
    <row r="12639">
      <c r="A12639" s="107"/>
      <c r="D12639" s="270"/>
      <c r="H12639" s="106" t="str">
        <f t="shared" si="1"/>
        <v/>
      </c>
      <c r="J12639" t="str">
        <f>IFERROR(__xludf.DUMMYFUNCTION("IFS(
  AND(REGEXMATCH(E12639, ""台銀籌備帳戶|玉山帳戶""), REGEXMATCH(C12639, ""薪資"")), ""分潤支出"",
  AND(REGEXMATCH(E12639, ""Ben帳戶|Elsa帳戶|Ben代墊|Ariel代墊|中信銀行共用""), REGEXMATCH(F12639, ""Ben帳戶|Elsa帳戶|Ben代墊|Ariel代墊|中信銀行共用"")), ""內部轉帳(忽略)"",
  AND(E12639&lt;&gt;"""", F12639&lt;&gt;"&amp;""""", NOT(REGEXMATCH(C12639, ""薪資""))), ""內部轉帳(忽略)"",
  REGEXMATCH(C12639, ""薪資""), ""薪資變動(不計入)"",
  REGEXMATCH(C12639, ""押金""), ""押金往來"",
  AND(E12639&lt;&gt;"""", F12639=""""), ""真實支出"",
  AND(E12639="""", F12639&lt;&gt;""""), ""真實收入"",
  TRUE, ""其他""
)"),"其他")</f>
        <v>其他</v>
      </c>
      <c r="K12639" s="270" t="str">
        <f t="shared" si="2"/>
        <v/>
      </c>
      <c r="L12639">
        <f t="shared" si="3"/>
        <v>0</v>
      </c>
    </row>
    <row r="12640">
      <c r="A12640" s="107"/>
      <c r="D12640" s="270"/>
      <c r="H12640" s="106" t="str">
        <f t="shared" si="1"/>
        <v/>
      </c>
      <c r="J12640" t="str">
        <f>IFERROR(__xludf.DUMMYFUNCTION("IFS(
  AND(REGEXMATCH(E12640, ""台銀籌備帳戶|玉山帳戶""), REGEXMATCH(C12640, ""薪資"")), ""分潤支出"",
  AND(REGEXMATCH(E12640, ""Ben帳戶|Elsa帳戶|Ben代墊|Ariel代墊|中信銀行共用""), REGEXMATCH(F12640, ""Ben帳戶|Elsa帳戶|Ben代墊|Ariel代墊|中信銀行共用"")), ""內部轉帳(忽略)"",
  AND(E12640&lt;&gt;"""", F12640&lt;&gt;"&amp;""""", NOT(REGEXMATCH(C12640, ""薪資""))), ""內部轉帳(忽略)"",
  REGEXMATCH(C12640, ""薪資""), ""薪資變動(不計入)"",
  REGEXMATCH(C12640, ""押金""), ""押金往來"",
  AND(E12640&lt;&gt;"""", F12640=""""), ""真實支出"",
  AND(E12640="""", F12640&lt;&gt;""""), ""真實收入"",
  TRUE, ""其他""
)"),"其他")</f>
        <v>其他</v>
      </c>
      <c r="K12640" s="270" t="str">
        <f t="shared" si="2"/>
        <v/>
      </c>
      <c r="L12640">
        <f t="shared" si="3"/>
        <v>0</v>
      </c>
    </row>
    <row r="12641">
      <c r="A12641" s="107"/>
      <c r="D12641" s="270"/>
      <c r="H12641" s="106" t="str">
        <f t="shared" si="1"/>
        <v/>
      </c>
      <c r="J12641" t="str">
        <f>IFERROR(__xludf.DUMMYFUNCTION("IFS(
  AND(REGEXMATCH(E12641, ""台銀籌備帳戶|玉山帳戶""), REGEXMATCH(C12641, ""薪資"")), ""分潤支出"",
  AND(REGEXMATCH(E12641, ""Ben帳戶|Elsa帳戶|Ben代墊|Ariel代墊|中信銀行共用""), REGEXMATCH(F12641, ""Ben帳戶|Elsa帳戶|Ben代墊|Ariel代墊|中信銀行共用"")), ""內部轉帳(忽略)"",
  AND(E12641&lt;&gt;"""", F12641&lt;&gt;"&amp;""""", NOT(REGEXMATCH(C12641, ""薪資""))), ""內部轉帳(忽略)"",
  REGEXMATCH(C12641, ""薪資""), ""薪資變動(不計入)"",
  REGEXMATCH(C12641, ""押金""), ""押金往來"",
  AND(E12641&lt;&gt;"""", F12641=""""), ""真實支出"",
  AND(E12641="""", F12641&lt;&gt;""""), ""真實收入"",
  TRUE, ""其他""
)"),"其他")</f>
        <v>其他</v>
      </c>
      <c r="K12641" s="270" t="str">
        <f t="shared" si="2"/>
        <v/>
      </c>
      <c r="L12641">
        <f t="shared" si="3"/>
        <v>0</v>
      </c>
    </row>
    <row r="12642">
      <c r="A12642" s="107"/>
      <c r="D12642" s="270"/>
      <c r="H12642" s="106" t="str">
        <f t="shared" si="1"/>
        <v/>
      </c>
      <c r="J12642" t="str">
        <f>IFERROR(__xludf.DUMMYFUNCTION("IFS(
  AND(REGEXMATCH(E12642, ""台銀籌備帳戶|玉山帳戶""), REGEXMATCH(C12642, ""薪資"")), ""分潤支出"",
  AND(REGEXMATCH(E12642, ""Ben帳戶|Elsa帳戶|Ben代墊|Ariel代墊|中信銀行共用""), REGEXMATCH(F12642, ""Ben帳戶|Elsa帳戶|Ben代墊|Ariel代墊|中信銀行共用"")), ""內部轉帳(忽略)"",
  AND(E12642&lt;&gt;"""", F12642&lt;&gt;"&amp;""""", NOT(REGEXMATCH(C12642, ""薪資""))), ""內部轉帳(忽略)"",
  REGEXMATCH(C12642, ""薪資""), ""薪資變動(不計入)"",
  REGEXMATCH(C12642, ""押金""), ""押金往來"",
  AND(E12642&lt;&gt;"""", F12642=""""), ""真實支出"",
  AND(E12642="""", F12642&lt;&gt;""""), ""真實收入"",
  TRUE, ""其他""
)"),"其他")</f>
        <v>其他</v>
      </c>
      <c r="K12642" s="270" t="str">
        <f t="shared" si="2"/>
        <v/>
      </c>
      <c r="L12642">
        <f t="shared" si="3"/>
        <v>0</v>
      </c>
    </row>
    <row r="12643">
      <c r="A12643" s="107"/>
      <c r="D12643" s="270"/>
      <c r="H12643" s="106" t="str">
        <f t="shared" si="1"/>
        <v/>
      </c>
      <c r="J12643" t="str">
        <f>IFERROR(__xludf.DUMMYFUNCTION("IFS(
  AND(REGEXMATCH(E12643, ""台銀籌備帳戶|玉山帳戶""), REGEXMATCH(C12643, ""薪資"")), ""分潤支出"",
  AND(REGEXMATCH(E12643, ""Ben帳戶|Elsa帳戶|Ben代墊|Ariel代墊|中信銀行共用""), REGEXMATCH(F12643, ""Ben帳戶|Elsa帳戶|Ben代墊|Ariel代墊|中信銀行共用"")), ""內部轉帳(忽略)"",
  AND(E12643&lt;&gt;"""", F12643&lt;&gt;"&amp;""""", NOT(REGEXMATCH(C12643, ""薪資""))), ""內部轉帳(忽略)"",
  REGEXMATCH(C12643, ""薪資""), ""薪資變動(不計入)"",
  REGEXMATCH(C12643, ""押金""), ""押金往來"",
  AND(E12643&lt;&gt;"""", F12643=""""), ""真實支出"",
  AND(E12643="""", F12643&lt;&gt;""""), ""真實收入"",
  TRUE, ""其他""
)"),"其他")</f>
        <v>其他</v>
      </c>
      <c r="K12643" s="270" t="str">
        <f t="shared" si="2"/>
        <v/>
      </c>
      <c r="L12643">
        <f t="shared" si="3"/>
        <v>0</v>
      </c>
    </row>
    <row r="12644">
      <c r="A12644" s="107"/>
      <c r="D12644" s="270"/>
      <c r="H12644" s="106" t="str">
        <f t="shared" si="1"/>
        <v/>
      </c>
      <c r="J12644" t="str">
        <f>IFERROR(__xludf.DUMMYFUNCTION("IFS(
  AND(REGEXMATCH(E12644, ""台銀籌備帳戶|玉山帳戶""), REGEXMATCH(C12644, ""薪資"")), ""分潤支出"",
  AND(REGEXMATCH(E12644, ""Ben帳戶|Elsa帳戶|Ben代墊|Ariel代墊|中信銀行共用""), REGEXMATCH(F12644, ""Ben帳戶|Elsa帳戶|Ben代墊|Ariel代墊|中信銀行共用"")), ""內部轉帳(忽略)"",
  AND(E12644&lt;&gt;"""", F12644&lt;&gt;"&amp;""""", NOT(REGEXMATCH(C12644, ""薪資""))), ""內部轉帳(忽略)"",
  REGEXMATCH(C12644, ""薪資""), ""薪資變動(不計入)"",
  REGEXMATCH(C12644, ""押金""), ""押金往來"",
  AND(E12644&lt;&gt;"""", F12644=""""), ""真實支出"",
  AND(E12644="""", F12644&lt;&gt;""""), ""真實收入"",
  TRUE, ""其他""
)"),"其他")</f>
        <v>其他</v>
      </c>
      <c r="K12644" s="270" t="str">
        <f t="shared" si="2"/>
        <v/>
      </c>
      <c r="L12644">
        <f t="shared" si="3"/>
        <v>0</v>
      </c>
    </row>
    <row r="12645">
      <c r="A12645" s="107"/>
      <c r="D12645" s="270"/>
      <c r="H12645" s="106" t="str">
        <f t="shared" si="1"/>
        <v/>
      </c>
      <c r="J12645" t="str">
        <f>IFERROR(__xludf.DUMMYFUNCTION("IFS(
  AND(REGEXMATCH(E12645, ""台銀籌備帳戶|玉山帳戶""), REGEXMATCH(C12645, ""薪資"")), ""分潤支出"",
  AND(REGEXMATCH(E12645, ""Ben帳戶|Elsa帳戶|Ben代墊|Ariel代墊|中信銀行共用""), REGEXMATCH(F12645, ""Ben帳戶|Elsa帳戶|Ben代墊|Ariel代墊|中信銀行共用"")), ""內部轉帳(忽略)"",
  AND(E12645&lt;&gt;"""", F12645&lt;&gt;"&amp;""""", NOT(REGEXMATCH(C12645, ""薪資""))), ""內部轉帳(忽略)"",
  REGEXMATCH(C12645, ""薪資""), ""薪資變動(不計入)"",
  REGEXMATCH(C12645, ""押金""), ""押金往來"",
  AND(E12645&lt;&gt;"""", F12645=""""), ""真實支出"",
  AND(E12645="""", F12645&lt;&gt;""""), ""真實收入"",
  TRUE, ""其他""
)"),"其他")</f>
        <v>其他</v>
      </c>
      <c r="K12645" s="270" t="str">
        <f t="shared" si="2"/>
        <v/>
      </c>
      <c r="L12645">
        <f t="shared" si="3"/>
        <v>0</v>
      </c>
    </row>
    <row r="12646">
      <c r="A12646" s="107"/>
      <c r="D12646" s="270"/>
      <c r="H12646" s="106" t="str">
        <f t="shared" si="1"/>
        <v/>
      </c>
      <c r="J12646" t="str">
        <f>IFERROR(__xludf.DUMMYFUNCTION("IFS(
  AND(REGEXMATCH(E12646, ""台銀籌備帳戶|玉山帳戶""), REGEXMATCH(C12646, ""薪資"")), ""分潤支出"",
  AND(REGEXMATCH(E12646, ""Ben帳戶|Elsa帳戶|Ben代墊|Ariel代墊|中信銀行共用""), REGEXMATCH(F12646, ""Ben帳戶|Elsa帳戶|Ben代墊|Ariel代墊|中信銀行共用"")), ""內部轉帳(忽略)"",
  AND(E12646&lt;&gt;"""", F12646&lt;&gt;"&amp;""""", NOT(REGEXMATCH(C12646, ""薪資""))), ""內部轉帳(忽略)"",
  REGEXMATCH(C12646, ""薪資""), ""薪資變動(不計入)"",
  REGEXMATCH(C12646, ""押金""), ""押金往來"",
  AND(E12646&lt;&gt;"""", F12646=""""), ""真實支出"",
  AND(E12646="""", F12646&lt;&gt;""""), ""真實收入"",
  TRUE, ""其他""
)"),"其他")</f>
        <v>其他</v>
      </c>
      <c r="K12646" s="270" t="str">
        <f t="shared" si="2"/>
        <v/>
      </c>
      <c r="L12646">
        <f t="shared" si="3"/>
        <v>0</v>
      </c>
    </row>
    <row r="12647">
      <c r="A12647" s="107"/>
      <c r="D12647" s="270"/>
      <c r="H12647" s="106" t="str">
        <f t="shared" si="1"/>
        <v/>
      </c>
      <c r="J12647" t="str">
        <f>IFERROR(__xludf.DUMMYFUNCTION("IFS(
  AND(REGEXMATCH(E12647, ""台銀籌備帳戶|玉山帳戶""), REGEXMATCH(C12647, ""薪資"")), ""分潤支出"",
  AND(REGEXMATCH(E12647, ""Ben帳戶|Elsa帳戶|Ben代墊|Ariel代墊|中信銀行共用""), REGEXMATCH(F12647, ""Ben帳戶|Elsa帳戶|Ben代墊|Ariel代墊|中信銀行共用"")), ""內部轉帳(忽略)"",
  AND(E12647&lt;&gt;"""", F12647&lt;&gt;"&amp;""""", NOT(REGEXMATCH(C12647, ""薪資""))), ""內部轉帳(忽略)"",
  REGEXMATCH(C12647, ""薪資""), ""薪資變動(不計入)"",
  REGEXMATCH(C12647, ""押金""), ""押金往來"",
  AND(E12647&lt;&gt;"""", F12647=""""), ""真實支出"",
  AND(E12647="""", F12647&lt;&gt;""""), ""真實收入"",
  TRUE, ""其他""
)"),"其他")</f>
        <v>其他</v>
      </c>
      <c r="K12647" s="270" t="str">
        <f t="shared" si="2"/>
        <v/>
      </c>
      <c r="L12647">
        <f t="shared" si="3"/>
        <v>0</v>
      </c>
    </row>
    <row r="12648">
      <c r="A12648" s="107"/>
      <c r="D12648" s="270"/>
      <c r="H12648" s="106" t="str">
        <f t="shared" si="1"/>
        <v/>
      </c>
      <c r="J12648" t="str">
        <f>IFERROR(__xludf.DUMMYFUNCTION("IFS(
  AND(REGEXMATCH(E12648, ""台銀籌備帳戶|玉山帳戶""), REGEXMATCH(C12648, ""薪資"")), ""分潤支出"",
  AND(REGEXMATCH(E12648, ""Ben帳戶|Elsa帳戶|Ben代墊|Ariel代墊|中信銀行共用""), REGEXMATCH(F12648, ""Ben帳戶|Elsa帳戶|Ben代墊|Ariel代墊|中信銀行共用"")), ""內部轉帳(忽略)"",
  AND(E12648&lt;&gt;"""", F12648&lt;&gt;"&amp;""""", NOT(REGEXMATCH(C12648, ""薪資""))), ""內部轉帳(忽略)"",
  REGEXMATCH(C12648, ""薪資""), ""薪資變動(不計入)"",
  REGEXMATCH(C12648, ""押金""), ""押金往來"",
  AND(E12648&lt;&gt;"""", F12648=""""), ""真實支出"",
  AND(E12648="""", F12648&lt;&gt;""""), ""真實收入"",
  TRUE, ""其他""
)"),"其他")</f>
        <v>其他</v>
      </c>
      <c r="K12648" s="270" t="str">
        <f t="shared" si="2"/>
        <v/>
      </c>
      <c r="L12648">
        <f t="shared" si="3"/>
        <v>0</v>
      </c>
    </row>
    <row r="12649">
      <c r="A12649" s="107"/>
      <c r="D12649" s="270"/>
      <c r="H12649" s="106" t="str">
        <f t="shared" si="1"/>
        <v/>
      </c>
      <c r="J12649" t="str">
        <f>IFERROR(__xludf.DUMMYFUNCTION("IFS(
  AND(REGEXMATCH(E12649, ""台銀籌備帳戶|玉山帳戶""), REGEXMATCH(C12649, ""薪資"")), ""分潤支出"",
  AND(REGEXMATCH(E12649, ""Ben帳戶|Elsa帳戶|Ben代墊|Ariel代墊|中信銀行共用""), REGEXMATCH(F12649, ""Ben帳戶|Elsa帳戶|Ben代墊|Ariel代墊|中信銀行共用"")), ""內部轉帳(忽略)"",
  AND(E12649&lt;&gt;"""", F12649&lt;&gt;"&amp;""""", NOT(REGEXMATCH(C12649, ""薪資""))), ""內部轉帳(忽略)"",
  REGEXMATCH(C12649, ""薪資""), ""薪資變動(不計入)"",
  REGEXMATCH(C12649, ""押金""), ""押金往來"",
  AND(E12649&lt;&gt;"""", F12649=""""), ""真實支出"",
  AND(E12649="""", F12649&lt;&gt;""""), ""真實收入"",
  TRUE, ""其他""
)"),"其他")</f>
        <v>其他</v>
      </c>
      <c r="K12649" s="270" t="str">
        <f t="shared" si="2"/>
        <v/>
      </c>
      <c r="L12649">
        <f t="shared" si="3"/>
        <v>0</v>
      </c>
    </row>
    <row r="12650">
      <c r="A12650" s="107"/>
      <c r="D12650" s="270"/>
      <c r="H12650" s="106" t="str">
        <f t="shared" si="1"/>
        <v/>
      </c>
      <c r="J12650" t="str">
        <f>IFERROR(__xludf.DUMMYFUNCTION("IFS(
  AND(REGEXMATCH(E12650, ""台銀籌備帳戶|玉山帳戶""), REGEXMATCH(C12650, ""薪資"")), ""分潤支出"",
  AND(REGEXMATCH(E12650, ""Ben帳戶|Elsa帳戶|Ben代墊|Ariel代墊|中信銀行共用""), REGEXMATCH(F12650, ""Ben帳戶|Elsa帳戶|Ben代墊|Ariel代墊|中信銀行共用"")), ""內部轉帳(忽略)"",
  AND(E12650&lt;&gt;"""", F12650&lt;&gt;"&amp;""""", NOT(REGEXMATCH(C12650, ""薪資""))), ""內部轉帳(忽略)"",
  REGEXMATCH(C12650, ""薪資""), ""薪資變動(不計入)"",
  REGEXMATCH(C12650, ""押金""), ""押金往來"",
  AND(E12650&lt;&gt;"""", F12650=""""), ""真實支出"",
  AND(E12650="""", F12650&lt;&gt;""""), ""真實收入"",
  TRUE, ""其他""
)"),"其他")</f>
        <v>其他</v>
      </c>
      <c r="K12650" s="270" t="str">
        <f t="shared" si="2"/>
        <v/>
      </c>
      <c r="L12650">
        <f t="shared" si="3"/>
        <v>0</v>
      </c>
    </row>
    <row r="12651">
      <c r="A12651" s="107"/>
      <c r="D12651" s="270"/>
      <c r="H12651" s="106" t="str">
        <f t="shared" si="1"/>
        <v/>
      </c>
      <c r="J12651" t="str">
        <f>IFERROR(__xludf.DUMMYFUNCTION("IFS(
  AND(REGEXMATCH(E12651, ""台銀籌備帳戶|玉山帳戶""), REGEXMATCH(C12651, ""薪資"")), ""分潤支出"",
  AND(REGEXMATCH(E12651, ""Ben帳戶|Elsa帳戶|Ben代墊|Ariel代墊|中信銀行共用""), REGEXMATCH(F12651, ""Ben帳戶|Elsa帳戶|Ben代墊|Ariel代墊|中信銀行共用"")), ""內部轉帳(忽略)"",
  AND(E12651&lt;&gt;"""", F12651&lt;&gt;"&amp;""""", NOT(REGEXMATCH(C12651, ""薪資""))), ""內部轉帳(忽略)"",
  REGEXMATCH(C12651, ""薪資""), ""薪資變動(不計入)"",
  REGEXMATCH(C12651, ""押金""), ""押金往來"",
  AND(E12651&lt;&gt;"""", F12651=""""), ""真實支出"",
  AND(E12651="""", F12651&lt;&gt;""""), ""真實收入"",
  TRUE, ""其他""
)"),"其他")</f>
        <v>其他</v>
      </c>
      <c r="K12651" s="270" t="str">
        <f t="shared" si="2"/>
        <v/>
      </c>
      <c r="L12651">
        <f t="shared" si="3"/>
        <v>0</v>
      </c>
    </row>
    <row r="12652">
      <c r="A12652" s="107"/>
      <c r="D12652" s="270"/>
      <c r="H12652" s="106" t="str">
        <f t="shared" si="1"/>
        <v/>
      </c>
      <c r="J12652" t="str">
        <f>IFERROR(__xludf.DUMMYFUNCTION("IFS(
  AND(REGEXMATCH(E12652, ""台銀籌備帳戶|玉山帳戶""), REGEXMATCH(C12652, ""薪資"")), ""分潤支出"",
  AND(REGEXMATCH(E12652, ""Ben帳戶|Elsa帳戶|Ben代墊|Ariel代墊|中信銀行共用""), REGEXMATCH(F12652, ""Ben帳戶|Elsa帳戶|Ben代墊|Ariel代墊|中信銀行共用"")), ""內部轉帳(忽略)"",
  AND(E12652&lt;&gt;"""", F12652&lt;&gt;"&amp;""""", NOT(REGEXMATCH(C12652, ""薪資""))), ""內部轉帳(忽略)"",
  REGEXMATCH(C12652, ""薪資""), ""薪資變動(不計入)"",
  REGEXMATCH(C12652, ""押金""), ""押金往來"",
  AND(E12652&lt;&gt;"""", F12652=""""), ""真實支出"",
  AND(E12652="""", F12652&lt;&gt;""""), ""真實收入"",
  TRUE, ""其他""
)"),"其他")</f>
        <v>其他</v>
      </c>
      <c r="K12652" s="270" t="str">
        <f t="shared" si="2"/>
        <v/>
      </c>
      <c r="L12652">
        <f t="shared" si="3"/>
        <v>0</v>
      </c>
    </row>
    <row r="12653">
      <c r="A12653" s="107"/>
      <c r="D12653" s="270"/>
      <c r="H12653" s="106" t="str">
        <f t="shared" si="1"/>
        <v/>
      </c>
      <c r="J12653" t="str">
        <f>IFERROR(__xludf.DUMMYFUNCTION("IFS(
  AND(REGEXMATCH(E12653, ""台銀籌備帳戶|玉山帳戶""), REGEXMATCH(C12653, ""薪資"")), ""分潤支出"",
  AND(REGEXMATCH(E12653, ""Ben帳戶|Elsa帳戶|Ben代墊|Ariel代墊|中信銀行共用""), REGEXMATCH(F12653, ""Ben帳戶|Elsa帳戶|Ben代墊|Ariel代墊|中信銀行共用"")), ""內部轉帳(忽略)"",
  AND(E12653&lt;&gt;"""", F12653&lt;&gt;"&amp;""""", NOT(REGEXMATCH(C12653, ""薪資""))), ""內部轉帳(忽略)"",
  REGEXMATCH(C12653, ""薪資""), ""薪資變動(不計入)"",
  REGEXMATCH(C12653, ""押金""), ""押金往來"",
  AND(E12653&lt;&gt;"""", F12653=""""), ""真實支出"",
  AND(E12653="""", F12653&lt;&gt;""""), ""真實收入"",
  TRUE, ""其他""
)"),"其他")</f>
        <v>其他</v>
      </c>
      <c r="K12653" s="270" t="str">
        <f t="shared" si="2"/>
        <v/>
      </c>
      <c r="L12653">
        <f t="shared" si="3"/>
        <v>0</v>
      </c>
    </row>
    <row r="12654">
      <c r="A12654" s="107"/>
      <c r="D12654" s="270"/>
      <c r="H12654" s="106" t="str">
        <f t="shared" si="1"/>
        <v/>
      </c>
      <c r="J12654" t="str">
        <f>IFERROR(__xludf.DUMMYFUNCTION("IFS(
  AND(REGEXMATCH(E12654, ""台銀籌備帳戶|玉山帳戶""), REGEXMATCH(C12654, ""薪資"")), ""分潤支出"",
  AND(REGEXMATCH(E12654, ""Ben帳戶|Elsa帳戶|Ben代墊|Ariel代墊|中信銀行共用""), REGEXMATCH(F12654, ""Ben帳戶|Elsa帳戶|Ben代墊|Ariel代墊|中信銀行共用"")), ""內部轉帳(忽略)"",
  AND(E12654&lt;&gt;"""", F12654&lt;&gt;"&amp;""""", NOT(REGEXMATCH(C12654, ""薪資""))), ""內部轉帳(忽略)"",
  REGEXMATCH(C12654, ""薪資""), ""薪資變動(不計入)"",
  REGEXMATCH(C12654, ""押金""), ""押金往來"",
  AND(E12654&lt;&gt;"""", F12654=""""), ""真實支出"",
  AND(E12654="""", F12654&lt;&gt;""""), ""真實收入"",
  TRUE, ""其他""
)"),"其他")</f>
        <v>其他</v>
      </c>
      <c r="K12654" s="270" t="str">
        <f t="shared" si="2"/>
        <v/>
      </c>
      <c r="L12654">
        <f t="shared" si="3"/>
        <v>0</v>
      </c>
    </row>
    <row r="12655">
      <c r="A12655" s="107"/>
      <c r="D12655" s="270"/>
      <c r="H12655" s="106" t="str">
        <f t="shared" si="1"/>
        <v/>
      </c>
      <c r="J12655" t="str">
        <f>IFERROR(__xludf.DUMMYFUNCTION("IFS(
  AND(REGEXMATCH(E12655, ""台銀籌備帳戶|玉山帳戶""), REGEXMATCH(C12655, ""薪資"")), ""分潤支出"",
  AND(REGEXMATCH(E12655, ""Ben帳戶|Elsa帳戶|Ben代墊|Ariel代墊|中信銀行共用""), REGEXMATCH(F12655, ""Ben帳戶|Elsa帳戶|Ben代墊|Ariel代墊|中信銀行共用"")), ""內部轉帳(忽略)"",
  AND(E12655&lt;&gt;"""", F12655&lt;&gt;"&amp;""""", NOT(REGEXMATCH(C12655, ""薪資""))), ""內部轉帳(忽略)"",
  REGEXMATCH(C12655, ""薪資""), ""薪資變動(不計入)"",
  REGEXMATCH(C12655, ""押金""), ""押金往來"",
  AND(E12655&lt;&gt;"""", F12655=""""), ""真實支出"",
  AND(E12655="""", F12655&lt;&gt;""""), ""真實收入"",
  TRUE, ""其他""
)"),"其他")</f>
        <v>其他</v>
      </c>
      <c r="K12655" s="270" t="str">
        <f t="shared" si="2"/>
        <v/>
      </c>
      <c r="L12655">
        <f t="shared" si="3"/>
        <v>0</v>
      </c>
    </row>
    <row r="12656">
      <c r="A12656" s="107"/>
      <c r="D12656" s="270"/>
      <c r="H12656" s="106" t="str">
        <f t="shared" si="1"/>
        <v/>
      </c>
      <c r="J12656" t="str">
        <f>IFERROR(__xludf.DUMMYFUNCTION("IFS(
  AND(REGEXMATCH(E12656, ""台銀籌備帳戶|玉山帳戶""), REGEXMATCH(C12656, ""薪資"")), ""分潤支出"",
  AND(REGEXMATCH(E12656, ""Ben帳戶|Elsa帳戶|Ben代墊|Ariel代墊|中信銀行共用""), REGEXMATCH(F12656, ""Ben帳戶|Elsa帳戶|Ben代墊|Ariel代墊|中信銀行共用"")), ""內部轉帳(忽略)"",
  AND(E12656&lt;&gt;"""", F12656&lt;&gt;"&amp;""""", NOT(REGEXMATCH(C12656, ""薪資""))), ""內部轉帳(忽略)"",
  REGEXMATCH(C12656, ""薪資""), ""薪資變動(不計入)"",
  REGEXMATCH(C12656, ""押金""), ""押金往來"",
  AND(E12656&lt;&gt;"""", F12656=""""), ""真實支出"",
  AND(E12656="""", F12656&lt;&gt;""""), ""真實收入"",
  TRUE, ""其他""
)"),"其他")</f>
        <v>其他</v>
      </c>
      <c r="K12656" s="270" t="str">
        <f t="shared" si="2"/>
        <v/>
      </c>
      <c r="L12656">
        <f t="shared" si="3"/>
        <v>0</v>
      </c>
    </row>
    <row r="12657">
      <c r="A12657" s="107"/>
      <c r="D12657" s="270"/>
      <c r="H12657" s="106" t="str">
        <f t="shared" si="1"/>
        <v/>
      </c>
      <c r="J12657" t="str">
        <f>IFERROR(__xludf.DUMMYFUNCTION("IFS(
  AND(REGEXMATCH(E12657, ""台銀籌備帳戶|玉山帳戶""), REGEXMATCH(C12657, ""薪資"")), ""分潤支出"",
  AND(REGEXMATCH(E12657, ""Ben帳戶|Elsa帳戶|Ben代墊|Ariel代墊|中信銀行共用""), REGEXMATCH(F12657, ""Ben帳戶|Elsa帳戶|Ben代墊|Ariel代墊|中信銀行共用"")), ""內部轉帳(忽略)"",
  AND(E12657&lt;&gt;"""", F12657&lt;&gt;"&amp;""""", NOT(REGEXMATCH(C12657, ""薪資""))), ""內部轉帳(忽略)"",
  REGEXMATCH(C12657, ""薪資""), ""薪資變動(不計入)"",
  REGEXMATCH(C12657, ""押金""), ""押金往來"",
  AND(E12657&lt;&gt;"""", F12657=""""), ""真實支出"",
  AND(E12657="""", F12657&lt;&gt;""""), ""真實收入"",
  TRUE, ""其他""
)"),"其他")</f>
        <v>其他</v>
      </c>
      <c r="K12657" s="270" t="str">
        <f t="shared" si="2"/>
        <v/>
      </c>
      <c r="L12657">
        <f t="shared" si="3"/>
        <v>0</v>
      </c>
    </row>
    <row r="12658">
      <c r="A12658" s="107"/>
      <c r="D12658" s="270"/>
      <c r="H12658" s="106" t="str">
        <f t="shared" si="1"/>
        <v/>
      </c>
      <c r="J12658" t="str">
        <f>IFERROR(__xludf.DUMMYFUNCTION("IFS(
  AND(REGEXMATCH(E12658, ""台銀籌備帳戶|玉山帳戶""), REGEXMATCH(C12658, ""薪資"")), ""分潤支出"",
  AND(REGEXMATCH(E12658, ""Ben帳戶|Elsa帳戶|Ben代墊|Ariel代墊|中信銀行共用""), REGEXMATCH(F12658, ""Ben帳戶|Elsa帳戶|Ben代墊|Ariel代墊|中信銀行共用"")), ""內部轉帳(忽略)"",
  AND(E12658&lt;&gt;"""", F12658&lt;&gt;"&amp;""""", NOT(REGEXMATCH(C12658, ""薪資""))), ""內部轉帳(忽略)"",
  REGEXMATCH(C12658, ""薪資""), ""薪資變動(不計入)"",
  REGEXMATCH(C12658, ""押金""), ""押金往來"",
  AND(E12658&lt;&gt;"""", F12658=""""), ""真實支出"",
  AND(E12658="""", F12658&lt;&gt;""""), ""真實收入"",
  TRUE, ""其他""
)"),"其他")</f>
        <v>其他</v>
      </c>
      <c r="K12658" s="270" t="str">
        <f t="shared" si="2"/>
        <v/>
      </c>
      <c r="L12658">
        <f t="shared" si="3"/>
        <v>0</v>
      </c>
    </row>
    <row r="12659">
      <c r="A12659" s="107"/>
      <c r="D12659" s="270"/>
      <c r="H12659" s="106" t="str">
        <f t="shared" si="1"/>
        <v/>
      </c>
      <c r="J12659" t="str">
        <f>IFERROR(__xludf.DUMMYFUNCTION("IFS(
  AND(REGEXMATCH(E12659, ""台銀籌備帳戶|玉山帳戶""), REGEXMATCH(C12659, ""薪資"")), ""分潤支出"",
  AND(REGEXMATCH(E12659, ""Ben帳戶|Elsa帳戶|Ben代墊|Ariel代墊|中信銀行共用""), REGEXMATCH(F12659, ""Ben帳戶|Elsa帳戶|Ben代墊|Ariel代墊|中信銀行共用"")), ""內部轉帳(忽略)"",
  AND(E12659&lt;&gt;"""", F12659&lt;&gt;"&amp;""""", NOT(REGEXMATCH(C12659, ""薪資""))), ""內部轉帳(忽略)"",
  REGEXMATCH(C12659, ""薪資""), ""薪資變動(不計入)"",
  REGEXMATCH(C12659, ""押金""), ""押金往來"",
  AND(E12659&lt;&gt;"""", F12659=""""), ""真實支出"",
  AND(E12659="""", F12659&lt;&gt;""""), ""真實收入"",
  TRUE, ""其他""
)"),"其他")</f>
        <v>其他</v>
      </c>
      <c r="K12659" s="270" t="str">
        <f t="shared" si="2"/>
        <v/>
      </c>
      <c r="L12659">
        <f t="shared" si="3"/>
        <v>0</v>
      </c>
    </row>
    <row r="12660">
      <c r="A12660" s="107"/>
      <c r="D12660" s="270"/>
      <c r="H12660" s="106" t="str">
        <f t="shared" si="1"/>
        <v/>
      </c>
      <c r="J12660" t="str">
        <f>IFERROR(__xludf.DUMMYFUNCTION("IFS(
  AND(REGEXMATCH(E12660, ""台銀籌備帳戶|玉山帳戶""), REGEXMATCH(C12660, ""薪資"")), ""分潤支出"",
  AND(REGEXMATCH(E12660, ""Ben帳戶|Elsa帳戶|Ben代墊|Ariel代墊|中信銀行共用""), REGEXMATCH(F12660, ""Ben帳戶|Elsa帳戶|Ben代墊|Ariel代墊|中信銀行共用"")), ""內部轉帳(忽略)"",
  AND(E12660&lt;&gt;"""", F12660&lt;&gt;"&amp;""""", NOT(REGEXMATCH(C12660, ""薪資""))), ""內部轉帳(忽略)"",
  REGEXMATCH(C12660, ""薪資""), ""薪資變動(不計入)"",
  REGEXMATCH(C12660, ""押金""), ""押金往來"",
  AND(E12660&lt;&gt;"""", F12660=""""), ""真實支出"",
  AND(E12660="""", F12660&lt;&gt;""""), ""真實收入"",
  TRUE, ""其他""
)"),"其他")</f>
        <v>其他</v>
      </c>
      <c r="K12660" s="270" t="str">
        <f t="shared" si="2"/>
        <v/>
      </c>
      <c r="L12660">
        <f t="shared" si="3"/>
        <v>0</v>
      </c>
    </row>
    <row r="12661">
      <c r="A12661" s="107"/>
      <c r="D12661" s="270"/>
      <c r="H12661" s="106" t="str">
        <f t="shared" si="1"/>
        <v/>
      </c>
      <c r="J12661" t="str">
        <f>IFERROR(__xludf.DUMMYFUNCTION("IFS(
  AND(REGEXMATCH(E12661, ""台銀籌備帳戶|玉山帳戶""), REGEXMATCH(C12661, ""薪資"")), ""分潤支出"",
  AND(REGEXMATCH(E12661, ""Ben帳戶|Elsa帳戶|Ben代墊|Ariel代墊|中信銀行共用""), REGEXMATCH(F12661, ""Ben帳戶|Elsa帳戶|Ben代墊|Ariel代墊|中信銀行共用"")), ""內部轉帳(忽略)"",
  AND(E12661&lt;&gt;"""", F12661&lt;&gt;"&amp;""""", NOT(REGEXMATCH(C12661, ""薪資""))), ""內部轉帳(忽略)"",
  REGEXMATCH(C12661, ""薪資""), ""薪資變動(不計入)"",
  REGEXMATCH(C12661, ""押金""), ""押金往來"",
  AND(E12661&lt;&gt;"""", F12661=""""), ""真實支出"",
  AND(E12661="""", F12661&lt;&gt;""""), ""真實收入"",
  TRUE, ""其他""
)"),"其他")</f>
        <v>其他</v>
      </c>
      <c r="K12661" s="270" t="str">
        <f t="shared" si="2"/>
        <v/>
      </c>
      <c r="L12661">
        <f t="shared" si="3"/>
        <v>0</v>
      </c>
    </row>
    <row r="12662">
      <c r="A12662" s="107"/>
      <c r="D12662" s="270"/>
      <c r="H12662" s="106" t="str">
        <f t="shared" si="1"/>
        <v/>
      </c>
      <c r="J12662" t="str">
        <f>IFERROR(__xludf.DUMMYFUNCTION("IFS(
  AND(REGEXMATCH(E12662, ""台銀籌備帳戶|玉山帳戶""), REGEXMATCH(C12662, ""薪資"")), ""分潤支出"",
  AND(REGEXMATCH(E12662, ""Ben帳戶|Elsa帳戶|Ben代墊|Ariel代墊|中信銀行共用""), REGEXMATCH(F12662, ""Ben帳戶|Elsa帳戶|Ben代墊|Ariel代墊|中信銀行共用"")), ""內部轉帳(忽略)"",
  AND(E12662&lt;&gt;"""", F12662&lt;&gt;"&amp;""""", NOT(REGEXMATCH(C12662, ""薪資""))), ""內部轉帳(忽略)"",
  REGEXMATCH(C12662, ""薪資""), ""薪資變動(不計入)"",
  REGEXMATCH(C12662, ""押金""), ""押金往來"",
  AND(E12662&lt;&gt;"""", F12662=""""), ""真實支出"",
  AND(E12662="""", F12662&lt;&gt;""""), ""真實收入"",
  TRUE, ""其他""
)"),"其他")</f>
        <v>其他</v>
      </c>
      <c r="K12662" s="270" t="str">
        <f t="shared" si="2"/>
        <v/>
      </c>
      <c r="L12662">
        <f t="shared" si="3"/>
        <v>0</v>
      </c>
    </row>
    <row r="12663">
      <c r="A12663" s="107"/>
      <c r="D12663" s="270"/>
      <c r="H12663" s="106" t="str">
        <f t="shared" si="1"/>
        <v/>
      </c>
      <c r="J12663" t="str">
        <f>IFERROR(__xludf.DUMMYFUNCTION("IFS(
  AND(REGEXMATCH(E12663, ""台銀籌備帳戶|玉山帳戶""), REGEXMATCH(C12663, ""薪資"")), ""分潤支出"",
  AND(REGEXMATCH(E12663, ""Ben帳戶|Elsa帳戶|Ben代墊|Ariel代墊|中信銀行共用""), REGEXMATCH(F12663, ""Ben帳戶|Elsa帳戶|Ben代墊|Ariel代墊|中信銀行共用"")), ""內部轉帳(忽略)"",
  AND(E12663&lt;&gt;"""", F12663&lt;&gt;"&amp;""""", NOT(REGEXMATCH(C12663, ""薪資""))), ""內部轉帳(忽略)"",
  REGEXMATCH(C12663, ""薪資""), ""薪資變動(不計入)"",
  REGEXMATCH(C12663, ""押金""), ""押金往來"",
  AND(E12663&lt;&gt;"""", F12663=""""), ""真實支出"",
  AND(E12663="""", F12663&lt;&gt;""""), ""真實收入"",
  TRUE, ""其他""
)"),"其他")</f>
        <v>其他</v>
      </c>
      <c r="K12663" s="270" t="str">
        <f t="shared" si="2"/>
        <v/>
      </c>
      <c r="L12663">
        <f t="shared" si="3"/>
        <v>0</v>
      </c>
    </row>
    <row r="12664">
      <c r="A12664" s="107"/>
      <c r="D12664" s="270"/>
      <c r="H12664" s="106" t="str">
        <f t="shared" si="1"/>
        <v/>
      </c>
      <c r="J12664" t="str">
        <f>IFERROR(__xludf.DUMMYFUNCTION("IFS(
  AND(REGEXMATCH(E12664, ""台銀籌備帳戶|玉山帳戶""), REGEXMATCH(C12664, ""薪資"")), ""分潤支出"",
  AND(REGEXMATCH(E12664, ""Ben帳戶|Elsa帳戶|Ben代墊|Ariel代墊|中信銀行共用""), REGEXMATCH(F12664, ""Ben帳戶|Elsa帳戶|Ben代墊|Ariel代墊|中信銀行共用"")), ""內部轉帳(忽略)"",
  AND(E12664&lt;&gt;"""", F12664&lt;&gt;"&amp;""""", NOT(REGEXMATCH(C12664, ""薪資""))), ""內部轉帳(忽略)"",
  REGEXMATCH(C12664, ""薪資""), ""薪資變動(不計入)"",
  REGEXMATCH(C12664, ""押金""), ""押金往來"",
  AND(E12664&lt;&gt;"""", F12664=""""), ""真實支出"",
  AND(E12664="""", F12664&lt;&gt;""""), ""真實收入"",
  TRUE, ""其他""
)"),"其他")</f>
        <v>其他</v>
      </c>
      <c r="K12664" s="270" t="str">
        <f t="shared" si="2"/>
        <v/>
      </c>
      <c r="L12664">
        <f t="shared" si="3"/>
        <v>0</v>
      </c>
    </row>
    <row r="12665">
      <c r="A12665" s="107"/>
      <c r="D12665" s="270"/>
      <c r="H12665" s="106" t="str">
        <f t="shared" si="1"/>
        <v/>
      </c>
      <c r="J12665" t="str">
        <f>IFERROR(__xludf.DUMMYFUNCTION("IFS(
  AND(REGEXMATCH(E12665, ""台銀籌備帳戶|玉山帳戶""), REGEXMATCH(C12665, ""薪資"")), ""分潤支出"",
  AND(REGEXMATCH(E12665, ""Ben帳戶|Elsa帳戶|Ben代墊|Ariel代墊|中信銀行共用""), REGEXMATCH(F12665, ""Ben帳戶|Elsa帳戶|Ben代墊|Ariel代墊|中信銀行共用"")), ""內部轉帳(忽略)"",
  AND(E12665&lt;&gt;"""", F12665&lt;&gt;"&amp;""""", NOT(REGEXMATCH(C12665, ""薪資""))), ""內部轉帳(忽略)"",
  REGEXMATCH(C12665, ""薪資""), ""薪資變動(不計入)"",
  REGEXMATCH(C12665, ""押金""), ""押金往來"",
  AND(E12665&lt;&gt;"""", F12665=""""), ""真實支出"",
  AND(E12665="""", F12665&lt;&gt;""""), ""真實收入"",
  TRUE, ""其他""
)"),"其他")</f>
        <v>其他</v>
      </c>
      <c r="K12665" s="270" t="str">
        <f t="shared" si="2"/>
        <v/>
      </c>
      <c r="L12665">
        <f t="shared" si="3"/>
        <v>0</v>
      </c>
    </row>
    <row r="12666">
      <c r="A12666" s="107"/>
      <c r="D12666" s="270"/>
      <c r="H12666" s="106" t="str">
        <f t="shared" si="1"/>
        <v/>
      </c>
      <c r="J12666" t="str">
        <f>IFERROR(__xludf.DUMMYFUNCTION("IFS(
  AND(REGEXMATCH(E12666, ""台銀籌備帳戶|玉山帳戶""), REGEXMATCH(C12666, ""薪資"")), ""分潤支出"",
  AND(REGEXMATCH(E12666, ""Ben帳戶|Elsa帳戶|Ben代墊|Ariel代墊|中信銀行共用""), REGEXMATCH(F12666, ""Ben帳戶|Elsa帳戶|Ben代墊|Ariel代墊|中信銀行共用"")), ""內部轉帳(忽略)"",
  AND(E12666&lt;&gt;"""", F12666&lt;&gt;"&amp;""""", NOT(REGEXMATCH(C12666, ""薪資""))), ""內部轉帳(忽略)"",
  REGEXMATCH(C12666, ""薪資""), ""薪資變動(不計入)"",
  REGEXMATCH(C12666, ""押金""), ""押金往來"",
  AND(E12666&lt;&gt;"""", F12666=""""), ""真實支出"",
  AND(E12666="""", F12666&lt;&gt;""""), ""真實收入"",
  TRUE, ""其他""
)"),"其他")</f>
        <v>其他</v>
      </c>
      <c r="K12666" s="270" t="str">
        <f t="shared" si="2"/>
        <v/>
      </c>
      <c r="L12666">
        <f t="shared" si="3"/>
        <v>0</v>
      </c>
    </row>
    <row r="12667">
      <c r="A12667" s="107"/>
      <c r="D12667" s="270"/>
      <c r="H12667" s="106" t="str">
        <f t="shared" si="1"/>
        <v/>
      </c>
      <c r="J12667" t="str">
        <f>IFERROR(__xludf.DUMMYFUNCTION("IFS(
  AND(REGEXMATCH(E12667, ""台銀籌備帳戶|玉山帳戶""), REGEXMATCH(C12667, ""薪資"")), ""分潤支出"",
  AND(REGEXMATCH(E12667, ""Ben帳戶|Elsa帳戶|Ben代墊|Ariel代墊|中信銀行共用""), REGEXMATCH(F12667, ""Ben帳戶|Elsa帳戶|Ben代墊|Ariel代墊|中信銀行共用"")), ""內部轉帳(忽略)"",
  AND(E12667&lt;&gt;"""", F12667&lt;&gt;"&amp;""""", NOT(REGEXMATCH(C12667, ""薪資""))), ""內部轉帳(忽略)"",
  REGEXMATCH(C12667, ""薪資""), ""薪資變動(不計入)"",
  REGEXMATCH(C12667, ""押金""), ""押金往來"",
  AND(E12667&lt;&gt;"""", F12667=""""), ""真實支出"",
  AND(E12667="""", F12667&lt;&gt;""""), ""真實收入"",
  TRUE, ""其他""
)"),"其他")</f>
        <v>其他</v>
      </c>
      <c r="K12667" s="270" t="str">
        <f t="shared" si="2"/>
        <v/>
      </c>
      <c r="L12667">
        <f t="shared" si="3"/>
        <v>0</v>
      </c>
    </row>
    <row r="12668">
      <c r="A12668" s="107"/>
      <c r="D12668" s="270"/>
      <c r="H12668" s="106" t="str">
        <f t="shared" si="1"/>
        <v/>
      </c>
      <c r="J12668" t="str">
        <f>IFERROR(__xludf.DUMMYFUNCTION("IFS(
  AND(REGEXMATCH(E12668, ""台銀籌備帳戶|玉山帳戶""), REGEXMATCH(C12668, ""薪資"")), ""分潤支出"",
  AND(REGEXMATCH(E12668, ""Ben帳戶|Elsa帳戶|Ben代墊|Ariel代墊|中信銀行共用""), REGEXMATCH(F12668, ""Ben帳戶|Elsa帳戶|Ben代墊|Ariel代墊|中信銀行共用"")), ""內部轉帳(忽略)"",
  AND(E12668&lt;&gt;"""", F12668&lt;&gt;"&amp;""""", NOT(REGEXMATCH(C12668, ""薪資""))), ""內部轉帳(忽略)"",
  REGEXMATCH(C12668, ""薪資""), ""薪資變動(不計入)"",
  REGEXMATCH(C12668, ""押金""), ""押金往來"",
  AND(E12668&lt;&gt;"""", F12668=""""), ""真實支出"",
  AND(E12668="""", F12668&lt;&gt;""""), ""真實收入"",
  TRUE, ""其他""
)"),"其他")</f>
        <v>其他</v>
      </c>
      <c r="K12668" s="270" t="str">
        <f t="shared" si="2"/>
        <v/>
      </c>
      <c r="L12668">
        <f t="shared" si="3"/>
        <v>0</v>
      </c>
    </row>
    <row r="12669">
      <c r="A12669" s="107"/>
      <c r="D12669" s="270"/>
      <c r="H12669" s="106" t="str">
        <f t="shared" si="1"/>
        <v/>
      </c>
      <c r="J12669" t="str">
        <f>IFERROR(__xludf.DUMMYFUNCTION("IFS(
  AND(REGEXMATCH(E12669, ""台銀籌備帳戶|玉山帳戶""), REGEXMATCH(C12669, ""薪資"")), ""分潤支出"",
  AND(REGEXMATCH(E12669, ""Ben帳戶|Elsa帳戶|Ben代墊|Ariel代墊|中信銀行共用""), REGEXMATCH(F12669, ""Ben帳戶|Elsa帳戶|Ben代墊|Ariel代墊|中信銀行共用"")), ""內部轉帳(忽略)"",
  AND(E12669&lt;&gt;"""", F12669&lt;&gt;"&amp;""""", NOT(REGEXMATCH(C12669, ""薪資""))), ""內部轉帳(忽略)"",
  REGEXMATCH(C12669, ""薪資""), ""薪資變動(不計入)"",
  REGEXMATCH(C12669, ""押金""), ""押金往來"",
  AND(E12669&lt;&gt;"""", F12669=""""), ""真實支出"",
  AND(E12669="""", F12669&lt;&gt;""""), ""真實收入"",
  TRUE, ""其他""
)"),"其他")</f>
        <v>其他</v>
      </c>
      <c r="K12669" s="270" t="str">
        <f t="shared" si="2"/>
        <v/>
      </c>
      <c r="L12669">
        <f t="shared" si="3"/>
        <v>0</v>
      </c>
    </row>
    <row r="12670">
      <c r="A12670" s="107"/>
      <c r="D12670" s="270"/>
      <c r="H12670" s="106" t="str">
        <f t="shared" si="1"/>
        <v/>
      </c>
      <c r="J12670" t="str">
        <f>IFERROR(__xludf.DUMMYFUNCTION("IFS(
  AND(REGEXMATCH(E12670, ""台銀籌備帳戶|玉山帳戶""), REGEXMATCH(C12670, ""薪資"")), ""分潤支出"",
  AND(REGEXMATCH(E12670, ""Ben帳戶|Elsa帳戶|Ben代墊|Ariel代墊|中信銀行共用""), REGEXMATCH(F12670, ""Ben帳戶|Elsa帳戶|Ben代墊|Ariel代墊|中信銀行共用"")), ""內部轉帳(忽略)"",
  AND(E12670&lt;&gt;"""", F12670&lt;&gt;"&amp;""""", NOT(REGEXMATCH(C12670, ""薪資""))), ""內部轉帳(忽略)"",
  REGEXMATCH(C12670, ""薪資""), ""薪資變動(不計入)"",
  REGEXMATCH(C12670, ""押金""), ""押金往來"",
  AND(E12670&lt;&gt;"""", F12670=""""), ""真實支出"",
  AND(E12670="""", F12670&lt;&gt;""""), ""真實收入"",
  TRUE, ""其他""
)"),"其他")</f>
        <v>其他</v>
      </c>
      <c r="K12670" s="270" t="str">
        <f t="shared" si="2"/>
        <v/>
      </c>
      <c r="L12670">
        <f t="shared" si="3"/>
        <v>0</v>
      </c>
    </row>
    <row r="12671">
      <c r="A12671" s="107"/>
      <c r="D12671" s="270"/>
      <c r="H12671" s="106" t="str">
        <f t="shared" si="1"/>
        <v/>
      </c>
      <c r="J12671" t="str">
        <f>IFERROR(__xludf.DUMMYFUNCTION("IFS(
  AND(REGEXMATCH(E12671, ""台銀籌備帳戶|玉山帳戶""), REGEXMATCH(C12671, ""薪資"")), ""分潤支出"",
  AND(REGEXMATCH(E12671, ""Ben帳戶|Elsa帳戶|Ben代墊|Ariel代墊|中信銀行共用""), REGEXMATCH(F12671, ""Ben帳戶|Elsa帳戶|Ben代墊|Ariel代墊|中信銀行共用"")), ""內部轉帳(忽略)"",
  AND(E12671&lt;&gt;"""", F12671&lt;&gt;"&amp;""""", NOT(REGEXMATCH(C12671, ""薪資""))), ""內部轉帳(忽略)"",
  REGEXMATCH(C12671, ""薪資""), ""薪資變動(不計入)"",
  REGEXMATCH(C12671, ""押金""), ""押金往來"",
  AND(E12671&lt;&gt;"""", F12671=""""), ""真實支出"",
  AND(E12671="""", F12671&lt;&gt;""""), ""真實收入"",
  TRUE, ""其他""
)"),"其他")</f>
        <v>其他</v>
      </c>
      <c r="K12671" s="270" t="str">
        <f t="shared" si="2"/>
        <v/>
      </c>
      <c r="L12671">
        <f t="shared" si="3"/>
        <v>0</v>
      </c>
    </row>
    <row r="12672">
      <c r="A12672" s="107"/>
      <c r="D12672" s="270"/>
      <c r="H12672" s="106" t="str">
        <f t="shared" si="1"/>
        <v/>
      </c>
      <c r="J12672" t="str">
        <f>IFERROR(__xludf.DUMMYFUNCTION("IFS(
  AND(REGEXMATCH(E12672, ""台銀籌備帳戶|玉山帳戶""), REGEXMATCH(C12672, ""薪資"")), ""分潤支出"",
  AND(REGEXMATCH(E12672, ""Ben帳戶|Elsa帳戶|Ben代墊|Ariel代墊|中信銀行共用""), REGEXMATCH(F12672, ""Ben帳戶|Elsa帳戶|Ben代墊|Ariel代墊|中信銀行共用"")), ""內部轉帳(忽略)"",
  AND(E12672&lt;&gt;"""", F12672&lt;&gt;"&amp;""""", NOT(REGEXMATCH(C12672, ""薪資""))), ""內部轉帳(忽略)"",
  REGEXMATCH(C12672, ""薪資""), ""薪資變動(不計入)"",
  REGEXMATCH(C12672, ""押金""), ""押金往來"",
  AND(E12672&lt;&gt;"""", F12672=""""), ""真實支出"",
  AND(E12672="""", F12672&lt;&gt;""""), ""真實收入"",
  TRUE, ""其他""
)"),"其他")</f>
        <v>其他</v>
      </c>
      <c r="K12672" s="270" t="str">
        <f t="shared" si="2"/>
        <v/>
      </c>
      <c r="L12672">
        <f t="shared" si="3"/>
        <v>0</v>
      </c>
    </row>
    <row r="12673">
      <c r="A12673" s="107"/>
      <c r="D12673" s="270"/>
      <c r="H12673" s="106" t="str">
        <f t="shared" si="1"/>
        <v/>
      </c>
      <c r="J12673" t="str">
        <f>IFERROR(__xludf.DUMMYFUNCTION("IFS(
  AND(REGEXMATCH(E12673, ""台銀籌備帳戶|玉山帳戶""), REGEXMATCH(C12673, ""薪資"")), ""分潤支出"",
  AND(REGEXMATCH(E12673, ""Ben帳戶|Elsa帳戶|Ben代墊|Ariel代墊|中信銀行共用""), REGEXMATCH(F12673, ""Ben帳戶|Elsa帳戶|Ben代墊|Ariel代墊|中信銀行共用"")), ""內部轉帳(忽略)"",
  AND(E12673&lt;&gt;"""", F12673&lt;&gt;"&amp;""""", NOT(REGEXMATCH(C12673, ""薪資""))), ""內部轉帳(忽略)"",
  REGEXMATCH(C12673, ""薪資""), ""薪資變動(不計入)"",
  REGEXMATCH(C12673, ""押金""), ""押金往來"",
  AND(E12673&lt;&gt;"""", F12673=""""), ""真實支出"",
  AND(E12673="""", F12673&lt;&gt;""""), ""真實收入"",
  TRUE, ""其他""
)"),"其他")</f>
        <v>其他</v>
      </c>
      <c r="K12673" s="270" t="str">
        <f t="shared" si="2"/>
        <v/>
      </c>
      <c r="L12673">
        <f t="shared" si="3"/>
        <v>0</v>
      </c>
    </row>
    <row r="12674">
      <c r="A12674" s="107"/>
      <c r="D12674" s="270"/>
      <c r="H12674" s="106" t="str">
        <f t="shared" si="1"/>
        <v/>
      </c>
      <c r="J12674" t="str">
        <f>IFERROR(__xludf.DUMMYFUNCTION("IFS(
  AND(REGEXMATCH(E12674, ""台銀籌備帳戶|玉山帳戶""), REGEXMATCH(C12674, ""薪資"")), ""分潤支出"",
  AND(REGEXMATCH(E12674, ""Ben帳戶|Elsa帳戶|Ben代墊|Ariel代墊|中信銀行共用""), REGEXMATCH(F12674, ""Ben帳戶|Elsa帳戶|Ben代墊|Ariel代墊|中信銀行共用"")), ""內部轉帳(忽略)"",
  AND(E12674&lt;&gt;"""", F12674&lt;&gt;"&amp;""""", NOT(REGEXMATCH(C12674, ""薪資""))), ""內部轉帳(忽略)"",
  REGEXMATCH(C12674, ""薪資""), ""薪資變動(不計入)"",
  REGEXMATCH(C12674, ""押金""), ""押金往來"",
  AND(E12674&lt;&gt;"""", F12674=""""), ""真實支出"",
  AND(E12674="""", F12674&lt;&gt;""""), ""真實收入"",
  TRUE, ""其他""
)"),"其他")</f>
        <v>其他</v>
      </c>
      <c r="K12674" s="270" t="str">
        <f t="shared" si="2"/>
        <v/>
      </c>
      <c r="L12674">
        <f t="shared" si="3"/>
        <v>0</v>
      </c>
    </row>
    <row r="12675">
      <c r="A12675" s="107"/>
      <c r="D12675" s="270"/>
      <c r="H12675" s="106" t="str">
        <f t="shared" si="1"/>
        <v/>
      </c>
      <c r="J12675" t="str">
        <f>IFERROR(__xludf.DUMMYFUNCTION("IFS(
  AND(REGEXMATCH(E12675, ""台銀籌備帳戶|玉山帳戶""), REGEXMATCH(C12675, ""薪資"")), ""分潤支出"",
  AND(REGEXMATCH(E12675, ""Ben帳戶|Elsa帳戶|Ben代墊|Ariel代墊|中信銀行共用""), REGEXMATCH(F12675, ""Ben帳戶|Elsa帳戶|Ben代墊|Ariel代墊|中信銀行共用"")), ""內部轉帳(忽略)"",
  AND(E12675&lt;&gt;"""", F12675&lt;&gt;"&amp;""""", NOT(REGEXMATCH(C12675, ""薪資""))), ""內部轉帳(忽略)"",
  REGEXMATCH(C12675, ""薪資""), ""薪資變動(不計入)"",
  REGEXMATCH(C12675, ""押金""), ""押金往來"",
  AND(E12675&lt;&gt;"""", F12675=""""), ""真實支出"",
  AND(E12675="""", F12675&lt;&gt;""""), ""真實收入"",
  TRUE, ""其他""
)"),"其他")</f>
        <v>其他</v>
      </c>
      <c r="K12675" s="270" t="str">
        <f t="shared" si="2"/>
        <v/>
      </c>
      <c r="L12675">
        <f t="shared" si="3"/>
        <v>0</v>
      </c>
    </row>
    <row r="12676">
      <c r="A12676" s="107"/>
      <c r="D12676" s="270"/>
      <c r="H12676" s="106" t="str">
        <f t="shared" si="1"/>
        <v/>
      </c>
      <c r="J12676" t="str">
        <f>IFERROR(__xludf.DUMMYFUNCTION("IFS(
  AND(REGEXMATCH(E12676, ""台銀籌備帳戶|玉山帳戶""), REGEXMATCH(C12676, ""薪資"")), ""分潤支出"",
  AND(REGEXMATCH(E12676, ""Ben帳戶|Elsa帳戶|Ben代墊|Ariel代墊|中信銀行共用""), REGEXMATCH(F12676, ""Ben帳戶|Elsa帳戶|Ben代墊|Ariel代墊|中信銀行共用"")), ""內部轉帳(忽略)"",
  AND(E12676&lt;&gt;"""", F12676&lt;&gt;"&amp;""""", NOT(REGEXMATCH(C12676, ""薪資""))), ""內部轉帳(忽略)"",
  REGEXMATCH(C12676, ""薪資""), ""薪資變動(不計入)"",
  REGEXMATCH(C12676, ""押金""), ""押金往來"",
  AND(E12676&lt;&gt;"""", F12676=""""), ""真實支出"",
  AND(E12676="""", F12676&lt;&gt;""""), ""真實收入"",
  TRUE, ""其他""
)"),"其他")</f>
        <v>其他</v>
      </c>
      <c r="K12676" s="270" t="str">
        <f t="shared" si="2"/>
        <v/>
      </c>
      <c r="L12676">
        <f t="shared" si="3"/>
        <v>0</v>
      </c>
    </row>
    <row r="12677">
      <c r="A12677" s="107"/>
      <c r="D12677" s="270"/>
      <c r="H12677" s="106" t="str">
        <f t="shared" si="1"/>
        <v/>
      </c>
      <c r="J12677" t="str">
        <f>IFERROR(__xludf.DUMMYFUNCTION("IFS(
  AND(REGEXMATCH(E12677, ""台銀籌備帳戶|玉山帳戶""), REGEXMATCH(C12677, ""薪資"")), ""分潤支出"",
  AND(REGEXMATCH(E12677, ""Ben帳戶|Elsa帳戶|Ben代墊|Ariel代墊|中信銀行共用""), REGEXMATCH(F12677, ""Ben帳戶|Elsa帳戶|Ben代墊|Ariel代墊|中信銀行共用"")), ""內部轉帳(忽略)"",
  AND(E12677&lt;&gt;"""", F12677&lt;&gt;"&amp;""""", NOT(REGEXMATCH(C12677, ""薪資""))), ""內部轉帳(忽略)"",
  REGEXMATCH(C12677, ""薪資""), ""薪資變動(不計入)"",
  REGEXMATCH(C12677, ""押金""), ""押金往來"",
  AND(E12677&lt;&gt;"""", F12677=""""), ""真實支出"",
  AND(E12677="""", F12677&lt;&gt;""""), ""真實收入"",
  TRUE, ""其他""
)"),"其他")</f>
        <v>其他</v>
      </c>
      <c r="K12677" s="270" t="str">
        <f t="shared" si="2"/>
        <v/>
      </c>
      <c r="L12677">
        <f t="shared" si="3"/>
        <v>0</v>
      </c>
    </row>
    <row r="12678">
      <c r="A12678" s="107"/>
      <c r="D12678" s="270"/>
      <c r="H12678" s="106" t="str">
        <f t="shared" si="1"/>
        <v/>
      </c>
      <c r="J12678" t="str">
        <f>IFERROR(__xludf.DUMMYFUNCTION("IFS(
  AND(REGEXMATCH(E12678, ""台銀籌備帳戶|玉山帳戶""), REGEXMATCH(C12678, ""薪資"")), ""分潤支出"",
  AND(REGEXMATCH(E12678, ""Ben帳戶|Elsa帳戶|Ben代墊|Ariel代墊|中信銀行共用""), REGEXMATCH(F12678, ""Ben帳戶|Elsa帳戶|Ben代墊|Ariel代墊|中信銀行共用"")), ""內部轉帳(忽略)"",
  AND(E12678&lt;&gt;"""", F12678&lt;&gt;"&amp;""""", NOT(REGEXMATCH(C12678, ""薪資""))), ""內部轉帳(忽略)"",
  REGEXMATCH(C12678, ""薪資""), ""薪資變動(不計入)"",
  REGEXMATCH(C12678, ""押金""), ""押金往來"",
  AND(E12678&lt;&gt;"""", F12678=""""), ""真實支出"",
  AND(E12678="""", F12678&lt;&gt;""""), ""真實收入"",
  TRUE, ""其他""
)"),"其他")</f>
        <v>其他</v>
      </c>
      <c r="K12678" s="270" t="str">
        <f t="shared" si="2"/>
        <v/>
      </c>
      <c r="L12678">
        <f t="shared" si="3"/>
        <v>0</v>
      </c>
    </row>
    <row r="12679">
      <c r="A12679" s="107"/>
      <c r="D12679" s="270"/>
      <c r="H12679" s="106" t="str">
        <f t="shared" si="1"/>
        <v/>
      </c>
      <c r="J12679" t="str">
        <f>IFERROR(__xludf.DUMMYFUNCTION("IFS(
  AND(REGEXMATCH(E12679, ""台銀籌備帳戶|玉山帳戶""), REGEXMATCH(C12679, ""薪資"")), ""分潤支出"",
  AND(REGEXMATCH(E12679, ""Ben帳戶|Elsa帳戶|Ben代墊|Ariel代墊|中信銀行共用""), REGEXMATCH(F12679, ""Ben帳戶|Elsa帳戶|Ben代墊|Ariel代墊|中信銀行共用"")), ""內部轉帳(忽略)"",
  AND(E12679&lt;&gt;"""", F12679&lt;&gt;"&amp;""""", NOT(REGEXMATCH(C12679, ""薪資""))), ""內部轉帳(忽略)"",
  REGEXMATCH(C12679, ""薪資""), ""薪資變動(不計入)"",
  REGEXMATCH(C12679, ""押金""), ""押金往來"",
  AND(E12679&lt;&gt;"""", F12679=""""), ""真實支出"",
  AND(E12679="""", F12679&lt;&gt;""""), ""真實收入"",
  TRUE, ""其他""
)"),"其他")</f>
        <v>其他</v>
      </c>
      <c r="K12679" s="270" t="str">
        <f t="shared" si="2"/>
        <v/>
      </c>
      <c r="L12679">
        <f t="shared" si="3"/>
        <v>0</v>
      </c>
    </row>
    <row r="12680">
      <c r="A12680" s="107"/>
      <c r="D12680" s="270"/>
      <c r="H12680" s="106" t="str">
        <f t="shared" si="1"/>
        <v/>
      </c>
      <c r="J12680" t="str">
        <f>IFERROR(__xludf.DUMMYFUNCTION("IFS(
  AND(REGEXMATCH(E12680, ""台銀籌備帳戶|玉山帳戶""), REGEXMATCH(C12680, ""薪資"")), ""分潤支出"",
  AND(REGEXMATCH(E12680, ""Ben帳戶|Elsa帳戶|Ben代墊|Ariel代墊|中信銀行共用""), REGEXMATCH(F12680, ""Ben帳戶|Elsa帳戶|Ben代墊|Ariel代墊|中信銀行共用"")), ""內部轉帳(忽略)"",
  AND(E12680&lt;&gt;"""", F12680&lt;&gt;"&amp;""""", NOT(REGEXMATCH(C12680, ""薪資""))), ""內部轉帳(忽略)"",
  REGEXMATCH(C12680, ""薪資""), ""薪資變動(不計入)"",
  REGEXMATCH(C12680, ""押金""), ""押金往來"",
  AND(E12680&lt;&gt;"""", F12680=""""), ""真實支出"",
  AND(E12680="""", F12680&lt;&gt;""""), ""真實收入"",
  TRUE, ""其他""
)"),"其他")</f>
        <v>其他</v>
      </c>
      <c r="K12680" s="270" t="str">
        <f t="shared" si="2"/>
        <v/>
      </c>
      <c r="L12680">
        <f t="shared" si="3"/>
        <v>0</v>
      </c>
    </row>
    <row r="12681">
      <c r="A12681" s="107"/>
      <c r="D12681" s="270"/>
      <c r="H12681" s="106" t="str">
        <f t="shared" si="1"/>
        <v/>
      </c>
      <c r="J12681" t="str">
        <f>IFERROR(__xludf.DUMMYFUNCTION("IFS(
  AND(REGEXMATCH(E12681, ""台銀籌備帳戶|玉山帳戶""), REGEXMATCH(C12681, ""薪資"")), ""分潤支出"",
  AND(REGEXMATCH(E12681, ""Ben帳戶|Elsa帳戶|Ben代墊|Ariel代墊|中信銀行共用""), REGEXMATCH(F12681, ""Ben帳戶|Elsa帳戶|Ben代墊|Ariel代墊|中信銀行共用"")), ""內部轉帳(忽略)"",
  AND(E12681&lt;&gt;"""", F12681&lt;&gt;"&amp;""""", NOT(REGEXMATCH(C12681, ""薪資""))), ""內部轉帳(忽略)"",
  REGEXMATCH(C12681, ""薪資""), ""薪資變動(不計入)"",
  REGEXMATCH(C12681, ""押金""), ""押金往來"",
  AND(E12681&lt;&gt;"""", F12681=""""), ""真實支出"",
  AND(E12681="""", F12681&lt;&gt;""""), ""真實收入"",
  TRUE, ""其他""
)"),"其他")</f>
        <v>其他</v>
      </c>
      <c r="K12681" s="270" t="str">
        <f t="shared" si="2"/>
        <v/>
      </c>
      <c r="L12681">
        <f t="shared" si="3"/>
        <v>0</v>
      </c>
    </row>
    <row r="12682">
      <c r="A12682" s="107"/>
      <c r="D12682" s="270"/>
      <c r="H12682" s="106" t="str">
        <f t="shared" si="1"/>
        <v/>
      </c>
      <c r="J12682" t="str">
        <f>IFERROR(__xludf.DUMMYFUNCTION("IFS(
  AND(REGEXMATCH(E12682, ""台銀籌備帳戶|玉山帳戶""), REGEXMATCH(C12682, ""薪資"")), ""分潤支出"",
  AND(REGEXMATCH(E12682, ""Ben帳戶|Elsa帳戶|Ben代墊|Ariel代墊|中信銀行共用""), REGEXMATCH(F12682, ""Ben帳戶|Elsa帳戶|Ben代墊|Ariel代墊|中信銀行共用"")), ""內部轉帳(忽略)"",
  AND(E12682&lt;&gt;"""", F12682&lt;&gt;"&amp;""""", NOT(REGEXMATCH(C12682, ""薪資""))), ""內部轉帳(忽略)"",
  REGEXMATCH(C12682, ""薪資""), ""薪資變動(不計入)"",
  REGEXMATCH(C12682, ""押金""), ""押金往來"",
  AND(E12682&lt;&gt;"""", F12682=""""), ""真實支出"",
  AND(E12682="""", F12682&lt;&gt;""""), ""真實收入"",
  TRUE, ""其他""
)"),"其他")</f>
        <v>其他</v>
      </c>
      <c r="K12682" s="270" t="str">
        <f t="shared" si="2"/>
        <v/>
      </c>
      <c r="L12682">
        <f t="shared" si="3"/>
        <v>0</v>
      </c>
    </row>
    <row r="12683">
      <c r="A12683" s="107"/>
      <c r="D12683" s="270"/>
      <c r="H12683" s="106" t="str">
        <f t="shared" si="1"/>
        <v/>
      </c>
      <c r="J12683" t="str">
        <f>IFERROR(__xludf.DUMMYFUNCTION("IFS(
  AND(REGEXMATCH(E12683, ""台銀籌備帳戶|玉山帳戶""), REGEXMATCH(C12683, ""薪資"")), ""分潤支出"",
  AND(REGEXMATCH(E12683, ""Ben帳戶|Elsa帳戶|Ben代墊|Ariel代墊|中信銀行共用""), REGEXMATCH(F12683, ""Ben帳戶|Elsa帳戶|Ben代墊|Ariel代墊|中信銀行共用"")), ""內部轉帳(忽略)"",
  AND(E12683&lt;&gt;"""", F12683&lt;&gt;"&amp;""""", NOT(REGEXMATCH(C12683, ""薪資""))), ""內部轉帳(忽略)"",
  REGEXMATCH(C12683, ""薪資""), ""薪資變動(不計入)"",
  REGEXMATCH(C12683, ""押金""), ""押金往來"",
  AND(E12683&lt;&gt;"""", F12683=""""), ""真實支出"",
  AND(E12683="""", F12683&lt;&gt;""""), ""真實收入"",
  TRUE, ""其他""
)"),"其他")</f>
        <v>其他</v>
      </c>
      <c r="K12683" s="270" t="str">
        <f t="shared" si="2"/>
        <v/>
      </c>
      <c r="L12683">
        <f t="shared" si="3"/>
        <v>0</v>
      </c>
    </row>
    <row r="12684">
      <c r="A12684" s="107"/>
      <c r="D12684" s="270"/>
      <c r="H12684" s="106" t="str">
        <f t="shared" si="1"/>
        <v/>
      </c>
      <c r="J12684" t="str">
        <f>IFERROR(__xludf.DUMMYFUNCTION("IFS(
  AND(REGEXMATCH(E12684, ""台銀籌備帳戶|玉山帳戶""), REGEXMATCH(C12684, ""薪資"")), ""分潤支出"",
  AND(REGEXMATCH(E12684, ""Ben帳戶|Elsa帳戶|Ben代墊|Ariel代墊|中信銀行共用""), REGEXMATCH(F12684, ""Ben帳戶|Elsa帳戶|Ben代墊|Ariel代墊|中信銀行共用"")), ""內部轉帳(忽略)"",
  AND(E12684&lt;&gt;"""", F12684&lt;&gt;"&amp;""""", NOT(REGEXMATCH(C12684, ""薪資""))), ""內部轉帳(忽略)"",
  REGEXMATCH(C12684, ""薪資""), ""薪資變動(不計入)"",
  REGEXMATCH(C12684, ""押金""), ""押金往來"",
  AND(E12684&lt;&gt;"""", F12684=""""), ""真實支出"",
  AND(E12684="""", F12684&lt;&gt;""""), ""真實收入"",
  TRUE, ""其他""
)"),"其他")</f>
        <v>其他</v>
      </c>
      <c r="K12684" s="270" t="str">
        <f t="shared" si="2"/>
        <v/>
      </c>
      <c r="L12684">
        <f t="shared" si="3"/>
        <v>0</v>
      </c>
    </row>
    <row r="12685">
      <c r="A12685" s="107"/>
      <c r="D12685" s="270"/>
      <c r="H12685" s="106" t="str">
        <f t="shared" si="1"/>
        <v/>
      </c>
      <c r="J12685" t="str">
        <f>IFERROR(__xludf.DUMMYFUNCTION("IFS(
  AND(REGEXMATCH(E12685, ""台銀籌備帳戶|玉山帳戶""), REGEXMATCH(C12685, ""薪資"")), ""分潤支出"",
  AND(REGEXMATCH(E12685, ""Ben帳戶|Elsa帳戶|Ben代墊|Ariel代墊|中信銀行共用""), REGEXMATCH(F12685, ""Ben帳戶|Elsa帳戶|Ben代墊|Ariel代墊|中信銀行共用"")), ""內部轉帳(忽略)"",
  AND(E12685&lt;&gt;"""", F12685&lt;&gt;"&amp;""""", NOT(REGEXMATCH(C12685, ""薪資""))), ""內部轉帳(忽略)"",
  REGEXMATCH(C12685, ""薪資""), ""薪資變動(不計入)"",
  REGEXMATCH(C12685, ""押金""), ""押金往來"",
  AND(E12685&lt;&gt;"""", F12685=""""), ""真實支出"",
  AND(E12685="""", F12685&lt;&gt;""""), ""真實收入"",
  TRUE, ""其他""
)"),"其他")</f>
        <v>其他</v>
      </c>
      <c r="K12685" s="270" t="str">
        <f t="shared" si="2"/>
        <v/>
      </c>
      <c r="L12685">
        <f t="shared" si="3"/>
        <v>0</v>
      </c>
    </row>
    <row r="12686">
      <c r="A12686" s="107"/>
      <c r="D12686" s="270"/>
      <c r="H12686" s="106" t="str">
        <f t="shared" si="1"/>
        <v/>
      </c>
      <c r="J12686" t="str">
        <f>IFERROR(__xludf.DUMMYFUNCTION("IFS(
  AND(REGEXMATCH(E12686, ""台銀籌備帳戶|玉山帳戶""), REGEXMATCH(C12686, ""薪資"")), ""分潤支出"",
  AND(REGEXMATCH(E12686, ""Ben帳戶|Elsa帳戶|Ben代墊|Ariel代墊|中信銀行共用""), REGEXMATCH(F12686, ""Ben帳戶|Elsa帳戶|Ben代墊|Ariel代墊|中信銀行共用"")), ""內部轉帳(忽略)"",
  AND(E12686&lt;&gt;"""", F12686&lt;&gt;"&amp;""""", NOT(REGEXMATCH(C12686, ""薪資""))), ""內部轉帳(忽略)"",
  REGEXMATCH(C12686, ""薪資""), ""薪資變動(不計入)"",
  REGEXMATCH(C12686, ""押金""), ""押金往來"",
  AND(E12686&lt;&gt;"""", F12686=""""), ""真實支出"",
  AND(E12686="""", F12686&lt;&gt;""""), ""真實收入"",
  TRUE, ""其他""
)"),"其他")</f>
        <v>其他</v>
      </c>
      <c r="K12686" s="270" t="str">
        <f t="shared" si="2"/>
        <v/>
      </c>
      <c r="L12686">
        <f t="shared" si="3"/>
        <v>0</v>
      </c>
    </row>
    <row r="12687">
      <c r="A12687" s="107"/>
      <c r="D12687" s="270"/>
      <c r="H12687" s="106" t="str">
        <f t="shared" si="1"/>
        <v/>
      </c>
      <c r="J12687" t="str">
        <f>IFERROR(__xludf.DUMMYFUNCTION("IFS(
  AND(REGEXMATCH(E12687, ""台銀籌備帳戶|玉山帳戶""), REGEXMATCH(C12687, ""薪資"")), ""分潤支出"",
  AND(REGEXMATCH(E12687, ""Ben帳戶|Elsa帳戶|Ben代墊|Ariel代墊|中信銀行共用""), REGEXMATCH(F12687, ""Ben帳戶|Elsa帳戶|Ben代墊|Ariel代墊|中信銀行共用"")), ""內部轉帳(忽略)"",
  AND(E12687&lt;&gt;"""", F12687&lt;&gt;"&amp;""""", NOT(REGEXMATCH(C12687, ""薪資""))), ""內部轉帳(忽略)"",
  REGEXMATCH(C12687, ""薪資""), ""薪資變動(不計入)"",
  REGEXMATCH(C12687, ""押金""), ""押金往來"",
  AND(E12687&lt;&gt;"""", F12687=""""), ""真實支出"",
  AND(E12687="""", F12687&lt;&gt;""""), ""真實收入"",
  TRUE, ""其他""
)"),"其他")</f>
        <v>其他</v>
      </c>
      <c r="K12687" s="270" t="str">
        <f t="shared" si="2"/>
        <v/>
      </c>
      <c r="L12687">
        <f t="shared" si="3"/>
        <v>0</v>
      </c>
    </row>
    <row r="12688">
      <c r="A12688" s="107"/>
      <c r="D12688" s="270"/>
      <c r="H12688" s="106" t="str">
        <f t="shared" si="1"/>
        <v/>
      </c>
      <c r="J12688" t="str">
        <f>IFERROR(__xludf.DUMMYFUNCTION("IFS(
  AND(REGEXMATCH(E12688, ""台銀籌備帳戶|玉山帳戶""), REGEXMATCH(C12688, ""薪資"")), ""分潤支出"",
  AND(REGEXMATCH(E12688, ""Ben帳戶|Elsa帳戶|Ben代墊|Ariel代墊|中信銀行共用""), REGEXMATCH(F12688, ""Ben帳戶|Elsa帳戶|Ben代墊|Ariel代墊|中信銀行共用"")), ""內部轉帳(忽略)"",
  AND(E12688&lt;&gt;"""", F12688&lt;&gt;"&amp;""""", NOT(REGEXMATCH(C12688, ""薪資""))), ""內部轉帳(忽略)"",
  REGEXMATCH(C12688, ""薪資""), ""薪資變動(不計入)"",
  REGEXMATCH(C12688, ""押金""), ""押金往來"",
  AND(E12688&lt;&gt;"""", F12688=""""), ""真實支出"",
  AND(E12688="""", F12688&lt;&gt;""""), ""真實收入"",
  TRUE, ""其他""
)"),"其他")</f>
        <v>其他</v>
      </c>
      <c r="K12688" s="270" t="str">
        <f t="shared" si="2"/>
        <v/>
      </c>
      <c r="L12688">
        <f t="shared" si="3"/>
        <v>0</v>
      </c>
    </row>
    <row r="12689">
      <c r="A12689" s="107"/>
      <c r="D12689" s="270"/>
      <c r="H12689" s="106" t="str">
        <f t="shared" si="1"/>
        <v/>
      </c>
      <c r="J12689" t="str">
        <f>IFERROR(__xludf.DUMMYFUNCTION("IFS(
  AND(REGEXMATCH(E12689, ""台銀籌備帳戶|玉山帳戶""), REGEXMATCH(C12689, ""薪資"")), ""分潤支出"",
  AND(REGEXMATCH(E12689, ""Ben帳戶|Elsa帳戶|Ben代墊|Ariel代墊|中信銀行共用""), REGEXMATCH(F12689, ""Ben帳戶|Elsa帳戶|Ben代墊|Ariel代墊|中信銀行共用"")), ""內部轉帳(忽略)"",
  AND(E12689&lt;&gt;"""", F12689&lt;&gt;"&amp;""""", NOT(REGEXMATCH(C12689, ""薪資""))), ""內部轉帳(忽略)"",
  REGEXMATCH(C12689, ""薪資""), ""薪資變動(不計入)"",
  REGEXMATCH(C12689, ""押金""), ""押金往來"",
  AND(E12689&lt;&gt;"""", F12689=""""), ""真實支出"",
  AND(E12689="""", F12689&lt;&gt;""""), ""真實收入"",
  TRUE, ""其他""
)"),"其他")</f>
        <v>其他</v>
      </c>
      <c r="K12689" s="270" t="str">
        <f t="shared" si="2"/>
        <v/>
      </c>
      <c r="L12689">
        <f t="shared" si="3"/>
        <v>0</v>
      </c>
    </row>
    <row r="12690">
      <c r="A12690" s="107"/>
      <c r="D12690" s="270"/>
      <c r="H12690" s="106" t="str">
        <f t="shared" si="1"/>
        <v/>
      </c>
      <c r="J12690" t="str">
        <f>IFERROR(__xludf.DUMMYFUNCTION("IFS(
  AND(REGEXMATCH(E12690, ""台銀籌備帳戶|玉山帳戶""), REGEXMATCH(C12690, ""薪資"")), ""分潤支出"",
  AND(REGEXMATCH(E12690, ""Ben帳戶|Elsa帳戶|Ben代墊|Ariel代墊|中信銀行共用""), REGEXMATCH(F12690, ""Ben帳戶|Elsa帳戶|Ben代墊|Ariel代墊|中信銀行共用"")), ""內部轉帳(忽略)"",
  AND(E12690&lt;&gt;"""", F12690&lt;&gt;"&amp;""""", NOT(REGEXMATCH(C12690, ""薪資""))), ""內部轉帳(忽略)"",
  REGEXMATCH(C12690, ""薪資""), ""薪資變動(不計入)"",
  REGEXMATCH(C12690, ""押金""), ""押金往來"",
  AND(E12690&lt;&gt;"""", F12690=""""), ""真實支出"",
  AND(E12690="""", F12690&lt;&gt;""""), ""真實收入"",
  TRUE, ""其他""
)"),"其他")</f>
        <v>其他</v>
      </c>
      <c r="K12690" s="270" t="str">
        <f t="shared" si="2"/>
        <v/>
      </c>
      <c r="L12690">
        <f t="shared" si="3"/>
        <v>0</v>
      </c>
    </row>
    <row r="12691">
      <c r="A12691" s="107"/>
      <c r="D12691" s="270"/>
      <c r="H12691" s="106" t="str">
        <f t="shared" si="1"/>
        <v/>
      </c>
      <c r="J12691" t="str">
        <f>IFERROR(__xludf.DUMMYFUNCTION("IFS(
  AND(REGEXMATCH(E12691, ""台銀籌備帳戶|玉山帳戶""), REGEXMATCH(C12691, ""薪資"")), ""分潤支出"",
  AND(REGEXMATCH(E12691, ""Ben帳戶|Elsa帳戶|Ben代墊|Ariel代墊|中信銀行共用""), REGEXMATCH(F12691, ""Ben帳戶|Elsa帳戶|Ben代墊|Ariel代墊|中信銀行共用"")), ""內部轉帳(忽略)"",
  AND(E12691&lt;&gt;"""", F12691&lt;&gt;"&amp;""""", NOT(REGEXMATCH(C12691, ""薪資""))), ""內部轉帳(忽略)"",
  REGEXMATCH(C12691, ""薪資""), ""薪資變動(不計入)"",
  REGEXMATCH(C12691, ""押金""), ""押金往來"",
  AND(E12691&lt;&gt;"""", F12691=""""), ""真實支出"",
  AND(E12691="""", F12691&lt;&gt;""""), ""真實收入"",
  TRUE, ""其他""
)"),"其他")</f>
        <v>其他</v>
      </c>
      <c r="K12691" s="270" t="str">
        <f t="shared" si="2"/>
        <v/>
      </c>
      <c r="L12691">
        <f t="shared" si="3"/>
        <v>0</v>
      </c>
    </row>
    <row r="12692">
      <c r="A12692" s="107"/>
      <c r="D12692" s="270"/>
      <c r="H12692" s="106" t="str">
        <f t="shared" si="1"/>
        <v/>
      </c>
      <c r="J12692" t="str">
        <f>IFERROR(__xludf.DUMMYFUNCTION("IFS(
  AND(REGEXMATCH(E12692, ""台銀籌備帳戶|玉山帳戶""), REGEXMATCH(C12692, ""薪資"")), ""分潤支出"",
  AND(REGEXMATCH(E12692, ""Ben帳戶|Elsa帳戶|Ben代墊|Ariel代墊|中信銀行共用""), REGEXMATCH(F12692, ""Ben帳戶|Elsa帳戶|Ben代墊|Ariel代墊|中信銀行共用"")), ""內部轉帳(忽略)"",
  AND(E12692&lt;&gt;"""", F12692&lt;&gt;"&amp;""""", NOT(REGEXMATCH(C12692, ""薪資""))), ""內部轉帳(忽略)"",
  REGEXMATCH(C12692, ""薪資""), ""薪資變動(不計入)"",
  REGEXMATCH(C12692, ""押金""), ""押金往來"",
  AND(E12692&lt;&gt;"""", F12692=""""), ""真實支出"",
  AND(E12692="""", F12692&lt;&gt;""""), ""真實收入"",
  TRUE, ""其他""
)"),"其他")</f>
        <v>其他</v>
      </c>
      <c r="K12692" s="270" t="str">
        <f t="shared" si="2"/>
        <v/>
      </c>
      <c r="L12692">
        <f t="shared" si="3"/>
        <v>0</v>
      </c>
    </row>
    <row r="12693">
      <c r="A12693" s="107"/>
      <c r="D12693" s="270"/>
      <c r="H12693" s="106" t="str">
        <f t="shared" si="1"/>
        <v/>
      </c>
      <c r="J12693" t="str">
        <f>IFERROR(__xludf.DUMMYFUNCTION("IFS(
  AND(REGEXMATCH(E12693, ""台銀籌備帳戶|玉山帳戶""), REGEXMATCH(C12693, ""薪資"")), ""分潤支出"",
  AND(REGEXMATCH(E12693, ""Ben帳戶|Elsa帳戶|Ben代墊|Ariel代墊|中信銀行共用""), REGEXMATCH(F12693, ""Ben帳戶|Elsa帳戶|Ben代墊|Ariel代墊|中信銀行共用"")), ""內部轉帳(忽略)"",
  AND(E12693&lt;&gt;"""", F12693&lt;&gt;"&amp;""""", NOT(REGEXMATCH(C12693, ""薪資""))), ""內部轉帳(忽略)"",
  REGEXMATCH(C12693, ""薪資""), ""薪資變動(不計入)"",
  REGEXMATCH(C12693, ""押金""), ""押金往來"",
  AND(E12693&lt;&gt;"""", F12693=""""), ""真實支出"",
  AND(E12693="""", F12693&lt;&gt;""""), ""真實收入"",
  TRUE, ""其他""
)"),"其他")</f>
        <v>其他</v>
      </c>
      <c r="K12693" s="270" t="str">
        <f t="shared" si="2"/>
        <v/>
      </c>
      <c r="L12693">
        <f t="shared" si="3"/>
        <v>0</v>
      </c>
    </row>
    <row r="12694">
      <c r="A12694" s="107"/>
      <c r="D12694" s="270"/>
      <c r="H12694" s="106" t="str">
        <f t="shared" si="1"/>
        <v/>
      </c>
      <c r="J12694" t="str">
        <f>IFERROR(__xludf.DUMMYFUNCTION("IFS(
  AND(REGEXMATCH(E12694, ""台銀籌備帳戶|玉山帳戶""), REGEXMATCH(C12694, ""薪資"")), ""分潤支出"",
  AND(REGEXMATCH(E12694, ""Ben帳戶|Elsa帳戶|Ben代墊|Ariel代墊|中信銀行共用""), REGEXMATCH(F12694, ""Ben帳戶|Elsa帳戶|Ben代墊|Ariel代墊|中信銀行共用"")), ""內部轉帳(忽略)"",
  AND(E12694&lt;&gt;"""", F12694&lt;&gt;"&amp;""""", NOT(REGEXMATCH(C12694, ""薪資""))), ""內部轉帳(忽略)"",
  REGEXMATCH(C12694, ""薪資""), ""薪資變動(不計入)"",
  REGEXMATCH(C12694, ""押金""), ""押金往來"",
  AND(E12694&lt;&gt;"""", F12694=""""), ""真實支出"",
  AND(E12694="""", F12694&lt;&gt;""""), ""真實收入"",
  TRUE, ""其他""
)"),"其他")</f>
        <v>其他</v>
      </c>
      <c r="K12694" s="270" t="str">
        <f t="shared" si="2"/>
        <v/>
      </c>
      <c r="L12694">
        <f t="shared" si="3"/>
        <v>0</v>
      </c>
    </row>
    <row r="12695">
      <c r="A12695" s="107"/>
      <c r="D12695" s="270"/>
      <c r="H12695" s="106" t="str">
        <f t="shared" si="1"/>
        <v/>
      </c>
      <c r="J12695" t="str">
        <f>IFERROR(__xludf.DUMMYFUNCTION("IFS(
  AND(REGEXMATCH(E12695, ""台銀籌備帳戶|玉山帳戶""), REGEXMATCH(C12695, ""薪資"")), ""分潤支出"",
  AND(REGEXMATCH(E12695, ""Ben帳戶|Elsa帳戶|Ben代墊|Ariel代墊|中信銀行共用""), REGEXMATCH(F12695, ""Ben帳戶|Elsa帳戶|Ben代墊|Ariel代墊|中信銀行共用"")), ""內部轉帳(忽略)"",
  AND(E12695&lt;&gt;"""", F12695&lt;&gt;"&amp;""""", NOT(REGEXMATCH(C12695, ""薪資""))), ""內部轉帳(忽略)"",
  REGEXMATCH(C12695, ""薪資""), ""薪資變動(不計入)"",
  REGEXMATCH(C12695, ""押金""), ""押金往來"",
  AND(E12695&lt;&gt;"""", F12695=""""), ""真實支出"",
  AND(E12695="""", F12695&lt;&gt;""""), ""真實收入"",
  TRUE, ""其他""
)"),"其他")</f>
        <v>其他</v>
      </c>
      <c r="K12695" s="270" t="str">
        <f t="shared" si="2"/>
        <v/>
      </c>
      <c r="L12695">
        <f t="shared" si="3"/>
        <v>0</v>
      </c>
    </row>
    <row r="12696">
      <c r="A12696" s="107"/>
      <c r="D12696" s="270"/>
      <c r="H12696" s="106" t="str">
        <f t="shared" si="1"/>
        <v/>
      </c>
      <c r="J12696" t="str">
        <f>IFERROR(__xludf.DUMMYFUNCTION("IFS(
  AND(REGEXMATCH(E12696, ""台銀籌備帳戶|玉山帳戶""), REGEXMATCH(C12696, ""薪資"")), ""分潤支出"",
  AND(REGEXMATCH(E12696, ""Ben帳戶|Elsa帳戶|Ben代墊|Ariel代墊|中信銀行共用""), REGEXMATCH(F12696, ""Ben帳戶|Elsa帳戶|Ben代墊|Ariel代墊|中信銀行共用"")), ""內部轉帳(忽略)"",
  AND(E12696&lt;&gt;"""", F12696&lt;&gt;"&amp;""""", NOT(REGEXMATCH(C12696, ""薪資""))), ""內部轉帳(忽略)"",
  REGEXMATCH(C12696, ""薪資""), ""薪資變動(不計入)"",
  REGEXMATCH(C12696, ""押金""), ""押金往來"",
  AND(E12696&lt;&gt;"""", F12696=""""), ""真實支出"",
  AND(E12696="""", F12696&lt;&gt;""""), ""真實收入"",
  TRUE, ""其他""
)"),"其他")</f>
        <v>其他</v>
      </c>
      <c r="K12696" s="270" t="str">
        <f t="shared" si="2"/>
        <v/>
      </c>
      <c r="L12696">
        <f t="shared" si="3"/>
        <v>0</v>
      </c>
    </row>
    <row r="12697">
      <c r="A12697" s="107"/>
      <c r="D12697" s="270"/>
      <c r="H12697" s="106" t="str">
        <f t="shared" si="1"/>
        <v/>
      </c>
      <c r="J12697" t="str">
        <f>IFERROR(__xludf.DUMMYFUNCTION("IFS(
  AND(REGEXMATCH(E12697, ""台銀籌備帳戶|玉山帳戶""), REGEXMATCH(C12697, ""薪資"")), ""分潤支出"",
  AND(REGEXMATCH(E12697, ""Ben帳戶|Elsa帳戶|Ben代墊|Ariel代墊|中信銀行共用""), REGEXMATCH(F12697, ""Ben帳戶|Elsa帳戶|Ben代墊|Ariel代墊|中信銀行共用"")), ""內部轉帳(忽略)"",
  AND(E12697&lt;&gt;"""", F12697&lt;&gt;"&amp;""""", NOT(REGEXMATCH(C12697, ""薪資""))), ""內部轉帳(忽略)"",
  REGEXMATCH(C12697, ""薪資""), ""薪資變動(不計入)"",
  REGEXMATCH(C12697, ""押金""), ""押金往來"",
  AND(E12697&lt;&gt;"""", F12697=""""), ""真實支出"",
  AND(E12697="""", F12697&lt;&gt;""""), ""真實收入"",
  TRUE, ""其他""
)"),"其他")</f>
        <v>其他</v>
      </c>
      <c r="K12697" s="270" t="str">
        <f t="shared" si="2"/>
        <v/>
      </c>
      <c r="L12697">
        <f t="shared" si="3"/>
        <v>0</v>
      </c>
    </row>
    <row r="12698">
      <c r="A12698" s="107"/>
      <c r="D12698" s="270"/>
      <c r="H12698" s="106" t="str">
        <f t="shared" si="1"/>
        <v/>
      </c>
      <c r="J12698" t="str">
        <f>IFERROR(__xludf.DUMMYFUNCTION("IFS(
  AND(REGEXMATCH(E12698, ""台銀籌備帳戶|玉山帳戶""), REGEXMATCH(C12698, ""薪資"")), ""分潤支出"",
  AND(REGEXMATCH(E12698, ""Ben帳戶|Elsa帳戶|Ben代墊|Ariel代墊|中信銀行共用""), REGEXMATCH(F12698, ""Ben帳戶|Elsa帳戶|Ben代墊|Ariel代墊|中信銀行共用"")), ""內部轉帳(忽略)"",
  AND(E12698&lt;&gt;"""", F12698&lt;&gt;"&amp;""""", NOT(REGEXMATCH(C12698, ""薪資""))), ""內部轉帳(忽略)"",
  REGEXMATCH(C12698, ""薪資""), ""薪資變動(不計入)"",
  REGEXMATCH(C12698, ""押金""), ""押金往來"",
  AND(E12698&lt;&gt;"""", F12698=""""), ""真實支出"",
  AND(E12698="""", F12698&lt;&gt;""""), ""真實收入"",
  TRUE, ""其他""
)"),"其他")</f>
        <v>其他</v>
      </c>
      <c r="K12698" s="270" t="str">
        <f t="shared" si="2"/>
        <v/>
      </c>
      <c r="L12698">
        <f t="shared" si="3"/>
        <v>0</v>
      </c>
    </row>
    <row r="12699">
      <c r="A12699" s="107"/>
      <c r="D12699" s="270"/>
      <c r="H12699" s="106" t="str">
        <f t="shared" si="1"/>
        <v/>
      </c>
      <c r="J12699" t="str">
        <f>IFERROR(__xludf.DUMMYFUNCTION("IFS(
  AND(REGEXMATCH(E12699, ""台銀籌備帳戶|玉山帳戶""), REGEXMATCH(C12699, ""薪資"")), ""分潤支出"",
  AND(REGEXMATCH(E12699, ""Ben帳戶|Elsa帳戶|Ben代墊|Ariel代墊|中信銀行共用""), REGEXMATCH(F12699, ""Ben帳戶|Elsa帳戶|Ben代墊|Ariel代墊|中信銀行共用"")), ""內部轉帳(忽略)"",
  AND(E12699&lt;&gt;"""", F12699&lt;&gt;"&amp;""""", NOT(REGEXMATCH(C12699, ""薪資""))), ""內部轉帳(忽略)"",
  REGEXMATCH(C12699, ""薪資""), ""薪資變動(不計入)"",
  REGEXMATCH(C12699, ""押金""), ""押金往來"",
  AND(E12699&lt;&gt;"""", F12699=""""), ""真實支出"",
  AND(E12699="""", F12699&lt;&gt;""""), ""真實收入"",
  TRUE, ""其他""
)"),"其他")</f>
        <v>其他</v>
      </c>
      <c r="K12699" s="270" t="str">
        <f t="shared" si="2"/>
        <v/>
      </c>
      <c r="L12699">
        <f t="shared" si="3"/>
        <v>0</v>
      </c>
    </row>
    <row r="12700">
      <c r="A12700" s="107"/>
      <c r="D12700" s="270"/>
      <c r="H12700" s="106" t="str">
        <f t="shared" si="1"/>
        <v/>
      </c>
      <c r="J12700" t="str">
        <f>IFERROR(__xludf.DUMMYFUNCTION("IFS(
  AND(REGEXMATCH(E12700, ""台銀籌備帳戶|玉山帳戶""), REGEXMATCH(C12700, ""薪資"")), ""分潤支出"",
  AND(REGEXMATCH(E12700, ""Ben帳戶|Elsa帳戶|Ben代墊|Ariel代墊|中信銀行共用""), REGEXMATCH(F12700, ""Ben帳戶|Elsa帳戶|Ben代墊|Ariel代墊|中信銀行共用"")), ""內部轉帳(忽略)"",
  AND(E12700&lt;&gt;"""", F12700&lt;&gt;"&amp;""""", NOT(REGEXMATCH(C12700, ""薪資""))), ""內部轉帳(忽略)"",
  REGEXMATCH(C12700, ""薪資""), ""薪資變動(不計入)"",
  REGEXMATCH(C12700, ""押金""), ""押金往來"",
  AND(E12700&lt;&gt;"""", F12700=""""), ""真實支出"",
  AND(E12700="""", F12700&lt;&gt;""""), ""真實收入"",
  TRUE, ""其他""
)"),"其他")</f>
        <v>其他</v>
      </c>
      <c r="K12700" s="270" t="str">
        <f t="shared" si="2"/>
        <v/>
      </c>
      <c r="L12700">
        <f t="shared" si="3"/>
        <v>0</v>
      </c>
    </row>
    <row r="12701">
      <c r="A12701" s="107"/>
      <c r="D12701" s="270"/>
      <c r="H12701" s="106" t="str">
        <f t="shared" si="1"/>
        <v/>
      </c>
      <c r="J12701" t="str">
        <f>IFERROR(__xludf.DUMMYFUNCTION("IFS(
  AND(REGEXMATCH(E12701, ""台銀籌備帳戶|玉山帳戶""), REGEXMATCH(C12701, ""薪資"")), ""分潤支出"",
  AND(REGEXMATCH(E12701, ""Ben帳戶|Elsa帳戶|Ben代墊|Ariel代墊|中信銀行共用""), REGEXMATCH(F12701, ""Ben帳戶|Elsa帳戶|Ben代墊|Ariel代墊|中信銀行共用"")), ""內部轉帳(忽略)"",
  AND(E12701&lt;&gt;"""", F12701&lt;&gt;"&amp;""""", NOT(REGEXMATCH(C12701, ""薪資""))), ""內部轉帳(忽略)"",
  REGEXMATCH(C12701, ""薪資""), ""薪資變動(不計入)"",
  REGEXMATCH(C12701, ""押金""), ""押金往來"",
  AND(E12701&lt;&gt;"""", F12701=""""), ""真實支出"",
  AND(E12701="""", F12701&lt;&gt;""""), ""真實收入"",
  TRUE, ""其他""
)"),"其他")</f>
        <v>其他</v>
      </c>
      <c r="K12701" s="270" t="str">
        <f t="shared" si="2"/>
        <v/>
      </c>
      <c r="L12701">
        <f t="shared" si="3"/>
        <v>0</v>
      </c>
    </row>
    <row r="12702">
      <c r="A12702" s="107"/>
      <c r="D12702" s="270"/>
      <c r="H12702" s="106" t="str">
        <f t="shared" si="1"/>
        <v/>
      </c>
      <c r="J12702" t="str">
        <f>IFERROR(__xludf.DUMMYFUNCTION("IFS(
  AND(REGEXMATCH(E12702, ""台銀籌備帳戶|玉山帳戶""), REGEXMATCH(C12702, ""薪資"")), ""分潤支出"",
  AND(REGEXMATCH(E12702, ""Ben帳戶|Elsa帳戶|Ben代墊|Ariel代墊|中信銀行共用""), REGEXMATCH(F12702, ""Ben帳戶|Elsa帳戶|Ben代墊|Ariel代墊|中信銀行共用"")), ""內部轉帳(忽略)"",
  AND(E12702&lt;&gt;"""", F12702&lt;&gt;"&amp;""""", NOT(REGEXMATCH(C12702, ""薪資""))), ""內部轉帳(忽略)"",
  REGEXMATCH(C12702, ""薪資""), ""薪資變動(不計入)"",
  REGEXMATCH(C12702, ""押金""), ""押金往來"",
  AND(E12702&lt;&gt;"""", F12702=""""), ""真實支出"",
  AND(E12702="""", F12702&lt;&gt;""""), ""真實收入"",
  TRUE, ""其他""
)"),"其他")</f>
        <v>其他</v>
      </c>
      <c r="K12702" s="270" t="str">
        <f t="shared" si="2"/>
        <v/>
      </c>
      <c r="L12702">
        <f t="shared" si="3"/>
        <v>0</v>
      </c>
    </row>
    <row r="12703">
      <c r="A12703" s="107"/>
      <c r="D12703" s="270"/>
      <c r="H12703" s="106" t="str">
        <f t="shared" si="1"/>
        <v/>
      </c>
      <c r="J12703" t="str">
        <f>IFERROR(__xludf.DUMMYFUNCTION("IFS(
  AND(REGEXMATCH(E12703, ""台銀籌備帳戶|玉山帳戶""), REGEXMATCH(C12703, ""薪資"")), ""分潤支出"",
  AND(REGEXMATCH(E12703, ""Ben帳戶|Elsa帳戶|Ben代墊|Ariel代墊|中信銀行共用""), REGEXMATCH(F12703, ""Ben帳戶|Elsa帳戶|Ben代墊|Ariel代墊|中信銀行共用"")), ""內部轉帳(忽略)"",
  AND(E12703&lt;&gt;"""", F12703&lt;&gt;"&amp;""""", NOT(REGEXMATCH(C12703, ""薪資""))), ""內部轉帳(忽略)"",
  REGEXMATCH(C12703, ""薪資""), ""薪資變動(不計入)"",
  REGEXMATCH(C12703, ""押金""), ""押金往來"",
  AND(E12703&lt;&gt;"""", F12703=""""), ""真實支出"",
  AND(E12703="""", F12703&lt;&gt;""""), ""真實收入"",
  TRUE, ""其他""
)"),"其他")</f>
        <v>其他</v>
      </c>
      <c r="K12703" s="270" t="str">
        <f t="shared" si="2"/>
        <v/>
      </c>
      <c r="L12703">
        <f t="shared" si="3"/>
        <v>0</v>
      </c>
    </row>
    <row r="12704">
      <c r="A12704" s="107"/>
      <c r="D12704" s="270"/>
      <c r="H12704" s="106" t="str">
        <f t="shared" si="1"/>
        <v/>
      </c>
      <c r="J12704" t="str">
        <f>IFERROR(__xludf.DUMMYFUNCTION("IFS(
  AND(REGEXMATCH(E12704, ""台銀籌備帳戶|玉山帳戶""), REGEXMATCH(C12704, ""薪資"")), ""分潤支出"",
  AND(REGEXMATCH(E12704, ""Ben帳戶|Elsa帳戶|Ben代墊|Ariel代墊|中信銀行共用""), REGEXMATCH(F12704, ""Ben帳戶|Elsa帳戶|Ben代墊|Ariel代墊|中信銀行共用"")), ""內部轉帳(忽略)"",
  AND(E12704&lt;&gt;"""", F12704&lt;&gt;"&amp;""""", NOT(REGEXMATCH(C12704, ""薪資""))), ""內部轉帳(忽略)"",
  REGEXMATCH(C12704, ""薪資""), ""薪資變動(不計入)"",
  REGEXMATCH(C12704, ""押金""), ""押金往來"",
  AND(E12704&lt;&gt;"""", F12704=""""), ""真實支出"",
  AND(E12704="""", F12704&lt;&gt;""""), ""真實收入"",
  TRUE, ""其他""
)"),"其他")</f>
        <v>其他</v>
      </c>
      <c r="K12704" s="270" t="str">
        <f t="shared" si="2"/>
        <v/>
      </c>
      <c r="L12704">
        <f t="shared" si="3"/>
        <v>0</v>
      </c>
    </row>
    <row r="12705">
      <c r="A12705" s="107"/>
      <c r="D12705" s="270"/>
      <c r="H12705" s="106" t="str">
        <f t="shared" si="1"/>
        <v/>
      </c>
      <c r="J12705" t="str">
        <f>IFERROR(__xludf.DUMMYFUNCTION("IFS(
  AND(REGEXMATCH(E12705, ""台銀籌備帳戶|玉山帳戶""), REGEXMATCH(C12705, ""薪資"")), ""分潤支出"",
  AND(REGEXMATCH(E12705, ""Ben帳戶|Elsa帳戶|Ben代墊|Ariel代墊|中信銀行共用""), REGEXMATCH(F12705, ""Ben帳戶|Elsa帳戶|Ben代墊|Ariel代墊|中信銀行共用"")), ""內部轉帳(忽略)"",
  AND(E12705&lt;&gt;"""", F12705&lt;&gt;"&amp;""""", NOT(REGEXMATCH(C12705, ""薪資""))), ""內部轉帳(忽略)"",
  REGEXMATCH(C12705, ""薪資""), ""薪資變動(不計入)"",
  REGEXMATCH(C12705, ""押金""), ""押金往來"",
  AND(E12705&lt;&gt;"""", F12705=""""), ""真實支出"",
  AND(E12705="""", F12705&lt;&gt;""""), ""真實收入"",
  TRUE, ""其他""
)"),"其他")</f>
        <v>其他</v>
      </c>
      <c r="K12705" s="270" t="str">
        <f t="shared" si="2"/>
        <v/>
      </c>
      <c r="L12705">
        <f t="shared" si="3"/>
        <v>0</v>
      </c>
    </row>
    <row r="12706">
      <c r="A12706" s="107"/>
      <c r="D12706" s="270"/>
      <c r="H12706" s="106" t="str">
        <f t="shared" si="1"/>
        <v/>
      </c>
      <c r="J12706" t="str">
        <f>IFERROR(__xludf.DUMMYFUNCTION("IFS(
  AND(REGEXMATCH(E12706, ""台銀籌備帳戶|玉山帳戶""), REGEXMATCH(C12706, ""薪資"")), ""分潤支出"",
  AND(REGEXMATCH(E12706, ""Ben帳戶|Elsa帳戶|Ben代墊|Ariel代墊|中信銀行共用""), REGEXMATCH(F12706, ""Ben帳戶|Elsa帳戶|Ben代墊|Ariel代墊|中信銀行共用"")), ""內部轉帳(忽略)"",
  AND(E12706&lt;&gt;"""", F12706&lt;&gt;"&amp;""""", NOT(REGEXMATCH(C12706, ""薪資""))), ""內部轉帳(忽略)"",
  REGEXMATCH(C12706, ""薪資""), ""薪資變動(不計入)"",
  REGEXMATCH(C12706, ""押金""), ""押金往來"",
  AND(E12706&lt;&gt;"""", F12706=""""), ""真實支出"",
  AND(E12706="""", F12706&lt;&gt;""""), ""真實收入"",
  TRUE, ""其他""
)"),"其他")</f>
        <v>其他</v>
      </c>
      <c r="K12706" s="270" t="str">
        <f t="shared" si="2"/>
        <v/>
      </c>
      <c r="L12706">
        <f t="shared" si="3"/>
        <v>0</v>
      </c>
    </row>
    <row r="12707">
      <c r="A12707" s="107"/>
      <c r="D12707" s="270"/>
      <c r="H12707" s="106" t="str">
        <f t="shared" si="1"/>
        <v/>
      </c>
      <c r="J12707" t="str">
        <f>IFERROR(__xludf.DUMMYFUNCTION("IFS(
  AND(REGEXMATCH(E12707, ""台銀籌備帳戶|玉山帳戶""), REGEXMATCH(C12707, ""薪資"")), ""分潤支出"",
  AND(REGEXMATCH(E12707, ""Ben帳戶|Elsa帳戶|Ben代墊|Ariel代墊|中信銀行共用""), REGEXMATCH(F12707, ""Ben帳戶|Elsa帳戶|Ben代墊|Ariel代墊|中信銀行共用"")), ""內部轉帳(忽略)"",
  AND(E12707&lt;&gt;"""", F12707&lt;&gt;"&amp;""""", NOT(REGEXMATCH(C12707, ""薪資""))), ""內部轉帳(忽略)"",
  REGEXMATCH(C12707, ""薪資""), ""薪資變動(不計入)"",
  REGEXMATCH(C12707, ""押金""), ""押金往來"",
  AND(E12707&lt;&gt;"""", F12707=""""), ""真實支出"",
  AND(E12707="""", F12707&lt;&gt;""""), ""真實收入"",
  TRUE, ""其他""
)"),"其他")</f>
        <v>其他</v>
      </c>
      <c r="K12707" s="270" t="str">
        <f t="shared" si="2"/>
        <v/>
      </c>
      <c r="L12707">
        <f t="shared" si="3"/>
        <v>0</v>
      </c>
    </row>
    <row r="12708">
      <c r="A12708" s="107"/>
      <c r="D12708" s="270"/>
      <c r="H12708" s="106" t="str">
        <f t="shared" si="1"/>
        <v/>
      </c>
      <c r="J12708" t="str">
        <f>IFERROR(__xludf.DUMMYFUNCTION("IFS(
  AND(REGEXMATCH(E12708, ""台銀籌備帳戶|玉山帳戶""), REGEXMATCH(C12708, ""薪資"")), ""分潤支出"",
  AND(REGEXMATCH(E12708, ""Ben帳戶|Elsa帳戶|Ben代墊|Ariel代墊|中信銀行共用""), REGEXMATCH(F12708, ""Ben帳戶|Elsa帳戶|Ben代墊|Ariel代墊|中信銀行共用"")), ""內部轉帳(忽略)"",
  AND(E12708&lt;&gt;"""", F12708&lt;&gt;"&amp;""""", NOT(REGEXMATCH(C12708, ""薪資""))), ""內部轉帳(忽略)"",
  REGEXMATCH(C12708, ""薪資""), ""薪資變動(不計入)"",
  REGEXMATCH(C12708, ""押金""), ""押金往來"",
  AND(E12708&lt;&gt;"""", F12708=""""), ""真實支出"",
  AND(E12708="""", F12708&lt;&gt;""""), ""真實收入"",
  TRUE, ""其他""
)"),"其他")</f>
        <v>其他</v>
      </c>
      <c r="K12708" s="270" t="str">
        <f t="shared" si="2"/>
        <v/>
      </c>
      <c r="L12708">
        <f t="shared" si="3"/>
        <v>0</v>
      </c>
    </row>
    <row r="12709">
      <c r="A12709" s="107"/>
      <c r="D12709" s="270"/>
      <c r="H12709" s="106" t="str">
        <f t="shared" si="1"/>
        <v/>
      </c>
      <c r="J12709" t="str">
        <f>IFERROR(__xludf.DUMMYFUNCTION("IFS(
  AND(REGEXMATCH(E12709, ""台銀籌備帳戶|玉山帳戶""), REGEXMATCH(C12709, ""薪資"")), ""分潤支出"",
  AND(REGEXMATCH(E12709, ""Ben帳戶|Elsa帳戶|Ben代墊|Ariel代墊|中信銀行共用""), REGEXMATCH(F12709, ""Ben帳戶|Elsa帳戶|Ben代墊|Ariel代墊|中信銀行共用"")), ""內部轉帳(忽略)"",
  AND(E12709&lt;&gt;"""", F12709&lt;&gt;"&amp;""""", NOT(REGEXMATCH(C12709, ""薪資""))), ""內部轉帳(忽略)"",
  REGEXMATCH(C12709, ""薪資""), ""薪資變動(不計入)"",
  REGEXMATCH(C12709, ""押金""), ""押金往來"",
  AND(E12709&lt;&gt;"""", F12709=""""), ""真實支出"",
  AND(E12709="""", F12709&lt;&gt;""""), ""真實收入"",
  TRUE, ""其他""
)"),"其他")</f>
        <v>其他</v>
      </c>
      <c r="K12709" s="270" t="str">
        <f t="shared" si="2"/>
        <v/>
      </c>
      <c r="L12709">
        <f t="shared" si="3"/>
        <v>0</v>
      </c>
    </row>
    <row r="12710">
      <c r="A12710" s="107"/>
      <c r="D12710" s="270"/>
      <c r="H12710" s="106" t="str">
        <f t="shared" si="1"/>
        <v/>
      </c>
      <c r="J12710" t="str">
        <f>IFERROR(__xludf.DUMMYFUNCTION("IFS(
  AND(REGEXMATCH(E12710, ""台銀籌備帳戶|玉山帳戶""), REGEXMATCH(C12710, ""薪資"")), ""分潤支出"",
  AND(REGEXMATCH(E12710, ""Ben帳戶|Elsa帳戶|Ben代墊|Ariel代墊|中信銀行共用""), REGEXMATCH(F12710, ""Ben帳戶|Elsa帳戶|Ben代墊|Ariel代墊|中信銀行共用"")), ""內部轉帳(忽略)"",
  AND(E12710&lt;&gt;"""", F12710&lt;&gt;"&amp;""""", NOT(REGEXMATCH(C12710, ""薪資""))), ""內部轉帳(忽略)"",
  REGEXMATCH(C12710, ""薪資""), ""薪資變動(不計入)"",
  REGEXMATCH(C12710, ""押金""), ""押金往來"",
  AND(E12710&lt;&gt;"""", F12710=""""), ""真實支出"",
  AND(E12710="""", F12710&lt;&gt;""""), ""真實收入"",
  TRUE, ""其他""
)"),"其他")</f>
        <v>其他</v>
      </c>
      <c r="K12710" s="270" t="str">
        <f t="shared" si="2"/>
        <v/>
      </c>
      <c r="L12710">
        <f t="shared" si="3"/>
        <v>0</v>
      </c>
    </row>
    <row r="12711">
      <c r="A12711" s="107"/>
      <c r="D12711" s="270"/>
      <c r="H12711" s="106" t="str">
        <f t="shared" si="1"/>
        <v/>
      </c>
      <c r="J12711" t="str">
        <f>IFERROR(__xludf.DUMMYFUNCTION("IFS(
  AND(REGEXMATCH(E12711, ""台銀籌備帳戶|玉山帳戶""), REGEXMATCH(C12711, ""薪資"")), ""分潤支出"",
  AND(REGEXMATCH(E12711, ""Ben帳戶|Elsa帳戶|Ben代墊|Ariel代墊|中信銀行共用""), REGEXMATCH(F12711, ""Ben帳戶|Elsa帳戶|Ben代墊|Ariel代墊|中信銀行共用"")), ""內部轉帳(忽略)"",
  AND(E12711&lt;&gt;"""", F12711&lt;&gt;"&amp;""""", NOT(REGEXMATCH(C12711, ""薪資""))), ""內部轉帳(忽略)"",
  REGEXMATCH(C12711, ""薪資""), ""薪資變動(不計入)"",
  REGEXMATCH(C12711, ""押金""), ""押金往來"",
  AND(E12711&lt;&gt;"""", F12711=""""), ""真實支出"",
  AND(E12711="""", F12711&lt;&gt;""""), ""真實收入"",
  TRUE, ""其他""
)"),"其他")</f>
        <v>其他</v>
      </c>
      <c r="K12711" s="270" t="str">
        <f t="shared" si="2"/>
        <v/>
      </c>
      <c r="L12711">
        <f t="shared" si="3"/>
        <v>0</v>
      </c>
    </row>
    <row r="12712">
      <c r="A12712" s="107"/>
      <c r="D12712" s="270"/>
      <c r="H12712" s="106" t="str">
        <f t="shared" si="1"/>
        <v/>
      </c>
      <c r="J12712" t="str">
        <f>IFERROR(__xludf.DUMMYFUNCTION("IFS(
  AND(REGEXMATCH(E12712, ""台銀籌備帳戶|玉山帳戶""), REGEXMATCH(C12712, ""薪資"")), ""分潤支出"",
  AND(REGEXMATCH(E12712, ""Ben帳戶|Elsa帳戶|Ben代墊|Ariel代墊|中信銀行共用""), REGEXMATCH(F12712, ""Ben帳戶|Elsa帳戶|Ben代墊|Ariel代墊|中信銀行共用"")), ""內部轉帳(忽略)"",
  AND(E12712&lt;&gt;"""", F12712&lt;&gt;"&amp;""""", NOT(REGEXMATCH(C12712, ""薪資""))), ""內部轉帳(忽略)"",
  REGEXMATCH(C12712, ""薪資""), ""薪資變動(不計入)"",
  REGEXMATCH(C12712, ""押金""), ""押金往來"",
  AND(E12712&lt;&gt;"""", F12712=""""), ""真實支出"",
  AND(E12712="""", F12712&lt;&gt;""""), ""真實收入"",
  TRUE, ""其他""
)"),"其他")</f>
        <v>其他</v>
      </c>
      <c r="K12712" s="270" t="str">
        <f t="shared" si="2"/>
        <v/>
      </c>
      <c r="L12712">
        <f t="shared" si="3"/>
        <v>0</v>
      </c>
    </row>
    <row r="12713">
      <c r="A12713" s="107"/>
      <c r="D12713" s="270"/>
      <c r="H12713" s="106" t="str">
        <f t="shared" si="1"/>
        <v/>
      </c>
      <c r="J12713" t="str">
        <f>IFERROR(__xludf.DUMMYFUNCTION("IFS(
  AND(REGEXMATCH(E12713, ""台銀籌備帳戶|玉山帳戶""), REGEXMATCH(C12713, ""薪資"")), ""分潤支出"",
  AND(REGEXMATCH(E12713, ""Ben帳戶|Elsa帳戶|Ben代墊|Ariel代墊|中信銀行共用""), REGEXMATCH(F12713, ""Ben帳戶|Elsa帳戶|Ben代墊|Ariel代墊|中信銀行共用"")), ""內部轉帳(忽略)"",
  AND(E12713&lt;&gt;"""", F12713&lt;&gt;"&amp;""""", NOT(REGEXMATCH(C12713, ""薪資""))), ""內部轉帳(忽略)"",
  REGEXMATCH(C12713, ""薪資""), ""薪資變動(不計入)"",
  REGEXMATCH(C12713, ""押金""), ""押金往來"",
  AND(E12713&lt;&gt;"""", F12713=""""), ""真實支出"",
  AND(E12713="""", F12713&lt;&gt;""""), ""真實收入"",
  TRUE, ""其他""
)"),"其他")</f>
        <v>其他</v>
      </c>
      <c r="K12713" s="270" t="str">
        <f t="shared" si="2"/>
        <v/>
      </c>
      <c r="L12713">
        <f t="shared" si="3"/>
        <v>0</v>
      </c>
    </row>
    <row r="12714">
      <c r="A12714" s="107"/>
      <c r="D12714" s="270"/>
      <c r="H12714" s="106" t="str">
        <f t="shared" si="1"/>
        <v/>
      </c>
      <c r="J12714" t="str">
        <f>IFERROR(__xludf.DUMMYFUNCTION("IFS(
  AND(REGEXMATCH(E12714, ""台銀籌備帳戶|玉山帳戶""), REGEXMATCH(C12714, ""薪資"")), ""分潤支出"",
  AND(REGEXMATCH(E12714, ""Ben帳戶|Elsa帳戶|Ben代墊|Ariel代墊|中信銀行共用""), REGEXMATCH(F12714, ""Ben帳戶|Elsa帳戶|Ben代墊|Ariel代墊|中信銀行共用"")), ""內部轉帳(忽略)"",
  AND(E12714&lt;&gt;"""", F12714&lt;&gt;"&amp;""""", NOT(REGEXMATCH(C12714, ""薪資""))), ""內部轉帳(忽略)"",
  REGEXMATCH(C12714, ""薪資""), ""薪資變動(不計入)"",
  REGEXMATCH(C12714, ""押金""), ""押金往來"",
  AND(E12714&lt;&gt;"""", F12714=""""), ""真實支出"",
  AND(E12714="""", F12714&lt;&gt;""""), ""真實收入"",
  TRUE, ""其他""
)"),"其他")</f>
        <v>其他</v>
      </c>
      <c r="K12714" s="270" t="str">
        <f t="shared" si="2"/>
        <v/>
      </c>
      <c r="L12714">
        <f t="shared" si="3"/>
        <v>0</v>
      </c>
    </row>
    <row r="12715">
      <c r="A12715" s="107"/>
      <c r="D12715" s="270"/>
      <c r="H12715" s="106" t="str">
        <f t="shared" si="1"/>
        <v/>
      </c>
      <c r="J12715" t="str">
        <f>IFERROR(__xludf.DUMMYFUNCTION("IFS(
  AND(REGEXMATCH(E12715, ""台銀籌備帳戶|玉山帳戶""), REGEXMATCH(C12715, ""薪資"")), ""分潤支出"",
  AND(REGEXMATCH(E12715, ""Ben帳戶|Elsa帳戶|Ben代墊|Ariel代墊|中信銀行共用""), REGEXMATCH(F12715, ""Ben帳戶|Elsa帳戶|Ben代墊|Ariel代墊|中信銀行共用"")), ""內部轉帳(忽略)"",
  AND(E12715&lt;&gt;"""", F12715&lt;&gt;"&amp;""""", NOT(REGEXMATCH(C12715, ""薪資""))), ""內部轉帳(忽略)"",
  REGEXMATCH(C12715, ""薪資""), ""薪資變動(不計入)"",
  REGEXMATCH(C12715, ""押金""), ""押金往來"",
  AND(E12715&lt;&gt;"""", F12715=""""), ""真實支出"",
  AND(E12715="""", F12715&lt;&gt;""""), ""真實收入"",
  TRUE, ""其他""
)"),"其他")</f>
        <v>其他</v>
      </c>
      <c r="K12715" s="270" t="str">
        <f t="shared" si="2"/>
        <v/>
      </c>
      <c r="L12715">
        <f t="shared" si="3"/>
        <v>0</v>
      </c>
    </row>
    <row r="12716">
      <c r="A12716" s="107"/>
      <c r="D12716" s="270"/>
      <c r="H12716" s="106" t="str">
        <f t="shared" si="1"/>
        <v/>
      </c>
      <c r="J12716" t="str">
        <f>IFERROR(__xludf.DUMMYFUNCTION("IFS(
  AND(REGEXMATCH(E12716, ""台銀籌備帳戶|玉山帳戶""), REGEXMATCH(C12716, ""薪資"")), ""分潤支出"",
  AND(REGEXMATCH(E12716, ""Ben帳戶|Elsa帳戶|Ben代墊|Ariel代墊|中信銀行共用""), REGEXMATCH(F12716, ""Ben帳戶|Elsa帳戶|Ben代墊|Ariel代墊|中信銀行共用"")), ""內部轉帳(忽略)"",
  AND(E12716&lt;&gt;"""", F12716&lt;&gt;"&amp;""""", NOT(REGEXMATCH(C12716, ""薪資""))), ""內部轉帳(忽略)"",
  REGEXMATCH(C12716, ""薪資""), ""薪資變動(不計入)"",
  REGEXMATCH(C12716, ""押金""), ""押金往來"",
  AND(E12716&lt;&gt;"""", F12716=""""), ""真實支出"",
  AND(E12716="""", F12716&lt;&gt;""""), ""真實收入"",
  TRUE, ""其他""
)"),"其他")</f>
        <v>其他</v>
      </c>
      <c r="K12716" s="270" t="str">
        <f t="shared" si="2"/>
        <v/>
      </c>
      <c r="L12716">
        <f t="shared" si="3"/>
        <v>0</v>
      </c>
    </row>
    <row r="12717">
      <c r="A12717" s="107"/>
      <c r="D12717" s="270"/>
      <c r="H12717" s="106" t="str">
        <f t="shared" si="1"/>
        <v/>
      </c>
      <c r="J12717" t="str">
        <f>IFERROR(__xludf.DUMMYFUNCTION("IFS(
  AND(REGEXMATCH(E12717, ""台銀籌備帳戶|玉山帳戶""), REGEXMATCH(C12717, ""薪資"")), ""分潤支出"",
  AND(REGEXMATCH(E12717, ""Ben帳戶|Elsa帳戶|Ben代墊|Ariel代墊|中信銀行共用""), REGEXMATCH(F12717, ""Ben帳戶|Elsa帳戶|Ben代墊|Ariel代墊|中信銀行共用"")), ""內部轉帳(忽略)"",
  AND(E12717&lt;&gt;"""", F12717&lt;&gt;"&amp;""""", NOT(REGEXMATCH(C12717, ""薪資""))), ""內部轉帳(忽略)"",
  REGEXMATCH(C12717, ""薪資""), ""薪資變動(不計入)"",
  REGEXMATCH(C12717, ""押金""), ""押金往來"",
  AND(E12717&lt;&gt;"""", F12717=""""), ""真實支出"",
  AND(E12717="""", F12717&lt;&gt;""""), ""真實收入"",
  TRUE, ""其他""
)"),"其他")</f>
        <v>其他</v>
      </c>
      <c r="K12717" s="270" t="str">
        <f t="shared" si="2"/>
        <v/>
      </c>
      <c r="L12717">
        <f t="shared" si="3"/>
        <v>0</v>
      </c>
    </row>
    <row r="12718">
      <c r="A12718" s="107"/>
      <c r="D12718" s="270"/>
      <c r="H12718" s="106" t="str">
        <f t="shared" si="1"/>
        <v/>
      </c>
      <c r="J12718" t="str">
        <f>IFERROR(__xludf.DUMMYFUNCTION("IFS(
  AND(REGEXMATCH(E12718, ""台銀籌備帳戶|玉山帳戶""), REGEXMATCH(C12718, ""薪資"")), ""分潤支出"",
  AND(REGEXMATCH(E12718, ""Ben帳戶|Elsa帳戶|Ben代墊|Ariel代墊|中信銀行共用""), REGEXMATCH(F12718, ""Ben帳戶|Elsa帳戶|Ben代墊|Ariel代墊|中信銀行共用"")), ""內部轉帳(忽略)"",
  AND(E12718&lt;&gt;"""", F12718&lt;&gt;"&amp;""""", NOT(REGEXMATCH(C12718, ""薪資""))), ""內部轉帳(忽略)"",
  REGEXMATCH(C12718, ""薪資""), ""薪資變動(不計入)"",
  REGEXMATCH(C12718, ""押金""), ""押金往來"",
  AND(E12718&lt;&gt;"""", F12718=""""), ""真實支出"",
  AND(E12718="""", F12718&lt;&gt;""""), ""真實收入"",
  TRUE, ""其他""
)"),"其他")</f>
        <v>其他</v>
      </c>
      <c r="K12718" s="270" t="str">
        <f t="shared" si="2"/>
        <v/>
      </c>
      <c r="L12718">
        <f t="shared" si="3"/>
        <v>0</v>
      </c>
    </row>
    <row r="12719">
      <c r="A12719" s="107"/>
      <c r="D12719" s="270"/>
      <c r="H12719" s="106" t="str">
        <f t="shared" si="1"/>
        <v/>
      </c>
      <c r="J12719" t="str">
        <f>IFERROR(__xludf.DUMMYFUNCTION("IFS(
  AND(REGEXMATCH(E12719, ""台銀籌備帳戶|玉山帳戶""), REGEXMATCH(C12719, ""薪資"")), ""分潤支出"",
  AND(REGEXMATCH(E12719, ""Ben帳戶|Elsa帳戶|Ben代墊|Ariel代墊|中信銀行共用""), REGEXMATCH(F12719, ""Ben帳戶|Elsa帳戶|Ben代墊|Ariel代墊|中信銀行共用"")), ""內部轉帳(忽略)"",
  AND(E12719&lt;&gt;"""", F12719&lt;&gt;"&amp;""""", NOT(REGEXMATCH(C12719, ""薪資""))), ""內部轉帳(忽略)"",
  REGEXMATCH(C12719, ""薪資""), ""薪資變動(不計入)"",
  REGEXMATCH(C12719, ""押金""), ""押金往來"",
  AND(E12719&lt;&gt;"""", F12719=""""), ""真實支出"",
  AND(E12719="""", F12719&lt;&gt;""""), ""真實收入"",
  TRUE, ""其他""
)"),"其他")</f>
        <v>其他</v>
      </c>
      <c r="K12719" s="270" t="str">
        <f t="shared" si="2"/>
        <v/>
      </c>
      <c r="L12719">
        <f t="shared" si="3"/>
        <v>0</v>
      </c>
    </row>
    <row r="12720">
      <c r="A12720" s="107"/>
      <c r="D12720" s="270"/>
      <c r="H12720" s="106" t="str">
        <f t="shared" si="1"/>
        <v/>
      </c>
      <c r="J12720" t="str">
        <f>IFERROR(__xludf.DUMMYFUNCTION("IFS(
  AND(REGEXMATCH(E12720, ""台銀籌備帳戶|玉山帳戶""), REGEXMATCH(C12720, ""薪資"")), ""分潤支出"",
  AND(REGEXMATCH(E12720, ""Ben帳戶|Elsa帳戶|Ben代墊|Ariel代墊|中信銀行共用""), REGEXMATCH(F12720, ""Ben帳戶|Elsa帳戶|Ben代墊|Ariel代墊|中信銀行共用"")), ""內部轉帳(忽略)"",
  AND(E12720&lt;&gt;"""", F12720&lt;&gt;"&amp;""""", NOT(REGEXMATCH(C12720, ""薪資""))), ""內部轉帳(忽略)"",
  REGEXMATCH(C12720, ""薪資""), ""薪資變動(不計入)"",
  REGEXMATCH(C12720, ""押金""), ""押金往來"",
  AND(E12720&lt;&gt;"""", F12720=""""), ""真實支出"",
  AND(E12720="""", F12720&lt;&gt;""""), ""真實收入"",
  TRUE, ""其他""
)"),"其他")</f>
        <v>其他</v>
      </c>
      <c r="K12720" s="270" t="str">
        <f t="shared" si="2"/>
        <v/>
      </c>
      <c r="L12720">
        <f t="shared" si="3"/>
        <v>0</v>
      </c>
    </row>
    <row r="12721">
      <c r="A12721" s="107"/>
      <c r="D12721" s="270"/>
      <c r="H12721" s="106" t="str">
        <f t="shared" si="1"/>
        <v/>
      </c>
      <c r="J12721" t="str">
        <f>IFERROR(__xludf.DUMMYFUNCTION("IFS(
  AND(REGEXMATCH(E12721, ""台銀籌備帳戶|玉山帳戶""), REGEXMATCH(C12721, ""薪資"")), ""分潤支出"",
  AND(REGEXMATCH(E12721, ""Ben帳戶|Elsa帳戶|Ben代墊|Ariel代墊|中信銀行共用""), REGEXMATCH(F12721, ""Ben帳戶|Elsa帳戶|Ben代墊|Ariel代墊|中信銀行共用"")), ""內部轉帳(忽略)"",
  AND(E12721&lt;&gt;"""", F12721&lt;&gt;"&amp;""""", NOT(REGEXMATCH(C12721, ""薪資""))), ""內部轉帳(忽略)"",
  REGEXMATCH(C12721, ""薪資""), ""薪資變動(不計入)"",
  REGEXMATCH(C12721, ""押金""), ""押金往來"",
  AND(E12721&lt;&gt;"""", F12721=""""), ""真實支出"",
  AND(E12721="""", F12721&lt;&gt;""""), ""真實收入"",
  TRUE, ""其他""
)"),"其他")</f>
        <v>其他</v>
      </c>
      <c r="K12721" s="270" t="str">
        <f t="shared" si="2"/>
        <v/>
      </c>
      <c r="L12721">
        <f t="shared" si="3"/>
        <v>0</v>
      </c>
    </row>
    <row r="12722">
      <c r="A12722" s="107"/>
      <c r="D12722" s="270"/>
      <c r="H12722" s="106" t="str">
        <f t="shared" si="1"/>
        <v/>
      </c>
      <c r="J12722" t="str">
        <f>IFERROR(__xludf.DUMMYFUNCTION("IFS(
  AND(REGEXMATCH(E12722, ""台銀籌備帳戶|玉山帳戶""), REGEXMATCH(C12722, ""薪資"")), ""分潤支出"",
  AND(REGEXMATCH(E12722, ""Ben帳戶|Elsa帳戶|Ben代墊|Ariel代墊|中信銀行共用""), REGEXMATCH(F12722, ""Ben帳戶|Elsa帳戶|Ben代墊|Ariel代墊|中信銀行共用"")), ""內部轉帳(忽略)"",
  AND(E12722&lt;&gt;"""", F12722&lt;&gt;"&amp;""""", NOT(REGEXMATCH(C12722, ""薪資""))), ""內部轉帳(忽略)"",
  REGEXMATCH(C12722, ""薪資""), ""薪資變動(不計入)"",
  REGEXMATCH(C12722, ""押金""), ""押金往來"",
  AND(E12722&lt;&gt;"""", F12722=""""), ""真實支出"",
  AND(E12722="""", F12722&lt;&gt;""""), ""真實收入"",
  TRUE, ""其他""
)"),"其他")</f>
        <v>其他</v>
      </c>
      <c r="K12722" s="270" t="str">
        <f t="shared" si="2"/>
        <v/>
      </c>
      <c r="L12722">
        <f t="shared" si="3"/>
        <v>0</v>
      </c>
    </row>
    <row r="12723">
      <c r="A12723" s="107"/>
      <c r="D12723" s="270"/>
      <c r="H12723" s="106" t="str">
        <f t="shared" si="1"/>
        <v/>
      </c>
      <c r="J12723" t="str">
        <f>IFERROR(__xludf.DUMMYFUNCTION("IFS(
  AND(REGEXMATCH(E12723, ""台銀籌備帳戶|玉山帳戶""), REGEXMATCH(C12723, ""薪資"")), ""分潤支出"",
  AND(REGEXMATCH(E12723, ""Ben帳戶|Elsa帳戶|Ben代墊|Ariel代墊|中信銀行共用""), REGEXMATCH(F12723, ""Ben帳戶|Elsa帳戶|Ben代墊|Ariel代墊|中信銀行共用"")), ""內部轉帳(忽略)"",
  AND(E12723&lt;&gt;"""", F12723&lt;&gt;"&amp;""""", NOT(REGEXMATCH(C12723, ""薪資""))), ""內部轉帳(忽略)"",
  REGEXMATCH(C12723, ""薪資""), ""薪資變動(不計入)"",
  REGEXMATCH(C12723, ""押金""), ""押金往來"",
  AND(E12723&lt;&gt;"""", F12723=""""), ""真實支出"",
  AND(E12723="""", F12723&lt;&gt;""""), ""真實收入"",
  TRUE, ""其他""
)"),"其他")</f>
        <v>其他</v>
      </c>
      <c r="K12723" s="270" t="str">
        <f t="shared" si="2"/>
        <v/>
      </c>
      <c r="L12723">
        <f t="shared" si="3"/>
        <v>0</v>
      </c>
    </row>
    <row r="12724">
      <c r="A12724" s="107"/>
      <c r="D12724" s="270"/>
      <c r="H12724" s="106" t="str">
        <f t="shared" si="1"/>
        <v/>
      </c>
      <c r="J12724" t="str">
        <f>IFERROR(__xludf.DUMMYFUNCTION("IFS(
  AND(REGEXMATCH(E12724, ""台銀籌備帳戶|玉山帳戶""), REGEXMATCH(C12724, ""薪資"")), ""分潤支出"",
  AND(REGEXMATCH(E12724, ""Ben帳戶|Elsa帳戶|Ben代墊|Ariel代墊|中信銀行共用""), REGEXMATCH(F12724, ""Ben帳戶|Elsa帳戶|Ben代墊|Ariel代墊|中信銀行共用"")), ""內部轉帳(忽略)"",
  AND(E12724&lt;&gt;"""", F12724&lt;&gt;"&amp;""""", NOT(REGEXMATCH(C12724, ""薪資""))), ""內部轉帳(忽略)"",
  REGEXMATCH(C12724, ""薪資""), ""薪資變動(不計入)"",
  REGEXMATCH(C12724, ""押金""), ""押金往來"",
  AND(E12724&lt;&gt;"""", F12724=""""), ""真實支出"",
  AND(E12724="""", F12724&lt;&gt;""""), ""真實收入"",
  TRUE, ""其他""
)"),"其他")</f>
        <v>其他</v>
      </c>
      <c r="K12724" s="270" t="str">
        <f t="shared" si="2"/>
        <v/>
      </c>
      <c r="L12724">
        <f t="shared" si="3"/>
        <v>0</v>
      </c>
    </row>
    <row r="12725">
      <c r="A12725" s="107"/>
      <c r="D12725" s="270"/>
      <c r="H12725" s="106" t="str">
        <f t="shared" si="1"/>
        <v/>
      </c>
      <c r="J12725" t="str">
        <f>IFERROR(__xludf.DUMMYFUNCTION("IFS(
  AND(REGEXMATCH(E12725, ""台銀籌備帳戶|玉山帳戶""), REGEXMATCH(C12725, ""薪資"")), ""分潤支出"",
  AND(REGEXMATCH(E12725, ""Ben帳戶|Elsa帳戶|Ben代墊|Ariel代墊|中信銀行共用""), REGEXMATCH(F12725, ""Ben帳戶|Elsa帳戶|Ben代墊|Ariel代墊|中信銀行共用"")), ""內部轉帳(忽略)"",
  AND(E12725&lt;&gt;"""", F12725&lt;&gt;"&amp;""""", NOT(REGEXMATCH(C12725, ""薪資""))), ""內部轉帳(忽略)"",
  REGEXMATCH(C12725, ""薪資""), ""薪資變動(不計入)"",
  REGEXMATCH(C12725, ""押金""), ""押金往來"",
  AND(E12725&lt;&gt;"""", F12725=""""), ""真實支出"",
  AND(E12725="""", F12725&lt;&gt;""""), ""真實收入"",
  TRUE, ""其他""
)"),"其他")</f>
        <v>其他</v>
      </c>
      <c r="K12725" s="270" t="str">
        <f t="shared" si="2"/>
        <v/>
      </c>
      <c r="L12725">
        <f t="shared" si="3"/>
        <v>0</v>
      </c>
    </row>
    <row r="12726">
      <c r="A12726" s="107"/>
      <c r="D12726" s="270"/>
      <c r="H12726" s="106" t="str">
        <f t="shared" si="1"/>
        <v/>
      </c>
      <c r="J12726" t="str">
        <f>IFERROR(__xludf.DUMMYFUNCTION("IFS(
  AND(REGEXMATCH(E12726, ""台銀籌備帳戶|玉山帳戶""), REGEXMATCH(C12726, ""薪資"")), ""分潤支出"",
  AND(REGEXMATCH(E12726, ""Ben帳戶|Elsa帳戶|Ben代墊|Ariel代墊|中信銀行共用""), REGEXMATCH(F12726, ""Ben帳戶|Elsa帳戶|Ben代墊|Ariel代墊|中信銀行共用"")), ""內部轉帳(忽略)"",
  AND(E12726&lt;&gt;"""", F12726&lt;&gt;"&amp;""""", NOT(REGEXMATCH(C12726, ""薪資""))), ""內部轉帳(忽略)"",
  REGEXMATCH(C12726, ""薪資""), ""薪資變動(不計入)"",
  REGEXMATCH(C12726, ""押金""), ""押金往來"",
  AND(E12726&lt;&gt;"""", F12726=""""), ""真實支出"",
  AND(E12726="""", F12726&lt;&gt;""""), ""真實收入"",
  TRUE, ""其他""
)"),"其他")</f>
        <v>其他</v>
      </c>
      <c r="K12726" s="270" t="str">
        <f t="shared" si="2"/>
        <v/>
      </c>
      <c r="L12726">
        <f t="shared" si="3"/>
        <v>0</v>
      </c>
    </row>
    <row r="12727">
      <c r="A12727" s="107"/>
      <c r="D12727" s="270"/>
      <c r="H12727" s="106" t="str">
        <f t="shared" si="1"/>
        <v/>
      </c>
      <c r="J12727" t="str">
        <f>IFERROR(__xludf.DUMMYFUNCTION("IFS(
  AND(REGEXMATCH(E12727, ""台銀籌備帳戶|玉山帳戶""), REGEXMATCH(C12727, ""薪資"")), ""分潤支出"",
  AND(REGEXMATCH(E12727, ""Ben帳戶|Elsa帳戶|Ben代墊|Ariel代墊|中信銀行共用""), REGEXMATCH(F12727, ""Ben帳戶|Elsa帳戶|Ben代墊|Ariel代墊|中信銀行共用"")), ""內部轉帳(忽略)"",
  AND(E12727&lt;&gt;"""", F12727&lt;&gt;"&amp;""""", NOT(REGEXMATCH(C12727, ""薪資""))), ""內部轉帳(忽略)"",
  REGEXMATCH(C12727, ""薪資""), ""薪資變動(不計入)"",
  REGEXMATCH(C12727, ""押金""), ""押金往來"",
  AND(E12727&lt;&gt;"""", F12727=""""), ""真實支出"",
  AND(E12727="""", F12727&lt;&gt;""""), ""真實收入"",
  TRUE, ""其他""
)"),"其他")</f>
        <v>其他</v>
      </c>
      <c r="K12727" s="270" t="str">
        <f t="shared" si="2"/>
        <v/>
      </c>
      <c r="L12727">
        <f t="shared" si="3"/>
        <v>0</v>
      </c>
    </row>
    <row r="12728">
      <c r="A12728" s="107"/>
      <c r="D12728" s="270"/>
      <c r="H12728" s="106" t="str">
        <f t="shared" si="1"/>
        <v/>
      </c>
      <c r="J12728" t="str">
        <f>IFERROR(__xludf.DUMMYFUNCTION("IFS(
  AND(REGEXMATCH(E12728, ""台銀籌備帳戶|玉山帳戶""), REGEXMATCH(C12728, ""薪資"")), ""分潤支出"",
  AND(REGEXMATCH(E12728, ""Ben帳戶|Elsa帳戶|Ben代墊|Ariel代墊|中信銀行共用""), REGEXMATCH(F12728, ""Ben帳戶|Elsa帳戶|Ben代墊|Ariel代墊|中信銀行共用"")), ""內部轉帳(忽略)"",
  AND(E12728&lt;&gt;"""", F12728&lt;&gt;"&amp;""""", NOT(REGEXMATCH(C12728, ""薪資""))), ""內部轉帳(忽略)"",
  REGEXMATCH(C12728, ""薪資""), ""薪資變動(不計入)"",
  REGEXMATCH(C12728, ""押金""), ""押金往來"",
  AND(E12728&lt;&gt;"""", F12728=""""), ""真實支出"",
  AND(E12728="""", F12728&lt;&gt;""""), ""真實收入"",
  TRUE, ""其他""
)"),"其他")</f>
        <v>其他</v>
      </c>
      <c r="K12728" s="270" t="str">
        <f t="shared" si="2"/>
        <v/>
      </c>
      <c r="L12728">
        <f t="shared" si="3"/>
        <v>0</v>
      </c>
    </row>
    <row r="12729">
      <c r="A12729" s="107"/>
      <c r="D12729" s="270"/>
      <c r="H12729" s="106" t="str">
        <f t="shared" si="1"/>
        <v/>
      </c>
      <c r="J12729" t="str">
        <f>IFERROR(__xludf.DUMMYFUNCTION("IFS(
  AND(REGEXMATCH(E12729, ""台銀籌備帳戶|玉山帳戶""), REGEXMATCH(C12729, ""薪資"")), ""分潤支出"",
  AND(REGEXMATCH(E12729, ""Ben帳戶|Elsa帳戶|Ben代墊|Ariel代墊|中信銀行共用""), REGEXMATCH(F12729, ""Ben帳戶|Elsa帳戶|Ben代墊|Ariel代墊|中信銀行共用"")), ""內部轉帳(忽略)"",
  AND(E12729&lt;&gt;"""", F12729&lt;&gt;"&amp;""""", NOT(REGEXMATCH(C12729, ""薪資""))), ""內部轉帳(忽略)"",
  REGEXMATCH(C12729, ""薪資""), ""薪資變動(不計入)"",
  REGEXMATCH(C12729, ""押金""), ""押金往來"",
  AND(E12729&lt;&gt;"""", F12729=""""), ""真實支出"",
  AND(E12729="""", F12729&lt;&gt;""""), ""真實收入"",
  TRUE, ""其他""
)"),"其他")</f>
        <v>其他</v>
      </c>
      <c r="K12729" s="270" t="str">
        <f t="shared" si="2"/>
        <v/>
      </c>
      <c r="L12729">
        <f t="shared" si="3"/>
        <v>0</v>
      </c>
    </row>
    <row r="12730">
      <c r="A12730" s="107"/>
      <c r="D12730" s="270"/>
      <c r="H12730" s="106" t="str">
        <f t="shared" si="1"/>
        <v/>
      </c>
      <c r="J12730" t="str">
        <f>IFERROR(__xludf.DUMMYFUNCTION("IFS(
  AND(REGEXMATCH(E12730, ""台銀籌備帳戶|玉山帳戶""), REGEXMATCH(C12730, ""薪資"")), ""分潤支出"",
  AND(REGEXMATCH(E12730, ""Ben帳戶|Elsa帳戶|Ben代墊|Ariel代墊|中信銀行共用""), REGEXMATCH(F12730, ""Ben帳戶|Elsa帳戶|Ben代墊|Ariel代墊|中信銀行共用"")), ""內部轉帳(忽略)"",
  AND(E12730&lt;&gt;"""", F12730&lt;&gt;"&amp;""""", NOT(REGEXMATCH(C12730, ""薪資""))), ""內部轉帳(忽略)"",
  REGEXMATCH(C12730, ""薪資""), ""薪資變動(不計入)"",
  REGEXMATCH(C12730, ""押金""), ""押金往來"",
  AND(E12730&lt;&gt;"""", F12730=""""), ""真實支出"",
  AND(E12730="""", F12730&lt;&gt;""""), ""真實收入"",
  TRUE, ""其他""
)"),"其他")</f>
        <v>其他</v>
      </c>
      <c r="K12730" s="270" t="str">
        <f t="shared" si="2"/>
        <v/>
      </c>
      <c r="L12730">
        <f t="shared" si="3"/>
        <v>0</v>
      </c>
    </row>
    <row r="12731">
      <c r="A12731" s="107"/>
      <c r="D12731" s="270"/>
      <c r="H12731" s="106" t="str">
        <f t="shared" si="1"/>
        <v/>
      </c>
      <c r="J12731" t="str">
        <f>IFERROR(__xludf.DUMMYFUNCTION("IFS(
  AND(REGEXMATCH(E12731, ""台銀籌備帳戶|玉山帳戶""), REGEXMATCH(C12731, ""薪資"")), ""分潤支出"",
  AND(REGEXMATCH(E12731, ""Ben帳戶|Elsa帳戶|Ben代墊|Ariel代墊|中信銀行共用""), REGEXMATCH(F12731, ""Ben帳戶|Elsa帳戶|Ben代墊|Ariel代墊|中信銀行共用"")), ""內部轉帳(忽略)"",
  AND(E12731&lt;&gt;"""", F12731&lt;&gt;"&amp;""""", NOT(REGEXMATCH(C12731, ""薪資""))), ""內部轉帳(忽略)"",
  REGEXMATCH(C12731, ""薪資""), ""薪資變動(不計入)"",
  REGEXMATCH(C12731, ""押金""), ""押金往來"",
  AND(E12731&lt;&gt;"""", F12731=""""), ""真實支出"",
  AND(E12731="""", F12731&lt;&gt;""""), ""真實收入"",
  TRUE, ""其他""
)"),"其他")</f>
        <v>其他</v>
      </c>
      <c r="K12731" s="270" t="str">
        <f t="shared" si="2"/>
        <v/>
      </c>
      <c r="L12731">
        <f t="shared" si="3"/>
        <v>0</v>
      </c>
    </row>
    <row r="12732">
      <c r="A12732" s="107"/>
      <c r="D12732" s="270"/>
      <c r="H12732" s="106" t="str">
        <f t="shared" si="1"/>
        <v/>
      </c>
      <c r="J12732" t="str">
        <f>IFERROR(__xludf.DUMMYFUNCTION("IFS(
  AND(REGEXMATCH(E12732, ""台銀籌備帳戶|玉山帳戶""), REGEXMATCH(C12732, ""薪資"")), ""分潤支出"",
  AND(REGEXMATCH(E12732, ""Ben帳戶|Elsa帳戶|Ben代墊|Ariel代墊|中信銀行共用""), REGEXMATCH(F12732, ""Ben帳戶|Elsa帳戶|Ben代墊|Ariel代墊|中信銀行共用"")), ""內部轉帳(忽略)"",
  AND(E12732&lt;&gt;"""", F12732&lt;&gt;"&amp;""""", NOT(REGEXMATCH(C12732, ""薪資""))), ""內部轉帳(忽略)"",
  REGEXMATCH(C12732, ""薪資""), ""薪資變動(不計入)"",
  REGEXMATCH(C12732, ""押金""), ""押金往來"",
  AND(E12732&lt;&gt;"""", F12732=""""), ""真實支出"",
  AND(E12732="""", F12732&lt;&gt;""""), ""真實收入"",
  TRUE, ""其他""
)"),"其他")</f>
        <v>其他</v>
      </c>
      <c r="K12732" s="270" t="str">
        <f t="shared" si="2"/>
        <v/>
      </c>
      <c r="L12732">
        <f t="shared" si="3"/>
        <v>0</v>
      </c>
    </row>
    <row r="12733">
      <c r="A12733" s="107"/>
      <c r="D12733" s="270"/>
      <c r="H12733" s="106" t="str">
        <f t="shared" si="1"/>
        <v/>
      </c>
      <c r="J12733" t="str">
        <f>IFERROR(__xludf.DUMMYFUNCTION("IFS(
  AND(REGEXMATCH(E12733, ""台銀籌備帳戶|玉山帳戶""), REGEXMATCH(C12733, ""薪資"")), ""分潤支出"",
  AND(REGEXMATCH(E12733, ""Ben帳戶|Elsa帳戶|Ben代墊|Ariel代墊|中信銀行共用""), REGEXMATCH(F12733, ""Ben帳戶|Elsa帳戶|Ben代墊|Ariel代墊|中信銀行共用"")), ""內部轉帳(忽略)"",
  AND(E12733&lt;&gt;"""", F12733&lt;&gt;"&amp;""""", NOT(REGEXMATCH(C12733, ""薪資""))), ""內部轉帳(忽略)"",
  REGEXMATCH(C12733, ""薪資""), ""薪資變動(不計入)"",
  REGEXMATCH(C12733, ""押金""), ""押金往來"",
  AND(E12733&lt;&gt;"""", F12733=""""), ""真實支出"",
  AND(E12733="""", F12733&lt;&gt;""""), ""真實收入"",
  TRUE, ""其他""
)"),"其他")</f>
        <v>其他</v>
      </c>
      <c r="K12733" s="270" t="str">
        <f t="shared" si="2"/>
        <v/>
      </c>
      <c r="L12733">
        <f t="shared" si="3"/>
        <v>0</v>
      </c>
    </row>
    <row r="12734">
      <c r="A12734" s="107"/>
      <c r="D12734" s="270"/>
      <c r="H12734" s="106" t="str">
        <f t="shared" si="1"/>
        <v/>
      </c>
      <c r="J12734" t="str">
        <f>IFERROR(__xludf.DUMMYFUNCTION("IFS(
  AND(REGEXMATCH(E12734, ""台銀籌備帳戶|玉山帳戶""), REGEXMATCH(C12734, ""薪資"")), ""分潤支出"",
  AND(REGEXMATCH(E12734, ""Ben帳戶|Elsa帳戶|Ben代墊|Ariel代墊|中信銀行共用""), REGEXMATCH(F12734, ""Ben帳戶|Elsa帳戶|Ben代墊|Ariel代墊|中信銀行共用"")), ""內部轉帳(忽略)"",
  AND(E12734&lt;&gt;"""", F12734&lt;&gt;"&amp;""""", NOT(REGEXMATCH(C12734, ""薪資""))), ""內部轉帳(忽略)"",
  REGEXMATCH(C12734, ""薪資""), ""薪資變動(不計入)"",
  REGEXMATCH(C12734, ""押金""), ""押金往來"",
  AND(E12734&lt;&gt;"""", F12734=""""), ""真實支出"",
  AND(E12734="""", F12734&lt;&gt;""""), ""真實收入"",
  TRUE, ""其他""
)"),"其他")</f>
        <v>其他</v>
      </c>
      <c r="K12734" s="270" t="str">
        <f t="shared" si="2"/>
        <v/>
      </c>
      <c r="L12734">
        <f t="shared" si="3"/>
        <v>0</v>
      </c>
    </row>
    <row r="12735">
      <c r="A12735" s="107"/>
      <c r="D12735" s="270"/>
      <c r="H12735" s="106" t="str">
        <f t="shared" si="1"/>
        <v/>
      </c>
      <c r="J12735" t="str">
        <f>IFERROR(__xludf.DUMMYFUNCTION("IFS(
  AND(REGEXMATCH(E12735, ""台銀籌備帳戶|玉山帳戶""), REGEXMATCH(C12735, ""薪資"")), ""分潤支出"",
  AND(REGEXMATCH(E12735, ""Ben帳戶|Elsa帳戶|Ben代墊|Ariel代墊|中信銀行共用""), REGEXMATCH(F12735, ""Ben帳戶|Elsa帳戶|Ben代墊|Ariel代墊|中信銀行共用"")), ""內部轉帳(忽略)"",
  AND(E12735&lt;&gt;"""", F12735&lt;&gt;"&amp;""""", NOT(REGEXMATCH(C12735, ""薪資""))), ""內部轉帳(忽略)"",
  REGEXMATCH(C12735, ""薪資""), ""薪資變動(不計入)"",
  REGEXMATCH(C12735, ""押金""), ""押金往來"",
  AND(E12735&lt;&gt;"""", F12735=""""), ""真實支出"",
  AND(E12735="""", F12735&lt;&gt;""""), ""真實收入"",
  TRUE, ""其他""
)"),"其他")</f>
        <v>其他</v>
      </c>
      <c r="K12735" s="270" t="str">
        <f t="shared" si="2"/>
        <v/>
      </c>
      <c r="L12735">
        <f t="shared" si="3"/>
        <v>0</v>
      </c>
    </row>
    <row r="12736">
      <c r="A12736" s="107"/>
      <c r="D12736" s="270"/>
      <c r="H12736" s="106" t="str">
        <f t="shared" si="1"/>
        <v/>
      </c>
      <c r="J12736" t="str">
        <f>IFERROR(__xludf.DUMMYFUNCTION("IFS(
  AND(REGEXMATCH(E12736, ""台銀籌備帳戶|玉山帳戶""), REGEXMATCH(C12736, ""薪資"")), ""分潤支出"",
  AND(REGEXMATCH(E12736, ""Ben帳戶|Elsa帳戶|Ben代墊|Ariel代墊|中信銀行共用""), REGEXMATCH(F12736, ""Ben帳戶|Elsa帳戶|Ben代墊|Ariel代墊|中信銀行共用"")), ""內部轉帳(忽略)"",
  AND(E12736&lt;&gt;"""", F12736&lt;&gt;"&amp;""""", NOT(REGEXMATCH(C12736, ""薪資""))), ""內部轉帳(忽略)"",
  REGEXMATCH(C12736, ""薪資""), ""薪資變動(不計入)"",
  REGEXMATCH(C12736, ""押金""), ""押金往來"",
  AND(E12736&lt;&gt;"""", F12736=""""), ""真實支出"",
  AND(E12736="""", F12736&lt;&gt;""""), ""真實收入"",
  TRUE, ""其他""
)"),"其他")</f>
        <v>其他</v>
      </c>
      <c r="K12736" s="270" t="str">
        <f t="shared" si="2"/>
        <v/>
      </c>
      <c r="L12736">
        <f t="shared" si="3"/>
        <v>0</v>
      </c>
    </row>
    <row r="12737">
      <c r="A12737" s="107"/>
      <c r="D12737" s="270"/>
      <c r="H12737" s="106" t="str">
        <f t="shared" si="1"/>
        <v/>
      </c>
      <c r="J12737" t="str">
        <f>IFERROR(__xludf.DUMMYFUNCTION("IFS(
  AND(REGEXMATCH(E12737, ""台銀籌備帳戶|玉山帳戶""), REGEXMATCH(C12737, ""薪資"")), ""分潤支出"",
  AND(REGEXMATCH(E12737, ""Ben帳戶|Elsa帳戶|Ben代墊|Ariel代墊|中信銀行共用""), REGEXMATCH(F12737, ""Ben帳戶|Elsa帳戶|Ben代墊|Ariel代墊|中信銀行共用"")), ""內部轉帳(忽略)"",
  AND(E12737&lt;&gt;"""", F12737&lt;&gt;"&amp;""""", NOT(REGEXMATCH(C12737, ""薪資""))), ""內部轉帳(忽略)"",
  REGEXMATCH(C12737, ""薪資""), ""薪資變動(不計入)"",
  REGEXMATCH(C12737, ""押金""), ""押金往來"",
  AND(E12737&lt;&gt;"""", F12737=""""), ""真實支出"",
  AND(E12737="""", F12737&lt;&gt;""""), ""真實收入"",
  TRUE, ""其他""
)"),"其他")</f>
        <v>其他</v>
      </c>
      <c r="K12737" s="270" t="str">
        <f t="shared" si="2"/>
        <v/>
      </c>
      <c r="L12737">
        <f t="shared" si="3"/>
        <v>0</v>
      </c>
    </row>
    <row r="12738">
      <c r="A12738" s="107"/>
      <c r="D12738" s="270"/>
      <c r="H12738" s="106" t="str">
        <f t="shared" si="1"/>
        <v/>
      </c>
      <c r="J12738" t="str">
        <f>IFERROR(__xludf.DUMMYFUNCTION("IFS(
  AND(REGEXMATCH(E12738, ""台銀籌備帳戶|玉山帳戶""), REGEXMATCH(C12738, ""薪資"")), ""分潤支出"",
  AND(REGEXMATCH(E12738, ""Ben帳戶|Elsa帳戶|Ben代墊|Ariel代墊|中信銀行共用""), REGEXMATCH(F12738, ""Ben帳戶|Elsa帳戶|Ben代墊|Ariel代墊|中信銀行共用"")), ""內部轉帳(忽略)"",
  AND(E12738&lt;&gt;"""", F12738&lt;&gt;"&amp;""""", NOT(REGEXMATCH(C12738, ""薪資""))), ""內部轉帳(忽略)"",
  REGEXMATCH(C12738, ""薪資""), ""薪資變動(不計入)"",
  REGEXMATCH(C12738, ""押金""), ""押金往來"",
  AND(E12738&lt;&gt;"""", F12738=""""), ""真實支出"",
  AND(E12738="""", F12738&lt;&gt;""""), ""真實收入"",
  TRUE, ""其他""
)"),"其他")</f>
        <v>其他</v>
      </c>
      <c r="K12738" s="270" t="str">
        <f t="shared" si="2"/>
        <v/>
      </c>
      <c r="L12738">
        <f t="shared" si="3"/>
        <v>0</v>
      </c>
    </row>
    <row r="12739">
      <c r="A12739" s="107"/>
      <c r="D12739" s="270"/>
      <c r="H12739" s="106" t="str">
        <f t="shared" si="1"/>
        <v/>
      </c>
      <c r="J12739" t="str">
        <f>IFERROR(__xludf.DUMMYFUNCTION("IFS(
  AND(REGEXMATCH(E12739, ""台銀籌備帳戶|玉山帳戶""), REGEXMATCH(C12739, ""薪資"")), ""分潤支出"",
  AND(REGEXMATCH(E12739, ""Ben帳戶|Elsa帳戶|Ben代墊|Ariel代墊|中信銀行共用""), REGEXMATCH(F12739, ""Ben帳戶|Elsa帳戶|Ben代墊|Ariel代墊|中信銀行共用"")), ""內部轉帳(忽略)"",
  AND(E12739&lt;&gt;"""", F12739&lt;&gt;"&amp;""""", NOT(REGEXMATCH(C12739, ""薪資""))), ""內部轉帳(忽略)"",
  REGEXMATCH(C12739, ""薪資""), ""薪資變動(不計入)"",
  REGEXMATCH(C12739, ""押金""), ""押金往來"",
  AND(E12739&lt;&gt;"""", F12739=""""), ""真實支出"",
  AND(E12739="""", F12739&lt;&gt;""""), ""真實收入"",
  TRUE, ""其他""
)"),"其他")</f>
        <v>其他</v>
      </c>
      <c r="K12739" s="270" t="str">
        <f t="shared" si="2"/>
        <v/>
      </c>
      <c r="L12739">
        <f t="shared" si="3"/>
        <v>0</v>
      </c>
    </row>
    <row r="12740">
      <c r="A12740" s="107"/>
      <c r="D12740" s="270"/>
      <c r="H12740" s="106" t="str">
        <f t="shared" si="1"/>
        <v/>
      </c>
      <c r="J12740" t="str">
        <f>IFERROR(__xludf.DUMMYFUNCTION("IFS(
  AND(REGEXMATCH(E12740, ""台銀籌備帳戶|玉山帳戶""), REGEXMATCH(C12740, ""薪資"")), ""分潤支出"",
  AND(REGEXMATCH(E12740, ""Ben帳戶|Elsa帳戶|Ben代墊|Ariel代墊|中信銀行共用""), REGEXMATCH(F12740, ""Ben帳戶|Elsa帳戶|Ben代墊|Ariel代墊|中信銀行共用"")), ""內部轉帳(忽略)"",
  AND(E12740&lt;&gt;"""", F12740&lt;&gt;"&amp;""""", NOT(REGEXMATCH(C12740, ""薪資""))), ""內部轉帳(忽略)"",
  REGEXMATCH(C12740, ""薪資""), ""薪資變動(不計入)"",
  REGEXMATCH(C12740, ""押金""), ""押金往來"",
  AND(E12740&lt;&gt;"""", F12740=""""), ""真實支出"",
  AND(E12740="""", F12740&lt;&gt;""""), ""真實收入"",
  TRUE, ""其他""
)"),"其他")</f>
        <v>其他</v>
      </c>
      <c r="K12740" s="270" t="str">
        <f t="shared" si="2"/>
        <v/>
      </c>
      <c r="L12740">
        <f t="shared" si="3"/>
        <v>0</v>
      </c>
    </row>
    <row r="12741">
      <c r="A12741" s="107"/>
      <c r="D12741" s="270"/>
      <c r="H12741" s="106" t="str">
        <f t="shared" si="1"/>
        <v/>
      </c>
      <c r="J12741" t="str">
        <f>IFERROR(__xludf.DUMMYFUNCTION("IFS(
  AND(REGEXMATCH(E12741, ""台銀籌備帳戶|玉山帳戶""), REGEXMATCH(C12741, ""薪資"")), ""分潤支出"",
  AND(REGEXMATCH(E12741, ""Ben帳戶|Elsa帳戶|Ben代墊|Ariel代墊|中信銀行共用""), REGEXMATCH(F12741, ""Ben帳戶|Elsa帳戶|Ben代墊|Ariel代墊|中信銀行共用"")), ""內部轉帳(忽略)"",
  AND(E12741&lt;&gt;"""", F12741&lt;&gt;"&amp;""""", NOT(REGEXMATCH(C12741, ""薪資""))), ""內部轉帳(忽略)"",
  REGEXMATCH(C12741, ""薪資""), ""薪資變動(不計入)"",
  REGEXMATCH(C12741, ""押金""), ""押金往來"",
  AND(E12741&lt;&gt;"""", F12741=""""), ""真實支出"",
  AND(E12741="""", F12741&lt;&gt;""""), ""真實收入"",
  TRUE, ""其他""
)"),"其他")</f>
        <v>其他</v>
      </c>
      <c r="K12741" s="270" t="str">
        <f t="shared" si="2"/>
        <v/>
      </c>
      <c r="L12741">
        <f t="shared" si="3"/>
        <v>0</v>
      </c>
    </row>
    <row r="12742">
      <c r="A12742" s="107"/>
      <c r="D12742" s="270"/>
      <c r="H12742" s="106" t="str">
        <f t="shared" si="1"/>
        <v/>
      </c>
      <c r="J12742" t="str">
        <f>IFERROR(__xludf.DUMMYFUNCTION("IFS(
  AND(REGEXMATCH(E12742, ""台銀籌備帳戶|玉山帳戶""), REGEXMATCH(C12742, ""薪資"")), ""分潤支出"",
  AND(REGEXMATCH(E12742, ""Ben帳戶|Elsa帳戶|Ben代墊|Ariel代墊|中信銀行共用""), REGEXMATCH(F12742, ""Ben帳戶|Elsa帳戶|Ben代墊|Ariel代墊|中信銀行共用"")), ""內部轉帳(忽略)"",
  AND(E12742&lt;&gt;"""", F12742&lt;&gt;"&amp;""""", NOT(REGEXMATCH(C12742, ""薪資""))), ""內部轉帳(忽略)"",
  REGEXMATCH(C12742, ""薪資""), ""薪資變動(不計入)"",
  REGEXMATCH(C12742, ""押金""), ""押金往來"",
  AND(E12742&lt;&gt;"""", F12742=""""), ""真實支出"",
  AND(E12742="""", F12742&lt;&gt;""""), ""真實收入"",
  TRUE, ""其他""
)"),"其他")</f>
        <v>其他</v>
      </c>
      <c r="K12742" s="270" t="str">
        <f t="shared" si="2"/>
        <v/>
      </c>
      <c r="L12742">
        <f t="shared" si="3"/>
        <v>0</v>
      </c>
    </row>
    <row r="12743">
      <c r="A12743" s="107"/>
      <c r="D12743" s="270"/>
      <c r="H12743" s="106" t="str">
        <f t="shared" si="1"/>
        <v/>
      </c>
      <c r="J12743" t="str">
        <f>IFERROR(__xludf.DUMMYFUNCTION("IFS(
  AND(REGEXMATCH(E12743, ""台銀籌備帳戶|玉山帳戶""), REGEXMATCH(C12743, ""薪資"")), ""分潤支出"",
  AND(REGEXMATCH(E12743, ""Ben帳戶|Elsa帳戶|Ben代墊|Ariel代墊|中信銀行共用""), REGEXMATCH(F12743, ""Ben帳戶|Elsa帳戶|Ben代墊|Ariel代墊|中信銀行共用"")), ""內部轉帳(忽略)"",
  AND(E12743&lt;&gt;"""", F12743&lt;&gt;"&amp;""""", NOT(REGEXMATCH(C12743, ""薪資""))), ""內部轉帳(忽略)"",
  REGEXMATCH(C12743, ""薪資""), ""薪資變動(不計入)"",
  REGEXMATCH(C12743, ""押金""), ""押金往來"",
  AND(E12743&lt;&gt;"""", F12743=""""), ""真實支出"",
  AND(E12743="""", F12743&lt;&gt;""""), ""真實收入"",
  TRUE, ""其他""
)"),"其他")</f>
        <v>其他</v>
      </c>
      <c r="K12743" s="270" t="str">
        <f t="shared" si="2"/>
        <v/>
      </c>
      <c r="L12743">
        <f t="shared" si="3"/>
        <v>0</v>
      </c>
    </row>
    <row r="12744">
      <c r="A12744" s="107"/>
      <c r="D12744" s="270"/>
      <c r="H12744" s="106" t="str">
        <f t="shared" si="1"/>
        <v/>
      </c>
      <c r="J12744" t="str">
        <f>IFERROR(__xludf.DUMMYFUNCTION("IFS(
  AND(REGEXMATCH(E12744, ""台銀籌備帳戶|玉山帳戶""), REGEXMATCH(C12744, ""薪資"")), ""分潤支出"",
  AND(REGEXMATCH(E12744, ""Ben帳戶|Elsa帳戶|Ben代墊|Ariel代墊|中信銀行共用""), REGEXMATCH(F12744, ""Ben帳戶|Elsa帳戶|Ben代墊|Ariel代墊|中信銀行共用"")), ""內部轉帳(忽略)"",
  AND(E12744&lt;&gt;"""", F12744&lt;&gt;"&amp;""""", NOT(REGEXMATCH(C12744, ""薪資""))), ""內部轉帳(忽略)"",
  REGEXMATCH(C12744, ""薪資""), ""薪資變動(不計入)"",
  REGEXMATCH(C12744, ""押金""), ""押金往來"",
  AND(E12744&lt;&gt;"""", F12744=""""), ""真實支出"",
  AND(E12744="""", F12744&lt;&gt;""""), ""真實收入"",
  TRUE, ""其他""
)"),"其他")</f>
        <v>其他</v>
      </c>
      <c r="K12744" s="270" t="str">
        <f t="shared" si="2"/>
        <v/>
      </c>
      <c r="L12744">
        <f t="shared" si="3"/>
        <v>0</v>
      </c>
    </row>
    <row r="12745">
      <c r="A12745" s="107"/>
      <c r="D12745" s="270"/>
      <c r="H12745" s="106" t="str">
        <f t="shared" si="1"/>
        <v/>
      </c>
      <c r="J12745" t="str">
        <f>IFERROR(__xludf.DUMMYFUNCTION("IFS(
  AND(REGEXMATCH(E12745, ""台銀籌備帳戶|玉山帳戶""), REGEXMATCH(C12745, ""薪資"")), ""分潤支出"",
  AND(REGEXMATCH(E12745, ""Ben帳戶|Elsa帳戶|Ben代墊|Ariel代墊|中信銀行共用""), REGEXMATCH(F12745, ""Ben帳戶|Elsa帳戶|Ben代墊|Ariel代墊|中信銀行共用"")), ""內部轉帳(忽略)"",
  AND(E12745&lt;&gt;"""", F12745&lt;&gt;"&amp;""""", NOT(REGEXMATCH(C12745, ""薪資""))), ""內部轉帳(忽略)"",
  REGEXMATCH(C12745, ""薪資""), ""薪資變動(不計入)"",
  REGEXMATCH(C12745, ""押金""), ""押金往來"",
  AND(E12745&lt;&gt;"""", F12745=""""), ""真實支出"",
  AND(E12745="""", F12745&lt;&gt;""""), ""真實收入"",
  TRUE, ""其他""
)"),"其他")</f>
        <v>其他</v>
      </c>
      <c r="K12745" s="270" t="str">
        <f t="shared" si="2"/>
        <v/>
      </c>
      <c r="L12745">
        <f t="shared" si="3"/>
        <v>0</v>
      </c>
    </row>
    <row r="12746">
      <c r="A12746" s="107"/>
      <c r="D12746" s="270"/>
      <c r="H12746" s="106" t="str">
        <f t="shared" si="1"/>
        <v/>
      </c>
      <c r="J12746" t="str">
        <f>IFERROR(__xludf.DUMMYFUNCTION("IFS(
  AND(REGEXMATCH(E12746, ""台銀籌備帳戶|玉山帳戶""), REGEXMATCH(C12746, ""薪資"")), ""分潤支出"",
  AND(REGEXMATCH(E12746, ""Ben帳戶|Elsa帳戶|Ben代墊|Ariel代墊|中信銀行共用""), REGEXMATCH(F12746, ""Ben帳戶|Elsa帳戶|Ben代墊|Ariel代墊|中信銀行共用"")), ""內部轉帳(忽略)"",
  AND(E12746&lt;&gt;"""", F12746&lt;&gt;"&amp;""""", NOT(REGEXMATCH(C12746, ""薪資""))), ""內部轉帳(忽略)"",
  REGEXMATCH(C12746, ""薪資""), ""薪資變動(不計入)"",
  REGEXMATCH(C12746, ""押金""), ""押金往來"",
  AND(E12746&lt;&gt;"""", F12746=""""), ""真實支出"",
  AND(E12746="""", F12746&lt;&gt;""""), ""真實收入"",
  TRUE, ""其他""
)"),"其他")</f>
        <v>其他</v>
      </c>
      <c r="K12746" s="270" t="str">
        <f t="shared" si="2"/>
        <v/>
      </c>
      <c r="L12746">
        <f t="shared" si="3"/>
        <v>0</v>
      </c>
    </row>
    <row r="12747">
      <c r="A12747" s="107"/>
      <c r="D12747" s="270"/>
      <c r="H12747" s="106" t="str">
        <f t="shared" si="1"/>
        <v/>
      </c>
      <c r="J12747" t="str">
        <f>IFERROR(__xludf.DUMMYFUNCTION("IFS(
  AND(REGEXMATCH(E12747, ""台銀籌備帳戶|玉山帳戶""), REGEXMATCH(C12747, ""薪資"")), ""分潤支出"",
  AND(REGEXMATCH(E12747, ""Ben帳戶|Elsa帳戶|Ben代墊|Ariel代墊|中信銀行共用""), REGEXMATCH(F12747, ""Ben帳戶|Elsa帳戶|Ben代墊|Ariel代墊|中信銀行共用"")), ""內部轉帳(忽略)"",
  AND(E12747&lt;&gt;"""", F12747&lt;&gt;"&amp;""""", NOT(REGEXMATCH(C12747, ""薪資""))), ""內部轉帳(忽略)"",
  REGEXMATCH(C12747, ""薪資""), ""薪資變動(不計入)"",
  REGEXMATCH(C12747, ""押金""), ""押金往來"",
  AND(E12747&lt;&gt;"""", F12747=""""), ""真實支出"",
  AND(E12747="""", F12747&lt;&gt;""""), ""真實收入"",
  TRUE, ""其他""
)"),"其他")</f>
        <v>其他</v>
      </c>
      <c r="K12747" s="270" t="str">
        <f t="shared" si="2"/>
        <v/>
      </c>
      <c r="L12747">
        <f t="shared" si="3"/>
        <v>0</v>
      </c>
    </row>
    <row r="12748">
      <c r="A12748" s="107"/>
      <c r="D12748" s="270"/>
      <c r="H12748" s="106" t="str">
        <f t="shared" si="1"/>
        <v/>
      </c>
      <c r="J12748" t="str">
        <f>IFERROR(__xludf.DUMMYFUNCTION("IFS(
  AND(REGEXMATCH(E12748, ""台銀籌備帳戶|玉山帳戶""), REGEXMATCH(C12748, ""薪資"")), ""分潤支出"",
  AND(REGEXMATCH(E12748, ""Ben帳戶|Elsa帳戶|Ben代墊|Ariel代墊|中信銀行共用""), REGEXMATCH(F12748, ""Ben帳戶|Elsa帳戶|Ben代墊|Ariel代墊|中信銀行共用"")), ""內部轉帳(忽略)"",
  AND(E12748&lt;&gt;"""", F12748&lt;&gt;"&amp;""""", NOT(REGEXMATCH(C12748, ""薪資""))), ""內部轉帳(忽略)"",
  REGEXMATCH(C12748, ""薪資""), ""薪資變動(不計入)"",
  REGEXMATCH(C12748, ""押金""), ""押金往來"",
  AND(E12748&lt;&gt;"""", F12748=""""), ""真實支出"",
  AND(E12748="""", F12748&lt;&gt;""""), ""真實收入"",
  TRUE, ""其他""
)"),"其他")</f>
        <v>其他</v>
      </c>
      <c r="K12748" s="270" t="str">
        <f t="shared" si="2"/>
        <v/>
      </c>
      <c r="L12748">
        <f t="shared" si="3"/>
        <v>0</v>
      </c>
    </row>
    <row r="12749">
      <c r="A12749" s="107"/>
      <c r="D12749" s="270"/>
      <c r="H12749" s="106" t="str">
        <f t="shared" si="1"/>
        <v/>
      </c>
      <c r="J12749" t="str">
        <f>IFERROR(__xludf.DUMMYFUNCTION("IFS(
  AND(REGEXMATCH(E12749, ""台銀籌備帳戶|玉山帳戶""), REGEXMATCH(C12749, ""薪資"")), ""分潤支出"",
  AND(REGEXMATCH(E12749, ""Ben帳戶|Elsa帳戶|Ben代墊|Ariel代墊|中信銀行共用""), REGEXMATCH(F12749, ""Ben帳戶|Elsa帳戶|Ben代墊|Ariel代墊|中信銀行共用"")), ""內部轉帳(忽略)"",
  AND(E12749&lt;&gt;"""", F12749&lt;&gt;"&amp;""""", NOT(REGEXMATCH(C12749, ""薪資""))), ""內部轉帳(忽略)"",
  REGEXMATCH(C12749, ""薪資""), ""薪資變動(不計入)"",
  REGEXMATCH(C12749, ""押金""), ""押金往來"",
  AND(E12749&lt;&gt;"""", F12749=""""), ""真實支出"",
  AND(E12749="""", F12749&lt;&gt;""""), ""真實收入"",
  TRUE, ""其他""
)"),"其他")</f>
        <v>其他</v>
      </c>
      <c r="K12749" s="270" t="str">
        <f t="shared" si="2"/>
        <v/>
      </c>
      <c r="L12749">
        <f t="shared" si="3"/>
        <v>0</v>
      </c>
    </row>
    <row r="12750">
      <c r="A12750" s="107"/>
      <c r="D12750" s="270"/>
      <c r="H12750" s="106" t="str">
        <f t="shared" si="1"/>
        <v/>
      </c>
      <c r="J12750" t="str">
        <f>IFERROR(__xludf.DUMMYFUNCTION("IFS(
  AND(REGEXMATCH(E12750, ""台銀籌備帳戶|玉山帳戶""), REGEXMATCH(C12750, ""薪資"")), ""分潤支出"",
  AND(REGEXMATCH(E12750, ""Ben帳戶|Elsa帳戶|Ben代墊|Ariel代墊|中信銀行共用""), REGEXMATCH(F12750, ""Ben帳戶|Elsa帳戶|Ben代墊|Ariel代墊|中信銀行共用"")), ""內部轉帳(忽略)"",
  AND(E12750&lt;&gt;"""", F12750&lt;&gt;"&amp;""""", NOT(REGEXMATCH(C12750, ""薪資""))), ""內部轉帳(忽略)"",
  REGEXMATCH(C12750, ""薪資""), ""薪資變動(不計入)"",
  REGEXMATCH(C12750, ""押金""), ""押金往來"",
  AND(E12750&lt;&gt;"""", F12750=""""), ""真實支出"",
  AND(E12750="""", F12750&lt;&gt;""""), ""真實收入"",
  TRUE, ""其他""
)"),"其他")</f>
        <v>其他</v>
      </c>
      <c r="K12750" s="270" t="str">
        <f t="shared" si="2"/>
        <v/>
      </c>
      <c r="L12750">
        <f t="shared" si="3"/>
        <v>0</v>
      </c>
    </row>
    <row r="12751">
      <c r="A12751" s="107"/>
      <c r="D12751" s="270"/>
      <c r="H12751" s="106" t="str">
        <f t="shared" si="1"/>
        <v/>
      </c>
      <c r="J12751" t="str">
        <f>IFERROR(__xludf.DUMMYFUNCTION("IFS(
  AND(REGEXMATCH(E12751, ""台銀籌備帳戶|玉山帳戶""), REGEXMATCH(C12751, ""薪資"")), ""分潤支出"",
  AND(REGEXMATCH(E12751, ""Ben帳戶|Elsa帳戶|Ben代墊|Ariel代墊|中信銀行共用""), REGEXMATCH(F12751, ""Ben帳戶|Elsa帳戶|Ben代墊|Ariel代墊|中信銀行共用"")), ""內部轉帳(忽略)"",
  AND(E12751&lt;&gt;"""", F12751&lt;&gt;"&amp;""""", NOT(REGEXMATCH(C12751, ""薪資""))), ""內部轉帳(忽略)"",
  REGEXMATCH(C12751, ""薪資""), ""薪資變動(不計入)"",
  REGEXMATCH(C12751, ""押金""), ""押金往來"",
  AND(E12751&lt;&gt;"""", F12751=""""), ""真實支出"",
  AND(E12751="""", F12751&lt;&gt;""""), ""真實收入"",
  TRUE, ""其他""
)"),"其他")</f>
        <v>其他</v>
      </c>
      <c r="K12751" s="270" t="str">
        <f t="shared" si="2"/>
        <v/>
      </c>
      <c r="L12751">
        <f t="shared" si="3"/>
        <v>0</v>
      </c>
    </row>
    <row r="12752">
      <c r="A12752" s="107"/>
      <c r="D12752" s="270"/>
      <c r="H12752" s="106" t="str">
        <f t="shared" si="1"/>
        <v/>
      </c>
      <c r="J12752" t="str">
        <f>IFERROR(__xludf.DUMMYFUNCTION("IFS(
  AND(REGEXMATCH(E12752, ""台銀籌備帳戶|玉山帳戶""), REGEXMATCH(C12752, ""薪資"")), ""分潤支出"",
  AND(REGEXMATCH(E12752, ""Ben帳戶|Elsa帳戶|Ben代墊|Ariel代墊|中信銀行共用""), REGEXMATCH(F12752, ""Ben帳戶|Elsa帳戶|Ben代墊|Ariel代墊|中信銀行共用"")), ""內部轉帳(忽略)"",
  AND(E12752&lt;&gt;"""", F12752&lt;&gt;"&amp;""""", NOT(REGEXMATCH(C12752, ""薪資""))), ""內部轉帳(忽略)"",
  REGEXMATCH(C12752, ""薪資""), ""薪資變動(不計入)"",
  REGEXMATCH(C12752, ""押金""), ""押金往來"",
  AND(E12752&lt;&gt;"""", F12752=""""), ""真實支出"",
  AND(E12752="""", F12752&lt;&gt;""""), ""真實收入"",
  TRUE, ""其他""
)"),"其他")</f>
        <v>其他</v>
      </c>
      <c r="K12752" s="270" t="str">
        <f t="shared" si="2"/>
        <v/>
      </c>
      <c r="L12752">
        <f t="shared" si="3"/>
        <v>0</v>
      </c>
    </row>
    <row r="12753">
      <c r="A12753" s="107"/>
      <c r="D12753" s="270"/>
      <c r="H12753" s="106" t="str">
        <f t="shared" si="1"/>
        <v/>
      </c>
      <c r="J12753" t="str">
        <f>IFERROR(__xludf.DUMMYFUNCTION("IFS(
  AND(REGEXMATCH(E12753, ""台銀籌備帳戶|玉山帳戶""), REGEXMATCH(C12753, ""薪資"")), ""分潤支出"",
  AND(REGEXMATCH(E12753, ""Ben帳戶|Elsa帳戶|Ben代墊|Ariel代墊|中信銀行共用""), REGEXMATCH(F12753, ""Ben帳戶|Elsa帳戶|Ben代墊|Ariel代墊|中信銀行共用"")), ""內部轉帳(忽略)"",
  AND(E12753&lt;&gt;"""", F12753&lt;&gt;"&amp;""""", NOT(REGEXMATCH(C12753, ""薪資""))), ""內部轉帳(忽略)"",
  REGEXMATCH(C12753, ""薪資""), ""薪資變動(不計入)"",
  REGEXMATCH(C12753, ""押金""), ""押金往來"",
  AND(E12753&lt;&gt;"""", F12753=""""), ""真實支出"",
  AND(E12753="""", F12753&lt;&gt;""""), ""真實收入"",
  TRUE, ""其他""
)"),"其他")</f>
        <v>其他</v>
      </c>
      <c r="K12753" s="270" t="str">
        <f t="shared" si="2"/>
        <v/>
      </c>
      <c r="L12753">
        <f t="shared" si="3"/>
        <v>0</v>
      </c>
    </row>
    <row r="12754">
      <c r="A12754" s="107"/>
      <c r="D12754" s="270"/>
      <c r="H12754" s="106" t="str">
        <f t="shared" si="1"/>
        <v/>
      </c>
      <c r="J12754" t="str">
        <f>IFERROR(__xludf.DUMMYFUNCTION("IFS(
  AND(REGEXMATCH(E12754, ""台銀籌備帳戶|玉山帳戶""), REGEXMATCH(C12754, ""薪資"")), ""分潤支出"",
  AND(REGEXMATCH(E12754, ""Ben帳戶|Elsa帳戶|Ben代墊|Ariel代墊|中信銀行共用""), REGEXMATCH(F12754, ""Ben帳戶|Elsa帳戶|Ben代墊|Ariel代墊|中信銀行共用"")), ""內部轉帳(忽略)"",
  AND(E12754&lt;&gt;"""", F12754&lt;&gt;"&amp;""""", NOT(REGEXMATCH(C12754, ""薪資""))), ""內部轉帳(忽略)"",
  REGEXMATCH(C12754, ""薪資""), ""薪資變動(不計入)"",
  REGEXMATCH(C12754, ""押金""), ""押金往來"",
  AND(E12754&lt;&gt;"""", F12754=""""), ""真實支出"",
  AND(E12754="""", F12754&lt;&gt;""""), ""真實收入"",
  TRUE, ""其他""
)"),"其他")</f>
        <v>其他</v>
      </c>
      <c r="K12754" s="270" t="str">
        <f t="shared" si="2"/>
        <v/>
      </c>
      <c r="L12754">
        <f t="shared" si="3"/>
        <v>0</v>
      </c>
    </row>
    <row r="12755">
      <c r="A12755" s="107"/>
      <c r="D12755" s="270"/>
      <c r="H12755" s="106" t="str">
        <f t="shared" si="1"/>
        <v/>
      </c>
      <c r="J12755" t="str">
        <f>IFERROR(__xludf.DUMMYFUNCTION("IFS(
  AND(REGEXMATCH(E12755, ""台銀籌備帳戶|玉山帳戶""), REGEXMATCH(C12755, ""薪資"")), ""分潤支出"",
  AND(REGEXMATCH(E12755, ""Ben帳戶|Elsa帳戶|Ben代墊|Ariel代墊|中信銀行共用""), REGEXMATCH(F12755, ""Ben帳戶|Elsa帳戶|Ben代墊|Ariel代墊|中信銀行共用"")), ""內部轉帳(忽略)"",
  AND(E12755&lt;&gt;"""", F12755&lt;&gt;"&amp;""""", NOT(REGEXMATCH(C12755, ""薪資""))), ""內部轉帳(忽略)"",
  REGEXMATCH(C12755, ""薪資""), ""薪資變動(不計入)"",
  REGEXMATCH(C12755, ""押金""), ""押金往來"",
  AND(E12755&lt;&gt;"""", F12755=""""), ""真實支出"",
  AND(E12755="""", F12755&lt;&gt;""""), ""真實收入"",
  TRUE, ""其他""
)"),"其他")</f>
        <v>其他</v>
      </c>
      <c r="K12755" s="270" t="str">
        <f t="shared" si="2"/>
        <v/>
      </c>
      <c r="L12755">
        <f t="shared" si="3"/>
        <v>0</v>
      </c>
    </row>
    <row r="12756">
      <c r="A12756" s="107"/>
      <c r="D12756" s="270"/>
      <c r="H12756" s="106" t="str">
        <f t="shared" si="1"/>
        <v/>
      </c>
      <c r="J12756" t="str">
        <f>IFERROR(__xludf.DUMMYFUNCTION("IFS(
  AND(REGEXMATCH(E12756, ""台銀籌備帳戶|玉山帳戶""), REGEXMATCH(C12756, ""薪資"")), ""分潤支出"",
  AND(REGEXMATCH(E12756, ""Ben帳戶|Elsa帳戶|Ben代墊|Ariel代墊|中信銀行共用""), REGEXMATCH(F12756, ""Ben帳戶|Elsa帳戶|Ben代墊|Ariel代墊|中信銀行共用"")), ""內部轉帳(忽略)"",
  AND(E12756&lt;&gt;"""", F12756&lt;&gt;"&amp;""""", NOT(REGEXMATCH(C12756, ""薪資""))), ""內部轉帳(忽略)"",
  REGEXMATCH(C12756, ""薪資""), ""薪資變動(不計入)"",
  REGEXMATCH(C12756, ""押金""), ""押金往來"",
  AND(E12756&lt;&gt;"""", F12756=""""), ""真實支出"",
  AND(E12756="""", F12756&lt;&gt;""""), ""真實收入"",
  TRUE, ""其他""
)"),"其他")</f>
        <v>其他</v>
      </c>
      <c r="K12756" s="270" t="str">
        <f t="shared" si="2"/>
        <v/>
      </c>
      <c r="L12756">
        <f t="shared" si="3"/>
        <v>0</v>
      </c>
    </row>
    <row r="12757">
      <c r="A12757" s="107"/>
      <c r="D12757" s="270"/>
      <c r="H12757" s="106" t="str">
        <f t="shared" si="1"/>
        <v/>
      </c>
      <c r="J12757" t="str">
        <f>IFERROR(__xludf.DUMMYFUNCTION("IFS(
  AND(REGEXMATCH(E12757, ""台銀籌備帳戶|玉山帳戶""), REGEXMATCH(C12757, ""薪資"")), ""分潤支出"",
  AND(REGEXMATCH(E12757, ""Ben帳戶|Elsa帳戶|Ben代墊|Ariel代墊|中信銀行共用""), REGEXMATCH(F12757, ""Ben帳戶|Elsa帳戶|Ben代墊|Ariel代墊|中信銀行共用"")), ""內部轉帳(忽略)"",
  AND(E12757&lt;&gt;"""", F12757&lt;&gt;"&amp;""""", NOT(REGEXMATCH(C12757, ""薪資""))), ""內部轉帳(忽略)"",
  REGEXMATCH(C12757, ""薪資""), ""薪資變動(不計入)"",
  REGEXMATCH(C12757, ""押金""), ""押金往來"",
  AND(E12757&lt;&gt;"""", F12757=""""), ""真實支出"",
  AND(E12757="""", F12757&lt;&gt;""""), ""真實收入"",
  TRUE, ""其他""
)"),"其他")</f>
        <v>其他</v>
      </c>
      <c r="K12757" s="270" t="str">
        <f t="shared" si="2"/>
        <v/>
      </c>
      <c r="L12757">
        <f t="shared" si="3"/>
        <v>0</v>
      </c>
    </row>
    <row r="12758">
      <c r="A12758" s="107"/>
      <c r="D12758" s="270"/>
      <c r="H12758" s="106" t="str">
        <f t="shared" si="1"/>
        <v/>
      </c>
      <c r="J12758" t="str">
        <f>IFERROR(__xludf.DUMMYFUNCTION("IFS(
  AND(REGEXMATCH(E12758, ""台銀籌備帳戶|玉山帳戶""), REGEXMATCH(C12758, ""薪資"")), ""分潤支出"",
  AND(REGEXMATCH(E12758, ""Ben帳戶|Elsa帳戶|Ben代墊|Ariel代墊|中信銀行共用""), REGEXMATCH(F12758, ""Ben帳戶|Elsa帳戶|Ben代墊|Ariel代墊|中信銀行共用"")), ""內部轉帳(忽略)"",
  AND(E12758&lt;&gt;"""", F12758&lt;&gt;"&amp;""""", NOT(REGEXMATCH(C12758, ""薪資""))), ""內部轉帳(忽略)"",
  REGEXMATCH(C12758, ""薪資""), ""薪資變動(不計入)"",
  REGEXMATCH(C12758, ""押金""), ""押金往來"",
  AND(E12758&lt;&gt;"""", F12758=""""), ""真實支出"",
  AND(E12758="""", F12758&lt;&gt;""""), ""真實收入"",
  TRUE, ""其他""
)"),"其他")</f>
        <v>其他</v>
      </c>
      <c r="K12758" s="270" t="str">
        <f t="shared" si="2"/>
        <v/>
      </c>
      <c r="L12758">
        <f t="shared" si="3"/>
        <v>0</v>
      </c>
    </row>
    <row r="12759">
      <c r="A12759" s="107"/>
      <c r="D12759" s="270"/>
      <c r="H12759" s="106" t="str">
        <f t="shared" si="1"/>
        <v/>
      </c>
      <c r="J12759" t="str">
        <f>IFERROR(__xludf.DUMMYFUNCTION("IFS(
  AND(REGEXMATCH(E12759, ""台銀籌備帳戶|玉山帳戶""), REGEXMATCH(C12759, ""薪資"")), ""分潤支出"",
  AND(REGEXMATCH(E12759, ""Ben帳戶|Elsa帳戶|Ben代墊|Ariel代墊|中信銀行共用""), REGEXMATCH(F12759, ""Ben帳戶|Elsa帳戶|Ben代墊|Ariel代墊|中信銀行共用"")), ""內部轉帳(忽略)"",
  AND(E12759&lt;&gt;"""", F12759&lt;&gt;"&amp;""""", NOT(REGEXMATCH(C12759, ""薪資""))), ""內部轉帳(忽略)"",
  REGEXMATCH(C12759, ""薪資""), ""薪資變動(不計入)"",
  REGEXMATCH(C12759, ""押金""), ""押金往來"",
  AND(E12759&lt;&gt;"""", F12759=""""), ""真實支出"",
  AND(E12759="""", F12759&lt;&gt;""""), ""真實收入"",
  TRUE, ""其他""
)"),"其他")</f>
        <v>其他</v>
      </c>
      <c r="K12759" s="270" t="str">
        <f t="shared" si="2"/>
        <v/>
      </c>
      <c r="L12759">
        <f t="shared" si="3"/>
        <v>0</v>
      </c>
    </row>
    <row r="12760">
      <c r="A12760" s="107"/>
      <c r="D12760" s="270"/>
      <c r="H12760" s="106" t="str">
        <f t="shared" si="1"/>
        <v/>
      </c>
      <c r="J12760" t="str">
        <f>IFERROR(__xludf.DUMMYFUNCTION("IFS(
  AND(REGEXMATCH(E12760, ""台銀籌備帳戶|玉山帳戶""), REGEXMATCH(C12760, ""薪資"")), ""分潤支出"",
  AND(REGEXMATCH(E12760, ""Ben帳戶|Elsa帳戶|Ben代墊|Ariel代墊|中信銀行共用""), REGEXMATCH(F12760, ""Ben帳戶|Elsa帳戶|Ben代墊|Ariel代墊|中信銀行共用"")), ""內部轉帳(忽略)"",
  AND(E12760&lt;&gt;"""", F12760&lt;&gt;"&amp;""""", NOT(REGEXMATCH(C12760, ""薪資""))), ""內部轉帳(忽略)"",
  REGEXMATCH(C12760, ""薪資""), ""薪資變動(不計入)"",
  REGEXMATCH(C12760, ""押金""), ""押金往來"",
  AND(E12760&lt;&gt;"""", F12760=""""), ""真實支出"",
  AND(E12760="""", F12760&lt;&gt;""""), ""真實收入"",
  TRUE, ""其他""
)"),"其他")</f>
        <v>其他</v>
      </c>
      <c r="K12760" s="270" t="str">
        <f t="shared" si="2"/>
        <v/>
      </c>
      <c r="L12760">
        <f t="shared" si="3"/>
        <v>0</v>
      </c>
    </row>
    <row r="12761">
      <c r="A12761" s="107"/>
      <c r="D12761" s="270"/>
      <c r="H12761" s="106" t="str">
        <f t="shared" si="1"/>
        <v/>
      </c>
      <c r="J12761" t="str">
        <f>IFERROR(__xludf.DUMMYFUNCTION("IFS(
  AND(REGEXMATCH(E12761, ""台銀籌備帳戶|玉山帳戶""), REGEXMATCH(C12761, ""薪資"")), ""分潤支出"",
  AND(REGEXMATCH(E12761, ""Ben帳戶|Elsa帳戶|Ben代墊|Ariel代墊|中信銀行共用""), REGEXMATCH(F12761, ""Ben帳戶|Elsa帳戶|Ben代墊|Ariel代墊|中信銀行共用"")), ""內部轉帳(忽略)"",
  AND(E12761&lt;&gt;"""", F12761&lt;&gt;"&amp;""""", NOT(REGEXMATCH(C12761, ""薪資""))), ""內部轉帳(忽略)"",
  REGEXMATCH(C12761, ""薪資""), ""薪資變動(不計入)"",
  REGEXMATCH(C12761, ""押金""), ""押金往來"",
  AND(E12761&lt;&gt;"""", F12761=""""), ""真實支出"",
  AND(E12761="""", F12761&lt;&gt;""""), ""真實收入"",
  TRUE, ""其他""
)"),"其他")</f>
        <v>其他</v>
      </c>
      <c r="K12761" s="270" t="str">
        <f t="shared" si="2"/>
        <v/>
      </c>
      <c r="L12761">
        <f t="shared" si="3"/>
        <v>0</v>
      </c>
    </row>
    <row r="12762">
      <c r="A12762" s="107"/>
      <c r="D12762" s="270"/>
      <c r="H12762" s="106" t="str">
        <f t="shared" si="1"/>
        <v/>
      </c>
      <c r="J12762" t="str">
        <f>IFERROR(__xludf.DUMMYFUNCTION("IFS(
  AND(REGEXMATCH(E12762, ""台銀籌備帳戶|玉山帳戶""), REGEXMATCH(C12762, ""薪資"")), ""分潤支出"",
  AND(REGEXMATCH(E12762, ""Ben帳戶|Elsa帳戶|Ben代墊|Ariel代墊|中信銀行共用""), REGEXMATCH(F12762, ""Ben帳戶|Elsa帳戶|Ben代墊|Ariel代墊|中信銀行共用"")), ""內部轉帳(忽略)"",
  AND(E12762&lt;&gt;"""", F12762&lt;&gt;"&amp;""""", NOT(REGEXMATCH(C12762, ""薪資""))), ""內部轉帳(忽略)"",
  REGEXMATCH(C12762, ""薪資""), ""薪資變動(不計入)"",
  REGEXMATCH(C12762, ""押金""), ""押金往來"",
  AND(E12762&lt;&gt;"""", F12762=""""), ""真實支出"",
  AND(E12762="""", F12762&lt;&gt;""""), ""真實收入"",
  TRUE, ""其他""
)"),"其他")</f>
        <v>其他</v>
      </c>
      <c r="K12762" s="270" t="str">
        <f t="shared" si="2"/>
        <v/>
      </c>
      <c r="L12762">
        <f t="shared" si="3"/>
        <v>0</v>
      </c>
    </row>
    <row r="12763">
      <c r="A12763" s="107"/>
      <c r="D12763" s="270"/>
      <c r="H12763" s="106" t="str">
        <f t="shared" si="1"/>
        <v/>
      </c>
      <c r="J12763" t="str">
        <f>IFERROR(__xludf.DUMMYFUNCTION("IFS(
  AND(REGEXMATCH(E12763, ""台銀籌備帳戶|玉山帳戶""), REGEXMATCH(C12763, ""薪資"")), ""分潤支出"",
  AND(REGEXMATCH(E12763, ""Ben帳戶|Elsa帳戶|Ben代墊|Ariel代墊|中信銀行共用""), REGEXMATCH(F12763, ""Ben帳戶|Elsa帳戶|Ben代墊|Ariel代墊|中信銀行共用"")), ""內部轉帳(忽略)"",
  AND(E12763&lt;&gt;"""", F12763&lt;&gt;"&amp;""""", NOT(REGEXMATCH(C12763, ""薪資""))), ""內部轉帳(忽略)"",
  REGEXMATCH(C12763, ""薪資""), ""薪資變動(不計入)"",
  REGEXMATCH(C12763, ""押金""), ""押金往來"",
  AND(E12763&lt;&gt;"""", F12763=""""), ""真實支出"",
  AND(E12763="""", F12763&lt;&gt;""""), ""真實收入"",
  TRUE, ""其他""
)"),"其他")</f>
        <v>其他</v>
      </c>
      <c r="K12763" s="270" t="str">
        <f t="shared" si="2"/>
        <v/>
      </c>
      <c r="L12763">
        <f t="shared" si="3"/>
        <v>0</v>
      </c>
    </row>
    <row r="12764">
      <c r="A12764" s="107"/>
      <c r="D12764" s="270"/>
      <c r="H12764" s="106" t="str">
        <f t="shared" si="1"/>
        <v/>
      </c>
      <c r="J12764" t="str">
        <f>IFERROR(__xludf.DUMMYFUNCTION("IFS(
  AND(REGEXMATCH(E12764, ""台銀籌備帳戶|玉山帳戶""), REGEXMATCH(C12764, ""薪資"")), ""分潤支出"",
  AND(REGEXMATCH(E12764, ""Ben帳戶|Elsa帳戶|Ben代墊|Ariel代墊|中信銀行共用""), REGEXMATCH(F12764, ""Ben帳戶|Elsa帳戶|Ben代墊|Ariel代墊|中信銀行共用"")), ""內部轉帳(忽略)"",
  AND(E12764&lt;&gt;"""", F12764&lt;&gt;"&amp;""""", NOT(REGEXMATCH(C12764, ""薪資""))), ""內部轉帳(忽略)"",
  REGEXMATCH(C12764, ""薪資""), ""薪資變動(不計入)"",
  REGEXMATCH(C12764, ""押金""), ""押金往來"",
  AND(E12764&lt;&gt;"""", F12764=""""), ""真實支出"",
  AND(E12764="""", F12764&lt;&gt;""""), ""真實收入"",
  TRUE, ""其他""
)"),"其他")</f>
        <v>其他</v>
      </c>
      <c r="K12764" s="270" t="str">
        <f t="shared" si="2"/>
        <v/>
      </c>
      <c r="L12764">
        <f t="shared" si="3"/>
        <v>0</v>
      </c>
    </row>
    <row r="12765">
      <c r="A12765" s="107"/>
      <c r="D12765" s="270"/>
      <c r="H12765" s="106" t="str">
        <f t="shared" si="1"/>
        <v/>
      </c>
      <c r="J12765" t="str">
        <f>IFERROR(__xludf.DUMMYFUNCTION("IFS(
  AND(REGEXMATCH(E12765, ""台銀籌備帳戶|玉山帳戶""), REGEXMATCH(C12765, ""薪資"")), ""分潤支出"",
  AND(REGEXMATCH(E12765, ""Ben帳戶|Elsa帳戶|Ben代墊|Ariel代墊|中信銀行共用""), REGEXMATCH(F12765, ""Ben帳戶|Elsa帳戶|Ben代墊|Ariel代墊|中信銀行共用"")), ""內部轉帳(忽略)"",
  AND(E12765&lt;&gt;"""", F12765&lt;&gt;"&amp;""""", NOT(REGEXMATCH(C12765, ""薪資""))), ""內部轉帳(忽略)"",
  REGEXMATCH(C12765, ""薪資""), ""薪資變動(不計入)"",
  REGEXMATCH(C12765, ""押金""), ""押金往來"",
  AND(E12765&lt;&gt;"""", F12765=""""), ""真實支出"",
  AND(E12765="""", F12765&lt;&gt;""""), ""真實收入"",
  TRUE, ""其他""
)"),"其他")</f>
        <v>其他</v>
      </c>
      <c r="K12765" s="270" t="str">
        <f t="shared" si="2"/>
        <v/>
      </c>
      <c r="L12765">
        <f t="shared" si="3"/>
        <v>0</v>
      </c>
    </row>
    <row r="12766">
      <c r="A12766" s="107"/>
      <c r="D12766" s="270"/>
      <c r="H12766" s="106" t="str">
        <f t="shared" si="1"/>
        <v/>
      </c>
      <c r="J12766" t="str">
        <f>IFERROR(__xludf.DUMMYFUNCTION("IFS(
  AND(REGEXMATCH(E12766, ""台銀籌備帳戶|玉山帳戶""), REGEXMATCH(C12766, ""薪資"")), ""分潤支出"",
  AND(REGEXMATCH(E12766, ""Ben帳戶|Elsa帳戶|Ben代墊|Ariel代墊|中信銀行共用""), REGEXMATCH(F12766, ""Ben帳戶|Elsa帳戶|Ben代墊|Ariel代墊|中信銀行共用"")), ""內部轉帳(忽略)"",
  AND(E12766&lt;&gt;"""", F12766&lt;&gt;"&amp;""""", NOT(REGEXMATCH(C12766, ""薪資""))), ""內部轉帳(忽略)"",
  REGEXMATCH(C12766, ""薪資""), ""薪資變動(不計入)"",
  REGEXMATCH(C12766, ""押金""), ""押金往來"",
  AND(E12766&lt;&gt;"""", F12766=""""), ""真實支出"",
  AND(E12766="""", F12766&lt;&gt;""""), ""真實收入"",
  TRUE, ""其他""
)"),"其他")</f>
        <v>其他</v>
      </c>
      <c r="K12766" s="270" t="str">
        <f t="shared" si="2"/>
        <v/>
      </c>
      <c r="L12766">
        <f t="shared" si="3"/>
        <v>0</v>
      </c>
    </row>
    <row r="12767">
      <c r="A12767" s="107"/>
      <c r="D12767" s="270"/>
      <c r="H12767" s="106" t="str">
        <f t="shared" si="1"/>
        <v/>
      </c>
      <c r="J12767" t="str">
        <f>IFERROR(__xludf.DUMMYFUNCTION("IFS(
  AND(REGEXMATCH(E12767, ""台銀籌備帳戶|玉山帳戶""), REGEXMATCH(C12767, ""薪資"")), ""分潤支出"",
  AND(REGEXMATCH(E12767, ""Ben帳戶|Elsa帳戶|Ben代墊|Ariel代墊|中信銀行共用""), REGEXMATCH(F12767, ""Ben帳戶|Elsa帳戶|Ben代墊|Ariel代墊|中信銀行共用"")), ""內部轉帳(忽略)"",
  AND(E12767&lt;&gt;"""", F12767&lt;&gt;"&amp;""""", NOT(REGEXMATCH(C12767, ""薪資""))), ""內部轉帳(忽略)"",
  REGEXMATCH(C12767, ""薪資""), ""薪資變動(不計入)"",
  REGEXMATCH(C12767, ""押金""), ""押金往來"",
  AND(E12767&lt;&gt;"""", F12767=""""), ""真實支出"",
  AND(E12767="""", F12767&lt;&gt;""""), ""真實收入"",
  TRUE, ""其他""
)"),"其他")</f>
        <v>其他</v>
      </c>
      <c r="K12767" s="270" t="str">
        <f t="shared" si="2"/>
        <v/>
      </c>
      <c r="L12767">
        <f t="shared" si="3"/>
        <v>0</v>
      </c>
    </row>
    <row r="12768">
      <c r="A12768" s="107"/>
      <c r="D12768" s="270"/>
      <c r="H12768" s="106" t="str">
        <f t="shared" si="1"/>
        <v/>
      </c>
      <c r="J12768" t="str">
        <f>IFERROR(__xludf.DUMMYFUNCTION("IFS(
  AND(REGEXMATCH(E12768, ""台銀籌備帳戶|玉山帳戶""), REGEXMATCH(C12768, ""薪資"")), ""分潤支出"",
  AND(REGEXMATCH(E12768, ""Ben帳戶|Elsa帳戶|Ben代墊|Ariel代墊|中信銀行共用""), REGEXMATCH(F12768, ""Ben帳戶|Elsa帳戶|Ben代墊|Ariel代墊|中信銀行共用"")), ""內部轉帳(忽略)"",
  AND(E12768&lt;&gt;"""", F12768&lt;&gt;"&amp;""""", NOT(REGEXMATCH(C12768, ""薪資""))), ""內部轉帳(忽略)"",
  REGEXMATCH(C12768, ""薪資""), ""薪資變動(不計入)"",
  REGEXMATCH(C12768, ""押金""), ""押金往來"",
  AND(E12768&lt;&gt;"""", F12768=""""), ""真實支出"",
  AND(E12768="""", F12768&lt;&gt;""""), ""真實收入"",
  TRUE, ""其他""
)"),"其他")</f>
        <v>其他</v>
      </c>
      <c r="K12768" s="270" t="str">
        <f t="shared" si="2"/>
        <v/>
      </c>
      <c r="L12768">
        <f t="shared" si="3"/>
        <v>0</v>
      </c>
    </row>
    <row r="12769">
      <c r="A12769" s="107"/>
      <c r="D12769" s="270"/>
      <c r="H12769" s="106" t="str">
        <f t="shared" si="1"/>
        <v/>
      </c>
      <c r="J12769" t="str">
        <f>IFERROR(__xludf.DUMMYFUNCTION("IFS(
  AND(REGEXMATCH(E12769, ""台銀籌備帳戶|玉山帳戶""), REGEXMATCH(C12769, ""薪資"")), ""分潤支出"",
  AND(REGEXMATCH(E12769, ""Ben帳戶|Elsa帳戶|Ben代墊|Ariel代墊|中信銀行共用""), REGEXMATCH(F12769, ""Ben帳戶|Elsa帳戶|Ben代墊|Ariel代墊|中信銀行共用"")), ""內部轉帳(忽略)"",
  AND(E12769&lt;&gt;"""", F12769&lt;&gt;"&amp;""""", NOT(REGEXMATCH(C12769, ""薪資""))), ""內部轉帳(忽略)"",
  REGEXMATCH(C12769, ""薪資""), ""薪資變動(不計入)"",
  REGEXMATCH(C12769, ""押金""), ""押金往來"",
  AND(E12769&lt;&gt;"""", F12769=""""), ""真實支出"",
  AND(E12769="""", F12769&lt;&gt;""""), ""真實收入"",
  TRUE, ""其他""
)"),"其他")</f>
        <v>其他</v>
      </c>
      <c r="K12769" s="270" t="str">
        <f t="shared" si="2"/>
        <v/>
      </c>
      <c r="L12769">
        <f t="shared" si="3"/>
        <v>0</v>
      </c>
    </row>
    <row r="12770">
      <c r="A12770" s="107"/>
      <c r="D12770" s="270"/>
      <c r="H12770" s="106" t="str">
        <f t="shared" si="1"/>
        <v/>
      </c>
      <c r="J12770" t="str">
        <f>IFERROR(__xludf.DUMMYFUNCTION("IFS(
  AND(REGEXMATCH(E12770, ""台銀籌備帳戶|玉山帳戶""), REGEXMATCH(C12770, ""薪資"")), ""分潤支出"",
  AND(REGEXMATCH(E12770, ""Ben帳戶|Elsa帳戶|Ben代墊|Ariel代墊|中信銀行共用""), REGEXMATCH(F12770, ""Ben帳戶|Elsa帳戶|Ben代墊|Ariel代墊|中信銀行共用"")), ""內部轉帳(忽略)"",
  AND(E12770&lt;&gt;"""", F12770&lt;&gt;"&amp;""""", NOT(REGEXMATCH(C12770, ""薪資""))), ""內部轉帳(忽略)"",
  REGEXMATCH(C12770, ""薪資""), ""薪資變動(不計入)"",
  REGEXMATCH(C12770, ""押金""), ""押金往來"",
  AND(E12770&lt;&gt;"""", F12770=""""), ""真實支出"",
  AND(E12770="""", F12770&lt;&gt;""""), ""真實收入"",
  TRUE, ""其他""
)"),"其他")</f>
        <v>其他</v>
      </c>
      <c r="K12770" s="270" t="str">
        <f t="shared" si="2"/>
        <v/>
      </c>
      <c r="L12770">
        <f t="shared" si="3"/>
        <v>0</v>
      </c>
    </row>
    <row r="12771">
      <c r="A12771" s="107"/>
      <c r="D12771" s="270"/>
      <c r="H12771" s="106" t="str">
        <f t="shared" si="1"/>
        <v/>
      </c>
      <c r="J12771" t="str">
        <f>IFERROR(__xludf.DUMMYFUNCTION("IFS(
  AND(REGEXMATCH(E12771, ""台銀籌備帳戶|玉山帳戶""), REGEXMATCH(C12771, ""薪資"")), ""分潤支出"",
  AND(REGEXMATCH(E12771, ""Ben帳戶|Elsa帳戶|Ben代墊|Ariel代墊|中信銀行共用""), REGEXMATCH(F12771, ""Ben帳戶|Elsa帳戶|Ben代墊|Ariel代墊|中信銀行共用"")), ""內部轉帳(忽略)"",
  AND(E12771&lt;&gt;"""", F12771&lt;&gt;"&amp;""""", NOT(REGEXMATCH(C12771, ""薪資""))), ""內部轉帳(忽略)"",
  REGEXMATCH(C12771, ""薪資""), ""薪資變動(不計入)"",
  REGEXMATCH(C12771, ""押金""), ""押金往來"",
  AND(E12771&lt;&gt;"""", F12771=""""), ""真實支出"",
  AND(E12771="""", F12771&lt;&gt;""""), ""真實收入"",
  TRUE, ""其他""
)"),"其他")</f>
        <v>其他</v>
      </c>
      <c r="K12771" s="270" t="str">
        <f t="shared" si="2"/>
        <v/>
      </c>
      <c r="L12771">
        <f t="shared" si="3"/>
        <v>0</v>
      </c>
    </row>
    <row r="12772">
      <c r="A12772" s="107"/>
      <c r="D12772" s="270"/>
      <c r="H12772" s="106" t="str">
        <f t="shared" si="1"/>
        <v/>
      </c>
      <c r="J12772" t="str">
        <f>IFERROR(__xludf.DUMMYFUNCTION("IFS(
  AND(REGEXMATCH(E12772, ""台銀籌備帳戶|玉山帳戶""), REGEXMATCH(C12772, ""薪資"")), ""分潤支出"",
  AND(REGEXMATCH(E12772, ""Ben帳戶|Elsa帳戶|Ben代墊|Ariel代墊|中信銀行共用""), REGEXMATCH(F12772, ""Ben帳戶|Elsa帳戶|Ben代墊|Ariel代墊|中信銀行共用"")), ""內部轉帳(忽略)"",
  AND(E12772&lt;&gt;"""", F12772&lt;&gt;"&amp;""""", NOT(REGEXMATCH(C12772, ""薪資""))), ""內部轉帳(忽略)"",
  REGEXMATCH(C12772, ""薪資""), ""薪資變動(不計入)"",
  REGEXMATCH(C12772, ""押金""), ""押金往來"",
  AND(E12772&lt;&gt;"""", F12772=""""), ""真實支出"",
  AND(E12772="""", F12772&lt;&gt;""""), ""真實收入"",
  TRUE, ""其他""
)"),"其他")</f>
        <v>其他</v>
      </c>
      <c r="K12772" s="270" t="str">
        <f t="shared" si="2"/>
        <v/>
      </c>
      <c r="L12772">
        <f t="shared" si="3"/>
        <v>0</v>
      </c>
    </row>
    <row r="12773">
      <c r="A12773" s="107"/>
      <c r="D12773" s="270"/>
      <c r="H12773" s="106" t="str">
        <f t="shared" si="1"/>
        <v/>
      </c>
      <c r="J12773" t="str">
        <f>IFERROR(__xludf.DUMMYFUNCTION("IFS(
  AND(REGEXMATCH(E12773, ""台銀籌備帳戶|玉山帳戶""), REGEXMATCH(C12773, ""薪資"")), ""分潤支出"",
  AND(REGEXMATCH(E12773, ""Ben帳戶|Elsa帳戶|Ben代墊|Ariel代墊|中信銀行共用""), REGEXMATCH(F12773, ""Ben帳戶|Elsa帳戶|Ben代墊|Ariel代墊|中信銀行共用"")), ""內部轉帳(忽略)"",
  AND(E12773&lt;&gt;"""", F12773&lt;&gt;"&amp;""""", NOT(REGEXMATCH(C12773, ""薪資""))), ""內部轉帳(忽略)"",
  REGEXMATCH(C12773, ""薪資""), ""薪資變動(不計入)"",
  REGEXMATCH(C12773, ""押金""), ""押金往來"",
  AND(E12773&lt;&gt;"""", F12773=""""), ""真實支出"",
  AND(E12773="""", F12773&lt;&gt;""""), ""真實收入"",
  TRUE, ""其他""
)"),"其他")</f>
        <v>其他</v>
      </c>
      <c r="K12773" s="270" t="str">
        <f t="shared" si="2"/>
        <v/>
      </c>
      <c r="L12773">
        <f t="shared" si="3"/>
        <v>0</v>
      </c>
    </row>
    <row r="12774">
      <c r="A12774" s="107"/>
      <c r="D12774" s="270"/>
      <c r="H12774" s="106" t="str">
        <f t="shared" si="1"/>
        <v/>
      </c>
      <c r="J12774" t="str">
        <f>IFERROR(__xludf.DUMMYFUNCTION("IFS(
  AND(REGEXMATCH(E12774, ""台銀籌備帳戶|玉山帳戶""), REGEXMATCH(C12774, ""薪資"")), ""分潤支出"",
  AND(REGEXMATCH(E12774, ""Ben帳戶|Elsa帳戶|Ben代墊|Ariel代墊|中信銀行共用""), REGEXMATCH(F12774, ""Ben帳戶|Elsa帳戶|Ben代墊|Ariel代墊|中信銀行共用"")), ""內部轉帳(忽略)"",
  AND(E12774&lt;&gt;"""", F12774&lt;&gt;"&amp;""""", NOT(REGEXMATCH(C12774, ""薪資""))), ""內部轉帳(忽略)"",
  REGEXMATCH(C12774, ""薪資""), ""薪資變動(不計入)"",
  REGEXMATCH(C12774, ""押金""), ""押金往來"",
  AND(E12774&lt;&gt;"""", F12774=""""), ""真實支出"",
  AND(E12774="""", F12774&lt;&gt;""""), ""真實收入"",
  TRUE, ""其他""
)"),"其他")</f>
        <v>其他</v>
      </c>
      <c r="K12774" s="270" t="str">
        <f t="shared" si="2"/>
        <v/>
      </c>
      <c r="L12774">
        <f t="shared" si="3"/>
        <v>0</v>
      </c>
    </row>
    <row r="12775">
      <c r="A12775" s="107"/>
      <c r="D12775" s="270"/>
      <c r="H12775" s="106" t="str">
        <f t="shared" si="1"/>
        <v/>
      </c>
      <c r="J12775" t="str">
        <f>IFERROR(__xludf.DUMMYFUNCTION("IFS(
  AND(REGEXMATCH(E12775, ""台銀籌備帳戶|玉山帳戶""), REGEXMATCH(C12775, ""薪資"")), ""分潤支出"",
  AND(REGEXMATCH(E12775, ""Ben帳戶|Elsa帳戶|Ben代墊|Ariel代墊|中信銀行共用""), REGEXMATCH(F12775, ""Ben帳戶|Elsa帳戶|Ben代墊|Ariel代墊|中信銀行共用"")), ""內部轉帳(忽略)"",
  AND(E12775&lt;&gt;"""", F12775&lt;&gt;"&amp;""""", NOT(REGEXMATCH(C12775, ""薪資""))), ""內部轉帳(忽略)"",
  REGEXMATCH(C12775, ""薪資""), ""薪資變動(不計入)"",
  REGEXMATCH(C12775, ""押金""), ""押金往來"",
  AND(E12775&lt;&gt;"""", F12775=""""), ""真實支出"",
  AND(E12775="""", F12775&lt;&gt;""""), ""真實收入"",
  TRUE, ""其他""
)"),"其他")</f>
        <v>其他</v>
      </c>
      <c r="K12775" s="270" t="str">
        <f t="shared" si="2"/>
        <v/>
      </c>
      <c r="L12775">
        <f t="shared" si="3"/>
        <v>0</v>
      </c>
    </row>
    <row r="12776">
      <c r="A12776" s="107"/>
      <c r="D12776" s="270"/>
      <c r="H12776" s="106" t="str">
        <f t="shared" si="1"/>
        <v/>
      </c>
      <c r="J12776" t="str">
        <f>IFERROR(__xludf.DUMMYFUNCTION("IFS(
  AND(REGEXMATCH(E12776, ""台銀籌備帳戶|玉山帳戶""), REGEXMATCH(C12776, ""薪資"")), ""分潤支出"",
  AND(REGEXMATCH(E12776, ""Ben帳戶|Elsa帳戶|Ben代墊|Ariel代墊|中信銀行共用""), REGEXMATCH(F12776, ""Ben帳戶|Elsa帳戶|Ben代墊|Ariel代墊|中信銀行共用"")), ""內部轉帳(忽略)"",
  AND(E12776&lt;&gt;"""", F12776&lt;&gt;"&amp;""""", NOT(REGEXMATCH(C12776, ""薪資""))), ""內部轉帳(忽略)"",
  REGEXMATCH(C12776, ""薪資""), ""薪資變動(不計入)"",
  REGEXMATCH(C12776, ""押金""), ""押金往來"",
  AND(E12776&lt;&gt;"""", F12776=""""), ""真實支出"",
  AND(E12776="""", F12776&lt;&gt;""""), ""真實收入"",
  TRUE, ""其他""
)"),"其他")</f>
        <v>其他</v>
      </c>
      <c r="K12776" s="270" t="str">
        <f t="shared" si="2"/>
        <v/>
      </c>
      <c r="L12776">
        <f t="shared" si="3"/>
        <v>0</v>
      </c>
    </row>
    <row r="12777">
      <c r="A12777" s="107"/>
      <c r="D12777" s="270"/>
      <c r="H12777" s="106" t="str">
        <f t="shared" si="1"/>
        <v/>
      </c>
      <c r="J12777" t="str">
        <f>IFERROR(__xludf.DUMMYFUNCTION("IFS(
  AND(REGEXMATCH(E12777, ""台銀籌備帳戶|玉山帳戶""), REGEXMATCH(C12777, ""薪資"")), ""分潤支出"",
  AND(REGEXMATCH(E12777, ""Ben帳戶|Elsa帳戶|Ben代墊|Ariel代墊|中信銀行共用""), REGEXMATCH(F12777, ""Ben帳戶|Elsa帳戶|Ben代墊|Ariel代墊|中信銀行共用"")), ""內部轉帳(忽略)"",
  AND(E12777&lt;&gt;"""", F12777&lt;&gt;"&amp;""""", NOT(REGEXMATCH(C12777, ""薪資""))), ""內部轉帳(忽略)"",
  REGEXMATCH(C12777, ""薪資""), ""薪資變動(不計入)"",
  REGEXMATCH(C12777, ""押金""), ""押金往來"",
  AND(E12777&lt;&gt;"""", F12777=""""), ""真實支出"",
  AND(E12777="""", F12777&lt;&gt;""""), ""真實收入"",
  TRUE, ""其他""
)"),"其他")</f>
        <v>其他</v>
      </c>
      <c r="K12777" s="270" t="str">
        <f t="shared" si="2"/>
        <v/>
      </c>
      <c r="L12777">
        <f t="shared" si="3"/>
        <v>0</v>
      </c>
    </row>
    <row r="12778">
      <c r="A12778" s="107"/>
      <c r="D12778" s="270"/>
      <c r="H12778" s="106" t="str">
        <f t="shared" si="1"/>
        <v/>
      </c>
      <c r="J12778" t="str">
        <f>IFERROR(__xludf.DUMMYFUNCTION("IFS(
  AND(REGEXMATCH(E12778, ""台銀籌備帳戶|玉山帳戶""), REGEXMATCH(C12778, ""薪資"")), ""分潤支出"",
  AND(REGEXMATCH(E12778, ""Ben帳戶|Elsa帳戶|Ben代墊|Ariel代墊|中信銀行共用""), REGEXMATCH(F12778, ""Ben帳戶|Elsa帳戶|Ben代墊|Ariel代墊|中信銀行共用"")), ""內部轉帳(忽略)"",
  AND(E12778&lt;&gt;"""", F12778&lt;&gt;"&amp;""""", NOT(REGEXMATCH(C12778, ""薪資""))), ""內部轉帳(忽略)"",
  REGEXMATCH(C12778, ""薪資""), ""薪資變動(不計入)"",
  REGEXMATCH(C12778, ""押金""), ""押金往來"",
  AND(E12778&lt;&gt;"""", F12778=""""), ""真實支出"",
  AND(E12778="""", F12778&lt;&gt;""""), ""真實收入"",
  TRUE, ""其他""
)"),"其他")</f>
        <v>其他</v>
      </c>
      <c r="K12778" s="270" t="str">
        <f t="shared" si="2"/>
        <v/>
      </c>
      <c r="L12778">
        <f t="shared" si="3"/>
        <v>0</v>
      </c>
    </row>
    <row r="12779">
      <c r="A12779" s="107"/>
      <c r="D12779" s="270"/>
      <c r="H12779" s="106" t="str">
        <f t="shared" si="1"/>
        <v/>
      </c>
      <c r="J12779" t="str">
        <f>IFERROR(__xludf.DUMMYFUNCTION("IFS(
  AND(REGEXMATCH(E12779, ""台銀籌備帳戶|玉山帳戶""), REGEXMATCH(C12779, ""薪資"")), ""分潤支出"",
  AND(REGEXMATCH(E12779, ""Ben帳戶|Elsa帳戶|Ben代墊|Ariel代墊|中信銀行共用""), REGEXMATCH(F12779, ""Ben帳戶|Elsa帳戶|Ben代墊|Ariel代墊|中信銀行共用"")), ""內部轉帳(忽略)"",
  AND(E12779&lt;&gt;"""", F12779&lt;&gt;"&amp;""""", NOT(REGEXMATCH(C12779, ""薪資""))), ""內部轉帳(忽略)"",
  REGEXMATCH(C12779, ""薪資""), ""薪資變動(不計入)"",
  REGEXMATCH(C12779, ""押金""), ""押金往來"",
  AND(E12779&lt;&gt;"""", F12779=""""), ""真實支出"",
  AND(E12779="""", F12779&lt;&gt;""""), ""真實收入"",
  TRUE, ""其他""
)"),"其他")</f>
        <v>其他</v>
      </c>
      <c r="K12779" s="270" t="str">
        <f t="shared" si="2"/>
        <v/>
      </c>
      <c r="L12779">
        <f t="shared" si="3"/>
        <v>0</v>
      </c>
    </row>
    <row r="12780">
      <c r="A12780" s="107"/>
      <c r="D12780" s="270"/>
      <c r="H12780" s="106" t="str">
        <f t="shared" si="1"/>
        <v/>
      </c>
      <c r="J12780" t="str">
        <f>IFERROR(__xludf.DUMMYFUNCTION("IFS(
  AND(REGEXMATCH(E12780, ""台銀籌備帳戶|玉山帳戶""), REGEXMATCH(C12780, ""薪資"")), ""分潤支出"",
  AND(REGEXMATCH(E12780, ""Ben帳戶|Elsa帳戶|Ben代墊|Ariel代墊|中信銀行共用""), REGEXMATCH(F12780, ""Ben帳戶|Elsa帳戶|Ben代墊|Ariel代墊|中信銀行共用"")), ""內部轉帳(忽略)"",
  AND(E12780&lt;&gt;"""", F12780&lt;&gt;"&amp;""""", NOT(REGEXMATCH(C12780, ""薪資""))), ""內部轉帳(忽略)"",
  REGEXMATCH(C12780, ""薪資""), ""薪資變動(不計入)"",
  REGEXMATCH(C12780, ""押金""), ""押金往來"",
  AND(E12780&lt;&gt;"""", F12780=""""), ""真實支出"",
  AND(E12780="""", F12780&lt;&gt;""""), ""真實收入"",
  TRUE, ""其他""
)"),"其他")</f>
        <v>其他</v>
      </c>
      <c r="K12780" s="270" t="str">
        <f t="shared" si="2"/>
        <v/>
      </c>
      <c r="L12780">
        <f t="shared" si="3"/>
        <v>0</v>
      </c>
    </row>
    <row r="12781">
      <c r="A12781" s="107"/>
      <c r="D12781" s="270"/>
      <c r="H12781" s="106" t="str">
        <f t="shared" si="1"/>
        <v/>
      </c>
      <c r="J12781" t="str">
        <f>IFERROR(__xludf.DUMMYFUNCTION("IFS(
  AND(REGEXMATCH(E12781, ""台銀籌備帳戶|玉山帳戶""), REGEXMATCH(C12781, ""薪資"")), ""分潤支出"",
  AND(REGEXMATCH(E12781, ""Ben帳戶|Elsa帳戶|Ben代墊|Ariel代墊|中信銀行共用""), REGEXMATCH(F12781, ""Ben帳戶|Elsa帳戶|Ben代墊|Ariel代墊|中信銀行共用"")), ""內部轉帳(忽略)"",
  AND(E12781&lt;&gt;"""", F12781&lt;&gt;"&amp;""""", NOT(REGEXMATCH(C12781, ""薪資""))), ""內部轉帳(忽略)"",
  REGEXMATCH(C12781, ""薪資""), ""薪資變動(不計入)"",
  REGEXMATCH(C12781, ""押金""), ""押金往來"",
  AND(E12781&lt;&gt;"""", F12781=""""), ""真實支出"",
  AND(E12781="""", F12781&lt;&gt;""""), ""真實收入"",
  TRUE, ""其他""
)"),"其他")</f>
        <v>其他</v>
      </c>
      <c r="K12781" s="270" t="str">
        <f t="shared" si="2"/>
        <v/>
      </c>
      <c r="L12781">
        <f t="shared" si="3"/>
        <v>0</v>
      </c>
    </row>
    <row r="12782">
      <c r="A12782" s="107"/>
      <c r="D12782" s="270"/>
      <c r="H12782" s="106" t="str">
        <f t="shared" si="1"/>
        <v/>
      </c>
      <c r="J12782" t="str">
        <f>IFERROR(__xludf.DUMMYFUNCTION("IFS(
  AND(REGEXMATCH(E12782, ""台銀籌備帳戶|玉山帳戶""), REGEXMATCH(C12782, ""薪資"")), ""分潤支出"",
  AND(REGEXMATCH(E12782, ""Ben帳戶|Elsa帳戶|Ben代墊|Ariel代墊|中信銀行共用""), REGEXMATCH(F12782, ""Ben帳戶|Elsa帳戶|Ben代墊|Ariel代墊|中信銀行共用"")), ""內部轉帳(忽略)"",
  AND(E12782&lt;&gt;"""", F12782&lt;&gt;"&amp;""""", NOT(REGEXMATCH(C12782, ""薪資""))), ""內部轉帳(忽略)"",
  REGEXMATCH(C12782, ""薪資""), ""薪資變動(不計入)"",
  REGEXMATCH(C12782, ""押金""), ""押金往來"",
  AND(E12782&lt;&gt;"""", F12782=""""), ""真實支出"",
  AND(E12782="""", F12782&lt;&gt;""""), ""真實收入"",
  TRUE, ""其他""
)"),"其他")</f>
        <v>其他</v>
      </c>
      <c r="K12782" s="270" t="str">
        <f t="shared" si="2"/>
        <v/>
      </c>
      <c r="L12782">
        <f t="shared" si="3"/>
        <v>0</v>
      </c>
    </row>
    <row r="12783">
      <c r="A12783" s="107"/>
      <c r="D12783" s="270"/>
      <c r="H12783" s="106" t="str">
        <f t="shared" si="1"/>
        <v/>
      </c>
      <c r="J12783" t="str">
        <f>IFERROR(__xludf.DUMMYFUNCTION("IFS(
  AND(REGEXMATCH(E12783, ""台銀籌備帳戶|玉山帳戶""), REGEXMATCH(C12783, ""薪資"")), ""分潤支出"",
  AND(REGEXMATCH(E12783, ""Ben帳戶|Elsa帳戶|Ben代墊|Ariel代墊|中信銀行共用""), REGEXMATCH(F12783, ""Ben帳戶|Elsa帳戶|Ben代墊|Ariel代墊|中信銀行共用"")), ""內部轉帳(忽略)"",
  AND(E12783&lt;&gt;"""", F12783&lt;&gt;"&amp;""""", NOT(REGEXMATCH(C12783, ""薪資""))), ""內部轉帳(忽略)"",
  REGEXMATCH(C12783, ""薪資""), ""薪資變動(不計入)"",
  REGEXMATCH(C12783, ""押金""), ""押金往來"",
  AND(E12783&lt;&gt;"""", F12783=""""), ""真實支出"",
  AND(E12783="""", F12783&lt;&gt;""""), ""真實收入"",
  TRUE, ""其他""
)"),"其他")</f>
        <v>其他</v>
      </c>
      <c r="K12783" s="270" t="str">
        <f t="shared" si="2"/>
        <v/>
      </c>
      <c r="L12783">
        <f t="shared" si="3"/>
        <v>0</v>
      </c>
    </row>
    <row r="12784">
      <c r="A12784" s="107"/>
      <c r="D12784" s="270"/>
      <c r="H12784" s="106" t="str">
        <f t="shared" si="1"/>
        <v/>
      </c>
      <c r="J12784" t="str">
        <f>IFERROR(__xludf.DUMMYFUNCTION("IFS(
  AND(REGEXMATCH(E12784, ""台銀籌備帳戶|玉山帳戶""), REGEXMATCH(C12784, ""薪資"")), ""分潤支出"",
  AND(REGEXMATCH(E12784, ""Ben帳戶|Elsa帳戶|Ben代墊|Ariel代墊|中信銀行共用""), REGEXMATCH(F12784, ""Ben帳戶|Elsa帳戶|Ben代墊|Ariel代墊|中信銀行共用"")), ""內部轉帳(忽略)"",
  AND(E12784&lt;&gt;"""", F12784&lt;&gt;"&amp;""""", NOT(REGEXMATCH(C12784, ""薪資""))), ""內部轉帳(忽略)"",
  REGEXMATCH(C12784, ""薪資""), ""薪資變動(不計入)"",
  REGEXMATCH(C12784, ""押金""), ""押金往來"",
  AND(E12784&lt;&gt;"""", F12784=""""), ""真實支出"",
  AND(E12784="""", F12784&lt;&gt;""""), ""真實收入"",
  TRUE, ""其他""
)"),"其他")</f>
        <v>其他</v>
      </c>
      <c r="K12784" s="270" t="str">
        <f t="shared" si="2"/>
        <v/>
      </c>
      <c r="L12784">
        <f t="shared" si="3"/>
        <v>0</v>
      </c>
    </row>
    <row r="12785">
      <c r="A12785" s="107"/>
      <c r="D12785" s="270"/>
      <c r="H12785" s="106" t="str">
        <f t="shared" si="1"/>
        <v/>
      </c>
      <c r="J12785" t="str">
        <f>IFERROR(__xludf.DUMMYFUNCTION("IFS(
  AND(REGEXMATCH(E12785, ""台銀籌備帳戶|玉山帳戶""), REGEXMATCH(C12785, ""薪資"")), ""分潤支出"",
  AND(REGEXMATCH(E12785, ""Ben帳戶|Elsa帳戶|Ben代墊|Ariel代墊|中信銀行共用""), REGEXMATCH(F12785, ""Ben帳戶|Elsa帳戶|Ben代墊|Ariel代墊|中信銀行共用"")), ""內部轉帳(忽略)"",
  AND(E12785&lt;&gt;"""", F12785&lt;&gt;"&amp;""""", NOT(REGEXMATCH(C12785, ""薪資""))), ""內部轉帳(忽略)"",
  REGEXMATCH(C12785, ""薪資""), ""薪資變動(不計入)"",
  REGEXMATCH(C12785, ""押金""), ""押金往來"",
  AND(E12785&lt;&gt;"""", F12785=""""), ""真實支出"",
  AND(E12785="""", F12785&lt;&gt;""""), ""真實收入"",
  TRUE, ""其他""
)"),"其他")</f>
        <v>其他</v>
      </c>
      <c r="K12785" s="270" t="str">
        <f t="shared" si="2"/>
        <v/>
      </c>
      <c r="L12785">
        <f t="shared" si="3"/>
        <v>0</v>
      </c>
    </row>
    <row r="12786">
      <c r="A12786" s="107"/>
      <c r="D12786" s="270"/>
      <c r="H12786" s="106" t="str">
        <f t="shared" si="1"/>
        <v/>
      </c>
      <c r="J12786" t="str">
        <f>IFERROR(__xludf.DUMMYFUNCTION("IFS(
  AND(REGEXMATCH(E12786, ""台銀籌備帳戶|玉山帳戶""), REGEXMATCH(C12786, ""薪資"")), ""分潤支出"",
  AND(REGEXMATCH(E12786, ""Ben帳戶|Elsa帳戶|Ben代墊|Ariel代墊|中信銀行共用""), REGEXMATCH(F12786, ""Ben帳戶|Elsa帳戶|Ben代墊|Ariel代墊|中信銀行共用"")), ""內部轉帳(忽略)"",
  AND(E12786&lt;&gt;"""", F12786&lt;&gt;"&amp;""""", NOT(REGEXMATCH(C12786, ""薪資""))), ""內部轉帳(忽略)"",
  REGEXMATCH(C12786, ""薪資""), ""薪資變動(不計入)"",
  REGEXMATCH(C12786, ""押金""), ""押金往來"",
  AND(E12786&lt;&gt;"""", F12786=""""), ""真實支出"",
  AND(E12786="""", F12786&lt;&gt;""""), ""真實收入"",
  TRUE, ""其他""
)"),"其他")</f>
        <v>其他</v>
      </c>
      <c r="K12786" s="270" t="str">
        <f t="shared" si="2"/>
        <v/>
      </c>
      <c r="L12786">
        <f t="shared" si="3"/>
        <v>0</v>
      </c>
    </row>
    <row r="12787">
      <c r="A12787" s="107"/>
      <c r="D12787" s="270"/>
      <c r="H12787" s="106" t="str">
        <f t="shared" si="1"/>
        <v/>
      </c>
      <c r="J12787" t="str">
        <f>IFERROR(__xludf.DUMMYFUNCTION("IFS(
  AND(REGEXMATCH(E12787, ""台銀籌備帳戶|玉山帳戶""), REGEXMATCH(C12787, ""薪資"")), ""分潤支出"",
  AND(REGEXMATCH(E12787, ""Ben帳戶|Elsa帳戶|Ben代墊|Ariel代墊|中信銀行共用""), REGEXMATCH(F12787, ""Ben帳戶|Elsa帳戶|Ben代墊|Ariel代墊|中信銀行共用"")), ""內部轉帳(忽略)"",
  AND(E12787&lt;&gt;"""", F12787&lt;&gt;"&amp;""""", NOT(REGEXMATCH(C12787, ""薪資""))), ""內部轉帳(忽略)"",
  REGEXMATCH(C12787, ""薪資""), ""薪資變動(不計入)"",
  REGEXMATCH(C12787, ""押金""), ""押金往來"",
  AND(E12787&lt;&gt;"""", F12787=""""), ""真實支出"",
  AND(E12787="""", F12787&lt;&gt;""""), ""真實收入"",
  TRUE, ""其他""
)"),"其他")</f>
        <v>其他</v>
      </c>
      <c r="K12787" s="270" t="str">
        <f t="shared" si="2"/>
        <v/>
      </c>
      <c r="L12787">
        <f t="shared" si="3"/>
        <v>0</v>
      </c>
    </row>
    <row r="12788">
      <c r="A12788" s="107"/>
      <c r="D12788" s="270"/>
      <c r="H12788" s="106" t="str">
        <f t="shared" si="1"/>
        <v/>
      </c>
      <c r="J12788" t="str">
        <f>IFERROR(__xludf.DUMMYFUNCTION("IFS(
  AND(REGEXMATCH(E12788, ""台銀籌備帳戶|玉山帳戶""), REGEXMATCH(C12788, ""薪資"")), ""分潤支出"",
  AND(REGEXMATCH(E12788, ""Ben帳戶|Elsa帳戶|Ben代墊|Ariel代墊|中信銀行共用""), REGEXMATCH(F12788, ""Ben帳戶|Elsa帳戶|Ben代墊|Ariel代墊|中信銀行共用"")), ""內部轉帳(忽略)"",
  AND(E12788&lt;&gt;"""", F12788&lt;&gt;"&amp;""""", NOT(REGEXMATCH(C12788, ""薪資""))), ""內部轉帳(忽略)"",
  REGEXMATCH(C12788, ""薪資""), ""薪資變動(不計入)"",
  REGEXMATCH(C12788, ""押金""), ""押金往來"",
  AND(E12788&lt;&gt;"""", F12788=""""), ""真實支出"",
  AND(E12788="""", F12788&lt;&gt;""""), ""真實收入"",
  TRUE, ""其他""
)"),"其他")</f>
        <v>其他</v>
      </c>
      <c r="K12788" s="270" t="str">
        <f t="shared" si="2"/>
        <v/>
      </c>
      <c r="L12788">
        <f t="shared" si="3"/>
        <v>0</v>
      </c>
    </row>
    <row r="12789">
      <c r="A12789" s="107"/>
      <c r="D12789" s="270"/>
      <c r="H12789" s="106" t="str">
        <f t="shared" si="1"/>
        <v/>
      </c>
      <c r="J12789" t="str">
        <f>IFERROR(__xludf.DUMMYFUNCTION("IFS(
  AND(REGEXMATCH(E12789, ""台銀籌備帳戶|玉山帳戶""), REGEXMATCH(C12789, ""薪資"")), ""分潤支出"",
  AND(REGEXMATCH(E12789, ""Ben帳戶|Elsa帳戶|Ben代墊|Ariel代墊|中信銀行共用""), REGEXMATCH(F12789, ""Ben帳戶|Elsa帳戶|Ben代墊|Ariel代墊|中信銀行共用"")), ""內部轉帳(忽略)"",
  AND(E12789&lt;&gt;"""", F12789&lt;&gt;"&amp;""""", NOT(REGEXMATCH(C12789, ""薪資""))), ""內部轉帳(忽略)"",
  REGEXMATCH(C12789, ""薪資""), ""薪資變動(不計入)"",
  REGEXMATCH(C12789, ""押金""), ""押金往來"",
  AND(E12789&lt;&gt;"""", F12789=""""), ""真實支出"",
  AND(E12789="""", F12789&lt;&gt;""""), ""真實收入"",
  TRUE, ""其他""
)"),"其他")</f>
        <v>其他</v>
      </c>
      <c r="K12789" s="270" t="str">
        <f t="shared" si="2"/>
        <v/>
      </c>
      <c r="L12789">
        <f t="shared" si="3"/>
        <v>0</v>
      </c>
    </row>
    <row r="12790">
      <c r="A12790" s="107"/>
      <c r="D12790" s="270"/>
      <c r="H12790" s="106" t="str">
        <f t="shared" si="1"/>
        <v/>
      </c>
      <c r="J12790" t="str">
        <f>IFERROR(__xludf.DUMMYFUNCTION("IFS(
  AND(REGEXMATCH(E12790, ""台銀籌備帳戶|玉山帳戶""), REGEXMATCH(C12790, ""薪資"")), ""分潤支出"",
  AND(REGEXMATCH(E12790, ""Ben帳戶|Elsa帳戶|Ben代墊|Ariel代墊|中信銀行共用""), REGEXMATCH(F12790, ""Ben帳戶|Elsa帳戶|Ben代墊|Ariel代墊|中信銀行共用"")), ""內部轉帳(忽略)"",
  AND(E12790&lt;&gt;"""", F12790&lt;&gt;"&amp;""""", NOT(REGEXMATCH(C12790, ""薪資""))), ""內部轉帳(忽略)"",
  REGEXMATCH(C12790, ""薪資""), ""薪資變動(不計入)"",
  REGEXMATCH(C12790, ""押金""), ""押金往來"",
  AND(E12790&lt;&gt;"""", F12790=""""), ""真實支出"",
  AND(E12790="""", F12790&lt;&gt;""""), ""真實收入"",
  TRUE, ""其他""
)"),"其他")</f>
        <v>其他</v>
      </c>
      <c r="K12790" s="270" t="str">
        <f t="shared" si="2"/>
        <v/>
      </c>
      <c r="L12790">
        <f t="shared" si="3"/>
        <v>0</v>
      </c>
    </row>
    <row r="12791">
      <c r="A12791" s="107"/>
      <c r="D12791" s="270"/>
      <c r="H12791" s="106" t="str">
        <f t="shared" si="1"/>
        <v/>
      </c>
      <c r="J12791" t="str">
        <f>IFERROR(__xludf.DUMMYFUNCTION("IFS(
  AND(REGEXMATCH(E12791, ""台銀籌備帳戶|玉山帳戶""), REGEXMATCH(C12791, ""薪資"")), ""分潤支出"",
  AND(REGEXMATCH(E12791, ""Ben帳戶|Elsa帳戶|Ben代墊|Ariel代墊|中信銀行共用""), REGEXMATCH(F12791, ""Ben帳戶|Elsa帳戶|Ben代墊|Ariel代墊|中信銀行共用"")), ""內部轉帳(忽略)"",
  AND(E12791&lt;&gt;"""", F12791&lt;&gt;"&amp;""""", NOT(REGEXMATCH(C12791, ""薪資""))), ""內部轉帳(忽略)"",
  REGEXMATCH(C12791, ""薪資""), ""薪資變動(不計入)"",
  REGEXMATCH(C12791, ""押金""), ""押金往來"",
  AND(E12791&lt;&gt;"""", F12791=""""), ""真實支出"",
  AND(E12791="""", F12791&lt;&gt;""""), ""真實收入"",
  TRUE, ""其他""
)"),"其他")</f>
        <v>其他</v>
      </c>
      <c r="K12791" s="270" t="str">
        <f t="shared" si="2"/>
        <v/>
      </c>
      <c r="L12791">
        <f t="shared" si="3"/>
        <v>0</v>
      </c>
    </row>
    <row r="12792">
      <c r="A12792" s="107"/>
      <c r="D12792" s="270"/>
      <c r="H12792" s="106" t="str">
        <f t="shared" si="1"/>
        <v/>
      </c>
      <c r="J12792" t="str">
        <f>IFERROR(__xludf.DUMMYFUNCTION("IFS(
  AND(REGEXMATCH(E12792, ""台銀籌備帳戶|玉山帳戶""), REGEXMATCH(C12792, ""薪資"")), ""分潤支出"",
  AND(REGEXMATCH(E12792, ""Ben帳戶|Elsa帳戶|Ben代墊|Ariel代墊|中信銀行共用""), REGEXMATCH(F12792, ""Ben帳戶|Elsa帳戶|Ben代墊|Ariel代墊|中信銀行共用"")), ""內部轉帳(忽略)"",
  AND(E12792&lt;&gt;"""", F12792&lt;&gt;"&amp;""""", NOT(REGEXMATCH(C12792, ""薪資""))), ""內部轉帳(忽略)"",
  REGEXMATCH(C12792, ""薪資""), ""薪資變動(不計入)"",
  REGEXMATCH(C12792, ""押金""), ""押金往來"",
  AND(E12792&lt;&gt;"""", F12792=""""), ""真實支出"",
  AND(E12792="""", F12792&lt;&gt;""""), ""真實收入"",
  TRUE, ""其他""
)"),"其他")</f>
        <v>其他</v>
      </c>
      <c r="K12792" s="270" t="str">
        <f t="shared" si="2"/>
        <v/>
      </c>
      <c r="L12792">
        <f t="shared" si="3"/>
        <v>0</v>
      </c>
    </row>
    <row r="12793">
      <c r="A12793" s="107"/>
      <c r="D12793" s="270"/>
      <c r="H12793" s="106" t="str">
        <f t="shared" si="1"/>
        <v/>
      </c>
      <c r="J12793" t="str">
        <f>IFERROR(__xludf.DUMMYFUNCTION("IFS(
  AND(REGEXMATCH(E12793, ""台銀籌備帳戶|玉山帳戶""), REGEXMATCH(C12793, ""薪資"")), ""分潤支出"",
  AND(REGEXMATCH(E12793, ""Ben帳戶|Elsa帳戶|Ben代墊|Ariel代墊|中信銀行共用""), REGEXMATCH(F12793, ""Ben帳戶|Elsa帳戶|Ben代墊|Ariel代墊|中信銀行共用"")), ""內部轉帳(忽略)"",
  AND(E12793&lt;&gt;"""", F12793&lt;&gt;"&amp;""""", NOT(REGEXMATCH(C12793, ""薪資""))), ""內部轉帳(忽略)"",
  REGEXMATCH(C12793, ""薪資""), ""薪資變動(不計入)"",
  REGEXMATCH(C12793, ""押金""), ""押金往來"",
  AND(E12793&lt;&gt;"""", F12793=""""), ""真實支出"",
  AND(E12793="""", F12793&lt;&gt;""""), ""真實收入"",
  TRUE, ""其他""
)"),"其他")</f>
        <v>其他</v>
      </c>
      <c r="K12793" s="270" t="str">
        <f t="shared" si="2"/>
        <v/>
      </c>
      <c r="L12793">
        <f t="shared" si="3"/>
        <v>0</v>
      </c>
    </row>
    <row r="12794">
      <c r="A12794" s="107"/>
      <c r="D12794" s="270"/>
      <c r="H12794" s="106" t="str">
        <f t="shared" si="1"/>
        <v/>
      </c>
      <c r="J12794" t="str">
        <f>IFERROR(__xludf.DUMMYFUNCTION("IFS(
  AND(REGEXMATCH(E12794, ""台銀籌備帳戶|玉山帳戶""), REGEXMATCH(C12794, ""薪資"")), ""分潤支出"",
  AND(REGEXMATCH(E12794, ""Ben帳戶|Elsa帳戶|Ben代墊|Ariel代墊|中信銀行共用""), REGEXMATCH(F12794, ""Ben帳戶|Elsa帳戶|Ben代墊|Ariel代墊|中信銀行共用"")), ""內部轉帳(忽略)"",
  AND(E12794&lt;&gt;"""", F12794&lt;&gt;"&amp;""""", NOT(REGEXMATCH(C12794, ""薪資""))), ""內部轉帳(忽略)"",
  REGEXMATCH(C12794, ""薪資""), ""薪資變動(不計入)"",
  REGEXMATCH(C12794, ""押金""), ""押金往來"",
  AND(E12794&lt;&gt;"""", F12794=""""), ""真實支出"",
  AND(E12794="""", F12794&lt;&gt;""""), ""真實收入"",
  TRUE, ""其他""
)"),"其他")</f>
        <v>其他</v>
      </c>
      <c r="K12794" s="270" t="str">
        <f t="shared" si="2"/>
        <v/>
      </c>
      <c r="L12794">
        <f t="shared" si="3"/>
        <v>0</v>
      </c>
    </row>
    <row r="12795">
      <c r="A12795" s="107"/>
      <c r="D12795" s="270"/>
      <c r="H12795" s="106" t="str">
        <f t="shared" si="1"/>
        <v/>
      </c>
      <c r="J12795" t="str">
        <f>IFERROR(__xludf.DUMMYFUNCTION("IFS(
  AND(REGEXMATCH(E12795, ""台銀籌備帳戶|玉山帳戶""), REGEXMATCH(C12795, ""薪資"")), ""分潤支出"",
  AND(REGEXMATCH(E12795, ""Ben帳戶|Elsa帳戶|Ben代墊|Ariel代墊|中信銀行共用""), REGEXMATCH(F12795, ""Ben帳戶|Elsa帳戶|Ben代墊|Ariel代墊|中信銀行共用"")), ""內部轉帳(忽略)"",
  AND(E12795&lt;&gt;"""", F12795&lt;&gt;"&amp;""""", NOT(REGEXMATCH(C12795, ""薪資""))), ""內部轉帳(忽略)"",
  REGEXMATCH(C12795, ""薪資""), ""薪資變動(不計入)"",
  REGEXMATCH(C12795, ""押金""), ""押金往來"",
  AND(E12795&lt;&gt;"""", F12795=""""), ""真實支出"",
  AND(E12795="""", F12795&lt;&gt;""""), ""真實收入"",
  TRUE, ""其他""
)"),"其他")</f>
        <v>其他</v>
      </c>
      <c r="K12795" s="270" t="str">
        <f t="shared" si="2"/>
        <v/>
      </c>
      <c r="L12795">
        <f t="shared" si="3"/>
        <v>0</v>
      </c>
    </row>
    <row r="12796">
      <c r="A12796" s="107"/>
      <c r="D12796" s="270"/>
      <c r="H12796" s="106" t="str">
        <f t="shared" si="1"/>
        <v/>
      </c>
      <c r="J12796" t="str">
        <f>IFERROR(__xludf.DUMMYFUNCTION("IFS(
  AND(REGEXMATCH(E12796, ""台銀籌備帳戶|玉山帳戶""), REGEXMATCH(C12796, ""薪資"")), ""分潤支出"",
  AND(REGEXMATCH(E12796, ""Ben帳戶|Elsa帳戶|Ben代墊|Ariel代墊|中信銀行共用""), REGEXMATCH(F12796, ""Ben帳戶|Elsa帳戶|Ben代墊|Ariel代墊|中信銀行共用"")), ""內部轉帳(忽略)"",
  AND(E12796&lt;&gt;"""", F12796&lt;&gt;"&amp;""""", NOT(REGEXMATCH(C12796, ""薪資""))), ""內部轉帳(忽略)"",
  REGEXMATCH(C12796, ""薪資""), ""薪資變動(不計入)"",
  REGEXMATCH(C12796, ""押金""), ""押金往來"",
  AND(E12796&lt;&gt;"""", F12796=""""), ""真實支出"",
  AND(E12796="""", F12796&lt;&gt;""""), ""真實收入"",
  TRUE, ""其他""
)"),"其他")</f>
        <v>其他</v>
      </c>
      <c r="K12796" s="270" t="str">
        <f t="shared" si="2"/>
        <v/>
      </c>
      <c r="L12796">
        <f t="shared" si="3"/>
        <v>0</v>
      </c>
    </row>
    <row r="12797">
      <c r="A12797" s="107"/>
      <c r="D12797" s="270"/>
      <c r="H12797" s="106" t="str">
        <f t="shared" si="1"/>
        <v/>
      </c>
      <c r="J12797" t="str">
        <f>IFERROR(__xludf.DUMMYFUNCTION("IFS(
  AND(REGEXMATCH(E12797, ""台銀籌備帳戶|玉山帳戶""), REGEXMATCH(C12797, ""薪資"")), ""分潤支出"",
  AND(REGEXMATCH(E12797, ""Ben帳戶|Elsa帳戶|Ben代墊|Ariel代墊|中信銀行共用""), REGEXMATCH(F12797, ""Ben帳戶|Elsa帳戶|Ben代墊|Ariel代墊|中信銀行共用"")), ""內部轉帳(忽略)"",
  AND(E12797&lt;&gt;"""", F12797&lt;&gt;"&amp;""""", NOT(REGEXMATCH(C12797, ""薪資""))), ""內部轉帳(忽略)"",
  REGEXMATCH(C12797, ""薪資""), ""薪資變動(不計入)"",
  REGEXMATCH(C12797, ""押金""), ""押金往來"",
  AND(E12797&lt;&gt;"""", F12797=""""), ""真實支出"",
  AND(E12797="""", F12797&lt;&gt;""""), ""真實收入"",
  TRUE, ""其他""
)"),"其他")</f>
        <v>其他</v>
      </c>
      <c r="K12797" s="270" t="str">
        <f t="shared" si="2"/>
        <v/>
      </c>
      <c r="L12797">
        <f t="shared" si="3"/>
        <v>0</v>
      </c>
    </row>
    <row r="12798">
      <c r="A12798" s="107"/>
      <c r="D12798" s="270"/>
      <c r="H12798" s="106" t="str">
        <f t="shared" si="1"/>
        <v/>
      </c>
      <c r="J12798" t="str">
        <f>IFERROR(__xludf.DUMMYFUNCTION("IFS(
  AND(REGEXMATCH(E12798, ""台銀籌備帳戶|玉山帳戶""), REGEXMATCH(C12798, ""薪資"")), ""分潤支出"",
  AND(REGEXMATCH(E12798, ""Ben帳戶|Elsa帳戶|Ben代墊|Ariel代墊|中信銀行共用""), REGEXMATCH(F12798, ""Ben帳戶|Elsa帳戶|Ben代墊|Ariel代墊|中信銀行共用"")), ""內部轉帳(忽略)"",
  AND(E12798&lt;&gt;"""", F12798&lt;&gt;"&amp;""""", NOT(REGEXMATCH(C12798, ""薪資""))), ""內部轉帳(忽略)"",
  REGEXMATCH(C12798, ""薪資""), ""薪資變動(不計入)"",
  REGEXMATCH(C12798, ""押金""), ""押金往來"",
  AND(E12798&lt;&gt;"""", F12798=""""), ""真實支出"",
  AND(E12798="""", F12798&lt;&gt;""""), ""真實收入"",
  TRUE, ""其他""
)"),"其他")</f>
        <v>其他</v>
      </c>
      <c r="K12798" s="270" t="str">
        <f t="shared" si="2"/>
        <v/>
      </c>
      <c r="L12798">
        <f t="shared" si="3"/>
        <v>0</v>
      </c>
    </row>
    <row r="12799">
      <c r="A12799" s="107"/>
      <c r="D12799" s="270"/>
      <c r="H12799" s="106" t="str">
        <f t="shared" si="1"/>
        <v/>
      </c>
      <c r="J12799" t="str">
        <f>IFERROR(__xludf.DUMMYFUNCTION("IFS(
  AND(REGEXMATCH(E12799, ""台銀籌備帳戶|玉山帳戶""), REGEXMATCH(C12799, ""薪資"")), ""分潤支出"",
  AND(REGEXMATCH(E12799, ""Ben帳戶|Elsa帳戶|Ben代墊|Ariel代墊|中信銀行共用""), REGEXMATCH(F12799, ""Ben帳戶|Elsa帳戶|Ben代墊|Ariel代墊|中信銀行共用"")), ""內部轉帳(忽略)"",
  AND(E12799&lt;&gt;"""", F12799&lt;&gt;"&amp;""""", NOT(REGEXMATCH(C12799, ""薪資""))), ""內部轉帳(忽略)"",
  REGEXMATCH(C12799, ""薪資""), ""薪資變動(不計入)"",
  REGEXMATCH(C12799, ""押金""), ""押金往來"",
  AND(E12799&lt;&gt;"""", F12799=""""), ""真實支出"",
  AND(E12799="""", F12799&lt;&gt;""""), ""真實收入"",
  TRUE, ""其他""
)"),"其他")</f>
        <v>其他</v>
      </c>
      <c r="K12799" s="270" t="str">
        <f t="shared" si="2"/>
        <v/>
      </c>
      <c r="L12799">
        <f t="shared" si="3"/>
        <v>0</v>
      </c>
    </row>
    <row r="12800">
      <c r="A12800" s="107"/>
      <c r="D12800" s="270"/>
      <c r="H12800" s="106" t="str">
        <f t="shared" si="1"/>
        <v/>
      </c>
      <c r="J12800" t="str">
        <f>IFERROR(__xludf.DUMMYFUNCTION("IFS(
  AND(REGEXMATCH(E12800, ""台銀籌備帳戶|玉山帳戶""), REGEXMATCH(C12800, ""薪資"")), ""分潤支出"",
  AND(REGEXMATCH(E12800, ""Ben帳戶|Elsa帳戶|Ben代墊|Ariel代墊|中信銀行共用""), REGEXMATCH(F12800, ""Ben帳戶|Elsa帳戶|Ben代墊|Ariel代墊|中信銀行共用"")), ""內部轉帳(忽略)"",
  AND(E12800&lt;&gt;"""", F12800&lt;&gt;"&amp;""""", NOT(REGEXMATCH(C12800, ""薪資""))), ""內部轉帳(忽略)"",
  REGEXMATCH(C12800, ""薪資""), ""薪資變動(不計入)"",
  REGEXMATCH(C12800, ""押金""), ""押金往來"",
  AND(E12800&lt;&gt;"""", F12800=""""), ""真實支出"",
  AND(E12800="""", F12800&lt;&gt;""""), ""真實收入"",
  TRUE, ""其他""
)"),"其他")</f>
        <v>其他</v>
      </c>
      <c r="K12800" s="270" t="str">
        <f t="shared" si="2"/>
        <v/>
      </c>
      <c r="L12800">
        <f t="shared" si="3"/>
        <v>0</v>
      </c>
    </row>
    <row r="12801">
      <c r="A12801" s="107"/>
      <c r="D12801" s="270"/>
      <c r="H12801" s="106" t="str">
        <f t="shared" si="1"/>
        <v/>
      </c>
      <c r="J12801" t="str">
        <f>IFERROR(__xludf.DUMMYFUNCTION("IFS(
  AND(REGEXMATCH(E12801, ""台銀籌備帳戶|玉山帳戶""), REGEXMATCH(C12801, ""薪資"")), ""分潤支出"",
  AND(REGEXMATCH(E12801, ""Ben帳戶|Elsa帳戶|Ben代墊|Ariel代墊|中信銀行共用""), REGEXMATCH(F12801, ""Ben帳戶|Elsa帳戶|Ben代墊|Ariel代墊|中信銀行共用"")), ""內部轉帳(忽略)"",
  AND(E12801&lt;&gt;"""", F12801&lt;&gt;"&amp;""""", NOT(REGEXMATCH(C12801, ""薪資""))), ""內部轉帳(忽略)"",
  REGEXMATCH(C12801, ""薪資""), ""薪資變動(不計入)"",
  REGEXMATCH(C12801, ""押金""), ""押金往來"",
  AND(E12801&lt;&gt;"""", F12801=""""), ""真實支出"",
  AND(E12801="""", F12801&lt;&gt;""""), ""真實收入"",
  TRUE, ""其他""
)"),"其他")</f>
        <v>其他</v>
      </c>
      <c r="K12801" s="270" t="str">
        <f t="shared" si="2"/>
        <v/>
      </c>
      <c r="L12801">
        <f t="shared" si="3"/>
        <v>0</v>
      </c>
    </row>
    <row r="12802">
      <c r="A12802" s="107"/>
      <c r="D12802" s="270"/>
      <c r="H12802" s="106" t="str">
        <f t="shared" si="1"/>
        <v/>
      </c>
      <c r="J12802" t="str">
        <f>IFERROR(__xludf.DUMMYFUNCTION("IFS(
  AND(REGEXMATCH(E12802, ""台銀籌備帳戶|玉山帳戶""), REGEXMATCH(C12802, ""薪資"")), ""分潤支出"",
  AND(REGEXMATCH(E12802, ""Ben帳戶|Elsa帳戶|Ben代墊|Ariel代墊|中信銀行共用""), REGEXMATCH(F12802, ""Ben帳戶|Elsa帳戶|Ben代墊|Ariel代墊|中信銀行共用"")), ""內部轉帳(忽略)"",
  AND(E12802&lt;&gt;"""", F12802&lt;&gt;"&amp;""""", NOT(REGEXMATCH(C12802, ""薪資""))), ""內部轉帳(忽略)"",
  REGEXMATCH(C12802, ""薪資""), ""薪資變動(不計入)"",
  REGEXMATCH(C12802, ""押金""), ""押金往來"",
  AND(E12802&lt;&gt;"""", F12802=""""), ""真實支出"",
  AND(E12802="""", F12802&lt;&gt;""""), ""真實收入"",
  TRUE, ""其他""
)"),"其他")</f>
        <v>其他</v>
      </c>
      <c r="K12802" s="270" t="str">
        <f t="shared" si="2"/>
        <v/>
      </c>
      <c r="L12802">
        <f t="shared" si="3"/>
        <v>0</v>
      </c>
    </row>
    <row r="12803">
      <c r="A12803" s="107"/>
      <c r="D12803" s="270"/>
      <c r="H12803" s="106" t="str">
        <f t="shared" si="1"/>
        <v/>
      </c>
      <c r="J12803" t="str">
        <f>IFERROR(__xludf.DUMMYFUNCTION("IFS(
  AND(REGEXMATCH(E12803, ""台銀籌備帳戶|玉山帳戶""), REGEXMATCH(C12803, ""薪資"")), ""分潤支出"",
  AND(REGEXMATCH(E12803, ""Ben帳戶|Elsa帳戶|Ben代墊|Ariel代墊|中信銀行共用""), REGEXMATCH(F12803, ""Ben帳戶|Elsa帳戶|Ben代墊|Ariel代墊|中信銀行共用"")), ""內部轉帳(忽略)"",
  AND(E12803&lt;&gt;"""", F12803&lt;&gt;"&amp;""""", NOT(REGEXMATCH(C12803, ""薪資""))), ""內部轉帳(忽略)"",
  REGEXMATCH(C12803, ""薪資""), ""薪資變動(不計入)"",
  REGEXMATCH(C12803, ""押金""), ""押金往來"",
  AND(E12803&lt;&gt;"""", F12803=""""), ""真實支出"",
  AND(E12803="""", F12803&lt;&gt;""""), ""真實收入"",
  TRUE, ""其他""
)"),"其他")</f>
        <v>其他</v>
      </c>
      <c r="K12803" s="270" t="str">
        <f t="shared" si="2"/>
        <v/>
      </c>
      <c r="L12803">
        <f t="shared" si="3"/>
        <v>0</v>
      </c>
    </row>
    <row r="12804">
      <c r="A12804" s="107"/>
      <c r="D12804" s="270"/>
      <c r="H12804" s="106" t="str">
        <f t="shared" si="1"/>
        <v/>
      </c>
      <c r="J12804" t="str">
        <f>IFERROR(__xludf.DUMMYFUNCTION("IFS(
  AND(REGEXMATCH(E12804, ""台銀籌備帳戶|玉山帳戶""), REGEXMATCH(C12804, ""薪資"")), ""分潤支出"",
  AND(REGEXMATCH(E12804, ""Ben帳戶|Elsa帳戶|Ben代墊|Ariel代墊|中信銀行共用""), REGEXMATCH(F12804, ""Ben帳戶|Elsa帳戶|Ben代墊|Ariel代墊|中信銀行共用"")), ""內部轉帳(忽略)"",
  AND(E12804&lt;&gt;"""", F12804&lt;&gt;"&amp;""""", NOT(REGEXMATCH(C12804, ""薪資""))), ""內部轉帳(忽略)"",
  REGEXMATCH(C12804, ""薪資""), ""薪資變動(不計入)"",
  REGEXMATCH(C12804, ""押金""), ""押金往來"",
  AND(E12804&lt;&gt;"""", F12804=""""), ""真實支出"",
  AND(E12804="""", F12804&lt;&gt;""""), ""真實收入"",
  TRUE, ""其他""
)"),"其他")</f>
        <v>其他</v>
      </c>
      <c r="K12804" s="270" t="str">
        <f t="shared" si="2"/>
        <v/>
      </c>
      <c r="L12804">
        <f t="shared" si="3"/>
        <v>0</v>
      </c>
    </row>
    <row r="12805">
      <c r="A12805" s="107"/>
      <c r="D12805" s="270"/>
      <c r="H12805" s="106" t="str">
        <f t="shared" si="1"/>
        <v/>
      </c>
      <c r="J12805" t="str">
        <f>IFERROR(__xludf.DUMMYFUNCTION("IFS(
  AND(REGEXMATCH(E12805, ""台銀籌備帳戶|玉山帳戶""), REGEXMATCH(C12805, ""薪資"")), ""分潤支出"",
  AND(REGEXMATCH(E12805, ""Ben帳戶|Elsa帳戶|Ben代墊|Ariel代墊|中信銀行共用""), REGEXMATCH(F12805, ""Ben帳戶|Elsa帳戶|Ben代墊|Ariel代墊|中信銀行共用"")), ""內部轉帳(忽略)"",
  AND(E12805&lt;&gt;"""", F12805&lt;&gt;"&amp;""""", NOT(REGEXMATCH(C12805, ""薪資""))), ""內部轉帳(忽略)"",
  REGEXMATCH(C12805, ""薪資""), ""薪資變動(不計入)"",
  REGEXMATCH(C12805, ""押金""), ""押金往來"",
  AND(E12805&lt;&gt;"""", F12805=""""), ""真實支出"",
  AND(E12805="""", F12805&lt;&gt;""""), ""真實收入"",
  TRUE, ""其他""
)"),"其他")</f>
        <v>其他</v>
      </c>
      <c r="K12805" s="270" t="str">
        <f t="shared" si="2"/>
        <v/>
      </c>
      <c r="L12805">
        <f t="shared" si="3"/>
        <v>0</v>
      </c>
    </row>
    <row r="12806">
      <c r="A12806" s="107"/>
      <c r="D12806" s="270"/>
      <c r="H12806" s="106" t="str">
        <f t="shared" si="1"/>
        <v/>
      </c>
      <c r="J12806" t="str">
        <f>IFERROR(__xludf.DUMMYFUNCTION("IFS(
  AND(REGEXMATCH(E12806, ""台銀籌備帳戶|玉山帳戶""), REGEXMATCH(C12806, ""薪資"")), ""分潤支出"",
  AND(REGEXMATCH(E12806, ""Ben帳戶|Elsa帳戶|Ben代墊|Ariel代墊|中信銀行共用""), REGEXMATCH(F12806, ""Ben帳戶|Elsa帳戶|Ben代墊|Ariel代墊|中信銀行共用"")), ""內部轉帳(忽略)"",
  AND(E12806&lt;&gt;"""", F12806&lt;&gt;"&amp;""""", NOT(REGEXMATCH(C12806, ""薪資""))), ""內部轉帳(忽略)"",
  REGEXMATCH(C12806, ""薪資""), ""薪資變動(不計入)"",
  REGEXMATCH(C12806, ""押金""), ""押金往來"",
  AND(E12806&lt;&gt;"""", F12806=""""), ""真實支出"",
  AND(E12806="""", F12806&lt;&gt;""""), ""真實收入"",
  TRUE, ""其他""
)"),"其他")</f>
        <v>其他</v>
      </c>
      <c r="K12806" s="270" t="str">
        <f t="shared" si="2"/>
        <v/>
      </c>
      <c r="L12806">
        <f t="shared" si="3"/>
        <v>0</v>
      </c>
    </row>
    <row r="12807">
      <c r="A12807" s="107"/>
      <c r="D12807" s="270"/>
      <c r="H12807" s="106" t="str">
        <f t="shared" si="1"/>
        <v/>
      </c>
      <c r="J12807" t="str">
        <f>IFERROR(__xludf.DUMMYFUNCTION("IFS(
  AND(REGEXMATCH(E12807, ""台銀籌備帳戶|玉山帳戶""), REGEXMATCH(C12807, ""薪資"")), ""分潤支出"",
  AND(REGEXMATCH(E12807, ""Ben帳戶|Elsa帳戶|Ben代墊|Ariel代墊|中信銀行共用""), REGEXMATCH(F12807, ""Ben帳戶|Elsa帳戶|Ben代墊|Ariel代墊|中信銀行共用"")), ""內部轉帳(忽略)"",
  AND(E12807&lt;&gt;"""", F12807&lt;&gt;"&amp;""""", NOT(REGEXMATCH(C12807, ""薪資""))), ""內部轉帳(忽略)"",
  REGEXMATCH(C12807, ""薪資""), ""薪資變動(不計入)"",
  REGEXMATCH(C12807, ""押金""), ""押金往來"",
  AND(E12807&lt;&gt;"""", F12807=""""), ""真實支出"",
  AND(E12807="""", F12807&lt;&gt;""""), ""真實收入"",
  TRUE, ""其他""
)"),"其他")</f>
        <v>其他</v>
      </c>
      <c r="K12807" s="270" t="str">
        <f t="shared" si="2"/>
        <v/>
      </c>
      <c r="L12807">
        <f t="shared" si="3"/>
        <v>0</v>
      </c>
    </row>
    <row r="12808">
      <c r="A12808" s="107"/>
      <c r="D12808" s="270"/>
      <c r="H12808" s="106" t="str">
        <f t="shared" si="1"/>
        <v/>
      </c>
      <c r="J12808" t="str">
        <f>IFERROR(__xludf.DUMMYFUNCTION("IFS(
  AND(REGEXMATCH(E12808, ""台銀籌備帳戶|玉山帳戶""), REGEXMATCH(C12808, ""薪資"")), ""分潤支出"",
  AND(REGEXMATCH(E12808, ""Ben帳戶|Elsa帳戶|Ben代墊|Ariel代墊|中信銀行共用""), REGEXMATCH(F12808, ""Ben帳戶|Elsa帳戶|Ben代墊|Ariel代墊|中信銀行共用"")), ""內部轉帳(忽略)"",
  AND(E12808&lt;&gt;"""", F12808&lt;&gt;"&amp;""""", NOT(REGEXMATCH(C12808, ""薪資""))), ""內部轉帳(忽略)"",
  REGEXMATCH(C12808, ""薪資""), ""薪資變動(不計入)"",
  REGEXMATCH(C12808, ""押金""), ""押金往來"",
  AND(E12808&lt;&gt;"""", F12808=""""), ""真實支出"",
  AND(E12808="""", F12808&lt;&gt;""""), ""真實收入"",
  TRUE, ""其他""
)"),"其他")</f>
        <v>其他</v>
      </c>
      <c r="K12808" s="270" t="str">
        <f t="shared" si="2"/>
        <v/>
      </c>
      <c r="L12808">
        <f t="shared" si="3"/>
        <v>0</v>
      </c>
    </row>
    <row r="12809">
      <c r="A12809" s="107"/>
      <c r="D12809" s="270"/>
      <c r="H12809" s="106" t="str">
        <f t="shared" si="1"/>
        <v/>
      </c>
      <c r="J12809" t="str">
        <f>IFERROR(__xludf.DUMMYFUNCTION("IFS(
  AND(REGEXMATCH(E12809, ""台銀籌備帳戶|玉山帳戶""), REGEXMATCH(C12809, ""薪資"")), ""分潤支出"",
  AND(REGEXMATCH(E12809, ""Ben帳戶|Elsa帳戶|Ben代墊|Ariel代墊|中信銀行共用""), REGEXMATCH(F12809, ""Ben帳戶|Elsa帳戶|Ben代墊|Ariel代墊|中信銀行共用"")), ""內部轉帳(忽略)"",
  AND(E12809&lt;&gt;"""", F12809&lt;&gt;"&amp;""""", NOT(REGEXMATCH(C12809, ""薪資""))), ""內部轉帳(忽略)"",
  REGEXMATCH(C12809, ""薪資""), ""薪資變動(不計入)"",
  REGEXMATCH(C12809, ""押金""), ""押金往來"",
  AND(E12809&lt;&gt;"""", F12809=""""), ""真實支出"",
  AND(E12809="""", F12809&lt;&gt;""""), ""真實收入"",
  TRUE, ""其他""
)"),"其他")</f>
        <v>其他</v>
      </c>
      <c r="K12809" s="270" t="str">
        <f t="shared" si="2"/>
        <v/>
      </c>
      <c r="L12809">
        <f t="shared" si="3"/>
        <v>0</v>
      </c>
    </row>
    <row r="12810">
      <c r="A12810" s="107"/>
      <c r="D12810" s="270"/>
      <c r="H12810" s="106" t="str">
        <f t="shared" si="1"/>
        <v/>
      </c>
      <c r="J12810" t="str">
        <f>IFERROR(__xludf.DUMMYFUNCTION("IFS(
  AND(REGEXMATCH(E12810, ""台銀籌備帳戶|玉山帳戶""), REGEXMATCH(C12810, ""薪資"")), ""分潤支出"",
  AND(REGEXMATCH(E12810, ""Ben帳戶|Elsa帳戶|Ben代墊|Ariel代墊|中信銀行共用""), REGEXMATCH(F12810, ""Ben帳戶|Elsa帳戶|Ben代墊|Ariel代墊|中信銀行共用"")), ""內部轉帳(忽略)"",
  AND(E12810&lt;&gt;"""", F12810&lt;&gt;"&amp;""""", NOT(REGEXMATCH(C12810, ""薪資""))), ""內部轉帳(忽略)"",
  REGEXMATCH(C12810, ""薪資""), ""薪資變動(不計入)"",
  REGEXMATCH(C12810, ""押金""), ""押金往來"",
  AND(E12810&lt;&gt;"""", F12810=""""), ""真實支出"",
  AND(E12810="""", F12810&lt;&gt;""""), ""真實收入"",
  TRUE, ""其他""
)"),"其他")</f>
        <v>其他</v>
      </c>
      <c r="K12810" s="270" t="str">
        <f t="shared" si="2"/>
        <v/>
      </c>
      <c r="L12810">
        <f t="shared" si="3"/>
        <v>0</v>
      </c>
    </row>
    <row r="12811">
      <c r="A12811" s="107"/>
      <c r="D12811" s="270"/>
      <c r="H12811" s="106" t="str">
        <f t="shared" si="1"/>
        <v/>
      </c>
      <c r="J12811" t="str">
        <f>IFERROR(__xludf.DUMMYFUNCTION("IFS(
  AND(REGEXMATCH(E12811, ""台銀籌備帳戶|玉山帳戶""), REGEXMATCH(C12811, ""薪資"")), ""分潤支出"",
  AND(REGEXMATCH(E12811, ""Ben帳戶|Elsa帳戶|Ben代墊|Ariel代墊|中信銀行共用""), REGEXMATCH(F12811, ""Ben帳戶|Elsa帳戶|Ben代墊|Ariel代墊|中信銀行共用"")), ""內部轉帳(忽略)"",
  AND(E12811&lt;&gt;"""", F12811&lt;&gt;"&amp;""""", NOT(REGEXMATCH(C12811, ""薪資""))), ""內部轉帳(忽略)"",
  REGEXMATCH(C12811, ""薪資""), ""薪資變動(不計入)"",
  REGEXMATCH(C12811, ""押金""), ""押金往來"",
  AND(E12811&lt;&gt;"""", F12811=""""), ""真實支出"",
  AND(E12811="""", F12811&lt;&gt;""""), ""真實收入"",
  TRUE, ""其他""
)"),"其他")</f>
        <v>其他</v>
      </c>
      <c r="K12811" s="270" t="str">
        <f t="shared" si="2"/>
        <v/>
      </c>
      <c r="L12811">
        <f t="shared" si="3"/>
        <v>0</v>
      </c>
    </row>
    <row r="12812">
      <c r="A12812" s="107"/>
      <c r="D12812" s="270"/>
      <c r="H12812" s="106" t="str">
        <f t="shared" si="1"/>
        <v/>
      </c>
      <c r="J12812" t="str">
        <f>IFERROR(__xludf.DUMMYFUNCTION("IFS(
  AND(REGEXMATCH(E12812, ""台銀籌備帳戶|玉山帳戶""), REGEXMATCH(C12812, ""薪資"")), ""分潤支出"",
  AND(REGEXMATCH(E12812, ""Ben帳戶|Elsa帳戶|Ben代墊|Ariel代墊|中信銀行共用""), REGEXMATCH(F12812, ""Ben帳戶|Elsa帳戶|Ben代墊|Ariel代墊|中信銀行共用"")), ""內部轉帳(忽略)"",
  AND(E12812&lt;&gt;"""", F12812&lt;&gt;"&amp;""""", NOT(REGEXMATCH(C12812, ""薪資""))), ""內部轉帳(忽略)"",
  REGEXMATCH(C12812, ""薪資""), ""薪資變動(不計入)"",
  REGEXMATCH(C12812, ""押金""), ""押金往來"",
  AND(E12812&lt;&gt;"""", F12812=""""), ""真實支出"",
  AND(E12812="""", F12812&lt;&gt;""""), ""真實收入"",
  TRUE, ""其他""
)"),"其他")</f>
        <v>其他</v>
      </c>
      <c r="K12812" s="270" t="str">
        <f t="shared" si="2"/>
        <v/>
      </c>
      <c r="L12812">
        <f t="shared" si="3"/>
        <v>0</v>
      </c>
    </row>
    <row r="12813">
      <c r="A12813" s="107"/>
      <c r="D12813" s="270"/>
      <c r="H12813" s="106" t="str">
        <f t="shared" si="1"/>
        <v/>
      </c>
      <c r="J12813" t="str">
        <f>IFERROR(__xludf.DUMMYFUNCTION("IFS(
  AND(REGEXMATCH(E12813, ""台銀籌備帳戶|玉山帳戶""), REGEXMATCH(C12813, ""薪資"")), ""分潤支出"",
  AND(REGEXMATCH(E12813, ""Ben帳戶|Elsa帳戶|Ben代墊|Ariel代墊|中信銀行共用""), REGEXMATCH(F12813, ""Ben帳戶|Elsa帳戶|Ben代墊|Ariel代墊|中信銀行共用"")), ""內部轉帳(忽略)"",
  AND(E12813&lt;&gt;"""", F12813&lt;&gt;"&amp;""""", NOT(REGEXMATCH(C12813, ""薪資""))), ""內部轉帳(忽略)"",
  REGEXMATCH(C12813, ""薪資""), ""薪資變動(不計入)"",
  REGEXMATCH(C12813, ""押金""), ""押金往來"",
  AND(E12813&lt;&gt;"""", F12813=""""), ""真實支出"",
  AND(E12813="""", F12813&lt;&gt;""""), ""真實收入"",
  TRUE, ""其他""
)"),"其他")</f>
        <v>其他</v>
      </c>
      <c r="K12813" s="270" t="str">
        <f t="shared" si="2"/>
        <v/>
      </c>
      <c r="L12813">
        <f t="shared" si="3"/>
        <v>0</v>
      </c>
    </row>
    <row r="12814">
      <c r="A12814" s="107"/>
      <c r="D12814" s="270"/>
      <c r="H12814" s="106" t="str">
        <f t="shared" si="1"/>
        <v/>
      </c>
      <c r="J12814" t="str">
        <f>IFERROR(__xludf.DUMMYFUNCTION("IFS(
  AND(REGEXMATCH(E12814, ""台銀籌備帳戶|玉山帳戶""), REGEXMATCH(C12814, ""薪資"")), ""分潤支出"",
  AND(REGEXMATCH(E12814, ""Ben帳戶|Elsa帳戶|Ben代墊|Ariel代墊|中信銀行共用""), REGEXMATCH(F12814, ""Ben帳戶|Elsa帳戶|Ben代墊|Ariel代墊|中信銀行共用"")), ""內部轉帳(忽略)"",
  AND(E12814&lt;&gt;"""", F12814&lt;&gt;"&amp;""""", NOT(REGEXMATCH(C12814, ""薪資""))), ""內部轉帳(忽略)"",
  REGEXMATCH(C12814, ""薪資""), ""薪資變動(不計入)"",
  REGEXMATCH(C12814, ""押金""), ""押金往來"",
  AND(E12814&lt;&gt;"""", F12814=""""), ""真實支出"",
  AND(E12814="""", F12814&lt;&gt;""""), ""真實收入"",
  TRUE, ""其他""
)"),"其他")</f>
        <v>其他</v>
      </c>
      <c r="K12814" s="270" t="str">
        <f t="shared" si="2"/>
        <v/>
      </c>
      <c r="L12814">
        <f t="shared" si="3"/>
        <v>0</v>
      </c>
    </row>
    <row r="12815">
      <c r="A12815" s="107"/>
      <c r="D12815" s="270"/>
      <c r="H12815" s="106" t="str">
        <f t="shared" si="1"/>
        <v/>
      </c>
      <c r="J12815" t="str">
        <f>IFERROR(__xludf.DUMMYFUNCTION("IFS(
  AND(REGEXMATCH(E12815, ""台銀籌備帳戶|玉山帳戶""), REGEXMATCH(C12815, ""薪資"")), ""分潤支出"",
  AND(REGEXMATCH(E12815, ""Ben帳戶|Elsa帳戶|Ben代墊|Ariel代墊|中信銀行共用""), REGEXMATCH(F12815, ""Ben帳戶|Elsa帳戶|Ben代墊|Ariel代墊|中信銀行共用"")), ""內部轉帳(忽略)"",
  AND(E12815&lt;&gt;"""", F12815&lt;&gt;"&amp;""""", NOT(REGEXMATCH(C12815, ""薪資""))), ""內部轉帳(忽略)"",
  REGEXMATCH(C12815, ""薪資""), ""薪資變動(不計入)"",
  REGEXMATCH(C12815, ""押金""), ""押金往來"",
  AND(E12815&lt;&gt;"""", F12815=""""), ""真實支出"",
  AND(E12815="""", F12815&lt;&gt;""""), ""真實收入"",
  TRUE, ""其他""
)"),"其他")</f>
        <v>其他</v>
      </c>
      <c r="K12815" s="270" t="str">
        <f t="shared" si="2"/>
        <v/>
      </c>
      <c r="L12815">
        <f t="shared" si="3"/>
        <v>0</v>
      </c>
    </row>
    <row r="12816">
      <c r="A12816" s="107"/>
      <c r="D12816" s="270"/>
      <c r="H12816" s="106" t="str">
        <f t="shared" si="1"/>
        <v/>
      </c>
      <c r="J12816" t="str">
        <f>IFERROR(__xludf.DUMMYFUNCTION("IFS(
  AND(REGEXMATCH(E12816, ""台銀籌備帳戶|玉山帳戶""), REGEXMATCH(C12816, ""薪資"")), ""分潤支出"",
  AND(REGEXMATCH(E12816, ""Ben帳戶|Elsa帳戶|Ben代墊|Ariel代墊|中信銀行共用""), REGEXMATCH(F12816, ""Ben帳戶|Elsa帳戶|Ben代墊|Ariel代墊|中信銀行共用"")), ""內部轉帳(忽略)"",
  AND(E12816&lt;&gt;"""", F12816&lt;&gt;"&amp;""""", NOT(REGEXMATCH(C12816, ""薪資""))), ""內部轉帳(忽略)"",
  REGEXMATCH(C12816, ""薪資""), ""薪資變動(不計入)"",
  REGEXMATCH(C12816, ""押金""), ""押金往來"",
  AND(E12816&lt;&gt;"""", F12816=""""), ""真實支出"",
  AND(E12816="""", F12816&lt;&gt;""""), ""真實收入"",
  TRUE, ""其他""
)"),"其他")</f>
        <v>其他</v>
      </c>
      <c r="K12816" s="270" t="str">
        <f t="shared" si="2"/>
        <v/>
      </c>
      <c r="L12816">
        <f t="shared" si="3"/>
        <v>0</v>
      </c>
    </row>
    <row r="12817">
      <c r="A12817" s="107"/>
      <c r="D12817" s="270"/>
      <c r="H12817" s="106" t="str">
        <f t="shared" si="1"/>
        <v/>
      </c>
      <c r="J12817" t="str">
        <f>IFERROR(__xludf.DUMMYFUNCTION("IFS(
  AND(REGEXMATCH(E12817, ""台銀籌備帳戶|玉山帳戶""), REGEXMATCH(C12817, ""薪資"")), ""分潤支出"",
  AND(REGEXMATCH(E12817, ""Ben帳戶|Elsa帳戶|Ben代墊|Ariel代墊|中信銀行共用""), REGEXMATCH(F12817, ""Ben帳戶|Elsa帳戶|Ben代墊|Ariel代墊|中信銀行共用"")), ""內部轉帳(忽略)"",
  AND(E12817&lt;&gt;"""", F12817&lt;&gt;"&amp;""""", NOT(REGEXMATCH(C12817, ""薪資""))), ""內部轉帳(忽略)"",
  REGEXMATCH(C12817, ""薪資""), ""薪資變動(不計入)"",
  REGEXMATCH(C12817, ""押金""), ""押金往來"",
  AND(E12817&lt;&gt;"""", F12817=""""), ""真實支出"",
  AND(E12817="""", F12817&lt;&gt;""""), ""真實收入"",
  TRUE, ""其他""
)"),"其他")</f>
        <v>其他</v>
      </c>
      <c r="K12817" s="270" t="str">
        <f t="shared" si="2"/>
        <v/>
      </c>
      <c r="L12817">
        <f t="shared" si="3"/>
        <v>0</v>
      </c>
    </row>
    <row r="12818">
      <c r="A12818" s="107"/>
      <c r="D12818" s="270"/>
      <c r="H12818" s="106" t="str">
        <f t="shared" si="1"/>
        <v/>
      </c>
      <c r="J12818" t="str">
        <f>IFERROR(__xludf.DUMMYFUNCTION("IFS(
  AND(REGEXMATCH(E12818, ""台銀籌備帳戶|玉山帳戶""), REGEXMATCH(C12818, ""薪資"")), ""分潤支出"",
  AND(REGEXMATCH(E12818, ""Ben帳戶|Elsa帳戶|Ben代墊|Ariel代墊|中信銀行共用""), REGEXMATCH(F12818, ""Ben帳戶|Elsa帳戶|Ben代墊|Ariel代墊|中信銀行共用"")), ""內部轉帳(忽略)"",
  AND(E12818&lt;&gt;"""", F12818&lt;&gt;"&amp;""""", NOT(REGEXMATCH(C12818, ""薪資""))), ""內部轉帳(忽略)"",
  REGEXMATCH(C12818, ""薪資""), ""薪資變動(不計入)"",
  REGEXMATCH(C12818, ""押金""), ""押金往來"",
  AND(E12818&lt;&gt;"""", F12818=""""), ""真實支出"",
  AND(E12818="""", F12818&lt;&gt;""""), ""真實收入"",
  TRUE, ""其他""
)"),"其他")</f>
        <v>其他</v>
      </c>
      <c r="K12818" s="270" t="str">
        <f t="shared" si="2"/>
        <v/>
      </c>
      <c r="L12818">
        <f t="shared" si="3"/>
        <v>0</v>
      </c>
    </row>
    <row r="12819">
      <c r="A12819" s="107"/>
      <c r="D12819" s="270"/>
      <c r="H12819" s="106" t="str">
        <f t="shared" si="1"/>
        <v/>
      </c>
      <c r="J12819" t="str">
        <f>IFERROR(__xludf.DUMMYFUNCTION("IFS(
  AND(REGEXMATCH(E12819, ""台銀籌備帳戶|玉山帳戶""), REGEXMATCH(C12819, ""薪資"")), ""分潤支出"",
  AND(REGEXMATCH(E12819, ""Ben帳戶|Elsa帳戶|Ben代墊|Ariel代墊|中信銀行共用""), REGEXMATCH(F12819, ""Ben帳戶|Elsa帳戶|Ben代墊|Ariel代墊|中信銀行共用"")), ""內部轉帳(忽略)"",
  AND(E12819&lt;&gt;"""", F12819&lt;&gt;"&amp;""""", NOT(REGEXMATCH(C12819, ""薪資""))), ""內部轉帳(忽略)"",
  REGEXMATCH(C12819, ""薪資""), ""薪資變動(不計入)"",
  REGEXMATCH(C12819, ""押金""), ""押金往來"",
  AND(E12819&lt;&gt;"""", F12819=""""), ""真實支出"",
  AND(E12819="""", F12819&lt;&gt;""""), ""真實收入"",
  TRUE, ""其他""
)"),"其他")</f>
        <v>其他</v>
      </c>
      <c r="K12819" s="270" t="str">
        <f t="shared" si="2"/>
        <v/>
      </c>
      <c r="L12819">
        <f t="shared" si="3"/>
        <v>0</v>
      </c>
    </row>
    <row r="12820">
      <c r="A12820" s="107"/>
      <c r="D12820" s="270"/>
      <c r="H12820" s="106" t="str">
        <f t="shared" si="1"/>
        <v/>
      </c>
      <c r="J12820" t="str">
        <f>IFERROR(__xludf.DUMMYFUNCTION("IFS(
  AND(REGEXMATCH(E12820, ""台銀籌備帳戶|玉山帳戶""), REGEXMATCH(C12820, ""薪資"")), ""分潤支出"",
  AND(REGEXMATCH(E12820, ""Ben帳戶|Elsa帳戶|Ben代墊|Ariel代墊|中信銀行共用""), REGEXMATCH(F12820, ""Ben帳戶|Elsa帳戶|Ben代墊|Ariel代墊|中信銀行共用"")), ""內部轉帳(忽略)"",
  AND(E12820&lt;&gt;"""", F12820&lt;&gt;"&amp;""""", NOT(REGEXMATCH(C12820, ""薪資""))), ""內部轉帳(忽略)"",
  REGEXMATCH(C12820, ""薪資""), ""薪資變動(不計入)"",
  REGEXMATCH(C12820, ""押金""), ""押金往來"",
  AND(E12820&lt;&gt;"""", F12820=""""), ""真實支出"",
  AND(E12820="""", F12820&lt;&gt;""""), ""真實收入"",
  TRUE, ""其他""
)"),"其他")</f>
        <v>其他</v>
      </c>
      <c r="K12820" s="270" t="str">
        <f t="shared" si="2"/>
        <v/>
      </c>
      <c r="L12820">
        <f t="shared" si="3"/>
        <v>0</v>
      </c>
    </row>
    <row r="12821">
      <c r="A12821" s="107"/>
      <c r="D12821" s="270"/>
      <c r="H12821" s="106" t="str">
        <f t="shared" si="1"/>
        <v/>
      </c>
      <c r="J12821" t="str">
        <f>IFERROR(__xludf.DUMMYFUNCTION("IFS(
  AND(REGEXMATCH(E12821, ""台銀籌備帳戶|玉山帳戶""), REGEXMATCH(C12821, ""薪資"")), ""分潤支出"",
  AND(REGEXMATCH(E12821, ""Ben帳戶|Elsa帳戶|Ben代墊|Ariel代墊|中信銀行共用""), REGEXMATCH(F12821, ""Ben帳戶|Elsa帳戶|Ben代墊|Ariel代墊|中信銀行共用"")), ""內部轉帳(忽略)"",
  AND(E12821&lt;&gt;"""", F12821&lt;&gt;"&amp;""""", NOT(REGEXMATCH(C12821, ""薪資""))), ""內部轉帳(忽略)"",
  REGEXMATCH(C12821, ""薪資""), ""薪資變動(不計入)"",
  REGEXMATCH(C12821, ""押金""), ""押金往來"",
  AND(E12821&lt;&gt;"""", F12821=""""), ""真實支出"",
  AND(E12821="""", F12821&lt;&gt;""""), ""真實收入"",
  TRUE, ""其他""
)"),"其他")</f>
        <v>其他</v>
      </c>
      <c r="K12821" s="270" t="str">
        <f t="shared" si="2"/>
        <v/>
      </c>
      <c r="L12821">
        <f t="shared" si="3"/>
        <v>0</v>
      </c>
    </row>
    <row r="12822">
      <c r="A12822" s="107"/>
      <c r="D12822" s="270"/>
      <c r="H12822" s="106" t="str">
        <f t="shared" si="1"/>
        <v/>
      </c>
      <c r="J12822" t="str">
        <f>IFERROR(__xludf.DUMMYFUNCTION("IFS(
  AND(REGEXMATCH(E12822, ""台銀籌備帳戶|玉山帳戶""), REGEXMATCH(C12822, ""薪資"")), ""分潤支出"",
  AND(REGEXMATCH(E12822, ""Ben帳戶|Elsa帳戶|Ben代墊|Ariel代墊|中信銀行共用""), REGEXMATCH(F12822, ""Ben帳戶|Elsa帳戶|Ben代墊|Ariel代墊|中信銀行共用"")), ""內部轉帳(忽略)"",
  AND(E12822&lt;&gt;"""", F12822&lt;&gt;"&amp;""""", NOT(REGEXMATCH(C12822, ""薪資""))), ""內部轉帳(忽略)"",
  REGEXMATCH(C12822, ""薪資""), ""薪資變動(不計入)"",
  REGEXMATCH(C12822, ""押金""), ""押金往來"",
  AND(E12822&lt;&gt;"""", F12822=""""), ""真實支出"",
  AND(E12822="""", F12822&lt;&gt;""""), ""真實收入"",
  TRUE, ""其他""
)"),"其他")</f>
        <v>其他</v>
      </c>
      <c r="K12822" s="270" t="str">
        <f t="shared" si="2"/>
        <v/>
      </c>
      <c r="L12822">
        <f t="shared" si="3"/>
        <v>0</v>
      </c>
    </row>
    <row r="12823">
      <c r="A12823" s="107"/>
      <c r="D12823" s="270"/>
      <c r="H12823" s="106" t="str">
        <f t="shared" si="1"/>
        <v/>
      </c>
      <c r="J12823" t="str">
        <f>IFERROR(__xludf.DUMMYFUNCTION("IFS(
  AND(REGEXMATCH(E12823, ""台銀籌備帳戶|玉山帳戶""), REGEXMATCH(C12823, ""薪資"")), ""分潤支出"",
  AND(REGEXMATCH(E12823, ""Ben帳戶|Elsa帳戶|Ben代墊|Ariel代墊|中信銀行共用""), REGEXMATCH(F12823, ""Ben帳戶|Elsa帳戶|Ben代墊|Ariel代墊|中信銀行共用"")), ""內部轉帳(忽略)"",
  AND(E12823&lt;&gt;"""", F12823&lt;&gt;"&amp;""""", NOT(REGEXMATCH(C12823, ""薪資""))), ""內部轉帳(忽略)"",
  REGEXMATCH(C12823, ""薪資""), ""薪資變動(不計入)"",
  REGEXMATCH(C12823, ""押金""), ""押金往來"",
  AND(E12823&lt;&gt;"""", F12823=""""), ""真實支出"",
  AND(E12823="""", F12823&lt;&gt;""""), ""真實收入"",
  TRUE, ""其他""
)"),"其他")</f>
        <v>其他</v>
      </c>
      <c r="K12823" s="270" t="str">
        <f t="shared" si="2"/>
        <v/>
      </c>
      <c r="L12823">
        <f t="shared" si="3"/>
        <v>0</v>
      </c>
    </row>
    <row r="12824">
      <c r="A12824" s="107"/>
      <c r="D12824" s="270"/>
      <c r="H12824" s="106" t="str">
        <f t="shared" si="1"/>
        <v/>
      </c>
      <c r="J12824" t="str">
        <f>IFERROR(__xludf.DUMMYFUNCTION("IFS(
  AND(REGEXMATCH(E12824, ""台銀籌備帳戶|玉山帳戶""), REGEXMATCH(C12824, ""薪資"")), ""分潤支出"",
  AND(REGEXMATCH(E12824, ""Ben帳戶|Elsa帳戶|Ben代墊|Ariel代墊|中信銀行共用""), REGEXMATCH(F12824, ""Ben帳戶|Elsa帳戶|Ben代墊|Ariel代墊|中信銀行共用"")), ""內部轉帳(忽略)"",
  AND(E12824&lt;&gt;"""", F12824&lt;&gt;"&amp;""""", NOT(REGEXMATCH(C12824, ""薪資""))), ""內部轉帳(忽略)"",
  REGEXMATCH(C12824, ""薪資""), ""薪資變動(不計入)"",
  REGEXMATCH(C12824, ""押金""), ""押金往來"",
  AND(E12824&lt;&gt;"""", F12824=""""), ""真實支出"",
  AND(E12824="""", F12824&lt;&gt;""""), ""真實收入"",
  TRUE, ""其他""
)"),"其他")</f>
        <v>其他</v>
      </c>
      <c r="K12824" s="270" t="str">
        <f t="shared" si="2"/>
        <v/>
      </c>
      <c r="L12824">
        <f t="shared" si="3"/>
        <v>0</v>
      </c>
    </row>
    <row r="12825">
      <c r="A12825" s="107"/>
      <c r="D12825" s="270"/>
      <c r="H12825" s="106" t="str">
        <f t="shared" si="1"/>
        <v/>
      </c>
      <c r="J12825" t="str">
        <f>IFERROR(__xludf.DUMMYFUNCTION("IFS(
  AND(REGEXMATCH(E12825, ""台銀籌備帳戶|玉山帳戶""), REGEXMATCH(C12825, ""薪資"")), ""分潤支出"",
  AND(REGEXMATCH(E12825, ""Ben帳戶|Elsa帳戶|Ben代墊|Ariel代墊|中信銀行共用""), REGEXMATCH(F12825, ""Ben帳戶|Elsa帳戶|Ben代墊|Ariel代墊|中信銀行共用"")), ""內部轉帳(忽略)"",
  AND(E12825&lt;&gt;"""", F12825&lt;&gt;"&amp;""""", NOT(REGEXMATCH(C12825, ""薪資""))), ""內部轉帳(忽略)"",
  REGEXMATCH(C12825, ""薪資""), ""薪資變動(不計入)"",
  REGEXMATCH(C12825, ""押金""), ""押金往來"",
  AND(E12825&lt;&gt;"""", F12825=""""), ""真實支出"",
  AND(E12825="""", F12825&lt;&gt;""""), ""真實收入"",
  TRUE, ""其他""
)"),"其他")</f>
        <v>其他</v>
      </c>
      <c r="K12825" s="270" t="str">
        <f t="shared" si="2"/>
        <v/>
      </c>
      <c r="L12825">
        <f t="shared" si="3"/>
        <v>0</v>
      </c>
    </row>
    <row r="12826">
      <c r="A12826" s="107"/>
      <c r="D12826" s="270"/>
      <c r="H12826" s="106" t="str">
        <f t="shared" si="1"/>
        <v/>
      </c>
      <c r="J12826" t="str">
        <f>IFERROR(__xludf.DUMMYFUNCTION("IFS(
  AND(REGEXMATCH(E12826, ""台銀籌備帳戶|玉山帳戶""), REGEXMATCH(C12826, ""薪資"")), ""分潤支出"",
  AND(REGEXMATCH(E12826, ""Ben帳戶|Elsa帳戶|Ben代墊|Ariel代墊|中信銀行共用""), REGEXMATCH(F12826, ""Ben帳戶|Elsa帳戶|Ben代墊|Ariel代墊|中信銀行共用"")), ""內部轉帳(忽略)"",
  AND(E12826&lt;&gt;"""", F12826&lt;&gt;"&amp;""""", NOT(REGEXMATCH(C12826, ""薪資""))), ""內部轉帳(忽略)"",
  REGEXMATCH(C12826, ""薪資""), ""薪資變動(不計入)"",
  REGEXMATCH(C12826, ""押金""), ""押金往來"",
  AND(E12826&lt;&gt;"""", F12826=""""), ""真實支出"",
  AND(E12826="""", F12826&lt;&gt;""""), ""真實收入"",
  TRUE, ""其他""
)"),"其他")</f>
        <v>其他</v>
      </c>
      <c r="K12826" s="270" t="str">
        <f t="shared" si="2"/>
        <v/>
      </c>
      <c r="L12826">
        <f t="shared" si="3"/>
        <v>0</v>
      </c>
    </row>
    <row r="12827">
      <c r="A12827" s="107"/>
      <c r="D12827" s="270"/>
      <c r="H12827" s="106" t="str">
        <f t="shared" si="1"/>
        <v/>
      </c>
      <c r="J12827" t="str">
        <f>IFERROR(__xludf.DUMMYFUNCTION("IFS(
  AND(REGEXMATCH(E12827, ""台銀籌備帳戶|玉山帳戶""), REGEXMATCH(C12827, ""薪資"")), ""分潤支出"",
  AND(REGEXMATCH(E12827, ""Ben帳戶|Elsa帳戶|Ben代墊|Ariel代墊|中信銀行共用""), REGEXMATCH(F12827, ""Ben帳戶|Elsa帳戶|Ben代墊|Ariel代墊|中信銀行共用"")), ""內部轉帳(忽略)"",
  AND(E12827&lt;&gt;"""", F12827&lt;&gt;"&amp;""""", NOT(REGEXMATCH(C12827, ""薪資""))), ""內部轉帳(忽略)"",
  REGEXMATCH(C12827, ""薪資""), ""薪資變動(不計入)"",
  REGEXMATCH(C12827, ""押金""), ""押金往來"",
  AND(E12827&lt;&gt;"""", F12827=""""), ""真實支出"",
  AND(E12827="""", F12827&lt;&gt;""""), ""真實收入"",
  TRUE, ""其他""
)"),"其他")</f>
        <v>其他</v>
      </c>
      <c r="K12827" s="270" t="str">
        <f t="shared" si="2"/>
        <v/>
      </c>
      <c r="L12827">
        <f t="shared" si="3"/>
        <v>0</v>
      </c>
    </row>
    <row r="12828">
      <c r="A12828" s="107"/>
      <c r="D12828" s="270"/>
      <c r="H12828" s="106" t="str">
        <f t="shared" si="1"/>
        <v/>
      </c>
      <c r="J12828" t="str">
        <f>IFERROR(__xludf.DUMMYFUNCTION("IFS(
  AND(REGEXMATCH(E12828, ""台銀籌備帳戶|玉山帳戶""), REGEXMATCH(C12828, ""薪資"")), ""分潤支出"",
  AND(REGEXMATCH(E12828, ""Ben帳戶|Elsa帳戶|Ben代墊|Ariel代墊|中信銀行共用""), REGEXMATCH(F12828, ""Ben帳戶|Elsa帳戶|Ben代墊|Ariel代墊|中信銀行共用"")), ""內部轉帳(忽略)"",
  AND(E12828&lt;&gt;"""", F12828&lt;&gt;"&amp;""""", NOT(REGEXMATCH(C12828, ""薪資""))), ""內部轉帳(忽略)"",
  REGEXMATCH(C12828, ""薪資""), ""薪資變動(不計入)"",
  REGEXMATCH(C12828, ""押金""), ""押金往來"",
  AND(E12828&lt;&gt;"""", F12828=""""), ""真實支出"",
  AND(E12828="""", F12828&lt;&gt;""""), ""真實收入"",
  TRUE, ""其他""
)"),"其他")</f>
        <v>其他</v>
      </c>
      <c r="K12828" s="270" t="str">
        <f t="shared" si="2"/>
        <v/>
      </c>
      <c r="L12828">
        <f t="shared" si="3"/>
        <v>0</v>
      </c>
    </row>
    <row r="12829">
      <c r="A12829" s="107"/>
      <c r="D12829" s="270"/>
      <c r="H12829" s="106" t="str">
        <f t="shared" si="1"/>
        <v/>
      </c>
      <c r="J12829" t="str">
        <f>IFERROR(__xludf.DUMMYFUNCTION("IFS(
  AND(REGEXMATCH(E12829, ""台銀籌備帳戶|玉山帳戶""), REGEXMATCH(C12829, ""薪資"")), ""分潤支出"",
  AND(REGEXMATCH(E12829, ""Ben帳戶|Elsa帳戶|Ben代墊|Ariel代墊|中信銀行共用""), REGEXMATCH(F12829, ""Ben帳戶|Elsa帳戶|Ben代墊|Ariel代墊|中信銀行共用"")), ""內部轉帳(忽略)"",
  AND(E12829&lt;&gt;"""", F12829&lt;&gt;"&amp;""""", NOT(REGEXMATCH(C12829, ""薪資""))), ""內部轉帳(忽略)"",
  REGEXMATCH(C12829, ""薪資""), ""薪資變動(不計入)"",
  REGEXMATCH(C12829, ""押金""), ""押金往來"",
  AND(E12829&lt;&gt;"""", F12829=""""), ""真實支出"",
  AND(E12829="""", F12829&lt;&gt;""""), ""真實收入"",
  TRUE, ""其他""
)"),"其他")</f>
        <v>其他</v>
      </c>
      <c r="K12829" s="270" t="str">
        <f t="shared" si="2"/>
        <v/>
      </c>
      <c r="L12829">
        <f t="shared" si="3"/>
        <v>0</v>
      </c>
    </row>
    <row r="12830">
      <c r="A12830" s="107"/>
      <c r="D12830" s="270"/>
      <c r="H12830" s="106" t="str">
        <f t="shared" si="1"/>
        <v/>
      </c>
      <c r="J12830" t="str">
        <f>IFERROR(__xludf.DUMMYFUNCTION("IFS(
  AND(REGEXMATCH(E12830, ""台銀籌備帳戶|玉山帳戶""), REGEXMATCH(C12830, ""薪資"")), ""分潤支出"",
  AND(REGEXMATCH(E12830, ""Ben帳戶|Elsa帳戶|Ben代墊|Ariel代墊|中信銀行共用""), REGEXMATCH(F12830, ""Ben帳戶|Elsa帳戶|Ben代墊|Ariel代墊|中信銀行共用"")), ""內部轉帳(忽略)"",
  AND(E12830&lt;&gt;"""", F12830&lt;&gt;"&amp;""""", NOT(REGEXMATCH(C12830, ""薪資""))), ""內部轉帳(忽略)"",
  REGEXMATCH(C12830, ""薪資""), ""薪資變動(不計入)"",
  REGEXMATCH(C12830, ""押金""), ""押金往來"",
  AND(E12830&lt;&gt;"""", F12830=""""), ""真實支出"",
  AND(E12830="""", F12830&lt;&gt;""""), ""真實收入"",
  TRUE, ""其他""
)"),"其他")</f>
        <v>其他</v>
      </c>
      <c r="K12830" s="270" t="str">
        <f t="shared" si="2"/>
        <v/>
      </c>
      <c r="L12830">
        <f t="shared" si="3"/>
        <v>0</v>
      </c>
    </row>
    <row r="12831">
      <c r="A12831" s="107"/>
      <c r="D12831" s="270"/>
      <c r="H12831" s="106" t="str">
        <f t="shared" si="1"/>
        <v/>
      </c>
      <c r="J12831" t="str">
        <f>IFERROR(__xludf.DUMMYFUNCTION("IFS(
  AND(REGEXMATCH(E12831, ""台銀籌備帳戶|玉山帳戶""), REGEXMATCH(C12831, ""薪資"")), ""分潤支出"",
  AND(REGEXMATCH(E12831, ""Ben帳戶|Elsa帳戶|Ben代墊|Ariel代墊|中信銀行共用""), REGEXMATCH(F12831, ""Ben帳戶|Elsa帳戶|Ben代墊|Ariel代墊|中信銀行共用"")), ""內部轉帳(忽略)"",
  AND(E12831&lt;&gt;"""", F12831&lt;&gt;"&amp;""""", NOT(REGEXMATCH(C12831, ""薪資""))), ""內部轉帳(忽略)"",
  REGEXMATCH(C12831, ""薪資""), ""薪資變動(不計入)"",
  REGEXMATCH(C12831, ""押金""), ""押金往來"",
  AND(E12831&lt;&gt;"""", F12831=""""), ""真實支出"",
  AND(E12831="""", F12831&lt;&gt;""""), ""真實收入"",
  TRUE, ""其他""
)"),"其他")</f>
        <v>其他</v>
      </c>
      <c r="K12831" s="270" t="str">
        <f t="shared" si="2"/>
        <v/>
      </c>
      <c r="L12831">
        <f t="shared" si="3"/>
        <v>0</v>
      </c>
    </row>
    <row r="12832">
      <c r="A12832" s="107"/>
      <c r="D12832" s="270"/>
      <c r="H12832" s="106" t="str">
        <f t="shared" si="1"/>
        <v/>
      </c>
      <c r="J12832" t="str">
        <f>IFERROR(__xludf.DUMMYFUNCTION("IFS(
  AND(REGEXMATCH(E12832, ""台銀籌備帳戶|玉山帳戶""), REGEXMATCH(C12832, ""薪資"")), ""分潤支出"",
  AND(REGEXMATCH(E12832, ""Ben帳戶|Elsa帳戶|Ben代墊|Ariel代墊|中信銀行共用""), REGEXMATCH(F12832, ""Ben帳戶|Elsa帳戶|Ben代墊|Ariel代墊|中信銀行共用"")), ""內部轉帳(忽略)"",
  AND(E12832&lt;&gt;"""", F12832&lt;&gt;"&amp;""""", NOT(REGEXMATCH(C12832, ""薪資""))), ""內部轉帳(忽略)"",
  REGEXMATCH(C12832, ""薪資""), ""薪資變動(不計入)"",
  REGEXMATCH(C12832, ""押金""), ""押金往來"",
  AND(E12832&lt;&gt;"""", F12832=""""), ""真實支出"",
  AND(E12832="""", F12832&lt;&gt;""""), ""真實收入"",
  TRUE, ""其他""
)"),"其他")</f>
        <v>其他</v>
      </c>
      <c r="K12832" s="270" t="str">
        <f t="shared" si="2"/>
        <v/>
      </c>
      <c r="L12832">
        <f t="shared" si="3"/>
        <v>0</v>
      </c>
    </row>
    <row r="12833">
      <c r="A12833" s="107"/>
      <c r="D12833" s="270"/>
      <c r="H12833" s="106" t="str">
        <f t="shared" si="1"/>
        <v/>
      </c>
      <c r="J12833" t="str">
        <f>IFERROR(__xludf.DUMMYFUNCTION("IFS(
  AND(REGEXMATCH(E12833, ""台銀籌備帳戶|玉山帳戶""), REGEXMATCH(C12833, ""薪資"")), ""分潤支出"",
  AND(REGEXMATCH(E12833, ""Ben帳戶|Elsa帳戶|Ben代墊|Ariel代墊|中信銀行共用""), REGEXMATCH(F12833, ""Ben帳戶|Elsa帳戶|Ben代墊|Ariel代墊|中信銀行共用"")), ""內部轉帳(忽略)"",
  AND(E12833&lt;&gt;"""", F12833&lt;&gt;"&amp;""""", NOT(REGEXMATCH(C12833, ""薪資""))), ""內部轉帳(忽略)"",
  REGEXMATCH(C12833, ""薪資""), ""薪資變動(不計入)"",
  REGEXMATCH(C12833, ""押金""), ""押金往來"",
  AND(E12833&lt;&gt;"""", F12833=""""), ""真實支出"",
  AND(E12833="""", F12833&lt;&gt;""""), ""真實收入"",
  TRUE, ""其他""
)"),"其他")</f>
        <v>其他</v>
      </c>
      <c r="K12833" s="270" t="str">
        <f t="shared" si="2"/>
        <v/>
      </c>
      <c r="L12833">
        <f t="shared" si="3"/>
        <v>0</v>
      </c>
    </row>
    <row r="12834">
      <c r="A12834" s="107"/>
      <c r="D12834" s="270"/>
      <c r="H12834" s="106" t="str">
        <f t="shared" si="1"/>
        <v/>
      </c>
      <c r="J12834" t="str">
        <f>IFERROR(__xludf.DUMMYFUNCTION("IFS(
  AND(REGEXMATCH(E12834, ""台銀籌備帳戶|玉山帳戶""), REGEXMATCH(C12834, ""薪資"")), ""分潤支出"",
  AND(REGEXMATCH(E12834, ""Ben帳戶|Elsa帳戶|Ben代墊|Ariel代墊|中信銀行共用""), REGEXMATCH(F12834, ""Ben帳戶|Elsa帳戶|Ben代墊|Ariel代墊|中信銀行共用"")), ""內部轉帳(忽略)"",
  AND(E12834&lt;&gt;"""", F12834&lt;&gt;"&amp;""""", NOT(REGEXMATCH(C12834, ""薪資""))), ""內部轉帳(忽略)"",
  REGEXMATCH(C12834, ""薪資""), ""薪資變動(不計入)"",
  REGEXMATCH(C12834, ""押金""), ""押金往來"",
  AND(E12834&lt;&gt;"""", F12834=""""), ""真實支出"",
  AND(E12834="""", F12834&lt;&gt;""""), ""真實收入"",
  TRUE, ""其他""
)"),"其他")</f>
        <v>其他</v>
      </c>
      <c r="K12834" s="270" t="str">
        <f t="shared" si="2"/>
        <v/>
      </c>
      <c r="L12834">
        <f t="shared" si="3"/>
        <v>0</v>
      </c>
    </row>
    <row r="12835">
      <c r="A12835" s="107"/>
      <c r="D12835" s="270"/>
      <c r="H12835" s="106" t="str">
        <f t="shared" si="1"/>
        <v/>
      </c>
      <c r="J12835" t="str">
        <f>IFERROR(__xludf.DUMMYFUNCTION("IFS(
  AND(REGEXMATCH(E12835, ""台銀籌備帳戶|玉山帳戶""), REGEXMATCH(C12835, ""薪資"")), ""分潤支出"",
  AND(REGEXMATCH(E12835, ""Ben帳戶|Elsa帳戶|Ben代墊|Ariel代墊|中信銀行共用""), REGEXMATCH(F12835, ""Ben帳戶|Elsa帳戶|Ben代墊|Ariel代墊|中信銀行共用"")), ""內部轉帳(忽略)"",
  AND(E12835&lt;&gt;"""", F12835&lt;&gt;"&amp;""""", NOT(REGEXMATCH(C12835, ""薪資""))), ""內部轉帳(忽略)"",
  REGEXMATCH(C12835, ""薪資""), ""薪資變動(不計入)"",
  REGEXMATCH(C12835, ""押金""), ""押金往來"",
  AND(E12835&lt;&gt;"""", F12835=""""), ""真實支出"",
  AND(E12835="""", F12835&lt;&gt;""""), ""真實收入"",
  TRUE, ""其他""
)"),"其他")</f>
        <v>其他</v>
      </c>
      <c r="K12835" s="270" t="str">
        <f t="shared" si="2"/>
        <v/>
      </c>
      <c r="L12835">
        <f t="shared" si="3"/>
        <v>0</v>
      </c>
    </row>
    <row r="12836">
      <c r="A12836" s="107"/>
      <c r="D12836" s="270"/>
      <c r="H12836" s="106" t="str">
        <f t="shared" si="1"/>
        <v/>
      </c>
      <c r="J12836" t="str">
        <f>IFERROR(__xludf.DUMMYFUNCTION("IFS(
  AND(REGEXMATCH(E12836, ""台銀籌備帳戶|玉山帳戶""), REGEXMATCH(C12836, ""薪資"")), ""分潤支出"",
  AND(REGEXMATCH(E12836, ""Ben帳戶|Elsa帳戶|Ben代墊|Ariel代墊|中信銀行共用""), REGEXMATCH(F12836, ""Ben帳戶|Elsa帳戶|Ben代墊|Ariel代墊|中信銀行共用"")), ""內部轉帳(忽略)"",
  AND(E12836&lt;&gt;"""", F12836&lt;&gt;"&amp;""""", NOT(REGEXMATCH(C12836, ""薪資""))), ""內部轉帳(忽略)"",
  REGEXMATCH(C12836, ""薪資""), ""薪資變動(不計入)"",
  REGEXMATCH(C12836, ""押金""), ""押金往來"",
  AND(E12836&lt;&gt;"""", F12836=""""), ""真實支出"",
  AND(E12836="""", F12836&lt;&gt;""""), ""真實收入"",
  TRUE, ""其他""
)"),"其他")</f>
        <v>其他</v>
      </c>
      <c r="K12836" s="270" t="str">
        <f t="shared" si="2"/>
        <v/>
      </c>
      <c r="L12836">
        <f t="shared" si="3"/>
        <v>0</v>
      </c>
    </row>
    <row r="12837">
      <c r="A12837" s="107"/>
      <c r="D12837" s="270"/>
      <c r="H12837" s="106" t="str">
        <f t="shared" si="1"/>
        <v/>
      </c>
      <c r="J12837" t="str">
        <f>IFERROR(__xludf.DUMMYFUNCTION("IFS(
  AND(REGEXMATCH(E12837, ""台銀籌備帳戶|玉山帳戶""), REGEXMATCH(C12837, ""薪資"")), ""分潤支出"",
  AND(REGEXMATCH(E12837, ""Ben帳戶|Elsa帳戶|Ben代墊|Ariel代墊|中信銀行共用""), REGEXMATCH(F12837, ""Ben帳戶|Elsa帳戶|Ben代墊|Ariel代墊|中信銀行共用"")), ""內部轉帳(忽略)"",
  AND(E12837&lt;&gt;"""", F12837&lt;&gt;"&amp;""""", NOT(REGEXMATCH(C12837, ""薪資""))), ""內部轉帳(忽略)"",
  REGEXMATCH(C12837, ""薪資""), ""薪資變動(不計入)"",
  REGEXMATCH(C12837, ""押金""), ""押金往來"",
  AND(E12837&lt;&gt;"""", F12837=""""), ""真實支出"",
  AND(E12837="""", F12837&lt;&gt;""""), ""真實收入"",
  TRUE, ""其他""
)"),"其他")</f>
        <v>其他</v>
      </c>
      <c r="K12837" s="270" t="str">
        <f t="shared" si="2"/>
        <v/>
      </c>
      <c r="L12837">
        <f t="shared" si="3"/>
        <v>0</v>
      </c>
    </row>
    <row r="12838">
      <c r="A12838" s="107"/>
      <c r="D12838" s="270"/>
      <c r="H12838" s="106" t="str">
        <f t="shared" si="1"/>
        <v/>
      </c>
      <c r="J12838" t="str">
        <f>IFERROR(__xludf.DUMMYFUNCTION("IFS(
  AND(REGEXMATCH(E12838, ""台銀籌備帳戶|玉山帳戶""), REGEXMATCH(C12838, ""薪資"")), ""分潤支出"",
  AND(REGEXMATCH(E12838, ""Ben帳戶|Elsa帳戶|Ben代墊|Ariel代墊|中信銀行共用""), REGEXMATCH(F12838, ""Ben帳戶|Elsa帳戶|Ben代墊|Ariel代墊|中信銀行共用"")), ""內部轉帳(忽略)"",
  AND(E12838&lt;&gt;"""", F12838&lt;&gt;"&amp;""""", NOT(REGEXMATCH(C12838, ""薪資""))), ""內部轉帳(忽略)"",
  REGEXMATCH(C12838, ""薪資""), ""薪資變動(不計入)"",
  REGEXMATCH(C12838, ""押金""), ""押金往來"",
  AND(E12838&lt;&gt;"""", F12838=""""), ""真實支出"",
  AND(E12838="""", F12838&lt;&gt;""""), ""真實收入"",
  TRUE, ""其他""
)"),"其他")</f>
        <v>其他</v>
      </c>
      <c r="K12838" s="270" t="str">
        <f t="shared" si="2"/>
        <v/>
      </c>
      <c r="L12838">
        <f t="shared" si="3"/>
        <v>0</v>
      </c>
    </row>
    <row r="12839">
      <c r="A12839" s="107"/>
      <c r="D12839" s="270"/>
      <c r="H12839" s="106" t="str">
        <f t="shared" si="1"/>
        <v/>
      </c>
      <c r="J12839" t="str">
        <f>IFERROR(__xludf.DUMMYFUNCTION("IFS(
  AND(REGEXMATCH(E12839, ""台銀籌備帳戶|玉山帳戶""), REGEXMATCH(C12839, ""薪資"")), ""分潤支出"",
  AND(REGEXMATCH(E12839, ""Ben帳戶|Elsa帳戶|Ben代墊|Ariel代墊|中信銀行共用""), REGEXMATCH(F12839, ""Ben帳戶|Elsa帳戶|Ben代墊|Ariel代墊|中信銀行共用"")), ""內部轉帳(忽略)"",
  AND(E12839&lt;&gt;"""", F12839&lt;&gt;"&amp;""""", NOT(REGEXMATCH(C12839, ""薪資""))), ""內部轉帳(忽略)"",
  REGEXMATCH(C12839, ""薪資""), ""薪資變動(不計入)"",
  REGEXMATCH(C12839, ""押金""), ""押金往來"",
  AND(E12839&lt;&gt;"""", F12839=""""), ""真實支出"",
  AND(E12839="""", F12839&lt;&gt;""""), ""真實收入"",
  TRUE, ""其他""
)"),"其他")</f>
        <v>其他</v>
      </c>
      <c r="K12839" s="270" t="str">
        <f t="shared" si="2"/>
        <v/>
      </c>
      <c r="L12839">
        <f t="shared" si="3"/>
        <v>0</v>
      </c>
    </row>
    <row r="12840">
      <c r="A12840" s="107"/>
      <c r="D12840" s="270"/>
      <c r="H12840" s="106" t="str">
        <f t="shared" si="1"/>
        <v/>
      </c>
      <c r="J12840" t="str">
        <f>IFERROR(__xludf.DUMMYFUNCTION("IFS(
  AND(REGEXMATCH(E12840, ""台銀籌備帳戶|玉山帳戶""), REGEXMATCH(C12840, ""薪資"")), ""分潤支出"",
  AND(REGEXMATCH(E12840, ""Ben帳戶|Elsa帳戶|Ben代墊|Ariel代墊|中信銀行共用""), REGEXMATCH(F12840, ""Ben帳戶|Elsa帳戶|Ben代墊|Ariel代墊|中信銀行共用"")), ""內部轉帳(忽略)"",
  AND(E12840&lt;&gt;"""", F12840&lt;&gt;"&amp;""""", NOT(REGEXMATCH(C12840, ""薪資""))), ""內部轉帳(忽略)"",
  REGEXMATCH(C12840, ""薪資""), ""薪資變動(不計入)"",
  REGEXMATCH(C12840, ""押金""), ""押金往來"",
  AND(E12840&lt;&gt;"""", F12840=""""), ""真實支出"",
  AND(E12840="""", F12840&lt;&gt;""""), ""真實收入"",
  TRUE, ""其他""
)"),"其他")</f>
        <v>其他</v>
      </c>
      <c r="K12840" s="270" t="str">
        <f t="shared" si="2"/>
        <v/>
      </c>
      <c r="L12840">
        <f t="shared" si="3"/>
        <v>0</v>
      </c>
    </row>
    <row r="12841">
      <c r="A12841" s="107"/>
      <c r="D12841" s="270"/>
      <c r="H12841" s="106" t="str">
        <f t="shared" si="1"/>
        <v/>
      </c>
      <c r="J12841" t="str">
        <f>IFERROR(__xludf.DUMMYFUNCTION("IFS(
  AND(REGEXMATCH(E12841, ""台銀籌備帳戶|玉山帳戶""), REGEXMATCH(C12841, ""薪資"")), ""分潤支出"",
  AND(REGEXMATCH(E12841, ""Ben帳戶|Elsa帳戶|Ben代墊|Ariel代墊|中信銀行共用""), REGEXMATCH(F12841, ""Ben帳戶|Elsa帳戶|Ben代墊|Ariel代墊|中信銀行共用"")), ""內部轉帳(忽略)"",
  AND(E12841&lt;&gt;"""", F12841&lt;&gt;"&amp;""""", NOT(REGEXMATCH(C12841, ""薪資""))), ""內部轉帳(忽略)"",
  REGEXMATCH(C12841, ""薪資""), ""薪資變動(不計入)"",
  REGEXMATCH(C12841, ""押金""), ""押金往來"",
  AND(E12841&lt;&gt;"""", F12841=""""), ""真實支出"",
  AND(E12841="""", F12841&lt;&gt;""""), ""真實收入"",
  TRUE, ""其他""
)"),"其他")</f>
        <v>其他</v>
      </c>
      <c r="K12841" s="270" t="str">
        <f t="shared" si="2"/>
        <v/>
      </c>
      <c r="L12841">
        <f t="shared" si="3"/>
        <v>0</v>
      </c>
    </row>
    <row r="12842">
      <c r="A12842" s="107"/>
      <c r="D12842" s="270"/>
      <c r="H12842" s="106" t="str">
        <f t="shared" si="1"/>
        <v/>
      </c>
      <c r="J12842" t="str">
        <f>IFERROR(__xludf.DUMMYFUNCTION("IFS(
  AND(REGEXMATCH(E12842, ""台銀籌備帳戶|玉山帳戶""), REGEXMATCH(C12842, ""薪資"")), ""分潤支出"",
  AND(REGEXMATCH(E12842, ""Ben帳戶|Elsa帳戶|Ben代墊|Ariel代墊|中信銀行共用""), REGEXMATCH(F12842, ""Ben帳戶|Elsa帳戶|Ben代墊|Ariel代墊|中信銀行共用"")), ""內部轉帳(忽略)"",
  AND(E12842&lt;&gt;"""", F12842&lt;&gt;"&amp;""""", NOT(REGEXMATCH(C12842, ""薪資""))), ""內部轉帳(忽略)"",
  REGEXMATCH(C12842, ""薪資""), ""薪資變動(不計入)"",
  REGEXMATCH(C12842, ""押金""), ""押金往來"",
  AND(E12842&lt;&gt;"""", F12842=""""), ""真實支出"",
  AND(E12842="""", F12842&lt;&gt;""""), ""真實收入"",
  TRUE, ""其他""
)"),"其他")</f>
        <v>其他</v>
      </c>
      <c r="K12842" s="270" t="str">
        <f t="shared" si="2"/>
        <v/>
      </c>
      <c r="L12842">
        <f t="shared" si="3"/>
        <v>0</v>
      </c>
    </row>
    <row r="12843">
      <c r="A12843" s="107"/>
      <c r="D12843" s="270"/>
      <c r="H12843" s="106" t="str">
        <f t="shared" si="1"/>
        <v/>
      </c>
      <c r="J12843" t="str">
        <f>IFERROR(__xludf.DUMMYFUNCTION("IFS(
  AND(REGEXMATCH(E12843, ""台銀籌備帳戶|玉山帳戶""), REGEXMATCH(C12843, ""薪資"")), ""分潤支出"",
  AND(REGEXMATCH(E12843, ""Ben帳戶|Elsa帳戶|Ben代墊|Ariel代墊|中信銀行共用""), REGEXMATCH(F12843, ""Ben帳戶|Elsa帳戶|Ben代墊|Ariel代墊|中信銀行共用"")), ""內部轉帳(忽略)"",
  AND(E12843&lt;&gt;"""", F12843&lt;&gt;"&amp;""""", NOT(REGEXMATCH(C12843, ""薪資""))), ""內部轉帳(忽略)"",
  REGEXMATCH(C12843, ""薪資""), ""薪資變動(不計入)"",
  REGEXMATCH(C12843, ""押金""), ""押金往來"",
  AND(E12843&lt;&gt;"""", F12843=""""), ""真實支出"",
  AND(E12843="""", F12843&lt;&gt;""""), ""真實收入"",
  TRUE, ""其他""
)"),"其他")</f>
        <v>其他</v>
      </c>
      <c r="K12843" s="270" t="str">
        <f t="shared" si="2"/>
        <v/>
      </c>
      <c r="L12843">
        <f t="shared" si="3"/>
        <v>0</v>
      </c>
    </row>
    <row r="12844">
      <c r="A12844" s="107"/>
      <c r="D12844" s="270"/>
      <c r="H12844" s="106" t="str">
        <f t="shared" si="1"/>
        <v/>
      </c>
      <c r="J12844" t="str">
        <f>IFERROR(__xludf.DUMMYFUNCTION("IFS(
  AND(REGEXMATCH(E12844, ""台銀籌備帳戶|玉山帳戶""), REGEXMATCH(C12844, ""薪資"")), ""分潤支出"",
  AND(REGEXMATCH(E12844, ""Ben帳戶|Elsa帳戶|Ben代墊|Ariel代墊|中信銀行共用""), REGEXMATCH(F12844, ""Ben帳戶|Elsa帳戶|Ben代墊|Ariel代墊|中信銀行共用"")), ""內部轉帳(忽略)"",
  AND(E12844&lt;&gt;"""", F12844&lt;&gt;"&amp;""""", NOT(REGEXMATCH(C12844, ""薪資""))), ""內部轉帳(忽略)"",
  REGEXMATCH(C12844, ""薪資""), ""薪資變動(不計入)"",
  REGEXMATCH(C12844, ""押金""), ""押金往來"",
  AND(E12844&lt;&gt;"""", F12844=""""), ""真實支出"",
  AND(E12844="""", F12844&lt;&gt;""""), ""真實收入"",
  TRUE, ""其他""
)"),"其他")</f>
        <v>其他</v>
      </c>
      <c r="K12844" s="270" t="str">
        <f t="shared" si="2"/>
        <v/>
      </c>
      <c r="L12844">
        <f t="shared" si="3"/>
        <v>0</v>
      </c>
    </row>
    <row r="12845">
      <c r="A12845" s="107"/>
      <c r="D12845" s="270"/>
      <c r="H12845" s="106" t="str">
        <f t="shared" si="1"/>
        <v/>
      </c>
      <c r="J12845" t="str">
        <f>IFERROR(__xludf.DUMMYFUNCTION("IFS(
  AND(REGEXMATCH(E12845, ""台銀籌備帳戶|玉山帳戶""), REGEXMATCH(C12845, ""薪資"")), ""分潤支出"",
  AND(REGEXMATCH(E12845, ""Ben帳戶|Elsa帳戶|Ben代墊|Ariel代墊|中信銀行共用""), REGEXMATCH(F12845, ""Ben帳戶|Elsa帳戶|Ben代墊|Ariel代墊|中信銀行共用"")), ""內部轉帳(忽略)"",
  AND(E12845&lt;&gt;"""", F12845&lt;&gt;"&amp;""""", NOT(REGEXMATCH(C12845, ""薪資""))), ""內部轉帳(忽略)"",
  REGEXMATCH(C12845, ""薪資""), ""薪資變動(不計入)"",
  REGEXMATCH(C12845, ""押金""), ""押金往來"",
  AND(E12845&lt;&gt;"""", F12845=""""), ""真實支出"",
  AND(E12845="""", F12845&lt;&gt;""""), ""真實收入"",
  TRUE, ""其他""
)"),"其他")</f>
        <v>其他</v>
      </c>
      <c r="K12845" s="270" t="str">
        <f t="shared" si="2"/>
        <v/>
      </c>
      <c r="L12845">
        <f t="shared" si="3"/>
        <v>0</v>
      </c>
    </row>
    <row r="12846">
      <c r="A12846" s="107"/>
      <c r="D12846" s="270"/>
      <c r="H12846" s="106" t="str">
        <f t="shared" si="1"/>
        <v/>
      </c>
      <c r="J12846" t="str">
        <f>IFERROR(__xludf.DUMMYFUNCTION("IFS(
  AND(REGEXMATCH(E12846, ""台銀籌備帳戶|玉山帳戶""), REGEXMATCH(C12846, ""薪資"")), ""分潤支出"",
  AND(REGEXMATCH(E12846, ""Ben帳戶|Elsa帳戶|Ben代墊|Ariel代墊|中信銀行共用""), REGEXMATCH(F12846, ""Ben帳戶|Elsa帳戶|Ben代墊|Ariel代墊|中信銀行共用"")), ""內部轉帳(忽略)"",
  AND(E12846&lt;&gt;"""", F12846&lt;&gt;"&amp;""""", NOT(REGEXMATCH(C12846, ""薪資""))), ""內部轉帳(忽略)"",
  REGEXMATCH(C12846, ""薪資""), ""薪資變動(不計入)"",
  REGEXMATCH(C12846, ""押金""), ""押金往來"",
  AND(E12846&lt;&gt;"""", F12846=""""), ""真實支出"",
  AND(E12846="""", F12846&lt;&gt;""""), ""真實收入"",
  TRUE, ""其他""
)"),"其他")</f>
        <v>其他</v>
      </c>
      <c r="K12846" s="270" t="str">
        <f t="shared" si="2"/>
        <v/>
      </c>
      <c r="L12846">
        <f t="shared" si="3"/>
        <v>0</v>
      </c>
    </row>
    <row r="12847">
      <c r="A12847" s="107"/>
      <c r="D12847" s="270"/>
      <c r="H12847" s="106" t="str">
        <f t="shared" si="1"/>
        <v/>
      </c>
      <c r="J12847" t="str">
        <f>IFERROR(__xludf.DUMMYFUNCTION("IFS(
  AND(REGEXMATCH(E12847, ""台銀籌備帳戶|玉山帳戶""), REGEXMATCH(C12847, ""薪資"")), ""分潤支出"",
  AND(REGEXMATCH(E12847, ""Ben帳戶|Elsa帳戶|Ben代墊|Ariel代墊|中信銀行共用""), REGEXMATCH(F12847, ""Ben帳戶|Elsa帳戶|Ben代墊|Ariel代墊|中信銀行共用"")), ""內部轉帳(忽略)"",
  AND(E12847&lt;&gt;"""", F12847&lt;&gt;"&amp;""""", NOT(REGEXMATCH(C12847, ""薪資""))), ""內部轉帳(忽略)"",
  REGEXMATCH(C12847, ""薪資""), ""薪資變動(不計入)"",
  REGEXMATCH(C12847, ""押金""), ""押金往來"",
  AND(E12847&lt;&gt;"""", F12847=""""), ""真實支出"",
  AND(E12847="""", F12847&lt;&gt;""""), ""真實收入"",
  TRUE, ""其他""
)"),"其他")</f>
        <v>其他</v>
      </c>
      <c r="K12847" s="270" t="str">
        <f t="shared" si="2"/>
        <v/>
      </c>
      <c r="L12847">
        <f t="shared" si="3"/>
        <v>0</v>
      </c>
    </row>
    <row r="12848">
      <c r="A12848" s="107"/>
      <c r="D12848" s="270"/>
      <c r="H12848" s="106" t="str">
        <f t="shared" si="1"/>
        <v/>
      </c>
      <c r="J12848" t="str">
        <f>IFERROR(__xludf.DUMMYFUNCTION("IFS(
  AND(REGEXMATCH(E12848, ""台銀籌備帳戶|玉山帳戶""), REGEXMATCH(C12848, ""薪資"")), ""分潤支出"",
  AND(REGEXMATCH(E12848, ""Ben帳戶|Elsa帳戶|Ben代墊|Ariel代墊|中信銀行共用""), REGEXMATCH(F12848, ""Ben帳戶|Elsa帳戶|Ben代墊|Ariel代墊|中信銀行共用"")), ""內部轉帳(忽略)"",
  AND(E12848&lt;&gt;"""", F12848&lt;&gt;"&amp;""""", NOT(REGEXMATCH(C12848, ""薪資""))), ""內部轉帳(忽略)"",
  REGEXMATCH(C12848, ""薪資""), ""薪資變動(不計入)"",
  REGEXMATCH(C12848, ""押金""), ""押金往來"",
  AND(E12848&lt;&gt;"""", F12848=""""), ""真實支出"",
  AND(E12848="""", F12848&lt;&gt;""""), ""真實收入"",
  TRUE, ""其他""
)"),"其他")</f>
        <v>其他</v>
      </c>
      <c r="K12848" s="270" t="str">
        <f t="shared" si="2"/>
        <v/>
      </c>
      <c r="L12848">
        <f t="shared" si="3"/>
        <v>0</v>
      </c>
    </row>
    <row r="12849">
      <c r="A12849" s="107"/>
      <c r="D12849" s="270"/>
      <c r="H12849" s="106" t="str">
        <f t="shared" si="1"/>
        <v/>
      </c>
      <c r="J12849" t="str">
        <f>IFERROR(__xludf.DUMMYFUNCTION("IFS(
  AND(REGEXMATCH(E12849, ""台銀籌備帳戶|玉山帳戶""), REGEXMATCH(C12849, ""薪資"")), ""分潤支出"",
  AND(REGEXMATCH(E12849, ""Ben帳戶|Elsa帳戶|Ben代墊|Ariel代墊|中信銀行共用""), REGEXMATCH(F12849, ""Ben帳戶|Elsa帳戶|Ben代墊|Ariel代墊|中信銀行共用"")), ""內部轉帳(忽略)"",
  AND(E12849&lt;&gt;"""", F12849&lt;&gt;"&amp;""""", NOT(REGEXMATCH(C12849, ""薪資""))), ""內部轉帳(忽略)"",
  REGEXMATCH(C12849, ""薪資""), ""薪資變動(不計入)"",
  REGEXMATCH(C12849, ""押金""), ""押金往來"",
  AND(E12849&lt;&gt;"""", F12849=""""), ""真實支出"",
  AND(E12849="""", F12849&lt;&gt;""""), ""真實收入"",
  TRUE, ""其他""
)"),"其他")</f>
        <v>其他</v>
      </c>
      <c r="K12849" s="270" t="str">
        <f t="shared" si="2"/>
        <v/>
      </c>
      <c r="L12849">
        <f t="shared" si="3"/>
        <v>0</v>
      </c>
    </row>
    <row r="12850">
      <c r="A12850" s="107"/>
      <c r="D12850" s="270"/>
      <c r="H12850" s="106" t="str">
        <f t="shared" si="1"/>
        <v/>
      </c>
      <c r="J12850" t="str">
        <f>IFERROR(__xludf.DUMMYFUNCTION("IFS(
  AND(REGEXMATCH(E12850, ""台銀籌備帳戶|玉山帳戶""), REGEXMATCH(C12850, ""薪資"")), ""分潤支出"",
  AND(REGEXMATCH(E12850, ""Ben帳戶|Elsa帳戶|Ben代墊|Ariel代墊|中信銀行共用""), REGEXMATCH(F12850, ""Ben帳戶|Elsa帳戶|Ben代墊|Ariel代墊|中信銀行共用"")), ""內部轉帳(忽略)"",
  AND(E12850&lt;&gt;"""", F12850&lt;&gt;"&amp;""""", NOT(REGEXMATCH(C12850, ""薪資""))), ""內部轉帳(忽略)"",
  REGEXMATCH(C12850, ""薪資""), ""薪資變動(不計入)"",
  REGEXMATCH(C12850, ""押金""), ""押金往來"",
  AND(E12850&lt;&gt;"""", F12850=""""), ""真實支出"",
  AND(E12850="""", F12850&lt;&gt;""""), ""真實收入"",
  TRUE, ""其他""
)"),"其他")</f>
        <v>其他</v>
      </c>
      <c r="K12850" s="270" t="str">
        <f t="shared" si="2"/>
        <v/>
      </c>
      <c r="L12850">
        <f t="shared" si="3"/>
        <v>0</v>
      </c>
    </row>
    <row r="12851">
      <c r="A12851" s="107"/>
      <c r="D12851" s="270"/>
      <c r="H12851" s="106" t="str">
        <f t="shared" si="1"/>
        <v/>
      </c>
      <c r="J12851" t="str">
        <f>IFERROR(__xludf.DUMMYFUNCTION("IFS(
  AND(REGEXMATCH(E12851, ""台銀籌備帳戶|玉山帳戶""), REGEXMATCH(C12851, ""薪資"")), ""分潤支出"",
  AND(REGEXMATCH(E12851, ""Ben帳戶|Elsa帳戶|Ben代墊|Ariel代墊|中信銀行共用""), REGEXMATCH(F12851, ""Ben帳戶|Elsa帳戶|Ben代墊|Ariel代墊|中信銀行共用"")), ""內部轉帳(忽略)"",
  AND(E12851&lt;&gt;"""", F12851&lt;&gt;"&amp;""""", NOT(REGEXMATCH(C12851, ""薪資""))), ""內部轉帳(忽略)"",
  REGEXMATCH(C12851, ""薪資""), ""薪資變動(不計入)"",
  REGEXMATCH(C12851, ""押金""), ""押金往來"",
  AND(E12851&lt;&gt;"""", F12851=""""), ""真實支出"",
  AND(E12851="""", F12851&lt;&gt;""""), ""真實收入"",
  TRUE, ""其他""
)"),"其他")</f>
        <v>其他</v>
      </c>
      <c r="K12851" s="270" t="str">
        <f t="shared" si="2"/>
        <v/>
      </c>
      <c r="L12851">
        <f t="shared" si="3"/>
        <v>0</v>
      </c>
    </row>
    <row r="12852">
      <c r="A12852" s="107"/>
      <c r="D12852" s="270"/>
      <c r="H12852" s="106" t="str">
        <f t="shared" si="1"/>
        <v/>
      </c>
      <c r="J12852" t="str">
        <f>IFERROR(__xludf.DUMMYFUNCTION("IFS(
  AND(REGEXMATCH(E12852, ""台銀籌備帳戶|玉山帳戶""), REGEXMATCH(C12852, ""薪資"")), ""分潤支出"",
  AND(REGEXMATCH(E12852, ""Ben帳戶|Elsa帳戶|Ben代墊|Ariel代墊|中信銀行共用""), REGEXMATCH(F12852, ""Ben帳戶|Elsa帳戶|Ben代墊|Ariel代墊|中信銀行共用"")), ""內部轉帳(忽略)"",
  AND(E12852&lt;&gt;"""", F12852&lt;&gt;"&amp;""""", NOT(REGEXMATCH(C12852, ""薪資""))), ""內部轉帳(忽略)"",
  REGEXMATCH(C12852, ""薪資""), ""薪資變動(不計入)"",
  REGEXMATCH(C12852, ""押金""), ""押金往來"",
  AND(E12852&lt;&gt;"""", F12852=""""), ""真實支出"",
  AND(E12852="""", F12852&lt;&gt;""""), ""真實收入"",
  TRUE, ""其他""
)"),"其他")</f>
        <v>其他</v>
      </c>
      <c r="K12852" s="270" t="str">
        <f t="shared" si="2"/>
        <v/>
      </c>
      <c r="L12852">
        <f t="shared" si="3"/>
        <v>0</v>
      </c>
    </row>
    <row r="12853">
      <c r="A12853" s="107"/>
      <c r="D12853" s="270"/>
      <c r="H12853" s="106" t="str">
        <f t="shared" si="1"/>
        <v/>
      </c>
      <c r="J12853" t="str">
        <f>IFERROR(__xludf.DUMMYFUNCTION("IFS(
  AND(REGEXMATCH(E12853, ""台銀籌備帳戶|玉山帳戶""), REGEXMATCH(C12853, ""薪資"")), ""分潤支出"",
  AND(REGEXMATCH(E12853, ""Ben帳戶|Elsa帳戶|Ben代墊|Ariel代墊|中信銀行共用""), REGEXMATCH(F12853, ""Ben帳戶|Elsa帳戶|Ben代墊|Ariel代墊|中信銀行共用"")), ""內部轉帳(忽略)"",
  AND(E12853&lt;&gt;"""", F12853&lt;&gt;"&amp;""""", NOT(REGEXMATCH(C12853, ""薪資""))), ""內部轉帳(忽略)"",
  REGEXMATCH(C12853, ""薪資""), ""薪資變動(不計入)"",
  REGEXMATCH(C12853, ""押金""), ""押金往來"",
  AND(E12853&lt;&gt;"""", F12853=""""), ""真實支出"",
  AND(E12853="""", F12853&lt;&gt;""""), ""真實收入"",
  TRUE, ""其他""
)"),"其他")</f>
        <v>其他</v>
      </c>
      <c r="K12853" s="270" t="str">
        <f t="shared" si="2"/>
        <v/>
      </c>
      <c r="L12853">
        <f t="shared" si="3"/>
        <v>0</v>
      </c>
    </row>
    <row r="12854">
      <c r="A12854" s="107"/>
      <c r="D12854" s="270"/>
      <c r="H12854" s="106" t="str">
        <f t="shared" si="1"/>
        <v/>
      </c>
      <c r="J12854" t="str">
        <f>IFERROR(__xludf.DUMMYFUNCTION("IFS(
  AND(REGEXMATCH(E12854, ""台銀籌備帳戶|玉山帳戶""), REGEXMATCH(C12854, ""薪資"")), ""分潤支出"",
  AND(REGEXMATCH(E12854, ""Ben帳戶|Elsa帳戶|Ben代墊|Ariel代墊|中信銀行共用""), REGEXMATCH(F12854, ""Ben帳戶|Elsa帳戶|Ben代墊|Ariel代墊|中信銀行共用"")), ""內部轉帳(忽略)"",
  AND(E12854&lt;&gt;"""", F12854&lt;&gt;"&amp;""""", NOT(REGEXMATCH(C12854, ""薪資""))), ""內部轉帳(忽略)"",
  REGEXMATCH(C12854, ""薪資""), ""薪資變動(不計入)"",
  REGEXMATCH(C12854, ""押金""), ""押金往來"",
  AND(E12854&lt;&gt;"""", F12854=""""), ""真實支出"",
  AND(E12854="""", F12854&lt;&gt;""""), ""真實收入"",
  TRUE, ""其他""
)"),"其他")</f>
        <v>其他</v>
      </c>
      <c r="K12854" s="270" t="str">
        <f t="shared" si="2"/>
        <v/>
      </c>
      <c r="L12854">
        <f t="shared" si="3"/>
        <v>0</v>
      </c>
    </row>
    <row r="12855">
      <c r="A12855" s="107"/>
      <c r="D12855" s="270"/>
      <c r="H12855" s="106" t="str">
        <f t="shared" si="1"/>
        <v/>
      </c>
      <c r="J12855" t="str">
        <f>IFERROR(__xludf.DUMMYFUNCTION("IFS(
  AND(REGEXMATCH(E12855, ""台銀籌備帳戶|玉山帳戶""), REGEXMATCH(C12855, ""薪資"")), ""分潤支出"",
  AND(REGEXMATCH(E12855, ""Ben帳戶|Elsa帳戶|Ben代墊|Ariel代墊|中信銀行共用""), REGEXMATCH(F12855, ""Ben帳戶|Elsa帳戶|Ben代墊|Ariel代墊|中信銀行共用"")), ""內部轉帳(忽略)"",
  AND(E12855&lt;&gt;"""", F12855&lt;&gt;"&amp;""""", NOT(REGEXMATCH(C12855, ""薪資""))), ""內部轉帳(忽略)"",
  REGEXMATCH(C12855, ""薪資""), ""薪資變動(不計入)"",
  REGEXMATCH(C12855, ""押金""), ""押金往來"",
  AND(E12855&lt;&gt;"""", F12855=""""), ""真實支出"",
  AND(E12855="""", F12855&lt;&gt;""""), ""真實收入"",
  TRUE, ""其他""
)"),"其他")</f>
        <v>其他</v>
      </c>
      <c r="K12855" s="270" t="str">
        <f t="shared" si="2"/>
        <v/>
      </c>
      <c r="L12855">
        <f t="shared" si="3"/>
        <v>0</v>
      </c>
    </row>
    <row r="12856">
      <c r="A12856" s="107"/>
      <c r="D12856" s="270"/>
      <c r="H12856" s="106" t="str">
        <f t="shared" si="1"/>
        <v/>
      </c>
      <c r="J12856" t="str">
        <f>IFERROR(__xludf.DUMMYFUNCTION("IFS(
  AND(REGEXMATCH(E12856, ""台銀籌備帳戶|玉山帳戶""), REGEXMATCH(C12856, ""薪資"")), ""分潤支出"",
  AND(REGEXMATCH(E12856, ""Ben帳戶|Elsa帳戶|Ben代墊|Ariel代墊|中信銀行共用""), REGEXMATCH(F12856, ""Ben帳戶|Elsa帳戶|Ben代墊|Ariel代墊|中信銀行共用"")), ""內部轉帳(忽略)"",
  AND(E12856&lt;&gt;"""", F12856&lt;&gt;"&amp;""""", NOT(REGEXMATCH(C12856, ""薪資""))), ""內部轉帳(忽略)"",
  REGEXMATCH(C12856, ""薪資""), ""薪資變動(不計入)"",
  REGEXMATCH(C12856, ""押金""), ""押金往來"",
  AND(E12856&lt;&gt;"""", F12856=""""), ""真實支出"",
  AND(E12856="""", F12856&lt;&gt;""""), ""真實收入"",
  TRUE, ""其他""
)"),"其他")</f>
        <v>其他</v>
      </c>
      <c r="K12856" s="270" t="str">
        <f t="shared" si="2"/>
        <v/>
      </c>
      <c r="L12856">
        <f t="shared" si="3"/>
        <v>0</v>
      </c>
    </row>
    <row r="12857">
      <c r="A12857" s="107"/>
      <c r="D12857" s="270"/>
      <c r="H12857" s="106" t="str">
        <f t="shared" si="1"/>
        <v/>
      </c>
      <c r="J12857" t="str">
        <f>IFERROR(__xludf.DUMMYFUNCTION("IFS(
  AND(REGEXMATCH(E12857, ""台銀籌備帳戶|玉山帳戶""), REGEXMATCH(C12857, ""薪資"")), ""分潤支出"",
  AND(REGEXMATCH(E12857, ""Ben帳戶|Elsa帳戶|Ben代墊|Ariel代墊|中信銀行共用""), REGEXMATCH(F12857, ""Ben帳戶|Elsa帳戶|Ben代墊|Ariel代墊|中信銀行共用"")), ""內部轉帳(忽略)"",
  AND(E12857&lt;&gt;"""", F12857&lt;&gt;"&amp;""""", NOT(REGEXMATCH(C12857, ""薪資""))), ""內部轉帳(忽略)"",
  REGEXMATCH(C12857, ""薪資""), ""薪資變動(不計入)"",
  REGEXMATCH(C12857, ""押金""), ""押金往來"",
  AND(E12857&lt;&gt;"""", F12857=""""), ""真實支出"",
  AND(E12857="""", F12857&lt;&gt;""""), ""真實收入"",
  TRUE, ""其他""
)"),"其他")</f>
        <v>其他</v>
      </c>
      <c r="K12857" s="270" t="str">
        <f t="shared" si="2"/>
        <v/>
      </c>
      <c r="L12857">
        <f t="shared" si="3"/>
        <v>0</v>
      </c>
    </row>
    <row r="12858">
      <c r="A12858" s="107"/>
      <c r="D12858" s="270"/>
      <c r="H12858" s="106" t="str">
        <f t="shared" si="1"/>
        <v/>
      </c>
      <c r="J12858" t="str">
        <f>IFERROR(__xludf.DUMMYFUNCTION("IFS(
  AND(REGEXMATCH(E12858, ""台銀籌備帳戶|玉山帳戶""), REGEXMATCH(C12858, ""薪資"")), ""分潤支出"",
  AND(REGEXMATCH(E12858, ""Ben帳戶|Elsa帳戶|Ben代墊|Ariel代墊|中信銀行共用""), REGEXMATCH(F12858, ""Ben帳戶|Elsa帳戶|Ben代墊|Ariel代墊|中信銀行共用"")), ""內部轉帳(忽略)"",
  AND(E12858&lt;&gt;"""", F12858&lt;&gt;"&amp;""""", NOT(REGEXMATCH(C12858, ""薪資""))), ""內部轉帳(忽略)"",
  REGEXMATCH(C12858, ""薪資""), ""薪資變動(不計入)"",
  REGEXMATCH(C12858, ""押金""), ""押金往來"",
  AND(E12858&lt;&gt;"""", F12858=""""), ""真實支出"",
  AND(E12858="""", F12858&lt;&gt;""""), ""真實收入"",
  TRUE, ""其他""
)"),"其他")</f>
        <v>其他</v>
      </c>
      <c r="K12858" s="270" t="str">
        <f t="shared" si="2"/>
        <v/>
      </c>
      <c r="L12858">
        <f t="shared" si="3"/>
        <v>0</v>
      </c>
    </row>
    <row r="12859">
      <c r="A12859" s="107"/>
      <c r="D12859" s="270"/>
      <c r="H12859" s="106" t="str">
        <f t="shared" si="1"/>
        <v/>
      </c>
      <c r="J12859" t="str">
        <f>IFERROR(__xludf.DUMMYFUNCTION("IFS(
  AND(REGEXMATCH(E12859, ""台銀籌備帳戶|玉山帳戶""), REGEXMATCH(C12859, ""薪資"")), ""分潤支出"",
  AND(REGEXMATCH(E12859, ""Ben帳戶|Elsa帳戶|Ben代墊|Ariel代墊|中信銀行共用""), REGEXMATCH(F12859, ""Ben帳戶|Elsa帳戶|Ben代墊|Ariel代墊|中信銀行共用"")), ""內部轉帳(忽略)"",
  AND(E12859&lt;&gt;"""", F12859&lt;&gt;"&amp;""""", NOT(REGEXMATCH(C12859, ""薪資""))), ""內部轉帳(忽略)"",
  REGEXMATCH(C12859, ""薪資""), ""薪資變動(不計入)"",
  REGEXMATCH(C12859, ""押金""), ""押金往來"",
  AND(E12859&lt;&gt;"""", F12859=""""), ""真實支出"",
  AND(E12859="""", F12859&lt;&gt;""""), ""真實收入"",
  TRUE, ""其他""
)"),"其他")</f>
        <v>其他</v>
      </c>
      <c r="K12859" s="270" t="str">
        <f t="shared" si="2"/>
        <v/>
      </c>
      <c r="L12859">
        <f t="shared" si="3"/>
        <v>0</v>
      </c>
    </row>
    <row r="12860">
      <c r="A12860" s="107"/>
      <c r="D12860" s="270"/>
      <c r="H12860" s="106" t="str">
        <f t="shared" si="1"/>
        <v/>
      </c>
      <c r="J12860" t="str">
        <f>IFERROR(__xludf.DUMMYFUNCTION("IFS(
  AND(REGEXMATCH(E12860, ""台銀籌備帳戶|玉山帳戶""), REGEXMATCH(C12860, ""薪資"")), ""分潤支出"",
  AND(REGEXMATCH(E12860, ""Ben帳戶|Elsa帳戶|Ben代墊|Ariel代墊|中信銀行共用""), REGEXMATCH(F12860, ""Ben帳戶|Elsa帳戶|Ben代墊|Ariel代墊|中信銀行共用"")), ""內部轉帳(忽略)"",
  AND(E12860&lt;&gt;"""", F12860&lt;&gt;"&amp;""""", NOT(REGEXMATCH(C12860, ""薪資""))), ""內部轉帳(忽略)"",
  REGEXMATCH(C12860, ""薪資""), ""薪資變動(不計入)"",
  REGEXMATCH(C12860, ""押金""), ""押金往來"",
  AND(E12860&lt;&gt;"""", F12860=""""), ""真實支出"",
  AND(E12860="""", F12860&lt;&gt;""""), ""真實收入"",
  TRUE, ""其他""
)"),"其他")</f>
        <v>其他</v>
      </c>
      <c r="K12860" s="270" t="str">
        <f t="shared" si="2"/>
        <v/>
      </c>
      <c r="L12860">
        <f t="shared" si="3"/>
        <v>0</v>
      </c>
    </row>
    <row r="12861">
      <c r="A12861" s="107"/>
      <c r="D12861" s="270"/>
      <c r="H12861" s="106" t="str">
        <f t="shared" si="1"/>
        <v/>
      </c>
      <c r="J12861" t="str">
        <f>IFERROR(__xludf.DUMMYFUNCTION("IFS(
  AND(REGEXMATCH(E12861, ""台銀籌備帳戶|玉山帳戶""), REGEXMATCH(C12861, ""薪資"")), ""分潤支出"",
  AND(REGEXMATCH(E12861, ""Ben帳戶|Elsa帳戶|Ben代墊|Ariel代墊|中信銀行共用""), REGEXMATCH(F12861, ""Ben帳戶|Elsa帳戶|Ben代墊|Ariel代墊|中信銀行共用"")), ""內部轉帳(忽略)"",
  AND(E12861&lt;&gt;"""", F12861&lt;&gt;"&amp;""""", NOT(REGEXMATCH(C12861, ""薪資""))), ""內部轉帳(忽略)"",
  REGEXMATCH(C12861, ""薪資""), ""薪資變動(不計入)"",
  REGEXMATCH(C12861, ""押金""), ""押金往來"",
  AND(E12861&lt;&gt;"""", F12861=""""), ""真實支出"",
  AND(E12861="""", F12861&lt;&gt;""""), ""真實收入"",
  TRUE, ""其他""
)"),"其他")</f>
        <v>其他</v>
      </c>
      <c r="K12861" s="270" t="str">
        <f t="shared" si="2"/>
        <v/>
      </c>
      <c r="L12861">
        <f t="shared" si="3"/>
        <v>0</v>
      </c>
    </row>
    <row r="12862">
      <c r="A12862" s="107"/>
      <c r="D12862" s="270"/>
      <c r="H12862" s="106" t="str">
        <f t="shared" si="1"/>
        <v/>
      </c>
      <c r="J12862" t="str">
        <f>IFERROR(__xludf.DUMMYFUNCTION("IFS(
  AND(REGEXMATCH(E12862, ""台銀籌備帳戶|玉山帳戶""), REGEXMATCH(C12862, ""薪資"")), ""分潤支出"",
  AND(REGEXMATCH(E12862, ""Ben帳戶|Elsa帳戶|Ben代墊|Ariel代墊|中信銀行共用""), REGEXMATCH(F12862, ""Ben帳戶|Elsa帳戶|Ben代墊|Ariel代墊|中信銀行共用"")), ""內部轉帳(忽略)"",
  AND(E12862&lt;&gt;"""", F12862&lt;&gt;"&amp;""""", NOT(REGEXMATCH(C12862, ""薪資""))), ""內部轉帳(忽略)"",
  REGEXMATCH(C12862, ""薪資""), ""薪資變動(不計入)"",
  REGEXMATCH(C12862, ""押金""), ""押金往來"",
  AND(E12862&lt;&gt;"""", F12862=""""), ""真實支出"",
  AND(E12862="""", F12862&lt;&gt;""""), ""真實收入"",
  TRUE, ""其他""
)"),"其他")</f>
        <v>其他</v>
      </c>
      <c r="K12862" s="270" t="str">
        <f t="shared" si="2"/>
        <v/>
      </c>
      <c r="L12862">
        <f t="shared" si="3"/>
        <v>0</v>
      </c>
    </row>
    <row r="12863">
      <c r="A12863" s="107"/>
      <c r="D12863" s="270"/>
      <c r="H12863" s="106" t="str">
        <f t="shared" si="1"/>
        <v/>
      </c>
      <c r="J12863" t="str">
        <f>IFERROR(__xludf.DUMMYFUNCTION("IFS(
  AND(REGEXMATCH(E12863, ""台銀籌備帳戶|玉山帳戶""), REGEXMATCH(C12863, ""薪資"")), ""分潤支出"",
  AND(REGEXMATCH(E12863, ""Ben帳戶|Elsa帳戶|Ben代墊|Ariel代墊|中信銀行共用""), REGEXMATCH(F12863, ""Ben帳戶|Elsa帳戶|Ben代墊|Ariel代墊|中信銀行共用"")), ""內部轉帳(忽略)"",
  AND(E12863&lt;&gt;"""", F12863&lt;&gt;"&amp;""""", NOT(REGEXMATCH(C12863, ""薪資""))), ""內部轉帳(忽略)"",
  REGEXMATCH(C12863, ""薪資""), ""薪資變動(不計入)"",
  REGEXMATCH(C12863, ""押金""), ""押金往來"",
  AND(E12863&lt;&gt;"""", F12863=""""), ""真實支出"",
  AND(E12863="""", F12863&lt;&gt;""""), ""真實收入"",
  TRUE, ""其他""
)"),"其他")</f>
        <v>其他</v>
      </c>
      <c r="K12863" s="270" t="str">
        <f t="shared" si="2"/>
        <v/>
      </c>
      <c r="L12863">
        <f t="shared" si="3"/>
        <v>0</v>
      </c>
    </row>
    <row r="12864">
      <c r="A12864" s="107"/>
      <c r="D12864" s="270"/>
      <c r="H12864" s="106" t="str">
        <f t="shared" si="1"/>
        <v/>
      </c>
      <c r="J12864" t="str">
        <f>IFERROR(__xludf.DUMMYFUNCTION("IFS(
  AND(REGEXMATCH(E12864, ""台銀籌備帳戶|玉山帳戶""), REGEXMATCH(C12864, ""薪資"")), ""分潤支出"",
  AND(REGEXMATCH(E12864, ""Ben帳戶|Elsa帳戶|Ben代墊|Ariel代墊|中信銀行共用""), REGEXMATCH(F12864, ""Ben帳戶|Elsa帳戶|Ben代墊|Ariel代墊|中信銀行共用"")), ""內部轉帳(忽略)"",
  AND(E12864&lt;&gt;"""", F12864&lt;&gt;"&amp;""""", NOT(REGEXMATCH(C12864, ""薪資""))), ""內部轉帳(忽略)"",
  REGEXMATCH(C12864, ""薪資""), ""薪資變動(不計入)"",
  REGEXMATCH(C12864, ""押金""), ""押金往來"",
  AND(E12864&lt;&gt;"""", F12864=""""), ""真實支出"",
  AND(E12864="""", F12864&lt;&gt;""""), ""真實收入"",
  TRUE, ""其他""
)"),"其他")</f>
        <v>其他</v>
      </c>
      <c r="K12864" s="270" t="str">
        <f t="shared" si="2"/>
        <v/>
      </c>
      <c r="L12864">
        <f t="shared" si="3"/>
        <v>0</v>
      </c>
    </row>
    <row r="12865">
      <c r="A12865" s="107"/>
      <c r="D12865" s="270"/>
      <c r="H12865" s="106" t="str">
        <f t="shared" si="1"/>
        <v/>
      </c>
      <c r="J12865" t="str">
        <f>IFERROR(__xludf.DUMMYFUNCTION("IFS(
  AND(REGEXMATCH(E12865, ""台銀籌備帳戶|玉山帳戶""), REGEXMATCH(C12865, ""薪資"")), ""分潤支出"",
  AND(REGEXMATCH(E12865, ""Ben帳戶|Elsa帳戶|Ben代墊|Ariel代墊|中信銀行共用""), REGEXMATCH(F12865, ""Ben帳戶|Elsa帳戶|Ben代墊|Ariel代墊|中信銀行共用"")), ""內部轉帳(忽略)"",
  AND(E12865&lt;&gt;"""", F12865&lt;&gt;"&amp;""""", NOT(REGEXMATCH(C12865, ""薪資""))), ""內部轉帳(忽略)"",
  REGEXMATCH(C12865, ""薪資""), ""薪資變動(不計入)"",
  REGEXMATCH(C12865, ""押金""), ""押金往來"",
  AND(E12865&lt;&gt;"""", F12865=""""), ""真實支出"",
  AND(E12865="""", F12865&lt;&gt;""""), ""真實收入"",
  TRUE, ""其他""
)"),"其他")</f>
        <v>其他</v>
      </c>
      <c r="K12865" s="270" t="str">
        <f t="shared" si="2"/>
        <v/>
      </c>
      <c r="L12865">
        <f t="shared" si="3"/>
        <v>0</v>
      </c>
    </row>
    <row r="12866">
      <c r="A12866" s="107"/>
      <c r="D12866" s="270"/>
      <c r="H12866" s="106" t="str">
        <f t="shared" si="1"/>
        <v/>
      </c>
      <c r="J12866" t="str">
        <f>IFERROR(__xludf.DUMMYFUNCTION("IFS(
  AND(REGEXMATCH(E12866, ""台銀籌備帳戶|玉山帳戶""), REGEXMATCH(C12866, ""薪資"")), ""分潤支出"",
  AND(REGEXMATCH(E12866, ""Ben帳戶|Elsa帳戶|Ben代墊|Ariel代墊|中信銀行共用""), REGEXMATCH(F12866, ""Ben帳戶|Elsa帳戶|Ben代墊|Ariel代墊|中信銀行共用"")), ""內部轉帳(忽略)"",
  AND(E12866&lt;&gt;"""", F12866&lt;&gt;"&amp;""""", NOT(REGEXMATCH(C12866, ""薪資""))), ""內部轉帳(忽略)"",
  REGEXMATCH(C12866, ""薪資""), ""薪資變動(不計入)"",
  REGEXMATCH(C12866, ""押金""), ""押金往來"",
  AND(E12866&lt;&gt;"""", F12866=""""), ""真實支出"",
  AND(E12866="""", F12866&lt;&gt;""""), ""真實收入"",
  TRUE, ""其他""
)"),"其他")</f>
        <v>其他</v>
      </c>
      <c r="K12866" s="270" t="str">
        <f t="shared" si="2"/>
        <v/>
      </c>
      <c r="L12866">
        <f t="shared" si="3"/>
        <v>0</v>
      </c>
    </row>
    <row r="12867">
      <c r="A12867" s="107"/>
      <c r="D12867" s="270"/>
      <c r="H12867" s="106" t="str">
        <f t="shared" si="1"/>
        <v/>
      </c>
      <c r="J12867" t="str">
        <f>IFERROR(__xludf.DUMMYFUNCTION("IFS(
  AND(REGEXMATCH(E12867, ""台銀籌備帳戶|玉山帳戶""), REGEXMATCH(C12867, ""薪資"")), ""分潤支出"",
  AND(REGEXMATCH(E12867, ""Ben帳戶|Elsa帳戶|Ben代墊|Ariel代墊|中信銀行共用""), REGEXMATCH(F12867, ""Ben帳戶|Elsa帳戶|Ben代墊|Ariel代墊|中信銀行共用"")), ""內部轉帳(忽略)"",
  AND(E12867&lt;&gt;"""", F12867&lt;&gt;"&amp;""""", NOT(REGEXMATCH(C12867, ""薪資""))), ""內部轉帳(忽略)"",
  REGEXMATCH(C12867, ""薪資""), ""薪資變動(不計入)"",
  REGEXMATCH(C12867, ""押金""), ""押金往來"",
  AND(E12867&lt;&gt;"""", F12867=""""), ""真實支出"",
  AND(E12867="""", F12867&lt;&gt;""""), ""真實收入"",
  TRUE, ""其他""
)"),"其他")</f>
        <v>其他</v>
      </c>
      <c r="K12867" s="270" t="str">
        <f t="shared" si="2"/>
        <v/>
      </c>
      <c r="L12867">
        <f t="shared" si="3"/>
        <v>0</v>
      </c>
    </row>
    <row r="12868">
      <c r="A12868" s="107"/>
      <c r="D12868" s="270"/>
      <c r="H12868" s="106" t="str">
        <f t="shared" si="1"/>
        <v/>
      </c>
      <c r="J12868" t="str">
        <f>IFERROR(__xludf.DUMMYFUNCTION("IFS(
  AND(REGEXMATCH(E12868, ""台銀籌備帳戶|玉山帳戶""), REGEXMATCH(C12868, ""薪資"")), ""分潤支出"",
  AND(REGEXMATCH(E12868, ""Ben帳戶|Elsa帳戶|Ben代墊|Ariel代墊|中信銀行共用""), REGEXMATCH(F12868, ""Ben帳戶|Elsa帳戶|Ben代墊|Ariel代墊|中信銀行共用"")), ""內部轉帳(忽略)"",
  AND(E12868&lt;&gt;"""", F12868&lt;&gt;"&amp;""""", NOT(REGEXMATCH(C12868, ""薪資""))), ""內部轉帳(忽略)"",
  REGEXMATCH(C12868, ""薪資""), ""薪資變動(不計入)"",
  REGEXMATCH(C12868, ""押金""), ""押金往來"",
  AND(E12868&lt;&gt;"""", F12868=""""), ""真實支出"",
  AND(E12868="""", F12868&lt;&gt;""""), ""真實收入"",
  TRUE, ""其他""
)"),"其他")</f>
        <v>其他</v>
      </c>
      <c r="K12868" s="270" t="str">
        <f t="shared" si="2"/>
        <v/>
      </c>
      <c r="L12868">
        <f t="shared" si="3"/>
        <v>0</v>
      </c>
    </row>
    <row r="12869">
      <c r="A12869" s="107"/>
      <c r="D12869" s="270"/>
      <c r="H12869" s="106" t="str">
        <f t="shared" si="1"/>
        <v/>
      </c>
      <c r="J12869" t="str">
        <f>IFERROR(__xludf.DUMMYFUNCTION("IFS(
  AND(REGEXMATCH(E12869, ""台銀籌備帳戶|玉山帳戶""), REGEXMATCH(C12869, ""薪資"")), ""分潤支出"",
  AND(REGEXMATCH(E12869, ""Ben帳戶|Elsa帳戶|Ben代墊|Ariel代墊|中信銀行共用""), REGEXMATCH(F12869, ""Ben帳戶|Elsa帳戶|Ben代墊|Ariel代墊|中信銀行共用"")), ""內部轉帳(忽略)"",
  AND(E12869&lt;&gt;"""", F12869&lt;&gt;"&amp;""""", NOT(REGEXMATCH(C12869, ""薪資""))), ""內部轉帳(忽略)"",
  REGEXMATCH(C12869, ""薪資""), ""薪資變動(不計入)"",
  REGEXMATCH(C12869, ""押金""), ""押金往來"",
  AND(E12869&lt;&gt;"""", F12869=""""), ""真實支出"",
  AND(E12869="""", F12869&lt;&gt;""""), ""真實收入"",
  TRUE, ""其他""
)"),"其他")</f>
        <v>其他</v>
      </c>
      <c r="K12869" s="270" t="str">
        <f t="shared" si="2"/>
        <v/>
      </c>
      <c r="L12869">
        <f t="shared" si="3"/>
        <v>0</v>
      </c>
    </row>
    <row r="12870">
      <c r="A12870" s="107"/>
      <c r="D12870" s="270"/>
      <c r="H12870" s="106" t="str">
        <f t="shared" si="1"/>
        <v/>
      </c>
      <c r="J12870" t="str">
        <f>IFERROR(__xludf.DUMMYFUNCTION("IFS(
  AND(REGEXMATCH(E12870, ""台銀籌備帳戶|玉山帳戶""), REGEXMATCH(C12870, ""薪資"")), ""分潤支出"",
  AND(REGEXMATCH(E12870, ""Ben帳戶|Elsa帳戶|Ben代墊|Ariel代墊|中信銀行共用""), REGEXMATCH(F12870, ""Ben帳戶|Elsa帳戶|Ben代墊|Ariel代墊|中信銀行共用"")), ""內部轉帳(忽略)"",
  AND(E12870&lt;&gt;"""", F12870&lt;&gt;"&amp;""""", NOT(REGEXMATCH(C12870, ""薪資""))), ""內部轉帳(忽略)"",
  REGEXMATCH(C12870, ""薪資""), ""薪資變動(不計入)"",
  REGEXMATCH(C12870, ""押金""), ""押金往來"",
  AND(E12870&lt;&gt;"""", F12870=""""), ""真實支出"",
  AND(E12870="""", F12870&lt;&gt;""""), ""真實收入"",
  TRUE, ""其他""
)"),"其他")</f>
        <v>其他</v>
      </c>
      <c r="K12870" s="270" t="str">
        <f t="shared" si="2"/>
        <v/>
      </c>
      <c r="L12870">
        <f t="shared" si="3"/>
        <v>0</v>
      </c>
    </row>
    <row r="12871">
      <c r="A12871" s="107"/>
      <c r="D12871" s="270"/>
      <c r="H12871" s="106" t="str">
        <f t="shared" si="1"/>
        <v/>
      </c>
      <c r="J12871" t="str">
        <f>IFERROR(__xludf.DUMMYFUNCTION("IFS(
  AND(REGEXMATCH(E12871, ""台銀籌備帳戶|玉山帳戶""), REGEXMATCH(C12871, ""薪資"")), ""分潤支出"",
  AND(REGEXMATCH(E12871, ""Ben帳戶|Elsa帳戶|Ben代墊|Ariel代墊|中信銀行共用""), REGEXMATCH(F12871, ""Ben帳戶|Elsa帳戶|Ben代墊|Ariel代墊|中信銀行共用"")), ""內部轉帳(忽略)"",
  AND(E12871&lt;&gt;"""", F12871&lt;&gt;"&amp;""""", NOT(REGEXMATCH(C12871, ""薪資""))), ""內部轉帳(忽略)"",
  REGEXMATCH(C12871, ""薪資""), ""薪資變動(不計入)"",
  REGEXMATCH(C12871, ""押金""), ""押金往來"",
  AND(E12871&lt;&gt;"""", F12871=""""), ""真實支出"",
  AND(E12871="""", F12871&lt;&gt;""""), ""真實收入"",
  TRUE, ""其他""
)"),"其他")</f>
        <v>其他</v>
      </c>
      <c r="K12871" s="270" t="str">
        <f t="shared" si="2"/>
        <v/>
      </c>
      <c r="L12871">
        <f t="shared" si="3"/>
        <v>0</v>
      </c>
    </row>
    <row r="12872">
      <c r="A12872" s="107"/>
      <c r="D12872" s="270"/>
      <c r="H12872" s="106" t="str">
        <f t="shared" si="1"/>
        <v/>
      </c>
      <c r="J12872" t="str">
        <f>IFERROR(__xludf.DUMMYFUNCTION("IFS(
  AND(REGEXMATCH(E12872, ""台銀籌備帳戶|玉山帳戶""), REGEXMATCH(C12872, ""薪資"")), ""分潤支出"",
  AND(REGEXMATCH(E12872, ""Ben帳戶|Elsa帳戶|Ben代墊|Ariel代墊|中信銀行共用""), REGEXMATCH(F12872, ""Ben帳戶|Elsa帳戶|Ben代墊|Ariel代墊|中信銀行共用"")), ""內部轉帳(忽略)"",
  AND(E12872&lt;&gt;"""", F12872&lt;&gt;"&amp;""""", NOT(REGEXMATCH(C12872, ""薪資""))), ""內部轉帳(忽略)"",
  REGEXMATCH(C12872, ""薪資""), ""薪資變動(不計入)"",
  REGEXMATCH(C12872, ""押金""), ""押金往來"",
  AND(E12872&lt;&gt;"""", F12872=""""), ""真實支出"",
  AND(E12872="""", F12872&lt;&gt;""""), ""真實收入"",
  TRUE, ""其他""
)"),"其他")</f>
        <v>其他</v>
      </c>
      <c r="K12872" s="270" t="str">
        <f t="shared" si="2"/>
        <v/>
      </c>
      <c r="L12872">
        <f t="shared" si="3"/>
        <v>0</v>
      </c>
    </row>
    <row r="12873">
      <c r="A12873" s="107"/>
      <c r="D12873" s="270"/>
      <c r="H12873" s="106" t="str">
        <f t="shared" si="1"/>
        <v/>
      </c>
      <c r="J12873" t="str">
        <f>IFERROR(__xludf.DUMMYFUNCTION("IFS(
  AND(REGEXMATCH(E12873, ""台銀籌備帳戶|玉山帳戶""), REGEXMATCH(C12873, ""薪資"")), ""分潤支出"",
  AND(REGEXMATCH(E12873, ""Ben帳戶|Elsa帳戶|Ben代墊|Ariel代墊|中信銀行共用""), REGEXMATCH(F12873, ""Ben帳戶|Elsa帳戶|Ben代墊|Ariel代墊|中信銀行共用"")), ""內部轉帳(忽略)"",
  AND(E12873&lt;&gt;"""", F12873&lt;&gt;"&amp;""""", NOT(REGEXMATCH(C12873, ""薪資""))), ""內部轉帳(忽略)"",
  REGEXMATCH(C12873, ""薪資""), ""薪資變動(不計入)"",
  REGEXMATCH(C12873, ""押金""), ""押金往來"",
  AND(E12873&lt;&gt;"""", F12873=""""), ""真實支出"",
  AND(E12873="""", F12873&lt;&gt;""""), ""真實收入"",
  TRUE, ""其他""
)"),"其他")</f>
        <v>其他</v>
      </c>
      <c r="K12873" s="270" t="str">
        <f t="shared" si="2"/>
        <v/>
      </c>
      <c r="L12873">
        <f t="shared" si="3"/>
        <v>0</v>
      </c>
    </row>
    <row r="12874">
      <c r="A12874" s="107"/>
      <c r="D12874" s="270"/>
      <c r="H12874" s="106" t="str">
        <f t="shared" si="1"/>
        <v/>
      </c>
      <c r="J12874" t="str">
        <f>IFERROR(__xludf.DUMMYFUNCTION("IFS(
  AND(REGEXMATCH(E12874, ""台銀籌備帳戶|玉山帳戶""), REGEXMATCH(C12874, ""薪資"")), ""分潤支出"",
  AND(REGEXMATCH(E12874, ""Ben帳戶|Elsa帳戶|Ben代墊|Ariel代墊|中信銀行共用""), REGEXMATCH(F12874, ""Ben帳戶|Elsa帳戶|Ben代墊|Ariel代墊|中信銀行共用"")), ""內部轉帳(忽略)"",
  AND(E12874&lt;&gt;"""", F12874&lt;&gt;"&amp;""""", NOT(REGEXMATCH(C12874, ""薪資""))), ""內部轉帳(忽略)"",
  REGEXMATCH(C12874, ""薪資""), ""薪資變動(不計入)"",
  REGEXMATCH(C12874, ""押金""), ""押金往來"",
  AND(E12874&lt;&gt;"""", F12874=""""), ""真實支出"",
  AND(E12874="""", F12874&lt;&gt;""""), ""真實收入"",
  TRUE, ""其他""
)"),"其他")</f>
        <v>其他</v>
      </c>
      <c r="K12874" s="270" t="str">
        <f t="shared" si="2"/>
        <v/>
      </c>
      <c r="L12874">
        <f t="shared" si="3"/>
        <v>0</v>
      </c>
    </row>
    <row r="12875">
      <c r="A12875" s="107"/>
      <c r="D12875" s="270"/>
      <c r="H12875" s="106" t="str">
        <f t="shared" si="1"/>
        <v/>
      </c>
      <c r="J12875" t="str">
        <f>IFERROR(__xludf.DUMMYFUNCTION("IFS(
  AND(REGEXMATCH(E12875, ""台銀籌備帳戶|玉山帳戶""), REGEXMATCH(C12875, ""薪資"")), ""分潤支出"",
  AND(REGEXMATCH(E12875, ""Ben帳戶|Elsa帳戶|Ben代墊|Ariel代墊|中信銀行共用""), REGEXMATCH(F12875, ""Ben帳戶|Elsa帳戶|Ben代墊|Ariel代墊|中信銀行共用"")), ""內部轉帳(忽略)"",
  AND(E12875&lt;&gt;"""", F12875&lt;&gt;"&amp;""""", NOT(REGEXMATCH(C12875, ""薪資""))), ""內部轉帳(忽略)"",
  REGEXMATCH(C12875, ""薪資""), ""薪資變動(不計入)"",
  REGEXMATCH(C12875, ""押金""), ""押金往來"",
  AND(E12875&lt;&gt;"""", F12875=""""), ""真實支出"",
  AND(E12875="""", F12875&lt;&gt;""""), ""真實收入"",
  TRUE, ""其他""
)"),"其他")</f>
        <v>其他</v>
      </c>
      <c r="K12875" s="270" t="str">
        <f t="shared" si="2"/>
        <v/>
      </c>
      <c r="L12875">
        <f t="shared" si="3"/>
        <v>0</v>
      </c>
    </row>
    <row r="12876">
      <c r="A12876" s="107"/>
      <c r="D12876" s="270"/>
      <c r="H12876" s="106" t="str">
        <f t="shared" si="1"/>
        <v/>
      </c>
      <c r="J12876" t="str">
        <f>IFERROR(__xludf.DUMMYFUNCTION("IFS(
  AND(REGEXMATCH(E12876, ""台銀籌備帳戶|玉山帳戶""), REGEXMATCH(C12876, ""薪資"")), ""分潤支出"",
  AND(REGEXMATCH(E12876, ""Ben帳戶|Elsa帳戶|Ben代墊|Ariel代墊|中信銀行共用""), REGEXMATCH(F12876, ""Ben帳戶|Elsa帳戶|Ben代墊|Ariel代墊|中信銀行共用"")), ""內部轉帳(忽略)"",
  AND(E12876&lt;&gt;"""", F12876&lt;&gt;"&amp;""""", NOT(REGEXMATCH(C12876, ""薪資""))), ""內部轉帳(忽略)"",
  REGEXMATCH(C12876, ""薪資""), ""薪資變動(不計入)"",
  REGEXMATCH(C12876, ""押金""), ""押金往來"",
  AND(E12876&lt;&gt;"""", F12876=""""), ""真實支出"",
  AND(E12876="""", F12876&lt;&gt;""""), ""真實收入"",
  TRUE, ""其他""
)"),"其他")</f>
        <v>其他</v>
      </c>
      <c r="K12876" s="270" t="str">
        <f t="shared" si="2"/>
        <v/>
      </c>
      <c r="L12876">
        <f t="shared" si="3"/>
        <v>0</v>
      </c>
    </row>
    <row r="12877">
      <c r="A12877" s="107"/>
      <c r="D12877" s="270"/>
      <c r="H12877" s="106" t="str">
        <f t="shared" si="1"/>
        <v/>
      </c>
      <c r="J12877" t="str">
        <f>IFERROR(__xludf.DUMMYFUNCTION("IFS(
  AND(REGEXMATCH(E12877, ""台銀籌備帳戶|玉山帳戶""), REGEXMATCH(C12877, ""薪資"")), ""分潤支出"",
  AND(REGEXMATCH(E12877, ""Ben帳戶|Elsa帳戶|Ben代墊|Ariel代墊|中信銀行共用""), REGEXMATCH(F12877, ""Ben帳戶|Elsa帳戶|Ben代墊|Ariel代墊|中信銀行共用"")), ""內部轉帳(忽略)"",
  AND(E12877&lt;&gt;"""", F12877&lt;&gt;"&amp;""""", NOT(REGEXMATCH(C12877, ""薪資""))), ""內部轉帳(忽略)"",
  REGEXMATCH(C12877, ""薪資""), ""薪資變動(不計入)"",
  REGEXMATCH(C12877, ""押金""), ""押金往來"",
  AND(E12877&lt;&gt;"""", F12877=""""), ""真實支出"",
  AND(E12877="""", F12877&lt;&gt;""""), ""真實收入"",
  TRUE, ""其他""
)"),"其他")</f>
        <v>其他</v>
      </c>
      <c r="K12877" s="270" t="str">
        <f t="shared" si="2"/>
        <v/>
      </c>
      <c r="L12877">
        <f t="shared" si="3"/>
        <v>0</v>
      </c>
    </row>
    <row r="12878">
      <c r="A12878" s="107"/>
      <c r="D12878" s="270"/>
      <c r="H12878" s="106" t="str">
        <f t="shared" si="1"/>
        <v/>
      </c>
      <c r="J12878" t="str">
        <f>IFERROR(__xludf.DUMMYFUNCTION("IFS(
  AND(REGEXMATCH(E12878, ""台銀籌備帳戶|玉山帳戶""), REGEXMATCH(C12878, ""薪資"")), ""分潤支出"",
  AND(REGEXMATCH(E12878, ""Ben帳戶|Elsa帳戶|Ben代墊|Ariel代墊|中信銀行共用""), REGEXMATCH(F12878, ""Ben帳戶|Elsa帳戶|Ben代墊|Ariel代墊|中信銀行共用"")), ""內部轉帳(忽略)"",
  AND(E12878&lt;&gt;"""", F12878&lt;&gt;"&amp;""""", NOT(REGEXMATCH(C12878, ""薪資""))), ""內部轉帳(忽略)"",
  REGEXMATCH(C12878, ""薪資""), ""薪資變動(不計入)"",
  REGEXMATCH(C12878, ""押金""), ""押金往來"",
  AND(E12878&lt;&gt;"""", F12878=""""), ""真實支出"",
  AND(E12878="""", F12878&lt;&gt;""""), ""真實收入"",
  TRUE, ""其他""
)"),"其他")</f>
        <v>其他</v>
      </c>
      <c r="K12878" s="270" t="str">
        <f t="shared" si="2"/>
        <v/>
      </c>
      <c r="L12878">
        <f t="shared" si="3"/>
        <v>0</v>
      </c>
    </row>
    <row r="12879">
      <c r="A12879" s="107"/>
      <c r="D12879" s="270"/>
      <c r="H12879" s="106" t="str">
        <f t="shared" si="1"/>
        <v/>
      </c>
      <c r="J12879" t="str">
        <f>IFERROR(__xludf.DUMMYFUNCTION("IFS(
  AND(REGEXMATCH(E12879, ""台銀籌備帳戶|玉山帳戶""), REGEXMATCH(C12879, ""薪資"")), ""分潤支出"",
  AND(REGEXMATCH(E12879, ""Ben帳戶|Elsa帳戶|Ben代墊|Ariel代墊|中信銀行共用""), REGEXMATCH(F12879, ""Ben帳戶|Elsa帳戶|Ben代墊|Ariel代墊|中信銀行共用"")), ""內部轉帳(忽略)"",
  AND(E12879&lt;&gt;"""", F12879&lt;&gt;"&amp;""""", NOT(REGEXMATCH(C12879, ""薪資""))), ""內部轉帳(忽略)"",
  REGEXMATCH(C12879, ""薪資""), ""薪資變動(不計入)"",
  REGEXMATCH(C12879, ""押金""), ""押金往來"",
  AND(E12879&lt;&gt;"""", F12879=""""), ""真實支出"",
  AND(E12879="""", F12879&lt;&gt;""""), ""真實收入"",
  TRUE, ""其他""
)"),"其他")</f>
        <v>其他</v>
      </c>
      <c r="K12879" s="270" t="str">
        <f t="shared" si="2"/>
        <v/>
      </c>
      <c r="L12879">
        <f t="shared" si="3"/>
        <v>0</v>
      </c>
    </row>
    <row r="12880">
      <c r="A12880" s="107"/>
      <c r="D12880" s="270"/>
      <c r="H12880" s="106" t="str">
        <f t="shared" si="1"/>
        <v/>
      </c>
      <c r="J12880" t="str">
        <f>IFERROR(__xludf.DUMMYFUNCTION("IFS(
  AND(REGEXMATCH(E12880, ""台銀籌備帳戶|玉山帳戶""), REGEXMATCH(C12880, ""薪資"")), ""分潤支出"",
  AND(REGEXMATCH(E12880, ""Ben帳戶|Elsa帳戶|Ben代墊|Ariel代墊|中信銀行共用""), REGEXMATCH(F12880, ""Ben帳戶|Elsa帳戶|Ben代墊|Ariel代墊|中信銀行共用"")), ""內部轉帳(忽略)"",
  AND(E12880&lt;&gt;"""", F12880&lt;&gt;"&amp;""""", NOT(REGEXMATCH(C12880, ""薪資""))), ""內部轉帳(忽略)"",
  REGEXMATCH(C12880, ""薪資""), ""薪資變動(不計入)"",
  REGEXMATCH(C12880, ""押金""), ""押金往來"",
  AND(E12880&lt;&gt;"""", F12880=""""), ""真實支出"",
  AND(E12880="""", F12880&lt;&gt;""""), ""真實收入"",
  TRUE, ""其他""
)"),"其他")</f>
        <v>其他</v>
      </c>
      <c r="K12880" s="270" t="str">
        <f t="shared" si="2"/>
        <v/>
      </c>
      <c r="L12880">
        <f t="shared" si="3"/>
        <v>0</v>
      </c>
    </row>
    <row r="12881">
      <c r="A12881" s="107"/>
      <c r="D12881" s="270"/>
      <c r="H12881" s="106" t="str">
        <f t="shared" si="1"/>
        <v/>
      </c>
      <c r="J12881" t="str">
        <f>IFERROR(__xludf.DUMMYFUNCTION("IFS(
  AND(REGEXMATCH(E12881, ""台銀籌備帳戶|玉山帳戶""), REGEXMATCH(C12881, ""薪資"")), ""分潤支出"",
  AND(REGEXMATCH(E12881, ""Ben帳戶|Elsa帳戶|Ben代墊|Ariel代墊|中信銀行共用""), REGEXMATCH(F12881, ""Ben帳戶|Elsa帳戶|Ben代墊|Ariel代墊|中信銀行共用"")), ""內部轉帳(忽略)"",
  AND(E12881&lt;&gt;"""", F12881&lt;&gt;"&amp;""""", NOT(REGEXMATCH(C12881, ""薪資""))), ""內部轉帳(忽略)"",
  REGEXMATCH(C12881, ""薪資""), ""薪資變動(不計入)"",
  REGEXMATCH(C12881, ""押金""), ""押金往來"",
  AND(E12881&lt;&gt;"""", F12881=""""), ""真實支出"",
  AND(E12881="""", F12881&lt;&gt;""""), ""真實收入"",
  TRUE, ""其他""
)"),"其他")</f>
        <v>其他</v>
      </c>
      <c r="K12881" s="270" t="str">
        <f t="shared" si="2"/>
        <v/>
      </c>
      <c r="L12881">
        <f t="shared" si="3"/>
        <v>0</v>
      </c>
    </row>
    <row r="12882">
      <c r="A12882" s="107"/>
      <c r="D12882" s="270"/>
      <c r="H12882" s="106" t="str">
        <f t="shared" si="1"/>
        <v/>
      </c>
      <c r="J12882" t="str">
        <f>IFERROR(__xludf.DUMMYFUNCTION("IFS(
  AND(REGEXMATCH(E12882, ""台銀籌備帳戶|玉山帳戶""), REGEXMATCH(C12882, ""薪資"")), ""分潤支出"",
  AND(REGEXMATCH(E12882, ""Ben帳戶|Elsa帳戶|Ben代墊|Ariel代墊|中信銀行共用""), REGEXMATCH(F12882, ""Ben帳戶|Elsa帳戶|Ben代墊|Ariel代墊|中信銀行共用"")), ""內部轉帳(忽略)"",
  AND(E12882&lt;&gt;"""", F12882&lt;&gt;"&amp;""""", NOT(REGEXMATCH(C12882, ""薪資""))), ""內部轉帳(忽略)"",
  REGEXMATCH(C12882, ""薪資""), ""薪資變動(不計入)"",
  REGEXMATCH(C12882, ""押金""), ""押金往來"",
  AND(E12882&lt;&gt;"""", F12882=""""), ""真實支出"",
  AND(E12882="""", F12882&lt;&gt;""""), ""真實收入"",
  TRUE, ""其他""
)"),"其他")</f>
        <v>其他</v>
      </c>
      <c r="K12882" s="270" t="str">
        <f t="shared" si="2"/>
        <v/>
      </c>
      <c r="L12882">
        <f t="shared" si="3"/>
        <v>0</v>
      </c>
    </row>
    <row r="12883">
      <c r="A12883" s="107"/>
      <c r="D12883" s="270"/>
      <c r="H12883" s="106" t="str">
        <f t="shared" si="1"/>
        <v/>
      </c>
      <c r="J12883" t="str">
        <f>IFERROR(__xludf.DUMMYFUNCTION("IFS(
  AND(REGEXMATCH(E12883, ""台銀籌備帳戶|玉山帳戶""), REGEXMATCH(C12883, ""薪資"")), ""分潤支出"",
  AND(REGEXMATCH(E12883, ""Ben帳戶|Elsa帳戶|Ben代墊|Ariel代墊|中信銀行共用""), REGEXMATCH(F12883, ""Ben帳戶|Elsa帳戶|Ben代墊|Ariel代墊|中信銀行共用"")), ""內部轉帳(忽略)"",
  AND(E12883&lt;&gt;"""", F12883&lt;&gt;"&amp;""""", NOT(REGEXMATCH(C12883, ""薪資""))), ""內部轉帳(忽略)"",
  REGEXMATCH(C12883, ""薪資""), ""薪資變動(不計入)"",
  REGEXMATCH(C12883, ""押金""), ""押金往來"",
  AND(E12883&lt;&gt;"""", F12883=""""), ""真實支出"",
  AND(E12883="""", F12883&lt;&gt;""""), ""真實收入"",
  TRUE, ""其他""
)"),"其他")</f>
        <v>其他</v>
      </c>
      <c r="K12883" s="270" t="str">
        <f t="shared" si="2"/>
        <v/>
      </c>
      <c r="L12883">
        <f t="shared" si="3"/>
        <v>0</v>
      </c>
    </row>
    <row r="12884">
      <c r="A12884" s="107"/>
      <c r="D12884" s="270"/>
      <c r="H12884" s="106" t="str">
        <f t="shared" si="1"/>
        <v/>
      </c>
      <c r="J12884" t="str">
        <f>IFERROR(__xludf.DUMMYFUNCTION("IFS(
  AND(REGEXMATCH(E12884, ""台銀籌備帳戶|玉山帳戶""), REGEXMATCH(C12884, ""薪資"")), ""分潤支出"",
  AND(REGEXMATCH(E12884, ""Ben帳戶|Elsa帳戶|Ben代墊|Ariel代墊|中信銀行共用""), REGEXMATCH(F12884, ""Ben帳戶|Elsa帳戶|Ben代墊|Ariel代墊|中信銀行共用"")), ""內部轉帳(忽略)"",
  AND(E12884&lt;&gt;"""", F12884&lt;&gt;"&amp;""""", NOT(REGEXMATCH(C12884, ""薪資""))), ""內部轉帳(忽略)"",
  REGEXMATCH(C12884, ""薪資""), ""薪資變動(不計入)"",
  REGEXMATCH(C12884, ""押金""), ""押金往來"",
  AND(E12884&lt;&gt;"""", F12884=""""), ""真實支出"",
  AND(E12884="""", F12884&lt;&gt;""""), ""真實收入"",
  TRUE, ""其他""
)"),"其他")</f>
        <v>其他</v>
      </c>
      <c r="K12884" s="270" t="str">
        <f t="shared" si="2"/>
        <v/>
      </c>
      <c r="L12884">
        <f t="shared" si="3"/>
        <v>0</v>
      </c>
    </row>
    <row r="12885">
      <c r="A12885" s="107"/>
      <c r="D12885" s="270"/>
      <c r="H12885" s="106" t="str">
        <f t="shared" si="1"/>
        <v/>
      </c>
      <c r="J12885" t="str">
        <f>IFERROR(__xludf.DUMMYFUNCTION("IFS(
  AND(REGEXMATCH(E12885, ""台銀籌備帳戶|玉山帳戶""), REGEXMATCH(C12885, ""薪資"")), ""分潤支出"",
  AND(REGEXMATCH(E12885, ""Ben帳戶|Elsa帳戶|Ben代墊|Ariel代墊|中信銀行共用""), REGEXMATCH(F12885, ""Ben帳戶|Elsa帳戶|Ben代墊|Ariel代墊|中信銀行共用"")), ""內部轉帳(忽略)"",
  AND(E12885&lt;&gt;"""", F12885&lt;&gt;"&amp;""""", NOT(REGEXMATCH(C12885, ""薪資""))), ""內部轉帳(忽略)"",
  REGEXMATCH(C12885, ""薪資""), ""薪資變動(不計入)"",
  REGEXMATCH(C12885, ""押金""), ""押金往來"",
  AND(E12885&lt;&gt;"""", F12885=""""), ""真實支出"",
  AND(E12885="""", F12885&lt;&gt;""""), ""真實收入"",
  TRUE, ""其他""
)"),"其他")</f>
        <v>其他</v>
      </c>
      <c r="K12885" s="270" t="str">
        <f t="shared" si="2"/>
        <v/>
      </c>
      <c r="L12885">
        <f t="shared" si="3"/>
        <v>0</v>
      </c>
    </row>
    <row r="12886">
      <c r="A12886" s="107"/>
      <c r="D12886" s="270"/>
      <c r="H12886" s="106" t="str">
        <f t="shared" si="1"/>
        <v/>
      </c>
      <c r="J12886" t="str">
        <f>IFERROR(__xludf.DUMMYFUNCTION("IFS(
  AND(REGEXMATCH(E12886, ""台銀籌備帳戶|玉山帳戶""), REGEXMATCH(C12886, ""薪資"")), ""分潤支出"",
  AND(REGEXMATCH(E12886, ""Ben帳戶|Elsa帳戶|Ben代墊|Ariel代墊|中信銀行共用""), REGEXMATCH(F12886, ""Ben帳戶|Elsa帳戶|Ben代墊|Ariel代墊|中信銀行共用"")), ""內部轉帳(忽略)"",
  AND(E12886&lt;&gt;"""", F12886&lt;&gt;"&amp;""""", NOT(REGEXMATCH(C12886, ""薪資""))), ""內部轉帳(忽略)"",
  REGEXMATCH(C12886, ""薪資""), ""薪資變動(不計入)"",
  REGEXMATCH(C12886, ""押金""), ""押金往來"",
  AND(E12886&lt;&gt;"""", F12886=""""), ""真實支出"",
  AND(E12886="""", F12886&lt;&gt;""""), ""真實收入"",
  TRUE, ""其他""
)"),"其他")</f>
        <v>其他</v>
      </c>
      <c r="K12886" s="270" t="str">
        <f t="shared" si="2"/>
        <v/>
      </c>
      <c r="L12886">
        <f t="shared" si="3"/>
        <v>0</v>
      </c>
    </row>
    <row r="12887">
      <c r="A12887" s="107"/>
      <c r="D12887" s="270"/>
      <c r="H12887" s="106" t="str">
        <f t="shared" si="1"/>
        <v/>
      </c>
      <c r="J12887" t="str">
        <f>IFERROR(__xludf.DUMMYFUNCTION("IFS(
  AND(REGEXMATCH(E12887, ""台銀籌備帳戶|玉山帳戶""), REGEXMATCH(C12887, ""薪資"")), ""分潤支出"",
  AND(REGEXMATCH(E12887, ""Ben帳戶|Elsa帳戶|Ben代墊|Ariel代墊|中信銀行共用""), REGEXMATCH(F12887, ""Ben帳戶|Elsa帳戶|Ben代墊|Ariel代墊|中信銀行共用"")), ""內部轉帳(忽略)"",
  AND(E12887&lt;&gt;"""", F12887&lt;&gt;"&amp;""""", NOT(REGEXMATCH(C12887, ""薪資""))), ""內部轉帳(忽略)"",
  REGEXMATCH(C12887, ""薪資""), ""薪資變動(不計入)"",
  REGEXMATCH(C12887, ""押金""), ""押金往來"",
  AND(E12887&lt;&gt;"""", F12887=""""), ""真實支出"",
  AND(E12887="""", F12887&lt;&gt;""""), ""真實收入"",
  TRUE, ""其他""
)"),"其他")</f>
        <v>其他</v>
      </c>
      <c r="K12887" s="270" t="str">
        <f t="shared" si="2"/>
        <v/>
      </c>
      <c r="L12887">
        <f t="shared" si="3"/>
        <v>0</v>
      </c>
    </row>
    <row r="12888">
      <c r="A12888" s="107"/>
      <c r="D12888" s="270"/>
      <c r="H12888" s="106" t="str">
        <f t="shared" si="1"/>
        <v/>
      </c>
      <c r="J12888" t="str">
        <f>IFERROR(__xludf.DUMMYFUNCTION("IFS(
  AND(REGEXMATCH(E12888, ""台銀籌備帳戶|玉山帳戶""), REGEXMATCH(C12888, ""薪資"")), ""分潤支出"",
  AND(REGEXMATCH(E12888, ""Ben帳戶|Elsa帳戶|Ben代墊|Ariel代墊|中信銀行共用""), REGEXMATCH(F12888, ""Ben帳戶|Elsa帳戶|Ben代墊|Ariel代墊|中信銀行共用"")), ""內部轉帳(忽略)"",
  AND(E12888&lt;&gt;"""", F12888&lt;&gt;"&amp;""""", NOT(REGEXMATCH(C12888, ""薪資""))), ""內部轉帳(忽略)"",
  REGEXMATCH(C12888, ""薪資""), ""薪資變動(不計入)"",
  REGEXMATCH(C12888, ""押金""), ""押金往來"",
  AND(E12888&lt;&gt;"""", F12888=""""), ""真實支出"",
  AND(E12888="""", F12888&lt;&gt;""""), ""真實收入"",
  TRUE, ""其他""
)"),"其他")</f>
        <v>其他</v>
      </c>
      <c r="K12888" s="270" t="str">
        <f t="shared" si="2"/>
        <v/>
      </c>
      <c r="L12888">
        <f t="shared" si="3"/>
        <v>0</v>
      </c>
    </row>
    <row r="12889">
      <c r="A12889" s="107"/>
      <c r="D12889" s="270"/>
      <c r="H12889" s="106" t="str">
        <f t="shared" si="1"/>
        <v/>
      </c>
      <c r="J12889" t="str">
        <f>IFERROR(__xludf.DUMMYFUNCTION("IFS(
  AND(REGEXMATCH(E12889, ""台銀籌備帳戶|玉山帳戶""), REGEXMATCH(C12889, ""薪資"")), ""分潤支出"",
  AND(REGEXMATCH(E12889, ""Ben帳戶|Elsa帳戶|Ben代墊|Ariel代墊|中信銀行共用""), REGEXMATCH(F12889, ""Ben帳戶|Elsa帳戶|Ben代墊|Ariel代墊|中信銀行共用"")), ""內部轉帳(忽略)"",
  AND(E12889&lt;&gt;"""", F12889&lt;&gt;"&amp;""""", NOT(REGEXMATCH(C12889, ""薪資""))), ""內部轉帳(忽略)"",
  REGEXMATCH(C12889, ""薪資""), ""薪資變動(不計入)"",
  REGEXMATCH(C12889, ""押金""), ""押金往來"",
  AND(E12889&lt;&gt;"""", F12889=""""), ""真實支出"",
  AND(E12889="""", F12889&lt;&gt;""""), ""真實收入"",
  TRUE, ""其他""
)"),"其他")</f>
        <v>其他</v>
      </c>
      <c r="K12889" s="270" t="str">
        <f t="shared" si="2"/>
        <v/>
      </c>
      <c r="L12889">
        <f t="shared" si="3"/>
        <v>0</v>
      </c>
    </row>
    <row r="12890">
      <c r="A12890" s="107"/>
      <c r="D12890" s="270"/>
      <c r="H12890" s="106" t="str">
        <f t="shared" si="1"/>
        <v/>
      </c>
      <c r="J12890" t="str">
        <f>IFERROR(__xludf.DUMMYFUNCTION("IFS(
  AND(REGEXMATCH(E12890, ""台銀籌備帳戶|玉山帳戶""), REGEXMATCH(C12890, ""薪資"")), ""分潤支出"",
  AND(REGEXMATCH(E12890, ""Ben帳戶|Elsa帳戶|Ben代墊|Ariel代墊|中信銀行共用""), REGEXMATCH(F12890, ""Ben帳戶|Elsa帳戶|Ben代墊|Ariel代墊|中信銀行共用"")), ""內部轉帳(忽略)"",
  AND(E12890&lt;&gt;"""", F12890&lt;&gt;"&amp;""""", NOT(REGEXMATCH(C12890, ""薪資""))), ""內部轉帳(忽略)"",
  REGEXMATCH(C12890, ""薪資""), ""薪資變動(不計入)"",
  REGEXMATCH(C12890, ""押金""), ""押金往來"",
  AND(E12890&lt;&gt;"""", F12890=""""), ""真實支出"",
  AND(E12890="""", F12890&lt;&gt;""""), ""真實收入"",
  TRUE, ""其他""
)"),"其他")</f>
        <v>其他</v>
      </c>
      <c r="K12890" s="270" t="str">
        <f t="shared" si="2"/>
        <v/>
      </c>
      <c r="L12890">
        <f t="shared" si="3"/>
        <v>0</v>
      </c>
    </row>
    <row r="12891">
      <c r="A12891" s="107"/>
      <c r="D12891" s="270"/>
      <c r="H12891" s="106" t="str">
        <f t="shared" si="1"/>
        <v/>
      </c>
      <c r="J12891" t="str">
        <f>IFERROR(__xludf.DUMMYFUNCTION("IFS(
  AND(REGEXMATCH(E12891, ""台銀籌備帳戶|玉山帳戶""), REGEXMATCH(C12891, ""薪資"")), ""分潤支出"",
  AND(REGEXMATCH(E12891, ""Ben帳戶|Elsa帳戶|Ben代墊|Ariel代墊|中信銀行共用""), REGEXMATCH(F12891, ""Ben帳戶|Elsa帳戶|Ben代墊|Ariel代墊|中信銀行共用"")), ""內部轉帳(忽略)"",
  AND(E12891&lt;&gt;"""", F12891&lt;&gt;"&amp;""""", NOT(REGEXMATCH(C12891, ""薪資""))), ""內部轉帳(忽略)"",
  REGEXMATCH(C12891, ""薪資""), ""薪資變動(不計入)"",
  REGEXMATCH(C12891, ""押金""), ""押金往來"",
  AND(E12891&lt;&gt;"""", F12891=""""), ""真實支出"",
  AND(E12891="""", F12891&lt;&gt;""""), ""真實收入"",
  TRUE, ""其他""
)"),"其他")</f>
        <v>其他</v>
      </c>
      <c r="K12891" s="270" t="str">
        <f t="shared" si="2"/>
        <v/>
      </c>
      <c r="L12891">
        <f t="shared" si="3"/>
        <v>0</v>
      </c>
    </row>
    <row r="12892">
      <c r="A12892" s="107"/>
      <c r="D12892" s="270"/>
      <c r="H12892" s="106" t="str">
        <f t="shared" si="1"/>
        <v/>
      </c>
      <c r="J12892" t="str">
        <f>IFERROR(__xludf.DUMMYFUNCTION("IFS(
  AND(REGEXMATCH(E12892, ""台銀籌備帳戶|玉山帳戶""), REGEXMATCH(C12892, ""薪資"")), ""分潤支出"",
  AND(REGEXMATCH(E12892, ""Ben帳戶|Elsa帳戶|Ben代墊|Ariel代墊|中信銀行共用""), REGEXMATCH(F12892, ""Ben帳戶|Elsa帳戶|Ben代墊|Ariel代墊|中信銀行共用"")), ""內部轉帳(忽略)"",
  AND(E12892&lt;&gt;"""", F12892&lt;&gt;"&amp;""""", NOT(REGEXMATCH(C12892, ""薪資""))), ""內部轉帳(忽略)"",
  REGEXMATCH(C12892, ""薪資""), ""薪資變動(不計入)"",
  REGEXMATCH(C12892, ""押金""), ""押金往來"",
  AND(E12892&lt;&gt;"""", F12892=""""), ""真實支出"",
  AND(E12892="""", F12892&lt;&gt;""""), ""真實收入"",
  TRUE, ""其他""
)"),"其他")</f>
        <v>其他</v>
      </c>
      <c r="K12892" s="270" t="str">
        <f t="shared" si="2"/>
        <v/>
      </c>
      <c r="L12892">
        <f t="shared" si="3"/>
        <v>0</v>
      </c>
    </row>
    <row r="12893">
      <c r="A12893" s="107"/>
      <c r="D12893" s="270"/>
      <c r="H12893" s="106" t="str">
        <f t="shared" si="1"/>
        <v/>
      </c>
      <c r="J12893" t="str">
        <f>IFERROR(__xludf.DUMMYFUNCTION("IFS(
  AND(REGEXMATCH(E12893, ""台銀籌備帳戶|玉山帳戶""), REGEXMATCH(C12893, ""薪資"")), ""分潤支出"",
  AND(REGEXMATCH(E12893, ""Ben帳戶|Elsa帳戶|Ben代墊|Ariel代墊|中信銀行共用""), REGEXMATCH(F12893, ""Ben帳戶|Elsa帳戶|Ben代墊|Ariel代墊|中信銀行共用"")), ""內部轉帳(忽略)"",
  AND(E12893&lt;&gt;"""", F12893&lt;&gt;"&amp;""""", NOT(REGEXMATCH(C12893, ""薪資""))), ""內部轉帳(忽略)"",
  REGEXMATCH(C12893, ""薪資""), ""薪資變動(不計入)"",
  REGEXMATCH(C12893, ""押金""), ""押金往來"",
  AND(E12893&lt;&gt;"""", F12893=""""), ""真實支出"",
  AND(E12893="""", F12893&lt;&gt;""""), ""真實收入"",
  TRUE, ""其他""
)"),"其他")</f>
        <v>其他</v>
      </c>
      <c r="K12893" s="270" t="str">
        <f t="shared" si="2"/>
        <v/>
      </c>
      <c r="L12893">
        <f t="shared" si="3"/>
        <v>0</v>
      </c>
    </row>
    <row r="12894">
      <c r="A12894" s="107"/>
      <c r="D12894" s="270"/>
      <c r="H12894" s="106" t="str">
        <f t="shared" si="1"/>
        <v/>
      </c>
      <c r="J12894" t="str">
        <f>IFERROR(__xludf.DUMMYFUNCTION("IFS(
  AND(REGEXMATCH(E12894, ""台銀籌備帳戶|玉山帳戶""), REGEXMATCH(C12894, ""薪資"")), ""分潤支出"",
  AND(REGEXMATCH(E12894, ""Ben帳戶|Elsa帳戶|Ben代墊|Ariel代墊|中信銀行共用""), REGEXMATCH(F12894, ""Ben帳戶|Elsa帳戶|Ben代墊|Ariel代墊|中信銀行共用"")), ""內部轉帳(忽略)"",
  AND(E12894&lt;&gt;"""", F12894&lt;&gt;"&amp;""""", NOT(REGEXMATCH(C12894, ""薪資""))), ""內部轉帳(忽略)"",
  REGEXMATCH(C12894, ""薪資""), ""薪資變動(不計入)"",
  REGEXMATCH(C12894, ""押金""), ""押金往來"",
  AND(E12894&lt;&gt;"""", F12894=""""), ""真實支出"",
  AND(E12894="""", F12894&lt;&gt;""""), ""真實收入"",
  TRUE, ""其他""
)"),"其他")</f>
        <v>其他</v>
      </c>
      <c r="K12894" s="270" t="str">
        <f t="shared" si="2"/>
        <v/>
      </c>
      <c r="L12894">
        <f t="shared" si="3"/>
        <v>0</v>
      </c>
    </row>
    <row r="12895">
      <c r="A12895" s="107"/>
      <c r="D12895" s="270"/>
      <c r="H12895" s="106" t="str">
        <f t="shared" si="1"/>
        <v/>
      </c>
      <c r="J12895" t="str">
        <f>IFERROR(__xludf.DUMMYFUNCTION("IFS(
  AND(REGEXMATCH(E12895, ""台銀籌備帳戶|玉山帳戶""), REGEXMATCH(C12895, ""薪資"")), ""分潤支出"",
  AND(REGEXMATCH(E12895, ""Ben帳戶|Elsa帳戶|Ben代墊|Ariel代墊|中信銀行共用""), REGEXMATCH(F12895, ""Ben帳戶|Elsa帳戶|Ben代墊|Ariel代墊|中信銀行共用"")), ""內部轉帳(忽略)"",
  AND(E12895&lt;&gt;"""", F12895&lt;&gt;"&amp;""""", NOT(REGEXMATCH(C12895, ""薪資""))), ""內部轉帳(忽略)"",
  REGEXMATCH(C12895, ""薪資""), ""薪資變動(不計入)"",
  REGEXMATCH(C12895, ""押金""), ""押金往來"",
  AND(E12895&lt;&gt;"""", F12895=""""), ""真實支出"",
  AND(E12895="""", F12895&lt;&gt;""""), ""真實收入"",
  TRUE, ""其他""
)"),"其他")</f>
        <v>其他</v>
      </c>
      <c r="K12895" s="270" t="str">
        <f t="shared" si="2"/>
        <v/>
      </c>
      <c r="L12895">
        <f t="shared" si="3"/>
        <v>0</v>
      </c>
    </row>
    <row r="12896">
      <c r="A12896" s="107"/>
      <c r="D12896" s="270"/>
      <c r="H12896" s="106" t="str">
        <f t="shared" si="1"/>
        <v/>
      </c>
      <c r="J12896" t="str">
        <f>IFERROR(__xludf.DUMMYFUNCTION("IFS(
  AND(REGEXMATCH(E12896, ""台銀籌備帳戶|玉山帳戶""), REGEXMATCH(C12896, ""薪資"")), ""分潤支出"",
  AND(REGEXMATCH(E12896, ""Ben帳戶|Elsa帳戶|Ben代墊|Ariel代墊|中信銀行共用""), REGEXMATCH(F12896, ""Ben帳戶|Elsa帳戶|Ben代墊|Ariel代墊|中信銀行共用"")), ""內部轉帳(忽略)"",
  AND(E12896&lt;&gt;"""", F12896&lt;&gt;"&amp;""""", NOT(REGEXMATCH(C12896, ""薪資""))), ""內部轉帳(忽略)"",
  REGEXMATCH(C12896, ""薪資""), ""薪資變動(不計入)"",
  REGEXMATCH(C12896, ""押金""), ""押金往來"",
  AND(E12896&lt;&gt;"""", F12896=""""), ""真實支出"",
  AND(E12896="""", F12896&lt;&gt;""""), ""真實收入"",
  TRUE, ""其他""
)"),"其他")</f>
        <v>其他</v>
      </c>
      <c r="K12896" s="270" t="str">
        <f t="shared" si="2"/>
        <v/>
      </c>
      <c r="L12896">
        <f t="shared" si="3"/>
        <v>0</v>
      </c>
    </row>
    <row r="12897">
      <c r="A12897" s="107"/>
      <c r="D12897" s="270"/>
      <c r="H12897" s="106" t="str">
        <f t="shared" si="1"/>
        <v/>
      </c>
      <c r="J12897" t="str">
        <f>IFERROR(__xludf.DUMMYFUNCTION("IFS(
  AND(REGEXMATCH(E12897, ""台銀籌備帳戶|玉山帳戶""), REGEXMATCH(C12897, ""薪資"")), ""分潤支出"",
  AND(REGEXMATCH(E12897, ""Ben帳戶|Elsa帳戶|Ben代墊|Ariel代墊|中信銀行共用""), REGEXMATCH(F12897, ""Ben帳戶|Elsa帳戶|Ben代墊|Ariel代墊|中信銀行共用"")), ""內部轉帳(忽略)"",
  AND(E12897&lt;&gt;"""", F12897&lt;&gt;"&amp;""""", NOT(REGEXMATCH(C12897, ""薪資""))), ""內部轉帳(忽略)"",
  REGEXMATCH(C12897, ""薪資""), ""薪資變動(不計入)"",
  REGEXMATCH(C12897, ""押金""), ""押金往來"",
  AND(E12897&lt;&gt;"""", F12897=""""), ""真實支出"",
  AND(E12897="""", F12897&lt;&gt;""""), ""真實收入"",
  TRUE, ""其他""
)"),"其他")</f>
        <v>其他</v>
      </c>
      <c r="K12897" s="270" t="str">
        <f t="shared" si="2"/>
        <v/>
      </c>
      <c r="L12897">
        <f t="shared" si="3"/>
        <v>0</v>
      </c>
    </row>
    <row r="12898">
      <c r="A12898" s="107"/>
      <c r="D12898" s="270"/>
      <c r="H12898" s="106" t="str">
        <f t="shared" si="1"/>
        <v/>
      </c>
      <c r="J12898" t="str">
        <f>IFERROR(__xludf.DUMMYFUNCTION("IFS(
  AND(REGEXMATCH(E12898, ""台銀籌備帳戶|玉山帳戶""), REGEXMATCH(C12898, ""薪資"")), ""分潤支出"",
  AND(REGEXMATCH(E12898, ""Ben帳戶|Elsa帳戶|Ben代墊|Ariel代墊|中信銀行共用""), REGEXMATCH(F12898, ""Ben帳戶|Elsa帳戶|Ben代墊|Ariel代墊|中信銀行共用"")), ""內部轉帳(忽略)"",
  AND(E12898&lt;&gt;"""", F12898&lt;&gt;"&amp;""""", NOT(REGEXMATCH(C12898, ""薪資""))), ""內部轉帳(忽略)"",
  REGEXMATCH(C12898, ""薪資""), ""薪資變動(不計入)"",
  REGEXMATCH(C12898, ""押金""), ""押金往來"",
  AND(E12898&lt;&gt;"""", F12898=""""), ""真實支出"",
  AND(E12898="""", F12898&lt;&gt;""""), ""真實收入"",
  TRUE, ""其他""
)"),"其他")</f>
        <v>其他</v>
      </c>
      <c r="K12898" s="270" t="str">
        <f t="shared" si="2"/>
        <v/>
      </c>
      <c r="L12898">
        <f t="shared" si="3"/>
        <v>0</v>
      </c>
    </row>
    <row r="12899">
      <c r="A12899" s="107"/>
      <c r="D12899" s="270"/>
      <c r="H12899" s="106" t="str">
        <f t="shared" si="1"/>
        <v/>
      </c>
      <c r="J12899" t="str">
        <f>IFERROR(__xludf.DUMMYFUNCTION("IFS(
  AND(REGEXMATCH(E12899, ""台銀籌備帳戶|玉山帳戶""), REGEXMATCH(C12899, ""薪資"")), ""分潤支出"",
  AND(REGEXMATCH(E12899, ""Ben帳戶|Elsa帳戶|Ben代墊|Ariel代墊|中信銀行共用""), REGEXMATCH(F12899, ""Ben帳戶|Elsa帳戶|Ben代墊|Ariel代墊|中信銀行共用"")), ""內部轉帳(忽略)"",
  AND(E12899&lt;&gt;"""", F12899&lt;&gt;"&amp;""""", NOT(REGEXMATCH(C12899, ""薪資""))), ""內部轉帳(忽略)"",
  REGEXMATCH(C12899, ""薪資""), ""薪資變動(不計入)"",
  REGEXMATCH(C12899, ""押金""), ""押金往來"",
  AND(E12899&lt;&gt;"""", F12899=""""), ""真實支出"",
  AND(E12899="""", F12899&lt;&gt;""""), ""真實收入"",
  TRUE, ""其他""
)"),"其他")</f>
        <v>其他</v>
      </c>
      <c r="K12899" s="270" t="str">
        <f t="shared" si="2"/>
        <v/>
      </c>
      <c r="L12899">
        <f t="shared" si="3"/>
        <v>0</v>
      </c>
    </row>
    <row r="12900">
      <c r="A12900" s="107"/>
      <c r="D12900" s="270"/>
      <c r="H12900" s="106" t="str">
        <f t="shared" si="1"/>
        <v/>
      </c>
      <c r="J12900" t="str">
        <f>IFERROR(__xludf.DUMMYFUNCTION("IFS(
  AND(REGEXMATCH(E12900, ""台銀籌備帳戶|玉山帳戶""), REGEXMATCH(C12900, ""薪資"")), ""分潤支出"",
  AND(REGEXMATCH(E12900, ""Ben帳戶|Elsa帳戶|Ben代墊|Ariel代墊|中信銀行共用""), REGEXMATCH(F12900, ""Ben帳戶|Elsa帳戶|Ben代墊|Ariel代墊|中信銀行共用"")), ""內部轉帳(忽略)"",
  AND(E12900&lt;&gt;"""", F12900&lt;&gt;"&amp;""""", NOT(REGEXMATCH(C12900, ""薪資""))), ""內部轉帳(忽略)"",
  REGEXMATCH(C12900, ""薪資""), ""薪資變動(不計入)"",
  REGEXMATCH(C12900, ""押金""), ""押金往來"",
  AND(E12900&lt;&gt;"""", F12900=""""), ""真實支出"",
  AND(E12900="""", F12900&lt;&gt;""""), ""真實收入"",
  TRUE, ""其他""
)"),"其他")</f>
        <v>其他</v>
      </c>
      <c r="K12900" s="270" t="str">
        <f t="shared" si="2"/>
        <v/>
      </c>
      <c r="L12900">
        <f t="shared" si="3"/>
        <v>0</v>
      </c>
    </row>
    <row r="12901">
      <c r="A12901" s="107"/>
      <c r="D12901" s="270"/>
      <c r="H12901" s="106" t="str">
        <f t="shared" si="1"/>
        <v/>
      </c>
      <c r="J12901" t="str">
        <f>IFERROR(__xludf.DUMMYFUNCTION("IFS(
  AND(REGEXMATCH(E12901, ""台銀籌備帳戶|玉山帳戶""), REGEXMATCH(C12901, ""薪資"")), ""分潤支出"",
  AND(REGEXMATCH(E12901, ""Ben帳戶|Elsa帳戶|Ben代墊|Ariel代墊|中信銀行共用""), REGEXMATCH(F12901, ""Ben帳戶|Elsa帳戶|Ben代墊|Ariel代墊|中信銀行共用"")), ""內部轉帳(忽略)"",
  AND(E12901&lt;&gt;"""", F12901&lt;&gt;"&amp;""""", NOT(REGEXMATCH(C12901, ""薪資""))), ""內部轉帳(忽略)"",
  REGEXMATCH(C12901, ""薪資""), ""薪資變動(不計入)"",
  REGEXMATCH(C12901, ""押金""), ""押金往來"",
  AND(E12901&lt;&gt;"""", F12901=""""), ""真實支出"",
  AND(E12901="""", F12901&lt;&gt;""""), ""真實收入"",
  TRUE, ""其他""
)"),"其他")</f>
        <v>其他</v>
      </c>
      <c r="K12901" s="270" t="str">
        <f t="shared" si="2"/>
        <v/>
      </c>
      <c r="L12901">
        <f t="shared" si="3"/>
        <v>0</v>
      </c>
    </row>
    <row r="12902">
      <c r="A12902" s="107"/>
      <c r="D12902" s="270"/>
      <c r="H12902" s="106" t="str">
        <f t="shared" si="1"/>
        <v/>
      </c>
      <c r="J12902" t="str">
        <f>IFERROR(__xludf.DUMMYFUNCTION("IFS(
  AND(REGEXMATCH(E12902, ""台銀籌備帳戶|玉山帳戶""), REGEXMATCH(C12902, ""薪資"")), ""分潤支出"",
  AND(REGEXMATCH(E12902, ""Ben帳戶|Elsa帳戶|Ben代墊|Ariel代墊|中信銀行共用""), REGEXMATCH(F12902, ""Ben帳戶|Elsa帳戶|Ben代墊|Ariel代墊|中信銀行共用"")), ""內部轉帳(忽略)"",
  AND(E12902&lt;&gt;"""", F12902&lt;&gt;"&amp;""""", NOT(REGEXMATCH(C12902, ""薪資""))), ""內部轉帳(忽略)"",
  REGEXMATCH(C12902, ""薪資""), ""薪資變動(不計入)"",
  REGEXMATCH(C12902, ""押金""), ""押金往來"",
  AND(E12902&lt;&gt;"""", F12902=""""), ""真實支出"",
  AND(E12902="""", F12902&lt;&gt;""""), ""真實收入"",
  TRUE, ""其他""
)"),"其他")</f>
        <v>其他</v>
      </c>
      <c r="K12902" s="270" t="str">
        <f t="shared" si="2"/>
        <v/>
      </c>
      <c r="L12902">
        <f t="shared" si="3"/>
        <v>0</v>
      </c>
    </row>
    <row r="12903">
      <c r="A12903" s="107"/>
      <c r="D12903" s="270"/>
      <c r="H12903" s="106" t="str">
        <f t="shared" si="1"/>
        <v/>
      </c>
      <c r="J12903" t="str">
        <f>IFERROR(__xludf.DUMMYFUNCTION("IFS(
  AND(REGEXMATCH(E12903, ""台銀籌備帳戶|玉山帳戶""), REGEXMATCH(C12903, ""薪資"")), ""分潤支出"",
  AND(REGEXMATCH(E12903, ""Ben帳戶|Elsa帳戶|Ben代墊|Ariel代墊|中信銀行共用""), REGEXMATCH(F12903, ""Ben帳戶|Elsa帳戶|Ben代墊|Ariel代墊|中信銀行共用"")), ""內部轉帳(忽略)"",
  AND(E12903&lt;&gt;"""", F12903&lt;&gt;"&amp;""""", NOT(REGEXMATCH(C12903, ""薪資""))), ""內部轉帳(忽略)"",
  REGEXMATCH(C12903, ""薪資""), ""薪資變動(不計入)"",
  REGEXMATCH(C12903, ""押金""), ""押金往來"",
  AND(E12903&lt;&gt;"""", F12903=""""), ""真實支出"",
  AND(E12903="""", F12903&lt;&gt;""""), ""真實收入"",
  TRUE, ""其他""
)"),"其他")</f>
        <v>其他</v>
      </c>
      <c r="K12903" s="270" t="str">
        <f t="shared" si="2"/>
        <v/>
      </c>
      <c r="L12903">
        <f t="shared" si="3"/>
        <v>0</v>
      </c>
    </row>
    <row r="12904">
      <c r="A12904" s="107"/>
      <c r="D12904" s="270"/>
      <c r="H12904" s="106" t="str">
        <f t="shared" si="1"/>
        <v/>
      </c>
      <c r="J12904" t="str">
        <f>IFERROR(__xludf.DUMMYFUNCTION("IFS(
  AND(REGEXMATCH(E12904, ""台銀籌備帳戶|玉山帳戶""), REGEXMATCH(C12904, ""薪資"")), ""分潤支出"",
  AND(REGEXMATCH(E12904, ""Ben帳戶|Elsa帳戶|Ben代墊|Ariel代墊|中信銀行共用""), REGEXMATCH(F12904, ""Ben帳戶|Elsa帳戶|Ben代墊|Ariel代墊|中信銀行共用"")), ""內部轉帳(忽略)"",
  AND(E12904&lt;&gt;"""", F12904&lt;&gt;"&amp;""""", NOT(REGEXMATCH(C12904, ""薪資""))), ""內部轉帳(忽略)"",
  REGEXMATCH(C12904, ""薪資""), ""薪資變動(不計入)"",
  REGEXMATCH(C12904, ""押金""), ""押金往來"",
  AND(E12904&lt;&gt;"""", F12904=""""), ""真實支出"",
  AND(E12904="""", F12904&lt;&gt;""""), ""真實收入"",
  TRUE, ""其他""
)"),"其他")</f>
        <v>其他</v>
      </c>
      <c r="K12904" s="270" t="str">
        <f t="shared" si="2"/>
        <v/>
      </c>
      <c r="L12904">
        <f t="shared" si="3"/>
        <v>0</v>
      </c>
    </row>
    <row r="12905">
      <c r="A12905" s="107"/>
      <c r="D12905" s="270"/>
      <c r="H12905" s="106" t="str">
        <f t="shared" si="1"/>
        <v/>
      </c>
      <c r="J12905" t="str">
        <f>IFERROR(__xludf.DUMMYFUNCTION("IFS(
  AND(REGEXMATCH(E12905, ""台銀籌備帳戶|玉山帳戶""), REGEXMATCH(C12905, ""薪資"")), ""分潤支出"",
  AND(REGEXMATCH(E12905, ""Ben帳戶|Elsa帳戶|Ben代墊|Ariel代墊|中信銀行共用""), REGEXMATCH(F12905, ""Ben帳戶|Elsa帳戶|Ben代墊|Ariel代墊|中信銀行共用"")), ""內部轉帳(忽略)"",
  AND(E12905&lt;&gt;"""", F12905&lt;&gt;"&amp;""""", NOT(REGEXMATCH(C12905, ""薪資""))), ""內部轉帳(忽略)"",
  REGEXMATCH(C12905, ""薪資""), ""薪資變動(不計入)"",
  REGEXMATCH(C12905, ""押金""), ""押金往來"",
  AND(E12905&lt;&gt;"""", F12905=""""), ""真實支出"",
  AND(E12905="""", F12905&lt;&gt;""""), ""真實收入"",
  TRUE, ""其他""
)"),"其他")</f>
        <v>其他</v>
      </c>
      <c r="K12905" s="270" t="str">
        <f t="shared" si="2"/>
        <v/>
      </c>
      <c r="L12905">
        <f t="shared" si="3"/>
        <v>0</v>
      </c>
    </row>
    <row r="12906">
      <c r="A12906" s="107"/>
      <c r="D12906" s="270"/>
      <c r="H12906" s="106" t="str">
        <f t="shared" si="1"/>
        <v/>
      </c>
      <c r="J12906" t="str">
        <f>IFERROR(__xludf.DUMMYFUNCTION("IFS(
  AND(REGEXMATCH(E12906, ""台銀籌備帳戶|玉山帳戶""), REGEXMATCH(C12906, ""薪資"")), ""分潤支出"",
  AND(REGEXMATCH(E12906, ""Ben帳戶|Elsa帳戶|Ben代墊|Ariel代墊|中信銀行共用""), REGEXMATCH(F12906, ""Ben帳戶|Elsa帳戶|Ben代墊|Ariel代墊|中信銀行共用"")), ""內部轉帳(忽略)"",
  AND(E12906&lt;&gt;"""", F12906&lt;&gt;"&amp;""""", NOT(REGEXMATCH(C12906, ""薪資""))), ""內部轉帳(忽略)"",
  REGEXMATCH(C12906, ""薪資""), ""薪資變動(不計入)"",
  REGEXMATCH(C12906, ""押金""), ""押金往來"",
  AND(E12906&lt;&gt;"""", F12906=""""), ""真實支出"",
  AND(E12906="""", F12906&lt;&gt;""""), ""真實收入"",
  TRUE, ""其他""
)"),"其他")</f>
        <v>其他</v>
      </c>
      <c r="K12906" s="270" t="str">
        <f t="shared" si="2"/>
        <v/>
      </c>
      <c r="L12906">
        <f t="shared" si="3"/>
        <v>0</v>
      </c>
    </row>
    <row r="12907">
      <c r="A12907" s="107"/>
      <c r="D12907" s="270"/>
      <c r="H12907" s="106" t="str">
        <f t="shared" si="1"/>
        <v/>
      </c>
      <c r="J12907" t="str">
        <f>IFERROR(__xludf.DUMMYFUNCTION("IFS(
  AND(REGEXMATCH(E12907, ""台銀籌備帳戶|玉山帳戶""), REGEXMATCH(C12907, ""薪資"")), ""分潤支出"",
  AND(REGEXMATCH(E12907, ""Ben帳戶|Elsa帳戶|Ben代墊|Ariel代墊|中信銀行共用""), REGEXMATCH(F12907, ""Ben帳戶|Elsa帳戶|Ben代墊|Ariel代墊|中信銀行共用"")), ""內部轉帳(忽略)"",
  AND(E12907&lt;&gt;"""", F12907&lt;&gt;"&amp;""""", NOT(REGEXMATCH(C12907, ""薪資""))), ""內部轉帳(忽略)"",
  REGEXMATCH(C12907, ""薪資""), ""薪資變動(不計入)"",
  REGEXMATCH(C12907, ""押金""), ""押金往來"",
  AND(E12907&lt;&gt;"""", F12907=""""), ""真實支出"",
  AND(E12907="""", F12907&lt;&gt;""""), ""真實收入"",
  TRUE, ""其他""
)"),"其他")</f>
        <v>其他</v>
      </c>
      <c r="K12907" s="270" t="str">
        <f t="shared" si="2"/>
        <v/>
      </c>
      <c r="L12907">
        <f t="shared" si="3"/>
        <v>0</v>
      </c>
    </row>
    <row r="12908">
      <c r="A12908" s="107"/>
      <c r="D12908" s="270"/>
      <c r="H12908" s="106" t="str">
        <f t="shared" si="1"/>
        <v/>
      </c>
      <c r="J12908" t="str">
        <f>IFERROR(__xludf.DUMMYFUNCTION("IFS(
  AND(REGEXMATCH(E12908, ""台銀籌備帳戶|玉山帳戶""), REGEXMATCH(C12908, ""薪資"")), ""分潤支出"",
  AND(REGEXMATCH(E12908, ""Ben帳戶|Elsa帳戶|Ben代墊|Ariel代墊|中信銀行共用""), REGEXMATCH(F12908, ""Ben帳戶|Elsa帳戶|Ben代墊|Ariel代墊|中信銀行共用"")), ""內部轉帳(忽略)"",
  AND(E12908&lt;&gt;"""", F12908&lt;&gt;"&amp;""""", NOT(REGEXMATCH(C12908, ""薪資""))), ""內部轉帳(忽略)"",
  REGEXMATCH(C12908, ""薪資""), ""薪資變動(不計入)"",
  REGEXMATCH(C12908, ""押金""), ""押金往來"",
  AND(E12908&lt;&gt;"""", F12908=""""), ""真實支出"",
  AND(E12908="""", F12908&lt;&gt;""""), ""真實收入"",
  TRUE, ""其他""
)"),"其他")</f>
        <v>其他</v>
      </c>
      <c r="K12908" s="270" t="str">
        <f t="shared" si="2"/>
        <v/>
      </c>
      <c r="L12908">
        <f t="shared" si="3"/>
        <v>0</v>
      </c>
    </row>
    <row r="12909">
      <c r="A12909" s="107"/>
      <c r="D12909" s="270"/>
      <c r="H12909" s="106" t="str">
        <f t="shared" si="1"/>
        <v/>
      </c>
      <c r="J12909" t="str">
        <f>IFERROR(__xludf.DUMMYFUNCTION("IFS(
  AND(REGEXMATCH(E12909, ""台銀籌備帳戶|玉山帳戶""), REGEXMATCH(C12909, ""薪資"")), ""分潤支出"",
  AND(REGEXMATCH(E12909, ""Ben帳戶|Elsa帳戶|Ben代墊|Ariel代墊|中信銀行共用""), REGEXMATCH(F12909, ""Ben帳戶|Elsa帳戶|Ben代墊|Ariel代墊|中信銀行共用"")), ""內部轉帳(忽略)"",
  AND(E12909&lt;&gt;"""", F12909&lt;&gt;"&amp;""""", NOT(REGEXMATCH(C12909, ""薪資""))), ""內部轉帳(忽略)"",
  REGEXMATCH(C12909, ""薪資""), ""薪資變動(不計入)"",
  REGEXMATCH(C12909, ""押金""), ""押金往來"",
  AND(E12909&lt;&gt;"""", F12909=""""), ""真實支出"",
  AND(E12909="""", F12909&lt;&gt;""""), ""真實收入"",
  TRUE, ""其他""
)"),"其他")</f>
        <v>其他</v>
      </c>
      <c r="K12909" s="270" t="str">
        <f t="shared" si="2"/>
        <v/>
      </c>
      <c r="L12909">
        <f t="shared" si="3"/>
        <v>0</v>
      </c>
    </row>
    <row r="12910">
      <c r="A12910" s="107"/>
      <c r="D12910" s="270"/>
      <c r="H12910" s="106" t="str">
        <f t="shared" si="1"/>
        <v/>
      </c>
      <c r="J12910" t="str">
        <f>IFERROR(__xludf.DUMMYFUNCTION("IFS(
  AND(REGEXMATCH(E12910, ""台銀籌備帳戶|玉山帳戶""), REGEXMATCH(C12910, ""薪資"")), ""分潤支出"",
  AND(REGEXMATCH(E12910, ""Ben帳戶|Elsa帳戶|Ben代墊|Ariel代墊|中信銀行共用""), REGEXMATCH(F12910, ""Ben帳戶|Elsa帳戶|Ben代墊|Ariel代墊|中信銀行共用"")), ""內部轉帳(忽略)"",
  AND(E12910&lt;&gt;"""", F12910&lt;&gt;"&amp;""""", NOT(REGEXMATCH(C12910, ""薪資""))), ""內部轉帳(忽略)"",
  REGEXMATCH(C12910, ""薪資""), ""薪資變動(不計入)"",
  REGEXMATCH(C12910, ""押金""), ""押金往來"",
  AND(E12910&lt;&gt;"""", F12910=""""), ""真實支出"",
  AND(E12910="""", F12910&lt;&gt;""""), ""真實收入"",
  TRUE, ""其他""
)"),"其他")</f>
        <v>其他</v>
      </c>
      <c r="K12910" s="270" t="str">
        <f t="shared" si="2"/>
        <v/>
      </c>
      <c r="L12910">
        <f t="shared" si="3"/>
        <v>0</v>
      </c>
    </row>
    <row r="12911">
      <c r="A12911" s="107"/>
      <c r="D12911" s="270"/>
      <c r="H12911" s="106" t="str">
        <f t="shared" si="1"/>
        <v/>
      </c>
      <c r="J12911" t="str">
        <f>IFERROR(__xludf.DUMMYFUNCTION("IFS(
  AND(REGEXMATCH(E12911, ""台銀籌備帳戶|玉山帳戶""), REGEXMATCH(C12911, ""薪資"")), ""分潤支出"",
  AND(REGEXMATCH(E12911, ""Ben帳戶|Elsa帳戶|Ben代墊|Ariel代墊|中信銀行共用""), REGEXMATCH(F12911, ""Ben帳戶|Elsa帳戶|Ben代墊|Ariel代墊|中信銀行共用"")), ""內部轉帳(忽略)"",
  AND(E12911&lt;&gt;"""", F12911&lt;&gt;"&amp;""""", NOT(REGEXMATCH(C12911, ""薪資""))), ""內部轉帳(忽略)"",
  REGEXMATCH(C12911, ""薪資""), ""薪資變動(不計入)"",
  REGEXMATCH(C12911, ""押金""), ""押金往來"",
  AND(E12911&lt;&gt;"""", F12911=""""), ""真實支出"",
  AND(E12911="""", F12911&lt;&gt;""""), ""真實收入"",
  TRUE, ""其他""
)"),"其他")</f>
        <v>其他</v>
      </c>
      <c r="K12911" s="270" t="str">
        <f t="shared" si="2"/>
        <v/>
      </c>
      <c r="L12911">
        <f t="shared" si="3"/>
        <v>0</v>
      </c>
    </row>
    <row r="12912">
      <c r="A12912" s="107"/>
      <c r="D12912" s="270"/>
      <c r="H12912" s="106" t="str">
        <f t="shared" si="1"/>
        <v/>
      </c>
      <c r="J12912" t="str">
        <f>IFERROR(__xludf.DUMMYFUNCTION("IFS(
  AND(REGEXMATCH(E12912, ""台銀籌備帳戶|玉山帳戶""), REGEXMATCH(C12912, ""薪資"")), ""分潤支出"",
  AND(REGEXMATCH(E12912, ""Ben帳戶|Elsa帳戶|Ben代墊|Ariel代墊|中信銀行共用""), REGEXMATCH(F12912, ""Ben帳戶|Elsa帳戶|Ben代墊|Ariel代墊|中信銀行共用"")), ""內部轉帳(忽略)"",
  AND(E12912&lt;&gt;"""", F12912&lt;&gt;"&amp;""""", NOT(REGEXMATCH(C12912, ""薪資""))), ""內部轉帳(忽略)"",
  REGEXMATCH(C12912, ""薪資""), ""薪資變動(不計入)"",
  REGEXMATCH(C12912, ""押金""), ""押金往來"",
  AND(E12912&lt;&gt;"""", F12912=""""), ""真實支出"",
  AND(E12912="""", F12912&lt;&gt;""""), ""真實收入"",
  TRUE, ""其他""
)"),"其他")</f>
        <v>其他</v>
      </c>
      <c r="K12912" s="270" t="str">
        <f t="shared" si="2"/>
        <v/>
      </c>
      <c r="L12912">
        <f t="shared" si="3"/>
        <v>0</v>
      </c>
    </row>
    <row r="12913">
      <c r="A12913" s="107"/>
      <c r="D12913" s="270"/>
      <c r="H12913" s="106" t="str">
        <f t="shared" si="1"/>
        <v/>
      </c>
      <c r="J12913" t="str">
        <f>IFERROR(__xludf.DUMMYFUNCTION("IFS(
  AND(REGEXMATCH(E12913, ""台銀籌備帳戶|玉山帳戶""), REGEXMATCH(C12913, ""薪資"")), ""分潤支出"",
  AND(REGEXMATCH(E12913, ""Ben帳戶|Elsa帳戶|Ben代墊|Ariel代墊|中信銀行共用""), REGEXMATCH(F12913, ""Ben帳戶|Elsa帳戶|Ben代墊|Ariel代墊|中信銀行共用"")), ""內部轉帳(忽略)"",
  AND(E12913&lt;&gt;"""", F12913&lt;&gt;"&amp;""""", NOT(REGEXMATCH(C12913, ""薪資""))), ""內部轉帳(忽略)"",
  REGEXMATCH(C12913, ""薪資""), ""薪資變動(不計入)"",
  REGEXMATCH(C12913, ""押金""), ""押金往來"",
  AND(E12913&lt;&gt;"""", F12913=""""), ""真實支出"",
  AND(E12913="""", F12913&lt;&gt;""""), ""真實收入"",
  TRUE, ""其他""
)"),"其他")</f>
        <v>其他</v>
      </c>
      <c r="K12913" s="270" t="str">
        <f t="shared" si="2"/>
        <v/>
      </c>
      <c r="L12913">
        <f t="shared" si="3"/>
        <v>0</v>
      </c>
    </row>
    <row r="12914">
      <c r="A12914" s="107"/>
      <c r="D12914" s="270"/>
      <c r="H12914" s="106" t="str">
        <f t="shared" si="1"/>
        <v/>
      </c>
      <c r="J12914" t="str">
        <f>IFERROR(__xludf.DUMMYFUNCTION("IFS(
  AND(REGEXMATCH(E12914, ""台銀籌備帳戶|玉山帳戶""), REGEXMATCH(C12914, ""薪資"")), ""分潤支出"",
  AND(REGEXMATCH(E12914, ""Ben帳戶|Elsa帳戶|Ben代墊|Ariel代墊|中信銀行共用""), REGEXMATCH(F12914, ""Ben帳戶|Elsa帳戶|Ben代墊|Ariel代墊|中信銀行共用"")), ""內部轉帳(忽略)"",
  AND(E12914&lt;&gt;"""", F12914&lt;&gt;"&amp;""""", NOT(REGEXMATCH(C12914, ""薪資""))), ""內部轉帳(忽略)"",
  REGEXMATCH(C12914, ""薪資""), ""薪資變動(不計入)"",
  REGEXMATCH(C12914, ""押金""), ""押金往來"",
  AND(E12914&lt;&gt;"""", F12914=""""), ""真實支出"",
  AND(E12914="""", F12914&lt;&gt;""""), ""真實收入"",
  TRUE, ""其他""
)"),"其他")</f>
        <v>其他</v>
      </c>
      <c r="K12914" s="270" t="str">
        <f t="shared" si="2"/>
        <v/>
      </c>
      <c r="L12914">
        <f t="shared" si="3"/>
        <v>0</v>
      </c>
    </row>
    <row r="12915">
      <c r="A12915" s="107"/>
      <c r="D12915" s="270"/>
      <c r="H12915" s="106" t="str">
        <f t="shared" si="1"/>
        <v/>
      </c>
      <c r="J12915" t="str">
        <f>IFERROR(__xludf.DUMMYFUNCTION("IFS(
  AND(REGEXMATCH(E12915, ""台銀籌備帳戶|玉山帳戶""), REGEXMATCH(C12915, ""薪資"")), ""分潤支出"",
  AND(REGEXMATCH(E12915, ""Ben帳戶|Elsa帳戶|Ben代墊|Ariel代墊|中信銀行共用""), REGEXMATCH(F12915, ""Ben帳戶|Elsa帳戶|Ben代墊|Ariel代墊|中信銀行共用"")), ""內部轉帳(忽略)"",
  AND(E12915&lt;&gt;"""", F12915&lt;&gt;"&amp;""""", NOT(REGEXMATCH(C12915, ""薪資""))), ""內部轉帳(忽略)"",
  REGEXMATCH(C12915, ""薪資""), ""薪資變動(不計入)"",
  REGEXMATCH(C12915, ""押金""), ""押金往來"",
  AND(E12915&lt;&gt;"""", F12915=""""), ""真實支出"",
  AND(E12915="""", F12915&lt;&gt;""""), ""真實收入"",
  TRUE, ""其他""
)"),"其他")</f>
        <v>其他</v>
      </c>
      <c r="K12915" s="270" t="str">
        <f t="shared" si="2"/>
        <v/>
      </c>
      <c r="L12915">
        <f t="shared" si="3"/>
        <v>0</v>
      </c>
    </row>
    <row r="12916">
      <c r="A12916" s="107"/>
      <c r="D12916" s="270"/>
      <c r="H12916" s="106" t="str">
        <f t="shared" si="1"/>
        <v/>
      </c>
      <c r="J12916" t="str">
        <f>IFERROR(__xludf.DUMMYFUNCTION("IFS(
  AND(REGEXMATCH(E12916, ""台銀籌備帳戶|玉山帳戶""), REGEXMATCH(C12916, ""薪資"")), ""分潤支出"",
  AND(REGEXMATCH(E12916, ""Ben帳戶|Elsa帳戶|Ben代墊|Ariel代墊|中信銀行共用""), REGEXMATCH(F12916, ""Ben帳戶|Elsa帳戶|Ben代墊|Ariel代墊|中信銀行共用"")), ""內部轉帳(忽略)"",
  AND(E12916&lt;&gt;"""", F12916&lt;&gt;"&amp;""""", NOT(REGEXMATCH(C12916, ""薪資""))), ""內部轉帳(忽略)"",
  REGEXMATCH(C12916, ""薪資""), ""薪資變動(不計入)"",
  REGEXMATCH(C12916, ""押金""), ""押金往來"",
  AND(E12916&lt;&gt;"""", F12916=""""), ""真實支出"",
  AND(E12916="""", F12916&lt;&gt;""""), ""真實收入"",
  TRUE, ""其他""
)"),"其他")</f>
        <v>其他</v>
      </c>
      <c r="K12916" s="270" t="str">
        <f t="shared" si="2"/>
        <v/>
      </c>
      <c r="L12916">
        <f t="shared" si="3"/>
        <v>0</v>
      </c>
    </row>
    <row r="12917">
      <c r="A12917" s="107"/>
      <c r="D12917" s="270"/>
      <c r="H12917" s="106" t="str">
        <f t="shared" si="1"/>
        <v/>
      </c>
      <c r="J12917" t="str">
        <f>IFERROR(__xludf.DUMMYFUNCTION("IFS(
  AND(REGEXMATCH(E12917, ""台銀籌備帳戶|玉山帳戶""), REGEXMATCH(C12917, ""薪資"")), ""分潤支出"",
  AND(REGEXMATCH(E12917, ""Ben帳戶|Elsa帳戶|Ben代墊|Ariel代墊|中信銀行共用""), REGEXMATCH(F12917, ""Ben帳戶|Elsa帳戶|Ben代墊|Ariel代墊|中信銀行共用"")), ""內部轉帳(忽略)"",
  AND(E12917&lt;&gt;"""", F12917&lt;&gt;"&amp;""""", NOT(REGEXMATCH(C12917, ""薪資""))), ""內部轉帳(忽略)"",
  REGEXMATCH(C12917, ""薪資""), ""薪資變動(不計入)"",
  REGEXMATCH(C12917, ""押金""), ""押金往來"",
  AND(E12917&lt;&gt;"""", F12917=""""), ""真實支出"",
  AND(E12917="""", F12917&lt;&gt;""""), ""真實收入"",
  TRUE, ""其他""
)"),"其他")</f>
        <v>其他</v>
      </c>
      <c r="K12917" s="270" t="str">
        <f t="shared" si="2"/>
        <v/>
      </c>
      <c r="L12917">
        <f t="shared" si="3"/>
        <v>0</v>
      </c>
    </row>
    <row r="12918">
      <c r="A12918" s="107"/>
      <c r="D12918" s="270"/>
      <c r="H12918" s="106" t="str">
        <f t="shared" si="1"/>
        <v/>
      </c>
      <c r="J12918" t="str">
        <f>IFERROR(__xludf.DUMMYFUNCTION("IFS(
  AND(REGEXMATCH(E12918, ""台銀籌備帳戶|玉山帳戶""), REGEXMATCH(C12918, ""薪資"")), ""分潤支出"",
  AND(REGEXMATCH(E12918, ""Ben帳戶|Elsa帳戶|Ben代墊|Ariel代墊|中信銀行共用""), REGEXMATCH(F12918, ""Ben帳戶|Elsa帳戶|Ben代墊|Ariel代墊|中信銀行共用"")), ""內部轉帳(忽略)"",
  AND(E12918&lt;&gt;"""", F12918&lt;&gt;"&amp;""""", NOT(REGEXMATCH(C12918, ""薪資""))), ""內部轉帳(忽略)"",
  REGEXMATCH(C12918, ""薪資""), ""薪資變動(不計入)"",
  REGEXMATCH(C12918, ""押金""), ""押金往來"",
  AND(E12918&lt;&gt;"""", F12918=""""), ""真實支出"",
  AND(E12918="""", F12918&lt;&gt;""""), ""真實收入"",
  TRUE, ""其他""
)"),"其他")</f>
        <v>其他</v>
      </c>
      <c r="K12918" s="270" t="str">
        <f t="shared" si="2"/>
        <v/>
      </c>
      <c r="L12918">
        <f t="shared" si="3"/>
        <v>0</v>
      </c>
    </row>
    <row r="12919">
      <c r="A12919" s="107"/>
      <c r="D12919" s="270"/>
      <c r="H12919" s="106" t="str">
        <f t="shared" si="1"/>
        <v/>
      </c>
      <c r="J12919" t="str">
        <f>IFERROR(__xludf.DUMMYFUNCTION("IFS(
  AND(REGEXMATCH(E12919, ""台銀籌備帳戶|玉山帳戶""), REGEXMATCH(C12919, ""薪資"")), ""分潤支出"",
  AND(REGEXMATCH(E12919, ""Ben帳戶|Elsa帳戶|Ben代墊|Ariel代墊|中信銀行共用""), REGEXMATCH(F12919, ""Ben帳戶|Elsa帳戶|Ben代墊|Ariel代墊|中信銀行共用"")), ""內部轉帳(忽略)"",
  AND(E12919&lt;&gt;"""", F12919&lt;&gt;"&amp;""""", NOT(REGEXMATCH(C12919, ""薪資""))), ""內部轉帳(忽略)"",
  REGEXMATCH(C12919, ""薪資""), ""薪資變動(不計入)"",
  REGEXMATCH(C12919, ""押金""), ""押金往來"",
  AND(E12919&lt;&gt;"""", F12919=""""), ""真實支出"",
  AND(E12919="""", F12919&lt;&gt;""""), ""真實收入"",
  TRUE, ""其他""
)"),"其他")</f>
        <v>其他</v>
      </c>
      <c r="K12919" s="270" t="str">
        <f t="shared" si="2"/>
        <v/>
      </c>
      <c r="L12919">
        <f t="shared" si="3"/>
        <v>0</v>
      </c>
    </row>
    <row r="12920">
      <c r="A12920" s="107"/>
      <c r="D12920" s="270"/>
      <c r="H12920" s="106" t="str">
        <f t="shared" si="1"/>
        <v/>
      </c>
      <c r="J12920" t="str">
        <f>IFERROR(__xludf.DUMMYFUNCTION("IFS(
  AND(REGEXMATCH(E12920, ""台銀籌備帳戶|玉山帳戶""), REGEXMATCH(C12920, ""薪資"")), ""分潤支出"",
  AND(REGEXMATCH(E12920, ""Ben帳戶|Elsa帳戶|Ben代墊|Ariel代墊|中信銀行共用""), REGEXMATCH(F12920, ""Ben帳戶|Elsa帳戶|Ben代墊|Ariel代墊|中信銀行共用"")), ""內部轉帳(忽略)"",
  AND(E12920&lt;&gt;"""", F12920&lt;&gt;"&amp;""""", NOT(REGEXMATCH(C12920, ""薪資""))), ""內部轉帳(忽略)"",
  REGEXMATCH(C12920, ""薪資""), ""薪資變動(不計入)"",
  REGEXMATCH(C12920, ""押金""), ""押金往來"",
  AND(E12920&lt;&gt;"""", F12920=""""), ""真實支出"",
  AND(E12920="""", F12920&lt;&gt;""""), ""真實收入"",
  TRUE, ""其他""
)"),"其他")</f>
        <v>其他</v>
      </c>
      <c r="K12920" s="270" t="str">
        <f t="shared" si="2"/>
        <v/>
      </c>
      <c r="L12920">
        <f t="shared" si="3"/>
        <v>0</v>
      </c>
    </row>
    <row r="12921">
      <c r="A12921" s="107"/>
      <c r="D12921" s="270"/>
      <c r="H12921" s="106" t="str">
        <f t="shared" si="1"/>
        <v/>
      </c>
      <c r="J12921" t="str">
        <f>IFERROR(__xludf.DUMMYFUNCTION("IFS(
  AND(REGEXMATCH(E12921, ""台銀籌備帳戶|玉山帳戶""), REGEXMATCH(C12921, ""薪資"")), ""分潤支出"",
  AND(REGEXMATCH(E12921, ""Ben帳戶|Elsa帳戶|Ben代墊|Ariel代墊|中信銀行共用""), REGEXMATCH(F12921, ""Ben帳戶|Elsa帳戶|Ben代墊|Ariel代墊|中信銀行共用"")), ""內部轉帳(忽略)"",
  AND(E12921&lt;&gt;"""", F12921&lt;&gt;"&amp;""""", NOT(REGEXMATCH(C12921, ""薪資""))), ""內部轉帳(忽略)"",
  REGEXMATCH(C12921, ""薪資""), ""薪資變動(不計入)"",
  REGEXMATCH(C12921, ""押金""), ""押金往來"",
  AND(E12921&lt;&gt;"""", F12921=""""), ""真實支出"",
  AND(E12921="""", F12921&lt;&gt;""""), ""真實收入"",
  TRUE, ""其他""
)"),"其他")</f>
        <v>其他</v>
      </c>
      <c r="K12921" s="270" t="str">
        <f t="shared" si="2"/>
        <v/>
      </c>
      <c r="L12921">
        <f t="shared" si="3"/>
        <v>0</v>
      </c>
    </row>
    <row r="12922">
      <c r="A12922" s="107"/>
      <c r="D12922" s="270"/>
      <c r="H12922" s="106" t="str">
        <f t="shared" si="1"/>
        <v/>
      </c>
      <c r="J12922" t="str">
        <f>IFERROR(__xludf.DUMMYFUNCTION("IFS(
  AND(REGEXMATCH(E12922, ""台銀籌備帳戶|玉山帳戶""), REGEXMATCH(C12922, ""薪資"")), ""分潤支出"",
  AND(REGEXMATCH(E12922, ""Ben帳戶|Elsa帳戶|Ben代墊|Ariel代墊|中信銀行共用""), REGEXMATCH(F12922, ""Ben帳戶|Elsa帳戶|Ben代墊|Ariel代墊|中信銀行共用"")), ""內部轉帳(忽略)"",
  AND(E12922&lt;&gt;"""", F12922&lt;&gt;"&amp;""""", NOT(REGEXMATCH(C12922, ""薪資""))), ""內部轉帳(忽略)"",
  REGEXMATCH(C12922, ""薪資""), ""薪資變動(不計入)"",
  REGEXMATCH(C12922, ""押金""), ""押金往來"",
  AND(E12922&lt;&gt;"""", F12922=""""), ""真實支出"",
  AND(E12922="""", F12922&lt;&gt;""""), ""真實收入"",
  TRUE, ""其他""
)"),"其他")</f>
        <v>其他</v>
      </c>
      <c r="K12922" s="270" t="str">
        <f t="shared" si="2"/>
        <v/>
      </c>
      <c r="L12922">
        <f t="shared" si="3"/>
        <v>0</v>
      </c>
    </row>
    <row r="12923">
      <c r="A12923" s="107"/>
      <c r="D12923" s="270"/>
      <c r="H12923" s="106" t="str">
        <f t="shared" si="1"/>
        <v/>
      </c>
      <c r="J12923" t="str">
        <f>IFERROR(__xludf.DUMMYFUNCTION("IFS(
  AND(REGEXMATCH(E12923, ""台銀籌備帳戶|玉山帳戶""), REGEXMATCH(C12923, ""薪資"")), ""分潤支出"",
  AND(REGEXMATCH(E12923, ""Ben帳戶|Elsa帳戶|Ben代墊|Ariel代墊|中信銀行共用""), REGEXMATCH(F12923, ""Ben帳戶|Elsa帳戶|Ben代墊|Ariel代墊|中信銀行共用"")), ""內部轉帳(忽略)"",
  AND(E12923&lt;&gt;"""", F12923&lt;&gt;"&amp;""""", NOT(REGEXMATCH(C12923, ""薪資""))), ""內部轉帳(忽略)"",
  REGEXMATCH(C12923, ""薪資""), ""薪資變動(不計入)"",
  REGEXMATCH(C12923, ""押金""), ""押金往來"",
  AND(E12923&lt;&gt;"""", F12923=""""), ""真實支出"",
  AND(E12923="""", F12923&lt;&gt;""""), ""真實收入"",
  TRUE, ""其他""
)"),"其他")</f>
        <v>其他</v>
      </c>
      <c r="K12923" s="270" t="str">
        <f t="shared" si="2"/>
        <v/>
      </c>
      <c r="L12923">
        <f t="shared" si="3"/>
        <v>0</v>
      </c>
    </row>
    <row r="12924">
      <c r="A12924" s="107"/>
      <c r="D12924" s="270"/>
      <c r="H12924" s="106" t="str">
        <f t="shared" si="1"/>
        <v/>
      </c>
      <c r="J12924" t="str">
        <f>IFERROR(__xludf.DUMMYFUNCTION("IFS(
  AND(REGEXMATCH(E12924, ""台銀籌備帳戶|玉山帳戶""), REGEXMATCH(C12924, ""薪資"")), ""分潤支出"",
  AND(REGEXMATCH(E12924, ""Ben帳戶|Elsa帳戶|Ben代墊|Ariel代墊|中信銀行共用""), REGEXMATCH(F12924, ""Ben帳戶|Elsa帳戶|Ben代墊|Ariel代墊|中信銀行共用"")), ""內部轉帳(忽略)"",
  AND(E12924&lt;&gt;"""", F12924&lt;&gt;"&amp;""""", NOT(REGEXMATCH(C12924, ""薪資""))), ""內部轉帳(忽略)"",
  REGEXMATCH(C12924, ""薪資""), ""薪資變動(不計入)"",
  REGEXMATCH(C12924, ""押金""), ""押金往來"",
  AND(E12924&lt;&gt;"""", F12924=""""), ""真實支出"",
  AND(E12924="""", F12924&lt;&gt;""""), ""真實收入"",
  TRUE, ""其他""
)"),"其他")</f>
        <v>其他</v>
      </c>
      <c r="K12924" s="270" t="str">
        <f t="shared" si="2"/>
        <v/>
      </c>
      <c r="L12924">
        <f t="shared" si="3"/>
        <v>0</v>
      </c>
    </row>
    <row r="12925">
      <c r="A12925" s="107"/>
      <c r="D12925" s="270"/>
      <c r="H12925" s="106" t="str">
        <f t="shared" si="1"/>
        <v/>
      </c>
      <c r="J12925" t="str">
        <f>IFERROR(__xludf.DUMMYFUNCTION("IFS(
  AND(REGEXMATCH(E12925, ""台銀籌備帳戶|玉山帳戶""), REGEXMATCH(C12925, ""薪資"")), ""分潤支出"",
  AND(REGEXMATCH(E12925, ""Ben帳戶|Elsa帳戶|Ben代墊|Ariel代墊|中信銀行共用""), REGEXMATCH(F12925, ""Ben帳戶|Elsa帳戶|Ben代墊|Ariel代墊|中信銀行共用"")), ""內部轉帳(忽略)"",
  AND(E12925&lt;&gt;"""", F12925&lt;&gt;"&amp;""""", NOT(REGEXMATCH(C12925, ""薪資""))), ""內部轉帳(忽略)"",
  REGEXMATCH(C12925, ""薪資""), ""薪資變動(不計入)"",
  REGEXMATCH(C12925, ""押金""), ""押金往來"",
  AND(E12925&lt;&gt;"""", F12925=""""), ""真實支出"",
  AND(E12925="""", F12925&lt;&gt;""""), ""真實收入"",
  TRUE, ""其他""
)"),"其他")</f>
        <v>其他</v>
      </c>
      <c r="K12925" s="270" t="str">
        <f t="shared" si="2"/>
        <v/>
      </c>
      <c r="L12925">
        <f t="shared" si="3"/>
        <v>0</v>
      </c>
    </row>
    <row r="12926">
      <c r="A12926" s="107"/>
      <c r="D12926" s="270"/>
      <c r="H12926" s="106" t="str">
        <f t="shared" si="1"/>
        <v/>
      </c>
      <c r="J12926" t="str">
        <f>IFERROR(__xludf.DUMMYFUNCTION("IFS(
  AND(REGEXMATCH(E12926, ""台銀籌備帳戶|玉山帳戶""), REGEXMATCH(C12926, ""薪資"")), ""分潤支出"",
  AND(REGEXMATCH(E12926, ""Ben帳戶|Elsa帳戶|Ben代墊|Ariel代墊|中信銀行共用""), REGEXMATCH(F12926, ""Ben帳戶|Elsa帳戶|Ben代墊|Ariel代墊|中信銀行共用"")), ""內部轉帳(忽略)"",
  AND(E12926&lt;&gt;"""", F12926&lt;&gt;"&amp;""""", NOT(REGEXMATCH(C12926, ""薪資""))), ""內部轉帳(忽略)"",
  REGEXMATCH(C12926, ""薪資""), ""薪資變動(不計入)"",
  REGEXMATCH(C12926, ""押金""), ""押金往來"",
  AND(E12926&lt;&gt;"""", F12926=""""), ""真實支出"",
  AND(E12926="""", F12926&lt;&gt;""""), ""真實收入"",
  TRUE, ""其他""
)"),"其他")</f>
        <v>其他</v>
      </c>
      <c r="K12926" s="270" t="str">
        <f t="shared" si="2"/>
        <v/>
      </c>
      <c r="L12926">
        <f t="shared" si="3"/>
        <v>0</v>
      </c>
    </row>
    <row r="12927">
      <c r="A12927" s="107"/>
      <c r="D12927" s="270"/>
      <c r="H12927" s="106" t="str">
        <f t="shared" si="1"/>
        <v/>
      </c>
      <c r="J12927" t="str">
        <f>IFERROR(__xludf.DUMMYFUNCTION("IFS(
  AND(REGEXMATCH(E12927, ""台銀籌備帳戶|玉山帳戶""), REGEXMATCH(C12927, ""薪資"")), ""分潤支出"",
  AND(REGEXMATCH(E12927, ""Ben帳戶|Elsa帳戶|Ben代墊|Ariel代墊|中信銀行共用""), REGEXMATCH(F12927, ""Ben帳戶|Elsa帳戶|Ben代墊|Ariel代墊|中信銀行共用"")), ""內部轉帳(忽略)"",
  AND(E12927&lt;&gt;"""", F12927&lt;&gt;"&amp;""""", NOT(REGEXMATCH(C12927, ""薪資""))), ""內部轉帳(忽略)"",
  REGEXMATCH(C12927, ""薪資""), ""薪資變動(不計入)"",
  REGEXMATCH(C12927, ""押金""), ""押金往來"",
  AND(E12927&lt;&gt;"""", F12927=""""), ""真實支出"",
  AND(E12927="""", F12927&lt;&gt;""""), ""真實收入"",
  TRUE, ""其他""
)"),"其他")</f>
        <v>其他</v>
      </c>
      <c r="K12927" s="270" t="str">
        <f t="shared" si="2"/>
        <v/>
      </c>
      <c r="L12927">
        <f t="shared" si="3"/>
        <v>0</v>
      </c>
    </row>
    <row r="12928">
      <c r="A12928" s="107"/>
      <c r="D12928" s="270"/>
      <c r="H12928" s="106" t="str">
        <f t="shared" si="1"/>
        <v/>
      </c>
      <c r="J12928" t="str">
        <f>IFERROR(__xludf.DUMMYFUNCTION("IFS(
  AND(REGEXMATCH(E12928, ""台銀籌備帳戶|玉山帳戶""), REGEXMATCH(C12928, ""薪資"")), ""分潤支出"",
  AND(REGEXMATCH(E12928, ""Ben帳戶|Elsa帳戶|Ben代墊|Ariel代墊|中信銀行共用""), REGEXMATCH(F12928, ""Ben帳戶|Elsa帳戶|Ben代墊|Ariel代墊|中信銀行共用"")), ""內部轉帳(忽略)"",
  AND(E12928&lt;&gt;"""", F12928&lt;&gt;"&amp;""""", NOT(REGEXMATCH(C12928, ""薪資""))), ""內部轉帳(忽略)"",
  REGEXMATCH(C12928, ""薪資""), ""薪資變動(不計入)"",
  REGEXMATCH(C12928, ""押金""), ""押金往來"",
  AND(E12928&lt;&gt;"""", F12928=""""), ""真實支出"",
  AND(E12928="""", F12928&lt;&gt;""""), ""真實收入"",
  TRUE, ""其他""
)"),"其他")</f>
        <v>其他</v>
      </c>
      <c r="K12928" s="270" t="str">
        <f t="shared" si="2"/>
        <v/>
      </c>
      <c r="L12928">
        <f t="shared" si="3"/>
        <v>0</v>
      </c>
    </row>
    <row r="12929">
      <c r="A12929" s="107"/>
      <c r="D12929" s="270"/>
      <c r="H12929" s="106" t="str">
        <f t="shared" si="1"/>
        <v/>
      </c>
      <c r="J12929" t="str">
        <f>IFERROR(__xludf.DUMMYFUNCTION("IFS(
  AND(REGEXMATCH(E12929, ""台銀籌備帳戶|玉山帳戶""), REGEXMATCH(C12929, ""薪資"")), ""分潤支出"",
  AND(REGEXMATCH(E12929, ""Ben帳戶|Elsa帳戶|Ben代墊|Ariel代墊|中信銀行共用""), REGEXMATCH(F12929, ""Ben帳戶|Elsa帳戶|Ben代墊|Ariel代墊|中信銀行共用"")), ""內部轉帳(忽略)"",
  AND(E12929&lt;&gt;"""", F12929&lt;&gt;"&amp;""""", NOT(REGEXMATCH(C12929, ""薪資""))), ""內部轉帳(忽略)"",
  REGEXMATCH(C12929, ""薪資""), ""薪資變動(不計入)"",
  REGEXMATCH(C12929, ""押金""), ""押金往來"",
  AND(E12929&lt;&gt;"""", F12929=""""), ""真實支出"",
  AND(E12929="""", F12929&lt;&gt;""""), ""真實收入"",
  TRUE, ""其他""
)"),"其他")</f>
        <v>其他</v>
      </c>
      <c r="K12929" s="270" t="str">
        <f t="shared" si="2"/>
        <v/>
      </c>
      <c r="L12929">
        <f t="shared" si="3"/>
        <v>0</v>
      </c>
    </row>
    <row r="12930">
      <c r="A12930" s="107"/>
      <c r="D12930" s="270"/>
      <c r="H12930" s="106" t="str">
        <f t="shared" si="1"/>
        <v/>
      </c>
      <c r="J12930" t="str">
        <f>IFERROR(__xludf.DUMMYFUNCTION("IFS(
  AND(REGEXMATCH(E12930, ""台銀籌備帳戶|玉山帳戶""), REGEXMATCH(C12930, ""薪資"")), ""分潤支出"",
  AND(REGEXMATCH(E12930, ""Ben帳戶|Elsa帳戶|Ben代墊|Ariel代墊|中信銀行共用""), REGEXMATCH(F12930, ""Ben帳戶|Elsa帳戶|Ben代墊|Ariel代墊|中信銀行共用"")), ""內部轉帳(忽略)"",
  AND(E12930&lt;&gt;"""", F12930&lt;&gt;"&amp;""""", NOT(REGEXMATCH(C12930, ""薪資""))), ""內部轉帳(忽略)"",
  REGEXMATCH(C12930, ""薪資""), ""薪資變動(不計入)"",
  REGEXMATCH(C12930, ""押金""), ""押金往來"",
  AND(E12930&lt;&gt;"""", F12930=""""), ""真實支出"",
  AND(E12930="""", F12930&lt;&gt;""""), ""真實收入"",
  TRUE, ""其他""
)"),"其他")</f>
        <v>其他</v>
      </c>
      <c r="K12930" s="270" t="str">
        <f t="shared" si="2"/>
        <v/>
      </c>
      <c r="L12930">
        <f t="shared" si="3"/>
        <v>0</v>
      </c>
    </row>
    <row r="12931">
      <c r="A12931" s="107"/>
      <c r="D12931" s="270"/>
      <c r="H12931" s="106" t="str">
        <f t="shared" si="1"/>
        <v/>
      </c>
      <c r="J12931" t="str">
        <f>IFERROR(__xludf.DUMMYFUNCTION("IFS(
  AND(REGEXMATCH(E12931, ""台銀籌備帳戶|玉山帳戶""), REGEXMATCH(C12931, ""薪資"")), ""分潤支出"",
  AND(REGEXMATCH(E12931, ""Ben帳戶|Elsa帳戶|Ben代墊|Ariel代墊|中信銀行共用""), REGEXMATCH(F12931, ""Ben帳戶|Elsa帳戶|Ben代墊|Ariel代墊|中信銀行共用"")), ""內部轉帳(忽略)"",
  AND(E12931&lt;&gt;"""", F12931&lt;&gt;"&amp;""""", NOT(REGEXMATCH(C12931, ""薪資""))), ""內部轉帳(忽略)"",
  REGEXMATCH(C12931, ""薪資""), ""薪資變動(不計入)"",
  REGEXMATCH(C12931, ""押金""), ""押金往來"",
  AND(E12931&lt;&gt;"""", F12931=""""), ""真實支出"",
  AND(E12931="""", F12931&lt;&gt;""""), ""真實收入"",
  TRUE, ""其他""
)"),"其他")</f>
        <v>其他</v>
      </c>
      <c r="K12931" s="270" t="str">
        <f t="shared" si="2"/>
        <v/>
      </c>
      <c r="L12931">
        <f t="shared" si="3"/>
        <v>0</v>
      </c>
    </row>
    <row r="12932">
      <c r="A12932" s="107"/>
      <c r="D12932" s="270"/>
      <c r="H12932" s="106" t="str">
        <f t="shared" si="1"/>
        <v/>
      </c>
      <c r="J12932" t="str">
        <f>IFERROR(__xludf.DUMMYFUNCTION("IFS(
  AND(REGEXMATCH(E12932, ""台銀籌備帳戶|玉山帳戶""), REGEXMATCH(C12932, ""薪資"")), ""分潤支出"",
  AND(REGEXMATCH(E12932, ""Ben帳戶|Elsa帳戶|Ben代墊|Ariel代墊|中信銀行共用""), REGEXMATCH(F12932, ""Ben帳戶|Elsa帳戶|Ben代墊|Ariel代墊|中信銀行共用"")), ""內部轉帳(忽略)"",
  AND(E12932&lt;&gt;"""", F12932&lt;&gt;"&amp;""""", NOT(REGEXMATCH(C12932, ""薪資""))), ""內部轉帳(忽略)"",
  REGEXMATCH(C12932, ""薪資""), ""薪資變動(不計入)"",
  REGEXMATCH(C12932, ""押金""), ""押金往來"",
  AND(E12932&lt;&gt;"""", F12932=""""), ""真實支出"",
  AND(E12932="""", F12932&lt;&gt;""""), ""真實收入"",
  TRUE, ""其他""
)"),"其他")</f>
        <v>其他</v>
      </c>
      <c r="K12932" s="270" t="str">
        <f t="shared" si="2"/>
        <v/>
      </c>
      <c r="L12932">
        <f t="shared" si="3"/>
        <v>0</v>
      </c>
    </row>
    <row r="12933">
      <c r="A12933" s="107"/>
      <c r="D12933" s="270"/>
      <c r="H12933" s="106" t="str">
        <f t="shared" si="1"/>
        <v/>
      </c>
      <c r="J12933" t="str">
        <f>IFERROR(__xludf.DUMMYFUNCTION("IFS(
  AND(REGEXMATCH(E12933, ""台銀籌備帳戶|玉山帳戶""), REGEXMATCH(C12933, ""薪資"")), ""分潤支出"",
  AND(REGEXMATCH(E12933, ""Ben帳戶|Elsa帳戶|Ben代墊|Ariel代墊|中信銀行共用""), REGEXMATCH(F12933, ""Ben帳戶|Elsa帳戶|Ben代墊|Ariel代墊|中信銀行共用"")), ""內部轉帳(忽略)"",
  AND(E12933&lt;&gt;"""", F12933&lt;&gt;"&amp;""""", NOT(REGEXMATCH(C12933, ""薪資""))), ""內部轉帳(忽略)"",
  REGEXMATCH(C12933, ""薪資""), ""薪資變動(不計入)"",
  REGEXMATCH(C12933, ""押金""), ""押金往來"",
  AND(E12933&lt;&gt;"""", F12933=""""), ""真實支出"",
  AND(E12933="""", F12933&lt;&gt;""""), ""真實收入"",
  TRUE, ""其他""
)"),"其他")</f>
        <v>其他</v>
      </c>
      <c r="K12933" s="270" t="str">
        <f t="shared" si="2"/>
        <v/>
      </c>
      <c r="L12933">
        <f t="shared" si="3"/>
        <v>0</v>
      </c>
    </row>
    <row r="12934">
      <c r="A12934" s="107"/>
      <c r="D12934" s="270"/>
      <c r="H12934" s="106" t="str">
        <f t="shared" si="1"/>
        <v/>
      </c>
      <c r="J12934" t="str">
        <f>IFERROR(__xludf.DUMMYFUNCTION("IFS(
  AND(REGEXMATCH(E12934, ""台銀籌備帳戶|玉山帳戶""), REGEXMATCH(C12934, ""薪資"")), ""分潤支出"",
  AND(REGEXMATCH(E12934, ""Ben帳戶|Elsa帳戶|Ben代墊|Ariel代墊|中信銀行共用""), REGEXMATCH(F12934, ""Ben帳戶|Elsa帳戶|Ben代墊|Ariel代墊|中信銀行共用"")), ""內部轉帳(忽略)"",
  AND(E12934&lt;&gt;"""", F12934&lt;&gt;"&amp;""""", NOT(REGEXMATCH(C12934, ""薪資""))), ""內部轉帳(忽略)"",
  REGEXMATCH(C12934, ""薪資""), ""薪資變動(不計入)"",
  REGEXMATCH(C12934, ""押金""), ""押金往來"",
  AND(E12934&lt;&gt;"""", F12934=""""), ""真實支出"",
  AND(E12934="""", F12934&lt;&gt;""""), ""真實收入"",
  TRUE, ""其他""
)"),"其他")</f>
        <v>其他</v>
      </c>
      <c r="K12934" s="270" t="str">
        <f t="shared" si="2"/>
        <v/>
      </c>
      <c r="L12934">
        <f t="shared" si="3"/>
        <v>0</v>
      </c>
    </row>
    <row r="12935">
      <c r="A12935" s="107"/>
      <c r="D12935" s="270"/>
      <c r="H12935" s="106" t="str">
        <f t="shared" si="1"/>
        <v/>
      </c>
      <c r="J12935" t="str">
        <f>IFERROR(__xludf.DUMMYFUNCTION("IFS(
  AND(REGEXMATCH(E12935, ""台銀籌備帳戶|玉山帳戶""), REGEXMATCH(C12935, ""薪資"")), ""分潤支出"",
  AND(REGEXMATCH(E12935, ""Ben帳戶|Elsa帳戶|Ben代墊|Ariel代墊|中信銀行共用""), REGEXMATCH(F12935, ""Ben帳戶|Elsa帳戶|Ben代墊|Ariel代墊|中信銀行共用"")), ""內部轉帳(忽略)"",
  AND(E12935&lt;&gt;"""", F12935&lt;&gt;"&amp;""""", NOT(REGEXMATCH(C12935, ""薪資""))), ""內部轉帳(忽略)"",
  REGEXMATCH(C12935, ""薪資""), ""薪資變動(不計入)"",
  REGEXMATCH(C12935, ""押金""), ""押金往來"",
  AND(E12935&lt;&gt;"""", F12935=""""), ""真實支出"",
  AND(E12935="""", F12935&lt;&gt;""""), ""真實收入"",
  TRUE, ""其他""
)"),"其他")</f>
        <v>其他</v>
      </c>
      <c r="K12935" s="270" t="str">
        <f t="shared" si="2"/>
        <v/>
      </c>
      <c r="L12935">
        <f t="shared" si="3"/>
        <v>0</v>
      </c>
    </row>
    <row r="12936">
      <c r="A12936" s="107"/>
      <c r="D12936" s="270"/>
      <c r="H12936" s="106" t="str">
        <f t="shared" si="1"/>
        <v/>
      </c>
      <c r="J12936" t="str">
        <f>IFERROR(__xludf.DUMMYFUNCTION("IFS(
  AND(REGEXMATCH(E12936, ""台銀籌備帳戶|玉山帳戶""), REGEXMATCH(C12936, ""薪資"")), ""分潤支出"",
  AND(REGEXMATCH(E12936, ""Ben帳戶|Elsa帳戶|Ben代墊|Ariel代墊|中信銀行共用""), REGEXMATCH(F12936, ""Ben帳戶|Elsa帳戶|Ben代墊|Ariel代墊|中信銀行共用"")), ""內部轉帳(忽略)"",
  AND(E12936&lt;&gt;"""", F12936&lt;&gt;"&amp;""""", NOT(REGEXMATCH(C12936, ""薪資""))), ""內部轉帳(忽略)"",
  REGEXMATCH(C12936, ""薪資""), ""薪資變動(不計入)"",
  REGEXMATCH(C12936, ""押金""), ""押金往來"",
  AND(E12936&lt;&gt;"""", F12936=""""), ""真實支出"",
  AND(E12936="""", F12936&lt;&gt;""""), ""真實收入"",
  TRUE, ""其他""
)"),"其他")</f>
        <v>其他</v>
      </c>
      <c r="K12936" s="270" t="str">
        <f t="shared" si="2"/>
        <v/>
      </c>
      <c r="L12936">
        <f t="shared" si="3"/>
        <v>0</v>
      </c>
    </row>
    <row r="12937">
      <c r="A12937" s="107"/>
      <c r="D12937" s="270"/>
      <c r="H12937" s="106" t="str">
        <f t="shared" si="1"/>
        <v/>
      </c>
      <c r="J12937" t="str">
        <f>IFERROR(__xludf.DUMMYFUNCTION("IFS(
  AND(REGEXMATCH(E12937, ""台銀籌備帳戶|玉山帳戶""), REGEXMATCH(C12937, ""薪資"")), ""分潤支出"",
  AND(REGEXMATCH(E12937, ""Ben帳戶|Elsa帳戶|Ben代墊|Ariel代墊|中信銀行共用""), REGEXMATCH(F12937, ""Ben帳戶|Elsa帳戶|Ben代墊|Ariel代墊|中信銀行共用"")), ""內部轉帳(忽略)"",
  AND(E12937&lt;&gt;"""", F12937&lt;&gt;"&amp;""""", NOT(REGEXMATCH(C12937, ""薪資""))), ""內部轉帳(忽略)"",
  REGEXMATCH(C12937, ""薪資""), ""薪資變動(不計入)"",
  REGEXMATCH(C12937, ""押金""), ""押金往來"",
  AND(E12937&lt;&gt;"""", F12937=""""), ""真實支出"",
  AND(E12937="""", F12937&lt;&gt;""""), ""真實收入"",
  TRUE, ""其他""
)"),"其他")</f>
        <v>其他</v>
      </c>
      <c r="K12937" s="270" t="str">
        <f t="shared" si="2"/>
        <v/>
      </c>
      <c r="L12937">
        <f t="shared" si="3"/>
        <v>0</v>
      </c>
    </row>
    <row r="12938">
      <c r="A12938" s="107"/>
      <c r="D12938" s="270"/>
      <c r="H12938" s="106" t="str">
        <f t="shared" si="1"/>
        <v/>
      </c>
      <c r="J12938" t="str">
        <f>IFERROR(__xludf.DUMMYFUNCTION("IFS(
  AND(REGEXMATCH(E12938, ""台銀籌備帳戶|玉山帳戶""), REGEXMATCH(C12938, ""薪資"")), ""分潤支出"",
  AND(REGEXMATCH(E12938, ""Ben帳戶|Elsa帳戶|Ben代墊|Ariel代墊|中信銀行共用""), REGEXMATCH(F12938, ""Ben帳戶|Elsa帳戶|Ben代墊|Ariel代墊|中信銀行共用"")), ""內部轉帳(忽略)"",
  AND(E12938&lt;&gt;"""", F12938&lt;&gt;"&amp;""""", NOT(REGEXMATCH(C12938, ""薪資""))), ""內部轉帳(忽略)"",
  REGEXMATCH(C12938, ""薪資""), ""薪資變動(不計入)"",
  REGEXMATCH(C12938, ""押金""), ""押金往來"",
  AND(E12938&lt;&gt;"""", F12938=""""), ""真實支出"",
  AND(E12938="""", F12938&lt;&gt;""""), ""真實收入"",
  TRUE, ""其他""
)"),"其他")</f>
        <v>其他</v>
      </c>
      <c r="K12938" s="270" t="str">
        <f t="shared" si="2"/>
        <v/>
      </c>
      <c r="L12938">
        <f t="shared" si="3"/>
        <v>0</v>
      </c>
    </row>
    <row r="12939">
      <c r="A12939" s="107"/>
      <c r="D12939" s="270"/>
      <c r="H12939" s="106" t="str">
        <f t="shared" si="1"/>
        <v/>
      </c>
      <c r="J12939" t="str">
        <f>IFERROR(__xludf.DUMMYFUNCTION("IFS(
  AND(REGEXMATCH(E12939, ""台銀籌備帳戶|玉山帳戶""), REGEXMATCH(C12939, ""薪資"")), ""分潤支出"",
  AND(REGEXMATCH(E12939, ""Ben帳戶|Elsa帳戶|Ben代墊|Ariel代墊|中信銀行共用""), REGEXMATCH(F12939, ""Ben帳戶|Elsa帳戶|Ben代墊|Ariel代墊|中信銀行共用"")), ""內部轉帳(忽略)"",
  AND(E12939&lt;&gt;"""", F12939&lt;&gt;"&amp;""""", NOT(REGEXMATCH(C12939, ""薪資""))), ""內部轉帳(忽略)"",
  REGEXMATCH(C12939, ""薪資""), ""薪資變動(不計入)"",
  REGEXMATCH(C12939, ""押金""), ""押金往來"",
  AND(E12939&lt;&gt;"""", F12939=""""), ""真實支出"",
  AND(E12939="""", F12939&lt;&gt;""""), ""真實收入"",
  TRUE, ""其他""
)"),"其他")</f>
        <v>其他</v>
      </c>
      <c r="K12939" s="270" t="str">
        <f t="shared" si="2"/>
        <v/>
      </c>
      <c r="L12939">
        <f t="shared" si="3"/>
        <v>0</v>
      </c>
    </row>
    <row r="12940">
      <c r="A12940" s="107"/>
      <c r="D12940" s="270"/>
      <c r="H12940" s="106" t="str">
        <f t="shared" si="1"/>
        <v/>
      </c>
      <c r="J12940" t="str">
        <f>IFERROR(__xludf.DUMMYFUNCTION("IFS(
  AND(REGEXMATCH(E12940, ""台銀籌備帳戶|玉山帳戶""), REGEXMATCH(C12940, ""薪資"")), ""分潤支出"",
  AND(REGEXMATCH(E12940, ""Ben帳戶|Elsa帳戶|Ben代墊|Ariel代墊|中信銀行共用""), REGEXMATCH(F12940, ""Ben帳戶|Elsa帳戶|Ben代墊|Ariel代墊|中信銀行共用"")), ""內部轉帳(忽略)"",
  AND(E12940&lt;&gt;"""", F12940&lt;&gt;"&amp;""""", NOT(REGEXMATCH(C12940, ""薪資""))), ""內部轉帳(忽略)"",
  REGEXMATCH(C12940, ""薪資""), ""薪資變動(不計入)"",
  REGEXMATCH(C12940, ""押金""), ""押金往來"",
  AND(E12940&lt;&gt;"""", F12940=""""), ""真實支出"",
  AND(E12940="""", F12940&lt;&gt;""""), ""真實收入"",
  TRUE, ""其他""
)"),"其他")</f>
        <v>其他</v>
      </c>
      <c r="K12940" s="270" t="str">
        <f t="shared" si="2"/>
        <v/>
      </c>
      <c r="L12940">
        <f t="shared" si="3"/>
        <v>0</v>
      </c>
    </row>
    <row r="12941">
      <c r="A12941" s="107"/>
      <c r="D12941" s="270"/>
      <c r="H12941" s="106" t="str">
        <f t="shared" si="1"/>
        <v/>
      </c>
      <c r="J12941" t="str">
        <f>IFERROR(__xludf.DUMMYFUNCTION("IFS(
  AND(REGEXMATCH(E12941, ""台銀籌備帳戶|玉山帳戶""), REGEXMATCH(C12941, ""薪資"")), ""分潤支出"",
  AND(REGEXMATCH(E12941, ""Ben帳戶|Elsa帳戶|Ben代墊|Ariel代墊|中信銀行共用""), REGEXMATCH(F12941, ""Ben帳戶|Elsa帳戶|Ben代墊|Ariel代墊|中信銀行共用"")), ""內部轉帳(忽略)"",
  AND(E12941&lt;&gt;"""", F12941&lt;&gt;"&amp;""""", NOT(REGEXMATCH(C12941, ""薪資""))), ""內部轉帳(忽略)"",
  REGEXMATCH(C12941, ""薪資""), ""薪資變動(不計入)"",
  REGEXMATCH(C12941, ""押金""), ""押金往來"",
  AND(E12941&lt;&gt;"""", F12941=""""), ""真實支出"",
  AND(E12941="""", F12941&lt;&gt;""""), ""真實收入"",
  TRUE, ""其他""
)"),"其他")</f>
        <v>其他</v>
      </c>
      <c r="K12941" s="270" t="str">
        <f t="shared" si="2"/>
        <v/>
      </c>
      <c r="L12941">
        <f t="shared" si="3"/>
        <v>0</v>
      </c>
    </row>
    <row r="12942">
      <c r="A12942" s="107"/>
      <c r="D12942" s="270"/>
      <c r="H12942" s="106" t="str">
        <f t="shared" si="1"/>
        <v/>
      </c>
      <c r="J12942" t="str">
        <f>IFERROR(__xludf.DUMMYFUNCTION("IFS(
  AND(REGEXMATCH(E12942, ""台銀籌備帳戶|玉山帳戶""), REGEXMATCH(C12942, ""薪資"")), ""分潤支出"",
  AND(REGEXMATCH(E12942, ""Ben帳戶|Elsa帳戶|Ben代墊|Ariel代墊|中信銀行共用""), REGEXMATCH(F12942, ""Ben帳戶|Elsa帳戶|Ben代墊|Ariel代墊|中信銀行共用"")), ""內部轉帳(忽略)"",
  AND(E12942&lt;&gt;"""", F12942&lt;&gt;"&amp;""""", NOT(REGEXMATCH(C12942, ""薪資""))), ""內部轉帳(忽略)"",
  REGEXMATCH(C12942, ""薪資""), ""薪資變動(不計入)"",
  REGEXMATCH(C12942, ""押金""), ""押金往來"",
  AND(E12942&lt;&gt;"""", F12942=""""), ""真實支出"",
  AND(E12942="""", F12942&lt;&gt;""""), ""真實收入"",
  TRUE, ""其他""
)"),"其他")</f>
        <v>其他</v>
      </c>
      <c r="K12942" s="270" t="str">
        <f t="shared" si="2"/>
        <v/>
      </c>
      <c r="L12942">
        <f t="shared" si="3"/>
        <v>0</v>
      </c>
    </row>
    <row r="12943">
      <c r="A12943" s="107"/>
      <c r="D12943" s="270"/>
      <c r="H12943" s="106" t="str">
        <f t="shared" si="1"/>
        <v/>
      </c>
      <c r="J12943" t="str">
        <f>IFERROR(__xludf.DUMMYFUNCTION("IFS(
  AND(REGEXMATCH(E12943, ""台銀籌備帳戶|玉山帳戶""), REGEXMATCH(C12943, ""薪資"")), ""分潤支出"",
  AND(REGEXMATCH(E12943, ""Ben帳戶|Elsa帳戶|Ben代墊|Ariel代墊|中信銀行共用""), REGEXMATCH(F12943, ""Ben帳戶|Elsa帳戶|Ben代墊|Ariel代墊|中信銀行共用"")), ""內部轉帳(忽略)"",
  AND(E12943&lt;&gt;"""", F12943&lt;&gt;"&amp;""""", NOT(REGEXMATCH(C12943, ""薪資""))), ""內部轉帳(忽略)"",
  REGEXMATCH(C12943, ""薪資""), ""薪資變動(不計入)"",
  REGEXMATCH(C12943, ""押金""), ""押金往來"",
  AND(E12943&lt;&gt;"""", F12943=""""), ""真實支出"",
  AND(E12943="""", F12943&lt;&gt;""""), ""真實收入"",
  TRUE, ""其他""
)"),"其他")</f>
        <v>其他</v>
      </c>
      <c r="K12943" s="270" t="str">
        <f t="shared" si="2"/>
        <v/>
      </c>
      <c r="L12943">
        <f t="shared" si="3"/>
        <v>0</v>
      </c>
    </row>
    <row r="12944">
      <c r="A12944" s="107"/>
      <c r="D12944" s="270"/>
      <c r="H12944" s="106" t="str">
        <f t="shared" si="1"/>
        <v/>
      </c>
      <c r="J12944" t="str">
        <f>IFERROR(__xludf.DUMMYFUNCTION("IFS(
  AND(REGEXMATCH(E12944, ""台銀籌備帳戶|玉山帳戶""), REGEXMATCH(C12944, ""薪資"")), ""分潤支出"",
  AND(REGEXMATCH(E12944, ""Ben帳戶|Elsa帳戶|Ben代墊|Ariel代墊|中信銀行共用""), REGEXMATCH(F12944, ""Ben帳戶|Elsa帳戶|Ben代墊|Ariel代墊|中信銀行共用"")), ""內部轉帳(忽略)"",
  AND(E12944&lt;&gt;"""", F12944&lt;&gt;"&amp;""""", NOT(REGEXMATCH(C12944, ""薪資""))), ""內部轉帳(忽略)"",
  REGEXMATCH(C12944, ""薪資""), ""薪資變動(不計入)"",
  REGEXMATCH(C12944, ""押金""), ""押金往來"",
  AND(E12944&lt;&gt;"""", F12944=""""), ""真實支出"",
  AND(E12944="""", F12944&lt;&gt;""""), ""真實收入"",
  TRUE, ""其他""
)"),"其他")</f>
        <v>其他</v>
      </c>
      <c r="K12944" s="270" t="str">
        <f t="shared" si="2"/>
        <v/>
      </c>
      <c r="L12944">
        <f t="shared" si="3"/>
        <v>0</v>
      </c>
    </row>
    <row r="12945">
      <c r="A12945" s="107"/>
      <c r="D12945" s="270"/>
      <c r="H12945" s="106" t="str">
        <f t="shared" si="1"/>
        <v/>
      </c>
      <c r="J12945" t="str">
        <f>IFERROR(__xludf.DUMMYFUNCTION("IFS(
  AND(REGEXMATCH(E12945, ""台銀籌備帳戶|玉山帳戶""), REGEXMATCH(C12945, ""薪資"")), ""分潤支出"",
  AND(REGEXMATCH(E12945, ""Ben帳戶|Elsa帳戶|Ben代墊|Ariel代墊|中信銀行共用""), REGEXMATCH(F12945, ""Ben帳戶|Elsa帳戶|Ben代墊|Ariel代墊|中信銀行共用"")), ""內部轉帳(忽略)"",
  AND(E12945&lt;&gt;"""", F12945&lt;&gt;"&amp;""""", NOT(REGEXMATCH(C12945, ""薪資""))), ""內部轉帳(忽略)"",
  REGEXMATCH(C12945, ""薪資""), ""薪資變動(不計入)"",
  REGEXMATCH(C12945, ""押金""), ""押金往來"",
  AND(E12945&lt;&gt;"""", F12945=""""), ""真實支出"",
  AND(E12945="""", F12945&lt;&gt;""""), ""真實收入"",
  TRUE, ""其他""
)"),"其他")</f>
        <v>其他</v>
      </c>
      <c r="K12945" s="270" t="str">
        <f t="shared" si="2"/>
        <v/>
      </c>
      <c r="L12945">
        <f t="shared" si="3"/>
        <v>0</v>
      </c>
    </row>
    <row r="12946">
      <c r="A12946" s="107"/>
      <c r="D12946" s="270"/>
      <c r="H12946" s="106" t="str">
        <f t="shared" si="1"/>
        <v/>
      </c>
      <c r="J12946" t="str">
        <f>IFERROR(__xludf.DUMMYFUNCTION("IFS(
  AND(REGEXMATCH(E12946, ""台銀籌備帳戶|玉山帳戶""), REGEXMATCH(C12946, ""薪資"")), ""分潤支出"",
  AND(REGEXMATCH(E12946, ""Ben帳戶|Elsa帳戶|Ben代墊|Ariel代墊|中信銀行共用""), REGEXMATCH(F12946, ""Ben帳戶|Elsa帳戶|Ben代墊|Ariel代墊|中信銀行共用"")), ""內部轉帳(忽略)"",
  AND(E12946&lt;&gt;"""", F12946&lt;&gt;"&amp;""""", NOT(REGEXMATCH(C12946, ""薪資""))), ""內部轉帳(忽略)"",
  REGEXMATCH(C12946, ""薪資""), ""薪資變動(不計入)"",
  REGEXMATCH(C12946, ""押金""), ""押金往來"",
  AND(E12946&lt;&gt;"""", F12946=""""), ""真實支出"",
  AND(E12946="""", F12946&lt;&gt;""""), ""真實收入"",
  TRUE, ""其他""
)"),"其他")</f>
        <v>其他</v>
      </c>
      <c r="K12946" s="270" t="str">
        <f t="shared" si="2"/>
        <v/>
      </c>
      <c r="L12946">
        <f t="shared" si="3"/>
        <v>0</v>
      </c>
    </row>
    <row r="12947">
      <c r="A12947" s="107"/>
      <c r="D12947" s="270"/>
      <c r="H12947" s="106" t="str">
        <f t="shared" si="1"/>
        <v/>
      </c>
      <c r="J12947" t="str">
        <f>IFERROR(__xludf.DUMMYFUNCTION("IFS(
  AND(REGEXMATCH(E12947, ""台銀籌備帳戶|玉山帳戶""), REGEXMATCH(C12947, ""薪資"")), ""分潤支出"",
  AND(REGEXMATCH(E12947, ""Ben帳戶|Elsa帳戶|Ben代墊|Ariel代墊|中信銀行共用""), REGEXMATCH(F12947, ""Ben帳戶|Elsa帳戶|Ben代墊|Ariel代墊|中信銀行共用"")), ""內部轉帳(忽略)"",
  AND(E12947&lt;&gt;"""", F12947&lt;&gt;"&amp;""""", NOT(REGEXMATCH(C12947, ""薪資""))), ""內部轉帳(忽略)"",
  REGEXMATCH(C12947, ""薪資""), ""薪資變動(不計入)"",
  REGEXMATCH(C12947, ""押金""), ""押金往來"",
  AND(E12947&lt;&gt;"""", F12947=""""), ""真實支出"",
  AND(E12947="""", F12947&lt;&gt;""""), ""真實收入"",
  TRUE, ""其他""
)"),"其他")</f>
        <v>其他</v>
      </c>
      <c r="K12947" s="270" t="str">
        <f t="shared" si="2"/>
        <v/>
      </c>
      <c r="L12947">
        <f t="shared" si="3"/>
        <v>0</v>
      </c>
    </row>
    <row r="12948">
      <c r="A12948" s="107"/>
      <c r="D12948" s="270"/>
      <c r="H12948" s="106" t="str">
        <f t="shared" si="1"/>
        <v/>
      </c>
      <c r="J12948" t="str">
        <f>IFERROR(__xludf.DUMMYFUNCTION("IFS(
  AND(REGEXMATCH(E12948, ""台銀籌備帳戶|玉山帳戶""), REGEXMATCH(C12948, ""薪資"")), ""分潤支出"",
  AND(REGEXMATCH(E12948, ""Ben帳戶|Elsa帳戶|Ben代墊|Ariel代墊|中信銀行共用""), REGEXMATCH(F12948, ""Ben帳戶|Elsa帳戶|Ben代墊|Ariel代墊|中信銀行共用"")), ""內部轉帳(忽略)"",
  AND(E12948&lt;&gt;"""", F12948&lt;&gt;"&amp;""""", NOT(REGEXMATCH(C12948, ""薪資""))), ""內部轉帳(忽略)"",
  REGEXMATCH(C12948, ""薪資""), ""薪資變動(不計入)"",
  REGEXMATCH(C12948, ""押金""), ""押金往來"",
  AND(E12948&lt;&gt;"""", F12948=""""), ""真實支出"",
  AND(E12948="""", F12948&lt;&gt;""""), ""真實收入"",
  TRUE, ""其他""
)"),"其他")</f>
        <v>其他</v>
      </c>
      <c r="K12948" s="270" t="str">
        <f t="shared" si="2"/>
        <v/>
      </c>
      <c r="L12948">
        <f t="shared" si="3"/>
        <v>0</v>
      </c>
    </row>
    <row r="12949">
      <c r="A12949" s="107"/>
      <c r="D12949" s="270"/>
      <c r="H12949" s="106" t="str">
        <f t="shared" si="1"/>
        <v/>
      </c>
      <c r="J12949" t="str">
        <f>IFERROR(__xludf.DUMMYFUNCTION("IFS(
  AND(REGEXMATCH(E12949, ""台銀籌備帳戶|玉山帳戶""), REGEXMATCH(C12949, ""薪資"")), ""分潤支出"",
  AND(REGEXMATCH(E12949, ""Ben帳戶|Elsa帳戶|Ben代墊|Ariel代墊|中信銀行共用""), REGEXMATCH(F12949, ""Ben帳戶|Elsa帳戶|Ben代墊|Ariel代墊|中信銀行共用"")), ""內部轉帳(忽略)"",
  AND(E12949&lt;&gt;"""", F12949&lt;&gt;"&amp;""""", NOT(REGEXMATCH(C12949, ""薪資""))), ""內部轉帳(忽略)"",
  REGEXMATCH(C12949, ""薪資""), ""薪資變動(不計入)"",
  REGEXMATCH(C12949, ""押金""), ""押金往來"",
  AND(E12949&lt;&gt;"""", F12949=""""), ""真實支出"",
  AND(E12949="""", F12949&lt;&gt;""""), ""真實收入"",
  TRUE, ""其他""
)"),"其他")</f>
        <v>其他</v>
      </c>
      <c r="K12949" s="270" t="str">
        <f t="shared" si="2"/>
        <v/>
      </c>
      <c r="L12949">
        <f t="shared" si="3"/>
        <v>0</v>
      </c>
    </row>
    <row r="12950">
      <c r="A12950" s="107"/>
      <c r="D12950" s="270"/>
      <c r="H12950" s="106" t="str">
        <f t="shared" si="1"/>
        <v/>
      </c>
      <c r="J12950" t="str">
        <f>IFERROR(__xludf.DUMMYFUNCTION("IFS(
  AND(REGEXMATCH(E12950, ""台銀籌備帳戶|玉山帳戶""), REGEXMATCH(C12950, ""薪資"")), ""分潤支出"",
  AND(REGEXMATCH(E12950, ""Ben帳戶|Elsa帳戶|Ben代墊|Ariel代墊|中信銀行共用""), REGEXMATCH(F12950, ""Ben帳戶|Elsa帳戶|Ben代墊|Ariel代墊|中信銀行共用"")), ""內部轉帳(忽略)"",
  AND(E12950&lt;&gt;"""", F12950&lt;&gt;"&amp;""""", NOT(REGEXMATCH(C12950, ""薪資""))), ""內部轉帳(忽略)"",
  REGEXMATCH(C12950, ""薪資""), ""薪資變動(不計入)"",
  REGEXMATCH(C12950, ""押金""), ""押金往來"",
  AND(E12950&lt;&gt;"""", F12950=""""), ""真實支出"",
  AND(E12950="""", F12950&lt;&gt;""""), ""真實收入"",
  TRUE, ""其他""
)"),"其他")</f>
        <v>其他</v>
      </c>
      <c r="K12950" s="270" t="str">
        <f t="shared" si="2"/>
        <v/>
      </c>
      <c r="L12950">
        <f t="shared" si="3"/>
        <v>0</v>
      </c>
    </row>
    <row r="12951">
      <c r="A12951" s="107"/>
      <c r="D12951" s="270"/>
      <c r="H12951" s="106" t="str">
        <f t="shared" si="1"/>
        <v/>
      </c>
      <c r="J12951" t="str">
        <f>IFERROR(__xludf.DUMMYFUNCTION("IFS(
  AND(REGEXMATCH(E12951, ""台銀籌備帳戶|玉山帳戶""), REGEXMATCH(C12951, ""薪資"")), ""分潤支出"",
  AND(REGEXMATCH(E12951, ""Ben帳戶|Elsa帳戶|Ben代墊|Ariel代墊|中信銀行共用""), REGEXMATCH(F12951, ""Ben帳戶|Elsa帳戶|Ben代墊|Ariel代墊|中信銀行共用"")), ""內部轉帳(忽略)"",
  AND(E12951&lt;&gt;"""", F12951&lt;&gt;"&amp;""""", NOT(REGEXMATCH(C12951, ""薪資""))), ""內部轉帳(忽略)"",
  REGEXMATCH(C12951, ""薪資""), ""薪資變動(不計入)"",
  REGEXMATCH(C12951, ""押金""), ""押金往來"",
  AND(E12951&lt;&gt;"""", F12951=""""), ""真實支出"",
  AND(E12951="""", F12951&lt;&gt;""""), ""真實收入"",
  TRUE, ""其他""
)"),"其他")</f>
        <v>其他</v>
      </c>
      <c r="K12951" s="270" t="str">
        <f t="shared" si="2"/>
        <v/>
      </c>
      <c r="L12951">
        <f t="shared" si="3"/>
        <v>0</v>
      </c>
    </row>
    <row r="12952">
      <c r="A12952" s="107"/>
      <c r="D12952" s="270"/>
      <c r="H12952" s="106" t="str">
        <f t="shared" si="1"/>
        <v/>
      </c>
      <c r="J12952" t="str">
        <f>IFERROR(__xludf.DUMMYFUNCTION("IFS(
  AND(REGEXMATCH(E12952, ""台銀籌備帳戶|玉山帳戶""), REGEXMATCH(C12952, ""薪資"")), ""分潤支出"",
  AND(REGEXMATCH(E12952, ""Ben帳戶|Elsa帳戶|Ben代墊|Ariel代墊|中信銀行共用""), REGEXMATCH(F12952, ""Ben帳戶|Elsa帳戶|Ben代墊|Ariel代墊|中信銀行共用"")), ""內部轉帳(忽略)"",
  AND(E12952&lt;&gt;"""", F12952&lt;&gt;"&amp;""""", NOT(REGEXMATCH(C12952, ""薪資""))), ""內部轉帳(忽略)"",
  REGEXMATCH(C12952, ""薪資""), ""薪資變動(不計入)"",
  REGEXMATCH(C12952, ""押金""), ""押金往來"",
  AND(E12952&lt;&gt;"""", F12952=""""), ""真實支出"",
  AND(E12952="""", F12952&lt;&gt;""""), ""真實收入"",
  TRUE, ""其他""
)"),"其他")</f>
        <v>其他</v>
      </c>
      <c r="K12952" s="270" t="str">
        <f t="shared" si="2"/>
        <v/>
      </c>
      <c r="L12952">
        <f t="shared" si="3"/>
        <v>0</v>
      </c>
    </row>
    <row r="12953">
      <c r="A12953" s="107"/>
      <c r="D12953" s="270"/>
      <c r="H12953" s="106" t="str">
        <f t="shared" si="1"/>
        <v/>
      </c>
      <c r="J12953" t="str">
        <f>IFERROR(__xludf.DUMMYFUNCTION("IFS(
  AND(REGEXMATCH(E12953, ""台銀籌備帳戶|玉山帳戶""), REGEXMATCH(C12953, ""薪資"")), ""分潤支出"",
  AND(REGEXMATCH(E12953, ""Ben帳戶|Elsa帳戶|Ben代墊|Ariel代墊|中信銀行共用""), REGEXMATCH(F12953, ""Ben帳戶|Elsa帳戶|Ben代墊|Ariel代墊|中信銀行共用"")), ""內部轉帳(忽略)"",
  AND(E12953&lt;&gt;"""", F12953&lt;&gt;"&amp;""""", NOT(REGEXMATCH(C12953, ""薪資""))), ""內部轉帳(忽略)"",
  REGEXMATCH(C12953, ""薪資""), ""薪資變動(不計入)"",
  REGEXMATCH(C12953, ""押金""), ""押金往來"",
  AND(E12953&lt;&gt;"""", F12953=""""), ""真實支出"",
  AND(E12953="""", F12953&lt;&gt;""""), ""真實收入"",
  TRUE, ""其他""
)"),"其他")</f>
        <v>其他</v>
      </c>
      <c r="K12953" s="270" t="str">
        <f t="shared" si="2"/>
        <v/>
      </c>
      <c r="L12953">
        <f t="shared" si="3"/>
        <v>0</v>
      </c>
    </row>
    <row r="12954">
      <c r="A12954" s="107"/>
      <c r="D12954" s="270"/>
      <c r="H12954" s="106" t="str">
        <f t="shared" si="1"/>
        <v/>
      </c>
      <c r="J12954" t="str">
        <f>IFERROR(__xludf.DUMMYFUNCTION("IFS(
  AND(REGEXMATCH(E12954, ""台銀籌備帳戶|玉山帳戶""), REGEXMATCH(C12954, ""薪資"")), ""分潤支出"",
  AND(REGEXMATCH(E12954, ""Ben帳戶|Elsa帳戶|Ben代墊|Ariel代墊|中信銀行共用""), REGEXMATCH(F12954, ""Ben帳戶|Elsa帳戶|Ben代墊|Ariel代墊|中信銀行共用"")), ""內部轉帳(忽略)"",
  AND(E12954&lt;&gt;"""", F12954&lt;&gt;"&amp;""""", NOT(REGEXMATCH(C12954, ""薪資""))), ""內部轉帳(忽略)"",
  REGEXMATCH(C12954, ""薪資""), ""薪資變動(不計入)"",
  REGEXMATCH(C12954, ""押金""), ""押金往來"",
  AND(E12954&lt;&gt;"""", F12954=""""), ""真實支出"",
  AND(E12954="""", F12954&lt;&gt;""""), ""真實收入"",
  TRUE, ""其他""
)"),"其他")</f>
        <v>其他</v>
      </c>
      <c r="K12954" s="270" t="str">
        <f t="shared" si="2"/>
        <v/>
      </c>
      <c r="L12954">
        <f t="shared" si="3"/>
        <v>0</v>
      </c>
    </row>
    <row r="12955">
      <c r="A12955" s="107"/>
      <c r="D12955" s="270"/>
      <c r="H12955" s="106" t="str">
        <f t="shared" si="1"/>
        <v/>
      </c>
      <c r="J12955" t="str">
        <f>IFERROR(__xludf.DUMMYFUNCTION("IFS(
  AND(REGEXMATCH(E12955, ""台銀籌備帳戶|玉山帳戶""), REGEXMATCH(C12955, ""薪資"")), ""分潤支出"",
  AND(REGEXMATCH(E12955, ""Ben帳戶|Elsa帳戶|Ben代墊|Ariel代墊|中信銀行共用""), REGEXMATCH(F12955, ""Ben帳戶|Elsa帳戶|Ben代墊|Ariel代墊|中信銀行共用"")), ""內部轉帳(忽略)"",
  AND(E12955&lt;&gt;"""", F12955&lt;&gt;"&amp;""""", NOT(REGEXMATCH(C12955, ""薪資""))), ""內部轉帳(忽略)"",
  REGEXMATCH(C12955, ""薪資""), ""薪資變動(不計入)"",
  REGEXMATCH(C12955, ""押金""), ""押金往來"",
  AND(E12955&lt;&gt;"""", F12955=""""), ""真實支出"",
  AND(E12955="""", F12955&lt;&gt;""""), ""真實收入"",
  TRUE, ""其他""
)"),"其他")</f>
        <v>其他</v>
      </c>
      <c r="K12955" s="270" t="str">
        <f t="shared" si="2"/>
        <v/>
      </c>
      <c r="L12955">
        <f t="shared" si="3"/>
        <v>0</v>
      </c>
    </row>
    <row r="12956">
      <c r="A12956" s="107"/>
      <c r="D12956" s="270"/>
      <c r="H12956" s="106" t="str">
        <f t="shared" si="1"/>
        <v/>
      </c>
      <c r="J12956" t="str">
        <f>IFERROR(__xludf.DUMMYFUNCTION("IFS(
  AND(REGEXMATCH(E12956, ""台銀籌備帳戶|玉山帳戶""), REGEXMATCH(C12956, ""薪資"")), ""分潤支出"",
  AND(REGEXMATCH(E12956, ""Ben帳戶|Elsa帳戶|Ben代墊|Ariel代墊|中信銀行共用""), REGEXMATCH(F12956, ""Ben帳戶|Elsa帳戶|Ben代墊|Ariel代墊|中信銀行共用"")), ""內部轉帳(忽略)"",
  AND(E12956&lt;&gt;"""", F12956&lt;&gt;"&amp;""""", NOT(REGEXMATCH(C12956, ""薪資""))), ""內部轉帳(忽略)"",
  REGEXMATCH(C12956, ""薪資""), ""薪資變動(不計入)"",
  REGEXMATCH(C12956, ""押金""), ""押金往來"",
  AND(E12956&lt;&gt;"""", F12956=""""), ""真實支出"",
  AND(E12956="""", F12956&lt;&gt;""""), ""真實收入"",
  TRUE, ""其他""
)"),"其他")</f>
        <v>其他</v>
      </c>
      <c r="K12956" s="270" t="str">
        <f t="shared" si="2"/>
        <v/>
      </c>
      <c r="L12956">
        <f t="shared" si="3"/>
        <v>0</v>
      </c>
    </row>
    <row r="12957">
      <c r="A12957" s="107"/>
      <c r="D12957" s="270"/>
      <c r="H12957" s="106" t="str">
        <f t="shared" si="1"/>
        <v/>
      </c>
      <c r="J12957" t="str">
        <f>IFERROR(__xludf.DUMMYFUNCTION("IFS(
  AND(REGEXMATCH(E12957, ""台銀籌備帳戶|玉山帳戶""), REGEXMATCH(C12957, ""薪資"")), ""分潤支出"",
  AND(REGEXMATCH(E12957, ""Ben帳戶|Elsa帳戶|Ben代墊|Ariel代墊|中信銀行共用""), REGEXMATCH(F12957, ""Ben帳戶|Elsa帳戶|Ben代墊|Ariel代墊|中信銀行共用"")), ""內部轉帳(忽略)"",
  AND(E12957&lt;&gt;"""", F12957&lt;&gt;"&amp;""""", NOT(REGEXMATCH(C12957, ""薪資""))), ""內部轉帳(忽略)"",
  REGEXMATCH(C12957, ""薪資""), ""薪資變動(不計入)"",
  REGEXMATCH(C12957, ""押金""), ""押金往來"",
  AND(E12957&lt;&gt;"""", F12957=""""), ""真實支出"",
  AND(E12957="""", F12957&lt;&gt;""""), ""真實收入"",
  TRUE, ""其他""
)"),"其他")</f>
        <v>其他</v>
      </c>
      <c r="K12957" s="270" t="str">
        <f t="shared" si="2"/>
        <v/>
      </c>
      <c r="L12957">
        <f t="shared" si="3"/>
        <v>0</v>
      </c>
    </row>
    <row r="12958">
      <c r="A12958" s="107"/>
      <c r="D12958" s="270"/>
      <c r="H12958" s="106" t="str">
        <f t="shared" si="1"/>
        <v/>
      </c>
      <c r="J12958" t="str">
        <f>IFERROR(__xludf.DUMMYFUNCTION("IFS(
  AND(REGEXMATCH(E12958, ""台銀籌備帳戶|玉山帳戶""), REGEXMATCH(C12958, ""薪資"")), ""分潤支出"",
  AND(REGEXMATCH(E12958, ""Ben帳戶|Elsa帳戶|Ben代墊|Ariel代墊|中信銀行共用""), REGEXMATCH(F12958, ""Ben帳戶|Elsa帳戶|Ben代墊|Ariel代墊|中信銀行共用"")), ""內部轉帳(忽略)"",
  AND(E12958&lt;&gt;"""", F12958&lt;&gt;"&amp;""""", NOT(REGEXMATCH(C12958, ""薪資""))), ""內部轉帳(忽略)"",
  REGEXMATCH(C12958, ""薪資""), ""薪資變動(不計入)"",
  REGEXMATCH(C12958, ""押金""), ""押金往來"",
  AND(E12958&lt;&gt;"""", F12958=""""), ""真實支出"",
  AND(E12958="""", F12958&lt;&gt;""""), ""真實收入"",
  TRUE, ""其他""
)"),"其他")</f>
        <v>其他</v>
      </c>
      <c r="K12958" s="270" t="str">
        <f t="shared" si="2"/>
        <v/>
      </c>
      <c r="L12958">
        <f t="shared" si="3"/>
        <v>0</v>
      </c>
    </row>
    <row r="12959">
      <c r="A12959" s="107"/>
      <c r="D12959" s="270"/>
      <c r="H12959" s="106" t="str">
        <f t="shared" si="1"/>
        <v/>
      </c>
      <c r="J12959" t="str">
        <f>IFERROR(__xludf.DUMMYFUNCTION("IFS(
  AND(REGEXMATCH(E12959, ""台銀籌備帳戶|玉山帳戶""), REGEXMATCH(C12959, ""薪資"")), ""分潤支出"",
  AND(REGEXMATCH(E12959, ""Ben帳戶|Elsa帳戶|Ben代墊|Ariel代墊|中信銀行共用""), REGEXMATCH(F12959, ""Ben帳戶|Elsa帳戶|Ben代墊|Ariel代墊|中信銀行共用"")), ""內部轉帳(忽略)"",
  AND(E12959&lt;&gt;"""", F12959&lt;&gt;"&amp;""""", NOT(REGEXMATCH(C12959, ""薪資""))), ""內部轉帳(忽略)"",
  REGEXMATCH(C12959, ""薪資""), ""薪資變動(不計入)"",
  REGEXMATCH(C12959, ""押金""), ""押金往來"",
  AND(E12959&lt;&gt;"""", F12959=""""), ""真實支出"",
  AND(E12959="""", F12959&lt;&gt;""""), ""真實收入"",
  TRUE, ""其他""
)"),"其他")</f>
        <v>其他</v>
      </c>
      <c r="K12959" s="270" t="str">
        <f t="shared" si="2"/>
        <v/>
      </c>
      <c r="L12959">
        <f t="shared" si="3"/>
        <v>0</v>
      </c>
    </row>
    <row r="12960">
      <c r="A12960" s="107"/>
      <c r="D12960" s="270"/>
      <c r="H12960" s="106" t="str">
        <f t="shared" si="1"/>
        <v/>
      </c>
      <c r="J12960" t="str">
        <f>IFERROR(__xludf.DUMMYFUNCTION("IFS(
  AND(REGEXMATCH(E12960, ""台銀籌備帳戶|玉山帳戶""), REGEXMATCH(C12960, ""薪資"")), ""分潤支出"",
  AND(REGEXMATCH(E12960, ""Ben帳戶|Elsa帳戶|Ben代墊|Ariel代墊|中信銀行共用""), REGEXMATCH(F12960, ""Ben帳戶|Elsa帳戶|Ben代墊|Ariel代墊|中信銀行共用"")), ""內部轉帳(忽略)"",
  AND(E12960&lt;&gt;"""", F12960&lt;&gt;"&amp;""""", NOT(REGEXMATCH(C12960, ""薪資""))), ""內部轉帳(忽略)"",
  REGEXMATCH(C12960, ""薪資""), ""薪資變動(不計入)"",
  REGEXMATCH(C12960, ""押金""), ""押金往來"",
  AND(E12960&lt;&gt;"""", F12960=""""), ""真實支出"",
  AND(E12960="""", F12960&lt;&gt;""""), ""真實收入"",
  TRUE, ""其他""
)"),"其他")</f>
        <v>其他</v>
      </c>
      <c r="K12960" s="270" t="str">
        <f t="shared" si="2"/>
        <v/>
      </c>
      <c r="L12960">
        <f t="shared" si="3"/>
        <v>0</v>
      </c>
    </row>
    <row r="12961">
      <c r="A12961" s="107"/>
      <c r="D12961" s="270"/>
      <c r="H12961" s="106" t="str">
        <f t="shared" si="1"/>
        <v/>
      </c>
      <c r="J12961" t="str">
        <f>IFERROR(__xludf.DUMMYFUNCTION("IFS(
  AND(REGEXMATCH(E12961, ""台銀籌備帳戶|玉山帳戶""), REGEXMATCH(C12961, ""薪資"")), ""分潤支出"",
  AND(REGEXMATCH(E12961, ""Ben帳戶|Elsa帳戶|Ben代墊|Ariel代墊|中信銀行共用""), REGEXMATCH(F12961, ""Ben帳戶|Elsa帳戶|Ben代墊|Ariel代墊|中信銀行共用"")), ""內部轉帳(忽略)"",
  AND(E12961&lt;&gt;"""", F12961&lt;&gt;"&amp;""""", NOT(REGEXMATCH(C12961, ""薪資""))), ""內部轉帳(忽略)"",
  REGEXMATCH(C12961, ""薪資""), ""薪資變動(不計入)"",
  REGEXMATCH(C12961, ""押金""), ""押金往來"",
  AND(E12961&lt;&gt;"""", F12961=""""), ""真實支出"",
  AND(E12961="""", F12961&lt;&gt;""""), ""真實收入"",
  TRUE, ""其他""
)"),"其他")</f>
        <v>其他</v>
      </c>
      <c r="K12961" s="270" t="str">
        <f t="shared" si="2"/>
        <v/>
      </c>
      <c r="L12961">
        <f t="shared" si="3"/>
        <v>0</v>
      </c>
    </row>
    <row r="12962">
      <c r="A12962" s="107"/>
      <c r="D12962" s="270"/>
      <c r="H12962" s="106" t="str">
        <f t="shared" si="1"/>
        <v/>
      </c>
      <c r="J12962" t="str">
        <f>IFERROR(__xludf.DUMMYFUNCTION("IFS(
  AND(REGEXMATCH(E12962, ""台銀籌備帳戶|玉山帳戶""), REGEXMATCH(C12962, ""薪資"")), ""分潤支出"",
  AND(REGEXMATCH(E12962, ""Ben帳戶|Elsa帳戶|Ben代墊|Ariel代墊|中信銀行共用""), REGEXMATCH(F12962, ""Ben帳戶|Elsa帳戶|Ben代墊|Ariel代墊|中信銀行共用"")), ""內部轉帳(忽略)"",
  AND(E12962&lt;&gt;"""", F12962&lt;&gt;"&amp;""""", NOT(REGEXMATCH(C12962, ""薪資""))), ""內部轉帳(忽略)"",
  REGEXMATCH(C12962, ""薪資""), ""薪資變動(不計入)"",
  REGEXMATCH(C12962, ""押金""), ""押金往來"",
  AND(E12962&lt;&gt;"""", F12962=""""), ""真實支出"",
  AND(E12962="""", F12962&lt;&gt;""""), ""真實收入"",
  TRUE, ""其他""
)"),"其他")</f>
        <v>其他</v>
      </c>
      <c r="K12962" s="270" t="str">
        <f t="shared" si="2"/>
        <v/>
      </c>
      <c r="L12962">
        <f t="shared" si="3"/>
        <v>0</v>
      </c>
    </row>
    <row r="12963">
      <c r="A12963" s="107"/>
      <c r="D12963" s="270"/>
      <c r="H12963" s="106" t="str">
        <f t="shared" si="1"/>
        <v/>
      </c>
      <c r="J12963" t="str">
        <f>IFERROR(__xludf.DUMMYFUNCTION("IFS(
  AND(REGEXMATCH(E12963, ""台銀籌備帳戶|玉山帳戶""), REGEXMATCH(C12963, ""薪資"")), ""分潤支出"",
  AND(REGEXMATCH(E12963, ""Ben帳戶|Elsa帳戶|Ben代墊|Ariel代墊|中信銀行共用""), REGEXMATCH(F12963, ""Ben帳戶|Elsa帳戶|Ben代墊|Ariel代墊|中信銀行共用"")), ""內部轉帳(忽略)"",
  AND(E12963&lt;&gt;"""", F12963&lt;&gt;"&amp;""""", NOT(REGEXMATCH(C12963, ""薪資""))), ""內部轉帳(忽略)"",
  REGEXMATCH(C12963, ""薪資""), ""薪資變動(不計入)"",
  REGEXMATCH(C12963, ""押金""), ""押金往來"",
  AND(E12963&lt;&gt;"""", F12963=""""), ""真實支出"",
  AND(E12963="""", F12963&lt;&gt;""""), ""真實收入"",
  TRUE, ""其他""
)"),"其他")</f>
        <v>其他</v>
      </c>
      <c r="K12963" s="270" t="str">
        <f t="shared" si="2"/>
        <v/>
      </c>
      <c r="L12963">
        <f t="shared" si="3"/>
        <v>0</v>
      </c>
    </row>
    <row r="12964">
      <c r="A12964" s="107"/>
      <c r="D12964" s="270"/>
      <c r="H12964" s="106" t="str">
        <f t="shared" si="1"/>
        <v/>
      </c>
      <c r="J12964" t="str">
        <f>IFERROR(__xludf.DUMMYFUNCTION("IFS(
  AND(REGEXMATCH(E12964, ""台銀籌備帳戶|玉山帳戶""), REGEXMATCH(C12964, ""薪資"")), ""分潤支出"",
  AND(REGEXMATCH(E12964, ""Ben帳戶|Elsa帳戶|Ben代墊|Ariel代墊|中信銀行共用""), REGEXMATCH(F12964, ""Ben帳戶|Elsa帳戶|Ben代墊|Ariel代墊|中信銀行共用"")), ""內部轉帳(忽略)"",
  AND(E12964&lt;&gt;"""", F12964&lt;&gt;"&amp;""""", NOT(REGEXMATCH(C12964, ""薪資""))), ""內部轉帳(忽略)"",
  REGEXMATCH(C12964, ""薪資""), ""薪資變動(不計入)"",
  REGEXMATCH(C12964, ""押金""), ""押金往來"",
  AND(E12964&lt;&gt;"""", F12964=""""), ""真實支出"",
  AND(E12964="""", F12964&lt;&gt;""""), ""真實收入"",
  TRUE, ""其他""
)"),"其他")</f>
        <v>其他</v>
      </c>
      <c r="K12964" s="270" t="str">
        <f t="shared" si="2"/>
        <v/>
      </c>
      <c r="L12964">
        <f t="shared" si="3"/>
        <v>0</v>
      </c>
    </row>
    <row r="12965">
      <c r="A12965" s="107"/>
      <c r="D12965" s="270"/>
      <c r="H12965" s="106" t="str">
        <f t="shared" si="1"/>
        <v/>
      </c>
      <c r="J12965" t="str">
        <f>IFERROR(__xludf.DUMMYFUNCTION("IFS(
  AND(REGEXMATCH(E12965, ""台銀籌備帳戶|玉山帳戶""), REGEXMATCH(C12965, ""薪資"")), ""分潤支出"",
  AND(REGEXMATCH(E12965, ""Ben帳戶|Elsa帳戶|Ben代墊|Ariel代墊|中信銀行共用""), REGEXMATCH(F12965, ""Ben帳戶|Elsa帳戶|Ben代墊|Ariel代墊|中信銀行共用"")), ""內部轉帳(忽略)"",
  AND(E12965&lt;&gt;"""", F12965&lt;&gt;"&amp;""""", NOT(REGEXMATCH(C12965, ""薪資""))), ""內部轉帳(忽略)"",
  REGEXMATCH(C12965, ""薪資""), ""薪資變動(不計入)"",
  REGEXMATCH(C12965, ""押金""), ""押金往來"",
  AND(E12965&lt;&gt;"""", F12965=""""), ""真實支出"",
  AND(E12965="""", F12965&lt;&gt;""""), ""真實收入"",
  TRUE, ""其他""
)"),"其他")</f>
        <v>其他</v>
      </c>
      <c r="K12965" s="270" t="str">
        <f t="shared" si="2"/>
        <v/>
      </c>
      <c r="L12965">
        <f t="shared" si="3"/>
        <v>0</v>
      </c>
    </row>
    <row r="12966">
      <c r="A12966" s="107"/>
      <c r="D12966" s="270"/>
      <c r="H12966" s="106" t="str">
        <f t="shared" si="1"/>
        <v/>
      </c>
      <c r="J12966" t="str">
        <f>IFERROR(__xludf.DUMMYFUNCTION("IFS(
  AND(REGEXMATCH(E12966, ""台銀籌備帳戶|玉山帳戶""), REGEXMATCH(C12966, ""薪資"")), ""分潤支出"",
  AND(REGEXMATCH(E12966, ""Ben帳戶|Elsa帳戶|Ben代墊|Ariel代墊|中信銀行共用""), REGEXMATCH(F12966, ""Ben帳戶|Elsa帳戶|Ben代墊|Ariel代墊|中信銀行共用"")), ""內部轉帳(忽略)"",
  AND(E12966&lt;&gt;"""", F12966&lt;&gt;"&amp;""""", NOT(REGEXMATCH(C12966, ""薪資""))), ""內部轉帳(忽略)"",
  REGEXMATCH(C12966, ""薪資""), ""薪資變動(不計入)"",
  REGEXMATCH(C12966, ""押金""), ""押金往來"",
  AND(E12966&lt;&gt;"""", F12966=""""), ""真實支出"",
  AND(E12966="""", F12966&lt;&gt;""""), ""真實收入"",
  TRUE, ""其他""
)"),"其他")</f>
        <v>其他</v>
      </c>
      <c r="K12966" s="270" t="str">
        <f t="shared" si="2"/>
        <v/>
      </c>
      <c r="L12966">
        <f t="shared" si="3"/>
        <v>0</v>
      </c>
    </row>
    <row r="12967">
      <c r="A12967" s="107"/>
      <c r="D12967" s="270"/>
      <c r="H12967" s="106" t="str">
        <f t="shared" si="1"/>
        <v/>
      </c>
      <c r="J12967" t="str">
        <f>IFERROR(__xludf.DUMMYFUNCTION("IFS(
  AND(REGEXMATCH(E12967, ""台銀籌備帳戶|玉山帳戶""), REGEXMATCH(C12967, ""薪資"")), ""分潤支出"",
  AND(REGEXMATCH(E12967, ""Ben帳戶|Elsa帳戶|Ben代墊|Ariel代墊|中信銀行共用""), REGEXMATCH(F12967, ""Ben帳戶|Elsa帳戶|Ben代墊|Ariel代墊|中信銀行共用"")), ""內部轉帳(忽略)"",
  AND(E12967&lt;&gt;"""", F12967&lt;&gt;"&amp;""""", NOT(REGEXMATCH(C12967, ""薪資""))), ""內部轉帳(忽略)"",
  REGEXMATCH(C12967, ""薪資""), ""薪資變動(不計入)"",
  REGEXMATCH(C12967, ""押金""), ""押金往來"",
  AND(E12967&lt;&gt;"""", F12967=""""), ""真實支出"",
  AND(E12967="""", F12967&lt;&gt;""""), ""真實收入"",
  TRUE, ""其他""
)"),"其他")</f>
        <v>其他</v>
      </c>
      <c r="K12967" s="270" t="str">
        <f t="shared" si="2"/>
        <v/>
      </c>
      <c r="L12967">
        <f t="shared" si="3"/>
        <v>0</v>
      </c>
    </row>
    <row r="12968">
      <c r="A12968" s="107"/>
      <c r="D12968" s="270"/>
      <c r="H12968" s="106" t="str">
        <f t="shared" si="1"/>
        <v/>
      </c>
      <c r="J12968" t="str">
        <f>IFERROR(__xludf.DUMMYFUNCTION("IFS(
  AND(REGEXMATCH(E12968, ""台銀籌備帳戶|玉山帳戶""), REGEXMATCH(C12968, ""薪資"")), ""分潤支出"",
  AND(REGEXMATCH(E12968, ""Ben帳戶|Elsa帳戶|Ben代墊|Ariel代墊|中信銀行共用""), REGEXMATCH(F12968, ""Ben帳戶|Elsa帳戶|Ben代墊|Ariel代墊|中信銀行共用"")), ""內部轉帳(忽略)"",
  AND(E12968&lt;&gt;"""", F12968&lt;&gt;"&amp;""""", NOT(REGEXMATCH(C12968, ""薪資""))), ""內部轉帳(忽略)"",
  REGEXMATCH(C12968, ""薪資""), ""薪資變動(不計入)"",
  REGEXMATCH(C12968, ""押金""), ""押金往來"",
  AND(E12968&lt;&gt;"""", F12968=""""), ""真實支出"",
  AND(E12968="""", F12968&lt;&gt;""""), ""真實收入"",
  TRUE, ""其他""
)"),"其他")</f>
        <v>其他</v>
      </c>
      <c r="K12968" s="270" t="str">
        <f t="shared" si="2"/>
        <v/>
      </c>
      <c r="L12968">
        <f t="shared" si="3"/>
        <v>0</v>
      </c>
    </row>
    <row r="12969">
      <c r="A12969" s="107"/>
      <c r="D12969" s="270"/>
      <c r="H12969" s="106" t="str">
        <f t="shared" si="1"/>
        <v/>
      </c>
      <c r="J12969" t="str">
        <f>IFERROR(__xludf.DUMMYFUNCTION("IFS(
  AND(REGEXMATCH(E12969, ""台銀籌備帳戶|玉山帳戶""), REGEXMATCH(C12969, ""薪資"")), ""分潤支出"",
  AND(REGEXMATCH(E12969, ""Ben帳戶|Elsa帳戶|Ben代墊|Ariel代墊|中信銀行共用""), REGEXMATCH(F12969, ""Ben帳戶|Elsa帳戶|Ben代墊|Ariel代墊|中信銀行共用"")), ""內部轉帳(忽略)"",
  AND(E12969&lt;&gt;"""", F12969&lt;&gt;"&amp;""""", NOT(REGEXMATCH(C12969, ""薪資""))), ""內部轉帳(忽略)"",
  REGEXMATCH(C12969, ""薪資""), ""薪資變動(不計入)"",
  REGEXMATCH(C12969, ""押金""), ""押金往來"",
  AND(E12969&lt;&gt;"""", F12969=""""), ""真實支出"",
  AND(E12969="""", F12969&lt;&gt;""""), ""真實收入"",
  TRUE, ""其他""
)"),"其他")</f>
        <v>其他</v>
      </c>
      <c r="K12969" s="270" t="str">
        <f t="shared" si="2"/>
        <v/>
      </c>
      <c r="L12969">
        <f t="shared" si="3"/>
        <v>0</v>
      </c>
    </row>
    <row r="12970">
      <c r="A12970" s="107"/>
      <c r="D12970" s="270"/>
      <c r="H12970" s="106" t="str">
        <f t="shared" si="1"/>
        <v/>
      </c>
      <c r="J12970" t="str">
        <f>IFERROR(__xludf.DUMMYFUNCTION("IFS(
  AND(REGEXMATCH(E12970, ""台銀籌備帳戶|玉山帳戶""), REGEXMATCH(C12970, ""薪資"")), ""分潤支出"",
  AND(REGEXMATCH(E12970, ""Ben帳戶|Elsa帳戶|Ben代墊|Ariel代墊|中信銀行共用""), REGEXMATCH(F12970, ""Ben帳戶|Elsa帳戶|Ben代墊|Ariel代墊|中信銀行共用"")), ""內部轉帳(忽略)"",
  AND(E12970&lt;&gt;"""", F12970&lt;&gt;"&amp;""""", NOT(REGEXMATCH(C12970, ""薪資""))), ""內部轉帳(忽略)"",
  REGEXMATCH(C12970, ""薪資""), ""薪資變動(不計入)"",
  REGEXMATCH(C12970, ""押金""), ""押金往來"",
  AND(E12970&lt;&gt;"""", F12970=""""), ""真實支出"",
  AND(E12970="""", F12970&lt;&gt;""""), ""真實收入"",
  TRUE, ""其他""
)"),"其他")</f>
        <v>其他</v>
      </c>
      <c r="K12970" s="270" t="str">
        <f t="shared" si="2"/>
        <v/>
      </c>
      <c r="L12970">
        <f t="shared" si="3"/>
        <v>0</v>
      </c>
    </row>
    <row r="12971">
      <c r="A12971" s="107"/>
      <c r="D12971" s="270"/>
      <c r="H12971" s="106" t="str">
        <f t="shared" si="1"/>
        <v/>
      </c>
      <c r="J12971" t="str">
        <f>IFERROR(__xludf.DUMMYFUNCTION("IFS(
  AND(REGEXMATCH(E12971, ""台銀籌備帳戶|玉山帳戶""), REGEXMATCH(C12971, ""薪資"")), ""分潤支出"",
  AND(REGEXMATCH(E12971, ""Ben帳戶|Elsa帳戶|Ben代墊|Ariel代墊|中信銀行共用""), REGEXMATCH(F12971, ""Ben帳戶|Elsa帳戶|Ben代墊|Ariel代墊|中信銀行共用"")), ""內部轉帳(忽略)"",
  AND(E12971&lt;&gt;"""", F12971&lt;&gt;"&amp;""""", NOT(REGEXMATCH(C12971, ""薪資""))), ""內部轉帳(忽略)"",
  REGEXMATCH(C12971, ""薪資""), ""薪資變動(不計入)"",
  REGEXMATCH(C12971, ""押金""), ""押金往來"",
  AND(E12971&lt;&gt;"""", F12971=""""), ""真實支出"",
  AND(E12971="""", F12971&lt;&gt;""""), ""真實收入"",
  TRUE, ""其他""
)"),"其他")</f>
        <v>其他</v>
      </c>
      <c r="K12971" s="270" t="str">
        <f t="shared" si="2"/>
        <v/>
      </c>
      <c r="L12971">
        <f t="shared" si="3"/>
        <v>0</v>
      </c>
    </row>
    <row r="12972">
      <c r="A12972" s="107"/>
      <c r="D12972" s="270"/>
      <c r="H12972" s="106" t="str">
        <f t="shared" si="1"/>
        <v/>
      </c>
      <c r="J12972" t="str">
        <f>IFERROR(__xludf.DUMMYFUNCTION("IFS(
  AND(REGEXMATCH(E12972, ""台銀籌備帳戶|玉山帳戶""), REGEXMATCH(C12972, ""薪資"")), ""分潤支出"",
  AND(REGEXMATCH(E12972, ""Ben帳戶|Elsa帳戶|Ben代墊|Ariel代墊|中信銀行共用""), REGEXMATCH(F12972, ""Ben帳戶|Elsa帳戶|Ben代墊|Ariel代墊|中信銀行共用"")), ""內部轉帳(忽略)"",
  AND(E12972&lt;&gt;"""", F12972&lt;&gt;"&amp;""""", NOT(REGEXMATCH(C12972, ""薪資""))), ""內部轉帳(忽略)"",
  REGEXMATCH(C12972, ""薪資""), ""薪資變動(不計入)"",
  REGEXMATCH(C12972, ""押金""), ""押金往來"",
  AND(E12972&lt;&gt;"""", F12972=""""), ""真實支出"",
  AND(E12972="""", F12972&lt;&gt;""""), ""真實收入"",
  TRUE, ""其他""
)"),"其他")</f>
        <v>其他</v>
      </c>
      <c r="K12972" s="270" t="str">
        <f t="shared" si="2"/>
        <v/>
      </c>
      <c r="L12972">
        <f t="shared" si="3"/>
        <v>0</v>
      </c>
    </row>
    <row r="12973">
      <c r="A12973" s="107"/>
      <c r="D12973" s="270"/>
      <c r="H12973" s="106" t="str">
        <f t="shared" si="1"/>
        <v/>
      </c>
      <c r="J12973" t="str">
        <f>IFERROR(__xludf.DUMMYFUNCTION("IFS(
  AND(REGEXMATCH(E12973, ""台銀籌備帳戶|玉山帳戶""), REGEXMATCH(C12973, ""薪資"")), ""分潤支出"",
  AND(REGEXMATCH(E12973, ""Ben帳戶|Elsa帳戶|Ben代墊|Ariel代墊|中信銀行共用""), REGEXMATCH(F12973, ""Ben帳戶|Elsa帳戶|Ben代墊|Ariel代墊|中信銀行共用"")), ""內部轉帳(忽略)"",
  AND(E12973&lt;&gt;"""", F12973&lt;&gt;"&amp;""""", NOT(REGEXMATCH(C12973, ""薪資""))), ""內部轉帳(忽略)"",
  REGEXMATCH(C12973, ""薪資""), ""薪資變動(不計入)"",
  REGEXMATCH(C12973, ""押金""), ""押金往來"",
  AND(E12973&lt;&gt;"""", F12973=""""), ""真實支出"",
  AND(E12973="""", F12973&lt;&gt;""""), ""真實收入"",
  TRUE, ""其他""
)"),"其他")</f>
        <v>其他</v>
      </c>
      <c r="K12973" s="270" t="str">
        <f t="shared" si="2"/>
        <v/>
      </c>
      <c r="L12973">
        <f t="shared" si="3"/>
        <v>0</v>
      </c>
    </row>
    <row r="12974">
      <c r="A12974" s="107"/>
      <c r="D12974" s="270"/>
      <c r="H12974" s="106" t="str">
        <f t="shared" si="1"/>
        <v/>
      </c>
      <c r="J12974" t="str">
        <f>IFERROR(__xludf.DUMMYFUNCTION("IFS(
  AND(REGEXMATCH(E12974, ""台銀籌備帳戶|玉山帳戶""), REGEXMATCH(C12974, ""薪資"")), ""分潤支出"",
  AND(REGEXMATCH(E12974, ""Ben帳戶|Elsa帳戶|Ben代墊|Ariel代墊|中信銀行共用""), REGEXMATCH(F12974, ""Ben帳戶|Elsa帳戶|Ben代墊|Ariel代墊|中信銀行共用"")), ""內部轉帳(忽略)"",
  AND(E12974&lt;&gt;"""", F12974&lt;&gt;"&amp;""""", NOT(REGEXMATCH(C12974, ""薪資""))), ""內部轉帳(忽略)"",
  REGEXMATCH(C12974, ""薪資""), ""薪資變動(不計入)"",
  REGEXMATCH(C12974, ""押金""), ""押金往來"",
  AND(E12974&lt;&gt;"""", F12974=""""), ""真實支出"",
  AND(E12974="""", F12974&lt;&gt;""""), ""真實收入"",
  TRUE, ""其他""
)"),"其他")</f>
        <v>其他</v>
      </c>
      <c r="K12974" s="270" t="str">
        <f t="shared" si="2"/>
        <v/>
      </c>
      <c r="L12974">
        <f t="shared" si="3"/>
        <v>0</v>
      </c>
    </row>
    <row r="12975">
      <c r="A12975" s="107"/>
      <c r="D12975" s="270"/>
      <c r="H12975" s="106" t="str">
        <f t="shared" si="1"/>
        <v/>
      </c>
      <c r="J12975" t="str">
        <f>IFERROR(__xludf.DUMMYFUNCTION("IFS(
  AND(REGEXMATCH(E12975, ""台銀籌備帳戶|玉山帳戶""), REGEXMATCH(C12975, ""薪資"")), ""分潤支出"",
  AND(REGEXMATCH(E12975, ""Ben帳戶|Elsa帳戶|Ben代墊|Ariel代墊|中信銀行共用""), REGEXMATCH(F12975, ""Ben帳戶|Elsa帳戶|Ben代墊|Ariel代墊|中信銀行共用"")), ""內部轉帳(忽略)"",
  AND(E12975&lt;&gt;"""", F12975&lt;&gt;"&amp;""""", NOT(REGEXMATCH(C12975, ""薪資""))), ""內部轉帳(忽略)"",
  REGEXMATCH(C12975, ""薪資""), ""薪資變動(不計入)"",
  REGEXMATCH(C12975, ""押金""), ""押金往來"",
  AND(E12975&lt;&gt;"""", F12975=""""), ""真實支出"",
  AND(E12975="""", F12975&lt;&gt;""""), ""真實收入"",
  TRUE, ""其他""
)"),"其他")</f>
        <v>其他</v>
      </c>
      <c r="K12975" s="270" t="str">
        <f t="shared" si="2"/>
        <v/>
      </c>
      <c r="L12975">
        <f t="shared" si="3"/>
        <v>0</v>
      </c>
    </row>
    <row r="12976">
      <c r="A12976" s="107"/>
      <c r="D12976" s="270"/>
      <c r="H12976" s="106" t="str">
        <f t="shared" si="1"/>
        <v/>
      </c>
      <c r="J12976" t="str">
        <f>IFERROR(__xludf.DUMMYFUNCTION("IFS(
  AND(REGEXMATCH(E12976, ""台銀籌備帳戶|玉山帳戶""), REGEXMATCH(C12976, ""薪資"")), ""分潤支出"",
  AND(REGEXMATCH(E12976, ""Ben帳戶|Elsa帳戶|Ben代墊|Ariel代墊|中信銀行共用""), REGEXMATCH(F12976, ""Ben帳戶|Elsa帳戶|Ben代墊|Ariel代墊|中信銀行共用"")), ""內部轉帳(忽略)"",
  AND(E12976&lt;&gt;"""", F12976&lt;&gt;"&amp;""""", NOT(REGEXMATCH(C12976, ""薪資""))), ""內部轉帳(忽略)"",
  REGEXMATCH(C12976, ""薪資""), ""薪資變動(不計入)"",
  REGEXMATCH(C12976, ""押金""), ""押金往來"",
  AND(E12976&lt;&gt;"""", F12976=""""), ""真實支出"",
  AND(E12976="""", F12976&lt;&gt;""""), ""真實收入"",
  TRUE, ""其他""
)"),"其他")</f>
        <v>其他</v>
      </c>
      <c r="K12976" s="270" t="str">
        <f t="shared" si="2"/>
        <v/>
      </c>
      <c r="L12976">
        <f t="shared" si="3"/>
        <v>0</v>
      </c>
    </row>
    <row r="12977">
      <c r="A12977" s="107"/>
      <c r="D12977" s="270"/>
      <c r="H12977" s="106" t="str">
        <f t="shared" si="1"/>
        <v/>
      </c>
      <c r="J12977" t="str">
        <f>IFERROR(__xludf.DUMMYFUNCTION("IFS(
  AND(REGEXMATCH(E12977, ""台銀籌備帳戶|玉山帳戶""), REGEXMATCH(C12977, ""薪資"")), ""分潤支出"",
  AND(REGEXMATCH(E12977, ""Ben帳戶|Elsa帳戶|Ben代墊|Ariel代墊|中信銀行共用""), REGEXMATCH(F12977, ""Ben帳戶|Elsa帳戶|Ben代墊|Ariel代墊|中信銀行共用"")), ""內部轉帳(忽略)"",
  AND(E12977&lt;&gt;"""", F12977&lt;&gt;"&amp;""""", NOT(REGEXMATCH(C12977, ""薪資""))), ""內部轉帳(忽略)"",
  REGEXMATCH(C12977, ""薪資""), ""薪資變動(不計入)"",
  REGEXMATCH(C12977, ""押金""), ""押金往來"",
  AND(E12977&lt;&gt;"""", F12977=""""), ""真實支出"",
  AND(E12977="""", F12977&lt;&gt;""""), ""真實收入"",
  TRUE, ""其他""
)"),"其他")</f>
        <v>其他</v>
      </c>
      <c r="K12977" s="270" t="str">
        <f t="shared" si="2"/>
        <v/>
      </c>
      <c r="L12977">
        <f t="shared" si="3"/>
        <v>0</v>
      </c>
    </row>
    <row r="12978">
      <c r="A12978" s="107"/>
      <c r="D12978" s="270"/>
      <c r="H12978" s="106" t="str">
        <f t="shared" si="1"/>
        <v/>
      </c>
      <c r="J12978" t="str">
        <f>IFERROR(__xludf.DUMMYFUNCTION("IFS(
  AND(REGEXMATCH(E12978, ""台銀籌備帳戶|玉山帳戶""), REGEXMATCH(C12978, ""薪資"")), ""分潤支出"",
  AND(REGEXMATCH(E12978, ""Ben帳戶|Elsa帳戶|Ben代墊|Ariel代墊|中信銀行共用""), REGEXMATCH(F12978, ""Ben帳戶|Elsa帳戶|Ben代墊|Ariel代墊|中信銀行共用"")), ""內部轉帳(忽略)"",
  AND(E12978&lt;&gt;"""", F12978&lt;&gt;"&amp;""""", NOT(REGEXMATCH(C12978, ""薪資""))), ""內部轉帳(忽略)"",
  REGEXMATCH(C12978, ""薪資""), ""薪資變動(不計入)"",
  REGEXMATCH(C12978, ""押金""), ""押金往來"",
  AND(E12978&lt;&gt;"""", F12978=""""), ""真實支出"",
  AND(E12978="""", F12978&lt;&gt;""""), ""真實收入"",
  TRUE, ""其他""
)"),"其他")</f>
        <v>其他</v>
      </c>
      <c r="K12978" s="270" t="str">
        <f t="shared" si="2"/>
        <v/>
      </c>
      <c r="L12978">
        <f t="shared" si="3"/>
        <v>0</v>
      </c>
    </row>
    <row r="12979">
      <c r="A12979" s="107"/>
      <c r="D12979" s="270"/>
      <c r="H12979" s="106" t="str">
        <f t="shared" si="1"/>
        <v/>
      </c>
      <c r="J12979" t="str">
        <f>IFERROR(__xludf.DUMMYFUNCTION("IFS(
  AND(REGEXMATCH(E12979, ""台銀籌備帳戶|玉山帳戶""), REGEXMATCH(C12979, ""薪資"")), ""分潤支出"",
  AND(REGEXMATCH(E12979, ""Ben帳戶|Elsa帳戶|Ben代墊|Ariel代墊|中信銀行共用""), REGEXMATCH(F12979, ""Ben帳戶|Elsa帳戶|Ben代墊|Ariel代墊|中信銀行共用"")), ""內部轉帳(忽略)"",
  AND(E12979&lt;&gt;"""", F12979&lt;&gt;"&amp;""""", NOT(REGEXMATCH(C12979, ""薪資""))), ""內部轉帳(忽略)"",
  REGEXMATCH(C12979, ""薪資""), ""薪資變動(不計入)"",
  REGEXMATCH(C12979, ""押金""), ""押金往來"",
  AND(E12979&lt;&gt;"""", F12979=""""), ""真實支出"",
  AND(E12979="""", F12979&lt;&gt;""""), ""真實收入"",
  TRUE, ""其他""
)"),"其他")</f>
        <v>其他</v>
      </c>
      <c r="K12979" s="270" t="str">
        <f t="shared" si="2"/>
        <v/>
      </c>
      <c r="L12979">
        <f t="shared" si="3"/>
        <v>0</v>
      </c>
    </row>
    <row r="12980">
      <c r="A12980" s="107"/>
      <c r="D12980" s="270"/>
      <c r="H12980" s="106" t="str">
        <f t="shared" si="1"/>
        <v/>
      </c>
      <c r="J12980" t="str">
        <f>IFERROR(__xludf.DUMMYFUNCTION("IFS(
  AND(REGEXMATCH(E12980, ""台銀籌備帳戶|玉山帳戶""), REGEXMATCH(C12980, ""薪資"")), ""分潤支出"",
  AND(REGEXMATCH(E12980, ""Ben帳戶|Elsa帳戶|Ben代墊|Ariel代墊|中信銀行共用""), REGEXMATCH(F12980, ""Ben帳戶|Elsa帳戶|Ben代墊|Ariel代墊|中信銀行共用"")), ""內部轉帳(忽略)"",
  AND(E12980&lt;&gt;"""", F12980&lt;&gt;"&amp;""""", NOT(REGEXMATCH(C12980, ""薪資""))), ""內部轉帳(忽略)"",
  REGEXMATCH(C12980, ""薪資""), ""薪資變動(不計入)"",
  REGEXMATCH(C12980, ""押金""), ""押金往來"",
  AND(E12980&lt;&gt;"""", F12980=""""), ""真實支出"",
  AND(E12980="""", F12980&lt;&gt;""""), ""真實收入"",
  TRUE, ""其他""
)"),"其他")</f>
        <v>其他</v>
      </c>
      <c r="K12980" s="270" t="str">
        <f t="shared" si="2"/>
        <v/>
      </c>
      <c r="L12980">
        <f t="shared" si="3"/>
        <v>0</v>
      </c>
    </row>
    <row r="12981">
      <c r="A12981" s="107"/>
      <c r="D12981" s="270"/>
      <c r="H12981" s="106" t="str">
        <f t="shared" si="1"/>
        <v/>
      </c>
      <c r="J12981" t="str">
        <f>IFERROR(__xludf.DUMMYFUNCTION("IFS(
  AND(REGEXMATCH(E12981, ""台銀籌備帳戶|玉山帳戶""), REGEXMATCH(C12981, ""薪資"")), ""分潤支出"",
  AND(REGEXMATCH(E12981, ""Ben帳戶|Elsa帳戶|Ben代墊|Ariel代墊|中信銀行共用""), REGEXMATCH(F12981, ""Ben帳戶|Elsa帳戶|Ben代墊|Ariel代墊|中信銀行共用"")), ""內部轉帳(忽略)"",
  AND(E12981&lt;&gt;"""", F12981&lt;&gt;"&amp;""""", NOT(REGEXMATCH(C12981, ""薪資""))), ""內部轉帳(忽略)"",
  REGEXMATCH(C12981, ""薪資""), ""薪資變動(不計入)"",
  REGEXMATCH(C12981, ""押金""), ""押金往來"",
  AND(E12981&lt;&gt;"""", F12981=""""), ""真實支出"",
  AND(E12981="""", F12981&lt;&gt;""""), ""真實收入"",
  TRUE, ""其他""
)"),"其他")</f>
        <v>其他</v>
      </c>
      <c r="K12981" s="270" t="str">
        <f t="shared" si="2"/>
        <v/>
      </c>
      <c r="L12981">
        <f t="shared" si="3"/>
        <v>0</v>
      </c>
    </row>
    <row r="12982">
      <c r="A12982" s="107"/>
      <c r="D12982" s="270"/>
      <c r="H12982" s="106" t="str">
        <f t="shared" si="1"/>
        <v/>
      </c>
      <c r="J12982" t="str">
        <f>IFERROR(__xludf.DUMMYFUNCTION("IFS(
  AND(REGEXMATCH(E12982, ""台銀籌備帳戶|玉山帳戶""), REGEXMATCH(C12982, ""薪資"")), ""分潤支出"",
  AND(REGEXMATCH(E12982, ""Ben帳戶|Elsa帳戶|Ben代墊|Ariel代墊|中信銀行共用""), REGEXMATCH(F12982, ""Ben帳戶|Elsa帳戶|Ben代墊|Ariel代墊|中信銀行共用"")), ""內部轉帳(忽略)"",
  AND(E12982&lt;&gt;"""", F12982&lt;&gt;"&amp;""""", NOT(REGEXMATCH(C12982, ""薪資""))), ""內部轉帳(忽略)"",
  REGEXMATCH(C12982, ""薪資""), ""薪資變動(不計入)"",
  REGEXMATCH(C12982, ""押金""), ""押金往來"",
  AND(E12982&lt;&gt;"""", F12982=""""), ""真實支出"",
  AND(E12982="""", F12982&lt;&gt;""""), ""真實收入"",
  TRUE, ""其他""
)"),"其他")</f>
        <v>其他</v>
      </c>
      <c r="K12982" s="270" t="str">
        <f t="shared" si="2"/>
        <v/>
      </c>
      <c r="L12982">
        <f t="shared" si="3"/>
        <v>0</v>
      </c>
    </row>
    <row r="12983">
      <c r="A12983" s="107"/>
      <c r="D12983" s="270"/>
      <c r="H12983" s="106" t="str">
        <f t="shared" si="1"/>
        <v/>
      </c>
      <c r="J12983" t="str">
        <f>IFERROR(__xludf.DUMMYFUNCTION("IFS(
  AND(REGEXMATCH(E12983, ""台銀籌備帳戶|玉山帳戶""), REGEXMATCH(C12983, ""薪資"")), ""分潤支出"",
  AND(REGEXMATCH(E12983, ""Ben帳戶|Elsa帳戶|Ben代墊|Ariel代墊|中信銀行共用""), REGEXMATCH(F12983, ""Ben帳戶|Elsa帳戶|Ben代墊|Ariel代墊|中信銀行共用"")), ""內部轉帳(忽略)"",
  AND(E12983&lt;&gt;"""", F12983&lt;&gt;"&amp;""""", NOT(REGEXMATCH(C12983, ""薪資""))), ""內部轉帳(忽略)"",
  REGEXMATCH(C12983, ""薪資""), ""薪資變動(不計入)"",
  REGEXMATCH(C12983, ""押金""), ""押金往來"",
  AND(E12983&lt;&gt;"""", F12983=""""), ""真實支出"",
  AND(E12983="""", F12983&lt;&gt;""""), ""真實收入"",
  TRUE, ""其他""
)"),"其他")</f>
        <v>其他</v>
      </c>
      <c r="K12983" s="270" t="str">
        <f t="shared" si="2"/>
        <v/>
      </c>
      <c r="L12983">
        <f t="shared" si="3"/>
        <v>0</v>
      </c>
    </row>
    <row r="12984">
      <c r="A12984" s="107"/>
      <c r="D12984" s="270"/>
      <c r="H12984" s="106" t="str">
        <f t="shared" si="1"/>
        <v/>
      </c>
      <c r="J12984" t="str">
        <f>IFERROR(__xludf.DUMMYFUNCTION("IFS(
  AND(REGEXMATCH(E12984, ""台銀籌備帳戶|玉山帳戶""), REGEXMATCH(C12984, ""薪資"")), ""分潤支出"",
  AND(REGEXMATCH(E12984, ""Ben帳戶|Elsa帳戶|Ben代墊|Ariel代墊|中信銀行共用""), REGEXMATCH(F12984, ""Ben帳戶|Elsa帳戶|Ben代墊|Ariel代墊|中信銀行共用"")), ""內部轉帳(忽略)"",
  AND(E12984&lt;&gt;"""", F12984&lt;&gt;"&amp;""""", NOT(REGEXMATCH(C12984, ""薪資""))), ""內部轉帳(忽略)"",
  REGEXMATCH(C12984, ""薪資""), ""薪資變動(不計入)"",
  REGEXMATCH(C12984, ""押金""), ""押金往來"",
  AND(E12984&lt;&gt;"""", F12984=""""), ""真實支出"",
  AND(E12984="""", F12984&lt;&gt;""""), ""真實收入"",
  TRUE, ""其他""
)"),"其他")</f>
        <v>其他</v>
      </c>
      <c r="K12984" s="270" t="str">
        <f t="shared" si="2"/>
        <v/>
      </c>
      <c r="L12984">
        <f t="shared" si="3"/>
        <v>0</v>
      </c>
    </row>
    <row r="12985">
      <c r="A12985" s="107"/>
      <c r="D12985" s="270"/>
      <c r="H12985" s="106" t="str">
        <f t="shared" si="1"/>
        <v/>
      </c>
      <c r="J12985" t="str">
        <f>IFERROR(__xludf.DUMMYFUNCTION("IFS(
  AND(REGEXMATCH(E12985, ""台銀籌備帳戶|玉山帳戶""), REGEXMATCH(C12985, ""薪資"")), ""分潤支出"",
  AND(REGEXMATCH(E12985, ""Ben帳戶|Elsa帳戶|Ben代墊|Ariel代墊|中信銀行共用""), REGEXMATCH(F12985, ""Ben帳戶|Elsa帳戶|Ben代墊|Ariel代墊|中信銀行共用"")), ""內部轉帳(忽略)"",
  AND(E12985&lt;&gt;"""", F12985&lt;&gt;"&amp;""""", NOT(REGEXMATCH(C12985, ""薪資""))), ""內部轉帳(忽略)"",
  REGEXMATCH(C12985, ""薪資""), ""薪資變動(不計入)"",
  REGEXMATCH(C12985, ""押金""), ""押金往來"",
  AND(E12985&lt;&gt;"""", F12985=""""), ""真實支出"",
  AND(E12985="""", F12985&lt;&gt;""""), ""真實收入"",
  TRUE, ""其他""
)"),"其他")</f>
        <v>其他</v>
      </c>
      <c r="K12985" s="270" t="str">
        <f t="shared" si="2"/>
        <v/>
      </c>
      <c r="L12985">
        <f t="shared" si="3"/>
        <v>0</v>
      </c>
    </row>
    <row r="12986">
      <c r="A12986" s="107"/>
      <c r="D12986" s="270"/>
      <c r="H12986" s="106" t="str">
        <f t="shared" si="1"/>
        <v/>
      </c>
      <c r="J12986" t="str">
        <f>IFERROR(__xludf.DUMMYFUNCTION("IFS(
  AND(REGEXMATCH(E12986, ""台銀籌備帳戶|玉山帳戶""), REGEXMATCH(C12986, ""薪資"")), ""分潤支出"",
  AND(REGEXMATCH(E12986, ""Ben帳戶|Elsa帳戶|Ben代墊|Ariel代墊|中信銀行共用""), REGEXMATCH(F12986, ""Ben帳戶|Elsa帳戶|Ben代墊|Ariel代墊|中信銀行共用"")), ""內部轉帳(忽略)"",
  AND(E12986&lt;&gt;"""", F12986&lt;&gt;"&amp;""""", NOT(REGEXMATCH(C12986, ""薪資""))), ""內部轉帳(忽略)"",
  REGEXMATCH(C12986, ""薪資""), ""薪資變動(不計入)"",
  REGEXMATCH(C12986, ""押金""), ""押金往來"",
  AND(E12986&lt;&gt;"""", F12986=""""), ""真實支出"",
  AND(E12986="""", F12986&lt;&gt;""""), ""真實收入"",
  TRUE, ""其他""
)"),"其他")</f>
        <v>其他</v>
      </c>
      <c r="K12986" s="270" t="str">
        <f t="shared" si="2"/>
        <v/>
      </c>
      <c r="L12986">
        <f t="shared" si="3"/>
        <v>0</v>
      </c>
    </row>
    <row r="12987">
      <c r="A12987" s="107"/>
      <c r="D12987" s="270"/>
      <c r="H12987" s="106" t="str">
        <f t="shared" si="1"/>
        <v/>
      </c>
      <c r="J12987" t="str">
        <f>IFERROR(__xludf.DUMMYFUNCTION("IFS(
  AND(REGEXMATCH(E12987, ""台銀籌備帳戶|玉山帳戶""), REGEXMATCH(C12987, ""薪資"")), ""分潤支出"",
  AND(REGEXMATCH(E12987, ""Ben帳戶|Elsa帳戶|Ben代墊|Ariel代墊|中信銀行共用""), REGEXMATCH(F12987, ""Ben帳戶|Elsa帳戶|Ben代墊|Ariel代墊|中信銀行共用"")), ""內部轉帳(忽略)"",
  AND(E12987&lt;&gt;"""", F12987&lt;&gt;"&amp;""""", NOT(REGEXMATCH(C12987, ""薪資""))), ""內部轉帳(忽略)"",
  REGEXMATCH(C12987, ""薪資""), ""薪資變動(不計入)"",
  REGEXMATCH(C12987, ""押金""), ""押金往來"",
  AND(E12987&lt;&gt;"""", F12987=""""), ""真實支出"",
  AND(E12987="""", F12987&lt;&gt;""""), ""真實收入"",
  TRUE, ""其他""
)"),"其他")</f>
        <v>其他</v>
      </c>
      <c r="K12987" s="270" t="str">
        <f t="shared" si="2"/>
        <v/>
      </c>
      <c r="L12987">
        <f t="shared" si="3"/>
        <v>0</v>
      </c>
    </row>
    <row r="12988">
      <c r="A12988" s="107"/>
      <c r="D12988" s="270"/>
      <c r="H12988" s="106" t="str">
        <f t="shared" si="1"/>
        <v/>
      </c>
      <c r="J12988" t="str">
        <f>IFERROR(__xludf.DUMMYFUNCTION("IFS(
  AND(REGEXMATCH(E12988, ""台銀籌備帳戶|玉山帳戶""), REGEXMATCH(C12988, ""薪資"")), ""分潤支出"",
  AND(REGEXMATCH(E12988, ""Ben帳戶|Elsa帳戶|Ben代墊|Ariel代墊|中信銀行共用""), REGEXMATCH(F12988, ""Ben帳戶|Elsa帳戶|Ben代墊|Ariel代墊|中信銀行共用"")), ""內部轉帳(忽略)"",
  AND(E12988&lt;&gt;"""", F12988&lt;&gt;"&amp;""""", NOT(REGEXMATCH(C12988, ""薪資""))), ""內部轉帳(忽略)"",
  REGEXMATCH(C12988, ""薪資""), ""薪資變動(不計入)"",
  REGEXMATCH(C12988, ""押金""), ""押金往來"",
  AND(E12988&lt;&gt;"""", F12988=""""), ""真實支出"",
  AND(E12988="""", F12988&lt;&gt;""""), ""真實收入"",
  TRUE, ""其他""
)"),"其他")</f>
        <v>其他</v>
      </c>
      <c r="K12988" s="270" t="str">
        <f t="shared" si="2"/>
        <v/>
      </c>
      <c r="L12988">
        <f t="shared" si="3"/>
        <v>0</v>
      </c>
    </row>
    <row r="12989">
      <c r="A12989" s="107"/>
      <c r="D12989" s="270"/>
      <c r="H12989" s="106" t="str">
        <f t="shared" si="1"/>
        <v/>
      </c>
      <c r="J12989" t="str">
        <f>IFERROR(__xludf.DUMMYFUNCTION("IFS(
  AND(REGEXMATCH(E12989, ""台銀籌備帳戶|玉山帳戶""), REGEXMATCH(C12989, ""薪資"")), ""分潤支出"",
  AND(REGEXMATCH(E12989, ""Ben帳戶|Elsa帳戶|Ben代墊|Ariel代墊|中信銀行共用""), REGEXMATCH(F12989, ""Ben帳戶|Elsa帳戶|Ben代墊|Ariel代墊|中信銀行共用"")), ""內部轉帳(忽略)"",
  AND(E12989&lt;&gt;"""", F12989&lt;&gt;"&amp;""""", NOT(REGEXMATCH(C12989, ""薪資""))), ""內部轉帳(忽略)"",
  REGEXMATCH(C12989, ""薪資""), ""薪資變動(不計入)"",
  REGEXMATCH(C12989, ""押金""), ""押金往來"",
  AND(E12989&lt;&gt;"""", F12989=""""), ""真實支出"",
  AND(E12989="""", F12989&lt;&gt;""""), ""真實收入"",
  TRUE, ""其他""
)"),"其他")</f>
        <v>其他</v>
      </c>
      <c r="K12989" s="270" t="str">
        <f t="shared" si="2"/>
        <v/>
      </c>
      <c r="L12989">
        <f t="shared" si="3"/>
        <v>0</v>
      </c>
    </row>
    <row r="12990">
      <c r="A12990" s="107"/>
      <c r="D12990" s="270"/>
      <c r="H12990" s="106" t="str">
        <f t="shared" si="1"/>
        <v/>
      </c>
      <c r="J12990" t="str">
        <f>IFERROR(__xludf.DUMMYFUNCTION("IFS(
  AND(REGEXMATCH(E12990, ""台銀籌備帳戶|玉山帳戶""), REGEXMATCH(C12990, ""薪資"")), ""分潤支出"",
  AND(REGEXMATCH(E12990, ""Ben帳戶|Elsa帳戶|Ben代墊|Ariel代墊|中信銀行共用""), REGEXMATCH(F12990, ""Ben帳戶|Elsa帳戶|Ben代墊|Ariel代墊|中信銀行共用"")), ""內部轉帳(忽略)"",
  AND(E12990&lt;&gt;"""", F12990&lt;&gt;"&amp;""""", NOT(REGEXMATCH(C12990, ""薪資""))), ""內部轉帳(忽略)"",
  REGEXMATCH(C12990, ""薪資""), ""薪資變動(不計入)"",
  REGEXMATCH(C12990, ""押金""), ""押金往來"",
  AND(E12990&lt;&gt;"""", F12990=""""), ""真實支出"",
  AND(E12990="""", F12990&lt;&gt;""""), ""真實收入"",
  TRUE, ""其他""
)"),"其他")</f>
        <v>其他</v>
      </c>
      <c r="K12990" s="270" t="str">
        <f t="shared" si="2"/>
        <v/>
      </c>
      <c r="L12990">
        <f t="shared" si="3"/>
        <v>0</v>
      </c>
    </row>
    <row r="12991">
      <c r="A12991" s="107"/>
      <c r="D12991" s="270"/>
      <c r="H12991" s="106" t="str">
        <f t="shared" si="1"/>
        <v/>
      </c>
      <c r="J12991" t="str">
        <f>IFERROR(__xludf.DUMMYFUNCTION("IFS(
  AND(REGEXMATCH(E12991, ""台銀籌備帳戶|玉山帳戶""), REGEXMATCH(C12991, ""薪資"")), ""分潤支出"",
  AND(REGEXMATCH(E12991, ""Ben帳戶|Elsa帳戶|Ben代墊|Ariel代墊|中信銀行共用""), REGEXMATCH(F12991, ""Ben帳戶|Elsa帳戶|Ben代墊|Ariel代墊|中信銀行共用"")), ""內部轉帳(忽略)"",
  AND(E12991&lt;&gt;"""", F12991&lt;&gt;"&amp;""""", NOT(REGEXMATCH(C12991, ""薪資""))), ""內部轉帳(忽略)"",
  REGEXMATCH(C12991, ""薪資""), ""薪資變動(不計入)"",
  REGEXMATCH(C12991, ""押金""), ""押金往來"",
  AND(E12991&lt;&gt;"""", F12991=""""), ""真實支出"",
  AND(E12991="""", F12991&lt;&gt;""""), ""真實收入"",
  TRUE, ""其他""
)"),"其他")</f>
        <v>其他</v>
      </c>
      <c r="K12991" s="270" t="str">
        <f t="shared" si="2"/>
        <v/>
      </c>
      <c r="L12991">
        <f t="shared" si="3"/>
        <v>0</v>
      </c>
    </row>
    <row r="12992">
      <c r="A12992" s="107"/>
      <c r="D12992" s="270"/>
      <c r="H12992" s="106" t="str">
        <f t="shared" si="1"/>
        <v/>
      </c>
      <c r="J12992" t="str">
        <f>IFERROR(__xludf.DUMMYFUNCTION("IFS(
  AND(REGEXMATCH(E12992, ""台銀籌備帳戶|玉山帳戶""), REGEXMATCH(C12992, ""薪資"")), ""分潤支出"",
  AND(REGEXMATCH(E12992, ""Ben帳戶|Elsa帳戶|Ben代墊|Ariel代墊|中信銀行共用""), REGEXMATCH(F12992, ""Ben帳戶|Elsa帳戶|Ben代墊|Ariel代墊|中信銀行共用"")), ""內部轉帳(忽略)"",
  AND(E12992&lt;&gt;"""", F12992&lt;&gt;"&amp;""""", NOT(REGEXMATCH(C12992, ""薪資""))), ""內部轉帳(忽略)"",
  REGEXMATCH(C12992, ""薪資""), ""薪資變動(不計入)"",
  REGEXMATCH(C12992, ""押金""), ""押金往來"",
  AND(E12992&lt;&gt;"""", F12992=""""), ""真實支出"",
  AND(E12992="""", F12992&lt;&gt;""""), ""真實收入"",
  TRUE, ""其他""
)"),"其他")</f>
        <v>其他</v>
      </c>
      <c r="K12992" s="270" t="str">
        <f t="shared" si="2"/>
        <v/>
      </c>
      <c r="L12992">
        <f t="shared" si="3"/>
        <v>0</v>
      </c>
    </row>
    <row r="12993">
      <c r="A12993" s="107"/>
      <c r="D12993" s="270"/>
      <c r="H12993" s="106" t="str">
        <f t="shared" si="1"/>
        <v/>
      </c>
      <c r="J12993" t="str">
        <f>IFERROR(__xludf.DUMMYFUNCTION("IFS(
  AND(REGEXMATCH(E12993, ""台銀籌備帳戶|玉山帳戶""), REGEXMATCH(C12993, ""薪資"")), ""分潤支出"",
  AND(REGEXMATCH(E12993, ""Ben帳戶|Elsa帳戶|Ben代墊|Ariel代墊|中信銀行共用""), REGEXMATCH(F12993, ""Ben帳戶|Elsa帳戶|Ben代墊|Ariel代墊|中信銀行共用"")), ""內部轉帳(忽略)"",
  AND(E12993&lt;&gt;"""", F12993&lt;&gt;"&amp;""""", NOT(REGEXMATCH(C12993, ""薪資""))), ""內部轉帳(忽略)"",
  REGEXMATCH(C12993, ""薪資""), ""薪資變動(不計入)"",
  REGEXMATCH(C12993, ""押金""), ""押金往來"",
  AND(E12993&lt;&gt;"""", F12993=""""), ""真實支出"",
  AND(E12993="""", F12993&lt;&gt;""""), ""真實收入"",
  TRUE, ""其他""
)"),"其他")</f>
        <v>其他</v>
      </c>
      <c r="K12993" s="270" t="str">
        <f t="shared" si="2"/>
        <v/>
      </c>
      <c r="L12993">
        <f t="shared" si="3"/>
        <v>0</v>
      </c>
    </row>
    <row r="12994">
      <c r="A12994" s="107"/>
      <c r="D12994" s="270"/>
      <c r="H12994" s="106" t="str">
        <f t="shared" si="1"/>
        <v/>
      </c>
      <c r="J12994" t="str">
        <f>IFERROR(__xludf.DUMMYFUNCTION("IFS(
  AND(REGEXMATCH(E12994, ""台銀籌備帳戶|玉山帳戶""), REGEXMATCH(C12994, ""薪資"")), ""分潤支出"",
  AND(REGEXMATCH(E12994, ""Ben帳戶|Elsa帳戶|Ben代墊|Ariel代墊|中信銀行共用""), REGEXMATCH(F12994, ""Ben帳戶|Elsa帳戶|Ben代墊|Ariel代墊|中信銀行共用"")), ""內部轉帳(忽略)"",
  AND(E12994&lt;&gt;"""", F12994&lt;&gt;"&amp;""""", NOT(REGEXMATCH(C12994, ""薪資""))), ""內部轉帳(忽略)"",
  REGEXMATCH(C12994, ""薪資""), ""薪資變動(不計入)"",
  REGEXMATCH(C12994, ""押金""), ""押金往來"",
  AND(E12994&lt;&gt;"""", F12994=""""), ""真實支出"",
  AND(E12994="""", F12994&lt;&gt;""""), ""真實收入"",
  TRUE, ""其他""
)"),"其他")</f>
        <v>其他</v>
      </c>
      <c r="K12994" s="270" t="str">
        <f t="shared" si="2"/>
        <v/>
      </c>
      <c r="L12994">
        <f t="shared" si="3"/>
        <v>0</v>
      </c>
    </row>
    <row r="12995">
      <c r="A12995" s="107"/>
      <c r="D12995" s="270"/>
      <c r="H12995" s="106" t="str">
        <f t="shared" si="1"/>
        <v/>
      </c>
      <c r="J12995" t="str">
        <f>IFERROR(__xludf.DUMMYFUNCTION("IFS(
  AND(REGEXMATCH(E12995, ""台銀籌備帳戶|玉山帳戶""), REGEXMATCH(C12995, ""薪資"")), ""分潤支出"",
  AND(REGEXMATCH(E12995, ""Ben帳戶|Elsa帳戶|Ben代墊|Ariel代墊|中信銀行共用""), REGEXMATCH(F12995, ""Ben帳戶|Elsa帳戶|Ben代墊|Ariel代墊|中信銀行共用"")), ""內部轉帳(忽略)"",
  AND(E12995&lt;&gt;"""", F12995&lt;&gt;"&amp;""""", NOT(REGEXMATCH(C12995, ""薪資""))), ""內部轉帳(忽略)"",
  REGEXMATCH(C12995, ""薪資""), ""薪資變動(不計入)"",
  REGEXMATCH(C12995, ""押金""), ""押金往來"",
  AND(E12995&lt;&gt;"""", F12995=""""), ""真實支出"",
  AND(E12995="""", F12995&lt;&gt;""""), ""真實收入"",
  TRUE, ""其他""
)"),"其他")</f>
        <v>其他</v>
      </c>
      <c r="K12995" s="270" t="str">
        <f t="shared" si="2"/>
        <v/>
      </c>
      <c r="L12995">
        <f t="shared" si="3"/>
        <v>0</v>
      </c>
    </row>
    <row r="12996">
      <c r="A12996" s="107"/>
      <c r="D12996" s="270"/>
      <c r="H12996" s="106" t="str">
        <f t="shared" si="1"/>
        <v/>
      </c>
      <c r="J12996" t="str">
        <f>IFERROR(__xludf.DUMMYFUNCTION("IFS(
  AND(REGEXMATCH(E12996, ""台銀籌備帳戶|玉山帳戶""), REGEXMATCH(C12996, ""薪資"")), ""分潤支出"",
  AND(REGEXMATCH(E12996, ""Ben帳戶|Elsa帳戶|Ben代墊|Ariel代墊|中信銀行共用""), REGEXMATCH(F12996, ""Ben帳戶|Elsa帳戶|Ben代墊|Ariel代墊|中信銀行共用"")), ""內部轉帳(忽略)"",
  AND(E12996&lt;&gt;"""", F12996&lt;&gt;"&amp;""""", NOT(REGEXMATCH(C12996, ""薪資""))), ""內部轉帳(忽略)"",
  REGEXMATCH(C12996, ""薪資""), ""薪資變動(不計入)"",
  REGEXMATCH(C12996, ""押金""), ""押金往來"",
  AND(E12996&lt;&gt;"""", F12996=""""), ""真實支出"",
  AND(E12996="""", F12996&lt;&gt;""""), ""真實收入"",
  TRUE, ""其他""
)"),"其他")</f>
        <v>其他</v>
      </c>
      <c r="K12996" s="270" t="str">
        <f t="shared" si="2"/>
        <v/>
      </c>
      <c r="L12996">
        <f t="shared" si="3"/>
        <v>0</v>
      </c>
    </row>
    <row r="12997">
      <c r="A12997" s="107"/>
      <c r="D12997" s="270"/>
      <c r="H12997" s="106" t="str">
        <f t="shared" si="1"/>
        <v/>
      </c>
      <c r="J12997" t="str">
        <f>IFERROR(__xludf.DUMMYFUNCTION("IFS(
  AND(REGEXMATCH(E12997, ""台銀籌備帳戶|玉山帳戶""), REGEXMATCH(C12997, ""薪資"")), ""分潤支出"",
  AND(REGEXMATCH(E12997, ""Ben帳戶|Elsa帳戶|Ben代墊|Ariel代墊|中信銀行共用""), REGEXMATCH(F12997, ""Ben帳戶|Elsa帳戶|Ben代墊|Ariel代墊|中信銀行共用"")), ""內部轉帳(忽略)"",
  AND(E12997&lt;&gt;"""", F12997&lt;&gt;"&amp;""""", NOT(REGEXMATCH(C12997, ""薪資""))), ""內部轉帳(忽略)"",
  REGEXMATCH(C12997, ""薪資""), ""薪資變動(不計入)"",
  REGEXMATCH(C12997, ""押金""), ""押金往來"",
  AND(E12997&lt;&gt;"""", F12997=""""), ""真實支出"",
  AND(E12997="""", F12997&lt;&gt;""""), ""真實收入"",
  TRUE, ""其他""
)"),"其他")</f>
        <v>其他</v>
      </c>
      <c r="K12997" s="270" t="str">
        <f t="shared" si="2"/>
        <v/>
      </c>
      <c r="L12997">
        <f t="shared" si="3"/>
        <v>0</v>
      </c>
    </row>
    <row r="12998">
      <c r="A12998" s="107"/>
      <c r="D12998" s="270"/>
      <c r="H12998" s="106" t="str">
        <f t="shared" si="1"/>
        <v/>
      </c>
      <c r="J12998" t="str">
        <f>IFERROR(__xludf.DUMMYFUNCTION("IFS(
  AND(REGEXMATCH(E12998, ""台銀籌備帳戶|玉山帳戶""), REGEXMATCH(C12998, ""薪資"")), ""分潤支出"",
  AND(REGEXMATCH(E12998, ""Ben帳戶|Elsa帳戶|Ben代墊|Ariel代墊|中信銀行共用""), REGEXMATCH(F12998, ""Ben帳戶|Elsa帳戶|Ben代墊|Ariel代墊|中信銀行共用"")), ""內部轉帳(忽略)"",
  AND(E12998&lt;&gt;"""", F12998&lt;&gt;"&amp;""""", NOT(REGEXMATCH(C12998, ""薪資""))), ""內部轉帳(忽略)"",
  REGEXMATCH(C12998, ""薪資""), ""薪資變動(不計入)"",
  REGEXMATCH(C12998, ""押金""), ""押金往來"",
  AND(E12998&lt;&gt;"""", F12998=""""), ""真實支出"",
  AND(E12998="""", F12998&lt;&gt;""""), ""真實收入"",
  TRUE, ""其他""
)"),"其他")</f>
        <v>其他</v>
      </c>
      <c r="K12998" s="270" t="str">
        <f t="shared" si="2"/>
        <v/>
      </c>
      <c r="L12998">
        <f t="shared" si="3"/>
        <v>0</v>
      </c>
    </row>
    <row r="12999">
      <c r="A12999" s="107"/>
      <c r="D12999" s="270"/>
      <c r="H12999" s="106" t="str">
        <f t="shared" si="1"/>
        <v/>
      </c>
      <c r="J12999" t="str">
        <f>IFERROR(__xludf.DUMMYFUNCTION("IFS(
  AND(REGEXMATCH(E12999, ""台銀籌備帳戶|玉山帳戶""), REGEXMATCH(C12999, ""薪資"")), ""分潤支出"",
  AND(REGEXMATCH(E12999, ""Ben帳戶|Elsa帳戶|Ben代墊|Ariel代墊|中信銀行共用""), REGEXMATCH(F12999, ""Ben帳戶|Elsa帳戶|Ben代墊|Ariel代墊|中信銀行共用"")), ""內部轉帳(忽略)"",
  AND(E12999&lt;&gt;"""", F12999&lt;&gt;"&amp;""""", NOT(REGEXMATCH(C12999, ""薪資""))), ""內部轉帳(忽略)"",
  REGEXMATCH(C12999, ""薪資""), ""薪資變動(不計入)"",
  REGEXMATCH(C12999, ""押金""), ""押金往來"",
  AND(E12999&lt;&gt;"""", F12999=""""), ""真實支出"",
  AND(E12999="""", F12999&lt;&gt;""""), ""真實收入"",
  TRUE, ""其他""
)"),"其他")</f>
        <v>其他</v>
      </c>
      <c r="K12999" s="270" t="str">
        <f t="shared" si="2"/>
        <v/>
      </c>
      <c r="L12999">
        <f t="shared" si="3"/>
        <v>0</v>
      </c>
    </row>
    <row r="13000">
      <c r="A13000" s="107"/>
      <c r="D13000" s="270"/>
      <c r="H13000" s="106" t="str">
        <f t="shared" si="1"/>
        <v/>
      </c>
      <c r="J13000" t="str">
        <f>IFERROR(__xludf.DUMMYFUNCTION("IFS(
  AND(REGEXMATCH(E13000, ""台銀籌備帳戶|玉山帳戶""), REGEXMATCH(C13000, ""薪資"")), ""分潤支出"",
  AND(REGEXMATCH(E13000, ""Ben帳戶|Elsa帳戶|Ben代墊|Ariel代墊|中信銀行共用""), REGEXMATCH(F13000, ""Ben帳戶|Elsa帳戶|Ben代墊|Ariel代墊|中信銀行共用"")), ""內部轉帳(忽略)"",
  AND(E13000&lt;&gt;"""", F13000&lt;&gt;"&amp;""""", NOT(REGEXMATCH(C13000, ""薪資""))), ""內部轉帳(忽略)"",
  REGEXMATCH(C13000, ""薪資""), ""薪資變動(不計入)"",
  REGEXMATCH(C13000, ""押金""), ""押金往來"",
  AND(E13000&lt;&gt;"""", F13000=""""), ""真實支出"",
  AND(E13000="""", F13000&lt;&gt;""""), ""真實收入"",
  TRUE, ""其他""
)"),"其他")</f>
        <v>其他</v>
      </c>
      <c r="K13000" s="270" t="str">
        <f t="shared" si="2"/>
        <v/>
      </c>
      <c r="L13000">
        <f t="shared" si="3"/>
        <v>0</v>
      </c>
    </row>
    <row r="13001">
      <c r="A13001" s="107"/>
      <c r="D13001" s="270"/>
      <c r="H13001" s="106" t="str">
        <f t="shared" si="1"/>
        <v/>
      </c>
      <c r="J13001" t="str">
        <f>IFERROR(__xludf.DUMMYFUNCTION("IFS(
  AND(REGEXMATCH(E13001, ""台銀籌備帳戶|玉山帳戶""), REGEXMATCH(C13001, ""薪資"")), ""分潤支出"",
  AND(REGEXMATCH(E13001, ""Ben帳戶|Elsa帳戶|Ben代墊|Ariel代墊|中信銀行共用""), REGEXMATCH(F13001, ""Ben帳戶|Elsa帳戶|Ben代墊|Ariel代墊|中信銀行共用"")), ""內部轉帳(忽略)"",
  AND(E13001&lt;&gt;"""", F13001&lt;&gt;"&amp;""""", NOT(REGEXMATCH(C13001, ""薪資""))), ""內部轉帳(忽略)"",
  REGEXMATCH(C13001, ""薪資""), ""薪資變動(不計入)"",
  REGEXMATCH(C13001, ""押金""), ""押金往來"",
  AND(E13001&lt;&gt;"""", F13001=""""), ""真實支出"",
  AND(E13001="""", F13001&lt;&gt;""""), ""真實收入"",
  TRUE, ""其他""
)"),"其他")</f>
        <v>其他</v>
      </c>
      <c r="K13001" s="270" t="str">
        <f t="shared" si="2"/>
        <v/>
      </c>
      <c r="L13001">
        <f t="shared" si="3"/>
        <v>0</v>
      </c>
    </row>
    <row r="13002">
      <c r="A13002" s="107"/>
      <c r="D13002" s="270"/>
      <c r="H13002" s="106" t="str">
        <f t="shared" si="1"/>
        <v/>
      </c>
      <c r="J13002" t="str">
        <f>IFERROR(__xludf.DUMMYFUNCTION("IFS(
  AND(REGEXMATCH(E13002, ""台銀籌備帳戶|玉山帳戶""), REGEXMATCH(C13002, ""薪資"")), ""分潤支出"",
  AND(REGEXMATCH(E13002, ""Ben帳戶|Elsa帳戶|Ben代墊|Ariel代墊|中信銀行共用""), REGEXMATCH(F13002, ""Ben帳戶|Elsa帳戶|Ben代墊|Ariel代墊|中信銀行共用"")), ""內部轉帳(忽略)"",
  AND(E13002&lt;&gt;"""", F13002&lt;&gt;"&amp;""""", NOT(REGEXMATCH(C13002, ""薪資""))), ""內部轉帳(忽略)"",
  REGEXMATCH(C13002, ""薪資""), ""薪資變動(不計入)"",
  REGEXMATCH(C13002, ""押金""), ""押金往來"",
  AND(E13002&lt;&gt;"""", F13002=""""), ""真實支出"",
  AND(E13002="""", F13002&lt;&gt;""""), ""真實收入"",
  TRUE, ""其他""
)"),"其他")</f>
        <v>其他</v>
      </c>
      <c r="K13002" s="270" t="str">
        <f t="shared" si="2"/>
        <v/>
      </c>
      <c r="L13002">
        <f t="shared" si="3"/>
        <v>0</v>
      </c>
    </row>
    <row r="13003">
      <c r="A13003" s="107"/>
      <c r="D13003" s="270"/>
      <c r="H13003" s="106" t="str">
        <f t="shared" si="1"/>
        <v/>
      </c>
      <c r="J13003" t="str">
        <f>IFERROR(__xludf.DUMMYFUNCTION("IFS(
  AND(REGEXMATCH(E13003, ""台銀籌備帳戶|玉山帳戶""), REGEXMATCH(C13003, ""薪資"")), ""分潤支出"",
  AND(REGEXMATCH(E13003, ""Ben帳戶|Elsa帳戶|Ben代墊|Ariel代墊|中信銀行共用""), REGEXMATCH(F13003, ""Ben帳戶|Elsa帳戶|Ben代墊|Ariel代墊|中信銀行共用"")), ""內部轉帳(忽略)"",
  AND(E13003&lt;&gt;"""", F13003&lt;&gt;"&amp;""""", NOT(REGEXMATCH(C13003, ""薪資""))), ""內部轉帳(忽略)"",
  REGEXMATCH(C13003, ""薪資""), ""薪資變動(不計入)"",
  REGEXMATCH(C13003, ""押金""), ""押金往來"",
  AND(E13003&lt;&gt;"""", F13003=""""), ""真實支出"",
  AND(E13003="""", F13003&lt;&gt;""""), ""真實收入"",
  TRUE, ""其他""
)"),"其他")</f>
        <v>其他</v>
      </c>
      <c r="K13003" s="270" t="str">
        <f t="shared" si="2"/>
        <v/>
      </c>
      <c r="L13003">
        <f t="shared" si="3"/>
        <v>0</v>
      </c>
    </row>
    <row r="13004">
      <c r="A13004" s="107"/>
      <c r="D13004" s="270"/>
      <c r="H13004" s="106" t="str">
        <f t="shared" si="1"/>
        <v/>
      </c>
      <c r="J13004" t="str">
        <f>IFERROR(__xludf.DUMMYFUNCTION("IFS(
  AND(REGEXMATCH(E13004, ""台銀籌備帳戶|玉山帳戶""), REGEXMATCH(C13004, ""薪資"")), ""分潤支出"",
  AND(REGEXMATCH(E13004, ""Ben帳戶|Elsa帳戶|Ben代墊|Ariel代墊|中信銀行共用""), REGEXMATCH(F13004, ""Ben帳戶|Elsa帳戶|Ben代墊|Ariel代墊|中信銀行共用"")), ""內部轉帳(忽略)"",
  AND(E13004&lt;&gt;"""", F13004&lt;&gt;"&amp;""""", NOT(REGEXMATCH(C13004, ""薪資""))), ""內部轉帳(忽略)"",
  REGEXMATCH(C13004, ""薪資""), ""薪資變動(不計入)"",
  REGEXMATCH(C13004, ""押金""), ""押金往來"",
  AND(E13004&lt;&gt;"""", F13004=""""), ""真實支出"",
  AND(E13004="""", F13004&lt;&gt;""""), ""真實收入"",
  TRUE, ""其他""
)"),"其他")</f>
        <v>其他</v>
      </c>
      <c r="K13004" s="270" t="str">
        <f t="shared" si="2"/>
        <v/>
      </c>
      <c r="L13004">
        <f t="shared" si="3"/>
        <v>0</v>
      </c>
    </row>
    <row r="13005">
      <c r="A13005" s="107"/>
      <c r="D13005" s="270"/>
      <c r="H13005" s="106" t="str">
        <f t="shared" si="1"/>
        <v/>
      </c>
      <c r="J13005" t="str">
        <f>IFERROR(__xludf.DUMMYFUNCTION("IFS(
  AND(REGEXMATCH(E13005, ""台銀籌備帳戶|玉山帳戶""), REGEXMATCH(C13005, ""薪資"")), ""分潤支出"",
  AND(REGEXMATCH(E13005, ""Ben帳戶|Elsa帳戶|Ben代墊|Ariel代墊|中信銀行共用""), REGEXMATCH(F13005, ""Ben帳戶|Elsa帳戶|Ben代墊|Ariel代墊|中信銀行共用"")), ""內部轉帳(忽略)"",
  AND(E13005&lt;&gt;"""", F13005&lt;&gt;"&amp;""""", NOT(REGEXMATCH(C13005, ""薪資""))), ""內部轉帳(忽略)"",
  REGEXMATCH(C13005, ""薪資""), ""薪資變動(不計入)"",
  REGEXMATCH(C13005, ""押金""), ""押金往來"",
  AND(E13005&lt;&gt;"""", F13005=""""), ""真實支出"",
  AND(E13005="""", F13005&lt;&gt;""""), ""真實收入"",
  TRUE, ""其他""
)"),"其他")</f>
        <v>其他</v>
      </c>
      <c r="K13005" s="270" t="str">
        <f t="shared" si="2"/>
        <v/>
      </c>
      <c r="L13005">
        <f t="shared" si="3"/>
        <v>0</v>
      </c>
    </row>
    <row r="13006">
      <c r="A13006" s="107"/>
      <c r="D13006" s="270"/>
      <c r="H13006" s="106" t="str">
        <f t="shared" si="1"/>
        <v/>
      </c>
      <c r="J13006" t="str">
        <f>IFERROR(__xludf.DUMMYFUNCTION("IFS(
  AND(REGEXMATCH(E13006, ""台銀籌備帳戶|玉山帳戶""), REGEXMATCH(C13006, ""薪資"")), ""分潤支出"",
  AND(REGEXMATCH(E13006, ""Ben帳戶|Elsa帳戶|Ben代墊|Ariel代墊|中信銀行共用""), REGEXMATCH(F13006, ""Ben帳戶|Elsa帳戶|Ben代墊|Ariel代墊|中信銀行共用"")), ""內部轉帳(忽略)"",
  AND(E13006&lt;&gt;"""", F13006&lt;&gt;"&amp;""""", NOT(REGEXMATCH(C13006, ""薪資""))), ""內部轉帳(忽略)"",
  REGEXMATCH(C13006, ""薪資""), ""薪資變動(不計入)"",
  REGEXMATCH(C13006, ""押金""), ""押金往來"",
  AND(E13006&lt;&gt;"""", F13006=""""), ""真實支出"",
  AND(E13006="""", F13006&lt;&gt;""""), ""真實收入"",
  TRUE, ""其他""
)"),"其他")</f>
        <v>其他</v>
      </c>
      <c r="K13006" s="270" t="str">
        <f t="shared" si="2"/>
        <v/>
      </c>
      <c r="L13006">
        <f t="shared" si="3"/>
        <v>0</v>
      </c>
    </row>
    <row r="13007">
      <c r="A13007" s="107"/>
      <c r="D13007" s="270"/>
      <c r="H13007" s="106" t="str">
        <f t="shared" si="1"/>
        <v/>
      </c>
      <c r="J13007" t="str">
        <f>IFERROR(__xludf.DUMMYFUNCTION("IFS(
  AND(REGEXMATCH(E13007, ""台銀籌備帳戶|玉山帳戶""), REGEXMATCH(C13007, ""薪資"")), ""分潤支出"",
  AND(REGEXMATCH(E13007, ""Ben帳戶|Elsa帳戶|Ben代墊|Ariel代墊|中信銀行共用""), REGEXMATCH(F13007, ""Ben帳戶|Elsa帳戶|Ben代墊|Ariel代墊|中信銀行共用"")), ""內部轉帳(忽略)"",
  AND(E13007&lt;&gt;"""", F13007&lt;&gt;"&amp;""""", NOT(REGEXMATCH(C13007, ""薪資""))), ""內部轉帳(忽略)"",
  REGEXMATCH(C13007, ""薪資""), ""薪資變動(不計入)"",
  REGEXMATCH(C13007, ""押金""), ""押金往來"",
  AND(E13007&lt;&gt;"""", F13007=""""), ""真實支出"",
  AND(E13007="""", F13007&lt;&gt;""""), ""真實收入"",
  TRUE, ""其他""
)"),"其他")</f>
        <v>其他</v>
      </c>
      <c r="K13007" s="270" t="str">
        <f t="shared" si="2"/>
        <v/>
      </c>
      <c r="L13007">
        <f t="shared" si="3"/>
        <v>0</v>
      </c>
    </row>
    <row r="13008">
      <c r="A13008" s="107"/>
      <c r="D13008" s="270"/>
      <c r="H13008" s="106" t="str">
        <f t="shared" si="1"/>
        <v/>
      </c>
      <c r="J13008" t="str">
        <f>IFERROR(__xludf.DUMMYFUNCTION("IFS(
  AND(REGEXMATCH(E13008, ""台銀籌備帳戶|玉山帳戶""), REGEXMATCH(C13008, ""薪資"")), ""分潤支出"",
  AND(REGEXMATCH(E13008, ""Ben帳戶|Elsa帳戶|Ben代墊|Ariel代墊|中信銀行共用""), REGEXMATCH(F13008, ""Ben帳戶|Elsa帳戶|Ben代墊|Ariel代墊|中信銀行共用"")), ""內部轉帳(忽略)"",
  AND(E13008&lt;&gt;"""", F13008&lt;&gt;"&amp;""""", NOT(REGEXMATCH(C13008, ""薪資""))), ""內部轉帳(忽略)"",
  REGEXMATCH(C13008, ""薪資""), ""薪資變動(不計入)"",
  REGEXMATCH(C13008, ""押金""), ""押金往來"",
  AND(E13008&lt;&gt;"""", F13008=""""), ""真實支出"",
  AND(E13008="""", F13008&lt;&gt;""""), ""真實收入"",
  TRUE, ""其他""
)"),"其他")</f>
        <v>其他</v>
      </c>
      <c r="K13008" s="270" t="str">
        <f t="shared" si="2"/>
        <v/>
      </c>
      <c r="L13008">
        <f t="shared" si="3"/>
        <v>0</v>
      </c>
    </row>
    <row r="13009">
      <c r="A13009" s="107"/>
      <c r="D13009" s="270"/>
      <c r="H13009" s="106" t="str">
        <f t="shared" si="1"/>
        <v/>
      </c>
      <c r="J13009" t="str">
        <f>IFERROR(__xludf.DUMMYFUNCTION("IFS(
  AND(REGEXMATCH(E13009, ""台銀籌備帳戶|玉山帳戶""), REGEXMATCH(C13009, ""薪資"")), ""分潤支出"",
  AND(REGEXMATCH(E13009, ""Ben帳戶|Elsa帳戶|Ben代墊|Ariel代墊|中信銀行共用""), REGEXMATCH(F13009, ""Ben帳戶|Elsa帳戶|Ben代墊|Ariel代墊|中信銀行共用"")), ""內部轉帳(忽略)"",
  AND(E13009&lt;&gt;"""", F13009&lt;&gt;"&amp;""""", NOT(REGEXMATCH(C13009, ""薪資""))), ""內部轉帳(忽略)"",
  REGEXMATCH(C13009, ""薪資""), ""薪資變動(不計入)"",
  REGEXMATCH(C13009, ""押金""), ""押金往來"",
  AND(E13009&lt;&gt;"""", F13009=""""), ""真實支出"",
  AND(E13009="""", F13009&lt;&gt;""""), ""真實收入"",
  TRUE, ""其他""
)"),"其他")</f>
        <v>其他</v>
      </c>
      <c r="K13009" s="270" t="str">
        <f t="shared" si="2"/>
        <v/>
      </c>
      <c r="L13009">
        <f t="shared" si="3"/>
        <v>0</v>
      </c>
    </row>
    <row r="13010">
      <c r="A13010" s="107"/>
      <c r="D13010" s="270"/>
      <c r="H13010" s="106" t="str">
        <f t="shared" si="1"/>
        <v/>
      </c>
      <c r="J13010" t="str">
        <f>IFERROR(__xludf.DUMMYFUNCTION("IFS(
  AND(REGEXMATCH(E13010, ""台銀籌備帳戶|玉山帳戶""), REGEXMATCH(C13010, ""薪資"")), ""分潤支出"",
  AND(REGEXMATCH(E13010, ""Ben帳戶|Elsa帳戶|Ben代墊|Ariel代墊|中信銀行共用""), REGEXMATCH(F13010, ""Ben帳戶|Elsa帳戶|Ben代墊|Ariel代墊|中信銀行共用"")), ""內部轉帳(忽略)"",
  AND(E13010&lt;&gt;"""", F13010&lt;&gt;"&amp;""""", NOT(REGEXMATCH(C13010, ""薪資""))), ""內部轉帳(忽略)"",
  REGEXMATCH(C13010, ""薪資""), ""薪資變動(不計入)"",
  REGEXMATCH(C13010, ""押金""), ""押金往來"",
  AND(E13010&lt;&gt;"""", F13010=""""), ""真實支出"",
  AND(E13010="""", F13010&lt;&gt;""""), ""真實收入"",
  TRUE, ""其他""
)"),"其他")</f>
        <v>其他</v>
      </c>
      <c r="K13010" s="270" t="str">
        <f t="shared" si="2"/>
        <v/>
      </c>
      <c r="L13010">
        <f t="shared" si="3"/>
        <v>0</v>
      </c>
    </row>
    <row r="13011">
      <c r="A13011" s="107"/>
      <c r="D13011" s="270"/>
      <c r="H13011" s="106" t="str">
        <f t="shared" si="1"/>
        <v/>
      </c>
      <c r="J13011" t="str">
        <f>IFERROR(__xludf.DUMMYFUNCTION("IFS(
  AND(REGEXMATCH(E13011, ""台銀籌備帳戶|玉山帳戶""), REGEXMATCH(C13011, ""薪資"")), ""分潤支出"",
  AND(REGEXMATCH(E13011, ""Ben帳戶|Elsa帳戶|Ben代墊|Ariel代墊|中信銀行共用""), REGEXMATCH(F13011, ""Ben帳戶|Elsa帳戶|Ben代墊|Ariel代墊|中信銀行共用"")), ""內部轉帳(忽略)"",
  AND(E13011&lt;&gt;"""", F13011&lt;&gt;"&amp;""""", NOT(REGEXMATCH(C13011, ""薪資""))), ""內部轉帳(忽略)"",
  REGEXMATCH(C13011, ""薪資""), ""薪資變動(不計入)"",
  REGEXMATCH(C13011, ""押金""), ""押金往來"",
  AND(E13011&lt;&gt;"""", F13011=""""), ""真實支出"",
  AND(E13011="""", F13011&lt;&gt;""""), ""真實收入"",
  TRUE, ""其他""
)"),"其他")</f>
        <v>其他</v>
      </c>
      <c r="K13011" s="270" t="str">
        <f t="shared" si="2"/>
        <v/>
      </c>
      <c r="L13011">
        <f t="shared" si="3"/>
        <v>0</v>
      </c>
    </row>
    <row r="13012">
      <c r="A13012" s="107"/>
      <c r="D13012" s="270"/>
      <c r="H13012" s="106" t="str">
        <f t="shared" si="1"/>
        <v/>
      </c>
      <c r="J13012" t="str">
        <f>IFERROR(__xludf.DUMMYFUNCTION("IFS(
  AND(REGEXMATCH(E13012, ""台銀籌備帳戶|玉山帳戶""), REGEXMATCH(C13012, ""薪資"")), ""分潤支出"",
  AND(REGEXMATCH(E13012, ""Ben帳戶|Elsa帳戶|Ben代墊|Ariel代墊|中信銀行共用""), REGEXMATCH(F13012, ""Ben帳戶|Elsa帳戶|Ben代墊|Ariel代墊|中信銀行共用"")), ""內部轉帳(忽略)"",
  AND(E13012&lt;&gt;"""", F13012&lt;&gt;"&amp;""""", NOT(REGEXMATCH(C13012, ""薪資""))), ""內部轉帳(忽略)"",
  REGEXMATCH(C13012, ""薪資""), ""薪資變動(不計入)"",
  REGEXMATCH(C13012, ""押金""), ""押金往來"",
  AND(E13012&lt;&gt;"""", F13012=""""), ""真實支出"",
  AND(E13012="""", F13012&lt;&gt;""""), ""真實收入"",
  TRUE, ""其他""
)"),"其他")</f>
        <v>其他</v>
      </c>
      <c r="K13012" s="270" t="str">
        <f t="shared" si="2"/>
        <v/>
      </c>
      <c r="L13012">
        <f t="shared" si="3"/>
        <v>0</v>
      </c>
    </row>
    <row r="13013">
      <c r="A13013" s="107"/>
      <c r="D13013" s="270"/>
      <c r="H13013" s="106" t="str">
        <f t="shared" si="1"/>
        <v/>
      </c>
      <c r="J13013" t="str">
        <f>IFERROR(__xludf.DUMMYFUNCTION("IFS(
  AND(REGEXMATCH(E13013, ""台銀籌備帳戶|玉山帳戶""), REGEXMATCH(C13013, ""薪資"")), ""分潤支出"",
  AND(REGEXMATCH(E13013, ""Ben帳戶|Elsa帳戶|Ben代墊|Ariel代墊|中信銀行共用""), REGEXMATCH(F13013, ""Ben帳戶|Elsa帳戶|Ben代墊|Ariel代墊|中信銀行共用"")), ""內部轉帳(忽略)"",
  AND(E13013&lt;&gt;"""", F13013&lt;&gt;"&amp;""""", NOT(REGEXMATCH(C13013, ""薪資""))), ""內部轉帳(忽略)"",
  REGEXMATCH(C13013, ""薪資""), ""薪資變動(不計入)"",
  REGEXMATCH(C13013, ""押金""), ""押金往來"",
  AND(E13013&lt;&gt;"""", F13013=""""), ""真實支出"",
  AND(E13013="""", F13013&lt;&gt;""""), ""真實收入"",
  TRUE, ""其他""
)"),"其他")</f>
        <v>其他</v>
      </c>
      <c r="K13013" s="270" t="str">
        <f t="shared" si="2"/>
        <v/>
      </c>
      <c r="L13013">
        <f t="shared" si="3"/>
        <v>0</v>
      </c>
    </row>
    <row r="13014">
      <c r="A13014" s="107"/>
      <c r="D13014" s="270"/>
      <c r="H13014" s="106" t="str">
        <f t="shared" si="1"/>
        <v/>
      </c>
      <c r="J13014" t="str">
        <f>IFERROR(__xludf.DUMMYFUNCTION("IFS(
  AND(REGEXMATCH(E13014, ""台銀籌備帳戶|玉山帳戶""), REGEXMATCH(C13014, ""薪資"")), ""分潤支出"",
  AND(REGEXMATCH(E13014, ""Ben帳戶|Elsa帳戶|Ben代墊|Ariel代墊|中信銀行共用""), REGEXMATCH(F13014, ""Ben帳戶|Elsa帳戶|Ben代墊|Ariel代墊|中信銀行共用"")), ""內部轉帳(忽略)"",
  AND(E13014&lt;&gt;"""", F13014&lt;&gt;"&amp;""""", NOT(REGEXMATCH(C13014, ""薪資""))), ""內部轉帳(忽略)"",
  REGEXMATCH(C13014, ""薪資""), ""薪資變動(不計入)"",
  REGEXMATCH(C13014, ""押金""), ""押金往來"",
  AND(E13014&lt;&gt;"""", F13014=""""), ""真實支出"",
  AND(E13014="""", F13014&lt;&gt;""""), ""真實收入"",
  TRUE, ""其他""
)"),"其他")</f>
        <v>其他</v>
      </c>
      <c r="K13014" s="270" t="str">
        <f t="shared" si="2"/>
        <v/>
      </c>
      <c r="L13014">
        <f t="shared" si="3"/>
        <v>0</v>
      </c>
    </row>
    <row r="13015">
      <c r="A13015" s="107"/>
      <c r="D13015" s="270"/>
      <c r="H13015" s="106" t="str">
        <f t="shared" si="1"/>
        <v/>
      </c>
      <c r="J13015" t="str">
        <f>IFERROR(__xludf.DUMMYFUNCTION("IFS(
  AND(REGEXMATCH(E13015, ""台銀籌備帳戶|玉山帳戶""), REGEXMATCH(C13015, ""薪資"")), ""分潤支出"",
  AND(REGEXMATCH(E13015, ""Ben帳戶|Elsa帳戶|Ben代墊|Ariel代墊|中信銀行共用""), REGEXMATCH(F13015, ""Ben帳戶|Elsa帳戶|Ben代墊|Ariel代墊|中信銀行共用"")), ""內部轉帳(忽略)"",
  AND(E13015&lt;&gt;"""", F13015&lt;&gt;"&amp;""""", NOT(REGEXMATCH(C13015, ""薪資""))), ""內部轉帳(忽略)"",
  REGEXMATCH(C13015, ""薪資""), ""薪資變動(不計入)"",
  REGEXMATCH(C13015, ""押金""), ""押金往來"",
  AND(E13015&lt;&gt;"""", F13015=""""), ""真實支出"",
  AND(E13015="""", F13015&lt;&gt;""""), ""真實收入"",
  TRUE, ""其他""
)"),"其他")</f>
        <v>其他</v>
      </c>
      <c r="K13015" s="270" t="str">
        <f t="shared" si="2"/>
        <v/>
      </c>
      <c r="L13015">
        <f t="shared" si="3"/>
        <v>0</v>
      </c>
    </row>
    <row r="13016">
      <c r="A13016" s="107"/>
      <c r="D13016" s="270"/>
      <c r="H13016" s="106" t="str">
        <f t="shared" si="1"/>
        <v/>
      </c>
      <c r="J13016" t="str">
        <f>IFERROR(__xludf.DUMMYFUNCTION("IFS(
  AND(REGEXMATCH(E13016, ""台銀籌備帳戶|玉山帳戶""), REGEXMATCH(C13016, ""薪資"")), ""分潤支出"",
  AND(REGEXMATCH(E13016, ""Ben帳戶|Elsa帳戶|Ben代墊|Ariel代墊|中信銀行共用""), REGEXMATCH(F13016, ""Ben帳戶|Elsa帳戶|Ben代墊|Ariel代墊|中信銀行共用"")), ""內部轉帳(忽略)"",
  AND(E13016&lt;&gt;"""", F13016&lt;&gt;"&amp;""""", NOT(REGEXMATCH(C13016, ""薪資""))), ""內部轉帳(忽略)"",
  REGEXMATCH(C13016, ""薪資""), ""薪資變動(不計入)"",
  REGEXMATCH(C13016, ""押金""), ""押金往來"",
  AND(E13016&lt;&gt;"""", F13016=""""), ""真實支出"",
  AND(E13016="""", F13016&lt;&gt;""""), ""真實收入"",
  TRUE, ""其他""
)"),"其他")</f>
        <v>其他</v>
      </c>
      <c r="K13016" s="270" t="str">
        <f t="shared" si="2"/>
        <v/>
      </c>
      <c r="L13016">
        <f t="shared" si="3"/>
        <v>0</v>
      </c>
    </row>
    <row r="13017">
      <c r="A13017" s="107"/>
      <c r="D13017" s="270"/>
      <c r="H13017" s="106" t="str">
        <f t="shared" si="1"/>
        <v/>
      </c>
      <c r="J13017" t="str">
        <f>IFERROR(__xludf.DUMMYFUNCTION("IFS(
  AND(REGEXMATCH(E13017, ""台銀籌備帳戶|玉山帳戶""), REGEXMATCH(C13017, ""薪資"")), ""分潤支出"",
  AND(REGEXMATCH(E13017, ""Ben帳戶|Elsa帳戶|Ben代墊|Ariel代墊|中信銀行共用""), REGEXMATCH(F13017, ""Ben帳戶|Elsa帳戶|Ben代墊|Ariel代墊|中信銀行共用"")), ""內部轉帳(忽略)"",
  AND(E13017&lt;&gt;"""", F13017&lt;&gt;"&amp;""""", NOT(REGEXMATCH(C13017, ""薪資""))), ""內部轉帳(忽略)"",
  REGEXMATCH(C13017, ""薪資""), ""薪資變動(不計入)"",
  REGEXMATCH(C13017, ""押金""), ""押金往來"",
  AND(E13017&lt;&gt;"""", F13017=""""), ""真實支出"",
  AND(E13017="""", F13017&lt;&gt;""""), ""真實收入"",
  TRUE, ""其他""
)"),"其他")</f>
        <v>其他</v>
      </c>
      <c r="K13017" s="270" t="str">
        <f t="shared" si="2"/>
        <v/>
      </c>
      <c r="L13017">
        <f t="shared" si="3"/>
        <v>0</v>
      </c>
    </row>
    <row r="13018">
      <c r="A13018" s="107"/>
      <c r="D13018" s="270"/>
      <c r="H13018" s="106" t="str">
        <f t="shared" si="1"/>
        <v/>
      </c>
      <c r="J13018" t="str">
        <f>IFERROR(__xludf.DUMMYFUNCTION("IFS(
  AND(REGEXMATCH(E13018, ""台銀籌備帳戶|玉山帳戶""), REGEXMATCH(C13018, ""薪資"")), ""分潤支出"",
  AND(REGEXMATCH(E13018, ""Ben帳戶|Elsa帳戶|Ben代墊|Ariel代墊|中信銀行共用""), REGEXMATCH(F13018, ""Ben帳戶|Elsa帳戶|Ben代墊|Ariel代墊|中信銀行共用"")), ""內部轉帳(忽略)"",
  AND(E13018&lt;&gt;"""", F13018&lt;&gt;"&amp;""""", NOT(REGEXMATCH(C13018, ""薪資""))), ""內部轉帳(忽略)"",
  REGEXMATCH(C13018, ""薪資""), ""薪資變動(不計入)"",
  REGEXMATCH(C13018, ""押金""), ""押金往來"",
  AND(E13018&lt;&gt;"""", F13018=""""), ""真實支出"",
  AND(E13018="""", F13018&lt;&gt;""""), ""真實收入"",
  TRUE, ""其他""
)"),"其他")</f>
        <v>其他</v>
      </c>
      <c r="K13018" s="270" t="str">
        <f t="shared" si="2"/>
        <v/>
      </c>
      <c r="L13018">
        <f t="shared" si="3"/>
        <v>0</v>
      </c>
    </row>
    <row r="13019">
      <c r="A13019" s="107"/>
      <c r="D13019" s="270"/>
      <c r="H13019" s="106" t="str">
        <f t="shared" si="1"/>
        <v/>
      </c>
      <c r="J13019" t="str">
        <f>IFERROR(__xludf.DUMMYFUNCTION("IFS(
  AND(REGEXMATCH(E13019, ""台銀籌備帳戶|玉山帳戶""), REGEXMATCH(C13019, ""薪資"")), ""分潤支出"",
  AND(REGEXMATCH(E13019, ""Ben帳戶|Elsa帳戶|Ben代墊|Ariel代墊|中信銀行共用""), REGEXMATCH(F13019, ""Ben帳戶|Elsa帳戶|Ben代墊|Ariel代墊|中信銀行共用"")), ""內部轉帳(忽略)"",
  AND(E13019&lt;&gt;"""", F13019&lt;&gt;"&amp;""""", NOT(REGEXMATCH(C13019, ""薪資""))), ""內部轉帳(忽略)"",
  REGEXMATCH(C13019, ""薪資""), ""薪資變動(不計入)"",
  REGEXMATCH(C13019, ""押金""), ""押金往來"",
  AND(E13019&lt;&gt;"""", F13019=""""), ""真實支出"",
  AND(E13019="""", F13019&lt;&gt;""""), ""真實收入"",
  TRUE, ""其他""
)"),"其他")</f>
        <v>其他</v>
      </c>
      <c r="K13019" s="270" t="str">
        <f t="shared" si="2"/>
        <v/>
      </c>
      <c r="L13019">
        <f t="shared" si="3"/>
        <v>0</v>
      </c>
    </row>
    <row r="13020">
      <c r="A13020" s="107"/>
      <c r="D13020" s="270"/>
      <c r="H13020" s="106" t="str">
        <f t="shared" si="1"/>
        <v/>
      </c>
      <c r="J13020" t="str">
        <f>IFERROR(__xludf.DUMMYFUNCTION("IFS(
  AND(REGEXMATCH(E13020, ""台銀籌備帳戶|玉山帳戶""), REGEXMATCH(C13020, ""薪資"")), ""分潤支出"",
  AND(REGEXMATCH(E13020, ""Ben帳戶|Elsa帳戶|Ben代墊|Ariel代墊|中信銀行共用""), REGEXMATCH(F13020, ""Ben帳戶|Elsa帳戶|Ben代墊|Ariel代墊|中信銀行共用"")), ""內部轉帳(忽略)"",
  AND(E13020&lt;&gt;"""", F13020&lt;&gt;"&amp;""""", NOT(REGEXMATCH(C13020, ""薪資""))), ""內部轉帳(忽略)"",
  REGEXMATCH(C13020, ""薪資""), ""薪資變動(不計入)"",
  REGEXMATCH(C13020, ""押金""), ""押金往來"",
  AND(E13020&lt;&gt;"""", F13020=""""), ""真實支出"",
  AND(E13020="""", F13020&lt;&gt;""""), ""真實收入"",
  TRUE, ""其他""
)"),"其他")</f>
        <v>其他</v>
      </c>
      <c r="K13020" s="270" t="str">
        <f t="shared" si="2"/>
        <v/>
      </c>
      <c r="L13020">
        <f t="shared" si="3"/>
        <v>0</v>
      </c>
    </row>
    <row r="13021">
      <c r="A13021" s="107"/>
      <c r="D13021" s="270"/>
      <c r="H13021" s="106" t="str">
        <f t="shared" si="1"/>
        <v/>
      </c>
      <c r="J13021" t="str">
        <f>IFERROR(__xludf.DUMMYFUNCTION("IFS(
  AND(REGEXMATCH(E13021, ""台銀籌備帳戶|玉山帳戶""), REGEXMATCH(C13021, ""薪資"")), ""分潤支出"",
  AND(REGEXMATCH(E13021, ""Ben帳戶|Elsa帳戶|Ben代墊|Ariel代墊|中信銀行共用""), REGEXMATCH(F13021, ""Ben帳戶|Elsa帳戶|Ben代墊|Ariel代墊|中信銀行共用"")), ""內部轉帳(忽略)"",
  AND(E13021&lt;&gt;"""", F13021&lt;&gt;"&amp;""""", NOT(REGEXMATCH(C13021, ""薪資""))), ""內部轉帳(忽略)"",
  REGEXMATCH(C13021, ""薪資""), ""薪資變動(不計入)"",
  REGEXMATCH(C13021, ""押金""), ""押金往來"",
  AND(E13021&lt;&gt;"""", F13021=""""), ""真實支出"",
  AND(E13021="""", F13021&lt;&gt;""""), ""真實收入"",
  TRUE, ""其他""
)"),"其他")</f>
        <v>其他</v>
      </c>
      <c r="K13021" s="270" t="str">
        <f t="shared" si="2"/>
        <v/>
      </c>
      <c r="L13021">
        <f t="shared" si="3"/>
        <v>0</v>
      </c>
    </row>
    <row r="13022">
      <c r="A13022" s="107"/>
      <c r="D13022" s="270"/>
      <c r="H13022" s="106" t="str">
        <f t="shared" si="1"/>
        <v/>
      </c>
      <c r="J13022" t="str">
        <f>IFERROR(__xludf.DUMMYFUNCTION("IFS(
  AND(REGEXMATCH(E13022, ""台銀籌備帳戶|玉山帳戶""), REGEXMATCH(C13022, ""薪資"")), ""分潤支出"",
  AND(REGEXMATCH(E13022, ""Ben帳戶|Elsa帳戶|Ben代墊|Ariel代墊|中信銀行共用""), REGEXMATCH(F13022, ""Ben帳戶|Elsa帳戶|Ben代墊|Ariel代墊|中信銀行共用"")), ""內部轉帳(忽略)"",
  AND(E13022&lt;&gt;"""", F13022&lt;&gt;"&amp;""""", NOT(REGEXMATCH(C13022, ""薪資""))), ""內部轉帳(忽略)"",
  REGEXMATCH(C13022, ""薪資""), ""薪資變動(不計入)"",
  REGEXMATCH(C13022, ""押金""), ""押金往來"",
  AND(E13022&lt;&gt;"""", F13022=""""), ""真實支出"",
  AND(E13022="""", F13022&lt;&gt;""""), ""真實收入"",
  TRUE, ""其他""
)"),"其他")</f>
        <v>其他</v>
      </c>
      <c r="K13022" s="270" t="str">
        <f t="shared" si="2"/>
        <v/>
      </c>
      <c r="L13022">
        <f t="shared" si="3"/>
        <v>0</v>
      </c>
    </row>
    <row r="13023">
      <c r="A13023" s="107"/>
      <c r="D13023" s="270"/>
      <c r="H13023" s="106" t="str">
        <f t="shared" si="1"/>
        <v/>
      </c>
      <c r="J13023" t="str">
        <f>IFERROR(__xludf.DUMMYFUNCTION("IFS(
  AND(REGEXMATCH(E13023, ""台銀籌備帳戶|玉山帳戶""), REGEXMATCH(C13023, ""薪資"")), ""分潤支出"",
  AND(REGEXMATCH(E13023, ""Ben帳戶|Elsa帳戶|Ben代墊|Ariel代墊|中信銀行共用""), REGEXMATCH(F13023, ""Ben帳戶|Elsa帳戶|Ben代墊|Ariel代墊|中信銀行共用"")), ""內部轉帳(忽略)"",
  AND(E13023&lt;&gt;"""", F13023&lt;&gt;"&amp;""""", NOT(REGEXMATCH(C13023, ""薪資""))), ""內部轉帳(忽略)"",
  REGEXMATCH(C13023, ""薪資""), ""薪資變動(不計入)"",
  REGEXMATCH(C13023, ""押金""), ""押金往來"",
  AND(E13023&lt;&gt;"""", F13023=""""), ""真實支出"",
  AND(E13023="""", F13023&lt;&gt;""""), ""真實收入"",
  TRUE, ""其他""
)"),"其他")</f>
        <v>其他</v>
      </c>
      <c r="K13023" s="270" t="str">
        <f t="shared" si="2"/>
        <v/>
      </c>
      <c r="L13023">
        <f t="shared" si="3"/>
        <v>0</v>
      </c>
    </row>
    <row r="13024">
      <c r="A13024" s="107"/>
      <c r="D13024" s="270"/>
      <c r="H13024" s="106" t="str">
        <f t="shared" si="1"/>
        <v/>
      </c>
      <c r="J13024" t="str">
        <f>IFERROR(__xludf.DUMMYFUNCTION("IFS(
  AND(REGEXMATCH(E13024, ""台銀籌備帳戶|玉山帳戶""), REGEXMATCH(C13024, ""薪資"")), ""分潤支出"",
  AND(REGEXMATCH(E13024, ""Ben帳戶|Elsa帳戶|Ben代墊|Ariel代墊|中信銀行共用""), REGEXMATCH(F13024, ""Ben帳戶|Elsa帳戶|Ben代墊|Ariel代墊|中信銀行共用"")), ""內部轉帳(忽略)"",
  AND(E13024&lt;&gt;"""", F13024&lt;&gt;"&amp;""""", NOT(REGEXMATCH(C13024, ""薪資""))), ""內部轉帳(忽略)"",
  REGEXMATCH(C13024, ""薪資""), ""薪資變動(不計入)"",
  REGEXMATCH(C13024, ""押金""), ""押金往來"",
  AND(E13024&lt;&gt;"""", F13024=""""), ""真實支出"",
  AND(E13024="""", F13024&lt;&gt;""""), ""真實收入"",
  TRUE, ""其他""
)"),"其他")</f>
        <v>其他</v>
      </c>
      <c r="K13024" s="270" t="str">
        <f t="shared" si="2"/>
        <v/>
      </c>
      <c r="L13024">
        <f t="shared" si="3"/>
        <v>0</v>
      </c>
    </row>
    <row r="13025">
      <c r="A13025" s="107"/>
      <c r="D13025" s="270"/>
      <c r="H13025" s="106" t="str">
        <f t="shared" si="1"/>
        <v/>
      </c>
      <c r="J13025" t="str">
        <f>IFERROR(__xludf.DUMMYFUNCTION("IFS(
  AND(REGEXMATCH(E13025, ""台銀籌備帳戶|玉山帳戶""), REGEXMATCH(C13025, ""薪資"")), ""分潤支出"",
  AND(REGEXMATCH(E13025, ""Ben帳戶|Elsa帳戶|Ben代墊|Ariel代墊|中信銀行共用""), REGEXMATCH(F13025, ""Ben帳戶|Elsa帳戶|Ben代墊|Ariel代墊|中信銀行共用"")), ""內部轉帳(忽略)"",
  AND(E13025&lt;&gt;"""", F13025&lt;&gt;"&amp;""""", NOT(REGEXMATCH(C13025, ""薪資""))), ""內部轉帳(忽略)"",
  REGEXMATCH(C13025, ""薪資""), ""薪資變動(不計入)"",
  REGEXMATCH(C13025, ""押金""), ""押金往來"",
  AND(E13025&lt;&gt;"""", F13025=""""), ""真實支出"",
  AND(E13025="""", F13025&lt;&gt;""""), ""真實收入"",
  TRUE, ""其他""
)"),"其他")</f>
        <v>其他</v>
      </c>
      <c r="K13025" s="270" t="str">
        <f t="shared" si="2"/>
        <v/>
      </c>
      <c r="L13025">
        <f t="shared" si="3"/>
        <v>0</v>
      </c>
    </row>
    <row r="13026">
      <c r="A13026" s="107"/>
      <c r="D13026" s="270"/>
      <c r="H13026" s="106" t="str">
        <f t="shared" si="1"/>
        <v/>
      </c>
      <c r="J13026" t="str">
        <f>IFERROR(__xludf.DUMMYFUNCTION("IFS(
  AND(REGEXMATCH(E13026, ""台銀籌備帳戶|玉山帳戶""), REGEXMATCH(C13026, ""薪資"")), ""分潤支出"",
  AND(REGEXMATCH(E13026, ""Ben帳戶|Elsa帳戶|Ben代墊|Ariel代墊|中信銀行共用""), REGEXMATCH(F13026, ""Ben帳戶|Elsa帳戶|Ben代墊|Ariel代墊|中信銀行共用"")), ""內部轉帳(忽略)"",
  AND(E13026&lt;&gt;"""", F13026&lt;&gt;"&amp;""""", NOT(REGEXMATCH(C13026, ""薪資""))), ""內部轉帳(忽略)"",
  REGEXMATCH(C13026, ""薪資""), ""薪資變動(不計入)"",
  REGEXMATCH(C13026, ""押金""), ""押金往來"",
  AND(E13026&lt;&gt;"""", F13026=""""), ""真實支出"",
  AND(E13026="""", F13026&lt;&gt;""""), ""真實收入"",
  TRUE, ""其他""
)"),"其他")</f>
        <v>其他</v>
      </c>
      <c r="K13026" s="270" t="str">
        <f t="shared" si="2"/>
        <v/>
      </c>
      <c r="L13026">
        <f t="shared" si="3"/>
        <v>0</v>
      </c>
    </row>
    <row r="13027">
      <c r="A13027" s="107"/>
      <c r="D13027" s="270"/>
      <c r="H13027" s="106" t="str">
        <f t="shared" si="1"/>
        <v/>
      </c>
      <c r="J13027" t="str">
        <f>IFERROR(__xludf.DUMMYFUNCTION("IFS(
  AND(REGEXMATCH(E13027, ""台銀籌備帳戶|玉山帳戶""), REGEXMATCH(C13027, ""薪資"")), ""分潤支出"",
  AND(REGEXMATCH(E13027, ""Ben帳戶|Elsa帳戶|Ben代墊|Ariel代墊|中信銀行共用""), REGEXMATCH(F13027, ""Ben帳戶|Elsa帳戶|Ben代墊|Ariel代墊|中信銀行共用"")), ""內部轉帳(忽略)"",
  AND(E13027&lt;&gt;"""", F13027&lt;&gt;"&amp;""""", NOT(REGEXMATCH(C13027, ""薪資""))), ""內部轉帳(忽略)"",
  REGEXMATCH(C13027, ""薪資""), ""薪資變動(不計入)"",
  REGEXMATCH(C13027, ""押金""), ""押金往來"",
  AND(E13027&lt;&gt;"""", F13027=""""), ""真實支出"",
  AND(E13027="""", F13027&lt;&gt;""""), ""真實收入"",
  TRUE, ""其他""
)"),"其他")</f>
        <v>其他</v>
      </c>
      <c r="K13027" s="270" t="str">
        <f t="shared" si="2"/>
        <v/>
      </c>
      <c r="L13027">
        <f t="shared" si="3"/>
        <v>0</v>
      </c>
    </row>
    <row r="13028">
      <c r="A13028" s="107"/>
      <c r="D13028" s="270"/>
      <c r="H13028" s="106" t="str">
        <f t="shared" si="1"/>
        <v/>
      </c>
      <c r="J13028" t="str">
        <f>IFERROR(__xludf.DUMMYFUNCTION("IFS(
  AND(REGEXMATCH(E13028, ""台銀籌備帳戶|玉山帳戶""), REGEXMATCH(C13028, ""薪資"")), ""分潤支出"",
  AND(REGEXMATCH(E13028, ""Ben帳戶|Elsa帳戶|Ben代墊|Ariel代墊|中信銀行共用""), REGEXMATCH(F13028, ""Ben帳戶|Elsa帳戶|Ben代墊|Ariel代墊|中信銀行共用"")), ""內部轉帳(忽略)"",
  AND(E13028&lt;&gt;"""", F13028&lt;&gt;"&amp;""""", NOT(REGEXMATCH(C13028, ""薪資""))), ""內部轉帳(忽略)"",
  REGEXMATCH(C13028, ""薪資""), ""薪資變動(不計入)"",
  REGEXMATCH(C13028, ""押金""), ""押金往來"",
  AND(E13028&lt;&gt;"""", F13028=""""), ""真實支出"",
  AND(E13028="""", F13028&lt;&gt;""""), ""真實收入"",
  TRUE, ""其他""
)"),"其他")</f>
        <v>其他</v>
      </c>
      <c r="K13028" s="270" t="str">
        <f t="shared" si="2"/>
        <v/>
      </c>
      <c r="L13028">
        <f t="shared" si="3"/>
        <v>0</v>
      </c>
    </row>
    <row r="13029">
      <c r="A13029" s="107"/>
      <c r="D13029" s="270"/>
      <c r="H13029" s="106" t="str">
        <f t="shared" si="1"/>
        <v/>
      </c>
      <c r="J13029" t="str">
        <f>IFERROR(__xludf.DUMMYFUNCTION("IFS(
  AND(REGEXMATCH(E13029, ""台銀籌備帳戶|玉山帳戶""), REGEXMATCH(C13029, ""薪資"")), ""分潤支出"",
  AND(REGEXMATCH(E13029, ""Ben帳戶|Elsa帳戶|Ben代墊|Ariel代墊|中信銀行共用""), REGEXMATCH(F13029, ""Ben帳戶|Elsa帳戶|Ben代墊|Ariel代墊|中信銀行共用"")), ""內部轉帳(忽略)"",
  AND(E13029&lt;&gt;"""", F13029&lt;&gt;"&amp;""""", NOT(REGEXMATCH(C13029, ""薪資""))), ""內部轉帳(忽略)"",
  REGEXMATCH(C13029, ""薪資""), ""薪資變動(不計入)"",
  REGEXMATCH(C13029, ""押金""), ""押金往來"",
  AND(E13029&lt;&gt;"""", F13029=""""), ""真實支出"",
  AND(E13029="""", F13029&lt;&gt;""""), ""真實收入"",
  TRUE, ""其他""
)"),"其他")</f>
        <v>其他</v>
      </c>
      <c r="K13029" s="270" t="str">
        <f t="shared" si="2"/>
        <v/>
      </c>
      <c r="L13029">
        <f t="shared" si="3"/>
        <v>0</v>
      </c>
    </row>
    <row r="13030">
      <c r="A13030" s="107"/>
      <c r="D13030" s="270"/>
      <c r="H13030" s="106" t="str">
        <f t="shared" si="1"/>
        <v/>
      </c>
      <c r="J13030" t="str">
        <f>IFERROR(__xludf.DUMMYFUNCTION("IFS(
  AND(REGEXMATCH(E13030, ""台銀籌備帳戶|玉山帳戶""), REGEXMATCH(C13030, ""薪資"")), ""分潤支出"",
  AND(REGEXMATCH(E13030, ""Ben帳戶|Elsa帳戶|Ben代墊|Ariel代墊|中信銀行共用""), REGEXMATCH(F13030, ""Ben帳戶|Elsa帳戶|Ben代墊|Ariel代墊|中信銀行共用"")), ""內部轉帳(忽略)"",
  AND(E13030&lt;&gt;"""", F13030&lt;&gt;"&amp;""""", NOT(REGEXMATCH(C13030, ""薪資""))), ""內部轉帳(忽略)"",
  REGEXMATCH(C13030, ""薪資""), ""薪資變動(不計入)"",
  REGEXMATCH(C13030, ""押金""), ""押金往來"",
  AND(E13030&lt;&gt;"""", F13030=""""), ""真實支出"",
  AND(E13030="""", F13030&lt;&gt;""""), ""真實收入"",
  TRUE, ""其他""
)"),"其他")</f>
        <v>其他</v>
      </c>
      <c r="K13030" s="270" t="str">
        <f t="shared" si="2"/>
        <v/>
      </c>
      <c r="L13030">
        <f t="shared" si="3"/>
        <v>0</v>
      </c>
    </row>
    <row r="13031">
      <c r="A13031" s="107"/>
      <c r="D13031" s="270"/>
      <c r="H13031" s="106" t="str">
        <f t="shared" si="1"/>
        <v/>
      </c>
      <c r="J13031" t="str">
        <f>IFERROR(__xludf.DUMMYFUNCTION("IFS(
  AND(REGEXMATCH(E13031, ""台銀籌備帳戶|玉山帳戶""), REGEXMATCH(C13031, ""薪資"")), ""分潤支出"",
  AND(REGEXMATCH(E13031, ""Ben帳戶|Elsa帳戶|Ben代墊|Ariel代墊|中信銀行共用""), REGEXMATCH(F13031, ""Ben帳戶|Elsa帳戶|Ben代墊|Ariel代墊|中信銀行共用"")), ""內部轉帳(忽略)"",
  AND(E13031&lt;&gt;"""", F13031&lt;&gt;"&amp;""""", NOT(REGEXMATCH(C13031, ""薪資""))), ""內部轉帳(忽略)"",
  REGEXMATCH(C13031, ""薪資""), ""薪資變動(不計入)"",
  REGEXMATCH(C13031, ""押金""), ""押金往來"",
  AND(E13031&lt;&gt;"""", F13031=""""), ""真實支出"",
  AND(E13031="""", F13031&lt;&gt;""""), ""真實收入"",
  TRUE, ""其他""
)"),"其他")</f>
        <v>其他</v>
      </c>
      <c r="K13031" s="270" t="str">
        <f t="shared" si="2"/>
        <v/>
      </c>
      <c r="L13031">
        <f t="shared" si="3"/>
        <v>0</v>
      </c>
    </row>
    <row r="13032">
      <c r="A13032" s="107"/>
      <c r="D13032" s="270"/>
      <c r="H13032" s="106" t="str">
        <f t="shared" si="1"/>
        <v/>
      </c>
      <c r="J13032" t="str">
        <f>IFERROR(__xludf.DUMMYFUNCTION("IFS(
  AND(REGEXMATCH(E13032, ""台銀籌備帳戶|玉山帳戶""), REGEXMATCH(C13032, ""薪資"")), ""分潤支出"",
  AND(REGEXMATCH(E13032, ""Ben帳戶|Elsa帳戶|Ben代墊|Ariel代墊|中信銀行共用""), REGEXMATCH(F13032, ""Ben帳戶|Elsa帳戶|Ben代墊|Ariel代墊|中信銀行共用"")), ""內部轉帳(忽略)"",
  AND(E13032&lt;&gt;"""", F13032&lt;&gt;"&amp;""""", NOT(REGEXMATCH(C13032, ""薪資""))), ""內部轉帳(忽略)"",
  REGEXMATCH(C13032, ""薪資""), ""薪資變動(不計入)"",
  REGEXMATCH(C13032, ""押金""), ""押金往來"",
  AND(E13032&lt;&gt;"""", F13032=""""), ""真實支出"",
  AND(E13032="""", F13032&lt;&gt;""""), ""真實收入"",
  TRUE, ""其他""
)"),"其他")</f>
        <v>其他</v>
      </c>
      <c r="K13032" s="270" t="str">
        <f t="shared" si="2"/>
        <v/>
      </c>
      <c r="L13032">
        <f t="shared" si="3"/>
        <v>0</v>
      </c>
    </row>
    <row r="13033">
      <c r="A13033" s="107"/>
      <c r="D13033" s="270"/>
      <c r="H13033" s="106" t="str">
        <f t="shared" si="1"/>
        <v/>
      </c>
      <c r="J13033" t="str">
        <f>IFERROR(__xludf.DUMMYFUNCTION("IFS(
  AND(REGEXMATCH(E13033, ""台銀籌備帳戶|玉山帳戶""), REGEXMATCH(C13033, ""薪資"")), ""分潤支出"",
  AND(REGEXMATCH(E13033, ""Ben帳戶|Elsa帳戶|Ben代墊|Ariel代墊|中信銀行共用""), REGEXMATCH(F13033, ""Ben帳戶|Elsa帳戶|Ben代墊|Ariel代墊|中信銀行共用"")), ""內部轉帳(忽略)"",
  AND(E13033&lt;&gt;"""", F13033&lt;&gt;"&amp;""""", NOT(REGEXMATCH(C13033, ""薪資""))), ""內部轉帳(忽略)"",
  REGEXMATCH(C13033, ""薪資""), ""薪資變動(不計入)"",
  REGEXMATCH(C13033, ""押金""), ""押金往來"",
  AND(E13033&lt;&gt;"""", F13033=""""), ""真實支出"",
  AND(E13033="""", F13033&lt;&gt;""""), ""真實收入"",
  TRUE, ""其他""
)"),"其他")</f>
        <v>其他</v>
      </c>
      <c r="K13033" s="270" t="str">
        <f t="shared" si="2"/>
        <v/>
      </c>
      <c r="L13033">
        <f t="shared" si="3"/>
        <v>0</v>
      </c>
    </row>
    <row r="13034">
      <c r="A13034" s="107"/>
      <c r="D13034" s="270"/>
      <c r="H13034" s="106" t="str">
        <f t="shared" si="1"/>
        <v/>
      </c>
      <c r="J13034" t="str">
        <f>IFERROR(__xludf.DUMMYFUNCTION("IFS(
  AND(REGEXMATCH(E13034, ""台銀籌備帳戶|玉山帳戶""), REGEXMATCH(C13034, ""薪資"")), ""分潤支出"",
  AND(REGEXMATCH(E13034, ""Ben帳戶|Elsa帳戶|Ben代墊|Ariel代墊|中信銀行共用""), REGEXMATCH(F13034, ""Ben帳戶|Elsa帳戶|Ben代墊|Ariel代墊|中信銀行共用"")), ""內部轉帳(忽略)"",
  AND(E13034&lt;&gt;"""", F13034&lt;&gt;"&amp;""""", NOT(REGEXMATCH(C13034, ""薪資""))), ""內部轉帳(忽略)"",
  REGEXMATCH(C13034, ""薪資""), ""薪資變動(不計入)"",
  REGEXMATCH(C13034, ""押金""), ""押金往來"",
  AND(E13034&lt;&gt;"""", F13034=""""), ""真實支出"",
  AND(E13034="""", F13034&lt;&gt;""""), ""真實收入"",
  TRUE, ""其他""
)"),"其他")</f>
        <v>其他</v>
      </c>
      <c r="K13034" s="270" t="str">
        <f t="shared" si="2"/>
        <v/>
      </c>
      <c r="L13034">
        <f t="shared" si="3"/>
        <v>0</v>
      </c>
    </row>
    <row r="13035">
      <c r="A13035" s="107"/>
      <c r="D13035" s="270"/>
      <c r="H13035" s="106" t="str">
        <f t="shared" si="1"/>
        <v/>
      </c>
      <c r="J13035" t="str">
        <f>IFERROR(__xludf.DUMMYFUNCTION("IFS(
  AND(REGEXMATCH(E13035, ""台銀籌備帳戶|玉山帳戶""), REGEXMATCH(C13035, ""薪資"")), ""分潤支出"",
  AND(REGEXMATCH(E13035, ""Ben帳戶|Elsa帳戶|Ben代墊|Ariel代墊|中信銀行共用""), REGEXMATCH(F13035, ""Ben帳戶|Elsa帳戶|Ben代墊|Ariel代墊|中信銀行共用"")), ""內部轉帳(忽略)"",
  AND(E13035&lt;&gt;"""", F13035&lt;&gt;"&amp;""""", NOT(REGEXMATCH(C13035, ""薪資""))), ""內部轉帳(忽略)"",
  REGEXMATCH(C13035, ""薪資""), ""薪資變動(不計入)"",
  REGEXMATCH(C13035, ""押金""), ""押金往來"",
  AND(E13035&lt;&gt;"""", F13035=""""), ""真實支出"",
  AND(E13035="""", F13035&lt;&gt;""""), ""真實收入"",
  TRUE, ""其他""
)"),"其他")</f>
        <v>其他</v>
      </c>
      <c r="K13035" s="270" t="str">
        <f t="shared" si="2"/>
        <v/>
      </c>
      <c r="L13035">
        <f t="shared" si="3"/>
        <v>0</v>
      </c>
    </row>
    <row r="13036">
      <c r="A13036" s="107"/>
      <c r="D13036" s="270"/>
      <c r="H13036" s="106" t="str">
        <f t="shared" si="1"/>
        <v/>
      </c>
      <c r="J13036" t="str">
        <f>IFERROR(__xludf.DUMMYFUNCTION("IFS(
  AND(REGEXMATCH(E13036, ""台銀籌備帳戶|玉山帳戶""), REGEXMATCH(C13036, ""薪資"")), ""分潤支出"",
  AND(REGEXMATCH(E13036, ""Ben帳戶|Elsa帳戶|Ben代墊|Ariel代墊|中信銀行共用""), REGEXMATCH(F13036, ""Ben帳戶|Elsa帳戶|Ben代墊|Ariel代墊|中信銀行共用"")), ""內部轉帳(忽略)"",
  AND(E13036&lt;&gt;"""", F13036&lt;&gt;"&amp;""""", NOT(REGEXMATCH(C13036, ""薪資""))), ""內部轉帳(忽略)"",
  REGEXMATCH(C13036, ""薪資""), ""薪資變動(不計入)"",
  REGEXMATCH(C13036, ""押金""), ""押金往來"",
  AND(E13036&lt;&gt;"""", F13036=""""), ""真實支出"",
  AND(E13036="""", F13036&lt;&gt;""""), ""真實收入"",
  TRUE, ""其他""
)"),"其他")</f>
        <v>其他</v>
      </c>
      <c r="K13036" s="270" t="str">
        <f t="shared" si="2"/>
        <v/>
      </c>
      <c r="L13036">
        <f t="shared" si="3"/>
        <v>0</v>
      </c>
    </row>
    <row r="13037">
      <c r="A13037" s="107"/>
      <c r="D13037" s="270"/>
      <c r="H13037" s="106" t="str">
        <f t="shared" si="1"/>
        <v/>
      </c>
      <c r="J13037" t="str">
        <f>IFERROR(__xludf.DUMMYFUNCTION("IFS(
  AND(REGEXMATCH(E13037, ""台銀籌備帳戶|玉山帳戶""), REGEXMATCH(C13037, ""薪資"")), ""分潤支出"",
  AND(REGEXMATCH(E13037, ""Ben帳戶|Elsa帳戶|Ben代墊|Ariel代墊|中信銀行共用""), REGEXMATCH(F13037, ""Ben帳戶|Elsa帳戶|Ben代墊|Ariel代墊|中信銀行共用"")), ""內部轉帳(忽略)"",
  AND(E13037&lt;&gt;"""", F13037&lt;&gt;"&amp;""""", NOT(REGEXMATCH(C13037, ""薪資""))), ""內部轉帳(忽略)"",
  REGEXMATCH(C13037, ""薪資""), ""薪資變動(不計入)"",
  REGEXMATCH(C13037, ""押金""), ""押金往來"",
  AND(E13037&lt;&gt;"""", F13037=""""), ""真實支出"",
  AND(E13037="""", F13037&lt;&gt;""""), ""真實收入"",
  TRUE, ""其他""
)"),"其他")</f>
        <v>其他</v>
      </c>
      <c r="K13037" s="270" t="str">
        <f t="shared" si="2"/>
        <v/>
      </c>
      <c r="L13037">
        <f t="shared" si="3"/>
        <v>0</v>
      </c>
    </row>
    <row r="13038">
      <c r="A13038" s="107"/>
      <c r="D13038" s="270"/>
      <c r="H13038" s="106" t="str">
        <f t="shared" si="1"/>
        <v/>
      </c>
      <c r="J13038" t="str">
        <f>IFERROR(__xludf.DUMMYFUNCTION("IFS(
  AND(REGEXMATCH(E13038, ""台銀籌備帳戶|玉山帳戶""), REGEXMATCH(C13038, ""薪資"")), ""分潤支出"",
  AND(REGEXMATCH(E13038, ""Ben帳戶|Elsa帳戶|Ben代墊|Ariel代墊|中信銀行共用""), REGEXMATCH(F13038, ""Ben帳戶|Elsa帳戶|Ben代墊|Ariel代墊|中信銀行共用"")), ""內部轉帳(忽略)"",
  AND(E13038&lt;&gt;"""", F13038&lt;&gt;"&amp;""""", NOT(REGEXMATCH(C13038, ""薪資""))), ""內部轉帳(忽略)"",
  REGEXMATCH(C13038, ""薪資""), ""薪資變動(不計入)"",
  REGEXMATCH(C13038, ""押金""), ""押金往來"",
  AND(E13038&lt;&gt;"""", F13038=""""), ""真實支出"",
  AND(E13038="""", F13038&lt;&gt;""""), ""真實收入"",
  TRUE, ""其他""
)"),"其他")</f>
        <v>其他</v>
      </c>
      <c r="K13038" s="270" t="str">
        <f t="shared" si="2"/>
        <v/>
      </c>
      <c r="L13038">
        <f t="shared" si="3"/>
        <v>0</v>
      </c>
    </row>
    <row r="13039">
      <c r="A13039" s="107"/>
      <c r="D13039" s="270"/>
      <c r="H13039" s="106" t="str">
        <f t="shared" si="1"/>
        <v/>
      </c>
      <c r="J13039" t="str">
        <f>IFERROR(__xludf.DUMMYFUNCTION("IFS(
  AND(REGEXMATCH(E13039, ""台銀籌備帳戶|玉山帳戶""), REGEXMATCH(C13039, ""薪資"")), ""分潤支出"",
  AND(REGEXMATCH(E13039, ""Ben帳戶|Elsa帳戶|Ben代墊|Ariel代墊|中信銀行共用""), REGEXMATCH(F13039, ""Ben帳戶|Elsa帳戶|Ben代墊|Ariel代墊|中信銀行共用"")), ""內部轉帳(忽略)"",
  AND(E13039&lt;&gt;"""", F13039&lt;&gt;"&amp;""""", NOT(REGEXMATCH(C13039, ""薪資""))), ""內部轉帳(忽略)"",
  REGEXMATCH(C13039, ""薪資""), ""薪資變動(不計入)"",
  REGEXMATCH(C13039, ""押金""), ""押金往來"",
  AND(E13039&lt;&gt;"""", F13039=""""), ""真實支出"",
  AND(E13039="""", F13039&lt;&gt;""""), ""真實收入"",
  TRUE, ""其他""
)"),"其他")</f>
        <v>其他</v>
      </c>
      <c r="K13039" s="270" t="str">
        <f t="shared" si="2"/>
        <v/>
      </c>
      <c r="L13039">
        <f t="shared" si="3"/>
        <v>0</v>
      </c>
    </row>
    <row r="13040">
      <c r="A13040" s="107"/>
      <c r="D13040" s="270"/>
      <c r="H13040" s="106" t="str">
        <f t="shared" si="1"/>
        <v/>
      </c>
      <c r="J13040" t="str">
        <f>IFERROR(__xludf.DUMMYFUNCTION("IFS(
  AND(REGEXMATCH(E13040, ""台銀籌備帳戶|玉山帳戶""), REGEXMATCH(C13040, ""薪資"")), ""分潤支出"",
  AND(REGEXMATCH(E13040, ""Ben帳戶|Elsa帳戶|Ben代墊|Ariel代墊|中信銀行共用""), REGEXMATCH(F13040, ""Ben帳戶|Elsa帳戶|Ben代墊|Ariel代墊|中信銀行共用"")), ""內部轉帳(忽略)"",
  AND(E13040&lt;&gt;"""", F13040&lt;&gt;"&amp;""""", NOT(REGEXMATCH(C13040, ""薪資""))), ""內部轉帳(忽略)"",
  REGEXMATCH(C13040, ""薪資""), ""薪資變動(不計入)"",
  REGEXMATCH(C13040, ""押金""), ""押金往來"",
  AND(E13040&lt;&gt;"""", F13040=""""), ""真實支出"",
  AND(E13040="""", F13040&lt;&gt;""""), ""真實收入"",
  TRUE, ""其他""
)"),"其他")</f>
        <v>其他</v>
      </c>
      <c r="K13040" s="270" t="str">
        <f t="shared" si="2"/>
        <v/>
      </c>
      <c r="L13040">
        <f t="shared" si="3"/>
        <v>0</v>
      </c>
    </row>
    <row r="13041">
      <c r="A13041" s="107"/>
      <c r="D13041" s="270"/>
      <c r="H13041" s="106" t="str">
        <f t="shared" si="1"/>
        <v/>
      </c>
      <c r="J13041" t="str">
        <f>IFERROR(__xludf.DUMMYFUNCTION("IFS(
  AND(REGEXMATCH(E13041, ""台銀籌備帳戶|玉山帳戶""), REGEXMATCH(C13041, ""薪資"")), ""分潤支出"",
  AND(REGEXMATCH(E13041, ""Ben帳戶|Elsa帳戶|Ben代墊|Ariel代墊|中信銀行共用""), REGEXMATCH(F13041, ""Ben帳戶|Elsa帳戶|Ben代墊|Ariel代墊|中信銀行共用"")), ""內部轉帳(忽略)"",
  AND(E13041&lt;&gt;"""", F13041&lt;&gt;"&amp;""""", NOT(REGEXMATCH(C13041, ""薪資""))), ""內部轉帳(忽略)"",
  REGEXMATCH(C13041, ""薪資""), ""薪資變動(不計入)"",
  REGEXMATCH(C13041, ""押金""), ""押金往來"",
  AND(E13041&lt;&gt;"""", F13041=""""), ""真實支出"",
  AND(E13041="""", F13041&lt;&gt;""""), ""真實收入"",
  TRUE, ""其他""
)"),"其他")</f>
        <v>其他</v>
      </c>
      <c r="K13041" s="270" t="str">
        <f t="shared" si="2"/>
        <v/>
      </c>
      <c r="L13041">
        <f t="shared" si="3"/>
        <v>0</v>
      </c>
    </row>
    <row r="13042">
      <c r="A13042" s="107"/>
      <c r="D13042" s="270"/>
      <c r="H13042" s="106" t="str">
        <f t="shared" si="1"/>
        <v/>
      </c>
      <c r="J13042" t="str">
        <f>IFERROR(__xludf.DUMMYFUNCTION("IFS(
  AND(REGEXMATCH(E13042, ""台銀籌備帳戶|玉山帳戶""), REGEXMATCH(C13042, ""薪資"")), ""分潤支出"",
  AND(REGEXMATCH(E13042, ""Ben帳戶|Elsa帳戶|Ben代墊|Ariel代墊|中信銀行共用""), REGEXMATCH(F13042, ""Ben帳戶|Elsa帳戶|Ben代墊|Ariel代墊|中信銀行共用"")), ""內部轉帳(忽略)"",
  AND(E13042&lt;&gt;"""", F13042&lt;&gt;"&amp;""""", NOT(REGEXMATCH(C13042, ""薪資""))), ""內部轉帳(忽略)"",
  REGEXMATCH(C13042, ""薪資""), ""薪資變動(不計入)"",
  REGEXMATCH(C13042, ""押金""), ""押金往來"",
  AND(E13042&lt;&gt;"""", F13042=""""), ""真實支出"",
  AND(E13042="""", F13042&lt;&gt;""""), ""真實收入"",
  TRUE, ""其他""
)"),"其他")</f>
        <v>其他</v>
      </c>
      <c r="K13042" s="270" t="str">
        <f t="shared" si="2"/>
        <v/>
      </c>
      <c r="L13042">
        <f t="shared" si="3"/>
        <v>0</v>
      </c>
    </row>
    <row r="13043">
      <c r="A13043" s="107"/>
      <c r="D13043" s="270"/>
      <c r="H13043" s="106" t="str">
        <f t="shared" si="1"/>
        <v/>
      </c>
      <c r="J13043" t="str">
        <f>IFERROR(__xludf.DUMMYFUNCTION("IFS(
  AND(REGEXMATCH(E13043, ""台銀籌備帳戶|玉山帳戶""), REGEXMATCH(C13043, ""薪資"")), ""分潤支出"",
  AND(REGEXMATCH(E13043, ""Ben帳戶|Elsa帳戶|Ben代墊|Ariel代墊|中信銀行共用""), REGEXMATCH(F13043, ""Ben帳戶|Elsa帳戶|Ben代墊|Ariel代墊|中信銀行共用"")), ""內部轉帳(忽略)"",
  AND(E13043&lt;&gt;"""", F13043&lt;&gt;"&amp;""""", NOT(REGEXMATCH(C13043, ""薪資""))), ""內部轉帳(忽略)"",
  REGEXMATCH(C13043, ""薪資""), ""薪資變動(不計入)"",
  REGEXMATCH(C13043, ""押金""), ""押金往來"",
  AND(E13043&lt;&gt;"""", F13043=""""), ""真實支出"",
  AND(E13043="""", F13043&lt;&gt;""""), ""真實收入"",
  TRUE, ""其他""
)"),"其他")</f>
        <v>其他</v>
      </c>
      <c r="K13043" s="270" t="str">
        <f t="shared" si="2"/>
        <v/>
      </c>
      <c r="L13043">
        <f t="shared" si="3"/>
        <v>0</v>
      </c>
    </row>
    <row r="13044">
      <c r="A13044" s="107"/>
      <c r="D13044" s="270"/>
      <c r="H13044" s="106" t="str">
        <f t="shared" si="1"/>
        <v/>
      </c>
      <c r="J13044" t="str">
        <f>IFERROR(__xludf.DUMMYFUNCTION("IFS(
  AND(REGEXMATCH(E13044, ""台銀籌備帳戶|玉山帳戶""), REGEXMATCH(C13044, ""薪資"")), ""分潤支出"",
  AND(REGEXMATCH(E13044, ""Ben帳戶|Elsa帳戶|Ben代墊|Ariel代墊|中信銀行共用""), REGEXMATCH(F13044, ""Ben帳戶|Elsa帳戶|Ben代墊|Ariel代墊|中信銀行共用"")), ""內部轉帳(忽略)"",
  AND(E13044&lt;&gt;"""", F13044&lt;&gt;"&amp;""""", NOT(REGEXMATCH(C13044, ""薪資""))), ""內部轉帳(忽略)"",
  REGEXMATCH(C13044, ""薪資""), ""薪資變動(不計入)"",
  REGEXMATCH(C13044, ""押金""), ""押金往來"",
  AND(E13044&lt;&gt;"""", F13044=""""), ""真實支出"",
  AND(E13044="""", F13044&lt;&gt;""""), ""真實收入"",
  TRUE, ""其他""
)"),"其他")</f>
        <v>其他</v>
      </c>
      <c r="K13044" s="270" t="str">
        <f t="shared" si="2"/>
        <v/>
      </c>
      <c r="L13044">
        <f t="shared" si="3"/>
        <v>0</v>
      </c>
    </row>
    <row r="13045">
      <c r="A13045" s="107"/>
      <c r="D13045" s="270"/>
      <c r="H13045" s="106" t="str">
        <f t="shared" si="1"/>
        <v/>
      </c>
      <c r="J13045" t="str">
        <f>IFERROR(__xludf.DUMMYFUNCTION("IFS(
  AND(REGEXMATCH(E13045, ""台銀籌備帳戶|玉山帳戶""), REGEXMATCH(C13045, ""薪資"")), ""分潤支出"",
  AND(REGEXMATCH(E13045, ""Ben帳戶|Elsa帳戶|Ben代墊|Ariel代墊|中信銀行共用""), REGEXMATCH(F13045, ""Ben帳戶|Elsa帳戶|Ben代墊|Ariel代墊|中信銀行共用"")), ""內部轉帳(忽略)"",
  AND(E13045&lt;&gt;"""", F13045&lt;&gt;"&amp;""""", NOT(REGEXMATCH(C13045, ""薪資""))), ""內部轉帳(忽略)"",
  REGEXMATCH(C13045, ""薪資""), ""薪資變動(不計入)"",
  REGEXMATCH(C13045, ""押金""), ""押金往來"",
  AND(E13045&lt;&gt;"""", F13045=""""), ""真實支出"",
  AND(E13045="""", F13045&lt;&gt;""""), ""真實收入"",
  TRUE, ""其他""
)"),"其他")</f>
        <v>其他</v>
      </c>
      <c r="K13045" s="270" t="str">
        <f t="shared" si="2"/>
        <v/>
      </c>
      <c r="L13045">
        <f t="shared" si="3"/>
        <v>0</v>
      </c>
    </row>
    <row r="13046">
      <c r="A13046" s="107"/>
      <c r="D13046" s="270"/>
      <c r="H13046" s="106" t="str">
        <f t="shared" si="1"/>
        <v/>
      </c>
      <c r="J13046" t="str">
        <f>IFERROR(__xludf.DUMMYFUNCTION("IFS(
  AND(REGEXMATCH(E13046, ""台銀籌備帳戶|玉山帳戶""), REGEXMATCH(C13046, ""薪資"")), ""分潤支出"",
  AND(REGEXMATCH(E13046, ""Ben帳戶|Elsa帳戶|Ben代墊|Ariel代墊|中信銀行共用""), REGEXMATCH(F13046, ""Ben帳戶|Elsa帳戶|Ben代墊|Ariel代墊|中信銀行共用"")), ""內部轉帳(忽略)"",
  AND(E13046&lt;&gt;"""", F13046&lt;&gt;"&amp;""""", NOT(REGEXMATCH(C13046, ""薪資""))), ""內部轉帳(忽略)"",
  REGEXMATCH(C13046, ""薪資""), ""薪資變動(不計入)"",
  REGEXMATCH(C13046, ""押金""), ""押金往來"",
  AND(E13046&lt;&gt;"""", F13046=""""), ""真實支出"",
  AND(E13046="""", F13046&lt;&gt;""""), ""真實收入"",
  TRUE, ""其他""
)"),"其他")</f>
        <v>其他</v>
      </c>
      <c r="K13046" s="270" t="str">
        <f t="shared" si="2"/>
        <v/>
      </c>
      <c r="L13046">
        <f t="shared" si="3"/>
        <v>0</v>
      </c>
    </row>
    <row r="13047">
      <c r="A13047" s="107"/>
      <c r="D13047" s="270"/>
      <c r="H13047" s="106" t="str">
        <f t="shared" si="1"/>
        <v/>
      </c>
      <c r="J13047" t="str">
        <f>IFERROR(__xludf.DUMMYFUNCTION("IFS(
  AND(REGEXMATCH(E13047, ""台銀籌備帳戶|玉山帳戶""), REGEXMATCH(C13047, ""薪資"")), ""分潤支出"",
  AND(REGEXMATCH(E13047, ""Ben帳戶|Elsa帳戶|Ben代墊|Ariel代墊|中信銀行共用""), REGEXMATCH(F13047, ""Ben帳戶|Elsa帳戶|Ben代墊|Ariel代墊|中信銀行共用"")), ""內部轉帳(忽略)"",
  AND(E13047&lt;&gt;"""", F13047&lt;&gt;"&amp;""""", NOT(REGEXMATCH(C13047, ""薪資""))), ""內部轉帳(忽略)"",
  REGEXMATCH(C13047, ""薪資""), ""薪資變動(不計入)"",
  REGEXMATCH(C13047, ""押金""), ""押金往來"",
  AND(E13047&lt;&gt;"""", F13047=""""), ""真實支出"",
  AND(E13047="""", F13047&lt;&gt;""""), ""真實收入"",
  TRUE, ""其他""
)"),"其他")</f>
        <v>其他</v>
      </c>
      <c r="K13047" s="270" t="str">
        <f t="shared" si="2"/>
        <v/>
      </c>
      <c r="L13047">
        <f t="shared" si="3"/>
        <v>0</v>
      </c>
    </row>
    <row r="13048">
      <c r="A13048" s="107"/>
      <c r="D13048" s="270"/>
      <c r="H13048" s="106" t="str">
        <f t="shared" si="1"/>
        <v/>
      </c>
      <c r="J13048" t="str">
        <f>IFERROR(__xludf.DUMMYFUNCTION("IFS(
  AND(REGEXMATCH(E13048, ""台銀籌備帳戶|玉山帳戶""), REGEXMATCH(C13048, ""薪資"")), ""分潤支出"",
  AND(REGEXMATCH(E13048, ""Ben帳戶|Elsa帳戶|Ben代墊|Ariel代墊|中信銀行共用""), REGEXMATCH(F13048, ""Ben帳戶|Elsa帳戶|Ben代墊|Ariel代墊|中信銀行共用"")), ""內部轉帳(忽略)"",
  AND(E13048&lt;&gt;"""", F13048&lt;&gt;"&amp;""""", NOT(REGEXMATCH(C13048, ""薪資""))), ""內部轉帳(忽略)"",
  REGEXMATCH(C13048, ""薪資""), ""薪資變動(不計入)"",
  REGEXMATCH(C13048, ""押金""), ""押金往來"",
  AND(E13048&lt;&gt;"""", F13048=""""), ""真實支出"",
  AND(E13048="""", F13048&lt;&gt;""""), ""真實收入"",
  TRUE, ""其他""
)"),"其他")</f>
        <v>其他</v>
      </c>
      <c r="K13048" s="270" t="str">
        <f t="shared" si="2"/>
        <v/>
      </c>
      <c r="L13048">
        <f t="shared" si="3"/>
        <v>0</v>
      </c>
    </row>
    <row r="13049">
      <c r="A13049" s="107"/>
      <c r="D13049" s="270"/>
      <c r="H13049" s="106" t="str">
        <f t="shared" si="1"/>
        <v/>
      </c>
      <c r="J13049" t="str">
        <f>IFERROR(__xludf.DUMMYFUNCTION("IFS(
  AND(REGEXMATCH(E13049, ""台銀籌備帳戶|玉山帳戶""), REGEXMATCH(C13049, ""薪資"")), ""分潤支出"",
  AND(REGEXMATCH(E13049, ""Ben帳戶|Elsa帳戶|Ben代墊|Ariel代墊|中信銀行共用""), REGEXMATCH(F13049, ""Ben帳戶|Elsa帳戶|Ben代墊|Ariel代墊|中信銀行共用"")), ""內部轉帳(忽略)"",
  AND(E13049&lt;&gt;"""", F13049&lt;&gt;"&amp;""""", NOT(REGEXMATCH(C13049, ""薪資""))), ""內部轉帳(忽略)"",
  REGEXMATCH(C13049, ""薪資""), ""薪資變動(不計入)"",
  REGEXMATCH(C13049, ""押金""), ""押金往來"",
  AND(E13049&lt;&gt;"""", F13049=""""), ""真實支出"",
  AND(E13049="""", F13049&lt;&gt;""""), ""真實收入"",
  TRUE, ""其他""
)"),"其他")</f>
        <v>其他</v>
      </c>
      <c r="K13049" s="270" t="str">
        <f t="shared" si="2"/>
        <v/>
      </c>
      <c r="L13049">
        <f t="shared" si="3"/>
        <v>0</v>
      </c>
    </row>
    <row r="13050">
      <c r="A13050" s="107"/>
      <c r="D13050" s="270"/>
      <c r="H13050" s="106" t="str">
        <f t="shared" si="1"/>
        <v/>
      </c>
      <c r="J13050" t="str">
        <f>IFERROR(__xludf.DUMMYFUNCTION("IFS(
  AND(REGEXMATCH(E13050, ""台銀籌備帳戶|玉山帳戶""), REGEXMATCH(C13050, ""薪資"")), ""分潤支出"",
  AND(REGEXMATCH(E13050, ""Ben帳戶|Elsa帳戶|Ben代墊|Ariel代墊|中信銀行共用""), REGEXMATCH(F13050, ""Ben帳戶|Elsa帳戶|Ben代墊|Ariel代墊|中信銀行共用"")), ""內部轉帳(忽略)"",
  AND(E13050&lt;&gt;"""", F13050&lt;&gt;"&amp;""""", NOT(REGEXMATCH(C13050, ""薪資""))), ""內部轉帳(忽略)"",
  REGEXMATCH(C13050, ""薪資""), ""薪資變動(不計入)"",
  REGEXMATCH(C13050, ""押金""), ""押金往來"",
  AND(E13050&lt;&gt;"""", F13050=""""), ""真實支出"",
  AND(E13050="""", F13050&lt;&gt;""""), ""真實收入"",
  TRUE, ""其他""
)"),"其他")</f>
        <v>其他</v>
      </c>
      <c r="K13050" s="270" t="str">
        <f t="shared" si="2"/>
        <v/>
      </c>
      <c r="L13050">
        <f t="shared" si="3"/>
        <v>0</v>
      </c>
    </row>
    <row r="13051">
      <c r="A13051" s="107"/>
      <c r="D13051" s="270"/>
      <c r="H13051" s="106" t="str">
        <f t="shared" si="1"/>
        <v/>
      </c>
      <c r="J13051" t="str">
        <f>IFERROR(__xludf.DUMMYFUNCTION("IFS(
  AND(REGEXMATCH(E13051, ""台銀籌備帳戶|玉山帳戶""), REGEXMATCH(C13051, ""薪資"")), ""分潤支出"",
  AND(REGEXMATCH(E13051, ""Ben帳戶|Elsa帳戶|Ben代墊|Ariel代墊|中信銀行共用""), REGEXMATCH(F13051, ""Ben帳戶|Elsa帳戶|Ben代墊|Ariel代墊|中信銀行共用"")), ""內部轉帳(忽略)"",
  AND(E13051&lt;&gt;"""", F13051&lt;&gt;"&amp;""""", NOT(REGEXMATCH(C13051, ""薪資""))), ""內部轉帳(忽略)"",
  REGEXMATCH(C13051, ""薪資""), ""薪資變動(不計入)"",
  REGEXMATCH(C13051, ""押金""), ""押金往來"",
  AND(E13051&lt;&gt;"""", F13051=""""), ""真實支出"",
  AND(E13051="""", F13051&lt;&gt;""""), ""真實收入"",
  TRUE, ""其他""
)"),"其他")</f>
        <v>其他</v>
      </c>
      <c r="K13051" s="270" t="str">
        <f t="shared" si="2"/>
        <v/>
      </c>
      <c r="L13051">
        <f t="shared" si="3"/>
        <v>0</v>
      </c>
    </row>
    <row r="13052">
      <c r="A13052" s="107"/>
      <c r="D13052" s="270"/>
      <c r="H13052" s="106" t="str">
        <f t="shared" si="1"/>
        <v/>
      </c>
      <c r="J13052" t="str">
        <f>IFERROR(__xludf.DUMMYFUNCTION("IFS(
  AND(REGEXMATCH(E13052, ""台銀籌備帳戶|玉山帳戶""), REGEXMATCH(C13052, ""薪資"")), ""分潤支出"",
  AND(REGEXMATCH(E13052, ""Ben帳戶|Elsa帳戶|Ben代墊|Ariel代墊|中信銀行共用""), REGEXMATCH(F13052, ""Ben帳戶|Elsa帳戶|Ben代墊|Ariel代墊|中信銀行共用"")), ""內部轉帳(忽略)"",
  AND(E13052&lt;&gt;"""", F13052&lt;&gt;"&amp;""""", NOT(REGEXMATCH(C13052, ""薪資""))), ""內部轉帳(忽略)"",
  REGEXMATCH(C13052, ""薪資""), ""薪資變動(不計入)"",
  REGEXMATCH(C13052, ""押金""), ""押金往來"",
  AND(E13052&lt;&gt;"""", F13052=""""), ""真實支出"",
  AND(E13052="""", F13052&lt;&gt;""""), ""真實收入"",
  TRUE, ""其他""
)"),"其他")</f>
        <v>其他</v>
      </c>
      <c r="K13052" s="270" t="str">
        <f t="shared" si="2"/>
        <v/>
      </c>
      <c r="L13052">
        <f t="shared" si="3"/>
        <v>0</v>
      </c>
    </row>
    <row r="13053">
      <c r="A13053" s="107"/>
      <c r="D13053" s="270"/>
      <c r="H13053" s="106" t="str">
        <f t="shared" si="1"/>
        <v/>
      </c>
      <c r="J13053" t="str">
        <f>IFERROR(__xludf.DUMMYFUNCTION("IFS(
  AND(REGEXMATCH(E13053, ""台銀籌備帳戶|玉山帳戶""), REGEXMATCH(C13053, ""薪資"")), ""分潤支出"",
  AND(REGEXMATCH(E13053, ""Ben帳戶|Elsa帳戶|Ben代墊|Ariel代墊|中信銀行共用""), REGEXMATCH(F13053, ""Ben帳戶|Elsa帳戶|Ben代墊|Ariel代墊|中信銀行共用"")), ""內部轉帳(忽略)"",
  AND(E13053&lt;&gt;"""", F13053&lt;&gt;"&amp;""""", NOT(REGEXMATCH(C13053, ""薪資""))), ""內部轉帳(忽略)"",
  REGEXMATCH(C13053, ""薪資""), ""薪資變動(不計入)"",
  REGEXMATCH(C13053, ""押金""), ""押金往來"",
  AND(E13053&lt;&gt;"""", F13053=""""), ""真實支出"",
  AND(E13053="""", F13053&lt;&gt;""""), ""真實收入"",
  TRUE, ""其他""
)"),"其他")</f>
        <v>其他</v>
      </c>
      <c r="K13053" s="270" t="str">
        <f t="shared" si="2"/>
        <v/>
      </c>
      <c r="L13053">
        <f t="shared" si="3"/>
        <v>0</v>
      </c>
    </row>
    <row r="13054">
      <c r="A13054" s="107"/>
      <c r="D13054" s="270"/>
      <c r="H13054" s="106" t="str">
        <f t="shared" si="1"/>
        <v/>
      </c>
      <c r="J13054" t="str">
        <f>IFERROR(__xludf.DUMMYFUNCTION("IFS(
  AND(REGEXMATCH(E13054, ""台銀籌備帳戶|玉山帳戶""), REGEXMATCH(C13054, ""薪資"")), ""分潤支出"",
  AND(REGEXMATCH(E13054, ""Ben帳戶|Elsa帳戶|Ben代墊|Ariel代墊|中信銀行共用""), REGEXMATCH(F13054, ""Ben帳戶|Elsa帳戶|Ben代墊|Ariel代墊|中信銀行共用"")), ""內部轉帳(忽略)"",
  AND(E13054&lt;&gt;"""", F13054&lt;&gt;"&amp;""""", NOT(REGEXMATCH(C13054, ""薪資""))), ""內部轉帳(忽略)"",
  REGEXMATCH(C13054, ""薪資""), ""薪資變動(不計入)"",
  REGEXMATCH(C13054, ""押金""), ""押金往來"",
  AND(E13054&lt;&gt;"""", F13054=""""), ""真實支出"",
  AND(E13054="""", F13054&lt;&gt;""""), ""真實收入"",
  TRUE, ""其他""
)"),"其他")</f>
        <v>其他</v>
      </c>
      <c r="K13054" s="270" t="str">
        <f t="shared" si="2"/>
        <v/>
      </c>
      <c r="L13054">
        <f t="shared" si="3"/>
        <v>0</v>
      </c>
    </row>
    <row r="13055">
      <c r="A13055" s="107"/>
      <c r="D13055" s="270"/>
      <c r="H13055" s="106" t="str">
        <f t="shared" si="1"/>
        <v/>
      </c>
      <c r="J13055" t="str">
        <f>IFERROR(__xludf.DUMMYFUNCTION("IFS(
  AND(REGEXMATCH(E13055, ""台銀籌備帳戶|玉山帳戶""), REGEXMATCH(C13055, ""薪資"")), ""分潤支出"",
  AND(REGEXMATCH(E13055, ""Ben帳戶|Elsa帳戶|Ben代墊|Ariel代墊|中信銀行共用""), REGEXMATCH(F13055, ""Ben帳戶|Elsa帳戶|Ben代墊|Ariel代墊|中信銀行共用"")), ""內部轉帳(忽略)"",
  AND(E13055&lt;&gt;"""", F13055&lt;&gt;"&amp;""""", NOT(REGEXMATCH(C13055, ""薪資""))), ""內部轉帳(忽略)"",
  REGEXMATCH(C13055, ""薪資""), ""薪資變動(不計入)"",
  REGEXMATCH(C13055, ""押金""), ""押金往來"",
  AND(E13055&lt;&gt;"""", F13055=""""), ""真實支出"",
  AND(E13055="""", F13055&lt;&gt;""""), ""真實收入"",
  TRUE, ""其他""
)"),"其他")</f>
        <v>其他</v>
      </c>
      <c r="K13055" s="270" t="str">
        <f t="shared" si="2"/>
        <v/>
      </c>
      <c r="L13055">
        <f t="shared" si="3"/>
        <v>0</v>
      </c>
    </row>
    <row r="13056">
      <c r="A13056" s="107"/>
      <c r="D13056" s="270"/>
      <c r="H13056" s="106" t="str">
        <f t="shared" si="1"/>
        <v/>
      </c>
      <c r="J13056" t="str">
        <f>IFERROR(__xludf.DUMMYFUNCTION("IFS(
  AND(REGEXMATCH(E13056, ""台銀籌備帳戶|玉山帳戶""), REGEXMATCH(C13056, ""薪資"")), ""分潤支出"",
  AND(REGEXMATCH(E13056, ""Ben帳戶|Elsa帳戶|Ben代墊|Ariel代墊|中信銀行共用""), REGEXMATCH(F13056, ""Ben帳戶|Elsa帳戶|Ben代墊|Ariel代墊|中信銀行共用"")), ""內部轉帳(忽略)"",
  AND(E13056&lt;&gt;"""", F13056&lt;&gt;"&amp;""""", NOT(REGEXMATCH(C13056, ""薪資""))), ""內部轉帳(忽略)"",
  REGEXMATCH(C13056, ""薪資""), ""薪資變動(不計入)"",
  REGEXMATCH(C13056, ""押金""), ""押金往來"",
  AND(E13056&lt;&gt;"""", F13056=""""), ""真實支出"",
  AND(E13056="""", F13056&lt;&gt;""""), ""真實收入"",
  TRUE, ""其他""
)"),"其他")</f>
        <v>其他</v>
      </c>
      <c r="K13056" s="270" t="str">
        <f t="shared" si="2"/>
        <v/>
      </c>
      <c r="L13056">
        <f t="shared" si="3"/>
        <v>0</v>
      </c>
    </row>
    <row r="13057">
      <c r="A13057" s="107"/>
      <c r="D13057" s="270"/>
      <c r="H13057" s="106" t="str">
        <f t="shared" si="1"/>
        <v/>
      </c>
      <c r="J13057" t="str">
        <f>IFERROR(__xludf.DUMMYFUNCTION("IFS(
  AND(REGEXMATCH(E13057, ""台銀籌備帳戶|玉山帳戶""), REGEXMATCH(C13057, ""薪資"")), ""分潤支出"",
  AND(REGEXMATCH(E13057, ""Ben帳戶|Elsa帳戶|Ben代墊|Ariel代墊|中信銀行共用""), REGEXMATCH(F13057, ""Ben帳戶|Elsa帳戶|Ben代墊|Ariel代墊|中信銀行共用"")), ""內部轉帳(忽略)"",
  AND(E13057&lt;&gt;"""", F13057&lt;&gt;"&amp;""""", NOT(REGEXMATCH(C13057, ""薪資""))), ""內部轉帳(忽略)"",
  REGEXMATCH(C13057, ""薪資""), ""薪資變動(不計入)"",
  REGEXMATCH(C13057, ""押金""), ""押金往來"",
  AND(E13057&lt;&gt;"""", F13057=""""), ""真實支出"",
  AND(E13057="""", F13057&lt;&gt;""""), ""真實收入"",
  TRUE, ""其他""
)"),"其他")</f>
        <v>其他</v>
      </c>
      <c r="K13057" s="270" t="str">
        <f t="shared" si="2"/>
        <v/>
      </c>
      <c r="L13057">
        <f t="shared" si="3"/>
        <v>0</v>
      </c>
    </row>
    <row r="13058">
      <c r="A13058" s="107"/>
      <c r="D13058" s="270"/>
      <c r="H13058" s="106" t="str">
        <f t="shared" si="1"/>
        <v/>
      </c>
      <c r="J13058" t="str">
        <f>IFERROR(__xludf.DUMMYFUNCTION("IFS(
  AND(REGEXMATCH(E13058, ""台銀籌備帳戶|玉山帳戶""), REGEXMATCH(C13058, ""薪資"")), ""分潤支出"",
  AND(REGEXMATCH(E13058, ""Ben帳戶|Elsa帳戶|Ben代墊|Ariel代墊|中信銀行共用""), REGEXMATCH(F13058, ""Ben帳戶|Elsa帳戶|Ben代墊|Ariel代墊|中信銀行共用"")), ""內部轉帳(忽略)"",
  AND(E13058&lt;&gt;"""", F13058&lt;&gt;"&amp;""""", NOT(REGEXMATCH(C13058, ""薪資""))), ""內部轉帳(忽略)"",
  REGEXMATCH(C13058, ""薪資""), ""薪資變動(不計入)"",
  REGEXMATCH(C13058, ""押金""), ""押金往來"",
  AND(E13058&lt;&gt;"""", F13058=""""), ""真實支出"",
  AND(E13058="""", F13058&lt;&gt;""""), ""真實收入"",
  TRUE, ""其他""
)"),"其他")</f>
        <v>其他</v>
      </c>
      <c r="K13058" s="270" t="str">
        <f t="shared" si="2"/>
        <v/>
      </c>
      <c r="L13058">
        <f t="shared" si="3"/>
        <v>0</v>
      </c>
    </row>
    <row r="13059">
      <c r="A13059" s="107"/>
      <c r="D13059" s="270"/>
      <c r="H13059" s="106" t="str">
        <f t="shared" si="1"/>
        <v/>
      </c>
      <c r="J13059" t="str">
        <f>IFERROR(__xludf.DUMMYFUNCTION("IFS(
  AND(REGEXMATCH(E13059, ""台銀籌備帳戶|玉山帳戶""), REGEXMATCH(C13059, ""薪資"")), ""分潤支出"",
  AND(REGEXMATCH(E13059, ""Ben帳戶|Elsa帳戶|Ben代墊|Ariel代墊|中信銀行共用""), REGEXMATCH(F13059, ""Ben帳戶|Elsa帳戶|Ben代墊|Ariel代墊|中信銀行共用"")), ""內部轉帳(忽略)"",
  AND(E13059&lt;&gt;"""", F13059&lt;&gt;"&amp;""""", NOT(REGEXMATCH(C13059, ""薪資""))), ""內部轉帳(忽略)"",
  REGEXMATCH(C13059, ""薪資""), ""薪資變動(不計入)"",
  REGEXMATCH(C13059, ""押金""), ""押金往來"",
  AND(E13059&lt;&gt;"""", F13059=""""), ""真實支出"",
  AND(E13059="""", F13059&lt;&gt;""""), ""真實收入"",
  TRUE, ""其他""
)"),"其他")</f>
        <v>其他</v>
      </c>
      <c r="K13059" s="270" t="str">
        <f t="shared" si="2"/>
        <v/>
      </c>
      <c r="L13059">
        <f t="shared" si="3"/>
        <v>0</v>
      </c>
    </row>
    <row r="13060">
      <c r="A13060" s="107"/>
      <c r="D13060" s="270"/>
      <c r="H13060" s="106" t="str">
        <f t="shared" si="1"/>
        <v/>
      </c>
      <c r="J13060" t="str">
        <f>IFERROR(__xludf.DUMMYFUNCTION("IFS(
  AND(REGEXMATCH(E13060, ""台銀籌備帳戶|玉山帳戶""), REGEXMATCH(C13060, ""薪資"")), ""分潤支出"",
  AND(REGEXMATCH(E13060, ""Ben帳戶|Elsa帳戶|Ben代墊|Ariel代墊|中信銀行共用""), REGEXMATCH(F13060, ""Ben帳戶|Elsa帳戶|Ben代墊|Ariel代墊|中信銀行共用"")), ""內部轉帳(忽略)"",
  AND(E13060&lt;&gt;"""", F13060&lt;&gt;"&amp;""""", NOT(REGEXMATCH(C13060, ""薪資""))), ""內部轉帳(忽略)"",
  REGEXMATCH(C13060, ""薪資""), ""薪資變動(不計入)"",
  REGEXMATCH(C13060, ""押金""), ""押金往來"",
  AND(E13060&lt;&gt;"""", F13060=""""), ""真實支出"",
  AND(E13060="""", F13060&lt;&gt;""""), ""真實收入"",
  TRUE, ""其他""
)"),"其他")</f>
        <v>其他</v>
      </c>
      <c r="K13060" s="270" t="str">
        <f t="shared" si="2"/>
        <v/>
      </c>
      <c r="L13060">
        <f t="shared" si="3"/>
        <v>0</v>
      </c>
    </row>
    <row r="13061">
      <c r="A13061" s="107"/>
      <c r="D13061" s="270"/>
      <c r="H13061" s="106" t="str">
        <f t="shared" si="1"/>
        <v/>
      </c>
      <c r="J13061" t="str">
        <f>IFERROR(__xludf.DUMMYFUNCTION("IFS(
  AND(REGEXMATCH(E13061, ""台銀籌備帳戶|玉山帳戶""), REGEXMATCH(C13061, ""薪資"")), ""分潤支出"",
  AND(REGEXMATCH(E13061, ""Ben帳戶|Elsa帳戶|Ben代墊|Ariel代墊|中信銀行共用""), REGEXMATCH(F13061, ""Ben帳戶|Elsa帳戶|Ben代墊|Ariel代墊|中信銀行共用"")), ""內部轉帳(忽略)"",
  AND(E13061&lt;&gt;"""", F13061&lt;&gt;"&amp;""""", NOT(REGEXMATCH(C13061, ""薪資""))), ""內部轉帳(忽略)"",
  REGEXMATCH(C13061, ""薪資""), ""薪資變動(不計入)"",
  REGEXMATCH(C13061, ""押金""), ""押金往來"",
  AND(E13061&lt;&gt;"""", F13061=""""), ""真實支出"",
  AND(E13061="""", F13061&lt;&gt;""""), ""真實收入"",
  TRUE, ""其他""
)"),"其他")</f>
        <v>其他</v>
      </c>
      <c r="K13061" s="270" t="str">
        <f t="shared" si="2"/>
        <v/>
      </c>
      <c r="L13061">
        <f t="shared" si="3"/>
        <v>0</v>
      </c>
    </row>
    <row r="13062">
      <c r="A13062" s="107"/>
      <c r="D13062" s="270"/>
      <c r="H13062" s="106" t="str">
        <f t="shared" si="1"/>
        <v/>
      </c>
      <c r="J13062" t="str">
        <f>IFERROR(__xludf.DUMMYFUNCTION("IFS(
  AND(REGEXMATCH(E13062, ""台銀籌備帳戶|玉山帳戶""), REGEXMATCH(C13062, ""薪資"")), ""分潤支出"",
  AND(REGEXMATCH(E13062, ""Ben帳戶|Elsa帳戶|Ben代墊|Ariel代墊|中信銀行共用""), REGEXMATCH(F13062, ""Ben帳戶|Elsa帳戶|Ben代墊|Ariel代墊|中信銀行共用"")), ""內部轉帳(忽略)"",
  AND(E13062&lt;&gt;"""", F13062&lt;&gt;"&amp;""""", NOT(REGEXMATCH(C13062, ""薪資""))), ""內部轉帳(忽略)"",
  REGEXMATCH(C13062, ""薪資""), ""薪資變動(不計入)"",
  REGEXMATCH(C13062, ""押金""), ""押金往來"",
  AND(E13062&lt;&gt;"""", F13062=""""), ""真實支出"",
  AND(E13062="""", F13062&lt;&gt;""""), ""真實收入"",
  TRUE, ""其他""
)"),"其他")</f>
        <v>其他</v>
      </c>
      <c r="K13062" s="270" t="str">
        <f t="shared" si="2"/>
        <v/>
      </c>
      <c r="L13062">
        <f t="shared" si="3"/>
        <v>0</v>
      </c>
    </row>
    <row r="13063">
      <c r="A13063" s="107"/>
      <c r="D13063" s="270"/>
      <c r="H13063" s="106" t="str">
        <f t="shared" si="1"/>
        <v/>
      </c>
      <c r="J13063" t="str">
        <f>IFERROR(__xludf.DUMMYFUNCTION("IFS(
  AND(REGEXMATCH(E13063, ""台銀籌備帳戶|玉山帳戶""), REGEXMATCH(C13063, ""薪資"")), ""分潤支出"",
  AND(REGEXMATCH(E13063, ""Ben帳戶|Elsa帳戶|Ben代墊|Ariel代墊|中信銀行共用""), REGEXMATCH(F13063, ""Ben帳戶|Elsa帳戶|Ben代墊|Ariel代墊|中信銀行共用"")), ""內部轉帳(忽略)"",
  AND(E13063&lt;&gt;"""", F13063&lt;&gt;"&amp;""""", NOT(REGEXMATCH(C13063, ""薪資""))), ""內部轉帳(忽略)"",
  REGEXMATCH(C13063, ""薪資""), ""薪資變動(不計入)"",
  REGEXMATCH(C13063, ""押金""), ""押金往來"",
  AND(E13063&lt;&gt;"""", F13063=""""), ""真實支出"",
  AND(E13063="""", F13063&lt;&gt;""""), ""真實收入"",
  TRUE, ""其他""
)"),"其他")</f>
        <v>其他</v>
      </c>
      <c r="K13063" s="270" t="str">
        <f t="shared" si="2"/>
        <v/>
      </c>
      <c r="L13063">
        <f t="shared" si="3"/>
        <v>0</v>
      </c>
    </row>
    <row r="13064">
      <c r="A13064" s="107"/>
      <c r="D13064" s="270"/>
      <c r="H13064" s="106" t="str">
        <f t="shared" si="1"/>
        <v/>
      </c>
      <c r="J13064" t="str">
        <f>IFERROR(__xludf.DUMMYFUNCTION("IFS(
  AND(REGEXMATCH(E13064, ""台銀籌備帳戶|玉山帳戶""), REGEXMATCH(C13064, ""薪資"")), ""分潤支出"",
  AND(REGEXMATCH(E13064, ""Ben帳戶|Elsa帳戶|Ben代墊|Ariel代墊|中信銀行共用""), REGEXMATCH(F13064, ""Ben帳戶|Elsa帳戶|Ben代墊|Ariel代墊|中信銀行共用"")), ""內部轉帳(忽略)"",
  AND(E13064&lt;&gt;"""", F13064&lt;&gt;"&amp;""""", NOT(REGEXMATCH(C13064, ""薪資""))), ""內部轉帳(忽略)"",
  REGEXMATCH(C13064, ""薪資""), ""薪資變動(不計入)"",
  REGEXMATCH(C13064, ""押金""), ""押金往來"",
  AND(E13064&lt;&gt;"""", F13064=""""), ""真實支出"",
  AND(E13064="""", F13064&lt;&gt;""""), ""真實收入"",
  TRUE, ""其他""
)"),"其他")</f>
        <v>其他</v>
      </c>
      <c r="K13064" s="270" t="str">
        <f t="shared" si="2"/>
        <v/>
      </c>
      <c r="L13064">
        <f t="shared" si="3"/>
        <v>0</v>
      </c>
    </row>
    <row r="13065">
      <c r="A13065" s="107"/>
      <c r="D13065" s="270"/>
      <c r="H13065" s="106" t="str">
        <f t="shared" si="1"/>
        <v/>
      </c>
      <c r="J13065" t="str">
        <f>IFERROR(__xludf.DUMMYFUNCTION("IFS(
  AND(REGEXMATCH(E13065, ""台銀籌備帳戶|玉山帳戶""), REGEXMATCH(C13065, ""薪資"")), ""分潤支出"",
  AND(REGEXMATCH(E13065, ""Ben帳戶|Elsa帳戶|Ben代墊|Ariel代墊|中信銀行共用""), REGEXMATCH(F13065, ""Ben帳戶|Elsa帳戶|Ben代墊|Ariel代墊|中信銀行共用"")), ""內部轉帳(忽略)"",
  AND(E13065&lt;&gt;"""", F13065&lt;&gt;"&amp;""""", NOT(REGEXMATCH(C13065, ""薪資""))), ""內部轉帳(忽略)"",
  REGEXMATCH(C13065, ""薪資""), ""薪資變動(不計入)"",
  REGEXMATCH(C13065, ""押金""), ""押金往來"",
  AND(E13065&lt;&gt;"""", F13065=""""), ""真實支出"",
  AND(E13065="""", F13065&lt;&gt;""""), ""真實收入"",
  TRUE, ""其他""
)"),"其他")</f>
        <v>其他</v>
      </c>
      <c r="K13065" s="270" t="str">
        <f t="shared" si="2"/>
        <v/>
      </c>
      <c r="L13065">
        <f t="shared" si="3"/>
        <v>0</v>
      </c>
    </row>
    <row r="13066">
      <c r="A13066" s="107"/>
      <c r="D13066" s="270"/>
      <c r="H13066" s="106" t="str">
        <f t="shared" si="1"/>
        <v/>
      </c>
      <c r="J13066" t="str">
        <f>IFERROR(__xludf.DUMMYFUNCTION("IFS(
  AND(REGEXMATCH(E13066, ""台銀籌備帳戶|玉山帳戶""), REGEXMATCH(C13066, ""薪資"")), ""分潤支出"",
  AND(REGEXMATCH(E13066, ""Ben帳戶|Elsa帳戶|Ben代墊|Ariel代墊|中信銀行共用""), REGEXMATCH(F13066, ""Ben帳戶|Elsa帳戶|Ben代墊|Ariel代墊|中信銀行共用"")), ""內部轉帳(忽略)"",
  AND(E13066&lt;&gt;"""", F13066&lt;&gt;"&amp;""""", NOT(REGEXMATCH(C13066, ""薪資""))), ""內部轉帳(忽略)"",
  REGEXMATCH(C13066, ""薪資""), ""薪資變動(不計入)"",
  REGEXMATCH(C13066, ""押金""), ""押金往來"",
  AND(E13066&lt;&gt;"""", F13066=""""), ""真實支出"",
  AND(E13066="""", F13066&lt;&gt;""""), ""真實收入"",
  TRUE, ""其他""
)"),"其他")</f>
        <v>其他</v>
      </c>
      <c r="K13066" s="270" t="str">
        <f t="shared" si="2"/>
        <v/>
      </c>
      <c r="L13066">
        <f t="shared" si="3"/>
        <v>0</v>
      </c>
    </row>
    <row r="13067">
      <c r="A13067" s="107"/>
      <c r="D13067" s="270"/>
      <c r="H13067" s="106" t="str">
        <f t="shared" si="1"/>
        <v/>
      </c>
      <c r="J13067" t="str">
        <f>IFERROR(__xludf.DUMMYFUNCTION("IFS(
  AND(REGEXMATCH(E13067, ""台銀籌備帳戶|玉山帳戶""), REGEXMATCH(C13067, ""薪資"")), ""分潤支出"",
  AND(REGEXMATCH(E13067, ""Ben帳戶|Elsa帳戶|Ben代墊|Ariel代墊|中信銀行共用""), REGEXMATCH(F13067, ""Ben帳戶|Elsa帳戶|Ben代墊|Ariel代墊|中信銀行共用"")), ""內部轉帳(忽略)"",
  AND(E13067&lt;&gt;"""", F13067&lt;&gt;"&amp;""""", NOT(REGEXMATCH(C13067, ""薪資""))), ""內部轉帳(忽略)"",
  REGEXMATCH(C13067, ""薪資""), ""薪資變動(不計入)"",
  REGEXMATCH(C13067, ""押金""), ""押金往來"",
  AND(E13067&lt;&gt;"""", F13067=""""), ""真實支出"",
  AND(E13067="""", F13067&lt;&gt;""""), ""真實收入"",
  TRUE, ""其他""
)"),"其他")</f>
        <v>其他</v>
      </c>
      <c r="K13067" s="270" t="str">
        <f t="shared" si="2"/>
        <v/>
      </c>
      <c r="L13067">
        <f t="shared" si="3"/>
        <v>0</v>
      </c>
    </row>
    <row r="13068">
      <c r="A13068" s="107"/>
      <c r="D13068" s="270"/>
      <c r="H13068" s="106" t="str">
        <f t="shared" si="1"/>
        <v/>
      </c>
      <c r="J13068" t="str">
        <f>IFERROR(__xludf.DUMMYFUNCTION("IFS(
  AND(REGEXMATCH(E13068, ""台銀籌備帳戶|玉山帳戶""), REGEXMATCH(C13068, ""薪資"")), ""分潤支出"",
  AND(REGEXMATCH(E13068, ""Ben帳戶|Elsa帳戶|Ben代墊|Ariel代墊|中信銀行共用""), REGEXMATCH(F13068, ""Ben帳戶|Elsa帳戶|Ben代墊|Ariel代墊|中信銀行共用"")), ""內部轉帳(忽略)"",
  AND(E13068&lt;&gt;"""", F13068&lt;&gt;"&amp;""""", NOT(REGEXMATCH(C13068, ""薪資""))), ""內部轉帳(忽略)"",
  REGEXMATCH(C13068, ""薪資""), ""薪資變動(不計入)"",
  REGEXMATCH(C13068, ""押金""), ""押金往來"",
  AND(E13068&lt;&gt;"""", F13068=""""), ""真實支出"",
  AND(E13068="""", F13068&lt;&gt;""""), ""真實收入"",
  TRUE, ""其他""
)"),"其他")</f>
        <v>其他</v>
      </c>
      <c r="K13068" s="270" t="str">
        <f t="shared" si="2"/>
        <v/>
      </c>
      <c r="L13068">
        <f t="shared" si="3"/>
        <v>0</v>
      </c>
    </row>
    <row r="13069">
      <c r="A13069" s="107"/>
      <c r="D13069" s="270"/>
      <c r="H13069" s="106" t="str">
        <f t="shared" si="1"/>
        <v/>
      </c>
      <c r="J13069" t="str">
        <f>IFERROR(__xludf.DUMMYFUNCTION("IFS(
  AND(REGEXMATCH(E13069, ""台銀籌備帳戶|玉山帳戶""), REGEXMATCH(C13069, ""薪資"")), ""分潤支出"",
  AND(REGEXMATCH(E13069, ""Ben帳戶|Elsa帳戶|Ben代墊|Ariel代墊|中信銀行共用""), REGEXMATCH(F13069, ""Ben帳戶|Elsa帳戶|Ben代墊|Ariel代墊|中信銀行共用"")), ""內部轉帳(忽略)"",
  AND(E13069&lt;&gt;"""", F13069&lt;&gt;"&amp;""""", NOT(REGEXMATCH(C13069, ""薪資""))), ""內部轉帳(忽略)"",
  REGEXMATCH(C13069, ""薪資""), ""薪資變動(不計入)"",
  REGEXMATCH(C13069, ""押金""), ""押金往來"",
  AND(E13069&lt;&gt;"""", F13069=""""), ""真實支出"",
  AND(E13069="""", F13069&lt;&gt;""""), ""真實收入"",
  TRUE, ""其他""
)"),"其他")</f>
        <v>其他</v>
      </c>
      <c r="K13069" s="270" t="str">
        <f t="shared" si="2"/>
        <v/>
      </c>
      <c r="L13069">
        <f t="shared" si="3"/>
        <v>0</v>
      </c>
    </row>
    <row r="13070">
      <c r="A13070" s="107"/>
      <c r="D13070" s="270"/>
      <c r="H13070" s="106" t="str">
        <f t="shared" si="1"/>
        <v/>
      </c>
      <c r="J13070" t="str">
        <f>IFERROR(__xludf.DUMMYFUNCTION("IFS(
  AND(REGEXMATCH(E13070, ""台銀籌備帳戶|玉山帳戶""), REGEXMATCH(C13070, ""薪資"")), ""分潤支出"",
  AND(REGEXMATCH(E13070, ""Ben帳戶|Elsa帳戶|Ben代墊|Ariel代墊|中信銀行共用""), REGEXMATCH(F13070, ""Ben帳戶|Elsa帳戶|Ben代墊|Ariel代墊|中信銀行共用"")), ""內部轉帳(忽略)"",
  AND(E13070&lt;&gt;"""", F13070&lt;&gt;"&amp;""""", NOT(REGEXMATCH(C13070, ""薪資""))), ""內部轉帳(忽略)"",
  REGEXMATCH(C13070, ""薪資""), ""薪資變動(不計入)"",
  REGEXMATCH(C13070, ""押金""), ""押金往來"",
  AND(E13070&lt;&gt;"""", F13070=""""), ""真實支出"",
  AND(E13070="""", F13070&lt;&gt;""""), ""真實收入"",
  TRUE, ""其他""
)"),"其他")</f>
        <v>其他</v>
      </c>
      <c r="K13070" s="270" t="str">
        <f t="shared" si="2"/>
        <v/>
      </c>
      <c r="L13070">
        <f t="shared" si="3"/>
        <v>0</v>
      </c>
    </row>
    <row r="13071">
      <c r="A13071" s="107"/>
      <c r="D13071" s="270"/>
      <c r="H13071" s="106" t="str">
        <f t="shared" si="1"/>
        <v/>
      </c>
      <c r="J13071" t="str">
        <f>IFERROR(__xludf.DUMMYFUNCTION("IFS(
  AND(REGEXMATCH(E13071, ""台銀籌備帳戶|玉山帳戶""), REGEXMATCH(C13071, ""薪資"")), ""分潤支出"",
  AND(REGEXMATCH(E13071, ""Ben帳戶|Elsa帳戶|Ben代墊|Ariel代墊|中信銀行共用""), REGEXMATCH(F13071, ""Ben帳戶|Elsa帳戶|Ben代墊|Ariel代墊|中信銀行共用"")), ""內部轉帳(忽略)"",
  AND(E13071&lt;&gt;"""", F13071&lt;&gt;"&amp;""""", NOT(REGEXMATCH(C13071, ""薪資""))), ""內部轉帳(忽略)"",
  REGEXMATCH(C13071, ""薪資""), ""薪資變動(不計入)"",
  REGEXMATCH(C13071, ""押金""), ""押金往來"",
  AND(E13071&lt;&gt;"""", F13071=""""), ""真實支出"",
  AND(E13071="""", F13071&lt;&gt;""""), ""真實收入"",
  TRUE, ""其他""
)"),"其他")</f>
        <v>其他</v>
      </c>
      <c r="K13071" s="270" t="str">
        <f t="shared" si="2"/>
        <v/>
      </c>
      <c r="L13071">
        <f t="shared" si="3"/>
        <v>0</v>
      </c>
    </row>
    <row r="13072">
      <c r="A13072" s="107"/>
      <c r="D13072" s="270"/>
      <c r="H13072" s="106" t="str">
        <f t="shared" si="1"/>
        <v/>
      </c>
      <c r="J13072" t="str">
        <f>IFERROR(__xludf.DUMMYFUNCTION("IFS(
  AND(REGEXMATCH(E13072, ""台銀籌備帳戶|玉山帳戶""), REGEXMATCH(C13072, ""薪資"")), ""分潤支出"",
  AND(REGEXMATCH(E13072, ""Ben帳戶|Elsa帳戶|Ben代墊|Ariel代墊|中信銀行共用""), REGEXMATCH(F13072, ""Ben帳戶|Elsa帳戶|Ben代墊|Ariel代墊|中信銀行共用"")), ""內部轉帳(忽略)"",
  AND(E13072&lt;&gt;"""", F13072&lt;&gt;"&amp;""""", NOT(REGEXMATCH(C13072, ""薪資""))), ""內部轉帳(忽略)"",
  REGEXMATCH(C13072, ""薪資""), ""薪資變動(不計入)"",
  REGEXMATCH(C13072, ""押金""), ""押金往來"",
  AND(E13072&lt;&gt;"""", F13072=""""), ""真實支出"",
  AND(E13072="""", F13072&lt;&gt;""""), ""真實收入"",
  TRUE, ""其他""
)"),"其他")</f>
        <v>其他</v>
      </c>
      <c r="K13072" s="270" t="str">
        <f t="shared" si="2"/>
        <v/>
      </c>
      <c r="L13072">
        <f t="shared" si="3"/>
        <v>0</v>
      </c>
    </row>
    <row r="13073">
      <c r="A13073" s="107"/>
      <c r="D13073" s="270"/>
      <c r="H13073" s="106" t="str">
        <f t="shared" si="1"/>
        <v/>
      </c>
      <c r="J13073" t="str">
        <f>IFERROR(__xludf.DUMMYFUNCTION("IFS(
  AND(REGEXMATCH(E13073, ""台銀籌備帳戶|玉山帳戶""), REGEXMATCH(C13073, ""薪資"")), ""分潤支出"",
  AND(REGEXMATCH(E13073, ""Ben帳戶|Elsa帳戶|Ben代墊|Ariel代墊|中信銀行共用""), REGEXMATCH(F13073, ""Ben帳戶|Elsa帳戶|Ben代墊|Ariel代墊|中信銀行共用"")), ""內部轉帳(忽略)"",
  AND(E13073&lt;&gt;"""", F13073&lt;&gt;"&amp;""""", NOT(REGEXMATCH(C13073, ""薪資""))), ""內部轉帳(忽略)"",
  REGEXMATCH(C13073, ""薪資""), ""薪資變動(不計入)"",
  REGEXMATCH(C13073, ""押金""), ""押金往來"",
  AND(E13073&lt;&gt;"""", F13073=""""), ""真實支出"",
  AND(E13073="""", F13073&lt;&gt;""""), ""真實收入"",
  TRUE, ""其他""
)"),"其他")</f>
        <v>其他</v>
      </c>
      <c r="K13073" s="270" t="str">
        <f t="shared" si="2"/>
        <v/>
      </c>
      <c r="L13073">
        <f t="shared" si="3"/>
        <v>0</v>
      </c>
    </row>
    <row r="13074">
      <c r="A13074" s="107"/>
      <c r="D13074" s="270"/>
      <c r="H13074" s="106" t="str">
        <f t="shared" si="1"/>
        <v/>
      </c>
      <c r="J13074" t="str">
        <f>IFERROR(__xludf.DUMMYFUNCTION("IFS(
  AND(REGEXMATCH(E13074, ""台銀籌備帳戶|玉山帳戶""), REGEXMATCH(C13074, ""薪資"")), ""分潤支出"",
  AND(REGEXMATCH(E13074, ""Ben帳戶|Elsa帳戶|Ben代墊|Ariel代墊|中信銀行共用""), REGEXMATCH(F13074, ""Ben帳戶|Elsa帳戶|Ben代墊|Ariel代墊|中信銀行共用"")), ""內部轉帳(忽略)"",
  AND(E13074&lt;&gt;"""", F13074&lt;&gt;"&amp;""""", NOT(REGEXMATCH(C13074, ""薪資""))), ""內部轉帳(忽略)"",
  REGEXMATCH(C13074, ""薪資""), ""薪資變動(不計入)"",
  REGEXMATCH(C13074, ""押金""), ""押金往來"",
  AND(E13074&lt;&gt;"""", F13074=""""), ""真實支出"",
  AND(E13074="""", F13074&lt;&gt;""""), ""真實收入"",
  TRUE, ""其他""
)"),"其他")</f>
        <v>其他</v>
      </c>
      <c r="K13074" s="270" t="str">
        <f t="shared" si="2"/>
        <v/>
      </c>
      <c r="L13074">
        <f t="shared" si="3"/>
        <v>0</v>
      </c>
    </row>
    <row r="13075">
      <c r="A13075" s="107"/>
      <c r="D13075" s="270"/>
      <c r="H13075" s="106" t="str">
        <f t="shared" si="1"/>
        <v/>
      </c>
      <c r="J13075" t="str">
        <f>IFERROR(__xludf.DUMMYFUNCTION("IFS(
  AND(REGEXMATCH(E13075, ""台銀籌備帳戶|玉山帳戶""), REGEXMATCH(C13075, ""薪資"")), ""分潤支出"",
  AND(REGEXMATCH(E13075, ""Ben帳戶|Elsa帳戶|Ben代墊|Ariel代墊|中信銀行共用""), REGEXMATCH(F13075, ""Ben帳戶|Elsa帳戶|Ben代墊|Ariel代墊|中信銀行共用"")), ""內部轉帳(忽略)"",
  AND(E13075&lt;&gt;"""", F13075&lt;&gt;"&amp;""""", NOT(REGEXMATCH(C13075, ""薪資""))), ""內部轉帳(忽略)"",
  REGEXMATCH(C13075, ""薪資""), ""薪資變動(不計入)"",
  REGEXMATCH(C13075, ""押金""), ""押金往來"",
  AND(E13075&lt;&gt;"""", F13075=""""), ""真實支出"",
  AND(E13075="""", F13075&lt;&gt;""""), ""真實收入"",
  TRUE, ""其他""
)"),"其他")</f>
        <v>其他</v>
      </c>
      <c r="K13075" s="270" t="str">
        <f t="shared" si="2"/>
        <v/>
      </c>
      <c r="L13075">
        <f t="shared" si="3"/>
        <v>0</v>
      </c>
    </row>
    <row r="13076">
      <c r="A13076" s="107"/>
      <c r="D13076" s="270"/>
      <c r="H13076" s="106" t="str">
        <f t="shared" si="1"/>
        <v/>
      </c>
      <c r="J13076" t="str">
        <f>IFERROR(__xludf.DUMMYFUNCTION("IFS(
  AND(REGEXMATCH(E13076, ""台銀籌備帳戶|玉山帳戶""), REGEXMATCH(C13076, ""薪資"")), ""分潤支出"",
  AND(REGEXMATCH(E13076, ""Ben帳戶|Elsa帳戶|Ben代墊|Ariel代墊|中信銀行共用""), REGEXMATCH(F13076, ""Ben帳戶|Elsa帳戶|Ben代墊|Ariel代墊|中信銀行共用"")), ""內部轉帳(忽略)"",
  AND(E13076&lt;&gt;"""", F13076&lt;&gt;"&amp;""""", NOT(REGEXMATCH(C13076, ""薪資""))), ""內部轉帳(忽略)"",
  REGEXMATCH(C13076, ""薪資""), ""薪資變動(不計入)"",
  REGEXMATCH(C13076, ""押金""), ""押金往來"",
  AND(E13076&lt;&gt;"""", F13076=""""), ""真實支出"",
  AND(E13076="""", F13076&lt;&gt;""""), ""真實收入"",
  TRUE, ""其他""
)"),"其他")</f>
        <v>其他</v>
      </c>
      <c r="K13076" s="270" t="str">
        <f t="shared" si="2"/>
        <v/>
      </c>
      <c r="L13076">
        <f t="shared" si="3"/>
        <v>0</v>
      </c>
    </row>
    <row r="13077">
      <c r="A13077" s="107"/>
      <c r="D13077" s="270"/>
      <c r="H13077" s="106" t="str">
        <f t="shared" si="1"/>
        <v/>
      </c>
      <c r="J13077" t="str">
        <f>IFERROR(__xludf.DUMMYFUNCTION("IFS(
  AND(REGEXMATCH(E13077, ""台銀籌備帳戶|玉山帳戶""), REGEXMATCH(C13077, ""薪資"")), ""分潤支出"",
  AND(REGEXMATCH(E13077, ""Ben帳戶|Elsa帳戶|Ben代墊|Ariel代墊|中信銀行共用""), REGEXMATCH(F13077, ""Ben帳戶|Elsa帳戶|Ben代墊|Ariel代墊|中信銀行共用"")), ""內部轉帳(忽略)"",
  AND(E13077&lt;&gt;"""", F13077&lt;&gt;"&amp;""""", NOT(REGEXMATCH(C13077, ""薪資""))), ""內部轉帳(忽略)"",
  REGEXMATCH(C13077, ""薪資""), ""薪資變動(不計入)"",
  REGEXMATCH(C13077, ""押金""), ""押金往來"",
  AND(E13077&lt;&gt;"""", F13077=""""), ""真實支出"",
  AND(E13077="""", F13077&lt;&gt;""""), ""真實收入"",
  TRUE, ""其他""
)"),"其他")</f>
        <v>其他</v>
      </c>
      <c r="K13077" s="270" t="str">
        <f t="shared" si="2"/>
        <v/>
      </c>
      <c r="L13077">
        <f t="shared" si="3"/>
        <v>0</v>
      </c>
    </row>
    <row r="13078">
      <c r="A13078" s="107"/>
      <c r="D13078" s="270"/>
      <c r="H13078" s="106" t="str">
        <f t="shared" si="1"/>
        <v/>
      </c>
      <c r="J13078" t="str">
        <f>IFERROR(__xludf.DUMMYFUNCTION("IFS(
  AND(REGEXMATCH(E13078, ""台銀籌備帳戶|玉山帳戶""), REGEXMATCH(C13078, ""薪資"")), ""分潤支出"",
  AND(REGEXMATCH(E13078, ""Ben帳戶|Elsa帳戶|Ben代墊|Ariel代墊|中信銀行共用""), REGEXMATCH(F13078, ""Ben帳戶|Elsa帳戶|Ben代墊|Ariel代墊|中信銀行共用"")), ""內部轉帳(忽略)"",
  AND(E13078&lt;&gt;"""", F13078&lt;&gt;"&amp;""""", NOT(REGEXMATCH(C13078, ""薪資""))), ""內部轉帳(忽略)"",
  REGEXMATCH(C13078, ""薪資""), ""薪資變動(不計入)"",
  REGEXMATCH(C13078, ""押金""), ""押金往來"",
  AND(E13078&lt;&gt;"""", F13078=""""), ""真實支出"",
  AND(E13078="""", F13078&lt;&gt;""""), ""真實收入"",
  TRUE, ""其他""
)"),"其他")</f>
        <v>其他</v>
      </c>
      <c r="K13078" s="270" t="str">
        <f t="shared" si="2"/>
        <v/>
      </c>
      <c r="L13078">
        <f t="shared" si="3"/>
        <v>0</v>
      </c>
    </row>
    <row r="13079">
      <c r="A13079" s="107"/>
      <c r="D13079" s="270"/>
      <c r="H13079" s="106" t="str">
        <f t="shared" si="1"/>
        <v/>
      </c>
      <c r="J13079" t="str">
        <f>IFERROR(__xludf.DUMMYFUNCTION("IFS(
  AND(REGEXMATCH(E13079, ""台銀籌備帳戶|玉山帳戶""), REGEXMATCH(C13079, ""薪資"")), ""分潤支出"",
  AND(REGEXMATCH(E13079, ""Ben帳戶|Elsa帳戶|Ben代墊|Ariel代墊|中信銀行共用""), REGEXMATCH(F13079, ""Ben帳戶|Elsa帳戶|Ben代墊|Ariel代墊|中信銀行共用"")), ""內部轉帳(忽略)"",
  AND(E13079&lt;&gt;"""", F13079&lt;&gt;"&amp;""""", NOT(REGEXMATCH(C13079, ""薪資""))), ""內部轉帳(忽略)"",
  REGEXMATCH(C13079, ""薪資""), ""薪資變動(不計入)"",
  REGEXMATCH(C13079, ""押金""), ""押金往來"",
  AND(E13079&lt;&gt;"""", F13079=""""), ""真實支出"",
  AND(E13079="""", F13079&lt;&gt;""""), ""真實收入"",
  TRUE, ""其他""
)"),"其他")</f>
        <v>其他</v>
      </c>
      <c r="K13079" s="270" t="str">
        <f t="shared" si="2"/>
        <v/>
      </c>
      <c r="L13079">
        <f t="shared" si="3"/>
        <v>0</v>
      </c>
    </row>
    <row r="13080">
      <c r="A13080" s="107"/>
      <c r="D13080" s="270"/>
      <c r="H13080" s="106" t="str">
        <f t="shared" si="1"/>
        <v/>
      </c>
      <c r="J13080" t="str">
        <f>IFERROR(__xludf.DUMMYFUNCTION("IFS(
  AND(REGEXMATCH(E13080, ""台銀籌備帳戶|玉山帳戶""), REGEXMATCH(C13080, ""薪資"")), ""分潤支出"",
  AND(REGEXMATCH(E13080, ""Ben帳戶|Elsa帳戶|Ben代墊|Ariel代墊|中信銀行共用""), REGEXMATCH(F13080, ""Ben帳戶|Elsa帳戶|Ben代墊|Ariel代墊|中信銀行共用"")), ""內部轉帳(忽略)"",
  AND(E13080&lt;&gt;"""", F13080&lt;&gt;"&amp;""""", NOT(REGEXMATCH(C13080, ""薪資""))), ""內部轉帳(忽略)"",
  REGEXMATCH(C13080, ""薪資""), ""薪資變動(不計入)"",
  REGEXMATCH(C13080, ""押金""), ""押金往來"",
  AND(E13080&lt;&gt;"""", F13080=""""), ""真實支出"",
  AND(E13080="""", F13080&lt;&gt;""""), ""真實收入"",
  TRUE, ""其他""
)"),"其他")</f>
        <v>其他</v>
      </c>
      <c r="K13080" s="270" t="str">
        <f t="shared" si="2"/>
        <v/>
      </c>
      <c r="L13080">
        <f t="shared" si="3"/>
        <v>0</v>
      </c>
    </row>
    <row r="13081">
      <c r="A13081" s="107"/>
      <c r="D13081" s="270"/>
      <c r="H13081" s="106" t="str">
        <f t="shared" si="1"/>
        <v/>
      </c>
      <c r="J13081" t="str">
        <f>IFERROR(__xludf.DUMMYFUNCTION("IFS(
  AND(REGEXMATCH(E13081, ""台銀籌備帳戶|玉山帳戶""), REGEXMATCH(C13081, ""薪資"")), ""分潤支出"",
  AND(REGEXMATCH(E13081, ""Ben帳戶|Elsa帳戶|Ben代墊|Ariel代墊|中信銀行共用""), REGEXMATCH(F13081, ""Ben帳戶|Elsa帳戶|Ben代墊|Ariel代墊|中信銀行共用"")), ""內部轉帳(忽略)"",
  AND(E13081&lt;&gt;"""", F13081&lt;&gt;"&amp;""""", NOT(REGEXMATCH(C13081, ""薪資""))), ""內部轉帳(忽略)"",
  REGEXMATCH(C13081, ""薪資""), ""薪資變動(不計入)"",
  REGEXMATCH(C13081, ""押金""), ""押金往來"",
  AND(E13081&lt;&gt;"""", F13081=""""), ""真實支出"",
  AND(E13081="""", F13081&lt;&gt;""""), ""真實收入"",
  TRUE, ""其他""
)"),"其他")</f>
        <v>其他</v>
      </c>
      <c r="K13081" s="270" t="str">
        <f t="shared" si="2"/>
        <v/>
      </c>
      <c r="L13081">
        <f t="shared" si="3"/>
        <v>0</v>
      </c>
    </row>
    <row r="13082">
      <c r="A13082" s="107"/>
      <c r="D13082" s="270"/>
      <c r="H13082" s="106" t="str">
        <f t="shared" si="1"/>
        <v/>
      </c>
      <c r="J13082" t="str">
        <f>IFERROR(__xludf.DUMMYFUNCTION("IFS(
  AND(REGEXMATCH(E13082, ""台銀籌備帳戶|玉山帳戶""), REGEXMATCH(C13082, ""薪資"")), ""分潤支出"",
  AND(REGEXMATCH(E13082, ""Ben帳戶|Elsa帳戶|Ben代墊|Ariel代墊|中信銀行共用""), REGEXMATCH(F13082, ""Ben帳戶|Elsa帳戶|Ben代墊|Ariel代墊|中信銀行共用"")), ""內部轉帳(忽略)"",
  AND(E13082&lt;&gt;"""", F13082&lt;&gt;"&amp;""""", NOT(REGEXMATCH(C13082, ""薪資""))), ""內部轉帳(忽略)"",
  REGEXMATCH(C13082, ""薪資""), ""薪資變動(不計入)"",
  REGEXMATCH(C13082, ""押金""), ""押金往來"",
  AND(E13082&lt;&gt;"""", F13082=""""), ""真實支出"",
  AND(E13082="""", F13082&lt;&gt;""""), ""真實收入"",
  TRUE, ""其他""
)"),"其他")</f>
        <v>其他</v>
      </c>
      <c r="K13082" s="270" t="str">
        <f t="shared" si="2"/>
        <v/>
      </c>
      <c r="L13082">
        <f t="shared" si="3"/>
        <v>0</v>
      </c>
    </row>
    <row r="13083">
      <c r="A13083" s="107"/>
      <c r="D13083" s="270"/>
      <c r="H13083" s="106" t="str">
        <f t="shared" si="1"/>
        <v/>
      </c>
      <c r="J13083" t="str">
        <f>IFERROR(__xludf.DUMMYFUNCTION("IFS(
  AND(REGEXMATCH(E13083, ""台銀籌備帳戶|玉山帳戶""), REGEXMATCH(C13083, ""薪資"")), ""分潤支出"",
  AND(REGEXMATCH(E13083, ""Ben帳戶|Elsa帳戶|Ben代墊|Ariel代墊|中信銀行共用""), REGEXMATCH(F13083, ""Ben帳戶|Elsa帳戶|Ben代墊|Ariel代墊|中信銀行共用"")), ""內部轉帳(忽略)"",
  AND(E13083&lt;&gt;"""", F13083&lt;&gt;"&amp;""""", NOT(REGEXMATCH(C13083, ""薪資""))), ""內部轉帳(忽略)"",
  REGEXMATCH(C13083, ""薪資""), ""薪資變動(不計入)"",
  REGEXMATCH(C13083, ""押金""), ""押金往來"",
  AND(E13083&lt;&gt;"""", F13083=""""), ""真實支出"",
  AND(E13083="""", F13083&lt;&gt;""""), ""真實收入"",
  TRUE, ""其他""
)"),"其他")</f>
        <v>其他</v>
      </c>
      <c r="K13083" s="270" t="str">
        <f t="shared" si="2"/>
        <v/>
      </c>
      <c r="L13083">
        <f t="shared" si="3"/>
        <v>0</v>
      </c>
    </row>
    <row r="13084">
      <c r="A13084" s="107"/>
      <c r="D13084" s="270"/>
      <c r="H13084" s="106" t="str">
        <f t="shared" si="1"/>
        <v/>
      </c>
      <c r="J13084" t="str">
        <f>IFERROR(__xludf.DUMMYFUNCTION("IFS(
  AND(REGEXMATCH(E13084, ""台銀籌備帳戶|玉山帳戶""), REGEXMATCH(C13084, ""薪資"")), ""分潤支出"",
  AND(REGEXMATCH(E13084, ""Ben帳戶|Elsa帳戶|Ben代墊|Ariel代墊|中信銀行共用""), REGEXMATCH(F13084, ""Ben帳戶|Elsa帳戶|Ben代墊|Ariel代墊|中信銀行共用"")), ""內部轉帳(忽略)"",
  AND(E13084&lt;&gt;"""", F13084&lt;&gt;"&amp;""""", NOT(REGEXMATCH(C13084, ""薪資""))), ""內部轉帳(忽略)"",
  REGEXMATCH(C13084, ""薪資""), ""薪資變動(不計入)"",
  REGEXMATCH(C13084, ""押金""), ""押金往來"",
  AND(E13084&lt;&gt;"""", F13084=""""), ""真實支出"",
  AND(E13084="""", F13084&lt;&gt;""""), ""真實收入"",
  TRUE, ""其他""
)"),"其他")</f>
        <v>其他</v>
      </c>
      <c r="K13084" s="270" t="str">
        <f t="shared" si="2"/>
        <v/>
      </c>
      <c r="L13084">
        <f t="shared" si="3"/>
        <v>0</v>
      </c>
    </row>
    <row r="13085">
      <c r="A13085" s="107"/>
      <c r="D13085" s="270"/>
      <c r="H13085" s="106" t="str">
        <f t="shared" si="1"/>
        <v/>
      </c>
      <c r="J13085" t="str">
        <f>IFERROR(__xludf.DUMMYFUNCTION("IFS(
  AND(REGEXMATCH(E13085, ""台銀籌備帳戶|玉山帳戶""), REGEXMATCH(C13085, ""薪資"")), ""分潤支出"",
  AND(REGEXMATCH(E13085, ""Ben帳戶|Elsa帳戶|Ben代墊|Ariel代墊|中信銀行共用""), REGEXMATCH(F13085, ""Ben帳戶|Elsa帳戶|Ben代墊|Ariel代墊|中信銀行共用"")), ""內部轉帳(忽略)"",
  AND(E13085&lt;&gt;"""", F13085&lt;&gt;"&amp;""""", NOT(REGEXMATCH(C13085, ""薪資""))), ""內部轉帳(忽略)"",
  REGEXMATCH(C13085, ""薪資""), ""薪資變動(不計入)"",
  REGEXMATCH(C13085, ""押金""), ""押金往來"",
  AND(E13085&lt;&gt;"""", F13085=""""), ""真實支出"",
  AND(E13085="""", F13085&lt;&gt;""""), ""真實收入"",
  TRUE, ""其他""
)"),"其他")</f>
        <v>其他</v>
      </c>
      <c r="K13085" s="270" t="str">
        <f t="shared" si="2"/>
        <v/>
      </c>
      <c r="L13085">
        <f t="shared" si="3"/>
        <v>0</v>
      </c>
    </row>
    <row r="13086">
      <c r="A13086" s="107"/>
      <c r="D13086" s="270"/>
      <c r="H13086" s="106" t="str">
        <f t="shared" si="1"/>
        <v/>
      </c>
      <c r="J13086" t="str">
        <f>IFERROR(__xludf.DUMMYFUNCTION("IFS(
  AND(REGEXMATCH(E13086, ""台銀籌備帳戶|玉山帳戶""), REGEXMATCH(C13086, ""薪資"")), ""分潤支出"",
  AND(REGEXMATCH(E13086, ""Ben帳戶|Elsa帳戶|Ben代墊|Ariel代墊|中信銀行共用""), REGEXMATCH(F13086, ""Ben帳戶|Elsa帳戶|Ben代墊|Ariel代墊|中信銀行共用"")), ""內部轉帳(忽略)"",
  AND(E13086&lt;&gt;"""", F13086&lt;&gt;"&amp;""""", NOT(REGEXMATCH(C13086, ""薪資""))), ""內部轉帳(忽略)"",
  REGEXMATCH(C13086, ""薪資""), ""薪資變動(不計入)"",
  REGEXMATCH(C13086, ""押金""), ""押金往來"",
  AND(E13086&lt;&gt;"""", F13086=""""), ""真實支出"",
  AND(E13086="""", F13086&lt;&gt;""""), ""真實收入"",
  TRUE, ""其他""
)"),"其他")</f>
        <v>其他</v>
      </c>
      <c r="K13086" s="270" t="str">
        <f t="shared" si="2"/>
        <v/>
      </c>
      <c r="L13086">
        <f t="shared" si="3"/>
        <v>0</v>
      </c>
    </row>
    <row r="13087">
      <c r="A13087" s="107"/>
      <c r="D13087" s="270"/>
      <c r="H13087" s="106" t="str">
        <f t="shared" si="1"/>
        <v/>
      </c>
      <c r="J13087" t="str">
        <f>IFERROR(__xludf.DUMMYFUNCTION("IFS(
  AND(REGEXMATCH(E13087, ""台銀籌備帳戶|玉山帳戶""), REGEXMATCH(C13087, ""薪資"")), ""分潤支出"",
  AND(REGEXMATCH(E13087, ""Ben帳戶|Elsa帳戶|Ben代墊|Ariel代墊|中信銀行共用""), REGEXMATCH(F13087, ""Ben帳戶|Elsa帳戶|Ben代墊|Ariel代墊|中信銀行共用"")), ""內部轉帳(忽略)"",
  AND(E13087&lt;&gt;"""", F13087&lt;&gt;"&amp;""""", NOT(REGEXMATCH(C13087, ""薪資""))), ""內部轉帳(忽略)"",
  REGEXMATCH(C13087, ""薪資""), ""薪資變動(不計入)"",
  REGEXMATCH(C13087, ""押金""), ""押金往來"",
  AND(E13087&lt;&gt;"""", F13087=""""), ""真實支出"",
  AND(E13087="""", F13087&lt;&gt;""""), ""真實收入"",
  TRUE, ""其他""
)"),"其他")</f>
        <v>其他</v>
      </c>
      <c r="K13087" s="270" t="str">
        <f t="shared" si="2"/>
        <v/>
      </c>
      <c r="L13087">
        <f t="shared" si="3"/>
        <v>0</v>
      </c>
    </row>
    <row r="13088">
      <c r="A13088" s="107"/>
      <c r="D13088" s="270"/>
      <c r="H13088" s="106" t="str">
        <f t="shared" si="1"/>
        <v/>
      </c>
      <c r="J13088" t="str">
        <f>IFERROR(__xludf.DUMMYFUNCTION("IFS(
  AND(REGEXMATCH(E13088, ""台銀籌備帳戶|玉山帳戶""), REGEXMATCH(C13088, ""薪資"")), ""分潤支出"",
  AND(REGEXMATCH(E13088, ""Ben帳戶|Elsa帳戶|Ben代墊|Ariel代墊|中信銀行共用""), REGEXMATCH(F13088, ""Ben帳戶|Elsa帳戶|Ben代墊|Ariel代墊|中信銀行共用"")), ""內部轉帳(忽略)"",
  AND(E13088&lt;&gt;"""", F13088&lt;&gt;"&amp;""""", NOT(REGEXMATCH(C13088, ""薪資""))), ""內部轉帳(忽略)"",
  REGEXMATCH(C13088, ""薪資""), ""薪資變動(不計入)"",
  REGEXMATCH(C13088, ""押金""), ""押金往來"",
  AND(E13088&lt;&gt;"""", F13088=""""), ""真實支出"",
  AND(E13088="""", F13088&lt;&gt;""""), ""真實收入"",
  TRUE, ""其他""
)"),"其他")</f>
        <v>其他</v>
      </c>
      <c r="K13088" s="270" t="str">
        <f t="shared" si="2"/>
        <v/>
      </c>
      <c r="L13088">
        <f t="shared" si="3"/>
        <v>0</v>
      </c>
    </row>
    <row r="13089">
      <c r="A13089" s="107"/>
      <c r="D13089" s="270"/>
      <c r="H13089" s="106" t="str">
        <f t="shared" si="1"/>
        <v/>
      </c>
      <c r="J13089" t="str">
        <f>IFERROR(__xludf.DUMMYFUNCTION("IFS(
  AND(REGEXMATCH(E13089, ""台銀籌備帳戶|玉山帳戶""), REGEXMATCH(C13089, ""薪資"")), ""分潤支出"",
  AND(REGEXMATCH(E13089, ""Ben帳戶|Elsa帳戶|Ben代墊|Ariel代墊|中信銀行共用""), REGEXMATCH(F13089, ""Ben帳戶|Elsa帳戶|Ben代墊|Ariel代墊|中信銀行共用"")), ""內部轉帳(忽略)"",
  AND(E13089&lt;&gt;"""", F13089&lt;&gt;"&amp;""""", NOT(REGEXMATCH(C13089, ""薪資""))), ""內部轉帳(忽略)"",
  REGEXMATCH(C13089, ""薪資""), ""薪資變動(不計入)"",
  REGEXMATCH(C13089, ""押金""), ""押金往來"",
  AND(E13089&lt;&gt;"""", F13089=""""), ""真實支出"",
  AND(E13089="""", F13089&lt;&gt;""""), ""真實收入"",
  TRUE, ""其他""
)"),"其他")</f>
        <v>其他</v>
      </c>
      <c r="K13089" s="270" t="str">
        <f t="shared" si="2"/>
        <v/>
      </c>
      <c r="L13089">
        <f t="shared" si="3"/>
        <v>0</v>
      </c>
    </row>
    <row r="13090">
      <c r="A13090" s="107"/>
      <c r="D13090" s="270"/>
      <c r="H13090" s="106" t="str">
        <f t="shared" si="1"/>
        <v/>
      </c>
      <c r="J13090" t="str">
        <f>IFERROR(__xludf.DUMMYFUNCTION("IFS(
  AND(REGEXMATCH(E13090, ""台銀籌備帳戶|玉山帳戶""), REGEXMATCH(C13090, ""薪資"")), ""分潤支出"",
  AND(REGEXMATCH(E13090, ""Ben帳戶|Elsa帳戶|Ben代墊|Ariel代墊|中信銀行共用""), REGEXMATCH(F13090, ""Ben帳戶|Elsa帳戶|Ben代墊|Ariel代墊|中信銀行共用"")), ""內部轉帳(忽略)"",
  AND(E13090&lt;&gt;"""", F13090&lt;&gt;"&amp;""""", NOT(REGEXMATCH(C13090, ""薪資""))), ""內部轉帳(忽略)"",
  REGEXMATCH(C13090, ""薪資""), ""薪資變動(不計入)"",
  REGEXMATCH(C13090, ""押金""), ""押金往來"",
  AND(E13090&lt;&gt;"""", F13090=""""), ""真實支出"",
  AND(E13090="""", F13090&lt;&gt;""""), ""真實收入"",
  TRUE, ""其他""
)"),"其他")</f>
        <v>其他</v>
      </c>
      <c r="K13090" s="270" t="str">
        <f t="shared" si="2"/>
        <v/>
      </c>
      <c r="L13090">
        <f t="shared" si="3"/>
        <v>0</v>
      </c>
    </row>
    <row r="13091">
      <c r="A13091" s="107"/>
      <c r="D13091" s="270"/>
      <c r="H13091" s="106" t="str">
        <f t="shared" si="1"/>
        <v/>
      </c>
      <c r="J13091" t="str">
        <f>IFERROR(__xludf.DUMMYFUNCTION("IFS(
  AND(REGEXMATCH(E13091, ""台銀籌備帳戶|玉山帳戶""), REGEXMATCH(C13091, ""薪資"")), ""分潤支出"",
  AND(REGEXMATCH(E13091, ""Ben帳戶|Elsa帳戶|Ben代墊|Ariel代墊|中信銀行共用""), REGEXMATCH(F13091, ""Ben帳戶|Elsa帳戶|Ben代墊|Ariel代墊|中信銀行共用"")), ""內部轉帳(忽略)"",
  AND(E13091&lt;&gt;"""", F13091&lt;&gt;"&amp;""""", NOT(REGEXMATCH(C13091, ""薪資""))), ""內部轉帳(忽略)"",
  REGEXMATCH(C13091, ""薪資""), ""薪資變動(不計入)"",
  REGEXMATCH(C13091, ""押金""), ""押金往來"",
  AND(E13091&lt;&gt;"""", F13091=""""), ""真實支出"",
  AND(E13091="""", F13091&lt;&gt;""""), ""真實收入"",
  TRUE, ""其他""
)"),"其他")</f>
        <v>其他</v>
      </c>
      <c r="K13091" s="270" t="str">
        <f t="shared" si="2"/>
        <v/>
      </c>
      <c r="L13091">
        <f t="shared" si="3"/>
        <v>0</v>
      </c>
    </row>
    <row r="13092">
      <c r="A13092" s="107"/>
      <c r="D13092" s="270"/>
      <c r="H13092" s="106" t="str">
        <f t="shared" si="1"/>
        <v/>
      </c>
      <c r="J13092" t="str">
        <f>IFERROR(__xludf.DUMMYFUNCTION("IFS(
  AND(REGEXMATCH(E13092, ""台銀籌備帳戶|玉山帳戶""), REGEXMATCH(C13092, ""薪資"")), ""分潤支出"",
  AND(REGEXMATCH(E13092, ""Ben帳戶|Elsa帳戶|Ben代墊|Ariel代墊|中信銀行共用""), REGEXMATCH(F13092, ""Ben帳戶|Elsa帳戶|Ben代墊|Ariel代墊|中信銀行共用"")), ""內部轉帳(忽略)"",
  AND(E13092&lt;&gt;"""", F13092&lt;&gt;"&amp;""""", NOT(REGEXMATCH(C13092, ""薪資""))), ""內部轉帳(忽略)"",
  REGEXMATCH(C13092, ""薪資""), ""薪資變動(不計入)"",
  REGEXMATCH(C13092, ""押金""), ""押金往來"",
  AND(E13092&lt;&gt;"""", F13092=""""), ""真實支出"",
  AND(E13092="""", F13092&lt;&gt;""""), ""真實收入"",
  TRUE, ""其他""
)"),"其他")</f>
        <v>其他</v>
      </c>
      <c r="K13092" s="270" t="str">
        <f t="shared" si="2"/>
        <v/>
      </c>
      <c r="L13092">
        <f t="shared" si="3"/>
        <v>0</v>
      </c>
    </row>
    <row r="13093">
      <c r="A13093" s="107"/>
      <c r="D13093" s="270"/>
      <c r="H13093" s="106" t="str">
        <f t="shared" si="1"/>
        <v/>
      </c>
      <c r="J13093" t="str">
        <f>IFERROR(__xludf.DUMMYFUNCTION("IFS(
  AND(REGEXMATCH(E13093, ""台銀籌備帳戶|玉山帳戶""), REGEXMATCH(C13093, ""薪資"")), ""分潤支出"",
  AND(REGEXMATCH(E13093, ""Ben帳戶|Elsa帳戶|Ben代墊|Ariel代墊|中信銀行共用""), REGEXMATCH(F13093, ""Ben帳戶|Elsa帳戶|Ben代墊|Ariel代墊|中信銀行共用"")), ""內部轉帳(忽略)"",
  AND(E13093&lt;&gt;"""", F13093&lt;&gt;"&amp;""""", NOT(REGEXMATCH(C13093, ""薪資""))), ""內部轉帳(忽略)"",
  REGEXMATCH(C13093, ""薪資""), ""薪資變動(不計入)"",
  REGEXMATCH(C13093, ""押金""), ""押金往來"",
  AND(E13093&lt;&gt;"""", F13093=""""), ""真實支出"",
  AND(E13093="""", F13093&lt;&gt;""""), ""真實收入"",
  TRUE, ""其他""
)"),"其他")</f>
        <v>其他</v>
      </c>
      <c r="K13093" s="270" t="str">
        <f t="shared" si="2"/>
        <v/>
      </c>
      <c r="L13093">
        <f t="shared" si="3"/>
        <v>0</v>
      </c>
    </row>
    <row r="13094">
      <c r="A13094" s="107"/>
      <c r="D13094" s="270"/>
      <c r="H13094" s="106" t="str">
        <f t="shared" si="1"/>
        <v/>
      </c>
      <c r="J13094" t="str">
        <f>IFERROR(__xludf.DUMMYFUNCTION("IFS(
  AND(REGEXMATCH(E13094, ""台銀籌備帳戶|玉山帳戶""), REGEXMATCH(C13094, ""薪資"")), ""分潤支出"",
  AND(REGEXMATCH(E13094, ""Ben帳戶|Elsa帳戶|Ben代墊|Ariel代墊|中信銀行共用""), REGEXMATCH(F13094, ""Ben帳戶|Elsa帳戶|Ben代墊|Ariel代墊|中信銀行共用"")), ""內部轉帳(忽略)"",
  AND(E13094&lt;&gt;"""", F13094&lt;&gt;"&amp;""""", NOT(REGEXMATCH(C13094, ""薪資""))), ""內部轉帳(忽略)"",
  REGEXMATCH(C13094, ""薪資""), ""薪資變動(不計入)"",
  REGEXMATCH(C13094, ""押金""), ""押金往來"",
  AND(E13094&lt;&gt;"""", F13094=""""), ""真實支出"",
  AND(E13094="""", F13094&lt;&gt;""""), ""真實收入"",
  TRUE, ""其他""
)"),"其他")</f>
        <v>其他</v>
      </c>
      <c r="K13094" s="270" t="str">
        <f t="shared" si="2"/>
        <v/>
      </c>
      <c r="L13094">
        <f t="shared" si="3"/>
        <v>0</v>
      </c>
    </row>
    <row r="13095">
      <c r="A13095" s="107"/>
      <c r="D13095" s="270"/>
      <c r="H13095" s="106" t="str">
        <f t="shared" si="1"/>
        <v/>
      </c>
      <c r="J13095" t="str">
        <f>IFERROR(__xludf.DUMMYFUNCTION("IFS(
  AND(REGEXMATCH(E13095, ""台銀籌備帳戶|玉山帳戶""), REGEXMATCH(C13095, ""薪資"")), ""分潤支出"",
  AND(REGEXMATCH(E13095, ""Ben帳戶|Elsa帳戶|Ben代墊|Ariel代墊|中信銀行共用""), REGEXMATCH(F13095, ""Ben帳戶|Elsa帳戶|Ben代墊|Ariel代墊|中信銀行共用"")), ""內部轉帳(忽略)"",
  AND(E13095&lt;&gt;"""", F13095&lt;&gt;"&amp;""""", NOT(REGEXMATCH(C13095, ""薪資""))), ""內部轉帳(忽略)"",
  REGEXMATCH(C13095, ""薪資""), ""薪資變動(不計入)"",
  REGEXMATCH(C13095, ""押金""), ""押金往來"",
  AND(E13095&lt;&gt;"""", F13095=""""), ""真實支出"",
  AND(E13095="""", F13095&lt;&gt;""""), ""真實收入"",
  TRUE, ""其他""
)"),"其他")</f>
        <v>其他</v>
      </c>
      <c r="K13095" s="270" t="str">
        <f t="shared" si="2"/>
        <v/>
      </c>
      <c r="L13095">
        <f t="shared" si="3"/>
        <v>0</v>
      </c>
    </row>
    <row r="13096">
      <c r="A13096" s="107"/>
      <c r="D13096" s="270"/>
      <c r="H13096" s="106" t="str">
        <f t="shared" si="1"/>
        <v/>
      </c>
      <c r="J13096" t="str">
        <f>IFERROR(__xludf.DUMMYFUNCTION("IFS(
  AND(REGEXMATCH(E13096, ""台銀籌備帳戶|玉山帳戶""), REGEXMATCH(C13096, ""薪資"")), ""分潤支出"",
  AND(REGEXMATCH(E13096, ""Ben帳戶|Elsa帳戶|Ben代墊|Ariel代墊|中信銀行共用""), REGEXMATCH(F13096, ""Ben帳戶|Elsa帳戶|Ben代墊|Ariel代墊|中信銀行共用"")), ""內部轉帳(忽略)"",
  AND(E13096&lt;&gt;"""", F13096&lt;&gt;"&amp;""""", NOT(REGEXMATCH(C13096, ""薪資""))), ""內部轉帳(忽略)"",
  REGEXMATCH(C13096, ""薪資""), ""薪資變動(不計入)"",
  REGEXMATCH(C13096, ""押金""), ""押金往來"",
  AND(E13096&lt;&gt;"""", F13096=""""), ""真實支出"",
  AND(E13096="""", F13096&lt;&gt;""""), ""真實收入"",
  TRUE, ""其他""
)"),"其他")</f>
        <v>其他</v>
      </c>
      <c r="K13096" s="270" t="str">
        <f t="shared" si="2"/>
        <v/>
      </c>
      <c r="L13096">
        <f t="shared" si="3"/>
        <v>0</v>
      </c>
    </row>
    <row r="13097">
      <c r="A13097" s="107"/>
      <c r="D13097" s="270"/>
      <c r="H13097" s="106" t="str">
        <f t="shared" si="1"/>
        <v/>
      </c>
      <c r="J13097" t="str">
        <f>IFERROR(__xludf.DUMMYFUNCTION("IFS(
  AND(REGEXMATCH(E13097, ""台銀籌備帳戶|玉山帳戶""), REGEXMATCH(C13097, ""薪資"")), ""分潤支出"",
  AND(REGEXMATCH(E13097, ""Ben帳戶|Elsa帳戶|Ben代墊|Ariel代墊|中信銀行共用""), REGEXMATCH(F13097, ""Ben帳戶|Elsa帳戶|Ben代墊|Ariel代墊|中信銀行共用"")), ""內部轉帳(忽略)"",
  AND(E13097&lt;&gt;"""", F13097&lt;&gt;"&amp;""""", NOT(REGEXMATCH(C13097, ""薪資""))), ""內部轉帳(忽略)"",
  REGEXMATCH(C13097, ""薪資""), ""薪資變動(不計入)"",
  REGEXMATCH(C13097, ""押金""), ""押金往來"",
  AND(E13097&lt;&gt;"""", F13097=""""), ""真實支出"",
  AND(E13097="""", F13097&lt;&gt;""""), ""真實收入"",
  TRUE, ""其他""
)"),"其他")</f>
        <v>其他</v>
      </c>
      <c r="K13097" s="270" t="str">
        <f t="shared" si="2"/>
        <v/>
      </c>
      <c r="L13097">
        <f t="shared" si="3"/>
        <v>0</v>
      </c>
    </row>
    <row r="13098">
      <c r="A13098" s="107"/>
      <c r="D13098" s="270"/>
      <c r="H13098" s="106" t="str">
        <f t="shared" si="1"/>
        <v/>
      </c>
      <c r="J13098" t="str">
        <f>IFERROR(__xludf.DUMMYFUNCTION("IFS(
  AND(REGEXMATCH(E13098, ""台銀籌備帳戶|玉山帳戶""), REGEXMATCH(C13098, ""薪資"")), ""分潤支出"",
  AND(REGEXMATCH(E13098, ""Ben帳戶|Elsa帳戶|Ben代墊|Ariel代墊|中信銀行共用""), REGEXMATCH(F13098, ""Ben帳戶|Elsa帳戶|Ben代墊|Ariel代墊|中信銀行共用"")), ""內部轉帳(忽略)"",
  AND(E13098&lt;&gt;"""", F13098&lt;&gt;"&amp;""""", NOT(REGEXMATCH(C13098, ""薪資""))), ""內部轉帳(忽略)"",
  REGEXMATCH(C13098, ""薪資""), ""薪資變動(不計入)"",
  REGEXMATCH(C13098, ""押金""), ""押金往來"",
  AND(E13098&lt;&gt;"""", F13098=""""), ""真實支出"",
  AND(E13098="""", F13098&lt;&gt;""""), ""真實收入"",
  TRUE, ""其他""
)"),"其他")</f>
        <v>其他</v>
      </c>
      <c r="K13098" s="270" t="str">
        <f t="shared" si="2"/>
        <v/>
      </c>
      <c r="L13098">
        <f t="shared" si="3"/>
        <v>0</v>
      </c>
    </row>
    <row r="13099">
      <c r="A13099" s="107"/>
      <c r="D13099" s="270"/>
      <c r="H13099" s="106" t="str">
        <f t="shared" si="1"/>
        <v/>
      </c>
      <c r="J13099" t="str">
        <f>IFERROR(__xludf.DUMMYFUNCTION("IFS(
  AND(REGEXMATCH(E13099, ""台銀籌備帳戶|玉山帳戶""), REGEXMATCH(C13099, ""薪資"")), ""分潤支出"",
  AND(REGEXMATCH(E13099, ""Ben帳戶|Elsa帳戶|Ben代墊|Ariel代墊|中信銀行共用""), REGEXMATCH(F13099, ""Ben帳戶|Elsa帳戶|Ben代墊|Ariel代墊|中信銀行共用"")), ""內部轉帳(忽略)"",
  AND(E13099&lt;&gt;"""", F13099&lt;&gt;"&amp;""""", NOT(REGEXMATCH(C13099, ""薪資""))), ""內部轉帳(忽略)"",
  REGEXMATCH(C13099, ""薪資""), ""薪資變動(不計入)"",
  REGEXMATCH(C13099, ""押金""), ""押金往來"",
  AND(E13099&lt;&gt;"""", F13099=""""), ""真實支出"",
  AND(E13099="""", F13099&lt;&gt;""""), ""真實收入"",
  TRUE, ""其他""
)"),"其他")</f>
        <v>其他</v>
      </c>
      <c r="K13099" s="270" t="str">
        <f t="shared" si="2"/>
        <v/>
      </c>
      <c r="L13099">
        <f t="shared" si="3"/>
        <v>0</v>
      </c>
    </row>
    <row r="13100">
      <c r="A13100" s="107"/>
      <c r="D13100" s="270"/>
      <c r="H13100" s="106" t="str">
        <f t="shared" si="1"/>
        <v/>
      </c>
      <c r="J13100" t="str">
        <f>IFERROR(__xludf.DUMMYFUNCTION("IFS(
  AND(REGEXMATCH(E13100, ""台銀籌備帳戶|玉山帳戶""), REGEXMATCH(C13100, ""薪資"")), ""分潤支出"",
  AND(REGEXMATCH(E13100, ""Ben帳戶|Elsa帳戶|Ben代墊|Ariel代墊|中信銀行共用""), REGEXMATCH(F13100, ""Ben帳戶|Elsa帳戶|Ben代墊|Ariel代墊|中信銀行共用"")), ""內部轉帳(忽略)"",
  AND(E13100&lt;&gt;"""", F13100&lt;&gt;"&amp;""""", NOT(REGEXMATCH(C13100, ""薪資""))), ""內部轉帳(忽略)"",
  REGEXMATCH(C13100, ""薪資""), ""薪資變動(不計入)"",
  REGEXMATCH(C13100, ""押金""), ""押金往來"",
  AND(E13100&lt;&gt;"""", F13100=""""), ""真實支出"",
  AND(E13100="""", F13100&lt;&gt;""""), ""真實收入"",
  TRUE, ""其他""
)"),"其他")</f>
        <v>其他</v>
      </c>
      <c r="K13100" s="270" t="str">
        <f t="shared" si="2"/>
        <v/>
      </c>
      <c r="L13100">
        <f t="shared" si="3"/>
        <v>0</v>
      </c>
    </row>
    <row r="13101">
      <c r="A13101" s="107"/>
      <c r="D13101" s="270"/>
      <c r="H13101" s="106" t="str">
        <f t="shared" si="1"/>
        <v/>
      </c>
      <c r="J13101" t="str">
        <f>IFERROR(__xludf.DUMMYFUNCTION("IFS(
  AND(REGEXMATCH(E13101, ""台銀籌備帳戶|玉山帳戶""), REGEXMATCH(C13101, ""薪資"")), ""分潤支出"",
  AND(REGEXMATCH(E13101, ""Ben帳戶|Elsa帳戶|Ben代墊|Ariel代墊|中信銀行共用""), REGEXMATCH(F13101, ""Ben帳戶|Elsa帳戶|Ben代墊|Ariel代墊|中信銀行共用"")), ""內部轉帳(忽略)"",
  AND(E13101&lt;&gt;"""", F13101&lt;&gt;"&amp;""""", NOT(REGEXMATCH(C13101, ""薪資""))), ""內部轉帳(忽略)"",
  REGEXMATCH(C13101, ""薪資""), ""薪資變動(不計入)"",
  REGEXMATCH(C13101, ""押金""), ""押金往來"",
  AND(E13101&lt;&gt;"""", F13101=""""), ""真實支出"",
  AND(E13101="""", F13101&lt;&gt;""""), ""真實收入"",
  TRUE, ""其他""
)"),"其他")</f>
        <v>其他</v>
      </c>
      <c r="K13101" s="270" t="str">
        <f t="shared" si="2"/>
        <v/>
      </c>
      <c r="L13101">
        <f t="shared" si="3"/>
        <v>0</v>
      </c>
    </row>
    <row r="13102">
      <c r="A13102" s="107"/>
      <c r="D13102" s="270"/>
      <c r="H13102" s="106" t="str">
        <f t="shared" si="1"/>
        <v/>
      </c>
      <c r="J13102" t="str">
        <f>IFERROR(__xludf.DUMMYFUNCTION("IFS(
  AND(REGEXMATCH(E13102, ""台銀籌備帳戶|玉山帳戶""), REGEXMATCH(C13102, ""薪資"")), ""分潤支出"",
  AND(REGEXMATCH(E13102, ""Ben帳戶|Elsa帳戶|Ben代墊|Ariel代墊|中信銀行共用""), REGEXMATCH(F13102, ""Ben帳戶|Elsa帳戶|Ben代墊|Ariel代墊|中信銀行共用"")), ""內部轉帳(忽略)"",
  AND(E13102&lt;&gt;"""", F13102&lt;&gt;"&amp;""""", NOT(REGEXMATCH(C13102, ""薪資""))), ""內部轉帳(忽略)"",
  REGEXMATCH(C13102, ""薪資""), ""薪資變動(不計入)"",
  REGEXMATCH(C13102, ""押金""), ""押金往來"",
  AND(E13102&lt;&gt;"""", F13102=""""), ""真實支出"",
  AND(E13102="""", F13102&lt;&gt;""""), ""真實收入"",
  TRUE, ""其他""
)"),"其他")</f>
        <v>其他</v>
      </c>
      <c r="K13102" s="270" t="str">
        <f t="shared" si="2"/>
        <v/>
      </c>
      <c r="L13102">
        <f t="shared" si="3"/>
        <v>0</v>
      </c>
    </row>
    <row r="13103">
      <c r="A13103" s="107"/>
      <c r="D13103" s="270"/>
      <c r="H13103" s="106" t="str">
        <f t="shared" si="1"/>
        <v/>
      </c>
      <c r="J13103" t="str">
        <f>IFERROR(__xludf.DUMMYFUNCTION("IFS(
  AND(REGEXMATCH(E13103, ""台銀籌備帳戶|玉山帳戶""), REGEXMATCH(C13103, ""薪資"")), ""分潤支出"",
  AND(REGEXMATCH(E13103, ""Ben帳戶|Elsa帳戶|Ben代墊|Ariel代墊|中信銀行共用""), REGEXMATCH(F13103, ""Ben帳戶|Elsa帳戶|Ben代墊|Ariel代墊|中信銀行共用"")), ""內部轉帳(忽略)"",
  AND(E13103&lt;&gt;"""", F13103&lt;&gt;"&amp;""""", NOT(REGEXMATCH(C13103, ""薪資""))), ""內部轉帳(忽略)"",
  REGEXMATCH(C13103, ""薪資""), ""薪資變動(不計入)"",
  REGEXMATCH(C13103, ""押金""), ""押金往來"",
  AND(E13103&lt;&gt;"""", F13103=""""), ""真實支出"",
  AND(E13103="""", F13103&lt;&gt;""""), ""真實收入"",
  TRUE, ""其他""
)"),"其他")</f>
        <v>其他</v>
      </c>
      <c r="K13103" s="270" t="str">
        <f t="shared" si="2"/>
        <v/>
      </c>
      <c r="L13103">
        <f t="shared" si="3"/>
        <v>0</v>
      </c>
    </row>
    <row r="13104">
      <c r="A13104" s="107"/>
      <c r="D13104" s="270"/>
      <c r="H13104" s="106" t="str">
        <f t="shared" si="1"/>
        <v/>
      </c>
      <c r="J13104" t="str">
        <f>IFERROR(__xludf.DUMMYFUNCTION("IFS(
  AND(REGEXMATCH(E13104, ""台銀籌備帳戶|玉山帳戶""), REGEXMATCH(C13104, ""薪資"")), ""分潤支出"",
  AND(REGEXMATCH(E13104, ""Ben帳戶|Elsa帳戶|Ben代墊|Ariel代墊|中信銀行共用""), REGEXMATCH(F13104, ""Ben帳戶|Elsa帳戶|Ben代墊|Ariel代墊|中信銀行共用"")), ""內部轉帳(忽略)"",
  AND(E13104&lt;&gt;"""", F13104&lt;&gt;"&amp;""""", NOT(REGEXMATCH(C13104, ""薪資""))), ""內部轉帳(忽略)"",
  REGEXMATCH(C13104, ""薪資""), ""薪資變動(不計入)"",
  REGEXMATCH(C13104, ""押金""), ""押金往來"",
  AND(E13104&lt;&gt;"""", F13104=""""), ""真實支出"",
  AND(E13104="""", F13104&lt;&gt;""""), ""真實收入"",
  TRUE, ""其他""
)"),"其他")</f>
        <v>其他</v>
      </c>
      <c r="K13104" s="270" t="str">
        <f t="shared" si="2"/>
        <v/>
      </c>
      <c r="L13104">
        <f t="shared" si="3"/>
        <v>0</v>
      </c>
    </row>
    <row r="13105">
      <c r="A13105" s="107"/>
      <c r="D13105" s="270"/>
      <c r="H13105" s="106" t="str">
        <f t="shared" si="1"/>
        <v/>
      </c>
      <c r="J13105" t="str">
        <f>IFERROR(__xludf.DUMMYFUNCTION("IFS(
  AND(REGEXMATCH(E13105, ""台銀籌備帳戶|玉山帳戶""), REGEXMATCH(C13105, ""薪資"")), ""分潤支出"",
  AND(REGEXMATCH(E13105, ""Ben帳戶|Elsa帳戶|Ben代墊|Ariel代墊|中信銀行共用""), REGEXMATCH(F13105, ""Ben帳戶|Elsa帳戶|Ben代墊|Ariel代墊|中信銀行共用"")), ""內部轉帳(忽略)"",
  AND(E13105&lt;&gt;"""", F13105&lt;&gt;"&amp;""""", NOT(REGEXMATCH(C13105, ""薪資""))), ""內部轉帳(忽略)"",
  REGEXMATCH(C13105, ""薪資""), ""薪資變動(不計入)"",
  REGEXMATCH(C13105, ""押金""), ""押金往來"",
  AND(E13105&lt;&gt;"""", F13105=""""), ""真實支出"",
  AND(E13105="""", F13105&lt;&gt;""""), ""真實收入"",
  TRUE, ""其他""
)"),"其他")</f>
        <v>其他</v>
      </c>
      <c r="K13105" s="270" t="str">
        <f t="shared" si="2"/>
        <v/>
      </c>
      <c r="L13105">
        <f t="shared" si="3"/>
        <v>0</v>
      </c>
    </row>
    <row r="13106">
      <c r="A13106" s="107"/>
      <c r="D13106" s="270"/>
      <c r="H13106" s="106" t="str">
        <f t="shared" si="1"/>
        <v/>
      </c>
      <c r="J13106" t="str">
        <f>IFERROR(__xludf.DUMMYFUNCTION("IFS(
  AND(REGEXMATCH(E13106, ""台銀籌備帳戶|玉山帳戶""), REGEXMATCH(C13106, ""薪資"")), ""分潤支出"",
  AND(REGEXMATCH(E13106, ""Ben帳戶|Elsa帳戶|Ben代墊|Ariel代墊|中信銀行共用""), REGEXMATCH(F13106, ""Ben帳戶|Elsa帳戶|Ben代墊|Ariel代墊|中信銀行共用"")), ""內部轉帳(忽略)"",
  AND(E13106&lt;&gt;"""", F13106&lt;&gt;"&amp;""""", NOT(REGEXMATCH(C13106, ""薪資""))), ""內部轉帳(忽略)"",
  REGEXMATCH(C13106, ""薪資""), ""薪資變動(不計入)"",
  REGEXMATCH(C13106, ""押金""), ""押金往來"",
  AND(E13106&lt;&gt;"""", F13106=""""), ""真實支出"",
  AND(E13106="""", F13106&lt;&gt;""""), ""真實收入"",
  TRUE, ""其他""
)"),"其他")</f>
        <v>其他</v>
      </c>
      <c r="K13106" s="270" t="str">
        <f t="shared" si="2"/>
        <v/>
      </c>
      <c r="L13106">
        <f t="shared" si="3"/>
        <v>0</v>
      </c>
    </row>
    <row r="13107">
      <c r="A13107" s="107"/>
      <c r="D13107" s="270"/>
      <c r="H13107" s="106" t="str">
        <f t="shared" si="1"/>
        <v/>
      </c>
      <c r="J13107" t="str">
        <f>IFERROR(__xludf.DUMMYFUNCTION("IFS(
  AND(REGEXMATCH(E13107, ""台銀籌備帳戶|玉山帳戶""), REGEXMATCH(C13107, ""薪資"")), ""分潤支出"",
  AND(REGEXMATCH(E13107, ""Ben帳戶|Elsa帳戶|Ben代墊|Ariel代墊|中信銀行共用""), REGEXMATCH(F13107, ""Ben帳戶|Elsa帳戶|Ben代墊|Ariel代墊|中信銀行共用"")), ""內部轉帳(忽略)"",
  AND(E13107&lt;&gt;"""", F13107&lt;&gt;"&amp;""""", NOT(REGEXMATCH(C13107, ""薪資""))), ""內部轉帳(忽略)"",
  REGEXMATCH(C13107, ""薪資""), ""薪資變動(不計入)"",
  REGEXMATCH(C13107, ""押金""), ""押金往來"",
  AND(E13107&lt;&gt;"""", F13107=""""), ""真實支出"",
  AND(E13107="""", F13107&lt;&gt;""""), ""真實收入"",
  TRUE, ""其他""
)"),"其他")</f>
        <v>其他</v>
      </c>
      <c r="K13107" s="270" t="str">
        <f t="shared" si="2"/>
        <v/>
      </c>
      <c r="L13107">
        <f t="shared" si="3"/>
        <v>0</v>
      </c>
    </row>
    <row r="13108">
      <c r="A13108" s="107"/>
      <c r="D13108" s="270"/>
      <c r="H13108" s="106" t="str">
        <f t="shared" si="1"/>
        <v/>
      </c>
      <c r="J13108" t="str">
        <f>IFERROR(__xludf.DUMMYFUNCTION("IFS(
  AND(REGEXMATCH(E13108, ""台銀籌備帳戶|玉山帳戶""), REGEXMATCH(C13108, ""薪資"")), ""分潤支出"",
  AND(REGEXMATCH(E13108, ""Ben帳戶|Elsa帳戶|Ben代墊|Ariel代墊|中信銀行共用""), REGEXMATCH(F13108, ""Ben帳戶|Elsa帳戶|Ben代墊|Ariel代墊|中信銀行共用"")), ""內部轉帳(忽略)"",
  AND(E13108&lt;&gt;"""", F13108&lt;&gt;"&amp;""""", NOT(REGEXMATCH(C13108, ""薪資""))), ""內部轉帳(忽略)"",
  REGEXMATCH(C13108, ""薪資""), ""薪資變動(不計入)"",
  REGEXMATCH(C13108, ""押金""), ""押金往來"",
  AND(E13108&lt;&gt;"""", F13108=""""), ""真實支出"",
  AND(E13108="""", F13108&lt;&gt;""""), ""真實收入"",
  TRUE, ""其他""
)"),"其他")</f>
        <v>其他</v>
      </c>
      <c r="K13108" s="270" t="str">
        <f t="shared" si="2"/>
        <v/>
      </c>
      <c r="L13108">
        <f t="shared" si="3"/>
        <v>0</v>
      </c>
    </row>
    <row r="13109">
      <c r="A13109" s="107"/>
      <c r="D13109" s="270"/>
      <c r="H13109" s="106" t="str">
        <f t="shared" si="1"/>
        <v/>
      </c>
      <c r="J13109" t="str">
        <f>IFERROR(__xludf.DUMMYFUNCTION("IFS(
  AND(REGEXMATCH(E13109, ""台銀籌備帳戶|玉山帳戶""), REGEXMATCH(C13109, ""薪資"")), ""分潤支出"",
  AND(REGEXMATCH(E13109, ""Ben帳戶|Elsa帳戶|Ben代墊|Ariel代墊|中信銀行共用""), REGEXMATCH(F13109, ""Ben帳戶|Elsa帳戶|Ben代墊|Ariel代墊|中信銀行共用"")), ""內部轉帳(忽略)"",
  AND(E13109&lt;&gt;"""", F13109&lt;&gt;"&amp;""""", NOT(REGEXMATCH(C13109, ""薪資""))), ""內部轉帳(忽略)"",
  REGEXMATCH(C13109, ""薪資""), ""薪資變動(不計入)"",
  REGEXMATCH(C13109, ""押金""), ""押金往來"",
  AND(E13109&lt;&gt;"""", F13109=""""), ""真實支出"",
  AND(E13109="""", F13109&lt;&gt;""""), ""真實收入"",
  TRUE, ""其他""
)"),"其他")</f>
        <v>其他</v>
      </c>
      <c r="K13109" s="270" t="str">
        <f t="shared" si="2"/>
        <v/>
      </c>
      <c r="L13109">
        <f t="shared" si="3"/>
        <v>0</v>
      </c>
    </row>
    <row r="13110">
      <c r="A13110" s="107"/>
      <c r="D13110" s="270"/>
      <c r="H13110" s="106" t="str">
        <f t="shared" si="1"/>
        <v/>
      </c>
      <c r="J13110" t="str">
        <f>IFERROR(__xludf.DUMMYFUNCTION("IFS(
  AND(REGEXMATCH(E13110, ""台銀籌備帳戶|玉山帳戶""), REGEXMATCH(C13110, ""薪資"")), ""分潤支出"",
  AND(REGEXMATCH(E13110, ""Ben帳戶|Elsa帳戶|Ben代墊|Ariel代墊|中信銀行共用""), REGEXMATCH(F13110, ""Ben帳戶|Elsa帳戶|Ben代墊|Ariel代墊|中信銀行共用"")), ""內部轉帳(忽略)"",
  AND(E13110&lt;&gt;"""", F13110&lt;&gt;"&amp;""""", NOT(REGEXMATCH(C13110, ""薪資""))), ""內部轉帳(忽略)"",
  REGEXMATCH(C13110, ""薪資""), ""薪資變動(不計入)"",
  REGEXMATCH(C13110, ""押金""), ""押金往來"",
  AND(E13110&lt;&gt;"""", F13110=""""), ""真實支出"",
  AND(E13110="""", F13110&lt;&gt;""""), ""真實收入"",
  TRUE, ""其他""
)"),"其他")</f>
        <v>其他</v>
      </c>
      <c r="K13110" s="270" t="str">
        <f t="shared" si="2"/>
        <v/>
      </c>
      <c r="L13110">
        <f t="shared" si="3"/>
        <v>0</v>
      </c>
    </row>
    <row r="13111">
      <c r="A13111" s="107"/>
      <c r="D13111" s="270"/>
      <c r="H13111" s="106" t="str">
        <f t="shared" si="1"/>
        <v/>
      </c>
      <c r="J13111" t="str">
        <f>IFERROR(__xludf.DUMMYFUNCTION("IFS(
  AND(REGEXMATCH(E13111, ""台銀籌備帳戶|玉山帳戶""), REGEXMATCH(C13111, ""薪資"")), ""分潤支出"",
  AND(REGEXMATCH(E13111, ""Ben帳戶|Elsa帳戶|Ben代墊|Ariel代墊|中信銀行共用""), REGEXMATCH(F13111, ""Ben帳戶|Elsa帳戶|Ben代墊|Ariel代墊|中信銀行共用"")), ""內部轉帳(忽略)"",
  AND(E13111&lt;&gt;"""", F13111&lt;&gt;"&amp;""""", NOT(REGEXMATCH(C13111, ""薪資""))), ""內部轉帳(忽略)"",
  REGEXMATCH(C13111, ""薪資""), ""薪資變動(不計入)"",
  REGEXMATCH(C13111, ""押金""), ""押金往來"",
  AND(E13111&lt;&gt;"""", F13111=""""), ""真實支出"",
  AND(E13111="""", F13111&lt;&gt;""""), ""真實收入"",
  TRUE, ""其他""
)"),"其他")</f>
        <v>其他</v>
      </c>
      <c r="K13111" s="270" t="str">
        <f t="shared" si="2"/>
        <v/>
      </c>
      <c r="L13111">
        <f t="shared" si="3"/>
        <v>0</v>
      </c>
    </row>
    <row r="13112">
      <c r="A13112" s="107"/>
      <c r="D13112" s="270"/>
      <c r="H13112" s="106" t="str">
        <f t="shared" si="1"/>
        <v/>
      </c>
      <c r="J13112" t="str">
        <f>IFERROR(__xludf.DUMMYFUNCTION("IFS(
  AND(REGEXMATCH(E13112, ""台銀籌備帳戶|玉山帳戶""), REGEXMATCH(C13112, ""薪資"")), ""分潤支出"",
  AND(REGEXMATCH(E13112, ""Ben帳戶|Elsa帳戶|Ben代墊|Ariel代墊|中信銀行共用""), REGEXMATCH(F13112, ""Ben帳戶|Elsa帳戶|Ben代墊|Ariel代墊|中信銀行共用"")), ""內部轉帳(忽略)"",
  AND(E13112&lt;&gt;"""", F13112&lt;&gt;"&amp;""""", NOT(REGEXMATCH(C13112, ""薪資""))), ""內部轉帳(忽略)"",
  REGEXMATCH(C13112, ""薪資""), ""薪資變動(不計入)"",
  REGEXMATCH(C13112, ""押金""), ""押金往來"",
  AND(E13112&lt;&gt;"""", F13112=""""), ""真實支出"",
  AND(E13112="""", F13112&lt;&gt;""""), ""真實收入"",
  TRUE, ""其他""
)"),"其他")</f>
        <v>其他</v>
      </c>
      <c r="K13112" s="270" t="str">
        <f t="shared" si="2"/>
        <v/>
      </c>
      <c r="L13112">
        <f t="shared" si="3"/>
        <v>0</v>
      </c>
    </row>
    <row r="13113">
      <c r="A13113" s="107"/>
      <c r="D13113" s="270"/>
      <c r="H13113" s="106" t="str">
        <f t="shared" si="1"/>
        <v/>
      </c>
      <c r="J13113" t="str">
        <f>IFERROR(__xludf.DUMMYFUNCTION("IFS(
  AND(REGEXMATCH(E13113, ""台銀籌備帳戶|玉山帳戶""), REGEXMATCH(C13113, ""薪資"")), ""分潤支出"",
  AND(REGEXMATCH(E13113, ""Ben帳戶|Elsa帳戶|Ben代墊|Ariel代墊|中信銀行共用""), REGEXMATCH(F13113, ""Ben帳戶|Elsa帳戶|Ben代墊|Ariel代墊|中信銀行共用"")), ""內部轉帳(忽略)"",
  AND(E13113&lt;&gt;"""", F13113&lt;&gt;"&amp;""""", NOT(REGEXMATCH(C13113, ""薪資""))), ""內部轉帳(忽略)"",
  REGEXMATCH(C13113, ""薪資""), ""薪資變動(不計入)"",
  REGEXMATCH(C13113, ""押金""), ""押金往來"",
  AND(E13113&lt;&gt;"""", F13113=""""), ""真實支出"",
  AND(E13113="""", F13113&lt;&gt;""""), ""真實收入"",
  TRUE, ""其他""
)"),"其他")</f>
        <v>其他</v>
      </c>
      <c r="K13113" s="270" t="str">
        <f t="shared" si="2"/>
        <v/>
      </c>
      <c r="L13113">
        <f t="shared" si="3"/>
        <v>0</v>
      </c>
    </row>
    <row r="13114">
      <c r="A13114" s="107"/>
      <c r="D13114" s="270"/>
      <c r="H13114" s="106" t="str">
        <f t="shared" si="1"/>
        <v/>
      </c>
      <c r="J13114" t="str">
        <f>IFERROR(__xludf.DUMMYFUNCTION("IFS(
  AND(REGEXMATCH(E13114, ""台銀籌備帳戶|玉山帳戶""), REGEXMATCH(C13114, ""薪資"")), ""分潤支出"",
  AND(REGEXMATCH(E13114, ""Ben帳戶|Elsa帳戶|Ben代墊|Ariel代墊|中信銀行共用""), REGEXMATCH(F13114, ""Ben帳戶|Elsa帳戶|Ben代墊|Ariel代墊|中信銀行共用"")), ""內部轉帳(忽略)"",
  AND(E13114&lt;&gt;"""", F13114&lt;&gt;"&amp;""""", NOT(REGEXMATCH(C13114, ""薪資""))), ""內部轉帳(忽略)"",
  REGEXMATCH(C13114, ""薪資""), ""薪資變動(不計入)"",
  REGEXMATCH(C13114, ""押金""), ""押金往來"",
  AND(E13114&lt;&gt;"""", F13114=""""), ""真實支出"",
  AND(E13114="""", F13114&lt;&gt;""""), ""真實收入"",
  TRUE, ""其他""
)"),"其他")</f>
        <v>其他</v>
      </c>
      <c r="K13114" s="270" t="str">
        <f t="shared" si="2"/>
        <v/>
      </c>
      <c r="L13114">
        <f t="shared" si="3"/>
        <v>0</v>
      </c>
    </row>
    <row r="13115">
      <c r="A13115" s="107"/>
      <c r="D13115" s="270"/>
      <c r="H13115" s="106" t="str">
        <f t="shared" si="1"/>
        <v/>
      </c>
      <c r="J13115" t="str">
        <f>IFERROR(__xludf.DUMMYFUNCTION("IFS(
  AND(REGEXMATCH(E13115, ""台銀籌備帳戶|玉山帳戶""), REGEXMATCH(C13115, ""薪資"")), ""分潤支出"",
  AND(REGEXMATCH(E13115, ""Ben帳戶|Elsa帳戶|Ben代墊|Ariel代墊|中信銀行共用""), REGEXMATCH(F13115, ""Ben帳戶|Elsa帳戶|Ben代墊|Ariel代墊|中信銀行共用"")), ""內部轉帳(忽略)"",
  AND(E13115&lt;&gt;"""", F13115&lt;&gt;"&amp;""""", NOT(REGEXMATCH(C13115, ""薪資""))), ""內部轉帳(忽略)"",
  REGEXMATCH(C13115, ""薪資""), ""薪資變動(不計入)"",
  REGEXMATCH(C13115, ""押金""), ""押金往來"",
  AND(E13115&lt;&gt;"""", F13115=""""), ""真實支出"",
  AND(E13115="""", F13115&lt;&gt;""""), ""真實收入"",
  TRUE, ""其他""
)"),"其他")</f>
        <v>其他</v>
      </c>
      <c r="K13115" s="270" t="str">
        <f t="shared" si="2"/>
        <v/>
      </c>
      <c r="L13115">
        <f t="shared" si="3"/>
        <v>0</v>
      </c>
    </row>
    <row r="13116">
      <c r="A13116" s="107"/>
      <c r="D13116" s="270"/>
      <c r="H13116" s="106" t="str">
        <f t="shared" si="1"/>
        <v/>
      </c>
      <c r="J13116" t="str">
        <f>IFERROR(__xludf.DUMMYFUNCTION("IFS(
  AND(REGEXMATCH(E13116, ""台銀籌備帳戶|玉山帳戶""), REGEXMATCH(C13116, ""薪資"")), ""分潤支出"",
  AND(REGEXMATCH(E13116, ""Ben帳戶|Elsa帳戶|Ben代墊|Ariel代墊|中信銀行共用""), REGEXMATCH(F13116, ""Ben帳戶|Elsa帳戶|Ben代墊|Ariel代墊|中信銀行共用"")), ""內部轉帳(忽略)"",
  AND(E13116&lt;&gt;"""", F13116&lt;&gt;"&amp;""""", NOT(REGEXMATCH(C13116, ""薪資""))), ""內部轉帳(忽略)"",
  REGEXMATCH(C13116, ""薪資""), ""薪資變動(不計入)"",
  REGEXMATCH(C13116, ""押金""), ""押金往來"",
  AND(E13116&lt;&gt;"""", F13116=""""), ""真實支出"",
  AND(E13116="""", F13116&lt;&gt;""""), ""真實收入"",
  TRUE, ""其他""
)"),"其他")</f>
        <v>其他</v>
      </c>
      <c r="K13116" s="270" t="str">
        <f t="shared" si="2"/>
        <v/>
      </c>
      <c r="L13116">
        <f t="shared" si="3"/>
        <v>0</v>
      </c>
    </row>
    <row r="13117">
      <c r="A13117" s="107"/>
      <c r="D13117" s="270"/>
      <c r="H13117" s="106" t="str">
        <f t="shared" si="1"/>
        <v/>
      </c>
      <c r="J13117" t="str">
        <f>IFERROR(__xludf.DUMMYFUNCTION("IFS(
  AND(REGEXMATCH(E13117, ""台銀籌備帳戶|玉山帳戶""), REGEXMATCH(C13117, ""薪資"")), ""分潤支出"",
  AND(REGEXMATCH(E13117, ""Ben帳戶|Elsa帳戶|Ben代墊|Ariel代墊|中信銀行共用""), REGEXMATCH(F13117, ""Ben帳戶|Elsa帳戶|Ben代墊|Ariel代墊|中信銀行共用"")), ""內部轉帳(忽略)"",
  AND(E13117&lt;&gt;"""", F13117&lt;&gt;"&amp;""""", NOT(REGEXMATCH(C13117, ""薪資""))), ""內部轉帳(忽略)"",
  REGEXMATCH(C13117, ""薪資""), ""薪資變動(不計入)"",
  REGEXMATCH(C13117, ""押金""), ""押金往來"",
  AND(E13117&lt;&gt;"""", F13117=""""), ""真實支出"",
  AND(E13117="""", F13117&lt;&gt;""""), ""真實收入"",
  TRUE, ""其他""
)"),"其他")</f>
        <v>其他</v>
      </c>
      <c r="K13117" s="270" t="str">
        <f t="shared" si="2"/>
        <v/>
      </c>
      <c r="L13117">
        <f t="shared" si="3"/>
        <v>0</v>
      </c>
    </row>
    <row r="13118">
      <c r="A13118" s="107"/>
      <c r="D13118" s="270"/>
      <c r="H13118" s="106" t="str">
        <f t="shared" si="1"/>
        <v/>
      </c>
      <c r="J13118" t="str">
        <f>IFERROR(__xludf.DUMMYFUNCTION("IFS(
  AND(REGEXMATCH(E13118, ""台銀籌備帳戶|玉山帳戶""), REGEXMATCH(C13118, ""薪資"")), ""分潤支出"",
  AND(REGEXMATCH(E13118, ""Ben帳戶|Elsa帳戶|Ben代墊|Ariel代墊|中信銀行共用""), REGEXMATCH(F13118, ""Ben帳戶|Elsa帳戶|Ben代墊|Ariel代墊|中信銀行共用"")), ""內部轉帳(忽略)"",
  AND(E13118&lt;&gt;"""", F13118&lt;&gt;"&amp;""""", NOT(REGEXMATCH(C13118, ""薪資""))), ""內部轉帳(忽略)"",
  REGEXMATCH(C13118, ""薪資""), ""薪資變動(不計入)"",
  REGEXMATCH(C13118, ""押金""), ""押金往來"",
  AND(E13118&lt;&gt;"""", F13118=""""), ""真實支出"",
  AND(E13118="""", F13118&lt;&gt;""""), ""真實收入"",
  TRUE, ""其他""
)"),"其他")</f>
        <v>其他</v>
      </c>
      <c r="K13118" s="270" t="str">
        <f t="shared" si="2"/>
        <v/>
      </c>
      <c r="L13118">
        <f t="shared" si="3"/>
        <v>0</v>
      </c>
    </row>
    <row r="13119">
      <c r="A13119" s="107"/>
      <c r="D13119" s="270"/>
      <c r="H13119" s="106" t="str">
        <f t="shared" si="1"/>
        <v/>
      </c>
      <c r="J13119" t="str">
        <f>IFERROR(__xludf.DUMMYFUNCTION("IFS(
  AND(REGEXMATCH(E13119, ""台銀籌備帳戶|玉山帳戶""), REGEXMATCH(C13119, ""薪資"")), ""分潤支出"",
  AND(REGEXMATCH(E13119, ""Ben帳戶|Elsa帳戶|Ben代墊|Ariel代墊|中信銀行共用""), REGEXMATCH(F13119, ""Ben帳戶|Elsa帳戶|Ben代墊|Ariel代墊|中信銀行共用"")), ""內部轉帳(忽略)"",
  AND(E13119&lt;&gt;"""", F13119&lt;&gt;"&amp;""""", NOT(REGEXMATCH(C13119, ""薪資""))), ""內部轉帳(忽略)"",
  REGEXMATCH(C13119, ""薪資""), ""薪資變動(不計入)"",
  REGEXMATCH(C13119, ""押金""), ""押金往來"",
  AND(E13119&lt;&gt;"""", F13119=""""), ""真實支出"",
  AND(E13119="""", F13119&lt;&gt;""""), ""真實收入"",
  TRUE, ""其他""
)"),"其他")</f>
        <v>其他</v>
      </c>
      <c r="K13119" s="270" t="str">
        <f t="shared" si="2"/>
        <v/>
      </c>
      <c r="L13119">
        <f t="shared" si="3"/>
        <v>0</v>
      </c>
    </row>
    <row r="13120">
      <c r="A13120" s="107"/>
      <c r="D13120" s="270"/>
      <c r="H13120" s="106" t="str">
        <f t="shared" si="1"/>
        <v/>
      </c>
      <c r="J13120" t="str">
        <f>IFERROR(__xludf.DUMMYFUNCTION("IFS(
  AND(REGEXMATCH(E13120, ""台銀籌備帳戶|玉山帳戶""), REGEXMATCH(C13120, ""薪資"")), ""分潤支出"",
  AND(REGEXMATCH(E13120, ""Ben帳戶|Elsa帳戶|Ben代墊|Ariel代墊|中信銀行共用""), REGEXMATCH(F13120, ""Ben帳戶|Elsa帳戶|Ben代墊|Ariel代墊|中信銀行共用"")), ""內部轉帳(忽略)"",
  AND(E13120&lt;&gt;"""", F13120&lt;&gt;"&amp;""""", NOT(REGEXMATCH(C13120, ""薪資""))), ""內部轉帳(忽略)"",
  REGEXMATCH(C13120, ""薪資""), ""薪資變動(不計入)"",
  REGEXMATCH(C13120, ""押金""), ""押金往來"",
  AND(E13120&lt;&gt;"""", F13120=""""), ""真實支出"",
  AND(E13120="""", F13120&lt;&gt;""""), ""真實收入"",
  TRUE, ""其他""
)"),"其他")</f>
        <v>其他</v>
      </c>
      <c r="K13120" s="270" t="str">
        <f t="shared" si="2"/>
        <v/>
      </c>
      <c r="L13120">
        <f t="shared" si="3"/>
        <v>0</v>
      </c>
    </row>
    <row r="13121">
      <c r="A13121" s="107"/>
      <c r="D13121" s="270"/>
      <c r="H13121" s="106" t="str">
        <f t="shared" si="1"/>
        <v/>
      </c>
      <c r="J13121" t="str">
        <f>IFERROR(__xludf.DUMMYFUNCTION("IFS(
  AND(REGEXMATCH(E13121, ""台銀籌備帳戶|玉山帳戶""), REGEXMATCH(C13121, ""薪資"")), ""分潤支出"",
  AND(REGEXMATCH(E13121, ""Ben帳戶|Elsa帳戶|Ben代墊|Ariel代墊|中信銀行共用""), REGEXMATCH(F13121, ""Ben帳戶|Elsa帳戶|Ben代墊|Ariel代墊|中信銀行共用"")), ""內部轉帳(忽略)"",
  AND(E13121&lt;&gt;"""", F13121&lt;&gt;"&amp;""""", NOT(REGEXMATCH(C13121, ""薪資""))), ""內部轉帳(忽略)"",
  REGEXMATCH(C13121, ""薪資""), ""薪資變動(不計入)"",
  REGEXMATCH(C13121, ""押金""), ""押金往來"",
  AND(E13121&lt;&gt;"""", F13121=""""), ""真實支出"",
  AND(E13121="""", F13121&lt;&gt;""""), ""真實收入"",
  TRUE, ""其他""
)"),"其他")</f>
        <v>其他</v>
      </c>
      <c r="K13121" s="270" t="str">
        <f t="shared" si="2"/>
        <v/>
      </c>
      <c r="L13121">
        <f t="shared" si="3"/>
        <v>0</v>
      </c>
    </row>
    <row r="13122">
      <c r="A13122" s="107"/>
      <c r="D13122" s="270"/>
      <c r="H13122" s="106" t="str">
        <f t="shared" si="1"/>
        <v/>
      </c>
      <c r="J13122" t="str">
        <f>IFERROR(__xludf.DUMMYFUNCTION("IFS(
  AND(REGEXMATCH(E13122, ""台銀籌備帳戶|玉山帳戶""), REGEXMATCH(C13122, ""薪資"")), ""分潤支出"",
  AND(REGEXMATCH(E13122, ""Ben帳戶|Elsa帳戶|Ben代墊|Ariel代墊|中信銀行共用""), REGEXMATCH(F13122, ""Ben帳戶|Elsa帳戶|Ben代墊|Ariel代墊|中信銀行共用"")), ""內部轉帳(忽略)"",
  AND(E13122&lt;&gt;"""", F13122&lt;&gt;"&amp;""""", NOT(REGEXMATCH(C13122, ""薪資""))), ""內部轉帳(忽略)"",
  REGEXMATCH(C13122, ""薪資""), ""薪資變動(不計入)"",
  REGEXMATCH(C13122, ""押金""), ""押金往來"",
  AND(E13122&lt;&gt;"""", F13122=""""), ""真實支出"",
  AND(E13122="""", F13122&lt;&gt;""""), ""真實收入"",
  TRUE, ""其他""
)"),"其他")</f>
        <v>其他</v>
      </c>
      <c r="K13122" s="270" t="str">
        <f t="shared" si="2"/>
        <v/>
      </c>
      <c r="L13122">
        <f t="shared" si="3"/>
        <v>0</v>
      </c>
    </row>
    <row r="13123">
      <c r="A13123" s="107"/>
      <c r="D13123" s="270"/>
      <c r="H13123" s="106" t="str">
        <f t="shared" si="1"/>
        <v/>
      </c>
      <c r="J13123" t="str">
        <f>IFERROR(__xludf.DUMMYFUNCTION("IFS(
  AND(REGEXMATCH(E13123, ""台銀籌備帳戶|玉山帳戶""), REGEXMATCH(C13123, ""薪資"")), ""分潤支出"",
  AND(REGEXMATCH(E13123, ""Ben帳戶|Elsa帳戶|Ben代墊|Ariel代墊|中信銀行共用""), REGEXMATCH(F13123, ""Ben帳戶|Elsa帳戶|Ben代墊|Ariel代墊|中信銀行共用"")), ""內部轉帳(忽略)"",
  AND(E13123&lt;&gt;"""", F13123&lt;&gt;"&amp;""""", NOT(REGEXMATCH(C13123, ""薪資""))), ""內部轉帳(忽略)"",
  REGEXMATCH(C13123, ""薪資""), ""薪資變動(不計入)"",
  REGEXMATCH(C13123, ""押金""), ""押金往來"",
  AND(E13123&lt;&gt;"""", F13123=""""), ""真實支出"",
  AND(E13123="""", F13123&lt;&gt;""""), ""真實收入"",
  TRUE, ""其他""
)"),"其他")</f>
        <v>其他</v>
      </c>
      <c r="K13123" s="270" t="str">
        <f t="shared" si="2"/>
        <v/>
      </c>
      <c r="L13123">
        <f t="shared" si="3"/>
        <v>0</v>
      </c>
    </row>
    <row r="13124">
      <c r="A13124" s="107"/>
      <c r="D13124" s="270"/>
      <c r="H13124" s="106" t="str">
        <f t="shared" si="1"/>
        <v/>
      </c>
      <c r="J13124" t="str">
        <f>IFERROR(__xludf.DUMMYFUNCTION("IFS(
  AND(REGEXMATCH(E13124, ""台銀籌備帳戶|玉山帳戶""), REGEXMATCH(C13124, ""薪資"")), ""分潤支出"",
  AND(REGEXMATCH(E13124, ""Ben帳戶|Elsa帳戶|Ben代墊|Ariel代墊|中信銀行共用""), REGEXMATCH(F13124, ""Ben帳戶|Elsa帳戶|Ben代墊|Ariel代墊|中信銀行共用"")), ""內部轉帳(忽略)"",
  AND(E13124&lt;&gt;"""", F13124&lt;&gt;"&amp;""""", NOT(REGEXMATCH(C13124, ""薪資""))), ""內部轉帳(忽略)"",
  REGEXMATCH(C13124, ""薪資""), ""薪資變動(不計入)"",
  REGEXMATCH(C13124, ""押金""), ""押金往來"",
  AND(E13124&lt;&gt;"""", F13124=""""), ""真實支出"",
  AND(E13124="""", F13124&lt;&gt;""""), ""真實收入"",
  TRUE, ""其他""
)"),"其他")</f>
        <v>其他</v>
      </c>
      <c r="K13124" s="270" t="str">
        <f t="shared" si="2"/>
        <v/>
      </c>
      <c r="L13124">
        <f t="shared" si="3"/>
        <v>0</v>
      </c>
    </row>
    <row r="13125">
      <c r="A13125" s="107"/>
      <c r="D13125" s="270"/>
      <c r="H13125" s="106" t="str">
        <f t="shared" si="1"/>
        <v/>
      </c>
      <c r="J13125" t="str">
        <f>IFERROR(__xludf.DUMMYFUNCTION("IFS(
  AND(REGEXMATCH(E13125, ""台銀籌備帳戶|玉山帳戶""), REGEXMATCH(C13125, ""薪資"")), ""分潤支出"",
  AND(REGEXMATCH(E13125, ""Ben帳戶|Elsa帳戶|Ben代墊|Ariel代墊|中信銀行共用""), REGEXMATCH(F13125, ""Ben帳戶|Elsa帳戶|Ben代墊|Ariel代墊|中信銀行共用"")), ""內部轉帳(忽略)"",
  AND(E13125&lt;&gt;"""", F13125&lt;&gt;"&amp;""""", NOT(REGEXMATCH(C13125, ""薪資""))), ""內部轉帳(忽略)"",
  REGEXMATCH(C13125, ""薪資""), ""薪資變動(不計入)"",
  REGEXMATCH(C13125, ""押金""), ""押金往來"",
  AND(E13125&lt;&gt;"""", F13125=""""), ""真實支出"",
  AND(E13125="""", F13125&lt;&gt;""""), ""真實收入"",
  TRUE, ""其他""
)"),"其他")</f>
        <v>其他</v>
      </c>
      <c r="K13125" s="270" t="str">
        <f t="shared" si="2"/>
        <v/>
      </c>
      <c r="L13125">
        <f t="shared" si="3"/>
        <v>0</v>
      </c>
    </row>
    <row r="13126">
      <c r="A13126" s="107"/>
      <c r="D13126" s="270"/>
      <c r="H13126" s="106" t="str">
        <f t="shared" si="1"/>
        <v/>
      </c>
      <c r="J13126" t="str">
        <f>IFERROR(__xludf.DUMMYFUNCTION("IFS(
  AND(REGEXMATCH(E13126, ""台銀籌備帳戶|玉山帳戶""), REGEXMATCH(C13126, ""薪資"")), ""分潤支出"",
  AND(REGEXMATCH(E13126, ""Ben帳戶|Elsa帳戶|Ben代墊|Ariel代墊|中信銀行共用""), REGEXMATCH(F13126, ""Ben帳戶|Elsa帳戶|Ben代墊|Ariel代墊|中信銀行共用"")), ""內部轉帳(忽略)"",
  AND(E13126&lt;&gt;"""", F13126&lt;&gt;"&amp;""""", NOT(REGEXMATCH(C13126, ""薪資""))), ""內部轉帳(忽略)"",
  REGEXMATCH(C13126, ""薪資""), ""薪資變動(不計入)"",
  REGEXMATCH(C13126, ""押金""), ""押金往來"",
  AND(E13126&lt;&gt;"""", F13126=""""), ""真實支出"",
  AND(E13126="""", F13126&lt;&gt;""""), ""真實收入"",
  TRUE, ""其他""
)"),"其他")</f>
        <v>其他</v>
      </c>
      <c r="K13126" s="270" t="str">
        <f t="shared" si="2"/>
        <v/>
      </c>
      <c r="L13126">
        <f t="shared" si="3"/>
        <v>0</v>
      </c>
    </row>
    <row r="13127">
      <c r="A13127" s="107"/>
      <c r="D13127" s="270"/>
      <c r="H13127" s="106" t="str">
        <f t="shared" si="1"/>
        <v/>
      </c>
      <c r="J13127" t="str">
        <f>IFERROR(__xludf.DUMMYFUNCTION("IFS(
  AND(REGEXMATCH(E13127, ""台銀籌備帳戶|玉山帳戶""), REGEXMATCH(C13127, ""薪資"")), ""分潤支出"",
  AND(REGEXMATCH(E13127, ""Ben帳戶|Elsa帳戶|Ben代墊|Ariel代墊|中信銀行共用""), REGEXMATCH(F13127, ""Ben帳戶|Elsa帳戶|Ben代墊|Ariel代墊|中信銀行共用"")), ""內部轉帳(忽略)"",
  AND(E13127&lt;&gt;"""", F13127&lt;&gt;"&amp;""""", NOT(REGEXMATCH(C13127, ""薪資""))), ""內部轉帳(忽略)"",
  REGEXMATCH(C13127, ""薪資""), ""薪資變動(不計入)"",
  REGEXMATCH(C13127, ""押金""), ""押金往來"",
  AND(E13127&lt;&gt;"""", F13127=""""), ""真實支出"",
  AND(E13127="""", F13127&lt;&gt;""""), ""真實收入"",
  TRUE, ""其他""
)"),"其他")</f>
        <v>其他</v>
      </c>
      <c r="K13127" s="270" t="str">
        <f t="shared" si="2"/>
        <v/>
      </c>
      <c r="L13127">
        <f t="shared" si="3"/>
        <v>0</v>
      </c>
    </row>
    <row r="13128">
      <c r="A13128" s="107"/>
      <c r="D13128" s="270"/>
      <c r="H13128" s="106" t="str">
        <f t="shared" si="1"/>
        <v/>
      </c>
      <c r="J13128" t="str">
        <f>IFERROR(__xludf.DUMMYFUNCTION("IFS(
  AND(REGEXMATCH(E13128, ""台銀籌備帳戶|玉山帳戶""), REGEXMATCH(C13128, ""薪資"")), ""分潤支出"",
  AND(REGEXMATCH(E13128, ""Ben帳戶|Elsa帳戶|Ben代墊|Ariel代墊|中信銀行共用""), REGEXMATCH(F13128, ""Ben帳戶|Elsa帳戶|Ben代墊|Ariel代墊|中信銀行共用"")), ""內部轉帳(忽略)"",
  AND(E13128&lt;&gt;"""", F13128&lt;&gt;"&amp;""""", NOT(REGEXMATCH(C13128, ""薪資""))), ""內部轉帳(忽略)"",
  REGEXMATCH(C13128, ""薪資""), ""薪資變動(不計入)"",
  REGEXMATCH(C13128, ""押金""), ""押金往來"",
  AND(E13128&lt;&gt;"""", F13128=""""), ""真實支出"",
  AND(E13128="""", F13128&lt;&gt;""""), ""真實收入"",
  TRUE, ""其他""
)"),"其他")</f>
        <v>其他</v>
      </c>
      <c r="K13128" s="270" t="str">
        <f t="shared" si="2"/>
        <v/>
      </c>
      <c r="L13128">
        <f t="shared" si="3"/>
        <v>0</v>
      </c>
    </row>
    <row r="13129">
      <c r="A13129" s="107"/>
      <c r="D13129" s="270"/>
      <c r="H13129" s="106" t="str">
        <f t="shared" si="1"/>
        <v/>
      </c>
      <c r="J13129" t="str">
        <f>IFERROR(__xludf.DUMMYFUNCTION("IFS(
  AND(REGEXMATCH(E13129, ""台銀籌備帳戶|玉山帳戶""), REGEXMATCH(C13129, ""薪資"")), ""分潤支出"",
  AND(REGEXMATCH(E13129, ""Ben帳戶|Elsa帳戶|Ben代墊|Ariel代墊|中信銀行共用""), REGEXMATCH(F13129, ""Ben帳戶|Elsa帳戶|Ben代墊|Ariel代墊|中信銀行共用"")), ""內部轉帳(忽略)"",
  AND(E13129&lt;&gt;"""", F13129&lt;&gt;"&amp;""""", NOT(REGEXMATCH(C13129, ""薪資""))), ""內部轉帳(忽略)"",
  REGEXMATCH(C13129, ""薪資""), ""薪資變動(不計入)"",
  REGEXMATCH(C13129, ""押金""), ""押金往來"",
  AND(E13129&lt;&gt;"""", F13129=""""), ""真實支出"",
  AND(E13129="""", F13129&lt;&gt;""""), ""真實收入"",
  TRUE, ""其他""
)"),"其他")</f>
        <v>其他</v>
      </c>
      <c r="K13129" s="270" t="str">
        <f t="shared" si="2"/>
        <v/>
      </c>
      <c r="L13129">
        <f t="shared" si="3"/>
        <v>0</v>
      </c>
    </row>
    <row r="13130">
      <c r="A13130" s="107"/>
      <c r="D13130" s="270"/>
      <c r="H13130" s="106" t="str">
        <f t="shared" si="1"/>
        <v/>
      </c>
      <c r="J13130" t="str">
        <f>IFERROR(__xludf.DUMMYFUNCTION("IFS(
  AND(REGEXMATCH(E13130, ""台銀籌備帳戶|玉山帳戶""), REGEXMATCH(C13130, ""薪資"")), ""分潤支出"",
  AND(REGEXMATCH(E13130, ""Ben帳戶|Elsa帳戶|Ben代墊|Ariel代墊|中信銀行共用""), REGEXMATCH(F13130, ""Ben帳戶|Elsa帳戶|Ben代墊|Ariel代墊|中信銀行共用"")), ""內部轉帳(忽略)"",
  AND(E13130&lt;&gt;"""", F13130&lt;&gt;"&amp;""""", NOT(REGEXMATCH(C13130, ""薪資""))), ""內部轉帳(忽略)"",
  REGEXMATCH(C13130, ""薪資""), ""薪資變動(不計入)"",
  REGEXMATCH(C13130, ""押金""), ""押金往來"",
  AND(E13130&lt;&gt;"""", F13130=""""), ""真實支出"",
  AND(E13130="""", F13130&lt;&gt;""""), ""真實收入"",
  TRUE, ""其他""
)"),"其他")</f>
        <v>其他</v>
      </c>
      <c r="K13130" s="270" t="str">
        <f t="shared" si="2"/>
        <v/>
      </c>
      <c r="L13130">
        <f t="shared" si="3"/>
        <v>0</v>
      </c>
    </row>
    <row r="13131">
      <c r="A13131" s="107"/>
      <c r="D13131" s="270"/>
      <c r="H13131" s="106" t="str">
        <f t="shared" si="1"/>
        <v/>
      </c>
      <c r="J13131" t="str">
        <f>IFERROR(__xludf.DUMMYFUNCTION("IFS(
  AND(REGEXMATCH(E13131, ""台銀籌備帳戶|玉山帳戶""), REGEXMATCH(C13131, ""薪資"")), ""分潤支出"",
  AND(REGEXMATCH(E13131, ""Ben帳戶|Elsa帳戶|Ben代墊|Ariel代墊|中信銀行共用""), REGEXMATCH(F13131, ""Ben帳戶|Elsa帳戶|Ben代墊|Ariel代墊|中信銀行共用"")), ""內部轉帳(忽略)"",
  AND(E13131&lt;&gt;"""", F13131&lt;&gt;"&amp;""""", NOT(REGEXMATCH(C13131, ""薪資""))), ""內部轉帳(忽略)"",
  REGEXMATCH(C13131, ""薪資""), ""薪資變動(不計入)"",
  REGEXMATCH(C13131, ""押金""), ""押金往來"",
  AND(E13131&lt;&gt;"""", F13131=""""), ""真實支出"",
  AND(E13131="""", F13131&lt;&gt;""""), ""真實收入"",
  TRUE, ""其他""
)"),"其他")</f>
        <v>其他</v>
      </c>
      <c r="K13131" s="270" t="str">
        <f t="shared" si="2"/>
        <v/>
      </c>
      <c r="L13131">
        <f t="shared" si="3"/>
        <v>0</v>
      </c>
    </row>
    <row r="13132">
      <c r="A13132" s="107"/>
      <c r="D13132" s="270"/>
      <c r="H13132" s="106" t="str">
        <f t="shared" si="1"/>
        <v/>
      </c>
      <c r="J13132" t="str">
        <f>IFERROR(__xludf.DUMMYFUNCTION("IFS(
  AND(REGEXMATCH(E13132, ""台銀籌備帳戶|玉山帳戶""), REGEXMATCH(C13132, ""薪資"")), ""分潤支出"",
  AND(REGEXMATCH(E13132, ""Ben帳戶|Elsa帳戶|Ben代墊|Ariel代墊|中信銀行共用""), REGEXMATCH(F13132, ""Ben帳戶|Elsa帳戶|Ben代墊|Ariel代墊|中信銀行共用"")), ""內部轉帳(忽略)"",
  AND(E13132&lt;&gt;"""", F13132&lt;&gt;"&amp;""""", NOT(REGEXMATCH(C13132, ""薪資""))), ""內部轉帳(忽略)"",
  REGEXMATCH(C13132, ""薪資""), ""薪資變動(不計入)"",
  REGEXMATCH(C13132, ""押金""), ""押金往來"",
  AND(E13132&lt;&gt;"""", F13132=""""), ""真實支出"",
  AND(E13132="""", F13132&lt;&gt;""""), ""真實收入"",
  TRUE, ""其他""
)"),"其他")</f>
        <v>其他</v>
      </c>
      <c r="K13132" s="270" t="str">
        <f t="shared" si="2"/>
        <v/>
      </c>
      <c r="L13132">
        <f t="shared" si="3"/>
        <v>0</v>
      </c>
    </row>
    <row r="13133">
      <c r="A13133" s="107"/>
      <c r="D13133" s="270"/>
      <c r="H13133" s="106" t="str">
        <f t="shared" si="1"/>
        <v/>
      </c>
      <c r="J13133" t="str">
        <f>IFERROR(__xludf.DUMMYFUNCTION("IFS(
  AND(REGEXMATCH(E13133, ""台銀籌備帳戶|玉山帳戶""), REGEXMATCH(C13133, ""薪資"")), ""分潤支出"",
  AND(REGEXMATCH(E13133, ""Ben帳戶|Elsa帳戶|Ben代墊|Ariel代墊|中信銀行共用""), REGEXMATCH(F13133, ""Ben帳戶|Elsa帳戶|Ben代墊|Ariel代墊|中信銀行共用"")), ""內部轉帳(忽略)"",
  AND(E13133&lt;&gt;"""", F13133&lt;&gt;"&amp;""""", NOT(REGEXMATCH(C13133, ""薪資""))), ""內部轉帳(忽略)"",
  REGEXMATCH(C13133, ""薪資""), ""薪資變動(不計入)"",
  REGEXMATCH(C13133, ""押金""), ""押金往來"",
  AND(E13133&lt;&gt;"""", F13133=""""), ""真實支出"",
  AND(E13133="""", F13133&lt;&gt;""""), ""真實收入"",
  TRUE, ""其他""
)"),"其他")</f>
        <v>其他</v>
      </c>
      <c r="K13133" s="270" t="str">
        <f t="shared" si="2"/>
        <v/>
      </c>
      <c r="L13133">
        <f t="shared" si="3"/>
        <v>0</v>
      </c>
    </row>
    <row r="13134">
      <c r="A13134" s="107"/>
      <c r="D13134" s="270"/>
      <c r="H13134" s="106" t="str">
        <f t="shared" si="1"/>
        <v/>
      </c>
      <c r="J13134" t="str">
        <f>IFERROR(__xludf.DUMMYFUNCTION("IFS(
  AND(REGEXMATCH(E13134, ""台銀籌備帳戶|玉山帳戶""), REGEXMATCH(C13134, ""薪資"")), ""分潤支出"",
  AND(REGEXMATCH(E13134, ""Ben帳戶|Elsa帳戶|Ben代墊|Ariel代墊|中信銀行共用""), REGEXMATCH(F13134, ""Ben帳戶|Elsa帳戶|Ben代墊|Ariel代墊|中信銀行共用"")), ""內部轉帳(忽略)"",
  AND(E13134&lt;&gt;"""", F13134&lt;&gt;"&amp;""""", NOT(REGEXMATCH(C13134, ""薪資""))), ""內部轉帳(忽略)"",
  REGEXMATCH(C13134, ""薪資""), ""薪資變動(不計入)"",
  REGEXMATCH(C13134, ""押金""), ""押金往來"",
  AND(E13134&lt;&gt;"""", F13134=""""), ""真實支出"",
  AND(E13134="""", F13134&lt;&gt;""""), ""真實收入"",
  TRUE, ""其他""
)"),"其他")</f>
        <v>其他</v>
      </c>
      <c r="K13134" s="270" t="str">
        <f t="shared" si="2"/>
        <v/>
      </c>
      <c r="L13134">
        <f t="shared" si="3"/>
        <v>0</v>
      </c>
    </row>
    <row r="13135">
      <c r="A13135" s="107"/>
      <c r="D13135" s="270"/>
      <c r="H13135" s="106" t="str">
        <f t="shared" si="1"/>
        <v/>
      </c>
      <c r="J13135" t="str">
        <f>IFERROR(__xludf.DUMMYFUNCTION("IFS(
  AND(REGEXMATCH(E13135, ""台銀籌備帳戶|玉山帳戶""), REGEXMATCH(C13135, ""薪資"")), ""分潤支出"",
  AND(REGEXMATCH(E13135, ""Ben帳戶|Elsa帳戶|Ben代墊|Ariel代墊|中信銀行共用""), REGEXMATCH(F13135, ""Ben帳戶|Elsa帳戶|Ben代墊|Ariel代墊|中信銀行共用"")), ""內部轉帳(忽略)"",
  AND(E13135&lt;&gt;"""", F13135&lt;&gt;"&amp;""""", NOT(REGEXMATCH(C13135, ""薪資""))), ""內部轉帳(忽略)"",
  REGEXMATCH(C13135, ""薪資""), ""薪資變動(不計入)"",
  REGEXMATCH(C13135, ""押金""), ""押金往來"",
  AND(E13135&lt;&gt;"""", F13135=""""), ""真實支出"",
  AND(E13135="""", F13135&lt;&gt;""""), ""真實收入"",
  TRUE, ""其他""
)"),"其他")</f>
        <v>其他</v>
      </c>
      <c r="K13135" s="270" t="str">
        <f t="shared" si="2"/>
        <v/>
      </c>
      <c r="L13135">
        <f t="shared" si="3"/>
        <v>0</v>
      </c>
    </row>
    <row r="13136">
      <c r="A13136" s="107"/>
      <c r="D13136" s="270"/>
      <c r="H13136" s="106" t="str">
        <f t="shared" si="1"/>
        <v/>
      </c>
      <c r="J13136" t="str">
        <f>IFERROR(__xludf.DUMMYFUNCTION("IFS(
  AND(REGEXMATCH(E13136, ""台銀籌備帳戶|玉山帳戶""), REGEXMATCH(C13136, ""薪資"")), ""分潤支出"",
  AND(REGEXMATCH(E13136, ""Ben帳戶|Elsa帳戶|Ben代墊|Ariel代墊|中信銀行共用""), REGEXMATCH(F13136, ""Ben帳戶|Elsa帳戶|Ben代墊|Ariel代墊|中信銀行共用"")), ""內部轉帳(忽略)"",
  AND(E13136&lt;&gt;"""", F13136&lt;&gt;"&amp;""""", NOT(REGEXMATCH(C13136, ""薪資""))), ""內部轉帳(忽略)"",
  REGEXMATCH(C13136, ""薪資""), ""薪資變動(不計入)"",
  REGEXMATCH(C13136, ""押金""), ""押金往來"",
  AND(E13136&lt;&gt;"""", F13136=""""), ""真實支出"",
  AND(E13136="""", F13136&lt;&gt;""""), ""真實收入"",
  TRUE, ""其他""
)"),"其他")</f>
        <v>其他</v>
      </c>
      <c r="K13136" s="270" t="str">
        <f t="shared" si="2"/>
        <v/>
      </c>
      <c r="L13136">
        <f t="shared" si="3"/>
        <v>0</v>
      </c>
    </row>
    <row r="13137">
      <c r="A13137" s="107"/>
      <c r="D13137" s="270"/>
      <c r="H13137" s="106" t="str">
        <f t="shared" si="1"/>
        <v/>
      </c>
      <c r="J13137" t="str">
        <f>IFERROR(__xludf.DUMMYFUNCTION("IFS(
  AND(REGEXMATCH(E13137, ""台銀籌備帳戶|玉山帳戶""), REGEXMATCH(C13137, ""薪資"")), ""分潤支出"",
  AND(REGEXMATCH(E13137, ""Ben帳戶|Elsa帳戶|Ben代墊|Ariel代墊|中信銀行共用""), REGEXMATCH(F13137, ""Ben帳戶|Elsa帳戶|Ben代墊|Ariel代墊|中信銀行共用"")), ""內部轉帳(忽略)"",
  AND(E13137&lt;&gt;"""", F13137&lt;&gt;"&amp;""""", NOT(REGEXMATCH(C13137, ""薪資""))), ""內部轉帳(忽略)"",
  REGEXMATCH(C13137, ""薪資""), ""薪資變動(不計入)"",
  REGEXMATCH(C13137, ""押金""), ""押金往來"",
  AND(E13137&lt;&gt;"""", F13137=""""), ""真實支出"",
  AND(E13137="""", F13137&lt;&gt;""""), ""真實收入"",
  TRUE, ""其他""
)"),"其他")</f>
        <v>其他</v>
      </c>
      <c r="K13137" s="270" t="str">
        <f t="shared" si="2"/>
        <v/>
      </c>
      <c r="L13137">
        <f t="shared" si="3"/>
        <v>0</v>
      </c>
    </row>
    <row r="13138">
      <c r="A13138" s="107"/>
      <c r="D13138" s="270"/>
      <c r="H13138" s="106" t="str">
        <f t="shared" si="1"/>
        <v/>
      </c>
      <c r="J13138" t="str">
        <f>IFERROR(__xludf.DUMMYFUNCTION("IFS(
  AND(REGEXMATCH(E13138, ""台銀籌備帳戶|玉山帳戶""), REGEXMATCH(C13138, ""薪資"")), ""分潤支出"",
  AND(REGEXMATCH(E13138, ""Ben帳戶|Elsa帳戶|Ben代墊|Ariel代墊|中信銀行共用""), REGEXMATCH(F13138, ""Ben帳戶|Elsa帳戶|Ben代墊|Ariel代墊|中信銀行共用"")), ""內部轉帳(忽略)"",
  AND(E13138&lt;&gt;"""", F13138&lt;&gt;"&amp;""""", NOT(REGEXMATCH(C13138, ""薪資""))), ""內部轉帳(忽略)"",
  REGEXMATCH(C13138, ""薪資""), ""薪資變動(不計入)"",
  REGEXMATCH(C13138, ""押金""), ""押金往來"",
  AND(E13138&lt;&gt;"""", F13138=""""), ""真實支出"",
  AND(E13138="""", F13138&lt;&gt;""""), ""真實收入"",
  TRUE, ""其他""
)"),"其他")</f>
        <v>其他</v>
      </c>
      <c r="K13138" s="270" t="str">
        <f t="shared" si="2"/>
        <v/>
      </c>
      <c r="L13138">
        <f t="shared" si="3"/>
        <v>0</v>
      </c>
    </row>
    <row r="13139">
      <c r="A13139" s="107"/>
      <c r="D13139" s="270"/>
      <c r="H13139" s="106" t="str">
        <f t="shared" si="1"/>
        <v/>
      </c>
      <c r="J13139" t="str">
        <f>IFERROR(__xludf.DUMMYFUNCTION("IFS(
  AND(REGEXMATCH(E13139, ""台銀籌備帳戶|玉山帳戶""), REGEXMATCH(C13139, ""薪資"")), ""分潤支出"",
  AND(REGEXMATCH(E13139, ""Ben帳戶|Elsa帳戶|Ben代墊|Ariel代墊|中信銀行共用""), REGEXMATCH(F13139, ""Ben帳戶|Elsa帳戶|Ben代墊|Ariel代墊|中信銀行共用"")), ""內部轉帳(忽略)"",
  AND(E13139&lt;&gt;"""", F13139&lt;&gt;"&amp;""""", NOT(REGEXMATCH(C13139, ""薪資""))), ""內部轉帳(忽略)"",
  REGEXMATCH(C13139, ""薪資""), ""薪資變動(不計入)"",
  REGEXMATCH(C13139, ""押金""), ""押金往來"",
  AND(E13139&lt;&gt;"""", F13139=""""), ""真實支出"",
  AND(E13139="""", F13139&lt;&gt;""""), ""真實收入"",
  TRUE, ""其他""
)"),"其他")</f>
        <v>其他</v>
      </c>
      <c r="K13139" s="270" t="str">
        <f t="shared" si="2"/>
        <v/>
      </c>
      <c r="L13139">
        <f t="shared" si="3"/>
        <v>0</v>
      </c>
    </row>
    <row r="13140">
      <c r="A13140" s="107"/>
      <c r="D13140" s="270"/>
      <c r="H13140" s="106" t="str">
        <f t="shared" si="1"/>
        <v/>
      </c>
      <c r="J13140" t="str">
        <f>IFERROR(__xludf.DUMMYFUNCTION("IFS(
  AND(REGEXMATCH(E13140, ""台銀籌備帳戶|玉山帳戶""), REGEXMATCH(C13140, ""薪資"")), ""分潤支出"",
  AND(REGEXMATCH(E13140, ""Ben帳戶|Elsa帳戶|Ben代墊|Ariel代墊|中信銀行共用""), REGEXMATCH(F13140, ""Ben帳戶|Elsa帳戶|Ben代墊|Ariel代墊|中信銀行共用"")), ""內部轉帳(忽略)"",
  AND(E13140&lt;&gt;"""", F13140&lt;&gt;"&amp;""""", NOT(REGEXMATCH(C13140, ""薪資""))), ""內部轉帳(忽略)"",
  REGEXMATCH(C13140, ""薪資""), ""薪資變動(不計入)"",
  REGEXMATCH(C13140, ""押金""), ""押金往來"",
  AND(E13140&lt;&gt;"""", F13140=""""), ""真實支出"",
  AND(E13140="""", F13140&lt;&gt;""""), ""真實收入"",
  TRUE, ""其他""
)"),"其他")</f>
        <v>其他</v>
      </c>
      <c r="K13140" s="270" t="str">
        <f t="shared" si="2"/>
        <v/>
      </c>
      <c r="L13140">
        <f t="shared" si="3"/>
        <v>0</v>
      </c>
    </row>
    <row r="13141">
      <c r="A13141" s="107"/>
      <c r="D13141" s="270"/>
      <c r="H13141" s="106" t="str">
        <f t="shared" si="1"/>
        <v/>
      </c>
      <c r="J13141" t="str">
        <f>IFERROR(__xludf.DUMMYFUNCTION("IFS(
  AND(REGEXMATCH(E13141, ""台銀籌備帳戶|玉山帳戶""), REGEXMATCH(C13141, ""薪資"")), ""分潤支出"",
  AND(REGEXMATCH(E13141, ""Ben帳戶|Elsa帳戶|Ben代墊|Ariel代墊|中信銀行共用""), REGEXMATCH(F13141, ""Ben帳戶|Elsa帳戶|Ben代墊|Ariel代墊|中信銀行共用"")), ""內部轉帳(忽略)"",
  AND(E13141&lt;&gt;"""", F13141&lt;&gt;"&amp;""""", NOT(REGEXMATCH(C13141, ""薪資""))), ""內部轉帳(忽略)"",
  REGEXMATCH(C13141, ""薪資""), ""薪資變動(不計入)"",
  REGEXMATCH(C13141, ""押金""), ""押金往來"",
  AND(E13141&lt;&gt;"""", F13141=""""), ""真實支出"",
  AND(E13141="""", F13141&lt;&gt;""""), ""真實收入"",
  TRUE, ""其他""
)"),"其他")</f>
        <v>其他</v>
      </c>
      <c r="K13141" s="270" t="str">
        <f t="shared" si="2"/>
        <v/>
      </c>
      <c r="L13141">
        <f t="shared" si="3"/>
        <v>0</v>
      </c>
    </row>
    <row r="13142">
      <c r="A13142" s="107"/>
      <c r="D13142" s="270"/>
      <c r="H13142" s="106" t="str">
        <f t="shared" si="1"/>
        <v/>
      </c>
      <c r="J13142" t="str">
        <f>IFERROR(__xludf.DUMMYFUNCTION("IFS(
  AND(REGEXMATCH(E13142, ""台銀籌備帳戶|玉山帳戶""), REGEXMATCH(C13142, ""薪資"")), ""分潤支出"",
  AND(REGEXMATCH(E13142, ""Ben帳戶|Elsa帳戶|Ben代墊|Ariel代墊|中信銀行共用""), REGEXMATCH(F13142, ""Ben帳戶|Elsa帳戶|Ben代墊|Ariel代墊|中信銀行共用"")), ""內部轉帳(忽略)"",
  AND(E13142&lt;&gt;"""", F13142&lt;&gt;"&amp;""""", NOT(REGEXMATCH(C13142, ""薪資""))), ""內部轉帳(忽略)"",
  REGEXMATCH(C13142, ""薪資""), ""薪資變動(不計入)"",
  REGEXMATCH(C13142, ""押金""), ""押金往來"",
  AND(E13142&lt;&gt;"""", F13142=""""), ""真實支出"",
  AND(E13142="""", F13142&lt;&gt;""""), ""真實收入"",
  TRUE, ""其他""
)"),"其他")</f>
        <v>其他</v>
      </c>
      <c r="K13142" s="270" t="str">
        <f t="shared" si="2"/>
        <v/>
      </c>
      <c r="L13142">
        <f t="shared" si="3"/>
        <v>0</v>
      </c>
    </row>
    <row r="13143">
      <c r="A13143" s="107"/>
      <c r="D13143" s="270"/>
      <c r="H13143" s="106" t="str">
        <f t="shared" si="1"/>
        <v/>
      </c>
      <c r="J13143" t="str">
        <f>IFERROR(__xludf.DUMMYFUNCTION("IFS(
  AND(REGEXMATCH(E13143, ""台銀籌備帳戶|玉山帳戶""), REGEXMATCH(C13143, ""薪資"")), ""分潤支出"",
  AND(REGEXMATCH(E13143, ""Ben帳戶|Elsa帳戶|Ben代墊|Ariel代墊|中信銀行共用""), REGEXMATCH(F13143, ""Ben帳戶|Elsa帳戶|Ben代墊|Ariel代墊|中信銀行共用"")), ""內部轉帳(忽略)"",
  AND(E13143&lt;&gt;"""", F13143&lt;&gt;"&amp;""""", NOT(REGEXMATCH(C13143, ""薪資""))), ""內部轉帳(忽略)"",
  REGEXMATCH(C13143, ""薪資""), ""薪資變動(不計入)"",
  REGEXMATCH(C13143, ""押金""), ""押金往來"",
  AND(E13143&lt;&gt;"""", F13143=""""), ""真實支出"",
  AND(E13143="""", F13143&lt;&gt;""""), ""真實收入"",
  TRUE, ""其他""
)"),"其他")</f>
        <v>其他</v>
      </c>
      <c r="K13143" s="270" t="str">
        <f t="shared" si="2"/>
        <v/>
      </c>
      <c r="L13143">
        <f t="shared" si="3"/>
        <v>0</v>
      </c>
    </row>
    <row r="13144">
      <c r="A13144" s="107"/>
      <c r="D13144" s="270"/>
      <c r="H13144" s="106" t="str">
        <f t="shared" si="1"/>
        <v/>
      </c>
      <c r="J13144" t="str">
        <f>IFERROR(__xludf.DUMMYFUNCTION("IFS(
  AND(REGEXMATCH(E13144, ""台銀籌備帳戶|玉山帳戶""), REGEXMATCH(C13144, ""薪資"")), ""分潤支出"",
  AND(REGEXMATCH(E13144, ""Ben帳戶|Elsa帳戶|Ben代墊|Ariel代墊|中信銀行共用""), REGEXMATCH(F13144, ""Ben帳戶|Elsa帳戶|Ben代墊|Ariel代墊|中信銀行共用"")), ""內部轉帳(忽略)"",
  AND(E13144&lt;&gt;"""", F13144&lt;&gt;"&amp;""""", NOT(REGEXMATCH(C13144, ""薪資""))), ""內部轉帳(忽略)"",
  REGEXMATCH(C13144, ""薪資""), ""薪資變動(不計入)"",
  REGEXMATCH(C13144, ""押金""), ""押金往來"",
  AND(E13144&lt;&gt;"""", F13144=""""), ""真實支出"",
  AND(E13144="""", F13144&lt;&gt;""""), ""真實收入"",
  TRUE, ""其他""
)"),"其他")</f>
        <v>其他</v>
      </c>
      <c r="K13144" s="270" t="str">
        <f t="shared" si="2"/>
        <v/>
      </c>
      <c r="L13144">
        <f t="shared" si="3"/>
        <v>0</v>
      </c>
    </row>
    <row r="13145">
      <c r="A13145" s="107"/>
      <c r="D13145" s="270"/>
      <c r="H13145" s="106" t="str">
        <f t="shared" si="1"/>
        <v/>
      </c>
      <c r="J13145" t="str">
        <f>IFERROR(__xludf.DUMMYFUNCTION("IFS(
  AND(REGEXMATCH(E13145, ""台銀籌備帳戶|玉山帳戶""), REGEXMATCH(C13145, ""薪資"")), ""分潤支出"",
  AND(REGEXMATCH(E13145, ""Ben帳戶|Elsa帳戶|Ben代墊|Ariel代墊|中信銀行共用""), REGEXMATCH(F13145, ""Ben帳戶|Elsa帳戶|Ben代墊|Ariel代墊|中信銀行共用"")), ""內部轉帳(忽略)"",
  AND(E13145&lt;&gt;"""", F13145&lt;&gt;"&amp;""""", NOT(REGEXMATCH(C13145, ""薪資""))), ""內部轉帳(忽略)"",
  REGEXMATCH(C13145, ""薪資""), ""薪資變動(不計入)"",
  REGEXMATCH(C13145, ""押金""), ""押金往來"",
  AND(E13145&lt;&gt;"""", F13145=""""), ""真實支出"",
  AND(E13145="""", F13145&lt;&gt;""""), ""真實收入"",
  TRUE, ""其他""
)"),"其他")</f>
        <v>其他</v>
      </c>
      <c r="K13145" s="270" t="str">
        <f t="shared" si="2"/>
        <v/>
      </c>
      <c r="L13145">
        <f t="shared" si="3"/>
        <v>0</v>
      </c>
    </row>
    <row r="13146">
      <c r="A13146" s="107"/>
      <c r="D13146" s="270"/>
      <c r="H13146" s="106" t="str">
        <f t="shared" si="1"/>
        <v/>
      </c>
      <c r="J13146" t="str">
        <f>IFERROR(__xludf.DUMMYFUNCTION("IFS(
  AND(REGEXMATCH(E13146, ""台銀籌備帳戶|玉山帳戶""), REGEXMATCH(C13146, ""薪資"")), ""分潤支出"",
  AND(REGEXMATCH(E13146, ""Ben帳戶|Elsa帳戶|Ben代墊|Ariel代墊|中信銀行共用""), REGEXMATCH(F13146, ""Ben帳戶|Elsa帳戶|Ben代墊|Ariel代墊|中信銀行共用"")), ""內部轉帳(忽略)"",
  AND(E13146&lt;&gt;"""", F13146&lt;&gt;"&amp;""""", NOT(REGEXMATCH(C13146, ""薪資""))), ""內部轉帳(忽略)"",
  REGEXMATCH(C13146, ""薪資""), ""薪資變動(不計入)"",
  REGEXMATCH(C13146, ""押金""), ""押金往來"",
  AND(E13146&lt;&gt;"""", F13146=""""), ""真實支出"",
  AND(E13146="""", F13146&lt;&gt;""""), ""真實收入"",
  TRUE, ""其他""
)"),"其他")</f>
        <v>其他</v>
      </c>
      <c r="K13146" s="270" t="str">
        <f t="shared" si="2"/>
        <v/>
      </c>
      <c r="L13146">
        <f t="shared" si="3"/>
        <v>0</v>
      </c>
    </row>
    <row r="13147">
      <c r="A13147" s="107"/>
      <c r="D13147" s="270"/>
      <c r="H13147" s="106" t="str">
        <f t="shared" si="1"/>
        <v/>
      </c>
      <c r="J13147" t="str">
        <f>IFERROR(__xludf.DUMMYFUNCTION("IFS(
  AND(REGEXMATCH(E13147, ""台銀籌備帳戶|玉山帳戶""), REGEXMATCH(C13147, ""薪資"")), ""分潤支出"",
  AND(REGEXMATCH(E13147, ""Ben帳戶|Elsa帳戶|Ben代墊|Ariel代墊|中信銀行共用""), REGEXMATCH(F13147, ""Ben帳戶|Elsa帳戶|Ben代墊|Ariel代墊|中信銀行共用"")), ""內部轉帳(忽略)"",
  AND(E13147&lt;&gt;"""", F13147&lt;&gt;"&amp;""""", NOT(REGEXMATCH(C13147, ""薪資""))), ""內部轉帳(忽略)"",
  REGEXMATCH(C13147, ""薪資""), ""薪資變動(不計入)"",
  REGEXMATCH(C13147, ""押金""), ""押金往來"",
  AND(E13147&lt;&gt;"""", F13147=""""), ""真實支出"",
  AND(E13147="""", F13147&lt;&gt;""""), ""真實收入"",
  TRUE, ""其他""
)"),"其他")</f>
        <v>其他</v>
      </c>
      <c r="K13147" s="270" t="str">
        <f t="shared" si="2"/>
        <v/>
      </c>
      <c r="L13147">
        <f t="shared" si="3"/>
        <v>0</v>
      </c>
    </row>
    <row r="13148">
      <c r="A13148" s="107"/>
      <c r="D13148" s="270"/>
      <c r="H13148" s="106" t="str">
        <f t="shared" si="1"/>
        <v/>
      </c>
      <c r="J13148" t="str">
        <f>IFERROR(__xludf.DUMMYFUNCTION("IFS(
  AND(REGEXMATCH(E13148, ""台銀籌備帳戶|玉山帳戶""), REGEXMATCH(C13148, ""薪資"")), ""分潤支出"",
  AND(REGEXMATCH(E13148, ""Ben帳戶|Elsa帳戶|Ben代墊|Ariel代墊|中信銀行共用""), REGEXMATCH(F13148, ""Ben帳戶|Elsa帳戶|Ben代墊|Ariel代墊|中信銀行共用"")), ""內部轉帳(忽略)"",
  AND(E13148&lt;&gt;"""", F13148&lt;&gt;"&amp;""""", NOT(REGEXMATCH(C13148, ""薪資""))), ""內部轉帳(忽略)"",
  REGEXMATCH(C13148, ""薪資""), ""薪資變動(不計入)"",
  REGEXMATCH(C13148, ""押金""), ""押金往來"",
  AND(E13148&lt;&gt;"""", F13148=""""), ""真實支出"",
  AND(E13148="""", F13148&lt;&gt;""""), ""真實收入"",
  TRUE, ""其他""
)"),"其他")</f>
        <v>其他</v>
      </c>
      <c r="K13148" s="270" t="str">
        <f t="shared" si="2"/>
        <v/>
      </c>
      <c r="L13148">
        <f t="shared" si="3"/>
        <v>0</v>
      </c>
    </row>
    <row r="13149">
      <c r="A13149" s="107"/>
      <c r="D13149" s="270"/>
      <c r="H13149" s="106" t="str">
        <f t="shared" si="1"/>
        <v/>
      </c>
      <c r="J13149" t="str">
        <f>IFERROR(__xludf.DUMMYFUNCTION("IFS(
  AND(REGEXMATCH(E13149, ""台銀籌備帳戶|玉山帳戶""), REGEXMATCH(C13149, ""薪資"")), ""分潤支出"",
  AND(REGEXMATCH(E13149, ""Ben帳戶|Elsa帳戶|Ben代墊|Ariel代墊|中信銀行共用""), REGEXMATCH(F13149, ""Ben帳戶|Elsa帳戶|Ben代墊|Ariel代墊|中信銀行共用"")), ""內部轉帳(忽略)"",
  AND(E13149&lt;&gt;"""", F13149&lt;&gt;"&amp;""""", NOT(REGEXMATCH(C13149, ""薪資""))), ""內部轉帳(忽略)"",
  REGEXMATCH(C13149, ""薪資""), ""薪資變動(不計入)"",
  REGEXMATCH(C13149, ""押金""), ""押金往來"",
  AND(E13149&lt;&gt;"""", F13149=""""), ""真實支出"",
  AND(E13149="""", F13149&lt;&gt;""""), ""真實收入"",
  TRUE, ""其他""
)"),"其他")</f>
        <v>其他</v>
      </c>
      <c r="K13149" s="270" t="str">
        <f t="shared" si="2"/>
        <v/>
      </c>
      <c r="L13149">
        <f t="shared" si="3"/>
        <v>0</v>
      </c>
    </row>
    <row r="13150">
      <c r="A13150" s="107"/>
      <c r="D13150" s="270"/>
      <c r="H13150" s="106" t="str">
        <f t="shared" si="1"/>
        <v/>
      </c>
      <c r="J13150" t="str">
        <f>IFERROR(__xludf.DUMMYFUNCTION("IFS(
  AND(REGEXMATCH(E13150, ""台銀籌備帳戶|玉山帳戶""), REGEXMATCH(C13150, ""薪資"")), ""分潤支出"",
  AND(REGEXMATCH(E13150, ""Ben帳戶|Elsa帳戶|Ben代墊|Ariel代墊|中信銀行共用""), REGEXMATCH(F13150, ""Ben帳戶|Elsa帳戶|Ben代墊|Ariel代墊|中信銀行共用"")), ""內部轉帳(忽略)"",
  AND(E13150&lt;&gt;"""", F13150&lt;&gt;"&amp;""""", NOT(REGEXMATCH(C13150, ""薪資""))), ""內部轉帳(忽略)"",
  REGEXMATCH(C13150, ""薪資""), ""薪資變動(不計入)"",
  REGEXMATCH(C13150, ""押金""), ""押金往來"",
  AND(E13150&lt;&gt;"""", F13150=""""), ""真實支出"",
  AND(E13150="""", F13150&lt;&gt;""""), ""真實收入"",
  TRUE, ""其他""
)"),"其他")</f>
        <v>其他</v>
      </c>
      <c r="K13150" s="270" t="str">
        <f t="shared" si="2"/>
        <v/>
      </c>
      <c r="L13150">
        <f t="shared" si="3"/>
        <v>0</v>
      </c>
    </row>
    <row r="13151">
      <c r="A13151" s="107"/>
      <c r="D13151" s="270"/>
      <c r="H13151" s="106" t="str">
        <f t="shared" si="1"/>
        <v/>
      </c>
      <c r="J13151" t="str">
        <f>IFERROR(__xludf.DUMMYFUNCTION("IFS(
  AND(REGEXMATCH(E13151, ""台銀籌備帳戶|玉山帳戶""), REGEXMATCH(C13151, ""薪資"")), ""分潤支出"",
  AND(REGEXMATCH(E13151, ""Ben帳戶|Elsa帳戶|Ben代墊|Ariel代墊|中信銀行共用""), REGEXMATCH(F13151, ""Ben帳戶|Elsa帳戶|Ben代墊|Ariel代墊|中信銀行共用"")), ""內部轉帳(忽略)"",
  AND(E13151&lt;&gt;"""", F13151&lt;&gt;"&amp;""""", NOT(REGEXMATCH(C13151, ""薪資""))), ""內部轉帳(忽略)"",
  REGEXMATCH(C13151, ""薪資""), ""薪資變動(不計入)"",
  REGEXMATCH(C13151, ""押金""), ""押金往來"",
  AND(E13151&lt;&gt;"""", F13151=""""), ""真實支出"",
  AND(E13151="""", F13151&lt;&gt;""""), ""真實收入"",
  TRUE, ""其他""
)"),"其他")</f>
        <v>其他</v>
      </c>
      <c r="K13151" s="270" t="str">
        <f t="shared" si="2"/>
        <v/>
      </c>
      <c r="L13151">
        <f t="shared" si="3"/>
        <v>0</v>
      </c>
    </row>
    <row r="13152">
      <c r="A13152" s="107"/>
      <c r="D13152" s="270"/>
      <c r="H13152" s="106" t="str">
        <f t="shared" si="1"/>
        <v/>
      </c>
      <c r="J13152" t="str">
        <f>IFERROR(__xludf.DUMMYFUNCTION("IFS(
  AND(REGEXMATCH(E13152, ""台銀籌備帳戶|玉山帳戶""), REGEXMATCH(C13152, ""薪資"")), ""分潤支出"",
  AND(REGEXMATCH(E13152, ""Ben帳戶|Elsa帳戶|Ben代墊|Ariel代墊|中信銀行共用""), REGEXMATCH(F13152, ""Ben帳戶|Elsa帳戶|Ben代墊|Ariel代墊|中信銀行共用"")), ""內部轉帳(忽略)"",
  AND(E13152&lt;&gt;"""", F13152&lt;&gt;"&amp;""""", NOT(REGEXMATCH(C13152, ""薪資""))), ""內部轉帳(忽略)"",
  REGEXMATCH(C13152, ""薪資""), ""薪資變動(不計入)"",
  REGEXMATCH(C13152, ""押金""), ""押金往來"",
  AND(E13152&lt;&gt;"""", F13152=""""), ""真實支出"",
  AND(E13152="""", F13152&lt;&gt;""""), ""真實收入"",
  TRUE, ""其他""
)"),"其他")</f>
        <v>其他</v>
      </c>
      <c r="K13152" s="270" t="str">
        <f t="shared" si="2"/>
        <v/>
      </c>
      <c r="L13152">
        <f t="shared" si="3"/>
        <v>0</v>
      </c>
    </row>
    <row r="13153">
      <c r="A13153" s="107"/>
      <c r="D13153" s="270"/>
      <c r="H13153" s="106" t="str">
        <f t="shared" si="1"/>
        <v/>
      </c>
      <c r="J13153" t="str">
        <f>IFERROR(__xludf.DUMMYFUNCTION("IFS(
  AND(REGEXMATCH(E13153, ""台銀籌備帳戶|玉山帳戶""), REGEXMATCH(C13153, ""薪資"")), ""分潤支出"",
  AND(REGEXMATCH(E13153, ""Ben帳戶|Elsa帳戶|Ben代墊|Ariel代墊|中信銀行共用""), REGEXMATCH(F13153, ""Ben帳戶|Elsa帳戶|Ben代墊|Ariel代墊|中信銀行共用"")), ""內部轉帳(忽略)"",
  AND(E13153&lt;&gt;"""", F13153&lt;&gt;"&amp;""""", NOT(REGEXMATCH(C13153, ""薪資""))), ""內部轉帳(忽略)"",
  REGEXMATCH(C13153, ""薪資""), ""薪資變動(不計入)"",
  REGEXMATCH(C13153, ""押金""), ""押金往來"",
  AND(E13153&lt;&gt;"""", F13153=""""), ""真實支出"",
  AND(E13153="""", F13153&lt;&gt;""""), ""真實收入"",
  TRUE, ""其他""
)"),"其他")</f>
        <v>其他</v>
      </c>
      <c r="K13153" s="270" t="str">
        <f t="shared" si="2"/>
        <v/>
      </c>
      <c r="L13153">
        <f t="shared" si="3"/>
        <v>0</v>
      </c>
    </row>
    <row r="13154">
      <c r="A13154" s="107"/>
      <c r="D13154" s="270"/>
      <c r="H13154" s="106" t="str">
        <f t="shared" si="1"/>
        <v/>
      </c>
      <c r="J13154" t="str">
        <f>IFERROR(__xludf.DUMMYFUNCTION("IFS(
  AND(REGEXMATCH(E13154, ""台銀籌備帳戶|玉山帳戶""), REGEXMATCH(C13154, ""薪資"")), ""分潤支出"",
  AND(REGEXMATCH(E13154, ""Ben帳戶|Elsa帳戶|Ben代墊|Ariel代墊|中信銀行共用""), REGEXMATCH(F13154, ""Ben帳戶|Elsa帳戶|Ben代墊|Ariel代墊|中信銀行共用"")), ""內部轉帳(忽略)"",
  AND(E13154&lt;&gt;"""", F13154&lt;&gt;"&amp;""""", NOT(REGEXMATCH(C13154, ""薪資""))), ""內部轉帳(忽略)"",
  REGEXMATCH(C13154, ""薪資""), ""薪資變動(不計入)"",
  REGEXMATCH(C13154, ""押金""), ""押金往來"",
  AND(E13154&lt;&gt;"""", F13154=""""), ""真實支出"",
  AND(E13154="""", F13154&lt;&gt;""""), ""真實收入"",
  TRUE, ""其他""
)"),"其他")</f>
        <v>其他</v>
      </c>
      <c r="K13154" s="270" t="str">
        <f t="shared" si="2"/>
        <v/>
      </c>
      <c r="L13154">
        <f t="shared" si="3"/>
        <v>0</v>
      </c>
    </row>
    <row r="13155">
      <c r="A13155" s="107"/>
      <c r="D13155" s="270"/>
      <c r="H13155" s="106" t="str">
        <f t="shared" si="1"/>
        <v/>
      </c>
      <c r="J13155" t="str">
        <f>IFERROR(__xludf.DUMMYFUNCTION("IFS(
  AND(REGEXMATCH(E13155, ""台銀籌備帳戶|玉山帳戶""), REGEXMATCH(C13155, ""薪資"")), ""分潤支出"",
  AND(REGEXMATCH(E13155, ""Ben帳戶|Elsa帳戶|Ben代墊|Ariel代墊|中信銀行共用""), REGEXMATCH(F13155, ""Ben帳戶|Elsa帳戶|Ben代墊|Ariel代墊|中信銀行共用"")), ""內部轉帳(忽略)"",
  AND(E13155&lt;&gt;"""", F13155&lt;&gt;"&amp;""""", NOT(REGEXMATCH(C13155, ""薪資""))), ""內部轉帳(忽略)"",
  REGEXMATCH(C13155, ""薪資""), ""薪資變動(不計入)"",
  REGEXMATCH(C13155, ""押金""), ""押金往來"",
  AND(E13155&lt;&gt;"""", F13155=""""), ""真實支出"",
  AND(E13155="""", F13155&lt;&gt;""""), ""真實收入"",
  TRUE, ""其他""
)"),"其他")</f>
        <v>其他</v>
      </c>
      <c r="K13155" s="270" t="str">
        <f t="shared" si="2"/>
        <v/>
      </c>
      <c r="L13155">
        <f t="shared" si="3"/>
        <v>0</v>
      </c>
    </row>
    <row r="13156">
      <c r="A13156" s="107"/>
      <c r="D13156" s="270"/>
      <c r="H13156" s="106" t="str">
        <f t="shared" si="1"/>
        <v/>
      </c>
      <c r="J13156" t="str">
        <f>IFERROR(__xludf.DUMMYFUNCTION("IFS(
  AND(REGEXMATCH(E13156, ""台銀籌備帳戶|玉山帳戶""), REGEXMATCH(C13156, ""薪資"")), ""分潤支出"",
  AND(REGEXMATCH(E13156, ""Ben帳戶|Elsa帳戶|Ben代墊|Ariel代墊|中信銀行共用""), REGEXMATCH(F13156, ""Ben帳戶|Elsa帳戶|Ben代墊|Ariel代墊|中信銀行共用"")), ""內部轉帳(忽略)"",
  AND(E13156&lt;&gt;"""", F13156&lt;&gt;"&amp;""""", NOT(REGEXMATCH(C13156, ""薪資""))), ""內部轉帳(忽略)"",
  REGEXMATCH(C13156, ""薪資""), ""薪資變動(不計入)"",
  REGEXMATCH(C13156, ""押金""), ""押金往來"",
  AND(E13156&lt;&gt;"""", F13156=""""), ""真實支出"",
  AND(E13156="""", F13156&lt;&gt;""""), ""真實收入"",
  TRUE, ""其他""
)"),"其他")</f>
        <v>其他</v>
      </c>
      <c r="K13156" s="270" t="str">
        <f t="shared" si="2"/>
        <v/>
      </c>
      <c r="L13156">
        <f t="shared" si="3"/>
        <v>0</v>
      </c>
    </row>
    <row r="13157">
      <c r="A13157" s="107"/>
      <c r="D13157" s="270"/>
      <c r="H13157" s="106" t="str">
        <f t="shared" si="1"/>
        <v/>
      </c>
      <c r="J13157" t="str">
        <f>IFERROR(__xludf.DUMMYFUNCTION("IFS(
  AND(REGEXMATCH(E13157, ""台銀籌備帳戶|玉山帳戶""), REGEXMATCH(C13157, ""薪資"")), ""分潤支出"",
  AND(REGEXMATCH(E13157, ""Ben帳戶|Elsa帳戶|Ben代墊|Ariel代墊|中信銀行共用""), REGEXMATCH(F13157, ""Ben帳戶|Elsa帳戶|Ben代墊|Ariel代墊|中信銀行共用"")), ""內部轉帳(忽略)"",
  AND(E13157&lt;&gt;"""", F13157&lt;&gt;"&amp;""""", NOT(REGEXMATCH(C13157, ""薪資""))), ""內部轉帳(忽略)"",
  REGEXMATCH(C13157, ""薪資""), ""薪資變動(不計入)"",
  REGEXMATCH(C13157, ""押金""), ""押金往來"",
  AND(E13157&lt;&gt;"""", F13157=""""), ""真實支出"",
  AND(E13157="""", F13157&lt;&gt;""""), ""真實收入"",
  TRUE, ""其他""
)"),"其他")</f>
        <v>其他</v>
      </c>
      <c r="K13157" s="270" t="str">
        <f t="shared" si="2"/>
        <v/>
      </c>
      <c r="L13157">
        <f t="shared" si="3"/>
        <v>0</v>
      </c>
    </row>
    <row r="13158">
      <c r="A13158" s="107"/>
      <c r="D13158" s="270"/>
      <c r="H13158" s="106" t="str">
        <f t="shared" si="1"/>
        <v/>
      </c>
      <c r="J13158" t="str">
        <f>IFERROR(__xludf.DUMMYFUNCTION("IFS(
  AND(REGEXMATCH(E13158, ""台銀籌備帳戶|玉山帳戶""), REGEXMATCH(C13158, ""薪資"")), ""分潤支出"",
  AND(REGEXMATCH(E13158, ""Ben帳戶|Elsa帳戶|Ben代墊|Ariel代墊|中信銀行共用""), REGEXMATCH(F13158, ""Ben帳戶|Elsa帳戶|Ben代墊|Ariel代墊|中信銀行共用"")), ""內部轉帳(忽略)"",
  AND(E13158&lt;&gt;"""", F13158&lt;&gt;"&amp;""""", NOT(REGEXMATCH(C13158, ""薪資""))), ""內部轉帳(忽略)"",
  REGEXMATCH(C13158, ""薪資""), ""薪資變動(不計入)"",
  REGEXMATCH(C13158, ""押金""), ""押金往來"",
  AND(E13158&lt;&gt;"""", F13158=""""), ""真實支出"",
  AND(E13158="""", F13158&lt;&gt;""""), ""真實收入"",
  TRUE, ""其他""
)"),"其他")</f>
        <v>其他</v>
      </c>
      <c r="K13158" s="270" t="str">
        <f t="shared" si="2"/>
        <v/>
      </c>
      <c r="L13158">
        <f t="shared" si="3"/>
        <v>0</v>
      </c>
    </row>
    <row r="13159">
      <c r="A13159" s="107"/>
      <c r="D13159" s="270"/>
      <c r="H13159" s="106" t="str">
        <f t="shared" si="1"/>
        <v/>
      </c>
      <c r="J13159" t="str">
        <f>IFERROR(__xludf.DUMMYFUNCTION("IFS(
  AND(REGEXMATCH(E13159, ""台銀籌備帳戶|玉山帳戶""), REGEXMATCH(C13159, ""薪資"")), ""分潤支出"",
  AND(REGEXMATCH(E13159, ""Ben帳戶|Elsa帳戶|Ben代墊|Ariel代墊|中信銀行共用""), REGEXMATCH(F13159, ""Ben帳戶|Elsa帳戶|Ben代墊|Ariel代墊|中信銀行共用"")), ""內部轉帳(忽略)"",
  AND(E13159&lt;&gt;"""", F13159&lt;&gt;"&amp;""""", NOT(REGEXMATCH(C13159, ""薪資""))), ""內部轉帳(忽略)"",
  REGEXMATCH(C13159, ""薪資""), ""薪資變動(不計入)"",
  REGEXMATCH(C13159, ""押金""), ""押金往來"",
  AND(E13159&lt;&gt;"""", F13159=""""), ""真實支出"",
  AND(E13159="""", F13159&lt;&gt;""""), ""真實收入"",
  TRUE, ""其他""
)"),"其他")</f>
        <v>其他</v>
      </c>
      <c r="K13159" s="270" t="str">
        <f t="shared" si="2"/>
        <v/>
      </c>
      <c r="L13159">
        <f t="shared" si="3"/>
        <v>0</v>
      </c>
    </row>
    <row r="13160">
      <c r="A13160" s="107"/>
      <c r="D13160" s="270"/>
      <c r="H13160" s="106" t="str">
        <f t="shared" si="1"/>
        <v/>
      </c>
      <c r="J13160" t="str">
        <f>IFERROR(__xludf.DUMMYFUNCTION("IFS(
  AND(REGEXMATCH(E13160, ""台銀籌備帳戶|玉山帳戶""), REGEXMATCH(C13160, ""薪資"")), ""分潤支出"",
  AND(REGEXMATCH(E13160, ""Ben帳戶|Elsa帳戶|Ben代墊|Ariel代墊|中信銀行共用""), REGEXMATCH(F13160, ""Ben帳戶|Elsa帳戶|Ben代墊|Ariel代墊|中信銀行共用"")), ""內部轉帳(忽略)"",
  AND(E13160&lt;&gt;"""", F13160&lt;&gt;"&amp;""""", NOT(REGEXMATCH(C13160, ""薪資""))), ""內部轉帳(忽略)"",
  REGEXMATCH(C13160, ""薪資""), ""薪資變動(不計入)"",
  REGEXMATCH(C13160, ""押金""), ""押金往來"",
  AND(E13160&lt;&gt;"""", F13160=""""), ""真實支出"",
  AND(E13160="""", F13160&lt;&gt;""""), ""真實收入"",
  TRUE, ""其他""
)"),"其他")</f>
        <v>其他</v>
      </c>
      <c r="K13160" s="270" t="str">
        <f t="shared" si="2"/>
        <v/>
      </c>
      <c r="L13160">
        <f t="shared" si="3"/>
        <v>0</v>
      </c>
    </row>
    <row r="13161">
      <c r="A13161" s="107"/>
      <c r="D13161" s="270"/>
      <c r="H13161" s="106" t="str">
        <f t="shared" si="1"/>
        <v/>
      </c>
      <c r="J13161" t="str">
        <f>IFERROR(__xludf.DUMMYFUNCTION("IFS(
  AND(REGEXMATCH(E13161, ""台銀籌備帳戶|玉山帳戶""), REGEXMATCH(C13161, ""薪資"")), ""分潤支出"",
  AND(REGEXMATCH(E13161, ""Ben帳戶|Elsa帳戶|Ben代墊|Ariel代墊|中信銀行共用""), REGEXMATCH(F13161, ""Ben帳戶|Elsa帳戶|Ben代墊|Ariel代墊|中信銀行共用"")), ""內部轉帳(忽略)"",
  AND(E13161&lt;&gt;"""", F13161&lt;&gt;"&amp;""""", NOT(REGEXMATCH(C13161, ""薪資""))), ""內部轉帳(忽略)"",
  REGEXMATCH(C13161, ""薪資""), ""薪資變動(不計入)"",
  REGEXMATCH(C13161, ""押金""), ""押金往來"",
  AND(E13161&lt;&gt;"""", F13161=""""), ""真實支出"",
  AND(E13161="""", F13161&lt;&gt;""""), ""真實收入"",
  TRUE, ""其他""
)"),"其他")</f>
        <v>其他</v>
      </c>
      <c r="K13161" s="270" t="str">
        <f t="shared" si="2"/>
        <v/>
      </c>
      <c r="L13161">
        <f t="shared" si="3"/>
        <v>0</v>
      </c>
    </row>
    <row r="13162">
      <c r="A13162" s="107"/>
      <c r="D13162" s="270"/>
      <c r="H13162" s="106" t="str">
        <f t="shared" si="1"/>
        <v/>
      </c>
      <c r="J13162" t="str">
        <f>IFERROR(__xludf.DUMMYFUNCTION("IFS(
  AND(REGEXMATCH(E13162, ""台銀籌備帳戶|玉山帳戶""), REGEXMATCH(C13162, ""薪資"")), ""分潤支出"",
  AND(REGEXMATCH(E13162, ""Ben帳戶|Elsa帳戶|Ben代墊|Ariel代墊|中信銀行共用""), REGEXMATCH(F13162, ""Ben帳戶|Elsa帳戶|Ben代墊|Ariel代墊|中信銀行共用"")), ""內部轉帳(忽略)"",
  AND(E13162&lt;&gt;"""", F13162&lt;&gt;"&amp;""""", NOT(REGEXMATCH(C13162, ""薪資""))), ""內部轉帳(忽略)"",
  REGEXMATCH(C13162, ""薪資""), ""薪資變動(不計入)"",
  REGEXMATCH(C13162, ""押金""), ""押金往來"",
  AND(E13162&lt;&gt;"""", F13162=""""), ""真實支出"",
  AND(E13162="""", F13162&lt;&gt;""""), ""真實收入"",
  TRUE, ""其他""
)"),"其他")</f>
        <v>其他</v>
      </c>
      <c r="K13162" s="270" t="str">
        <f t="shared" si="2"/>
        <v/>
      </c>
      <c r="L13162">
        <f t="shared" si="3"/>
        <v>0</v>
      </c>
    </row>
    <row r="13163">
      <c r="A13163" s="107"/>
      <c r="D13163" s="270"/>
      <c r="H13163" s="106" t="str">
        <f t="shared" si="1"/>
        <v/>
      </c>
      <c r="J13163" t="str">
        <f>IFERROR(__xludf.DUMMYFUNCTION("IFS(
  AND(REGEXMATCH(E13163, ""台銀籌備帳戶|玉山帳戶""), REGEXMATCH(C13163, ""薪資"")), ""分潤支出"",
  AND(REGEXMATCH(E13163, ""Ben帳戶|Elsa帳戶|Ben代墊|Ariel代墊|中信銀行共用""), REGEXMATCH(F13163, ""Ben帳戶|Elsa帳戶|Ben代墊|Ariel代墊|中信銀行共用"")), ""內部轉帳(忽略)"",
  AND(E13163&lt;&gt;"""", F13163&lt;&gt;"&amp;""""", NOT(REGEXMATCH(C13163, ""薪資""))), ""內部轉帳(忽略)"",
  REGEXMATCH(C13163, ""薪資""), ""薪資變動(不計入)"",
  REGEXMATCH(C13163, ""押金""), ""押金往來"",
  AND(E13163&lt;&gt;"""", F13163=""""), ""真實支出"",
  AND(E13163="""", F13163&lt;&gt;""""), ""真實收入"",
  TRUE, ""其他""
)"),"其他")</f>
        <v>其他</v>
      </c>
      <c r="K13163" s="270" t="str">
        <f t="shared" si="2"/>
        <v/>
      </c>
      <c r="L13163">
        <f t="shared" si="3"/>
        <v>0</v>
      </c>
    </row>
    <row r="13164">
      <c r="A13164" s="107"/>
      <c r="D13164" s="270"/>
      <c r="H13164" s="106" t="str">
        <f t="shared" si="1"/>
        <v/>
      </c>
      <c r="J13164" t="str">
        <f>IFERROR(__xludf.DUMMYFUNCTION("IFS(
  AND(REGEXMATCH(E13164, ""台銀籌備帳戶|玉山帳戶""), REGEXMATCH(C13164, ""薪資"")), ""分潤支出"",
  AND(REGEXMATCH(E13164, ""Ben帳戶|Elsa帳戶|Ben代墊|Ariel代墊|中信銀行共用""), REGEXMATCH(F13164, ""Ben帳戶|Elsa帳戶|Ben代墊|Ariel代墊|中信銀行共用"")), ""內部轉帳(忽略)"",
  AND(E13164&lt;&gt;"""", F13164&lt;&gt;"&amp;""""", NOT(REGEXMATCH(C13164, ""薪資""))), ""內部轉帳(忽略)"",
  REGEXMATCH(C13164, ""薪資""), ""薪資變動(不計入)"",
  REGEXMATCH(C13164, ""押金""), ""押金往來"",
  AND(E13164&lt;&gt;"""", F13164=""""), ""真實支出"",
  AND(E13164="""", F13164&lt;&gt;""""), ""真實收入"",
  TRUE, ""其他""
)"),"其他")</f>
        <v>其他</v>
      </c>
      <c r="K13164" s="270" t="str">
        <f t="shared" si="2"/>
        <v/>
      </c>
      <c r="L13164">
        <f t="shared" si="3"/>
        <v>0</v>
      </c>
    </row>
    <row r="13165">
      <c r="A13165" s="107"/>
      <c r="D13165" s="270"/>
      <c r="H13165" s="106" t="str">
        <f t="shared" si="1"/>
        <v/>
      </c>
      <c r="J13165" t="str">
        <f>IFERROR(__xludf.DUMMYFUNCTION("IFS(
  AND(REGEXMATCH(E13165, ""台銀籌備帳戶|玉山帳戶""), REGEXMATCH(C13165, ""薪資"")), ""分潤支出"",
  AND(REGEXMATCH(E13165, ""Ben帳戶|Elsa帳戶|Ben代墊|Ariel代墊|中信銀行共用""), REGEXMATCH(F13165, ""Ben帳戶|Elsa帳戶|Ben代墊|Ariel代墊|中信銀行共用"")), ""內部轉帳(忽略)"",
  AND(E13165&lt;&gt;"""", F13165&lt;&gt;"&amp;""""", NOT(REGEXMATCH(C13165, ""薪資""))), ""內部轉帳(忽略)"",
  REGEXMATCH(C13165, ""薪資""), ""薪資變動(不計入)"",
  REGEXMATCH(C13165, ""押金""), ""押金往來"",
  AND(E13165&lt;&gt;"""", F13165=""""), ""真實支出"",
  AND(E13165="""", F13165&lt;&gt;""""), ""真實收入"",
  TRUE, ""其他""
)"),"其他")</f>
        <v>其他</v>
      </c>
      <c r="K13165" s="270" t="str">
        <f t="shared" si="2"/>
        <v/>
      </c>
      <c r="L13165">
        <f t="shared" si="3"/>
        <v>0</v>
      </c>
    </row>
    <row r="13166">
      <c r="A13166" s="107"/>
      <c r="D13166" s="270"/>
      <c r="H13166" s="106" t="str">
        <f t="shared" si="1"/>
        <v/>
      </c>
      <c r="J13166" t="str">
        <f>IFERROR(__xludf.DUMMYFUNCTION("IFS(
  AND(REGEXMATCH(E13166, ""台銀籌備帳戶|玉山帳戶""), REGEXMATCH(C13166, ""薪資"")), ""分潤支出"",
  AND(REGEXMATCH(E13166, ""Ben帳戶|Elsa帳戶|Ben代墊|Ariel代墊|中信銀行共用""), REGEXMATCH(F13166, ""Ben帳戶|Elsa帳戶|Ben代墊|Ariel代墊|中信銀行共用"")), ""內部轉帳(忽略)"",
  AND(E13166&lt;&gt;"""", F13166&lt;&gt;"&amp;""""", NOT(REGEXMATCH(C13166, ""薪資""))), ""內部轉帳(忽略)"",
  REGEXMATCH(C13166, ""薪資""), ""薪資變動(不計入)"",
  REGEXMATCH(C13166, ""押金""), ""押金往來"",
  AND(E13166&lt;&gt;"""", F13166=""""), ""真實支出"",
  AND(E13166="""", F13166&lt;&gt;""""), ""真實收入"",
  TRUE, ""其他""
)"),"其他")</f>
        <v>其他</v>
      </c>
      <c r="K13166" s="270" t="str">
        <f t="shared" si="2"/>
        <v/>
      </c>
      <c r="L13166">
        <f t="shared" si="3"/>
        <v>0</v>
      </c>
    </row>
    <row r="13167">
      <c r="A13167" s="107"/>
      <c r="D13167" s="270"/>
      <c r="H13167" s="106" t="str">
        <f t="shared" si="1"/>
        <v/>
      </c>
      <c r="J13167" t="str">
        <f>IFERROR(__xludf.DUMMYFUNCTION("IFS(
  AND(REGEXMATCH(E13167, ""台銀籌備帳戶|玉山帳戶""), REGEXMATCH(C13167, ""薪資"")), ""分潤支出"",
  AND(REGEXMATCH(E13167, ""Ben帳戶|Elsa帳戶|Ben代墊|Ariel代墊|中信銀行共用""), REGEXMATCH(F13167, ""Ben帳戶|Elsa帳戶|Ben代墊|Ariel代墊|中信銀行共用"")), ""內部轉帳(忽略)"",
  AND(E13167&lt;&gt;"""", F13167&lt;&gt;"&amp;""""", NOT(REGEXMATCH(C13167, ""薪資""))), ""內部轉帳(忽略)"",
  REGEXMATCH(C13167, ""薪資""), ""薪資變動(不計入)"",
  REGEXMATCH(C13167, ""押金""), ""押金往來"",
  AND(E13167&lt;&gt;"""", F13167=""""), ""真實支出"",
  AND(E13167="""", F13167&lt;&gt;""""), ""真實收入"",
  TRUE, ""其他""
)"),"其他")</f>
        <v>其他</v>
      </c>
      <c r="K13167" s="270" t="str">
        <f t="shared" si="2"/>
        <v/>
      </c>
      <c r="L13167">
        <f t="shared" si="3"/>
        <v>0</v>
      </c>
    </row>
    <row r="13168">
      <c r="A13168" s="107"/>
      <c r="D13168" s="270"/>
      <c r="H13168" s="106" t="str">
        <f t="shared" si="1"/>
        <v/>
      </c>
      <c r="J13168" t="str">
        <f>IFERROR(__xludf.DUMMYFUNCTION("IFS(
  AND(REGEXMATCH(E13168, ""台銀籌備帳戶|玉山帳戶""), REGEXMATCH(C13168, ""薪資"")), ""分潤支出"",
  AND(REGEXMATCH(E13168, ""Ben帳戶|Elsa帳戶|Ben代墊|Ariel代墊|中信銀行共用""), REGEXMATCH(F13168, ""Ben帳戶|Elsa帳戶|Ben代墊|Ariel代墊|中信銀行共用"")), ""內部轉帳(忽略)"",
  AND(E13168&lt;&gt;"""", F13168&lt;&gt;"&amp;""""", NOT(REGEXMATCH(C13168, ""薪資""))), ""內部轉帳(忽略)"",
  REGEXMATCH(C13168, ""薪資""), ""薪資變動(不計入)"",
  REGEXMATCH(C13168, ""押金""), ""押金往來"",
  AND(E13168&lt;&gt;"""", F13168=""""), ""真實支出"",
  AND(E13168="""", F13168&lt;&gt;""""), ""真實收入"",
  TRUE, ""其他""
)"),"其他")</f>
        <v>其他</v>
      </c>
      <c r="K13168" s="270" t="str">
        <f t="shared" si="2"/>
        <v/>
      </c>
      <c r="L13168">
        <f t="shared" si="3"/>
        <v>0</v>
      </c>
    </row>
    <row r="13169">
      <c r="A13169" s="107"/>
      <c r="D13169" s="270"/>
      <c r="H13169" s="106" t="str">
        <f t="shared" si="1"/>
        <v/>
      </c>
      <c r="J13169" t="str">
        <f>IFERROR(__xludf.DUMMYFUNCTION("IFS(
  AND(REGEXMATCH(E13169, ""台銀籌備帳戶|玉山帳戶""), REGEXMATCH(C13169, ""薪資"")), ""分潤支出"",
  AND(REGEXMATCH(E13169, ""Ben帳戶|Elsa帳戶|Ben代墊|Ariel代墊|中信銀行共用""), REGEXMATCH(F13169, ""Ben帳戶|Elsa帳戶|Ben代墊|Ariel代墊|中信銀行共用"")), ""內部轉帳(忽略)"",
  AND(E13169&lt;&gt;"""", F13169&lt;&gt;"&amp;""""", NOT(REGEXMATCH(C13169, ""薪資""))), ""內部轉帳(忽略)"",
  REGEXMATCH(C13169, ""薪資""), ""薪資變動(不計入)"",
  REGEXMATCH(C13169, ""押金""), ""押金往來"",
  AND(E13169&lt;&gt;"""", F13169=""""), ""真實支出"",
  AND(E13169="""", F13169&lt;&gt;""""), ""真實收入"",
  TRUE, ""其他""
)"),"其他")</f>
        <v>其他</v>
      </c>
      <c r="K13169" s="270" t="str">
        <f t="shared" si="2"/>
        <v/>
      </c>
      <c r="L13169">
        <f t="shared" si="3"/>
        <v>0</v>
      </c>
    </row>
    <row r="13170">
      <c r="A13170" s="107"/>
      <c r="D13170" s="270"/>
      <c r="H13170" s="106" t="str">
        <f t="shared" si="1"/>
        <v/>
      </c>
      <c r="J13170" t="str">
        <f>IFERROR(__xludf.DUMMYFUNCTION("IFS(
  AND(REGEXMATCH(E13170, ""台銀籌備帳戶|玉山帳戶""), REGEXMATCH(C13170, ""薪資"")), ""分潤支出"",
  AND(REGEXMATCH(E13170, ""Ben帳戶|Elsa帳戶|Ben代墊|Ariel代墊|中信銀行共用""), REGEXMATCH(F13170, ""Ben帳戶|Elsa帳戶|Ben代墊|Ariel代墊|中信銀行共用"")), ""內部轉帳(忽略)"",
  AND(E13170&lt;&gt;"""", F13170&lt;&gt;"&amp;""""", NOT(REGEXMATCH(C13170, ""薪資""))), ""內部轉帳(忽略)"",
  REGEXMATCH(C13170, ""薪資""), ""薪資變動(不計入)"",
  REGEXMATCH(C13170, ""押金""), ""押金往來"",
  AND(E13170&lt;&gt;"""", F13170=""""), ""真實支出"",
  AND(E13170="""", F13170&lt;&gt;""""), ""真實收入"",
  TRUE, ""其他""
)"),"其他")</f>
        <v>其他</v>
      </c>
      <c r="K13170" s="270" t="str">
        <f t="shared" si="2"/>
        <v/>
      </c>
      <c r="L13170">
        <f t="shared" si="3"/>
        <v>0</v>
      </c>
    </row>
    <row r="13171">
      <c r="A13171" s="107"/>
      <c r="D13171" s="270"/>
      <c r="H13171" s="106" t="str">
        <f t="shared" si="1"/>
        <v/>
      </c>
      <c r="J13171" t="str">
        <f>IFERROR(__xludf.DUMMYFUNCTION("IFS(
  AND(REGEXMATCH(E13171, ""台銀籌備帳戶|玉山帳戶""), REGEXMATCH(C13171, ""薪資"")), ""分潤支出"",
  AND(REGEXMATCH(E13171, ""Ben帳戶|Elsa帳戶|Ben代墊|Ariel代墊|中信銀行共用""), REGEXMATCH(F13171, ""Ben帳戶|Elsa帳戶|Ben代墊|Ariel代墊|中信銀行共用"")), ""內部轉帳(忽略)"",
  AND(E13171&lt;&gt;"""", F13171&lt;&gt;"&amp;""""", NOT(REGEXMATCH(C13171, ""薪資""))), ""內部轉帳(忽略)"",
  REGEXMATCH(C13171, ""薪資""), ""薪資變動(不計入)"",
  REGEXMATCH(C13171, ""押金""), ""押金往來"",
  AND(E13171&lt;&gt;"""", F13171=""""), ""真實支出"",
  AND(E13171="""", F13171&lt;&gt;""""), ""真實收入"",
  TRUE, ""其他""
)"),"其他")</f>
        <v>其他</v>
      </c>
      <c r="K13171" s="270" t="str">
        <f t="shared" si="2"/>
        <v/>
      </c>
      <c r="L13171">
        <f t="shared" si="3"/>
        <v>0</v>
      </c>
    </row>
    <row r="13172">
      <c r="A13172" s="107"/>
      <c r="D13172" s="270"/>
      <c r="H13172" s="106" t="str">
        <f t="shared" si="1"/>
        <v/>
      </c>
      <c r="J13172" t="str">
        <f>IFERROR(__xludf.DUMMYFUNCTION("IFS(
  AND(REGEXMATCH(E13172, ""台銀籌備帳戶|玉山帳戶""), REGEXMATCH(C13172, ""薪資"")), ""分潤支出"",
  AND(REGEXMATCH(E13172, ""Ben帳戶|Elsa帳戶|Ben代墊|Ariel代墊|中信銀行共用""), REGEXMATCH(F13172, ""Ben帳戶|Elsa帳戶|Ben代墊|Ariel代墊|中信銀行共用"")), ""內部轉帳(忽略)"",
  AND(E13172&lt;&gt;"""", F13172&lt;&gt;"&amp;""""", NOT(REGEXMATCH(C13172, ""薪資""))), ""內部轉帳(忽略)"",
  REGEXMATCH(C13172, ""薪資""), ""薪資變動(不計入)"",
  REGEXMATCH(C13172, ""押金""), ""押金往來"",
  AND(E13172&lt;&gt;"""", F13172=""""), ""真實支出"",
  AND(E13172="""", F13172&lt;&gt;""""), ""真實收入"",
  TRUE, ""其他""
)"),"其他")</f>
        <v>其他</v>
      </c>
      <c r="K13172" s="270" t="str">
        <f t="shared" si="2"/>
        <v/>
      </c>
      <c r="L13172">
        <f t="shared" si="3"/>
        <v>0</v>
      </c>
    </row>
    <row r="13173">
      <c r="A13173" s="107"/>
      <c r="D13173" s="270"/>
      <c r="H13173" s="106" t="str">
        <f t="shared" si="1"/>
        <v/>
      </c>
      <c r="J13173" t="str">
        <f>IFERROR(__xludf.DUMMYFUNCTION("IFS(
  AND(REGEXMATCH(E13173, ""台銀籌備帳戶|玉山帳戶""), REGEXMATCH(C13173, ""薪資"")), ""分潤支出"",
  AND(REGEXMATCH(E13173, ""Ben帳戶|Elsa帳戶|Ben代墊|Ariel代墊|中信銀行共用""), REGEXMATCH(F13173, ""Ben帳戶|Elsa帳戶|Ben代墊|Ariel代墊|中信銀行共用"")), ""內部轉帳(忽略)"",
  AND(E13173&lt;&gt;"""", F13173&lt;&gt;"&amp;""""", NOT(REGEXMATCH(C13173, ""薪資""))), ""內部轉帳(忽略)"",
  REGEXMATCH(C13173, ""薪資""), ""薪資變動(不計入)"",
  REGEXMATCH(C13173, ""押金""), ""押金往來"",
  AND(E13173&lt;&gt;"""", F13173=""""), ""真實支出"",
  AND(E13173="""", F13173&lt;&gt;""""), ""真實收入"",
  TRUE, ""其他""
)"),"其他")</f>
        <v>其他</v>
      </c>
      <c r="K13173" s="270" t="str">
        <f t="shared" si="2"/>
        <v/>
      </c>
      <c r="L13173">
        <f t="shared" si="3"/>
        <v>0</v>
      </c>
    </row>
    <row r="13174">
      <c r="A13174" s="107"/>
      <c r="D13174" s="270"/>
      <c r="H13174" s="106" t="str">
        <f t="shared" si="1"/>
        <v/>
      </c>
      <c r="J13174" t="str">
        <f>IFERROR(__xludf.DUMMYFUNCTION("IFS(
  AND(REGEXMATCH(E13174, ""台銀籌備帳戶|玉山帳戶""), REGEXMATCH(C13174, ""薪資"")), ""分潤支出"",
  AND(REGEXMATCH(E13174, ""Ben帳戶|Elsa帳戶|Ben代墊|Ariel代墊|中信銀行共用""), REGEXMATCH(F13174, ""Ben帳戶|Elsa帳戶|Ben代墊|Ariel代墊|中信銀行共用"")), ""內部轉帳(忽略)"",
  AND(E13174&lt;&gt;"""", F13174&lt;&gt;"&amp;""""", NOT(REGEXMATCH(C13174, ""薪資""))), ""內部轉帳(忽略)"",
  REGEXMATCH(C13174, ""薪資""), ""薪資變動(不計入)"",
  REGEXMATCH(C13174, ""押金""), ""押金往來"",
  AND(E13174&lt;&gt;"""", F13174=""""), ""真實支出"",
  AND(E13174="""", F13174&lt;&gt;""""), ""真實收入"",
  TRUE, ""其他""
)"),"其他")</f>
        <v>其他</v>
      </c>
      <c r="K13174" s="270" t="str">
        <f t="shared" si="2"/>
        <v/>
      </c>
      <c r="L13174">
        <f t="shared" si="3"/>
        <v>0</v>
      </c>
    </row>
    <row r="13175">
      <c r="A13175" s="107"/>
      <c r="D13175" s="270"/>
      <c r="H13175" s="106" t="str">
        <f t="shared" si="1"/>
        <v/>
      </c>
      <c r="J13175" t="str">
        <f>IFERROR(__xludf.DUMMYFUNCTION("IFS(
  AND(REGEXMATCH(E13175, ""台銀籌備帳戶|玉山帳戶""), REGEXMATCH(C13175, ""薪資"")), ""分潤支出"",
  AND(REGEXMATCH(E13175, ""Ben帳戶|Elsa帳戶|Ben代墊|Ariel代墊|中信銀行共用""), REGEXMATCH(F13175, ""Ben帳戶|Elsa帳戶|Ben代墊|Ariel代墊|中信銀行共用"")), ""內部轉帳(忽略)"",
  AND(E13175&lt;&gt;"""", F13175&lt;&gt;"&amp;""""", NOT(REGEXMATCH(C13175, ""薪資""))), ""內部轉帳(忽略)"",
  REGEXMATCH(C13175, ""薪資""), ""薪資變動(不計入)"",
  REGEXMATCH(C13175, ""押金""), ""押金往來"",
  AND(E13175&lt;&gt;"""", F13175=""""), ""真實支出"",
  AND(E13175="""", F13175&lt;&gt;""""), ""真實收入"",
  TRUE, ""其他""
)"),"其他")</f>
        <v>其他</v>
      </c>
      <c r="K13175" s="270" t="str">
        <f t="shared" si="2"/>
        <v/>
      </c>
      <c r="L13175">
        <f t="shared" si="3"/>
        <v>0</v>
      </c>
    </row>
    <row r="13176">
      <c r="A13176" s="107"/>
      <c r="D13176" s="270"/>
      <c r="H13176" s="106" t="str">
        <f t="shared" si="1"/>
        <v/>
      </c>
      <c r="J13176" t="str">
        <f>IFERROR(__xludf.DUMMYFUNCTION("IFS(
  AND(REGEXMATCH(E13176, ""台銀籌備帳戶|玉山帳戶""), REGEXMATCH(C13176, ""薪資"")), ""分潤支出"",
  AND(REGEXMATCH(E13176, ""Ben帳戶|Elsa帳戶|Ben代墊|Ariel代墊|中信銀行共用""), REGEXMATCH(F13176, ""Ben帳戶|Elsa帳戶|Ben代墊|Ariel代墊|中信銀行共用"")), ""內部轉帳(忽略)"",
  AND(E13176&lt;&gt;"""", F13176&lt;&gt;"&amp;""""", NOT(REGEXMATCH(C13176, ""薪資""))), ""內部轉帳(忽略)"",
  REGEXMATCH(C13176, ""薪資""), ""薪資變動(不計入)"",
  REGEXMATCH(C13176, ""押金""), ""押金往來"",
  AND(E13176&lt;&gt;"""", F13176=""""), ""真實支出"",
  AND(E13176="""", F13176&lt;&gt;""""), ""真實收入"",
  TRUE, ""其他""
)"),"其他")</f>
        <v>其他</v>
      </c>
      <c r="K13176" s="270" t="str">
        <f t="shared" si="2"/>
        <v/>
      </c>
      <c r="L13176">
        <f t="shared" si="3"/>
        <v>0</v>
      </c>
    </row>
    <row r="13177">
      <c r="A13177" s="107"/>
      <c r="D13177" s="270"/>
      <c r="H13177" s="106" t="str">
        <f t="shared" si="1"/>
        <v/>
      </c>
      <c r="J13177" t="str">
        <f>IFERROR(__xludf.DUMMYFUNCTION("IFS(
  AND(REGEXMATCH(E13177, ""台銀籌備帳戶|玉山帳戶""), REGEXMATCH(C13177, ""薪資"")), ""分潤支出"",
  AND(REGEXMATCH(E13177, ""Ben帳戶|Elsa帳戶|Ben代墊|Ariel代墊|中信銀行共用""), REGEXMATCH(F13177, ""Ben帳戶|Elsa帳戶|Ben代墊|Ariel代墊|中信銀行共用"")), ""內部轉帳(忽略)"",
  AND(E13177&lt;&gt;"""", F13177&lt;&gt;"&amp;""""", NOT(REGEXMATCH(C13177, ""薪資""))), ""內部轉帳(忽略)"",
  REGEXMATCH(C13177, ""薪資""), ""薪資變動(不計入)"",
  REGEXMATCH(C13177, ""押金""), ""押金往來"",
  AND(E13177&lt;&gt;"""", F13177=""""), ""真實支出"",
  AND(E13177="""", F13177&lt;&gt;""""), ""真實收入"",
  TRUE, ""其他""
)"),"其他")</f>
        <v>其他</v>
      </c>
      <c r="K13177" s="270" t="str">
        <f t="shared" si="2"/>
        <v/>
      </c>
      <c r="L13177">
        <f t="shared" si="3"/>
        <v>0</v>
      </c>
    </row>
    <row r="13178">
      <c r="A13178" s="107"/>
      <c r="D13178" s="270"/>
      <c r="H13178" s="106" t="str">
        <f t="shared" si="1"/>
        <v/>
      </c>
      <c r="J13178" t="str">
        <f>IFERROR(__xludf.DUMMYFUNCTION("IFS(
  AND(REGEXMATCH(E13178, ""台銀籌備帳戶|玉山帳戶""), REGEXMATCH(C13178, ""薪資"")), ""分潤支出"",
  AND(REGEXMATCH(E13178, ""Ben帳戶|Elsa帳戶|Ben代墊|Ariel代墊|中信銀行共用""), REGEXMATCH(F13178, ""Ben帳戶|Elsa帳戶|Ben代墊|Ariel代墊|中信銀行共用"")), ""內部轉帳(忽略)"",
  AND(E13178&lt;&gt;"""", F13178&lt;&gt;"&amp;""""", NOT(REGEXMATCH(C13178, ""薪資""))), ""內部轉帳(忽略)"",
  REGEXMATCH(C13178, ""薪資""), ""薪資變動(不計入)"",
  REGEXMATCH(C13178, ""押金""), ""押金往來"",
  AND(E13178&lt;&gt;"""", F13178=""""), ""真實支出"",
  AND(E13178="""", F13178&lt;&gt;""""), ""真實收入"",
  TRUE, ""其他""
)"),"其他")</f>
        <v>其他</v>
      </c>
      <c r="K13178" s="270" t="str">
        <f t="shared" si="2"/>
        <v/>
      </c>
      <c r="L13178">
        <f t="shared" si="3"/>
        <v>0</v>
      </c>
    </row>
    <row r="13179">
      <c r="A13179" s="107"/>
      <c r="D13179" s="270"/>
      <c r="H13179" s="106" t="str">
        <f t="shared" si="1"/>
        <v/>
      </c>
      <c r="J13179" t="str">
        <f>IFERROR(__xludf.DUMMYFUNCTION("IFS(
  AND(REGEXMATCH(E13179, ""台銀籌備帳戶|玉山帳戶""), REGEXMATCH(C13179, ""薪資"")), ""分潤支出"",
  AND(REGEXMATCH(E13179, ""Ben帳戶|Elsa帳戶|Ben代墊|Ariel代墊|中信銀行共用""), REGEXMATCH(F13179, ""Ben帳戶|Elsa帳戶|Ben代墊|Ariel代墊|中信銀行共用"")), ""內部轉帳(忽略)"",
  AND(E13179&lt;&gt;"""", F13179&lt;&gt;"&amp;""""", NOT(REGEXMATCH(C13179, ""薪資""))), ""內部轉帳(忽略)"",
  REGEXMATCH(C13179, ""薪資""), ""薪資變動(不計入)"",
  REGEXMATCH(C13179, ""押金""), ""押金往來"",
  AND(E13179&lt;&gt;"""", F13179=""""), ""真實支出"",
  AND(E13179="""", F13179&lt;&gt;""""), ""真實收入"",
  TRUE, ""其他""
)"),"其他")</f>
        <v>其他</v>
      </c>
      <c r="K13179" s="270" t="str">
        <f t="shared" si="2"/>
        <v/>
      </c>
      <c r="L13179">
        <f t="shared" si="3"/>
        <v>0</v>
      </c>
    </row>
    <row r="13180">
      <c r="A13180" s="107"/>
      <c r="D13180" s="270"/>
      <c r="H13180" s="106" t="str">
        <f t="shared" si="1"/>
        <v/>
      </c>
      <c r="J13180" t="str">
        <f>IFERROR(__xludf.DUMMYFUNCTION("IFS(
  AND(REGEXMATCH(E13180, ""台銀籌備帳戶|玉山帳戶""), REGEXMATCH(C13180, ""薪資"")), ""分潤支出"",
  AND(REGEXMATCH(E13180, ""Ben帳戶|Elsa帳戶|Ben代墊|Ariel代墊|中信銀行共用""), REGEXMATCH(F13180, ""Ben帳戶|Elsa帳戶|Ben代墊|Ariel代墊|中信銀行共用"")), ""內部轉帳(忽略)"",
  AND(E13180&lt;&gt;"""", F13180&lt;&gt;"&amp;""""", NOT(REGEXMATCH(C13180, ""薪資""))), ""內部轉帳(忽略)"",
  REGEXMATCH(C13180, ""薪資""), ""薪資變動(不計入)"",
  REGEXMATCH(C13180, ""押金""), ""押金往來"",
  AND(E13180&lt;&gt;"""", F13180=""""), ""真實支出"",
  AND(E13180="""", F13180&lt;&gt;""""), ""真實收入"",
  TRUE, ""其他""
)"),"其他")</f>
        <v>其他</v>
      </c>
      <c r="K13180" s="270" t="str">
        <f t="shared" si="2"/>
        <v/>
      </c>
      <c r="L13180">
        <f t="shared" si="3"/>
        <v>0</v>
      </c>
    </row>
    <row r="13181">
      <c r="A13181" s="107"/>
      <c r="D13181" s="270"/>
      <c r="H13181" s="106" t="str">
        <f t="shared" si="1"/>
        <v/>
      </c>
      <c r="J13181" t="str">
        <f>IFERROR(__xludf.DUMMYFUNCTION("IFS(
  AND(REGEXMATCH(E13181, ""台銀籌備帳戶|玉山帳戶""), REGEXMATCH(C13181, ""薪資"")), ""分潤支出"",
  AND(REGEXMATCH(E13181, ""Ben帳戶|Elsa帳戶|Ben代墊|Ariel代墊|中信銀行共用""), REGEXMATCH(F13181, ""Ben帳戶|Elsa帳戶|Ben代墊|Ariel代墊|中信銀行共用"")), ""內部轉帳(忽略)"",
  AND(E13181&lt;&gt;"""", F13181&lt;&gt;"&amp;""""", NOT(REGEXMATCH(C13181, ""薪資""))), ""內部轉帳(忽略)"",
  REGEXMATCH(C13181, ""薪資""), ""薪資變動(不計入)"",
  REGEXMATCH(C13181, ""押金""), ""押金往來"",
  AND(E13181&lt;&gt;"""", F13181=""""), ""真實支出"",
  AND(E13181="""", F13181&lt;&gt;""""), ""真實收入"",
  TRUE, ""其他""
)"),"其他")</f>
        <v>其他</v>
      </c>
      <c r="K13181" s="270" t="str">
        <f t="shared" si="2"/>
        <v/>
      </c>
      <c r="L13181">
        <f t="shared" si="3"/>
        <v>0</v>
      </c>
    </row>
    <row r="13182">
      <c r="A13182" s="107"/>
      <c r="D13182" s="270"/>
      <c r="H13182" s="106" t="str">
        <f t="shared" si="1"/>
        <v/>
      </c>
      <c r="J13182" t="str">
        <f>IFERROR(__xludf.DUMMYFUNCTION("IFS(
  AND(REGEXMATCH(E13182, ""台銀籌備帳戶|玉山帳戶""), REGEXMATCH(C13182, ""薪資"")), ""分潤支出"",
  AND(REGEXMATCH(E13182, ""Ben帳戶|Elsa帳戶|Ben代墊|Ariel代墊|中信銀行共用""), REGEXMATCH(F13182, ""Ben帳戶|Elsa帳戶|Ben代墊|Ariel代墊|中信銀行共用"")), ""內部轉帳(忽略)"",
  AND(E13182&lt;&gt;"""", F13182&lt;&gt;"&amp;""""", NOT(REGEXMATCH(C13182, ""薪資""))), ""內部轉帳(忽略)"",
  REGEXMATCH(C13182, ""薪資""), ""薪資變動(不計入)"",
  REGEXMATCH(C13182, ""押金""), ""押金往來"",
  AND(E13182&lt;&gt;"""", F13182=""""), ""真實支出"",
  AND(E13182="""", F13182&lt;&gt;""""), ""真實收入"",
  TRUE, ""其他""
)"),"其他")</f>
        <v>其他</v>
      </c>
      <c r="K13182" s="270" t="str">
        <f t="shared" si="2"/>
        <v/>
      </c>
      <c r="L13182">
        <f t="shared" si="3"/>
        <v>0</v>
      </c>
    </row>
    <row r="13183">
      <c r="A13183" s="107"/>
      <c r="D13183" s="270"/>
      <c r="H13183" s="106" t="str">
        <f t="shared" si="1"/>
        <v/>
      </c>
      <c r="J13183" t="str">
        <f>IFERROR(__xludf.DUMMYFUNCTION("IFS(
  AND(REGEXMATCH(E13183, ""台銀籌備帳戶|玉山帳戶""), REGEXMATCH(C13183, ""薪資"")), ""分潤支出"",
  AND(REGEXMATCH(E13183, ""Ben帳戶|Elsa帳戶|Ben代墊|Ariel代墊|中信銀行共用""), REGEXMATCH(F13183, ""Ben帳戶|Elsa帳戶|Ben代墊|Ariel代墊|中信銀行共用"")), ""內部轉帳(忽略)"",
  AND(E13183&lt;&gt;"""", F13183&lt;&gt;"&amp;""""", NOT(REGEXMATCH(C13183, ""薪資""))), ""內部轉帳(忽略)"",
  REGEXMATCH(C13183, ""薪資""), ""薪資變動(不計入)"",
  REGEXMATCH(C13183, ""押金""), ""押金往來"",
  AND(E13183&lt;&gt;"""", F13183=""""), ""真實支出"",
  AND(E13183="""", F13183&lt;&gt;""""), ""真實收入"",
  TRUE, ""其他""
)"),"其他")</f>
        <v>其他</v>
      </c>
      <c r="K13183" s="270" t="str">
        <f t="shared" si="2"/>
        <v/>
      </c>
      <c r="L13183">
        <f t="shared" si="3"/>
        <v>0</v>
      </c>
    </row>
    <row r="13184">
      <c r="A13184" s="107"/>
      <c r="D13184" s="270"/>
      <c r="H13184" s="106" t="str">
        <f t="shared" si="1"/>
        <v/>
      </c>
      <c r="J13184" t="str">
        <f>IFERROR(__xludf.DUMMYFUNCTION("IFS(
  AND(REGEXMATCH(E13184, ""台銀籌備帳戶|玉山帳戶""), REGEXMATCH(C13184, ""薪資"")), ""分潤支出"",
  AND(REGEXMATCH(E13184, ""Ben帳戶|Elsa帳戶|Ben代墊|Ariel代墊|中信銀行共用""), REGEXMATCH(F13184, ""Ben帳戶|Elsa帳戶|Ben代墊|Ariel代墊|中信銀行共用"")), ""內部轉帳(忽略)"",
  AND(E13184&lt;&gt;"""", F13184&lt;&gt;"&amp;""""", NOT(REGEXMATCH(C13184, ""薪資""))), ""內部轉帳(忽略)"",
  REGEXMATCH(C13184, ""薪資""), ""薪資變動(不計入)"",
  REGEXMATCH(C13184, ""押金""), ""押金往來"",
  AND(E13184&lt;&gt;"""", F13184=""""), ""真實支出"",
  AND(E13184="""", F13184&lt;&gt;""""), ""真實收入"",
  TRUE, ""其他""
)"),"其他")</f>
        <v>其他</v>
      </c>
      <c r="K13184" s="270" t="str">
        <f t="shared" si="2"/>
        <v/>
      </c>
      <c r="L13184">
        <f t="shared" si="3"/>
        <v>0</v>
      </c>
    </row>
    <row r="13185">
      <c r="A13185" s="107"/>
      <c r="D13185" s="270"/>
      <c r="H13185" s="106" t="str">
        <f t="shared" si="1"/>
        <v/>
      </c>
      <c r="J13185" t="str">
        <f>IFERROR(__xludf.DUMMYFUNCTION("IFS(
  AND(REGEXMATCH(E13185, ""台銀籌備帳戶|玉山帳戶""), REGEXMATCH(C13185, ""薪資"")), ""分潤支出"",
  AND(REGEXMATCH(E13185, ""Ben帳戶|Elsa帳戶|Ben代墊|Ariel代墊|中信銀行共用""), REGEXMATCH(F13185, ""Ben帳戶|Elsa帳戶|Ben代墊|Ariel代墊|中信銀行共用"")), ""內部轉帳(忽略)"",
  AND(E13185&lt;&gt;"""", F13185&lt;&gt;"&amp;""""", NOT(REGEXMATCH(C13185, ""薪資""))), ""內部轉帳(忽略)"",
  REGEXMATCH(C13185, ""薪資""), ""薪資變動(不計入)"",
  REGEXMATCH(C13185, ""押金""), ""押金往來"",
  AND(E13185&lt;&gt;"""", F13185=""""), ""真實支出"",
  AND(E13185="""", F13185&lt;&gt;""""), ""真實收入"",
  TRUE, ""其他""
)"),"其他")</f>
        <v>其他</v>
      </c>
      <c r="K13185" s="270" t="str">
        <f t="shared" si="2"/>
        <v/>
      </c>
      <c r="L13185">
        <f t="shared" si="3"/>
        <v>0</v>
      </c>
    </row>
    <row r="13186">
      <c r="A13186" s="107"/>
      <c r="D13186" s="270"/>
      <c r="H13186" s="106" t="str">
        <f t="shared" si="1"/>
        <v/>
      </c>
      <c r="J13186" t="str">
        <f>IFERROR(__xludf.DUMMYFUNCTION("IFS(
  AND(REGEXMATCH(E13186, ""台銀籌備帳戶|玉山帳戶""), REGEXMATCH(C13186, ""薪資"")), ""分潤支出"",
  AND(REGEXMATCH(E13186, ""Ben帳戶|Elsa帳戶|Ben代墊|Ariel代墊|中信銀行共用""), REGEXMATCH(F13186, ""Ben帳戶|Elsa帳戶|Ben代墊|Ariel代墊|中信銀行共用"")), ""內部轉帳(忽略)"",
  AND(E13186&lt;&gt;"""", F13186&lt;&gt;"&amp;""""", NOT(REGEXMATCH(C13186, ""薪資""))), ""內部轉帳(忽略)"",
  REGEXMATCH(C13186, ""薪資""), ""薪資變動(不計入)"",
  REGEXMATCH(C13186, ""押金""), ""押金往來"",
  AND(E13186&lt;&gt;"""", F13186=""""), ""真實支出"",
  AND(E13186="""", F13186&lt;&gt;""""), ""真實收入"",
  TRUE, ""其他""
)"),"其他")</f>
        <v>其他</v>
      </c>
      <c r="K13186" s="270" t="str">
        <f t="shared" si="2"/>
        <v/>
      </c>
      <c r="L13186">
        <f t="shared" si="3"/>
        <v>0</v>
      </c>
    </row>
    <row r="13187">
      <c r="A13187" s="107"/>
      <c r="D13187" s="270"/>
      <c r="H13187" s="106" t="str">
        <f t="shared" si="1"/>
        <v/>
      </c>
      <c r="J13187" t="str">
        <f>IFERROR(__xludf.DUMMYFUNCTION("IFS(
  AND(REGEXMATCH(E13187, ""台銀籌備帳戶|玉山帳戶""), REGEXMATCH(C13187, ""薪資"")), ""分潤支出"",
  AND(REGEXMATCH(E13187, ""Ben帳戶|Elsa帳戶|Ben代墊|Ariel代墊|中信銀行共用""), REGEXMATCH(F13187, ""Ben帳戶|Elsa帳戶|Ben代墊|Ariel代墊|中信銀行共用"")), ""內部轉帳(忽略)"",
  AND(E13187&lt;&gt;"""", F13187&lt;&gt;"&amp;""""", NOT(REGEXMATCH(C13187, ""薪資""))), ""內部轉帳(忽略)"",
  REGEXMATCH(C13187, ""薪資""), ""薪資變動(不計入)"",
  REGEXMATCH(C13187, ""押金""), ""押金往來"",
  AND(E13187&lt;&gt;"""", F13187=""""), ""真實支出"",
  AND(E13187="""", F13187&lt;&gt;""""), ""真實收入"",
  TRUE, ""其他""
)"),"其他")</f>
        <v>其他</v>
      </c>
      <c r="K13187" s="270" t="str">
        <f t="shared" si="2"/>
        <v/>
      </c>
      <c r="L13187">
        <f t="shared" si="3"/>
        <v>0</v>
      </c>
    </row>
    <row r="13188">
      <c r="A13188" s="107"/>
      <c r="D13188" s="270"/>
      <c r="H13188" s="106" t="str">
        <f t="shared" si="1"/>
        <v/>
      </c>
      <c r="J13188" t="str">
        <f>IFERROR(__xludf.DUMMYFUNCTION("IFS(
  AND(REGEXMATCH(E13188, ""台銀籌備帳戶|玉山帳戶""), REGEXMATCH(C13188, ""薪資"")), ""分潤支出"",
  AND(REGEXMATCH(E13188, ""Ben帳戶|Elsa帳戶|Ben代墊|Ariel代墊|中信銀行共用""), REGEXMATCH(F13188, ""Ben帳戶|Elsa帳戶|Ben代墊|Ariel代墊|中信銀行共用"")), ""內部轉帳(忽略)"",
  AND(E13188&lt;&gt;"""", F13188&lt;&gt;"&amp;""""", NOT(REGEXMATCH(C13188, ""薪資""))), ""內部轉帳(忽略)"",
  REGEXMATCH(C13188, ""薪資""), ""薪資變動(不計入)"",
  REGEXMATCH(C13188, ""押金""), ""押金往來"",
  AND(E13188&lt;&gt;"""", F13188=""""), ""真實支出"",
  AND(E13188="""", F13188&lt;&gt;""""), ""真實收入"",
  TRUE, ""其他""
)"),"其他")</f>
        <v>其他</v>
      </c>
      <c r="K13188" s="270" t="str">
        <f t="shared" si="2"/>
        <v/>
      </c>
      <c r="L13188">
        <f t="shared" si="3"/>
        <v>0</v>
      </c>
    </row>
    <row r="13189">
      <c r="A13189" s="107"/>
      <c r="D13189" s="270"/>
      <c r="H13189" s="106" t="str">
        <f t="shared" si="1"/>
        <v/>
      </c>
      <c r="J13189" t="str">
        <f>IFERROR(__xludf.DUMMYFUNCTION("IFS(
  AND(REGEXMATCH(E13189, ""台銀籌備帳戶|玉山帳戶""), REGEXMATCH(C13189, ""薪資"")), ""分潤支出"",
  AND(REGEXMATCH(E13189, ""Ben帳戶|Elsa帳戶|Ben代墊|Ariel代墊|中信銀行共用""), REGEXMATCH(F13189, ""Ben帳戶|Elsa帳戶|Ben代墊|Ariel代墊|中信銀行共用"")), ""內部轉帳(忽略)"",
  AND(E13189&lt;&gt;"""", F13189&lt;&gt;"&amp;""""", NOT(REGEXMATCH(C13189, ""薪資""))), ""內部轉帳(忽略)"",
  REGEXMATCH(C13189, ""薪資""), ""薪資變動(不計入)"",
  REGEXMATCH(C13189, ""押金""), ""押金往來"",
  AND(E13189&lt;&gt;"""", F13189=""""), ""真實支出"",
  AND(E13189="""", F13189&lt;&gt;""""), ""真實收入"",
  TRUE, ""其他""
)"),"其他")</f>
        <v>其他</v>
      </c>
      <c r="K13189" s="270" t="str">
        <f t="shared" si="2"/>
        <v/>
      </c>
      <c r="L13189">
        <f t="shared" si="3"/>
        <v>0</v>
      </c>
    </row>
    <row r="13190">
      <c r="A13190" s="107"/>
      <c r="D13190" s="270"/>
      <c r="H13190" s="106" t="str">
        <f t="shared" si="1"/>
        <v/>
      </c>
      <c r="J13190" t="str">
        <f>IFERROR(__xludf.DUMMYFUNCTION("IFS(
  AND(REGEXMATCH(E13190, ""台銀籌備帳戶|玉山帳戶""), REGEXMATCH(C13190, ""薪資"")), ""分潤支出"",
  AND(REGEXMATCH(E13190, ""Ben帳戶|Elsa帳戶|Ben代墊|Ariel代墊|中信銀行共用""), REGEXMATCH(F13190, ""Ben帳戶|Elsa帳戶|Ben代墊|Ariel代墊|中信銀行共用"")), ""內部轉帳(忽略)"",
  AND(E13190&lt;&gt;"""", F13190&lt;&gt;"&amp;""""", NOT(REGEXMATCH(C13190, ""薪資""))), ""內部轉帳(忽略)"",
  REGEXMATCH(C13190, ""薪資""), ""薪資變動(不計入)"",
  REGEXMATCH(C13190, ""押金""), ""押金往來"",
  AND(E13190&lt;&gt;"""", F13190=""""), ""真實支出"",
  AND(E13190="""", F13190&lt;&gt;""""), ""真實收入"",
  TRUE, ""其他""
)"),"其他")</f>
        <v>其他</v>
      </c>
      <c r="K13190" s="270" t="str">
        <f t="shared" si="2"/>
        <v/>
      </c>
      <c r="L13190">
        <f t="shared" si="3"/>
        <v>0</v>
      </c>
    </row>
    <row r="13191">
      <c r="A13191" s="107"/>
      <c r="D13191" s="270"/>
      <c r="H13191" s="106" t="str">
        <f t="shared" si="1"/>
        <v/>
      </c>
      <c r="J13191" t="str">
        <f>IFERROR(__xludf.DUMMYFUNCTION("IFS(
  AND(REGEXMATCH(E13191, ""台銀籌備帳戶|玉山帳戶""), REGEXMATCH(C13191, ""薪資"")), ""分潤支出"",
  AND(REGEXMATCH(E13191, ""Ben帳戶|Elsa帳戶|Ben代墊|Ariel代墊|中信銀行共用""), REGEXMATCH(F13191, ""Ben帳戶|Elsa帳戶|Ben代墊|Ariel代墊|中信銀行共用"")), ""內部轉帳(忽略)"",
  AND(E13191&lt;&gt;"""", F13191&lt;&gt;"&amp;""""", NOT(REGEXMATCH(C13191, ""薪資""))), ""內部轉帳(忽略)"",
  REGEXMATCH(C13191, ""薪資""), ""薪資變動(不計入)"",
  REGEXMATCH(C13191, ""押金""), ""押金往來"",
  AND(E13191&lt;&gt;"""", F13191=""""), ""真實支出"",
  AND(E13191="""", F13191&lt;&gt;""""), ""真實收入"",
  TRUE, ""其他""
)"),"其他")</f>
        <v>其他</v>
      </c>
      <c r="K13191" s="270" t="str">
        <f t="shared" si="2"/>
        <v/>
      </c>
      <c r="L13191">
        <f t="shared" si="3"/>
        <v>0</v>
      </c>
    </row>
    <row r="13192">
      <c r="A13192" s="107"/>
      <c r="D13192" s="270"/>
      <c r="H13192" s="106" t="str">
        <f t="shared" si="1"/>
        <v/>
      </c>
      <c r="J13192" t="str">
        <f>IFERROR(__xludf.DUMMYFUNCTION("IFS(
  AND(REGEXMATCH(E13192, ""台銀籌備帳戶|玉山帳戶""), REGEXMATCH(C13192, ""薪資"")), ""分潤支出"",
  AND(REGEXMATCH(E13192, ""Ben帳戶|Elsa帳戶|Ben代墊|Ariel代墊|中信銀行共用""), REGEXMATCH(F13192, ""Ben帳戶|Elsa帳戶|Ben代墊|Ariel代墊|中信銀行共用"")), ""內部轉帳(忽略)"",
  AND(E13192&lt;&gt;"""", F13192&lt;&gt;"&amp;""""", NOT(REGEXMATCH(C13192, ""薪資""))), ""內部轉帳(忽略)"",
  REGEXMATCH(C13192, ""薪資""), ""薪資變動(不計入)"",
  REGEXMATCH(C13192, ""押金""), ""押金往來"",
  AND(E13192&lt;&gt;"""", F13192=""""), ""真實支出"",
  AND(E13192="""", F13192&lt;&gt;""""), ""真實收入"",
  TRUE, ""其他""
)"),"其他")</f>
        <v>其他</v>
      </c>
      <c r="K13192" s="270" t="str">
        <f t="shared" si="2"/>
        <v/>
      </c>
      <c r="L13192">
        <f t="shared" si="3"/>
        <v>0</v>
      </c>
    </row>
    <row r="13193">
      <c r="A13193" s="107"/>
      <c r="D13193" s="270"/>
      <c r="H13193" s="106" t="str">
        <f t="shared" si="1"/>
        <v/>
      </c>
      <c r="J13193" t="str">
        <f>IFERROR(__xludf.DUMMYFUNCTION("IFS(
  AND(REGEXMATCH(E13193, ""台銀籌備帳戶|玉山帳戶""), REGEXMATCH(C13193, ""薪資"")), ""分潤支出"",
  AND(REGEXMATCH(E13193, ""Ben帳戶|Elsa帳戶|Ben代墊|Ariel代墊|中信銀行共用""), REGEXMATCH(F13193, ""Ben帳戶|Elsa帳戶|Ben代墊|Ariel代墊|中信銀行共用"")), ""內部轉帳(忽略)"",
  AND(E13193&lt;&gt;"""", F13193&lt;&gt;"&amp;""""", NOT(REGEXMATCH(C13193, ""薪資""))), ""內部轉帳(忽略)"",
  REGEXMATCH(C13193, ""薪資""), ""薪資變動(不計入)"",
  REGEXMATCH(C13193, ""押金""), ""押金往來"",
  AND(E13193&lt;&gt;"""", F13193=""""), ""真實支出"",
  AND(E13193="""", F13193&lt;&gt;""""), ""真實收入"",
  TRUE, ""其他""
)"),"其他")</f>
        <v>其他</v>
      </c>
      <c r="K13193" s="270" t="str">
        <f t="shared" si="2"/>
        <v/>
      </c>
      <c r="L13193">
        <f t="shared" si="3"/>
        <v>0</v>
      </c>
    </row>
    <row r="13194">
      <c r="A13194" s="107"/>
      <c r="D13194" s="270"/>
      <c r="H13194" s="106" t="str">
        <f t="shared" si="1"/>
        <v/>
      </c>
      <c r="J13194" t="str">
        <f>IFERROR(__xludf.DUMMYFUNCTION("IFS(
  AND(REGEXMATCH(E13194, ""台銀籌備帳戶|玉山帳戶""), REGEXMATCH(C13194, ""薪資"")), ""分潤支出"",
  AND(REGEXMATCH(E13194, ""Ben帳戶|Elsa帳戶|Ben代墊|Ariel代墊|中信銀行共用""), REGEXMATCH(F13194, ""Ben帳戶|Elsa帳戶|Ben代墊|Ariel代墊|中信銀行共用"")), ""內部轉帳(忽略)"",
  AND(E13194&lt;&gt;"""", F13194&lt;&gt;"&amp;""""", NOT(REGEXMATCH(C13194, ""薪資""))), ""內部轉帳(忽略)"",
  REGEXMATCH(C13194, ""薪資""), ""薪資變動(不計入)"",
  REGEXMATCH(C13194, ""押金""), ""押金往來"",
  AND(E13194&lt;&gt;"""", F13194=""""), ""真實支出"",
  AND(E13194="""", F13194&lt;&gt;""""), ""真實收入"",
  TRUE, ""其他""
)"),"其他")</f>
        <v>其他</v>
      </c>
      <c r="K13194" s="270" t="str">
        <f t="shared" si="2"/>
        <v/>
      </c>
      <c r="L13194">
        <f t="shared" si="3"/>
        <v>0</v>
      </c>
    </row>
    <row r="13195">
      <c r="A13195" s="107"/>
      <c r="D13195" s="270"/>
      <c r="H13195" s="106" t="str">
        <f t="shared" si="1"/>
        <v/>
      </c>
      <c r="J13195" t="str">
        <f>IFERROR(__xludf.DUMMYFUNCTION("IFS(
  AND(REGEXMATCH(E13195, ""台銀籌備帳戶|玉山帳戶""), REGEXMATCH(C13195, ""薪資"")), ""分潤支出"",
  AND(REGEXMATCH(E13195, ""Ben帳戶|Elsa帳戶|Ben代墊|Ariel代墊|中信銀行共用""), REGEXMATCH(F13195, ""Ben帳戶|Elsa帳戶|Ben代墊|Ariel代墊|中信銀行共用"")), ""內部轉帳(忽略)"",
  AND(E13195&lt;&gt;"""", F13195&lt;&gt;"&amp;""""", NOT(REGEXMATCH(C13195, ""薪資""))), ""內部轉帳(忽略)"",
  REGEXMATCH(C13195, ""薪資""), ""薪資變動(不計入)"",
  REGEXMATCH(C13195, ""押金""), ""押金往來"",
  AND(E13195&lt;&gt;"""", F13195=""""), ""真實支出"",
  AND(E13195="""", F13195&lt;&gt;""""), ""真實收入"",
  TRUE, ""其他""
)"),"其他")</f>
        <v>其他</v>
      </c>
      <c r="K13195" s="270" t="str">
        <f t="shared" si="2"/>
        <v/>
      </c>
      <c r="L13195">
        <f t="shared" si="3"/>
        <v>0</v>
      </c>
    </row>
    <row r="13196">
      <c r="A13196" s="107"/>
      <c r="D13196" s="270"/>
      <c r="H13196" s="106" t="str">
        <f t="shared" si="1"/>
        <v/>
      </c>
      <c r="J13196" t="str">
        <f>IFERROR(__xludf.DUMMYFUNCTION("IFS(
  AND(REGEXMATCH(E13196, ""台銀籌備帳戶|玉山帳戶""), REGEXMATCH(C13196, ""薪資"")), ""分潤支出"",
  AND(REGEXMATCH(E13196, ""Ben帳戶|Elsa帳戶|Ben代墊|Ariel代墊|中信銀行共用""), REGEXMATCH(F13196, ""Ben帳戶|Elsa帳戶|Ben代墊|Ariel代墊|中信銀行共用"")), ""內部轉帳(忽略)"",
  AND(E13196&lt;&gt;"""", F13196&lt;&gt;"&amp;""""", NOT(REGEXMATCH(C13196, ""薪資""))), ""內部轉帳(忽略)"",
  REGEXMATCH(C13196, ""薪資""), ""薪資變動(不計入)"",
  REGEXMATCH(C13196, ""押金""), ""押金往來"",
  AND(E13196&lt;&gt;"""", F13196=""""), ""真實支出"",
  AND(E13196="""", F13196&lt;&gt;""""), ""真實收入"",
  TRUE, ""其他""
)"),"其他")</f>
        <v>其他</v>
      </c>
      <c r="K13196" s="270" t="str">
        <f t="shared" si="2"/>
        <v/>
      </c>
      <c r="L13196">
        <f t="shared" si="3"/>
        <v>0</v>
      </c>
    </row>
    <row r="13197">
      <c r="A13197" s="107"/>
      <c r="D13197" s="270"/>
      <c r="H13197" s="106" t="str">
        <f t="shared" si="1"/>
        <v/>
      </c>
      <c r="J13197" t="str">
        <f>IFERROR(__xludf.DUMMYFUNCTION("IFS(
  AND(REGEXMATCH(E13197, ""台銀籌備帳戶|玉山帳戶""), REGEXMATCH(C13197, ""薪資"")), ""分潤支出"",
  AND(REGEXMATCH(E13197, ""Ben帳戶|Elsa帳戶|Ben代墊|Ariel代墊|中信銀行共用""), REGEXMATCH(F13197, ""Ben帳戶|Elsa帳戶|Ben代墊|Ariel代墊|中信銀行共用"")), ""內部轉帳(忽略)"",
  AND(E13197&lt;&gt;"""", F13197&lt;&gt;"&amp;""""", NOT(REGEXMATCH(C13197, ""薪資""))), ""內部轉帳(忽略)"",
  REGEXMATCH(C13197, ""薪資""), ""薪資變動(不計入)"",
  REGEXMATCH(C13197, ""押金""), ""押金往來"",
  AND(E13197&lt;&gt;"""", F13197=""""), ""真實支出"",
  AND(E13197="""", F13197&lt;&gt;""""), ""真實收入"",
  TRUE, ""其他""
)"),"其他")</f>
        <v>其他</v>
      </c>
      <c r="K13197" s="270" t="str">
        <f t="shared" si="2"/>
        <v/>
      </c>
      <c r="L13197">
        <f t="shared" si="3"/>
        <v>0</v>
      </c>
    </row>
    <row r="13198">
      <c r="A13198" s="107"/>
      <c r="D13198" s="270"/>
      <c r="H13198" s="106" t="str">
        <f t="shared" si="1"/>
        <v/>
      </c>
      <c r="J13198" t="str">
        <f>IFERROR(__xludf.DUMMYFUNCTION("IFS(
  AND(REGEXMATCH(E13198, ""台銀籌備帳戶|玉山帳戶""), REGEXMATCH(C13198, ""薪資"")), ""分潤支出"",
  AND(REGEXMATCH(E13198, ""Ben帳戶|Elsa帳戶|Ben代墊|Ariel代墊|中信銀行共用""), REGEXMATCH(F13198, ""Ben帳戶|Elsa帳戶|Ben代墊|Ariel代墊|中信銀行共用"")), ""內部轉帳(忽略)"",
  AND(E13198&lt;&gt;"""", F13198&lt;&gt;"&amp;""""", NOT(REGEXMATCH(C13198, ""薪資""))), ""內部轉帳(忽略)"",
  REGEXMATCH(C13198, ""薪資""), ""薪資變動(不計入)"",
  REGEXMATCH(C13198, ""押金""), ""押金往來"",
  AND(E13198&lt;&gt;"""", F13198=""""), ""真實支出"",
  AND(E13198="""", F13198&lt;&gt;""""), ""真實收入"",
  TRUE, ""其他""
)"),"其他")</f>
        <v>其他</v>
      </c>
      <c r="K13198" s="270" t="str">
        <f t="shared" si="2"/>
        <v/>
      </c>
      <c r="L13198">
        <f t="shared" si="3"/>
        <v>0</v>
      </c>
    </row>
    <row r="13199">
      <c r="A13199" s="107"/>
      <c r="D13199" s="270"/>
      <c r="H13199" s="106" t="str">
        <f t="shared" si="1"/>
        <v/>
      </c>
      <c r="J13199" t="str">
        <f>IFERROR(__xludf.DUMMYFUNCTION("IFS(
  AND(REGEXMATCH(E13199, ""台銀籌備帳戶|玉山帳戶""), REGEXMATCH(C13199, ""薪資"")), ""分潤支出"",
  AND(REGEXMATCH(E13199, ""Ben帳戶|Elsa帳戶|Ben代墊|Ariel代墊|中信銀行共用""), REGEXMATCH(F13199, ""Ben帳戶|Elsa帳戶|Ben代墊|Ariel代墊|中信銀行共用"")), ""內部轉帳(忽略)"",
  AND(E13199&lt;&gt;"""", F13199&lt;&gt;"&amp;""""", NOT(REGEXMATCH(C13199, ""薪資""))), ""內部轉帳(忽略)"",
  REGEXMATCH(C13199, ""薪資""), ""薪資變動(不計入)"",
  REGEXMATCH(C13199, ""押金""), ""押金往來"",
  AND(E13199&lt;&gt;"""", F13199=""""), ""真實支出"",
  AND(E13199="""", F13199&lt;&gt;""""), ""真實收入"",
  TRUE, ""其他""
)"),"其他")</f>
        <v>其他</v>
      </c>
      <c r="K13199" s="270" t="str">
        <f t="shared" si="2"/>
        <v/>
      </c>
      <c r="L13199">
        <f t="shared" si="3"/>
        <v>0</v>
      </c>
    </row>
    <row r="13200">
      <c r="A13200" s="107"/>
      <c r="D13200" s="270"/>
      <c r="H13200" s="106" t="str">
        <f t="shared" si="1"/>
        <v/>
      </c>
      <c r="J13200" t="str">
        <f>IFERROR(__xludf.DUMMYFUNCTION("IFS(
  AND(REGEXMATCH(E13200, ""台銀籌備帳戶|玉山帳戶""), REGEXMATCH(C13200, ""薪資"")), ""分潤支出"",
  AND(REGEXMATCH(E13200, ""Ben帳戶|Elsa帳戶|Ben代墊|Ariel代墊|中信銀行共用""), REGEXMATCH(F13200, ""Ben帳戶|Elsa帳戶|Ben代墊|Ariel代墊|中信銀行共用"")), ""內部轉帳(忽略)"",
  AND(E13200&lt;&gt;"""", F13200&lt;&gt;"&amp;""""", NOT(REGEXMATCH(C13200, ""薪資""))), ""內部轉帳(忽略)"",
  REGEXMATCH(C13200, ""薪資""), ""薪資變動(不計入)"",
  REGEXMATCH(C13200, ""押金""), ""押金往來"",
  AND(E13200&lt;&gt;"""", F13200=""""), ""真實支出"",
  AND(E13200="""", F13200&lt;&gt;""""), ""真實收入"",
  TRUE, ""其他""
)"),"其他")</f>
        <v>其他</v>
      </c>
      <c r="K13200" s="270" t="str">
        <f t="shared" si="2"/>
        <v/>
      </c>
      <c r="L13200">
        <f t="shared" si="3"/>
        <v>0</v>
      </c>
    </row>
    <row r="13201">
      <c r="A13201" s="107"/>
      <c r="D13201" s="270"/>
      <c r="H13201" s="106" t="str">
        <f t="shared" si="1"/>
        <v/>
      </c>
      <c r="J13201" t="str">
        <f>IFERROR(__xludf.DUMMYFUNCTION("IFS(
  AND(REGEXMATCH(E13201, ""台銀籌備帳戶|玉山帳戶""), REGEXMATCH(C13201, ""薪資"")), ""分潤支出"",
  AND(REGEXMATCH(E13201, ""Ben帳戶|Elsa帳戶|Ben代墊|Ariel代墊|中信銀行共用""), REGEXMATCH(F13201, ""Ben帳戶|Elsa帳戶|Ben代墊|Ariel代墊|中信銀行共用"")), ""內部轉帳(忽略)"",
  AND(E13201&lt;&gt;"""", F13201&lt;&gt;"&amp;""""", NOT(REGEXMATCH(C13201, ""薪資""))), ""內部轉帳(忽略)"",
  REGEXMATCH(C13201, ""薪資""), ""薪資變動(不計入)"",
  REGEXMATCH(C13201, ""押金""), ""押金往來"",
  AND(E13201&lt;&gt;"""", F13201=""""), ""真實支出"",
  AND(E13201="""", F13201&lt;&gt;""""), ""真實收入"",
  TRUE, ""其他""
)"),"其他")</f>
        <v>其他</v>
      </c>
      <c r="K13201" s="270" t="str">
        <f t="shared" si="2"/>
        <v/>
      </c>
      <c r="L13201">
        <f t="shared" si="3"/>
        <v>0</v>
      </c>
    </row>
    <row r="13202">
      <c r="A13202" s="107"/>
      <c r="D13202" s="270"/>
      <c r="H13202" s="106" t="str">
        <f t="shared" si="1"/>
        <v/>
      </c>
      <c r="J13202" t="str">
        <f>IFERROR(__xludf.DUMMYFUNCTION("IFS(
  AND(REGEXMATCH(E13202, ""台銀籌備帳戶|玉山帳戶""), REGEXMATCH(C13202, ""薪資"")), ""分潤支出"",
  AND(REGEXMATCH(E13202, ""Ben帳戶|Elsa帳戶|Ben代墊|Ariel代墊|中信銀行共用""), REGEXMATCH(F13202, ""Ben帳戶|Elsa帳戶|Ben代墊|Ariel代墊|中信銀行共用"")), ""內部轉帳(忽略)"",
  AND(E13202&lt;&gt;"""", F13202&lt;&gt;"&amp;""""", NOT(REGEXMATCH(C13202, ""薪資""))), ""內部轉帳(忽略)"",
  REGEXMATCH(C13202, ""薪資""), ""薪資變動(不計入)"",
  REGEXMATCH(C13202, ""押金""), ""押金往來"",
  AND(E13202&lt;&gt;"""", F13202=""""), ""真實支出"",
  AND(E13202="""", F13202&lt;&gt;""""), ""真實收入"",
  TRUE, ""其他""
)"),"其他")</f>
        <v>其他</v>
      </c>
      <c r="K13202" s="270" t="str">
        <f t="shared" si="2"/>
        <v/>
      </c>
      <c r="L13202">
        <f t="shared" si="3"/>
        <v>0</v>
      </c>
    </row>
    <row r="13203">
      <c r="A13203" s="107"/>
      <c r="D13203" s="270"/>
      <c r="H13203" s="106" t="str">
        <f t="shared" si="1"/>
        <v/>
      </c>
      <c r="J13203" t="str">
        <f>IFERROR(__xludf.DUMMYFUNCTION("IFS(
  AND(REGEXMATCH(E13203, ""台銀籌備帳戶|玉山帳戶""), REGEXMATCH(C13203, ""薪資"")), ""分潤支出"",
  AND(REGEXMATCH(E13203, ""Ben帳戶|Elsa帳戶|Ben代墊|Ariel代墊|中信銀行共用""), REGEXMATCH(F13203, ""Ben帳戶|Elsa帳戶|Ben代墊|Ariel代墊|中信銀行共用"")), ""內部轉帳(忽略)"",
  AND(E13203&lt;&gt;"""", F13203&lt;&gt;"&amp;""""", NOT(REGEXMATCH(C13203, ""薪資""))), ""內部轉帳(忽略)"",
  REGEXMATCH(C13203, ""薪資""), ""薪資變動(不計入)"",
  REGEXMATCH(C13203, ""押金""), ""押金往來"",
  AND(E13203&lt;&gt;"""", F13203=""""), ""真實支出"",
  AND(E13203="""", F13203&lt;&gt;""""), ""真實收入"",
  TRUE, ""其他""
)"),"其他")</f>
        <v>其他</v>
      </c>
      <c r="K13203" s="270" t="str">
        <f t="shared" si="2"/>
        <v/>
      </c>
      <c r="L13203">
        <f t="shared" si="3"/>
        <v>0</v>
      </c>
    </row>
    <row r="13204">
      <c r="A13204" s="107"/>
      <c r="D13204" s="270"/>
      <c r="H13204" s="106" t="str">
        <f t="shared" si="1"/>
        <v/>
      </c>
      <c r="J13204" t="str">
        <f>IFERROR(__xludf.DUMMYFUNCTION("IFS(
  AND(REGEXMATCH(E13204, ""台銀籌備帳戶|玉山帳戶""), REGEXMATCH(C13204, ""薪資"")), ""分潤支出"",
  AND(REGEXMATCH(E13204, ""Ben帳戶|Elsa帳戶|Ben代墊|Ariel代墊|中信銀行共用""), REGEXMATCH(F13204, ""Ben帳戶|Elsa帳戶|Ben代墊|Ariel代墊|中信銀行共用"")), ""內部轉帳(忽略)"",
  AND(E13204&lt;&gt;"""", F13204&lt;&gt;"&amp;""""", NOT(REGEXMATCH(C13204, ""薪資""))), ""內部轉帳(忽略)"",
  REGEXMATCH(C13204, ""薪資""), ""薪資變動(不計入)"",
  REGEXMATCH(C13204, ""押金""), ""押金往來"",
  AND(E13204&lt;&gt;"""", F13204=""""), ""真實支出"",
  AND(E13204="""", F13204&lt;&gt;""""), ""真實收入"",
  TRUE, ""其他""
)"),"其他")</f>
        <v>其他</v>
      </c>
      <c r="K13204" s="270" t="str">
        <f t="shared" si="2"/>
        <v/>
      </c>
      <c r="L13204">
        <f t="shared" si="3"/>
        <v>0</v>
      </c>
    </row>
    <row r="13205">
      <c r="A13205" s="107"/>
      <c r="D13205" s="270"/>
      <c r="H13205" s="106" t="str">
        <f t="shared" si="1"/>
        <v/>
      </c>
      <c r="J13205" t="str">
        <f>IFERROR(__xludf.DUMMYFUNCTION("IFS(
  AND(REGEXMATCH(E13205, ""台銀籌備帳戶|玉山帳戶""), REGEXMATCH(C13205, ""薪資"")), ""分潤支出"",
  AND(REGEXMATCH(E13205, ""Ben帳戶|Elsa帳戶|Ben代墊|Ariel代墊|中信銀行共用""), REGEXMATCH(F13205, ""Ben帳戶|Elsa帳戶|Ben代墊|Ariel代墊|中信銀行共用"")), ""內部轉帳(忽略)"",
  AND(E13205&lt;&gt;"""", F13205&lt;&gt;"&amp;""""", NOT(REGEXMATCH(C13205, ""薪資""))), ""內部轉帳(忽略)"",
  REGEXMATCH(C13205, ""薪資""), ""薪資變動(不計入)"",
  REGEXMATCH(C13205, ""押金""), ""押金往來"",
  AND(E13205&lt;&gt;"""", F13205=""""), ""真實支出"",
  AND(E13205="""", F13205&lt;&gt;""""), ""真實收入"",
  TRUE, ""其他""
)"),"其他")</f>
        <v>其他</v>
      </c>
      <c r="K13205" s="270" t="str">
        <f t="shared" si="2"/>
        <v/>
      </c>
      <c r="L13205">
        <f t="shared" si="3"/>
        <v>0</v>
      </c>
    </row>
    <row r="13206">
      <c r="A13206" s="107"/>
      <c r="D13206" s="270"/>
      <c r="H13206" s="106" t="str">
        <f t="shared" si="1"/>
        <v/>
      </c>
      <c r="J13206" t="str">
        <f>IFERROR(__xludf.DUMMYFUNCTION("IFS(
  AND(REGEXMATCH(E13206, ""台銀籌備帳戶|玉山帳戶""), REGEXMATCH(C13206, ""薪資"")), ""分潤支出"",
  AND(REGEXMATCH(E13206, ""Ben帳戶|Elsa帳戶|Ben代墊|Ariel代墊|中信銀行共用""), REGEXMATCH(F13206, ""Ben帳戶|Elsa帳戶|Ben代墊|Ariel代墊|中信銀行共用"")), ""內部轉帳(忽略)"",
  AND(E13206&lt;&gt;"""", F13206&lt;&gt;"&amp;""""", NOT(REGEXMATCH(C13206, ""薪資""))), ""內部轉帳(忽略)"",
  REGEXMATCH(C13206, ""薪資""), ""薪資變動(不計入)"",
  REGEXMATCH(C13206, ""押金""), ""押金往來"",
  AND(E13206&lt;&gt;"""", F13206=""""), ""真實支出"",
  AND(E13206="""", F13206&lt;&gt;""""), ""真實收入"",
  TRUE, ""其他""
)"),"其他")</f>
        <v>其他</v>
      </c>
      <c r="K13206" s="270" t="str">
        <f t="shared" si="2"/>
        <v/>
      </c>
      <c r="L13206">
        <f t="shared" si="3"/>
        <v>0</v>
      </c>
    </row>
    <row r="13207">
      <c r="A13207" s="107"/>
      <c r="D13207" s="270"/>
      <c r="H13207" s="106" t="str">
        <f t="shared" si="1"/>
        <v/>
      </c>
      <c r="J13207" t="str">
        <f>IFERROR(__xludf.DUMMYFUNCTION("IFS(
  AND(REGEXMATCH(E13207, ""台銀籌備帳戶|玉山帳戶""), REGEXMATCH(C13207, ""薪資"")), ""分潤支出"",
  AND(REGEXMATCH(E13207, ""Ben帳戶|Elsa帳戶|Ben代墊|Ariel代墊|中信銀行共用""), REGEXMATCH(F13207, ""Ben帳戶|Elsa帳戶|Ben代墊|Ariel代墊|中信銀行共用"")), ""內部轉帳(忽略)"",
  AND(E13207&lt;&gt;"""", F13207&lt;&gt;"&amp;""""", NOT(REGEXMATCH(C13207, ""薪資""))), ""內部轉帳(忽略)"",
  REGEXMATCH(C13207, ""薪資""), ""薪資變動(不計入)"",
  REGEXMATCH(C13207, ""押金""), ""押金往來"",
  AND(E13207&lt;&gt;"""", F13207=""""), ""真實支出"",
  AND(E13207="""", F13207&lt;&gt;""""), ""真實收入"",
  TRUE, ""其他""
)"),"其他")</f>
        <v>其他</v>
      </c>
      <c r="K13207" s="270" t="str">
        <f t="shared" si="2"/>
        <v/>
      </c>
      <c r="L13207">
        <f t="shared" si="3"/>
        <v>0</v>
      </c>
    </row>
    <row r="13208">
      <c r="A13208" s="107"/>
      <c r="D13208" s="270"/>
      <c r="H13208" s="106" t="str">
        <f t="shared" si="1"/>
        <v/>
      </c>
      <c r="J13208" t="str">
        <f>IFERROR(__xludf.DUMMYFUNCTION("IFS(
  AND(REGEXMATCH(E13208, ""台銀籌備帳戶|玉山帳戶""), REGEXMATCH(C13208, ""薪資"")), ""分潤支出"",
  AND(REGEXMATCH(E13208, ""Ben帳戶|Elsa帳戶|Ben代墊|Ariel代墊|中信銀行共用""), REGEXMATCH(F13208, ""Ben帳戶|Elsa帳戶|Ben代墊|Ariel代墊|中信銀行共用"")), ""內部轉帳(忽略)"",
  AND(E13208&lt;&gt;"""", F13208&lt;&gt;"&amp;""""", NOT(REGEXMATCH(C13208, ""薪資""))), ""內部轉帳(忽略)"",
  REGEXMATCH(C13208, ""薪資""), ""薪資變動(不計入)"",
  REGEXMATCH(C13208, ""押金""), ""押金往來"",
  AND(E13208&lt;&gt;"""", F13208=""""), ""真實支出"",
  AND(E13208="""", F13208&lt;&gt;""""), ""真實收入"",
  TRUE, ""其他""
)"),"其他")</f>
        <v>其他</v>
      </c>
      <c r="K13208" s="270" t="str">
        <f t="shared" si="2"/>
        <v/>
      </c>
      <c r="L13208">
        <f t="shared" si="3"/>
        <v>0</v>
      </c>
    </row>
    <row r="13209">
      <c r="A13209" s="107"/>
      <c r="D13209" s="270"/>
      <c r="H13209" s="106" t="str">
        <f t="shared" si="1"/>
        <v/>
      </c>
      <c r="J13209" t="str">
        <f>IFERROR(__xludf.DUMMYFUNCTION("IFS(
  AND(REGEXMATCH(E13209, ""台銀籌備帳戶|玉山帳戶""), REGEXMATCH(C13209, ""薪資"")), ""分潤支出"",
  AND(REGEXMATCH(E13209, ""Ben帳戶|Elsa帳戶|Ben代墊|Ariel代墊|中信銀行共用""), REGEXMATCH(F13209, ""Ben帳戶|Elsa帳戶|Ben代墊|Ariel代墊|中信銀行共用"")), ""內部轉帳(忽略)"",
  AND(E13209&lt;&gt;"""", F13209&lt;&gt;"&amp;""""", NOT(REGEXMATCH(C13209, ""薪資""))), ""內部轉帳(忽略)"",
  REGEXMATCH(C13209, ""薪資""), ""薪資變動(不計入)"",
  REGEXMATCH(C13209, ""押金""), ""押金往來"",
  AND(E13209&lt;&gt;"""", F13209=""""), ""真實支出"",
  AND(E13209="""", F13209&lt;&gt;""""), ""真實收入"",
  TRUE, ""其他""
)"),"其他")</f>
        <v>其他</v>
      </c>
      <c r="K13209" s="270" t="str">
        <f t="shared" si="2"/>
        <v/>
      </c>
      <c r="L13209">
        <f t="shared" si="3"/>
        <v>0</v>
      </c>
    </row>
    <row r="13210">
      <c r="A13210" s="107"/>
      <c r="D13210" s="270"/>
      <c r="H13210" s="106" t="str">
        <f t="shared" si="1"/>
        <v/>
      </c>
      <c r="J13210" t="str">
        <f>IFERROR(__xludf.DUMMYFUNCTION("IFS(
  AND(REGEXMATCH(E13210, ""台銀籌備帳戶|玉山帳戶""), REGEXMATCH(C13210, ""薪資"")), ""分潤支出"",
  AND(REGEXMATCH(E13210, ""Ben帳戶|Elsa帳戶|Ben代墊|Ariel代墊|中信銀行共用""), REGEXMATCH(F13210, ""Ben帳戶|Elsa帳戶|Ben代墊|Ariel代墊|中信銀行共用"")), ""內部轉帳(忽略)"",
  AND(E13210&lt;&gt;"""", F13210&lt;&gt;"&amp;""""", NOT(REGEXMATCH(C13210, ""薪資""))), ""內部轉帳(忽略)"",
  REGEXMATCH(C13210, ""薪資""), ""薪資變動(不計入)"",
  REGEXMATCH(C13210, ""押金""), ""押金往來"",
  AND(E13210&lt;&gt;"""", F13210=""""), ""真實支出"",
  AND(E13210="""", F13210&lt;&gt;""""), ""真實收入"",
  TRUE, ""其他""
)"),"其他")</f>
        <v>其他</v>
      </c>
      <c r="K13210" s="270" t="str">
        <f t="shared" si="2"/>
        <v/>
      </c>
      <c r="L13210">
        <f t="shared" si="3"/>
        <v>0</v>
      </c>
    </row>
    <row r="13211">
      <c r="A13211" s="107"/>
      <c r="D13211" s="270"/>
      <c r="H13211" s="106" t="str">
        <f t="shared" si="1"/>
        <v/>
      </c>
      <c r="J13211" t="str">
        <f>IFERROR(__xludf.DUMMYFUNCTION("IFS(
  AND(REGEXMATCH(E13211, ""台銀籌備帳戶|玉山帳戶""), REGEXMATCH(C13211, ""薪資"")), ""分潤支出"",
  AND(REGEXMATCH(E13211, ""Ben帳戶|Elsa帳戶|Ben代墊|Ariel代墊|中信銀行共用""), REGEXMATCH(F13211, ""Ben帳戶|Elsa帳戶|Ben代墊|Ariel代墊|中信銀行共用"")), ""內部轉帳(忽略)"",
  AND(E13211&lt;&gt;"""", F13211&lt;&gt;"&amp;""""", NOT(REGEXMATCH(C13211, ""薪資""))), ""內部轉帳(忽略)"",
  REGEXMATCH(C13211, ""薪資""), ""薪資變動(不計入)"",
  REGEXMATCH(C13211, ""押金""), ""押金往來"",
  AND(E13211&lt;&gt;"""", F13211=""""), ""真實支出"",
  AND(E13211="""", F13211&lt;&gt;""""), ""真實收入"",
  TRUE, ""其他""
)"),"其他")</f>
        <v>其他</v>
      </c>
      <c r="K13211" s="270" t="str">
        <f t="shared" si="2"/>
        <v/>
      </c>
      <c r="L13211">
        <f t="shared" si="3"/>
        <v>0</v>
      </c>
    </row>
    <row r="13212">
      <c r="A13212" s="107"/>
      <c r="D13212" s="270"/>
      <c r="H13212" s="106" t="str">
        <f t="shared" si="1"/>
        <v/>
      </c>
      <c r="J13212" t="str">
        <f>IFERROR(__xludf.DUMMYFUNCTION("IFS(
  AND(REGEXMATCH(E13212, ""台銀籌備帳戶|玉山帳戶""), REGEXMATCH(C13212, ""薪資"")), ""分潤支出"",
  AND(REGEXMATCH(E13212, ""Ben帳戶|Elsa帳戶|Ben代墊|Ariel代墊|中信銀行共用""), REGEXMATCH(F13212, ""Ben帳戶|Elsa帳戶|Ben代墊|Ariel代墊|中信銀行共用"")), ""內部轉帳(忽略)"",
  AND(E13212&lt;&gt;"""", F13212&lt;&gt;"&amp;""""", NOT(REGEXMATCH(C13212, ""薪資""))), ""內部轉帳(忽略)"",
  REGEXMATCH(C13212, ""薪資""), ""薪資變動(不計入)"",
  REGEXMATCH(C13212, ""押金""), ""押金往來"",
  AND(E13212&lt;&gt;"""", F13212=""""), ""真實支出"",
  AND(E13212="""", F13212&lt;&gt;""""), ""真實收入"",
  TRUE, ""其他""
)"),"其他")</f>
        <v>其他</v>
      </c>
      <c r="K13212" s="270" t="str">
        <f t="shared" si="2"/>
        <v/>
      </c>
      <c r="L13212">
        <f t="shared" si="3"/>
        <v>0</v>
      </c>
    </row>
    <row r="13213">
      <c r="A13213" s="107"/>
      <c r="D13213" s="270"/>
      <c r="H13213" s="106" t="str">
        <f t="shared" si="1"/>
        <v/>
      </c>
      <c r="J13213" t="str">
        <f>IFERROR(__xludf.DUMMYFUNCTION("IFS(
  AND(REGEXMATCH(E13213, ""台銀籌備帳戶|玉山帳戶""), REGEXMATCH(C13213, ""薪資"")), ""分潤支出"",
  AND(REGEXMATCH(E13213, ""Ben帳戶|Elsa帳戶|Ben代墊|Ariel代墊|中信銀行共用""), REGEXMATCH(F13213, ""Ben帳戶|Elsa帳戶|Ben代墊|Ariel代墊|中信銀行共用"")), ""內部轉帳(忽略)"",
  AND(E13213&lt;&gt;"""", F13213&lt;&gt;"&amp;""""", NOT(REGEXMATCH(C13213, ""薪資""))), ""內部轉帳(忽略)"",
  REGEXMATCH(C13213, ""薪資""), ""薪資變動(不計入)"",
  REGEXMATCH(C13213, ""押金""), ""押金往來"",
  AND(E13213&lt;&gt;"""", F13213=""""), ""真實支出"",
  AND(E13213="""", F13213&lt;&gt;""""), ""真實收入"",
  TRUE, ""其他""
)"),"其他")</f>
        <v>其他</v>
      </c>
      <c r="K13213" s="270" t="str">
        <f t="shared" si="2"/>
        <v/>
      </c>
      <c r="L13213">
        <f t="shared" si="3"/>
        <v>0</v>
      </c>
    </row>
    <row r="13214">
      <c r="A13214" s="107"/>
      <c r="D13214" s="270"/>
      <c r="H13214" s="106" t="str">
        <f t="shared" si="1"/>
        <v/>
      </c>
      <c r="J13214" t="str">
        <f>IFERROR(__xludf.DUMMYFUNCTION("IFS(
  AND(REGEXMATCH(E13214, ""台銀籌備帳戶|玉山帳戶""), REGEXMATCH(C13214, ""薪資"")), ""分潤支出"",
  AND(REGEXMATCH(E13214, ""Ben帳戶|Elsa帳戶|Ben代墊|Ariel代墊|中信銀行共用""), REGEXMATCH(F13214, ""Ben帳戶|Elsa帳戶|Ben代墊|Ariel代墊|中信銀行共用"")), ""內部轉帳(忽略)"",
  AND(E13214&lt;&gt;"""", F13214&lt;&gt;"&amp;""""", NOT(REGEXMATCH(C13214, ""薪資""))), ""內部轉帳(忽略)"",
  REGEXMATCH(C13214, ""薪資""), ""薪資變動(不計入)"",
  REGEXMATCH(C13214, ""押金""), ""押金往來"",
  AND(E13214&lt;&gt;"""", F13214=""""), ""真實支出"",
  AND(E13214="""", F13214&lt;&gt;""""), ""真實收入"",
  TRUE, ""其他""
)"),"其他")</f>
        <v>其他</v>
      </c>
      <c r="K13214" s="270" t="str">
        <f t="shared" si="2"/>
        <v/>
      </c>
      <c r="L13214">
        <f t="shared" si="3"/>
        <v>0</v>
      </c>
    </row>
    <row r="13215">
      <c r="A13215" s="107"/>
      <c r="D13215" s="270"/>
      <c r="H13215" s="106" t="str">
        <f t="shared" si="1"/>
        <v/>
      </c>
      <c r="J13215" t="str">
        <f>IFERROR(__xludf.DUMMYFUNCTION("IFS(
  AND(REGEXMATCH(E13215, ""台銀籌備帳戶|玉山帳戶""), REGEXMATCH(C13215, ""薪資"")), ""分潤支出"",
  AND(REGEXMATCH(E13215, ""Ben帳戶|Elsa帳戶|Ben代墊|Ariel代墊|中信銀行共用""), REGEXMATCH(F13215, ""Ben帳戶|Elsa帳戶|Ben代墊|Ariel代墊|中信銀行共用"")), ""內部轉帳(忽略)"",
  AND(E13215&lt;&gt;"""", F13215&lt;&gt;"&amp;""""", NOT(REGEXMATCH(C13215, ""薪資""))), ""內部轉帳(忽略)"",
  REGEXMATCH(C13215, ""薪資""), ""薪資變動(不計入)"",
  REGEXMATCH(C13215, ""押金""), ""押金往來"",
  AND(E13215&lt;&gt;"""", F13215=""""), ""真實支出"",
  AND(E13215="""", F13215&lt;&gt;""""), ""真實收入"",
  TRUE, ""其他""
)"),"其他")</f>
        <v>其他</v>
      </c>
      <c r="K13215" s="270" t="str">
        <f t="shared" si="2"/>
        <v/>
      </c>
      <c r="L13215">
        <f t="shared" si="3"/>
        <v>0</v>
      </c>
    </row>
    <row r="13216">
      <c r="A13216" s="107"/>
      <c r="D13216" s="270"/>
      <c r="H13216" s="106" t="str">
        <f t="shared" si="1"/>
        <v/>
      </c>
      <c r="J13216" t="str">
        <f>IFERROR(__xludf.DUMMYFUNCTION("IFS(
  AND(REGEXMATCH(E13216, ""台銀籌備帳戶|玉山帳戶""), REGEXMATCH(C13216, ""薪資"")), ""分潤支出"",
  AND(REGEXMATCH(E13216, ""Ben帳戶|Elsa帳戶|Ben代墊|Ariel代墊|中信銀行共用""), REGEXMATCH(F13216, ""Ben帳戶|Elsa帳戶|Ben代墊|Ariel代墊|中信銀行共用"")), ""內部轉帳(忽略)"",
  AND(E13216&lt;&gt;"""", F13216&lt;&gt;"&amp;""""", NOT(REGEXMATCH(C13216, ""薪資""))), ""內部轉帳(忽略)"",
  REGEXMATCH(C13216, ""薪資""), ""薪資變動(不計入)"",
  REGEXMATCH(C13216, ""押金""), ""押金往來"",
  AND(E13216&lt;&gt;"""", F13216=""""), ""真實支出"",
  AND(E13216="""", F13216&lt;&gt;""""), ""真實收入"",
  TRUE, ""其他""
)"),"其他")</f>
        <v>其他</v>
      </c>
      <c r="K13216" s="270" t="str">
        <f t="shared" si="2"/>
        <v/>
      </c>
      <c r="L13216">
        <f t="shared" si="3"/>
        <v>0</v>
      </c>
    </row>
    <row r="13217">
      <c r="A13217" s="107"/>
      <c r="D13217" s="270"/>
      <c r="H13217" s="106" t="str">
        <f t="shared" si="1"/>
        <v/>
      </c>
      <c r="J13217" t="str">
        <f>IFERROR(__xludf.DUMMYFUNCTION("IFS(
  AND(REGEXMATCH(E13217, ""台銀籌備帳戶|玉山帳戶""), REGEXMATCH(C13217, ""薪資"")), ""分潤支出"",
  AND(REGEXMATCH(E13217, ""Ben帳戶|Elsa帳戶|Ben代墊|Ariel代墊|中信銀行共用""), REGEXMATCH(F13217, ""Ben帳戶|Elsa帳戶|Ben代墊|Ariel代墊|中信銀行共用"")), ""內部轉帳(忽略)"",
  AND(E13217&lt;&gt;"""", F13217&lt;&gt;"&amp;""""", NOT(REGEXMATCH(C13217, ""薪資""))), ""內部轉帳(忽略)"",
  REGEXMATCH(C13217, ""薪資""), ""薪資變動(不計入)"",
  REGEXMATCH(C13217, ""押金""), ""押金往來"",
  AND(E13217&lt;&gt;"""", F13217=""""), ""真實支出"",
  AND(E13217="""", F13217&lt;&gt;""""), ""真實收入"",
  TRUE, ""其他""
)"),"其他")</f>
        <v>其他</v>
      </c>
      <c r="K13217" s="270" t="str">
        <f t="shared" si="2"/>
        <v/>
      </c>
      <c r="L13217">
        <f t="shared" si="3"/>
        <v>0</v>
      </c>
    </row>
    <row r="13218">
      <c r="A13218" s="107"/>
      <c r="D13218" s="270"/>
      <c r="H13218" s="106" t="str">
        <f t="shared" si="1"/>
        <v/>
      </c>
      <c r="J13218" t="str">
        <f>IFERROR(__xludf.DUMMYFUNCTION("IFS(
  AND(REGEXMATCH(E13218, ""台銀籌備帳戶|玉山帳戶""), REGEXMATCH(C13218, ""薪資"")), ""分潤支出"",
  AND(REGEXMATCH(E13218, ""Ben帳戶|Elsa帳戶|Ben代墊|Ariel代墊|中信銀行共用""), REGEXMATCH(F13218, ""Ben帳戶|Elsa帳戶|Ben代墊|Ariel代墊|中信銀行共用"")), ""內部轉帳(忽略)"",
  AND(E13218&lt;&gt;"""", F13218&lt;&gt;"&amp;""""", NOT(REGEXMATCH(C13218, ""薪資""))), ""內部轉帳(忽略)"",
  REGEXMATCH(C13218, ""薪資""), ""薪資變動(不計入)"",
  REGEXMATCH(C13218, ""押金""), ""押金往來"",
  AND(E13218&lt;&gt;"""", F13218=""""), ""真實支出"",
  AND(E13218="""", F13218&lt;&gt;""""), ""真實收入"",
  TRUE, ""其他""
)"),"其他")</f>
        <v>其他</v>
      </c>
      <c r="K13218" s="270" t="str">
        <f t="shared" si="2"/>
        <v/>
      </c>
      <c r="L13218">
        <f t="shared" si="3"/>
        <v>0</v>
      </c>
    </row>
    <row r="13219">
      <c r="A13219" s="107"/>
      <c r="D13219" s="270"/>
      <c r="H13219" s="106" t="str">
        <f t="shared" si="1"/>
        <v/>
      </c>
      <c r="J13219" t="str">
        <f>IFERROR(__xludf.DUMMYFUNCTION("IFS(
  AND(REGEXMATCH(E13219, ""台銀籌備帳戶|玉山帳戶""), REGEXMATCH(C13219, ""薪資"")), ""分潤支出"",
  AND(REGEXMATCH(E13219, ""Ben帳戶|Elsa帳戶|Ben代墊|Ariel代墊|中信銀行共用""), REGEXMATCH(F13219, ""Ben帳戶|Elsa帳戶|Ben代墊|Ariel代墊|中信銀行共用"")), ""內部轉帳(忽略)"",
  AND(E13219&lt;&gt;"""", F13219&lt;&gt;"&amp;""""", NOT(REGEXMATCH(C13219, ""薪資""))), ""內部轉帳(忽略)"",
  REGEXMATCH(C13219, ""薪資""), ""薪資變動(不計入)"",
  REGEXMATCH(C13219, ""押金""), ""押金往來"",
  AND(E13219&lt;&gt;"""", F13219=""""), ""真實支出"",
  AND(E13219="""", F13219&lt;&gt;""""), ""真實收入"",
  TRUE, ""其他""
)"),"其他")</f>
        <v>其他</v>
      </c>
      <c r="K13219" s="270" t="str">
        <f t="shared" si="2"/>
        <v/>
      </c>
      <c r="L13219">
        <f t="shared" si="3"/>
        <v>0</v>
      </c>
    </row>
    <row r="13220">
      <c r="A13220" s="107"/>
      <c r="D13220" s="270"/>
      <c r="H13220" s="106" t="str">
        <f t="shared" si="1"/>
        <v/>
      </c>
      <c r="J13220" t="str">
        <f>IFERROR(__xludf.DUMMYFUNCTION("IFS(
  AND(REGEXMATCH(E13220, ""台銀籌備帳戶|玉山帳戶""), REGEXMATCH(C13220, ""薪資"")), ""分潤支出"",
  AND(REGEXMATCH(E13220, ""Ben帳戶|Elsa帳戶|Ben代墊|Ariel代墊|中信銀行共用""), REGEXMATCH(F13220, ""Ben帳戶|Elsa帳戶|Ben代墊|Ariel代墊|中信銀行共用"")), ""內部轉帳(忽略)"",
  AND(E13220&lt;&gt;"""", F13220&lt;&gt;"&amp;""""", NOT(REGEXMATCH(C13220, ""薪資""))), ""內部轉帳(忽略)"",
  REGEXMATCH(C13220, ""薪資""), ""薪資變動(不計入)"",
  REGEXMATCH(C13220, ""押金""), ""押金往來"",
  AND(E13220&lt;&gt;"""", F13220=""""), ""真實支出"",
  AND(E13220="""", F13220&lt;&gt;""""), ""真實收入"",
  TRUE, ""其他""
)"),"其他")</f>
        <v>其他</v>
      </c>
      <c r="K13220" s="270" t="str">
        <f t="shared" si="2"/>
        <v/>
      </c>
      <c r="L13220">
        <f t="shared" si="3"/>
        <v>0</v>
      </c>
    </row>
    <row r="13221">
      <c r="A13221" s="107"/>
      <c r="D13221" s="270"/>
      <c r="H13221" s="106" t="str">
        <f t="shared" si="1"/>
        <v/>
      </c>
      <c r="J13221" t="str">
        <f>IFERROR(__xludf.DUMMYFUNCTION("IFS(
  AND(REGEXMATCH(E13221, ""台銀籌備帳戶|玉山帳戶""), REGEXMATCH(C13221, ""薪資"")), ""分潤支出"",
  AND(REGEXMATCH(E13221, ""Ben帳戶|Elsa帳戶|Ben代墊|Ariel代墊|中信銀行共用""), REGEXMATCH(F13221, ""Ben帳戶|Elsa帳戶|Ben代墊|Ariel代墊|中信銀行共用"")), ""內部轉帳(忽略)"",
  AND(E13221&lt;&gt;"""", F13221&lt;&gt;"&amp;""""", NOT(REGEXMATCH(C13221, ""薪資""))), ""內部轉帳(忽略)"",
  REGEXMATCH(C13221, ""薪資""), ""薪資變動(不計入)"",
  REGEXMATCH(C13221, ""押金""), ""押金往來"",
  AND(E13221&lt;&gt;"""", F13221=""""), ""真實支出"",
  AND(E13221="""", F13221&lt;&gt;""""), ""真實收入"",
  TRUE, ""其他""
)"),"其他")</f>
        <v>其他</v>
      </c>
      <c r="K13221" s="270" t="str">
        <f t="shared" si="2"/>
        <v/>
      </c>
      <c r="L13221">
        <f t="shared" si="3"/>
        <v>0</v>
      </c>
    </row>
    <row r="13222">
      <c r="A13222" s="107"/>
      <c r="D13222" s="270"/>
      <c r="H13222" s="106" t="str">
        <f t="shared" si="1"/>
        <v/>
      </c>
      <c r="J13222" t="str">
        <f>IFERROR(__xludf.DUMMYFUNCTION("IFS(
  AND(REGEXMATCH(E13222, ""台銀籌備帳戶|玉山帳戶""), REGEXMATCH(C13222, ""薪資"")), ""分潤支出"",
  AND(REGEXMATCH(E13222, ""Ben帳戶|Elsa帳戶|Ben代墊|Ariel代墊|中信銀行共用""), REGEXMATCH(F13222, ""Ben帳戶|Elsa帳戶|Ben代墊|Ariel代墊|中信銀行共用"")), ""內部轉帳(忽略)"",
  AND(E13222&lt;&gt;"""", F13222&lt;&gt;"&amp;""""", NOT(REGEXMATCH(C13222, ""薪資""))), ""內部轉帳(忽略)"",
  REGEXMATCH(C13222, ""薪資""), ""薪資變動(不計入)"",
  REGEXMATCH(C13222, ""押金""), ""押金往來"",
  AND(E13222&lt;&gt;"""", F13222=""""), ""真實支出"",
  AND(E13222="""", F13222&lt;&gt;""""), ""真實收入"",
  TRUE, ""其他""
)"),"其他")</f>
        <v>其他</v>
      </c>
      <c r="K13222" s="270" t="str">
        <f t="shared" si="2"/>
        <v/>
      </c>
      <c r="L13222">
        <f t="shared" si="3"/>
        <v>0</v>
      </c>
    </row>
    <row r="13223">
      <c r="A13223" s="107"/>
      <c r="D13223" s="270"/>
      <c r="H13223" s="106" t="str">
        <f t="shared" si="1"/>
        <v/>
      </c>
      <c r="J13223" t="str">
        <f>IFERROR(__xludf.DUMMYFUNCTION("IFS(
  AND(REGEXMATCH(E13223, ""台銀籌備帳戶|玉山帳戶""), REGEXMATCH(C13223, ""薪資"")), ""分潤支出"",
  AND(REGEXMATCH(E13223, ""Ben帳戶|Elsa帳戶|Ben代墊|Ariel代墊|中信銀行共用""), REGEXMATCH(F13223, ""Ben帳戶|Elsa帳戶|Ben代墊|Ariel代墊|中信銀行共用"")), ""內部轉帳(忽略)"",
  AND(E13223&lt;&gt;"""", F13223&lt;&gt;"&amp;""""", NOT(REGEXMATCH(C13223, ""薪資""))), ""內部轉帳(忽略)"",
  REGEXMATCH(C13223, ""薪資""), ""薪資變動(不計入)"",
  REGEXMATCH(C13223, ""押金""), ""押金往來"",
  AND(E13223&lt;&gt;"""", F13223=""""), ""真實支出"",
  AND(E13223="""", F13223&lt;&gt;""""), ""真實收入"",
  TRUE, ""其他""
)"),"其他")</f>
        <v>其他</v>
      </c>
      <c r="K13223" s="270" t="str">
        <f t="shared" si="2"/>
        <v/>
      </c>
      <c r="L13223">
        <f t="shared" si="3"/>
        <v>0</v>
      </c>
    </row>
    <row r="13224">
      <c r="A13224" s="107"/>
      <c r="D13224" s="270"/>
      <c r="H13224" s="106" t="str">
        <f t="shared" si="1"/>
        <v/>
      </c>
      <c r="J13224" t="str">
        <f>IFERROR(__xludf.DUMMYFUNCTION("IFS(
  AND(REGEXMATCH(E13224, ""台銀籌備帳戶|玉山帳戶""), REGEXMATCH(C13224, ""薪資"")), ""分潤支出"",
  AND(REGEXMATCH(E13224, ""Ben帳戶|Elsa帳戶|Ben代墊|Ariel代墊|中信銀行共用""), REGEXMATCH(F13224, ""Ben帳戶|Elsa帳戶|Ben代墊|Ariel代墊|中信銀行共用"")), ""內部轉帳(忽略)"",
  AND(E13224&lt;&gt;"""", F13224&lt;&gt;"&amp;""""", NOT(REGEXMATCH(C13224, ""薪資""))), ""內部轉帳(忽略)"",
  REGEXMATCH(C13224, ""薪資""), ""薪資變動(不計入)"",
  REGEXMATCH(C13224, ""押金""), ""押金往來"",
  AND(E13224&lt;&gt;"""", F13224=""""), ""真實支出"",
  AND(E13224="""", F13224&lt;&gt;""""), ""真實收入"",
  TRUE, ""其他""
)"),"其他")</f>
        <v>其他</v>
      </c>
      <c r="K13224" s="270" t="str">
        <f t="shared" si="2"/>
        <v/>
      </c>
      <c r="L13224">
        <f t="shared" si="3"/>
        <v>0</v>
      </c>
    </row>
    <row r="13225">
      <c r="A13225" s="107"/>
      <c r="D13225" s="270"/>
      <c r="H13225" s="106" t="str">
        <f t="shared" si="1"/>
        <v/>
      </c>
      <c r="J13225" t="str">
        <f>IFERROR(__xludf.DUMMYFUNCTION("IFS(
  AND(REGEXMATCH(E13225, ""台銀籌備帳戶|玉山帳戶""), REGEXMATCH(C13225, ""薪資"")), ""分潤支出"",
  AND(REGEXMATCH(E13225, ""Ben帳戶|Elsa帳戶|Ben代墊|Ariel代墊|中信銀行共用""), REGEXMATCH(F13225, ""Ben帳戶|Elsa帳戶|Ben代墊|Ariel代墊|中信銀行共用"")), ""內部轉帳(忽略)"",
  AND(E13225&lt;&gt;"""", F13225&lt;&gt;"&amp;""""", NOT(REGEXMATCH(C13225, ""薪資""))), ""內部轉帳(忽略)"",
  REGEXMATCH(C13225, ""薪資""), ""薪資變動(不計入)"",
  REGEXMATCH(C13225, ""押金""), ""押金往來"",
  AND(E13225&lt;&gt;"""", F13225=""""), ""真實支出"",
  AND(E13225="""", F13225&lt;&gt;""""), ""真實收入"",
  TRUE, ""其他""
)"),"其他")</f>
        <v>其他</v>
      </c>
      <c r="K13225" s="270" t="str">
        <f t="shared" si="2"/>
        <v/>
      </c>
      <c r="L13225">
        <f t="shared" si="3"/>
        <v>0</v>
      </c>
    </row>
    <row r="13226">
      <c r="A13226" s="107"/>
      <c r="D13226" s="270"/>
      <c r="H13226" s="106" t="str">
        <f t="shared" si="1"/>
        <v/>
      </c>
      <c r="J13226" t="str">
        <f>IFERROR(__xludf.DUMMYFUNCTION("IFS(
  AND(REGEXMATCH(E13226, ""台銀籌備帳戶|玉山帳戶""), REGEXMATCH(C13226, ""薪資"")), ""分潤支出"",
  AND(REGEXMATCH(E13226, ""Ben帳戶|Elsa帳戶|Ben代墊|Ariel代墊|中信銀行共用""), REGEXMATCH(F13226, ""Ben帳戶|Elsa帳戶|Ben代墊|Ariel代墊|中信銀行共用"")), ""內部轉帳(忽略)"",
  AND(E13226&lt;&gt;"""", F13226&lt;&gt;"&amp;""""", NOT(REGEXMATCH(C13226, ""薪資""))), ""內部轉帳(忽略)"",
  REGEXMATCH(C13226, ""薪資""), ""薪資變動(不計入)"",
  REGEXMATCH(C13226, ""押金""), ""押金往來"",
  AND(E13226&lt;&gt;"""", F13226=""""), ""真實支出"",
  AND(E13226="""", F13226&lt;&gt;""""), ""真實收入"",
  TRUE, ""其他""
)"),"其他")</f>
        <v>其他</v>
      </c>
      <c r="K13226" s="270" t="str">
        <f t="shared" si="2"/>
        <v/>
      </c>
      <c r="L13226">
        <f t="shared" si="3"/>
        <v>0</v>
      </c>
    </row>
    <row r="13227">
      <c r="A13227" s="107"/>
      <c r="D13227" s="270"/>
      <c r="H13227" s="106" t="str">
        <f t="shared" si="1"/>
        <v/>
      </c>
      <c r="J13227" t="str">
        <f>IFERROR(__xludf.DUMMYFUNCTION("IFS(
  AND(REGEXMATCH(E13227, ""台銀籌備帳戶|玉山帳戶""), REGEXMATCH(C13227, ""薪資"")), ""分潤支出"",
  AND(REGEXMATCH(E13227, ""Ben帳戶|Elsa帳戶|Ben代墊|Ariel代墊|中信銀行共用""), REGEXMATCH(F13227, ""Ben帳戶|Elsa帳戶|Ben代墊|Ariel代墊|中信銀行共用"")), ""內部轉帳(忽略)"",
  AND(E13227&lt;&gt;"""", F13227&lt;&gt;"&amp;""""", NOT(REGEXMATCH(C13227, ""薪資""))), ""內部轉帳(忽略)"",
  REGEXMATCH(C13227, ""薪資""), ""薪資變動(不計入)"",
  REGEXMATCH(C13227, ""押金""), ""押金往來"",
  AND(E13227&lt;&gt;"""", F13227=""""), ""真實支出"",
  AND(E13227="""", F13227&lt;&gt;""""), ""真實收入"",
  TRUE, ""其他""
)"),"其他")</f>
        <v>其他</v>
      </c>
      <c r="K13227" s="270" t="str">
        <f t="shared" si="2"/>
        <v/>
      </c>
      <c r="L13227">
        <f t="shared" si="3"/>
        <v>0</v>
      </c>
    </row>
    <row r="13228">
      <c r="A13228" s="107"/>
      <c r="D13228" s="270"/>
      <c r="H13228" s="106" t="str">
        <f t="shared" si="1"/>
        <v/>
      </c>
      <c r="J13228" t="str">
        <f>IFERROR(__xludf.DUMMYFUNCTION("IFS(
  AND(REGEXMATCH(E13228, ""台銀籌備帳戶|玉山帳戶""), REGEXMATCH(C13228, ""薪資"")), ""分潤支出"",
  AND(REGEXMATCH(E13228, ""Ben帳戶|Elsa帳戶|Ben代墊|Ariel代墊|中信銀行共用""), REGEXMATCH(F13228, ""Ben帳戶|Elsa帳戶|Ben代墊|Ariel代墊|中信銀行共用"")), ""內部轉帳(忽略)"",
  AND(E13228&lt;&gt;"""", F13228&lt;&gt;"&amp;""""", NOT(REGEXMATCH(C13228, ""薪資""))), ""內部轉帳(忽略)"",
  REGEXMATCH(C13228, ""薪資""), ""薪資變動(不計入)"",
  REGEXMATCH(C13228, ""押金""), ""押金往來"",
  AND(E13228&lt;&gt;"""", F13228=""""), ""真實支出"",
  AND(E13228="""", F13228&lt;&gt;""""), ""真實收入"",
  TRUE, ""其他""
)"),"其他")</f>
        <v>其他</v>
      </c>
      <c r="K13228" s="270" t="str">
        <f t="shared" si="2"/>
        <v/>
      </c>
      <c r="L13228">
        <f t="shared" si="3"/>
        <v>0</v>
      </c>
    </row>
    <row r="13229">
      <c r="A13229" s="107"/>
      <c r="D13229" s="270"/>
      <c r="H13229" s="106" t="str">
        <f t="shared" si="1"/>
        <v/>
      </c>
      <c r="J13229" t="str">
        <f>IFERROR(__xludf.DUMMYFUNCTION("IFS(
  AND(REGEXMATCH(E13229, ""台銀籌備帳戶|玉山帳戶""), REGEXMATCH(C13229, ""薪資"")), ""分潤支出"",
  AND(REGEXMATCH(E13229, ""Ben帳戶|Elsa帳戶|Ben代墊|Ariel代墊|中信銀行共用""), REGEXMATCH(F13229, ""Ben帳戶|Elsa帳戶|Ben代墊|Ariel代墊|中信銀行共用"")), ""內部轉帳(忽略)"",
  AND(E13229&lt;&gt;"""", F13229&lt;&gt;"&amp;""""", NOT(REGEXMATCH(C13229, ""薪資""))), ""內部轉帳(忽略)"",
  REGEXMATCH(C13229, ""薪資""), ""薪資變動(不計入)"",
  REGEXMATCH(C13229, ""押金""), ""押金往來"",
  AND(E13229&lt;&gt;"""", F13229=""""), ""真實支出"",
  AND(E13229="""", F13229&lt;&gt;""""), ""真實收入"",
  TRUE, ""其他""
)"),"其他")</f>
        <v>其他</v>
      </c>
      <c r="K13229" s="270" t="str">
        <f t="shared" si="2"/>
        <v/>
      </c>
      <c r="L13229">
        <f t="shared" si="3"/>
        <v>0</v>
      </c>
    </row>
    <row r="13230">
      <c r="A13230" s="107"/>
      <c r="D13230" s="270"/>
      <c r="H13230" s="106" t="str">
        <f t="shared" si="1"/>
        <v/>
      </c>
      <c r="J13230" t="str">
        <f>IFERROR(__xludf.DUMMYFUNCTION("IFS(
  AND(REGEXMATCH(E13230, ""台銀籌備帳戶|玉山帳戶""), REGEXMATCH(C13230, ""薪資"")), ""分潤支出"",
  AND(REGEXMATCH(E13230, ""Ben帳戶|Elsa帳戶|Ben代墊|Ariel代墊|中信銀行共用""), REGEXMATCH(F13230, ""Ben帳戶|Elsa帳戶|Ben代墊|Ariel代墊|中信銀行共用"")), ""內部轉帳(忽略)"",
  AND(E13230&lt;&gt;"""", F13230&lt;&gt;"&amp;""""", NOT(REGEXMATCH(C13230, ""薪資""))), ""內部轉帳(忽略)"",
  REGEXMATCH(C13230, ""薪資""), ""薪資變動(不計入)"",
  REGEXMATCH(C13230, ""押金""), ""押金往來"",
  AND(E13230&lt;&gt;"""", F13230=""""), ""真實支出"",
  AND(E13230="""", F13230&lt;&gt;""""), ""真實收入"",
  TRUE, ""其他""
)"),"其他")</f>
        <v>其他</v>
      </c>
      <c r="K13230" s="270" t="str">
        <f t="shared" si="2"/>
        <v/>
      </c>
      <c r="L13230">
        <f t="shared" si="3"/>
        <v>0</v>
      </c>
    </row>
    <row r="13231">
      <c r="A13231" s="107"/>
      <c r="D13231" s="270"/>
      <c r="H13231" s="106" t="str">
        <f t="shared" si="1"/>
        <v/>
      </c>
      <c r="J13231" t="str">
        <f>IFERROR(__xludf.DUMMYFUNCTION("IFS(
  AND(REGEXMATCH(E13231, ""台銀籌備帳戶|玉山帳戶""), REGEXMATCH(C13231, ""薪資"")), ""分潤支出"",
  AND(REGEXMATCH(E13231, ""Ben帳戶|Elsa帳戶|Ben代墊|Ariel代墊|中信銀行共用""), REGEXMATCH(F13231, ""Ben帳戶|Elsa帳戶|Ben代墊|Ariel代墊|中信銀行共用"")), ""內部轉帳(忽略)"",
  AND(E13231&lt;&gt;"""", F13231&lt;&gt;"&amp;""""", NOT(REGEXMATCH(C13231, ""薪資""))), ""內部轉帳(忽略)"",
  REGEXMATCH(C13231, ""薪資""), ""薪資變動(不計入)"",
  REGEXMATCH(C13231, ""押金""), ""押金往來"",
  AND(E13231&lt;&gt;"""", F13231=""""), ""真實支出"",
  AND(E13231="""", F13231&lt;&gt;""""), ""真實收入"",
  TRUE, ""其他""
)"),"其他")</f>
        <v>其他</v>
      </c>
      <c r="K13231" s="270" t="str">
        <f t="shared" si="2"/>
        <v/>
      </c>
      <c r="L13231">
        <f t="shared" si="3"/>
        <v>0</v>
      </c>
    </row>
    <row r="13232">
      <c r="A13232" s="107"/>
      <c r="D13232" s="270"/>
      <c r="H13232" s="106" t="str">
        <f t="shared" si="1"/>
        <v/>
      </c>
      <c r="J13232" t="str">
        <f>IFERROR(__xludf.DUMMYFUNCTION("IFS(
  AND(REGEXMATCH(E13232, ""台銀籌備帳戶|玉山帳戶""), REGEXMATCH(C13232, ""薪資"")), ""分潤支出"",
  AND(REGEXMATCH(E13232, ""Ben帳戶|Elsa帳戶|Ben代墊|Ariel代墊|中信銀行共用""), REGEXMATCH(F13232, ""Ben帳戶|Elsa帳戶|Ben代墊|Ariel代墊|中信銀行共用"")), ""內部轉帳(忽略)"",
  AND(E13232&lt;&gt;"""", F13232&lt;&gt;"&amp;""""", NOT(REGEXMATCH(C13232, ""薪資""))), ""內部轉帳(忽略)"",
  REGEXMATCH(C13232, ""薪資""), ""薪資變動(不計入)"",
  REGEXMATCH(C13232, ""押金""), ""押金往來"",
  AND(E13232&lt;&gt;"""", F13232=""""), ""真實支出"",
  AND(E13232="""", F13232&lt;&gt;""""), ""真實收入"",
  TRUE, ""其他""
)"),"其他")</f>
        <v>其他</v>
      </c>
      <c r="K13232" s="270" t="str">
        <f t="shared" si="2"/>
        <v/>
      </c>
      <c r="L13232">
        <f t="shared" si="3"/>
        <v>0</v>
      </c>
    </row>
    <row r="13233">
      <c r="A13233" s="107"/>
      <c r="D13233" s="270"/>
      <c r="H13233" s="106" t="str">
        <f t="shared" si="1"/>
        <v/>
      </c>
      <c r="J13233" t="str">
        <f>IFERROR(__xludf.DUMMYFUNCTION("IFS(
  AND(REGEXMATCH(E13233, ""台銀籌備帳戶|玉山帳戶""), REGEXMATCH(C13233, ""薪資"")), ""分潤支出"",
  AND(REGEXMATCH(E13233, ""Ben帳戶|Elsa帳戶|Ben代墊|Ariel代墊|中信銀行共用""), REGEXMATCH(F13233, ""Ben帳戶|Elsa帳戶|Ben代墊|Ariel代墊|中信銀行共用"")), ""內部轉帳(忽略)"",
  AND(E13233&lt;&gt;"""", F13233&lt;&gt;"&amp;""""", NOT(REGEXMATCH(C13233, ""薪資""))), ""內部轉帳(忽略)"",
  REGEXMATCH(C13233, ""薪資""), ""薪資變動(不計入)"",
  REGEXMATCH(C13233, ""押金""), ""押金往來"",
  AND(E13233&lt;&gt;"""", F13233=""""), ""真實支出"",
  AND(E13233="""", F13233&lt;&gt;""""), ""真實收入"",
  TRUE, ""其他""
)"),"其他")</f>
        <v>其他</v>
      </c>
      <c r="K13233" s="270" t="str">
        <f t="shared" si="2"/>
        <v/>
      </c>
      <c r="L13233">
        <f t="shared" si="3"/>
        <v>0</v>
      </c>
    </row>
    <row r="13234">
      <c r="A13234" s="107"/>
      <c r="D13234" s="270"/>
      <c r="H13234" s="106" t="str">
        <f t="shared" si="1"/>
        <v/>
      </c>
      <c r="J13234" t="str">
        <f>IFERROR(__xludf.DUMMYFUNCTION("IFS(
  AND(REGEXMATCH(E13234, ""台銀籌備帳戶|玉山帳戶""), REGEXMATCH(C13234, ""薪資"")), ""分潤支出"",
  AND(REGEXMATCH(E13234, ""Ben帳戶|Elsa帳戶|Ben代墊|Ariel代墊|中信銀行共用""), REGEXMATCH(F13234, ""Ben帳戶|Elsa帳戶|Ben代墊|Ariel代墊|中信銀行共用"")), ""內部轉帳(忽略)"",
  AND(E13234&lt;&gt;"""", F13234&lt;&gt;"&amp;""""", NOT(REGEXMATCH(C13234, ""薪資""))), ""內部轉帳(忽略)"",
  REGEXMATCH(C13234, ""薪資""), ""薪資變動(不計入)"",
  REGEXMATCH(C13234, ""押金""), ""押金往來"",
  AND(E13234&lt;&gt;"""", F13234=""""), ""真實支出"",
  AND(E13234="""", F13234&lt;&gt;""""), ""真實收入"",
  TRUE, ""其他""
)"),"其他")</f>
        <v>其他</v>
      </c>
      <c r="K13234" s="270" t="str">
        <f t="shared" si="2"/>
        <v/>
      </c>
      <c r="L13234">
        <f t="shared" si="3"/>
        <v>0</v>
      </c>
    </row>
    <row r="13235">
      <c r="A13235" s="107"/>
      <c r="D13235" s="270"/>
      <c r="H13235" s="106" t="str">
        <f t="shared" si="1"/>
        <v/>
      </c>
      <c r="J13235" t="str">
        <f>IFERROR(__xludf.DUMMYFUNCTION("IFS(
  AND(REGEXMATCH(E13235, ""台銀籌備帳戶|玉山帳戶""), REGEXMATCH(C13235, ""薪資"")), ""分潤支出"",
  AND(REGEXMATCH(E13235, ""Ben帳戶|Elsa帳戶|Ben代墊|Ariel代墊|中信銀行共用""), REGEXMATCH(F13235, ""Ben帳戶|Elsa帳戶|Ben代墊|Ariel代墊|中信銀行共用"")), ""內部轉帳(忽略)"",
  AND(E13235&lt;&gt;"""", F13235&lt;&gt;"&amp;""""", NOT(REGEXMATCH(C13235, ""薪資""))), ""內部轉帳(忽略)"",
  REGEXMATCH(C13235, ""薪資""), ""薪資變動(不計入)"",
  REGEXMATCH(C13235, ""押金""), ""押金往來"",
  AND(E13235&lt;&gt;"""", F13235=""""), ""真實支出"",
  AND(E13235="""", F13235&lt;&gt;""""), ""真實收入"",
  TRUE, ""其他""
)"),"其他")</f>
        <v>其他</v>
      </c>
      <c r="K13235" s="270" t="str">
        <f t="shared" si="2"/>
        <v/>
      </c>
      <c r="L13235">
        <f t="shared" si="3"/>
        <v>0</v>
      </c>
    </row>
    <row r="13236">
      <c r="A13236" s="107"/>
      <c r="D13236" s="270"/>
      <c r="H13236" s="106" t="str">
        <f t="shared" si="1"/>
        <v/>
      </c>
      <c r="J13236" t="str">
        <f>IFERROR(__xludf.DUMMYFUNCTION("IFS(
  AND(REGEXMATCH(E13236, ""台銀籌備帳戶|玉山帳戶""), REGEXMATCH(C13236, ""薪資"")), ""分潤支出"",
  AND(REGEXMATCH(E13236, ""Ben帳戶|Elsa帳戶|Ben代墊|Ariel代墊|中信銀行共用""), REGEXMATCH(F13236, ""Ben帳戶|Elsa帳戶|Ben代墊|Ariel代墊|中信銀行共用"")), ""內部轉帳(忽略)"",
  AND(E13236&lt;&gt;"""", F13236&lt;&gt;"&amp;""""", NOT(REGEXMATCH(C13236, ""薪資""))), ""內部轉帳(忽略)"",
  REGEXMATCH(C13236, ""薪資""), ""薪資變動(不計入)"",
  REGEXMATCH(C13236, ""押金""), ""押金往來"",
  AND(E13236&lt;&gt;"""", F13236=""""), ""真實支出"",
  AND(E13236="""", F13236&lt;&gt;""""), ""真實收入"",
  TRUE, ""其他""
)"),"其他")</f>
        <v>其他</v>
      </c>
      <c r="K13236" s="270" t="str">
        <f t="shared" si="2"/>
        <v/>
      </c>
      <c r="L13236">
        <f t="shared" si="3"/>
        <v>0</v>
      </c>
    </row>
    <row r="13237">
      <c r="A13237" s="107"/>
      <c r="D13237" s="270"/>
      <c r="H13237" s="106" t="str">
        <f t="shared" si="1"/>
        <v/>
      </c>
      <c r="J13237" t="str">
        <f>IFERROR(__xludf.DUMMYFUNCTION("IFS(
  AND(REGEXMATCH(E13237, ""台銀籌備帳戶|玉山帳戶""), REGEXMATCH(C13237, ""薪資"")), ""分潤支出"",
  AND(REGEXMATCH(E13237, ""Ben帳戶|Elsa帳戶|Ben代墊|Ariel代墊|中信銀行共用""), REGEXMATCH(F13237, ""Ben帳戶|Elsa帳戶|Ben代墊|Ariel代墊|中信銀行共用"")), ""內部轉帳(忽略)"",
  AND(E13237&lt;&gt;"""", F13237&lt;&gt;"&amp;""""", NOT(REGEXMATCH(C13237, ""薪資""))), ""內部轉帳(忽略)"",
  REGEXMATCH(C13237, ""薪資""), ""薪資變動(不計入)"",
  REGEXMATCH(C13237, ""押金""), ""押金往來"",
  AND(E13237&lt;&gt;"""", F13237=""""), ""真實支出"",
  AND(E13237="""", F13237&lt;&gt;""""), ""真實收入"",
  TRUE, ""其他""
)"),"其他")</f>
        <v>其他</v>
      </c>
      <c r="K13237" s="270" t="str">
        <f t="shared" si="2"/>
        <v/>
      </c>
      <c r="L13237">
        <f t="shared" si="3"/>
        <v>0</v>
      </c>
    </row>
    <row r="13238">
      <c r="A13238" s="107"/>
      <c r="D13238" s="270"/>
      <c r="H13238" s="106" t="str">
        <f t="shared" si="1"/>
        <v/>
      </c>
      <c r="J13238" t="str">
        <f>IFERROR(__xludf.DUMMYFUNCTION("IFS(
  AND(REGEXMATCH(E13238, ""台銀籌備帳戶|玉山帳戶""), REGEXMATCH(C13238, ""薪資"")), ""分潤支出"",
  AND(REGEXMATCH(E13238, ""Ben帳戶|Elsa帳戶|Ben代墊|Ariel代墊|中信銀行共用""), REGEXMATCH(F13238, ""Ben帳戶|Elsa帳戶|Ben代墊|Ariel代墊|中信銀行共用"")), ""內部轉帳(忽略)"",
  AND(E13238&lt;&gt;"""", F13238&lt;&gt;"&amp;""""", NOT(REGEXMATCH(C13238, ""薪資""))), ""內部轉帳(忽略)"",
  REGEXMATCH(C13238, ""薪資""), ""薪資變動(不計入)"",
  REGEXMATCH(C13238, ""押金""), ""押金往來"",
  AND(E13238&lt;&gt;"""", F13238=""""), ""真實支出"",
  AND(E13238="""", F13238&lt;&gt;""""), ""真實收入"",
  TRUE, ""其他""
)"),"其他")</f>
        <v>其他</v>
      </c>
      <c r="K13238" s="270" t="str">
        <f t="shared" si="2"/>
        <v/>
      </c>
      <c r="L13238">
        <f t="shared" si="3"/>
        <v>0</v>
      </c>
    </row>
    <row r="13239">
      <c r="A13239" s="107"/>
      <c r="D13239" s="270"/>
      <c r="H13239" s="106" t="str">
        <f t="shared" si="1"/>
        <v/>
      </c>
      <c r="J13239" t="str">
        <f>IFERROR(__xludf.DUMMYFUNCTION("IFS(
  AND(REGEXMATCH(E13239, ""台銀籌備帳戶|玉山帳戶""), REGEXMATCH(C13239, ""薪資"")), ""分潤支出"",
  AND(REGEXMATCH(E13239, ""Ben帳戶|Elsa帳戶|Ben代墊|Ariel代墊|中信銀行共用""), REGEXMATCH(F13239, ""Ben帳戶|Elsa帳戶|Ben代墊|Ariel代墊|中信銀行共用"")), ""內部轉帳(忽略)"",
  AND(E13239&lt;&gt;"""", F13239&lt;&gt;"&amp;""""", NOT(REGEXMATCH(C13239, ""薪資""))), ""內部轉帳(忽略)"",
  REGEXMATCH(C13239, ""薪資""), ""薪資變動(不計入)"",
  REGEXMATCH(C13239, ""押金""), ""押金往來"",
  AND(E13239&lt;&gt;"""", F13239=""""), ""真實支出"",
  AND(E13239="""", F13239&lt;&gt;""""), ""真實收入"",
  TRUE, ""其他""
)"),"其他")</f>
        <v>其他</v>
      </c>
      <c r="K13239" s="270" t="str">
        <f t="shared" si="2"/>
        <v/>
      </c>
      <c r="L13239">
        <f t="shared" si="3"/>
        <v>0</v>
      </c>
    </row>
    <row r="13240">
      <c r="A13240" s="107"/>
      <c r="D13240" s="270"/>
      <c r="H13240" s="106" t="str">
        <f t="shared" si="1"/>
        <v/>
      </c>
      <c r="J13240" t="str">
        <f>IFERROR(__xludf.DUMMYFUNCTION("IFS(
  AND(REGEXMATCH(E13240, ""台銀籌備帳戶|玉山帳戶""), REGEXMATCH(C13240, ""薪資"")), ""分潤支出"",
  AND(REGEXMATCH(E13240, ""Ben帳戶|Elsa帳戶|Ben代墊|Ariel代墊|中信銀行共用""), REGEXMATCH(F13240, ""Ben帳戶|Elsa帳戶|Ben代墊|Ariel代墊|中信銀行共用"")), ""內部轉帳(忽略)"",
  AND(E13240&lt;&gt;"""", F13240&lt;&gt;"&amp;""""", NOT(REGEXMATCH(C13240, ""薪資""))), ""內部轉帳(忽略)"",
  REGEXMATCH(C13240, ""薪資""), ""薪資變動(不計入)"",
  REGEXMATCH(C13240, ""押金""), ""押金往來"",
  AND(E13240&lt;&gt;"""", F13240=""""), ""真實支出"",
  AND(E13240="""", F13240&lt;&gt;""""), ""真實收入"",
  TRUE, ""其他""
)"),"其他")</f>
        <v>其他</v>
      </c>
      <c r="K13240" s="270" t="str">
        <f t="shared" si="2"/>
        <v/>
      </c>
      <c r="L13240">
        <f t="shared" si="3"/>
        <v>0</v>
      </c>
    </row>
    <row r="13241">
      <c r="A13241" s="107"/>
      <c r="D13241" s="270"/>
      <c r="H13241" s="106" t="str">
        <f t="shared" si="1"/>
        <v/>
      </c>
      <c r="J13241" t="str">
        <f>IFERROR(__xludf.DUMMYFUNCTION("IFS(
  AND(REGEXMATCH(E13241, ""台銀籌備帳戶|玉山帳戶""), REGEXMATCH(C13241, ""薪資"")), ""分潤支出"",
  AND(REGEXMATCH(E13241, ""Ben帳戶|Elsa帳戶|Ben代墊|Ariel代墊|中信銀行共用""), REGEXMATCH(F13241, ""Ben帳戶|Elsa帳戶|Ben代墊|Ariel代墊|中信銀行共用"")), ""內部轉帳(忽略)"",
  AND(E13241&lt;&gt;"""", F13241&lt;&gt;"&amp;""""", NOT(REGEXMATCH(C13241, ""薪資""))), ""內部轉帳(忽略)"",
  REGEXMATCH(C13241, ""薪資""), ""薪資變動(不計入)"",
  REGEXMATCH(C13241, ""押金""), ""押金往來"",
  AND(E13241&lt;&gt;"""", F13241=""""), ""真實支出"",
  AND(E13241="""", F13241&lt;&gt;""""), ""真實收入"",
  TRUE, ""其他""
)"),"其他")</f>
        <v>其他</v>
      </c>
      <c r="K13241" s="270" t="str">
        <f t="shared" si="2"/>
        <v/>
      </c>
      <c r="L13241">
        <f t="shared" si="3"/>
        <v>0</v>
      </c>
    </row>
    <row r="13242">
      <c r="A13242" s="107"/>
      <c r="D13242" s="270"/>
      <c r="H13242" s="106" t="str">
        <f t="shared" si="1"/>
        <v/>
      </c>
      <c r="J13242" t="str">
        <f>IFERROR(__xludf.DUMMYFUNCTION("IFS(
  AND(REGEXMATCH(E13242, ""台銀籌備帳戶|玉山帳戶""), REGEXMATCH(C13242, ""薪資"")), ""分潤支出"",
  AND(REGEXMATCH(E13242, ""Ben帳戶|Elsa帳戶|Ben代墊|Ariel代墊|中信銀行共用""), REGEXMATCH(F13242, ""Ben帳戶|Elsa帳戶|Ben代墊|Ariel代墊|中信銀行共用"")), ""內部轉帳(忽略)"",
  AND(E13242&lt;&gt;"""", F13242&lt;&gt;"&amp;""""", NOT(REGEXMATCH(C13242, ""薪資""))), ""內部轉帳(忽略)"",
  REGEXMATCH(C13242, ""薪資""), ""薪資變動(不計入)"",
  REGEXMATCH(C13242, ""押金""), ""押金往來"",
  AND(E13242&lt;&gt;"""", F13242=""""), ""真實支出"",
  AND(E13242="""", F13242&lt;&gt;""""), ""真實收入"",
  TRUE, ""其他""
)"),"其他")</f>
        <v>其他</v>
      </c>
      <c r="K13242" s="270" t="str">
        <f t="shared" si="2"/>
        <v/>
      </c>
      <c r="L13242">
        <f t="shared" si="3"/>
        <v>0</v>
      </c>
    </row>
    <row r="13243">
      <c r="A13243" s="107"/>
      <c r="D13243" s="270"/>
      <c r="H13243" s="106" t="str">
        <f t="shared" si="1"/>
        <v/>
      </c>
      <c r="J13243" t="str">
        <f>IFERROR(__xludf.DUMMYFUNCTION("IFS(
  AND(REGEXMATCH(E13243, ""台銀籌備帳戶|玉山帳戶""), REGEXMATCH(C13243, ""薪資"")), ""分潤支出"",
  AND(REGEXMATCH(E13243, ""Ben帳戶|Elsa帳戶|Ben代墊|Ariel代墊|中信銀行共用""), REGEXMATCH(F13243, ""Ben帳戶|Elsa帳戶|Ben代墊|Ariel代墊|中信銀行共用"")), ""內部轉帳(忽略)"",
  AND(E13243&lt;&gt;"""", F13243&lt;&gt;"&amp;""""", NOT(REGEXMATCH(C13243, ""薪資""))), ""內部轉帳(忽略)"",
  REGEXMATCH(C13243, ""薪資""), ""薪資變動(不計入)"",
  REGEXMATCH(C13243, ""押金""), ""押金往來"",
  AND(E13243&lt;&gt;"""", F13243=""""), ""真實支出"",
  AND(E13243="""", F13243&lt;&gt;""""), ""真實收入"",
  TRUE, ""其他""
)"),"其他")</f>
        <v>其他</v>
      </c>
      <c r="K13243" s="270" t="str">
        <f t="shared" si="2"/>
        <v/>
      </c>
      <c r="L13243">
        <f t="shared" si="3"/>
        <v>0</v>
      </c>
    </row>
    <row r="13244">
      <c r="A13244" s="107"/>
      <c r="D13244" s="270"/>
      <c r="H13244" s="106" t="str">
        <f t="shared" si="1"/>
        <v/>
      </c>
      <c r="J13244" t="str">
        <f>IFERROR(__xludf.DUMMYFUNCTION("IFS(
  AND(REGEXMATCH(E13244, ""台銀籌備帳戶|玉山帳戶""), REGEXMATCH(C13244, ""薪資"")), ""分潤支出"",
  AND(REGEXMATCH(E13244, ""Ben帳戶|Elsa帳戶|Ben代墊|Ariel代墊|中信銀行共用""), REGEXMATCH(F13244, ""Ben帳戶|Elsa帳戶|Ben代墊|Ariel代墊|中信銀行共用"")), ""內部轉帳(忽略)"",
  AND(E13244&lt;&gt;"""", F13244&lt;&gt;"&amp;""""", NOT(REGEXMATCH(C13244, ""薪資""))), ""內部轉帳(忽略)"",
  REGEXMATCH(C13244, ""薪資""), ""薪資變動(不計入)"",
  REGEXMATCH(C13244, ""押金""), ""押金往來"",
  AND(E13244&lt;&gt;"""", F13244=""""), ""真實支出"",
  AND(E13244="""", F13244&lt;&gt;""""), ""真實收入"",
  TRUE, ""其他""
)"),"其他")</f>
        <v>其他</v>
      </c>
      <c r="K13244" s="270" t="str">
        <f t="shared" si="2"/>
        <v/>
      </c>
      <c r="L13244">
        <f t="shared" si="3"/>
        <v>0</v>
      </c>
    </row>
    <row r="13245">
      <c r="A13245" s="107"/>
      <c r="D13245" s="270"/>
      <c r="H13245" s="106" t="str">
        <f t="shared" si="1"/>
        <v/>
      </c>
      <c r="J13245" t="str">
        <f>IFERROR(__xludf.DUMMYFUNCTION("IFS(
  AND(REGEXMATCH(E13245, ""台銀籌備帳戶|玉山帳戶""), REGEXMATCH(C13245, ""薪資"")), ""分潤支出"",
  AND(REGEXMATCH(E13245, ""Ben帳戶|Elsa帳戶|Ben代墊|Ariel代墊|中信銀行共用""), REGEXMATCH(F13245, ""Ben帳戶|Elsa帳戶|Ben代墊|Ariel代墊|中信銀行共用"")), ""內部轉帳(忽略)"",
  AND(E13245&lt;&gt;"""", F13245&lt;&gt;"&amp;""""", NOT(REGEXMATCH(C13245, ""薪資""))), ""內部轉帳(忽略)"",
  REGEXMATCH(C13245, ""薪資""), ""薪資變動(不計入)"",
  REGEXMATCH(C13245, ""押金""), ""押金往來"",
  AND(E13245&lt;&gt;"""", F13245=""""), ""真實支出"",
  AND(E13245="""", F13245&lt;&gt;""""), ""真實收入"",
  TRUE, ""其他""
)"),"其他")</f>
        <v>其他</v>
      </c>
      <c r="K13245" s="270" t="str">
        <f t="shared" si="2"/>
        <v/>
      </c>
      <c r="L13245">
        <f t="shared" si="3"/>
        <v>0</v>
      </c>
    </row>
    <row r="13246">
      <c r="A13246" s="107"/>
      <c r="D13246" s="270"/>
      <c r="H13246" s="106" t="str">
        <f t="shared" si="1"/>
        <v/>
      </c>
      <c r="J13246" t="str">
        <f>IFERROR(__xludf.DUMMYFUNCTION("IFS(
  AND(REGEXMATCH(E13246, ""台銀籌備帳戶|玉山帳戶""), REGEXMATCH(C13246, ""薪資"")), ""分潤支出"",
  AND(REGEXMATCH(E13246, ""Ben帳戶|Elsa帳戶|Ben代墊|Ariel代墊|中信銀行共用""), REGEXMATCH(F13246, ""Ben帳戶|Elsa帳戶|Ben代墊|Ariel代墊|中信銀行共用"")), ""內部轉帳(忽略)"",
  AND(E13246&lt;&gt;"""", F13246&lt;&gt;"&amp;""""", NOT(REGEXMATCH(C13246, ""薪資""))), ""內部轉帳(忽略)"",
  REGEXMATCH(C13246, ""薪資""), ""薪資變動(不計入)"",
  REGEXMATCH(C13246, ""押金""), ""押金往來"",
  AND(E13246&lt;&gt;"""", F13246=""""), ""真實支出"",
  AND(E13246="""", F13246&lt;&gt;""""), ""真實收入"",
  TRUE, ""其他""
)"),"其他")</f>
        <v>其他</v>
      </c>
      <c r="K13246" s="270" t="str">
        <f t="shared" si="2"/>
        <v/>
      </c>
      <c r="L13246">
        <f t="shared" si="3"/>
        <v>0</v>
      </c>
    </row>
    <row r="13247">
      <c r="A13247" s="107"/>
      <c r="D13247" s="270"/>
      <c r="H13247" s="106" t="str">
        <f t="shared" si="1"/>
        <v/>
      </c>
      <c r="J13247" t="str">
        <f>IFERROR(__xludf.DUMMYFUNCTION("IFS(
  AND(REGEXMATCH(E13247, ""台銀籌備帳戶|玉山帳戶""), REGEXMATCH(C13247, ""薪資"")), ""分潤支出"",
  AND(REGEXMATCH(E13247, ""Ben帳戶|Elsa帳戶|Ben代墊|Ariel代墊|中信銀行共用""), REGEXMATCH(F13247, ""Ben帳戶|Elsa帳戶|Ben代墊|Ariel代墊|中信銀行共用"")), ""內部轉帳(忽略)"",
  AND(E13247&lt;&gt;"""", F13247&lt;&gt;"&amp;""""", NOT(REGEXMATCH(C13247, ""薪資""))), ""內部轉帳(忽略)"",
  REGEXMATCH(C13247, ""薪資""), ""薪資變動(不計入)"",
  REGEXMATCH(C13247, ""押金""), ""押金往來"",
  AND(E13247&lt;&gt;"""", F13247=""""), ""真實支出"",
  AND(E13247="""", F13247&lt;&gt;""""), ""真實收入"",
  TRUE, ""其他""
)"),"其他")</f>
        <v>其他</v>
      </c>
      <c r="K13247" s="270" t="str">
        <f t="shared" si="2"/>
        <v/>
      </c>
      <c r="L13247">
        <f t="shared" si="3"/>
        <v>0</v>
      </c>
    </row>
    <row r="13248">
      <c r="A13248" s="107"/>
      <c r="D13248" s="270"/>
      <c r="H13248" s="106" t="str">
        <f t="shared" si="1"/>
        <v/>
      </c>
      <c r="J13248" t="str">
        <f>IFERROR(__xludf.DUMMYFUNCTION("IFS(
  AND(REGEXMATCH(E13248, ""台銀籌備帳戶|玉山帳戶""), REGEXMATCH(C13248, ""薪資"")), ""分潤支出"",
  AND(REGEXMATCH(E13248, ""Ben帳戶|Elsa帳戶|Ben代墊|Ariel代墊|中信銀行共用""), REGEXMATCH(F13248, ""Ben帳戶|Elsa帳戶|Ben代墊|Ariel代墊|中信銀行共用"")), ""內部轉帳(忽略)"",
  AND(E13248&lt;&gt;"""", F13248&lt;&gt;"&amp;""""", NOT(REGEXMATCH(C13248, ""薪資""))), ""內部轉帳(忽略)"",
  REGEXMATCH(C13248, ""薪資""), ""薪資變動(不計入)"",
  REGEXMATCH(C13248, ""押金""), ""押金往來"",
  AND(E13248&lt;&gt;"""", F13248=""""), ""真實支出"",
  AND(E13248="""", F13248&lt;&gt;""""), ""真實收入"",
  TRUE, ""其他""
)"),"其他")</f>
        <v>其他</v>
      </c>
      <c r="K13248" s="270" t="str">
        <f t="shared" si="2"/>
        <v/>
      </c>
      <c r="L13248">
        <f t="shared" si="3"/>
        <v>0</v>
      </c>
    </row>
    <row r="13249">
      <c r="A13249" s="107"/>
      <c r="D13249" s="270"/>
      <c r="H13249" s="106" t="str">
        <f t="shared" si="1"/>
        <v/>
      </c>
      <c r="J13249" t="str">
        <f>IFERROR(__xludf.DUMMYFUNCTION("IFS(
  AND(REGEXMATCH(E13249, ""台銀籌備帳戶|玉山帳戶""), REGEXMATCH(C13249, ""薪資"")), ""分潤支出"",
  AND(REGEXMATCH(E13249, ""Ben帳戶|Elsa帳戶|Ben代墊|Ariel代墊|中信銀行共用""), REGEXMATCH(F13249, ""Ben帳戶|Elsa帳戶|Ben代墊|Ariel代墊|中信銀行共用"")), ""內部轉帳(忽略)"",
  AND(E13249&lt;&gt;"""", F13249&lt;&gt;"&amp;""""", NOT(REGEXMATCH(C13249, ""薪資""))), ""內部轉帳(忽略)"",
  REGEXMATCH(C13249, ""薪資""), ""薪資變動(不計入)"",
  REGEXMATCH(C13249, ""押金""), ""押金往來"",
  AND(E13249&lt;&gt;"""", F13249=""""), ""真實支出"",
  AND(E13249="""", F13249&lt;&gt;""""), ""真實收入"",
  TRUE, ""其他""
)"),"其他")</f>
        <v>其他</v>
      </c>
      <c r="K13249" s="270" t="str">
        <f t="shared" si="2"/>
        <v/>
      </c>
      <c r="L13249">
        <f t="shared" si="3"/>
        <v>0</v>
      </c>
    </row>
    <row r="13250">
      <c r="A13250" s="107"/>
      <c r="D13250" s="270"/>
      <c r="H13250" s="106" t="str">
        <f t="shared" si="1"/>
        <v/>
      </c>
      <c r="J13250" t="str">
        <f>IFERROR(__xludf.DUMMYFUNCTION("IFS(
  AND(REGEXMATCH(E13250, ""台銀籌備帳戶|玉山帳戶""), REGEXMATCH(C13250, ""薪資"")), ""分潤支出"",
  AND(REGEXMATCH(E13250, ""Ben帳戶|Elsa帳戶|Ben代墊|Ariel代墊|中信銀行共用""), REGEXMATCH(F13250, ""Ben帳戶|Elsa帳戶|Ben代墊|Ariel代墊|中信銀行共用"")), ""內部轉帳(忽略)"",
  AND(E13250&lt;&gt;"""", F13250&lt;&gt;"&amp;""""", NOT(REGEXMATCH(C13250, ""薪資""))), ""內部轉帳(忽略)"",
  REGEXMATCH(C13250, ""薪資""), ""薪資變動(不計入)"",
  REGEXMATCH(C13250, ""押金""), ""押金往來"",
  AND(E13250&lt;&gt;"""", F13250=""""), ""真實支出"",
  AND(E13250="""", F13250&lt;&gt;""""), ""真實收入"",
  TRUE, ""其他""
)"),"其他")</f>
        <v>其他</v>
      </c>
      <c r="K13250" s="270" t="str">
        <f t="shared" si="2"/>
        <v/>
      </c>
      <c r="L13250">
        <f t="shared" si="3"/>
        <v>0</v>
      </c>
    </row>
    <row r="13251">
      <c r="A13251" s="107"/>
      <c r="D13251" s="270"/>
      <c r="H13251" s="106" t="str">
        <f t="shared" si="1"/>
        <v/>
      </c>
      <c r="J13251" t="str">
        <f>IFERROR(__xludf.DUMMYFUNCTION("IFS(
  AND(REGEXMATCH(E13251, ""台銀籌備帳戶|玉山帳戶""), REGEXMATCH(C13251, ""薪資"")), ""分潤支出"",
  AND(REGEXMATCH(E13251, ""Ben帳戶|Elsa帳戶|Ben代墊|Ariel代墊|中信銀行共用""), REGEXMATCH(F13251, ""Ben帳戶|Elsa帳戶|Ben代墊|Ariel代墊|中信銀行共用"")), ""內部轉帳(忽略)"",
  AND(E13251&lt;&gt;"""", F13251&lt;&gt;"&amp;""""", NOT(REGEXMATCH(C13251, ""薪資""))), ""內部轉帳(忽略)"",
  REGEXMATCH(C13251, ""薪資""), ""薪資變動(不計入)"",
  REGEXMATCH(C13251, ""押金""), ""押金往來"",
  AND(E13251&lt;&gt;"""", F13251=""""), ""真實支出"",
  AND(E13251="""", F13251&lt;&gt;""""), ""真實收入"",
  TRUE, ""其他""
)"),"其他")</f>
        <v>其他</v>
      </c>
      <c r="K13251" s="270" t="str">
        <f t="shared" si="2"/>
        <v/>
      </c>
      <c r="L13251">
        <f t="shared" si="3"/>
        <v>0</v>
      </c>
    </row>
    <row r="13252">
      <c r="A13252" s="107"/>
      <c r="D13252" s="270"/>
      <c r="H13252" s="106" t="str">
        <f t="shared" si="1"/>
        <v/>
      </c>
      <c r="J13252" t="str">
        <f>IFERROR(__xludf.DUMMYFUNCTION("IFS(
  AND(REGEXMATCH(E13252, ""台銀籌備帳戶|玉山帳戶""), REGEXMATCH(C13252, ""薪資"")), ""分潤支出"",
  AND(REGEXMATCH(E13252, ""Ben帳戶|Elsa帳戶|Ben代墊|Ariel代墊|中信銀行共用""), REGEXMATCH(F13252, ""Ben帳戶|Elsa帳戶|Ben代墊|Ariel代墊|中信銀行共用"")), ""內部轉帳(忽略)"",
  AND(E13252&lt;&gt;"""", F13252&lt;&gt;"&amp;""""", NOT(REGEXMATCH(C13252, ""薪資""))), ""內部轉帳(忽略)"",
  REGEXMATCH(C13252, ""薪資""), ""薪資變動(不計入)"",
  REGEXMATCH(C13252, ""押金""), ""押金往來"",
  AND(E13252&lt;&gt;"""", F13252=""""), ""真實支出"",
  AND(E13252="""", F13252&lt;&gt;""""), ""真實收入"",
  TRUE, ""其他""
)"),"其他")</f>
        <v>其他</v>
      </c>
      <c r="K13252" s="270" t="str">
        <f t="shared" si="2"/>
        <v/>
      </c>
      <c r="L13252">
        <f t="shared" si="3"/>
        <v>0</v>
      </c>
    </row>
    <row r="13253">
      <c r="A13253" s="107"/>
      <c r="D13253" s="270"/>
      <c r="H13253" s="106" t="str">
        <f t="shared" si="1"/>
        <v/>
      </c>
      <c r="J13253" t="str">
        <f>IFERROR(__xludf.DUMMYFUNCTION("IFS(
  AND(REGEXMATCH(E13253, ""台銀籌備帳戶|玉山帳戶""), REGEXMATCH(C13253, ""薪資"")), ""分潤支出"",
  AND(REGEXMATCH(E13253, ""Ben帳戶|Elsa帳戶|Ben代墊|Ariel代墊|中信銀行共用""), REGEXMATCH(F13253, ""Ben帳戶|Elsa帳戶|Ben代墊|Ariel代墊|中信銀行共用"")), ""內部轉帳(忽略)"",
  AND(E13253&lt;&gt;"""", F13253&lt;&gt;"&amp;""""", NOT(REGEXMATCH(C13253, ""薪資""))), ""內部轉帳(忽略)"",
  REGEXMATCH(C13253, ""薪資""), ""薪資變動(不計入)"",
  REGEXMATCH(C13253, ""押金""), ""押金往來"",
  AND(E13253&lt;&gt;"""", F13253=""""), ""真實支出"",
  AND(E13253="""", F13253&lt;&gt;""""), ""真實收入"",
  TRUE, ""其他""
)"),"其他")</f>
        <v>其他</v>
      </c>
      <c r="K13253" s="270" t="str">
        <f t="shared" si="2"/>
        <v/>
      </c>
      <c r="L13253">
        <f t="shared" si="3"/>
        <v>0</v>
      </c>
    </row>
    <row r="13254">
      <c r="A13254" s="107"/>
      <c r="D13254" s="270"/>
      <c r="H13254" s="106" t="str">
        <f t="shared" si="1"/>
        <v/>
      </c>
      <c r="J13254" t="str">
        <f>IFERROR(__xludf.DUMMYFUNCTION("IFS(
  AND(REGEXMATCH(E13254, ""台銀籌備帳戶|玉山帳戶""), REGEXMATCH(C13254, ""薪資"")), ""分潤支出"",
  AND(REGEXMATCH(E13254, ""Ben帳戶|Elsa帳戶|Ben代墊|Ariel代墊|中信銀行共用""), REGEXMATCH(F13254, ""Ben帳戶|Elsa帳戶|Ben代墊|Ariel代墊|中信銀行共用"")), ""內部轉帳(忽略)"",
  AND(E13254&lt;&gt;"""", F13254&lt;&gt;"&amp;""""", NOT(REGEXMATCH(C13254, ""薪資""))), ""內部轉帳(忽略)"",
  REGEXMATCH(C13254, ""薪資""), ""薪資變動(不計入)"",
  REGEXMATCH(C13254, ""押金""), ""押金往來"",
  AND(E13254&lt;&gt;"""", F13254=""""), ""真實支出"",
  AND(E13254="""", F13254&lt;&gt;""""), ""真實收入"",
  TRUE, ""其他""
)"),"其他")</f>
        <v>其他</v>
      </c>
      <c r="K13254" s="270" t="str">
        <f t="shared" si="2"/>
        <v/>
      </c>
      <c r="L13254">
        <f t="shared" si="3"/>
        <v>0</v>
      </c>
    </row>
    <row r="13255">
      <c r="A13255" s="107"/>
      <c r="D13255" s="270"/>
      <c r="H13255" s="106" t="str">
        <f t="shared" si="1"/>
        <v/>
      </c>
      <c r="J13255" t="str">
        <f>IFERROR(__xludf.DUMMYFUNCTION("IFS(
  AND(REGEXMATCH(E13255, ""台銀籌備帳戶|玉山帳戶""), REGEXMATCH(C13255, ""薪資"")), ""分潤支出"",
  AND(REGEXMATCH(E13255, ""Ben帳戶|Elsa帳戶|Ben代墊|Ariel代墊|中信銀行共用""), REGEXMATCH(F13255, ""Ben帳戶|Elsa帳戶|Ben代墊|Ariel代墊|中信銀行共用"")), ""內部轉帳(忽略)"",
  AND(E13255&lt;&gt;"""", F13255&lt;&gt;"&amp;""""", NOT(REGEXMATCH(C13255, ""薪資""))), ""內部轉帳(忽略)"",
  REGEXMATCH(C13255, ""薪資""), ""薪資變動(不計入)"",
  REGEXMATCH(C13255, ""押金""), ""押金往來"",
  AND(E13255&lt;&gt;"""", F13255=""""), ""真實支出"",
  AND(E13255="""", F13255&lt;&gt;""""), ""真實收入"",
  TRUE, ""其他""
)"),"其他")</f>
        <v>其他</v>
      </c>
      <c r="K13255" s="270" t="str">
        <f t="shared" si="2"/>
        <v/>
      </c>
      <c r="L13255">
        <f t="shared" si="3"/>
        <v>0</v>
      </c>
    </row>
    <row r="13256">
      <c r="A13256" s="107"/>
      <c r="D13256" s="270"/>
      <c r="H13256" s="106" t="str">
        <f t="shared" si="1"/>
        <v/>
      </c>
      <c r="J13256" t="str">
        <f>IFERROR(__xludf.DUMMYFUNCTION("IFS(
  AND(REGEXMATCH(E13256, ""台銀籌備帳戶|玉山帳戶""), REGEXMATCH(C13256, ""薪資"")), ""分潤支出"",
  AND(REGEXMATCH(E13256, ""Ben帳戶|Elsa帳戶|Ben代墊|Ariel代墊|中信銀行共用""), REGEXMATCH(F13256, ""Ben帳戶|Elsa帳戶|Ben代墊|Ariel代墊|中信銀行共用"")), ""內部轉帳(忽略)"",
  AND(E13256&lt;&gt;"""", F13256&lt;&gt;"&amp;""""", NOT(REGEXMATCH(C13256, ""薪資""))), ""內部轉帳(忽略)"",
  REGEXMATCH(C13256, ""薪資""), ""薪資變動(不計入)"",
  REGEXMATCH(C13256, ""押金""), ""押金往來"",
  AND(E13256&lt;&gt;"""", F13256=""""), ""真實支出"",
  AND(E13256="""", F13256&lt;&gt;""""), ""真實收入"",
  TRUE, ""其他""
)"),"其他")</f>
        <v>其他</v>
      </c>
      <c r="K13256" s="270" t="str">
        <f t="shared" si="2"/>
        <v/>
      </c>
      <c r="L13256">
        <f t="shared" si="3"/>
        <v>0</v>
      </c>
    </row>
    <row r="13257">
      <c r="A13257" s="107"/>
      <c r="D13257" s="270"/>
      <c r="H13257" s="106" t="str">
        <f t="shared" si="1"/>
        <v/>
      </c>
      <c r="J13257" t="str">
        <f>IFERROR(__xludf.DUMMYFUNCTION("IFS(
  AND(REGEXMATCH(E13257, ""台銀籌備帳戶|玉山帳戶""), REGEXMATCH(C13257, ""薪資"")), ""分潤支出"",
  AND(REGEXMATCH(E13257, ""Ben帳戶|Elsa帳戶|Ben代墊|Ariel代墊|中信銀行共用""), REGEXMATCH(F13257, ""Ben帳戶|Elsa帳戶|Ben代墊|Ariel代墊|中信銀行共用"")), ""內部轉帳(忽略)"",
  AND(E13257&lt;&gt;"""", F13257&lt;&gt;"&amp;""""", NOT(REGEXMATCH(C13257, ""薪資""))), ""內部轉帳(忽略)"",
  REGEXMATCH(C13257, ""薪資""), ""薪資變動(不計入)"",
  REGEXMATCH(C13257, ""押金""), ""押金往來"",
  AND(E13257&lt;&gt;"""", F13257=""""), ""真實支出"",
  AND(E13257="""", F13257&lt;&gt;""""), ""真實收入"",
  TRUE, ""其他""
)"),"其他")</f>
        <v>其他</v>
      </c>
      <c r="K13257" s="270" t="str">
        <f t="shared" si="2"/>
        <v/>
      </c>
      <c r="L13257">
        <f t="shared" si="3"/>
        <v>0</v>
      </c>
    </row>
    <row r="13258">
      <c r="A13258" s="107"/>
      <c r="D13258" s="270"/>
      <c r="H13258" s="106" t="str">
        <f t="shared" si="1"/>
        <v/>
      </c>
      <c r="J13258" t="str">
        <f>IFERROR(__xludf.DUMMYFUNCTION("IFS(
  AND(REGEXMATCH(E13258, ""台銀籌備帳戶|玉山帳戶""), REGEXMATCH(C13258, ""薪資"")), ""分潤支出"",
  AND(REGEXMATCH(E13258, ""Ben帳戶|Elsa帳戶|Ben代墊|Ariel代墊|中信銀行共用""), REGEXMATCH(F13258, ""Ben帳戶|Elsa帳戶|Ben代墊|Ariel代墊|中信銀行共用"")), ""內部轉帳(忽略)"",
  AND(E13258&lt;&gt;"""", F13258&lt;&gt;"&amp;""""", NOT(REGEXMATCH(C13258, ""薪資""))), ""內部轉帳(忽略)"",
  REGEXMATCH(C13258, ""薪資""), ""薪資變動(不計入)"",
  REGEXMATCH(C13258, ""押金""), ""押金往來"",
  AND(E13258&lt;&gt;"""", F13258=""""), ""真實支出"",
  AND(E13258="""", F13258&lt;&gt;""""), ""真實收入"",
  TRUE, ""其他""
)"),"其他")</f>
        <v>其他</v>
      </c>
      <c r="K13258" s="270" t="str">
        <f t="shared" si="2"/>
        <v/>
      </c>
      <c r="L13258">
        <f t="shared" si="3"/>
        <v>0</v>
      </c>
    </row>
    <row r="13259">
      <c r="A13259" s="107"/>
      <c r="D13259" s="270"/>
      <c r="H13259" s="106" t="str">
        <f t="shared" si="1"/>
        <v/>
      </c>
      <c r="J13259" t="str">
        <f>IFERROR(__xludf.DUMMYFUNCTION("IFS(
  AND(REGEXMATCH(E13259, ""台銀籌備帳戶|玉山帳戶""), REGEXMATCH(C13259, ""薪資"")), ""分潤支出"",
  AND(REGEXMATCH(E13259, ""Ben帳戶|Elsa帳戶|Ben代墊|Ariel代墊|中信銀行共用""), REGEXMATCH(F13259, ""Ben帳戶|Elsa帳戶|Ben代墊|Ariel代墊|中信銀行共用"")), ""內部轉帳(忽略)"",
  AND(E13259&lt;&gt;"""", F13259&lt;&gt;"&amp;""""", NOT(REGEXMATCH(C13259, ""薪資""))), ""內部轉帳(忽略)"",
  REGEXMATCH(C13259, ""薪資""), ""薪資變動(不計入)"",
  REGEXMATCH(C13259, ""押金""), ""押金往來"",
  AND(E13259&lt;&gt;"""", F13259=""""), ""真實支出"",
  AND(E13259="""", F13259&lt;&gt;""""), ""真實收入"",
  TRUE, ""其他""
)"),"其他")</f>
        <v>其他</v>
      </c>
      <c r="K13259" s="270" t="str">
        <f t="shared" si="2"/>
        <v/>
      </c>
      <c r="L13259">
        <f t="shared" si="3"/>
        <v>0</v>
      </c>
    </row>
    <row r="13260">
      <c r="A13260" s="107"/>
      <c r="D13260" s="270"/>
      <c r="H13260" s="106" t="str">
        <f t="shared" si="1"/>
        <v/>
      </c>
      <c r="J13260" t="str">
        <f>IFERROR(__xludf.DUMMYFUNCTION("IFS(
  AND(REGEXMATCH(E13260, ""台銀籌備帳戶|玉山帳戶""), REGEXMATCH(C13260, ""薪資"")), ""分潤支出"",
  AND(REGEXMATCH(E13260, ""Ben帳戶|Elsa帳戶|Ben代墊|Ariel代墊|中信銀行共用""), REGEXMATCH(F13260, ""Ben帳戶|Elsa帳戶|Ben代墊|Ariel代墊|中信銀行共用"")), ""內部轉帳(忽略)"",
  AND(E13260&lt;&gt;"""", F13260&lt;&gt;"&amp;""""", NOT(REGEXMATCH(C13260, ""薪資""))), ""內部轉帳(忽略)"",
  REGEXMATCH(C13260, ""薪資""), ""薪資變動(不計入)"",
  REGEXMATCH(C13260, ""押金""), ""押金往來"",
  AND(E13260&lt;&gt;"""", F13260=""""), ""真實支出"",
  AND(E13260="""", F13260&lt;&gt;""""), ""真實收入"",
  TRUE, ""其他""
)"),"其他")</f>
        <v>其他</v>
      </c>
      <c r="K13260" s="270" t="str">
        <f t="shared" si="2"/>
        <v/>
      </c>
      <c r="L13260">
        <f t="shared" si="3"/>
        <v>0</v>
      </c>
    </row>
    <row r="13261">
      <c r="A13261" s="107"/>
      <c r="D13261" s="270"/>
      <c r="H13261" s="106" t="str">
        <f t="shared" si="1"/>
        <v/>
      </c>
      <c r="J13261" t="str">
        <f>IFERROR(__xludf.DUMMYFUNCTION("IFS(
  AND(REGEXMATCH(E13261, ""台銀籌備帳戶|玉山帳戶""), REGEXMATCH(C13261, ""薪資"")), ""分潤支出"",
  AND(REGEXMATCH(E13261, ""Ben帳戶|Elsa帳戶|Ben代墊|Ariel代墊|中信銀行共用""), REGEXMATCH(F13261, ""Ben帳戶|Elsa帳戶|Ben代墊|Ariel代墊|中信銀行共用"")), ""內部轉帳(忽略)"",
  AND(E13261&lt;&gt;"""", F13261&lt;&gt;"&amp;""""", NOT(REGEXMATCH(C13261, ""薪資""))), ""內部轉帳(忽略)"",
  REGEXMATCH(C13261, ""薪資""), ""薪資變動(不計入)"",
  REGEXMATCH(C13261, ""押金""), ""押金往來"",
  AND(E13261&lt;&gt;"""", F13261=""""), ""真實支出"",
  AND(E13261="""", F13261&lt;&gt;""""), ""真實收入"",
  TRUE, ""其他""
)"),"其他")</f>
        <v>其他</v>
      </c>
      <c r="K13261" s="270" t="str">
        <f t="shared" si="2"/>
        <v/>
      </c>
      <c r="L13261">
        <f t="shared" si="3"/>
        <v>0</v>
      </c>
    </row>
    <row r="13262">
      <c r="A13262" s="107"/>
      <c r="D13262" s="270"/>
      <c r="H13262" s="106" t="str">
        <f t="shared" si="1"/>
        <v/>
      </c>
      <c r="J13262" t="str">
        <f>IFERROR(__xludf.DUMMYFUNCTION("IFS(
  AND(REGEXMATCH(E13262, ""台銀籌備帳戶|玉山帳戶""), REGEXMATCH(C13262, ""薪資"")), ""分潤支出"",
  AND(REGEXMATCH(E13262, ""Ben帳戶|Elsa帳戶|Ben代墊|Ariel代墊|中信銀行共用""), REGEXMATCH(F13262, ""Ben帳戶|Elsa帳戶|Ben代墊|Ariel代墊|中信銀行共用"")), ""內部轉帳(忽略)"",
  AND(E13262&lt;&gt;"""", F13262&lt;&gt;"&amp;""""", NOT(REGEXMATCH(C13262, ""薪資""))), ""內部轉帳(忽略)"",
  REGEXMATCH(C13262, ""薪資""), ""薪資變動(不計入)"",
  REGEXMATCH(C13262, ""押金""), ""押金往來"",
  AND(E13262&lt;&gt;"""", F13262=""""), ""真實支出"",
  AND(E13262="""", F13262&lt;&gt;""""), ""真實收入"",
  TRUE, ""其他""
)"),"其他")</f>
        <v>其他</v>
      </c>
      <c r="K13262" s="270" t="str">
        <f t="shared" si="2"/>
        <v/>
      </c>
      <c r="L13262">
        <f t="shared" si="3"/>
        <v>0</v>
      </c>
    </row>
    <row r="13263">
      <c r="A13263" s="107"/>
      <c r="D13263" s="270"/>
      <c r="H13263" s="106" t="str">
        <f t="shared" si="1"/>
        <v/>
      </c>
      <c r="J13263" t="str">
        <f>IFERROR(__xludf.DUMMYFUNCTION("IFS(
  AND(REGEXMATCH(E13263, ""台銀籌備帳戶|玉山帳戶""), REGEXMATCH(C13263, ""薪資"")), ""分潤支出"",
  AND(REGEXMATCH(E13263, ""Ben帳戶|Elsa帳戶|Ben代墊|Ariel代墊|中信銀行共用""), REGEXMATCH(F13263, ""Ben帳戶|Elsa帳戶|Ben代墊|Ariel代墊|中信銀行共用"")), ""內部轉帳(忽略)"",
  AND(E13263&lt;&gt;"""", F13263&lt;&gt;"&amp;""""", NOT(REGEXMATCH(C13263, ""薪資""))), ""內部轉帳(忽略)"",
  REGEXMATCH(C13263, ""薪資""), ""薪資變動(不計入)"",
  REGEXMATCH(C13263, ""押金""), ""押金往來"",
  AND(E13263&lt;&gt;"""", F13263=""""), ""真實支出"",
  AND(E13263="""", F13263&lt;&gt;""""), ""真實收入"",
  TRUE, ""其他""
)"),"其他")</f>
        <v>其他</v>
      </c>
      <c r="K13263" s="270" t="str">
        <f t="shared" si="2"/>
        <v/>
      </c>
      <c r="L13263">
        <f t="shared" si="3"/>
        <v>0</v>
      </c>
    </row>
    <row r="13264">
      <c r="A13264" s="107"/>
      <c r="D13264" s="270"/>
      <c r="H13264" s="106" t="str">
        <f t="shared" si="1"/>
        <v/>
      </c>
      <c r="J13264" t="str">
        <f>IFERROR(__xludf.DUMMYFUNCTION("IFS(
  AND(REGEXMATCH(E13264, ""台銀籌備帳戶|玉山帳戶""), REGEXMATCH(C13264, ""薪資"")), ""分潤支出"",
  AND(REGEXMATCH(E13264, ""Ben帳戶|Elsa帳戶|Ben代墊|Ariel代墊|中信銀行共用""), REGEXMATCH(F13264, ""Ben帳戶|Elsa帳戶|Ben代墊|Ariel代墊|中信銀行共用"")), ""內部轉帳(忽略)"",
  AND(E13264&lt;&gt;"""", F13264&lt;&gt;"&amp;""""", NOT(REGEXMATCH(C13264, ""薪資""))), ""內部轉帳(忽略)"",
  REGEXMATCH(C13264, ""薪資""), ""薪資變動(不計入)"",
  REGEXMATCH(C13264, ""押金""), ""押金往來"",
  AND(E13264&lt;&gt;"""", F13264=""""), ""真實支出"",
  AND(E13264="""", F13264&lt;&gt;""""), ""真實收入"",
  TRUE, ""其他""
)"),"其他")</f>
        <v>其他</v>
      </c>
      <c r="K13264" s="270" t="str">
        <f t="shared" si="2"/>
        <v/>
      </c>
      <c r="L13264">
        <f t="shared" si="3"/>
        <v>0</v>
      </c>
    </row>
    <row r="13265">
      <c r="A13265" s="107"/>
      <c r="D13265" s="270"/>
      <c r="H13265" s="106" t="str">
        <f t="shared" si="1"/>
        <v/>
      </c>
      <c r="J13265" t="str">
        <f>IFERROR(__xludf.DUMMYFUNCTION("IFS(
  AND(REGEXMATCH(E13265, ""台銀籌備帳戶|玉山帳戶""), REGEXMATCH(C13265, ""薪資"")), ""分潤支出"",
  AND(REGEXMATCH(E13265, ""Ben帳戶|Elsa帳戶|Ben代墊|Ariel代墊|中信銀行共用""), REGEXMATCH(F13265, ""Ben帳戶|Elsa帳戶|Ben代墊|Ariel代墊|中信銀行共用"")), ""內部轉帳(忽略)"",
  AND(E13265&lt;&gt;"""", F13265&lt;&gt;"&amp;""""", NOT(REGEXMATCH(C13265, ""薪資""))), ""內部轉帳(忽略)"",
  REGEXMATCH(C13265, ""薪資""), ""薪資變動(不計入)"",
  REGEXMATCH(C13265, ""押金""), ""押金往來"",
  AND(E13265&lt;&gt;"""", F13265=""""), ""真實支出"",
  AND(E13265="""", F13265&lt;&gt;""""), ""真實收入"",
  TRUE, ""其他""
)"),"其他")</f>
        <v>其他</v>
      </c>
      <c r="K13265" s="270" t="str">
        <f t="shared" si="2"/>
        <v/>
      </c>
      <c r="L13265">
        <f t="shared" si="3"/>
        <v>0</v>
      </c>
    </row>
    <row r="13266">
      <c r="A13266" s="107"/>
      <c r="D13266" s="270"/>
      <c r="H13266" s="106" t="str">
        <f t="shared" si="1"/>
        <v/>
      </c>
      <c r="J13266" t="str">
        <f>IFERROR(__xludf.DUMMYFUNCTION("IFS(
  AND(REGEXMATCH(E13266, ""台銀籌備帳戶|玉山帳戶""), REGEXMATCH(C13266, ""薪資"")), ""分潤支出"",
  AND(REGEXMATCH(E13266, ""Ben帳戶|Elsa帳戶|Ben代墊|Ariel代墊|中信銀行共用""), REGEXMATCH(F13266, ""Ben帳戶|Elsa帳戶|Ben代墊|Ariel代墊|中信銀行共用"")), ""內部轉帳(忽略)"",
  AND(E13266&lt;&gt;"""", F13266&lt;&gt;"&amp;""""", NOT(REGEXMATCH(C13266, ""薪資""))), ""內部轉帳(忽略)"",
  REGEXMATCH(C13266, ""薪資""), ""薪資變動(不計入)"",
  REGEXMATCH(C13266, ""押金""), ""押金往來"",
  AND(E13266&lt;&gt;"""", F13266=""""), ""真實支出"",
  AND(E13266="""", F13266&lt;&gt;""""), ""真實收入"",
  TRUE, ""其他""
)"),"其他")</f>
        <v>其他</v>
      </c>
      <c r="K13266" s="270" t="str">
        <f t="shared" si="2"/>
        <v/>
      </c>
      <c r="L13266">
        <f t="shared" si="3"/>
        <v>0</v>
      </c>
    </row>
    <row r="13267">
      <c r="A13267" s="107"/>
      <c r="D13267" s="270"/>
      <c r="H13267" s="106" t="str">
        <f t="shared" si="1"/>
        <v/>
      </c>
      <c r="J13267" t="str">
        <f>IFERROR(__xludf.DUMMYFUNCTION("IFS(
  AND(REGEXMATCH(E13267, ""台銀籌備帳戶|玉山帳戶""), REGEXMATCH(C13267, ""薪資"")), ""分潤支出"",
  AND(REGEXMATCH(E13267, ""Ben帳戶|Elsa帳戶|Ben代墊|Ariel代墊|中信銀行共用""), REGEXMATCH(F13267, ""Ben帳戶|Elsa帳戶|Ben代墊|Ariel代墊|中信銀行共用"")), ""內部轉帳(忽略)"",
  AND(E13267&lt;&gt;"""", F13267&lt;&gt;"&amp;""""", NOT(REGEXMATCH(C13267, ""薪資""))), ""內部轉帳(忽略)"",
  REGEXMATCH(C13267, ""薪資""), ""薪資變動(不計入)"",
  REGEXMATCH(C13267, ""押金""), ""押金往來"",
  AND(E13267&lt;&gt;"""", F13267=""""), ""真實支出"",
  AND(E13267="""", F13267&lt;&gt;""""), ""真實收入"",
  TRUE, ""其他""
)"),"其他")</f>
        <v>其他</v>
      </c>
      <c r="K13267" s="270" t="str">
        <f t="shared" si="2"/>
        <v/>
      </c>
      <c r="L13267">
        <f t="shared" si="3"/>
        <v>0</v>
      </c>
    </row>
    <row r="13268">
      <c r="A13268" s="107"/>
      <c r="D13268" s="270"/>
      <c r="H13268" s="106" t="str">
        <f t="shared" si="1"/>
        <v/>
      </c>
      <c r="J13268" t="str">
        <f>IFERROR(__xludf.DUMMYFUNCTION("IFS(
  AND(REGEXMATCH(E13268, ""台銀籌備帳戶|玉山帳戶""), REGEXMATCH(C13268, ""薪資"")), ""分潤支出"",
  AND(REGEXMATCH(E13268, ""Ben帳戶|Elsa帳戶|Ben代墊|Ariel代墊|中信銀行共用""), REGEXMATCH(F13268, ""Ben帳戶|Elsa帳戶|Ben代墊|Ariel代墊|中信銀行共用"")), ""內部轉帳(忽略)"",
  AND(E13268&lt;&gt;"""", F13268&lt;&gt;"&amp;""""", NOT(REGEXMATCH(C13268, ""薪資""))), ""內部轉帳(忽略)"",
  REGEXMATCH(C13268, ""薪資""), ""薪資變動(不計入)"",
  REGEXMATCH(C13268, ""押金""), ""押金往來"",
  AND(E13268&lt;&gt;"""", F13268=""""), ""真實支出"",
  AND(E13268="""", F13268&lt;&gt;""""), ""真實收入"",
  TRUE, ""其他""
)"),"其他")</f>
        <v>其他</v>
      </c>
      <c r="K13268" s="270" t="str">
        <f t="shared" si="2"/>
        <v/>
      </c>
      <c r="L13268">
        <f t="shared" si="3"/>
        <v>0</v>
      </c>
    </row>
    <row r="13269">
      <c r="A13269" s="107"/>
      <c r="D13269" s="270"/>
      <c r="H13269" s="106" t="str">
        <f t="shared" si="1"/>
        <v/>
      </c>
      <c r="J13269" t="str">
        <f>IFERROR(__xludf.DUMMYFUNCTION("IFS(
  AND(REGEXMATCH(E13269, ""台銀籌備帳戶|玉山帳戶""), REGEXMATCH(C13269, ""薪資"")), ""分潤支出"",
  AND(REGEXMATCH(E13269, ""Ben帳戶|Elsa帳戶|Ben代墊|Ariel代墊|中信銀行共用""), REGEXMATCH(F13269, ""Ben帳戶|Elsa帳戶|Ben代墊|Ariel代墊|中信銀行共用"")), ""內部轉帳(忽略)"",
  AND(E13269&lt;&gt;"""", F13269&lt;&gt;"&amp;""""", NOT(REGEXMATCH(C13269, ""薪資""))), ""內部轉帳(忽略)"",
  REGEXMATCH(C13269, ""薪資""), ""薪資變動(不計入)"",
  REGEXMATCH(C13269, ""押金""), ""押金往來"",
  AND(E13269&lt;&gt;"""", F13269=""""), ""真實支出"",
  AND(E13269="""", F13269&lt;&gt;""""), ""真實收入"",
  TRUE, ""其他""
)"),"其他")</f>
        <v>其他</v>
      </c>
      <c r="K13269" s="270" t="str">
        <f t="shared" si="2"/>
        <v/>
      </c>
      <c r="L13269">
        <f t="shared" si="3"/>
        <v>0</v>
      </c>
    </row>
    <row r="13270">
      <c r="A13270" s="107"/>
      <c r="D13270" s="270"/>
      <c r="H13270" s="106" t="str">
        <f t="shared" si="1"/>
        <v/>
      </c>
      <c r="J13270" t="str">
        <f>IFERROR(__xludf.DUMMYFUNCTION("IFS(
  AND(REGEXMATCH(E13270, ""台銀籌備帳戶|玉山帳戶""), REGEXMATCH(C13270, ""薪資"")), ""分潤支出"",
  AND(REGEXMATCH(E13270, ""Ben帳戶|Elsa帳戶|Ben代墊|Ariel代墊|中信銀行共用""), REGEXMATCH(F13270, ""Ben帳戶|Elsa帳戶|Ben代墊|Ariel代墊|中信銀行共用"")), ""內部轉帳(忽略)"",
  AND(E13270&lt;&gt;"""", F13270&lt;&gt;"&amp;""""", NOT(REGEXMATCH(C13270, ""薪資""))), ""內部轉帳(忽略)"",
  REGEXMATCH(C13270, ""薪資""), ""薪資變動(不計入)"",
  REGEXMATCH(C13270, ""押金""), ""押金往來"",
  AND(E13270&lt;&gt;"""", F13270=""""), ""真實支出"",
  AND(E13270="""", F13270&lt;&gt;""""), ""真實收入"",
  TRUE, ""其他""
)"),"其他")</f>
        <v>其他</v>
      </c>
      <c r="K13270" s="270" t="str">
        <f t="shared" si="2"/>
        <v/>
      </c>
      <c r="L13270">
        <f t="shared" si="3"/>
        <v>0</v>
      </c>
    </row>
    <row r="13271">
      <c r="A13271" s="107"/>
      <c r="D13271" s="270"/>
      <c r="H13271" s="106" t="str">
        <f t="shared" si="1"/>
        <v/>
      </c>
      <c r="J13271" t="str">
        <f>IFERROR(__xludf.DUMMYFUNCTION("IFS(
  AND(REGEXMATCH(E13271, ""台銀籌備帳戶|玉山帳戶""), REGEXMATCH(C13271, ""薪資"")), ""分潤支出"",
  AND(REGEXMATCH(E13271, ""Ben帳戶|Elsa帳戶|Ben代墊|Ariel代墊|中信銀行共用""), REGEXMATCH(F13271, ""Ben帳戶|Elsa帳戶|Ben代墊|Ariel代墊|中信銀行共用"")), ""內部轉帳(忽略)"",
  AND(E13271&lt;&gt;"""", F13271&lt;&gt;"&amp;""""", NOT(REGEXMATCH(C13271, ""薪資""))), ""內部轉帳(忽略)"",
  REGEXMATCH(C13271, ""薪資""), ""薪資變動(不計入)"",
  REGEXMATCH(C13271, ""押金""), ""押金往來"",
  AND(E13271&lt;&gt;"""", F13271=""""), ""真實支出"",
  AND(E13271="""", F13271&lt;&gt;""""), ""真實收入"",
  TRUE, ""其他""
)"),"其他")</f>
        <v>其他</v>
      </c>
      <c r="K13271" s="270" t="str">
        <f t="shared" si="2"/>
        <v/>
      </c>
      <c r="L13271">
        <f t="shared" si="3"/>
        <v>0</v>
      </c>
    </row>
    <row r="13272">
      <c r="A13272" s="107"/>
      <c r="D13272" s="270"/>
      <c r="H13272" s="106" t="str">
        <f t="shared" si="1"/>
        <v/>
      </c>
      <c r="J13272" t="str">
        <f>IFERROR(__xludf.DUMMYFUNCTION("IFS(
  AND(REGEXMATCH(E13272, ""台銀籌備帳戶|玉山帳戶""), REGEXMATCH(C13272, ""薪資"")), ""分潤支出"",
  AND(REGEXMATCH(E13272, ""Ben帳戶|Elsa帳戶|Ben代墊|Ariel代墊|中信銀行共用""), REGEXMATCH(F13272, ""Ben帳戶|Elsa帳戶|Ben代墊|Ariel代墊|中信銀行共用"")), ""內部轉帳(忽略)"",
  AND(E13272&lt;&gt;"""", F13272&lt;&gt;"&amp;""""", NOT(REGEXMATCH(C13272, ""薪資""))), ""內部轉帳(忽略)"",
  REGEXMATCH(C13272, ""薪資""), ""薪資變動(不計入)"",
  REGEXMATCH(C13272, ""押金""), ""押金往來"",
  AND(E13272&lt;&gt;"""", F13272=""""), ""真實支出"",
  AND(E13272="""", F13272&lt;&gt;""""), ""真實收入"",
  TRUE, ""其他""
)"),"其他")</f>
        <v>其他</v>
      </c>
      <c r="K13272" s="270" t="str">
        <f t="shared" si="2"/>
        <v/>
      </c>
      <c r="L13272">
        <f t="shared" si="3"/>
        <v>0</v>
      </c>
    </row>
    <row r="13273">
      <c r="A13273" s="107"/>
      <c r="D13273" s="270"/>
      <c r="H13273" s="106" t="str">
        <f t="shared" si="1"/>
        <v/>
      </c>
      <c r="J13273" t="str">
        <f>IFERROR(__xludf.DUMMYFUNCTION("IFS(
  AND(REGEXMATCH(E13273, ""台銀籌備帳戶|玉山帳戶""), REGEXMATCH(C13273, ""薪資"")), ""分潤支出"",
  AND(REGEXMATCH(E13273, ""Ben帳戶|Elsa帳戶|Ben代墊|Ariel代墊|中信銀行共用""), REGEXMATCH(F13273, ""Ben帳戶|Elsa帳戶|Ben代墊|Ariel代墊|中信銀行共用"")), ""內部轉帳(忽略)"",
  AND(E13273&lt;&gt;"""", F13273&lt;&gt;"&amp;""""", NOT(REGEXMATCH(C13273, ""薪資""))), ""內部轉帳(忽略)"",
  REGEXMATCH(C13273, ""薪資""), ""薪資變動(不計入)"",
  REGEXMATCH(C13273, ""押金""), ""押金往來"",
  AND(E13273&lt;&gt;"""", F13273=""""), ""真實支出"",
  AND(E13273="""", F13273&lt;&gt;""""), ""真實收入"",
  TRUE, ""其他""
)"),"其他")</f>
        <v>其他</v>
      </c>
      <c r="K13273" s="270" t="str">
        <f t="shared" si="2"/>
        <v/>
      </c>
      <c r="L13273">
        <f t="shared" si="3"/>
        <v>0</v>
      </c>
    </row>
    <row r="13274">
      <c r="A13274" s="107"/>
      <c r="D13274" s="270"/>
      <c r="H13274" s="106" t="str">
        <f t="shared" si="1"/>
        <v/>
      </c>
      <c r="J13274" t="str">
        <f>IFERROR(__xludf.DUMMYFUNCTION("IFS(
  AND(REGEXMATCH(E13274, ""台銀籌備帳戶|玉山帳戶""), REGEXMATCH(C13274, ""薪資"")), ""分潤支出"",
  AND(REGEXMATCH(E13274, ""Ben帳戶|Elsa帳戶|Ben代墊|Ariel代墊|中信銀行共用""), REGEXMATCH(F13274, ""Ben帳戶|Elsa帳戶|Ben代墊|Ariel代墊|中信銀行共用"")), ""內部轉帳(忽略)"",
  AND(E13274&lt;&gt;"""", F13274&lt;&gt;"&amp;""""", NOT(REGEXMATCH(C13274, ""薪資""))), ""內部轉帳(忽略)"",
  REGEXMATCH(C13274, ""薪資""), ""薪資變動(不計入)"",
  REGEXMATCH(C13274, ""押金""), ""押金往來"",
  AND(E13274&lt;&gt;"""", F13274=""""), ""真實支出"",
  AND(E13274="""", F13274&lt;&gt;""""), ""真實收入"",
  TRUE, ""其他""
)"),"其他")</f>
        <v>其他</v>
      </c>
      <c r="K13274" s="270" t="str">
        <f t="shared" si="2"/>
        <v/>
      </c>
      <c r="L13274">
        <f t="shared" si="3"/>
        <v>0</v>
      </c>
    </row>
    <row r="13275">
      <c r="A13275" s="107"/>
      <c r="D13275" s="270"/>
      <c r="H13275" s="106" t="str">
        <f t="shared" si="1"/>
        <v/>
      </c>
      <c r="J13275" t="str">
        <f>IFERROR(__xludf.DUMMYFUNCTION("IFS(
  AND(REGEXMATCH(E13275, ""台銀籌備帳戶|玉山帳戶""), REGEXMATCH(C13275, ""薪資"")), ""分潤支出"",
  AND(REGEXMATCH(E13275, ""Ben帳戶|Elsa帳戶|Ben代墊|Ariel代墊|中信銀行共用""), REGEXMATCH(F13275, ""Ben帳戶|Elsa帳戶|Ben代墊|Ariel代墊|中信銀行共用"")), ""內部轉帳(忽略)"",
  AND(E13275&lt;&gt;"""", F13275&lt;&gt;"&amp;""""", NOT(REGEXMATCH(C13275, ""薪資""))), ""內部轉帳(忽略)"",
  REGEXMATCH(C13275, ""薪資""), ""薪資變動(不計入)"",
  REGEXMATCH(C13275, ""押金""), ""押金往來"",
  AND(E13275&lt;&gt;"""", F13275=""""), ""真實支出"",
  AND(E13275="""", F13275&lt;&gt;""""), ""真實收入"",
  TRUE, ""其他""
)"),"其他")</f>
        <v>其他</v>
      </c>
      <c r="K13275" s="270" t="str">
        <f t="shared" si="2"/>
        <v/>
      </c>
      <c r="L13275">
        <f t="shared" si="3"/>
        <v>0</v>
      </c>
    </row>
    <row r="13276">
      <c r="A13276" s="107"/>
      <c r="D13276" s="270"/>
      <c r="H13276" s="106" t="str">
        <f t="shared" si="1"/>
        <v/>
      </c>
      <c r="J13276" t="str">
        <f>IFERROR(__xludf.DUMMYFUNCTION("IFS(
  AND(REGEXMATCH(E13276, ""台銀籌備帳戶|玉山帳戶""), REGEXMATCH(C13276, ""薪資"")), ""分潤支出"",
  AND(REGEXMATCH(E13276, ""Ben帳戶|Elsa帳戶|Ben代墊|Ariel代墊|中信銀行共用""), REGEXMATCH(F13276, ""Ben帳戶|Elsa帳戶|Ben代墊|Ariel代墊|中信銀行共用"")), ""內部轉帳(忽略)"",
  AND(E13276&lt;&gt;"""", F13276&lt;&gt;"&amp;""""", NOT(REGEXMATCH(C13276, ""薪資""))), ""內部轉帳(忽略)"",
  REGEXMATCH(C13276, ""薪資""), ""薪資變動(不計入)"",
  REGEXMATCH(C13276, ""押金""), ""押金往來"",
  AND(E13276&lt;&gt;"""", F13276=""""), ""真實支出"",
  AND(E13276="""", F13276&lt;&gt;""""), ""真實收入"",
  TRUE, ""其他""
)"),"其他")</f>
        <v>其他</v>
      </c>
      <c r="K13276" s="270" t="str">
        <f t="shared" si="2"/>
        <v/>
      </c>
      <c r="L13276">
        <f t="shared" si="3"/>
        <v>0</v>
      </c>
    </row>
    <row r="13277">
      <c r="A13277" s="107"/>
      <c r="D13277" s="270"/>
      <c r="H13277" s="106" t="str">
        <f t="shared" si="1"/>
        <v/>
      </c>
      <c r="J13277" t="str">
        <f>IFERROR(__xludf.DUMMYFUNCTION("IFS(
  AND(REGEXMATCH(E13277, ""台銀籌備帳戶|玉山帳戶""), REGEXMATCH(C13277, ""薪資"")), ""分潤支出"",
  AND(REGEXMATCH(E13277, ""Ben帳戶|Elsa帳戶|Ben代墊|Ariel代墊|中信銀行共用""), REGEXMATCH(F13277, ""Ben帳戶|Elsa帳戶|Ben代墊|Ariel代墊|中信銀行共用"")), ""內部轉帳(忽略)"",
  AND(E13277&lt;&gt;"""", F13277&lt;&gt;"&amp;""""", NOT(REGEXMATCH(C13277, ""薪資""))), ""內部轉帳(忽略)"",
  REGEXMATCH(C13277, ""薪資""), ""薪資變動(不計入)"",
  REGEXMATCH(C13277, ""押金""), ""押金往來"",
  AND(E13277&lt;&gt;"""", F13277=""""), ""真實支出"",
  AND(E13277="""", F13277&lt;&gt;""""), ""真實收入"",
  TRUE, ""其他""
)"),"其他")</f>
        <v>其他</v>
      </c>
      <c r="K13277" s="270" t="str">
        <f t="shared" si="2"/>
        <v/>
      </c>
      <c r="L13277">
        <f t="shared" si="3"/>
        <v>0</v>
      </c>
    </row>
    <row r="13278">
      <c r="A13278" s="107"/>
      <c r="D13278" s="270"/>
      <c r="H13278" s="106" t="str">
        <f t="shared" si="1"/>
        <v/>
      </c>
      <c r="J13278" t="str">
        <f>IFERROR(__xludf.DUMMYFUNCTION("IFS(
  AND(REGEXMATCH(E13278, ""台銀籌備帳戶|玉山帳戶""), REGEXMATCH(C13278, ""薪資"")), ""分潤支出"",
  AND(REGEXMATCH(E13278, ""Ben帳戶|Elsa帳戶|Ben代墊|Ariel代墊|中信銀行共用""), REGEXMATCH(F13278, ""Ben帳戶|Elsa帳戶|Ben代墊|Ariel代墊|中信銀行共用"")), ""內部轉帳(忽略)"",
  AND(E13278&lt;&gt;"""", F13278&lt;&gt;"&amp;""""", NOT(REGEXMATCH(C13278, ""薪資""))), ""內部轉帳(忽略)"",
  REGEXMATCH(C13278, ""薪資""), ""薪資變動(不計入)"",
  REGEXMATCH(C13278, ""押金""), ""押金往來"",
  AND(E13278&lt;&gt;"""", F13278=""""), ""真實支出"",
  AND(E13278="""", F13278&lt;&gt;""""), ""真實收入"",
  TRUE, ""其他""
)"),"其他")</f>
        <v>其他</v>
      </c>
      <c r="K13278" s="270" t="str">
        <f t="shared" si="2"/>
        <v/>
      </c>
      <c r="L13278">
        <f t="shared" si="3"/>
        <v>0</v>
      </c>
    </row>
    <row r="13279">
      <c r="A13279" s="107"/>
      <c r="D13279" s="270"/>
      <c r="H13279" s="106" t="str">
        <f t="shared" si="1"/>
        <v/>
      </c>
      <c r="J13279" t="str">
        <f>IFERROR(__xludf.DUMMYFUNCTION("IFS(
  AND(REGEXMATCH(E13279, ""台銀籌備帳戶|玉山帳戶""), REGEXMATCH(C13279, ""薪資"")), ""分潤支出"",
  AND(REGEXMATCH(E13279, ""Ben帳戶|Elsa帳戶|Ben代墊|Ariel代墊|中信銀行共用""), REGEXMATCH(F13279, ""Ben帳戶|Elsa帳戶|Ben代墊|Ariel代墊|中信銀行共用"")), ""內部轉帳(忽略)"",
  AND(E13279&lt;&gt;"""", F13279&lt;&gt;"&amp;""""", NOT(REGEXMATCH(C13279, ""薪資""))), ""內部轉帳(忽略)"",
  REGEXMATCH(C13279, ""薪資""), ""薪資變動(不計入)"",
  REGEXMATCH(C13279, ""押金""), ""押金往來"",
  AND(E13279&lt;&gt;"""", F13279=""""), ""真實支出"",
  AND(E13279="""", F13279&lt;&gt;""""), ""真實收入"",
  TRUE, ""其他""
)"),"其他")</f>
        <v>其他</v>
      </c>
      <c r="K13279" s="270" t="str">
        <f t="shared" si="2"/>
        <v/>
      </c>
      <c r="L13279">
        <f t="shared" si="3"/>
        <v>0</v>
      </c>
    </row>
    <row r="13280">
      <c r="A13280" s="107"/>
      <c r="D13280" s="270"/>
      <c r="H13280" s="106" t="str">
        <f t="shared" si="1"/>
        <v/>
      </c>
      <c r="J13280" t="str">
        <f>IFERROR(__xludf.DUMMYFUNCTION("IFS(
  AND(REGEXMATCH(E13280, ""台銀籌備帳戶|玉山帳戶""), REGEXMATCH(C13280, ""薪資"")), ""分潤支出"",
  AND(REGEXMATCH(E13280, ""Ben帳戶|Elsa帳戶|Ben代墊|Ariel代墊|中信銀行共用""), REGEXMATCH(F13280, ""Ben帳戶|Elsa帳戶|Ben代墊|Ariel代墊|中信銀行共用"")), ""內部轉帳(忽略)"",
  AND(E13280&lt;&gt;"""", F13280&lt;&gt;"&amp;""""", NOT(REGEXMATCH(C13280, ""薪資""))), ""內部轉帳(忽略)"",
  REGEXMATCH(C13280, ""薪資""), ""薪資變動(不計入)"",
  REGEXMATCH(C13280, ""押金""), ""押金往來"",
  AND(E13280&lt;&gt;"""", F13280=""""), ""真實支出"",
  AND(E13280="""", F13280&lt;&gt;""""), ""真實收入"",
  TRUE, ""其他""
)"),"其他")</f>
        <v>其他</v>
      </c>
      <c r="K13280" s="270" t="str">
        <f t="shared" si="2"/>
        <v/>
      </c>
      <c r="L13280">
        <f t="shared" si="3"/>
        <v>0</v>
      </c>
    </row>
    <row r="13281">
      <c r="A13281" s="107"/>
      <c r="D13281" s="270"/>
      <c r="H13281" s="106" t="str">
        <f t="shared" si="1"/>
        <v/>
      </c>
      <c r="J13281" t="str">
        <f>IFERROR(__xludf.DUMMYFUNCTION("IFS(
  AND(REGEXMATCH(E13281, ""台銀籌備帳戶|玉山帳戶""), REGEXMATCH(C13281, ""薪資"")), ""分潤支出"",
  AND(REGEXMATCH(E13281, ""Ben帳戶|Elsa帳戶|Ben代墊|Ariel代墊|中信銀行共用""), REGEXMATCH(F13281, ""Ben帳戶|Elsa帳戶|Ben代墊|Ariel代墊|中信銀行共用"")), ""內部轉帳(忽略)"",
  AND(E13281&lt;&gt;"""", F13281&lt;&gt;"&amp;""""", NOT(REGEXMATCH(C13281, ""薪資""))), ""內部轉帳(忽略)"",
  REGEXMATCH(C13281, ""薪資""), ""薪資變動(不計入)"",
  REGEXMATCH(C13281, ""押金""), ""押金往來"",
  AND(E13281&lt;&gt;"""", F13281=""""), ""真實支出"",
  AND(E13281="""", F13281&lt;&gt;""""), ""真實收入"",
  TRUE, ""其他""
)"),"其他")</f>
        <v>其他</v>
      </c>
      <c r="K13281" s="270" t="str">
        <f t="shared" si="2"/>
        <v/>
      </c>
      <c r="L13281">
        <f t="shared" si="3"/>
        <v>0</v>
      </c>
    </row>
    <row r="13282">
      <c r="A13282" s="107"/>
      <c r="D13282" s="270"/>
      <c r="H13282" s="106" t="str">
        <f t="shared" si="1"/>
        <v/>
      </c>
      <c r="J13282" t="str">
        <f>IFERROR(__xludf.DUMMYFUNCTION("IFS(
  AND(REGEXMATCH(E13282, ""台銀籌備帳戶|玉山帳戶""), REGEXMATCH(C13282, ""薪資"")), ""分潤支出"",
  AND(REGEXMATCH(E13282, ""Ben帳戶|Elsa帳戶|Ben代墊|Ariel代墊|中信銀行共用""), REGEXMATCH(F13282, ""Ben帳戶|Elsa帳戶|Ben代墊|Ariel代墊|中信銀行共用"")), ""內部轉帳(忽略)"",
  AND(E13282&lt;&gt;"""", F13282&lt;&gt;"&amp;""""", NOT(REGEXMATCH(C13282, ""薪資""))), ""內部轉帳(忽略)"",
  REGEXMATCH(C13282, ""薪資""), ""薪資變動(不計入)"",
  REGEXMATCH(C13282, ""押金""), ""押金往來"",
  AND(E13282&lt;&gt;"""", F13282=""""), ""真實支出"",
  AND(E13282="""", F13282&lt;&gt;""""), ""真實收入"",
  TRUE, ""其他""
)"),"其他")</f>
        <v>其他</v>
      </c>
      <c r="K13282" s="270" t="str">
        <f t="shared" si="2"/>
        <v/>
      </c>
      <c r="L13282">
        <f t="shared" si="3"/>
        <v>0</v>
      </c>
    </row>
    <row r="13283">
      <c r="A13283" s="107"/>
      <c r="D13283" s="270"/>
      <c r="H13283" s="106" t="str">
        <f t="shared" si="1"/>
        <v/>
      </c>
      <c r="J13283" t="str">
        <f>IFERROR(__xludf.DUMMYFUNCTION("IFS(
  AND(REGEXMATCH(E13283, ""台銀籌備帳戶|玉山帳戶""), REGEXMATCH(C13283, ""薪資"")), ""分潤支出"",
  AND(REGEXMATCH(E13283, ""Ben帳戶|Elsa帳戶|Ben代墊|Ariel代墊|中信銀行共用""), REGEXMATCH(F13283, ""Ben帳戶|Elsa帳戶|Ben代墊|Ariel代墊|中信銀行共用"")), ""內部轉帳(忽略)"",
  AND(E13283&lt;&gt;"""", F13283&lt;&gt;"&amp;""""", NOT(REGEXMATCH(C13283, ""薪資""))), ""內部轉帳(忽略)"",
  REGEXMATCH(C13283, ""薪資""), ""薪資變動(不計入)"",
  REGEXMATCH(C13283, ""押金""), ""押金往來"",
  AND(E13283&lt;&gt;"""", F13283=""""), ""真實支出"",
  AND(E13283="""", F13283&lt;&gt;""""), ""真實收入"",
  TRUE, ""其他""
)"),"其他")</f>
        <v>其他</v>
      </c>
      <c r="K13283" s="270" t="str">
        <f t="shared" si="2"/>
        <v/>
      </c>
      <c r="L13283">
        <f t="shared" si="3"/>
        <v>0</v>
      </c>
    </row>
    <row r="13284">
      <c r="A13284" s="107"/>
      <c r="D13284" s="270"/>
      <c r="H13284" s="106" t="str">
        <f t="shared" si="1"/>
        <v/>
      </c>
      <c r="J13284" t="str">
        <f>IFERROR(__xludf.DUMMYFUNCTION("IFS(
  AND(REGEXMATCH(E13284, ""台銀籌備帳戶|玉山帳戶""), REGEXMATCH(C13284, ""薪資"")), ""分潤支出"",
  AND(REGEXMATCH(E13284, ""Ben帳戶|Elsa帳戶|Ben代墊|Ariel代墊|中信銀行共用""), REGEXMATCH(F13284, ""Ben帳戶|Elsa帳戶|Ben代墊|Ariel代墊|中信銀行共用"")), ""內部轉帳(忽略)"",
  AND(E13284&lt;&gt;"""", F13284&lt;&gt;"&amp;""""", NOT(REGEXMATCH(C13284, ""薪資""))), ""內部轉帳(忽略)"",
  REGEXMATCH(C13284, ""薪資""), ""薪資變動(不計入)"",
  REGEXMATCH(C13284, ""押金""), ""押金往來"",
  AND(E13284&lt;&gt;"""", F13284=""""), ""真實支出"",
  AND(E13284="""", F13284&lt;&gt;""""), ""真實收入"",
  TRUE, ""其他""
)"),"其他")</f>
        <v>其他</v>
      </c>
      <c r="K13284" s="270" t="str">
        <f t="shared" si="2"/>
        <v/>
      </c>
      <c r="L13284">
        <f t="shared" si="3"/>
        <v>0</v>
      </c>
    </row>
    <row r="13285">
      <c r="A13285" s="107"/>
      <c r="D13285" s="270"/>
      <c r="H13285" s="106" t="str">
        <f t="shared" si="1"/>
        <v/>
      </c>
      <c r="J13285" t="str">
        <f>IFERROR(__xludf.DUMMYFUNCTION("IFS(
  AND(REGEXMATCH(E13285, ""台銀籌備帳戶|玉山帳戶""), REGEXMATCH(C13285, ""薪資"")), ""分潤支出"",
  AND(REGEXMATCH(E13285, ""Ben帳戶|Elsa帳戶|Ben代墊|Ariel代墊|中信銀行共用""), REGEXMATCH(F13285, ""Ben帳戶|Elsa帳戶|Ben代墊|Ariel代墊|中信銀行共用"")), ""內部轉帳(忽略)"",
  AND(E13285&lt;&gt;"""", F13285&lt;&gt;"&amp;""""", NOT(REGEXMATCH(C13285, ""薪資""))), ""內部轉帳(忽略)"",
  REGEXMATCH(C13285, ""薪資""), ""薪資變動(不計入)"",
  REGEXMATCH(C13285, ""押金""), ""押金往來"",
  AND(E13285&lt;&gt;"""", F13285=""""), ""真實支出"",
  AND(E13285="""", F13285&lt;&gt;""""), ""真實收入"",
  TRUE, ""其他""
)"),"其他")</f>
        <v>其他</v>
      </c>
      <c r="K13285" s="270" t="str">
        <f t="shared" si="2"/>
        <v/>
      </c>
      <c r="L13285">
        <f t="shared" si="3"/>
        <v>0</v>
      </c>
    </row>
    <row r="13286">
      <c r="A13286" s="107"/>
      <c r="D13286" s="270"/>
      <c r="H13286" s="106" t="str">
        <f t="shared" si="1"/>
        <v/>
      </c>
      <c r="J13286" t="str">
        <f>IFERROR(__xludf.DUMMYFUNCTION("IFS(
  AND(REGEXMATCH(E13286, ""台銀籌備帳戶|玉山帳戶""), REGEXMATCH(C13286, ""薪資"")), ""分潤支出"",
  AND(REGEXMATCH(E13286, ""Ben帳戶|Elsa帳戶|Ben代墊|Ariel代墊|中信銀行共用""), REGEXMATCH(F13286, ""Ben帳戶|Elsa帳戶|Ben代墊|Ariel代墊|中信銀行共用"")), ""內部轉帳(忽略)"",
  AND(E13286&lt;&gt;"""", F13286&lt;&gt;"&amp;""""", NOT(REGEXMATCH(C13286, ""薪資""))), ""內部轉帳(忽略)"",
  REGEXMATCH(C13286, ""薪資""), ""薪資變動(不計入)"",
  REGEXMATCH(C13286, ""押金""), ""押金往來"",
  AND(E13286&lt;&gt;"""", F13286=""""), ""真實支出"",
  AND(E13286="""", F13286&lt;&gt;""""), ""真實收入"",
  TRUE, ""其他""
)"),"其他")</f>
        <v>其他</v>
      </c>
      <c r="K13286" s="270" t="str">
        <f t="shared" si="2"/>
        <v/>
      </c>
      <c r="L13286">
        <f t="shared" si="3"/>
        <v>0</v>
      </c>
    </row>
    <row r="13287">
      <c r="A13287" s="107"/>
      <c r="D13287" s="270"/>
      <c r="H13287" s="106" t="str">
        <f t="shared" si="1"/>
        <v/>
      </c>
      <c r="J13287" t="str">
        <f>IFERROR(__xludf.DUMMYFUNCTION("IFS(
  AND(REGEXMATCH(E13287, ""台銀籌備帳戶|玉山帳戶""), REGEXMATCH(C13287, ""薪資"")), ""分潤支出"",
  AND(REGEXMATCH(E13287, ""Ben帳戶|Elsa帳戶|Ben代墊|Ariel代墊|中信銀行共用""), REGEXMATCH(F13287, ""Ben帳戶|Elsa帳戶|Ben代墊|Ariel代墊|中信銀行共用"")), ""內部轉帳(忽略)"",
  AND(E13287&lt;&gt;"""", F13287&lt;&gt;"&amp;""""", NOT(REGEXMATCH(C13287, ""薪資""))), ""內部轉帳(忽略)"",
  REGEXMATCH(C13287, ""薪資""), ""薪資變動(不計入)"",
  REGEXMATCH(C13287, ""押金""), ""押金往來"",
  AND(E13287&lt;&gt;"""", F13287=""""), ""真實支出"",
  AND(E13287="""", F13287&lt;&gt;""""), ""真實收入"",
  TRUE, ""其他""
)"),"其他")</f>
        <v>其他</v>
      </c>
      <c r="K13287" s="270" t="str">
        <f t="shared" si="2"/>
        <v/>
      </c>
      <c r="L13287">
        <f t="shared" si="3"/>
        <v>0</v>
      </c>
    </row>
    <row r="13288">
      <c r="A13288" s="107"/>
      <c r="D13288" s="270"/>
      <c r="H13288" s="106" t="str">
        <f t="shared" si="1"/>
        <v/>
      </c>
      <c r="J13288" t="str">
        <f>IFERROR(__xludf.DUMMYFUNCTION("IFS(
  AND(REGEXMATCH(E13288, ""台銀籌備帳戶|玉山帳戶""), REGEXMATCH(C13288, ""薪資"")), ""分潤支出"",
  AND(REGEXMATCH(E13288, ""Ben帳戶|Elsa帳戶|Ben代墊|Ariel代墊|中信銀行共用""), REGEXMATCH(F13288, ""Ben帳戶|Elsa帳戶|Ben代墊|Ariel代墊|中信銀行共用"")), ""內部轉帳(忽略)"",
  AND(E13288&lt;&gt;"""", F13288&lt;&gt;"&amp;""""", NOT(REGEXMATCH(C13288, ""薪資""))), ""內部轉帳(忽略)"",
  REGEXMATCH(C13288, ""薪資""), ""薪資變動(不計入)"",
  REGEXMATCH(C13288, ""押金""), ""押金往來"",
  AND(E13288&lt;&gt;"""", F13288=""""), ""真實支出"",
  AND(E13288="""", F13288&lt;&gt;""""), ""真實收入"",
  TRUE, ""其他""
)"),"其他")</f>
        <v>其他</v>
      </c>
      <c r="K13288" s="270" t="str">
        <f t="shared" si="2"/>
        <v/>
      </c>
      <c r="L13288">
        <f t="shared" si="3"/>
        <v>0</v>
      </c>
    </row>
    <row r="13289">
      <c r="A13289" s="107"/>
      <c r="D13289" s="270"/>
      <c r="H13289" s="106" t="str">
        <f t="shared" si="1"/>
        <v/>
      </c>
      <c r="J13289" t="str">
        <f>IFERROR(__xludf.DUMMYFUNCTION("IFS(
  AND(REGEXMATCH(E13289, ""台銀籌備帳戶|玉山帳戶""), REGEXMATCH(C13289, ""薪資"")), ""分潤支出"",
  AND(REGEXMATCH(E13289, ""Ben帳戶|Elsa帳戶|Ben代墊|Ariel代墊|中信銀行共用""), REGEXMATCH(F13289, ""Ben帳戶|Elsa帳戶|Ben代墊|Ariel代墊|中信銀行共用"")), ""內部轉帳(忽略)"",
  AND(E13289&lt;&gt;"""", F13289&lt;&gt;"&amp;""""", NOT(REGEXMATCH(C13289, ""薪資""))), ""內部轉帳(忽略)"",
  REGEXMATCH(C13289, ""薪資""), ""薪資變動(不計入)"",
  REGEXMATCH(C13289, ""押金""), ""押金往來"",
  AND(E13289&lt;&gt;"""", F13289=""""), ""真實支出"",
  AND(E13289="""", F13289&lt;&gt;""""), ""真實收入"",
  TRUE, ""其他""
)"),"其他")</f>
        <v>其他</v>
      </c>
      <c r="K13289" s="270" t="str">
        <f t="shared" si="2"/>
        <v/>
      </c>
      <c r="L13289">
        <f t="shared" si="3"/>
        <v>0</v>
      </c>
    </row>
    <row r="13290">
      <c r="A13290" s="107"/>
      <c r="D13290" s="270"/>
      <c r="H13290" s="106" t="str">
        <f t="shared" si="1"/>
        <v/>
      </c>
      <c r="J13290" t="str">
        <f>IFERROR(__xludf.DUMMYFUNCTION("IFS(
  AND(REGEXMATCH(E13290, ""台銀籌備帳戶|玉山帳戶""), REGEXMATCH(C13290, ""薪資"")), ""分潤支出"",
  AND(REGEXMATCH(E13290, ""Ben帳戶|Elsa帳戶|Ben代墊|Ariel代墊|中信銀行共用""), REGEXMATCH(F13290, ""Ben帳戶|Elsa帳戶|Ben代墊|Ariel代墊|中信銀行共用"")), ""內部轉帳(忽略)"",
  AND(E13290&lt;&gt;"""", F13290&lt;&gt;"&amp;""""", NOT(REGEXMATCH(C13290, ""薪資""))), ""內部轉帳(忽略)"",
  REGEXMATCH(C13290, ""薪資""), ""薪資變動(不計入)"",
  REGEXMATCH(C13290, ""押金""), ""押金往來"",
  AND(E13290&lt;&gt;"""", F13290=""""), ""真實支出"",
  AND(E13290="""", F13290&lt;&gt;""""), ""真實收入"",
  TRUE, ""其他""
)"),"其他")</f>
        <v>其他</v>
      </c>
      <c r="K13290" s="270" t="str">
        <f t="shared" si="2"/>
        <v/>
      </c>
      <c r="L13290">
        <f t="shared" si="3"/>
        <v>0</v>
      </c>
    </row>
    <row r="13291">
      <c r="A13291" s="107"/>
      <c r="D13291" s="270"/>
      <c r="H13291" s="106" t="str">
        <f t="shared" si="1"/>
        <v/>
      </c>
      <c r="J13291" t="str">
        <f>IFERROR(__xludf.DUMMYFUNCTION("IFS(
  AND(REGEXMATCH(E13291, ""台銀籌備帳戶|玉山帳戶""), REGEXMATCH(C13291, ""薪資"")), ""分潤支出"",
  AND(REGEXMATCH(E13291, ""Ben帳戶|Elsa帳戶|Ben代墊|Ariel代墊|中信銀行共用""), REGEXMATCH(F13291, ""Ben帳戶|Elsa帳戶|Ben代墊|Ariel代墊|中信銀行共用"")), ""內部轉帳(忽略)"",
  AND(E13291&lt;&gt;"""", F13291&lt;&gt;"&amp;""""", NOT(REGEXMATCH(C13291, ""薪資""))), ""內部轉帳(忽略)"",
  REGEXMATCH(C13291, ""薪資""), ""薪資變動(不計入)"",
  REGEXMATCH(C13291, ""押金""), ""押金往來"",
  AND(E13291&lt;&gt;"""", F13291=""""), ""真實支出"",
  AND(E13291="""", F13291&lt;&gt;""""), ""真實收入"",
  TRUE, ""其他""
)"),"其他")</f>
        <v>其他</v>
      </c>
      <c r="K13291" s="270" t="str">
        <f t="shared" si="2"/>
        <v/>
      </c>
      <c r="L13291">
        <f t="shared" si="3"/>
        <v>0</v>
      </c>
    </row>
    <row r="13292">
      <c r="A13292" s="107"/>
      <c r="D13292" s="270"/>
      <c r="H13292" s="106" t="str">
        <f t="shared" si="1"/>
        <v/>
      </c>
      <c r="J13292" t="str">
        <f>IFERROR(__xludf.DUMMYFUNCTION("IFS(
  AND(REGEXMATCH(E13292, ""台銀籌備帳戶|玉山帳戶""), REGEXMATCH(C13292, ""薪資"")), ""分潤支出"",
  AND(REGEXMATCH(E13292, ""Ben帳戶|Elsa帳戶|Ben代墊|Ariel代墊|中信銀行共用""), REGEXMATCH(F13292, ""Ben帳戶|Elsa帳戶|Ben代墊|Ariel代墊|中信銀行共用"")), ""內部轉帳(忽略)"",
  AND(E13292&lt;&gt;"""", F13292&lt;&gt;"&amp;""""", NOT(REGEXMATCH(C13292, ""薪資""))), ""內部轉帳(忽略)"",
  REGEXMATCH(C13292, ""薪資""), ""薪資變動(不計入)"",
  REGEXMATCH(C13292, ""押金""), ""押金往來"",
  AND(E13292&lt;&gt;"""", F13292=""""), ""真實支出"",
  AND(E13292="""", F13292&lt;&gt;""""), ""真實收入"",
  TRUE, ""其他""
)"),"其他")</f>
        <v>其他</v>
      </c>
      <c r="K13292" s="270" t="str">
        <f t="shared" si="2"/>
        <v/>
      </c>
      <c r="L13292">
        <f t="shared" si="3"/>
        <v>0</v>
      </c>
    </row>
    <row r="13293">
      <c r="A13293" s="107"/>
      <c r="D13293" s="270"/>
      <c r="H13293" s="106" t="str">
        <f t="shared" si="1"/>
        <v/>
      </c>
      <c r="J13293" t="str">
        <f>IFERROR(__xludf.DUMMYFUNCTION("IFS(
  AND(REGEXMATCH(E13293, ""台銀籌備帳戶|玉山帳戶""), REGEXMATCH(C13293, ""薪資"")), ""分潤支出"",
  AND(REGEXMATCH(E13293, ""Ben帳戶|Elsa帳戶|Ben代墊|Ariel代墊|中信銀行共用""), REGEXMATCH(F13293, ""Ben帳戶|Elsa帳戶|Ben代墊|Ariel代墊|中信銀行共用"")), ""內部轉帳(忽略)"",
  AND(E13293&lt;&gt;"""", F13293&lt;&gt;"&amp;""""", NOT(REGEXMATCH(C13293, ""薪資""))), ""內部轉帳(忽略)"",
  REGEXMATCH(C13293, ""薪資""), ""薪資變動(不計入)"",
  REGEXMATCH(C13293, ""押金""), ""押金往來"",
  AND(E13293&lt;&gt;"""", F13293=""""), ""真實支出"",
  AND(E13293="""", F13293&lt;&gt;""""), ""真實收入"",
  TRUE, ""其他""
)"),"其他")</f>
        <v>其他</v>
      </c>
      <c r="K13293" s="270" t="str">
        <f t="shared" si="2"/>
        <v/>
      </c>
      <c r="L13293">
        <f t="shared" si="3"/>
        <v>0</v>
      </c>
    </row>
    <row r="13294">
      <c r="A13294" s="107"/>
      <c r="D13294" s="270"/>
      <c r="H13294" s="106" t="str">
        <f t="shared" si="1"/>
        <v/>
      </c>
      <c r="J13294" t="str">
        <f>IFERROR(__xludf.DUMMYFUNCTION("IFS(
  AND(REGEXMATCH(E13294, ""台銀籌備帳戶|玉山帳戶""), REGEXMATCH(C13294, ""薪資"")), ""分潤支出"",
  AND(REGEXMATCH(E13294, ""Ben帳戶|Elsa帳戶|Ben代墊|Ariel代墊|中信銀行共用""), REGEXMATCH(F13294, ""Ben帳戶|Elsa帳戶|Ben代墊|Ariel代墊|中信銀行共用"")), ""內部轉帳(忽略)"",
  AND(E13294&lt;&gt;"""", F13294&lt;&gt;"&amp;""""", NOT(REGEXMATCH(C13294, ""薪資""))), ""內部轉帳(忽略)"",
  REGEXMATCH(C13294, ""薪資""), ""薪資變動(不計入)"",
  REGEXMATCH(C13294, ""押金""), ""押金往來"",
  AND(E13294&lt;&gt;"""", F13294=""""), ""真實支出"",
  AND(E13294="""", F13294&lt;&gt;""""), ""真實收入"",
  TRUE, ""其他""
)"),"其他")</f>
        <v>其他</v>
      </c>
      <c r="K13294" s="270" t="str">
        <f t="shared" si="2"/>
        <v/>
      </c>
      <c r="L13294">
        <f t="shared" si="3"/>
        <v>0</v>
      </c>
    </row>
    <row r="13295">
      <c r="A13295" s="107"/>
      <c r="D13295" s="270"/>
      <c r="H13295" s="106" t="str">
        <f t="shared" si="1"/>
        <v/>
      </c>
      <c r="J13295" t="str">
        <f>IFERROR(__xludf.DUMMYFUNCTION("IFS(
  AND(REGEXMATCH(E13295, ""台銀籌備帳戶|玉山帳戶""), REGEXMATCH(C13295, ""薪資"")), ""分潤支出"",
  AND(REGEXMATCH(E13295, ""Ben帳戶|Elsa帳戶|Ben代墊|Ariel代墊|中信銀行共用""), REGEXMATCH(F13295, ""Ben帳戶|Elsa帳戶|Ben代墊|Ariel代墊|中信銀行共用"")), ""內部轉帳(忽略)"",
  AND(E13295&lt;&gt;"""", F13295&lt;&gt;"&amp;""""", NOT(REGEXMATCH(C13295, ""薪資""))), ""內部轉帳(忽略)"",
  REGEXMATCH(C13295, ""薪資""), ""薪資變動(不計入)"",
  REGEXMATCH(C13295, ""押金""), ""押金往來"",
  AND(E13295&lt;&gt;"""", F13295=""""), ""真實支出"",
  AND(E13295="""", F13295&lt;&gt;""""), ""真實收入"",
  TRUE, ""其他""
)"),"其他")</f>
        <v>其他</v>
      </c>
      <c r="K13295" s="270" t="str">
        <f t="shared" si="2"/>
        <v/>
      </c>
      <c r="L13295">
        <f t="shared" si="3"/>
        <v>0</v>
      </c>
    </row>
    <row r="13296">
      <c r="A13296" s="107"/>
      <c r="D13296" s="270"/>
      <c r="H13296" s="106" t="str">
        <f t="shared" si="1"/>
        <v/>
      </c>
      <c r="J13296" t="str">
        <f>IFERROR(__xludf.DUMMYFUNCTION("IFS(
  AND(REGEXMATCH(E13296, ""台銀籌備帳戶|玉山帳戶""), REGEXMATCH(C13296, ""薪資"")), ""分潤支出"",
  AND(REGEXMATCH(E13296, ""Ben帳戶|Elsa帳戶|Ben代墊|Ariel代墊|中信銀行共用""), REGEXMATCH(F13296, ""Ben帳戶|Elsa帳戶|Ben代墊|Ariel代墊|中信銀行共用"")), ""內部轉帳(忽略)"",
  AND(E13296&lt;&gt;"""", F13296&lt;&gt;"&amp;""""", NOT(REGEXMATCH(C13296, ""薪資""))), ""內部轉帳(忽略)"",
  REGEXMATCH(C13296, ""薪資""), ""薪資變動(不計入)"",
  REGEXMATCH(C13296, ""押金""), ""押金往來"",
  AND(E13296&lt;&gt;"""", F13296=""""), ""真實支出"",
  AND(E13296="""", F13296&lt;&gt;""""), ""真實收入"",
  TRUE, ""其他""
)"),"其他")</f>
        <v>其他</v>
      </c>
      <c r="K13296" s="270" t="str">
        <f t="shared" si="2"/>
        <v/>
      </c>
      <c r="L13296">
        <f t="shared" si="3"/>
        <v>0</v>
      </c>
    </row>
    <row r="13297">
      <c r="A13297" s="107"/>
      <c r="D13297" s="270"/>
      <c r="H13297" s="106" t="str">
        <f t="shared" si="1"/>
        <v/>
      </c>
      <c r="J13297" t="str">
        <f>IFERROR(__xludf.DUMMYFUNCTION("IFS(
  AND(REGEXMATCH(E13297, ""台銀籌備帳戶|玉山帳戶""), REGEXMATCH(C13297, ""薪資"")), ""分潤支出"",
  AND(REGEXMATCH(E13297, ""Ben帳戶|Elsa帳戶|Ben代墊|Ariel代墊|中信銀行共用""), REGEXMATCH(F13297, ""Ben帳戶|Elsa帳戶|Ben代墊|Ariel代墊|中信銀行共用"")), ""內部轉帳(忽略)"",
  AND(E13297&lt;&gt;"""", F13297&lt;&gt;"&amp;""""", NOT(REGEXMATCH(C13297, ""薪資""))), ""內部轉帳(忽略)"",
  REGEXMATCH(C13297, ""薪資""), ""薪資變動(不計入)"",
  REGEXMATCH(C13297, ""押金""), ""押金往來"",
  AND(E13297&lt;&gt;"""", F13297=""""), ""真實支出"",
  AND(E13297="""", F13297&lt;&gt;""""), ""真實收入"",
  TRUE, ""其他""
)"),"其他")</f>
        <v>其他</v>
      </c>
      <c r="K13297" s="270" t="str">
        <f t="shared" si="2"/>
        <v/>
      </c>
      <c r="L13297">
        <f t="shared" si="3"/>
        <v>0</v>
      </c>
    </row>
    <row r="13298">
      <c r="A13298" s="107"/>
      <c r="D13298" s="270"/>
      <c r="H13298" s="106" t="str">
        <f t="shared" si="1"/>
        <v/>
      </c>
      <c r="J13298" t="str">
        <f>IFERROR(__xludf.DUMMYFUNCTION("IFS(
  AND(REGEXMATCH(E13298, ""台銀籌備帳戶|玉山帳戶""), REGEXMATCH(C13298, ""薪資"")), ""分潤支出"",
  AND(REGEXMATCH(E13298, ""Ben帳戶|Elsa帳戶|Ben代墊|Ariel代墊|中信銀行共用""), REGEXMATCH(F13298, ""Ben帳戶|Elsa帳戶|Ben代墊|Ariel代墊|中信銀行共用"")), ""內部轉帳(忽略)"",
  AND(E13298&lt;&gt;"""", F13298&lt;&gt;"&amp;""""", NOT(REGEXMATCH(C13298, ""薪資""))), ""內部轉帳(忽略)"",
  REGEXMATCH(C13298, ""薪資""), ""薪資變動(不計入)"",
  REGEXMATCH(C13298, ""押金""), ""押金往來"",
  AND(E13298&lt;&gt;"""", F13298=""""), ""真實支出"",
  AND(E13298="""", F13298&lt;&gt;""""), ""真實收入"",
  TRUE, ""其他""
)"),"其他")</f>
        <v>其他</v>
      </c>
      <c r="K13298" s="270" t="str">
        <f t="shared" si="2"/>
        <v/>
      </c>
      <c r="L13298">
        <f t="shared" si="3"/>
        <v>0</v>
      </c>
    </row>
    <row r="13299">
      <c r="A13299" s="107"/>
      <c r="D13299" s="270"/>
      <c r="H13299" s="106" t="str">
        <f t="shared" si="1"/>
        <v/>
      </c>
      <c r="J13299" t="str">
        <f>IFERROR(__xludf.DUMMYFUNCTION("IFS(
  AND(REGEXMATCH(E13299, ""台銀籌備帳戶|玉山帳戶""), REGEXMATCH(C13299, ""薪資"")), ""分潤支出"",
  AND(REGEXMATCH(E13299, ""Ben帳戶|Elsa帳戶|Ben代墊|Ariel代墊|中信銀行共用""), REGEXMATCH(F13299, ""Ben帳戶|Elsa帳戶|Ben代墊|Ariel代墊|中信銀行共用"")), ""內部轉帳(忽略)"",
  AND(E13299&lt;&gt;"""", F13299&lt;&gt;"&amp;""""", NOT(REGEXMATCH(C13299, ""薪資""))), ""內部轉帳(忽略)"",
  REGEXMATCH(C13299, ""薪資""), ""薪資變動(不計入)"",
  REGEXMATCH(C13299, ""押金""), ""押金往來"",
  AND(E13299&lt;&gt;"""", F13299=""""), ""真實支出"",
  AND(E13299="""", F13299&lt;&gt;""""), ""真實收入"",
  TRUE, ""其他""
)"),"其他")</f>
        <v>其他</v>
      </c>
      <c r="K13299" s="270" t="str">
        <f t="shared" si="2"/>
        <v/>
      </c>
      <c r="L13299">
        <f t="shared" si="3"/>
        <v>0</v>
      </c>
    </row>
    <row r="13300">
      <c r="A13300" s="107"/>
      <c r="D13300" s="270"/>
      <c r="H13300" s="106" t="str">
        <f t="shared" si="1"/>
        <v/>
      </c>
      <c r="J13300" t="str">
        <f>IFERROR(__xludf.DUMMYFUNCTION("IFS(
  AND(REGEXMATCH(E13300, ""台銀籌備帳戶|玉山帳戶""), REGEXMATCH(C13300, ""薪資"")), ""分潤支出"",
  AND(REGEXMATCH(E13300, ""Ben帳戶|Elsa帳戶|Ben代墊|Ariel代墊|中信銀行共用""), REGEXMATCH(F13300, ""Ben帳戶|Elsa帳戶|Ben代墊|Ariel代墊|中信銀行共用"")), ""內部轉帳(忽略)"",
  AND(E13300&lt;&gt;"""", F13300&lt;&gt;"&amp;""""", NOT(REGEXMATCH(C13300, ""薪資""))), ""內部轉帳(忽略)"",
  REGEXMATCH(C13300, ""薪資""), ""薪資變動(不計入)"",
  REGEXMATCH(C13300, ""押金""), ""押金往來"",
  AND(E13300&lt;&gt;"""", F13300=""""), ""真實支出"",
  AND(E13300="""", F13300&lt;&gt;""""), ""真實收入"",
  TRUE, ""其他""
)"),"其他")</f>
        <v>其他</v>
      </c>
      <c r="K13300" s="270" t="str">
        <f t="shared" si="2"/>
        <v/>
      </c>
      <c r="L13300">
        <f t="shared" si="3"/>
        <v>0</v>
      </c>
    </row>
    <row r="13301">
      <c r="A13301" s="107"/>
      <c r="D13301" s="270"/>
      <c r="H13301" s="106" t="str">
        <f t="shared" si="1"/>
        <v/>
      </c>
      <c r="J13301" t="str">
        <f>IFERROR(__xludf.DUMMYFUNCTION("IFS(
  AND(REGEXMATCH(E13301, ""台銀籌備帳戶|玉山帳戶""), REGEXMATCH(C13301, ""薪資"")), ""分潤支出"",
  AND(REGEXMATCH(E13301, ""Ben帳戶|Elsa帳戶|Ben代墊|Ariel代墊|中信銀行共用""), REGEXMATCH(F13301, ""Ben帳戶|Elsa帳戶|Ben代墊|Ariel代墊|中信銀行共用"")), ""內部轉帳(忽略)"",
  AND(E13301&lt;&gt;"""", F13301&lt;&gt;"&amp;""""", NOT(REGEXMATCH(C13301, ""薪資""))), ""內部轉帳(忽略)"",
  REGEXMATCH(C13301, ""薪資""), ""薪資變動(不計入)"",
  REGEXMATCH(C13301, ""押金""), ""押金往來"",
  AND(E13301&lt;&gt;"""", F13301=""""), ""真實支出"",
  AND(E13301="""", F13301&lt;&gt;""""), ""真實收入"",
  TRUE, ""其他""
)"),"其他")</f>
        <v>其他</v>
      </c>
      <c r="K13301" s="270" t="str">
        <f t="shared" si="2"/>
        <v/>
      </c>
      <c r="L13301">
        <f t="shared" si="3"/>
        <v>0</v>
      </c>
    </row>
    <row r="13302">
      <c r="A13302" s="107"/>
      <c r="D13302" s="270"/>
      <c r="H13302" s="106" t="str">
        <f t="shared" si="1"/>
        <v/>
      </c>
      <c r="J13302" t="str">
        <f>IFERROR(__xludf.DUMMYFUNCTION("IFS(
  AND(REGEXMATCH(E13302, ""台銀籌備帳戶|玉山帳戶""), REGEXMATCH(C13302, ""薪資"")), ""分潤支出"",
  AND(REGEXMATCH(E13302, ""Ben帳戶|Elsa帳戶|Ben代墊|Ariel代墊|中信銀行共用""), REGEXMATCH(F13302, ""Ben帳戶|Elsa帳戶|Ben代墊|Ariel代墊|中信銀行共用"")), ""內部轉帳(忽略)"",
  AND(E13302&lt;&gt;"""", F13302&lt;&gt;"&amp;""""", NOT(REGEXMATCH(C13302, ""薪資""))), ""內部轉帳(忽略)"",
  REGEXMATCH(C13302, ""薪資""), ""薪資變動(不計入)"",
  REGEXMATCH(C13302, ""押金""), ""押金往來"",
  AND(E13302&lt;&gt;"""", F13302=""""), ""真實支出"",
  AND(E13302="""", F13302&lt;&gt;""""), ""真實收入"",
  TRUE, ""其他""
)"),"其他")</f>
        <v>其他</v>
      </c>
      <c r="K13302" s="270" t="str">
        <f t="shared" si="2"/>
        <v/>
      </c>
      <c r="L13302">
        <f t="shared" si="3"/>
        <v>0</v>
      </c>
    </row>
    <row r="13303">
      <c r="A13303" s="107"/>
      <c r="D13303" s="270"/>
      <c r="H13303" s="106" t="str">
        <f t="shared" si="1"/>
        <v/>
      </c>
      <c r="J13303" t="str">
        <f>IFERROR(__xludf.DUMMYFUNCTION("IFS(
  AND(REGEXMATCH(E13303, ""台銀籌備帳戶|玉山帳戶""), REGEXMATCH(C13303, ""薪資"")), ""分潤支出"",
  AND(REGEXMATCH(E13303, ""Ben帳戶|Elsa帳戶|Ben代墊|Ariel代墊|中信銀行共用""), REGEXMATCH(F13303, ""Ben帳戶|Elsa帳戶|Ben代墊|Ariel代墊|中信銀行共用"")), ""內部轉帳(忽略)"",
  AND(E13303&lt;&gt;"""", F13303&lt;&gt;"&amp;""""", NOT(REGEXMATCH(C13303, ""薪資""))), ""內部轉帳(忽略)"",
  REGEXMATCH(C13303, ""薪資""), ""薪資變動(不計入)"",
  REGEXMATCH(C13303, ""押金""), ""押金往來"",
  AND(E13303&lt;&gt;"""", F13303=""""), ""真實支出"",
  AND(E13303="""", F13303&lt;&gt;""""), ""真實收入"",
  TRUE, ""其他""
)"),"其他")</f>
        <v>其他</v>
      </c>
      <c r="K13303" s="270" t="str">
        <f t="shared" si="2"/>
        <v/>
      </c>
      <c r="L13303">
        <f t="shared" si="3"/>
        <v>0</v>
      </c>
    </row>
    <row r="13304">
      <c r="A13304" s="107"/>
      <c r="D13304" s="270"/>
      <c r="H13304" s="106" t="str">
        <f t="shared" si="1"/>
        <v/>
      </c>
      <c r="J13304" t="str">
        <f>IFERROR(__xludf.DUMMYFUNCTION("IFS(
  AND(REGEXMATCH(E13304, ""台銀籌備帳戶|玉山帳戶""), REGEXMATCH(C13304, ""薪資"")), ""分潤支出"",
  AND(REGEXMATCH(E13304, ""Ben帳戶|Elsa帳戶|Ben代墊|Ariel代墊|中信銀行共用""), REGEXMATCH(F13304, ""Ben帳戶|Elsa帳戶|Ben代墊|Ariel代墊|中信銀行共用"")), ""內部轉帳(忽略)"",
  AND(E13304&lt;&gt;"""", F13304&lt;&gt;"&amp;""""", NOT(REGEXMATCH(C13304, ""薪資""))), ""內部轉帳(忽略)"",
  REGEXMATCH(C13304, ""薪資""), ""薪資變動(不計入)"",
  REGEXMATCH(C13304, ""押金""), ""押金往來"",
  AND(E13304&lt;&gt;"""", F13304=""""), ""真實支出"",
  AND(E13304="""", F13304&lt;&gt;""""), ""真實收入"",
  TRUE, ""其他""
)"),"其他")</f>
        <v>其他</v>
      </c>
      <c r="K13304" s="270" t="str">
        <f t="shared" si="2"/>
        <v/>
      </c>
      <c r="L13304">
        <f t="shared" si="3"/>
        <v>0</v>
      </c>
    </row>
    <row r="13305">
      <c r="A13305" s="107"/>
      <c r="D13305" s="270"/>
      <c r="H13305" s="106" t="str">
        <f t="shared" si="1"/>
        <v/>
      </c>
      <c r="J13305" t="str">
        <f>IFERROR(__xludf.DUMMYFUNCTION("IFS(
  AND(REGEXMATCH(E13305, ""台銀籌備帳戶|玉山帳戶""), REGEXMATCH(C13305, ""薪資"")), ""分潤支出"",
  AND(REGEXMATCH(E13305, ""Ben帳戶|Elsa帳戶|Ben代墊|Ariel代墊|中信銀行共用""), REGEXMATCH(F13305, ""Ben帳戶|Elsa帳戶|Ben代墊|Ariel代墊|中信銀行共用"")), ""內部轉帳(忽略)"",
  AND(E13305&lt;&gt;"""", F13305&lt;&gt;"&amp;""""", NOT(REGEXMATCH(C13305, ""薪資""))), ""內部轉帳(忽略)"",
  REGEXMATCH(C13305, ""薪資""), ""薪資變動(不計入)"",
  REGEXMATCH(C13305, ""押金""), ""押金往來"",
  AND(E13305&lt;&gt;"""", F13305=""""), ""真實支出"",
  AND(E13305="""", F13305&lt;&gt;""""), ""真實收入"",
  TRUE, ""其他""
)"),"其他")</f>
        <v>其他</v>
      </c>
      <c r="K13305" s="270" t="str">
        <f t="shared" si="2"/>
        <v/>
      </c>
      <c r="L13305">
        <f t="shared" si="3"/>
        <v>0</v>
      </c>
    </row>
    <row r="13306">
      <c r="A13306" s="107"/>
      <c r="D13306" s="270"/>
      <c r="H13306" s="106" t="str">
        <f t="shared" si="1"/>
        <v/>
      </c>
      <c r="J13306" t="str">
        <f>IFERROR(__xludf.DUMMYFUNCTION("IFS(
  AND(REGEXMATCH(E13306, ""台銀籌備帳戶|玉山帳戶""), REGEXMATCH(C13306, ""薪資"")), ""分潤支出"",
  AND(REGEXMATCH(E13306, ""Ben帳戶|Elsa帳戶|Ben代墊|Ariel代墊|中信銀行共用""), REGEXMATCH(F13306, ""Ben帳戶|Elsa帳戶|Ben代墊|Ariel代墊|中信銀行共用"")), ""內部轉帳(忽略)"",
  AND(E13306&lt;&gt;"""", F13306&lt;&gt;"&amp;""""", NOT(REGEXMATCH(C13306, ""薪資""))), ""內部轉帳(忽略)"",
  REGEXMATCH(C13306, ""薪資""), ""薪資變動(不計入)"",
  REGEXMATCH(C13306, ""押金""), ""押金往來"",
  AND(E13306&lt;&gt;"""", F13306=""""), ""真實支出"",
  AND(E13306="""", F13306&lt;&gt;""""), ""真實收入"",
  TRUE, ""其他""
)"),"其他")</f>
        <v>其他</v>
      </c>
      <c r="K13306" s="270" t="str">
        <f t="shared" si="2"/>
        <v/>
      </c>
      <c r="L13306">
        <f t="shared" si="3"/>
        <v>0</v>
      </c>
    </row>
    <row r="13307">
      <c r="A13307" s="107"/>
      <c r="D13307" s="270"/>
      <c r="H13307" s="106" t="str">
        <f t="shared" si="1"/>
        <v/>
      </c>
      <c r="J13307" t="str">
        <f>IFERROR(__xludf.DUMMYFUNCTION("IFS(
  AND(REGEXMATCH(E13307, ""台銀籌備帳戶|玉山帳戶""), REGEXMATCH(C13307, ""薪資"")), ""分潤支出"",
  AND(REGEXMATCH(E13307, ""Ben帳戶|Elsa帳戶|Ben代墊|Ariel代墊|中信銀行共用""), REGEXMATCH(F13307, ""Ben帳戶|Elsa帳戶|Ben代墊|Ariel代墊|中信銀行共用"")), ""內部轉帳(忽略)"",
  AND(E13307&lt;&gt;"""", F13307&lt;&gt;"&amp;""""", NOT(REGEXMATCH(C13307, ""薪資""))), ""內部轉帳(忽略)"",
  REGEXMATCH(C13307, ""薪資""), ""薪資變動(不計入)"",
  REGEXMATCH(C13307, ""押金""), ""押金往來"",
  AND(E13307&lt;&gt;"""", F13307=""""), ""真實支出"",
  AND(E13307="""", F13307&lt;&gt;""""), ""真實收入"",
  TRUE, ""其他""
)"),"其他")</f>
        <v>其他</v>
      </c>
      <c r="K13307" s="270" t="str">
        <f t="shared" si="2"/>
        <v/>
      </c>
      <c r="L13307">
        <f t="shared" si="3"/>
        <v>0</v>
      </c>
    </row>
    <row r="13308">
      <c r="A13308" s="107"/>
      <c r="D13308" s="270"/>
      <c r="H13308" s="106" t="str">
        <f t="shared" si="1"/>
        <v/>
      </c>
      <c r="J13308" t="str">
        <f>IFERROR(__xludf.DUMMYFUNCTION("IFS(
  AND(REGEXMATCH(E13308, ""台銀籌備帳戶|玉山帳戶""), REGEXMATCH(C13308, ""薪資"")), ""分潤支出"",
  AND(REGEXMATCH(E13308, ""Ben帳戶|Elsa帳戶|Ben代墊|Ariel代墊|中信銀行共用""), REGEXMATCH(F13308, ""Ben帳戶|Elsa帳戶|Ben代墊|Ariel代墊|中信銀行共用"")), ""內部轉帳(忽略)"",
  AND(E13308&lt;&gt;"""", F13308&lt;&gt;"&amp;""""", NOT(REGEXMATCH(C13308, ""薪資""))), ""內部轉帳(忽略)"",
  REGEXMATCH(C13308, ""薪資""), ""薪資變動(不計入)"",
  REGEXMATCH(C13308, ""押金""), ""押金往來"",
  AND(E13308&lt;&gt;"""", F13308=""""), ""真實支出"",
  AND(E13308="""", F13308&lt;&gt;""""), ""真實收入"",
  TRUE, ""其他""
)"),"其他")</f>
        <v>其他</v>
      </c>
      <c r="K13308" s="270" t="str">
        <f t="shared" si="2"/>
        <v/>
      </c>
      <c r="L13308">
        <f t="shared" si="3"/>
        <v>0</v>
      </c>
    </row>
    <row r="13309">
      <c r="A13309" s="107"/>
      <c r="D13309" s="270"/>
      <c r="H13309" s="106" t="str">
        <f t="shared" si="1"/>
        <v/>
      </c>
      <c r="J13309" t="str">
        <f>IFERROR(__xludf.DUMMYFUNCTION("IFS(
  AND(REGEXMATCH(E13309, ""台銀籌備帳戶|玉山帳戶""), REGEXMATCH(C13309, ""薪資"")), ""分潤支出"",
  AND(REGEXMATCH(E13309, ""Ben帳戶|Elsa帳戶|Ben代墊|Ariel代墊|中信銀行共用""), REGEXMATCH(F13309, ""Ben帳戶|Elsa帳戶|Ben代墊|Ariel代墊|中信銀行共用"")), ""內部轉帳(忽略)"",
  AND(E13309&lt;&gt;"""", F13309&lt;&gt;"&amp;""""", NOT(REGEXMATCH(C13309, ""薪資""))), ""內部轉帳(忽略)"",
  REGEXMATCH(C13309, ""薪資""), ""薪資變動(不計入)"",
  REGEXMATCH(C13309, ""押金""), ""押金往來"",
  AND(E13309&lt;&gt;"""", F13309=""""), ""真實支出"",
  AND(E13309="""", F13309&lt;&gt;""""), ""真實收入"",
  TRUE, ""其他""
)"),"其他")</f>
        <v>其他</v>
      </c>
      <c r="K13309" s="270" t="str">
        <f t="shared" si="2"/>
        <v/>
      </c>
      <c r="L13309">
        <f t="shared" si="3"/>
        <v>0</v>
      </c>
    </row>
    <row r="13310">
      <c r="A13310" s="107"/>
      <c r="D13310" s="270"/>
      <c r="H13310" s="106" t="str">
        <f t="shared" si="1"/>
        <v/>
      </c>
      <c r="J13310" t="str">
        <f>IFERROR(__xludf.DUMMYFUNCTION("IFS(
  AND(REGEXMATCH(E13310, ""台銀籌備帳戶|玉山帳戶""), REGEXMATCH(C13310, ""薪資"")), ""分潤支出"",
  AND(REGEXMATCH(E13310, ""Ben帳戶|Elsa帳戶|Ben代墊|Ariel代墊|中信銀行共用""), REGEXMATCH(F13310, ""Ben帳戶|Elsa帳戶|Ben代墊|Ariel代墊|中信銀行共用"")), ""內部轉帳(忽略)"",
  AND(E13310&lt;&gt;"""", F13310&lt;&gt;"&amp;""""", NOT(REGEXMATCH(C13310, ""薪資""))), ""內部轉帳(忽略)"",
  REGEXMATCH(C13310, ""薪資""), ""薪資變動(不計入)"",
  REGEXMATCH(C13310, ""押金""), ""押金往來"",
  AND(E13310&lt;&gt;"""", F13310=""""), ""真實支出"",
  AND(E13310="""", F13310&lt;&gt;""""), ""真實收入"",
  TRUE, ""其他""
)"),"其他")</f>
        <v>其他</v>
      </c>
      <c r="K13310" s="270" t="str">
        <f t="shared" si="2"/>
        <v/>
      </c>
      <c r="L13310">
        <f t="shared" si="3"/>
        <v>0</v>
      </c>
    </row>
    <row r="13311">
      <c r="A13311" s="107"/>
      <c r="D13311" s="270"/>
      <c r="H13311" s="106" t="str">
        <f t="shared" si="1"/>
        <v/>
      </c>
      <c r="J13311" t="str">
        <f>IFERROR(__xludf.DUMMYFUNCTION("IFS(
  AND(REGEXMATCH(E13311, ""台銀籌備帳戶|玉山帳戶""), REGEXMATCH(C13311, ""薪資"")), ""分潤支出"",
  AND(REGEXMATCH(E13311, ""Ben帳戶|Elsa帳戶|Ben代墊|Ariel代墊|中信銀行共用""), REGEXMATCH(F13311, ""Ben帳戶|Elsa帳戶|Ben代墊|Ariel代墊|中信銀行共用"")), ""內部轉帳(忽略)"",
  AND(E13311&lt;&gt;"""", F13311&lt;&gt;"&amp;""""", NOT(REGEXMATCH(C13311, ""薪資""))), ""內部轉帳(忽略)"",
  REGEXMATCH(C13311, ""薪資""), ""薪資變動(不計入)"",
  REGEXMATCH(C13311, ""押金""), ""押金往來"",
  AND(E13311&lt;&gt;"""", F13311=""""), ""真實支出"",
  AND(E13311="""", F13311&lt;&gt;""""), ""真實收入"",
  TRUE, ""其他""
)"),"其他")</f>
        <v>其他</v>
      </c>
      <c r="K13311" s="270" t="str">
        <f t="shared" si="2"/>
        <v/>
      </c>
      <c r="L13311">
        <f t="shared" si="3"/>
        <v>0</v>
      </c>
    </row>
    <row r="13312">
      <c r="A13312" s="107"/>
      <c r="D13312" s="270"/>
      <c r="H13312" s="106" t="str">
        <f t="shared" si="1"/>
        <v/>
      </c>
      <c r="J13312" t="str">
        <f>IFERROR(__xludf.DUMMYFUNCTION("IFS(
  AND(REGEXMATCH(E13312, ""台銀籌備帳戶|玉山帳戶""), REGEXMATCH(C13312, ""薪資"")), ""分潤支出"",
  AND(REGEXMATCH(E13312, ""Ben帳戶|Elsa帳戶|Ben代墊|Ariel代墊|中信銀行共用""), REGEXMATCH(F13312, ""Ben帳戶|Elsa帳戶|Ben代墊|Ariel代墊|中信銀行共用"")), ""內部轉帳(忽略)"",
  AND(E13312&lt;&gt;"""", F13312&lt;&gt;"&amp;""""", NOT(REGEXMATCH(C13312, ""薪資""))), ""內部轉帳(忽略)"",
  REGEXMATCH(C13312, ""薪資""), ""薪資變動(不計入)"",
  REGEXMATCH(C13312, ""押金""), ""押金往來"",
  AND(E13312&lt;&gt;"""", F13312=""""), ""真實支出"",
  AND(E13312="""", F13312&lt;&gt;""""), ""真實收入"",
  TRUE, ""其他""
)"),"其他")</f>
        <v>其他</v>
      </c>
      <c r="K13312" s="270" t="str">
        <f t="shared" si="2"/>
        <v/>
      </c>
      <c r="L13312">
        <f t="shared" si="3"/>
        <v>0</v>
      </c>
    </row>
    <row r="13313">
      <c r="A13313" s="107"/>
      <c r="D13313" s="270"/>
      <c r="H13313" s="106" t="str">
        <f t="shared" si="1"/>
        <v/>
      </c>
      <c r="J13313" t="str">
        <f>IFERROR(__xludf.DUMMYFUNCTION("IFS(
  AND(REGEXMATCH(E13313, ""台銀籌備帳戶|玉山帳戶""), REGEXMATCH(C13313, ""薪資"")), ""分潤支出"",
  AND(REGEXMATCH(E13313, ""Ben帳戶|Elsa帳戶|Ben代墊|Ariel代墊|中信銀行共用""), REGEXMATCH(F13313, ""Ben帳戶|Elsa帳戶|Ben代墊|Ariel代墊|中信銀行共用"")), ""內部轉帳(忽略)"",
  AND(E13313&lt;&gt;"""", F13313&lt;&gt;"&amp;""""", NOT(REGEXMATCH(C13313, ""薪資""))), ""內部轉帳(忽略)"",
  REGEXMATCH(C13313, ""薪資""), ""薪資變動(不計入)"",
  REGEXMATCH(C13313, ""押金""), ""押金往來"",
  AND(E13313&lt;&gt;"""", F13313=""""), ""真實支出"",
  AND(E13313="""", F13313&lt;&gt;""""), ""真實收入"",
  TRUE, ""其他""
)"),"其他")</f>
        <v>其他</v>
      </c>
      <c r="K13313" s="270" t="str">
        <f t="shared" si="2"/>
        <v/>
      </c>
      <c r="L13313">
        <f t="shared" si="3"/>
        <v>0</v>
      </c>
    </row>
    <row r="13314">
      <c r="A13314" s="107"/>
      <c r="D13314" s="270"/>
      <c r="H13314" s="106" t="str">
        <f t="shared" si="1"/>
        <v/>
      </c>
      <c r="J13314" t="str">
        <f>IFERROR(__xludf.DUMMYFUNCTION("IFS(
  AND(REGEXMATCH(E13314, ""台銀籌備帳戶|玉山帳戶""), REGEXMATCH(C13314, ""薪資"")), ""分潤支出"",
  AND(REGEXMATCH(E13314, ""Ben帳戶|Elsa帳戶|Ben代墊|Ariel代墊|中信銀行共用""), REGEXMATCH(F13314, ""Ben帳戶|Elsa帳戶|Ben代墊|Ariel代墊|中信銀行共用"")), ""內部轉帳(忽略)"",
  AND(E13314&lt;&gt;"""", F13314&lt;&gt;"&amp;""""", NOT(REGEXMATCH(C13314, ""薪資""))), ""內部轉帳(忽略)"",
  REGEXMATCH(C13314, ""薪資""), ""薪資變動(不計入)"",
  REGEXMATCH(C13314, ""押金""), ""押金往來"",
  AND(E13314&lt;&gt;"""", F13314=""""), ""真實支出"",
  AND(E13314="""", F13314&lt;&gt;""""), ""真實收入"",
  TRUE, ""其他""
)"),"其他")</f>
        <v>其他</v>
      </c>
      <c r="K13314" s="270" t="str">
        <f t="shared" si="2"/>
        <v/>
      </c>
      <c r="L13314">
        <f t="shared" si="3"/>
        <v>0</v>
      </c>
    </row>
    <row r="13315">
      <c r="A13315" s="107"/>
      <c r="D13315" s="270"/>
      <c r="H13315" s="106" t="str">
        <f t="shared" si="1"/>
        <v/>
      </c>
      <c r="J13315" t="str">
        <f>IFERROR(__xludf.DUMMYFUNCTION("IFS(
  AND(REGEXMATCH(E13315, ""台銀籌備帳戶|玉山帳戶""), REGEXMATCH(C13315, ""薪資"")), ""分潤支出"",
  AND(REGEXMATCH(E13315, ""Ben帳戶|Elsa帳戶|Ben代墊|Ariel代墊|中信銀行共用""), REGEXMATCH(F13315, ""Ben帳戶|Elsa帳戶|Ben代墊|Ariel代墊|中信銀行共用"")), ""內部轉帳(忽略)"",
  AND(E13315&lt;&gt;"""", F13315&lt;&gt;"&amp;""""", NOT(REGEXMATCH(C13315, ""薪資""))), ""內部轉帳(忽略)"",
  REGEXMATCH(C13315, ""薪資""), ""薪資變動(不計入)"",
  REGEXMATCH(C13315, ""押金""), ""押金往來"",
  AND(E13315&lt;&gt;"""", F13315=""""), ""真實支出"",
  AND(E13315="""", F13315&lt;&gt;""""), ""真實收入"",
  TRUE, ""其他""
)"),"其他")</f>
        <v>其他</v>
      </c>
      <c r="K13315" s="270" t="str">
        <f t="shared" si="2"/>
        <v/>
      </c>
      <c r="L13315">
        <f t="shared" si="3"/>
        <v>0</v>
      </c>
    </row>
    <row r="13316">
      <c r="A13316" s="107"/>
      <c r="D13316" s="270"/>
      <c r="H13316" s="106" t="str">
        <f t="shared" si="1"/>
        <v/>
      </c>
      <c r="J13316" t="str">
        <f>IFERROR(__xludf.DUMMYFUNCTION("IFS(
  AND(REGEXMATCH(E13316, ""台銀籌備帳戶|玉山帳戶""), REGEXMATCH(C13316, ""薪資"")), ""分潤支出"",
  AND(REGEXMATCH(E13316, ""Ben帳戶|Elsa帳戶|Ben代墊|Ariel代墊|中信銀行共用""), REGEXMATCH(F13316, ""Ben帳戶|Elsa帳戶|Ben代墊|Ariel代墊|中信銀行共用"")), ""內部轉帳(忽略)"",
  AND(E13316&lt;&gt;"""", F13316&lt;&gt;"&amp;""""", NOT(REGEXMATCH(C13316, ""薪資""))), ""內部轉帳(忽略)"",
  REGEXMATCH(C13316, ""薪資""), ""薪資變動(不計入)"",
  REGEXMATCH(C13316, ""押金""), ""押金往來"",
  AND(E13316&lt;&gt;"""", F13316=""""), ""真實支出"",
  AND(E13316="""", F13316&lt;&gt;""""), ""真實收入"",
  TRUE, ""其他""
)"),"其他")</f>
        <v>其他</v>
      </c>
      <c r="K13316" s="270" t="str">
        <f t="shared" si="2"/>
        <v/>
      </c>
      <c r="L13316">
        <f t="shared" si="3"/>
        <v>0</v>
      </c>
    </row>
    <row r="13317">
      <c r="A13317" s="107"/>
      <c r="D13317" s="270"/>
      <c r="H13317" s="106" t="str">
        <f t="shared" si="1"/>
        <v/>
      </c>
      <c r="J13317" t="str">
        <f>IFERROR(__xludf.DUMMYFUNCTION("IFS(
  AND(REGEXMATCH(E13317, ""台銀籌備帳戶|玉山帳戶""), REGEXMATCH(C13317, ""薪資"")), ""分潤支出"",
  AND(REGEXMATCH(E13317, ""Ben帳戶|Elsa帳戶|Ben代墊|Ariel代墊|中信銀行共用""), REGEXMATCH(F13317, ""Ben帳戶|Elsa帳戶|Ben代墊|Ariel代墊|中信銀行共用"")), ""內部轉帳(忽略)"",
  AND(E13317&lt;&gt;"""", F13317&lt;&gt;"&amp;""""", NOT(REGEXMATCH(C13317, ""薪資""))), ""內部轉帳(忽略)"",
  REGEXMATCH(C13317, ""薪資""), ""薪資變動(不計入)"",
  REGEXMATCH(C13317, ""押金""), ""押金往來"",
  AND(E13317&lt;&gt;"""", F13317=""""), ""真實支出"",
  AND(E13317="""", F13317&lt;&gt;""""), ""真實收入"",
  TRUE, ""其他""
)"),"其他")</f>
        <v>其他</v>
      </c>
      <c r="K13317" s="270" t="str">
        <f t="shared" si="2"/>
        <v/>
      </c>
      <c r="L13317">
        <f t="shared" si="3"/>
        <v>0</v>
      </c>
    </row>
    <row r="13318">
      <c r="A13318" s="107"/>
      <c r="D13318" s="270"/>
      <c r="H13318" s="106" t="str">
        <f t="shared" si="1"/>
        <v/>
      </c>
      <c r="J13318" t="str">
        <f>IFERROR(__xludf.DUMMYFUNCTION("IFS(
  AND(REGEXMATCH(E13318, ""台銀籌備帳戶|玉山帳戶""), REGEXMATCH(C13318, ""薪資"")), ""分潤支出"",
  AND(REGEXMATCH(E13318, ""Ben帳戶|Elsa帳戶|Ben代墊|Ariel代墊|中信銀行共用""), REGEXMATCH(F13318, ""Ben帳戶|Elsa帳戶|Ben代墊|Ariel代墊|中信銀行共用"")), ""內部轉帳(忽略)"",
  AND(E13318&lt;&gt;"""", F13318&lt;&gt;"&amp;""""", NOT(REGEXMATCH(C13318, ""薪資""))), ""內部轉帳(忽略)"",
  REGEXMATCH(C13318, ""薪資""), ""薪資變動(不計入)"",
  REGEXMATCH(C13318, ""押金""), ""押金往來"",
  AND(E13318&lt;&gt;"""", F13318=""""), ""真實支出"",
  AND(E13318="""", F13318&lt;&gt;""""), ""真實收入"",
  TRUE, ""其他""
)"),"其他")</f>
        <v>其他</v>
      </c>
      <c r="K13318" s="270" t="str">
        <f t="shared" si="2"/>
        <v/>
      </c>
      <c r="L13318">
        <f t="shared" si="3"/>
        <v>0</v>
      </c>
    </row>
    <row r="13319">
      <c r="A13319" s="107"/>
      <c r="D13319" s="270"/>
      <c r="H13319" s="106" t="str">
        <f t="shared" si="1"/>
        <v/>
      </c>
      <c r="J13319" t="str">
        <f>IFERROR(__xludf.DUMMYFUNCTION("IFS(
  AND(REGEXMATCH(E13319, ""台銀籌備帳戶|玉山帳戶""), REGEXMATCH(C13319, ""薪資"")), ""分潤支出"",
  AND(REGEXMATCH(E13319, ""Ben帳戶|Elsa帳戶|Ben代墊|Ariel代墊|中信銀行共用""), REGEXMATCH(F13319, ""Ben帳戶|Elsa帳戶|Ben代墊|Ariel代墊|中信銀行共用"")), ""內部轉帳(忽略)"",
  AND(E13319&lt;&gt;"""", F13319&lt;&gt;"&amp;""""", NOT(REGEXMATCH(C13319, ""薪資""))), ""內部轉帳(忽略)"",
  REGEXMATCH(C13319, ""薪資""), ""薪資變動(不計入)"",
  REGEXMATCH(C13319, ""押金""), ""押金往來"",
  AND(E13319&lt;&gt;"""", F13319=""""), ""真實支出"",
  AND(E13319="""", F13319&lt;&gt;""""), ""真實收入"",
  TRUE, ""其他""
)"),"其他")</f>
        <v>其他</v>
      </c>
      <c r="K13319" s="270" t="str">
        <f t="shared" si="2"/>
        <v/>
      </c>
      <c r="L13319">
        <f t="shared" si="3"/>
        <v>0</v>
      </c>
    </row>
    <row r="13320">
      <c r="A13320" s="107"/>
      <c r="D13320" s="270"/>
      <c r="H13320" s="106" t="str">
        <f t="shared" si="1"/>
        <v/>
      </c>
      <c r="J13320" t="str">
        <f>IFERROR(__xludf.DUMMYFUNCTION("IFS(
  AND(REGEXMATCH(E13320, ""台銀籌備帳戶|玉山帳戶""), REGEXMATCH(C13320, ""薪資"")), ""分潤支出"",
  AND(REGEXMATCH(E13320, ""Ben帳戶|Elsa帳戶|Ben代墊|Ariel代墊|中信銀行共用""), REGEXMATCH(F13320, ""Ben帳戶|Elsa帳戶|Ben代墊|Ariel代墊|中信銀行共用"")), ""內部轉帳(忽略)"",
  AND(E13320&lt;&gt;"""", F13320&lt;&gt;"&amp;""""", NOT(REGEXMATCH(C13320, ""薪資""))), ""內部轉帳(忽略)"",
  REGEXMATCH(C13320, ""薪資""), ""薪資變動(不計入)"",
  REGEXMATCH(C13320, ""押金""), ""押金往來"",
  AND(E13320&lt;&gt;"""", F13320=""""), ""真實支出"",
  AND(E13320="""", F13320&lt;&gt;""""), ""真實收入"",
  TRUE, ""其他""
)"),"其他")</f>
        <v>其他</v>
      </c>
      <c r="K13320" s="270" t="str">
        <f t="shared" si="2"/>
        <v/>
      </c>
      <c r="L13320">
        <f t="shared" si="3"/>
        <v>0</v>
      </c>
    </row>
    <row r="13321">
      <c r="A13321" s="107"/>
      <c r="D13321" s="270"/>
      <c r="H13321" s="106" t="str">
        <f t="shared" si="1"/>
        <v/>
      </c>
      <c r="J13321" t="str">
        <f>IFERROR(__xludf.DUMMYFUNCTION("IFS(
  AND(REGEXMATCH(E13321, ""台銀籌備帳戶|玉山帳戶""), REGEXMATCH(C13321, ""薪資"")), ""分潤支出"",
  AND(REGEXMATCH(E13321, ""Ben帳戶|Elsa帳戶|Ben代墊|Ariel代墊|中信銀行共用""), REGEXMATCH(F13321, ""Ben帳戶|Elsa帳戶|Ben代墊|Ariel代墊|中信銀行共用"")), ""內部轉帳(忽略)"",
  AND(E13321&lt;&gt;"""", F13321&lt;&gt;"&amp;""""", NOT(REGEXMATCH(C13321, ""薪資""))), ""內部轉帳(忽略)"",
  REGEXMATCH(C13321, ""薪資""), ""薪資變動(不計入)"",
  REGEXMATCH(C13321, ""押金""), ""押金往來"",
  AND(E13321&lt;&gt;"""", F13321=""""), ""真實支出"",
  AND(E13321="""", F13321&lt;&gt;""""), ""真實收入"",
  TRUE, ""其他""
)"),"其他")</f>
        <v>其他</v>
      </c>
      <c r="K13321" s="270" t="str">
        <f t="shared" si="2"/>
        <v/>
      </c>
      <c r="L13321">
        <f t="shared" si="3"/>
        <v>0</v>
      </c>
    </row>
    <row r="13322">
      <c r="A13322" s="107"/>
      <c r="D13322" s="270"/>
      <c r="H13322" s="106" t="str">
        <f t="shared" si="1"/>
        <v/>
      </c>
      <c r="J13322" t="str">
        <f>IFERROR(__xludf.DUMMYFUNCTION("IFS(
  AND(REGEXMATCH(E13322, ""台銀籌備帳戶|玉山帳戶""), REGEXMATCH(C13322, ""薪資"")), ""分潤支出"",
  AND(REGEXMATCH(E13322, ""Ben帳戶|Elsa帳戶|Ben代墊|Ariel代墊|中信銀行共用""), REGEXMATCH(F13322, ""Ben帳戶|Elsa帳戶|Ben代墊|Ariel代墊|中信銀行共用"")), ""內部轉帳(忽略)"",
  AND(E13322&lt;&gt;"""", F13322&lt;&gt;"&amp;""""", NOT(REGEXMATCH(C13322, ""薪資""))), ""內部轉帳(忽略)"",
  REGEXMATCH(C13322, ""薪資""), ""薪資變動(不計入)"",
  REGEXMATCH(C13322, ""押金""), ""押金往來"",
  AND(E13322&lt;&gt;"""", F13322=""""), ""真實支出"",
  AND(E13322="""", F13322&lt;&gt;""""), ""真實收入"",
  TRUE, ""其他""
)"),"其他")</f>
        <v>其他</v>
      </c>
      <c r="K13322" s="270" t="str">
        <f t="shared" si="2"/>
        <v/>
      </c>
      <c r="L13322">
        <f t="shared" si="3"/>
        <v>0</v>
      </c>
    </row>
    <row r="13323">
      <c r="A13323" s="107"/>
      <c r="D13323" s="270"/>
      <c r="H13323" s="106" t="str">
        <f t="shared" si="1"/>
        <v/>
      </c>
      <c r="J13323" t="str">
        <f>IFERROR(__xludf.DUMMYFUNCTION("IFS(
  AND(REGEXMATCH(E13323, ""台銀籌備帳戶|玉山帳戶""), REGEXMATCH(C13323, ""薪資"")), ""分潤支出"",
  AND(REGEXMATCH(E13323, ""Ben帳戶|Elsa帳戶|Ben代墊|Ariel代墊|中信銀行共用""), REGEXMATCH(F13323, ""Ben帳戶|Elsa帳戶|Ben代墊|Ariel代墊|中信銀行共用"")), ""內部轉帳(忽略)"",
  AND(E13323&lt;&gt;"""", F13323&lt;&gt;"&amp;""""", NOT(REGEXMATCH(C13323, ""薪資""))), ""內部轉帳(忽略)"",
  REGEXMATCH(C13323, ""薪資""), ""薪資變動(不計入)"",
  REGEXMATCH(C13323, ""押金""), ""押金往來"",
  AND(E13323&lt;&gt;"""", F13323=""""), ""真實支出"",
  AND(E13323="""", F13323&lt;&gt;""""), ""真實收入"",
  TRUE, ""其他""
)"),"其他")</f>
        <v>其他</v>
      </c>
      <c r="K13323" s="270" t="str">
        <f t="shared" si="2"/>
        <v/>
      </c>
      <c r="L13323">
        <f t="shared" si="3"/>
        <v>0</v>
      </c>
    </row>
    <row r="13324">
      <c r="A13324" s="107"/>
      <c r="D13324" s="270"/>
      <c r="H13324" s="106" t="str">
        <f t="shared" si="1"/>
        <v/>
      </c>
      <c r="J13324" t="str">
        <f>IFERROR(__xludf.DUMMYFUNCTION("IFS(
  AND(REGEXMATCH(E13324, ""台銀籌備帳戶|玉山帳戶""), REGEXMATCH(C13324, ""薪資"")), ""分潤支出"",
  AND(REGEXMATCH(E13324, ""Ben帳戶|Elsa帳戶|Ben代墊|Ariel代墊|中信銀行共用""), REGEXMATCH(F13324, ""Ben帳戶|Elsa帳戶|Ben代墊|Ariel代墊|中信銀行共用"")), ""內部轉帳(忽略)"",
  AND(E13324&lt;&gt;"""", F13324&lt;&gt;"&amp;""""", NOT(REGEXMATCH(C13324, ""薪資""))), ""內部轉帳(忽略)"",
  REGEXMATCH(C13324, ""薪資""), ""薪資變動(不計入)"",
  REGEXMATCH(C13324, ""押金""), ""押金往來"",
  AND(E13324&lt;&gt;"""", F13324=""""), ""真實支出"",
  AND(E13324="""", F13324&lt;&gt;""""), ""真實收入"",
  TRUE, ""其他""
)"),"其他")</f>
        <v>其他</v>
      </c>
      <c r="K13324" s="270" t="str">
        <f t="shared" si="2"/>
        <v/>
      </c>
      <c r="L13324">
        <f t="shared" si="3"/>
        <v>0</v>
      </c>
    </row>
    <row r="13325">
      <c r="A13325" s="107"/>
      <c r="D13325" s="270"/>
      <c r="H13325" s="106" t="str">
        <f t="shared" si="1"/>
        <v/>
      </c>
      <c r="J13325" t="str">
        <f>IFERROR(__xludf.DUMMYFUNCTION("IFS(
  AND(REGEXMATCH(E13325, ""台銀籌備帳戶|玉山帳戶""), REGEXMATCH(C13325, ""薪資"")), ""分潤支出"",
  AND(REGEXMATCH(E13325, ""Ben帳戶|Elsa帳戶|Ben代墊|Ariel代墊|中信銀行共用""), REGEXMATCH(F13325, ""Ben帳戶|Elsa帳戶|Ben代墊|Ariel代墊|中信銀行共用"")), ""內部轉帳(忽略)"",
  AND(E13325&lt;&gt;"""", F13325&lt;&gt;"&amp;""""", NOT(REGEXMATCH(C13325, ""薪資""))), ""內部轉帳(忽略)"",
  REGEXMATCH(C13325, ""薪資""), ""薪資變動(不計入)"",
  REGEXMATCH(C13325, ""押金""), ""押金往來"",
  AND(E13325&lt;&gt;"""", F13325=""""), ""真實支出"",
  AND(E13325="""", F13325&lt;&gt;""""), ""真實收入"",
  TRUE, ""其他""
)"),"其他")</f>
        <v>其他</v>
      </c>
      <c r="K13325" s="270" t="str">
        <f t="shared" si="2"/>
        <v/>
      </c>
      <c r="L13325">
        <f t="shared" si="3"/>
        <v>0</v>
      </c>
    </row>
    <row r="13326">
      <c r="A13326" s="107"/>
      <c r="D13326" s="270"/>
      <c r="H13326" s="106" t="str">
        <f t="shared" si="1"/>
        <v/>
      </c>
      <c r="J13326" t="str">
        <f>IFERROR(__xludf.DUMMYFUNCTION("IFS(
  AND(REGEXMATCH(E13326, ""台銀籌備帳戶|玉山帳戶""), REGEXMATCH(C13326, ""薪資"")), ""分潤支出"",
  AND(REGEXMATCH(E13326, ""Ben帳戶|Elsa帳戶|Ben代墊|Ariel代墊|中信銀行共用""), REGEXMATCH(F13326, ""Ben帳戶|Elsa帳戶|Ben代墊|Ariel代墊|中信銀行共用"")), ""內部轉帳(忽略)"",
  AND(E13326&lt;&gt;"""", F13326&lt;&gt;"&amp;""""", NOT(REGEXMATCH(C13326, ""薪資""))), ""內部轉帳(忽略)"",
  REGEXMATCH(C13326, ""薪資""), ""薪資變動(不計入)"",
  REGEXMATCH(C13326, ""押金""), ""押金往來"",
  AND(E13326&lt;&gt;"""", F13326=""""), ""真實支出"",
  AND(E13326="""", F13326&lt;&gt;""""), ""真實收入"",
  TRUE, ""其他""
)"),"其他")</f>
        <v>其他</v>
      </c>
      <c r="K13326" s="270" t="str">
        <f t="shared" si="2"/>
        <v/>
      </c>
      <c r="L13326">
        <f t="shared" si="3"/>
        <v>0</v>
      </c>
    </row>
    <row r="13327">
      <c r="A13327" s="107"/>
      <c r="D13327" s="270"/>
      <c r="H13327" s="106" t="str">
        <f t="shared" si="1"/>
        <v/>
      </c>
      <c r="J13327" t="str">
        <f>IFERROR(__xludf.DUMMYFUNCTION("IFS(
  AND(REGEXMATCH(E13327, ""台銀籌備帳戶|玉山帳戶""), REGEXMATCH(C13327, ""薪資"")), ""分潤支出"",
  AND(REGEXMATCH(E13327, ""Ben帳戶|Elsa帳戶|Ben代墊|Ariel代墊|中信銀行共用""), REGEXMATCH(F13327, ""Ben帳戶|Elsa帳戶|Ben代墊|Ariel代墊|中信銀行共用"")), ""內部轉帳(忽略)"",
  AND(E13327&lt;&gt;"""", F13327&lt;&gt;"&amp;""""", NOT(REGEXMATCH(C13327, ""薪資""))), ""內部轉帳(忽略)"",
  REGEXMATCH(C13327, ""薪資""), ""薪資變動(不計入)"",
  REGEXMATCH(C13327, ""押金""), ""押金往來"",
  AND(E13327&lt;&gt;"""", F13327=""""), ""真實支出"",
  AND(E13327="""", F13327&lt;&gt;""""), ""真實收入"",
  TRUE, ""其他""
)"),"其他")</f>
        <v>其他</v>
      </c>
      <c r="K13327" s="270" t="str">
        <f t="shared" si="2"/>
        <v/>
      </c>
      <c r="L13327">
        <f t="shared" si="3"/>
        <v>0</v>
      </c>
    </row>
    <row r="13328">
      <c r="A13328" s="107"/>
      <c r="D13328" s="270"/>
      <c r="H13328" s="106" t="str">
        <f t="shared" si="1"/>
        <v/>
      </c>
      <c r="J13328" t="str">
        <f>IFERROR(__xludf.DUMMYFUNCTION("IFS(
  AND(REGEXMATCH(E13328, ""台銀籌備帳戶|玉山帳戶""), REGEXMATCH(C13328, ""薪資"")), ""分潤支出"",
  AND(REGEXMATCH(E13328, ""Ben帳戶|Elsa帳戶|Ben代墊|Ariel代墊|中信銀行共用""), REGEXMATCH(F13328, ""Ben帳戶|Elsa帳戶|Ben代墊|Ariel代墊|中信銀行共用"")), ""內部轉帳(忽略)"",
  AND(E13328&lt;&gt;"""", F13328&lt;&gt;"&amp;""""", NOT(REGEXMATCH(C13328, ""薪資""))), ""內部轉帳(忽略)"",
  REGEXMATCH(C13328, ""薪資""), ""薪資變動(不計入)"",
  REGEXMATCH(C13328, ""押金""), ""押金往來"",
  AND(E13328&lt;&gt;"""", F13328=""""), ""真實支出"",
  AND(E13328="""", F13328&lt;&gt;""""), ""真實收入"",
  TRUE, ""其他""
)"),"其他")</f>
        <v>其他</v>
      </c>
      <c r="K13328" s="270" t="str">
        <f t="shared" si="2"/>
        <v/>
      </c>
      <c r="L13328">
        <f t="shared" si="3"/>
        <v>0</v>
      </c>
    </row>
    <row r="13329">
      <c r="A13329" s="107"/>
      <c r="D13329" s="270"/>
      <c r="H13329" s="106" t="str">
        <f t="shared" si="1"/>
        <v/>
      </c>
      <c r="J13329" t="str">
        <f>IFERROR(__xludf.DUMMYFUNCTION("IFS(
  AND(REGEXMATCH(E13329, ""台銀籌備帳戶|玉山帳戶""), REGEXMATCH(C13329, ""薪資"")), ""分潤支出"",
  AND(REGEXMATCH(E13329, ""Ben帳戶|Elsa帳戶|Ben代墊|Ariel代墊|中信銀行共用""), REGEXMATCH(F13329, ""Ben帳戶|Elsa帳戶|Ben代墊|Ariel代墊|中信銀行共用"")), ""內部轉帳(忽略)"",
  AND(E13329&lt;&gt;"""", F13329&lt;&gt;"&amp;""""", NOT(REGEXMATCH(C13329, ""薪資""))), ""內部轉帳(忽略)"",
  REGEXMATCH(C13329, ""薪資""), ""薪資變動(不計入)"",
  REGEXMATCH(C13329, ""押金""), ""押金往來"",
  AND(E13329&lt;&gt;"""", F13329=""""), ""真實支出"",
  AND(E13329="""", F13329&lt;&gt;""""), ""真實收入"",
  TRUE, ""其他""
)"),"其他")</f>
        <v>其他</v>
      </c>
      <c r="K13329" s="270" t="str">
        <f t="shared" si="2"/>
        <v/>
      </c>
      <c r="L13329">
        <f t="shared" si="3"/>
        <v>0</v>
      </c>
    </row>
    <row r="13330">
      <c r="A13330" s="107"/>
      <c r="D13330" s="270"/>
      <c r="H13330" s="106" t="str">
        <f t="shared" si="1"/>
        <v/>
      </c>
      <c r="J13330" t="str">
        <f>IFERROR(__xludf.DUMMYFUNCTION("IFS(
  AND(REGEXMATCH(E13330, ""台銀籌備帳戶|玉山帳戶""), REGEXMATCH(C13330, ""薪資"")), ""分潤支出"",
  AND(REGEXMATCH(E13330, ""Ben帳戶|Elsa帳戶|Ben代墊|Ariel代墊|中信銀行共用""), REGEXMATCH(F13330, ""Ben帳戶|Elsa帳戶|Ben代墊|Ariel代墊|中信銀行共用"")), ""內部轉帳(忽略)"",
  AND(E13330&lt;&gt;"""", F13330&lt;&gt;"&amp;""""", NOT(REGEXMATCH(C13330, ""薪資""))), ""內部轉帳(忽略)"",
  REGEXMATCH(C13330, ""薪資""), ""薪資變動(不計入)"",
  REGEXMATCH(C13330, ""押金""), ""押金往來"",
  AND(E13330&lt;&gt;"""", F13330=""""), ""真實支出"",
  AND(E13330="""", F13330&lt;&gt;""""), ""真實收入"",
  TRUE, ""其他""
)"),"其他")</f>
        <v>其他</v>
      </c>
      <c r="K13330" s="270" t="str">
        <f t="shared" si="2"/>
        <v/>
      </c>
      <c r="L13330">
        <f t="shared" si="3"/>
        <v>0</v>
      </c>
    </row>
    <row r="13331">
      <c r="A13331" s="107"/>
      <c r="D13331" s="270"/>
      <c r="H13331" s="106" t="str">
        <f t="shared" si="1"/>
        <v/>
      </c>
      <c r="J13331" t="str">
        <f>IFERROR(__xludf.DUMMYFUNCTION("IFS(
  AND(REGEXMATCH(E13331, ""台銀籌備帳戶|玉山帳戶""), REGEXMATCH(C13331, ""薪資"")), ""分潤支出"",
  AND(REGEXMATCH(E13331, ""Ben帳戶|Elsa帳戶|Ben代墊|Ariel代墊|中信銀行共用""), REGEXMATCH(F13331, ""Ben帳戶|Elsa帳戶|Ben代墊|Ariel代墊|中信銀行共用"")), ""內部轉帳(忽略)"",
  AND(E13331&lt;&gt;"""", F13331&lt;&gt;"&amp;""""", NOT(REGEXMATCH(C13331, ""薪資""))), ""內部轉帳(忽略)"",
  REGEXMATCH(C13331, ""薪資""), ""薪資變動(不計入)"",
  REGEXMATCH(C13331, ""押金""), ""押金往來"",
  AND(E13331&lt;&gt;"""", F13331=""""), ""真實支出"",
  AND(E13331="""", F13331&lt;&gt;""""), ""真實收入"",
  TRUE, ""其他""
)"),"其他")</f>
        <v>其他</v>
      </c>
      <c r="K13331" s="270" t="str">
        <f t="shared" si="2"/>
        <v/>
      </c>
      <c r="L13331">
        <f t="shared" si="3"/>
        <v>0</v>
      </c>
    </row>
    <row r="13332">
      <c r="A13332" s="107"/>
      <c r="D13332" s="270"/>
      <c r="H13332" s="106" t="str">
        <f t="shared" si="1"/>
        <v/>
      </c>
      <c r="J13332" t="str">
        <f>IFERROR(__xludf.DUMMYFUNCTION("IFS(
  AND(REGEXMATCH(E13332, ""台銀籌備帳戶|玉山帳戶""), REGEXMATCH(C13332, ""薪資"")), ""分潤支出"",
  AND(REGEXMATCH(E13332, ""Ben帳戶|Elsa帳戶|Ben代墊|Ariel代墊|中信銀行共用""), REGEXMATCH(F13332, ""Ben帳戶|Elsa帳戶|Ben代墊|Ariel代墊|中信銀行共用"")), ""內部轉帳(忽略)"",
  AND(E13332&lt;&gt;"""", F13332&lt;&gt;"&amp;""""", NOT(REGEXMATCH(C13332, ""薪資""))), ""內部轉帳(忽略)"",
  REGEXMATCH(C13332, ""薪資""), ""薪資變動(不計入)"",
  REGEXMATCH(C13332, ""押金""), ""押金往來"",
  AND(E13332&lt;&gt;"""", F13332=""""), ""真實支出"",
  AND(E13332="""", F13332&lt;&gt;""""), ""真實收入"",
  TRUE, ""其他""
)"),"其他")</f>
        <v>其他</v>
      </c>
      <c r="K13332" s="270" t="str">
        <f t="shared" si="2"/>
        <v/>
      </c>
      <c r="L13332">
        <f t="shared" si="3"/>
        <v>0</v>
      </c>
    </row>
    <row r="13333">
      <c r="A13333" s="107"/>
      <c r="D13333" s="270"/>
      <c r="H13333" s="106" t="str">
        <f t="shared" si="1"/>
        <v/>
      </c>
      <c r="J13333" t="str">
        <f>IFERROR(__xludf.DUMMYFUNCTION("IFS(
  AND(REGEXMATCH(E13333, ""台銀籌備帳戶|玉山帳戶""), REGEXMATCH(C13333, ""薪資"")), ""分潤支出"",
  AND(REGEXMATCH(E13333, ""Ben帳戶|Elsa帳戶|Ben代墊|Ariel代墊|中信銀行共用""), REGEXMATCH(F13333, ""Ben帳戶|Elsa帳戶|Ben代墊|Ariel代墊|中信銀行共用"")), ""內部轉帳(忽略)"",
  AND(E13333&lt;&gt;"""", F13333&lt;&gt;"&amp;""""", NOT(REGEXMATCH(C13333, ""薪資""))), ""內部轉帳(忽略)"",
  REGEXMATCH(C13333, ""薪資""), ""薪資變動(不計入)"",
  REGEXMATCH(C13333, ""押金""), ""押金往來"",
  AND(E13333&lt;&gt;"""", F13333=""""), ""真實支出"",
  AND(E13333="""", F13333&lt;&gt;""""), ""真實收入"",
  TRUE, ""其他""
)"),"其他")</f>
        <v>其他</v>
      </c>
      <c r="K13333" s="270" t="str">
        <f t="shared" si="2"/>
        <v/>
      </c>
      <c r="L13333">
        <f t="shared" si="3"/>
        <v>0</v>
      </c>
    </row>
    <row r="13334">
      <c r="A13334" s="107"/>
      <c r="D13334" s="270"/>
      <c r="H13334" s="106" t="str">
        <f t="shared" si="1"/>
        <v/>
      </c>
      <c r="J13334" t="str">
        <f>IFERROR(__xludf.DUMMYFUNCTION("IFS(
  AND(REGEXMATCH(E13334, ""台銀籌備帳戶|玉山帳戶""), REGEXMATCH(C13334, ""薪資"")), ""分潤支出"",
  AND(REGEXMATCH(E13334, ""Ben帳戶|Elsa帳戶|Ben代墊|Ariel代墊|中信銀行共用""), REGEXMATCH(F13334, ""Ben帳戶|Elsa帳戶|Ben代墊|Ariel代墊|中信銀行共用"")), ""內部轉帳(忽略)"",
  AND(E13334&lt;&gt;"""", F13334&lt;&gt;"&amp;""""", NOT(REGEXMATCH(C13334, ""薪資""))), ""內部轉帳(忽略)"",
  REGEXMATCH(C13334, ""薪資""), ""薪資變動(不計入)"",
  REGEXMATCH(C13334, ""押金""), ""押金往來"",
  AND(E13334&lt;&gt;"""", F13334=""""), ""真實支出"",
  AND(E13334="""", F13334&lt;&gt;""""), ""真實收入"",
  TRUE, ""其他""
)"),"其他")</f>
        <v>其他</v>
      </c>
      <c r="K13334" s="270" t="str">
        <f t="shared" si="2"/>
        <v/>
      </c>
      <c r="L13334">
        <f t="shared" si="3"/>
        <v>0</v>
      </c>
    </row>
    <row r="13335">
      <c r="A13335" s="107"/>
      <c r="D13335" s="270"/>
      <c r="H13335" s="106" t="str">
        <f t="shared" si="1"/>
        <v/>
      </c>
      <c r="J13335" t="str">
        <f>IFERROR(__xludf.DUMMYFUNCTION("IFS(
  AND(REGEXMATCH(E13335, ""台銀籌備帳戶|玉山帳戶""), REGEXMATCH(C13335, ""薪資"")), ""分潤支出"",
  AND(REGEXMATCH(E13335, ""Ben帳戶|Elsa帳戶|Ben代墊|Ariel代墊|中信銀行共用""), REGEXMATCH(F13335, ""Ben帳戶|Elsa帳戶|Ben代墊|Ariel代墊|中信銀行共用"")), ""內部轉帳(忽略)"",
  AND(E13335&lt;&gt;"""", F13335&lt;&gt;"&amp;""""", NOT(REGEXMATCH(C13335, ""薪資""))), ""內部轉帳(忽略)"",
  REGEXMATCH(C13335, ""薪資""), ""薪資變動(不計入)"",
  REGEXMATCH(C13335, ""押金""), ""押金往來"",
  AND(E13335&lt;&gt;"""", F13335=""""), ""真實支出"",
  AND(E13335="""", F13335&lt;&gt;""""), ""真實收入"",
  TRUE, ""其他""
)"),"其他")</f>
        <v>其他</v>
      </c>
      <c r="K13335" s="270" t="str">
        <f t="shared" si="2"/>
        <v/>
      </c>
      <c r="L13335">
        <f t="shared" si="3"/>
        <v>0</v>
      </c>
    </row>
    <row r="13336">
      <c r="A13336" s="107"/>
      <c r="D13336" s="270"/>
      <c r="H13336" s="106" t="str">
        <f t="shared" si="1"/>
        <v/>
      </c>
      <c r="J13336" t="str">
        <f>IFERROR(__xludf.DUMMYFUNCTION("IFS(
  AND(REGEXMATCH(E13336, ""台銀籌備帳戶|玉山帳戶""), REGEXMATCH(C13336, ""薪資"")), ""分潤支出"",
  AND(REGEXMATCH(E13336, ""Ben帳戶|Elsa帳戶|Ben代墊|Ariel代墊|中信銀行共用""), REGEXMATCH(F13336, ""Ben帳戶|Elsa帳戶|Ben代墊|Ariel代墊|中信銀行共用"")), ""內部轉帳(忽略)"",
  AND(E13336&lt;&gt;"""", F13336&lt;&gt;"&amp;""""", NOT(REGEXMATCH(C13336, ""薪資""))), ""內部轉帳(忽略)"",
  REGEXMATCH(C13336, ""薪資""), ""薪資變動(不計入)"",
  REGEXMATCH(C13336, ""押金""), ""押金往來"",
  AND(E13336&lt;&gt;"""", F13336=""""), ""真實支出"",
  AND(E13336="""", F13336&lt;&gt;""""), ""真實收入"",
  TRUE, ""其他""
)"),"其他")</f>
        <v>其他</v>
      </c>
      <c r="K13336" s="270" t="str">
        <f t="shared" si="2"/>
        <v/>
      </c>
      <c r="L13336">
        <f t="shared" si="3"/>
        <v>0</v>
      </c>
    </row>
    <row r="13337">
      <c r="A13337" s="107"/>
      <c r="D13337" s="270"/>
      <c r="H13337" s="106" t="str">
        <f t="shared" si="1"/>
        <v/>
      </c>
      <c r="J13337" t="str">
        <f>IFERROR(__xludf.DUMMYFUNCTION("IFS(
  AND(REGEXMATCH(E13337, ""台銀籌備帳戶|玉山帳戶""), REGEXMATCH(C13337, ""薪資"")), ""分潤支出"",
  AND(REGEXMATCH(E13337, ""Ben帳戶|Elsa帳戶|Ben代墊|Ariel代墊|中信銀行共用""), REGEXMATCH(F13337, ""Ben帳戶|Elsa帳戶|Ben代墊|Ariel代墊|中信銀行共用"")), ""內部轉帳(忽略)"",
  AND(E13337&lt;&gt;"""", F13337&lt;&gt;"&amp;""""", NOT(REGEXMATCH(C13337, ""薪資""))), ""內部轉帳(忽略)"",
  REGEXMATCH(C13337, ""薪資""), ""薪資變動(不計入)"",
  REGEXMATCH(C13337, ""押金""), ""押金往來"",
  AND(E13337&lt;&gt;"""", F13337=""""), ""真實支出"",
  AND(E13337="""", F13337&lt;&gt;""""), ""真實收入"",
  TRUE, ""其他""
)"),"其他")</f>
        <v>其他</v>
      </c>
      <c r="K13337" s="270" t="str">
        <f t="shared" si="2"/>
        <v/>
      </c>
      <c r="L13337">
        <f t="shared" si="3"/>
        <v>0</v>
      </c>
    </row>
    <row r="13338">
      <c r="A13338" s="107"/>
      <c r="D13338" s="270"/>
      <c r="H13338" s="106" t="str">
        <f t="shared" si="1"/>
        <v/>
      </c>
      <c r="J13338" t="str">
        <f>IFERROR(__xludf.DUMMYFUNCTION("IFS(
  AND(REGEXMATCH(E13338, ""台銀籌備帳戶|玉山帳戶""), REGEXMATCH(C13338, ""薪資"")), ""分潤支出"",
  AND(REGEXMATCH(E13338, ""Ben帳戶|Elsa帳戶|Ben代墊|Ariel代墊|中信銀行共用""), REGEXMATCH(F13338, ""Ben帳戶|Elsa帳戶|Ben代墊|Ariel代墊|中信銀行共用"")), ""內部轉帳(忽略)"",
  AND(E13338&lt;&gt;"""", F13338&lt;&gt;"&amp;""""", NOT(REGEXMATCH(C13338, ""薪資""))), ""內部轉帳(忽略)"",
  REGEXMATCH(C13338, ""薪資""), ""薪資變動(不計入)"",
  REGEXMATCH(C13338, ""押金""), ""押金往來"",
  AND(E13338&lt;&gt;"""", F13338=""""), ""真實支出"",
  AND(E13338="""", F13338&lt;&gt;""""), ""真實收入"",
  TRUE, ""其他""
)"),"其他")</f>
        <v>其他</v>
      </c>
      <c r="K13338" s="270" t="str">
        <f t="shared" si="2"/>
        <v/>
      </c>
      <c r="L13338">
        <f t="shared" si="3"/>
        <v>0</v>
      </c>
    </row>
    <row r="13339">
      <c r="A13339" s="107"/>
      <c r="D13339" s="270"/>
      <c r="H13339" s="106" t="str">
        <f t="shared" si="1"/>
        <v/>
      </c>
      <c r="J13339" t="str">
        <f>IFERROR(__xludf.DUMMYFUNCTION("IFS(
  AND(REGEXMATCH(E13339, ""台銀籌備帳戶|玉山帳戶""), REGEXMATCH(C13339, ""薪資"")), ""分潤支出"",
  AND(REGEXMATCH(E13339, ""Ben帳戶|Elsa帳戶|Ben代墊|Ariel代墊|中信銀行共用""), REGEXMATCH(F13339, ""Ben帳戶|Elsa帳戶|Ben代墊|Ariel代墊|中信銀行共用"")), ""內部轉帳(忽略)"",
  AND(E13339&lt;&gt;"""", F13339&lt;&gt;"&amp;""""", NOT(REGEXMATCH(C13339, ""薪資""))), ""內部轉帳(忽略)"",
  REGEXMATCH(C13339, ""薪資""), ""薪資變動(不計入)"",
  REGEXMATCH(C13339, ""押金""), ""押金往來"",
  AND(E13339&lt;&gt;"""", F13339=""""), ""真實支出"",
  AND(E13339="""", F13339&lt;&gt;""""), ""真實收入"",
  TRUE, ""其他""
)"),"其他")</f>
        <v>其他</v>
      </c>
      <c r="K13339" s="270" t="str">
        <f t="shared" si="2"/>
        <v/>
      </c>
      <c r="L13339">
        <f t="shared" si="3"/>
        <v>0</v>
      </c>
    </row>
    <row r="13340">
      <c r="A13340" s="107"/>
      <c r="D13340" s="270"/>
      <c r="H13340" s="106" t="str">
        <f t="shared" si="1"/>
        <v/>
      </c>
      <c r="J13340" t="str">
        <f>IFERROR(__xludf.DUMMYFUNCTION("IFS(
  AND(REGEXMATCH(E13340, ""台銀籌備帳戶|玉山帳戶""), REGEXMATCH(C13340, ""薪資"")), ""分潤支出"",
  AND(REGEXMATCH(E13340, ""Ben帳戶|Elsa帳戶|Ben代墊|Ariel代墊|中信銀行共用""), REGEXMATCH(F13340, ""Ben帳戶|Elsa帳戶|Ben代墊|Ariel代墊|中信銀行共用"")), ""內部轉帳(忽略)"",
  AND(E13340&lt;&gt;"""", F13340&lt;&gt;"&amp;""""", NOT(REGEXMATCH(C13340, ""薪資""))), ""內部轉帳(忽略)"",
  REGEXMATCH(C13340, ""薪資""), ""薪資變動(不計入)"",
  REGEXMATCH(C13340, ""押金""), ""押金往來"",
  AND(E13340&lt;&gt;"""", F13340=""""), ""真實支出"",
  AND(E13340="""", F13340&lt;&gt;""""), ""真實收入"",
  TRUE, ""其他""
)"),"其他")</f>
        <v>其他</v>
      </c>
      <c r="K13340" s="270" t="str">
        <f t="shared" si="2"/>
        <v/>
      </c>
      <c r="L13340">
        <f t="shared" si="3"/>
        <v>0</v>
      </c>
    </row>
    <row r="13341">
      <c r="A13341" s="107"/>
      <c r="D13341" s="270"/>
      <c r="H13341" s="106" t="str">
        <f t="shared" si="1"/>
        <v/>
      </c>
      <c r="J13341" t="str">
        <f>IFERROR(__xludf.DUMMYFUNCTION("IFS(
  AND(REGEXMATCH(E13341, ""台銀籌備帳戶|玉山帳戶""), REGEXMATCH(C13341, ""薪資"")), ""分潤支出"",
  AND(REGEXMATCH(E13341, ""Ben帳戶|Elsa帳戶|Ben代墊|Ariel代墊|中信銀行共用""), REGEXMATCH(F13341, ""Ben帳戶|Elsa帳戶|Ben代墊|Ariel代墊|中信銀行共用"")), ""內部轉帳(忽略)"",
  AND(E13341&lt;&gt;"""", F13341&lt;&gt;"&amp;""""", NOT(REGEXMATCH(C13341, ""薪資""))), ""內部轉帳(忽略)"",
  REGEXMATCH(C13341, ""薪資""), ""薪資變動(不計入)"",
  REGEXMATCH(C13341, ""押金""), ""押金往來"",
  AND(E13341&lt;&gt;"""", F13341=""""), ""真實支出"",
  AND(E13341="""", F13341&lt;&gt;""""), ""真實收入"",
  TRUE, ""其他""
)"),"其他")</f>
        <v>其他</v>
      </c>
      <c r="K13341" s="270" t="str">
        <f t="shared" si="2"/>
        <v/>
      </c>
      <c r="L13341">
        <f t="shared" si="3"/>
        <v>0</v>
      </c>
    </row>
    <row r="13342">
      <c r="A13342" s="107"/>
      <c r="D13342" s="270"/>
      <c r="H13342" s="106" t="str">
        <f t="shared" si="1"/>
        <v/>
      </c>
      <c r="J13342" t="str">
        <f>IFERROR(__xludf.DUMMYFUNCTION("IFS(
  AND(REGEXMATCH(E13342, ""台銀籌備帳戶|玉山帳戶""), REGEXMATCH(C13342, ""薪資"")), ""分潤支出"",
  AND(REGEXMATCH(E13342, ""Ben帳戶|Elsa帳戶|Ben代墊|Ariel代墊|中信銀行共用""), REGEXMATCH(F13342, ""Ben帳戶|Elsa帳戶|Ben代墊|Ariel代墊|中信銀行共用"")), ""內部轉帳(忽略)"",
  AND(E13342&lt;&gt;"""", F13342&lt;&gt;"&amp;""""", NOT(REGEXMATCH(C13342, ""薪資""))), ""內部轉帳(忽略)"",
  REGEXMATCH(C13342, ""薪資""), ""薪資變動(不計入)"",
  REGEXMATCH(C13342, ""押金""), ""押金往來"",
  AND(E13342&lt;&gt;"""", F13342=""""), ""真實支出"",
  AND(E13342="""", F13342&lt;&gt;""""), ""真實收入"",
  TRUE, ""其他""
)"),"其他")</f>
        <v>其他</v>
      </c>
      <c r="K13342" s="270" t="str">
        <f t="shared" si="2"/>
        <v/>
      </c>
      <c r="L13342">
        <f t="shared" si="3"/>
        <v>0</v>
      </c>
    </row>
    <row r="13343">
      <c r="A13343" s="107"/>
      <c r="D13343" s="270"/>
      <c r="H13343" s="106" t="str">
        <f t="shared" si="1"/>
        <v/>
      </c>
      <c r="J13343" t="str">
        <f>IFERROR(__xludf.DUMMYFUNCTION("IFS(
  AND(REGEXMATCH(E13343, ""台銀籌備帳戶|玉山帳戶""), REGEXMATCH(C13343, ""薪資"")), ""分潤支出"",
  AND(REGEXMATCH(E13343, ""Ben帳戶|Elsa帳戶|Ben代墊|Ariel代墊|中信銀行共用""), REGEXMATCH(F13343, ""Ben帳戶|Elsa帳戶|Ben代墊|Ariel代墊|中信銀行共用"")), ""內部轉帳(忽略)"",
  AND(E13343&lt;&gt;"""", F13343&lt;&gt;"&amp;""""", NOT(REGEXMATCH(C13343, ""薪資""))), ""內部轉帳(忽略)"",
  REGEXMATCH(C13343, ""薪資""), ""薪資變動(不計入)"",
  REGEXMATCH(C13343, ""押金""), ""押金往來"",
  AND(E13343&lt;&gt;"""", F13343=""""), ""真實支出"",
  AND(E13343="""", F13343&lt;&gt;""""), ""真實收入"",
  TRUE, ""其他""
)"),"其他")</f>
        <v>其他</v>
      </c>
      <c r="K13343" s="270" t="str">
        <f t="shared" si="2"/>
        <v/>
      </c>
      <c r="L13343">
        <f t="shared" si="3"/>
        <v>0</v>
      </c>
    </row>
    <row r="13344">
      <c r="A13344" s="107"/>
      <c r="D13344" s="270"/>
      <c r="H13344" s="106" t="str">
        <f t="shared" si="1"/>
        <v/>
      </c>
      <c r="J13344" t="str">
        <f>IFERROR(__xludf.DUMMYFUNCTION("IFS(
  AND(REGEXMATCH(E13344, ""台銀籌備帳戶|玉山帳戶""), REGEXMATCH(C13344, ""薪資"")), ""分潤支出"",
  AND(REGEXMATCH(E13344, ""Ben帳戶|Elsa帳戶|Ben代墊|Ariel代墊|中信銀行共用""), REGEXMATCH(F13344, ""Ben帳戶|Elsa帳戶|Ben代墊|Ariel代墊|中信銀行共用"")), ""內部轉帳(忽略)"",
  AND(E13344&lt;&gt;"""", F13344&lt;&gt;"&amp;""""", NOT(REGEXMATCH(C13344, ""薪資""))), ""內部轉帳(忽略)"",
  REGEXMATCH(C13344, ""薪資""), ""薪資變動(不計入)"",
  REGEXMATCH(C13344, ""押金""), ""押金往來"",
  AND(E13344&lt;&gt;"""", F13344=""""), ""真實支出"",
  AND(E13344="""", F13344&lt;&gt;""""), ""真實收入"",
  TRUE, ""其他""
)"),"其他")</f>
        <v>其他</v>
      </c>
      <c r="K13344" s="270" t="str">
        <f t="shared" si="2"/>
        <v/>
      </c>
      <c r="L13344">
        <f t="shared" si="3"/>
        <v>0</v>
      </c>
    </row>
    <row r="13345">
      <c r="A13345" s="107"/>
      <c r="D13345" s="270"/>
      <c r="H13345" s="106" t="str">
        <f t="shared" si="1"/>
        <v/>
      </c>
      <c r="J13345" t="str">
        <f>IFERROR(__xludf.DUMMYFUNCTION("IFS(
  AND(REGEXMATCH(E13345, ""台銀籌備帳戶|玉山帳戶""), REGEXMATCH(C13345, ""薪資"")), ""分潤支出"",
  AND(REGEXMATCH(E13345, ""Ben帳戶|Elsa帳戶|Ben代墊|Ariel代墊|中信銀行共用""), REGEXMATCH(F13345, ""Ben帳戶|Elsa帳戶|Ben代墊|Ariel代墊|中信銀行共用"")), ""內部轉帳(忽略)"",
  AND(E13345&lt;&gt;"""", F13345&lt;&gt;"&amp;""""", NOT(REGEXMATCH(C13345, ""薪資""))), ""內部轉帳(忽略)"",
  REGEXMATCH(C13345, ""薪資""), ""薪資變動(不計入)"",
  REGEXMATCH(C13345, ""押金""), ""押金往來"",
  AND(E13345&lt;&gt;"""", F13345=""""), ""真實支出"",
  AND(E13345="""", F13345&lt;&gt;""""), ""真實收入"",
  TRUE, ""其他""
)"),"其他")</f>
        <v>其他</v>
      </c>
      <c r="K13345" s="270" t="str">
        <f t="shared" si="2"/>
        <v/>
      </c>
      <c r="L13345">
        <f t="shared" si="3"/>
        <v>0</v>
      </c>
    </row>
    <row r="13346">
      <c r="A13346" s="107"/>
      <c r="D13346" s="270"/>
      <c r="H13346" s="106" t="str">
        <f t="shared" si="1"/>
        <v/>
      </c>
      <c r="J13346" t="str">
        <f>IFERROR(__xludf.DUMMYFUNCTION("IFS(
  AND(REGEXMATCH(E13346, ""台銀籌備帳戶|玉山帳戶""), REGEXMATCH(C13346, ""薪資"")), ""分潤支出"",
  AND(REGEXMATCH(E13346, ""Ben帳戶|Elsa帳戶|Ben代墊|Ariel代墊|中信銀行共用""), REGEXMATCH(F13346, ""Ben帳戶|Elsa帳戶|Ben代墊|Ariel代墊|中信銀行共用"")), ""內部轉帳(忽略)"",
  AND(E13346&lt;&gt;"""", F13346&lt;&gt;"&amp;""""", NOT(REGEXMATCH(C13346, ""薪資""))), ""內部轉帳(忽略)"",
  REGEXMATCH(C13346, ""薪資""), ""薪資變動(不計入)"",
  REGEXMATCH(C13346, ""押金""), ""押金往來"",
  AND(E13346&lt;&gt;"""", F13346=""""), ""真實支出"",
  AND(E13346="""", F13346&lt;&gt;""""), ""真實收入"",
  TRUE, ""其他""
)"),"其他")</f>
        <v>其他</v>
      </c>
      <c r="K13346" s="270" t="str">
        <f t="shared" si="2"/>
        <v/>
      </c>
      <c r="L13346">
        <f t="shared" si="3"/>
        <v>0</v>
      </c>
    </row>
    <row r="13347">
      <c r="A13347" s="107"/>
      <c r="D13347" s="270"/>
      <c r="H13347" s="106" t="str">
        <f t="shared" si="1"/>
        <v/>
      </c>
      <c r="J13347" t="str">
        <f>IFERROR(__xludf.DUMMYFUNCTION("IFS(
  AND(REGEXMATCH(E13347, ""台銀籌備帳戶|玉山帳戶""), REGEXMATCH(C13347, ""薪資"")), ""分潤支出"",
  AND(REGEXMATCH(E13347, ""Ben帳戶|Elsa帳戶|Ben代墊|Ariel代墊|中信銀行共用""), REGEXMATCH(F13347, ""Ben帳戶|Elsa帳戶|Ben代墊|Ariel代墊|中信銀行共用"")), ""內部轉帳(忽略)"",
  AND(E13347&lt;&gt;"""", F13347&lt;&gt;"&amp;""""", NOT(REGEXMATCH(C13347, ""薪資""))), ""內部轉帳(忽略)"",
  REGEXMATCH(C13347, ""薪資""), ""薪資變動(不計入)"",
  REGEXMATCH(C13347, ""押金""), ""押金往來"",
  AND(E13347&lt;&gt;"""", F13347=""""), ""真實支出"",
  AND(E13347="""", F13347&lt;&gt;""""), ""真實收入"",
  TRUE, ""其他""
)"),"其他")</f>
        <v>其他</v>
      </c>
      <c r="K13347" s="270" t="str">
        <f t="shared" si="2"/>
        <v/>
      </c>
      <c r="L13347">
        <f t="shared" si="3"/>
        <v>0</v>
      </c>
    </row>
    <row r="13348">
      <c r="A13348" s="107"/>
      <c r="D13348" s="270"/>
      <c r="H13348" s="106" t="str">
        <f t="shared" si="1"/>
        <v/>
      </c>
      <c r="J13348" t="str">
        <f>IFERROR(__xludf.DUMMYFUNCTION("IFS(
  AND(REGEXMATCH(E13348, ""台銀籌備帳戶|玉山帳戶""), REGEXMATCH(C13348, ""薪資"")), ""分潤支出"",
  AND(REGEXMATCH(E13348, ""Ben帳戶|Elsa帳戶|Ben代墊|Ariel代墊|中信銀行共用""), REGEXMATCH(F13348, ""Ben帳戶|Elsa帳戶|Ben代墊|Ariel代墊|中信銀行共用"")), ""內部轉帳(忽略)"",
  AND(E13348&lt;&gt;"""", F13348&lt;&gt;"&amp;""""", NOT(REGEXMATCH(C13348, ""薪資""))), ""內部轉帳(忽略)"",
  REGEXMATCH(C13348, ""薪資""), ""薪資變動(不計入)"",
  REGEXMATCH(C13348, ""押金""), ""押金往來"",
  AND(E13348&lt;&gt;"""", F13348=""""), ""真實支出"",
  AND(E13348="""", F13348&lt;&gt;""""), ""真實收入"",
  TRUE, ""其他""
)"),"其他")</f>
        <v>其他</v>
      </c>
      <c r="K13348" s="270" t="str">
        <f t="shared" si="2"/>
        <v/>
      </c>
      <c r="L13348">
        <f t="shared" si="3"/>
        <v>0</v>
      </c>
    </row>
    <row r="13349">
      <c r="A13349" s="107"/>
      <c r="D13349" s="270"/>
      <c r="H13349" s="106" t="str">
        <f t="shared" si="1"/>
        <v/>
      </c>
      <c r="J13349" t="str">
        <f>IFERROR(__xludf.DUMMYFUNCTION("IFS(
  AND(REGEXMATCH(E13349, ""台銀籌備帳戶|玉山帳戶""), REGEXMATCH(C13349, ""薪資"")), ""分潤支出"",
  AND(REGEXMATCH(E13349, ""Ben帳戶|Elsa帳戶|Ben代墊|Ariel代墊|中信銀行共用""), REGEXMATCH(F13349, ""Ben帳戶|Elsa帳戶|Ben代墊|Ariel代墊|中信銀行共用"")), ""內部轉帳(忽略)"",
  AND(E13349&lt;&gt;"""", F13349&lt;&gt;"&amp;""""", NOT(REGEXMATCH(C13349, ""薪資""))), ""內部轉帳(忽略)"",
  REGEXMATCH(C13349, ""薪資""), ""薪資變動(不計入)"",
  REGEXMATCH(C13349, ""押金""), ""押金往來"",
  AND(E13349&lt;&gt;"""", F13349=""""), ""真實支出"",
  AND(E13349="""", F13349&lt;&gt;""""), ""真實收入"",
  TRUE, ""其他""
)"),"其他")</f>
        <v>其他</v>
      </c>
      <c r="K13349" s="270" t="str">
        <f t="shared" si="2"/>
        <v/>
      </c>
      <c r="L13349">
        <f t="shared" si="3"/>
        <v>0</v>
      </c>
    </row>
    <row r="13350">
      <c r="A13350" s="107"/>
      <c r="D13350" s="270"/>
      <c r="H13350" s="106" t="str">
        <f t="shared" si="1"/>
        <v/>
      </c>
      <c r="J13350" t="str">
        <f>IFERROR(__xludf.DUMMYFUNCTION("IFS(
  AND(REGEXMATCH(E13350, ""台銀籌備帳戶|玉山帳戶""), REGEXMATCH(C13350, ""薪資"")), ""分潤支出"",
  AND(REGEXMATCH(E13350, ""Ben帳戶|Elsa帳戶|Ben代墊|Ariel代墊|中信銀行共用""), REGEXMATCH(F13350, ""Ben帳戶|Elsa帳戶|Ben代墊|Ariel代墊|中信銀行共用"")), ""內部轉帳(忽略)"",
  AND(E13350&lt;&gt;"""", F13350&lt;&gt;"&amp;""""", NOT(REGEXMATCH(C13350, ""薪資""))), ""內部轉帳(忽略)"",
  REGEXMATCH(C13350, ""薪資""), ""薪資變動(不計入)"",
  REGEXMATCH(C13350, ""押金""), ""押金往來"",
  AND(E13350&lt;&gt;"""", F13350=""""), ""真實支出"",
  AND(E13350="""", F13350&lt;&gt;""""), ""真實收入"",
  TRUE, ""其他""
)"),"其他")</f>
        <v>其他</v>
      </c>
      <c r="K13350" s="270" t="str">
        <f t="shared" si="2"/>
        <v/>
      </c>
      <c r="L13350">
        <f t="shared" si="3"/>
        <v>0</v>
      </c>
    </row>
    <row r="13351">
      <c r="A13351" s="107"/>
      <c r="D13351" s="270"/>
      <c r="H13351" s="106" t="str">
        <f t="shared" si="1"/>
        <v/>
      </c>
      <c r="J13351" t="str">
        <f>IFERROR(__xludf.DUMMYFUNCTION("IFS(
  AND(REGEXMATCH(E13351, ""台銀籌備帳戶|玉山帳戶""), REGEXMATCH(C13351, ""薪資"")), ""分潤支出"",
  AND(REGEXMATCH(E13351, ""Ben帳戶|Elsa帳戶|Ben代墊|Ariel代墊|中信銀行共用""), REGEXMATCH(F13351, ""Ben帳戶|Elsa帳戶|Ben代墊|Ariel代墊|中信銀行共用"")), ""內部轉帳(忽略)"",
  AND(E13351&lt;&gt;"""", F13351&lt;&gt;"&amp;""""", NOT(REGEXMATCH(C13351, ""薪資""))), ""內部轉帳(忽略)"",
  REGEXMATCH(C13351, ""薪資""), ""薪資變動(不計入)"",
  REGEXMATCH(C13351, ""押金""), ""押金往來"",
  AND(E13351&lt;&gt;"""", F13351=""""), ""真實支出"",
  AND(E13351="""", F13351&lt;&gt;""""), ""真實收入"",
  TRUE, ""其他""
)"),"其他")</f>
        <v>其他</v>
      </c>
      <c r="K13351" s="270" t="str">
        <f t="shared" si="2"/>
        <v/>
      </c>
      <c r="L13351">
        <f t="shared" si="3"/>
        <v>0</v>
      </c>
    </row>
    <row r="13352">
      <c r="A13352" s="107"/>
      <c r="D13352" s="270"/>
      <c r="H13352" s="106" t="str">
        <f t="shared" si="1"/>
        <v/>
      </c>
      <c r="J13352" t="str">
        <f>IFERROR(__xludf.DUMMYFUNCTION("IFS(
  AND(REGEXMATCH(E13352, ""台銀籌備帳戶|玉山帳戶""), REGEXMATCH(C13352, ""薪資"")), ""分潤支出"",
  AND(REGEXMATCH(E13352, ""Ben帳戶|Elsa帳戶|Ben代墊|Ariel代墊|中信銀行共用""), REGEXMATCH(F13352, ""Ben帳戶|Elsa帳戶|Ben代墊|Ariel代墊|中信銀行共用"")), ""內部轉帳(忽略)"",
  AND(E13352&lt;&gt;"""", F13352&lt;&gt;"&amp;""""", NOT(REGEXMATCH(C13352, ""薪資""))), ""內部轉帳(忽略)"",
  REGEXMATCH(C13352, ""薪資""), ""薪資變動(不計入)"",
  REGEXMATCH(C13352, ""押金""), ""押金往來"",
  AND(E13352&lt;&gt;"""", F13352=""""), ""真實支出"",
  AND(E13352="""", F13352&lt;&gt;""""), ""真實收入"",
  TRUE, ""其他""
)"),"其他")</f>
        <v>其他</v>
      </c>
      <c r="K13352" s="270" t="str">
        <f t="shared" si="2"/>
        <v/>
      </c>
      <c r="L13352">
        <f t="shared" si="3"/>
        <v>0</v>
      </c>
    </row>
    <row r="13353">
      <c r="A13353" s="107"/>
      <c r="D13353" s="270"/>
      <c r="H13353" s="106" t="str">
        <f t="shared" si="1"/>
        <v/>
      </c>
      <c r="J13353" t="str">
        <f>IFERROR(__xludf.DUMMYFUNCTION("IFS(
  AND(REGEXMATCH(E13353, ""台銀籌備帳戶|玉山帳戶""), REGEXMATCH(C13353, ""薪資"")), ""分潤支出"",
  AND(REGEXMATCH(E13353, ""Ben帳戶|Elsa帳戶|Ben代墊|Ariel代墊|中信銀行共用""), REGEXMATCH(F13353, ""Ben帳戶|Elsa帳戶|Ben代墊|Ariel代墊|中信銀行共用"")), ""內部轉帳(忽略)"",
  AND(E13353&lt;&gt;"""", F13353&lt;&gt;"&amp;""""", NOT(REGEXMATCH(C13353, ""薪資""))), ""內部轉帳(忽略)"",
  REGEXMATCH(C13353, ""薪資""), ""薪資變動(不計入)"",
  REGEXMATCH(C13353, ""押金""), ""押金往來"",
  AND(E13353&lt;&gt;"""", F13353=""""), ""真實支出"",
  AND(E13353="""", F13353&lt;&gt;""""), ""真實收入"",
  TRUE, ""其他""
)"),"其他")</f>
        <v>其他</v>
      </c>
      <c r="K13353" s="270" t="str">
        <f t="shared" si="2"/>
        <v/>
      </c>
      <c r="L13353">
        <f t="shared" si="3"/>
        <v>0</v>
      </c>
    </row>
    <row r="13354">
      <c r="A13354" s="107"/>
      <c r="D13354" s="270"/>
      <c r="H13354" s="106" t="str">
        <f t="shared" si="1"/>
        <v/>
      </c>
      <c r="J13354" t="str">
        <f>IFERROR(__xludf.DUMMYFUNCTION("IFS(
  AND(REGEXMATCH(E13354, ""台銀籌備帳戶|玉山帳戶""), REGEXMATCH(C13354, ""薪資"")), ""分潤支出"",
  AND(REGEXMATCH(E13354, ""Ben帳戶|Elsa帳戶|Ben代墊|Ariel代墊|中信銀行共用""), REGEXMATCH(F13354, ""Ben帳戶|Elsa帳戶|Ben代墊|Ariel代墊|中信銀行共用"")), ""內部轉帳(忽略)"",
  AND(E13354&lt;&gt;"""", F13354&lt;&gt;"&amp;""""", NOT(REGEXMATCH(C13354, ""薪資""))), ""內部轉帳(忽略)"",
  REGEXMATCH(C13354, ""薪資""), ""薪資變動(不計入)"",
  REGEXMATCH(C13354, ""押金""), ""押金往來"",
  AND(E13354&lt;&gt;"""", F13354=""""), ""真實支出"",
  AND(E13354="""", F13354&lt;&gt;""""), ""真實收入"",
  TRUE, ""其他""
)"),"其他")</f>
        <v>其他</v>
      </c>
      <c r="K13354" s="270" t="str">
        <f t="shared" si="2"/>
        <v/>
      </c>
      <c r="L13354">
        <f t="shared" si="3"/>
        <v>0</v>
      </c>
    </row>
    <row r="13355">
      <c r="A13355" s="107"/>
      <c r="D13355" s="270"/>
      <c r="H13355" s="106" t="str">
        <f t="shared" si="1"/>
        <v/>
      </c>
      <c r="J13355" t="str">
        <f>IFERROR(__xludf.DUMMYFUNCTION("IFS(
  AND(REGEXMATCH(E13355, ""台銀籌備帳戶|玉山帳戶""), REGEXMATCH(C13355, ""薪資"")), ""分潤支出"",
  AND(REGEXMATCH(E13355, ""Ben帳戶|Elsa帳戶|Ben代墊|Ariel代墊|中信銀行共用""), REGEXMATCH(F13355, ""Ben帳戶|Elsa帳戶|Ben代墊|Ariel代墊|中信銀行共用"")), ""內部轉帳(忽略)"",
  AND(E13355&lt;&gt;"""", F13355&lt;&gt;"&amp;""""", NOT(REGEXMATCH(C13355, ""薪資""))), ""內部轉帳(忽略)"",
  REGEXMATCH(C13355, ""薪資""), ""薪資變動(不計入)"",
  REGEXMATCH(C13355, ""押金""), ""押金往來"",
  AND(E13355&lt;&gt;"""", F13355=""""), ""真實支出"",
  AND(E13355="""", F13355&lt;&gt;""""), ""真實收入"",
  TRUE, ""其他""
)"),"其他")</f>
        <v>其他</v>
      </c>
      <c r="K13355" s="270" t="str">
        <f t="shared" si="2"/>
        <v/>
      </c>
      <c r="L13355">
        <f t="shared" si="3"/>
        <v>0</v>
      </c>
    </row>
    <row r="13356">
      <c r="A13356" s="107"/>
      <c r="D13356" s="270"/>
      <c r="H13356" s="106" t="str">
        <f t="shared" si="1"/>
        <v/>
      </c>
      <c r="J13356" t="str">
        <f>IFERROR(__xludf.DUMMYFUNCTION("IFS(
  AND(REGEXMATCH(E13356, ""台銀籌備帳戶|玉山帳戶""), REGEXMATCH(C13356, ""薪資"")), ""分潤支出"",
  AND(REGEXMATCH(E13356, ""Ben帳戶|Elsa帳戶|Ben代墊|Ariel代墊|中信銀行共用""), REGEXMATCH(F13356, ""Ben帳戶|Elsa帳戶|Ben代墊|Ariel代墊|中信銀行共用"")), ""內部轉帳(忽略)"",
  AND(E13356&lt;&gt;"""", F13356&lt;&gt;"&amp;""""", NOT(REGEXMATCH(C13356, ""薪資""))), ""內部轉帳(忽略)"",
  REGEXMATCH(C13356, ""薪資""), ""薪資變動(不計入)"",
  REGEXMATCH(C13356, ""押金""), ""押金往來"",
  AND(E13356&lt;&gt;"""", F13356=""""), ""真實支出"",
  AND(E13356="""", F13356&lt;&gt;""""), ""真實收入"",
  TRUE, ""其他""
)"),"其他")</f>
        <v>其他</v>
      </c>
      <c r="K13356" s="270" t="str">
        <f t="shared" si="2"/>
        <v/>
      </c>
      <c r="L13356">
        <f t="shared" si="3"/>
        <v>0</v>
      </c>
    </row>
    <row r="13357">
      <c r="A13357" s="107"/>
      <c r="D13357" s="270"/>
      <c r="H13357" s="106" t="str">
        <f t="shared" si="1"/>
        <v/>
      </c>
      <c r="J13357" t="str">
        <f>IFERROR(__xludf.DUMMYFUNCTION("IFS(
  AND(REGEXMATCH(E13357, ""台銀籌備帳戶|玉山帳戶""), REGEXMATCH(C13357, ""薪資"")), ""分潤支出"",
  AND(REGEXMATCH(E13357, ""Ben帳戶|Elsa帳戶|Ben代墊|Ariel代墊|中信銀行共用""), REGEXMATCH(F13357, ""Ben帳戶|Elsa帳戶|Ben代墊|Ariel代墊|中信銀行共用"")), ""內部轉帳(忽略)"",
  AND(E13357&lt;&gt;"""", F13357&lt;&gt;"&amp;""""", NOT(REGEXMATCH(C13357, ""薪資""))), ""內部轉帳(忽略)"",
  REGEXMATCH(C13357, ""薪資""), ""薪資變動(不計入)"",
  REGEXMATCH(C13357, ""押金""), ""押金往來"",
  AND(E13357&lt;&gt;"""", F13357=""""), ""真實支出"",
  AND(E13357="""", F13357&lt;&gt;""""), ""真實收入"",
  TRUE, ""其他""
)"),"其他")</f>
        <v>其他</v>
      </c>
      <c r="K13357" s="270" t="str">
        <f t="shared" si="2"/>
        <v/>
      </c>
      <c r="L13357">
        <f t="shared" si="3"/>
        <v>0</v>
      </c>
    </row>
    <row r="13358">
      <c r="A13358" s="107"/>
      <c r="D13358" s="270"/>
      <c r="H13358" s="106" t="str">
        <f t="shared" si="1"/>
        <v/>
      </c>
      <c r="J13358" t="str">
        <f>IFERROR(__xludf.DUMMYFUNCTION("IFS(
  AND(REGEXMATCH(E13358, ""台銀籌備帳戶|玉山帳戶""), REGEXMATCH(C13358, ""薪資"")), ""分潤支出"",
  AND(REGEXMATCH(E13358, ""Ben帳戶|Elsa帳戶|Ben代墊|Ariel代墊|中信銀行共用""), REGEXMATCH(F13358, ""Ben帳戶|Elsa帳戶|Ben代墊|Ariel代墊|中信銀行共用"")), ""內部轉帳(忽略)"",
  AND(E13358&lt;&gt;"""", F13358&lt;&gt;"&amp;""""", NOT(REGEXMATCH(C13358, ""薪資""))), ""內部轉帳(忽略)"",
  REGEXMATCH(C13358, ""薪資""), ""薪資變動(不計入)"",
  REGEXMATCH(C13358, ""押金""), ""押金往來"",
  AND(E13358&lt;&gt;"""", F13358=""""), ""真實支出"",
  AND(E13358="""", F13358&lt;&gt;""""), ""真實收入"",
  TRUE, ""其他""
)"),"其他")</f>
        <v>其他</v>
      </c>
      <c r="K13358" s="270" t="str">
        <f t="shared" si="2"/>
        <v/>
      </c>
      <c r="L13358">
        <f t="shared" si="3"/>
        <v>0</v>
      </c>
    </row>
    <row r="13359">
      <c r="A13359" s="107"/>
      <c r="D13359" s="270"/>
      <c r="H13359" s="106" t="str">
        <f t="shared" si="1"/>
        <v/>
      </c>
      <c r="J13359" t="str">
        <f>IFERROR(__xludf.DUMMYFUNCTION("IFS(
  AND(REGEXMATCH(E13359, ""台銀籌備帳戶|玉山帳戶""), REGEXMATCH(C13359, ""薪資"")), ""分潤支出"",
  AND(REGEXMATCH(E13359, ""Ben帳戶|Elsa帳戶|Ben代墊|Ariel代墊|中信銀行共用""), REGEXMATCH(F13359, ""Ben帳戶|Elsa帳戶|Ben代墊|Ariel代墊|中信銀行共用"")), ""內部轉帳(忽略)"",
  AND(E13359&lt;&gt;"""", F13359&lt;&gt;"&amp;""""", NOT(REGEXMATCH(C13359, ""薪資""))), ""內部轉帳(忽略)"",
  REGEXMATCH(C13359, ""薪資""), ""薪資變動(不計入)"",
  REGEXMATCH(C13359, ""押金""), ""押金往來"",
  AND(E13359&lt;&gt;"""", F13359=""""), ""真實支出"",
  AND(E13359="""", F13359&lt;&gt;""""), ""真實收入"",
  TRUE, ""其他""
)"),"其他")</f>
        <v>其他</v>
      </c>
      <c r="K13359" s="270" t="str">
        <f t="shared" si="2"/>
        <v/>
      </c>
      <c r="L13359">
        <f t="shared" si="3"/>
        <v>0</v>
      </c>
    </row>
    <row r="13360">
      <c r="A13360" s="107"/>
      <c r="D13360" s="270"/>
      <c r="H13360" s="106" t="str">
        <f t="shared" si="1"/>
        <v/>
      </c>
      <c r="J13360" t="str">
        <f>IFERROR(__xludf.DUMMYFUNCTION("IFS(
  AND(REGEXMATCH(E13360, ""台銀籌備帳戶|玉山帳戶""), REGEXMATCH(C13360, ""薪資"")), ""分潤支出"",
  AND(REGEXMATCH(E13360, ""Ben帳戶|Elsa帳戶|Ben代墊|Ariel代墊|中信銀行共用""), REGEXMATCH(F13360, ""Ben帳戶|Elsa帳戶|Ben代墊|Ariel代墊|中信銀行共用"")), ""內部轉帳(忽略)"",
  AND(E13360&lt;&gt;"""", F13360&lt;&gt;"&amp;""""", NOT(REGEXMATCH(C13360, ""薪資""))), ""內部轉帳(忽略)"",
  REGEXMATCH(C13360, ""薪資""), ""薪資變動(不計入)"",
  REGEXMATCH(C13360, ""押金""), ""押金往來"",
  AND(E13360&lt;&gt;"""", F13360=""""), ""真實支出"",
  AND(E13360="""", F13360&lt;&gt;""""), ""真實收入"",
  TRUE, ""其他""
)"),"其他")</f>
        <v>其他</v>
      </c>
      <c r="K13360" s="270" t="str">
        <f t="shared" si="2"/>
        <v/>
      </c>
      <c r="L13360">
        <f t="shared" si="3"/>
        <v>0</v>
      </c>
    </row>
    <row r="13361">
      <c r="A13361" s="107"/>
      <c r="D13361" s="270"/>
      <c r="H13361" s="106" t="str">
        <f t="shared" si="1"/>
        <v/>
      </c>
      <c r="J13361" t="str">
        <f>IFERROR(__xludf.DUMMYFUNCTION("IFS(
  AND(REGEXMATCH(E13361, ""台銀籌備帳戶|玉山帳戶""), REGEXMATCH(C13361, ""薪資"")), ""分潤支出"",
  AND(REGEXMATCH(E13361, ""Ben帳戶|Elsa帳戶|Ben代墊|Ariel代墊|中信銀行共用""), REGEXMATCH(F13361, ""Ben帳戶|Elsa帳戶|Ben代墊|Ariel代墊|中信銀行共用"")), ""內部轉帳(忽略)"",
  AND(E13361&lt;&gt;"""", F13361&lt;&gt;"&amp;""""", NOT(REGEXMATCH(C13361, ""薪資""))), ""內部轉帳(忽略)"",
  REGEXMATCH(C13361, ""薪資""), ""薪資變動(不計入)"",
  REGEXMATCH(C13361, ""押金""), ""押金往來"",
  AND(E13361&lt;&gt;"""", F13361=""""), ""真實支出"",
  AND(E13361="""", F13361&lt;&gt;""""), ""真實收入"",
  TRUE, ""其他""
)"),"其他")</f>
        <v>其他</v>
      </c>
      <c r="K13361" s="270" t="str">
        <f t="shared" si="2"/>
        <v/>
      </c>
      <c r="L13361">
        <f t="shared" si="3"/>
        <v>0</v>
      </c>
    </row>
    <row r="13362">
      <c r="A13362" s="107"/>
      <c r="D13362" s="270"/>
      <c r="H13362" s="106" t="str">
        <f t="shared" si="1"/>
        <v/>
      </c>
      <c r="J13362" t="str">
        <f>IFERROR(__xludf.DUMMYFUNCTION("IFS(
  AND(REGEXMATCH(E13362, ""台銀籌備帳戶|玉山帳戶""), REGEXMATCH(C13362, ""薪資"")), ""分潤支出"",
  AND(REGEXMATCH(E13362, ""Ben帳戶|Elsa帳戶|Ben代墊|Ariel代墊|中信銀行共用""), REGEXMATCH(F13362, ""Ben帳戶|Elsa帳戶|Ben代墊|Ariel代墊|中信銀行共用"")), ""內部轉帳(忽略)"",
  AND(E13362&lt;&gt;"""", F13362&lt;&gt;"&amp;""""", NOT(REGEXMATCH(C13362, ""薪資""))), ""內部轉帳(忽略)"",
  REGEXMATCH(C13362, ""薪資""), ""薪資變動(不計入)"",
  REGEXMATCH(C13362, ""押金""), ""押金往來"",
  AND(E13362&lt;&gt;"""", F13362=""""), ""真實支出"",
  AND(E13362="""", F13362&lt;&gt;""""), ""真實收入"",
  TRUE, ""其他""
)"),"其他")</f>
        <v>其他</v>
      </c>
      <c r="K13362" s="270" t="str">
        <f t="shared" si="2"/>
        <v/>
      </c>
      <c r="L13362">
        <f t="shared" si="3"/>
        <v>0</v>
      </c>
    </row>
    <row r="13363">
      <c r="A13363" s="107"/>
      <c r="D13363" s="270"/>
      <c r="H13363" s="106" t="str">
        <f t="shared" si="1"/>
        <v/>
      </c>
      <c r="J13363" t="str">
        <f>IFERROR(__xludf.DUMMYFUNCTION("IFS(
  AND(REGEXMATCH(E13363, ""台銀籌備帳戶|玉山帳戶""), REGEXMATCH(C13363, ""薪資"")), ""分潤支出"",
  AND(REGEXMATCH(E13363, ""Ben帳戶|Elsa帳戶|Ben代墊|Ariel代墊|中信銀行共用""), REGEXMATCH(F13363, ""Ben帳戶|Elsa帳戶|Ben代墊|Ariel代墊|中信銀行共用"")), ""內部轉帳(忽略)"",
  AND(E13363&lt;&gt;"""", F13363&lt;&gt;"&amp;""""", NOT(REGEXMATCH(C13363, ""薪資""))), ""內部轉帳(忽略)"",
  REGEXMATCH(C13363, ""薪資""), ""薪資變動(不計入)"",
  REGEXMATCH(C13363, ""押金""), ""押金往來"",
  AND(E13363&lt;&gt;"""", F13363=""""), ""真實支出"",
  AND(E13363="""", F13363&lt;&gt;""""), ""真實收入"",
  TRUE, ""其他""
)"),"其他")</f>
        <v>其他</v>
      </c>
      <c r="K13363" s="270" t="str">
        <f t="shared" si="2"/>
        <v/>
      </c>
      <c r="L13363">
        <f t="shared" si="3"/>
        <v>0</v>
      </c>
    </row>
    <row r="13364">
      <c r="A13364" s="107"/>
      <c r="D13364" s="270"/>
      <c r="H13364" s="106" t="str">
        <f t="shared" si="1"/>
        <v/>
      </c>
      <c r="J13364" t="str">
        <f>IFERROR(__xludf.DUMMYFUNCTION("IFS(
  AND(REGEXMATCH(E13364, ""台銀籌備帳戶|玉山帳戶""), REGEXMATCH(C13364, ""薪資"")), ""分潤支出"",
  AND(REGEXMATCH(E13364, ""Ben帳戶|Elsa帳戶|Ben代墊|Ariel代墊|中信銀行共用""), REGEXMATCH(F13364, ""Ben帳戶|Elsa帳戶|Ben代墊|Ariel代墊|中信銀行共用"")), ""內部轉帳(忽略)"",
  AND(E13364&lt;&gt;"""", F13364&lt;&gt;"&amp;""""", NOT(REGEXMATCH(C13364, ""薪資""))), ""內部轉帳(忽略)"",
  REGEXMATCH(C13364, ""薪資""), ""薪資變動(不計入)"",
  REGEXMATCH(C13364, ""押金""), ""押金往來"",
  AND(E13364&lt;&gt;"""", F13364=""""), ""真實支出"",
  AND(E13364="""", F13364&lt;&gt;""""), ""真實收入"",
  TRUE, ""其他""
)"),"其他")</f>
        <v>其他</v>
      </c>
      <c r="K13364" s="270" t="str">
        <f t="shared" si="2"/>
        <v/>
      </c>
      <c r="L13364">
        <f t="shared" si="3"/>
        <v>0</v>
      </c>
    </row>
    <row r="13365">
      <c r="A13365" s="107"/>
      <c r="D13365" s="270"/>
      <c r="H13365" s="106" t="str">
        <f t="shared" si="1"/>
        <v/>
      </c>
      <c r="J13365" t="str">
        <f>IFERROR(__xludf.DUMMYFUNCTION("IFS(
  AND(REGEXMATCH(E13365, ""台銀籌備帳戶|玉山帳戶""), REGEXMATCH(C13365, ""薪資"")), ""分潤支出"",
  AND(REGEXMATCH(E13365, ""Ben帳戶|Elsa帳戶|Ben代墊|Ariel代墊|中信銀行共用""), REGEXMATCH(F13365, ""Ben帳戶|Elsa帳戶|Ben代墊|Ariel代墊|中信銀行共用"")), ""內部轉帳(忽略)"",
  AND(E13365&lt;&gt;"""", F13365&lt;&gt;"&amp;""""", NOT(REGEXMATCH(C13365, ""薪資""))), ""內部轉帳(忽略)"",
  REGEXMATCH(C13365, ""薪資""), ""薪資變動(不計入)"",
  REGEXMATCH(C13365, ""押金""), ""押金往來"",
  AND(E13365&lt;&gt;"""", F13365=""""), ""真實支出"",
  AND(E13365="""", F13365&lt;&gt;""""), ""真實收入"",
  TRUE, ""其他""
)"),"其他")</f>
        <v>其他</v>
      </c>
      <c r="K13365" s="270" t="str">
        <f t="shared" si="2"/>
        <v/>
      </c>
      <c r="L13365">
        <f t="shared" si="3"/>
        <v>0</v>
      </c>
    </row>
    <row r="13366">
      <c r="A13366" s="107"/>
      <c r="D13366" s="270"/>
      <c r="H13366" s="106" t="str">
        <f t="shared" si="1"/>
        <v/>
      </c>
      <c r="J13366" t="str">
        <f>IFERROR(__xludf.DUMMYFUNCTION("IFS(
  AND(REGEXMATCH(E13366, ""台銀籌備帳戶|玉山帳戶""), REGEXMATCH(C13366, ""薪資"")), ""分潤支出"",
  AND(REGEXMATCH(E13366, ""Ben帳戶|Elsa帳戶|Ben代墊|Ariel代墊|中信銀行共用""), REGEXMATCH(F13366, ""Ben帳戶|Elsa帳戶|Ben代墊|Ariel代墊|中信銀行共用"")), ""內部轉帳(忽略)"",
  AND(E13366&lt;&gt;"""", F13366&lt;&gt;"&amp;""""", NOT(REGEXMATCH(C13366, ""薪資""))), ""內部轉帳(忽略)"",
  REGEXMATCH(C13366, ""薪資""), ""薪資變動(不計入)"",
  REGEXMATCH(C13366, ""押金""), ""押金往來"",
  AND(E13366&lt;&gt;"""", F13366=""""), ""真實支出"",
  AND(E13366="""", F13366&lt;&gt;""""), ""真實收入"",
  TRUE, ""其他""
)"),"其他")</f>
        <v>其他</v>
      </c>
      <c r="K13366" s="270" t="str">
        <f t="shared" si="2"/>
        <v/>
      </c>
      <c r="L13366">
        <f t="shared" si="3"/>
        <v>0</v>
      </c>
    </row>
    <row r="13367">
      <c r="A13367" s="107"/>
      <c r="D13367" s="270"/>
      <c r="H13367" s="106" t="str">
        <f t="shared" si="1"/>
        <v/>
      </c>
      <c r="J13367" t="str">
        <f>IFERROR(__xludf.DUMMYFUNCTION("IFS(
  AND(REGEXMATCH(E13367, ""台銀籌備帳戶|玉山帳戶""), REGEXMATCH(C13367, ""薪資"")), ""分潤支出"",
  AND(REGEXMATCH(E13367, ""Ben帳戶|Elsa帳戶|Ben代墊|Ariel代墊|中信銀行共用""), REGEXMATCH(F13367, ""Ben帳戶|Elsa帳戶|Ben代墊|Ariel代墊|中信銀行共用"")), ""內部轉帳(忽略)"",
  AND(E13367&lt;&gt;"""", F13367&lt;&gt;"&amp;""""", NOT(REGEXMATCH(C13367, ""薪資""))), ""內部轉帳(忽略)"",
  REGEXMATCH(C13367, ""薪資""), ""薪資變動(不計入)"",
  REGEXMATCH(C13367, ""押金""), ""押金往來"",
  AND(E13367&lt;&gt;"""", F13367=""""), ""真實支出"",
  AND(E13367="""", F13367&lt;&gt;""""), ""真實收入"",
  TRUE, ""其他""
)"),"其他")</f>
        <v>其他</v>
      </c>
      <c r="K13367" s="270" t="str">
        <f t="shared" si="2"/>
        <v/>
      </c>
      <c r="L13367">
        <f t="shared" si="3"/>
        <v>0</v>
      </c>
    </row>
    <row r="13368">
      <c r="A13368" s="107"/>
      <c r="D13368" s="270"/>
      <c r="H13368" s="106" t="str">
        <f t="shared" si="1"/>
        <v/>
      </c>
      <c r="J13368" t="str">
        <f>IFERROR(__xludf.DUMMYFUNCTION("IFS(
  AND(REGEXMATCH(E13368, ""台銀籌備帳戶|玉山帳戶""), REGEXMATCH(C13368, ""薪資"")), ""分潤支出"",
  AND(REGEXMATCH(E13368, ""Ben帳戶|Elsa帳戶|Ben代墊|Ariel代墊|中信銀行共用""), REGEXMATCH(F13368, ""Ben帳戶|Elsa帳戶|Ben代墊|Ariel代墊|中信銀行共用"")), ""內部轉帳(忽略)"",
  AND(E13368&lt;&gt;"""", F13368&lt;&gt;"&amp;""""", NOT(REGEXMATCH(C13368, ""薪資""))), ""內部轉帳(忽略)"",
  REGEXMATCH(C13368, ""薪資""), ""薪資變動(不計入)"",
  REGEXMATCH(C13368, ""押金""), ""押金往來"",
  AND(E13368&lt;&gt;"""", F13368=""""), ""真實支出"",
  AND(E13368="""", F13368&lt;&gt;""""), ""真實收入"",
  TRUE, ""其他""
)"),"其他")</f>
        <v>其他</v>
      </c>
      <c r="K13368" s="270" t="str">
        <f t="shared" si="2"/>
        <v/>
      </c>
      <c r="L13368">
        <f t="shared" si="3"/>
        <v>0</v>
      </c>
    </row>
    <row r="13369">
      <c r="A13369" s="107"/>
      <c r="D13369" s="270"/>
      <c r="H13369" s="106" t="str">
        <f t="shared" si="1"/>
        <v/>
      </c>
      <c r="J13369" t="str">
        <f>IFERROR(__xludf.DUMMYFUNCTION("IFS(
  AND(REGEXMATCH(E13369, ""台銀籌備帳戶|玉山帳戶""), REGEXMATCH(C13369, ""薪資"")), ""分潤支出"",
  AND(REGEXMATCH(E13369, ""Ben帳戶|Elsa帳戶|Ben代墊|Ariel代墊|中信銀行共用""), REGEXMATCH(F13369, ""Ben帳戶|Elsa帳戶|Ben代墊|Ariel代墊|中信銀行共用"")), ""內部轉帳(忽略)"",
  AND(E13369&lt;&gt;"""", F13369&lt;&gt;"&amp;""""", NOT(REGEXMATCH(C13369, ""薪資""))), ""內部轉帳(忽略)"",
  REGEXMATCH(C13369, ""薪資""), ""薪資變動(不計入)"",
  REGEXMATCH(C13369, ""押金""), ""押金往來"",
  AND(E13369&lt;&gt;"""", F13369=""""), ""真實支出"",
  AND(E13369="""", F13369&lt;&gt;""""), ""真實收入"",
  TRUE, ""其他""
)"),"其他")</f>
        <v>其他</v>
      </c>
      <c r="K13369" s="270" t="str">
        <f t="shared" si="2"/>
        <v/>
      </c>
      <c r="L13369">
        <f t="shared" si="3"/>
        <v>0</v>
      </c>
    </row>
    <row r="13370">
      <c r="A13370" s="107"/>
      <c r="D13370" s="270"/>
      <c r="H13370" s="106" t="str">
        <f t="shared" si="1"/>
        <v/>
      </c>
      <c r="J13370" t="str">
        <f>IFERROR(__xludf.DUMMYFUNCTION("IFS(
  AND(REGEXMATCH(E13370, ""台銀籌備帳戶|玉山帳戶""), REGEXMATCH(C13370, ""薪資"")), ""分潤支出"",
  AND(REGEXMATCH(E13370, ""Ben帳戶|Elsa帳戶|Ben代墊|Ariel代墊|中信銀行共用""), REGEXMATCH(F13370, ""Ben帳戶|Elsa帳戶|Ben代墊|Ariel代墊|中信銀行共用"")), ""內部轉帳(忽略)"",
  AND(E13370&lt;&gt;"""", F13370&lt;&gt;"&amp;""""", NOT(REGEXMATCH(C13370, ""薪資""))), ""內部轉帳(忽略)"",
  REGEXMATCH(C13370, ""薪資""), ""薪資變動(不計入)"",
  REGEXMATCH(C13370, ""押金""), ""押金往來"",
  AND(E13370&lt;&gt;"""", F13370=""""), ""真實支出"",
  AND(E13370="""", F13370&lt;&gt;""""), ""真實收入"",
  TRUE, ""其他""
)"),"其他")</f>
        <v>其他</v>
      </c>
      <c r="K13370" s="270" t="str">
        <f t="shared" si="2"/>
        <v/>
      </c>
      <c r="L13370">
        <f t="shared" si="3"/>
        <v>0</v>
      </c>
    </row>
    <row r="13371">
      <c r="A13371" s="107"/>
      <c r="D13371" s="270"/>
      <c r="H13371" s="106" t="str">
        <f t="shared" si="1"/>
        <v/>
      </c>
      <c r="J13371" t="str">
        <f>IFERROR(__xludf.DUMMYFUNCTION("IFS(
  AND(REGEXMATCH(E13371, ""台銀籌備帳戶|玉山帳戶""), REGEXMATCH(C13371, ""薪資"")), ""分潤支出"",
  AND(REGEXMATCH(E13371, ""Ben帳戶|Elsa帳戶|Ben代墊|Ariel代墊|中信銀行共用""), REGEXMATCH(F13371, ""Ben帳戶|Elsa帳戶|Ben代墊|Ariel代墊|中信銀行共用"")), ""內部轉帳(忽略)"",
  AND(E13371&lt;&gt;"""", F13371&lt;&gt;"&amp;""""", NOT(REGEXMATCH(C13371, ""薪資""))), ""內部轉帳(忽略)"",
  REGEXMATCH(C13371, ""薪資""), ""薪資變動(不計入)"",
  REGEXMATCH(C13371, ""押金""), ""押金往來"",
  AND(E13371&lt;&gt;"""", F13371=""""), ""真實支出"",
  AND(E13371="""", F13371&lt;&gt;""""), ""真實收入"",
  TRUE, ""其他""
)"),"其他")</f>
        <v>其他</v>
      </c>
      <c r="K13371" s="270" t="str">
        <f t="shared" si="2"/>
        <v/>
      </c>
      <c r="L13371">
        <f t="shared" si="3"/>
        <v>0</v>
      </c>
    </row>
    <row r="13372">
      <c r="A13372" s="107"/>
      <c r="D13372" s="270"/>
      <c r="H13372" s="106" t="str">
        <f t="shared" si="1"/>
        <v/>
      </c>
      <c r="J13372" t="str">
        <f>IFERROR(__xludf.DUMMYFUNCTION("IFS(
  AND(REGEXMATCH(E13372, ""台銀籌備帳戶|玉山帳戶""), REGEXMATCH(C13372, ""薪資"")), ""分潤支出"",
  AND(REGEXMATCH(E13372, ""Ben帳戶|Elsa帳戶|Ben代墊|Ariel代墊|中信銀行共用""), REGEXMATCH(F13372, ""Ben帳戶|Elsa帳戶|Ben代墊|Ariel代墊|中信銀行共用"")), ""內部轉帳(忽略)"",
  AND(E13372&lt;&gt;"""", F13372&lt;&gt;"&amp;""""", NOT(REGEXMATCH(C13372, ""薪資""))), ""內部轉帳(忽略)"",
  REGEXMATCH(C13372, ""薪資""), ""薪資變動(不計入)"",
  REGEXMATCH(C13372, ""押金""), ""押金往來"",
  AND(E13372&lt;&gt;"""", F13372=""""), ""真實支出"",
  AND(E13372="""", F13372&lt;&gt;""""), ""真實收入"",
  TRUE, ""其他""
)"),"其他")</f>
        <v>其他</v>
      </c>
      <c r="K13372" s="270" t="str">
        <f t="shared" si="2"/>
        <v/>
      </c>
      <c r="L13372">
        <f t="shared" si="3"/>
        <v>0</v>
      </c>
    </row>
    <row r="13373">
      <c r="A13373" s="107"/>
      <c r="D13373" s="270"/>
      <c r="H13373" s="106" t="str">
        <f t="shared" si="1"/>
        <v/>
      </c>
      <c r="J13373" t="str">
        <f>IFERROR(__xludf.DUMMYFUNCTION("IFS(
  AND(REGEXMATCH(E13373, ""台銀籌備帳戶|玉山帳戶""), REGEXMATCH(C13373, ""薪資"")), ""分潤支出"",
  AND(REGEXMATCH(E13373, ""Ben帳戶|Elsa帳戶|Ben代墊|Ariel代墊|中信銀行共用""), REGEXMATCH(F13373, ""Ben帳戶|Elsa帳戶|Ben代墊|Ariel代墊|中信銀行共用"")), ""內部轉帳(忽略)"",
  AND(E13373&lt;&gt;"""", F13373&lt;&gt;"&amp;""""", NOT(REGEXMATCH(C13373, ""薪資""))), ""內部轉帳(忽略)"",
  REGEXMATCH(C13373, ""薪資""), ""薪資變動(不計入)"",
  REGEXMATCH(C13373, ""押金""), ""押金往來"",
  AND(E13373&lt;&gt;"""", F13373=""""), ""真實支出"",
  AND(E13373="""", F13373&lt;&gt;""""), ""真實收入"",
  TRUE, ""其他""
)"),"其他")</f>
        <v>其他</v>
      </c>
      <c r="K13373" s="270" t="str">
        <f t="shared" si="2"/>
        <v/>
      </c>
      <c r="L13373">
        <f t="shared" si="3"/>
        <v>0</v>
      </c>
    </row>
    <row r="13374">
      <c r="A13374" s="107"/>
      <c r="D13374" s="270"/>
      <c r="H13374" s="106" t="str">
        <f t="shared" si="1"/>
        <v/>
      </c>
      <c r="J13374" t="str">
        <f>IFERROR(__xludf.DUMMYFUNCTION("IFS(
  AND(REGEXMATCH(E13374, ""台銀籌備帳戶|玉山帳戶""), REGEXMATCH(C13374, ""薪資"")), ""分潤支出"",
  AND(REGEXMATCH(E13374, ""Ben帳戶|Elsa帳戶|Ben代墊|Ariel代墊|中信銀行共用""), REGEXMATCH(F13374, ""Ben帳戶|Elsa帳戶|Ben代墊|Ariel代墊|中信銀行共用"")), ""內部轉帳(忽略)"",
  AND(E13374&lt;&gt;"""", F13374&lt;&gt;"&amp;""""", NOT(REGEXMATCH(C13374, ""薪資""))), ""內部轉帳(忽略)"",
  REGEXMATCH(C13374, ""薪資""), ""薪資變動(不計入)"",
  REGEXMATCH(C13374, ""押金""), ""押金往來"",
  AND(E13374&lt;&gt;"""", F13374=""""), ""真實支出"",
  AND(E13374="""", F13374&lt;&gt;""""), ""真實收入"",
  TRUE, ""其他""
)"),"其他")</f>
        <v>其他</v>
      </c>
      <c r="K13374" s="270" t="str">
        <f t="shared" si="2"/>
        <v/>
      </c>
      <c r="L13374">
        <f t="shared" si="3"/>
        <v>0</v>
      </c>
    </row>
    <row r="13375">
      <c r="A13375" s="107"/>
      <c r="D13375" s="270"/>
      <c r="H13375" s="106" t="str">
        <f t="shared" si="1"/>
        <v/>
      </c>
      <c r="J13375" t="str">
        <f>IFERROR(__xludf.DUMMYFUNCTION("IFS(
  AND(REGEXMATCH(E13375, ""台銀籌備帳戶|玉山帳戶""), REGEXMATCH(C13375, ""薪資"")), ""分潤支出"",
  AND(REGEXMATCH(E13375, ""Ben帳戶|Elsa帳戶|Ben代墊|Ariel代墊|中信銀行共用""), REGEXMATCH(F13375, ""Ben帳戶|Elsa帳戶|Ben代墊|Ariel代墊|中信銀行共用"")), ""內部轉帳(忽略)"",
  AND(E13375&lt;&gt;"""", F13375&lt;&gt;"&amp;""""", NOT(REGEXMATCH(C13375, ""薪資""))), ""內部轉帳(忽略)"",
  REGEXMATCH(C13375, ""薪資""), ""薪資變動(不計入)"",
  REGEXMATCH(C13375, ""押金""), ""押金往來"",
  AND(E13375&lt;&gt;"""", F13375=""""), ""真實支出"",
  AND(E13375="""", F13375&lt;&gt;""""), ""真實收入"",
  TRUE, ""其他""
)"),"其他")</f>
        <v>其他</v>
      </c>
      <c r="K13375" s="270" t="str">
        <f t="shared" si="2"/>
        <v/>
      </c>
      <c r="L13375">
        <f t="shared" si="3"/>
        <v>0</v>
      </c>
    </row>
    <row r="13376">
      <c r="A13376" s="107"/>
      <c r="D13376" s="270"/>
      <c r="H13376" s="106" t="str">
        <f t="shared" si="1"/>
        <v/>
      </c>
      <c r="J13376" t="str">
        <f>IFERROR(__xludf.DUMMYFUNCTION("IFS(
  AND(REGEXMATCH(E13376, ""台銀籌備帳戶|玉山帳戶""), REGEXMATCH(C13376, ""薪資"")), ""分潤支出"",
  AND(REGEXMATCH(E13376, ""Ben帳戶|Elsa帳戶|Ben代墊|Ariel代墊|中信銀行共用""), REGEXMATCH(F13376, ""Ben帳戶|Elsa帳戶|Ben代墊|Ariel代墊|中信銀行共用"")), ""內部轉帳(忽略)"",
  AND(E13376&lt;&gt;"""", F13376&lt;&gt;"&amp;""""", NOT(REGEXMATCH(C13376, ""薪資""))), ""內部轉帳(忽略)"",
  REGEXMATCH(C13376, ""薪資""), ""薪資變動(不計入)"",
  REGEXMATCH(C13376, ""押金""), ""押金往來"",
  AND(E13376&lt;&gt;"""", F13376=""""), ""真實支出"",
  AND(E13376="""", F13376&lt;&gt;""""), ""真實收入"",
  TRUE, ""其他""
)"),"其他")</f>
        <v>其他</v>
      </c>
      <c r="K13376" s="270" t="str">
        <f t="shared" si="2"/>
        <v/>
      </c>
      <c r="L13376">
        <f t="shared" si="3"/>
        <v>0</v>
      </c>
    </row>
    <row r="13377">
      <c r="A13377" s="107"/>
      <c r="D13377" s="270"/>
      <c r="H13377" s="106" t="str">
        <f t="shared" si="1"/>
        <v/>
      </c>
      <c r="J13377" t="str">
        <f>IFERROR(__xludf.DUMMYFUNCTION("IFS(
  AND(REGEXMATCH(E13377, ""台銀籌備帳戶|玉山帳戶""), REGEXMATCH(C13377, ""薪資"")), ""分潤支出"",
  AND(REGEXMATCH(E13377, ""Ben帳戶|Elsa帳戶|Ben代墊|Ariel代墊|中信銀行共用""), REGEXMATCH(F13377, ""Ben帳戶|Elsa帳戶|Ben代墊|Ariel代墊|中信銀行共用"")), ""內部轉帳(忽略)"",
  AND(E13377&lt;&gt;"""", F13377&lt;&gt;"&amp;""""", NOT(REGEXMATCH(C13377, ""薪資""))), ""內部轉帳(忽略)"",
  REGEXMATCH(C13377, ""薪資""), ""薪資變動(不計入)"",
  REGEXMATCH(C13377, ""押金""), ""押金往來"",
  AND(E13377&lt;&gt;"""", F13377=""""), ""真實支出"",
  AND(E13377="""", F13377&lt;&gt;""""), ""真實收入"",
  TRUE, ""其他""
)"),"其他")</f>
        <v>其他</v>
      </c>
      <c r="K13377" s="270" t="str">
        <f t="shared" si="2"/>
        <v/>
      </c>
      <c r="L13377">
        <f t="shared" si="3"/>
        <v>0</v>
      </c>
    </row>
    <row r="13378">
      <c r="A13378" s="107"/>
      <c r="D13378" s="270"/>
      <c r="H13378" s="106" t="str">
        <f t="shared" si="1"/>
        <v/>
      </c>
      <c r="J13378" t="str">
        <f>IFERROR(__xludf.DUMMYFUNCTION("IFS(
  AND(REGEXMATCH(E13378, ""台銀籌備帳戶|玉山帳戶""), REGEXMATCH(C13378, ""薪資"")), ""分潤支出"",
  AND(REGEXMATCH(E13378, ""Ben帳戶|Elsa帳戶|Ben代墊|Ariel代墊|中信銀行共用""), REGEXMATCH(F13378, ""Ben帳戶|Elsa帳戶|Ben代墊|Ariel代墊|中信銀行共用"")), ""內部轉帳(忽略)"",
  AND(E13378&lt;&gt;"""", F13378&lt;&gt;"&amp;""""", NOT(REGEXMATCH(C13378, ""薪資""))), ""內部轉帳(忽略)"",
  REGEXMATCH(C13378, ""薪資""), ""薪資變動(不計入)"",
  REGEXMATCH(C13378, ""押金""), ""押金往來"",
  AND(E13378&lt;&gt;"""", F13378=""""), ""真實支出"",
  AND(E13378="""", F13378&lt;&gt;""""), ""真實收入"",
  TRUE, ""其他""
)"),"其他")</f>
        <v>其他</v>
      </c>
      <c r="K13378" s="270" t="str">
        <f t="shared" si="2"/>
        <v/>
      </c>
      <c r="L13378">
        <f t="shared" si="3"/>
        <v>0</v>
      </c>
    </row>
    <row r="13379">
      <c r="A13379" s="107"/>
      <c r="D13379" s="270"/>
      <c r="H13379" s="106" t="str">
        <f t="shared" si="1"/>
        <v/>
      </c>
      <c r="J13379" t="str">
        <f>IFERROR(__xludf.DUMMYFUNCTION("IFS(
  AND(REGEXMATCH(E13379, ""台銀籌備帳戶|玉山帳戶""), REGEXMATCH(C13379, ""薪資"")), ""分潤支出"",
  AND(REGEXMATCH(E13379, ""Ben帳戶|Elsa帳戶|Ben代墊|Ariel代墊|中信銀行共用""), REGEXMATCH(F13379, ""Ben帳戶|Elsa帳戶|Ben代墊|Ariel代墊|中信銀行共用"")), ""內部轉帳(忽略)"",
  AND(E13379&lt;&gt;"""", F13379&lt;&gt;"&amp;""""", NOT(REGEXMATCH(C13379, ""薪資""))), ""內部轉帳(忽略)"",
  REGEXMATCH(C13379, ""薪資""), ""薪資變動(不計入)"",
  REGEXMATCH(C13379, ""押金""), ""押金往來"",
  AND(E13379&lt;&gt;"""", F13379=""""), ""真實支出"",
  AND(E13379="""", F13379&lt;&gt;""""), ""真實收入"",
  TRUE, ""其他""
)"),"其他")</f>
        <v>其他</v>
      </c>
      <c r="K13379" s="270" t="str">
        <f t="shared" si="2"/>
        <v/>
      </c>
      <c r="L13379">
        <f t="shared" si="3"/>
        <v>0</v>
      </c>
    </row>
    <row r="13380">
      <c r="A13380" s="107"/>
      <c r="D13380" s="270"/>
      <c r="H13380" s="106" t="str">
        <f t="shared" si="1"/>
        <v/>
      </c>
      <c r="J13380" t="str">
        <f>IFERROR(__xludf.DUMMYFUNCTION("IFS(
  AND(REGEXMATCH(E13380, ""台銀籌備帳戶|玉山帳戶""), REGEXMATCH(C13380, ""薪資"")), ""分潤支出"",
  AND(REGEXMATCH(E13380, ""Ben帳戶|Elsa帳戶|Ben代墊|Ariel代墊|中信銀行共用""), REGEXMATCH(F13380, ""Ben帳戶|Elsa帳戶|Ben代墊|Ariel代墊|中信銀行共用"")), ""內部轉帳(忽略)"",
  AND(E13380&lt;&gt;"""", F13380&lt;&gt;"&amp;""""", NOT(REGEXMATCH(C13380, ""薪資""))), ""內部轉帳(忽略)"",
  REGEXMATCH(C13380, ""薪資""), ""薪資變動(不計入)"",
  REGEXMATCH(C13380, ""押金""), ""押金往來"",
  AND(E13380&lt;&gt;"""", F13380=""""), ""真實支出"",
  AND(E13380="""", F13380&lt;&gt;""""), ""真實收入"",
  TRUE, ""其他""
)"),"其他")</f>
        <v>其他</v>
      </c>
      <c r="K13380" s="270" t="str">
        <f t="shared" si="2"/>
        <v/>
      </c>
      <c r="L13380">
        <f t="shared" si="3"/>
        <v>0</v>
      </c>
    </row>
    <row r="13381">
      <c r="A13381" s="107"/>
      <c r="D13381" s="270"/>
      <c r="H13381" s="106" t="str">
        <f t="shared" si="1"/>
        <v/>
      </c>
      <c r="J13381" t="str">
        <f>IFERROR(__xludf.DUMMYFUNCTION("IFS(
  AND(REGEXMATCH(E13381, ""台銀籌備帳戶|玉山帳戶""), REGEXMATCH(C13381, ""薪資"")), ""分潤支出"",
  AND(REGEXMATCH(E13381, ""Ben帳戶|Elsa帳戶|Ben代墊|Ariel代墊|中信銀行共用""), REGEXMATCH(F13381, ""Ben帳戶|Elsa帳戶|Ben代墊|Ariel代墊|中信銀行共用"")), ""內部轉帳(忽略)"",
  AND(E13381&lt;&gt;"""", F13381&lt;&gt;"&amp;""""", NOT(REGEXMATCH(C13381, ""薪資""))), ""內部轉帳(忽略)"",
  REGEXMATCH(C13381, ""薪資""), ""薪資變動(不計入)"",
  REGEXMATCH(C13381, ""押金""), ""押金往來"",
  AND(E13381&lt;&gt;"""", F13381=""""), ""真實支出"",
  AND(E13381="""", F13381&lt;&gt;""""), ""真實收入"",
  TRUE, ""其他""
)"),"其他")</f>
        <v>其他</v>
      </c>
      <c r="K13381" s="270" t="str">
        <f t="shared" si="2"/>
        <v/>
      </c>
      <c r="L13381">
        <f t="shared" si="3"/>
        <v>0</v>
      </c>
    </row>
    <row r="13382">
      <c r="A13382" s="107"/>
      <c r="D13382" s="270"/>
      <c r="H13382" s="106" t="str">
        <f t="shared" si="1"/>
        <v/>
      </c>
      <c r="J13382" t="str">
        <f>IFERROR(__xludf.DUMMYFUNCTION("IFS(
  AND(REGEXMATCH(E13382, ""台銀籌備帳戶|玉山帳戶""), REGEXMATCH(C13382, ""薪資"")), ""分潤支出"",
  AND(REGEXMATCH(E13382, ""Ben帳戶|Elsa帳戶|Ben代墊|Ariel代墊|中信銀行共用""), REGEXMATCH(F13382, ""Ben帳戶|Elsa帳戶|Ben代墊|Ariel代墊|中信銀行共用"")), ""內部轉帳(忽略)"",
  AND(E13382&lt;&gt;"""", F13382&lt;&gt;"&amp;""""", NOT(REGEXMATCH(C13382, ""薪資""))), ""內部轉帳(忽略)"",
  REGEXMATCH(C13382, ""薪資""), ""薪資變動(不計入)"",
  REGEXMATCH(C13382, ""押金""), ""押金往來"",
  AND(E13382&lt;&gt;"""", F13382=""""), ""真實支出"",
  AND(E13382="""", F13382&lt;&gt;""""), ""真實收入"",
  TRUE, ""其他""
)"),"其他")</f>
        <v>其他</v>
      </c>
      <c r="K13382" s="270" t="str">
        <f t="shared" si="2"/>
        <v/>
      </c>
      <c r="L13382">
        <f t="shared" si="3"/>
        <v>0</v>
      </c>
    </row>
    <row r="13383">
      <c r="A13383" s="107"/>
      <c r="D13383" s="270"/>
      <c r="H13383" s="106" t="str">
        <f t="shared" si="1"/>
        <v/>
      </c>
      <c r="J13383" t="str">
        <f>IFERROR(__xludf.DUMMYFUNCTION("IFS(
  AND(REGEXMATCH(E13383, ""台銀籌備帳戶|玉山帳戶""), REGEXMATCH(C13383, ""薪資"")), ""分潤支出"",
  AND(REGEXMATCH(E13383, ""Ben帳戶|Elsa帳戶|Ben代墊|Ariel代墊|中信銀行共用""), REGEXMATCH(F13383, ""Ben帳戶|Elsa帳戶|Ben代墊|Ariel代墊|中信銀行共用"")), ""內部轉帳(忽略)"",
  AND(E13383&lt;&gt;"""", F13383&lt;&gt;"&amp;""""", NOT(REGEXMATCH(C13383, ""薪資""))), ""內部轉帳(忽略)"",
  REGEXMATCH(C13383, ""薪資""), ""薪資變動(不計入)"",
  REGEXMATCH(C13383, ""押金""), ""押金往來"",
  AND(E13383&lt;&gt;"""", F13383=""""), ""真實支出"",
  AND(E13383="""", F13383&lt;&gt;""""), ""真實收入"",
  TRUE, ""其他""
)"),"其他")</f>
        <v>其他</v>
      </c>
      <c r="K13383" s="270" t="str">
        <f t="shared" si="2"/>
        <v/>
      </c>
      <c r="L13383">
        <f t="shared" si="3"/>
        <v>0</v>
      </c>
    </row>
    <row r="13384">
      <c r="A13384" s="107"/>
      <c r="D13384" s="270"/>
      <c r="H13384" s="106" t="str">
        <f t="shared" si="1"/>
        <v/>
      </c>
      <c r="J13384" t="str">
        <f>IFERROR(__xludf.DUMMYFUNCTION("IFS(
  AND(REGEXMATCH(E13384, ""台銀籌備帳戶|玉山帳戶""), REGEXMATCH(C13384, ""薪資"")), ""分潤支出"",
  AND(REGEXMATCH(E13384, ""Ben帳戶|Elsa帳戶|Ben代墊|Ariel代墊|中信銀行共用""), REGEXMATCH(F13384, ""Ben帳戶|Elsa帳戶|Ben代墊|Ariel代墊|中信銀行共用"")), ""內部轉帳(忽略)"",
  AND(E13384&lt;&gt;"""", F13384&lt;&gt;"&amp;""""", NOT(REGEXMATCH(C13384, ""薪資""))), ""內部轉帳(忽略)"",
  REGEXMATCH(C13384, ""薪資""), ""薪資變動(不計入)"",
  REGEXMATCH(C13384, ""押金""), ""押金往來"",
  AND(E13384&lt;&gt;"""", F13384=""""), ""真實支出"",
  AND(E13384="""", F13384&lt;&gt;""""), ""真實收入"",
  TRUE, ""其他""
)"),"其他")</f>
        <v>其他</v>
      </c>
      <c r="K13384" s="270" t="str">
        <f t="shared" si="2"/>
        <v/>
      </c>
      <c r="L13384">
        <f t="shared" si="3"/>
        <v>0</v>
      </c>
    </row>
    <row r="13385">
      <c r="A13385" s="107"/>
      <c r="D13385" s="270"/>
      <c r="H13385" s="106" t="str">
        <f t="shared" si="1"/>
        <v/>
      </c>
      <c r="J13385" t="str">
        <f>IFERROR(__xludf.DUMMYFUNCTION("IFS(
  AND(REGEXMATCH(E13385, ""台銀籌備帳戶|玉山帳戶""), REGEXMATCH(C13385, ""薪資"")), ""分潤支出"",
  AND(REGEXMATCH(E13385, ""Ben帳戶|Elsa帳戶|Ben代墊|Ariel代墊|中信銀行共用""), REGEXMATCH(F13385, ""Ben帳戶|Elsa帳戶|Ben代墊|Ariel代墊|中信銀行共用"")), ""內部轉帳(忽略)"",
  AND(E13385&lt;&gt;"""", F13385&lt;&gt;"&amp;""""", NOT(REGEXMATCH(C13385, ""薪資""))), ""內部轉帳(忽略)"",
  REGEXMATCH(C13385, ""薪資""), ""薪資變動(不計入)"",
  REGEXMATCH(C13385, ""押金""), ""押金往來"",
  AND(E13385&lt;&gt;"""", F13385=""""), ""真實支出"",
  AND(E13385="""", F13385&lt;&gt;""""), ""真實收入"",
  TRUE, ""其他""
)"),"其他")</f>
        <v>其他</v>
      </c>
      <c r="K13385" s="270" t="str">
        <f t="shared" si="2"/>
        <v/>
      </c>
      <c r="L13385">
        <f t="shared" si="3"/>
        <v>0</v>
      </c>
    </row>
    <row r="13386">
      <c r="A13386" s="107"/>
      <c r="D13386" s="270"/>
      <c r="H13386" s="106" t="str">
        <f t="shared" si="1"/>
        <v/>
      </c>
      <c r="J13386" t="str">
        <f>IFERROR(__xludf.DUMMYFUNCTION("IFS(
  AND(REGEXMATCH(E13386, ""台銀籌備帳戶|玉山帳戶""), REGEXMATCH(C13386, ""薪資"")), ""分潤支出"",
  AND(REGEXMATCH(E13386, ""Ben帳戶|Elsa帳戶|Ben代墊|Ariel代墊|中信銀行共用""), REGEXMATCH(F13386, ""Ben帳戶|Elsa帳戶|Ben代墊|Ariel代墊|中信銀行共用"")), ""內部轉帳(忽略)"",
  AND(E13386&lt;&gt;"""", F13386&lt;&gt;"&amp;""""", NOT(REGEXMATCH(C13386, ""薪資""))), ""內部轉帳(忽略)"",
  REGEXMATCH(C13386, ""薪資""), ""薪資變動(不計入)"",
  REGEXMATCH(C13386, ""押金""), ""押金往來"",
  AND(E13386&lt;&gt;"""", F13386=""""), ""真實支出"",
  AND(E13386="""", F13386&lt;&gt;""""), ""真實收入"",
  TRUE, ""其他""
)"),"其他")</f>
        <v>其他</v>
      </c>
      <c r="K13386" s="270" t="str">
        <f t="shared" si="2"/>
        <v/>
      </c>
      <c r="L13386">
        <f t="shared" si="3"/>
        <v>0</v>
      </c>
    </row>
    <row r="13387">
      <c r="A13387" s="107"/>
      <c r="D13387" s="270"/>
      <c r="H13387" s="106" t="str">
        <f t="shared" si="1"/>
        <v/>
      </c>
      <c r="J13387" t="str">
        <f>IFERROR(__xludf.DUMMYFUNCTION("IFS(
  AND(REGEXMATCH(E13387, ""台銀籌備帳戶|玉山帳戶""), REGEXMATCH(C13387, ""薪資"")), ""分潤支出"",
  AND(REGEXMATCH(E13387, ""Ben帳戶|Elsa帳戶|Ben代墊|Ariel代墊|中信銀行共用""), REGEXMATCH(F13387, ""Ben帳戶|Elsa帳戶|Ben代墊|Ariel代墊|中信銀行共用"")), ""內部轉帳(忽略)"",
  AND(E13387&lt;&gt;"""", F13387&lt;&gt;"&amp;""""", NOT(REGEXMATCH(C13387, ""薪資""))), ""內部轉帳(忽略)"",
  REGEXMATCH(C13387, ""薪資""), ""薪資變動(不計入)"",
  REGEXMATCH(C13387, ""押金""), ""押金往來"",
  AND(E13387&lt;&gt;"""", F13387=""""), ""真實支出"",
  AND(E13387="""", F13387&lt;&gt;""""), ""真實收入"",
  TRUE, ""其他""
)"),"其他")</f>
        <v>其他</v>
      </c>
      <c r="K13387" s="270" t="str">
        <f t="shared" si="2"/>
        <v/>
      </c>
      <c r="L13387">
        <f t="shared" si="3"/>
        <v>0</v>
      </c>
    </row>
    <row r="13388">
      <c r="A13388" s="107"/>
      <c r="D13388" s="270"/>
      <c r="H13388" s="106" t="str">
        <f t="shared" si="1"/>
        <v/>
      </c>
      <c r="J13388" t="str">
        <f>IFERROR(__xludf.DUMMYFUNCTION("IFS(
  AND(REGEXMATCH(E13388, ""台銀籌備帳戶|玉山帳戶""), REGEXMATCH(C13388, ""薪資"")), ""分潤支出"",
  AND(REGEXMATCH(E13388, ""Ben帳戶|Elsa帳戶|Ben代墊|Ariel代墊|中信銀行共用""), REGEXMATCH(F13388, ""Ben帳戶|Elsa帳戶|Ben代墊|Ariel代墊|中信銀行共用"")), ""內部轉帳(忽略)"",
  AND(E13388&lt;&gt;"""", F13388&lt;&gt;"&amp;""""", NOT(REGEXMATCH(C13388, ""薪資""))), ""內部轉帳(忽略)"",
  REGEXMATCH(C13388, ""薪資""), ""薪資變動(不計入)"",
  REGEXMATCH(C13388, ""押金""), ""押金往來"",
  AND(E13388&lt;&gt;"""", F13388=""""), ""真實支出"",
  AND(E13388="""", F13388&lt;&gt;""""), ""真實收入"",
  TRUE, ""其他""
)"),"其他")</f>
        <v>其他</v>
      </c>
      <c r="K13388" s="270" t="str">
        <f t="shared" si="2"/>
        <v/>
      </c>
      <c r="L13388">
        <f t="shared" si="3"/>
        <v>0</v>
      </c>
    </row>
    <row r="13389">
      <c r="A13389" s="107"/>
      <c r="D13389" s="270"/>
      <c r="H13389" s="106" t="str">
        <f t="shared" si="1"/>
        <v/>
      </c>
      <c r="J13389" t="str">
        <f>IFERROR(__xludf.DUMMYFUNCTION("IFS(
  AND(REGEXMATCH(E13389, ""台銀籌備帳戶|玉山帳戶""), REGEXMATCH(C13389, ""薪資"")), ""分潤支出"",
  AND(REGEXMATCH(E13389, ""Ben帳戶|Elsa帳戶|Ben代墊|Ariel代墊|中信銀行共用""), REGEXMATCH(F13389, ""Ben帳戶|Elsa帳戶|Ben代墊|Ariel代墊|中信銀行共用"")), ""內部轉帳(忽略)"",
  AND(E13389&lt;&gt;"""", F13389&lt;&gt;"&amp;""""", NOT(REGEXMATCH(C13389, ""薪資""))), ""內部轉帳(忽略)"",
  REGEXMATCH(C13389, ""薪資""), ""薪資變動(不計入)"",
  REGEXMATCH(C13389, ""押金""), ""押金往來"",
  AND(E13389&lt;&gt;"""", F13389=""""), ""真實支出"",
  AND(E13389="""", F13389&lt;&gt;""""), ""真實收入"",
  TRUE, ""其他""
)"),"其他")</f>
        <v>其他</v>
      </c>
      <c r="K13389" s="270" t="str">
        <f t="shared" si="2"/>
        <v/>
      </c>
      <c r="L13389">
        <f t="shared" si="3"/>
        <v>0</v>
      </c>
    </row>
    <row r="13390">
      <c r="A13390" s="107"/>
      <c r="D13390" s="270"/>
      <c r="H13390" s="106" t="str">
        <f t="shared" si="1"/>
        <v/>
      </c>
      <c r="J13390" t="str">
        <f>IFERROR(__xludf.DUMMYFUNCTION("IFS(
  AND(REGEXMATCH(E13390, ""台銀籌備帳戶|玉山帳戶""), REGEXMATCH(C13390, ""薪資"")), ""分潤支出"",
  AND(REGEXMATCH(E13390, ""Ben帳戶|Elsa帳戶|Ben代墊|Ariel代墊|中信銀行共用""), REGEXMATCH(F13390, ""Ben帳戶|Elsa帳戶|Ben代墊|Ariel代墊|中信銀行共用"")), ""內部轉帳(忽略)"",
  AND(E13390&lt;&gt;"""", F13390&lt;&gt;"&amp;""""", NOT(REGEXMATCH(C13390, ""薪資""))), ""內部轉帳(忽略)"",
  REGEXMATCH(C13390, ""薪資""), ""薪資變動(不計入)"",
  REGEXMATCH(C13390, ""押金""), ""押金往來"",
  AND(E13390&lt;&gt;"""", F13390=""""), ""真實支出"",
  AND(E13390="""", F13390&lt;&gt;""""), ""真實收入"",
  TRUE, ""其他""
)"),"其他")</f>
        <v>其他</v>
      </c>
      <c r="K13390" s="270" t="str">
        <f t="shared" si="2"/>
        <v/>
      </c>
      <c r="L13390">
        <f t="shared" si="3"/>
        <v>0</v>
      </c>
    </row>
    <row r="13391">
      <c r="A13391" s="107"/>
      <c r="D13391" s="270"/>
      <c r="H13391" s="106" t="str">
        <f t="shared" si="1"/>
        <v/>
      </c>
      <c r="J13391" t="str">
        <f>IFERROR(__xludf.DUMMYFUNCTION("IFS(
  AND(REGEXMATCH(E13391, ""台銀籌備帳戶|玉山帳戶""), REGEXMATCH(C13391, ""薪資"")), ""分潤支出"",
  AND(REGEXMATCH(E13391, ""Ben帳戶|Elsa帳戶|Ben代墊|Ariel代墊|中信銀行共用""), REGEXMATCH(F13391, ""Ben帳戶|Elsa帳戶|Ben代墊|Ariel代墊|中信銀行共用"")), ""內部轉帳(忽略)"",
  AND(E13391&lt;&gt;"""", F13391&lt;&gt;"&amp;""""", NOT(REGEXMATCH(C13391, ""薪資""))), ""內部轉帳(忽略)"",
  REGEXMATCH(C13391, ""薪資""), ""薪資變動(不計入)"",
  REGEXMATCH(C13391, ""押金""), ""押金往來"",
  AND(E13391&lt;&gt;"""", F13391=""""), ""真實支出"",
  AND(E13391="""", F13391&lt;&gt;""""), ""真實收入"",
  TRUE, ""其他""
)"),"其他")</f>
        <v>其他</v>
      </c>
      <c r="K13391" s="270" t="str">
        <f t="shared" si="2"/>
        <v/>
      </c>
      <c r="L13391">
        <f t="shared" si="3"/>
        <v>0</v>
      </c>
    </row>
    <row r="13392">
      <c r="A13392" s="107"/>
      <c r="D13392" s="270"/>
      <c r="H13392" s="106" t="str">
        <f t="shared" si="1"/>
        <v/>
      </c>
      <c r="J13392" t="str">
        <f>IFERROR(__xludf.DUMMYFUNCTION("IFS(
  AND(REGEXMATCH(E13392, ""台銀籌備帳戶|玉山帳戶""), REGEXMATCH(C13392, ""薪資"")), ""分潤支出"",
  AND(REGEXMATCH(E13392, ""Ben帳戶|Elsa帳戶|Ben代墊|Ariel代墊|中信銀行共用""), REGEXMATCH(F13392, ""Ben帳戶|Elsa帳戶|Ben代墊|Ariel代墊|中信銀行共用"")), ""內部轉帳(忽略)"",
  AND(E13392&lt;&gt;"""", F13392&lt;&gt;"&amp;""""", NOT(REGEXMATCH(C13392, ""薪資""))), ""內部轉帳(忽略)"",
  REGEXMATCH(C13392, ""薪資""), ""薪資變動(不計入)"",
  REGEXMATCH(C13392, ""押金""), ""押金往來"",
  AND(E13392&lt;&gt;"""", F13392=""""), ""真實支出"",
  AND(E13392="""", F13392&lt;&gt;""""), ""真實收入"",
  TRUE, ""其他""
)"),"其他")</f>
        <v>其他</v>
      </c>
      <c r="K13392" s="270" t="str">
        <f t="shared" si="2"/>
        <v/>
      </c>
      <c r="L13392">
        <f t="shared" si="3"/>
        <v>0</v>
      </c>
    </row>
    <row r="13393">
      <c r="A13393" s="107"/>
      <c r="D13393" s="270"/>
      <c r="H13393" s="106" t="str">
        <f t="shared" si="1"/>
        <v/>
      </c>
      <c r="J13393" t="str">
        <f>IFERROR(__xludf.DUMMYFUNCTION("IFS(
  AND(REGEXMATCH(E13393, ""台銀籌備帳戶|玉山帳戶""), REGEXMATCH(C13393, ""薪資"")), ""分潤支出"",
  AND(REGEXMATCH(E13393, ""Ben帳戶|Elsa帳戶|Ben代墊|Ariel代墊|中信銀行共用""), REGEXMATCH(F13393, ""Ben帳戶|Elsa帳戶|Ben代墊|Ariel代墊|中信銀行共用"")), ""內部轉帳(忽略)"",
  AND(E13393&lt;&gt;"""", F13393&lt;&gt;"&amp;""""", NOT(REGEXMATCH(C13393, ""薪資""))), ""內部轉帳(忽略)"",
  REGEXMATCH(C13393, ""薪資""), ""薪資變動(不計入)"",
  REGEXMATCH(C13393, ""押金""), ""押金往來"",
  AND(E13393&lt;&gt;"""", F13393=""""), ""真實支出"",
  AND(E13393="""", F13393&lt;&gt;""""), ""真實收入"",
  TRUE, ""其他""
)"),"其他")</f>
        <v>其他</v>
      </c>
      <c r="K13393" s="270" t="str">
        <f t="shared" si="2"/>
        <v/>
      </c>
      <c r="L13393">
        <f t="shared" si="3"/>
        <v>0</v>
      </c>
    </row>
    <row r="13394">
      <c r="A13394" s="107"/>
      <c r="D13394" s="270"/>
      <c r="H13394" s="106" t="str">
        <f t="shared" si="1"/>
        <v/>
      </c>
      <c r="J13394" t="str">
        <f>IFERROR(__xludf.DUMMYFUNCTION("IFS(
  AND(REGEXMATCH(E13394, ""台銀籌備帳戶|玉山帳戶""), REGEXMATCH(C13394, ""薪資"")), ""分潤支出"",
  AND(REGEXMATCH(E13394, ""Ben帳戶|Elsa帳戶|Ben代墊|Ariel代墊|中信銀行共用""), REGEXMATCH(F13394, ""Ben帳戶|Elsa帳戶|Ben代墊|Ariel代墊|中信銀行共用"")), ""內部轉帳(忽略)"",
  AND(E13394&lt;&gt;"""", F13394&lt;&gt;"&amp;""""", NOT(REGEXMATCH(C13394, ""薪資""))), ""內部轉帳(忽略)"",
  REGEXMATCH(C13394, ""薪資""), ""薪資變動(不計入)"",
  REGEXMATCH(C13394, ""押金""), ""押金往來"",
  AND(E13394&lt;&gt;"""", F13394=""""), ""真實支出"",
  AND(E13394="""", F13394&lt;&gt;""""), ""真實收入"",
  TRUE, ""其他""
)"),"其他")</f>
        <v>其他</v>
      </c>
      <c r="K13394" s="270" t="str">
        <f t="shared" si="2"/>
        <v/>
      </c>
      <c r="L13394">
        <f t="shared" si="3"/>
        <v>0</v>
      </c>
    </row>
    <row r="13395">
      <c r="A13395" s="107"/>
      <c r="D13395" s="270"/>
      <c r="H13395" s="106" t="str">
        <f t="shared" si="1"/>
        <v/>
      </c>
      <c r="J13395" t="str">
        <f>IFERROR(__xludf.DUMMYFUNCTION("IFS(
  AND(REGEXMATCH(E13395, ""台銀籌備帳戶|玉山帳戶""), REGEXMATCH(C13395, ""薪資"")), ""分潤支出"",
  AND(REGEXMATCH(E13395, ""Ben帳戶|Elsa帳戶|Ben代墊|Ariel代墊|中信銀行共用""), REGEXMATCH(F13395, ""Ben帳戶|Elsa帳戶|Ben代墊|Ariel代墊|中信銀行共用"")), ""內部轉帳(忽略)"",
  AND(E13395&lt;&gt;"""", F13395&lt;&gt;"&amp;""""", NOT(REGEXMATCH(C13395, ""薪資""))), ""內部轉帳(忽略)"",
  REGEXMATCH(C13395, ""薪資""), ""薪資變動(不計入)"",
  REGEXMATCH(C13395, ""押金""), ""押金往來"",
  AND(E13395&lt;&gt;"""", F13395=""""), ""真實支出"",
  AND(E13395="""", F13395&lt;&gt;""""), ""真實收入"",
  TRUE, ""其他""
)"),"其他")</f>
        <v>其他</v>
      </c>
      <c r="K13395" s="270" t="str">
        <f t="shared" si="2"/>
        <v/>
      </c>
      <c r="L13395">
        <f t="shared" si="3"/>
        <v>0</v>
      </c>
    </row>
    <row r="13396">
      <c r="A13396" s="107"/>
      <c r="D13396" s="270"/>
      <c r="H13396" s="106" t="str">
        <f t="shared" si="1"/>
        <v/>
      </c>
      <c r="J13396" t="str">
        <f>IFERROR(__xludf.DUMMYFUNCTION("IFS(
  AND(REGEXMATCH(E13396, ""台銀籌備帳戶|玉山帳戶""), REGEXMATCH(C13396, ""薪資"")), ""分潤支出"",
  AND(REGEXMATCH(E13396, ""Ben帳戶|Elsa帳戶|Ben代墊|Ariel代墊|中信銀行共用""), REGEXMATCH(F13396, ""Ben帳戶|Elsa帳戶|Ben代墊|Ariel代墊|中信銀行共用"")), ""內部轉帳(忽略)"",
  AND(E13396&lt;&gt;"""", F13396&lt;&gt;"&amp;""""", NOT(REGEXMATCH(C13396, ""薪資""))), ""內部轉帳(忽略)"",
  REGEXMATCH(C13396, ""薪資""), ""薪資變動(不計入)"",
  REGEXMATCH(C13396, ""押金""), ""押金往來"",
  AND(E13396&lt;&gt;"""", F13396=""""), ""真實支出"",
  AND(E13396="""", F13396&lt;&gt;""""), ""真實收入"",
  TRUE, ""其他""
)"),"其他")</f>
        <v>其他</v>
      </c>
      <c r="K13396" s="270" t="str">
        <f t="shared" si="2"/>
        <v/>
      </c>
      <c r="L13396">
        <f t="shared" si="3"/>
        <v>0</v>
      </c>
    </row>
    <row r="13397">
      <c r="A13397" s="107"/>
      <c r="D13397" s="270"/>
      <c r="H13397" s="106" t="str">
        <f t="shared" si="1"/>
        <v/>
      </c>
      <c r="J13397" t="str">
        <f>IFERROR(__xludf.DUMMYFUNCTION("IFS(
  AND(REGEXMATCH(E13397, ""台銀籌備帳戶|玉山帳戶""), REGEXMATCH(C13397, ""薪資"")), ""分潤支出"",
  AND(REGEXMATCH(E13397, ""Ben帳戶|Elsa帳戶|Ben代墊|Ariel代墊|中信銀行共用""), REGEXMATCH(F13397, ""Ben帳戶|Elsa帳戶|Ben代墊|Ariel代墊|中信銀行共用"")), ""內部轉帳(忽略)"",
  AND(E13397&lt;&gt;"""", F13397&lt;&gt;"&amp;""""", NOT(REGEXMATCH(C13397, ""薪資""))), ""內部轉帳(忽略)"",
  REGEXMATCH(C13397, ""薪資""), ""薪資變動(不計入)"",
  REGEXMATCH(C13397, ""押金""), ""押金往來"",
  AND(E13397&lt;&gt;"""", F13397=""""), ""真實支出"",
  AND(E13397="""", F13397&lt;&gt;""""), ""真實收入"",
  TRUE, ""其他""
)"),"其他")</f>
        <v>其他</v>
      </c>
      <c r="K13397" s="270" t="str">
        <f t="shared" si="2"/>
        <v/>
      </c>
      <c r="L13397">
        <f t="shared" si="3"/>
        <v>0</v>
      </c>
    </row>
    <row r="13398">
      <c r="A13398" s="107"/>
      <c r="D13398" s="270"/>
      <c r="H13398" s="106" t="str">
        <f t="shared" si="1"/>
        <v/>
      </c>
      <c r="J13398" t="str">
        <f>IFERROR(__xludf.DUMMYFUNCTION("IFS(
  AND(REGEXMATCH(E13398, ""台銀籌備帳戶|玉山帳戶""), REGEXMATCH(C13398, ""薪資"")), ""分潤支出"",
  AND(REGEXMATCH(E13398, ""Ben帳戶|Elsa帳戶|Ben代墊|Ariel代墊|中信銀行共用""), REGEXMATCH(F13398, ""Ben帳戶|Elsa帳戶|Ben代墊|Ariel代墊|中信銀行共用"")), ""內部轉帳(忽略)"",
  AND(E13398&lt;&gt;"""", F13398&lt;&gt;"&amp;""""", NOT(REGEXMATCH(C13398, ""薪資""))), ""內部轉帳(忽略)"",
  REGEXMATCH(C13398, ""薪資""), ""薪資變動(不計入)"",
  REGEXMATCH(C13398, ""押金""), ""押金往來"",
  AND(E13398&lt;&gt;"""", F13398=""""), ""真實支出"",
  AND(E13398="""", F13398&lt;&gt;""""), ""真實收入"",
  TRUE, ""其他""
)"),"其他")</f>
        <v>其他</v>
      </c>
      <c r="K13398" s="270" t="str">
        <f t="shared" si="2"/>
        <v/>
      </c>
      <c r="L13398">
        <f t="shared" si="3"/>
        <v>0</v>
      </c>
    </row>
    <row r="13399">
      <c r="A13399" s="107"/>
      <c r="D13399" s="270"/>
      <c r="H13399" s="106" t="str">
        <f t="shared" si="1"/>
        <v/>
      </c>
      <c r="J13399" t="str">
        <f>IFERROR(__xludf.DUMMYFUNCTION("IFS(
  AND(REGEXMATCH(E13399, ""台銀籌備帳戶|玉山帳戶""), REGEXMATCH(C13399, ""薪資"")), ""分潤支出"",
  AND(REGEXMATCH(E13399, ""Ben帳戶|Elsa帳戶|Ben代墊|Ariel代墊|中信銀行共用""), REGEXMATCH(F13399, ""Ben帳戶|Elsa帳戶|Ben代墊|Ariel代墊|中信銀行共用"")), ""內部轉帳(忽略)"",
  AND(E13399&lt;&gt;"""", F13399&lt;&gt;"&amp;""""", NOT(REGEXMATCH(C13399, ""薪資""))), ""內部轉帳(忽略)"",
  REGEXMATCH(C13399, ""薪資""), ""薪資變動(不計入)"",
  REGEXMATCH(C13399, ""押金""), ""押金往來"",
  AND(E13399&lt;&gt;"""", F13399=""""), ""真實支出"",
  AND(E13399="""", F13399&lt;&gt;""""), ""真實收入"",
  TRUE, ""其他""
)"),"其他")</f>
        <v>其他</v>
      </c>
      <c r="K13399" s="270" t="str">
        <f t="shared" si="2"/>
        <v/>
      </c>
      <c r="L13399">
        <f t="shared" si="3"/>
        <v>0</v>
      </c>
    </row>
    <row r="13400">
      <c r="A13400" s="107"/>
      <c r="D13400" s="270"/>
      <c r="H13400" s="106" t="str">
        <f t="shared" si="1"/>
        <v/>
      </c>
      <c r="J13400" t="str">
        <f>IFERROR(__xludf.DUMMYFUNCTION("IFS(
  AND(REGEXMATCH(E13400, ""台銀籌備帳戶|玉山帳戶""), REGEXMATCH(C13400, ""薪資"")), ""分潤支出"",
  AND(REGEXMATCH(E13400, ""Ben帳戶|Elsa帳戶|Ben代墊|Ariel代墊|中信銀行共用""), REGEXMATCH(F13400, ""Ben帳戶|Elsa帳戶|Ben代墊|Ariel代墊|中信銀行共用"")), ""內部轉帳(忽略)"",
  AND(E13400&lt;&gt;"""", F13400&lt;&gt;"&amp;""""", NOT(REGEXMATCH(C13400, ""薪資""))), ""內部轉帳(忽略)"",
  REGEXMATCH(C13400, ""薪資""), ""薪資變動(不計入)"",
  REGEXMATCH(C13400, ""押金""), ""押金往來"",
  AND(E13400&lt;&gt;"""", F13400=""""), ""真實支出"",
  AND(E13400="""", F13400&lt;&gt;""""), ""真實收入"",
  TRUE, ""其他""
)"),"其他")</f>
        <v>其他</v>
      </c>
      <c r="K13400" s="270" t="str">
        <f t="shared" si="2"/>
        <v/>
      </c>
      <c r="L13400">
        <f t="shared" si="3"/>
        <v>0</v>
      </c>
    </row>
    <row r="13401">
      <c r="A13401" s="107"/>
      <c r="D13401" s="270"/>
      <c r="H13401" s="106" t="str">
        <f t="shared" si="1"/>
        <v/>
      </c>
      <c r="J13401" t="str">
        <f>IFERROR(__xludf.DUMMYFUNCTION("IFS(
  AND(REGEXMATCH(E13401, ""台銀籌備帳戶|玉山帳戶""), REGEXMATCH(C13401, ""薪資"")), ""分潤支出"",
  AND(REGEXMATCH(E13401, ""Ben帳戶|Elsa帳戶|Ben代墊|Ariel代墊|中信銀行共用""), REGEXMATCH(F13401, ""Ben帳戶|Elsa帳戶|Ben代墊|Ariel代墊|中信銀行共用"")), ""內部轉帳(忽略)"",
  AND(E13401&lt;&gt;"""", F13401&lt;&gt;"&amp;""""", NOT(REGEXMATCH(C13401, ""薪資""))), ""內部轉帳(忽略)"",
  REGEXMATCH(C13401, ""薪資""), ""薪資變動(不計入)"",
  REGEXMATCH(C13401, ""押金""), ""押金往來"",
  AND(E13401&lt;&gt;"""", F13401=""""), ""真實支出"",
  AND(E13401="""", F13401&lt;&gt;""""), ""真實收入"",
  TRUE, ""其他""
)"),"其他")</f>
        <v>其他</v>
      </c>
      <c r="K13401" s="270" t="str">
        <f t="shared" si="2"/>
        <v/>
      </c>
      <c r="L13401">
        <f t="shared" si="3"/>
        <v>0</v>
      </c>
    </row>
    <row r="13402">
      <c r="A13402" s="107"/>
      <c r="D13402" s="270"/>
      <c r="H13402" s="106" t="str">
        <f t="shared" si="1"/>
        <v/>
      </c>
      <c r="J13402" t="str">
        <f>IFERROR(__xludf.DUMMYFUNCTION("IFS(
  AND(REGEXMATCH(E13402, ""台銀籌備帳戶|玉山帳戶""), REGEXMATCH(C13402, ""薪資"")), ""分潤支出"",
  AND(REGEXMATCH(E13402, ""Ben帳戶|Elsa帳戶|Ben代墊|Ariel代墊|中信銀行共用""), REGEXMATCH(F13402, ""Ben帳戶|Elsa帳戶|Ben代墊|Ariel代墊|中信銀行共用"")), ""內部轉帳(忽略)"",
  AND(E13402&lt;&gt;"""", F13402&lt;&gt;"&amp;""""", NOT(REGEXMATCH(C13402, ""薪資""))), ""內部轉帳(忽略)"",
  REGEXMATCH(C13402, ""薪資""), ""薪資變動(不計入)"",
  REGEXMATCH(C13402, ""押金""), ""押金往來"",
  AND(E13402&lt;&gt;"""", F13402=""""), ""真實支出"",
  AND(E13402="""", F13402&lt;&gt;""""), ""真實收入"",
  TRUE, ""其他""
)"),"其他")</f>
        <v>其他</v>
      </c>
      <c r="K13402" s="270" t="str">
        <f t="shared" si="2"/>
        <v/>
      </c>
      <c r="L13402">
        <f t="shared" si="3"/>
        <v>0</v>
      </c>
    </row>
    <row r="13403">
      <c r="A13403" s="107"/>
      <c r="D13403" s="270"/>
      <c r="H13403" s="106" t="str">
        <f t="shared" si="1"/>
        <v/>
      </c>
      <c r="J13403" t="str">
        <f>IFERROR(__xludf.DUMMYFUNCTION("IFS(
  AND(REGEXMATCH(E13403, ""台銀籌備帳戶|玉山帳戶""), REGEXMATCH(C13403, ""薪資"")), ""分潤支出"",
  AND(REGEXMATCH(E13403, ""Ben帳戶|Elsa帳戶|Ben代墊|Ariel代墊|中信銀行共用""), REGEXMATCH(F13403, ""Ben帳戶|Elsa帳戶|Ben代墊|Ariel代墊|中信銀行共用"")), ""內部轉帳(忽略)"",
  AND(E13403&lt;&gt;"""", F13403&lt;&gt;"&amp;""""", NOT(REGEXMATCH(C13403, ""薪資""))), ""內部轉帳(忽略)"",
  REGEXMATCH(C13403, ""薪資""), ""薪資變動(不計入)"",
  REGEXMATCH(C13403, ""押金""), ""押金往來"",
  AND(E13403&lt;&gt;"""", F13403=""""), ""真實支出"",
  AND(E13403="""", F13403&lt;&gt;""""), ""真實收入"",
  TRUE, ""其他""
)"),"其他")</f>
        <v>其他</v>
      </c>
      <c r="K13403" s="270" t="str">
        <f t="shared" si="2"/>
        <v/>
      </c>
      <c r="L13403">
        <f t="shared" si="3"/>
        <v>0</v>
      </c>
    </row>
    <row r="13404">
      <c r="A13404" s="107"/>
      <c r="D13404" s="270"/>
      <c r="H13404" s="106" t="str">
        <f t="shared" si="1"/>
        <v/>
      </c>
      <c r="J13404" t="str">
        <f>IFERROR(__xludf.DUMMYFUNCTION("IFS(
  AND(REGEXMATCH(E13404, ""台銀籌備帳戶|玉山帳戶""), REGEXMATCH(C13404, ""薪資"")), ""分潤支出"",
  AND(REGEXMATCH(E13404, ""Ben帳戶|Elsa帳戶|Ben代墊|Ariel代墊|中信銀行共用""), REGEXMATCH(F13404, ""Ben帳戶|Elsa帳戶|Ben代墊|Ariel代墊|中信銀行共用"")), ""內部轉帳(忽略)"",
  AND(E13404&lt;&gt;"""", F13404&lt;&gt;"&amp;""""", NOT(REGEXMATCH(C13404, ""薪資""))), ""內部轉帳(忽略)"",
  REGEXMATCH(C13404, ""薪資""), ""薪資變動(不計入)"",
  REGEXMATCH(C13404, ""押金""), ""押金往來"",
  AND(E13404&lt;&gt;"""", F13404=""""), ""真實支出"",
  AND(E13404="""", F13404&lt;&gt;""""), ""真實收入"",
  TRUE, ""其他""
)"),"其他")</f>
        <v>其他</v>
      </c>
      <c r="K13404" s="270" t="str">
        <f t="shared" si="2"/>
        <v/>
      </c>
      <c r="L13404">
        <f t="shared" si="3"/>
        <v>0</v>
      </c>
    </row>
    <row r="13405">
      <c r="A13405" s="107"/>
      <c r="D13405" s="270"/>
      <c r="H13405" s="106" t="str">
        <f t="shared" si="1"/>
        <v/>
      </c>
      <c r="J13405" t="str">
        <f>IFERROR(__xludf.DUMMYFUNCTION("IFS(
  AND(REGEXMATCH(E13405, ""台銀籌備帳戶|玉山帳戶""), REGEXMATCH(C13405, ""薪資"")), ""分潤支出"",
  AND(REGEXMATCH(E13405, ""Ben帳戶|Elsa帳戶|Ben代墊|Ariel代墊|中信銀行共用""), REGEXMATCH(F13405, ""Ben帳戶|Elsa帳戶|Ben代墊|Ariel代墊|中信銀行共用"")), ""內部轉帳(忽略)"",
  AND(E13405&lt;&gt;"""", F13405&lt;&gt;"&amp;""""", NOT(REGEXMATCH(C13405, ""薪資""))), ""內部轉帳(忽略)"",
  REGEXMATCH(C13405, ""薪資""), ""薪資變動(不計入)"",
  REGEXMATCH(C13405, ""押金""), ""押金往來"",
  AND(E13405&lt;&gt;"""", F13405=""""), ""真實支出"",
  AND(E13405="""", F13405&lt;&gt;""""), ""真實收入"",
  TRUE, ""其他""
)"),"其他")</f>
        <v>其他</v>
      </c>
      <c r="K13405" s="270" t="str">
        <f t="shared" si="2"/>
        <v/>
      </c>
      <c r="L13405">
        <f t="shared" si="3"/>
        <v>0</v>
      </c>
    </row>
    <row r="13406">
      <c r="A13406" s="107"/>
      <c r="D13406" s="270"/>
      <c r="H13406" s="106" t="str">
        <f t="shared" si="1"/>
        <v/>
      </c>
      <c r="J13406" t="str">
        <f>IFERROR(__xludf.DUMMYFUNCTION("IFS(
  AND(REGEXMATCH(E13406, ""台銀籌備帳戶|玉山帳戶""), REGEXMATCH(C13406, ""薪資"")), ""分潤支出"",
  AND(REGEXMATCH(E13406, ""Ben帳戶|Elsa帳戶|Ben代墊|Ariel代墊|中信銀行共用""), REGEXMATCH(F13406, ""Ben帳戶|Elsa帳戶|Ben代墊|Ariel代墊|中信銀行共用"")), ""內部轉帳(忽略)"",
  AND(E13406&lt;&gt;"""", F13406&lt;&gt;"&amp;""""", NOT(REGEXMATCH(C13406, ""薪資""))), ""內部轉帳(忽略)"",
  REGEXMATCH(C13406, ""薪資""), ""薪資變動(不計入)"",
  REGEXMATCH(C13406, ""押金""), ""押金往來"",
  AND(E13406&lt;&gt;"""", F13406=""""), ""真實支出"",
  AND(E13406="""", F13406&lt;&gt;""""), ""真實收入"",
  TRUE, ""其他""
)"),"其他")</f>
        <v>其他</v>
      </c>
      <c r="K13406" s="270" t="str">
        <f t="shared" si="2"/>
        <v/>
      </c>
      <c r="L13406">
        <f t="shared" si="3"/>
        <v>0</v>
      </c>
    </row>
    <row r="13407">
      <c r="A13407" s="107"/>
      <c r="D13407" s="270"/>
      <c r="H13407" s="106" t="str">
        <f t="shared" si="1"/>
        <v/>
      </c>
      <c r="J13407" t="str">
        <f>IFERROR(__xludf.DUMMYFUNCTION("IFS(
  AND(REGEXMATCH(E13407, ""台銀籌備帳戶|玉山帳戶""), REGEXMATCH(C13407, ""薪資"")), ""分潤支出"",
  AND(REGEXMATCH(E13407, ""Ben帳戶|Elsa帳戶|Ben代墊|Ariel代墊|中信銀行共用""), REGEXMATCH(F13407, ""Ben帳戶|Elsa帳戶|Ben代墊|Ariel代墊|中信銀行共用"")), ""內部轉帳(忽略)"",
  AND(E13407&lt;&gt;"""", F13407&lt;&gt;"&amp;""""", NOT(REGEXMATCH(C13407, ""薪資""))), ""內部轉帳(忽略)"",
  REGEXMATCH(C13407, ""薪資""), ""薪資變動(不計入)"",
  REGEXMATCH(C13407, ""押金""), ""押金往來"",
  AND(E13407&lt;&gt;"""", F13407=""""), ""真實支出"",
  AND(E13407="""", F13407&lt;&gt;""""), ""真實收入"",
  TRUE, ""其他""
)"),"其他")</f>
        <v>其他</v>
      </c>
      <c r="K13407" s="270" t="str">
        <f t="shared" si="2"/>
        <v/>
      </c>
      <c r="L13407">
        <f t="shared" si="3"/>
        <v>0</v>
      </c>
    </row>
    <row r="13408">
      <c r="A13408" s="107"/>
      <c r="D13408" s="270"/>
      <c r="H13408" s="106" t="str">
        <f t="shared" si="1"/>
        <v/>
      </c>
      <c r="J13408" t="str">
        <f>IFERROR(__xludf.DUMMYFUNCTION("IFS(
  AND(REGEXMATCH(E13408, ""台銀籌備帳戶|玉山帳戶""), REGEXMATCH(C13408, ""薪資"")), ""分潤支出"",
  AND(REGEXMATCH(E13408, ""Ben帳戶|Elsa帳戶|Ben代墊|Ariel代墊|中信銀行共用""), REGEXMATCH(F13408, ""Ben帳戶|Elsa帳戶|Ben代墊|Ariel代墊|中信銀行共用"")), ""內部轉帳(忽略)"",
  AND(E13408&lt;&gt;"""", F13408&lt;&gt;"&amp;""""", NOT(REGEXMATCH(C13408, ""薪資""))), ""內部轉帳(忽略)"",
  REGEXMATCH(C13408, ""薪資""), ""薪資變動(不計入)"",
  REGEXMATCH(C13408, ""押金""), ""押金往來"",
  AND(E13408&lt;&gt;"""", F13408=""""), ""真實支出"",
  AND(E13408="""", F13408&lt;&gt;""""), ""真實收入"",
  TRUE, ""其他""
)"),"其他")</f>
        <v>其他</v>
      </c>
      <c r="K13408" s="270" t="str">
        <f t="shared" si="2"/>
        <v/>
      </c>
      <c r="L13408">
        <f t="shared" si="3"/>
        <v>0</v>
      </c>
    </row>
    <row r="13409">
      <c r="A13409" s="107"/>
      <c r="D13409" s="270"/>
      <c r="H13409" s="106" t="str">
        <f t="shared" si="1"/>
        <v/>
      </c>
      <c r="J13409" t="str">
        <f>IFERROR(__xludf.DUMMYFUNCTION("IFS(
  AND(REGEXMATCH(E13409, ""台銀籌備帳戶|玉山帳戶""), REGEXMATCH(C13409, ""薪資"")), ""分潤支出"",
  AND(REGEXMATCH(E13409, ""Ben帳戶|Elsa帳戶|Ben代墊|Ariel代墊|中信銀行共用""), REGEXMATCH(F13409, ""Ben帳戶|Elsa帳戶|Ben代墊|Ariel代墊|中信銀行共用"")), ""內部轉帳(忽略)"",
  AND(E13409&lt;&gt;"""", F13409&lt;&gt;"&amp;""""", NOT(REGEXMATCH(C13409, ""薪資""))), ""內部轉帳(忽略)"",
  REGEXMATCH(C13409, ""薪資""), ""薪資變動(不計入)"",
  REGEXMATCH(C13409, ""押金""), ""押金往來"",
  AND(E13409&lt;&gt;"""", F13409=""""), ""真實支出"",
  AND(E13409="""", F13409&lt;&gt;""""), ""真實收入"",
  TRUE, ""其他""
)"),"其他")</f>
        <v>其他</v>
      </c>
      <c r="K13409" s="270" t="str">
        <f t="shared" si="2"/>
        <v/>
      </c>
      <c r="L13409">
        <f t="shared" si="3"/>
        <v>0</v>
      </c>
    </row>
    <row r="13410">
      <c r="A13410" s="107"/>
      <c r="D13410" s="270"/>
      <c r="H13410" s="106" t="str">
        <f t="shared" si="1"/>
        <v/>
      </c>
      <c r="J13410" t="str">
        <f>IFERROR(__xludf.DUMMYFUNCTION("IFS(
  AND(REGEXMATCH(E13410, ""台銀籌備帳戶|玉山帳戶""), REGEXMATCH(C13410, ""薪資"")), ""分潤支出"",
  AND(REGEXMATCH(E13410, ""Ben帳戶|Elsa帳戶|Ben代墊|Ariel代墊|中信銀行共用""), REGEXMATCH(F13410, ""Ben帳戶|Elsa帳戶|Ben代墊|Ariel代墊|中信銀行共用"")), ""內部轉帳(忽略)"",
  AND(E13410&lt;&gt;"""", F13410&lt;&gt;"&amp;""""", NOT(REGEXMATCH(C13410, ""薪資""))), ""內部轉帳(忽略)"",
  REGEXMATCH(C13410, ""薪資""), ""薪資變動(不計入)"",
  REGEXMATCH(C13410, ""押金""), ""押金往來"",
  AND(E13410&lt;&gt;"""", F13410=""""), ""真實支出"",
  AND(E13410="""", F13410&lt;&gt;""""), ""真實收入"",
  TRUE, ""其他""
)"),"其他")</f>
        <v>其他</v>
      </c>
      <c r="K13410" s="270" t="str">
        <f t="shared" si="2"/>
        <v/>
      </c>
      <c r="L13410">
        <f t="shared" si="3"/>
        <v>0</v>
      </c>
    </row>
    <row r="13411">
      <c r="A13411" s="107"/>
      <c r="D13411" s="270"/>
      <c r="H13411" s="106" t="str">
        <f t="shared" si="1"/>
        <v/>
      </c>
      <c r="J13411" t="str">
        <f>IFERROR(__xludf.DUMMYFUNCTION("IFS(
  AND(REGEXMATCH(E13411, ""台銀籌備帳戶|玉山帳戶""), REGEXMATCH(C13411, ""薪資"")), ""分潤支出"",
  AND(REGEXMATCH(E13411, ""Ben帳戶|Elsa帳戶|Ben代墊|Ariel代墊|中信銀行共用""), REGEXMATCH(F13411, ""Ben帳戶|Elsa帳戶|Ben代墊|Ariel代墊|中信銀行共用"")), ""內部轉帳(忽略)"",
  AND(E13411&lt;&gt;"""", F13411&lt;&gt;"&amp;""""", NOT(REGEXMATCH(C13411, ""薪資""))), ""內部轉帳(忽略)"",
  REGEXMATCH(C13411, ""薪資""), ""薪資變動(不計入)"",
  REGEXMATCH(C13411, ""押金""), ""押金往來"",
  AND(E13411&lt;&gt;"""", F13411=""""), ""真實支出"",
  AND(E13411="""", F13411&lt;&gt;""""), ""真實收入"",
  TRUE, ""其他""
)"),"其他")</f>
        <v>其他</v>
      </c>
      <c r="K13411" s="270" t="str">
        <f t="shared" si="2"/>
        <v/>
      </c>
      <c r="L13411">
        <f t="shared" si="3"/>
        <v>0</v>
      </c>
    </row>
    <row r="13412">
      <c r="A13412" s="107"/>
      <c r="D13412" s="270"/>
      <c r="H13412" s="106" t="str">
        <f t="shared" si="1"/>
        <v/>
      </c>
      <c r="J13412" t="str">
        <f>IFERROR(__xludf.DUMMYFUNCTION("IFS(
  AND(REGEXMATCH(E13412, ""台銀籌備帳戶|玉山帳戶""), REGEXMATCH(C13412, ""薪資"")), ""分潤支出"",
  AND(REGEXMATCH(E13412, ""Ben帳戶|Elsa帳戶|Ben代墊|Ariel代墊|中信銀行共用""), REGEXMATCH(F13412, ""Ben帳戶|Elsa帳戶|Ben代墊|Ariel代墊|中信銀行共用"")), ""內部轉帳(忽略)"",
  AND(E13412&lt;&gt;"""", F13412&lt;&gt;"&amp;""""", NOT(REGEXMATCH(C13412, ""薪資""))), ""內部轉帳(忽略)"",
  REGEXMATCH(C13412, ""薪資""), ""薪資變動(不計入)"",
  REGEXMATCH(C13412, ""押金""), ""押金往來"",
  AND(E13412&lt;&gt;"""", F13412=""""), ""真實支出"",
  AND(E13412="""", F13412&lt;&gt;""""), ""真實收入"",
  TRUE, ""其他""
)"),"其他")</f>
        <v>其他</v>
      </c>
      <c r="K13412" s="270" t="str">
        <f t="shared" si="2"/>
        <v/>
      </c>
      <c r="L13412">
        <f t="shared" si="3"/>
        <v>0</v>
      </c>
    </row>
    <row r="13413">
      <c r="A13413" s="107"/>
      <c r="D13413" s="270"/>
      <c r="H13413" s="106" t="str">
        <f t="shared" si="1"/>
        <v/>
      </c>
      <c r="J13413" t="str">
        <f>IFERROR(__xludf.DUMMYFUNCTION("IFS(
  AND(REGEXMATCH(E13413, ""台銀籌備帳戶|玉山帳戶""), REGEXMATCH(C13413, ""薪資"")), ""分潤支出"",
  AND(REGEXMATCH(E13413, ""Ben帳戶|Elsa帳戶|Ben代墊|Ariel代墊|中信銀行共用""), REGEXMATCH(F13413, ""Ben帳戶|Elsa帳戶|Ben代墊|Ariel代墊|中信銀行共用"")), ""內部轉帳(忽略)"",
  AND(E13413&lt;&gt;"""", F13413&lt;&gt;"&amp;""""", NOT(REGEXMATCH(C13413, ""薪資""))), ""內部轉帳(忽略)"",
  REGEXMATCH(C13413, ""薪資""), ""薪資變動(不計入)"",
  REGEXMATCH(C13413, ""押金""), ""押金往來"",
  AND(E13413&lt;&gt;"""", F13413=""""), ""真實支出"",
  AND(E13413="""", F13413&lt;&gt;""""), ""真實收入"",
  TRUE, ""其他""
)"),"其他")</f>
        <v>其他</v>
      </c>
      <c r="K13413" s="270" t="str">
        <f t="shared" si="2"/>
        <v/>
      </c>
      <c r="L13413">
        <f t="shared" si="3"/>
        <v>0</v>
      </c>
    </row>
    <row r="13414">
      <c r="A13414" s="107"/>
      <c r="D13414" s="270"/>
      <c r="H13414" s="106" t="str">
        <f t="shared" si="1"/>
        <v/>
      </c>
      <c r="J13414" t="str">
        <f>IFERROR(__xludf.DUMMYFUNCTION("IFS(
  AND(REGEXMATCH(E13414, ""台銀籌備帳戶|玉山帳戶""), REGEXMATCH(C13414, ""薪資"")), ""分潤支出"",
  AND(REGEXMATCH(E13414, ""Ben帳戶|Elsa帳戶|Ben代墊|Ariel代墊|中信銀行共用""), REGEXMATCH(F13414, ""Ben帳戶|Elsa帳戶|Ben代墊|Ariel代墊|中信銀行共用"")), ""內部轉帳(忽略)"",
  AND(E13414&lt;&gt;"""", F13414&lt;&gt;"&amp;""""", NOT(REGEXMATCH(C13414, ""薪資""))), ""內部轉帳(忽略)"",
  REGEXMATCH(C13414, ""薪資""), ""薪資變動(不計入)"",
  REGEXMATCH(C13414, ""押金""), ""押金往來"",
  AND(E13414&lt;&gt;"""", F13414=""""), ""真實支出"",
  AND(E13414="""", F13414&lt;&gt;""""), ""真實收入"",
  TRUE, ""其他""
)"),"其他")</f>
        <v>其他</v>
      </c>
      <c r="K13414" s="270" t="str">
        <f t="shared" si="2"/>
        <v/>
      </c>
      <c r="L13414">
        <f t="shared" si="3"/>
        <v>0</v>
      </c>
    </row>
    <row r="13415">
      <c r="A13415" s="107"/>
      <c r="D13415" s="270"/>
      <c r="H13415" s="106" t="str">
        <f t="shared" si="1"/>
        <v/>
      </c>
      <c r="J13415" t="str">
        <f>IFERROR(__xludf.DUMMYFUNCTION("IFS(
  AND(REGEXMATCH(E13415, ""台銀籌備帳戶|玉山帳戶""), REGEXMATCH(C13415, ""薪資"")), ""分潤支出"",
  AND(REGEXMATCH(E13415, ""Ben帳戶|Elsa帳戶|Ben代墊|Ariel代墊|中信銀行共用""), REGEXMATCH(F13415, ""Ben帳戶|Elsa帳戶|Ben代墊|Ariel代墊|中信銀行共用"")), ""內部轉帳(忽略)"",
  AND(E13415&lt;&gt;"""", F13415&lt;&gt;"&amp;""""", NOT(REGEXMATCH(C13415, ""薪資""))), ""內部轉帳(忽略)"",
  REGEXMATCH(C13415, ""薪資""), ""薪資變動(不計入)"",
  REGEXMATCH(C13415, ""押金""), ""押金往來"",
  AND(E13415&lt;&gt;"""", F13415=""""), ""真實支出"",
  AND(E13415="""", F13415&lt;&gt;""""), ""真實收入"",
  TRUE, ""其他""
)"),"其他")</f>
        <v>其他</v>
      </c>
      <c r="K13415" s="270" t="str">
        <f t="shared" si="2"/>
        <v/>
      </c>
      <c r="L13415">
        <f t="shared" si="3"/>
        <v>0</v>
      </c>
    </row>
    <row r="13416">
      <c r="A13416" s="107"/>
      <c r="D13416" s="270"/>
      <c r="H13416" s="106" t="str">
        <f t="shared" si="1"/>
        <v/>
      </c>
      <c r="J13416" t="str">
        <f>IFERROR(__xludf.DUMMYFUNCTION("IFS(
  AND(REGEXMATCH(E13416, ""台銀籌備帳戶|玉山帳戶""), REGEXMATCH(C13416, ""薪資"")), ""分潤支出"",
  AND(REGEXMATCH(E13416, ""Ben帳戶|Elsa帳戶|Ben代墊|Ariel代墊|中信銀行共用""), REGEXMATCH(F13416, ""Ben帳戶|Elsa帳戶|Ben代墊|Ariel代墊|中信銀行共用"")), ""內部轉帳(忽略)"",
  AND(E13416&lt;&gt;"""", F13416&lt;&gt;"&amp;""""", NOT(REGEXMATCH(C13416, ""薪資""))), ""內部轉帳(忽略)"",
  REGEXMATCH(C13416, ""薪資""), ""薪資變動(不計入)"",
  REGEXMATCH(C13416, ""押金""), ""押金往來"",
  AND(E13416&lt;&gt;"""", F13416=""""), ""真實支出"",
  AND(E13416="""", F13416&lt;&gt;""""), ""真實收入"",
  TRUE, ""其他""
)"),"其他")</f>
        <v>其他</v>
      </c>
      <c r="K13416" s="270" t="str">
        <f t="shared" si="2"/>
        <v/>
      </c>
      <c r="L13416">
        <f t="shared" si="3"/>
        <v>0</v>
      </c>
    </row>
    <row r="13417">
      <c r="A13417" s="107"/>
      <c r="D13417" s="270"/>
      <c r="H13417" s="106" t="str">
        <f t="shared" si="1"/>
        <v/>
      </c>
      <c r="J13417" t="str">
        <f>IFERROR(__xludf.DUMMYFUNCTION("IFS(
  AND(REGEXMATCH(E13417, ""台銀籌備帳戶|玉山帳戶""), REGEXMATCH(C13417, ""薪資"")), ""分潤支出"",
  AND(REGEXMATCH(E13417, ""Ben帳戶|Elsa帳戶|Ben代墊|Ariel代墊|中信銀行共用""), REGEXMATCH(F13417, ""Ben帳戶|Elsa帳戶|Ben代墊|Ariel代墊|中信銀行共用"")), ""內部轉帳(忽略)"",
  AND(E13417&lt;&gt;"""", F13417&lt;&gt;"&amp;""""", NOT(REGEXMATCH(C13417, ""薪資""))), ""內部轉帳(忽略)"",
  REGEXMATCH(C13417, ""薪資""), ""薪資變動(不計入)"",
  REGEXMATCH(C13417, ""押金""), ""押金往來"",
  AND(E13417&lt;&gt;"""", F13417=""""), ""真實支出"",
  AND(E13417="""", F13417&lt;&gt;""""), ""真實收入"",
  TRUE, ""其他""
)"),"其他")</f>
        <v>其他</v>
      </c>
      <c r="K13417" s="270" t="str">
        <f t="shared" si="2"/>
        <v/>
      </c>
      <c r="L13417">
        <f t="shared" si="3"/>
        <v>0</v>
      </c>
    </row>
    <row r="13418">
      <c r="A13418" s="107"/>
      <c r="D13418" s="270"/>
      <c r="H13418" s="106" t="str">
        <f t="shared" si="1"/>
        <v/>
      </c>
      <c r="J13418" t="str">
        <f>IFERROR(__xludf.DUMMYFUNCTION("IFS(
  AND(REGEXMATCH(E13418, ""台銀籌備帳戶|玉山帳戶""), REGEXMATCH(C13418, ""薪資"")), ""分潤支出"",
  AND(REGEXMATCH(E13418, ""Ben帳戶|Elsa帳戶|Ben代墊|Ariel代墊|中信銀行共用""), REGEXMATCH(F13418, ""Ben帳戶|Elsa帳戶|Ben代墊|Ariel代墊|中信銀行共用"")), ""內部轉帳(忽略)"",
  AND(E13418&lt;&gt;"""", F13418&lt;&gt;"&amp;""""", NOT(REGEXMATCH(C13418, ""薪資""))), ""內部轉帳(忽略)"",
  REGEXMATCH(C13418, ""薪資""), ""薪資變動(不計入)"",
  REGEXMATCH(C13418, ""押金""), ""押金往來"",
  AND(E13418&lt;&gt;"""", F13418=""""), ""真實支出"",
  AND(E13418="""", F13418&lt;&gt;""""), ""真實收入"",
  TRUE, ""其他""
)"),"其他")</f>
        <v>其他</v>
      </c>
      <c r="K13418" s="270" t="str">
        <f t="shared" si="2"/>
        <v/>
      </c>
      <c r="L13418">
        <f t="shared" si="3"/>
        <v>0</v>
      </c>
    </row>
    <row r="13419">
      <c r="A13419" s="107"/>
      <c r="D13419" s="270"/>
      <c r="H13419" s="106" t="str">
        <f t="shared" si="1"/>
        <v/>
      </c>
      <c r="J13419" t="str">
        <f>IFERROR(__xludf.DUMMYFUNCTION("IFS(
  AND(REGEXMATCH(E13419, ""台銀籌備帳戶|玉山帳戶""), REGEXMATCH(C13419, ""薪資"")), ""分潤支出"",
  AND(REGEXMATCH(E13419, ""Ben帳戶|Elsa帳戶|Ben代墊|Ariel代墊|中信銀行共用""), REGEXMATCH(F13419, ""Ben帳戶|Elsa帳戶|Ben代墊|Ariel代墊|中信銀行共用"")), ""內部轉帳(忽略)"",
  AND(E13419&lt;&gt;"""", F13419&lt;&gt;"&amp;""""", NOT(REGEXMATCH(C13419, ""薪資""))), ""內部轉帳(忽略)"",
  REGEXMATCH(C13419, ""薪資""), ""薪資變動(不計入)"",
  REGEXMATCH(C13419, ""押金""), ""押金往來"",
  AND(E13419&lt;&gt;"""", F13419=""""), ""真實支出"",
  AND(E13419="""", F13419&lt;&gt;""""), ""真實收入"",
  TRUE, ""其他""
)"),"其他")</f>
        <v>其他</v>
      </c>
      <c r="K13419" s="270" t="str">
        <f t="shared" si="2"/>
        <v/>
      </c>
      <c r="L13419">
        <f t="shared" si="3"/>
        <v>0</v>
      </c>
    </row>
    <row r="13420">
      <c r="A13420" s="107"/>
      <c r="D13420" s="270"/>
      <c r="H13420" s="106" t="str">
        <f t="shared" si="1"/>
        <v/>
      </c>
      <c r="J13420" t="str">
        <f>IFERROR(__xludf.DUMMYFUNCTION("IFS(
  AND(REGEXMATCH(E13420, ""台銀籌備帳戶|玉山帳戶""), REGEXMATCH(C13420, ""薪資"")), ""分潤支出"",
  AND(REGEXMATCH(E13420, ""Ben帳戶|Elsa帳戶|Ben代墊|Ariel代墊|中信銀行共用""), REGEXMATCH(F13420, ""Ben帳戶|Elsa帳戶|Ben代墊|Ariel代墊|中信銀行共用"")), ""內部轉帳(忽略)"",
  AND(E13420&lt;&gt;"""", F13420&lt;&gt;"&amp;""""", NOT(REGEXMATCH(C13420, ""薪資""))), ""內部轉帳(忽略)"",
  REGEXMATCH(C13420, ""薪資""), ""薪資變動(不計入)"",
  REGEXMATCH(C13420, ""押金""), ""押金往來"",
  AND(E13420&lt;&gt;"""", F13420=""""), ""真實支出"",
  AND(E13420="""", F13420&lt;&gt;""""), ""真實收入"",
  TRUE, ""其他""
)"),"其他")</f>
        <v>其他</v>
      </c>
      <c r="K13420" s="270" t="str">
        <f t="shared" si="2"/>
        <v/>
      </c>
      <c r="L13420">
        <f t="shared" si="3"/>
        <v>0</v>
      </c>
    </row>
    <row r="13421">
      <c r="A13421" s="107"/>
      <c r="D13421" s="270"/>
      <c r="H13421" s="106" t="str">
        <f t="shared" si="1"/>
        <v/>
      </c>
      <c r="J13421" t="str">
        <f>IFERROR(__xludf.DUMMYFUNCTION("IFS(
  AND(REGEXMATCH(E13421, ""台銀籌備帳戶|玉山帳戶""), REGEXMATCH(C13421, ""薪資"")), ""分潤支出"",
  AND(REGEXMATCH(E13421, ""Ben帳戶|Elsa帳戶|Ben代墊|Ariel代墊|中信銀行共用""), REGEXMATCH(F13421, ""Ben帳戶|Elsa帳戶|Ben代墊|Ariel代墊|中信銀行共用"")), ""內部轉帳(忽略)"",
  AND(E13421&lt;&gt;"""", F13421&lt;&gt;"&amp;""""", NOT(REGEXMATCH(C13421, ""薪資""))), ""內部轉帳(忽略)"",
  REGEXMATCH(C13421, ""薪資""), ""薪資變動(不計入)"",
  REGEXMATCH(C13421, ""押金""), ""押金往來"",
  AND(E13421&lt;&gt;"""", F13421=""""), ""真實支出"",
  AND(E13421="""", F13421&lt;&gt;""""), ""真實收入"",
  TRUE, ""其他""
)"),"其他")</f>
        <v>其他</v>
      </c>
      <c r="K13421" s="270" t="str">
        <f t="shared" si="2"/>
        <v/>
      </c>
      <c r="L13421">
        <f t="shared" si="3"/>
        <v>0</v>
      </c>
    </row>
    <row r="13422">
      <c r="A13422" s="107"/>
      <c r="D13422" s="270"/>
      <c r="H13422" s="106" t="str">
        <f t="shared" si="1"/>
        <v/>
      </c>
      <c r="J13422" t="str">
        <f>IFERROR(__xludf.DUMMYFUNCTION("IFS(
  AND(REGEXMATCH(E13422, ""台銀籌備帳戶|玉山帳戶""), REGEXMATCH(C13422, ""薪資"")), ""分潤支出"",
  AND(REGEXMATCH(E13422, ""Ben帳戶|Elsa帳戶|Ben代墊|Ariel代墊|中信銀行共用""), REGEXMATCH(F13422, ""Ben帳戶|Elsa帳戶|Ben代墊|Ariel代墊|中信銀行共用"")), ""內部轉帳(忽略)"",
  AND(E13422&lt;&gt;"""", F13422&lt;&gt;"&amp;""""", NOT(REGEXMATCH(C13422, ""薪資""))), ""內部轉帳(忽略)"",
  REGEXMATCH(C13422, ""薪資""), ""薪資變動(不計入)"",
  REGEXMATCH(C13422, ""押金""), ""押金往來"",
  AND(E13422&lt;&gt;"""", F13422=""""), ""真實支出"",
  AND(E13422="""", F13422&lt;&gt;""""), ""真實收入"",
  TRUE, ""其他""
)"),"其他")</f>
        <v>其他</v>
      </c>
      <c r="K13422" s="270" t="str">
        <f t="shared" si="2"/>
        <v/>
      </c>
      <c r="L13422">
        <f t="shared" si="3"/>
        <v>0</v>
      </c>
    </row>
    <row r="13423">
      <c r="A13423" s="107"/>
      <c r="D13423" s="270"/>
      <c r="H13423" s="106" t="str">
        <f t="shared" si="1"/>
        <v/>
      </c>
      <c r="J13423" t="str">
        <f>IFERROR(__xludf.DUMMYFUNCTION("IFS(
  AND(REGEXMATCH(E13423, ""台銀籌備帳戶|玉山帳戶""), REGEXMATCH(C13423, ""薪資"")), ""分潤支出"",
  AND(REGEXMATCH(E13423, ""Ben帳戶|Elsa帳戶|Ben代墊|Ariel代墊|中信銀行共用""), REGEXMATCH(F13423, ""Ben帳戶|Elsa帳戶|Ben代墊|Ariel代墊|中信銀行共用"")), ""內部轉帳(忽略)"",
  AND(E13423&lt;&gt;"""", F13423&lt;&gt;"&amp;""""", NOT(REGEXMATCH(C13423, ""薪資""))), ""內部轉帳(忽略)"",
  REGEXMATCH(C13423, ""薪資""), ""薪資變動(不計入)"",
  REGEXMATCH(C13423, ""押金""), ""押金往來"",
  AND(E13423&lt;&gt;"""", F13423=""""), ""真實支出"",
  AND(E13423="""", F13423&lt;&gt;""""), ""真實收入"",
  TRUE, ""其他""
)"),"其他")</f>
        <v>其他</v>
      </c>
      <c r="K13423" s="270" t="str">
        <f t="shared" si="2"/>
        <v/>
      </c>
      <c r="L13423">
        <f t="shared" si="3"/>
        <v>0</v>
      </c>
    </row>
    <row r="13424">
      <c r="A13424" s="107"/>
      <c r="D13424" s="270"/>
      <c r="H13424" s="106" t="str">
        <f t="shared" si="1"/>
        <v/>
      </c>
      <c r="J13424" t="str">
        <f>IFERROR(__xludf.DUMMYFUNCTION("IFS(
  AND(REGEXMATCH(E13424, ""台銀籌備帳戶|玉山帳戶""), REGEXMATCH(C13424, ""薪資"")), ""分潤支出"",
  AND(REGEXMATCH(E13424, ""Ben帳戶|Elsa帳戶|Ben代墊|Ariel代墊|中信銀行共用""), REGEXMATCH(F13424, ""Ben帳戶|Elsa帳戶|Ben代墊|Ariel代墊|中信銀行共用"")), ""內部轉帳(忽略)"",
  AND(E13424&lt;&gt;"""", F13424&lt;&gt;"&amp;""""", NOT(REGEXMATCH(C13424, ""薪資""))), ""內部轉帳(忽略)"",
  REGEXMATCH(C13424, ""薪資""), ""薪資變動(不計入)"",
  REGEXMATCH(C13424, ""押金""), ""押金往來"",
  AND(E13424&lt;&gt;"""", F13424=""""), ""真實支出"",
  AND(E13424="""", F13424&lt;&gt;""""), ""真實收入"",
  TRUE, ""其他""
)"),"其他")</f>
        <v>其他</v>
      </c>
      <c r="K13424" s="270" t="str">
        <f t="shared" si="2"/>
        <v/>
      </c>
      <c r="L13424">
        <f t="shared" si="3"/>
        <v>0</v>
      </c>
    </row>
    <row r="13425">
      <c r="A13425" s="107"/>
      <c r="D13425" s="270"/>
      <c r="H13425" s="106" t="str">
        <f t="shared" si="1"/>
        <v/>
      </c>
      <c r="J13425" t="str">
        <f>IFERROR(__xludf.DUMMYFUNCTION("IFS(
  AND(REGEXMATCH(E13425, ""台銀籌備帳戶|玉山帳戶""), REGEXMATCH(C13425, ""薪資"")), ""分潤支出"",
  AND(REGEXMATCH(E13425, ""Ben帳戶|Elsa帳戶|Ben代墊|Ariel代墊|中信銀行共用""), REGEXMATCH(F13425, ""Ben帳戶|Elsa帳戶|Ben代墊|Ariel代墊|中信銀行共用"")), ""內部轉帳(忽略)"",
  AND(E13425&lt;&gt;"""", F13425&lt;&gt;"&amp;""""", NOT(REGEXMATCH(C13425, ""薪資""))), ""內部轉帳(忽略)"",
  REGEXMATCH(C13425, ""薪資""), ""薪資變動(不計入)"",
  REGEXMATCH(C13425, ""押金""), ""押金往來"",
  AND(E13425&lt;&gt;"""", F13425=""""), ""真實支出"",
  AND(E13425="""", F13425&lt;&gt;""""), ""真實收入"",
  TRUE, ""其他""
)"),"其他")</f>
        <v>其他</v>
      </c>
      <c r="K13425" s="270" t="str">
        <f t="shared" si="2"/>
        <v/>
      </c>
      <c r="L13425">
        <f t="shared" si="3"/>
        <v>0</v>
      </c>
    </row>
    <row r="13426">
      <c r="A13426" s="107"/>
      <c r="D13426" s="270"/>
      <c r="H13426" s="106" t="str">
        <f t="shared" si="1"/>
        <v/>
      </c>
      <c r="J13426" t="str">
        <f>IFERROR(__xludf.DUMMYFUNCTION("IFS(
  AND(REGEXMATCH(E13426, ""台銀籌備帳戶|玉山帳戶""), REGEXMATCH(C13426, ""薪資"")), ""分潤支出"",
  AND(REGEXMATCH(E13426, ""Ben帳戶|Elsa帳戶|Ben代墊|Ariel代墊|中信銀行共用""), REGEXMATCH(F13426, ""Ben帳戶|Elsa帳戶|Ben代墊|Ariel代墊|中信銀行共用"")), ""內部轉帳(忽略)"",
  AND(E13426&lt;&gt;"""", F13426&lt;&gt;"&amp;""""", NOT(REGEXMATCH(C13426, ""薪資""))), ""內部轉帳(忽略)"",
  REGEXMATCH(C13426, ""薪資""), ""薪資變動(不計入)"",
  REGEXMATCH(C13426, ""押金""), ""押金往來"",
  AND(E13426&lt;&gt;"""", F13426=""""), ""真實支出"",
  AND(E13426="""", F13426&lt;&gt;""""), ""真實收入"",
  TRUE, ""其他""
)"),"其他")</f>
        <v>其他</v>
      </c>
      <c r="K13426" s="270" t="str">
        <f t="shared" si="2"/>
        <v/>
      </c>
      <c r="L13426">
        <f t="shared" si="3"/>
        <v>0</v>
      </c>
    </row>
    <row r="13427">
      <c r="A13427" s="107"/>
      <c r="D13427" s="270"/>
      <c r="H13427" s="106" t="str">
        <f t="shared" si="1"/>
        <v/>
      </c>
      <c r="J13427" t="str">
        <f>IFERROR(__xludf.DUMMYFUNCTION("IFS(
  AND(REGEXMATCH(E13427, ""台銀籌備帳戶|玉山帳戶""), REGEXMATCH(C13427, ""薪資"")), ""分潤支出"",
  AND(REGEXMATCH(E13427, ""Ben帳戶|Elsa帳戶|Ben代墊|Ariel代墊|中信銀行共用""), REGEXMATCH(F13427, ""Ben帳戶|Elsa帳戶|Ben代墊|Ariel代墊|中信銀行共用"")), ""內部轉帳(忽略)"",
  AND(E13427&lt;&gt;"""", F13427&lt;&gt;"&amp;""""", NOT(REGEXMATCH(C13427, ""薪資""))), ""內部轉帳(忽略)"",
  REGEXMATCH(C13427, ""薪資""), ""薪資變動(不計入)"",
  REGEXMATCH(C13427, ""押金""), ""押金往來"",
  AND(E13427&lt;&gt;"""", F13427=""""), ""真實支出"",
  AND(E13427="""", F13427&lt;&gt;""""), ""真實收入"",
  TRUE, ""其他""
)"),"其他")</f>
        <v>其他</v>
      </c>
      <c r="K13427" s="270" t="str">
        <f t="shared" si="2"/>
        <v/>
      </c>
      <c r="L13427">
        <f t="shared" si="3"/>
        <v>0</v>
      </c>
    </row>
    <row r="13428">
      <c r="A13428" s="107"/>
      <c r="D13428" s="270"/>
      <c r="H13428" s="106" t="str">
        <f t="shared" si="1"/>
        <v/>
      </c>
      <c r="J13428" t="str">
        <f>IFERROR(__xludf.DUMMYFUNCTION("IFS(
  AND(REGEXMATCH(E13428, ""台銀籌備帳戶|玉山帳戶""), REGEXMATCH(C13428, ""薪資"")), ""分潤支出"",
  AND(REGEXMATCH(E13428, ""Ben帳戶|Elsa帳戶|Ben代墊|Ariel代墊|中信銀行共用""), REGEXMATCH(F13428, ""Ben帳戶|Elsa帳戶|Ben代墊|Ariel代墊|中信銀行共用"")), ""內部轉帳(忽略)"",
  AND(E13428&lt;&gt;"""", F13428&lt;&gt;"&amp;""""", NOT(REGEXMATCH(C13428, ""薪資""))), ""內部轉帳(忽略)"",
  REGEXMATCH(C13428, ""薪資""), ""薪資變動(不計入)"",
  REGEXMATCH(C13428, ""押金""), ""押金往來"",
  AND(E13428&lt;&gt;"""", F13428=""""), ""真實支出"",
  AND(E13428="""", F13428&lt;&gt;""""), ""真實收入"",
  TRUE, ""其他""
)"),"其他")</f>
        <v>其他</v>
      </c>
      <c r="K13428" s="270" t="str">
        <f t="shared" si="2"/>
        <v/>
      </c>
      <c r="L13428">
        <f t="shared" si="3"/>
        <v>0</v>
      </c>
    </row>
    <row r="13429">
      <c r="A13429" s="107"/>
      <c r="D13429" s="270"/>
      <c r="H13429" s="106" t="str">
        <f t="shared" si="1"/>
        <v/>
      </c>
      <c r="J13429" t="str">
        <f>IFERROR(__xludf.DUMMYFUNCTION("IFS(
  AND(REGEXMATCH(E13429, ""台銀籌備帳戶|玉山帳戶""), REGEXMATCH(C13429, ""薪資"")), ""分潤支出"",
  AND(REGEXMATCH(E13429, ""Ben帳戶|Elsa帳戶|Ben代墊|Ariel代墊|中信銀行共用""), REGEXMATCH(F13429, ""Ben帳戶|Elsa帳戶|Ben代墊|Ariel代墊|中信銀行共用"")), ""內部轉帳(忽略)"",
  AND(E13429&lt;&gt;"""", F13429&lt;&gt;"&amp;""""", NOT(REGEXMATCH(C13429, ""薪資""))), ""內部轉帳(忽略)"",
  REGEXMATCH(C13429, ""薪資""), ""薪資變動(不計入)"",
  REGEXMATCH(C13429, ""押金""), ""押金往來"",
  AND(E13429&lt;&gt;"""", F13429=""""), ""真實支出"",
  AND(E13429="""", F13429&lt;&gt;""""), ""真實收入"",
  TRUE, ""其他""
)"),"其他")</f>
        <v>其他</v>
      </c>
      <c r="K13429" s="270" t="str">
        <f t="shared" si="2"/>
        <v/>
      </c>
      <c r="L13429">
        <f t="shared" si="3"/>
        <v>0</v>
      </c>
    </row>
    <row r="13430">
      <c r="A13430" s="107"/>
      <c r="D13430" s="270"/>
      <c r="H13430" s="106" t="str">
        <f t="shared" si="1"/>
        <v/>
      </c>
      <c r="J13430" t="str">
        <f>IFERROR(__xludf.DUMMYFUNCTION("IFS(
  AND(REGEXMATCH(E13430, ""台銀籌備帳戶|玉山帳戶""), REGEXMATCH(C13430, ""薪資"")), ""分潤支出"",
  AND(REGEXMATCH(E13430, ""Ben帳戶|Elsa帳戶|Ben代墊|Ariel代墊|中信銀行共用""), REGEXMATCH(F13430, ""Ben帳戶|Elsa帳戶|Ben代墊|Ariel代墊|中信銀行共用"")), ""內部轉帳(忽略)"",
  AND(E13430&lt;&gt;"""", F13430&lt;&gt;"&amp;""""", NOT(REGEXMATCH(C13430, ""薪資""))), ""內部轉帳(忽略)"",
  REGEXMATCH(C13430, ""薪資""), ""薪資變動(不計入)"",
  REGEXMATCH(C13430, ""押金""), ""押金往來"",
  AND(E13430&lt;&gt;"""", F13430=""""), ""真實支出"",
  AND(E13430="""", F13430&lt;&gt;""""), ""真實收入"",
  TRUE, ""其他""
)"),"其他")</f>
        <v>其他</v>
      </c>
      <c r="K13430" s="270" t="str">
        <f t="shared" si="2"/>
        <v/>
      </c>
      <c r="L13430">
        <f t="shared" si="3"/>
        <v>0</v>
      </c>
    </row>
    <row r="13431">
      <c r="A13431" s="107"/>
      <c r="D13431" s="270"/>
      <c r="H13431" s="106" t="str">
        <f t="shared" si="1"/>
        <v/>
      </c>
      <c r="J13431" t="str">
        <f>IFERROR(__xludf.DUMMYFUNCTION("IFS(
  AND(REGEXMATCH(E13431, ""台銀籌備帳戶|玉山帳戶""), REGEXMATCH(C13431, ""薪資"")), ""分潤支出"",
  AND(REGEXMATCH(E13431, ""Ben帳戶|Elsa帳戶|Ben代墊|Ariel代墊|中信銀行共用""), REGEXMATCH(F13431, ""Ben帳戶|Elsa帳戶|Ben代墊|Ariel代墊|中信銀行共用"")), ""內部轉帳(忽略)"",
  AND(E13431&lt;&gt;"""", F13431&lt;&gt;"&amp;""""", NOT(REGEXMATCH(C13431, ""薪資""))), ""內部轉帳(忽略)"",
  REGEXMATCH(C13431, ""薪資""), ""薪資變動(不計入)"",
  REGEXMATCH(C13431, ""押金""), ""押金往來"",
  AND(E13431&lt;&gt;"""", F13431=""""), ""真實支出"",
  AND(E13431="""", F13431&lt;&gt;""""), ""真實收入"",
  TRUE, ""其他""
)"),"其他")</f>
        <v>其他</v>
      </c>
      <c r="K13431" s="270" t="str">
        <f t="shared" si="2"/>
        <v/>
      </c>
      <c r="L13431">
        <f t="shared" si="3"/>
        <v>0</v>
      </c>
    </row>
    <row r="13432">
      <c r="A13432" s="107"/>
      <c r="D13432" s="270"/>
      <c r="H13432" s="106" t="str">
        <f t="shared" si="1"/>
        <v/>
      </c>
      <c r="J13432" t="str">
        <f>IFERROR(__xludf.DUMMYFUNCTION("IFS(
  AND(REGEXMATCH(E13432, ""台銀籌備帳戶|玉山帳戶""), REGEXMATCH(C13432, ""薪資"")), ""分潤支出"",
  AND(REGEXMATCH(E13432, ""Ben帳戶|Elsa帳戶|Ben代墊|Ariel代墊|中信銀行共用""), REGEXMATCH(F13432, ""Ben帳戶|Elsa帳戶|Ben代墊|Ariel代墊|中信銀行共用"")), ""內部轉帳(忽略)"",
  AND(E13432&lt;&gt;"""", F13432&lt;&gt;"&amp;""""", NOT(REGEXMATCH(C13432, ""薪資""))), ""內部轉帳(忽略)"",
  REGEXMATCH(C13432, ""薪資""), ""薪資變動(不計入)"",
  REGEXMATCH(C13432, ""押金""), ""押金往來"",
  AND(E13432&lt;&gt;"""", F13432=""""), ""真實支出"",
  AND(E13432="""", F13432&lt;&gt;""""), ""真實收入"",
  TRUE, ""其他""
)"),"其他")</f>
        <v>其他</v>
      </c>
      <c r="K13432" s="270" t="str">
        <f t="shared" si="2"/>
        <v/>
      </c>
      <c r="L13432">
        <f t="shared" si="3"/>
        <v>0</v>
      </c>
    </row>
    <row r="13433">
      <c r="A13433" s="107"/>
      <c r="D13433" s="270"/>
      <c r="H13433" s="106" t="str">
        <f t="shared" si="1"/>
        <v/>
      </c>
      <c r="J13433" t="str">
        <f>IFERROR(__xludf.DUMMYFUNCTION("IFS(
  AND(REGEXMATCH(E13433, ""台銀籌備帳戶|玉山帳戶""), REGEXMATCH(C13433, ""薪資"")), ""分潤支出"",
  AND(REGEXMATCH(E13433, ""Ben帳戶|Elsa帳戶|Ben代墊|Ariel代墊|中信銀行共用""), REGEXMATCH(F13433, ""Ben帳戶|Elsa帳戶|Ben代墊|Ariel代墊|中信銀行共用"")), ""內部轉帳(忽略)"",
  AND(E13433&lt;&gt;"""", F13433&lt;&gt;"&amp;""""", NOT(REGEXMATCH(C13433, ""薪資""))), ""內部轉帳(忽略)"",
  REGEXMATCH(C13433, ""薪資""), ""薪資變動(不計入)"",
  REGEXMATCH(C13433, ""押金""), ""押金往來"",
  AND(E13433&lt;&gt;"""", F13433=""""), ""真實支出"",
  AND(E13433="""", F13433&lt;&gt;""""), ""真實收入"",
  TRUE, ""其他""
)"),"其他")</f>
        <v>其他</v>
      </c>
      <c r="K13433" s="270" t="str">
        <f t="shared" si="2"/>
        <v/>
      </c>
      <c r="L13433">
        <f t="shared" si="3"/>
        <v>0</v>
      </c>
    </row>
    <row r="13434">
      <c r="A13434" s="107"/>
      <c r="D13434" s="270"/>
      <c r="H13434" s="106" t="str">
        <f t="shared" si="1"/>
        <v/>
      </c>
      <c r="J13434" t="str">
        <f>IFERROR(__xludf.DUMMYFUNCTION("IFS(
  AND(REGEXMATCH(E13434, ""台銀籌備帳戶|玉山帳戶""), REGEXMATCH(C13434, ""薪資"")), ""分潤支出"",
  AND(REGEXMATCH(E13434, ""Ben帳戶|Elsa帳戶|Ben代墊|Ariel代墊|中信銀行共用""), REGEXMATCH(F13434, ""Ben帳戶|Elsa帳戶|Ben代墊|Ariel代墊|中信銀行共用"")), ""內部轉帳(忽略)"",
  AND(E13434&lt;&gt;"""", F13434&lt;&gt;"&amp;""""", NOT(REGEXMATCH(C13434, ""薪資""))), ""內部轉帳(忽略)"",
  REGEXMATCH(C13434, ""薪資""), ""薪資變動(不計入)"",
  REGEXMATCH(C13434, ""押金""), ""押金往來"",
  AND(E13434&lt;&gt;"""", F13434=""""), ""真實支出"",
  AND(E13434="""", F13434&lt;&gt;""""), ""真實收入"",
  TRUE, ""其他""
)"),"其他")</f>
        <v>其他</v>
      </c>
      <c r="K13434" s="270" t="str">
        <f t="shared" si="2"/>
        <v/>
      </c>
      <c r="L13434">
        <f t="shared" si="3"/>
        <v>0</v>
      </c>
    </row>
    <row r="13435">
      <c r="A13435" s="107"/>
      <c r="D13435" s="270"/>
      <c r="H13435" s="106" t="str">
        <f t="shared" si="1"/>
        <v/>
      </c>
      <c r="J13435" t="str">
        <f>IFERROR(__xludf.DUMMYFUNCTION("IFS(
  AND(REGEXMATCH(E13435, ""台銀籌備帳戶|玉山帳戶""), REGEXMATCH(C13435, ""薪資"")), ""分潤支出"",
  AND(REGEXMATCH(E13435, ""Ben帳戶|Elsa帳戶|Ben代墊|Ariel代墊|中信銀行共用""), REGEXMATCH(F13435, ""Ben帳戶|Elsa帳戶|Ben代墊|Ariel代墊|中信銀行共用"")), ""內部轉帳(忽略)"",
  AND(E13435&lt;&gt;"""", F13435&lt;&gt;"&amp;""""", NOT(REGEXMATCH(C13435, ""薪資""))), ""內部轉帳(忽略)"",
  REGEXMATCH(C13435, ""薪資""), ""薪資變動(不計入)"",
  REGEXMATCH(C13435, ""押金""), ""押金往來"",
  AND(E13435&lt;&gt;"""", F13435=""""), ""真實支出"",
  AND(E13435="""", F13435&lt;&gt;""""), ""真實收入"",
  TRUE, ""其他""
)"),"其他")</f>
        <v>其他</v>
      </c>
      <c r="K13435" s="270" t="str">
        <f t="shared" si="2"/>
        <v/>
      </c>
      <c r="L13435">
        <f t="shared" si="3"/>
        <v>0</v>
      </c>
    </row>
    <row r="13436">
      <c r="A13436" s="107"/>
      <c r="D13436" s="270"/>
      <c r="H13436" s="106" t="str">
        <f t="shared" si="1"/>
        <v/>
      </c>
      <c r="J13436" t="str">
        <f>IFERROR(__xludf.DUMMYFUNCTION("IFS(
  AND(REGEXMATCH(E13436, ""台銀籌備帳戶|玉山帳戶""), REGEXMATCH(C13436, ""薪資"")), ""分潤支出"",
  AND(REGEXMATCH(E13436, ""Ben帳戶|Elsa帳戶|Ben代墊|Ariel代墊|中信銀行共用""), REGEXMATCH(F13436, ""Ben帳戶|Elsa帳戶|Ben代墊|Ariel代墊|中信銀行共用"")), ""內部轉帳(忽略)"",
  AND(E13436&lt;&gt;"""", F13436&lt;&gt;"&amp;""""", NOT(REGEXMATCH(C13436, ""薪資""))), ""內部轉帳(忽略)"",
  REGEXMATCH(C13436, ""薪資""), ""薪資變動(不計入)"",
  REGEXMATCH(C13436, ""押金""), ""押金往來"",
  AND(E13436&lt;&gt;"""", F13436=""""), ""真實支出"",
  AND(E13436="""", F13436&lt;&gt;""""), ""真實收入"",
  TRUE, ""其他""
)"),"其他")</f>
        <v>其他</v>
      </c>
      <c r="K13436" s="270" t="str">
        <f t="shared" si="2"/>
        <v/>
      </c>
      <c r="L13436">
        <f t="shared" si="3"/>
        <v>0</v>
      </c>
    </row>
    <row r="13437">
      <c r="A13437" s="107"/>
      <c r="D13437" s="270"/>
      <c r="H13437" s="106" t="str">
        <f t="shared" si="1"/>
        <v/>
      </c>
      <c r="J13437" t="str">
        <f>IFERROR(__xludf.DUMMYFUNCTION("IFS(
  AND(REGEXMATCH(E13437, ""台銀籌備帳戶|玉山帳戶""), REGEXMATCH(C13437, ""薪資"")), ""分潤支出"",
  AND(REGEXMATCH(E13437, ""Ben帳戶|Elsa帳戶|Ben代墊|Ariel代墊|中信銀行共用""), REGEXMATCH(F13437, ""Ben帳戶|Elsa帳戶|Ben代墊|Ariel代墊|中信銀行共用"")), ""內部轉帳(忽略)"",
  AND(E13437&lt;&gt;"""", F13437&lt;&gt;"&amp;""""", NOT(REGEXMATCH(C13437, ""薪資""))), ""內部轉帳(忽略)"",
  REGEXMATCH(C13437, ""薪資""), ""薪資變動(不計入)"",
  REGEXMATCH(C13437, ""押金""), ""押金往來"",
  AND(E13437&lt;&gt;"""", F13437=""""), ""真實支出"",
  AND(E13437="""", F13437&lt;&gt;""""), ""真實收入"",
  TRUE, ""其他""
)"),"其他")</f>
        <v>其他</v>
      </c>
      <c r="K13437" s="270" t="str">
        <f t="shared" si="2"/>
        <v/>
      </c>
      <c r="L13437">
        <f t="shared" si="3"/>
        <v>0</v>
      </c>
    </row>
    <row r="13438">
      <c r="A13438" s="107"/>
      <c r="D13438" s="270"/>
      <c r="H13438" s="106" t="str">
        <f t="shared" si="1"/>
        <v/>
      </c>
      <c r="J13438" t="str">
        <f>IFERROR(__xludf.DUMMYFUNCTION("IFS(
  AND(REGEXMATCH(E13438, ""台銀籌備帳戶|玉山帳戶""), REGEXMATCH(C13438, ""薪資"")), ""分潤支出"",
  AND(REGEXMATCH(E13438, ""Ben帳戶|Elsa帳戶|Ben代墊|Ariel代墊|中信銀行共用""), REGEXMATCH(F13438, ""Ben帳戶|Elsa帳戶|Ben代墊|Ariel代墊|中信銀行共用"")), ""內部轉帳(忽略)"",
  AND(E13438&lt;&gt;"""", F13438&lt;&gt;"&amp;""""", NOT(REGEXMATCH(C13438, ""薪資""))), ""內部轉帳(忽略)"",
  REGEXMATCH(C13438, ""薪資""), ""薪資變動(不計入)"",
  REGEXMATCH(C13438, ""押金""), ""押金往來"",
  AND(E13438&lt;&gt;"""", F13438=""""), ""真實支出"",
  AND(E13438="""", F13438&lt;&gt;""""), ""真實收入"",
  TRUE, ""其他""
)"),"其他")</f>
        <v>其他</v>
      </c>
      <c r="K13438" s="270" t="str">
        <f t="shared" si="2"/>
        <v/>
      </c>
      <c r="L13438">
        <f t="shared" si="3"/>
        <v>0</v>
      </c>
    </row>
    <row r="13439">
      <c r="A13439" s="107"/>
      <c r="D13439" s="270"/>
      <c r="H13439" s="106" t="str">
        <f t="shared" si="1"/>
        <v/>
      </c>
      <c r="J13439" t="str">
        <f>IFERROR(__xludf.DUMMYFUNCTION("IFS(
  AND(REGEXMATCH(E13439, ""台銀籌備帳戶|玉山帳戶""), REGEXMATCH(C13439, ""薪資"")), ""分潤支出"",
  AND(REGEXMATCH(E13439, ""Ben帳戶|Elsa帳戶|Ben代墊|Ariel代墊|中信銀行共用""), REGEXMATCH(F13439, ""Ben帳戶|Elsa帳戶|Ben代墊|Ariel代墊|中信銀行共用"")), ""內部轉帳(忽略)"",
  AND(E13439&lt;&gt;"""", F13439&lt;&gt;"&amp;""""", NOT(REGEXMATCH(C13439, ""薪資""))), ""內部轉帳(忽略)"",
  REGEXMATCH(C13439, ""薪資""), ""薪資變動(不計入)"",
  REGEXMATCH(C13439, ""押金""), ""押金往來"",
  AND(E13439&lt;&gt;"""", F13439=""""), ""真實支出"",
  AND(E13439="""", F13439&lt;&gt;""""), ""真實收入"",
  TRUE, ""其他""
)"),"其他")</f>
        <v>其他</v>
      </c>
      <c r="K13439" s="270" t="str">
        <f t="shared" si="2"/>
        <v/>
      </c>
      <c r="L13439">
        <f t="shared" si="3"/>
        <v>0</v>
      </c>
    </row>
    <row r="13440">
      <c r="A13440" s="107"/>
      <c r="D13440" s="270"/>
      <c r="H13440" s="106" t="str">
        <f t="shared" si="1"/>
        <v/>
      </c>
      <c r="J13440" t="str">
        <f>IFERROR(__xludf.DUMMYFUNCTION("IFS(
  AND(REGEXMATCH(E13440, ""台銀籌備帳戶|玉山帳戶""), REGEXMATCH(C13440, ""薪資"")), ""分潤支出"",
  AND(REGEXMATCH(E13440, ""Ben帳戶|Elsa帳戶|Ben代墊|Ariel代墊|中信銀行共用""), REGEXMATCH(F13440, ""Ben帳戶|Elsa帳戶|Ben代墊|Ariel代墊|中信銀行共用"")), ""內部轉帳(忽略)"",
  AND(E13440&lt;&gt;"""", F13440&lt;&gt;"&amp;""""", NOT(REGEXMATCH(C13440, ""薪資""))), ""內部轉帳(忽略)"",
  REGEXMATCH(C13440, ""薪資""), ""薪資變動(不計入)"",
  REGEXMATCH(C13440, ""押金""), ""押金往來"",
  AND(E13440&lt;&gt;"""", F13440=""""), ""真實支出"",
  AND(E13440="""", F13440&lt;&gt;""""), ""真實收入"",
  TRUE, ""其他""
)"),"其他")</f>
        <v>其他</v>
      </c>
      <c r="K13440" s="270" t="str">
        <f t="shared" si="2"/>
        <v/>
      </c>
      <c r="L13440">
        <f t="shared" si="3"/>
        <v>0</v>
      </c>
    </row>
    <row r="13441">
      <c r="A13441" s="107"/>
      <c r="D13441" s="270"/>
      <c r="H13441" s="106" t="str">
        <f t="shared" si="1"/>
        <v/>
      </c>
      <c r="J13441" t="str">
        <f>IFERROR(__xludf.DUMMYFUNCTION("IFS(
  AND(REGEXMATCH(E13441, ""台銀籌備帳戶|玉山帳戶""), REGEXMATCH(C13441, ""薪資"")), ""分潤支出"",
  AND(REGEXMATCH(E13441, ""Ben帳戶|Elsa帳戶|Ben代墊|Ariel代墊|中信銀行共用""), REGEXMATCH(F13441, ""Ben帳戶|Elsa帳戶|Ben代墊|Ariel代墊|中信銀行共用"")), ""內部轉帳(忽略)"",
  AND(E13441&lt;&gt;"""", F13441&lt;&gt;"&amp;""""", NOT(REGEXMATCH(C13441, ""薪資""))), ""內部轉帳(忽略)"",
  REGEXMATCH(C13441, ""薪資""), ""薪資變動(不計入)"",
  REGEXMATCH(C13441, ""押金""), ""押金往來"",
  AND(E13441&lt;&gt;"""", F13441=""""), ""真實支出"",
  AND(E13441="""", F13441&lt;&gt;""""), ""真實收入"",
  TRUE, ""其他""
)"),"其他")</f>
        <v>其他</v>
      </c>
      <c r="K13441" s="270" t="str">
        <f t="shared" si="2"/>
        <v/>
      </c>
      <c r="L13441">
        <f t="shared" si="3"/>
        <v>0</v>
      </c>
    </row>
    <row r="13442">
      <c r="A13442" s="107"/>
      <c r="D13442" s="270"/>
      <c r="H13442" s="106" t="str">
        <f t="shared" si="1"/>
        <v/>
      </c>
      <c r="J13442" t="str">
        <f>IFERROR(__xludf.DUMMYFUNCTION("IFS(
  AND(REGEXMATCH(E13442, ""台銀籌備帳戶|玉山帳戶""), REGEXMATCH(C13442, ""薪資"")), ""分潤支出"",
  AND(REGEXMATCH(E13442, ""Ben帳戶|Elsa帳戶|Ben代墊|Ariel代墊|中信銀行共用""), REGEXMATCH(F13442, ""Ben帳戶|Elsa帳戶|Ben代墊|Ariel代墊|中信銀行共用"")), ""內部轉帳(忽略)"",
  AND(E13442&lt;&gt;"""", F13442&lt;&gt;"&amp;""""", NOT(REGEXMATCH(C13442, ""薪資""))), ""內部轉帳(忽略)"",
  REGEXMATCH(C13442, ""薪資""), ""薪資變動(不計入)"",
  REGEXMATCH(C13442, ""押金""), ""押金往來"",
  AND(E13442&lt;&gt;"""", F13442=""""), ""真實支出"",
  AND(E13442="""", F13442&lt;&gt;""""), ""真實收入"",
  TRUE, ""其他""
)"),"其他")</f>
        <v>其他</v>
      </c>
      <c r="K13442" s="270" t="str">
        <f t="shared" si="2"/>
        <v/>
      </c>
      <c r="L13442">
        <f t="shared" si="3"/>
        <v>0</v>
      </c>
    </row>
    <row r="13443">
      <c r="A13443" s="107"/>
      <c r="D13443" s="270"/>
      <c r="H13443" s="106" t="str">
        <f t="shared" si="1"/>
        <v/>
      </c>
      <c r="J13443" t="str">
        <f>IFERROR(__xludf.DUMMYFUNCTION("IFS(
  AND(REGEXMATCH(E13443, ""台銀籌備帳戶|玉山帳戶""), REGEXMATCH(C13443, ""薪資"")), ""分潤支出"",
  AND(REGEXMATCH(E13443, ""Ben帳戶|Elsa帳戶|Ben代墊|Ariel代墊|中信銀行共用""), REGEXMATCH(F13443, ""Ben帳戶|Elsa帳戶|Ben代墊|Ariel代墊|中信銀行共用"")), ""內部轉帳(忽略)"",
  AND(E13443&lt;&gt;"""", F13443&lt;&gt;"&amp;""""", NOT(REGEXMATCH(C13443, ""薪資""))), ""內部轉帳(忽略)"",
  REGEXMATCH(C13443, ""薪資""), ""薪資變動(不計入)"",
  REGEXMATCH(C13443, ""押金""), ""押金往來"",
  AND(E13443&lt;&gt;"""", F13443=""""), ""真實支出"",
  AND(E13443="""", F13443&lt;&gt;""""), ""真實收入"",
  TRUE, ""其他""
)"),"其他")</f>
        <v>其他</v>
      </c>
      <c r="K13443" s="270" t="str">
        <f t="shared" si="2"/>
        <v/>
      </c>
      <c r="L13443">
        <f t="shared" si="3"/>
        <v>0</v>
      </c>
    </row>
    <row r="13444">
      <c r="A13444" s="107"/>
      <c r="D13444" s="270"/>
      <c r="H13444" s="106" t="str">
        <f t="shared" si="1"/>
        <v/>
      </c>
      <c r="J13444" t="str">
        <f>IFERROR(__xludf.DUMMYFUNCTION("IFS(
  AND(REGEXMATCH(E13444, ""台銀籌備帳戶|玉山帳戶""), REGEXMATCH(C13444, ""薪資"")), ""分潤支出"",
  AND(REGEXMATCH(E13444, ""Ben帳戶|Elsa帳戶|Ben代墊|Ariel代墊|中信銀行共用""), REGEXMATCH(F13444, ""Ben帳戶|Elsa帳戶|Ben代墊|Ariel代墊|中信銀行共用"")), ""內部轉帳(忽略)"",
  AND(E13444&lt;&gt;"""", F13444&lt;&gt;"&amp;""""", NOT(REGEXMATCH(C13444, ""薪資""))), ""內部轉帳(忽略)"",
  REGEXMATCH(C13444, ""薪資""), ""薪資變動(不計入)"",
  REGEXMATCH(C13444, ""押金""), ""押金往來"",
  AND(E13444&lt;&gt;"""", F13444=""""), ""真實支出"",
  AND(E13444="""", F13444&lt;&gt;""""), ""真實收入"",
  TRUE, ""其他""
)"),"其他")</f>
        <v>其他</v>
      </c>
      <c r="K13444" s="270" t="str">
        <f t="shared" si="2"/>
        <v/>
      </c>
      <c r="L13444">
        <f t="shared" si="3"/>
        <v>0</v>
      </c>
    </row>
    <row r="13445">
      <c r="A13445" s="107"/>
      <c r="D13445" s="270"/>
      <c r="H13445" s="106" t="str">
        <f t="shared" si="1"/>
        <v/>
      </c>
      <c r="J13445" t="str">
        <f>IFERROR(__xludf.DUMMYFUNCTION("IFS(
  AND(REGEXMATCH(E13445, ""台銀籌備帳戶|玉山帳戶""), REGEXMATCH(C13445, ""薪資"")), ""分潤支出"",
  AND(REGEXMATCH(E13445, ""Ben帳戶|Elsa帳戶|Ben代墊|Ariel代墊|中信銀行共用""), REGEXMATCH(F13445, ""Ben帳戶|Elsa帳戶|Ben代墊|Ariel代墊|中信銀行共用"")), ""內部轉帳(忽略)"",
  AND(E13445&lt;&gt;"""", F13445&lt;&gt;"&amp;""""", NOT(REGEXMATCH(C13445, ""薪資""))), ""內部轉帳(忽略)"",
  REGEXMATCH(C13445, ""薪資""), ""薪資變動(不計入)"",
  REGEXMATCH(C13445, ""押金""), ""押金往來"",
  AND(E13445&lt;&gt;"""", F13445=""""), ""真實支出"",
  AND(E13445="""", F13445&lt;&gt;""""), ""真實收入"",
  TRUE, ""其他""
)"),"其他")</f>
        <v>其他</v>
      </c>
      <c r="K13445" s="270" t="str">
        <f t="shared" si="2"/>
        <v/>
      </c>
      <c r="L13445">
        <f t="shared" si="3"/>
        <v>0</v>
      </c>
    </row>
    <row r="13446">
      <c r="A13446" s="107"/>
      <c r="D13446" s="270"/>
      <c r="H13446" s="106" t="str">
        <f t="shared" si="1"/>
        <v/>
      </c>
      <c r="J13446" t="str">
        <f>IFERROR(__xludf.DUMMYFUNCTION("IFS(
  AND(REGEXMATCH(E13446, ""台銀籌備帳戶|玉山帳戶""), REGEXMATCH(C13446, ""薪資"")), ""分潤支出"",
  AND(REGEXMATCH(E13446, ""Ben帳戶|Elsa帳戶|Ben代墊|Ariel代墊|中信銀行共用""), REGEXMATCH(F13446, ""Ben帳戶|Elsa帳戶|Ben代墊|Ariel代墊|中信銀行共用"")), ""內部轉帳(忽略)"",
  AND(E13446&lt;&gt;"""", F13446&lt;&gt;"&amp;""""", NOT(REGEXMATCH(C13446, ""薪資""))), ""內部轉帳(忽略)"",
  REGEXMATCH(C13446, ""薪資""), ""薪資變動(不計入)"",
  REGEXMATCH(C13446, ""押金""), ""押金往來"",
  AND(E13446&lt;&gt;"""", F13446=""""), ""真實支出"",
  AND(E13446="""", F13446&lt;&gt;""""), ""真實收入"",
  TRUE, ""其他""
)"),"其他")</f>
        <v>其他</v>
      </c>
      <c r="K13446" s="270" t="str">
        <f t="shared" si="2"/>
        <v/>
      </c>
      <c r="L13446">
        <f t="shared" si="3"/>
        <v>0</v>
      </c>
    </row>
    <row r="13447">
      <c r="A13447" s="107"/>
      <c r="D13447" s="270"/>
      <c r="H13447" s="106" t="str">
        <f t="shared" si="1"/>
        <v/>
      </c>
      <c r="J13447" t="str">
        <f>IFERROR(__xludf.DUMMYFUNCTION("IFS(
  AND(REGEXMATCH(E13447, ""台銀籌備帳戶|玉山帳戶""), REGEXMATCH(C13447, ""薪資"")), ""分潤支出"",
  AND(REGEXMATCH(E13447, ""Ben帳戶|Elsa帳戶|Ben代墊|Ariel代墊|中信銀行共用""), REGEXMATCH(F13447, ""Ben帳戶|Elsa帳戶|Ben代墊|Ariel代墊|中信銀行共用"")), ""內部轉帳(忽略)"",
  AND(E13447&lt;&gt;"""", F13447&lt;&gt;"&amp;""""", NOT(REGEXMATCH(C13447, ""薪資""))), ""內部轉帳(忽略)"",
  REGEXMATCH(C13447, ""薪資""), ""薪資變動(不計入)"",
  REGEXMATCH(C13447, ""押金""), ""押金往來"",
  AND(E13447&lt;&gt;"""", F13447=""""), ""真實支出"",
  AND(E13447="""", F13447&lt;&gt;""""), ""真實收入"",
  TRUE, ""其他""
)"),"其他")</f>
        <v>其他</v>
      </c>
      <c r="K13447" s="270" t="str">
        <f t="shared" si="2"/>
        <v/>
      </c>
      <c r="L13447">
        <f t="shared" si="3"/>
        <v>0</v>
      </c>
    </row>
    <row r="13448">
      <c r="A13448" s="107"/>
      <c r="D13448" s="270"/>
      <c r="H13448" s="106" t="str">
        <f t="shared" si="1"/>
        <v/>
      </c>
      <c r="J13448" t="str">
        <f>IFERROR(__xludf.DUMMYFUNCTION("IFS(
  AND(REGEXMATCH(E13448, ""台銀籌備帳戶|玉山帳戶""), REGEXMATCH(C13448, ""薪資"")), ""分潤支出"",
  AND(REGEXMATCH(E13448, ""Ben帳戶|Elsa帳戶|Ben代墊|Ariel代墊|中信銀行共用""), REGEXMATCH(F13448, ""Ben帳戶|Elsa帳戶|Ben代墊|Ariel代墊|中信銀行共用"")), ""內部轉帳(忽略)"",
  AND(E13448&lt;&gt;"""", F13448&lt;&gt;"&amp;""""", NOT(REGEXMATCH(C13448, ""薪資""))), ""內部轉帳(忽略)"",
  REGEXMATCH(C13448, ""薪資""), ""薪資變動(不計入)"",
  REGEXMATCH(C13448, ""押金""), ""押金往來"",
  AND(E13448&lt;&gt;"""", F13448=""""), ""真實支出"",
  AND(E13448="""", F13448&lt;&gt;""""), ""真實收入"",
  TRUE, ""其他""
)"),"其他")</f>
        <v>其他</v>
      </c>
      <c r="K13448" s="270" t="str">
        <f t="shared" si="2"/>
        <v/>
      </c>
      <c r="L13448">
        <f t="shared" si="3"/>
        <v>0</v>
      </c>
    </row>
    <row r="13449">
      <c r="A13449" s="107"/>
      <c r="D13449" s="270"/>
      <c r="H13449" s="106" t="str">
        <f t="shared" si="1"/>
        <v/>
      </c>
      <c r="J13449" t="str">
        <f>IFERROR(__xludf.DUMMYFUNCTION("IFS(
  AND(REGEXMATCH(E13449, ""台銀籌備帳戶|玉山帳戶""), REGEXMATCH(C13449, ""薪資"")), ""分潤支出"",
  AND(REGEXMATCH(E13449, ""Ben帳戶|Elsa帳戶|Ben代墊|Ariel代墊|中信銀行共用""), REGEXMATCH(F13449, ""Ben帳戶|Elsa帳戶|Ben代墊|Ariel代墊|中信銀行共用"")), ""內部轉帳(忽略)"",
  AND(E13449&lt;&gt;"""", F13449&lt;&gt;"&amp;""""", NOT(REGEXMATCH(C13449, ""薪資""))), ""內部轉帳(忽略)"",
  REGEXMATCH(C13449, ""薪資""), ""薪資變動(不計入)"",
  REGEXMATCH(C13449, ""押金""), ""押金往來"",
  AND(E13449&lt;&gt;"""", F13449=""""), ""真實支出"",
  AND(E13449="""", F13449&lt;&gt;""""), ""真實收入"",
  TRUE, ""其他""
)"),"其他")</f>
        <v>其他</v>
      </c>
      <c r="K13449" s="270" t="str">
        <f t="shared" si="2"/>
        <v/>
      </c>
      <c r="L13449">
        <f t="shared" si="3"/>
        <v>0</v>
      </c>
    </row>
    <row r="13450">
      <c r="A13450" s="107"/>
      <c r="D13450" s="270"/>
      <c r="H13450" s="106" t="str">
        <f t="shared" si="1"/>
        <v/>
      </c>
      <c r="J13450" t="str">
        <f>IFERROR(__xludf.DUMMYFUNCTION("IFS(
  AND(REGEXMATCH(E13450, ""台銀籌備帳戶|玉山帳戶""), REGEXMATCH(C13450, ""薪資"")), ""分潤支出"",
  AND(REGEXMATCH(E13450, ""Ben帳戶|Elsa帳戶|Ben代墊|Ariel代墊|中信銀行共用""), REGEXMATCH(F13450, ""Ben帳戶|Elsa帳戶|Ben代墊|Ariel代墊|中信銀行共用"")), ""內部轉帳(忽略)"",
  AND(E13450&lt;&gt;"""", F13450&lt;&gt;"&amp;""""", NOT(REGEXMATCH(C13450, ""薪資""))), ""內部轉帳(忽略)"",
  REGEXMATCH(C13450, ""薪資""), ""薪資變動(不計入)"",
  REGEXMATCH(C13450, ""押金""), ""押金往來"",
  AND(E13450&lt;&gt;"""", F13450=""""), ""真實支出"",
  AND(E13450="""", F13450&lt;&gt;""""), ""真實收入"",
  TRUE, ""其他""
)"),"其他")</f>
        <v>其他</v>
      </c>
      <c r="K13450" s="270" t="str">
        <f t="shared" si="2"/>
        <v/>
      </c>
      <c r="L13450">
        <f t="shared" si="3"/>
        <v>0</v>
      </c>
    </row>
    <row r="13451">
      <c r="A13451" s="107"/>
      <c r="D13451" s="270"/>
      <c r="H13451" s="106" t="str">
        <f t="shared" si="1"/>
        <v/>
      </c>
      <c r="J13451" t="str">
        <f>IFERROR(__xludf.DUMMYFUNCTION("IFS(
  AND(REGEXMATCH(E13451, ""台銀籌備帳戶|玉山帳戶""), REGEXMATCH(C13451, ""薪資"")), ""分潤支出"",
  AND(REGEXMATCH(E13451, ""Ben帳戶|Elsa帳戶|Ben代墊|Ariel代墊|中信銀行共用""), REGEXMATCH(F13451, ""Ben帳戶|Elsa帳戶|Ben代墊|Ariel代墊|中信銀行共用"")), ""內部轉帳(忽略)"",
  AND(E13451&lt;&gt;"""", F13451&lt;&gt;"&amp;""""", NOT(REGEXMATCH(C13451, ""薪資""))), ""內部轉帳(忽略)"",
  REGEXMATCH(C13451, ""薪資""), ""薪資變動(不計入)"",
  REGEXMATCH(C13451, ""押金""), ""押金往來"",
  AND(E13451&lt;&gt;"""", F13451=""""), ""真實支出"",
  AND(E13451="""", F13451&lt;&gt;""""), ""真實收入"",
  TRUE, ""其他""
)"),"其他")</f>
        <v>其他</v>
      </c>
      <c r="K13451" s="270" t="str">
        <f t="shared" si="2"/>
        <v/>
      </c>
      <c r="L13451">
        <f t="shared" si="3"/>
        <v>0</v>
      </c>
    </row>
    <row r="13452">
      <c r="A13452" s="107"/>
      <c r="D13452" s="270"/>
      <c r="H13452" s="106" t="str">
        <f t="shared" si="1"/>
        <v/>
      </c>
      <c r="J13452" t="str">
        <f>IFERROR(__xludf.DUMMYFUNCTION("IFS(
  AND(REGEXMATCH(E13452, ""台銀籌備帳戶|玉山帳戶""), REGEXMATCH(C13452, ""薪資"")), ""分潤支出"",
  AND(REGEXMATCH(E13452, ""Ben帳戶|Elsa帳戶|Ben代墊|Ariel代墊|中信銀行共用""), REGEXMATCH(F13452, ""Ben帳戶|Elsa帳戶|Ben代墊|Ariel代墊|中信銀行共用"")), ""內部轉帳(忽略)"",
  AND(E13452&lt;&gt;"""", F13452&lt;&gt;"&amp;""""", NOT(REGEXMATCH(C13452, ""薪資""))), ""內部轉帳(忽略)"",
  REGEXMATCH(C13452, ""薪資""), ""薪資變動(不計入)"",
  REGEXMATCH(C13452, ""押金""), ""押金往來"",
  AND(E13452&lt;&gt;"""", F13452=""""), ""真實支出"",
  AND(E13452="""", F13452&lt;&gt;""""), ""真實收入"",
  TRUE, ""其他""
)"),"其他")</f>
        <v>其他</v>
      </c>
      <c r="K13452" s="270" t="str">
        <f t="shared" si="2"/>
        <v/>
      </c>
      <c r="L13452">
        <f t="shared" si="3"/>
        <v>0</v>
      </c>
    </row>
    <row r="13453">
      <c r="A13453" s="107"/>
      <c r="D13453" s="270"/>
      <c r="H13453" s="106" t="str">
        <f t="shared" si="1"/>
        <v/>
      </c>
      <c r="J13453" t="str">
        <f>IFERROR(__xludf.DUMMYFUNCTION("IFS(
  AND(REGEXMATCH(E13453, ""台銀籌備帳戶|玉山帳戶""), REGEXMATCH(C13453, ""薪資"")), ""分潤支出"",
  AND(REGEXMATCH(E13453, ""Ben帳戶|Elsa帳戶|Ben代墊|Ariel代墊|中信銀行共用""), REGEXMATCH(F13453, ""Ben帳戶|Elsa帳戶|Ben代墊|Ariel代墊|中信銀行共用"")), ""內部轉帳(忽略)"",
  AND(E13453&lt;&gt;"""", F13453&lt;&gt;"&amp;""""", NOT(REGEXMATCH(C13453, ""薪資""))), ""內部轉帳(忽略)"",
  REGEXMATCH(C13453, ""薪資""), ""薪資變動(不計入)"",
  REGEXMATCH(C13453, ""押金""), ""押金往來"",
  AND(E13453&lt;&gt;"""", F13453=""""), ""真實支出"",
  AND(E13453="""", F13453&lt;&gt;""""), ""真實收入"",
  TRUE, ""其他""
)"),"其他")</f>
        <v>其他</v>
      </c>
      <c r="K13453" s="270" t="str">
        <f t="shared" si="2"/>
        <v/>
      </c>
      <c r="L13453">
        <f t="shared" si="3"/>
        <v>0</v>
      </c>
    </row>
    <row r="13454">
      <c r="A13454" s="107"/>
      <c r="D13454" s="270"/>
      <c r="H13454" s="106" t="str">
        <f t="shared" si="1"/>
        <v/>
      </c>
      <c r="J13454" t="str">
        <f>IFERROR(__xludf.DUMMYFUNCTION("IFS(
  AND(REGEXMATCH(E13454, ""台銀籌備帳戶|玉山帳戶""), REGEXMATCH(C13454, ""薪資"")), ""分潤支出"",
  AND(REGEXMATCH(E13454, ""Ben帳戶|Elsa帳戶|Ben代墊|Ariel代墊|中信銀行共用""), REGEXMATCH(F13454, ""Ben帳戶|Elsa帳戶|Ben代墊|Ariel代墊|中信銀行共用"")), ""內部轉帳(忽略)"",
  AND(E13454&lt;&gt;"""", F13454&lt;&gt;"&amp;""""", NOT(REGEXMATCH(C13454, ""薪資""))), ""內部轉帳(忽略)"",
  REGEXMATCH(C13454, ""薪資""), ""薪資變動(不計入)"",
  REGEXMATCH(C13454, ""押金""), ""押金往來"",
  AND(E13454&lt;&gt;"""", F13454=""""), ""真實支出"",
  AND(E13454="""", F13454&lt;&gt;""""), ""真實收入"",
  TRUE, ""其他""
)"),"其他")</f>
        <v>其他</v>
      </c>
      <c r="K13454" s="270" t="str">
        <f t="shared" si="2"/>
        <v/>
      </c>
      <c r="L13454">
        <f t="shared" si="3"/>
        <v>0</v>
      </c>
    </row>
    <row r="13455">
      <c r="A13455" s="107"/>
      <c r="D13455" s="270"/>
      <c r="H13455" s="106" t="str">
        <f t="shared" si="1"/>
        <v/>
      </c>
      <c r="J13455" t="str">
        <f>IFERROR(__xludf.DUMMYFUNCTION("IFS(
  AND(REGEXMATCH(E13455, ""台銀籌備帳戶|玉山帳戶""), REGEXMATCH(C13455, ""薪資"")), ""分潤支出"",
  AND(REGEXMATCH(E13455, ""Ben帳戶|Elsa帳戶|Ben代墊|Ariel代墊|中信銀行共用""), REGEXMATCH(F13455, ""Ben帳戶|Elsa帳戶|Ben代墊|Ariel代墊|中信銀行共用"")), ""內部轉帳(忽略)"",
  AND(E13455&lt;&gt;"""", F13455&lt;&gt;"&amp;""""", NOT(REGEXMATCH(C13455, ""薪資""))), ""內部轉帳(忽略)"",
  REGEXMATCH(C13455, ""薪資""), ""薪資變動(不計入)"",
  REGEXMATCH(C13455, ""押金""), ""押金往來"",
  AND(E13455&lt;&gt;"""", F13455=""""), ""真實支出"",
  AND(E13455="""", F13455&lt;&gt;""""), ""真實收入"",
  TRUE, ""其他""
)"),"其他")</f>
        <v>其他</v>
      </c>
      <c r="K13455" s="270" t="str">
        <f t="shared" si="2"/>
        <v/>
      </c>
      <c r="L13455">
        <f t="shared" si="3"/>
        <v>0</v>
      </c>
    </row>
    <row r="13456">
      <c r="A13456" s="107"/>
      <c r="D13456" s="270"/>
      <c r="H13456" s="106" t="str">
        <f t="shared" si="1"/>
        <v/>
      </c>
      <c r="J13456" t="str">
        <f>IFERROR(__xludf.DUMMYFUNCTION("IFS(
  AND(REGEXMATCH(E13456, ""台銀籌備帳戶|玉山帳戶""), REGEXMATCH(C13456, ""薪資"")), ""分潤支出"",
  AND(REGEXMATCH(E13456, ""Ben帳戶|Elsa帳戶|Ben代墊|Ariel代墊|中信銀行共用""), REGEXMATCH(F13456, ""Ben帳戶|Elsa帳戶|Ben代墊|Ariel代墊|中信銀行共用"")), ""內部轉帳(忽略)"",
  AND(E13456&lt;&gt;"""", F13456&lt;&gt;"&amp;""""", NOT(REGEXMATCH(C13456, ""薪資""))), ""內部轉帳(忽略)"",
  REGEXMATCH(C13456, ""薪資""), ""薪資變動(不計入)"",
  REGEXMATCH(C13456, ""押金""), ""押金往來"",
  AND(E13456&lt;&gt;"""", F13456=""""), ""真實支出"",
  AND(E13456="""", F13456&lt;&gt;""""), ""真實收入"",
  TRUE, ""其他""
)"),"其他")</f>
        <v>其他</v>
      </c>
      <c r="K13456" s="270" t="str">
        <f t="shared" si="2"/>
        <v/>
      </c>
      <c r="L13456">
        <f t="shared" si="3"/>
        <v>0</v>
      </c>
    </row>
    <row r="13457">
      <c r="A13457" s="107"/>
      <c r="D13457" s="270"/>
      <c r="H13457" s="106" t="str">
        <f t="shared" si="1"/>
        <v/>
      </c>
      <c r="J13457" t="str">
        <f>IFERROR(__xludf.DUMMYFUNCTION("IFS(
  AND(REGEXMATCH(E13457, ""台銀籌備帳戶|玉山帳戶""), REGEXMATCH(C13457, ""薪資"")), ""分潤支出"",
  AND(REGEXMATCH(E13457, ""Ben帳戶|Elsa帳戶|Ben代墊|Ariel代墊|中信銀行共用""), REGEXMATCH(F13457, ""Ben帳戶|Elsa帳戶|Ben代墊|Ariel代墊|中信銀行共用"")), ""內部轉帳(忽略)"",
  AND(E13457&lt;&gt;"""", F13457&lt;&gt;"&amp;""""", NOT(REGEXMATCH(C13457, ""薪資""))), ""內部轉帳(忽略)"",
  REGEXMATCH(C13457, ""薪資""), ""薪資變動(不計入)"",
  REGEXMATCH(C13457, ""押金""), ""押金往來"",
  AND(E13457&lt;&gt;"""", F13457=""""), ""真實支出"",
  AND(E13457="""", F13457&lt;&gt;""""), ""真實收入"",
  TRUE, ""其他""
)"),"其他")</f>
        <v>其他</v>
      </c>
      <c r="K13457" s="270" t="str">
        <f t="shared" si="2"/>
        <v/>
      </c>
      <c r="L13457">
        <f t="shared" si="3"/>
        <v>0</v>
      </c>
    </row>
    <row r="13458">
      <c r="A13458" s="107"/>
      <c r="D13458" s="270"/>
      <c r="H13458" s="106" t="str">
        <f t="shared" si="1"/>
        <v/>
      </c>
      <c r="J13458" t="str">
        <f>IFERROR(__xludf.DUMMYFUNCTION("IFS(
  AND(REGEXMATCH(E13458, ""台銀籌備帳戶|玉山帳戶""), REGEXMATCH(C13458, ""薪資"")), ""分潤支出"",
  AND(REGEXMATCH(E13458, ""Ben帳戶|Elsa帳戶|Ben代墊|Ariel代墊|中信銀行共用""), REGEXMATCH(F13458, ""Ben帳戶|Elsa帳戶|Ben代墊|Ariel代墊|中信銀行共用"")), ""內部轉帳(忽略)"",
  AND(E13458&lt;&gt;"""", F13458&lt;&gt;"&amp;""""", NOT(REGEXMATCH(C13458, ""薪資""))), ""內部轉帳(忽略)"",
  REGEXMATCH(C13458, ""薪資""), ""薪資變動(不計入)"",
  REGEXMATCH(C13458, ""押金""), ""押金往來"",
  AND(E13458&lt;&gt;"""", F13458=""""), ""真實支出"",
  AND(E13458="""", F13458&lt;&gt;""""), ""真實收入"",
  TRUE, ""其他""
)"),"其他")</f>
        <v>其他</v>
      </c>
      <c r="K13458" s="270" t="str">
        <f t="shared" si="2"/>
        <v/>
      </c>
      <c r="L13458">
        <f t="shared" si="3"/>
        <v>0</v>
      </c>
    </row>
    <row r="13459">
      <c r="A13459" s="107"/>
      <c r="D13459" s="270"/>
      <c r="H13459" s="106" t="str">
        <f t="shared" si="1"/>
        <v/>
      </c>
      <c r="J13459" t="str">
        <f>IFERROR(__xludf.DUMMYFUNCTION("IFS(
  AND(REGEXMATCH(E13459, ""台銀籌備帳戶|玉山帳戶""), REGEXMATCH(C13459, ""薪資"")), ""分潤支出"",
  AND(REGEXMATCH(E13459, ""Ben帳戶|Elsa帳戶|Ben代墊|Ariel代墊|中信銀行共用""), REGEXMATCH(F13459, ""Ben帳戶|Elsa帳戶|Ben代墊|Ariel代墊|中信銀行共用"")), ""內部轉帳(忽略)"",
  AND(E13459&lt;&gt;"""", F13459&lt;&gt;"&amp;""""", NOT(REGEXMATCH(C13459, ""薪資""))), ""內部轉帳(忽略)"",
  REGEXMATCH(C13459, ""薪資""), ""薪資變動(不計入)"",
  REGEXMATCH(C13459, ""押金""), ""押金往來"",
  AND(E13459&lt;&gt;"""", F13459=""""), ""真實支出"",
  AND(E13459="""", F13459&lt;&gt;""""), ""真實收入"",
  TRUE, ""其他""
)"),"其他")</f>
        <v>其他</v>
      </c>
      <c r="K13459" s="270" t="str">
        <f t="shared" si="2"/>
        <v/>
      </c>
      <c r="L13459">
        <f t="shared" si="3"/>
        <v>0</v>
      </c>
    </row>
    <row r="13460">
      <c r="A13460" s="107"/>
      <c r="D13460" s="270"/>
      <c r="H13460" s="106" t="str">
        <f t="shared" si="1"/>
        <v/>
      </c>
      <c r="J13460" t="str">
        <f>IFERROR(__xludf.DUMMYFUNCTION("IFS(
  AND(REGEXMATCH(E13460, ""台銀籌備帳戶|玉山帳戶""), REGEXMATCH(C13460, ""薪資"")), ""分潤支出"",
  AND(REGEXMATCH(E13460, ""Ben帳戶|Elsa帳戶|Ben代墊|Ariel代墊|中信銀行共用""), REGEXMATCH(F13460, ""Ben帳戶|Elsa帳戶|Ben代墊|Ariel代墊|中信銀行共用"")), ""內部轉帳(忽略)"",
  AND(E13460&lt;&gt;"""", F13460&lt;&gt;"&amp;""""", NOT(REGEXMATCH(C13460, ""薪資""))), ""內部轉帳(忽略)"",
  REGEXMATCH(C13460, ""薪資""), ""薪資變動(不計入)"",
  REGEXMATCH(C13460, ""押金""), ""押金往來"",
  AND(E13460&lt;&gt;"""", F13460=""""), ""真實支出"",
  AND(E13460="""", F13460&lt;&gt;""""), ""真實收入"",
  TRUE, ""其他""
)"),"其他")</f>
        <v>其他</v>
      </c>
      <c r="K13460" s="270" t="str">
        <f t="shared" si="2"/>
        <v/>
      </c>
      <c r="L13460">
        <f t="shared" si="3"/>
        <v>0</v>
      </c>
    </row>
    <row r="13461">
      <c r="A13461" s="107"/>
      <c r="D13461" s="270"/>
      <c r="H13461" s="106" t="str">
        <f t="shared" si="1"/>
        <v/>
      </c>
      <c r="J13461" t="str">
        <f>IFERROR(__xludf.DUMMYFUNCTION("IFS(
  AND(REGEXMATCH(E13461, ""台銀籌備帳戶|玉山帳戶""), REGEXMATCH(C13461, ""薪資"")), ""分潤支出"",
  AND(REGEXMATCH(E13461, ""Ben帳戶|Elsa帳戶|Ben代墊|Ariel代墊|中信銀行共用""), REGEXMATCH(F13461, ""Ben帳戶|Elsa帳戶|Ben代墊|Ariel代墊|中信銀行共用"")), ""內部轉帳(忽略)"",
  AND(E13461&lt;&gt;"""", F13461&lt;&gt;"&amp;""""", NOT(REGEXMATCH(C13461, ""薪資""))), ""內部轉帳(忽略)"",
  REGEXMATCH(C13461, ""薪資""), ""薪資變動(不計入)"",
  REGEXMATCH(C13461, ""押金""), ""押金往來"",
  AND(E13461&lt;&gt;"""", F13461=""""), ""真實支出"",
  AND(E13461="""", F13461&lt;&gt;""""), ""真實收入"",
  TRUE, ""其他""
)"),"其他")</f>
        <v>其他</v>
      </c>
      <c r="K13461" s="270" t="str">
        <f t="shared" si="2"/>
        <v/>
      </c>
      <c r="L13461">
        <f t="shared" si="3"/>
        <v>0</v>
      </c>
    </row>
    <row r="13462">
      <c r="A13462" s="107"/>
      <c r="D13462" s="270"/>
      <c r="H13462" s="106" t="str">
        <f t="shared" si="1"/>
        <v/>
      </c>
      <c r="J13462" t="str">
        <f>IFERROR(__xludf.DUMMYFUNCTION("IFS(
  AND(REGEXMATCH(E13462, ""台銀籌備帳戶|玉山帳戶""), REGEXMATCH(C13462, ""薪資"")), ""分潤支出"",
  AND(REGEXMATCH(E13462, ""Ben帳戶|Elsa帳戶|Ben代墊|Ariel代墊|中信銀行共用""), REGEXMATCH(F13462, ""Ben帳戶|Elsa帳戶|Ben代墊|Ariel代墊|中信銀行共用"")), ""內部轉帳(忽略)"",
  AND(E13462&lt;&gt;"""", F13462&lt;&gt;"&amp;""""", NOT(REGEXMATCH(C13462, ""薪資""))), ""內部轉帳(忽略)"",
  REGEXMATCH(C13462, ""薪資""), ""薪資變動(不計入)"",
  REGEXMATCH(C13462, ""押金""), ""押金往來"",
  AND(E13462&lt;&gt;"""", F13462=""""), ""真實支出"",
  AND(E13462="""", F13462&lt;&gt;""""), ""真實收入"",
  TRUE, ""其他""
)"),"其他")</f>
        <v>其他</v>
      </c>
      <c r="K13462" s="270" t="str">
        <f t="shared" si="2"/>
        <v/>
      </c>
      <c r="L13462">
        <f t="shared" si="3"/>
        <v>0</v>
      </c>
    </row>
    <row r="13463">
      <c r="A13463" s="107"/>
      <c r="D13463" s="270"/>
      <c r="H13463" s="106" t="str">
        <f t="shared" si="1"/>
        <v/>
      </c>
      <c r="J13463" t="str">
        <f>IFERROR(__xludf.DUMMYFUNCTION("IFS(
  AND(REGEXMATCH(E13463, ""台銀籌備帳戶|玉山帳戶""), REGEXMATCH(C13463, ""薪資"")), ""分潤支出"",
  AND(REGEXMATCH(E13463, ""Ben帳戶|Elsa帳戶|Ben代墊|Ariel代墊|中信銀行共用""), REGEXMATCH(F13463, ""Ben帳戶|Elsa帳戶|Ben代墊|Ariel代墊|中信銀行共用"")), ""內部轉帳(忽略)"",
  AND(E13463&lt;&gt;"""", F13463&lt;&gt;"&amp;""""", NOT(REGEXMATCH(C13463, ""薪資""))), ""內部轉帳(忽略)"",
  REGEXMATCH(C13463, ""薪資""), ""薪資變動(不計入)"",
  REGEXMATCH(C13463, ""押金""), ""押金往來"",
  AND(E13463&lt;&gt;"""", F13463=""""), ""真實支出"",
  AND(E13463="""", F13463&lt;&gt;""""), ""真實收入"",
  TRUE, ""其他""
)"),"其他")</f>
        <v>其他</v>
      </c>
      <c r="K13463" s="270" t="str">
        <f t="shared" si="2"/>
        <v/>
      </c>
      <c r="L13463">
        <f t="shared" si="3"/>
        <v>0</v>
      </c>
    </row>
    <row r="13464">
      <c r="A13464" s="107"/>
      <c r="D13464" s="270"/>
      <c r="H13464" s="106" t="str">
        <f t="shared" si="1"/>
        <v/>
      </c>
      <c r="J13464" t="str">
        <f>IFERROR(__xludf.DUMMYFUNCTION("IFS(
  AND(REGEXMATCH(E13464, ""台銀籌備帳戶|玉山帳戶""), REGEXMATCH(C13464, ""薪資"")), ""分潤支出"",
  AND(REGEXMATCH(E13464, ""Ben帳戶|Elsa帳戶|Ben代墊|Ariel代墊|中信銀行共用""), REGEXMATCH(F13464, ""Ben帳戶|Elsa帳戶|Ben代墊|Ariel代墊|中信銀行共用"")), ""內部轉帳(忽略)"",
  AND(E13464&lt;&gt;"""", F13464&lt;&gt;"&amp;""""", NOT(REGEXMATCH(C13464, ""薪資""))), ""內部轉帳(忽略)"",
  REGEXMATCH(C13464, ""薪資""), ""薪資變動(不計入)"",
  REGEXMATCH(C13464, ""押金""), ""押金往來"",
  AND(E13464&lt;&gt;"""", F13464=""""), ""真實支出"",
  AND(E13464="""", F13464&lt;&gt;""""), ""真實收入"",
  TRUE, ""其他""
)"),"其他")</f>
        <v>其他</v>
      </c>
      <c r="K13464" s="270" t="str">
        <f t="shared" si="2"/>
        <v/>
      </c>
      <c r="L13464">
        <f t="shared" si="3"/>
        <v>0</v>
      </c>
    </row>
    <row r="13465">
      <c r="A13465" s="107"/>
      <c r="D13465" s="270"/>
      <c r="H13465" s="106" t="str">
        <f t="shared" si="1"/>
        <v/>
      </c>
      <c r="J13465" t="str">
        <f>IFERROR(__xludf.DUMMYFUNCTION("IFS(
  AND(REGEXMATCH(E13465, ""台銀籌備帳戶|玉山帳戶""), REGEXMATCH(C13465, ""薪資"")), ""分潤支出"",
  AND(REGEXMATCH(E13465, ""Ben帳戶|Elsa帳戶|Ben代墊|Ariel代墊|中信銀行共用""), REGEXMATCH(F13465, ""Ben帳戶|Elsa帳戶|Ben代墊|Ariel代墊|中信銀行共用"")), ""內部轉帳(忽略)"",
  AND(E13465&lt;&gt;"""", F13465&lt;&gt;"&amp;""""", NOT(REGEXMATCH(C13465, ""薪資""))), ""內部轉帳(忽略)"",
  REGEXMATCH(C13465, ""薪資""), ""薪資變動(不計入)"",
  REGEXMATCH(C13465, ""押金""), ""押金往來"",
  AND(E13465&lt;&gt;"""", F13465=""""), ""真實支出"",
  AND(E13465="""", F13465&lt;&gt;""""), ""真實收入"",
  TRUE, ""其他""
)"),"其他")</f>
        <v>其他</v>
      </c>
      <c r="K13465" s="270" t="str">
        <f t="shared" si="2"/>
        <v/>
      </c>
      <c r="L13465">
        <f t="shared" si="3"/>
        <v>0</v>
      </c>
    </row>
    <row r="13466">
      <c r="A13466" s="107"/>
      <c r="D13466" s="270"/>
      <c r="H13466" s="106" t="str">
        <f t="shared" si="1"/>
        <v/>
      </c>
      <c r="J13466" t="str">
        <f>IFERROR(__xludf.DUMMYFUNCTION("IFS(
  AND(REGEXMATCH(E13466, ""台銀籌備帳戶|玉山帳戶""), REGEXMATCH(C13466, ""薪資"")), ""分潤支出"",
  AND(REGEXMATCH(E13466, ""Ben帳戶|Elsa帳戶|Ben代墊|Ariel代墊|中信銀行共用""), REGEXMATCH(F13466, ""Ben帳戶|Elsa帳戶|Ben代墊|Ariel代墊|中信銀行共用"")), ""內部轉帳(忽略)"",
  AND(E13466&lt;&gt;"""", F13466&lt;&gt;"&amp;""""", NOT(REGEXMATCH(C13466, ""薪資""))), ""內部轉帳(忽略)"",
  REGEXMATCH(C13466, ""薪資""), ""薪資變動(不計入)"",
  REGEXMATCH(C13466, ""押金""), ""押金往來"",
  AND(E13466&lt;&gt;"""", F13466=""""), ""真實支出"",
  AND(E13466="""", F13466&lt;&gt;""""), ""真實收入"",
  TRUE, ""其他""
)"),"其他")</f>
        <v>其他</v>
      </c>
      <c r="K13466" s="270" t="str">
        <f t="shared" si="2"/>
        <v/>
      </c>
      <c r="L13466">
        <f t="shared" si="3"/>
        <v>0</v>
      </c>
    </row>
    <row r="13467">
      <c r="A13467" s="107"/>
      <c r="D13467" s="270"/>
      <c r="H13467" s="106" t="str">
        <f t="shared" si="1"/>
        <v/>
      </c>
      <c r="J13467" t="str">
        <f>IFERROR(__xludf.DUMMYFUNCTION("IFS(
  AND(REGEXMATCH(E13467, ""台銀籌備帳戶|玉山帳戶""), REGEXMATCH(C13467, ""薪資"")), ""分潤支出"",
  AND(REGEXMATCH(E13467, ""Ben帳戶|Elsa帳戶|Ben代墊|Ariel代墊|中信銀行共用""), REGEXMATCH(F13467, ""Ben帳戶|Elsa帳戶|Ben代墊|Ariel代墊|中信銀行共用"")), ""內部轉帳(忽略)"",
  AND(E13467&lt;&gt;"""", F13467&lt;&gt;"&amp;""""", NOT(REGEXMATCH(C13467, ""薪資""))), ""內部轉帳(忽略)"",
  REGEXMATCH(C13467, ""薪資""), ""薪資變動(不計入)"",
  REGEXMATCH(C13467, ""押金""), ""押金往來"",
  AND(E13467&lt;&gt;"""", F13467=""""), ""真實支出"",
  AND(E13467="""", F13467&lt;&gt;""""), ""真實收入"",
  TRUE, ""其他""
)"),"其他")</f>
        <v>其他</v>
      </c>
      <c r="K13467" s="270" t="str">
        <f t="shared" si="2"/>
        <v/>
      </c>
      <c r="L13467">
        <f t="shared" si="3"/>
        <v>0</v>
      </c>
    </row>
    <row r="13468">
      <c r="A13468" s="107"/>
      <c r="D13468" s="270"/>
      <c r="H13468" s="106" t="str">
        <f t="shared" si="1"/>
        <v/>
      </c>
      <c r="J13468" t="str">
        <f>IFERROR(__xludf.DUMMYFUNCTION("IFS(
  AND(REGEXMATCH(E13468, ""台銀籌備帳戶|玉山帳戶""), REGEXMATCH(C13468, ""薪資"")), ""分潤支出"",
  AND(REGEXMATCH(E13468, ""Ben帳戶|Elsa帳戶|Ben代墊|Ariel代墊|中信銀行共用""), REGEXMATCH(F13468, ""Ben帳戶|Elsa帳戶|Ben代墊|Ariel代墊|中信銀行共用"")), ""內部轉帳(忽略)"",
  AND(E13468&lt;&gt;"""", F13468&lt;&gt;"&amp;""""", NOT(REGEXMATCH(C13468, ""薪資""))), ""內部轉帳(忽略)"",
  REGEXMATCH(C13468, ""薪資""), ""薪資變動(不計入)"",
  REGEXMATCH(C13468, ""押金""), ""押金往來"",
  AND(E13468&lt;&gt;"""", F13468=""""), ""真實支出"",
  AND(E13468="""", F13468&lt;&gt;""""), ""真實收入"",
  TRUE, ""其他""
)"),"其他")</f>
        <v>其他</v>
      </c>
      <c r="K13468" s="270" t="str">
        <f t="shared" si="2"/>
        <v/>
      </c>
      <c r="L13468">
        <f t="shared" si="3"/>
        <v>0</v>
      </c>
    </row>
    <row r="13469">
      <c r="A13469" s="107"/>
      <c r="D13469" s="270"/>
      <c r="H13469" s="106" t="str">
        <f t="shared" si="1"/>
        <v/>
      </c>
      <c r="J13469" t="str">
        <f>IFERROR(__xludf.DUMMYFUNCTION("IFS(
  AND(REGEXMATCH(E13469, ""台銀籌備帳戶|玉山帳戶""), REGEXMATCH(C13469, ""薪資"")), ""分潤支出"",
  AND(REGEXMATCH(E13469, ""Ben帳戶|Elsa帳戶|Ben代墊|Ariel代墊|中信銀行共用""), REGEXMATCH(F13469, ""Ben帳戶|Elsa帳戶|Ben代墊|Ariel代墊|中信銀行共用"")), ""內部轉帳(忽略)"",
  AND(E13469&lt;&gt;"""", F13469&lt;&gt;"&amp;""""", NOT(REGEXMATCH(C13469, ""薪資""))), ""內部轉帳(忽略)"",
  REGEXMATCH(C13469, ""薪資""), ""薪資變動(不計入)"",
  REGEXMATCH(C13469, ""押金""), ""押金往來"",
  AND(E13469&lt;&gt;"""", F13469=""""), ""真實支出"",
  AND(E13469="""", F13469&lt;&gt;""""), ""真實收入"",
  TRUE, ""其他""
)"),"其他")</f>
        <v>其他</v>
      </c>
      <c r="K13469" s="270" t="str">
        <f t="shared" si="2"/>
        <v/>
      </c>
      <c r="L13469">
        <f t="shared" si="3"/>
        <v>0</v>
      </c>
    </row>
    <row r="13470">
      <c r="A13470" s="107"/>
      <c r="D13470" s="270"/>
      <c r="H13470" s="106" t="str">
        <f t="shared" si="1"/>
        <v/>
      </c>
      <c r="J13470" t="str">
        <f>IFERROR(__xludf.DUMMYFUNCTION("IFS(
  AND(REGEXMATCH(E13470, ""台銀籌備帳戶|玉山帳戶""), REGEXMATCH(C13470, ""薪資"")), ""分潤支出"",
  AND(REGEXMATCH(E13470, ""Ben帳戶|Elsa帳戶|Ben代墊|Ariel代墊|中信銀行共用""), REGEXMATCH(F13470, ""Ben帳戶|Elsa帳戶|Ben代墊|Ariel代墊|中信銀行共用"")), ""內部轉帳(忽略)"",
  AND(E13470&lt;&gt;"""", F13470&lt;&gt;"&amp;""""", NOT(REGEXMATCH(C13470, ""薪資""))), ""內部轉帳(忽略)"",
  REGEXMATCH(C13470, ""薪資""), ""薪資變動(不計入)"",
  REGEXMATCH(C13470, ""押金""), ""押金往來"",
  AND(E13470&lt;&gt;"""", F13470=""""), ""真實支出"",
  AND(E13470="""", F13470&lt;&gt;""""), ""真實收入"",
  TRUE, ""其他""
)"),"其他")</f>
        <v>其他</v>
      </c>
      <c r="K13470" s="270" t="str">
        <f t="shared" si="2"/>
        <v/>
      </c>
      <c r="L13470">
        <f t="shared" si="3"/>
        <v>0</v>
      </c>
    </row>
    <row r="13471">
      <c r="A13471" s="107"/>
      <c r="D13471" s="270"/>
      <c r="H13471" s="106" t="str">
        <f t="shared" si="1"/>
        <v/>
      </c>
      <c r="J13471" t="str">
        <f>IFERROR(__xludf.DUMMYFUNCTION("IFS(
  AND(REGEXMATCH(E13471, ""台銀籌備帳戶|玉山帳戶""), REGEXMATCH(C13471, ""薪資"")), ""分潤支出"",
  AND(REGEXMATCH(E13471, ""Ben帳戶|Elsa帳戶|Ben代墊|Ariel代墊|中信銀行共用""), REGEXMATCH(F13471, ""Ben帳戶|Elsa帳戶|Ben代墊|Ariel代墊|中信銀行共用"")), ""內部轉帳(忽略)"",
  AND(E13471&lt;&gt;"""", F13471&lt;&gt;"&amp;""""", NOT(REGEXMATCH(C13471, ""薪資""))), ""內部轉帳(忽略)"",
  REGEXMATCH(C13471, ""薪資""), ""薪資變動(不計入)"",
  REGEXMATCH(C13471, ""押金""), ""押金往來"",
  AND(E13471&lt;&gt;"""", F13471=""""), ""真實支出"",
  AND(E13471="""", F13471&lt;&gt;""""), ""真實收入"",
  TRUE, ""其他""
)"),"其他")</f>
        <v>其他</v>
      </c>
      <c r="K13471" s="270" t="str">
        <f t="shared" si="2"/>
        <v/>
      </c>
      <c r="L13471">
        <f t="shared" si="3"/>
        <v>0</v>
      </c>
    </row>
    <row r="13472">
      <c r="A13472" s="107"/>
      <c r="D13472" s="270"/>
      <c r="H13472" s="106" t="str">
        <f t="shared" si="1"/>
        <v/>
      </c>
      <c r="J13472" t="str">
        <f>IFERROR(__xludf.DUMMYFUNCTION("IFS(
  AND(REGEXMATCH(E13472, ""台銀籌備帳戶|玉山帳戶""), REGEXMATCH(C13472, ""薪資"")), ""分潤支出"",
  AND(REGEXMATCH(E13472, ""Ben帳戶|Elsa帳戶|Ben代墊|Ariel代墊|中信銀行共用""), REGEXMATCH(F13472, ""Ben帳戶|Elsa帳戶|Ben代墊|Ariel代墊|中信銀行共用"")), ""內部轉帳(忽略)"",
  AND(E13472&lt;&gt;"""", F13472&lt;&gt;"&amp;""""", NOT(REGEXMATCH(C13472, ""薪資""))), ""內部轉帳(忽略)"",
  REGEXMATCH(C13472, ""薪資""), ""薪資變動(不計入)"",
  REGEXMATCH(C13472, ""押金""), ""押金往來"",
  AND(E13472&lt;&gt;"""", F13472=""""), ""真實支出"",
  AND(E13472="""", F13472&lt;&gt;""""), ""真實收入"",
  TRUE, ""其他""
)"),"其他")</f>
        <v>其他</v>
      </c>
      <c r="K13472" s="270" t="str">
        <f t="shared" si="2"/>
        <v/>
      </c>
      <c r="L13472">
        <f t="shared" si="3"/>
        <v>0</v>
      </c>
    </row>
    <row r="13473">
      <c r="A13473" s="107"/>
      <c r="D13473" s="270"/>
      <c r="H13473" s="106" t="str">
        <f t="shared" si="1"/>
        <v/>
      </c>
      <c r="J13473" t="str">
        <f>IFERROR(__xludf.DUMMYFUNCTION("IFS(
  AND(REGEXMATCH(E13473, ""台銀籌備帳戶|玉山帳戶""), REGEXMATCH(C13473, ""薪資"")), ""分潤支出"",
  AND(REGEXMATCH(E13473, ""Ben帳戶|Elsa帳戶|Ben代墊|Ariel代墊|中信銀行共用""), REGEXMATCH(F13473, ""Ben帳戶|Elsa帳戶|Ben代墊|Ariel代墊|中信銀行共用"")), ""內部轉帳(忽略)"",
  AND(E13473&lt;&gt;"""", F13473&lt;&gt;"&amp;""""", NOT(REGEXMATCH(C13473, ""薪資""))), ""內部轉帳(忽略)"",
  REGEXMATCH(C13473, ""薪資""), ""薪資變動(不計入)"",
  REGEXMATCH(C13473, ""押金""), ""押金往來"",
  AND(E13473&lt;&gt;"""", F13473=""""), ""真實支出"",
  AND(E13473="""", F13473&lt;&gt;""""), ""真實收入"",
  TRUE, ""其他""
)"),"其他")</f>
        <v>其他</v>
      </c>
      <c r="K13473" s="270" t="str">
        <f t="shared" si="2"/>
        <v/>
      </c>
      <c r="L13473">
        <f t="shared" si="3"/>
        <v>0</v>
      </c>
    </row>
    <row r="13474">
      <c r="A13474" s="107"/>
      <c r="D13474" s="270"/>
      <c r="H13474" s="106" t="str">
        <f t="shared" si="1"/>
        <v/>
      </c>
      <c r="J13474" t="str">
        <f>IFERROR(__xludf.DUMMYFUNCTION("IFS(
  AND(REGEXMATCH(E13474, ""台銀籌備帳戶|玉山帳戶""), REGEXMATCH(C13474, ""薪資"")), ""分潤支出"",
  AND(REGEXMATCH(E13474, ""Ben帳戶|Elsa帳戶|Ben代墊|Ariel代墊|中信銀行共用""), REGEXMATCH(F13474, ""Ben帳戶|Elsa帳戶|Ben代墊|Ariel代墊|中信銀行共用"")), ""內部轉帳(忽略)"",
  AND(E13474&lt;&gt;"""", F13474&lt;&gt;"&amp;""""", NOT(REGEXMATCH(C13474, ""薪資""))), ""內部轉帳(忽略)"",
  REGEXMATCH(C13474, ""薪資""), ""薪資變動(不計入)"",
  REGEXMATCH(C13474, ""押金""), ""押金往來"",
  AND(E13474&lt;&gt;"""", F13474=""""), ""真實支出"",
  AND(E13474="""", F13474&lt;&gt;""""), ""真實收入"",
  TRUE, ""其他""
)"),"其他")</f>
        <v>其他</v>
      </c>
      <c r="K13474" s="270" t="str">
        <f t="shared" si="2"/>
        <v/>
      </c>
      <c r="L13474">
        <f t="shared" si="3"/>
        <v>0</v>
      </c>
    </row>
    <row r="13475">
      <c r="A13475" s="107"/>
      <c r="D13475" s="270"/>
      <c r="H13475" s="106" t="str">
        <f t="shared" si="1"/>
        <v/>
      </c>
      <c r="J13475" t="str">
        <f>IFERROR(__xludf.DUMMYFUNCTION("IFS(
  AND(REGEXMATCH(E13475, ""台銀籌備帳戶|玉山帳戶""), REGEXMATCH(C13475, ""薪資"")), ""分潤支出"",
  AND(REGEXMATCH(E13475, ""Ben帳戶|Elsa帳戶|Ben代墊|Ariel代墊|中信銀行共用""), REGEXMATCH(F13475, ""Ben帳戶|Elsa帳戶|Ben代墊|Ariel代墊|中信銀行共用"")), ""內部轉帳(忽略)"",
  AND(E13475&lt;&gt;"""", F13475&lt;&gt;"&amp;""""", NOT(REGEXMATCH(C13475, ""薪資""))), ""內部轉帳(忽略)"",
  REGEXMATCH(C13475, ""薪資""), ""薪資變動(不計入)"",
  REGEXMATCH(C13475, ""押金""), ""押金往來"",
  AND(E13475&lt;&gt;"""", F13475=""""), ""真實支出"",
  AND(E13475="""", F13475&lt;&gt;""""), ""真實收入"",
  TRUE, ""其他""
)"),"其他")</f>
        <v>其他</v>
      </c>
      <c r="K13475" s="270" t="str">
        <f t="shared" si="2"/>
        <v/>
      </c>
      <c r="L13475">
        <f t="shared" si="3"/>
        <v>0</v>
      </c>
    </row>
    <row r="13476">
      <c r="A13476" s="107"/>
      <c r="D13476" s="270"/>
      <c r="H13476" s="106" t="str">
        <f t="shared" si="1"/>
        <v/>
      </c>
      <c r="J13476" t="str">
        <f>IFERROR(__xludf.DUMMYFUNCTION("IFS(
  AND(REGEXMATCH(E13476, ""台銀籌備帳戶|玉山帳戶""), REGEXMATCH(C13476, ""薪資"")), ""分潤支出"",
  AND(REGEXMATCH(E13476, ""Ben帳戶|Elsa帳戶|Ben代墊|Ariel代墊|中信銀行共用""), REGEXMATCH(F13476, ""Ben帳戶|Elsa帳戶|Ben代墊|Ariel代墊|中信銀行共用"")), ""內部轉帳(忽略)"",
  AND(E13476&lt;&gt;"""", F13476&lt;&gt;"&amp;""""", NOT(REGEXMATCH(C13476, ""薪資""))), ""內部轉帳(忽略)"",
  REGEXMATCH(C13476, ""薪資""), ""薪資變動(不計入)"",
  REGEXMATCH(C13476, ""押金""), ""押金往來"",
  AND(E13476&lt;&gt;"""", F13476=""""), ""真實支出"",
  AND(E13476="""", F13476&lt;&gt;""""), ""真實收入"",
  TRUE, ""其他""
)"),"其他")</f>
        <v>其他</v>
      </c>
      <c r="K13476" s="270" t="str">
        <f t="shared" si="2"/>
        <v/>
      </c>
      <c r="L13476">
        <f t="shared" si="3"/>
        <v>0</v>
      </c>
    </row>
    <row r="13477">
      <c r="A13477" s="107"/>
      <c r="D13477" s="270"/>
      <c r="H13477" s="106" t="str">
        <f t="shared" si="1"/>
        <v/>
      </c>
      <c r="J13477" t="str">
        <f>IFERROR(__xludf.DUMMYFUNCTION("IFS(
  AND(REGEXMATCH(E13477, ""台銀籌備帳戶|玉山帳戶""), REGEXMATCH(C13477, ""薪資"")), ""分潤支出"",
  AND(REGEXMATCH(E13477, ""Ben帳戶|Elsa帳戶|Ben代墊|Ariel代墊|中信銀行共用""), REGEXMATCH(F13477, ""Ben帳戶|Elsa帳戶|Ben代墊|Ariel代墊|中信銀行共用"")), ""內部轉帳(忽略)"",
  AND(E13477&lt;&gt;"""", F13477&lt;&gt;"&amp;""""", NOT(REGEXMATCH(C13477, ""薪資""))), ""內部轉帳(忽略)"",
  REGEXMATCH(C13477, ""薪資""), ""薪資變動(不計入)"",
  REGEXMATCH(C13477, ""押金""), ""押金往來"",
  AND(E13477&lt;&gt;"""", F13477=""""), ""真實支出"",
  AND(E13477="""", F13477&lt;&gt;""""), ""真實收入"",
  TRUE, ""其他""
)"),"其他")</f>
        <v>其他</v>
      </c>
      <c r="K13477" s="270" t="str">
        <f t="shared" si="2"/>
        <v/>
      </c>
      <c r="L13477">
        <f t="shared" si="3"/>
        <v>0</v>
      </c>
    </row>
    <row r="13478">
      <c r="A13478" s="107"/>
      <c r="D13478" s="270"/>
      <c r="H13478" s="106" t="str">
        <f t="shared" si="1"/>
        <v/>
      </c>
      <c r="J13478" t="str">
        <f>IFERROR(__xludf.DUMMYFUNCTION("IFS(
  AND(REGEXMATCH(E13478, ""台銀籌備帳戶|玉山帳戶""), REGEXMATCH(C13478, ""薪資"")), ""分潤支出"",
  AND(REGEXMATCH(E13478, ""Ben帳戶|Elsa帳戶|Ben代墊|Ariel代墊|中信銀行共用""), REGEXMATCH(F13478, ""Ben帳戶|Elsa帳戶|Ben代墊|Ariel代墊|中信銀行共用"")), ""內部轉帳(忽略)"",
  AND(E13478&lt;&gt;"""", F13478&lt;&gt;"&amp;""""", NOT(REGEXMATCH(C13478, ""薪資""))), ""內部轉帳(忽略)"",
  REGEXMATCH(C13478, ""薪資""), ""薪資變動(不計入)"",
  REGEXMATCH(C13478, ""押金""), ""押金往來"",
  AND(E13478&lt;&gt;"""", F13478=""""), ""真實支出"",
  AND(E13478="""", F13478&lt;&gt;""""), ""真實收入"",
  TRUE, ""其他""
)"),"其他")</f>
        <v>其他</v>
      </c>
      <c r="K13478" s="270" t="str">
        <f t="shared" si="2"/>
        <v/>
      </c>
      <c r="L13478">
        <f t="shared" si="3"/>
        <v>0</v>
      </c>
    </row>
    <row r="13479">
      <c r="A13479" s="107"/>
      <c r="D13479" s="270"/>
      <c r="H13479" s="106" t="str">
        <f t="shared" si="1"/>
        <v/>
      </c>
      <c r="J13479" t="str">
        <f>IFERROR(__xludf.DUMMYFUNCTION("IFS(
  AND(REGEXMATCH(E13479, ""台銀籌備帳戶|玉山帳戶""), REGEXMATCH(C13479, ""薪資"")), ""分潤支出"",
  AND(REGEXMATCH(E13479, ""Ben帳戶|Elsa帳戶|Ben代墊|Ariel代墊|中信銀行共用""), REGEXMATCH(F13479, ""Ben帳戶|Elsa帳戶|Ben代墊|Ariel代墊|中信銀行共用"")), ""內部轉帳(忽略)"",
  AND(E13479&lt;&gt;"""", F13479&lt;&gt;"&amp;""""", NOT(REGEXMATCH(C13479, ""薪資""))), ""內部轉帳(忽略)"",
  REGEXMATCH(C13479, ""薪資""), ""薪資變動(不計入)"",
  REGEXMATCH(C13479, ""押金""), ""押金往來"",
  AND(E13479&lt;&gt;"""", F13479=""""), ""真實支出"",
  AND(E13479="""", F13479&lt;&gt;""""), ""真實收入"",
  TRUE, ""其他""
)"),"其他")</f>
        <v>其他</v>
      </c>
      <c r="K13479" s="270" t="str">
        <f t="shared" si="2"/>
        <v/>
      </c>
      <c r="L13479">
        <f t="shared" si="3"/>
        <v>0</v>
      </c>
    </row>
    <row r="13480">
      <c r="A13480" s="107"/>
      <c r="D13480" s="270"/>
      <c r="H13480" s="106" t="str">
        <f t="shared" si="1"/>
        <v/>
      </c>
      <c r="J13480" t="str">
        <f>IFERROR(__xludf.DUMMYFUNCTION("IFS(
  AND(REGEXMATCH(E13480, ""台銀籌備帳戶|玉山帳戶""), REGEXMATCH(C13480, ""薪資"")), ""分潤支出"",
  AND(REGEXMATCH(E13480, ""Ben帳戶|Elsa帳戶|Ben代墊|Ariel代墊|中信銀行共用""), REGEXMATCH(F13480, ""Ben帳戶|Elsa帳戶|Ben代墊|Ariel代墊|中信銀行共用"")), ""內部轉帳(忽略)"",
  AND(E13480&lt;&gt;"""", F13480&lt;&gt;"&amp;""""", NOT(REGEXMATCH(C13480, ""薪資""))), ""內部轉帳(忽略)"",
  REGEXMATCH(C13480, ""薪資""), ""薪資變動(不計入)"",
  REGEXMATCH(C13480, ""押金""), ""押金往來"",
  AND(E13480&lt;&gt;"""", F13480=""""), ""真實支出"",
  AND(E13480="""", F13480&lt;&gt;""""), ""真實收入"",
  TRUE, ""其他""
)"),"其他")</f>
        <v>其他</v>
      </c>
      <c r="K13480" s="270" t="str">
        <f t="shared" si="2"/>
        <v/>
      </c>
      <c r="L13480">
        <f t="shared" si="3"/>
        <v>0</v>
      </c>
    </row>
    <row r="13481">
      <c r="A13481" s="107"/>
      <c r="D13481" s="270"/>
      <c r="H13481" s="106" t="str">
        <f t="shared" si="1"/>
        <v/>
      </c>
      <c r="J13481" t="str">
        <f>IFERROR(__xludf.DUMMYFUNCTION("IFS(
  AND(REGEXMATCH(E13481, ""台銀籌備帳戶|玉山帳戶""), REGEXMATCH(C13481, ""薪資"")), ""分潤支出"",
  AND(REGEXMATCH(E13481, ""Ben帳戶|Elsa帳戶|Ben代墊|Ariel代墊|中信銀行共用""), REGEXMATCH(F13481, ""Ben帳戶|Elsa帳戶|Ben代墊|Ariel代墊|中信銀行共用"")), ""內部轉帳(忽略)"",
  AND(E13481&lt;&gt;"""", F13481&lt;&gt;"&amp;""""", NOT(REGEXMATCH(C13481, ""薪資""))), ""內部轉帳(忽略)"",
  REGEXMATCH(C13481, ""薪資""), ""薪資變動(不計入)"",
  REGEXMATCH(C13481, ""押金""), ""押金往來"",
  AND(E13481&lt;&gt;"""", F13481=""""), ""真實支出"",
  AND(E13481="""", F13481&lt;&gt;""""), ""真實收入"",
  TRUE, ""其他""
)"),"其他")</f>
        <v>其他</v>
      </c>
      <c r="K13481" s="270" t="str">
        <f t="shared" si="2"/>
        <v/>
      </c>
      <c r="L13481">
        <f t="shared" si="3"/>
        <v>0</v>
      </c>
    </row>
    <row r="13482">
      <c r="A13482" s="107"/>
      <c r="D13482" s="270"/>
      <c r="H13482" s="106" t="str">
        <f t="shared" si="1"/>
        <v/>
      </c>
      <c r="J13482" t="str">
        <f>IFERROR(__xludf.DUMMYFUNCTION("IFS(
  AND(REGEXMATCH(E13482, ""台銀籌備帳戶|玉山帳戶""), REGEXMATCH(C13482, ""薪資"")), ""分潤支出"",
  AND(REGEXMATCH(E13482, ""Ben帳戶|Elsa帳戶|Ben代墊|Ariel代墊|中信銀行共用""), REGEXMATCH(F13482, ""Ben帳戶|Elsa帳戶|Ben代墊|Ariel代墊|中信銀行共用"")), ""內部轉帳(忽略)"",
  AND(E13482&lt;&gt;"""", F13482&lt;&gt;"&amp;""""", NOT(REGEXMATCH(C13482, ""薪資""))), ""內部轉帳(忽略)"",
  REGEXMATCH(C13482, ""薪資""), ""薪資變動(不計入)"",
  REGEXMATCH(C13482, ""押金""), ""押金往來"",
  AND(E13482&lt;&gt;"""", F13482=""""), ""真實支出"",
  AND(E13482="""", F13482&lt;&gt;""""), ""真實收入"",
  TRUE, ""其他""
)"),"其他")</f>
        <v>其他</v>
      </c>
      <c r="K13482" s="270" t="str">
        <f t="shared" si="2"/>
        <v/>
      </c>
      <c r="L13482">
        <f t="shared" si="3"/>
        <v>0</v>
      </c>
    </row>
    <row r="13483">
      <c r="A13483" s="107"/>
      <c r="D13483" s="270"/>
      <c r="H13483" s="106" t="str">
        <f t="shared" si="1"/>
        <v/>
      </c>
      <c r="J13483" t="str">
        <f>IFERROR(__xludf.DUMMYFUNCTION("IFS(
  AND(REGEXMATCH(E13483, ""台銀籌備帳戶|玉山帳戶""), REGEXMATCH(C13483, ""薪資"")), ""分潤支出"",
  AND(REGEXMATCH(E13483, ""Ben帳戶|Elsa帳戶|Ben代墊|Ariel代墊|中信銀行共用""), REGEXMATCH(F13483, ""Ben帳戶|Elsa帳戶|Ben代墊|Ariel代墊|中信銀行共用"")), ""內部轉帳(忽略)"",
  AND(E13483&lt;&gt;"""", F13483&lt;&gt;"&amp;""""", NOT(REGEXMATCH(C13483, ""薪資""))), ""內部轉帳(忽略)"",
  REGEXMATCH(C13483, ""薪資""), ""薪資變動(不計入)"",
  REGEXMATCH(C13483, ""押金""), ""押金往來"",
  AND(E13483&lt;&gt;"""", F13483=""""), ""真實支出"",
  AND(E13483="""", F13483&lt;&gt;""""), ""真實收入"",
  TRUE, ""其他""
)"),"其他")</f>
        <v>其他</v>
      </c>
      <c r="K13483" s="270" t="str">
        <f t="shared" si="2"/>
        <v/>
      </c>
      <c r="L13483">
        <f t="shared" si="3"/>
        <v>0</v>
      </c>
    </row>
    <row r="13484">
      <c r="A13484" s="107"/>
      <c r="D13484" s="270"/>
      <c r="H13484" s="106" t="str">
        <f t="shared" si="1"/>
        <v/>
      </c>
      <c r="J13484" t="str">
        <f>IFERROR(__xludf.DUMMYFUNCTION("IFS(
  AND(REGEXMATCH(E13484, ""台銀籌備帳戶|玉山帳戶""), REGEXMATCH(C13484, ""薪資"")), ""分潤支出"",
  AND(REGEXMATCH(E13484, ""Ben帳戶|Elsa帳戶|Ben代墊|Ariel代墊|中信銀行共用""), REGEXMATCH(F13484, ""Ben帳戶|Elsa帳戶|Ben代墊|Ariel代墊|中信銀行共用"")), ""內部轉帳(忽略)"",
  AND(E13484&lt;&gt;"""", F13484&lt;&gt;"&amp;""""", NOT(REGEXMATCH(C13484, ""薪資""))), ""內部轉帳(忽略)"",
  REGEXMATCH(C13484, ""薪資""), ""薪資變動(不計入)"",
  REGEXMATCH(C13484, ""押金""), ""押金往來"",
  AND(E13484&lt;&gt;"""", F13484=""""), ""真實支出"",
  AND(E13484="""", F13484&lt;&gt;""""), ""真實收入"",
  TRUE, ""其他""
)"),"其他")</f>
        <v>其他</v>
      </c>
      <c r="K13484" s="270" t="str">
        <f t="shared" si="2"/>
        <v/>
      </c>
      <c r="L13484">
        <f t="shared" si="3"/>
        <v>0</v>
      </c>
    </row>
    <row r="13485">
      <c r="A13485" s="107"/>
      <c r="D13485" s="270"/>
      <c r="H13485" s="106" t="str">
        <f t="shared" si="1"/>
        <v/>
      </c>
      <c r="J13485" t="str">
        <f>IFERROR(__xludf.DUMMYFUNCTION("IFS(
  AND(REGEXMATCH(E13485, ""台銀籌備帳戶|玉山帳戶""), REGEXMATCH(C13485, ""薪資"")), ""分潤支出"",
  AND(REGEXMATCH(E13485, ""Ben帳戶|Elsa帳戶|Ben代墊|Ariel代墊|中信銀行共用""), REGEXMATCH(F13485, ""Ben帳戶|Elsa帳戶|Ben代墊|Ariel代墊|中信銀行共用"")), ""內部轉帳(忽略)"",
  AND(E13485&lt;&gt;"""", F13485&lt;&gt;"&amp;""""", NOT(REGEXMATCH(C13485, ""薪資""))), ""內部轉帳(忽略)"",
  REGEXMATCH(C13485, ""薪資""), ""薪資變動(不計入)"",
  REGEXMATCH(C13485, ""押金""), ""押金往來"",
  AND(E13485&lt;&gt;"""", F13485=""""), ""真實支出"",
  AND(E13485="""", F13485&lt;&gt;""""), ""真實收入"",
  TRUE, ""其他""
)"),"其他")</f>
        <v>其他</v>
      </c>
      <c r="K13485" s="270" t="str">
        <f t="shared" si="2"/>
        <v/>
      </c>
      <c r="L13485">
        <f t="shared" si="3"/>
        <v>0</v>
      </c>
    </row>
    <row r="13486">
      <c r="A13486" s="107"/>
      <c r="D13486" s="270"/>
      <c r="H13486" s="106" t="str">
        <f t="shared" si="1"/>
        <v/>
      </c>
      <c r="J13486" t="str">
        <f>IFERROR(__xludf.DUMMYFUNCTION("IFS(
  AND(REGEXMATCH(E13486, ""台銀籌備帳戶|玉山帳戶""), REGEXMATCH(C13486, ""薪資"")), ""分潤支出"",
  AND(REGEXMATCH(E13486, ""Ben帳戶|Elsa帳戶|Ben代墊|Ariel代墊|中信銀行共用""), REGEXMATCH(F13486, ""Ben帳戶|Elsa帳戶|Ben代墊|Ariel代墊|中信銀行共用"")), ""內部轉帳(忽略)"",
  AND(E13486&lt;&gt;"""", F13486&lt;&gt;"&amp;""""", NOT(REGEXMATCH(C13486, ""薪資""))), ""內部轉帳(忽略)"",
  REGEXMATCH(C13486, ""薪資""), ""薪資變動(不計入)"",
  REGEXMATCH(C13486, ""押金""), ""押金往來"",
  AND(E13486&lt;&gt;"""", F13486=""""), ""真實支出"",
  AND(E13486="""", F13486&lt;&gt;""""), ""真實收入"",
  TRUE, ""其他""
)"),"其他")</f>
        <v>其他</v>
      </c>
      <c r="K13486" s="270" t="str">
        <f t="shared" si="2"/>
        <v/>
      </c>
      <c r="L13486">
        <f t="shared" si="3"/>
        <v>0</v>
      </c>
    </row>
    <row r="13487">
      <c r="A13487" s="107"/>
      <c r="D13487" s="270"/>
      <c r="H13487" s="106" t="str">
        <f t="shared" si="1"/>
        <v/>
      </c>
      <c r="J13487" t="str">
        <f>IFERROR(__xludf.DUMMYFUNCTION("IFS(
  AND(REGEXMATCH(E13487, ""台銀籌備帳戶|玉山帳戶""), REGEXMATCH(C13487, ""薪資"")), ""分潤支出"",
  AND(REGEXMATCH(E13487, ""Ben帳戶|Elsa帳戶|Ben代墊|Ariel代墊|中信銀行共用""), REGEXMATCH(F13487, ""Ben帳戶|Elsa帳戶|Ben代墊|Ariel代墊|中信銀行共用"")), ""內部轉帳(忽略)"",
  AND(E13487&lt;&gt;"""", F13487&lt;&gt;"&amp;""""", NOT(REGEXMATCH(C13487, ""薪資""))), ""內部轉帳(忽略)"",
  REGEXMATCH(C13487, ""薪資""), ""薪資變動(不計入)"",
  REGEXMATCH(C13487, ""押金""), ""押金往來"",
  AND(E13487&lt;&gt;"""", F13487=""""), ""真實支出"",
  AND(E13487="""", F13487&lt;&gt;""""), ""真實收入"",
  TRUE, ""其他""
)"),"其他")</f>
        <v>其他</v>
      </c>
      <c r="K13487" s="270" t="str">
        <f t="shared" si="2"/>
        <v/>
      </c>
      <c r="L13487">
        <f t="shared" si="3"/>
        <v>0</v>
      </c>
    </row>
    <row r="13488">
      <c r="A13488" s="107"/>
      <c r="D13488" s="270"/>
      <c r="H13488" s="106" t="str">
        <f t="shared" si="1"/>
        <v/>
      </c>
      <c r="J13488" t="str">
        <f>IFERROR(__xludf.DUMMYFUNCTION("IFS(
  AND(REGEXMATCH(E13488, ""台銀籌備帳戶|玉山帳戶""), REGEXMATCH(C13488, ""薪資"")), ""分潤支出"",
  AND(REGEXMATCH(E13488, ""Ben帳戶|Elsa帳戶|Ben代墊|Ariel代墊|中信銀行共用""), REGEXMATCH(F13488, ""Ben帳戶|Elsa帳戶|Ben代墊|Ariel代墊|中信銀行共用"")), ""內部轉帳(忽略)"",
  AND(E13488&lt;&gt;"""", F13488&lt;&gt;"&amp;""""", NOT(REGEXMATCH(C13488, ""薪資""))), ""內部轉帳(忽略)"",
  REGEXMATCH(C13488, ""薪資""), ""薪資變動(不計入)"",
  REGEXMATCH(C13488, ""押金""), ""押金往來"",
  AND(E13488&lt;&gt;"""", F13488=""""), ""真實支出"",
  AND(E13488="""", F13488&lt;&gt;""""), ""真實收入"",
  TRUE, ""其他""
)"),"其他")</f>
        <v>其他</v>
      </c>
      <c r="K13488" s="270" t="str">
        <f t="shared" si="2"/>
        <v/>
      </c>
      <c r="L13488">
        <f t="shared" si="3"/>
        <v>0</v>
      </c>
    </row>
    <row r="13489">
      <c r="A13489" s="107"/>
      <c r="D13489" s="270"/>
      <c r="H13489" s="106" t="str">
        <f t="shared" si="1"/>
        <v/>
      </c>
      <c r="J13489" t="str">
        <f>IFERROR(__xludf.DUMMYFUNCTION("IFS(
  AND(REGEXMATCH(E13489, ""台銀籌備帳戶|玉山帳戶""), REGEXMATCH(C13489, ""薪資"")), ""分潤支出"",
  AND(REGEXMATCH(E13489, ""Ben帳戶|Elsa帳戶|Ben代墊|Ariel代墊|中信銀行共用""), REGEXMATCH(F13489, ""Ben帳戶|Elsa帳戶|Ben代墊|Ariel代墊|中信銀行共用"")), ""內部轉帳(忽略)"",
  AND(E13489&lt;&gt;"""", F13489&lt;&gt;"&amp;""""", NOT(REGEXMATCH(C13489, ""薪資""))), ""內部轉帳(忽略)"",
  REGEXMATCH(C13489, ""薪資""), ""薪資變動(不計入)"",
  REGEXMATCH(C13489, ""押金""), ""押金往來"",
  AND(E13489&lt;&gt;"""", F13489=""""), ""真實支出"",
  AND(E13489="""", F13489&lt;&gt;""""), ""真實收入"",
  TRUE, ""其他""
)"),"其他")</f>
        <v>其他</v>
      </c>
      <c r="K13489" s="270" t="str">
        <f t="shared" si="2"/>
        <v/>
      </c>
      <c r="L13489">
        <f t="shared" si="3"/>
        <v>0</v>
      </c>
    </row>
    <row r="13490">
      <c r="A13490" s="107"/>
      <c r="D13490" s="270"/>
      <c r="H13490" s="106" t="str">
        <f t="shared" si="1"/>
        <v/>
      </c>
      <c r="J13490" t="str">
        <f>IFERROR(__xludf.DUMMYFUNCTION("IFS(
  AND(REGEXMATCH(E13490, ""台銀籌備帳戶|玉山帳戶""), REGEXMATCH(C13490, ""薪資"")), ""分潤支出"",
  AND(REGEXMATCH(E13490, ""Ben帳戶|Elsa帳戶|Ben代墊|Ariel代墊|中信銀行共用""), REGEXMATCH(F13490, ""Ben帳戶|Elsa帳戶|Ben代墊|Ariel代墊|中信銀行共用"")), ""內部轉帳(忽略)"",
  AND(E13490&lt;&gt;"""", F13490&lt;&gt;"&amp;""""", NOT(REGEXMATCH(C13490, ""薪資""))), ""內部轉帳(忽略)"",
  REGEXMATCH(C13490, ""薪資""), ""薪資變動(不計入)"",
  REGEXMATCH(C13490, ""押金""), ""押金往來"",
  AND(E13490&lt;&gt;"""", F13490=""""), ""真實支出"",
  AND(E13490="""", F13490&lt;&gt;""""), ""真實收入"",
  TRUE, ""其他""
)"),"其他")</f>
        <v>其他</v>
      </c>
      <c r="K13490" s="270" t="str">
        <f t="shared" si="2"/>
        <v/>
      </c>
      <c r="L13490">
        <f t="shared" si="3"/>
        <v>0</v>
      </c>
    </row>
    <row r="13491">
      <c r="A13491" s="107"/>
      <c r="D13491" s="270"/>
      <c r="H13491" s="106" t="str">
        <f t="shared" si="1"/>
        <v/>
      </c>
      <c r="J13491" t="str">
        <f>IFERROR(__xludf.DUMMYFUNCTION("IFS(
  AND(REGEXMATCH(E13491, ""台銀籌備帳戶|玉山帳戶""), REGEXMATCH(C13491, ""薪資"")), ""分潤支出"",
  AND(REGEXMATCH(E13491, ""Ben帳戶|Elsa帳戶|Ben代墊|Ariel代墊|中信銀行共用""), REGEXMATCH(F13491, ""Ben帳戶|Elsa帳戶|Ben代墊|Ariel代墊|中信銀行共用"")), ""內部轉帳(忽略)"",
  AND(E13491&lt;&gt;"""", F13491&lt;&gt;"&amp;""""", NOT(REGEXMATCH(C13491, ""薪資""))), ""內部轉帳(忽略)"",
  REGEXMATCH(C13491, ""薪資""), ""薪資變動(不計入)"",
  REGEXMATCH(C13491, ""押金""), ""押金往來"",
  AND(E13491&lt;&gt;"""", F13491=""""), ""真實支出"",
  AND(E13491="""", F13491&lt;&gt;""""), ""真實收入"",
  TRUE, ""其他""
)"),"其他")</f>
        <v>其他</v>
      </c>
      <c r="K13491" s="270" t="str">
        <f t="shared" si="2"/>
        <v/>
      </c>
      <c r="L13491">
        <f t="shared" si="3"/>
        <v>0</v>
      </c>
    </row>
    <row r="13492">
      <c r="A13492" s="107"/>
      <c r="D13492" s="270"/>
      <c r="H13492" s="106" t="str">
        <f t="shared" si="1"/>
        <v/>
      </c>
      <c r="J13492" t="str">
        <f>IFERROR(__xludf.DUMMYFUNCTION("IFS(
  AND(REGEXMATCH(E13492, ""台銀籌備帳戶|玉山帳戶""), REGEXMATCH(C13492, ""薪資"")), ""分潤支出"",
  AND(REGEXMATCH(E13492, ""Ben帳戶|Elsa帳戶|Ben代墊|Ariel代墊|中信銀行共用""), REGEXMATCH(F13492, ""Ben帳戶|Elsa帳戶|Ben代墊|Ariel代墊|中信銀行共用"")), ""內部轉帳(忽略)"",
  AND(E13492&lt;&gt;"""", F13492&lt;&gt;"&amp;""""", NOT(REGEXMATCH(C13492, ""薪資""))), ""內部轉帳(忽略)"",
  REGEXMATCH(C13492, ""薪資""), ""薪資變動(不計入)"",
  REGEXMATCH(C13492, ""押金""), ""押金往來"",
  AND(E13492&lt;&gt;"""", F13492=""""), ""真實支出"",
  AND(E13492="""", F13492&lt;&gt;""""), ""真實收入"",
  TRUE, ""其他""
)"),"其他")</f>
        <v>其他</v>
      </c>
      <c r="K13492" s="270" t="str">
        <f t="shared" si="2"/>
        <v/>
      </c>
      <c r="L13492">
        <f t="shared" si="3"/>
        <v>0</v>
      </c>
    </row>
    <row r="13493">
      <c r="A13493" s="107"/>
      <c r="D13493" s="270"/>
      <c r="H13493" s="106" t="str">
        <f t="shared" si="1"/>
        <v/>
      </c>
      <c r="J13493" t="str">
        <f>IFERROR(__xludf.DUMMYFUNCTION("IFS(
  AND(REGEXMATCH(E13493, ""台銀籌備帳戶|玉山帳戶""), REGEXMATCH(C13493, ""薪資"")), ""分潤支出"",
  AND(REGEXMATCH(E13493, ""Ben帳戶|Elsa帳戶|Ben代墊|Ariel代墊|中信銀行共用""), REGEXMATCH(F13493, ""Ben帳戶|Elsa帳戶|Ben代墊|Ariel代墊|中信銀行共用"")), ""內部轉帳(忽略)"",
  AND(E13493&lt;&gt;"""", F13493&lt;&gt;"&amp;""""", NOT(REGEXMATCH(C13493, ""薪資""))), ""內部轉帳(忽略)"",
  REGEXMATCH(C13493, ""薪資""), ""薪資變動(不計入)"",
  REGEXMATCH(C13493, ""押金""), ""押金往來"",
  AND(E13493&lt;&gt;"""", F13493=""""), ""真實支出"",
  AND(E13493="""", F13493&lt;&gt;""""), ""真實收入"",
  TRUE, ""其他""
)"),"其他")</f>
        <v>其他</v>
      </c>
      <c r="K13493" s="270" t="str">
        <f t="shared" si="2"/>
        <v/>
      </c>
      <c r="L13493">
        <f t="shared" si="3"/>
        <v>0</v>
      </c>
    </row>
    <row r="13494">
      <c r="A13494" s="107"/>
      <c r="D13494" s="270"/>
      <c r="H13494" s="106" t="str">
        <f t="shared" si="1"/>
        <v/>
      </c>
      <c r="J13494" t="str">
        <f>IFERROR(__xludf.DUMMYFUNCTION("IFS(
  AND(REGEXMATCH(E13494, ""台銀籌備帳戶|玉山帳戶""), REGEXMATCH(C13494, ""薪資"")), ""分潤支出"",
  AND(REGEXMATCH(E13494, ""Ben帳戶|Elsa帳戶|Ben代墊|Ariel代墊|中信銀行共用""), REGEXMATCH(F13494, ""Ben帳戶|Elsa帳戶|Ben代墊|Ariel代墊|中信銀行共用"")), ""內部轉帳(忽略)"",
  AND(E13494&lt;&gt;"""", F13494&lt;&gt;"&amp;""""", NOT(REGEXMATCH(C13494, ""薪資""))), ""內部轉帳(忽略)"",
  REGEXMATCH(C13494, ""薪資""), ""薪資變動(不計入)"",
  REGEXMATCH(C13494, ""押金""), ""押金往來"",
  AND(E13494&lt;&gt;"""", F13494=""""), ""真實支出"",
  AND(E13494="""", F13494&lt;&gt;""""), ""真實收入"",
  TRUE, ""其他""
)"),"其他")</f>
        <v>其他</v>
      </c>
      <c r="K13494" s="270" t="str">
        <f t="shared" si="2"/>
        <v/>
      </c>
      <c r="L13494">
        <f t="shared" si="3"/>
        <v>0</v>
      </c>
    </row>
    <row r="13495">
      <c r="A13495" s="107"/>
      <c r="D13495" s="270"/>
      <c r="H13495" s="106" t="str">
        <f t="shared" si="1"/>
        <v/>
      </c>
      <c r="J13495" t="str">
        <f>IFERROR(__xludf.DUMMYFUNCTION("IFS(
  AND(REGEXMATCH(E13495, ""台銀籌備帳戶|玉山帳戶""), REGEXMATCH(C13495, ""薪資"")), ""分潤支出"",
  AND(REGEXMATCH(E13495, ""Ben帳戶|Elsa帳戶|Ben代墊|Ariel代墊|中信銀行共用""), REGEXMATCH(F13495, ""Ben帳戶|Elsa帳戶|Ben代墊|Ariel代墊|中信銀行共用"")), ""內部轉帳(忽略)"",
  AND(E13495&lt;&gt;"""", F13495&lt;&gt;"&amp;""""", NOT(REGEXMATCH(C13495, ""薪資""))), ""內部轉帳(忽略)"",
  REGEXMATCH(C13495, ""薪資""), ""薪資變動(不計入)"",
  REGEXMATCH(C13495, ""押金""), ""押金往來"",
  AND(E13495&lt;&gt;"""", F13495=""""), ""真實支出"",
  AND(E13495="""", F13495&lt;&gt;""""), ""真實收入"",
  TRUE, ""其他""
)"),"其他")</f>
        <v>其他</v>
      </c>
      <c r="K13495" s="270" t="str">
        <f t="shared" si="2"/>
        <v/>
      </c>
      <c r="L13495">
        <f t="shared" si="3"/>
        <v>0</v>
      </c>
    </row>
    <row r="13496">
      <c r="A13496" s="107"/>
      <c r="D13496" s="270"/>
      <c r="H13496" s="106" t="str">
        <f t="shared" si="1"/>
        <v/>
      </c>
      <c r="J13496" t="str">
        <f>IFERROR(__xludf.DUMMYFUNCTION("IFS(
  AND(REGEXMATCH(E13496, ""台銀籌備帳戶|玉山帳戶""), REGEXMATCH(C13496, ""薪資"")), ""分潤支出"",
  AND(REGEXMATCH(E13496, ""Ben帳戶|Elsa帳戶|Ben代墊|Ariel代墊|中信銀行共用""), REGEXMATCH(F13496, ""Ben帳戶|Elsa帳戶|Ben代墊|Ariel代墊|中信銀行共用"")), ""內部轉帳(忽略)"",
  AND(E13496&lt;&gt;"""", F13496&lt;&gt;"&amp;""""", NOT(REGEXMATCH(C13496, ""薪資""))), ""內部轉帳(忽略)"",
  REGEXMATCH(C13496, ""薪資""), ""薪資變動(不計入)"",
  REGEXMATCH(C13496, ""押金""), ""押金往來"",
  AND(E13496&lt;&gt;"""", F13496=""""), ""真實支出"",
  AND(E13496="""", F13496&lt;&gt;""""), ""真實收入"",
  TRUE, ""其他""
)"),"其他")</f>
        <v>其他</v>
      </c>
      <c r="K13496" s="270" t="str">
        <f t="shared" si="2"/>
        <v/>
      </c>
      <c r="L13496">
        <f t="shared" si="3"/>
        <v>0</v>
      </c>
    </row>
    <row r="13497">
      <c r="A13497" s="107"/>
      <c r="D13497" s="270"/>
      <c r="H13497" s="106" t="str">
        <f t="shared" si="1"/>
        <v/>
      </c>
      <c r="J13497" t="str">
        <f>IFERROR(__xludf.DUMMYFUNCTION("IFS(
  AND(REGEXMATCH(E13497, ""台銀籌備帳戶|玉山帳戶""), REGEXMATCH(C13497, ""薪資"")), ""分潤支出"",
  AND(REGEXMATCH(E13497, ""Ben帳戶|Elsa帳戶|Ben代墊|Ariel代墊|中信銀行共用""), REGEXMATCH(F13497, ""Ben帳戶|Elsa帳戶|Ben代墊|Ariel代墊|中信銀行共用"")), ""內部轉帳(忽略)"",
  AND(E13497&lt;&gt;"""", F13497&lt;&gt;"&amp;""""", NOT(REGEXMATCH(C13497, ""薪資""))), ""內部轉帳(忽略)"",
  REGEXMATCH(C13497, ""薪資""), ""薪資變動(不計入)"",
  REGEXMATCH(C13497, ""押金""), ""押金往來"",
  AND(E13497&lt;&gt;"""", F13497=""""), ""真實支出"",
  AND(E13497="""", F13497&lt;&gt;""""), ""真實收入"",
  TRUE, ""其他""
)"),"其他")</f>
        <v>其他</v>
      </c>
      <c r="K13497" s="270" t="str">
        <f t="shared" si="2"/>
        <v/>
      </c>
      <c r="L13497">
        <f t="shared" si="3"/>
        <v>0</v>
      </c>
    </row>
    <row r="13498">
      <c r="A13498" s="107"/>
      <c r="D13498" s="270"/>
      <c r="H13498" s="106" t="str">
        <f t="shared" si="1"/>
        <v/>
      </c>
      <c r="J13498" t="str">
        <f>IFERROR(__xludf.DUMMYFUNCTION("IFS(
  AND(REGEXMATCH(E13498, ""台銀籌備帳戶|玉山帳戶""), REGEXMATCH(C13498, ""薪資"")), ""分潤支出"",
  AND(REGEXMATCH(E13498, ""Ben帳戶|Elsa帳戶|Ben代墊|Ariel代墊|中信銀行共用""), REGEXMATCH(F13498, ""Ben帳戶|Elsa帳戶|Ben代墊|Ariel代墊|中信銀行共用"")), ""內部轉帳(忽略)"",
  AND(E13498&lt;&gt;"""", F13498&lt;&gt;"&amp;""""", NOT(REGEXMATCH(C13498, ""薪資""))), ""內部轉帳(忽略)"",
  REGEXMATCH(C13498, ""薪資""), ""薪資變動(不計入)"",
  REGEXMATCH(C13498, ""押金""), ""押金往來"",
  AND(E13498&lt;&gt;"""", F13498=""""), ""真實支出"",
  AND(E13498="""", F13498&lt;&gt;""""), ""真實收入"",
  TRUE, ""其他""
)"),"其他")</f>
        <v>其他</v>
      </c>
      <c r="K13498" s="270" t="str">
        <f t="shared" si="2"/>
        <v/>
      </c>
      <c r="L13498">
        <f t="shared" si="3"/>
        <v>0</v>
      </c>
    </row>
    <row r="13499">
      <c r="A13499" s="107"/>
      <c r="D13499" s="270"/>
      <c r="H13499" s="106" t="str">
        <f t="shared" si="1"/>
        <v/>
      </c>
      <c r="J13499" t="str">
        <f>IFERROR(__xludf.DUMMYFUNCTION("IFS(
  AND(REGEXMATCH(E13499, ""台銀籌備帳戶|玉山帳戶""), REGEXMATCH(C13499, ""薪資"")), ""分潤支出"",
  AND(REGEXMATCH(E13499, ""Ben帳戶|Elsa帳戶|Ben代墊|Ariel代墊|中信銀行共用""), REGEXMATCH(F13499, ""Ben帳戶|Elsa帳戶|Ben代墊|Ariel代墊|中信銀行共用"")), ""內部轉帳(忽略)"",
  AND(E13499&lt;&gt;"""", F13499&lt;&gt;"&amp;""""", NOT(REGEXMATCH(C13499, ""薪資""))), ""內部轉帳(忽略)"",
  REGEXMATCH(C13499, ""薪資""), ""薪資變動(不計入)"",
  REGEXMATCH(C13499, ""押金""), ""押金往來"",
  AND(E13499&lt;&gt;"""", F13499=""""), ""真實支出"",
  AND(E13499="""", F13499&lt;&gt;""""), ""真實收入"",
  TRUE, ""其他""
)"),"其他")</f>
        <v>其他</v>
      </c>
      <c r="K13499" s="270" t="str">
        <f t="shared" si="2"/>
        <v/>
      </c>
      <c r="L13499">
        <f t="shared" si="3"/>
        <v>0</v>
      </c>
    </row>
    <row r="13500">
      <c r="A13500" s="107"/>
      <c r="D13500" s="270"/>
      <c r="H13500" s="106" t="str">
        <f t="shared" si="1"/>
        <v/>
      </c>
      <c r="J13500" t="str">
        <f>IFERROR(__xludf.DUMMYFUNCTION("IFS(
  AND(REGEXMATCH(E13500, ""台銀籌備帳戶|玉山帳戶""), REGEXMATCH(C13500, ""薪資"")), ""分潤支出"",
  AND(REGEXMATCH(E13500, ""Ben帳戶|Elsa帳戶|Ben代墊|Ariel代墊|中信銀行共用""), REGEXMATCH(F13500, ""Ben帳戶|Elsa帳戶|Ben代墊|Ariel代墊|中信銀行共用"")), ""內部轉帳(忽略)"",
  AND(E13500&lt;&gt;"""", F13500&lt;&gt;"&amp;""""", NOT(REGEXMATCH(C13500, ""薪資""))), ""內部轉帳(忽略)"",
  REGEXMATCH(C13500, ""薪資""), ""薪資變動(不計入)"",
  REGEXMATCH(C13500, ""押金""), ""押金往來"",
  AND(E13500&lt;&gt;"""", F13500=""""), ""真實支出"",
  AND(E13500="""", F13500&lt;&gt;""""), ""真實收入"",
  TRUE, ""其他""
)"),"其他")</f>
        <v>其他</v>
      </c>
      <c r="K13500" s="270" t="str">
        <f t="shared" si="2"/>
        <v/>
      </c>
      <c r="L13500">
        <f t="shared" si="3"/>
        <v>0</v>
      </c>
    </row>
    <row r="13501">
      <c r="A13501" s="107"/>
      <c r="D13501" s="270"/>
      <c r="H13501" s="106" t="str">
        <f t="shared" si="1"/>
        <v/>
      </c>
      <c r="J13501" t="str">
        <f>IFERROR(__xludf.DUMMYFUNCTION("IFS(
  AND(REGEXMATCH(E13501, ""台銀籌備帳戶|玉山帳戶""), REGEXMATCH(C13501, ""薪資"")), ""分潤支出"",
  AND(REGEXMATCH(E13501, ""Ben帳戶|Elsa帳戶|Ben代墊|Ariel代墊|中信銀行共用""), REGEXMATCH(F13501, ""Ben帳戶|Elsa帳戶|Ben代墊|Ariel代墊|中信銀行共用"")), ""內部轉帳(忽略)"",
  AND(E13501&lt;&gt;"""", F13501&lt;&gt;"&amp;""""", NOT(REGEXMATCH(C13501, ""薪資""))), ""內部轉帳(忽略)"",
  REGEXMATCH(C13501, ""薪資""), ""薪資變動(不計入)"",
  REGEXMATCH(C13501, ""押金""), ""押金往來"",
  AND(E13501&lt;&gt;"""", F13501=""""), ""真實支出"",
  AND(E13501="""", F13501&lt;&gt;""""), ""真實收入"",
  TRUE, ""其他""
)"),"其他")</f>
        <v>其他</v>
      </c>
      <c r="K13501" s="270" t="str">
        <f t="shared" si="2"/>
        <v/>
      </c>
      <c r="L13501">
        <f t="shared" si="3"/>
        <v>0</v>
      </c>
    </row>
    <row r="13502">
      <c r="A13502" s="107"/>
      <c r="D13502" s="270"/>
      <c r="H13502" s="106" t="str">
        <f t="shared" si="1"/>
        <v/>
      </c>
      <c r="J13502" t="str">
        <f>IFERROR(__xludf.DUMMYFUNCTION("IFS(
  AND(REGEXMATCH(E13502, ""台銀籌備帳戶|玉山帳戶""), REGEXMATCH(C13502, ""薪資"")), ""分潤支出"",
  AND(REGEXMATCH(E13502, ""Ben帳戶|Elsa帳戶|Ben代墊|Ariel代墊|中信銀行共用""), REGEXMATCH(F13502, ""Ben帳戶|Elsa帳戶|Ben代墊|Ariel代墊|中信銀行共用"")), ""內部轉帳(忽略)"",
  AND(E13502&lt;&gt;"""", F13502&lt;&gt;"&amp;""""", NOT(REGEXMATCH(C13502, ""薪資""))), ""內部轉帳(忽略)"",
  REGEXMATCH(C13502, ""薪資""), ""薪資變動(不計入)"",
  REGEXMATCH(C13502, ""押金""), ""押金往來"",
  AND(E13502&lt;&gt;"""", F13502=""""), ""真實支出"",
  AND(E13502="""", F13502&lt;&gt;""""), ""真實收入"",
  TRUE, ""其他""
)"),"其他")</f>
        <v>其他</v>
      </c>
      <c r="K13502" s="270" t="str">
        <f t="shared" si="2"/>
        <v/>
      </c>
      <c r="L13502">
        <f t="shared" si="3"/>
        <v>0</v>
      </c>
    </row>
    <row r="13503">
      <c r="A13503" s="107"/>
      <c r="D13503" s="270"/>
      <c r="H13503" s="106" t="str">
        <f t="shared" si="1"/>
        <v/>
      </c>
      <c r="J13503" t="str">
        <f>IFERROR(__xludf.DUMMYFUNCTION("IFS(
  AND(REGEXMATCH(E13503, ""台銀籌備帳戶|玉山帳戶""), REGEXMATCH(C13503, ""薪資"")), ""分潤支出"",
  AND(REGEXMATCH(E13503, ""Ben帳戶|Elsa帳戶|Ben代墊|Ariel代墊|中信銀行共用""), REGEXMATCH(F13503, ""Ben帳戶|Elsa帳戶|Ben代墊|Ariel代墊|中信銀行共用"")), ""內部轉帳(忽略)"",
  AND(E13503&lt;&gt;"""", F13503&lt;&gt;"&amp;""""", NOT(REGEXMATCH(C13503, ""薪資""))), ""內部轉帳(忽略)"",
  REGEXMATCH(C13503, ""薪資""), ""薪資變動(不計入)"",
  REGEXMATCH(C13503, ""押金""), ""押金往來"",
  AND(E13503&lt;&gt;"""", F13503=""""), ""真實支出"",
  AND(E13503="""", F13503&lt;&gt;""""), ""真實收入"",
  TRUE, ""其他""
)"),"其他")</f>
        <v>其他</v>
      </c>
      <c r="K13503" s="270" t="str">
        <f t="shared" si="2"/>
        <v/>
      </c>
      <c r="L13503">
        <f t="shared" si="3"/>
        <v>0</v>
      </c>
    </row>
    <row r="13504">
      <c r="A13504" s="107"/>
      <c r="D13504" s="270"/>
      <c r="H13504" s="106" t="str">
        <f t="shared" si="1"/>
        <v/>
      </c>
      <c r="J13504" t="str">
        <f>IFERROR(__xludf.DUMMYFUNCTION("IFS(
  AND(REGEXMATCH(E13504, ""台銀籌備帳戶|玉山帳戶""), REGEXMATCH(C13504, ""薪資"")), ""分潤支出"",
  AND(REGEXMATCH(E13504, ""Ben帳戶|Elsa帳戶|Ben代墊|Ariel代墊|中信銀行共用""), REGEXMATCH(F13504, ""Ben帳戶|Elsa帳戶|Ben代墊|Ariel代墊|中信銀行共用"")), ""內部轉帳(忽略)"",
  AND(E13504&lt;&gt;"""", F13504&lt;&gt;"&amp;""""", NOT(REGEXMATCH(C13504, ""薪資""))), ""內部轉帳(忽略)"",
  REGEXMATCH(C13504, ""薪資""), ""薪資變動(不計入)"",
  REGEXMATCH(C13504, ""押金""), ""押金往來"",
  AND(E13504&lt;&gt;"""", F13504=""""), ""真實支出"",
  AND(E13504="""", F13504&lt;&gt;""""), ""真實收入"",
  TRUE, ""其他""
)"),"其他")</f>
        <v>其他</v>
      </c>
      <c r="K13504" s="270" t="str">
        <f t="shared" si="2"/>
        <v/>
      </c>
      <c r="L13504">
        <f t="shared" si="3"/>
        <v>0</v>
      </c>
    </row>
    <row r="13505">
      <c r="A13505" s="107"/>
      <c r="D13505" s="270"/>
      <c r="H13505" s="106" t="str">
        <f t="shared" si="1"/>
        <v/>
      </c>
      <c r="J13505" t="str">
        <f>IFERROR(__xludf.DUMMYFUNCTION("IFS(
  AND(REGEXMATCH(E13505, ""台銀籌備帳戶|玉山帳戶""), REGEXMATCH(C13505, ""薪資"")), ""分潤支出"",
  AND(REGEXMATCH(E13505, ""Ben帳戶|Elsa帳戶|Ben代墊|Ariel代墊|中信銀行共用""), REGEXMATCH(F13505, ""Ben帳戶|Elsa帳戶|Ben代墊|Ariel代墊|中信銀行共用"")), ""內部轉帳(忽略)"",
  AND(E13505&lt;&gt;"""", F13505&lt;&gt;"&amp;""""", NOT(REGEXMATCH(C13505, ""薪資""))), ""內部轉帳(忽略)"",
  REGEXMATCH(C13505, ""薪資""), ""薪資變動(不計入)"",
  REGEXMATCH(C13505, ""押金""), ""押金往來"",
  AND(E13505&lt;&gt;"""", F13505=""""), ""真實支出"",
  AND(E13505="""", F13505&lt;&gt;""""), ""真實收入"",
  TRUE, ""其他""
)"),"其他")</f>
        <v>其他</v>
      </c>
      <c r="K13505" s="270" t="str">
        <f t="shared" si="2"/>
        <v/>
      </c>
      <c r="L13505">
        <f t="shared" si="3"/>
        <v>0</v>
      </c>
    </row>
    <row r="13506">
      <c r="A13506" s="107"/>
      <c r="D13506" s="270"/>
      <c r="H13506" s="106" t="str">
        <f t="shared" si="1"/>
        <v/>
      </c>
      <c r="J13506" t="str">
        <f>IFERROR(__xludf.DUMMYFUNCTION("IFS(
  AND(REGEXMATCH(E13506, ""台銀籌備帳戶|玉山帳戶""), REGEXMATCH(C13506, ""薪資"")), ""分潤支出"",
  AND(REGEXMATCH(E13506, ""Ben帳戶|Elsa帳戶|Ben代墊|Ariel代墊|中信銀行共用""), REGEXMATCH(F13506, ""Ben帳戶|Elsa帳戶|Ben代墊|Ariel代墊|中信銀行共用"")), ""內部轉帳(忽略)"",
  AND(E13506&lt;&gt;"""", F13506&lt;&gt;"&amp;""""", NOT(REGEXMATCH(C13506, ""薪資""))), ""內部轉帳(忽略)"",
  REGEXMATCH(C13506, ""薪資""), ""薪資變動(不計入)"",
  REGEXMATCH(C13506, ""押金""), ""押金往來"",
  AND(E13506&lt;&gt;"""", F13506=""""), ""真實支出"",
  AND(E13506="""", F13506&lt;&gt;""""), ""真實收入"",
  TRUE, ""其他""
)"),"其他")</f>
        <v>其他</v>
      </c>
      <c r="K13506" s="270" t="str">
        <f t="shared" si="2"/>
        <v/>
      </c>
      <c r="L13506">
        <f t="shared" si="3"/>
        <v>0</v>
      </c>
    </row>
    <row r="13507">
      <c r="A13507" s="107"/>
      <c r="D13507" s="270"/>
      <c r="H13507" s="106" t="str">
        <f t="shared" si="1"/>
        <v/>
      </c>
      <c r="J13507" t="str">
        <f>IFERROR(__xludf.DUMMYFUNCTION("IFS(
  AND(REGEXMATCH(E13507, ""台銀籌備帳戶|玉山帳戶""), REGEXMATCH(C13507, ""薪資"")), ""分潤支出"",
  AND(REGEXMATCH(E13507, ""Ben帳戶|Elsa帳戶|Ben代墊|Ariel代墊|中信銀行共用""), REGEXMATCH(F13507, ""Ben帳戶|Elsa帳戶|Ben代墊|Ariel代墊|中信銀行共用"")), ""內部轉帳(忽略)"",
  AND(E13507&lt;&gt;"""", F13507&lt;&gt;"&amp;""""", NOT(REGEXMATCH(C13507, ""薪資""))), ""內部轉帳(忽略)"",
  REGEXMATCH(C13507, ""薪資""), ""薪資變動(不計入)"",
  REGEXMATCH(C13507, ""押金""), ""押金往來"",
  AND(E13507&lt;&gt;"""", F13507=""""), ""真實支出"",
  AND(E13507="""", F13507&lt;&gt;""""), ""真實收入"",
  TRUE, ""其他""
)"),"其他")</f>
        <v>其他</v>
      </c>
      <c r="K13507" s="270" t="str">
        <f t="shared" si="2"/>
        <v/>
      </c>
      <c r="L13507">
        <f t="shared" si="3"/>
        <v>0</v>
      </c>
    </row>
    <row r="13508">
      <c r="A13508" s="107"/>
      <c r="D13508" s="270"/>
      <c r="H13508" s="106" t="str">
        <f t="shared" si="1"/>
        <v/>
      </c>
      <c r="J13508" t="str">
        <f>IFERROR(__xludf.DUMMYFUNCTION("IFS(
  AND(REGEXMATCH(E13508, ""台銀籌備帳戶|玉山帳戶""), REGEXMATCH(C13508, ""薪資"")), ""分潤支出"",
  AND(REGEXMATCH(E13508, ""Ben帳戶|Elsa帳戶|Ben代墊|Ariel代墊|中信銀行共用""), REGEXMATCH(F13508, ""Ben帳戶|Elsa帳戶|Ben代墊|Ariel代墊|中信銀行共用"")), ""內部轉帳(忽略)"",
  AND(E13508&lt;&gt;"""", F13508&lt;&gt;"&amp;""""", NOT(REGEXMATCH(C13508, ""薪資""))), ""內部轉帳(忽略)"",
  REGEXMATCH(C13508, ""薪資""), ""薪資變動(不計入)"",
  REGEXMATCH(C13508, ""押金""), ""押金往來"",
  AND(E13508&lt;&gt;"""", F13508=""""), ""真實支出"",
  AND(E13508="""", F13508&lt;&gt;""""), ""真實收入"",
  TRUE, ""其他""
)"),"其他")</f>
        <v>其他</v>
      </c>
      <c r="K13508" s="270" t="str">
        <f t="shared" si="2"/>
        <v/>
      </c>
      <c r="L13508">
        <f t="shared" si="3"/>
        <v>0</v>
      </c>
    </row>
    <row r="13509">
      <c r="A13509" s="107"/>
      <c r="D13509" s="270"/>
      <c r="H13509" s="106" t="str">
        <f t="shared" si="1"/>
        <v/>
      </c>
      <c r="J13509" t="str">
        <f>IFERROR(__xludf.DUMMYFUNCTION("IFS(
  AND(REGEXMATCH(E13509, ""台銀籌備帳戶|玉山帳戶""), REGEXMATCH(C13509, ""薪資"")), ""分潤支出"",
  AND(REGEXMATCH(E13509, ""Ben帳戶|Elsa帳戶|Ben代墊|Ariel代墊|中信銀行共用""), REGEXMATCH(F13509, ""Ben帳戶|Elsa帳戶|Ben代墊|Ariel代墊|中信銀行共用"")), ""內部轉帳(忽略)"",
  AND(E13509&lt;&gt;"""", F13509&lt;&gt;"&amp;""""", NOT(REGEXMATCH(C13509, ""薪資""))), ""內部轉帳(忽略)"",
  REGEXMATCH(C13509, ""薪資""), ""薪資變動(不計入)"",
  REGEXMATCH(C13509, ""押金""), ""押金往來"",
  AND(E13509&lt;&gt;"""", F13509=""""), ""真實支出"",
  AND(E13509="""", F13509&lt;&gt;""""), ""真實收入"",
  TRUE, ""其他""
)"),"其他")</f>
        <v>其他</v>
      </c>
      <c r="K13509" s="270" t="str">
        <f t="shared" si="2"/>
        <v/>
      </c>
      <c r="L13509">
        <f t="shared" si="3"/>
        <v>0</v>
      </c>
    </row>
    <row r="13510">
      <c r="A13510" s="107"/>
      <c r="D13510" s="270"/>
      <c r="H13510" s="106" t="str">
        <f t="shared" si="1"/>
        <v/>
      </c>
      <c r="J13510" t="str">
        <f>IFERROR(__xludf.DUMMYFUNCTION("IFS(
  AND(REGEXMATCH(E13510, ""台銀籌備帳戶|玉山帳戶""), REGEXMATCH(C13510, ""薪資"")), ""分潤支出"",
  AND(REGEXMATCH(E13510, ""Ben帳戶|Elsa帳戶|Ben代墊|Ariel代墊|中信銀行共用""), REGEXMATCH(F13510, ""Ben帳戶|Elsa帳戶|Ben代墊|Ariel代墊|中信銀行共用"")), ""內部轉帳(忽略)"",
  AND(E13510&lt;&gt;"""", F13510&lt;&gt;"&amp;""""", NOT(REGEXMATCH(C13510, ""薪資""))), ""內部轉帳(忽略)"",
  REGEXMATCH(C13510, ""薪資""), ""薪資變動(不計入)"",
  REGEXMATCH(C13510, ""押金""), ""押金往來"",
  AND(E13510&lt;&gt;"""", F13510=""""), ""真實支出"",
  AND(E13510="""", F13510&lt;&gt;""""), ""真實收入"",
  TRUE, ""其他""
)"),"其他")</f>
        <v>其他</v>
      </c>
      <c r="K13510" s="270" t="str">
        <f t="shared" si="2"/>
        <v/>
      </c>
      <c r="L13510">
        <f t="shared" si="3"/>
        <v>0</v>
      </c>
    </row>
    <row r="13511">
      <c r="A13511" s="107"/>
      <c r="D13511" s="270"/>
      <c r="H13511" s="106" t="str">
        <f t="shared" si="1"/>
        <v/>
      </c>
      <c r="J13511" t="str">
        <f>IFERROR(__xludf.DUMMYFUNCTION("IFS(
  AND(REGEXMATCH(E13511, ""台銀籌備帳戶|玉山帳戶""), REGEXMATCH(C13511, ""薪資"")), ""分潤支出"",
  AND(REGEXMATCH(E13511, ""Ben帳戶|Elsa帳戶|Ben代墊|Ariel代墊|中信銀行共用""), REGEXMATCH(F13511, ""Ben帳戶|Elsa帳戶|Ben代墊|Ariel代墊|中信銀行共用"")), ""內部轉帳(忽略)"",
  AND(E13511&lt;&gt;"""", F13511&lt;&gt;"&amp;""""", NOT(REGEXMATCH(C13511, ""薪資""))), ""內部轉帳(忽略)"",
  REGEXMATCH(C13511, ""薪資""), ""薪資變動(不計入)"",
  REGEXMATCH(C13511, ""押金""), ""押金往來"",
  AND(E13511&lt;&gt;"""", F13511=""""), ""真實支出"",
  AND(E13511="""", F13511&lt;&gt;""""), ""真實收入"",
  TRUE, ""其他""
)"),"其他")</f>
        <v>其他</v>
      </c>
      <c r="K13511" s="270" t="str">
        <f t="shared" si="2"/>
        <v/>
      </c>
      <c r="L13511">
        <f t="shared" si="3"/>
        <v>0</v>
      </c>
    </row>
    <row r="13512">
      <c r="A13512" s="107"/>
      <c r="D13512" s="270"/>
      <c r="H13512" s="106" t="str">
        <f t="shared" si="1"/>
        <v/>
      </c>
      <c r="J13512" t="str">
        <f>IFERROR(__xludf.DUMMYFUNCTION("IFS(
  AND(REGEXMATCH(E13512, ""台銀籌備帳戶|玉山帳戶""), REGEXMATCH(C13512, ""薪資"")), ""分潤支出"",
  AND(REGEXMATCH(E13512, ""Ben帳戶|Elsa帳戶|Ben代墊|Ariel代墊|中信銀行共用""), REGEXMATCH(F13512, ""Ben帳戶|Elsa帳戶|Ben代墊|Ariel代墊|中信銀行共用"")), ""內部轉帳(忽略)"",
  AND(E13512&lt;&gt;"""", F13512&lt;&gt;"&amp;""""", NOT(REGEXMATCH(C13512, ""薪資""))), ""內部轉帳(忽略)"",
  REGEXMATCH(C13512, ""薪資""), ""薪資變動(不計入)"",
  REGEXMATCH(C13512, ""押金""), ""押金往來"",
  AND(E13512&lt;&gt;"""", F13512=""""), ""真實支出"",
  AND(E13512="""", F13512&lt;&gt;""""), ""真實收入"",
  TRUE, ""其他""
)"),"其他")</f>
        <v>其他</v>
      </c>
      <c r="K13512" s="270" t="str">
        <f t="shared" si="2"/>
        <v/>
      </c>
      <c r="L13512">
        <f t="shared" si="3"/>
        <v>0</v>
      </c>
    </row>
    <row r="13513">
      <c r="A13513" s="107"/>
      <c r="D13513" s="270"/>
      <c r="H13513" s="106" t="str">
        <f t="shared" si="1"/>
        <v/>
      </c>
      <c r="J13513" t="str">
        <f>IFERROR(__xludf.DUMMYFUNCTION("IFS(
  AND(REGEXMATCH(E13513, ""台銀籌備帳戶|玉山帳戶""), REGEXMATCH(C13513, ""薪資"")), ""分潤支出"",
  AND(REGEXMATCH(E13513, ""Ben帳戶|Elsa帳戶|Ben代墊|Ariel代墊|中信銀行共用""), REGEXMATCH(F13513, ""Ben帳戶|Elsa帳戶|Ben代墊|Ariel代墊|中信銀行共用"")), ""內部轉帳(忽略)"",
  AND(E13513&lt;&gt;"""", F13513&lt;&gt;"&amp;""""", NOT(REGEXMATCH(C13513, ""薪資""))), ""內部轉帳(忽略)"",
  REGEXMATCH(C13513, ""薪資""), ""薪資變動(不計入)"",
  REGEXMATCH(C13513, ""押金""), ""押金往來"",
  AND(E13513&lt;&gt;"""", F13513=""""), ""真實支出"",
  AND(E13513="""", F13513&lt;&gt;""""), ""真實收入"",
  TRUE, ""其他""
)"),"其他")</f>
        <v>其他</v>
      </c>
      <c r="K13513" s="270" t="str">
        <f t="shared" si="2"/>
        <v/>
      </c>
      <c r="L13513">
        <f t="shared" si="3"/>
        <v>0</v>
      </c>
    </row>
    <row r="13514">
      <c r="A13514" s="107"/>
      <c r="D13514" s="270"/>
      <c r="H13514" s="106" t="str">
        <f t="shared" si="1"/>
        <v/>
      </c>
      <c r="J13514" t="str">
        <f>IFERROR(__xludf.DUMMYFUNCTION("IFS(
  AND(REGEXMATCH(E13514, ""台銀籌備帳戶|玉山帳戶""), REGEXMATCH(C13514, ""薪資"")), ""分潤支出"",
  AND(REGEXMATCH(E13514, ""Ben帳戶|Elsa帳戶|Ben代墊|Ariel代墊|中信銀行共用""), REGEXMATCH(F13514, ""Ben帳戶|Elsa帳戶|Ben代墊|Ariel代墊|中信銀行共用"")), ""內部轉帳(忽略)"",
  AND(E13514&lt;&gt;"""", F13514&lt;&gt;"&amp;""""", NOT(REGEXMATCH(C13514, ""薪資""))), ""內部轉帳(忽略)"",
  REGEXMATCH(C13514, ""薪資""), ""薪資變動(不計入)"",
  REGEXMATCH(C13514, ""押金""), ""押金往來"",
  AND(E13514&lt;&gt;"""", F13514=""""), ""真實支出"",
  AND(E13514="""", F13514&lt;&gt;""""), ""真實收入"",
  TRUE, ""其他""
)"),"其他")</f>
        <v>其他</v>
      </c>
      <c r="K13514" s="270" t="str">
        <f t="shared" si="2"/>
        <v/>
      </c>
      <c r="L13514">
        <f t="shared" si="3"/>
        <v>0</v>
      </c>
    </row>
    <row r="13515">
      <c r="A13515" s="107"/>
      <c r="D13515" s="270"/>
      <c r="H13515" s="106" t="str">
        <f t="shared" si="1"/>
        <v/>
      </c>
      <c r="J13515" t="str">
        <f>IFERROR(__xludf.DUMMYFUNCTION("IFS(
  AND(REGEXMATCH(E13515, ""台銀籌備帳戶|玉山帳戶""), REGEXMATCH(C13515, ""薪資"")), ""分潤支出"",
  AND(REGEXMATCH(E13515, ""Ben帳戶|Elsa帳戶|Ben代墊|Ariel代墊|中信銀行共用""), REGEXMATCH(F13515, ""Ben帳戶|Elsa帳戶|Ben代墊|Ariel代墊|中信銀行共用"")), ""內部轉帳(忽略)"",
  AND(E13515&lt;&gt;"""", F13515&lt;&gt;"&amp;""""", NOT(REGEXMATCH(C13515, ""薪資""))), ""內部轉帳(忽略)"",
  REGEXMATCH(C13515, ""薪資""), ""薪資變動(不計入)"",
  REGEXMATCH(C13515, ""押金""), ""押金往來"",
  AND(E13515&lt;&gt;"""", F13515=""""), ""真實支出"",
  AND(E13515="""", F13515&lt;&gt;""""), ""真實收入"",
  TRUE, ""其他""
)"),"其他")</f>
        <v>其他</v>
      </c>
      <c r="K13515" s="270" t="str">
        <f t="shared" si="2"/>
        <v/>
      </c>
      <c r="L13515">
        <f t="shared" si="3"/>
        <v>0</v>
      </c>
    </row>
    <row r="13516">
      <c r="A13516" s="107"/>
      <c r="D13516" s="270"/>
      <c r="H13516" s="106" t="str">
        <f t="shared" si="1"/>
        <v/>
      </c>
      <c r="J13516" t="str">
        <f>IFERROR(__xludf.DUMMYFUNCTION("IFS(
  AND(REGEXMATCH(E13516, ""台銀籌備帳戶|玉山帳戶""), REGEXMATCH(C13516, ""薪資"")), ""分潤支出"",
  AND(REGEXMATCH(E13516, ""Ben帳戶|Elsa帳戶|Ben代墊|Ariel代墊|中信銀行共用""), REGEXMATCH(F13516, ""Ben帳戶|Elsa帳戶|Ben代墊|Ariel代墊|中信銀行共用"")), ""內部轉帳(忽略)"",
  AND(E13516&lt;&gt;"""", F13516&lt;&gt;"&amp;""""", NOT(REGEXMATCH(C13516, ""薪資""))), ""內部轉帳(忽略)"",
  REGEXMATCH(C13516, ""薪資""), ""薪資變動(不計入)"",
  REGEXMATCH(C13516, ""押金""), ""押金往來"",
  AND(E13516&lt;&gt;"""", F13516=""""), ""真實支出"",
  AND(E13516="""", F13516&lt;&gt;""""), ""真實收入"",
  TRUE, ""其他""
)"),"其他")</f>
        <v>其他</v>
      </c>
      <c r="K13516" s="270" t="str">
        <f t="shared" si="2"/>
        <v/>
      </c>
      <c r="L13516">
        <f t="shared" si="3"/>
        <v>0</v>
      </c>
    </row>
    <row r="13517">
      <c r="A13517" s="107"/>
      <c r="D13517" s="270"/>
      <c r="H13517" s="106" t="str">
        <f t="shared" si="1"/>
        <v/>
      </c>
      <c r="J13517" t="str">
        <f>IFERROR(__xludf.DUMMYFUNCTION("IFS(
  AND(REGEXMATCH(E13517, ""台銀籌備帳戶|玉山帳戶""), REGEXMATCH(C13517, ""薪資"")), ""分潤支出"",
  AND(REGEXMATCH(E13517, ""Ben帳戶|Elsa帳戶|Ben代墊|Ariel代墊|中信銀行共用""), REGEXMATCH(F13517, ""Ben帳戶|Elsa帳戶|Ben代墊|Ariel代墊|中信銀行共用"")), ""內部轉帳(忽略)"",
  AND(E13517&lt;&gt;"""", F13517&lt;&gt;"&amp;""""", NOT(REGEXMATCH(C13517, ""薪資""))), ""內部轉帳(忽略)"",
  REGEXMATCH(C13517, ""薪資""), ""薪資變動(不計入)"",
  REGEXMATCH(C13517, ""押金""), ""押金往來"",
  AND(E13517&lt;&gt;"""", F13517=""""), ""真實支出"",
  AND(E13517="""", F13517&lt;&gt;""""), ""真實收入"",
  TRUE, ""其他""
)"),"其他")</f>
        <v>其他</v>
      </c>
      <c r="K13517" s="270" t="str">
        <f t="shared" si="2"/>
        <v/>
      </c>
      <c r="L13517">
        <f t="shared" si="3"/>
        <v>0</v>
      </c>
    </row>
    <row r="13518">
      <c r="A13518" s="107"/>
      <c r="D13518" s="270"/>
      <c r="H13518" s="106" t="str">
        <f t="shared" si="1"/>
        <v/>
      </c>
      <c r="J13518" t="str">
        <f>IFERROR(__xludf.DUMMYFUNCTION("IFS(
  AND(REGEXMATCH(E13518, ""台銀籌備帳戶|玉山帳戶""), REGEXMATCH(C13518, ""薪資"")), ""分潤支出"",
  AND(REGEXMATCH(E13518, ""Ben帳戶|Elsa帳戶|Ben代墊|Ariel代墊|中信銀行共用""), REGEXMATCH(F13518, ""Ben帳戶|Elsa帳戶|Ben代墊|Ariel代墊|中信銀行共用"")), ""內部轉帳(忽略)"",
  AND(E13518&lt;&gt;"""", F13518&lt;&gt;"&amp;""""", NOT(REGEXMATCH(C13518, ""薪資""))), ""內部轉帳(忽略)"",
  REGEXMATCH(C13518, ""薪資""), ""薪資變動(不計入)"",
  REGEXMATCH(C13518, ""押金""), ""押金往來"",
  AND(E13518&lt;&gt;"""", F13518=""""), ""真實支出"",
  AND(E13518="""", F13518&lt;&gt;""""), ""真實收入"",
  TRUE, ""其他""
)"),"其他")</f>
        <v>其他</v>
      </c>
      <c r="K13518" s="270" t="str">
        <f t="shared" si="2"/>
        <v/>
      </c>
      <c r="L13518">
        <f t="shared" si="3"/>
        <v>0</v>
      </c>
    </row>
    <row r="13519">
      <c r="A13519" s="107"/>
      <c r="D13519" s="270"/>
      <c r="H13519" s="106" t="str">
        <f t="shared" si="1"/>
        <v/>
      </c>
      <c r="J13519" t="str">
        <f>IFERROR(__xludf.DUMMYFUNCTION("IFS(
  AND(REGEXMATCH(E13519, ""台銀籌備帳戶|玉山帳戶""), REGEXMATCH(C13519, ""薪資"")), ""分潤支出"",
  AND(REGEXMATCH(E13519, ""Ben帳戶|Elsa帳戶|Ben代墊|Ariel代墊|中信銀行共用""), REGEXMATCH(F13519, ""Ben帳戶|Elsa帳戶|Ben代墊|Ariel代墊|中信銀行共用"")), ""內部轉帳(忽略)"",
  AND(E13519&lt;&gt;"""", F13519&lt;&gt;"&amp;""""", NOT(REGEXMATCH(C13519, ""薪資""))), ""內部轉帳(忽略)"",
  REGEXMATCH(C13519, ""薪資""), ""薪資變動(不計入)"",
  REGEXMATCH(C13519, ""押金""), ""押金往來"",
  AND(E13519&lt;&gt;"""", F13519=""""), ""真實支出"",
  AND(E13519="""", F13519&lt;&gt;""""), ""真實收入"",
  TRUE, ""其他""
)"),"其他")</f>
        <v>其他</v>
      </c>
      <c r="K13519" s="270" t="str">
        <f t="shared" si="2"/>
        <v/>
      </c>
      <c r="L13519">
        <f t="shared" si="3"/>
        <v>0</v>
      </c>
    </row>
    <row r="13520">
      <c r="A13520" s="107"/>
      <c r="D13520" s="270"/>
      <c r="H13520" s="106" t="str">
        <f t="shared" si="1"/>
        <v/>
      </c>
      <c r="J13520" t="str">
        <f>IFERROR(__xludf.DUMMYFUNCTION("IFS(
  AND(REGEXMATCH(E13520, ""台銀籌備帳戶|玉山帳戶""), REGEXMATCH(C13520, ""薪資"")), ""分潤支出"",
  AND(REGEXMATCH(E13520, ""Ben帳戶|Elsa帳戶|Ben代墊|Ariel代墊|中信銀行共用""), REGEXMATCH(F13520, ""Ben帳戶|Elsa帳戶|Ben代墊|Ariel代墊|中信銀行共用"")), ""內部轉帳(忽略)"",
  AND(E13520&lt;&gt;"""", F13520&lt;&gt;"&amp;""""", NOT(REGEXMATCH(C13520, ""薪資""))), ""內部轉帳(忽略)"",
  REGEXMATCH(C13520, ""薪資""), ""薪資變動(不計入)"",
  REGEXMATCH(C13520, ""押金""), ""押金往來"",
  AND(E13520&lt;&gt;"""", F13520=""""), ""真實支出"",
  AND(E13520="""", F13520&lt;&gt;""""), ""真實收入"",
  TRUE, ""其他""
)"),"其他")</f>
        <v>其他</v>
      </c>
      <c r="K13520" s="270" t="str">
        <f t="shared" si="2"/>
        <v/>
      </c>
      <c r="L13520">
        <f t="shared" si="3"/>
        <v>0</v>
      </c>
    </row>
    <row r="13521">
      <c r="A13521" s="107"/>
      <c r="D13521" s="270"/>
      <c r="H13521" s="106" t="str">
        <f t="shared" si="1"/>
        <v/>
      </c>
      <c r="J13521" t="str">
        <f>IFERROR(__xludf.DUMMYFUNCTION("IFS(
  AND(REGEXMATCH(E13521, ""台銀籌備帳戶|玉山帳戶""), REGEXMATCH(C13521, ""薪資"")), ""分潤支出"",
  AND(REGEXMATCH(E13521, ""Ben帳戶|Elsa帳戶|Ben代墊|Ariel代墊|中信銀行共用""), REGEXMATCH(F13521, ""Ben帳戶|Elsa帳戶|Ben代墊|Ariel代墊|中信銀行共用"")), ""內部轉帳(忽略)"",
  AND(E13521&lt;&gt;"""", F13521&lt;&gt;"&amp;""""", NOT(REGEXMATCH(C13521, ""薪資""))), ""內部轉帳(忽略)"",
  REGEXMATCH(C13521, ""薪資""), ""薪資變動(不計入)"",
  REGEXMATCH(C13521, ""押金""), ""押金往來"",
  AND(E13521&lt;&gt;"""", F13521=""""), ""真實支出"",
  AND(E13521="""", F13521&lt;&gt;""""), ""真實收入"",
  TRUE, ""其他""
)"),"其他")</f>
        <v>其他</v>
      </c>
      <c r="K13521" s="270" t="str">
        <f t="shared" si="2"/>
        <v/>
      </c>
      <c r="L13521">
        <f t="shared" si="3"/>
        <v>0</v>
      </c>
    </row>
    <row r="13522">
      <c r="A13522" s="107"/>
      <c r="D13522" s="270"/>
      <c r="H13522" s="106" t="str">
        <f t="shared" si="1"/>
        <v/>
      </c>
      <c r="J13522" t="str">
        <f>IFERROR(__xludf.DUMMYFUNCTION("IFS(
  AND(REGEXMATCH(E13522, ""台銀籌備帳戶|玉山帳戶""), REGEXMATCH(C13522, ""薪資"")), ""分潤支出"",
  AND(REGEXMATCH(E13522, ""Ben帳戶|Elsa帳戶|Ben代墊|Ariel代墊|中信銀行共用""), REGEXMATCH(F13522, ""Ben帳戶|Elsa帳戶|Ben代墊|Ariel代墊|中信銀行共用"")), ""內部轉帳(忽略)"",
  AND(E13522&lt;&gt;"""", F13522&lt;&gt;"&amp;""""", NOT(REGEXMATCH(C13522, ""薪資""))), ""內部轉帳(忽略)"",
  REGEXMATCH(C13522, ""薪資""), ""薪資變動(不計入)"",
  REGEXMATCH(C13522, ""押金""), ""押金往來"",
  AND(E13522&lt;&gt;"""", F13522=""""), ""真實支出"",
  AND(E13522="""", F13522&lt;&gt;""""), ""真實收入"",
  TRUE, ""其他""
)"),"其他")</f>
        <v>其他</v>
      </c>
      <c r="K13522" s="270" t="str">
        <f t="shared" si="2"/>
        <v/>
      </c>
      <c r="L13522">
        <f t="shared" si="3"/>
        <v>0</v>
      </c>
    </row>
    <row r="13523">
      <c r="A13523" s="107"/>
      <c r="D13523" s="270"/>
      <c r="H13523" s="106" t="str">
        <f t="shared" si="1"/>
        <v/>
      </c>
      <c r="J13523" t="str">
        <f>IFERROR(__xludf.DUMMYFUNCTION("IFS(
  AND(REGEXMATCH(E13523, ""台銀籌備帳戶|玉山帳戶""), REGEXMATCH(C13523, ""薪資"")), ""分潤支出"",
  AND(REGEXMATCH(E13523, ""Ben帳戶|Elsa帳戶|Ben代墊|Ariel代墊|中信銀行共用""), REGEXMATCH(F13523, ""Ben帳戶|Elsa帳戶|Ben代墊|Ariel代墊|中信銀行共用"")), ""內部轉帳(忽略)"",
  AND(E13523&lt;&gt;"""", F13523&lt;&gt;"&amp;""""", NOT(REGEXMATCH(C13523, ""薪資""))), ""內部轉帳(忽略)"",
  REGEXMATCH(C13523, ""薪資""), ""薪資變動(不計入)"",
  REGEXMATCH(C13523, ""押金""), ""押金往來"",
  AND(E13523&lt;&gt;"""", F13523=""""), ""真實支出"",
  AND(E13523="""", F13523&lt;&gt;""""), ""真實收入"",
  TRUE, ""其他""
)"),"其他")</f>
        <v>其他</v>
      </c>
      <c r="K13523" s="270" t="str">
        <f t="shared" si="2"/>
        <v/>
      </c>
      <c r="L13523">
        <f t="shared" si="3"/>
        <v>0</v>
      </c>
    </row>
    <row r="13524">
      <c r="A13524" s="107"/>
      <c r="D13524" s="270"/>
      <c r="H13524" s="106" t="str">
        <f t="shared" si="1"/>
        <v/>
      </c>
      <c r="J13524" t="str">
        <f>IFERROR(__xludf.DUMMYFUNCTION("IFS(
  AND(REGEXMATCH(E13524, ""台銀籌備帳戶|玉山帳戶""), REGEXMATCH(C13524, ""薪資"")), ""分潤支出"",
  AND(REGEXMATCH(E13524, ""Ben帳戶|Elsa帳戶|Ben代墊|Ariel代墊|中信銀行共用""), REGEXMATCH(F13524, ""Ben帳戶|Elsa帳戶|Ben代墊|Ariel代墊|中信銀行共用"")), ""內部轉帳(忽略)"",
  AND(E13524&lt;&gt;"""", F13524&lt;&gt;"&amp;""""", NOT(REGEXMATCH(C13524, ""薪資""))), ""內部轉帳(忽略)"",
  REGEXMATCH(C13524, ""薪資""), ""薪資變動(不計入)"",
  REGEXMATCH(C13524, ""押金""), ""押金往來"",
  AND(E13524&lt;&gt;"""", F13524=""""), ""真實支出"",
  AND(E13524="""", F13524&lt;&gt;""""), ""真實收入"",
  TRUE, ""其他""
)"),"其他")</f>
        <v>其他</v>
      </c>
      <c r="K13524" s="270" t="str">
        <f t="shared" si="2"/>
        <v/>
      </c>
      <c r="L13524">
        <f t="shared" si="3"/>
        <v>0</v>
      </c>
    </row>
    <row r="13525">
      <c r="A13525" s="107"/>
      <c r="D13525" s="270"/>
      <c r="H13525" s="106" t="str">
        <f t="shared" si="1"/>
        <v/>
      </c>
      <c r="J13525" t="str">
        <f>IFERROR(__xludf.DUMMYFUNCTION("IFS(
  AND(REGEXMATCH(E13525, ""台銀籌備帳戶|玉山帳戶""), REGEXMATCH(C13525, ""薪資"")), ""分潤支出"",
  AND(REGEXMATCH(E13525, ""Ben帳戶|Elsa帳戶|Ben代墊|Ariel代墊|中信銀行共用""), REGEXMATCH(F13525, ""Ben帳戶|Elsa帳戶|Ben代墊|Ariel代墊|中信銀行共用"")), ""內部轉帳(忽略)"",
  AND(E13525&lt;&gt;"""", F13525&lt;&gt;"&amp;""""", NOT(REGEXMATCH(C13525, ""薪資""))), ""內部轉帳(忽略)"",
  REGEXMATCH(C13525, ""薪資""), ""薪資變動(不計入)"",
  REGEXMATCH(C13525, ""押金""), ""押金往來"",
  AND(E13525&lt;&gt;"""", F13525=""""), ""真實支出"",
  AND(E13525="""", F13525&lt;&gt;""""), ""真實收入"",
  TRUE, ""其他""
)"),"其他")</f>
        <v>其他</v>
      </c>
      <c r="K13525" s="270" t="str">
        <f t="shared" si="2"/>
        <v/>
      </c>
      <c r="L13525">
        <f t="shared" si="3"/>
        <v>0</v>
      </c>
    </row>
    <row r="13526">
      <c r="A13526" s="107"/>
      <c r="D13526" s="270"/>
      <c r="H13526" s="106" t="str">
        <f t="shared" si="1"/>
        <v/>
      </c>
      <c r="J13526" t="str">
        <f>IFERROR(__xludf.DUMMYFUNCTION("IFS(
  AND(REGEXMATCH(E13526, ""台銀籌備帳戶|玉山帳戶""), REGEXMATCH(C13526, ""薪資"")), ""分潤支出"",
  AND(REGEXMATCH(E13526, ""Ben帳戶|Elsa帳戶|Ben代墊|Ariel代墊|中信銀行共用""), REGEXMATCH(F13526, ""Ben帳戶|Elsa帳戶|Ben代墊|Ariel代墊|中信銀行共用"")), ""內部轉帳(忽略)"",
  AND(E13526&lt;&gt;"""", F13526&lt;&gt;"&amp;""""", NOT(REGEXMATCH(C13526, ""薪資""))), ""內部轉帳(忽略)"",
  REGEXMATCH(C13526, ""薪資""), ""薪資變動(不計入)"",
  REGEXMATCH(C13526, ""押金""), ""押金往來"",
  AND(E13526&lt;&gt;"""", F13526=""""), ""真實支出"",
  AND(E13526="""", F13526&lt;&gt;""""), ""真實收入"",
  TRUE, ""其他""
)"),"其他")</f>
        <v>其他</v>
      </c>
      <c r="K13526" s="270" t="str">
        <f t="shared" si="2"/>
        <v/>
      </c>
      <c r="L13526">
        <f t="shared" si="3"/>
        <v>0</v>
      </c>
    </row>
    <row r="13527">
      <c r="A13527" s="107"/>
      <c r="D13527" s="270"/>
      <c r="H13527" s="106" t="str">
        <f t="shared" si="1"/>
        <v/>
      </c>
      <c r="J13527" t="str">
        <f>IFERROR(__xludf.DUMMYFUNCTION("IFS(
  AND(REGEXMATCH(E13527, ""台銀籌備帳戶|玉山帳戶""), REGEXMATCH(C13527, ""薪資"")), ""分潤支出"",
  AND(REGEXMATCH(E13527, ""Ben帳戶|Elsa帳戶|Ben代墊|Ariel代墊|中信銀行共用""), REGEXMATCH(F13527, ""Ben帳戶|Elsa帳戶|Ben代墊|Ariel代墊|中信銀行共用"")), ""內部轉帳(忽略)"",
  AND(E13527&lt;&gt;"""", F13527&lt;&gt;"&amp;""""", NOT(REGEXMATCH(C13527, ""薪資""))), ""內部轉帳(忽略)"",
  REGEXMATCH(C13527, ""薪資""), ""薪資變動(不計入)"",
  REGEXMATCH(C13527, ""押金""), ""押金往來"",
  AND(E13527&lt;&gt;"""", F13527=""""), ""真實支出"",
  AND(E13527="""", F13527&lt;&gt;""""), ""真實收入"",
  TRUE, ""其他""
)"),"其他")</f>
        <v>其他</v>
      </c>
      <c r="K13527" s="270" t="str">
        <f t="shared" si="2"/>
        <v/>
      </c>
      <c r="L13527">
        <f t="shared" si="3"/>
        <v>0</v>
      </c>
    </row>
    <row r="13528">
      <c r="A13528" s="107"/>
      <c r="D13528" s="270"/>
      <c r="H13528" s="106" t="str">
        <f t="shared" si="1"/>
        <v/>
      </c>
      <c r="J13528" t="str">
        <f>IFERROR(__xludf.DUMMYFUNCTION("IFS(
  AND(REGEXMATCH(E13528, ""台銀籌備帳戶|玉山帳戶""), REGEXMATCH(C13528, ""薪資"")), ""分潤支出"",
  AND(REGEXMATCH(E13528, ""Ben帳戶|Elsa帳戶|Ben代墊|Ariel代墊|中信銀行共用""), REGEXMATCH(F13528, ""Ben帳戶|Elsa帳戶|Ben代墊|Ariel代墊|中信銀行共用"")), ""內部轉帳(忽略)"",
  AND(E13528&lt;&gt;"""", F13528&lt;&gt;"&amp;""""", NOT(REGEXMATCH(C13528, ""薪資""))), ""內部轉帳(忽略)"",
  REGEXMATCH(C13528, ""薪資""), ""薪資變動(不計入)"",
  REGEXMATCH(C13528, ""押金""), ""押金往來"",
  AND(E13528&lt;&gt;"""", F13528=""""), ""真實支出"",
  AND(E13528="""", F13528&lt;&gt;""""), ""真實收入"",
  TRUE, ""其他""
)"),"其他")</f>
        <v>其他</v>
      </c>
      <c r="K13528" s="270" t="str">
        <f t="shared" si="2"/>
        <v/>
      </c>
      <c r="L13528">
        <f t="shared" si="3"/>
        <v>0</v>
      </c>
    </row>
    <row r="13529">
      <c r="A13529" s="107"/>
      <c r="D13529" s="270"/>
      <c r="H13529" s="106" t="str">
        <f t="shared" si="1"/>
        <v/>
      </c>
      <c r="J13529" t="str">
        <f>IFERROR(__xludf.DUMMYFUNCTION("IFS(
  AND(REGEXMATCH(E13529, ""台銀籌備帳戶|玉山帳戶""), REGEXMATCH(C13529, ""薪資"")), ""分潤支出"",
  AND(REGEXMATCH(E13529, ""Ben帳戶|Elsa帳戶|Ben代墊|Ariel代墊|中信銀行共用""), REGEXMATCH(F13529, ""Ben帳戶|Elsa帳戶|Ben代墊|Ariel代墊|中信銀行共用"")), ""內部轉帳(忽略)"",
  AND(E13529&lt;&gt;"""", F13529&lt;&gt;"&amp;""""", NOT(REGEXMATCH(C13529, ""薪資""))), ""內部轉帳(忽略)"",
  REGEXMATCH(C13529, ""薪資""), ""薪資變動(不計入)"",
  REGEXMATCH(C13529, ""押金""), ""押金往來"",
  AND(E13529&lt;&gt;"""", F13529=""""), ""真實支出"",
  AND(E13529="""", F13529&lt;&gt;""""), ""真實收入"",
  TRUE, ""其他""
)"),"其他")</f>
        <v>其他</v>
      </c>
      <c r="K13529" s="270" t="str">
        <f t="shared" si="2"/>
        <v/>
      </c>
      <c r="L13529">
        <f t="shared" si="3"/>
        <v>0</v>
      </c>
    </row>
    <row r="13530">
      <c r="A13530" s="107"/>
      <c r="D13530" s="270"/>
      <c r="H13530" s="106" t="str">
        <f t="shared" si="1"/>
        <v/>
      </c>
      <c r="J13530" t="str">
        <f>IFERROR(__xludf.DUMMYFUNCTION("IFS(
  AND(REGEXMATCH(E13530, ""台銀籌備帳戶|玉山帳戶""), REGEXMATCH(C13530, ""薪資"")), ""分潤支出"",
  AND(REGEXMATCH(E13530, ""Ben帳戶|Elsa帳戶|Ben代墊|Ariel代墊|中信銀行共用""), REGEXMATCH(F13530, ""Ben帳戶|Elsa帳戶|Ben代墊|Ariel代墊|中信銀行共用"")), ""內部轉帳(忽略)"",
  AND(E13530&lt;&gt;"""", F13530&lt;&gt;"&amp;""""", NOT(REGEXMATCH(C13530, ""薪資""))), ""內部轉帳(忽略)"",
  REGEXMATCH(C13530, ""薪資""), ""薪資變動(不計入)"",
  REGEXMATCH(C13530, ""押金""), ""押金往來"",
  AND(E13530&lt;&gt;"""", F13530=""""), ""真實支出"",
  AND(E13530="""", F13530&lt;&gt;""""), ""真實收入"",
  TRUE, ""其他""
)"),"其他")</f>
        <v>其他</v>
      </c>
      <c r="K13530" s="270" t="str">
        <f t="shared" si="2"/>
        <v/>
      </c>
      <c r="L13530">
        <f t="shared" si="3"/>
        <v>0</v>
      </c>
    </row>
    <row r="13531">
      <c r="A13531" s="107"/>
      <c r="D13531" s="270"/>
      <c r="H13531" s="106" t="str">
        <f t="shared" si="1"/>
        <v/>
      </c>
      <c r="J13531" t="str">
        <f>IFERROR(__xludf.DUMMYFUNCTION("IFS(
  AND(REGEXMATCH(E13531, ""台銀籌備帳戶|玉山帳戶""), REGEXMATCH(C13531, ""薪資"")), ""分潤支出"",
  AND(REGEXMATCH(E13531, ""Ben帳戶|Elsa帳戶|Ben代墊|Ariel代墊|中信銀行共用""), REGEXMATCH(F13531, ""Ben帳戶|Elsa帳戶|Ben代墊|Ariel代墊|中信銀行共用"")), ""內部轉帳(忽略)"",
  AND(E13531&lt;&gt;"""", F13531&lt;&gt;"&amp;""""", NOT(REGEXMATCH(C13531, ""薪資""))), ""內部轉帳(忽略)"",
  REGEXMATCH(C13531, ""薪資""), ""薪資變動(不計入)"",
  REGEXMATCH(C13531, ""押金""), ""押金往來"",
  AND(E13531&lt;&gt;"""", F13531=""""), ""真實支出"",
  AND(E13531="""", F13531&lt;&gt;""""), ""真實收入"",
  TRUE, ""其他""
)"),"其他")</f>
        <v>其他</v>
      </c>
      <c r="K13531" s="270" t="str">
        <f t="shared" si="2"/>
        <v/>
      </c>
      <c r="L13531">
        <f t="shared" si="3"/>
        <v>0</v>
      </c>
    </row>
    <row r="13532">
      <c r="A13532" s="107"/>
      <c r="D13532" s="270"/>
      <c r="H13532" s="106" t="str">
        <f t="shared" si="1"/>
        <v/>
      </c>
      <c r="J13532" t="str">
        <f>IFERROR(__xludf.DUMMYFUNCTION("IFS(
  AND(REGEXMATCH(E13532, ""台銀籌備帳戶|玉山帳戶""), REGEXMATCH(C13532, ""薪資"")), ""分潤支出"",
  AND(REGEXMATCH(E13532, ""Ben帳戶|Elsa帳戶|Ben代墊|Ariel代墊|中信銀行共用""), REGEXMATCH(F13532, ""Ben帳戶|Elsa帳戶|Ben代墊|Ariel代墊|中信銀行共用"")), ""內部轉帳(忽略)"",
  AND(E13532&lt;&gt;"""", F13532&lt;&gt;"&amp;""""", NOT(REGEXMATCH(C13532, ""薪資""))), ""內部轉帳(忽略)"",
  REGEXMATCH(C13532, ""薪資""), ""薪資變動(不計入)"",
  REGEXMATCH(C13532, ""押金""), ""押金往來"",
  AND(E13532&lt;&gt;"""", F13532=""""), ""真實支出"",
  AND(E13532="""", F13532&lt;&gt;""""), ""真實收入"",
  TRUE, ""其他""
)"),"其他")</f>
        <v>其他</v>
      </c>
      <c r="K13532" s="270" t="str">
        <f t="shared" si="2"/>
        <v/>
      </c>
      <c r="L13532">
        <f t="shared" si="3"/>
        <v>0</v>
      </c>
    </row>
    <row r="13533">
      <c r="A13533" s="107"/>
      <c r="D13533" s="270"/>
      <c r="H13533" s="106" t="str">
        <f t="shared" si="1"/>
        <v/>
      </c>
      <c r="J13533" t="str">
        <f>IFERROR(__xludf.DUMMYFUNCTION("IFS(
  AND(REGEXMATCH(E13533, ""台銀籌備帳戶|玉山帳戶""), REGEXMATCH(C13533, ""薪資"")), ""分潤支出"",
  AND(REGEXMATCH(E13533, ""Ben帳戶|Elsa帳戶|Ben代墊|Ariel代墊|中信銀行共用""), REGEXMATCH(F13533, ""Ben帳戶|Elsa帳戶|Ben代墊|Ariel代墊|中信銀行共用"")), ""內部轉帳(忽略)"",
  AND(E13533&lt;&gt;"""", F13533&lt;&gt;"&amp;""""", NOT(REGEXMATCH(C13533, ""薪資""))), ""內部轉帳(忽略)"",
  REGEXMATCH(C13533, ""薪資""), ""薪資變動(不計入)"",
  REGEXMATCH(C13533, ""押金""), ""押金往來"",
  AND(E13533&lt;&gt;"""", F13533=""""), ""真實支出"",
  AND(E13533="""", F13533&lt;&gt;""""), ""真實收入"",
  TRUE, ""其他""
)"),"其他")</f>
        <v>其他</v>
      </c>
      <c r="K13533" s="270" t="str">
        <f t="shared" si="2"/>
        <v/>
      </c>
      <c r="L13533">
        <f t="shared" si="3"/>
        <v>0</v>
      </c>
    </row>
    <row r="13534">
      <c r="A13534" s="107"/>
      <c r="D13534" s="270"/>
      <c r="H13534" s="106" t="str">
        <f t="shared" si="1"/>
        <v/>
      </c>
      <c r="J13534" t="str">
        <f>IFERROR(__xludf.DUMMYFUNCTION("IFS(
  AND(REGEXMATCH(E13534, ""台銀籌備帳戶|玉山帳戶""), REGEXMATCH(C13534, ""薪資"")), ""分潤支出"",
  AND(REGEXMATCH(E13534, ""Ben帳戶|Elsa帳戶|Ben代墊|Ariel代墊|中信銀行共用""), REGEXMATCH(F13534, ""Ben帳戶|Elsa帳戶|Ben代墊|Ariel代墊|中信銀行共用"")), ""內部轉帳(忽略)"",
  AND(E13534&lt;&gt;"""", F13534&lt;&gt;"&amp;""""", NOT(REGEXMATCH(C13534, ""薪資""))), ""內部轉帳(忽略)"",
  REGEXMATCH(C13534, ""薪資""), ""薪資變動(不計入)"",
  REGEXMATCH(C13534, ""押金""), ""押金往來"",
  AND(E13534&lt;&gt;"""", F13534=""""), ""真實支出"",
  AND(E13534="""", F13534&lt;&gt;""""), ""真實收入"",
  TRUE, ""其他""
)"),"其他")</f>
        <v>其他</v>
      </c>
      <c r="K13534" s="270" t="str">
        <f t="shared" si="2"/>
        <v/>
      </c>
      <c r="L13534">
        <f t="shared" si="3"/>
        <v>0</v>
      </c>
    </row>
    <row r="13535">
      <c r="A13535" s="107"/>
      <c r="D13535" s="270"/>
      <c r="H13535" s="106" t="str">
        <f t="shared" si="1"/>
        <v/>
      </c>
      <c r="J13535" t="str">
        <f>IFERROR(__xludf.DUMMYFUNCTION("IFS(
  AND(REGEXMATCH(E13535, ""台銀籌備帳戶|玉山帳戶""), REGEXMATCH(C13535, ""薪資"")), ""分潤支出"",
  AND(REGEXMATCH(E13535, ""Ben帳戶|Elsa帳戶|Ben代墊|Ariel代墊|中信銀行共用""), REGEXMATCH(F13535, ""Ben帳戶|Elsa帳戶|Ben代墊|Ariel代墊|中信銀行共用"")), ""內部轉帳(忽略)"",
  AND(E13535&lt;&gt;"""", F13535&lt;&gt;"&amp;""""", NOT(REGEXMATCH(C13535, ""薪資""))), ""內部轉帳(忽略)"",
  REGEXMATCH(C13535, ""薪資""), ""薪資變動(不計入)"",
  REGEXMATCH(C13535, ""押金""), ""押金往來"",
  AND(E13535&lt;&gt;"""", F13535=""""), ""真實支出"",
  AND(E13535="""", F13535&lt;&gt;""""), ""真實收入"",
  TRUE, ""其他""
)"),"其他")</f>
        <v>其他</v>
      </c>
      <c r="K13535" s="270" t="str">
        <f t="shared" si="2"/>
        <v/>
      </c>
      <c r="L13535">
        <f t="shared" si="3"/>
        <v>0</v>
      </c>
    </row>
    <row r="13536">
      <c r="A13536" s="107"/>
      <c r="D13536" s="270"/>
      <c r="H13536" s="106" t="str">
        <f t="shared" si="1"/>
        <v/>
      </c>
      <c r="J13536" t="str">
        <f>IFERROR(__xludf.DUMMYFUNCTION("IFS(
  AND(REGEXMATCH(E13536, ""台銀籌備帳戶|玉山帳戶""), REGEXMATCH(C13536, ""薪資"")), ""分潤支出"",
  AND(REGEXMATCH(E13536, ""Ben帳戶|Elsa帳戶|Ben代墊|Ariel代墊|中信銀行共用""), REGEXMATCH(F13536, ""Ben帳戶|Elsa帳戶|Ben代墊|Ariel代墊|中信銀行共用"")), ""內部轉帳(忽略)"",
  AND(E13536&lt;&gt;"""", F13536&lt;&gt;"&amp;""""", NOT(REGEXMATCH(C13536, ""薪資""))), ""內部轉帳(忽略)"",
  REGEXMATCH(C13536, ""薪資""), ""薪資變動(不計入)"",
  REGEXMATCH(C13536, ""押金""), ""押金往來"",
  AND(E13536&lt;&gt;"""", F13536=""""), ""真實支出"",
  AND(E13536="""", F13536&lt;&gt;""""), ""真實收入"",
  TRUE, ""其他""
)"),"其他")</f>
        <v>其他</v>
      </c>
      <c r="K13536" s="270" t="str">
        <f t="shared" si="2"/>
        <v/>
      </c>
      <c r="L13536">
        <f t="shared" si="3"/>
        <v>0</v>
      </c>
    </row>
    <row r="13537">
      <c r="A13537" s="107"/>
      <c r="D13537" s="270"/>
      <c r="H13537" s="106" t="str">
        <f t="shared" si="1"/>
        <v/>
      </c>
      <c r="J13537" t="str">
        <f>IFERROR(__xludf.DUMMYFUNCTION("IFS(
  AND(REGEXMATCH(E13537, ""台銀籌備帳戶|玉山帳戶""), REGEXMATCH(C13537, ""薪資"")), ""分潤支出"",
  AND(REGEXMATCH(E13537, ""Ben帳戶|Elsa帳戶|Ben代墊|Ariel代墊|中信銀行共用""), REGEXMATCH(F13537, ""Ben帳戶|Elsa帳戶|Ben代墊|Ariel代墊|中信銀行共用"")), ""內部轉帳(忽略)"",
  AND(E13537&lt;&gt;"""", F13537&lt;&gt;"&amp;""""", NOT(REGEXMATCH(C13537, ""薪資""))), ""內部轉帳(忽略)"",
  REGEXMATCH(C13537, ""薪資""), ""薪資變動(不計入)"",
  REGEXMATCH(C13537, ""押金""), ""押金往來"",
  AND(E13537&lt;&gt;"""", F13537=""""), ""真實支出"",
  AND(E13537="""", F13537&lt;&gt;""""), ""真實收入"",
  TRUE, ""其他""
)"),"其他")</f>
        <v>其他</v>
      </c>
      <c r="K13537" s="270" t="str">
        <f t="shared" si="2"/>
        <v/>
      </c>
      <c r="L13537">
        <f t="shared" si="3"/>
        <v>0</v>
      </c>
    </row>
    <row r="13538">
      <c r="A13538" s="107"/>
      <c r="D13538" s="270"/>
      <c r="H13538" s="106" t="str">
        <f t="shared" si="1"/>
        <v/>
      </c>
      <c r="J13538" t="str">
        <f>IFERROR(__xludf.DUMMYFUNCTION("IFS(
  AND(REGEXMATCH(E13538, ""台銀籌備帳戶|玉山帳戶""), REGEXMATCH(C13538, ""薪資"")), ""分潤支出"",
  AND(REGEXMATCH(E13538, ""Ben帳戶|Elsa帳戶|Ben代墊|Ariel代墊|中信銀行共用""), REGEXMATCH(F13538, ""Ben帳戶|Elsa帳戶|Ben代墊|Ariel代墊|中信銀行共用"")), ""內部轉帳(忽略)"",
  AND(E13538&lt;&gt;"""", F13538&lt;&gt;"&amp;""""", NOT(REGEXMATCH(C13538, ""薪資""))), ""內部轉帳(忽略)"",
  REGEXMATCH(C13538, ""薪資""), ""薪資變動(不計入)"",
  REGEXMATCH(C13538, ""押金""), ""押金往來"",
  AND(E13538&lt;&gt;"""", F13538=""""), ""真實支出"",
  AND(E13538="""", F13538&lt;&gt;""""), ""真實收入"",
  TRUE, ""其他""
)"),"其他")</f>
        <v>其他</v>
      </c>
      <c r="K13538" s="270" t="str">
        <f t="shared" si="2"/>
        <v/>
      </c>
      <c r="L13538">
        <f t="shared" si="3"/>
        <v>0</v>
      </c>
    </row>
    <row r="13539">
      <c r="A13539" s="107"/>
      <c r="D13539" s="270"/>
      <c r="H13539" s="106" t="str">
        <f t="shared" si="1"/>
        <v/>
      </c>
      <c r="J13539" t="str">
        <f>IFERROR(__xludf.DUMMYFUNCTION("IFS(
  AND(REGEXMATCH(E13539, ""台銀籌備帳戶|玉山帳戶""), REGEXMATCH(C13539, ""薪資"")), ""分潤支出"",
  AND(REGEXMATCH(E13539, ""Ben帳戶|Elsa帳戶|Ben代墊|Ariel代墊|中信銀行共用""), REGEXMATCH(F13539, ""Ben帳戶|Elsa帳戶|Ben代墊|Ariel代墊|中信銀行共用"")), ""內部轉帳(忽略)"",
  AND(E13539&lt;&gt;"""", F13539&lt;&gt;"&amp;""""", NOT(REGEXMATCH(C13539, ""薪資""))), ""內部轉帳(忽略)"",
  REGEXMATCH(C13539, ""薪資""), ""薪資變動(不計入)"",
  REGEXMATCH(C13539, ""押金""), ""押金往來"",
  AND(E13539&lt;&gt;"""", F13539=""""), ""真實支出"",
  AND(E13539="""", F13539&lt;&gt;""""), ""真實收入"",
  TRUE, ""其他""
)"),"其他")</f>
        <v>其他</v>
      </c>
      <c r="K13539" s="270" t="str">
        <f t="shared" si="2"/>
        <v/>
      </c>
      <c r="L13539">
        <f t="shared" si="3"/>
        <v>0</v>
      </c>
    </row>
    <row r="13540">
      <c r="A13540" s="107"/>
      <c r="D13540" s="270"/>
      <c r="H13540" s="106" t="str">
        <f t="shared" si="1"/>
        <v/>
      </c>
      <c r="J13540" t="str">
        <f>IFERROR(__xludf.DUMMYFUNCTION("IFS(
  AND(REGEXMATCH(E13540, ""台銀籌備帳戶|玉山帳戶""), REGEXMATCH(C13540, ""薪資"")), ""分潤支出"",
  AND(REGEXMATCH(E13540, ""Ben帳戶|Elsa帳戶|Ben代墊|Ariel代墊|中信銀行共用""), REGEXMATCH(F13540, ""Ben帳戶|Elsa帳戶|Ben代墊|Ariel代墊|中信銀行共用"")), ""內部轉帳(忽略)"",
  AND(E13540&lt;&gt;"""", F13540&lt;&gt;"&amp;""""", NOT(REGEXMATCH(C13540, ""薪資""))), ""內部轉帳(忽略)"",
  REGEXMATCH(C13540, ""薪資""), ""薪資變動(不計入)"",
  REGEXMATCH(C13540, ""押金""), ""押金往來"",
  AND(E13540&lt;&gt;"""", F13540=""""), ""真實支出"",
  AND(E13540="""", F13540&lt;&gt;""""), ""真實收入"",
  TRUE, ""其他""
)"),"其他")</f>
        <v>其他</v>
      </c>
      <c r="K13540" s="270" t="str">
        <f t="shared" si="2"/>
        <v/>
      </c>
      <c r="L13540">
        <f t="shared" si="3"/>
        <v>0</v>
      </c>
    </row>
    <row r="13541">
      <c r="A13541" s="107"/>
      <c r="D13541" s="270"/>
      <c r="H13541" s="106" t="str">
        <f t="shared" si="1"/>
        <v/>
      </c>
      <c r="J13541" t="str">
        <f>IFERROR(__xludf.DUMMYFUNCTION("IFS(
  AND(REGEXMATCH(E13541, ""台銀籌備帳戶|玉山帳戶""), REGEXMATCH(C13541, ""薪資"")), ""分潤支出"",
  AND(REGEXMATCH(E13541, ""Ben帳戶|Elsa帳戶|Ben代墊|Ariel代墊|中信銀行共用""), REGEXMATCH(F13541, ""Ben帳戶|Elsa帳戶|Ben代墊|Ariel代墊|中信銀行共用"")), ""內部轉帳(忽略)"",
  AND(E13541&lt;&gt;"""", F13541&lt;&gt;"&amp;""""", NOT(REGEXMATCH(C13541, ""薪資""))), ""內部轉帳(忽略)"",
  REGEXMATCH(C13541, ""薪資""), ""薪資變動(不計入)"",
  REGEXMATCH(C13541, ""押金""), ""押金往來"",
  AND(E13541&lt;&gt;"""", F13541=""""), ""真實支出"",
  AND(E13541="""", F13541&lt;&gt;""""), ""真實收入"",
  TRUE, ""其他""
)"),"其他")</f>
        <v>其他</v>
      </c>
      <c r="K13541" s="270" t="str">
        <f t="shared" si="2"/>
        <v/>
      </c>
      <c r="L13541">
        <f t="shared" si="3"/>
        <v>0</v>
      </c>
    </row>
    <row r="13542">
      <c r="A13542" s="107"/>
      <c r="D13542" s="270"/>
      <c r="H13542" s="106" t="str">
        <f t="shared" si="1"/>
        <v/>
      </c>
      <c r="J13542" t="str">
        <f>IFERROR(__xludf.DUMMYFUNCTION("IFS(
  AND(REGEXMATCH(E13542, ""台銀籌備帳戶|玉山帳戶""), REGEXMATCH(C13542, ""薪資"")), ""分潤支出"",
  AND(REGEXMATCH(E13542, ""Ben帳戶|Elsa帳戶|Ben代墊|Ariel代墊|中信銀行共用""), REGEXMATCH(F13542, ""Ben帳戶|Elsa帳戶|Ben代墊|Ariel代墊|中信銀行共用"")), ""內部轉帳(忽略)"",
  AND(E13542&lt;&gt;"""", F13542&lt;&gt;"&amp;""""", NOT(REGEXMATCH(C13542, ""薪資""))), ""內部轉帳(忽略)"",
  REGEXMATCH(C13542, ""薪資""), ""薪資變動(不計入)"",
  REGEXMATCH(C13542, ""押金""), ""押金往來"",
  AND(E13542&lt;&gt;"""", F13542=""""), ""真實支出"",
  AND(E13542="""", F13542&lt;&gt;""""), ""真實收入"",
  TRUE, ""其他""
)"),"其他")</f>
        <v>其他</v>
      </c>
      <c r="K13542" s="270" t="str">
        <f t="shared" si="2"/>
        <v/>
      </c>
      <c r="L13542">
        <f t="shared" si="3"/>
        <v>0</v>
      </c>
    </row>
    <row r="13543">
      <c r="A13543" s="107"/>
      <c r="D13543" s="270"/>
      <c r="H13543" s="106" t="str">
        <f t="shared" si="1"/>
        <v/>
      </c>
      <c r="J13543" t="str">
        <f>IFERROR(__xludf.DUMMYFUNCTION("IFS(
  AND(REGEXMATCH(E13543, ""台銀籌備帳戶|玉山帳戶""), REGEXMATCH(C13543, ""薪資"")), ""分潤支出"",
  AND(REGEXMATCH(E13543, ""Ben帳戶|Elsa帳戶|Ben代墊|Ariel代墊|中信銀行共用""), REGEXMATCH(F13543, ""Ben帳戶|Elsa帳戶|Ben代墊|Ariel代墊|中信銀行共用"")), ""內部轉帳(忽略)"",
  AND(E13543&lt;&gt;"""", F13543&lt;&gt;"&amp;""""", NOT(REGEXMATCH(C13543, ""薪資""))), ""內部轉帳(忽略)"",
  REGEXMATCH(C13543, ""薪資""), ""薪資變動(不計入)"",
  REGEXMATCH(C13543, ""押金""), ""押金往來"",
  AND(E13543&lt;&gt;"""", F13543=""""), ""真實支出"",
  AND(E13543="""", F13543&lt;&gt;""""), ""真實收入"",
  TRUE, ""其他""
)"),"其他")</f>
        <v>其他</v>
      </c>
      <c r="K13543" s="270" t="str">
        <f t="shared" si="2"/>
        <v/>
      </c>
      <c r="L13543">
        <f t="shared" si="3"/>
        <v>0</v>
      </c>
    </row>
    <row r="13544">
      <c r="A13544" s="107"/>
      <c r="D13544" s="270"/>
      <c r="H13544" s="106" t="str">
        <f t="shared" si="1"/>
        <v/>
      </c>
      <c r="J13544" t="str">
        <f>IFERROR(__xludf.DUMMYFUNCTION("IFS(
  AND(REGEXMATCH(E13544, ""台銀籌備帳戶|玉山帳戶""), REGEXMATCH(C13544, ""薪資"")), ""分潤支出"",
  AND(REGEXMATCH(E13544, ""Ben帳戶|Elsa帳戶|Ben代墊|Ariel代墊|中信銀行共用""), REGEXMATCH(F13544, ""Ben帳戶|Elsa帳戶|Ben代墊|Ariel代墊|中信銀行共用"")), ""內部轉帳(忽略)"",
  AND(E13544&lt;&gt;"""", F13544&lt;&gt;"&amp;""""", NOT(REGEXMATCH(C13544, ""薪資""))), ""內部轉帳(忽略)"",
  REGEXMATCH(C13544, ""薪資""), ""薪資變動(不計入)"",
  REGEXMATCH(C13544, ""押金""), ""押金往來"",
  AND(E13544&lt;&gt;"""", F13544=""""), ""真實支出"",
  AND(E13544="""", F13544&lt;&gt;""""), ""真實收入"",
  TRUE, ""其他""
)"),"其他")</f>
        <v>其他</v>
      </c>
      <c r="K13544" s="270" t="str">
        <f t="shared" si="2"/>
        <v/>
      </c>
      <c r="L13544">
        <f t="shared" si="3"/>
        <v>0</v>
      </c>
    </row>
    <row r="13545">
      <c r="A13545" s="107"/>
      <c r="D13545" s="270"/>
      <c r="H13545" s="106" t="str">
        <f t="shared" si="1"/>
        <v/>
      </c>
      <c r="J13545" t="str">
        <f>IFERROR(__xludf.DUMMYFUNCTION("IFS(
  AND(REGEXMATCH(E13545, ""台銀籌備帳戶|玉山帳戶""), REGEXMATCH(C13545, ""薪資"")), ""分潤支出"",
  AND(REGEXMATCH(E13545, ""Ben帳戶|Elsa帳戶|Ben代墊|Ariel代墊|中信銀行共用""), REGEXMATCH(F13545, ""Ben帳戶|Elsa帳戶|Ben代墊|Ariel代墊|中信銀行共用"")), ""內部轉帳(忽略)"",
  AND(E13545&lt;&gt;"""", F13545&lt;&gt;"&amp;""""", NOT(REGEXMATCH(C13545, ""薪資""))), ""內部轉帳(忽略)"",
  REGEXMATCH(C13545, ""薪資""), ""薪資變動(不計入)"",
  REGEXMATCH(C13545, ""押金""), ""押金往來"",
  AND(E13545&lt;&gt;"""", F13545=""""), ""真實支出"",
  AND(E13545="""", F13545&lt;&gt;""""), ""真實收入"",
  TRUE, ""其他""
)"),"其他")</f>
        <v>其他</v>
      </c>
      <c r="K13545" s="270" t="str">
        <f t="shared" si="2"/>
        <v/>
      </c>
      <c r="L13545">
        <f t="shared" si="3"/>
        <v>0</v>
      </c>
    </row>
    <row r="13546">
      <c r="A13546" s="107"/>
      <c r="D13546" s="270"/>
      <c r="H13546" s="106" t="str">
        <f t="shared" si="1"/>
        <v/>
      </c>
      <c r="J13546" t="str">
        <f>IFERROR(__xludf.DUMMYFUNCTION("IFS(
  AND(REGEXMATCH(E13546, ""台銀籌備帳戶|玉山帳戶""), REGEXMATCH(C13546, ""薪資"")), ""分潤支出"",
  AND(REGEXMATCH(E13546, ""Ben帳戶|Elsa帳戶|Ben代墊|Ariel代墊|中信銀行共用""), REGEXMATCH(F13546, ""Ben帳戶|Elsa帳戶|Ben代墊|Ariel代墊|中信銀行共用"")), ""內部轉帳(忽略)"",
  AND(E13546&lt;&gt;"""", F13546&lt;&gt;"&amp;""""", NOT(REGEXMATCH(C13546, ""薪資""))), ""內部轉帳(忽略)"",
  REGEXMATCH(C13546, ""薪資""), ""薪資變動(不計入)"",
  REGEXMATCH(C13546, ""押金""), ""押金往來"",
  AND(E13546&lt;&gt;"""", F13546=""""), ""真實支出"",
  AND(E13546="""", F13546&lt;&gt;""""), ""真實收入"",
  TRUE, ""其他""
)"),"其他")</f>
        <v>其他</v>
      </c>
      <c r="K13546" s="270" t="str">
        <f t="shared" si="2"/>
        <v/>
      </c>
      <c r="L13546">
        <f t="shared" si="3"/>
        <v>0</v>
      </c>
    </row>
    <row r="13547">
      <c r="A13547" s="107"/>
      <c r="D13547" s="270"/>
      <c r="H13547" s="106" t="str">
        <f t="shared" si="1"/>
        <v/>
      </c>
      <c r="J13547" t="str">
        <f>IFERROR(__xludf.DUMMYFUNCTION("IFS(
  AND(REGEXMATCH(E13547, ""台銀籌備帳戶|玉山帳戶""), REGEXMATCH(C13547, ""薪資"")), ""分潤支出"",
  AND(REGEXMATCH(E13547, ""Ben帳戶|Elsa帳戶|Ben代墊|Ariel代墊|中信銀行共用""), REGEXMATCH(F13547, ""Ben帳戶|Elsa帳戶|Ben代墊|Ariel代墊|中信銀行共用"")), ""內部轉帳(忽略)"",
  AND(E13547&lt;&gt;"""", F13547&lt;&gt;"&amp;""""", NOT(REGEXMATCH(C13547, ""薪資""))), ""內部轉帳(忽略)"",
  REGEXMATCH(C13547, ""薪資""), ""薪資變動(不計入)"",
  REGEXMATCH(C13547, ""押金""), ""押金往來"",
  AND(E13547&lt;&gt;"""", F13547=""""), ""真實支出"",
  AND(E13547="""", F13547&lt;&gt;""""), ""真實收入"",
  TRUE, ""其他""
)"),"其他")</f>
        <v>其他</v>
      </c>
      <c r="K13547" s="270" t="str">
        <f t="shared" si="2"/>
        <v/>
      </c>
      <c r="L13547">
        <f t="shared" si="3"/>
        <v>0</v>
      </c>
    </row>
    <row r="13548">
      <c r="A13548" s="107"/>
      <c r="D13548" s="270"/>
      <c r="H13548" s="106" t="str">
        <f t="shared" si="1"/>
        <v/>
      </c>
      <c r="J13548" t="str">
        <f>IFERROR(__xludf.DUMMYFUNCTION("IFS(
  AND(REGEXMATCH(E13548, ""台銀籌備帳戶|玉山帳戶""), REGEXMATCH(C13548, ""薪資"")), ""分潤支出"",
  AND(REGEXMATCH(E13548, ""Ben帳戶|Elsa帳戶|Ben代墊|Ariel代墊|中信銀行共用""), REGEXMATCH(F13548, ""Ben帳戶|Elsa帳戶|Ben代墊|Ariel代墊|中信銀行共用"")), ""內部轉帳(忽略)"",
  AND(E13548&lt;&gt;"""", F13548&lt;&gt;"&amp;""""", NOT(REGEXMATCH(C13548, ""薪資""))), ""內部轉帳(忽略)"",
  REGEXMATCH(C13548, ""薪資""), ""薪資變動(不計入)"",
  REGEXMATCH(C13548, ""押金""), ""押金往來"",
  AND(E13548&lt;&gt;"""", F13548=""""), ""真實支出"",
  AND(E13548="""", F13548&lt;&gt;""""), ""真實收入"",
  TRUE, ""其他""
)"),"其他")</f>
        <v>其他</v>
      </c>
      <c r="K13548" s="270" t="str">
        <f t="shared" si="2"/>
        <v/>
      </c>
      <c r="L13548">
        <f t="shared" si="3"/>
        <v>0</v>
      </c>
    </row>
    <row r="13549">
      <c r="A13549" s="107"/>
      <c r="D13549" s="270"/>
      <c r="H13549" s="106" t="str">
        <f t="shared" si="1"/>
        <v/>
      </c>
      <c r="J13549" t="str">
        <f>IFERROR(__xludf.DUMMYFUNCTION("IFS(
  AND(REGEXMATCH(E13549, ""台銀籌備帳戶|玉山帳戶""), REGEXMATCH(C13549, ""薪資"")), ""分潤支出"",
  AND(REGEXMATCH(E13549, ""Ben帳戶|Elsa帳戶|Ben代墊|Ariel代墊|中信銀行共用""), REGEXMATCH(F13549, ""Ben帳戶|Elsa帳戶|Ben代墊|Ariel代墊|中信銀行共用"")), ""內部轉帳(忽略)"",
  AND(E13549&lt;&gt;"""", F13549&lt;&gt;"&amp;""""", NOT(REGEXMATCH(C13549, ""薪資""))), ""內部轉帳(忽略)"",
  REGEXMATCH(C13549, ""薪資""), ""薪資變動(不計入)"",
  REGEXMATCH(C13549, ""押金""), ""押金往來"",
  AND(E13549&lt;&gt;"""", F13549=""""), ""真實支出"",
  AND(E13549="""", F13549&lt;&gt;""""), ""真實收入"",
  TRUE, ""其他""
)"),"其他")</f>
        <v>其他</v>
      </c>
      <c r="K13549" s="270" t="str">
        <f t="shared" si="2"/>
        <v/>
      </c>
      <c r="L13549">
        <f t="shared" si="3"/>
        <v>0</v>
      </c>
    </row>
    <row r="13550">
      <c r="A13550" s="107"/>
      <c r="D13550" s="270"/>
      <c r="H13550" s="106" t="str">
        <f t="shared" si="1"/>
        <v/>
      </c>
      <c r="J13550" t="str">
        <f>IFERROR(__xludf.DUMMYFUNCTION("IFS(
  AND(REGEXMATCH(E13550, ""台銀籌備帳戶|玉山帳戶""), REGEXMATCH(C13550, ""薪資"")), ""分潤支出"",
  AND(REGEXMATCH(E13550, ""Ben帳戶|Elsa帳戶|Ben代墊|Ariel代墊|中信銀行共用""), REGEXMATCH(F13550, ""Ben帳戶|Elsa帳戶|Ben代墊|Ariel代墊|中信銀行共用"")), ""內部轉帳(忽略)"",
  AND(E13550&lt;&gt;"""", F13550&lt;&gt;"&amp;""""", NOT(REGEXMATCH(C13550, ""薪資""))), ""內部轉帳(忽略)"",
  REGEXMATCH(C13550, ""薪資""), ""薪資變動(不計入)"",
  REGEXMATCH(C13550, ""押金""), ""押金往來"",
  AND(E13550&lt;&gt;"""", F13550=""""), ""真實支出"",
  AND(E13550="""", F13550&lt;&gt;""""), ""真實收入"",
  TRUE, ""其他""
)"),"其他")</f>
        <v>其他</v>
      </c>
      <c r="K13550" s="270" t="str">
        <f t="shared" si="2"/>
        <v/>
      </c>
      <c r="L13550">
        <f t="shared" si="3"/>
        <v>0</v>
      </c>
    </row>
    <row r="13551">
      <c r="A13551" s="107"/>
      <c r="D13551" s="270"/>
      <c r="H13551" s="106" t="str">
        <f t="shared" si="1"/>
        <v/>
      </c>
      <c r="J13551" t="str">
        <f>IFERROR(__xludf.DUMMYFUNCTION("IFS(
  AND(REGEXMATCH(E13551, ""台銀籌備帳戶|玉山帳戶""), REGEXMATCH(C13551, ""薪資"")), ""分潤支出"",
  AND(REGEXMATCH(E13551, ""Ben帳戶|Elsa帳戶|Ben代墊|Ariel代墊|中信銀行共用""), REGEXMATCH(F13551, ""Ben帳戶|Elsa帳戶|Ben代墊|Ariel代墊|中信銀行共用"")), ""內部轉帳(忽略)"",
  AND(E13551&lt;&gt;"""", F13551&lt;&gt;"&amp;""""", NOT(REGEXMATCH(C13551, ""薪資""))), ""內部轉帳(忽略)"",
  REGEXMATCH(C13551, ""薪資""), ""薪資變動(不計入)"",
  REGEXMATCH(C13551, ""押金""), ""押金往來"",
  AND(E13551&lt;&gt;"""", F13551=""""), ""真實支出"",
  AND(E13551="""", F13551&lt;&gt;""""), ""真實收入"",
  TRUE, ""其他""
)"),"其他")</f>
        <v>其他</v>
      </c>
      <c r="K13551" s="270" t="str">
        <f t="shared" si="2"/>
        <v/>
      </c>
      <c r="L13551">
        <f t="shared" si="3"/>
        <v>0</v>
      </c>
    </row>
    <row r="13552">
      <c r="A13552" s="107"/>
      <c r="D13552" s="270"/>
      <c r="H13552" s="106" t="str">
        <f t="shared" si="1"/>
        <v/>
      </c>
      <c r="J13552" t="str">
        <f>IFERROR(__xludf.DUMMYFUNCTION("IFS(
  AND(REGEXMATCH(E13552, ""台銀籌備帳戶|玉山帳戶""), REGEXMATCH(C13552, ""薪資"")), ""分潤支出"",
  AND(REGEXMATCH(E13552, ""Ben帳戶|Elsa帳戶|Ben代墊|Ariel代墊|中信銀行共用""), REGEXMATCH(F13552, ""Ben帳戶|Elsa帳戶|Ben代墊|Ariel代墊|中信銀行共用"")), ""內部轉帳(忽略)"",
  AND(E13552&lt;&gt;"""", F13552&lt;&gt;"&amp;""""", NOT(REGEXMATCH(C13552, ""薪資""))), ""內部轉帳(忽略)"",
  REGEXMATCH(C13552, ""薪資""), ""薪資變動(不計入)"",
  REGEXMATCH(C13552, ""押金""), ""押金往來"",
  AND(E13552&lt;&gt;"""", F13552=""""), ""真實支出"",
  AND(E13552="""", F13552&lt;&gt;""""), ""真實收入"",
  TRUE, ""其他""
)"),"其他")</f>
        <v>其他</v>
      </c>
      <c r="K13552" s="270" t="str">
        <f t="shared" si="2"/>
        <v/>
      </c>
      <c r="L13552">
        <f t="shared" si="3"/>
        <v>0</v>
      </c>
    </row>
    <row r="13553">
      <c r="A13553" s="107"/>
      <c r="D13553" s="270"/>
      <c r="H13553" s="106" t="str">
        <f t="shared" si="1"/>
        <v/>
      </c>
      <c r="J13553" t="str">
        <f>IFERROR(__xludf.DUMMYFUNCTION("IFS(
  AND(REGEXMATCH(E13553, ""台銀籌備帳戶|玉山帳戶""), REGEXMATCH(C13553, ""薪資"")), ""分潤支出"",
  AND(REGEXMATCH(E13553, ""Ben帳戶|Elsa帳戶|Ben代墊|Ariel代墊|中信銀行共用""), REGEXMATCH(F13553, ""Ben帳戶|Elsa帳戶|Ben代墊|Ariel代墊|中信銀行共用"")), ""內部轉帳(忽略)"",
  AND(E13553&lt;&gt;"""", F13553&lt;&gt;"&amp;""""", NOT(REGEXMATCH(C13553, ""薪資""))), ""內部轉帳(忽略)"",
  REGEXMATCH(C13553, ""薪資""), ""薪資變動(不計入)"",
  REGEXMATCH(C13553, ""押金""), ""押金往來"",
  AND(E13553&lt;&gt;"""", F13553=""""), ""真實支出"",
  AND(E13553="""", F13553&lt;&gt;""""), ""真實收入"",
  TRUE, ""其他""
)"),"其他")</f>
        <v>其他</v>
      </c>
      <c r="K13553" s="270" t="str">
        <f t="shared" si="2"/>
        <v/>
      </c>
      <c r="L13553">
        <f t="shared" si="3"/>
        <v>0</v>
      </c>
    </row>
    <row r="13554">
      <c r="A13554" s="107"/>
      <c r="D13554" s="270"/>
      <c r="H13554" s="106" t="str">
        <f t="shared" si="1"/>
        <v/>
      </c>
      <c r="J13554" t="str">
        <f>IFERROR(__xludf.DUMMYFUNCTION("IFS(
  AND(REGEXMATCH(E13554, ""台銀籌備帳戶|玉山帳戶""), REGEXMATCH(C13554, ""薪資"")), ""分潤支出"",
  AND(REGEXMATCH(E13554, ""Ben帳戶|Elsa帳戶|Ben代墊|Ariel代墊|中信銀行共用""), REGEXMATCH(F13554, ""Ben帳戶|Elsa帳戶|Ben代墊|Ariel代墊|中信銀行共用"")), ""內部轉帳(忽略)"",
  AND(E13554&lt;&gt;"""", F13554&lt;&gt;"&amp;""""", NOT(REGEXMATCH(C13554, ""薪資""))), ""內部轉帳(忽略)"",
  REGEXMATCH(C13554, ""薪資""), ""薪資變動(不計入)"",
  REGEXMATCH(C13554, ""押金""), ""押金往來"",
  AND(E13554&lt;&gt;"""", F13554=""""), ""真實支出"",
  AND(E13554="""", F13554&lt;&gt;""""), ""真實收入"",
  TRUE, ""其他""
)"),"其他")</f>
        <v>其他</v>
      </c>
      <c r="K13554" s="270" t="str">
        <f t="shared" si="2"/>
        <v/>
      </c>
      <c r="L13554">
        <f t="shared" si="3"/>
        <v>0</v>
      </c>
    </row>
    <row r="13555">
      <c r="A13555" s="107"/>
      <c r="D13555" s="270"/>
      <c r="H13555" s="106" t="str">
        <f t="shared" si="1"/>
        <v/>
      </c>
      <c r="J13555" t="str">
        <f>IFERROR(__xludf.DUMMYFUNCTION("IFS(
  AND(REGEXMATCH(E13555, ""台銀籌備帳戶|玉山帳戶""), REGEXMATCH(C13555, ""薪資"")), ""分潤支出"",
  AND(REGEXMATCH(E13555, ""Ben帳戶|Elsa帳戶|Ben代墊|Ariel代墊|中信銀行共用""), REGEXMATCH(F13555, ""Ben帳戶|Elsa帳戶|Ben代墊|Ariel代墊|中信銀行共用"")), ""內部轉帳(忽略)"",
  AND(E13555&lt;&gt;"""", F13555&lt;&gt;"&amp;""""", NOT(REGEXMATCH(C13555, ""薪資""))), ""內部轉帳(忽略)"",
  REGEXMATCH(C13555, ""薪資""), ""薪資變動(不計入)"",
  REGEXMATCH(C13555, ""押金""), ""押金往來"",
  AND(E13555&lt;&gt;"""", F13555=""""), ""真實支出"",
  AND(E13555="""", F13555&lt;&gt;""""), ""真實收入"",
  TRUE, ""其他""
)"),"其他")</f>
        <v>其他</v>
      </c>
      <c r="K13555" s="270" t="str">
        <f t="shared" si="2"/>
        <v/>
      </c>
      <c r="L13555">
        <f t="shared" si="3"/>
        <v>0</v>
      </c>
    </row>
    <row r="13556">
      <c r="A13556" s="107"/>
      <c r="D13556" s="270"/>
      <c r="H13556" s="106" t="str">
        <f t="shared" si="1"/>
        <v/>
      </c>
      <c r="J13556" t="str">
        <f>IFERROR(__xludf.DUMMYFUNCTION("IFS(
  AND(REGEXMATCH(E13556, ""台銀籌備帳戶|玉山帳戶""), REGEXMATCH(C13556, ""薪資"")), ""分潤支出"",
  AND(REGEXMATCH(E13556, ""Ben帳戶|Elsa帳戶|Ben代墊|Ariel代墊|中信銀行共用""), REGEXMATCH(F13556, ""Ben帳戶|Elsa帳戶|Ben代墊|Ariel代墊|中信銀行共用"")), ""內部轉帳(忽略)"",
  AND(E13556&lt;&gt;"""", F13556&lt;&gt;"&amp;""""", NOT(REGEXMATCH(C13556, ""薪資""))), ""內部轉帳(忽略)"",
  REGEXMATCH(C13556, ""薪資""), ""薪資變動(不計入)"",
  REGEXMATCH(C13556, ""押金""), ""押金往來"",
  AND(E13556&lt;&gt;"""", F13556=""""), ""真實支出"",
  AND(E13556="""", F13556&lt;&gt;""""), ""真實收入"",
  TRUE, ""其他""
)"),"其他")</f>
        <v>其他</v>
      </c>
      <c r="K13556" s="270" t="str">
        <f t="shared" si="2"/>
        <v/>
      </c>
      <c r="L13556">
        <f t="shared" si="3"/>
        <v>0</v>
      </c>
    </row>
    <row r="13557">
      <c r="A13557" s="107"/>
      <c r="D13557" s="270"/>
      <c r="H13557" s="106" t="str">
        <f t="shared" si="1"/>
        <v/>
      </c>
      <c r="J13557" t="str">
        <f>IFERROR(__xludf.DUMMYFUNCTION("IFS(
  AND(REGEXMATCH(E13557, ""台銀籌備帳戶|玉山帳戶""), REGEXMATCH(C13557, ""薪資"")), ""分潤支出"",
  AND(REGEXMATCH(E13557, ""Ben帳戶|Elsa帳戶|Ben代墊|Ariel代墊|中信銀行共用""), REGEXMATCH(F13557, ""Ben帳戶|Elsa帳戶|Ben代墊|Ariel代墊|中信銀行共用"")), ""內部轉帳(忽略)"",
  AND(E13557&lt;&gt;"""", F13557&lt;&gt;"&amp;""""", NOT(REGEXMATCH(C13557, ""薪資""))), ""內部轉帳(忽略)"",
  REGEXMATCH(C13557, ""薪資""), ""薪資變動(不計入)"",
  REGEXMATCH(C13557, ""押金""), ""押金往來"",
  AND(E13557&lt;&gt;"""", F13557=""""), ""真實支出"",
  AND(E13557="""", F13557&lt;&gt;""""), ""真實收入"",
  TRUE, ""其他""
)"),"其他")</f>
        <v>其他</v>
      </c>
      <c r="K13557" s="270" t="str">
        <f t="shared" si="2"/>
        <v/>
      </c>
      <c r="L13557">
        <f t="shared" si="3"/>
        <v>0</v>
      </c>
    </row>
    <row r="13558">
      <c r="A13558" s="107"/>
      <c r="D13558" s="270"/>
      <c r="H13558" s="106" t="str">
        <f t="shared" si="1"/>
        <v/>
      </c>
      <c r="J13558" t="str">
        <f>IFERROR(__xludf.DUMMYFUNCTION("IFS(
  AND(REGEXMATCH(E13558, ""台銀籌備帳戶|玉山帳戶""), REGEXMATCH(C13558, ""薪資"")), ""分潤支出"",
  AND(REGEXMATCH(E13558, ""Ben帳戶|Elsa帳戶|Ben代墊|Ariel代墊|中信銀行共用""), REGEXMATCH(F13558, ""Ben帳戶|Elsa帳戶|Ben代墊|Ariel代墊|中信銀行共用"")), ""內部轉帳(忽略)"",
  AND(E13558&lt;&gt;"""", F13558&lt;&gt;"&amp;""""", NOT(REGEXMATCH(C13558, ""薪資""))), ""內部轉帳(忽略)"",
  REGEXMATCH(C13558, ""薪資""), ""薪資變動(不計入)"",
  REGEXMATCH(C13558, ""押金""), ""押金往來"",
  AND(E13558&lt;&gt;"""", F13558=""""), ""真實支出"",
  AND(E13558="""", F13558&lt;&gt;""""), ""真實收入"",
  TRUE, ""其他""
)"),"其他")</f>
        <v>其他</v>
      </c>
      <c r="K13558" s="270" t="str">
        <f t="shared" si="2"/>
        <v/>
      </c>
      <c r="L13558">
        <f t="shared" si="3"/>
        <v>0</v>
      </c>
    </row>
    <row r="13559">
      <c r="A13559" s="107"/>
      <c r="D13559" s="270"/>
      <c r="H13559" s="106" t="str">
        <f t="shared" si="1"/>
        <v/>
      </c>
      <c r="J13559" t="str">
        <f>IFERROR(__xludf.DUMMYFUNCTION("IFS(
  AND(REGEXMATCH(E13559, ""台銀籌備帳戶|玉山帳戶""), REGEXMATCH(C13559, ""薪資"")), ""分潤支出"",
  AND(REGEXMATCH(E13559, ""Ben帳戶|Elsa帳戶|Ben代墊|Ariel代墊|中信銀行共用""), REGEXMATCH(F13559, ""Ben帳戶|Elsa帳戶|Ben代墊|Ariel代墊|中信銀行共用"")), ""內部轉帳(忽略)"",
  AND(E13559&lt;&gt;"""", F13559&lt;&gt;"&amp;""""", NOT(REGEXMATCH(C13559, ""薪資""))), ""內部轉帳(忽略)"",
  REGEXMATCH(C13559, ""薪資""), ""薪資變動(不計入)"",
  REGEXMATCH(C13559, ""押金""), ""押金往來"",
  AND(E13559&lt;&gt;"""", F13559=""""), ""真實支出"",
  AND(E13559="""", F13559&lt;&gt;""""), ""真實收入"",
  TRUE, ""其他""
)"),"其他")</f>
        <v>其他</v>
      </c>
      <c r="K13559" s="270" t="str">
        <f t="shared" si="2"/>
        <v/>
      </c>
      <c r="L13559">
        <f t="shared" si="3"/>
        <v>0</v>
      </c>
    </row>
    <row r="13560">
      <c r="A13560" s="107"/>
      <c r="D13560" s="270"/>
      <c r="H13560" s="106" t="str">
        <f t="shared" si="1"/>
        <v/>
      </c>
      <c r="J13560" t="str">
        <f>IFERROR(__xludf.DUMMYFUNCTION("IFS(
  AND(REGEXMATCH(E13560, ""台銀籌備帳戶|玉山帳戶""), REGEXMATCH(C13560, ""薪資"")), ""分潤支出"",
  AND(REGEXMATCH(E13560, ""Ben帳戶|Elsa帳戶|Ben代墊|Ariel代墊|中信銀行共用""), REGEXMATCH(F13560, ""Ben帳戶|Elsa帳戶|Ben代墊|Ariel代墊|中信銀行共用"")), ""內部轉帳(忽略)"",
  AND(E13560&lt;&gt;"""", F13560&lt;&gt;"&amp;""""", NOT(REGEXMATCH(C13560, ""薪資""))), ""內部轉帳(忽略)"",
  REGEXMATCH(C13560, ""薪資""), ""薪資變動(不計入)"",
  REGEXMATCH(C13560, ""押金""), ""押金往來"",
  AND(E13560&lt;&gt;"""", F13560=""""), ""真實支出"",
  AND(E13560="""", F13560&lt;&gt;""""), ""真實收入"",
  TRUE, ""其他""
)"),"其他")</f>
        <v>其他</v>
      </c>
      <c r="K13560" s="270" t="str">
        <f t="shared" si="2"/>
        <v/>
      </c>
      <c r="L13560">
        <f t="shared" si="3"/>
        <v>0</v>
      </c>
    </row>
    <row r="13561">
      <c r="A13561" s="107"/>
      <c r="D13561" s="270"/>
      <c r="H13561" s="106" t="str">
        <f t="shared" si="1"/>
        <v/>
      </c>
      <c r="J13561" t="str">
        <f>IFERROR(__xludf.DUMMYFUNCTION("IFS(
  AND(REGEXMATCH(E13561, ""台銀籌備帳戶|玉山帳戶""), REGEXMATCH(C13561, ""薪資"")), ""分潤支出"",
  AND(REGEXMATCH(E13561, ""Ben帳戶|Elsa帳戶|Ben代墊|Ariel代墊|中信銀行共用""), REGEXMATCH(F13561, ""Ben帳戶|Elsa帳戶|Ben代墊|Ariel代墊|中信銀行共用"")), ""內部轉帳(忽略)"",
  AND(E13561&lt;&gt;"""", F13561&lt;&gt;"&amp;""""", NOT(REGEXMATCH(C13561, ""薪資""))), ""內部轉帳(忽略)"",
  REGEXMATCH(C13561, ""薪資""), ""薪資變動(不計入)"",
  REGEXMATCH(C13561, ""押金""), ""押金往來"",
  AND(E13561&lt;&gt;"""", F13561=""""), ""真實支出"",
  AND(E13561="""", F13561&lt;&gt;""""), ""真實收入"",
  TRUE, ""其他""
)"),"其他")</f>
        <v>其他</v>
      </c>
      <c r="K13561" s="270" t="str">
        <f t="shared" si="2"/>
        <v/>
      </c>
      <c r="L13561">
        <f t="shared" si="3"/>
        <v>0</v>
      </c>
    </row>
    <row r="13562">
      <c r="A13562" s="107"/>
      <c r="D13562" s="270"/>
      <c r="H13562" s="106" t="str">
        <f t="shared" si="1"/>
        <v/>
      </c>
      <c r="J13562" t="str">
        <f>IFERROR(__xludf.DUMMYFUNCTION("IFS(
  AND(REGEXMATCH(E13562, ""台銀籌備帳戶|玉山帳戶""), REGEXMATCH(C13562, ""薪資"")), ""分潤支出"",
  AND(REGEXMATCH(E13562, ""Ben帳戶|Elsa帳戶|Ben代墊|Ariel代墊|中信銀行共用""), REGEXMATCH(F13562, ""Ben帳戶|Elsa帳戶|Ben代墊|Ariel代墊|中信銀行共用"")), ""內部轉帳(忽略)"",
  AND(E13562&lt;&gt;"""", F13562&lt;&gt;"&amp;""""", NOT(REGEXMATCH(C13562, ""薪資""))), ""內部轉帳(忽略)"",
  REGEXMATCH(C13562, ""薪資""), ""薪資變動(不計入)"",
  REGEXMATCH(C13562, ""押金""), ""押金往來"",
  AND(E13562&lt;&gt;"""", F13562=""""), ""真實支出"",
  AND(E13562="""", F13562&lt;&gt;""""), ""真實收入"",
  TRUE, ""其他""
)"),"其他")</f>
        <v>其他</v>
      </c>
      <c r="K13562" s="270" t="str">
        <f t="shared" si="2"/>
        <v/>
      </c>
      <c r="L13562">
        <f t="shared" si="3"/>
        <v>0</v>
      </c>
    </row>
    <row r="13563">
      <c r="A13563" s="107"/>
      <c r="D13563" s="270"/>
      <c r="H13563" s="106" t="str">
        <f t="shared" si="1"/>
        <v/>
      </c>
      <c r="J13563" t="str">
        <f>IFERROR(__xludf.DUMMYFUNCTION("IFS(
  AND(REGEXMATCH(E13563, ""台銀籌備帳戶|玉山帳戶""), REGEXMATCH(C13563, ""薪資"")), ""分潤支出"",
  AND(REGEXMATCH(E13563, ""Ben帳戶|Elsa帳戶|Ben代墊|Ariel代墊|中信銀行共用""), REGEXMATCH(F13563, ""Ben帳戶|Elsa帳戶|Ben代墊|Ariel代墊|中信銀行共用"")), ""內部轉帳(忽略)"",
  AND(E13563&lt;&gt;"""", F13563&lt;&gt;"&amp;""""", NOT(REGEXMATCH(C13563, ""薪資""))), ""內部轉帳(忽略)"",
  REGEXMATCH(C13563, ""薪資""), ""薪資變動(不計入)"",
  REGEXMATCH(C13563, ""押金""), ""押金往來"",
  AND(E13563&lt;&gt;"""", F13563=""""), ""真實支出"",
  AND(E13563="""", F13563&lt;&gt;""""), ""真實收入"",
  TRUE, ""其他""
)"),"其他")</f>
        <v>其他</v>
      </c>
      <c r="K13563" s="270" t="str">
        <f t="shared" si="2"/>
        <v/>
      </c>
      <c r="L13563">
        <f t="shared" si="3"/>
        <v>0</v>
      </c>
    </row>
    <row r="13564">
      <c r="A13564" s="107"/>
      <c r="D13564" s="270"/>
      <c r="H13564" s="106" t="str">
        <f t="shared" si="1"/>
        <v/>
      </c>
      <c r="J13564" t="str">
        <f>IFERROR(__xludf.DUMMYFUNCTION("IFS(
  AND(REGEXMATCH(E13564, ""台銀籌備帳戶|玉山帳戶""), REGEXMATCH(C13564, ""薪資"")), ""分潤支出"",
  AND(REGEXMATCH(E13564, ""Ben帳戶|Elsa帳戶|Ben代墊|Ariel代墊|中信銀行共用""), REGEXMATCH(F13564, ""Ben帳戶|Elsa帳戶|Ben代墊|Ariel代墊|中信銀行共用"")), ""內部轉帳(忽略)"",
  AND(E13564&lt;&gt;"""", F13564&lt;&gt;"&amp;""""", NOT(REGEXMATCH(C13564, ""薪資""))), ""內部轉帳(忽略)"",
  REGEXMATCH(C13564, ""薪資""), ""薪資變動(不計入)"",
  REGEXMATCH(C13564, ""押金""), ""押金往來"",
  AND(E13564&lt;&gt;"""", F13564=""""), ""真實支出"",
  AND(E13564="""", F13564&lt;&gt;""""), ""真實收入"",
  TRUE, ""其他""
)"),"其他")</f>
        <v>其他</v>
      </c>
      <c r="K13564" s="270" t="str">
        <f t="shared" si="2"/>
        <v/>
      </c>
      <c r="L13564">
        <f t="shared" si="3"/>
        <v>0</v>
      </c>
    </row>
    <row r="13565">
      <c r="A13565" s="107"/>
      <c r="D13565" s="270"/>
      <c r="H13565" s="106" t="str">
        <f t="shared" si="1"/>
        <v/>
      </c>
      <c r="J13565" t="str">
        <f>IFERROR(__xludf.DUMMYFUNCTION("IFS(
  AND(REGEXMATCH(E13565, ""台銀籌備帳戶|玉山帳戶""), REGEXMATCH(C13565, ""薪資"")), ""分潤支出"",
  AND(REGEXMATCH(E13565, ""Ben帳戶|Elsa帳戶|Ben代墊|Ariel代墊|中信銀行共用""), REGEXMATCH(F13565, ""Ben帳戶|Elsa帳戶|Ben代墊|Ariel代墊|中信銀行共用"")), ""內部轉帳(忽略)"",
  AND(E13565&lt;&gt;"""", F13565&lt;&gt;"&amp;""""", NOT(REGEXMATCH(C13565, ""薪資""))), ""內部轉帳(忽略)"",
  REGEXMATCH(C13565, ""薪資""), ""薪資變動(不計入)"",
  REGEXMATCH(C13565, ""押金""), ""押金往來"",
  AND(E13565&lt;&gt;"""", F13565=""""), ""真實支出"",
  AND(E13565="""", F13565&lt;&gt;""""), ""真實收入"",
  TRUE, ""其他""
)"),"其他")</f>
        <v>其他</v>
      </c>
      <c r="K13565" s="270" t="str">
        <f t="shared" si="2"/>
        <v/>
      </c>
      <c r="L13565">
        <f t="shared" si="3"/>
        <v>0</v>
      </c>
    </row>
    <row r="13566">
      <c r="A13566" s="107"/>
      <c r="D13566" s="270"/>
      <c r="H13566" s="106" t="str">
        <f t="shared" si="1"/>
        <v/>
      </c>
      <c r="J13566" t="str">
        <f>IFERROR(__xludf.DUMMYFUNCTION("IFS(
  AND(REGEXMATCH(E13566, ""台銀籌備帳戶|玉山帳戶""), REGEXMATCH(C13566, ""薪資"")), ""分潤支出"",
  AND(REGEXMATCH(E13566, ""Ben帳戶|Elsa帳戶|Ben代墊|Ariel代墊|中信銀行共用""), REGEXMATCH(F13566, ""Ben帳戶|Elsa帳戶|Ben代墊|Ariel代墊|中信銀行共用"")), ""內部轉帳(忽略)"",
  AND(E13566&lt;&gt;"""", F13566&lt;&gt;"&amp;""""", NOT(REGEXMATCH(C13566, ""薪資""))), ""內部轉帳(忽略)"",
  REGEXMATCH(C13566, ""薪資""), ""薪資變動(不計入)"",
  REGEXMATCH(C13566, ""押金""), ""押金往來"",
  AND(E13566&lt;&gt;"""", F13566=""""), ""真實支出"",
  AND(E13566="""", F13566&lt;&gt;""""), ""真實收入"",
  TRUE, ""其他""
)"),"其他")</f>
        <v>其他</v>
      </c>
      <c r="K13566" s="270" t="str">
        <f t="shared" si="2"/>
        <v/>
      </c>
      <c r="L13566">
        <f t="shared" si="3"/>
        <v>0</v>
      </c>
    </row>
    <row r="13567">
      <c r="A13567" s="107"/>
      <c r="D13567" s="270"/>
      <c r="H13567" s="106" t="str">
        <f t="shared" si="1"/>
        <v/>
      </c>
      <c r="J13567" t="str">
        <f>IFERROR(__xludf.DUMMYFUNCTION("IFS(
  AND(REGEXMATCH(E13567, ""台銀籌備帳戶|玉山帳戶""), REGEXMATCH(C13567, ""薪資"")), ""分潤支出"",
  AND(REGEXMATCH(E13567, ""Ben帳戶|Elsa帳戶|Ben代墊|Ariel代墊|中信銀行共用""), REGEXMATCH(F13567, ""Ben帳戶|Elsa帳戶|Ben代墊|Ariel代墊|中信銀行共用"")), ""內部轉帳(忽略)"",
  AND(E13567&lt;&gt;"""", F13567&lt;&gt;"&amp;""""", NOT(REGEXMATCH(C13567, ""薪資""))), ""內部轉帳(忽略)"",
  REGEXMATCH(C13567, ""薪資""), ""薪資變動(不計入)"",
  REGEXMATCH(C13567, ""押金""), ""押金往來"",
  AND(E13567&lt;&gt;"""", F13567=""""), ""真實支出"",
  AND(E13567="""", F13567&lt;&gt;""""), ""真實收入"",
  TRUE, ""其他""
)"),"其他")</f>
        <v>其他</v>
      </c>
      <c r="K13567" s="270" t="str">
        <f t="shared" si="2"/>
        <v/>
      </c>
      <c r="L13567">
        <f t="shared" si="3"/>
        <v>0</v>
      </c>
    </row>
    <row r="13568">
      <c r="A13568" s="107"/>
      <c r="D13568" s="270"/>
      <c r="H13568" s="106" t="str">
        <f t="shared" si="1"/>
        <v/>
      </c>
      <c r="J13568" t="str">
        <f>IFERROR(__xludf.DUMMYFUNCTION("IFS(
  AND(REGEXMATCH(E13568, ""台銀籌備帳戶|玉山帳戶""), REGEXMATCH(C13568, ""薪資"")), ""分潤支出"",
  AND(REGEXMATCH(E13568, ""Ben帳戶|Elsa帳戶|Ben代墊|Ariel代墊|中信銀行共用""), REGEXMATCH(F13568, ""Ben帳戶|Elsa帳戶|Ben代墊|Ariel代墊|中信銀行共用"")), ""內部轉帳(忽略)"",
  AND(E13568&lt;&gt;"""", F13568&lt;&gt;"&amp;""""", NOT(REGEXMATCH(C13568, ""薪資""))), ""內部轉帳(忽略)"",
  REGEXMATCH(C13568, ""薪資""), ""薪資變動(不計入)"",
  REGEXMATCH(C13568, ""押金""), ""押金往來"",
  AND(E13568&lt;&gt;"""", F13568=""""), ""真實支出"",
  AND(E13568="""", F13568&lt;&gt;""""), ""真實收入"",
  TRUE, ""其他""
)"),"其他")</f>
        <v>其他</v>
      </c>
      <c r="K13568" s="270" t="str">
        <f t="shared" si="2"/>
        <v/>
      </c>
      <c r="L13568">
        <f t="shared" si="3"/>
        <v>0</v>
      </c>
    </row>
    <row r="13569">
      <c r="A13569" s="107"/>
      <c r="D13569" s="270"/>
      <c r="H13569" s="106" t="str">
        <f t="shared" si="1"/>
        <v/>
      </c>
      <c r="J13569" t="str">
        <f>IFERROR(__xludf.DUMMYFUNCTION("IFS(
  AND(REGEXMATCH(E13569, ""台銀籌備帳戶|玉山帳戶""), REGEXMATCH(C13569, ""薪資"")), ""分潤支出"",
  AND(REGEXMATCH(E13569, ""Ben帳戶|Elsa帳戶|Ben代墊|Ariel代墊|中信銀行共用""), REGEXMATCH(F13569, ""Ben帳戶|Elsa帳戶|Ben代墊|Ariel代墊|中信銀行共用"")), ""內部轉帳(忽略)"",
  AND(E13569&lt;&gt;"""", F13569&lt;&gt;"&amp;""""", NOT(REGEXMATCH(C13569, ""薪資""))), ""內部轉帳(忽略)"",
  REGEXMATCH(C13569, ""薪資""), ""薪資變動(不計入)"",
  REGEXMATCH(C13569, ""押金""), ""押金往來"",
  AND(E13569&lt;&gt;"""", F13569=""""), ""真實支出"",
  AND(E13569="""", F13569&lt;&gt;""""), ""真實收入"",
  TRUE, ""其他""
)"),"其他")</f>
        <v>其他</v>
      </c>
      <c r="K13569" s="270" t="str">
        <f t="shared" si="2"/>
        <v/>
      </c>
      <c r="L13569">
        <f t="shared" si="3"/>
        <v>0</v>
      </c>
    </row>
    <row r="13570">
      <c r="A13570" s="107"/>
      <c r="D13570" s="270"/>
      <c r="H13570" s="106" t="str">
        <f t="shared" si="1"/>
        <v/>
      </c>
      <c r="J13570" t="str">
        <f>IFERROR(__xludf.DUMMYFUNCTION("IFS(
  AND(REGEXMATCH(E13570, ""台銀籌備帳戶|玉山帳戶""), REGEXMATCH(C13570, ""薪資"")), ""分潤支出"",
  AND(REGEXMATCH(E13570, ""Ben帳戶|Elsa帳戶|Ben代墊|Ariel代墊|中信銀行共用""), REGEXMATCH(F13570, ""Ben帳戶|Elsa帳戶|Ben代墊|Ariel代墊|中信銀行共用"")), ""內部轉帳(忽略)"",
  AND(E13570&lt;&gt;"""", F13570&lt;&gt;"&amp;""""", NOT(REGEXMATCH(C13570, ""薪資""))), ""內部轉帳(忽略)"",
  REGEXMATCH(C13570, ""薪資""), ""薪資變動(不計入)"",
  REGEXMATCH(C13570, ""押金""), ""押金往來"",
  AND(E13570&lt;&gt;"""", F13570=""""), ""真實支出"",
  AND(E13570="""", F13570&lt;&gt;""""), ""真實收入"",
  TRUE, ""其他""
)"),"其他")</f>
        <v>其他</v>
      </c>
      <c r="K13570" s="270" t="str">
        <f t="shared" si="2"/>
        <v/>
      </c>
      <c r="L13570">
        <f t="shared" si="3"/>
        <v>0</v>
      </c>
    </row>
    <row r="13571">
      <c r="A13571" s="107"/>
      <c r="D13571" s="270"/>
      <c r="H13571" s="106" t="str">
        <f t="shared" si="1"/>
        <v/>
      </c>
      <c r="J13571" t="str">
        <f>IFERROR(__xludf.DUMMYFUNCTION("IFS(
  AND(REGEXMATCH(E13571, ""台銀籌備帳戶|玉山帳戶""), REGEXMATCH(C13571, ""薪資"")), ""分潤支出"",
  AND(REGEXMATCH(E13571, ""Ben帳戶|Elsa帳戶|Ben代墊|Ariel代墊|中信銀行共用""), REGEXMATCH(F13571, ""Ben帳戶|Elsa帳戶|Ben代墊|Ariel代墊|中信銀行共用"")), ""內部轉帳(忽略)"",
  AND(E13571&lt;&gt;"""", F13571&lt;&gt;"&amp;""""", NOT(REGEXMATCH(C13571, ""薪資""))), ""內部轉帳(忽略)"",
  REGEXMATCH(C13571, ""薪資""), ""薪資變動(不計入)"",
  REGEXMATCH(C13571, ""押金""), ""押金往來"",
  AND(E13571&lt;&gt;"""", F13571=""""), ""真實支出"",
  AND(E13571="""", F13571&lt;&gt;""""), ""真實收入"",
  TRUE, ""其他""
)"),"其他")</f>
        <v>其他</v>
      </c>
      <c r="K13571" s="270" t="str">
        <f t="shared" si="2"/>
        <v/>
      </c>
      <c r="L13571">
        <f t="shared" si="3"/>
        <v>0</v>
      </c>
    </row>
    <row r="13572">
      <c r="A13572" s="107"/>
      <c r="D13572" s="270"/>
      <c r="H13572" s="106" t="str">
        <f t="shared" si="1"/>
        <v/>
      </c>
      <c r="J13572" t="str">
        <f>IFERROR(__xludf.DUMMYFUNCTION("IFS(
  AND(REGEXMATCH(E13572, ""台銀籌備帳戶|玉山帳戶""), REGEXMATCH(C13572, ""薪資"")), ""分潤支出"",
  AND(REGEXMATCH(E13572, ""Ben帳戶|Elsa帳戶|Ben代墊|Ariel代墊|中信銀行共用""), REGEXMATCH(F13572, ""Ben帳戶|Elsa帳戶|Ben代墊|Ariel代墊|中信銀行共用"")), ""內部轉帳(忽略)"",
  AND(E13572&lt;&gt;"""", F13572&lt;&gt;"&amp;""""", NOT(REGEXMATCH(C13572, ""薪資""))), ""內部轉帳(忽略)"",
  REGEXMATCH(C13572, ""薪資""), ""薪資變動(不計入)"",
  REGEXMATCH(C13572, ""押金""), ""押金往來"",
  AND(E13572&lt;&gt;"""", F13572=""""), ""真實支出"",
  AND(E13572="""", F13572&lt;&gt;""""), ""真實收入"",
  TRUE, ""其他""
)"),"其他")</f>
        <v>其他</v>
      </c>
      <c r="K13572" s="270" t="str">
        <f t="shared" si="2"/>
        <v/>
      </c>
      <c r="L13572">
        <f t="shared" si="3"/>
        <v>0</v>
      </c>
    </row>
    <row r="13573">
      <c r="A13573" s="107"/>
      <c r="D13573" s="270"/>
      <c r="H13573" s="106" t="str">
        <f t="shared" si="1"/>
        <v/>
      </c>
      <c r="J13573" t="str">
        <f>IFERROR(__xludf.DUMMYFUNCTION("IFS(
  AND(REGEXMATCH(E13573, ""台銀籌備帳戶|玉山帳戶""), REGEXMATCH(C13573, ""薪資"")), ""分潤支出"",
  AND(REGEXMATCH(E13573, ""Ben帳戶|Elsa帳戶|Ben代墊|Ariel代墊|中信銀行共用""), REGEXMATCH(F13573, ""Ben帳戶|Elsa帳戶|Ben代墊|Ariel代墊|中信銀行共用"")), ""內部轉帳(忽略)"",
  AND(E13573&lt;&gt;"""", F13573&lt;&gt;"&amp;""""", NOT(REGEXMATCH(C13573, ""薪資""))), ""內部轉帳(忽略)"",
  REGEXMATCH(C13573, ""薪資""), ""薪資變動(不計入)"",
  REGEXMATCH(C13573, ""押金""), ""押金往來"",
  AND(E13573&lt;&gt;"""", F13573=""""), ""真實支出"",
  AND(E13573="""", F13573&lt;&gt;""""), ""真實收入"",
  TRUE, ""其他""
)"),"其他")</f>
        <v>其他</v>
      </c>
      <c r="K13573" s="270" t="str">
        <f t="shared" si="2"/>
        <v/>
      </c>
      <c r="L13573">
        <f t="shared" si="3"/>
        <v>0</v>
      </c>
    </row>
    <row r="13574">
      <c r="A13574" s="107"/>
      <c r="D13574" s="270"/>
      <c r="H13574" s="106" t="str">
        <f t="shared" si="1"/>
        <v/>
      </c>
      <c r="J13574" t="str">
        <f>IFERROR(__xludf.DUMMYFUNCTION("IFS(
  AND(REGEXMATCH(E13574, ""台銀籌備帳戶|玉山帳戶""), REGEXMATCH(C13574, ""薪資"")), ""分潤支出"",
  AND(REGEXMATCH(E13574, ""Ben帳戶|Elsa帳戶|Ben代墊|Ariel代墊|中信銀行共用""), REGEXMATCH(F13574, ""Ben帳戶|Elsa帳戶|Ben代墊|Ariel代墊|中信銀行共用"")), ""內部轉帳(忽略)"",
  AND(E13574&lt;&gt;"""", F13574&lt;&gt;"&amp;""""", NOT(REGEXMATCH(C13574, ""薪資""))), ""內部轉帳(忽略)"",
  REGEXMATCH(C13574, ""薪資""), ""薪資變動(不計入)"",
  REGEXMATCH(C13574, ""押金""), ""押金往來"",
  AND(E13574&lt;&gt;"""", F13574=""""), ""真實支出"",
  AND(E13574="""", F13574&lt;&gt;""""), ""真實收入"",
  TRUE, ""其他""
)"),"其他")</f>
        <v>其他</v>
      </c>
      <c r="K13574" s="270" t="str">
        <f t="shared" si="2"/>
        <v/>
      </c>
      <c r="L13574">
        <f t="shared" si="3"/>
        <v>0</v>
      </c>
    </row>
    <row r="13575">
      <c r="A13575" s="107"/>
      <c r="D13575" s="270"/>
      <c r="H13575" s="106" t="str">
        <f t="shared" si="1"/>
        <v/>
      </c>
      <c r="J13575" t="str">
        <f>IFERROR(__xludf.DUMMYFUNCTION("IFS(
  AND(REGEXMATCH(E13575, ""台銀籌備帳戶|玉山帳戶""), REGEXMATCH(C13575, ""薪資"")), ""分潤支出"",
  AND(REGEXMATCH(E13575, ""Ben帳戶|Elsa帳戶|Ben代墊|Ariel代墊|中信銀行共用""), REGEXMATCH(F13575, ""Ben帳戶|Elsa帳戶|Ben代墊|Ariel代墊|中信銀行共用"")), ""內部轉帳(忽略)"",
  AND(E13575&lt;&gt;"""", F13575&lt;&gt;"&amp;""""", NOT(REGEXMATCH(C13575, ""薪資""))), ""內部轉帳(忽略)"",
  REGEXMATCH(C13575, ""薪資""), ""薪資變動(不計入)"",
  REGEXMATCH(C13575, ""押金""), ""押金往來"",
  AND(E13575&lt;&gt;"""", F13575=""""), ""真實支出"",
  AND(E13575="""", F13575&lt;&gt;""""), ""真實收入"",
  TRUE, ""其他""
)"),"其他")</f>
        <v>其他</v>
      </c>
      <c r="K13575" s="270" t="str">
        <f t="shared" si="2"/>
        <v/>
      </c>
      <c r="L13575">
        <f t="shared" si="3"/>
        <v>0</v>
      </c>
    </row>
    <row r="13576">
      <c r="A13576" s="107"/>
      <c r="D13576" s="270"/>
      <c r="H13576" s="106" t="str">
        <f t="shared" si="1"/>
        <v/>
      </c>
      <c r="J13576" t="str">
        <f>IFERROR(__xludf.DUMMYFUNCTION("IFS(
  AND(REGEXMATCH(E13576, ""台銀籌備帳戶|玉山帳戶""), REGEXMATCH(C13576, ""薪資"")), ""分潤支出"",
  AND(REGEXMATCH(E13576, ""Ben帳戶|Elsa帳戶|Ben代墊|Ariel代墊|中信銀行共用""), REGEXMATCH(F13576, ""Ben帳戶|Elsa帳戶|Ben代墊|Ariel代墊|中信銀行共用"")), ""內部轉帳(忽略)"",
  AND(E13576&lt;&gt;"""", F13576&lt;&gt;"&amp;""""", NOT(REGEXMATCH(C13576, ""薪資""))), ""內部轉帳(忽略)"",
  REGEXMATCH(C13576, ""薪資""), ""薪資變動(不計入)"",
  REGEXMATCH(C13576, ""押金""), ""押金往來"",
  AND(E13576&lt;&gt;"""", F13576=""""), ""真實支出"",
  AND(E13576="""", F13576&lt;&gt;""""), ""真實收入"",
  TRUE, ""其他""
)"),"其他")</f>
        <v>其他</v>
      </c>
      <c r="K13576" s="270" t="str">
        <f t="shared" si="2"/>
        <v/>
      </c>
      <c r="L13576">
        <f t="shared" si="3"/>
        <v>0</v>
      </c>
    </row>
    <row r="13577">
      <c r="A13577" s="107"/>
      <c r="D13577" s="270"/>
      <c r="H13577" s="106" t="str">
        <f t="shared" si="1"/>
        <v/>
      </c>
      <c r="J13577" t="str">
        <f>IFERROR(__xludf.DUMMYFUNCTION("IFS(
  AND(REGEXMATCH(E13577, ""台銀籌備帳戶|玉山帳戶""), REGEXMATCH(C13577, ""薪資"")), ""分潤支出"",
  AND(REGEXMATCH(E13577, ""Ben帳戶|Elsa帳戶|Ben代墊|Ariel代墊|中信銀行共用""), REGEXMATCH(F13577, ""Ben帳戶|Elsa帳戶|Ben代墊|Ariel代墊|中信銀行共用"")), ""內部轉帳(忽略)"",
  AND(E13577&lt;&gt;"""", F13577&lt;&gt;"&amp;""""", NOT(REGEXMATCH(C13577, ""薪資""))), ""內部轉帳(忽略)"",
  REGEXMATCH(C13577, ""薪資""), ""薪資變動(不計入)"",
  REGEXMATCH(C13577, ""押金""), ""押金往來"",
  AND(E13577&lt;&gt;"""", F13577=""""), ""真實支出"",
  AND(E13577="""", F13577&lt;&gt;""""), ""真實收入"",
  TRUE, ""其他""
)"),"其他")</f>
        <v>其他</v>
      </c>
      <c r="K13577" s="270" t="str">
        <f t="shared" si="2"/>
        <v/>
      </c>
      <c r="L13577">
        <f t="shared" si="3"/>
        <v>0</v>
      </c>
    </row>
    <row r="13578">
      <c r="A13578" s="107"/>
      <c r="D13578" s="270"/>
      <c r="H13578" s="106" t="str">
        <f t="shared" si="1"/>
        <v/>
      </c>
      <c r="J13578" t="str">
        <f>IFERROR(__xludf.DUMMYFUNCTION("IFS(
  AND(REGEXMATCH(E13578, ""台銀籌備帳戶|玉山帳戶""), REGEXMATCH(C13578, ""薪資"")), ""分潤支出"",
  AND(REGEXMATCH(E13578, ""Ben帳戶|Elsa帳戶|Ben代墊|Ariel代墊|中信銀行共用""), REGEXMATCH(F13578, ""Ben帳戶|Elsa帳戶|Ben代墊|Ariel代墊|中信銀行共用"")), ""內部轉帳(忽略)"",
  AND(E13578&lt;&gt;"""", F13578&lt;&gt;"&amp;""""", NOT(REGEXMATCH(C13578, ""薪資""))), ""內部轉帳(忽略)"",
  REGEXMATCH(C13578, ""薪資""), ""薪資變動(不計入)"",
  REGEXMATCH(C13578, ""押金""), ""押金往來"",
  AND(E13578&lt;&gt;"""", F13578=""""), ""真實支出"",
  AND(E13578="""", F13578&lt;&gt;""""), ""真實收入"",
  TRUE, ""其他""
)"),"其他")</f>
        <v>其他</v>
      </c>
      <c r="K13578" s="270" t="str">
        <f t="shared" si="2"/>
        <v/>
      </c>
      <c r="L13578">
        <f t="shared" si="3"/>
        <v>0</v>
      </c>
    </row>
    <row r="13579">
      <c r="A13579" s="107"/>
      <c r="D13579" s="270"/>
      <c r="H13579" s="106" t="str">
        <f t="shared" si="1"/>
        <v/>
      </c>
      <c r="J13579" t="str">
        <f>IFERROR(__xludf.DUMMYFUNCTION("IFS(
  AND(REGEXMATCH(E13579, ""台銀籌備帳戶|玉山帳戶""), REGEXMATCH(C13579, ""薪資"")), ""分潤支出"",
  AND(REGEXMATCH(E13579, ""Ben帳戶|Elsa帳戶|Ben代墊|Ariel代墊|中信銀行共用""), REGEXMATCH(F13579, ""Ben帳戶|Elsa帳戶|Ben代墊|Ariel代墊|中信銀行共用"")), ""內部轉帳(忽略)"",
  AND(E13579&lt;&gt;"""", F13579&lt;&gt;"&amp;""""", NOT(REGEXMATCH(C13579, ""薪資""))), ""內部轉帳(忽略)"",
  REGEXMATCH(C13579, ""薪資""), ""薪資變動(不計入)"",
  REGEXMATCH(C13579, ""押金""), ""押金往來"",
  AND(E13579&lt;&gt;"""", F13579=""""), ""真實支出"",
  AND(E13579="""", F13579&lt;&gt;""""), ""真實收入"",
  TRUE, ""其他""
)"),"其他")</f>
        <v>其他</v>
      </c>
      <c r="K13579" s="270" t="str">
        <f t="shared" si="2"/>
        <v/>
      </c>
      <c r="L13579">
        <f t="shared" si="3"/>
        <v>0</v>
      </c>
    </row>
    <row r="13580">
      <c r="A13580" s="107"/>
      <c r="D13580" s="270"/>
      <c r="H13580" s="106" t="str">
        <f t="shared" si="1"/>
        <v/>
      </c>
      <c r="J13580" t="str">
        <f>IFERROR(__xludf.DUMMYFUNCTION("IFS(
  AND(REGEXMATCH(E13580, ""台銀籌備帳戶|玉山帳戶""), REGEXMATCH(C13580, ""薪資"")), ""分潤支出"",
  AND(REGEXMATCH(E13580, ""Ben帳戶|Elsa帳戶|Ben代墊|Ariel代墊|中信銀行共用""), REGEXMATCH(F13580, ""Ben帳戶|Elsa帳戶|Ben代墊|Ariel代墊|中信銀行共用"")), ""內部轉帳(忽略)"",
  AND(E13580&lt;&gt;"""", F13580&lt;&gt;"&amp;""""", NOT(REGEXMATCH(C13580, ""薪資""))), ""內部轉帳(忽略)"",
  REGEXMATCH(C13580, ""薪資""), ""薪資變動(不計入)"",
  REGEXMATCH(C13580, ""押金""), ""押金往來"",
  AND(E13580&lt;&gt;"""", F13580=""""), ""真實支出"",
  AND(E13580="""", F13580&lt;&gt;""""), ""真實收入"",
  TRUE, ""其他""
)"),"其他")</f>
        <v>其他</v>
      </c>
      <c r="K13580" s="270" t="str">
        <f t="shared" si="2"/>
        <v/>
      </c>
      <c r="L13580">
        <f t="shared" si="3"/>
        <v>0</v>
      </c>
    </row>
    <row r="13581">
      <c r="A13581" s="107"/>
      <c r="D13581" s="270"/>
      <c r="H13581" s="106" t="str">
        <f t="shared" si="1"/>
        <v/>
      </c>
      <c r="J13581" t="str">
        <f>IFERROR(__xludf.DUMMYFUNCTION("IFS(
  AND(REGEXMATCH(E13581, ""台銀籌備帳戶|玉山帳戶""), REGEXMATCH(C13581, ""薪資"")), ""分潤支出"",
  AND(REGEXMATCH(E13581, ""Ben帳戶|Elsa帳戶|Ben代墊|Ariel代墊|中信銀行共用""), REGEXMATCH(F13581, ""Ben帳戶|Elsa帳戶|Ben代墊|Ariel代墊|中信銀行共用"")), ""內部轉帳(忽略)"",
  AND(E13581&lt;&gt;"""", F13581&lt;&gt;"&amp;""""", NOT(REGEXMATCH(C13581, ""薪資""))), ""內部轉帳(忽略)"",
  REGEXMATCH(C13581, ""薪資""), ""薪資變動(不計入)"",
  REGEXMATCH(C13581, ""押金""), ""押金往來"",
  AND(E13581&lt;&gt;"""", F13581=""""), ""真實支出"",
  AND(E13581="""", F13581&lt;&gt;""""), ""真實收入"",
  TRUE, ""其他""
)"),"其他")</f>
        <v>其他</v>
      </c>
      <c r="K13581" s="270" t="str">
        <f t="shared" si="2"/>
        <v/>
      </c>
      <c r="L13581">
        <f t="shared" si="3"/>
        <v>0</v>
      </c>
    </row>
    <row r="13582">
      <c r="A13582" s="107"/>
      <c r="D13582" s="270"/>
      <c r="H13582" s="106" t="str">
        <f t="shared" si="1"/>
        <v/>
      </c>
      <c r="J13582" t="str">
        <f>IFERROR(__xludf.DUMMYFUNCTION("IFS(
  AND(REGEXMATCH(E13582, ""台銀籌備帳戶|玉山帳戶""), REGEXMATCH(C13582, ""薪資"")), ""分潤支出"",
  AND(REGEXMATCH(E13582, ""Ben帳戶|Elsa帳戶|Ben代墊|Ariel代墊|中信銀行共用""), REGEXMATCH(F13582, ""Ben帳戶|Elsa帳戶|Ben代墊|Ariel代墊|中信銀行共用"")), ""內部轉帳(忽略)"",
  AND(E13582&lt;&gt;"""", F13582&lt;&gt;"&amp;""""", NOT(REGEXMATCH(C13582, ""薪資""))), ""內部轉帳(忽略)"",
  REGEXMATCH(C13582, ""薪資""), ""薪資變動(不計入)"",
  REGEXMATCH(C13582, ""押金""), ""押金往來"",
  AND(E13582&lt;&gt;"""", F13582=""""), ""真實支出"",
  AND(E13582="""", F13582&lt;&gt;""""), ""真實收入"",
  TRUE, ""其他""
)"),"其他")</f>
        <v>其他</v>
      </c>
      <c r="K13582" s="270" t="str">
        <f t="shared" si="2"/>
        <v/>
      </c>
      <c r="L13582">
        <f t="shared" si="3"/>
        <v>0</v>
      </c>
    </row>
    <row r="13583">
      <c r="A13583" s="107"/>
      <c r="D13583" s="270"/>
      <c r="H13583" s="106" t="str">
        <f t="shared" si="1"/>
        <v/>
      </c>
      <c r="J13583" t="str">
        <f>IFERROR(__xludf.DUMMYFUNCTION("IFS(
  AND(REGEXMATCH(E13583, ""台銀籌備帳戶|玉山帳戶""), REGEXMATCH(C13583, ""薪資"")), ""分潤支出"",
  AND(REGEXMATCH(E13583, ""Ben帳戶|Elsa帳戶|Ben代墊|Ariel代墊|中信銀行共用""), REGEXMATCH(F13583, ""Ben帳戶|Elsa帳戶|Ben代墊|Ariel代墊|中信銀行共用"")), ""內部轉帳(忽略)"",
  AND(E13583&lt;&gt;"""", F13583&lt;&gt;"&amp;""""", NOT(REGEXMATCH(C13583, ""薪資""))), ""內部轉帳(忽略)"",
  REGEXMATCH(C13583, ""薪資""), ""薪資變動(不計入)"",
  REGEXMATCH(C13583, ""押金""), ""押金往來"",
  AND(E13583&lt;&gt;"""", F13583=""""), ""真實支出"",
  AND(E13583="""", F13583&lt;&gt;""""), ""真實收入"",
  TRUE, ""其他""
)"),"其他")</f>
        <v>其他</v>
      </c>
      <c r="K13583" s="270" t="str">
        <f t="shared" si="2"/>
        <v/>
      </c>
      <c r="L13583">
        <f t="shared" si="3"/>
        <v>0</v>
      </c>
    </row>
    <row r="13584">
      <c r="A13584" s="107"/>
      <c r="D13584" s="270"/>
      <c r="H13584" s="106" t="str">
        <f t="shared" si="1"/>
        <v/>
      </c>
      <c r="J13584" t="str">
        <f>IFERROR(__xludf.DUMMYFUNCTION("IFS(
  AND(REGEXMATCH(E13584, ""台銀籌備帳戶|玉山帳戶""), REGEXMATCH(C13584, ""薪資"")), ""分潤支出"",
  AND(REGEXMATCH(E13584, ""Ben帳戶|Elsa帳戶|Ben代墊|Ariel代墊|中信銀行共用""), REGEXMATCH(F13584, ""Ben帳戶|Elsa帳戶|Ben代墊|Ariel代墊|中信銀行共用"")), ""內部轉帳(忽略)"",
  AND(E13584&lt;&gt;"""", F13584&lt;&gt;"&amp;""""", NOT(REGEXMATCH(C13584, ""薪資""))), ""內部轉帳(忽略)"",
  REGEXMATCH(C13584, ""薪資""), ""薪資變動(不計入)"",
  REGEXMATCH(C13584, ""押金""), ""押金往來"",
  AND(E13584&lt;&gt;"""", F13584=""""), ""真實支出"",
  AND(E13584="""", F13584&lt;&gt;""""), ""真實收入"",
  TRUE, ""其他""
)"),"其他")</f>
        <v>其他</v>
      </c>
      <c r="K13584" s="270" t="str">
        <f t="shared" si="2"/>
        <v/>
      </c>
      <c r="L13584">
        <f t="shared" si="3"/>
        <v>0</v>
      </c>
    </row>
    <row r="13585">
      <c r="A13585" s="107"/>
      <c r="D13585" s="270"/>
      <c r="H13585" s="106" t="str">
        <f t="shared" si="1"/>
        <v/>
      </c>
      <c r="J13585" t="str">
        <f>IFERROR(__xludf.DUMMYFUNCTION("IFS(
  AND(REGEXMATCH(E13585, ""台銀籌備帳戶|玉山帳戶""), REGEXMATCH(C13585, ""薪資"")), ""分潤支出"",
  AND(REGEXMATCH(E13585, ""Ben帳戶|Elsa帳戶|Ben代墊|Ariel代墊|中信銀行共用""), REGEXMATCH(F13585, ""Ben帳戶|Elsa帳戶|Ben代墊|Ariel代墊|中信銀行共用"")), ""內部轉帳(忽略)"",
  AND(E13585&lt;&gt;"""", F13585&lt;&gt;"&amp;""""", NOT(REGEXMATCH(C13585, ""薪資""))), ""內部轉帳(忽略)"",
  REGEXMATCH(C13585, ""薪資""), ""薪資變動(不計入)"",
  REGEXMATCH(C13585, ""押金""), ""押金往來"",
  AND(E13585&lt;&gt;"""", F13585=""""), ""真實支出"",
  AND(E13585="""", F13585&lt;&gt;""""), ""真實收入"",
  TRUE, ""其他""
)"),"其他")</f>
        <v>其他</v>
      </c>
      <c r="K13585" s="270" t="str">
        <f t="shared" si="2"/>
        <v/>
      </c>
      <c r="L13585">
        <f t="shared" si="3"/>
        <v>0</v>
      </c>
    </row>
    <row r="13586">
      <c r="A13586" s="107"/>
      <c r="D13586" s="270"/>
      <c r="H13586" s="106" t="str">
        <f t="shared" si="1"/>
        <v/>
      </c>
      <c r="J13586" t="str">
        <f>IFERROR(__xludf.DUMMYFUNCTION("IFS(
  AND(REGEXMATCH(E13586, ""台銀籌備帳戶|玉山帳戶""), REGEXMATCH(C13586, ""薪資"")), ""分潤支出"",
  AND(REGEXMATCH(E13586, ""Ben帳戶|Elsa帳戶|Ben代墊|Ariel代墊|中信銀行共用""), REGEXMATCH(F13586, ""Ben帳戶|Elsa帳戶|Ben代墊|Ariel代墊|中信銀行共用"")), ""內部轉帳(忽略)"",
  AND(E13586&lt;&gt;"""", F13586&lt;&gt;"&amp;""""", NOT(REGEXMATCH(C13586, ""薪資""))), ""內部轉帳(忽略)"",
  REGEXMATCH(C13586, ""薪資""), ""薪資變動(不計入)"",
  REGEXMATCH(C13586, ""押金""), ""押金往來"",
  AND(E13586&lt;&gt;"""", F13586=""""), ""真實支出"",
  AND(E13586="""", F13586&lt;&gt;""""), ""真實收入"",
  TRUE, ""其他""
)"),"其他")</f>
        <v>其他</v>
      </c>
      <c r="K13586" s="270" t="str">
        <f t="shared" si="2"/>
        <v/>
      </c>
      <c r="L13586">
        <f t="shared" si="3"/>
        <v>0</v>
      </c>
    </row>
    <row r="13587">
      <c r="A13587" s="107"/>
      <c r="D13587" s="270"/>
      <c r="H13587" s="106" t="str">
        <f t="shared" si="1"/>
        <v/>
      </c>
      <c r="J13587" t="str">
        <f>IFERROR(__xludf.DUMMYFUNCTION("IFS(
  AND(REGEXMATCH(E13587, ""台銀籌備帳戶|玉山帳戶""), REGEXMATCH(C13587, ""薪資"")), ""分潤支出"",
  AND(REGEXMATCH(E13587, ""Ben帳戶|Elsa帳戶|Ben代墊|Ariel代墊|中信銀行共用""), REGEXMATCH(F13587, ""Ben帳戶|Elsa帳戶|Ben代墊|Ariel代墊|中信銀行共用"")), ""內部轉帳(忽略)"",
  AND(E13587&lt;&gt;"""", F13587&lt;&gt;"&amp;""""", NOT(REGEXMATCH(C13587, ""薪資""))), ""內部轉帳(忽略)"",
  REGEXMATCH(C13587, ""薪資""), ""薪資變動(不計入)"",
  REGEXMATCH(C13587, ""押金""), ""押金往來"",
  AND(E13587&lt;&gt;"""", F13587=""""), ""真實支出"",
  AND(E13587="""", F13587&lt;&gt;""""), ""真實收入"",
  TRUE, ""其他""
)"),"其他")</f>
        <v>其他</v>
      </c>
      <c r="K13587" s="270" t="str">
        <f t="shared" si="2"/>
        <v/>
      </c>
      <c r="L13587">
        <f t="shared" si="3"/>
        <v>0</v>
      </c>
    </row>
    <row r="13588">
      <c r="A13588" s="107"/>
      <c r="D13588" s="270"/>
      <c r="H13588" s="106" t="str">
        <f t="shared" si="1"/>
        <v/>
      </c>
      <c r="J13588" t="str">
        <f>IFERROR(__xludf.DUMMYFUNCTION("IFS(
  AND(REGEXMATCH(E13588, ""台銀籌備帳戶|玉山帳戶""), REGEXMATCH(C13588, ""薪資"")), ""分潤支出"",
  AND(REGEXMATCH(E13588, ""Ben帳戶|Elsa帳戶|Ben代墊|Ariel代墊|中信銀行共用""), REGEXMATCH(F13588, ""Ben帳戶|Elsa帳戶|Ben代墊|Ariel代墊|中信銀行共用"")), ""內部轉帳(忽略)"",
  AND(E13588&lt;&gt;"""", F13588&lt;&gt;"&amp;""""", NOT(REGEXMATCH(C13588, ""薪資""))), ""內部轉帳(忽略)"",
  REGEXMATCH(C13588, ""薪資""), ""薪資變動(不計入)"",
  REGEXMATCH(C13588, ""押金""), ""押金往來"",
  AND(E13588&lt;&gt;"""", F13588=""""), ""真實支出"",
  AND(E13588="""", F13588&lt;&gt;""""), ""真實收入"",
  TRUE, ""其他""
)"),"其他")</f>
        <v>其他</v>
      </c>
      <c r="K13588" s="270" t="str">
        <f t="shared" si="2"/>
        <v/>
      </c>
      <c r="L13588">
        <f t="shared" si="3"/>
        <v>0</v>
      </c>
    </row>
    <row r="13589">
      <c r="A13589" s="107"/>
      <c r="D13589" s="270"/>
      <c r="H13589" s="106" t="str">
        <f t="shared" si="1"/>
        <v/>
      </c>
      <c r="J13589" t="str">
        <f>IFERROR(__xludf.DUMMYFUNCTION("IFS(
  AND(REGEXMATCH(E13589, ""台銀籌備帳戶|玉山帳戶""), REGEXMATCH(C13589, ""薪資"")), ""分潤支出"",
  AND(REGEXMATCH(E13589, ""Ben帳戶|Elsa帳戶|Ben代墊|Ariel代墊|中信銀行共用""), REGEXMATCH(F13589, ""Ben帳戶|Elsa帳戶|Ben代墊|Ariel代墊|中信銀行共用"")), ""內部轉帳(忽略)"",
  AND(E13589&lt;&gt;"""", F13589&lt;&gt;"&amp;""""", NOT(REGEXMATCH(C13589, ""薪資""))), ""內部轉帳(忽略)"",
  REGEXMATCH(C13589, ""薪資""), ""薪資變動(不計入)"",
  REGEXMATCH(C13589, ""押金""), ""押金往來"",
  AND(E13589&lt;&gt;"""", F13589=""""), ""真實支出"",
  AND(E13589="""", F13589&lt;&gt;""""), ""真實收入"",
  TRUE, ""其他""
)"),"其他")</f>
        <v>其他</v>
      </c>
      <c r="K13589" s="270" t="str">
        <f t="shared" si="2"/>
        <v/>
      </c>
      <c r="L13589">
        <f t="shared" si="3"/>
        <v>0</v>
      </c>
    </row>
    <row r="13590">
      <c r="A13590" s="107"/>
      <c r="D13590" s="270"/>
      <c r="H13590" s="106" t="str">
        <f t="shared" si="1"/>
        <v/>
      </c>
      <c r="J13590" t="str">
        <f>IFERROR(__xludf.DUMMYFUNCTION("IFS(
  AND(REGEXMATCH(E13590, ""台銀籌備帳戶|玉山帳戶""), REGEXMATCH(C13590, ""薪資"")), ""分潤支出"",
  AND(REGEXMATCH(E13590, ""Ben帳戶|Elsa帳戶|Ben代墊|Ariel代墊|中信銀行共用""), REGEXMATCH(F13590, ""Ben帳戶|Elsa帳戶|Ben代墊|Ariel代墊|中信銀行共用"")), ""內部轉帳(忽略)"",
  AND(E13590&lt;&gt;"""", F13590&lt;&gt;"&amp;""""", NOT(REGEXMATCH(C13590, ""薪資""))), ""內部轉帳(忽略)"",
  REGEXMATCH(C13590, ""薪資""), ""薪資變動(不計入)"",
  REGEXMATCH(C13590, ""押金""), ""押金往來"",
  AND(E13590&lt;&gt;"""", F13590=""""), ""真實支出"",
  AND(E13590="""", F13590&lt;&gt;""""), ""真實收入"",
  TRUE, ""其他""
)"),"其他")</f>
        <v>其他</v>
      </c>
      <c r="K13590" s="270" t="str">
        <f t="shared" si="2"/>
        <v/>
      </c>
      <c r="L13590">
        <f t="shared" si="3"/>
        <v>0</v>
      </c>
    </row>
    <row r="13591">
      <c r="A13591" s="107"/>
      <c r="D13591" s="270"/>
      <c r="H13591" s="106" t="str">
        <f t="shared" si="1"/>
        <v/>
      </c>
      <c r="J13591" t="str">
        <f>IFERROR(__xludf.DUMMYFUNCTION("IFS(
  AND(REGEXMATCH(E13591, ""台銀籌備帳戶|玉山帳戶""), REGEXMATCH(C13591, ""薪資"")), ""分潤支出"",
  AND(REGEXMATCH(E13591, ""Ben帳戶|Elsa帳戶|Ben代墊|Ariel代墊|中信銀行共用""), REGEXMATCH(F13591, ""Ben帳戶|Elsa帳戶|Ben代墊|Ariel代墊|中信銀行共用"")), ""內部轉帳(忽略)"",
  AND(E13591&lt;&gt;"""", F13591&lt;&gt;"&amp;""""", NOT(REGEXMATCH(C13591, ""薪資""))), ""內部轉帳(忽略)"",
  REGEXMATCH(C13591, ""薪資""), ""薪資變動(不計入)"",
  REGEXMATCH(C13591, ""押金""), ""押金往來"",
  AND(E13591&lt;&gt;"""", F13591=""""), ""真實支出"",
  AND(E13591="""", F13591&lt;&gt;""""), ""真實收入"",
  TRUE, ""其他""
)"),"其他")</f>
        <v>其他</v>
      </c>
      <c r="K13591" s="270" t="str">
        <f t="shared" si="2"/>
        <v/>
      </c>
      <c r="L13591">
        <f t="shared" si="3"/>
        <v>0</v>
      </c>
    </row>
    <row r="13592">
      <c r="A13592" s="107"/>
      <c r="D13592" s="270"/>
      <c r="H13592" s="106" t="str">
        <f t="shared" si="1"/>
        <v/>
      </c>
      <c r="J13592" t="str">
        <f>IFERROR(__xludf.DUMMYFUNCTION("IFS(
  AND(REGEXMATCH(E13592, ""台銀籌備帳戶|玉山帳戶""), REGEXMATCH(C13592, ""薪資"")), ""分潤支出"",
  AND(REGEXMATCH(E13592, ""Ben帳戶|Elsa帳戶|Ben代墊|Ariel代墊|中信銀行共用""), REGEXMATCH(F13592, ""Ben帳戶|Elsa帳戶|Ben代墊|Ariel代墊|中信銀行共用"")), ""內部轉帳(忽略)"",
  AND(E13592&lt;&gt;"""", F13592&lt;&gt;"&amp;""""", NOT(REGEXMATCH(C13592, ""薪資""))), ""內部轉帳(忽略)"",
  REGEXMATCH(C13592, ""薪資""), ""薪資變動(不計入)"",
  REGEXMATCH(C13592, ""押金""), ""押金往來"",
  AND(E13592&lt;&gt;"""", F13592=""""), ""真實支出"",
  AND(E13592="""", F13592&lt;&gt;""""), ""真實收入"",
  TRUE, ""其他""
)"),"其他")</f>
        <v>其他</v>
      </c>
      <c r="K13592" s="270" t="str">
        <f t="shared" si="2"/>
        <v/>
      </c>
      <c r="L13592">
        <f t="shared" si="3"/>
        <v>0</v>
      </c>
    </row>
    <row r="13593">
      <c r="A13593" s="107"/>
      <c r="D13593" s="270"/>
      <c r="H13593" s="106" t="str">
        <f t="shared" si="1"/>
        <v/>
      </c>
      <c r="J13593" t="str">
        <f>IFERROR(__xludf.DUMMYFUNCTION("IFS(
  AND(REGEXMATCH(E13593, ""台銀籌備帳戶|玉山帳戶""), REGEXMATCH(C13593, ""薪資"")), ""分潤支出"",
  AND(REGEXMATCH(E13593, ""Ben帳戶|Elsa帳戶|Ben代墊|Ariel代墊|中信銀行共用""), REGEXMATCH(F13593, ""Ben帳戶|Elsa帳戶|Ben代墊|Ariel代墊|中信銀行共用"")), ""內部轉帳(忽略)"",
  AND(E13593&lt;&gt;"""", F13593&lt;&gt;"&amp;""""", NOT(REGEXMATCH(C13593, ""薪資""))), ""內部轉帳(忽略)"",
  REGEXMATCH(C13593, ""薪資""), ""薪資變動(不計入)"",
  REGEXMATCH(C13593, ""押金""), ""押金往來"",
  AND(E13593&lt;&gt;"""", F13593=""""), ""真實支出"",
  AND(E13593="""", F13593&lt;&gt;""""), ""真實收入"",
  TRUE, ""其他""
)"),"其他")</f>
        <v>其他</v>
      </c>
      <c r="K13593" s="270" t="str">
        <f t="shared" si="2"/>
        <v/>
      </c>
      <c r="L13593">
        <f t="shared" si="3"/>
        <v>0</v>
      </c>
    </row>
    <row r="13594">
      <c r="A13594" s="107"/>
      <c r="D13594" s="270"/>
      <c r="H13594" s="106" t="str">
        <f t="shared" si="1"/>
        <v/>
      </c>
      <c r="J13594" t="str">
        <f>IFERROR(__xludf.DUMMYFUNCTION("IFS(
  AND(REGEXMATCH(E13594, ""台銀籌備帳戶|玉山帳戶""), REGEXMATCH(C13594, ""薪資"")), ""分潤支出"",
  AND(REGEXMATCH(E13594, ""Ben帳戶|Elsa帳戶|Ben代墊|Ariel代墊|中信銀行共用""), REGEXMATCH(F13594, ""Ben帳戶|Elsa帳戶|Ben代墊|Ariel代墊|中信銀行共用"")), ""內部轉帳(忽略)"",
  AND(E13594&lt;&gt;"""", F13594&lt;&gt;"&amp;""""", NOT(REGEXMATCH(C13594, ""薪資""))), ""內部轉帳(忽略)"",
  REGEXMATCH(C13594, ""薪資""), ""薪資變動(不計入)"",
  REGEXMATCH(C13594, ""押金""), ""押金往來"",
  AND(E13594&lt;&gt;"""", F13594=""""), ""真實支出"",
  AND(E13594="""", F13594&lt;&gt;""""), ""真實收入"",
  TRUE, ""其他""
)"),"其他")</f>
        <v>其他</v>
      </c>
      <c r="K13594" s="270" t="str">
        <f t="shared" si="2"/>
        <v/>
      </c>
      <c r="L13594">
        <f t="shared" si="3"/>
        <v>0</v>
      </c>
    </row>
    <row r="13595">
      <c r="A13595" s="107"/>
      <c r="D13595" s="270"/>
      <c r="H13595" s="106" t="str">
        <f t="shared" si="1"/>
        <v/>
      </c>
      <c r="J13595" t="str">
        <f>IFERROR(__xludf.DUMMYFUNCTION("IFS(
  AND(REGEXMATCH(E13595, ""台銀籌備帳戶|玉山帳戶""), REGEXMATCH(C13595, ""薪資"")), ""分潤支出"",
  AND(REGEXMATCH(E13595, ""Ben帳戶|Elsa帳戶|Ben代墊|Ariel代墊|中信銀行共用""), REGEXMATCH(F13595, ""Ben帳戶|Elsa帳戶|Ben代墊|Ariel代墊|中信銀行共用"")), ""內部轉帳(忽略)"",
  AND(E13595&lt;&gt;"""", F13595&lt;&gt;"&amp;""""", NOT(REGEXMATCH(C13595, ""薪資""))), ""內部轉帳(忽略)"",
  REGEXMATCH(C13595, ""薪資""), ""薪資變動(不計入)"",
  REGEXMATCH(C13595, ""押金""), ""押金往來"",
  AND(E13595&lt;&gt;"""", F13595=""""), ""真實支出"",
  AND(E13595="""", F13595&lt;&gt;""""), ""真實收入"",
  TRUE, ""其他""
)"),"其他")</f>
        <v>其他</v>
      </c>
      <c r="K13595" s="270" t="str">
        <f t="shared" si="2"/>
        <v/>
      </c>
      <c r="L13595">
        <f t="shared" si="3"/>
        <v>0</v>
      </c>
    </row>
    <row r="13596">
      <c r="A13596" s="107"/>
      <c r="D13596" s="270"/>
      <c r="H13596" s="106" t="str">
        <f t="shared" si="1"/>
        <v/>
      </c>
      <c r="J13596" t="str">
        <f>IFERROR(__xludf.DUMMYFUNCTION("IFS(
  AND(REGEXMATCH(E13596, ""台銀籌備帳戶|玉山帳戶""), REGEXMATCH(C13596, ""薪資"")), ""分潤支出"",
  AND(REGEXMATCH(E13596, ""Ben帳戶|Elsa帳戶|Ben代墊|Ariel代墊|中信銀行共用""), REGEXMATCH(F13596, ""Ben帳戶|Elsa帳戶|Ben代墊|Ariel代墊|中信銀行共用"")), ""內部轉帳(忽略)"",
  AND(E13596&lt;&gt;"""", F13596&lt;&gt;"&amp;""""", NOT(REGEXMATCH(C13596, ""薪資""))), ""內部轉帳(忽略)"",
  REGEXMATCH(C13596, ""薪資""), ""薪資變動(不計入)"",
  REGEXMATCH(C13596, ""押金""), ""押金往來"",
  AND(E13596&lt;&gt;"""", F13596=""""), ""真實支出"",
  AND(E13596="""", F13596&lt;&gt;""""), ""真實收入"",
  TRUE, ""其他""
)"),"其他")</f>
        <v>其他</v>
      </c>
      <c r="K13596" s="270" t="str">
        <f t="shared" si="2"/>
        <v/>
      </c>
      <c r="L13596">
        <f t="shared" si="3"/>
        <v>0</v>
      </c>
    </row>
    <row r="13597">
      <c r="A13597" s="107"/>
      <c r="D13597" s="270"/>
      <c r="H13597" s="106" t="str">
        <f t="shared" si="1"/>
        <v/>
      </c>
      <c r="J13597" t="str">
        <f>IFERROR(__xludf.DUMMYFUNCTION("IFS(
  AND(REGEXMATCH(E13597, ""台銀籌備帳戶|玉山帳戶""), REGEXMATCH(C13597, ""薪資"")), ""分潤支出"",
  AND(REGEXMATCH(E13597, ""Ben帳戶|Elsa帳戶|Ben代墊|Ariel代墊|中信銀行共用""), REGEXMATCH(F13597, ""Ben帳戶|Elsa帳戶|Ben代墊|Ariel代墊|中信銀行共用"")), ""內部轉帳(忽略)"",
  AND(E13597&lt;&gt;"""", F13597&lt;&gt;"&amp;""""", NOT(REGEXMATCH(C13597, ""薪資""))), ""內部轉帳(忽略)"",
  REGEXMATCH(C13597, ""薪資""), ""薪資變動(不計入)"",
  REGEXMATCH(C13597, ""押金""), ""押金往來"",
  AND(E13597&lt;&gt;"""", F13597=""""), ""真實支出"",
  AND(E13597="""", F13597&lt;&gt;""""), ""真實收入"",
  TRUE, ""其他""
)"),"其他")</f>
        <v>其他</v>
      </c>
      <c r="K13597" s="270" t="str">
        <f t="shared" si="2"/>
        <v/>
      </c>
      <c r="L13597">
        <f t="shared" si="3"/>
        <v>0</v>
      </c>
    </row>
    <row r="13598">
      <c r="A13598" s="107"/>
      <c r="D13598" s="270"/>
      <c r="H13598" s="106" t="str">
        <f t="shared" si="1"/>
        <v/>
      </c>
      <c r="J13598" t="str">
        <f>IFERROR(__xludf.DUMMYFUNCTION("IFS(
  AND(REGEXMATCH(E13598, ""台銀籌備帳戶|玉山帳戶""), REGEXMATCH(C13598, ""薪資"")), ""分潤支出"",
  AND(REGEXMATCH(E13598, ""Ben帳戶|Elsa帳戶|Ben代墊|Ariel代墊|中信銀行共用""), REGEXMATCH(F13598, ""Ben帳戶|Elsa帳戶|Ben代墊|Ariel代墊|中信銀行共用"")), ""內部轉帳(忽略)"",
  AND(E13598&lt;&gt;"""", F13598&lt;&gt;"&amp;""""", NOT(REGEXMATCH(C13598, ""薪資""))), ""內部轉帳(忽略)"",
  REGEXMATCH(C13598, ""薪資""), ""薪資變動(不計入)"",
  REGEXMATCH(C13598, ""押金""), ""押金往來"",
  AND(E13598&lt;&gt;"""", F13598=""""), ""真實支出"",
  AND(E13598="""", F13598&lt;&gt;""""), ""真實收入"",
  TRUE, ""其他""
)"),"其他")</f>
        <v>其他</v>
      </c>
      <c r="K13598" s="270" t="str">
        <f t="shared" si="2"/>
        <v/>
      </c>
      <c r="L13598">
        <f t="shared" si="3"/>
        <v>0</v>
      </c>
    </row>
    <row r="13599">
      <c r="A13599" s="107"/>
      <c r="D13599" s="270"/>
      <c r="H13599" s="106" t="str">
        <f t="shared" si="1"/>
        <v/>
      </c>
      <c r="J13599" t="str">
        <f>IFERROR(__xludf.DUMMYFUNCTION("IFS(
  AND(REGEXMATCH(E13599, ""台銀籌備帳戶|玉山帳戶""), REGEXMATCH(C13599, ""薪資"")), ""分潤支出"",
  AND(REGEXMATCH(E13599, ""Ben帳戶|Elsa帳戶|Ben代墊|Ariel代墊|中信銀行共用""), REGEXMATCH(F13599, ""Ben帳戶|Elsa帳戶|Ben代墊|Ariel代墊|中信銀行共用"")), ""內部轉帳(忽略)"",
  AND(E13599&lt;&gt;"""", F13599&lt;&gt;"&amp;""""", NOT(REGEXMATCH(C13599, ""薪資""))), ""內部轉帳(忽略)"",
  REGEXMATCH(C13599, ""薪資""), ""薪資變動(不計入)"",
  REGEXMATCH(C13599, ""押金""), ""押金往來"",
  AND(E13599&lt;&gt;"""", F13599=""""), ""真實支出"",
  AND(E13599="""", F13599&lt;&gt;""""), ""真實收入"",
  TRUE, ""其他""
)"),"其他")</f>
        <v>其他</v>
      </c>
      <c r="K13599" s="270" t="str">
        <f t="shared" si="2"/>
        <v/>
      </c>
      <c r="L13599">
        <f t="shared" si="3"/>
        <v>0</v>
      </c>
    </row>
    <row r="13600">
      <c r="A13600" s="107"/>
      <c r="D13600" s="270"/>
      <c r="H13600" s="106" t="str">
        <f t="shared" si="1"/>
        <v/>
      </c>
      <c r="J13600" t="str">
        <f>IFERROR(__xludf.DUMMYFUNCTION("IFS(
  AND(REGEXMATCH(E13600, ""台銀籌備帳戶|玉山帳戶""), REGEXMATCH(C13600, ""薪資"")), ""分潤支出"",
  AND(REGEXMATCH(E13600, ""Ben帳戶|Elsa帳戶|Ben代墊|Ariel代墊|中信銀行共用""), REGEXMATCH(F13600, ""Ben帳戶|Elsa帳戶|Ben代墊|Ariel代墊|中信銀行共用"")), ""內部轉帳(忽略)"",
  AND(E13600&lt;&gt;"""", F13600&lt;&gt;"&amp;""""", NOT(REGEXMATCH(C13600, ""薪資""))), ""內部轉帳(忽略)"",
  REGEXMATCH(C13600, ""薪資""), ""薪資變動(不計入)"",
  REGEXMATCH(C13600, ""押金""), ""押金往來"",
  AND(E13600&lt;&gt;"""", F13600=""""), ""真實支出"",
  AND(E13600="""", F13600&lt;&gt;""""), ""真實收入"",
  TRUE, ""其他""
)"),"其他")</f>
        <v>其他</v>
      </c>
      <c r="K13600" s="270" t="str">
        <f t="shared" si="2"/>
        <v/>
      </c>
      <c r="L13600">
        <f t="shared" si="3"/>
        <v>0</v>
      </c>
    </row>
    <row r="13601">
      <c r="A13601" s="107"/>
      <c r="D13601" s="270"/>
      <c r="H13601" s="106" t="str">
        <f t="shared" si="1"/>
        <v/>
      </c>
      <c r="J13601" t="str">
        <f>IFERROR(__xludf.DUMMYFUNCTION("IFS(
  AND(REGEXMATCH(E13601, ""台銀籌備帳戶|玉山帳戶""), REGEXMATCH(C13601, ""薪資"")), ""分潤支出"",
  AND(REGEXMATCH(E13601, ""Ben帳戶|Elsa帳戶|Ben代墊|Ariel代墊|中信銀行共用""), REGEXMATCH(F13601, ""Ben帳戶|Elsa帳戶|Ben代墊|Ariel代墊|中信銀行共用"")), ""內部轉帳(忽略)"",
  AND(E13601&lt;&gt;"""", F13601&lt;&gt;"&amp;""""", NOT(REGEXMATCH(C13601, ""薪資""))), ""內部轉帳(忽略)"",
  REGEXMATCH(C13601, ""薪資""), ""薪資變動(不計入)"",
  REGEXMATCH(C13601, ""押金""), ""押金往來"",
  AND(E13601&lt;&gt;"""", F13601=""""), ""真實支出"",
  AND(E13601="""", F13601&lt;&gt;""""), ""真實收入"",
  TRUE, ""其他""
)"),"其他")</f>
        <v>其他</v>
      </c>
      <c r="K13601" s="270" t="str">
        <f t="shared" si="2"/>
        <v/>
      </c>
      <c r="L13601">
        <f t="shared" si="3"/>
        <v>0</v>
      </c>
    </row>
    <row r="13602">
      <c r="A13602" s="107"/>
      <c r="D13602" s="270"/>
      <c r="H13602" s="106" t="str">
        <f t="shared" si="1"/>
        <v/>
      </c>
      <c r="J13602" t="str">
        <f>IFERROR(__xludf.DUMMYFUNCTION("IFS(
  AND(REGEXMATCH(E13602, ""台銀籌備帳戶|玉山帳戶""), REGEXMATCH(C13602, ""薪資"")), ""分潤支出"",
  AND(REGEXMATCH(E13602, ""Ben帳戶|Elsa帳戶|Ben代墊|Ariel代墊|中信銀行共用""), REGEXMATCH(F13602, ""Ben帳戶|Elsa帳戶|Ben代墊|Ariel代墊|中信銀行共用"")), ""內部轉帳(忽略)"",
  AND(E13602&lt;&gt;"""", F13602&lt;&gt;"&amp;""""", NOT(REGEXMATCH(C13602, ""薪資""))), ""內部轉帳(忽略)"",
  REGEXMATCH(C13602, ""薪資""), ""薪資變動(不計入)"",
  REGEXMATCH(C13602, ""押金""), ""押金往來"",
  AND(E13602&lt;&gt;"""", F13602=""""), ""真實支出"",
  AND(E13602="""", F13602&lt;&gt;""""), ""真實收入"",
  TRUE, ""其他""
)"),"其他")</f>
        <v>其他</v>
      </c>
      <c r="K13602" s="270" t="str">
        <f t="shared" si="2"/>
        <v/>
      </c>
      <c r="L13602">
        <f t="shared" si="3"/>
        <v>0</v>
      </c>
    </row>
    <row r="13603">
      <c r="A13603" s="107"/>
      <c r="D13603" s="270"/>
      <c r="H13603" s="106" t="str">
        <f t="shared" si="1"/>
        <v/>
      </c>
      <c r="J13603" t="str">
        <f>IFERROR(__xludf.DUMMYFUNCTION("IFS(
  AND(REGEXMATCH(E13603, ""台銀籌備帳戶|玉山帳戶""), REGEXMATCH(C13603, ""薪資"")), ""分潤支出"",
  AND(REGEXMATCH(E13603, ""Ben帳戶|Elsa帳戶|Ben代墊|Ariel代墊|中信銀行共用""), REGEXMATCH(F13603, ""Ben帳戶|Elsa帳戶|Ben代墊|Ariel代墊|中信銀行共用"")), ""內部轉帳(忽略)"",
  AND(E13603&lt;&gt;"""", F13603&lt;&gt;"&amp;""""", NOT(REGEXMATCH(C13603, ""薪資""))), ""內部轉帳(忽略)"",
  REGEXMATCH(C13603, ""薪資""), ""薪資變動(不計入)"",
  REGEXMATCH(C13603, ""押金""), ""押金往來"",
  AND(E13603&lt;&gt;"""", F13603=""""), ""真實支出"",
  AND(E13603="""", F13603&lt;&gt;""""), ""真實收入"",
  TRUE, ""其他""
)"),"其他")</f>
        <v>其他</v>
      </c>
      <c r="K13603" s="270" t="str">
        <f t="shared" si="2"/>
        <v/>
      </c>
      <c r="L13603">
        <f t="shared" si="3"/>
        <v>0</v>
      </c>
    </row>
    <row r="13604">
      <c r="A13604" s="107"/>
      <c r="D13604" s="270"/>
      <c r="H13604" s="106" t="str">
        <f t="shared" si="1"/>
        <v/>
      </c>
      <c r="J13604" t="str">
        <f>IFERROR(__xludf.DUMMYFUNCTION("IFS(
  AND(REGEXMATCH(E13604, ""台銀籌備帳戶|玉山帳戶""), REGEXMATCH(C13604, ""薪資"")), ""分潤支出"",
  AND(REGEXMATCH(E13604, ""Ben帳戶|Elsa帳戶|Ben代墊|Ariel代墊|中信銀行共用""), REGEXMATCH(F13604, ""Ben帳戶|Elsa帳戶|Ben代墊|Ariel代墊|中信銀行共用"")), ""內部轉帳(忽略)"",
  AND(E13604&lt;&gt;"""", F13604&lt;&gt;"&amp;""""", NOT(REGEXMATCH(C13604, ""薪資""))), ""內部轉帳(忽略)"",
  REGEXMATCH(C13604, ""薪資""), ""薪資變動(不計入)"",
  REGEXMATCH(C13604, ""押金""), ""押金往來"",
  AND(E13604&lt;&gt;"""", F13604=""""), ""真實支出"",
  AND(E13604="""", F13604&lt;&gt;""""), ""真實收入"",
  TRUE, ""其他""
)"),"其他")</f>
        <v>其他</v>
      </c>
      <c r="K13604" s="270" t="str">
        <f t="shared" si="2"/>
        <v/>
      </c>
      <c r="L13604">
        <f t="shared" si="3"/>
        <v>0</v>
      </c>
    </row>
    <row r="13605">
      <c r="A13605" s="107"/>
      <c r="D13605" s="270"/>
      <c r="H13605" s="106" t="str">
        <f t="shared" si="1"/>
        <v/>
      </c>
      <c r="J13605" t="str">
        <f>IFERROR(__xludf.DUMMYFUNCTION("IFS(
  AND(REGEXMATCH(E13605, ""台銀籌備帳戶|玉山帳戶""), REGEXMATCH(C13605, ""薪資"")), ""分潤支出"",
  AND(REGEXMATCH(E13605, ""Ben帳戶|Elsa帳戶|Ben代墊|Ariel代墊|中信銀行共用""), REGEXMATCH(F13605, ""Ben帳戶|Elsa帳戶|Ben代墊|Ariel代墊|中信銀行共用"")), ""內部轉帳(忽略)"",
  AND(E13605&lt;&gt;"""", F13605&lt;&gt;"&amp;""""", NOT(REGEXMATCH(C13605, ""薪資""))), ""內部轉帳(忽略)"",
  REGEXMATCH(C13605, ""薪資""), ""薪資變動(不計入)"",
  REGEXMATCH(C13605, ""押金""), ""押金往來"",
  AND(E13605&lt;&gt;"""", F13605=""""), ""真實支出"",
  AND(E13605="""", F13605&lt;&gt;""""), ""真實收入"",
  TRUE, ""其他""
)"),"其他")</f>
        <v>其他</v>
      </c>
      <c r="K13605" s="270" t="str">
        <f t="shared" si="2"/>
        <v/>
      </c>
      <c r="L13605">
        <f t="shared" si="3"/>
        <v>0</v>
      </c>
    </row>
    <row r="13606">
      <c r="A13606" s="107"/>
      <c r="D13606" s="270"/>
      <c r="H13606" s="106" t="str">
        <f t="shared" si="1"/>
        <v/>
      </c>
      <c r="J13606" t="str">
        <f>IFERROR(__xludf.DUMMYFUNCTION("IFS(
  AND(REGEXMATCH(E13606, ""台銀籌備帳戶|玉山帳戶""), REGEXMATCH(C13606, ""薪資"")), ""分潤支出"",
  AND(REGEXMATCH(E13606, ""Ben帳戶|Elsa帳戶|Ben代墊|Ariel代墊|中信銀行共用""), REGEXMATCH(F13606, ""Ben帳戶|Elsa帳戶|Ben代墊|Ariel代墊|中信銀行共用"")), ""內部轉帳(忽略)"",
  AND(E13606&lt;&gt;"""", F13606&lt;&gt;"&amp;""""", NOT(REGEXMATCH(C13606, ""薪資""))), ""內部轉帳(忽略)"",
  REGEXMATCH(C13606, ""薪資""), ""薪資變動(不計入)"",
  REGEXMATCH(C13606, ""押金""), ""押金往來"",
  AND(E13606&lt;&gt;"""", F13606=""""), ""真實支出"",
  AND(E13606="""", F13606&lt;&gt;""""), ""真實收入"",
  TRUE, ""其他""
)"),"其他")</f>
        <v>其他</v>
      </c>
      <c r="K13606" s="270" t="str">
        <f t="shared" si="2"/>
        <v/>
      </c>
      <c r="L13606">
        <f t="shared" si="3"/>
        <v>0</v>
      </c>
    </row>
    <row r="13607">
      <c r="A13607" s="107"/>
      <c r="D13607" s="270"/>
      <c r="H13607" s="106" t="str">
        <f t="shared" si="1"/>
        <v/>
      </c>
      <c r="J13607" t="str">
        <f>IFERROR(__xludf.DUMMYFUNCTION("IFS(
  AND(REGEXMATCH(E13607, ""台銀籌備帳戶|玉山帳戶""), REGEXMATCH(C13607, ""薪資"")), ""分潤支出"",
  AND(REGEXMATCH(E13607, ""Ben帳戶|Elsa帳戶|Ben代墊|Ariel代墊|中信銀行共用""), REGEXMATCH(F13607, ""Ben帳戶|Elsa帳戶|Ben代墊|Ariel代墊|中信銀行共用"")), ""內部轉帳(忽略)"",
  AND(E13607&lt;&gt;"""", F13607&lt;&gt;"&amp;""""", NOT(REGEXMATCH(C13607, ""薪資""))), ""內部轉帳(忽略)"",
  REGEXMATCH(C13607, ""薪資""), ""薪資變動(不計入)"",
  REGEXMATCH(C13607, ""押金""), ""押金往來"",
  AND(E13607&lt;&gt;"""", F13607=""""), ""真實支出"",
  AND(E13607="""", F13607&lt;&gt;""""), ""真實收入"",
  TRUE, ""其他""
)"),"其他")</f>
        <v>其他</v>
      </c>
      <c r="K13607" s="270" t="str">
        <f t="shared" si="2"/>
        <v/>
      </c>
      <c r="L13607">
        <f t="shared" si="3"/>
        <v>0</v>
      </c>
    </row>
    <row r="13608">
      <c r="A13608" s="107"/>
      <c r="D13608" s="270"/>
      <c r="H13608" s="106" t="str">
        <f t="shared" si="1"/>
        <v/>
      </c>
      <c r="J13608" t="str">
        <f>IFERROR(__xludf.DUMMYFUNCTION("IFS(
  AND(REGEXMATCH(E13608, ""台銀籌備帳戶|玉山帳戶""), REGEXMATCH(C13608, ""薪資"")), ""分潤支出"",
  AND(REGEXMATCH(E13608, ""Ben帳戶|Elsa帳戶|Ben代墊|Ariel代墊|中信銀行共用""), REGEXMATCH(F13608, ""Ben帳戶|Elsa帳戶|Ben代墊|Ariel代墊|中信銀行共用"")), ""內部轉帳(忽略)"",
  AND(E13608&lt;&gt;"""", F13608&lt;&gt;"&amp;""""", NOT(REGEXMATCH(C13608, ""薪資""))), ""內部轉帳(忽略)"",
  REGEXMATCH(C13608, ""薪資""), ""薪資變動(不計入)"",
  REGEXMATCH(C13608, ""押金""), ""押金往來"",
  AND(E13608&lt;&gt;"""", F13608=""""), ""真實支出"",
  AND(E13608="""", F13608&lt;&gt;""""), ""真實收入"",
  TRUE, ""其他""
)"),"其他")</f>
        <v>其他</v>
      </c>
      <c r="K13608" s="270" t="str">
        <f t="shared" si="2"/>
        <v/>
      </c>
      <c r="L13608">
        <f t="shared" si="3"/>
        <v>0</v>
      </c>
    </row>
    <row r="13609">
      <c r="A13609" s="107"/>
      <c r="D13609" s="270"/>
      <c r="H13609" s="106" t="str">
        <f t="shared" si="1"/>
        <v/>
      </c>
      <c r="J13609" t="str">
        <f>IFERROR(__xludf.DUMMYFUNCTION("IFS(
  AND(REGEXMATCH(E13609, ""台銀籌備帳戶|玉山帳戶""), REGEXMATCH(C13609, ""薪資"")), ""分潤支出"",
  AND(REGEXMATCH(E13609, ""Ben帳戶|Elsa帳戶|Ben代墊|Ariel代墊|中信銀行共用""), REGEXMATCH(F13609, ""Ben帳戶|Elsa帳戶|Ben代墊|Ariel代墊|中信銀行共用"")), ""內部轉帳(忽略)"",
  AND(E13609&lt;&gt;"""", F13609&lt;&gt;"&amp;""""", NOT(REGEXMATCH(C13609, ""薪資""))), ""內部轉帳(忽略)"",
  REGEXMATCH(C13609, ""薪資""), ""薪資變動(不計入)"",
  REGEXMATCH(C13609, ""押金""), ""押金往來"",
  AND(E13609&lt;&gt;"""", F13609=""""), ""真實支出"",
  AND(E13609="""", F13609&lt;&gt;""""), ""真實收入"",
  TRUE, ""其他""
)"),"其他")</f>
        <v>其他</v>
      </c>
      <c r="K13609" s="270" t="str">
        <f t="shared" si="2"/>
        <v/>
      </c>
      <c r="L13609">
        <f t="shared" si="3"/>
        <v>0</v>
      </c>
    </row>
    <row r="13610">
      <c r="A13610" s="107"/>
      <c r="D13610" s="270"/>
      <c r="H13610" s="106" t="str">
        <f t="shared" si="1"/>
        <v/>
      </c>
      <c r="J13610" t="str">
        <f>IFERROR(__xludf.DUMMYFUNCTION("IFS(
  AND(REGEXMATCH(E13610, ""台銀籌備帳戶|玉山帳戶""), REGEXMATCH(C13610, ""薪資"")), ""分潤支出"",
  AND(REGEXMATCH(E13610, ""Ben帳戶|Elsa帳戶|Ben代墊|Ariel代墊|中信銀行共用""), REGEXMATCH(F13610, ""Ben帳戶|Elsa帳戶|Ben代墊|Ariel代墊|中信銀行共用"")), ""內部轉帳(忽略)"",
  AND(E13610&lt;&gt;"""", F13610&lt;&gt;"&amp;""""", NOT(REGEXMATCH(C13610, ""薪資""))), ""內部轉帳(忽略)"",
  REGEXMATCH(C13610, ""薪資""), ""薪資變動(不計入)"",
  REGEXMATCH(C13610, ""押金""), ""押金往來"",
  AND(E13610&lt;&gt;"""", F13610=""""), ""真實支出"",
  AND(E13610="""", F13610&lt;&gt;""""), ""真實收入"",
  TRUE, ""其他""
)"),"其他")</f>
        <v>其他</v>
      </c>
      <c r="K13610" s="270" t="str">
        <f t="shared" si="2"/>
        <v/>
      </c>
      <c r="L13610">
        <f t="shared" si="3"/>
        <v>0</v>
      </c>
    </row>
    <row r="13611">
      <c r="A13611" s="107"/>
      <c r="D13611" s="270"/>
      <c r="H13611" s="106" t="str">
        <f t="shared" si="1"/>
        <v/>
      </c>
      <c r="J13611" t="str">
        <f>IFERROR(__xludf.DUMMYFUNCTION("IFS(
  AND(REGEXMATCH(E13611, ""台銀籌備帳戶|玉山帳戶""), REGEXMATCH(C13611, ""薪資"")), ""分潤支出"",
  AND(REGEXMATCH(E13611, ""Ben帳戶|Elsa帳戶|Ben代墊|Ariel代墊|中信銀行共用""), REGEXMATCH(F13611, ""Ben帳戶|Elsa帳戶|Ben代墊|Ariel代墊|中信銀行共用"")), ""內部轉帳(忽略)"",
  AND(E13611&lt;&gt;"""", F13611&lt;&gt;"&amp;""""", NOT(REGEXMATCH(C13611, ""薪資""))), ""內部轉帳(忽略)"",
  REGEXMATCH(C13611, ""薪資""), ""薪資變動(不計入)"",
  REGEXMATCH(C13611, ""押金""), ""押金往來"",
  AND(E13611&lt;&gt;"""", F13611=""""), ""真實支出"",
  AND(E13611="""", F13611&lt;&gt;""""), ""真實收入"",
  TRUE, ""其他""
)"),"其他")</f>
        <v>其他</v>
      </c>
      <c r="K13611" s="270" t="str">
        <f t="shared" si="2"/>
        <v/>
      </c>
      <c r="L13611">
        <f t="shared" si="3"/>
        <v>0</v>
      </c>
    </row>
    <row r="13612">
      <c r="A13612" s="107"/>
      <c r="D13612" s="270"/>
      <c r="H13612" s="106" t="str">
        <f t="shared" si="1"/>
        <v/>
      </c>
      <c r="J13612" t="str">
        <f>IFERROR(__xludf.DUMMYFUNCTION("IFS(
  AND(REGEXMATCH(E13612, ""台銀籌備帳戶|玉山帳戶""), REGEXMATCH(C13612, ""薪資"")), ""分潤支出"",
  AND(REGEXMATCH(E13612, ""Ben帳戶|Elsa帳戶|Ben代墊|Ariel代墊|中信銀行共用""), REGEXMATCH(F13612, ""Ben帳戶|Elsa帳戶|Ben代墊|Ariel代墊|中信銀行共用"")), ""內部轉帳(忽略)"",
  AND(E13612&lt;&gt;"""", F13612&lt;&gt;"&amp;""""", NOT(REGEXMATCH(C13612, ""薪資""))), ""內部轉帳(忽略)"",
  REGEXMATCH(C13612, ""薪資""), ""薪資變動(不計入)"",
  REGEXMATCH(C13612, ""押金""), ""押金往來"",
  AND(E13612&lt;&gt;"""", F13612=""""), ""真實支出"",
  AND(E13612="""", F13612&lt;&gt;""""), ""真實收入"",
  TRUE, ""其他""
)"),"其他")</f>
        <v>其他</v>
      </c>
      <c r="K13612" s="270" t="str">
        <f t="shared" si="2"/>
        <v/>
      </c>
      <c r="L13612">
        <f t="shared" si="3"/>
        <v>0</v>
      </c>
    </row>
    <row r="13613">
      <c r="A13613" s="107"/>
      <c r="D13613" s="270"/>
      <c r="H13613" s="106" t="str">
        <f t="shared" si="1"/>
        <v/>
      </c>
      <c r="J13613" t="str">
        <f>IFERROR(__xludf.DUMMYFUNCTION("IFS(
  AND(REGEXMATCH(E13613, ""台銀籌備帳戶|玉山帳戶""), REGEXMATCH(C13613, ""薪資"")), ""分潤支出"",
  AND(REGEXMATCH(E13613, ""Ben帳戶|Elsa帳戶|Ben代墊|Ariel代墊|中信銀行共用""), REGEXMATCH(F13613, ""Ben帳戶|Elsa帳戶|Ben代墊|Ariel代墊|中信銀行共用"")), ""內部轉帳(忽略)"",
  AND(E13613&lt;&gt;"""", F13613&lt;&gt;"&amp;""""", NOT(REGEXMATCH(C13613, ""薪資""))), ""內部轉帳(忽略)"",
  REGEXMATCH(C13613, ""薪資""), ""薪資變動(不計入)"",
  REGEXMATCH(C13613, ""押金""), ""押金往來"",
  AND(E13613&lt;&gt;"""", F13613=""""), ""真實支出"",
  AND(E13613="""", F13613&lt;&gt;""""), ""真實收入"",
  TRUE, ""其他""
)"),"其他")</f>
        <v>其他</v>
      </c>
      <c r="K13613" s="270" t="str">
        <f t="shared" si="2"/>
        <v/>
      </c>
      <c r="L13613">
        <f t="shared" si="3"/>
        <v>0</v>
      </c>
    </row>
    <row r="13614">
      <c r="A13614" s="107"/>
      <c r="D13614" s="270"/>
      <c r="H13614" s="106" t="str">
        <f t="shared" si="1"/>
        <v/>
      </c>
      <c r="J13614" t="str">
        <f>IFERROR(__xludf.DUMMYFUNCTION("IFS(
  AND(REGEXMATCH(E13614, ""台銀籌備帳戶|玉山帳戶""), REGEXMATCH(C13614, ""薪資"")), ""分潤支出"",
  AND(REGEXMATCH(E13614, ""Ben帳戶|Elsa帳戶|Ben代墊|Ariel代墊|中信銀行共用""), REGEXMATCH(F13614, ""Ben帳戶|Elsa帳戶|Ben代墊|Ariel代墊|中信銀行共用"")), ""內部轉帳(忽略)"",
  AND(E13614&lt;&gt;"""", F13614&lt;&gt;"&amp;""""", NOT(REGEXMATCH(C13614, ""薪資""))), ""內部轉帳(忽略)"",
  REGEXMATCH(C13614, ""薪資""), ""薪資變動(不計入)"",
  REGEXMATCH(C13614, ""押金""), ""押金往來"",
  AND(E13614&lt;&gt;"""", F13614=""""), ""真實支出"",
  AND(E13614="""", F13614&lt;&gt;""""), ""真實收入"",
  TRUE, ""其他""
)"),"其他")</f>
        <v>其他</v>
      </c>
      <c r="K13614" s="270" t="str">
        <f t="shared" si="2"/>
        <v/>
      </c>
      <c r="L13614">
        <f t="shared" si="3"/>
        <v>0</v>
      </c>
    </row>
    <row r="13615">
      <c r="A13615" s="107"/>
      <c r="D13615" s="270"/>
      <c r="H13615" s="106" t="str">
        <f t="shared" si="1"/>
        <v/>
      </c>
      <c r="J13615" t="str">
        <f>IFERROR(__xludf.DUMMYFUNCTION("IFS(
  AND(REGEXMATCH(E13615, ""台銀籌備帳戶|玉山帳戶""), REGEXMATCH(C13615, ""薪資"")), ""分潤支出"",
  AND(REGEXMATCH(E13615, ""Ben帳戶|Elsa帳戶|Ben代墊|Ariel代墊|中信銀行共用""), REGEXMATCH(F13615, ""Ben帳戶|Elsa帳戶|Ben代墊|Ariel代墊|中信銀行共用"")), ""內部轉帳(忽略)"",
  AND(E13615&lt;&gt;"""", F13615&lt;&gt;"&amp;""""", NOT(REGEXMATCH(C13615, ""薪資""))), ""內部轉帳(忽略)"",
  REGEXMATCH(C13615, ""薪資""), ""薪資變動(不計入)"",
  REGEXMATCH(C13615, ""押金""), ""押金往來"",
  AND(E13615&lt;&gt;"""", F13615=""""), ""真實支出"",
  AND(E13615="""", F13615&lt;&gt;""""), ""真實收入"",
  TRUE, ""其他""
)"),"其他")</f>
        <v>其他</v>
      </c>
      <c r="K13615" s="270" t="str">
        <f t="shared" si="2"/>
        <v/>
      </c>
      <c r="L13615">
        <f t="shared" si="3"/>
        <v>0</v>
      </c>
    </row>
    <row r="13616">
      <c r="A13616" s="107"/>
      <c r="D13616" s="270"/>
      <c r="H13616" s="106" t="str">
        <f t="shared" si="1"/>
        <v/>
      </c>
      <c r="J13616" t="str">
        <f>IFERROR(__xludf.DUMMYFUNCTION("IFS(
  AND(REGEXMATCH(E13616, ""台銀籌備帳戶|玉山帳戶""), REGEXMATCH(C13616, ""薪資"")), ""分潤支出"",
  AND(REGEXMATCH(E13616, ""Ben帳戶|Elsa帳戶|Ben代墊|Ariel代墊|中信銀行共用""), REGEXMATCH(F13616, ""Ben帳戶|Elsa帳戶|Ben代墊|Ariel代墊|中信銀行共用"")), ""內部轉帳(忽略)"",
  AND(E13616&lt;&gt;"""", F13616&lt;&gt;"&amp;""""", NOT(REGEXMATCH(C13616, ""薪資""))), ""內部轉帳(忽略)"",
  REGEXMATCH(C13616, ""薪資""), ""薪資變動(不計入)"",
  REGEXMATCH(C13616, ""押金""), ""押金往來"",
  AND(E13616&lt;&gt;"""", F13616=""""), ""真實支出"",
  AND(E13616="""", F13616&lt;&gt;""""), ""真實收入"",
  TRUE, ""其他""
)"),"其他")</f>
        <v>其他</v>
      </c>
      <c r="K13616" s="270" t="str">
        <f t="shared" si="2"/>
        <v/>
      </c>
      <c r="L13616">
        <f t="shared" si="3"/>
        <v>0</v>
      </c>
    </row>
    <row r="13617">
      <c r="A13617" s="107"/>
      <c r="D13617" s="270"/>
      <c r="H13617" s="106" t="str">
        <f t="shared" si="1"/>
        <v/>
      </c>
      <c r="J13617" t="str">
        <f>IFERROR(__xludf.DUMMYFUNCTION("IFS(
  AND(REGEXMATCH(E13617, ""台銀籌備帳戶|玉山帳戶""), REGEXMATCH(C13617, ""薪資"")), ""分潤支出"",
  AND(REGEXMATCH(E13617, ""Ben帳戶|Elsa帳戶|Ben代墊|Ariel代墊|中信銀行共用""), REGEXMATCH(F13617, ""Ben帳戶|Elsa帳戶|Ben代墊|Ariel代墊|中信銀行共用"")), ""內部轉帳(忽略)"",
  AND(E13617&lt;&gt;"""", F13617&lt;&gt;"&amp;""""", NOT(REGEXMATCH(C13617, ""薪資""))), ""內部轉帳(忽略)"",
  REGEXMATCH(C13617, ""薪資""), ""薪資變動(不計入)"",
  REGEXMATCH(C13617, ""押金""), ""押金往來"",
  AND(E13617&lt;&gt;"""", F13617=""""), ""真實支出"",
  AND(E13617="""", F13617&lt;&gt;""""), ""真實收入"",
  TRUE, ""其他""
)"),"其他")</f>
        <v>其他</v>
      </c>
      <c r="K13617" s="270" t="str">
        <f t="shared" si="2"/>
        <v/>
      </c>
      <c r="L13617">
        <f t="shared" si="3"/>
        <v>0</v>
      </c>
    </row>
    <row r="13618">
      <c r="A13618" s="107"/>
      <c r="D13618" s="270"/>
      <c r="H13618" s="106" t="str">
        <f t="shared" si="1"/>
        <v/>
      </c>
      <c r="J13618" t="str">
        <f>IFERROR(__xludf.DUMMYFUNCTION("IFS(
  AND(REGEXMATCH(E13618, ""台銀籌備帳戶|玉山帳戶""), REGEXMATCH(C13618, ""薪資"")), ""分潤支出"",
  AND(REGEXMATCH(E13618, ""Ben帳戶|Elsa帳戶|Ben代墊|Ariel代墊|中信銀行共用""), REGEXMATCH(F13618, ""Ben帳戶|Elsa帳戶|Ben代墊|Ariel代墊|中信銀行共用"")), ""內部轉帳(忽略)"",
  AND(E13618&lt;&gt;"""", F13618&lt;&gt;"&amp;""""", NOT(REGEXMATCH(C13618, ""薪資""))), ""內部轉帳(忽略)"",
  REGEXMATCH(C13618, ""薪資""), ""薪資變動(不計入)"",
  REGEXMATCH(C13618, ""押金""), ""押金往來"",
  AND(E13618&lt;&gt;"""", F13618=""""), ""真實支出"",
  AND(E13618="""", F13618&lt;&gt;""""), ""真實收入"",
  TRUE, ""其他""
)"),"其他")</f>
        <v>其他</v>
      </c>
      <c r="K13618" s="270" t="str">
        <f t="shared" si="2"/>
        <v/>
      </c>
      <c r="L13618">
        <f t="shared" si="3"/>
        <v>0</v>
      </c>
    </row>
    <row r="13619">
      <c r="A13619" s="107"/>
      <c r="D13619" s="270"/>
      <c r="H13619" s="106" t="str">
        <f t="shared" si="1"/>
        <v/>
      </c>
      <c r="J13619" t="str">
        <f>IFERROR(__xludf.DUMMYFUNCTION("IFS(
  AND(REGEXMATCH(E13619, ""台銀籌備帳戶|玉山帳戶""), REGEXMATCH(C13619, ""薪資"")), ""分潤支出"",
  AND(REGEXMATCH(E13619, ""Ben帳戶|Elsa帳戶|Ben代墊|Ariel代墊|中信銀行共用""), REGEXMATCH(F13619, ""Ben帳戶|Elsa帳戶|Ben代墊|Ariel代墊|中信銀行共用"")), ""內部轉帳(忽略)"",
  AND(E13619&lt;&gt;"""", F13619&lt;&gt;"&amp;""""", NOT(REGEXMATCH(C13619, ""薪資""))), ""內部轉帳(忽略)"",
  REGEXMATCH(C13619, ""薪資""), ""薪資變動(不計入)"",
  REGEXMATCH(C13619, ""押金""), ""押金往來"",
  AND(E13619&lt;&gt;"""", F13619=""""), ""真實支出"",
  AND(E13619="""", F13619&lt;&gt;""""), ""真實收入"",
  TRUE, ""其他""
)"),"其他")</f>
        <v>其他</v>
      </c>
      <c r="K13619" s="270" t="str">
        <f t="shared" si="2"/>
        <v/>
      </c>
      <c r="L13619">
        <f t="shared" si="3"/>
        <v>0</v>
      </c>
    </row>
    <row r="13620">
      <c r="A13620" s="107"/>
      <c r="D13620" s="270"/>
      <c r="H13620" s="106" t="str">
        <f t="shared" si="1"/>
        <v/>
      </c>
      <c r="J13620" t="str">
        <f>IFERROR(__xludf.DUMMYFUNCTION("IFS(
  AND(REGEXMATCH(E13620, ""台銀籌備帳戶|玉山帳戶""), REGEXMATCH(C13620, ""薪資"")), ""分潤支出"",
  AND(REGEXMATCH(E13620, ""Ben帳戶|Elsa帳戶|Ben代墊|Ariel代墊|中信銀行共用""), REGEXMATCH(F13620, ""Ben帳戶|Elsa帳戶|Ben代墊|Ariel代墊|中信銀行共用"")), ""內部轉帳(忽略)"",
  AND(E13620&lt;&gt;"""", F13620&lt;&gt;"&amp;""""", NOT(REGEXMATCH(C13620, ""薪資""))), ""內部轉帳(忽略)"",
  REGEXMATCH(C13620, ""薪資""), ""薪資變動(不計入)"",
  REGEXMATCH(C13620, ""押金""), ""押金往來"",
  AND(E13620&lt;&gt;"""", F13620=""""), ""真實支出"",
  AND(E13620="""", F13620&lt;&gt;""""), ""真實收入"",
  TRUE, ""其他""
)"),"其他")</f>
        <v>其他</v>
      </c>
      <c r="K13620" s="270" t="str">
        <f t="shared" si="2"/>
        <v/>
      </c>
      <c r="L13620">
        <f t="shared" si="3"/>
        <v>0</v>
      </c>
    </row>
    <row r="13621">
      <c r="A13621" s="107"/>
      <c r="D13621" s="270"/>
      <c r="H13621" s="106" t="str">
        <f t="shared" si="1"/>
        <v/>
      </c>
      <c r="J13621" t="str">
        <f>IFERROR(__xludf.DUMMYFUNCTION("IFS(
  AND(REGEXMATCH(E13621, ""台銀籌備帳戶|玉山帳戶""), REGEXMATCH(C13621, ""薪資"")), ""分潤支出"",
  AND(REGEXMATCH(E13621, ""Ben帳戶|Elsa帳戶|Ben代墊|Ariel代墊|中信銀行共用""), REGEXMATCH(F13621, ""Ben帳戶|Elsa帳戶|Ben代墊|Ariel代墊|中信銀行共用"")), ""內部轉帳(忽略)"",
  AND(E13621&lt;&gt;"""", F13621&lt;&gt;"&amp;""""", NOT(REGEXMATCH(C13621, ""薪資""))), ""內部轉帳(忽略)"",
  REGEXMATCH(C13621, ""薪資""), ""薪資變動(不計入)"",
  REGEXMATCH(C13621, ""押金""), ""押金往來"",
  AND(E13621&lt;&gt;"""", F13621=""""), ""真實支出"",
  AND(E13621="""", F13621&lt;&gt;""""), ""真實收入"",
  TRUE, ""其他""
)"),"其他")</f>
        <v>其他</v>
      </c>
      <c r="K13621" s="270" t="str">
        <f t="shared" si="2"/>
        <v/>
      </c>
      <c r="L13621">
        <f t="shared" si="3"/>
        <v>0</v>
      </c>
    </row>
    <row r="13622">
      <c r="A13622" s="107"/>
      <c r="D13622" s="270"/>
      <c r="H13622" s="106" t="str">
        <f t="shared" si="1"/>
        <v/>
      </c>
      <c r="J13622" t="str">
        <f>IFERROR(__xludf.DUMMYFUNCTION("IFS(
  AND(REGEXMATCH(E13622, ""台銀籌備帳戶|玉山帳戶""), REGEXMATCH(C13622, ""薪資"")), ""分潤支出"",
  AND(REGEXMATCH(E13622, ""Ben帳戶|Elsa帳戶|Ben代墊|Ariel代墊|中信銀行共用""), REGEXMATCH(F13622, ""Ben帳戶|Elsa帳戶|Ben代墊|Ariel代墊|中信銀行共用"")), ""內部轉帳(忽略)"",
  AND(E13622&lt;&gt;"""", F13622&lt;&gt;"&amp;""""", NOT(REGEXMATCH(C13622, ""薪資""))), ""內部轉帳(忽略)"",
  REGEXMATCH(C13622, ""薪資""), ""薪資變動(不計入)"",
  REGEXMATCH(C13622, ""押金""), ""押金往來"",
  AND(E13622&lt;&gt;"""", F13622=""""), ""真實支出"",
  AND(E13622="""", F13622&lt;&gt;""""), ""真實收入"",
  TRUE, ""其他""
)"),"其他")</f>
        <v>其他</v>
      </c>
      <c r="K13622" s="270" t="str">
        <f t="shared" si="2"/>
        <v/>
      </c>
      <c r="L13622">
        <f t="shared" si="3"/>
        <v>0</v>
      </c>
    </row>
    <row r="13623">
      <c r="A13623" s="107"/>
      <c r="D13623" s="270"/>
      <c r="H13623" s="106" t="str">
        <f t="shared" si="1"/>
        <v/>
      </c>
      <c r="J13623" t="str">
        <f>IFERROR(__xludf.DUMMYFUNCTION("IFS(
  AND(REGEXMATCH(E13623, ""台銀籌備帳戶|玉山帳戶""), REGEXMATCH(C13623, ""薪資"")), ""分潤支出"",
  AND(REGEXMATCH(E13623, ""Ben帳戶|Elsa帳戶|Ben代墊|Ariel代墊|中信銀行共用""), REGEXMATCH(F13623, ""Ben帳戶|Elsa帳戶|Ben代墊|Ariel代墊|中信銀行共用"")), ""內部轉帳(忽略)"",
  AND(E13623&lt;&gt;"""", F13623&lt;&gt;"&amp;""""", NOT(REGEXMATCH(C13623, ""薪資""))), ""內部轉帳(忽略)"",
  REGEXMATCH(C13623, ""薪資""), ""薪資變動(不計入)"",
  REGEXMATCH(C13623, ""押金""), ""押金往來"",
  AND(E13623&lt;&gt;"""", F13623=""""), ""真實支出"",
  AND(E13623="""", F13623&lt;&gt;""""), ""真實收入"",
  TRUE, ""其他""
)"),"其他")</f>
        <v>其他</v>
      </c>
      <c r="K13623" s="270" t="str">
        <f t="shared" si="2"/>
        <v/>
      </c>
      <c r="L13623">
        <f t="shared" si="3"/>
        <v>0</v>
      </c>
    </row>
    <row r="13624">
      <c r="A13624" s="107"/>
      <c r="D13624" s="270"/>
      <c r="H13624" s="106" t="str">
        <f t="shared" si="1"/>
        <v/>
      </c>
      <c r="J13624" t="str">
        <f>IFERROR(__xludf.DUMMYFUNCTION("IFS(
  AND(REGEXMATCH(E13624, ""台銀籌備帳戶|玉山帳戶""), REGEXMATCH(C13624, ""薪資"")), ""分潤支出"",
  AND(REGEXMATCH(E13624, ""Ben帳戶|Elsa帳戶|Ben代墊|Ariel代墊|中信銀行共用""), REGEXMATCH(F13624, ""Ben帳戶|Elsa帳戶|Ben代墊|Ariel代墊|中信銀行共用"")), ""內部轉帳(忽略)"",
  AND(E13624&lt;&gt;"""", F13624&lt;&gt;"&amp;""""", NOT(REGEXMATCH(C13624, ""薪資""))), ""內部轉帳(忽略)"",
  REGEXMATCH(C13624, ""薪資""), ""薪資變動(不計入)"",
  REGEXMATCH(C13624, ""押金""), ""押金往來"",
  AND(E13624&lt;&gt;"""", F13624=""""), ""真實支出"",
  AND(E13624="""", F13624&lt;&gt;""""), ""真實收入"",
  TRUE, ""其他""
)"),"其他")</f>
        <v>其他</v>
      </c>
      <c r="K13624" s="270" t="str">
        <f t="shared" si="2"/>
        <v/>
      </c>
      <c r="L13624">
        <f t="shared" si="3"/>
        <v>0</v>
      </c>
    </row>
    <row r="13625">
      <c r="A13625" s="107"/>
      <c r="D13625" s="270"/>
      <c r="H13625" s="106" t="str">
        <f t="shared" si="1"/>
        <v/>
      </c>
      <c r="J13625" t="str">
        <f>IFERROR(__xludf.DUMMYFUNCTION("IFS(
  AND(REGEXMATCH(E13625, ""台銀籌備帳戶|玉山帳戶""), REGEXMATCH(C13625, ""薪資"")), ""分潤支出"",
  AND(REGEXMATCH(E13625, ""Ben帳戶|Elsa帳戶|Ben代墊|Ariel代墊|中信銀行共用""), REGEXMATCH(F13625, ""Ben帳戶|Elsa帳戶|Ben代墊|Ariel代墊|中信銀行共用"")), ""內部轉帳(忽略)"",
  AND(E13625&lt;&gt;"""", F13625&lt;&gt;"&amp;""""", NOT(REGEXMATCH(C13625, ""薪資""))), ""內部轉帳(忽略)"",
  REGEXMATCH(C13625, ""薪資""), ""薪資變動(不計入)"",
  REGEXMATCH(C13625, ""押金""), ""押金往來"",
  AND(E13625&lt;&gt;"""", F13625=""""), ""真實支出"",
  AND(E13625="""", F13625&lt;&gt;""""), ""真實收入"",
  TRUE, ""其他""
)"),"其他")</f>
        <v>其他</v>
      </c>
      <c r="K13625" s="270" t="str">
        <f t="shared" si="2"/>
        <v/>
      </c>
      <c r="L13625">
        <f t="shared" si="3"/>
        <v>0</v>
      </c>
    </row>
    <row r="13626">
      <c r="A13626" s="107"/>
      <c r="D13626" s="270"/>
      <c r="H13626" s="106" t="str">
        <f t="shared" si="1"/>
        <v/>
      </c>
      <c r="J13626" t="str">
        <f>IFERROR(__xludf.DUMMYFUNCTION("IFS(
  AND(REGEXMATCH(E13626, ""台銀籌備帳戶|玉山帳戶""), REGEXMATCH(C13626, ""薪資"")), ""分潤支出"",
  AND(REGEXMATCH(E13626, ""Ben帳戶|Elsa帳戶|Ben代墊|Ariel代墊|中信銀行共用""), REGEXMATCH(F13626, ""Ben帳戶|Elsa帳戶|Ben代墊|Ariel代墊|中信銀行共用"")), ""內部轉帳(忽略)"",
  AND(E13626&lt;&gt;"""", F13626&lt;&gt;"&amp;""""", NOT(REGEXMATCH(C13626, ""薪資""))), ""內部轉帳(忽略)"",
  REGEXMATCH(C13626, ""薪資""), ""薪資變動(不計入)"",
  REGEXMATCH(C13626, ""押金""), ""押金往來"",
  AND(E13626&lt;&gt;"""", F13626=""""), ""真實支出"",
  AND(E13626="""", F13626&lt;&gt;""""), ""真實收入"",
  TRUE, ""其他""
)"),"其他")</f>
        <v>其他</v>
      </c>
      <c r="K13626" s="270" t="str">
        <f t="shared" si="2"/>
        <v/>
      </c>
      <c r="L13626">
        <f t="shared" si="3"/>
        <v>0</v>
      </c>
    </row>
    <row r="13627">
      <c r="A13627" s="107"/>
      <c r="D13627" s="270"/>
      <c r="H13627" s="106" t="str">
        <f t="shared" si="1"/>
        <v/>
      </c>
      <c r="J13627" t="str">
        <f>IFERROR(__xludf.DUMMYFUNCTION("IFS(
  AND(REGEXMATCH(E13627, ""台銀籌備帳戶|玉山帳戶""), REGEXMATCH(C13627, ""薪資"")), ""分潤支出"",
  AND(REGEXMATCH(E13627, ""Ben帳戶|Elsa帳戶|Ben代墊|Ariel代墊|中信銀行共用""), REGEXMATCH(F13627, ""Ben帳戶|Elsa帳戶|Ben代墊|Ariel代墊|中信銀行共用"")), ""內部轉帳(忽略)"",
  AND(E13627&lt;&gt;"""", F13627&lt;&gt;"&amp;""""", NOT(REGEXMATCH(C13627, ""薪資""))), ""內部轉帳(忽略)"",
  REGEXMATCH(C13627, ""薪資""), ""薪資變動(不計入)"",
  REGEXMATCH(C13627, ""押金""), ""押金往來"",
  AND(E13627&lt;&gt;"""", F13627=""""), ""真實支出"",
  AND(E13627="""", F13627&lt;&gt;""""), ""真實收入"",
  TRUE, ""其他""
)"),"其他")</f>
        <v>其他</v>
      </c>
      <c r="K13627" s="270" t="str">
        <f t="shared" si="2"/>
        <v/>
      </c>
      <c r="L13627">
        <f t="shared" si="3"/>
        <v>0</v>
      </c>
    </row>
    <row r="13628">
      <c r="A13628" s="107"/>
      <c r="D13628" s="270"/>
      <c r="H13628" s="106" t="str">
        <f t="shared" si="1"/>
        <v/>
      </c>
      <c r="J13628" t="str">
        <f>IFERROR(__xludf.DUMMYFUNCTION("IFS(
  AND(REGEXMATCH(E13628, ""台銀籌備帳戶|玉山帳戶""), REGEXMATCH(C13628, ""薪資"")), ""分潤支出"",
  AND(REGEXMATCH(E13628, ""Ben帳戶|Elsa帳戶|Ben代墊|Ariel代墊|中信銀行共用""), REGEXMATCH(F13628, ""Ben帳戶|Elsa帳戶|Ben代墊|Ariel代墊|中信銀行共用"")), ""內部轉帳(忽略)"",
  AND(E13628&lt;&gt;"""", F13628&lt;&gt;"&amp;""""", NOT(REGEXMATCH(C13628, ""薪資""))), ""內部轉帳(忽略)"",
  REGEXMATCH(C13628, ""薪資""), ""薪資變動(不計入)"",
  REGEXMATCH(C13628, ""押金""), ""押金往來"",
  AND(E13628&lt;&gt;"""", F13628=""""), ""真實支出"",
  AND(E13628="""", F13628&lt;&gt;""""), ""真實收入"",
  TRUE, ""其他""
)"),"其他")</f>
        <v>其他</v>
      </c>
      <c r="K13628" s="270" t="str">
        <f t="shared" si="2"/>
        <v/>
      </c>
      <c r="L13628">
        <f t="shared" si="3"/>
        <v>0</v>
      </c>
    </row>
    <row r="13629">
      <c r="A13629" s="107"/>
      <c r="D13629" s="270"/>
      <c r="H13629" s="106" t="str">
        <f t="shared" si="1"/>
        <v/>
      </c>
      <c r="J13629" t="str">
        <f>IFERROR(__xludf.DUMMYFUNCTION("IFS(
  AND(REGEXMATCH(E13629, ""台銀籌備帳戶|玉山帳戶""), REGEXMATCH(C13629, ""薪資"")), ""分潤支出"",
  AND(REGEXMATCH(E13629, ""Ben帳戶|Elsa帳戶|Ben代墊|Ariel代墊|中信銀行共用""), REGEXMATCH(F13629, ""Ben帳戶|Elsa帳戶|Ben代墊|Ariel代墊|中信銀行共用"")), ""內部轉帳(忽略)"",
  AND(E13629&lt;&gt;"""", F13629&lt;&gt;"&amp;""""", NOT(REGEXMATCH(C13629, ""薪資""))), ""內部轉帳(忽略)"",
  REGEXMATCH(C13629, ""薪資""), ""薪資變動(不計入)"",
  REGEXMATCH(C13629, ""押金""), ""押金往來"",
  AND(E13629&lt;&gt;"""", F13629=""""), ""真實支出"",
  AND(E13629="""", F13629&lt;&gt;""""), ""真實收入"",
  TRUE, ""其他""
)"),"其他")</f>
        <v>其他</v>
      </c>
      <c r="K13629" s="270" t="str">
        <f t="shared" si="2"/>
        <v/>
      </c>
      <c r="L13629">
        <f t="shared" si="3"/>
        <v>0</v>
      </c>
    </row>
    <row r="13630">
      <c r="A13630" s="107"/>
      <c r="D13630" s="270"/>
      <c r="H13630" s="106" t="str">
        <f t="shared" si="1"/>
        <v/>
      </c>
      <c r="J13630" t="str">
        <f>IFERROR(__xludf.DUMMYFUNCTION("IFS(
  AND(REGEXMATCH(E13630, ""台銀籌備帳戶|玉山帳戶""), REGEXMATCH(C13630, ""薪資"")), ""分潤支出"",
  AND(REGEXMATCH(E13630, ""Ben帳戶|Elsa帳戶|Ben代墊|Ariel代墊|中信銀行共用""), REGEXMATCH(F13630, ""Ben帳戶|Elsa帳戶|Ben代墊|Ariel代墊|中信銀行共用"")), ""內部轉帳(忽略)"",
  AND(E13630&lt;&gt;"""", F13630&lt;&gt;"&amp;""""", NOT(REGEXMATCH(C13630, ""薪資""))), ""內部轉帳(忽略)"",
  REGEXMATCH(C13630, ""薪資""), ""薪資變動(不計入)"",
  REGEXMATCH(C13630, ""押金""), ""押金往來"",
  AND(E13630&lt;&gt;"""", F13630=""""), ""真實支出"",
  AND(E13630="""", F13630&lt;&gt;""""), ""真實收入"",
  TRUE, ""其他""
)"),"其他")</f>
        <v>其他</v>
      </c>
      <c r="K13630" s="270" t="str">
        <f t="shared" si="2"/>
        <v/>
      </c>
      <c r="L13630">
        <f t="shared" si="3"/>
        <v>0</v>
      </c>
    </row>
    <row r="13631">
      <c r="A13631" s="107"/>
      <c r="D13631" s="270"/>
      <c r="H13631" s="106" t="str">
        <f t="shared" si="1"/>
        <v/>
      </c>
      <c r="J13631" t="str">
        <f>IFERROR(__xludf.DUMMYFUNCTION("IFS(
  AND(REGEXMATCH(E13631, ""台銀籌備帳戶|玉山帳戶""), REGEXMATCH(C13631, ""薪資"")), ""分潤支出"",
  AND(REGEXMATCH(E13631, ""Ben帳戶|Elsa帳戶|Ben代墊|Ariel代墊|中信銀行共用""), REGEXMATCH(F13631, ""Ben帳戶|Elsa帳戶|Ben代墊|Ariel代墊|中信銀行共用"")), ""內部轉帳(忽略)"",
  AND(E13631&lt;&gt;"""", F13631&lt;&gt;"&amp;""""", NOT(REGEXMATCH(C13631, ""薪資""))), ""內部轉帳(忽略)"",
  REGEXMATCH(C13631, ""薪資""), ""薪資變動(不計入)"",
  REGEXMATCH(C13631, ""押金""), ""押金往來"",
  AND(E13631&lt;&gt;"""", F13631=""""), ""真實支出"",
  AND(E13631="""", F13631&lt;&gt;""""), ""真實收入"",
  TRUE, ""其他""
)"),"其他")</f>
        <v>其他</v>
      </c>
      <c r="K13631" s="270" t="str">
        <f t="shared" si="2"/>
        <v/>
      </c>
      <c r="L13631">
        <f t="shared" si="3"/>
        <v>0</v>
      </c>
    </row>
    <row r="13632">
      <c r="A13632" s="107"/>
      <c r="D13632" s="270"/>
      <c r="H13632" s="106" t="str">
        <f t="shared" si="1"/>
        <v/>
      </c>
      <c r="J13632" t="str">
        <f>IFERROR(__xludf.DUMMYFUNCTION("IFS(
  AND(REGEXMATCH(E13632, ""台銀籌備帳戶|玉山帳戶""), REGEXMATCH(C13632, ""薪資"")), ""分潤支出"",
  AND(REGEXMATCH(E13632, ""Ben帳戶|Elsa帳戶|Ben代墊|Ariel代墊|中信銀行共用""), REGEXMATCH(F13632, ""Ben帳戶|Elsa帳戶|Ben代墊|Ariel代墊|中信銀行共用"")), ""內部轉帳(忽略)"",
  AND(E13632&lt;&gt;"""", F13632&lt;&gt;"&amp;""""", NOT(REGEXMATCH(C13632, ""薪資""))), ""內部轉帳(忽略)"",
  REGEXMATCH(C13632, ""薪資""), ""薪資變動(不計入)"",
  REGEXMATCH(C13632, ""押金""), ""押金往來"",
  AND(E13632&lt;&gt;"""", F13632=""""), ""真實支出"",
  AND(E13632="""", F13632&lt;&gt;""""), ""真實收入"",
  TRUE, ""其他""
)"),"其他")</f>
        <v>其他</v>
      </c>
      <c r="K13632" s="270" t="str">
        <f t="shared" si="2"/>
        <v/>
      </c>
      <c r="L13632">
        <f t="shared" si="3"/>
        <v>0</v>
      </c>
    </row>
    <row r="13633">
      <c r="A13633" s="107"/>
      <c r="D13633" s="270"/>
      <c r="H13633" s="106" t="str">
        <f t="shared" si="1"/>
        <v/>
      </c>
      <c r="J13633" t="str">
        <f>IFERROR(__xludf.DUMMYFUNCTION("IFS(
  AND(REGEXMATCH(E13633, ""台銀籌備帳戶|玉山帳戶""), REGEXMATCH(C13633, ""薪資"")), ""分潤支出"",
  AND(REGEXMATCH(E13633, ""Ben帳戶|Elsa帳戶|Ben代墊|Ariel代墊|中信銀行共用""), REGEXMATCH(F13633, ""Ben帳戶|Elsa帳戶|Ben代墊|Ariel代墊|中信銀行共用"")), ""內部轉帳(忽略)"",
  AND(E13633&lt;&gt;"""", F13633&lt;&gt;"&amp;""""", NOT(REGEXMATCH(C13633, ""薪資""))), ""內部轉帳(忽略)"",
  REGEXMATCH(C13633, ""薪資""), ""薪資變動(不計入)"",
  REGEXMATCH(C13633, ""押金""), ""押金往來"",
  AND(E13633&lt;&gt;"""", F13633=""""), ""真實支出"",
  AND(E13633="""", F13633&lt;&gt;""""), ""真實收入"",
  TRUE, ""其他""
)"),"其他")</f>
        <v>其他</v>
      </c>
      <c r="K13633" s="270" t="str">
        <f t="shared" si="2"/>
        <v/>
      </c>
      <c r="L13633">
        <f t="shared" si="3"/>
        <v>0</v>
      </c>
    </row>
    <row r="13634">
      <c r="A13634" s="107"/>
      <c r="D13634" s="270"/>
      <c r="H13634" s="106" t="str">
        <f t="shared" si="1"/>
        <v/>
      </c>
      <c r="J13634" t="str">
        <f>IFERROR(__xludf.DUMMYFUNCTION("IFS(
  AND(REGEXMATCH(E13634, ""台銀籌備帳戶|玉山帳戶""), REGEXMATCH(C13634, ""薪資"")), ""分潤支出"",
  AND(REGEXMATCH(E13634, ""Ben帳戶|Elsa帳戶|Ben代墊|Ariel代墊|中信銀行共用""), REGEXMATCH(F13634, ""Ben帳戶|Elsa帳戶|Ben代墊|Ariel代墊|中信銀行共用"")), ""內部轉帳(忽略)"",
  AND(E13634&lt;&gt;"""", F13634&lt;&gt;"&amp;""""", NOT(REGEXMATCH(C13634, ""薪資""))), ""內部轉帳(忽略)"",
  REGEXMATCH(C13634, ""薪資""), ""薪資變動(不計入)"",
  REGEXMATCH(C13634, ""押金""), ""押金往來"",
  AND(E13634&lt;&gt;"""", F13634=""""), ""真實支出"",
  AND(E13634="""", F13634&lt;&gt;""""), ""真實收入"",
  TRUE, ""其他""
)"),"其他")</f>
        <v>其他</v>
      </c>
      <c r="K13634" s="270" t="str">
        <f t="shared" si="2"/>
        <v/>
      </c>
      <c r="L13634">
        <f t="shared" si="3"/>
        <v>0</v>
      </c>
    </row>
    <row r="13635">
      <c r="A13635" s="107"/>
      <c r="D13635" s="270"/>
      <c r="H13635" s="106" t="str">
        <f t="shared" si="1"/>
        <v/>
      </c>
      <c r="J13635" t="str">
        <f>IFERROR(__xludf.DUMMYFUNCTION("IFS(
  AND(REGEXMATCH(E13635, ""台銀籌備帳戶|玉山帳戶""), REGEXMATCH(C13635, ""薪資"")), ""分潤支出"",
  AND(REGEXMATCH(E13635, ""Ben帳戶|Elsa帳戶|Ben代墊|Ariel代墊|中信銀行共用""), REGEXMATCH(F13635, ""Ben帳戶|Elsa帳戶|Ben代墊|Ariel代墊|中信銀行共用"")), ""內部轉帳(忽略)"",
  AND(E13635&lt;&gt;"""", F13635&lt;&gt;"&amp;""""", NOT(REGEXMATCH(C13635, ""薪資""))), ""內部轉帳(忽略)"",
  REGEXMATCH(C13635, ""薪資""), ""薪資變動(不計入)"",
  REGEXMATCH(C13635, ""押金""), ""押金往來"",
  AND(E13635&lt;&gt;"""", F13635=""""), ""真實支出"",
  AND(E13635="""", F13635&lt;&gt;""""), ""真實收入"",
  TRUE, ""其他""
)"),"其他")</f>
        <v>其他</v>
      </c>
      <c r="K13635" s="270" t="str">
        <f t="shared" si="2"/>
        <v/>
      </c>
      <c r="L13635">
        <f t="shared" si="3"/>
        <v>0</v>
      </c>
    </row>
    <row r="13636">
      <c r="A13636" s="107"/>
      <c r="D13636" s="270"/>
      <c r="H13636" s="106" t="str">
        <f t="shared" si="1"/>
        <v/>
      </c>
      <c r="J13636" t="str">
        <f>IFERROR(__xludf.DUMMYFUNCTION("IFS(
  AND(REGEXMATCH(E13636, ""台銀籌備帳戶|玉山帳戶""), REGEXMATCH(C13636, ""薪資"")), ""分潤支出"",
  AND(REGEXMATCH(E13636, ""Ben帳戶|Elsa帳戶|Ben代墊|Ariel代墊|中信銀行共用""), REGEXMATCH(F13636, ""Ben帳戶|Elsa帳戶|Ben代墊|Ariel代墊|中信銀行共用"")), ""內部轉帳(忽略)"",
  AND(E13636&lt;&gt;"""", F13636&lt;&gt;"&amp;""""", NOT(REGEXMATCH(C13636, ""薪資""))), ""內部轉帳(忽略)"",
  REGEXMATCH(C13636, ""薪資""), ""薪資變動(不計入)"",
  REGEXMATCH(C13636, ""押金""), ""押金往來"",
  AND(E13636&lt;&gt;"""", F13636=""""), ""真實支出"",
  AND(E13636="""", F13636&lt;&gt;""""), ""真實收入"",
  TRUE, ""其他""
)"),"其他")</f>
        <v>其他</v>
      </c>
      <c r="K13636" s="270" t="str">
        <f t="shared" si="2"/>
        <v/>
      </c>
      <c r="L13636">
        <f t="shared" si="3"/>
        <v>0</v>
      </c>
    </row>
    <row r="13637">
      <c r="A13637" s="107"/>
      <c r="D13637" s="270"/>
      <c r="H13637" s="106" t="str">
        <f t="shared" si="1"/>
        <v/>
      </c>
      <c r="J13637" t="str">
        <f>IFERROR(__xludf.DUMMYFUNCTION("IFS(
  AND(REGEXMATCH(E13637, ""台銀籌備帳戶|玉山帳戶""), REGEXMATCH(C13637, ""薪資"")), ""分潤支出"",
  AND(REGEXMATCH(E13637, ""Ben帳戶|Elsa帳戶|Ben代墊|Ariel代墊|中信銀行共用""), REGEXMATCH(F13637, ""Ben帳戶|Elsa帳戶|Ben代墊|Ariel代墊|中信銀行共用"")), ""內部轉帳(忽略)"",
  AND(E13637&lt;&gt;"""", F13637&lt;&gt;"&amp;""""", NOT(REGEXMATCH(C13637, ""薪資""))), ""內部轉帳(忽略)"",
  REGEXMATCH(C13637, ""薪資""), ""薪資變動(不計入)"",
  REGEXMATCH(C13637, ""押金""), ""押金往來"",
  AND(E13637&lt;&gt;"""", F13637=""""), ""真實支出"",
  AND(E13637="""", F13637&lt;&gt;""""), ""真實收入"",
  TRUE, ""其他""
)"),"其他")</f>
        <v>其他</v>
      </c>
      <c r="K13637" s="270" t="str">
        <f t="shared" si="2"/>
        <v/>
      </c>
      <c r="L13637">
        <f t="shared" si="3"/>
        <v>0</v>
      </c>
    </row>
    <row r="13638">
      <c r="A13638" s="107"/>
      <c r="D13638" s="270"/>
      <c r="H13638" s="106" t="str">
        <f t="shared" si="1"/>
        <v/>
      </c>
      <c r="J13638" t="str">
        <f>IFERROR(__xludf.DUMMYFUNCTION("IFS(
  AND(REGEXMATCH(E13638, ""台銀籌備帳戶|玉山帳戶""), REGEXMATCH(C13638, ""薪資"")), ""分潤支出"",
  AND(REGEXMATCH(E13638, ""Ben帳戶|Elsa帳戶|Ben代墊|Ariel代墊|中信銀行共用""), REGEXMATCH(F13638, ""Ben帳戶|Elsa帳戶|Ben代墊|Ariel代墊|中信銀行共用"")), ""內部轉帳(忽略)"",
  AND(E13638&lt;&gt;"""", F13638&lt;&gt;"&amp;""""", NOT(REGEXMATCH(C13638, ""薪資""))), ""內部轉帳(忽略)"",
  REGEXMATCH(C13638, ""薪資""), ""薪資變動(不計入)"",
  REGEXMATCH(C13638, ""押金""), ""押金往來"",
  AND(E13638&lt;&gt;"""", F13638=""""), ""真實支出"",
  AND(E13638="""", F13638&lt;&gt;""""), ""真實收入"",
  TRUE, ""其他""
)"),"其他")</f>
        <v>其他</v>
      </c>
      <c r="K13638" s="270" t="str">
        <f t="shared" si="2"/>
        <v/>
      </c>
      <c r="L13638">
        <f t="shared" si="3"/>
        <v>0</v>
      </c>
    </row>
    <row r="13639">
      <c r="A13639" s="107"/>
      <c r="D13639" s="270"/>
      <c r="H13639" s="106" t="str">
        <f t="shared" si="1"/>
        <v/>
      </c>
      <c r="J13639" t="str">
        <f>IFERROR(__xludf.DUMMYFUNCTION("IFS(
  AND(REGEXMATCH(E13639, ""台銀籌備帳戶|玉山帳戶""), REGEXMATCH(C13639, ""薪資"")), ""分潤支出"",
  AND(REGEXMATCH(E13639, ""Ben帳戶|Elsa帳戶|Ben代墊|Ariel代墊|中信銀行共用""), REGEXMATCH(F13639, ""Ben帳戶|Elsa帳戶|Ben代墊|Ariel代墊|中信銀行共用"")), ""內部轉帳(忽略)"",
  AND(E13639&lt;&gt;"""", F13639&lt;&gt;"&amp;""""", NOT(REGEXMATCH(C13639, ""薪資""))), ""內部轉帳(忽略)"",
  REGEXMATCH(C13639, ""薪資""), ""薪資變動(不計入)"",
  REGEXMATCH(C13639, ""押金""), ""押金往來"",
  AND(E13639&lt;&gt;"""", F13639=""""), ""真實支出"",
  AND(E13639="""", F13639&lt;&gt;""""), ""真實收入"",
  TRUE, ""其他""
)"),"其他")</f>
        <v>其他</v>
      </c>
      <c r="K13639" s="270" t="str">
        <f t="shared" si="2"/>
        <v/>
      </c>
      <c r="L13639">
        <f t="shared" si="3"/>
        <v>0</v>
      </c>
    </row>
    <row r="13640">
      <c r="A13640" s="107"/>
      <c r="D13640" s="270"/>
      <c r="H13640" s="106" t="str">
        <f t="shared" si="1"/>
        <v/>
      </c>
      <c r="J13640" t="str">
        <f>IFERROR(__xludf.DUMMYFUNCTION("IFS(
  AND(REGEXMATCH(E13640, ""台銀籌備帳戶|玉山帳戶""), REGEXMATCH(C13640, ""薪資"")), ""分潤支出"",
  AND(REGEXMATCH(E13640, ""Ben帳戶|Elsa帳戶|Ben代墊|Ariel代墊|中信銀行共用""), REGEXMATCH(F13640, ""Ben帳戶|Elsa帳戶|Ben代墊|Ariel代墊|中信銀行共用"")), ""內部轉帳(忽略)"",
  AND(E13640&lt;&gt;"""", F13640&lt;&gt;"&amp;""""", NOT(REGEXMATCH(C13640, ""薪資""))), ""內部轉帳(忽略)"",
  REGEXMATCH(C13640, ""薪資""), ""薪資變動(不計入)"",
  REGEXMATCH(C13640, ""押金""), ""押金往來"",
  AND(E13640&lt;&gt;"""", F13640=""""), ""真實支出"",
  AND(E13640="""", F13640&lt;&gt;""""), ""真實收入"",
  TRUE, ""其他""
)"),"其他")</f>
        <v>其他</v>
      </c>
      <c r="K13640" s="270" t="str">
        <f t="shared" si="2"/>
        <v/>
      </c>
      <c r="L13640">
        <f t="shared" si="3"/>
        <v>0</v>
      </c>
    </row>
    <row r="13641">
      <c r="A13641" s="107"/>
      <c r="D13641" s="270"/>
      <c r="H13641" s="106" t="str">
        <f t="shared" si="1"/>
        <v/>
      </c>
      <c r="J13641" t="str">
        <f>IFERROR(__xludf.DUMMYFUNCTION("IFS(
  AND(REGEXMATCH(E13641, ""台銀籌備帳戶|玉山帳戶""), REGEXMATCH(C13641, ""薪資"")), ""分潤支出"",
  AND(REGEXMATCH(E13641, ""Ben帳戶|Elsa帳戶|Ben代墊|Ariel代墊|中信銀行共用""), REGEXMATCH(F13641, ""Ben帳戶|Elsa帳戶|Ben代墊|Ariel代墊|中信銀行共用"")), ""內部轉帳(忽略)"",
  AND(E13641&lt;&gt;"""", F13641&lt;&gt;"&amp;""""", NOT(REGEXMATCH(C13641, ""薪資""))), ""內部轉帳(忽略)"",
  REGEXMATCH(C13641, ""薪資""), ""薪資變動(不計入)"",
  REGEXMATCH(C13641, ""押金""), ""押金往來"",
  AND(E13641&lt;&gt;"""", F13641=""""), ""真實支出"",
  AND(E13641="""", F13641&lt;&gt;""""), ""真實收入"",
  TRUE, ""其他""
)"),"其他")</f>
        <v>其他</v>
      </c>
      <c r="K13641" s="270" t="str">
        <f t="shared" si="2"/>
        <v/>
      </c>
      <c r="L13641">
        <f t="shared" si="3"/>
        <v>0</v>
      </c>
    </row>
    <row r="13642">
      <c r="A13642" s="107"/>
      <c r="D13642" s="270"/>
      <c r="H13642" s="106" t="str">
        <f t="shared" si="1"/>
        <v/>
      </c>
      <c r="J13642" t="str">
        <f>IFERROR(__xludf.DUMMYFUNCTION("IFS(
  AND(REGEXMATCH(E13642, ""台銀籌備帳戶|玉山帳戶""), REGEXMATCH(C13642, ""薪資"")), ""分潤支出"",
  AND(REGEXMATCH(E13642, ""Ben帳戶|Elsa帳戶|Ben代墊|Ariel代墊|中信銀行共用""), REGEXMATCH(F13642, ""Ben帳戶|Elsa帳戶|Ben代墊|Ariel代墊|中信銀行共用"")), ""內部轉帳(忽略)"",
  AND(E13642&lt;&gt;"""", F13642&lt;&gt;"&amp;""""", NOT(REGEXMATCH(C13642, ""薪資""))), ""內部轉帳(忽略)"",
  REGEXMATCH(C13642, ""薪資""), ""薪資變動(不計入)"",
  REGEXMATCH(C13642, ""押金""), ""押金往來"",
  AND(E13642&lt;&gt;"""", F13642=""""), ""真實支出"",
  AND(E13642="""", F13642&lt;&gt;""""), ""真實收入"",
  TRUE, ""其他""
)"),"其他")</f>
        <v>其他</v>
      </c>
      <c r="K13642" s="270" t="str">
        <f t="shared" si="2"/>
        <v/>
      </c>
      <c r="L13642">
        <f t="shared" si="3"/>
        <v>0</v>
      </c>
    </row>
    <row r="13643">
      <c r="A13643" s="107"/>
      <c r="D13643" s="270"/>
      <c r="H13643" s="106" t="str">
        <f t="shared" si="1"/>
        <v/>
      </c>
      <c r="J13643" t="str">
        <f>IFERROR(__xludf.DUMMYFUNCTION("IFS(
  AND(REGEXMATCH(E13643, ""台銀籌備帳戶|玉山帳戶""), REGEXMATCH(C13643, ""薪資"")), ""分潤支出"",
  AND(REGEXMATCH(E13643, ""Ben帳戶|Elsa帳戶|Ben代墊|Ariel代墊|中信銀行共用""), REGEXMATCH(F13643, ""Ben帳戶|Elsa帳戶|Ben代墊|Ariel代墊|中信銀行共用"")), ""內部轉帳(忽略)"",
  AND(E13643&lt;&gt;"""", F13643&lt;&gt;"&amp;""""", NOT(REGEXMATCH(C13643, ""薪資""))), ""內部轉帳(忽略)"",
  REGEXMATCH(C13643, ""薪資""), ""薪資變動(不計入)"",
  REGEXMATCH(C13643, ""押金""), ""押金往來"",
  AND(E13643&lt;&gt;"""", F13643=""""), ""真實支出"",
  AND(E13643="""", F13643&lt;&gt;""""), ""真實收入"",
  TRUE, ""其他""
)"),"其他")</f>
        <v>其他</v>
      </c>
      <c r="K13643" s="270" t="str">
        <f t="shared" si="2"/>
        <v/>
      </c>
      <c r="L13643">
        <f t="shared" si="3"/>
        <v>0</v>
      </c>
    </row>
    <row r="13644">
      <c r="A13644" s="107"/>
      <c r="D13644" s="270"/>
      <c r="H13644" s="106" t="str">
        <f t="shared" si="1"/>
        <v/>
      </c>
      <c r="J13644" t="str">
        <f>IFERROR(__xludf.DUMMYFUNCTION("IFS(
  AND(REGEXMATCH(E13644, ""台銀籌備帳戶|玉山帳戶""), REGEXMATCH(C13644, ""薪資"")), ""分潤支出"",
  AND(REGEXMATCH(E13644, ""Ben帳戶|Elsa帳戶|Ben代墊|Ariel代墊|中信銀行共用""), REGEXMATCH(F13644, ""Ben帳戶|Elsa帳戶|Ben代墊|Ariel代墊|中信銀行共用"")), ""內部轉帳(忽略)"",
  AND(E13644&lt;&gt;"""", F13644&lt;&gt;"&amp;""""", NOT(REGEXMATCH(C13644, ""薪資""))), ""內部轉帳(忽略)"",
  REGEXMATCH(C13644, ""薪資""), ""薪資變動(不計入)"",
  REGEXMATCH(C13644, ""押金""), ""押金往來"",
  AND(E13644&lt;&gt;"""", F13644=""""), ""真實支出"",
  AND(E13644="""", F13644&lt;&gt;""""), ""真實收入"",
  TRUE, ""其他""
)"),"其他")</f>
        <v>其他</v>
      </c>
      <c r="K13644" s="270" t="str">
        <f t="shared" si="2"/>
        <v/>
      </c>
      <c r="L13644">
        <f t="shared" si="3"/>
        <v>0</v>
      </c>
    </row>
    <row r="13645">
      <c r="A13645" s="107"/>
      <c r="D13645" s="270"/>
      <c r="H13645" s="106" t="str">
        <f t="shared" si="1"/>
        <v/>
      </c>
      <c r="J13645" t="str">
        <f>IFERROR(__xludf.DUMMYFUNCTION("IFS(
  AND(REGEXMATCH(E13645, ""台銀籌備帳戶|玉山帳戶""), REGEXMATCH(C13645, ""薪資"")), ""分潤支出"",
  AND(REGEXMATCH(E13645, ""Ben帳戶|Elsa帳戶|Ben代墊|Ariel代墊|中信銀行共用""), REGEXMATCH(F13645, ""Ben帳戶|Elsa帳戶|Ben代墊|Ariel代墊|中信銀行共用"")), ""內部轉帳(忽略)"",
  AND(E13645&lt;&gt;"""", F13645&lt;&gt;"&amp;""""", NOT(REGEXMATCH(C13645, ""薪資""))), ""內部轉帳(忽略)"",
  REGEXMATCH(C13645, ""薪資""), ""薪資變動(不計入)"",
  REGEXMATCH(C13645, ""押金""), ""押金往來"",
  AND(E13645&lt;&gt;"""", F13645=""""), ""真實支出"",
  AND(E13645="""", F13645&lt;&gt;""""), ""真實收入"",
  TRUE, ""其他""
)"),"其他")</f>
        <v>其他</v>
      </c>
      <c r="K13645" s="270" t="str">
        <f t="shared" si="2"/>
        <v/>
      </c>
      <c r="L13645">
        <f t="shared" si="3"/>
        <v>0</v>
      </c>
    </row>
    <row r="13646">
      <c r="A13646" s="107"/>
      <c r="D13646" s="270"/>
      <c r="H13646" s="106" t="str">
        <f t="shared" si="1"/>
        <v/>
      </c>
      <c r="J13646" t="str">
        <f>IFERROR(__xludf.DUMMYFUNCTION("IFS(
  AND(REGEXMATCH(E13646, ""台銀籌備帳戶|玉山帳戶""), REGEXMATCH(C13646, ""薪資"")), ""分潤支出"",
  AND(REGEXMATCH(E13646, ""Ben帳戶|Elsa帳戶|Ben代墊|Ariel代墊|中信銀行共用""), REGEXMATCH(F13646, ""Ben帳戶|Elsa帳戶|Ben代墊|Ariel代墊|中信銀行共用"")), ""內部轉帳(忽略)"",
  AND(E13646&lt;&gt;"""", F13646&lt;&gt;"&amp;""""", NOT(REGEXMATCH(C13646, ""薪資""))), ""內部轉帳(忽略)"",
  REGEXMATCH(C13646, ""薪資""), ""薪資變動(不計入)"",
  REGEXMATCH(C13646, ""押金""), ""押金往來"",
  AND(E13646&lt;&gt;"""", F13646=""""), ""真實支出"",
  AND(E13646="""", F13646&lt;&gt;""""), ""真實收入"",
  TRUE, ""其他""
)"),"其他")</f>
        <v>其他</v>
      </c>
      <c r="K13646" s="270" t="str">
        <f t="shared" si="2"/>
        <v/>
      </c>
      <c r="L13646">
        <f t="shared" si="3"/>
        <v>0</v>
      </c>
    </row>
    <row r="13647">
      <c r="A13647" s="107"/>
      <c r="D13647" s="270"/>
      <c r="H13647" s="106" t="str">
        <f t="shared" si="1"/>
        <v/>
      </c>
      <c r="J13647" t="str">
        <f>IFERROR(__xludf.DUMMYFUNCTION("IFS(
  AND(REGEXMATCH(E13647, ""台銀籌備帳戶|玉山帳戶""), REGEXMATCH(C13647, ""薪資"")), ""分潤支出"",
  AND(REGEXMATCH(E13647, ""Ben帳戶|Elsa帳戶|Ben代墊|Ariel代墊|中信銀行共用""), REGEXMATCH(F13647, ""Ben帳戶|Elsa帳戶|Ben代墊|Ariel代墊|中信銀行共用"")), ""內部轉帳(忽略)"",
  AND(E13647&lt;&gt;"""", F13647&lt;&gt;"&amp;""""", NOT(REGEXMATCH(C13647, ""薪資""))), ""內部轉帳(忽略)"",
  REGEXMATCH(C13647, ""薪資""), ""薪資變動(不計入)"",
  REGEXMATCH(C13647, ""押金""), ""押金往來"",
  AND(E13647&lt;&gt;"""", F13647=""""), ""真實支出"",
  AND(E13647="""", F13647&lt;&gt;""""), ""真實收入"",
  TRUE, ""其他""
)"),"其他")</f>
        <v>其他</v>
      </c>
      <c r="K13647" s="270" t="str">
        <f t="shared" si="2"/>
        <v/>
      </c>
      <c r="L13647">
        <f t="shared" si="3"/>
        <v>0</v>
      </c>
    </row>
    <row r="13648">
      <c r="A13648" s="107"/>
      <c r="D13648" s="270"/>
      <c r="H13648" s="106" t="str">
        <f t="shared" si="1"/>
        <v/>
      </c>
      <c r="J13648" t="str">
        <f>IFERROR(__xludf.DUMMYFUNCTION("IFS(
  AND(REGEXMATCH(E13648, ""台銀籌備帳戶|玉山帳戶""), REGEXMATCH(C13648, ""薪資"")), ""分潤支出"",
  AND(REGEXMATCH(E13648, ""Ben帳戶|Elsa帳戶|Ben代墊|Ariel代墊|中信銀行共用""), REGEXMATCH(F13648, ""Ben帳戶|Elsa帳戶|Ben代墊|Ariel代墊|中信銀行共用"")), ""內部轉帳(忽略)"",
  AND(E13648&lt;&gt;"""", F13648&lt;&gt;"&amp;""""", NOT(REGEXMATCH(C13648, ""薪資""))), ""內部轉帳(忽略)"",
  REGEXMATCH(C13648, ""薪資""), ""薪資變動(不計入)"",
  REGEXMATCH(C13648, ""押金""), ""押金往來"",
  AND(E13648&lt;&gt;"""", F13648=""""), ""真實支出"",
  AND(E13648="""", F13648&lt;&gt;""""), ""真實收入"",
  TRUE, ""其他""
)"),"其他")</f>
        <v>其他</v>
      </c>
      <c r="K13648" s="270" t="str">
        <f t="shared" si="2"/>
        <v/>
      </c>
      <c r="L13648">
        <f t="shared" si="3"/>
        <v>0</v>
      </c>
    </row>
    <row r="13649">
      <c r="A13649" s="107"/>
      <c r="D13649" s="270"/>
      <c r="H13649" s="106" t="str">
        <f t="shared" si="1"/>
        <v/>
      </c>
      <c r="J13649" t="str">
        <f>IFERROR(__xludf.DUMMYFUNCTION("IFS(
  AND(REGEXMATCH(E13649, ""台銀籌備帳戶|玉山帳戶""), REGEXMATCH(C13649, ""薪資"")), ""分潤支出"",
  AND(REGEXMATCH(E13649, ""Ben帳戶|Elsa帳戶|Ben代墊|Ariel代墊|中信銀行共用""), REGEXMATCH(F13649, ""Ben帳戶|Elsa帳戶|Ben代墊|Ariel代墊|中信銀行共用"")), ""內部轉帳(忽略)"",
  AND(E13649&lt;&gt;"""", F13649&lt;&gt;"&amp;""""", NOT(REGEXMATCH(C13649, ""薪資""))), ""內部轉帳(忽略)"",
  REGEXMATCH(C13649, ""薪資""), ""薪資變動(不計入)"",
  REGEXMATCH(C13649, ""押金""), ""押金往來"",
  AND(E13649&lt;&gt;"""", F13649=""""), ""真實支出"",
  AND(E13649="""", F13649&lt;&gt;""""), ""真實收入"",
  TRUE, ""其他""
)"),"其他")</f>
        <v>其他</v>
      </c>
      <c r="K13649" s="270" t="str">
        <f t="shared" si="2"/>
        <v/>
      </c>
      <c r="L13649">
        <f t="shared" si="3"/>
        <v>0</v>
      </c>
    </row>
    <row r="13650">
      <c r="A13650" s="107"/>
      <c r="D13650" s="270"/>
      <c r="H13650" s="106" t="str">
        <f t="shared" si="1"/>
        <v/>
      </c>
      <c r="J13650" t="str">
        <f>IFERROR(__xludf.DUMMYFUNCTION("IFS(
  AND(REGEXMATCH(E13650, ""台銀籌備帳戶|玉山帳戶""), REGEXMATCH(C13650, ""薪資"")), ""分潤支出"",
  AND(REGEXMATCH(E13650, ""Ben帳戶|Elsa帳戶|Ben代墊|Ariel代墊|中信銀行共用""), REGEXMATCH(F13650, ""Ben帳戶|Elsa帳戶|Ben代墊|Ariel代墊|中信銀行共用"")), ""內部轉帳(忽略)"",
  AND(E13650&lt;&gt;"""", F13650&lt;&gt;"&amp;""""", NOT(REGEXMATCH(C13650, ""薪資""))), ""內部轉帳(忽略)"",
  REGEXMATCH(C13650, ""薪資""), ""薪資變動(不計入)"",
  REGEXMATCH(C13650, ""押金""), ""押金往來"",
  AND(E13650&lt;&gt;"""", F13650=""""), ""真實支出"",
  AND(E13650="""", F13650&lt;&gt;""""), ""真實收入"",
  TRUE, ""其他""
)"),"其他")</f>
        <v>其他</v>
      </c>
      <c r="K13650" s="270" t="str">
        <f t="shared" si="2"/>
        <v/>
      </c>
      <c r="L13650">
        <f t="shared" si="3"/>
        <v>0</v>
      </c>
    </row>
    <row r="13651">
      <c r="A13651" s="107"/>
      <c r="D13651" s="270"/>
      <c r="H13651" s="106" t="str">
        <f t="shared" si="1"/>
        <v/>
      </c>
      <c r="J13651" t="str">
        <f>IFERROR(__xludf.DUMMYFUNCTION("IFS(
  AND(REGEXMATCH(E13651, ""台銀籌備帳戶|玉山帳戶""), REGEXMATCH(C13651, ""薪資"")), ""分潤支出"",
  AND(REGEXMATCH(E13651, ""Ben帳戶|Elsa帳戶|Ben代墊|Ariel代墊|中信銀行共用""), REGEXMATCH(F13651, ""Ben帳戶|Elsa帳戶|Ben代墊|Ariel代墊|中信銀行共用"")), ""內部轉帳(忽略)"",
  AND(E13651&lt;&gt;"""", F13651&lt;&gt;"&amp;""""", NOT(REGEXMATCH(C13651, ""薪資""))), ""內部轉帳(忽略)"",
  REGEXMATCH(C13651, ""薪資""), ""薪資變動(不計入)"",
  REGEXMATCH(C13651, ""押金""), ""押金往來"",
  AND(E13651&lt;&gt;"""", F13651=""""), ""真實支出"",
  AND(E13651="""", F13651&lt;&gt;""""), ""真實收入"",
  TRUE, ""其他""
)"),"其他")</f>
        <v>其他</v>
      </c>
      <c r="K13651" s="270" t="str">
        <f t="shared" si="2"/>
        <v/>
      </c>
      <c r="L13651">
        <f t="shared" si="3"/>
        <v>0</v>
      </c>
    </row>
    <row r="13652">
      <c r="A13652" s="107"/>
      <c r="D13652" s="270"/>
      <c r="H13652" s="106" t="str">
        <f t="shared" si="1"/>
        <v/>
      </c>
      <c r="J13652" t="str">
        <f>IFERROR(__xludf.DUMMYFUNCTION("IFS(
  AND(REGEXMATCH(E13652, ""台銀籌備帳戶|玉山帳戶""), REGEXMATCH(C13652, ""薪資"")), ""分潤支出"",
  AND(REGEXMATCH(E13652, ""Ben帳戶|Elsa帳戶|Ben代墊|Ariel代墊|中信銀行共用""), REGEXMATCH(F13652, ""Ben帳戶|Elsa帳戶|Ben代墊|Ariel代墊|中信銀行共用"")), ""內部轉帳(忽略)"",
  AND(E13652&lt;&gt;"""", F13652&lt;&gt;"&amp;""""", NOT(REGEXMATCH(C13652, ""薪資""))), ""內部轉帳(忽略)"",
  REGEXMATCH(C13652, ""薪資""), ""薪資變動(不計入)"",
  REGEXMATCH(C13652, ""押金""), ""押金往來"",
  AND(E13652&lt;&gt;"""", F13652=""""), ""真實支出"",
  AND(E13652="""", F13652&lt;&gt;""""), ""真實收入"",
  TRUE, ""其他""
)"),"其他")</f>
        <v>其他</v>
      </c>
      <c r="K13652" s="270" t="str">
        <f t="shared" si="2"/>
        <v/>
      </c>
      <c r="L13652">
        <f t="shared" si="3"/>
        <v>0</v>
      </c>
    </row>
    <row r="13653">
      <c r="A13653" s="107"/>
      <c r="D13653" s="270"/>
      <c r="H13653" s="106" t="str">
        <f t="shared" si="1"/>
        <v/>
      </c>
      <c r="J13653" t="str">
        <f>IFERROR(__xludf.DUMMYFUNCTION("IFS(
  AND(REGEXMATCH(E13653, ""台銀籌備帳戶|玉山帳戶""), REGEXMATCH(C13653, ""薪資"")), ""分潤支出"",
  AND(REGEXMATCH(E13653, ""Ben帳戶|Elsa帳戶|Ben代墊|Ariel代墊|中信銀行共用""), REGEXMATCH(F13653, ""Ben帳戶|Elsa帳戶|Ben代墊|Ariel代墊|中信銀行共用"")), ""內部轉帳(忽略)"",
  AND(E13653&lt;&gt;"""", F13653&lt;&gt;"&amp;""""", NOT(REGEXMATCH(C13653, ""薪資""))), ""內部轉帳(忽略)"",
  REGEXMATCH(C13653, ""薪資""), ""薪資變動(不計入)"",
  REGEXMATCH(C13653, ""押金""), ""押金往來"",
  AND(E13653&lt;&gt;"""", F13653=""""), ""真實支出"",
  AND(E13653="""", F13653&lt;&gt;""""), ""真實收入"",
  TRUE, ""其他""
)"),"其他")</f>
        <v>其他</v>
      </c>
      <c r="K13653" s="270" t="str">
        <f t="shared" si="2"/>
        <v/>
      </c>
      <c r="L13653">
        <f t="shared" si="3"/>
        <v>0</v>
      </c>
    </row>
    <row r="13654">
      <c r="A13654" s="107"/>
      <c r="D13654" s="270"/>
      <c r="H13654" s="106" t="str">
        <f t="shared" si="1"/>
        <v/>
      </c>
      <c r="J13654" t="str">
        <f>IFERROR(__xludf.DUMMYFUNCTION("IFS(
  AND(REGEXMATCH(E13654, ""台銀籌備帳戶|玉山帳戶""), REGEXMATCH(C13654, ""薪資"")), ""分潤支出"",
  AND(REGEXMATCH(E13654, ""Ben帳戶|Elsa帳戶|Ben代墊|Ariel代墊|中信銀行共用""), REGEXMATCH(F13654, ""Ben帳戶|Elsa帳戶|Ben代墊|Ariel代墊|中信銀行共用"")), ""內部轉帳(忽略)"",
  AND(E13654&lt;&gt;"""", F13654&lt;&gt;"&amp;""""", NOT(REGEXMATCH(C13654, ""薪資""))), ""內部轉帳(忽略)"",
  REGEXMATCH(C13654, ""薪資""), ""薪資變動(不計入)"",
  REGEXMATCH(C13654, ""押金""), ""押金往來"",
  AND(E13654&lt;&gt;"""", F13654=""""), ""真實支出"",
  AND(E13654="""", F13654&lt;&gt;""""), ""真實收入"",
  TRUE, ""其他""
)"),"其他")</f>
        <v>其他</v>
      </c>
      <c r="K13654" s="270" t="str">
        <f t="shared" si="2"/>
        <v/>
      </c>
      <c r="L13654">
        <f t="shared" si="3"/>
        <v>0</v>
      </c>
    </row>
    <row r="13655">
      <c r="A13655" s="107"/>
      <c r="D13655" s="270"/>
      <c r="H13655" s="106" t="str">
        <f t="shared" si="1"/>
        <v/>
      </c>
      <c r="J13655" t="str">
        <f>IFERROR(__xludf.DUMMYFUNCTION("IFS(
  AND(REGEXMATCH(E13655, ""台銀籌備帳戶|玉山帳戶""), REGEXMATCH(C13655, ""薪資"")), ""分潤支出"",
  AND(REGEXMATCH(E13655, ""Ben帳戶|Elsa帳戶|Ben代墊|Ariel代墊|中信銀行共用""), REGEXMATCH(F13655, ""Ben帳戶|Elsa帳戶|Ben代墊|Ariel代墊|中信銀行共用"")), ""內部轉帳(忽略)"",
  AND(E13655&lt;&gt;"""", F13655&lt;&gt;"&amp;""""", NOT(REGEXMATCH(C13655, ""薪資""))), ""內部轉帳(忽略)"",
  REGEXMATCH(C13655, ""薪資""), ""薪資變動(不計入)"",
  REGEXMATCH(C13655, ""押金""), ""押金往來"",
  AND(E13655&lt;&gt;"""", F13655=""""), ""真實支出"",
  AND(E13655="""", F13655&lt;&gt;""""), ""真實收入"",
  TRUE, ""其他""
)"),"其他")</f>
        <v>其他</v>
      </c>
      <c r="K13655" s="270" t="str">
        <f t="shared" si="2"/>
        <v/>
      </c>
      <c r="L13655">
        <f t="shared" si="3"/>
        <v>0</v>
      </c>
    </row>
    <row r="13656">
      <c r="A13656" s="107"/>
      <c r="D13656" s="270"/>
      <c r="H13656" s="106" t="str">
        <f t="shared" si="1"/>
        <v/>
      </c>
      <c r="J13656" t="str">
        <f>IFERROR(__xludf.DUMMYFUNCTION("IFS(
  AND(REGEXMATCH(E13656, ""台銀籌備帳戶|玉山帳戶""), REGEXMATCH(C13656, ""薪資"")), ""分潤支出"",
  AND(REGEXMATCH(E13656, ""Ben帳戶|Elsa帳戶|Ben代墊|Ariel代墊|中信銀行共用""), REGEXMATCH(F13656, ""Ben帳戶|Elsa帳戶|Ben代墊|Ariel代墊|中信銀行共用"")), ""內部轉帳(忽略)"",
  AND(E13656&lt;&gt;"""", F13656&lt;&gt;"&amp;""""", NOT(REGEXMATCH(C13656, ""薪資""))), ""內部轉帳(忽略)"",
  REGEXMATCH(C13656, ""薪資""), ""薪資變動(不計入)"",
  REGEXMATCH(C13656, ""押金""), ""押金往來"",
  AND(E13656&lt;&gt;"""", F13656=""""), ""真實支出"",
  AND(E13656="""", F13656&lt;&gt;""""), ""真實收入"",
  TRUE, ""其他""
)"),"其他")</f>
        <v>其他</v>
      </c>
      <c r="K13656" s="270" t="str">
        <f t="shared" si="2"/>
        <v/>
      </c>
      <c r="L13656">
        <f t="shared" si="3"/>
        <v>0</v>
      </c>
    </row>
    <row r="13657">
      <c r="A13657" s="107"/>
      <c r="D13657" s="270"/>
      <c r="H13657" s="106" t="str">
        <f t="shared" si="1"/>
        <v/>
      </c>
      <c r="J13657" t="str">
        <f>IFERROR(__xludf.DUMMYFUNCTION("IFS(
  AND(REGEXMATCH(E13657, ""台銀籌備帳戶|玉山帳戶""), REGEXMATCH(C13657, ""薪資"")), ""分潤支出"",
  AND(REGEXMATCH(E13657, ""Ben帳戶|Elsa帳戶|Ben代墊|Ariel代墊|中信銀行共用""), REGEXMATCH(F13657, ""Ben帳戶|Elsa帳戶|Ben代墊|Ariel代墊|中信銀行共用"")), ""內部轉帳(忽略)"",
  AND(E13657&lt;&gt;"""", F13657&lt;&gt;"&amp;""""", NOT(REGEXMATCH(C13657, ""薪資""))), ""內部轉帳(忽略)"",
  REGEXMATCH(C13657, ""薪資""), ""薪資變動(不計入)"",
  REGEXMATCH(C13657, ""押金""), ""押金往來"",
  AND(E13657&lt;&gt;"""", F13657=""""), ""真實支出"",
  AND(E13657="""", F13657&lt;&gt;""""), ""真實收入"",
  TRUE, ""其他""
)"),"其他")</f>
        <v>其他</v>
      </c>
      <c r="K13657" s="270" t="str">
        <f t="shared" si="2"/>
        <v/>
      </c>
      <c r="L13657">
        <f t="shared" si="3"/>
        <v>0</v>
      </c>
    </row>
    <row r="13658">
      <c r="A13658" s="107"/>
      <c r="D13658" s="270"/>
      <c r="H13658" s="106" t="str">
        <f t="shared" si="1"/>
        <v/>
      </c>
      <c r="J13658" t="str">
        <f>IFERROR(__xludf.DUMMYFUNCTION("IFS(
  AND(REGEXMATCH(E13658, ""台銀籌備帳戶|玉山帳戶""), REGEXMATCH(C13658, ""薪資"")), ""分潤支出"",
  AND(REGEXMATCH(E13658, ""Ben帳戶|Elsa帳戶|Ben代墊|Ariel代墊|中信銀行共用""), REGEXMATCH(F13658, ""Ben帳戶|Elsa帳戶|Ben代墊|Ariel代墊|中信銀行共用"")), ""內部轉帳(忽略)"",
  AND(E13658&lt;&gt;"""", F13658&lt;&gt;"&amp;""""", NOT(REGEXMATCH(C13658, ""薪資""))), ""內部轉帳(忽略)"",
  REGEXMATCH(C13658, ""薪資""), ""薪資變動(不計入)"",
  REGEXMATCH(C13658, ""押金""), ""押金往來"",
  AND(E13658&lt;&gt;"""", F13658=""""), ""真實支出"",
  AND(E13658="""", F13658&lt;&gt;""""), ""真實收入"",
  TRUE, ""其他""
)"),"其他")</f>
        <v>其他</v>
      </c>
      <c r="K13658" s="270" t="str">
        <f t="shared" si="2"/>
        <v/>
      </c>
      <c r="L13658">
        <f t="shared" si="3"/>
        <v>0</v>
      </c>
    </row>
    <row r="13659">
      <c r="A13659" s="107"/>
      <c r="D13659" s="270"/>
      <c r="H13659" s="106" t="str">
        <f t="shared" si="1"/>
        <v/>
      </c>
      <c r="J13659" t="str">
        <f>IFERROR(__xludf.DUMMYFUNCTION("IFS(
  AND(REGEXMATCH(E13659, ""台銀籌備帳戶|玉山帳戶""), REGEXMATCH(C13659, ""薪資"")), ""分潤支出"",
  AND(REGEXMATCH(E13659, ""Ben帳戶|Elsa帳戶|Ben代墊|Ariel代墊|中信銀行共用""), REGEXMATCH(F13659, ""Ben帳戶|Elsa帳戶|Ben代墊|Ariel代墊|中信銀行共用"")), ""內部轉帳(忽略)"",
  AND(E13659&lt;&gt;"""", F13659&lt;&gt;"&amp;""""", NOT(REGEXMATCH(C13659, ""薪資""))), ""內部轉帳(忽略)"",
  REGEXMATCH(C13659, ""薪資""), ""薪資變動(不計入)"",
  REGEXMATCH(C13659, ""押金""), ""押金往來"",
  AND(E13659&lt;&gt;"""", F13659=""""), ""真實支出"",
  AND(E13659="""", F13659&lt;&gt;""""), ""真實收入"",
  TRUE, ""其他""
)"),"其他")</f>
        <v>其他</v>
      </c>
      <c r="K13659" s="270" t="str">
        <f t="shared" si="2"/>
        <v/>
      </c>
      <c r="L13659">
        <f t="shared" si="3"/>
        <v>0</v>
      </c>
    </row>
    <row r="13660">
      <c r="A13660" s="107"/>
      <c r="D13660" s="270"/>
      <c r="H13660" s="106" t="str">
        <f t="shared" si="1"/>
        <v/>
      </c>
      <c r="J13660" t="str">
        <f>IFERROR(__xludf.DUMMYFUNCTION("IFS(
  AND(REGEXMATCH(E13660, ""台銀籌備帳戶|玉山帳戶""), REGEXMATCH(C13660, ""薪資"")), ""分潤支出"",
  AND(REGEXMATCH(E13660, ""Ben帳戶|Elsa帳戶|Ben代墊|Ariel代墊|中信銀行共用""), REGEXMATCH(F13660, ""Ben帳戶|Elsa帳戶|Ben代墊|Ariel代墊|中信銀行共用"")), ""內部轉帳(忽略)"",
  AND(E13660&lt;&gt;"""", F13660&lt;&gt;"&amp;""""", NOT(REGEXMATCH(C13660, ""薪資""))), ""內部轉帳(忽略)"",
  REGEXMATCH(C13660, ""薪資""), ""薪資變動(不計入)"",
  REGEXMATCH(C13660, ""押金""), ""押金往來"",
  AND(E13660&lt;&gt;"""", F13660=""""), ""真實支出"",
  AND(E13660="""", F13660&lt;&gt;""""), ""真實收入"",
  TRUE, ""其他""
)"),"其他")</f>
        <v>其他</v>
      </c>
      <c r="K13660" s="270" t="str">
        <f t="shared" si="2"/>
        <v/>
      </c>
      <c r="L13660">
        <f t="shared" si="3"/>
        <v>0</v>
      </c>
    </row>
    <row r="13661">
      <c r="A13661" s="107"/>
      <c r="D13661" s="270"/>
      <c r="H13661" s="106" t="str">
        <f t="shared" si="1"/>
        <v/>
      </c>
      <c r="J13661" t="str">
        <f>IFERROR(__xludf.DUMMYFUNCTION("IFS(
  AND(REGEXMATCH(E13661, ""台銀籌備帳戶|玉山帳戶""), REGEXMATCH(C13661, ""薪資"")), ""分潤支出"",
  AND(REGEXMATCH(E13661, ""Ben帳戶|Elsa帳戶|Ben代墊|Ariel代墊|中信銀行共用""), REGEXMATCH(F13661, ""Ben帳戶|Elsa帳戶|Ben代墊|Ariel代墊|中信銀行共用"")), ""內部轉帳(忽略)"",
  AND(E13661&lt;&gt;"""", F13661&lt;&gt;"&amp;""""", NOT(REGEXMATCH(C13661, ""薪資""))), ""內部轉帳(忽略)"",
  REGEXMATCH(C13661, ""薪資""), ""薪資變動(不計入)"",
  REGEXMATCH(C13661, ""押金""), ""押金往來"",
  AND(E13661&lt;&gt;"""", F13661=""""), ""真實支出"",
  AND(E13661="""", F13661&lt;&gt;""""), ""真實收入"",
  TRUE, ""其他""
)"),"其他")</f>
        <v>其他</v>
      </c>
      <c r="K13661" s="270" t="str">
        <f t="shared" si="2"/>
        <v/>
      </c>
      <c r="L13661">
        <f t="shared" si="3"/>
        <v>0</v>
      </c>
    </row>
    <row r="13662">
      <c r="A13662" s="107"/>
      <c r="D13662" s="270"/>
      <c r="H13662" s="106" t="str">
        <f t="shared" si="1"/>
        <v/>
      </c>
      <c r="J13662" t="str">
        <f>IFERROR(__xludf.DUMMYFUNCTION("IFS(
  AND(REGEXMATCH(E13662, ""台銀籌備帳戶|玉山帳戶""), REGEXMATCH(C13662, ""薪資"")), ""分潤支出"",
  AND(REGEXMATCH(E13662, ""Ben帳戶|Elsa帳戶|Ben代墊|Ariel代墊|中信銀行共用""), REGEXMATCH(F13662, ""Ben帳戶|Elsa帳戶|Ben代墊|Ariel代墊|中信銀行共用"")), ""內部轉帳(忽略)"",
  AND(E13662&lt;&gt;"""", F13662&lt;&gt;"&amp;""""", NOT(REGEXMATCH(C13662, ""薪資""))), ""內部轉帳(忽略)"",
  REGEXMATCH(C13662, ""薪資""), ""薪資變動(不計入)"",
  REGEXMATCH(C13662, ""押金""), ""押金往來"",
  AND(E13662&lt;&gt;"""", F13662=""""), ""真實支出"",
  AND(E13662="""", F13662&lt;&gt;""""), ""真實收入"",
  TRUE, ""其他""
)"),"其他")</f>
        <v>其他</v>
      </c>
      <c r="K13662" s="270" t="str">
        <f t="shared" si="2"/>
        <v/>
      </c>
      <c r="L13662">
        <f t="shared" si="3"/>
        <v>0</v>
      </c>
    </row>
    <row r="13663">
      <c r="A13663" s="107"/>
      <c r="D13663" s="270"/>
      <c r="H13663" s="106" t="str">
        <f t="shared" si="1"/>
        <v/>
      </c>
      <c r="J13663" t="str">
        <f>IFERROR(__xludf.DUMMYFUNCTION("IFS(
  AND(REGEXMATCH(E13663, ""台銀籌備帳戶|玉山帳戶""), REGEXMATCH(C13663, ""薪資"")), ""分潤支出"",
  AND(REGEXMATCH(E13663, ""Ben帳戶|Elsa帳戶|Ben代墊|Ariel代墊|中信銀行共用""), REGEXMATCH(F13663, ""Ben帳戶|Elsa帳戶|Ben代墊|Ariel代墊|中信銀行共用"")), ""內部轉帳(忽略)"",
  AND(E13663&lt;&gt;"""", F13663&lt;&gt;"&amp;""""", NOT(REGEXMATCH(C13663, ""薪資""))), ""內部轉帳(忽略)"",
  REGEXMATCH(C13663, ""薪資""), ""薪資變動(不計入)"",
  REGEXMATCH(C13663, ""押金""), ""押金往來"",
  AND(E13663&lt;&gt;"""", F13663=""""), ""真實支出"",
  AND(E13663="""", F13663&lt;&gt;""""), ""真實收入"",
  TRUE, ""其他""
)"),"其他")</f>
        <v>其他</v>
      </c>
      <c r="K13663" s="270" t="str">
        <f t="shared" si="2"/>
        <v/>
      </c>
      <c r="L13663">
        <f t="shared" si="3"/>
        <v>0</v>
      </c>
    </row>
    <row r="13664">
      <c r="A13664" s="107"/>
      <c r="D13664" s="270"/>
      <c r="H13664" s="106" t="str">
        <f t="shared" si="1"/>
        <v/>
      </c>
      <c r="J13664" t="str">
        <f>IFERROR(__xludf.DUMMYFUNCTION("IFS(
  AND(REGEXMATCH(E13664, ""台銀籌備帳戶|玉山帳戶""), REGEXMATCH(C13664, ""薪資"")), ""分潤支出"",
  AND(REGEXMATCH(E13664, ""Ben帳戶|Elsa帳戶|Ben代墊|Ariel代墊|中信銀行共用""), REGEXMATCH(F13664, ""Ben帳戶|Elsa帳戶|Ben代墊|Ariel代墊|中信銀行共用"")), ""內部轉帳(忽略)"",
  AND(E13664&lt;&gt;"""", F13664&lt;&gt;"&amp;""""", NOT(REGEXMATCH(C13664, ""薪資""))), ""內部轉帳(忽略)"",
  REGEXMATCH(C13664, ""薪資""), ""薪資變動(不計入)"",
  REGEXMATCH(C13664, ""押金""), ""押金往來"",
  AND(E13664&lt;&gt;"""", F13664=""""), ""真實支出"",
  AND(E13664="""", F13664&lt;&gt;""""), ""真實收入"",
  TRUE, ""其他""
)"),"其他")</f>
        <v>其他</v>
      </c>
      <c r="K13664" s="270" t="str">
        <f t="shared" si="2"/>
        <v/>
      </c>
      <c r="L13664">
        <f t="shared" si="3"/>
        <v>0</v>
      </c>
    </row>
    <row r="13665">
      <c r="A13665" s="107"/>
      <c r="D13665" s="270"/>
      <c r="H13665" s="106" t="str">
        <f t="shared" si="1"/>
        <v/>
      </c>
      <c r="J13665" t="str">
        <f>IFERROR(__xludf.DUMMYFUNCTION("IFS(
  AND(REGEXMATCH(E13665, ""台銀籌備帳戶|玉山帳戶""), REGEXMATCH(C13665, ""薪資"")), ""分潤支出"",
  AND(REGEXMATCH(E13665, ""Ben帳戶|Elsa帳戶|Ben代墊|Ariel代墊|中信銀行共用""), REGEXMATCH(F13665, ""Ben帳戶|Elsa帳戶|Ben代墊|Ariel代墊|中信銀行共用"")), ""內部轉帳(忽略)"",
  AND(E13665&lt;&gt;"""", F13665&lt;&gt;"&amp;""""", NOT(REGEXMATCH(C13665, ""薪資""))), ""內部轉帳(忽略)"",
  REGEXMATCH(C13665, ""薪資""), ""薪資變動(不計入)"",
  REGEXMATCH(C13665, ""押金""), ""押金往來"",
  AND(E13665&lt;&gt;"""", F13665=""""), ""真實支出"",
  AND(E13665="""", F13665&lt;&gt;""""), ""真實收入"",
  TRUE, ""其他""
)"),"其他")</f>
        <v>其他</v>
      </c>
      <c r="K13665" s="270" t="str">
        <f t="shared" si="2"/>
        <v/>
      </c>
      <c r="L13665">
        <f t="shared" si="3"/>
        <v>0</v>
      </c>
    </row>
    <row r="13666">
      <c r="A13666" s="107"/>
      <c r="D13666" s="270"/>
      <c r="H13666" s="106" t="str">
        <f t="shared" si="1"/>
        <v/>
      </c>
      <c r="J13666" t="str">
        <f>IFERROR(__xludf.DUMMYFUNCTION("IFS(
  AND(REGEXMATCH(E13666, ""台銀籌備帳戶|玉山帳戶""), REGEXMATCH(C13666, ""薪資"")), ""分潤支出"",
  AND(REGEXMATCH(E13666, ""Ben帳戶|Elsa帳戶|Ben代墊|Ariel代墊|中信銀行共用""), REGEXMATCH(F13666, ""Ben帳戶|Elsa帳戶|Ben代墊|Ariel代墊|中信銀行共用"")), ""內部轉帳(忽略)"",
  AND(E13666&lt;&gt;"""", F13666&lt;&gt;"&amp;""""", NOT(REGEXMATCH(C13666, ""薪資""))), ""內部轉帳(忽略)"",
  REGEXMATCH(C13666, ""薪資""), ""薪資變動(不計入)"",
  REGEXMATCH(C13666, ""押金""), ""押金往來"",
  AND(E13666&lt;&gt;"""", F13666=""""), ""真實支出"",
  AND(E13666="""", F13666&lt;&gt;""""), ""真實收入"",
  TRUE, ""其他""
)"),"其他")</f>
        <v>其他</v>
      </c>
      <c r="K13666" s="270" t="str">
        <f t="shared" si="2"/>
        <v/>
      </c>
      <c r="L13666">
        <f t="shared" si="3"/>
        <v>0</v>
      </c>
    </row>
    <row r="13667">
      <c r="A13667" s="107"/>
      <c r="D13667" s="270"/>
      <c r="H13667" s="106" t="str">
        <f t="shared" si="1"/>
        <v/>
      </c>
      <c r="J13667" t="str">
        <f>IFERROR(__xludf.DUMMYFUNCTION("IFS(
  AND(REGEXMATCH(E13667, ""台銀籌備帳戶|玉山帳戶""), REGEXMATCH(C13667, ""薪資"")), ""分潤支出"",
  AND(REGEXMATCH(E13667, ""Ben帳戶|Elsa帳戶|Ben代墊|Ariel代墊|中信銀行共用""), REGEXMATCH(F13667, ""Ben帳戶|Elsa帳戶|Ben代墊|Ariel代墊|中信銀行共用"")), ""內部轉帳(忽略)"",
  AND(E13667&lt;&gt;"""", F13667&lt;&gt;"&amp;""""", NOT(REGEXMATCH(C13667, ""薪資""))), ""內部轉帳(忽略)"",
  REGEXMATCH(C13667, ""薪資""), ""薪資變動(不計入)"",
  REGEXMATCH(C13667, ""押金""), ""押金往來"",
  AND(E13667&lt;&gt;"""", F13667=""""), ""真實支出"",
  AND(E13667="""", F13667&lt;&gt;""""), ""真實收入"",
  TRUE, ""其他""
)"),"其他")</f>
        <v>其他</v>
      </c>
      <c r="K13667" s="270" t="str">
        <f t="shared" si="2"/>
        <v/>
      </c>
      <c r="L13667">
        <f t="shared" si="3"/>
        <v>0</v>
      </c>
    </row>
    <row r="13668">
      <c r="A13668" s="107"/>
      <c r="D13668" s="270"/>
      <c r="H13668" s="106" t="str">
        <f t="shared" si="1"/>
        <v/>
      </c>
      <c r="J13668" t="str">
        <f>IFERROR(__xludf.DUMMYFUNCTION("IFS(
  AND(REGEXMATCH(E13668, ""台銀籌備帳戶|玉山帳戶""), REGEXMATCH(C13668, ""薪資"")), ""分潤支出"",
  AND(REGEXMATCH(E13668, ""Ben帳戶|Elsa帳戶|Ben代墊|Ariel代墊|中信銀行共用""), REGEXMATCH(F13668, ""Ben帳戶|Elsa帳戶|Ben代墊|Ariel代墊|中信銀行共用"")), ""內部轉帳(忽略)"",
  AND(E13668&lt;&gt;"""", F13668&lt;&gt;"&amp;""""", NOT(REGEXMATCH(C13668, ""薪資""))), ""內部轉帳(忽略)"",
  REGEXMATCH(C13668, ""薪資""), ""薪資變動(不計入)"",
  REGEXMATCH(C13668, ""押金""), ""押金往來"",
  AND(E13668&lt;&gt;"""", F13668=""""), ""真實支出"",
  AND(E13668="""", F13668&lt;&gt;""""), ""真實收入"",
  TRUE, ""其他""
)"),"其他")</f>
        <v>其他</v>
      </c>
      <c r="K13668" s="270" t="str">
        <f t="shared" si="2"/>
        <v/>
      </c>
      <c r="L13668">
        <f t="shared" si="3"/>
        <v>0</v>
      </c>
    </row>
    <row r="13669">
      <c r="A13669" s="107"/>
      <c r="D13669" s="270"/>
      <c r="H13669" s="106" t="str">
        <f t="shared" si="1"/>
        <v/>
      </c>
      <c r="J13669" t="str">
        <f>IFERROR(__xludf.DUMMYFUNCTION("IFS(
  AND(REGEXMATCH(E13669, ""台銀籌備帳戶|玉山帳戶""), REGEXMATCH(C13669, ""薪資"")), ""分潤支出"",
  AND(REGEXMATCH(E13669, ""Ben帳戶|Elsa帳戶|Ben代墊|Ariel代墊|中信銀行共用""), REGEXMATCH(F13669, ""Ben帳戶|Elsa帳戶|Ben代墊|Ariel代墊|中信銀行共用"")), ""內部轉帳(忽略)"",
  AND(E13669&lt;&gt;"""", F13669&lt;&gt;"&amp;""""", NOT(REGEXMATCH(C13669, ""薪資""))), ""內部轉帳(忽略)"",
  REGEXMATCH(C13669, ""薪資""), ""薪資變動(不計入)"",
  REGEXMATCH(C13669, ""押金""), ""押金往來"",
  AND(E13669&lt;&gt;"""", F13669=""""), ""真實支出"",
  AND(E13669="""", F13669&lt;&gt;""""), ""真實收入"",
  TRUE, ""其他""
)"),"其他")</f>
        <v>其他</v>
      </c>
      <c r="K13669" s="270" t="str">
        <f t="shared" si="2"/>
        <v/>
      </c>
      <c r="L13669">
        <f t="shared" si="3"/>
        <v>0</v>
      </c>
    </row>
    <row r="13670">
      <c r="A13670" s="107"/>
      <c r="D13670" s="270"/>
      <c r="H13670" s="106" t="str">
        <f t="shared" si="1"/>
        <v/>
      </c>
      <c r="J13670" t="str">
        <f>IFERROR(__xludf.DUMMYFUNCTION("IFS(
  AND(REGEXMATCH(E13670, ""台銀籌備帳戶|玉山帳戶""), REGEXMATCH(C13670, ""薪資"")), ""分潤支出"",
  AND(REGEXMATCH(E13670, ""Ben帳戶|Elsa帳戶|Ben代墊|Ariel代墊|中信銀行共用""), REGEXMATCH(F13670, ""Ben帳戶|Elsa帳戶|Ben代墊|Ariel代墊|中信銀行共用"")), ""內部轉帳(忽略)"",
  AND(E13670&lt;&gt;"""", F13670&lt;&gt;"&amp;""""", NOT(REGEXMATCH(C13670, ""薪資""))), ""內部轉帳(忽略)"",
  REGEXMATCH(C13670, ""薪資""), ""薪資變動(不計入)"",
  REGEXMATCH(C13670, ""押金""), ""押金往來"",
  AND(E13670&lt;&gt;"""", F13670=""""), ""真實支出"",
  AND(E13670="""", F13670&lt;&gt;""""), ""真實收入"",
  TRUE, ""其他""
)"),"其他")</f>
        <v>其他</v>
      </c>
      <c r="K13670" s="270" t="str">
        <f t="shared" si="2"/>
        <v/>
      </c>
      <c r="L13670">
        <f t="shared" si="3"/>
        <v>0</v>
      </c>
    </row>
    <row r="13671">
      <c r="A13671" s="107"/>
      <c r="D13671" s="270"/>
      <c r="H13671" s="106" t="str">
        <f t="shared" si="1"/>
        <v/>
      </c>
      <c r="J13671" t="str">
        <f>IFERROR(__xludf.DUMMYFUNCTION("IFS(
  AND(REGEXMATCH(E13671, ""台銀籌備帳戶|玉山帳戶""), REGEXMATCH(C13671, ""薪資"")), ""分潤支出"",
  AND(REGEXMATCH(E13671, ""Ben帳戶|Elsa帳戶|Ben代墊|Ariel代墊|中信銀行共用""), REGEXMATCH(F13671, ""Ben帳戶|Elsa帳戶|Ben代墊|Ariel代墊|中信銀行共用"")), ""內部轉帳(忽略)"",
  AND(E13671&lt;&gt;"""", F13671&lt;&gt;"&amp;""""", NOT(REGEXMATCH(C13671, ""薪資""))), ""內部轉帳(忽略)"",
  REGEXMATCH(C13671, ""薪資""), ""薪資變動(不計入)"",
  REGEXMATCH(C13671, ""押金""), ""押金往來"",
  AND(E13671&lt;&gt;"""", F13671=""""), ""真實支出"",
  AND(E13671="""", F13671&lt;&gt;""""), ""真實收入"",
  TRUE, ""其他""
)"),"其他")</f>
        <v>其他</v>
      </c>
      <c r="K13671" s="270" t="str">
        <f t="shared" si="2"/>
        <v/>
      </c>
      <c r="L13671">
        <f t="shared" si="3"/>
        <v>0</v>
      </c>
    </row>
    <row r="13672">
      <c r="A13672" s="107"/>
      <c r="D13672" s="270"/>
      <c r="H13672" s="106" t="str">
        <f t="shared" si="1"/>
        <v/>
      </c>
      <c r="J13672" t="str">
        <f>IFERROR(__xludf.DUMMYFUNCTION("IFS(
  AND(REGEXMATCH(E13672, ""台銀籌備帳戶|玉山帳戶""), REGEXMATCH(C13672, ""薪資"")), ""分潤支出"",
  AND(REGEXMATCH(E13672, ""Ben帳戶|Elsa帳戶|Ben代墊|Ariel代墊|中信銀行共用""), REGEXMATCH(F13672, ""Ben帳戶|Elsa帳戶|Ben代墊|Ariel代墊|中信銀行共用"")), ""內部轉帳(忽略)"",
  AND(E13672&lt;&gt;"""", F13672&lt;&gt;"&amp;""""", NOT(REGEXMATCH(C13672, ""薪資""))), ""內部轉帳(忽略)"",
  REGEXMATCH(C13672, ""薪資""), ""薪資變動(不計入)"",
  REGEXMATCH(C13672, ""押金""), ""押金往來"",
  AND(E13672&lt;&gt;"""", F13672=""""), ""真實支出"",
  AND(E13672="""", F13672&lt;&gt;""""), ""真實收入"",
  TRUE, ""其他""
)"),"其他")</f>
        <v>其他</v>
      </c>
      <c r="K13672" s="270" t="str">
        <f t="shared" si="2"/>
        <v/>
      </c>
      <c r="L13672">
        <f t="shared" si="3"/>
        <v>0</v>
      </c>
    </row>
    <row r="13673">
      <c r="A13673" s="107"/>
      <c r="D13673" s="270"/>
      <c r="H13673" s="106" t="str">
        <f t="shared" si="1"/>
        <v/>
      </c>
      <c r="J13673" t="str">
        <f>IFERROR(__xludf.DUMMYFUNCTION("IFS(
  AND(REGEXMATCH(E13673, ""台銀籌備帳戶|玉山帳戶""), REGEXMATCH(C13673, ""薪資"")), ""分潤支出"",
  AND(REGEXMATCH(E13673, ""Ben帳戶|Elsa帳戶|Ben代墊|Ariel代墊|中信銀行共用""), REGEXMATCH(F13673, ""Ben帳戶|Elsa帳戶|Ben代墊|Ariel代墊|中信銀行共用"")), ""內部轉帳(忽略)"",
  AND(E13673&lt;&gt;"""", F13673&lt;&gt;"&amp;""""", NOT(REGEXMATCH(C13673, ""薪資""))), ""內部轉帳(忽略)"",
  REGEXMATCH(C13673, ""薪資""), ""薪資變動(不計入)"",
  REGEXMATCH(C13673, ""押金""), ""押金往來"",
  AND(E13673&lt;&gt;"""", F13673=""""), ""真實支出"",
  AND(E13673="""", F13673&lt;&gt;""""), ""真實收入"",
  TRUE, ""其他""
)"),"其他")</f>
        <v>其他</v>
      </c>
      <c r="K13673" s="270" t="str">
        <f t="shared" si="2"/>
        <v/>
      </c>
      <c r="L13673">
        <f t="shared" si="3"/>
        <v>0</v>
      </c>
    </row>
    <row r="13674">
      <c r="A13674" s="107"/>
      <c r="D13674" s="270"/>
      <c r="H13674" s="106" t="str">
        <f t="shared" si="1"/>
        <v/>
      </c>
      <c r="J13674" t="str">
        <f>IFERROR(__xludf.DUMMYFUNCTION("IFS(
  AND(REGEXMATCH(E13674, ""台銀籌備帳戶|玉山帳戶""), REGEXMATCH(C13674, ""薪資"")), ""分潤支出"",
  AND(REGEXMATCH(E13674, ""Ben帳戶|Elsa帳戶|Ben代墊|Ariel代墊|中信銀行共用""), REGEXMATCH(F13674, ""Ben帳戶|Elsa帳戶|Ben代墊|Ariel代墊|中信銀行共用"")), ""內部轉帳(忽略)"",
  AND(E13674&lt;&gt;"""", F13674&lt;&gt;"&amp;""""", NOT(REGEXMATCH(C13674, ""薪資""))), ""內部轉帳(忽略)"",
  REGEXMATCH(C13674, ""薪資""), ""薪資變動(不計入)"",
  REGEXMATCH(C13674, ""押金""), ""押金往來"",
  AND(E13674&lt;&gt;"""", F13674=""""), ""真實支出"",
  AND(E13674="""", F13674&lt;&gt;""""), ""真實收入"",
  TRUE, ""其他""
)"),"其他")</f>
        <v>其他</v>
      </c>
      <c r="K13674" s="270" t="str">
        <f t="shared" si="2"/>
        <v/>
      </c>
      <c r="L13674">
        <f t="shared" si="3"/>
        <v>0</v>
      </c>
    </row>
    <row r="13675">
      <c r="A13675" s="107"/>
      <c r="D13675" s="270"/>
      <c r="H13675" s="106" t="str">
        <f t="shared" si="1"/>
        <v/>
      </c>
      <c r="J13675" t="str">
        <f>IFERROR(__xludf.DUMMYFUNCTION("IFS(
  AND(REGEXMATCH(E13675, ""台銀籌備帳戶|玉山帳戶""), REGEXMATCH(C13675, ""薪資"")), ""分潤支出"",
  AND(REGEXMATCH(E13675, ""Ben帳戶|Elsa帳戶|Ben代墊|Ariel代墊|中信銀行共用""), REGEXMATCH(F13675, ""Ben帳戶|Elsa帳戶|Ben代墊|Ariel代墊|中信銀行共用"")), ""內部轉帳(忽略)"",
  AND(E13675&lt;&gt;"""", F13675&lt;&gt;"&amp;""""", NOT(REGEXMATCH(C13675, ""薪資""))), ""內部轉帳(忽略)"",
  REGEXMATCH(C13675, ""薪資""), ""薪資變動(不計入)"",
  REGEXMATCH(C13675, ""押金""), ""押金往來"",
  AND(E13675&lt;&gt;"""", F13675=""""), ""真實支出"",
  AND(E13675="""", F13675&lt;&gt;""""), ""真實收入"",
  TRUE, ""其他""
)"),"其他")</f>
        <v>其他</v>
      </c>
      <c r="K13675" s="270" t="str">
        <f t="shared" si="2"/>
        <v/>
      </c>
      <c r="L13675">
        <f t="shared" si="3"/>
        <v>0</v>
      </c>
    </row>
    <row r="13676">
      <c r="A13676" s="107"/>
      <c r="D13676" s="270"/>
      <c r="H13676" s="106" t="str">
        <f t="shared" si="1"/>
        <v/>
      </c>
      <c r="J13676" t="str">
        <f>IFERROR(__xludf.DUMMYFUNCTION("IFS(
  AND(REGEXMATCH(E13676, ""台銀籌備帳戶|玉山帳戶""), REGEXMATCH(C13676, ""薪資"")), ""分潤支出"",
  AND(REGEXMATCH(E13676, ""Ben帳戶|Elsa帳戶|Ben代墊|Ariel代墊|中信銀行共用""), REGEXMATCH(F13676, ""Ben帳戶|Elsa帳戶|Ben代墊|Ariel代墊|中信銀行共用"")), ""內部轉帳(忽略)"",
  AND(E13676&lt;&gt;"""", F13676&lt;&gt;"&amp;""""", NOT(REGEXMATCH(C13676, ""薪資""))), ""內部轉帳(忽略)"",
  REGEXMATCH(C13676, ""薪資""), ""薪資變動(不計入)"",
  REGEXMATCH(C13676, ""押金""), ""押金往來"",
  AND(E13676&lt;&gt;"""", F13676=""""), ""真實支出"",
  AND(E13676="""", F13676&lt;&gt;""""), ""真實收入"",
  TRUE, ""其他""
)"),"其他")</f>
        <v>其他</v>
      </c>
      <c r="K13676" s="270" t="str">
        <f t="shared" si="2"/>
        <v/>
      </c>
      <c r="L13676">
        <f t="shared" si="3"/>
        <v>0</v>
      </c>
    </row>
    <row r="13677">
      <c r="A13677" s="107"/>
      <c r="D13677" s="270"/>
      <c r="H13677" s="106" t="str">
        <f t="shared" si="1"/>
        <v/>
      </c>
      <c r="J13677" t="str">
        <f>IFERROR(__xludf.DUMMYFUNCTION("IFS(
  AND(REGEXMATCH(E13677, ""台銀籌備帳戶|玉山帳戶""), REGEXMATCH(C13677, ""薪資"")), ""分潤支出"",
  AND(REGEXMATCH(E13677, ""Ben帳戶|Elsa帳戶|Ben代墊|Ariel代墊|中信銀行共用""), REGEXMATCH(F13677, ""Ben帳戶|Elsa帳戶|Ben代墊|Ariel代墊|中信銀行共用"")), ""內部轉帳(忽略)"",
  AND(E13677&lt;&gt;"""", F13677&lt;&gt;"&amp;""""", NOT(REGEXMATCH(C13677, ""薪資""))), ""內部轉帳(忽略)"",
  REGEXMATCH(C13677, ""薪資""), ""薪資變動(不計入)"",
  REGEXMATCH(C13677, ""押金""), ""押金往來"",
  AND(E13677&lt;&gt;"""", F13677=""""), ""真實支出"",
  AND(E13677="""", F13677&lt;&gt;""""), ""真實收入"",
  TRUE, ""其他""
)"),"其他")</f>
        <v>其他</v>
      </c>
      <c r="K13677" s="270" t="str">
        <f t="shared" si="2"/>
        <v/>
      </c>
      <c r="L13677">
        <f t="shared" si="3"/>
        <v>0</v>
      </c>
    </row>
    <row r="13678">
      <c r="A13678" s="107"/>
      <c r="D13678" s="270"/>
      <c r="H13678" s="106" t="str">
        <f t="shared" si="1"/>
        <v/>
      </c>
      <c r="J13678" t="str">
        <f>IFERROR(__xludf.DUMMYFUNCTION("IFS(
  AND(REGEXMATCH(E13678, ""台銀籌備帳戶|玉山帳戶""), REGEXMATCH(C13678, ""薪資"")), ""分潤支出"",
  AND(REGEXMATCH(E13678, ""Ben帳戶|Elsa帳戶|Ben代墊|Ariel代墊|中信銀行共用""), REGEXMATCH(F13678, ""Ben帳戶|Elsa帳戶|Ben代墊|Ariel代墊|中信銀行共用"")), ""內部轉帳(忽略)"",
  AND(E13678&lt;&gt;"""", F13678&lt;&gt;"&amp;""""", NOT(REGEXMATCH(C13678, ""薪資""))), ""內部轉帳(忽略)"",
  REGEXMATCH(C13678, ""薪資""), ""薪資變動(不計入)"",
  REGEXMATCH(C13678, ""押金""), ""押金往來"",
  AND(E13678&lt;&gt;"""", F13678=""""), ""真實支出"",
  AND(E13678="""", F13678&lt;&gt;""""), ""真實收入"",
  TRUE, ""其他""
)"),"其他")</f>
        <v>其他</v>
      </c>
      <c r="K13678" s="270" t="str">
        <f t="shared" si="2"/>
        <v/>
      </c>
      <c r="L13678">
        <f t="shared" si="3"/>
        <v>0</v>
      </c>
    </row>
    <row r="13679">
      <c r="A13679" s="107"/>
      <c r="D13679" s="270"/>
      <c r="H13679" s="106" t="str">
        <f t="shared" si="1"/>
        <v/>
      </c>
      <c r="J13679" t="str">
        <f>IFERROR(__xludf.DUMMYFUNCTION("IFS(
  AND(REGEXMATCH(E13679, ""台銀籌備帳戶|玉山帳戶""), REGEXMATCH(C13679, ""薪資"")), ""分潤支出"",
  AND(REGEXMATCH(E13679, ""Ben帳戶|Elsa帳戶|Ben代墊|Ariel代墊|中信銀行共用""), REGEXMATCH(F13679, ""Ben帳戶|Elsa帳戶|Ben代墊|Ariel代墊|中信銀行共用"")), ""內部轉帳(忽略)"",
  AND(E13679&lt;&gt;"""", F13679&lt;&gt;"&amp;""""", NOT(REGEXMATCH(C13679, ""薪資""))), ""內部轉帳(忽略)"",
  REGEXMATCH(C13679, ""薪資""), ""薪資變動(不計入)"",
  REGEXMATCH(C13679, ""押金""), ""押金往來"",
  AND(E13679&lt;&gt;"""", F13679=""""), ""真實支出"",
  AND(E13679="""", F13679&lt;&gt;""""), ""真實收入"",
  TRUE, ""其他""
)"),"其他")</f>
        <v>其他</v>
      </c>
      <c r="K13679" s="270" t="str">
        <f t="shared" si="2"/>
        <v/>
      </c>
      <c r="L13679">
        <f t="shared" si="3"/>
        <v>0</v>
      </c>
    </row>
    <row r="13680">
      <c r="A13680" s="107"/>
      <c r="D13680" s="270"/>
      <c r="H13680" s="106" t="str">
        <f t="shared" si="1"/>
        <v/>
      </c>
      <c r="J13680" t="str">
        <f>IFERROR(__xludf.DUMMYFUNCTION("IFS(
  AND(REGEXMATCH(E13680, ""台銀籌備帳戶|玉山帳戶""), REGEXMATCH(C13680, ""薪資"")), ""分潤支出"",
  AND(REGEXMATCH(E13680, ""Ben帳戶|Elsa帳戶|Ben代墊|Ariel代墊|中信銀行共用""), REGEXMATCH(F13680, ""Ben帳戶|Elsa帳戶|Ben代墊|Ariel代墊|中信銀行共用"")), ""內部轉帳(忽略)"",
  AND(E13680&lt;&gt;"""", F13680&lt;&gt;"&amp;""""", NOT(REGEXMATCH(C13680, ""薪資""))), ""內部轉帳(忽略)"",
  REGEXMATCH(C13680, ""薪資""), ""薪資變動(不計入)"",
  REGEXMATCH(C13680, ""押金""), ""押金往來"",
  AND(E13680&lt;&gt;"""", F13680=""""), ""真實支出"",
  AND(E13680="""", F13680&lt;&gt;""""), ""真實收入"",
  TRUE, ""其他""
)"),"其他")</f>
        <v>其他</v>
      </c>
      <c r="K13680" s="270" t="str">
        <f t="shared" si="2"/>
        <v/>
      </c>
      <c r="L13680">
        <f t="shared" si="3"/>
        <v>0</v>
      </c>
    </row>
    <row r="13681">
      <c r="A13681" s="107"/>
      <c r="D13681" s="270"/>
      <c r="H13681" s="106" t="str">
        <f t="shared" si="1"/>
        <v/>
      </c>
      <c r="J13681" t="str">
        <f>IFERROR(__xludf.DUMMYFUNCTION("IFS(
  AND(REGEXMATCH(E13681, ""台銀籌備帳戶|玉山帳戶""), REGEXMATCH(C13681, ""薪資"")), ""分潤支出"",
  AND(REGEXMATCH(E13681, ""Ben帳戶|Elsa帳戶|Ben代墊|Ariel代墊|中信銀行共用""), REGEXMATCH(F13681, ""Ben帳戶|Elsa帳戶|Ben代墊|Ariel代墊|中信銀行共用"")), ""內部轉帳(忽略)"",
  AND(E13681&lt;&gt;"""", F13681&lt;&gt;"&amp;""""", NOT(REGEXMATCH(C13681, ""薪資""))), ""內部轉帳(忽略)"",
  REGEXMATCH(C13681, ""薪資""), ""薪資變動(不計入)"",
  REGEXMATCH(C13681, ""押金""), ""押金往來"",
  AND(E13681&lt;&gt;"""", F13681=""""), ""真實支出"",
  AND(E13681="""", F13681&lt;&gt;""""), ""真實收入"",
  TRUE, ""其他""
)"),"其他")</f>
        <v>其他</v>
      </c>
      <c r="K13681" s="270" t="str">
        <f t="shared" si="2"/>
        <v/>
      </c>
      <c r="L13681">
        <f t="shared" si="3"/>
        <v>0</v>
      </c>
    </row>
    <row r="13682">
      <c r="A13682" s="107"/>
      <c r="D13682" s="270"/>
      <c r="H13682" s="106" t="str">
        <f t="shared" si="1"/>
        <v/>
      </c>
      <c r="J13682" t="str">
        <f>IFERROR(__xludf.DUMMYFUNCTION("IFS(
  AND(REGEXMATCH(E13682, ""台銀籌備帳戶|玉山帳戶""), REGEXMATCH(C13682, ""薪資"")), ""分潤支出"",
  AND(REGEXMATCH(E13682, ""Ben帳戶|Elsa帳戶|Ben代墊|Ariel代墊|中信銀行共用""), REGEXMATCH(F13682, ""Ben帳戶|Elsa帳戶|Ben代墊|Ariel代墊|中信銀行共用"")), ""內部轉帳(忽略)"",
  AND(E13682&lt;&gt;"""", F13682&lt;&gt;"&amp;""""", NOT(REGEXMATCH(C13682, ""薪資""))), ""內部轉帳(忽略)"",
  REGEXMATCH(C13682, ""薪資""), ""薪資變動(不計入)"",
  REGEXMATCH(C13682, ""押金""), ""押金往來"",
  AND(E13682&lt;&gt;"""", F13682=""""), ""真實支出"",
  AND(E13682="""", F13682&lt;&gt;""""), ""真實收入"",
  TRUE, ""其他""
)"),"其他")</f>
        <v>其他</v>
      </c>
      <c r="K13682" s="270" t="str">
        <f t="shared" si="2"/>
        <v/>
      </c>
      <c r="L13682">
        <f t="shared" si="3"/>
        <v>0</v>
      </c>
    </row>
    <row r="13683">
      <c r="A13683" s="107"/>
      <c r="D13683" s="270"/>
      <c r="H13683" s="106" t="str">
        <f t="shared" si="1"/>
        <v/>
      </c>
      <c r="J13683" t="str">
        <f>IFERROR(__xludf.DUMMYFUNCTION("IFS(
  AND(REGEXMATCH(E13683, ""台銀籌備帳戶|玉山帳戶""), REGEXMATCH(C13683, ""薪資"")), ""分潤支出"",
  AND(REGEXMATCH(E13683, ""Ben帳戶|Elsa帳戶|Ben代墊|Ariel代墊|中信銀行共用""), REGEXMATCH(F13683, ""Ben帳戶|Elsa帳戶|Ben代墊|Ariel代墊|中信銀行共用"")), ""內部轉帳(忽略)"",
  AND(E13683&lt;&gt;"""", F13683&lt;&gt;"&amp;""""", NOT(REGEXMATCH(C13683, ""薪資""))), ""內部轉帳(忽略)"",
  REGEXMATCH(C13683, ""薪資""), ""薪資變動(不計入)"",
  REGEXMATCH(C13683, ""押金""), ""押金往來"",
  AND(E13683&lt;&gt;"""", F13683=""""), ""真實支出"",
  AND(E13683="""", F13683&lt;&gt;""""), ""真實收入"",
  TRUE, ""其他""
)"),"其他")</f>
        <v>其他</v>
      </c>
      <c r="K13683" s="270" t="str">
        <f t="shared" si="2"/>
        <v/>
      </c>
      <c r="L13683">
        <f t="shared" si="3"/>
        <v>0</v>
      </c>
    </row>
    <row r="13684">
      <c r="A13684" s="107"/>
      <c r="D13684" s="270"/>
      <c r="H13684" s="106" t="str">
        <f t="shared" si="1"/>
        <v/>
      </c>
      <c r="J13684" t="str">
        <f>IFERROR(__xludf.DUMMYFUNCTION("IFS(
  AND(REGEXMATCH(E13684, ""台銀籌備帳戶|玉山帳戶""), REGEXMATCH(C13684, ""薪資"")), ""分潤支出"",
  AND(REGEXMATCH(E13684, ""Ben帳戶|Elsa帳戶|Ben代墊|Ariel代墊|中信銀行共用""), REGEXMATCH(F13684, ""Ben帳戶|Elsa帳戶|Ben代墊|Ariel代墊|中信銀行共用"")), ""內部轉帳(忽略)"",
  AND(E13684&lt;&gt;"""", F13684&lt;&gt;"&amp;""""", NOT(REGEXMATCH(C13684, ""薪資""))), ""內部轉帳(忽略)"",
  REGEXMATCH(C13684, ""薪資""), ""薪資變動(不計入)"",
  REGEXMATCH(C13684, ""押金""), ""押金往來"",
  AND(E13684&lt;&gt;"""", F13684=""""), ""真實支出"",
  AND(E13684="""", F13684&lt;&gt;""""), ""真實收入"",
  TRUE, ""其他""
)"),"其他")</f>
        <v>其他</v>
      </c>
      <c r="K13684" s="270" t="str">
        <f t="shared" si="2"/>
        <v/>
      </c>
      <c r="L13684">
        <f t="shared" si="3"/>
        <v>0</v>
      </c>
    </row>
    <row r="13685">
      <c r="A13685" s="107"/>
      <c r="D13685" s="270"/>
      <c r="H13685" s="106" t="str">
        <f t="shared" si="1"/>
        <v/>
      </c>
      <c r="J13685" t="str">
        <f>IFERROR(__xludf.DUMMYFUNCTION("IFS(
  AND(REGEXMATCH(E13685, ""台銀籌備帳戶|玉山帳戶""), REGEXMATCH(C13685, ""薪資"")), ""分潤支出"",
  AND(REGEXMATCH(E13685, ""Ben帳戶|Elsa帳戶|Ben代墊|Ariel代墊|中信銀行共用""), REGEXMATCH(F13685, ""Ben帳戶|Elsa帳戶|Ben代墊|Ariel代墊|中信銀行共用"")), ""內部轉帳(忽略)"",
  AND(E13685&lt;&gt;"""", F13685&lt;&gt;"&amp;""""", NOT(REGEXMATCH(C13685, ""薪資""))), ""內部轉帳(忽略)"",
  REGEXMATCH(C13685, ""薪資""), ""薪資變動(不計入)"",
  REGEXMATCH(C13685, ""押金""), ""押金往來"",
  AND(E13685&lt;&gt;"""", F13685=""""), ""真實支出"",
  AND(E13685="""", F13685&lt;&gt;""""), ""真實收入"",
  TRUE, ""其他""
)"),"其他")</f>
        <v>其他</v>
      </c>
      <c r="K13685" s="270" t="str">
        <f t="shared" si="2"/>
        <v/>
      </c>
      <c r="L13685">
        <f t="shared" si="3"/>
        <v>0</v>
      </c>
    </row>
    <row r="13686">
      <c r="A13686" s="107"/>
      <c r="D13686" s="270"/>
      <c r="H13686" s="106" t="str">
        <f t="shared" si="1"/>
        <v/>
      </c>
      <c r="J13686" t="str">
        <f>IFERROR(__xludf.DUMMYFUNCTION("IFS(
  AND(REGEXMATCH(E13686, ""台銀籌備帳戶|玉山帳戶""), REGEXMATCH(C13686, ""薪資"")), ""分潤支出"",
  AND(REGEXMATCH(E13686, ""Ben帳戶|Elsa帳戶|Ben代墊|Ariel代墊|中信銀行共用""), REGEXMATCH(F13686, ""Ben帳戶|Elsa帳戶|Ben代墊|Ariel代墊|中信銀行共用"")), ""內部轉帳(忽略)"",
  AND(E13686&lt;&gt;"""", F13686&lt;&gt;"&amp;""""", NOT(REGEXMATCH(C13686, ""薪資""))), ""內部轉帳(忽略)"",
  REGEXMATCH(C13686, ""薪資""), ""薪資變動(不計入)"",
  REGEXMATCH(C13686, ""押金""), ""押金往來"",
  AND(E13686&lt;&gt;"""", F13686=""""), ""真實支出"",
  AND(E13686="""", F13686&lt;&gt;""""), ""真實收入"",
  TRUE, ""其他""
)"),"其他")</f>
        <v>其他</v>
      </c>
      <c r="K13686" s="270" t="str">
        <f t="shared" si="2"/>
        <v/>
      </c>
      <c r="L13686">
        <f t="shared" si="3"/>
        <v>0</v>
      </c>
    </row>
    <row r="13687">
      <c r="A13687" s="107"/>
      <c r="D13687" s="270"/>
      <c r="H13687" s="106" t="str">
        <f t="shared" si="1"/>
        <v/>
      </c>
      <c r="J13687" t="str">
        <f>IFERROR(__xludf.DUMMYFUNCTION("IFS(
  AND(REGEXMATCH(E13687, ""台銀籌備帳戶|玉山帳戶""), REGEXMATCH(C13687, ""薪資"")), ""分潤支出"",
  AND(REGEXMATCH(E13687, ""Ben帳戶|Elsa帳戶|Ben代墊|Ariel代墊|中信銀行共用""), REGEXMATCH(F13687, ""Ben帳戶|Elsa帳戶|Ben代墊|Ariel代墊|中信銀行共用"")), ""內部轉帳(忽略)"",
  AND(E13687&lt;&gt;"""", F13687&lt;&gt;"&amp;""""", NOT(REGEXMATCH(C13687, ""薪資""))), ""內部轉帳(忽略)"",
  REGEXMATCH(C13687, ""薪資""), ""薪資變動(不計入)"",
  REGEXMATCH(C13687, ""押金""), ""押金往來"",
  AND(E13687&lt;&gt;"""", F13687=""""), ""真實支出"",
  AND(E13687="""", F13687&lt;&gt;""""), ""真實收入"",
  TRUE, ""其他""
)"),"其他")</f>
        <v>其他</v>
      </c>
      <c r="K13687" s="270" t="str">
        <f t="shared" si="2"/>
        <v/>
      </c>
      <c r="L13687">
        <f t="shared" si="3"/>
        <v>0</v>
      </c>
    </row>
    <row r="13688">
      <c r="A13688" s="107"/>
      <c r="D13688" s="270"/>
      <c r="H13688" s="106" t="str">
        <f t="shared" si="1"/>
        <v/>
      </c>
      <c r="J13688" t="str">
        <f>IFERROR(__xludf.DUMMYFUNCTION("IFS(
  AND(REGEXMATCH(E13688, ""台銀籌備帳戶|玉山帳戶""), REGEXMATCH(C13688, ""薪資"")), ""分潤支出"",
  AND(REGEXMATCH(E13688, ""Ben帳戶|Elsa帳戶|Ben代墊|Ariel代墊|中信銀行共用""), REGEXMATCH(F13688, ""Ben帳戶|Elsa帳戶|Ben代墊|Ariel代墊|中信銀行共用"")), ""內部轉帳(忽略)"",
  AND(E13688&lt;&gt;"""", F13688&lt;&gt;"&amp;""""", NOT(REGEXMATCH(C13688, ""薪資""))), ""內部轉帳(忽略)"",
  REGEXMATCH(C13688, ""薪資""), ""薪資變動(不計入)"",
  REGEXMATCH(C13688, ""押金""), ""押金往來"",
  AND(E13688&lt;&gt;"""", F13688=""""), ""真實支出"",
  AND(E13688="""", F13688&lt;&gt;""""), ""真實收入"",
  TRUE, ""其他""
)"),"其他")</f>
        <v>其他</v>
      </c>
      <c r="K13688" s="270" t="str">
        <f t="shared" si="2"/>
        <v/>
      </c>
      <c r="L13688">
        <f t="shared" si="3"/>
        <v>0</v>
      </c>
    </row>
    <row r="13689">
      <c r="A13689" s="107"/>
      <c r="D13689" s="270"/>
      <c r="H13689" s="106" t="str">
        <f t="shared" si="1"/>
        <v/>
      </c>
      <c r="J13689" t="str">
        <f>IFERROR(__xludf.DUMMYFUNCTION("IFS(
  AND(REGEXMATCH(E13689, ""台銀籌備帳戶|玉山帳戶""), REGEXMATCH(C13689, ""薪資"")), ""分潤支出"",
  AND(REGEXMATCH(E13689, ""Ben帳戶|Elsa帳戶|Ben代墊|Ariel代墊|中信銀行共用""), REGEXMATCH(F13689, ""Ben帳戶|Elsa帳戶|Ben代墊|Ariel代墊|中信銀行共用"")), ""內部轉帳(忽略)"",
  AND(E13689&lt;&gt;"""", F13689&lt;&gt;"&amp;""""", NOT(REGEXMATCH(C13689, ""薪資""))), ""內部轉帳(忽略)"",
  REGEXMATCH(C13689, ""薪資""), ""薪資變動(不計入)"",
  REGEXMATCH(C13689, ""押金""), ""押金往來"",
  AND(E13689&lt;&gt;"""", F13689=""""), ""真實支出"",
  AND(E13689="""", F13689&lt;&gt;""""), ""真實收入"",
  TRUE, ""其他""
)"),"其他")</f>
        <v>其他</v>
      </c>
      <c r="K13689" s="270" t="str">
        <f t="shared" si="2"/>
        <v/>
      </c>
      <c r="L13689">
        <f t="shared" si="3"/>
        <v>0</v>
      </c>
    </row>
    <row r="13690">
      <c r="A13690" s="107"/>
      <c r="D13690" s="270"/>
      <c r="H13690" s="106" t="str">
        <f t="shared" si="1"/>
        <v/>
      </c>
      <c r="J13690" t="str">
        <f>IFERROR(__xludf.DUMMYFUNCTION("IFS(
  AND(REGEXMATCH(E13690, ""台銀籌備帳戶|玉山帳戶""), REGEXMATCH(C13690, ""薪資"")), ""分潤支出"",
  AND(REGEXMATCH(E13690, ""Ben帳戶|Elsa帳戶|Ben代墊|Ariel代墊|中信銀行共用""), REGEXMATCH(F13690, ""Ben帳戶|Elsa帳戶|Ben代墊|Ariel代墊|中信銀行共用"")), ""內部轉帳(忽略)"",
  AND(E13690&lt;&gt;"""", F13690&lt;&gt;"&amp;""""", NOT(REGEXMATCH(C13690, ""薪資""))), ""內部轉帳(忽略)"",
  REGEXMATCH(C13690, ""薪資""), ""薪資變動(不計入)"",
  REGEXMATCH(C13690, ""押金""), ""押金往來"",
  AND(E13690&lt;&gt;"""", F13690=""""), ""真實支出"",
  AND(E13690="""", F13690&lt;&gt;""""), ""真實收入"",
  TRUE, ""其他""
)"),"其他")</f>
        <v>其他</v>
      </c>
      <c r="K13690" s="270" t="str">
        <f t="shared" si="2"/>
        <v/>
      </c>
      <c r="L13690">
        <f t="shared" si="3"/>
        <v>0</v>
      </c>
    </row>
    <row r="13691">
      <c r="A13691" s="107"/>
      <c r="D13691" s="270"/>
      <c r="H13691" s="106" t="str">
        <f t="shared" si="1"/>
        <v/>
      </c>
      <c r="J13691" t="str">
        <f>IFERROR(__xludf.DUMMYFUNCTION("IFS(
  AND(REGEXMATCH(E13691, ""台銀籌備帳戶|玉山帳戶""), REGEXMATCH(C13691, ""薪資"")), ""分潤支出"",
  AND(REGEXMATCH(E13691, ""Ben帳戶|Elsa帳戶|Ben代墊|Ariel代墊|中信銀行共用""), REGEXMATCH(F13691, ""Ben帳戶|Elsa帳戶|Ben代墊|Ariel代墊|中信銀行共用"")), ""內部轉帳(忽略)"",
  AND(E13691&lt;&gt;"""", F13691&lt;&gt;"&amp;""""", NOT(REGEXMATCH(C13691, ""薪資""))), ""內部轉帳(忽略)"",
  REGEXMATCH(C13691, ""薪資""), ""薪資變動(不計入)"",
  REGEXMATCH(C13691, ""押金""), ""押金往來"",
  AND(E13691&lt;&gt;"""", F13691=""""), ""真實支出"",
  AND(E13691="""", F13691&lt;&gt;""""), ""真實收入"",
  TRUE, ""其他""
)"),"其他")</f>
        <v>其他</v>
      </c>
      <c r="K13691" s="270" t="str">
        <f t="shared" si="2"/>
        <v/>
      </c>
      <c r="L13691">
        <f t="shared" si="3"/>
        <v>0</v>
      </c>
    </row>
    <row r="13692">
      <c r="A13692" s="107"/>
      <c r="D13692" s="270"/>
      <c r="H13692" s="106" t="str">
        <f t="shared" si="1"/>
        <v/>
      </c>
      <c r="J13692" t="str">
        <f>IFERROR(__xludf.DUMMYFUNCTION("IFS(
  AND(REGEXMATCH(E13692, ""台銀籌備帳戶|玉山帳戶""), REGEXMATCH(C13692, ""薪資"")), ""分潤支出"",
  AND(REGEXMATCH(E13692, ""Ben帳戶|Elsa帳戶|Ben代墊|Ariel代墊|中信銀行共用""), REGEXMATCH(F13692, ""Ben帳戶|Elsa帳戶|Ben代墊|Ariel代墊|中信銀行共用"")), ""內部轉帳(忽略)"",
  AND(E13692&lt;&gt;"""", F13692&lt;&gt;"&amp;""""", NOT(REGEXMATCH(C13692, ""薪資""))), ""內部轉帳(忽略)"",
  REGEXMATCH(C13692, ""薪資""), ""薪資變動(不計入)"",
  REGEXMATCH(C13692, ""押金""), ""押金往來"",
  AND(E13692&lt;&gt;"""", F13692=""""), ""真實支出"",
  AND(E13692="""", F13692&lt;&gt;""""), ""真實收入"",
  TRUE, ""其他""
)"),"其他")</f>
        <v>其他</v>
      </c>
      <c r="K13692" s="270" t="str">
        <f t="shared" si="2"/>
        <v/>
      </c>
      <c r="L13692">
        <f t="shared" si="3"/>
        <v>0</v>
      </c>
    </row>
    <row r="13693">
      <c r="A13693" s="107"/>
      <c r="D13693" s="270"/>
      <c r="H13693" s="106" t="str">
        <f t="shared" si="1"/>
        <v/>
      </c>
      <c r="J13693" t="str">
        <f>IFERROR(__xludf.DUMMYFUNCTION("IFS(
  AND(REGEXMATCH(E13693, ""台銀籌備帳戶|玉山帳戶""), REGEXMATCH(C13693, ""薪資"")), ""分潤支出"",
  AND(REGEXMATCH(E13693, ""Ben帳戶|Elsa帳戶|Ben代墊|Ariel代墊|中信銀行共用""), REGEXMATCH(F13693, ""Ben帳戶|Elsa帳戶|Ben代墊|Ariel代墊|中信銀行共用"")), ""內部轉帳(忽略)"",
  AND(E13693&lt;&gt;"""", F13693&lt;&gt;"&amp;""""", NOT(REGEXMATCH(C13693, ""薪資""))), ""內部轉帳(忽略)"",
  REGEXMATCH(C13693, ""薪資""), ""薪資變動(不計入)"",
  REGEXMATCH(C13693, ""押金""), ""押金往來"",
  AND(E13693&lt;&gt;"""", F13693=""""), ""真實支出"",
  AND(E13693="""", F13693&lt;&gt;""""), ""真實收入"",
  TRUE, ""其他""
)"),"其他")</f>
        <v>其他</v>
      </c>
      <c r="K13693" s="270" t="str">
        <f t="shared" si="2"/>
        <v/>
      </c>
      <c r="L13693">
        <f t="shared" si="3"/>
        <v>0</v>
      </c>
    </row>
    <row r="13694">
      <c r="A13694" s="107"/>
      <c r="D13694" s="270"/>
      <c r="H13694" s="106" t="str">
        <f t="shared" si="1"/>
        <v/>
      </c>
      <c r="J13694" t="str">
        <f>IFERROR(__xludf.DUMMYFUNCTION("IFS(
  AND(REGEXMATCH(E13694, ""台銀籌備帳戶|玉山帳戶""), REGEXMATCH(C13694, ""薪資"")), ""分潤支出"",
  AND(REGEXMATCH(E13694, ""Ben帳戶|Elsa帳戶|Ben代墊|Ariel代墊|中信銀行共用""), REGEXMATCH(F13694, ""Ben帳戶|Elsa帳戶|Ben代墊|Ariel代墊|中信銀行共用"")), ""內部轉帳(忽略)"",
  AND(E13694&lt;&gt;"""", F13694&lt;&gt;"&amp;""""", NOT(REGEXMATCH(C13694, ""薪資""))), ""內部轉帳(忽略)"",
  REGEXMATCH(C13694, ""薪資""), ""薪資變動(不計入)"",
  REGEXMATCH(C13694, ""押金""), ""押金往來"",
  AND(E13694&lt;&gt;"""", F13694=""""), ""真實支出"",
  AND(E13694="""", F13694&lt;&gt;""""), ""真實收入"",
  TRUE, ""其他""
)"),"其他")</f>
        <v>其他</v>
      </c>
      <c r="K13694" s="270" t="str">
        <f t="shared" si="2"/>
        <v/>
      </c>
      <c r="L13694">
        <f t="shared" si="3"/>
        <v>0</v>
      </c>
    </row>
    <row r="13695">
      <c r="A13695" s="107"/>
      <c r="D13695" s="270"/>
      <c r="H13695" s="106" t="str">
        <f t="shared" si="1"/>
        <v/>
      </c>
      <c r="J13695" t="str">
        <f>IFERROR(__xludf.DUMMYFUNCTION("IFS(
  AND(REGEXMATCH(E13695, ""台銀籌備帳戶|玉山帳戶""), REGEXMATCH(C13695, ""薪資"")), ""分潤支出"",
  AND(REGEXMATCH(E13695, ""Ben帳戶|Elsa帳戶|Ben代墊|Ariel代墊|中信銀行共用""), REGEXMATCH(F13695, ""Ben帳戶|Elsa帳戶|Ben代墊|Ariel代墊|中信銀行共用"")), ""內部轉帳(忽略)"",
  AND(E13695&lt;&gt;"""", F13695&lt;&gt;"&amp;""""", NOT(REGEXMATCH(C13695, ""薪資""))), ""內部轉帳(忽略)"",
  REGEXMATCH(C13695, ""薪資""), ""薪資變動(不計入)"",
  REGEXMATCH(C13695, ""押金""), ""押金往來"",
  AND(E13695&lt;&gt;"""", F13695=""""), ""真實支出"",
  AND(E13695="""", F13695&lt;&gt;""""), ""真實收入"",
  TRUE, ""其他""
)"),"其他")</f>
        <v>其他</v>
      </c>
      <c r="K13695" s="270" t="str">
        <f t="shared" si="2"/>
        <v/>
      </c>
      <c r="L13695">
        <f t="shared" si="3"/>
        <v>0</v>
      </c>
    </row>
    <row r="13696">
      <c r="A13696" s="107"/>
      <c r="D13696" s="270"/>
      <c r="H13696" s="106" t="str">
        <f t="shared" si="1"/>
        <v/>
      </c>
      <c r="J13696" t="str">
        <f>IFERROR(__xludf.DUMMYFUNCTION("IFS(
  AND(REGEXMATCH(E13696, ""台銀籌備帳戶|玉山帳戶""), REGEXMATCH(C13696, ""薪資"")), ""分潤支出"",
  AND(REGEXMATCH(E13696, ""Ben帳戶|Elsa帳戶|Ben代墊|Ariel代墊|中信銀行共用""), REGEXMATCH(F13696, ""Ben帳戶|Elsa帳戶|Ben代墊|Ariel代墊|中信銀行共用"")), ""內部轉帳(忽略)"",
  AND(E13696&lt;&gt;"""", F13696&lt;&gt;"&amp;""""", NOT(REGEXMATCH(C13696, ""薪資""))), ""內部轉帳(忽略)"",
  REGEXMATCH(C13696, ""薪資""), ""薪資變動(不計入)"",
  REGEXMATCH(C13696, ""押金""), ""押金往來"",
  AND(E13696&lt;&gt;"""", F13696=""""), ""真實支出"",
  AND(E13696="""", F13696&lt;&gt;""""), ""真實收入"",
  TRUE, ""其他""
)"),"其他")</f>
        <v>其他</v>
      </c>
      <c r="K13696" s="270" t="str">
        <f t="shared" si="2"/>
        <v/>
      </c>
      <c r="L13696">
        <f t="shared" si="3"/>
        <v>0</v>
      </c>
    </row>
    <row r="13697">
      <c r="A13697" s="107"/>
      <c r="D13697" s="270"/>
      <c r="H13697" s="106" t="str">
        <f t="shared" si="1"/>
        <v/>
      </c>
      <c r="J13697" t="str">
        <f>IFERROR(__xludf.DUMMYFUNCTION("IFS(
  AND(REGEXMATCH(E13697, ""台銀籌備帳戶|玉山帳戶""), REGEXMATCH(C13697, ""薪資"")), ""分潤支出"",
  AND(REGEXMATCH(E13697, ""Ben帳戶|Elsa帳戶|Ben代墊|Ariel代墊|中信銀行共用""), REGEXMATCH(F13697, ""Ben帳戶|Elsa帳戶|Ben代墊|Ariel代墊|中信銀行共用"")), ""內部轉帳(忽略)"",
  AND(E13697&lt;&gt;"""", F13697&lt;&gt;"&amp;""""", NOT(REGEXMATCH(C13697, ""薪資""))), ""內部轉帳(忽略)"",
  REGEXMATCH(C13697, ""薪資""), ""薪資變動(不計入)"",
  REGEXMATCH(C13697, ""押金""), ""押金往來"",
  AND(E13697&lt;&gt;"""", F13697=""""), ""真實支出"",
  AND(E13697="""", F13697&lt;&gt;""""), ""真實收入"",
  TRUE, ""其他""
)"),"其他")</f>
        <v>其他</v>
      </c>
      <c r="K13697" s="270" t="str">
        <f t="shared" si="2"/>
        <v/>
      </c>
      <c r="L13697">
        <f t="shared" si="3"/>
        <v>0</v>
      </c>
    </row>
    <row r="13698">
      <c r="A13698" s="107"/>
      <c r="D13698" s="270"/>
      <c r="H13698" s="106" t="str">
        <f t="shared" si="1"/>
        <v/>
      </c>
      <c r="J13698" t="str">
        <f>IFERROR(__xludf.DUMMYFUNCTION("IFS(
  AND(REGEXMATCH(E13698, ""台銀籌備帳戶|玉山帳戶""), REGEXMATCH(C13698, ""薪資"")), ""分潤支出"",
  AND(REGEXMATCH(E13698, ""Ben帳戶|Elsa帳戶|Ben代墊|Ariel代墊|中信銀行共用""), REGEXMATCH(F13698, ""Ben帳戶|Elsa帳戶|Ben代墊|Ariel代墊|中信銀行共用"")), ""內部轉帳(忽略)"",
  AND(E13698&lt;&gt;"""", F13698&lt;&gt;"&amp;""""", NOT(REGEXMATCH(C13698, ""薪資""))), ""內部轉帳(忽略)"",
  REGEXMATCH(C13698, ""薪資""), ""薪資變動(不計入)"",
  REGEXMATCH(C13698, ""押金""), ""押金往來"",
  AND(E13698&lt;&gt;"""", F13698=""""), ""真實支出"",
  AND(E13698="""", F13698&lt;&gt;""""), ""真實收入"",
  TRUE, ""其他""
)"),"其他")</f>
        <v>其他</v>
      </c>
      <c r="K13698" s="270" t="str">
        <f t="shared" si="2"/>
        <v/>
      </c>
      <c r="L13698">
        <f t="shared" si="3"/>
        <v>0</v>
      </c>
    </row>
    <row r="13699">
      <c r="A13699" s="107"/>
      <c r="D13699" s="270"/>
      <c r="H13699" s="106" t="str">
        <f t="shared" si="1"/>
        <v/>
      </c>
      <c r="J13699" t="str">
        <f>IFERROR(__xludf.DUMMYFUNCTION("IFS(
  AND(REGEXMATCH(E13699, ""台銀籌備帳戶|玉山帳戶""), REGEXMATCH(C13699, ""薪資"")), ""分潤支出"",
  AND(REGEXMATCH(E13699, ""Ben帳戶|Elsa帳戶|Ben代墊|Ariel代墊|中信銀行共用""), REGEXMATCH(F13699, ""Ben帳戶|Elsa帳戶|Ben代墊|Ariel代墊|中信銀行共用"")), ""內部轉帳(忽略)"",
  AND(E13699&lt;&gt;"""", F13699&lt;&gt;"&amp;""""", NOT(REGEXMATCH(C13699, ""薪資""))), ""內部轉帳(忽略)"",
  REGEXMATCH(C13699, ""薪資""), ""薪資變動(不計入)"",
  REGEXMATCH(C13699, ""押金""), ""押金往來"",
  AND(E13699&lt;&gt;"""", F13699=""""), ""真實支出"",
  AND(E13699="""", F13699&lt;&gt;""""), ""真實收入"",
  TRUE, ""其他""
)"),"其他")</f>
        <v>其他</v>
      </c>
      <c r="K13699" s="270" t="str">
        <f t="shared" si="2"/>
        <v/>
      </c>
      <c r="L13699">
        <f t="shared" si="3"/>
        <v>0</v>
      </c>
    </row>
    <row r="13700">
      <c r="A13700" s="107"/>
      <c r="D13700" s="270"/>
      <c r="H13700" s="106" t="str">
        <f t="shared" si="1"/>
        <v/>
      </c>
      <c r="J13700" t="str">
        <f>IFERROR(__xludf.DUMMYFUNCTION("IFS(
  AND(REGEXMATCH(E13700, ""台銀籌備帳戶|玉山帳戶""), REGEXMATCH(C13700, ""薪資"")), ""分潤支出"",
  AND(REGEXMATCH(E13700, ""Ben帳戶|Elsa帳戶|Ben代墊|Ariel代墊|中信銀行共用""), REGEXMATCH(F13700, ""Ben帳戶|Elsa帳戶|Ben代墊|Ariel代墊|中信銀行共用"")), ""內部轉帳(忽略)"",
  AND(E13700&lt;&gt;"""", F13700&lt;&gt;"&amp;""""", NOT(REGEXMATCH(C13700, ""薪資""))), ""內部轉帳(忽略)"",
  REGEXMATCH(C13700, ""薪資""), ""薪資變動(不計入)"",
  REGEXMATCH(C13700, ""押金""), ""押金往來"",
  AND(E13700&lt;&gt;"""", F13700=""""), ""真實支出"",
  AND(E13700="""", F13700&lt;&gt;""""), ""真實收入"",
  TRUE, ""其他""
)"),"其他")</f>
        <v>其他</v>
      </c>
      <c r="K13700" s="270" t="str">
        <f t="shared" si="2"/>
        <v/>
      </c>
      <c r="L13700">
        <f t="shared" si="3"/>
        <v>0</v>
      </c>
    </row>
    <row r="13701">
      <c r="A13701" s="107"/>
      <c r="D13701" s="270"/>
      <c r="H13701" s="106" t="str">
        <f t="shared" si="1"/>
        <v/>
      </c>
      <c r="J13701" t="str">
        <f>IFERROR(__xludf.DUMMYFUNCTION("IFS(
  AND(REGEXMATCH(E13701, ""台銀籌備帳戶|玉山帳戶""), REGEXMATCH(C13701, ""薪資"")), ""分潤支出"",
  AND(REGEXMATCH(E13701, ""Ben帳戶|Elsa帳戶|Ben代墊|Ariel代墊|中信銀行共用""), REGEXMATCH(F13701, ""Ben帳戶|Elsa帳戶|Ben代墊|Ariel代墊|中信銀行共用"")), ""內部轉帳(忽略)"",
  AND(E13701&lt;&gt;"""", F13701&lt;&gt;"&amp;""""", NOT(REGEXMATCH(C13701, ""薪資""))), ""內部轉帳(忽略)"",
  REGEXMATCH(C13701, ""薪資""), ""薪資變動(不計入)"",
  REGEXMATCH(C13701, ""押金""), ""押金往來"",
  AND(E13701&lt;&gt;"""", F13701=""""), ""真實支出"",
  AND(E13701="""", F13701&lt;&gt;""""), ""真實收入"",
  TRUE, ""其他""
)"),"其他")</f>
        <v>其他</v>
      </c>
      <c r="K13701" s="270" t="str">
        <f t="shared" si="2"/>
        <v/>
      </c>
      <c r="L13701">
        <f t="shared" si="3"/>
        <v>0</v>
      </c>
    </row>
    <row r="13702">
      <c r="A13702" s="107"/>
      <c r="D13702" s="270"/>
      <c r="H13702" s="106" t="str">
        <f t="shared" si="1"/>
        <v/>
      </c>
      <c r="J13702" t="str">
        <f>IFERROR(__xludf.DUMMYFUNCTION("IFS(
  AND(REGEXMATCH(E13702, ""台銀籌備帳戶|玉山帳戶""), REGEXMATCH(C13702, ""薪資"")), ""分潤支出"",
  AND(REGEXMATCH(E13702, ""Ben帳戶|Elsa帳戶|Ben代墊|Ariel代墊|中信銀行共用""), REGEXMATCH(F13702, ""Ben帳戶|Elsa帳戶|Ben代墊|Ariel代墊|中信銀行共用"")), ""內部轉帳(忽略)"",
  AND(E13702&lt;&gt;"""", F13702&lt;&gt;"&amp;""""", NOT(REGEXMATCH(C13702, ""薪資""))), ""內部轉帳(忽略)"",
  REGEXMATCH(C13702, ""薪資""), ""薪資變動(不計入)"",
  REGEXMATCH(C13702, ""押金""), ""押金往來"",
  AND(E13702&lt;&gt;"""", F13702=""""), ""真實支出"",
  AND(E13702="""", F13702&lt;&gt;""""), ""真實收入"",
  TRUE, ""其他""
)"),"其他")</f>
        <v>其他</v>
      </c>
      <c r="K13702" s="270" t="str">
        <f t="shared" si="2"/>
        <v/>
      </c>
      <c r="L13702">
        <f t="shared" si="3"/>
        <v>0</v>
      </c>
    </row>
    <row r="13703">
      <c r="A13703" s="107"/>
      <c r="D13703" s="270"/>
      <c r="H13703" s="106" t="str">
        <f t="shared" si="1"/>
        <v/>
      </c>
      <c r="J13703" t="str">
        <f>IFERROR(__xludf.DUMMYFUNCTION("IFS(
  AND(REGEXMATCH(E13703, ""台銀籌備帳戶|玉山帳戶""), REGEXMATCH(C13703, ""薪資"")), ""分潤支出"",
  AND(REGEXMATCH(E13703, ""Ben帳戶|Elsa帳戶|Ben代墊|Ariel代墊|中信銀行共用""), REGEXMATCH(F13703, ""Ben帳戶|Elsa帳戶|Ben代墊|Ariel代墊|中信銀行共用"")), ""內部轉帳(忽略)"",
  AND(E13703&lt;&gt;"""", F13703&lt;&gt;"&amp;""""", NOT(REGEXMATCH(C13703, ""薪資""))), ""內部轉帳(忽略)"",
  REGEXMATCH(C13703, ""薪資""), ""薪資變動(不計入)"",
  REGEXMATCH(C13703, ""押金""), ""押金往來"",
  AND(E13703&lt;&gt;"""", F13703=""""), ""真實支出"",
  AND(E13703="""", F13703&lt;&gt;""""), ""真實收入"",
  TRUE, ""其他""
)"),"其他")</f>
        <v>其他</v>
      </c>
      <c r="K13703" s="270" t="str">
        <f t="shared" si="2"/>
        <v/>
      </c>
      <c r="L13703">
        <f t="shared" si="3"/>
        <v>0</v>
      </c>
    </row>
    <row r="13704">
      <c r="A13704" s="107"/>
      <c r="D13704" s="270"/>
      <c r="H13704" s="106" t="str">
        <f t="shared" si="1"/>
        <v/>
      </c>
      <c r="J13704" t="str">
        <f>IFERROR(__xludf.DUMMYFUNCTION("IFS(
  AND(REGEXMATCH(E13704, ""台銀籌備帳戶|玉山帳戶""), REGEXMATCH(C13704, ""薪資"")), ""分潤支出"",
  AND(REGEXMATCH(E13704, ""Ben帳戶|Elsa帳戶|Ben代墊|Ariel代墊|中信銀行共用""), REGEXMATCH(F13704, ""Ben帳戶|Elsa帳戶|Ben代墊|Ariel代墊|中信銀行共用"")), ""內部轉帳(忽略)"",
  AND(E13704&lt;&gt;"""", F13704&lt;&gt;"&amp;""""", NOT(REGEXMATCH(C13704, ""薪資""))), ""內部轉帳(忽略)"",
  REGEXMATCH(C13704, ""薪資""), ""薪資變動(不計入)"",
  REGEXMATCH(C13704, ""押金""), ""押金往來"",
  AND(E13704&lt;&gt;"""", F13704=""""), ""真實支出"",
  AND(E13704="""", F13704&lt;&gt;""""), ""真實收入"",
  TRUE, ""其他""
)"),"其他")</f>
        <v>其他</v>
      </c>
      <c r="K13704" s="270" t="str">
        <f t="shared" si="2"/>
        <v/>
      </c>
      <c r="L13704">
        <f t="shared" si="3"/>
        <v>0</v>
      </c>
    </row>
    <row r="13705">
      <c r="A13705" s="107"/>
      <c r="D13705" s="270"/>
      <c r="H13705" s="106" t="str">
        <f t="shared" si="1"/>
        <v/>
      </c>
      <c r="J13705" t="str">
        <f>IFERROR(__xludf.DUMMYFUNCTION("IFS(
  AND(REGEXMATCH(E13705, ""台銀籌備帳戶|玉山帳戶""), REGEXMATCH(C13705, ""薪資"")), ""分潤支出"",
  AND(REGEXMATCH(E13705, ""Ben帳戶|Elsa帳戶|Ben代墊|Ariel代墊|中信銀行共用""), REGEXMATCH(F13705, ""Ben帳戶|Elsa帳戶|Ben代墊|Ariel代墊|中信銀行共用"")), ""內部轉帳(忽略)"",
  AND(E13705&lt;&gt;"""", F13705&lt;&gt;"&amp;""""", NOT(REGEXMATCH(C13705, ""薪資""))), ""內部轉帳(忽略)"",
  REGEXMATCH(C13705, ""薪資""), ""薪資變動(不計入)"",
  REGEXMATCH(C13705, ""押金""), ""押金往來"",
  AND(E13705&lt;&gt;"""", F13705=""""), ""真實支出"",
  AND(E13705="""", F13705&lt;&gt;""""), ""真實收入"",
  TRUE, ""其他""
)"),"其他")</f>
        <v>其他</v>
      </c>
      <c r="K13705" s="270" t="str">
        <f t="shared" si="2"/>
        <v/>
      </c>
      <c r="L13705">
        <f t="shared" si="3"/>
        <v>0</v>
      </c>
    </row>
    <row r="13706">
      <c r="A13706" s="107"/>
      <c r="D13706" s="270"/>
      <c r="H13706" s="106" t="str">
        <f t="shared" si="1"/>
        <v/>
      </c>
      <c r="J13706" t="str">
        <f>IFERROR(__xludf.DUMMYFUNCTION("IFS(
  AND(REGEXMATCH(E13706, ""台銀籌備帳戶|玉山帳戶""), REGEXMATCH(C13706, ""薪資"")), ""分潤支出"",
  AND(REGEXMATCH(E13706, ""Ben帳戶|Elsa帳戶|Ben代墊|Ariel代墊|中信銀行共用""), REGEXMATCH(F13706, ""Ben帳戶|Elsa帳戶|Ben代墊|Ariel代墊|中信銀行共用"")), ""內部轉帳(忽略)"",
  AND(E13706&lt;&gt;"""", F13706&lt;&gt;"&amp;""""", NOT(REGEXMATCH(C13706, ""薪資""))), ""內部轉帳(忽略)"",
  REGEXMATCH(C13706, ""薪資""), ""薪資變動(不計入)"",
  REGEXMATCH(C13706, ""押金""), ""押金往來"",
  AND(E13706&lt;&gt;"""", F13706=""""), ""真實支出"",
  AND(E13706="""", F13706&lt;&gt;""""), ""真實收入"",
  TRUE, ""其他""
)"),"其他")</f>
        <v>其他</v>
      </c>
      <c r="K13706" s="270" t="str">
        <f t="shared" si="2"/>
        <v/>
      </c>
      <c r="L13706">
        <f t="shared" si="3"/>
        <v>0</v>
      </c>
    </row>
    <row r="13707">
      <c r="A13707" s="107"/>
      <c r="D13707" s="270"/>
      <c r="H13707" s="106" t="str">
        <f t="shared" si="1"/>
        <v/>
      </c>
      <c r="J13707" t="str">
        <f>IFERROR(__xludf.DUMMYFUNCTION("IFS(
  AND(REGEXMATCH(E13707, ""台銀籌備帳戶|玉山帳戶""), REGEXMATCH(C13707, ""薪資"")), ""分潤支出"",
  AND(REGEXMATCH(E13707, ""Ben帳戶|Elsa帳戶|Ben代墊|Ariel代墊|中信銀行共用""), REGEXMATCH(F13707, ""Ben帳戶|Elsa帳戶|Ben代墊|Ariel代墊|中信銀行共用"")), ""內部轉帳(忽略)"",
  AND(E13707&lt;&gt;"""", F13707&lt;&gt;"&amp;""""", NOT(REGEXMATCH(C13707, ""薪資""))), ""內部轉帳(忽略)"",
  REGEXMATCH(C13707, ""薪資""), ""薪資變動(不計入)"",
  REGEXMATCH(C13707, ""押金""), ""押金往來"",
  AND(E13707&lt;&gt;"""", F13707=""""), ""真實支出"",
  AND(E13707="""", F13707&lt;&gt;""""), ""真實收入"",
  TRUE, ""其他""
)"),"其他")</f>
        <v>其他</v>
      </c>
      <c r="K13707" s="270" t="str">
        <f t="shared" si="2"/>
        <v/>
      </c>
      <c r="L13707">
        <f t="shared" si="3"/>
        <v>0</v>
      </c>
    </row>
    <row r="13708">
      <c r="A13708" s="107"/>
      <c r="D13708" s="270"/>
      <c r="H13708" s="106" t="str">
        <f t="shared" si="1"/>
        <v/>
      </c>
      <c r="J13708" t="str">
        <f>IFERROR(__xludf.DUMMYFUNCTION("IFS(
  AND(REGEXMATCH(E13708, ""台銀籌備帳戶|玉山帳戶""), REGEXMATCH(C13708, ""薪資"")), ""分潤支出"",
  AND(REGEXMATCH(E13708, ""Ben帳戶|Elsa帳戶|Ben代墊|Ariel代墊|中信銀行共用""), REGEXMATCH(F13708, ""Ben帳戶|Elsa帳戶|Ben代墊|Ariel代墊|中信銀行共用"")), ""內部轉帳(忽略)"",
  AND(E13708&lt;&gt;"""", F13708&lt;&gt;"&amp;""""", NOT(REGEXMATCH(C13708, ""薪資""))), ""內部轉帳(忽略)"",
  REGEXMATCH(C13708, ""薪資""), ""薪資變動(不計入)"",
  REGEXMATCH(C13708, ""押金""), ""押金往來"",
  AND(E13708&lt;&gt;"""", F13708=""""), ""真實支出"",
  AND(E13708="""", F13708&lt;&gt;""""), ""真實收入"",
  TRUE, ""其他""
)"),"其他")</f>
        <v>其他</v>
      </c>
      <c r="K13708" s="270" t="str">
        <f t="shared" si="2"/>
        <v/>
      </c>
      <c r="L13708">
        <f t="shared" si="3"/>
        <v>0</v>
      </c>
    </row>
    <row r="13709">
      <c r="A13709" s="107"/>
      <c r="D13709" s="270"/>
      <c r="H13709" s="106" t="str">
        <f t="shared" si="1"/>
        <v/>
      </c>
      <c r="J13709" t="str">
        <f>IFERROR(__xludf.DUMMYFUNCTION("IFS(
  AND(REGEXMATCH(E13709, ""台銀籌備帳戶|玉山帳戶""), REGEXMATCH(C13709, ""薪資"")), ""分潤支出"",
  AND(REGEXMATCH(E13709, ""Ben帳戶|Elsa帳戶|Ben代墊|Ariel代墊|中信銀行共用""), REGEXMATCH(F13709, ""Ben帳戶|Elsa帳戶|Ben代墊|Ariel代墊|中信銀行共用"")), ""內部轉帳(忽略)"",
  AND(E13709&lt;&gt;"""", F13709&lt;&gt;"&amp;""""", NOT(REGEXMATCH(C13709, ""薪資""))), ""內部轉帳(忽略)"",
  REGEXMATCH(C13709, ""薪資""), ""薪資變動(不計入)"",
  REGEXMATCH(C13709, ""押金""), ""押金往來"",
  AND(E13709&lt;&gt;"""", F13709=""""), ""真實支出"",
  AND(E13709="""", F13709&lt;&gt;""""), ""真實收入"",
  TRUE, ""其他""
)"),"其他")</f>
        <v>其他</v>
      </c>
      <c r="K13709" s="270" t="str">
        <f t="shared" si="2"/>
        <v/>
      </c>
      <c r="L13709">
        <f t="shared" si="3"/>
        <v>0</v>
      </c>
    </row>
    <row r="13710">
      <c r="A13710" s="107"/>
      <c r="D13710" s="270"/>
      <c r="H13710" s="106" t="str">
        <f t="shared" si="1"/>
        <v/>
      </c>
      <c r="J13710" t="str">
        <f>IFERROR(__xludf.DUMMYFUNCTION("IFS(
  AND(REGEXMATCH(E13710, ""台銀籌備帳戶|玉山帳戶""), REGEXMATCH(C13710, ""薪資"")), ""分潤支出"",
  AND(REGEXMATCH(E13710, ""Ben帳戶|Elsa帳戶|Ben代墊|Ariel代墊|中信銀行共用""), REGEXMATCH(F13710, ""Ben帳戶|Elsa帳戶|Ben代墊|Ariel代墊|中信銀行共用"")), ""內部轉帳(忽略)"",
  AND(E13710&lt;&gt;"""", F13710&lt;&gt;"&amp;""""", NOT(REGEXMATCH(C13710, ""薪資""))), ""內部轉帳(忽略)"",
  REGEXMATCH(C13710, ""薪資""), ""薪資變動(不計入)"",
  REGEXMATCH(C13710, ""押金""), ""押金往來"",
  AND(E13710&lt;&gt;"""", F13710=""""), ""真實支出"",
  AND(E13710="""", F13710&lt;&gt;""""), ""真實收入"",
  TRUE, ""其他""
)"),"其他")</f>
        <v>其他</v>
      </c>
      <c r="K13710" s="270" t="str">
        <f t="shared" si="2"/>
        <v/>
      </c>
      <c r="L13710">
        <f t="shared" si="3"/>
        <v>0</v>
      </c>
    </row>
    <row r="13711">
      <c r="A13711" s="107"/>
      <c r="D13711" s="270"/>
      <c r="H13711" s="106" t="str">
        <f t="shared" si="1"/>
        <v/>
      </c>
      <c r="J13711" t="str">
        <f>IFERROR(__xludf.DUMMYFUNCTION("IFS(
  AND(REGEXMATCH(E13711, ""台銀籌備帳戶|玉山帳戶""), REGEXMATCH(C13711, ""薪資"")), ""分潤支出"",
  AND(REGEXMATCH(E13711, ""Ben帳戶|Elsa帳戶|Ben代墊|Ariel代墊|中信銀行共用""), REGEXMATCH(F13711, ""Ben帳戶|Elsa帳戶|Ben代墊|Ariel代墊|中信銀行共用"")), ""內部轉帳(忽略)"",
  AND(E13711&lt;&gt;"""", F13711&lt;&gt;"&amp;""""", NOT(REGEXMATCH(C13711, ""薪資""))), ""內部轉帳(忽略)"",
  REGEXMATCH(C13711, ""薪資""), ""薪資變動(不計入)"",
  REGEXMATCH(C13711, ""押金""), ""押金往來"",
  AND(E13711&lt;&gt;"""", F13711=""""), ""真實支出"",
  AND(E13711="""", F13711&lt;&gt;""""), ""真實收入"",
  TRUE, ""其他""
)"),"其他")</f>
        <v>其他</v>
      </c>
      <c r="K13711" s="270" t="str">
        <f t="shared" si="2"/>
        <v/>
      </c>
      <c r="L13711">
        <f t="shared" si="3"/>
        <v>0</v>
      </c>
    </row>
    <row r="13712">
      <c r="A13712" s="107"/>
      <c r="D13712" s="270"/>
      <c r="H13712" s="106" t="str">
        <f t="shared" si="1"/>
        <v/>
      </c>
      <c r="J13712" t="str">
        <f>IFERROR(__xludf.DUMMYFUNCTION("IFS(
  AND(REGEXMATCH(E13712, ""台銀籌備帳戶|玉山帳戶""), REGEXMATCH(C13712, ""薪資"")), ""分潤支出"",
  AND(REGEXMATCH(E13712, ""Ben帳戶|Elsa帳戶|Ben代墊|Ariel代墊|中信銀行共用""), REGEXMATCH(F13712, ""Ben帳戶|Elsa帳戶|Ben代墊|Ariel代墊|中信銀行共用"")), ""內部轉帳(忽略)"",
  AND(E13712&lt;&gt;"""", F13712&lt;&gt;"&amp;""""", NOT(REGEXMATCH(C13712, ""薪資""))), ""內部轉帳(忽略)"",
  REGEXMATCH(C13712, ""薪資""), ""薪資變動(不計入)"",
  REGEXMATCH(C13712, ""押金""), ""押金往來"",
  AND(E13712&lt;&gt;"""", F13712=""""), ""真實支出"",
  AND(E13712="""", F13712&lt;&gt;""""), ""真實收入"",
  TRUE, ""其他""
)"),"其他")</f>
        <v>其他</v>
      </c>
      <c r="K13712" s="270" t="str">
        <f t="shared" si="2"/>
        <v/>
      </c>
      <c r="L13712">
        <f t="shared" si="3"/>
        <v>0</v>
      </c>
    </row>
    <row r="13713">
      <c r="A13713" s="107"/>
      <c r="D13713" s="270"/>
      <c r="H13713" s="106" t="str">
        <f t="shared" si="1"/>
        <v/>
      </c>
      <c r="J13713" t="str">
        <f>IFERROR(__xludf.DUMMYFUNCTION("IFS(
  AND(REGEXMATCH(E13713, ""台銀籌備帳戶|玉山帳戶""), REGEXMATCH(C13713, ""薪資"")), ""分潤支出"",
  AND(REGEXMATCH(E13713, ""Ben帳戶|Elsa帳戶|Ben代墊|Ariel代墊|中信銀行共用""), REGEXMATCH(F13713, ""Ben帳戶|Elsa帳戶|Ben代墊|Ariel代墊|中信銀行共用"")), ""內部轉帳(忽略)"",
  AND(E13713&lt;&gt;"""", F13713&lt;&gt;"&amp;""""", NOT(REGEXMATCH(C13713, ""薪資""))), ""內部轉帳(忽略)"",
  REGEXMATCH(C13713, ""薪資""), ""薪資變動(不計入)"",
  REGEXMATCH(C13713, ""押金""), ""押金往來"",
  AND(E13713&lt;&gt;"""", F13713=""""), ""真實支出"",
  AND(E13713="""", F13713&lt;&gt;""""), ""真實收入"",
  TRUE, ""其他""
)"),"其他")</f>
        <v>其他</v>
      </c>
      <c r="K13713" s="270" t="str">
        <f t="shared" si="2"/>
        <v/>
      </c>
      <c r="L13713">
        <f t="shared" si="3"/>
        <v>0</v>
      </c>
    </row>
    <row r="13714">
      <c r="A13714" s="107"/>
      <c r="D13714" s="270"/>
      <c r="H13714" s="106" t="str">
        <f t="shared" si="1"/>
        <v/>
      </c>
      <c r="J13714" t="str">
        <f>IFERROR(__xludf.DUMMYFUNCTION("IFS(
  AND(REGEXMATCH(E13714, ""台銀籌備帳戶|玉山帳戶""), REGEXMATCH(C13714, ""薪資"")), ""分潤支出"",
  AND(REGEXMATCH(E13714, ""Ben帳戶|Elsa帳戶|Ben代墊|Ariel代墊|中信銀行共用""), REGEXMATCH(F13714, ""Ben帳戶|Elsa帳戶|Ben代墊|Ariel代墊|中信銀行共用"")), ""內部轉帳(忽略)"",
  AND(E13714&lt;&gt;"""", F13714&lt;&gt;"&amp;""""", NOT(REGEXMATCH(C13714, ""薪資""))), ""內部轉帳(忽略)"",
  REGEXMATCH(C13714, ""薪資""), ""薪資變動(不計入)"",
  REGEXMATCH(C13714, ""押金""), ""押金往來"",
  AND(E13714&lt;&gt;"""", F13714=""""), ""真實支出"",
  AND(E13714="""", F13714&lt;&gt;""""), ""真實收入"",
  TRUE, ""其他""
)"),"其他")</f>
        <v>其他</v>
      </c>
      <c r="K13714" s="270" t="str">
        <f t="shared" si="2"/>
        <v/>
      </c>
      <c r="L13714">
        <f t="shared" si="3"/>
        <v>0</v>
      </c>
    </row>
    <row r="13715">
      <c r="A13715" s="107"/>
      <c r="D13715" s="270"/>
      <c r="H13715" s="106" t="str">
        <f t="shared" si="1"/>
        <v/>
      </c>
      <c r="J13715" t="str">
        <f>IFERROR(__xludf.DUMMYFUNCTION("IFS(
  AND(REGEXMATCH(E13715, ""台銀籌備帳戶|玉山帳戶""), REGEXMATCH(C13715, ""薪資"")), ""分潤支出"",
  AND(REGEXMATCH(E13715, ""Ben帳戶|Elsa帳戶|Ben代墊|Ariel代墊|中信銀行共用""), REGEXMATCH(F13715, ""Ben帳戶|Elsa帳戶|Ben代墊|Ariel代墊|中信銀行共用"")), ""內部轉帳(忽略)"",
  AND(E13715&lt;&gt;"""", F13715&lt;&gt;"&amp;""""", NOT(REGEXMATCH(C13715, ""薪資""))), ""內部轉帳(忽略)"",
  REGEXMATCH(C13715, ""薪資""), ""薪資變動(不計入)"",
  REGEXMATCH(C13715, ""押金""), ""押金往來"",
  AND(E13715&lt;&gt;"""", F13715=""""), ""真實支出"",
  AND(E13715="""", F13715&lt;&gt;""""), ""真實收入"",
  TRUE, ""其他""
)"),"其他")</f>
        <v>其他</v>
      </c>
      <c r="K13715" s="270" t="str">
        <f t="shared" si="2"/>
        <v/>
      </c>
      <c r="L13715">
        <f t="shared" si="3"/>
        <v>0</v>
      </c>
    </row>
    <row r="13716">
      <c r="A13716" s="107"/>
      <c r="D13716" s="270"/>
      <c r="H13716" s="106" t="str">
        <f t="shared" si="1"/>
        <v/>
      </c>
      <c r="J13716" t="str">
        <f>IFERROR(__xludf.DUMMYFUNCTION("IFS(
  AND(REGEXMATCH(E13716, ""台銀籌備帳戶|玉山帳戶""), REGEXMATCH(C13716, ""薪資"")), ""分潤支出"",
  AND(REGEXMATCH(E13716, ""Ben帳戶|Elsa帳戶|Ben代墊|Ariel代墊|中信銀行共用""), REGEXMATCH(F13716, ""Ben帳戶|Elsa帳戶|Ben代墊|Ariel代墊|中信銀行共用"")), ""內部轉帳(忽略)"",
  AND(E13716&lt;&gt;"""", F13716&lt;&gt;"&amp;""""", NOT(REGEXMATCH(C13716, ""薪資""))), ""內部轉帳(忽略)"",
  REGEXMATCH(C13716, ""薪資""), ""薪資變動(不計入)"",
  REGEXMATCH(C13716, ""押金""), ""押金往來"",
  AND(E13716&lt;&gt;"""", F13716=""""), ""真實支出"",
  AND(E13716="""", F13716&lt;&gt;""""), ""真實收入"",
  TRUE, ""其他""
)"),"其他")</f>
        <v>其他</v>
      </c>
      <c r="K13716" s="270" t="str">
        <f t="shared" si="2"/>
        <v/>
      </c>
      <c r="L13716">
        <f t="shared" si="3"/>
        <v>0</v>
      </c>
    </row>
    <row r="13717">
      <c r="A13717" s="107"/>
      <c r="D13717" s="270"/>
      <c r="H13717" s="106" t="str">
        <f t="shared" si="1"/>
        <v/>
      </c>
      <c r="J13717" t="str">
        <f>IFERROR(__xludf.DUMMYFUNCTION("IFS(
  AND(REGEXMATCH(E13717, ""台銀籌備帳戶|玉山帳戶""), REGEXMATCH(C13717, ""薪資"")), ""分潤支出"",
  AND(REGEXMATCH(E13717, ""Ben帳戶|Elsa帳戶|Ben代墊|Ariel代墊|中信銀行共用""), REGEXMATCH(F13717, ""Ben帳戶|Elsa帳戶|Ben代墊|Ariel代墊|中信銀行共用"")), ""內部轉帳(忽略)"",
  AND(E13717&lt;&gt;"""", F13717&lt;&gt;"&amp;""""", NOT(REGEXMATCH(C13717, ""薪資""))), ""內部轉帳(忽略)"",
  REGEXMATCH(C13717, ""薪資""), ""薪資變動(不計入)"",
  REGEXMATCH(C13717, ""押金""), ""押金往來"",
  AND(E13717&lt;&gt;"""", F13717=""""), ""真實支出"",
  AND(E13717="""", F13717&lt;&gt;""""), ""真實收入"",
  TRUE, ""其他""
)"),"其他")</f>
        <v>其他</v>
      </c>
      <c r="K13717" s="270" t="str">
        <f t="shared" si="2"/>
        <v/>
      </c>
      <c r="L13717">
        <f t="shared" si="3"/>
        <v>0</v>
      </c>
    </row>
    <row r="13718">
      <c r="A13718" s="107"/>
      <c r="D13718" s="270"/>
      <c r="H13718" s="106" t="str">
        <f t="shared" si="1"/>
        <v/>
      </c>
      <c r="J13718" t="str">
        <f>IFERROR(__xludf.DUMMYFUNCTION("IFS(
  AND(REGEXMATCH(E13718, ""台銀籌備帳戶|玉山帳戶""), REGEXMATCH(C13718, ""薪資"")), ""分潤支出"",
  AND(REGEXMATCH(E13718, ""Ben帳戶|Elsa帳戶|Ben代墊|Ariel代墊|中信銀行共用""), REGEXMATCH(F13718, ""Ben帳戶|Elsa帳戶|Ben代墊|Ariel代墊|中信銀行共用"")), ""內部轉帳(忽略)"",
  AND(E13718&lt;&gt;"""", F13718&lt;&gt;"&amp;""""", NOT(REGEXMATCH(C13718, ""薪資""))), ""內部轉帳(忽略)"",
  REGEXMATCH(C13718, ""薪資""), ""薪資變動(不計入)"",
  REGEXMATCH(C13718, ""押金""), ""押金往來"",
  AND(E13718&lt;&gt;"""", F13718=""""), ""真實支出"",
  AND(E13718="""", F13718&lt;&gt;""""), ""真實收入"",
  TRUE, ""其他""
)"),"其他")</f>
        <v>其他</v>
      </c>
      <c r="K13718" s="270" t="str">
        <f t="shared" si="2"/>
        <v/>
      </c>
      <c r="L13718">
        <f t="shared" si="3"/>
        <v>0</v>
      </c>
    </row>
    <row r="13719">
      <c r="A13719" s="107"/>
      <c r="D13719" s="270"/>
      <c r="H13719" s="106" t="str">
        <f t="shared" si="1"/>
        <v/>
      </c>
      <c r="J13719" t="str">
        <f>IFERROR(__xludf.DUMMYFUNCTION("IFS(
  AND(REGEXMATCH(E13719, ""台銀籌備帳戶|玉山帳戶""), REGEXMATCH(C13719, ""薪資"")), ""分潤支出"",
  AND(REGEXMATCH(E13719, ""Ben帳戶|Elsa帳戶|Ben代墊|Ariel代墊|中信銀行共用""), REGEXMATCH(F13719, ""Ben帳戶|Elsa帳戶|Ben代墊|Ariel代墊|中信銀行共用"")), ""內部轉帳(忽略)"",
  AND(E13719&lt;&gt;"""", F13719&lt;&gt;"&amp;""""", NOT(REGEXMATCH(C13719, ""薪資""))), ""內部轉帳(忽略)"",
  REGEXMATCH(C13719, ""薪資""), ""薪資變動(不計入)"",
  REGEXMATCH(C13719, ""押金""), ""押金往來"",
  AND(E13719&lt;&gt;"""", F13719=""""), ""真實支出"",
  AND(E13719="""", F13719&lt;&gt;""""), ""真實收入"",
  TRUE, ""其他""
)"),"其他")</f>
        <v>其他</v>
      </c>
      <c r="K13719" s="270" t="str">
        <f t="shared" si="2"/>
        <v/>
      </c>
      <c r="L13719">
        <f t="shared" si="3"/>
        <v>0</v>
      </c>
    </row>
    <row r="13720">
      <c r="A13720" s="107"/>
      <c r="D13720" s="270"/>
      <c r="H13720" s="106" t="str">
        <f t="shared" si="1"/>
        <v/>
      </c>
      <c r="J13720" t="str">
        <f>IFERROR(__xludf.DUMMYFUNCTION("IFS(
  AND(REGEXMATCH(E13720, ""台銀籌備帳戶|玉山帳戶""), REGEXMATCH(C13720, ""薪資"")), ""分潤支出"",
  AND(REGEXMATCH(E13720, ""Ben帳戶|Elsa帳戶|Ben代墊|Ariel代墊|中信銀行共用""), REGEXMATCH(F13720, ""Ben帳戶|Elsa帳戶|Ben代墊|Ariel代墊|中信銀行共用"")), ""內部轉帳(忽略)"",
  AND(E13720&lt;&gt;"""", F13720&lt;&gt;"&amp;""""", NOT(REGEXMATCH(C13720, ""薪資""))), ""內部轉帳(忽略)"",
  REGEXMATCH(C13720, ""薪資""), ""薪資變動(不計入)"",
  REGEXMATCH(C13720, ""押金""), ""押金往來"",
  AND(E13720&lt;&gt;"""", F13720=""""), ""真實支出"",
  AND(E13720="""", F13720&lt;&gt;""""), ""真實收入"",
  TRUE, ""其他""
)"),"其他")</f>
        <v>其他</v>
      </c>
      <c r="K13720" s="270" t="str">
        <f t="shared" si="2"/>
        <v/>
      </c>
      <c r="L13720">
        <f t="shared" si="3"/>
        <v>0</v>
      </c>
    </row>
    <row r="13721">
      <c r="A13721" s="107"/>
      <c r="D13721" s="270"/>
      <c r="H13721" s="106" t="str">
        <f t="shared" si="1"/>
        <v/>
      </c>
      <c r="J13721" t="str">
        <f>IFERROR(__xludf.DUMMYFUNCTION("IFS(
  AND(REGEXMATCH(E13721, ""台銀籌備帳戶|玉山帳戶""), REGEXMATCH(C13721, ""薪資"")), ""分潤支出"",
  AND(REGEXMATCH(E13721, ""Ben帳戶|Elsa帳戶|Ben代墊|Ariel代墊|中信銀行共用""), REGEXMATCH(F13721, ""Ben帳戶|Elsa帳戶|Ben代墊|Ariel代墊|中信銀行共用"")), ""內部轉帳(忽略)"",
  AND(E13721&lt;&gt;"""", F13721&lt;&gt;"&amp;""""", NOT(REGEXMATCH(C13721, ""薪資""))), ""內部轉帳(忽略)"",
  REGEXMATCH(C13721, ""薪資""), ""薪資變動(不計入)"",
  REGEXMATCH(C13721, ""押金""), ""押金往來"",
  AND(E13721&lt;&gt;"""", F13721=""""), ""真實支出"",
  AND(E13721="""", F13721&lt;&gt;""""), ""真實收入"",
  TRUE, ""其他""
)"),"其他")</f>
        <v>其他</v>
      </c>
      <c r="K13721" s="270" t="str">
        <f t="shared" si="2"/>
        <v/>
      </c>
      <c r="L13721">
        <f t="shared" si="3"/>
        <v>0</v>
      </c>
    </row>
    <row r="13722">
      <c r="A13722" s="107"/>
      <c r="D13722" s="270"/>
      <c r="H13722" s="106" t="str">
        <f t="shared" si="1"/>
        <v/>
      </c>
      <c r="J13722" t="str">
        <f>IFERROR(__xludf.DUMMYFUNCTION("IFS(
  AND(REGEXMATCH(E13722, ""台銀籌備帳戶|玉山帳戶""), REGEXMATCH(C13722, ""薪資"")), ""分潤支出"",
  AND(REGEXMATCH(E13722, ""Ben帳戶|Elsa帳戶|Ben代墊|Ariel代墊|中信銀行共用""), REGEXMATCH(F13722, ""Ben帳戶|Elsa帳戶|Ben代墊|Ariel代墊|中信銀行共用"")), ""內部轉帳(忽略)"",
  AND(E13722&lt;&gt;"""", F13722&lt;&gt;"&amp;""""", NOT(REGEXMATCH(C13722, ""薪資""))), ""內部轉帳(忽略)"",
  REGEXMATCH(C13722, ""薪資""), ""薪資變動(不計入)"",
  REGEXMATCH(C13722, ""押金""), ""押金往來"",
  AND(E13722&lt;&gt;"""", F13722=""""), ""真實支出"",
  AND(E13722="""", F13722&lt;&gt;""""), ""真實收入"",
  TRUE, ""其他""
)"),"其他")</f>
        <v>其他</v>
      </c>
      <c r="K13722" s="270" t="str">
        <f t="shared" si="2"/>
        <v/>
      </c>
      <c r="L13722">
        <f t="shared" si="3"/>
        <v>0</v>
      </c>
    </row>
    <row r="13723">
      <c r="A13723" s="107"/>
      <c r="D13723" s="270"/>
      <c r="H13723" s="106" t="str">
        <f t="shared" si="1"/>
        <v/>
      </c>
      <c r="J13723" t="str">
        <f>IFERROR(__xludf.DUMMYFUNCTION("IFS(
  AND(REGEXMATCH(E13723, ""台銀籌備帳戶|玉山帳戶""), REGEXMATCH(C13723, ""薪資"")), ""分潤支出"",
  AND(REGEXMATCH(E13723, ""Ben帳戶|Elsa帳戶|Ben代墊|Ariel代墊|中信銀行共用""), REGEXMATCH(F13723, ""Ben帳戶|Elsa帳戶|Ben代墊|Ariel代墊|中信銀行共用"")), ""內部轉帳(忽略)"",
  AND(E13723&lt;&gt;"""", F13723&lt;&gt;"&amp;""""", NOT(REGEXMATCH(C13723, ""薪資""))), ""內部轉帳(忽略)"",
  REGEXMATCH(C13723, ""薪資""), ""薪資變動(不計入)"",
  REGEXMATCH(C13723, ""押金""), ""押金往來"",
  AND(E13723&lt;&gt;"""", F13723=""""), ""真實支出"",
  AND(E13723="""", F13723&lt;&gt;""""), ""真實收入"",
  TRUE, ""其他""
)"),"其他")</f>
        <v>其他</v>
      </c>
      <c r="K13723" s="270" t="str">
        <f t="shared" si="2"/>
        <v/>
      </c>
      <c r="L13723">
        <f t="shared" si="3"/>
        <v>0</v>
      </c>
    </row>
    <row r="13724">
      <c r="A13724" s="107"/>
      <c r="D13724" s="270"/>
      <c r="H13724" s="106" t="str">
        <f t="shared" si="1"/>
        <v/>
      </c>
      <c r="J13724" t="str">
        <f>IFERROR(__xludf.DUMMYFUNCTION("IFS(
  AND(REGEXMATCH(E13724, ""台銀籌備帳戶|玉山帳戶""), REGEXMATCH(C13724, ""薪資"")), ""分潤支出"",
  AND(REGEXMATCH(E13724, ""Ben帳戶|Elsa帳戶|Ben代墊|Ariel代墊|中信銀行共用""), REGEXMATCH(F13724, ""Ben帳戶|Elsa帳戶|Ben代墊|Ariel代墊|中信銀行共用"")), ""內部轉帳(忽略)"",
  AND(E13724&lt;&gt;"""", F13724&lt;&gt;"&amp;""""", NOT(REGEXMATCH(C13724, ""薪資""))), ""內部轉帳(忽略)"",
  REGEXMATCH(C13724, ""薪資""), ""薪資變動(不計入)"",
  REGEXMATCH(C13724, ""押金""), ""押金往來"",
  AND(E13724&lt;&gt;"""", F13724=""""), ""真實支出"",
  AND(E13724="""", F13724&lt;&gt;""""), ""真實收入"",
  TRUE, ""其他""
)"),"其他")</f>
        <v>其他</v>
      </c>
      <c r="K13724" s="270" t="str">
        <f t="shared" si="2"/>
        <v/>
      </c>
      <c r="L13724">
        <f t="shared" si="3"/>
        <v>0</v>
      </c>
    </row>
    <row r="13725">
      <c r="A13725" s="107"/>
      <c r="D13725" s="270"/>
      <c r="H13725" s="106" t="str">
        <f t="shared" si="1"/>
        <v/>
      </c>
      <c r="J13725" t="str">
        <f>IFERROR(__xludf.DUMMYFUNCTION("IFS(
  AND(REGEXMATCH(E13725, ""台銀籌備帳戶|玉山帳戶""), REGEXMATCH(C13725, ""薪資"")), ""分潤支出"",
  AND(REGEXMATCH(E13725, ""Ben帳戶|Elsa帳戶|Ben代墊|Ariel代墊|中信銀行共用""), REGEXMATCH(F13725, ""Ben帳戶|Elsa帳戶|Ben代墊|Ariel代墊|中信銀行共用"")), ""內部轉帳(忽略)"",
  AND(E13725&lt;&gt;"""", F13725&lt;&gt;"&amp;""""", NOT(REGEXMATCH(C13725, ""薪資""))), ""內部轉帳(忽略)"",
  REGEXMATCH(C13725, ""薪資""), ""薪資變動(不計入)"",
  REGEXMATCH(C13725, ""押金""), ""押金往來"",
  AND(E13725&lt;&gt;"""", F13725=""""), ""真實支出"",
  AND(E13725="""", F13725&lt;&gt;""""), ""真實收入"",
  TRUE, ""其他""
)"),"其他")</f>
        <v>其他</v>
      </c>
      <c r="K13725" s="270" t="str">
        <f t="shared" si="2"/>
        <v/>
      </c>
      <c r="L13725">
        <f t="shared" si="3"/>
        <v>0</v>
      </c>
    </row>
    <row r="13726">
      <c r="A13726" s="107"/>
      <c r="D13726" s="270"/>
      <c r="H13726" s="106" t="str">
        <f t="shared" si="1"/>
        <v/>
      </c>
      <c r="J13726" t="str">
        <f>IFERROR(__xludf.DUMMYFUNCTION("IFS(
  AND(REGEXMATCH(E13726, ""台銀籌備帳戶|玉山帳戶""), REGEXMATCH(C13726, ""薪資"")), ""分潤支出"",
  AND(REGEXMATCH(E13726, ""Ben帳戶|Elsa帳戶|Ben代墊|Ariel代墊|中信銀行共用""), REGEXMATCH(F13726, ""Ben帳戶|Elsa帳戶|Ben代墊|Ariel代墊|中信銀行共用"")), ""內部轉帳(忽略)"",
  AND(E13726&lt;&gt;"""", F13726&lt;&gt;"&amp;""""", NOT(REGEXMATCH(C13726, ""薪資""))), ""內部轉帳(忽略)"",
  REGEXMATCH(C13726, ""薪資""), ""薪資變動(不計入)"",
  REGEXMATCH(C13726, ""押金""), ""押金往來"",
  AND(E13726&lt;&gt;"""", F13726=""""), ""真實支出"",
  AND(E13726="""", F13726&lt;&gt;""""), ""真實收入"",
  TRUE, ""其他""
)"),"其他")</f>
        <v>其他</v>
      </c>
      <c r="K13726" s="270" t="str">
        <f t="shared" si="2"/>
        <v/>
      </c>
      <c r="L13726">
        <f t="shared" si="3"/>
        <v>0</v>
      </c>
    </row>
    <row r="13727">
      <c r="A13727" s="107"/>
      <c r="D13727" s="270"/>
      <c r="H13727" s="106" t="str">
        <f t="shared" si="1"/>
        <v/>
      </c>
      <c r="J13727" t="str">
        <f>IFERROR(__xludf.DUMMYFUNCTION("IFS(
  AND(REGEXMATCH(E13727, ""台銀籌備帳戶|玉山帳戶""), REGEXMATCH(C13727, ""薪資"")), ""分潤支出"",
  AND(REGEXMATCH(E13727, ""Ben帳戶|Elsa帳戶|Ben代墊|Ariel代墊|中信銀行共用""), REGEXMATCH(F13727, ""Ben帳戶|Elsa帳戶|Ben代墊|Ariel代墊|中信銀行共用"")), ""內部轉帳(忽略)"",
  AND(E13727&lt;&gt;"""", F13727&lt;&gt;"&amp;""""", NOT(REGEXMATCH(C13727, ""薪資""))), ""內部轉帳(忽略)"",
  REGEXMATCH(C13727, ""薪資""), ""薪資變動(不計入)"",
  REGEXMATCH(C13727, ""押金""), ""押金往來"",
  AND(E13727&lt;&gt;"""", F13727=""""), ""真實支出"",
  AND(E13727="""", F13727&lt;&gt;""""), ""真實收入"",
  TRUE, ""其他""
)"),"其他")</f>
        <v>其他</v>
      </c>
      <c r="K13727" s="270" t="str">
        <f t="shared" si="2"/>
        <v/>
      </c>
      <c r="L13727">
        <f t="shared" si="3"/>
        <v>0</v>
      </c>
    </row>
    <row r="13728">
      <c r="A13728" s="107"/>
      <c r="D13728" s="270"/>
      <c r="H13728" s="106" t="str">
        <f t="shared" si="1"/>
        <v/>
      </c>
      <c r="J13728" t="str">
        <f>IFERROR(__xludf.DUMMYFUNCTION("IFS(
  AND(REGEXMATCH(E13728, ""台銀籌備帳戶|玉山帳戶""), REGEXMATCH(C13728, ""薪資"")), ""分潤支出"",
  AND(REGEXMATCH(E13728, ""Ben帳戶|Elsa帳戶|Ben代墊|Ariel代墊|中信銀行共用""), REGEXMATCH(F13728, ""Ben帳戶|Elsa帳戶|Ben代墊|Ariel代墊|中信銀行共用"")), ""內部轉帳(忽略)"",
  AND(E13728&lt;&gt;"""", F13728&lt;&gt;"&amp;""""", NOT(REGEXMATCH(C13728, ""薪資""))), ""內部轉帳(忽略)"",
  REGEXMATCH(C13728, ""薪資""), ""薪資變動(不計入)"",
  REGEXMATCH(C13728, ""押金""), ""押金往來"",
  AND(E13728&lt;&gt;"""", F13728=""""), ""真實支出"",
  AND(E13728="""", F13728&lt;&gt;""""), ""真實收入"",
  TRUE, ""其他""
)"),"其他")</f>
        <v>其他</v>
      </c>
      <c r="K13728" s="270" t="str">
        <f t="shared" si="2"/>
        <v/>
      </c>
      <c r="L13728">
        <f t="shared" si="3"/>
        <v>0</v>
      </c>
    </row>
    <row r="13729">
      <c r="A13729" s="107"/>
      <c r="D13729" s="270"/>
      <c r="H13729" s="106" t="str">
        <f t="shared" si="1"/>
        <v/>
      </c>
      <c r="J13729" t="str">
        <f>IFERROR(__xludf.DUMMYFUNCTION("IFS(
  AND(REGEXMATCH(E13729, ""台銀籌備帳戶|玉山帳戶""), REGEXMATCH(C13729, ""薪資"")), ""分潤支出"",
  AND(REGEXMATCH(E13729, ""Ben帳戶|Elsa帳戶|Ben代墊|Ariel代墊|中信銀行共用""), REGEXMATCH(F13729, ""Ben帳戶|Elsa帳戶|Ben代墊|Ariel代墊|中信銀行共用"")), ""內部轉帳(忽略)"",
  AND(E13729&lt;&gt;"""", F13729&lt;&gt;"&amp;""""", NOT(REGEXMATCH(C13729, ""薪資""))), ""內部轉帳(忽略)"",
  REGEXMATCH(C13729, ""薪資""), ""薪資變動(不計入)"",
  REGEXMATCH(C13729, ""押金""), ""押金往來"",
  AND(E13729&lt;&gt;"""", F13729=""""), ""真實支出"",
  AND(E13729="""", F13729&lt;&gt;""""), ""真實收入"",
  TRUE, ""其他""
)"),"其他")</f>
        <v>其他</v>
      </c>
      <c r="K13729" s="270" t="str">
        <f t="shared" si="2"/>
        <v/>
      </c>
      <c r="L13729">
        <f t="shared" si="3"/>
        <v>0</v>
      </c>
    </row>
    <row r="13730">
      <c r="A13730" s="107"/>
      <c r="D13730" s="270"/>
      <c r="H13730" s="106" t="str">
        <f t="shared" si="1"/>
        <v/>
      </c>
      <c r="J13730" t="str">
        <f>IFERROR(__xludf.DUMMYFUNCTION("IFS(
  AND(REGEXMATCH(E13730, ""台銀籌備帳戶|玉山帳戶""), REGEXMATCH(C13730, ""薪資"")), ""分潤支出"",
  AND(REGEXMATCH(E13730, ""Ben帳戶|Elsa帳戶|Ben代墊|Ariel代墊|中信銀行共用""), REGEXMATCH(F13730, ""Ben帳戶|Elsa帳戶|Ben代墊|Ariel代墊|中信銀行共用"")), ""內部轉帳(忽略)"",
  AND(E13730&lt;&gt;"""", F13730&lt;&gt;"&amp;""""", NOT(REGEXMATCH(C13730, ""薪資""))), ""內部轉帳(忽略)"",
  REGEXMATCH(C13730, ""薪資""), ""薪資變動(不計入)"",
  REGEXMATCH(C13730, ""押金""), ""押金往來"",
  AND(E13730&lt;&gt;"""", F13730=""""), ""真實支出"",
  AND(E13730="""", F13730&lt;&gt;""""), ""真實收入"",
  TRUE, ""其他""
)"),"其他")</f>
        <v>其他</v>
      </c>
      <c r="K13730" s="270" t="str">
        <f t="shared" si="2"/>
        <v/>
      </c>
      <c r="L13730">
        <f t="shared" si="3"/>
        <v>0</v>
      </c>
    </row>
    <row r="13731">
      <c r="A13731" s="107"/>
      <c r="D13731" s="270"/>
      <c r="H13731" s="106" t="str">
        <f t="shared" si="1"/>
        <v/>
      </c>
      <c r="J13731" t="str">
        <f>IFERROR(__xludf.DUMMYFUNCTION("IFS(
  AND(REGEXMATCH(E13731, ""台銀籌備帳戶|玉山帳戶""), REGEXMATCH(C13731, ""薪資"")), ""分潤支出"",
  AND(REGEXMATCH(E13731, ""Ben帳戶|Elsa帳戶|Ben代墊|Ariel代墊|中信銀行共用""), REGEXMATCH(F13731, ""Ben帳戶|Elsa帳戶|Ben代墊|Ariel代墊|中信銀行共用"")), ""內部轉帳(忽略)"",
  AND(E13731&lt;&gt;"""", F13731&lt;&gt;"&amp;""""", NOT(REGEXMATCH(C13731, ""薪資""))), ""內部轉帳(忽略)"",
  REGEXMATCH(C13731, ""薪資""), ""薪資變動(不計入)"",
  REGEXMATCH(C13731, ""押金""), ""押金往來"",
  AND(E13731&lt;&gt;"""", F13731=""""), ""真實支出"",
  AND(E13731="""", F13731&lt;&gt;""""), ""真實收入"",
  TRUE, ""其他""
)"),"其他")</f>
        <v>其他</v>
      </c>
      <c r="K13731" s="270" t="str">
        <f t="shared" si="2"/>
        <v/>
      </c>
      <c r="L13731">
        <f t="shared" si="3"/>
        <v>0</v>
      </c>
    </row>
    <row r="13732">
      <c r="A13732" s="107"/>
      <c r="D13732" s="270"/>
      <c r="H13732" s="106" t="str">
        <f t="shared" si="1"/>
        <v/>
      </c>
      <c r="J13732" t="str">
        <f>IFERROR(__xludf.DUMMYFUNCTION("IFS(
  AND(REGEXMATCH(E13732, ""台銀籌備帳戶|玉山帳戶""), REGEXMATCH(C13732, ""薪資"")), ""分潤支出"",
  AND(REGEXMATCH(E13732, ""Ben帳戶|Elsa帳戶|Ben代墊|Ariel代墊|中信銀行共用""), REGEXMATCH(F13732, ""Ben帳戶|Elsa帳戶|Ben代墊|Ariel代墊|中信銀行共用"")), ""內部轉帳(忽略)"",
  AND(E13732&lt;&gt;"""", F13732&lt;&gt;"&amp;""""", NOT(REGEXMATCH(C13732, ""薪資""))), ""內部轉帳(忽略)"",
  REGEXMATCH(C13732, ""薪資""), ""薪資變動(不計入)"",
  REGEXMATCH(C13732, ""押金""), ""押金往來"",
  AND(E13732&lt;&gt;"""", F13732=""""), ""真實支出"",
  AND(E13732="""", F13732&lt;&gt;""""), ""真實收入"",
  TRUE, ""其他""
)"),"其他")</f>
        <v>其他</v>
      </c>
      <c r="K13732" s="270" t="str">
        <f t="shared" si="2"/>
        <v/>
      </c>
      <c r="L13732">
        <f t="shared" si="3"/>
        <v>0</v>
      </c>
    </row>
    <row r="13733">
      <c r="A13733" s="107"/>
      <c r="D13733" s="270"/>
      <c r="H13733" s="106" t="str">
        <f t="shared" si="1"/>
        <v/>
      </c>
      <c r="J13733" t="str">
        <f>IFERROR(__xludf.DUMMYFUNCTION("IFS(
  AND(REGEXMATCH(E13733, ""台銀籌備帳戶|玉山帳戶""), REGEXMATCH(C13733, ""薪資"")), ""分潤支出"",
  AND(REGEXMATCH(E13733, ""Ben帳戶|Elsa帳戶|Ben代墊|Ariel代墊|中信銀行共用""), REGEXMATCH(F13733, ""Ben帳戶|Elsa帳戶|Ben代墊|Ariel代墊|中信銀行共用"")), ""內部轉帳(忽略)"",
  AND(E13733&lt;&gt;"""", F13733&lt;&gt;"&amp;""""", NOT(REGEXMATCH(C13733, ""薪資""))), ""內部轉帳(忽略)"",
  REGEXMATCH(C13733, ""薪資""), ""薪資變動(不計入)"",
  REGEXMATCH(C13733, ""押金""), ""押金往來"",
  AND(E13733&lt;&gt;"""", F13733=""""), ""真實支出"",
  AND(E13733="""", F13733&lt;&gt;""""), ""真實收入"",
  TRUE, ""其他""
)"),"其他")</f>
        <v>其他</v>
      </c>
      <c r="K13733" s="270" t="str">
        <f t="shared" si="2"/>
        <v/>
      </c>
      <c r="L13733">
        <f t="shared" si="3"/>
        <v>0</v>
      </c>
    </row>
    <row r="13734">
      <c r="A13734" s="107"/>
      <c r="D13734" s="270"/>
      <c r="H13734" s="106" t="str">
        <f t="shared" si="1"/>
        <v/>
      </c>
      <c r="J13734" t="str">
        <f>IFERROR(__xludf.DUMMYFUNCTION("IFS(
  AND(REGEXMATCH(E13734, ""台銀籌備帳戶|玉山帳戶""), REGEXMATCH(C13734, ""薪資"")), ""分潤支出"",
  AND(REGEXMATCH(E13734, ""Ben帳戶|Elsa帳戶|Ben代墊|Ariel代墊|中信銀行共用""), REGEXMATCH(F13734, ""Ben帳戶|Elsa帳戶|Ben代墊|Ariel代墊|中信銀行共用"")), ""內部轉帳(忽略)"",
  AND(E13734&lt;&gt;"""", F13734&lt;&gt;"&amp;""""", NOT(REGEXMATCH(C13734, ""薪資""))), ""內部轉帳(忽略)"",
  REGEXMATCH(C13734, ""薪資""), ""薪資變動(不計入)"",
  REGEXMATCH(C13734, ""押金""), ""押金往來"",
  AND(E13734&lt;&gt;"""", F13734=""""), ""真實支出"",
  AND(E13734="""", F13734&lt;&gt;""""), ""真實收入"",
  TRUE, ""其他""
)"),"其他")</f>
        <v>其他</v>
      </c>
      <c r="K13734" s="270" t="str">
        <f t="shared" si="2"/>
        <v/>
      </c>
      <c r="L13734">
        <f t="shared" si="3"/>
        <v>0</v>
      </c>
    </row>
    <row r="13735">
      <c r="A13735" s="107"/>
      <c r="D13735" s="270"/>
      <c r="H13735" s="106" t="str">
        <f t="shared" si="1"/>
        <v/>
      </c>
      <c r="J13735" t="str">
        <f>IFERROR(__xludf.DUMMYFUNCTION("IFS(
  AND(REGEXMATCH(E13735, ""台銀籌備帳戶|玉山帳戶""), REGEXMATCH(C13735, ""薪資"")), ""分潤支出"",
  AND(REGEXMATCH(E13735, ""Ben帳戶|Elsa帳戶|Ben代墊|Ariel代墊|中信銀行共用""), REGEXMATCH(F13735, ""Ben帳戶|Elsa帳戶|Ben代墊|Ariel代墊|中信銀行共用"")), ""內部轉帳(忽略)"",
  AND(E13735&lt;&gt;"""", F13735&lt;&gt;"&amp;""""", NOT(REGEXMATCH(C13735, ""薪資""))), ""內部轉帳(忽略)"",
  REGEXMATCH(C13735, ""薪資""), ""薪資變動(不計入)"",
  REGEXMATCH(C13735, ""押金""), ""押金往來"",
  AND(E13735&lt;&gt;"""", F13735=""""), ""真實支出"",
  AND(E13735="""", F13735&lt;&gt;""""), ""真實收入"",
  TRUE, ""其他""
)"),"其他")</f>
        <v>其他</v>
      </c>
      <c r="K13735" s="270" t="str">
        <f t="shared" si="2"/>
        <v/>
      </c>
      <c r="L13735">
        <f t="shared" si="3"/>
        <v>0</v>
      </c>
    </row>
    <row r="13736">
      <c r="A13736" s="107"/>
      <c r="D13736" s="270"/>
      <c r="H13736" s="106" t="str">
        <f t="shared" si="1"/>
        <v/>
      </c>
      <c r="J13736" t="str">
        <f>IFERROR(__xludf.DUMMYFUNCTION("IFS(
  AND(REGEXMATCH(E13736, ""台銀籌備帳戶|玉山帳戶""), REGEXMATCH(C13736, ""薪資"")), ""分潤支出"",
  AND(REGEXMATCH(E13736, ""Ben帳戶|Elsa帳戶|Ben代墊|Ariel代墊|中信銀行共用""), REGEXMATCH(F13736, ""Ben帳戶|Elsa帳戶|Ben代墊|Ariel代墊|中信銀行共用"")), ""內部轉帳(忽略)"",
  AND(E13736&lt;&gt;"""", F13736&lt;&gt;"&amp;""""", NOT(REGEXMATCH(C13736, ""薪資""))), ""內部轉帳(忽略)"",
  REGEXMATCH(C13736, ""薪資""), ""薪資變動(不計入)"",
  REGEXMATCH(C13736, ""押金""), ""押金往來"",
  AND(E13736&lt;&gt;"""", F13736=""""), ""真實支出"",
  AND(E13736="""", F13736&lt;&gt;""""), ""真實收入"",
  TRUE, ""其他""
)"),"其他")</f>
        <v>其他</v>
      </c>
      <c r="K13736" s="270" t="str">
        <f t="shared" si="2"/>
        <v/>
      </c>
      <c r="L13736">
        <f t="shared" si="3"/>
        <v>0</v>
      </c>
    </row>
    <row r="13737">
      <c r="A13737" s="107"/>
      <c r="D13737" s="270"/>
      <c r="H13737" s="106" t="str">
        <f t="shared" si="1"/>
        <v/>
      </c>
      <c r="J13737" t="str">
        <f>IFERROR(__xludf.DUMMYFUNCTION("IFS(
  AND(REGEXMATCH(E13737, ""台銀籌備帳戶|玉山帳戶""), REGEXMATCH(C13737, ""薪資"")), ""分潤支出"",
  AND(REGEXMATCH(E13737, ""Ben帳戶|Elsa帳戶|Ben代墊|Ariel代墊|中信銀行共用""), REGEXMATCH(F13737, ""Ben帳戶|Elsa帳戶|Ben代墊|Ariel代墊|中信銀行共用"")), ""內部轉帳(忽略)"",
  AND(E13737&lt;&gt;"""", F13737&lt;&gt;"&amp;""""", NOT(REGEXMATCH(C13737, ""薪資""))), ""內部轉帳(忽略)"",
  REGEXMATCH(C13737, ""薪資""), ""薪資變動(不計入)"",
  REGEXMATCH(C13737, ""押金""), ""押金往來"",
  AND(E13737&lt;&gt;"""", F13737=""""), ""真實支出"",
  AND(E13737="""", F13737&lt;&gt;""""), ""真實收入"",
  TRUE, ""其他""
)"),"其他")</f>
        <v>其他</v>
      </c>
      <c r="K13737" s="270" t="str">
        <f t="shared" si="2"/>
        <v/>
      </c>
      <c r="L13737">
        <f t="shared" si="3"/>
        <v>0</v>
      </c>
    </row>
    <row r="13738">
      <c r="A13738" s="107"/>
      <c r="D13738" s="270"/>
      <c r="H13738" s="106" t="str">
        <f t="shared" si="1"/>
        <v/>
      </c>
      <c r="J13738" t="str">
        <f>IFERROR(__xludf.DUMMYFUNCTION("IFS(
  AND(REGEXMATCH(E13738, ""台銀籌備帳戶|玉山帳戶""), REGEXMATCH(C13738, ""薪資"")), ""分潤支出"",
  AND(REGEXMATCH(E13738, ""Ben帳戶|Elsa帳戶|Ben代墊|Ariel代墊|中信銀行共用""), REGEXMATCH(F13738, ""Ben帳戶|Elsa帳戶|Ben代墊|Ariel代墊|中信銀行共用"")), ""內部轉帳(忽略)"",
  AND(E13738&lt;&gt;"""", F13738&lt;&gt;"&amp;""""", NOT(REGEXMATCH(C13738, ""薪資""))), ""內部轉帳(忽略)"",
  REGEXMATCH(C13738, ""薪資""), ""薪資變動(不計入)"",
  REGEXMATCH(C13738, ""押金""), ""押金往來"",
  AND(E13738&lt;&gt;"""", F13738=""""), ""真實支出"",
  AND(E13738="""", F13738&lt;&gt;""""), ""真實收入"",
  TRUE, ""其他""
)"),"其他")</f>
        <v>其他</v>
      </c>
      <c r="K13738" s="270" t="str">
        <f t="shared" si="2"/>
        <v/>
      </c>
      <c r="L13738">
        <f t="shared" si="3"/>
        <v>0</v>
      </c>
    </row>
    <row r="13739">
      <c r="A13739" s="107"/>
      <c r="D13739" s="270"/>
      <c r="H13739" s="106" t="str">
        <f t="shared" si="1"/>
        <v/>
      </c>
      <c r="J13739" t="str">
        <f>IFERROR(__xludf.DUMMYFUNCTION("IFS(
  AND(REGEXMATCH(E13739, ""台銀籌備帳戶|玉山帳戶""), REGEXMATCH(C13739, ""薪資"")), ""分潤支出"",
  AND(REGEXMATCH(E13739, ""Ben帳戶|Elsa帳戶|Ben代墊|Ariel代墊|中信銀行共用""), REGEXMATCH(F13739, ""Ben帳戶|Elsa帳戶|Ben代墊|Ariel代墊|中信銀行共用"")), ""內部轉帳(忽略)"",
  AND(E13739&lt;&gt;"""", F13739&lt;&gt;"&amp;""""", NOT(REGEXMATCH(C13739, ""薪資""))), ""內部轉帳(忽略)"",
  REGEXMATCH(C13739, ""薪資""), ""薪資變動(不計入)"",
  REGEXMATCH(C13739, ""押金""), ""押金往來"",
  AND(E13739&lt;&gt;"""", F13739=""""), ""真實支出"",
  AND(E13739="""", F13739&lt;&gt;""""), ""真實收入"",
  TRUE, ""其他""
)"),"其他")</f>
        <v>其他</v>
      </c>
      <c r="K13739" s="270" t="str">
        <f t="shared" si="2"/>
        <v/>
      </c>
      <c r="L13739">
        <f t="shared" si="3"/>
        <v>0</v>
      </c>
    </row>
    <row r="13740">
      <c r="A13740" s="107"/>
      <c r="D13740" s="270"/>
      <c r="H13740" s="106" t="str">
        <f t="shared" si="1"/>
        <v/>
      </c>
      <c r="J13740" t="str">
        <f>IFERROR(__xludf.DUMMYFUNCTION("IFS(
  AND(REGEXMATCH(E13740, ""台銀籌備帳戶|玉山帳戶""), REGEXMATCH(C13740, ""薪資"")), ""分潤支出"",
  AND(REGEXMATCH(E13740, ""Ben帳戶|Elsa帳戶|Ben代墊|Ariel代墊|中信銀行共用""), REGEXMATCH(F13740, ""Ben帳戶|Elsa帳戶|Ben代墊|Ariel代墊|中信銀行共用"")), ""內部轉帳(忽略)"",
  AND(E13740&lt;&gt;"""", F13740&lt;&gt;"&amp;""""", NOT(REGEXMATCH(C13740, ""薪資""))), ""內部轉帳(忽略)"",
  REGEXMATCH(C13740, ""薪資""), ""薪資變動(不計入)"",
  REGEXMATCH(C13740, ""押金""), ""押金往來"",
  AND(E13740&lt;&gt;"""", F13740=""""), ""真實支出"",
  AND(E13740="""", F13740&lt;&gt;""""), ""真實收入"",
  TRUE, ""其他""
)"),"其他")</f>
        <v>其他</v>
      </c>
      <c r="K13740" s="270" t="str">
        <f t="shared" si="2"/>
        <v/>
      </c>
      <c r="L13740">
        <f t="shared" si="3"/>
        <v>0</v>
      </c>
    </row>
    <row r="13741">
      <c r="A13741" s="107"/>
      <c r="D13741" s="270"/>
      <c r="H13741" s="106" t="str">
        <f t="shared" si="1"/>
        <v/>
      </c>
      <c r="J13741" t="str">
        <f>IFERROR(__xludf.DUMMYFUNCTION("IFS(
  AND(REGEXMATCH(E13741, ""台銀籌備帳戶|玉山帳戶""), REGEXMATCH(C13741, ""薪資"")), ""分潤支出"",
  AND(REGEXMATCH(E13741, ""Ben帳戶|Elsa帳戶|Ben代墊|Ariel代墊|中信銀行共用""), REGEXMATCH(F13741, ""Ben帳戶|Elsa帳戶|Ben代墊|Ariel代墊|中信銀行共用"")), ""內部轉帳(忽略)"",
  AND(E13741&lt;&gt;"""", F13741&lt;&gt;"&amp;""""", NOT(REGEXMATCH(C13741, ""薪資""))), ""內部轉帳(忽略)"",
  REGEXMATCH(C13741, ""薪資""), ""薪資變動(不計入)"",
  REGEXMATCH(C13741, ""押金""), ""押金往來"",
  AND(E13741&lt;&gt;"""", F13741=""""), ""真實支出"",
  AND(E13741="""", F13741&lt;&gt;""""), ""真實收入"",
  TRUE, ""其他""
)"),"其他")</f>
        <v>其他</v>
      </c>
      <c r="K13741" s="270" t="str">
        <f t="shared" si="2"/>
        <v/>
      </c>
      <c r="L13741">
        <f t="shared" si="3"/>
        <v>0</v>
      </c>
    </row>
    <row r="13742">
      <c r="A13742" s="107"/>
      <c r="D13742" s="270"/>
      <c r="H13742" s="106" t="str">
        <f t="shared" si="1"/>
        <v/>
      </c>
      <c r="J13742" t="str">
        <f>IFERROR(__xludf.DUMMYFUNCTION("IFS(
  AND(REGEXMATCH(E13742, ""台銀籌備帳戶|玉山帳戶""), REGEXMATCH(C13742, ""薪資"")), ""分潤支出"",
  AND(REGEXMATCH(E13742, ""Ben帳戶|Elsa帳戶|Ben代墊|Ariel代墊|中信銀行共用""), REGEXMATCH(F13742, ""Ben帳戶|Elsa帳戶|Ben代墊|Ariel代墊|中信銀行共用"")), ""內部轉帳(忽略)"",
  AND(E13742&lt;&gt;"""", F13742&lt;&gt;"&amp;""""", NOT(REGEXMATCH(C13742, ""薪資""))), ""內部轉帳(忽略)"",
  REGEXMATCH(C13742, ""薪資""), ""薪資變動(不計入)"",
  REGEXMATCH(C13742, ""押金""), ""押金往來"",
  AND(E13742&lt;&gt;"""", F13742=""""), ""真實支出"",
  AND(E13742="""", F13742&lt;&gt;""""), ""真實收入"",
  TRUE, ""其他""
)"),"其他")</f>
        <v>其他</v>
      </c>
      <c r="K13742" s="270" t="str">
        <f t="shared" si="2"/>
        <v/>
      </c>
      <c r="L13742">
        <f t="shared" si="3"/>
        <v>0</v>
      </c>
    </row>
    <row r="13743">
      <c r="A13743" s="107"/>
      <c r="D13743" s="270"/>
      <c r="H13743" s="106" t="str">
        <f t="shared" si="1"/>
        <v/>
      </c>
      <c r="J13743" t="str">
        <f>IFERROR(__xludf.DUMMYFUNCTION("IFS(
  AND(REGEXMATCH(E13743, ""台銀籌備帳戶|玉山帳戶""), REGEXMATCH(C13743, ""薪資"")), ""分潤支出"",
  AND(REGEXMATCH(E13743, ""Ben帳戶|Elsa帳戶|Ben代墊|Ariel代墊|中信銀行共用""), REGEXMATCH(F13743, ""Ben帳戶|Elsa帳戶|Ben代墊|Ariel代墊|中信銀行共用"")), ""內部轉帳(忽略)"",
  AND(E13743&lt;&gt;"""", F13743&lt;&gt;"&amp;""""", NOT(REGEXMATCH(C13743, ""薪資""))), ""內部轉帳(忽略)"",
  REGEXMATCH(C13743, ""薪資""), ""薪資變動(不計入)"",
  REGEXMATCH(C13743, ""押金""), ""押金往來"",
  AND(E13743&lt;&gt;"""", F13743=""""), ""真實支出"",
  AND(E13743="""", F13743&lt;&gt;""""), ""真實收入"",
  TRUE, ""其他""
)"),"其他")</f>
        <v>其他</v>
      </c>
      <c r="K13743" s="270" t="str">
        <f t="shared" si="2"/>
        <v/>
      </c>
      <c r="L13743">
        <f t="shared" si="3"/>
        <v>0</v>
      </c>
    </row>
    <row r="13744">
      <c r="A13744" s="107"/>
      <c r="D13744" s="270"/>
      <c r="H13744" s="106" t="str">
        <f t="shared" si="1"/>
        <v/>
      </c>
      <c r="J13744" t="str">
        <f>IFERROR(__xludf.DUMMYFUNCTION("IFS(
  AND(REGEXMATCH(E13744, ""台銀籌備帳戶|玉山帳戶""), REGEXMATCH(C13744, ""薪資"")), ""分潤支出"",
  AND(REGEXMATCH(E13744, ""Ben帳戶|Elsa帳戶|Ben代墊|Ariel代墊|中信銀行共用""), REGEXMATCH(F13744, ""Ben帳戶|Elsa帳戶|Ben代墊|Ariel代墊|中信銀行共用"")), ""內部轉帳(忽略)"",
  AND(E13744&lt;&gt;"""", F13744&lt;&gt;"&amp;""""", NOT(REGEXMATCH(C13744, ""薪資""))), ""內部轉帳(忽略)"",
  REGEXMATCH(C13744, ""薪資""), ""薪資變動(不計入)"",
  REGEXMATCH(C13744, ""押金""), ""押金往來"",
  AND(E13744&lt;&gt;"""", F13744=""""), ""真實支出"",
  AND(E13744="""", F13744&lt;&gt;""""), ""真實收入"",
  TRUE, ""其他""
)"),"其他")</f>
        <v>其他</v>
      </c>
      <c r="K13744" s="270" t="str">
        <f t="shared" si="2"/>
        <v/>
      </c>
      <c r="L13744">
        <f t="shared" si="3"/>
        <v>0</v>
      </c>
    </row>
    <row r="13745">
      <c r="A13745" s="107"/>
      <c r="D13745" s="270"/>
      <c r="H13745" s="106" t="str">
        <f t="shared" si="1"/>
        <v/>
      </c>
      <c r="J13745" t="str">
        <f>IFERROR(__xludf.DUMMYFUNCTION("IFS(
  AND(REGEXMATCH(E13745, ""台銀籌備帳戶|玉山帳戶""), REGEXMATCH(C13745, ""薪資"")), ""分潤支出"",
  AND(REGEXMATCH(E13745, ""Ben帳戶|Elsa帳戶|Ben代墊|Ariel代墊|中信銀行共用""), REGEXMATCH(F13745, ""Ben帳戶|Elsa帳戶|Ben代墊|Ariel代墊|中信銀行共用"")), ""內部轉帳(忽略)"",
  AND(E13745&lt;&gt;"""", F13745&lt;&gt;"&amp;""""", NOT(REGEXMATCH(C13745, ""薪資""))), ""內部轉帳(忽略)"",
  REGEXMATCH(C13745, ""薪資""), ""薪資變動(不計入)"",
  REGEXMATCH(C13745, ""押金""), ""押金往來"",
  AND(E13745&lt;&gt;"""", F13745=""""), ""真實支出"",
  AND(E13745="""", F13745&lt;&gt;""""), ""真實收入"",
  TRUE, ""其他""
)"),"其他")</f>
        <v>其他</v>
      </c>
      <c r="K13745" s="270" t="str">
        <f t="shared" si="2"/>
        <v/>
      </c>
      <c r="L13745">
        <f t="shared" si="3"/>
        <v>0</v>
      </c>
    </row>
    <row r="13746">
      <c r="A13746" s="107"/>
      <c r="D13746" s="270"/>
      <c r="H13746" s="106" t="str">
        <f t="shared" si="1"/>
        <v/>
      </c>
      <c r="J13746" t="str">
        <f>IFERROR(__xludf.DUMMYFUNCTION("IFS(
  AND(REGEXMATCH(E13746, ""台銀籌備帳戶|玉山帳戶""), REGEXMATCH(C13746, ""薪資"")), ""分潤支出"",
  AND(REGEXMATCH(E13746, ""Ben帳戶|Elsa帳戶|Ben代墊|Ariel代墊|中信銀行共用""), REGEXMATCH(F13746, ""Ben帳戶|Elsa帳戶|Ben代墊|Ariel代墊|中信銀行共用"")), ""內部轉帳(忽略)"",
  AND(E13746&lt;&gt;"""", F13746&lt;&gt;"&amp;""""", NOT(REGEXMATCH(C13746, ""薪資""))), ""內部轉帳(忽略)"",
  REGEXMATCH(C13746, ""薪資""), ""薪資變動(不計入)"",
  REGEXMATCH(C13746, ""押金""), ""押金往來"",
  AND(E13746&lt;&gt;"""", F13746=""""), ""真實支出"",
  AND(E13746="""", F13746&lt;&gt;""""), ""真實收入"",
  TRUE, ""其他""
)"),"其他")</f>
        <v>其他</v>
      </c>
      <c r="K13746" s="270" t="str">
        <f t="shared" si="2"/>
        <v/>
      </c>
      <c r="L13746">
        <f t="shared" si="3"/>
        <v>0</v>
      </c>
    </row>
    <row r="13747">
      <c r="A13747" s="107"/>
      <c r="D13747" s="270"/>
      <c r="H13747" s="106" t="str">
        <f t="shared" si="1"/>
        <v/>
      </c>
      <c r="J13747" t="str">
        <f>IFERROR(__xludf.DUMMYFUNCTION("IFS(
  AND(REGEXMATCH(E13747, ""台銀籌備帳戶|玉山帳戶""), REGEXMATCH(C13747, ""薪資"")), ""分潤支出"",
  AND(REGEXMATCH(E13747, ""Ben帳戶|Elsa帳戶|Ben代墊|Ariel代墊|中信銀行共用""), REGEXMATCH(F13747, ""Ben帳戶|Elsa帳戶|Ben代墊|Ariel代墊|中信銀行共用"")), ""內部轉帳(忽略)"",
  AND(E13747&lt;&gt;"""", F13747&lt;&gt;"&amp;""""", NOT(REGEXMATCH(C13747, ""薪資""))), ""內部轉帳(忽略)"",
  REGEXMATCH(C13747, ""薪資""), ""薪資變動(不計入)"",
  REGEXMATCH(C13747, ""押金""), ""押金往來"",
  AND(E13747&lt;&gt;"""", F13747=""""), ""真實支出"",
  AND(E13747="""", F13747&lt;&gt;""""), ""真實收入"",
  TRUE, ""其他""
)"),"其他")</f>
        <v>其他</v>
      </c>
      <c r="K13747" s="270" t="str">
        <f t="shared" si="2"/>
        <v/>
      </c>
      <c r="L13747">
        <f t="shared" si="3"/>
        <v>0</v>
      </c>
    </row>
    <row r="13748">
      <c r="A13748" s="107"/>
      <c r="D13748" s="270"/>
      <c r="H13748" s="106" t="str">
        <f t="shared" si="1"/>
        <v/>
      </c>
      <c r="J13748" t="str">
        <f>IFERROR(__xludf.DUMMYFUNCTION("IFS(
  AND(REGEXMATCH(E13748, ""台銀籌備帳戶|玉山帳戶""), REGEXMATCH(C13748, ""薪資"")), ""分潤支出"",
  AND(REGEXMATCH(E13748, ""Ben帳戶|Elsa帳戶|Ben代墊|Ariel代墊|中信銀行共用""), REGEXMATCH(F13748, ""Ben帳戶|Elsa帳戶|Ben代墊|Ariel代墊|中信銀行共用"")), ""內部轉帳(忽略)"",
  AND(E13748&lt;&gt;"""", F13748&lt;&gt;"&amp;""""", NOT(REGEXMATCH(C13748, ""薪資""))), ""內部轉帳(忽略)"",
  REGEXMATCH(C13748, ""薪資""), ""薪資變動(不計入)"",
  REGEXMATCH(C13748, ""押金""), ""押金往來"",
  AND(E13748&lt;&gt;"""", F13748=""""), ""真實支出"",
  AND(E13748="""", F13748&lt;&gt;""""), ""真實收入"",
  TRUE, ""其他""
)"),"其他")</f>
        <v>其他</v>
      </c>
      <c r="K13748" s="270" t="str">
        <f t="shared" si="2"/>
        <v/>
      </c>
      <c r="L13748">
        <f t="shared" si="3"/>
        <v>0</v>
      </c>
    </row>
    <row r="13749">
      <c r="A13749" s="107"/>
      <c r="D13749" s="270"/>
      <c r="H13749" s="106" t="str">
        <f t="shared" si="1"/>
        <v/>
      </c>
      <c r="J13749" t="str">
        <f>IFERROR(__xludf.DUMMYFUNCTION("IFS(
  AND(REGEXMATCH(E13749, ""台銀籌備帳戶|玉山帳戶""), REGEXMATCH(C13749, ""薪資"")), ""分潤支出"",
  AND(REGEXMATCH(E13749, ""Ben帳戶|Elsa帳戶|Ben代墊|Ariel代墊|中信銀行共用""), REGEXMATCH(F13749, ""Ben帳戶|Elsa帳戶|Ben代墊|Ariel代墊|中信銀行共用"")), ""內部轉帳(忽略)"",
  AND(E13749&lt;&gt;"""", F13749&lt;&gt;"&amp;""""", NOT(REGEXMATCH(C13749, ""薪資""))), ""內部轉帳(忽略)"",
  REGEXMATCH(C13749, ""薪資""), ""薪資變動(不計入)"",
  REGEXMATCH(C13749, ""押金""), ""押金往來"",
  AND(E13749&lt;&gt;"""", F13749=""""), ""真實支出"",
  AND(E13749="""", F13749&lt;&gt;""""), ""真實收入"",
  TRUE, ""其他""
)"),"其他")</f>
        <v>其他</v>
      </c>
      <c r="K13749" s="270" t="str">
        <f t="shared" si="2"/>
        <v/>
      </c>
      <c r="L13749">
        <f t="shared" si="3"/>
        <v>0</v>
      </c>
    </row>
    <row r="13750">
      <c r="A13750" s="107"/>
      <c r="D13750" s="270"/>
      <c r="H13750" s="106" t="str">
        <f t="shared" si="1"/>
        <v/>
      </c>
      <c r="J13750" t="str">
        <f>IFERROR(__xludf.DUMMYFUNCTION("IFS(
  AND(REGEXMATCH(E13750, ""台銀籌備帳戶|玉山帳戶""), REGEXMATCH(C13750, ""薪資"")), ""分潤支出"",
  AND(REGEXMATCH(E13750, ""Ben帳戶|Elsa帳戶|Ben代墊|Ariel代墊|中信銀行共用""), REGEXMATCH(F13750, ""Ben帳戶|Elsa帳戶|Ben代墊|Ariel代墊|中信銀行共用"")), ""內部轉帳(忽略)"",
  AND(E13750&lt;&gt;"""", F13750&lt;&gt;"&amp;""""", NOT(REGEXMATCH(C13750, ""薪資""))), ""內部轉帳(忽略)"",
  REGEXMATCH(C13750, ""薪資""), ""薪資變動(不計入)"",
  REGEXMATCH(C13750, ""押金""), ""押金往來"",
  AND(E13750&lt;&gt;"""", F13750=""""), ""真實支出"",
  AND(E13750="""", F13750&lt;&gt;""""), ""真實收入"",
  TRUE, ""其他""
)"),"其他")</f>
        <v>其他</v>
      </c>
      <c r="K13750" s="270" t="str">
        <f t="shared" si="2"/>
        <v/>
      </c>
      <c r="L13750">
        <f t="shared" si="3"/>
        <v>0</v>
      </c>
    </row>
    <row r="13751">
      <c r="A13751" s="107"/>
      <c r="D13751" s="270"/>
      <c r="H13751" s="106" t="str">
        <f t="shared" si="1"/>
        <v/>
      </c>
      <c r="J13751" t="str">
        <f>IFERROR(__xludf.DUMMYFUNCTION("IFS(
  AND(REGEXMATCH(E13751, ""台銀籌備帳戶|玉山帳戶""), REGEXMATCH(C13751, ""薪資"")), ""分潤支出"",
  AND(REGEXMATCH(E13751, ""Ben帳戶|Elsa帳戶|Ben代墊|Ariel代墊|中信銀行共用""), REGEXMATCH(F13751, ""Ben帳戶|Elsa帳戶|Ben代墊|Ariel代墊|中信銀行共用"")), ""內部轉帳(忽略)"",
  AND(E13751&lt;&gt;"""", F13751&lt;&gt;"&amp;""""", NOT(REGEXMATCH(C13751, ""薪資""))), ""內部轉帳(忽略)"",
  REGEXMATCH(C13751, ""薪資""), ""薪資變動(不計入)"",
  REGEXMATCH(C13751, ""押金""), ""押金往來"",
  AND(E13751&lt;&gt;"""", F13751=""""), ""真實支出"",
  AND(E13751="""", F13751&lt;&gt;""""), ""真實收入"",
  TRUE, ""其他""
)"),"其他")</f>
        <v>其他</v>
      </c>
      <c r="K13751" s="270" t="str">
        <f t="shared" si="2"/>
        <v/>
      </c>
      <c r="L13751">
        <f t="shared" si="3"/>
        <v>0</v>
      </c>
    </row>
    <row r="13752">
      <c r="A13752" s="107"/>
      <c r="D13752" s="270"/>
      <c r="H13752" s="106" t="str">
        <f t="shared" si="1"/>
        <v/>
      </c>
      <c r="J13752" t="str">
        <f>IFERROR(__xludf.DUMMYFUNCTION("IFS(
  AND(REGEXMATCH(E13752, ""台銀籌備帳戶|玉山帳戶""), REGEXMATCH(C13752, ""薪資"")), ""分潤支出"",
  AND(REGEXMATCH(E13752, ""Ben帳戶|Elsa帳戶|Ben代墊|Ariel代墊|中信銀行共用""), REGEXMATCH(F13752, ""Ben帳戶|Elsa帳戶|Ben代墊|Ariel代墊|中信銀行共用"")), ""內部轉帳(忽略)"",
  AND(E13752&lt;&gt;"""", F13752&lt;&gt;"&amp;""""", NOT(REGEXMATCH(C13752, ""薪資""))), ""內部轉帳(忽略)"",
  REGEXMATCH(C13752, ""薪資""), ""薪資變動(不計入)"",
  REGEXMATCH(C13752, ""押金""), ""押金往來"",
  AND(E13752&lt;&gt;"""", F13752=""""), ""真實支出"",
  AND(E13752="""", F13752&lt;&gt;""""), ""真實收入"",
  TRUE, ""其他""
)"),"其他")</f>
        <v>其他</v>
      </c>
      <c r="K13752" s="270" t="str">
        <f t="shared" si="2"/>
        <v/>
      </c>
      <c r="L13752">
        <f t="shared" si="3"/>
        <v>0</v>
      </c>
    </row>
    <row r="13753">
      <c r="A13753" s="107"/>
      <c r="D13753" s="270"/>
      <c r="H13753" s="106" t="str">
        <f t="shared" si="1"/>
        <v/>
      </c>
      <c r="J13753" t="str">
        <f>IFERROR(__xludf.DUMMYFUNCTION("IFS(
  AND(REGEXMATCH(E13753, ""台銀籌備帳戶|玉山帳戶""), REGEXMATCH(C13753, ""薪資"")), ""分潤支出"",
  AND(REGEXMATCH(E13753, ""Ben帳戶|Elsa帳戶|Ben代墊|Ariel代墊|中信銀行共用""), REGEXMATCH(F13753, ""Ben帳戶|Elsa帳戶|Ben代墊|Ariel代墊|中信銀行共用"")), ""內部轉帳(忽略)"",
  AND(E13753&lt;&gt;"""", F13753&lt;&gt;"&amp;""""", NOT(REGEXMATCH(C13753, ""薪資""))), ""內部轉帳(忽略)"",
  REGEXMATCH(C13753, ""薪資""), ""薪資變動(不計入)"",
  REGEXMATCH(C13753, ""押金""), ""押金往來"",
  AND(E13753&lt;&gt;"""", F13753=""""), ""真實支出"",
  AND(E13753="""", F13753&lt;&gt;""""), ""真實收入"",
  TRUE, ""其他""
)"),"其他")</f>
        <v>其他</v>
      </c>
      <c r="K13753" s="270" t="str">
        <f t="shared" si="2"/>
        <v/>
      </c>
      <c r="L13753">
        <f t="shared" si="3"/>
        <v>0</v>
      </c>
    </row>
    <row r="13754">
      <c r="A13754" s="107"/>
      <c r="D13754" s="270"/>
      <c r="H13754" s="106" t="str">
        <f t="shared" si="1"/>
        <v/>
      </c>
      <c r="J13754" t="str">
        <f>IFERROR(__xludf.DUMMYFUNCTION("IFS(
  AND(REGEXMATCH(E13754, ""台銀籌備帳戶|玉山帳戶""), REGEXMATCH(C13754, ""薪資"")), ""分潤支出"",
  AND(REGEXMATCH(E13754, ""Ben帳戶|Elsa帳戶|Ben代墊|Ariel代墊|中信銀行共用""), REGEXMATCH(F13754, ""Ben帳戶|Elsa帳戶|Ben代墊|Ariel代墊|中信銀行共用"")), ""內部轉帳(忽略)"",
  AND(E13754&lt;&gt;"""", F13754&lt;&gt;"&amp;""""", NOT(REGEXMATCH(C13754, ""薪資""))), ""內部轉帳(忽略)"",
  REGEXMATCH(C13754, ""薪資""), ""薪資變動(不計入)"",
  REGEXMATCH(C13754, ""押金""), ""押金往來"",
  AND(E13754&lt;&gt;"""", F13754=""""), ""真實支出"",
  AND(E13754="""", F13754&lt;&gt;""""), ""真實收入"",
  TRUE, ""其他""
)"),"其他")</f>
        <v>其他</v>
      </c>
      <c r="K13754" s="270" t="str">
        <f t="shared" si="2"/>
        <v/>
      </c>
      <c r="L13754">
        <f t="shared" si="3"/>
        <v>0</v>
      </c>
    </row>
    <row r="13755">
      <c r="A13755" s="107"/>
      <c r="D13755" s="270"/>
      <c r="H13755" s="106" t="str">
        <f t="shared" si="1"/>
        <v/>
      </c>
      <c r="J13755" t="str">
        <f>IFERROR(__xludf.DUMMYFUNCTION("IFS(
  AND(REGEXMATCH(E13755, ""台銀籌備帳戶|玉山帳戶""), REGEXMATCH(C13755, ""薪資"")), ""分潤支出"",
  AND(REGEXMATCH(E13755, ""Ben帳戶|Elsa帳戶|Ben代墊|Ariel代墊|中信銀行共用""), REGEXMATCH(F13755, ""Ben帳戶|Elsa帳戶|Ben代墊|Ariel代墊|中信銀行共用"")), ""內部轉帳(忽略)"",
  AND(E13755&lt;&gt;"""", F13755&lt;&gt;"&amp;""""", NOT(REGEXMATCH(C13755, ""薪資""))), ""內部轉帳(忽略)"",
  REGEXMATCH(C13755, ""薪資""), ""薪資變動(不計入)"",
  REGEXMATCH(C13755, ""押金""), ""押金往來"",
  AND(E13755&lt;&gt;"""", F13755=""""), ""真實支出"",
  AND(E13755="""", F13755&lt;&gt;""""), ""真實收入"",
  TRUE, ""其他""
)"),"其他")</f>
        <v>其他</v>
      </c>
      <c r="K13755" s="270" t="str">
        <f t="shared" si="2"/>
        <v/>
      </c>
      <c r="L13755">
        <f t="shared" si="3"/>
        <v>0</v>
      </c>
    </row>
    <row r="13756">
      <c r="A13756" s="107"/>
      <c r="D13756" s="270"/>
      <c r="H13756" s="106" t="str">
        <f t="shared" si="1"/>
        <v/>
      </c>
      <c r="J13756" t="str">
        <f>IFERROR(__xludf.DUMMYFUNCTION("IFS(
  AND(REGEXMATCH(E13756, ""台銀籌備帳戶|玉山帳戶""), REGEXMATCH(C13756, ""薪資"")), ""分潤支出"",
  AND(REGEXMATCH(E13756, ""Ben帳戶|Elsa帳戶|Ben代墊|Ariel代墊|中信銀行共用""), REGEXMATCH(F13756, ""Ben帳戶|Elsa帳戶|Ben代墊|Ariel代墊|中信銀行共用"")), ""內部轉帳(忽略)"",
  AND(E13756&lt;&gt;"""", F13756&lt;&gt;"&amp;""""", NOT(REGEXMATCH(C13756, ""薪資""))), ""內部轉帳(忽略)"",
  REGEXMATCH(C13756, ""薪資""), ""薪資變動(不計入)"",
  REGEXMATCH(C13756, ""押金""), ""押金往來"",
  AND(E13756&lt;&gt;"""", F13756=""""), ""真實支出"",
  AND(E13756="""", F13756&lt;&gt;""""), ""真實收入"",
  TRUE, ""其他""
)"),"其他")</f>
        <v>其他</v>
      </c>
      <c r="K13756" s="270" t="str">
        <f t="shared" si="2"/>
        <v/>
      </c>
      <c r="L13756">
        <f t="shared" si="3"/>
        <v>0</v>
      </c>
    </row>
    <row r="13757">
      <c r="A13757" s="107"/>
      <c r="D13757" s="270"/>
      <c r="H13757" s="106" t="str">
        <f t="shared" si="1"/>
        <v/>
      </c>
      <c r="J13757" t="str">
        <f>IFERROR(__xludf.DUMMYFUNCTION("IFS(
  AND(REGEXMATCH(E13757, ""台銀籌備帳戶|玉山帳戶""), REGEXMATCH(C13757, ""薪資"")), ""分潤支出"",
  AND(REGEXMATCH(E13757, ""Ben帳戶|Elsa帳戶|Ben代墊|Ariel代墊|中信銀行共用""), REGEXMATCH(F13757, ""Ben帳戶|Elsa帳戶|Ben代墊|Ariel代墊|中信銀行共用"")), ""內部轉帳(忽略)"",
  AND(E13757&lt;&gt;"""", F13757&lt;&gt;"&amp;""""", NOT(REGEXMATCH(C13757, ""薪資""))), ""內部轉帳(忽略)"",
  REGEXMATCH(C13757, ""薪資""), ""薪資變動(不計入)"",
  REGEXMATCH(C13757, ""押金""), ""押金往來"",
  AND(E13757&lt;&gt;"""", F13757=""""), ""真實支出"",
  AND(E13757="""", F13757&lt;&gt;""""), ""真實收入"",
  TRUE, ""其他""
)"),"其他")</f>
        <v>其他</v>
      </c>
      <c r="K13757" s="270" t="str">
        <f t="shared" si="2"/>
        <v/>
      </c>
      <c r="L13757">
        <f t="shared" si="3"/>
        <v>0</v>
      </c>
    </row>
    <row r="13758">
      <c r="A13758" s="107"/>
      <c r="D13758" s="270"/>
      <c r="H13758" s="106" t="str">
        <f t="shared" si="1"/>
        <v/>
      </c>
      <c r="J13758" t="str">
        <f>IFERROR(__xludf.DUMMYFUNCTION("IFS(
  AND(REGEXMATCH(E13758, ""台銀籌備帳戶|玉山帳戶""), REGEXMATCH(C13758, ""薪資"")), ""分潤支出"",
  AND(REGEXMATCH(E13758, ""Ben帳戶|Elsa帳戶|Ben代墊|Ariel代墊|中信銀行共用""), REGEXMATCH(F13758, ""Ben帳戶|Elsa帳戶|Ben代墊|Ariel代墊|中信銀行共用"")), ""內部轉帳(忽略)"",
  AND(E13758&lt;&gt;"""", F13758&lt;&gt;"&amp;""""", NOT(REGEXMATCH(C13758, ""薪資""))), ""內部轉帳(忽略)"",
  REGEXMATCH(C13758, ""薪資""), ""薪資變動(不計入)"",
  REGEXMATCH(C13758, ""押金""), ""押金往來"",
  AND(E13758&lt;&gt;"""", F13758=""""), ""真實支出"",
  AND(E13758="""", F13758&lt;&gt;""""), ""真實收入"",
  TRUE, ""其他""
)"),"其他")</f>
        <v>其他</v>
      </c>
      <c r="K13758" s="270" t="str">
        <f t="shared" si="2"/>
        <v/>
      </c>
      <c r="L13758">
        <f t="shared" si="3"/>
        <v>0</v>
      </c>
    </row>
    <row r="13759">
      <c r="A13759" s="107"/>
      <c r="D13759" s="270"/>
      <c r="H13759" s="106" t="str">
        <f t="shared" si="1"/>
        <v/>
      </c>
      <c r="J13759" t="str">
        <f>IFERROR(__xludf.DUMMYFUNCTION("IFS(
  AND(REGEXMATCH(E13759, ""台銀籌備帳戶|玉山帳戶""), REGEXMATCH(C13759, ""薪資"")), ""分潤支出"",
  AND(REGEXMATCH(E13759, ""Ben帳戶|Elsa帳戶|Ben代墊|Ariel代墊|中信銀行共用""), REGEXMATCH(F13759, ""Ben帳戶|Elsa帳戶|Ben代墊|Ariel代墊|中信銀行共用"")), ""內部轉帳(忽略)"",
  AND(E13759&lt;&gt;"""", F13759&lt;&gt;"&amp;""""", NOT(REGEXMATCH(C13759, ""薪資""))), ""內部轉帳(忽略)"",
  REGEXMATCH(C13759, ""薪資""), ""薪資變動(不計入)"",
  REGEXMATCH(C13759, ""押金""), ""押金往來"",
  AND(E13759&lt;&gt;"""", F13759=""""), ""真實支出"",
  AND(E13759="""", F13759&lt;&gt;""""), ""真實收入"",
  TRUE, ""其他""
)"),"其他")</f>
        <v>其他</v>
      </c>
      <c r="K13759" s="270" t="str">
        <f t="shared" si="2"/>
        <v/>
      </c>
      <c r="L13759">
        <f t="shared" si="3"/>
        <v>0</v>
      </c>
    </row>
    <row r="13760">
      <c r="A13760" s="107"/>
      <c r="D13760" s="270"/>
      <c r="H13760" s="106" t="str">
        <f t="shared" si="1"/>
        <v/>
      </c>
      <c r="J13760" t="str">
        <f>IFERROR(__xludf.DUMMYFUNCTION("IFS(
  AND(REGEXMATCH(E13760, ""台銀籌備帳戶|玉山帳戶""), REGEXMATCH(C13760, ""薪資"")), ""分潤支出"",
  AND(REGEXMATCH(E13760, ""Ben帳戶|Elsa帳戶|Ben代墊|Ariel代墊|中信銀行共用""), REGEXMATCH(F13760, ""Ben帳戶|Elsa帳戶|Ben代墊|Ariel代墊|中信銀行共用"")), ""內部轉帳(忽略)"",
  AND(E13760&lt;&gt;"""", F13760&lt;&gt;"&amp;""""", NOT(REGEXMATCH(C13760, ""薪資""))), ""內部轉帳(忽略)"",
  REGEXMATCH(C13760, ""薪資""), ""薪資變動(不計入)"",
  REGEXMATCH(C13760, ""押金""), ""押金往來"",
  AND(E13760&lt;&gt;"""", F13760=""""), ""真實支出"",
  AND(E13760="""", F13760&lt;&gt;""""), ""真實收入"",
  TRUE, ""其他""
)"),"其他")</f>
        <v>其他</v>
      </c>
      <c r="K13760" s="270" t="str">
        <f t="shared" si="2"/>
        <v/>
      </c>
      <c r="L13760">
        <f t="shared" si="3"/>
        <v>0</v>
      </c>
    </row>
    <row r="13761">
      <c r="A13761" s="107"/>
      <c r="D13761" s="270"/>
      <c r="H13761" s="106" t="str">
        <f t="shared" si="1"/>
        <v/>
      </c>
      <c r="J13761" t="str">
        <f>IFERROR(__xludf.DUMMYFUNCTION("IFS(
  AND(REGEXMATCH(E13761, ""台銀籌備帳戶|玉山帳戶""), REGEXMATCH(C13761, ""薪資"")), ""分潤支出"",
  AND(REGEXMATCH(E13761, ""Ben帳戶|Elsa帳戶|Ben代墊|Ariel代墊|中信銀行共用""), REGEXMATCH(F13761, ""Ben帳戶|Elsa帳戶|Ben代墊|Ariel代墊|中信銀行共用"")), ""內部轉帳(忽略)"",
  AND(E13761&lt;&gt;"""", F13761&lt;&gt;"&amp;""""", NOT(REGEXMATCH(C13761, ""薪資""))), ""內部轉帳(忽略)"",
  REGEXMATCH(C13761, ""薪資""), ""薪資變動(不計入)"",
  REGEXMATCH(C13761, ""押金""), ""押金往來"",
  AND(E13761&lt;&gt;"""", F13761=""""), ""真實支出"",
  AND(E13761="""", F13761&lt;&gt;""""), ""真實收入"",
  TRUE, ""其他""
)"),"其他")</f>
        <v>其他</v>
      </c>
      <c r="K13761" s="270" t="str">
        <f t="shared" si="2"/>
        <v/>
      </c>
      <c r="L13761">
        <f t="shared" si="3"/>
        <v>0</v>
      </c>
    </row>
    <row r="13762">
      <c r="A13762" s="107"/>
      <c r="D13762" s="270"/>
      <c r="H13762" s="106" t="str">
        <f t="shared" si="1"/>
        <v/>
      </c>
      <c r="J13762" t="str">
        <f>IFERROR(__xludf.DUMMYFUNCTION("IFS(
  AND(REGEXMATCH(E13762, ""台銀籌備帳戶|玉山帳戶""), REGEXMATCH(C13762, ""薪資"")), ""分潤支出"",
  AND(REGEXMATCH(E13762, ""Ben帳戶|Elsa帳戶|Ben代墊|Ariel代墊|中信銀行共用""), REGEXMATCH(F13762, ""Ben帳戶|Elsa帳戶|Ben代墊|Ariel代墊|中信銀行共用"")), ""內部轉帳(忽略)"",
  AND(E13762&lt;&gt;"""", F13762&lt;&gt;"&amp;""""", NOT(REGEXMATCH(C13762, ""薪資""))), ""內部轉帳(忽略)"",
  REGEXMATCH(C13762, ""薪資""), ""薪資變動(不計入)"",
  REGEXMATCH(C13762, ""押金""), ""押金往來"",
  AND(E13762&lt;&gt;"""", F13762=""""), ""真實支出"",
  AND(E13762="""", F13762&lt;&gt;""""), ""真實收入"",
  TRUE, ""其他""
)"),"其他")</f>
        <v>其他</v>
      </c>
      <c r="K13762" s="270" t="str">
        <f t="shared" si="2"/>
        <v/>
      </c>
      <c r="L13762">
        <f t="shared" si="3"/>
        <v>0</v>
      </c>
    </row>
    <row r="13763">
      <c r="A13763" s="107"/>
      <c r="D13763" s="270"/>
      <c r="H13763" s="106" t="str">
        <f t="shared" si="1"/>
        <v/>
      </c>
      <c r="J13763" t="str">
        <f>IFERROR(__xludf.DUMMYFUNCTION("IFS(
  AND(REGEXMATCH(E13763, ""台銀籌備帳戶|玉山帳戶""), REGEXMATCH(C13763, ""薪資"")), ""分潤支出"",
  AND(REGEXMATCH(E13763, ""Ben帳戶|Elsa帳戶|Ben代墊|Ariel代墊|中信銀行共用""), REGEXMATCH(F13763, ""Ben帳戶|Elsa帳戶|Ben代墊|Ariel代墊|中信銀行共用"")), ""內部轉帳(忽略)"",
  AND(E13763&lt;&gt;"""", F13763&lt;&gt;"&amp;""""", NOT(REGEXMATCH(C13763, ""薪資""))), ""內部轉帳(忽略)"",
  REGEXMATCH(C13763, ""薪資""), ""薪資變動(不計入)"",
  REGEXMATCH(C13763, ""押金""), ""押金往來"",
  AND(E13763&lt;&gt;"""", F13763=""""), ""真實支出"",
  AND(E13763="""", F13763&lt;&gt;""""), ""真實收入"",
  TRUE, ""其他""
)"),"其他")</f>
        <v>其他</v>
      </c>
      <c r="K13763" s="270" t="str">
        <f t="shared" si="2"/>
        <v/>
      </c>
      <c r="L13763">
        <f t="shared" si="3"/>
        <v>0</v>
      </c>
    </row>
    <row r="13764">
      <c r="A13764" s="107"/>
      <c r="D13764" s="270"/>
      <c r="H13764" s="106" t="str">
        <f t="shared" si="1"/>
        <v/>
      </c>
      <c r="J13764" t="str">
        <f>IFERROR(__xludf.DUMMYFUNCTION("IFS(
  AND(REGEXMATCH(E13764, ""台銀籌備帳戶|玉山帳戶""), REGEXMATCH(C13764, ""薪資"")), ""分潤支出"",
  AND(REGEXMATCH(E13764, ""Ben帳戶|Elsa帳戶|Ben代墊|Ariel代墊|中信銀行共用""), REGEXMATCH(F13764, ""Ben帳戶|Elsa帳戶|Ben代墊|Ariel代墊|中信銀行共用"")), ""內部轉帳(忽略)"",
  AND(E13764&lt;&gt;"""", F13764&lt;&gt;"&amp;""""", NOT(REGEXMATCH(C13764, ""薪資""))), ""內部轉帳(忽略)"",
  REGEXMATCH(C13764, ""薪資""), ""薪資變動(不計入)"",
  REGEXMATCH(C13764, ""押金""), ""押金往來"",
  AND(E13764&lt;&gt;"""", F13764=""""), ""真實支出"",
  AND(E13764="""", F13764&lt;&gt;""""), ""真實收入"",
  TRUE, ""其他""
)"),"其他")</f>
        <v>其他</v>
      </c>
      <c r="K13764" s="270" t="str">
        <f t="shared" si="2"/>
        <v/>
      </c>
      <c r="L13764">
        <f t="shared" si="3"/>
        <v>0</v>
      </c>
    </row>
    <row r="13765">
      <c r="A13765" s="107"/>
      <c r="D13765" s="270"/>
      <c r="H13765" s="106" t="str">
        <f t="shared" si="1"/>
        <v/>
      </c>
      <c r="J13765" t="str">
        <f>IFERROR(__xludf.DUMMYFUNCTION("IFS(
  AND(REGEXMATCH(E13765, ""台銀籌備帳戶|玉山帳戶""), REGEXMATCH(C13765, ""薪資"")), ""分潤支出"",
  AND(REGEXMATCH(E13765, ""Ben帳戶|Elsa帳戶|Ben代墊|Ariel代墊|中信銀行共用""), REGEXMATCH(F13765, ""Ben帳戶|Elsa帳戶|Ben代墊|Ariel代墊|中信銀行共用"")), ""內部轉帳(忽略)"",
  AND(E13765&lt;&gt;"""", F13765&lt;&gt;"&amp;""""", NOT(REGEXMATCH(C13765, ""薪資""))), ""內部轉帳(忽略)"",
  REGEXMATCH(C13765, ""薪資""), ""薪資變動(不計入)"",
  REGEXMATCH(C13765, ""押金""), ""押金往來"",
  AND(E13765&lt;&gt;"""", F13765=""""), ""真實支出"",
  AND(E13765="""", F13765&lt;&gt;""""), ""真實收入"",
  TRUE, ""其他""
)"),"其他")</f>
        <v>其他</v>
      </c>
      <c r="K13765" s="270" t="str">
        <f t="shared" si="2"/>
        <v/>
      </c>
      <c r="L13765">
        <f t="shared" si="3"/>
        <v>0</v>
      </c>
    </row>
    <row r="13766">
      <c r="A13766" s="107"/>
      <c r="D13766" s="270"/>
      <c r="H13766" s="106" t="str">
        <f t="shared" si="1"/>
        <v/>
      </c>
      <c r="J13766" t="str">
        <f>IFERROR(__xludf.DUMMYFUNCTION("IFS(
  AND(REGEXMATCH(E13766, ""台銀籌備帳戶|玉山帳戶""), REGEXMATCH(C13766, ""薪資"")), ""分潤支出"",
  AND(REGEXMATCH(E13766, ""Ben帳戶|Elsa帳戶|Ben代墊|Ariel代墊|中信銀行共用""), REGEXMATCH(F13766, ""Ben帳戶|Elsa帳戶|Ben代墊|Ariel代墊|中信銀行共用"")), ""內部轉帳(忽略)"",
  AND(E13766&lt;&gt;"""", F13766&lt;&gt;"&amp;""""", NOT(REGEXMATCH(C13766, ""薪資""))), ""內部轉帳(忽略)"",
  REGEXMATCH(C13766, ""薪資""), ""薪資變動(不計入)"",
  REGEXMATCH(C13766, ""押金""), ""押金往來"",
  AND(E13766&lt;&gt;"""", F13766=""""), ""真實支出"",
  AND(E13766="""", F13766&lt;&gt;""""), ""真實收入"",
  TRUE, ""其他""
)"),"其他")</f>
        <v>其他</v>
      </c>
      <c r="K13766" s="270" t="str">
        <f t="shared" si="2"/>
        <v/>
      </c>
      <c r="L13766">
        <f t="shared" si="3"/>
        <v>0</v>
      </c>
    </row>
    <row r="13767">
      <c r="A13767" s="107"/>
      <c r="D13767" s="270"/>
      <c r="H13767" s="106" t="str">
        <f t="shared" si="1"/>
        <v/>
      </c>
      <c r="J13767" t="str">
        <f>IFERROR(__xludf.DUMMYFUNCTION("IFS(
  AND(REGEXMATCH(E13767, ""台銀籌備帳戶|玉山帳戶""), REGEXMATCH(C13767, ""薪資"")), ""分潤支出"",
  AND(REGEXMATCH(E13767, ""Ben帳戶|Elsa帳戶|Ben代墊|Ariel代墊|中信銀行共用""), REGEXMATCH(F13767, ""Ben帳戶|Elsa帳戶|Ben代墊|Ariel代墊|中信銀行共用"")), ""內部轉帳(忽略)"",
  AND(E13767&lt;&gt;"""", F13767&lt;&gt;"&amp;""""", NOT(REGEXMATCH(C13767, ""薪資""))), ""內部轉帳(忽略)"",
  REGEXMATCH(C13767, ""薪資""), ""薪資變動(不計入)"",
  REGEXMATCH(C13767, ""押金""), ""押金往來"",
  AND(E13767&lt;&gt;"""", F13767=""""), ""真實支出"",
  AND(E13767="""", F13767&lt;&gt;""""), ""真實收入"",
  TRUE, ""其他""
)"),"其他")</f>
        <v>其他</v>
      </c>
      <c r="K13767" s="270" t="str">
        <f t="shared" si="2"/>
        <v/>
      </c>
      <c r="L13767">
        <f t="shared" si="3"/>
        <v>0</v>
      </c>
    </row>
    <row r="13768">
      <c r="A13768" s="107"/>
      <c r="D13768" s="270"/>
      <c r="H13768" s="106" t="str">
        <f t="shared" si="1"/>
        <v/>
      </c>
      <c r="J13768" t="str">
        <f>IFERROR(__xludf.DUMMYFUNCTION("IFS(
  AND(REGEXMATCH(E13768, ""台銀籌備帳戶|玉山帳戶""), REGEXMATCH(C13768, ""薪資"")), ""分潤支出"",
  AND(REGEXMATCH(E13768, ""Ben帳戶|Elsa帳戶|Ben代墊|Ariel代墊|中信銀行共用""), REGEXMATCH(F13768, ""Ben帳戶|Elsa帳戶|Ben代墊|Ariel代墊|中信銀行共用"")), ""內部轉帳(忽略)"",
  AND(E13768&lt;&gt;"""", F13768&lt;&gt;"&amp;""""", NOT(REGEXMATCH(C13768, ""薪資""))), ""內部轉帳(忽略)"",
  REGEXMATCH(C13768, ""薪資""), ""薪資變動(不計入)"",
  REGEXMATCH(C13768, ""押金""), ""押金往來"",
  AND(E13768&lt;&gt;"""", F13768=""""), ""真實支出"",
  AND(E13768="""", F13768&lt;&gt;""""), ""真實收入"",
  TRUE, ""其他""
)"),"其他")</f>
        <v>其他</v>
      </c>
      <c r="K13768" s="270" t="str">
        <f t="shared" si="2"/>
        <v/>
      </c>
      <c r="L13768">
        <f t="shared" si="3"/>
        <v>0</v>
      </c>
    </row>
    <row r="13769">
      <c r="A13769" s="107"/>
      <c r="D13769" s="270"/>
      <c r="H13769" s="106" t="str">
        <f t="shared" si="1"/>
        <v/>
      </c>
      <c r="J13769" t="str">
        <f>IFERROR(__xludf.DUMMYFUNCTION("IFS(
  AND(REGEXMATCH(E13769, ""台銀籌備帳戶|玉山帳戶""), REGEXMATCH(C13769, ""薪資"")), ""分潤支出"",
  AND(REGEXMATCH(E13769, ""Ben帳戶|Elsa帳戶|Ben代墊|Ariel代墊|中信銀行共用""), REGEXMATCH(F13769, ""Ben帳戶|Elsa帳戶|Ben代墊|Ariel代墊|中信銀行共用"")), ""內部轉帳(忽略)"",
  AND(E13769&lt;&gt;"""", F13769&lt;&gt;"&amp;""""", NOT(REGEXMATCH(C13769, ""薪資""))), ""內部轉帳(忽略)"",
  REGEXMATCH(C13769, ""薪資""), ""薪資變動(不計入)"",
  REGEXMATCH(C13769, ""押金""), ""押金往來"",
  AND(E13769&lt;&gt;"""", F13769=""""), ""真實支出"",
  AND(E13769="""", F13769&lt;&gt;""""), ""真實收入"",
  TRUE, ""其他""
)"),"其他")</f>
        <v>其他</v>
      </c>
      <c r="K13769" s="270" t="str">
        <f t="shared" si="2"/>
        <v/>
      </c>
      <c r="L13769">
        <f t="shared" si="3"/>
        <v>0</v>
      </c>
    </row>
    <row r="13770">
      <c r="A13770" s="107"/>
      <c r="D13770" s="270"/>
      <c r="H13770" s="106" t="str">
        <f t="shared" si="1"/>
        <v/>
      </c>
      <c r="J13770" t="str">
        <f>IFERROR(__xludf.DUMMYFUNCTION("IFS(
  AND(REGEXMATCH(E13770, ""台銀籌備帳戶|玉山帳戶""), REGEXMATCH(C13770, ""薪資"")), ""分潤支出"",
  AND(REGEXMATCH(E13770, ""Ben帳戶|Elsa帳戶|Ben代墊|Ariel代墊|中信銀行共用""), REGEXMATCH(F13770, ""Ben帳戶|Elsa帳戶|Ben代墊|Ariel代墊|中信銀行共用"")), ""內部轉帳(忽略)"",
  AND(E13770&lt;&gt;"""", F13770&lt;&gt;"&amp;""""", NOT(REGEXMATCH(C13770, ""薪資""))), ""內部轉帳(忽略)"",
  REGEXMATCH(C13770, ""薪資""), ""薪資變動(不計入)"",
  REGEXMATCH(C13770, ""押金""), ""押金往來"",
  AND(E13770&lt;&gt;"""", F13770=""""), ""真實支出"",
  AND(E13770="""", F13770&lt;&gt;""""), ""真實收入"",
  TRUE, ""其他""
)"),"其他")</f>
        <v>其他</v>
      </c>
      <c r="K13770" s="270" t="str">
        <f t="shared" si="2"/>
        <v/>
      </c>
      <c r="L13770">
        <f t="shared" si="3"/>
        <v>0</v>
      </c>
    </row>
    <row r="13771">
      <c r="A13771" s="107"/>
      <c r="D13771" s="270"/>
      <c r="H13771" s="106" t="str">
        <f t="shared" si="1"/>
        <v/>
      </c>
      <c r="J13771" t="str">
        <f>IFERROR(__xludf.DUMMYFUNCTION("IFS(
  AND(REGEXMATCH(E13771, ""台銀籌備帳戶|玉山帳戶""), REGEXMATCH(C13771, ""薪資"")), ""分潤支出"",
  AND(REGEXMATCH(E13771, ""Ben帳戶|Elsa帳戶|Ben代墊|Ariel代墊|中信銀行共用""), REGEXMATCH(F13771, ""Ben帳戶|Elsa帳戶|Ben代墊|Ariel代墊|中信銀行共用"")), ""內部轉帳(忽略)"",
  AND(E13771&lt;&gt;"""", F13771&lt;&gt;"&amp;""""", NOT(REGEXMATCH(C13771, ""薪資""))), ""內部轉帳(忽略)"",
  REGEXMATCH(C13771, ""薪資""), ""薪資變動(不計入)"",
  REGEXMATCH(C13771, ""押金""), ""押金往來"",
  AND(E13771&lt;&gt;"""", F13771=""""), ""真實支出"",
  AND(E13771="""", F13771&lt;&gt;""""), ""真實收入"",
  TRUE, ""其他""
)"),"其他")</f>
        <v>其他</v>
      </c>
      <c r="K13771" s="270" t="str">
        <f t="shared" si="2"/>
        <v/>
      </c>
      <c r="L13771">
        <f t="shared" si="3"/>
        <v>0</v>
      </c>
    </row>
    <row r="13772">
      <c r="A13772" s="107"/>
      <c r="D13772" s="270"/>
      <c r="H13772" s="106" t="str">
        <f t="shared" si="1"/>
        <v/>
      </c>
      <c r="J13772" t="str">
        <f>IFERROR(__xludf.DUMMYFUNCTION("IFS(
  AND(REGEXMATCH(E13772, ""台銀籌備帳戶|玉山帳戶""), REGEXMATCH(C13772, ""薪資"")), ""分潤支出"",
  AND(REGEXMATCH(E13772, ""Ben帳戶|Elsa帳戶|Ben代墊|Ariel代墊|中信銀行共用""), REGEXMATCH(F13772, ""Ben帳戶|Elsa帳戶|Ben代墊|Ariel代墊|中信銀行共用"")), ""內部轉帳(忽略)"",
  AND(E13772&lt;&gt;"""", F13772&lt;&gt;"&amp;""""", NOT(REGEXMATCH(C13772, ""薪資""))), ""內部轉帳(忽略)"",
  REGEXMATCH(C13772, ""薪資""), ""薪資變動(不計入)"",
  REGEXMATCH(C13772, ""押金""), ""押金往來"",
  AND(E13772&lt;&gt;"""", F13772=""""), ""真實支出"",
  AND(E13772="""", F13772&lt;&gt;""""), ""真實收入"",
  TRUE, ""其他""
)"),"其他")</f>
        <v>其他</v>
      </c>
      <c r="K13772" s="270" t="str">
        <f t="shared" si="2"/>
        <v/>
      </c>
      <c r="L13772">
        <f t="shared" si="3"/>
        <v>0</v>
      </c>
    </row>
    <row r="13773">
      <c r="A13773" s="107"/>
      <c r="D13773" s="270"/>
      <c r="H13773" s="106" t="str">
        <f t="shared" si="1"/>
        <v/>
      </c>
      <c r="J13773" t="str">
        <f>IFERROR(__xludf.DUMMYFUNCTION("IFS(
  AND(REGEXMATCH(E13773, ""台銀籌備帳戶|玉山帳戶""), REGEXMATCH(C13773, ""薪資"")), ""分潤支出"",
  AND(REGEXMATCH(E13773, ""Ben帳戶|Elsa帳戶|Ben代墊|Ariel代墊|中信銀行共用""), REGEXMATCH(F13773, ""Ben帳戶|Elsa帳戶|Ben代墊|Ariel代墊|中信銀行共用"")), ""內部轉帳(忽略)"",
  AND(E13773&lt;&gt;"""", F13773&lt;&gt;"&amp;""""", NOT(REGEXMATCH(C13773, ""薪資""))), ""內部轉帳(忽略)"",
  REGEXMATCH(C13773, ""薪資""), ""薪資變動(不計入)"",
  REGEXMATCH(C13773, ""押金""), ""押金往來"",
  AND(E13773&lt;&gt;"""", F13773=""""), ""真實支出"",
  AND(E13773="""", F13773&lt;&gt;""""), ""真實收入"",
  TRUE, ""其他""
)"),"其他")</f>
        <v>其他</v>
      </c>
      <c r="K13773" s="270" t="str">
        <f t="shared" si="2"/>
        <v/>
      </c>
      <c r="L13773">
        <f t="shared" si="3"/>
        <v>0</v>
      </c>
    </row>
    <row r="13774">
      <c r="A13774" s="107"/>
      <c r="D13774" s="270"/>
      <c r="H13774" s="106" t="str">
        <f t="shared" si="1"/>
        <v/>
      </c>
      <c r="J13774" t="str">
        <f>IFERROR(__xludf.DUMMYFUNCTION("IFS(
  AND(REGEXMATCH(E13774, ""台銀籌備帳戶|玉山帳戶""), REGEXMATCH(C13774, ""薪資"")), ""分潤支出"",
  AND(REGEXMATCH(E13774, ""Ben帳戶|Elsa帳戶|Ben代墊|Ariel代墊|中信銀行共用""), REGEXMATCH(F13774, ""Ben帳戶|Elsa帳戶|Ben代墊|Ariel代墊|中信銀行共用"")), ""內部轉帳(忽略)"",
  AND(E13774&lt;&gt;"""", F13774&lt;&gt;"&amp;""""", NOT(REGEXMATCH(C13774, ""薪資""))), ""內部轉帳(忽略)"",
  REGEXMATCH(C13774, ""薪資""), ""薪資變動(不計入)"",
  REGEXMATCH(C13774, ""押金""), ""押金往來"",
  AND(E13774&lt;&gt;"""", F13774=""""), ""真實支出"",
  AND(E13774="""", F13774&lt;&gt;""""), ""真實收入"",
  TRUE, ""其他""
)"),"其他")</f>
        <v>其他</v>
      </c>
      <c r="K13774" s="270" t="str">
        <f t="shared" si="2"/>
        <v/>
      </c>
      <c r="L13774">
        <f t="shared" si="3"/>
        <v>0</v>
      </c>
    </row>
    <row r="13775">
      <c r="A13775" s="107"/>
      <c r="D13775" s="270"/>
      <c r="H13775" s="106" t="str">
        <f t="shared" si="1"/>
        <v/>
      </c>
      <c r="J13775" t="str">
        <f>IFERROR(__xludf.DUMMYFUNCTION("IFS(
  AND(REGEXMATCH(E13775, ""台銀籌備帳戶|玉山帳戶""), REGEXMATCH(C13775, ""薪資"")), ""分潤支出"",
  AND(REGEXMATCH(E13775, ""Ben帳戶|Elsa帳戶|Ben代墊|Ariel代墊|中信銀行共用""), REGEXMATCH(F13775, ""Ben帳戶|Elsa帳戶|Ben代墊|Ariel代墊|中信銀行共用"")), ""內部轉帳(忽略)"",
  AND(E13775&lt;&gt;"""", F13775&lt;&gt;"&amp;""""", NOT(REGEXMATCH(C13775, ""薪資""))), ""內部轉帳(忽略)"",
  REGEXMATCH(C13775, ""薪資""), ""薪資變動(不計入)"",
  REGEXMATCH(C13775, ""押金""), ""押金往來"",
  AND(E13775&lt;&gt;"""", F13775=""""), ""真實支出"",
  AND(E13775="""", F13775&lt;&gt;""""), ""真實收入"",
  TRUE, ""其他""
)"),"其他")</f>
        <v>其他</v>
      </c>
      <c r="K13775" s="270" t="str">
        <f t="shared" si="2"/>
        <v/>
      </c>
      <c r="L13775">
        <f t="shared" si="3"/>
        <v>0</v>
      </c>
    </row>
    <row r="13776">
      <c r="A13776" s="107"/>
      <c r="D13776" s="270"/>
      <c r="H13776" s="106" t="str">
        <f t="shared" si="1"/>
        <v/>
      </c>
      <c r="J13776" t="str">
        <f>IFERROR(__xludf.DUMMYFUNCTION("IFS(
  AND(REGEXMATCH(E13776, ""台銀籌備帳戶|玉山帳戶""), REGEXMATCH(C13776, ""薪資"")), ""分潤支出"",
  AND(REGEXMATCH(E13776, ""Ben帳戶|Elsa帳戶|Ben代墊|Ariel代墊|中信銀行共用""), REGEXMATCH(F13776, ""Ben帳戶|Elsa帳戶|Ben代墊|Ariel代墊|中信銀行共用"")), ""內部轉帳(忽略)"",
  AND(E13776&lt;&gt;"""", F13776&lt;&gt;"&amp;""""", NOT(REGEXMATCH(C13776, ""薪資""))), ""內部轉帳(忽略)"",
  REGEXMATCH(C13776, ""薪資""), ""薪資變動(不計入)"",
  REGEXMATCH(C13776, ""押金""), ""押金往來"",
  AND(E13776&lt;&gt;"""", F13776=""""), ""真實支出"",
  AND(E13776="""", F13776&lt;&gt;""""), ""真實收入"",
  TRUE, ""其他""
)"),"其他")</f>
        <v>其他</v>
      </c>
      <c r="K13776" s="270" t="str">
        <f t="shared" si="2"/>
        <v/>
      </c>
      <c r="L13776">
        <f t="shared" si="3"/>
        <v>0</v>
      </c>
    </row>
    <row r="13777">
      <c r="A13777" s="107"/>
      <c r="D13777" s="270"/>
      <c r="H13777" s="106" t="str">
        <f t="shared" si="1"/>
        <v/>
      </c>
      <c r="J13777" t="str">
        <f>IFERROR(__xludf.DUMMYFUNCTION("IFS(
  AND(REGEXMATCH(E13777, ""台銀籌備帳戶|玉山帳戶""), REGEXMATCH(C13777, ""薪資"")), ""分潤支出"",
  AND(REGEXMATCH(E13777, ""Ben帳戶|Elsa帳戶|Ben代墊|Ariel代墊|中信銀行共用""), REGEXMATCH(F13777, ""Ben帳戶|Elsa帳戶|Ben代墊|Ariel代墊|中信銀行共用"")), ""內部轉帳(忽略)"",
  AND(E13777&lt;&gt;"""", F13777&lt;&gt;"&amp;""""", NOT(REGEXMATCH(C13777, ""薪資""))), ""內部轉帳(忽略)"",
  REGEXMATCH(C13777, ""薪資""), ""薪資變動(不計入)"",
  REGEXMATCH(C13777, ""押金""), ""押金往來"",
  AND(E13777&lt;&gt;"""", F13777=""""), ""真實支出"",
  AND(E13777="""", F13777&lt;&gt;""""), ""真實收入"",
  TRUE, ""其他""
)"),"其他")</f>
        <v>其他</v>
      </c>
      <c r="K13777" s="270" t="str">
        <f t="shared" si="2"/>
        <v/>
      </c>
      <c r="L13777">
        <f t="shared" si="3"/>
        <v>0</v>
      </c>
    </row>
    <row r="13778">
      <c r="A13778" s="107"/>
      <c r="D13778" s="270"/>
      <c r="H13778" s="106" t="str">
        <f t="shared" si="1"/>
        <v/>
      </c>
      <c r="J13778" t="str">
        <f>IFERROR(__xludf.DUMMYFUNCTION("IFS(
  AND(REGEXMATCH(E13778, ""台銀籌備帳戶|玉山帳戶""), REGEXMATCH(C13778, ""薪資"")), ""分潤支出"",
  AND(REGEXMATCH(E13778, ""Ben帳戶|Elsa帳戶|Ben代墊|Ariel代墊|中信銀行共用""), REGEXMATCH(F13778, ""Ben帳戶|Elsa帳戶|Ben代墊|Ariel代墊|中信銀行共用"")), ""內部轉帳(忽略)"",
  AND(E13778&lt;&gt;"""", F13778&lt;&gt;"&amp;""""", NOT(REGEXMATCH(C13778, ""薪資""))), ""內部轉帳(忽略)"",
  REGEXMATCH(C13778, ""薪資""), ""薪資變動(不計入)"",
  REGEXMATCH(C13778, ""押金""), ""押金往來"",
  AND(E13778&lt;&gt;"""", F13778=""""), ""真實支出"",
  AND(E13778="""", F13778&lt;&gt;""""), ""真實收入"",
  TRUE, ""其他""
)"),"其他")</f>
        <v>其他</v>
      </c>
      <c r="K13778" s="270" t="str">
        <f t="shared" si="2"/>
        <v/>
      </c>
      <c r="L13778">
        <f t="shared" si="3"/>
        <v>0</v>
      </c>
    </row>
    <row r="13779">
      <c r="A13779" s="107"/>
      <c r="D13779" s="270"/>
      <c r="H13779" s="106" t="str">
        <f t="shared" si="1"/>
        <v/>
      </c>
      <c r="J13779" t="str">
        <f>IFERROR(__xludf.DUMMYFUNCTION("IFS(
  AND(REGEXMATCH(E13779, ""台銀籌備帳戶|玉山帳戶""), REGEXMATCH(C13779, ""薪資"")), ""分潤支出"",
  AND(REGEXMATCH(E13779, ""Ben帳戶|Elsa帳戶|Ben代墊|Ariel代墊|中信銀行共用""), REGEXMATCH(F13779, ""Ben帳戶|Elsa帳戶|Ben代墊|Ariel代墊|中信銀行共用"")), ""內部轉帳(忽略)"",
  AND(E13779&lt;&gt;"""", F13779&lt;&gt;"&amp;""""", NOT(REGEXMATCH(C13779, ""薪資""))), ""內部轉帳(忽略)"",
  REGEXMATCH(C13779, ""薪資""), ""薪資變動(不計入)"",
  REGEXMATCH(C13779, ""押金""), ""押金往來"",
  AND(E13779&lt;&gt;"""", F13779=""""), ""真實支出"",
  AND(E13779="""", F13779&lt;&gt;""""), ""真實收入"",
  TRUE, ""其他""
)"),"其他")</f>
        <v>其他</v>
      </c>
      <c r="K13779" s="270" t="str">
        <f t="shared" si="2"/>
        <v/>
      </c>
      <c r="L13779">
        <f t="shared" si="3"/>
        <v>0</v>
      </c>
    </row>
    <row r="13780">
      <c r="A13780" s="107"/>
      <c r="D13780" s="270"/>
      <c r="H13780" s="106" t="str">
        <f t="shared" si="1"/>
        <v/>
      </c>
      <c r="J13780" t="str">
        <f>IFERROR(__xludf.DUMMYFUNCTION("IFS(
  AND(REGEXMATCH(E13780, ""台銀籌備帳戶|玉山帳戶""), REGEXMATCH(C13780, ""薪資"")), ""分潤支出"",
  AND(REGEXMATCH(E13780, ""Ben帳戶|Elsa帳戶|Ben代墊|Ariel代墊|中信銀行共用""), REGEXMATCH(F13780, ""Ben帳戶|Elsa帳戶|Ben代墊|Ariel代墊|中信銀行共用"")), ""內部轉帳(忽略)"",
  AND(E13780&lt;&gt;"""", F13780&lt;&gt;"&amp;""""", NOT(REGEXMATCH(C13780, ""薪資""))), ""內部轉帳(忽略)"",
  REGEXMATCH(C13780, ""薪資""), ""薪資變動(不計入)"",
  REGEXMATCH(C13780, ""押金""), ""押金往來"",
  AND(E13780&lt;&gt;"""", F13780=""""), ""真實支出"",
  AND(E13780="""", F13780&lt;&gt;""""), ""真實收入"",
  TRUE, ""其他""
)"),"其他")</f>
        <v>其他</v>
      </c>
      <c r="K13780" s="270" t="str">
        <f t="shared" si="2"/>
        <v/>
      </c>
      <c r="L13780">
        <f t="shared" si="3"/>
        <v>0</v>
      </c>
    </row>
    <row r="13781">
      <c r="A13781" s="107"/>
      <c r="D13781" s="270"/>
      <c r="H13781" s="106" t="str">
        <f t="shared" si="1"/>
        <v/>
      </c>
      <c r="J13781" t="str">
        <f>IFERROR(__xludf.DUMMYFUNCTION("IFS(
  AND(REGEXMATCH(E13781, ""台銀籌備帳戶|玉山帳戶""), REGEXMATCH(C13781, ""薪資"")), ""分潤支出"",
  AND(REGEXMATCH(E13781, ""Ben帳戶|Elsa帳戶|Ben代墊|Ariel代墊|中信銀行共用""), REGEXMATCH(F13781, ""Ben帳戶|Elsa帳戶|Ben代墊|Ariel代墊|中信銀行共用"")), ""內部轉帳(忽略)"",
  AND(E13781&lt;&gt;"""", F13781&lt;&gt;"&amp;""""", NOT(REGEXMATCH(C13781, ""薪資""))), ""內部轉帳(忽略)"",
  REGEXMATCH(C13781, ""薪資""), ""薪資變動(不計入)"",
  REGEXMATCH(C13781, ""押金""), ""押金往來"",
  AND(E13781&lt;&gt;"""", F13781=""""), ""真實支出"",
  AND(E13781="""", F13781&lt;&gt;""""), ""真實收入"",
  TRUE, ""其他""
)"),"其他")</f>
        <v>其他</v>
      </c>
      <c r="K13781" s="270" t="str">
        <f t="shared" si="2"/>
        <v/>
      </c>
      <c r="L13781">
        <f t="shared" si="3"/>
        <v>0</v>
      </c>
    </row>
    <row r="13782">
      <c r="A13782" s="107"/>
      <c r="D13782" s="270"/>
      <c r="H13782" s="106" t="str">
        <f t="shared" si="1"/>
        <v/>
      </c>
      <c r="J13782" t="str">
        <f>IFERROR(__xludf.DUMMYFUNCTION("IFS(
  AND(REGEXMATCH(E13782, ""台銀籌備帳戶|玉山帳戶""), REGEXMATCH(C13782, ""薪資"")), ""分潤支出"",
  AND(REGEXMATCH(E13782, ""Ben帳戶|Elsa帳戶|Ben代墊|Ariel代墊|中信銀行共用""), REGEXMATCH(F13782, ""Ben帳戶|Elsa帳戶|Ben代墊|Ariel代墊|中信銀行共用"")), ""內部轉帳(忽略)"",
  AND(E13782&lt;&gt;"""", F13782&lt;&gt;"&amp;""""", NOT(REGEXMATCH(C13782, ""薪資""))), ""內部轉帳(忽略)"",
  REGEXMATCH(C13782, ""薪資""), ""薪資變動(不計入)"",
  REGEXMATCH(C13782, ""押金""), ""押金往來"",
  AND(E13782&lt;&gt;"""", F13782=""""), ""真實支出"",
  AND(E13782="""", F13782&lt;&gt;""""), ""真實收入"",
  TRUE, ""其他""
)"),"其他")</f>
        <v>其他</v>
      </c>
      <c r="K13782" s="270" t="str">
        <f t="shared" si="2"/>
        <v/>
      </c>
      <c r="L13782">
        <f t="shared" si="3"/>
        <v>0</v>
      </c>
    </row>
    <row r="13783">
      <c r="A13783" s="107"/>
      <c r="D13783" s="270"/>
      <c r="H13783" s="106" t="str">
        <f t="shared" si="1"/>
        <v/>
      </c>
      <c r="J13783" t="str">
        <f>IFERROR(__xludf.DUMMYFUNCTION("IFS(
  AND(REGEXMATCH(E13783, ""台銀籌備帳戶|玉山帳戶""), REGEXMATCH(C13783, ""薪資"")), ""分潤支出"",
  AND(REGEXMATCH(E13783, ""Ben帳戶|Elsa帳戶|Ben代墊|Ariel代墊|中信銀行共用""), REGEXMATCH(F13783, ""Ben帳戶|Elsa帳戶|Ben代墊|Ariel代墊|中信銀行共用"")), ""內部轉帳(忽略)"",
  AND(E13783&lt;&gt;"""", F13783&lt;&gt;"&amp;""""", NOT(REGEXMATCH(C13783, ""薪資""))), ""內部轉帳(忽略)"",
  REGEXMATCH(C13783, ""薪資""), ""薪資變動(不計入)"",
  REGEXMATCH(C13783, ""押金""), ""押金往來"",
  AND(E13783&lt;&gt;"""", F13783=""""), ""真實支出"",
  AND(E13783="""", F13783&lt;&gt;""""), ""真實收入"",
  TRUE, ""其他""
)"),"其他")</f>
        <v>其他</v>
      </c>
      <c r="K13783" s="270" t="str">
        <f t="shared" si="2"/>
        <v/>
      </c>
      <c r="L13783">
        <f t="shared" si="3"/>
        <v>0</v>
      </c>
    </row>
    <row r="13784">
      <c r="A13784" s="107"/>
      <c r="D13784" s="270"/>
      <c r="H13784" s="106" t="str">
        <f t="shared" si="1"/>
        <v/>
      </c>
      <c r="J13784" t="str">
        <f>IFERROR(__xludf.DUMMYFUNCTION("IFS(
  AND(REGEXMATCH(E13784, ""台銀籌備帳戶|玉山帳戶""), REGEXMATCH(C13784, ""薪資"")), ""分潤支出"",
  AND(REGEXMATCH(E13784, ""Ben帳戶|Elsa帳戶|Ben代墊|Ariel代墊|中信銀行共用""), REGEXMATCH(F13784, ""Ben帳戶|Elsa帳戶|Ben代墊|Ariel代墊|中信銀行共用"")), ""內部轉帳(忽略)"",
  AND(E13784&lt;&gt;"""", F13784&lt;&gt;"&amp;""""", NOT(REGEXMATCH(C13784, ""薪資""))), ""內部轉帳(忽略)"",
  REGEXMATCH(C13784, ""薪資""), ""薪資變動(不計入)"",
  REGEXMATCH(C13784, ""押金""), ""押金往來"",
  AND(E13784&lt;&gt;"""", F13784=""""), ""真實支出"",
  AND(E13784="""", F13784&lt;&gt;""""), ""真實收入"",
  TRUE, ""其他""
)"),"其他")</f>
        <v>其他</v>
      </c>
      <c r="K13784" s="270" t="str">
        <f t="shared" si="2"/>
        <v/>
      </c>
      <c r="L13784">
        <f t="shared" si="3"/>
        <v>0</v>
      </c>
    </row>
    <row r="13785">
      <c r="A13785" s="107"/>
      <c r="D13785" s="270"/>
      <c r="H13785" s="106" t="str">
        <f t="shared" si="1"/>
        <v/>
      </c>
      <c r="J13785" t="str">
        <f>IFERROR(__xludf.DUMMYFUNCTION("IFS(
  AND(REGEXMATCH(E13785, ""台銀籌備帳戶|玉山帳戶""), REGEXMATCH(C13785, ""薪資"")), ""分潤支出"",
  AND(REGEXMATCH(E13785, ""Ben帳戶|Elsa帳戶|Ben代墊|Ariel代墊|中信銀行共用""), REGEXMATCH(F13785, ""Ben帳戶|Elsa帳戶|Ben代墊|Ariel代墊|中信銀行共用"")), ""內部轉帳(忽略)"",
  AND(E13785&lt;&gt;"""", F13785&lt;&gt;"&amp;""""", NOT(REGEXMATCH(C13785, ""薪資""))), ""內部轉帳(忽略)"",
  REGEXMATCH(C13785, ""薪資""), ""薪資變動(不計入)"",
  REGEXMATCH(C13785, ""押金""), ""押金往來"",
  AND(E13785&lt;&gt;"""", F13785=""""), ""真實支出"",
  AND(E13785="""", F13785&lt;&gt;""""), ""真實收入"",
  TRUE, ""其他""
)"),"其他")</f>
        <v>其他</v>
      </c>
      <c r="K13785" s="270" t="str">
        <f t="shared" si="2"/>
        <v/>
      </c>
      <c r="L13785">
        <f t="shared" si="3"/>
        <v>0</v>
      </c>
    </row>
    <row r="13786">
      <c r="A13786" s="107"/>
      <c r="D13786" s="270"/>
      <c r="H13786" s="106" t="str">
        <f t="shared" si="1"/>
        <v/>
      </c>
      <c r="J13786" t="str">
        <f>IFERROR(__xludf.DUMMYFUNCTION("IFS(
  AND(REGEXMATCH(E13786, ""台銀籌備帳戶|玉山帳戶""), REGEXMATCH(C13786, ""薪資"")), ""分潤支出"",
  AND(REGEXMATCH(E13786, ""Ben帳戶|Elsa帳戶|Ben代墊|Ariel代墊|中信銀行共用""), REGEXMATCH(F13786, ""Ben帳戶|Elsa帳戶|Ben代墊|Ariel代墊|中信銀行共用"")), ""內部轉帳(忽略)"",
  AND(E13786&lt;&gt;"""", F13786&lt;&gt;"&amp;""""", NOT(REGEXMATCH(C13786, ""薪資""))), ""內部轉帳(忽略)"",
  REGEXMATCH(C13786, ""薪資""), ""薪資變動(不計入)"",
  REGEXMATCH(C13786, ""押金""), ""押金往來"",
  AND(E13786&lt;&gt;"""", F13786=""""), ""真實支出"",
  AND(E13786="""", F13786&lt;&gt;""""), ""真實收入"",
  TRUE, ""其他""
)"),"其他")</f>
        <v>其他</v>
      </c>
      <c r="K13786" s="270" t="str">
        <f t="shared" si="2"/>
        <v/>
      </c>
      <c r="L13786">
        <f t="shared" si="3"/>
        <v>0</v>
      </c>
    </row>
    <row r="13787">
      <c r="A13787" s="107"/>
      <c r="D13787" s="270"/>
      <c r="H13787" s="106" t="str">
        <f t="shared" si="1"/>
        <v/>
      </c>
      <c r="J13787" t="str">
        <f>IFERROR(__xludf.DUMMYFUNCTION("IFS(
  AND(REGEXMATCH(E13787, ""台銀籌備帳戶|玉山帳戶""), REGEXMATCH(C13787, ""薪資"")), ""分潤支出"",
  AND(REGEXMATCH(E13787, ""Ben帳戶|Elsa帳戶|Ben代墊|Ariel代墊|中信銀行共用""), REGEXMATCH(F13787, ""Ben帳戶|Elsa帳戶|Ben代墊|Ariel代墊|中信銀行共用"")), ""內部轉帳(忽略)"",
  AND(E13787&lt;&gt;"""", F13787&lt;&gt;"&amp;""""", NOT(REGEXMATCH(C13787, ""薪資""))), ""內部轉帳(忽略)"",
  REGEXMATCH(C13787, ""薪資""), ""薪資變動(不計入)"",
  REGEXMATCH(C13787, ""押金""), ""押金往來"",
  AND(E13787&lt;&gt;"""", F13787=""""), ""真實支出"",
  AND(E13787="""", F13787&lt;&gt;""""), ""真實收入"",
  TRUE, ""其他""
)"),"其他")</f>
        <v>其他</v>
      </c>
      <c r="K13787" s="270" t="str">
        <f t="shared" si="2"/>
        <v/>
      </c>
      <c r="L13787">
        <f t="shared" si="3"/>
        <v>0</v>
      </c>
    </row>
    <row r="13788">
      <c r="A13788" s="107"/>
      <c r="D13788" s="270"/>
      <c r="H13788" s="106" t="str">
        <f t="shared" si="1"/>
        <v/>
      </c>
      <c r="J13788" t="str">
        <f>IFERROR(__xludf.DUMMYFUNCTION("IFS(
  AND(REGEXMATCH(E13788, ""台銀籌備帳戶|玉山帳戶""), REGEXMATCH(C13788, ""薪資"")), ""分潤支出"",
  AND(REGEXMATCH(E13788, ""Ben帳戶|Elsa帳戶|Ben代墊|Ariel代墊|中信銀行共用""), REGEXMATCH(F13788, ""Ben帳戶|Elsa帳戶|Ben代墊|Ariel代墊|中信銀行共用"")), ""內部轉帳(忽略)"",
  AND(E13788&lt;&gt;"""", F13788&lt;&gt;"&amp;""""", NOT(REGEXMATCH(C13788, ""薪資""))), ""內部轉帳(忽略)"",
  REGEXMATCH(C13788, ""薪資""), ""薪資變動(不計入)"",
  REGEXMATCH(C13788, ""押金""), ""押金往來"",
  AND(E13788&lt;&gt;"""", F13788=""""), ""真實支出"",
  AND(E13788="""", F13788&lt;&gt;""""), ""真實收入"",
  TRUE, ""其他""
)"),"其他")</f>
        <v>其他</v>
      </c>
      <c r="K13788" s="270" t="str">
        <f t="shared" si="2"/>
        <v/>
      </c>
      <c r="L13788">
        <f t="shared" si="3"/>
        <v>0</v>
      </c>
    </row>
    <row r="13789">
      <c r="A13789" s="107"/>
      <c r="D13789" s="270"/>
      <c r="H13789" s="106" t="str">
        <f t="shared" si="1"/>
        <v/>
      </c>
      <c r="J13789" t="str">
        <f>IFERROR(__xludf.DUMMYFUNCTION("IFS(
  AND(REGEXMATCH(E13789, ""台銀籌備帳戶|玉山帳戶""), REGEXMATCH(C13789, ""薪資"")), ""分潤支出"",
  AND(REGEXMATCH(E13789, ""Ben帳戶|Elsa帳戶|Ben代墊|Ariel代墊|中信銀行共用""), REGEXMATCH(F13789, ""Ben帳戶|Elsa帳戶|Ben代墊|Ariel代墊|中信銀行共用"")), ""內部轉帳(忽略)"",
  AND(E13789&lt;&gt;"""", F13789&lt;&gt;"&amp;""""", NOT(REGEXMATCH(C13789, ""薪資""))), ""內部轉帳(忽略)"",
  REGEXMATCH(C13789, ""薪資""), ""薪資變動(不計入)"",
  REGEXMATCH(C13789, ""押金""), ""押金往來"",
  AND(E13789&lt;&gt;"""", F13789=""""), ""真實支出"",
  AND(E13789="""", F13789&lt;&gt;""""), ""真實收入"",
  TRUE, ""其他""
)"),"其他")</f>
        <v>其他</v>
      </c>
      <c r="K13789" s="270" t="str">
        <f t="shared" si="2"/>
        <v/>
      </c>
      <c r="L13789">
        <f t="shared" si="3"/>
        <v>0</v>
      </c>
    </row>
    <row r="13790">
      <c r="A13790" s="107"/>
      <c r="D13790" s="270"/>
      <c r="H13790" s="106" t="str">
        <f t="shared" si="1"/>
        <v/>
      </c>
      <c r="J13790" t="str">
        <f>IFERROR(__xludf.DUMMYFUNCTION("IFS(
  AND(REGEXMATCH(E13790, ""台銀籌備帳戶|玉山帳戶""), REGEXMATCH(C13790, ""薪資"")), ""分潤支出"",
  AND(REGEXMATCH(E13790, ""Ben帳戶|Elsa帳戶|Ben代墊|Ariel代墊|中信銀行共用""), REGEXMATCH(F13790, ""Ben帳戶|Elsa帳戶|Ben代墊|Ariel代墊|中信銀行共用"")), ""內部轉帳(忽略)"",
  AND(E13790&lt;&gt;"""", F13790&lt;&gt;"&amp;""""", NOT(REGEXMATCH(C13790, ""薪資""))), ""內部轉帳(忽略)"",
  REGEXMATCH(C13790, ""薪資""), ""薪資變動(不計入)"",
  REGEXMATCH(C13790, ""押金""), ""押金往來"",
  AND(E13790&lt;&gt;"""", F13790=""""), ""真實支出"",
  AND(E13790="""", F13790&lt;&gt;""""), ""真實收入"",
  TRUE, ""其他""
)"),"其他")</f>
        <v>其他</v>
      </c>
      <c r="K13790" s="270" t="str">
        <f t="shared" si="2"/>
        <v/>
      </c>
      <c r="L13790">
        <f t="shared" si="3"/>
        <v>0</v>
      </c>
    </row>
    <row r="13791">
      <c r="A13791" s="107"/>
      <c r="D13791" s="270"/>
      <c r="H13791" s="106" t="str">
        <f t="shared" si="1"/>
        <v/>
      </c>
      <c r="J13791" t="str">
        <f>IFERROR(__xludf.DUMMYFUNCTION("IFS(
  AND(REGEXMATCH(E13791, ""台銀籌備帳戶|玉山帳戶""), REGEXMATCH(C13791, ""薪資"")), ""分潤支出"",
  AND(REGEXMATCH(E13791, ""Ben帳戶|Elsa帳戶|Ben代墊|Ariel代墊|中信銀行共用""), REGEXMATCH(F13791, ""Ben帳戶|Elsa帳戶|Ben代墊|Ariel代墊|中信銀行共用"")), ""內部轉帳(忽略)"",
  AND(E13791&lt;&gt;"""", F13791&lt;&gt;"&amp;""""", NOT(REGEXMATCH(C13791, ""薪資""))), ""內部轉帳(忽略)"",
  REGEXMATCH(C13791, ""薪資""), ""薪資變動(不計入)"",
  REGEXMATCH(C13791, ""押金""), ""押金往來"",
  AND(E13791&lt;&gt;"""", F13791=""""), ""真實支出"",
  AND(E13791="""", F13791&lt;&gt;""""), ""真實收入"",
  TRUE, ""其他""
)"),"其他")</f>
        <v>其他</v>
      </c>
      <c r="K13791" s="270" t="str">
        <f t="shared" si="2"/>
        <v/>
      </c>
      <c r="L13791">
        <f t="shared" si="3"/>
        <v>0</v>
      </c>
    </row>
    <row r="13792">
      <c r="A13792" s="107"/>
      <c r="D13792" s="270"/>
      <c r="H13792" s="106" t="str">
        <f t="shared" si="1"/>
        <v/>
      </c>
      <c r="J13792" t="str">
        <f>IFERROR(__xludf.DUMMYFUNCTION("IFS(
  AND(REGEXMATCH(E13792, ""台銀籌備帳戶|玉山帳戶""), REGEXMATCH(C13792, ""薪資"")), ""分潤支出"",
  AND(REGEXMATCH(E13792, ""Ben帳戶|Elsa帳戶|Ben代墊|Ariel代墊|中信銀行共用""), REGEXMATCH(F13792, ""Ben帳戶|Elsa帳戶|Ben代墊|Ariel代墊|中信銀行共用"")), ""內部轉帳(忽略)"",
  AND(E13792&lt;&gt;"""", F13792&lt;&gt;"&amp;""""", NOT(REGEXMATCH(C13792, ""薪資""))), ""內部轉帳(忽略)"",
  REGEXMATCH(C13792, ""薪資""), ""薪資變動(不計入)"",
  REGEXMATCH(C13792, ""押金""), ""押金往來"",
  AND(E13792&lt;&gt;"""", F13792=""""), ""真實支出"",
  AND(E13792="""", F13792&lt;&gt;""""), ""真實收入"",
  TRUE, ""其他""
)"),"其他")</f>
        <v>其他</v>
      </c>
      <c r="K13792" s="270" t="str">
        <f t="shared" si="2"/>
        <v/>
      </c>
      <c r="L13792">
        <f t="shared" si="3"/>
        <v>0</v>
      </c>
    </row>
    <row r="13793">
      <c r="A13793" s="107"/>
      <c r="D13793" s="270"/>
      <c r="H13793" s="106" t="str">
        <f t="shared" si="1"/>
        <v/>
      </c>
      <c r="J13793" t="str">
        <f>IFERROR(__xludf.DUMMYFUNCTION("IFS(
  AND(REGEXMATCH(E13793, ""台銀籌備帳戶|玉山帳戶""), REGEXMATCH(C13793, ""薪資"")), ""分潤支出"",
  AND(REGEXMATCH(E13793, ""Ben帳戶|Elsa帳戶|Ben代墊|Ariel代墊|中信銀行共用""), REGEXMATCH(F13793, ""Ben帳戶|Elsa帳戶|Ben代墊|Ariel代墊|中信銀行共用"")), ""內部轉帳(忽略)"",
  AND(E13793&lt;&gt;"""", F13793&lt;&gt;"&amp;""""", NOT(REGEXMATCH(C13793, ""薪資""))), ""內部轉帳(忽略)"",
  REGEXMATCH(C13793, ""薪資""), ""薪資變動(不計入)"",
  REGEXMATCH(C13793, ""押金""), ""押金往來"",
  AND(E13793&lt;&gt;"""", F13793=""""), ""真實支出"",
  AND(E13793="""", F13793&lt;&gt;""""), ""真實收入"",
  TRUE, ""其他""
)"),"其他")</f>
        <v>其他</v>
      </c>
      <c r="K13793" s="270" t="str">
        <f t="shared" si="2"/>
        <v/>
      </c>
      <c r="L13793">
        <f t="shared" si="3"/>
        <v>0</v>
      </c>
    </row>
    <row r="13794">
      <c r="A13794" s="107"/>
      <c r="D13794" s="270"/>
      <c r="H13794" s="106" t="str">
        <f t="shared" si="1"/>
        <v/>
      </c>
      <c r="J13794" t="str">
        <f>IFERROR(__xludf.DUMMYFUNCTION("IFS(
  AND(REGEXMATCH(E13794, ""台銀籌備帳戶|玉山帳戶""), REGEXMATCH(C13794, ""薪資"")), ""分潤支出"",
  AND(REGEXMATCH(E13794, ""Ben帳戶|Elsa帳戶|Ben代墊|Ariel代墊|中信銀行共用""), REGEXMATCH(F13794, ""Ben帳戶|Elsa帳戶|Ben代墊|Ariel代墊|中信銀行共用"")), ""內部轉帳(忽略)"",
  AND(E13794&lt;&gt;"""", F13794&lt;&gt;"&amp;""""", NOT(REGEXMATCH(C13794, ""薪資""))), ""內部轉帳(忽略)"",
  REGEXMATCH(C13794, ""薪資""), ""薪資變動(不計入)"",
  REGEXMATCH(C13794, ""押金""), ""押金往來"",
  AND(E13794&lt;&gt;"""", F13794=""""), ""真實支出"",
  AND(E13794="""", F13794&lt;&gt;""""), ""真實收入"",
  TRUE, ""其他""
)"),"其他")</f>
        <v>其他</v>
      </c>
      <c r="K13794" s="270" t="str">
        <f t="shared" si="2"/>
        <v/>
      </c>
      <c r="L13794">
        <f t="shared" si="3"/>
        <v>0</v>
      </c>
    </row>
    <row r="13795">
      <c r="A13795" s="107"/>
      <c r="D13795" s="270"/>
      <c r="H13795" s="106" t="str">
        <f t="shared" si="1"/>
        <v/>
      </c>
      <c r="J13795" t="str">
        <f>IFERROR(__xludf.DUMMYFUNCTION("IFS(
  AND(REGEXMATCH(E13795, ""台銀籌備帳戶|玉山帳戶""), REGEXMATCH(C13795, ""薪資"")), ""分潤支出"",
  AND(REGEXMATCH(E13795, ""Ben帳戶|Elsa帳戶|Ben代墊|Ariel代墊|中信銀行共用""), REGEXMATCH(F13795, ""Ben帳戶|Elsa帳戶|Ben代墊|Ariel代墊|中信銀行共用"")), ""內部轉帳(忽略)"",
  AND(E13795&lt;&gt;"""", F13795&lt;&gt;"&amp;""""", NOT(REGEXMATCH(C13795, ""薪資""))), ""內部轉帳(忽略)"",
  REGEXMATCH(C13795, ""薪資""), ""薪資變動(不計入)"",
  REGEXMATCH(C13795, ""押金""), ""押金往來"",
  AND(E13795&lt;&gt;"""", F13795=""""), ""真實支出"",
  AND(E13795="""", F13795&lt;&gt;""""), ""真實收入"",
  TRUE, ""其他""
)"),"其他")</f>
        <v>其他</v>
      </c>
      <c r="K13795" s="270" t="str">
        <f t="shared" si="2"/>
        <v/>
      </c>
      <c r="L13795">
        <f t="shared" si="3"/>
        <v>0</v>
      </c>
    </row>
    <row r="13796">
      <c r="A13796" s="107"/>
      <c r="D13796" s="270"/>
      <c r="H13796" s="106" t="str">
        <f t="shared" si="1"/>
        <v/>
      </c>
      <c r="J13796" t="str">
        <f>IFERROR(__xludf.DUMMYFUNCTION("IFS(
  AND(REGEXMATCH(E13796, ""台銀籌備帳戶|玉山帳戶""), REGEXMATCH(C13796, ""薪資"")), ""分潤支出"",
  AND(REGEXMATCH(E13796, ""Ben帳戶|Elsa帳戶|Ben代墊|Ariel代墊|中信銀行共用""), REGEXMATCH(F13796, ""Ben帳戶|Elsa帳戶|Ben代墊|Ariel代墊|中信銀行共用"")), ""內部轉帳(忽略)"",
  AND(E13796&lt;&gt;"""", F13796&lt;&gt;"&amp;""""", NOT(REGEXMATCH(C13796, ""薪資""))), ""內部轉帳(忽略)"",
  REGEXMATCH(C13796, ""薪資""), ""薪資變動(不計入)"",
  REGEXMATCH(C13796, ""押金""), ""押金往來"",
  AND(E13796&lt;&gt;"""", F13796=""""), ""真實支出"",
  AND(E13796="""", F13796&lt;&gt;""""), ""真實收入"",
  TRUE, ""其他""
)"),"其他")</f>
        <v>其他</v>
      </c>
      <c r="K13796" s="270" t="str">
        <f t="shared" si="2"/>
        <v/>
      </c>
      <c r="L13796">
        <f t="shared" si="3"/>
        <v>0</v>
      </c>
    </row>
    <row r="13797">
      <c r="A13797" s="107"/>
      <c r="D13797" s="270"/>
      <c r="H13797" s="106" t="str">
        <f t="shared" si="1"/>
        <v/>
      </c>
      <c r="J13797" t="str">
        <f>IFERROR(__xludf.DUMMYFUNCTION("IFS(
  AND(REGEXMATCH(E13797, ""台銀籌備帳戶|玉山帳戶""), REGEXMATCH(C13797, ""薪資"")), ""分潤支出"",
  AND(REGEXMATCH(E13797, ""Ben帳戶|Elsa帳戶|Ben代墊|Ariel代墊|中信銀行共用""), REGEXMATCH(F13797, ""Ben帳戶|Elsa帳戶|Ben代墊|Ariel代墊|中信銀行共用"")), ""內部轉帳(忽略)"",
  AND(E13797&lt;&gt;"""", F13797&lt;&gt;"&amp;""""", NOT(REGEXMATCH(C13797, ""薪資""))), ""內部轉帳(忽略)"",
  REGEXMATCH(C13797, ""薪資""), ""薪資變動(不計入)"",
  REGEXMATCH(C13797, ""押金""), ""押金往來"",
  AND(E13797&lt;&gt;"""", F13797=""""), ""真實支出"",
  AND(E13797="""", F13797&lt;&gt;""""), ""真實收入"",
  TRUE, ""其他""
)"),"其他")</f>
        <v>其他</v>
      </c>
      <c r="K13797" s="270" t="str">
        <f t="shared" si="2"/>
        <v/>
      </c>
      <c r="L13797">
        <f t="shared" si="3"/>
        <v>0</v>
      </c>
    </row>
    <row r="13798">
      <c r="A13798" s="107"/>
      <c r="D13798" s="270"/>
      <c r="H13798" s="106" t="str">
        <f t="shared" si="1"/>
        <v/>
      </c>
      <c r="J13798" t="str">
        <f>IFERROR(__xludf.DUMMYFUNCTION("IFS(
  AND(REGEXMATCH(E13798, ""台銀籌備帳戶|玉山帳戶""), REGEXMATCH(C13798, ""薪資"")), ""分潤支出"",
  AND(REGEXMATCH(E13798, ""Ben帳戶|Elsa帳戶|Ben代墊|Ariel代墊|中信銀行共用""), REGEXMATCH(F13798, ""Ben帳戶|Elsa帳戶|Ben代墊|Ariel代墊|中信銀行共用"")), ""內部轉帳(忽略)"",
  AND(E13798&lt;&gt;"""", F13798&lt;&gt;"&amp;""""", NOT(REGEXMATCH(C13798, ""薪資""))), ""內部轉帳(忽略)"",
  REGEXMATCH(C13798, ""薪資""), ""薪資變動(不計入)"",
  REGEXMATCH(C13798, ""押金""), ""押金往來"",
  AND(E13798&lt;&gt;"""", F13798=""""), ""真實支出"",
  AND(E13798="""", F13798&lt;&gt;""""), ""真實收入"",
  TRUE, ""其他""
)"),"其他")</f>
        <v>其他</v>
      </c>
      <c r="K13798" s="270" t="str">
        <f t="shared" si="2"/>
        <v/>
      </c>
      <c r="L13798">
        <f t="shared" si="3"/>
        <v>0</v>
      </c>
    </row>
    <row r="13799">
      <c r="A13799" s="107"/>
      <c r="D13799" s="270"/>
      <c r="H13799" s="106" t="str">
        <f t="shared" si="1"/>
        <v/>
      </c>
      <c r="J13799" t="str">
        <f>IFERROR(__xludf.DUMMYFUNCTION("IFS(
  AND(REGEXMATCH(E13799, ""台銀籌備帳戶|玉山帳戶""), REGEXMATCH(C13799, ""薪資"")), ""分潤支出"",
  AND(REGEXMATCH(E13799, ""Ben帳戶|Elsa帳戶|Ben代墊|Ariel代墊|中信銀行共用""), REGEXMATCH(F13799, ""Ben帳戶|Elsa帳戶|Ben代墊|Ariel代墊|中信銀行共用"")), ""內部轉帳(忽略)"",
  AND(E13799&lt;&gt;"""", F13799&lt;&gt;"&amp;""""", NOT(REGEXMATCH(C13799, ""薪資""))), ""內部轉帳(忽略)"",
  REGEXMATCH(C13799, ""薪資""), ""薪資變動(不計入)"",
  REGEXMATCH(C13799, ""押金""), ""押金往來"",
  AND(E13799&lt;&gt;"""", F13799=""""), ""真實支出"",
  AND(E13799="""", F13799&lt;&gt;""""), ""真實收入"",
  TRUE, ""其他""
)"),"其他")</f>
        <v>其他</v>
      </c>
      <c r="K13799" s="270" t="str">
        <f t="shared" si="2"/>
        <v/>
      </c>
      <c r="L13799">
        <f t="shared" si="3"/>
        <v>0</v>
      </c>
    </row>
    <row r="13800">
      <c r="A13800" s="107"/>
      <c r="D13800" s="270"/>
      <c r="H13800" s="106" t="str">
        <f t="shared" si="1"/>
        <v/>
      </c>
      <c r="J13800" t="str">
        <f>IFERROR(__xludf.DUMMYFUNCTION("IFS(
  AND(REGEXMATCH(E13800, ""台銀籌備帳戶|玉山帳戶""), REGEXMATCH(C13800, ""薪資"")), ""分潤支出"",
  AND(REGEXMATCH(E13800, ""Ben帳戶|Elsa帳戶|Ben代墊|Ariel代墊|中信銀行共用""), REGEXMATCH(F13800, ""Ben帳戶|Elsa帳戶|Ben代墊|Ariel代墊|中信銀行共用"")), ""內部轉帳(忽略)"",
  AND(E13800&lt;&gt;"""", F13800&lt;&gt;"&amp;""""", NOT(REGEXMATCH(C13800, ""薪資""))), ""內部轉帳(忽略)"",
  REGEXMATCH(C13800, ""薪資""), ""薪資變動(不計入)"",
  REGEXMATCH(C13800, ""押金""), ""押金往來"",
  AND(E13800&lt;&gt;"""", F13800=""""), ""真實支出"",
  AND(E13800="""", F13800&lt;&gt;""""), ""真實收入"",
  TRUE, ""其他""
)"),"其他")</f>
        <v>其他</v>
      </c>
      <c r="K13800" s="270" t="str">
        <f t="shared" si="2"/>
        <v/>
      </c>
      <c r="L13800">
        <f t="shared" si="3"/>
        <v>0</v>
      </c>
    </row>
    <row r="13801">
      <c r="A13801" s="107"/>
      <c r="D13801" s="270"/>
      <c r="H13801" s="106" t="str">
        <f t="shared" si="1"/>
        <v/>
      </c>
      <c r="J13801" t="str">
        <f>IFERROR(__xludf.DUMMYFUNCTION("IFS(
  AND(REGEXMATCH(E13801, ""台銀籌備帳戶|玉山帳戶""), REGEXMATCH(C13801, ""薪資"")), ""分潤支出"",
  AND(REGEXMATCH(E13801, ""Ben帳戶|Elsa帳戶|Ben代墊|Ariel代墊|中信銀行共用""), REGEXMATCH(F13801, ""Ben帳戶|Elsa帳戶|Ben代墊|Ariel代墊|中信銀行共用"")), ""內部轉帳(忽略)"",
  AND(E13801&lt;&gt;"""", F13801&lt;&gt;"&amp;""""", NOT(REGEXMATCH(C13801, ""薪資""))), ""內部轉帳(忽略)"",
  REGEXMATCH(C13801, ""薪資""), ""薪資變動(不計入)"",
  REGEXMATCH(C13801, ""押金""), ""押金往來"",
  AND(E13801&lt;&gt;"""", F13801=""""), ""真實支出"",
  AND(E13801="""", F13801&lt;&gt;""""), ""真實收入"",
  TRUE, ""其他""
)"),"其他")</f>
        <v>其他</v>
      </c>
      <c r="K13801" s="270" t="str">
        <f t="shared" si="2"/>
        <v/>
      </c>
      <c r="L13801">
        <f t="shared" si="3"/>
        <v>0</v>
      </c>
    </row>
    <row r="13802">
      <c r="A13802" s="107"/>
      <c r="D13802" s="270"/>
      <c r="H13802" s="106" t="str">
        <f t="shared" si="1"/>
        <v/>
      </c>
      <c r="J13802" t="str">
        <f>IFERROR(__xludf.DUMMYFUNCTION("IFS(
  AND(REGEXMATCH(E13802, ""台銀籌備帳戶|玉山帳戶""), REGEXMATCH(C13802, ""薪資"")), ""分潤支出"",
  AND(REGEXMATCH(E13802, ""Ben帳戶|Elsa帳戶|Ben代墊|Ariel代墊|中信銀行共用""), REGEXMATCH(F13802, ""Ben帳戶|Elsa帳戶|Ben代墊|Ariel代墊|中信銀行共用"")), ""內部轉帳(忽略)"",
  AND(E13802&lt;&gt;"""", F13802&lt;&gt;"&amp;""""", NOT(REGEXMATCH(C13802, ""薪資""))), ""內部轉帳(忽略)"",
  REGEXMATCH(C13802, ""薪資""), ""薪資變動(不計入)"",
  REGEXMATCH(C13802, ""押金""), ""押金往來"",
  AND(E13802&lt;&gt;"""", F13802=""""), ""真實支出"",
  AND(E13802="""", F13802&lt;&gt;""""), ""真實收入"",
  TRUE, ""其他""
)"),"其他")</f>
        <v>其他</v>
      </c>
      <c r="K13802" s="270" t="str">
        <f t="shared" si="2"/>
        <v/>
      </c>
      <c r="L13802">
        <f t="shared" si="3"/>
        <v>0</v>
      </c>
    </row>
    <row r="13803">
      <c r="A13803" s="107"/>
      <c r="D13803" s="270"/>
      <c r="H13803" s="106" t="str">
        <f t="shared" si="1"/>
        <v/>
      </c>
      <c r="J13803" t="str">
        <f>IFERROR(__xludf.DUMMYFUNCTION("IFS(
  AND(REGEXMATCH(E13803, ""台銀籌備帳戶|玉山帳戶""), REGEXMATCH(C13803, ""薪資"")), ""分潤支出"",
  AND(REGEXMATCH(E13803, ""Ben帳戶|Elsa帳戶|Ben代墊|Ariel代墊|中信銀行共用""), REGEXMATCH(F13803, ""Ben帳戶|Elsa帳戶|Ben代墊|Ariel代墊|中信銀行共用"")), ""內部轉帳(忽略)"",
  AND(E13803&lt;&gt;"""", F13803&lt;&gt;"&amp;""""", NOT(REGEXMATCH(C13803, ""薪資""))), ""內部轉帳(忽略)"",
  REGEXMATCH(C13803, ""薪資""), ""薪資變動(不計入)"",
  REGEXMATCH(C13803, ""押金""), ""押金往來"",
  AND(E13803&lt;&gt;"""", F13803=""""), ""真實支出"",
  AND(E13803="""", F13803&lt;&gt;""""), ""真實收入"",
  TRUE, ""其他""
)"),"其他")</f>
        <v>其他</v>
      </c>
      <c r="K13803" s="270" t="str">
        <f t="shared" si="2"/>
        <v/>
      </c>
      <c r="L13803">
        <f t="shared" si="3"/>
        <v>0</v>
      </c>
    </row>
    <row r="13804">
      <c r="A13804" s="107"/>
      <c r="D13804" s="270"/>
      <c r="H13804" s="106" t="str">
        <f t="shared" si="1"/>
        <v/>
      </c>
      <c r="J13804" t="str">
        <f>IFERROR(__xludf.DUMMYFUNCTION("IFS(
  AND(REGEXMATCH(E13804, ""台銀籌備帳戶|玉山帳戶""), REGEXMATCH(C13804, ""薪資"")), ""分潤支出"",
  AND(REGEXMATCH(E13804, ""Ben帳戶|Elsa帳戶|Ben代墊|Ariel代墊|中信銀行共用""), REGEXMATCH(F13804, ""Ben帳戶|Elsa帳戶|Ben代墊|Ariel代墊|中信銀行共用"")), ""內部轉帳(忽略)"",
  AND(E13804&lt;&gt;"""", F13804&lt;&gt;"&amp;""""", NOT(REGEXMATCH(C13804, ""薪資""))), ""內部轉帳(忽略)"",
  REGEXMATCH(C13804, ""薪資""), ""薪資變動(不計入)"",
  REGEXMATCH(C13804, ""押金""), ""押金往來"",
  AND(E13804&lt;&gt;"""", F13804=""""), ""真實支出"",
  AND(E13804="""", F13804&lt;&gt;""""), ""真實收入"",
  TRUE, ""其他""
)"),"其他")</f>
        <v>其他</v>
      </c>
      <c r="K13804" s="270" t="str">
        <f t="shared" si="2"/>
        <v/>
      </c>
      <c r="L13804">
        <f t="shared" si="3"/>
        <v>0</v>
      </c>
    </row>
    <row r="13805">
      <c r="A13805" s="107"/>
      <c r="D13805" s="270"/>
      <c r="H13805" s="106" t="str">
        <f t="shared" si="1"/>
        <v/>
      </c>
      <c r="J13805" t="str">
        <f>IFERROR(__xludf.DUMMYFUNCTION("IFS(
  AND(REGEXMATCH(E13805, ""台銀籌備帳戶|玉山帳戶""), REGEXMATCH(C13805, ""薪資"")), ""分潤支出"",
  AND(REGEXMATCH(E13805, ""Ben帳戶|Elsa帳戶|Ben代墊|Ariel代墊|中信銀行共用""), REGEXMATCH(F13805, ""Ben帳戶|Elsa帳戶|Ben代墊|Ariel代墊|中信銀行共用"")), ""內部轉帳(忽略)"",
  AND(E13805&lt;&gt;"""", F13805&lt;&gt;"&amp;""""", NOT(REGEXMATCH(C13805, ""薪資""))), ""內部轉帳(忽略)"",
  REGEXMATCH(C13805, ""薪資""), ""薪資變動(不計入)"",
  REGEXMATCH(C13805, ""押金""), ""押金往來"",
  AND(E13805&lt;&gt;"""", F13805=""""), ""真實支出"",
  AND(E13805="""", F13805&lt;&gt;""""), ""真實收入"",
  TRUE, ""其他""
)"),"其他")</f>
        <v>其他</v>
      </c>
      <c r="K13805" s="270" t="str">
        <f t="shared" si="2"/>
        <v/>
      </c>
      <c r="L13805">
        <f t="shared" si="3"/>
        <v>0</v>
      </c>
    </row>
    <row r="13806">
      <c r="A13806" s="107"/>
      <c r="D13806" s="270"/>
      <c r="H13806" s="106" t="str">
        <f t="shared" si="1"/>
        <v/>
      </c>
      <c r="J13806" t="str">
        <f>IFERROR(__xludf.DUMMYFUNCTION("IFS(
  AND(REGEXMATCH(E13806, ""台銀籌備帳戶|玉山帳戶""), REGEXMATCH(C13806, ""薪資"")), ""分潤支出"",
  AND(REGEXMATCH(E13806, ""Ben帳戶|Elsa帳戶|Ben代墊|Ariel代墊|中信銀行共用""), REGEXMATCH(F13806, ""Ben帳戶|Elsa帳戶|Ben代墊|Ariel代墊|中信銀行共用"")), ""內部轉帳(忽略)"",
  AND(E13806&lt;&gt;"""", F13806&lt;&gt;"&amp;""""", NOT(REGEXMATCH(C13806, ""薪資""))), ""內部轉帳(忽略)"",
  REGEXMATCH(C13806, ""薪資""), ""薪資變動(不計入)"",
  REGEXMATCH(C13806, ""押金""), ""押金往來"",
  AND(E13806&lt;&gt;"""", F13806=""""), ""真實支出"",
  AND(E13806="""", F13806&lt;&gt;""""), ""真實收入"",
  TRUE, ""其他""
)"),"其他")</f>
        <v>其他</v>
      </c>
      <c r="K13806" s="270" t="str">
        <f t="shared" si="2"/>
        <v/>
      </c>
      <c r="L13806">
        <f t="shared" si="3"/>
        <v>0</v>
      </c>
    </row>
    <row r="13807">
      <c r="A13807" s="107"/>
      <c r="D13807" s="270"/>
      <c r="H13807" s="106" t="str">
        <f t="shared" si="1"/>
        <v/>
      </c>
      <c r="J13807" t="str">
        <f>IFERROR(__xludf.DUMMYFUNCTION("IFS(
  AND(REGEXMATCH(E13807, ""台銀籌備帳戶|玉山帳戶""), REGEXMATCH(C13807, ""薪資"")), ""分潤支出"",
  AND(REGEXMATCH(E13807, ""Ben帳戶|Elsa帳戶|Ben代墊|Ariel代墊|中信銀行共用""), REGEXMATCH(F13807, ""Ben帳戶|Elsa帳戶|Ben代墊|Ariel代墊|中信銀行共用"")), ""內部轉帳(忽略)"",
  AND(E13807&lt;&gt;"""", F13807&lt;&gt;"&amp;""""", NOT(REGEXMATCH(C13807, ""薪資""))), ""內部轉帳(忽略)"",
  REGEXMATCH(C13807, ""薪資""), ""薪資變動(不計入)"",
  REGEXMATCH(C13807, ""押金""), ""押金往來"",
  AND(E13807&lt;&gt;"""", F13807=""""), ""真實支出"",
  AND(E13807="""", F13807&lt;&gt;""""), ""真實收入"",
  TRUE, ""其他""
)"),"其他")</f>
        <v>其他</v>
      </c>
      <c r="K13807" s="270" t="str">
        <f t="shared" si="2"/>
        <v/>
      </c>
      <c r="L13807">
        <f t="shared" si="3"/>
        <v>0</v>
      </c>
    </row>
    <row r="13808">
      <c r="A13808" s="107"/>
      <c r="D13808" s="270"/>
      <c r="H13808" s="106" t="str">
        <f t="shared" si="1"/>
        <v/>
      </c>
      <c r="J13808" t="str">
        <f>IFERROR(__xludf.DUMMYFUNCTION("IFS(
  AND(REGEXMATCH(E13808, ""台銀籌備帳戶|玉山帳戶""), REGEXMATCH(C13808, ""薪資"")), ""分潤支出"",
  AND(REGEXMATCH(E13808, ""Ben帳戶|Elsa帳戶|Ben代墊|Ariel代墊|中信銀行共用""), REGEXMATCH(F13808, ""Ben帳戶|Elsa帳戶|Ben代墊|Ariel代墊|中信銀行共用"")), ""內部轉帳(忽略)"",
  AND(E13808&lt;&gt;"""", F13808&lt;&gt;"&amp;""""", NOT(REGEXMATCH(C13808, ""薪資""))), ""內部轉帳(忽略)"",
  REGEXMATCH(C13808, ""薪資""), ""薪資變動(不計入)"",
  REGEXMATCH(C13808, ""押金""), ""押金往來"",
  AND(E13808&lt;&gt;"""", F13808=""""), ""真實支出"",
  AND(E13808="""", F13808&lt;&gt;""""), ""真實收入"",
  TRUE, ""其他""
)"),"其他")</f>
        <v>其他</v>
      </c>
      <c r="K13808" s="270" t="str">
        <f t="shared" si="2"/>
        <v/>
      </c>
      <c r="L13808">
        <f t="shared" si="3"/>
        <v>0</v>
      </c>
    </row>
    <row r="13809">
      <c r="A13809" s="107"/>
      <c r="D13809" s="270"/>
      <c r="H13809" s="106" t="str">
        <f t="shared" si="1"/>
        <v/>
      </c>
      <c r="J13809" t="str">
        <f>IFERROR(__xludf.DUMMYFUNCTION("IFS(
  AND(REGEXMATCH(E13809, ""台銀籌備帳戶|玉山帳戶""), REGEXMATCH(C13809, ""薪資"")), ""分潤支出"",
  AND(REGEXMATCH(E13809, ""Ben帳戶|Elsa帳戶|Ben代墊|Ariel代墊|中信銀行共用""), REGEXMATCH(F13809, ""Ben帳戶|Elsa帳戶|Ben代墊|Ariel代墊|中信銀行共用"")), ""內部轉帳(忽略)"",
  AND(E13809&lt;&gt;"""", F13809&lt;&gt;"&amp;""""", NOT(REGEXMATCH(C13809, ""薪資""))), ""內部轉帳(忽略)"",
  REGEXMATCH(C13809, ""薪資""), ""薪資變動(不計入)"",
  REGEXMATCH(C13809, ""押金""), ""押金往來"",
  AND(E13809&lt;&gt;"""", F13809=""""), ""真實支出"",
  AND(E13809="""", F13809&lt;&gt;""""), ""真實收入"",
  TRUE, ""其他""
)"),"其他")</f>
        <v>其他</v>
      </c>
      <c r="K13809" s="270" t="str">
        <f t="shared" si="2"/>
        <v/>
      </c>
      <c r="L13809">
        <f t="shared" si="3"/>
        <v>0</v>
      </c>
    </row>
    <row r="13810">
      <c r="A13810" s="107"/>
      <c r="D13810" s="270"/>
      <c r="H13810" s="106" t="str">
        <f t="shared" si="1"/>
        <v/>
      </c>
      <c r="J13810" t="str">
        <f>IFERROR(__xludf.DUMMYFUNCTION("IFS(
  AND(REGEXMATCH(E13810, ""台銀籌備帳戶|玉山帳戶""), REGEXMATCH(C13810, ""薪資"")), ""分潤支出"",
  AND(REGEXMATCH(E13810, ""Ben帳戶|Elsa帳戶|Ben代墊|Ariel代墊|中信銀行共用""), REGEXMATCH(F13810, ""Ben帳戶|Elsa帳戶|Ben代墊|Ariel代墊|中信銀行共用"")), ""內部轉帳(忽略)"",
  AND(E13810&lt;&gt;"""", F13810&lt;&gt;"&amp;""""", NOT(REGEXMATCH(C13810, ""薪資""))), ""內部轉帳(忽略)"",
  REGEXMATCH(C13810, ""薪資""), ""薪資變動(不計入)"",
  REGEXMATCH(C13810, ""押金""), ""押金往來"",
  AND(E13810&lt;&gt;"""", F13810=""""), ""真實支出"",
  AND(E13810="""", F13810&lt;&gt;""""), ""真實收入"",
  TRUE, ""其他""
)"),"其他")</f>
        <v>其他</v>
      </c>
      <c r="K13810" s="270" t="str">
        <f t="shared" si="2"/>
        <v/>
      </c>
      <c r="L13810">
        <f t="shared" si="3"/>
        <v>0</v>
      </c>
    </row>
    <row r="13811">
      <c r="A13811" s="107"/>
      <c r="D13811" s="270"/>
      <c r="H13811" s="106" t="str">
        <f t="shared" si="1"/>
        <v/>
      </c>
      <c r="J13811" t="str">
        <f>IFERROR(__xludf.DUMMYFUNCTION("IFS(
  AND(REGEXMATCH(E13811, ""台銀籌備帳戶|玉山帳戶""), REGEXMATCH(C13811, ""薪資"")), ""分潤支出"",
  AND(REGEXMATCH(E13811, ""Ben帳戶|Elsa帳戶|Ben代墊|Ariel代墊|中信銀行共用""), REGEXMATCH(F13811, ""Ben帳戶|Elsa帳戶|Ben代墊|Ariel代墊|中信銀行共用"")), ""內部轉帳(忽略)"",
  AND(E13811&lt;&gt;"""", F13811&lt;&gt;"&amp;""""", NOT(REGEXMATCH(C13811, ""薪資""))), ""內部轉帳(忽略)"",
  REGEXMATCH(C13811, ""薪資""), ""薪資變動(不計入)"",
  REGEXMATCH(C13811, ""押金""), ""押金往來"",
  AND(E13811&lt;&gt;"""", F13811=""""), ""真實支出"",
  AND(E13811="""", F13811&lt;&gt;""""), ""真實收入"",
  TRUE, ""其他""
)"),"其他")</f>
        <v>其他</v>
      </c>
      <c r="K13811" s="270" t="str">
        <f t="shared" si="2"/>
        <v/>
      </c>
      <c r="L13811">
        <f t="shared" si="3"/>
        <v>0</v>
      </c>
    </row>
    <row r="13812">
      <c r="A13812" s="107"/>
      <c r="D13812" s="270"/>
      <c r="H13812" s="106" t="str">
        <f t="shared" si="1"/>
        <v/>
      </c>
      <c r="J13812" t="str">
        <f>IFERROR(__xludf.DUMMYFUNCTION("IFS(
  AND(REGEXMATCH(E13812, ""台銀籌備帳戶|玉山帳戶""), REGEXMATCH(C13812, ""薪資"")), ""分潤支出"",
  AND(REGEXMATCH(E13812, ""Ben帳戶|Elsa帳戶|Ben代墊|Ariel代墊|中信銀行共用""), REGEXMATCH(F13812, ""Ben帳戶|Elsa帳戶|Ben代墊|Ariel代墊|中信銀行共用"")), ""內部轉帳(忽略)"",
  AND(E13812&lt;&gt;"""", F13812&lt;&gt;"&amp;""""", NOT(REGEXMATCH(C13812, ""薪資""))), ""內部轉帳(忽略)"",
  REGEXMATCH(C13812, ""薪資""), ""薪資變動(不計入)"",
  REGEXMATCH(C13812, ""押金""), ""押金往來"",
  AND(E13812&lt;&gt;"""", F13812=""""), ""真實支出"",
  AND(E13812="""", F13812&lt;&gt;""""), ""真實收入"",
  TRUE, ""其他""
)"),"其他")</f>
        <v>其他</v>
      </c>
      <c r="K13812" s="270" t="str">
        <f t="shared" si="2"/>
        <v/>
      </c>
      <c r="L13812">
        <f t="shared" si="3"/>
        <v>0</v>
      </c>
    </row>
    <row r="13813">
      <c r="A13813" s="107"/>
      <c r="D13813" s="270"/>
      <c r="H13813" s="106" t="str">
        <f t="shared" si="1"/>
        <v/>
      </c>
      <c r="J13813" t="str">
        <f>IFERROR(__xludf.DUMMYFUNCTION("IFS(
  AND(REGEXMATCH(E13813, ""台銀籌備帳戶|玉山帳戶""), REGEXMATCH(C13813, ""薪資"")), ""分潤支出"",
  AND(REGEXMATCH(E13813, ""Ben帳戶|Elsa帳戶|Ben代墊|Ariel代墊|中信銀行共用""), REGEXMATCH(F13813, ""Ben帳戶|Elsa帳戶|Ben代墊|Ariel代墊|中信銀行共用"")), ""內部轉帳(忽略)"",
  AND(E13813&lt;&gt;"""", F13813&lt;&gt;"&amp;""""", NOT(REGEXMATCH(C13813, ""薪資""))), ""內部轉帳(忽略)"",
  REGEXMATCH(C13813, ""薪資""), ""薪資變動(不計入)"",
  REGEXMATCH(C13813, ""押金""), ""押金往來"",
  AND(E13813&lt;&gt;"""", F13813=""""), ""真實支出"",
  AND(E13813="""", F13813&lt;&gt;""""), ""真實收入"",
  TRUE, ""其他""
)"),"其他")</f>
        <v>其他</v>
      </c>
      <c r="K13813" s="270" t="str">
        <f t="shared" si="2"/>
        <v/>
      </c>
      <c r="L13813">
        <f t="shared" si="3"/>
        <v>0</v>
      </c>
    </row>
    <row r="13814">
      <c r="A13814" s="107"/>
      <c r="D13814" s="270"/>
      <c r="H13814" s="106" t="str">
        <f t="shared" si="1"/>
        <v/>
      </c>
      <c r="J13814" t="str">
        <f>IFERROR(__xludf.DUMMYFUNCTION("IFS(
  AND(REGEXMATCH(E13814, ""台銀籌備帳戶|玉山帳戶""), REGEXMATCH(C13814, ""薪資"")), ""分潤支出"",
  AND(REGEXMATCH(E13814, ""Ben帳戶|Elsa帳戶|Ben代墊|Ariel代墊|中信銀行共用""), REGEXMATCH(F13814, ""Ben帳戶|Elsa帳戶|Ben代墊|Ariel代墊|中信銀行共用"")), ""內部轉帳(忽略)"",
  AND(E13814&lt;&gt;"""", F13814&lt;&gt;"&amp;""""", NOT(REGEXMATCH(C13814, ""薪資""))), ""內部轉帳(忽略)"",
  REGEXMATCH(C13814, ""薪資""), ""薪資變動(不計入)"",
  REGEXMATCH(C13814, ""押金""), ""押金往來"",
  AND(E13814&lt;&gt;"""", F13814=""""), ""真實支出"",
  AND(E13814="""", F13814&lt;&gt;""""), ""真實收入"",
  TRUE, ""其他""
)"),"其他")</f>
        <v>其他</v>
      </c>
      <c r="K13814" s="270" t="str">
        <f t="shared" si="2"/>
        <v/>
      </c>
      <c r="L13814">
        <f t="shared" si="3"/>
        <v>0</v>
      </c>
    </row>
    <row r="13815">
      <c r="A13815" s="107"/>
      <c r="D13815" s="270"/>
      <c r="H13815" s="106" t="str">
        <f t="shared" si="1"/>
        <v/>
      </c>
      <c r="J13815" t="str">
        <f>IFERROR(__xludf.DUMMYFUNCTION("IFS(
  AND(REGEXMATCH(E13815, ""台銀籌備帳戶|玉山帳戶""), REGEXMATCH(C13815, ""薪資"")), ""分潤支出"",
  AND(REGEXMATCH(E13815, ""Ben帳戶|Elsa帳戶|Ben代墊|Ariel代墊|中信銀行共用""), REGEXMATCH(F13815, ""Ben帳戶|Elsa帳戶|Ben代墊|Ariel代墊|中信銀行共用"")), ""內部轉帳(忽略)"",
  AND(E13815&lt;&gt;"""", F13815&lt;&gt;"&amp;""""", NOT(REGEXMATCH(C13815, ""薪資""))), ""內部轉帳(忽略)"",
  REGEXMATCH(C13815, ""薪資""), ""薪資變動(不計入)"",
  REGEXMATCH(C13815, ""押金""), ""押金往來"",
  AND(E13815&lt;&gt;"""", F13815=""""), ""真實支出"",
  AND(E13815="""", F13815&lt;&gt;""""), ""真實收入"",
  TRUE, ""其他""
)"),"其他")</f>
        <v>其他</v>
      </c>
      <c r="K13815" s="270" t="str">
        <f t="shared" si="2"/>
        <v/>
      </c>
      <c r="L13815">
        <f t="shared" si="3"/>
        <v>0</v>
      </c>
    </row>
    <row r="13816">
      <c r="A13816" s="107"/>
      <c r="D13816" s="270"/>
      <c r="H13816" s="106" t="str">
        <f t="shared" si="1"/>
        <v/>
      </c>
      <c r="J13816" t="str">
        <f>IFERROR(__xludf.DUMMYFUNCTION("IFS(
  AND(REGEXMATCH(E13816, ""台銀籌備帳戶|玉山帳戶""), REGEXMATCH(C13816, ""薪資"")), ""分潤支出"",
  AND(REGEXMATCH(E13816, ""Ben帳戶|Elsa帳戶|Ben代墊|Ariel代墊|中信銀行共用""), REGEXMATCH(F13816, ""Ben帳戶|Elsa帳戶|Ben代墊|Ariel代墊|中信銀行共用"")), ""內部轉帳(忽略)"",
  AND(E13816&lt;&gt;"""", F13816&lt;&gt;"&amp;""""", NOT(REGEXMATCH(C13816, ""薪資""))), ""內部轉帳(忽略)"",
  REGEXMATCH(C13816, ""薪資""), ""薪資變動(不計入)"",
  REGEXMATCH(C13816, ""押金""), ""押金往來"",
  AND(E13816&lt;&gt;"""", F13816=""""), ""真實支出"",
  AND(E13816="""", F13816&lt;&gt;""""), ""真實收入"",
  TRUE, ""其他""
)"),"其他")</f>
        <v>其他</v>
      </c>
      <c r="K13816" s="270" t="str">
        <f t="shared" si="2"/>
        <v/>
      </c>
      <c r="L13816">
        <f t="shared" si="3"/>
        <v>0</v>
      </c>
    </row>
    <row r="13817">
      <c r="A13817" s="107"/>
      <c r="D13817" s="270"/>
      <c r="H13817" s="106" t="str">
        <f t="shared" si="1"/>
        <v/>
      </c>
      <c r="J13817" t="str">
        <f>IFERROR(__xludf.DUMMYFUNCTION("IFS(
  AND(REGEXMATCH(E13817, ""台銀籌備帳戶|玉山帳戶""), REGEXMATCH(C13817, ""薪資"")), ""分潤支出"",
  AND(REGEXMATCH(E13817, ""Ben帳戶|Elsa帳戶|Ben代墊|Ariel代墊|中信銀行共用""), REGEXMATCH(F13817, ""Ben帳戶|Elsa帳戶|Ben代墊|Ariel代墊|中信銀行共用"")), ""內部轉帳(忽略)"",
  AND(E13817&lt;&gt;"""", F13817&lt;&gt;"&amp;""""", NOT(REGEXMATCH(C13817, ""薪資""))), ""內部轉帳(忽略)"",
  REGEXMATCH(C13817, ""薪資""), ""薪資變動(不計入)"",
  REGEXMATCH(C13817, ""押金""), ""押金往來"",
  AND(E13817&lt;&gt;"""", F13817=""""), ""真實支出"",
  AND(E13817="""", F13817&lt;&gt;""""), ""真實收入"",
  TRUE, ""其他""
)"),"其他")</f>
        <v>其他</v>
      </c>
      <c r="K13817" s="270" t="str">
        <f t="shared" si="2"/>
        <v/>
      </c>
      <c r="L13817">
        <f t="shared" si="3"/>
        <v>0</v>
      </c>
    </row>
    <row r="13818">
      <c r="A13818" s="107"/>
      <c r="D13818" s="270"/>
      <c r="H13818" s="106" t="str">
        <f t="shared" si="1"/>
        <v/>
      </c>
      <c r="J13818" t="str">
        <f>IFERROR(__xludf.DUMMYFUNCTION("IFS(
  AND(REGEXMATCH(E13818, ""台銀籌備帳戶|玉山帳戶""), REGEXMATCH(C13818, ""薪資"")), ""分潤支出"",
  AND(REGEXMATCH(E13818, ""Ben帳戶|Elsa帳戶|Ben代墊|Ariel代墊|中信銀行共用""), REGEXMATCH(F13818, ""Ben帳戶|Elsa帳戶|Ben代墊|Ariel代墊|中信銀行共用"")), ""內部轉帳(忽略)"",
  AND(E13818&lt;&gt;"""", F13818&lt;&gt;"&amp;""""", NOT(REGEXMATCH(C13818, ""薪資""))), ""內部轉帳(忽略)"",
  REGEXMATCH(C13818, ""薪資""), ""薪資變動(不計入)"",
  REGEXMATCH(C13818, ""押金""), ""押金往來"",
  AND(E13818&lt;&gt;"""", F13818=""""), ""真實支出"",
  AND(E13818="""", F13818&lt;&gt;""""), ""真實收入"",
  TRUE, ""其他""
)"),"其他")</f>
        <v>其他</v>
      </c>
      <c r="K13818" s="270" t="str">
        <f t="shared" si="2"/>
        <v/>
      </c>
      <c r="L13818">
        <f t="shared" si="3"/>
        <v>0</v>
      </c>
    </row>
    <row r="13819">
      <c r="A13819" s="107"/>
      <c r="D13819" s="270"/>
      <c r="H13819" s="106" t="str">
        <f t="shared" si="1"/>
        <v/>
      </c>
      <c r="J13819" t="str">
        <f>IFERROR(__xludf.DUMMYFUNCTION("IFS(
  AND(REGEXMATCH(E13819, ""台銀籌備帳戶|玉山帳戶""), REGEXMATCH(C13819, ""薪資"")), ""分潤支出"",
  AND(REGEXMATCH(E13819, ""Ben帳戶|Elsa帳戶|Ben代墊|Ariel代墊|中信銀行共用""), REGEXMATCH(F13819, ""Ben帳戶|Elsa帳戶|Ben代墊|Ariel代墊|中信銀行共用"")), ""內部轉帳(忽略)"",
  AND(E13819&lt;&gt;"""", F13819&lt;&gt;"&amp;""""", NOT(REGEXMATCH(C13819, ""薪資""))), ""內部轉帳(忽略)"",
  REGEXMATCH(C13819, ""薪資""), ""薪資變動(不計入)"",
  REGEXMATCH(C13819, ""押金""), ""押金往來"",
  AND(E13819&lt;&gt;"""", F13819=""""), ""真實支出"",
  AND(E13819="""", F13819&lt;&gt;""""), ""真實收入"",
  TRUE, ""其他""
)"),"其他")</f>
        <v>其他</v>
      </c>
      <c r="K13819" s="270" t="str">
        <f t="shared" si="2"/>
        <v/>
      </c>
      <c r="L13819">
        <f t="shared" si="3"/>
        <v>0</v>
      </c>
    </row>
    <row r="13820">
      <c r="A13820" s="107"/>
      <c r="D13820" s="270"/>
      <c r="H13820" s="106" t="str">
        <f t="shared" si="1"/>
        <v/>
      </c>
      <c r="J13820" t="str">
        <f>IFERROR(__xludf.DUMMYFUNCTION("IFS(
  AND(REGEXMATCH(E13820, ""台銀籌備帳戶|玉山帳戶""), REGEXMATCH(C13820, ""薪資"")), ""分潤支出"",
  AND(REGEXMATCH(E13820, ""Ben帳戶|Elsa帳戶|Ben代墊|Ariel代墊|中信銀行共用""), REGEXMATCH(F13820, ""Ben帳戶|Elsa帳戶|Ben代墊|Ariel代墊|中信銀行共用"")), ""內部轉帳(忽略)"",
  AND(E13820&lt;&gt;"""", F13820&lt;&gt;"&amp;""""", NOT(REGEXMATCH(C13820, ""薪資""))), ""內部轉帳(忽略)"",
  REGEXMATCH(C13820, ""薪資""), ""薪資變動(不計入)"",
  REGEXMATCH(C13820, ""押金""), ""押金往來"",
  AND(E13820&lt;&gt;"""", F13820=""""), ""真實支出"",
  AND(E13820="""", F13820&lt;&gt;""""), ""真實收入"",
  TRUE, ""其他""
)"),"其他")</f>
        <v>其他</v>
      </c>
      <c r="K13820" s="270" t="str">
        <f t="shared" si="2"/>
        <v/>
      </c>
      <c r="L13820">
        <f t="shared" si="3"/>
        <v>0</v>
      </c>
    </row>
    <row r="13821">
      <c r="A13821" s="107"/>
      <c r="D13821" s="270"/>
      <c r="H13821" s="106" t="str">
        <f t="shared" si="1"/>
        <v/>
      </c>
      <c r="J13821" t="str">
        <f>IFERROR(__xludf.DUMMYFUNCTION("IFS(
  AND(REGEXMATCH(E13821, ""台銀籌備帳戶|玉山帳戶""), REGEXMATCH(C13821, ""薪資"")), ""分潤支出"",
  AND(REGEXMATCH(E13821, ""Ben帳戶|Elsa帳戶|Ben代墊|Ariel代墊|中信銀行共用""), REGEXMATCH(F13821, ""Ben帳戶|Elsa帳戶|Ben代墊|Ariel代墊|中信銀行共用"")), ""內部轉帳(忽略)"",
  AND(E13821&lt;&gt;"""", F13821&lt;&gt;"&amp;""""", NOT(REGEXMATCH(C13821, ""薪資""))), ""內部轉帳(忽略)"",
  REGEXMATCH(C13821, ""薪資""), ""薪資變動(不計入)"",
  REGEXMATCH(C13821, ""押金""), ""押金往來"",
  AND(E13821&lt;&gt;"""", F13821=""""), ""真實支出"",
  AND(E13821="""", F13821&lt;&gt;""""), ""真實收入"",
  TRUE, ""其他""
)"),"其他")</f>
        <v>其他</v>
      </c>
      <c r="K13821" s="270" t="str">
        <f t="shared" si="2"/>
        <v/>
      </c>
      <c r="L13821">
        <f t="shared" si="3"/>
        <v>0</v>
      </c>
    </row>
    <row r="13822">
      <c r="A13822" s="107"/>
      <c r="D13822" s="270"/>
      <c r="H13822" s="106" t="str">
        <f t="shared" si="1"/>
        <v/>
      </c>
      <c r="J13822" t="str">
        <f>IFERROR(__xludf.DUMMYFUNCTION("IFS(
  AND(REGEXMATCH(E13822, ""台銀籌備帳戶|玉山帳戶""), REGEXMATCH(C13822, ""薪資"")), ""分潤支出"",
  AND(REGEXMATCH(E13822, ""Ben帳戶|Elsa帳戶|Ben代墊|Ariel代墊|中信銀行共用""), REGEXMATCH(F13822, ""Ben帳戶|Elsa帳戶|Ben代墊|Ariel代墊|中信銀行共用"")), ""內部轉帳(忽略)"",
  AND(E13822&lt;&gt;"""", F13822&lt;&gt;"&amp;""""", NOT(REGEXMATCH(C13822, ""薪資""))), ""內部轉帳(忽略)"",
  REGEXMATCH(C13822, ""薪資""), ""薪資變動(不計入)"",
  REGEXMATCH(C13822, ""押金""), ""押金往來"",
  AND(E13822&lt;&gt;"""", F13822=""""), ""真實支出"",
  AND(E13822="""", F13822&lt;&gt;""""), ""真實收入"",
  TRUE, ""其他""
)"),"其他")</f>
        <v>其他</v>
      </c>
      <c r="K13822" s="270" t="str">
        <f t="shared" si="2"/>
        <v/>
      </c>
      <c r="L13822">
        <f t="shared" si="3"/>
        <v>0</v>
      </c>
    </row>
    <row r="13823">
      <c r="A13823" s="107"/>
      <c r="D13823" s="270"/>
      <c r="H13823" s="106" t="str">
        <f t="shared" si="1"/>
        <v/>
      </c>
      <c r="J13823" t="str">
        <f>IFERROR(__xludf.DUMMYFUNCTION("IFS(
  AND(REGEXMATCH(E13823, ""台銀籌備帳戶|玉山帳戶""), REGEXMATCH(C13823, ""薪資"")), ""分潤支出"",
  AND(REGEXMATCH(E13823, ""Ben帳戶|Elsa帳戶|Ben代墊|Ariel代墊|中信銀行共用""), REGEXMATCH(F13823, ""Ben帳戶|Elsa帳戶|Ben代墊|Ariel代墊|中信銀行共用"")), ""內部轉帳(忽略)"",
  AND(E13823&lt;&gt;"""", F13823&lt;&gt;"&amp;""""", NOT(REGEXMATCH(C13823, ""薪資""))), ""內部轉帳(忽略)"",
  REGEXMATCH(C13823, ""薪資""), ""薪資變動(不計入)"",
  REGEXMATCH(C13823, ""押金""), ""押金往來"",
  AND(E13823&lt;&gt;"""", F13823=""""), ""真實支出"",
  AND(E13823="""", F13823&lt;&gt;""""), ""真實收入"",
  TRUE, ""其他""
)"),"其他")</f>
        <v>其他</v>
      </c>
      <c r="K13823" s="270" t="str">
        <f t="shared" si="2"/>
        <v/>
      </c>
      <c r="L13823">
        <f t="shared" si="3"/>
        <v>0</v>
      </c>
    </row>
    <row r="13824">
      <c r="A13824" s="107"/>
      <c r="D13824" s="270"/>
      <c r="H13824" s="106" t="str">
        <f t="shared" si="1"/>
        <v/>
      </c>
      <c r="J13824" t="str">
        <f>IFERROR(__xludf.DUMMYFUNCTION("IFS(
  AND(REGEXMATCH(E13824, ""台銀籌備帳戶|玉山帳戶""), REGEXMATCH(C13824, ""薪資"")), ""分潤支出"",
  AND(REGEXMATCH(E13824, ""Ben帳戶|Elsa帳戶|Ben代墊|Ariel代墊|中信銀行共用""), REGEXMATCH(F13824, ""Ben帳戶|Elsa帳戶|Ben代墊|Ariel代墊|中信銀行共用"")), ""內部轉帳(忽略)"",
  AND(E13824&lt;&gt;"""", F13824&lt;&gt;"&amp;""""", NOT(REGEXMATCH(C13824, ""薪資""))), ""內部轉帳(忽略)"",
  REGEXMATCH(C13824, ""薪資""), ""薪資變動(不計入)"",
  REGEXMATCH(C13824, ""押金""), ""押金往來"",
  AND(E13824&lt;&gt;"""", F13824=""""), ""真實支出"",
  AND(E13824="""", F13824&lt;&gt;""""), ""真實收入"",
  TRUE, ""其他""
)"),"其他")</f>
        <v>其他</v>
      </c>
      <c r="K13824" s="270" t="str">
        <f t="shared" si="2"/>
        <v/>
      </c>
      <c r="L13824">
        <f t="shared" si="3"/>
        <v>0</v>
      </c>
    </row>
    <row r="13825">
      <c r="A13825" s="107"/>
      <c r="D13825" s="270"/>
      <c r="H13825" s="106" t="str">
        <f t="shared" si="1"/>
        <v/>
      </c>
      <c r="J13825" t="str">
        <f>IFERROR(__xludf.DUMMYFUNCTION("IFS(
  AND(REGEXMATCH(E13825, ""台銀籌備帳戶|玉山帳戶""), REGEXMATCH(C13825, ""薪資"")), ""分潤支出"",
  AND(REGEXMATCH(E13825, ""Ben帳戶|Elsa帳戶|Ben代墊|Ariel代墊|中信銀行共用""), REGEXMATCH(F13825, ""Ben帳戶|Elsa帳戶|Ben代墊|Ariel代墊|中信銀行共用"")), ""內部轉帳(忽略)"",
  AND(E13825&lt;&gt;"""", F13825&lt;&gt;"&amp;""""", NOT(REGEXMATCH(C13825, ""薪資""))), ""內部轉帳(忽略)"",
  REGEXMATCH(C13825, ""薪資""), ""薪資變動(不計入)"",
  REGEXMATCH(C13825, ""押金""), ""押金往來"",
  AND(E13825&lt;&gt;"""", F13825=""""), ""真實支出"",
  AND(E13825="""", F13825&lt;&gt;""""), ""真實收入"",
  TRUE, ""其他""
)"),"其他")</f>
        <v>其他</v>
      </c>
      <c r="K13825" s="270" t="str">
        <f t="shared" si="2"/>
        <v/>
      </c>
      <c r="L13825">
        <f t="shared" si="3"/>
        <v>0</v>
      </c>
    </row>
    <row r="13826">
      <c r="A13826" s="107"/>
      <c r="D13826" s="270"/>
      <c r="H13826" s="106" t="str">
        <f t="shared" si="1"/>
        <v/>
      </c>
      <c r="J13826" t="str">
        <f>IFERROR(__xludf.DUMMYFUNCTION("IFS(
  AND(REGEXMATCH(E13826, ""台銀籌備帳戶|玉山帳戶""), REGEXMATCH(C13826, ""薪資"")), ""分潤支出"",
  AND(REGEXMATCH(E13826, ""Ben帳戶|Elsa帳戶|Ben代墊|Ariel代墊|中信銀行共用""), REGEXMATCH(F13826, ""Ben帳戶|Elsa帳戶|Ben代墊|Ariel代墊|中信銀行共用"")), ""內部轉帳(忽略)"",
  AND(E13826&lt;&gt;"""", F13826&lt;&gt;"&amp;""""", NOT(REGEXMATCH(C13826, ""薪資""))), ""內部轉帳(忽略)"",
  REGEXMATCH(C13826, ""薪資""), ""薪資變動(不計入)"",
  REGEXMATCH(C13826, ""押金""), ""押金往來"",
  AND(E13826&lt;&gt;"""", F13826=""""), ""真實支出"",
  AND(E13826="""", F13826&lt;&gt;""""), ""真實收入"",
  TRUE, ""其他""
)"),"其他")</f>
        <v>其他</v>
      </c>
      <c r="K13826" s="270" t="str">
        <f t="shared" si="2"/>
        <v/>
      </c>
      <c r="L13826">
        <f t="shared" si="3"/>
        <v>0</v>
      </c>
    </row>
    <row r="13827">
      <c r="A13827" s="107"/>
      <c r="D13827" s="270"/>
      <c r="H13827" s="106" t="str">
        <f t="shared" si="1"/>
        <v/>
      </c>
      <c r="J13827" t="str">
        <f>IFERROR(__xludf.DUMMYFUNCTION("IFS(
  AND(REGEXMATCH(E13827, ""台銀籌備帳戶|玉山帳戶""), REGEXMATCH(C13827, ""薪資"")), ""分潤支出"",
  AND(REGEXMATCH(E13827, ""Ben帳戶|Elsa帳戶|Ben代墊|Ariel代墊|中信銀行共用""), REGEXMATCH(F13827, ""Ben帳戶|Elsa帳戶|Ben代墊|Ariel代墊|中信銀行共用"")), ""內部轉帳(忽略)"",
  AND(E13827&lt;&gt;"""", F13827&lt;&gt;"&amp;""""", NOT(REGEXMATCH(C13827, ""薪資""))), ""內部轉帳(忽略)"",
  REGEXMATCH(C13827, ""薪資""), ""薪資變動(不計入)"",
  REGEXMATCH(C13827, ""押金""), ""押金往來"",
  AND(E13827&lt;&gt;"""", F13827=""""), ""真實支出"",
  AND(E13827="""", F13827&lt;&gt;""""), ""真實收入"",
  TRUE, ""其他""
)"),"其他")</f>
        <v>其他</v>
      </c>
      <c r="K13827" s="270" t="str">
        <f t="shared" si="2"/>
        <v/>
      </c>
      <c r="L13827">
        <f t="shared" si="3"/>
        <v>0</v>
      </c>
    </row>
    <row r="13828">
      <c r="A13828" s="107"/>
      <c r="D13828" s="270"/>
      <c r="H13828" s="106" t="str">
        <f t="shared" si="1"/>
        <v/>
      </c>
      <c r="J13828" t="str">
        <f>IFERROR(__xludf.DUMMYFUNCTION("IFS(
  AND(REGEXMATCH(E13828, ""台銀籌備帳戶|玉山帳戶""), REGEXMATCH(C13828, ""薪資"")), ""分潤支出"",
  AND(REGEXMATCH(E13828, ""Ben帳戶|Elsa帳戶|Ben代墊|Ariel代墊|中信銀行共用""), REGEXMATCH(F13828, ""Ben帳戶|Elsa帳戶|Ben代墊|Ariel代墊|中信銀行共用"")), ""內部轉帳(忽略)"",
  AND(E13828&lt;&gt;"""", F13828&lt;&gt;"&amp;""""", NOT(REGEXMATCH(C13828, ""薪資""))), ""內部轉帳(忽略)"",
  REGEXMATCH(C13828, ""薪資""), ""薪資變動(不計入)"",
  REGEXMATCH(C13828, ""押金""), ""押金往來"",
  AND(E13828&lt;&gt;"""", F13828=""""), ""真實支出"",
  AND(E13828="""", F13828&lt;&gt;""""), ""真實收入"",
  TRUE, ""其他""
)"),"其他")</f>
        <v>其他</v>
      </c>
      <c r="K13828" s="270" t="str">
        <f t="shared" si="2"/>
        <v/>
      </c>
      <c r="L13828">
        <f t="shared" si="3"/>
        <v>0</v>
      </c>
    </row>
    <row r="13829">
      <c r="A13829" s="107"/>
      <c r="D13829" s="270"/>
      <c r="H13829" s="106" t="str">
        <f t="shared" si="1"/>
        <v/>
      </c>
      <c r="J13829" t="str">
        <f>IFERROR(__xludf.DUMMYFUNCTION("IFS(
  AND(REGEXMATCH(E13829, ""台銀籌備帳戶|玉山帳戶""), REGEXMATCH(C13829, ""薪資"")), ""分潤支出"",
  AND(REGEXMATCH(E13829, ""Ben帳戶|Elsa帳戶|Ben代墊|Ariel代墊|中信銀行共用""), REGEXMATCH(F13829, ""Ben帳戶|Elsa帳戶|Ben代墊|Ariel代墊|中信銀行共用"")), ""內部轉帳(忽略)"",
  AND(E13829&lt;&gt;"""", F13829&lt;&gt;"&amp;""""", NOT(REGEXMATCH(C13829, ""薪資""))), ""內部轉帳(忽略)"",
  REGEXMATCH(C13829, ""薪資""), ""薪資變動(不計入)"",
  REGEXMATCH(C13829, ""押金""), ""押金往來"",
  AND(E13829&lt;&gt;"""", F13829=""""), ""真實支出"",
  AND(E13829="""", F13829&lt;&gt;""""), ""真實收入"",
  TRUE, ""其他""
)"),"其他")</f>
        <v>其他</v>
      </c>
      <c r="K13829" s="270" t="str">
        <f t="shared" si="2"/>
        <v/>
      </c>
      <c r="L13829">
        <f t="shared" si="3"/>
        <v>0</v>
      </c>
    </row>
    <row r="13830">
      <c r="A13830" s="107"/>
      <c r="D13830" s="270"/>
      <c r="H13830" s="106" t="str">
        <f t="shared" si="1"/>
        <v/>
      </c>
      <c r="J13830" t="str">
        <f>IFERROR(__xludf.DUMMYFUNCTION("IFS(
  AND(REGEXMATCH(E13830, ""台銀籌備帳戶|玉山帳戶""), REGEXMATCH(C13830, ""薪資"")), ""分潤支出"",
  AND(REGEXMATCH(E13830, ""Ben帳戶|Elsa帳戶|Ben代墊|Ariel代墊|中信銀行共用""), REGEXMATCH(F13830, ""Ben帳戶|Elsa帳戶|Ben代墊|Ariel代墊|中信銀行共用"")), ""內部轉帳(忽略)"",
  AND(E13830&lt;&gt;"""", F13830&lt;&gt;"&amp;""""", NOT(REGEXMATCH(C13830, ""薪資""))), ""內部轉帳(忽略)"",
  REGEXMATCH(C13830, ""薪資""), ""薪資變動(不計入)"",
  REGEXMATCH(C13830, ""押金""), ""押金往來"",
  AND(E13830&lt;&gt;"""", F13830=""""), ""真實支出"",
  AND(E13830="""", F13830&lt;&gt;""""), ""真實收入"",
  TRUE, ""其他""
)"),"其他")</f>
        <v>其他</v>
      </c>
      <c r="K13830" s="270" t="str">
        <f t="shared" si="2"/>
        <v/>
      </c>
      <c r="L13830">
        <f t="shared" si="3"/>
        <v>0</v>
      </c>
    </row>
    <row r="13831">
      <c r="A13831" s="107"/>
      <c r="D13831" s="270"/>
      <c r="H13831" s="106" t="str">
        <f t="shared" si="1"/>
        <v/>
      </c>
      <c r="J13831" t="str">
        <f>IFERROR(__xludf.DUMMYFUNCTION("IFS(
  AND(REGEXMATCH(E13831, ""台銀籌備帳戶|玉山帳戶""), REGEXMATCH(C13831, ""薪資"")), ""分潤支出"",
  AND(REGEXMATCH(E13831, ""Ben帳戶|Elsa帳戶|Ben代墊|Ariel代墊|中信銀行共用""), REGEXMATCH(F13831, ""Ben帳戶|Elsa帳戶|Ben代墊|Ariel代墊|中信銀行共用"")), ""內部轉帳(忽略)"",
  AND(E13831&lt;&gt;"""", F13831&lt;&gt;"&amp;""""", NOT(REGEXMATCH(C13831, ""薪資""))), ""內部轉帳(忽略)"",
  REGEXMATCH(C13831, ""薪資""), ""薪資變動(不計入)"",
  REGEXMATCH(C13831, ""押金""), ""押金往來"",
  AND(E13831&lt;&gt;"""", F13831=""""), ""真實支出"",
  AND(E13831="""", F13831&lt;&gt;""""), ""真實收入"",
  TRUE, ""其他""
)"),"其他")</f>
        <v>其他</v>
      </c>
      <c r="K13831" s="270" t="str">
        <f t="shared" si="2"/>
        <v/>
      </c>
      <c r="L13831">
        <f t="shared" si="3"/>
        <v>0</v>
      </c>
    </row>
    <row r="13832">
      <c r="A13832" s="107"/>
      <c r="D13832" s="270"/>
      <c r="H13832" s="106" t="str">
        <f t="shared" si="1"/>
        <v/>
      </c>
      <c r="J13832" t="str">
        <f>IFERROR(__xludf.DUMMYFUNCTION("IFS(
  AND(REGEXMATCH(E13832, ""台銀籌備帳戶|玉山帳戶""), REGEXMATCH(C13832, ""薪資"")), ""分潤支出"",
  AND(REGEXMATCH(E13832, ""Ben帳戶|Elsa帳戶|Ben代墊|Ariel代墊|中信銀行共用""), REGEXMATCH(F13832, ""Ben帳戶|Elsa帳戶|Ben代墊|Ariel代墊|中信銀行共用"")), ""內部轉帳(忽略)"",
  AND(E13832&lt;&gt;"""", F13832&lt;&gt;"&amp;""""", NOT(REGEXMATCH(C13832, ""薪資""))), ""內部轉帳(忽略)"",
  REGEXMATCH(C13832, ""薪資""), ""薪資變動(不計入)"",
  REGEXMATCH(C13832, ""押金""), ""押金往來"",
  AND(E13832&lt;&gt;"""", F13832=""""), ""真實支出"",
  AND(E13832="""", F13832&lt;&gt;""""), ""真實收入"",
  TRUE, ""其他""
)"),"其他")</f>
        <v>其他</v>
      </c>
      <c r="K13832" s="270" t="str">
        <f t="shared" si="2"/>
        <v/>
      </c>
      <c r="L13832">
        <f t="shared" si="3"/>
        <v>0</v>
      </c>
    </row>
    <row r="13833">
      <c r="A13833" s="107"/>
      <c r="D13833" s="270"/>
      <c r="H13833" s="106" t="str">
        <f t="shared" si="1"/>
        <v/>
      </c>
      <c r="J13833" t="str">
        <f>IFERROR(__xludf.DUMMYFUNCTION("IFS(
  AND(REGEXMATCH(E13833, ""台銀籌備帳戶|玉山帳戶""), REGEXMATCH(C13833, ""薪資"")), ""分潤支出"",
  AND(REGEXMATCH(E13833, ""Ben帳戶|Elsa帳戶|Ben代墊|Ariel代墊|中信銀行共用""), REGEXMATCH(F13833, ""Ben帳戶|Elsa帳戶|Ben代墊|Ariel代墊|中信銀行共用"")), ""內部轉帳(忽略)"",
  AND(E13833&lt;&gt;"""", F13833&lt;&gt;"&amp;""""", NOT(REGEXMATCH(C13833, ""薪資""))), ""內部轉帳(忽略)"",
  REGEXMATCH(C13833, ""薪資""), ""薪資變動(不計入)"",
  REGEXMATCH(C13833, ""押金""), ""押金往來"",
  AND(E13833&lt;&gt;"""", F13833=""""), ""真實支出"",
  AND(E13833="""", F13833&lt;&gt;""""), ""真實收入"",
  TRUE, ""其他""
)"),"其他")</f>
        <v>其他</v>
      </c>
      <c r="K13833" s="270" t="str">
        <f t="shared" si="2"/>
        <v/>
      </c>
      <c r="L13833">
        <f t="shared" si="3"/>
        <v>0</v>
      </c>
    </row>
    <row r="13834">
      <c r="A13834" s="107"/>
      <c r="D13834" s="270"/>
      <c r="H13834" s="106" t="str">
        <f t="shared" si="1"/>
        <v/>
      </c>
      <c r="J13834" t="str">
        <f>IFERROR(__xludf.DUMMYFUNCTION("IFS(
  AND(REGEXMATCH(E13834, ""台銀籌備帳戶|玉山帳戶""), REGEXMATCH(C13834, ""薪資"")), ""分潤支出"",
  AND(REGEXMATCH(E13834, ""Ben帳戶|Elsa帳戶|Ben代墊|Ariel代墊|中信銀行共用""), REGEXMATCH(F13834, ""Ben帳戶|Elsa帳戶|Ben代墊|Ariel代墊|中信銀行共用"")), ""內部轉帳(忽略)"",
  AND(E13834&lt;&gt;"""", F13834&lt;&gt;"&amp;""""", NOT(REGEXMATCH(C13834, ""薪資""))), ""內部轉帳(忽略)"",
  REGEXMATCH(C13834, ""薪資""), ""薪資變動(不計入)"",
  REGEXMATCH(C13834, ""押金""), ""押金往來"",
  AND(E13834&lt;&gt;"""", F13834=""""), ""真實支出"",
  AND(E13834="""", F13834&lt;&gt;""""), ""真實收入"",
  TRUE, ""其他""
)"),"其他")</f>
        <v>其他</v>
      </c>
      <c r="K13834" s="270" t="str">
        <f t="shared" si="2"/>
        <v/>
      </c>
      <c r="L13834">
        <f t="shared" si="3"/>
        <v>0</v>
      </c>
    </row>
    <row r="13835">
      <c r="A13835" s="107"/>
      <c r="D13835" s="270"/>
      <c r="H13835" s="106" t="str">
        <f t="shared" si="1"/>
        <v/>
      </c>
      <c r="J13835" t="str">
        <f>IFERROR(__xludf.DUMMYFUNCTION("IFS(
  AND(REGEXMATCH(E13835, ""台銀籌備帳戶|玉山帳戶""), REGEXMATCH(C13835, ""薪資"")), ""分潤支出"",
  AND(REGEXMATCH(E13835, ""Ben帳戶|Elsa帳戶|Ben代墊|Ariel代墊|中信銀行共用""), REGEXMATCH(F13835, ""Ben帳戶|Elsa帳戶|Ben代墊|Ariel代墊|中信銀行共用"")), ""內部轉帳(忽略)"",
  AND(E13835&lt;&gt;"""", F13835&lt;&gt;"&amp;""""", NOT(REGEXMATCH(C13835, ""薪資""))), ""內部轉帳(忽略)"",
  REGEXMATCH(C13835, ""薪資""), ""薪資變動(不計入)"",
  REGEXMATCH(C13835, ""押金""), ""押金往來"",
  AND(E13835&lt;&gt;"""", F13835=""""), ""真實支出"",
  AND(E13835="""", F13835&lt;&gt;""""), ""真實收入"",
  TRUE, ""其他""
)"),"其他")</f>
        <v>其他</v>
      </c>
      <c r="K13835" s="270" t="str">
        <f t="shared" si="2"/>
        <v/>
      </c>
      <c r="L13835">
        <f t="shared" si="3"/>
        <v>0</v>
      </c>
    </row>
    <row r="13836">
      <c r="A13836" s="107"/>
      <c r="D13836" s="270"/>
      <c r="H13836" s="106" t="str">
        <f t="shared" si="1"/>
        <v/>
      </c>
      <c r="J13836" t="str">
        <f>IFERROR(__xludf.DUMMYFUNCTION("IFS(
  AND(REGEXMATCH(E13836, ""台銀籌備帳戶|玉山帳戶""), REGEXMATCH(C13836, ""薪資"")), ""分潤支出"",
  AND(REGEXMATCH(E13836, ""Ben帳戶|Elsa帳戶|Ben代墊|Ariel代墊|中信銀行共用""), REGEXMATCH(F13836, ""Ben帳戶|Elsa帳戶|Ben代墊|Ariel代墊|中信銀行共用"")), ""內部轉帳(忽略)"",
  AND(E13836&lt;&gt;"""", F13836&lt;&gt;"&amp;""""", NOT(REGEXMATCH(C13836, ""薪資""))), ""內部轉帳(忽略)"",
  REGEXMATCH(C13836, ""薪資""), ""薪資變動(不計入)"",
  REGEXMATCH(C13836, ""押金""), ""押金往來"",
  AND(E13836&lt;&gt;"""", F13836=""""), ""真實支出"",
  AND(E13836="""", F13836&lt;&gt;""""), ""真實收入"",
  TRUE, ""其他""
)"),"其他")</f>
        <v>其他</v>
      </c>
      <c r="K13836" s="270" t="str">
        <f t="shared" si="2"/>
        <v/>
      </c>
      <c r="L13836">
        <f t="shared" si="3"/>
        <v>0</v>
      </c>
    </row>
    <row r="13837">
      <c r="A13837" s="107"/>
      <c r="D13837" s="270"/>
      <c r="H13837" s="106" t="str">
        <f t="shared" si="1"/>
        <v/>
      </c>
      <c r="J13837" t="str">
        <f>IFERROR(__xludf.DUMMYFUNCTION("IFS(
  AND(REGEXMATCH(E13837, ""台銀籌備帳戶|玉山帳戶""), REGEXMATCH(C13837, ""薪資"")), ""分潤支出"",
  AND(REGEXMATCH(E13837, ""Ben帳戶|Elsa帳戶|Ben代墊|Ariel代墊|中信銀行共用""), REGEXMATCH(F13837, ""Ben帳戶|Elsa帳戶|Ben代墊|Ariel代墊|中信銀行共用"")), ""內部轉帳(忽略)"",
  AND(E13837&lt;&gt;"""", F13837&lt;&gt;"&amp;""""", NOT(REGEXMATCH(C13837, ""薪資""))), ""內部轉帳(忽略)"",
  REGEXMATCH(C13837, ""薪資""), ""薪資變動(不計入)"",
  REGEXMATCH(C13837, ""押金""), ""押金往來"",
  AND(E13837&lt;&gt;"""", F13837=""""), ""真實支出"",
  AND(E13837="""", F13837&lt;&gt;""""), ""真實收入"",
  TRUE, ""其他""
)"),"其他")</f>
        <v>其他</v>
      </c>
      <c r="K13837" s="270" t="str">
        <f t="shared" si="2"/>
        <v/>
      </c>
      <c r="L13837">
        <f t="shared" si="3"/>
        <v>0</v>
      </c>
    </row>
    <row r="13838">
      <c r="A13838" s="107"/>
      <c r="D13838" s="270"/>
      <c r="H13838" s="106" t="str">
        <f t="shared" si="1"/>
        <v/>
      </c>
      <c r="J13838" t="str">
        <f>IFERROR(__xludf.DUMMYFUNCTION("IFS(
  AND(REGEXMATCH(E13838, ""台銀籌備帳戶|玉山帳戶""), REGEXMATCH(C13838, ""薪資"")), ""分潤支出"",
  AND(REGEXMATCH(E13838, ""Ben帳戶|Elsa帳戶|Ben代墊|Ariel代墊|中信銀行共用""), REGEXMATCH(F13838, ""Ben帳戶|Elsa帳戶|Ben代墊|Ariel代墊|中信銀行共用"")), ""內部轉帳(忽略)"",
  AND(E13838&lt;&gt;"""", F13838&lt;&gt;"&amp;""""", NOT(REGEXMATCH(C13838, ""薪資""))), ""內部轉帳(忽略)"",
  REGEXMATCH(C13838, ""薪資""), ""薪資變動(不計入)"",
  REGEXMATCH(C13838, ""押金""), ""押金往來"",
  AND(E13838&lt;&gt;"""", F13838=""""), ""真實支出"",
  AND(E13838="""", F13838&lt;&gt;""""), ""真實收入"",
  TRUE, ""其他""
)"),"其他")</f>
        <v>其他</v>
      </c>
      <c r="K13838" s="270" t="str">
        <f t="shared" si="2"/>
        <v/>
      </c>
      <c r="L13838">
        <f t="shared" si="3"/>
        <v>0</v>
      </c>
    </row>
    <row r="13839">
      <c r="A13839" s="107"/>
      <c r="D13839" s="270"/>
      <c r="H13839" s="106" t="str">
        <f t="shared" si="1"/>
        <v/>
      </c>
      <c r="J13839" t="str">
        <f>IFERROR(__xludf.DUMMYFUNCTION("IFS(
  AND(REGEXMATCH(E13839, ""台銀籌備帳戶|玉山帳戶""), REGEXMATCH(C13839, ""薪資"")), ""分潤支出"",
  AND(REGEXMATCH(E13839, ""Ben帳戶|Elsa帳戶|Ben代墊|Ariel代墊|中信銀行共用""), REGEXMATCH(F13839, ""Ben帳戶|Elsa帳戶|Ben代墊|Ariel代墊|中信銀行共用"")), ""內部轉帳(忽略)"",
  AND(E13839&lt;&gt;"""", F13839&lt;&gt;"&amp;""""", NOT(REGEXMATCH(C13839, ""薪資""))), ""內部轉帳(忽略)"",
  REGEXMATCH(C13839, ""薪資""), ""薪資變動(不計入)"",
  REGEXMATCH(C13839, ""押金""), ""押金往來"",
  AND(E13839&lt;&gt;"""", F13839=""""), ""真實支出"",
  AND(E13839="""", F13839&lt;&gt;""""), ""真實收入"",
  TRUE, ""其他""
)"),"其他")</f>
        <v>其他</v>
      </c>
      <c r="K13839" s="270" t="str">
        <f t="shared" si="2"/>
        <v/>
      </c>
      <c r="L13839">
        <f t="shared" si="3"/>
        <v>0</v>
      </c>
    </row>
    <row r="13840">
      <c r="A13840" s="107"/>
      <c r="D13840" s="270"/>
      <c r="H13840" s="106" t="str">
        <f t="shared" si="1"/>
        <v/>
      </c>
      <c r="J13840" t="str">
        <f>IFERROR(__xludf.DUMMYFUNCTION("IFS(
  AND(REGEXMATCH(E13840, ""台銀籌備帳戶|玉山帳戶""), REGEXMATCH(C13840, ""薪資"")), ""分潤支出"",
  AND(REGEXMATCH(E13840, ""Ben帳戶|Elsa帳戶|Ben代墊|Ariel代墊|中信銀行共用""), REGEXMATCH(F13840, ""Ben帳戶|Elsa帳戶|Ben代墊|Ariel代墊|中信銀行共用"")), ""內部轉帳(忽略)"",
  AND(E13840&lt;&gt;"""", F13840&lt;&gt;"&amp;""""", NOT(REGEXMATCH(C13840, ""薪資""))), ""內部轉帳(忽略)"",
  REGEXMATCH(C13840, ""薪資""), ""薪資變動(不計入)"",
  REGEXMATCH(C13840, ""押金""), ""押金往來"",
  AND(E13840&lt;&gt;"""", F13840=""""), ""真實支出"",
  AND(E13840="""", F13840&lt;&gt;""""), ""真實收入"",
  TRUE, ""其他""
)"),"其他")</f>
        <v>其他</v>
      </c>
      <c r="K13840" s="270" t="str">
        <f t="shared" si="2"/>
        <v/>
      </c>
      <c r="L13840">
        <f t="shared" si="3"/>
        <v>0</v>
      </c>
    </row>
    <row r="13841">
      <c r="A13841" s="107"/>
      <c r="D13841" s="270"/>
      <c r="H13841" s="106" t="str">
        <f t="shared" si="1"/>
        <v/>
      </c>
      <c r="J13841" t="str">
        <f>IFERROR(__xludf.DUMMYFUNCTION("IFS(
  AND(REGEXMATCH(E13841, ""台銀籌備帳戶|玉山帳戶""), REGEXMATCH(C13841, ""薪資"")), ""分潤支出"",
  AND(REGEXMATCH(E13841, ""Ben帳戶|Elsa帳戶|Ben代墊|Ariel代墊|中信銀行共用""), REGEXMATCH(F13841, ""Ben帳戶|Elsa帳戶|Ben代墊|Ariel代墊|中信銀行共用"")), ""內部轉帳(忽略)"",
  AND(E13841&lt;&gt;"""", F13841&lt;&gt;"&amp;""""", NOT(REGEXMATCH(C13841, ""薪資""))), ""內部轉帳(忽略)"",
  REGEXMATCH(C13841, ""薪資""), ""薪資變動(不計入)"",
  REGEXMATCH(C13841, ""押金""), ""押金往來"",
  AND(E13841&lt;&gt;"""", F13841=""""), ""真實支出"",
  AND(E13841="""", F13841&lt;&gt;""""), ""真實收入"",
  TRUE, ""其他""
)"),"其他")</f>
        <v>其他</v>
      </c>
      <c r="K13841" s="270" t="str">
        <f t="shared" si="2"/>
        <v/>
      </c>
      <c r="L13841">
        <f t="shared" si="3"/>
        <v>0</v>
      </c>
    </row>
    <row r="13842">
      <c r="A13842" s="107"/>
      <c r="D13842" s="270"/>
      <c r="H13842" s="106" t="str">
        <f t="shared" si="1"/>
        <v/>
      </c>
      <c r="J13842" t="str">
        <f>IFERROR(__xludf.DUMMYFUNCTION("IFS(
  AND(REGEXMATCH(E13842, ""台銀籌備帳戶|玉山帳戶""), REGEXMATCH(C13842, ""薪資"")), ""分潤支出"",
  AND(REGEXMATCH(E13842, ""Ben帳戶|Elsa帳戶|Ben代墊|Ariel代墊|中信銀行共用""), REGEXMATCH(F13842, ""Ben帳戶|Elsa帳戶|Ben代墊|Ariel代墊|中信銀行共用"")), ""內部轉帳(忽略)"",
  AND(E13842&lt;&gt;"""", F13842&lt;&gt;"&amp;""""", NOT(REGEXMATCH(C13842, ""薪資""))), ""內部轉帳(忽略)"",
  REGEXMATCH(C13842, ""薪資""), ""薪資變動(不計入)"",
  REGEXMATCH(C13842, ""押金""), ""押金往來"",
  AND(E13842&lt;&gt;"""", F13842=""""), ""真實支出"",
  AND(E13842="""", F13842&lt;&gt;""""), ""真實收入"",
  TRUE, ""其他""
)"),"其他")</f>
        <v>其他</v>
      </c>
      <c r="K13842" s="270" t="str">
        <f t="shared" si="2"/>
        <v/>
      </c>
      <c r="L13842">
        <f t="shared" si="3"/>
        <v>0</v>
      </c>
    </row>
    <row r="13843">
      <c r="A13843" s="107"/>
      <c r="D13843" s="270"/>
      <c r="H13843" s="106" t="str">
        <f t="shared" si="1"/>
        <v/>
      </c>
      <c r="J13843" t="str">
        <f>IFERROR(__xludf.DUMMYFUNCTION("IFS(
  AND(REGEXMATCH(E13843, ""台銀籌備帳戶|玉山帳戶""), REGEXMATCH(C13843, ""薪資"")), ""分潤支出"",
  AND(REGEXMATCH(E13843, ""Ben帳戶|Elsa帳戶|Ben代墊|Ariel代墊|中信銀行共用""), REGEXMATCH(F13843, ""Ben帳戶|Elsa帳戶|Ben代墊|Ariel代墊|中信銀行共用"")), ""內部轉帳(忽略)"",
  AND(E13843&lt;&gt;"""", F13843&lt;&gt;"&amp;""""", NOT(REGEXMATCH(C13843, ""薪資""))), ""內部轉帳(忽略)"",
  REGEXMATCH(C13843, ""薪資""), ""薪資變動(不計入)"",
  REGEXMATCH(C13843, ""押金""), ""押金往來"",
  AND(E13843&lt;&gt;"""", F13843=""""), ""真實支出"",
  AND(E13843="""", F13843&lt;&gt;""""), ""真實收入"",
  TRUE, ""其他""
)"),"其他")</f>
        <v>其他</v>
      </c>
      <c r="K13843" s="270" t="str">
        <f t="shared" si="2"/>
        <v/>
      </c>
      <c r="L13843">
        <f t="shared" si="3"/>
        <v>0</v>
      </c>
    </row>
    <row r="13844">
      <c r="A13844" s="107"/>
      <c r="D13844" s="270"/>
      <c r="H13844" s="106" t="str">
        <f t="shared" si="1"/>
        <v/>
      </c>
      <c r="J13844" t="str">
        <f>IFERROR(__xludf.DUMMYFUNCTION("IFS(
  AND(REGEXMATCH(E13844, ""台銀籌備帳戶|玉山帳戶""), REGEXMATCH(C13844, ""薪資"")), ""分潤支出"",
  AND(REGEXMATCH(E13844, ""Ben帳戶|Elsa帳戶|Ben代墊|Ariel代墊|中信銀行共用""), REGEXMATCH(F13844, ""Ben帳戶|Elsa帳戶|Ben代墊|Ariel代墊|中信銀行共用"")), ""內部轉帳(忽略)"",
  AND(E13844&lt;&gt;"""", F13844&lt;&gt;"&amp;""""", NOT(REGEXMATCH(C13844, ""薪資""))), ""內部轉帳(忽略)"",
  REGEXMATCH(C13844, ""薪資""), ""薪資變動(不計入)"",
  REGEXMATCH(C13844, ""押金""), ""押金往來"",
  AND(E13844&lt;&gt;"""", F13844=""""), ""真實支出"",
  AND(E13844="""", F13844&lt;&gt;""""), ""真實收入"",
  TRUE, ""其他""
)"),"其他")</f>
        <v>其他</v>
      </c>
      <c r="K13844" s="270" t="str">
        <f t="shared" si="2"/>
        <v/>
      </c>
      <c r="L13844">
        <f t="shared" si="3"/>
        <v>0</v>
      </c>
    </row>
    <row r="13845">
      <c r="A13845" s="107"/>
      <c r="D13845" s="270"/>
      <c r="H13845" s="106" t="str">
        <f t="shared" si="1"/>
        <v/>
      </c>
      <c r="J13845" t="str">
        <f>IFERROR(__xludf.DUMMYFUNCTION("IFS(
  AND(REGEXMATCH(E13845, ""台銀籌備帳戶|玉山帳戶""), REGEXMATCH(C13845, ""薪資"")), ""分潤支出"",
  AND(REGEXMATCH(E13845, ""Ben帳戶|Elsa帳戶|Ben代墊|Ariel代墊|中信銀行共用""), REGEXMATCH(F13845, ""Ben帳戶|Elsa帳戶|Ben代墊|Ariel代墊|中信銀行共用"")), ""內部轉帳(忽略)"",
  AND(E13845&lt;&gt;"""", F13845&lt;&gt;"&amp;""""", NOT(REGEXMATCH(C13845, ""薪資""))), ""內部轉帳(忽略)"",
  REGEXMATCH(C13845, ""薪資""), ""薪資變動(不計入)"",
  REGEXMATCH(C13845, ""押金""), ""押金往來"",
  AND(E13845&lt;&gt;"""", F13845=""""), ""真實支出"",
  AND(E13845="""", F13845&lt;&gt;""""), ""真實收入"",
  TRUE, ""其他""
)"),"其他")</f>
        <v>其他</v>
      </c>
      <c r="K13845" s="270" t="str">
        <f t="shared" si="2"/>
        <v/>
      </c>
      <c r="L13845">
        <f t="shared" si="3"/>
        <v>0</v>
      </c>
    </row>
    <row r="13846">
      <c r="A13846" s="107"/>
      <c r="D13846" s="270"/>
      <c r="H13846" s="106" t="str">
        <f t="shared" si="1"/>
        <v/>
      </c>
      <c r="J13846" t="str">
        <f>IFERROR(__xludf.DUMMYFUNCTION("IFS(
  AND(REGEXMATCH(E13846, ""台銀籌備帳戶|玉山帳戶""), REGEXMATCH(C13846, ""薪資"")), ""分潤支出"",
  AND(REGEXMATCH(E13846, ""Ben帳戶|Elsa帳戶|Ben代墊|Ariel代墊|中信銀行共用""), REGEXMATCH(F13846, ""Ben帳戶|Elsa帳戶|Ben代墊|Ariel代墊|中信銀行共用"")), ""內部轉帳(忽略)"",
  AND(E13846&lt;&gt;"""", F13846&lt;&gt;"&amp;""""", NOT(REGEXMATCH(C13846, ""薪資""))), ""內部轉帳(忽略)"",
  REGEXMATCH(C13846, ""薪資""), ""薪資變動(不計入)"",
  REGEXMATCH(C13846, ""押金""), ""押金往來"",
  AND(E13846&lt;&gt;"""", F13846=""""), ""真實支出"",
  AND(E13846="""", F13846&lt;&gt;""""), ""真實收入"",
  TRUE, ""其他""
)"),"其他")</f>
        <v>其他</v>
      </c>
      <c r="K13846" s="270" t="str">
        <f t="shared" si="2"/>
        <v/>
      </c>
      <c r="L13846">
        <f t="shared" si="3"/>
        <v>0</v>
      </c>
    </row>
    <row r="13847">
      <c r="A13847" s="107"/>
      <c r="D13847" s="270"/>
      <c r="H13847" s="106" t="str">
        <f t="shared" si="1"/>
        <v/>
      </c>
      <c r="J13847" t="str">
        <f>IFERROR(__xludf.DUMMYFUNCTION("IFS(
  AND(REGEXMATCH(E13847, ""台銀籌備帳戶|玉山帳戶""), REGEXMATCH(C13847, ""薪資"")), ""分潤支出"",
  AND(REGEXMATCH(E13847, ""Ben帳戶|Elsa帳戶|Ben代墊|Ariel代墊|中信銀行共用""), REGEXMATCH(F13847, ""Ben帳戶|Elsa帳戶|Ben代墊|Ariel代墊|中信銀行共用"")), ""內部轉帳(忽略)"",
  AND(E13847&lt;&gt;"""", F13847&lt;&gt;"&amp;""""", NOT(REGEXMATCH(C13847, ""薪資""))), ""內部轉帳(忽略)"",
  REGEXMATCH(C13847, ""薪資""), ""薪資變動(不計入)"",
  REGEXMATCH(C13847, ""押金""), ""押金往來"",
  AND(E13847&lt;&gt;"""", F13847=""""), ""真實支出"",
  AND(E13847="""", F13847&lt;&gt;""""), ""真實收入"",
  TRUE, ""其他""
)"),"其他")</f>
        <v>其他</v>
      </c>
      <c r="K13847" s="270" t="str">
        <f t="shared" si="2"/>
        <v/>
      </c>
      <c r="L13847">
        <f t="shared" si="3"/>
        <v>0</v>
      </c>
    </row>
    <row r="13848">
      <c r="A13848" s="107"/>
      <c r="D13848" s="270"/>
      <c r="H13848" s="106" t="str">
        <f t="shared" si="1"/>
        <v/>
      </c>
      <c r="J13848" t="str">
        <f>IFERROR(__xludf.DUMMYFUNCTION("IFS(
  AND(REGEXMATCH(E13848, ""台銀籌備帳戶|玉山帳戶""), REGEXMATCH(C13848, ""薪資"")), ""分潤支出"",
  AND(REGEXMATCH(E13848, ""Ben帳戶|Elsa帳戶|Ben代墊|Ariel代墊|中信銀行共用""), REGEXMATCH(F13848, ""Ben帳戶|Elsa帳戶|Ben代墊|Ariel代墊|中信銀行共用"")), ""內部轉帳(忽略)"",
  AND(E13848&lt;&gt;"""", F13848&lt;&gt;"&amp;""""", NOT(REGEXMATCH(C13848, ""薪資""))), ""內部轉帳(忽略)"",
  REGEXMATCH(C13848, ""薪資""), ""薪資變動(不計入)"",
  REGEXMATCH(C13848, ""押金""), ""押金往來"",
  AND(E13848&lt;&gt;"""", F13848=""""), ""真實支出"",
  AND(E13848="""", F13848&lt;&gt;""""), ""真實收入"",
  TRUE, ""其他""
)"),"其他")</f>
        <v>其他</v>
      </c>
      <c r="K13848" s="270" t="str">
        <f t="shared" si="2"/>
        <v/>
      </c>
      <c r="L13848">
        <f t="shared" si="3"/>
        <v>0</v>
      </c>
    </row>
    <row r="13849">
      <c r="A13849" s="107"/>
      <c r="D13849" s="270"/>
      <c r="H13849" s="106" t="str">
        <f t="shared" si="1"/>
        <v/>
      </c>
      <c r="J13849" t="str">
        <f>IFERROR(__xludf.DUMMYFUNCTION("IFS(
  AND(REGEXMATCH(E13849, ""台銀籌備帳戶|玉山帳戶""), REGEXMATCH(C13849, ""薪資"")), ""分潤支出"",
  AND(REGEXMATCH(E13849, ""Ben帳戶|Elsa帳戶|Ben代墊|Ariel代墊|中信銀行共用""), REGEXMATCH(F13849, ""Ben帳戶|Elsa帳戶|Ben代墊|Ariel代墊|中信銀行共用"")), ""內部轉帳(忽略)"",
  AND(E13849&lt;&gt;"""", F13849&lt;&gt;"&amp;""""", NOT(REGEXMATCH(C13849, ""薪資""))), ""內部轉帳(忽略)"",
  REGEXMATCH(C13849, ""薪資""), ""薪資變動(不計入)"",
  REGEXMATCH(C13849, ""押金""), ""押金往來"",
  AND(E13849&lt;&gt;"""", F13849=""""), ""真實支出"",
  AND(E13849="""", F13849&lt;&gt;""""), ""真實收入"",
  TRUE, ""其他""
)"),"其他")</f>
        <v>其他</v>
      </c>
      <c r="K13849" s="270" t="str">
        <f t="shared" si="2"/>
        <v/>
      </c>
      <c r="L13849">
        <f t="shared" si="3"/>
        <v>0</v>
      </c>
    </row>
    <row r="13850">
      <c r="A13850" s="107"/>
      <c r="D13850" s="270"/>
      <c r="H13850" s="106" t="str">
        <f t="shared" si="1"/>
        <v/>
      </c>
      <c r="J13850" t="str">
        <f>IFERROR(__xludf.DUMMYFUNCTION("IFS(
  AND(REGEXMATCH(E13850, ""台銀籌備帳戶|玉山帳戶""), REGEXMATCH(C13850, ""薪資"")), ""分潤支出"",
  AND(REGEXMATCH(E13850, ""Ben帳戶|Elsa帳戶|Ben代墊|Ariel代墊|中信銀行共用""), REGEXMATCH(F13850, ""Ben帳戶|Elsa帳戶|Ben代墊|Ariel代墊|中信銀行共用"")), ""內部轉帳(忽略)"",
  AND(E13850&lt;&gt;"""", F13850&lt;&gt;"&amp;""""", NOT(REGEXMATCH(C13850, ""薪資""))), ""內部轉帳(忽略)"",
  REGEXMATCH(C13850, ""薪資""), ""薪資變動(不計入)"",
  REGEXMATCH(C13850, ""押金""), ""押金往來"",
  AND(E13850&lt;&gt;"""", F13850=""""), ""真實支出"",
  AND(E13850="""", F13850&lt;&gt;""""), ""真實收入"",
  TRUE, ""其他""
)"),"其他")</f>
        <v>其他</v>
      </c>
      <c r="K13850" s="270" t="str">
        <f t="shared" si="2"/>
        <v/>
      </c>
      <c r="L13850">
        <f t="shared" si="3"/>
        <v>0</v>
      </c>
    </row>
    <row r="13851">
      <c r="A13851" s="107"/>
      <c r="D13851" s="270"/>
      <c r="H13851" s="106" t="str">
        <f t="shared" si="1"/>
        <v/>
      </c>
      <c r="J13851" t="str">
        <f>IFERROR(__xludf.DUMMYFUNCTION("IFS(
  AND(REGEXMATCH(E13851, ""台銀籌備帳戶|玉山帳戶""), REGEXMATCH(C13851, ""薪資"")), ""分潤支出"",
  AND(REGEXMATCH(E13851, ""Ben帳戶|Elsa帳戶|Ben代墊|Ariel代墊|中信銀行共用""), REGEXMATCH(F13851, ""Ben帳戶|Elsa帳戶|Ben代墊|Ariel代墊|中信銀行共用"")), ""內部轉帳(忽略)"",
  AND(E13851&lt;&gt;"""", F13851&lt;&gt;"&amp;""""", NOT(REGEXMATCH(C13851, ""薪資""))), ""內部轉帳(忽略)"",
  REGEXMATCH(C13851, ""薪資""), ""薪資變動(不計入)"",
  REGEXMATCH(C13851, ""押金""), ""押金往來"",
  AND(E13851&lt;&gt;"""", F13851=""""), ""真實支出"",
  AND(E13851="""", F13851&lt;&gt;""""), ""真實收入"",
  TRUE, ""其他""
)"),"其他")</f>
        <v>其他</v>
      </c>
      <c r="K13851" s="270" t="str">
        <f t="shared" si="2"/>
        <v/>
      </c>
      <c r="L13851">
        <f t="shared" si="3"/>
        <v>0</v>
      </c>
    </row>
    <row r="13852">
      <c r="A13852" s="107"/>
      <c r="D13852" s="270"/>
      <c r="H13852" s="106" t="str">
        <f t="shared" si="1"/>
        <v/>
      </c>
      <c r="J13852" t="str">
        <f>IFERROR(__xludf.DUMMYFUNCTION("IFS(
  AND(REGEXMATCH(E13852, ""台銀籌備帳戶|玉山帳戶""), REGEXMATCH(C13852, ""薪資"")), ""分潤支出"",
  AND(REGEXMATCH(E13852, ""Ben帳戶|Elsa帳戶|Ben代墊|Ariel代墊|中信銀行共用""), REGEXMATCH(F13852, ""Ben帳戶|Elsa帳戶|Ben代墊|Ariel代墊|中信銀行共用"")), ""內部轉帳(忽略)"",
  AND(E13852&lt;&gt;"""", F13852&lt;&gt;"&amp;""""", NOT(REGEXMATCH(C13852, ""薪資""))), ""內部轉帳(忽略)"",
  REGEXMATCH(C13852, ""薪資""), ""薪資變動(不計入)"",
  REGEXMATCH(C13852, ""押金""), ""押金往來"",
  AND(E13852&lt;&gt;"""", F13852=""""), ""真實支出"",
  AND(E13852="""", F13852&lt;&gt;""""), ""真實收入"",
  TRUE, ""其他""
)"),"其他")</f>
        <v>其他</v>
      </c>
      <c r="K13852" s="270" t="str">
        <f t="shared" si="2"/>
        <v/>
      </c>
      <c r="L13852">
        <f t="shared" si="3"/>
        <v>0</v>
      </c>
    </row>
    <row r="13853">
      <c r="A13853" s="107"/>
      <c r="D13853" s="270"/>
      <c r="H13853" s="106" t="str">
        <f t="shared" si="1"/>
        <v/>
      </c>
      <c r="J13853" t="str">
        <f>IFERROR(__xludf.DUMMYFUNCTION("IFS(
  AND(REGEXMATCH(E13853, ""台銀籌備帳戶|玉山帳戶""), REGEXMATCH(C13853, ""薪資"")), ""分潤支出"",
  AND(REGEXMATCH(E13853, ""Ben帳戶|Elsa帳戶|Ben代墊|Ariel代墊|中信銀行共用""), REGEXMATCH(F13853, ""Ben帳戶|Elsa帳戶|Ben代墊|Ariel代墊|中信銀行共用"")), ""內部轉帳(忽略)"",
  AND(E13853&lt;&gt;"""", F13853&lt;&gt;"&amp;""""", NOT(REGEXMATCH(C13853, ""薪資""))), ""內部轉帳(忽略)"",
  REGEXMATCH(C13853, ""薪資""), ""薪資變動(不計入)"",
  REGEXMATCH(C13853, ""押金""), ""押金往來"",
  AND(E13853&lt;&gt;"""", F13853=""""), ""真實支出"",
  AND(E13853="""", F13853&lt;&gt;""""), ""真實收入"",
  TRUE, ""其他""
)"),"其他")</f>
        <v>其他</v>
      </c>
      <c r="K13853" s="270" t="str">
        <f t="shared" si="2"/>
        <v/>
      </c>
      <c r="L13853">
        <f t="shared" si="3"/>
        <v>0</v>
      </c>
    </row>
    <row r="13854">
      <c r="A13854" s="107"/>
      <c r="D13854" s="270"/>
      <c r="H13854" s="106" t="str">
        <f t="shared" si="1"/>
        <v/>
      </c>
      <c r="J13854" t="str">
        <f>IFERROR(__xludf.DUMMYFUNCTION("IFS(
  AND(REGEXMATCH(E13854, ""台銀籌備帳戶|玉山帳戶""), REGEXMATCH(C13854, ""薪資"")), ""分潤支出"",
  AND(REGEXMATCH(E13854, ""Ben帳戶|Elsa帳戶|Ben代墊|Ariel代墊|中信銀行共用""), REGEXMATCH(F13854, ""Ben帳戶|Elsa帳戶|Ben代墊|Ariel代墊|中信銀行共用"")), ""內部轉帳(忽略)"",
  AND(E13854&lt;&gt;"""", F13854&lt;&gt;"&amp;""""", NOT(REGEXMATCH(C13854, ""薪資""))), ""內部轉帳(忽略)"",
  REGEXMATCH(C13854, ""薪資""), ""薪資變動(不計入)"",
  REGEXMATCH(C13854, ""押金""), ""押金往來"",
  AND(E13854&lt;&gt;"""", F13854=""""), ""真實支出"",
  AND(E13854="""", F13854&lt;&gt;""""), ""真實收入"",
  TRUE, ""其他""
)"),"其他")</f>
        <v>其他</v>
      </c>
      <c r="K13854" s="270" t="str">
        <f t="shared" si="2"/>
        <v/>
      </c>
      <c r="L13854">
        <f t="shared" si="3"/>
        <v>0</v>
      </c>
    </row>
    <row r="13855">
      <c r="A13855" s="107"/>
      <c r="D13855" s="270"/>
      <c r="H13855" s="106" t="str">
        <f t="shared" si="1"/>
        <v/>
      </c>
      <c r="J13855" t="str">
        <f>IFERROR(__xludf.DUMMYFUNCTION("IFS(
  AND(REGEXMATCH(E13855, ""台銀籌備帳戶|玉山帳戶""), REGEXMATCH(C13855, ""薪資"")), ""分潤支出"",
  AND(REGEXMATCH(E13855, ""Ben帳戶|Elsa帳戶|Ben代墊|Ariel代墊|中信銀行共用""), REGEXMATCH(F13855, ""Ben帳戶|Elsa帳戶|Ben代墊|Ariel代墊|中信銀行共用"")), ""內部轉帳(忽略)"",
  AND(E13855&lt;&gt;"""", F13855&lt;&gt;"&amp;""""", NOT(REGEXMATCH(C13855, ""薪資""))), ""內部轉帳(忽略)"",
  REGEXMATCH(C13855, ""薪資""), ""薪資變動(不計入)"",
  REGEXMATCH(C13855, ""押金""), ""押金往來"",
  AND(E13855&lt;&gt;"""", F13855=""""), ""真實支出"",
  AND(E13855="""", F13855&lt;&gt;""""), ""真實收入"",
  TRUE, ""其他""
)"),"其他")</f>
        <v>其他</v>
      </c>
      <c r="K13855" s="270" t="str">
        <f t="shared" si="2"/>
        <v/>
      </c>
      <c r="L13855">
        <f t="shared" si="3"/>
        <v>0</v>
      </c>
    </row>
    <row r="13856">
      <c r="A13856" s="107"/>
      <c r="D13856" s="270"/>
      <c r="H13856" s="106" t="str">
        <f t="shared" si="1"/>
        <v/>
      </c>
      <c r="J13856" t="str">
        <f>IFERROR(__xludf.DUMMYFUNCTION("IFS(
  AND(REGEXMATCH(E13856, ""台銀籌備帳戶|玉山帳戶""), REGEXMATCH(C13856, ""薪資"")), ""分潤支出"",
  AND(REGEXMATCH(E13856, ""Ben帳戶|Elsa帳戶|Ben代墊|Ariel代墊|中信銀行共用""), REGEXMATCH(F13856, ""Ben帳戶|Elsa帳戶|Ben代墊|Ariel代墊|中信銀行共用"")), ""內部轉帳(忽略)"",
  AND(E13856&lt;&gt;"""", F13856&lt;&gt;"&amp;""""", NOT(REGEXMATCH(C13856, ""薪資""))), ""內部轉帳(忽略)"",
  REGEXMATCH(C13856, ""薪資""), ""薪資變動(不計入)"",
  REGEXMATCH(C13856, ""押金""), ""押金往來"",
  AND(E13856&lt;&gt;"""", F13856=""""), ""真實支出"",
  AND(E13856="""", F13856&lt;&gt;""""), ""真實收入"",
  TRUE, ""其他""
)"),"其他")</f>
        <v>其他</v>
      </c>
      <c r="K13856" s="270" t="str">
        <f t="shared" si="2"/>
        <v/>
      </c>
      <c r="L13856">
        <f t="shared" si="3"/>
        <v>0</v>
      </c>
    </row>
    <row r="13857">
      <c r="A13857" s="107"/>
      <c r="D13857" s="270"/>
      <c r="H13857" s="106" t="str">
        <f t="shared" si="1"/>
        <v/>
      </c>
      <c r="J13857" t="str">
        <f>IFERROR(__xludf.DUMMYFUNCTION("IFS(
  AND(REGEXMATCH(E13857, ""台銀籌備帳戶|玉山帳戶""), REGEXMATCH(C13857, ""薪資"")), ""分潤支出"",
  AND(REGEXMATCH(E13857, ""Ben帳戶|Elsa帳戶|Ben代墊|Ariel代墊|中信銀行共用""), REGEXMATCH(F13857, ""Ben帳戶|Elsa帳戶|Ben代墊|Ariel代墊|中信銀行共用"")), ""內部轉帳(忽略)"",
  AND(E13857&lt;&gt;"""", F13857&lt;&gt;"&amp;""""", NOT(REGEXMATCH(C13857, ""薪資""))), ""內部轉帳(忽略)"",
  REGEXMATCH(C13857, ""薪資""), ""薪資變動(不計入)"",
  REGEXMATCH(C13857, ""押金""), ""押金往來"",
  AND(E13857&lt;&gt;"""", F13857=""""), ""真實支出"",
  AND(E13857="""", F13857&lt;&gt;""""), ""真實收入"",
  TRUE, ""其他""
)"),"其他")</f>
        <v>其他</v>
      </c>
      <c r="K13857" s="270" t="str">
        <f t="shared" si="2"/>
        <v/>
      </c>
      <c r="L13857">
        <f t="shared" si="3"/>
        <v>0</v>
      </c>
    </row>
    <row r="13858">
      <c r="A13858" s="107"/>
      <c r="D13858" s="270"/>
      <c r="H13858" s="106" t="str">
        <f t="shared" si="1"/>
        <v/>
      </c>
      <c r="J13858" t="str">
        <f>IFERROR(__xludf.DUMMYFUNCTION("IFS(
  AND(REGEXMATCH(E13858, ""台銀籌備帳戶|玉山帳戶""), REGEXMATCH(C13858, ""薪資"")), ""分潤支出"",
  AND(REGEXMATCH(E13858, ""Ben帳戶|Elsa帳戶|Ben代墊|Ariel代墊|中信銀行共用""), REGEXMATCH(F13858, ""Ben帳戶|Elsa帳戶|Ben代墊|Ariel代墊|中信銀行共用"")), ""內部轉帳(忽略)"",
  AND(E13858&lt;&gt;"""", F13858&lt;&gt;"&amp;""""", NOT(REGEXMATCH(C13858, ""薪資""))), ""內部轉帳(忽略)"",
  REGEXMATCH(C13858, ""薪資""), ""薪資變動(不計入)"",
  REGEXMATCH(C13858, ""押金""), ""押金往來"",
  AND(E13858&lt;&gt;"""", F13858=""""), ""真實支出"",
  AND(E13858="""", F13858&lt;&gt;""""), ""真實收入"",
  TRUE, ""其他""
)"),"其他")</f>
        <v>其他</v>
      </c>
      <c r="K13858" s="270" t="str">
        <f t="shared" si="2"/>
        <v/>
      </c>
      <c r="L13858">
        <f t="shared" si="3"/>
        <v>0</v>
      </c>
    </row>
    <row r="13859">
      <c r="A13859" s="107"/>
      <c r="D13859" s="270"/>
      <c r="H13859" s="106" t="str">
        <f t="shared" si="1"/>
        <v/>
      </c>
      <c r="J13859" t="str">
        <f>IFERROR(__xludf.DUMMYFUNCTION("IFS(
  AND(REGEXMATCH(E13859, ""台銀籌備帳戶|玉山帳戶""), REGEXMATCH(C13859, ""薪資"")), ""分潤支出"",
  AND(REGEXMATCH(E13859, ""Ben帳戶|Elsa帳戶|Ben代墊|Ariel代墊|中信銀行共用""), REGEXMATCH(F13859, ""Ben帳戶|Elsa帳戶|Ben代墊|Ariel代墊|中信銀行共用"")), ""內部轉帳(忽略)"",
  AND(E13859&lt;&gt;"""", F13859&lt;&gt;"&amp;""""", NOT(REGEXMATCH(C13859, ""薪資""))), ""內部轉帳(忽略)"",
  REGEXMATCH(C13859, ""薪資""), ""薪資變動(不計入)"",
  REGEXMATCH(C13859, ""押金""), ""押金往來"",
  AND(E13859&lt;&gt;"""", F13859=""""), ""真實支出"",
  AND(E13859="""", F13859&lt;&gt;""""), ""真實收入"",
  TRUE, ""其他""
)"),"其他")</f>
        <v>其他</v>
      </c>
      <c r="K13859" s="270" t="str">
        <f t="shared" si="2"/>
        <v/>
      </c>
      <c r="L13859">
        <f t="shared" si="3"/>
        <v>0</v>
      </c>
    </row>
    <row r="13860">
      <c r="A13860" s="107"/>
      <c r="D13860" s="270"/>
      <c r="H13860" s="106" t="str">
        <f t="shared" si="1"/>
        <v/>
      </c>
      <c r="J13860" t="str">
        <f>IFERROR(__xludf.DUMMYFUNCTION("IFS(
  AND(REGEXMATCH(E13860, ""台銀籌備帳戶|玉山帳戶""), REGEXMATCH(C13860, ""薪資"")), ""分潤支出"",
  AND(REGEXMATCH(E13860, ""Ben帳戶|Elsa帳戶|Ben代墊|Ariel代墊|中信銀行共用""), REGEXMATCH(F13860, ""Ben帳戶|Elsa帳戶|Ben代墊|Ariel代墊|中信銀行共用"")), ""內部轉帳(忽略)"",
  AND(E13860&lt;&gt;"""", F13860&lt;&gt;"&amp;""""", NOT(REGEXMATCH(C13860, ""薪資""))), ""內部轉帳(忽略)"",
  REGEXMATCH(C13860, ""薪資""), ""薪資變動(不計入)"",
  REGEXMATCH(C13860, ""押金""), ""押金往來"",
  AND(E13860&lt;&gt;"""", F13860=""""), ""真實支出"",
  AND(E13860="""", F13860&lt;&gt;""""), ""真實收入"",
  TRUE, ""其他""
)"),"其他")</f>
        <v>其他</v>
      </c>
      <c r="K13860" s="270" t="str">
        <f t="shared" si="2"/>
        <v/>
      </c>
      <c r="L13860">
        <f t="shared" si="3"/>
        <v>0</v>
      </c>
    </row>
    <row r="13861">
      <c r="A13861" s="107"/>
      <c r="D13861" s="270"/>
      <c r="H13861" s="106" t="str">
        <f t="shared" si="1"/>
        <v/>
      </c>
      <c r="J13861" t="str">
        <f>IFERROR(__xludf.DUMMYFUNCTION("IFS(
  AND(REGEXMATCH(E13861, ""台銀籌備帳戶|玉山帳戶""), REGEXMATCH(C13861, ""薪資"")), ""分潤支出"",
  AND(REGEXMATCH(E13861, ""Ben帳戶|Elsa帳戶|Ben代墊|Ariel代墊|中信銀行共用""), REGEXMATCH(F13861, ""Ben帳戶|Elsa帳戶|Ben代墊|Ariel代墊|中信銀行共用"")), ""內部轉帳(忽略)"",
  AND(E13861&lt;&gt;"""", F13861&lt;&gt;"&amp;""""", NOT(REGEXMATCH(C13861, ""薪資""))), ""內部轉帳(忽略)"",
  REGEXMATCH(C13861, ""薪資""), ""薪資變動(不計入)"",
  REGEXMATCH(C13861, ""押金""), ""押金往來"",
  AND(E13861&lt;&gt;"""", F13861=""""), ""真實支出"",
  AND(E13861="""", F13861&lt;&gt;""""), ""真實收入"",
  TRUE, ""其他""
)"),"其他")</f>
        <v>其他</v>
      </c>
      <c r="K13861" s="270" t="str">
        <f t="shared" si="2"/>
        <v/>
      </c>
      <c r="L13861">
        <f t="shared" si="3"/>
        <v>0</v>
      </c>
    </row>
    <row r="13862">
      <c r="A13862" s="107"/>
      <c r="D13862" s="270"/>
      <c r="H13862" s="106" t="str">
        <f t="shared" si="1"/>
        <v/>
      </c>
      <c r="J13862" t="str">
        <f>IFERROR(__xludf.DUMMYFUNCTION("IFS(
  AND(REGEXMATCH(E13862, ""台銀籌備帳戶|玉山帳戶""), REGEXMATCH(C13862, ""薪資"")), ""分潤支出"",
  AND(REGEXMATCH(E13862, ""Ben帳戶|Elsa帳戶|Ben代墊|Ariel代墊|中信銀行共用""), REGEXMATCH(F13862, ""Ben帳戶|Elsa帳戶|Ben代墊|Ariel代墊|中信銀行共用"")), ""內部轉帳(忽略)"",
  AND(E13862&lt;&gt;"""", F13862&lt;&gt;"&amp;""""", NOT(REGEXMATCH(C13862, ""薪資""))), ""內部轉帳(忽略)"",
  REGEXMATCH(C13862, ""薪資""), ""薪資變動(不計入)"",
  REGEXMATCH(C13862, ""押金""), ""押金往來"",
  AND(E13862&lt;&gt;"""", F13862=""""), ""真實支出"",
  AND(E13862="""", F13862&lt;&gt;""""), ""真實收入"",
  TRUE, ""其他""
)"),"其他")</f>
        <v>其他</v>
      </c>
      <c r="K13862" s="270" t="str">
        <f t="shared" si="2"/>
        <v/>
      </c>
      <c r="L13862">
        <f t="shared" si="3"/>
        <v>0</v>
      </c>
    </row>
    <row r="13863">
      <c r="A13863" s="107"/>
      <c r="D13863" s="270"/>
      <c r="H13863" s="106" t="str">
        <f t="shared" si="1"/>
        <v/>
      </c>
      <c r="J13863" t="str">
        <f>IFERROR(__xludf.DUMMYFUNCTION("IFS(
  AND(REGEXMATCH(E13863, ""台銀籌備帳戶|玉山帳戶""), REGEXMATCH(C13863, ""薪資"")), ""分潤支出"",
  AND(REGEXMATCH(E13863, ""Ben帳戶|Elsa帳戶|Ben代墊|Ariel代墊|中信銀行共用""), REGEXMATCH(F13863, ""Ben帳戶|Elsa帳戶|Ben代墊|Ariel代墊|中信銀行共用"")), ""內部轉帳(忽略)"",
  AND(E13863&lt;&gt;"""", F13863&lt;&gt;"&amp;""""", NOT(REGEXMATCH(C13863, ""薪資""))), ""內部轉帳(忽略)"",
  REGEXMATCH(C13863, ""薪資""), ""薪資變動(不計入)"",
  REGEXMATCH(C13863, ""押金""), ""押金往來"",
  AND(E13863&lt;&gt;"""", F13863=""""), ""真實支出"",
  AND(E13863="""", F13863&lt;&gt;""""), ""真實收入"",
  TRUE, ""其他""
)"),"其他")</f>
        <v>其他</v>
      </c>
      <c r="K13863" s="270" t="str">
        <f t="shared" si="2"/>
        <v/>
      </c>
      <c r="L13863">
        <f t="shared" si="3"/>
        <v>0</v>
      </c>
    </row>
    <row r="13864">
      <c r="A13864" s="107"/>
      <c r="D13864" s="270"/>
      <c r="H13864" s="106" t="str">
        <f t="shared" si="1"/>
        <v/>
      </c>
      <c r="J13864" t="str">
        <f>IFERROR(__xludf.DUMMYFUNCTION("IFS(
  AND(REGEXMATCH(E13864, ""台銀籌備帳戶|玉山帳戶""), REGEXMATCH(C13864, ""薪資"")), ""分潤支出"",
  AND(REGEXMATCH(E13864, ""Ben帳戶|Elsa帳戶|Ben代墊|Ariel代墊|中信銀行共用""), REGEXMATCH(F13864, ""Ben帳戶|Elsa帳戶|Ben代墊|Ariel代墊|中信銀行共用"")), ""內部轉帳(忽略)"",
  AND(E13864&lt;&gt;"""", F13864&lt;&gt;"&amp;""""", NOT(REGEXMATCH(C13864, ""薪資""))), ""內部轉帳(忽略)"",
  REGEXMATCH(C13864, ""薪資""), ""薪資變動(不計入)"",
  REGEXMATCH(C13864, ""押金""), ""押金往來"",
  AND(E13864&lt;&gt;"""", F13864=""""), ""真實支出"",
  AND(E13864="""", F13864&lt;&gt;""""), ""真實收入"",
  TRUE, ""其他""
)"),"其他")</f>
        <v>其他</v>
      </c>
      <c r="K13864" s="270" t="str">
        <f t="shared" si="2"/>
        <v/>
      </c>
      <c r="L13864">
        <f t="shared" si="3"/>
        <v>0</v>
      </c>
    </row>
    <row r="13865">
      <c r="A13865" s="107"/>
      <c r="D13865" s="270"/>
      <c r="H13865" s="106" t="str">
        <f t="shared" si="1"/>
        <v/>
      </c>
      <c r="J13865" t="str">
        <f>IFERROR(__xludf.DUMMYFUNCTION("IFS(
  AND(REGEXMATCH(E13865, ""台銀籌備帳戶|玉山帳戶""), REGEXMATCH(C13865, ""薪資"")), ""分潤支出"",
  AND(REGEXMATCH(E13865, ""Ben帳戶|Elsa帳戶|Ben代墊|Ariel代墊|中信銀行共用""), REGEXMATCH(F13865, ""Ben帳戶|Elsa帳戶|Ben代墊|Ariel代墊|中信銀行共用"")), ""內部轉帳(忽略)"",
  AND(E13865&lt;&gt;"""", F13865&lt;&gt;"&amp;""""", NOT(REGEXMATCH(C13865, ""薪資""))), ""內部轉帳(忽略)"",
  REGEXMATCH(C13865, ""薪資""), ""薪資變動(不計入)"",
  REGEXMATCH(C13865, ""押金""), ""押金往來"",
  AND(E13865&lt;&gt;"""", F13865=""""), ""真實支出"",
  AND(E13865="""", F13865&lt;&gt;""""), ""真實收入"",
  TRUE, ""其他""
)"),"其他")</f>
        <v>其他</v>
      </c>
      <c r="K13865" s="270" t="str">
        <f t="shared" si="2"/>
        <v/>
      </c>
      <c r="L13865">
        <f t="shared" si="3"/>
        <v>0</v>
      </c>
    </row>
    <row r="13866">
      <c r="A13866" s="107"/>
      <c r="D13866" s="270"/>
      <c r="H13866" s="106" t="str">
        <f t="shared" si="1"/>
        <v/>
      </c>
      <c r="J13866" t="str">
        <f>IFERROR(__xludf.DUMMYFUNCTION("IFS(
  AND(REGEXMATCH(E13866, ""台銀籌備帳戶|玉山帳戶""), REGEXMATCH(C13866, ""薪資"")), ""分潤支出"",
  AND(REGEXMATCH(E13866, ""Ben帳戶|Elsa帳戶|Ben代墊|Ariel代墊|中信銀行共用""), REGEXMATCH(F13866, ""Ben帳戶|Elsa帳戶|Ben代墊|Ariel代墊|中信銀行共用"")), ""內部轉帳(忽略)"",
  AND(E13866&lt;&gt;"""", F13866&lt;&gt;"&amp;""""", NOT(REGEXMATCH(C13866, ""薪資""))), ""內部轉帳(忽略)"",
  REGEXMATCH(C13866, ""薪資""), ""薪資變動(不計入)"",
  REGEXMATCH(C13866, ""押金""), ""押金往來"",
  AND(E13866&lt;&gt;"""", F13866=""""), ""真實支出"",
  AND(E13866="""", F13866&lt;&gt;""""), ""真實收入"",
  TRUE, ""其他""
)"),"其他")</f>
        <v>其他</v>
      </c>
      <c r="K13866" s="270" t="str">
        <f t="shared" si="2"/>
        <v/>
      </c>
      <c r="L13866">
        <f t="shared" si="3"/>
        <v>0</v>
      </c>
    </row>
    <row r="13867">
      <c r="A13867" s="107"/>
      <c r="D13867" s="270"/>
      <c r="H13867" s="106" t="str">
        <f t="shared" si="1"/>
        <v/>
      </c>
      <c r="J13867" t="str">
        <f>IFERROR(__xludf.DUMMYFUNCTION("IFS(
  AND(REGEXMATCH(E13867, ""台銀籌備帳戶|玉山帳戶""), REGEXMATCH(C13867, ""薪資"")), ""分潤支出"",
  AND(REGEXMATCH(E13867, ""Ben帳戶|Elsa帳戶|Ben代墊|Ariel代墊|中信銀行共用""), REGEXMATCH(F13867, ""Ben帳戶|Elsa帳戶|Ben代墊|Ariel代墊|中信銀行共用"")), ""內部轉帳(忽略)"",
  AND(E13867&lt;&gt;"""", F13867&lt;&gt;"&amp;""""", NOT(REGEXMATCH(C13867, ""薪資""))), ""內部轉帳(忽略)"",
  REGEXMATCH(C13867, ""薪資""), ""薪資變動(不計入)"",
  REGEXMATCH(C13867, ""押金""), ""押金往來"",
  AND(E13867&lt;&gt;"""", F13867=""""), ""真實支出"",
  AND(E13867="""", F13867&lt;&gt;""""), ""真實收入"",
  TRUE, ""其他""
)"),"其他")</f>
        <v>其他</v>
      </c>
      <c r="K13867" s="270" t="str">
        <f t="shared" si="2"/>
        <v/>
      </c>
      <c r="L13867">
        <f t="shared" si="3"/>
        <v>0</v>
      </c>
    </row>
    <row r="13868">
      <c r="A13868" s="107"/>
      <c r="D13868" s="270"/>
      <c r="H13868" s="106" t="str">
        <f t="shared" si="1"/>
        <v/>
      </c>
      <c r="J13868" t="str">
        <f>IFERROR(__xludf.DUMMYFUNCTION("IFS(
  AND(REGEXMATCH(E13868, ""台銀籌備帳戶|玉山帳戶""), REGEXMATCH(C13868, ""薪資"")), ""分潤支出"",
  AND(REGEXMATCH(E13868, ""Ben帳戶|Elsa帳戶|Ben代墊|Ariel代墊|中信銀行共用""), REGEXMATCH(F13868, ""Ben帳戶|Elsa帳戶|Ben代墊|Ariel代墊|中信銀行共用"")), ""內部轉帳(忽略)"",
  AND(E13868&lt;&gt;"""", F13868&lt;&gt;"&amp;""""", NOT(REGEXMATCH(C13868, ""薪資""))), ""內部轉帳(忽略)"",
  REGEXMATCH(C13868, ""薪資""), ""薪資變動(不計入)"",
  REGEXMATCH(C13868, ""押金""), ""押金往來"",
  AND(E13868&lt;&gt;"""", F13868=""""), ""真實支出"",
  AND(E13868="""", F13868&lt;&gt;""""), ""真實收入"",
  TRUE, ""其他""
)"),"其他")</f>
        <v>其他</v>
      </c>
      <c r="K13868" s="270" t="str">
        <f t="shared" si="2"/>
        <v/>
      </c>
      <c r="L13868">
        <f t="shared" si="3"/>
        <v>0</v>
      </c>
    </row>
    <row r="13869">
      <c r="A13869" s="107"/>
      <c r="D13869" s="270"/>
      <c r="H13869" s="106" t="str">
        <f t="shared" si="1"/>
        <v/>
      </c>
      <c r="J13869" t="str">
        <f>IFERROR(__xludf.DUMMYFUNCTION("IFS(
  AND(REGEXMATCH(E13869, ""台銀籌備帳戶|玉山帳戶""), REGEXMATCH(C13869, ""薪資"")), ""分潤支出"",
  AND(REGEXMATCH(E13869, ""Ben帳戶|Elsa帳戶|Ben代墊|Ariel代墊|中信銀行共用""), REGEXMATCH(F13869, ""Ben帳戶|Elsa帳戶|Ben代墊|Ariel代墊|中信銀行共用"")), ""內部轉帳(忽略)"",
  AND(E13869&lt;&gt;"""", F13869&lt;&gt;"&amp;""""", NOT(REGEXMATCH(C13869, ""薪資""))), ""內部轉帳(忽略)"",
  REGEXMATCH(C13869, ""薪資""), ""薪資變動(不計入)"",
  REGEXMATCH(C13869, ""押金""), ""押金往來"",
  AND(E13869&lt;&gt;"""", F13869=""""), ""真實支出"",
  AND(E13869="""", F13869&lt;&gt;""""), ""真實收入"",
  TRUE, ""其他""
)"),"其他")</f>
        <v>其他</v>
      </c>
      <c r="K13869" s="270" t="str">
        <f t="shared" si="2"/>
        <v/>
      </c>
      <c r="L13869">
        <f t="shared" si="3"/>
        <v>0</v>
      </c>
    </row>
    <row r="13870">
      <c r="A13870" s="107"/>
      <c r="D13870" s="270"/>
      <c r="H13870" s="106" t="str">
        <f t="shared" si="1"/>
        <v/>
      </c>
      <c r="J13870" t="str">
        <f>IFERROR(__xludf.DUMMYFUNCTION("IFS(
  AND(REGEXMATCH(E13870, ""台銀籌備帳戶|玉山帳戶""), REGEXMATCH(C13870, ""薪資"")), ""分潤支出"",
  AND(REGEXMATCH(E13870, ""Ben帳戶|Elsa帳戶|Ben代墊|Ariel代墊|中信銀行共用""), REGEXMATCH(F13870, ""Ben帳戶|Elsa帳戶|Ben代墊|Ariel代墊|中信銀行共用"")), ""內部轉帳(忽略)"",
  AND(E13870&lt;&gt;"""", F13870&lt;&gt;"&amp;""""", NOT(REGEXMATCH(C13870, ""薪資""))), ""內部轉帳(忽略)"",
  REGEXMATCH(C13870, ""薪資""), ""薪資變動(不計入)"",
  REGEXMATCH(C13870, ""押金""), ""押金往來"",
  AND(E13870&lt;&gt;"""", F13870=""""), ""真實支出"",
  AND(E13870="""", F13870&lt;&gt;""""), ""真實收入"",
  TRUE, ""其他""
)"),"其他")</f>
        <v>其他</v>
      </c>
      <c r="K13870" s="270" t="str">
        <f t="shared" si="2"/>
        <v/>
      </c>
      <c r="L13870">
        <f t="shared" si="3"/>
        <v>0</v>
      </c>
    </row>
    <row r="13871">
      <c r="A13871" s="107"/>
      <c r="D13871" s="270"/>
      <c r="H13871" s="106" t="str">
        <f t="shared" si="1"/>
        <v/>
      </c>
      <c r="J13871" t="str">
        <f>IFERROR(__xludf.DUMMYFUNCTION("IFS(
  AND(REGEXMATCH(E13871, ""台銀籌備帳戶|玉山帳戶""), REGEXMATCH(C13871, ""薪資"")), ""分潤支出"",
  AND(REGEXMATCH(E13871, ""Ben帳戶|Elsa帳戶|Ben代墊|Ariel代墊|中信銀行共用""), REGEXMATCH(F13871, ""Ben帳戶|Elsa帳戶|Ben代墊|Ariel代墊|中信銀行共用"")), ""內部轉帳(忽略)"",
  AND(E13871&lt;&gt;"""", F13871&lt;&gt;"&amp;""""", NOT(REGEXMATCH(C13871, ""薪資""))), ""內部轉帳(忽略)"",
  REGEXMATCH(C13871, ""薪資""), ""薪資變動(不計入)"",
  REGEXMATCH(C13871, ""押金""), ""押金往來"",
  AND(E13871&lt;&gt;"""", F13871=""""), ""真實支出"",
  AND(E13871="""", F13871&lt;&gt;""""), ""真實收入"",
  TRUE, ""其他""
)"),"其他")</f>
        <v>其他</v>
      </c>
      <c r="K13871" s="270" t="str">
        <f t="shared" si="2"/>
        <v/>
      </c>
      <c r="L13871">
        <f t="shared" si="3"/>
        <v>0</v>
      </c>
    </row>
    <row r="13872">
      <c r="A13872" s="107"/>
      <c r="D13872" s="270"/>
      <c r="H13872" s="106" t="str">
        <f t="shared" si="1"/>
        <v/>
      </c>
      <c r="J13872" t="str">
        <f>IFERROR(__xludf.DUMMYFUNCTION("IFS(
  AND(REGEXMATCH(E13872, ""台銀籌備帳戶|玉山帳戶""), REGEXMATCH(C13872, ""薪資"")), ""分潤支出"",
  AND(REGEXMATCH(E13872, ""Ben帳戶|Elsa帳戶|Ben代墊|Ariel代墊|中信銀行共用""), REGEXMATCH(F13872, ""Ben帳戶|Elsa帳戶|Ben代墊|Ariel代墊|中信銀行共用"")), ""內部轉帳(忽略)"",
  AND(E13872&lt;&gt;"""", F13872&lt;&gt;"&amp;""""", NOT(REGEXMATCH(C13872, ""薪資""))), ""內部轉帳(忽略)"",
  REGEXMATCH(C13872, ""薪資""), ""薪資變動(不計入)"",
  REGEXMATCH(C13872, ""押金""), ""押金往來"",
  AND(E13872&lt;&gt;"""", F13872=""""), ""真實支出"",
  AND(E13872="""", F13872&lt;&gt;""""), ""真實收入"",
  TRUE, ""其他""
)"),"其他")</f>
        <v>其他</v>
      </c>
      <c r="K13872" s="270" t="str">
        <f t="shared" si="2"/>
        <v/>
      </c>
      <c r="L13872">
        <f t="shared" si="3"/>
        <v>0</v>
      </c>
    </row>
    <row r="13873">
      <c r="A13873" s="107"/>
      <c r="D13873" s="270"/>
      <c r="H13873" s="106" t="str">
        <f t="shared" si="1"/>
        <v/>
      </c>
      <c r="J13873" t="str">
        <f>IFERROR(__xludf.DUMMYFUNCTION("IFS(
  AND(REGEXMATCH(E13873, ""台銀籌備帳戶|玉山帳戶""), REGEXMATCH(C13873, ""薪資"")), ""分潤支出"",
  AND(REGEXMATCH(E13873, ""Ben帳戶|Elsa帳戶|Ben代墊|Ariel代墊|中信銀行共用""), REGEXMATCH(F13873, ""Ben帳戶|Elsa帳戶|Ben代墊|Ariel代墊|中信銀行共用"")), ""內部轉帳(忽略)"",
  AND(E13873&lt;&gt;"""", F13873&lt;&gt;"&amp;""""", NOT(REGEXMATCH(C13873, ""薪資""))), ""內部轉帳(忽略)"",
  REGEXMATCH(C13873, ""薪資""), ""薪資變動(不計入)"",
  REGEXMATCH(C13873, ""押金""), ""押金往來"",
  AND(E13873&lt;&gt;"""", F13873=""""), ""真實支出"",
  AND(E13873="""", F13873&lt;&gt;""""), ""真實收入"",
  TRUE, ""其他""
)"),"其他")</f>
        <v>其他</v>
      </c>
      <c r="K13873" s="270" t="str">
        <f t="shared" si="2"/>
        <v/>
      </c>
      <c r="L13873">
        <f t="shared" si="3"/>
        <v>0</v>
      </c>
    </row>
    <row r="13874">
      <c r="A13874" s="107"/>
      <c r="D13874" s="270"/>
      <c r="H13874" s="106" t="str">
        <f t="shared" si="1"/>
        <v/>
      </c>
      <c r="J13874" t="str">
        <f>IFERROR(__xludf.DUMMYFUNCTION("IFS(
  AND(REGEXMATCH(E13874, ""台銀籌備帳戶|玉山帳戶""), REGEXMATCH(C13874, ""薪資"")), ""分潤支出"",
  AND(REGEXMATCH(E13874, ""Ben帳戶|Elsa帳戶|Ben代墊|Ariel代墊|中信銀行共用""), REGEXMATCH(F13874, ""Ben帳戶|Elsa帳戶|Ben代墊|Ariel代墊|中信銀行共用"")), ""內部轉帳(忽略)"",
  AND(E13874&lt;&gt;"""", F13874&lt;&gt;"&amp;""""", NOT(REGEXMATCH(C13874, ""薪資""))), ""內部轉帳(忽略)"",
  REGEXMATCH(C13874, ""薪資""), ""薪資變動(不計入)"",
  REGEXMATCH(C13874, ""押金""), ""押金往來"",
  AND(E13874&lt;&gt;"""", F13874=""""), ""真實支出"",
  AND(E13874="""", F13874&lt;&gt;""""), ""真實收入"",
  TRUE, ""其他""
)"),"其他")</f>
        <v>其他</v>
      </c>
      <c r="K13874" s="270" t="str">
        <f t="shared" si="2"/>
        <v/>
      </c>
      <c r="L13874">
        <f t="shared" si="3"/>
        <v>0</v>
      </c>
    </row>
    <row r="13875">
      <c r="A13875" s="107"/>
      <c r="D13875" s="270"/>
      <c r="H13875" s="106" t="str">
        <f t="shared" si="1"/>
        <v/>
      </c>
      <c r="J13875" t="str">
        <f>IFERROR(__xludf.DUMMYFUNCTION("IFS(
  AND(REGEXMATCH(E13875, ""台銀籌備帳戶|玉山帳戶""), REGEXMATCH(C13875, ""薪資"")), ""分潤支出"",
  AND(REGEXMATCH(E13875, ""Ben帳戶|Elsa帳戶|Ben代墊|Ariel代墊|中信銀行共用""), REGEXMATCH(F13875, ""Ben帳戶|Elsa帳戶|Ben代墊|Ariel代墊|中信銀行共用"")), ""內部轉帳(忽略)"",
  AND(E13875&lt;&gt;"""", F13875&lt;&gt;"&amp;""""", NOT(REGEXMATCH(C13875, ""薪資""))), ""內部轉帳(忽略)"",
  REGEXMATCH(C13875, ""薪資""), ""薪資變動(不計入)"",
  REGEXMATCH(C13875, ""押金""), ""押金往來"",
  AND(E13875&lt;&gt;"""", F13875=""""), ""真實支出"",
  AND(E13875="""", F13875&lt;&gt;""""), ""真實收入"",
  TRUE, ""其他""
)"),"其他")</f>
        <v>其他</v>
      </c>
      <c r="K13875" s="270" t="str">
        <f t="shared" si="2"/>
        <v/>
      </c>
      <c r="L13875">
        <f t="shared" si="3"/>
        <v>0</v>
      </c>
    </row>
    <row r="13876">
      <c r="A13876" s="107"/>
      <c r="D13876" s="270"/>
      <c r="H13876" s="106" t="str">
        <f t="shared" si="1"/>
        <v/>
      </c>
      <c r="J13876" t="str">
        <f>IFERROR(__xludf.DUMMYFUNCTION("IFS(
  AND(REGEXMATCH(E13876, ""台銀籌備帳戶|玉山帳戶""), REGEXMATCH(C13876, ""薪資"")), ""分潤支出"",
  AND(REGEXMATCH(E13876, ""Ben帳戶|Elsa帳戶|Ben代墊|Ariel代墊|中信銀行共用""), REGEXMATCH(F13876, ""Ben帳戶|Elsa帳戶|Ben代墊|Ariel代墊|中信銀行共用"")), ""內部轉帳(忽略)"",
  AND(E13876&lt;&gt;"""", F13876&lt;&gt;"&amp;""""", NOT(REGEXMATCH(C13876, ""薪資""))), ""內部轉帳(忽略)"",
  REGEXMATCH(C13876, ""薪資""), ""薪資變動(不計入)"",
  REGEXMATCH(C13876, ""押金""), ""押金往來"",
  AND(E13876&lt;&gt;"""", F13876=""""), ""真實支出"",
  AND(E13876="""", F13876&lt;&gt;""""), ""真實收入"",
  TRUE, ""其他""
)"),"其他")</f>
        <v>其他</v>
      </c>
      <c r="K13876" s="270" t="str">
        <f t="shared" si="2"/>
        <v/>
      </c>
      <c r="L13876">
        <f t="shared" si="3"/>
        <v>0</v>
      </c>
    </row>
    <row r="13877">
      <c r="A13877" s="107"/>
      <c r="D13877" s="270"/>
      <c r="H13877" s="106" t="str">
        <f t="shared" si="1"/>
        <v/>
      </c>
      <c r="J13877" t="str">
        <f>IFERROR(__xludf.DUMMYFUNCTION("IFS(
  AND(REGEXMATCH(E13877, ""台銀籌備帳戶|玉山帳戶""), REGEXMATCH(C13877, ""薪資"")), ""分潤支出"",
  AND(REGEXMATCH(E13877, ""Ben帳戶|Elsa帳戶|Ben代墊|Ariel代墊|中信銀行共用""), REGEXMATCH(F13877, ""Ben帳戶|Elsa帳戶|Ben代墊|Ariel代墊|中信銀行共用"")), ""內部轉帳(忽略)"",
  AND(E13877&lt;&gt;"""", F13877&lt;&gt;"&amp;""""", NOT(REGEXMATCH(C13877, ""薪資""))), ""內部轉帳(忽略)"",
  REGEXMATCH(C13877, ""薪資""), ""薪資變動(不計入)"",
  REGEXMATCH(C13877, ""押金""), ""押金往來"",
  AND(E13877&lt;&gt;"""", F13877=""""), ""真實支出"",
  AND(E13877="""", F13877&lt;&gt;""""), ""真實收入"",
  TRUE, ""其他""
)"),"其他")</f>
        <v>其他</v>
      </c>
      <c r="K13877" s="270" t="str">
        <f t="shared" si="2"/>
        <v/>
      </c>
      <c r="L13877">
        <f t="shared" si="3"/>
        <v>0</v>
      </c>
    </row>
    <row r="13878">
      <c r="A13878" s="107"/>
      <c r="D13878" s="270"/>
      <c r="H13878" s="106" t="str">
        <f t="shared" si="1"/>
        <v/>
      </c>
      <c r="J13878" t="str">
        <f>IFERROR(__xludf.DUMMYFUNCTION("IFS(
  AND(REGEXMATCH(E13878, ""台銀籌備帳戶|玉山帳戶""), REGEXMATCH(C13878, ""薪資"")), ""分潤支出"",
  AND(REGEXMATCH(E13878, ""Ben帳戶|Elsa帳戶|Ben代墊|Ariel代墊|中信銀行共用""), REGEXMATCH(F13878, ""Ben帳戶|Elsa帳戶|Ben代墊|Ariel代墊|中信銀行共用"")), ""內部轉帳(忽略)"",
  AND(E13878&lt;&gt;"""", F13878&lt;&gt;"&amp;""""", NOT(REGEXMATCH(C13878, ""薪資""))), ""內部轉帳(忽略)"",
  REGEXMATCH(C13878, ""薪資""), ""薪資變動(不計入)"",
  REGEXMATCH(C13878, ""押金""), ""押金往來"",
  AND(E13878&lt;&gt;"""", F13878=""""), ""真實支出"",
  AND(E13878="""", F13878&lt;&gt;""""), ""真實收入"",
  TRUE, ""其他""
)"),"其他")</f>
        <v>其他</v>
      </c>
      <c r="K13878" s="270" t="str">
        <f t="shared" si="2"/>
        <v/>
      </c>
      <c r="L13878">
        <f t="shared" si="3"/>
        <v>0</v>
      </c>
    </row>
    <row r="13879">
      <c r="A13879" s="107"/>
      <c r="D13879" s="270"/>
      <c r="H13879" s="106" t="str">
        <f t="shared" si="1"/>
        <v/>
      </c>
      <c r="J13879" t="str">
        <f>IFERROR(__xludf.DUMMYFUNCTION("IFS(
  AND(REGEXMATCH(E13879, ""台銀籌備帳戶|玉山帳戶""), REGEXMATCH(C13879, ""薪資"")), ""分潤支出"",
  AND(REGEXMATCH(E13879, ""Ben帳戶|Elsa帳戶|Ben代墊|Ariel代墊|中信銀行共用""), REGEXMATCH(F13879, ""Ben帳戶|Elsa帳戶|Ben代墊|Ariel代墊|中信銀行共用"")), ""內部轉帳(忽略)"",
  AND(E13879&lt;&gt;"""", F13879&lt;&gt;"&amp;""""", NOT(REGEXMATCH(C13879, ""薪資""))), ""內部轉帳(忽略)"",
  REGEXMATCH(C13879, ""薪資""), ""薪資變動(不計入)"",
  REGEXMATCH(C13879, ""押金""), ""押金往來"",
  AND(E13879&lt;&gt;"""", F13879=""""), ""真實支出"",
  AND(E13879="""", F13879&lt;&gt;""""), ""真實收入"",
  TRUE, ""其他""
)"),"其他")</f>
        <v>其他</v>
      </c>
      <c r="K13879" s="270" t="str">
        <f t="shared" si="2"/>
        <v/>
      </c>
      <c r="L13879">
        <f t="shared" si="3"/>
        <v>0</v>
      </c>
    </row>
    <row r="13880">
      <c r="A13880" s="107"/>
      <c r="D13880" s="270"/>
      <c r="H13880" s="106" t="str">
        <f t="shared" si="1"/>
        <v/>
      </c>
      <c r="J13880" t="str">
        <f>IFERROR(__xludf.DUMMYFUNCTION("IFS(
  AND(REGEXMATCH(E13880, ""台銀籌備帳戶|玉山帳戶""), REGEXMATCH(C13880, ""薪資"")), ""分潤支出"",
  AND(REGEXMATCH(E13880, ""Ben帳戶|Elsa帳戶|Ben代墊|Ariel代墊|中信銀行共用""), REGEXMATCH(F13880, ""Ben帳戶|Elsa帳戶|Ben代墊|Ariel代墊|中信銀行共用"")), ""內部轉帳(忽略)"",
  AND(E13880&lt;&gt;"""", F13880&lt;&gt;"&amp;""""", NOT(REGEXMATCH(C13880, ""薪資""))), ""內部轉帳(忽略)"",
  REGEXMATCH(C13880, ""薪資""), ""薪資變動(不計入)"",
  REGEXMATCH(C13880, ""押金""), ""押金往來"",
  AND(E13880&lt;&gt;"""", F13880=""""), ""真實支出"",
  AND(E13880="""", F13880&lt;&gt;""""), ""真實收入"",
  TRUE, ""其他""
)"),"其他")</f>
        <v>其他</v>
      </c>
      <c r="K13880" s="270" t="str">
        <f t="shared" si="2"/>
        <v/>
      </c>
      <c r="L13880">
        <f t="shared" si="3"/>
        <v>0</v>
      </c>
    </row>
    <row r="13881">
      <c r="A13881" s="107"/>
      <c r="D13881" s="270"/>
      <c r="H13881" s="106" t="str">
        <f t="shared" si="1"/>
        <v/>
      </c>
      <c r="J13881" t="str">
        <f>IFERROR(__xludf.DUMMYFUNCTION("IFS(
  AND(REGEXMATCH(E13881, ""台銀籌備帳戶|玉山帳戶""), REGEXMATCH(C13881, ""薪資"")), ""分潤支出"",
  AND(REGEXMATCH(E13881, ""Ben帳戶|Elsa帳戶|Ben代墊|Ariel代墊|中信銀行共用""), REGEXMATCH(F13881, ""Ben帳戶|Elsa帳戶|Ben代墊|Ariel代墊|中信銀行共用"")), ""內部轉帳(忽略)"",
  AND(E13881&lt;&gt;"""", F13881&lt;&gt;"&amp;""""", NOT(REGEXMATCH(C13881, ""薪資""))), ""內部轉帳(忽略)"",
  REGEXMATCH(C13881, ""薪資""), ""薪資變動(不計入)"",
  REGEXMATCH(C13881, ""押金""), ""押金往來"",
  AND(E13881&lt;&gt;"""", F13881=""""), ""真實支出"",
  AND(E13881="""", F13881&lt;&gt;""""), ""真實收入"",
  TRUE, ""其他""
)"),"其他")</f>
        <v>其他</v>
      </c>
      <c r="K13881" s="270" t="str">
        <f t="shared" si="2"/>
        <v/>
      </c>
      <c r="L13881">
        <f t="shared" si="3"/>
        <v>0</v>
      </c>
    </row>
    <row r="13882">
      <c r="A13882" s="107"/>
      <c r="D13882" s="270"/>
      <c r="H13882" s="106" t="str">
        <f t="shared" si="1"/>
        <v/>
      </c>
      <c r="J13882" t="str">
        <f>IFERROR(__xludf.DUMMYFUNCTION("IFS(
  AND(REGEXMATCH(E13882, ""台銀籌備帳戶|玉山帳戶""), REGEXMATCH(C13882, ""薪資"")), ""分潤支出"",
  AND(REGEXMATCH(E13882, ""Ben帳戶|Elsa帳戶|Ben代墊|Ariel代墊|中信銀行共用""), REGEXMATCH(F13882, ""Ben帳戶|Elsa帳戶|Ben代墊|Ariel代墊|中信銀行共用"")), ""內部轉帳(忽略)"",
  AND(E13882&lt;&gt;"""", F13882&lt;&gt;"&amp;""""", NOT(REGEXMATCH(C13882, ""薪資""))), ""內部轉帳(忽略)"",
  REGEXMATCH(C13882, ""薪資""), ""薪資變動(不計入)"",
  REGEXMATCH(C13882, ""押金""), ""押金往來"",
  AND(E13882&lt;&gt;"""", F13882=""""), ""真實支出"",
  AND(E13882="""", F13882&lt;&gt;""""), ""真實收入"",
  TRUE, ""其他""
)"),"其他")</f>
        <v>其他</v>
      </c>
      <c r="K13882" s="270" t="str">
        <f t="shared" si="2"/>
        <v/>
      </c>
      <c r="L13882">
        <f t="shared" si="3"/>
        <v>0</v>
      </c>
    </row>
    <row r="13883">
      <c r="A13883" s="107"/>
      <c r="D13883" s="270"/>
      <c r="H13883" s="106" t="str">
        <f t="shared" si="1"/>
        <v/>
      </c>
      <c r="J13883" t="str">
        <f>IFERROR(__xludf.DUMMYFUNCTION("IFS(
  AND(REGEXMATCH(E13883, ""台銀籌備帳戶|玉山帳戶""), REGEXMATCH(C13883, ""薪資"")), ""分潤支出"",
  AND(REGEXMATCH(E13883, ""Ben帳戶|Elsa帳戶|Ben代墊|Ariel代墊|中信銀行共用""), REGEXMATCH(F13883, ""Ben帳戶|Elsa帳戶|Ben代墊|Ariel代墊|中信銀行共用"")), ""內部轉帳(忽略)"",
  AND(E13883&lt;&gt;"""", F13883&lt;&gt;"&amp;""""", NOT(REGEXMATCH(C13883, ""薪資""))), ""內部轉帳(忽略)"",
  REGEXMATCH(C13883, ""薪資""), ""薪資變動(不計入)"",
  REGEXMATCH(C13883, ""押金""), ""押金往來"",
  AND(E13883&lt;&gt;"""", F13883=""""), ""真實支出"",
  AND(E13883="""", F13883&lt;&gt;""""), ""真實收入"",
  TRUE, ""其他""
)"),"其他")</f>
        <v>其他</v>
      </c>
      <c r="K13883" s="270" t="str">
        <f t="shared" si="2"/>
        <v/>
      </c>
      <c r="L13883">
        <f t="shared" si="3"/>
        <v>0</v>
      </c>
    </row>
    <row r="13884">
      <c r="A13884" s="107"/>
      <c r="D13884" s="270"/>
      <c r="H13884" s="106" t="str">
        <f t="shared" si="1"/>
        <v/>
      </c>
      <c r="J13884" t="str">
        <f>IFERROR(__xludf.DUMMYFUNCTION("IFS(
  AND(REGEXMATCH(E13884, ""台銀籌備帳戶|玉山帳戶""), REGEXMATCH(C13884, ""薪資"")), ""分潤支出"",
  AND(REGEXMATCH(E13884, ""Ben帳戶|Elsa帳戶|Ben代墊|Ariel代墊|中信銀行共用""), REGEXMATCH(F13884, ""Ben帳戶|Elsa帳戶|Ben代墊|Ariel代墊|中信銀行共用"")), ""內部轉帳(忽略)"",
  AND(E13884&lt;&gt;"""", F13884&lt;&gt;"&amp;""""", NOT(REGEXMATCH(C13884, ""薪資""))), ""內部轉帳(忽略)"",
  REGEXMATCH(C13884, ""薪資""), ""薪資變動(不計入)"",
  REGEXMATCH(C13884, ""押金""), ""押金往來"",
  AND(E13884&lt;&gt;"""", F13884=""""), ""真實支出"",
  AND(E13884="""", F13884&lt;&gt;""""), ""真實收入"",
  TRUE, ""其他""
)"),"其他")</f>
        <v>其他</v>
      </c>
      <c r="K13884" s="270" t="str">
        <f t="shared" si="2"/>
        <v/>
      </c>
      <c r="L13884">
        <f t="shared" si="3"/>
        <v>0</v>
      </c>
    </row>
    <row r="13885">
      <c r="A13885" s="107"/>
      <c r="D13885" s="270"/>
      <c r="H13885" s="106" t="str">
        <f t="shared" si="1"/>
        <v/>
      </c>
      <c r="J13885" t="str">
        <f>IFERROR(__xludf.DUMMYFUNCTION("IFS(
  AND(REGEXMATCH(E13885, ""台銀籌備帳戶|玉山帳戶""), REGEXMATCH(C13885, ""薪資"")), ""分潤支出"",
  AND(REGEXMATCH(E13885, ""Ben帳戶|Elsa帳戶|Ben代墊|Ariel代墊|中信銀行共用""), REGEXMATCH(F13885, ""Ben帳戶|Elsa帳戶|Ben代墊|Ariel代墊|中信銀行共用"")), ""內部轉帳(忽略)"",
  AND(E13885&lt;&gt;"""", F13885&lt;&gt;"&amp;""""", NOT(REGEXMATCH(C13885, ""薪資""))), ""內部轉帳(忽略)"",
  REGEXMATCH(C13885, ""薪資""), ""薪資變動(不計入)"",
  REGEXMATCH(C13885, ""押金""), ""押金往來"",
  AND(E13885&lt;&gt;"""", F13885=""""), ""真實支出"",
  AND(E13885="""", F13885&lt;&gt;""""), ""真實收入"",
  TRUE, ""其他""
)"),"其他")</f>
        <v>其他</v>
      </c>
      <c r="K13885" s="270" t="str">
        <f t="shared" si="2"/>
        <v/>
      </c>
      <c r="L13885">
        <f t="shared" si="3"/>
        <v>0</v>
      </c>
    </row>
    <row r="13886">
      <c r="A13886" s="107"/>
      <c r="D13886" s="270"/>
      <c r="H13886" s="106" t="str">
        <f t="shared" si="1"/>
        <v/>
      </c>
      <c r="J13886" t="str">
        <f>IFERROR(__xludf.DUMMYFUNCTION("IFS(
  AND(REGEXMATCH(E13886, ""台銀籌備帳戶|玉山帳戶""), REGEXMATCH(C13886, ""薪資"")), ""分潤支出"",
  AND(REGEXMATCH(E13886, ""Ben帳戶|Elsa帳戶|Ben代墊|Ariel代墊|中信銀行共用""), REGEXMATCH(F13886, ""Ben帳戶|Elsa帳戶|Ben代墊|Ariel代墊|中信銀行共用"")), ""內部轉帳(忽略)"",
  AND(E13886&lt;&gt;"""", F13886&lt;&gt;"&amp;""""", NOT(REGEXMATCH(C13886, ""薪資""))), ""內部轉帳(忽略)"",
  REGEXMATCH(C13886, ""薪資""), ""薪資變動(不計入)"",
  REGEXMATCH(C13886, ""押金""), ""押金往來"",
  AND(E13886&lt;&gt;"""", F13886=""""), ""真實支出"",
  AND(E13886="""", F13886&lt;&gt;""""), ""真實收入"",
  TRUE, ""其他""
)"),"其他")</f>
        <v>其他</v>
      </c>
      <c r="K13886" s="270" t="str">
        <f t="shared" si="2"/>
        <v/>
      </c>
      <c r="L13886">
        <f t="shared" si="3"/>
        <v>0</v>
      </c>
    </row>
    <row r="13887">
      <c r="A13887" s="107"/>
      <c r="D13887" s="270"/>
      <c r="H13887" s="106" t="str">
        <f t="shared" si="1"/>
        <v/>
      </c>
      <c r="J13887" t="str">
        <f>IFERROR(__xludf.DUMMYFUNCTION("IFS(
  AND(REGEXMATCH(E13887, ""台銀籌備帳戶|玉山帳戶""), REGEXMATCH(C13887, ""薪資"")), ""分潤支出"",
  AND(REGEXMATCH(E13887, ""Ben帳戶|Elsa帳戶|Ben代墊|Ariel代墊|中信銀行共用""), REGEXMATCH(F13887, ""Ben帳戶|Elsa帳戶|Ben代墊|Ariel代墊|中信銀行共用"")), ""內部轉帳(忽略)"",
  AND(E13887&lt;&gt;"""", F13887&lt;&gt;"&amp;""""", NOT(REGEXMATCH(C13887, ""薪資""))), ""內部轉帳(忽略)"",
  REGEXMATCH(C13887, ""薪資""), ""薪資變動(不計入)"",
  REGEXMATCH(C13887, ""押金""), ""押金往來"",
  AND(E13887&lt;&gt;"""", F13887=""""), ""真實支出"",
  AND(E13887="""", F13887&lt;&gt;""""), ""真實收入"",
  TRUE, ""其他""
)"),"其他")</f>
        <v>其他</v>
      </c>
      <c r="K13887" s="270" t="str">
        <f t="shared" si="2"/>
        <v/>
      </c>
      <c r="L13887">
        <f t="shared" si="3"/>
        <v>0</v>
      </c>
    </row>
    <row r="13888">
      <c r="A13888" s="107"/>
      <c r="D13888" s="270"/>
      <c r="H13888" s="106" t="str">
        <f t="shared" si="1"/>
        <v/>
      </c>
      <c r="J13888" t="str">
        <f>IFERROR(__xludf.DUMMYFUNCTION("IFS(
  AND(REGEXMATCH(E13888, ""台銀籌備帳戶|玉山帳戶""), REGEXMATCH(C13888, ""薪資"")), ""分潤支出"",
  AND(REGEXMATCH(E13888, ""Ben帳戶|Elsa帳戶|Ben代墊|Ariel代墊|中信銀行共用""), REGEXMATCH(F13888, ""Ben帳戶|Elsa帳戶|Ben代墊|Ariel代墊|中信銀行共用"")), ""內部轉帳(忽略)"",
  AND(E13888&lt;&gt;"""", F13888&lt;&gt;"&amp;""""", NOT(REGEXMATCH(C13888, ""薪資""))), ""內部轉帳(忽略)"",
  REGEXMATCH(C13888, ""薪資""), ""薪資變動(不計入)"",
  REGEXMATCH(C13888, ""押金""), ""押金往來"",
  AND(E13888&lt;&gt;"""", F13888=""""), ""真實支出"",
  AND(E13888="""", F13888&lt;&gt;""""), ""真實收入"",
  TRUE, ""其他""
)"),"其他")</f>
        <v>其他</v>
      </c>
      <c r="K13888" s="270" t="str">
        <f t="shared" si="2"/>
        <v/>
      </c>
      <c r="L13888">
        <f t="shared" si="3"/>
        <v>0</v>
      </c>
    </row>
    <row r="13889">
      <c r="A13889" s="107"/>
      <c r="D13889" s="270"/>
      <c r="H13889" s="106" t="str">
        <f t="shared" si="1"/>
        <v/>
      </c>
      <c r="J13889" t="str">
        <f>IFERROR(__xludf.DUMMYFUNCTION("IFS(
  AND(REGEXMATCH(E13889, ""台銀籌備帳戶|玉山帳戶""), REGEXMATCH(C13889, ""薪資"")), ""分潤支出"",
  AND(REGEXMATCH(E13889, ""Ben帳戶|Elsa帳戶|Ben代墊|Ariel代墊|中信銀行共用""), REGEXMATCH(F13889, ""Ben帳戶|Elsa帳戶|Ben代墊|Ariel代墊|中信銀行共用"")), ""內部轉帳(忽略)"",
  AND(E13889&lt;&gt;"""", F13889&lt;&gt;"&amp;""""", NOT(REGEXMATCH(C13889, ""薪資""))), ""內部轉帳(忽略)"",
  REGEXMATCH(C13889, ""薪資""), ""薪資變動(不計入)"",
  REGEXMATCH(C13889, ""押金""), ""押金往來"",
  AND(E13889&lt;&gt;"""", F13889=""""), ""真實支出"",
  AND(E13889="""", F13889&lt;&gt;""""), ""真實收入"",
  TRUE, ""其他""
)"),"其他")</f>
        <v>其他</v>
      </c>
      <c r="K13889" s="270" t="str">
        <f t="shared" si="2"/>
        <v/>
      </c>
      <c r="L13889">
        <f t="shared" si="3"/>
        <v>0</v>
      </c>
    </row>
    <row r="13890">
      <c r="A13890" s="107"/>
      <c r="D13890" s="270"/>
      <c r="H13890" s="106" t="str">
        <f t="shared" si="1"/>
        <v/>
      </c>
      <c r="J13890" t="str">
        <f>IFERROR(__xludf.DUMMYFUNCTION("IFS(
  AND(REGEXMATCH(E13890, ""台銀籌備帳戶|玉山帳戶""), REGEXMATCH(C13890, ""薪資"")), ""分潤支出"",
  AND(REGEXMATCH(E13890, ""Ben帳戶|Elsa帳戶|Ben代墊|Ariel代墊|中信銀行共用""), REGEXMATCH(F13890, ""Ben帳戶|Elsa帳戶|Ben代墊|Ariel代墊|中信銀行共用"")), ""內部轉帳(忽略)"",
  AND(E13890&lt;&gt;"""", F13890&lt;&gt;"&amp;""""", NOT(REGEXMATCH(C13890, ""薪資""))), ""內部轉帳(忽略)"",
  REGEXMATCH(C13890, ""薪資""), ""薪資變動(不計入)"",
  REGEXMATCH(C13890, ""押金""), ""押金往來"",
  AND(E13890&lt;&gt;"""", F13890=""""), ""真實支出"",
  AND(E13890="""", F13890&lt;&gt;""""), ""真實收入"",
  TRUE, ""其他""
)"),"其他")</f>
        <v>其他</v>
      </c>
      <c r="K13890" s="270" t="str">
        <f t="shared" si="2"/>
        <v/>
      </c>
      <c r="L13890">
        <f t="shared" si="3"/>
        <v>0</v>
      </c>
    </row>
    <row r="13891">
      <c r="A13891" s="107"/>
      <c r="D13891" s="270"/>
      <c r="H13891" s="106" t="str">
        <f t="shared" si="1"/>
        <v/>
      </c>
      <c r="J13891" t="str">
        <f>IFERROR(__xludf.DUMMYFUNCTION("IFS(
  AND(REGEXMATCH(E13891, ""台銀籌備帳戶|玉山帳戶""), REGEXMATCH(C13891, ""薪資"")), ""分潤支出"",
  AND(REGEXMATCH(E13891, ""Ben帳戶|Elsa帳戶|Ben代墊|Ariel代墊|中信銀行共用""), REGEXMATCH(F13891, ""Ben帳戶|Elsa帳戶|Ben代墊|Ariel代墊|中信銀行共用"")), ""內部轉帳(忽略)"",
  AND(E13891&lt;&gt;"""", F13891&lt;&gt;"&amp;""""", NOT(REGEXMATCH(C13891, ""薪資""))), ""內部轉帳(忽略)"",
  REGEXMATCH(C13891, ""薪資""), ""薪資變動(不計入)"",
  REGEXMATCH(C13891, ""押金""), ""押金往來"",
  AND(E13891&lt;&gt;"""", F13891=""""), ""真實支出"",
  AND(E13891="""", F13891&lt;&gt;""""), ""真實收入"",
  TRUE, ""其他""
)"),"其他")</f>
        <v>其他</v>
      </c>
      <c r="K13891" s="270" t="str">
        <f t="shared" si="2"/>
        <v/>
      </c>
      <c r="L13891">
        <f t="shared" si="3"/>
        <v>0</v>
      </c>
    </row>
    <row r="13892">
      <c r="A13892" s="107"/>
      <c r="D13892" s="270"/>
      <c r="H13892" s="106" t="str">
        <f t="shared" si="1"/>
        <v/>
      </c>
      <c r="J13892" t="str">
        <f>IFERROR(__xludf.DUMMYFUNCTION("IFS(
  AND(REGEXMATCH(E13892, ""台銀籌備帳戶|玉山帳戶""), REGEXMATCH(C13892, ""薪資"")), ""分潤支出"",
  AND(REGEXMATCH(E13892, ""Ben帳戶|Elsa帳戶|Ben代墊|Ariel代墊|中信銀行共用""), REGEXMATCH(F13892, ""Ben帳戶|Elsa帳戶|Ben代墊|Ariel代墊|中信銀行共用"")), ""內部轉帳(忽略)"",
  AND(E13892&lt;&gt;"""", F13892&lt;&gt;"&amp;""""", NOT(REGEXMATCH(C13892, ""薪資""))), ""內部轉帳(忽略)"",
  REGEXMATCH(C13892, ""薪資""), ""薪資變動(不計入)"",
  REGEXMATCH(C13892, ""押金""), ""押金往來"",
  AND(E13892&lt;&gt;"""", F13892=""""), ""真實支出"",
  AND(E13892="""", F13892&lt;&gt;""""), ""真實收入"",
  TRUE, ""其他""
)"),"其他")</f>
        <v>其他</v>
      </c>
      <c r="K13892" s="270" t="str">
        <f t="shared" si="2"/>
        <v/>
      </c>
      <c r="L13892">
        <f t="shared" si="3"/>
        <v>0</v>
      </c>
    </row>
    <row r="13893">
      <c r="A13893" s="107"/>
      <c r="D13893" s="270"/>
      <c r="H13893" s="106" t="str">
        <f t="shared" si="1"/>
        <v/>
      </c>
      <c r="J13893" t="str">
        <f>IFERROR(__xludf.DUMMYFUNCTION("IFS(
  AND(REGEXMATCH(E13893, ""台銀籌備帳戶|玉山帳戶""), REGEXMATCH(C13893, ""薪資"")), ""分潤支出"",
  AND(REGEXMATCH(E13893, ""Ben帳戶|Elsa帳戶|Ben代墊|Ariel代墊|中信銀行共用""), REGEXMATCH(F13893, ""Ben帳戶|Elsa帳戶|Ben代墊|Ariel代墊|中信銀行共用"")), ""內部轉帳(忽略)"",
  AND(E13893&lt;&gt;"""", F13893&lt;&gt;"&amp;""""", NOT(REGEXMATCH(C13893, ""薪資""))), ""內部轉帳(忽略)"",
  REGEXMATCH(C13893, ""薪資""), ""薪資變動(不計入)"",
  REGEXMATCH(C13893, ""押金""), ""押金往來"",
  AND(E13893&lt;&gt;"""", F13893=""""), ""真實支出"",
  AND(E13893="""", F13893&lt;&gt;""""), ""真實收入"",
  TRUE, ""其他""
)"),"其他")</f>
        <v>其他</v>
      </c>
      <c r="K13893" s="270" t="str">
        <f t="shared" si="2"/>
        <v/>
      </c>
      <c r="L13893">
        <f t="shared" si="3"/>
        <v>0</v>
      </c>
    </row>
    <row r="13894">
      <c r="A13894" s="107"/>
      <c r="D13894" s="270"/>
      <c r="H13894" s="106" t="str">
        <f t="shared" si="1"/>
        <v/>
      </c>
      <c r="J13894" t="str">
        <f>IFERROR(__xludf.DUMMYFUNCTION("IFS(
  AND(REGEXMATCH(E13894, ""台銀籌備帳戶|玉山帳戶""), REGEXMATCH(C13894, ""薪資"")), ""分潤支出"",
  AND(REGEXMATCH(E13894, ""Ben帳戶|Elsa帳戶|Ben代墊|Ariel代墊|中信銀行共用""), REGEXMATCH(F13894, ""Ben帳戶|Elsa帳戶|Ben代墊|Ariel代墊|中信銀行共用"")), ""內部轉帳(忽略)"",
  AND(E13894&lt;&gt;"""", F13894&lt;&gt;"&amp;""""", NOT(REGEXMATCH(C13894, ""薪資""))), ""內部轉帳(忽略)"",
  REGEXMATCH(C13894, ""薪資""), ""薪資變動(不計入)"",
  REGEXMATCH(C13894, ""押金""), ""押金往來"",
  AND(E13894&lt;&gt;"""", F13894=""""), ""真實支出"",
  AND(E13894="""", F13894&lt;&gt;""""), ""真實收入"",
  TRUE, ""其他""
)"),"其他")</f>
        <v>其他</v>
      </c>
      <c r="K13894" s="270" t="str">
        <f t="shared" si="2"/>
        <v/>
      </c>
      <c r="L13894">
        <f t="shared" si="3"/>
        <v>0</v>
      </c>
    </row>
    <row r="13895">
      <c r="A13895" s="107"/>
      <c r="D13895" s="270"/>
      <c r="H13895" s="106" t="str">
        <f t="shared" si="1"/>
        <v/>
      </c>
      <c r="J13895" t="str">
        <f>IFERROR(__xludf.DUMMYFUNCTION("IFS(
  AND(REGEXMATCH(E13895, ""台銀籌備帳戶|玉山帳戶""), REGEXMATCH(C13895, ""薪資"")), ""分潤支出"",
  AND(REGEXMATCH(E13895, ""Ben帳戶|Elsa帳戶|Ben代墊|Ariel代墊|中信銀行共用""), REGEXMATCH(F13895, ""Ben帳戶|Elsa帳戶|Ben代墊|Ariel代墊|中信銀行共用"")), ""內部轉帳(忽略)"",
  AND(E13895&lt;&gt;"""", F13895&lt;&gt;"&amp;""""", NOT(REGEXMATCH(C13895, ""薪資""))), ""內部轉帳(忽略)"",
  REGEXMATCH(C13895, ""薪資""), ""薪資變動(不計入)"",
  REGEXMATCH(C13895, ""押金""), ""押金往來"",
  AND(E13895&lt;&gt;"""", F13895=""""), ""真實支出"",
  AND(E13895="""", F13895&lt;&gt;""""), ""真實收入"",
  TRUE, ""其他""
)"),"其他")</f>
        <v>其他</v>
      </c>
      <c r="K13895" s="270" t="str">
        <f t="shared" si="2"/>
        <v/>
      </c>
      <c r="L13895">
        <f t="shared" si="3"/>
        <v>0</v>
      </c>
    </row>
    <row r="13896">
      <c r="A13896" s="107"/>
      <c r="D13896" s="270"/>
      <c r="H13896" s="106" t="str">
        <f t="shared" si="1"/>
        <v/>
      </c>
      <c r="J13896" t="str">
        <f>IFERROR(__xludf.DUMMYFUNCTION("IFS(
  AND(REGEXMATCH(E13896, ""台銀籌備帳戶|玉山帳戶""), REGEXMATCH(C13896, ""薪資"")), ""分潤支出"",
  AND(REGEXMATCH(E13896, ""Ben帳戶|Elsa帳戶|Ben代墊|Ariel代墊|中信銀行共用""), REGEXMATCH(F13896, ""Ben帳戶|Elsa帳戶|Ben代墊|Ariel代墊|中信銀行共用"")), ""內部轉帳(忽略)"",
  AND(E13896&lt;&gt;"""", F13896&lt;&gt;"&amp;""""", NOT(REGEXMATCH(C13896, ""薪資""))), ""內部轉帳(忽略)"",
  REGEXMATCH(C13896, ""薪資""), ""薪資變動(不計入)"",
  REGEXMATCH(C13896, ""押金""), ""押金往來"",
  AND(E13896&lt;&gt;"""", F13896=""""), ""真實支出"",
  AND(E13896="""", F13896&lt;&gt;""""), ""真實收入"",
  TRUE, ""其他""
)"),"其他")</f>
        <v>其他</v>
      </c>
      <c r="K13896" s="270" t="str">
        <f t="shared" si="2"/>
        <v/>
      </c>
      <c r="L13896">
        <f t="shared" si="3"/>
        <v>0</v>
      </c>
    </row>
    <row r="13897">
      <c r="A13897" s="107"/>
      <c r="D13897" s="270"/>
      <c r="H13897" s="106" t="str">
        <f t="shared" si="1"/>
        <v/>
      </c>
      <c r="J13897" t="str">
        <f>IFERROR(__xludf.DUMMYFUNCTION("IFS(
  AND(REGEXMATCH(E13897, ""台銀籌備帳戶|玉山帳戶""), REGEXMATCH(C13897, ""薪資"")), ""分潤支出"",
  AND(REGEXMATCH(E13897, ""Ben帳戶|Elsa帳戶|Ben代墊|Ariel代墊|中信銀行共用""), REGEXMATCH(F13897, ""Ben帳戶|Elsa帳戶|Ben代墊|Ariel代墊|中信銀行共用"")), ""內部轉帳(忽略)"",
  AND(E13897&lt;&gt;"""", F13897&lt;&gt;"&amp;""""", NOT(REGEXMATCH(C13897, ""薪資""))), ""內部轉帳(忽略)"",
  REGEXMATCH(C13897, ""薪資""), ""薪資變動(不計入)"",
  REGEXMATCH(C13897, ""押金""), ""押金往來"",
  AND(E13897&lt;&gt;"""", F13897=""""), ""真實支出"",
  AND(E13897="""", F13897&lt;&gt;""""), ""真實收入"",
  TRUE, ""其他""
)"),"其他")</f>
        <v>其他</v>
      </c>
      <c r="K13897" s="270" t="str">
        <f t="shared" si="2"/>
        <v/>
      </c>
      <c r="L13897">
        <f t="shared" si="3"/>
        <v>0</v>
      </c>
    </row>
    <row r="13898">
      <c r="A13898" s="107"/>
      <c r="D13898" s="270"/>
      <c r="H13898" s="106" t="str">
        <f t="shared" si="1"/>
        <v/>
      </c>
      <c r="J13898" t="str">
        <f>IFERROR(__xludf.DUMMYFUNCTION("IFS(
  AND(REGEXMATCH(E13898, ""台銀籌備帳戶|玉山帳戶""), REGEXMATCH(C13898, ""薪資"")), ""分潤支出"",
  AND(REGEXMATCH(E13898, ""Ben帳戶|Elsa帳戶|Ben代墊|Ariel代墊|中信銀行共用""), REGEXMATCH(F13898, ""Ben帳戶|Elsa帳戶|Ben代墊|Ariel代墊|中信銀行共用"")), ""內部轉帳(忽略)"",
  AND(E13898&lt;&gt;"""", F13898&lt;&gt;"&amp;""""", NOT(REGEXMATCH(C13898, ""薪資""))), ""內部轉帳(忽略)"",
  REGEXMATCH(C13898, ""薪資""), ""薪資變動(不計入)"",
  REGEXMATCH(C13898, ""押金""), ""押金往來"",
  AND(E13898&lt;&gt;"""", F13898=""""), ""真實支出"",
  AND(E13898="""", F13898&lt;&gt;""""), ""真實收入"",
  TRUE, ""其他""
)"),"其他")</f>
        <v>其他</v>
      </c>
      <c r="K13898" s="270" t="str">
        <f t="shared" si="2"/>
        <v/>
      </c>
      <c r="L13898">
        <f t="shared" si="3"/>
        <v>0</v>
      </c>
    </row>
    <row r="13899">
      <c r="A13899" s="107"/>
      <c r="D13899" s="270"/>
      <c r="H13899" s="106" t="str">
        <f t="shared" si="1"/>
        <v/>
      </c>
      <c r="J13899" t="str">
        <f>IFERROR(__xludf.DUMMYFUNCTION("IFS(
  AND(REGEXMATCH(E13899, ""台銀籌備帳戶|玉山帳戶""), REGEXMATCH(C13899, ""薪資"")), ""分潤支出"",
  AND(REGEXMATCH(E13899, ""Ben帳戶|Elsa帳戶|Ben代墊|Ariel代墊|中信銀行共用""), REGEXMATCH(F13899, ""Ben帳戶|Elsa帳戶|Ben代墊|Ariel代墊|中信銀行共用"")), ""內部轉帳(忽略)"",
  AND(E13899&lt;&gt;"""", F13899&lt;&gt;"&amp;""""", NOT(REGEXMATCH(C13899, ""薪資""))), ""內部轉帳(忽略)"",
  REGEXMATCH(C13899, ""薪資""), ""薪資變動(不計入)"",
  REGEXMATCH(C13899, ""押金""), ""押金往來"",
  AND(E13899&lt;&gt;"""", F13899=""""), ""真實支出"",
  AND(E13899="""", F13899&lt;&gt;""""), ""真實收入"",
  TRUE, ""其他""
)"),"其他")</f>
        <v>其他</v>
      </c>
      <c r="K13899" s="270" t="str">
        <f t="shared" si="2"/>
        <v/>
      </c>
      <c r="L13899">
        <f t="shared" si="3"/>
        <v>0</v>
      </c>
    </row>
    <row r="13900">
      <c r="A13900" s="107"/>
      <c r="D13900" s="270"/>
      <c r="H13900" s="106" t="str">
        <f t="shared" si="1"/>
        <v/>
      </c>
      <c r="J13900" t="str">
        <f>IFERROR(__xludf.DUMMYFUNCTION("IFS(
  AND(REGEXMATCH(E13900, ""台銀籌備帳戶|玉山帳戶""), REGEXMATCH(C13900, ""薪資"")), ""分潤支出"",
  AND(REGEXMATCH(E13900, ""Ben帳戶|Elsa帳戶|Ben代墊|Ariel代墊|中信銀行共用""), REGEXMATCH(F13900, ""Ben帳戶|Elsa帳戶|Ben代墊|Ariel代墊|中信銀行共用"")), ""內部轉帳(忽略)"",
  AND(E13900&lt;&gt;"""", F13900&lt;&gt;"&amp;""""", NOT(REGEXMATCH(C13900, ""薪資""))), ""內部轉帳(忽略)"",
  REGEXMATCH(C13900, ""薪資""), ""薪資變動(不計入)"",
  REGEXMATCH(C13900, ""押金""), ""押金往來"",
  AND(E13900&lt;&gt;"""", F13900=""""), ""真實支出"",
  AND(E13900="""", F13900&lt;&gt;""""), ""真實收入"",
  TRUE, ""其他""
)"),"其他")</f>
        <v>其他</v>
      </c>
      <c r="K13900" s="270" t="str">
        <f t="shared" si="2"/>
        <v/>
      </c>
      <c r="L13900">
        <f t="shared" si="3"/>
        <v>0</v>
      </c>
    </row>
    <row r="13901">
      <c r="A13901" s="107"/>
      <c r="D13901" s="270"/>
      <c r="H13901" s="106" t="str">
        <f t="shared" si="1"/>
        <v/>
      </c>
      <c r="J13901" t="str">
        <f>IFERROR(__xludf.DUMMYFUNCTION("IFS(
  AND(REGEXMATCH(E13901, ""台銀籌備帳戶|玉山帳戶""), REGEXMATCH(C13901, ""薪資"")), ""分潤支出"",
  AND(REGEXMATCH(E13901, ""Ben帳戶|Elsa帳戶|Ben代墊|Ariel代墊|中信銀行共用""), REGEXMATCH(F13901, ""Ben帳戶|Elsa帳戶|Ben代墊|Ariel代墊|中信銀行共用"")), ""內部轉帳(忽略)"",
  AND(E13901&lt;&gt;"""", F13901&lt;&gt;"&amp;""""", NOT(REGEXMATCH(C13901, ""薪資""))), ""內部轉帳(忽略)"",
  REGEXMATCH(C13901, ""薪資""), ""薪資變動(不計入)"",
  REGEXMATCH(C13901, ""押金""), ""押金往來"",
  AND(E13901&lt;&gt;"""", F13901=""""), ""真實支出"",
  AND(E13901="""", F13901&lt;&gt;""""), ""真實收入"",
  TRUE, ""其他""
)"),"其他")</f>
        <v>其他</v>
      </c>
      <c r="K13901" s="270" t="str">
        <f t="shared" si="2"/>
        <v/>
      </c>
      <c r="L13901">
        <f t="shared" si="3"/>
        <v>0</v>
      </c>
    </row>
    <row r="13902">
      <c r="A13902" s="107"/>
      <c r="D13902" s="270"/>
      <c r="H13902" s="106" t="str">
        <f t="shared" si="1"/>
        <v/>
      </c>
      <c r="J13902" t="str">
        <f>IFERROR(__xludf.DUMMYFUNCTION("IFS(
  AND(REGEXMATCH(E13902, ""台銀籌備帳戶|玉山帳戶""), REGEXMATCH(C13902, ""薪資"")), ""分潤支出"",
  AND(REGEXMATCH(E13902, ""Ben帳戶|Elsa帳戶|Ben代墊|Ariel代墊|中信銀行共用""), REGEXMATCH(F13902, ""Ben帳戶|Elsa帳戶|Ben代墊|Ariel代墊|中信銀行共用"")), ""內部轉帳(忽略)"",
  AND(E13902&lt;&gt;"""", F13902&lt;&gt;"&amp;""""", NOT(REGEXMATCH(C13902, ""薪資""))), ""內部轉帳(忽略)"",
  REGEXMATCH(C13902, ""薪資""), ""薪資變動(不計入)"",
  REGEXMATCH(C13902, ""押金""), ""押金往來"",
  AND(E13902&lt;&gt;"""", F13902=""""), ""真實支出"",
  AND(E13902="""", F13902&lt;&gt;""""), ""真實收入"",
  TRUE, ""其他""
)"),"其他")</f>
        <v>其他</v>
      </c>
      <c r="K13902" s="270" t="str">
        <f t="shared" si="2"/>
        <v/>
      </c>
      <c r="L13902">
        <f t="shared" si="3"/>
        <v>0</v>
      </c>
    </row>
    <row r="13903">
      <c r="A13903" s="107"/>
      <c r="D13903" s="270"/>
      <c r="H13903" s="106" t="str">
        <f t="shared" si="1"/>
        <v/>
      </c>
      <c r="J13903" t="str">
        <f>IFERROR(__xludf.DUMMYFUNCTION("IFS(
  AND(REGEXMATCH(E13903, ""台銀籌備帳戶|玉山帳戶""), REGEXMATCH(C13903, ""薪資"")), ""分潤支出"",
  AND(REGEXMATCH(E13903, ""Ben帳戶|Elsa帳戶|Ben代墊|Ariel代墊|中信銀行共用""), REGEXMATCH(F13903, ""Ben帳戶|Elsa帳戶|Ben代墊|Ariel代墊|中信銀行共用"")), ""內部轉帳(忽略)"",
  AND(E13903&lt;&gt;"""", F13903&lt;&gt;"&amp;""""", NOT(REGEXMATCH(C13903, ""薪資""))), ""內部轉帳(忽略)"",
  REGEXMATCH(C13903, ""薪資""), ""薪資變動(不計入)"",
  REGEXMATCH(C13903, ""押金""), ""押金往來"",
  AND(E13903&lt;&gt;"""", F13903=""""), ""真實支出"",
  AND(E13903="""", F13903&lt;&gt;""""), ""真實收入"",
  TRUE, ""其他""
)"),"其他")</f>
        <v>其他</v>
      </c>
      <c r="K13903" s="270" t="str">
        <f t="shared" si="2"/>
        <v/>
      </c>
      <c r="L13903">
        <f t="shared" si="3"/>
        <v>0</v>
      </c>
    </row>
    <row r="13904">
      <c r="A13904" s="107"/>
      <c r="D13904" s="270"/>
      <c r="H13904" s="106" t="str">
        <f t="shared" si="1"/>
        <v/>
      </c>
      <c r="J13904" t="str">
        <f>IFERROR(__xludf.DUMMYFUNCTION("IFS(
  AND(REGEXMATCH(E13904, ""台銀籌備帳戶|玉山帳戶""), REGEXMATCH(C13904, ""薪資"")), ""分潤支出"",
  AND(REGEXMATCH(E13904, ""Ben帳戶|Elsa帳戶|Ben代墊|Ariel代墊|中信銀行共用""), REGEXMATCH(F13904, ""Ben帳戶|Elsa帳戶|Ben代墊|Ariel代墊|中信銀行共用"")), ""內部轉帳(忽略)"",
  AND(E13904&lt;&gt;"""", F13904&lt;&gt;"&amp;""""", NOT(REGEXMATCH(C13904, ""薪資""))), ""內部轉帳(忽略)"",
  REGEXMATCH(C13904, ""薪資""), ""薪資變動(不計入)"",
  REGEXMATCH(C13904, ""押金""), ""押金往來"",
  AND(E13904&lt;&gt;"""", F13904=""""), ""真實支出"",
  AND(E13904="""", F13904&lt;&gt;""""), ""真實收入"",
  TRUE, ""其他""
)"),"其他")</f>
        <v>其他</v>
      </c>
      <c r="K13904" s="270" t="str">
        <f t="shared" si="2"/>
        <v/>
      </c>
      <c r="L13904">
        <f t="shared" si="3"/>
        <v>0</v>
      </c>
    </row>
    <row r="13905">
      <c r="A13905" s="107"/>
      <c r="D13905" s="270"/>
      <c r="H13905" s="106" t="str">
        <f t="shared" si="1"/>
        <v/>
      </c>
      <c r="J13905" t="str">
        <f>IFERROR(__xludf.DUMMYFUNCTION("IFS(
  AND(REGEXMATCH(E13905, ""台銀籌備帳戶|玉山帳戶""), REGEXMATCH(C13905, ""薪資"")), ""分潤支出"",
  AND(REGEXMATCH(E13905, ""Ben帳戶|Elsa帳戶|Ben代墊|Ariel代墊|中信銀行共用""), REGEXMATCH(F13905, ""Ben帳戶|Elsa帳戶|Ben代墊|Ariel代墊|中信銀行共用"")), ""內部轉帳(忽略)"",
  AND(E13905&lt;&gt;"""", F13905&lt;&gt;"&amp;""""", NOT(REGEXMATCH(C13905, ""薪資""))), ""內部轉帳(忽略)"",
  REGEXMATCH(C13905, ""薪資""), ""薪資變動(不計入)"",
  REGEXMATCH(C13905, ""押金""), ""押金往來"",
  AND(E13905&lt;&gt;"""", F13905=""""), ""真實支出"",
  AND(E13905="""", F13905&lt;&gt;""""), ""真實收入"",
  TRUE, ""其他""
)"),"其他")</f>
        <v>其他</v>
      </c>
      <c r="K13905" s="270" t="str">
        <f t="shared" si="2"/>
        <v/>
      </c>
      <c r="L13905">
        <f t="shared" si="3"/>
        <v>0</v>
      </c>
    </row>
    <row r="13906">
      <c r="A13906" s="107"/>
      <c r="D13906" s="270"/>
      <c r="H13906" s="106" t="str">
        <f t="shared" si="1"/>
        <v/>
      </c>
      <c r="J13906" t="str">
        <f>IFERROR(__xludf.DUMMYFUNCTION("IFS(
  AND(REGEXMATCH(E13906, ""台銀籌備帳戶|玉山帳戶""), REGEXMATCH(C13906, ""薪資"")), ""分潤支出"",
  AND(REGEXMATCH(E13906, ""Ben帳戶|Elsa帳戶|Ben代墊|Ariel代墊|中信銀行共用""), REGEXMATCH(F13906, ""Ben帳戶|Elsa帳戶|Ben代墊|Ariel代墊|中信銀行共用"")), ""內部轉帳(忽略)"",
  AND(E13906&lt;&gt;"""", F13906&lt;&gt;"&amp;""""", NOT(REGEXMATCH(C13906, ""薪資""))), ""內部轉帳(忽略)"",
  REGEXMATCH(C13906, ""薪資""), ""薪資變動(不計入)"",
  REGEXMATCH(C13906, ""押金""), ""押金往來"",
  AND(E13906&lt;&gt;"""", F13906=""""), ""真實支出"",
  AND(E13906="""", F13906&lt;&gt;""""), ""真實收入"",
  TRUE, ""其他""
)"),"其他")</f>
        <v>其他</v>
      </c>
      <c r="K13906" s="270" t="str">
        <f t="shared" si="2"/>
        <v/>
      </c>
      <c r="L13906">
        <f t="shared" si="3"/>
        <v>0</v>
      </c>
    </row>
    <row r="13907">
      <c r="A13907" s="107"/>
      <c r="D13907" s="270"/>
      <c r="H13907" s="106" t="str">
        <f t="shared" si="1"/>
        <v/>
      </c>
      <c r="J13907" t="str">
        <f>IFERROR(__xludf.DUMMYFUNCTION("IFS(
  AND(REGEXMATCH(E13907, ""台銀籌備帳戶|玉山帳戶""), REGEXMATCH(C13907, ""薪資"")), ""分潤支出"",
  AND(REGEXMATCH(E13907, ""Ben帳戶|Elsa帳戶|Ben代墊|Ariel代墊|中信銀行共用""), REGEXMATCH(F13907, ""Ben帳戶|Elsa帳戶|Ben代墊|Ariel代墊|中信銀行共用"")), ""內部轉帳(忽略)"",
  AND(E13907&lt;&gt;"""", F13907&lt;&gt;"&amp;""""", NOT(REGEXMATCH(C13907, ""薪資""))), ""內部轉帳(忽略)"",
  REGEXMATCH(C13907, ""薪資""), ""薪資變動(不計入)"",
  REGEXMATCH(C13907, ""押金""), ""押金往來"",
  AND(E13907&lt;&gt;"""", F13907=""""), ""真實支出"",
  AND(E13907="""", F13907&lt;&gt;""""), ""真實收入"",
  TRUE, ""其他""
)"),"其他")</f>
        <v>其他</v>
      </c>
      <c r="K13907" s="270" t="str">
        <f t="shared" si="2"/>
        <v/>
      </c>
      <c r="L13907">
        <f t="shared" si="3"/>
        <v>0</v>
      </c>
    </row>
    <row r="13908">
      <c r="A13908" s="107"/>
      <c r="D13908" s="270"/>
      <c r="H13908" s="106" t="str">
        <f t="shared" si="1"/>
        <v/>
      </c>
      <c r="J13908" t="str">
        <f>IFERROR(__xludf.DUMMYFUNCTION("IFS(
  AND(REGEXMATCH(E13908, ""台銀籌備帳戶|玉山帳戶""), REGEXMATCH(C13908, ""薪資"")), ""分潤支出"",
  AND(REGEXMATCH(E13908, ""Ben帳戶|Elsa帳戶|Ben代墊|Ariel代墊|中信銀行共用""), REGEXMATCH(F13908, ""Ben帳戶|Elsa帳戶|Ben代墊|Ariel代墊|中信銀行共用"")), ""內部轉帳(忽略)"",
  AND(E13908&lt;&gt;"""", F13908&lt;&gt;"&amp;""""", NOT(REGEXMATCH(C13908, ""薪資""))), ""內部轉帳(忽略)"",
  REGEXMATCH(C13908, ""薪資""), ""薪資變動(不計入)"",
  REGEXMATCH(C13908, ""押金""), ""押金往來"",
  AND(E13908&lt;&gt;"""", F13908=""""), ""真實支出"",
  AND(E13908="""", F13908&lt;&gt;""""), ""真實收入"",
  TRUE, ""其他""
)"),"其他")</f>
        <v>其他</v>
      </c>
      <c r="K13908" s="270" t="str">
        <f t="shared" si="2"/>
        <v/>
      </c>
      <c r="L13908">
        <f t="shared" si="3"/>
        <v>0</v>
      </c>
    </row>
    <row r="13909">
      <c r="A13909" s="107"/>
      <c r="D13909" s="270"/>
      <c r="H13909" s="106" t="str">
        <f t="shared" si="1"/>
        <v/>
      </c>
      <c r="J13909" t="str">
        <f>IFERROR(__xludf.DUMMYFUNCTION("IFS(
  AND(REGEXMATCH(E13909, ""台銀籌備帳戶|玉山帳戶""), REGEXMATCH(C13909, ""薪資"")), ""分潤支出"",
  AND(REGEXMATCH(E13909, ""Ben帳戶|Elsa帳戶|Ben代墊|Ariel代墊|中信銀行共用""), REGEXMATCH(F13909, ""Ben帳戶|Elsa帳戶|Ben代墊|Ariel代墊|中信銀行共用"")), ""內部轉帳(忽略)"",
  AND(E13909&lt;&gt;"""", F13909&lt;&gt;"&amp;""""", NOT(REGEXMATCH(C13909, ""薪資""))), ""內部轉帳(忽略)"",
  REGEXMATCH(C13909, ""薪資""), ""薪資變動(不計入)"",
  REGEXMATCH(C13909, ""押金""), ""押金往來"",
  AND(E13909&lt;&gt;"""", F13909=""""), ""真實支出"",
  AND(E13909="""", F13909&lt;&gt;""""), ""真實收入"",
  TRUE, ""其他""
)"),"其他")</f>
        <v>其他</v>
      </c>
      <c r="K13909" s="270" t="str">
        <f t="shared" si="2"/>
        <v/>
      </c>
      <c r="L13909">
        <f t="shared" si="3"/>
        <v>0</v>
      </c>
    </row>
    <row r="13910">
      <c r="A13910" s="107"/>
      <c r="D13910" s="270"/>
      <c r="H13910" s="106" t="str">
        <f t="shared" si="1"/>
        <v/>
      </c>
      <c r="J13910" t="str">
        <f>IFERROR(__xludf.DUMMYFUNCTION("IFS(
  AND(REGEXMATCH(E13910, ""台銀籌備帳戶|玉山帳戶""), REGEXMATCH(C13910, ""薪資"")), ""分潤支出"",
  AND(REGEXMATCH(E13910, ""Ben帳戶|Elsa帳戶|Ben代墊|Ariel代墊|中信銀行共用""), REGEXMATCH(F13910, ""Ben帳戶|Elsa帳戶|Ben代墊|Ariel代墊|中信銀行共用"")), ""內部轉帳(忽略)"",
  AND(E13910&lt;&gt;"""", F13910&lt;&gt;"&amp;""""", NOT(REGEXMATCH(C13910, ""薪資""))), ""內部轉帳(忽略)"",
  REGEXMATCH(C13910, ""薪資""), ""薪資變動(不計入)"",
  REGEXMATCH(C13910, ""押金""), ""押金往來"",
  AND(E13910&lt;&gt;"""", F13910=""""), ""真實支出"",
  AND(E13910="""", F13910&lt;&gt;""""), ""真實收入"",
  TRUE, ""其他""
)"),"其他")</f>
        <v>其他</v>
      </c>
      <c r="K13910" s="270" t="str">
        <f t="shared" si="2"/>
        <v/>
      </c>
      <c r="L13910">
        <f t="shared" si="3"/>
        <v>0</v>
      </c>
    </row>
    <row r="13911">
      <c r="A13911" s="107"/>
      <c r="D13911" s="270"/>
      <c r="H13911" s="106" t="str">
        <f t="shared" si="1"/>
        <v/>
      </c>
      <c r="J13911" t="str">
        <f>IFERROR(__xludf.DUMMYFUNCTION("IFS(
  AND(REGEXMATCH(E13911, ""台銀籌備帳戶|玉山帳戶""), REGEXMATCH(C13911, ""薪資"")), ""分潤支出"",
  AND(REGEXMATCH(E13911, ""Ben帳戶|Elsa帳戶|Ben代墊|Ariel代墊|中信銀行共用""), REGEXMATCH(F13911, ""Ben帳戶|Elsa帳戶|Ben代墊|Ariel代墊|中信銀行共用"")), ""內部轉帳(忽略)"",
  AND(E13911&lt;&gt;"""", F13911&lt;&gt;"&amp;""""", NOT(REGEXMATCH(C13911, ""薪資""))), ""內部轉帳(忽略)"",
  REGEXMATCH(C13911, ""薪資""), ""薪資變動(不計入)"",
  REGEXMATCH(C13911, ""押金""), ""押金往來"",
  AND(E13911&lt;&gt;"""", F13911=""""), ""真實支出"",
  AND(E13911="""", F13911&lt;&gt;""""), ""真實收入"",
  TRUE, ""其他""
)"),"其他")</f>
        <v>其他</v>
      </c>
      <c r="K13911" s="270" t="str">
        <f t="shared" si="2"/>
        <v/>
      </c>
      <c r="L13911">
        <f t="shared" si="3"/>
        <v>0</v>
      </c>
    </row>
    <row r="13912">
      <c r="A13912" s="107"/>
      <c r="D13912" s="270"/>
      <c r="H13912" s="106" t="str">
        <f t="shared" si="1"/>
        <v/>
      </c>
      <c r="J13912" t="str">
        <f>IFERROR(__xludf.DUMMYFUNCTION("IFS(
  AND(REGEXMATCH(E13912, ""台銀籌備帳戶|玉山帳戶""), REGEXMATCH(C13912, ""薪資"")), ""分潤支出"",
  AND(REGEXMATCH(E13912, ""Ben帳戶|Elsa帳戶|Ben代墊|Ariel代墊|中信銀行共用""), REGEXMATCH(F13912, ""Ben帳戶|Elsa帳戶|Ben代墊|Ariel代墊|中信銀行共用"")), ""內部轉帳(忽略)"",
  AND(E13912&lt;&gt;"""", F13912&lt;&gt;"&amp;""""", NOT(REGEXMATCH(C13912, ""薪資""))), ""內部轉帳(忽略)"",
  REGEXMATCH(C13912, ""薪資""), ""薪資變動(不計入)"",
  REGEXMATCH(C13912, ""押金""), ""押金往來"",
  AND(E13912&lt;&gt;"""", F13912=""""), ""真實支出"",
  AND(E13912="""", F13912&lt;&gt;""""), ""真實收入"",
  TRUE, ""其他""
)"),"其他")</f>
        <v>其他</v>
      </c>
      <c r="K13912" s="270" t="str">
        <f t="shared" si="2"/>
        <v/>
      </c>
      <c r="L13912">
        <f t="shared" si="3"/>
        <v>0</v>
      </c>
    </row>
    <row r="13913">
      <c r="A13913" s="107"/>
      <c r="D13913" s="270"/>
      <c r="H13913" s="106" t="str">
        <f t="shared" si="1"/>
        <v/>
      </c>
      <c r="J13913" t="str">
        <f>IFERROR(__xludf.DUMMYFUNCTION("IFS(
  AND(REGEXMATCH(E13913, ""台銀籌備帳戶|玉山帳戶""), REGEXMATCH(C13913, ""薪資"")), ""分潤支出"",
  AND(REGEXMATCH(E13913, ""Ben帳戶|Elsa帳戶|Ben代墊|Ariel代墊|中信銀行共用""), REGEXMATCH(F13913, ""Ben帳戶|Elsa帳戶|Ben代墊|Ariel代墊|中信銀行共用"")), ""內部轉帳(忽略)"",
  AND(E13913&lt;&gt;"""", F13913&lt;&gt;"&amp;""""", NOT(REGEXMATCH(C13913, ""薪資""))), ""內部轉帳(忽略)"",
  REGEXMATCH(C13913, ""薪資""), ""薪資變動(不計入)"",
  REGEXMATCH(C13913, ""押金""), ""押金往來"",
  AND(E13913&lt;&gt;"""", F13913=""""), ""真實支出"",
  AND(E13913="""", F13913&lt;&gt;""""), ""真實收入"",
  TRUE, ""其他""
)"),"其他")</f>
        <v>其他</v>
      </c>
      <c r="K13913" s="270" t="str">
        <f t="shared" si="2"/>
        <v/>
      </c>
      <c r="L13913">
        <f t="shared" si="3"/>
        <v>0</v>
      </c>
    </row>
    <row r="13914">
      <c r="A13914" s="107"/>
      <c r="D13914" s="270"/>
      <c r="H13914" s="106" t="str">
        <f t="shared" si="1"/>
        <v/>
      </c>
      <c r="J13914" t="str">
        <f>IFERROR(__xludf.DUMMYFUNCTION("IFS(
  AND(REGEXMATCH(E13914, ""台銀籌備帳戶|玉山帳戶""), REGEXMATCH(C13914, ""薪資"")), ""分潤支出"",
  AND(REGEXMATCH(E13914, ""Ben帳戶|Elsa帳戶|Ben代墊|Ariel代墊|中信銀行共用""), REGEXMATCH(F13914, ""Ben帳戶|Elsa帳戶|Ben代墊|Ariel代墊|中信銀行共用"")), ""內部轉帳(忽略)"",
  AND(E13914&lt;&gt;"""", F13914&lt;&gt;"&amp;""""", NOT(REGEXMATCH(C13914, ""薪資""))), ""內部轉帳(忽略)"",
  REGEXMATCH(C13914, ""薪資""), ""薪資變動(不計入)"",
  REGEXMATCH(C13914, ""押金""), ""押金往來"",
  AND(E13914&lt;&gt;"""", F13914=""""), ""真實支出"",
  AND(E13914="""", F13914&lt;&gt;""""), ""真實收入"",
  TRUE, ""其他""
)"),"其他")</f>
        <v>其他</v>
      </c>
      <c r="K13914" s="270" t="str">
        <f t="shared" si="2"/>
        <v/>
      </c>
      <c r="L13914">
        <f t="shared" si="3"/>
        <v>0</v>
      </c>
    </row>
    <row r="13915">
      <c r="A13915" s="107"/>
      <c r="D13915" s="270"/>
      <c r="H13915" s="106" t="str">
        <f t="shared" si="1"/>
        <v/>
      </c>
      <c r="J13915" t="str">
        <f>IFERROR(__xludf.DUMMYFUNCTION("IFS(
  AND(REGEXMATCH(E13915, ""台銀籌備帳戶|玉山帳戶""), REGEXMATCH(C13915, ""薪資"")), ""分潤支出"",
  AND(REGEXMATCH(E13915, ""Ben帳戶|Elsa帳戶|Ben代墊|Ariel代墊|中信銀行共用""), REGEXMATCH(F13915, ""Ben帳戶|Elsa帳戶|Ben代墊|Ariel代墊|中信銀行共用"")), ""內部轉帳(忽略)"",
  AND(E13915&lt;&gt;"""", F13915&lt;&gt;"&amp;""""", NOT(REGEXMATCH(C13915, ""薪資""))), ""內部轉帳(忽略)"",
  REGEXMATCH(C13915, ""薪資""), ""薪資變動(不計入)"",
  REGEXMATCH(C13915, ""押金""), ""押金往來"",
  AND(E13915&lt;&gt;"""", F13915=""""), ""真實支出"",
  AND(E13915="""", F13915&lt;&gt;""""), ""真實收入"",
  TRUE, ""其他""
)"),"其他")</f>
        <v>其他</v>
      </c>
      <c r="K13915" s="270" t="str">
        <f t="shared" si="2"/>
        <v/>
      </c>
      <c r="L13915">
        <f t="shared" si="3"/>
        <v>0</v>
      </c>
    </row>
    <row r="13916">
      <c r="A13916" s="107"/>
      <c r="D13916" s="270"/>
      <c r="H13916" s="106" t="str">
        <f t="shared" si="1"/>
        <v/>
      </c>
      <c r="J13916" t="str">
        <f>IFERROR(__xludf.DUMMYFUNCTION("IFS(
  AND(REGEXMATCH(E13916, ""台銀籌備帳戶|玉山帳戶""), REGEXMATCH(C13916, ""薪資"")), ""分潤支出"",
  AND(REGEXMATCH(E13916, ""Ben帳戶|Elsa帳戶|Ben代墊|Ariel代墊|中信銀行共用""), REGEXMATCH(F13916, ""Ben帳戶|Elsa帳戶|Ben代墊|Ariel代墊|中信銀行共用"")), ""內部轉帳(忽略)"",
  AND(E13916&lt;&gt;"""", F13916&lt;&gt;"&amp;""""", NOT(REGEXMATCH(C13916, ""薪資""))), ""內部轉帳(忽略)"",
  REGEXMATCH(C13916, ""薪資""), ""薪資變動(不計入)"",
  REGEXMATCH(C13916, ""押金""), ""押金往來"",
  AND(E13916&lt;&gt;"""", F13916=""""), ""真實支出"",
  AND(E13916="""", F13916&lt;&gt;""""), ""真實收入"",
  TRUE, ""其他""
)"),"其他")</f>
        <v>其他</v>
      </c>
      <c r="K13916" s="270" t="str">
        <f t="shared" si="2"/>
        <v/>
      </c>
      <c r="L13916">
        <f t="shared" si="3"/>
        <v>0</v>
      </c>
    </row>
    <row r="13917">
      <c r="A13917" s="107"/>
      <c r="D13917" s="270"/>
      <c r="H13917" s="106" t="str">
        <f t="shared" si="1"/>
        <v/>
      </c>
      <c r="J13917" t="str">
        <f>IFERROR(__xludf.DUMMYFUNCTION("IFS(
  AND(REGEXMATCH(E13917, ""台銀籌備帳戶|玉山帳戶""), REGEXMATCH(C13917, ""薪資"")), ""分潤支出"",
  AND(REGEXMATCH(E13917, ""Ben帳戶|Elsa帳戶|Ben代墊|Ariel代墊|中信銀行共用""), REGEXMATCH(F13917, ""Ben帳戶|Elsa帳戶|Ben代墊|Ariel代墊|中信銀行共用"")), ""內部轉帳(忽略)"",
  AND(E13917&lt;&gt;"""", F13917&lt;&gt;"&amp;""""", NOT(REGEXMATCH(C13917, ""薪資""))), ""內部轉帳(忽略)"",
  REGEXMATCH(C13917, ""薪資""), ""薪資變動(不計入)"",
  REGEXMATCH(C13917, ""押金""), ""押金往來"",
  AND(E13917&lt;&gt;"""", F13917=""""), ""真實支出"",
  AND(E13917="""", F13917&lt;&gt;""""), ""真實收入"",
  TRUE, ""其他""
)"),"其他")</f>
        <v>其他</v>
      </c>
      <c r="K13917" s="270" t="str">
        <f t="shared" si="2"/>
        <v/>
      </c>
      <c r="L13917">
        <f t="shared" si="3"/>
        <v>0</v>
      </c>
    </row>
    <row r="13918">
      <c r="A13918" s="107"/>
      <c r="D13918" s="270"/>
      <c r="H13918" s="106" t="str">
        <f t="shared" si="1"/>
        <v/>
      </c>
      <c r="J13918" t="str">
        <f>IFERROR(__xludf.DUMMYFUNCTION("IFS(
  AND(REGEXMATCH(E13918, ""台銀籌備帳戶|玉山帳戶""), REGEXMATCH(C13918, ""薪資"")), ""分潤支出"",
  AND(REGEXMATCH(E13918, ""Ben帳戶|Elsa帳戶|Ben代墊|Ariel代墊|中信銀行共用""), REGEXMATCH(F13918, ""Ben帳戶|Elsa帳戶|Ben代墊|Ariel代墊|中信銀行共用"")), ""內部轉帳(忽略)"",
  AND(E13918&lt;&gt;"""", F13918&lt;&gt;"&amp;""""", NOT(REGEXMATCH(C13918, ""薪資""))), ""內部轉帳(忽略)"",
  REGEXMATCH(C13918, ""薪資""), ""薪資變動(不計入)"",
  REGEXMATCH(C13918, ""押金""), ""押金往來"",
  AND(E13918&lt;&gt;"""", F13918=""""), ""真實支出"",
  AND(E13918="""", F13918&lt;&gt;""""), ""真實收入"",
  TRUE, ""其他""
)"),"其他")</f>
        <v>其他</v>
      </c>
      <c r="K13918" s="270" t="str">
        <f t="shared" si="2"/>
        <v/>
      </c>
      <c r="L13918">
        <f t="shared" si="3"/>
        <v>0</v>
      </c>
    </row>
    <row r="13919">
      <c r="A13919" s="107"/>
      <c r="D13919" s="270"/>
      <c r="H13919" s="106" t="str">
        <f t="shared" si="1"/>
        <v/>
      </c>
      <c r="J13919" t="str">
        <f>IFERROR(__xludf.DUMMYFUNCTION("IFS(
  AND(REGEXMATCH(E13919, ""台銀籌備帳戶|玉山帳戶""), REGEXMATCH(C13919, ""薪資"")), ""分潤支出"",
  AND(REGEXMATCH(E13919, ""Ben帳戶|Elsa帳戶|Ben代墊|Ariel代墊|中信銀行共用""), REGEXMATCH(F13919, ""Ben帳戶|Elsa帳戶|Ben代墊|Ariel代墊|中信銀行共用"")), ""內部轉帳(忽略)"",
  AND(E13919&lt;&gt;"""", F13919&lt;&gt;"&amp;""""", NOT(REGEXMATCH(C13919, ""薪資""))), ""內部轉帳(忽略)"",
  REGEXMATCH(C13919, ""薪資""), ""薪資變動(不計入)"",
  REGEXMATCH(C13919, ""押金""), ""押金往來"",
  AND(E13919&lt;&gt;"""", F13919=""""), ""真實支出"",
  AND(E13919="""", F13919&lt;&gt;""""), ""真實收入"",
  TRUE, ""其他""
)"),"其他")</f>
        <v>其他</v>
      </c>
      <c r="K13919" s="270" t="str">
        <f t="shared" si="2"/>
        <v/>
      </c>
      <c r="L13919">
        <f t="shared" si="3"/>
        <v>0</v>
      </c>
    </row>
    <row r="13920">
      <c r="A13920" s="107"/>
      <c r="D13920" s="270"/>
      <c r="H13920" s="106" t="str">
        <f t="shared" si="1"/>
        <v/>
      </c>
      <c r="J13920" t="str">
        <f>IFERROR(__xludf.DUMMYFUNCTION("IFS(
  AND(REGEXMATCH(E13920, ""台銀籌備帳戶|玉山帳戶""), REGEXMATCH(C13920, ""薪資"")), ""分潤支出"",
  AND(REGEXMATCH(E13920, ""Ben帳戶|Elsa帳戶|Ben代墊|Ariel代墊|中信銀行共用""), REGEXMATCH(F13920, ""Ben帳戶|Elsa帳戶|Ben代墊|Ariel代墊|中信銀行共用"")), ""內部轉帳(忽略)"",
  AND(E13920&lt;&gt;"""", F13920&lt;&gt;"&amp;""""", NOT(REGEXMATCH(C13920, ""薪資""))), ""內部轉帳(忽略)"",
  REGEXMATCH(C13920, ""薪資""), ""薪資變動(不計入)"",
  REGEXMATCH(C13920, ""押金""), ""押金往來"",
  AND(E13920&lt;&gt;"""", F13920=""""), ""真實支出"",
  AND(E13920="""", F13920&lt;&gt;""""), ""真實收入"",
  TRUE, ""其他""
)"),"其他")</f>
        <v>其他</v>
      </c>
      <c r="K13920" s="270" t="str">
        <f t="shared" si="2"/>
        <v/>
      </c>
      <c r="L13920">
        <f t="shared" si="3"/>
        <v>0</v>
      </c>
    </row>
    <row r="13921">
      <c r="A13921" s="107"/>
      <c r="D13921" s="270"/>
      <c r="H13921" s="106" t="str">
        <f t="shared" si="1"/>
        <v/>
      </c>
      <c r="J13921" t="str">
        <f>IFERROR(__xludf.DUMMYFUNCTION("IFS(
  AND(REGEXMATCH(E13921, ""台銀籌備帳戶|玉山帳戶""), REGEXMATCH(C13921, ""薪資"")), ""分潤支出"",
  AND(REGEXMATCH(E13921, ""Ben帳戶|Elsa帳戶|Ben代墊|Ariel代墊|中信銀行共用""), REGEXMATCH(F13921, ""Ben帳戶|Elsa帳戶|Ben代墊|Ariel代墊|中信銀行共用"")), ""內部轉帳(忽略)"",
  AND(E13921&lt;&gt;"""", F13921&lt;&gt;"&amp;""""", NOT(REGEXMATCH(C13921, ""薪資""))), ""內部轉帳(忽略)"",
  REGEXMATCH(C13921, ""薪資""), ""薪資變動(不計入)"",
  REGEXMATCH(C13921, ""押金""), ""押金往來"",
  AND(E13921&lt;&gt;"""", F13921=""""), ""真實支出"",
  AND(E13921="""", F13921&lt;&gt;""""), ""真實收入"",
  TRUE, ""其他""
)"),"其他")</f>
        <v>其他</v>
      </c>
      <c r="K13921" s="270" t="str">
        <f t="shared" si="2"/>
        <v/>
      </c>
      <c r="L13921">
        <f t="shared" si="3"/>
        <v>0</v>
      </c>
    </row>
    <row r="13922">
      <c r="A13922" s="107"/>
      <c r="D13922" s="270"/>
      <c r="H13922" s="106" t="str">
        <f t="shared" si="1"/>
        <v/>
      </c>
      <c r="J13922" t="str">
        <f>IFERROR(__xludf.DUMMYFUNCTION("IFS(
  AND(REGEXMATCH(E13922, ""台銀籌備帳戶|玉山帳戶""), REGEXMATCH(C13922, ""薪資"")), ""分潤支出"",
  AND(REGEXMATCH(E13922, ""Ben帳戶|Elsa帳戶|Ben代墊|Ariel代墊|中信銀行共用""), REGEXMATCH(F13922, ""Ben帳戶|Elsa帳戶|Ben代墊|Ariel代墊|中信銀行共用"")), ""內部轉帳(忽略)"",
  AND(E13922&lt;&gt;"""", F13922&lt;&gt;"&amp;""""", NOT(REGEXMATCH(C13922, ""薪資""))), ""內部轉帳(忽略)"",
  REGEXMATCH(C13922, ""薪資""), ""薪資變動(不計入)"",
  REGEXMATCH(C13922, ""押金""), ""押金往來"",
  AND(E13922&lt;&gt;"""", F13922=""""), ""真實支出"",
  AND(E13922="""", F13922&lt;&gt;""""), ""真實收入"",
  TRUE, ""其他""
)"),"其他")</f>
        <v>其他</v>
      </c>
      <c r="K13922" s="270" t="str">
        <f t="shared" si="2"/>
        <v/>
      </c>
      <c r="L13922">
        <f t="shared" si="3"/>
        <v>0</v>
      </c>
    </row>
    <row r="13923">
      <c r="A13923" s="107"/>
      <c r="D13923" s="270"/>
      <c r="H13923" s="106" t="str">
        <f t="shared" si="1"/>
        <v/>
      </c>
      <c r="J13923" t="str">
        <f>IFERROR(__xludf.DUMMYFUNCTION("IFS(
  AND(REGEXMATCH(E13923, ""台銀籌備帳戶|玉山帳戶""), REGEXMATCH(C13923, ""薪資"")), ""分潤支出"",
  AND(REGEXMATCH(E13923, ""Ben帳戶|Elsa帳戶|Ben代墊|Ariel代墊|中信銀行共用""), REGEXMATCH(F13923, ""Ben帳戶|Elsa帳戶|Ben代墊|Ariel代墊|中信銀行共用"")), ""內部轉帳(忽略)"",
  AND(E13923&lt;&gt;"""", F13923&lt;&gt;"&amp;""""", NOT(REGEXMATCH(C13923, ""薪資""))), ""內部轉帳(忽略)"",
  REGEXMATCH(C13923, ""薪資""), ""薪資變動(不計入)"",
  REGEXMATCH(C13923, ""押金""), ""押金往來"",
  AND(E13923&lt;&gt;"""", F13923=""""), ""真實支出"",
  AND(E13923="""", F13923&lt;&gt;""""), ""真實收入"",
  TRUE, ""其他""
)"),"其他")</f>
        <v>其他</v>
      </c>
      <c r="K13923" s="270" t="str">
        <f t="shared" si="2"/>
        <v/>
      </c>
      <c r="L13923">
        <f t="shared" si="3"/>
        <v>0</v>
      </c>
    </row>
    <row r="13924">
      <c r="A13924" s="107"/>
      <c r="D13924" s="270"/>
      <c r="H13924" s="106" t="str">
        <f t="shared" si="1"/>
        <v/>
      </c>
      <c r="J13924" t="str">
        <f>IFERROR(__xludf.DUMMYFUNCTION("IFS(
  AND(REGEXMATCH(E13924, ""台銀籌備帳戶|玉山帳戶""), REGEXMATCH(C13924, ""薪資"")), ""分潤支出"",
  AND(REGEXMATCH(E13924, ""Ben帳戶|Elsa帳戶|Ben代墊|Ariel代墊|中信銀行共用""), REGEXMATCH(F13924, ""Ben帳戶|Elsa帳戶|Ben代墊|Ariel代墊|中信銀行共用"")), ""內部轉帳(忽略)"",
  AND(E13924&lt;&gt;"""", F13924&lt;&gt;"&amp;""""", NOT(REGEXMATCH(C13924, ""薪資""))), ""內部轉帳(忽略)"",
  REGEXMATCH(C13924, ""薪資""), ""薪資變動(不計入)"",
  REGEXMATCH(C13924, ""押金""), ""押金往來"",
  AND(E13924&lt;&gt;"""", F13924=""""), ""真實支出"",
  AND(E13924="""", F13924&lt;&gt;""""), ""真實收入"",
  TRUE, ""其他""
)"),"其他")</f>
        <v>其他</v>
      </c>
      <c r="K13924" s="270" t="str">
        <f t="shared" si="2"/>
        <v/>
      </c>
      <c r="L13924">
        <f t="shared" si="3"/>
        <v>0</v>
      </c>
    </row>
    <row r="13925">
      <c r="A13925" s="107"/>
      <c r="D13925" s="270"/>
      <c r="H13925" s="106" t="str">
        <f t="shared" si="1"/>
        <v/>
      </c>
      <c r="J13925" t="str">
        <f>IFERROR(__xludf.DUMMYFUNCTION("IFS(
  AND(REGEXMATCH(E13925, ""台銀籌備帳戶|玉山帳戶""), REGEXMATCH(C13925, ""薪資"")), ""分潤支出"",
  AND(REGEXMATCH(E13925, ""Ben帳戶|Elsa帳戶|Ben代墊|Ariel代墊|中信銀行共用""), REGEXMATCH(F13925, ""Ben帳戶|Elsa帳戶|Ben代墊|Ariel代墊|中信銀行共用"")), ""內部轉帳(忽略)"",
  AND(E13925&lt;&gt;"""", F13925&lt;&gt;"&amp;""""", NOT(REGEXMATCH(C13925, ""薪資""))), ""內部轉帳(忽略)"",
  REGEXMATCH(C13925, ""薪資""), ""薪資變動(不計入)"",
  REGEXMATCH(C13925, ""押金""), ""押金往來"",
  AND(E13925&lt;&gt;"""", F13925=""""), ""真實支出"",
  AND(E13925="""", F13925&lt;&gt;""""), ""真實收入"",
  TRUE, ""其他""
)"),"其他")</f>
        <v>其他</v>
      </c>
      <c r="K13925" s="270" t="str">
        <f t="shared" si="2"/>
        <v/>
      </c>
      <c r="L13925">
        <f t="shared" si="3"/>
        <v>0</v>
      </c>
    </row>
    <row r="13926">
      <c r="A13926" s="107"/>
      <c r="D13926" s="270"/>
      <c r="H13926" s="106" t="str">
        <f t="shared" si="1"/>
        <v/>
      </c>
      <c r="J13926" t="str">
        <f>IFERROR(__xludf.DUMMYFUNCTION("IFS(
  AND(REGEXMATCH(E13926, ""台銀籌備帳戶|玉山帳戶""), REGEXMATCH(C13926, ""薪資"")), ""分潤支出"",
  AND(REGEXMATCH(E13926, ""Ben帳戶|Elsa帳戶|Ben代墊|Ariel代墊|中信銀行共用""), REGEXMATCH(F13926, ""Ben帳戶|Elsa帳戶|Ben代墊|Ariel代墊|中信銀行共用"")), ""內部轉帳(忽略)"",
  AND(E13926&lt;&gt;"""", F13926&lt;&gt;"&amp;""""", NOT(REGEXMATCH(C13926, ""薪資""))), ""內部轉帳(忽略)"",
  REGEXMATCH(C13926, ""薪資""), ""薪資變動(不計入)"",
  REGEXMATCH(C13926, ""押金""), ""押金往來"",
  AND(E13926&lt;&gt;"""", F13926=""""), ""真實支出"",
  AND(E13926="""", F13926&lt;&gt;""""), ""真實收入"",
  TRUE, ""其他""
)"),"其他")</f>
        <v>其他</v>
      </c>
      <c r="K13926" s="270" t="str">
        <f t="shared" si="2"/>
        <v/>
      </c>
      <c r="L13926">
        <f t="shared" si="3"/>
        <v>0</v>
      </c>
    </row>
    <row r="13927">
      <c r="A13927" s="107"/>
      <c r="D13927" s="270"/>
      <c r="H13927" s="106" t="str">
        <f t="shared" si="1"/>
        <v/>
      </c>
      <c r="J13927" t="str">
        <f>IFERROR(__xludf.DUMMYFUNCTION("IFS(
  AND(REGEXMATCH(E13927, ""台銀籌備帳戶|玉山帳戶""), REGEXMATCH(C13927, ""薪資"")), ""分潤支出"",
  AND(REGEXMATCH(E13927, ""Ben帳戶|Elsa帳戶|Ben代墊|Ariel代墊|中信銀行共用""), REGEXMATCH(F13927, ""Ben帳戶|Elsa帳戶|Ben代墊|Ariel代墊|中信銀行共用"")), ""內部轉帳(忽略)"",
  AND(E13927&lt;&gt;"""", F13927&lt;&gt;"&amp;""""", NOT(REGEXMATCH(C13927, ""薪資""))), ""內部轉帳(忽略)"",
  REGEXMATCH(C13927, ""薪資""), ""薪資變動(不計入)"",
  REGEXMATCH(C13927, ""押金""), ""押金往來"",
  AND(E13927&lt;&gt;"""", F13927=""""), ""真實支出"",
  AND(E13927="""", F13927&lt;&gt;""""), ""真實收入"",
  TRUE, ""其他""
)"),"其他")</f>
        <v>其他</v>
      </c>
      <c r="K13927" s="270" t="str">
        <f t="shared" si="2"/>
        <v/>
      </c>
      <c r="L13927">
        <f t="shared" si="3"/>
        <v>0</v>
      </c>
    </row>
    <row r="13928">
      <c r="A13928" s="107"/>
      <c r="D13928" s="270"/>
      <c r="H13928" s="106" t="str">
        <f t="shared" si="1"/>
        <v/>
      </c>
      <c r="J13928" t="str">
        <f>IFERROR(__xludf.DUMMYFUNCTION("IFS(
  AND(REGEXMATCH(E13928, ""台銀籌備帳戶|玉山帳戶""), REGEXMATCH(C13928, ""薪資"")), ""分潤支出"",
  AND(REGEXMATCH(E13928, ""Ben帳戶|Elsa帳戶|Ben代墊|Ariel代墊|中信銀行共用""), REGEXMATCH(F13928, ""Ben帳戶|Elsa帳戶|Ben代墊|Ariel代墊|中信銀行共用"")), ""內部轉帳(忽略)"",
  AND(E13928&lt;&gt;"""", F13928&lt;&gt;"&amp;""""", NOT(REGEXMATCH(C13928, ""薪資""))), ""內部轉帳(忽略)"",
  REGEXMATCH(C13928, ""薪資""), ""薪資變動(不計入)"",
  REGEXMATCH(C13928, ""押金""), ""押金往來"",
  AND(E13928&lt;&gt;"""", F13928=""""), ""真實支出"",
  AND(E13928="""", F13928&lt;&gt;""""), ""真實收入"",
  TRUE, ""其他""
)"),"其他")</f>
        <v>其他</v>
      </c>
      <c r="K13928" s="270" t="str">
        <f t="shared" si="2"/>
        <v/>
      </c>
      <c r="L13928">
        <f t="shared" si="3"/>
        <v>0</v>
      </c>
    </row>
    <row r="13929">
      <c r="A13929" s="107"/>
      <c r="D13929" s="270"/>
      <c r="H13929" s="106" t="str">
        <f t="shared" si="1"/>
        <v/>
      </c>
      <c r="J13929" t="str">
        <f>IFERROR(__xludf.DUMMYFUNCTION("IFS(
  AND(REGEXMATCH(E13929, ""台銀籌備帳戶|玉山帳戶""), REGEXMATCH(C13929, ""薪資"")), ""分潤支出"",
  AND(REGEXMATCH(E13929, ""Ben帳戶|Elsa帳戶|Ben代墊|Ariel代墊|中信銀行共用""), REGEXMATCH(F13929, ""Ben帳戶|Elsa帳戶|Ben代墊|Ariel代墊|中信銀行共用"")), ""內部轉帳(忽略)"",
  AND(E13929&lt;&gt;"""", F13929&lt;&gt;"&amp;""""", NOT(REGEXMATCH(C13929, ""薪資""))), ""內部轉帳(忽略)"",
  REGEXMATCH(C13929, ""薪資""), ""薪資變動(不計入)"",
  REGEXMATCH(C13929, ""押金""), ""押金往來"",
  AND(E13929&lt;&gt;"""", F13929=""""), ""真實支出"",
  AND(E13929="""", F13929&lt;&gt;""""), ""真實收入"",
  TRUE, ""其他""
)"),"其他")</f>
        <v>其他</v>
      </c>
      <c r="K13929" s="270" t="str">
        <f t="shared" si="2"/>
        <v/>
      </c>
      <c r="L13929">
        <f t="shared" si="3"/>
        <v>0</v>
      </c>
    </row>
    <row r="13930">
      <c r="A13930" s="107"/>
      <c r="D13930" s="270"/>
      <c r="H13930" s="106" t="str">
        <f t="shared" si="1"/>
        <v/>
      </c>
      <c r="J13930" t="str">
        <f>IFERROR(__xludf.DUMMYFUNCTION("IFS(
  AND(REGEXMATCH(E13930, ""台銀籌備帳戶|玉山帳戶""), REGEXMATCH(C13930, ""薪資"")), ""分潤支出"",
  AND(REGEXMATCH(E13930, ""Ben帳戶|Elsa帳戶|Ben代墊|Ariel代墊|中信銀行共用""), REGEXMATCH(F13930, ""Ben帳戶|Elsa帳戶|Ben代墊|Ariel代墊|中信銀行共用"")), ""內部轉帳(忽略)"",
  AND(E13930&lt;&gt;"""", F13930&lt;&gt;"&amp;""""", NOT(REGEXMATCH(C13930, ""薪資""))), ""內部轉帳(忽略)"",
  REGEXMATCH(C13930, ""薪資""), ""薪資變動(不計入)"",
  REGEXMATCH(C13930, ""押金""), ""押金往來"",
  AND(E13930&lt;&gt;"""", F13930=""""), ""真實支出"",
  AND(E13930="""", F13930&lt;&gt;""""), ""真實收入"",
  TRUE, ""其他""
)"),"其他")</f>
        <v>其他</v>
      </c>
      <c r="K13930" s="270" t="str">
        <f t="shared" si="2"/>
        <v/>
      </c>
      <c r="L13930">
        <f t="shared" si="3"/>
        <v>0</v>
      </c>
    </row>
    <row r="13931">
      <c r="A13931" s="107"/>
      <c r="D13931" s="270"/>
      <c r="H13931" s="106" t="str">
        <f t="shared" si="1"/>
        <v/>
      </c>
      <c r="J13931" t="str">
        <f>IFERROR(__xludf.DUMMYFUNCTION("IFS(
  AND(REGEXMATCH(E13931, ""台銀籌備帳戶|玉山帳戶""), REGEXMATCH(C13931, ""薪資"")), ""分潤支出"",
  AND(REGEXMATCH(E13931, ""Ben帳戶|Elsa帳戶|Ben代墊|Ariel代墊|中信銀行共用""), REGEXMATCH(F13931, ""Ben帳戶|Elsa帳戶|Ben代墊|Ariel代墊|中信銀行共用"")), ""內部轉帳(忽略)"",
  AND(E13931&lt;&gt;"""", F13931&lt;&gt;"&amp;""""", NOT(REGEXMATCH(C13931, ""薪資""))), ""內部轉帳(忽略)"",
  REGEXMATCH(C13931, ""薪資""), ""薪資變動(不計入)"",
  REGEXMATCH(C13931, ""押金""), ""押金往來"",
  AND(E13931&lt;&gt;"""", F13931=""""), ""真實支出"",
  AND(E13931="""", F13931&lt;&gt;""""), ""真實收入"",
  TRUE, ""其他""
)"),"其他")</f>
        <v>其他</v>
      </c>
      <c r="K13931" s="270" t="str">
        <f t="shared" si="2"/>
        <v/>
      </c>
      <c r="L13931">
        <f t="shared" si="3"/>
        <v>0</v>
      </c>
    </row>
    <row r="13932">
      <c r="A13932" s="107"/>
      <c r="D13932" s="270"/>
      <c r="H13932" s="106" t="str">
        <f t="shared" si="1"/>
        <v/>
      </c>
      <c r="J13932" t="str">
        <f>IFERROR(__xludf.DUMMYFUNCTION("IFS(
  AND(REGEXMATCH(E13932, ""台銀籌備帳戶|玉山帳戶""), REGEXMATCH(C13932, ""薪資"")), ""分潤支出"",
  AND(REGEXMATCH(E13932, ""Ben帳戶|Elsa帳戶|Ben代墊|Ariel代墊|中信銀行共用""), REGEXMATCH(F13932, ""Ben帳戶|Elsa帳戶|Ben代墊|Ariel代墊|中信銀行共用"")), ""內部轉帳(忽略)"",
  AND(E13932&lt;&gt;"""", F13932&lt;&gt;"&amp;""""", NOT(REGEXMATCH(C13932, ""薪資""))), ""內部轉帳(忽略)"",
  REGEXMATCH(C13932, ""薪資""), ""薪資變動(不計入)"",
  REGEXMATCH(C13932, ""押金""), ""押金往來"",
  AND(E13932&lt;&gt;"""", F13932=""""), ""真實支出"",
  AND(E13932="""", F13932&lt;&gt;""""), ""真實收入"",
  TRUE, ""其他""
)"),"其他")</f>
        <v>其他</v>
      </c>
      <c r="K13932" s="270" t="str">
        <f t="shared" si="2"/>
        <v/>
      </c>
      <c r="L13932">
        <f t="shared" si="3"/>
        <v>0</v>
      </c>
    </row>
    <row r="13933">
      <c r="A13933" s="107"/>
      <c r="D13933" s="270"/>
      <c r="H13933" s="106" t="str">
        <f t="shared" si="1"/>
        <v/>
      </c>
      <c r="J13933" t="str">
        <f>IFERROR(__xludf.DUMMYFUNCTION("IFS(
  AND(REGEXMATCH(E13933, ""台銀籌備帳戶|玉山帳戶""), REGEXMATCH(C13933, ""薪資"")), ""分潤支出"",
  AND(REGEXMATCH(E13933, ""Ben帳戶|Elsa帳戶|Ben代墊|Ariel代墊|中信銀行共用""), REGEXMATCH(F13933, ""Ben帳戶|Elsa帳戶|Ben代墊|Ariel代墊|中信銀行共用"")), ""內部轉帳(忽略)"",
  AND(E13933&lt;&gt;"""", F13933&lt;&gt;"&amp;""""", NOT(REGEXMATCH(C13933, ""薪資""))), ""內部轉帳(忽略)"",
  REGEXMATCH(C13933, ""薪資""), ""薪資變動(不計入)"",
  REGEXMATCH(C13933, ""押金""), ""押金往來"",
  AND(E13933&lt;&gt;"""", F13933=""""), ""真實支出"",
  AND(E13933="""", F13933&lt;&gt;""""), ""真實收入"",
  TRUE, ""其他""
)"),"其他")</f>
        <v>其他</v>
      </c>
      <c r="K13933" s="270" t="str">
        <f t="shared" si="2"/>
        <v/>
      </c>
      <c r="L13933">
        <f t="shared" si="3"/>
        <v>0</v>
      </c>
    </row>
    <row r="13934">
      <c r="A13934" s="107"/>
      <c r="D13934" s="270"/>
      <c r="H13934" s="106" t="str">
        <f t="shared" si="1"/>
        <v/>
      </c>
      <c r="J13934" t="str">
        <f>IFERROR(__xludf.DUMMYFUNCTION("IFS(
  AND(REGEXMATCH(E13934, ""台銀籌備帳戶|玉山帳戶""), REGEXMATCH(C13934, ""薪資"")), ""分潤支出"",
  AND(REGEXMATCH(E13934, ""Ben帳戶|Elsa帳戶|Ben代墊|Ariel代墊|中信銀行共用""), REGEXMATCH(F13934, ""Ben帳戶|Elsa帳戶|Ben代墊|Ariel代墊|中信銀行共用"")), ""內部轉帳(忽略)"",
  AND(E13934&lt;&gt;"""", F13934&lt;&gt;"&amp;""""", NOT(REGEXMATCH(C13934, ""薪資""))), ""內部轉帳(忽略)"",
  REGEXMATCH(C13934, ""薪資""), ""薪資變動(不計入)"",
  REGEXMATCH(C13934, ""押金""), ""押金往來"",
  AND(E13934&lt;&gt;"""", F13934=""""), ""真實支出"",
  AND(E13934="""", F13934&lt;&gt;""""), ""真實收入"",
  TRUE, ""其他""
)"),"其他")</f>
        <v>其他</v>
      </c>
      <c r="K13934" s="270" t="str">
        <f t="shared" si="2"/>
        <v/>
      </c>
      <c r="L13934">
        <f t="shared" si="3"/>
        <v>0</v>
      </c>
    </row>
    <row r="13935">
      <c r="A13935" s="107"/>
      <c r="D13935" s="270"/>
      <c r="H13935" s="106" t="str">
        <f t="shared" si="1"/>
        <v/>
      </c>
      <c r="J13935" t="str">
        <f>IFERROR(__xludf.DUMMYFUNCTION("IFS(
  AND(REGEXMATCH(E13935, ""台銀籌備帳戶|玉山帳戶""), REGEXMATCH(C13935, ""薪資"")), ""分潤支出"",
  AND(REGEXMATCH(E13935, ""Ben帳戶|Elsa帳戶|Ben代墊|Ariel代墊|中信銀行共用""), REGEXMATCH(F13935, ""Ben帳戶|Elsa帳戶|Ben代墊|Ariel代墊|中信銀行共用"")), ""內部轉帳(忽略)"",
  AND(E13935&lt;&gt;"""", F13935&lt;&gt;"&amp;""""", NOT(REGEXMATCH(C13935, ""薪資""))), ""內部轉帳(忽略)"",
  REGEXMATCH(C13935, ""薪資""), ""薪資變動(不計入)"",
  REGEXMATCH(C13935, ""押金""), ""押金往來"",
  AND(E13935&lt;&gt;"""", F13935=""""), ""真實支出"",
  AND(E13935="""", F13935&lt;&gt;""""), ""真實收入"",
  TRUE, ""其他""
)"),"其他")</f>
        <v>其他</v>
      </c>
      <c r="K13935" s="270" t="str">
        <f t="shared" si="2"/>
        <v/>
      </c>
      <c r="L13935">
        <f t="shared" si="3"/>
        <v>0</v>
      </c>
    </row>
    <row r="13936">
      <c r="A13936" s="107"/>
      <c r="D13936" s="270"/>
      <c r="H13936" s="106" t="str">
        <f t="shared" si="1"/>
        <v/>
      </c>
      <c r="J13936" t="str">
        <f>IFERROR(__xludf.DUMMYFUNCTION("IFS(
  AND(REGEXMATCH(E13936, ""台銀籌備帳戶|玉山帳戶""), REGEXMATCH(C13936, ""薪資"")), ""分潤支出"",
  AND(REGEXMATCH(E13936, ""Ben帳戶|Elsa帳戶|Ben代墊|Ariel代墊|中信銀行共用""), REGEXMATCH(F13936, ""Ben帳戶|Elsa帳戶|Ben代墊|Ariel代墊|中信銀行共用"")), ""內部轉帳(忽略)"",
  AND(E13936&lt;&gt;"""", F13936&lt;&gt;"&amp;""""", NOT(REGEXMATCH(C13936, ""薪資""))), ""內部轉帳(忽略)"",
  REGEXMATCH(C13936, ""薪資""), ""薪資變動(不計入)"",
  REGEXMATCH(C13936, ""押金""), ""押金往來"",
  AND(E13936&lt;&gt;"""", F13936=""""), ""真實支出"",
  AND(E13936="""", F13936&lt;&gt;""""), ""真實收入"",
  TRUE, ""其他""
)"),"其他")</f>
        <v>其他</v>
      </c>
      <c r="K13936" s="270" t="str">
        <f t="shared" si="2"/>
        <v/>
      </c>
      <c r="L13936">
        <f t="shared" si="3"/>
        <v>0</v>
      </c>
    </row>
    <row r="13937">
      <c r="A13937" s="107"/>
      <c r="D13937" s="270"/>
      <c r="H13937" s="106" t="str">
        <f t="shared" si="1"/>
        <v/>
      </c>
      <c r="J13937" t="str">
        <f>IFERROR(__xludf.DUMMYFUNCTION("IFS(
  AND(REGEXMATCH(E13937, ""台銀籌備帳戶|玉山帳戶""), REGEXMATCH(C13937, ""薪資"")), ""分潤支出"",
  AND(REGEXMATCH(E13937, ""Ben帳戶|Elsa帳戶|Ben代墊|Ariel代墊|中信銀行共用""), REGEXMATCH(F13937, ""Ben帳戶|Elsa帳戶|Ben代墊|Ariel代墊|中信銀行共用"")), ""內部轉帳(忽略)"",
  AND(E13937&lt;&gt;"""", F13937&lt;&gt;"&amp;""""", NOT(REGEXMATCH(C13937, ""薪資""))), ""內部轉帳(忽略)"",
  REGEXMATCH(C13937, ""薪資""), ""薪資變動(不計入)"",
  REGEXMATCH(C13937, ""押金""), ""押金往來"",
  AND(E13937&lt;&gt;"""", F13937=""""), ""真實支出"",
  AND(E13937="""", F13937&lt;&gt;""""), ""真實收入"",
  TRUE, ""其他""
)"),"其他")</f>
        <v>其他</v>
      </c>
      <c r="K13937" s="270" t="str">
        <f t="shared" si="2"/>
        <v/>
      </c>
      <c r="L13937">
        <f t="shared" si="3"/>
        <v>0</v>
      </c>
    </row>
    <row r="13938">
      <c r="A13938" s="107"/>
      <c r="D13938" s="270"/>
      <c r="H13938" s="106" t="str">
        <f t="shared" si="1"/>
        <v/>
      </c>
      <c r="J13938" t="str">
        <f>IFERROR(__xludf.DUMMYFUNCTION("IFS(
  AND(REGEXMATCH(E13938, ""台銀籌備帳戶|玉山帳戶""), REGEXMATCH(C13938, ""薪資"")), ""分潤支出"",
  AND(REGEXMATCH(E13938, ""Ben帳戶|Elsa帳戶|Ben代墊|Ariel代墊|中信銀行共用""), REGEXMATCH(F13938, ""Ben帳戶|Elsa帳戶|Ben代墊|Ariel代墊|中信銀行共用"")), ""內部轉帳(忽略)"",
  AND(E13938&lt;&gt;"""", F13938&lt;&gt;"&amp;""""", NOT(REGEXMATCH(C13938, ""薪資""))), ""內部轉帳(忽略)"",
  REGEXMATCH(C13938, ""薪資""), ""薪資變動(不計入)"",
  REGEXMATCH(C13938, ""押金""), ""押金往來"",
  AND(E13938&lt;&gt;"""", F13938=""""), ""真實支出"",
  AND(E13938="""", F13938&lt;&gt;""""), ""真實收入"",
  TRUE, ""其他""
)"),"其他")</f>
        <v>其他</v>
      </c>
      <c r="K13938" s="270" t="str">
        <f t="shared" si="2"/>
        <v/>
      </c>
      <c r="L13938">
        <f t="shared" si="3"/>
        <v>0</v>
      </c>
    </row>
    <row r="13939">
      <c r="A13939" s="107"/>
      <c r="D13939" s="270"/>
      <c r="H13939" s="106" t="str">
        <f t="shared" si="1"/>
        <v/>
      </c>
      <c r="J13939" t="str">
        <f>IFERROR(__xludf.DUMMYFUNCTION("IFS(
  AND(REGEXMATCH(E13939, ""台銀籌備帳戶|玉山帳戶""), REGEXMATCH(C13939, ""薪資"")), ""分潤支出"",
  AND(REGEXMATCH(E13939, ""Ben帳戶|Elsa帳戶|Ben代墊|Ariel代墊|中信銀行共用""), REGEXMATCH(F13939, ""Ben帳戶|Elsa帳戶|Ben代墊|Ariel代墊|中信銀行共用"")), ""內部轉帳(忽略)"",
  AND(E13939&lt;&gt;"""", F13939&lt;&gt;"&amp;""""", NOT(REGEXMATCH(C13939, ""薪資""))), ""內部轉帳(忽略)"",
  REGEXMATCH(C13939, ""薪資""), ""薪資變動(不計入)"",
  REGEXMATCH(C13939, ""押金""), ""押金往來"",
  AND(E13939&lt;&gt;"""", F13939=""""), ""真實支出"",
  AND(E13939="""", F13939&lt;&gt;""""), ""真實收入"",
  TRUE, ""其他""
)"),"其他")</f>
        <v>其他</v>
      </c>
      <c r="K13939" s="270" t="str">
        <f t="shared" si="2"/>
        <v/>
      </c>
      <c r="L13939">
        <f t="shared" si="3"/>
        <v>0</v>
      </c>
    </row>
    <row r="13940">
      <c r="A13940" s="107"/>
      <c r="D13940" s="270"/>
      <c r="H13940" s="106" t="str">
        <f t="shared" si="1"/>
        <v/>
      </c>
      <c r="J13940" t="str">
        <f>IFERROR(__xludf.DUMMYFUNCTION("IFS(
  AND(REGEXMATCH(E13940, ""台銀籌備帳戶|玉山帳戶""), REGEXMATCH(C13940, ""薪資"")), ""分潤支出"",
  AND(REGEXMATCH(E13940, ""Ben帳戶|Elsa帳戶|Ben代墊|Ariel代墊|中信銀行共用""), REGEXMATCH(F13940, ""Ben帳戶|Elsa帳戶|Ben代墊|Ariel代墊|中信銀行共用"")), ""內部轉帳(忽略)"",
  AND(E13940&lt;&gt;"""", F13940&lt;&gt;"&amp;""""", NOT(REGEXMATCH(C13940, ""薪資""))), ""內部轉帳(忽略)"",
  REGEXMATCH(C13940, ""薪資""), ""薪資變動(不計入)"",
  REGEXMATCH(C13940, ""押金""), ""押金往來"",
  AND(E13940&lt;&gt;"""", F13940=""""), ""真實支出"",
  AND(E13940="""", F13940&lt;&gt;""""), ""真實收入"",
  TRUE, ""其他""
)"),"其他")</f>
        <v>其他</v>
      </c>
      <c r="K13940" s="270" t="str">
        <f t="shared" si="2"/>
        <v/>
      </c>
      <c r="L13940">
        <f t="shared" si="3"/>
        <v>0</v>
      </c>
    </row>
    <row r="13941">
      <c r="A13941" s="107"/>
      <c r="D13941" s="270"/>
      <c r="H13941" s="106" t="str">
        <f t="shared" si="1"/>
        <v/>
      </c>
      <c r="J13941" t="str">
        <f>IFERROR(__xludf.DUMMYFUNCTION("IFS(
  AND(REGEXMATCH(E13941, ""台銀籌備帳戶|玉山帳戶""), REGEXMATCH(C13941, ""薪資"")), ""分潤支出"",
  AND(REGEXMATCH(E13941, ""Ben帳戶|Elsa帳戶|Ben代墊|Ariel代墊|中信銀行共用""), REGEXMATCH(F13941, ""Ben帳戶|Elsa帳戶|Ben代墊|Ariel代墊|中信銀行共用"")), ""內部轉帳(忽略)"",
  AND(E13941&lt;&gt;"""", F13941&lt;&gt;"&amp;""""", NOT(REGEXMATCH(C13941, ""薪資""))), ""內部轉帳(忽略)"",
  REGEXMATCH(C13941, ""薪資""), ""薪資變動(不計入)"",
  REGEXMATCH(C13941, ""押金""), ""押金往來"",
  AND(E13941&lt;&gt;"""", F13941=""""), ""真實支出"",
  AND(E13941="""", F13941&lt;&gt;""""), ""真實收入"",
  TRUE, ""其他""
)"),"其他")</f>
        <v>其他</v>
      </c>
      <c r="K13941" s="270" t="str">
        <f t="shared" si="2"/>
        <v/>
      </c>
      <c r="L13941">
        <f t="shared" si="3"/>
        <v>0</v>
      </c>
    </row>
    <row r="13942">
      <c r="A13942" s="107"/>
      <c r="D13942" s="270"/>
      <c r="H13942" s="106" t="str">
        <f t="shared" si="1"/>
        <v/>
      </c>
      <c r="J13942" t="str">
        <f>IFERROR(__xludf.DUMMYFUNCTION("IFS(
  AND(REGEXMATCH(E13942, ""台銀籌備帳戶|玉山帳戶""), REGEXMATCH(C13942, ""薪資"")), ""分潤支出"",
  AND(REGEXMATCH(E13942, ""Ben帳戶|Elsa帳戶|Ben代墊|Ariel代墊|中信銀行共用""), REGEXMATCH(F13942, ""Ben帳戶|Elsa帳戶|Ben代墊|Ariel代墊|中信銀行共用"")), ""內部轉帳(忽略)"",
  AND(E13942&lt;&gt;"""", F13942&lt;&gt;"&amp;""""", NOT(REGEXMATCH(C13942, ""薪資""))), ""內部轉帳(忽略)"",
  REGEXMATCH(C13942, ""薪資""), ""薪資變動(不計入)"",
  REGEXMATCH(C13942, ""押金""), ""押金往來"",
  AND(E13942&lt;&gt;"""", F13942=""""), ""真實支出"",
  AND(E13942="""", F13942&lt;&gt;""""), ""真實收入"",
  TRUE, ""其他""
)"),"其他")</f>
        <v>其他</v>
      </c>
      <c r="K13942" s="270" t="str">
        <f t="shared" si="2"/>
        <v/>
      </c>
      <c r="L13942">
        <f t="shared" si="3"/>
        <v>0</v>
      </c>
    </row>
    <row r="13943">
      <c r="A13943" s="107"/>
      <c r="D13943" s="270"/>
      <c r="H13943" s="106" t="str">
        <f t="shared" si="1"/>
        <v/>
      </c>
      <c r="J13943" t="str">
        <f>IFERROR(__xludf.DUMMYFUNCTION("IFS(
  AND(REGEXMATCH(E13943, ""台銀籌備帳戶|玉山帳戶""), REGEXMATCH(C13943, ""薪資"")), ""分潤支出"",
  AND(REGEXMATCH(E13943, ""Ben帳戶|Elsa帳戶|Ben代墊|Ariel代墊|中信銀行共用""), REGEXMATCH(F13943, ""Ben帳戶|Elsa帳戶|Ben代墊|Ariel代墊|中信銀行共用"")), ""內部轉帳(忽略)"",
  AND(E13943&lt;&gt;"""", F13943&lt;&gt;"&amp;""""", NOT(REGEXMATCH(C13943, ""薪資""))), ""內部轉帳(忽略)"",
  REGEXMATCH(C13943, ""薪資""), ""薪資變動(不計入)"",
  REGEXMATCH(C13943, ""押金""), ""押金往來"",
  AND(E13943&lt;&gt;"""", F13943=""""), ""真實支出"",
  AND(E13943="""", F13943&lt;&gt;""""), ""真實收入"",
  TRUE, ""其他""
)"),"其他")</f>
        <v>其他</v>
      </c>
      <c r="K13943" s="270" t="str">
        <f t="shared" si="2"/>
        <v/>
      </c>
      <c r="L13943">
        <f t="shared" si="3"/>
        <v>0</v>
      </c>
    </row>
    <row r="13944">
      <c r="A13944" s="107"/>
      <c r="D13944" s="270"/>
      <c r="H13944" s="106" t="str">
        <f t="shared" si="1"/>
        <v/>
      </c>
      <c r="J13944" t="str">
        <f>IFERROR(__xludf.DUMMYFUNCTION("IFS(
  AND(REGEXMATCH(E13944, ""台銀籌備帳戶|玉山帳戶""), REGEXMATCH(C13944, ""薪資"")), ""分潤支出"",
  AND(REGEXMATCH(E13944, ""Ben帳戶|Elsa帳戶|Ben代墊|Ariel代墊|中信銀行共用""), REGEXMATCH(F13944, ""Ben帳戶|Elsa帳戶|Ben代墊|Ariel代墊|中信銀行共用"")), ""內部轉帳(忽略)"",
  AND(E13944&lt;&gt;"""", F13944&lt;&gt;"&amp;""""", NOT(REGEXMATCH(C13944, ""薪資""))), ""內部轉帳(忽略)"",
  REGEXMATCH(C13944, ""薪資""), ""薪資變動(不計入)"",
  REGEXMATCH(C13944, ""押金""), ""押金往來"",
  AND(E13944&lt;&gt;"""", F13944=""""), ""真實支出"",
  AND(E13944="""", F13944&lt;&gt;""""), ""真實收入"",
  TRUE, ""其他""
)"),"其他")</f>
        <v>其他</v>
      </c>
      <c r="K13944" s="270" t="str">
        <f t="shared" si="2"/>
        <v/>
      </c>
      <c r="L13944">
        <f t="shared" si="3"/>
        <v>0</v>
      </c>
    </row>
    <row r="13945">
      <c r="A13945" s="107"/>
      <c r="D13945" s="270"/>
      <c r="H13945" s="106" t="str">
        <f t="shared" si="1"/>
        <v/>
      </c>
      <c r="J13945" t="str">
        <f>IFERROR(__xludf.DUMMYFUNCTION("IFS(
  AND(REGEXMATCH(E13945, ""台銀籌備帳戶|玉山帳戶""), REGEXMATCH(C13945, ""薪資"")), ""分潤支出"",
  AND(REGEXMATCH(E13945, ""Ben帳戶|Elsa帳戶|Ben代墊|Ariel代墊|中信銀行共用""), REGEXMATCH(F13945, ""Ben帳戶|Elsa帳戶|Ben代墊|Ariel代墊|中信銀行共用"")), ""內部轉帳(忽略)"",
  AND(E13945&lt;&gt;"""", F13945&lt;&gt;"&amp;""""", NOT(REGEXMATCH(C13945, ""薪資""))), ""內部轉帳(忽略)"",
  REGEXMATCH(C13945, ""薪資""), ""薪資變動(不計入)"",
  REGEXMATCH(C13945, ""押金""), ""押金往來"",
  AND(E13945&lt;&gt;"""", F13945=""""), ""真實支出"",
  AND(E13945="""", F13945&lt;&gt;""""), ""真實收入"",
  TRUE, ""其他""
)"),"其他")</f>
        <v>其他</v>
      </c>
      <c r="K13945" s="270" t="str">
        <f t="shared" si="2"/>
        <v/>
      </c>
      <c r="L13945">
        <f t="shared" si="3"/>
        <v>0</v>
      </c>
    </row>
    <row r="13946">
      <c r="A13946" s="107"/>
      <c r="D13946" s="270"/>
      <c r="H13946" s="106" t="str">
        <f t="shared" si="1"/>
        <v/>
      </c>
      <c r="J13946" t="str">
        <f>IFERROR(__xludf.DUMMYFUNCTION("IFS(
  AND(REGEXMATCH(E13946, ""台銀籌備帳戶|玉山帳戶""), REGEXMATCH(C13946, ""薪資"")), ""分潤支出"",
  AND(REGEXMATCH(E13946, ""Ben帳戶|Elsa帳戶|Ben代墊|Ariel代墊|中信銀行共用""), REGEXMATCH(F13946, ""Ben帳戶|Elsa帳戶|Ben代墊|Ariel代墊|中信銀行共用"")), ""內部轉帳(忽略)"",
  AND(E13946&lt;&gt;"""", F13946&lt;&gt;"&amp;""""", NOT(REGEXMATCH(C13946, ""薪資""))), ""內部轉帳(忽略)"",
  REGEXMATCH(C13946, ""薪資""), ""薪資變動(不計入)"",
  REGEXMATCH(C13946, ""押金""), ""押金往來"",
  AND(E13946&lt;&gt;"""", F13946=""""), ""真實支出"",
  AND(E13946="""", F13946&lt;&gt;""""), ""真實收入"",
  TRUE, ""其他""
)"),"其他")</f>
        <v>其他</v>
      </c>
      <c r="K13946" s="270" t="str">
        <f t="shared" si="2"/>
        <v/>
      </c>
      <c r="L13946">
        <f t="shared" si="3"/>
        <v>0</v>
      </c>
    </row>
    <row r="13947">
      <c r="A13947" s="107"/>
      <c r="D13947" s="270"/>
      <c r="H13947" s="106" t="str">
        <f t="shared" si="1"/>
        <v/>
      </c>
      <c r="J13947" t="str">
        <f>IFERROR(__xludf.DUMMYFUNCTION("IFS(
  AND(REGEXMATCH(E13947, ""台銀籌備帳戶|玉山帳戶""), REGEXMATCH(C13947, ""薪資"")), ""分潤支出"",
  AND(REGEXMATCH(E13947, ""Ben帳戶|Elsa帳戶|Ben代墊|Ariel代墊|中信銀行共用""), REGEXMATCH(F13947, ""Ben帳戶|Elsa帳戶|Ben代墊|Ariel代墊|中信銀行共用"")), ""內部轉帳(忽略)"",
  AND(E13947&lt;&gt;"""", F13947&lt;&gt;"&amp;""""", NOT(REGEXMATCH(C13947, ""薪資""))), ""內部轉帳(忽略)"",
  REGEXMATCH(C13947, ""薪資""), ""薪資變動(不計入)"",
  REGEXMATCH(C13947, ""押金""), ""押金往來"",
  AND(E13947&lt;&gt;"""", F13947=""""), ""真實支出"",
  AND(E13947="""", F13947&lt;&gt;""""), ""真實收入"",
  TRUE, ""其他""
)"),"其他")</f>
        <v>其他</v>
      </c>
      <c r="K13947" s="270" t="str">
        <f t="shared" si="2"/>
        <v/>
      </c>
      <c r="L13947">
        <f t="shared" si="3"/>
        <v>0</v>
      </c>
    </row>
    <row r="13948">
      <c r="A13948" s="107"/>
      <c r="D13948" s="270"/>
      <c r="H13948" s="106" t="str">
        <f t="shared" si="1"/>
        <v/>
      </c>
      <c r="J13948" t="str">
        <f>IFERROR(__xludf.DUMMYFUNCTION("IFS(
  AND(REGEXMATCH(E13948, ""台銀籌備帳戶|玉山帳戶""), REGEXMATCH(C13948, ""薪資"")), ""分潤支出"",
  AND(REGEXMATCH(E13948, ""Ben帳戶|Elsa帳戶|Ben代墊|Ariel代墊|中信銀行共用""), REGEXMATCH(F13948, ""Ben帳戶|Elsa帳戶|Ben代墊|Ariel代墊|中信銀行共用"")), ""內部轉帳(忽略)"",
  AND(E13948&lt;&gt;"""", F13948&lt;&gt;"&amp;""""", NOT(REGEXMATCH(C13948, ""薪資""))), ""內部轉帳(忽略)"",
  REGEXMATCH(C13948, ""薪資""), ""薪資變動(不計入)"",
  REGEXMATCH(C13948, ""押金""), ""押金往來"",
  AND(E13948&lt;&gt;"""", F13948=""""), ""真實支出"",
  AND(E13948="""", F13948&lt;&gt;""""), ""真實收入"",
  TRUE, ""其他""
)"),"其他")</f>
        <v>其他</v>
      </c>
      <c r="K13948" s="270" t="str">
        <f t="shared" si="2"/>
        <v/>
      </c>
      <c r="L13948">
        <f t="shared" si="3"/>
        <v>0</v>
      </c>
    </row>
    <row r="13949">
      <c r="A13949" s="107"/>
      <c r="D13949" s="270"/>
      <c r="H13949" s="106" t="str">
        <f t="shared" si="1"/>
        <v/>
      </c>
      <c r="J13949" t="str">
        <f>IFERROR(__xludf.DUMMYFUNCTION("IFS(
  AND(REGEXMATCH(E13949, ""台銀籌備帳戶|玉山帳戶""), REGEXMATCH(C13949, ""薪資"")), ""分潤支出"",
  AND(REGEXMATCH(E13949, ""Ben帳戶|Elsa帳戶|Ben代墊|Ariel代墊|中信銀行共用""), REGEXMATCH(F13949, ""Ben帳戶|Elsa帳戶|Ben代墊|Ariel代墊|中信銀行共用"")), ""內部轉帳(忽略)"",
  AND(E13949&lt;&gt;"""", F13949&lt;&gt;"&amp;""""", NOT(REGEXMATCH(C13949, ""薪資""))), ""內部轉帳(忽略)"",
  REGEXMATCH(C13949, ""薪資""), ""薪資變動(不計入)"",
  REGEXMATCH(C13949, ""押金""), ""押金往來"",
  AND(E13949&lt;&gt;"""", F13949=""""), ""真實支出"",
  AND(E13949="""", F13949&lt;&gt;""""), ""真實收入"",
  TRUE, ""其他""
)"),"其他")</f>
        <v>其他</v>
      </c>
      <c r="K13949" s="270" t="str">
        <f t="shared" si="2"/>
        <v/>
      </c>
      <c r="L13949">
        <f t="shared" si="3"/>
        <v>0</v>
      </c>
    </row>
    <row r="13950">
      <c r="A13950" s="107"/>
      <c r="D13950" s="270"/>
      <c r="H13950" s="106" t="str">
        <f t="shared" si="1"/>
        <v/>
      </c>
      <c r="J13950" t="str">
        <f>IFERROR(__xludf.DUMMYFUNCTION("IFS(
  AND(REGEXMATCH(E13950, ""台銀籌備帳戶|玉山帳戶""), REGEXMATCH(C13950, ""薪資"")), ""分潤支出"",
  AND(REGEXMATCH(E13950, ""Ben帳戶|Elsa帳戶|Ben代墊|Ariel代墊|中信銀行共用""), REGEXMATCH(F13950, ""Ben帳戶|Elsa帳戶|Ben代墊|Ariel代墊|中信銀行共用"")), ""內部轉帳(忽略)"",
  AND(E13950&lt;&gt;"""", F13950&lt;&gt;"&amp;""""", NOT(REGEXMATCH(C13950, ""薪資""))), ""內部轉帳(忽略)"",
  REGEXMATCH(C13950, ""薪資""), ""薪資變動(不計入)"",
  REGEXMATCH(C13950, ""押金""), ""押金往來"",
  AND(E13950&lt;&gt;"""", F13950=""""), ""真實支出"",
  AND(E13950="""", F13950&lt;&gt;""""), ""真實收入"",
  TRUE, ""其他""
)"),"其他")</f>
        <v>其他</v>
      </c>
      <c r="K13950" s="270" t="str">
        <f t="shared" si="2"/>
        <v/>
      </c>
      <c r="L13950">
        <f t="shared" si="3"/>
        <v>0</v>
      </c>
    </row>
    <row r="13951">
      <c r="A13951" s="107"/>
      <c r="D13951" s="270"/>
      <c r="H13951" s="106" t="str">
        <f t="shared" si="1"/>
        <v/>
      </c>
      <c r="J13951" t="str">
        <f>IFERROR(__xludf.DUMMYFUNCTION("IFS(
  AND(REGEXMATCH(E13951, ""台銀籌備帳戶|玉山帳戶""), REGEXMATCH(C13951, ""薪資"")), ""分潤支出"",
  AND(REGEXMATCH(E13951, ""Ben帳戶|Elsa帳戶|Ben代墊|Ariel代墊|中信銀行共用""), REGEXMATCH(F13951, ""Ben帳戶|Elsa帳戶|Ben代墊|Ariel代墊|中信銀行共用"")), ""內部轉帳(忽略)"",
  AND(E13951&lt;&gt;"""", F13951&lt;&gt;"&amp;""""", NOT(REGEXMATCH(C13951, ""薪資""))), ""內部轉帳(忽略)"",
  REGEXMATCH(C13951, ""薪資""), ""薪資變動(不計入)"",
  REGEXMATCH(C13951, ""押金""), ""押金往來"",
  AND(E13951&lt;&gt;"""", F13951=""""), ""真實支出"",
  AND(E13951="""", F13951&lt;&gt;""""), ""真實收入"",
  TRUE, ""其他""
)"),"其他")</f>
        <v>其他</v>
      </c>
      <c r="K13951" s="270" t="str">
        <f t="shared" si="2"/>
        <v/>
      </c>
      <c r="L13951">
        <f t="shared" si="3"/>
        <v>0</v>
      </c>
    </row>
    <row r="13952">
      <c r="A13952" s="107"/>
      <c r="D13952" s="270"/>
      <c r="H13952" s="106" t="str">
        <f t="shared" si="1"/>
        <v/>
      </c>
      <c r="J13952" t="str">
        <f>IFERROR(__xludf.DUMMYFUNCTION("IFS(
  AND(REGEXMATCH(E13952, ""台銀籌備帳戶|玉山帳戶""), REGEXMATCH(C13952, ""薪資"")), ""分潤支出"",
  AND(REGEXMATCH(E13952, ""Ben帳戶|Elsa帳戶|Ben代墊|Ariel代墊|中信銀行共用""), REGEXMATCH(F13952, ""Ben帳戶|Elsa帳戶|Ben代墊|Ariel代墊|中信銀行共用"")), ""內部轉帳(忽略)"",
  AND(E13952&lt;&gt;"""", F13952&lt;&gt;"&amp;""""", NOT(REGEXMATCH(C13952, ""薪資""))), ""內部轉帳(忽略)"",
  REGEXMATCH(C13952, ""薪資""), ""薪資變動(不計入)"",
  REGEXMATCH(C13952, ""押金""), ""押金往來"",
  AND(E13952&lt;&gt;"""", F13952=""""), ""真實支出"",
  AND(E13952="""", F13952&lt;&gt;""""), ""真實收入"",
  TRUE, ""其他""
)"),"其他")</f>
        <v>其他</v>
      </c>
      <c r="K13952" s="270" t="str">
        <f t="shared" si="2"/>
        <v/>
      </c>
      <c r="L13952">
        <f t="shared" si="3"/>
        <v>0</v>
      </c>
    </row>
    <row r="13953">
      <c r="A13953" s="107"/>
      <c r="D13953" s="270"/>
      <c r="H13953" s="106" t="str">
        <f t="shared" si="1"/>
        <v/>
      </c>
      <c r="J13953" t="str">
        <f>IFERROR(__xludf.DUMMYFUNCTION("IFS(
  AND(REGEXMATCH(E13953, ""台銀籌備帳戶|玉山帳戶""), REGEXMATCH(C13953, ""薪資"")), ""分潤支出"",
  AND(REGEXMATCH(E13953, ""Ben帳戶|Elsa帳戶|Ben代墊|Ariel代墊|中信銀行共用""), REGEXMATCH(F13953, ""Ben帳戶|Elsa帳戶|Ben代墊|Ariel代墊|中信銀行共用"")), ""內部轉帳(忽略)"",
  AND(E13953&lt;&gt;"""", F13953&lt;&gt;"&amp;""""", NOT(REGEXMATCH(C13953, ""薪資""))), ""內部轉帳(忽略)"",
  REGEXMATCH(C13953, ""薪資""), ""薪資變動(不計入)"",
  REGEXMATCH(C13953, ""押金""), ""押金往來"",
  AND(E13953&lt;&gt;"""", F13953=""""), ""真實支出"",
  AND(E13953="""", F13953&lt;&gt;""""), ""真實收入"",
  TRUE, ""其他""
)"),"其他")</f>
        <v>其他</v>
      </c>
      <c r="K13953" s="270" t="str">
        <f t="shared" si="2"/>
        <v/>
      </c>
      <c r="L13953">
        <f t="shared" si="3"/>
        <v>0</v>
      </c>
    </row>
    <row r="13954">
      <c r="A13954" s="107"/>
      <c r="D13954" s="270"/>
      <c r="H13954" s="106" t="str">
        <f t="shared" si="1"/>
        <v/>
      </c>
      <c r="J13954" t="str">
        <f>IFERROR(__xludf.DUMMYFUNCTION("IFS(
  AND(REGEXMATCH(E13954, ""台銀籌備帳戶|玉山帳戶""), REGEXMATCH(C13954, ""薪資"")), ""分潤支出"",
  AND(REGEXMATCH(E13954, ""Ben帳戶|Elsa帳戶|Ben代墊|Ariel代墊|中信銀行共用""), REGEXMATCH(F13954, ""Ben帳戶|Elsa帳戶|Ben代墊|Ariel代墊|中信銀行共用"")), ""內部轉帳(忽略)"",
  AND(E13954&lt;&gt;"""", F13954&lt;&gt;"&amp;""""", NOT(REGEXMATCH(C13954, ""薪資""))), ""內部轉帳(忽略)"",
  REGEXMATCH(C13954, ""薪資""), ""薪資變動(不計入)"",
  REGEXMATCH(C13954, ""押金""), ""押金往來"",
  AND(E13954&lt;&gt;"""", F13954=""""), ""真實支出"",
  AND(E13954="""", F13954&lt;&gt;""""), ""真實收入"",
  TRUE, ""其他""
)"),"其他")</f>
        <v>其他</v>
      </c>
      <c r="K13954" s="270" t="str">
        <f t="shared" si="2"/>
        <v/>
      </c>
      <c r="L13954">
        <f t="shared" si="3"/>
        <v>0</v>
      </c>
    </row>
    <row r="13955">
      <c r="A13955" s="107"/>
      <c r="D13955" s="270"/>
      <c r="H13955" s="106" t="str">
        <f t="shared" si="1"/>
        <v/>
      </c>
      <c r="J13955" t="str">
        <f>IFERROR(__xludf.DUMMYFUNCTION("IFS(
  AND(REGEXMATCH(E13955, ""台銀籌備帳戶|玉山帳戶""), REGEXMATCH(C13955, ""薪資"")), ""分潤支出"",
  AND(REGEXMATCH(E13955, ""Ben帳戶|Elsa帳戶|Ben代墊|Ariel代墊|中信銀行共用""), REGEXMATCH(F13955, ""Ben帳戶|Elsa帳戶|Ben代墊|Ariel代墊|中信銀行共用"")), ""內部轉帳(忽略)"",
  AND(E13955&lt;&gt;"""", F13955&lt;&gt;"&amp;""""", NOT(REGEXMATCH(C13955, ""薪資""))), ""內部轉帳(忽略)"",
  REGEXMATCH(C13955, ""薪資""), ""薪資變動(不計入)"",
  REGEXMATCH(C13955, ""押金""), ""押金往來"",
  AND(E13955&lt;&gt;"""", F13955=""""), ""真實支出"",
  AND(E13955="""", F13955&lt;&gt;""""), ""真實收入"",
  TRUE, ""其他""
)"),"其他")</f>
        <v>其他</v>
      </c>
      <c r="K13955" s="270" t="str">
        <f t="shared" si="2"/>
        <v/>
      </c>
      <c r="L13955">
        <f t="shared" si="3"/>
        <v>0</v>
      </c>
    </row>
    <row r="13956">
      <c r="A13956" s="107"/>
      <c r="D13956" s="270"/>
      <c r="H13956" s="106" t="str">
        <f t="shared" si="1"/>
        <v/>
      </c>
      <c r="J13956" t="str">
        <f>IFERROR(__xludf.DUMMYFUNCTION("IFS(
  AND(REGEXMATCH(E13956, ""台銀籌備帳戶|玉山帳戶""), REGEXMATCH(C13956, ""薪資"")), ""分潤支出"",
  AND(REGEXMATCH(E13956, ""Ben帳戶|Elsa帳戶|Ben代墊|Ariel代墊|中信銀行共用""), REGEXMATCH(F13956, ""Ben帳戶|Elsa帳戶|Ben代墊|Ariel代墊|中信銀行共用"")), ""內部轉帳(忽略)"",
  AND(E13956&lt;&gt;"""", F13956&lt;&gt;"&amp;""""", NOT(REGEXMATCH(C13956, ""薪資""))), ""內部轉帳(忽略)"",
  REGEXMATCH(C13956, ""薪資""), ""薪資變動(不計入)"",
  REGEXMATCH(C13956, ""押金""), ""押金往來"",
  AND(E13956&lt;&gt;"""", F13956=""""), ""真實支出"",
  AND(E13956="""", F13956&lt;&gt;""""), ""真實收入"",
  TRUE, ""其他""
)"),"其他")</f>
        <v>其他</v>
      </c>
      <c r="K13956" s="270" t="str">
        <f t="shared" si="2"/>
        <v/>
      </c>
      <c r="L13956">
        <f t="shared" si="3"/>
        <v>0</v>
      </c>
    </row>
    <row r="13957">
      <c r="A13957" s="107"/>
      <c r="D13957" s="270"/>
      <c r="H13957" s="106" t="str">
        <f t="shared" si="1"/>
        <v/>
      </c>
      <c r="J13957" t="str">
        <f>IFERROR(__xludf.DUMMYFUNCTION("IFS(
  AND(REGEXMATCH(E13957, ""台銀籌備帳戶|玉山帳戶""), REGEXMATCH(C13957, ""薪資"")), ""分潤支出"",
  AND(REGEXMATCH(E13957, ""Ben帳戶|Elsa帳戶|Ben代墊|Ariel代墊|中信銀行共用""), REGEXMATCH(F13957, ""Ben帳戶|Elsa帳戶|Ben代墊|Ariel代墊|中信銀行共用"")), ""內部轉帳(忽略)"",
  AND(E13957&lt;&gt;"""", F13957&lt;&gt;"&amp;""""", NOT(REGEXMATCH(C13957, ""薪資""))), ""內部轉帳(忽略)"",
  REGEXMATCH(C13957, ""薪資""), ""薪資變動(不計入)"",
  REGEXMATCH(C13957, ""押金""), ""押金往來"",
  AND(E13957&lt;&gt;"""", F13957=""""), ""真實支出"",
  AND(E13957="""", F13957&lt;&gt;""""), ""真實收入"",
  TRUE, ""其他""
)"),"其他")</f>
        <v>其他</v>
      </c>
      <c r="K13957" s="270" t="str">
        <f t="shared" si="2"/>
        <v/>
      </c>
      <c r="L13957">
        <f t="shared" si="3"/>
        <v>0</v>
      </c>
    </row>
    <row r="13958">
      <c r="A13958" s="107"/>
      <c r="D13958" s="270"/>
      <c r="H13958" s="106" t="str">
        <f t="shared" si="1"/>
        <v/>
      </c>
      <c r="J13958" t="str">
        <f>IFERROR(__xludf.DUMMYFUNCTION("IFS(
  AND(REGEXMATCH(E13958, ""台銀籌備帳戶|玉山帳戶""), REGEXMATCH(C13958, ""薪資"")), ""分潤支出"",
  AND(REGEXMATCH(E13958, ""Ben帳戶|Elsa帳戶|Ben代墊|Ariel代墊|中信銀行共用""), REGEXMATCH(F13958, ""Ben帳戶|Elsa帳戶|Ben代墊|Ariel代墊|中信銀行共用"")), ""內部轉帳(忽略)"",
  AND(E13958&lt;&gt;"""", F13958&lt;&gt;"&amp;""""", NOT(REGEXMATCH(C13958, ""薪資""))), ""內部轉帳(忽略)"",
  REGEXMATCH(C13958, ""薪資""), ""薪資變動(不計入)"",
  REGEXMATCH(C13958, ""押金""), ""押金往來"",
  AND(E13958&lt;&gt;"""", F13958=""""), ""真實支出"",
  AND(E13958="""", F13958&lt;&gt;""""), ""真實收入"",
  TRUE, ""其他""
)"),"其他")</f>
        <v>其他</v>
      </c>
      <c r="K13958" s="270" t="str">
        <f t="shared" si="2"/>
        <v/>
      </c>
      <c r="L13958">
        <f t="shared" si="3"/>
        <v>0</v>
      </c>
    </row>
    <row r="13959">
      <c r="A13959" s="107"/>
      <c r="D13959" s="270"/>
      <c r="H13959" s="106" t="str">
        <f t="shared" si="1"/>
        <v/>
      </c>
      <c r="J13959" t="str">
        <f>IFERROR(__xludf.DUMMYFUNCTION("IFS(
  AND(REGEXMATCH(E13959, ""台銀籌備帳戶|玉山帳戶""), REGEXMATCH(C13959, ""薪資"")), ""分潤支出"",
  AND(REGEXMATCH(E13959, ""Ben帳戶|Elsa帳戶|Ben代墊|Ariel代墊|中信銀行共用""), REGEXMATCH(F13959, ""Ben帳戶|Elsa帳戶|Ben代墊|Ariel代墊|中信銀行共用"")), ""內部轉帳(忽略)"",
  AND(E13959&lt;&gt;"""", F13959&lt;&gt;"&amp;""""", NOT(REGEXMATCH(C13959, ""薪資""))), ""內部轉帳(忽略)"",
  REGEXMATCH(C13959, ""薪資""), ""薪資變動(不計入)"",
  REGEXMATCH(C13959, ""押金""), ""押金往來"",
  AND(E13959&lt;&gt;"""", F13959=""""), ""真實支出"",
  AND(E13959="""", F13959&lt;&gt;""""), ""真實收入"",
  TRUE, ""其他""
)"),"其他")</f>
        <v>其他</v>
      </c>
      <c r="K13959" s="270" t="str">
        <f t="shared" si="2"/>
        <v/>
      </c>
      <c r="L13959">
        <f t="shared" si="3"/>
        <v>0</v>
      </c>
    </row>
    <row r="13960">
      <c r="A13960" s="107"/>
      <c r="D13960" s="270"/>
      <c r="H13960" s="106" t="str">
        <f t="shared" si="1"/>
        <v/>
      </c>
      <c r="J13960" t="str">
        <f>IFERROR(__xludf.DUMMYFUNCTION("IFS(
  AND(REGEXMATCH(E13960, ""台銀籌備帳戶|玉山帳戶""), REGEXMATCH(C13960, ""薪資"")), ""分潤支出"",
  AND(REGEXMATCH(E13960, ""Ben帳戶|Elsa帳戶|Ben代墊|Ariel代墊|中信銀行共用""), REGEXMATCH(F13960, ""Ben帳戶|Elsa帳戶|Ben代墊|Ariel代墊|中信銀行共用"")), ""內部轉帳(忽略)"",
  AND(E13960&lt;&gt;"""", F13960&lt;&gt;"&amp;""""", NOT(REGEXMATCH(C13960, ""薪資""))), ""內部轉帳(忽略)"",
  REGEXMATCH(C13960, ""薪資""), ""薪資變動(不計入)"",
  REGEXMATCH(C13960, ""押金""), ""押金往來"",
  AND(E13960&lt;&gt;"""", F13960=""""), ""真實支出"",
  AND(E13960="""", F13960&lt;&gt;""""), ""真實收入"",
  TRUE, ""其他""
)"),"其他")</f>
        <v>其他</v>
      </c>
      <c r="K13960" s="270" t="str">
        <f t="shared" si="2"/>
        <v/>
      </c>
      <c r="L13960">
        <f t="shared" si="3"/>
        <v>0</v>
      </c>
    </row>
    <row r="13961">
      <c r="A13961" s="107"/>
      <c r="D13961" s="270"/>
      <c r="H13961" s="106" t="str">
        <f t="shared" si="1"/>
        <v/>
      </c>
      <c r="J13961" t="str">
        <f>IFERROR(__xludf.DUMMYFUNCTION("IFS(
  AND(REGEXMATCH(E13961, ""台銀籌備帳戶|玉山帳戶""), REGEXMATCH(C13961, ""薪資"")), ""分潤支出"",
  AND(REGEXMATCH(E13961, ""Ben帳戶|Elsa帳戶|Ben代墊|Ariel代墊|中信銀行共用""), REGEXMATCH(F13961, ""Ben帳戶|Elsa帳戶|Ben代墊|Ariel代墊|中信銀行共用"")), ""內部轉帳(忽略)"",
  AND(E13961&lt;&gt;"""", F13961&lt;&gt;"&amp;""""", NOT(REGEXMATCH(C13961, ""薪資""))), ""內部轉帳(忽略)"",
  REGEXMATCH(C13961, ""薪資""), ""薪資變動(不計入)"",
  REGEXMATCH(C13961, ""押金""), ""押金往來"",
  AND(E13961&lt;&gt;"""", F13961=""""), ""真實支出"",
  AND(E13961="""", F13961&lt;&gt;""""), ""真實收入"",
  TRUE, ""其他""
)"),"其他")</f>
        <v>其他</v>
      </c>
      <c r="K13961" s="270" t="str">
        <f t="shared" si="2"/>
        <v/>
      </c>
      <c r="L13961">
        <f t="shared" si="3"/>
        <v>0</v>
      </c>
    </row>
    <row r="13962">
      <c r="A13962" s="107"/>
      <c r="D13962" s="270"/>
      <c r="H13962" s="106" t="str">
        <f t="shared" si="1"/>
        <v/>
      </c>
      <c r="J13962" t="str">
        <f>IFERROR(__xludf.DUMMYFUNCTION("IFS(
  AND(REGEXMATCH(E13962, ""台銀籌備帳戶|玉山帳戶""), REGEXMATCH(C13962, ""薪資"")), ""分潤支出"",
  AND(REGEXMATCH(E13962, ""Ben帳戶|Elsa帳戶|Ben代墊|Ariel代墊|中信銀行共用""), REGEXMATCH(F13962, ""Ben帳戶|Elsa帳戶|Ben代墊|Ariel代墊|中信銀行共用"")), ""內部轉帳(忽略)"",
  AND(E13962&lt;&gt;"""", F13962&lt;&gt;"&amp;""""", NOT(REGEXMATCH(C13962, ""薪資""))), ""內部轉帳(忽略)"",
  REGEXMATCH(C13962, ""薪資""), ""薪資變動(不計入)"",
  REGEXMATCH(C13962, ""押金""), ""押金往來"",
  AND(E13962&lt;&gt;"""", F13962=""""), ""真實支出"",
  AND(E13962="""", F13962&lt;&gt;""""), ""真實收入"",
  TRUE, ""其他""
)"),"其他")</f>
        <v>其他</v>
      </c>
      <c r="K13962" s="270" t="str">
        <f t="shared" si="2"/>
        <v/>
      </c>
      <c r="L13962">
        <f t="shared" si="3"/>
        <v>0</v>
      </c>
    </row>
    <row r="13963">
      <c r="A13963" s="107"/>
      <c r="D13963" s="270"/>
      <c r="H13963" s="106" t="str">
        <f t="shared" si="1"/>
        <v/>
      </c>
      <c r="J13963" t="str">
        <f>IFERROR(__xludf.DUMMYFUNCTION("IFS(
  AND(REGEXMATCH(E13963, ""台銀籌備帳戶|玉山帳戶""), REGEXMATCH(C13963, ""薪資"")), ""分潤支出"",
  AND(REGEXMATCH(E13963, ""Ben帳戶|Elsa帳戶|Ben代墊|Ariel代墊|中信銀行共用""), REGEXMATCH(F13963, ""Ben帳戶|Elsa帳戶|Ben代墊|Ariel代墊|中信銀行共用"")), ""內部轉帳(忽略)"",
  AND(E13963&lt;&gt;"""", F13963&lt;&gt;"&amp;""""", NOT(REGEXMATCH(C13963, ""薪資""))), ""內部轉帳(忽略)"",
  REGEXMATCH(C13963, ""薪資""), ""薪資變動(不計入)"",
  REGEXMATCH(C13963, ""押金""), ""押金往來"",
  AND(E13963&lt;&gt;"""", F13963=""""), ""真實支出"",
  AND(E13963="""", F13963&lt;&gt;""""), ""真實收入"",
  TRUE, ""其他""
)"),"其他")</f>
        <v>其他</v>
      </c>
      <c r="K13963" s="270" t="str">
        <f t="shared" si="2"/>
        <v/>
      </c>
      <c r="L13963">
        <f t="shared" si="3"/>
        <v>0</v>
      </c>
    </row>
    <row r="13964">
      <c r="A13964" s="107"/>
      <c r="D13964" s="270"/>
      <c r="H13964" s="106" t="str">
        <f t="shared" si="1"/>
        <v/>
      </c>
      <c r="J13964" t="str">
        <f>IFERROR(__xludf.DUMMYFUNCTION("IFS(
  AND(REGEXMATCH(E13964, ""台銀籌備帳戶|玉山帳戶""), REGEXMATCH(C13964, ""薪資"")), ""分潤支出"",
  AND(REGEXMATCH(E13964, ""Ben帳戶|Elsa帳戶|Ben代墊|Ariel代墊|中信銀行共用""), REGEXMATCH(F13964, ""Ben帳戶|Elsa帳戶|Ben代墊|Ariel代墊|中信銀行共用"")), ""內部轉帳(忽略)"",
  AND(E13964&lt;&gt;"""", F13964&lt;&gt;"&amp;""""", NOT(REGEXMATCH(C13964, ""薪資""))), ""內部轉帳(忽略)"",
  REGEXMATCH(C13964, ""薪資""), ""薪資變動(不計入)"",
  REGEXMATCH(C13964, ""押金""), ""押金往來"",
  AND(E13964&lt;&gt;"""", F13964=""""), ""真實支出"",
  AND(E13964="""", F13964&lt;&gt;""""), ""真實收入"",
  TRUE, ""其他""
)"),"其他")</f>
        <v>其他</v>
      </c>
      <c r="K13964" s="270" t="str">
        <f t="shared" si="2"/>
        <v/>
      </c>
      <c r="L13964">
        <f t="shared" si="3"/>
        <v>0</v>
      </c>
    </row>
    <row r="13965">
      <c r="A13965" s="107"/>
      <c r="D13965" s="270"/>
      <c r="H13965" s="106" t="str">
        <f t="shared" si="1"/>
        <v/>
      </c>
      <c r="J13965" t="str">
        <f>IFERROR(__xludf.DUMMYFUNCTION("IFS(
  AND(REGEXMATCH(E13965, ""台銀籌備帳戶|玉山帳戶""), REGEXMATCH(C13965, ""薪資"")), ""分潤支出"",
  AND(REGEXMATCH(E13965, ""Ben帳戶|Elsa帳戶|Ben代墊|Ariel代墊|中信銀行共用""), REGEXMATCH(F13965, ""Ben帳戶|Elsa帳戶|Ben代墊|Ariel代墊|中信銀行共用"")), ""內部轉帳(忽略)"",
  AND(E13965&lt;&gt;"""", F13965&lt;&gt;"&amp;""""", NOT(REGEXMATCH(C13965, ""薪資""))), ""內部轉帳(忽略)"",
  REGEXMATCH(C13965, ""薪資""), ""薪資變動(不計入)"",
  REGEXMATCH(C13965, ""押金""), ""押金往來"",
  AND(E13965&lt;&gt;"""", F13965=""""), ""真實支出"",
  AND(E13965="""", F13965&lt;&gt;""""), ""真實收入"",
  TRUE, ""其他""
)"),"其他")</f>
        <v>其他</v>
      </c>
      <c r="K13965" s="270" t="str">
        <f t="shared" si="2"/>
        <v/>
      </c>
      <c r="L13965">
        <f t="shared" si="3"/>
        <v>0</v>
      </c>
    </row>
    <row r="13966">
      <c r="A13966" s="107"/>
      <c r="D13966" s="270"/>
      <c r="H13966" s="106" t="str">
        <f t="shared" si="1"/>
        <v/>
      </c>
      <c r="J13966" t="str">
        <f>IFERROR(__xludf.DUMMYFUNCTION("IFS(
  AND(REGEXMATCH(E13966, ""台銀籌備帳戶|玉山帳戶""), REGEXMATCH(C13966, ""薪資"")), ""分潤支出"",
  AND(REGEXMATCH(E13966, ""Ben帳戶|Elsa帳戶|Ben代墊|Ariel代墊|中信銀行共用""), REGEXMATCH(F13966, ""Ben帳戶|Elsa帳戶|Ben代墊|Ariel代墊|中信銀行共用"")), ""內部轉帳(忽略)"",
  AND(E13966&lt;&gt;"""", F13966&lt;&gt;"&amp;""""", NOT(REGEXMATCH(C13966, ""薪資""))), ""內部轉帳(忽略)"",
  REGEXMATCH(C13966, ""薪資""), ""薪資變動(不計入)"",
  REGEXMATCH(C13966, ""押金""), ""押金往來"",
  AND(E13966&lt;&gt;"""", F13966=""""), ""真實支出"",
  AND(E13966="""", F13966&lt;&gt;""""), ""真實收入"",
  TRUE, ""其他""
)"),"其他")</f>
        <v>其他</v>
      </c>
      <c r="K13966" s="270" t="str">
        <f t="shared" si="2"/>
        <v/>
      </c>
      <c r="L13966">
        <f t="shared" si="3"/>
        <v>0</v>
      </c>
    </row>
    <row r="13967">
      <c r="A13967" s="107"/>
      <c r="D13967" s="270"/>
      <c r="H13967" s="106" t="str">
        <f t="shared" si="1"/>
        <v/>
      </c>
      <c r="J13967" t="str">
        <f>IFERROR(__xludf.DUMMYFUNCTION("IFS(
  AND(REGEXMATCH(E13967, ""台銀籌備帳戶|玉山帳戶""), REGEXMATCH(C13967, ""薪資"")), ""分潤支出"",
  AND(REGEXMATCH(E13967, ""Ben帳戶|Elsa帳戶|Ben代墊|Ariel代墊|中信銀行共用""), REGEXMATCH(F13967, ""Ben帳戶|Elsa帳戶|Ben代墊|Ariel代墊|中信銀行共用"")), ""內部轉帳(忽略)"",
  AND(E13967&lt;&gt;"""", F13967&lt;&gt;"&amp;""""", NOT(REGEXMATCH(C13967, ""薪資""))), ""內部轉帳(忽略)"",
  REGEXMATCH(C13967, ""薪資""), ""薪資變動(不計入)"",
  REGEXMATCH(C13967, ""押金""), ""押金往來"",
  AND(E13967&lt;&gt;"""", F13967=""""), ""真實支出"",
  AND(E13967="""", F13967&lt;&gt;""""), ""真實收入"",
  TRUE, ""其他""
)"),"其他")</f>
        <v>其他</v>
      </c>
      <c r="K13967" s="270" t="str">
        <f t="shared" si="2"/>
        <v/>
      </c>
      <c r="L13967">
        <f t="shared" si="3"/>
        <v>0</v>
      </c>
    </row>
    <row r="13968">
      <c r="A13968" s="107"/>
      <c r="D13968" s="270"/>
      <c r="H13968" s="106" t="str">
        <f t="shared" si="1"/>
        <v/>
      </c>
      <c r="J13968" t="str">
        <f>IFERROR(__xludf.DUMMYFUNCTION("IFS(
  AND(REGEXMATCH(E13968, ""台銀籌備帳戶|玉山帳戶""), REGEXMATCH(C13968, ""薪資"")), ""分潤支出"",
  AND(REGEXMATCH(E13968, ""Ben帳戶|Elsa帳戶|Ben代墊|Ariel代墊|中信銀行共用""), REGEXMATCH(F13968, ""Ben帳戶|Elsa帳戶|Ben代墊|Ariel代墊|中信銀行共用"")), ""內部轉帳(忽略)"",
  AND(E13968&lt;&gt;"""", F13968&lt;&gt;"&amp;""""", NOT(REGEXMATCH(C13968, ""薪資""))), ""內部轉帳(忽略)"",
  REGEXMATCH(C13968, ""薪資""), ""薪資變動(不計入)"",
  REGEXMATCH(C13968, ""押金""), ""押金往來"",
  AND(E13968&lt;&gt;"""", F13968=""""), ""真實支出"",
  AND(E13968="""", F13968&lt;&gt;""""), ""真實收入"",
  TRUE, ""其他""
)"),"其他")</f>
        <v>其他</v>
      </c>
      <c r="K13968" s="270" t="str">
        <f t="shared" si="2"/>
        <v/>
      </c>
      <c r="L13968">
        <f t="shared" si="3"/>
        <v>0</v>
      </c>
    </row>
    <row r="13969">
      <c r="A13969" s="107"/>
      <c r="D13969" s="270"/>
      <c r="H13969" s="106" t="str">
        <f t="shared" si="1"/>
        <v/>
      </c>
      <c r="J13969" t="str">
        <f>IFERROR(__xludf.DUMMYFUNCTION("IFS(
  AND(REGEXMATCH(E13969, ""台銀籌備帳戶|玉山帳戶""), REGEXMATCH(C13969, ""薪資"")), ""分潤支出"",
  AND(REGEXMATCH(E13969, ""Ben帳戶|Elsa帳戶|Ben代墊|Ariel代墊|中信銀行共用""), REGEXMATCH(F13969, ""Ben帳戶|Elsa帳戶|Ben代墊|Ariel代墊|中信銀行共用"")), ""內部轉帳(忽略)"",
  AND(E13969&lt;&gt;"""", F13969&lt;&gt;"&amp;""""", NOT(REGEXMATCH(C13969, ""薪資""))), ""內部轉帳(忽略)"",
  REGEXMATCH(C13969, ""薪資""), ""薪資變動(不計入)"",
  REGEXMATCH(C13969, ""押金""), ""押金往來"",
  AND(E13969&lt;&gt;"""", F13969=""""), ""真實支出"",
  AND(E13969="""", F13969&lt;&gt;""""), ""真實收入"",
  TRUE, ""其他""
)"),"其他")</f>
        <v>其他</v>
      </c>
      <c r="K13969" s="270" t="str">
        <f t="shared" si="2"/>
        <v/>
      </c>
      <c r="L13969">
        <f t="shared" si="3"/>
        <v>0</v>
      </c>
    </row>
    <row r="13970">
      <c r="A13970" s="107"/>
      <c r="D13970" s="270"/>
      <c r="H13970" s="106" t="str">
        <f t="shared" si="1"/>
        <v/>
      </c>
      <c r="J13970" t="str">
        <f>IFERROR(__xludf.DUMMYFUNCTION("IFS(
  AND(REGEXMATCH(E13970, ""台銀籌備帳戶|玉山帳戶""), REGEXMATCH(C13970, ""薪資"")), ""分潤支出"",
  AND(REGEXMATCH(E13970, ""Ben帳戶|Elsa帳戶|Ben代墊|Ariel代墊|中信銀行共用""), REGEXMATCH(F13970, ""Ben帳戶|Elsa帳戶|Ben代墊|Ariel代墊|中信銀行共用"")), ""內部轉帳(忽略)"",
  AND(E13970&lt;&gt;"""", F13970&lt;&gt;"&amp;""""", NOT(REGEXMATCH(C13970, ""薪資""))), ""內部轉帳(忽略)"",
  REGEXMATCH(C13970, ""薪資""), ""薪資變動(不計入)"",
  REGEXMATCH(C13970, ""押金""), ""押金往來"",
  AND(E13970&lt;&gt;"""", F13970=""""), ""真實支出"",
  AND(E13970="""", F13970&lt;&gt;""""), ""真實收入"",
  TRUE, ""其他""
)"),"其他")</f>
        <v>其他</v>
      </c>
      <c r="K13970" s="270" t="str">
        <f t="shared" si="2"/>
        <v/>
      </c>
      <c r="L13970">
        <f t="shared" si="3"/>
        <v>0</v>
      </c>
    </row>
    <row r="13971">
      <c r="A13971" s="107"/>
      <c r="D13971" s="270"/>
      <c r="H13971" s="106" t="str">
        <f t="shared" si="1"/>
        <v/>
      </c>
      <c r="J13971" t="str">
        <f>IFERROR(__xludf.DUMMYFUNCTION("IFS(
  AND(REGEXMATCH(E13971, ""台銀籌備帳戶|玉山帳戶""), REGEXMATCH(C13971, ""薪資"")), ""分潤支出"",
  AND(REGEXMATCH(E13971, ""Ben帳戶|Elsa帳戶|Ben代墊|Ariel代墊|中信銀行共用""), REGEXMATCH(F13971, ""Ben帳戶|Elsa帳戶|Ben代墊|Ariel代墊|中信銀行共用"")), ""內部轉帳(忽略)"",
  AND(E13971&lt;&gt;"""", F13971&lt;&gt;"&amp;""""", NOT(REGEXMATCH(C13971, ""薪資""))), ""內部轉帳(忽略)"",
  REGEXMATCH(C13971, ""薪資""), ""薪資變動(不計入)"",
  REGEXMATCH(C13971, ""押金""), ""押金往來"",
  AND(E13971&lt;&gt;"""", F13971=""""), ""真實支出"",
  AND(E13971="""", F13971&lt;&gt;""""), ""真實收入"",
  TRUE, ""其他""
)"),"其他")</f>
        <v>其他</v>
      </c>
      <c r="K13971" s="270" t="str">
        <f t="shared" si="2"/>
        <v/>
      </c>
      <c r="L13971">
        <f t="shared" si="3"/>
        <v>0</v>
      </c>
    </row>
    <row r="13972">
      <c r="A13972" s="107"/>
      <c r="D13972" s="270"/>
      <c r="H13972" s="106" t="str">
        <f t="shared" si="1"/>
        <v/>
      </c>
      <c r="J13972" t="str">
        <f>IFERROR(__xludf.DUMMYFUNCTION("IFS(
  AND(REGEXMATCH(E13972, ""台銀籌備帳戶|玉山帳戶""), REGEXMATCH(C13972, ""薪資"")), ""分潤支出"",
  AND(REGEXMATCH(E13972, ""Ben帳戶|Elsa帳戶|Ben代墊|Ariel代墊|中信銀行共用""), REGEXMATCH(F13972, ""Ben帳戶|Elsa帳戶|Ben代墊|Ariel代墊|中信銀行共用"")), ""內部轉帳(忽略)"",
  AND(E13972&lt;&gt;"""", F13972&lt;&gt;"&amp;""""", NOT(REGEXMATCH(C13972, ""薪資""))), ""內部轉帳(忽略)"",
  REGEXMATCH(C13972, ""薪資""), ""薪資變動(不計入)"",
  REGEXMATCH(C13972, ""押金""), ""押金往來"",
  AND(E13972&lt;&gt;"""", F13972=""""), ""真實支出"",
  AND(E13972="""", F13972&lt;&gt;""""), ""真實收入"",
  TRUE, ""其他""
)"),"其他")</f>
        <v>其他</v>
      </c>
      <c r="K13972" s="270" t="str">
        <f t="shared" si="2"/>
        <v/>
      </c>
      <c r="L13972">
        <f t="shared" si="3"/>
        <v>0</v>
      </c>
    </row>
    <row r="13973">
      <c r="A13973" s="107"/>
      <c r="D13973" s="270"/>
      <c r="H13973" s="106" t="str">
        <f t="shared" si="1"/>
        <v/>
      </c>
      <c r="J13973" t="str">
        <f>IFERROR(__xludf.DUMMYFUNCTION("IFS(
  AND(REGEXMATCH(E13973, ""台銀籌備帳戶|玉山帳戶""), REGEXMATCH(C13973, ""薪資"")), ""分潤支出"",
  AND(REGEXMATCH(E13973, ""Ben帳戶|Elsa帳戶|Ben代墊|Ariel代墊|中信銀行共用""), REGEXMATCH(F13973, ""Ben帳戶|Elsa帳戶|Ben代墊|Ariel代墊|中信銀行共用"")), ""內部轉帳(忽略)"",
  AND(E13973&lt;&gt;"""", F13973&lt;&gt;"&amp;""""", NOT(REGEXMATCH(C13973, ""薪資""))), ""內部轉帳(忽略)"",
  REGEXMATCH(C13973, ""薪資""), ""薪資變動(不計入)"",
  REGEXMATCH(C13973, ""押金""), ""押金往來"",
  AND(E13973&lt;&gt;"""", F13973=""""), ""真實支出"",
  AND(E13973="""", F13973&lt;&gt;""""), ""真實收入"",
  TRUE, ""其他""
)"),"其他")</f>
        <v>其他</v>
      </c>
      <c r="K13973" s="270" t="str">
        <f t="shared" si="2"/>
        <v/>
      </c>
      <c r="L13973">
        <f t="shared" si="3"/>
        <v>0</v>
      </c>
    </row>
    <row r="13974">
      <c r="A13974" s="107"/>
      <c r="D13974" s="270"/>
      <c r="H13974" s="106" t="str">
        <f t="shared" si="1"/>
        <v/>
      </c>
      <c r="J13974" t="str">
        <f>IFERROR(__xludf.DUMMYFUNCTION("IFS(
  AND(REGEXMATCH(E13974, ""台銀籌備帳戶|玉山帳戶""), REGEXMATCH(C13974, ""薪資"")), ""分潤支出"",
  AND(REGEXMATCH(E13974, ""Ben帳戶|Elsa帳戶|Ben代墊|Ariel代墊|中信銀行共用""), REGEXMATCH(F13974, ""Ben帳戶|Elsa帳戶|Ben代墊|Ariel代墊|中信銀行共用"")), ""內部轉帳(忽略)"",
  AND(E13974&lt;&gt;"""", F13974&lt;&gt;"&amp;""""", NOT(REGEXMATCH(C13974, ""薪資""))), ""內部轉帳(忽略)"",
  REGEXMATCH(C13974, ""薪資""), ""薪資變動(不計入)"",
  REGEXMATCH(C13974, ""押金""), ""押金往來"",
  AND(E13974&lt;&gt;"""", F13974=""""), ""真實支出"",
  AND(E13974="""", F13974&lt;&gt;""""), ""真實收入"",
  TRUE, ""其他""
)"),"其他")</f>
        <v>其他</v>
      </c>
      <c r="K13974" s="270" t="str">
        <f t="shared" si="2"/>
        <v/>
      </c>
      <c r="L13974">
        <f t="shared" si="3"/>
        <v>0</v>
      </c>
    </row>
    <row r="13975">
      <c r="A13975" s="107"/>
      <c r="D13975" s="270"/>
      <c r="H13975" s="106" t="str">
        <f t="shared" si="1"/>
        <v/>
      </c>
      <c r="J13975" t="str">
        <f>IFERROR(__xludf.DUMMYFUNCTION("IFS(
  AND(REGEXMATCH(E13975, ""台銀籌備帳戶|玉山帳戶""), REGEXMATCH(C13975, ""薪資"")), ""分潤支出"",
  AND(REGEXMATCH(E13975, ""Ben帳戶|Elsa帳戶|Ben代墊|Ariel代墊|中信銀行共用""), REGEXMATCH(F13975, ""Ben帳戶|Elsa帳戶|Ben代墊|Ariel代墊|中信銀行共用"")), ""內部轉帳(忽略)"",
  AND(E13975&lt;&gt;"""", F13975&lt;&gt;"&amp;""""", NOT(REGEXMATCH(C13975, ""薪資""))), ""內部轉帳(忽略)"",
  REGEXMATCH(C13975, ""薪資""), ""薪資變動(不計入)"",
  REGEXMATCH(C13975, ""押金""), ""押金往來"",
  AND(E13975&lt;&gt;"""", F13975=""""), ""真實支出"",
  AND(E13975="""", F13975&lt;&gt;""""), ""真實收入"",
  TRUE, ""其他""
)"),"其他")</f>
        <v>其他</v>
      </c>
      <c r="K13975" s="270" t="str">
        <f t="shared" si="2"/>
        <v/>
      </c>
      <c r="L13975">
        <f t="shared" si="3"/>
        <v>0</v>
      </c>
    </row>
    <row r="13976">
      <c r="A13976" s="107"/>
      <c r="D13976" s="270"/>
      <c r="H13976" s="106" t="str">
        <f t="shared" si="1"/>
        <v/>
      </c>
      <c r="J13976" t="str">
        <f>IFERROR(__xludf.DUMMYFUNCTION("IFS(
  AND(REGEXMATCH(E13976, ""台銀籌備帳戶|玉山帳戶""), REGEXMATCH(C13976, ""薪資"")), ""分潤支出"",
  AND(REGEXMATCH(E13976, ""Ben帳戶|Elsa帳戶|Ben代墊|Ariel代墊|中信銀行共用""), REGEXMATCH(F13976, ""Ben帳戶|Elsa帳戶|Ben代墊|Ariel代墊|中信銀行共用"")), ""內部轉帳(忽略)"",
  AND(E13976&lt;&gt;"""", F13976&lt;&gt;"&amp;""""", NOT(REGEXMATCH(C13976, ""薪資""))), ""內部轉帳(忽略)"",
  REGEXMATCH(C13976, ""薪資""), ""薪資變動(不計入)"",
  REGEXMATCH(C13976, ""押金""), ""押金往來"",
  AND(E13976&lt;&gt;"""", F13976=""""), ""真實支出"",
  AND(E13976="""", F13976&lt;&gt;""""), ""真實收入"",
  TRUE, ""其他""
)"),"其他")</f>
        <v>其他</v>
      </c>
      <c r="K13976" s="270" t="str">
        <f t="shared" si="2"/>
        <v/>
      </c>
      <c r="L13976">
        <f t="shared" si="3"/>
        <v>0</v>
      </c>
    </row>
    <row r="13977">
      <c r="A13977" s="107"/>
      <c r="D13977" s="270"/>
      <c r="H13977" s="106" t="str">
        <f t="shared" si="1"/>
        <v/>
      </c>
      <c r="J13977" t="str">
        <f>IFERROR(__xludf.DUMMYFUNCTION("IFS(
  AND(REGEXMATCH(E13977, ""台銀籌備帳戶|玉山帳戶""), REGEXMATCH(C13977, ""薪資"")), ""分潤支出"",
  AND(REGEXMATCH(E13977, ""Ben帳戶|Elsa帳戶|Ben代墊|Ariel代墊|中信銀行共用""), REGEXMATCH(F13977, ""Ben帳戶|Elsa帳戶|Ben代墊|Ariel代墊|中信銀行共用"")), ""內部轉帳(忽略)"",
  AND(E13977&lt;&gt;"""", F13977&lt;&gt;"&amp;""""", NOT(REGEXMATCH(C13977, ""薪資""))), ""內部轉帳(忽略)"",
  REGEXMATCH(C13977, ""薪資""), ""薪資變動(不計入)"",
  REGEXMATCH(C13977, ""押金""), ""押金往來"",
  AND(E13977&lt;&gt;"""", F13977=""""), ""真實支出"",
  AND(E13977="""", F13977&lt;&gt;""""), ""真實收入"",
  TRUE, ""其他""
)"),"其他")</f>
        <v>其他</v>
      </c>
      <c r="K13977" s="270" t="str">
        <f t="shared" si="2"/>
        <v/>
      </c>
      <c r="L13977">
        <f t="shared" si="3"/>
        <v>0</v>
      </c>
    </row>
    <row r="13978">
      <c r="A13978" s="107"/>
      <c r="D13978" s="270"/>
      <c r="H13978" s="106" t="str">
        <f t="shared" si="1"/>
        <v/>
      </c>
      <c r="J13978" t="str">
        <f>IFERROR(__xludf.DUMMYFUNCTION("IFS(
  AND(REGEXMATCH(E13978, ""台銀籌備帳戶|玉山帳戶""), REGEXMATCH(C13978, ""薪資"")), ""分潤支出"",
  AND(REGEXMATCH(E13978, ""Ben帳戶|Elsa帳戶|Ben代墊|Ariel代墊|中信銀行共用""), REGEXMATCH(F13978, ""Ben帳戶|Elsa帳戶|Ben代墊|Ariel代墊|中信銀行共用"")), ""內部轉帳(忽略)"",
  AND(E13978&lt;&gt;"""", F13978&lt;&gt;"&amp;""""", NOT(REGEXMATCH(C13978, ""薪資""))), ""內部轉帳(忽略)"",
  REGEXMATCH(C13978, ""薪資""), ""薪資變動(不計入)"",
  REGEXMATCH(C13978, ""押金""), ""押金往來"",
  AND(E13978&lt;&gt;"""", F13978=""""), ""真實支出"",
  AND(E13978="""", F13978&lt;&gt;""""), ""真實收入"",
  TRUE, ""其他""
)"),"其他")</f>
        <v>其他</v>
      </c>
      <c r="K13978" s="270" t="str">
        <f t="shared" si="2"/>
        <v/>
      </c>
      <c r="L13978">
        <f t="shared" si="3"/>
        <v>0</v>
      </c>
    </row>
    <row r="13979">
      <c r="A13979" s="107"/>
      <c r="D13979" s="270"/>
      <c r="H13979" s="106" t="str">
        <f t="shared" si="1"/>
        <v/>
      </c>
      <c r="J13979" t="str">
        <f>IFERROR(__xludf.DUMMYFUNCTION("IFS(
  AND(REGEXMATCH(E13979, ""台銀籌備帳戶|玉山帳戶""), REGEXMATCH(C13979, ""薪資"")), ""分潤支出"",
  AND(REGEXMATCH(E13979, ""Ben帳戶|Elsa帳戶|Ben代墊|Ariel代墊|中信銀行共用""), REGEXMATCH(F13979, ""Ben帳戶|Elsa帳戶|Ben代墊|Ariel代墊|中信銀行共用"")), ""內部轉帳(忽略)"",
  AND(E13979&lt;&gt;"""", F13979&lt;&gt;"&amp;""""", NOT(REGEXMATCH(C13979, ""薪資""))), ""內部轉帳(忽略)"",
  REGEXMATCH(C13979, ""薪資""), ""薪資變動(不計入)"",
  REGEXMATCH(C13979, ""押金""), ""押金往來"",
  AND(E13979&lt;&gt;"""", F13979=""""), ""真實支出"",
  AND(E13979="""", F13979&lt;&gt;""""), ""真實收入"",
  TRUE, ""其他""
)"),"其他")</f>
        <v>其他</v>
      </c>
      <c r="K13979" s="270" t="str">
        <f t="shared" si="2"/>
        <v/>
      </c>
      <c r="L13979">
        <f t="shared" si="3"/>
        <v>0</v>
      </c>
    </row>
    <row r="13980">
      <c r="A13980" s="107"/>
      <c r="D13980" s="270"/>
      <c r="H13980" s="106" t="str">
        <f t="shared" si="1"/>
        <v/>
      </c>
      <c r="J13980" t="str">
        <f>IFERROR(__xludf.DUMMYFUNCTION("IFS(
  AND(REGEXMATCH(E13980, ""台銀籌備帳戶|玉山帳戶""), REGEXMATCH(C13980, ""薪資"")), ""分潤支出"",
  AND(REGEXMATCH(E13980, ""Ben帳戶|Elsa帳戶|Ben代墊|Ariel代墊|中信銀行共用""), REGEXMATCH(F13980, ""Ben帳戶|Elsa帳戶|Ben代墊|Ariel代墊|中信銀行共用"")), ""內部轉帳(忽略)"",
  AND(E13980&lt;&gt;"""", F13980&lt;&gt;"&amp;""""", NOT(REGEXMATCH(C13980, ""薪資""))), ""內部轉帳(忽略)"",
  REGEXMATCH(C13980, ""薪資""), ""薪資變動(不計入)"",
  REGEXMATCH(C13980, ""押金""), ""押金往來"",
  AND(E13980&lt;&gt;"""", F13980=""""), ""真實支出"",
  AND(E13980="""", F13980&lt;&gt;""""), ""真實收入"",
  TRUE, ""其他""
)"),"其他")</f>
        <v>其他</v>
      </c>
      <c r="K13980" s="270" t="str">
        <f t="shared" si="2"/>
        <v/>
      </c>
      <c r="L13980">
        <f t="shared" si="3"/>
        <v>0</v>
      </c>
    </row>
    <row r="13981">
      <c r="A13981" s="107"/>
      <c r="D13981" s="270"/>
      <c r="H13981" s="106" t="str">
        <f t="shared" si="1"/>
        <v/>
      </c>
      <c r="J13981" t="str">
        <f>IFERROR(__xludf.DUMMYFUNCTION("IFS(
  AND(REGEXMATCH(E13981, ""台銀籌備帳戶|玉山帳戶""), REGEXMATCH(C13981, ""薪資"")), ""分潤支出"",
  AND(REGEXMATCH(E13981, ""Ben帳戶|Elsa帳戶|Ben代墊|Ariel代墊|中信銀行共用""), REGEXMATCH(F13981, ""Ben帳戶|Elsa帳戶|Ben代墊|Ariel代墊|中信銀行共用"")), ""內部轉帳(忽略)"",
  AND(E13981&lt;&gt;"""", F13981&lt;&gt;"&amp;""""", NOT(REGEXMATCH(C13981, ""薪資""))), ""內部轉帳(忽略)"",
  REGEXMATCH(C13981, ""薪資""), ""薪資變動(不計入)"",
  REGEXMATCH(C13981, ""押金""), ""押金往來"",
  AND(E13981&lt;&gt;"""", F13981=""""), ""真實支出"",
  AND(E13981="""", F13981&lt;&gt;""""), ""真實收入"",
  TRUE, ""其他""
)"),"其他")</f>
        <v>其他</v>
      </c>
      <c r="K13981" s="270" t="str">
        <f t="shared" si="2"/>
        <v/>
      </c>
      <c r="L13981">
        <f t="shared" si="3"/>
        <v>0</v>
      </c>
    </row>
    <row r="13982">
      <c r="A13982" s="107"/>
      <c r="D13982" s="270"/>
      <c r="H13982" s="106" t="str">
        <f t="shared" si="1"/>
        <v/>
      </c>
      <c r="J13982" t="str">
        <f>IFERROR(__xludf.DUMMYFUNCTION("IFS(
  AND(REGEXMATCH(E13982, ""台銀籌備帳戶|玉山帳戶""), REGEXMATCH(C13982, ""薪資"")), ""分潤支出"",
  AND(REGEXMATCH(E13982, ""Ben帳戶|Elsa帳戶|Ben代墊|Ariel代墊|中信銀行共用""), REGEXMATCH(F13982, ""Ben帳戶|Elsa帳戶|Ben代墊|Ariel代墊|中信銀行共用"")), ""內部轉帳(忽略)"",
  AND(E13982&lt;&gt;"""", F13982&lt;&gt;"&amp;""""", NOT(REGEXMATCH(C13982, ""薪資""))), ""內部轉帳(忽略)"",
  REGEXMATCH(C13982, ""薪資""), ""薪資變動(不計入)"",
  REGEXMATCH(C13982, ""押金""), ""押金往來"",
  AND(E13982&lt;&gt;"""", F13982=""""), ""真實支出"",
  AND(E13982="""", F13982&lt;&gt;""""), ""真實收入"",
  TRUE, ""其他""
)"),"其他")</f>
        <v>其他</v>
      </c>
      <c r="K13982" s="270" t="str">
        <f t="shared" si="2"/>
        <v/>
      </c>
      <c r="L13982">
        <f t="shared" si="3"/>
        <v>0</v>
      </c>
    </row>
    <row r="13983">
      <c r="A13983" s="107"/>
      <c r="D13983" s="270"/>
      <c r="H13983" s="106" t="str">
        <f t="shared" si="1"/>
        <v/>
      </c>
      <c r="J13983" t="str">
        <f>IFERROR(__xludf.DUMMYFUNCTION("IFS(
  AND(REGEXMATCH(E13983, ""台銀籌備帳戶|玉山帳戶""), REGEXMATCH(C13983, ""薪資"")), ""分潤支出"",
  AND(REGEXMATCH(E13983, ""Ben帳戶|Elsa帳戶|Ben代墊|Ariel代墊|中信銀行共用""), REGEXMATCH(F13983, ""Ben帳戶|Elsa帳戶|Ben代墊|Ariel代墊|中信銀行共用"")), ""內部轉帳(忽略)"",
  AND(E13983&lt;&gt;"""", F13983&lt;&gt;"&amp;""""", NOT(REGEXMATCH(C13983, ""薪資""))), ""內部轉帳(忽略)"",
  REGEXMATCH(C13983, ""薪資""), ""薪資變動(不計入)"",
  REGEXMATCH(C13983, ""押金""), ""押金往來"",
  AND(E13983&lt;&gt;"""", F13983=""""), ""真實支出"",
  AND(E13983="""", F13983&lt;&gt;""""), ""真實收入"",
  TRUE, ""其他""
)"),"其他")</f>
        <v>其他</v>
      </c>
      <c r="K13983" s="270" t="str">
        <f t="shared" si="2"/>
        <v/>
      </c>
      <c r="L13983">
        <f t="shared" si="3"/>
        <v>0</v>
      </c>
    </row>
    <row r="13984">
      <c r="A13984" s="107"/>
      <c r="D13984" s="270"/>
      <c r="H13984" s="106" t="str">
        <f t="shared" si="1"/>
        <v/>
      </c>
      <c r="J13984" t="str">
        <f>IFERROR(__xludf.DUMMYFUNCTION("IFS(
  AND(REGEXMATCH(E13984, ""台銀籌備帳戶|玉山帳戶""), REGEXMATCH(C13984, ""薪資"")), ""分潤支出"",
  AND(REGEXMATCH(E13984, ""Ben帳戶|Elsa帳戶|Ben代墊|Ariel代墊|中信銀行共用""), REGEXMATCH(F13984, ""Ben帳戶|Elsa帳戶|Ben代墊|Ariel代墊|中信銀行共用"")), ""內部轉帳(忽略)"",
  AND(E13984&lt;&gt;"""", F13984&lt;&gt;"&amp;""""", NOT(REGEXMATCH(C13984, ""薪資""))), ""內部轉帳(忽略)"",
  REGEXMATCH(C13984, ""薪資""), ""薪資變動(不計入)"",
  REGEXMATCH(C13984, ""押金""), ""押金往來"",
  AND(E13984&lt;&gt;"""", F13984=""""), ""真實支出"",
  AND(E13984="""", F13984&lt;&gt;""""), ""真實收入"",
  TRUE, ""其他""
)"),"其他")</f>
        <v>其他</v>
      </c>
      <c r="K13984" s="270" t="str">
        <f t="shared" si="2"/>
        <v/>
      </c>
      <c r="L13984">
        <f t="shared" si="3"/>
        <v>0</v>
      </c>
    </row>
    <row r="13985">
      <c r="A13985" s="107"/>
      <c r="D13985" s="270"/>
      <c r="H13985" s="106" t="str">
        <f t="shared" si="1"/>
        <v/>
      </c>
      <c r="J13985" t="str">
        <f>IFERROR(__xludf.DUMMYFUNCTION("IFS(
  AND(REGEXMATCH(E13985, ""台銀籌備帳戶|玉山帳戶""), REGEXMATCH(C13985, ""薪資"")), ""分潤支出"",
  AND(REGEXMATCH(E13985, ""Ben帳戶|Elsa帳戶|Ben代墊|Ariel代墊|中信銀行共用""), REGEXMATCH(F13985, ""Ben帳戶|Elsa帳戶|Ben代墊|Ariel代墊|中信銀行共用"")), ""內部轉帳(忽略)"",
  AND(E13985&lt;&gt;"""", F13985&lt;&gt;"&amp;""""", NOT(REGEXMATCH(C13985, ""薪資""))), ""內部轉帳(忽略)"",
  REGEXMATCH(C13985, ""薪資""), ""薪資變動(不計入)"",
  REGEXMATCH(C13985, ""押金""), ""押金往來"",
  AND(E13985&lt;&gt;"""", F13985=""""), ""真實支出"",
  AND(E13985="""", F13985&lt;&gt;""""), ""真實收入"",
  TRUE, ""其他""
)"),"其他")</f>
        <v>其他</v>
      </c>
      <c r="K13985" s="270" t="str">
        <f t="shared" si="2"/>
        <v/>
      </c>
      <c r="L13985">
        <f t="shared" si="3"/>
        <v>0</v>
      </c>
    </row>
    <row r="13986">
      <c r="A13986" s="107"/>
      <c r="D13986" s="270"/>
      <c r="H13986" s="106" t="str">
        <f t="shared" si="1"/>
        <v/>
      </c>
      <c r="J13986" t="str">
        <f>IFERROR(__xludf.DUMMYFUNCTION("IFS(
  AND(REGEXMATCH(E13986, ""台銀籌備帳戶|玉山帳戶""), REGEXMATCH(C13986, ""薪資"")), ""分潤支出"",
  AND(REGEXMATCH(E13986, ""Ben帳戶|Elsa帳戶|Ben代墊|Ariel代墊|中信銀行共用""), REGEXMATCH(F13986, ""Ben帳戶|Elsa帳戶|Ben代墊|Ariel代墊|中信銀行共用"")), ""內部轉帳(忽略)"",
  AND(E13986&lt;&gt;"""", F13986&lt;&gt;"&amp;""""", NOT(REGEXMATCH(C13986, ""薪資""))), ""內部轉帳(忽略)"",
  REGEXMATCH(C13986, ""薪資""), ""薪資變動(不計入)"",
  REGEXMATCH(C13986, ""押金""), ""押金往來"",
  AND(E13986&lt;&gt;"""", F13986=""""), ""真實支出"",
  AND(E13986="""", F13986&lt;&gt;""""), ""真實收入"",
  TRUE, ""其他""
)"),"其他")</f>
        <v>其他</v>
      </c>
      <c r="K13986" s="270" t="str">
        <f t="shared" si="2"/>
        <v/>
      </c>
      <c r="L13986">
        <f t="shared" si="3"/>
        <v>0</v>
      </c>
    </row>
    <row r="13987">
      <c r="A13987" s="107"/>
      <c r="D13987" s="270"/>
      <c r="H13987" s="106" t="str">
        <f t="shared" si="1"/>
        <v/>
      </c>
      <c r="J13987" t="str">
        <f>IFERROR(__xludf.DUMMYFUNCTION("IFS(
  AND(REGEXMATCH(E13987, ""台銀籌備帳戶|玉山帳戶""), REGEXMATCH(C13987, ""薪資"")), ""分潤支出"",
  AND(REGEXMATCH(E13987, ""Ben帳戶|Elsa帳戶|Ben代墊|Ariel代墊|中信銀行共用""), REGEXMATCH(F13987, ""Ben帳戶|Elsa帳戶|Ben代墊|Ariel代墊|中信銀行共用"")), ""內部轉帳(忽略)"",
  AND(E13987&lt;&gt;"""", F13987&lt;&gt;"&amp;""""", NOT(REGEXMATCH(C13987, ""薪資""))), ""內部轉帳(忽略)"",
  REGEXMATCH(C13987, ""薪資""), ""薪資變動(不計入)"",
  REGEXMATCH(C13987, ""押金""), ""押金往來"",
  AND(E13987&lt;&gt;"""", F13987=""""), ""真實支出"",
  AND(E13987="""", F13987&lt;&gt;""""), ""真實收入"",
  TRUE, ""其他""
)"),"其他")</f>
        <v>其他</v>
      </c>
      <c r="K13987" s="270" t="str">
        <f t="shared" si="2"/>
        <v/>
      </c>
      <c r="L13987">
        <f t="shared" si="3"/>
        <v>0</v>
      </c>
    </row>
    <row r="13988">
      <c r="A13988" s="107"/>
      <c r="D13988" s="270"/>
      <c r="H13988" s="106" t="str">
        <f t="shared" si="1"/>
        <v/>
      </c>
      <c r="J13988" t="str">
        <f>IFERROR(__xludf.DUMMYFUNCTION("IFS(
  AND(REGEXMATCH(E13988, ""台銀籌備帳戶|玉山帳戶""), REGEXMATCH(C13988, ""薪資"")), ""分潤支出"",
  AND(REGEXMATCH(E13988, ""Ben帳戶|Elsa帳戶|Ben代墊|Ariel代墊|中信銀行共用""), REGEXMATCH(F13988, ""Ben帳戶|Elsa帳戶|Ben代墊|Ariel代墊|中信銀行共用"")), ""內部轉帳(忽略)"",
  AND(E13988&lt;&gt;"""", F13988&lt;&gt;"&amp;""""", NOT(REGEXMATCH(C13988, ""薪資""))), ""內部轉帳(忽略)"",
  REGEXMATCH(C13988, ""薪資""), ""薪資變動(不計入)"",
  REGEXMATCH(C13988, ""押金""), ""押金往來"",
  AND(E13988&lt;&gt;"""", F13988=""""), ""真實支出"",
  AND(E13988="""", F13988&lt;&gt;""""), ""真實收入"",
  TRUE, ""其他""
)"),"其他")</f>
        <v>其他</v>
      </c>
      <c r="K13988" s="270" t="str">
        <f t="shared" si="2"/>
        <v/>
      </c>
      <c r="L13988">
        <f t="shared" si="3"/>
        <v>0</v>
      </c>
    </row>
    <row r="13989">
      <c r="A13989" s="107"/>
      <c r="D13989" s="270"/>
      <c r="H13989" s="106" t="str">
        <f t="shared" si="1"/>
        <v/>
      </c>
      <c r="J13989" t="str">
        <f>IFERROR(__xludf.DUMMYFUNCTION("IFS(
  AND(REGEXMATCH(E13989, ""台銀籌備帳戶|玉山帳戶""), REGEXMATCH(C13989, ""薪資"")), ""分潤支出"",
  AND(REGEXMATCH(E13989, ""Ben帳戶|Elsa帳戶|Ben代墊|Ariel代墊|中信銀行共用""), REGEXMATCH(F13989, ""Ben帳戶|Elsa帳戶|Ben代墊|Ariel代墊|中信銀行共用"")), ""內部轉帳(忽略)"",
  AND(E13989&lt;&gt;"""", F13989&lt;&gt;"&amp;""""", NOT(REGEXMATCH(C13989, ""薪資""))), ""內部轉帳(忽略)"",
  REGEXMATCH(C13989, ""薪資""), ""薪資變動(不計入)"",
  REGEXMATCH(C13989, ""押金""), ""押金往來"",
  AND(E13989&lt;&gt;"""", F13989=""""), ""真實支出"",
  AND(E13989="""", F13989&lt;&gt;""""), ""真實收入"",
  TRUE, ""其他""
)"),"其他")</f>
        <v>其他</v>
      </c>
      <c r="K13989" s="270" t="str">
        <f t="shared" si="2"/>
        <v/>
      </c>
      <c r="L13989">
        <f t="shared" si="3"/>
        <v>0</v>
      </c>
    </row>
    <row r="13990">
      <c r="A13990" s="107"/>
      <c r="D13990" s="270"/>
      <c r="H13990" s="106" t="str">
        <f t="shared" si="1"/>
        <v/>
      </c>
      <c r="J13990" t="str">
        <f>IFERROR(__xludf.DUMMYFUNCTION("IFS(
  AND(REGEXMATCH(E13990, ""台銀籌備帳戶|玉山帳戶""), REGEXMATCH(C13990, ""薪資"")), ""分潤支出"",
  AND(REGEXMATCH(E13990, ""Ben帳戶|Elsa帳戶|Ben代墊|Ariel代墊|中信銀行共用""), REGEXMATCH(F13990, ""Ben帳戶|Elsa帳戶|Ben代墊|Ariel代墊|中信銀行共用"")), ""內部轉帳(忽略)"",
  AND(E13990&lt;&gt;"""", F13990&lt;&gt;"&amp;""""", NOT(REGEXMATCH(C13990, ""薪資""))), ""內部轉帳(忽略)"",
  REGEXMATCH(C13990, ""薪資""), ""薪資變動(不計入)"",
  REGEXMATCH(C13990, ""押金""), ""押金往來"",
  AND(E13990&lt;&gt;"""", F13990=""""), ""真實支出"",
  AND(E13990="""", F13990&lt;&gt;""""), ""真實收入"",
  TRUE, ""其他""
)"),"其他")</f>
        <v>其他</v>
      </c>
      <c r="K13990" s="270" t="str">
        <f t="shared" si="2"/>
        <v/>
      </c>
      <c r="L13990">
        <f t="shared" si="3"/>
        <v>0</v>
      </c>
    </row>
    <row r="13991">
      <c r="A13991" s="107"/>
      <c r="D13991" s="270"/>
      <c r="H13991" s="106" t="str">
        <f t="shared" si="1"/>
        <v/>
      </c>
      <c r="J13991" t="str">
        <f>IFERROR(__xludf.DUMMYFUNCTION("IFS(
  AND(REGEXMATCH(E13991, ""台銀籌備帳戶|玉山帳戶""), REGEXMATCH(C13991, ""薪資"")), ""分潤支出"",
  AND(REGEXMATCH(E13991, ""Ben帳戶|Elsa帳戶|Ben代墊|Ariel代墊|中信銀行共用""), REGEXMATCH(F13991, ""Ben帳戶|Elsa帳戶|Ben代墊|Ariel代墊|中信銀行共用"")), ""內部轉帳(忽略)"",
  AND(E13991&lt;&gt;"""", F13991&lt;&gt;"&amp;""""", NOT(REGEXMATCH(C13991, ""薪資""))), ""內部轉帳(忽略)"",
  REGEXMATCH(C13991, ""薪資""), ""薪資變動(不計入)"",
  REGEXMATCH(C13991, ""押金""), ""押金往來"",
  AND(E13991&lt;&gt;"""", F13991=""""), ""真實支出"",
  AND(E13991="""", F13991&lt;&gt;""""), ""真實收入"",
  TRUE, ""其他""
)"),"其他")</f>
        <v>其他</v>
      </c>
      <c r="K13991" s="270" t="str">
        <f t="shared" si="2"/>
        <v/>
      </c>
      <c r="L13991">
        <f t="shared" si="3"/>
        <v>0</v>
      </c>
    </row>
    <row r="13992">
      <c r="A13992" s="107"/>
      <c r="D13992" s="270"/>
      <c r="H13992" s="106" t="str">
        <f t="shared" si="1"/>
        <v/>
      </c>
      <c r="J13992" t="str">
        <f>IFERROR(__xludf.DUMMYFUNCTION("IFS(
  AND(REGEXMATCH(E13992, ""台銀籌備帳戶|玉山帳戶""), REGEXMATCH(C13992, ""薪資"")), ""分潤支出"",
  AND(REGEXMATCH(E13992, ""Ben帳戶|Elsa帳戶|Ben代墊|Ariel代墊|中信銀行共用""), REGEXMATCH(F13992, ""Ben帳戶|Elsa帳戶|Ben代墊|Ariel代墊|中信銀行共用"")), ""內部轉帳(忽略)"",
  AND(E13992&lt;&gt;"""", F13992&lt;&gt;"&amp;""""", NOT(REGEXMATCH(C13992, ""薪資""))), ""內部轉帳(忽略)"",
  REGEXMATCH(C13992, ""薪資""), ""薪資變動(不計入)"",
  REGEXMATCH(C13992, ""押金""), ""押金往來"",
  AND(E13992&lt;&gt;"""", F13992=""""), ""真實支出"",
  AND(E13992="""", F13992&lt;&gt;""""), ""真實收入"",
  TRUE, ""其他""
)"),"其他")</f>
        <v>其他</v>
      </c>
      <c r="K13992" s="270" t="str">
        <f t="shared" si="2"/>
        <v/>
      </c>
      <c r="L13992">
        <f t="shared" si="3"/>
        <v>0</v>
      </c>
    </row>
    <row r="13993">
      <c r="A13993" s="107"/>
      <c r="D13993" s="270"/>
      <c r="H13993" s="106" t="str">
        <f t="shared" si="1"/>
        <v/>
      </c>
      <c r="J13993" t="str">
        <f>IFERROR(__xludf.DUMMYFUNCTION("IFS(
  AND(REGEXMATCH(E13993, ""台銀籌備帳戶|玉山帳戶""), REGEXMATCH(C13993, ""薪資"")), ""分潤支出"",
  AND(REGEXMATCH(E13993, ""Ben帳戶|Elsa帳戶|Ben代墊|Ariel代墊|中信銀行共用""), REGEXMATCH(F13993, ""Ben帳戶|Elsa帳戶|Ben代墊|Ariel代墊|中信銀行共用"")), ""內部轉帳(忽略)"",
  AND(E13993&lt;&gt;"""", F13993&lt;&gt;"&amp;""""", NOT(REGEXMATCH(C13993, ""薪資""))), ""內部轉帳(忽略)"",
  REGEXMATCH(C13993, ""薪資""), ""薪資變動(不計入)"",
  REGEXMATCH(C13993, ""押金""), ""押金往來"",
  AND(E13993&lt;&gt;"""", F13993=""""), ""真實支出"",
  AND(E13993="""", F13993&lt;&gt;""""), ""真實收入"",
  TRUE, ""其他""
)"),"其他")</f>
        <v>其他</v>
      </c>
      <c r="K13993" s="270" t="str">
        <f t="shared" si="2"/>
        <v/>
      </c>
      <c r="L13993">
        <f t="shared" si="3"/>
        <v>0</v>
      </c>
    </row>
    <row r="13994">
      <c r="A13994" s="107"/>
      <c r="D13994" s="270"/>
      <c r="H13994" s="106" t="str">
        <f t="shared" si="1"/>
        <v/>
      </c>
      <c r="J13994" t="str">
        <f>IFERROR(__xludf.DUMMYFUNCTION("IFS(
  AND(REGEXMATCH(E13994, ""台銀籌備帳戶|玉山帳戶""), REGEXMATCH(C13994, ""薪資"")), ""分潤支出"",
  AND(REGEXMATCH(E13994, ""Ben帳戶|Elsa帳戶|Ben代墊|Ariel代墊|中信銀行共用""), REGEXMATCH(F13994, ""Ben帳戶|Elsa帳戶|Ben代墊|Ariel代墊|中信銀行共用"")), ""內部轉帳(忽略)"",
  AND(E13994&lt;&gt;"""", F13994&lt;&gt;"&amp;""""", NOT(REGEXMATCH(C13994, ""薪資""))), ""內部轉帳(忽略)"",
  REGEXMATCH(C13994, ""薪資""), ""薪資變動(不計入)"",
  REGEXMATCH(C13994, ""押金""), ""押金往來"",
  AND(E13994&lt;&gt;"""", F13994=""""), ""真實支出"",
  AND(E13994="""", F13994&lt;&gt;""""), ""真實收入"",
  TRUE, ""其他""
)"),"其他")</f>
        <v>其他</v>
      </c>
      <c r="K13994" s="270" t="str">
        <f t="shared" si="2"/>
        <v/>
      </c>
      <c r="L13994">
        <f t="shared" si="3"/>
        <v>0</v>
      </c>
    </row>
    <row r="13995">
      <c r="A13995" s="107"/>
      <c r="D13995" s="270"/>
      <c r="H13995" s="106" t="str">
        <f t="shared" si="1"/>
        <v/>
      </c>
      <c r="J13995" t="str">
        <f>IFERROR(__xludf.DUMMYFUNCTION("IFS(
  AND(REGEXMATCH(E13995, ""台銀籌備帳戶|玉山帳戶""), REGEXMATCH(C13995, ""薪資"")), ""分潤支出"",
  AND(REGEXMATCH(E13995, ""Ben帳戶|Elsa帳戶|Ben代墊|Ariel代墊|中信銀行共用""), REGEXMATCH(F13995, ""Ben帳戶|Elsa帳戶|Ben代墊|Ariel代墊|中信銀行共用"")), ""內部轉帳(忽略)"",
  AND(E13995&lt;&gt;"""", F13995&lt;&gt;"&amp;""""", NOT(REGEXMATCH(C13995, ""薪資""))), ""內部轉帳(忽略)"",
  REGEXMATCH(C13995, ""薪資""), ""薪資變動(不計入)"",
  REGEXMATCH(C13995, ""押金""), ""押金往來"",
  AND(E13995&lt;&gt;"""", F13995=""""), ""真實支出"",
  AND(E13995="""", F13995&lt;&gt;""""), ""真實收入"",
  TRUE, ""其他""
)"),"其他")</f>
        <v>其他</v>
      </c>
      <c r="K13995" s="270" t="str">
        <f t="shared" si="2"/>
        <v/>
      </c>
      <c r="L13995">
        <f t="shared" si="3"/>
        <v>0</v>
      </c>
    </row>
    <row r="13996">
      <c r="A13996" s="107"/>
      <c r="D13996" s="270"/>
      <c r="H13996" s="106" t="str">
        <f t="shared" si="1"/>
        <v/>
      </c>
      <c r="J13996" t="str">
        <f>IFERROR(__xludf.DUMMYFUNCTION("IFS(
  AND(REGEXMATCH(E13996, ""台銀籌備帳戶|玉山帳戶""), REGEXMATCH(C13996, ""薪資"")), ""分潤支出"",
  AND(REGEXMATCH(E13996, ""Ben帳戶|Elsa帳戶|Ben代墊|Ariel代墊|中信銀行共用""), REGEXMATCH(F13996, ""Ben帳戶|Elsa帳戶|Ben代墊|Ariel代墊|中信銀行共用"")), ""內部轉帳(忽略)"",
  AND(E13996&lt;&gt;"""", F13996&lt;&gt;"&amp;""""", NOT(REGEXMATCH(C13996, ""薪資""))), ""內部轉帳(忽略)"",
  REGEXMATCH(C13996, ""薪資""), ""薪資變動(不計入)"",
  REGEXMATCH(C13996, ""押金""), ""押金往來"",
  AND(E13996&lt;&gt;"""", F13996=""""), ""真實支出"",
  AND(E13996="""", F13996&lt;&gt;""""), ""真實收入"",
  TRUE, ""其他""
)"),"其他")</f>
        <v>其他</v>
      </c>
      <c r="K13996" s="270" t="str">
        <f t="shared" si="2"/>
        <v/>
      </c>
      <c r="L13996">
        <f t="shared" si="3"/>
        <v>0</v>
      </c>
    </row>
    <row r="13997">
      <c r="A13997" s="107"/>
      <c r="D13997" s="270"/>
      <c r="H13997" s="106" t="str">
        <f t="shared" si="1"/>
        <v/>
      </c>
      <c r="J13997" t="str">
        <f>IFERROR(__xludf.DUMMYFUNCTION("IFS(
  AND(REGEXMATCH(E13997, ""台銀籌備帳戶|玉山帳戶""), REGEXMATCH(C13997, ""薪資"")), ""分潤支出"",
  AND(REGEXMATCH(E13997, ""Ben帳戶|Elsa帳戶|Ben代墊|Ariel代墊|中信銀行共用""), REGEXMATCH(F13997, ""Ben帳戶|Elsa帳戶|Ben代墊|Ariel代墊|中信銀行共用"")), ""內部轉帳(忽略)"",
  AND(E13997&lt;&gt;"""", F13997&lt;&gt;"&amp;""""", NOT(REGEXMATCH(C13997, ""薪資""))), ""內部轉帳(忽略)"",
  REGEXMATCH(C13997, ""薪資""), ""薪資變動(不計入)"",
  REGEXMATCH(C13997, ""押金""), ""押金往來"",
  AND(E13997&lt;&gt;"""", F13997=""""), ""真實支出"",
  AND(E13997="""", F13997&lt;&gt;""""), ""真實收入"",
  TRUE, ""其他""
)"),"其他")</f>
        <v>其他</v>
      </c>
      <c r="K13997" s="270" t="str">
        <f t="shared" si="2"/>
        <v/>
      </c>
      <c r="L13997">
        <f t="shared" si="3"/>
        <v>0</v>
      </c>
    </row>
    <row r="13998">
      <c r="A13998" s="107"/>
      <c r="D13998" s="270"/>
      <c r="H13998" s="106" t="str">
        <f t="shared" si="1"/>
        <v/>
      </c>
      <c r="J13998" t="str">
        <f>IFERROR(__xludf.DUMMYFUNCTION("IFS(
  AND(REGEXMATCH(E13998, ""台銀籌備帳戶|玉山帳戶""), REGEXMATCH(C13998, ""薪資"")), ""分潤支出"",
  AND(REGEXMATCH(E13998, ""Ben帳戶|Elsa帳戶|Ben代墊|Ariel代墊|中信銀行共用""), REGEXMATCH(F13998, ""Ben帳戶|Elsa帳戶|Ben代墊|Ariel代墊|中信銀行共用"")), ""內部轉帳(忽略)"",
  AND(E13998&lt;&gt;"""", F13998&lt;&gt;"&amp;""""", NOT(REGEXMATCH(C13998, ""薪資""))), ""內部轉帳(忽略)"",
  REGEXMATCH(C13998, ""薪資""), ""薪資變動(不計入)"",
  REGEXMATCH(C13998, ""押金""), ""押金往來"",
  AND(E13998&lt;&gt;"""", F13998=""""), ""真實支出"",
  AND(E13998="""", F13998&lt;&gt;""""), ""真實收入"",
  TRUE, ""其他""
)"),"其他")</f>
        <v>其他</v>
      </c>
      <c r="K13998" s="270" t="str">
        <f t="shared" si="2"/>
        <v/>
      </c>
      <c r="L13998">
        <f t="shared" si="3"/>
        <v>0</v>
      </c>
    </row>
    <row r="13999">
      <c r="A13999" s="107"/>
      <c r="D13999" s="270"/>
      <c r="H13999" s="106" t="str">
        <f t="shared" si="1"/>
        <v/>
      </c>
      <c r="J13999" t="str">
        <f>IFERROR(__xludf.DUMMYFUNCTION("IFS(
  AND(REGEXMATCH(E13999, ""台銀籌備帳戶|玉山帳戶""), REGEXMATCH(C13999, ""薪資"")), ""分潤支出"",
  AND(REGEXMATCH(E13999, ""Ben帳戶|Elsa帳戶|Ben代墊|Ariel代墊|中信銀行共用""), REGEXMATCH(F13999, ""Ben帳戶|Elsa帳戶|Ben代墊|Ariel代墊|中信銀行共用"")), ""內部轉帳(忽略)"",
  AND(E13999&lt;&gt;"""", F13999&lt;&gt;"&amp;""""", NOT(REGEXMATCH(C13999, ""薪資""))), ""內部轉帳(忽略)"",
  REGEXMATCH(C13999, ""薪資""), ""薪資變動(不計入)"",
  REGEXMATCH(C13999, ""押金""), ""押金往來"",
  AND(E13999&lt;&gt;"""", F13999=""""), ""真實支出"",
  AND(E13999="""", F13999&lt;&gt;""""), ""真實收入"",
  TRUE, ""其他""
)"),"其他")</f>
        <v>其他</v>
      </c>
      <c r="K13999" s="270" t="str">
        <f t="shared" si="2"/>
        <v/>
      </c>
      <c r="L13999">
        <f t="shared" si="3"/>
        <v>0</v>
      </c>
    </row>
    <row r="14000">
      <c r="A14000" s="107"/>
      <c r="D14000" s="270"/>
      <c r="H14000" s="106" t="str">
        <f t="shared" si="1"/>
        <v/>
      </c>
      <c r="J14000" t="str">
        <f>IFERROR(__xludf.DUMMYFUNCTION("IFS(
  AND(REGEXMATCH(E14000, ""台銀籌備帳戶|玉山帳戶""), REGEXMATCH(C14000, ""薪資"")), ""分潤支出"",
  AND(REGEXMATCH(E14000, ""Ben帳戶|Elsa帳戶|Ben代墊|Ariel代墊|中信銀行共用""), REGEXMATCH(F14000, ""Ben帳戶|Elsa帳戶|Ben代墊|Ariel代墊|中信銀行共用"")), ""內部轉帳(忽略)"",
  AND(E14000&lt;&gt;"""", F14000&lt;&gt;"&amp;""""", NOT(REGEXMATCH(C14000, ""薪資""))), ""內部轉帳(忽略)"",
  REGEXMATCH(C14000, ""薪資""), ""薪資變動(不計入)"",
  REGEXMATCH(C14000, ""押金""), ""押金往來"",
  AND(E14000&lt;&gt;"""", F14000=""""), ""真實支出"",
  AND(E14000="""", F14000&lt;&gt;""""), ""真實收入"",
  TRUE, ""其他""
)"),"其他")</f>
        <v>其他</v>
      </c>
      <c r="K14000" s="270" t="str">
        <f t="shared" si="2"/>
        <v/>
      </c>
      <c r="L14000">
        <f t="shared" si="3"/>
        <v>0</v>
      </c>
    </row>
    <row r="14001">
      <c r="A14001" s="107"/>
      <c r="D14001" s="270"/>
      <c r="H14001" s="106" t="str">
        <f t="shared" si="1"/>
        <v/>
      </c>
      <c r="J14001" t="str">
        <f>IFERROR(__xludf.DUMMYFUNCTION("IFS(
  AND(REGEXMATCH(E14001, ""台銀籌備帳戶|玉山帳戶""), REGEXMATCH(C14001, ""薪資"")), ""分潤支出"",
  AND(REGEXMATCH(E14001, ""Ben帳戶|Elsa帳戶|Ben代墊|Ariel代墊|中信銀行共用""), REGEXMATCH(F14001, ""Ben帳戶|Elsa帳戶|Ben代墊|Ariel代墊|中信銀行共用"")), ""內部轉帳(忽略)"",
  AND(E14001&lt;&gt;"""", F14001&lt;&gt;"&amp;""""", NOT(REGEXMATCH(C14001, ""薪資""))), ""內部轉帳(忽略)"",
  REGEXMATCH(C14001, ""薪資""), ""薪資變動(不計入)"",
  REGEXMATCH(C14001, ""押金""), ""押金往來"",
  AND(E14001&lt;&gt;"""", F14001=""""), ""真實支出"",
  AND(E14001="""", F14001&lt;&gt;""""), ""真實收入"",
  TRUE, ""其他""
)"),"其他")</f>
        <v>其他</v>
      </c>
      <c r="K14001" s="270" t="str">
        <f t="shared" si="2"/>
        <v/>
      </c>
      <c r="L14001">
        <f t="shared" si="3"/>
        <v>0</v>
      </c>
    </row>
    <row r="14002">
      <c r="A14002" s="107"/>
      <c r="D14002" s="270"/>
      <c r="H14002" s="106" t="str">
        <f t="shared" si="1"/>
        <v/>
      </c>
      <c r="J14002" t="str">
        <f>IFERROR(__xludf.DUMMYFUNCTION("IFS(
  AND(REGEXMATCH(E14002, ""台銀籌備帳戶|玉山帳戶""), REGEXMATCH(C14002, ""薪資"")), ""分潤支出"",
  AND(REGEXMATCH(E14002, ""Ben帳戶|Elsa帳戶|Ben代墊|Ariel代墊|中信銀行共用""), REGEXMATCH(F14002, ""Ben帳戶|Elsa帳戶|Ben代墊|Ariel代墊|中信銀行共用"")), ""內部轉帳(忽略)"",
  AND(E14002&lt;&gt;"""", F14002&lt;&gt;"&amp;""""", NOT(REGEXMATCH(C14002, ""薪資""))), ""內部轉帳(忽略)"",
  REGEXMATCH(C14002, ""薪資""), ""薪資變動(不計入)"",
  REGEXMATCH(C14002, ""押金""), ""押金往來"",
  AND(E14002&lt;&gt;"""", F14002=""""), ""真實支出"",
  AND(E14002="""", F14002&lt;&gt;""""), ""真實收入"",
  TRUE, ""其他""
)"),"其他")</f>
        <v>其他</v>
      </c>
      <c r="K14002" s="270" t="str">
        <f t="shared" si="2"/>
        <v/>
      </c>
      <c r="L14002">
        <f t="shared" si="3"/>
        <v>0</v>
      </c>
    </row>
    <row r="14003">
      <c r="A14003" s="107"/>
      <c r="D14003" s="270"/>
      <c r="H14003" s="106" t="str">
        <f t="shared" si="1"/>
        <v/>
      </c>
      <c r="J14003" t="str">
        <f>IFERROR(__xludf.DUMMYFUNCTION("IFS(
  AND(REGEXMATCH(E14003, ""台銀籌備帳戶|玉山帳戶""), REGEXMATCH(C14003, ""薪資"")), ""分潤支出"",
  AND(REGEXMATCH(E14003, ""Ben帳戶|Elsa帳戶|Ben代墊|Ariel代墊|中信銀行共用""), REGEXMATCH(F14003, ""Ben帳戶|Elsa帳戶|Ben代墊|Ariel代墊|中信銀行共用"")), ""內部轉帳(忽略)"",
  AND(E14003&lt;&gt;"""", F14003&lt;&gt;"&amp;""""", NOT(REGEXMATCH(C14003, ""薪資""))), ""內部轉帳(忽略)"",
  REGEXMATCH(C14003, ""薪資""), ""薪資變動(不計入)"",
  REGEXMATCH(C14003, ""押金""), ""押金往來"",
  AND(E14003&lt;&gt;"""", F14003=""""), ""真實支出"",
  AND(E14003="""", F14003&lt;&gt;""""), ""真實收入"",
  TRUE, ""其他""
)"),"其他")</f>
        <v>其他</v>
      </c>
      <c r="K14003" s="270" t="str">
        <f t="shared" si="2"/>
        <v/>
      </c>
      <c r="L14003">
        <f t="shared" si="3"/>
        <v>0</v>
      </c>
    </row>
    <row r="14004">
      <c r="A14004" s="107"/>
      <c r="D14004" s="270"/>
      <c r="H14004" s="106" t="str">
        <f t="shared" si="1"/>
        <v/>
      </c>
      <c r="J14004" t="str">
        <f>IFERROR(__xludf.DUMMYFUNCTION("IFS(
  AND(REGEXMATCH(E14004, ""台銀籌備帳戶|玉山帳戶""), REGEXMATCH(C14004, ""薪資"")), ""分潤支出"",
  AND(REGEXMATCH(E14004, ""Ben帳戶|Elsa帳戶|Ben代墊|Ariel代墊|中信銀行共用""), REGEXMATCH(F14004, ""Ben帳戶|Elsa帳戶|Ben代墊|Ariel代墊|中信銀行共用"")), ""內部轉帳(忽略)"",
  AND(E14004&lt;&gt;"""", F14004&lt;&gt;"&amp;""""", NOT(REGEXMATCH(C14004, ""薪資""))), ""內部轉帳(忽略)"",
  REGEXMATCH(C14004, ""薪資""), ""薪資變動(不計入)"",
  REGEXMATCH(C14004, ""押金""), ""押金往來"",
  AND(E14004&lt;&gt;"""", F14004=""""), ""真實支出"",
  AND(E14004="""", F14004&lt;&gt;""""), ""真實收入"",
  TRUE, ""其他""
)"),"其他")</f>
        <v>其他</v>
      </c>
      <c r="K14004" s="270" t="str">
        <f t="shared" si="2"/>
        <v/>
      </c>
      <c r="L14004">
        <f t="shared" si="3"/>
        <v>0</v>
      </c>
    </row>
    <row r="14005">
      <c r="A14005" s="107"/>
      <c r="D14005" s="270"/>
      <c r="H14005" s="106" t="str">
        <f t="shared" si="1"/>
        <v/>
      </c>
      <c r="J14005" t="str">
        <f>IFERROR(__xludf.DUMMYFUNCTION("IFS(
  AND(REGEXMATCH(E14005, ""台銀籌備帳戶|玉山帳戶""), REGEXMATCH(C14005, ""薪資"")), ""分潤支出"",
  AND(REGEXMATCH(E14005, ""Ben帳戶|Elsa帳戶|Ben代墊|Ariel代墊|中信銀行共用""), REGEXMATCH(F14005, ""Ben帳戶|Elsa帳戶|Ben代墊|Ariel代墊|中信銀行共用"")), ""內部轉帳(忽略)"",
  AND(E14005&lt;&gt;"""", F14005&lt;&gt;"&amp;""""", NOT(REGEXMATCH(C14005, ""薪資""))), ""內部轉帳(忽略)"",
  REGEXMATCH(C14005, ""薪資""), ""薪資變動(不計入)"",
  REGEXMATCH(C14005, ""押金""), ""押金往來"",
  AND(E14005&lt;&gt;"""", F14005=""""), ""真實支出"",
  AND(E14005="""", F14005&lt;&gt;""""), ""真實收入"",
  TRUE, ""其他""
)"),"其他")</f>
        <v>其他</v>
      </c>
      <c r="K14005" s="270" t="str">
        <f t="shared" si="2"/>
        <v/>
      </c>
      <c r="L14005">
        <f t="shared" si="3"/>
        <v>0</v>
      </c>
    </row>
    <row r="14006">
      <c r="A14006" s="107"/>
      <c r="D14006" s="270"/>
      <c r="H14006" s="106" t="str">
        <f t="shared" si="1"/>
        <v/>
      </c>
      <c r="J14006" t="str">
        <f>IFERROR(__xludf.DUMMYFUNCTION("IFS(
  AND(REGEXMATCH(E14006, ""台銀籌備帳戶|玉山帳戶""), REGEXMATCH(C14006, ""薪資"")), ""分潤支出"",
  AND(REGEXMATCH(E14006, ""Ben帳戶|Elsa帳戶|Ben代墊|Ariel代墊|中信銀行共用""), REGEXMATCH(F14006, ""Ben帳戶|Elsa帳戶|Ben代墊|Ariel代墊|中信銀行共用"")), ""內部轉帳(忽略)"",
  AND(E14006&lt;&gt;"""", F14006&lt;&gt;"&amp;""""", NOT(REGEXMATCH(C14006, ""薪資""))), ""內部轉帳(忽略)"",
  REGEXMATCH(C14006, ""薪資""), ""薪資變動(不計入)"",
  REGEXMATCH(C14006, ""押金""), ""押金往來"",
  AND(E14006&lt;&gt;"""", F14006=""""), ""真實支出"",
  AND(E14006="""", F14006&lt;&gt;""""), ""真實收入"",
  TRUE, ""其他""
)"),"其他")</f>
        <v>其他</v>
      </c>
      <c r="K14006" s="270" t="str">
        <f t="shared" si="2"/>
        <v/>
      </c>
      <c r="L14006">
        <f t="shared" si="3"/>
        <v>0</v>
      </c>
    </row>
    <row r="14007">
      <c r="A14007" s="107"/>
      <c r="D14007" s="270"/>
      <c r="H14007" s="106" t="str">
        <f t="shared" si="1"/>
        <v/>
      </c>
      <c r="J14007" t="str">
        <f>IFERROR(__xludf.DUMMYFUNCTION("IFS(
  AND(REGEXMATCH(E14007, ""台銀籌備帳戶|玉山帳戶""), REGEXMATCH(C14007, ""薪資"")), ""分潤支出"",
  AND(REGEXMATCH(E14007, ""Ben帳戶|Elsa帳戶|Ben代墊|Ariel代墊|中信銀行共用""), REGEXMATCH(F14007, ""Ben帳戶|Elsa帳戶|Ben代墊|Ariel代墊|中信銀行共用"")), ""內部轉帳(忽略)"",
  AND(E14007&lt;&gt;"""", F14007&lt;&gt;"&amp;""""", NOT(REGEXMATCH(C14007, ""薪資""))), ""內部轉帳(忽略)"",
  REGEXMATCH(C14007, ""薪資""), ""薪資變動(不計入)"",
  REGEXMATCH(C14007, ""押金""), ""押金往來"",
  AND(E14007&lt;&gt;"""", F14007=""""), ""真實支出"",
  AND(E14007="""", F14007&lt;&gt;""""), ""真實收入"",
  TRUE, ""其他""
)"),"其他")</f>
        <v>其他</v>
      </c>
      <c r="K14007" s="270" t="str">
        <f t="shared" si="2"/>
        <v/>
      </c>
      <c r="L14007">
        <f t="shared" si="3"/>
        <v>0</v>
      </c>
    </row>
    <row r="14008">
      <c r="A14008" s="107"/>
      <c r="D14008" s="270"/>
      <c r="H14008" s="106" t="str">
        <f t="shared" si="1"/>
        <v/>
      </c>
      <c r="J14008" t="str">
        <f>IFERROR(__xludf.DUMMYFUNCTION("IFS(
  AND(REGEXMATCH(E14008, ""台銀籌備帳戶|玉山帳戶""), REGEXMATCH(C14008, ""薪資"")), ""分潤支出"",
  AND(REGEXMATCH(E14008, ""Ben帳戶|Elsa帳戶|Ben代墊|Ariel代墊|中信銀行共用""), REGEXMATCH(F14008, ""Ben帳戶|Elsa帳戶|Ben代墊|Ariel代墊|中信銀行共用"")), ""內部轉帳(忽略)"",
  AND(E14008&lt;&gt;"""", F14008&lt;&gt;"&amp;""""", NOT(REGEXMATCH(C14008, ""薪資""))), ""內部轉帳(忽略)"",
  REGEXMATCH(C14008, ""薪資""), ""薪資變動(不計入)"",
  REGEXMATCH(C14008, ""押金""), ""押金往來"",
  AND(E14008&lt;&gt;"""", F14008=""""), ""真實支出"",
  AND(E14008="""", F14008&lt;&gt;""""), ""真實收入"",
  TRUE, ""其他""
)"),"其他")</f>
        <v>其他</v>
      </c>
      <c r="K14008" s="270" t="str">
        <f t="shared" si="2"/>
        <v/>
      </c>
      <c r="L14008">
        <f t="shared" si="3"/>
        <v>0</v>
      </c>
    </row>
    <row r="14009">
      <c r="A14009" s="107"/>
      <c r="D14009" s="270"/>
      <c r="H14009" s="106" t="str">
        <f t="shared" si="1"/>
        <v/>
      </c>
      <c r="J14009" t="str">
        <f>IFERROR(__xludf.DUMMYFUNCTION("IFS(
  AND(REGEXMATCH(E14009, ""台銀籌備帳戶|玉山帳戶""), REGEXMATCH(C14009, ""薪資"")), ""分潤支出"",
  AND(REGEXMATCH(E14009, ""Ben帳戶|Elsa帳戶|Ben代墊|Ariel代墊|中信銀行共用""), REGEXMATCH(F14009, ""Ben帳戶|Elsa帳戶|Ben代墊|Ariel代墊|中信銀行共用"")), ""內部轉帳(忽略)"",
  AND(E14009&lt;&gt;"""", F14009&lt;&gt;"&amp;""""", NOT(REGEXMATCH(C14009, ""薪資""))), ""內部轉帳(忽略)"",
  REGEXMATCH(C14009, ""薪資""), ""薪資變動(不計入)"",
  REGEXMATCH(C14009, ""押金""), ""押金往來"",
  AND(E14009&lt;&gt;"""", F14009=""""), ""真實支出"",
  AND(E14009="""", F14009&lt;&gt;""""), ""真實收入"",
  TRUE, ""其他""
)"),"其他")</f>
        <v>其他</v>
      </c>
      <c r="K14009" s="270" t="str">
        <f t="shared" si="2"/>
        <v/>
      </c>
      <c r="L14009">
        <f t="shared" si="3"/>
        <v>0</v>
      </c>
    </row>
    <row r="14010">
      <c r="A14010" s="107"/>
      <c r="D14010" s="270"/>
      <c r="H14010" s="106" t="str">
        <f t="shared" si="1"/>
        <v/>
      </c>
      <c r="J14010" t="str">
        <f>IFERROR(__xludf.DUMMYFUNCTION("IFS(
  AND(REGEXMATCH(E14010, ""台銀籌備帳戶|玉山帳戶""), REGEXMATCH(C14010, ""薪資"")), ""分潤支出"",
  AND(REGEXMATCH(E14010, ""Ben帳戶|Elsa帳戶|Ben代墊|Ariel代墊|中信銀行共用""), REGEXMATCH(F14010, ""Ben帳戶|Elsa帳戶|Ben代墊|Ariel代墊|中信銀行共用"")), ""內部轉帳(忽略)"",
  AND(E14010&lt;&gt;"""", F14010&lt;&gt;"&amp;""""", NOT(REGEXMATCH(C14010, ""薪資""))), ""內部轉帳(忽略)"",
  REGEXMATCH(C14010, ""薪資""), ""薪資變動(不計入)"",
  REGEXMATCH(C14010, ""押金""), ""押金往來"",
  AND(E14010&lt;&gt;"""", F14010=""""), ""真實支出"",
  AND(E14010="""", F14010&lt;&gt;""""), ""真實收入"",
  TRUE, ""其他""
)"),"其他")</f>
        <v>其他</v>
      </c>
      <c r="K14010" s="270" t="str">
        <f t="shared" si="2"/>
        <v/>
      </c>
      <c r="L14010">
        <f t="shared" si="3"/>
        <v>0</v>
      </c>
    </row>
    <row r="14011">
      <c r="A14011" s="107"/>
      <c r="D14011" s="270"/>
      <c r="H14011" s="106" t="str">
        <f t="shared" si="1"/>
        <v/>
      </c>
      <c r="J14011" t="str">
        <f>IFERROR(__xludf.DUMMYFUNCTION("IFS(
  AND(REGEXMATCH(E14011, ""台銀籌備帳戶|玉山帳戶""), REGEXMATCH(C14011, ""薪資"")), ""分潤支出"",
  AND(REGEXMATCH(E14011, ""Ben帳戶|Elsa帳戶|Ben代墊|Ariel代墊|中信銀行共用""), REGEXMATCH(F14011, ""Ben帳戶|Elsa帳戶|Ben代墊|Ariel代墊|中信銀行共用"")), ""內部轉帳(忽略)"",
  AND(E14011&lt;&gt;"""", F14011&lt;&gt;"&amp;""""", NOT(REGEXMATCH(C14011, ""薪資""))), ""內部轉帳(忽略)"",
  REGEXMATCH(C14011, ""薪資""), ""薪資變動(不計入)"",
  REGEXMATCH(C14011, ""押金""), ""押金往來"",
  AND(E14011&lt;&gt;"""", F14011=""""), ""真實支出"",
  AND(E14011="""", F14011&lt;&gt;""""), ""真實收入"",
  TRUE, ""其他""
)"),"其他")</f>
        <v>其他</v>
      </c>
      <c r="K14011" s="270" t="str">
        <f t="shared" si="2"/>
        <v/>
      </c>
      <c r="L14011">
        <f t="shared" si="3"/>
        <v>0</v>
      </c>
    </row>
    <row r="14012">
      <c r="A14012" s="107"/>
      <c r="D14012" s="270"/>
      <c r="H14012" s="106" t="str">
        <f t="shared" si="1"/>
        <v/>
      </c>
      <c r="J14012" t="str">
        <f>IFERROR(__xludf.DUMMYFUNCTION("IFS(
  AND(REGEXMATCH(E14012, ""台銀籌備帳戶|玉山帳戶""), REGEXMATCH(C14012, ""薪資"")), ""分潤支出"",
  AND(REGEXMATCH(E14012, ""Ben帳戶|Elsa帳戶|Ben代墊|Ariel代墊|中信銀行共用""), REGEXMATCH(F14012, ""Ben帳戶|Elsa帳戶|Ben代墊|Ariel代墊|中信銀行共用"")), ""內部轉帳(忽略)"",
  AND(E14012&lt;&gt;"""", F14012&lt;&gt;"&amp;""""", NOT(REGEXMATCH(C14012, ""薪資""))), ""內部轉帳(忽略)"",
  REGEXMATCH(C14012, ""薪資""), ""薪資變動(不計入)"",
  REGEXMATCH(C14012, ""押金""), ""押金往來"",
  AND(E14012&lt;&gt;"""", F14012=""""), ""真實支出"",
  AND(E14012="""", F14012&lt;&gt;""""), ""真實收入"",
  TRUE, ""其他""
)"),"其他")</f>
        <v>其他</v>
      </c>
      <c r="K14012" s="270" t="str">
        <f t="shared" si="2"/>
        <v/>
      </c>
      <c r="L14012">
        <f t="shared" si="3"/>
        <v>0</v>
      </c>
    </row>
    <row r="14013">
      <c r="A14013" s="107"/>
      <c r="D14013" s="270"/>
      <c r="H14013" s="106" t="str">
        <f t="shared" si="1"/>
        <v/>
      </c>
      <c r="J14013" t="str">
        <f>IFERROR(__xludf.DUMMYFUNCTION("IFS(
  AND(REGEXMATCH(E14013, ""台銀籌備帳戶|玉山帳戶""), REGEXMATCH(C14013, ""薪資"")), ""分潤支出"",
  AND(REGEXMATCH(E14013, ""Ben帳戶|Elsa帳戶|Ben代墊|Ariel代墊|中信銀行共用""), REGEXMATCH(F14013, ""Ben帳戶|Elsa帳戶|Ben代墊|Ariel代墊|中信銀行共用"")), ""內部轉帳(忽略)"",
  AND(E14013&lt;&gt;"""", F14013&lt;&gt;"&amp;""""", NOT(REGEXMATCH(C14013, ""薪資""))), ""內部轉帳(忽略)"",
  REGEXMATCH(C14013, ""薪資""), ""薪資變動(不計入)"",
  REGEXMATCH(C14013, ""押金""), ""押金往來"",
  AND(E14013&lt;&gt;"""", F14013=""""), ""真實支出"",
  AND(E14013="""", F14013&lt;&gt;""""), ""真實收入"",
  TRUE, ""其他""
)"),"其他")</f>
        <v>其他</v>
      </c>
      <c r="K14013" s="270" t="str">
        <f t="shared" si="2"/>
        <v/>
      </c>
      <c r="L14013">
        <f t="shared" si="3"/>
        <v>0</v>
      </c>
    </row>
    <row r="14014">
      <c r="A14014" s="107"/>
      <c r="D14014" s="270"/>
      <c r="H14014" s="106" t="str">
        <f t="shared" si="1"/>
        <v/>
      </c>
      <c r="J14014" t="str">
        <f>IFERROR(__xludf.DUMMYFUNCTION("IFS(
  AND(REGEXMATCH(E14014, ""台銀籌備帳戶|玉山帳戶""), REGEXMATCH(C14014, ""薪資"")), ""分潤支出"",
  AND(REGEXMATCH(E14014, ""Ben帳戶|Elsa帳戶|Ben代墊|Ariel代墊|中信銀行共用""), REGEXMATCH(F14014, ""Ben帳戶|Elsa帳戶|Ben代墊|Ariel代墊|中信銀行共用"")), ""內部轉帳(忽略)"",
  AND(E14014&lt;&gt;"""", F14014&lt;&gt;"&amp;""""", NOT(REGEXMATCH(C14014, ""薪資""))), ""內部轉帳(忽略)"",
  REGEXMATCH(C14014, ""薪資""), ""薪資變動(不計入)"",
  REGEXMATCH(C14014, ""押金""), ""押金往來"",
  AND(E14014&lt;&gt;"""", F14014=""""), ""真實支出"",
  AND(E14014="""", F14014&lt;&gt;""""), ""真實收入"",
  TRUE, ""其他""
)"),"其他")</f>
        <v>其他</v>
      </c>
      <c r="K14014" s="270" t="str">
        <f t="shared" si="2"/>
        <v/>
      </c>
      <c r="L14014">
        <f t="shared" si="3"/>
        <v>0</v>
      </c>
    </row>
    <row r="14015">
      <c r="A14015" s="107"/>
      <c r="D14015" s="270"/>
      <c r="H14015" s="106" t="str">
        <f t="shared" si="1"/>
        <v/>
      </c>
      <c r="J14015" t="str">
        <f>IFERROR(__xludf.DUMMYFUNCTION("IFS(
  AND(REGEXMATCH(E14015, ""台銀籌備帳戶|玉山帳戶""), REGEXMATCH(C14015, ""薪資"")), ""分潤支出"",
  AND(REGEXMATCH(E14015, ""Ben帳戶|Elsa帳戶|Ben代墊|Ariel代墊|中信銀行共用""), REGEXMATCH(F14015, ""Ben帳戶|Elsa帳戶|Ben代墊|Ariel代墊|中信銀行共用"")), ""內部轉帳(忽略)"",
  AND(E14015&lt;&gt;"""", F14015&lt;&gt;"&amp;""""", NOT(REGEXMATCH(C14015, ""薪資""))), ""內部轉帳(忽略)"",
  REGEXMATCH(C14015, ""薪資""), ""薪資變動(不計入)"",
  REGEXMATCH(C14015, ""押金""), ""押金往來"",
  AND(E14015&lt;&gt;"""", F14015=""""), ""真實支出"",
  AND(E14015="""", F14015&lt;&gt;""""), ""真實收入"",
  TRUE, ""其他""
)"),"其他")</f>
        <v>其他</v>
      </c>
      <c r="K14015" s="270" t="str">
        <f t="shared" si="2"/>
        <v/>
      </c>
      <c r="L14015">
        <f t="shared" si="3"/>
        <v>0</v>
      </c>
    </row>
    <row r="14016">
      <c r="A14016" s="107"/>
      <c r="D14016" s="270"/>
      <c r="H14016" s="106" t="str">
        <f t="shared" si="1"/>
        <v/>
      </c>
      <c r="J14016" t="str">
        <f>IFERROR(__xludf.DUMMYFUNCTION("IFS(
  AND(REGEXMATCH(E14016, ""台銀籌備帳戶|玉山帳戶""), REGEXMATCH(C14016, ""薪資"")), ""分潤支出"",
  AND(REGEXMATCH(E14016, ""Ben帳戶|Elsa帳戶|Ben代墊|Ariel代墊|中信銀行共用""), REGEXMATCH(F14016, ""Ben帳戶|Elsa帳戶|Ben代墊|Ariel代墊|中信銀行共用"")), ""內部轉帳(忽略)"",
  AND(E14016&lt;&gt;"""", F14016&lt;&gt;"&amp;""""", NOT(REGEXMATCH(C14016, ""薪資""))), ""內部轉帳(忽略)"",
  REGEXMATCH(C14016, ""薪資""), ""薪資變動(不計入)"",
  REGEXMATCH(C14016, ""押金""), ""押金往來"",
  AND(E14016&lt;&gt;"""", F14016=""""), ""真實支出"",
  AND(E14016="""", F14016&lt;&gt;""""), ""真實收入"",
  TRUE, ""其他""
)"),"其他")</f>
        <v>其他</v>
      </c>
      <c r="K14016" s="270" t="str">
        <f t="shared" si="2"/>
        <v/>
      </c>
      <c r="L14016">
        <f t="shared" si="3"/>
        <v>0</v>
      </c>
    </row>
    <row r="14017">
      <c r="A14017" s="107"/>
      <c r="D14017" s="270"/>
      <c r="H14017" s="106" t="str">
        <f t="shared" si="1"/>
        <v/>
      </c>
      <c r="J14017" t="str">
        <f>IFERROR(__xludf.DUMMYFUNCTION("IFS(
  AND(REGEXMATCH(E14017, ""台銀籌備帳戶|玉山帳戶""), REGEXMATCH(C14017, ""薪資"")), ""分潤支出"",
  AND(REGEXMATCH(E14017, ""Ben帳戶|Elsa帳戶|Ben代墊|Ariel代墊|中信銀行共用""), REGEXMATCH(F14017, ""Ben帳戶|Elsa帳戶|Ben代墊|Ariel代墊|中信銀行共用"")), ""內部轉帳(忽略)"",
  AND(E14017&lt;&gt;"""", F14017&lt;&gt;"&amp;""""", NOT(REGEXMATCH(C14017, ""薪資""))), ""內部轉帳(忽略)"",
  REGEXMATCH(C14017, ""薪資""), ""薪資變動(不計入)"",
  REGEXMATCH(C14017, ""押金""), ""押金往來"",
  AND(E14017&lt;&gt;"""", F14017=""""), ""真實支出"",
  AND(E14017="""", F14017&lt;&gt;""""), ""真實收入"",
  TRUE, ""其他""
)"),"其他")</f>
        <v>其他</v>
      </c>
      <c r="K14017" s="270" t="str">
        <f t="shared" si="2"/>
        <v/>
      </c>
      <c r="L14017">
        <f t="shared" si="3"/>
        <v>0</v>
      </c>
    </row>
    <row r="14018">
      <c r="A14018" s="107"/>
      <c r="D14018" s="270"/>
      <c r="H14018" s="106" t="str">
        <f t="shared" si="1"/>
        <v/>
      </c>
      <c r="J14018" t="str">
        <f>IFERROR(__xludf.DUMMYFUNCTION("IFS(
  AND(REGEXMATCH(E14018, ""台銀籌備帳戶|玉山帳戶""), REGEXMATCH(C14018, ""薪資"")), ""分潤支出"",
  AND(REGEXMATCH(E14018, ""Ben帳戶|Elsa帳戶|Ben代墊|Ariel代墊|中信銀行共用""), REGEXMATCH(F14018, ""Ben帳戶|Elsa帳戶|Ben代墊|Ariel代墊|中信銀行共用"")), ""內部轉帳(忽略)"",
  AND(E14018&lt;&gt;"""", F14018&lt;&gt;"&amp;""""", NOT(REGEXMATCH(C14018, ""薪資""))), ""內部轉帳(忽略)"",
  REGEXMATCH(C14018, ""薪資""), ""薪資變動(不計入)"",
  REGEXMATCH(C14018, ""押金""), ""押金往來"",
  AND(E14018&lt;&gt;"""", F14018=""""), ""真實支出"",
  AND(E14018="""", F14018&lt;&gt;""""), ""真實收入"",
  TRUE, ""其他""
)"),"其他")</f>
        <v>其他</v>
      </c>
      <c r="K14018" s="270" t="str">
        <f t="shared" si="2"/>
        <v/>
      </c>
      <c r="L14018">
        <f t="shared" si="3"/>
        <v>0</v>
      </c>
    </row>
    <row r="14019">
      <c r="A14019" s="107"/>
      <c r="D14019" s="270"/>
      <c r="H14019" s="106" t="str">
        <f t="shared" si="1"/>
        <v/>
      </c>
      <c r="J14019" t="str">
        <f>IFERROR(__xludf.DUMMYFUNCTION("IFS(
  AND(REGEXMATCH(E14019, ""台銀籌備帳戶|玉山帳戶""), REGEXMATCH(C14019, ""薪資"")), ""分潤支出"",
  AND(REGEXMATCH(E14019, ""Ben帳戶|Elsa帳戶|Ben代墊|Ariel代墊|中信銀行共用""), REGEXMATCH(F14019, ""Ben帳戶|Elsa帳戶|Ben代墊|Ariel代墊|中信銀行共用"")), ""內部轉帳(忽略)"",
  AND(E14019&lt;&gt;"""", F14019&lt;&gt;"&amp;""""", NOT(REGEXMATCH(C14019, ""薪資""))), ""內部轉帳(忽略)"",
  REGEXMATCH(C14019, ""薪資""), ""薪資變動(不計入)"",
  REGEXMATCH(C14019, ""押金""), ""押金往來"",
  AND(E14019&lt;&gt;"""", F14019=""""), ""真實支出"",
  AND(E14019="""", F14019&lt;&gt;""""), ""真實收入"",
  TRUE, ""其他""
)"),"其他")</f>
        <v>其他</v>
      </c>
      <c r="K14019" s="270" t="str">
        <f t="shared" si="2"/>
        <v/>
      </c>
      <c r="L14019">
        <f t="shared" si="3"/>
        <v>0</v>
      </c>
    </row>
    <row r="14020">
      <c r="A14020" s="107"/>
      <c r="D14020" s="270"/>
      <c r="H14020" s="106" t="str">
        <f t="shared" si="1"/>
        <v/>
      </c>
      <c r="J14020" t="str">
        <f>IFERROR(__xludf.DUMMYFUNCTION("IFS(
  AND(REGEXMATCH(E14020, ""台銀籌備帳戶|玉山帳戶""), REGEXMATCH(C14020, ""薪資"")), ""分潤支出"",
  AND(REGEXMATCH(E14020, ""Ben帳戶|Elsa帳戶|Ben代墊|Ariel代墊|中信銀行共用""), REGEXMATCH(F14020, ""Ben帳戶|Elsa帳戶|Ben代墊|Ariel代墊|中信銀行共用"")), ""內部轉帳(忽略)"",
  AND(E14020&lt;&gt;"""", F14020&lt;&gt;"&amp;""""", NOT(REGEXMATCH(C14020, ""薪資""))), ""內部轉帳(忽略)"",
  REGEXMATCH(C14020, ""薪資""), ""薪資變動(不計入)"",
  REGEXMATCH(C14020, ""押金""), ""押金往來"",
  AND(E14020&lt;&gt;"""", F14020=""""), ""真實支出"",
  AND(E14020="""", F14020&lt;&gt;""""), ""真實收入"",
  TRUE, ""其他""
)"),"其他")</f>
        <v>其他</v>
      </c>
      <c r="K14020" s="270" t="str">
        <f t="shared" si="2"/>
        <v/>
      </c>
      <c r="L14020">
        <f t="shared" si="3"/>
        <v>0</v>
      </c>
    </row>
    <row r="14021">
      <c r="A14021" s="107"/>
      <c r="D14021" s="270"/>
      <c r="H14021" s="106" t="str">
        <f t="shared" si="1"/>
        <v/>
      </c>
      <c r="J14021" t="str">
        <f>IFERROR(__xludf.DUMMYFUNCTION("IFS(
  AND(REGEXMATCH(E14021, ""台銀籌備帳戶|玉山帳戶""), REGEXMATCH(C14021, ""薪資"")), ""分潤支出"",
  AND(REGEXMATCH(E14021, ""Ben帳戶|Elsa帳戶|Ben代墊|Ariel代墊|中信銀行共用""), REGEXMATCH(F14021, ""Ben帳戶|Elsa帳戶|Ben代墊|Ariel代墊|中信銀行共用"")), ""內部轉帳(忽略)"",
  AND(E14021&lt;&gt;"""", F14021&lt;&gt;"&amp;""""", NOT(REGEXMATCH(C14021, ""薪資""))), ""內部轉帳(忽略)"",
  REGEXMATCH(C14021, ""薪資""), ""薪資變動(不計入)"",
  REGEXMATCH(C14021, ""押金""), ""押金往來"",
  AND(E14021&lt;&gt;"""", F14021=""""), ""真實支出"",
  AND(E14021="""", F14021&lt;&gt;""""), ""真實收入"",
  TRUE, ""其他""
)"),"其他")</f>
        <v>其他</v>
      </c>
      <c r="K14021" s="270" t="str">
        <f t="shared" si="2"/>
        <v/>
      </c>
      <c r="L14021">
        <f t="shared" si="3"/>
        <v>0</v>
      </c>
    </row>
    <row r="14022">
      <c r="A14022" s="107"/>
      <c r="D14022" s="270"/>
      <c r="H14022" s="106" t="str">
        <f t="shared" si="1"/>
        <v/>
      </c>
      <c r="J14022" t="str">
        <f>IFERROR(__xludf.DUMMYFUNCTION("IFS(
  AND(REGEXMATCH(E14022, ""台銀籌備帳戶|玉山帳戶""), REGEXMATCH(C14022, ""薪資"")), ""分潤支出"",
  AND(REGEXMATCH(E14022, ""Ben帳戶|Elsa帳戶|Ben代墊|Ariel代墊|中信銀行共用""), REGEXMATCH(F14022, ""Ben帳戶|Elsa帳戶|Ben代墊|Ariel代墊|中信銀行共用"")), ""內部轉帳(忽略)"",
  AND(E14022&lt;&gt;"""", F14022&lt;&gt;"&amp;""""", NOT(REGEXMATCH(C14022, ""薪資""))), ""內部轉帳(忽略)"",
  REGEXMATCH(C14022, ""薪資""), ""薪資變動(不計入)"",
  REGEXMATCH(C14022, ""押金""), ""押金往來"",
  AND(E14022&lt;&gt;"""", F14022=""""), ""真實支出"",
  AND(E14022="""", F14022&lt;&gt;""""), ""真實收入"",
  TRUE, ""其他""
)"),"其他")</f>
        <v>其他</v>
      </c>
      <c r="K14022" s="270" t="str">
        <f t="shared" si="2"/>
        <v/>
      </c>
      <c r="L14022">
        <f t="shared" si="3"/>
        <v>0</v>
      </c>
    </row>
    <row r="14023">
      <c r="A14023" s="107"/>
      <c r="D14023" s="270"/>
      <c r="H14023" s="106" t="str">
        <f t="shared" si="1"/>
        <v/>
      </c>
      <c r="J14023" t="str">
        <f>IFERROR(__xludf.DUMMYFUNCTION("IFS(
  AND(REGEXMATCH(E14023, ""台銀籌備帳戶|玉山帳戶""), REGEXMATCH(C14023, ""薪資"")), ""分潤支出"",
  AND(REGEXMATCH(E14023, ""Ben帳戶|Elsa帳戶|Ben代墊|Ariel代墊|中信銀行共用""), REGEXMATCH(F14023, ""Ben帳戶|Elsa帳戶|Ben代墊|Ariel代墊|中信銀行共用"")), ""內部轉帳(忽略)"",
  AND(E14023&lt;&gt;"""", F14023&lt;&gt;"&amp;""""", NOT(REGEXMATCH(C14023, ""薪資""))), ""內部轉帳(忽略)"",
  REGEXMATCH(C14023, ""薪資""), ""薪資變動(不計入)"",
  REGEXMATCH(C14023, ""押金""), ""押金往來"",
  AND(E14023&lt;&gt;"""", F14023=""""), ""真實支出"",
  AND(E14023="""", F14023&lt;&gt;""""), ""真實收入"",
  TRUE, ""其他""
)"),"其他")</f>
        <v>其他</v>
      </c>
      <c r="K14023" s="270" t="str">
        <f t="shared" si="2"/>
        <v/>
      </c>
      <c r="L14023">
        <f t="shared" si="3"/>
        <v>0</v>
      </c>
    </row>
    <row r="14024">
      <c r="A14024" s="107"/>
      <c r="D14024" s="270"/>
      <c r="H14024" s="106" t="str">
        <f t="shared" si="1"/>
        <v/>
      </c>
      <c r="J14024" t="str">
        <f>IFERROR(__xludf.DUMMYFUNCTION("IFS(
  AND(REGEXMATCH(E14024, ""台銀籌備帳戶|玉山帳戶""), REGEXMATCH(C14024, ""薪資"")), ""分潤支出"",
  AND(REGEXMATCH(E14024, ""Ben帳戶|Elsa帳戶|Ben代墊|Ariel代墊|中信銀行共用""), REGEXMATCH(F14024, ""Ben帳戶|Elsa帳戶|Ben代墊|Ariel代墊|中信銀行共用"")), ""內部轉帳(忽略)"",
  AND(E14024&lt;&gt;"""", F14024&lt;&gt;"&amp;""""", NOT(REGEXMATCH(C14024, ""薪資""))), ""內部轉帳(忽略)"",
  REGEXMATCH(C14024, ""薪資""), ""薪資變動(不計入)"",
  REGEXMATCH(C14024, ""押金""), ""押金往來"",
  AND(E14024&lt;&gt;"""", F14024=""""), ""真實支出"",
  AND(E14024="""", F14024&lt;&gt;""""), ""真實收入"",
  TRUE, ""其他""
)"),"其他")</f>
        <v>其他</v>
      </c>
      <c r="K14024" s="270" t="str">
        <f t="shared" si="2"/>
        <v/>
      </c>
      <c r="L14024">
        <f t="shared" si="3"/>
        <v>0</v>
      </c>
    </row>
    <row r="14025">
      <c r="A14025" s="107"/>
      <c r="D14025" s="270"/>
      <c r="H14025" s="106" t="str">
        <f t="shared" si="1"/>
        <v/>
      </c>
      <c r="J14025" t="str">
        <f>IFERROR(__xludf.DUMMYFUNCTION("IFS(
  AND(REGEXMATCH(E14025, ""台銀籌備帳戶|玉山帳戶""), REGEXMATCH(C14025, ""薪資"")), ""分潤支出"",
  AND(REGEXMATCH(E14025, ""Ben帳戶|Elsa帳戶|Ben代墊|Ariel代墊|中信銀行共用""), REGEXMATCH(F14025, ""Ben帳戶|Elsa帳戶|Ben代墊|Ariel代墊|中信銀行共用"")), ""內部轉帳(忽略)"",
  AND(E14025&lt;&gt;"""", F14025&lt;&gt;"&amp;""""", NOT(REGEXMATCH(C14025, ""薪資""))), ""內部轉帳(忽略)"",
  REGEXMATCH(C14025, ""薪資""), ""薪資變動(不計入)"",
  REGEXMATCH(C14025, ""押金""), ""押金往來"",
  AND(E14025&lt;&gt;"""", F14025=""""), ""真實支出"",
  AND(E14025="""", F14025&lt;&gt;""""), ""真實收入"",
  TRUE, ""其他""
)"),"其他")</f>
        <v>其他</v>
      </c>
      <c r="K14025" s="270" t="str">
        <f t="shared" si="2"/>
        <v/>
      </c>
      <c r="L14025">
        <f t="shared" si="3"/>
        <v>0</v>
      </c>
    </row>
    <row r="14026">
      <c r="A14026" s="107"/>
      <c r="D14026" s="270"/>
      <c r="H14026" s="106" t="str">
        <f t="shared" si="1"/>
        <v/>
      </c>
      <c r="J14026" t="str">
        <f>IFERROR(__xludf.DUMMYFUNCTION("IFS(
  AND(REGEXMATCH(E14026, ""台銀籌備帳戶|玉山帳戶""), REGEXMATCH(C14026, ""薪資"")), ""分潤支出"",
  AND(REGEXMATCH(E14026, ""Ben帳戶|Elsa帳戶|Ben代墊|Ariel代墊|中信銀行共用""), REGEXMATCH(F14026, ""Ben帳戶|Elsa帳戶|Ben代墊|Ariel代墊|中信銀行共用"")), ""內部轉帳(忽略)"",
  AND(E14026&lt;&gt;"""", F14026&lt;&gt;"&amp;""""", NOT(REGEXMATCH(C14026, ""薪資""))), ""內部轉帳(忽略)"",
  REGEXMATCH(C14026, ""薪資""), ""薪資變動(不計入)"",
  REGEXMATCH(C14026, ""押金""), ""押金往來"",
  AND(E14026&lt;&gt;"""", F14026=""""), ""真實支出"",
  AND(E14026="""", F14026&lt;&gt;""""), ""真實收入"",
  TRUE, ""其他""
)"),"其他")</f>
        <v>其他</v>
      </c>
      <c r="K14026" s="270" t="str">
        <f t="shared" si="2"/>
        <v/>
      </c>
      <c r="L14026">
        <f t="shared" si="3"/>
        <v>0</v>
      </c>
    </row>
    <row r="14027">
      <c r="A14027" s="107"/>
      <c r="D14027" s="270"/>
      <c r="H14027" s="106" t="str">
        <f t="shared" si="1"/>
        <v/>
      </c>
      <c r="J14027" t="str">
        <f>IFERROR(__xludf.DUMMYFUNCTION("IFS(
  AND(REGEXMATCH(E14027, ""台銀籌備帳戶|玉山帳戶""), REGEXMATCH(C14027, ""薪資"")), ""分潤支出"",
  AND(REGEXMATCH(E14027, ""Ben帳戶|Elsa帳戶|Ben代墊|Ariel代墊|中信銀行共用""), REGEXMATCH(F14027, ""Ben帳戶|Elsa帳戶|Ben代墊|Ariel代墊|中信銀行共用"")), ""內部轉帳(忽略)"",
  AND(E14027&lt;&gt;"""", F14027&lt;&gt;"&amp;""""", NOT(REGEXMATCH(C14027, ""薪資""))), ""內部轉帳(忽略)"",
  REGEXMATCH(C14027, ""薪資""), ""薪資變動(不計入)"",
  REGEXMATCH(C14027, ""押金""), ""押金往來"",
  AND(E14027&lt;&gt;"""", F14027=""""), ""真實支出"",
  AND(E14027="""", F14027&lt;&gt;""""), ""真實收入"",
  TRUE, ""其他""
)"),"其他")</f>
        <v>其他</v>
      </c>
      <c r="K14027" s="270" t="str">
        <f t="shared" si="2"/>
        <v/>
      </c>
      <c r="L14027">
        <f t="shared" si="3"/>
        <v>0</v>
      </c>
    </row>
    <row r="14028">
      <c r="A14028" s="107"/>
      <c r="D14028" s="270"/>
      <c r="H14028" s="106" t="str">
        <f t="shared" si="1"/>
        <v/>
      </c>
      <c r="J14028" t="str">
        <f>IFERROR(__xludf.DUMMYFUNCTION("IFS(
  AND(REGEXMATCH(E14028, ""台銀籌備帳戶|玉山帳戶""), REGEXMATCH(C14028, ""薪資"")), ""分潤支出"",
  AND(REGEXMATCH(E14028, ""Ben帳戶|Elsa帳戶|Ben代墊|Ariel代墊|中信銀行共用""), REGEXMATCH(F14028, ""Ben帳戶|Elsa帳戶|Ben代墊|Ariel代墊|中信銀行共用"")), ""內部轉帳(忽略)"",
  AND(E14028&lt;&gt;"""", F14028&lt;&gt;"&amp;""""", NOT(REGEXMATCH(C14028, ""薪資""))), ""內部轉帳(忽略)"",
  REGEXMATCH(C14028, ""薪資""), ""薪資變動(不計入)"",
  REGEXMATCH(C14028, ""押金""), ""押金往來"",
  AND(E14028&lt;&gt;"""", F14028=""""), ""真實支出"",
  AND(E14028="""", F14028&lt;&gt;""""), ""真實收入"",
  TRUE, ""其他""
)"),"其他")</f>
        <v>其他</v>
      </c>
      <c r="K14028" s="270" t="str">
        <f t="shared" si="2"/>
        <v/>
      </c>
      <c r="L14028">
        <f t="shared" si="3"/>
        <v>0</v>
      </c>
    </row>
    <row r="14029">
      <c r="A14029" s="107"/>
      <c r="D14029" s="270"/>
      <c r="H14029" s="106" t="str">
        <f t="shared" si="1"/>
        <v/>
      </c>
      <c r="J14029" t="str">
        <f>IFERROR(__xludf.DUMMYFUNCTION("IFS(
  AND(REGEXMATCH(E14029, ""台銀籌備帳戶|玉山帳戶""), REGEXMATCH(C14029, ""薪資"")), ""分潤支出"",
  AND(REGEXMATCH(E14029, ""Ben帳戶|Elsa帳戶|Ben代墊|Ariel代墊|中信銀行共用""), REGEXMATCH(F14029, ""Ben帳戶|Elsa帳戶|Ben代墊|Ariel代墊|中信銀行共用"")), ""內部轉帳(忽略)"",
  AND(E14029&lt;&gt;"""", F14029&lt;&gt;"&amp;""""", NOT(REGEXMATCH(C14029, ""薪資""))), ""內部轉帳(忽略)"",
  REGEXMATCH(C14029, ""薪資""), ""薪資變動(不計入)"",
  REGEXMATCH(C14029, ""押金""), ""押金往來"",
  AND(E14029&lt;&gt;"""", F14029=""""), ""真實支出"",
  AND(E14029="""", F14029&lt;&gt;""""), ""真實收入"",
  TRUE, ""其他""
)"),"其他")</f>
        <v>其他</v>
      </c>
      <c r="K14029" s="270" t="str">
        <f t="shared" si="2"/>
        <v/>
      </c>
      <c r="L14029">
        <f t="shared" si="3"/>
        <v>0</v>
      </c>
    </row>
    <row r="14030">
      <c r="A14030" s="107"/>
      <c r="D14030" s="270"/>
      <c r="H14030" s="106" t="str">
        <f t="shared" si="1"/>
        <v/>
      </c>
      <c r="J14030" t="str">
        <f>IFERROR(__xludf.DUMMYFUNCTION("IFS(
  AND(REGEXMATCH(E14030, ""台銀籌備帳戶|玉山帳戶""), REGEXMATCH(C14030, ""薪資"")), ""分潤支出"",
  AND(REGEXMATCH(E14030, ""Ben帳戶|Elsa帳戶|Ben代墊|Ariel代墊|中信銀行共用""), REGEXMATCH(F14030, ""Ben帳戶|Elsa帳戶|Ben代墊|Ariel代墊|中信銀行共用"")), ""內部轉帳(忽略)"",
  AND(E14030&lt;&gt;"""", F14030&lt;&gt;"&amp;""""", NOT(REGEXMATCH(C14030, ""薪資""))), ""內部轉帳(忽略)"",
  REGEXMATCH(C14030, ""薪資""), ""薪資變動(不計入)"",
  REGEXMATCH(C14030, ""押金""), ""押金往來"",
  AND(E14030&lt;&gt;"""", F14030=""""), ""真實支出"",
  AND(E14030="""", F14030&lt;&gt;""""), ""真實收入"",
  TRUE, ""其他""
)"),"其他")</f>
        <v>其他</v>
      </c>
      <c r="K14030" s="270" t="str">
        <f t="shared" si="2"/>
        <v/>
      </c>
      <c r="L14030">
        <f t="shared" si="3"/>
        <v>0</v>
      </c>
    </row>
    <row r="14031">
      <c r="A14031" s="107"/>
      <c r="D14031" s="270"/>
      <c r="H14031" s="106" t="str">
        <f t="shared" si="1"/>
        <v/>
      </c>
      <c r="J14031" t="str">
        <f>IFERROR(__xludf.DUMMYFUNCTION("IFS(
  AND(REGEXMATCH(E14031, ""台銀籌備帳戶|玉山帳戶""), REGEXMATCH(C14031, ""薪資"")), ""分潤支出"",
  AND(REGEXMATCH(E14031, ""Ben帳戶|Elsa帳戶|Ben代墊|Ariel代墊|中信銀行共用""), REGEXMATCH(F14031, ""Ben帳戶|Elsa帳戶|Ben代墊|Ariel代墊|中信銀行共用"")), ""內部轉帳(忽略)"",
  AND(E14031&lt;&gt;"""", F14031&lt;&gt;"&amp;""""", NOT(REGEXMATCH(C14031, ""薪資""))), ""內部轉帳(忽略)"",
  REGEXMATCH(C14031, ""薪資""), ""薪資變動(不計入)"",
  REGEXMATCH(C14031, ""押金""), ""押金往來"",
  AND(E14031&lt;&gt;"""", F14031=""""), ""真實支出"",
  AND(E14031="""", F14031&lt;&gt;""""), ""真實收入"",
  TRUE, ""其他""
)"),"其他")</f>
        <v>其他</v>
      </c>
      <c r="K14031" s="270" t="str">
        <f t="shared" si="2"/>
        <v/>
      </c>
      <c r="L14031">
        <f t="shared" si="3"/>
        <v>0</v>
      </c>
    </row>
    <row r="14032">
      <c r="A14032" s="107"/>
      <c r="D14032" s="270"/>
      <c r="H14032" s="106" t="str">
        <f t="shared" si="1"/>
        <v/>
      </c>
      <c r="J14032" t="str">
        <f>IFERROR(__xludf.DUMMYFUNCTION("IFS(
  AND(REGEXMATCH(E14032, ""台銀籌備帳戶|玉山帳戶""), REGEXMATCH(C14032, ""薪資"")), ""分潤支出"",
  AND(REGEXMATCH(E14032, ""Ben帳戶|Elsa帳戶|Ben代墊|Ariel代墊|中信銀行共用""), REGEXMATCH(F14032, ""Ben帳戶|Elsa帳戶|Ben代墊|Ariel代墊|中信銀行共用"")), ""內部轉帳(忽略)"",
  AND(E14032&lt;&gt;"""", F14032&lt;&gt;"&amp;""""", NOT(REGEXMATCH(C14032, ""薪資""))), ""內部轉帳(忽略)"",
  REGEXMATCH(C14032, ""薪資""), ""薪資變動(不計入)"",
  REGEXMATCH(C14032, ""押金""), ""押金往來"",
  AND(E14032&lt;&gt;"""", F14032=""""), ""真實支出"",
  AND(E14032="""", F14032&lt;&gt;""""), ""真實收入"",
  TRUE, ""其他""
)"),"其他")</f>
        <v>其他</v>
      </c>
      <c r="K14032" s="270" t="str">
        <f t="shared" si="2"/>
        <v/>
      </c>
      <c r="L14032">
        <f t="shared" si="3"/>
        <v>0</v>
      </c>
    </row>
    <row r="14033">
      <c r="A14033" s="107"/>
      <c r="D14033" s="270"/>
      <c r="H14033" s="106" t="str">
        <f t="shared" si="1"/>
        <v/>
      </c>
      <c r="J14033" t="str">
        <f>IFERROR(__xludf.DUMMYFUNCTION("IFS(
  AND(REGEXMATCH(E14033, ""台銀籌備帳戶|玉山帳戶""), REGEXMATCH(C14033, ""薪資"")), ""分潤支出"",
  AND(REGEXMATCH(E14033, ""Ben帳戶|Elsa帳戶|Ben代墊|Ariel代墊|中信銀行共用""), REGEXMATCH(F14033, ""Ben帳戶|Elsa帳戶|Ben代墊|Ariel代墊|中信銀行共用"")), ""內部轉帳(忽略)"",
  AND(E14033&lt;&gt;"""", F14033&lt;&gt;"&amp;""""", NOT(REGEXMATCH(C14033, ""薪資""))), ""內部轉帳(忽略)"",
  REGEXMATCH(C14033, ""薪資""), ""薪資變動(不計入)"",
  REGEXMATCH(C14033, ""押金""), ""押金往來"",
  AND(E14033&lt;&gt;"""", F14033=""""), ""真實支出"",
  AND(E14033="""", F14033&lt;&gt;""""), ""真實收入"",
  TRUE, ""其他""
)"),"其他")</f>
        <v>其他</v>
      </c>
      <c r="K14033" s="270" t="str">
        <f t="shared" si="2"/>
        <v/>
      </c>
      <c r="L14033">
        <f t="shared" si="3"/>
        <v>0</v>
      </c>
    </row>
    <row r="14034">
      <c r="A14034" s="107"/>
      <c r="D14034" s="270"/>
      <c r="H14034" s="106" t="str">
        <f t="shared" si="1"/>
        <v/>
      </c>
      <c r="J14034" t="str">
        <f>IFERROR(__xludf.DUMMYFUNCTION("IFS(
  AND(REGEXMATCH(E14034, ""台銀籌備帳戶|玉山帳戶""), REGEXMATCH(C14034, ""薪資"")), ""分潤支出"",
  AND(REGEXMATCH(E14034, ""Ben帳戶|Elsa帳戶|Ben代墊|Ariel代墊|中信銀行共用""), REGEXMATCH(F14034, ""Ben帳戶|Elsa帳戶|Ben代墊|Ariel代墊|中信銀行共用"")), ""內部轉帳(忽略)"",
  AND(E14034&lt;&gt;"""", F14034&lt;&gt;"&amp;""""", NOT(REGEXMATCH(C14034, ""薪資""))), ""內部轉帳(忽略)"",
  REGEXMATCH(C14034, ""薪資""), ""薪資變動(不計入)"",
  REGEXMATCH(C14034, ""押金""), ""押金往來"",
  AND(E14034&lt;&gt;"""", F14034=""""), ""真實支出"",
  AND(E14034="""", F14034&lt;&gt;""""), ""真實收入"",
  TRUE, ""其他""
)"),"其他")</f>
        <v>其他</v>
      </c>
      <c r="K14034" s="270" t="str">
        <f t="shared" si="2"/>
        <v/>
      </c>
      <c r="L14034">
        <f t="shared" si="3"/>
        <v>0</v>
      </c>
    </row>
    <row r="14035">
      <c r="A14035" s="107"/>
      <c r="D14035" s="270"/>
      <c r="H14035" s="106" t="str">
        <f t="shared" si="1"/>
        <v/>
      </c>
      <c r="J14035" t="str">
        <f>IFERROR(__xludf.DUMMYFUNCTION("IFS(
  AND(REGEXMATCH(E14035, ""台銀籌備帳戶|玉山帳戶""), REGEXMATCH(C14035, ""薪資"")), ""分潤支出"",
  AND(REGEXMATCH(E14035, ""Ben帳戶|Elsa帳戶|Ben代墊|Ariel代墊|中信銀行共用""), REGEXMATCH(F14035, ""Ben帳戶|Elsa帳戶|Ben代墊|Ariel代墊|中信銀行共用"")), ""內部轉帳(忽略)"",
  AND(E14035&lt;&gt;"""", F14035&lt;&gt;"&amp;""""", NOT(REGEXMATCH(C14035, ""薪資""))), ""內部轉帳(忽略)"",
  REGEXMATCH(C14035, ""薪資""), ""薪資變動(不計入)"",
  REGEXMATCH(C14035, ""押金""), ""押金往來"",
  AND(E14035&lt;&gt;"""", F14035=""""), ""真實支出"",
  AND(E14035="""", F14035&lt;&gt;""""), ""真實收入"",
  TRUE, ""其他""
)"),"其他")</f>
        <v>其他</v>
      </c>
      <c r="K14035" s="270" t="str">
        <f t="shared" si="2"/>
        <v/>
      </c>
      <c r="L14035">
        <f t="shared" si="3"/>
        <v>0</v>
      </c>
    </row>
    <row r="14036">
      <c r="A14036" s="107"/>
      <c r="D14036" s="270"/>
      <c r="H14036" s="106" t="str">
        <f t="shared" si="1"/>
        <v/>
      </c>
      <c r="J14036" t="str">
        <f>IFERROR(__xludf.DUMMYFUNCTION("IFS(
  AND(REGEXMATCH(E14036, ""台銀籌備帳戶|玉山帳戶""), REGEXMATCH(C14036, ""薪資"")), ""分潤支出"",
  AND(REGEXMATCH(E14036, ""Ben帳戶|Elsa帳戶|Ben代墊|Ariel代墊|中信銀行共用""), REGEXMATCH(F14036, ""Ben帳戶|Elsa帳戶|Ben代墊|Ariel代墊|中信銀行共用"")), ""內部轉帳(忽略)"",
  AND(E14036&lt;&gt;"""", F14036&lt;&gt;"&amp;""""", NOT(REGEXMATCH(C14036, ""薪資""))), ""內部轉帳(忽略)"",
  REGEXMATCH(C14036, ""薪資""), ""薪資變動(不計入)"",
  REGEXMATCH(C14036, ""押金""), ""押金往來"",
  AND(E14036&lt;&gt;"""", F14036=""""), ""真實支出"",
  AND(E14036="""", F14036&lt;&gt;""""), ""真實收入"",
  TRUE, ""其他""
)"),"其他")</f>
        <v>其他</v>
      </c>
      <c r="K14036" s="270" t="str">
        <f t="shared" si="2"/>
        <v/>
      </c>
      <c r="L14036">
        <f t="shared" si="3"/>
        <v>0</v>
      </c>
    </row>
    <row r="14037">
      <c r="A14037" s="107"/>
      <c r="D14037" s="270"/>
      <c r="H14037" s="106" t="str">
        <f t="shared" si="1"/>
        <v/>
      </c>
      <c r="J14037" t="str">
        <f>IFERROR(__xludf.DUMMYFUNCTION("IFS(
  AND(REGEXMATCH(E14037, ""台銀籌備帳戶|玉山帳戶""), REGEXMATCH(C14037, ""薪資"")), ""分潤支出"",
  AND(REGEXMATCH(E14037, ""Ben帳戶|Elsa帳戶|Ben代墊|Ariel代墊|中信銀行共用""), REGEXMATCH(F14037, ""Ben帳戶|Elsa帳戶|Ben代墊|Ariel代墊|中信銀行共用"")), ""內部轉帳(忽略)"",
  AND(E14037&lt;&gt;"""", F14037&lt;&gt;"&amp;""""", NOT(REGEXMATCH(C14037, ""薪資""))), ""內部轉帳(忽略)"",
  REGEXMATCH(C14037, ""薪資""), ""薪資變動(不計入)"",
  REGEXMATCH(C14037, ""押金""), ""押金往來"",
  AND(E14037&lt;&gt;"""", F14037=""""), ""真實支出"",
  AND(E14037="""", F14037&lt;&gt;""""), ""真實收入"",
  TRUE, ""其他""
)"),"其他")</f>
        <v>其他</v>
      </c>
      <c r="K14037" s="270" t="str">
        <f t="shared" si="2"/>
        <v/>
      </c>
      <c r="L14037">
        <f t="shared" si="3"/>
        <v>0</v>
      </c>
    </row>
    <row r="14038">
      <c r="A14038" s="107"/>
      <c r="D14038" s="270"/>
      <c r="H14038" s="106" t="str">
        <f t="shared" si="1"/>
        <v/>
      </c>
      <c r="J14038" t="str">
        <f>IFERROR(__xludf.DUMMYFUNCTION("IFS(
  AND(REGEXMATCH(E14038, ""台銀籌備帳戶|玉山帳戶""), REGEXMATCH(C14038, ""薪資"")), ""分潤支出"",
  AND(REGEXMATCH(E14038, ""Ben帳戶|Elsa帳戶|Ben代墊|Ariel代墊|中信銀行共用""), REGEXMATCH(F14038, ""Ben帳戶|Elsa帳戶|Ben代墊|Ariel代墊|中信銀行共用"")), ""內部轉帳(忽略)"",
  AND(E14038&lt;&gt;"""", F14038&lt;&gt;"&amp;""""", NOT(REGEXMATCH(C14038, ""薪資""))), ""內部轉帳(忽略)"",
  REGEXMATCH(C14038, ""薪資""), ""薪資變動(不計入)"",
  REGEXMATCH(C14038, ""押金""), ""押金往來"",
  AND(E14038&lt;&gt;"""", F14038=""""), ""真實支出"",
  AND(E14038="""", F14038&lt;&gt;""""), ""真實收入"",
  TRUE, ""其他""
)"),"其他")</f>
        <v>其他</v>
      </c>
      <c r="K14038" s="270" t="str">
        <f t="shared" si="2"/>
        <v/>
      </c>
      <c r="L14038">
        <f t="shared" si="3"/>
        <v>0</v>
      </c>
    </row>
    <row r="14039">
      <c r="A14039" s="107"/>
      <c r="D14039" s="270"/>
      <c r="H14039" s="106" t="str">
        <f t="shared" si="1"/>
        <v/>
      </c>
      <c r="J14039" t="str">
        <f>IFERROR(__xludf.DUMMYFUNCTION("IFS(
  AND(REGEXMATCH(E14039, ""台銀籌備帳戶|玉山帳戶""), REGEXMATCH(C14039, ""薪資"")), ""分潤支出"",
  AND(REGEXMATCH(E14039, ""Ben帳戶|Elsa帳戶|Ben代墊|Ariel代墊|中信銀行共用""), REGEXMATCH(F14039, ""Ben帳戶|Elsa帳戶|Ben代墊|Ariel代墊|中信銀行共用"")), ""內部轉帳(忽略)"",
  AND(E14039&lt;&gt;"""", F14039&lt;&gt;"&amp;""""", NOT(REGEXMATCH(C14039, ""薪資""))), ""內部轉帳(忽略)"",
  REGEXMATCH(C14039, ""薪資""), ""薪資變動(不計入)"",
  REGEXMATCH(C14039, ""押金""), ""押金往來"",
  AND(E14039&lt;&gt;"""", F14039=""""), ""真實支出"",
  AND(E14039="""", F14039&lt;&gt;""""), ""真實收入"",
  TRUE, ""其他""
)"),"其他")</f>
        <v>其他</v>
      </c>
      <c r="K14039" s="270" t="str">
        <f t="shared" si="2"/>
        <v/>
      </c>
      <c r="L14039">
        <f t="shared" si="3"/>
        <v>0</v>
      </c>
    </row>
    <row r="14040">
      <c r="A14040" s="107"/>
      <c r="D14040" s="270"/>
      <c r="H14040" s="106" t="str">
        <f t="shared" si="1"/>
        <v/>
      </c>
      <c r="J14040" t="str">
        <f>IFERROR(__xludf.DUMMYFUNCTION("IFS(
  AND(REGEXMATCH(E14040, ""台銀籌備帳戶|玉山帳戶""), REGEXMATCH(C14040, ""薪資"")), ""分潤支出"",
  AND(REGEXMATCH(E14040, ""Ben帳戶|Elsa帳戶|Ben代墊|Ariel代墊|中信銀行共用""), REGEXMATCH(F14040, ""Ben帳戶|Elsa帳戶|Ben代墊|Ariel代墊|中信銀行共用"")), ""內部轉帳(忽略)"",
  AND(E14040&lt;&gt;"""", F14040&lt;&gt;"&amp;""""", NOT(REGEXMATCH(C14040, ""薪資""))), ""內部轉帳(忽略)"",
  REGEXMATCH(C14040, ""薪資""), ""薪資變動(不計入)"",
  REGEXMATCH(C14040, ""押金""), ""押金往來"",
  AND(E14040&lt;&gt;"""", F14040=""""), ""真實支出"",
  AND(E14040="""", F14040&lt;&gt;""""), ""真實收入"",
  TRUE, ""其他""
)"),"其他")</f>
        <v>其他</v>
      </c>
      <c r="K14040" s="270" t="str">
        <f t="shared" si="2"/>
        <v/>
      </c>
      <c r="L14040">
        <f t="shared" si="3"/>
        <v>0</v>
      </c>
    </row>
    <row r="14041">
      <c r="A14041" s="107"/>
      <c r="D14041" s="270"/>
      <c r="H14041" s="106" t="str">
        <f t="shared" si="1"/>
        <v/>
      </c>
      <c r="J14041" t="str">
        <f>IFERROR(__xludf.DUMMYFUNCTION("IFS(
  AND(REGEXMATCH(E14041, ""台銀籌備帳戶|玉山帳戶""), REGEXMATCH(C14041, ""薪資"")), ""分潤支出"",
  AND(REGEXMATCH(E14041, ""Ben帳戶|Elsa帳戶|Ben代墊|Ariel代墊|中信銀行共用""), REGEXMATCH(F14041, ""Ben帳戶|Elsa帳戶|Ben代墊|Ariel代墊|中信銀行共用"")), ""內部轉帳(忽略)"",
  AND(E14041&lt;&gt;"""", F14041&lt;&gt;"&amp;""""", NOT(REGEXMATCH(C14041, ""薪資""))), ""內部轉帳(忽略)"",
  REGEXMATCH(C14041, ""薪資""), ""薪資變動(不計入)"",
  REGEXMATCH(C14041, ""押金""), ""押金往來"",
  AND(E14041&lt;&gt;"""", F14041=""""), ""真實支出"",
  AND(E14041="""", F14041&lt;&gt;""""), ""真實收入"",
  TRUE, ""其他""
)"),"其他")</f>
        <v>其他</v>
      </c>
      <c r="K14041" s="270" t="str">
        <f t="shared" si="2"/>
        <v/>
      </c>
      <c r="L14041">
        <f t="shared" si="3"/>
        <v>0</v>
      </c>
    </row>
    <row r="14042">
      <c r="A14042" s="107"/>
      <c r="D14042" s="270"/>
      <c r="H14042" s="106" t="str">
        <f t="shared" si="1"/>
        <v/>
      </c>
      <c r="J14042" t="str">
        <f>IFERROR(__xludf.DUMMYFUNCTION("IFS(
  AND(REGEXMATCH(E14042, ""台銀籌備帳戶|玉山帳戶""), REGEXMATCH(C14042, ""薪資"")), ""分潤支出"",
  AND(REGEXMATCH(E14042, ""Ben帳戶|Elsa帳戶|Ben代墊|Ariel代墊|中信銀行共用""), REGEXMATCH(F14042, ""Ben帳戶|Elsa帳戶|Ben代墊|Ariel代墊|中信銀行共用"")), ""內部轉帳(忽略)"",
  AND(E14042&lt;&gt;"""", F14042&lt;&gt;"&amp;""""", NOT(REGEXMATCH(C14042, ""薪資""))), ""內部轉帳(忽略)"",
  REGEXMATCH(C14042, ""薪資""), ""薪資變動(不計入)"",
  REGEXMATCH(C14042, ""押金""), ""押金往來"",
  AND(E14042&lt;&gt;"""", F14042=""""), ""真實支出"",
  AND(E14042="""", F14042&lt;&gt;""""), ""真實收入"",
  TRUE, ""其他""
)"),"其他")</f>
        <v>其他</v>
      </c>
      <c r="K14042" s="270" t="str">
        <f t="shared" si="2"/>
        <v/>
      </c>
      <c r="L14042">
        <f t="shared" si="3"/>
        <v>0</v>
      </c>
    </row>
    <row r="14043">
      <c r="A14043" s="107"/>
      <c r="D14043" s="270"/>
      <c r="H14043" s="106" t="str">
        <f t="shared" si="1"/>
        <v/>
      </c>
      <c r="J14043" t="str">
        <f>IFERROR(__xludf.DUMMYFUNCTION("IFS(
  AND(REGEXMATCH(E14043, ""台銀籌備帳戶|玉山帳戶""), REGEXMATCH(C14043, ""薪資"")), ""分潤支出"",
  AND(REGEXMATCH(E14043, ""Ben帳戶|Elsa帳戶|Ben代墊|Ariel代墊|中信銀行共用""), REGEXMATCH(F14043, ""Ben帳戶|Elsa帳戶|Ben代墊|Ariel代墊|中信銀行共用"")), ""內部轉帳(忽略)"",
  AND(E14043&lt;&gt;"""", F14043&lt;&gt;"&amp;""""", NOT(REGEXMATCH(C14043, ""薪資""))), ""內部轉帳(忽略)"",
  REGEXMATCH(C14043, ""薪資""), ""薪資變動(不計入)"",
  REGEXMATCH(C14043, ""押金""), ""押金往來"",
  AND(E14043&lt;&gt;"""", F14043=""""), ""真實支出"",
  AND(E14043="""", F14043&lt;&gt;""""), ""真實收入"",
  TRUE, ""其他""
)"),"其他")</f>
        <v>其他</v>
      </c>
      <c r="K14043" s="270" t="str">
        <f t="shared" si="2"/>
        <v/>
      </c>
      <c r="L14043">
        <f t="shared" si="3"/>
        <v>0</v>
      </c>
    </row>
    <row r="14044">
      <c r="A14044" s="107"/>
      <c r="D14044" s="270"/>
      <c r="H14044" s="106" t="str">
        <f t="shared" si="1"/>
        <v/>
      </c>
      <c r="J14044" t="str">
        <f>IFERROR(__xludf.DUMMYFUNCTION("IFS(
  AND(REGEXMATCH(E14044, ""台銀籌備帳戶|玉山帳戶""), REGEXMATCH(C14044, ""薪資"")), ""分潤支出"",
  AND(REGEXMATCH(E14044, ""Ben帳戶|Elsa帳戶|Ben代墊|Ariel代墊|中信銀行共用""), REGEXMATCH(F14044, ""Ben帳戶|Elsa帳戶|Ben代墊|Ariel代墊|中信銀行共用"")), ""內部轉帳(忽略)"",
  AND(E14044&lt;&gt;"""", F14044&lt;&gt;"&amp;""""", NOT(REGEXMATCH(C14044, ""薪資""))), ""內部轉帳(忽略)"",
  REGEXMATCH(C14044, ""薪資""), ""薪資變動(不計入)"",
  REGEXMATCH(C14044, ""押金""), ""押金往來"",
  AND(E14044&lt;&gt;"""", F14044=""""), ""真實支出"",
  AND(E14044="""", F14044&lt;&gt;""""), ""真實收入"",
  TRUE, ""其他""
)"),"其他")</f>
        <v>其他</v>
      </c>
      <c r="K14044" s="270" t="str">
        <f t="shared" si="2"/>
        <v/>
      </c>
      <c r="L14044">
        <f t="shared" si="3"/>
        <v>0</v>
      </c>
    </row>
    <row r="14045">
      <c r="A14045" s="107"/>
      <c r="D14045" s="270"/>
      <c r="H14045" s="106" t="str">
        <f t="shared" si="1"/>
        <v/>
      </c>
      <c r="J14045" t="str">
        <f>IFERROR(__xludf.DUMMYFUNCTION("IFS(
  AND(REGEXMATCH(E14045, ""台銀籌備帳戶|玉山帳戶""), REGEXMATCH(C14045, ""薪資"")), ""分潤支出"",
  AND(REGEXMATCH(E14045, ""Ben帳戶|Elsa帳戶|Ben代墊|Ariel代墊|中信銀行共用""), REGEXMATCH(F14045, ""Ben帳戶|Elsa帳戶|Ben代墊|Ariel代墊|中信銀行共用"")), ""內部轉帳(忽略)"",
  AND(E14045&lt;&gt;"""", F14045&lt;&gt;"&amp;""""", NOT(REGEXMATCH(C14045, ""薪資""))), ""內部轉帳(忽略)"",
  REGEXMATCH(C14045, ""薪資""), ""薪資變動(不計入)"",
  REGEXMATCH(C14045, ""押金""), ""押金往來"",
  AND(E14045&lt;&gt;"""", F14045=""""), ""真實支出"",
  AND(E14045="""", F14045&lt;&gt;""""), ""真實收入"",
  TRUE, ""其他""
)"),"其他")</f>
        <v>其他</v>
      </c>
      <c r="K14045" s="270" t="str">
        <f t="shared" si="2"/>
        <v/>
      </c>
      <c r="L14045">
        <f t="shared" si="3"/>
        <v>0</v>
      </c>
    </row>
    <row r="14046">
      <c r="A14046" s="107"/>
      <c r="D14046" s="270"/>
      <c r="H14046" s="106" t="str">
        <f t="shared" si="1"/>
        <v/>
      </c>
      <c r="J14046" t="str">
        <f>IFERROR(__xludf.DUMMYFUNCTION("IFS(
  AND(REGEXMATCH(E14046, ""台銀籌備帳戶|玉山帳戶""), REGEXMATCH(C14046, ""薪資"")), ""分潤支出"",
  AND(REGEXMATCH(E14046, ""Ben帳戶|Elsa帳戶|Ben代墊|Ariel代墊|中信銀行共用""), REGEXMATCH(F14046, ""Ben帳戶|Elsa帳戶|Ben代墊|Ariel代墊|中信銀行共用"")), ""內部轉帳(忽略)"",
  AND(E14046&lt;&gt;"""", F14046&lt;&gt;"&amp;""""", NOT(REGEXMATCH(C14046, ""薪資""))), ""內部轉帳(忽略)"",
  REGEXMATCH(C14046, ""薪資""), ""薪資變動(不計入)"",
  REGEXMATCH(C14046, ""押金""), ""押金往來"",
  AND(E14046&lt;&gt;"""", F14046=""""), ""真實支出"",
  AND(E14046="""", F14046&lt;&gt;""""), ""真實收入"",
  TRUE, ""其他""
)"),"其他")</f>
        <v>其他</v>
      </c>
      <c r="K14046" s="270" t="str">
        <f t="shared" si="2"/>
        <v/>
      </c>
      <c r="L14046">
        <f t="shared" si="3"/>
        <v>0</v>
      </c>
    </row>
    <row r="14047">
      <c r="A14047" s="107"/>
      <c r="D14047" s="270"/>
      <c r="H14047" s="106" t="str">
        <f t="shared" si="1"/>
        <v/>
      </c>
      <c r="J14047" t="str">
        <f>IFERROR(__xludf.DUMMYFUNCTION("IFS(
  AND(REGEXMATCH(E14047, ""台銀籌備帳戶|玉山帳戶""), REGEXMATCH(C14047, ""薪資"")), ""分潤支出"",
  AND(REGEXMATCH(E14047, ""Ben帳戶|Elsa帳戶|Ben代墊|Ariel代墊|中信銀行共用""), REGEXMATCH(F14047, ""Ben帳戶|Elsa帳戶|Ben代墊|Ariel代墊|中信銀行共用"")), ""內部轉帳(忽略)"",
  AND(E14047&lt;&gt;"""", F14047&lt;&gt;"&amp;""""", NOT(REGEXMATCH(C14047, ""薪資""))), ""內部轉帳(忽略)"",
  REGEXMATCH(C14047, ""薪資""), ""薪資變動(不計入)"",
  REGEXMATCH(C14047, ""押金""), ""押金往來"",
  AND(E14047&lt;&gt;"""", F14047=""""), ""真實支出"",
  AND(E14047="""", F14047&lt;&gt;""""), ""真實收入"",
  TRUE, ""其他""
)"),"其他")</f>
        <v>其他</v>
      </c>
      <c r="K14047" s="270" t="str">
        <f t="shared" si="2"/>
        <v/>
      </c>
      <c r="L14047">
        <f t="shared" si="3"/>
        <v>0</v>
      </c>
    </row>
    <row r="14048">
      <c r="A14048" s="107"/>
      <c r="D14048" s="270"/>
      <c r="H14048" s="106" t="str">
        <f t="shared" si="1"/>
        <v/>
      </c>
      <c r="J14048" t="str">
        <f>IFERROR(__xludf.DUMMYFUNCTION("IFS(
  AND(REGEXMATCH(E14048, ""台銀籌備帳戶|玉山帳戶""), REGEXMATCH(C14048, ""薪資"")), ""分潤支出"",
  AND(REGEXMATCH(E14048, ""Ben帳戶|Elsa帳戶|Ben代墊|Ariel代墊|中信銀行共用""), REGEXMATCH(F14048, ""Ben帳戶|Elsa帳戶|Ben代墊|Ariel代墊|中信銀行共用"")), ""內部轉帳(忽略)"",
  AND(E14048&lt;&gt;"""", F14048&lt;&gt;"&amp;""""", NOT(REGEXMATCH(C14048, ""薪資""))), ""內部轉帳(忽略)"",
  REGEXMATCH(C14048, ""薪資""), ""薪資變動(不計入)"",
  REGEXMATCH(C14048, ""押金""), ""押金往來"",
  AND(E14048&lt;&gt;"""", F14048=""""), ""真實支出"",
  AND(E14048="""", F14048&lt;&gt;""""), ""真實收入"",
  TRUE, ""其他""
)"),"其他")</f>
        <v>其他</v>
      </c>
      <c r="K14048" s="270" t="str">
        <f t="shared" si="2"/>
        <v/>
      </c>
      <c r="L14048">
        <f t="shared" si="3"/>
        <v>0</v>
      </c>
    </row>
    <row r="14049">
      <c r="A14049" s="107"/>
      <c r="D14049" s="270"/>
      <c r="H14049" s="106" t="str">
        <f t="shared" si="1"/>
        <v/>
      </c>
      <c r="J14049" t="str">
        <f>IFERROR(__xludf.DUMMYFUNCTION("IFS(
  AND(REGEXMATCH(E14049, ""台銀籌備帳戶|玉山帳戶""), REGEXMATCH(C14049, ""薪資"")), ""分潤支出"",
  AND(REGEXMATCH(E14049, ""Ben帳戶|Elsa帳戶|Ben代墊|Ariel代墊|中信銀行共用""), REGEXMATCH(F14049, ""Ben帳戶|Elsa帳戶|Ben代墊|Ariel代墊|中信銀行共用"")), ""內部轉帳(忽略)"",
  AND(E14049&lt;&gt;"""", F14049&lt;&gt;"&amp;""""", NOT(REGEXMATCH(C14049, ""薪資""))), ""內部轉帳(忽略)"",
  REGEXMATCH(C14049, ""薪資""), ""薪資變動(不計入)"",
  REGEXMATCH(C14049, ""押金""), ""押金往來"",
  AND(E14049&lt;&gt;"""", F14049=""""), ""真實支出"",
  AND(E14049="""", F14049&lt;&gt;""""), ""真實收入"",
  TRUE, ""其他""
)"),"其他")</f>
        <v>其他</v>
      </c>
      <c r="K14049" s="270" t="str">
        <f t="shared" si="2"/>
        <v/>
      </c>
      <c r="L14049">
        <f t="shared" si="3"/>
        <v>0</v>
      </c>
    </row>
    <row r="14050">
      <c r="A14050" s="107"/>
      <c r="D14050" s="270"/>
      <c r="H14050" s="106" t="str">
        <f t="shared" si="1"/>
        <v/>
      </c>
      <c r="J14050" t="str">
        <f>IFERROR(__xludf.DUMMYFUNCTION("IFS(
  AND(REGEXMATCH(E14050, ""台銀籌備帳戶|玉山帳戶""), REGEXMATCH(C14050, ""薪資"")), ""分潤支出"",
  AND(REGEXMATCH(E14050, ""Ben帳戶|Elsa帳戶|Ben代墊|Ariel代墊|中信銀行共用""), REGEXMATCH(F14050, ""Ben帳戶|Elsa帳戶|Ben代墊|Ariel代墊|中信銀行共用"")), ""內部轉帳(忽略)"",
  AND(E14050&lt;&gt;"""", F14050&lt;&gt;"&amp;""""", NOT(REGEXMATCH(C14050, ""薪資""))), ""內部轉帳(忽略)"",
  REGEXMATCH(C14050, ""薪資""), ""薪資變動(不計入)"",
  REGEXMATCH(C14050, ""押金""), ""押金往來"",
  AND(E14050&lt;&gt;"""", F14050=""""), ""真實支出"",
  AND(E14050="""", F14050&lt;&gt;""""), ""真實收入"",
  TRUE, ""其他""
)"),"其他")</f>
        <v>其他</v>
      </c>
      <c r="K14050" s="270" t="str">
        <f t="shared" si="2"/>
        <v/>
      </c>
      <c r="L14050">
        <f t="shared" si="3"/>
        <v>0</v>
      </c>
    </row>
    <row r="14051">
      <c r="A14051" s="107"/>
      <c r="D14051" s="270"/>
      <c r="H14051" s="106" t="str">
        <f t="shared" si="1"/>
        <v/>
      </c>
      <c r="J14051" t="str">
        <f>IFERROR(__xludf.DUMMYFUNCTION("IFS(
  AND(REGEXMATCH(E14051, ""台銀籌備帳戶|玉山帳戶""), REGEXMATCH(C14051, ""薪資"")), ""分潤支出"",
  AND(REGEXMATCH(E14051, ""Ben帳戶|Elsa帳戶|Ben代墊|Ariel代墊|中信銀行共用""), REGEXMATCH(F14051, ""Ben帳戶|Elsa帳戶|Ben代墊|Ariel代墊|中信銀行共用"")), ""內部轉帳(忽略)"",
  AND(E14051&lt;&gt;"""", F14051&lt;&gt;"&amp;""""", NOT(REGEXMATCH(C14051, ""薪資""))), ""內部轉帳(忽略)"",
  REGEXMATCH(C14051, ""薪資""), ""薪資變動(不計入)"",
  REGEXMATCH(C14051, ""押金""), ""押金往來"",
  AND(E14051&lt;&gt;"""", F14051=""""), ""真實支出"",
  AND(E14051="""", F14051&lt;&gt;""""), ""真實收入"",
  TRUE, ""其他""
)"),"其他")</f>
        <v>其他</v>
      </c>
      <c r="K14051" s="270" t="str">
        <f t="shared" si="2"/>
        <v/>
      </c>
      <c r="L14051">
        <f t="shared" si="3"/>
        <v>0</v>
      </c>
    </row>
    <row r="14052">
      <c r="A14052" s="107"/>
      <c r="D14052" s="270"/>
      <c r="H14052" s="106" t="str">
        <f t="shared" si="1"/>
        <v/>
      </c>
      <c r="J14052" t="str">
        <f>IFERROR(__xludf.DUMMYFUNCTION("IFS(
  AND(REGEXMATCH(E14052, ""台銀籌備帳戶|玉山帳戶""), REGEXMATCH(C14052, ""薪資"")), ""分潤支出"",
  AND(REGEXMATCH(E14052, ""Ben帳戶|Elsa帳戶|Ben代墊|Ariel代墊|中信銀行共用""), REGEXMATCH(F14052, ""Ben帳戶|Elsa帳戶|Ben代墊|Ariel代墊|中信銀行共用"")), ""內部轉帳(忽略)"",
  AND(E14052&lt;&gt;"""", F14052&lt;&gt;"&amp;""""", NOT(REGEXMATCH(C14052, ""薪資""))), ""內部轉帳(忽略)"",
  REGEXMATCH(C14052, ""薪資""), ""薪資變動(不計入)"",
  REGEXMATCH(C14052, ""押金""), ""押金往來"",
  AND(E14052&lt;&gt;"""", F14052=""""), ""真實支出"",
  AND(E14052="""", F14052&lt;&gt;""""), ""真實收入"",
  TRUE, ""其他""
)"),"其他")</f>
        <v>其他</v>
      </c>
      <c r="K14052" s="270" t="str">
        <f t="shared" si="2"/>
        <v/>
      </c>
      <c r="L14052">
        <f t="shared" si="3"/>
        <v>0</v>
      </c>
    </row>
    <row r="14053">
      <c r="A14053" s="107"/>
      <c r="D14053" s="270"/>
      <c r="H14053" s="106" t="str">
        <f t="shared" si="1"/>
        <v/>
      </c>
      <c r="J14053" t="str">
        <f>IFERROR(__xludf.DUMMYFUNCTION("IFS(
  AND(REGEXMATCH(E14053, ""台銀籌備帳戶|玉山帳戶""), REGEXMATCH(C14053, ""薪資"")), ""分潤支出"",
  AND(REGEXMATCH(E14053, ""Ben帳戶|Elsa帳戶|Ben代墊|Ariel代墊|中信銀行共用""), REGEXMATCH(F14053, ""Ben帳戶|Elsa帳戶|Ben代墊|Ariel代墊|中信銀行共用"")), ""內部轉帳(忽略)"",
  AND(E14053&lt;&gt;"""", F14053&lt;&gt;"&amp;""""", NOT(REGEXMATCH(C14053, ""薪資""))), ""內部轉帳(忽略)"",
  REGEXMATCH(C14053, ""薪資""), ""薪資變動(不計入)"",
  REGEXMATCH(C14053, ""押金""), ""押金往來"",
  AND(E14053&lt;&gt;"""", F14053=""""), ""真實支出"",
  AND(E14053="""", F14053&lt;&gt;""""), ""真實收入"",
  TRUE, ""其他""
)"),"其他")</f>
        <v>其他</v>
      </c>
      <c r="K14053" s="270" t="str">
        <f t="shared" si="2"/>
        <v/>
      </c>
      <c r="L14053">
        <f t="shared" si="3"/>
        <v>0</v>
      </c>
    </row>
    <row r="14054">
      <c r="A14054" s="107"/>
      <c r="D14054" s="270"/>
      <c r="H14054" s="106" t="str">
        <f t="shared" si="1"/>
        <v/>
      </c>
      <c r="J14054" t="str">
        <f>IFERROR(__xludf.DUMMYFUNCTION("IFS(
  AND(REGEXMATCH(E14054, ""台銀籌備帳戶|玉山帳戶""), REGEXMATCH(C14054, ""薪資"")), ""分潤支出"",
  AND(REGEXMATCH(E14054, ""Ben帳戶|Elsa帳戶|Ben代墊|Ariel代墊|中信銀行共用""), REGEXMATCH(F14054, ""Ben帳戶|Elsa帳戶|Ben代墊|Ariel代墊|中信銀行共用"")), ""內部轉帳(忽略)"",
  AND(E14054&lt;&gt;"""", F14054&lt;&gt;"&amp;""""", NOT(REGEXMATCH(C14054, ""薪資""))), ""內部轉帳(忽略)"",
  REGEXMATCH(C14054, ""薪資""), ""薪資變動(不計入)"",
  REGEXMATCH(C14054, ""押金""), ""押金往來"",
  AND(E14054&lt;&gt;"""", F14054=""""), ""真實支出"",
  AND(E14054="""", F14054&lt;&gt;""""), ""真實收入"",
  TRUE, ""其他""
)"),"其他")</f>
        <v>其他</v>
      </c>
      <c r="K14054" s="270" t="str">
        <f t="shared" si="2"/>
        <v/>
      </c>
      <c r="L14054">
        <f t="shared" si="3"/>
        <v>0</v>
      </c>
    </row>
    <row r="14055">
      <c r="A14055" s="107"/>
      <c r="D14055" s="270"/>
      <c r="H14055" s="106" t="str">
        <f t="shared" si="1"/>
        <v/>
      </c>
      <c r="J14055" t="str">
        <f>IFERROR(__xludf.DUMMYFUNCTION("IFS(
  AND(REGEXMATCH(E14055, ""台銀籌備帳戶|玉山帳戶""), REGEXMATCH(C14055, ""薪資"")), ""分潤支出"",
  AND(REGEXMATCH(E14055, ""Ben帳戶|Elsa帳戶|Ben代墊|Ariel代墊|中信銀行共用""), REGEXMATCH(F14055, ""Ben帳戶|Elsa帳戶|Ben代墊|Ariel代墊|中信銀行共用"")), ""內部轉帳(忽略)"",
  AND(E14055&lt;&gt;"""", F14055&lt;&gt;"&amp;""""", NOT(REGEXMATCH(C14055, ""薪資""))), ""內部轉帳(忽略)"",
  REGEXMATCH(C14055, ""薪資""), ""薪資變動(不計入)"",
  REGEXMATCH(C14055, ""押金""), ""押金往來"",
  AND(E14055&lt;&gt;"""", F14055=""""), ""真實支出"",
  AND(E14055="""", F14055&lt;&gt;""""), ""真實收入"",
  TRUE, ""其他""
)"),"其他")</f>
        <v>其他</v>
      </c>
      <c r="K14055" s="270" t="str">
        <f t="shared" si="2"/>
        <v/>
      </c>
      <c r="L14055">
        <f t="shared" si="3"/>
        <v>0</v>
      </c>
    </row>
    <row r="14056">
      <c r="A14056" s="107"/>
      <c r="D14056" s="270"/>
      <c r="H14056" s="106" t="str">
        <f t="shared" si="1"/>
        <v/>
      </c>
      <c r="J14056" t="str">
        <f>IFERROR(__xludf.DUMMYFUNCTION("IFS(
  AND(REGEXMATCH(E14056, ""台銀籌備帳戶|玉山帳戶""), REGEXMATCH(C14056, ""薪資"")), ""分潤支出"",
  AND(REGEXMATCH(E14056, ""Ben帳戶|Elsa帳戶|Ben代墊|Ariel代墊|中信銀行共用""), REGEXMATCH(F14056, ""Ben帳戶|Elsa帳戶|Ben代墊|Ariel代墊|中信銀行共用"")), ""內部轉帳(忽略)"",
  AND(E14056&lt;&gt;"""", F14056&lt;&gt;"&amp;""""", NOT(REGEXMATCH(C14056, ""薪資""))), ""內部轉帳(忽略)"",
  REGEXMATCH(C14056, ""薪資""), ""薪資變動(不計入)"",
  REGEXMATCH(C14056, ""押金""), ""押金往來"",
  AND(E14056&lt;&gt;"""", F14056=""""), ""真實支出"",
  AND(E14056="""", F14056&lt;&gt;""""), ""真實收入"",
  TRUE, ""其他""
)"),"其他")</f>
        <v>其他</v>
      </c>
      <c r="K14056" s="270" t="str">
        <f t="shared" si="2"/>
        <v/>
      </c>
      <c r="L14056">
        <f t="shared" si="3"/>
        <v>0</v>
      </c>
    </row>
    <row r="14057">
      <c r="A14057" s="107"/>
      <c r="D14057" s="270"/>
      <c r="H14057" s="106" t="str">
        <f t="shared" si="1"/>
        <v/>
      </c>
      <c r="J14057" t="str">
        <f>IFERROR(__xludf.DUMMYFUNCTION("IFS(
  AND(REGEXMATCH(E14057, ""台銀籌備帳戶|玉山帳戶""), REGEXMATCH(C14057, ""薪資"")), ""分潤支出"",
  AND(REGEXMATCH(E14057, ""Ben帳戶|Elsa帳戶|Ben代墊|Ariel代墊|中信銀行共用""), REGEXMATCH(F14057, ""Ben帳戶|Elsa帳戶|Ben代墊|Ariel代墊|中信銀行共用"")), ""內部轉帳(忽略)"",
  AND(E14057&lt;&gt;"""", F14057&lt;&gt;"&amp;""""", NOT(REGEXMATCH(C14057, ""薪資""))), ""內部轉帳(忽略)"",
  REGEXMATCH(C14057, ""薪資""), ""薪資變動(不計入)"",
  REGEXMATCH(C14057, ""押金""), ""押金往來"",
  AND(E14057&lt;&gt;"""", F14057=""""), ""真實支出"",
  AND(E14057="""", F14057&lt;&gt;""""), ""真實收入"",
  TRUE, ""其他""
)"),"其他")</f>
        <v>其他</v>
      </c>
      <c r="K14057" s="270" t="str">
        <f t="shared" si="2"/>
        <v/>
      </c>
      <c r="L14057">
        <f t="shared" si="3"/>
        <v>0</v>
      </c>
    </row>
    <row r="14058">
      <c r="A14058" s="107"/>
      <c r="D14058" s="270"/>
      <c r="H14058" s="106" t="str">
        <f t="shared" si="1"/>
        <v/>
      </c>
      <c r="J14058" t="str">
        <f>IFERROR(__xludf.DUMMYFUNCTION("IFS(
  AND(REGEXMATCH(E14058, ""台銀籌備帳戶|玉山帳戶""), REGEXMATCH(C14058, ""薪資"")), ""分潤支出"",
  AND(REGEXMATCH(E14058, ""Ben帳戶|Elsa帳戶|Ben代墊|Ariel代墊|中信銀行共用""), REGEXMATCH(F14058, ""Ben帳戶|Elsa帳戶|Ben代墊|Ariel代墊|中信銀行共用"")), ""內部轉帳(忽略)"",
  AND(E14058&lt;&gt;"""", F14058&lt;&gt;"&amp;""""", NOT(REGEXMATCH(C14058, ""薪資""))), ""內部轉帳(忽略)"",
  REGEXMATCH(C14058, ""薪資""), ""薪資變動(不計入)"",
  REGEXMATCH(C14058, ""押金""), ""押金往來"",
  AND(E14058&lt;&gt;"""", F14058=""""), ""真實支出"",
  AND(E14058="""", F14058&lt;&gt;""""), ""真實收入"",
  TRUE, ""其他""
)"),"其他")</f>
        <v>其他</v>
      </c>
      <c r="K14058" s="270" t="str">
        <f t="shared" si="2"/>
        <v/>
      </c>
      <c r="L14058">
        <f t="shared" si="3"/>
        <v>0</v>
      </c>
    </row>
    <row r="14059">
      <c r="A14059" s="107"/>
      <c r="D14059" s="270"/>
      <c r="H14059" s="106" t="str">
        <f t="shared" si="1"/>
        <v/>
      </c>
      <c r="J14059" t="str">
        <f>IFERROR(__xludf.DUMMYFUNCTION("IFS(
  AND(REGEXMATCH(E14059, ""台銀籌備帳戶|玉山帳戶""), REGEXMATCH(C14059, ""薪資"")), ""分潤支出"",
  AND(REGEXMATCH(E14059, ""Ben帳戶|Elsa帳戶|Ben代墊|Ariel代墊|中信銀行共用""), REGEXMATCH(F14059, ""Ben帳戶|Elsa帳戶|Ben代墊|Ariel代墊|中信銀行共用"")), ""內部轉帳(忽略)"",
  AND(E14059&lt;&gt;"""", F14059&lt;&gt;"&amp;""""", NOT(REGEXMATCH(C14059, ""薪資""))), ""內部轉帳(忽略)"",
  REGEXMATCH(C14059, ""薪資""), ""薪資變動(不計入)"",
  REGEXMATCH(C14059, ""押金""), ""押金往來"",
  AND(E14059&lt;&gt;"""", F14059=""""), ""真實支出"",
  AND(E14059="""", F14059&lt;&gt;""""), ""真實收入"",
  TRUE, ""其他""
)"),"其他")</f>
        <v>其他</v>
      </c>
      <c r="K14059" s="270" t="str">
        <f t="shared" si="2"/>
        <v/>
      </c>
      <c r="L14059">
        <f t="shared" si="3"/>
        <v>0</v>
      </c>
    </row>
    <row r="14060">
      <c r="A14060" s="107"/>
      <c r="D14060" s="270"/>
      <c r="H14060" s="106" t="str">
        <f t="shared" si="1"/>
        <v/>
      </c>
      <c r="J14060" t="str">
        <f>IFERROR(__xludf.DUMMYFUNCTION("IFS(
  AND(REGEXMATCH(E14060, ""台銀籌備帳戶|玉山帳戶""), REGEXMATCH(C14060, ""薪資"")), ""分潤支出"",
  AND(REGEXMATCH(E14060, ""Ben帳戶|Elsa帳戶|Ben代墊|Ariel代墊|中信銀行共用""), REGEXMATCH(F14060, ""Ben帳戶|Elsa帳戶|Ben代墊|Ariel代墊|中信銀行共用"")), ""內部轉帳(忽略)"",
  AND(E14060&lt;&gt;"""", F14060&lt;&gt;"&amp;""""", NOT(REGEXMATCH(C14060, ""薪資""))), ""內部轉帳(忽略)"",
  REGEXMATCH(C14060, ""薪資""), ""薪資變動(不計入)"",
  REGEXMATCH(C14060, ""押金""), ""押金往來"",
  AND(E14060&lt;&gt;"""", F14060=""""), ""真實支出"",
  AND(E14060="""", F14060&lt;&gt;""""), ""真實收入"",
  TRUE, ""其他""
)"),"其他")</f>
        <v>其他</v>
      </c>
      <c r="K14060" s="270" t="str">
        <f t="shared" si="2"/>
        <v/>
      </c>
      <c r="L14060">
        <f t="shared" si="3"/>
        <v>0</v>
      </c>
    </row>
    <row r="14061">
      <c r="A14061" s="107"/>
      <c r="D14061" s="270"/>
      <c r="H14061" s="106" t="str">
        <f t="shared" si="1"/>
        <v/>
      </c>
      <c r="J14061" t="str">
        <f>IFERROR(__xludf.DUMMYFUNCTION("IFS(
  AND(REGEXMATCH(E14061, ""台銀籌備帳戶|玉山帳戶""), REGEXMATCH(C14061, ""薪資"")), ""分潤支出"",
  AND(REGEXMATCH(E14061, ""Ben帳戶|Elsa帳戶|Ben代墊|Ariel代墊|中信銀行共用""), REGEXMATCH(F14061, ""Ben帳戶|Elsa帳戶|Ben代墊|Ariel代墊|中信銀行共用"")), ""內部轉帳(忽略)"",
  AND(E14061&lt;&gt;"""", F14061&lt;&gt;"&amp;""""", NOT(REGEXMATCH(C14061, ""薪資""))), ""內部轉帳(忽略)"",
  REGEXMATCH(C14061, ""薪資""), ""薪資變動(不計入)"",
  REGEXMATCH(C14061, ""押金""), ""押金往來"",
  AND(E14061&lt;&gt;"""", F14061=""""), ""真實支出"",
  AND(E14061="""", F14061&lt;&gt;""""), ""真實收入"",
  TRUE, ""其他""
)"),"其他")</f>
        <v>其他</v>
      </c>
      <c r="K14061" s="270" t="str">
        <f t="shared" si="2"/>
        <v/>
      </c>
      <c r="L14061">
        <f t="shared" si="3"/>
        <v>0</v>
      </c>
    </row>
    <row r="14062">
      <c r="A14062" s="107"/>
      <c r="D14062" s="270"/>
      <c r="H14062" s="106" t="str">
        <f t="shared" si="1"/>
        <v/>
      </c>
      <c r="J14062" t="str">
        <f>IFERROR(__xludf.DUMMYFUNCTION("IFS(
  AND(REGEXMATCH(E14062, ""台銀籌備帳戶|玉山帳戶""), REGEXMATCH(C14062, ""薪資"")), ""分潤支出"",
  AND(REGEXMATCH(E14062, ""Ben帳戶|Elsa帳戶|Ben代墊|Ariel代墊|中信銀行共用""), REGEXMATCH(F14062, ""Ben帳戶|Elsa帳戶|Ben代墊|Ariel代墊|中信銀行共用"")), ""內部轉帳(忽略)"",
  AND(E14062&lt;&gt;"""", F14062&lt;&gt;"&amp;""""", NOT(REGEXMATCH(C14062, ""薪資""))), ""內部轉帳(忽略)"",
  REGEXMATCH(C14062, ""薪資""), ""薪資變動(不計入)"",
  REGEXMATCH(C14062, ""押金""), ""押金往來"",
  AND(E14062&lt;&gt;"""", F14062=""""), ""真實支出"",
  AND(E14062="""", F14062&lt;&gt;""""), ""真實收入"",
  TRUE, ""其他""
)"),"其他")</f>
        <v>其他</v>
      </c>
      <c r="K14062" s="270" t="str">
        <f t="shared" si="2"/>
        <v/>
      </c>
      <c r="L14062">
        <f t="shared" si="3"/>
        <v>0</v>
      </c>
    </row>
    <row r="14063">
      <c r="A14063" s="107"/>
      <c r="D14063" s="270"/>
      <c r="H14063" s="106" t="str">
        <f t="shared" si="1"/>
        <v/>
      </c>
      <c r="J14063" t="str">
        <f>IFERROR(__xludf.DUMMYFUNCTION("IFS(
  AND(REGEXMATCH(E14063, ""台銀籌備帳戶|玉山帳戶""), REGEXMATCH(C14063, ""薪資"")), ""分潤支出"",
  AND(REGEXMATCH(E14063, ""Ben帳戶|Elsa帳戶|Ben代墊|Ariel代墊|中信銀行共用""), REGEXMATCH(F14063, ""Ben帳戶|Elsa帳戶|Ben代墊|Ariel代墊|中信銀行共用"")), ""內部轉帳(忽略)"",
  AND(E14063&lt;&gt;"""", F14063&lt;&gt;"&amp;""""", NOT(REGEXMATCH(C14063, ""薪資""))), ""內部轉帳(忽略)"",
  REGEXMATCH(C14063, ""薪資""), ""薪資變動(不計入)"",
  REGEXMATCH(C14063, ""押金""), ""押金往來"",
  AND(E14063&lt;&gt;"""", F14063=""""), ""真實支出"",
  AND(E14063="""", F14063&lt;&gt;""""), ""真實收入"",
  TRUE, ""其他""
)"),"其他")</f>
        <v>其他</v>
      </c>
      <c r="K14063" s="270" t="str">
        <f t="shared" si="2"/>
        <v/>
      </c>
      <c r="L14063">
        <f t="shared" si="3"/>
        <v>0</v>
      </c>
    </row>
    <row r="14064">
      <c r="A14064" s="107"/>
      <c r="D14064" s="270"/>
      <c r="H14064" s="106" t="str">
        <f t="shared" si="1"/>
        <v/>
      </c>
      <c r="J14064" t="str">
        <f>IFERROR(__xludf.DUMMYFUNCTION("IFS(
  AND(REGEXMATCH(E14064, ""台銀籌備帳戶|玉山帳戶""), REGEXMATCH(C14064, ""薪資"")), ""分潤支出"",
  AND(REGEXMATCH(E14064, ""Ben帳戶|Elsa帳戶|Ben代墊|Ariel代墊|中信銀行共用""), REGEXMATCH(F14064, ""Ben帳戶|Elsa帳戶|Ben代墊|Ariel代墊|中信銀行共用"")), ""內部轉帳(忽略)"",
  AND(E14064&lt;&gt;"""", F14064&lt;&gt;"&amp;""""", NOT(REGEXMATCH(C14064, ""薪資""))), ""內部轉帳(忽略)"",
  REGEXMATCH(C14064, ""薪資""), ""薪資變動(不計入)"",
  REGEXMATCH(C14064, ""押金""), ""押金往來"",
  AND(E14064&lt;&gt;"""", F14064=""""), ""真實支出"",
  AND(E14064="""", F14064&lt;&gt;""""), ""真實收入"",
  TRUE, ""其他""
)"),"其他")</f>
        <v>其他</v>
      </c>
      <c r="K14064" s="270" t="str">
        <f t="shared" si="2"/>
        <v/>
      </c>
      <c r="L14064">
        <f t="shared" si="3"/>
        <v>0</v>
      </c>
    </row>
    <row r="14065">
      <c r="A14065" s="107"/>
      <c r="D14065" s="270"/>
      <c r="H14065" s="106" t="str">
        <f t="shared" si="1"/>
        <v/>
      </c>
      <c r="J14065" t="str">
        <f>IFERROR(__xludf.DUMMYFUNCTION("IFS(
  AND(REGEXMATCH(E14065, ""台銀籌備帳戶|玉山帳戶""), REGEXMATCH(C14065, ""薪資"")), ""分潤支出"",
  AND(REGEXMATCH(E14065, ""Ben帳戶|Elsa帳戶|Ben代墊|Ariel代墊|中信銀行共用""), REGEXMATCH(F14065, ""Ben帳戶|Elsa帳戶|Ben代墊|Ariel代墊|中信銀行共用"")), ""內部轉帳(忽略)"",
  AND(E14065&lt;&gt;"""", F14065&lt;&gt;"&amp;""""", NOT(REGEXMATCH(C14065, ""薪資""))), ""內部轉帳(忽略)"",
  REGEXMATCH(C14065, ""薪資""), ""薪資變動(不計入)"",
  REGEXMATCH(C14065, ""押金""), ""押金往來"",
  AND(E14065&lt;&gt;"""", F14065=""""), ""真實支出"",
  AND(E14065="""", F14065&lt;&gt;""""), ""真實收入"",
  TRUE, ""其他""
)"),"其他")</f>
        <v>其他</v>
      </c>
      <c r="K14065" s="270" t="str">
        <f t="shared" si="2"/>
        <v/>
      </c>
      <c r="L14065">
        <f t="shared" si="3"/>
        <v>0</v>
      </c>
    </row>
    <row r="14066">
      <c r="A14066" s="107"/>
      <c r="D14066" s="270"/>
      <c r="H14066" s="106" t="str">
        <f t="shared" si="1"/>
        <v/>
      </c>
      <c r="J14066" t="str">
        <f>IFERROR(__xludf.DUMMYFUNCTION("IFS(
  AND(REGEXMATCH(E14066, ""台銀籌備帳戶|玉山帳戶""), REGEXMATCH(C14066, ""薪資"")), ""分潤支出"",
  AND(REGEXMATCH(E14066, ""Ben帳戶|Elsa帳戶|Ben代墊|Ariel代墊|中信銀行共用""), REGEXMATCH(F14066, ""Ben帳戶|Elsa帳戶|Ben代墊|Ariel代墊|中信銀行共用"")), ""內部轉帳(忽略)"",
  AND(E14066&lt;&gt;"""", F14066&lt;&gt;"&amp;""""", NOT(REGEXMATCH(C14066, ""薪資""))), ""內部轉帳(忽略)"",
  REGEXMATCH(C14066, ""薪資""), ""薪資變動(不計入)"",
  REGEXMATCH(C14066, ""押金""), ""押金往來"",
  AND(E14066&lt;&gt;"""", F14066=""""), ""真實支出"",
  AND(E14066="""", F14066&lt;&gt;""""), ""真實收入"",
  TRUE, ""其他""
)"),"其他")</f>
        <v>其他</v>
      </c>
      <c r="K14066" s="270" t="str">
        <f t="shared" si="2"/>
        <v/>
      </c>
      <c r="L14066">
        <f t="shared" si="3"/>
        <v>0</v>
      </c>
    </row>
    <row r="14067">
      <c r="A14067" s="107"/>
      <c r="D14067" s="270"/>
      <c r="H14067" s="106" t="str">
        <f t="shared" si="1"/>
        <v/>
      </c>
      <c r="J14067" t="str">
        <f>IFERROR(__xludf.DUMMYFUNCTION("IFS(
  AND(REGEXMATCH(E14067, ""台銀籌備帳戶|玉山帳戶""), REGEXMATCH(C14067, ""薪資"")), ""分潤支出"",
  AND(REGEXMATCH(E14067, ""Ben帳戶|Elsa帳戶|Ben代墊|Ariel代墊|中信銀行共用""), REGEXMATCH(F14067, ""Ben帳戶|Elsa帳戶|Ben代墊|Ariel代墊|中信銀行共用"")), ""內部轉帳(忽略)"",
  AND(E14067&lt;&gt;"""", F14067&lt;&gt;"&amp;""""", NOT(REGEXMATCH(C14067, ""薪資""))), ""內部轉帳(忽略)"",
  REGEXMATCH(C14067, ""薪資""), ""薪資變動(不計入)"",
  REGEXMATCH(C14067, ""押金""), ""押金往來"",
  AND(E14067&lt;&gt;"""", F14067=""""), ""真實支出"",
  AND(E14067="""", F14067&lt;&gt;""""), ""真實收入"",
  TRUE, ""其他""
)"),"其他")</f>
        <v>其他</v>
      </c>
      <c r="K14067" s="270" t="str">
        <f t="shared" si="2"/>
        <v/>
      </c>
      <c r="L14067">
        <f t="shared" si="3"/>
        <v>0</v>
      </c>
    </row>
    <row r="14068">
      <c r="A14068" s="107"/>
      <c r="D14068" s="270"/>
      <c r="H14068" s="106" t="str">
        <f t="shared" si="1"/>
        <v/>
      </c>
      <c r="J14068" t="str">
        <f>IFERROR(__xludf.DUMMYFUNCTION("IFS(
  AND(REGEXMATCH(E14068, ""台銀籌備帳戶|玉山帳戶""), REGEXMATCH(C14068, ""薪資"")), ""分潤支出"",
  AND(REGEXMATCH(E14068, ""Ben帳戶|Elsa帳戶|Ben代墊|Ariel代墊|中信銀行共用""), REGEXMATCH(F14068, ""Ben帳戶|Elsa帳戶|Ben代墊|Ariel代墊|中信銀行共用"")), ""內部轉帳(忽略)"",
  AND(E14068&lt;&gt;"""", F14068&lt;&gt;"&amp;""""", NOT(REGEXMATCH(C14068, ""薪資""))), ""內部轉帳(忽略)"",
  REGEXMATCH(C14068, ""薪資""), ""薪資變動(不計入)"",
  REGEXMATCH(C14068, ""押金""), ""押金往來"",
  AND(E14068&lt;&gt;"""", F14068=""""), ""真實支出"",
  AND(E14068="""", F14068&lt;&gt;""""), ""真實收入"",
  TRUE, ""其他""
)"),"其他")</f>
        <v>其他</v>
      </c>
      <c r="K14068" s="270" t="str">
        <f t="shared" si="2"/>
        <v/>
      </c>
      <c r="L14068">
        <f t="shared" si="3"/>
        <v>0</v>
      </c>
    </row>
    <row r="14069">
      <c r="A14069" s="107"/>
      <c r="D14069" s="270"/>
      <c r="H14069" s="106" t="str">
        <f t="shared" si="1"/>
        <v/>
      </c>
      <c r="J14069" t="str">
        <f>IFERROR(__xludf.DUMMYFUNCTION("IFS(
  AND(REGEXMATCH(E14069, ""台銀籌備帳戶|玉山帳戶""), REGEXMATCH(C14069, ""薪資"")), ""分潤支出"",
  AND(REGEXMATCH(E14069, ""Ben帳戶|Elsa帳戶|Ben代墊|Ariel代墊|中信銀行共用""), REGEXMATCH(F14069, ""Ben帳戶|Elsa帳戶|Ben代墊|Ariel代墊|中信銀行共用"")), ""內部轉帳(忽略)"",
  AND(E14069&lt;&gt;"""", F14069&lt;&gt;"&amp;""""", NOT(REGEXMATCH(C14069, ""薪資""))), ""內部轉帳(忽略)"",
  REGEXMATCH(C14069, ""薪資""), ""薪資變動(不計入)"",
  REGEXMATCH(C14069, ""押金""), ""押金往來"",
  AND(E14069&lt;&gt;"""", F14069=""""), ""真實支出"",
  AND(E14069="""", F14069&lt;&gt;""""), ""真實收入"",
  TRUE, ""其他""
)"),"其他")</f>
        <v>其他</v>
      </c>
      <c r="K14069" s="270" t="str">
        <f t="shared" si="2"/>
        <v/>
      </c>
      <c r="L14069">
        <f t="shared" si="3"/>
        <v>0</v>
      </c>
    </row>
    <row r="14070">
      <c r="A14070" s="107"/>
      <c r="D14070" s="270"/>
      <c r="H14070" s="106" t="str">
        <f t="shared" si="1"/>
        <v/>
      </c>
      <c r="J14070" t="str">
        <f>IFERROR(__xludf.DUMMYFUNCTION("IFS(
  AND(REGEXMATCH(E14070, ""台銀籌備帳戶|玉山帳戶""), REGEXMATCH(C14070, ""薪資"")), ""分潤支出"",
  AND(REGEXMATCH(E14070, ""Ben帳戶|Elsa帳戶|Ben代墊|Ariel代墊|中信銀行共用""), REGEXMATCH(F14070, ""Ben帳戶|Elsa帳戶|Ben代墊|Ariel代墊|中信銀行共用"")), ""內部轉帳(忽略)"",
  AND(E14070&lt;&gt;"""", F14070&lt;&gt;"&amp;""""", NOT(REGEXMATCH(C14070, ""薪資""))), ""內部轉帳(忽略)"",
  REGEXMATCH(C14070, ""薪資""), ""薪資變動(不計入)"",
  REGEXMATCH(C14070, ""押金""), ""押金往來"",
  AND(E14070&lt;&gt;"""", F14070=""""), ""真實支出"",
  AND(E14070="""", F14070&lt;&gt;""""), ""真實收入"",
  TRUE, ""其他""
)"),"其他")</f>
        <v>其他</v>
      </c>
      <c r="K14070" s="270" t="str">
        <f t="shared" si="2"/>
        <v/>
      </c>
      <c r="L14070">
        <f t="shared" si="3"/>
        <v>0</v>
      </c>
    </row>
    <row r="14071">
      <c r="A14071" s="107"/>
      <c r="D14071" s="270"/>
      <c r="H14071" s="106" t="str">
        <f t="shared" si="1"/>
        <v/>
      </c>
      <c r="J14071" t="str">
        <f>IFERROR(__xludf.DUMMYFUNCTION("IFS(
  AND(REGEXMATCH(E14071, ""台銀籌備帳戶|玉山帳戶""), REGEXMATCH(C14071, ""薪資"")), ""分潤支出"",
  AND(REGEXMATCH(E14071, ""Ben帳戶|Elsa帳戶|Ben代墊|Ariel代墊|中信銀行共用""), REGEXMATCH(F14071, ""Ben帳戶|Elsa帳戶|Ben代墊|Ariel代墊|中信銀行共用"")), ""內部轉帳(忽略)"",
  AND(E14071&lt;&gt;"""", F14071&lt;&gt;"&amp;""""", NOT(REGEXMATCH(C14071, ""薪資""))), ""內部轉帳(忽略)"",
  REGEXMATCH(C14071, ""薪資""), ""薪資變動(不計入)"",
  REGEXMATCH(C14071, ""押金""), ""押金往來"",
  AND(E14071&lt;&gt;"""", F14071=""""), ""真實支出"",
  AND(E14071="""", F14071&lt;&gt;""""), ""真實收入"",
  TRUE, ""其他""
)"),"其他")</f>
        <v>其他</v>
      </c>
      <c r="K14071" s="270" t="str">
        <f t="shared" si="2"/>
        <v/>
      </c>
      <c r="L14071">
        <f t="shared" si="3"/>
        <v>0</v>
      </c>
    </row>
    <row r="14072">
      <c r="A14072" s="107"/>
      <c r="D14072" s="270"/>
      <c r="H14072" s="106" t="str">
        <f t="shared" si="1"/>
        <v/>
      </c>
      <c r="J14072" t="str">
        <f>IFERROR(__xludf.DUMMYFUNCTION("IFS(
  AND(REGEXMATCH(E14072, ""台銀籌備帳戶|玉山帳戶""), REGEXMATCH(C14072, ""薪資"")), ""分潤支出"",
  AND(REGEXMATCH(E14072, ""Ben帳戶|Elsa帳戶|Ben代墊|Ariel代墊|中信銀行共用""), REGEXMATCH(F14072, ""Ben帳戶|Elsa帳戶|Ben代墊|Ariel代墊|中信銀行共用"")), ""內部轉帳(忽略)"",
  AND(E14072&lt;&gt;"""", F14072&lt;&gt;"&amp;""""", NOT(REGEXMATCH(C14072, ""薪資""))), ""內部轉帳(忽略)"",
  REGEXMATCH(C14072, ""薪資""), ""薪資變動(不計入)"",
  REGEXMATCH(C14072, ""押金""), ""押金往來"",
  AND(E14072&lt;&gt;"""", F14072=""""), ""真實支出"",
  AND(E14072="""", F14072&lt;&gt;""""), ""真實收入"",
  TRUE, ""其他""
)"),"其他")</f>
        <v>其他</v>
      </c>
      <c r="K14072" s="270" t="str">
        <f t="shared" si="2"/>
        <v/>
      </c>
      <c r="L14072">
        <f t="shared" si="3"/>
        <v>0</v>
      </c>
    </row>
    <row r="14073">
      <c r="A14073" s="107"/>
      <c r="D14073" s="270"/>
      <c r="H14073" s="106" t="str">
        <f t="shared" si="1"/>
        <v/>
      </c>
      <c r="J14073" t="str">
        <f>IFERROR(__xludf.DUMMYFUNCTION("IFS(
  AND(REGEXMATCH(E14073, ""台銀籌備帳戶|玉山帳戶""), REGEXMATCH(C14073, ""薪資"")), ""分潤支出"",
  AND(REGEXMATCH(E14073, ""Ben帳戶|Elsa帳戶|Ben代墊|Ariel代墊|中信銀行共用""), REGEXMATCH(F14073, ""Ben帳戶|Elsa帳戶|Ben代墊|Ariel代墊|中信銀行共用"")), ""內部轉帳(忽略)"",
  AND(E14073&lt;&gt;"""", F14073&lt;&gt;"&amp;""""", NOT(REGEXMATCH(C14073, ""薪資""))), ""內部轉帳(忽略)"",
  REGEXMATCH(C14073, ""薪資""), ""薪資變動(不計入)"",
  REGEXMATCH(C14073, ""押金""), ""押金往來"",
  AND(E14073&lt;&gt;"""", F14073=""""), ""真實支出"",
  AND(E14073="""", F14073&lt;&gt;""""), ""真實收入"",
  TRUE, ""其他""
)"),"其他")</f>
        <v>其他</v>
      </c>
      <c r="K14073" s="270" t="str">
        <f t="shared" si="2"/>
        <v/>
      </c>
      <c r="L14073">
        <f t="shared" si="3"/>
        <v>0</v>
      </c>
    </row>
    <row r="14074">
      <c r="A14074" s="107"/>
      <c r="D14074" s="270"/>
      <c r="H14074" s="106" t="str">
        <f t="shared" si="1"/>
        <v/>
      </c>
      <c r="J14074" t="str">
        <f>IFERROR(__xludf.DUMMYFUNCTION("IFS(
  AND(REGEXMATCH(E14074, ""台銀籌備帳戶|玉山帳戶""), REGEXMATCH(C14074, ""薪資"")), ""分潤支出"",
  AND(REGEXMATCH(E14074, ""Ben帳戶|Elsa帳戶|Ben代墊|Ariel代墊|中信銀行共用""), REGEXMATCH(F14074, ""Ben帳戶|Elsa帳戶|Ben代墊|Ariel代墊|中信銀行共用"")), ""內部轉帳(忽略)"",
  AND(E14074&lt;&gt;"""", F14074&lt;&gt;"&amp;""""", NOT(REGEXMATCH(C14074, ""薪資""))), ""內部轉帳(忽略)"",
  REGEXMATCH(C14074, ""薪資""), ""薪資變動(不計入)"",
  REGEXMATCH(C14074, ""押金""), ""押金往來"",
  AND(E14074&lt;&gt;"""", F14074=""""), ""真實支出"",
  AND(E14074="""", F14074&lt;&gt;""""), ""真實收入"",
  TRUE, ""其他""
)"),"其他")</f>
        <v>其他</v>
      </c>
      <c r="K14074" s="270" t="str">
        <f t="shared" si="2"/>
        <v/>
      </c>
      <c r="L14074">
        <f t="shared" si="3"/>
        <v>0</v>
      </c>
    </row>
    <row r="14075">
      <c r="A14075" s="107"/>
      <c r="D14075" s="270"/>
      <c r="H14075" s="106" t="str">
        <f t="shared" si="1"/>
        <v/>
      </c>
      <c r="J14075" t="str">
        <f>IFERROR(__xludf.DUMMYFUNCTION("IFS(
  AND(REGEXMATCH(E14075, ""台銀籌備帳戶|玉山帳戶""), REGEXMATCH(C14075, ""薪資"")), ""分潤支出"",
  AND(REGEXMATCH(E14075, ""Ben帳戶|Elsa帳戶|Ben代墊|Ariel代墊|中信銀行共用""), REGEXMATCH(F14075, ""Ben帳戶|Elsa帳戶|Ben代墊|Ariel代墊|中信銀行共用"")), ""內部轉帳(忽略)"",
  AND(E14075&lt;&gt;"""", F14075&lt;&gt;"&amp;""""", NOT(REGEXMATCH(C14075, ""薪資""))), ""內部轉帳(忽略)"",
  REGEXMATCH(C14075, ""薪資""), ""薪資變動(不計入)"",
  REGEXMATCH(C14075, ""押金""), ""押金往來"",
  AND(E14075&lt;&gt;"""", F14075=""""), ""真實支出"",
  AND(E14075="""", F14075&lt;&gt;""""), ""真實收入"",
  TRUE, ""其他""
)"),"其他")</f>
        <v>其他</v>
      </c>
      <c r="K14075" s="270" t="str">
        <f t="shared" si="2"/>
        <v/>
      </c>
      <c r="L14075">
        <f t="shared" si="3"/>
        <v>0</v>
      </c>
    </row>
    <row r="14076">
      <c r="A14076" s="107"/>
      <c r="D14076" s="270"/>
      <c r="H14076" s="106" t="str">
        <f t="shared" si="1"/>
        <v/>
      </c>
      <c r="J14076" t="str">
        <f>IFERROR(__xludf.DUMMYFUNCTION("IFS(
  AND(REGEXMATCH(E14076, ""台銀籌備帳戶|玉山帳戶""), REGEXMATCH(C14076, ""薪資"")), ""分潤支出"",
  AND(REGEXMATCH(E14076, ""Ben帳戶|Elsa帳戶|Ben代墊|Ariel代墊|中信銀行共用""), REGEXMATCH(F14076, ""Ben帳戶|Elsa帳戶|Ben代墊|Ariel代墊|中信銀行共用"")), ""內部轉帳(忽略)"",
  AND(E14076&lt;&gt;"""", F14076&lt;&gt;"&amp;""""", NOT(REGEXMATCH(C14076, ""薪資""))), ""內部轉帳(忽略)"",
  REGEXMATCH(C14076, ""薪資""), ""薪資變動(不計入)"",
  REGEXMATCH(C14076, ""押金""), ""押金往來"",
  AND(E14076&lt;&gt;"""", F14076=""""), ""真實支出"",
  AND(E14076="""", F14076&lt;&gt;""""), ""真實收入"",
  TRUE, ""其他""
)"),"其他")</f>
        <v>其他</v>
      </c>
      <c r="K14076" s="270" t="str">
        <f t="shared" si="2"/>
        <v/>
      </c>
      <c r="L14076">
        <f t="shared" si="3"/>
        <v>0</v>
      </c>
    </row>
    <row r="14077">
      <c r="A14077" s="107"/>
      <c r="D14077" s="270"/>
      <c r="H14077" s="106" t="str">
        <f t="shared" si="1"/>
        <v/>
      </c>
      <c r="J14077" t="str">
        <f>IFERROR(__xludf.DUMMYFUNCTION("IFS(
  AND(REGEXMATCH(E14077, ""台銀籌備帳戶|玉山帳戶""), REGEXMATCH(C14077, ""薪資"")), ""分潤支出"",
  AND(REGEXMATCH(E14077, ""Ben帳戶|Elsa帳戶|Ben代墊|Ariel代墊|中信銀行共用""), REGEXMATCH(F14077, ""Ben帳戶|Elsa帳戶|Ben代墊|Ariel代墊|中信銀行共用"")), ""內部轉帳(忽略)"",
  AND(E14077&lt;&gt;"""", F14077&lt;&gt;"&amp;""""", NOT(REGEXMATCH(C14077, ""薪資""))), ""內部轉帳(忽略)"",
  REGEXMATCH(C14077, ""薪資""), ""薪資變動(不計入)"",
  REGEXMATCH(C14077, ""押金""), ""押金往來"",
  AND(E14077&lt;&gt;"""", F14077=""""), ""真實支出"",
  AND(E14077="""", F14077&lt;&gt;""""), ""真實收入"",
  TRUE, ""其他""
)"),"其他")</f>
        <v>其他</v>
      </c>
      <c r="K14077" s="270" t="str">
        <f t="shared" si="2"/>
        <v/>
      </c>
      <c r="L14077">
        <f t="shared" si="3"/>
        <v>0</v>
      </c>
    </row>
    <row r="14078">
      <c r="A14078" s="107"/>
      <c r="D14078" s="270"/>
      <c r="H14078" s="106" t="str">
        <f t="shared" si="1"/>
        <v/>
      </c>
      <c r="J14078" t="str">
        <f>IFERROR(__xludf.DUMMYFUNCTION("IFS(
  AND(REGEXMATCH(E14078, ""台銀籌備帳戶|玉山帳戶""), REGEXMATCH(C14078, ""薪資"")), ""分潤支出"",
  AND(REGEXMATCH(E14078, ""Ben帳戶|Elsa帳戶|Ben代墊|Ariel代墊|中信銀行共用""), REGEXMATCH(F14078, ""Ben帳戶|Elsa帳戶|Ben代墊|Ariel代墊|中信銀行共用"")), ""內部轉帳(忽略)"",
  AND(E14078&lt;&gt;"""", F14078&lt;&gt;"&amp;""""", NOT(REGEXMATCH(C14078, ""薪資""))), ""內部轉帳(忽略)"",
  REGEXMATCH(C14078, ""薪資""), ""薪資變動(不計入)"",
  REGEXMATCH(C14078, ""押金""), ""押金往來"",
  AND(E14078&lt;&gt;"""", F14078=""""), ""真實支出"",
  AND(E14078="""", F14078&lt;&gt;""""), ""真實收入"",
  TRUE, ""其他""
)"),"其他")</f>
        <v>其他</v>
      </c>
      <c r="K14078" s="270" t="str">
        <f t="shared" si="2"/>
        <v/>
      </c>
      <c r="L14078">
        <f t="shared" si="3"/>
        <v>0</v>
      </c>
    </row>
    <row r="14079">
      <c r="A14079" s="107"/>
      <c r="D14079" s="270"/>
      <c r="H14079" s="106" t="str">
        <f t="shared" si="1"/>
        <v/>
      </c>
      <c r="J14079" t="str">
        <f>IFERROR(__xludf.DUMMYFUNCTION("IFS(
  AND(REGEXMATCH(E14079, ""台銀籌備帳戶|玉山帳戶""), REGEXMATCH(C14079, ""薪資"")), ""分潤支出"",
  AND(REGEXMATCH(E14079, ""Ben帳戶|Elsa帳戶|Ben代墊|Ariel代墊|中信銀行共用""), REGEXMATCH(F14079, ""Ben帳戶|Elsa帳戶|Ben代墊|Ariel代墊|中信銀行共用"")), ""內部轉帳(忽略)"",
  AND(E14079&lt;&gt;"""", F14079&lt;&gt;"&amp;""""", NOT(REGEXMATCH(C14079, ""薪資""))), ""內部轉帳(忽略)"",
  REGEXMATCH(C14079, ""薪資""), ""薪資變動(不計入)"",
  REGEXMATCH(C14079, ""押金""), ""押金往來"",
  AND(E14079&lt;&gt;"""", F14079=""""), ""真實支出"",
  AND(E14079="""", F14079&lt;&gt;""""), ""真實收入"",
  TRUE, ""其他""
)"),"其他")</f>
        <v>其他</v>
      </c>
      <c r="K14079" s="270" t="str">
        <f t="shared" si="2"/>
        <v/>
      </c>
      <c r="L14079">
        <f t="shared" si="3"/>
        <v>0</v>
      </c>
    </row>
    <row r="14080">
      <c r="A14080" s="107"/>
      <c r="D14080" s="270"/>
      <c r="H14080" s="106" t="str">
        <f t="shared" si="1"/>
        <v/>
      </c>
      <c r="J14080" t="str">
        <f>IFERROR(__xludf.DUMMYFUNCTION("IFS(
  AND(REGEXMATCH(E14080, ""台銀籌備帳戶|玉山帳戶""), REGEXMATCH(C14080, ""薪資"")), ""分潤支出"",
  AND(REGEXMATCH(E14080, ""Ben帳戶|Elsa帳戶|Ben代墊|Ariel代墊|中信銀行共用""), REGEXMATCH(F14080, ""Ben帳戶|Elsa帳戶|Ben代墊|Ariel代墊|中信銀行共用"")), ""內部轉帳(忽略)"",
  AND(E14080&lt;&gt;"""", F14080&lt;&gt;"&amp;""""", NOT(REGEXMATCH(C14080, ""薪資""))), ""內部轉帳(忽略)"",
  REGEXMATCH(C14080, ""薪資""), ""薪資變動(不計入)"",
  REGEXMATCH(C14080, ""押金""), ""押金往來"",
  AND(E14080&lt;&gt;"""", F14080=""""), ""真實支出"",
  AND(E14080="""", F14080&lt;&gt;""""), ""真實收入"",
  TRUE, ""其他""
)"),"其他")</f>
        <v>其他</v>
      </c>
      <c r="K14080" s="270" t="str">
        <f t="shared" si="2"/>
        <v/>
      </c>
      <c r="L14080">
        <f t="shared" si="3"/>
        <v>0</v>
      </c>
    </row>
    <row r="14081">
      <c r="A14081" s="107"/>
      <c r="D14081" s="270"/>
      <c r="H14081" s="106" t="str">
        <f t="shared" si="1"/>
        <v/>
      </c>
      <c r="J14081" t="str">
        <f>IFERROR(__xludf.DUMMYFUNCTION("IFS(
  AND(REGEXMATCH(E14081, ""台銀籌備帳戶|玉山帳戶""), REGEXMATCH(C14081, ""薪資"")), ""分潤支出"",
  AND(REGEXMATCH(E14081, ""Ben帳戶|Elsa帳戶|Ben代墊|Ariel代墊|中信銀行共用""), REGEXMATCH(F14081, ""Ben帳戶|Elsa帳戶|Ben代墊|Ariel代墊|中信銀行共用"")), ""內部轉帳(忽略)"",
  AND(E14081&lt;&gt;"""", F14081&lt;&gt;"&amp;""""", NOT(REGEXMATCH(C14081, ""薪資""))), ""內部轉帳(忽略)"",
  REGEXMATCH(C14081, ""薪資""), ""薪資變動(不計入)"",
  REGEXMATCH(C14081, ""押金""), ""押金往來"",
  AND(E14081&lt;&gt;"""", F14081=""""), ""真實支出"",
  AND(E14081="""", F14081&lt;&gt;""""), ""真實收入"",
  TRUE, ""其他""
)"),"其他")</f>
        <v>其他</v>
      </c>
      <c r="K14081" s="270" t="str">
        <f t="shared" si="2"/>
        <v/>
      </c>
      <c r="L14081">
        <f t="shared" si="3"/>
        <v>0</v>
      </c>
    </row>
    <row r="14082">
      <c r="A14082" s="107"/>
      <c r="D14082" s="270"/>
      <c r="H14082" s="106" t="str">
        <f t="shared" si="1"/>
        <v/>
      </c>
      <c r="J14082" t="str">
        <f>IFERROR(__xludf.DUMMYFUNCTION("IFS(
  AND(REGEXMATCH(E14082, ""台銀籌備帳戶|玉山帳戶""), REGEXMATCH(C14082, ""薪資"")), ""分潤支出"",
  AND(REGEXMATCH(E14082, ""Ben帳戶|Elsa帳戶|Ben代墊|Ariel代墊|中信銀行共用""), REGEXMATCH(F14082, ""Ben帳戶|Elsa帳戶|Ben代墊|Ariel代墊|中信銀行共用"")), ""內部轉帳(忽略)"",
  AND(E14082&lt;&gt;"""", F14082&lt;&gt;"&amp;""""", NOT(REGEXMATCH(C14082, ""薪資""))), ""內部轉帳(忽略)"",
  REGEXMATCH(C14082, ""薪資""), ""薪資變動(不計入)"",
  REGEXMATCH(C14082, ""押金""), ""押金往來"",
  AND(E14082&lt;&gt;"""", F14082=""""), ""真實支出"",
  AND(E14082="""", F14082&lt;&gt;""""), ""真實收入"",
  TRUE, ""其他""
)"),"其他")</f>
        <v>其他</v>
      </c>
      <c r="K14082" s="270" t="str">
        <f t="shared" si="2"/>
        <v/>
      </c>
      <c r="L14082">
        <f t="shared" si="3"/>
        <v>0</v>
      </c>
    </row>
    <row r="14083">
      <c r="A14083" s="107"/>
      <c r="D14083" s="270"/>
      <c r="H14083" s="106" t="str">
        <f t="shared" si="1"/>
        <v/>
      </c>
      <c r="J14083" t="str">
        <f>IFERROR(__xludf.DUMMYFUNCTION("IFS(
  AND(REGEXMATCH(E14083, ""台銀籌備帳戶|玉山帳戶""), REGEXMATCH(C14083, ""薪資"")), ""分潤支出"",
  AND(REGEXMATCH(E14083, ""Ben帳戶|Elsa帳戶|Ben代墊|Ariel代墊|中信銀行共用""), REGEXMATCH(F14083, ""Ben帳戶|Elsa帳戶|Ben代墊|Ariel代墊|中信銀行共用"")), ""內部轉帳(忽略)"",
  AND(E14083&lt;&gt;"""", F14083&lt;&gt;"&amp;""""", NOT(REGEXMATCH(C14083, ""薪資""))), ""內部轉帳(忽略)"",
  REGEXMATCH(C14083, ""薪資""), ""薪資變動(不計入)"",
  REGEXMATCH(C14083, ""押金""), ""押金往來"",
  AND(E14083&lt;&gt;"""", F14083=""""), ""真實支出"",
  AND(E14083="""", F14083&lt;&gt;""""), ""真實收入"",
  TRUE, ""其他""
)"),"其他")</f>
        <v>其他</v>
      </c>
      <c r="K14083" s="270" t="str">
        <f t="shared" si="2"/>
        <v/>
      </c>
      <c r="L14083">
        <f t="shared" si="3"/>
        <v>0</v>
      </c>
    </row>
    <row r="14084">
      <c r="A14084" s="107"/>
      <c r="D14084" s="270"/>
      <c r="H14084" s="106" t="str">
        <f t="shared" si="1"/>
        <v/>
      </c>
      <c r="J14084" t="str">
        <f>IFERROR(__xludf.DUMMYFUNCTION("IFS(
  AND(REGEXMATCH(E14084, ""台銀籌備帳戶|玉山帳戶""), REGEXMATCH(C14084, ""薪資"")), ""分潤支出"",
  AND(REGEXMATCH(E14084, ""Ben帳戶|Elsa帳戶|Ben代墊|Ariel代墊|中信銀行共用""), REGEXMATCH(F14084, ""Ben帳戶|Elsa帳戶|Ben代墊|Ariel代墊|中信銀行共用"")), ""內部轉帳(忽略)"",
  AND(E14084&lt;&gt;"""", F14084&lt;&gt;"&amp;""""", NOT(REGEXMATCH(C14084, ""薪資""))), ""內部轉帳(忽略)"",
  REGEXMATCH(C14084, ""薪資""), ""薪資變動(不計入)"",
  REGEXMATCH(C14084, ""押金""), ""押金往來"",
  AND(E14084&lt;&gt;"""", F14084=""""), ""真實支出"",
  AND(E14084="""", F14084&lt;&gt;""""), ""真實收入"",
  TRUE, ""其他""
)"),"其他")</f>
        <v>其他</v>
      </c>
      <c r="K14084" s="270" t="str">
        <f t="shared" si="2"/>
        <v/>
      </c>
      <c r="L14084">
        <f t="shared" si="3"/>
        <v>0</v>
      </c>
    </row>
    <row r="14085">
      <c r="A14085" s="107"/>
      <c r="D14085" s="270"/>
      <c r="H14085" s="106" t="str">
        <f t="shared" si="1"/>
        <v/>
      </c>
      <c r="J14085" t="str">
        <f>IFERROR(__xludf.DUMMYFUNCTION("IFS(
  AND(REGEXMATCH(E14085, ""台銀籌備帳戶|玉山帳戶""), REGEXMATCH(C14085, ""薪資"")), ""分潤支出"",
  AND(REGEXMATCH(E14085, ""Ben帳戶|Elsa帳戶|Ben代墊|Ariel代墊|中信銀行共用""), REGEXMATCH(F14085, ""Ben帳戶|Elsa帳戶|Ben代墊|Ariel代墊|中信銀行共用"")), ""內部轉帳(忽略)"",
  AND(E14085&lt;&gt;"""", F14085&lt;&gt;"&amp;""""", NOT(REGEXMATCH(C14085, ""薪資""))), ""內部轉帳(忽略)"",
  REGEXMATCH(C14085, ""薪資""), ""薪資變動(不計入)"",
  REGEXMATCH(C14085, ""押金""), ""押金往來"",
  AND(E14085&lt;&gt;"""", F14085=""""), ""真實支出"",
  AND(E14085="""", F14085&lt;&gt;""""), ""真實收入"",
  TRUE, ""其他""
)"),"其他")</f>
        <v>其他</v>
      </c>
      <c r="K14085" s="270" t="str">
        <f t="shared" si="2"/>
        <v/>
      </c>
      <c r="L14085">
        <f t="shared" si="3"/>
        <v>0</v>
      </c>
    </row>
    <row r="14086">
      <c r="A14086" s="107"/>
      <c r="D14086" s="270"/>
      <c r="H14086" s="106" t="str">
        <f t="shared" si="1"/>
        <v/>
      </c>
      <c r="J14086" t="str">
        <f>IFERROR(__xludf.DUMMYFUNCTION("IFS(
  AND(REGEXMATCH(E14086, ""台銀籌備帳戶|玉山帳戶""), REGEXMATCH(C14086, ""薪資"")), ""分潤支出"",
  AND(REGEXMATCH(E14086, ""Ben帳戶|Elsa帳戶|Ben代墊|Ariel代墊|中信銀行共用""), REGEXMATCH(F14086, ""Ben帳戶|Elsa帳戶|Ben代墊|Ariel代墊|中信銀行共用"")), ""內部轉帳(忽略)"",
  AND(E14086&lt;&gt;"""", F14086&lt;&gt;"&amp;""""", NOT(REGEXMATCH(C14086, ""薪資""))), ""內部轉帳(忽略)"",
  REGEXMATCH(C14086, ""薪資""), ""薪資變動(不計入)"",
  REGEXMATCH(C14086, ""押金""), ""押金往來"",
  AND(E14086&lt;&gt;"""", F14086=""""), ""真實支出"",
  AND(E14086="""", F14086&lt;&gt;""""), ""真實收入"",
  TRUE, ""其他""
)"),"其他")</f>
        <v>其他</v>
      </c>
      <c r="K14086" s="270" t="str">
        <f t="shared" si="2"/>
        <v/>
      </c>
      <c r="L14086">
        <f t="shared" si="3"/>
        <v>0</v>
      </c>
    </row>
    <row r="14087">
      <c r="A14087" s="107"/>
      <c r="D14087" s="270"/>
      <c r="H14087" s="106" t="str">
        <f t="shared" si="1"/>
        <v/>
      </c>
      <c r="J14087" t="str">
        <f>IFERROR(__xludf.DUMMYFUNCTION("IFS(
  AND(REGEXMATCH(E14087, ""台銀籌備帳戶|玉山帳戶""), REGEXMATCH(C14087, ""薪資"")), ""分潤支出"",
  AND(REGEXMATCH(E14087, ""Ben帳戶|Elsa帳戶|Ben代墊|Ariel代墊|中信銀行共用""), REGEXMATCH(F14087, ""Ben帳戶|Elsa帳戶|Ben代墊|Ariel代墊|中信銀行共用"")), ""內部轉帳(忽略)"",
  AND(E14087&lt;&gt;"""", F14087&lt;&gt;"&amp;""""", NOT(REGEXMATCH(C14087, ""薪資""))), ""內部轉帳(忽略)"",
  REGEXMATCH(C14087, ""薪資""), ""薪資變動(不計入)"",
  REGEXMATCH(C14087, ""押金""), ""押金往來"",
  AND(E14087&lt;&gt;"""", F14087=""""), ""真實支出"",
  AND(E14087="""", F14087&lt;&gt;""""), ""真實收入"",
  TRUE, ""其他""
)"),"其他")</f>
        <v>其他</v>
      </c>
      <c r="K14087" s="270" t="str">
        <f t="shared" si="2"/>
        <v/>
      </c>
      <c r="L14087">
        <f t="shared" si="3"/>
        <v>0</v>
      </c>
    </row>
    <row r="14088">
      <c r="A14088" s="107"/>
      <c r="D14088" s="270"/>
      <c r="H14088" s="106" t="str">
        <f t="shared" si="1"/>
        <v/>
      </c>
      <c r="J14088" t="str">
        <f>IFERROR(__xludf.DUMMYFUNCTION("IFS(
  AND(REGEXMATCH(E14088, ""台銀籌備帳戶|玉山帳戶""), REGEXMATCH(C14088, ""薪資"")), ""分潤支出"",
  AND(REGEXMATCH(E14088, ""Ben帳戶|Elsa帳戶|Ben代墊|Ariel代墊|中信銀行共用""), REGEXMATCH(F14088, ""Ben帳戶|Elsa帳戶|Ben代墊|Ariel代墊|中信銀行共用"")), ""內部轉帳(忽略)"",
  AND(E14088&lt;&gt;"""", F14088&lt;&gt;"&amp;""""", NOT(REGEXMATCH(C14088, ""薪資""))), ""內部轉帳(忽略)"",
  REGEXMATCH(C14088, ""薪資""), ""薪資變動(不計入)"",
  REGEXMATCH(C14088, ""押金""), ""押金往來"",
  AND(E14088&lt;&gt;"""", F14088=""""), ""真實支出"",
  AND(E14088="""", F14088&lt;&gt;""""), ""真實收入"",
  TRUE, ""其他""
)"),"其他")</f>
        <v>其他</v>
      </c>
      <c r="K14088" s="270" t="str">
        <f t="shared" si="2"/>
        <v/>
      </c>
      <c r="L14088">
        <f t="shared" si="3"/>
        <v>0</v>
      </c>
    </row>
    <row r="14089">
      <c r="A14089" s="107"/>
      <c r="D14089" s="270"/>
      <c r="H14089" s="106" t="str">
        <f t="shared" si="1"/>
        <v/>
      </c>
      <c r="J14089" t="str">
        <f>IFERROR(__xludf.DUMMYFUNCTION("IFS(
  AND(REGEXMATCH(E14089, ""台銀籌備帳戶|玉山帳戶""), REGEXMATCH(C14089, ""薪資"")), ""分潤支出"",
  AND(REGEXMATCH(E14089, ""Ben帳戶|Elsa帳戶|Ben代墊|Ariel代墊|中信銀行共用""), REGEXMATCH(F14089, ""Ben帳戶|Elsa帳戶|Ben代墊|Ariel代墊|中信銀行共用"")), ""內部轉帳(忽略)"",
  AND(E14089&lt;&gt;"""", F14089&lt;&gt;"&amp;""""", NOT(REGEXMATCH(C14089, ""薪資""))), ""內部轉帳(忽略)"",
  REGEXMATCH(C14089, ""薪資""), ""薪資變動(不計入)"",
  REGEXMATCH(C14089, ""押金""), ""押金往來"",
  AND(E14089&lt;&gt;"""", F14089=""""), ""真實支出"",
  AND(E14089="""", F14089&lt;&gt;""""), ""真實收入"",
  TRUE, ""其他""
)"),"其他")</f>
        <v>其他</v>
      </c>
      <c r="K14089" s="270" t="str">
        <f t="shared" si="2"/>
        <v/>
      </c>
      <c r="L14089">
        <f t="shared" si="3"/>
        <v>0</v>
      </c>
    </row>
    <row r="14090">
      <c r="A14090" s="107"/>
      <c r="D14090" s="270"/>
      <c r="H14090" s="106" t="str">
        <f t="shared" si="1"/>
        <v/>
      </c>
      <c r="J14090" t="str">
        <f>IFERROR(__xludf.DUMMYFUNCTION("IFS(
  AND(REGEXMATCH(E14090, ""台銀籌備帳戶|玉山帳戶""), REGEXMATCH(C14090, ""薪資"")), ""分潤支出"",
  AND(REGEXMATCH(E14090, ""Ben帳戶|Elsa帳戶|Ben代墊|Ariel代墊|中信銀行共用""), REGEXMATCH(F14090, ""Ben帳戶|Elsa帳戶|Ben代墊|Ariel代墊|中信銀行共用"")), ""內部轉帳(忽略)"",
  AND(E14090&lt;&gt;"""", F14090&lt;&gt;"&amp;""""", NOT(REGEXMATCH(C14090, ""薪資""))), ""內部轉帳(忽略)"",
  REGEXMATCH(C14090, ""薪資""), ""薪資變動(不計入)"",
  REGEXMATCH(C14090, ""押金""), ""押金往來"",
  AND(E14090&lt;&gt;"""", F14090=""""), ""真實支出"",
  AND(E14090="""", F14090&lt;&gt;""""), ""真實收入"",
  TRUE, ""其他""
)"),"其他")</f>
        <v>其他</v>
      </c>
      <c r="K14090" s="270" t="str">
        <f t="shared" si="2"/>
        <v/>
      </c>
      <c r="L14090">
        <f t="shared" si="3"/>
        <v>0</v>
      </c>
    </row>
    <row r="14091">
      <c r="A14091" s="107"/>
      <c r="D14091" s="270"/>
      <c r="H14091" s="106" t="str">
        <f t="shared" si="1"/>
        <v/>
      </c>
      <c r="J14091" t="str">
        <f>IFERROR(__xludf.DUMMYFUNCTION("IFS(
  AND(REGEXMATCH(E14091, ""台銀籌備帳戶|玉山帳戶""), REGEXMATCH(C14091, ""薪資"")), ""分潤支出"",
  AND(REGEXMATCH(E14091, ""Ben帳戶|Elsa帳戶|Ben代墊|Ariel代墊|中信銀行共用""), REGEXMATCH(F14091, ""Ben帳戶|Elsa帳戶|Ben代墊|Ariel代墊|中信銀行共用"")), ""內部轉帳(忽略)"",
  AND(E14091&lt;&gt;"""", F14091&lt;&gt;"&amp;""""", NOT(REGEXMATCH(C14091, ""薪資""))), ""內部轉帳(忽略)"",
  REGEXMATCH(C14091, ""薪資""), ""薪資變動(不計入)"",
  REGEXMATCH(C14091, ""押金""), ""押金往來"",
  AND(E14091&lt;&gt;"""", F14091=""""), ""真實支出"",
  AND(E14091="""", F14091&lt;&gt;""""), ""真實收入"",
  TRUE, ""其他""
)"),"其他")</f>
        <v>其他</v>
      </c>
      <c r="K14091" s="270" t="str">
        <f t="shared" si="2"/>
        <v/>
      </c>
      <c r="L14091">
        <f t="shared" si="3"/>
        <v>0</v>
      </c>
    </row>
    <row r="14092">
      <c r="A14092" s="107"/>
      <c r="D14092" s="270"/>
      <c r="H14092" s="106" t="str">
        <f t="shared" si="1"/>
        <v/>
      </c>
      <c r="J14092" t="str">
        <f>IFERROR(__xludf.DUMMYFUNCTION("IFS(
  AND(REGEXMATCH(E14092, ""台銀籌備帳戶|玉山帳戶""), REGEXMATCH(C14092, ""薪資"")), ""分潤支出"",
  AND(REGEXMATCH(E14092, ""Ben帳戶|Elsa帳戶|Ben代墊|Ariel代墊|中信銀行共用""), REGEXMATCH(F14092, ""Ben帳戶|Elsa帳戶|Ben代墊|Ariel代墊|中信銀行共用"")), ""內部轉帳(忽略)"",
  AND(E14092&lt;&gt;"""", F14092&lt;&gt;"&amp;""""", NOT(REGEXMATCH(C14092, ""薪資""))), ""內部轉帳(忽略)"",
  REGEXMATCH(C14092, ""薪資""), ""薪資變動(不計入)"",
  REGEXMATCH(C14092, ""押金""), ""押金往來"",
  AND(E14092&lt;&gt;"""", F14092=""""), ""真實支出"",
  AND(E14092="""", F14092&lt;&gt;""""), ""真實收入"",
  TRUE, ""其他""
)"),"其他")</f>
        <v>其他</v>
      </c>
      <c r="K14092" s="270" t="str">
        <f t="shared" si="2"/>
        <v/>
      </c>
      <c r="L14092">
        <f t="shared" si="3"/>
        <v>0</v>
      </c>
    </row>
    <row r="14093">
      <c r="A14093" s="107"/>
      <c r="D14093" s="270"/>
      <c r="H14093" s="106" t="str">
        <f t="shared" si="1"/>
        <v/>
      </c>
      <c r="J14093" t="str">
        <f>IFERROR(__xludf.DUMMYFUNCTION("IFS(
  AND(REGEXMATCH(E14093, ""台銀籌備帳戶|玉山帳戶""), REGEXMATCH(C14093, ""薪資"")), ""分潤支出"",
  AND(REGEXMATCH(E14093, ""Ben帳戶|Elsa帳戶|Ben代墊|Ariel代墊|中信銀行共用""), REGEXMATCH(F14093, ""Ben帳戶|Elsa帳戶|Ben代墊|Ariel代墊|中信銀行共用"")), ""內部轉帳(忽略)"",
  AND(E14093&lt;&gt;"""", F14093&lt;&gt;"&amp;""""", NOT(REGEXMATCH(C14093, ""薪資""))), ""內部轉帳(忽略)"",
  REGEXMATCH(C14093, ""薪資""), ""薪資變動(不計入)"",
  REGEXMATCH(C14093, ""押金""), ""押金往來"",
  AND(E14093&lt;&gt;"""", F14093=""""), ""真實支出"",
  AND(E14093="""", F14093&lt;&gt;""""), ""真實收入"",
  TRUE, ""其他""
)"),"其他")</f>
        <v>其他</v>
      </c>
      <c r="K14093" s="270" t="str">
        <f t="shared" si="2"/>
        <v/>
      </c>
      <c r="L14093">
        <f t="shared" si="3"/>
        <v>0</v>
      </c>
    </row>
    <row r="14094">
      <c r="A14094" s="107"/>
      <c r="D14094" s="270"/>
      <c r="H14094" s="106" t="str">
        <f t="shared" si="1"/>
        <v/>
      </c>
      <c r="J14094" t="str">
        <f>IFERROR(__xludf.DUMMYFUNCTION("IFS(
  AND(REGEXMATCH(E14094, ""台銀籌備帳戶|玉山帳戶""), REGEXMATCH(C14094, ""薪資"")), ""分潤支出"",
  AND(REGEXMATCH(E14094, ""Ben帳戶|Elsa帳戶|Ben代墊|Ariel代墊|中信銀行共用""), REGEXMATCH(F14094, ""Ben帳戶|Elsa帳戶|Ben代墊|Ariel代墊|中信銀行共用"")), ""內部轉帳(忽略)"",
  AND(E14094&lt;&gt;"""", F14094&lt;&gt;"&amp;""""", NOT(REGEXMATCH(C14094, ""薪資""))), ""內部轉帳(忽略)"",
  REGEXMATCH(C14094, ""薪資""), ""薪資變動(不計入)"",
  REGEXMATCH(C14094, ""押金""), ""押金往來"",
  AND(E14094&lt;&gt;"""", F14094=""""), ""真實支出"",
  AND(E14094="""", F14094&lt;&gt;""""), ""真實收入"",
  TRUE, ""其他""
)"),"其他")</f>
        <v>其他</v>
      </c>
      <c r="K14094" s="270" t="str">
        <f t="shared" si="2"/>
        <v/>
      </c>
      <c r="L14094">
        <f t="shared" si="3"/>
        <v>0</v>
      </c>
    </row>
    <row r="14095">
      <c r="A14095" s="107"/>
      <c r="D14095" s="270"/>
      <c r="H14095" s="106" t="str">
        <f t="shared" si="1"/>
        <v/>
      </c>
      <c r="J14095" t="str">
        <f>IFERROR(__xludf.DUMMYFUNCTION("IFS(
  AND(REGEXMATCH(E14095, ""台銀籌備帳戶|玉山帳戶""), REGEXMATCH(C14095, ""薪資"")), ""分潤支出"",
  AND(REGEXMATCH(E14095, ""Ben帳戶|Elsa帳戶|Ben代墊|Ariel代墊|中信銀行共用""), REGEXMATCH(F14095, ""Ben帳戶|Elsa帳戶|Ben代墊|Ariel代墊|中信銀行共用"")), ""內部轉帳(忽略)"",
  AND(E14095&lt;&gt;"""", F14095&lt;&gt;"&amp;""""", NOT(REGEXMATCH(C14095, ""薪資""))), ""內部轉帳(忽略)"",
  REGEXMATCH(C14095, ""薪資""), ""薪資變動(不計入)"",
  REGEXMATCH(C14095, ""押金""), ""押金往來"",
  AND(E14095&lt;&gt;"""", F14095=""""), ""真實支出"",
  AND(E14095="""", F14095&lt;&gt;""""), ""真實收入"",
  TRUE, ""其他""
)"),"其他")</f>
        <v>其他</v>
      </c>
      <c r="K14095" s="270" t="str">
        <f t="shared" si="2"/>
        <v/>
      </c>
      <c r="L14095">
        <f t="shared" si="3"/>
        <v>0</v>
      </c>
    </row>
    <row r="14096">
      <c r="A14096" s="107"/>
      <c r="D14096" s="270"/>
      <c r="H14096" s="106" t="str">
        <f t="shared" si="1"/>
        <v/>
      </c>
      <c r="J14096" t="str">
        <f>IFERROR(__xludf.DUMMYFUNCTION("IFS(
  AND(REGEXMATCH(E14096, ""台銀籌備帳戶|玉山帳戶""), REGEXMATCH(C14096, ""薪資"")), ""分潤支出"",
  AND(REGEXMATCH(E14096, ""Ben帳戶|Elsa帳戶|Ben代墊|Ariel代墊|中信銀行共用""), REGEXMATCH(F14096, ""Ben帳戶|Elsa帳戶|Ben代墊|Ariel代墊|中信銀行共用"")), ""內部轉帳(忽略)"",
  AND(E14096&lt;&gt;"""", F14096&lt;&gt;"&amp;""""", NOT(REGEXMATCH(C14096, ""薪資""))), ""內部轉帳(忽略)"",
  REGEXMATCH(C14096, ""薪資""), ""薪資變動(不計入)"",
  REGEXMATCH(C14096, ""押金""), ""押金往來"",
  AND(E14096&lt;&gt;"""", F14096=""""), ""真實支出"",
  AND(E14096="""", F14096&lt;&gt;""""), ""真實收入"",
  TRUE, ""其他""
)"),"其他")</f>
        <v>其他</v>
      </c>
      <c r="K14096" s="270" t="str">
        <f t="shared" si="2"/>
        <v/>
      </c>
      <c r="L14096">
        <f t="shared" si="3"/>
        <v>0</v>
      </c>
    </row>
    <row r="14097">
      <c r="A14097" s="107"/>
      <c r="D14097" s="270"/>
      <c r="H14097" s="106" t="str">
        <f t="shared" si="1"/>
        <v/>
      </c>
      <c r="J14097" t="str">
        <f>IFERROR(__xludf.DUMMYFUNCTION("IFS(
  AND(REGEXMATCH(E14097, ""台銀籌備帳戶|玉山帳戶""), REGEXMATCH(C14097, ""薪資"")), ""分潤支出"",
  AND(REGEXMATCH(E14097, ""Ben帳戶|Elsa帳戶|Ben代墊|Ariel代墊|中信銀行共用""), REGEXMATCH(F14097, ""Ben帳戶|Elsa帳戶|Ben代墊|Ariel代墊|中信銀行共用"")), ""內部轉帳(忽略)"",
  AND(E14097&lt;&gt;"""", F14097&lt;&gt;"&amp;""""", NOT(REGEXMATCH(C14097, ""薪資""))), ""內部轉帳(忽略)"",
  REGEXMATCH(C14097, ""薪資""), ""薪資變動(不計入)"",
  REGEXMATCH(C14097, ""押金""), ""押金往來"",
  AND(E14097&lt;&gt;"""", F14097=""""), ""真實支出"",
  AND(E14097="""", F14097&lt;&gt;""""), ""真實收入"",
  TRUE, ""其他""
)"),"其他")</f>
        <v>其他</v>
      </c>
      <c r="K14097" s="270" t="str">
        <f t="shared" si="2"/>
        <v/>
      </c>
      <c r="L14097">
        <f t="shared" si="3"/>
        <v>0</v>
      </c>
    </row>
    <row r="14098">
      <c r="A14098" s="107"/>
      <c r="D14098" s="270"/>
      <c r="H14098" s="106" t="str">
        <f t="shared" si="1"/>
        <v/>
      </c>
      <c r="J14098" t="str">
        <f>IFERROR(__xludf.DUMMYFUNCTION("IFS(
  AND(REGEXMATCH(E14098, ""台銀籌備帳戶|玉山帳戶""), REGEXMATCH(C14098, ""薪資"")), ""分潤支出"",
  AND(REGEXMATCH(E14098, ""Ben帳戶|Elsa帳戶|Ben代墊|Ariel代墊|中信銀行共用""), REGEXMATCH(F14098, ""Ben帳戶|Elsa帳戶|Ben代墊|Ariel代墊|中信銀行共用"")), ""內部轉帳(忽略)"",
  AND(E14098&lt;&gt;"""", F14098&lt;&gt;"&amp;""""", NOT(REGEXMATCH(C14098, ""薪資""))), ""內部轉帳(忽略)"",
  REGEXMATCH(C14098, ""薪資""), ""薪資變動(不計入)"",
  REGEXMATCH(C14098, ""押金""), ""押金往來"",
  AND(E14098&lt;&gt;"""", F14098=""""), ""真實支出"",
  AND(E14098="""", F14098&lt;&gt;""""), ""真實收入"",
  TRUE, ""其他""
)"),"其他")</f>
        <v>其他</v>
      </c>
      <c r="K14098" s="270" t="str">
        <f t="shared" si="2"/>
        <v/>
      </c>
      <c r="L14098">
        <f t="shared" si="3"/>
        <v>0</v>
      </c>
    </row>
    <row r="14099">
      <c r="A14099" s="107"/>
      <c r="D14099" s="270"/>
      <c r="H14099" s="106" t="str">
        <f t="shared" si="1"/>
        <v/>
      </c>
      <c r="J14099" t="str">
        <f>IFERROR(__xludf.DUMMYFUNCTION("IFS(
  AND(REGEXMATCH(E14099, ""台銀籌備帳戶|玉山帳戶""), REGEXMATCH(C14099, ""薪資"")), ""分潤支出"",
  AND(REGEXMATCH(E14099, ""Ben帳戶|Elsa帳戶|Ben代墊|Ariel代墊|中信銀行共用""), REGEXMATCH(F14099, ""Ben帳戶|Elsa帳戶|Ben代墊|Ariel代墊|中信銀行共用"")), ""內部轉帳(忽略)"",
  AND(E14099&lt;&gt;"""", F14099&lt;&gt;"&amp;""""", NOT(REGEXMATCH(C14099, ""薪資""))), ""內部轉帳(忽略)"",
  REGEXMATCH(C14099, ""薪資""), ""薪資變動(不計入)"",
  REGEXMATCH(C14099, ""押金""), ""押金往來"",
  AND(E14099&lt;&gt;"""", F14099=""""), ""真實支出"",
  AND(E14099="""", F14099&lt;&gt;""""), ""真實收入"",
  TRUE, ""其他""
)"),"其他")</f>
        <v>其他</v>
      </c>
      <c r="K14099" s="270" t="str">
        <f t="shared" si="2"/>
        <v/>
      </c>
      <c r="L14099">
        <f t="shared" si="3"/>
        <v>0</v>
      </c>
    </row>
    <row r="14100">
      <c r="A14100" s="107"/>
      <c r="D14100" s="270"/>
      <c r="H14100" s="106" t="str">
        <f t="shared" si="1"/>
        <v/>
      </c>
      <c r="J14100" t="str">
        <f>IFERROR(__xludf.DUMMYFUNCTION("IFS(
  AND(REGEXMATCH(E14100, ""台銀籌備帳戶|玉山帳戶""), REGEXMATCH(C14100, ""薪資"")), ""分潤支出"",
  AND(REGEXMATCH(E14100, ""Ben帳戶|Elsa帳戶|Ben代墊|Ariel代墊|中信銀行共用""), REGEXMATCH(F14100, ""Ben帳戶|Elsa帳戶|Ben代墊|Ariel代墊|中信銀行共用"")), ""內部轉帳(忽略)"",
  AND(E14100&lt;&gt;"""", F14100&lt;&gt;"&amp;""""", NOT(REGEXMATCH(C14100, ""薪資""))), ""內部轉帳(忽略)"",
  REGEXMATCH(C14100, ""薪資""), ""薪資變動(不計入)"",
  REGEXMATCH(C14100, ""押金""), ""押金往來"",
  AND(E14100&lt;&gt;"""", F14100=""""), ""真實支出"",
  AND(E14100="""", F14100&lt;&gt;""""), ""真實收入"",
  TRUE, ""其他""
)"),"其他")</f>
        <v>其他</v>
      </c>
      <c r="K14100" s="270" t="str">
        <f t="shared" si="2"/>
        <v/>
      </c>
      <c r="L14100">
        <f t="shared" si="3"/>
        <v>0</v>
      </c>
    </row>
    <row r="14101">
      <c r="A14101" s="107"/>
      <c r="D14101" s="270"/>
      <c r="H14101" s="106" t="str">
        <f t="shared" si="1"/>
        <v/>
      </c>
      <c r="J14101" t="str">
        <f>IFERROR(__xludf.DUMMYFUNCTION("IFS(
  AND(REGEXMATCH(E14101, ""台銀籌備帳戶|玉山帳戶""), REGEXMATCH(C14101, ""薪資"")), ""分潤支出"",
  AND(REGEXMATCH(E14101, ""Ben帳戶|Elsa帳戶|Ben代墊|Ariel代墊|中信銀行共用""), REGEXMATCH(F14101, ""Ben帳戶|Elsa帳戶|Ben代墊|Ariel代墊|中信銀行共用"")), ""內部轉帳(忽略)"",
  AND(E14101&lt;&gt;"""", F14101&lt;&gt;"&amp;""""", NOT(REGEXMATCH(C14101, ""薪資""))), ""內部轉帳(忽略)"",
  REGEXMATCH(C14101, ""薪資""), ""薪資變動(不計入)"",
  REGEXMATCH(C14101, ""押金""), ""押金往來"",
  AND(E14101&lt;&gt;"""", F14101=""""), ""真實支出"",
  AND(E14101="""", F14101&lt;&gt;""""), ""真實收入"",
  TRUE, ""其他""
)"),"其他")</f>
        <v>其他</v>
      </c>
      <c r="K14101" s="270" t="str">
        <f t="shared" si="2"/>
        <v/>
      </c>
      <c r="L14101">
        <f t="shared" si="3"/>
        <v>0</v>
      </c>
    </row>
    <row r="14102">
      <c r="A14102" s="107"/>
      <c r="D14102" s="270"/>
      <c r="H14102" s="106" t="str">
        <f t="shared" si="1"/>
        <v/>
      </c>
      <c r="J14102" t="str">
        <f>IFERROR(__xludf.DUMMYFUNCTION("IFS(
  AND(REGEXMATCH(E14102, ""台銀籌備帳戶|玉山帳戶""), REGEXMATCH(C14102, ""薪資"")), ""分潤支出"",
  AND(REGEXMATCH(E14102, ""Ben帳戶|Elsa帳戶|Ben代墊|Ariel代墊|中信銀行共用""), REGEXMATCH(F14102, ""Ben帳戶|Elsa帳戶|Ben代墊|Ariel代墊|中信銀行共用"")), ""內部轉帳(忽略)"",
  AND(E14102&lt;&gt;"""", F14102&lt;&gt;"&amp;""""", NOT(REGEXMATCH(C14102, ""薪資""))), ""內部轉帳(忽略)"",
  REGEXMATCH(C14102, ""薪資""), ""薪資變動(不計入)"",
  REGEXMATCH(C14102, ""押金""), ""押金往來"",
  AND(E14102&lt;&gt;"""", F14102=""""), ""真實支出"",
  AND(E14102="""", F14102&lt;&gt;""""), ""真實收入"",
  TRUE, ""其他""
)"),"其他")</f>
        <v>其他</v>
      </c>
      <c r="K14102" s="270" t="str">
        <f t="shared" si="2"/>
        <v/>
      </c>
      <c r="L14102">
        <f t="shared" si="3"/>
        <v>0</v>
      </c>
    </row>
    <row r="14103">
      <c r="A14103" s="107"/>
      <c r="D14103" s="270"/>
      <c r="H14103" s="106" t="str">
        <f t="shared" si="1"/>
        <v/>
      </c>
      <c r="J14103" t="str">
        <f>IFERROR(__xludf.DUMMYFUNCTION("IFS(
  AND(REGEXMATCH(E14103, ""台銀籌備帳戶|玉山帳戶""), REGEXMATCH(C14103, ""薪資"")), ""分潤支出"",
  AND(REGEXMATCH(E14103, ""Ben帳戶|Elsa帳戶|Ben代墊|Ariel代墊|中信銀行共用""), REGEXMATCH(F14103, ""Ben帳戶|Elsa帳戶|Ben代墊|Ariel代墊|中信銀行共用"")), ""內部轉帳(忽略)"",
  AND(E14103&lt;&gt;"""", F14103&lt;&gt;"&amp;""""", NOT(REGEXMATCH(C14103, ""薪資""))), ""內部轉帳(忽略)"",
  REGEXMATCH(C14103, ""薪資""), ""薪資變動(不計入)"",
  REGEXMATCH(C14103, ""押金""), ""押金往來"",
  AND(E14103&lt;&gt;"""", F14103=""""), ""真實支出"",
  AND(E14103="""", F14103&lt;&gt;""""), ""真實收入"",
  TRUE, ""其他""
)"),"其他")</f>
        <v>其他</v>
      </c>
      <c r="K14103" s="270" t="str">
        <f t="shared" si="2"/>
        <v/>
      </c>
      <c r="L14103">
        <f t="shared" si="3"/>
        <v>0</v>
      </c>
    </row>
    <row r="14104">
      <c r="A14104" s="107"/>
      <c r="D14104" s="270"/>
      <c r="H14104" s="106" t="str">
        <f t="shared" si="1"/>
        <v/>
      </c>
      <c r="J14104" t="str">
        <f>IFERROR(__xludf.DUMMYFUNCTION("IFS(
  AND(REGEXMATCH(E14104, ""台銀籌備帳戶|玉山帳戶""), REGEXMATCH(C14104, ""薪資"")), ""分潤支出"",
  AND(REGEXMATCH(E14104, ""Ben帳戶|Elsa帳戶|Ben代墊|Ariel代墊|中信銀行共用""), REGEXMATCH(F14104, ""Ben帳戶|Elsa帳戶|Ben代墊|Ariel代墊|中信銀行共用"")), ""內部轉帳(忽略)"",
  AND(E14104&lt;&gt;"""", F14104&lt;&gt;"&amp;""""", NOT(REGEXMATCH(C14104, ""薪資""))), ""內部轉帳(忽略)"",
  REGEXMATCH(C14104, ""薪資""), ""薪資變動(不計入)"",
  REGEXMATCH(C14104, ""押金""), ""押金往來"",
  AND(E14104&lt;&gt;"""", F14104=""""), ""真實支出"",
  AND(E14104="""", F14104&lt;&gt;""""), ""真實收入"",
  TRUE, ""其他""
)"),"其他")</f>
        <v>其他</v>
      </c>
      <c r="K14104" s="270" t="str">
        <f t="shared" si="2"/>
        <v/>
      </c>
      <c r="L14104">
        <f t="shared" si="3"/>
        <v>0</v>
      </c>
    </row>
    <row r="14105">
      <c r="A14105" s="107"/>
      <c r="D14105" s="270"/>
      <c r="H14105" s="106" t="str">
        <f t="shared" si="1"/>
        <v/>
      </c>
      <c r="J14105" t="str">
        <f>IFERROR(__xludf.DUMMYFUNCTION("IFS(
  AND(REGEXMATCH(E14105, ""台銀籌備帳戶|玉山帳戶""), REGEXMATCH(C14105, ""薪資"")), ""分潤支出"",
  AND(REGEXMATCH(E14105, ""Ben帳戶|Elsa帳戶|Ben代墊|Ariel代墊|中信銀行共用""), REGEXMATCH(F14105, ""Ben帳戶|Elsa帳戶|Ben代墊|Ariel代墊|中信銀行共用"")), ""內部轉帳(忽略)"",
  AND(E14105&lt;&gt;"""", F14105&lt;&gt;"&amp;""""", NOT(REGEXMATCH(C14105, ""薪資""))), ""內部轉帳(忽略)"",
  REGEXMATCH(C14105, ""薪資""), ""薪資變動(不計入)"",
  REGEXMATCH(C14105, ""押金""), ""押金往來"",
  AND(E14105&lt;&gt;"""", F14105=""""), ""真實支出"",
  AND(E14105="""", F14105&lt;&gt;""""), ""真實收入"",
  TRUE, ""其他""
)"),"其他")</f>
        <v>其他</v>
      </c>
      <c r="K14105" s="270" t="str">
        <f t="shared" si="2"/>
        <v/>
      </c>
      <c r="L14105">
        <f t="shared" si="3"/>
        <v>0</v>
      </c>
    </row>
    <row r="14106">
      <c r="A14106" s="107"/>
      <c r="D14106" s="270"/>
      <c r="H14106" s="106" t="str">
        <f t="shared" si="1"/>
        <v/>
      </c>
      <c r="J14106" t="str">
        <f>IFERROR(__xludf.DUMMYFUNCTION("IFS(
  AND(REGEXMATCH(E14106, ""台銀籌備帳戶|玉山帳戶""), REGEXMATCH(C14106, ""薪資"")), ""分潤支出"",
  AND(REGEXMATCH(E14106, ""Ben帳戶|Elsa帳戶|Ben代墊|Ariel代墊|中信銀行共用""), REGEXMATCH(F14106, ""Ben帳戶|Elsa帳戶|Ben代墊|Ariel代墊|中信銀行共用"")), ""內部轉帳(忽略)"",
  AND(E14106&lt;&gt;"""", F14106&lt;&gt;"&amp;""""", NOT(REGEXMATCH(C14106, ""薪資""))), ""內部轉帳(忽略)"",
  REGEXMATCH(C14106, ""薪資""), ""薪資變動(不計入)"",
  REGEXMATCH(C14106, ""押金""), ""押金往來"",
  AND(E14106&lt;&gt;"""", F14106=""""), ""真實支出"",
  AND(E14106="""", F14106&lt;&gt;""""), ""真實收入"",
  TRUE, ""其他""
)"),"其他")</f>
        <v>其他</v>
      </c>
      <c r="K14106" s="270" t="str">
        <f t="shared" si="2"/>
        <v/>
      </c>
      <c r="L14106">
        <f t="shared" si="3"/>
        <v>0</v>
      </c>
    </row>
    <row r="14107">
      <c r="A14107" s="107"/>
      <c r="D14107" s="270"/>
      <c r="H14107" s="106" t="str">
        <f t="shared" si="1"/>
        <v/>
      </c>
      <c r="J14107" t="str">
        <f>IFERROR(__xludf.DUMMYFUNCTION("IFS(
  AND(REGEXMATCH(E14107, ""台銀籌備帳戶|玉山帳戶""), REGEXMATCH(C14107, ""薪資"")), ""分潤支出"",
  AND(REGEXMATCH(E14107, ""Ben帳戶|Elsa帳戶|Ben代墊|Ariel代墊|中信銀行共用""), REGEXMATCH(F14107, ""Ben帳戶|Elsa帳戶|Ben代墊|Ariel代墊|中信銀行共用"")), ""內部轉帳(忽略)"",
  AND(E14107&lt;&gt;"""", F14107&lt;&gt;"&amp;""""", NOT(REGEXMATCH(C14107, ""薪資""))), ""內部轉帳(忽略)"",
  REGEXMATCH(C14107, ""薪資""), ""薪資變動(不計入)"",
  REGEXMATCH(C14107, ""押金""), ""押金往來"",
  AND(E14107&lt;&gt;"""", F14107=""""), ""真實支出"",
  AND(E14107="""", F14107&lt;&gt;""""), ""真實收入"",
  TRUE, ""其他""
)"),"其他")</f>
        <v>其他</v>
      </c>
      <c r="K14107" s="270" t="str">
        <f t="shared" si="2"/>
        <v/>
      </c>
      <c r="L14107">
        <f t="shared" si="3"/>
        <v>0</v>
      </c>
    </row>
    <row r="14108">
      <c r="A14108" s="107"/>
      <c r="D14108" s="270"/>
      <c r="H14108" s="106" t="str">
        <f t="shared" si="1"/>
        <v/>
      </c>
      <c r="J14108" t="str">
        <f>IFERROR(__xludf.DUMMYFUNCTION("IFS(
  AND(REGEXMATCH(E14108, ""台銀籌備帳戶|玉山帳戶""), REGEXMATCH(C14108, ""薪資"")), ""分潤支出"",
  AND(REGEXMATCH(E14108, ""Ben帳戶|Elsa帳戶|Ben代墊|Ariel代墊|中信銀行共用""), REGEXMATCH(F14108, ""Ben帳戶|Elsa帳戶|Ben代墊|Ariel代墊|中信銀行共用"")), ""內部轉帳(忽略)"",
  AND(E14108&lt;&gt;"""", F14108&lt;&gt;"&amp;""""", NOT(REGEXMATCH(C14108, ""薪資""))), ""內部轉帳(忽略)"",
  REGEXMATCH(C14108, ""薪資""), ""薪資變動(不計入)"",
  REGEXMATCH(C14108, ""押金""), ""押金往來"",
  AND(E14108&lt;&gt;"""", F14108=""""), ""真實支出"",
  AND(E14108="""", F14108&lt;&gt;""""), ""真實收入"",
  TRUE, ""其他""
)"),"其他")</f>
        <v>其他</v>
      </c>
      <c r="K14108" s="270" t="str">
        <f t="shared" si="2"/>
        <v/>
      </c>
      <c r="L14108">
        <f t="shared" si="3"/>
        <v>0</v>
      </c>
    </row>
    <row r="14109">
      <c r="A14109" s="107"/>
      <c r="D14109" s="270"/>
      <c r="H14109" s="106" t="str">
        <f t="shared" si="1"/>
        <v/>
      </c>
      <c r="J14109" t="str">
        <f>IFERROR(__xludf.DUMMYFUNCTION("IFS(
  AND(REGEXMATCH(E14109, ""台銀籌備帳戶|玉山帳戶""), REGEXMATCH(C14109, ""薪資"")), ""分潤支出"",
  AND(REGEXMATCH(E14109, ""Ben帳戶|Elsa帳戶|Ben代墊|Ariel代墊|中信銀行共用""), REGEXMATCH(F14109, ""Ben帳戶|Elsa帳戶|Ben代墊|Ariel代墊|中信銀行共用"")), ""內部轉帳(忽略)"",
  AND(E14109&lt;&gt;"""", F14109&lt;&gt;"&amp;""""", NOT(REGEXMATCH(C14109, ""薪資""))), ""內部轉帳(忽略)"",
  REGEXMATCH(C14109, ""薪資""), ""薪資變動(不計入)"",
  REGEXMATCH(C14109, ""押金""), ""押金往來"",
  AND(E14109&lt;&gt;"""", F14109=""""), ""真實支出"",
  AND(E14109="""", F14109&lt;&gt;""""), ""真實收入"",
  TRUE, ""其他""
)"),"其他")</f>
        <v>其他</v>
      </c>
      <c r="K14109" s="270" t="str">
        <f t="shared" si="2"/>
        <v/>
      </c>
      <c r="L14109">
        <f t="shared" si="3"/>
        <v>0</v>
      </c>
    </row>
    <row r="14110">
      <c r="A14110" s="107"/>
      <c r="D14110" s="270"/>
      <c r="H14110" s="106" t="str">
        <f t="shared" si="1"/>
        <v/>
      </c>
      <c r="J14110" t="str">
        <f>IFERROR(__xludf.DUMMYFUNCTION("IFS(
  AND(REGEXMATCH(E14110, ""台銀籌備帳戶|玉山帳戶""), REGEXMATCH(C14110, ""薪資"")), ""分潤支出"",
  AND(REGEXMATCH(E14110, ""Ben帳戶|Elsa帳戶|Ben代墊|Ariel代墊|中信銀行共用""), REGEXMATCH(F14110, ""Ben帳戶|Elsa帳戶|Ben代墊|Ariel代墊|中信銀行共用"")), ""內部轉帳(忽略)"",
  AND(E14110&lt;&gt;"""", F14110&lt;&gt;"&amp;""""", NOT(REGEXMATCH(C14110, ""薪資""))), ""內部轉帳(忽略)"",
  REGEXMATCH(C14110, ""薪資""), ""薪資變動(不計入)"",
  REGEXMATCH(C14110, ""押金""), ""押金往來"",
  AND(E14110&lt;&gt;"""", F14110=""""), ""真實支出"",
  AND(E14110="""", F14110&lt;&gt;""""), ""真實收入"",
  TRUE, ""其他""
)"),"其他")</f>
        <v>其他</v>
      </c>
      <c r="K14110" s="270" t="str">
        <f t="shared" si="2"/>
        <v/>
      </c>
      <c r="L14110">
        <f t="shared" si="3"/>
        <v>0</v>
      </c>
    </row>
    <row r="14111">
      <c r="A14111" s="107"/>
      <c r="D14111" s="270"/>
      <c r="H14111" s="106" t="str">
        <f t="shared" si="1"/>
        <v/>
      </c>
      <c r="J14111" t="str">
        <f>IFERROR(__xludf.DUMMYFUNCTION("IFS(
  AND(REGEXMATCH(E14111, ""台銀籌備帳戶|玉山帳戶""), REGEXMATCH(C14111, ""薪資"")), ""分潤支出"",
  AND(REGEXMATCH(E14111, ""Ben帳戶|Elsa帳戶|Ben代墊|Ariel代墊|中信銀行共用""), REGEXMATCH(F14111, ""Ben帳戶|Elsa帳戶|Ben代墊|Ariel代墊|中信銀行共用"")), ""內部轉帳(忽略)"",
  AND(E14111&lt;&gt;"""", F14111&lt;&gt;"&amp;""""", NOT(REGEXMATCH(C14111, ""薪資""))), ""內部轉帳(忽略)"",
  REGEXMATCH(C14111, ""薪資""), ""薪資變動(不計入)"",
  REGEXMATCH(C14111, ""押金""), ""押金往來"",
  AND(E14111&lt;&gt;"""", F14111=""""), ""真實支出"",
  AND(E14111="""", F14111&lt;&gt;""""), ""真實收入"",
  TRUE, ""其他""
)"),"其他")</f>
        <v>其他</v>
      </c>
      <c r="K14111" s="270" t="str">
        <f t="shared" si="2"/>
        <v/>
      </c>
      <c r="L14111">
        <f t="shared" si="3"/>
        <v>0</v>
      </c>
    </row>
    <row r="14112">
      <c r="A14112" s="107"/>
      <c r="D14112" s="270"/>
      <c r="H14112" s="106" t="str">
        <f t="shared" si="1"/>
        <v/>
      </c>
      <c r="J14112" t="str">
        <f>IFERROR(__xludf.DUMMYFUNCTION("IFS(
  AND(REGEXMATCH(E14112, ""台銀籌備帳戶|玉山帳戶""), REGEXMATCH(C14112, ""薪資"")), ""分潤支出"",
  AND(REGEXMATCH(E14112, ""Ben帳戶|Elsa帳戶|Ben代墊|Ariel代墊|中信銀行共用""), REGEXMATCH(F14112, ""Ben帳戶|Elsa帳戶|Ben代墊|Ariel代墊|中信銀行共用"")), ""內部轉帳(忽略)"",
  AND(E14112&lt;&gt;"""", F14112&lt;&gt;"&amp;""""", NOT(REGEXMATCH(C14112, ""薪資""))), ""內部轉帳(忽略)"",
  REGEXMATCH(C14112, ""薪資""), ""薪資變動(不計入)"",
  REGEXMATCH(C14112, ""押金""), ""押金往來"",
  AND(E14112&lt;&gt;"""", F14112=""""), ""真實支出"",
  AND(E14112="""", F14112&lt;&gt;""""), ""真實收入"",
  TRUE, ""其他""
)"),"其他")</f>
        <v>其他</v>
      </c>
      <c r="K14112" s="270" t="str">
        <f t="shared" si="2"/>
        <v/>
      </c>
      <c r="L14112">
        <f t="shared" si="3"/>
        <v>0</v>
      </c>
    </row>
    <row r="14113">
      <c r="A14113" s="107"/>
      <c r="D14113" s="270"/>
      <c r="H14113" s="106" t="str">
        <f t="shared" si="1"/>
        <v/>
      </c>
      <c r="J14113" t="str">
        <f>IFERROR(__xludf.DUMMYFUNCTION("IFS(
  AND(REGEXMATCH(E14113, ""台銀籌備帳戶|玉山帳戶""), REGEXMATCH(C14113, ""薪資"")), ""分潤支出"",
  AND(REGEXMATCH(E14113, ""Ben帳戶|Elsa帳戶|Ben代墊|Ariel代墊|中信銀行共用""), REGEXMATCH(F14113, ""Ben帳戶|Elsa帳戶|Ben代墊|Ariel代墊|中信銀行共用"")), ""內部轉帳(忽略)"",
  AND(E14113&lt;&gt;"""", F14113&lt;&gt;"&amp;""""", NOT(REGEXMATCH(C14113, ""薪資""))), ""內部轉帳(忽略)"",
  REGEXMATCH(C14113, ""薪資""), ""薪資變動(不計入)"",
  REGEXMATCH(C14113, ""押金""), ""押金往來"",
  AND(E14113&lt;&gt;"""", F14113=""""), ""真實支出"",
  AND(E14113="""", F14113&lt;&gt;""""), ""真實收入"",
  TRUE, ""其他""
)"),"其他")</f>
        <v>其他</v>
      </c>
      <c r="K14113" s="270" t="str">
        <f t="shared" si="2"/>
        <v/>
      </c>
      <c r="L14113">
        <f t="shared" si="3"/>
        <v>0</v>
      </c>
    </row>
    <row r="14114">
      <c r="A14114" s="107"/>
      <c r="D14114" s="270"/>
      <c r="H14114" s="106" t="str">
        <f t="shared" si="1"/>
        <v/>
      </c>
      <c r="J14114" t="str">
        <f>IFERROR(__xludf.DUMMYFUNCTION("IFS(
  AND(REGEXMATCH(E14114, ""台銀籌備帳戶|玉山帳戶""), REGEXMATCH(C14114, ""薪資"")), ""分潤支出"",
  AND(REGEXMATCH(E14114, ""Ben帳戶|Elsa帳戶|Ben代墊|Ariel代墊|中信銀行共用""), REGEXMATCH(F14114, ""Ben帳戶|Elsa帳戶|Ben代墊|Ariel代墊|中信銀行共用"")), ""內部轉帳(忽略)"",
  AND(E14114&lt;&gt;"""", F14114&lt;&gt;"&amp;""""", NOT(REGEXMATCH(C14114, ""薪資""))), ""內部轉帳(忽略)"",
  REGEXMATCH(C14114, ""薪資""), ""薪資變動(不計入)"",
  REGEXMATCH(C14114, ""押金""), ""押金往來"",
  AND(E14114&lt;&gt;"""", F14114=""""), ""真實支出"",
  AND(E14114="""", F14114&lt;&gt;""""), ""真實收入"",
  TRUE, ""其他""
)"),"其他")</f>
        <v>其他</v>
      </c>
      <c r="K14114" s="270" t="str">
        <f t="shared" si="2"/>
        <v/>
      </c>
      <c r="L14114">
        <f t="shared" si="3"/>
        <v>0</v>
      </c>
    </row>
    <row r="14115">
      <c r="A14115" s="107"/>
      <c r="D14115" s="270"/>
      <c r="H14115" s="106" t="str">
        <f t="shared" si="1"/>
        <v/>
      </c>
      <c r="J14115" t="str">
        <f>IFERROR(__xludf.DUMMYFUNCTION("IFS(
  AND(REGEXMATCH(E14115, ""台銀籌備帳戶|玉山帳戶""), REGEXMATCH(C14115, ""薪資"")), ""分潤支出"",
  AND(REGEXMATCH(E14115, ""Ben帳戶|Elsa帳戶|Ben代墊|Ariel代墊|中信銀行共用""), REGEXMATCH(F14115, ""Ben帳戶|Elsa帳戶|Ben代墊|Ariel代墊|中信銀行共用"")), ""內部轉帳(忽略)"",
  AND(E14115&lt;&gt;"""", F14115&lt;&gt;"&amp;""""", NOT(REGEXMATCH(C14115, ""薪資""))), ""內部轉帳(忽略)"",
  REGEXMATCH(C14115, ""薪資""), ""薪資變動(不計入)"",
  REGEXMATCH(C14115, ""押金""), ""押金往來"",
  AND(E14115&lt;&gt;"""", F14115=""""), ""真實支出"",
  AND(E14115="""", F14115&lt;&gt;""""), ""真實收入"",
  TRUE, ""其他""
)"),"其他")</f>
        <v>其他</v>
      </c>
      <c r="K14115" s="270" t="str">
        <f t="shared" si="2"/>
        <v/>
      </c>
      <c r="L14115">
        <f t="shared" si="3"/>
        <v>0</v>
      </c>
    </row>
    <row r="14116">
      <c r="A14116" s="107"/>
      <c r="D14116" s="270"/>
      <c r="H14116" s="106" t="str">
        <f t="shared" si="1"/>
        <v/>
      </c>
      <c r="J14116" t="str">
        <f>IFERROR(__xludf.DUMMYFUNCTION("IFS(
  AND(REGEXMATCH(E14116, ""台銀籌備帳戶|玉山帳戶""), REGEXMATCH(C14116, ""薪資"")), ""分潤支出"",
  AND(REGEXMATCH(E14116, ""Ben帳戶|Elsa帳戶|Ben代墊|Ariel代墊|中信銀行共用""), REGEXMATCH(F14116, ""Ben帳戶|Elsa帳戶|Ben代墊|Ariel代墊|中信銀行共用"")), ""內部轉帳(忽略)"",
  AND(E14116&lt;&gt;"""", F14116&lt;&gt;"&amp;""""", NOT(REGEXMATCH(C14116, ""薪資""))), ""內部轉帳(忽略)"",
  REGEXMATCH(C14116, ""薪資""), ""薪資變動(不計入)"",
  REGEXMATCH(C14116, ""押金""), ""押金往來"",
  AND(E14116&lt;&gt;"""", F14116=""""), ""真實支出"",
  AND(E14116="""", F14116&lt;&gt;""""), ""真實收入"",
  TRUE, ""其他""
)"),"其他")</f>
        <v>其他</v>
      </c>
      <c r="K14116" s="270" t="str">
        <f t="shared" si="2"/>
        <v/>
      </c>
      <c r="L14116">
        <f t="shared" si="3"/>
        <v>0</v>
      </c>
    </row>
    <row r="14117">
      <c r="A14117" s="107"/>
      <c r="D14117" s="270"/>
      <c r="H14117" s="106" t="str">
        <f t="shared" si="1"/>
        <v/>
      </c>
      <c r="J14117" t="str">
        <f>IFERROR(__xludf.DUMMYFUNCTION("IFS(
  AND(REGEXMATCH(E14117, ""台銀籌備帳戶|玉山帳戶""), REGEXMATCH(C14117, ""薪資"")), ""分潤支出"",
  AND(REGEXMATCH(E14117, ""Ben帳戶|Elsa帳戶|Ben代墊|Ariel代墊|中信銀行共用""), REGEXMATCH(F14117, ""Ben帳戶|Elsa帳戶|Ben代墊|Ariel代墊|中信銀行共用"")), ""內部轉帳(忽略)"",
  AND(E14117&lt;&gt;"""", F14117&lt;&gt;"&amp;""""", NOT(REGEXMATCH(C14117, ""薪資""))), ""內部轉帳(忽略)"",
  REGEXMATCH(C14117, ""薪資""), ""薪資變動(不計入)"",
  REGEXMATCH(C14117, ""押金""), ""押金往來"",
  AND(E14117&lt;&gt;"""", F14117=""""), ""真實支出"",
  AND(E14117="""", F14117&lt;&gt;""""), ""真實收入"",
  TRUE, ""其他""
)"),"其他")</f>
        <v>其他</v>
      </c>
      <c r="K14117" s="270" t="str">
        <f t="shared" si="2"/>
        <v/>
      </c>
      <c r="L14117">
        <f t="shared" si="3"/>
        <v>0</v>
      </c>
    </row>
    <row r="14118">
      <c r="A14118" s="107"/>
      <c r="D14118" s="270"/>
      <c r="H14118" s="106" t="str">
        <f t="shared" si="1"/>
        <v/>
      </c>
      <c r="J14118" t="str">
        <f>IFERROR(__xludf.DUMMYFUNCTION("IFS(
  AND(REGEXMATCH(E14118, ""台銀籌備帳戶|玉山帳戶""), REGEXMATCH(C14118, ""薪資"")), ""分潤支出"",
  AND(REGEXMATCH(E14118, ""Ben帳戶|Elsa帳戶|Ben代墊|Ariel代墊|中信銀行共用""), REGEXMATCH(F14118, ""Ben帳戶|Elsa帳戶|Ben代墊|Ariel代墊|中信銀行共用"")), ""內部轉帳(忽略)"",
  AND(E14118&lt;&gt;"""", F14118&lt;&gt;"&amp;""""", NOT(REGEXMATCH(C14118, ""薪資""))), ""內部轉帳(忽略)"",
  REGEXMATCH(C14118, ""薪資""), ""薪資變動(不計入)"",
  REGEXMATCH(C14118, ""押金""), ""押金往來"",
  AND(E14118&lt;&gt;"""", F14118=""""), ""真實支出"",
  AND(E14118="""", F14118&lt;&gt;""""), ""真實收入"",
  TRUE, ""其他""
)"),"其他")</f>
        <v>其他</v>
      </c>
      <c r="K14118" s="270" t="str">
        <f t="shared" si="2"/>
        <v/>
      </c>
      <c r="L14118">
        <f t="shared" si="3"/>
        <v>0</v>
      </c>
    </row>
    <row r="14119">
      <c r="A14119" s="107"/>
      <c r="D14119" s="270"/>
      <c r="H14119" s="106" t="str">
        <f t="shared" si="1"/>
        <v/>
      </c>
      <c r="J14119" t="str">
        <f>IFERROR(__xludf.DUMMYFUNCTION("IFS(
  AND(REGEXMATCH(E14119, ""台銀籌備帳戶|玉山帳戶""), REGEXMATCH(C14119, ""薪資"")), ""分潤支出"",
  AND(REGEXMATCH(E14119, ""Ben帳戶|Elsa帳戶|Ben代墊|Ariel代墊|中信銀行共用""), REGEXMATCH(F14119, ""Ben帳戶|Elsa帳戶|Ben代墊|Ariel代墊|中信銀行共用"")), ""內部轉帳(忽略)"",
  AND(E14119&lt;&gt;"""", F14119&lt;&gt;"&amp;""""", NOT(REGEXMATCH(C14119, ""薪資""))), ""內部轉帳(忽略)"",
  REGEXMATCH(C14119, ""薪資""), ""薪資變動(不計入)"",
  REGEXMATCH(C14119, ""押金""), ""押金往來"",
  AND(E14119&lt;&gt;"""", F14119=""""), ""真實支出"",
  AND(E14119="""", F14119&lt;&gt;""""), ""真實收入"",
  TRUE, ""其他""
)"),"其他")</f>
        <v>其他</v>
      </c>
      <c r="K14119" s="270" t="str">
        <f t="shared" si="2"/>
        <v/>
      </c>
      <c r="L14119">
        <f t="shared" si="3"/>
        <v>0</v>
      </c>
    </row>
    <row r="14120">
      <c r="A14120" s="107"/>
      <c r="D14120" s="270"/>
      <c r="H14120" s="106" t="str">
        <f t="shared" si="1"/>
        <v/>
      </c>
      <c r="J14120" t="str">
        <f>IFERROR(__xludf.DUMMYFUNCTION("IFS(
  AND(REGEXMATCH(E14120, ""台銀籌備帳戶|玉山帳戶""), REGEXMATCH(C14120, ""薪資"")), ""分潤支出"",
  AND(REGEXMATCH(E14120, ""Ben帳戶|Elsa帳戶|Ben代墊|Ariel代墊|中信銀行共用""), REGEXMATCH(F14120, ""Ben帳戶|Elsa帳戶|Ben代墊|Ariel代墊|中信銀行共用"")), ""內部轉帳(忽略)"",
  AND(E14120&lt;&gt;"""", F14120&lt;&gt;"&amp;""""", NOT(REGEXMATCH(C14120, ""薪資""))), ""內部轉帳(忽略)"",
  REGEXMATCH(C14120, ""薪資""), ""薪資變動(不計入)"",
  REGEXMATCH(C14120, ""押金""), ""押金往來"",
  AND(E14120&lt;&gt;"""", F14120=""""), ""真實支出"",
  AND(E14120="""", F14120&lt;&gt;""""), ""真實收入"",
  TRUE, ""其他""
)"),"其他")</f>
        <v>其他</v>
      </c>
      <c r="K14120" s="270" t="str">
        <f t="shared" si="2"/>
        <v/>
      </c>
      <c r="L14120">
        <f t="shared" si="3"/>
        <v>0</v>
      </c>
    </row>
    <row r="14121">
      <c r="A14121" s="107"/>
      <c r="D14121" s="270"/>
      <c r="H14121" s="106" t="str">
        <f t="shared" si="1"/>
        <v/>
      </c>
      <c r="J14121" t="str">
        <f>IFERROR(__xludf.DUMMYFUNCTION("IFS(
  AND(REGEXMATCH(E14121, ""台銀籌備帳戶|玉山帳戶""), REGEXMATCH(C14121, ""薪資"")), ""分潤支出"",
  AND(REGEXMATCH(E14121, ""Ben帳戶|Elsa帳戶|Ben代墊|Ariel代墊|中信銀行共用""), REGEXMATCH(F14121, ""Ben帳戶|Elsa帳戶|Ben代墊|Ariel代墊|中信銀行共用"")), ""內部轉帳(忽略)"",
  AND(E14121&lt;&gt;"""", F14121&lt;&gt;"&amp;""""", NOT(REGEXMATCH(C14121, ""薪資""))), ""內部轉帳(忽略)"",
  REGEXMATCH(C14121, ""薪資""), ""薪資變動(不計入)"",
  REGEXMATCH(C14121, ""押金""), ""押金往來"",
  AND(E14121&lt;&gt;"""", F14121=""""), ""真實支出"",
  AND(E14121="""", F14121&lt;&gt;""""), ""真實收入"",
  TRUE, ""其他""
)"),"其他")</f>
        <v>其他</v>
      </c>
      <c r="K14121" s="270" t="str">
        <f t="shared" si="2"/>
        <v/>
      </c>
      <c r="L14121">
        <f t="shared" si="3"/>
        <v>0</v>
      </c>
    </row>
    <row r="14122">
      <c r="A14122" s="107"/>
      <c r="D14122" s="270"/>
      <c r="H14122" s="106" t="str">
        <f t="shared" si="1"/>
        <v/>
      </c>
      <c r="J14122" t="str">
        <f>IFERROR(__xludf.DUMMYFUNCTION("IFS(
  AND(REGEXMATCH(E14122, ""台銀籌備帳戶|玉山帳戶""), REGEXMATCH(C14122, ""薪資"")), ""分潤支出"",
  AND(REGEXMATCH(E14122, ""Ben帳戶|Elsa帳戶|Ben代墊|Ariel代墊|中信銀行共用""), REGEXMATCH(F14122, ""Ben帳戶|Elsa帳戶|Ben代墊|Ariel代墊|中信銀行共用"")), ""內部轉帳(忽略)"",
  AND(E14122&lt;&gt;"""", F14122&lt;&gt;"&amp;""""", NOT(REGEXMATCH(C14122, ""薪資""))), ""內部轉帳(忽略)"",
  REGEXMATCH(C14122, ""薪資""), ""薪資變動(不計入)"",
  REGEXMATCH(C14122, ""押金""), ""押金往來"",
  AND(E14122&lt;&gt;"""", F14122=""""), ""真實支出"",
  AND(E14122="""", F14122&lt;&gt;""""), ""真實收入"",
  TRUE, ""其他""
)"),"其他")</f>
        <v>其他</v>
      </c>
      <c r="K14122" s="270" t="str">
        <f t="shared" si="2"/>
        <v/>
      </c>
      <c r="L14122">
        <f t="shared" si="3"/>
        <v>0</v>
      </c>
    </row>
    <row r="14123">
      <c r="A14123" s="107"/>
      <c r="D14123" s="270"/>
      <c r="H14123" s="106" t="str">
        <f t="shared" si="1"/>
        <v/>
      </c>
      <c r="J14123" t="str">
        <f>IFERROR(__xludf.DUMMYFUNCTION("IFS(
  AND(REGEXMATCH(E14123, ""台銀籌備帳戶|玉山帳戶""), REGEXMATCH(C14123, ""薪資"")), ""分潤支出"",
  AND(REGEXMATCH(E14123, ""Ben帳戶|Elsa帳戶|Ben代墊|Ariel代墊|中信銀行共用""), REGEXMATCH(F14123, ""Ben帳戶|Elsa帳戶|Ben代墊|Ariel代墊|中信銀行共用"")), ""內部轉帳(忽略)"",
  AND(E14123&lt;&gt;"""", F14123&lt;&gt;"&amp;""""", NOT(REGEXMATCH(C14123, ""薪資""))), ""內部轉帳(忽略)"",
  REGEXMATCH(C14123, ""薪資""), ""薪資變動(不計入)"",
  REGEXMATCH(C14123, ""押金""), ""押金往來"",
  AND(E14123&lt;&gt;"""", F14123=""""), ""真實支出"",
  AND(E14123="""", F14123&lt;&gt;""""), ""真實收入"",
  TRUE, ""其他""
)"),"其他")</f>
        <v>其他</v>
      </c>
      <c r="K14123" s="270" t="str">
        <f t="shared" si="2"/>
        <v/>
      </c>
      <c r="L14123">
        <f t="shared" si="3"/>
        <v>0</v>
      </c>
    </row>
    <row r="14124">
      <c r="A14124" s="107"/>
      <c r="D14124" s="270"/>
      <c r="H14124" s="106" t="str">
        <f t="shared" si="1"/>
        <v/>
      </c>
      <c r="J14124" t="str">
        <f>IFERROR(__xludf.DUMMYFUNCTION("IFS(
  AND(REGEXMATCH(E14124, ""台銀籌備帳戶|玉山帳戶""), REGEXMATCH(C14124, ""薪資"")), ""分潤支出"",
  AND(REGEXMATCH(E14124, ""Ben帳戶|Elsa帳戶|Ben代墊|Ariel代墊|中信銀行共用""), REGEXMATCH(F14124, ""Ben帳戶|Elsa帳戶|Ben代墊|Ariel代墊|中信銀行共用"")), ""內部轉帳(忽略)"",
  AND(E14124&lt;&gt;"""", F14124&lt;&gt;"&amp;""""", NOT(REGEXMATCH(C14124, ""薪資""))), ""內部轉帳(忽略)"",
  REGEXMATCH(C14124, ""薪資""), ""薪資變動(不計入)"",
  REGEXMATCH(C14124, ""押金""), ""押金往來"",
  AND(E14124&lt;&gt;"""", F14124=""""), ""真實支出"",
  AND(E14124="""", F14124&lt;&gt;""""), ""真實收入"",
  TRUE, ""其他""
)"),"其他")</f>
        <v>其他</v>
      </c>
      <c r="K14124" s="270" t="str">
        <f t="shared" si="2"/>
        <v/>
      </c>
      <c r="L14124">
        <f t="shared" si="3"/>
        <v>0</v>
      </c>
    </row>
    <row r="14125">
      <c r="A14125" s="107"/>
      <c r="D14125" s="270"/>
      <c r="H14125" s="106" t="str">
        <f t="shared" si="1"/>
        <v/>
      </c>
      <c r="J14125" t="str">
        <f>IFERROR(__xludf.DUMMYFUNCTION("IFS(
  AND(REGEXMATCH(E14125, ""台銀籌備帳戶|玉山帳戶""), REGEXMATCH(C14125, ""薪資"")), ""分潤支出"",
  AND(REGEXMATCH(E14125, ""Ben帳戶|Elsa帳戶|Ben代墊|Ariel代墊|中信銀行共用""), REGEXMATCH(F14125, ""Ben帳戶|Elsa帳戶|Ben代墊|Ariel代墊|中信銀行共用"")), ""內部轉帳(忽略)"",
  AND(E14125&lt;&gt;"""", F14125&lt;&gt;"&amp;""""", NOT(REGEXMATCH(C14125, ""薪資""))), ""內部轉帳(忽略)"",
  REGEXMATCH(C14125, ""薪資""), ""薪資變動(不計入)"",
  REGEXMATCH(C14125, ""押金""), ""押金往來"",
  AND(E14125&lt;&gt;"""", F14125=""""), ""真實支出"",
  AND(E14125="""", F14125&lt;&gt;""""), ""真實收入"",
  TRUE, ""其他""
)"),"其他")</f>
        <v>其他</v>
      </c>
      <c r="K14125" s="270" t="str">
        <f t="shared" si="2"/>
        <v/>
      </c>
      <c r="L14125">
        <f t="shared" si="3"/>
        <v>0</v>
      </c>
    </row>
    <row r="14126">
      <c r="A14126" s="107"/>
      <c r="D14126" s="270"/>
      <c r="H14126" s="106" t="str">
        <f t="shared" si="1"/>
        <v/>
      </c>
      <c r="J14126" t="str">
        <f>IFERROR(__xludf.DUMMYFUNCTION("IFS(
  AND(REGEXMATCH(E14126, ""台銀籌備帳戶|玉山帳戶""), REGEXMATCH(C14126, ""薪資"")), ""分潤支出"",
  AND(REGEXMATCH(E14126, ""Ben帳戶|Elsa帳戶|Ben代墊|Ariel代墊|中信銀行共用""), REGEXMATCH(F14126, ""Ben帳戶|Elsa帳戶|Ben代墊|Ariel代墊|中信銀行共用"")), ""內部轉帳(忽略)"",
  AND(E14126&lt;&gt;"""", F14126&lt;&gt;"&amp;""""", NOT(REGEXMATCH(C14126, ""薪資""))), ""內部轉帳(忽略)"",
  REGEXMATCH(C14126, ""薪資""), ""薪資變動(不計入)"",
  REGEXMATCH(C14126, ""押金""), ""押金往來"",
  AND(E14126&lt;&gt;"""", F14126=""""), ""真實支出"",
  AND(E14126="""", F14126&lt;&gt;""""), ""真實收入"",
  TRUE, ""其他""
)"),"其他")</f>
        <v>其他</v>
      </c>
      <c r="K14126" s="270" t="str">
        <f t="shared" si="2"/>
        <v/>
      </c>
      <c r="L14126">
        <f t="shared" si="3"/>
        <v>0</v>
      </c>
    </row>
    <row r="14127">
      <c r="A14127" s="107"/>
      <c r="D14127" s="270"/>
      <c r="H14127" s="106" t="str">
        <f t="shared" si="1"/>
        <v/>
      </c>
      <c r="J14127" t="str">
        <f>IFERROR(__xludf.DUMMYFUNCTION("IFS(
  AND(REGEXMATCH(E14127, ""台銀籌備帳戶|玉山帳戶""), REGEXMATCH(C14127, ""薪資"")), ""分潤支出"",
  AND(REGEXMATCH(E14127, ""Ben帳戶|Elsa帳戶|Ben代墊|Ariel代墊|中信銀行共用""), REGEXMATCH(F14127, ""Ben帳戶|Elsa帳戶|Ben代墊|Ariel代墊|中信銀行共用"")), ""內部轉帳(忽略)"",
  AND(E14127&lt;&gt;"""", F14127&lt;&gt;"&amp;""""", NOT(REGEXMATCH(C14127, ""薪資""))), ""內部轉帳(忽略)"",
  REGEXMATCH(C14127, ""薪資""), ""薪資變動(不計入)"",
  REGEXMATCH(C14127, ""押金""), ""押金往來"",
  AND(E14127&lt;&gt;"""", F14127=""""), ""真實支出"",
  AND(E14127="""", F14127&lt;&gt;""""), ""真實收入"",
  TRUE, ""其他""
)"),"其他")</f>
        <v>其他</v>
      </c>
      <c r="K14127" s="270" t="str">
        <f t="shared" si="2"/>
        <v/>
      </c>
      <c r="L14127">
        <f t="shared" si="3"/>
        <v>0</v>
      </c>
    </row>
    <row r="14128">
      <c r="A14128" s="107"/>
      <c r="D14128" s="270"/>
      <c r="H14128" s="106" t="str">
        <f t="shared" si="1"/>
        <v/>
      </c>
      <c r="J14128" t="str">
        <f>IFERROR(__xludf.DUMMYFUNCTION("IFS(
  AND(REGEXMATCH(E14128, ""台銀籌備帳戶|玉山帳戶""), REGEXMATCH(C14128, ""薪資"")), ""分潤支出"",
  AND(REGEXMATCH(E14128, ""Ben帳戶|Elsa帳戶|Ben代墊|Ariel代墊|中信銀行共用""), REGEXMATCH(F14128, ""Ben帳戶|Elsa帳戶|Ben代墊|Ariel代墊|中信銀行共用"")), ""內部轉帳(忽略)"",
  AND(E14128&lt;&gt;"""", F14128&lt;&gt;"&amp;""""", NOT(REGEXMATCH(C14128, ""薪資""))), ""內部轉帳(忽略)"",
  REGEXMATCH(C14128, ""薪資""), ""薪資變動(不計入)"",
  REGEXMATCH(C14128, ""押金""), ""押金往來"",
  AND(E14128&lt;&gt;"""", F14128=""""), ""真實支出"",
  AND(E14128="""", F14128&lt;&gt;""""), ""真實收入"",
  TRUE, ""其他""
)"),"其他")</f>
        <v>其他</v>
      </c>
      <c r="K14128" s="270" t="str">
        <f t="shared" si="2"/>
        <v/>
      </c>
      <c r="L14128">
        <f t="shared" si="3"/>
        <v>0</v>
      </c>
    </row>
    <row r="14129">
      <c r="A14129" s="107"/>
      <c r="D14129" s="270"/>
      <c r="H14129" s="106" t="str">
        <f t="shared" si="1"/>
        <v/>
      </c>
      <c r="J14129" t="str">
        <f>IFERROR(__xludf.DUMMYFUNCTION("IFS(
  AND(REGEXMATCH(E14129, ""台銀籌備帳戶|玉山帳戶""), REGEXMATCH(C14129, ""薪資"")), ""分潤支出"",
  AND(REGEXMATCH(E14129, ""Ben帳戶|Elsa帳戶|Ben代墊|Ariel代墊|中信銀行共用""), REGEXMATCH(F14129, ""Ben帳戶|Elsa帳戶|Ben代墊|Ariel代墊|中信銀行共用"")), ""內部轉帳(忽略)"",
  AND(E14129&lt;&gt;"""", F14129&lt;&gt;"&amp;""""", NOT(REGEXMATCH(C14129, ""薪資""))), ""內部轉帳(忽略)"",
  REGEXMATCH(C14129, ""薪資""), ""薪資變動(不計入)"",
  REGEXMATCH(C14129, ""押金""), ""押金往來"",
  AND(E14129&lt;&gt;"""", F14129=""""), ""真實支出"",
  AND(E14129="""", F14129&lt;&gt;""""), ""真實收入"",
  TRUE, ""其他""
)"),"其他")</f>
        <v>其他</v>
      </c>
      <c r="K14129" s="270" t="str">
        <f t="shared" si="2"/>
        <v/>
      </c>
      <c r="L14129">
        <f t="shared" si="3"/>
        <v>0</v>
      </c>
    </row>
    <row r="14130">
      <c r="A14130" s="107"/>
      <c r="D14130" s="270"/>
      <c r="H14130" s="106" t="str">
        <f t="shared" si="1"/>
        <v/>
      </c>
      <c r="J14130" t="str">
        <f>IFERROR(__xludf.DUMMYFUNCTION("IFS(
  AND(REGEXMATCH(E14130, ""台銀籌備帳戶|玉山帳戶""), REGEXMATCH(C14130, ""薪資"")), ""分潤支出"",
  AND(REGEXMATCH(E14130, ""Ben帳戶|Elsa帳戶|Ben代墊|Ariel代墊|中信銀行共用""), REGEXMATCH(F14130, ""Ben帳戶|Elsa帳戶|Ben代墊|Ariel代墊|中信銀行共用"")), ""內部轉帳(忽略)"",
  AND(E14130&lt;&gt;"""", F14130&lt;&gt;"&amp;""""", NOT(REGEXMATCH(C14130, ""薪資""))), ""內部轉帳(忽略)"",
  REGEXMATCH(C14130, ""薪資""), ""薪資變動(不計入)"",
  REGEXMATCH(C14130, ""押金""), ""押金往來"",
  AND(E14130&lt;&gt;"""", F14130=""""), ""真實支出"",
  AND(E14130="""", F14130&lt;&gt;""""), ""真實收入"",
  TRUE, ""其他""
)"),"其他")</f>
        <v>其他</v>
      </c>
      <c r="K14130" s="270" t="str">
        <f t="shared" si="2"/>
        <v/>
      </c>
      <c r="L14130">
        <f t="shared" si="3"/>
        <v>0</v>
      </c>
    </row>
    <row r="14131">
      <c r="A14131" s="107"/>
      <c r="D14131" s="270"/>
      <c r="H14131" s="106" t="str">
        <f t="shared" si="1"/>
        <v/>
      </c>
      <c r="J14131" t="str">
        <f>IFERROR(__xludf.DUMMYFUNCTION("IFS(
  AND(REGEXMATCH(E14131, ""台銀籌備帳戶|玉山帳戶""), REGEXMATCH(C14131, ""薪資"")), ""分潤支出"",
  AND(REGEXMATCH(E14131, ""Ben帳戶|Elsa帳戶|Ben代墊|Ariel代墊|中信銀行共用""), REGEXMATCH(F14131, ""Ben帳戶|Elsa帳戶|Ben代墊|Ariel代墊|中信銀行共用"")), ""內部轉帳(忽略)"",
  AND(E14131&lt;&gt;"""", F14131&lt;&gt;"&amp;""""", NOT(REGEXMATCH(C14131, ""薪資""))), ""內部轉帳(忽略)"",
  REGEXMATCH(C14131, ""薪資""), ""薪資變動(不計入)"",
  REGEXMATCH(C14131, ""押金""), ""押金往來"",
  AND(E14131&lt;&gt;"""", F14131=""""), ""真實支出"",
  AND(E14131="""", F14131&lt;&gt;""""), ""真實收入"",
  TRUE, ""其他""
)"),"其他")</f>
        <v>其他</v>
      </c>
      <c r="K14131" s="270" t="str">
        <f t="shared" si="2"/>
        <v/>
      </c>
      <c r="L14131">
        <f t="shared" si="3"/>
        <v>0</v>
      </c>
    </row>
    <row r="14132">
      <c r="A14132" s="107"/>
      <c r="D14132" s="270"/>
      <c r="H14132" s="106" t="str">
        <f t="shared" si="1"/>
        <v/>
      </c>
      <c r="J14132" t="str">
        <f>IFERROR(__xludf.DUMMYFUNCTION("IFS(
  AND(REGEXMATCH(E14132, ""台銀籌備帳戶|玉山帳戶""), REGEXMATCH(C14132, ""薪資"")), ""分潤支出"",
  AND(REGEXMATCH(E14132, ""Ben帳戶|Elsa帳戶|Ben代墊|Ariel代墊|中信銀行共用""), REGEXMATCH(F14132, ""Ben帳戶|Elsa帳戶|Ben代墊|Ariel代墊|中信銀行共用"")), ""內部轉帳(忽略)"",
  AND(E14132&lt;&gt;"""", F14132&lt;&gt;"&amp;""""", NOT(REGEXMATCH(C14132, ""薪資""))), ""內部轉帳(忽略)"",
  REGEXMATCH(C14132, ""薪資""), ""薪資變動(不計入)"",
  REGEXMATCH(C14132, ""押金""), ""押金往來"",
  AND(E14132&lt;&gt;"""", F14132=""""), ""真實支出"",
  AND(E14132="""", F14132&lt;&gt;""""), ""真實收入"",
  TRUE, ""其他""
)"),"其他")</f>
        <v>其他</v>
      </c>
      <c r="K14132" s="270" t="str">
        <f t="shared" si="2"/>
        <v/>
      </c>
      <c r="L14132">
        <f t="shared" si="3"/>
        <v>0</v>
      </c>
    </row>
    <row r="14133">
      <c r="A14133" s="107"/>
      <c r="D14133" s="270"/>
      <c r="H14133" s="106" t="str">
        <f t="shared" si="1"/>
        <v/>
      </c>
      <c r="J14133" t="str">
        <f>IFERROR(__xludf.DUMMYFUNCTION("IFS(
  AND(REGEXMATCH(E14133, ""台銀籌備帳戶|玉山帳戶""), REGEXMATCH(C14133, ""薪資"")), ""分潤支出"",
  AND(REGEXMATCH(E14133, ""Ben帳戶|Elsa帳戶|Ben代墊|Ariel代墊|中信銀行共用""), REGEXMATCH(F14133, ""Ben帳戶|Elsa帳戶|Ben代墊|Ariel代墊|中信銀行共用"")), ""內部轉帳(忽略)"",
  AND(E14133&lt;&gt;"""", F14133&lt;&gt;"&amp;""""", NOT(REGEXMATCH(C14133, ""薪資""))), ""內部轉帳(忽略)"",
  REGEXMATCH(C14133, ""薪資""), ""薪資變動(不計入)"",
  REGEXMATCH(C14133, ""押金""), ""押金往來"",
  AND(E14133&lt;&gt;"""", F14133=""""), ""真實支出"",
  AND(E14133="""", F14133&lt;&gt;""""), ""真實收入"",
  TRUE, ""其他""
)"),"其他")</f>
        <v>其他</v>
      </c>
      <c r="K14133" s="270" t="str">
        <f t="shared" si="2"/>
        <v/>
      </c>
      <c r="L14133">
        <f t="shared" si="3"/>
        <v>0</v>
      </c>
    </row>
    <row r="14134">
      <c r="A14134" s="107"/>
      <c r="D14134" s="270"/>
      <c r="H14134" s="106" t="str">
        <f t="shared" si="1"/>
        <v/>
      </c>
      <c r="J14134" t="str">
        <f>IFERROR(__xludf.DUMMYFUNCTION("IFS(
  AND(REGEXMATCH(E14134, ""台銀籌備帳戶|玉山帳戶""), REGEXMATCH(C14134, ""薪資"")), ""分潤支出"",
  AND(REGEXMATCH(E14134, ""Ben帳戶|Elsa帳戶|Ben代墊|Ariel代墊|中信銀行共用""), REGEXMATCH(F14134, ""Ben帳戶|Elsa帳戶|Ben代墊|Ariel代墊|中信銀行共用"")), ""內部轉帳(忽略)"",
  AND(E14134&lt;&gt;"""", F14134&lt;&gt;"&amp;""""", NOT(REGEXMATCH(C14134, ""薪資""))), ""內部轉帳(忽略)"",
  REGEXMATCH(C14134, ""薪資""), ""薪資變動(不計入)"",
  REGEXMATCH(C14134, ""押金""), ""押金往來"",
  AND(E14134&lt;&gt;"""", F14134=""""), ""真實支出"",
  AND(E14134="""", F14134&lt;&gt;""""), ""真實收入"",
  TRUE, ""其他""
)"),"其他")</f>
        <v>其他</v>
      </c>
      <c r="K14134" s="270" t="str">
        <f t="shared" si="2"/>
        <v/>
      </c>
      <c r="L14134">
        <f t="shared" si="3"/>
        <v>0</v>
      </c>
    </row>
    <row r="14135">
      <c r="A14135" s="107"/>
      <c r="D14135" s="270"/>
      <c r="H14135" s="106" t="str">
        <f t="shared" si="1"/>
        <v/>
      </c>
      <c r="J14135" t="str">
        <f>IFERROR(__xludf.DUMMYFUNCTION("IFS(
  AND(REGEXMATCH(E14135, ""台銀籌備帳戶|玉山帳戶""), REGEXMATCH(C14135, ""薪資"")), ""分潤支出"",
  AND(REGEXMATCH(E14135, ""Ben帳戶|Elsa帳戶|Ben代墊|Ariel代墊|中信銀行共用""), REGEXMATCH(F14135, ""Ben帳戶|Elsa帳戶|Ben代墊|Ariel代墊|中信銀行共用"")), ""內部轉帳(忽略)"",
  AND(E14135&lt;&gt;"""", F14135&lt;&gt;"&amp;""""", NOT(REGEXMATCH(C14135, ""薪資""))), ""內部轉帳(忽略)"",
  REGEXMATCH(C14135, ""薪資""), ""薪資變動(不計入)"",
  REGEXMATCH(C14135, ""押金""), ""押金往來"",
  AND(E14135&lt;&gt;"""", F14135=""""), ""真實支出"",
  AND(E14135="""", F14135&lt;&gt;""""), ""真實收入"",
  TRUE, ""其他""
)"),"其他")</f>
        <v>其他</v>
      </c>
      <c r="K14135" s="270" t="str">
        <f t="shared" si="2"/>
        <v/>
      </c>
      <c r="L14135">
        <f t="shared" si="3"/>
        <v>0</v>
      </c>
    </row>
    <row r="14136">
      <c r="A14136" s="107"/>
      <c r="D14136" s="270"/>
      <c r="H14136" s="106" t="str">
        <f t="shared" si="1"/>
        <v/>
      </c>
      <c r="J14136" t="str">
        <f>IFERROR(__xludf.DUMMYFUNCTION("IFS(
  AND(REGEXMATCH(E14136, ""台銀籌備帳戶|玉山帳戶""), REGEXMATCH(C14136, ""薪資"")), ""分潤支出"",
  AND(REGEXMATCH(E14136, ""Ben帳戶|Elsa帳戶|Ben代墊|Ariel代墊|中信銀行共用""), REGEXMATCH(F14136, ""Ben帳戶|Elsa帳戶|Ben代墊|Ariel代墊|中信銀行共用"")), ""內部轉帳(忽略)"",
  AND(E14136&lt;&gt;"""", F14136&lt;&gt;"&amp;""""", NOT(REGEXMATCH(C14136, ""薪資""))), ""內部轉帳(忽略)"",
  REGEXMATCH(C14136, ""薪資""), ""薪資變動(不計入)"",
  REGEXMATCH(C14136, ""押金""), ""押金往來"",
  AND(E14136&lt;&gt;"""", F14136=""""), ""真實支出"",
  AND(E14136="""", F14136&lt;&gt;""""), ""真實收入"",
  TRUE, ""其他""
)"),"其他")</f>
        <v>其他</v>
      </c>
      <c r="K14136" s="270" t="str">
        <f t="shared" si="2"/>
        <v/>
      </c>
      <c r="L14136">
        <f t="shared" si="3"/>
        <v>0</v>
      </c>
    </row>
    <row r="14137">
      <c r="A14137" s="107"/>
      <c r="D14137" s="270"/>
      <c r="H14137" s="106" t="str">
        <f t="shared" si="1"/>
        <v/>
      </c>
      <c r="J14137" t="str">
        <f>IFERROR(__xludf.DUMMYFUNCTION("IFS(
  AND(REGEXMATCH(E14137, ""台銀籌備帳戶|玉山帳戶""), REGEXMATCH(C14137, ""薪資"")), ""分潤支出"",
  AND(REGEXMATCH(E14137, ""Ben帳戶|Elsa帳戶|Ben代墊|Ariel代墊|中信銀行共用""), REGEXMATCH(F14137, ""Ben帳戶|Elsa帳戶|Ben代墊|Ariel代墊|中信銀行共用"")), ""內部轉帳(忽略)"",
  AND(E14137&lt;&gt;"""", F14137&lt;&gt;"&amp;""""", NOT(REGEXMATCH(C14137, ""薪資""))), ""內部轉帳(忽略)"",
  REGEXMATCH(C14137, ""薪資""), ""薪資變動(不計入)"",
  REGEXMATCH(C14137, ""押金""), ""押金往來"",
  AND(E14137&lt;&gt;"""", F14137=""""), ""真實支出"",
  AND(E14137="""", F14137&lt;&gt;""""), ""真實收入"",
  TRUE, ""其他""
)"),"其他")</f>
        <v>其他</v>
      </c>
      <c r="K14137" s="270" t="str">
        <f t="shared" si="2"/>
        <v/>
      </c>
      <c r="L14137">
        <f t="shared" si="3"/>
        <v>0</v>
      </c>
    </row>
    <row r="14138">
      <c r="A14138" s="107"/>
      <c r="D14138" s="270"/>
      <c r="H14138" s="106" t="str">
        <f t="shared" si="1"/>
        <v/>
      </c>
      <c r="J14138" t="str">
        <f>IFERROR(__xludf.DUMMYFUNCTION("IFS(
  AND(REGEXMATCH(E14138, ""台銀籌備帳戶|玉山帳戶""), REGEXMATCH(C14138, ""薪資"")), ""分潤支出"",
  AND(REGEXMATCH(E14138, ""Ben帳戶|Elsa帳戶|Ben代墊|Ariel代墊|中信銀行共用""), REGEXMATCH(F14138, ""Ben帳戶|Elsa帳戶|Ben代墊|Ariel代墊|中信銀行共用"")), ""內部轉帳(忽略)"",
  AND(E14138&lt;&gt;"""", F14138&lt;&gt;"&amp;""""", NOT(REGEXMATCH(C14138, ""薪資""))), ""內部轉帳(忽略)"",
  REGEXMATCH(C14138, ""薪資""), ""薪資變動(不計入)"",
  REGEXMATCH(C14138, ""押金""), ""押金往來"",
  AND(E14138&lt;&gt;"""", F14138=""""), ""真實支出"",
  AND(E14138="""", F14138&lt;&gt;""""), ""真實收入"",
  TRUE, ""其他""
)"),"其他")</f>
        <v>其他</v>
      </c>
      <c r="K14138" s="270" t="str">
        <f t="shared" si="2"/>
        <v/>
      </c>
      <c r="L14138">
        <f t="shared" si="3"/>
        <v>0</v>
      </c>
    </row>
    <row r="14139">
      <c r="A14139" s="107"/>
      <c r="D14139" s="270"/>
      <c r="H14139" s="106" t="str">
        <f t="shared" si="1"/>
        <v/>
      </c>
      <c r="J14139" t="str">
        <f>IFERROR(__xludf.DUMMYFUNCTION("IFS(
  AND(REGEXMATCH(E14139, ""台銀籌備帳戶|玉山帳戶""), REGEXMATCH(C14139, ""薪資"")), ""分潤支出"",
  AND(REGEXMATCH(E14139, ""Ben帳戶|Elsa帳戶|Ben代墊|Ariel代墊|中信銀行共用""), REGEXMATCH(F14139, ""Ben帳戶|Elsa帳戶|Ben代墊|Ariel代墊|中信銀行共用"")), ""內部轉帳(忽略)"",
  AND(E14139&lt;&gt;"""", F14139&lt;&gt;"&amp;""""", NOT(REGEXMATCH(C14139, ""薪資""))), ""內部轉帳(忽略)"",
  REGEXMATCH(C14139, ""薪資""), ""薪資變動(不計入)"",
  REGEXMATCH(C14139, ""押金""), ""押金往來"",
  AND(E14139&lt;&gt;"""", F14139=""""), ""真實支出"",
  AND(E14139="""", F14139&lt;&gt;""""), ""真實收入"",
  TRUE, ""其他""
)"),"其他")</f>
        <v>其他</v>
      </c>
      <c r="K14139" s="270" t="str">
        <f t="shared" si="2"/>
        <v/>
      </c>
      <c r="L14139">
        <f t="shared" si="3"/>
        <v>0</v>
      </c>
    </row>
    <row r="14140">
      <c r="A14140" s="107"/>
      <c r="D14140" s="270"/>
      <c r="H14140" s="106" t="str">
        <f t="shared" si="1"/>
        <v/>
      </c>
      <c r="J14140" t="str">
        <f>IFERROR(__xludf.DUMMYFUNCTION("IFS(
  AND(REGEXMATCH(E14140, ""台銀籌備帳戶|玉山帳戶""), REGEXMATCH(C14140, ""薪資"")), ""分潤支出"",
  AND(REGEXMATCH(E14140, ""Ben帳戶|Elsa帳戶|Ben代墊|Ariel代墊|中信銀行共用""), REGEXMATCH(F14140, ""Ben帳戶|Elsa帳戶|Ben代墊|Ariel代墊|中信銀行共用"")), ""內部轉帳(忽略)"",
  AND(E14140&lt;&gt;"""", F14140&lt;&gt;"&amp;""""", NOT(REGEXMATCH(C14140, ""薪資""))), ""內部轉帳(忽略)"",
  REGEXMATCH(C14140, ""薪資""), ""薪資變動(不計入)"",
  REGEXMATCH(C14140, ""押金""), ""押金往來"",
  AND(E14140&lt;&gt;"""", F14140=""""), ""真實支出"",
  AND(E14140="""", F14140&lt;&gt;""""), ""真實收入"",
  TRUE, ""其他""
)"),"其他")</f>
        <v>其他</v>
      </c>
      <c r="K14140" s="270" t="str">
        <f t="shared" si="2"/>
        <v/>
      </c>
      <c r="L14140">
        <f t="shared" si="3"/>
        <v>0</v>
      </c>
    </row>
    <row r="14141">
      <c r="A14141" s="107"/>
      <c r="D14141" s="270"/>
      <c r="H14141" s="106" t="str">
        <f t="shared" si="1"/>
        <v/>
      </c>
      <c r="J14141" t="str">
        <f>IFERROR(__xludf.DUMMYFUNCTION("IFS(
  AND(REGEXMATCH(E14141, ""台銀籌備帳戶|玉山帳戶""), REGEXMATCH(C14141, ""薪資"")), ""分潤支出"",
  AND(REGEXMATCH(E14141, ""Ben帳戶|Elsa帳戶|Ben代墊|Ariel代墊|中信銀行共用""), REGEXMATCH(F14141, ""Ben帳戶|Elsa帳戶|Ben代墊|Ariel代墊|中信銀行共用"")), ""內部轉帳(忽略)"",
  AND(E14141&lt;&gt;"""", F14141&lt;&gt;"&amp;""""", NOT(REGEXMATCH(C14141, ""薪資""))), ""內部轉帳(忽略)"",
  REGEXMATCH(C14141, ""薪資""), ""薪資變動(不計入)"",
  REGEXMATCH(C14141, ""押金""), ""押金往來"",
  AND(E14141&lt;&gt;"""", F14141=""""), ""真實支出"",
  AND(E14141="""", F14141&lt;&gt;""""), ""真實收入"",
  TRUE, ""其他""
)"),"其他")</f>
        <v>其他</v>
      </c>
      <c r="K14141" s="270" t="str">
        <f t="shared" si="2"/>
        <v/>
      </c>
      <c r="L14141">
        <f t="shared" si="3"/>
        <v>0</v>
      </c>
    </row>
    <row r="14142">
      <c r="A14142" s="107"/>
      <c r="D14142" s="270"/>
      <c r="H14142" s="106" t="str">
        <f t="shared" si="1"/>
        <v/>
      </c>
      <c r="J14142" t="str">
        <f>IFERROR(__xludf.DUMMYFUNCTION("IFS(
  AND(REGEXMATCH(E14142, ""台銀籌備帳戶|玉山帳戶""), REGEXMATCH(C14142, ""薪資"")), ""分潤支出"",
  AND(REGEXMATCH(E14142, ""Ben帳戶|Elsa帳戶|Ben代墊|Ariel代墊|中信銀行共用""), REGEXMATCH(F14142, ""Ben帳戶|Elsa帳戶|Ben代墊|Ariel代墊|中信銀行共用"")), ""內部轉帳(忽略)"",
  AND(E14142&lt;&gt;"""", F14142&lt;&gt;"&amp;""""", NOT(REGEXMATCH(C14142, ""薪資""))), ""內部轉帳(忽略)"",
  REGEXMATCH(C14142, ""薪資""), ""薪資變動(不計入)"",
  REGEXMATCH(C14142, ""押金""), ""押金往來"",
  AND(E14142&lt;&gt;"""", F14142=""""), ""真實支出"",
  AND(E14142="""", F14142&lt;&gt;""""), ""真實收入"",
  TRUE, ""其他""
)"),"其他")</f>
        <v>其他</v>
      </c>
      <c r="K14142" s="270" t="str">
        <f t="shared" si="2"/>
        <v/>
      </c>
      <c r="L14142">
        <f t="shared" si="3"/>
        <v>0</v>
      </c>
    </row>
    <row r="14143">
      <c r="A14143" s="107"/>
      <c r="D14143" s="270"/>
      <c r="H14143" s="106" t="str">
        <f t="shared" si="1"/>
        <v/>
      </c>
      <c r="J14143" t="str">
        <f>IFERROR(__xludf.DUMMYFUNCTION("IFS(
  AND(REGEXMATCH(E14143, ""台銀籌備帳戶|玉山帳戶""), REGEXMATCH(C14143, ""薪資"")), ""分潤支出"",
  AND(REGEXMATCH(E14143, ""Ben帳戶|Elsa帳戶|Ben代墊|Ariel代墊|中信銀行共用""), REGEXMATCH(F14143, ""Ben帳戶|Elsa帳戶|Ben代墊|Ariel代墊|中信銀行共用"")), ""內部轉帳(忽略)"",
  AND(E14143&lt;&gt;"""", F14143&lt;&gt;"&amp;""""", NOT(REGEXMATCH(C14143, ""薪資""))), ""內部轉帳(忽略)"",
  REGEXMATCH(C14143, ""薪資""), ""薪資變動(不計入)"",
  REGEXMATCH(C14143, ""押金""), ""押金往來"",
  AND(E14143&lt;&gt;"""", F14143=""""), ""真實支出"",
  AND(E14143="""", F14143&lt;&gt;""""), ""真實收入"",
  TRUE, ""其他""
)"),"其他")</f>
        <v>其他</v>
      </c>
      <c r="K14143" s="270" t="str">
        <f t="shared" si="2"/>
        <v/>
      </c>
      <c r="L14143">
        <f t="shared" si="3"/>
        <v>0</v>
      </c>
    </row>
    <row r="14144">
      <c r="A14144" s="107"/>
      <c r="D14144" s="270"/>
      <c r="H14144" s="106" t="str">
        <f t="shared" si="1"/>
        <v/>
      </c>
      <c r="J14144" t="str">
        <f>IFERROR(__xludf.DUMMYFUNCTION("IFS(
  AND(REGEXMATCH(E14144, ""台銀籌備帳戶|玉山帳戶""), REGEXMATCH(C14144, ""薪資"")), ""分潤支出"",
  AND(REGEXMATCH(E14144, ""Ben帳戶|Elsa帳戶|Ben代墊|Ariel代墊|中信銀行共用""), REGEXMATCH(F14144, ""Ben帳戶|Elsa帳戶|Ben代墊|Ariel代墊|中信銀行共用"")), ""內部轉帳(忽略)"",
  AND(E14144&lt;&gt;"""", F14144&lt;&gt;"&amp;""""", NOT(REGEXMATCH(C14144, ""薪資""))), ""內部轉帳(忽略)"",
  REGEXMATCH(C14144, ""薪資""), ""薪資變動(不計入)"",
  REGEXMATCH(C14144, ""押金""), ""押金往來"",
  AND(E14144&lt;&gt;"""", F14144=""""), ""真實支出"",
  AND(E14144="""", F14144&lt;&gt;""""), ""真實收入"",
  TRUE, ""其他""
)"),"其他")</f>
        <v>其他</v>
      </c>
      <c r="K14144" s="270" t="str">
        <f t="shared" si="2"/>
        <v/>
      </c>
      <c r="L14144">
        <f t="shared" si="3"/>
        <v>0</v>
      </c>
    </row>
    <row r="14145">
      <c r="A14145" s="107"/>
      <c r="D14145" s="270"/>
      <c r="H14145" s="106" t="str">
        <f t="shared" si="1"/>
        <v/>
      </c>
      <c r="J14145" t="str">
        <f>IFERROR(__xludf.DUMMYFUNCTION("IFS(
  AND(REGEXMATCH(E14145, ""台銀籌備帳戶|玉山帳戶""), REGEXMATCH(C14145, ""薪資"")), ""分潤支出"",
  AND(REGEXMATCH(E14145, ""Ben帳戶|Elsa帳戶|Ben代墊|Ariel代墊|中信銀行共用""), REGEXMATCH(F14145, ""Ben帳戶|Elsa帳戶|Ben代墊|Ariel代墊|中信銀行共用"")), ""內部轉帳(忽略)"",
  AND(E14145&lt;&gt;"""", F14145&lt;&gt;"&amp;""""", NOT(REGEXMATCH(C14145, ""薪資""))), ""內部轉帳(忽略)"",
  REGEXMATCH(C14145, ""薪資""), ""薪資變動(不計入)"",
  REGEXMATCH(C14145, ""押金""), ""押金往來"",
  AND(E14145&lt;&gt;"""", F14145=""""), ""真實支出"",
  AND(E14145="""", F14145&lt;&gt;""""), ""真實收入"",
  TRUE, ""其他""
)"),"其他")</f>
        <v>其他</v>
      </c>
      <c r="K14145" s="270" t="str">
        <f t="shared" si="2"/>
        <v/>
      </c>
      <c r="L14145">
        <f t="shared" si="3"/>
        <v>0</v>
      </c>
    </row>
    <row r="14146">
      <c r="A14146" s="107"/>
      <c r="D14146" s="270"/>
      <c r="H14146" s="106" t="str">
        <f t="shared" si="1"/>
        <v/>
      </c>
      <c r="J14146" t="str">
        <f>IFERROR(__xludf.DUMMYFUNCTION("IFS(
  AND(REGEXMATCH(E14146, ""台銀籌備帳戶|玉山帳戶""), REGEXMATCH(C14146, ""薪資"")), ""分潤支出"",
  AND(REGEXMATCH(E14146, ""Ben帳戶|Elsa帳戶|Ben代墊|Ariel代墊|中信銀行共用""), REGEXMATCH(F14146, ""Ben帳戶|Elsa帳戶|Ben代墊|Ariel代墊|中信銀行共用"")), ""內部轉帳(忽略)"",
  AND(E14146&lt;&gt;"""", F14146&lt;&gt;"&amp;""""", NOT(REGEXMATCH(C14146, ""薪資""))), ""內部轉帳(忽略)"",
  REGEXMATCH(C14146, ""薪資""), ""薪資變動(不計入)"",
  REGEXMATCH(C14146, ""押金""), ""押金往來"",
  AND(E14146&lt;&gt;"""", F14146=""""), ""真實支出"",
  AND(E14146="""", F14146&lt;&gt;""""), ""真實收入"",
  TRUE, ""其他""
)"),"其他")</f>
        <v>其他</v>
      </c>
      <c r="K14146" s="270" t="str">
        <f t="shared" si="2"/>
        <v/>
      </c>
      <c r="L14146">
        <f t="shared" si="3"/>
        <v>0</v>
      </c>
    </row>
    <row r="14147">
      <c r="A14147" s="107"/>
      <c r="D14147" s="270"/>
      <c r="H14147" s="106" t="str">
        <f t="shared" si="1"/>
        <v/>
      </c>
      <c r="J14147" t="str">
        <f>IFERROR(__xludf.DUMMYFUNCTION("IFS(
  AND(REGEXMATCH(E14147, ""台銀籌備帳戶|玉山帳戶""), REGEXMATCH(C14147, ""薪資"")), ""分潤支出"",
  AND(REGEXMATCH(E14147, ""Ben帳戶|Elsa帳戶|Ben代墊|Ariel代墊|中信銀行共用""), REGEXMATCH(F14147, ""Ben帳戶|Elsa帳戶|Ben代墊|Ariel代墊|中信銀行共用"")), ""內部轉帳(忽略)"",
  AND(E14147&lt;&gt;"""", F14147&lt;&gt;"&amp;""""", NOT(REGEXMATCH(C14147, ""薪資""))), ""內部轉帳(忽略)"",
  REGEXMATCH(C14147, ""薪資""), ""薪資變動(不計入)"",
  REGEXMATCH(C14147, ""押金""), ""押金往來"",
  AND(E14147&lt;&gt;"""", F14147=""""), ""真實支出"",
  AND(E14147="""", F14147&lt;&gt;""""), ""真實收入"",
  TRUE, ""其他""
)"),"其他")</f>
        <v>其他</v>
      </c>
      <c r="K14147" s="270" t="str">
        <f t="shared" si="2"/>
        <v/>
      </c>
      <c r="L14147">
        <f t="shared" si="3"/>
        <v>0</v>
      </c>
    </row>
    <row r="14148">
      <c r="A14148" s="107"/>
      <c r="D14148" s="270"/>
      <c r="H14148" s="106" t="str">
        <f t="shared" si="1"/>
        <v/>
      </c>
      <c r="J14148" t="str">
        <f>IFERROR(__xludf.DUMMYFUNCTION("IFS(
  AND(REGEXMATCH(E14148, ""台銀籌備帳戶|玉山帳戶""), REGEXMATCH(C14148, ""薪資"")), ""分潤支出"",
  AND(REGEXMATCH(E14148, ""Ben帳戶|Elsa帳戶|Ben代墊|Ariel代墊|中信銀行共用""), REGEXMATCH(F14148, ""Ben帳戶|Elsa帳戶|Ben代墊|Ariel代墊|中信銀行共用"")), ""內部轉帳(忽略)"",
  AND(E14148&lt;&gt;"""", F14148&lt;&gt;"&amp;""""", NOT(REGEXMATCH(C14148, ""薪資""))), ""內部轉帳(忽略)"",
  REGEXMATCH(C14148, ""薪資""), ""薪資變動(不計入)"",
  REGEXMATCH(C14148, ""押金""), ""押金往來"",
  AND(E14148&lt;&gt;"""", F14148=""""), ""真實支出"",
  AND(E14148="""", F14148&lt;&gt;""""), ""真實收入"",
  TRUE, ""其他""
)"),"其他")</f>
        <v>其他</v>
      </c>
      <c r="K14148" s="270" t="str">
        <f t="shared" si="2"/>
        <v/>
      </c>
      <c r="L14148">
        <f t="shared" si="3"/>
        <v>0</v>
      </c>
    </row>
    <row r="14149">
      <c r="A14149" s="107"/>
      <c r="D14149" s="270"/>
      <c r="H14149" s="106" t="str">
        <f t="shared" si="1"/>
        <v/>
      </c>
      <c r="J14149" t="str">
        <f>IFERROR(__xludf.DUMMYFUNCTION("IFS(
  AND(REGEXMATCH(E14149, ""台銀籌備帳戶|玉山帳戶""), REGEXMATCH(C14149, ""薪資"")), ""分潤支出"",
  AND(REGEXMATCH(E14149, ""Ben帳戶|Elsa帳戶|Ben代墊|Ariel代墊|中信銀行共用""), REGEXMATCH(F14149, ""Ben帳戶|Elsa帳戶|Ben代墊|Ariel代墊|中信銀行共用"")), ""內部轉帳(忽略)"",
  AND(E14149&lt;&gt;"""", F14149&lt;&gt;"&amp;""""", NOT(REGEXMATCH(C14149, ""薪資""))), ""內部轉帳(忽略)"",
  REGEXMATCH(C14149, ""薪資""), ""薪資變動(不計入)"",
  REGEXMATCH(C14149, ""押金""), ""押金往來"",
  AND(E14149&lt;&gt;"""", F14149=""""), ""真實支出"",
  AND(E14149="""", F14149&lt;&gt;""""), ""真實收入"",
  TRUE, ""其他""
)"),"其他")</f>
        <v>其他</v>
      </c>
      <c r="K14149" s="270" t="str">
        <f t="shared" si="2"/>
        <v/>
      </c>
      <c r="L14149">
        <f t="shared" si="3"/>
        <v>0</v>
      </c>
    </row>
    <row r="14150">
      <c r="A14150" s="107"/>
      <c r="D14150" s="270"/>
      <c r="H14150" s="106" t="str">
        <f t="shared" si="1"/>
        <v/>
      </c>
      <c r="J14150" t="str">
        <f>IFERROR(__xludf.DUMMYFUNCTION("IFS(
  AND(REGEXMATCH(E14150, ""台銀籌備帳戶|玉山帳戶""), REGEXMATCH(C14150, ""薪資"")), ""分潤支出"",
  AND(REGEXMATCH(E14150, ""Ben帳戶|Elsa帳戶|Ben代墊|Ariel代墊|中信銀行共用""), REGEXMATCH(F14150, ""Ben帳戶|Elsa帳戶|Ben代墊|Ariel代墊|中信銀行共用"")), ""內部轉帳(忽略)"",
  AND(E14150&lt;&gt;"""", F14150&lt;&gt;"&amp;""""", NOT(REGEXMATCH(C14150, ""薪資""))), ""內部轉帳(忽略)"",
  REGEXMATCH(C14150, ""薪資""), ""薪資變動(不計入)"",
  REGEXMATCH(C14150, ""押金""), ""押金往來"",
  AND(E14150&lt;&gt;"""", F14150=""""), ""真實支出"",
  AND(E14150="""", F14150&lt;&gt;""""), ""真實收入"",
  TRUE, ""其他""
)"),"其他")</f>
        <v>其他</v>
      </c>
      <c r="K14150" s="270" t="str">
        <f t="shared" si="2"/>
        <v/>
      </c>
      <c r="L14150">
        <f t="shared" si="3"/>
        <v>0</v>
      </c>
    </row>
    <row r="14151">
      <c r="A14151" s="107"/>
      <c r="D14151" s="270"/>
      <c r="H14151" s="106" t="str">
        <f t="shared" si="1"/>
        <v/>
      </c>
      <c r="J14151" t="str">
        <f>IFERROR(__xludf.DUMMYFUNCTION("IFS(
  AND(REGEXMATCH(E14151, ""台銀籌備帳戶|玉山帳戶""), REGEXMATCH(C14151, ""薪資"")), ""分潤支出"",
  AND(REGEXMATCH(E14151, ""Ben帳戶|Elsa帳戶|Ben代墊|Ariel代墊|中信銀行共用""), REGEXMATCH(F14151, ""Ben帳戶|Elsa帳戶|Ben代墊|Ariel代墊|中信銀行共用"")), ""內部轉帳(忽略)"",
  AND(E14151&lt;&gt;"""", F14151&lt;&gt;"&amp;""""", NOT(REGEXMATCH(C14151, ""薪資""))), ""內部轉帳(忽略)"",
  REGEXMATCH(C14151, ""薪資""), ""薪資變動(不計入)"",
  REGEXMATCH(C14151, ""押金""), ""押金往來"",
  AND(E14151&lt;&gt;"""", F14151=""""), ""真實支出"",
  AND(E14151="""", F14151&lt;&gt;""""), ""真實收入"",
  TRUE, ""其他""
)"),"其他")</f>
        <v>其他</v>
      </c>
      <c r="K14151" s="270" t="str">
        <f t="shared" si="2"/>
        <v/>
      </c>
      <c r="L14151">
        <f t="shared" si="3"/>
        <v>0</v>
      </c>
    </row>
    <row r="14152">
      <c r="A14152" s="107"/>
      <c r="D14152" s="270"/>
      <c r="H14152" s="106" t="str">
        <f t="shared" si="1"/>
        <v/>
      </c>
      <c r="J14152" t="str">
        <f>IFERROR(__xludf.DUMMYFUNCTION("IFS(
  AND(REGEXMATCH(E14152, ""台銀籌備帳戶|玉山帳戶""), REGEXMATCH(C14152, ""薪資"")), ""分潤支出"",
  AND(REGEXMATCH(E14152, ""Ben帳戶|Elsa帳戶|Ben代墊|Ariel代墊|中信銀行共用""), REGEXMATCH(F14152, ""Ben帳戶|Elsa帳戶|Ben代墊|Ariel代墊|中信銀行共用"")), ""內部轉帳(忽略)"",
  AND(E14152&lt;&gt;"""", F14152&lt;&gt;"&amp;""""", NOT(REGEXMATCH(C14152, ""薪資""))), ""內部轉帳(忽略)"",
  REGEXMATCH(C14152, ""薪資""), ""薪資變動(不計入)"",
  REGEXMATCH(C14152, ""押金""), ""押金往來"",
  AND(E14152&lt;&gt;"""", F14152=""""), ""真實支出"",
  AND(E14152="""", F14152&lt;&gt;""""), ""真實收入"",
  TRUE, ""其他""
)"),"其他")</f>
        <v>其他</v>
      </c>
      <c r="K14152" s="270" t="str">
        <f t="shared" si="2"/>
        <v/>
      </c>
      <c r="L14152">
        <f t="shared" si="3"/>
        <v>0</v>
      </c>
    </row>
    <row r="14153">
      <c r="A14153" s="107"/>
      <c r="D14153" s="270"/>
      <c r="H14153" s="106" t="str">
        <f t="shared" si="1"/>
        <v/>
      </c>
      <c r="J14153" t="str">
        <f>IFERROR(__xludf.DUMMYFUNCTION("IFS(
  AND(REGEXMATCH(E14153, ""台銀籌備帳戶|玉山帳戶""), REGEXMATCH(C14153, ""薪資"")), ""分潤支出"",
  AND(REGEXMATCH(E14153, ""Ben帳戶|Elsa帳戶|Ben代墊|Ariel代墊|中信銀行共用""), REGEXMATCH(F14153, ""Ben帳戶|Elsa帳戶|Ben代墊|Ariel代墊|中信銀行共用"")), ""內部轉帳(忽略)"",
  AND(E14153&lt;&gt;"""", F14153&lt;&gt;"&amp;""""", NOT(REGEXMATCH(C14153, ""薪資""))), ""內部轉帳(忽略)"",
  REGEXMATCH(C14153, ""薪資""), ""薪資變動(不計入)"",
  REGEXMATCH(C14153, ""押金""), ""押金往來"",
  AND(E14153&lt;&gt;"""", F14153=""""), ""真實支出"",
  AND(E14153="""", F14153&lt;&gt;""""), ""真實收入"",
  TRUE, ""其他""
)"),"其他")</f>
        <v>其他</v>
      </c>
      <c r="K14153" s="270" t="str">
        <f t="shared" si="2"/>
        <v/>
      </c>
      <c r="L14153">
        <f t="shared" si="3"/>
        <v>0</v>
      </c>
    </row>
    <row r="14154">
      <c r="A14154" s="107"/>
      <c r="D14154" s="270"/>
      <c r="H14154" s="106" t="str">
        <f t="shared" si="1"/>
        <v/>
      </c>
      <c r="J14154" t="str">
        <f>IFERROR(__xludf.DUMMYFUNCTION("IFS(
  AND(REGEXMATCH(E14154, ""台銀籌備帳戶|玉山帳戶""), REGEXMATCH(C14154, ""薪資"")), ""分潤支出"",
  AND(REGEXMATCH(E14154, ""Ben帳戶|Elsa帳戶|Ben代墊|Ariel代墊|中信銀行共用""), REGEXMATCH(F14154, ""Ben帳戶|Elsa帳戶|Ben代墊|Ariel代墊|中信銀行共用"")), ""內部轉帳(忽略)"",
  AND(E14154&lt;&gt;"""", F14154&lt;&gt;"&amp;""""", NOT(REGEXMATCH(C14154, ""薪資""))), ""內部轉帳(忽略)"",
  REGEXMATCH(C14154, ""薪資""), ""薪資變動(不計入)"",
  REGEXMATCH(C14154, ""押金""), ""押金往來"",
  AND(E14154&lt;&gt;"""", F14154=""""), ""真實支出"",
  AND(E14154="""", F14154&lt;&gt;""""), ""真實收入"",
  TRUE, ""其他""
)"),"其他")</f>
        <v>其他</v>
      </c>
      <c r="K14154" s="270" t="str">
        <f t="shared" si="2"/>
        <v/>
      </c>
      <c r="L14154">
        <f t="shared" si="3"/>
        <v>0</v>
      </c>
    </row>
    <row r="14155">
      <c r="A14155" s="107"/>
      <c r="D14155" s="270"/>
      <c r="H14155" s="106" t="str">
        <f t="shared" si="1"/>
        <v/>
      </c>
      <c r="J14155" t="str">
        <f>IFERROR(__xludf.DUMMYFUNCTION("IFS(
  AND(REGEXMATCH(E14155, ""台銀籌備帳戶|玉山帳戶""), REGEXMATCH(C14155, ""薪資"")), ""分潤支出"",
  AND(REGEXMATCH(E14155, ""Ben帳戶|Elsa帳戶|Ben代墊|Ariel代墊|中信銀行共用""), REGEXMATCH(F14155, ""Ben帳戶|Elsa帳戶|Ben代墊|Ariel代墊|中信銀行共用"")), ""內部轉帳(忽略)"",
  AND(E14155&lt;&gt;"""", F14155&lt;&gt;"&amp;""""", NOT(REGEXMATCH(C14155, ""薪資""))), ""內部轉帳(忽略)"",
  REGEXMATCH(C14155, ""薪資""), ""薪資變動(不計入)"",
  REGEXMATCH(C14155, ""押金""), ""押金往來"",
  AND(E14155&lt;&gt;"""", F14155=""""), ""真實支出"",
  AND(E14155="""", F14155&lt;&gt;""""), ""真實收入"",
  TRUE, ""其他""
)"),"其他")</f>
        <v>其他</v>
      </c>
      <c r="K14155" s="270" t="str">
        <f t="shared" si="2"/>
        <v/>
      </c>
      <c r="L14155">
        <f t="shared" si="3"/>
        <v>0</v>
      </c>
    </row>
    <row r="14156">
      <c r="A14156" s="107"/>
      <c r="D14156" s="270"/>
      <c r="H14156" s="106" t="str">
        <f t="shared" si="1"/>
        <v/>
      </c>
      <c r="J14156" t="str">
        <f>IFERROR(__xludf.DUMMYFUNCTION("IFS(
  AND(REGEXMATCH(E14156, ""台銀籌備帳戶|玉山帳戶""), REGEXMATCH(C14156, ""薪資"")), ""分潤支出"",
  AND(REGEXMATCH(E14156, ""Ben帳戶|Elsa帳戶|Ben代墊|Ariel代墊|中信銀行共用""), REGEXMATCH(F14156, ""Ben帳戶|Elsa帳戶|Ben代墊|Ariel代墊|中信銀行共用"")), ""內部轉帳(忽略)"",
  AND(E14156&lt;&gt;"""", F14156&lt;&gt;"&amp;""""", NOT(REGEXMATCH(C14156, ""薪資""))), ""內部轉帳(忽略)"",
  REGEXMATCH(C14156, ""薪資""), ""薪資變動(不計入)"",
  REGEXMATCH(C14156, ""押金""), ""押金往來"",
  AND(E14156&lt;&gt;"""", F14156=""""), ""真實支出"",
  AND(E14156="""", F14156&lt;&gt;""""), ""真實收入"",
  TRUE, ""其他""
)"),"其他")</f>
        <v>其他</v>
      </c>
      <c r="K14156" s="270" t="str">
        <f t="shared" si="2"/>
        <v/>
      </c>
      <c r="L14156">
        <f t="shared" si="3"/>
        <v>0</v>
      </c>
    </row>
    <row r="14157">
      <c r="A14157" s="107"/>
      <c r="D14157" s="270"/>
      <c r="H14157" s="106" t="str">
        <f t="shared" si="1"/>
        <v/>
      </c>
      <c r="J14157" t="str">
        <f>IFERROR(__xludf.DUMMYFUNCTION("IFS(
  AND(REGEXMATCH(E14157, ""台銀籌備帳戶|玉山帳戶""), REGEXMATCH(C14157, ""薪資"")), ""分潤支出"",
  AND(REGEXMATCH(E14157, ""Ben帳戶|Elsa帳戶|Ben代墊|Ariel代墊|中信銀行共用""), REGEXMATCH(F14157, ""Ben帳戶|Elsa帳戶|Ben代墊|Ariel代墊|中信銀行共用"")), ""內部轉帳(忽略)"",
  AND(E14157&lt;&gt;"""", F14157&lt;&gt;"&amp;""""", NOT(REGEXMATCH(C14157, ""薪資""))), ""內部轉帳(忽略)"",
  REGEXMATCH(C14157, ""薪資""), ""薪資變動(不計入)"",
  REGEXMATCH(C14157, ""押金""), ""押金往來"",
  AND(E14157&lt;&gt;"""", F14157=""""), ""真實支出"",
  AND(E14157="""", F14157&lt;&gt;""""), ""真實收入"",
  TRUE, ""其他""
)"),"其他")</f>
        <v>其他</v>
      </c>
      <c r="K14157" s="270" t="str">
        <f t="shared" si="2"/>
        <v/>
      </c>
      <c r="L14157">
        <f t="shared" si="3"/>
        <v>0</v>
      </c>
    </row>
    <row r="14158">
      <c r="A14158" s="107"/>
      <c r="D14158" s="270"/>
      <c r="H14158" s="106" t="str">
        <f t="shared" si="1"/>
        <v/>
      </c>
      <c r="J14158" t="str">
        <f>IFERROR(__xludf.DUMMYFUNCTION("IFS(
  AND(REGEXMATCH(E14158, ""台銀籌備帳戶|玉山帳戶""), REGEXMATCH(C14158, ""薪資"")), ""分潤支出"",
  AND(REGEXMATCH(E14158, ""Ben帳戶|Elsa帳戶|Ben代墊|Ariel代墊|中信銀行共用""), REGEXMATCH(F14158, ""Ben帳戶|Elsa帳戶|Ben代墊|Ariel代墊|中信銀行共用"")), ""內部轉帳(忽略)"",
  AND(E14158&lt;&gt;"""", F14158&lt;&gt;"&amp;""""", NOT(REGEXMATCH(C14158, ""薪資""))), ""內部轉帳(忽略)"",
  REGEXMATCH(C14158, ""薪資""), ""薪資變動(不計入)"",
  REGEXMATCH(C14158, ""押金""), ""押金往來"",
  AND(E14158&lt;&gt;"""", F14158=""""), ""真實支出"",
  AND(E14158="""", F14158&lt;&gt;""""), ""真實收入"",
  TRUE, ""其他""
)"),"其他")</f>
        <v>其他</v>
      </c>
      <c r="K14158" s="270" t="str">
        <f t="shared" si="2"/>
        <v/>
      </c>
      <c r="L14158">
        <f t="shared" si="3"/>
        <v>0</v>
      </c>
    </row>
    <row r="14159">
      <c r="A14159" s="107"/>
      <c r="D14159" s="270"/>
      <c r="H14159" s="106" t="str">
        <f t="shared" si="1"/>
        <v/>
      </c>
      <c r="J14159" t="str">
        <f>IFERROR(__xludf.DUMMYFUNCTION("IFS(
  AND(REGEXMATCH(E14159, ""台銀籌備帳戶|玉山帳戶""), REGEXMATCH(C14159, ""薪資"")), ""分潤支出"",
  AND(REGEXMATCH(E14159, ""Ben帳戶|Elsa帳戶|Ben代墊|Ariel代墊|中信銀行共用""), REGEXMATCH(F14159, ""Ben帳戶|Elsa帳戶|Ben代墊|Ariel代墊|中信銀行共用"")), ""內部轉帳(忽略)"",
  AND(E14159&lt;&gt;"""", F14159&lt;&gt;"&amp;""""", NOT(REGEXMATCH(C14159, ""薪資""))), ""內部轉帳(忽略)"",
  REGEXMATCH(C14159, ""薪資""), ""薪資變動(不計入)"",
  REGEXMATCH(C14159, ""押金""), ""押金往來"",
  AND(E14159&lt;&gt;"""", F14159=""""), ""真實支出"",
  AND(E14159="""", F14159&lt;&gt;""""), ""真實收入"",
  TRUE, ""其他""
)"),"其他")</f>
        <v>其他</v>
      </c>
      <c r="K14159" s="270" t="str">
        <f t="shared" si="2"/>
        <v/>
      </c>
      <c r="L14159">
        <f t="shared" si="3"/>
        <v>0</v>
      </c>
    </row>
    <row r="14160">
      <c r="A14160" s="107"/>
      <c r="D14160" s="270"/>
      <c r="H14160" s="106" t="str">
        <f t="shared" si="1"/>
        <v/>
      </c>
      <c r="J14160" t="str">
        <f>IFERROR(__xludf.DUMMYFUNCTION("IFS(
  AND(REGEXMATCH(E14160, ""台銀籌備帳戶|玉山帳戶""), REGEXMATCH(C14160, ""薪資"")), ""分潤支出"",
  AND(REGEXMATCH(E14160, ""Ben帳戶|Elsa帳戶|Ben代墊|Ariel代墊|中信銀行共用""), REGEXMATCH(F14160, ""Ben帳戶|Elsa帳戶|Ben代墊|Ariel代墊|中信銀行共用"")), ""內部轉帳(忽略)"",
  AND(E14160&lt;&gt;"""", F14160&lt;&gt;"&amp;""""", NOT(REGEXMATCH(C14160, ""薪資""))), ""內部轉帳(忽略)"",
  REGEXMATCH(C14160, ""薪資""), ""薪資變動(不計入)"",
  REGEXMATCH(C14160, ""押金""), ""押金往來"",
  AND(E14160&lt;&gt;"""", F14160=""""), ""真實支出"",
  AND(E14160="""", F14160&lt;&gt;""""), ""真實收入"",
  TRUE, ""其他""
)"),"其他")</f>
        <v>其他</v>
      </c>
      <c r="K14160" s="270" t="str">
        <f t="shared" si="2"/>
        <v/>
      </c>
      <c r="L14160">
        <f t="shared" si="3"/>
        <v>0</v>
      </c>
    </row>
    <row r="14161">
      <c r="A14161" s="107"/>
      <c r="D14161" s="270"/>
      <c r="H14161" s="106" t="str">
        <f t="shared" si="1"/>
        <v/>
      </c>
      <c r="J14161" t="str">
        <f>IFERROR(__xludf.DUMMYFUNCTION("IFS(
  AND(REGEXMATCH(E14161, ""台銀籌備帳戶|玉山帳戶""), REGEXMATCH(C14161, ""薪資"")), ""分潤支出"",
  AND(REGEXMATCH(E14161, ""Ben帳戶|Elsa帳戶|Ben代墊|Ariel代墊|中信銀行共用""), REGEXMATCH(F14161, ""Ben帳戶|Elsa帳戶|Ben代墊|Ariel代墊|中信銀行共用"")), ""內部轉帳(忽略)"",
  AND(E14161&lt;&gt;"""", F14161&lt;&gt;"&amp;""""", NOT(REGEXMATCH(C14161, ""薪資""))), ""內部轉帳(忽略)"",
  REGEXMATCH(C14161, ""薪資""), ""薪資變動(不計入)"",
  REGEXMATCH(C14161, ""押金""), ""押金往來"",
  AND(E14161&lt;&gt;"""", F14161=""""), ""真實支出"",
  AND(E14161="""", F14161&lt;&gt;""""), ""真實收入"",
  TRUE, ""其他""
)"),"其他")</f>
        <v>其他</v>
      </c>
      <c r="K14161" s="270" t="str">
        <f t="shared" si="2"/>
        <v/>
      </c>
      <c r="L14161">
        <f t="shared" si="3"/>
        <v>0</v>
      </c>
    </row>
    <row r="14162">
      <c r="A14162" s="107"/>
      <c r="D14162" s="270"/>
      <c r="H14162" s="106" t="str">
        <f t="shared" si="1"/>
        <v/>
      </c>
      <c r="J14162" t="str">
        <f>IFERROR(__xludf.DUMMYFUNCTION("IFS(
  AND(REGEXMATCH(E14162, ""台銀籌備帳戶|玉山帳戶""), REGEXMATCH(C14162, ""薪資"")), ""分潤支出"",
  AND(REGEXMATCH(E14162, ""Ben帳戶|Elsa帳戶|Ben代墊|Ariel代墊|中信銀行共用""), REGEXMATCH(F14162, ""Ben帳戶|Elsa帳戶|Ben代墊|Ariel代墊|中信銀行共用"")), ""內部轉帳(忽略)"",
  AND(E14162&lt;&gt;"""", F14162&lt;&gt;"&amp;""""", NOT(REGEXMATCH(C14162, ""薪資""))), ""內部轉帳(忽略)"",
  REGEXMATCH(C14162, ""薪資""), ""薪資變動(不計入)"",
  REGEXMATCH(C14162, ""押金""), ""押金往來"",
  AND(E14162&lt;&gt;"""", F14162=""""), ""真實支出"",
  AND(E14162="""", F14162&lt;&gt;""""), ""真實收入"",
  TRUE, ""其他""
)"),"其他")</f>
        <v>其他</v>
      </c>
      <c r="K14162" s="270" t="str">
        <f t="shared" si="2"/>
        <v/>
      </c>
      <c r="L14162">
        <f t="shared" si="3"/>
        <v>0</v>
      </c>
    </row>
    <row r="14163">
      <c r="A14163" s="107"/>
      <c r="D14163" s="270"/>
      <c r="H14163" s="106" t="str">
        <f t="shared" si="1"/>
        <v/>
      </c>
      <c r="J14163" t="str">
        <f>IFERROR(__xludf.DUMMYFUNCTION("IFS(
  AND(REGEXMATCH(E14163, ""台銀籌備帳戶|玉山帳戶""), REGEXMATCH(C14163, ""薪資"")), ""分潤支出"",
  AND(REGEXMATCH(E14163, ""Ben帳戶|Elsa帳戶|Ben代墊|Ariel代墊|中信銀行共用""), REGEXMATCH(F14163, ""Ben帳戶|Elsa帳戶|Ben代墊|Ariel代墊|中信銀行共用"")), ""內部轉帳(忽略)"",
  AND(E14163&lt;&gt;"""", F14163&lt;&gt;"&amp;""""", NOT(REGEXMATCH(C14163, ""薪資""))), ""內部轉帳(忽略)"",
  REGEXMATCH(C14163, ""薪資""), ""薪資變動(不計入)"",
  REGEXMATCH(C14163, ""押金""), ""押金往來"",
  AND(E14163&lt;&gt;"""", F14163=""""), ""真實支出"",
  AND(E14163="""", F14163&lt;&gt;""""), ""真實收入"",
  TRUE, ""其他""
)"),"其他")</f>
        <v>其他</v>
      </c>
      <c r="K14163" s="270" t="str">
        <f t="shared" si="2"/>
        <v/>
      </c>
      <c r="L14163">
        <f t="shared" si="3"/>
        <v>0</v>
      </c>
    </row>
    <row r="14164">
      <c r="A14164" s="107"/>
      <c r="D14164" s="270"/>
      <c r="H14164" s="106" t="str">
        <f t="shared" si="1"/>
        <v/>
      </c>
      <c r="J14164" t="str">
        <f>IFERROR(__xludf.DUMMYFUNCTION("IFS(
  AND(REGEXMATCH(E14164, ""台銀籌備帳戶|玉山帳戶""), REGEXMATCH(C14164, ""薪資"")), ""分潤支出"",
  AND(REGEXMATCH(E14164, ""Ben帳戶|Elsa帳戶|Ben代墊|Ariel代墊|中信銀行共用""), REGEXMATCH(F14164, ""Ben帳戶|Elsa帳戶|Ben代墊|Ariel代墊|中信銀行共用"")), ""內部轉帳(忽略)"",
  AND(E14164&lt;&gt;"""", F14164&lt;&gt;"&amp;""""", NOT(REGEXMATCH(C14164, ""薪資""))), ""內部轉帳(忽略)"",
  REGEXMATCH(C14164, ""薪資""), ""薪資變動(不計入)"",
  REGEXMATCH(C14164, ""押金""), ""押金往來"",
  AND(E14164&lt;&gt;"""", F14164=""""), ""真實支出"",
  AND(E14164="""", F14164&lt;&gt;""""), ""真實收入"",
  TRUE, ""其他""
)"),"其他")</f>
        <v>其他</v>
      </c>
      <c r="K14164" s="270" t="str">
        <f t="shared" si="2"/>
        <v/>
      </c>
      <c r="L14164">
        <f t="shared" si="3"/>
        <v>0</v>
      </c>
    </row>
    <row r="14165">
      <c r="A14165" s="107"/>
      <c r="D14165" s="270"/>
      <c r="H14165" s="106" t="str">
        <f t="shared" si="1"/>
        <v/>
      </c>
      <c r="J14165" t="str">
        <f>IFERROR(__xludf.DUMMYFUNCTION("IFS(
  AND(REGEXMATCH(E14165, ""台銀籌備帳戶|玉山帳戶""), REGEXMATCH(C14165, ""薪資"")), ""分潤支出"",
  AND(REGEXMATCH(E14165, ""Ben帳戶|Elsa帳戶|Ben代墊|Ariel代墊|中信銀行共用""), REGEXMATCH(F14165, ""Ben帳戶|Elsa帳戶|Ben代墊|Ariel代墊|中信銀行共用"")), ""內部轉帳(忽略)"",
  AND(E14165&lt;&gt;"""", F14165&lt;&gt;"&amp;""""", NOT(REGEXMATCH(C14165, ""薪資""))), ""內部轉帳(忽略)"",
  REGEXMATCH(C14165, ""薪資""), ""薪資變動(不計入)"",
  REGEXMATCH(C14165, ""押金""), ""押金往來"",
  AND(E14165&lt;&gt;"""", F14165=""""), ""真實支出"",
  AND(E14165="""", F14165&lt;&gt;""""), ""真實收入"",
  TRUE, ""其他""
)"),"其他")</f>
        <v>其他</v>
      </c>
      <c r="K14165" s="270" t="str">
        <f t="shared" si="2"/>
        <v/>
      </c>
      <c r="L14165">
        <f t="shared" si="3"/>
        <v>0</v>
      </c>
    </row>
    <row r="14166">
      <c r="A14166" s="107"/>
      <c r="D14166" s="270"/>
      <c r="H14166" s="106" t="str">
        <f t="shared" si="1"/>
        <v/>
      </c>
      <c r="J14166" t="str">
        <f>IFERROR(__xludf.DUMMYFUNCTION("IFS(
  AND(REGEXMATCH(E14166, ""台銀籌備帳戶|玉山帳戶""), REGEXMATCH(C14166, ""薪資"")), ""分潤支出"",
  AND(REGEXMATCH(E14166, ""Ben帳戶|Elsa帳戶|Ben代墊|Ariel代墊|中信銀行共用""), REGEXMATCH(F14166, ""Ben帳戶|Elsa帳戶|Ben代墊|Ariel代墊|中信銀行共用"")), ""內部轉帳(忽略)"",
  AND(E14166&lt;&gt;"""", F14166&lt;&gt;"&amp;""""", NOT(REGEXMATCH(C14166, ""薪資""))), ""內部轉帳(忽略)"",
  REGEXMATCH(C14166, ""薪資""), ""薪資變動(不計入)"",
  REGEXMATCH(C14166, ""押金""), ""押金往來"",
  AND(E14166&lt;&gt;"""", F14166=""""), ""真實支出"",
  AND(E14166="""", F14166&lt;&gt;""""), ""真實收入"",
  TRUE, ""其他""
)"),"其他")</f>
        <v>其他</v>
      </c>
      <c r="K14166" s="270" t="str">
        <f t="shared" si="2"/>
        <v/>
      </c>
      <c r="L14166">
        <f t="shared" si="3"/>
        <v>0</v>
      </c>
    </row>
    <row r="14167">
      <c r="A14167" s="107"/>
      <c r="D14167" s="270"/>
      <c r="H14167" s="106" t="str">
        <f t="shared" si="1"/>
        <v/>
      </c>
      <c r="J14167" t="str">
        <f>IFERROR(__xludf.DUMMYFUNCTION("IFS(
  AND(REGEXMATCH(E14167, ""台銀籌備帳戶|玉山帳戶""), REGEXMATCH(C14167, ""薪資"")), ""分潤支出"",
  AND(REGEXMATCH(E14167, ""Ben帳戶|Elsa帳戶|Ben代墊|Ariel代墊|中信銀行共用""), REGEXMATCH(F14167, ""Ben帳戶|Elsa帳戶|Ben代墊|Ariel代墊|中信銀行共用"")), ""內部轉帳(忽略)"",
  AND(E14167&lt;&gt;"""", F14167&lt;&gt;"&amp;""""", NOT(REGEXMATCH(C14167, ""薪資""))), ""內部轉帳(忽略)"",
  REGEXMATCH(C14167, ""薪資""), ""薪資變動(不計入)"",
  REGEXMATCH(C14167, ""押金""), ""押金往來"",
  AND(E14167&lt;&gt;"""", F14167=""""), ""真實支出"",
  AND(E14167="""", F14167&lt;&gt;""""), ""真實收入"",
  TRUE, ""其他""
)"),"其他")</f>
        <v>其他</v>
      </c>
      <c r="K14167" s="270" t="str">
        <f t="shared" si="2"/>
        <v/>
      </c>
      <c r="L14167">
        <f t="shared" si="3"/>
        <v>0</v>
      </c>
    </row>
    <row r="14168">
      <c r="A14168" s="107"/>
      <c r="D14168" s="270"/>
      <c r="H14168" s="106" t="str">
        <f t="shared" si="1"/>
        <v/>
      </c>
      <c r="J14168" t="str">
        <f>IFERROR(__xludf.DUMMYFUNCTION("IFS(
  AND(REGEXMATCH(E14168, ""台銀籌備帳戶|玉山帳戶""), REGEXMATCH(C14168, ""薪資"")), ""分潤支出"",
  AND(REGEXMATCH(E14168, ""Ben帳戶|Elsa帳戶|Ben代墊|Ariel代墊|中信銀行共用""), REGEXMATCH(F14168, ""Ben帳戶|Elsa帳戶|Ben代墊|Ariel代墊|中信銀行共用"")), ""內部轉帳(忽略)"",
  AND(E14168&lt;&gt;"""", F14168&lt;&gt;"&amp;""""", NOT(REGEXMATCH(C14168, ""薪資""))), ""內部轉帳(忽略)"",
  REGEXMATCH(C14168, ""薪資""), ""薪資變動(不計入)"",
  REGEXMATCH(C14168, ""押金""), ""押金往來"",
  AND(E14168&lt;&gt;"""", F14168=""""), ""真實支出"",
  AND(E14168="""", F14168&lt;&gt;""""), ""真實收入"",
  TRUE, ""其他""
)"),"其他")</f>
        <v>其他</v>
      </c>
      <c r="K14168" s="270" t="str">
        <f t="shared" si="2"/>
        <v/>
      </c>
      <c r="L14168">
        <f t="shared" si="3"/>
        <v>0</v>
      </c>
    </row>
    <row r="14169">
      <c r="A14169" s="107"/>
      <c r="D14169" s="270"/>
      <c r="H14169" s="106" t="str">
        <f t="shared" si="1"/>
        <v/>
      </c>
      <c r="J14169" t="str">
        <f>IFERROR(__xludf.DUMMYFUNCTION("IFS(
  AND(REGEXMATCH(E14169, ""台銀籌備帳戶|玉山帳戶""), REGEXMATCH(C14169, ""薪資"")), ""分潤支出"",
  AND(REGEXMATCH(E14169, ""Ben帳戶|Elsa帳戶|Ben代墊|Ariel代墊|中信銀行共用""), REGEXMATCH(F14169, ""Ben帳戶|Elsa帳戶|Ben代墊|Ariel代墊|中信銀行共用"")), ""內部轉帳(忽略)"",
  AND(E14169&lt;&gt;"""", F14169&lt;&gt;"&amp;""""", NOT(REGEXMATCH(C14169, ""薪資""))), ""內部轉帳(忽略)"",
  REGEXMATCH(C14169, ""薪資""), ""薪資變動(不計入)"",
  REGEXMATCH(C14169, ""押金""), ""押金往來"",
  AND(E14169&lt;&gt;"""", F14169=""""), ""真實支出"",
  AND(E14169="""", F14169&lt;&gt;""""), ""真實收入"",
  TRUE, ""其他""
)"),"其他")</f>
        <v>其他</v>
      </c>
      <c r="K14169" s="270" t="str">
        <f t="shared" si="2"/>
        <v/>
      </c>
      <c r="L14169">
        <f t="shared" si="3"/>
        <v>0</v>
      </c>
    </row>
    <row r="14170">
      <c r="A14170" s="107"/>
      <c r="D14170" s="270"/>
      <c r="H14170" s="106" t="str">
        <f t="shared" si="1"/>
        <v/>
      </c>
      <c r="J14170" t="str">
        <f>IFERROR(__xludf.DUMMYFUNCTION("IFS(
  AND(REGEXMATCH(E14170, ""台銀籌備帳戶|玉山帳戶""), REGEXMATCH(C14170, ""薪資"")), ""分潤支出"",
  AND(REGEXMATCH(E14170, ""Ben帳戶|Elsa帳戶|Ben代墊|Ariel代墊|中信銀行共用""), REGEXMATCH(F14170, ""Ben帳戶|Elsa帳戶|Ben代墊|Ariel代墊|中信銀行共用"")), ""內部轉帳(忽略)"",
  AND(E14170&lt;&gt;"""", F14170&lt;&gt;"&amp;""""", NOT(REGEXMATCH(C14170, ""薪資""))), ""內部轉帳(忽略)"",
  REGEXMATCH(C14170, ""薪資""), ""薪資變動(不計入)"",
  REGEXMATCH(C14170, ""押金""), ""押金往來"",
  AND(E14170&lt;&gt;"""", F14170=""""), ""真實支出"",
  AND(E14170="""", F14170&lt;&gt;""""), ""真實收入"",
  TRUE, ""其他""
)"),"其他")</f>
        <v>其他</v>
      </c>
      <c r="K14170" s="270" t="str">
        <f t="shared" si="2"/>
        <v/>
      </c>
      <c r="L14170">
        <f t="shared" si="3"/>
        <v>0</v>
      </c>
    </row>
    <row r="14171">
      <c r="A14171" s="107"/>
      <c r="D14171" s="270"/>
      <c r="H14171" s="106" t="str">
        <f t="shared" si="1"/>
        <v/>
      </c>
      <c r="J14171" t="str">
        <f>IFERROR(__xludf.DUMMYFUNCTION("IFS(
  AND(REGEXMATCH(E14171, ""台銀籌備帳戶|玉山帳戶""), REGEXMATCH(C14171, ""薪資"")), ""分潤支出"",
  AND(REGEXMATCH(E14171, ""Ben帳戶|Elsa帳戶|Ben代墊|Ariel代墊|中信銀行共用""), REGEXMATCH(F14171, ""Ben帳戶|Elsa帳戶|Ben代墊|Ariel代墊|中信銀行共用"")), ""內部轉帳(忽略)"",
  AND(E14171&lt;&gt;"""", F14171&lt;&gt;"&amp;""""", NOT(REGEXMATCH(C14171, ""薪資""))), ""內部轉帳(忽略)"",
  REGEXMATCH(C14171, ""薪資""), ""薪資變動(不計入)"",
  REGEXMATCH(C14171, ""押金""), ""押金往來"",
  AND(E14171&lt;&gt;"""", F14171=""""), ""真實支出"",
  AND(E14171="""", F14171&lt;&gt;""""), ""真實收入"",
  TRUE, ""其他""
)"),"其他")</f>
        <v>其他</v>
      </c>
      <c r="K14171" s="270" t="str">
        <f t="shared" si="2"/>
        <v/>
      </c>
      <c r="L14171">
        <f t="shared" si="3"/>
        <v>0</v>
      </c>
    </row>
    <row r="14172">
      <c r="A14172" s="107"/>
      <c r="D14172" s="270"/>
      <c r="H14172" s="106" t="str">
        <f t="shared" si="1"/>
        <v/>
      </c>
      <c r="J14172" t="str">
        <f>IFERROR(__xludf.DUMMYFUNCTION("IFS(
  AND(REGEXMATCH(E14172, ""台銀籌備帳戶|玉山帳戶""), REGEXMATCH(C14172, ""薪資"")), ""分潤支出"",
  AND(REGEXMATCH(E14172, ""Ben帳戶|Elsa帳戶|Ben代墊|Ariel代墊|中信銀行共用""), REGEXMATCH(F14172, ""Ben帳戶|Elsa帳戶|Ben代墊|Ariel代墊|中信銀行共用"")), ""內部轉帳(忽略)"",
  AND(E14172&lt;&gt;"""", F14172&lt;&gt;"&amp;""""", NOT(REGEXMATCH(C14172, ""薪資""))), ""內部轉帳(忽略)"",
  REGEXMATCH(C14172, ""薪資""), ""薪資變動(不計入)"",
  REGEXMATCH(C14172, ""押金""), ""押金往來"",
  AND(E14172&lt;&gt;"""", F14172=""""), ""真實支出"",
  AND(E14172="""", F14172&lt;&gt;""""), ""真實收入"",
  TRUE, ""其他""
)"),"其他")</f>
        <v>其他</v>
      </c>
      <c r="K14172" s="270" t="str">
        <f t="shared" si="2"/>
        <v/>
      </c>
      <c r="L14172">
        <f t="shared" si="3"/>
        <v>0</v>
      </c>
    </row>
    <row r="14173">
      <c r="A14173" s="107"/>
      <c r="D14173" s="270"/>
      <c r="H14173" s="106" t="str">
        <f t="shared" si="1"/>
        <v/>
      </c>
      <c r="J14173" t="str">
        <f>IFERROR(__xludf.DUMMYFUNCTION("IFS(
  AND(REGEXMATCH(E14173, ""台銀籌備帳戶|玉山帳戶""), REGEXMATCH(C14173, ""薪資"")), ""分潤支出"",
  AND(REGEXMATCH(E14173, ""Ben帳戶|Elsa帳戶|Ben代墊|Ariel代墊|中信銀行共用""), REGEXMATCH(F14173, ""Ben帳戶|Elsa帳戶|Ben代墊|Ariel代墊|中信銀行共用"")), ""內部轉帳(忽略)"",
  AND(E14173&lt;&gt;"""", F14173&lt;&gt;"&amp;""""", NOT(REGEXMATCH(C14173, ""薪資""))), ""內部轉帳(忽略)"",
  REGEXMATCH(C14173, ""薪資""), ""薪資變動(不計入)"",
  REGEXMATCH(C14173, ""押金""), ""押金往來"",
  AND(E14173&lt;&gt;"""", F14173=""""), ""真實支出"",
  AND(E14173="""", F14173&lt;&gt;""""), ""真實收入"",
  TRUE, ""其他""
)"),"其他")</f>
        <v>其他</v>
      </c>
      <c r="K14173" s="270" t="str">
        <f t="shared" si="2"/>
        <v/>
      </c>
      <c r="L14173">
        <f t="shared" si="3"/>
        <v>0</v>
      </c>
    </row>
    <row r="14174">
      <c r="A14174" s="107"/>
      <c r="D14174" s="270"/>
      <c r="H14174" s="106" t="str">
        <f t="shared" si="1"/>
        <v/>
      </c>
      <c r="J14174" t="str">
        <f>IFERROR(__xludf.DUMMYFUNCTION("IFS(
  AND(REGEXMATCH(E14174, ""台銀籌備帳戶|玉山帳戶""), REGEXMATCH(C14174, ""薪資"")), ""分潤支出"",
  AND(REGEXMATCH(E14174, ""Ben帳戶|Elsa帳戶|Ben代墊|Ariel代墊|中信銀行共用""), REGEXMATCH(F14174, ""Ben帳戶|Elsa帳戶|Ben代墊|Ariel代墊|中信銀行共用"")), ""內部轉帳(忽略)"",
  AND(E14174&lt;&gt;"""", F14174&lt;&gt;"&amp;""""", NOT(REGEXMATCH(C14174, ""薪資""))), ""內部轉帳(忽略)"",
  REGEXMATCH(C14174, ""薪資""), ""薪資變動(不計入)"",
  REGEXMATCH(C14174, ""押金""), ""押金往來"",
  AND(E14174&lt;&gt;"""", F14174=""""), ""真實支出"",
  AND(E14174="""", F14174&lt;&gt;""""), ""真實收入"",
  TRUE, ""其他""
)"),"其他")</f>
        <v>其他</v>
      </c>
      <c r="K14174" s="270" t="str">
        <f t="shared" si="2"/>
        <v/>
      </c>
      <c r="L14174">
        <f t="shared" si="3"/>
        <v>0</v>
      </c>
    </row>
    <row r="14175">
      <c r="A14175" s="107"/>
      <c r="D14175" s="270"/>
      <c r="H14175" s="106" t="str">
        <f t="shared" si="1"/>
        <v/>
      </c>
      <c r="J14175" t="str">
        <f>IFERROR(__xludf.DUMMYFUNCTION("IFS(
  AND(REGEXMATCH(E14175, ""台銀籌備帳戶|玉山帳戶""), REGEXMATCH(C14175, ""薪資"")), ""分潤支出"",
  AND(REGEXMATCH(E14175, ""Ben帳戶|Elsa帳戶|Ben代墊|Ariel代墊|中信銀行共用""), REGEXMATCH(F14175, ""Ben帳戶|Elsa帳戶|Ben代墊|Ariel代墊|中信銀行共用"")), ""內部轉帳(忽略)"",
  AND(E14175&lt;&gt;"""", F14175&lt;&gt;"&amp;""""", NOT(REGEXMATCH(C14175, ""薪資""))), ""內部轉帳(忽略)"",
  REGEXMATCH(C14175, ""薪資""), ""薪資變動(不計入)"",
  REGEXMATCH(C14175, ""押金""), ""押金往來"",
  AND(E14175&lt;&gt;"""", F14175=""""), ""真實支出"",
  AND(E14175="""", F14175&lt;&gt;""""), ""真實收入"",
  TRUE, ""其他""
)"),"其他")</f>
        <v>其他</v>
      </c>
      <c r="K14175" s="270" t="str">
        <f t="shared" si="2"/>
        <v/>
      </c>
      <c r="L14175">
        <f t="shared" si="3"/>
        <v>0</v>
      </c>
    </row>
    <row r="14176">
      <c r="A14176" s="107"/>
      <c r="D14176" s="270"/>
      <c r="H14176" s="106" t="str">
        <f t="shared" si="1"/>
        <v/>
      </c>
      <c r="J14176" t="str">
        <f>IFERROR(__xludf.DUMMYFUNCTION("IFS(
  AND(REGEXMATCH(E14176, ""台銀籌備帳戶|玉山帳戶""), REGEXMATCH(C14176, ""薪資"")), ""分潤支出"",
  AND(REGEXMATCH(E14176, ""Ben帳戶|Elsa帳戶|Ben代墊|Ariel代墊|中信銀行共用""), REGEXMATCH(F14176, ""Ben帳戶|Elsa帳戶|Ben代墊|Ariel代墊|中信銀行共用"")), ""內部轉帳(忽略)"",
  AND(E14176&lt;&gt;"""", F14176&lt;&gt;"&amp;""""", NOT(REGEXMATCH(C14176, ""薪資""))), ""內部轉帳(忽略)"",
  REGEXMATCH(C14176, ""薪資""), ""薪資變動(不計入)"",
  REGEXMATCH(C14176, ""押金""), ""押金往來"",
  AND(E14176&lt;&gt;"""", F14176=""""), ""真實支出"",
  AND(E14176="""", F14176&lt;&gt;""""), ""真實收入"",
  TRUE, ""其他""
)"),"其他")</f>
        <v>其他</v>
      </c>
      <c r="K14176" s="270" t="str">
        <f t="shared" si="2"/>
        <v/>
      </c>
      <c r="L14176">
        <f t="shared" si="3"/>
        <v>0</v>
      </c>
    </row>
    <row r="14177">
      <c r="A14177" s="107"/>
      <c r="D14177" s="270"/>
      <c r="H14177" s="106" t="str">
        <f t="shared" si="1"/>
        <v/>
      </c>
      <c r="J14177" t="str">
        <f>IFERROR(__xludf.DUMMYFUNCTION("IFS(
  AND(REGEXMATCH(E14177, ""台銀籌備帳戶|玉山帳戶""), REGEXMATCH(C14177, ""薪資"")), ""分潤支出"",
  AND(REGEXMATCH(E14177, ""Ben帳戶|Elsa帳戶|Ben代墊|Ariel代墊|中信銀行共用""), REGEXMATCH(F14177, ""Ben帳戶|Elsa帳戶|Ben代墊|Ariel代墊|中信銀行共用"")), ""內部轉帳(忽略)"",
  AND(E14177&lt;&gt;"""", F14177&lt;&gt;"&amp;""""", NOT(REGEXMATCH(C14177, ""薪資""))), ""內部轉帳(忽略)"",
  REGEXMATCH(C14177, ""薪資""), ""薪資變動(不計入)"",
  REGEXMATCH(C14177, ""押金""), ""押金往來"",
  AND(E14177&lt;&gt;"""", F14177=""""), ""真實支出"",
  AND(E14177="""", F14177&lt;&gt;""""), ""真實收入"",
  TRUE, ""其他""
)"),"其他")</f>
        <v>其他</v>
      </c>
      <c r="K14177" s="270" t="str">
        <f t="shared" si="2"/>
        <v/>
      </c>
      <c r="L14177">
        <f t="shared" si="3"/>
        <v>0</v>
      </c>
    </row>
    <row r="14178">
      <c r="A14178" s="107"/>
      <c r="D14178" s="270"/>
      <c r="H14178" s="106" t="str">
        <f t="shared" si="1"/>
        <v/>
      </c>
      <c r="J14178" t="str">
        <f>IFERROR(__xludf.DUMMYFUNCTION("IFS(
  AND(REGEXMATCH(E14178, ""台銀籌備帳戶|玉山帳戶""), REGEXMATCH(C14178, ""薪資"")), ""分潤支出"",
  AND(REGEXMATCH(E14178, ""Ben帳戶|Elsa帳戶|Ben代墊|Ariel代墊|中信銀行共用""), REGEXMATCH(F14178, ""Ben帳戶|Elsa帳戶|Ben代墊|Ariel代墊|中信銀行共用"")), ""內部轉帳(忽略)"",
  AND(E14178&lt;&gt;"""", F14178&lt;&gt;"&amp;""""", NOT(REGEXMATCH(C14178, ""薪資""))), ""內部轉帳(忽略)"",
  REGEXMATCH(C14178, ""薪資""), ""薪資變動(不計入)"",
  REGEXMATCH(C14178, ""押金""), ""押金往來"",
  AND(E14178&lt;&gt;"""", F14178=""""), ""真實支出"",
  AND(E14178="""", F14178&lt;&gt;""""), ""真實收入"",
  TRUE, ""其他""
)"),"其他")</f>
        <v>其他</v>
      </c>
      <c r="K14178" s="270" t="str">
        <f t="shared" si="2"/>
        <v/>
      </c>
      <c r="L14178">
        <f t="shared" si="3"/>
        <v>0</v>
      </c>
    </row>
    <row r="14179">
      <c r="A14179" s="107"/>
      <c r="D14179" s="270"/>
      <c r="H14179" s="106" t="str">
        <f t="shared" si="1"/>
        <v/>
      </c>
      <c r="J14179" t="str">
        <f>IFERROR(__xludf.DUMMYFUNCTION("IFS(
  AND(REGEXMATCH(E14179, ""台銀籌備帳戶|玉山帳戶""), REGEXMATCH(C14179, ""薪資"")), ""分潤支出"",
  AND(REGEXMATCH(E14179, ""Ben帳戶|Elsa帳戶|Ben代墊|Ariel代墊|中信銀行共用""), REGEXMATCH(F14179, ""Ben帳戶|Elsa帳戶|Ben代墊|Ariel代墊|中信銀行共用"")), ""內部轉帳(忽略)"",
  AND(E14179&lt;&gt;"""", F14179&lt;&gt;"&amp;""""", NOT(REGEXMATCH(C14179, ""薪資""))), ""內部轉帳(忽略)"",
  REGEXMATCH(C14179, ""薪資""), ""薪資變動(不計入)"",
  REGEXMATCH(C14179, ""押金""), ""押金往來"",
  AND(E14179&lt;&gt;"""", F14179=""""), ""真實支出"",
  AND(E14179="""", F14179&lt;&gt;""""), ""真實收入"",
  TRUE, ""其他""
)"),"其他")</f>
        <v>其他</v>
      </c>
      <c r="K14179" s="270" t="str">
        <f t="shared" si="2"/>
        <v/>
      </c>
      <c r="L14179">
        <f t="shared" si="3"/>
        <v>0</v>
      </c>
    </row>
    <row r="14180">
      <c r="A14180" s="107"/>
      <c r="D14180" s="270"/>
      <c r="H14180" s="106" t="str">
        <f t="shared" si="1"/>
        <v/>
      </c>
      <c r="J14180" t="str">
        <f>IFERROR(__xludf.DUMMYFUNCTION("IFS(
  AND(REGEXMATCH(E14180, ""台銀籌備帳戶|玉山帳戶""), REGEXMATCH(C14180, ""薪資"")), ""分潤支出"",
  AND(REGEXMATCH(E14180, ""Ben帳戶|Elsa帳戶|Ben代墊|Ariel代墊|中信銀行共用""), REGEXMATCH(F14180, ""Ben帳戶|Elsa帳戶|Ben代墊|Ariel代墊|中信銀行共用"")), ""內部轉帳(忽略)"",
  AND(E14180&lt;&gt;"""", F14180&lt;&gt;"&amp;""""", NOT(REGEXMATCH(C14180, ""薪資""))), ""內部轉帳(忽略)"",
  REGEXMATCH(C14180, ""薪資""), ""薪資變動(不計入)"",
  REGEXMATCH(C14180, ""押金""), ""押金往來"",
  AND(E14180&lt;&gt;"""", F14180=""""), ""真實支出"",
  AND(E14180="""", F14180&lt;&gt;""""), ""真實收入"",
  TRUE, ""其他""
)"),"其他")</f>
        <v>其他</v>
      </c>
      <c r="K14180" s="270" t="str">
        <f t="shared" si="2"/>
        <v/>
      </c>
      <c r="L14180">
        <f t="shared" si="3"/>
        <v>0</v>
      </c>
    </row>
    <row r="14181">
      <c r="A14181" s="107"/>
      <c r="D14181" s="270"/>
      <c r="H14181" s="106" t="str">
        <f t="shared" si="1"/>
        <v/>
      </c>
      <c r="J14181" t="str">
        <f>IFERROR(__xludf.DUMMYFUNCTION("IFS(
  AND(REGEXMATCH(E14181, ""台銀籌備帳戶|玉山帳戶""), REGEXMATCH(C14181, ""薪資"")), ""分潤支出"",
  AND(REGEXMATCH(E14181, ""Ben帳戶|Elsa帳戶|Ben代墊|Ariel代墊|中信銀行共用""), REGEXMATCH(F14181, ""Ben帳戶|Elsa帳戶|Ben代墊|Ariel代墊|中信銀行共用"")), ""內部轉帳(忽略)"",
  AND(E14181&lt;&gt;"""", F14181&lt;&gt;"&amp;""""", NOT(REGEXMATCH(C14181, ""薪資""))), ""內部轉帳(忽略)"",
  REGEXMATCH(C14181, ""薪資""), ""薪資變動(不計入)"",
  REGEXMATCH(C14181, ""押金""), ""押金往來"",
  AND(E14181&lt;&gt;"""", F14181=""""), ""真實支出"",
  AND(E14181="""", F14181&lt;&gt;""""), ""真實收入"",
  TRUE, ""其他""
)"),"其他")</f>
        <v>其他</v>
      </c>
      <c r="K14181" s="270" t="str">
        <f t="shared" si="2"/>
        <v/>
      </c>
      <c r="L14181">
        <f t="shared" si="3"/>
        <v>0</v>
      </c>
    </row>
    <row r="14182">
      <c r="A14182" s="107"/>
      <c r="D14182" s="270"/>
      <c r="H14182" s="106" t="str">
        <f t="shared" si="1"/>
        <v/>
      </c>
      <c r="J14182" t="str">
        <f>IFERROR(__xludf.DUMMYFUNCTION("IFS(
  AND(REGEXMATCH(E14182, ""台銀籌備帳戶|玉山帳戶""), REGEXMATCH(C14182, ""薪資"")), ""分潤支出"",
  AND(REGEXMATCH(E14182, ""Ben帳戶|Elsa帳戶|Ben代墊|Ariel代墊|中信銀行共用""), REGEXMATCH(F14182, ""Ben帳戶|Elsa帳戶|Ben代墊|Ariel代墊|中信銀行共用"")), ""內部轉帳(忽略)"",
  AND(E14182&lt;&gt;"""", F14182&lt;&gt;"&amp;""""", NOT(REGEXMATCH(C14182, ""薪資""))), ""內部轉帳(忽略)"",
  REGEXMATCH(C14182, ""薪資""), ""薪資變動(不計入)"",
  REGEXMATCH(C14182, ""押金""), ""押金往來"",
  AND(E14182&lt;&gt;"""", F14182=""""), ""真實支出"",
  AND(E14182="""", F14182&lt;&gt;""""), ""真實收入"",
  TRUE, ""其他""
)"),"其他")</f>
        <v>其他</v>
      </c>
      <c r="K14182" s="270" t="str">
        <f t="shared" si="2"/>
        <v/>
      </c>
      <c r="L14182">
        <f t="shared" si="3"/>
        <v>0</v>
      </c>
    </row>
    <row r="14183">
      <c r="A14183" s="107"/>
      <c r="D14183" s="270"/>
      <c r="H14183" s="106" t="str">
        <f t="shared" si="1"/>
        <v/>
      </c>
      <c r="J14183" t="str">
        <f>IFERROR(__xludf.DUMMYFUNCTION("IFS(
  AND(REGEXMATCH(E14183, ""台銀籌備帳戶|玉山帳戶""), REGEXMATCH(C14183, ""薪資"")), ""分潤支出"",
  AND(REGEXMATCH(E14183, ""Ben帳戶|Elsa帳戶|Ben代墊|Ariel代墊|中信銀行共用""), REGEXMATCH(F14183, ""Ben帳戶|Elsa帳戶|Ben代墊|Ariel代墊|中信銀行共用"")), ""內部轉帳(忽略)"",
  AND(E14183&lt;&gt;"""", F14183&lt;&gt;"&amp;""""", NOT(REGEXMATCH(C14183, ""薪資""))), ""內部轉帳(忽略)"",
  REGEXMATCH(C14183, ""薪資""), ""薪資變動(不計入)"",
  REGEXMATCH(C14183, ""押金""), ""押金往來"",
  AND(E14183&lt;&gt;"""", F14183=""""), ""真實支出"",
  AND(E14183="""", F14183&lt;&gt;""""), ""真實收入"",
  TRUE, ""其他""
)"),"其他")</f>
        <v>其他</v>
      </c>
      <c r="K14183" s="270" t="str">
        <f t="shared" si="2"/>
        <v/>
      </c>
      <c r="L14183">
        <f t="shared" si="3"/>
        <v>0</v>
      </c>
    </row>
    <row r="14184">
      <c r="A14184" s="107"/>
      <c r="D14184" s="270"/>
      <c r="H14184" s="106" t="str">
        <f t="shared" si="1"/>
        <v/>
      </c>
      <c r="J14184" t="str">
        <f>IFERROR(__xludf.DUMMYFUNCTION("IFS(
  AND(REGEXMATCH(E14184, ""台銀籌備帳戶|玉山帳戶""), REGEXMATCH(C14184, ""薪資"")), ""分潤支出"",
  AND(REGEXMATCH(E14184, ""Ben帳戶|Elsa帳戶|Ben代墊|Ariel代墊|中信銀行共用""), REGEXMATCH(F14184, ""Ben帳戶|Elsa帳戶|Ben代墊|Ariel代墊|中信銀行共用"")), ""內部轉帳(忽略)"",
  AND(E14184&lt;&gt;"""", F14184&lt;&gt;"&amp;""""", NOT(REGEXMATCH(C14184, ""薪資""))), ""內部轉帳(忽略)"",
  REGEXMATCH(C14184, ""薪資""), ""薪資變動(不計入)"",
  REGEXMATCH(C14184, ""押金""), ""押金往來"",
  AND(E14184&lt;&gt;"""", F14184=""""), ""真實支出"",
  AND(E14184="""", F14184&lt;&gt;""""), ""真實收入"",
  TRUE, ""其他""
)"),"其他")</f>
        <v>其他</v>
      </c>
      <c r="K14184" s="270" t="str">
        <f t="shared" si="2"/>
        <v/>
      </c>
      <c r="L14184">
        <f t="shared" si="3"/>
        <v>0</v>
      </c>
    </row>
    <row r="14185">
      <c r="A14185" s="107"/>
      <c r="D14185" s="270"/>
      <c r="H14185" s="106" t="str">
        <f t="shared" si="1"/>
        <v/>
      </c>
      <c r="J14185" t="str">
        <f>IFERROR(__xludf.DUMMYFUNCTION("IFS(
  AND(REGEXMATCH(E14185, ""台銀籌備帳戶|玉山帳戶""), REGEXMATCH(C14185, ""薪資"")), ""分潤支出"",
  AND(REGEXMATCH(E14185, ""Ben帳戶|Elsa帳戶|Ben代墊|Ariel代墊|中信銀行共用""), REGEXMATCH(F14185, ""Ben帳戶|Elsa帳戶|Ben代墊|Ariel代墊|中信銀行共用"")), ""內部轉帳(忽略)"",
  AND(E14185&lt;&gt;"""", F14185&lt;&gt;"&amp;""""", NOT(REGEXMATCH(C14185, ""薪資""))), ""內部轉帳(忽略)"",
  REGEXMATCH(C14185, ""薪資""), ""薪資變動(不計入)"",
  REGEXMATCH(C14185, ""押金""), ""押金往來"",
  AND(E14185&lt;&gt;"""", F14185=""""), ""真實支出"",
  AND(E14185="""", F14185&lt;&gt;""""), ""真實收入"",
  TRUE, ""其他""
)"),"其他")</f>
        <v>其他</v>
      </c>
      <c r="K14185" s="270" t="str">
        <f t="shared" si="2"/>
        <v/>
      </c>
      <c r="L14185">
        <f t="shared" si="3"/>
        <v>0</v>
      </c>
    </row>
    <row r="14186">
      <c r="A14186" s="107"/>
      <c r="D14186" s="270"/>
      <c r="H14186" s="106" t="str">
        <f t="shared" si="1"/>
        <v/>
      </c>
      <c r="J14186" t="str">
        <f>IFERROR(__xludf.DUMMYFUNCTION("IFS(
  AND(REGEXMATCH(E14186, ""台銀籌備帳戶|玉山帳戶""), REGEXMATCH(C14186, ""薪資"")), ""分潤支出"",
  AND(REGEXMATCH(E14186, ""Ben帳戶|Elsa帳戶|Ben代墊|Ariel代墊|中信銀行共用""), REGEXMATCH(F14186, ""Ben帳戶|Elsa帳戶|Ben代墊|Ariel代墊|中信銀行共用"")), ""內部轉帳(忽略)"",
  AND(E14186&lt;&gt;"""", F14186&lt;&gt;"&amp;""""", NOT(REGEXMATCH(C14186, ""薪資""))), ""內部轉帳(忽略)"",
  REGEXMATCH(C14186, ""薪資""), ""薪資變動(不計入)"",
  REGEXMATCH(C14186, ""押金""), ""押金往來"",
  AND(E14186&lt;&gt;"""", F14186=""""), ""真實支出"",
  AND(E14186="""", F14186&lt;&gt;""""), ""真實收入"",
  TRUE, ""其他""
)"),"其他")</f>
        <v>其他</v>
      </c>
      <c r="K14186" s="270" t="str">
        <f t="shared" si="2"/>
        <v/>
      </c>
      <c r="L14186">
        <f t="shared" si="3"/>
        <v>0</v>
      </c>
    </row>
    <row r="14187">
      <c r="A14187" s="107"/>
      <c r="D14187" s="270"/>
      <c r="H14187" s="106" t="str">
        <f t="shared" si="1"/>
        <v/>
      </c>
      <c r="J14187" t="str">
        <f>IFERROR(__xludf.DUMMYFUNCTION("IFS(
  AND(REGEXMATCH(E14187, ""台銀籌備帳戶|玉山帳戶""), REGEXMATCH(C14187, ""薪資"")), ""分潤支出"",
  AND(REGEXMATCH(E14187, ""Ben帳戶|Elsa帳戶|Ben代墊|Ariel代墊|中信銀行共用""), REGEXMATCH(F14187, ""Ben帳戶|Elsa帳戶|Ben代墊|Ariel代墊|中信銀行共用"")), ""內部轉帳(忽略)"",
  AND(E14187&lt;&gt;"""", F14187&lt;&gt;"&amp;""""", NOT(REGEXMATCH(C14187, ""薪資""))), ""內部轉帳(忽略)"",
  REGEXMATCH(C14187, ""薪資""), ""薪資變動(不計入)"",
  REGEXMATCH(C14187, ""押金""), ""押金往來"",
  AND(E14187&lt;&gt;"""", F14187=""""), ""真實支出"",
  AND(E14187="""", F14187&lt;&gt;""""), ""真實收入"",
  TRUE, ""其他""
)"),"其他")</f>
        <v>其他</v>
      </c>
      <c r="K14187" s="270" t="str">
        <f t="shared" si="2"/>
        <v/>
      </c>
      <c r="L14187">
        <f t="shared" si="3"/>
        <v>0</v>
      </c>
    </row>
    <row r="14188">
      <c r="A14188" s="107"/>
      <c r="D14188" s="270"/>
      <c r="H14188" s="106" t="str">
        <f t="shared" si="1"/>
        <v/>
      </c>
      <c r="J14188" t="str">
        <f>IFERROR(__xludf.DUMMYFUNCTION("IFS(
  AND(REGEXMATCH(E14188, ""台銀籌備帳戶|玉山帳戶""), REGEXMATCH(C14188, ""薪資"")), ""分潤支出"",
  AND(REGEXMATCH(E14188, ""Ben帳戶|Elsa帳戶|Ben代墊|Ariel代墊|中信銀行共用""), REGEXMATCH(F14188, ""Ben帳戶|Elsa帳戶|Ben代墊|Ariel代墊|中信銀行共用"")), ""內部轉帳(忽略)"",
  AND(E14188&lt;&gt;"""", F14188&lt;&gt;"&amp;""""", NOT(REGEXMATCH(C14188, ""薪資""))), ""內部轉帳(忽略)"",
  REGEXMATCH(C14188, ""薪資""), ""薪資變動(不計入)"",
  REGEXMATCH(C14188, ""押金""), ""押金往來"",
  AND(E14188&lt;&gt;"""", F14188=""""), ""真實支出"",
  AND(E14188="""", F14188&lt;&gt;""""), ""真實收入"",
  TRUE, ""其他""
)"),"其他")</f>
        <v>其他</v>
      </c>
      <c r="K14188" s="270" t="str">
        <f t="shared" si="2"/>
        <v/>
      </c>
      <c r="L14188">
        <f t="shared" si="3"/>
        <v>0</v>
      </c>
    </row>
    <row r="14189">
      <c r="A14189" s="107"/>
      <c r="D14189" s="270"/>
      <c r="H14189" s="106" t="str">
        <f t="shared" si="1"/>
        <v/>
      </c>
      <c r="J14189" t="str">
        <f>IFERROR(__xludf.DUMMYFUNCTION("IFS(
  AND(REGEXMATCH(E14189, ""台銀籌備帳戶|玉山帳戶""), REGEXMATCH(C14189, ""薪資"")), ""分潤支出"",
  AND(REGEXMATCH(E14189, ""Ben帳戶|Elsa帳戶|Ben代墊|Ariel代墊|中信銀行共用""), REGEXMATCH(F14189, ""Ben帳戶|Elsa帳戶|Ben代墊|Ariel代墊|中信銀行共用"")), ""內部轉帳(忽略)"",
  AND(E14189&lt;&gt;"""", F14189&lt;&gt;"&amp;""""", NOT(REGEXMATCH(C14189, ""薪資""))), ""內部轉帳(忽略)"",
  REGEXMATCH(C14189, ""薪資""), ""薪資變動(不計入)"",
  REGEXMATCH(C14189, ""押金""), ""押金往來"",
  AND(E14189&lt;&gt;"""", F14189=""""), ""真實支出"",
  AND(E14189="""", F14189&lt;&gt;""""), ""真實收入"",
  TRUE, ""其他""
)"),"其他")</f>
        <v>其他</v>
      </c>
      <c r="K14189" s="270" t="str">
        <f t="shared" si="2"/>
        <v/>
      </c>
      <c r="L14189">
        <f t="shared" si="3"/>
        <v>0</v>
      </c>
    </row>
    <row r="14190">
      <c r="A14190" s="107"/>
      <c r="D14190" s="270"/>
      <c r="H14190" s="106" t="str">
        <f t="shared" si="1"/>
        <v/>
      </c>
      <c r="J14190" t="str">
        <f>IFERROR(__xludf.DUMMYFUNCTION("IFS(
  AND(REGEXMATCH(E14190, ""台銀籌備帳戶|玉山帳戶""), REGEXMATCH(C14190, ""薪資"")), ""分潤支出"",
  AND(REGEXMATCH(E14190, ""Ben帳戶|Elsa帳戶|Ben代墊|Ariel代墊|中信銀行共用""), REGEXMATCH(F14190, ""Ben帳戶|Elsa帳戶|Ben代墊|Ariel代墊|中信銀行共用"")), ""內部轉帳(忽略)"",
  AND(E14190&lt;&gt;"""", F14190&lt;&gt;"&amp;""""", NOT(REGEXMATCH(C14190, ""薪資""))), ""內部轉帳(忽略)"",
  REGEXMATCH(C14190, ""薪資""), ""薪資變動(不計入)"",
  REGEXMATCH(C14190, ""押金""), ""押金往來"",
  AND(E14190&lt;&gt;"""", F14190=""""), ""真實支出"",
  AND(E14190="""", F14190&lt;&gt;""""), ""真實收入"",
  TRUE, ""其他""
)"),"其他")</f>
        <v>其他</v>
      </c>
      <c r="K14190" s="270" t="str">
        <f t="shared" si="2"/>
        <v/>
      </c>
      <c r="L14190">
        <f t="shared" si="3"/>
        <v>0</v>
      </c>
    </row>
    <row r="14191">
      <c r="A14191" s="107"/>
      <c r="D14191" s="270"/>
      <c r="H14191" s="106" t="str">
        <f t="shared" si="1"/>
        <v/>
      </c>
      <c r="J14191" t="str">
        <f>IFERROR(__xludf.DUMMYFUNCTION("IFS(
  AND(REGEXMATCH(E14191, ""台銀籌備帳戶|玉山帳戶""), REGEXMATCH(C14191, ""薪資"")), ""分潤支出"",
  AND(REGEXMATCH(E14191, ""Ben帳戶|Elsa帳戶|Ben代墊|Ariel代墊|中信銀行共用""), REGEXMATCH(F14191, ""Ben帳戶|Elsa帳戶|Ben代墊|Ariel代墊|中信銀行共用"")), ""內部轉帳(忽略)"",
  AND(E14191&lt;&gt;"""", F14191&lt;&gt;"&amp;""""", NOT(REGEXMATCH(C14191, ""薪資""))), ""內部轉帳(忽略)"",
  REGEXMATCH(C14191, ""薪資""), ""薪資變動(不計入)"",
  REGEXMATCH(C14191, ""押金""), ""押金往來"",
  AND(E14191&lt;&gt;"""", F14191=""""), ""真實支出"",
  AND(E14191="""", F14191&lt;&gt;""""), ""真實收入"",
  TRUE, ""其他""
)"),"其他")</f>
        <v>其他</v>
      </c>
      <c r="K14191" s="270" t="str">
        <f t="shared" si="2"/>
        <v/>
      </c>
      <c r="L14191">
        <f t="shared" si="3"/>
        <v>0</v>
      </c>
    </row>
    <row r="14192">
      <c r="A14192" s="107"/>
      <c r="D14192" s="270"/>
      <c r="H14192" s="106" t="str">
        <f t="shared" si="1"/>
        <v/>
      </c>
      <c r="J14192" t="str">
        <f>IFERROR(__xludf.DUMMYFUNCTION("IFS(
  AND(REGEXMATCH(E14192, ""台銀籌備帳戶|玉山帳戶""), REGEXMATCH(C14192, ""薪資"")), ""分潤支出"",
  AND(REGEXMATCH(E14192, ""Ben帳戶|Elsa帳戶|Ben代墊|Ariel代墊|中信銀行共用""), REGEXMATCH(F14192, ""Ben帳戶|Elsa帳戶|Ben代墊|Ariel代墊|中信銀行共用"")), ""內部轉帳(忽略)"",
  AND(E14192&lt;&gt;"""", F14192&lt;&gt;"&amp;""""", NOT(REGEXMATCH(C14192, ""薪資""))), ""內部轉帳(忽略)"",
  REGEXMATCH(C14192, ""薪資""), ""薪資變動(不計入)"",
  REGEXMATCH(C14192, ""押金""), ""押金往來"",
  AND(E14192&lt;&gt;"""", F14192=""""), ""真實支出"",
  AND(E14192="""", F14192&lt;&gt;""""), ""真實收入"",
  TRUE, ""其他""
)"),"其他")</f>
        <v>其他</v>
      </c>
      <c r="K14192" s="270" t="str">
        <f t="shared" si="2"/>
        <v/>
      </c>
      <c r="L14192">
        <f t="shared" si="3"/>
        <v>0</v>
      </c>
    </row>
    <row r="14193">
      <c r="A14193" s="107"/>
      <c r="D14193" s="270"/>
      <c r="H14193" s="106" t="str">
        <f t="shared" si="1"/>
        <v/>
      </c>
      <c r="J14193" t="str">
        <f>IFERROR(__xludf.DUMMYFUNCTION("IFS(
  AND(REGEXMATCH(E14193, ""台銀籌備帳戶|玉山帳戶""), REGEXMATCH(C14193, ""薪資"")), ""分潤支出"",
  AND(REGEXMATCH(E14193, ""Ben帳戶|Elsa帳戶|Ben代墊|Ariel代墊|中信銀行共用""), REGEXMATCH(F14193, ""Ben帳戶|Elsa帳戶|Ben代墊|Ariel代墊|中信銀行共用"")), ""內部轉帳(忽略)"",
  AND(E14193&lt;&gt;"""", F14193&lt;&gt;"&amp;""""", NOT(REGEXMATCH(C14193, ""薪資""))), ""內部轉帳(忽略)"",
  REGEXMATCH(C14193, ""薪資""), ""薪資變動(不計入)"",
  REGEXMATCH(C14193, ""押金""), ""押金往來"",
  AND(E14193&lt;&gt;"""", F14193=""""), ""真實支出"",
  AND(E14193="""", F14193&lt;&gt;""""), ""真實收入"",
  TRUE, ""其他""
)"),"其他")</f>
        <v>其他</v>
      </c>
      <c r="K14193" s="270" t="str">
        <f t="shared" si="2"/>
        <v/>
      </c>
      <c r="L14193">
        <f t="shared" si="3"/>
        <v>0</v>
      </c>
    </row>
    <row r="14194">
      <c r="A14194" s="107"/>
      <c r="D14194" s="270"/>
      <c r="H14194" s="106" t="str">
        <f t="shared" si="1"/>
        <v/>
      </c>
      <c r="J14194" t="str">
        <f>IFERROR(__xludf.DUMMYFUNCTION("IFS(
  AND(REGEXMATCH(E14194, ""台銀籌備帳戶|玉山帳戶""), REGEXMATCH(C14194, ""薪資"")), ""分潤支出"",
  AND(REGEXMATCH(E14194, ""Ben帳戶|Elsa帳戶|Ben代墊|Ariel代墊|中信銀行共用""), REGEXMATCH(F14194, ""Ben帳戶|Elsa帳戶|Ben代墊|Ariel代墊|中信銀行共用"")), ""內部轉帳(忽略)"",
  AND(E14194&lt;&gt;"""", F14194&lt;&gt;"&amp;""""", NOT(REGEXMATCH(C14194, ""薪資""))), ""內部轉帳(忽略)"",
  REGEXMATCH(C14194, ""薪資""), ""薪資變動(不計入)"",
  REGEXMATCH(C14194, ""押金""), ""押金往來"",
  AND(E14194&lt;&gt;"""", F14194=""""), ""真實支出"",
  AND(E14194="""", F14194&lt;&gt;""""), ""真實收入"",
  TRUE, ""其他""
)"),"其他")</f>
        <v>其他</v>
      </c>
      <c r="K14194" s="270" t="str">
        <f t="shared" si="2"/>
        <v/>
      </c>
      <c r="L14194">
        <f t="shared" si="3"/>
        <v>0</v>
      </c>
    </row>
    <row r="14195">
      <c r="A14195" s="107"/>
      <c r="D14195" s="270"/>
      <c r="H14195" s="106" t="str">
        <f t="shared" si="1"/>
        <v/>
      </c>
      <c r="J14195" t="str">
        <f>IFERROR(__xludf.DUMMYFUNCTION("IFS(
  AND(REGEXMATCH(E14195, ""台銀籌備帳戶|玉山帳戶""), REGEXMATCH(C14195, ""薪資"")), ""分潤支出"",
  AND(REGEXMATCH(E14195, ""Ben帳戶|Elsa帳戶|Ben代墊|Ariel代墊|中信銀行共用""), REGEXMATCH(F14195, ""Ben帳戶|Elsa帳戶|Ben代墊|Ariel代墊|中信銀行共用"")), ""內部轉帳(忽略)"",
  AND(E14195&lt;&gt;"""", F14195&lt;&gt;"&amp;""""", NOT(REGEXMATCH(C14195, ""薪資""))), ""內部轉帳(忽略)"",
  REGEXMATCH(C14195, ""薪資""), ""薪資變動(不計入)"",
  REGEXMATCH(C14195, ""押金""), ""押金往來"",
  AND(E14195&lt;&gt;"""", F14195=""""), ""真實支出"",
  AND(E14195="""", F14195&lt;&gt;""""), ""真實收入"",
  TRUE, ""其他""
)"),"其他")</f>
        <v>其他</v>
      </c>
      <c r="K14195" s="270" t="str">
        <f t="shared" si="2"/>
        <v/>
      </c>
      <c r="L14195">
        <f t="shared" si="3"/>
        <v>0</v>
      </c>
    </row>
    <row r="14196">
      <c r="A14196" s="107"/>
      <c r="D14196" s="270"/>
      <c r="H14196" s="106" t="str">
        <f t="shared" si="1"/>
        <v/>
      </c>
      <c r="J14196" t="str">
        <f>IFERROR(__xludf.DUMMYFUNCTION("IFS(
  AND(REGEXMATCH(E14196, ""台銀籌備帳戶|玉山帳戶""), REGEXMATCH(C14196, ""薪資"")), ""分潤支出"",
  AND(REGEXMATCH(E14196, ""Ben帳戶|Elsa帳戶|Ben代墊|Ariel代墊|中信銀行共用""), REGEXMATCH(F14196, ""Ben帳戶|Elsa帳戶|Ben代墊|Ariel代墊|中信銀行共用"")), ""內部轉帳(忽略)"",
  AND(E14196&lt;&gt;"""", F14196&lt;&gt;"&amp;""""", NOT(REGEXMATCH(C14196, ""薪資""))), ""內部轉帳(忽略)"",
  REGEXMATCH(C14196, ""薪資""), ""薪資變動(不計入)"",
  REGEXMATCH(C14196, ""押金""), ""押金往來"",
  AND(E14196&lt;&gt;"""", F14196=""""), ""真實支出"",
  AND(E14196="""", F14196&lt;&gt;""""), ""真實收入"",
  TRUE, ""其他""
)"),"其他")</f>
        <v>其他</v>
      </c>
      <c r="K14196" s="270" t="str">
        <f t="shared" si="2"/>
        <v/>
      </c>
      <c r="L14196">
        <f t="shared" si="3"/>
        <v>0</v>
      </c>
    </row>
    <row r="14197">
      <c r="A14197" s="107"/>
      <c r="D14197" s="270"/>
      <c r="H14197" s="106" t="str">
        <f t="shared" si="1"/>
        <v/>
      </c>
      <c r="J14197" t="str">
        <f>IFERROR(__xludf.DUMMYFUNCTION("IFS(
  AND(REGEXMATCH(E14197, ""台銀籌備帳戶|玉山帳戶""), REGEXMATCH(C14197, ""薪資"")), ""分潤支出"",
  AND(REGEXMATCH(E14197, ""Ben帳戶|Elsa帳戶|Ben代墊|Ariel代墊|中信銀行共用""), REGEXMATCH(F14197, ""Ben帳戶|Elsa帳戶|Ben代墊|Ariel代墊|中信銀行共用"")), ""內部轉帳(忽略)"",
  AND(E14197&lt;&gt;"""", F14197&lt;&gt;"&amp;""""", NOT(REGEXMATCH(C14197, ""薪資""))), ""內部轉帳(忽略)"",
  REGEXMATCH(C14197, ""薪資""), ""薪資變動(不計入)"",
  REGEXMATCH(C14197, ""押金""), ""押金往來"",
  AND(E14197&lt;&gt;"""", F14197=""""), ""真實支出"",
  AND(E14197="""", F14197&lt;&gt;""""), ""真實收入"",
  TRUE, ""其他""
)"),"其他")</f>
        <v>其他</v>
      </c>
      <c r="K14197" s="270" t="str">
        <f t="shared" si="2"/>
        <v/>
      </c>
      <c r="L14197">
        <f t="shared" si="3"/>
        <v>0</v>
      </c>
    </row>
    <row r="14198">
      <c r="A14198" s="107"/>
      <c r="D14198" s="270"/>
      <c r="H14198" s="106" t="str">
        <f t="shared" si="1"/>
        <v/>
      </c>
      <c r="J14198" t="str">
        <f>IFERROR(__xludf.DUMMYFUNCTION("IFS(
  AND(REGEXMATCH(E14198, ""台銀籌備帳戶|玉山帳戶""), REGEXMATCH(C14198, ""薪資"")), ""分潤支出"",
  AND(REGEXMATCH(E14198, ""Ben帳戶|Elsa帳戶|Ben代墊|Ariel代墊|中信銀行共用""), REGEXMATCH(F14198, ""Ben帳戶|Elsa帳戶|Ben代墊|Ariel代墊|中信銀行共用"")), ""內部轉帳(忽略)"",
  AND(E14198&lt;&gt;"""", F14198&lt;&gt;"&amp;""""", NOT(REGEXMATCH(C14198, ""薪資""))), ""內部轉帳(忽略)"",
  REGEXMATCH(C14198, ""薪資""), ""薪資變動(不計入)"",
  REGEXMATCH(C14198, ""押金""), ""押金往來"",
  AND(E14198&lt;&gt;"""", F14198=""""), ""真實支出"",
  AND(E14198="""", F14198&lt;&gt;""""), ""真實收入"",
  TRUE, ""其他""
)"),"其他")</f>
        <v>其他</v>
      </c>
      <c r="K14198" s="270" t="str">
        <f t="shared" si="2"/>
        <v/>
      </c>
      <c r="L14198">
        <f t="shared" si="3"/>
        <v>0</v>
      </c>
    </row>
    <row r="14199">
      <c r="A14199" s="107"/>
      <c r="D14199" s="270"/>
      <c r="H14199" s="106" t="str">
        <f t="shared" si="1"/>
        <v/>
      </c>
      <c r="J14199" t="str">
        <f>IFERROR(__xludf.DUMMYFUNCTION("IFS(
  AND(REGEXMATCH(E14199, ""台銀籌備帳戶|玉山帳戶""), REGEXMATCH(C14199, ""薪資"")), ""分潤支出"",
  AND(REGEXMATCH(E14199, ""Ben帳戶|Elsa帳戶|Ben代墊|Ariel代墊|中信銀行共用""), REGEXMATCH(F14199, ""Ben帳戶|Elsa帳戶|Ben代墊|Ariel代墊|中信銀行共用"")), ""內部轉帳(忽略)"",
  AND(E14199&lt;&gt;"""", F14199&lt;&gt;"&amp;""""", NOT(REGEXMATCH(C14199, ""薪資""))), ""內部轉帳(忽略)"",
  REGEXMATCH(C14199, ""薪資""), ""薪資變動(不計入)"",
  REGEXMATCH(C14199, ""押金""), ""押金往來"",
  AND(E14199&lt;&gt;"""", F14199=""""), ""真實支出"",
  AND(E14199="""", F14199&lt;&gt;""""), ""真實收入"",
  TRUE, ""其他""
)"),"其他")</f>
        <v>其他</v>
      </c>
      <c r="K14199" s="270" t="str">
        <f t="shared" si="2"/>
        <v/>
      </c>
      <c r="L14199">
        <f t="shared" si="3"/>
        <v>0</v>
      </c>
    </row>
    <row r="14200">
      <c r="A14200" s="107"/>
      <c r="D14200" s="270"/>
      <c r="H14200" s="106" t="str">
        <f t="shared" si="1"/>
        <v/>
      </c>
      <c r="J14200" t="str">
        <f>IFERROR(__xludf.DUMMYFUNCTION("IFS(
  AND(REGEXMATCH(E14200, ""台銀籌備帳戶|玉山帳戶""), REGEXMATCH(C14200, ""薪資"")), ""分潤支出"",
  AND(REGEXMATCH(E14200, ""Ben帳戶|Elsa帳戶|Ben代墊|Ariel代墊|中信銀行共用""), REGEXMATCH(F14200, ""Ben帳戶|Elsa帳戶|Ben代墊|Ariel代墊|中信銀行共用"")), ""內部轉帳(忽略)"",
  AND(E14200&lt;&gt;"""", F14200&lt;&gt;"&amp;""""", NOT(REGEXMATCH(C14200, ""薪資""))), ""內部轉帳(忽略)"",
  REGEXMATCH(C14200, ""薪資""), ""薪資變動(不計入)"",
  REGEXMATCH(C14200, ""押金""), ""押金往來"",
  AND(E14200&lt;&gt;"""", F14200=""""), ""真實支出"",
  AND(E14200="""", F14200&lt;&gt;""""), ""真實收入"",
  TRUE, ""其他""
)"),"其他")</f>
        <v>其他</v>
      </c>
      <c r="K14200" s="270" t="str">
        <f t="shared" si="2"/>
        <v/>
      </c>
      <c r="L14200">
        <f t="shared" si="3"/>
        <v>0</v>
      </c>
    </row>
    <row r="14201">
      <c r="A14201" s="107"/>
      <c r="D14201" s="270"/>
      <c r="H14201" s="106" t="str">
        <f t="shared" si="1"/>
        <v/>
      </c>
      <c r="J14201" t="str">
        <f>IFERROR(__xludf.DUMMYFUNCTION("IFS(
  AND(REGEXMATCH(E14201, ""台銀籌備帳戶|玉山帳戶""), REGEXMATCH(C14201, ""薪資"")), ""分潤支出"",
  AND(REGEXMATCH(E14201, ""Ben帳戶|Elsa帳戶|Ben代墊|Ariel代墊|中信銀行共用""), REGEXMATCH(F14201, ""Ben帳戶|Elsa帳戶|Ben代墊|Ariel代墊|中信銀行共用"")), ""內部轉帳(忽略)"",
  AND(E14201&lt;&gt;"""", F14201&lt;&gt;"&amp;""""", NOT(REGEXMATCH(C14201, ""薪資""))), ""內部轉帳(忽略)"",
  REGEXMATCH(C14201, ""薪資""), ""薪資變動(不計入)"",
  REGEXMATCH(C14201, ""押金""), ""押金往來"",
  AND(E14201&lt;&gt;"""", F14201=""""), ""真實支出"",
  AND(E14201="""", F14201&lt;&gt;""""), ""真實收入"",
  TRUE, ""其他""
)"),"其他")</f>
        <v>其他</v>
      </c>
      <c r="K14201" s="270" t="str">
        <f t="shared" si="2"/>
        <v/>
      </c>
      <c r="L14201">
        <f t="shared" si="3"/>
        <v>0</v>
      </c>
    </row>
    <row r="14202">
      <c r="A14202" s="107"/>
      <c r="D14202" s="270"/>
      <c r="H14202" s="106" t="str">
        <f t="shared" si="1"/>
        <v/>
      </c>
      <c r="J14202" t="str">
        <f>IFERROR(__xludf.DUMMYFUNCTION("IFS(
  AND(REGEXMATCH(E14202, ""台銀籌備帳戶|玉山帳戶""), REGEXMATCH(C14202, ""薪資"")), ""分潤支出"",
  AND(REGEXMATCH(E14202, ""Ben帳戶|Elsa帳戶|Ben代墊|Ariel代墊|中信銀行共用""), REGEXMATCH(F14202, ""Ben帳戶|Elsa帳戶|Ben代墊|Ariel代墊|中信銀行共用"")), ""內部轉帳(忽略)"",
  AND(E14202&lt;&gt;"""", F14202&lt;&gt;"&amp;""""", NOT(REGEXMATCH(C14202, ""薪資""))), ""內部轉帳(忽略)"",
  REGEXMATCH(C14202, ""薪資""), ""薪資變動(不計入)"",
  REGEXMATCH(C14202, ""押金""), ""押金往來"",
  AND(E14202&lt;&gt;"""", F14202=""""), ""真實支出"",
  AND(E14202="""", F14202&lt;&gt;""""), ""真實收入"",
  TRUE, ""其他""
)"),"其他")</f>
        <v>其他</v>
      </c>
      <c r="K14202" s="270" t="str">
        <f t="shared" si="2"/>
        <v/>
      </c>
      <c r="L14202">
        <f t="shared" si="3"/>
        <v>0</v>
      </c>
    </row>
    <row r="14203">
      <c r="A14203" s="107"/>
      <c r="D14203" s="270"/>
      <c r="H14203" s="106" t="str">
        <f t="shared" si="1"/>
        <v/>
      </c>
      <c r="J14203" t="str">
        <f>IFERROR(__xludf.DUMMYFUNCTION("IFS(
  AND(REGEXMATCH(E14203, ""台銀籌備帳戶|玉山帳戶""), REGEXMATCH(C14203, ""薪資"")), ""分潤支出"",
  AND(REGEXMATCH(E14203, ""Ben帳戶|Elsa帳戶|Ben代墊|Ariel代墊|中信銀行共用""), REGEXMATCH(F14203, ""Ben帳戶|Elsa帳戶|Ben代墊|Ariel代墊|中信銀行共用"")), ""內部轉帳(忽略)"",
  AND(E14203&lt;&gt;"""", F14203&lt;&gt;"&amp;""""", NOT(REGEXMATCH(C14203, ""薪資""))), ""內部轉帳(忽略)"",
  REGEXMATCH(C14203, ""薪資""), ""薪資變動(不計入)"",
  REGEXMATCH(C14203, ""押金""), ""押金往來"",
  AND(E14203&lt;&gt;"""", F14203=""""), ""真實支出"",
  AND(E14203="""", F14203&lt;&gt;""""), ""真實收入"",
  TRUE, ""其他""
)"),"其他")</f>
        <v>其他</v>
      </c>
      <c r="K14203" s="270" t="str">
        <f t="shared" si="2"/>
        <v/>
      </c>
      <c r="L14203">
        <f t="shared" si="3"/>
        <v>0</v>
      </c>
    </row>
    <row r="14204">
      <c r="A14204" s="107"/>
      <c r="D14204" s="270"/>
      <c r="H14204" s="106" t="str">
        <f t="shared" si="1"/>
        <v/>
      </c>
      <c r="J14204" t="str">
        <f>IFERROR(__xludf.DUMMYFUNCTION("IFS(
  AND(REGEXMATCH(E14204, ""台銀籌備帳戶|玉山帳戶""), REGEXMATCH(C14204, ""薪資"")), ""分潤支出"",
  AND(REGEXMATCH(E14204, ""Ben帳戶|Elsa帳戶|Ben代墊|Ariel代墊|中信銀行共用""), REGEXMATCH(F14204, ""Ben帳戶|Elsa帳戶|Ben代墊|Ariel代墊|中信銀行共用"")), ""內部轉帳(忽略)"",
  AND(E14204&lt;&gt;"""", F14204&lt;&gt;"&amp;""""", NOT(REGEXMATCH(C14204, ""薪資""))), ""內部轉帳(忽略)"",
  REGEXMATCH(C14204, ""薪資""), ""薪資變動(不計入)"",
  REGEXMATCH(C14204, ""押金""), ""押金往來"",
  AND(E14204&lt;&gt;"""", F14204=""""), ""真實支出"",
  AND(E14204="""", F14204&lt;&gt;""""), ""真實收入"",
  TRUE, ""其他""
)"),"其他")</f>
        <v>其他</v>
      </c>
      <c r="K14204" s="270" t="str">
        <f t="shared" si="2"/>
        <v/>
      </c>
      <c r="L14204">
        <f t="shared" si="3"/>
        <v>0</v>
      </c>
    </row>
    <row r="14205">
      <c r="A14205" s="107"/>
      <c r="D14205" s="270"/>
      <c r="H14205" s="106" t="str">
        <f t="shared" si="1"/>
        <v/>
      </c>
      <c r="J14205" t="str">
        <f>IFERROR(__xludf.DUMMYFUNCTION("IFS(
  AND(REGEXMATCH(E14205, ""台銀籌備帳戶|玉山帳戶""), REGEXMATCH(C14205, ""薪資"")), ""分潤支出"",
  AND(REGEXMATCH(E14205, ""Ben帳戶|Elsa帳戶|Ben代墊|Ariel代墊|中信銀行共用""), REGEXMATCH(F14205, ""Ben帳戶|Elsa帳戶|Ben代墊|Ariel代墊|中信銀行共用"")), ""內部轉帳(忽略)"",
  AND(E14205&lt;&gt;"""", F14205&lt;&gt;"&amp;""""", NOT(REGEXMATCH(C14205, ""薪資""))), ""內部轉帳(忽略)"",
  REGEXMATCH(C14205, ""薪資""), ""薪資變動(不計入)"",
  REGEXMATCH(C14205, ""押金""), ""押金往來"",
  AND(E14205&lt;&gt;"""", F14205=""""), ""真實支出"",
  AND(E14205="""", F14205&lt;&gt;""""), ""真實收入"",
  TRUE, ""其他""
)"),"其他")</f>
        <v>其他</v>
      </c>
      <c r="K14205" s="270" t="str">
        <f t="shared" si="2"/>
        <v/>
      </c>
      <c r="L14205">
        <f t="shared" si="3"/>
        <v>0</v>
      </c>
    </row>
    <row r="14206">
      <c r="A14206" s="107"/>
      <c r="D14206" s="270"/>
      <c r="H14206" s="106" t="str">
        <f t="shared" si="1"/>
        <v/>
      </c>
      <c r="J14206" t="str">
        <f>IFERROR(__xludf.DUMMYFUNCTION("IFS(
  AND(REGEXMATCH(E14206, ""台銀籌備帳戶|玉山帳戶""), REGEXMATCH(C14206, ""薪資"")), ""分潤支出"",
  AND(REGEXMATCH(E14206, ""Ben帳戶|Elsa帳戶|Ben代墊|Ariel代墊|中信銀行共用""), REGEXMATCH(F14206, ""Ben帳戶|Elsa帳戶|Ben代墊|Ariel代墊|中信銀行共用"")), ""內部轉帳(忽略)"",
  AND(E14206&lt;&gt;"""", F14206&lt;&gt;"&amp;""""", NOT(REGEXMATCH(C14206, ""薪資""))), ""內部轉帳(忽略)"",
  REGEXMATCH(C14206, ""薪資""), ""薪資變動(不計入)"",
  REGEXMATCH(C14206, ""押金""), ""押金往來"",
  AND(E14206&lt;&gt;"""", F14206=""""), ""真實支出"",
  AND(E14206="""", F14206&lt;&gt;""""), ""真實收入"",
  TRUE, ""其他""
)"),"其他")</f>
        <v>其他</v>
      </c>
      <c r="K14206" s="270" t="str">
        <f t="shared" si="2"/>
        <v/>
      </c>
      <c r="L14206">
        <f t="shared" si="3"/>
        <v>0</v>
      </c>
    </row>
    <row r="14207">
      <c r="A14207" s="107"/>
      <c r="D14207" s="270"/>
      <c r="H14207" s="106" t="str">
        <f t="shared" si="1"/>
        <v/>
      </c>
      <c r="J14207" t="str">
        <f>IFERROR(__xludf.DUMMYFUNCTION("IFS(
  AND(REGEXMATCH(E14207, ""台銀籌備帳戶|玉山帳戶""), REGEXMATCH(C14207, ""薪資"")), ""分潤支出"",
  AND(REGEXMATCH(E14207, ""Ben帳戶|Elsa帳戶|Ben代墊|Ariel代墊|中信銀行共用""), REGEXMATCH(F14207, ""Ben帳戶|Elsa帳戶|Ben代墊|Ariel代墊|中信銀行共用"")), ""內部轉帳(忽略)"",
  AND(E14207&lt;&gt;"""", F14207&lt;&gt;"&amp;""""", NOT(REGEXMATCH(C14207, ""薪資""))), ""內部轉帳(忽略)"",
  REGEXMATCH(C14207, ""薪資""), ""薪資變動(不計入)"",
  REGEXMATCH(C14207, ""押金""), ""押金往來"",
  AND(E14207&lt;&gt;"""", F14207=""""), ""真實支出"",
  AND(E14207="""", F14207&lt;&gt;""""), ""真實收入"",
  TRUE, ""其他""
)"),"其他")</f>
        <v>其他</v>
      </c>
      <c r="K14207" s="270" t="str">
        <f t="shared" si="2"/>
        <v/>
      </c>
      <c r="L14207">
        <f t="shared" si="3"/>
        <v>0</v>
      </c>
    </row>
    <row r="14208">
      <c r="A14208" s="107"/>
      <c r="D14208" s="270"/>
      <c r="H14208" s="106" t="str">
        <f t="shared" si="1"/>
        <v/>
      </c>
      <c r="J14208" t="str">
        <f>IFERROR(__xludf.DUMMYFUNCTION("IFS(
  AND(REGEXMATCH(E14208, ""台銀籌備帳戶|玉山帳戶""), REGEXMATCH(C14208, ""薪資"")), ""分潤支出"",
  AND(REGEXMATCH(E14208, ""Ben帳戶|Elsa帳戶|Ben代墊|Ariel代墊|中信銀行共用""), REGEXMATCH(F14208, ""Ben帳戶|Elsa帳戶|Ben代墊|Ariel代墊|中信銀行共用"")), ""內部轉帳(忽略)"",
  AND(E14208&lt;&gt;"""", F14208&lt;&gt;"&amp;""""", NOT(REGEXMATCH(C14208, ""薪資""))), ""內部轉帳(忽略)"",
  REGEXMATCH(C14208, ""薪資""), ""薪資變動(不計入)"",
  REGEXMATCH(C14208, ""押金""), ""押金往來"",
  AND(E14208&lt;&gt;"""", F14208=""""), ""真實支出"",
  AND(E14208="""", F14208&lt;&gt;""""), ""真實收入"",
  TRUE, ""其他""
)"),"其他")</f>
        <v>其他</v>
      </c>
      <c r="K14208" s="270" t="str">
        <f t="shared" si="2"/>
        <v/>
      </c>
      <c r="L14208">
        <f t="shared" si="3"/>
        <v>0</v>
      </c>
    </row>
    <row r="14209">
      <c r="A14209" s="107"/>
      <c r="D14209" s="270"/>
      <c r="H14209" s="106" t="str">
        <f t="shared" si="1"/>
        <v/>
      </c>
      <c r="J14209" t="str">
        <f>IFERROR(__xludf.DUMMYFUNCTION("IFS(
  AND(REGEXMATCH(E14209, ""台銀籌備帳戶|玉山帳戶""), REGEXMATCH(C14209, ""薪資"")), ""分潤支出"",
  AND(REGEXMATCH(E14209, ""Ben帳戶|Elsa帳戶|Ben代墊|Ariel代墊|中信銀行共用""), REGEXMATCH(F14209, ""Ben帳戶|Elsa帳戶|Ben代墊|Ariel代墊|中信銀行共用"")), ""內部轉帳(忽略)"",
  AND(E14209&lt;&gt;"""", F14209&lt;&gt;"&amp;""""", NOT(REGEXMATCH(C14209, ""薪資""))), ""內部轉帳(忽略)"",
  REGEXMATCH(C14209, ""薪資""), ""薪資變動(不計入)"",
  REGEXMATCH(C14209, ""押金""), ""押金往來"",
  AND(E14209&lt;&gt;"""", F14209=""""), ""真實支出"",
  AND(E14209="""", F14209&lt;&gt;""""), ""真實收入"",
  TRUE, ""其他""
)"),"其他")</f>
        <v>其他</v>
      </c>
      <c r="K14209" s="270" t="str">
        <f t="shared" si="2"/>
        <v/>
      </c>
      <c r="L14209">
        <f t="shared" si="3"/>
        <v>0</v>
      </c>
    </row>
    <row r="14210">
      <c r="A14210" s="107"/>
      <c r="D14210" s="270"/>
      <c r="H14210" s="106" t="str">
        <f t="shared" si="1"/>
        <v/>
      </c>
      <c r="J14210" t="str">
        <f>IFERROR(__xludf.DUMMYFUNCTION("IFS(
  AND(REGEXMATCH(E14210, ""台銀籌備帳戶|玉山帳戶""), REGEXMATCH(C14210, ""薪資"")), ""分潤支出"",
  AND(REGEXMATCH(E14210, ""Ben帳戶|Elsa帳戶|Ben代墊|Ariel代墊|中信銀行共用""), REGEXMATCH(F14210, ""Ben帳戶|Elsa帳戶|Ben代墊|Ariel代墊|中信銀行共用"")), ""內部轉帳(忽略)"",
  AND(E14210&lt;&gt;"""", F14210&lt;&gt;"&amp;""""", NOT(REGEXMATCH(C14210, ""薪資""))), ""內部轉帳(忽略)"",
  REGEXMATCH(C14210, ""薪資""), ""薪資變動(不計入)"",
  REGEXMATCH(C14210, ""押金""), ""押金往來"",
  AND(E14210&lt;&gt;"""", F14210=""""), ""真實支出"",
  AND(E14210="""", F14210&lt;&gt;""""), ""真實收入"",
  TRUE, ""其他""
)"),"其他")</f>
        <v>其他</v>
      </c>
      <c r="K14210" s="270" t="str">
        <f t="shared" si="2"/>
        <v/>
      </c>
      <c r="L14210">
        <f t="shared" si="3"/>
        <v>0</v>
      </c>
    </row>
    <row r="14211">
      <c r="A14211" s="107"/>
      <c r="D14211" s="270"/>
      <c r="H14211" s="106" t="str">
        <f t="shared" si="1"/>
        <v/>
      </c>
      <c r="J14211" t="str">
        <f>IFERROR(__xludf.DUMMYFUNCTION("IFS(
  AND(REGEXMATCH(E14211, ""台銀籌備帳戶|玉山帳戶""), REGEXMATCH(C14211, ""薪資"")), ""分潤支出"",
  AND(REGEXMATCH(E14211, ""Ben帳戶|Elsa帳戶|Ben代墊|Ariel代墊|中信銀行共用""), REGEXMATCH(F14211, ""Ben帳戶|Elsa帳戶|Ben代墊|Ariel代墊|中信銀行共用"")), ""內部轉帳(忽略)"",
  AND(E14211&lt;&gt;"""", F14211&lt;&gt;"&amp;""""", NOT(REGEXMATCH(C14211, ""薪資""))), ""內部轉帳(忽略)"",
  REGEXMATCH(C14211, ""薪資""), ""薪資變動(不計入)"",
  REGEXMATCH(C14211, ""押金""), ""押金往來"",
  AND(E14211&lt;&gt;"""", F14211=""""), ""真實支出"",
  AND(E14211="""", F14211&lt;&gt;""""), ""真實收入"",
  TRUE, ""其他""
)"),"其他")</f>
        <v>其他</v>
      </c>
      <c r="K14211" s="270" t="str">
        <f t="shared" si="2"/>
        <v/>
      </c>
      <c r="L14211">
        <f t="shared" si="3"/>
        <v>0</v>
      </c>
    </row>
    <row r="14212">
      <c r="A14212" s="107"/>
      <c r="D14212" s="270"/>
      <c r="H14212" s="106" t="str">
        <f t="shared" si="1"/>
        <v/>
      </c>
      <c r="J14212" t="str">
        <f>IFERROR(__xludf.DUMMYFUNCTION("IFS(
  AND(REGEXMATCH(E14212, ""台銀籌備帳戶|玉山帳戶""), REGEXMATCH(C14212, ""薪資"")), ""分潤支出"",
  AND(REGEXMATCH(E14212, ""Ben帳戶|Elsa帳戶|Ben代墊|Ariel代墊|中信銀行共用""), REGEXMATCH(F14212, ""Ben帳戶|Elsa帳戶|Ben代墊|Ariel代墊|中信銀行共用"")), ""內部轉帳(忽略)"",
  AND(E14212&lt;&gt;"""", F14212&lt;&gt;"&amp;""""", NOT(REGEXMATCH(C14212, ""薪資""))), ""內部轉帳(忽略)"",
  REGEXMATCH(C14212, ""薪資""), ""薪資變動(不計入)"",
  REGEXMATCH(C14212, ""押金""), ""押金往來"",
  AND(E14212&lt;&gt;"""", F14212=""""), ""真實支出"",
  AND(E14212="""", F14212&lt;&gt;""""), ""真實收入"",
  TRUE, ""其他""
)"),"其他")</f>
        <v>其他</v>
      </c>
      <c r="K14212" s="270" t="str">
        <f t="shared" si="2"/>
        <v/>
      </c>
      <c r="L14212">
        <f t="shared" si="3"/>
        <v>0</v>
      </c>
    </row>
    <row r="14213">
      <c r="A14213" s="107"/>
      <c r="D14213" s="270"/>
      <c r="H14213" s="106" t="str">
        <f t="shared" si="1"/>
        <v/>
      </c>
      <c r="J14213" t="str">
        <f>IFERROR(__xludf.DUMMYFUNCTION("IFS(
  AND(REGEXMATCH(E14213, ""台銀籌備帳戶|玉山帳戶""), REGEXMATCH(C14213, ""薪資"")), ""分潤支出"",
  AND(REGEXMATCH(E14213, ""Ben帳戶|Elsa帳戶|Ben代墊|Ariel代墊|中信銀行共用""), REGEXMATCH(F14213, ""Ben帳戶|Elsa帳戶|Ben代墊|Ariel代墊|中信銀行共用"")), ""內部轉帳(忽略)"",
  AND(E14213&lt;&gt;"""", F14213&lt;&gt;"&amp;""""", NOT(REGEXMATCH(C14213, ""薪資""))), ""內部轉帳(忽略)"",
  REGEXMATCH(C14213, ""薪資""), ""薪資變動(不計入)"",
  REGEXMATCH(C14213, ""押金""), ""押金往來"",
  AND(E14213&lt;&gt;"""", F14213=""""), ""真實支出"",
  AND(E14213="""", F14213&lt;&gt;""""), ""真實收入"",
  TRUE, ""其他""
)"),"其他")</f>
        <v>其他</v>
      </c>
      <c r="K14213" s="270" t="str">
        <f t="shared" si="2"/>
        <v/>
      </c>
      <c r="L14213">
        <f t="shared" si="3"/>
        <v>0</v>
      </c>
    </row>
    <row r="14214">
      <c r="A14214" s="107"/>
      <c r="D14214" s="270"/>
      <c r="H14214" s="106" t="str">
        <f t="shared" si="1"/>
        <v/>
      </c>
      <c r="J14214" t="str">
        <f>IFERROR(__xludf.DUMMYFUNCTION("IFS(
  AND(REGEXMATCH(E14214, ""台銀籌備帳戶|玉山帳戶""), REGEXMATCH(C14214, ""薪資"")), ""分潤支出"",
  AND(REGEXMATCH(E14214, ""Ben帳戶|Elsa帳戶|Ben代墊|Ariel代墊|中信銀行共用""), REGEXMATCH(F14214, ""Ben帳戶|Elsa帳戶|Ben代墊|Ariel代墊|中信銀行共用"")), ""內部轉帳(忽略)"",
  AND(E14214&lt;&gt;"""", F14214&lt;&gt;"&amp;""""", NOT(REGEXMATCH(C14214, ""薪資""))), ""內部轉帳(忽略)"",
  REGEXMATCH(C14214, ""薪資""), ""薪資變動(不計入)"",
  REGEXMATCH(C14214, ""押金""), ""押金往來"",
  AND(E14214&lt;&gt;"""", F14214=""""), ""真實支出"",
  AND(E14214="""", F14214&lt;&gt;""""), ""真實收入"",
  TRUE, ""其他""
)"),"其他")</f>
        <v>其他</v>
      </c>
      <c r="K14214" s="270" t="str">
        <f t="shared" si="2"/>
        <v/>
      </c>
      <c r="L14214">
        <f t="shared" si="3"/>
        <v>0</v>
      </c>
    </row>
    <row r="14215">
      <c r="A14215" s="107"/>
      <c r="D14215" s="270"/>
      <c r="H14215" s="106" t="str">
        <f t="shared" si="1"/>
        <v/>
      </c>
      <c r="J14215" t="str">
        <f>IFERROR(__xludf.DUMMYFUNCTION("IFS(
  AND(REGEXMATCH(E14215, ""台銀籌備帳戶|玉山帳戶""), REGEXMATCH(C14215, ""薪資"")), ""分潤支出"",
  AND(REGEXMATCH(E14215, ""Ben帳戶|Elsa帳戶|Ben代墊|Ariel代墊|中信銀行共用""), REGEXMATCH(F14215, ""Ben帳戶|Elsa帳戶|Ben代墊|Ariel代墊|中信銀行共用"")), ""內部轉帳(忽略)"",
  AND(E14215&lt;&gt;"""", F14215&lt;&gt;"&amp;""""", NOT(REGEXMATCH(C14215, ""薪資""))), ""內部轉帳(忽略)"",
  REGEXMATCH(C14215, ""薪資""), ""薪資變動(不計入)"",
  REGEXMATCH(C14215, ""押金""), ""押金往來"",
  AND(E14215&lt;&gt;"""", F14215=""""), ""真實支出"",
  AND(E14215="""", F14215&lt;&gt;""""), ""真實收入"",
  TRUE, ""其他""
)"),"其他")</f>
        <v>其他</v>
      </c>
      <c r="K14215" s="270" t="str">
        <f t="shared" si="2"/>
        <v/>
      </c>
      <c r="L14215">
        <f t="shared" si="3"/>
        <v>0</v>
      </c>
    </row>
    <row r="14216">
      <c r="A14216" s="107"/>
      <c r="D14216" s="270"/>
      <c r="H14216" s="106" t="str">
        <f t="shared" si="1"/>
        <v/>
      </c>
      <c r="J14216" t="str">
        <f>IFERROR(__xludf.DUMMYFUNCTION("IFS(
  AND(REGEXMATCH(E14216, ""台銀籌備帳戶|玉山帳戶""), REGEXMATCH(C14216, ""薪資"")), ""分潤支出"",
  AND(REGEXMATCH(E14216, ""Ben帳戶|Elsa帳戶|Ben代墊|Ariel代墊|中信銀行共用""), REGEXMATCH(F14216, ""Ben帳戶|Elsa帳戶|Ben代墊|Ariel代墊|中信銀行共用"")), ""內部轉帳(忽略)"",
  AND(E14216&lt;&gt;"""", F14216&lt;&gt;"&amp;""""", NOT(REGEXMATCH(C14216, ""薪資""))), ""內部轉帳(忽略)"",
  REGEXMATCH(C14216, ""薪資""), ""薪資變動(不計入)"",
  REGEXMATCH(C14216, ""押金""), ""押金往來"",
  AND(E14216&lt;&gt;"""", F14216=""""), ""真實支出"",
  AND(E14216="""", F14216&lt;&gt;""""), ""真實收入"",
  TRUE, ""其他""
)"),"其他")</f>
        <v>其他</v>
      </c>
      <c r="K14216" s="270" t="str">
        <f t="shared" si="2"/>
        <v/>
      </c>
      <c r="L14216">
        <f t="shared" si="3"/>
        <v>0</v>
      </c>
    </row>
    <row r="14217">
      <c r="A14217" s="107"/>
      <c r="D14217" s="270"/>
      <c r="H14217" s="106" t="str">
        <f t="shared" si="1"/>
        <v/>
      </c>
      <c r="J14217" t="str">
        <f>IFERROR(__xludf.DUMMYFUNCTION("IFS(
  AND(REGEXMATCH(E14217, ""台銀籌備帳戶|玉山帳戶""), REGEXMATCH(C14217, ""薪資"")), ""分潤支出"",
  AND(REGEXMATCH(E14217, ""Ben帳戶|Elsa帳戶|Ben代墊|Ariel代墊|中信銀行共用""), REGEXMATCH(F14217, ""Ben帳戶|Elsa帳戶|Ben代墊|Ariel代墊|中信銀行共用"")), ""內部轉帳(忽略)"",
  AND(E14217&lt;&gt;"""", F14217&lt;&gt;"&amp;""""", NOT(REGEXMATCH(C14217, ""薪資""))), ""內部轉帳(忽略)"",
  REGEXMATCH(C14217, ""薪資""), ""薪資變動(不計入)"",
  REGEXMATCH(C14217, ""押金""), ""押金往來"",
  AND(E14217&lt;&gt;"""", F14217=""""), ""真實支出"",
  AND(E14217="""", F14217&lt;&gt;""""), ""真實收入"",
  TRUE, ""其他""
)"),"其他")</f>
        <v>其他</v>
      </c>
      <c r="K14217" s="270" t="str">
        <f t="shared" si="2"/>
        <v/>
      </c>
      <c r="L14217">
        <f t="shared" si="3"/>
        <v>0</v>
      </c>
    </row>
    <row r="14218">
      <c r="A14218" s="107"/>
      <c r="D14218" s="270"/>
      <c r="H14218" s="106" t="str">
        <f t="shared" si="1"/>
        <v/>
      </c>
      <c r="J14218" t="str">
        <f>IFERROR(__xludf.DUMMYFUNCTION("IFS(
  AND(REGEXMATCH(E14218, ""台銀籌備帳戶|玉山帳戶""), REGEXMATCH(C14218, ""薪資"")), ""分潤支出"",
  AND(REGEXMATCH(E14218, ""Ben帳戶|Elsa帳戶|Ben代墊|Ariel代墊|中信銀行共用""), REGEXMATCH(F14218, ""Ben帳戶|Elsa帳戶|Ben代墊|Ariel代墊|中信銀行共用"")), ""內部轉帳(忽略)"",
  AND(E14218&lt;&gt;"""", F14218&lt;&gt;"&amp;""""", NOT(REGEXMATCH(C14218, ""薪資""))), ""內部轉帳(忽略)"",
  REGEXMATCH(C14218, ""薪資""), ""薪資變動(不計入)"",
  REGEXMATCH(C14218, ""押金""), ""押金往來"",
  AND(E14218&lt;&gt;"""", F14218=""""), ""真實支出"",
  AND(E14218="""", F14218&lt;&gt;""""), ""真實收入"",
  TRUE, ""其他""
)"),"其他")</f>
        <v>其他</v>
      </c>
      <c r="K14218" s="270" t="str">
        <f t="shared" si="2"/>
        <v/>
      </c>
      <c r="L14218">
        <f t="shared" si="3"/>
        <v>0</v>
      </c>
    </row>
    <row r="14219">
      <c r="A14219" s="107"/>
      <c r="D14219" s="270"/>
      <c r="H14219" s="106" t="str">
        <f t="shared" si="1"/>
        <v/>
      </c>
      <c r="J14219" t="str">
        <f>IFERROR(__xludf.DUMMYFUNCTION("IFS(
  AND(REGEXMATCH(E14219, ""台銀籌備帳戶|玉山帳戶""), REGEXMATCH(C14219, ""薪資"")), ""分潤支出"",
  AND(REGEXMATCH(E14219, ""Ben帳戶|Elsa帳戶|Ben代墊|Ariel代墊|中信銀行共用""), REGEXMATCH(F14219, ""Ben帳戶|Elsa帳戶|Ben代墊|Ariel代墊|中信銀行共用"")), ""內部轉帳(忽略)"",
  AND(E14219&lt;&gt;"""", F14219&lt;&gt;"&amp;""""", NOT(REGEXMATCH(C14219, ""薪資""))), ""內部轉帳(忽略)"",
  REGEXMATCH(C14219, ""薪資""), ""薪資變動(不計入)"",
  REGEXMATCH(C14219, ""押金""), ""押金往來"",
  AND(E14219&lt;&gt;"""", F14219=""""), ""真實支出"",
  AND(E14219="""", F14219&lt;&gt;""""), ""真實收入"",
  TRUE, ""其他""
)"),"其他")</f>
        <v>其他</v>
      </c>
      <c r="K14219" s="270" t="str">
        <f t="shared" si="2"/>
        <v/>
      </c>
      <c r="L14219">
        <f t="shared" si="3"/>
        <v>0</v>
      </c>
    </row>
    <row r="14220">
      <c r="A14220" s="107"/>
      <c r="D14220" s="270"/>
      <c r="H14220" s="106" t="str">
        <f t="shared" si="1"/>
        <v/>
      </c>
      <c r="J14220" t="str">
        <f>IFERROR(__xludf.DUMMYFUNCTION("IFS(
  AND(REGEXMATCH(E14220, ""台銀籌備帳戶|玉山帳戶""), REGEXMATCH(C14220, ""薪資"")), ""分潤支出"",
  AND(REGEXMATCH(E14220, ""Ben帳戶|Elsa帳戶|Ben代墊|Ariel代墊|中信銀行共用""), REGEXMATCH(F14220, ""Ben帳戶|Elsa帳戶|Ben代墊|Ariel代墊|中信銀行共用"")), ""內部轉帳(忽略)"",
  AND(E14220&lt;&gt;"""", F14220&lt;&gt;"&amp;""""", NOT(REGEXMATCH(C14220, ""薪資""))), ""內部轉帳(忽略)"",
  REGEXMATCH(C14220, ""薪資""), ""薪資變動(不計入)"",
  REGEXMATCH(C14220, ""押金""), ""押金往來"",
  AND(E14220&lt;&gt;"""", F14220=""""), ""真實支出"",
  AND(E14220="""", F14220&lt;&gt;""""), ""真實收入"",
  TRUE, ""其他""
)"),"其他")</f>
        <v>其他</v>
      </c>
      <c r="K14220" s="270" t="str">
        <f t="shared" si="2"/>
        <v/>
      </c>
      <c r="L14220">
        <f t="shared" si="3"/>
        <v>0</v>
      </c>
    </row>
    <row r="14221">
      <c r="A14221" s="107"/>
      <c r="D14221" s="270"/>
      <c r="H14221" s="106" t="str">
        <f t="shared" si="1"/>
        <v/>
      </c>
      <c r="J14221" t="str">
        <f>IFERROR(__xludf.DUMMYFUNCTION("IFS(
  AND(REGEXMATCH(E14221, ""台銀籌備帳戶|玉山帳戶""), REGEXMATCH(C14221, ""薪資"")), ""分潤支出"",
  AND(REGEXMATCH(E14221, ""Ben帳戶|Elsa帳戶|Ben代墊|Ariel代墊|中信銀行共用""), REGEXMATCH(F14221, ""Ben帳戶|Elsa帳戶|Ben代墊|Ariel代墊|中信銀行共用"")), ""內部轉帳(忽略)"",
  AND(E14221&lt;&gt;"""", F14221&lt;&gt;"&amp;""""", NOT(REGEXMATCH(C14221, ""薪資""))), ""內部轉帳(忽略)"",
  REGEXMATCH(C14221, ""薪資""), ""薪資變動(不計入)"",
  REGEXMATCH(C14221, ""押金""), ""押金往來"",
  AND(E14221&lt;&gt;"""", F14221=""""), ""真實支出"",
  AND(E14221="""", F14221&lt;&gt;""""), ""真實收入"",
  TRUE, ""其他""
)"),"其他")</f>
        <v>其他</v>
      </c>
      <c r="K14221" s="270" t="str">
        <f t="shared" si="2"/>
        <v/>
      </c>
      <c r="L14221">
        <f t="shared" si="3"/>
        <v>0</v>
      </c>
    </row>
    <row r="14222">
      <c r="A14222" s="107"/>
      <c r="D14222" s="270"/>
      <c r="H14222" s="106" t="str">
        <f t="shared" si="1"/>
        <v/>
      </c>
      <c r="J14222" t="str">
        <f>IFERROR(__xludf.DUMMYFUNCTION("IFS(
  AND(REGEXMATCH(E14222, ""台銀籌備帳戶|玉山帳戶""), REGEXMATCH(C14222, ""薪資"")), ""分潤支出"",
  AND(REGEXMATCH(E14222, ""Ben帳戶|Elsa帳戶|Ben代墊|Ariel代墊|中信銀行共用""), REGEXMATCH(F14222, ""Ben帳戶|Elsa帳戶|Ben代墊|Ariel代墊|中信銀行共用"")), ""內部轉帳(忽略)"",
  AND(E14222&lt;&gt;"""", F14222&lt;&gt;"&amp;""""", NOT(REGEXMATCH(C14222, ""薪資""))), ""內部轉帳(忽略)"",
  REGEXMATCH(C14222, ""薪資""), ""薪資變動(不計入)"",
  REGEXMATCH(C14222, ""押金""), ""押金往來"",
  AND(E14222&lt;&gt;"""", F14222=""""), ""真實支出"",
  AND(E14222="""", F14222&lt;&gt;""""), ""真實收入"",
  TRUE, ""其他""
)"),"其他")</f>
        <v>其他</v>
      </c>
      <c r="K14222" s="270" t="str">
        <f t="shared" si="2"/>
        <v/>
      </c>
      <c r="L14222">
        <f t="shared" si="3"/>
        <v>0</v>
      </c>
    </row>
    <row r="14223">
      <c r="A14223" s="107"/>
      <c r="D14223" s="270"/>
      <c r="H14223" s="106" t="str">
        <f t="shared" si="1"/>
        <v/>
      </c>
      <c r="J14223" t="str">
        <f>IFERROR(__xludf.DUMMYFUNCTION("IFS(
  AND(REGEXMATCH(E14223, ""台銀籌備帳戶|玉山帳戶""), REGEXMATCH(C14223, ""薪資"")), ""分潤支出"",
  AND(REGEXMATCH(E14223, ""Ben帳戶|Elsa帳戶|Ben代墊|Ariel代墊|中信銀行共用""), REGEXMATCH(F14223, ""Ben帳戶|Elsa帳戶|Ben代墊|Ariel代墊|中信銀行共用"")), ""內部轉帳(忽略)"",
  AND(E14223&lt;&gt;"""", F14223&lt;&gt;"&amp;""""", NOT(REGEXMATCH(C14223, ""薪資""))), ""內部轉帳(忽略)"",
  REGEXMATCH(C14223, ""薪資""), ""薪資變動(不計入)"",
  REGEXMATCH(C14223, ""押金""), ""押金往來"",
  AND(E14223&lt;&gt;"""", F14223=""""), ""真實支出"",
  AND(E14223="""", F14223&lt;&gt;""""), ""真實收入"",
  TRUE, ""其他""
)"),"其他")</f>
        <v>其他</v>
      </c>
      <c r="K14223" s="270" t="str">
        <f t="shared" si="2"/>
        <v/>
      </c>
      <c r="L14223">
        <f t="shared" si="3"/>
        <v>0</v>
      </c>
    </row>
    <row r="14224">
      <c r="A14224" s="107"/>
      <c r="D14224" s="270"/>
      <c r="H14224" s="106" t="str">
        <f t="shared" si="1"/>
        <v/>
      </c>
      <c r="J14224" t="str">
        <f>IFERROR(__xludf.DUMMYFUNCTION("IFS(
  AND(REGEXMATCH(E14224, ""台銀籌備帳戶|玉山帳戶""), REGEXMATCH(C14224, ""薪資"")), ""分潤支出"",
  AND(REGEXMATCH(E14224, ""Ben帳戶|Elsa帳戶|Ben代墊|Ariel代墊|中信銀行共用""), REGEXMATCH(F14224, ""Ben帳戶|Elsa帳戶|Ben代墊|Ariel代墊|中信銀行共用"")), ""內部轉帳(忽略)"",
  AND(E14224&lt;&gt;"""", F14224&lt;&gt;"&amp;""""", NOT(REGEXMATCH(C14224, ""薪資""))), ""內部轉帳(忽略)"",
  REGEXMATCH(C14224, ""薪資""), ""薪資變動(不計入)"",
  REGEXMATCH(C14224, ""押金""), ""押金往來"",
  AND(E14224&lt;&gt;"""", F14224=""""), ""真實支出"",
  AND(E14224="""", F14224&lt;&gt;""""), ""真實收入"",
  TRUE, ""其他""
)"),"其他")</f>
        <v>其他</v>
      </c>
      <c r="K14224" s="270" t="str">
        <f t="shared" si="2"/>
        <v/>
      </c>
      <c r="L14224">
        <f t="shared" si="3"/>
        <v>0</v>
      </c>
    </row>
    <row r="14225">
      <c r="A14225" s="107"/>
      <c r="D14225" s="270"/>
      <c r="H14225" s="106" t="str">
        <f t="shared" si="1"/>
        <v/>
      </c>
      <c r="J14225" t="str">
        <f>IFERROR(__xludf.DUMMYFUNCTION("IFS(
  AND(REGEXMATCH(E14225, ""台銀籌備帳戶|玉山帳戶""), REGEXMATCH(C14225, ""薪資"")), ""分潤支出"",
  AND(REGEXMATCH(E14225, ""Ben帳戶|Elsa帳戶|Ben代墊|Ariel代墊|中信銀行共用""), REGEXMATCH(F14225, ""Ben帳戶|Elsa帳戶|Ben代墊|Ariel代墊|中信銀行共用"")), ""內部轉帳(忽略)"",
  AND(E14225&lt;&gt;"""", F14225&lt;&gt;"&amp;""""", NOT(REGEXMATCH(C14225, ""薪資""))), ""內部轉帳(忽略)"",
  REGEXMATCH(C14225, ""薪資""), ""薪資變動(不計入)"",
  REGEXMATCH(C14225, ""押金""), ""押金往來"",
  AND(E14225&lt;&gt;"""", F14225=""""), ""真實支出"",
  AND(E14225="""", F14225&lt;&gt;""""), ""真實收入"",
  TRUE, ""其他""
)"),"其他")</f>
        <v>其他</v>
      </c>
      <c r="K14225" s="270" t="str">
        <f t="shared" si="2"/>
        <v/>
      </c>
      <c r="L14225">
        <f t="shared" si="3"/>
        <v>0</v>
      </c>
    </row>
    <row r="14226">
      <c r="A14226" s="107"/>
      <c r="D14226" s="270"/>
      <c r="H14226" s="106" t="str">
        <f t="shared" si="1"/>
        <v/>
      </c>
      <c r="J14226" t="str">
        <f>IFERROR(__xludf.DUMMYFUNCTION("IFS(
  AND(REGEXMATCH(E14226, ""台銀籌備帳戶|玉山帳戶""), REGEXMATCH(C14226, ""薪資"")), ""分潤支出"",
  AND(REGEXMATCH(E14226, ""Ben帳戶|Elsa帳戶|Ben代墊|Ariel代墊|中信銀行共用""), REGEXMATCH(F14226, ""Ben帳戶|Elsa帳戶|Ben代墊|Ariel代墊|中信銀行共用"")), ""內部轉帳(忽略)"",
  AND(E14226&lt;&gt;"""", F14226&lt;&gt;"&amp;""""", NOT(REGEXMATCH(C14226, ""薪資""))), ""內部轉帳(忽略)"",
  REGEXMATCH(C14226, ""薪資""), ""薪資變動(不計入)"",
  REGEXMATCH(C14226, ""押金""), ""押金往來"",
  AND(E14226&lt;&gt;"""", F14226=""""), ""真實支出"",
  AND(E14226="""", F14226&lt;&gt;""""), ""真實收入"",
  TRUE, ""其他""
)"),"其他")</f>
        <v>其他</v>
      </c>
      <c r="K14226" s="270" t="str">
        <f t="shared" si="2"/>
        <v/>
      </c>
      <c r="L14226">
        <f t="shared" si="3"/>
        <v>0</v>
      </c>
    </row>
    <row r="14227">
      <c r="A14227" s="107"/>
      <c r="D14227" s="270"/>
      <c r="H14227" s="106" t="str">
        <f t="shared" si="1"/>
        <v/>
      </c>
      <c r="J14227" t="str">
        <f>IFERROR(__xludf.DUMMYFUNCTION("IFS(
  AND(REGEXMATCH(E14227, ""台銀籌備帳戶|玉山帳戶""), REGEXMATCH(C14227, ""薪資"")), ""分潤支出"",
  AND(REGEXMATCH(E14227, ""Ben帳戶|Elsa帳戶|Ben代墊|Ariel代墊|中信銀行共用""), REGEXMATCH(F14227, ""Ben帳戶|Elsa帳戶|Ben代墊|Ariel代墊|中信銀行共用"")), ""內部轉帳(忽略)"",
  AND(E14227&lt;&gt;"""", F14227&lt;&gt;"&amp;""""", NOT(REGEXMATCH(C14227, ""薪資""))), ""內部轉帳(忽略)"",
  REGEXMATCH(C14227, ""薪資""), ""薪資變動(不計入)"",
  REGEXMATCH(C14227, ""押金""), ""押金往來"",
  AND(E14227&lt;&gt;"""", F14227=""""), ""真實支出"",
  AND(E14227="""", F14227&lt;&gt;""""), ""真實收入"",
  TRUE, ""其他""
)"),"其他")</f>
        <v>其他</v>
      </c>
      <c r="K14227" s="270" t="str">
        <f t="shared" si="2"/>
        <v/>
      </c>
      <c r="L14227">
        <f t="shared" si="3"/>
        <v>0</v>
      </c>
    </row>
    <row r="14228">
      <c r="A14228" s="107"/>
      <c r="D14228" s="270"/>
      <c r="H14228" s="106" t="str">
        <f t="shared" si="1"/>
        <v/>
      </c>
      <c r="J14228" t="str">
        <f>IFERROR(__xludf.DUMMYFUNCTION("IFS(
  AND(REGEXMATCH(E14228, ""台銀籌備帳戶|玉山帳戶""), REGEXMATCH(C14228, ""薪資"")), ""分潤支出"",
  AND(REGEXMATCH(E14228, ""Ben帳戶|Elsa帳戶|Ben代墊|Ariel代墊|中信銀行共用""), REGEXMATCH(F14228, ""Ben帳戶|Elsa帳戶|Ben代墊|Ariel代墊|中信銀行共用"")), ""內部轉帳(忽略)"",
  AND(E14228&lt;&gt;"""", F14228&lt;&gt;"&amp;""""", NOT(REGEXMATCH(C14228, ""薪資""))), ""內部轉帳(忽略)"",
  REGEXMATCH(C14228, ""薪資""), ""薪資變動(不計入)"",
  REGEXMATCH(C14228, ""押金""), ""押金往來"",
  AND(E14228&lt;&gt;"""", F14228=""""), ""真實支出"",
  AND(E14228="""", F14228&lt;&gt;""""), ""真實收入"",
  TRUE, ""其他""
)"),"其他")</f>
        <v>其他</v>
      </c>
      <c r="K14228" s="270" t="str">
        <f t="shared" si="2"/>
        <v/>
      </c>
      <c r="L14228">
        <f t="shared" si="3"/>
        <v>0</v>
      </c>
    </row>
    <row r="14229">
      <c r="A14229" s="107"/>
      <c r="D14229" s="270"/>
      <c r="H14229" s="106" t="str">
        <f t="shared" si="1"/>
        <v/>
      </c>
      <c r="J14229" t="str">
        <f>IFERROR(__xludf.DUMMYFUNCTION("IFS(
  AND(REGEXMATCH(E14229, ""台銀籌備帳戶|玉山帳戶""), REGEXMATCH(C14229, ""薪資"")), ""分潤支出"",
  AND(REGEXMATCH(E14229, ""Ben帳戶|Elsa帳戶|Ben代墊|Ariel代墊|中信銀行共用""), REGEXMATCH(F14229, ""Ben帳戶|Elsa帳戶|Ben代墊|Ariel代墊|中信銀行共用"")), ""內部轉帳(忽略)"",
  AND(E14229&lt;&gt;"""", F14229&lt;&gt;"&amp;""""", NOT(REGEXMATCH(C14229, ""薪資""))), ""內部轉帳(忽略)"",
  REGEXMATCH(C14229, ""薪資""), ""薪資變動(不計入)"",
  REGEXMATCH(C14229, ""押金""), ""押金往來"",
  AND(E14229&lt;&gt;"""", F14229=""""), ""真實支出"",
  AND(E14229="""", F14229&lt;&gt;""""), ""真實收入"",
  TRUE, ""其他""
)"),"其他")</f>
        <v>其他</v>
      </c>
      <c r="K14229" s="270" t="str">
        <f t="shared" si="2"/>
        <v/>
      </c>
      <c r="L14229">
        <f t="shared" si="3"/>
        <v>0</v>
      </c>
    </row>
    <row r="14230">
      <c r="A14230" s="107"/>
      <c r="D14230" s="270"/>
      <c r="H14230" s="106" t="str">
        <f t="shared" si="1"/>
        <v/>
      </c>
      <c r="J14230" t="str">
        <f>IFERROR(__xludf.DUMMYFUNCTION("IFS(
  AND(REGEXMATCH(E14230, ""台銀籌備帳戶|玉山帳戶""), REGEXMATCH(C14230, ""薪資"")), ""分潤支出"",
  AND(REGEXMATCH(E14230, ""Ben帳戶|Elsa帳戶|Ben代墊|Ariel代墊|中信銀行共用""), REGEXMATCH(F14230, ""Ben帳戶|Elsa帳戶|Ben代墊|Ariel代墊|中信銀行共用"")), ""內部轉帳(忽略)"",
  AND(E14230&lt;&gt;"""", F14230&lt;&gt;"&amp;""""", NOT(REGEXMATCH(C14230, ""薪資""))), ""內部轉帳(忽略)"",
  REGEXMATCH(C14230, ""薪資""), ""薪資變動(不計入)"",
  REGEXMATCH(C14230, ""押金""), ""押金往來"",
  AND(E14230&lt;&gt;"""", F14230=""""), ""真實支出"",
  AND(E14230="""", F14230&lt;&gt;""""), ""真實收入"",
  TRUE, ""其他""
)"),"其他")</f>
        <v>其他</v>
      </c>
      <c r="K14230" s="270" t="str">
        <f t="shared" si="2"/>
        <v/>
      </c>
      <c r="L14230">
        <f t="shared" si="3"/>
        <v>0</v>
      </c>
    </row>
    <row r="14231">
      <c r="A14231" s="107"/>
      <c r="D14231" s="270"/>
      <c r="H14231" s="106" t="str">
        <f t="shared" si="1"/>
        <v/>
      </c>
      <c r="J14231" t="str">
        <f>IFERROR(__xludf.DUMMYFUNCTION("IFS(
  AND(REGEXMATCH(E14231, ""台銀籌備帳戶|玉山帳戶""), REGEXMATCH(C14231, ""薪資"")), ""分潤支出"",
  AND(REGEXMATCH(E14231, ""Ben帳戶|Elsa帳戶|Ben代墊|Ariel代墊|中信銀行共用""), REGEXMATCH(F14231, ""Ben帳戶|Elsa帳戶|Ben代墊|Ariel代墊|中信銀行共用"")), ""內部轉帳(忽略)"",
  AND(E14231&lt;&gt;"""", F14231&lt;&gt;"&amp;""""", NOT(REGEXMATCH(C14231, ""薪資""))), ""內部轉帳(忽略)"",
  REGEXMATCH(C14231, ""薪資""), ""薪資變動(不計入)"",
  REGEXMATCH(C14231, ""押金""), ""押金往來"",
  AND(E14231&lt;&gt;"""", F14231=""""), ""真實支出"",
  AND(E14231="""", F14231&lt;&gt;""""), ""真實收入"",
  TRUE, ""其他""
)"),"其他")</f>
        <v>其他</v>
      </c>
      <c r="K14231" s="270" t="str">
        <f t="shared" si="2"/>
        <v/>
      </c>
      <c r="L14231">
        <f t="shared" si="3"/>
        <v>0</v>
      </c>
    </row>
    <row r="14232">
      <c r="A14232" s="107"/>
      <c r="D14232" s="270"/>
      <c r="H14232" s="106" t="str">
        <f t="shared" si="1"/>
        <v/>
      </c>
      <c r="J14232" t="str">
        <f>IFERROR(__xludf.DUMMYFUNCTION("IFS(
  AND(REGEXMATCH(E14232, ""台銀籌備帳戶|玉山帳戶""), REGEXMATCH(C14232, ""薪資"")), ""分潤支出"",
  AND(REGEXMATCH(E14232, ""Ben帳戶|Elsa帳戶|Ben代墊|Ariel代墊|中信銀行共用""), REGEXMATCH(F14232, ""Ben帳戶|Elsa帳戶|Ben代墊|Ariel代墊|中信銀行共用"")), ""內部轉帳(忽略)"",
  AND(E14232&lt;&gt;"""", F14232&lt;&gt;"&amp;""""", NOT(REGEXMATCH(C14232, ""薪資""))), ""內部轉帳(忽略)"",
  REGEXMATCH(C14232, ""薪資""), ""薪資變動(不計入)"",
  REGEXMATCH(C14232, ""押金""), ""押金往來"",
  AND(E14232&lt;&gt;"""", F14232=""""), ""真實支出"",
  AND(E14232="""", F14232&lt;&gt;""""), ""真實收入"",
  TRUE, ""其他""
)"),"其他")</f>
        <v>其他</v>
      </c>
      <c r="K14232" s="270" t="str">
        <f t="shared" si="2"/>
        <v/>
      </c>
      <c r="L14232">
        <f t="shared" si="3"/>
        <v>0</v>
      </c>
    </row>
    <row r="14233">
      <c r="A14233" s="107"/>
      <c r="D14233" s="270"/>
      <c r="H14233" s="106" t="str">
        <f t="shared" si="1"/>
        <v/>
      </c>
      <c r="J14233" t="str">
        <f>IFERROR(__xludf.DUMMYFUNCTION("IFS(
  AND(REGEXMATCH(E14233, ""台銀籌備帳戶|玉山帳戶""), REGEXMATCH(C14233, ""薪資"")), ""分潤支出"",
  AND(REGEXMATCH(E14233, ""Ben帳戶|Elsa帳戶|Ben代墊|Ariel代墊|中信銀行共用""), REGEXMATCH(F14233, ""Ben帳戶|Elsa帳戶|Ben代墊|Ariel代墊|中信銀行共用"")), ""內部轉帳(忽略)"",
  AND(E14233&lt;&gt;"""", F14233&lt;&gt;"&amp;""""", NOT(REGEXMATCH(C14233, ""薪資""))), ""內部轉帳(忽略)"",
  REGEXMATCH(C14233, ""薪資""), ""薪資變動(不計入)"",
  REGEXMATCH(C14233, ""押金""), ""押金往來"",
  AND(E14233&lt;&gt;"""", F14233=""""), ""真實支出"",
  AND(E14233="""", F14233&lt;&gt;""""), ""真實收入"",
  TRUE, ""其他""
)"),"其他")</f>
        <v>其他</v>
      </c>
      <c r="K14233" s="270" t="str">
        <f t="shared" si="2"/>
        <v/>
      </c>
      <c r="L14233">
        <f t="shared" si="3"/>
        <v>0</v>
      </c>
    </row>
    <row r="14234">
      <c r="A14234" s="107"/>
      <c r="D14234" s="270"/>
      <c r="H14234" s="106" t="str">
        <f t="shared" si="1"/>
        <v/>
      </c>
      <c r="J14234" t="str">
        <f>IFERROR(__xludf.DUMMYFUNCTION("IFS(
  AND(REGEXMATCH(E14234, ""台銀籌備帳戶|玉山帳戶""), REGEXMATCH(C14234, ""薪資"")), ""分潤支出"",
  AND(REGEXMATCH(E14234, ""Ben帳戶|Elsa帳戶|Ben代墊|Ariel代墊|中信銀行共用""), REGEXMATCH(F14234, ""Ben帳戶|Elsa帳戶|Ben代墊|Ariel代墊|中信銀行共用"")), ""內部轉帳(忽略)"",
  AND(E14234&lt;&gt;"""", F14234&lt;&gt;"&amp;""""", NOT(REGEXMATCH(C14234, ""薪資""))), ""內部轉帳(忽略)"",
  REGEXMATCH(C14234, ""薪資""), ""薪資變動(不計入)"",
  REGEXMATCH(C14234, ""押金""), ""押金往來"",
  AND(E14234&lt;&gt;"""", F14234=""""), ""真實支出"",
  AND(E14234="""", F14234&lt;&gt;""""), ""真實收入"",
  TRUE, ""其他""
)"),"其他")</f>
        <v>其他</v>
      </c>
      <c r="K14234" s="270" t="str">
        <f t="shared" si="2"/>
        <v/>
      </c>
      <c r="L14234">
        <f t="shared" si="3"/>
        <v>0</v>
      </c>
    </row>
    <row r="14235">
      <c r="A14235" s="107"/>
      <c r="D14235" s="270"/>
      <c r="H14235" s="106" t="str">
        <f t="shared" si="1"/>
        <v/>
      </c>
      <c r="J14235" t="str">
        <f>IFERROR(__xludf.DUMMYFUNCTION("IFS(
  AND(REGEXMATCH(E14235, ""台銀籌備帳戶|玉山帳戶""), REGEXMATCH(C14235, ""薪資"")), ""分潤支出"",
  AND(REGEXMATCH(E14235, ""Ben帳戶|Elsa帳戶|Ben代墊|Ariel代墊|中信銀行共用""), REGEXMATCH(F14235, ""Ben帳戶|Elsa帳戶|Ben代墊|Ariel代墊|中信銀行共用"")), ""內部轉帳(忽略)"",
  AND(E14235&lt;&gt;"""", F14235&lt;&gt;"&amp;""""", NOT(REGEXMATCH(C14235, ""薪資""))), ""內部轉帳(忽略)"",
  REGEXMATCH(C14235, ""薪資""), ""薪資變動(不計入)"",
  REGEXMATCH(C14235, ""押金""), ""押金往來"",
  AND(E14235&lt;&gt;"""", F14235=""""), ""真實支出"",
  AND(E14235="""", F14235&lt;&gt;""""), ""真實收入"",
  TRUE, ""其他""
)"),"其他")</f>
        <v>其他</v>
      </c>
      <c r="K14235" s="270" t="str">
        <f t="shared" si="2"/>
        <v/>
      </c>
      <c r="L14235">
        <f t="shared" si="3"/>
        <v>0</v>
      </c>
    </row>
    <row r="14236">
      <c r="A14236" s="107"/>
      <c r="D14236" s="270"/>
      <c r="H14236" s="106" t="str">
        <f t="shared" si="1"/>
        <v/>
      </c>
      <c r="J14236" t="str">
        <f>IFERROR(__xludf.DUMMYFUNCTION("IFS(
  AND(REGEXMATCH(E14236, ""台銀籌備帳戶|玉山帳戶""), REGEXMATCH(C14236, ""薪資"")), ""分潤支出"",
  AND(REGEXMATCH(E14236, ""Ben帳戶|Elsa帳戶|Ben代墊|Ariel代墊|中信銀行共用""), REGEXMATCH(F14236, ""Ben帳戶|Elsa帳戶|Ben代墊|Ariel代墊|中信銀行共用"")), ""內部轉帳(忽略)"",
  AND(E14236&lt;&gt;"""", F14236&lt;&gt;"&amp;""""", NOT(REGEXMATCH(C14236, ""薪資""))), ""內部轉帳(忽略)"",
  REGEXMATCH(C14236, ""薪資""), ""薪資變動(不計入)"",
  REGEXMATCH(C14236, ""押金""), ""押金往來"",
  AND(E14236&lt;&gt;"""", F14236=""""), ""真實支出"",
  AND(E14236="""", F14236&lt;&gt;""""), ""真實收入"",
  TRUE, ""其他""
)"),"其他")</f>
        <v>其他</v>
      </c>
      <c r="K14236" s="270" t="str">
        <f t="shared" si="2"/>
        <v/>
      </c>
      <c r="L14236">
        <f t="shared" si="3"/>
        <v>0</v>
      </c>
    </row>
    <row r="14237">
      <c r="A14237" s="107"/>
      <c r="D14237" s="270"/>
      <c r="H14237" s="106" t="str">
        <f t="shared" si="1"/>
        <v/>
      </c>
      <c r="J14237" t="str">
        <f>IFERROR(__xludf.DUMMYFUNCTION("IFS(
  AND(REGEXMATCH(E14237, ""台銀籌備帳戶|玉山帳戶""), REGEXMATCH(C14237, ""薪資"")), ""分潤支出"",
  AND(REGEXMATCH(E14237, ""Ben帳戶|Elsa帳戶|Ben代墊|Ariel代墊|中信銀行共用""), REGEXMATCH(F14237, ""Ben帳戶|Elsa帳戶|Ben代墊|Ariel代墊|中信銀行共用"")), ""內部轉帳(忽略)"",
  AND(E14237&lt;&gt;"""", F14237&lt;&gt;"&amp;""""", NOT(REGEXMATCH(C14237, ""薪資""))), ""內部轉帳(忽略)"",
  REGEXMATCH(C14237, ""薪資""), ""薪資變動(不計入)"",
  REGEXMATCH(C14237, ""押金""), ""押金往來"",
  AND(E14237&lt;&gt;"""", F14237=""""), ""真實支出"",
  AND(E14237="""", F14237&lt;&gt;""""), ""真實收入"",
  TRUE, ""其他""
)"),"其他")</f>
        <v>其他</v>
      </c>
      <c r="K14237" s="270" t="str">
        <f t="shared" si="2"/>
        <v/>
      </c>
      <c r="L14237">
        <f t="shared" si="3"/>
        <v>0</v>
      </c>
    </row>
    <row r="14238">
      <c r="A14238" s="107"/>
      <c r="D14238" s="270"/>
      <c r="H14238" s="106" t="str">
        <f t="shared" si="1"/>
        <v/>
      </c>
      <c r="J14238" t="str">
        <f>IFERROR(__xludf.DUMMYFUNCTION("IFS(
  AND(REGEXMATCH(E14238, ""台銀籌備帳戶|玉山帳戶""), REGEXMATCH(C14238, ""薪資"")), ""分潤支出"",
  AND(REGEXMATCH(E14238, ""Ben帳戶|Elsa帳戶|Ben代墊|Ariel代墊|中信銀行共用""), REGEXMATCH(F14238, ""Ben帳戶|Elsa帳戶|Ben代墊|Ariel代墊|中信銀行共用"")), ""內部轉帳(忽略)"",
  AND(E14238&lt;&gt;"""", F14238&lt;&gt;"&amp;""""", NOT(REGEXMATCH(C14238, ""薪資""))), ""內部轉帳(忽略)"",
  REGEXMATCH(C14238, ""薪資""), ""薪資變動(不計入)"",
  REGEXMATCH(C14238, ""押金""), ""押金往來"",
  AND(E14238&lt;&gt;"""", F14238=""""), ""真實支出"",
  AND(E14238="""", F14238&lt;&gt;""""), ""真實收入"",
  TRUE, ""其他""
)"),"其他")</f>
        <v>其他</v>
      </c>
      <c r="K14238" s="270" t="str">
        <f t="shared" si="2"/>
        <v/>
      </c>
      <c r="L14238">
        <f t="shared" si="3"/>
        <v>0</v>
      </c>
    </row>
    <row r="14239">
      <c r="A14239" s="107"/>
      <c r="D14239" s="270"/>
      <c r="H14239" s="106" t="str">
        <f t="shared" si="1"/>
        <v/>
      </c>
      <c r="J14239" t="str">
        <f>IFERROR(__xludf.DUMMYFUNCTION("IFS(
  AND(REGEXMATCH(E14239, ""台銀籌備帳戶|玉山帳戶""), REGEXMATCH(C14239, ""薪資"")), ""分潤支出"",
  AND(REGEXMATCH(E14239, ""Ben帳戶|Elsa帳戶|Ben代墊|Ariel代墊|中信銀行共用""), REGEXMATCH(F14239, ""Ben帳戶|Elsa帳戶|Ben代墊|Ariel代墊|中信銀行共用"")), ""內部轉帳(忽略)"",
  AND(E14239&lt;&gt;"""", F14239&lt;&gt;"&amp;""""", NOT(REGEXMATCH(C14239, ""薪資""))), ""內部轉帳(忽略)"",
  REGEXMATCH(C14239, ""薪資""), ""薪資變動(不計入)"",
  REGEXMATCH(C14239, ""押金""), ""押金往來"",
  AND(E14239&lt;&gt;"""", F14239=""""), ""真實支出"",
  AND(E14239="""", F14239&lt;&gt;""""), ""真實收入"",
  TRUE, ""其他""
)"),"其他")</f>
        <v>其他</v>
      </c>
      <c r="K14239" s="270" t="str">
        <f t="shared" si="2"/>
        <v/>
      </c>
      <c r="L14239">
        <f t="shared" si="3"/>
        <v>0</v>
      </c>
    </row>
    <row r="14240">
      <c r="A14240" s="107"/>
      <c r="D14240" s="270"/>
      <c r="H14240" s="106" t="str">
        <f t="shared" si="1"/>
        <v/>
      </c>
      <c r="J14240" t="str">
        <f>IFERROR(__xludf.DUMMYFUNCTION("IFS(
  AND(REGEXMATCH(E14240, ""台銀籌備帳戶|玉山帳戶""), REGEXMATCH(C14240, ""薪資"")), ""分潤支出"",
  AND(REGEXMATCH(E14240, ""Ben帳戶|Elsa帳戶|Ben代墊|Ariel代墊|中信銀行共用""), REGEXMATCH(F14240, ""Ben帳戶|Elsa帳戶|Ben代墊|Ariel代墊|中信銀行共用"")), ""內部轉帳(忽略)"",
  AND(E14240&lt;&gt;"""", F14240&lt;&gt;"&amp;""""", NOT(REGEXMATCH(C14240, ""薪資""))), ""內部轉帳(忽略)"",
  REGEXMATCH(C14240, ""薪資""), ""薪資變動(不計入)"",
  REGEXMATCH(C14240, ""押金""), ""押金往來"",
  AND(E14240&lt;&gt;"""", F14240=""""), ""真實支出"",
  AND(E14240="""", F14240&lt;&gt;""""), ""真實收入"",
  TRUE, ""其他""
)"),"其他")</f>
        <v>其他</v>
      </c>
      <c r="K14240" s="270" t="str">
        <f t="shared" si="2"/>
        <v/>
      </c>
      <c r="L14240">
        <f t="shared" si="3"/>
        <v>0</v>
      </c>
    </row>
    <row r="14241">
      <c r="A14241" s="107"/>
      <c r="D14241" s="270"/>
      <c r="H14241" s="106" t="str">
        <f t="shared" si="1"/>
        <v/>
      </c>
      <c r="J14241" t="str">
        <f>IFERROR(__xludf.DUMMYFUNCTION("IFS(
  AND(REGEXMATCH(E14241, ""台銀籌備帳戶|玉山帳戶""), REGEXMATCH(C14241, ""薪資"")), ""分潤支出"",
  AND(REGEXMATCH(E14241, ""Ben帳戶|Elsa帳戶|Ben代墊|Ariel代墊|中信銀行共用""), REGEXMATCH(F14241, ""Ben帳戶|Elsa帳戶|Ben代墊|Ariel代墊|中信銀行共用"")), ""內部轉帳(忽略)"",
  AND(E14241&lt;&gt;"""", F14241&lt;&gt;"&amp;""""", NOT(REGEXMATCH(C14241, ""薪資""))), ""內部轉帳(忽略)"",
  REGEXMATCH(C14241, ""薪資""), ""薪資變動(不計入)"",
  REGEXMATCH(C14241, ""押金""), ""押金往來"",
  AND(E14241&lt;&gt;"""", F14241=""""), ""真實支出"",
  AND(E14241="""", F14241&lt;&gt;""""), ""真實收入"",
  TRUE, ""其他""
)"),"其他")</f>
        <v>其他</v>
      </c>
      <c r="K14241" s="270" t="str">
        <f t="shared" si="2"/>
        <v/>
      </c>
      <c r="L14241">
        <f t="shared" si="3"/>
        <v>0</v>
      </c>
    </row>
    <row r="14242">
      <c r="A14242" s="107"/>
      <c r="D14242" s="270"/>
      <c r="H14242" s="106" t="str">
        <f t="shared" si="1"/>
        <v/>
      </c>
      <c r="J14242" t="str">
        <f>IFERROR(__xludf.DUMMYFUNCTION("IFS(
  AND(REGEXMATCH(E14242, ""台銀籌備帳戶|玉山帳戶""), REGEXMATCH(C14242, ""薪資"")), ""分潤支出"",
  AND(REGEXMATCH(E14242, ""Ben帳戶|Elsa帳戶|Ben代墊|Ariel代墊|中信銀行共用""), REGEXMATCH(F14242, ""Ben帳戶|Elsa帳戶|Ben代墊|Ariel代墊|中信銀行共用"")), ""內部轉帳(忽略)"",
  AND(E14242&lt;&gt;"""", F14242&lt;&gt;"&amp;""""", NOT(REGEXMATCH(C14242, ""薪資""))), ""內部轉帳(忽略)"",
  REGEXMATCH(C14242, ""薪資""), ""薪資變動(不計入)"",
  REGEXMATCH(C14242, ""押金""), ""押金往來"",
  AND(E14242&lt;&gt;"""", F14242=""""), ""真實支出"",
  AND(E14242="""", F14242&lt;&gt;""""), ""真實收入"",
  TRUE, ""其他""
)"),"其他")</f>
        <v>其他</v>
      </c>
      <c r="K14242" s="270" t="str">
        <f t="shared" si="2"/>
        <v/>
      </c>
      <c r="L14242">
        <f t="shared" si="3"/>
        <v>0</v>
      </c>
    </row>
    <row r="14243">
      <c r="A14243" s="107"/>
      <c r="D14243" s="270"/>
      <c r="H14243" s="106" t="str">
        <f t="shared" si="1"/>
        <v/>
      </c>
      <c r="J14243" t="str">
        <f>IFERROR(__xludf.DUMMYFUNCTION("IFS(
  AND(REGEXMATCH(E14243, ""台銀籌備帳戶|玉山帳戶""), REGEXMATCH(C14243, ""薪資"")), ""分潤支出"",
  AND(REGEXMATCH(E14243, ""Ben帳戶|Elsa帳戶|Ben代墊|Ariel代墊|中信銀行共用""), REGEXMATCH(F14243, ""Ben帳戶|Elsa帳戶|Ben代墊|Ariel代墊|中信銀行共用"")), ""內部轉帳(忽略)"",
  AND(E14243&lt;&gt;"""", F14243&lt;&gt;"&amp;""""", NOT(REGEXMATCH(C14243, ""薪資""))), ""內部轉帳(忽略)"",
  REGEXMATCH(C14243, ""薪資""), ""薪資變動(不計入)"",
  REGEXMATCH(C14243, ""押金""), ""押金往來"",
  AND(E14243&lt;&gt;"""", F14243=""""), ""真實支出"",
  AND(E14243="""", F14243&lt;&gt;""""), ""真實收入"",
  TRUE, ""其他""
)"),"其他")</f>
        <v>其他</v>
      </c>
      <c r="K14243" s="270" t="str">
        <f t="shared" si="2"/>
        <v/>
      </c>
      <c r="L14243">
        <f t="shared" si="3"/>
        <v>0</v>
      </c>
    </row>
    <row r="14244">
      <c r="A14244" s="107"/>
      <c r="D14244" s="270"/>
      <c r="H14244" s="106" t="str">
        <f t="shared" si="1"/>
        <v/>
      </c>
      <c r="J14244" t="str">
        <f>IFERROR(__xludf.DUMMYFUNCTION("IFS(
  AND(REGEXMATCH(E14244, ""台銀籌備帳戶|玉山帳戶""), REGEXMATCH(C14244, ""薪資"")), ""分潤支出"",
  AND(REGEXMATCH(E14244, ""Ben帳戶|Elsa帳戶|Ben代墊|Ariel代墊|中信銀行共用""), REGEXMATCH(F14244, ""Ben帳戶|Elsa帳戶|Ben代墊|Ariel代墊|中信銀行共用"")), ""內部轉帳(忽略)"",
  AND(E14244&lt;&gt;"""", F14244&lt;&gt;"&amp;""""", NOT(REGEXMATCH(C14244, ""薪資""))), ""內部轉帳(忽略)"",
  REGEXMATCH(C14244, ""薪資""), ""薪資變動(不計入)"",
  REGEXMATCH(C14244, ""押金""), ""押金往來"",
  AND(E14244&lt;&gt;"""", F14244=""""), ""真實支出"",
  AND(E14244="""", F14244&lt;&gt;""""), ""真實收入"",
  TRUE, ""其他""
)"),"其他")</f>
        <v>其他</v>
      </c>
      <c r="K14244" s="270" t="str">
        <f t="shared" si="2"/>
        <v/>
      </c>
      <c r="L14244">
        <f t="shared" si="3"/>
        <v>0</v>
      </c>
    </row>
    <row r="14245">
      <c r="A14245" s="107"/>
      <c r="D14245" s="270"/>
      <c r="H14245" s="106" t="str">
        <f t="shared" si="1"/>
        <v/>
      </c>
      <c r="J14245" t="str">
        <f>IFERROR(__xludf.DUMMYFUNCTION("IFS(
  AND(REGEXMATCH(E14245, ""台銀籌備帳戶|玉山帳戶""), REGEXMATCH(C14245, ""薪資"")), ""分潤支出"",
  AND(REGEXMATCH(E14245, ""Ben帳戶|Elsa帳戶|Ben代墊|Ariel代墊|中信銀行共用""), REGEXMATCH(F14245, ""Ben帳戶|Elsa帳戶|Ben代墊|Ariel代墊|中信銀行共用"")), ""內部轉帳(忽略)"",
  AND(E14245&lt;&gt;"""", F14245&lt;&gt;"&amp;""""", NOT(REGEXMATCH(C14245, ""薪資""))), ""內部轉帳(忽略)"",
  REGEXMATCH(C14245, ""薪資""), ""薪資變動(不計入)"",
  REGEXMATCH(C14245, ""押金""), ""押金往來"",
  AND(E14245&lt;&gt;"""", F14245=""""), ""真實支出"",
  AND(E14245="""", F14245&lt;&gt;""""), ""真實收入"",
  TRUE, ""其他""
)"),"其他")</f>
        <v>其他</v>
      </c>
      <c r="K14245" s="270" t="str">
        <f t="shared" si="2"/>
        <v/>
      </c>
      <c r="L14245">
        <f t="shared" si="3"/>
        <v>0</v>
      </c>
    </row>
    <row r="14246">
      <c r="A14246" s="107"/>
      <c r="D14246" s="270"/>
      <c r="H14246" s="106" t="str">
        <f t="shared" si="1"/>
        <v/>
      </c>
      <c r="J14246" t="str">
        <f>IFERROR(__xludf.DUMMYFUNCTION("IFS(
  AND(REGEXMATCH(E14246, ""台銀籌備帳戶|玉山帳戶""), REGEXMATCH(C14246, ""薪資"")), ""分潤支出"",
  AND(REGEXMATCH(E14246, ""Ben帳戶|Elsa帳戶|Ben代墊|Ariel代墊|中信銀行共用""), REGEXMATCH(F14246, ""Ben帳戶|Elsa帳戶|Ben代墊|Ariel代墊|中信銀行共用"")), ""內部轉帳(忽略)"",
  AND(E14246&lt;&gt;"""", F14246&lt;&gt;"&amp;""""", NOT(REGEXMATCH(C14246, ""薪資""))), ""內部轉帳(忽略)"",
  REGEXMATCH(C14246, ""薪資""), ""薪資變動(不計入)"",
  REGEXMATCH(C14246, ""押金""), ""押金往來"",
  AND(E14246&lt;&gt;"""", F14246=""""), ""真實支出"",
  AND(E14246="""", F14246&lt;&gt;""""), ""真實收入"",
  TRUE, ""其他""
)"),"其他")</f>
        <v>其他</v>
      </c>
      <c r="K14246" s="270" t="str">
        <f t="shared" si="2"/>
        <v/>
      </c>
      <c r="L14246">
        <f t="shared" si="3"/>
        <v>0</v>
      </c>
    </row>
    <row r="14247">
      <c r="A14247" s="107"/>
      <c r="D14247" s="270"/>
      <c r="H14247" s="106" t="str">
        <f t="shared" si="1"/>
        <v/>
      </c>
      <c r="J14247" t="str">
        <f>IFERROR(__xludf.DUMMYFUNCTION("IFS(
  AND(REGEXMATCH(E14247, ""台銀籌備帳戶|玉山帳戶""), REGEXMATCH(C14247, ""薪資"")), ""分潤支出"",
  AND(REGEXMATCH(E14247, ""Ben帳戶|Elsa帳戶|Ben代墊|Ariel代墊|中信銀行共用""), REGEXMATCH(F14247, ""Ben帳戶|Elsa帳戶|Ben代墊|Ariel代墊|中信銀行共用"")), ""內部轉帳(忽略)"",
  AND(E14247&lt;&gt;"""", F14247&lt;&gt;"&amp;""""", NOT(REGEXMATCH(C14247, ""薪資""))), ""內部轉帳(忽略)"",
  REGEXMATCH(C14247, ""薪資""), ""薪資變動(不計入)"",
  REGEXMATCH(C14247, ""押金""), ""押金往來"",
  AND(E14247&lt;&gt;"""", F14247=""""), ""真實支出"",
  AND(E14247="""", F14247&lt;&gt;""""), ""真實收入"",
  TRUE, ""其他""
)"),"其他")</f>
        <v>其他</v>
      </c>
      <c r="K14247" s="270" t="str">
        <f t="shared" si="2"/>
        <v/>
      </c>
      <c r="L14247">
        <f t="shared" si="3"/>
        <v>0</v>
      </c>
    </row>
    <row r="14248">
      <c r="A14248" s="107"/>
      <c r="D14248" s="270"/>
      <c r="H14248" s="106" t="str">
        <f t="shared" si="1"/>
        <v/>
      </c>
      <c r="J14248" t="str">
        <f>IFERROR(__xludf.DUMMYFUNCTION("IFS(
  AND(REGEXMATCH(E14248, ""台銀籌備帳戶|玉山帳戶""), REGEXMATCH(C14248, ""薪資"")), ""分潤支出"",
  AND(REGEXMATCH(E14248, ""Ben帳戶|Elsa帳戶|Ben代墊|Ariel代墊|中信銀行共用""), REGEXMATCH(F14248, ""Ben帳戶|Elsa帳戶|Ben代墊|Ariel代墊|中信銀行共用"")), ""內部轉帳(忽略)"",
  AND(E14248&lt;&gt;"""", F14248&lt;&gt;"&amp;""""", NOT(REGEXMATCH(C14248, ""薪資""))), ""內部轉帳(忽略)"",
  REGEXMATCH(C14248, ""薪資""), ""薪資變動(不計入)"",
  REGEXMATCH(C14248, ""押金""), ""押金往來"",
  AND(E14248&lt;&gt;"""", F14248=""""), ""真實支出"",
  AND(E14248="""", F14248&lt;&gt;""""), ""真實收入"",
  TRUE, ""其他""
)"),"其他")</f>
        <v>其他</v>
      </c>
      <c r="K14248" s="270" t="str">
        <f t="shared" si="2"/>
        <v/>
      </c>
      <c r="L14248">
        <f t="shared" si="3"/>
        <v>0</v>
      </c>
    </row>
    <row r="14249">
      <c r="A14249" s="107"/>
      <c r="D14249" s="270"/>
      <c r="H14249" s="106" t="str">
        <f t="shared" si="1"/>
        <v/>
      </c>
      <c r="J14249" t="str">
        <f>IFERROR(__xludf.DUMMYFUNCTION("IFS(
  AND(REGEXMATCH(E14249, ""台銀籌備帳戶|玉山帳戶""), REGEXMATCH(C14249, ""薪資"")), ""分潤支出"",
  AND(REGEXMATCH(E14249, ""Ben帳戶|Elsa帳戶|Ben代墊|Ariel代墊|中信銀行共用""), REGEXMATCH(F14249, ""Ben帳戶|Elsa帳戶|Ben代墊|Ariel代墊|中信銀行共用"")), ""內部轉帳(忽略)"",
  AND(E14249&lt;&gt;"""", F14249&lt;&gt;"&amp;""""", NOT(REGEXMATCH(C14249, ""薪資""))), ""內部轉帳(忽略)"",
  REGEXMATCH(C14249, ""薪資""), ""薪資變動(不計入)"",
  REGEXMATCH(C14249, ""押金""), ""押金往來"",
  AND(E14249&lt;&gt;"""", F14249=""""), ""真實支出"",
  AND(E14249="""", F14249&lt;&gt;""""), ""真實收入"",
  TRUE, ""其他""
)"),"其他")</f>
        <v>其他</v>
      </c>
      <c r="K14249" s="270" t="str">
        <f t="shared" si="2"/>
        <v/>
      </c>
      <c r="L14249">
        <f t="shared" si="3"/>
        <v>0</v>
      </c>
    </row>
    <row r="14250">
      <c r="A14250" s="107"/>
      <c r="D14250" s="270"/>
      <c r="H14250" s="106" t="str">
        <f t="shared" si="1"/>
        <v/>
      </c>
      <c r="J14250" t="str">
        <f>IFERROR(__xludf.DUMMYFUNCTION("IFS(
  AND(REGEXMATCH(E14250, ""台銀籌備帳戶|玉山帳戶""), REGEXMATCH(C14250, ""薪資"")), ""分潤支出"",
  AND(REGEXMATCH(E14250, ""Ben帳戶|Elsa帳戶|Ben代墊|Ariel代墊|中信銀行共用""), REGEXMATCH(F14250, ""Ben帳戶|Elsa帳戶|Ben代墊|Ariel代墊|中信銀行共用"")), ""內部轉帳(忽略)"",
  AND(E14250&lt;&gt;"""", F14250&lt;&gt;"&amp;""""", NOT(REGEXMATCH(C14250, ""薪資""))), ""內部轉帳(忽略)"",
  REGEXMATCH(C14250, ""薪資""), ""薪資變動(不計入)"",
  REGEXMATCH(C14250, ""押金""), ""押金往來"",
  AND(E14250&lt;&gt;"""", F14250=""""), ""真實支出"",
  AND(E14250="""", F14250&lt;&gt;""""), ""真實收入"",
  TRUE, ""其他""
)"),"其他")</f>
        <v>其他</v>
      </c>
      <c r="K14250" s="270" t="str">
        <f t="shared" si="2"/>
        <v/>
      </c>
      <c r="L14250">
        <f t="shared" si="3"/>
        <v>0</v>
      </c>
    </row>
    <row r="14251">
      <c r="A14251" s="107"/>
      <c r="D14251" s="270"/>
      <c r="H14251" s="106" t="str">
        <f t="shared" si="1"/>
        <v/>
      </c>
      <c r="J14251" t="str">
        <f>IFERROR(__xludf.DUMMYFUNCTION("IFS(
  AND(REGEXMATCH(E14251, ""台銀籌備帳戶|玉山帳戶""), REGEXMATCH(C14251, ""薪資"")), ""分潤支出"",
  AND(REGEXMATCH(E14251, ""Ben帳戶|Elsa帳戶|Ben代墊|Ariel代墊|中信銀行共用""), REGEXMATCH(F14251, ""Ben帳戶|Elsa帳戶|Ben代墊|Ariel代墊|中信銀行共用"")), ""內部轉帳(忽略)"",
  AND(E14251&lt;&gt;"""", F14251&lt;&gt;"&amp;""""", NOT(REGEXMATCH(C14251, ""薪資""))), ""內部轉帳(忽略)"",
  REGEXMATCH(C14251, ""薪資""), ""薪資變動(不計入)"",
  REGEXMATCH(C14251, ""押金""), ""押金往來"",
  AND(E14251&lt;&gt;"""", F14251=""""), ""真實支出"",
  AND(E14251="""", F14251&lt;&gt;""""), ""真實收入"",
  TRUE, ""其他""
)"),"其他")</f>
        <v>其他</v>
      </c>
      <c r="K14251" s="270" t="str">
        <f t="shared" si="2"/>
        <v/>
      </c>
      <c r="L14251">
        <f t="shared" si="3"/>
        <v>0</v>
      </c>
    </row>
    <row r="14252">
      <c r="A14252" s="107"/>
      <c r="D14252" s="270"/>
      <c r="H14252" s="106" t="str">
        <f t="shared" si="1"/>
        <v/>
      </c>
      <c r="J14252" t="str">
        <f>IFERROR(__xludf.DUMMYFUNCTION("IFS(
  AND(REGEXMATCH(E14252, ""台銀籌備帳戶|玉山帳戶""), REGEXMATCH(C14252, ""薪資"")), ""分潤支出"",
  AND(REGEXMATCH(E14252, ""Ben帳戶|Elsa帳戶|Ben代墊|Ariel代墊|中信銀行共用""), REGEXMATCH(F14252, ""Ben帳戶|Elsa帳戶|Ben代墊|Ariel代墊|中信銀行共用"")), ""內部轉帳(忽略)"",
  AND(E14252&lt;&gt;"""", F14252&lt;&gt;"&amp;""""", NOT(REGEXMATCH(C14252, ""薪資""))), ""內部轉帳(忽略)"",
  REGEXMATCH(C14252, ""薪資""), ""薪資變動(不計入)"",
  REGEXMATCH(C14252, ""押金""), ""押金往來"",
  AND(E14252&lt;&gt;"""", F14252=""""), ""真實支出"",
  AND(E14252="""", F14252&lt;&gt;""""), ""真實收入"",
  TRUE, ""其他""
)"),"其他")</f>
        <v>其他</v>
      </c>
      <c r="K14252" s="270" t="str">
        <f t="shared" si="2"/>
        <v/>
      </c>
      <c r="L14252">
        <f t="shared" si="3"/>
        <v>0</v>
      </c>
    </row>
    <row r="14253">
      <c r="A14253" s="107"/>
      <c r="D14253" s="270"/>
      <c r="H14253" s="106" t="str">
        <f t="shared" si="1"/>
        <v/>
      </c>
      <c r="J14253" t="str">
        <f>IFERROR(__xludf.DUMMYFUNCTION("IFS(
  AND(REGEXMATCH(E14253, ""台銀籌備帳戶|玉山帳戶""), REGEXMATCH(C14253, ""薪資"")), ""分潤支出"",
  AND(REGEXMATCH(E14253, ""Ben帳戶|Elsa帳戶|Ben代墊|Ariel代墊|中信銀行共用""), REGEXMATCH(F14253, ""Ben帳戶|Elsa帳戶|Ben代墊|Ariel代墊|中信銀行共用"")), ""內部轉帳(忽略)"",
  AND(E14253&lt;&gt;"""", F14253&lt;&gt;"&amp;""""", NOT(REGEXMATCH(C14253, ""薪資""))), ""內部轉帳(忽略)"",
  REGEXMATCH(C14253, ""薪資""), ""薪資變動(不計入)"",
  REGEXMATCH(C14253, ""押金""), ""押金往來"",
  AND(E14253&lt;&gt;"""", F14253=""""), ""真實支出"",
  AND(E14253="""", F14253&lt;&gt;""""), ""真實收入"",
  TRUE, ""其他""
)"),"其他")</f>
        <v>其他</v>
      </c>
      <c r="K14253" s="270" t="str">
        <f t="shared" si="2"/>
        <v/>
      </c>
      <c r="L14253">
        <f t="shared" si="3"/>
        <v>0</v>
      </c>
    </row>
    <row r="14254">
      <c r="A14254" s="107"/>
      <c r="D14254" s="270"/>
      <c r="H14254" s="106" t="str">
        <f t="shared" si="1"/>
        <v/>
      </c>
      <c r="J14254" t="str">
        <f>IFERROR(__xludf.DUMMYFUNCTION("IFS(
  AND(REGEXMATCH(E14254, ""台銀籌備帳戶|玉山帳戶""), REGEXMATCH(C14254, ""薪資"")), ""分潤支出"",
  AND(REGEXMATCH(E14254, ""Ben帳戶|Elsa帳戶|Ben代墊|Ariel代墊|中信銀行共用""), REGEXMATCH(F14254, ""Ben帳戶|Elsa帳戶|Ben代墊|Ariel代墊|中信銀行共用"")), ""內部轉帳(忽略)"",
  AND(E14254&lt;&gt;"""", F14254&lt;&gt;"&amp;""""", NOT(REGEXMATCH(C14254, ""薪資""))), ""內部轉帳(忽略)"",
  REGEXMATCH(C14254, ""薪資""), ""薪資變動(不計入)"",
  REGEXMATCH(C14254, ""押金""), ""押金往來"",
  AND(E14254&lt;&gt;"""", F14254=""""), ""真實支出"",
  AND(E14254="""", F14254&lt;&gt;""""), ""真實收入"",
  TRUE, ""其他""
)"),"其他")</f>
        <v>其他</v>
      </c>
      <c r="K14254" s="270" t="str">
        <f t="shared" si="2"/>
        <v/>
      </c>
      <c r="L14254">
        <f t="shared" si="3"/>
        <v>0</v>
      </c>
    </row>
    <row r="14255">
      <c r="A14255" s="107"/>
      <c r="D14255" s="270"/>
      <c r="H14255" s="106" t="str">
        <f t="shared" si="1"/>
        <v/>
      </c>
      <c r="J14255" t="str">
        <f>IFERROR(__xludf.DUMMYFUNCTION("IFS(
  AND(REGEXMATCH(E14255, ""台銀籌備帳戶|玉山帳戶""), REGEXMATCH(C14255, ""薪資"")), ""分潤支出"",
  AND(REGEXMATCH(E14255, ""Ben帳戶|Elsa帳戶|Ben代墊|Ariel代墊|中信銀行共用""), REGEXMATCH(F14255, ""Ben帳戶|Elsa帳戶|Ben代墊|Ariel代墊|中信銀行共用"")), ""內部轉帳(忽略)"",
  AND(E14255&lt;&gt;"""", F14255&lt;&gt;"&amp;""""", NOT(REGEXMATCH(C14255, ""薪資""))), ""內部轉帳(忽略)"",
  REGEXMATCH(C14255, ""薪資""), ""薪資變動(不計入)"",
  REGEXMATCH(C14255, ""押金""), ""押金往來"",
  AND(E14255&lt;&gt;"""", F14255=""""), ""真實支出"",
  AND(E14255="""", F14255&lt;&gt;""""), ""真實收入"",
  TRUE, ""其他""
)"),"其他")</f>
        <v>其他</v>
      </c>
      <c r="K14255" s="270" t="str">
        <f t="shared" si="2"/>
        <v/>
      </c>
      <c r="L14255">
        <f t="shared" si="3"/>
        <v>0</v>
      </c>
    </row>
    <row r="14256">
      <c r="A14256" s="107"/>
      <c r="D14256" s="270"/>
      <c r="H14256" s="106" t="str">
        <f t="shared" si="1"/>
        <v/>
      </c>
      <c r="J14256" t="str">
        <f>IFERROR(__xludf.DUMMYFUNCTION("IFS(
  AND(REGEXMATCH(E14256, ""台銀籌備帳戶|玉山帳戶""), REGEXMATCH(C14256, ""薪資"")), ""分潤支出"",
  AND(REGEXMATCH(E14256, ""Ben帳戶|Elsa帳戶|Ben代墊|Ariel代墊|中信銀行共用""), REGEXMATCH(F14256, ""Ben帳戶|Elsa帳戶|Ben代墊|Ariel代墊|中信銀行共用"")), ""內部轉帳(忽略)"",
  AND(E14256&lt;&gt;"""", F14256&lt;&gt;"&amp;""""", NOT(REGEXMATCH(C14256, ""薪資""))), ""內部轉帳(忽略)"",
  REGEXMATCH(C14256, ""薪資""), ""薪資變動(不計入)"",
  REGEXMATCH(C14256, ""押金""), ""押金往來"",
  AND(E14256&lt;&gt;"""", F14256=""""), ""真實支出"",
  AND(E14256="""", F14256&lt;&gt;""""), ""真實收入"",
  TRUE, ""其他""
)"),"其他")</f>
        <v>其他</v>
      </c>
      <c r="K14256" s="270" t="str">
        <f t="shared" si="2"/>
        <v/>
      </c>
      <c r="L14256">
        <f t="shared" si="3"/>
        <v>0</v>
      </c>
    </row>
    <row r="14257">
      <c r="A14257" s="107"/>
      <c r="D14257" s="270"/>
      <c r="H14257" s="106" t="str">
        <f t="shared" si="1"/>
        <v/>
      </c>
      <c r="J14257" t="str">
        <f>IFERROR(__xludf.DUMMYFUNCTION("IFS(
  AND(REGEXMATCH(E14257, ""台銀籌備帳戶|玉山帳戶""), REGEXMATCH(C14257, ""薪資"")), ""分潤支出"",
  AND(REGEXMATCH(E14257, ""Ben帳戶|Elsa帳戶|Ben代墊|Ariel代墊|中信銀行共用""), REGEXMATCH(F14257, ""Ben帳戶|Elsa帳戶|Ben代墊|Ariel代墊|中信銀行共用"")), ""內部轉帳(忽略)"",
  AND(E14257&lt;&gt;"""", F14257&lt;&gt;"&amp;""""", NOT(REGEXMATCH(C14257, ""薪資""))), ""內部轉帳(忽略)"",
  REGEXMATCH(C14257, ""薪資""), ""薪資變動(不計入)"",
  REGEXMATCH(C14257, ""押金""), ""押金往來"",
  AND(E14257&lt;&gt;"""", F14257=""""), ""真實支出"",
  AND(E14257="""", F14257&lt;&gt;""""), ""真實收入"",
  TRUE, ""其他""
)"),"其他")</f>
        <v>其他</v>
      </c>
      <c r="K14257" s="270" t="str">
        <f t="shared" si="2"/>
        <v/>
      </c>
      <c r="L14257">
        <f t="shared" si="3"/>
        <v>0</v>
      </c>
    </row>
    <row r="14258">
      <c r="A14258" s="107"/>
      <c r="D14258" s="270"/>
      <c r="H14258" s="106" t="str">
        <f t="shared" si="1"/>
        <v/>
      </c>
      <c r="J14258" t="str">
        <f>IFERROR(__xludf.DUMMYFUNCTION("IFS(
  AND(REGEXMATCH(E14258, ""台銀籌備帳戶|玉山帳戶""), REGEXMATCH(C14258, ""薪資"")), ""分潤支出"",
  AND(REGEXMATCH(E14258, ""Ben帳戶|Elsa帳戶|Ben代墊|Ariel代墊|中信銀行共用""), REGEXMATCH(F14258, ""Ben帳戶|Elsa帳戶|Ben代墊|Ariel代墊|中信銀行共用"")), ""內部轉帳(忽略)"",
  AND(E14258&lt;&gt;"""", F14258&lt;&gt;"&amp;""""", NOT(REGEXMATCH(C14258, ""薪資""))), ""內部轉帳(忽略)"",
  REGEXMATCH(C14258, ""薪資""), ""薪資變動(不計入)"",
  REGEXMATCH(C14258, ""押金""), ""押金往來"",
  AND(E14258&lt;&gt;"""", F14258=""""), ""真實支出"",
  AND(E14258="""", F14258&lt;&gt;""""), ""真實收入"",
  TRUE, ""其他""
)"),"其他")</f>
        <v>其他</v>
      </c>
      <c r="K14258" s="270" t="str">
        <f t="shared" si="2"/>
        <v/>
      </c>
      <c r="L14258">
        <f t="shared" si="3"/>
        <v>0</v>
      </c>
    </row>
    <row r="14259">
      <c r="A14259" s="107"/>
      <c r="D14259" s="270"/>
      <c r="H14259" s="106" t="str">
        <f t="shared" si="1"/>
        <v/>
      </c>
      <c r="J14259" t="str">
        <f>IFERROR(__xludf.DUMMYFUNCTION("IFS(
  AND(REGEXMATCH(E14259, ""台銀籌備帳戶|玉山帳戶""), REGEXMATCH(C14259, ""薪資"")), ""分潤支出"",
  AND(REGEXMATCH(E14259, ""Ben帳戶|Elsa帳戶|Ben代墊|Ariel代墊|中信銀行共用""), REGEXMATCH(F14259, ""Ben帳戶|Elsa帳戶|Ben代墊|Ariel代墊|中信銀行共用"")), ""內部轉帳(忽略)"",
  AND(E14259&lt;&gt;"""", F14259&lt;&gt;"&amp;""""", NOT(REGEXMATCH(C14259, ""薪資""))), ""內部轉帳(忽略)"",
  REGEXMATCH(C14259, ""薪資""), ""薪資變動(不計入)"",
  REGEXMATCH(C14259, ""押金""), ""押金往來"",
  AND(E14259&lt;&gt;"""", F14259=""""), ""真實支出"",
  AND(E14259="""", F14259&lt;&gt;""""), ""真實收入"",
  TRUE, ""其他""
)"),"其他")</f>
        <v>其他</v>
      </c>
      <c r="K14259" s="270" t="str">
        <f t="shared" si="2"/>
        <v/>
      </c>
      <c r="L14259">
        <f t="shared" si="3"/>
        <v>0</v>
      </c>
    </row>
    <row r="14260">
      <c r="A14260" s="107"/>
      <c r="D14260" s="270"/>
      <c r="H14260" s="106" t="str">
        <f t="shared" si="1"/>
        <v/>
      </c>
      <c r="J14260" t="str">
        <f>IFERROR(__xludf.DUMMYFUNCTION("IFS(
  AND(REGEXMATCH(E14260, ""台銀籌備帳戶|玉山帳戶""), REGEXMATCH(C14260, ""薪資"")), ""分潤支出"",
  AND(REGEXMATCH(E14260, ""Ben帳戶|Elsa帳戶|Ben代墊|Ariel代墊|中信銀行共用""), REGEXMATCH(F14260, ""Ben帳戶|Elsa帳戶|Ben代墊|Ariel代墊|中信銀行共用"")), ""內部轉帳(忽略)"",
  AND(E14260&lt;&gt;"""", F14260&lt;&gt;"&amp;""""", NOT(REGEXMATCH(C14260, ""薪資""))), ""內部轉帳(忽略)"",
  REGEXMATCH(C14260, ""薪資""), ""薪資變動(不計入)"",
  REGEXMATCH(C14260, ""押金""), ""押金往來"",
  AND(E14260&lt;&gt;"""", F14260=""""), ""真實支出"",
  AND(E14260="""", F14260&lt;&gt;""""), ""真實收入"",
  TRUE, ""其他""
)"),"其他")</f>
        <v>其他</v>
      </c>
      <c r="K14260" s="270" t="str">
        <f t="shared" si="2"/>
        <v/>
      </c>
      <c r="L14260">
        <f t="shared" si="3"/>
        <v>0</v>
      </c>
    </row>
    <row r="14261">
      <c r="A14261" s="107"/>
      <c r="D14261" s="270"/>
      <c r="H14261" s="106" t="str">
        <f t="shared" si="1"/>
        <v/>
      </c>
      <c r="J14261" t="str">
        <f>IFERROR(__xludf.DUMMYFUNCTION("IFS(
  AND(REGEXMATCH(E14261, ""台銀籌備帳戶|玉山帳戶""), REGEXMATCH(C14261, ""薪資"")), ""分潤支出"",
  AND(REGEXMATCH(E14261, ""Ben帳戶|Elsa帳戶|Ben代墊|Ariel代墊|中信銀行共用""), REGEXMATCH(F14261, ""Ben帳戶|Elsa帳戶|Ben代墊|Ariel代墊|中信銀行共用"")), ""內部轉帳(忽略)"",
  AND(E14261&lt;&gt;"""", F14261&lt;&gt;"&amp;""""", NOT(REGEXMATCH(C14261, ""薪資""))), ""內部轉帳(忽略)"",
  REGEXMATCH(C14261, ""薪資""), ""薪資變動(不計入)"",
  REGEXMATCH(C14261, ""押金""), ""押金往來"",
  AND(E14261&lt;&gt;"""", F14261=""""), ""真實支出"",
  AND(E14261="""", F14261&lt;&gt;""""), ""真實收入"",
  TRUE, ""其他""
)"),"其他")</f>
        <v>其他</v>
      </c>
      <c r="K14261" s="270" t="str">
        <f t="shared" si="2"/>
        <v/>
      </c>
      <c r="L14261">
        <f t="shared" si="3"/>
        <v>0</v>
      </c>
    </row>
    <row r="14262">
      <c r="A14262" s="107"/>
      <c r="D14262" s="270"/>
      <c r="H14262" s="106" t="str">
        <f t="shared" si="1"/>
        <v/>
      </c>
      <c r="J14262" t="str">
        <f>IFERROR(__xludf.DUMMYFUNCTION("IFS(
  AND(REGEXMATCH(E14262, ""台銀籌備帳戶|玉山帳戶""), REGEXMATCH(C14262, ""薪資"")), ""分潤支出"",
  AND(REGEXMATCH(E14262, ""Ben帳戶|Elsa帳戶|Ben代墊|Ariel代墊|中信銀行共用""), REGEXMATCH(F14262, ""Ben帳戶|Elsa帳戶|Ben代墊|Ariel代墊|中信銀行共用"")), ""內部轉帳(忽略)"",
  AND(E14262&lt;&gt;"""", F14262&lt;&gt;"&amp;""""", NOT(REGEXMATCH(C14262, ""薪資""))), ""內部轉帳(忽略)"",
  REGEXMATCH(C14262, ""薪資""), ""薪資變動(不計入)"",
  REGEXMATCH(C14262, ""押金""), ""押金往來"",
  AND(E14262&lt;&gt;"""", F14262=""""), ""真實支出"",
  AND(E14262="""", F14262&lt;&gt;""""), ""真實收入"",
  TRUE, ""其他""
)"),"其他")</f>
        <v>其他</v>
      </c>
      <c r="K14262" s="270" t="str">
        <f t="shared" si="2"/>
        <v/>
      </c>
      <c r="L14262">
        <f t="shared" si="3"/>
        <v>0</v>
      </c>
    </row>
    <row r="14263">
      <c r="A14263" s="107"/>
      <c r="D14263" s="270"/>
      <c r="H14263" s="106" t="str">
        <f t="shared" si="1"/>
        <v/>
      </c>
      <c r="J14263" t="str">
        <f>IFERROR(__xludf.DUMMYFUNCTION("IFS(
  AND(REGEXMATCH(E14263, ""台銀籌備帳戶|玉山帳戶""), REGEXMATCH(C14263, ""薪資"")), ""分潤支出"",
  AND(REGEXMATCH(E14263, ""Ben帳戶|Elsa帳戶|Ben代墊|Ariel代墊|中信銀行共用""), REGEXMATCH(F14263, ""Ben帳戶|Elsa帳戶|Ben代墊|Ariel代墊|中信銀行共用"")), ""內部轉帳(忽略)"",
  AND(E14263&lt;&gt;"""", F14263&lt;&gt;"&amp;""""", NOT(REGEXMATCH(C14263, ""薪資""))), ""內部轉帳(忽略)"",
  REGEXMATCH(C14263, ""薪資""), ""薪資變動(不計入)"",
  REGEXMATCH(C14263, ""押金""), ""押金往來"",
  AND(E14263&lt;&gt;"""", F14263=""""), ""真實支出"",
  AND(E14263="""", F14263&lt;&gt;""""), ""真實收入"",
  TRUE, ""其他""
)"),"其他")</f>
        <v>其他</v>
      </c>
      <c r="K14263" s="270" t="str">
        <f t="shared" si="2"/>
        <v/>
      </c>
      <c r="L14263">
        <f t="shared" si="3"/>
        <v>0</v>
      </c>
    </row>
    <row r="14264">
      <c r="A14264" s="107"/>
      <c r="D14264" s="270"/>
      <c r="H14264" s="106" t="str">
        <f t="shared" si="1"/>
        <v/>
      </c>
      <c r="J14264" t="str">
        <f>IFERROR(__xludf.DUMMYFUNCTION("IFS(
  AND(REGEXMATCH(E14264, ""台銀籌備帳戶|玉山帳戶""), REGEXMATCH(C14264, ""薪資"")), ""分潤支出"",
  AND(REGEXMATCH(E14264, ""Ben帳戶|Elsa帳戶|Ben代墊|Ariel代墊|中信銀行共用""), REGEXMATCH(F14264, ""Ben帳戶|Elsa帳戶|Ben代墊|Ariel代墊|中信銀行共用"")), ""內部轉帳(忽略)"",
  AND(E14264&lt;&gt;"""", F14264&lt;&gt;"&amp;""""", NOT(REGEXMATCH(C14264, ""薪資""))), ""內部轉帳(忽略)"",
  REGEXMATCH(C14264, ""薪資""), ""薪資變動(不計入)"",
  REGEXMATCH(C14264, ""押金""), ""押金往來"",
  AND(E14264&lt;&gt;"""", F14264=""""), ""真實支出"",
  AND(E14264="""", F14264&lt;&gt;""""), ""真實收入"",
  TRUE, ""其他""
)"),"其他")</f>
        <v>其他</v>
      </c>
      <c r="K14264" s="270" t="str">
        <f t="shared" si="2"/>
        <v/>
      </c>
      <c r="L14264">
        <f t="shared" si="3"/>
        <v>0</v>
      </c>
    </row>
    <row r="14265">
      <c r="A14265" s="107"/>
      <c r="D14265" s="270"/>
      <c r="H14265" s="106" t="str">
        <f t="shared" si="1"/>
        <v/>
      </c>
      <c r="J14265" t="str">
        <f>IFERROR(__xludf.DUMMYFUNCTION("IFS(
  AND(REGEXMATCH(E14265, ""台銀籌備帳戶|玉山帳戶""), REGEXMATCH(C14265, ""薪資"")), ""分潤支出"",
  AND(REGEXMATCH(E14265, ""Ben帳戶|Elsa帳戶|Ben代墊|Ariel代墊|中信銀行共用""), REGEXMATCH(F14265, ""Ben帳戶|Elsa帳戶|Ben代墊|Ariel代墊|中信銀行共用"")), ""內部轉帳(忽略)"",
  AND(E14265&lt;&gt;"""", F14265&lt;&gt;"&amp;""""", NOT(REGEXMATCH(C14265, ""薪資""))), ""內部轉帳(忽略)"",
  REGEXMATCH(C14265, ""薪資""), ""薪資變動(不計入)"",
  REGEXMATCH(C14265, ""押金""), ""押金往來"",
  AND(E14265&lt;&gt;"""", F14265=""""), ""真實支出"",
  AND(E14265="""", F14265&lt;&gt;""""), ""真實收入"",
  TRUE, ""其他""
)"),"其他")</f>
        <v>其他</v>
      </c>
      <c r="K14265" s="270" t="str">
        <f t="shared" si="2"/>
        <v/>
      </c>
      <c r="L14265">
        <f t="shared" si="3"/>
        <v>0</v>
      </c>
    </row>
    <row r="14266">
      <c r="A14266" s="107"/>
      <c r="D14266" s="270"/>
      <c r="H14266" s="106" t="str">
        <f t="shared" si="1"/>
        <v/>
      </c>
      <c r="J14266" t="str">
        <f>IFERROR(__xludf.DUMMYFUNCTION("IFS(
  AND(REGEXMATCH(E14266, ""台銀籌備帳戶|玉山帳戶""), REGEXMATCH(C14266, ""薪資"")), ""分潤支出"",
  AND(REGEXMATCH(E14266, ""Ben帳戶|Elsa帳戶|Ben代墊|Ariel代墊|中信銀行共用""), REGEXMATCH(F14266, ""Ben帳戶|Elsa帳戶|Ben代墊|Ariel代墊|中信銀行共用"")), ""內部轉帳(忽略)"",
  AND(E14266&lt;&gt;"""", F14266&lt;&gt;"&amp;""""", NOT(REGEXMATCH(C14266, ""薪資""))), ""內部轉帳(忽略)"",
  REGEXMATCH(C14266, ""薪資""), ""薪資變動(不計入)"",
  REGEXMATCH(C14266, ""押金""), ""押金往來"",
  AND(E14266&lt;&gt;"""", F14266=""""), ""真實支出"",
  AND(E14266="""", F14266&lt;&gt;""""), ""真實收入"",
  TRUE, ""其他""
)"),"其他")</f>
        <v>其他</v>
      </c>
      <c r="K14266" s="270" t="str">
        <f t="shared" si="2"/>
        <v/>
      </c>
      <c r="L14266">
        <f t="shared" si="3"/>
        <v>0</v>
      </c>
    </row>
    <row r="14267">
      <c r="A14267" s="107"/>
      <c r="D14267" s="270"/>
      <c r="H14267" s="106" t="str">
        <f t="shared" si="1"/>
        <v/>
      </c>
      <c r="J14267" t="str">
        <f>IFERROR(__xludf.DUMMYFUNCTION("IFS(
  AND(REGEXMATCH(E14267, ""台銀籌備帳戶|玉山帳戶""), REGEXMATCH(C14267, ""薪資"")), ""分潤支出"",
  AND(REGEXMATCH(E14267, ""Ben帳戶|Elsa帳戶|Ben代墊|Ariel代墊|中信銀行共用""), REGEXMATCH(F14267, ""Ben帳戶|Elsa帳戶|Ben代墊|Ariel代墊|中信銀行共用"")), ""內部轉帳(忽略)"",
  AND(E14267&lt;&gt;"""", F14267&lt;&gt;"&amp;""""", NOT(REGEXMATCH(C14267, ""薪資""))), ""內部轉帳(忽略)"",
  REGEXMATCH(C14267, ""薪資""), ""薪資變動(不計入)"",
  REGEXMATCH(C14267, ""押金""), ""押金往來"",
  AND(E14267&lt;&gt;"""", F14267=""""), ""真實支出"",
  AND(E14267="""", F14267&lt;&gt;""""), ""真實收入"",
  TRUE, ""其他""
)"),"其他")</f>
        <v>其他</v>
      </c>
      <c r="K14267" s="270" t="str">
        <f t="shared" si="2"/>
        <v/>
      </c>
      <c r="L14267">
        <f t="shared" si="3"/>
        <v>0</v>
      </c>
    </row>
    <row r="14268">
      <c r="A14268" s="107"/>
      <c r="D14268" s="270"/>
      <c r="H14268" s="106" t="str">
        <f t="shared" si="1"/>
        <v/>
      </c>
      <c r="J14268" t="str">
        <f>IFERROR(__xludf.DUMMYFUNCTION("IFS(
  AND(REGEXMATCH(E14268, ""台銀籌備帳戶|玉山帳戶""), REGEXMATCH(C14268, ""薪資"")), ""分潤支出"",
  AND(REGEXMATCH(E14268, ""Ben帳戶|Elsa帳戶|Ben代墊|Ariel代墊|中信銀行共用""), REGEXMATCH(F14268, ""Ben帳戶|Elsa帳戶|Ben代墊|Ariel代墊|中信銀行共用"")), ""內部轉帳(忽略)"",
  AND(E14268&lt;&gt;"""", F14268&lt;&gt;"&amp;""""", NOT(REGEXMATCH(C14268, ""薪資""))), ""內部轉帳(忽略)"",
  REGEXMATCH(C14268, ""薪資""), ""薪資變動(不計入)"",
  REGEXMATCH(C14268, ""押金""), ""押金往來"",
  AND(E14268&lt;&gt;"""", F14268=""""), ""真實支出"",
  AND(E14268="""", F14268&lt;&gt;""""), ""真實收入"",
  TRUE, ""其他""
)"),"其他")</f>
        <v>其他</v>
      </c>
      <c r="K14268" s="270" t="str">
        <f t="shared" si="2"/>
        <v/>
      </c>
      <c r="L14268">
        <f t="shared" si="3"/>
        <v>0</v>
      </c>
    </row>
    <row r="14269">
      <c r="A14269" s="107"/>
      <c r="D14269" s="270"/>
      <c r="H14269" s="106" t="str">
        <f t="shared" si="1"/>
        <v/>
      </c>
      <c r="J14269" t="str">
        <f>IFERROR(__xludf.DUMMYFUNCTION("IFS(
  AND(REGEXMATCH(E14269, ""台銀籌備帳戶|玉山帳戶""), REGEXMATCH(C14269, ""薪資"")), ""分潤支出"",
  AND(REGEXMATCH(E14269, ""Ben帳戶|Elsa帳戶|Ben代墊|Ariel代墊|中信銀行共用""), REGEXMATCH(F14269, ""Ben帳戶|Elsa帳戶|Ben代墊|Ariel代墊|中信銀行共用"")), ""內部轉帳(忽略)"",
  AND(E14269&lt;&gt;"""", F14269&lt;&gt;"&amp;""""", NOT(REGEXMATCH(C14269, ""薪資""))), ""內部轉帳(忽略)"",
  REGEXMATCH(C14269, ""薪資""), ""薪資變動(不計入)"",
  REGEXMATCH(C14269, ""押金""), ""押金往來"",
  AND(E14269&lt;&gt;"""", F14269=""""), ""真實支出"",
  AND(E14269="""", F14269&lt;&gt;""""), ""真實收入"",
  TRUE, ""其他""
)"),"其他")</f>
        <v>其他</v>
      </c>
      <c r="K14269" s="270" t="str">
        <f t="shared" si="2"/>
        <v/>
      </c>
      <c r="L14269">
        <f t="shared" si="3"/>
        <v>0</v>
      </c>
    </row>
    <row r="14270">
      <c r="A14270" s="107"/>
      <c r="D14270" s="270"/>
      <c r="H14270" s="106" t="str">
        <f t="shared" si="1"/>
        <v/>
      </c>
      <c r="J14270" t="str">
        <f>IFERROR(__xludf.DUMMYFUNCTION("IFS(
  AND(REGEXMATCH(E14270, ""台銀籌備帳戶|玉山帳戶""), REGEXMATCH(C14270, ""薪資"")), ""分潤支出"",
  AND(REGEXMATCH(E14270, ""Ben帳戶|Elsa帳戶|Ben代墊|Ariel代墊|中信銀行共用""), REGEXMATCH(F14270, ""Ben帳戶|Elsa帳戶|Ben代墊|Ariel代墊|中信銀行共用"")), ""內部轉帳(忽略)"",
  AND(E14270&lt;&gt;"""", F14270&lt;&gt;"&amp;""""", NOT(REGEXMATCH(C14270, ""薪資""))), ""內部轉帳(忽略)"",
  REGEXMATCH(C14270, ""薪資""), ""薪資變動(不計入)"",
  REGEXMATCH(C14270, ""押金""), ""押金往來"",
  AND(E14270&lt;&gt;"""", F14270=""""), ""真實支出"",
  AND(E14270="""", F14270&lt;&gt;""""), ""真實收入"",
  TRUE, ""其他""
)"),"其他")</f>
        <v>其他</v>
      </c>
      <c r="K14270" s="270" t="str">
        <f t="shared" si="2"/>
        <v/>
      </c>
      <c r="L14270">
        <f t="shared" si="3"/>
        <v>0</v>
      </c>
    </row>
    <row r="14271">
      <c r="A14271" s="107"/>
      <c r="D14271" s="270"/>
      <c r="H14271" s="106" t="str">
        <f t="shared" si="1"/>
        <v/>
      </c>
      <c r="J14271" t="str">
        <f>IFERROR(__xludf.DUMMYFUNCTION("IFS(
  AND(REGEXMATCH(E14271, ""台銀籌備帳戶|玉山帳戶""), REGEXMATCH(C14271, ""薪資"")), ""分潤支出"",
  AND(REGEXMATCH(E14271, ""Ben帳戶|Elsa帳戶|Ben代墊|Ariel代墊|中信銀行共用""), REGEXMATCH(F14271, ""Ben帳戶|Elsa帳戶|Ben代墊|Ariel代墊|中信銀行共用"")), ""內部轉帳(忽略)"",
  AND(E14271&lt;&gt;"""", F14271&lt;&gt;"&amp;""""", NOT(REGEXMATCH(C14271, ""薪資""))), ""內部轉帳(忽略)"",
  REGEXMATCH(C14271, ""薪資""), ""薪資變動(不計入)"",
  REGEXMATCH(C14271, ""押金""), ""押金往來"",
  AND(E14271&lt;&gt;"""", F14271=""""), ""真實支出"",
  AND(E14271="""", F14271&lt;&gt;""""), ""真實收入"",
  TRUE, ""其他""
)"),"其他")</f>
        <v>其他</v>
      </c>
      <c r="K14271" s="270" t="str">
        <f t="shared" si="2"/>
        <v/>
      </c>
      <c r="L14271">
        <f t="shared" si="3"/>
        <v>0</v>
      </c>
    </row>
    <row r="14272">
      <c r="A14272" s="107"/>
      <c r="D14272" s="270"/>
      <c r="H14272" s="106" t="str">
        <f t="shared" si="1"/>
        <v/>
      </c>
      <c r="J14272" t="str">
        <f>IFERROR(__xludf.DUMMYFUNCTION("IFS(
  AND(REGEXMATCH(E14272, ""台銀籌備帳戶|玉山帳戶""), REGEXMATCH(C14272, ""薪資"")), ""分潤支出"",
  AND(REGEXMATCH(E14272, ""Ben帳戶|Elsa帳戶|Ben代墊|Ariel代墊|中信銀行共用""), REGEXMATCH(F14272, ""Ben帳戶|Elsa帳戶|Ben代墊|Ariel代墊|中信銀行共用"")), ""內部轉帳(忽略)"",
  AND(E14272&lt;&gt;"""", F14272&lt;&gt;"&amp;""""", NOT(REGEXMATCH(C14272, ""薪資""))), ""內部轉帳(忽略)"",
  REGEXMATCH(C14272, ""薪資""), ""薪資變動(不計入)"",
  REGEXMATCH(C14272, ""押金""), ""押金往來"",
  AND(E14272&lt;&gt;"""", F14272=""""), ""真實支出"",
  AND(E14272="""", F14272&lt;&gt;""""), ""真實收入"",
  TRUE, ""其他""
)"),"其他")</f>
        <v>其他</v>
      </c>
      <c r="K14272" s="270" t="str">
        <f t="shared" si="2"/>
        <v/>
      </c>
      <c r="L14272">
        <f t="shared" si="3"/>
        <v>0</v>
      </c>
    </row>
    <row r="14273">
      <c r="A14273" s="107"/>
      <c r="D14273" s="270"/>
      <c r="H14273" s="106" t="str">
        <f t="shared" si="1"/>
        <v/>
      </c>
      <c r="J14273" t="str">
        <f>IFERROR(__xludf.DUMMYFUNCTION("IFS(
  AND(REGEXMATCH(E14273, ""台銀籌備帳戶|玉山帳戶""), REGEXMATCH(C14273, ""薪資"")), ""分潤支出"",
  AND(REGEXMATCH(E14273, ""Ben帳戶|Elsa帳戶|Ben代墊|Ariel代墊|中信銀行共用""), REGEXMATCH(F14273, ""Ben帳戶|Elsa帳戶|Ben代墊|Ariel代墊|中信銀行共用"")), ""內部轉帳(忽略)"",
  AND(E14273&lt;&gt;"""", F14273&lt;&gt;"&amp;""""", NOT(REGEXMATCH(C14273, ""薪資""))), ""內部轉帳(忽略)"",
  REGEXMATCH(C14273, ""薪資""), ""薪資變動(不計入)"",
  REGEXMATCH(C14273, ""押金""), ""押金往來"",
  AND(E14273&lt;&gt;"""", F14273=""""), ""真實支出"",
  AND(E14273="""", F14273&lt;&gt;""""), ""真實收入"",
  TRUE, ""其他""
)"),"其他")</f>
        <v>其他</v>
      </c>
      <c r="K14273" s="270" t="str">
        <f t="shared" si="2"/>
        <v/>
      </c>
      <c r="L14273">
        <f t="shared" si="3"/>
        <v>0</v>
      </c>
    </row>
    <row r="14274">
      <c r="A14274" s="107"/>
      <c r="D14274" s="270"/>
      <c r="H14274" s="106" t="str">
        <f t="shared" si="1"/>
        <v/>
      </c>
      <c r="J14274" t="str">
        <f>IFERROR(__xludf.DUMMYFUNCTION("IFS(
  AND(REGEXMATCH(E14274, ""台銀籌備帳戶|玉山帳戶""), REGEXMATCH(C14274, ""薪資"")), ""分潤支出"",
  AND(REGEXMATCH(E14274, ""Ben帳戶|Elsa帳戶|Ben代墊|Ariel代墊|中信銀行共用""), REGEXMATCH(F14274, ""Ben帳戶|Elsa帳戶|Ben代墊|Ariel代墊|中信銀行共用"")), ""內部轉帳(忽略)"",
  AND(E14274&lt;&gt;"""", F14274&lt;&gt;"&amp;""""", NOT(REGEXMATCH(C14274, ""薪資""))), ""內部轉帳(忽略)"",
  REGEXMATCH(C14274, ""薪資""), ""薪資變動(不計入)"",
  REGEXMATCH(C14274, ""押金""), ""押金往來"",
  AND(E14274&lt;&gt;"""", F14274=""""), ""真實支出"",
  AND(E14274="""", F14274&lt;&gt;""""), ""真實收入"",
  TRUE, ""其他""
)"),"其他")</f>
        <v>其他</v>
      </c>
      <c r="K14274" s="270" t="str">
        <f t="shared" si="2"/>
        <v/>
      </c>
      <c r="L14274">
        <f t="shared" si="3"/>
        <v>0</v>
      </c>
    </row>
    <row r="14275">
      <c r="A14275" s="107"/>
      <c r="D14275" s="270"/>
      <c r="H14275" s="106" t="str">
        <f t="shared" si="1"/>
        <v/>
      </c>
      <c r="J14275" t="str">
        <f>IFERROR(__xludf.DUMMYFUNCTION("IFS(
  AND(REGEXMATCH(E14275, ""台銀籌備帳戶|玉山帳戶""), REGEXMATCH(C14275, ""薪資"")), ""分潤支出"",
  AND(REGEXMATCH(E14275, ""Ben帳戶|Elsa帳戶|Ben代墊|Ariel代墊|中信銀行共用""), REGEXMATCH(F14275, ""Ben帳戶|Elsa帳戶|Ben代墊|Ariel代墊|中信銀行共用"")), ""內部轉帳(忽略)"",
  AND(E14275&lt;&gt;"""", F14275&lt;&gt;"&amp;""""", NOT(REGEXMATCH(C14275, ""薪資""))), ""內部轉帳(忽略)"",
  REGEXMATCH(C14275, ""薪資""), ""薪資變動(不計入)"",
  REGEXMATCH(C14275, ""押金""), ""押金往來"",
  AND(E14275&lt;&gt;"""", F14275=""""), ""真實支出"",
  AND(E14275="""", F14275&lt;&gt;""""), ""真實收入"",
  TRUE, ""其他""
)"),"其他")</f>
        <v>其他</v>
      </c>
      <c r="K14275" s="270" t="str">
        <f t="shared" si="2"/>
        <v/>
      </c>
      <c r="L14275">
        <f t="shared" si="3"/>
        <v>0</v>
      </c>
    </row>
    <row r="14276">
      <c r="A14276" s="107"/>
      <c r="D14276" s="270"/>
      <c r="H14276" s="106" t="str">
        <f t="shared" si="1"/>
        <v/>
      </c>
      <c r="J14276" t="str">
        <f>IFERROR(__xludf.DUMMYFUNCTION("IFS(
  AND(REGEXMATCH(E14276, ""台銀籌備帳戶|玉山帳戶""), REGEXMATCH(C14276, ""薪資"")), ""分潤支出"",
  AND(REGEXMATCH(E14276, ""Ben帳戶|Elsa帳戶|Ben代墊|Ariel代墊|中信銀行共用""), REGEXMATCH(F14276, ""Ben帳戶|Elsa帳戶|Ben代墊|Ariel代墊|中信銀行共用"")), ""內部轉帳(忽略)"",
  AND(E14276&lt;&gt;"""", F14276&lt;&gt;"&amp;""""", NOT(REGEXMATCH(C14276, ""薪資""))), ""內部轉帳(忽略)"",
  REGEXMATCH(C14276, ""薪資""), ""薪資變動(不計入)"",
  REGEXMATCH(C14276, ""押金""), ""押金往來"",
  AND(E14276&lt;&gt;"""", F14276=""""), ""真實支出"",
  AND(E14276="""", F14276&lt;&gt;""""), ""真實收入"",
  TRUE, ""其他""
)"),"其他")</f>
        <v>其他</v>
      </c>
      <c r="K14276" s="270" t="str">
        <f t="shared" si="2"/>
        <v/>
      </c>
      <c r="L14276">
        <f t="shared" si="3"/>
        <v>0</v>
      </c>
    </row>
    <row r="14277">
      <c r="A14277" s="107"/>
      <c r="D14277" s="270"/>
      <c r="H14277" s="106" t="str">
        <f t="shared" si="1"/>
        <v/>
      </c>
      <c r="J14277" t="str">
        <f>IFERROR(__xludf.DUMMYFUNCTION("IFS(
  AND(REGEXMATCH(E14277, ""台銀籌備帳戶|玉山帳戶""), REGEXMATCH(C14277, ""薪資"")), ""分潤支出"",
  AND(REGEXMATCH(E14277, ""Ben帳戶|Elsa帳戶|Ben代墊|Ariel代墊|中信銀行共用""), REGEXMATCH(F14277, ""Ben帳戶|Elsa帳戶|Ben代墊|Ariel代墊|中信銀行共用"")), ""內部轉帳(忽略)"",
  AND(E14277&lt;&gt;"""", F14277&lt;&gt;"&amp;""""", NOT(REGEXMATCH(C14277, ""薪資""))), ""內部轉帳(忽略)"",
  REGEXMATCH(C14277, ""薪資""), ""薪資變動(不計入)"",
  REGEXMATCH(C14277, ""押金""), ""押金往來"",
  AND(E14277&lt;&gt;"""", F14277=""""), ""真實支出"",
  AND(E14277="""", F14277&lt;&gt;""""), ""真實收入"",
  TRUE, ""其他""
)"),"其他")</f>
        <v>其他</v>
      </c>
      <c r="K14277" s="270" t="str">
        <f t="shared" si="2"/>
        <v/>
      </c>
      <c r="L14277">
        <f t="shared" si="3"/>
        <v>0</v>
      </c>
    </row>
    <row r="14278">
      <c r="A14278" s="107"/>
      <c r="D14278" s="270"/>
      <c r="H14278" s="106" t="str">
        <f t="shared" si="1"/>
        <v/>
      </c>
      <c r="J14278" t="str">
        <f>IFERROR(__xludf.DUMMYFUNCTION("IFS(
  AND(REGEXMATCH(E14278, ""台銀籌備帳戶|玉山帳戶""), REGEXMATCH(C14278, ""薪資"")), ""分潤支出"",
  AND(REGEXMATCH(E14278, ""Ben帳戶|Elsa帳戶|Ben代墊|Ariel代墊|中信銀行共用""), REGEXMATCH(F14278, ""Ben帳戶|Elsa帳戶|Ben代墊|Ariel代墊|中信銀行共用"")), ""內部轉帳(忽略)"",
  AND(E14278&lt;&gt;"""", F14278&lt;&gt;"&amp;""""", NOT(REGEXMATCH(C14278, ""薪資""))), ""內部轉帳(忽略)"",
  REGEXMATCH(C14278, ""薪資""), ""薪資變動(不計入)"",
  REGEXMATCH(C14278, ""押金""), ""押金往來"",
  AND(E14278&lt;&gt;"""", F14278=""""), ""真實支出"",
  AND(E14278="""", F14278&lt;&gt;""""), ""真實收入"",
  TRUE, ""其他""
)"),"其他")</f>
        <v>其他</v>
      </c>
      <c r="K14278" s="270" t="str">
        <f t="shared" si="2"/>
        <v/>
      </c>
      <c r="L14278">
        <f t="shared" si="3"/>
        <v>0</v>
      </c>
    </row>
    <row r="14279">
      <c r="A14279" s="107"/>
      <c r="D14279" s="270"/>
      <c r="H14279" s="106" t="str">
        <f t="shared" si="1"/>
        <v/>
      </c>
      <c r="J14279" t="str">
        <f>IFERROR(__xludf.DUMMYFUNCTION("IFS(
  AND(REGEXMATCH(E14279, ""台銀籌備帳戶|玉山帳戶""), REGEXMATCH(C14279, ""薪資"")), ""分潤支出"",
  AND(REGEXMATCH(E14279, ""Ben帳戶|Elsa帳戶|Ben代墊|Ariel代墊|中信銀行共用""), REGEXMATCH(F14279, ""Ben帳戶|Elsa帳戶|Ben代墊|Ariel代墊|中信銀行共用"")), ""內部轉帳(忽略)"",
  AND(E14279&lt;&gt;"""", F14279&lt;&gt;"&amp;""""", NOT(REGEXMATCH(C14279, ""薪資""))), ""內部轉帳(忽略)"",
  REGEXMATCH(C14279, ""薪資""), ""薪資變動(不計入)"",
  REGEXMATCH(C14279, ""押金""), ""押金往來"",
  AND(E14279&lt;&gt;"""", F14279=""""), ""真實支出"",
  AND(E14279="""", F14279&lt;&gt;""""), ""真實收入"",
  TRUE, ""其他""
)"),"其他")</f>
        <v>其他</v>
      </c>
      <c r="K14279" s="270" t="str">
        <f t="shared" si="2"/>
        <v/>
      </c>
      <c r="L14279">
        <f t="shared" si="3"/>
        <v>0</v>
      </c>
    </row>
    <row r="14280">
      <c r="A14280" s="107"/>
      <c r="D14280" s="270"/>
      <c r="H14280" s="106" t="str">
        <f t="shared" si="1"/>
        <v/>
      </c>
      <c r="J14280" t="str">
        <f>IFERROR(__xludf.DUMMYFUNCTION("IFS(
  AND(REGEXMATCH(E14280, ""台銀籌備帳戶|玉山帳戶""), REGEXMATCH(C14280, ""薪資"")), ""分潤支出"",
  AND(REGEXMATCH(E14280, ""Ben帳戶|Elsa帳戶|Ben代墊|Ariel代墊|中信銀行共用""), REGEXMATCH(F14280, ""Ben帳戶|Elsa帳戶|Ben代墊|Ariel代墊|中信銀行共用"")), ""內部轉帳(忽略)"",
  AND(E14280&lt;&gt;"""", F14280&lt;&gt;"&amp;""""", NOT(REGEXMATCH(C14280, ""薪資""))), ""內部轉帳(忽略)"",
  REGEXMATCH(C14280, ""薪資""), ""薪資變動(不計入)"",
  REGEXMATCH(C14280, ""押金""), ""押金往來"",
  AND(E14280&lt;&gt;"""", F14280=""""), ""真實支出"",
  AND(E14280="""", F14280&lt;&gt;""""), ""真實收入"",
  TRUE, ""其他""
)"),"其他")</f>
        <v>其他</v>
      </c>
      <c r="K14280" s="270" t="str">
        <f t="shared" si="2"/>
        <v/>
      </c>
      <c r="L14280">
        <f t="shared" si="3"/>
        <v>0</v>
      </c>
    </row>
    <row r="14281">
      <c r="A14281" s="107"/>
      <c r="D14281" s="270"/>
      <c r="H14281" s="106" t="str">
        <f t="shared" si="1"/>
        <v/>
      </c>
      <c r="J14281" t="str">
        <f>IFERROR(__xludf.DUMMYFUNCTION("IFS(
  AND(REGEXMATCH(E14281, ""台銀籌備帳戶|玉山帳戶""), REGEXMATCH(C14281, ""薪資"")), ""分潤支出"",
  AND(REGEXMATCH(E14281, ""Ben帳戶|Elsa帳戶|Ben代墊|Ariel代墊|中信銀行共用""), REGEXMATCH(F14281, ""Ben帳戶|Elsa帳戶|Ben代墊|Ariel代墊|中信銀行共用"")), ""內部轉帳(忽略)"",
  AND(E14281&lt;&gt;"""", F14281&lt;&gt;"&amp;""""", NOT(REGEXMATCH(C14281, ""薪資""))), ""內部轉帳(忽略)"",
  REGEXMATCH(C14281, ""薪資""), ""薪資變動(不計入)"",
  REGEXMATCH(C14281, ""押金""), ""押金往來"",
  AND(E14281&lt;&gt;"""", F14281=""""), ""真實支出"",
  AND(E14281="""", F14281&lt;&gt;""""), ""真實收入"",
  TRUE, ""其他""
)"),"其他")</f>
        <v>其他</v>
      </c>
      <c r="K14281" s="270" t="str">
        <f t="shared" si="2"/>
        <v/>
      </c>
      <c r="L14281">
        <f t="shared" si="3"/>
        <v>0</v>
      </c>
    </row>
    <row r="14282">
      <c r="A14282" s="107"/>
      <c r="D14282" s="270"/>
      <c r="H14282" s="106" t="str">
        <f t="shared" si="1"/>
        <v/>
      </c>
      <c r="J14282" t="str">
        <f>IFERROR(__xludf.DUMMYFUNCTION("IFS(
  AND(REGEXMATCH(E14282, ""台銀籌備帳戶|玉山帳戶""), REGEXMATCH(C14282, ""薪資"")), ""分潤支出"",
  AND(REGEXMATCH(E14282, ""Ben帳戶|Elsa帳戶|Ben代墊|Ariel代墊|中信銀行共用""), REGEXMATCH(F14282, ""Ben帳戶|Elsa帳戶|Ben代墊|Ariel代墊|中信銀行共用"")), ""內部轉帳(忽略)"",
  AND(E14282&lt;&gt;"""", F14282&lt;&gt;"&amp;""""", NOT(REGEXMATCH(C14282, ""薪資""))), ""內部轉帳(忽略)"",
  REGEXMATCH(C14282, ""薪資""), ""薪資變動(不計入)"",
  REGEXMATCH(C14282, ""押金""), ""押金往來"",
  AND(E14282&lt;&gt;"""", F14282=""""), ""真實支出"",
  AND(E14282="""", F14282&lt;&gt;""""), ""真實收入"",
  TRUE, ""其他""
)"),"其他")</f>
        <v>其他</v>
      </c>
      <c r="K14282" s="270" t="str">
        <f t="shared" si="2"/>
        <v/>
      </c>
      <c r="L14282">
        <f t="shared" si="3"/>
        <v>0</v>
      </c>
    </row>
    <row r="14283">
      <c r="A14283" s="107"/>
      <c r="D14283" s="270"/>
      <c r="H14283" s="106" t="str">
        <f t="shared" si="1"/>
        <v/>
      </c>
      <c r="J14283" t="str">
        <f>IFERROR(__xludf.DUMMYFUNCTION("IFS(
  AND(REGEXMATCH(E14283, ""台銀籌備帳戶|玉山帳戶""), REGEXMATCH(C14283, ""薪資"")), ""分潤支出"",
  AND(REGEXMATCH(E14283, ""Ben帳戶|Elsa帳戶|Ben代墊|Ariel代墊|中信銀行共用""), REGEXMATCH(F14283, ""Ben帳戶|Elsa帳戶|Ben代墊|Ariel代墊|中信銀行共用"")), ""內部轉帳(忽略)"",
  AND(E14283&lt;&gt;"""", F14283&lt;&gt;"&amp;""""", NOT(REGEXMATCH(C14283, ""薪資""))), ""內部轉帳(忽略)"",
  REGEXMATCH(C14283, ""薪資""), ""薪資變動(不計入)"",
  REGEXMATCH(C14283, ""押金""), ""押金往來"",
  AND(E14283&lt;&gt;"""", F14283=""""), ""真實支出"",
  AND(E14283="""", F14283&lt;&gt;""""), ""真實收入"",
  TRUE, ""其他""
)"),"其他")</f>
        <v>其他</v>
      </c>
      <c r="K14283" s="270" t="str">
        <f t="shared" si="2"/>
        <v/>
      </c>
      <c r="L14283">
        <f t="shared" si="3"/>
        <v>0</v>
      </c>
    </row>
    <row r="14284">
      <c r="A14284" s="107"/>
      <c r="D14284" s="270"/>
      <c r="H14284" s="106" t="str">
        <f t="shared" si="1"/>
        <v/>
      </c>
      <c r="J14284" t="str">
        <f>IFERROR(__xludf.DUMMYFUNCTION("IFS(
  AND(REGEXMATCH(E14284, ""台銀籌備帳戶|玉山帳戶""), REGEXMATCH(C14284, ""薪資"")), ""分潤支出"",
  AND(REGEXMATCH(E14284, ""Ben帳戶|Elsa帳戶|Ben代墊|Ariel代墊|中信銀行共用""), REGEXMATCH(F14284, ""Ben帳戶|Elsa帳戶|Ben代墊|Ariel代墊|中信銀行共用"")), ""內部轉帳(忽略)"",
  AND(E14284&lt;&gt;"""", F14284&lt;&gt;"&amp;""""", NOT(REGEXMATCH(C14284, ""薪資""))), ""內部轉帳(忽略)"",
  REGEXMATCH(C14284, ""薪資""), ""薪資變動(不計入)"",
  REGEXMATCH(C14284, ""押金""), ""押金往來"",
  AND(E14284&lt;&gt;"""", F14284=""""), ""真實支出"",
  AND(E14284="""", F14284&lt;&gt;""""), ""真實收入"",
  TRUE, ""其他""
)"),"其他")</f>
        <v>其他</v>
      </c>
      <c r="K14284" s="270" t="str">
        <f t="shared" si="2"/>
        <v/>
      </c>
      <c r="L14284">
        <f t="shared" si="3"/>
        <v>0</v>
      </c>
    </row>
    <row r="14285">
      <c r="A14285" s="107"/>
      <c r="D14285" s="270"/>
      <c r="H14285" s="106" t="str">
        <f t="shared" si="1"/>
        <v/>
      </c>
      <c r="J14285" t="str">
        <f>IFERROR(__xludf.DUMMYFUNCTION("IFS(
  AND(REGEXMATCH(E14285, ""台銀籌備帳戶|玉山帳戶""), REGEXMATCH(C14285, ""薪資"")), ""分潤支出"",
  AND(REGEXMATCH(E14285, ""Ben帳戶|Elsa帳戶|Ben代墊|Ariel代墊|中信銀行共用""), REGEXMATCH(F14285, ""Ben帳戶|Elsa帳戶|Ben代墊|Ariel代墊|中信銀行共用"")), ""內部轉帳(忽略)"",
  AND(E14285&lt;&gt;"""", F14285&lt;&gt;"&amp;""""", NOT(REGEXMATCH(C14285, ""薪資""))), ""內部轉帳(忽略)"",
  REGEXMATCH(C14285, ""薪資""), ""薪資變動(不計入)"",
  REGEXMATCH(C14285, ""押金""), ""押金往來"",
  AND(E14285&lt;&gt;"""", F14285=""""), ""真實支出"",
  AND(E14285="""", F14285&lt;&gt;""""), ""真實收入"",
  TRUE, ""其他""
)"),"其他")</f>
        <v>其他</v>
      </c>
      <c r="K14285" s="270" t="str">
        <f t="shared" si="2"/>
        <v/>
      </c>
      <c r="L14285">
        <f t="shared" si="3"/>
        <v>0</v>
      </c>
    </row>
    <row r="14286">
      <c r="A14286" s="107"/>
      <c r="D14286" s="270"/>
      <c r="H14286" s="106" t="str">
        <f t="shared" si="1"/>
        <v/>
      </c>
      <c r="J14286" t="str">
        <f>IFERROR(__xludf.DUMMYFUNCTION("IFS(
  AND(REGEXMATCH(E14286, ""台銀籌備帳戶|玉山帳戶""), REGEXMATCH(C14286, ""薪資"")), ""分潤支出"",
  AND(REGEXMATCH(E14286, ""Ben帳戶|Elsa帳戶|Ben代墊|Ariel代墊|中信銀行共用""), REGEXMATCH(F14286, ""Ben帳戶|Elsa帳戶|Ben代墊|Ariel代墊|中信銀行共用"")), ""內部轉帳(忽略)"",
  AND(E14286&lt;&gt;"""", F14286&lt;&gt;"&amp;""""", NOT(REGEXMATCH(C14286, ""薪資""))), ""內部轉帳(忽略)"",
  REGEXMATCH(C14286, ""薪資""), ""薪資變動(不計入)"",
  REGEXMATCH(C14286, ""押金""), ""押金往來"",
  AND(E14286&lt;&gt;"""", F14286=""""), ""真實支出"",
  AND(E14286="""", F14286&lt;&gt;""""), ""真實收入"",
  TRUE, ""其他""
)"),"其他")</f>
        <v>其他</v>
      </c>
      <c r="K14286" s="270" t="str">
        <f t="shared" si="2"/>
        <v/>
      </c>
      <c r="L14286">
        <f t="shared" si="3"/>
        <v>0</v>
      </c>
    </row>
    <row r="14287">
      <c r="A14287" s="107"/>
      <c r="D14287" s="270"/>
      <c r="H14287" s="106" t="str">
        <f t="shared" si="1"/>
        <v/>
      </c>
      <c r="J14287" t="str">
        <f>IFERROR(__xludf.DUMMYFUNCTION("IFS(
  AND(REGEXMATCH(E14287, ""台銀籌備帳戶|玉山帳戶""), REGEXMATCH(C14287, ""薪資"")), ""分潤支出"",
  AND(REGEXMATCH(E14287, ""Ben帳戶|Elsa帳戶|Ben代墊|Ariel代墊|中信銀行共用""), REGEXMATCH(F14287, ""Ben帳戶|Elsa帳戶|Ben代墊|Ariel代墊|中信銀行共用"")), ""內部轉帳(忽略)"",
  AND(E14287&lt;&gt;"""", F14287&lt;&gt;"&amp;""""", NOT(REGEXMATCH(C14287, ""薪資""))), ""內部轉帳(忽略)"",
  REGEXMATCH(C14287, ""薪資""), ""薪資變動(不計入)"",
  REGEXMATCH(C14287, ""押金""), ""押金往來"",
  AND(E14287&lt;&gt;"""", F14287=""""), ""真實支出"",
  AND(E14287="""", F14287&lt;&gt;""""), ""真實收入"",
  TRUE, ""其他""
)"),"其他")</f>
        <v>其他</v>
      </c>
      <c r="K14287" s="270" t="str">
        <f t="shared" si="2"/>
        <v/>
      </c>
      <c r="L14287">
        <f t="shared" si="3"/>
        <v>0</v>
      </c>
    </row>
    <row r="14288">
      <c r="A14288" s="107"/>
      <c r="D14288" s="270"/>
      <c r="H14288" s="106" t="str">
        <f t="shared" si="1"/>
        <v/>
      </c>
      <c r="J14288" t="str">
        <f>IFERROR(__xludf.DUMMYFUNCTION("IFS(
  AND(REGEXMATCH(E14288, ""台銀籌備帳戶|玉山帳戶""), REGEXMATCH(C14288, ""薪資"")), ""分潤支出"",
  AND(REGEXMATCH(E14288, ""Ben帳戶|Elsa帳戶|Ben代墊|Ariel代墊|中信銀行共用""), REGEXMATCH(F14288, ""Ben帳戶|Elsa帳戶|Ben代墊|Ariel代墊|中信銀行共用"")), ""內部轉帳(忽略)"",
  AND(E14288&lt;&gt;"""", F14288&lt;&gt;"&amp;""""", NOT(REGEXMATCH(C14288, ""薪資""))), ""內部轉帳(忽略)"",
  REGEXMATCH(C14288, ""薪資""), ""薪資變動(不計入)"",
  REGEXMATCH(C14288, ""押金""), ""押金往來"",
  AND(E14288&lt;&gt;"""", F14288=""""), ""真實支出"",
  AND(E14288="""", F14288&lt;&gt;""""), ""真實收入"",
  TRUE, ""其他""
)"),"其他")</f>
        <v>其他</v>
      </c>
      <c r="K14288" s="270" t="str">
        <f t="shared" si="2"/>
        <v/>
      </c>
      <c r="L14288">
        <f t="shared" si="3"/>
        <v>0</v>
      </c>
    </row>
    <row r="14289">
      <c r="A14289" s="107"/>
      <c r="D14289" s="270"/>
      <c r="H14289" s="106" t="str">
        <f t="shared" si="1"/>
        <v/>
      </c>
      <c r="J14289" t="str">
        <f>IFERROR(__xludf.DUMMYFUNCTION("IFS(
  AND(REGEXMATCH(E14289, ""台銀籌備帳戶|玉山帳戶""), REGEXMATCH(C14289, ""薪資"")), ""分潤支出"",
  AND(REGEXMATCH(E14289, ""Ben帳戶|Elsa帳戶|Ben代墊|Ariel代墊|中信銀行共用""), REGEXMATCH(F14289, ""Ben帳戶|Elsa帳戶|Ben代墊|Ariel代墊|中信銀行共用"")), ""內部轉帳(忽略)"",
  AND(E14289&lt;&gt;"""", F14289&lt;&gt;"&amp;""""", NOT(REGEXMATCH(C14289, ""薪資""))), ""內部轉帳(忽略)"",
  REGEXMATCH(C14289, ""薪資""), ""薪資變動(不計入)"",
  REGEXMATCH(C14289, ""押金""), ""押金往來"",
  AND(E14289&lt;&gt;"""", F14289=""""), ""真實支出"",
  AND(E14289="""", F14289&lt;&gt;""""), ""真實收入"",
  TRUE, ""其他""
)"),"其他")</f>
        <v>其他</v>
      </c>
      <c r="K14289" s="270" t="str">
        <f t="shared" si="2"/>
        <v/>
      </c>
      <c r="L14289">
        <f t="shared" si="3"/>
        <v>0</v>
      </c>
    </row>
    <row r="14290">
      <c r="A14290" s="107"/>
      <c r="D14290" s="270"/>
      <c r="H14290" s="106" t="str">
        <f t="shared" si="1"/>
        <v/>
      </c>
      <c r="J14290" t="str">
        <f>IFERROR(__xludf.DUMMYFUNCTION("IFS(
  AND(REGEXMATCH(E14290, ""台銀籌備帳戶|玉山帳戶""), REGEXMATCH(C14290, ""薪資"")), ""分潤支出"",
  AND(REGEXMATCH(E14290, ""Ben帳戶|Elsa帳戶|Ben代墊|Ariel代墊|中信銀行共用""), REGEXMATCH(F14290, ""Ben帳戶|Elsa帳戶|Ben代墊|Ariel代墊|中信銀行共用"")), ""內部轉帳(忽略)"",
  AND(E14290&lt;&gt;"""", F14290&lt;&gt;"&amp;""""", NOT(REGEXMATCH(C14290, ""薪資""))), ""內部轉帳(忽略)"",
  REGEXMATCH(C14290, ""薪資""), ""薪資變動(不計入)"",
  REGEXMATCH(C14290, ""押金""), ""押金往來"",
  AND(E14290&lt;&gt;"""", F14290=""""), ""真實支出"",
  AND(E14290="""", F14290&lt;&gt;""""), ""真實收入"",
  TRUE, ""其他""
)"),"其他")</f>
        <v>其他</v>
      </c>
      <c r="K14290" s="270" t="str">
        <f t="shared" si="2"/>
        <v/>
      </c>
      <c r="L14290">
        <f t="shared" si="3"/>
        <v>0</v>
      </c>
    </row>
    <row r="14291">
      <c r="A14291" s="107"/>
      <c r="D14291" s="270"/>
      <c r="H14291" s="106" t="str">
        <f t="shared" si="1"/>
        <v/>
      </c>
      <c r="J14291" t="str">
        <f>IFERROR(__xludf.DUMMYFUNCTION("IFS(
  AND(REGEXMATCH(E14291, ""台銀籌備帳戶|玉山帳戶""), REGEXMATCH(C14291, ""薪資"")), ""分潤支出"",
  AND(REGEXMATCH(E14291, ""Ben帳戶|Elsa帳戶|Ben代墊|Ariel代墊|中信銀行共用""), REGEXMATCH(F14291, ""Ben帳戶|Elsa帳戶|Ben代墊|Ariel代墊|中信銀行共用"")), ""內部轉帳(忽略)"",
  AND(E14291&lt;&gt;"""", F14291&lt;&gt;"&amp;""""", NOT(REGEXMATCH(C14291, ""薪資""))), ""內部轉帳(忽略)"",
  REGEXMATCH(C14291, ""薪資""), ""薪資變動(不計入)"",
  REGEXMATCH(C14291, ""押金""), ""押金往來"",
  AND(E14291&lt;&gt;"""", F14291=""""), ""真實支出"",
  AND(E14291="""", F14291&lt;&gt;""""), ""真實收入"",
  TRUE, ""其他""
)"),"其他")</f>
        <v>其他</v>
      </c>
      <c r="K14291" s="270" t="str">
        <f t="shared" si="2"/>
        <v/>
      </c>
      <c r="L14291">
        <f t="shared" si="3"/>
        <v>0</v>
      </c>
    </row>
    <row r="14292">
      <c r="A14292" s="107"/>
      <c r="D14292" s="270"/>
      <c r="H14292" s="106" t="str">
        <f t="shared" si="1"/>
        <v/>
      </c>
      <c r="J14292" t="str">
        <f>IFERROR(__xludf.DUMMYFUNCTION("IFS(
  AND(REGEXMATCH(E14292, ""台銀籌備帳戶|玉山帳戶""), REGEXMATCH(C14292, ""薪資"")), ""分潤支出"",
  AND(REGEXMATCH(E14292, ""Ben帳戶|Elsa帳戶|Ben代墊|Ariel代墊|中信銀行共用""), REGEXMATCH(F14292, ""Ben帳戶|Elsa帳戶|Ben代墊|Ariel代墊|中信銀行共用"")), ""內部轉帳(忽略)"",
  AND(E14292&lt;&gt;"""", F14292&lt;&gt;"&amp;""""", NOT(REGEXMATCH(C14292, ""薪資""))), ""內部轉帳(忽略)"",
  REGEXMATCH(C14292, ""薪資""), ""薪資變動(不計入)"",
  REGEXMATCH(C14292, ""押金""), ""押金往來"",
  AND(E14292&lt;&gt;"""", F14292=""""), ""真實支出"",
  AND(E14292="""", F14292&lt;&gt;""""), ""真實收入"",
  TRUE, ""其他""
)"),"其他")</f>
        <v>其他</v>
      </c>
      <c r="K14292" s="270" t="str">
        <f t="shared" si="2"/>
        <v/>
      </c>
      <c r="L14292">
        <f t="shared" si="3"/>
        <v>0</v>
      </c>
    </row>
    <row r="14293">
      <c r="A14293" s="107"/>
      <c r="D14293" s="270"/>
      <c r="H14293" s="106" t="str">
        <f t="shared" si="1"/>
        <v/>
      </c>
      <c r="J14293" t="str">
        <f>IFERROR(__xludf.DUMMYFUNCTION("IFS(
  AND(REGEXMATCH(E14293, ""台銀籌備帳戶|玉山帳戶""), REGEXMATCH(C14293, ""薪資"")), ""分潤支出"",
  AND(REGEXMATCH(E14293, ""Ben帳戶|Elsa帳戶|Ben代墊|Ariel代墊|中信銀行共用""), REGEXMATCH(F14293, ""Ben帳戶|Elsa帳戶|Ben代墊|Ariel代墊|中信銀行共用"")), ""內部轉帳(忽略)"",
  AND(E14293&lt;&gt;"""", F14293&lt;&gt;"&amp;""""", NOT(REGEXMATCH(C14293, ""薪資""))), ""內部轉帳(忽略)"",
  REGEXMATCH(C14293, ""薪資""), ""薪資變動(不計入)"",
  REGEXMATCH(C14293, ""押金""), ""押金往來"",
  AND(E14293&lt;&gt;"""", F14293=""""), ""真實支出"",
  AND(E14293="""", F14293&lt;&gt;""""), ""真實收入"",
  TRUE, ""其他""
)"),"其他")</f>
        <v>其他</v>
      </c>
      <c r="K14293" s="270" t="str">
        <f t="shared" si="2"/>
        <v/>
      </c>
      <c r="L14293">
        <f t="shared" si="3"/>
        <v>0</v>
      </c>
    </row>
    <row r="14294">
      <c r="A14294" s="107"/>
      <c r="D14294" s="270"/>
      <c r="H14294" s="106" t="str">
        <f t="shared" si="1"/>
        <v/>
      </c>
      <c r="J14294" t="str">
        <f>IFERROR(__xludf.DUMMYFUNCTION("IFS(
  AND(REGEXMATCH(E14294, ""台銀籌備帳戶|玉山帳戶""), REGEXMATCH(C14294, ""薪資"")), ""分潤支出"",
  AND(REGEXMATCH(E14294, ""Ben帳戶|Elsa帳戶|Ben代墊|Ariel代墊|中信銀行共用""), REGEXMATCH(F14294, ""Ben帳戶|Elsa帳戶|Ben代墊|Ariel代墊|中信銀行共用"")), ""內部轉帳(忽略)"",
  AND(E14294&lt;&gt;"""", F14294&lt;&gt;"&amp;""""", NOT(REGEXMATCH(C14294, ""薪資""))), ""內部轉帳(忽略)"",
  REGEXMATCH(C14294, ""薪資""), ""薪資變動(不計入)"",
  REGEXMATCH(C14294, ""押金""), ""押金往來"",
  AND(E14294&lt;&gt;"""", F14294=""""), ""真實支出"",
  AND(E14294="""", F14294&lt;&gt;""""), ""真實收入"",
  TRUE, ""其他""
)"),"其他")</f>
        <v>其他</v>
      </c>
      <c r="K14294" s="270" t="str">
        <f t="shared" si="2"/>
        <v/>
      </c>
      <c r="L14294">
        <f t="shared" si="3"/>
        <v>0</v>
      </c>
    </row>
    <row r="14295">
      <c r="A14295" s="107"/>
      <c r="D14295" s="270"/>
      <c r="H14295" s="106" t="str">
        <f t="shared" si="1"/>
        <v/>
      </c>
      <c r="J14295" t="str">
        <f>IFERROR(__xludf.DUMMYFUNCTION("IFS(
  AND(REGEXMATCH(E14295, ""台銀籌備帳戶|玉山帳戶""), REGEXMATCH(C14295, ""薪資"")), ""分潤支出"",
  AND(REGEXMATCH(E14295, ""Ben帳戶|Elsa帳戶|Ben代墊|Ariel代墊|中信銀行共用""), REGEXMATCH(F14295, ""Ben帳戶|Elsa帳戶|Ben代墊|Ariel代墊|中信銀行共用"")), ""內部轉帳(忽略)"",
  AND(E14295&lt;&gt;"""", F14295&lt;&gt;"&amp;""""", NOT(REGEXMATCH(C14295, ""薪資""))), ""內部轉帳(忽略)"",
  REGEXMATCH(C14295, ""薪資""), ""薪資變動(不計入)"",
  REGEXMATCH(C14295, ""押金""), ""押金往來"",
  AND(E14295&lt;&gt;"""", F14295=""""), ""真實支出"",
  AND(E14295="""", F14295&lt;&gt;""""), ""真實收入"",
  TRUE, ""其他""
)"),"其他")</f>
        <v>其他</v>
      </c>
      <c r="K14295" s="270" t="str">
        <f t="shared" si="2"/>
        <v/>
      </c>
      <c r="L14295">
        <f t="shared" si="3"/>
        <v>0</v>
      </c>
    </row>
    <row r="14296">
      <c r="A14296" s="107"/>
      <c r="D14296" s="270"/>
      <c r="H14296" s="106" t="str">
        <f t="shared" si="1"/>
        <v/>
      </c>
      <c r="J14296" t="str">
        <f>IFERROR(__xludf.DUMMYFUNCTION("IFS(
  AND(REGEXMATCH(E14296, ""台銀籌備帳戶|玉山帳戶""), REGEXMATCH(C14296, ""薪資"")), ""分潤支出"",
  AND(REGEXMATCH(E14296, ""Ben帳戶|Elsa帳戶|Ben代墊|Ariel代墊|中信銀行共用""), REGEXMATCH(F14296, ""Ben帳戶|Elsa帳戶|Ben代墊|Ariel代墊|中信銀行共用"")), ""內部轉帳(忽略)"",
  AND(E14296&lt;&gt;"""", F14296&lt;&gt;"&amp;""""", NOT(REGEXMATCH(C14296, ""薪資""))), ""內部轉帳(忽略)"",
  REGEXMATCH(C14296, ""薪資""), ""薪資變動(不計入)"",
  REGEXMATCH(C14296, ""押金""), ""押金往來"",
  AND(E14296&lt;&gt;"""", F14296=""""), ""真實支出"",
  AND(E14296="""", F14296&lt;&gt;""""), ""真實收入"",
  TRUE, ""其他""
)"),"其他")</f>
        <v>其他</v>
      </c>
      <c r="K14296" s="270" t="str">
        <f t="shared" si="2"/>
        <v/>
      </c>
      <c r="L14296">
        <f t="shared" si="3"/>
        <v>0</v>
      </c>
    </row>
    <row r="14297">
      <c r="A14297" s="107"/>
      <c r="D14297" s="270"/>
      <c r="H14297" s="106" t="str">
        <f t="shared" si="1"/>
        <v/>
      </c>
      <c r="J14297" t="str">
        <f>IFERROR(__xludf.DUMMYFUNCTION("IFS(
  AND(REGEXMATCH(E14297, ""台銀籌備帳戶|玉山帳戶""), REGEXMATCH(C14297, ""薪資"")), ""分潤支出"",
  AND(REGEXMATCH(E14297, ""Ben帳戶|Elsa帳戶|Ben代墊|Ariel代墊|中信銀行共用""), REGEXMATCH(F14297, ""Ben帳戶|Elsa帳戶|Ben代墊|Ariel代墊|中信銀行共用"")), ""內部轉帳(忽略)"",
  AND(E14297&lt;&gt;"""", F14297&lt;&gt;"&amp;""""", NOT(REGEXMATCH(C14297, ""薪資""))), ""內部轉帳(忽略)"",
  REGEXMATCH(C14297, ""薪資""), ""薪資變動(不計入)"",
  REGEXMATCH(C14297, ""押金""), ""押金往來"",
  AND(E14297&lt;&gt;"""", F14297=""""), ""真實支出"",
  AND(E14297="""", F14297&lt;&gt;""""), ""真實收入"",
  TRUE, ""其他""
)"),"其他")</f>
        <v>其他</v>
      </c>
      <c r="K14297" s="270" t="str">
        <f t="shared" si="2"/>
        <v/>
      </c>
      <c r="L14297">
        <f t="shared" si="3"/>
        <v>0</v>
      </c>
    </row>
    <row r="14298">
      <c r="A14298" s="107"/>
      <c r="D14298" s="270"/>
      <c r="H14298" s="106" t="str">
        <f t="shared" si="1"/>
        <v/>
      </c>
      <c r="J14298" t="str">
        <f>IFERROR(__xludf.DUMMYFUNCTION("IFS(
  AND(REGEXMATCH(E14298, ""台銀籌備帳戶|玉山帳戶""), REGEXMATCH(C14298, ""薪資"")), ""分潤支出"",
  AND(REGEXMATCH(E14298, ""Ben帳戶|Elsa帳戶|Ben代墊|Ariel代墊|中信銀行共用""), REGEXMATCH(F14298, ""Ben帳戶|Elsa帳戶|Ben代墊|Ariel代墊|中信銀行共用"")), ""內部轉帳(忽略)"",
  AND(E14298&lt;&gt;"""", F14298&lt;&gt;"&amp;""""", NOT(REGEXMATCH(C14298, ""薪資""))), ""內部轉帳(忽略)"",
  REGEXMATCH(C14298, ""薪資""), ""薪資變動(不計入)"",
  REGEXMATCH(C14298, ""押金""), ""押金往來"",
  AND(E14298&lt;&gt;"""", F14298=""""), ""真實支出"",
  AND(E14298="""", F14298&lt;&gt;""""), ""真實收入"",
  TRUE, ""其他""
)"),"其他")</f>
        <v>其他</v>
      </c>
      <c r="K14298" s="270" t="str">
        <f t="shared" si="2"/>
        <v/>
      </c>
      <c r="L14298">
        <f t="shared" si="3"/>
        <v>0</v>
      </c>
    </row>
    <row r="14299">
      <c r="A14299" s="107"/>
      <c r="D14299" s="270"/>
      <c r="H14299" s="106" t="str">
        <f t="shared" si="1"/>
        <v/>
      </c>
      <c r="J14299" t="str">
        <f>IFERROR(__xludf.DUMMYFUNCTION("IFS(
  AND(REGEXMATCH(E14299, ""台銀籌備帳戶|玉山帳戶""), REGEXMATCH(C14299, ""薪資"")), ""分潤支出"",
  AND(REGEXMATCH(E14299, ""Ben帳戶|Elsa帳戶|Ben代墊|Ariel代墊|中信銀行共用""), REGEXMATCH(F14299, ""Ben帳戶|Elsa帳戶|Ben代墊|Ariel代墊|中信銀行共用"")), ""內部轉帳(忽略)"",
  AND(E14299&lt;&gt;"""", F14299&lt;&gt;"&amp;""""", NOT(REGEXMATCH(C14299, ""薪資""))), ""內部轉帳(忽略)"",
  REGEXMATCH(C14299, ""薪資""), ""薪資變動(不計入)"",
  REGEXMATCH(C14299, ""押金""), ""押金往來"",
  AND(E14299&lt;&gt;"""", F14299=""""), ""真實支出"",
  AND(E14299="""", F14299&lt;&gt;""""), ""真實收入"",
  TRUE, ""其他""
)"),"其他")</f>
        <v>其他</v>
      </c>
      <c r="K14299" s="270" t="str">
        <f t="shared" si="2"/>
        <v/>
      </c>
      <c r="L14299">
        <f t="shared" si="3"/>
        <v>0</v>
      </c>
    </row>
    <row r="14300">
      <c r="A14300" s="107"/>
      <c r="D14300" s="270"/>
      <c r="H14300" s="106" t="str">
        <f t="shared" si="1"/>
        <v/>
      </c>
      <c r="J14300" t="str">
        <f>IFERROR(__xludf.DUMMYFUNCTION("IFS(
  AND(REGEXMATCH(E14300, ""台銀籌備帳戶|玉山帳戶""), REGEXMATCH(C14300, ""薪資"")), ""分潤支出"",
  AND(REGEXMATCH(E14300, ""Ben帳戶|Elsa帳戶|Ben代墊|Ariel代墊|中信銀行共用""), REGEXMATCH(F14300, ""Ben帳戶|Elsa帳戶|Ben代墊|Ariel代墊|中信銀行共用"")), ""內部轉帳(忽略)"",
  AND(E14300&lt;&gt;"""", F14300&lt;&gt;"&amp;""""", NOT(REGEXMATCH(C14300, ""薪資""))), ""內部轉帳(忽略)"",
  REGEXMATCH(C14300, ""薪資""), ""薪資變動(不計入)"",
  REGEXMATCH(C14300, ""押金""), ""押金往來"",
  AND(E14300&lt;&gt;"""", F14300=""""), ""真實支出"",
  AND(E14300="""", F14300&lt;&gt;""""), ""真實收入"",
  TRUE, ""其他""
)"),"其他")</f>
        <v>其他</v>
      </c>
      <c r="K14300" s="270" t="str">
        <f t="shared" si="2"/>
        <v/>
      </c>
      <c r="L14300">
        <f t="shared" si="3"/>
        <v>0</v>
      </c>
    </row>
    <row r="14301">
      <c r="A14301" s="107"/>
      <c r="D14301" s="270"/>
      <c r="H14301" s="106" t="str">
        <f t="shared" si="1"/>
        <v/>
      </c>
      <c r="J14301" t="str">
        <f>IFERROR(__xludf.DUMMYFUNCTION("IFS(
  AND(REGEXMATCH(E14301, ""台銀籌備帳戶|玉山帳戶""), REGEXMATCH(C14301, ""薪資"")), ""分潤支出"",
  AND(REGEXMATCH(E14301, ""Ben帳戶|Elsa帳戶|Ben代墊|Ariel代墊|中信銀行共用""), REGEXMATCH(F14301, ""Ben帳戶|Elsa帳戶|Ben代墊|Ariel代墊|中信銀行共用"")), ""內部轉帳(忽略)"",
  AND(E14301&lt;&gt;"""", F14301&lt;&gt;"&amp;""""", NOT(REGEXMATCH(C14301, ""薪資""))), ""內部轉帳(忽略)"",
  REGEXMATCH(C14301, ""薪資""), ""薪資變動(不計入)"",
  REGEXMATCH(C14301, ""押金""), ""押金往來"",
  AND(E14301&lt;&gt;"""", F14301=""""), ""真實支出"",
  AND(E14301="""", F14301&lt;&gt;""""), ""真實收入"",
  TRUE, ""其他""
)"),"其他")</f>
        <v>其他</v>
      </c>
      <c r="K14301" s="270" t="str">
        <f t="shared" si="2"/>
        <v/>
      </c>
      <c r="L14301">
        <f t="shared" si="3"/>
        <v>0</v>
      </c>
    </row>
    <row r="14302">
      <c r="A14302" s="107"/>
      <c r="D14302" s="270"/>
      <c r="H14302" s="106" t="str">
        <f t="shared" si="1"/>
        <v/>
      </c>
      <c r="J14302" t="str">
        <f>IFERROR(__xludf.DUMMYFUNCTION("IFS(
  AND(REGEXMATCH(E14302, ""台銀籌備帳戶|玉山帳戶""), REGEXMATCH(C14302, ""薪資"")), ""分潤支出"",
  AND(REGEXMATCH(E14302, ""Ben帳戶|Elsa帳戶|Ben代墊|Ariel代墊|中信銀行共用""), REGEXMATCH(F14302, ""Ben帳戶|Elsa帳戶|Ben代墊|Ariel代墊|中信銀行共用"")), ""內部轉帳(忽略)"",
  AND(E14302&lt;&gt;"""", F14302&lt;&gt;"&amp;""""", NOT(REGEXMATCH(C14302, ""薪資""))), ""內部轉帳(忽略)"",
  REGEXMATCH(C14302, ""薪資""), ""薪資變動(不計入)"",
  REGEXMATCH(C14302, ""押金""), ""押金往來"",
  AND(E14302&lt;&gt;"""", F14302=""""), ""真實支出"",
  AND(E14302="""", F14302&lt;&gt;""""), ""真實收入"",
  TRUE, ""其他""
)"),"其他")</f>
        <v>其他</v>
      </c>
      <c r="K14302" s="270" t="str">
        <f t="shared" si="2"/>
        <v/>
      </c>
      <c r="L14302">
        <f t="shared" si="3"/>
        <v>0</v>
      </c>
    </row>
    <row r="14303">
      <c r="A14303" s="107"/>
      <c r="D14303" s="270"/>
      <c r="H14303" s="106" t="str">
        <f t="shared" si="1"/>
        <v/>
      </c>
      <c r="J14303" t="str">
        <f>IFERROR(__xludf.DUMMYFUNCTION("IFS(
  AND(REGEXMATCH(E14303, ""台銀籌備帳戶|玉山帳戶""), REGEXMATCH(C14303, ""薪資"")), ""分潤支出"",
  AND(REGEXMATCH(E14303, ""Ben帳戶|Elsa帳戶|Ben代墊|Ariel代墊|中信銀行共用""), REGEXMATCH(F14303, ""Ben帳戶|Elsa帳戶|Ben代墊|Ariel代墊|中信銀行共用"")), ""內部轉帳(忽略)"",
  AND(E14303&lt;&gt;"""", F14303&lt;&gt;"&amp;""""", NOT(REGEXMATCH(C14303, ""薪資""))), ""內部轉帳(忽略)"",
  REGEXMATCH(C14303, ""薪資""), ""薪資變動(不計入)"",
  REGEXMATCH(C14303, ""押金""), ""押金往來"",
  AND(E14303&lt;&gt;"""", F14303=""""), ""真實支出"",
  AND(E14303="""", F14303&lt;&gt;""""), ""真實收入"",
  TRUE, ""其他""
)"),"其他")</f>
        <v>其他</v>
      </c>
      <c r="K14303" s="270" t="str">
        <f t="shared" si="2"/>
        <v/>
      </c>
      <c r="L14303">
        <f t="shared" si="3"/>
        <v>0</v>
      </c>
    </row>
    <row r="14304">
      <c r="A14304" s="107"/>
      <c r="D14304" s="270"/>
      <c r="H14304" s="106" t="str">
        <f t="shared" si="1"/>
        <v/>
      </c>
      <c r="J14304" t="str">
        <f>IFERROR(__xludf.DUMMYFUNCTION("IFS(
  AND(REGEXMATCH(E14304, ""台銀籌備帳戶|玉山帳戶""), REGEXMATCH(C14304, ""薪資"")), ""分潤支出"",
  AND(REGEXMATCH(E14304, ""Ben帳戶|Elsa帳戶|Ben代墊|Ariel代墊|中信銀行共用""), REGEXMATCH(F14304, ""Ben帳戶|Elsa帳戶|Ben代墊|Ariel代墊|中信銀行共用"")), ""內部轉帳(忽略)"",
  AND(E14304&lt;&gt;"""", F14304&lt;&gt;"&amp;""""", NOT(REGEXMATCH(C14304, ""薪資""))), ""內部轉帳(忽略)"",
  REGEXMATCH(C14304, ""薪資""), ""薪資變動(不計入)"",
  REGEXMATCH(C14304, ""押金""), ""押金往來"",
  AND(E14304&lt;&gt;"""", F14304=""""), ""真實支出"",
  AND(E14304="""", F14304&lt;&gt;""""), ""真實收入"",
  TRUE, ""其他""
)"),"其他")</f>
        <v>其他</v>
      </c>
      <c r="K14304" s="270" t="str">
        <f t="shared" si="2"/>
        <v/>
      </c>
      <c r="L14304">
        <f t="shared" si="3"/>
        <v>0</v>
      </c>
    </row>
    <row r="14305">
      <c r="A14305" s="107"/>
      <c r="D14305" s="270"/>
      <c r="H14305" s="106" t="str">
        <f t="shared" si="1"/>
        <v/>
      </c>
      <c r="J14305" t="str">
        <f>IFERROR(__xludf.DUMMYFUNCTION("IFS(
  AND(REGEXMATCH(E14305, ""台銀籌備帳戶|玉山帳戶""), REGEXMATCH(C14305, ""薪資"")), ""分潤支出"",
  AND(REGEXMATCH(E14305, ""Ben帳戶|Elsa帳戶|Ben代墊|Ariel代墊|中信銀行共用""), REGEXMATCH(F14305, ""Ben帳戶|Elsa帳戶|Ben代墊|Ariel代墊|中信銀行共用"")), ""內部轉帳(忽略)"",
  AND(E14305&lt;&gt;"""", F14305&lt;&gt;"&amp;""""", NOT(REGEXMATCH(C14305, ""薪資""))), ""內部轉帳(忽略)"",
  REGEXMATCH(C14305, ""薪資""), ""薪資變動(不計入)"",
  REGEXMATCH(C14305, ""押金""), ""押金往來"",
  AND(E14305&lt;&gt;"""", F14305=""""), ""真實支出"",
  AND(E14305="""", F14305&lt;&gt;""""), ""真實收入"",
  TRUE, ""其他""
)"),"其他")</f>
        <v>其他</v>
      </c>
      <c r="K14305" s="270" t="str">
        <f t="shared" si="2"/>
        <v/>
      </c>
      <c r="L14305">
        <f t="shared" si="3"/>
        <v>0</v>
      </c>
    </row>
    <row r="14306">
      <c r="A14306" s="107"/>
      <c r="D14306" s="270"/>
      <c r="H14306" s="106" t="str">
        <f t="shared" si="1"/>
        <v/>
      </c>
      <c r="J14306" t="str">
        <f>IFERROR(__xludf.DUMMYFUNCTION("IFS(
  AND(REGEXMATCH(E14306, ""台銀籌備帳戶|玉山帳戶""), REGEXMATCH(C14306, ""薪資"")), ""分潤支出"",
  AND(REGEXMATCH(E14306, ""Ben帳戶|Elsa帳戶|Ben代墊|Ariel代墊|中信銀行共用""), REGEXMATCH(F14306, ""Ben帳戶|Elsa帳戶|Ben代墊|Ariel代墊|中信銀行共用"")), ""內部轉帳(忽略)"",
  AND(E14306&lt;&gt;"""", F14306&lt;&gt;"&amp;""""", NOT(REGEXMATCH(C14306, ""薪資""))), ""內部轉帳(忽略)"",
  REGEXMATCH(C14306, ""薪資""), ""薪資變動(不計入)"",
  REGEXMATCH(C14306, ""押金""), ""押金往來"",
  AND(E14306&lt;&gt;"""", F14306=""""), ""真實支出"",
  AND(E14306="""", F14306&lt;&gt;""""), ""真實收入"",
  TRUE, ""其他""
)"),"其他")</f>
        <v>其他</v>
      </c>
      <c r="K14306" s="270" t="str">
        <f t="shared" si="2"/>
        <v/>
      </c>
      <c r="L14306">
        <f t="shared" si="3"/>
        <v>0</v>
      </c>
    </row>
    <row r="14307">
      <c r="A14307" s="107"/>
      <c r="D14307" s="270"/>
      <c r="H14307" s="106" t="str">
        <f t="shared" si="1"/>
        <v/>
      </c>
      <c r="J14307" t="str">
        <f>IFERROR(__xludf.DUMMYFUNCTION("IFS(
  AND(REGEXMATCH(E14307, ""台銀籌備帳戶|玉山帳戶""), REGEXMATCH(C14307, ""薪資"")), ""分潤支出"",
  AND(REGEXMATCH(E14307, ""Ben帳戶|Elsa帳戶|Ben代墊|Ariel代墊|中信銀行共用""), REGEXMATCH(F14307, ""Ben帳戶|Elsa帳戶|Ben代墊|Ariel代墊|中信銀行共用"")), ""內部轉帳(忽略)"",
  AND(E14307&lt;&gt;"""", F14307&lt;&gt;"&amp;""""", NOT(REGEXMATCH(C14307, ""薪資""))), ""內部轉帳(忽略)"",
  REGEXMATCH(C14307, ""薪資""), ""薪資變動(不計入)"",
  REGEXMATCH(C14307, ""押金""), ""押金往來"",
  AND(E14307&lt;&gt;"""", F14307=""""), ""真實支出"",
  AND(E14307="""", F14307&lt;&gt;""""), ""真實收入"",
  TRUE, ""其他""
)"),"其他")</f>
        <v>其他</v>
      </c>
      <c r="K14307" s="270" t="str">
        <f t="shared" si="2"/>
        <v/>
      </c>
      <c r="L14307">
        <f t="shared" si="3"/>
        <v>0</v>
      </c>
    </row>
    <row r="14308">
      <c r="A14308" s="107"/>
      <c r="D14308" s="270"/>
      <c r="H14308" s="106" t="str">
        <f t="shared" si="1"/>
        <v/>
      </c>
      <c r="J14308" t="str">
        <f>IFERROR(__xludf.DUMMYFUNCTION("IFS(
  AND(REGEXMATCH(E14308, ""台銀籌備帳戶|玉山帳戶""), REGEXMATCH(C14308, ""薪資"")), ""分潤支出"",
  AND(REGEXMATCH(E14308, ""Ben帳戶|Elsa帳戶|Ben代墊|Ariel代墊|中信銀行共用""), REGEXMATCH(F14308, ""Ben帳戶|Elsa帳戶|Ben代墊|Ariel代墊|中信銀行共用"")), ""內部轉帳(忽略)"",
  AND(E14308&lt;&gt;"""", F14308&lt;&gt;"&amp;""""", NOT(REGEXMATCH(C14308, ""薪資""))), ""內部轉帳(忽略)"",
  REGEXMATCH(C14308, ""薪資""), ""薪資變動(不計入)"",
  REGEXMATCH(C14308, ""押金""), ""押金往來"",
  AND(E14308&lt;&gt;"""", F14308=""""), ""真實支出"",
  AND(E14308="""", F14308&lt;&gt;""""), ""真實收入"",
  TRUE, ""其他""
)"),"其他")</f>
        <v>其他</v>
      </c>
      <c r="K14308" s="270" t="str">
        <f t="shared" si="2"/>
        <v/>
      </c>
      <c r="L14308">
        <f t="shared" si="3"/>
        <v>0</v>
      </c>
    </row>
    <row r="14309">
      <c r="A14309" s="107"/>
      <c r="D14309" s="270"/>
      <c r="H14309" s="106" t="str">
        <f t="shared" si="1"/>
        <v/>
      </c>
      <c r="J14309" t="str">
        <f>IFERROR(__xludf.DUMMYFUNCTION("IFS(
  AND(REGEXMATCH(E14309, ""台銀籌備帳戶|玉山帳戶""), REGEXMATCH(C14309, ""薪資"")), ""分潤支出"",
  AND(REGEXMATCH(E14309, ""Ben帳戶|Elsa帳戶|Ben代墊|Ariel代墊|中信銀行共用""), REGEXMATCH(F14309, ""Ben帳戶|Elsa帳戶|Ben代墊|Ariel代墊|中信銀行共用"")), ""內部轉帳(忽略)"",
  AND(E14309&lt;&gt;"""", F14309&lt;&gt;"&amp;""""", NOT(REGEXMATCH(C14309, ""薪資""))), ""內部轉帳(忽略)"",
  REGEXMATCH(C14309, ""薪資""), ""薪資變動(不計入)"",
  REGEXMATCH(C14309, ""押金""), ""押金往來"",
  AND(E14309&lt;&gt;"""", F14309=""""), ""真實支出"",
  AND(E14309="""", F14309&lt;&gt;""""), ""真實收入"",
  TRUE, ""其他""
)"),"其他")</f>
        <v>其他</v>
      </c>
      <c r="K14309" s="270" t="str">
        <f t="shared" si="2"/>
        <v/>
      </c>
      <c r="L14309">
        <f t="shared" si="3"/>
        <v>0</v>
      </c>
    </row>
    <row r="14310">
      <c r="A14310" s="107"/>
      <c r="D14310" s="270"/>
      <c r="H14310" s="106" t="str">
        <f t="shared" si="1"/>
        <v/>
      </c>
      <c r="J14310" t="str">
        <f>IFERROR(__xludf.DUMMYFUNCTION("IFS(
  AND(REGEXMATCH(E14310, ""台銀籌備帳戶|玉山帳戶""), REGEXMATCH(C14310, ""薪資"")), ""分潤支出"",
  AND(REGEXMATCH(E14310, ""Ben帳戶|Elsa帳戶|Ben代墊|Ariel代墊|中信銀行共用""), REGEXMATCH(F14310, ""Ben帳戶|Elsa帳戶|Ben代墊|Ariel代墊|中信銀行共用"")), ""內部轉帳(忽略)"",
  AND(E14310&lt;&gt;"""", F14310&lt;&gt;"&amp;""""", NOT(REGEXMATCH(C14310, ""薪資""))), ""內部轉帳(忽略)"",
  REGEXMATCH(C14310, ""薪資""), ""薪資變動(不計入)"",
  REGEXMATCH(C14310, ""押金""), ""押金往來"",
  AND(E14310&lt;&gt;"""", F14310=""""), ""真實支出"",
  AND(E14310="""", F14310&lt;&gt;""""), ""真實收入"",
  TRUE, ""其他""
)"),"其他")</f>
        <v>其他</v>
      </c>
      <c r="K14310" s="270" t="str">
        <f t="shared" si="2"/>
        <v/>
      </c>
      <c r="L14310">
        <f t="shared" si="3"/>
        <v>0</v>
      </c>
    </row>
    <row r="14311">
      <c r="A14311" s="107"/>
      <c r="D14311" s="270"/>
      <c r="H14311" s="106" t="str">
        <f t="shared" si="1"/>
        <v/>
      </c>
      <c r="J14311" t="str">
        <f>IFERROR(__xludf.DUMMYFUNCTION("IFS(
  AND(REGEXMATCH(E14311, ""台銀籌備帳戶|玉山帳戶""), REGEXMATCH(C14311, ""薪資"")), ""分潤支出"",
  AND(REGEXMATCH(E14311, ""Ben帳戶|Elsa帳戶|Ben代墊|Ariel代墊|中信銀行共用""), REGEXMATCH(F14311, ""Ben帳戶|Elsa帳戶|Ben代墊|Ariel代墊|中信銀行共用"")), ""內部轉帳(忽略)"",
  AND(E14311&lt;&gt;"""", F14311&lt;&gt;"&amp;""""", NOT(REGEXMATCH(C14311, ""薪資""))), ""內部轉帳(忽略)"",
  REGEXMATCH(C14311, ""薪資""), ""薪資變動(不計入)"",
  REGEXMATCH(C14311, ""押金""), ""押金往來"",
  AND(E14311&lt;&gt;"""", F14311=""""), ""真實支出"",
  AND(E14311="""", F14311&lt;&gt;""""), ""真實收入"",
  TRUE, ""其他""
)"),"其他")</f>
        <v>其他</v>
      </c>
      <c r="K14311" s="270" t="str">
        <f t="shared" si="2"/>
        <v/>
      </c>
      <c r="L14311">
        <f t="shared" si="3"/>
        <v>0</v>
      </c>
    </row>
    <row r="14312">
      <c r="A14312" s="107"/>
      <c r="D14312" s="270"/>
      <c r="H14312" s="106" t="str">
        <f t="shared" si="1"/>
        <v/>
      </c>
      <c r="J14312" t="str">
        <f>IFERROR(__xludf.DUMMYFUNCTION("IFS(
  AND(REGEXMATCH(E14312, ""台銀籌備帳戶|玉山帳戶""), REGEXMATCH(C14312, ""薪資"")), ""分潤支出"",
  AND(REGEXMATCH(E14312, ""Ben帳戶|Elsa帳戶|Ben代墊|Ariel代墊|中信銀行共用""), REGEXMATCH(F14312, ""Ben帳戶|Elsa帳戶|Ben代墊|Ariel代墊|中信銀行共用"")), ""內部轉帳(忽略)"",
  AND(E14312&lt;&gt;"""", F14312&lt;&gt;"&amp;""""", NOT(REGEXMATCH(C14312, ""薪資""))), ""內部轉帳(忽略)"",
  REGEXMATCH(C14312, ""薪資""), ""薪資變動(不計入)"",
  REGEXMATCH(C14312, ""押金""), ""押金往來"",
  AND(E14312&lt;&gt;"""", F14312=""""), ""真實支出"",
  AND(E14312="""", F14312&lt;&gt;""""), ""真實收入"",
  TRUE, ""其他""
)"),"其他")</f>
        <v>其他</v>
      </c>
      <c r="K14312" s="270" t="str">
        <f t="shared" si="2"/>
        <v/>
      </c>
      <c r="L14312">
        <f t="shared" si="3"/>
        <v>0</v>
      </c>
    </row>
    <row r="14313">
      <c r="A14313" s="107"/>
      <c r="D14313" s="270"/>
      <c r="H14313" s="106" t="str">
        <f t="shared" si="1"/>
        <v/>
      </c>
      <c r="J14313" t="str">
        <f>IFERROR(__xludf.DUMMYFUNCTION("IFS(
  AND(REGEXMATCH(E14313, ""台銀籌備帳戶|玉山帳戶""), REGEXMATCH(C14313, ""薪資"")), ""分潤支出"",
  AND(REGEXMATCH(E14313, ""Ben帳戶|Elsa帳戶|Ben代墊|Ariel代墊|中信銀行共用""), REGEXMATCH(F14313, ""Ben帳戶|Elsa帳戶|Ben代墊|Ariel代墊|中信銀行共用"")), ""內部轉帳(忽略)"",
  AND(E14313&lt;&gt;"""", F14313&lt;&gt;"&amp;""""", NOT(REGEXMATCH(C14313, ""薪資""))), ""內部轉帳(忽略)"",
  REGEXMATCH(C14313, ""薪資""), ""薪資變動(不計入)"",
  REGEXMATCH(C14313, ""押金""), ""押金往來"",
  AND(E14313&lt;&gt;"""", F14313=""""), ""真實支出"",
  AND(E14313="""", F14313&lt;&gt;""""), ""真實收入"",
  TRUE, ""其他""
)"),"其他")</f>
        <v>其他</v>
      </c>
      <c r="K14313" s="270" t="str">
        <f t="shared" si="2"/>
        <v/>
      </c>
      <c r="L14313">
        <f t="shared" si="3"/>
        <v>0</v>
      </c>
    </row>
    <row r="14314">
      <c r="A14314" s="107"/>
      <c r="D14314" s="270"/>
      <c r="H14314" s="106" t="str">
        <f t="shared" si="1"/>
        <v/>
      </c>
      <c r="J14314" t="str">
        <f>IFERROR(__xludf.DUMMYFUNCTION("IFS(
  AND(REGEXMATCH(E14314, ""台銀籌備帳戶|玉山帳戶""), REGEXMATCH(C14314, ""薪資"")), ""分潤支出"",
  AND(REGEXMATCH(E14314, ""Ben帳戶|Elsa帳戶|Ben代墊|Ariel代墊|中信銀行共用""), REGEXMATCH(F14314, ""Ben帳戶|Elsa帳戶|Ben代墊|Ariel代墊|中信銀行共用"")), ""內部轉帳(忽略)"",
  AND(E14314&lt;&gt;"""", F14314&lt;&gt;"&amp;""""", NOT(REGEXMATCH(C14314, ""薪資""))), ""內部轉帳(忽略)"",
  REGEXMATCH(C14314, ""薪資""), ""薪資變動(不計入)"",
  REGEXMATCH(C14314, ""押金""), ""押金往來"",
  AND(E14314&lt;&gt;"""", F14314=""""), ""真實支出"",
  AND(E14314="""", F14314&lt;&gt;""""), ""真實收入"",
  TRUE, ""其他""
)"),"其他")</f>
        <v>其他</v>
      </c>
      <c r="K14314" s="270" t="str">
        <f t="shared" si="2"/>
        <v/>
      </c>
      <c r="L14314">
        <f t="shared" si="3"/>
        <v>0</v>
      </c>
    </row>
    <row r="14315">
      <c r="A14315" s="107"/>
      <c r="D14315" s="270"/>
      <c r="H14315" s="106" t="str">
        <f t="shared" si="1"/>
        <v/>
      </c>
      <c r="J14315" t="str">
        <f>IFERROR(__xludf.DUMMYFUNCTION("IFS(
  AND(REGEXMATCH(E14315, ""台銀籌備帳戶|玉山帳戶""), REGEXMATCH(C14315, ""薪資"")), ""分潤支出"",
  AND(REGEXMATCH(E14315, ""Ben帳戶|Elsa帳戶|Ben代墊|Ariel代墊|中信銀行共用""), REGEXMATCH(F14315, ""Ben帳戶|Elsa帳戶|Ben代墊|Ariel代墊|中信銀行共用"")), ""內部轉帳(忽略)"",
  AND(E14315&lt;&gt;"""", F14315&lt;&gt;"&amp;""""", NOT(REGEXMATCH(C14315, ""薪資""))), ""內部轉帳(忽略)"",
  REGEXMATCH(C14315, ""薪資""), ""薪資變動(不計入)"",
  REGEXMATCH(C14315, ""押金""), ""押金往來"",
  AND(E14315&lt;&gt;"""", F14315=""""), ""真實支出"",
  AND(E14315="""", F14315&lt;&gt;""""), ""真實收入"",
  TRUE, ""其他""
)"),"其他")</f>
        <v>其他</v>
      </c>
      <c r="K14315" s="270" t="str">
        <f t="shared" si="2"/>
        <v/>
      </c>
      <c r="L14315">
        <f t="shared" si="3"/>
        <v>0</v>
      </c>
    </row>
    <row r="14316">
      <c r="A14316" s="107"/>
      <c r="D14316" s="270"/>
      <c r="H14316" s="106" t="str">
        <f t="shared" si="1"/>
        <v/>
      </c>
      <c r="J14316" t="str">
        <f>IFERROR(__xludf.DUMMYFUNCTION("IFS(
  AND(REGEXMATCH(E14316, ""台銀籌備帳戶|玉山帳戶""), REGEXMATCH(C14316, ""薪資"")), ""分潤支出"",
  AND(REGEXMATCH(E14316, ""Ben帳戶|Elsa帳戶|Ben代墊|Ariel代墊|中信銀行共用""), REGEXMATCH(F14316, ""Ben帳戶|Elsa帳戶|Ben代墊|Ariel代墊|中信銀行共用"")), ""內部轉帳(忽略)"",
  AND(E14316&lt;&gt;"""", F14316&lt;&gt;"&amp;""""", NOT(REGEXMATCH(C14316, ""薪資""))), ""內部轉帳(忽略)"",
  REGEXMATCH(C14316, ""薪資""), ""薪資變動(不計入)"",
  REGEXMATCH(C14316, ""押金""), ""押金往來"",
  AND(E14316&lt;&gt;"""", F14316=""""), ""真實支出"",
  AND(E14316="""", F14316&lt;&gt;""""), ""真實收入"",
  TRUE, ""其他""
)"),"其他")</f>
        <v>其他</v>
      </c>
      <c r="K14316" s="270" t="str">
        <f t="shared" si="2"/>
        <v/>
      </c>
      <c r="L14316">
        <f t="shared" si="3"/>
        <v>0</v>
      </c>
    </row>
    <row r="14317">
      <c r="A14317" s="107"/>
      <c r="D14317" s="270"/>
      <c r="H14317" s="106" t="str">
        <f t="shared" si="1"/>
        <v/>
      </c>
      <c r="J14317" t="str">
        <f>IFERROR(__xludf.DUMMYFUNCTION("IFS(
  AND(REGEXMATCH(E14317, ""台銀籌備帳戶|玉山帳戶""), REGEXMATCH(C14317, ""薪資"")), ""分潤支出"",
  AND(REGEXMATCH(E14317, ""Ben帳戶|Elsa帳戶|Ben代墊|Ariel代墊|中信銀行共用""), REGEXMATCH(F14317, ""Ben帳戶|Elsa帳戶|Ben代墊|Ariel代墊|中信銀行共用"")), ""內部轉帳(忽略)"",
  AND(E14317&lt;&gt;"""", F14317&lt;&gt;"&amp;""""", NOT(REGEXMATCH(C14317, ""薪資""))), ""內部轉帳(忽略)"",
  REGEXMATCH(C14317, ""薪資""), ""薪資變動(不計入)"",
  REGEXMATCH(C14317, ""押金""), ""押金往來"",
  AND(E14317&lt;&gt;"""", F14317=""""), ""真實支出"",
  AND(E14317="""", F14317&lt;&gt;""""), ""真實收入"",
  TRUE, ""其他""
)"),"其他")</f>
        <v>其他</v>
      </c>
      <c r="K14317" s="270" t="str">
        <f t="shared" si="2"/>
        <v/>
      </c>
      <c r="L14317">
        <f t="shared" si="3"/>
        <v>0</v>
      </c>
    </row>
    <row r="14318">
      <c r="A14318" s="107"/>
      <c r="D14318" s="270"/>
      <c r="H14318" s="106" t="str">
        <f t="shared" si="1"/>
        <v/>
      </c>
      <c r="J14318" t="str">
        <f>IFERROR(__xludf.DUMMYFUNCTION("IFS(
  AND(REGEXMATCH(E14318, ""台銀籌備帳戶|玉山帳戶""), REGEXMATCH(C14318, ""薪資"")), ""分潤支出"",
  AND(REGEXMATCH(E14318, ""Ben帳戶|Elsa帳戶|Ben代墊|Ariel代墊|中信銀行共用""), REGEXMATCH(F14318, ""Ben帳戶|Elsa帳戶|Ben代墊|Ariel代墊|中信銀行共用"")), ""內部轉帳(忽略)"",
  AND(E14318&lt;&gt;"""", F14318&lt;&gt;"&amp;""""", NOT(REGEXMATCH(C14318, ""薪資""))), ""內部轉帳(忽略)"",
  REGEXMATCH(C14318, ""薪資""), ""薪資變動(不計入)"",
  REGEXMATCH(C14318, ""押金""), ""押金往來"",
  AND(E14318&lt;&gt;"""", F14318=""""), ""真實支出"",
  AND(E14318="""", F14318&lt;&gt;""""), ""真實收入"",
  TRUE, ""其他""
)"),"其他")</f>
        <v>其他</v>
      </c>
      <c r="K14318" s="270" t="str">
        <f t="shared" si="2"/>
        <v/>
      </c>
      <c r="L14318">
        <f t="shared" si="3"/>
        <v>0</v>
      </c>
    </row>
    <row r="14319">
      <c r="A14319" s="107"/>
      <c r="D14319" s="270"/>
      <c r="H14319" s="106" t="str">
        <f t="shared" si="1"/>
        <v/>
      </c>
      <c r="J14319" t="str">
        <f>IFERROR(__xludf.DUMMYFUNCTION("IFS(
  AND(REGEXMATCH(E14319, ""台銀籌備帳戶|玉山帳戶""), REGEXMATCH(C14319, ""薪資"")), ""分潤支出"",
  AND(REGEXMATCH(E14319, ""Ben帳戶|Elsa帳戶|Ben代墊|Ariel代墊|中信銀行共用""), REGEXMATCH(F14319, ""Ben帳戶|Elsa帳戶|Ben代墊|Ariel代墊|中信銀行共用"")), ""內部轉帳(忽略)"",
  AND(E14319&lt;&gt;"""", F14319&lt;&gt;"&amp;""""", NOT(REGEXMATCH(C14319, ""薪資""))), ""內部轉帳(忽略)"",
  REGEXMATCH(C14319, ""薪資""), ""薪資變動(不計入)"",
  REGEXMATCH(C14319, ""押金""), ""押金往來"",
  AND(E14319&lt;&gt;"""", F14319=""""), ""真實支出"",
  AND(E14319="""", F14319&lt;&gt;""""), ""真實收入"",
  TRUE, ""其他""
)"),"其他")</f>
        <v>其他</v>
      </c>
      <c r="K14319" s="270" t="str">
        <f t="shared" si="2"/>
        <v/>
      </c>
      <c r="L14319">
        <f t="shared" si="3"/>
        <v>0</v>
      </c>
    </row>
    <row r="14320">
      <c r="A14320" s="107"/>
      <c r="D14320" s="270"/>
      <c r="H14320" s="106" t="str">
        <f t="shared" si="1"/>
        <v/>
      </c>
      <c r="J14320" t="str">
        <f>IFERROR(__xludf.DUMMYFUNCTION("IFS(
  AND(REGEXMATCH(E14320, ""台銀籌備帳戶|玉山帳戶""), REGEXMATCH(C14320, ""薪資"")), ""分潤支出"",
  AND(REGEXMATCH(E14320, ""Ben帳戶|Elsa帳戶|Ben代墊|Ariel代墊|中信銀行共用""), REGEXMATCH(F14320, ""Ben帳戶|Elsa帳戶|Ben代墊|Ariel代墊|中信銀行共用"")), ""內部轉帳(忽略)"",
  AND(E14320&lt;&gt;"""", F14320&lt;&gt;"&amp;""""", NOT(REGEXMATCH(C14320, ""薪資""))), ""內部轉帳(忽略)"",
  REGEXMATCH(C14320, ""薪資""), ""薪資變動(不計入)"",
  REGEXMATCH(C14320, ""押金""), ""押金往來"",
  AND(E14320&lt;&gt;"""", F14320=""""), ""真實支出"",
  AND(E14320="""", F14320&lt;&gt;""""), ""真實收入"",
  TRUE, ""其他""
)"),"其他")</f>
        <v>其他</v>
      </c>
      <c r="K14320" s="270" t="str">
        <f t="shared" si="2"/>
        <v/>
      </c>
      <c r="L14320">
        <f t="shared" si="3"/>
        <v>0</v>
      </c>
    </row>
    <row r="14321">
      <c r="A14321" s="107"/>
      <c r="D14321" s="270"/>
      <c r="H14321" s="106" t="str">
        <f t="shared" si="1"/>
        <v/>
      </c>
      <c r="J14321" t="str">
        <f>IFERROR(__xludf.DUMMYFUNCTION("IFS(
  AND(REGEXMATCH(E14321, ""台銀籌備帳戶|玉山帳戶""), REGEXMATCH(C14321, ""薪資"")), ""分潤支出"",
  AND(REGEXMATCH(E14321, ""Ben帳戶|Elsa帳戶|Ben代墊|Ariel代墊|中信銀行共用""), REGEXMATCH(F14321, ""Ben帳戶|Elsa帳戶|Ben代墊|Ariel代墊|中信銀行共用"")), ""內部轉帳(忽略)"",
  AND(E14321&lt;&gt;"""", F14321&lt;&gt;"&amp;""""", NOT(REGEXMATCH(C14321, ""薪資""))), ""內部轉帳(忽略)"",
  REGEXMATCH(C14321, ""薪資""), ""薪資變動(不計入)"",
  REGEXMATCH(C14321, ""押金""), ""押金往來"",
  AND(E14321&lt;&gt;"""", F14321=""""), ""真實支出"",
  AND(E14321="""", F14321&lt;&gt;""""), ""真實收入"",
  TRUE, ""其他""
)"),"其他")</f>
        <v>其他</v>
      </c>
      <c r="K14321" s="270" t="str">
        <f t="shared" si="2"/>
        <v/>
      </c>
      <c r="L14321">
        <f t="shared" si="3"/>
        <v>0</v>
      </c>
    </row>
    <row r="14322">
      <c r="A14322" s="107"/>
      <c r="D14322" s="270"/>
      <c r="H14322" s="106" t="str">
        <f t="shared" si="1"/>
        <v/>
      </c>
      <c r="J14322" t="str">
        <f>IFERROR(__xludf.DUMMYFUNCTION("IFS(
  AND(REGEXMATCH(E14322, ""台銀籌備帳戶|玉山帳戶""), REGEXMATCH(C14322, ""薪資"")), ""分潤支出"",
  AND(REGEXMATCH(E14322, ""Ben帳戶|Elsa帳戶|Ben代墊|Ariel代墊|中信銀行共用""), REGEXMATCH(F14322, ""Ben帳戶|Elsa帳戶|Ben代墊|Ariel代墊|中信銀行共用"")), ""內部轉帳(忽略)"",
  AND(E14322&lt;&gt;"""", F14322&lt;&gt;"&amp;""""", NOT(REGEXMATCH(C14322, ""薪資""))), ""內部轉帳(忽略)"",
  REGEXMATCH(C14322, ""薪資""), ""薪資變動(不計入)"",
  REGEXMATCH(C14322, ""押金""), ""押金往來"",
  AND(E14322&lt;&gt;"""", F14322=""""), ""真實支出"",
  AND(E14322="""", F14322&lt;&gt;""""), ""真實收入"",
  TRUE, ""其他""
)"),"其他")</f>
        <v>其他</v>
      </c>
      <c r="K14322" s="270" t="str">
        <f t="shared" si="2"/>
        <v/>
      </c>
      <c r="L14322">
        <f t="shared" si="3"/>
        <v>0</v>
      </c>
    </row>
    <row r="14323">
      <c r="A14323" s="107"/>
      <c r="D14323" s="270"/>
      <c r="H14323" s="106" t="str">
        <f t="shared" si="1"/>
        <v/>
      </c>
      <c r="J14323" t="str">
        <f>IFERROR(__xludf.DUMMYFUNCTION("IFS(
  AND(REGEXMATCH(E14323, ""台銀籌備帳戶|玉山帳戶""), REGEXMATCH(C14323, ""薪資"")), ""分潤支出"",
  AND(REGEXMATCH(E14323, ""Ben帳戶|Elsa帳戶|Ben代墊|Ariel代墊|中信銀行共用""), REGEXMATCH(F14323, ""Ben帳戶|Elsa帳戶|Ben代墊|Ariel代墊|中信銀行共用"")), ""內部轉帳(忽略)"",
  AND(E14323&lt;&gt;"""", F14323&lt;&gt;"&amp;""""", NOT(REGEXMATCH(C14323, ""薪資""))), ""內部轉帳(忽略)"",
  REGEXMATCH(C14323, ""薪資""), ""薪資變動(不計入)"",
  REGEXMATCH(C14323, ""押金""), ""押金往來"",
  AND(E14323&lt;&gt;"""", F14323=""""), ""真實支出"",
  AND(E14323="""", F14323&lt;&gt;""""), ""真實收入"",
  TRUE, ""其他""
)"),"其他")</f>
        <v>其他</v>
      </c>
      <c r="K14323" s="270" t="str">
        <f t="shared" si="2"/>
        <v/>
      </c>
      <c r="L14323">
        <f t="shared" si="3"/>
        <v>0</v>
      </c>
    </row>
    <row r="14324">
      <c r="A14324" s="107"/>
      <c r="D14324" s="270"/>
      <c r="H14324" s="106" t="str">
        <f t="shared" si="1"/>
        <v/>
      </c>
      <c r="J14324" t="str">
        <f>IFERROR(__xludf.DUMMYFUNCTION("IFS(
  AND(REGEXMATCH(E14324, ""台銀籌備帳戶|玉山帳戶""), REGEXMATCH(C14324, ""薪資"")), ""分潤支出"",
  AND(REGEXMATCH(E14324, ""Ben帳戶|Elsa帳戶|Ben代墊|Ariel代墊|中信銀行共用""), REGEXMATCH(F14324, ""Ben帳戶|Elsa帳戶|Ben代墊|Ariel代墊|中信銀行共用"")), ""內部轉帳(忽略)"",
  AND(E14324&lt;&gt;"""", F14324&lt;&gt;"&amp;""""", NOT(REGEXMATCH(C14324, ""薪資""))), ""內部轉帳(忽略)"",
  REGEXMATCH(C14324, ""薪資""), ""薪資變動(不計入)"",
  REGEXMATCH(C14324, ""押金""), ""押金往來"",
  AND(E14324&lt;&gt;"""", F14324=""""), ""真實支出"",
  AND(E14324="""", F14324&lt;&gt;""""), ""真實收入"",
  TRUE, ""其他""
)"),"其他")</f>
        <v>其他</v>
      </c>
      <c r="K14324" s="270" t="str">
        <f t="shared" si="2"/>
        <v/>
      </c>
      <c r="L14324">
        <f t="shared" si="3"/>
        <v>0</v>
      </c>
    </row>
    <row r="14325">
      <c r="A14325" s="107"/>
      <c r="D14325" s="270"/>
      <c r="H14325" s="106" t="str">
        <f t="shared" si="1"/>
        <v/>
      </c>
      <c r="J14325" t="str">
        <f>IFERROR(__xludf.DUMMYFUNCTION("IFS(
  AND(REGEXMATCH(E14325, ""台銀籌備帳戶|玉山帳戶""), REGEXMATCH(C14325, ""薪資"")), ""分潤支出"",
  AND(REGEXMATCH(E14325, ""Ben帳戶|Elsa帳戶|Ben代墊|Ariel代墊|中信銀行共用""), REGEXMATCH(F14325, ""Ben帳戶|Elsa帳戶|Ben代墊|Ariel代墊|中信銀行共用"")), ""內部轉帳(忽略)"",
  AND(E14325&lt;&gt;"""", F14325&lt;&gt;"&amp;""""", NOT(REGEXMATCH(C14325, ""薪資""))), ""內部轉帳(忽略)"",
  REGEXMATCH(C14325, ""薪資""), ""薪資變動(不計入)"",
  REGEXMATCH(C14325, ""押金""), ""押金往來"",
  AND(E14325&lt;&gt;"""", F14325=""""), ""真實支出"",
  AND(E14325="""", F14325&lt;&gt;""""), ""真實收入"",
  TRUE, ""其他""
)"),"其他")</f>
        <v>其他</v>
      </c>
      <c r="K14325" s="270" t="str">
        <f t="shared" si="2"/>
        <v/>
      </c>
      <c r="L14325">
        <f t="shared" si="3"/>
        <v>0</v>
      </c>
    </row>
    <row r="14326">
      <c r="A14326" s="107"/>
      <c r="D14326" s="270"/>
      <c r="H14326" s="106" t="str">
        <f t="shared" si="1"/>
        <v/>
      </c>
      <c r="J14326" t="str">
        <f>IFERROR(__xludf.DUMMYFUNCTION("IFS(
  AND(REGEXMATCH(E14326, ""台銀籌備帳戶|玉山帳戶""), REGEXMATCH(C14326, ""薪資"")), ""分潤支出"",
  AND(REGEXMATCH(E14326, ""Ben帳戶|Elsa帳戶|Ben代墊|Ariel代墊|中信銀行共用""), REGEXMATCH(F14326, ""Ben帳戶|Elsa帳戶|Ben代墊|Ariel代墊|中信銀行共用"")), ""內部轉帳(忽略)"",
  AND(E14326&lt;&gt;"""", F14326&lt;&gt;"&amp;""""", NOT(REGEXMATCH(C14326, ""薪資""))), ""內部轉帳(忽略)"",
  REGEXMATCH(C14326, ""薪資""), ""薪資變動(不計入)"",
  REGEXMATCH(C14326, ""押金""), ""押金往來"",
  AND(E14326&lt;&gt;"""", F14326=""""), ""真實支出"",
  AND(E14326="""", F14326&lt;&gt;""""), ""真實收入"",
  TRUE, ""其他""
)"),"其他")</f>
        <v>其他</v>
      </c>
      <c r="K14326" s="270" t="str">
        <f t="shared" si="2"/>
        <v/>
      </c>
      <c r="L14326">
        <f t="shared" si="3"/>
        <v>0</v>
      </c>
    </row>
    <row r="14327">
      <c r="A14327" s="107"/>
      <c r="D14327" s="270"/>
      <c r="H14327" s="106" t="str">
        <f t="shared" si="1"/>
        <v/>
      </c>
      <c r="J14327" t="str">
        <f>IFERROR(__xludf.DUMMYFUNCTION("IFS(
  AND(REGEXMATCH(E14327, ""台銀籌備帳戶|玉山帳戶""), REGEXMATCH(C14327, ""薪資"")), ""分潤支出"",
  AND(REGEXMATCH(E14327, ""Ben帳戶|Elsa帳戶|Ben代墊|Ariel代墊|中信銀行共用""), REGEXMATCH(F14327, ""Ben帳戶|Elsa帳戶|Ben代墊|Ariel代墊|中信銀行共用"")), ""內部轉帳(忽略)"",
  AND(E14327&lt;&gt;"""", F14327&lt;&gt;"&amp;""""", NOT(REGEXMATCH(C14327, ""薪資""))), ""內部轉帳(忽略)"",
  REGEXMATCH(C14327, ""薪資""), ""薪資變動(不計入)"",
  REGEXMATCH(C14327, ""押金""), ""押金往來"",
  AND(E14327&lt;&gt;"""", F14327=""""), ""真實支出"",
  AND(E14327="""", F14327&lt;&gt;""""), ""真實收入"",
  TRUE, ""其他""
)"),"其他")</f>
        <v>其他</v>
      </c>
      <c r="K14327" s="270" t="str">
        <f t="shared" si="2"/>
        <v/>
      </c>
      <c r="L14327">
        <f t="shared" si="3"/>
        <v>0</v>
      </c>
    </row>
    <row r="14328">
      <c r="A14328" s="107"/>
      <c r="D14328" s="270"/>
      <c r="H14328" s="106" t="str">
        <f t="shared" si="1"/>
        <v/>
      </c>
      <c r="J14328" t="str">
        <f>IFERROR(__xludf.DUMMYFUNCTION("IFS(
  AND(REGEXMATCH(E14328, ""台銀籌備帳戶|玉山帳戶""), REGEXMATCH(C14328, ""薪資"")), ""分潤支出"",
  AND(REGEXMATCH(E14328, ""Ben帳戶|Elsa帳戶|Ben代墊|Ariel代墊|中信銀行共用""), REGEXMATCH(F14328, ""Ben帳戶|Elsa帳戶|Ben代墊|Ariel代墊|中信銀行共用"")), ""內部轉帳(忽略)"",
  AND(E14328&lt;&gt;"""", F14328&lt;&gt;"&amp;""""", NOT(REGEXMATCH(C14328, ""薪資""))), ""內部轉帳(忽略)"",
  REGEXMATCH(C14328, ""薪資""), ""薪資變動(不計入)"",
  REGEXMATCH(C14328, ""押金""), ""押金往來"",
  AND(E14328&lt;&gt;"""", F14328=""""), ""真實支出"",
  AND(E14328="""", F14328&lt;&gt;""""), ""真實收入"",
  TRUE, ""其他""
)"),"其他")</f>
        <v>其他</v>
      </c>
      <c r="K14328" s="270" t="str">
        <f t="shared" si="2"/>
        <v/>
      </c>
      <c r="L14328">
        <f t="shared" si="3"/>
        <v>0</v>
      </c>
    </row>
    <row r="14329">
      <c r="A14329" s="107"/>
      <c r="D14329" s="270"/>
      <c r="H14329" s="106" t="str">
        <f t="shared" si="1"/>
        <v/>
      </c>
      <c r="J14329" t="str">
        <f>IFERROR(__xludf.DUMMYFUNCTION("IFS(
  AND(REGEXMATCH(E14329, ""台銀籌備帳戶|玉山帳戶""), REGEXMATCH(C14329, ""薪資"")), ""分潤支出"",
  AND(REGEXMATCH(E14329, ""Ben帳戶|Elsa帳戶|Ben代墊|Ariel代墊|中信銀行共用""), REGEXMATCH(F14329, ""Ben帳戶|Elsa帳戶|Ben代墊|Ariel代墊|中信銀行共用"")), ""內部轉帳(忽略)"",
  AND(E14329&lt;&gt;"""", F14329&lt;&gt;"&amp;""""", NOT(REGEXMATCH(C14329, ""薪資""))), ""內部轉帳(忽略)"",
  REGEXMATCH(C14329, ""薪資""), ""薪資變動(不計入)"",
  REGEXMATCH(C14329, ""押金""), ""押金往來"",
  AND(E14329&lt;&gt;"""", F14329=""""), ""真實支出"",
  AND(E14329="""", F14329&lt;&gt;""""), ""真實收入"",
  TRUE, ""其他""
)"),"其他")</f>
        <v>其他</v>
      </c>
      <c r="K14329" s="270" t="str">
        <f t="shared" si="2"/>
        <v/>
      </c>
      <c r="L14329">
        <f t="shared" si="3"/>
        <v>0</v>
      </c>
    </row>
    <row r="14330">
      <c r="A14330" s="107"/>
      <c r="D14330" s="270"/>
      <c r="H14330" s="106" t="str">
        <f t="shared" si="1"/>
        <v/>
      </c>
      <c r="J14330" t="str">
        <f>IFERROR(__xludf.DUMMYFUNCTION("IFS(
  AND(REGEXMATCH(E14330, ""台銀籌備帳戶|玉山帳戶""), REGEXMATCH(C14330, ""薪資"")), ""分潤支出"",
  AND(REGEXMATCH(E14330, ""Ben帳戶|Elsa帳戶|Ben代墊|Ariel代墊|中信銀行共用""), REGEXMATCH(F14330, ""Ben帳戶|Elsa帳戶|Ben代墊|Ariel代墊|中信銀行共用"")), ""內部轉帳(忽略)"",
  AND(E14330&lt;&gt;"""", F14330&lt;&gt;"&amp;""""", NOT(REGEXMATCH(C14330, ""薪資""))), ""內部轉帳(忽略)"",
  REGEXMATCH(C14330, ""薪資""), ""薪資變動(不計入)"",
  REGEXMATCH(C14330, ""押金""), ""押金往來"",
  AND(E14330&lt;&gt;"""", F14330=""""), ""真實支出"",
  AND(E14330="""", F14330&lt;&gt;""""), ""真實收入"",
  TRUE, ""其他""
)"),"其他")</f>
        <v>其他</v>
      </c>
      <c r="K14330" s="270" t="str">
        <f t="shared" si="2"/>
        <v/>
      </c>
      <c r="L14330">
        <f t="shared" si="3"/>
        <v>0</v>
      </c>
    </row>
    <row r="14331">
      <c r="A14331" s="107"/>
      <c r="D14331" s="270"/>
      <c r="H14331" s="106" t="str">
        <f t="shared" si="1"/>
        <v/>
      </c>
      <c r="J14331" t="str">
        <f>IFERROR(__xludf.DUMMYFUNCTION("IFS(
  AND(REGEXMATCH(E14331, ""台銀籌備帳戶|玉山帳戶""), REGEXMATCH(C14331, ""薪資"")), ""分潤支出"",
  AND(REGEXMATCH(E14331, ""Ben帳戶|Elsa帳戶|Ben代墊|Ariel代墊|中信銀行共用""), REGEXMATCH(F14331, ""Ben帳戶|Elsa帳戶|Ben代墊|Ariel代墊|中信銀行共用"")), ""內部轉帳(忽略)"",
  AND(E14331&lt;&gt;"""", F14331&lt;&gt;"&amp;""""", NOT(REGEXMATCH(C14331, ""薪資""))), ""內部轉帳(忽略)"",
  REGEXMATCH(C14331, ""薪資""), ""薪資變動(不計入)"",
  REGEXMATCH(C14331, ""押金""), ""押金往來"",
  AND(E14331&lt;&gt;"""", F14331=""""), ""真實支出"",
  AND(E14331="""", F14331&lt;&gt;""""), ""真實收入"",
  TRUE, ""其他""
)"),"其他")</f>
        <v>其他</v>
      </c>
      <c r="K14331" s="270" t="str">
        <f t="shared" si="2"/>
        <v/>
      </c>
      <c r="L14331">
        <f t="shared" si="3"/>
        <v>0</v>
      </c>
    </row>
    <row r="14332">
      <c r="A14332" s="107"/>
      <c r="D14332" s="270"/>
      <c r="H14332" s="106" t="str">
        <f t="shared" si="1"/>
        <v/>
      </c>
      <c r="J14332" t="str">
        <f>IFERROR(__xludf.DUMMYFUNCTION("IFS(
  AND(REGEXMATCH(E14332, ""台銀籌備帳戶|玉山帳戶""), REGEXMATCH(C14332, ""薪資"")), ""分潤支出"",
  AND(REGEXMATCH(E14332, ""Ben帳戶|Elsa帳戶|Ben代墊|Ariel代墊|中信銀行共用""), REGEXMATCH(F14332, ""Ben帳戶|Elsa帳戶|Ben代墊|Ariel代墊|中信銀行共用"")), ""內部轉帳(忽略)"",
  AND(E14332&lt;&gt;"""", F14332&lt;&gt;"&amp;""""", NOT(REGEXMATCH(C14332, ""薪資""))), ""內部轉帳(忽略)"",
  REGEXMATCH(C14332, ""薪資""), ""薪資變動(不計入)"",
  REGEXMATCH(C14332, ""押金""), ""押金往來"",
  AND(E14332&lt;&gt;"""", F14332=""""), ""真實支出"",
  AND(E14332="""", F14332&lt;&gt;""""), ""真實收入"",
  TRUE, ""其他""
)"),"其他")</f>
        <v>其他</v>
      </c>
      <c r="K14332" s="270" t="str">
        <f t="shared" si="2"/>
        <v/>
      </c>
      <c r="L14332">
        <f t="shared" si="3"/>
        <v>0</v>
      </c>
    </row>
    <row r="14333">
      <c r="A14333" s="107"/>
      <c r="D14333" s="270"/>
      <c r="H14333" s="106" t="str">
        <f t="shared" si="1"/>
        <v/>
      </c>
      <c r="J14333" t="str">
        <f>IFERROR(__xludf.DUMMYFUNCTION("IFS(
  AND(REGEXMATCH(E14333, ""台銀籌備帳戶|玉山帳戶""), REGEXMATCH(C14333, ""薪資"")), ""分潤支出"",
  AND(REGEXMATCH(E14333, ""Ben帳戶|Elsa帳戶|Ben代墊|Ariel代墊|中信銀行共用""), REGEXMATCH(F14333, ""Ben帳戶|Elsa帳戶|Ben代墊|Ariel代墊|中信銀行共用"")), ""內部轉帳(忽略)"",
  AND(E14333&lt;&gt;"""", F14333&lt;&gt;"&amp;""""", NOT(REGEXMATCH(C14333, ""薪資""))), ""內部轉帳(忽略)"",
  REGEXMATCH(C14333, ""薪資""), ""薪資變動(不計入)"",
  REGEXMATCH(C14333, ""押金""), ""押金往來"",
  AND(E14333&lt;&gt;"""", F14333=""""), ""真實支出"",
  AND(E14333="""", F14333&lt;&gt;""""), ""真實收入"",
  TRUE, ""其他""
)"),"其他")</f>
        <v>其他</v>
      </c>
      <c r="K14333" s="270" t="str">
        <f t="shared" si="2"/>
        <v/>
      </c>
      <c r="L14333">
        <f t="shared" si="3"/>
        <v>0</v>
      </c>
    </row>
    <row r="14334">
      <c r="A14334" s="107"/>
      <c r="D14334" s="270"/>
      <c r="H14334" s="106" t="str">
        <f t="shared" si="1"/>
        <v/>
      </c>
      <c r="J14334" t="str">
        <f>IFERROR(__xludf.DUMMYFUNCTION("IFS(
  AND(REGEXMATCH(E14334, ""台銀籌備帳戶|玉山帳戶""), REGEXMATCH(C14334, ""薪資"")), ""分潤支出"",
  AND(REGEXMATCH(E14334, ""Ben帳戶|Elsa帳戶|Ben代墊|Ariel代墊|中信銀行共用""), REGEXMATCH(F14334, ""Ben帳戶|Elsa帳戶|Ben代墊|Ariel代墊|中信銀行共用"")), ""內部轉帳(忽略)"",
  AND(E14334&lt;&gt;"""", F14334&lt;&gt;"&amp;""""", NOT(REGEXMATCH(C14334, ""薪資""))), ""內部轉帳(忽略)"",
  REGEXMATCH(C14334, ""薪資""), ""薪資變動(不計入)"",
  REGEXMATCH(C14334, ""押金""), ""押金往來"",
  AND(E14334&lt;&gt;"""", F14334=""""), ""真實支出"",
  AND(E14334="""", F14334&lt;&gt;""""), ""真實收入"",
  TRUE, ""其他""
)"),"其他")</f>
        <v>其他</v>
      </c>
      <c r="K14334" s="270" t="str">
        <f t="shared" si="2"/>
        <v/>
      </c>
      <c r="L14334">
        <f t="shared" si="3"/>
        <v>0</v>
      </c>
    </row>
    <row r="14335">
      <c r="A14335" s="107"/>
      <c r="D14335" s="270"/>
      <c r="H14335" s="106" t="str">
        <f t="shared" si="1"/>
        <v/>
      </c>
      <c r="J14335" t="str">
        <f>IFERROR(__xludf.DUMMYFUNCTION("IFS(
  AND(REGEXMATCH(E14335, ""台銀籌備帳戶|玉山帳戶""), REGEXMATCH(C14335, ""薪資"")), ""分潤支出"",
  AND(REGEXMATCH(E14335, ""Ben帳戶|Elsa帳戶|Ben代墊|Ariel代墊|中信銀行共用""), REGEXMATCH(F14335, ""Ben帳戶|Elsa帳戶|Ben代墊|Ariel代墊|中信銀行共用"")), ""內部轉帳(忽略)"",
  AND(E14335&lt;&gt;"""", F14335&lt;&gt;"&amp;""""", NOT(REGEXMATCH(C14335, ""薪資""))), ""內部轉帳(忽略)"",
  REGEXMATCH(C14335, ""薪資""), ""薪資變動(不計入)"",
  REGEXMATCH(C14335, ""押金""), ""押金往來"",
  AND(E14335&lt;&gt;"""", F14335=""""), ""真實支出"",
  AND(E14335="""", F14335&lt;&gt;""""), ""真實收入"",
  TRUE, ""其他""
)"),"其他")</f>
        <v>其他</v>
      </c>
      <c r="K14335" s="270" t="str">
        <f t="shared" si="2"/>
        <v/>
      </c>
      <c r="L14335">
        <f t="shared" si="3"/>
        <v>0</v>
      </c>
    </row>
    <row r="14336">
      <c r="A14336" s="107"/>
      <c r="D14336" s="270"/>
      <c r="H14336" s="106" t="str">
        <f t="shared" si="1"/>
        <v/>
      </c>
      <c r="J14336" t="str">
        <f>IFERROR(__xludf.DUMMYFUNCTION("IFS(
  AND(REGEXMATCH(E14336, ""台銀籌備帳戶|玉山帳戶""), REGEXMATCH(C14336, ""薪資"")), ""分潤支出"",
  AND(REGEXMATCH(E14336, ""Ben帳戶|Elsa帳戶|Ben代墊|Ariel代墊|中信銀行共用""), REGEXMATCH(F14336, ""Ben帳戶|Elsa帳戶|Ben代墊|Ariel代墊|中信銀行共用"")), ""內部轉帳(忽略)"",
  AND(E14336&lt;&gt;"""", F14336&lt;&gt;"&amp;""""", NOT(REGEXMATCH(C14336, ""薪資""))), ""內部轉帳(忽略)"",
  REGEXMATCH(C14336, ""薪資""), ""薪資變動(不計入)"",
  REGEXMATCH(C14336, ""押金""), ""押金往來"",
  AND(E14336&lt;&gt;"""", F14336=""""), ""真實支出"",
  AND(E14336="""", F14336&lt;&gt;""""), ""真實收入"",
  TRUE, ""其他""
)"),"其他")</f>
        <v>其他</v>
      </c>
      <c r="K14336" s="270" t="str">
        <f t="shared" si="2"/>
        <v/>
      </c>
      <c r="L14336">
        <f t="shared" si="3"/>
        <v>0</v>
      </c>
    </row>
    <row r="14337">
      <c r="A14337" s="107"/>
      <c r="D14337" s="270"/>
      <c r="H14337" s="106" t="str">
        <f t="shared" si="1"/>
        <v/>
      </c>
      <c r="J14337" t="str">
        <f>IFERROR(__xludf.DUMMYFUNCTION("IFS(
  AND(REGEXMATCH(E14337, ""台銀籌備帳戶|玉山帳戶""), REGEXMATCH(C14337, ""薪資"")), ""分潤支出"",
  AND(REGEXMATCH(E14337, ""Ben帳戶|Elsa帳戶|Ben代墊|Ariel代墊|中信銀行共用""), REGEXMATCH(F14337, ""Ben帳戶|Elsa帳戶|Ben代墊|Ariel代墊|中信銀行共用"")), ""內部轉帳(忽略)"",
  AND(E14337&lt;&gt;"""", F14337&lt;&gt;"&amp;""""", NOT(REGEXMATCH(C14337, ""薪資""))), ""內部轉帳(忽略)"",
  REGEXMATCH(C14337, ""薪資""), ""薪資變動(不計入)"",
  REGEXMATCH(C14337, ""押金""), ""押金往來"",
  AND(E14337&lt;&gt;"""", F14337=""""), ""真實支出"",
  AND(E14337="""", F14337&lt;&gt;""""), ""真實收入"",
  TRUE, ""其他""
)"),"其他")</f>
        <v>其他</v>
      </c>
      <c r="K14337" s="270" t="str">
        <f t="shared" si="2"/>
        <v/>
      </c>
      <c r="L14337">
        <f t="shared" si="3"/>
        <v>0</v>
      </c>
    </row>
    <row r="14338">
      <c r="A14338" s="107"/>
      <c r="D14338" s="270"/>
      <c r="H14338" s="106" t="str">
        <f t="shared" si="1"/>
        <v/>
      </c>
      <c r="J14338" t="str">
        <f>IFERROR(__xludf.DUMMYFUNCTION("IFS(
  AND(REGEXMATCH(E14338, ""台銀籌備帳戶|玉山帳戶""), REGEXMATCH(C14338, ""薪資"")), ""分潤支出"",
  AND(REGEXMATCH(E14338, ""Ben帳戶|Elsa帳戶|Ben代墊|Ariel代墊|中信銀行共用""), REGEXMATCH(F14338, ""Ben帳戶|Elsa帳戶|Ben代墊|Ariel代墊|中信銀行共用"")), ""內部轉帳(忽略)"",
  AND(E14338&lt;&gt;"""", F14338&lt;&gt;"&amp;""""", NOT(REGEXMATCH(C14338, ""薪資""))), ""內部轉帳(忽略)"",
  REGEXMATCH(C14338, ""薪資""), ""薪資變動(不計入)"",
  REGEXMATCH(C14338, ""押金""), ""押金往來"",
  AND(E14338&lt;&gt;"""", F14338=""""), ""真實支出"",
  AND(E14338="""", F14338&lt;&gt;""""), ""真實收入"",
  TRUE, ""其他""
)"),"其他")</f>
        <v>其他</v>
      </c>
      <c r="K14338" s="270" t="str">
        <f t="shared" si="2"/>
        <v/>
      </c>
      <c r="L14338">
        <f t="shared" si="3"/>
        <v>0</v>
      </c>
    </row>
    <row r="14339">
      <c r="A14339" s="107"/>
      <c r="D14339" s="270"/>
      <c r="H14339" s="106" t="str">
        <f t="shared" si="1"/>
        <v/>
      </c>
      <c r="J14339" t="str">
        <f>IFERROR(__xludf.DUMMYFUNCTION("IFS(
  AND(REGEXMATCH(E14339, ""台銀籌備帳戶|玉山帳戶""), REGEXMATCH(C14339, ""薪資"")), ""分潤支出"",
  AND(REGEXMATCH(E14339, ""Ben帳戶|Elsa帳戶|Ben代墊|Ariel代墊|中信銀行共用""), REGEXMATCH(F14339, ""Ben帳戶|Elsa帳戶|Ben代墊|Ariel代墊|中信銀行共用"")), ""內部轉帳(忽略)"",
  AND(E14339&lt;&gt;"""", F14339&lt;&gt;"&amp;""""", NOT(REGEXMATCH(C14339, ""薪資""))), ""內部轉帳(忽略)"",
  REGEXMATCH(C14339, ""薪資""), ""薪資變動(不計入)"",
  REGEXMATCH(C14339, ""押金""), ""押金往來"",
  AND(E14339&lt;&gt;"""", F14339=""""), ""真實支出"",
  AND(E14339="""", F14339&lt;&gt;""""), ""真實收入"",
  TRUE, ""其他""
)"),"其他")</f>
        <v>其他</v>
      </c>
      <c r="K14339" s="270" t="str">
        <f t="shared" si="2"/>
        <v/>
      </c>
      <c r="L14339">
        <f t="shared" si="3"/>
        <v>0</v>
      </c>
    </row>
    <row r="14340">
      <c r="A14340" s="107"/>
      <c r="D14340" s="270"/>
      <c r="H14340" s="106" t="str">
        <f t="shared" si="1"/>
        <v/>
      </c>
      <c r="J14340" t="str">
        <f>IFERROR(__xludf.DUMMYFUNCTION("IFS(
  AND(REGEXMATCH(E14340, ""台銀籌備帳戶|玉山帳戶""), REGEXMATCH(C14340, ""薪資"")), ""分潤支出"",
  AND(REGEXMATCH(E14340, ""Ben帳戶|Elsa帳戶|Ben代墊|Ariel代墊|中信銀行共用""), REGEXMATCH(F14340, ""Ben帳戶|Elsa帳戶|Ben代墊|Ariel代墊|中信銀行共用"")), ""內部轉帳(忽略)"",
  AND(E14340&lt;&gt;"""", F14340&lt;&gt;"&amp;""""", NOT(REGEXMATCH(C14340, ""薪資""))), ""內部轉帳(忽略)"",
  REGEXMATCH(C14340, ""薪資""), ""薪資變動(不計入)"",
  REGEXMATCH(C14340, ""押金""), ""押金往來"",
  AND(E14340&lt;&gt;"""", F14340=""""), ""真實支出"",
  AND(E14340="""", F14340&lt;&gt;""""), ""真實收入"",
  TRUE, ""其他""
)"),"其他")</f>
        <v>其他</v>
      </c>
      <c r="K14340" s="270" t="str">
        <f t="shared" si="2"/>
        <v/>
      </c>
      <c r="L14340">
        <f t="shared" si="3"/>
        <v>0</v>
      </c>
    </row>
    <row r="14341">
      <c r="A14341" s="107"/>
      <c r="D14341" s="270"/>
      <c r="H14341" s="106" t="str">
        <f t="shared" si="1"/>
        <v/>
      </c>
      <c r="J14341" t="str">
        <f>IFERROR(__xludf.DUMMYFUNCTION("IFS(
  AND(REGEXMATCH(E14341, ""台銀籌備帳戶|玉山帳戶""), REGEXMATCH(C14341, ""薪資"")), ""分潤支出"",
  AND(REGEXMATCH(E14341, ""Ben帳戶|Elsa帳戶|Ben代墊|Ariel代墊|中信銀行共用""), REGEXMATCH(F14341, ""Ben帳戶|Elsa帳戶|Ben代墊|Ariel代墊|中信銀行共用"")), ""內部轉帳(忽略)"",
  AND(E14341&lt;&gt;"""", F14341&lt;&gt;"&amp;""""", NOT(REGEXMATCH(C14341, ""薪資""))), ""內部轉帳(忽略)"",
  REGEXMATCH(C14341, ""薪資""), ""薪資變動(不計入)"",
  REGEXMATCH(C14341, ""押金""), ""押金往來"",
  AND(E14341&lt;&gt;"""", F14341=""""), ""真實支出"",
  AND(E14341="""", F14341&lt;&gt;""""), ""真實收入"",
  TRUE, ""其他""
)"),"其他")</f>
        <v>其他</v>
      </c>
      <c r="K14341" s="270" t="str">
        <f t="shared" si="2"/>
        <v/>
      </c>
      <c r="L14341">
        <f t="shared" si="3"/>
        <v>0</v>
      </c>
    </row>
    <row r="14342">
      <c r="A14342" s="107"/>
      <c r="D14342" s="270"/>
      <c r="H14342" s="106" t="str">
        <f t="shared" si="1"/>
        <v/>
      </c>
      <c r="J14342" t="str">
        <f>IFERROR(__xludf.DUMMYFUNCTION("IFS(
  AND(REGEXMATCH(E14342, ""台銀籌備帳戶|玉山帳戶""), REGEXMATCH(C14342, ""薪資"")), ""分潤支出"",
  AND(REGEXMATCH(E14342, ""Ben帳戶|Elsa帳戶|Ben代墊|Ariel代墊|中信銀行共用""), REGEXMATCH(F14342, ""Ben帳戶|Elsa帳戶|Ben代墊|Ariel代墊|中信銀行共用"")), ""內部轉帳(忽略)"",
  AND(E14342&lt;&gt;"""", F14342&lt;&gt;"&amp;""""", NOT(REGEXMATCH(C14342, ""薪資""))), ""內部轉帳(忽略)"",
  REGEXMATCH(C14342, ""薪資""), ""薪資變動(不計入)"",
  REGEXMATCH(C14342, ""押金""), ""押金往來"",
  AND(E14342&lt;&gt;"""", F14342=""""), ""真實支出"",
  AND(E14342="""", F14342&lt;&gt;""""), ""真實收入"",
  TRUE, ""其他""
)"),"其他")</f>
        <v>其他</v>
      </c>
      <c r="K14342" s="270" t="str">
        <f t="shared" si="2"/>
        <v/>
      </c>
      <c r="L14342">
        <f t="shared" si="3"/>
        <v>0</v>
      </c>
    </row>
    <row r="14343">
      <c r="A14343" s="107"/>
      <c r="D14343" s="270"/>
      <c r="H14343" s="106" t="str">
        <f t="shared" si="1"/>
        <v/>
      </c>
      <c r="J14343" t="str">
        <f>IFERROR(__xludf.DUMMYFUNCTION("IFS(
  AND(REGEXMATCH(E14343, ""台銀籌備帳戶|玉山帳戶""), REGEXMATCH(C14343, ""薪資"")), ""分潤支出"",
  AND(REGEXMATCH(E14343, ""Ben帳戶|Elsa帳戶|Ben代墊|Ariel代墊|中信銀行共用""), REGEXMATCH(F14343, ""Ben帳戶|Elsa帳戶|Ben代墊|Ariel代墊|中信銀行共用"")), ""內部轉帳(忽略)"",
  AND(E14343&lt;&gt;"""", F14343&lt;&gt;"&amp;""""", NOT(REGEXMATCH(C14343, ""薪資""))), ""內部轉帳(忽略)"",
  REGEXMATCH(C14343, ""薪資""), ""薪資變動(不計入)"",
  REGEXMATCH(C14343, ""押金""), ""押金往來"",
  AND(E14343&lt;&gt;"""", F14343=""""), ""真實支出"",
  AND(E14343="""", F14343&lt;&gt;""""), ""真實收入"",
  TRUE, ""其他""
)"),"其他")</f>
        <v>其他</v>
      </c>
      <c r="K14343" s="270" t="str">
        <f t="shared" si="2"/>
        <v/>
      </c>
      <c r="L14343">
        <f t="shared" si="3"/>
        <v>0</v>
      </c>
    </row>
    <row r="14344">
      <c r="A14344" s="107"/>
      <c r="D14344" s="270"/>
      <c r="H14344" s="106" t="str">
        <f t="shared" si="1"/>
        <v/>
      </c>
      <c r="J14344" t="str">
        <f>IFERROR(__xludf.DUMMYFUNCTION("IFS(
  AND(REGEXMATCH(E14344, ""台銀籌備帳戶|玉山帳戶""), REGEXMATCH(C14344, ""薪資"")), ""分潤支出"",
  AND(REGEXMATCH(E14344, ""Ben帳戶|Elsa帳戶|Ben代墊|Ariel代墊|中信銀行共用""), REGEXMATCH(F14344, ""Ben帳戶|Elsa帳戶|Ben代墊|Ariel代墊|中信銀行共用"")), ""內部轉帳(忽略)"",
  AND(E14344&lt;&gt;"""", F14344&lt;&gt;"&amp;""""", NOT(REGEXMATCH(C14344, ""薪資""))), ""內部轉帳(忽略)"",
  REGEXMATCH(C14344, ""薪資""), ""薪資變動(不計入)"",
  REGEXMATCH(C14344, ""押金""), ""押金往來"",
  AND(E14344&lt;&gt;"""", F14344=""""), ""真實支出"",
  AND(E14344="""", F14344&lt;&gt;""""), ""真實收入"",
  TRUE, ""其他""
)"),"其他")</f>
        <v>其他</v>
      </c>
      <c r="K14344" s="270" t="str">
        <f t="shared" si="2"/>
        <v/>
      </c>
      <c r="L14344">
        <f t="shared" si="3"/>
        <v>0</v>
      </c>
    </row>
    <row r="14345">
      <c r="A14345" s="107"/>
      <c r="D14345" s="270"/>
      <c r="H14345" s="106" t="str">
        <f t="shared" si="1"/>
        <v/>
      </c>
      <c r="J14345" t="str">
        <f>IFERROR(__xludf.DUMMYFUNCTION("IFS(
  AND(REGEXMATCH(E14345, ""台銀籌備帳戶|玉山帳戶""), REGEXMATCH(C14345, ""薪資"")), ""分潤支出"",
  AND(REGEXMATCH(E14345, ""Ben帳戶|Elsa帳戶|Ben代墊|Ariel代墊|中信銀行共用""), REGEXMATCH(F14345, ""Ben帳戶|Elsa帳戶|Ben代墊|Ariel代墊|中信銀行共用"")), ""內部轉帳(忽略)"",
  AND(E14345&lt;&gt;"""", F14345&lt;&gt;"&amp;""""", NOT(REGEXMATCH(C14345, ""薪資""))), ""內部轉帳(忽略)"",
  REGEXMATCH(C14345, ""薪資""), ""薪資變動(不計入)"",
  REGEXMATCH(C14345, ""押金""), ""押金往來"",
  AND(E14345&lt;&gt;"""", F14345=""""), ""真實支出"",
  AND(E14345="""", F14345&lt;&gt;""""), ""真實收入"",
  TRUE, ""其他""
)"),"其他")</f>
        <v>其他</v>
      </c>
      <c r="K14345" s="270" t="str">
        <f t="shared" si="2"/>
        <v/>
      </c>
      <c r="L14345">
        <f t="shared" si="3"/>
        <v>0</v>
      </c>
    </row>
    <row r="14346">
      <c r="A14346" s="107"/>
      <c r="D14346" s="270"/>
      <c r="H14346" s="106" t="str">
        <f t="shared" si="1"/>
        <v/>
      </c>
      <c r="J14346" t="str">
        <f>IFERROR(__xludf.DUMMYFUNCTION("IFS(
  AND(REGEXMATCH(E14346, ""台銀籌備帳戶|玉山帳戶""), REGEXMATCH(C14346, ""薪資"")), ""分潤支出"",
  AND(REGEXMATCH(E14346, ""Ben帳戶|Elsa帳戶|Ben代墊|Ariel代墊|中信銀行共用""), REGEXMATCH(F14346, ""Ben帳戶|Elsa帳戶|Ben代墊|Ariel代墊|中信銀行共用"")), ""內部轉帳(忽略)"",
  AND(E14346&lt;&gt;"""", F14346&lt;&gt;"&amp;""""", NOT(REGEXMATCH(C14346, ""薪資""))), ""內部轉帳(忽略)"",
  REGEXMATCH(C14346, ""薪資""), ""薪資變動(不計入)"",
  REGEXMATCH(C14346, ""押金""), ""押金往來"",
  AND(E14346&lt;&gt;"""", F14346=""""), ""真實支出"",
  AND(E14346="""", F14346&lt;&gt;""""), ""真實收入"",
  TRUE, ""其他""
)"),"其他")</f>
        <v>其他</v>
      </c>
      <c r="K14346" s="270" t="str">
        <f t="shared" si="2"/>
        <v/>
      </c>
      <c r="L14346">
        <f t="shared" si="3"/>
        <v>0</v>
      </c>
    </row>
    <row r="14347">
      <c r="A14347" s="107"/>
      <c r="D14347" s="270"/>
      <c r="H14347" s="106" t="str">
        <f t="shared" si="1"/>
        <v/>
      </c>
      <c r="J14347" t="str">
        <f>IFERROR(__xludf.DUMMYFUNCTION("IFS(
  AND(REGEXMATCH(E14347, ""台銀籌備帳戶|玉山帳戶""), REGEXMATCH(C14347, ""薪資"")), ""分潤支出"",
  AND(REGEXMATCH(E14347, ""Ben帳戶|Elsa帳戶|Ben代墊|Ariel代墊|中信銀行共用""), REGEXMATCH(F14347, ""Ben帳戶|Elsa帳戶|Ben代墊|Ariel代墊|中信銀行共用"")), ""內部轉帳(忽略)"",
  AND(E14347&lt;&gt;"""", F14347&lt;&gt;"&amp;""""", NOT(REGEXMATCH(C14347, ""薪資""))), ""內部轉帳(忽略)"",
  REGEXMATCH(C14347, ""薪資""), ""薪資變動(不計入)"",
  REGEXMATCH(C14347, ""押金""), ""押金往來"",
  AND(E14347&lt;&gt;"""", F14347=""""), ""真實支出"",
  AND(E14347="""", F14347&lt;&gt;""""), ""真實收入"",
  TRUE, ""其他""
)"),"其他")</f>
        <v>其他</v>
      </c>
      <c r="K14347" s="270" t="str">
        <f t="shared" si="2"/>
        <v/>
      </c>
      <c r="L14347">
        <f t="shared" si="3"/>
        <v>0</v>
      </c>
    </row>
    <row r="14348">
      <c r="A14348" s="107"/>
      <c r="D14348" s="270"/>
      <c r="H14348" s="106" t="str">
        <f t="shared" si="1"/>
        <v/>
      </c>
      <c r="J14348" t="str">
        <f>IFERROR(__xludf.DUMMYFUNCTION("IFS(
  AND(REGEXMATCH(E14348, ""台銀籌備帳戶|玉山帳戶""), REGEXMATCH(C14348, ""薪資"")), ""分潤支出"",
  AND(REGEXMATCH(E14348, ""Ben帳戶|Elsa帳戶|Ben代墊|Ariel代墊|中信銀行共用""), REGEXMATCH(F14348, ""Ben帳戶|Elsa帳戶|Ben代墊|Ariel代墊|中信銀行共用"")), ""內部轉帳(忽略)"",
  AND(E14348&lt;&gt;"""", F14348&lt;&gt;"&amp;""""", NOT(REGEXMATCH(C14348, ""薪資""))), ""內部轉帳(忽略)"",
  REGEXMATCH(C14348, ""薪資""), ""薪資變動(不計入)"",
  REGEXMATCH(C14348, ""押金""), ""押金往來"",
  AND(E14348&lt;&gt;"""", F14348=""""), ""真實支出"",
  AND(E14348="""", F14348&lt;&gt;""""), ""真實收入"",
  TRUE, ""其他""
)"),"其他")</f>
        <v>其他</v>
      </c>
      <c r="K14348" s="270" t="str">
        <f t="shared" si="2"/>
        <v/>
      </c>
      <c r="L14348">
        <f t="shared" si="3"/>
        <v>0</v>
      </c>
    </row>
    <row r="14349">
      <c r="A14349" s="107"/>
      <c r="D14349" s="270"/>
      <c r="H14349" s="106" t="str">
        <f t="shared" si="1"/>
        <v/>
      </c>
      <c r="J14349" t="str">
        <f>IFERROR(__xludf.DUMMYFUNCTION("IFS(
  AND(REGEXMATCH(E14349, ""台銀籌備帳戶|玉山帳戶""), REGEXMATCH(C14349, ""薪資"")), ""分潤支出"",
  AND(REGEXMATCH(E14349, ""Ben帳戶|Elsa帳戶|Ben代墊|Ariel代墊|中信銀行共用""), REGEXMATCH(F14349, ""Ben帳戶|Elsa帳戶|Ben代墊|Ariel代墊|中信銀行共用"")), ""內部轉帳(忽略)"",
  AND(E14349&lt;&gt;"""", F14349&lt;&gt;"&amp;""""", NOT(REGEXMATCH(C14349, ""薪資""))), ""內部轉帳(忽略)"",
  REGEXMATCH(C14349, ""薪資""), ""薪資變動(不計入)"",
  REGEXMATCH(C14349, ""押金""), ""押金往來"",
  AND(E14349&lt;&gt;"""", F14349=""""), ""真實支出"",
  AND(E14349="""", F14349&lt;&gt;""""), ""真實收入"",
  TRUE, ""其他""
)"),"其他")</f>
        <v>其他</v>
      </c>
      <c r="K14349" s="270" t="str">
        <f t="shared" si="2"/>
        <v/>
      </c>
      <c r="L14349">
        <f t="shared" si="3"/>
        <v>0</v>
      </c>
    </row>
    <row r="14350">
      <c r="A14350" s="107"/>
      <c r="D14350" s="270"/>
      <c r="H14350" s="106" t="str">
        <f t="shared" si="1"/>
        <v/>
      </c>
      <c r="J14350" t="str">
        <f>IFERROR(__xludf.DUMMYFUNCTION("IFS(
  AND(REGEXMATCH(E14350, ""台銀籌備帳戶|玉山帳戶""), REGEXMATCH(C14350, ""薪資"")), ""分潤支出"",
  AND(REGEXMATCH(E14350, ""Ben帳戶|Elsa帳戶|Ben代墊|Ariel代墊|中信銀行共用""), REGEXMATCH(F14350, ""Ben帳戶|Elsa帳戶|Ben代墊|Ariel代墊|中信銀行共用"")), ""內部轉帳(忽略)"",
  AND(E14350&lt;&gt;"""", F14350&lt;&gt;"&amp;""""", NOT(REGEXMATCH(C14350, ""薪資""))), ""內部轉帳(忽略)"",
  REGEXMATCH(C14350, ""薪資""), ""薪資變動(不計入)"",
  REGEXMATCH(C14350, ""押金""), ""押金往來"",
  AND(E14350&lt;&gt;"""", F14350=""""), ""真實支出"",
  AND(E14350="""", F14350&lt;&gt;""""), ""真實收入"",
  TRUE, ""其他""
)"),"其他")</f>
        <v>其他</v>
      </c>
      <c r="K14350" s="270" t="str">
        <f t="shared" si="2"/>
        <v/>
      </c>
      <c r="L14350">
        <f t="shared" si="3"/>
        <v>0</v>
      </c>
    </row>
    <row r="14351">
      <c r="A14351" s="107"/>
      <c r="D14351" s="270"/>
      <c r="H14351" s="106" t="str">
        <f t="shared" si="1"/>
        <v/>
      </c>
      <c r="J14351" t="str">
        <f>IFERROR(__xludf.DUMMYFUNCTION("IFS(
  AND(REGEXMATCH(E14351, ""台銀籌備帳戶|玉山帳戶""), REGEXMATCH(C14351, ""薪資"")), ""分潤支出"",
  AND(REGEXMATCH(E14351, ""Ben帳戶|Elsa帳戶|Ben代墊|Ariel代墊|中信銀行共用""), REGEXMATCH(F14351, ""Ben帳戶|Elsa帳戶|Ben代墊|Ariel代墊|中信銀行共用"")), ""內部轉帳(忽略)"",
  AND(E14351&lt;&gt;"""", F14351&lt;&gt;"&amp;""""", NOT(REGEXMATCH(C14351, ""薪資""))), ""內部轉帳(忽略)"",
  REGEXMATCH(C14351, ""薪資""), ""薪資變動(不計入)"",
  REGEXMATCH(C14351, ""押金""), ""押金往來"",
  AND(E14351&lt;&gt;"""", F14351=""""), ""真實支出"",
  AND(E14351="""", F14351&lt;&gt;""""), ""真實收入"",
  TRUE, ""其他""
)"),"其他")</f>
        <v>其他</v>
      </c>
      <c r="K14351" s="270" t="str">
        <f t="shared" si="2"/>
        <v/>
      </c>
      <c r="L14351">
        <f t="shared" si="3"/>
        <v>0</v>
      </c>
    </row>
    <row r="14352">
      <c r="A14352" s="107"/>
      <c r="D14352" s="270"/>
      <c r="H14352" s="106" t="str">
        <f t="shared" si="1"/>
        <v/>
      </c>
      <c r="J14352" t="str">
        <f>IFERROR(__xludf.DUMMYFUNCTION("IFS(
  AND(REGEXMATCH(E14352, ""台銀籌備帳戶|玉山帳戶""), REGEXMATCH(C14352, ""薪資"")), ""分潤支出"",
  AND(REGEXMATCH(E14352, ""Ben帳戶|Elsa帳戶|Ben代墊|Ariel代墊|中信銀行共用""), REGEXMATCH(F14352, ""Ben帳戶|Elsa帳戶|Ben代墊|Ariel代墊|中信銀行共用"")), ""內部轉帳(忽略)"",
  AND(E14352&lt;&gt;"""", F14352&lt;&gt;"&amp;""""", NOT(REGEXMATCH(C14352, ""薪資""))), ""內部轉帳(忽略)"",
  REGEXMATCH(C14352, ""薪資""), ""薪資變動(不計入)"",
  REGEXMATCH(C14352, ""押金""), ""押金往來"",
  AND(E14352&lt;&gt;"""", F14352=""""), ""真實支出"",
  AND(E14352="""", F14352&lt;&gt;""""), ""真實收入"",
  TRUE, ""其他""
)"),"其他")</f>
        <v>其他</v>
      </c>
      <c r="K14352" s="270" t="str">
        <f t="shared" si="2"/>
        <v/>
      </c>
      <c r="L14352">
        <f t="shared" si="3"/>
        <v>0</v>
      </c>
    </row>
    <row r="14353">
      <c r="A14353" s="107"/>
      <c r="D14353" s="270"/>
      <c r="H14353" s="106" t="str">
        <f t="shared" si="1"/>
        <v/>
      </c>
      <c r="J14353" t="str">
        <f>IFERROR(__xludf.DUMMYFUNCTION("IFS(
  AND(REGEXMATCH(E14353, ""台銀籌備帳戶|玉山帳戶""), REGEXMATCH(C14353, ""薪資"")), ""分潤支出"",
  AND(REGEXMATCH(E14353, ""Ben帳戶|Elsa帳戶|Ben代墊|Ariel代墊|中信銀行共用""), REGEXMATCH(F14353, ""Ben帳戶|Elsa帳戶|Ben代墊|Ariel代墊|中信銀行共用"")), ""內部轉帳(忽略)"",
  AND(E14353&lt;&gt;"""", F14353&lt;&gt;"&amp;""""", NOT(REGEXMATCH(C14353, ""薪資""))), ""內部轉帳(忽略)"",
  REGEXMATCH(C14353, ""薪資""), ""薪資變動(不計入)"",
  REGEXMATCH(C14353, ""押金""), ""押金往來"",
  AND(E14353&lt;&gt;"""", F14353=""""), ""真實支出"",
  AND(E14353="""", F14353&lt;&gt;""""), ""真實收入"",
  TRUE, ""其他""
)"),"其他")</f>
        <v>其他</v>
      </c>
      <c r="K14353" s="270" t="str">
        <f t="shared" si="2"/>
        <v/>
      </c>
      <c r="L14353">
        <f t="shared" si="3"/>
        <v>0</v>
      </c>
    </row>
    <row r="14354">
      <c r="A14354" s="107"/>
      <c r="D14354" s="270"/>
      <c r="H14354" s="106" t="str">
        <f t="shared" si="1"/>
        <v/>
      </c>
      <c r="J14354" t="str">
        <f>IFERROR(__xludf.DUMMYFUNCTION("IFS(
  AND(REGEXMATCH(E14354, ""台銀籌備帳戶|玉山帳戶""), REGEXMATCH(C14354, ""薪資"")), ""分潤支出"",
  AND(REGEXMATCH(E14354, ""Ben帳戶|Elsa帳戶|Ben代墊|Ariel代墊|中信銀行共用""), REGEXMATCH(F14354, ""Ben帳戶|Elsa帳戶|Ben代墊|Ariel代墊|中信銀行共用"")), ""內部轉帳(忽略)"",
  AND(E14354&lt;&gt;"""", F14354&lt;&gt;"&amp;""""", NOT(REGEXMATCH(C14354, ""薪資""))), ""內部轉帳(忽略)"",
  REGEXMATCH(C14354, ""薪資""), ""薪資變動(不計入)"",
  REGEXMATCH(C14354, ""押金""), ""押金往來"",
  AND(E14354&lt;&gt;"""", F14354=""""), ""真實支出"",
  AND(E14354="""", F14354&lt;&gt;""""), ""真實收入"",
  TRUE, ""其他""
)"),"其他")</f>
        <v>其他</v>
      </c>
      <c r="K14354" s="270" t="str">
        <f t="shared" si="2"/>
        <v/>
      </c>
      <c r="L14354">
        <f t="shared" si="3"/>
        <v>0</v>
      </c>
    </row>
    <row r="14355">
      <c r="A14355" s="107"/>
      <c r="D14355" s="270"/>
      <c r="H14355" s="106" t="str">
        <f t="shared" si="1"/>
        <v/>
      </c>
      <c r="J14355" t="str">
        <f>IFERROR(__xludf.DUMMYFUNCTION("IFS(
  AND(REGEXMATCH(E14355, ""台銀籌備帳戶|玉山帳戶""), REGEXMATCH(C14355, ""薪資"")), ""分潤支出"",
  AND(REGEXMATCH(E14355, ""Ben帳戶|Elsa帳戶|Ben代墊|Ariel代墊|中信銀行共用""), REGEXMATCH(F14355, ""Ben帳戶|Elsa帳戶|Ben代墊|Ariel代墊|中信銀行共用"")), ""內部轉帳(忽略)"",
  AND(E14355&lt;&gt;"""", F14355&lt;&gt;"&amp;""""", NOT(REGEXMATCH(C14355, ""薪資""))), ""內部轉帳(忽略)"",
  REGEXMATCH(C14355, ""薪資""), ""薪資變動(不計入)"",
  REGEXMATCH(C14355, ""押金""), ""押金往來"",
  AND(E14355&lt;&gt;"""", F14355=""""), ""真實支出"",
  AND(E14355="""", F14355&lt;&gt;""""), ""真實收入"",
  TRUE, ""其他""
)"),"其他")</f>
        <v>其他</v>
      </c>
      <c r="K14355" s="270" t="str">
        <f t="shared" si="2"/>
        <v/>
      </c>
      <c r="L14355">
        <f t="shared" si="3"/>
        <v>0</v>
      </c>
    </row>
    <row r="14356">
      <c r="A14356" s="107"/>
      <c r="D14356" s="270"/>
      <c r="H14356" s="106" t="str">
        <f t="shared" si="1"/>
        <v/>
      </c>
      <c r="J14356" t="str">
        <f>IFERROR(__xludf.DUMMYFUNCTION("IFS(
  AND(REGEXMATCH(E14356, ""台銀籌備帳戶|玉山帳戶""), REGEXMATCH(C14356, ""薪資"")), ""分潤支出"",
  AND(REGEXMATCH(E14356, ""Ben帳戶|Elsa帳戶|Ben代墊|Ariel代墊|中信銀行共用""), REGEXMATCH(F14356, ""Ben帳戶|Elsa帳戶|Ben代墊|Ariel代墊|中信銀行共用"")), ""內部轉帳(忽略)"",
  AND(E14356&lt;&gt;"""", F14356&lt;&gt;"&amp;""""", NOT(REGEXMATCH(C14356, ""薪資""))), ""內部轉帳(忽略)"",
  REGEXMATCH(C14356, ""薪資""), ""薪資變動(不計入)"",
  REGEXMATCH(C14356, ""押金""), ""押金往來"",
  AND(E14356&lt;&gt;"""", F14356=""""), ""真實支出"",
  AND(E14356="""", F14356&lt;&gt;""""), ""真實收入"",
  TRUE, ""其他""
)"),"其他")</f>
        <v>其他</v>
      </c>
      <c r="K14356" s="270" t="str">
        <f t="shared" si="2"/>
        <v/>
      </c>
      <c r="L14356">
        <f t="shared" si="3"/>
        <v>0</v>
      </c>
    </row>
    <row r="14357">
      <c r="A14357" s="107"/>
      <c r="D14357" s="270"/>
      <c r="H14357" s="106" t="str">
        <f t="shared" si="1"/>
        <v/>
      </c>
      <c r="J14357" t="str">
        <f>IFERROR(__xludf.DUMMYFUNCTION("IFS(
  AND(REGEXMATCH(E14357, ""台銀籌備帳戶|玉山帳戶""), REGEXMATCH(C14357, ""薪資"")), ""分潤支出"",
  AND(REGEXMATCH(E14357, ""Ben帳戶|Elsa帳戶|Ben代墊|Ariel代墊|中信銀行共用""), REGEXMATCH(F14357, ""Ben帳戶|Elsa帳戶|Ben代墊|Ariel代墊|中信銀行共用"")), ""內部轉帳(忽略)"",
  AND(E14357&lt;&gt;"""", F14357&lt;&gt;"&amp;""""", NOT(REGEXMATCH(C14357, ""薪資""))), ""內部轉帳(忽略)"",
  REGEXMATCH(C14357, ""薪資""), ""薪資變動(不計入)"",
  REGEXMATCH(C14357, ""押金""), ""押金往來"",
  AND(E14357&lt;&gt;"""", F14357=""""), ""真實支出"",
  AND(E14357="""", F14357&lt;&gt;""""), ""真實收入"",
  TRUE, ""其他""
)"),"其他")</f>
        <v>其他</v>
      </c>
      <c r="K14357" s="270" t="str">
        <f t="shared" si="2"/>
        <v/>
      </c>
      <c r="L14357">
        <f t="shared" si="3"/>
        <v>0</v>
      </c>
    </row>
    <row r="14358">
      <c r="A14358" s="107"/>
      <c r="D14358" s="270"/>
      <c r="H14358" s="106" t="str">
        <f t="shared" si="1"/>
        <v/>
      </c>
      <c r="J14358" t="str">
        <f>IFERROR(__xludf.DUMMYFUNCTION("IFS(
  AND(REGEXMATCH(E14358, ""台銀籌備帳戶|玉山帳戶""), REGEXMATCH(C14358, ""薪資"")), ""分潤支出"",
  AND(REGEXMATCH(E14358, ""Ben帳戶|Elsa帳戶|Ben代墊|Ariel代墊|中信銀行共用""), REGEXMATCH(F14358, ""Ben帳戶|Elsa帳戶|Ben代墊|Ariel代墊|中信銀行共用"")), ""內部轉帳(忽略)"",
  AND(E14358&lt;&gt;"""", F14358&lt;&gt;"&amp;""""", NOT(REGEXMATCH(C14358, ""薪資""))), ""內部轉帳(忽略)"",
  REGEXMATCH(C14358, ""薪資""), ""薪資變動(不計入)"",
  REGEXMATCH(C14358, ""押金""), ""押金往來"",
  AND(E14358&lt;&gt;"""", F14358=""""), ""真實支出"",
  AND(E14358="""", F14358&lt;&gt;""""), ""真實收入"",
  TRUE, ""其他""
)"),"其他")</f>
        <v>其他</v>
      </c>
      <c r="K14358" s="270" t="str">
        <f t="shared" si="2"/>
        <v/>
      </c>
      <c r="L14358">
        <f t="shared" si="3"/>
        <v>0</v>
      </c>
    </row>
    <row r="14359">
      <c r="A14359" s="107"/>
      <c r="D14359" s="270"/>
      <c r="H14359" s="106" t="str">
        <f t="shared" si="1"/>
        <v/>
      </c>
      <c r="J14359" t="str">
        <f>IFERROR(__xludf.DUMMYFUNCTION("IFS(
  AND(REGEXMATCH(E14359, ""台銀籌備帳戶|玉山帳戶""), REGEXMATCH(C14359, ""薪資"")), ""分潤支出"",
  AND(REGEXMATCH(E14359, ""Ben帳戶|Elsa帳戶|Ben代墊|Ariel代墊|中信銀行共用""), REGEXMATCH(F14359, ""Ben帳戶|Elsa帳戶|Ben代墊|Ariel代墊|中信銀行共用"")), ""內部轉帳(忽略)"",
  AND(E14359&lt;&gt;"""", F14359&lt;&gt;"&amp;""""", NOT(REGEXMATCH(C14359, ""薪資""))), ""內部轉帳(忽略)"",
  REGEXMATCH(C14359, ""薪資""), ""薪資變動(不計入)"",
  REGEXMATCH(C14359, ""押金""), ""押金往來"",
  AND(E14359&lt;&gt;"""", F14359=""""), ""真實支出"",
  AND(E14359="""", F14359&lt;&gt;""""), ""真實收入"",
  TRUE, ""其他""
)"),"其他")</f>
        <v>其他</v>
      </c>
      <c r="K14359" s="270" t="str">
        <f t="shared" si="2"/>
        <v/>
      </c>
      <c r="L14359">
        <f t="shared" si="3"/>
        <v>0</v>
      </c>
    </row>
    <row r="14360">
      <c r="A14360" s="107"/>
      <c r="D14360" s="270"/>
      <c r="H14360" s="106" t="str">
        <f t="shared" si="1"/>
        <v/>
      </c>
      <c r="J14360" t="str">
        <f>IFERROR(__xludf.DUMMYFUNCTION("IFS(
  AND(REGEXMATCH(E14360, ""台銀籌備帳戶|玉山帳戶""), REGEXMATCH(C14360, ""薪資"")), ""分潤支出"",
  AND(REGEXMATCH(E14360, ""Ben帳戶|Elsa帳戶|Ben代墊|Ariel代墊|中信銀行共用""), REGEXMATCH(F14360, ""Ben帳戶|Elsa帳戶|Ben代墊|Ariel代墊|中信銀行共用"")), ""內部轉帳(忽略)"",
  AND(E14360&lt;&gt;"""", F14360&lt;&gt;"&amp;""""", NOT(REGEXMATCH(C14360, ""薪資""))), ""內部轉帳(忽略)"",
  REGEXMATCH(C14360, ""薪資""), ""薪資變動(不計入)"",
  REGEXMATCH(C14360, ""押金""), ""押金往來"",
  AND(E14360&lt;&gt;"""", F14360=""""), ""真實支出"",
  AND(E14360="""", F14360&lt;&gt;""""), ""真實收入"",
  TRUE, ""其他""
)"),"其他")</f>
        <v>其他</v>
      </c>
      <c r="K14360" s="270" t="str">
        <f t="shared" si="2"/>
        <v/>
      </c>
      <c r="L14360">
        <f t="shared" si="3"/>
        <v>0</v>
      </c>
    </row>
    <row r="14361">
      <c r="A14361" s="107"/>
      <c r="D14361" s="270"/>
      <c r="H14361" s="106" t="str">
        <f t="shared" si="1"/>
        <v/>
      </c>
      <c r="J14361" t="str">
        <f>IFERROR(__xludf.DUMMYFUNCTION("IFS(
  AND(REGEXMATCH(E14361, ""台銀籌備帳戶|玉山帳戶""), REGEXMATCH(C14361, ""薪資"")), ""分潤支出"",
  AND(REGEXMATCH(E14361, ""Ben帳戶|Elsa帳戶|Ben代墊|Ariel代墊|中信銀行共用""), REGEXMATCH(F14361, ""Ben帳戶|Elsa帳戶|Ben代墊|Ariel代墊|中信銀行共用"")), ""內部轉帳(忽略)"",
  AND(E14361&lt;&gt;"""", F14361&lt;&gt;"&amp;""""", NOT(REGEXMATCH(C14361, ""薪資""))), ""內部轉帳(忽略)"",
  REGEXMATCH(C14361, ""薪資""), ""薪資變動(不計入)"",
  REGEXMATCH(C14361, ""押金""), ""押金往來"",
  AND(E14361&lt;&gt;"""", F14361=""""), ""真實支出"",
  AND(E14361="""", F14361&lt;&gt;""""), ""真實收入"",
  TRUE, ""其他""
)"),"其他")</f>
        <v>其他</v>
      </c>
      <c r="K14361" s="270" t="str">
        <f t="shared" si="2"/>
        <v/>
      </c>
      <c r="L14361">
        <f t="shared" si="3"/>
        <v>0</v>
      </c>
    </row>
    <row r="14362">
      <c r="A14362" s="107"/>
      <c r="D14362" s="270"/>
      <c r="H14362" s="106" t="str">
        <f t="shared" si="1"/>
        <v/>
      </c>
      <c r="J14362" t="str">
        <f>IFERROR(__xludf.DUMMYFUNCTION("IFS(
  AND(REGEXMATCH(E14362, ""台銀籌備帳戶|玉山帳戶""), REGEXMATCH(C14362, ""薪資"")), ""分潤支出"",
  AND(REGEXMATCH(E14362, ""Ben帳戶|Elsa帳戶|Ben代墊|Ariel代墊|中信銀行共用""), REGEXMATCH(F14362, ""Ben帳戶|Elsa帳戶|Ben代墊|Ariel代墊|中信銀行共用"")), ""內部轉帳(忽略)"",
  AND(E14362&lt;&gt;"""", F14362&lt;&gt;"&amp;""""", NOT(REGEXMATCH(C14362, ""薪資""))), ""內部轉帳(忽略)"",
  REGEXMATCH(C14362, ""薪資""), ""薪資變動(不計入)"",
  REGEXMATCH(C14362, ""押金""), ""押金往來"",
  AND(E14362&lt;&gt;"""", F14362=""""), ""真實支出"",
  AND(E14362="""", F14362&lt;&gt;""""), ""真實收入"",
  TRUE, ""其他""
)"),"其他")</f>
        <v>其他</v>
      </c>
      <c r="K14362" s="270" t="str">
        <f t="shared" si="2"/>
        <v/>
      </c>
      <c r="L14362">
        <f t="shared" si="3"/>
        <v>0</v>
      </c>
    </row>
    <row r="14363">
      <c r="A14363" s="107"/>
      <c r="D14363" s="270"/>
      <c r="H14363" s="106" t="str">
        <f t="shared" si="1"/>
        <v/>
      </c>
      <c r="J14363" t="str">
        <f>IFERROR(__xludf.DUMMYFUNCTION("IFS(
  AND(REGEXMATCH(E14363, ""台銀籌備帳戶|玉山帳戶""), REGEXMATCH(C14363, ""薪資"")), ""分潤支出"",
  AND(REGEXMATCH(E14363, ""Ben帳戶|Elsa帳戶|Ben代墊|Ariel代墊|中信銀行共用""), REGEXMATCH(F14363, ""Ben帳戶|Elsa帳戶|Ben代墊|Ariel代墊|中信銀行共用"")), ""內部轉帳(忽略)"",
  AND(E14363&lt;&gt;"""", F14363&lt;&gt;"&amp;""""", NOT(REGEXMATCH(C14363, ""薪資""))), ""內部轉帳(忽略)"",
  REGEXMATCH(C14363, ""薪資""), ""薪資變動(不計入)"",
  REGEXMATCH(C14363, ""押金""), ""押金往來"",
  AND(E14363&lt;&gt;"""", F14363=""""), ""真實支出"",
  AND(E14363="""", F14363&lt;&gt;""""), ""真實收入"",
  TRUE, ""其他""
)"),"其他")</f>
        <v>其他</v>
      </c>
      <c r="K14363" s="270" t="str">
        <f t="shared" si="2"/>
        <v/>
      </c>
      <c r="L14363">
        <f t="shared" si="3"/>
        <v>0</v>
      </c>
    </row>
    <row r="14364">
      <c r="A14364" s="107"/>
      <c r="D14364" s="270"/>
      <c r="H14364" s="106" t="str">
        <f t="shared" si="1"/>
        <v/>
      </c>
      <c r="J14364" t="str">
        <f>IFERROR(__xludf.DUMMYFUNCTION("IFS(
  AND(REGEXMATCH(E14364, ""台銀籌備帳戶|玉山帳戶""), REGEXMATCH(C14364, ""薪資"")), ""分潤支出"",
  AND(REGEXMATCH(E14364, ""Ben帳戶|Elsa帳戶|Ben代墊|Ariel代墊|中信銀行共用""), REGEXMATCH(F14364, ""Ben帳戶|Elsa帳戶|Ben代墊|Ariel代墊|中信銀行共用"")), ""內部轉帳(忽略)"",
  AND(E14364&lt;&gt;"""", F14364&lt;&gt;"&amp;""""", NOT(REGEXMATCH(C14364, ""薪資""))), ""內部轉帳(忽略)"",
  REGEXMATCH(C14364, ""薪資""), ""薪資變動(不計入)"",
  REGEXMATCH(C14364, ""押金""), ""押金往來"",
  AND(E14364&lt;&gt;"""", F14364=""""), ""真實支出"",
  AND(E14364="""", F14364&lt;&gt;""""), ""真實收入"",
  TRUE, ""其他""
)"),"其他")</f>
        <v>其他</v>
      </c>
      <c r="K14364" s="270" t="str">
        <f t="shared" si="2"/>
        <v/>
      </c>
      <c r="L14364">
        <f t="shared" si="3"/>
        <v>0</v>
      </c>
    </row>
    <row r="14365">
      <c r="A14365" s="107"/>
      <c r="D14365" s="270"/>
      <c r="H14365" s="106" t="str">
        <f t="shared" si="1"/>
        <v/>
      </c>
      <c r="J14365" t="str">
        <f>IFERROR(__xludf.DUMMYFUNCTION("IFS(
  AND(REGEXMATCH(E14365, ""台銀籌備帳戶|玉山帳戶""), REGEXMATCH(C14365, ""薪資"")), ""分潤支出"",
  AND(REGEXMATCH(E14365, ""Ben帳戶|Elsa帳戶|Ben代墊|Ariel代墊|中信銀行共用""), REGEXMATCH(F14365, ""Ben帳戶|Elsa帳戶|Ben代墊|Ariel代墊|中信銀行共用"")), ""內部轉帳(忽略)"",
  AND(E14365&lt;&gt;"""", F14365&lt;&gt;"&amp;""""", NOT(REGEXMATCH(C14365, ""薪資""))), ""內部轉帳(忽略)"",
  REGEXMATCH(C14365, ""薪資""), ""薪資變動(不計入)"",
  REGEXMATCH(C14365, ""押金""), ""押金往來"",
  AND(E14365&lt;&gt;"""", F14365=""""), ""真實支出"",
  AND(E14365="""", F14365&lt;&gt;""""), ""真實收入"",
  TRUE, ""其他""
)"),"其他")</f>
        <v>其他</v>
      </c>
      <c r="K14365" s="270" t="str">
        <f t="shared" si="2"/>
        <v/>
      </c>
      <c r="L14365">
        <f t="shared" si="3"/>
        <v>0</v>
      </c>
    </row>
    <row r="14366">
      <c r="A14366" s="107"/>
      <c r="D14366" s="270"/>
      <c r="H14366" s="106" t="str">
        <f t="shared" si="1"/>
        <v/>
      </c>
      <c r="J14366" t="str">
        <f>IFERROR(__xludf.DUMMYFUNCTION("IFS(
  AND(REGEXMATCH(E14366, ""台銀籌備帳戶|玉山帳戶""), REGEXMATCH(C14366, ""薪資"")), ""分潤支出"",
  AND(REGEXMATCH(E14366, ""Ben帳戶|Elsa帳戶|Ben代墊|Ariel代墊|中信銀行共用""), REGEXMATCH(F14366, ""Ben帳戶|Elsa帳戶|Ben代墊|Ariel代墊|中信銀行共用"")), ""內部轉帳(忽略)"",
  AND(E14366&lt;&gt;"""", F14366&lt;&gt;"&amp;""""", NOT(REGEXMATCH(C14366, ""薪資""))), ""內部轉帳(忽略)"",
  REGEXMATCH(C14366, ""薪資""), ""薪資變動(不計入)"",
  REGEXMATCH(C14366, ""押金""), ""押金往來"",
  AND(E14366&lt;&gt;"""", F14366=""""), ""真實支出"",
  AND(E14366="""", F14366&lt;&gt;""""), ""真實收入"",
  TRUE, ""其他""
)"),"其他")</f>
        <v>其他</v>
      </c>
      <c r="K14366" s="270" t="str">
        <f t="shared" si="2"/>
        <v/>
      </c>
      <c r="L14366">
        <f t="shared" si="3"/>
        <v>0</v>
      </c>
    </row>
    <row r="14367">
      <c r="A14367" s="107"/>
      <c r="D14367" s="270"/>
      <c r="H14367" s="106" t="str">
        <f t="shared" si="1"/>
        <v/>
      </c>
      <c r="J14367" t="str">
        <f>IFERROR(__xludf.DUMMYFUNCTION("IFS(
  AND(REGEXMATCH(E14367, ""台銀籌備帳戶|玉山帳戶""), REGEXMATCH(C14367, ""薪資"")), ""分潤支出"",
  AND(REGEXMATCH(E14367, ""Ben帳戶|Elsa帳戶|Ben代墊|Ariel代墊|中信銀行共用""), REGEXMATCH(F14367, ""Ben帳戶|Elsa帳戶|Ben代墊|Ariel代墊|中信銀行共用"")), ""內部轉帳(忽略)"",
  AND(E14367&lt;&gt;"""", F14367&lt;&gt;"&amp;""""", NOT(REGEXMATCH(C14367, ""薪資""))), ""內部轉帳(忽略)"",
  REGEXMATCH(C14367, ""薪資""), ""薪資變動(不計入)"",
  REGEXMATCH(C14367, ""押金""), ""押金往來"",
  AND(E14367&lt;&gt;"""", F14367=""""), ""真實支出"",
  AND(E14367="""", F14367&lt;&gt;""""), ""真實收入"",
  TRUE, ""其他""
)"),"其他")</f>
        <v>其他</v>
      </c>
      <c r="K14367" s="270" t="str">
        <f t="shared" si="2"/>
        <v/>
      </c>
      <c r="L14367">
        <f t="shared" si="3"/>
        <v>0</v>
      </c>
    </row>
    <row r="14368">
      <c r="A14368" s="107"/>
      <c r="D14368" s="270"/>
      <c r="H14368" s="106" t="str">
        <f t="shared" si="1"/>
        <v/>
      </c>
      <c r="J14368" t="str">
        <f>IFERROR(__xludf.DUMMYFUNCTION("IFS(
  AND(REGEXMATCH(E14368, ""台銀籌備帳戶|玉山帳戶""), REGEXMATCH(C14368, ""薪資"")), ""分潤支出"",
  AND(REGEXMATCH(E14368, ""Ben帳戶|Elsa帳戶|Ben代墊|Ariel代墊|中信銀行共用""), REGEXMATCH(F14368, ""Ben帳戶|Elsa帳戶|Ben代墊|Ariel代墊|中信銀行共用"")), ""內部轉帳(忽略)"",
  AND(E14368&lt;&gt;"""", F14368&lt;&gt;"&amp;""""", NOT(REGEXMATCH(C14368, ""薪資""))), ""內部轉帳(忽略)"",
  REGEXMATCH(C14368, ""薪資""), ""薪資變動(不計入)"",
  REGEXMATCH(C14368, ""押金""), ""押金往來"",
  AND(E14368&lt;&gt;"""", F14368=""""), ""真實支出"",
  AND(E14368="""", F14368&lt;&gt;""""), ""真實收入"",
  TRUE, ""其他""
)"),"其他")</f>
        <v>其他</v>
      </c>
      <c r="K14368" s="270" t="str">
        <f t="shared" si="2"/>
        <v/>
      </c>
      <c r="L14368">
        <f t="shared" si="3"/>
        <v>0</v>
      </c>
    </row>
    <row r="14369">
      <c r="A14369" s="107"/>
      <c r="D14369" s="270"/>
      <c r="H14369" s="106" t="str">
        <f t="shared" si="1"/>
        <v/>
      </c>
      <c r="J14369" t="str">
        <f>IFERROR(__xludf.DUMMYFUNCTION("IFS(
  AND(REGEXMATCH(E14369, ""台銀籌備帳戶|玉山帳戶""), REGEXMATCH(C14369, ""薪資"")), ""分潤支出"",
  AND(REGEXMATCH(E14369, ""Ben帳戶|Elsa帳戶|Ben代墊|Ariel代墊|中信銀行共用""), REGEXMATCH(F14369, ""Ben帳戶|Elsa帳戶|Ben代墊|Ariel代墊|中信銀行共用"")), ""內部轉帳(忽略)"",
  AND(E14369&lt;&gt;"""", F14369&lt;&gt;"&amp;""""", NOT(REGEXMATCH(C14369, ""薪資""))), ""內部轉帳(忽略)"",
  REGEXMATCH(C14369, ""薪資""), ""薪資變動(不計入)"",
  REGEXMATCH(C14369, ""押金""), ""押金往來"",
  AND(E14369&lt;&gt;"""", F14369=""""), ""真實支出"",
  AND(E14369="""", F14369&lt;&gt;""""), ""真實收入"",
  TRUE, ""其他""
)"),"其他")</f>
        <v>其他</v>
      </c>
      <c r="K14369" s="270" t="str">
        <f t="shared" si="2"/>
        <v/>
      </c>
      <c r="L14369">
        <f t="shared" si="3"/>
        <v>0</v>
      </c>
    </row>
    <row r="14370">
      <c r="A14370" s="107"/>
      <c r="D14370" s="270"/>
      <c r="H14370" s="106" t="str">
        <f t="shared" si="1"/>
        <v/>
      </c>
      <c r="J14370" t="str">
        <f>IFERROR(__xludf.DUMMYFUNCTION("IFS(
  AND(REGEXMATCH(E14370, ""台銀籌備帳戶|玉山帳戶""), REGEXMATCH(C14370, ""薪資"")), ""分潤支出"",
  AND(REGEXMATCH(E14370, ""Ben帳戶|Elsa帳戶|Ben代墊|Ariel代墊|中信銀行共用""), REGEXMATCH(F14370, ""Ben帳戶|Elsa帳戶|Ben代墊|Ariel代墊|中信銀行共用"")), ""內部轉帳(忽略)"",
  AND(E14370&lt;&gt;"""", F14370&lt;&gt;"&amp;""""", NOT(REGEXMATCH(C14370, ""薪資""))), ""內部轉帳(忽略)"",
  REGEXMATCH(C14370, ""薪資""), ""薪資變動(不計入)"",
  REGEXMATCH(C14370, ""押金""), ""押金往來"",
  AND(E14370&lt;&gt;"""", F14370=""""), ""真實支出"",
  AND(E14370="""", F14370&lt;&gt;""""), ""真實收入"",
  TRUE, ""其他""
)"),"其他")</f>
        <v>其他</v>
      </c>
      <c r="K14370" s="270" t="str">
        <f t="shared" si="2"/>
        <v/>
      </c>
      <c r="L14370">
        <f t="shared" si="3"/>
        <v>0</v>
      </c>
    </row>
    <row r="14371">
      <c r="A14371" s="107"/>
      <c r="D14371" s="270"/>
      <c r="H14371" s="106" t="str">
        <f t="shared" si="1"/>
        <v/>
      </c>
      <c r="J14371" t="str">
        <f>IFERROR(__xludf.DUMMYFUNCTION("IFS(
  AND(REGEXMATCH(E14371, ""台銀籌備帳戶|玉山帳戶""), REGEXMATCH(C14371, ""薪資"")), ""分潤支出"",
  AND(REGEXMATCH(E14371, ""Ben帳戶|Elsa帳戶|Ben代墊|Ariel代墊|中信銀行共用""), REGEXMATCH(F14371, ""Ben帳戶|Elsa帳戶|Ben代墊|Ariel代墊|中信銀行共用"")), ""內部轉帳(忽略)"",
  AND(E14371&lt;&gt;"""", F14371&lt;&gt;"&amp;""""", NOT(REGEXMATCH(C14371, ""薪資""))), ""內部轉帳(忽略)"",
  REGEXMATCH(C14371, ""薪資""), ""薪資變動(不計入)"",
  REGEXMATCH(C14371, ""押金""), ""押金往來"",
  AND(E14371&lt;&gt;"""", F14371=""""), ""真實支出"",
  AND(E14371="""", F14371&lt;&gt;""""), ""真實收入"",
  TRUE, ""其他""
)"),"其他")</f>
        <v>其他</v>
      </c>
      <c r="K14371" s="270" t="str">
        <f t="shared" si="2"/>
        <v/>
      </c>
      <c r="L14371">
        <f t="shared" si="3"/>
        <v>0</v>
      </c>
    </row>
    <row r="14372">
      <c r="A14372" s="107"/>
      <c r="D14372" s="270"/>
      <c r="H14372" s="106" t="str">
        <f t="shared" si="1"/>
        <v/>
      </c>
      <c r="J14372" t="str">
        <f>IFERROR(__xludf.DUMMYFUNCTION("IFS(
  AND(REGEXMATCH(E14372, ""台銀籌備帳戶|玉山帳戶""), REGEXMATCH(C14372, ""薪資"")), ""分潤支出"",
  AND(REGEXMATCH(E14372, ""Ben帳戶|Elsa帳戶|Ben代墊|Ariel代墊|中信銀行共用""), REGEXMATCH(F14372, ""Ben帳戶|Elsa帳戶|Ben代墊|Ariel代墊|中信銀行共用"")), ""內部轉帳(忽略)"",
  AND(E14372&lt;&gt;"""", F14372&lt;&gt;"&amp;""""", NOT(REGEXMATCH(C14372, ""薪資""))), ""內部轉帳(忽略)"",
  REGEXMATCH(C14372, ""薪資""), ""薪資變動(不計入)"",
  REGEXMATCH(C14372, ""押金""), ""押金往來"",
  AND(E14372&lt;&gt;"""", F14372=""""), ""真實支出"",
  AND(E14372="""", F14372&lt;&gt;""""), ""真實收入"",
  TRUE, ""其他""
)"),"其他")</f>
        <v>其他</v>
      </c>
      <c r="K14372" s="270" t="str">
        <f t="shared" si="2"/>
        <v/>
      </c>
      <c r="L14372">
        <f t="shared" si="3"/>
        <v>0</v>
      </c>
    </row>
    <row r="14373">
      <c r="A14373" s="107"/>
      <c r="D14373" s="270"/>
      <c r="H14373" s="106" t="str">
        <f t="shared" si="1"/>
        <v/>
      </c>
      <c r="J14373" t="str">
        <f>IFERROR(__xludf.DUMMYFUNCTION("IFS(
  AND(REGEXMATCH(E14373, ""台銀籌備帳戶|玉山帳戶""), REGEXMATCH(C14373, ""薪資"")), ""分潤支出"",
  AND(REGEXMATCH(E14373, ""Ben帳戶|Elsa帳戶|Ben代墊|Ariel代墊|中信銀行共用""), REGEXMATCH(F14373, ""Ben帳戶|Elsa帳戶|Ben代墊|Ariel代墊|中信銀行共用"")), ""內部轉帳(忽略)"",
  AND(E14373&lt;&gt;"""", F14373&lt;&gt;"&amp;""""", NOT(REGEXMATCH(C14373, ""薪資""))), ""內部轉帳(忽略)"",
  REGEXMATCH(C14373, ""薪資""), ""薪資變動(不計入)"",
  REGEXMATCH(C14373, ""押金""), ""押金往來"",
  AND(E14373&lt;&gt;"""", F14373=""""), ""真實支出"",
  AND(E14373="""", F14373&lt;&gt;""""), ""真實收入"",
  TRUE, ""其他""
)"),"其他")</f>
        <v>其他</v>
      </c>
      <c r="K14373" s="270" t="str">
        <f t="shared" si="2"/>
        <v/>
      </c>
      <c r="L14373">
        <f t="shared" si="3"/>
        <v>0</v>
      </c>
    </row>
    <row r="14374">
      <c r="A14374" s="107"/>
      <c r="D14374" s="270"/>
      <c r="H14374" s="106" t="str">
        <f t="shared" si="1"/>
        <v/>
      </c>
      <c r="J14374" t="str">
        <f>IFERROR(__xludf.DUMMYFUNCTION("IFS(
  AND(REGEXMATCH(E14374, ""台銀籌備帳戶|玉山帳戶""), REGEXMATCH(C14374, ""薪資"")), ""分潤支出"",
  AND(REGEXMATCH(E14374, ""Ben帳戶|Elsa帳戶|Ben代墊|Ariel代墊|中信銀行共用""), REGEXMATCH(F14374, ""Ben帳戶|Elsa帳戶|Ben代墊|Ariel代墊|中信銀行共用"")), ""內部轉帳(忽略)"",
  AND(E14374&lt;&gt;"""", F14374&lt;&gt;"&amp;""""", NOT(REGEXMATCH(C14374, ""薪資""))), ""內部轉帳(忽略)"",
  REGEXMATCH(C14374, ""薪資""), ""薪資變動(不計入)"",
  REGEXMATCH(C14374, ""押金""), ""押金往來"",
  AND(E14374&lt;&gt;"""", F14374=""""), ""真實支出"",
  AND(E14374="""", F14374&lt;&gt;""""), ""真實收入"",
  TRUE, ""其他""
)"),"其他")</f>
        <v>其他</v>
      </c>
      <c r="K14374" s="270" t="str">
        <f t="shared" si="2"/>
        <v/>
      </c>
      <c r="L14374">
        <f t="shared" si="3"/>
        <v>0</v>
      </c>
    </row>
    <row r="14375">
      <c r="A14375" s="107"/>
      <c r="D14375" s="270"/>
      <c r="H14375" s="106" t="str">
        <f t="shared" si="1"/>
        <v/>
      </c>
      <c r="J14375" t="str">
        <f>IFERROR(__xludf.DUMMYFUNCTION("IFS(
  AND(REGEXMATCH(E14375, ""台銀籌備帳戶|玉山帳戶""), REGEXMATCH(C14375, ""薪資"")), ""分潤支出"",
  AND(REGEXMATCH(E14375, ""Ben帳戶|Elsa帳戶|Ben代墊|Ariel代墊|中信銀行共用""), REGEXMATCH(F14375, ""Ben帳戶|Elsa帳戶|Ben代墊|Ariel代墊|中信銀行共用"")), ""內部轉帳(忽略)"",
  AND(E14375&lt;&gt;"""", F14375&lt;&gt;"&amp;""""", NOT(REGEXMATCH(C14375, ""薪資""))), ""內部轉帳(忽略)"",
  REGEXMATCH(C14375, ""薪資""), ""薪資變動(不計入)"",
  REGEXMATCH(C14375, ""押金""), ""押金往來"",
  AND(E14375&lt;&gt;"""", F14375=""""), ""真實支出"",
  AND(E14375="""", F14375&lt;&gt;""""), ""真實收入"",
  TRUE, ""其他""
)"),"其他")</f>
        <v>其他</v>
      </c>
      <c r="K14375" s="270" t="str">
        <f t="shared" si="2"/>
        <v/>
      </c>
      <c r="L14375">
        <f t="shared" si="3"/>
        <v>0</v>
      </c>
    </row>
    <row r="14376">
      <c r="A14376" s="107"/>
      <c r="D14376" s="270"/>
      <c r="H14376" s="106" t="str">
        <f t="shared" si="1"/>
        <v/>
      </c>
      <c r="J14376" t="str">
        <f>IFERROR(__xludf.DUMMYFUNCTION("IFS(
  AND(REGEXMATCH(E14376, ""台銀籌備帳戶|玉山帳戶""), REGEXMATCH(C14376, ""薪資"")), ""分潤支出"",
  AND(REGEXMATCH(E14376, ""Ben帳戶|Elsa帳戶|Ben代墊|Ariel代墊|中信銀行共用""), REGEXMATCH(F14376, ""Ben帳戶|Elsa帳戶|Ben代墊|Ariel代墊|中信銀行共用"")), ""內部轉帳(忽略)"",
  AND(E14376&lt;&gt;"""", F14376&lt;&gt;"&amp;""""", NOT(REGEXMATCH(C14376, ""薪資""))), ""內部轉帳(忽略)"",
  REGEXMATCH(C14376, ""薪資""), ""薪資變動(不計入)"",
  REGEXMATCH(C14376, ""押金""), ""押金往來"",
  AND(E14376&lt;&gt;"""", F14376=""""), ""真實支出"",
  AND(E14376="""", F14376&lt;&gt;""""), ""真實收入"",
  TRUE, ""其他""
)"),"其他")</f>
        <v>其他</v>
      </c>
      <c r="K14376" s="270" t="str">
        <f t="shared" si="2"/>
        <v/>
      </c>
      <c r="L14376">
        <f t="shared" si="3"/>
        <v>0</v>
      </c>
    </row>
    <row r="14377">
      <c r="A14377" s="107"/>
      <c r="D14377" s="270"/>
      <c r="H14377" s="106" t="str">
        <f t="shared" si="1"/>
        <v/>
      </c>
      <c r="J14377" t="str">
        <f>IFERROR(__xludf.DUMMYFUNCTION("IFS(
  AND(REGEXMATCH(E14377, ""台銀籌備帳戶|玉山帳戶""), REGEXMATCH(C14377, ""薪資"")), ""分潤支出"",
  AND(REGEXMATCH(E14377, ""Ben帳戶|Elsa帳戶|Ben代墊|Ariel代墊|中信銀行共用""), REGEXMATCH(F14377, ""Ben帳戶|Elsa帳戶|Ben代墊|Ariel代墊|中信銀行共用"")), ""內部轉帳(忽略)"",
  AND(E14377&lt;&gt;"""", F14377&lt;&gt;"&amp;""""", NOT(REGEXMATCH(C14377, ""薪資""))), ""內部轉帳(忽略)"",
  REGEXMATCH(C14377, ""薪資""), ""薪資變動(不計入)"",
  REGEXMATCH(C14377, ""押金""), ""押金往來"",
  AND(E14377&lt;&gt;"""", F14377=""""), ""真實支出"",
  AND(E14377="""", F14377&lt;&gt;""""), ""真實收入"",
  TRUE, ""其他""
)"),"其他")</f>
        <v>其他</v>
      </c>
      <c r="K14377" s="270" t="str">
        <f t="shared" si="2"/>
        <v/>
      </c>
      <c r="L14377">
        <f t="shared" si="3"/>
        <v>0</v>
      </c>
    </row>
    <row r="14378">
      <c r="A14378" s="107"/>
      <c r="D14378" s="270"/>
      <c r="H14378" s="106" t="str">
        <f t="shared" si="1"/>
        <v/>
      </c>
      <c r="J14378" t="str">
        <f>IFERROR(__xludf.DUMMYFUNCTION("IFS(
  AND(REGEXMATCH(E14378, ""台銀籌備帳戶|玉山帳戶""), REGEXMATCH(C14378, ""薪資"")), ""分潤支出"",
  AND(REGEXMATCH(E14378, ""Ben帳戶|Elsa帳戶|Ben代墊|Ariel代墊|中信銀行共用""), REGEXMATCH(F14378, ""Ben帳戶|Elsa帳戶|Ben代墊|Ariel代墊|中信銀行共用"")), ""內部轉帳(忽略)"",
  AND(E14378&lt;&gt;"""", F14378&lt;&gt;"&amp;""""", NOT(REGEXMATCH(C14378, ""薪資""))), ""內部轉帳(忽略)"",
  REGEXMATCH(C14378, ""薪資""), ""薪資變動(不計入)"",
  REGEXMATCH(C14378, ""押金""), ""押金往來"",
  AND(E14378&lt;&gt;"""", F14378=""""), ""真實支出"",
  AND(E14378="""", F14378&lt;&gt;""""), ""真實收入"",
  TRUE, ""其他""
)"),"其他")</f>
        <v>其他</v>
      </c>
      <c r="K14378" s="270" t="str">
        <f t="shared" si="2"/>
        <v/>
      </c>
      <c r="L14378">
        <f t="shared" si="3"/>
        <v>0</v>
      </c>
    </row>
    <row r="14379">
      <c r="A14379" s="107"/>
      <c r="D14379" s="270"/>
      <c r="H14379" s="106" t="str">
        <f t="shared" si="1"/>
        <v/>
      </c>
      <c r="J14379" t="str">
        <f>IFERROR(__xludf.DUMMYFUNCTION("IFS(
  AND(REGEXMATCH(E14379, ""台銀籌備帳戶|玉山帳戶""), REGEXMATCH(C14379, ""薪資"")), ""分潤支出"",
  AND(REGEXMATCH(E14379, ""Ben帳戶|Elsa帳戶|Ben代墊|Ariel代墊|中信銀行共用""), REGEXMATCH(F14379, ""Ben帳戶|Elsa帳戶|Ben代墊|Ariel代墊|中信銀行共用"")), ""內部轉帳(忽略)"",
  AND(E14379&lt;&gt;"""", F14379&lt;&gt;"&amp;""""", NOT(REGEXMATCH(C14379, ""薪資""))), ""內部轉帳(忽略)"",
  REGEXMATCH(C14379, ""薪資""), ""薪資變動(不計入)"",
  REGEXMATCH(C14379, ""押金""), ""押金往來"",
  AND(E14379&lt;&gt;"""", F14379=""""), ""真實支出"",
  AND(E14379="""", F14379&lt;&gt;""""), ""真實收入"",
  TRUE, ""其他""
)"),"其他")</f>
        <v>其他</v>
      </c>
      <c r="K14379" s="270" t="str">
        <f t="shared" si="2"/>
        <v/>
      </c>
      <c r="L14379">
        <f t="shared" si="3"/>
        <v>0</v>
      </c>
    </row>
    <row r="14380">
      <c r="A14380" s="107"/>
      <c r="D14380" s="270"/>
      <c r="H14380" s="106" t="str">
        <f t="shared" si="1"/>
        <v/>
      </c>
      <c r="J14380" t="str">
        <f>IFERROR(__xludf.DUMMYFUNCTION("IFS(
  AND(REGEXMATCH(E14380, ""台銀籌備帳戶|玉山帳戶""), REGEXMATCH(C14380, ""薪資"")), ""分潤支出"",
  AND(REGEXMATCH(E14380, ""Ben帳戶|Elsa帳戶|Ben代墊|Ariel代墊|中信銀行共用""), REGEXMATCH(F14380, ""Ben帳戶|Elsa帳戶|Ben代墊|Ariel代墊|中信銀行共用"")), ""內部轉帳(忽略)"",
  AND(E14380&lt;&gt;"""", F14380&lt;&gt;"&amp;""""", NOT(REGEXMATCH(C14380, ""薪資""))), ""內部轉帳(忽略)"",
  REGEXMATCH(C14380, ""薪資""), ""薪資變動(不計入)"",
  REGEXMATCH(C14380, ""押金""), ""押金往來"",
  AND(E14380&lt;&gt;"""", F14380=""""), ""真實支出"",
  AND(E14380="""", F14380&lt;&gt;""""), ""真實收入"",
  TRUE, ""其他""
)"),"其他")</f>
        <v>其他</v>
      </c>
      <c r="K14380" s="270" t="str">
        <f t="shared" si="2"/>
        <v/>
      </c>
      <c r="L14380">
        <f t="shared" si="3"/>
        <v>0</v>
      </c>
    </row>
    <row r="14381">
      <c r="A14381" s="107"/>
      <c r="D14381" s="270"/>
      <c r="H14381" s="106" t="str">
        <f t="shared" si="1"/>
        <v/>
      </c>
      <c r="J14381" t="str">
        <f>IFERROR(__xludf.DUMMYFUNCTION("IFS(
  AND(REGEXMATCH(E14381, ""台銀籌備帳戶|玉山帳戶""), REGEXMATCH(C14381, ""薪資"")), ""分潤支出"",
  AND(REGEXMATCH(E14381, ""Ben帳戶|Elsa帳戶|Ben代墊|Ariel代墊|中信銀行共用""), REGEXMATCH(F14381, ""Ben帳戶|Elsa帳戶|Ben代墊|Ariel代墊|中信銀行共用"")), ""內部轉帳(忽略)"",
  AND(E14381&lt;&gt;"""", F14381&lt;&gt;"&amp;""""", NOT(REGEXMATCH(C14381, ""薪資""))), ""內部轉帳(忽略)"",
  REGEXMATCH(C14381, ""薪資""), ""薪資變動(不計入)"",
  REGEXMATCH(C14381, ""押金""), ""押金往來"",
  AND(E14381&lt;&gt;"""", F14381=""""), ""真實支出"",
  AND(E14381="""", F14381&lt;&gt;""""), ""真實收入"",
  TRUE, ""其他""
)"),"其他")</f>
        <v>其他</v>
      </c>
      <c r="K14381" s="270" t="str">
        <f t="shared" si="2"/>
        <v/>
      </c>
      <c r="L14381">
        <f t="shared" si="3"/>
        <v>0</v>
      </c>
    </row>
    <row r="14382">
      <c r="A14382" s="107"/>
      <c r="D14382" s="270"/>
      <c r="H14382" s="106" t="str">
        <f t="shared" si="1"/>
        <v/>
      </c>
      <c r="J14382" t="str">
        <f>IFERROR(__xludf.DUMMYFUNCTION("IFS(
  AND(REGEXMATCH(E14382, ""台銀籌備帳戶|玉山帳戶""), REGEXMATCH(C14382, ""薪資"")), ""分潤支出"",
  AND(REGEXMATCH(E14382, ""Ben帳戶|Elsa帳戶|Ben代墊|Ariel代墊|中信銀行共用""), REGEXMATCH(F14382, ""Ben帳戶|Elsa帳戶|Ben代墊|Ariel代墊|中信銀行共用"")), ""內部轉帳(忽略)"",
  AND(E14382&lt;&gt;"""", F14382&lt;&gt;"&amp;""""", NOT(REGEXMATCH(C14382, ""薪資""))), ""內部轉帳(忽略)"",
  REGEXMATCH(C14382, ""薪資""), ""薪資變動(不計入)"",
  REGEXMATCH(C14382, ""押金""), ""押金往來"",
  AND(E14382&lt;&gt;"""", F14382=""""), ""真實支出"",
  AND(E14382="""", F14382&lt;&gt;""""), ""真實收入"",
  TRUE, ""其他""
)"),"其他")</f>
        <v>其他</v>
      </c>
      <c r="K14382" s="270" t="str">
        <f t="shared" si="2"/>
        <v/>
      </c>
      <c r="L14382">
        <f t="shared" si="3"/>
        <v>0</v>
      </c>
    </row>
    <row r="14383">
      <c r="A14383" s="107"/>
      <c r="D14383" s="270"/>
      <c r="H14383" s="106" t="str">
        <f t="shared" si="1"/>
        <v/>
      </c>
      <c r="J14383" t="str">
        <f>IFERROR(__xludf.DUMMYFUNCTION("IFS(
  AND(REGEXMATCH(E14383, ""台銀籌備帳戶|玉山帳戶""), REGEXMATCH(C14383, ""薪資"")), ""分潤支出"",
  AND(REGEXMATCH(E14383, ""Ben帳戶|Elsa帳戶|Ben代墊|Ariel代墊|中信銀行共用""), REGEXMATCH(F14383, ""Ben帳戶|Elsa帳戶|Ben代墊|Ariel代墊|中信銀行共用"")), ""內部轉帳(忽略)"",
  AND(E14383&lt;&gt;"""", F14383&lt;&gt;"&amp;""""", NOT(REGEXMATCH(C14383, ""薪資""))), ""內部轉帳(忽略)"",
  REGEXMATCH(C14383, ""薪資""), ""薪資變動(不計入)"",
  REGEXMATCH(C14383, ""押金""), ""押金往來"",
  AND(E14383&lt;&gt;"""", F14383=""""), ""真實支出"",
  AND(E14383="""", F14383&lt;&gt;""""), ""真實收入"",
  TRUE, ""其他""
)"),"其他")</f>
        <v>其他</v>
      </c>
      <c r="K14383" s="270" t="str">
        <f t="shared" si="2"/>
        <v/>
      </c>
      <c r="L14383">
        <f t="shared" si="3"/>
        <v>0</v>
      </c>
    </row>
    <row r="14384">
      <c r="A14384" s="107"/>
      <c r="D14384" s="270"/>
      <c r="H14384" s="106" t="str">
        <f t="shared" si="1"/>
        <v/>
      </c>
      <c r="J14384" t="str">
        <f>IFERROR(__xludf.DUMMYFUNCTION("IFS(
  AND(REGEXMATCH(E14384, ""台銀籌備帳戶|玉山帳戶""), REGEXMATCH(C14384, ""薪資"")), ""分潤支出"",
  AND(REGEXMATCH(E14384, ""Ben帳戶|Elsa帳戶|Ben代墊|Ariel代墊|中信銀行共用""), REGEXMATCH(F14384, ""Ben帳戶|Elsa帳戶|Ben代墊|Ariel代墊|中信銀行共用"")), ""內部轉帳(忽略)"",
  AND(E14384&lt;&gt;"""", F14384&lt;&gt;"&amp;""""", NOT(REGEXMATCH(C14384, ""薪資""))), ""內部轉帳(忽略)"",
  REGEXMATCH(C14384, ""薪資""), ""薪資變動(不計入)"",
  REGEXMATCH(C14384, ""押金""), ""押金往來"",
  AND(E14384&lt;&gt;"""", F14384=""""), ""真實支出"",
  AND(E14384="""", F14384&lt;&gt;""""), ""真實收入"",
  TRUE, ""其他""
)"),"其他")</f>
        <v>其他</v>
      </c>
      <c r="K14384" s="270" t="str">
        <f t="shared" si="2"/>
        <v/>
      </c>
      <c r="L14384">
        <f t="shared" si="3"/>
        <v>0</v>
      </c>
    </row>
    <row r="14385">
      <c r="A14385" s="107"/>
      <c r="D14385" s="270"/>
      <c r="H14385" s="106" t="str">
        <f t="shared" si="1"/>
        <v/>
      </c>
      <c r="J14385" t="str">
        <f>IFERROR(__xludf.DUMMYFUNCTION("IFS(
  AND(REGEXMATCH(E14385, ""台銀籌備帳戶|玉山帳戶""), REGEXMATCH(C14385, ""薪資"")), ""分潤支出"",
  AND(REGEXMATCH(E14385, ""Ben帳戶|Elsa帳戶|Ben代墊|Ariel代墊|中信銀行共用""), REGEXMATCH(F14385, ""Ben帳戶|Elsa帳戶|Ben代墊|Ariel代墊|中信銀行共用"")), ""內部轉帳(忽略)"",
  AND(E14385&lt;&gt;"""", F14385&lt;&gt;"&amp;""""", NOT(REGEXMATCH(C14385, ""薪資""))), ""內部轉帳(忽略)"",
  REGEXMATCH(C14385, ""薪資""), ""薪資變動(不計入)"",
  REGEXMATCH(C14385, ""押金""), ""押金往來"",
  AND(E14385&lt;&gt;"""", F14385=""""), ""真實支出"",
  AND(E14385="""", F14385&lt;&gt;""""), ""真實收入"",
  TRUE, ""其他""
)"),"其他")</f>
        <v>其他</v>
      </c>
      <c r="K14385" s="270" t="str">
        <f t="shared" si="2"/>
        <v/>
      </c>
      <c r="L14385">
        <f t="shared" si="3"/>
        <v>0</v>
      </c>
    </row>
    <row r="14386">
      <c r="A14386" s="107"/>
      <c r="D14386" s="270"/>
      <c r="H14386" s="106" t="str">
        <f t="shared" si="1"/>
        <v/>
      </c>
      <c r="J14386" t="str">
        <f>IFERROR(__xludf.DUMMYFUNCTION("IFS(
  AND(REGEXMATCH(E14386, ""台銀籌備帳戶|玉山帳戶""), REGEXMATCH(C14386, ""薪資"")), ""分潤支出"",
  AND(REGEXMATCH(E14386, ""Ben帳戶|Elsa帳戶|Ben代墊|Ariel代墊|中信銀行共用""), REGEXMATCH(F14386, ""Ben帳戶|Elsa帳戶|Ben代墊|Ariel代墊|中信銀行共用"")), ""內部轉帳(忽略)"",
  AND(E14386&lt;&gt;"""", F14386&lt;&gt;"&amp;""""", NOT(REGEXMATCH(C14386, ""薪資""))), ""內部轉帳(忽略)"",
  REGEXMATCH(C14386, ""薪資""), ""薪資變動(不計入)"",
  REGEXMATCH(C14386, ""押金""), ""押金往來"",
  AND(E14386&lt;&gt;"""", F14386=""""), ""真實支出"",
  AND(E14386="""", F14386&lt;&gt;""""), ""真實收入"",
  TRUE, ""其他""
)"),"其他")</f>
        <v>其他</v>
      </c>
      <c r="K14386" s="270" t="str">
        <f t="shared" si="2"/>
        <v/>
      </c>
      <c r="L14386">
        <f t="shared" si="3"/>
        <v>0</v>
      </c>
    </row>
    <row r="14387">
      <c r="A14387" s="107"/>
      <c r="D14387" s="270"/>
      <c r="H14387" s="106" t="str">
        <f t="shared" si="1"/>
        <v/>
      </c>
      <c r="J14387" t="str">
        <f>IFERROR(__xludf.DUMMYFUNCTION("IFS(
  AND(REGEXMATCH(E14387, ""台銀籌備帳戶|玉山帳戶""), REGEXMATCH(C14387, ""薪資"")), ""分潤支出"",
  AND(REGEXMATCH(E14387, ""Ben帳戶|Elsa帳戶|Ben代墊|Ariel代墊|中信銀行共用""), REGEXMATCH(F14387, ""Ben帳戶|Elsa帳戶|Ben代墊|Ariel代墊|中信銀行共用"")), ""內部轉帳(忽略)"",
  AND(E14387&lt;&gt;"""", F14387&lt;&gt;"&amp;""""", NOT(REGEXMATCH(C14387, ""薪資""))), ""內部轉帳(忽略)"",
  REGEXMATCH(C14387, ""薪資""), ""薪資變動(不計入)"",
  REGEXMATCH(C14387, ""押金""), ""押金往來"",
  AND(E14387&lt;&gt;"""", F14387=""""), ""真實支出"",
  AND(E14387="""", F14387&lt;&gt;""""), ""真實收入"",
  TRUE, ""其他""
)"),"其他")</f>
        <v>其他</v>
      </c>
      <c r="K14387" s="270" t="str">
        <f t="shared" si="2"/>
        <v/>
      </c>
      <c r="L14387">
        <f t="shared" si="3"/>
        <v>0</v>
      </c>
    </row>
    <row r="14388">
      <c r="A14388" s="107"/>
      <c r="D14388" s="270"/>
      <c r="H14388" s="106" t="str">
        <f t="shared" si="1"/>
        <v/>
      </c>
      <c r="J14388" t="str">
        <f>IFERROR(__xludf.DUMMYFUNCTION("IFS(
  AND(REGEXMATCH(E14388, ""台銀籌備帳戶|玉山帳戶""), REGEXMATCH(C14388, ""薪資"")), ""分潤支出"",
  AND(REGEXMATCH(E14388, ""Ben帳戶|Elsa帳戶|Ben代墊|Ariel代墊|中信銀行共用""), REGEXMATCH(F14388, ""Ben帳戶|Elsa帳戶|Ben代墊|Ariel代墊|中信銀行共用"")), ""內部轉帳(忽略)"",
  AND(E14388&lt;&gt;"""", F14388&lt;&gt;"&amp;""""", NOT(REGEXMATCH(C14388, ""薪資""))), ""內部轉帳(忽略)"",
  REGEXMATCH(C14388, ""薪資""), ""薪資變動(不計入)"",
  REGEXMATCH(C14388, ""押金""), ""押金往來"",
  AND(E14388&lt;&gt;"""", F14388=""""), ""真實支出"",
  AND(E14388="""", F14388&lt;&gt;""""), ""真實收入"",
  TRUE, ""其他""
)"),"其他")</f>
        <v>其他</v>
      </c>
      <c r="K14388" s="270" t="str">
        <f t="shared" si="2"/>
        <v/>
      </c>
      <c r="L14388">
        <f t="shared" si="3"/>
        <v>0</v>
      </c>
    </row>
    <row r="14389">
      <c r="A14389" s="107"/>
      <c r="D14389" s="270"/>
      <c r="H14389" s="106" t="str">
        <f t="shared" si="1"/>
        <v/>
      </c>
      <c r="J14389" t="str">
        <f>IFERROR(__xludf.DUMMYFUNCTION("IFS(
  AND(REGEXMATCH(E14389, ""台銀籌備帳戶|玉山帳戶""), REGEXMATCH(C14389, ""薪資"")), ""分潤支出"",
  AND(REGEXMATCH(E14389, ""Ben帳戶|Elsa帳戶|Ben代墊|Ariel代墊|中信銀行共用""), REGEXMATCH(F14389, ""Ben帳戶|Elsa帳戶|Ben代墊|Ariel代墊|中信銀行共用"")), ""內部轉帳(忽略)"",
  AND(E14389&lt;&gt;"""", F14389&lt;&gt;"&amp;""""", NOT(REGEXMATCH(C14389, ""薪資""))), ""內部轉帳(忽略)"",
  REGEXMATCH(C14389, ""薪資""), ""薪資變動(不計入)"",
  REGEXMATCH(C14389, ""押金""), ""押金往來"",
  AND(E14389&lt;&gt;"""", F14389=""""), ""真實支出"",
  AND(E14389="""", F14389&lt;&gt;""""), ""真實收入"",
  TRUE, ""其他""
)"),"其他")</f>
        <v>其他</v>
      </c>
      <c r="K14389" s="270" t="str">
        <f t="shared" si="2"/>
        <v/>
      </c>
      <c r="L14389">
        <f t="shared" si="3"/>
        <v>0</v>
      </c>
    </row>
    <row r="14390">
      <c r="A14390" s="107"/>
      <c r="D14390" s="270"/>
      <c r="H14390" s="106" t="str">
        <f t="shared" si="1"/>
        <v/>
      </c>
      <c r="J14390" t="str">
        <f>IFERROR(__xludf.DUMMYFUNCTION("IFS(
  AND(REGEXMATCH(E14390, ""台銀籌備帳戶|玉山帳戶""), REGEXMATCH(C14390, ""薪資"")), ""分潤支出"",
  AND(REGEXMATCH(E14390, ""Ben帳戶|Elsa帳戶|Ben代墊|Ariel代墊|中信銀行共用""), REGEXMATCH(F14390, ""Ben帳戶|Elsa帳戶|Ben代墊|Ariel代墊|中信銀行共用"")), ""內部轉帳(忽略)"",
  AND(E14390&lt;&gt;"""", F14390&lt;&gt;"&amp;""""", NOT(REGEXMATCH(C14390, ""薪資""))), ""內部轉帳(忽略)"",
  REGEXMATCH(C14390, ""薪資""), ""薪資變動(不計入)"",
  REGEXMATCH(C14390, ""押金""), ""押金往來"",
  AND(E14390&lt;&gt;"""", F14390=""""), ""真實支出"",
  AND(E14390="""", F14390&lt;&gt;""""), ""真實收入"",
  TRUE, ""其他""
)"),"其他")</f>
        <v>其他</v>
      </c>
      <c r="K14390" s="270" t="str">
        <f t="shared" si="2"/>
        <v/>
      </c>
      <c r="L14390">
        <f t="shared" si="3"/>
        <v>0</v>
      </c>
    </row>
    <row r="14391">
      <c r="A14391" s="107"/>
      <c r="D14391" s="270"/>
      <c r="H14391" s="106" t="str">
        <f t="shared" si="1"/>
        <v/>
      </c>
      <c r="J14391" t="str">
        <f>IFERROR(__xludf.DUMMYFUNCTION("IFS(
  AND(REGEXMATCH(E14391, ""台銀籌備帳戶|玉山帳戶""), REGEXMATCH(C14391, ""薪資"")), ""分潤支出"",
  AND(REGEXMATCH(E14391, ""Ben帳戶|Elsa帳戶|Ben代墊|Ariel代墊|中信銀行共用""), REGEXMATCH(F14391, ""Ben帳戶|Elsa帳戶|Ben代墊|Ariel代墊|中信銀行共用"")), ""內部轉帳(忽略)"",
  AND(E14391&lt;&gt;"""", F14391&lt;&gt;"&amp;""""", NOT(REGEXMATCH(C14391, ""薪資""))), ""內部轉帳(忽略)"",
  REGEXMATCH(C14391, ""薪資""), ""薪資變動(不計入)"",
  REGEXMATCH(C14391, ""押金""), ""押金往來"",
  AND(E14391&lt;&gt;"""", F14391=""""), ""真實支出"",
  AND(E14391="""", F14391&lt;&gt;""""), ""真實收入"",
  TRUE, ""其他""
)"),"其他")</f>
        <v>其他</v>
      </c>
      <c r="K14391" s="270" t="str">
        <f t="shared" si="2"/>
        <v/>
      </c>
      <c r="L14391">
        <f t="shared" si="3"/>
        <v>0</v>
      </c>
    </row>
    <row r="14392">
      <c r="A14392" s="107"/>
      <c r="D14392" s="270"/>
      <c r="H14392" s="106" t="str">
        <f t="shared" si="1"/>
        <v/>
      </c>
      <c r="J14392" t="str">
        <f>IFERROR(__xludf.DUMMYFUNCTION("IFS(
  AND(REGEXMATCH(E14392, ""台銀籌備帳戶|玉山帳戶""), REGEXMATCH(C14392, ""薪資"")), ""分潤支出"",
  AND(REGEXMATCH(E14392, ""Ben帳戶|Elsa帳戶|Ben代墊|Ariel代墊|中信銀行共用""), REGEXMATCH(F14392, ""Ben帳戶|Elsa帳戶|Ben代墊|Ariel代墊|中信銀行共用"")), ""內部轉帳(忽略)"",
  AND(E14392&lt;&gt;"""", F14392&lt;&gt;"&amp;""""", NOT(REGEXMATCH(C14392, ""薪資""))), ""內部轉帳(忽略)"",
  REGEXMATCH(C14392, ""薪資""), ""薪資變動(不計入)"",
  REGEXMATCH(C14392, ""押金""), ""押金往來"",
  AND(E14392&lt;&gt;"""", F14392=""""), ""真實支出"",
  AND(E14392="""", F14392&lt;&gt;""""), ""真實收入"",
  TRUE, ""其他""
)"),"其他")</f>
        <v>其他</v>
      </c>
      <c r="K14392" s="270" t="str">
        <f t="shared" si="2"/>
        <v/>
      </c>
      <c r="L14392">
        <f t="shared" si="3"/>
        <v>0</v>
      </c>
    </row>
    <row r="14393">
      <c r="A14393" s="107"/>
      <c r="D14393" s="270"/>
      <c r="H14393" s="106" t="str">
        <f t="shared" si="1"/>
        <v/>
      </c>
      <c r="J14393" t="str">
        <f>IFERROR(__xludf.DUMMYFUNCTION("IFS(
  AND(REGEXMATCH(E14393, ""台銀籌備帳戶|玉山帳戶""), REGEXMATCH(C14393, ""薪資"")), ""分潤支出"",
  AND(REGEXMATCH(E14393, ""Ben帳戶|Elsa帳戶|Ben代墊|Ariel代墊|中信銀行共用""), REGEXMATCH(F14393, ""Ben帳戶|Elsa帳戶|Ben代墊|Ariel代墊|中信銀行共用"")), ""內部轉帳(忽略)"",
  AND(E14393&lt;&gt;"""", F14393&lt;&gt;"&amp;""""", NOT(REGEXMATCH(C14393, ""薪資""))), ""內部轉帳(忽略)"",
  REGEXMATCH(C14393, ""薪資""), ""薪資變動(不計入)"",
  REGEXMATCH(C14393, ""押金""), ""押金往來"",
  AND(E14393&lt;&gt;"""", F14393=""""), ""真實支出"",
  AND(E14393="""", F14393&lt;&gt;""""), ""真實收入"",
  TRUE, ""其他""
)"),"其他")</f>
        <v>其他</v>
      </c>
      <c r="K14393" s="270" t="str">
        <f t="shared" si="2"/>
        <v/>
      </c>
      <c r="L14393">
        <f t="shared" si="3"/>
        <v>0</v>
      </c>
    </row>
    <row r="14394">
      <c r="A14394" s="107"/>
      <c r="D14394" s="270"/>
      <c r="H14394" s="106" t="str">
        <f t="shared" si="1"/>
        <v/>
      </c>
      <c r="J14394" t="str">
        <f>IFERROR(__xludf.DUMMYFUNCTION("IFS(
  AND(REGEXMATCH(E14394, ""台銀籌備帳戶|玉山帳戶""), REGEXMATCH(C14394, ""薪資"")), ""分潤支出"",
  AND(REGEXMATCH(E14394, ""Ben帳戶|Elsa帳戶|Ben代墊|Ariel代墊|中信銀行共用""), REGEXMATCH(F14394, ""Ben帳戶|Elsa帳戶|Ben代墊|Ariel代墊|中信銀行共用"")), ""內部轉帳(忽略)"",
  AND(E14394&lt;&gt;"""", F14394&lt;&gt;"&amp;""""", NOT(REGEXMATCH(C14394, ""薪資""))), ""內部轉帳(忽略)"",
  REGEXMATCH(C14394, ""薪資""), ""薪資變動(不計入)"",
  REGEXMATCH(C14394, ""押金""), ""押金往來"",
  AND(E14394&lt;&gt;"""", F14394=""""), ""真實支出"",
  AND(E14394="""", F14394&lt;&gt;""""), ""真實收入"",
  TRUE, ""其他""
)"),"其他")</f>
        <v>其他</v>
      </c>
      <c r="K14394" s="270" t="str">
        <f t="shared" si="2"/>
        <v/>
      </c>
      <c r="L14394">
        <f t="shared" si="3"/>
        <v>0</v>
      </c>
    </row>
    <row r="14395">
      <c r="A14395" s="107"/>
      <c r="D14395" s="270"/>
      <c r="H14395" s="106" t="str">
        <f t="shared" si="1"/>
        <v/>
      </c>
      <c r="J14395" t="str">
        <f>IFERROR(__xludf.DUMMYFUNCTION("IFS(
  AND(REGEXMATCH(E14395, ""台銀籌備帳戶|玉山帳戶""), REGEXMATCH(C14395, ""薪資"")), ""分潤支出"",
  AND(REGEXMATCH(E14395, ""Ben帳戶|Elsa帳戶|Ben代墊|Ariel代墊|中信銀行共用""), REGEXMATCH(F14395, ""Ben帳戶|Elsa帳戶|Ben代墊|Ariel代墊|中信銀行共用"")), ""內部轉帳(忽略)"",
  AND(E14395&lt;&gt;"""", F14395&lt;&gt;"&amp;""""", NOT(REGEXMATCH(C14395, ""薪資""))), ""內部轉帳(忽略)"",
  REGEXMATCH(C14395, ""薪資""), ""薪資變動(不計入)"",
  REGEXMATCH(C14395, ""押金""), ""押金往來"",
  AND(E14395&lt;&gt;"""", F14395=""""), ""真實支出"",
  AND(E14395="""", F14395&lt;&gt;""""), ""真實收入"",
  TRUE, ""其他""
)"),"其他")</f>
        <v>其他</v>
      </c>
      <c r="K14395" s="270" t="str">
        <f t="shared" si="2"/>
        <v/>
      </c>
      <c r="L14395">
        <f t="shared" si="3"/>
        <v>0</v>
      </c>
    </row>
    <row r="14396">
      <c r="A14396" s="107"/>
      <c r="D14396" s="270"/>
      <c r="H14396" s="106" t="str">
        <f t="shared" si="1"/>
        <v/>
      </c>
      <c r="J14396" t="str">
        <f>IFERROR(__xludf.DUMMYFUNCTION("IFS(
  AND(REGEXMATCH(E14396, ""台銀籌備帳戶|玉山帳戶""), REGEXMATCH(C14396, ""薪資"")), ""分潤支出"",
  AND(REGEXMATCH(E14396, ""Ben帳戶|Elsa帳戶|Ben代墊|Ariel代墊|中信銀行共用""), REGEXMATCH(F14396, ""Ben帳戶|Elsa帳戶|Ben代墊|Ariel代墊|中信銀行共用"")), ""內部轉帳(忽略)"",
  AND(E14396&lt;&gt;"""", F14396&lt;&gt;"&amp;""""", NOT(REGEXMATCH(C14396, ""薪資""))), ""內部轉帳(忽略)"",
  REGEXMATCH(C14396, ""薪資""), ""薪資變動(不計入)"",
  REGEXMATCH(C14396, ""押金""), ""押金往來"",
  AND(E14396&lt;&gt;"""", F14396=""""), ""真實支出"",
  AND(E14396="""", F14396&lt;&gt;""""), ""真實收入"",
  TRUE, ""其他""
)"),"其他")</f>
        <v>其他</v>
      </c>
      <c r="K14396" s="270" t="str">
        <f t="shared" si="2"/>
        <v/>
      </c>
      <c r="L14396">
        <f t="shared" si="3"/>
        <v>0</v>
      </c>
    </row>
    <row r="14397">
      <c r="A14397" s="107"/>
      <c r="D14397" s="270"/>
      <c r="H14397" s="106" t="str">
        <f t="shared" si="1"/>
        <v/>
      </c>
      <c r="J14397" t="str">
        <f>IFERROR(__xludf.DUMMYFUNCTION("IFS(
  AND(REGEXMATCH(E14397, ""台銀籌備帳戶|玉山帳戶""), REGEXMATCH(C14397, ""薪資"")), ""分潤支出"",
  AND(REGEXMATCH(E14397, ""Ben帳戶|Elsa帳戶|Ben代墊|Ariel代墊|中信銀行共用""), REGEXMATCH(F14397, ""Ben帳戶|Elsa帳戶|Ben代墊|Ariel代墊|中信銀行共用"")), ""內部轉帳(忽略)"",
  AND(E14397&lt;&gt;"""", F14397&lt;&gt;"&amp;""""", NOT(REGEXMATCH(C14397, ""薪資""))), ""內部轉帳(忽略)"",
  REGEXMATCH(C14397, ""薪資""), ""薪資變動(不計入)"",
  REGEXMATCH(C14397, ""押金""), ""押金往來"",
  AND(E14397&lt;&gt;"""", F14397=""""), ""真實支出"",
  AND(E14397="""", F14397&lt;&gt;""""), ""真實收入"",
  TRUE, ""其他""
)"),"其他")</f>
        <v>其他</v>
      </c>
      <c r="K14397" s="270" t="str">
        <f t="shared" si="2"/>
        <v/>
      </c>
      <c r="L14397">
        <f t="shared" si="3"/>
        <v>0</v>
      </c>
    </row>
    <row r="14398">
      <c r="A14398" s="107"/>
      <c r="D14398" s="270"/>
      <c r="H14398" s="106" t="str">
        <f t="shared" si="1"/>
        <v/>
      </c>
      <c r="J14398" t="str">
        <f>IFERROR(__xludf.DUMMYFUNCTION("IFS(
  AND(REGEXMATCH(E14398, ""台銀籌備帳戶|玉山帳戶""), REGEXMATCH(C14398, ""薪資"")), ""分潤支出"",
  AND(REGEXMATCH(E14398, ""Ben帳戶|Elsa帳戶|Ben代墊|Ariel代墊|中信銀行共用""), REGEXMATCH(F14398, ""Ben帳戶|Elsa帳戶|Ben代墊|Ariel代墊|中信銀行共用"")), ""內部轉帳(忽略)"",
  AND(E14398&lt;&gt;"""", F14398&lt;&gt;"&amp;""""", NOT(REGEXMATCH(C14398, ""薪資""))), ""內部轉帳(忽略)"",
  REGEXMATCH(C14398, ""薪資""), ""薪資變動(不計入)"",
  REGEXMATCH(C14398, ""押金""), ""押金往來"",
  AND(E14398&lt;&gt;"""", F14398=""""), ""真實支出"",
  AND(E14398="""", F14398&lt;&gt;""""), ""真實收入"",
  TRUE, ""其他""
)"),"其他")</f>
        <v>其他</v>
      </c>
      <c r="K14398" s="270" t="str">
        <f t="shared" si="2"/>
        <v/>
      </c>
      <c r="L14398">
        <f t="shared" si="3"/>
        <v>0</v>
      </c>
    </row>
    <row r="14399">
      <c r="A14399" s="107"/>
      <c r="D14399" s="270"/>
      <c r="H14399" s="106" t="str">
        <f t="shared" si="1"/>
        <v/>
      </c>
      <c r="J14399" t="str">
        <f>IFERROR(__xludf.DUMMYFUNCTION("IFS(
  AND(REGEXMATCH(E14399, ""台銀籌備帳戶|玉山帳戶""), REGEXMATCH(C14399, ""薪資"")), ""分潤支出"",
  AND(REGEXMATCH(E14399, ""Ben帳戶|Elsa帳戶|Ben代墊|Ariel代墊|中信銀行共用""), REGEXMATCH(F14399, ""Ben帳戶|Elsa帳戶|Ben代墊|Ariel代墊|中信銀行共用"")), ""內部轉帳(忽略)"",
  AND(E14399&lt;&gt;"""", F14399&lt;&gt;"&amp;""""", NOT(REGEXMATCH(C14399, ""薪資""))), ""內部轉帳(忽略)"",
  REGEXMATCH(C14399, ""薪資""), ""薪資變動(不計入)"",
  REGEXMATCH(C14399, ""押金""), ""押金往來"",
  AND(E14399&lt;&gt;"""", F14399=""""), ""真實支出"",
  AND(E14399="""", F14399&lt;&gt;""""), ""真實收入"",
  TRUE, ""其他""
)"),"其他")</f>
        <v>其他</v>
      </c>
      <c r="K14399" s="270" t="str">
        <f t="shared" si="2"/>
        <v/>
      </c>
      <c r="L14399">
        <f t="shared" si="3"/>
        <v>0</v>
      </c>
    </row>
    <row r="14400">
      <c r="A14400" s="107"/>
      <c r="D14400" s="270"/>
      <c r="H14400" s="106" t="str">
        <f t="shared" si="1"/>
        <v/>
      </c>
      <c r="J14400" t="str">
        <f>IFERROR(__xludf.DUMMYFUNCTION("IFS(
  AND(REGEXMATCH(E14400, ""台銀籌備帳戶|玉山帳戶""), REGEXMATCH(C14400, ""薪資"")), ""分潤支出"",
  AND(REGEXMATCH(E14400, ""Ben帳戶|Elsa帳戶|Ben代墊|Ariel代墊|中信銀行共用""), REGEXMATCH(F14400, ""Ben帳戶|Elsa帳戶|Ben代墊|Ariel代墊|中信銀行共用"")), ""內部轉帳(忽略)"",
  AND(E14400&lt;&gt;"""", F14400&lt;&gt;"&amp;""""", NOT(REGEXMATCH(C14400, ""薪資""))), ""內部轉帳(忽略)"",
  REGEXMATCH(C14400, ""薪資""), ""薪資變動(不計入)"",
  REGEXMATCH(C14400, ""押金""), ""押金往來"",
  AND(E14400&lt;&gt;"""", F14400=""""), ""真實支出"",
  AND(E14400="""", F14400&lt;&gt;""""), ""真實收入"",
  TRUE, ""其他""
)"),"其他")</f>
        <v>其他</v>
      </c>
      <c r="K14400" s="270" t="str">
        <f t="shared" si="2"/>
        <v/>
      </c>
      <c r="L14400">
        <f t="shared" si="3"/>
        <v>0</v>
      </c>
    </row>
    <row r="14401">
      <c r="A14401" s="107"/>
      <c r="D14401" s="270"/>
      <c r="H14401" s="106" t="str">
        <f t="shared" si="1"/>
        <v/>
      </c>
      <c r="J14401" t="str">
        <f>IFERROR(__xludf.DUMMYFUNCTION("IFS(
  AND(REGEXMATCH(E14401, ""台銀籌備帳戶|玉山帳戶""), REGEXMATCH(C14401, ""薪資"")), ""分潤支出"",
  AND(REGEXMATCH(E14401, ""Ben帳戶|Elsa帳戶|Ben代墊|Ariel代墊|中信銀行共用""), REGEXMATCH(F14401, ""Ben帳戶|Elsa帳戶|Ben代墊|Ariel代墊|中信銀行共用"")), ""內部轉帳(忽略)"",
  AND(E14401&lt;&gt;"""", F14401&lt;&gt;"&amp;""""", NOT(REGEXMATCH(C14401, ""薪資""))), ""內部轉帳(忽略)"",
  REGEXMATCH(C14401, ""薪資""), ""薪資變動(不計入)"",
  REGEXMATCH(C14401, ""押金""), ""押金往來"",
  AND(E14401&lt;&gt;"""", F14401=""""), ""真實支出"",
  AND(E14401="""", F14401&lt;&gt;""""), ""真實收入"",
  TRUE, ""其他""
)"),"其他")</f>
        <v>其他</v>
      </c>
      <c r="K14401" s="270" t="str">
        <f t="shared" si="2"/>
        <v/>
      </c>
      <c r="L14401">
        <f t="shared" si="3"/>
        <v>0</v>
      </c>
    </row>
    <row r="14402">
      <c r="A14402" s="107"/>
      <c r="D14402" s="270"/>
      <c r="H14402" s="106" t="str">
        <f t="shared" si="1"/>
        <v/>
      </c>
      <c r="J14402" t="str">
        <f>IFERROR(__xludf.DUMMYFUNCTION("IFS(
  AND(REGEXMATCH(E14402, ""台銀籌備帳戶|玉山帳戶""), REGEXMATCH(C14402, ""薪資"")), ""分潤支出"",
  AND(REGEXMATCH(E14402, ""Ben帳戶|Elsa帳戶|Ben代墊|Ariel代墊|中信銀行共用""), REGEXMATCH(F14402, ""Ben帳戶|Elsa帳戶|Ben代墊|Ariel代墊|中信銀行共用"")), ""內部轉帳(忽略)"",
  AND(E14402&lt;&gt;"""", F14402&lt;&gt;"&amp;""""", NOT(REGEXMATCH(C14402, ""薪資""))), ""內部轉帳(忽略)"",
  REGEXMATCH(C14402, ""薪資""), ""薪資變動(不計入)"",
  REGEXMATCH(C14402, ""押金""), ""押金往來"",
  AND(E14402&lt;&gt;"""", F14402=""""), ""真實支出"",
  AND(E14402="""", F14402&lt;&gt;""""), ""真實收入"",
  TRUE, ""其他""
)"),"其他")</f>
        <v>其他</v>
      </c>
      <c r="K14402" s="270" t="str">
        <f t="shared" si="2"/>
        <v/>
      </c>
      <c r="L14402">
        <f t="shared" si="3"/>
        <v>0</v>
      </c>
    </row>
    <row r="14403">
      <c r="A14403" s="107"/>
      <c r="D14403" s="270"/>
      <c r="H14403" s="106" t="str">
        <f t="shared" si="1"/>
        <v/>
      </c>
      <c r="J14403" t="str">
        <f>IFERROR(__xludf.DUMMYFUNCTION("IFS(
  AND(REGEXMATCH(E14403, ""台銀籌備帳戶|玉山帳戶""), REGEXMATCH(C14403, ""薪資"")), ""分潤支出"",
  AND(REGEXMATCH(E14403, ""Ben帳戶|Elsa帳戶|Ben代墊|Ariel代墊|中信銀行共用""), REGEXMATCH(F14403, ""Ben帳戶|Elsa帳戶|Ben代墊|Ariel代墊|中信銀行共用"")), ""內部轉帳(忽略)"",
  AND(E14403&lt;&gt;"""", F14403&lt;&gt;"&amp;""""", NOT(REGEXMATCH(C14403, ""薪資""))), ""內部轉帳(忽略)"",
  REGEXMATCH(C14403, ""薪資""), ""薪資變動(不計入)"",
  REGEXMATCH(C14403, ""押金""), ""押金往來"",
  AND(E14403&lt;&gt;"""", F14403=""""), ""真實支出"",
  AND(E14403="""", F14403&lt;&gt;""""), ""真實收入"",
  TRUE, ""其他""
)"),"其他")</f>
        <v>其他</v>
      </c>
      <c r="K14403" s="270" t="str">
        <f t="shared" si="2"/>
        <v/>
      </c>
      <c r="L14403">
        <f t="shared" si="3"/>
        <v>0</v>
      </c>
    </row>
    <row r="14404">
      <c r="A14404" s="107"/>
      <c r="D14404" s="270"/>
      <c r="H14404" s="106" t="str">
        <f t="shared" si="1"/>
        <v/>
      </c>
      <c r="J14404" t="str">
        <f>IFERROR(__xludf.DUMMYFUNCTION("IFS(
  AND(REGEXMATCH(E14404, ""台銀籌備帳戶|玉山帳戶""), REGEXMATCH(C14404, ""薪資"")), ""分潤支出"",
  AND(REGEXMATCH(E14404, ""Ben帳戶|Elsa帳戶|Ben代墊|Ariel代墊|中信銀行共用""), REGEXMATCH(F14404, ""Ben帳戶|Elsa帳戶|Ben代墊|Ariel代墊|中信銀行共用"")), ""內部轉帳(忽略)"",
  AND(E14404&lt;&gt;"""", F14404&lt;&gt;"&amp;""""", NOT(REGEXMATCH(C14404, ""薪資""))), ""內部轉帳(忽略)"",
  REGEXMATCH(C14404, ""薪資""), ""薪資變動(不計入)"",
  REGEXMATCH(C14404, ""押金""), ""押金往來"",
  AND(E14404&lt;&gt;"""", F14404=""""), ""真實支出"",
  AND(E14404="""", F14404&lt;&gt;""""), ""真實收入"",
  TRUE, ""其他""
)"),"其他")</f>
        <v>其他</v>
      </c>
      <c r="K14404" s="270" t="str">
        <f t="shared" si="2"/>
        <v/>
      </c>
      <c r="L14404">
        <f t="shared" si="3"/>
        <v>0</v>
      </c>
    </row>
    <row r="14405">
      <c r="A14405" s="107"/>
      <c r="D14405" s="270"/>
      <c r="H14405" s="106" t="str">
        <f t="shared" si="1"/>
        <v/>
      </c>
      <c r="J14405" t="str">
        <f>IFERROR(__xludf.DUMMYFUNCTION("IFS(
  AND(REGEXMATCH(E14405, ""台銀籌備帳戶|玉山帳戶""), REGEXMATCH(C14405, ""薪資"")), ""分潤支出"",
  AND(REGEXMATCH(E14405, ""Ben帳戶|Elsa帳戶|Ben代墊|Ariel代墊|中信銀行共用""), REGEXMATCH(F14405, ""Ben帳戶|Elsa帳戶|Ben代墊|Ariel代墊|中信銀行共用"")), ""內部轉帳(忽略)"",
  AND(E14405&lt;&gt;"""", F14405&lt;&gt;"&amp;""""", NOT(REGEXMATCH(C14405, ""薪資""))), ""內部轉帳(忽略)"",
  REGEXMATCH(C14405, ""薪資""), ""薪資變動(不計入)"",
  REGEXMATCH(C14405, ""押金""), ""押金往來"",
  AND(E14405&lt;&gt;"""", F14405=""""), ""真實支出"",
  AND(E14405="""", F14405&lt;&gt;""""), ""真實收入"",
  TRUE, ""其他""
)"),"其他")</f>
        <v>其他</v>
      </c>
      <c r="K14405" s="270" t="str">
        <f t="shared" si="2"/>
        <v/>
      </c>
      <c r="L14405">
        <f t="shared" si="3"/>
        <v>0</v>
      </c>
    </row>
    <row r="14406">
      <c r="A14406" s="107"/>
      <c r="D14406" s="270"/>
      <c r="H14406" s="106" t="str">
        <f t="shared" si="1"/>
        <v/>
      </c>
      <c r="J14406" t="str">
        <f>IFERROR(__xludf.DUMMYFUNCTION("IFS(
  AND(REGEXMATCH(E14406, ""台銀籌備帳戶|玉山帳戶""), REGEXMATCH(C14406, ""薪資"")), ""分潤支出"",
  AND(REGEXMATCH(E14406, ""Ben帳戶|Elsa帳戶|Ben代墊|Ariel代墊|中信銀行共用""), REGEXMATCH(F14406, ""Ben帳戶|Elsa帳戶|Ben代墊|Ariel代墊|中信銀行共用"")), ""內部轉帳(忽略)"",
  AND(E14406&lt;&gt;"""", F14406&lt;&gt;"&amp;""""", NOT(REGEXMATCH(C14406, ""薪資""))), ""內部轉帳(忽略)"",
  REGEXMATCH(C14406, ""薪資""), ""薪資變動(不計入)"",
  REGEXMATCH(C14406, ""押金""), ""押金往來"",
  AND(E14406&lt;&gt;"""", F14406=""""), ""真實支出"",
  AND(E14406="""", F14406&lt;&gt;""""), ""真實收入"",
  TRUE, ""其他""
)"),"其他")</f>
        <v>其他</v>
      </c>
      <c r="K14406" s="270" t="str">
        <f t="shared" si="2"/>
        <v/>
      </c>
      <c r="L14406">
        <f t="shared" si="3"/>
        <v>0</v>
      </c>
    </row>
    <row r="14407">
      <c r="A14407" s="107"/>
      <c r="D14407" s="270"/>
      <c r="H14407" s="106" t="str">
        <f t="shared" si="1"/>
        <v/>
      </c>
      <c r="J14407" t="str">
        <f>IFERROR(__xludf.DUMMYFUNCTION("IFS(
  AND(REGEXMATCH(E14407, ""台銀籌備帳戶|玉山帳戶""), REGEXMATCH(C14407, ""薪資"")), ""分潤支出"",
  AND(REGEXMATCH(E14407, ""Ben帳戶|Elsa帳戶|Ben代墊|Ariel代墊|中信銀行共用""), REGEXMATCH(F14407, ""Ben帳戶|Elsa帳戶|Ben代墊|Ariel代墊|中信銀行共用"")), ""內部轉帳(忽略)"",
  AND(E14407&lt;&gt;"""", F14407&lt;&gt;"&amp;""""", NOT(REGEXMATCH(C14407, ""薪資""))), ""內部轉帳(忽略)"",
  REGEXMATCH(C14407, ""薪資""), ""薪資變動(不計入)"",
  REGEXMATCH(C14407, ""押金""), ""押金往來"",
  AND(E14407&lt;&gt;"""", F14407=""""), ""真實支出"",
  AND(E14407="""", F14407&lt;&gt;""""), ""真實收入"",
  TRUE, ""其他""
)"),"其他")</f>
        <v>其他</v>
      </c>
      <c r="K14407" s="270" t="str">
        <f t="shared" si="2"/>
        <v/>
      </c>
      <c r="L14407">
        <f t="shared" si="3"/>
        <v>0</v>
      </c>
    </row>
    <row r="14408">
      <c r="A14408" s="107"/>
      <c r="D14408" s="270"/>
      <c r="H14408" s="106" t="str">
        <f t="shared" si="1"/>
        <v/>
      </c>
      <c r="J14408" t="str">
        <f>IFERROR(__xludf.DUMMYFUNCTION("IFS(
  AND(REGEXMATCH(E14408, ""台銀籌備帳戶|玉山帳戶""), REGEXMATCH(C14408, ""薪資"")), ""分潤支出"",
  AND(REGEXMATCH(E14408, ""Ben帳戶|Elsa帳戶|Ben代墊|Ariel代墊|中信銀行共用""), REGEXMATCH(F14408, ""Ben帳戶|Elsa帳戶|Ben代墊|Ariel代墊|中信銀行共用"")), ""內部轉帳(忽略)"",
  AND(E14408&lt;&gt;"""", F14408&lt;&gt;"&amp;""""", NOT(REGEXMATCH(C14408, ""薪資""))), ""內部轉帳(忽略)"",
  REGEXMATCH(C14408, ""薪資""), ""薪資變動(不計入)"",
  REGEXMATCH(C14408, ""押金""), ""押金往來"",
  AND(E14408&lt;&gt;"""", F14408=""""), ""真實支出"",
  AND(E14408="""", F14408&lt;&gt;""""), ""真實收入"",
  TRUE, ""其他""
)"),"其他")</f>
        <v>其他</v>
      </c>
      <c r="K14408" s="270" t="str">
        <f t="shared" si="2"/>
        <v/>
      </c>
      <c r="L14408">
        <f t="shared" si="3"/>
        <v>0</v>
      </c>
    </row>
    <row r="14409">
      <c r="A14409" s="107"/>
      <c r="D14409" s="270"/>
      <c r="H14409" s="106" t="str">
        <f t="shared" si="1"/>
        <v/>
      </c>
      <c r="J14409" t="str">
        <f>IFERROR(__xludf.DUMMYFUNCTION("IFS(
  AND(REGEXMATCH(E14409, ""台銀籌備帳戶|玉山帳戶""), REGEXMATCH(C14409, ""薪資"")), ""分潤支出"",
  AND(REGEXMATCH(E14409, ""Ben帳戶|Elsa帳戶|Ben代墊|Ariel代墊|中信銀行共用""), REGEXMATCH(F14409, ""Ben帳戶|Elsa帳戶|Ben代墊|Ariel代墊|中信銀行共用"")), ""內部轉帳(忽略)"",
  AND(E14409&lt;&gt;"""", F14409&lt;&gt;"&amp;""""", NOT(REGEXMATCH(C14409, ""薪資""))), ""內部轉帳(忽略)"",
  REGEXMATCH(C14409, ""薪資""), ""薪資變動(不計入)"",
  REGEXMATCH(C14409, ""押金""), ""押金往來"",
  AND(E14409&lt;&gt;"""", F14409=""""), ""真實支出"",
  AND(E14409="""", F14409&lt;&gt;""""), ""真實收入"",
  TRUE, ""其他""
)"),"其他")</f>
        <v>其他</v>
      </c>
      <c r="K14409" s="270" t="str">
        <f t="shared" si="2"/>
        <v/>
      </c>
      <c r="L14409">
        <f t="shared" si="3"/>
        <v>0</v>
      </c>
    </row>
    <row r="14410">
      <c r="A14410" s="107"/>
      <c r="D14410" s="270"/>
      <c r="H14410" s="106" t="str">
        <f t="shared" si="1"/>
        <v/>
      </c>
      <c r="J14410" t="str">
        <f>IFERROR(__xludf.DUMMYFUNCTION("IFS(
  AND(REGEXMATCH(E14410, ""台銀籌備帳戶|玉山帳戶""), REGEXMATCH(C14410, ""薪資"")), ""分潤支出"",
  AND(REGEXMATCH(E14410, ""Ben帳戶|Elsa帳戶|Ben代墊|Ariel代墊|中信銀行共用""), REGEXMATCH(F14410, ""Ben帳戶|Elsa帳戶|Ben代墊|Ariel代墊|中信銀行共用"")), ""內部轉帳(忽略)"",
  AND(E14410&lt;&gt;"""", F14410&lt;&gt;"&amp;""""", NOT(REGEXMATCH(C14410, ""薪資""))), ""內部轉帳(忽略)"",
  REGEXMATCH(C14410, ""薪資""), ""薪資變動(不計入)"",
  REGEXMATCH(C14410, ""押金""), ""押金往來"",
  AND(E14410&lt;&gt;"""", F14410=""""), ""真實支出"",
  AND(E14410="""", F14410&lt;&gt;""""), ""真實收入"",
  TRUE, ""其他""
)"),"其他")</f>
        <v>其他</v>
      </c>
      <c r="K14410" s="270" t="str">
        <f t="shared" si="2"/>
        <v/>
      </c>
      <c r="L14410">
        <f t="shared" si="3"/>
        <v>0</v>
      </c>
    </row>
    <row r="14411">
      <c r="A14411" s="107"/>
      <c r="D14411" s="270"/>
      <c r="H14411" s="106" t="str">
        <f t="shared" si="1"/>
        <v/>
      </c>
      <c r="J14411" t="str">
        <f>IFERROR(__xludf.DUMMYFUNCTION("IFS(
  AND(REGEXMATCH(E14411, ""台銀籌備帳戶|玉山帳戶""), REGEXMATCH(C14411, ""薪資"")), ""分潤支出"",
  AND(REGEXMATCH(E14411, ""Ben帳戶|Elsa帳戶|Ben代墊|Ariel代墊|中信銀行共用""), REGEXMATCH(F14411, ""Ben帳戶|Elsa帳戶|Ben代墊|Ariel代墊|中信銀行共用"")), ""內部轉帳(忽略)"",
  AND(E14411&lt;&gt;"""", F14411&lt;&gt;"&amp;""""", NOT(REGEXMATCH(C14411, ""薪資""))), ""內部轉帳(忽略)"",
  REGEXMATCH(C14411, ""薪資""), ""薪資變動(不計入)"",
  REGEXMATCH(C14411, ""押金""), ""押金往來"",
  AND(E14411&lt;&gt;"""", F14411=""""), ""真實支出"",
  AND(E14411="""", F14411&lt;&gt;""""), ""真實收入"",
  TRUE, ""其他""
)"),"其他")</f>
        <v>其他</v>
      </c>
      <c r="K14411" s="270" t="str">
        <f t="shared" si="2"/>
        <v/>
      </c>
      <c r="L14411">
        <f t="shared" si="3"/>
        <v>0</v>
      </c>
    </row>
    <row r="14412">
      <c r="A14412" s="107"/>
      <c r="D14412" s="270"/>
      <c r="H14412" s="106" t="str">
        <f t="shared" si="1"/>
        <v/>
      </c>
      <c r="J14412" t="str">
        <f>IFERROR(__xludf.DUMMYFUNCTION("IFS(
  AND(REGEXMATCH(E14412, ""台銀籌備帳戶|玉山帳戶""), REGEXMATCH(C14412, ""薪資"")), ""分潤支出"",
  AND(REGEXMATCH(E14412, ""Ben帳戶|Elsa帳戶|Ben代墊|Ariel代墊|中信銀行共用""), REGEXMATCH(F14412, ""Ben帳戶|Elsa帳戶|Ben代墊|Ariel代墊|中信銀行共用"")), ""內部轉帳(忽略)"",
  AND(E14412&lt;&gt;"""", F14412&lt;&gt;"&amp;""""", NOT(REGEXMATCH(C14412, ""薪資""))), ""內部轉帳(忽略)"",
  REGEXMATCH(C14412, ""薪資""), ""薪資變動(不計入)"",
  REGEXMATCH(C14412, ""押金""), ""押金往來"",
  AND(E14412&lt;&gt;"""", F14412=""""), ""真實支出"",
  AND(E14412="""", F14412&lt;&gt;""""), ""真實收入"",
  TRUE, ""其他""
)"),"其他")</f>
        <v>其他</v>
      </c>
      <c r="K14412" s="270" t="str">
        <f t="shared" si="2"/>
        <v/>
      </c>
      <c r="L14412">
        <f t="shared" si="3"/>
        <v>0</v>
      </c>
    </row>
    <row r="14413">
      <c r="A14413" s="107"/>
      <c r="D14413" s="270"/>
      <c r="H14413" s="106" t="str">
        <f t="shared" si="1"/>
        <v/>
      </c>
      <c r="J14413" t="str">
        <f>IFERROR(__xludf.DUMMYFUNCTION("IFS(
  AND(REGEXMATCH(E14413, ""台銀籌備帳戶|玉山帳戶""), REGEXMATCH(C14413, ""薪資"")), ""分潤支出"",
  AND(REGEXMATCH(E14413, ""Ben帳戶|Elsa帳戶|Ben代墊|Ariel代墊|中信銀行共用""), REGEXMATCH(F14413, ""Ben帳戶|Elsa帳戶|Ben代墊|Ariel代墊|中信銀行共用"")), ""內部轉帳(忽略)"",
  AND(E14413&lt;&gt;"""", F14413&lt;&gt;"&amp;""""", NOT(REGEXMATCH(C14413, ""薪資""))), ""內部轉帳(忽略)"",
  REGEXMATCH(C14413, ""薪資""), ""薪資變動(不計入)"",
  REGEXMATCH(C14413, ""押金""), ""押金往來"",
  AND(E14413&lt;&gt;"""", F14413=""""), ""真實支出"",
  AND(E14413="""", F14413&lt;&gt;""""), ""真實收入"",
  TRUE, ""其他""
)"),"其他")</f>
        <v>其他</v>
      </c>
      <c r="K14413" s="270" t="str">
        <f t="shared" si="2"/>
        <v/>
      </c>
      <c r="L14413">
        <f t="shared" si="3"/>
        <v>0</v>
      </c>
    </row>
    <row r="14414">
      <c r="A14414" s="107"/>
      <c r="D14414" s="270"/>
      <c r="H14414" s="106" t="str">
        <f t="shared" si="1"/>
        <v/>
      </c>
      <c r="J14414" t="str">
        <f>IFERROR(__xludf.DUMMYFUNCTION("IFS(
  AND(REGEXMATCH(E14414, ""台銀籌備帳戶|玉山帳戶""), REGEXMATCH(C14414, ""薪資"")), ""分潤支出"",
  AND(REGEXMATCH(E14414, ""Ben帳戶|Elsa帳戶|Ben代墊|Ariel代墊|中信銀行共用""), REGEXMATCH(F14414, ""Ben帳戶|Elsa帳戶|Ben代墊|Ariel代墊|中信銀行共用"")), ""內部轉帳(忽略)"",
  AND(E14414&lt;&gt;"""", F14414&lt;&gt;"&amp;""""", NOT(REGEXMATCH(C14414, ""薪資""))), ""內部轉帳(忽略)"",
  REGEXMATCH(C14414, ""薪資""), ""薪資變動(不計入)"",
  REGEXMATCH(C14414, ""押金""), ""押金往來"",
  AND(E14414&lt;&gt;"""", F14414=""""), ""真實支出"",
  AND(E14414="""", F14414&lt;&gt;""""), ""真實收入"",
  TRUE, ""其他""
)"),"其他")</f>
        <v>其他</v>
      </c>
      <c r="K14414" s="270" t="str">
        <f t="shared" si="2"/>
        <v/>
      </c>
      <c r="L14414">
        <f t="shared" si="3"/>
        <v>0</v>
      </c>
    </row>
    <row r="14415">
      <c r="A14415" s="107"/>
      <c r="D14415" s="270"/>
      <c r="H14415" s="106" t="str">
        <f t="shared" si="1"/>
        <v/>
      </c>
      <c r="J14415" t="str">
        <f>IFERROR(__xludf.DUMMYFUNCTION("IFS(
  AND(REGEXMATCH(E14415, ""台銀籌備帳戶|玉山帳戶""), REGEXMATCH(C14415, ""薪資"")), ""分潤支出"",
  AND(REGEXMATCH(E14415, ""Ben帳戶|Elsa帳戶|Ben代墊|Ariel代墊|中信銀行共用""), REGEXMATCH(F14415, ""Ben帳戶|Elsa帳戶|Ben代墊|Ariel代墊|中信銀行共用"")), ""內部轉帳(忽略)"",
  AND(E14415&lt;&gt;"""", F14415&lt;&gt;"&amp;""""", NOT(REGEXMATCH(C14415, ""薪資""))), ""內部轉帳(忽略)"",
  REGEXMATCH(C14415, ""薪資""), ""薪資變動(不計入)"",
  REGEXMATCH(C14415, ""押金""), ""押金往來"",
  AND(E14415&lt;&gt;"""", F14415=""""), ""真實支出"",
  AND(E14415="""", F14415&lt;&gt;""""), ""真實收入"",
  TRUE, ""其他""
)"),"其他")</f>
        <v>其他</v>
      </c>
      <c r="K14415" s="270" t="str">
        <f t="shared" si="2"/>
        <v/>
      </c>
      <c r="L14415">
        <f t="shared" si="3"/>
        <v>0</v>
      </c>
    </row>
    <row r="14416">
      <c r="A14416" s="107"/>
      <c r="D14416" s="270"/>
      <c r="H14416" s="106" t="str">
        <f t="shared" si="1"/>
        <v/>
      </c>
      <c r="J14416" t="str">
        <f>IFERROR(__xludf.DUMMYFUNCTION("IFS(
  AND(REGEXMATCH(E14416, ""台銀籌備帳戶|玉山帳戶""), REGEXMATCH(C14416, ""薪資"")), ""分潤支出"",
  AND(REGEXMATCH(E14416, ""Ben帳戶|Elsa帳戶|Ben代墊|Ariel代墊|中信銀行共用""), REGEXMATCH(F14416, ""Ben帳戶|Elsa帳戶|Ben代墊|Ariel代墊|中信銀行共用"")), ""內部轉帳(忽略)"",
  AND(E14416&lt;&gt;"""", F14416&lt;&gt;"&amp;""""", NOT(REGEXMATCH(C14416, ""薪資""))), ""內部轉帳(忽略)"",
  REGEXMATCH(C14416, ""薪資""), ""薪資變動(不計入)"",
  REGEXMATCH(C14416, ""押金""), ""押金往來"",
  AND(E14416&lt;&gt;"""", F14416=""""), ""真實支出"",
  AND(E14416="""", F14416&lt;&gt;""""), ""真實收入"",
  TRUE, ""其他""
)"),"其他")</f>
        <v>其他</v>
      </c>
      <c r="K14416" s="270" t="str">
        <f t="shared" si="2"/>
        <v/>
      </c>
      <c r="L14416">
        <f t="shared" si="3"/>
        <v>0</v>
      </c>
    </row>
    <row r="14417">
      <c r="A14417" s="107"/>
      <c r="D14417" s="270"/>
      <c r="H14417" s="106" t="str">
        <f t="shared" si="1"/>
        <v/>
      </c>
      <c r="J14417" t="str">
        <f>IFERROR(__xludf.DUMMYFUNCTION("IFS(
  AND(REGEXMATCH(E14417, ""台銀籌備帳戶|玉山帳戶""), REGEXMATCH(C14417, ""薪資"")), ""分潤支出"",
  AND(REGEXMATCH(E14417, ""Ben帳戶|Elsa帳戶|Ben代墊|Ariel代墊|中信銀行共用""), REGEXMATCH(F14417, ""Ben帳戶|Elsa帳戶|Ben代墊|Ariel代墊|中信銀行共用"")), ""內部轉帳(忽略)"",
  AND(E14417&lt;&gt;"""", F14417&lt;&gt;"&amp;""""", NOT(REGEXMATCH(C14417, ""薪資""))), ""內部轉帳(忽略)"",
  REGEXMATCH(C14417, ""薪資""), ""薪資變動(不計入)"",
  REGEXMATCH(C14417, ""押金""), ""押金往來"",
  AND(E14417&lt;&gt;"""", F14417=""""), ""真實支出"",
  AND(E14417="""", F14417&lt;&gt;""""), ""真實收入"",
  TRUE, ""其他""
)"),"其他")</f>
        <v>其他</v>
      </c>
      <c r="K14417" s="270" t="str">
        <f t="shared" si="2"/>
        <v/>
      </c>
      <c r="L14417">
        <f t="shared" si="3"/>
        <v>0</v>
      </c>
    </row>
    <row r="14418">
      <c r="A14418" s="107"/>
      <c r="D14418" s="270"/>
      <c r="H14418" s="106" t="str">
        <f t="shared" si="1"/>
        <v/>
      </c>
      <c r="J14418" t="str">
        <f>IFERROR(__xludf.DUMMYFUNCTION("IFS(
  AND(REGEXMATCH(E14418, ""台銀籌備帳戶|玉山帳戶""), REGEXMATCH(C14418, ""薪資"")), ""分潤支出"",
  AND(REGEXMATCH(E14418, ""Ben帳戶|Elsa帳戶|Ben代墊|Ariel代墊|中信銀行共用""), REGEXMATCH(F14418, ""Ben帳戶|Elsa帳戶|Ben代墊|Ariel代墊|中信銀行共用"")), ""內部轉帳(忽略)"",
  AND(E14418&lt;&gt;"""", F14418&lt;&gt;"&amp;""""", NOT(REGEXMATCH(C14418, ""薪資""))), ""內部轉帳(忽略)"",
  REGEXMATCH(C14418, ""薪資""), ""薪資變動(不計入)"",
  REGEXMATCH(C14418, ""押金""), ""押金往來"",
  AND(E14418&lt;&gt;"""", F14418=""""), ""真實支出"",
  AND(E14418="""", F14418&lt;&gt;""""), ""真實收入"",
  TRUE, ""其他""
)"),"其他")</f>
        <v>其他</v>
      </c>
      <c r="K14418" s="270" t="str">
        <f t="shared" si="2"/>
        <v/>
      </c>
      <c r="L14418">
        <f t="shared" si="3"/>
        <v>0</v>
      </c>
    </row>
    <row r="14419">
      <c r="A14419" s="107"/>
      <c r="D14419" s="270"/>
      <c r="H14419" s="106" t="str">
        <f t="shared" si="1"/>
        <v/>
      </c>
      <c r="J14419" t="str">
        <f>IFERROR(__xludf.DUMMYFUNCTION("IFS(
  AND(REGEXMATCH(E14419, ""台銀籌備帳戶|玉山帳戶""), REGEXMATCH(C14419, ""薪資"")), ""分潤支出"",
  AND(REGEXMATCH(E14419, ""Ben帳戶|Elsa帳戶|Ben代墊|Ariel代墊|中信銀行共用""), REGEXMATCH(F14419, ""Ben帳戶|Elsa帳戶|Ben代墊|Ariel代墊|中信銀行共用"")), ""內部轉帳(忽略)"",
  AND(E14419&lt;&gt;"""", F14419&lt;&gt;"&amp;""""", NOT(REGEXMATCH(C14419, ""薪資""))), ""內部轉帳(忽略)"",
  REGEXMATCH(C14419, ""薪資""), ""薪資變動(不計入)"",
  REGEXMATCH(C14419, ""押金""), ""押金往來"",
  AND(E14419&lt;&gt;"""", F14419=""""), ""真實支出"",
  AND(E14419="""", F14419&lt;&gt;""""), ""真實收入"",
  TRUE, ""其他""
)"),"其他")</f>
        <v>其他</v>
      </c>
      <c r="K14419" s="270" t="str">
        <f t="shared" si="2"/>
        <v/>
      </c>
      <c r="L14419">
        <f t="shared" si="3"/>
        <v>0</v>
      </c>
    </row>
    <row r="14420">
      <c r="A14420" s="107"/>
      <c r="D14420" s="270"/>
      <c r="H14420" s="106" t="str">
        <f t="shared" si="1"/>
        <v/>
      </c>
      <c r="J14420" t="str">
        <f>IFERROR(__xludf.DUMMYFUNCTION("IFS(
  AND(REGEXMATCH(E14420, ""台銀籌備帳戶|玉山帳戶""), REGEXMATCH(C14420, ""薪資"")), ""分潤支出"",
  AND(REGEXMATCH(E14420, ""Ben帳戶|Elsa帳戶|Ben代墊|Ariel代墊|中信銀行共用""), REGEXMATCH(F14420, ""Ben帳戶|Elsa帳戶|Ben代墊|Ariel代墊|中信銀行共用"")), ""內部轉帳(忽略)"",
  AND(E14420&lt;&gt;"""", F14420&lt;&gt;"&amp;""""", NOT(REGEXMATCH(C14420, ""薪資""))), ""內部轉帳(忽略)"",
  REGEXMATCH(C14420, ""薪資""), ""薪資變動(不計入)"",
  REGEXMATCH(C14420, ""押金""), ""押金往來"",
  AND(E14420&lt;&gt;"""", F14420=""""), ""真實支出"",
  AND(E14420="""", F14420&lt;&gt;""""), ""真實收入"",
  TRUE, ""其他""
)"),"其他")</f>
        <v>其他</v>
      </c>
      <c r="K14420" s="270" t="str">
        <f t="shared" si="2"/>
        <v/>
      </c>
      <c r="L14420">
        <f t="shared" si="3"/>
        <v>0</v>
      </c>
    </row>
    <row r="14421">
      <c r="A14421" s="107"/>
      <c r="D14421" s="270"/>
      <c r="H14421" s="106" t="str">
        <f t="shared" si="1"/>
        <v/>
      </c>
      <c r="J14421" t="str">
        <f>IFERROR(__xludf.DUMMYFUNCTION("IFS(
  AND(REGEXMATCH(E14421, ""台銀籌備帳戶|玉山帳戶""), REGEXMATCH(C14421, ""薪資"")), ""分潤支出"",
  AND(REGEXMATCH(E14421, ""Ben帳戶|Elsa帳戶|Ben代墊|Ariel代墊|中信銀行共用""), REGEXMATCH(F14421, ""Ben帳戶|Elsa帳戶|Ben代墊|Ariel代墊|中信銀行共用"")), ""內部轉帳(忽略)"",
  AND(E14421&lt;&gt;"""", F14421&lt;&gt;"&amp;""""", NOT(REGEXMATCH(C14421, ""薪資""))), ""內部轉帳(忽略)"",
  REGEXMATCH(C14421, ""薪資""), ""薪資變動(不計入)"",
  REGEXMATCH(C14421, ""押金""), ""押金往來"",
  AND(E14421&lt;&gt;"""", F14421=""""), ""真實支出"",
  AND(E14421="""", F14421&lt;&gt;""""), ""真實收入"",
  TRUE, ""其他""
)"),"其他")</f>
        <v>其他</v>
      </c>
      <c r="K14421" s="270" t="str">
        <f t="shared" si="2"/>
        <v/>
      </c>
      <c r="L14421">
        <f t="shared" si="3"/>
        <v>0</v>
      </c>
    </row>
    <row r="14422">
      <c r="A14422" s="107"/>
      <c r="D14422" s="270"/>
      <c r="H14422" s="106" t="str">
        <f t="shared" si="1"/>
        <v/>
      </c>
      <c r="J14422" t="str">
        <f>IFERROR(__xludf.DUMMYFUNCTION("IFS(
  AND(REGEXMATCH(E14422, ""台銀籌備帳戶|玉山帳戶""), REGEXMATCH(C14422, ""薪資"")), ""分潤支出"",
  AND(REGEXMATCH(E14422, ""Ben帳戶|Elsa帳戶|Ben代墊|Ariel代墊|中信銀行共用""), REGEXMATCH(F14422, ""Ben帳戶|Elsa帳戶|Ben代墊|Ariel代墊|中信銀行共用"")), ""內部轉帳(忽略)"",
  AND(E14422&lt;&gt;"""", F14422&lt;&gt;"&amp;""""", NOT(REGEXMATCH(C14422, ""薪資""))), ""內部轉帳(忽略)"",
  REGEXMATCH(C14422, ""薪資""), ""薪資變動(不計入)"",
  REGEXMATCH(C14422, ""押金""), ""押金往來"",
  AND(E14422&lt;&gt;"""", F14422=""""), ""真實支出"",
  AND(E14422="""", F14422&lt;&gt;""""), ""真實收入"",
  TRUE, ""其他""
)"),"其他")</f>
        <v>其他</v>
      </c>
      <c r="K14422" s="270" t="str">
        <f t="shared" si="2"/>
        <v/>
      </c>
      <c r="L14422">
        <f t="shared" si="3"/>
        <v>0</v>
      </c>
    </row>
    <row r="14423">
      <c r="A14423" s="107"/>
      <c r="D14423" s="270"/>
      <c r="H14423" s="106" t="str">
        <f t="shared" si="1"/>
        <v/>
      </c>
      <c r="J14423" t="str">
        <f>IFERROR(__xludf.DUMMYFUNCTION("IFS(
  AND(REGEXMATCH(E14423, ""台銀籌備帳戶|玉山帳戶""), REGEXMATCH(C14423, ""薪資"")), ""分潤支出"",
  AND(REGEXMATCH(E14423, ""Ben帳戶|Elsa帳戶|Ben代墊|Ariel代墊|中信銀行共用""), REGEXMATCH(F14423, ""Ben帳戶|Elsa帳戶|Ben代墊|Ariel代墊|中信銀行共用"")), ""內部轉帳(忽略)"",
  AND(E14423&lt;&gt;"""", F14423&lt;&gt;"&amp;""""", NOT(REGEXMATCH(C14423, ""薪資""))), ""內部轉帳(忽略)"",
  REGEXMATCH(C14423, ""薪資""), ""薪資變動(不計入)"",
  REGEXMATCH(C14423, ""押金""), ""押金往來"",
  AND(E14423&lt;&gt;"""", F14423=""""), ""真實支出"",
  AND(E14423="""", F14423&lt;&gt;""""), ""真實收入"",
  TRUE, ""其他""
)"),"其他")</f>
        <v>其他</v>
      </c>
      <c r="K14423" s="270" t="str">
        <f t="shared" si="2"/>
        <v/>
      </c>
      <c r="L14423">
        <f t="shared" si="3"/>
        <v>0</v>
      </c>
    </row>
    <row r="14424">
      <c r="A14424" s="107"/>
      <c r="D14424" s="270"/>
      <c r="H14424" s="106" t="str">
        <f t="shared" si="1"/>
        <v/>
      </c>
      <c r="J14424" t="str">
        <f>IFERROR(__xludf.DUMMYFUNCTION("IFS(
  AND(REGEXMATCH(E14424, ""台銀籌備帳戶|玉山帳戶""), REGEXMATCH(C14424, ""薪資"")), ""分潤支出"",
  AND(REGEXMATCH(E14424, ""Ben帳戶|Elsa帳戶|Ben代墊|Ariel代墊|中信銀行共用""), REGEXMATCH(F14424, ""Ben帳戶|Elsa帳戶|Ben代墊|Ariel代墊|中信銀行共用"")), ""內部轉帳(忽略)"",
  AND(E14424&lt;&gt;"""", F14424&lt;&gt;"&amp;""""", NOT(REGEXMATCH(C14424, ""薪資""))), ""內部轉帳(忽略)"",
  REGEXMATCH(C14424, ""薪資""), ""薪資變動(不計入)"",
  REGEXMATCH(C14424, ""押金""), ""押金往來"",
  AND(E14424&lt;&gt;"""", F14424=""""), ""真實支出"",
  AND(E14424="""", F14424&lt;&gt;""""), ""真實收入"",
  TRUE, ""其他""
)"),"其他")</f>
        <v>其他</v>
      </c>
      <c r="K14424" s="270" t="str">
        <f t="shared" si="2"/>
        <v/>
      </c>
      <c r="L14424">
        <f t="shared" si="3"/>
        <v>0</v>
      </c>
    </row>
    <row r="14425">
      <c r="A14425" s="107"/>
      <c r="D14425" s="270"/>
      <c r="H14425" s="106" t="str">
        <f t="shared" si="1"/>
        <v/>
      </c>
      <c r="J14425" t="str">
        <f>IFERROR(__xludf.DUMMYFUNCTION("IFS(
  AND(REGEXMATCH(E14425, ""台銀籌備帳戶|玉山帳戶""), REGEXMATCH(C14425, ""薪資"")), ""分潤支出"",
  AND(REGEXMATCH(E14425, ""Ben帳戶|Elsa帳戶|Ben代墊|Ariel代墊|中信銀行共用""), REGEXMATCH(F14425, ""Ben帳戶|Elsa帳戶|Ben代墊|Ariel代墊|中信銀行共用"")), ""內部轉帳(忽略)"",
  AND(E14425&lt;&gt;"""", F14425&lt;&gt;"&amp;""""", NOT(REGEXMATCH(C14425, ""薪資""))), ""內部轉帳(忽略)"",
  REGEXMATCH(C14425, ""薪資""), ""薪資變動(不計入)"",
  REGEXMATCH(C14425, ""押金""), ""押金往來"",
  AND(E14425&lt;&gt;"""", F14425=""""), ""真實支出"",
  AND(E14425="""", F14425&lt;&gt;""""), ""真實收入"",
  TRUE, ""其他""
)"),"其他")</f>
        <v>其他</v>
      </c>
      <c r="K14425" s="270" t="str">
        <f t="shared" si="2"/>
        <v/>
      </c>
      <c r="L14425">
        <f t="shared" si="3"/>
        <v>0</v>
      </c>
    </row>
    <row r="14426">
      <c r="A14426" s="107"/>
      <c r="D14426" s="270"/>
      <c r="H14426" s="106" t="str">
        <f t="shared" si="1"/>
        <v/>
      </c>
      <c r="J14426" t="str">
        <f>IFERROR(__xludf.DUMMYFUNCTION("IFS(
  AND(REGEXMATCH(E14426, ""台銀籌備帳戶|玉山帳戶""), REGEXMATCH(C14426, ""薪資"")), ""分潤支出"",
  AND(REGEXMATCH(E14426, ""Ben帳戶|Elsa帳戶|Ben代墊|Ariel代墊|中信銀行共用""), REGEXMATCH(F14426, ""Ben帳戶|Elsa帳戶|Ben代墊|Ariel代墊|中信銀行共用"")), ""內部轉帳(忽略)"",
  AND(E14426&lt;&gt;"""", F14426&lt;&gt;"&amp;""""", NOT(REGEXMATCH(C14426, ""薪資""))), ""內部轉帳(忽略)"",
  REGEXMATCH(C14426, ""薪資""), ""薪資變動(不計入)"",
  REGEXMATCH(C14426, ""押金""), ""押金往來"",
  AND(E14426&lt;&gt;"""", F14426=""""), ""真實支出"",
  AND(E14426="""", F14426&lt;&gt;""""), ""真實收入"",
  TRUE, ""其他""
)"),"其他")</f>
        <v>其他</v>
      </c>
      <c r="K14426" s="270" t="str">
        <f t="shared" si="2"/>
        <v/>
      </c>
      <c r="L14426">
        <f t="shared" si="3"/>
        <v>0</v>
      </c>
    </row>
    <row r="14427">
      <c r="A14427" s="107"/>
      <c r="D14427" s="270"/>
      <c r="H14427" s="106" t="str">
        <f t="shared" si="1"/>
        <v/>
      </c>
      <c r="J14427" t="str">
        <f>IFERROR(__xludf.DUMMYFUNCTION("IFS(
  AND(REGEXMATCH(E14427, ""台銀籌備帳戶|玉山帳戶""), REGEXMATCH(C14427, ""薪資"")), ""分潤支出"",
  AND(REGEXMATCH(E14427, ""Ben帳戶|Elsa帳戶|Ben代墊|Ariel代墊|中信銀行共用""), REGEXMATCH(F14427, ""Ben帳戶|Elsa帳戶|Ben代墊|Ariel代墊|中信銀行共用"")), ""內部轉帳(忽略)"",
  AND(E14427&lt;&gt;"""", F14427&lt;&gt;"&amp;""""", NOT(REGEXMATCH(C14427, ""薪資""))), ""內部轉帳(忽略)"",
  REGEXMATCH(C14427, ""薪資""), ""薪資變動(不計入)"",
  REGEXMATCH(C14427, ""押金""), ""押金往來"",
  AND(E14427&lt;&gt;"""", F14427=""""), ""真實支出"",
  AND(E14427="""", F14427&lt;&gt;""""), ""真實收入"",
  TRUE, ""其他""
)"),"其他")</f>
        <v>其他</v>
      </c>
      <c r="K14427" s="270" t="str">
        <f t="shared" si="2"/>
        <v/>
      </c>
      <c r="L14427">
        <f t="shared" si="3"/>
        <v>0</v>
      </c>
    </row>
    <row r="14428">
      <c r="A14428" s="107"/>
      <c r="D14428" s="270"/>
      <c r="H14428" s="106" t="str">
        <f t="shared" si="1"/>
        <v/>
      </c>
      <c r="J14428" t="str">
        <f>IFERROR(__xludf.DUMMYFUNCTION("IFS(
  AND(REGEXMATCH(E14428, ""台銀籌備帳戶|玉山帳戶""), REGEXMATCH(C14428, ""薪資"")), ""分潤支出"",
  AND(REGEXMATCH(E14428, ""Ben帳戶|Elsa帳戶|Ben代墊|Ariel代墊|中信銀行共用""), REGEXMATCH(F14428, ""Ben帳戶|Elsa帳戶|Ben代墊|Ariel代墊|中信銀行共用"")), ""內部轉帳(忽略)"",
  AND(E14428&lt;&gt;"""", F14428&lt;&gt;"&amp;""""", NOT(REGEXMATCH(C14428, ""薪資""))), ""內部轉帳(忽略)"",
  REGEXMATCH(C14428, ""薪資""), ""薪資變動(不計入)"",
  REGEXMATCH(C14428, ""押金""), ""押金往來"",
  AND(E14428&lt;&gt;"""", F14428=""""), ""真實支出"",
  AND(E14428="""", F14428&lt;&gt;""""), ""真實收入"",
  TRUE, ""其他""
)"),"其他")</f>
        <v>其他</v>
      </c>
      <c r="K14428" s="270" t="str">
        <f t="shared" si="2"/>
        <v/>
      </c>
      <c r="L14428">
        <f t="shared" si="3"/>
        <v>0</v>
      </c>
    </row>
    <row r="14429">
      <c r="A14429" s="107"/>
      <c r="D14429" s="270"/>
      <c r="H14429" s="106" t="str">
        <f t="shared" si="1"/>
        <v/>
      </c>
      <c r="J14429" t="str">
        <f>IFERROR(__xludf.DUMMYFUNCTION("IFS(
  AND(REGEXMATCH(E14429, ""台銀籌備帳戶|玉山帳戶""), REGEXMATCH(C14429, ""薪資"")), ""分潤支出"",
  AND(REGEXMATCH(E14429, ""Ben帳戶|Elsa帳戶|Ben代墊|Ariel代墊|中信銀行共用""), REGEXMATCH(F14429, ""Ben帳戶|Elsa帳戶|Ben代墊|Ariel代墊|中信銀行共用"")), ""內部轉帳(忽略)"",
  AND(E14429&lt;&gt;"""", F14429&lt;&gt;"&amp;""""", NOT(REGEXMATCH(C14429, ""薪資""))), ""內部轉帳(忽略)"",
  REGEXMATCH(C14429, ""薪資""), ""薪資變動(不計入)"",
  REGEXMATCH(C14429, ""押金""), ""押金往來"",
  AND(E14429&lt;&gt;"""", F14429=""""), ""真實支出"",
  AND(E14429="""", F14429&lt;&gt;""""), ""真實收入"",
  TRUE, ""其他""
)"),"其他")</f>
        <v>其他</v>
      </c>
      <c r="K14429" s="270" t="str">
        <f t="shared" si="2"/>
        <v/>
      </c>
      <c r="L14429">
        <f t="shared" si="3"/>
        <v>0</v>
      </c>
    </row>
    <row r="14430">
      <c r="A14430" s="107"/>
      <c r="D14430" s="270"/>
      <c r="H14430" s="106" t="str">
        <f t="shared" si="1"/>
        <v/>
      </c>
      <c r="J14430" t="str">
        <f>IFERROR(__xludf.DUMMYFUNCTION("IFS(
  AND(REGEXMATCH(E14430, ""台銀籌備帳戶|玉山帳戶""), REGEXMATCH(C14430, ""薪資"")), ""分潤支出"",
  AND(REGEXMATCH(E14430, ""Ben帳戶|Elsa帳戶|Ben代墊|Ariel代墊|中信銀行共用""), REGEXMATCH(F14430, ""Ben帳戶|Elsa帳戶|Ben代墊|Ariel代墊|中信銀行共用"")), ""內部轉帳(忽略)"",
  AND(E14430&lt;&gt;"""", F14430&lt;&gt;"&amp;""""", NOT(REGEXMATCH(C14430, ""薪資""))), ""內部轉帳(忽略)"",
  REGEXMATCH(C14430, ""薪資""), ""薪資變動(不計入)"",
  REGEXMATCH(C14430, ""押金""), ""押金往來"",
  AND(E14430&lt;&gt;"""", F14430=""""), ""真實支出"",
  AND(E14430="""", F14430&lt;&gt;""""), ""真實收入"",
  TRUE, ""其他""
)"),"其他")</f>
        <v>其他</v>
      </c>
      <c r="K14430" s="270" t="str">
        <f t="shared" si="2"/>
        <v/>
      </c>
      <c r="L14430">
        <f t="shared" si="3"/>
        <v>0</v>
      </c>
    </row>
    <row r="14431">
      <c r="A14431" s="107"/>
      <c r="D14431" s="270"/>
      <c r="H14431" s="106" t="str">
        <f t="shared" si="1"/>
        <v/>
      </c>
      <c r="J14431" t="str">
        <f>IFERROR(__xludf.DUMMYFUNCTION("IFS(
  AND(REGEXMATCH(E14431, ""台銀籌備帳戶|玉山帳戶""), REGEXMATCH(C14431, ""薪資"")), ""分潤支出"",
  AND(REGEXMATCH(E14431, ""Ben帳戶|Elsa帳戶|Ben代墊|Ariel代墊|中信銀行共用""), REGEXMATCH(F14431, ""Ben帳戶|Elsa帳戶|Ben代墊|Ariel代墊|中信銀行共用"")), ""內部轉帳(忽略)"",
  AND(E14431&lt;&gt;"""", F14431&lt;&gt;"&amp;""""", NOT(REGEXMATCH(C14431, ""薪資""))), ""內部轉帳(忽略)"",
  REGEXMATCH(C14431, ""薪資""), ""薪資變動(不計入)"",
  REGEXMATCH(C14431, ""押金""), ""押金往來"",
  AND(E14431&lt;&gt;"""", F14431=""""), ""真實支出"",
  AND(E14431="""", F14431&lt;&gt;""""), ""真實收入"",
  TRUE, ""其他""
)"),"其他")</f>
        <v>其他</v>
      </c>
      <c r="K14431" s="270" t="str">
        <f t="shared" si="2"/>
        <v/>
      </c>
      <c r="L14431">
        <f t="shared" si="3"/>
        <v>0</v>
      </c>
    </row>
    <row r="14432">
      <c r="A14432" s="107"/>
      <c r="D14432" s="270"/>
      <c r="H14432" s="106" t="str">
        <f t="shared" si="1"/>
        <v/>
      </c>
      <c r="J14432" t="str">
        <f>IFERROR(__xludf.DUMMYFUNCTION("IFS(
  AND(REGEXMATCH(E14432, ""台銀籌備帳戶|玉山帳戶""), REGEXMATCH(C14432, ""薪資"")), ""分潤支出"",
  AND(REGEXMATCH(E14432, ""Ben帳戶|Elsa帳戶|Ben代墊|Ariel代墊|中信銀行共用""), REGEXMATCH(F14432, ""Ben帳戶|Elsa帳戶|Ben代墊|Ariel代墊|中信銀行共用"")), ""內部轉帳(忽略)"",
  AND(E14432&lt;&gt;"""", F14432&lt;&gt;"&amp;""""", NOT(REGEXMATCH(C14432, ""薪資""))), ""內部轉帳(忽略)"",
  REGEXMATCH(C14432, ""薪資""), ""薪資變動(不計入)"",
  REGEXMATCH(C14432, ""押金""), ""押金往來"",
  AND(E14432&lt;&gt;"""", F14432=""""), ""真實支出"",
  AND(E14432="""", F14432&lt;&gt;""""), ""真實收入"",
  TRUE, ""其他""
)"),"其他")</f>
        <v>其他</v>
      </c>
      <c r="K14432" s="270" t="str">
        <f t="shared" si="2"/>
        <v/>
      </c>
      <c r="L14432">
        <f t="shared" si="3"/>
        <v>0</v>
      </c>
    </row>
    <row r="14433">
      <c r="A14433" s="107"/>
      <c r="D14433" s="270"/>
      <c r="H14433" s="106" t="str">
        <f t="shared" si="1"/>
        <v/>
      </c>
      <c r="J14433" t="str">
        <f>IFERROR(__xludf.DUMMYFUNCTION("IFS(
  AND(REGEXMATCH(E14433, ""台銀籌備帳戶|玉山帳戶""), REGEXMATCH(C14433, ""薪資"")), ""分潤支出"",
  AND(REGEXMATCH(E14433, ""Ben帳戶|Elsa帳戶|Ben代墊|Ariel代墊|中信銀行共用""), REGEXMATCH(F14433, ""Ben帳戶|Elsa帳戶|Ben代墊|Ariel代墊|中信銀行共用"")), ""內部轉帳(忽略)"",
  AND(E14433&lt;&gt;"""", F14433&lt;&gt;"&amp;""""", NOT(REGEXMATCH(C14433, ""薪資""))), ""內部轉帳(忽略)"",
  REGEXMATCH(C14433, ""薪資""), ""薪資變動(不計入)"",
  REGEXMATCH(C14433, ""押金""), ""押金往來"",
  AND(E14433&lt;&gt;"""", F14433=""""), ""真實支出"",
  AND(E14433="""", F14433&lt;&gt;""""), ""真實收入"",
  TRUE, ""其他""
)"),"其他")</f>
        <v>其他</v>
      </c>
      <c r="K14433" s="270" t="str">
        <f t="shared" si="2"/>
        <v/>
      </c>
      <c r="L14433">
        <f t="shared" si="3"/>
        <v>0</v>
      </c>
    </row>
    <row r="14434">
      <c r="A14434" s="107"/>
      <c r="D14434" s="270"/>
      <c r="H14434" s="106" t="str">
        <f t="shared" si="1"/>
        <v/>
      </c>
      <c r="J14434" t="str">
        <f>IFERROR(__xludf.DUMMYFUNCTION("IFS(
  AND(REGEXMATCH(E14434, ""台銀籌備帳戶|玉山帳戶""), REGEXMATCH(C14434, ""薪資"")), ""分潤支出"",
  AND(REGEXMATCH(E14434, ""Ben帳戶|Elsa帳戶|Ben代墊|Ariel代墊|中信銀行共用""), REGEXMATCH(F14434, ""Ben帳戶|Elsa帳戶|Ben代墊|Ariel代墊|中信銀行共用"")), ""內部轉帳(忽略)"",
  AND(E14434&lt;&gt;"""", F14434&lt;&gt;"&amp;""""", NOT(REGEXMATCH(C14434, ""薪資""))), ""內部轉帳(忽略)"",
  REGEXMATCH(C14434, ""薪資""), ""薪資變動(不計入)"",
  REGEXMATCH(C14434, ""押金""), ""押金往來"",
  AND(E14434&lt;&gt;"""", F14434=""""), ""真實支出"",
  AND(E14434="""", F14434&lt;&gt;""""), ""真實收入"",
  TRUE, ""其他""
)"),"其他")</f>
        <v>其他</v>
      </c>
      <c r="K14434" s="270" t="str">
        <f t="shared" si="2"/>
        <v/>
      </c>
      <c r="L14434">
        <f t="shared" si="3"/>
        <v>0</v>
      </c>
    </row>
    <row r="14435">
      <c r="A14435" s="107"/>
      <c r="D14435" s="270"/>
      <c r="H14435" s="106" t="str">
        <f t="shared" si="1"/>
        <v/>
      </c>
      <c r="J14435" t="str">
        <f>IFERROR(__xludf.DUMMYFUNCTION("IFS(
  AND(REGEXMATCH(E14435, ""台銀籌備帳戶|玉山帳戶""), REGEXMATCH(C14435, ""薪資"")), ""分潤支出"",
  AND(REGEXMATCH(E14435, ""Ben帳戶|Elsa帳戶|Ben代墊|Ariel代墊|中信銀行共用""), REGEXMATCH(F14435, ""Ben帳戶|Elsa帳戶|Ben代墊|Ariel代墊|中信銀行共用"")), ""內部轉帳(忽略)"",
  AND(E14435&lt;&gt;"""", F14435&lt;&gt;"&amp;""""", NOT(REGEXMATCH(C14435, ""薪資""))), ""內部轉帳(忽略)"",
  REGEXMATCH(C14435, ""薪資""), ""薪資變動(不計入)"",
  REGEXMATCH(C14435, ""押金""), ""押金往來"",
  AND(E14435&lt;&gt;"""", F14435=""""), ""真實支出"",
  AND(E14435="""", F14435&lt;&gt;""""), ""真實收入"",
  TRUE, ""其他""
)"),"其他")</f>
        <v>其他</v>
      </c>
      <c r="K14435" s="270" t="str">
        <f t="shared" si="2"/>
        <v/>
      </c>
      <c r="L14435">
        <f t="shared" si="3"/>
        <v>0</v>
      </c>
    </row>
    <row r="14436">
      <c r="A14436" s="107"/>
      <c r="D14436" s="270"/>
      <c r="H14436" s="106" t="str">
        <f t="shared" si="1"/>
        <v/>
      </c>
      <c r="J14436" t="str">
        <f>IFERROR(__xludf.DUMMYFUNCTION("IFS(
  AND(REGEXMATCH(E14436, ""台銀籌備帳戶|玉山帳戶""), REGEXMATCH(C14436, ""薪資"")), ""分潤支出"",
  AND(REGEXMATCH(E14436, ""Ben帳戶|Elsa帳戶|Ben代墊|Ariel代墊|中信銀行共用""), REGEXMATCH(F14436, ""Ben帳戶|Elsa帳戶|Ben代墊|Ariel代墊|中信銀行共用"")), ""內部轉帳(忽略)"",
  AND(E14436&lt;&gt;"""", F14436&lt;&gt;"&amp;""""", NOT(REGEXMATCH(C14436, ""薪資""))), ""內部轉帳(忽略)"",
  REGEXMATCH(C14436, ""薪資""), ""薪資變動(不計入)"",
  REGEXMATCH(C14436, ""押金""), ""押金往來"",
  AND(E14436&lt;&gt;"""", F14436=""""), ""真實支出"",
  AND(E14436="""", F14436&lt;&gt;""""), ""真實收入"",
  TRUE, ""其他""
)"),"其他")</f>
        <v>其他</v>
      </c>
      <c r="K14436" s="270" t="str">
        <f t="shared" si="2"/>
        <v/>
      </c>
      <c r="L14436">
        <f t="shared" si="3"/>
        <v>0</v>
      </c>
    </row>
    <row r="14437">
      <c r="A14437" s="107"/>
      <c r="D14437" s="270"/>
      <c r="H14437" s="106" t="str">
        <f t="shared" si="1"/>
        <v/>
      </c>
      <c r="J14437" t="str">
        <f>IFERROR(__xludf.DUMMYFUNCTION("IFS(
  AND(REGEXMATCH(E14437, ""台銀籌備帳戶|玉山帳戶""), REGEXMATCH(C14437, ""薪資"")), ""分潤支出"",
  AND(REGEXMATCH(E14437, ""Ben帳戶|Elsa帳戶|Ben代墊|Ariel代墊|中信銀行共用""), REGEXMATCH(F14437, ""Ben帳戶|Elsa帳戶|Ben代墊|Ariel代墊|中信銀行共用"")), ""內部轉帳(忽略)"",
  AND(E14437&lt;&gt;"""", F14437&lt;&gt;"&amp;""""", NOT(REGEXMATCH(C14437, ""薪資""))), ""內部轉帳(忽略)"",
  REGEXMATCH(C14437, ""薪資""), ""薪資變動(不計入)"",
  REGEXMATCH(C14437, ""押金""), ""押金往來"",
  AND(E14437&lt;&gt;"""", F14437=""""), ""真實支出"",
  AND(E14437="""", F14437&lt;&gt;""""), ""真實收入"",
  TRUE, ""其他""
)"),"其他")</f>
        <v>其他</v>
      </c>
      <c r="K14437" s="270" t="str">
        <f t="shared" si="2"/>
        <v/>
      </c>
      <c r="L14437">
        <f t="shared" si="3"/>
        <v>0</v>
      </c>
    </row>
    <row r="14438">
      <c r="A14438" s="107"/>
      <c r="D14438" s="270"/>
      <c r="H14438" s="106" t="str">
        <f t="shared" si="1"/>
        <v/>
      </c>
      <c r="J14438" t="str">
        <f>IFERROR(__xludf.DUMMYFUNCTION("IFS(
  AND(REGEXMATCH(E14438, ""台銀籌備帳戶|玉山帳戶""), REGEXMATCH(C14438, ""薪資"")), ""分潤支出"",
  AND(REGEXMATCH(E14438, ""Ben帳戶|Elsa帳戶|Ben代墊|Ariel代墊|中信銀行共用""), REGEXMATCH(F14438, ""Ben帳戶|Elsa帳戶|Ben代墊|Ariel代墊|中信銀行共用"")), ""內部轉帳(忽略)"",
  AND(E14438&lt;&gt;"""", F14438&lt;&gt;"&amp;""""", NOT(REGEXMATCH(C14438, ""薪資""))), ""內部轉帳(忽略)"",
  REGEXMATCH(C14438, ""薪資""), ""薪資變動(不計入)"",
  REGEXMATCH(C14438, ""押金""), ""押金往來"",
  AND(E14438&lt;&gt;"""", F14438=""""), ""真實支出"",
  AND(E14438="""", F14438&lt;&gt;""""), ""真實收入"",
  TRUE, ""其他""
)"),"其他")</f>
        <v>其他</v>
      </c>
      <c r="K14438" s="270" t="str">
        <f t="shared" si="2"/>
        <v/>
      </c>
      <c r="L14438">
        <f t="shared" si="3"/>
        <v>0</v>
      </c>
    </row>
    <row r="14439">
      <c r="A14439" s="107"/>
      <c r="D14439" s="270"/>
      <c r="H14439" s="106" t="str">
        <f t="shared" si="1"/>
        <v/>
      </c>
      <c r="J14439" t="str">
        <f>IFERROR(__xludf.DUMMYFUNCTION("IFS(
  AND(REGEXMATCH(E14439, ""台銀籌備帳戶|玉山帳戶""), REGEXMATCH(C14439, ""薪資"")), ""分潤支出"",
  AND(REGEXMATCH(E14439, ""Ben帳戶|Elsa帳戶|Ben代墊|Ariel代墊|中信銀行共用""), REGEXMATCH(F14439, ""Ben帳戶|Elsa帳戶|Ben代墊|Ariel代墊|中信銀行共用"")), ""內部轉帳(忽略)"",
  AND(E14439&lt;&gt;"""", F14439&lt;&gt;"&amp;""""", NOT(REGEXMATCH(C14439, ""薪資""))), ""內部轉帳(忽略)"",
  REGEXMATCH(C14439, ""薪資""), ""薪資變動(不計入)"",
  REGEXMATCH(C14439, ""押金""), ""押金往來"",
  AND(E14439&lt;&gt;"""", F14439=""""), ""真實支出"",
  AND(E14439="""", F14439&lt;&gt;""""), ""真實收入"",
  TRUE, ""其他""
)"),"其他")</f>
        <v>其他</v>
      </c>
      <c r="K14439" s="270" t="str">
        <f t="shared" si="2"/>
        <v/>
      </c>
      <c r="L14439">
        <f t="shared" si="3"/>
        <v>0</v>
      </c>
    </row>
    <row r="14440">
      <c r="A14440" s="107"/>
      <c r="D14440" s="270"/>
      <c r="H14440" s="106" t="str">
        <f t="shared" si="1"/>
        <v/>
      </c>
      <c r="J14440" t="str">
        <f>IFERROR(__xludf.DUMMYFUNCTION("IFS(
  AND(REGEXMATCH(E14440, ""台銀籌備帳戶|玉山帳戶""), REGEXMATCH(C14440, ""薪資"")), ""分潤支出"",
  AND(REGEXMATCH(E14440, ""Ben帳戶|Elsa帳戶|Ben代墊|Ariel代墊|中信銀行共用""), REGEXMATCH(F14440, ""Ben帳戶|Elsa帳戶|Ben代墊|Ariel代墊|中信銀行共用"")), ""內部轉帳(忽略)"",
  AND(E14440&lt;&gt;"""", F14440&lt;&gt;"&amp;""""", NOT(REGEXMATCH(C14440, ""薪資""))), ""內部轉帳(忽略)"",
  REGEXMATCH(C14440, ""薪資""), ""薪資變動(不計入)"",
  REGEXMATCH(C14440, ""押金""), ""押金往來"",
  AND(E14440&lt;&gt;"""", F14440=""""), ""真實支出"",
  AND(E14440="""", F14440&lt;&gt;""""), ""真實收入"",
  TRUE, ""其他""
)"),"其他")</f>
        <v>其他</v>
      </c>
      <c r="K14440" s="270" t="str">
        <f t="shared" si="2"/>
        <v/>
      </c>
      <c r="L14440">
        <f t="shared" si="3"/>
        <v>0</v>
      </c>
    </row>
    <row r="14441">
      <c r="A14441" s="107"/>
      <c r="D14441" s="270"/>
      <c r="H14441" s="106" t="str">
        <f t="shared" si="1"/>
        <v/>
      </c>
      <c r="J14441" t="str">
        <f>IFERROR(__xludf.DUMMYFUNCTION("IFS(
  AND(REGEXMATCH(E14441, ""台銀籌備帳戶|玉山帳戶""), REGEXMATCH(C14441, ""薪資"")), ""分潤支出"",
  AND(REGEXMATCH(E14441, ""Ben帳戶|Elsa帳戶|Ben代墊|Ariel代墊|中信銀行共用""), REGEXMATCH(F14441, ""Ben帳戶|Elsa帳戶|Ben代墊|Ariel代墊|中信銀行共用"")), ""內部轉帳(忽略)"",
  AND(E14441&lt;&gt;"""", F14441&lt;&gt;"&amp;""""", NOT(REGEXMATCH(C14441, ""薪資""))), ""內部轉帳(忽略)"",
  REGEXMATCH(C14441, ""薪資""), ""薪資變動(不計入)"",
  REGEXMATCH(C14441, ""押金""), ""押金往來"",
  AND(E14441&lt;&gt;"""", F14441=""""), ""真實支出"",
  AND(E14441="""", F14441&lt;&gt;""""), ""真實收入"",
  TRUE, ""其他""
)"),"其他")</f>
        <v>其他</v>
      </c>
      <c r="K14441" s="270" t="str">
        <f t="shared" si="2"/>
        <v/>
      </c>
      <c r="L14441">
        <f t="shared" si="3"/>
        <v>0</v>
      </c>
    </row>
    <row r="14442">
      <c r="A14442" s="107"/>
      <c r="D14442" s="270"/>
      <c r="H14442" s="106" t="str">
        <f t="shared" si="1"/>
        <v/>
      </c>
      <c r="J14442" t="str">
        <f>IFERROR(__xludf.DUMMYFUNCTION("IFS(
  AND(REGEXMATCH(E14442, ""台銀籌備帳戶|玉山帳戶""), REGEXMATCH(C14442, ""薪資"")), ""分潤支出"",
  AND(REGEXMATCH(E14442, ""Ben帳戶|Elsa帳戶|Ben代墊|Ariel代墊|中信銀行共用""), REGEXMATCH(F14442, ""Ben帳戶|Elsa帳戶|Ben代墊|Ariel代墊|中信銀行共用"")), ""內部轉帳(忽略)"",
  AND(E14442&lt;&gt;"""", F14442&lt;&gt;"&amp;""""", NOT(REGEXMATCH(C14442, ""薪資""))), ""內部轉帳(忽略)"",
  REGEXMATCH(C14442, ""薪資""), ""薪資變動(不計入)"",
  REGEXMATCH(C14442, ""押金""), ""押金往來"",
  AND(E14442&lt;&gt;"""", F14442=""""), ""真實支出"",
  AND(E14442="""", F14442&lt;&gt;""""), ""真實收入"",
  TRUE, ""其他""
)"),"其他")</f>
        <v>其他</v>
      </c>
      <c r="K14442" s="270" t="str">
        <f t="shared" si="2"/>
        <v/>
      </c>
      <c r="L14442">
        <f t="shared" si="3"/>
        <v>0</v>
      </c>
    </row>
    <row r="14443">
      <c r="A14443" s="107"/>
      <c r="D14443" s="270"/>
      <c r="H14443" s="106" t="str">
        <f t="shared" si="1"/>
        <v/>
      </c>
      <c r="J14443" t="str">
        <f>IFERROR(__xludf.DUMMYFUNCTION("IFS(
  AND(REGEXMATCH(E14443, ""台銀籌備帳戶|玉山帳戶""), REGEXMATCH(C14443, ""薪資"")), ""分潤支出"",
  AND(REGEXMATCH(E14443, ""Ben帳戶|Elsa帳戶|Ben代墊|Ariel代墊|中信銀行共用""), REGEXMATCH(F14443, ""Ben帳戶|Elsa帳戶|Ben代墊|Ariel代墊|中信銀行共用"")), ""內部轉帳(忽略)"",
  AND(E14443&lt;&gt;"""", F14443&lt;&gt;"&amp;""""", NOT(REGEXMATCH(C14443, ""薪資""))), ""內部轉帳(忽略)"",
  REGEXMATCH(C14443, ""薪資""), ""薪資變動(不計入)"",
  REGEXMATCH(C14443, ""押金""), ""押金往來"",
  AND(E14443&lt;&gt;"""", F14443=""""), ""真實支出"",
  AND(E14443="""", F14443&lt;&gt;""""), ""真實收入"",
  TRUE, ""其他""
)"),"其他")</f>
        <v>其他</v>
      </c>
      <c r="K14443" s="270" t="str">
        <f t="shared" si="2"/>
        <v/>
      </c>
      <c r="L14443">
        <f t="shared" si="3"/>
        <v>0</v>
      </c>
    </row>
    <row r="14444">
      <c r="A14444" s="107"/>
      <c r="D14444" s="270"/>
      <c r="H14444" s="106" t="str">
        <f t="shared" si="1"/>
        <v/>
      </c>
      <c r="J14444" t="str">
        <f>IFERROR(__xludf.DUMMYFUNCTION("IFS(
  AND(REGEXMATCH(E14444, ""台銀籌備帳戶|玉山帳戶""), REGEXMATCH(C14444, ""薪資"")), ""分潤支出"",
  AND(REGEXMATCH(E14444, ""Ben帳戶|Elsa帳戶|Ben代墊|Ariel代墊|中信銀行共用""), REGEXMATCH(F14444, ""Ben帳戶|Elsa帳戶|Ben代墊|Ariel代墊|中信銀行共用"")), ""內部轉帳(忽略)"",
  AND(E14444&lt;&gt;"""", F14444&lt;&gt;"&amp;""""", NOT(REGEXMATCH(C14444, ""薪資""))), ""內部轉帳(忽略)"",
  REGEXMATCH(C14444, ""薪資""), ""薪資變動(不計入)"",
  REGEXMATCH(C14444, ""押金""), ""押金往來"",
  AND(E14444&lt;&gt;"""", F14444=""""), ""真實支出"",
  AND(E14444="""", F14444&lt;&gt;""""), ""真實收入"",
  TRUE, ""其他""
)"),"其他")</f>
        <v>其他</v>
      </c>
      <c r="K14444" s="270" t="str">
        <f t="shared" si="2"/>
        <v/>
      </c>
      <c r="L14444">
        <f t="shared" si="3"/>
        <v>0</v>
      </c>
    </row>
    <row r="14445">
      <c r="A14445" s="107"/>
      <c r="D14445" s="270"/>
      <c r="H14445" s="106" t="str">
        <f t="shared" si="1"/>
        <v/>
      </c>
      <c r="J14445" t="str">
        <f>IFERROR(__xludf.DUMMYFUNCTION("IFS(
  AND(REGEXMATCH(E14445, ""台銀籌備帳戶|玉山帳戶""), REGEXMATCH(C14445, ""薪資"")), ""分潤支出"",
  AND(REGEXMATCH(E14445, ""Ben帳戶|Elsa帳戶|Ben代墊|Ariel代墊|中信銀行共用""), REGEXMATCH(F14445, ""Ben帳戶|Elsa帳戶|Ben代墊|Ariel代墊|中信銀行共用"")), ""內部轉帳(忽略)"",
  AND(E14445&lt;&gt;"""", F14445&lt;&gt;"&amp;""""", NOT(REGEXMATCH(C14445, ""薪資""))), ""內部轉帳(忽略)"",
  REGEXMATCH(C14445, ""薪資""), ""薪資變動(不計入)"",
  REGEXMATCH(C14445, ""押金""), ""押金往來"",
  AND(E14445&lt;&gt;"""", F14445=""""), ""真實支出"",
  AND(E14445="""", F14445&lt;&gt;""""), ""真實收入"",
  TRUE, ""其他""
)"),"其他")</f>
        <v>其他</v>
      </c>
      <c r="K14445" s="270" t="str">
        <f t="shared" si="2"/>
        <v/>
      </c>
      <c r="L14445">
        <f t="shared" si="3"/>
        <v>0</v>
      </c>
    </row>
    <row r="14446">
      <c r="A14446" s="107"/>
      <c r="D14446" s="270"/>
      <c r="H14446" s="106" t="str">
        <f t="shared" si="1"/>
        <v/>
      </c>
      <c r="J14446" t="str">
        <f>IFERROR(__xludf.DUMMYFUNCTION("IFS(
  AND(REGEXMATCH(E14446, ""台銀籌備帳戶|玉山帳戶""), REGEXMATCH(C14446, ""薪資"")), ""分潤支出"",
  AND(REGEXMATCH(E14446, ""Ben帳戶|Elsa帳戶|Ben代墊|Ariel代墊|中信銀行共用""), REGEXMATCH(F14446, ""Ben帳戶|Elsa帳戶|Ben代墊|Ariel代墊|中信銀行共用"")), ""內部轉帳(忽略)"",
  AND(E14446&lt;&gt;"""", F14446&lt;&gt;"&amp;""""", NOT(REGEXMATCH(C14446, ""薪資""))), ""內部轉帳(忽略)"",
  REGEXMATCH(C14446, ""薪資""), ""薪資變動(不計入)"",
  REGEXMATCH(C14446, ""押金""), ""押金往來"",
  AND(E14446&lt;&gt;"""", F14446=""""), ""真實支出"",
  AND(E14446="""", F14446&lt;&gt;""""), ""真實收入"",
  TRUE, ""其他""
)"),"其他")</f>
        <v>其他</v>
      </c>
      <c r="K14446" s="270" t="str">
        <f t="shared" si="2"/>
        <v/>
      </c>
      <c r="L14446">
        <f t="shared" si="3"/>
        <v>0</v>
      </c>
    </row>
    <row r="14447">
      <c r="A14447" s="107"/>
      <c r="D14447" s="270"/>
      <c r="H14447" s="106" t="str">
        <f t="shared" si="1"/>
        <v/>
      </c>
      <c r="J14447" t="str">
        <f>IFERROR(__xludf.DUMMYFUNCTION("IFS(
  AND(REGEXMATCH(E14447, ""台銀籌備帳戶|玉山帳戶""), REGEXMATCH(C14447, ""薪資"")), ""分潤支出"",
  AND(REGEXMATCH(E14447, ""Ben帳戶|Elsa帳戶|Ben代墊|Ariel代墊|中信銀行共用""), REGEXMATCH(F14447, ""Ben帳戶|Elsa帳戶|Ben代墊|Ariel代墊|中信銀行共用"")), ""內部轉帳(忽略)"",
  AND(E14447&lt;&gt;"""", F14447&lt;&gt;"&amp;""""", NOT(REGEXMATCH(C14447, ""薪資""))), ""內部轉帳(忽略)"",
  REGEXMATCH(C14447, ""薪資""), ""薪資變動(不計入)"",
  REGEXMATCH(C14447, ""押金""), ""押金往來"",
  AND(E14447&lt;&gt;"""", F14447=""""), ""真實支出"",
  AND(E14447="""", F14447&lt;&gt;""""), ""真實收入"",
  TRUE, ""其他""
)"),"其他")</f>
        <v>其他</v>
      </c>
      <c r="K14447" s="270" t="str">
        <f t="shared" si="2"/>
        <v/>
      </c>
      <c r="L14447">
        <f t="shared" si="3"/>
        <v>0</v>
      </c>
    </row>
    <row r="14448">
      <c r="A14448" s="107"/>
      <c r="D14448" s="270"/>
      <c r="H14448" s="106" t="str">
        <f t="shared" si="1"/>
        <v/>
      </c>
      <c r="J14448" t="str">
        <f>IFERROR(__xludf.DUMMYFUNCTION("IFS(
  AND(REGEXMATCH(E14448, ""台銀籌備帳戶|玉山帳戶""), REGEXMATCH(C14448, ""薪資"")), ""分潤支出"",
  AND(REGEXMATCH(E14448, ""Ben帳戶|Elsa帳戶|Ben代墊|Ariel代墊|中信銀行共用""), REGEXMATCH(F14448, ""Ben帳戶|Elsa帳戶|Ben代墊|Ariel代墊|中信銀行共用"")), ""內部轉帳(忽略)"",
  AND(E14448&lt;&gt;"""", F14448&lt;&gt;"&amp;""""", NOT(REGEXMATCH(C14448, ""薪資""))), ""內部轉帳(忽略)"",
  REGEXMATCH(C14448, ""薪資""), ""薪資變動(不計入)"",
  REGEXMATCH(C14448, ""押金""), ""押金往來"",
  AND(E14448&lt;&gt;"""", F14448=""""), ""真實支出"",
  AND(E14448="""", F14448&lt;&gt;""""), ""真實收入"",
  TRUE, ""其他""
)"),"其他")</f>
        <v>其他</v>
      </c>
      <c r="K14448" s="270" t="str">
        <f t="shared" si="2"/>
        <v/>
      </c>
      <c r="L14448">
        <f t="shared" si="3"/>
        <v>0</v>
      </c>
    </row>
    <row r="14449">
      <c r="A14449" s="107"/>
      <c r="D14449" s="270"/>
      <c r="H14449" s="106" t="str">
        <f t="shared" si="1"/>
        <v/>
      </c>
      <c r="J14449" t="str">
        <f>IFERROR(__xludf.DUMMYFUNCTION("IFS(
  AND(REGEXMATCH(E14449, ""台銀籌備帳戶|玉山帳戶""), REGEXMATCH(C14449, ""薪資"")), ""分潤支出"",
  AND(REGEXMATCH(E14449, ""Ben帳戶|Elsa帳戶|Ben代墊|Ariel代墊|中信銀行共用""), REGEXMATCH(F14449, ""Ben帳戶|Elsa帳戶|Ben代墊|Ariel代墊|中信銀行共用"")), ""內部轉帳(忽略)"",
  AND(E14449&lt;&gt;"""", F14449&lt;&gt;"&amp;""""", NOT(REGEXMATCH(C14449, ""薪資""))), ""內部轉帳(忽略)"",
  REGEXMATCH(C14449, ""薪資""), ""薪資變動(不計入)"",
  REGEXMATCH(C14449, ""押金""), ""押金往來"",
  AND(E14449&lt;&gt;"""", F14449=""""), ""真實支出"",
  AND(E14449="""", F14449&lt;&gt;""""), ""真實收入"",
  TRUE, ""其他""
)"),"其他")</f>
        <v>其他</v>
      </c>
      <c r="K14449" s="270" t="str">
        <f t="shared" si="2"/>
        <v/>
      </c>
      <c r="L14449">
        <f t="shared" si="3"/>
        <v>0</v>
      </c>
    </row>
    <row r="14450">
      <c r="A14450" s="107"/>
      <c r="D14450" s="270"/>
      <c r="H14450" s="106" t="str">
        <f t="shared" si="1"/>
        <v/>
      </c>
      <c r="J14450" t="str">
        <f>IFERROR(__xludf.DUMMYFUNCTION("IFS(
  AND(REGEXMATCH(E14450, ""台銀籌備帳戶|玉山帳戶""), REGEXMATCH(C14450, ""薪資"")), ""分潤支出"",
  AND(REGEXMATCH(E14450, ""Ben帳戶|Elsa帳戶|Ben代墊|Ariel代墊|中信銀行共用""), REGEXMATCH(F14450, ""Ben帳戶|Elsa帳戶|Ben代墊|Ariel代墊|中信銀行共用"")), ""內部轉帳(忽略)"",
  AND(E14450&lt;&gt;"""", F14450&lt;&gt;"&amp;""""", NOT(REGEXMATCH(C14450, ""薪資""))), ""內部轉帳(忽略)"",
  REGEXMATCH(C14450, ""薪資""), ""薪資變動(不計入)"",
  REGEXMATCH(C14450, ""押金""), ""押金往來"",
  AND(E14450&lt;&gt;"""", F14450=""""), ""真實支出"",
  AND(E14450="""", F14450&lt;&gt;""""), ""真實收入"",
  TRUE, ""其他""
)"),"其他")</f>
        <v>其他</v>
      </c>
      <c r="K14450" s="270" t="str">
        <f t="shared" si="2"/>
        <v/>
      </c>
      <c r="L14450">
        <f t="shared" si="3"/>
        <v>0</v>
      </c>
    </row>
    <row r="14451">
      <c r="A14451" s="107"/>
      <c r="D14451" s="270"/>
      <c r="H14451" s="106" t="str">
        <f t="shared" si="1"/>
        <v/>
      </c>
      <c r="J14451" t="str">
        <f>IFERROR(__xludf.DUMMYFUNCTION("IFS(
  AND(REGEXMATCH(E14451, ""台銀籌備帳戶|玉山帳戶""), REGEXMATCH(C14451, ""薪資"")), ""分潤支出"",
  AND(REGEXMATCH(E14451, ""Ben帳戶|Elsa帳戶|Ben代墊|Ariel代墊|中信銀行共用""), REGEXMATCH(F14451, ""Ben帳戶|Elsa帳戶|Ben代墊|Ariel代墊|中信銀行共用"")), ""內部轉帳(忽略)"",
  AND(E14451&lt;&gt;"""", F14451&lt;&gt;"&amp;""""", NOT(REGEXMATCH(C14451, ""薪資""))), ""內部轉帳(忽略)"",
  REGEXMATCH(C14451, ""薪資""), ""薪資變動(不計入)"",
  REGEXMATCH(C14451, ""押金""), ""押金往來"",
  AND(E14451&lt;&gt;"""", F14451=""""), ""真實支出"",
  AND(E14451="""", F14451&lt;&gt;""""), ""真實收入"",
  TRUE, ""其他""
)"),"其他")</f>
        <v>其他</v>
      </c>
      <c r="K14451" s="270" t="str">
        <f t="shared" si="2"/>
        <v/>
      </c>
      <c r="L14451">
        <f t="shared" si="3"/>
        <v>0</v>
      </c>
    </row>
    <row r="14452">
      <c r="A14452" s="107"/>
      <c r="D14452" s="270"/>
      <c r="H14452" s="106" t="str">
        <f t="shared" si="1"/>
        <v/>
      </c>
      <c r="J14452" t="str">
        <f>IFERROR(__xludf.DUMMYFUNCTION("IFS(
  AND(REGEXMATCH(E14452, ""台銀籌備帳戶|玉山帳戶""), REGEXMATCH(C14452, ""薪資"")), ""分潤支出"",
  AND(REGEXMATCH(E14452, ""Ben帳戶|Elsa帳戶|Ben代墊|Ariel代墊|中信銀行共用""), REGEXMATCH(F14452, ""Ben帳戶|Elsa帳戶|Ben代墊|Ariel代墊|中信銀行共用"")), ""內部轉帳(忽略)"",
  AND(E14452&lt;&gt;"""", F14452&lt;&gt;"&amp;""""", NOT(REGEXMATCH(C14452, ""薪資""))), ""內部轉帳(忽略)"",
  REGEXMATCH(C14452, ""薪資""), ""薪資變動(不計入)"",
  REGEXMATCH(C14452, ""押金""), ""押金往來"",
  AND(E14452&lt;&gt;"""", F14452=""""), ""真實支出"",
  AND(E14452="""", F14452&lt;&gt;""""), ""真實收入"",
  TRUE, ""其他""
)"),"其他")</f>
        <v>其他</v>
      </c>
      <c r="K14452" s="270" t="str">
        <f t="shared" si="2"/>
        <v/>
      </c>
      <c r="L14452">
        <f t="shared" si="3"/>
        <v>0</v>
      </c>
    </row>
    <row r="14453">
      <c r="A14453" s="107"/>
      <c r="D14453" s="270"/>
      <c r="H14453" s="106" t="str">
        <f t="shared" si="1"/>
        <v/>
      </c>
      <c r="J14453" t="str">
        <f>IFERROR(__xludf.DUMMYFUNCTION("IFS(
  AND(REGEXMATCH(E14453, ""台銀籌備帳戶|玉山帳戶""), REGEXMATCH(C14453, ""薪資"")), ""分潤支出"",
  AND(REGEXMATCH(E14453, ""Ben帳戶|Elsa帳戶|Ben代墊|Ariel代墊|中信銀行共用""), REGEXMATCH(F14453, ""Ben帳戶|Elsa帳戶|Ben代墊|Ariel代墊|中信銀行共用"")), ""內部轉帳(忽略)"",
  AND(E14453&lt;&gt;"""", F14453&lt;&gt;"&amp;""""", NOT(REGEXMATCH(C14453, ""薪資""))), ""內部轉帳(忽略)"",
  REGEXMATCH(C14453, ""薪資""), ""薪資變動(不計入)"",
  REGEXMATCH(C14453, ""押金""), ""押金往來"",
  AND(E14453&lt;&gt;"""", F14453=""""), ""真實支出"",
  AND(E14453="""", F14453&lt;&gt;""""), ""真實收入"",
  TRUE, ""其他""
)"),"其他")</f>
        <v>其他</v>
      </c>
      <c r="K14453" s="270" t="str">
        <f t="shared" si="2"/>
        <v/>
      </c>
      <c r="L14453">
        <f t="shared" si="3"/>
        <v>0</v>
      </c>
    </row>
    <row r="14454">
      <c r="A14454" s="107"/>
      <c r="D14454" s="270"/>
      <c r="H14454" s="106" t="str">
        <f t="shared" si="1"/>
        <v/>
      </c>
      <c r="J14454" t="str">
        <f>IFERROR(__xludf.DUMMYFUNCTION("IFS(
  AND(REGEXMATCH(E14454, ""台銀籌備帳戶|玉山帳戶""), REGEXMATCH(C14454, ""薪資"")), ""分潤支出"",
  AND(REGEXMATCH(E14454, ""Ben帳戶|Elsa帳戶|Ben代墊|Ariel代墊|中信銀行共用""), REGEXMATCH(F14454, ""Ben帳戶|Elsa帳戶|Ben代墊|Ariel代墊|中信銀行共用"")), ""內部轉帳(忽略)"",
  AND(E14454&lt;&gt;"""", F14454&lt;&gt;"&amp;""""", NOT(REGEXMATCH(C14454, ""薪資""))), ""內部轉帳(忽略)"",
  REGEXMATCH(C14454, ""薪資""), ""薪資變動(不計入)"",
  REGEXMATCH(C14454, ""押金""), ""押金往來"",
  AND(E14454&lt;&gt;"""", F14454=""""), ""真實支出"",
  AND(E14454="""", F14454&lt;&gt;""""), ""真實收入"",
  TRUE, ""其他""
)"),"其他")</f>
        <v>其他</v>
      </c>
      <c r="K14454" s="270" t="str">
        <f t="shared" si="2"/>
        <v/>
      </c>
      <c r="L14454">
        <f t="shared" si="3"/>
        <v>0</v>
      </c>
    </row>
    <row r="14455">
      <c r="A14455" s="107"/>
      <c r="D14455" s="270"/>
      <c r="H14455" s="106" t="str">
        <f t="shared" si="1"/>
        <v/>
      </c>
      <c r="J14455" t="str">
        <f>IFERROR(__xludf.DUMMYFUNCTION("IFS(
  AND(REGEXMATCH(E14455, ""台銀籌備帳戶|玉山帳戶""), REGEXMATCH(C14455, ""薪資"")), ""分潤支出"",
  AND(REGEXMATCH(E14455, ""Ben帳戶|Elsa帳戶|Ben代墊|Ariel代墊|中信銀行共用""), REGEXMATCH(F14455, ""Ben帳戶|Elsa帳戶|Ben代墊|Ariel代墊|中信銀行共用"")), ""內部轉帳(忽略)"",
  AND(E14455&lt;&gt;"""", F14455&lt;&gt;"&amp;""""", NOT(REGEXMATCH(C14455, ""薪資""))), ""內部轉帳(忽略)"",
  REGEXMATCH(C14455, ""薪資""), ""薪資變動(不計入)"",
  REGEXMATCH(C14455, ""押金""), ""押金往來"",
  AND(E14455&lt;&gt;"""", F14455=""""), ""真實支出"",
  AND(E14455="""", F14455&lt;&gt;""""), ""真實收入"",
  TRUE, ""其他""
)"),"其他")</f>
        <v>其他</v>
      </c>
      <c r="K14455" s="270" t="str">
        <f t="shared" si="2"/>
        <v/>
      </c>
      <c r="L14455">
        <f t="shared" si="3"/>
        <v>0</v>
      </c>
    </row>
    <row r="14456">
      <c r="A14456" s="107"/>
      <c r="D14456" s="270"/>
      <c r="H14456" s="106" t="str">
        <f t="shared" si="1"/>
        <v/>
      </c>
      <c r="J14456" t="str">
        <f>IFERROR(__xludf.DUMMYFUNCTION("IFS(
  AND(REGEXMATCH(E14456, ""台銀籌備帳戶|玉山帳戶""), REGEXMATCH(C14456, ""薪資"")), ""分潤支出"",
  AND(REGEXMATCH(E14456, ""Ben帳戶|Elsa帳戶|Ben代墊|Ariel代墊|中信銀行共用""), REGEXMATCH(F14456, ""Ben帳戶|Elsa帳戶|Ben代墊|Ariel代墊|中信銀行共用"")), ""內部轉帳(忽略)"",
  AND(E14456&lt;&gt;"""", F14456&lt;&gt;"&amp;""""", NOT(REGEXMATCH(C14456, ""薪資""))), ""內部轉帳(忽略)"",
  REGEXMATCH(C14456, ""薪資""), ""薪資變動(不計入)"",
  REGEXMATCH(C14456, ""押金""), ""押金往來"",
  AND(E14456&lt;&gt;"""", F14456=""""), ""真實支出"",
  AND(E14456="""", F14456&lt;&gt;""""), ""真實收入"",
  TRUE, ""其他""
)"),"其他")</f>
        <v>其他</v>
      </c>
      <c r="K14456" s="270" t="str">
        <f t="shared" si="2"/>
        <v/>
      </c>
      <c r="L14456">
        <f t="shared" si="3"/>
        <v>0</v>
      </c>
    </row>
    <row r="14457">
      <c r="A14457" s="107"/>
      <c r="D14457" s="270"/>
      <c r="H14457" s="106" t="str">
        <f t="shared" si="1"/>
        <v/>
      </c>
      <c r="J14457" t="str">
        <f>IFERROR(__xludf.DUMMYFUNCTION("IFS(
  AND(REGEXMATCH(E14457, ""台銀籌備帳戶|玉山帳戶""), REGEXMATCH(C14457, ""薪資"")), ""分潤支出"",
  AND(REGEXMATCH(E14457, ""Ben帳戶|Elsa帳戶|Ben代墊|Ariel代墊|中信銀行共用""), REGEXMATCH(F14457, ""Ben帳戶|Elsa帳戶|Ben代墊|Ariel代墊|中信銀行共用"")), ""內部轉帳(忽略)"",
  AND(E14457&lt;&gt;"""", F14457&lt;&gt;"&amp;""""", NOT(REGEXMATCH(C14457, ""薪資""))), ""內部轉帳(忽略)"",
  REGEXMATCH(C14457, ""薪資""), ""薪資變動(不計入)"",
  REGEXMATCH(C14457, ""押金""), ""押金往來"",
  AND(E14457&lt;&gt;"""", F14457=""""), ""真實支出"",
  AND(E14457="""", F14457&lt;&gt;""""), ""真實收入"",
  TRUE, ""其他""
)"),"其他")</f>
        <v>其他</v>
      </c>
      <c r="K14457" s="270" t="str">
        <f t="shared" si="2"/>
        <v/>
      </c>
      <c r="L14457">
        <f t="shared" si="3"/>
        <v>0</v>
      </c>
    </row>
    <row r="14458">
      <c r="A14458" s="107"/>
      <c r="D14458" s="270"/>
      <c r="H14458" s="106" t="str">
        <f t="shared" si="1"/>
        <v/>
      </c>
      <c r="J14458" t="str">
        <f>IFERROR(__xludf.DUMMYFUNCTION("IFS(
  AND(REGEXMATCH(E14458, ""台銀籌備帳戶|玉山帳戶""), REGEXMATCH(C14458, ""薪資"")), ""分潤支出"",
  AND(REGEXMATCH(E14458, ""Ben帳戶|Elsa帳戶|Ben代墊|Ariel代墊|中信銀行共用""), REGEXMATCH(F14458, ""Ben帳戶|Elsa帳戶|Ben代墊|Ariel代墊|中信銀行共用"")), ""內部轉帳(忽略)"",
  AND(E14458&lt;&gt;"""", F14458&lt;&gt;"&amp;""""", NOT(REGEXMATCH(C14458, ""薪資""))), ""內部轉帳(忽略)"",
  REGEXMATCH(C14458, ""薪資""), ""薪資變動(不計入)"",
  REGEXMATCH(C14458, ""押金""), ""押金往來"",
  AND(E14458&lt;&gt;"""", F14458=""""), ""真實支出"",
  AND(E14458="""", F14458&lt;&gt;""""), ""真實收入"",
  TRUE, ""其他""
)"),"其他")</f>
        <v>其他</v>
      </c>
      <c r="K14458" s="270" t="str">
        <f t="shared" si="2"/>
        <v/>
      </c>
      <c r="L14458">
        <f t="shared" si="3"/>
        <v>0</v>
      </c>
    </row>
    <row r="14459">
      <c r="A14459" s="107"/>
      <c r="D14459" s="270"/>
      <c r="H14459" s="106" t="str">
        <f t="shared" si="1"/>
        <v/>
      </c>
      <c r="J14459" t="str">
        <f>IFERROR(__xludf.DUMMYFUNCTION("IFS(
  AND(REGEXMATCH(E14459, ""台銀籌備帳戶|玉山帳戶""), REGEXMATCH(C14459, ""薪資"")), ""分潤支出"",
  AND(REGEXMATCH(E14459, ""Ben帳戶|Elsa帳戶|Ben代墊|Ariel代墊|中信銀行共用""), REGEXMATCH(F14459, ""Ben帳戶|Elsa帳戶|Ben代墊|Ariel代墊|中信銀行共用"")), ""內部轉帳(忽略)"",
  AND(E14459&lt;&gt;"""", F14459&lt;&gt;"&amp;""""", NOT(REGEXMATCH(C14459, ""薪資""))), ""內部轉帳(忽略)"",
  REGEXMATCH(C14459, ""薪資""), ""薪資變動(不計入)"",
  REGEXMATCH(C14459, ""押金""), ""押金往來"",
  AND(E14459&lt;&gt;"""", F14459=""""), ""真實支出"",
  AND(E14459="""", F14459&lt;&gt;""""), ""真實收入"",
  TRUE, ""其他""
)"),"其他")</f>
        <v>其他</v>
      </c>
      <c r="K14459" s="270" t="str">
        <f t="shared" si="2"/>
        <v/>
      </c>
      <c r="L14459">
        <f t="shared" si="3"/>
        <v>0</v>
      </c>
    </row>
    <row r="14460">
      <c r="A14460" s="107"/>
      <c r="D14460" s="270"/>
      <c r="H14460" s="106" t="str">
        <f t="shared" si="1"/>
        <v/>
      </c>
      <c r="J14460" t="str">
        <f>IFERROR(__xludf.DUMMYFUNCTION("IFS(
  AND(REGEXMATCH(E14460, ""台銀籌備帳戶|玉山帳戶""), REGEXMATCH(C14460, ""薪資"")), ""分潤支出"",
  AND(REGEXMATCH(E14460, ""Ben帳戶|Elsa帳戶|Ben代墊|Ariel代墊|中信銀行共用""), REGEXMATCH(F14460, ""Ben帳戶|Elsa帳戶|Ben代墊|Ariel代墊|中信銀行共用"")), ""內部轉帳(忽略)"",
  AND(E14460&lt;&gt;"""", F14460&lt;&gt;"&amp;""""", NOT(REGEXMATCH(C14460, ""薪資""))), ""內部轉帳(忽略)"",
  REGEXMATCH(C14460, ""薪資""), ""薪資變動(不計入)"",
  REGEXMATCH(C14460, ""押金""), ""押金往來"",
  AND(E14460&lt;&gt;"""", F14460=""""), ""真實支出"",
  AND(E14460="""", F14460&lt;&gt;""""), ""真實收入"",
  TRUE, ""其他""
)"),"其他")</f>
        <v>其他</v>
      </c>
      <c r="K14460" s="270" t="str">
        <f t="shared" si="2"/>
        <v/>
      </c>
      <c r="L14460">
        <f t="shared" si="3"/>
        <v>0</v>
      </c>
    </row>
    <row r="14461">
      <c r="A14461" s="107"/>
      <c r="D14461" s="270"/>
      <c r="H14461" s="106" t="str">
        <f t="shared" si="1"/>
        <v/>
      </c>
      <c r="J14461" t="str">
        <f>IFERROR(__xludf.DUMMYFUNCTION("IFS(
  AND(REGEXMATCH(E14461, ""台銀籌備帳戶|玉山帳戶""), REGEXMATCH(C14461, ""薪資"")), ""分潤支出"",
  AND(REGEXMATCH(E14461, ""Ben帳戶|Elsa帳戶|Ben代墊|Ariel代墊|中信銀行共用""), REGEXMATCH(F14461, ""Ben帳戶|Elsa帳戶|Ben代墊|Ariel代墊|中信銀行共用"")), ""內部轉帳(忽略)"",
  AND(E14461&lt;&gt;"""", F14461&lt;&gt;"&amp;""""", NOT(REGEXMATCH(C14461, ""薪資""))), ""內部轉帳(忽略)"",
  REGEXMATCH(C14461, ""薪資""), ""薪資變動(不計入)"",
  REGEXMATCH(C14461, ""押金""), ""押金往來"",
  AND(E14461&lt;&gt;"""", F14461=""""), ""真實支出"",
  AND(E14461="""", F14461&lt;&gt;""""), ""真實收入"",
  TRUE, ""其他""
)"),"其他")</f>
        <v>其他</v>
      </c>
      <c r="K14461" s="270" t="str">
        <f t="shared" si="2"/>
        <v/>
      </c>
      <c r="L14461">
        <f t="shared" si="3"/>
        <v>0</v>
      </c>
    </row>
    <row r="14462">
      <c r="A14462" s="107"/>
      <c r="D14462" s="270"/>
      <c r="H14462" s="106" t="str">
        <f t="shared" si="1"/>
        <v/>
      </c>
      <c r="J14462" t="str">
        <f>IFERROR(__xludf.DUMMYFUNCTION("IFS(
  AND(REGEXMATCH(E14462, ""台銀籌備帳戶|玉山帳戶""), REGEXMATCH(C14462, ""薪資"")), ""分潤支出"",
  AND(REGEXMATCH(E14462, ""Ben帳戶|Elsa帳戶|Ben代墊|Ariel代墊|中信銀行共用""), REGEXMATCH(F14462, ""Ben帳戶|Elsa帳戶|Ben代墊|Ariel代墊|中信銀行共用"")), ""內部轉帳(忽略)"",
  AND(E14462&lt;&gt;"""", F14462&lt;&gt;"&amp;""""", NOT(REGEXMATCH(C14462, ""薪資""))), ""內部轉帳(忽略)"",
  REGEXMATCH(C14462, ""薪資""), ""薪資變動(不計入)"",
  REGEXMATCH(C14462, ""押金""), ""押金往來"",
  AND(E14462&lt;&gt;"""", F14462=""""), ""真實支出"",
  AND(E14462="""", F14462&lt;&gt;""""), ""真實收入"",
  TRUE, ""其他""
)"),"其他")</f>
        <v>其他</v>
      </c>
      <c r="K14462" s="270" t="str">
        <f t="shared" si="2"/>
        <v/>
      </c>
      <c r="L14462">
        <f t="shared" si="3"/>
        <v>0</v>
      </c>
    </row>
    <row r="14463">
      <c r="A14463" s="107"/>
      <c r="D14463" s="270"/>
      <c r="H14463" s="106" t="str">
        <f t="shared" si="1"/>
        <v/>
      </c>
      <c r="J14463" t="str">
        <f>IFERROR(__xludf.DUMMYFUNCTION("IFS(
  AND(REGEXMATCH(E14463, ""台銀籌備帳戶|玉山帳戶""), REGEXMATCH(C14463, ""薪資"")), ""分潤支出"",
  AND(REGEXMATCH(E14463, ""Ben帳戶|Elsa帳戶|Ben代墊|Ariel代墊|中信銀行共用""), REGEXMATCH(F14463, ""Ben帳戶|Elsa帳戶|Ben代墊|Ariel代墊|中信銀行共用"")), ""內部轉帳(忽略)"",
  AND(E14463&lt;&gt;"""", F14463&lt;&gt;"&amp;""""", NOT(REGEXMATCH(C14463, ""薪資""))), ""內部轉帳(忽略)"",
  REGEXMATCH(C14463, ""薪資""), ""薪資變動(不計入)"",
  REGEXMATCH(C14463, ""押金""), ""押金往來"",
  AND(E14463&lt;&gt;"""", F14463=""""), ""真實支出"",
  AND(E14463="""", F14463&lt;&gt;""""), ""真實收入"",
  TRUE, ""其他""
)"),"其他")</f>
        <v>其他</v>
      </c>
      <c r="K14463" s="270" t="str">
        <f t="shared" si="2"/>
        <v/>
      </c>
      <c r="L14463">
        <f t="shared" si="3"/>
        <v>0</v>
      </c>
    </row>
    <row r="14464">
      <c r="A14464" s="107"/>
      <c r="D14464" s="270"/>
      <c r="H14464" s="106" t="str">
        <f t="shared" si="1"/>
        <v/>
      </c>
      <c r="J14464" t="str">
        <f>IFERROR(__xludf.DUMMYFUNCTION("IFS(
  AND(REGEXMATCH(E14464, ""台銀籌備帳戶|玉山帳戶""), REGEXMATCH(C14464, ""薪資"")), ""分潤支出"",
  AND(REGEXMATCH(E14464, ""Ben帳戶|Elsa帳戶|Ben代墊|Ariel代墊|中信銀行共用""), REGEXMATCH(F14464, ""Ben帳戶|Elsa帳戶|Ben代墊|Ariel代墊|中信銀行共用"")), ""內部轉帳(忽略)"",
  AND(E14464&lt;&gt;"""", F14464&lt;&gt;"&amp;""""", NOT(REGEXMATCH(C14464, ""薪資""))), ""內部轉帳(忽略)"",
  REGEXMATCH(C14464, ""薪資""), ""薪資變動(不計入)"",
  REGEXMATCH(C14464, ""押金""), ""押金往來"",
  AND(E14464&lt;&gt;"""", F14464=""""), ""真實支出"",
  AND(E14464="""", F14464&lt;&gt;""""), ""真實收入"",
  TRUE, ""其他""
)"),"其他")</f>
        <v>其他</v>
      </c>
      <c r="K14464" s="270" t="str">
        <f t="shared" si="2"/>
        <v/>
      </c>
      <c r="L14464">
        <f t="shared" si="3"/>
        <v>0</v>
      </c>
    </row>
    <row r="14465">
      <c r="A14465" s="107"/>
      <c r="D14465" s="270"/>
      <c r="H14465" s="106" t="str">
        <f t="shared" si="1"/>
        <v/>
      </c>
      <c r="J14465" t="str">
        <f>IFERROR(__xludf.DUMMYFUNCTION("IFS(
  AND(REGEXMATCH(E14465, ""台銀籌備帳戶|玉山帳戶""), REGEXMATCH(C14465, ""薪資"")), ""分潤支出"",
  AND(REGEXMATCH(E14465, ""Ben帳戶|Elsa帳戶|Ben代墊|Ariel代墊|中信銀行共用""), REGEXMATCH(F14465, ""Ben帳戶|Elsa帳戶|Ben代墊|Ariel代墊|中信銀行共用"")), ""內部轉帳(忽略)"",
  AND(E14465&lt;&gt;"""", F14465&lt;&gt;"&amp;""""", NOT(REGEXMATCH(C14465, ""薪資""))), ""內部轉帳(忽略)"",
  REGEXMATCH(C14465, ""薪資""), ""薪資變動(不計入)"",
  REGEXMATCH(C14465, ""押金""), ""押金往來"",
  AND(E14465&lt;&gt;"""", F14465=""""), ""真實支出"",
  AND(E14465="""", F14465&lt;&gt;""""), ""真實收入"",
  TRUE, ""其他""
)"),"其他")</f>
        <v>其他</v>
      </c>
      <c r="K14465" s="270" t="str">
        <f t="shared" si="2"/>
        <v/>
      </c>
      <c r="L14465">
        <f t="shared" si="3"/>
        <v>0</v>
      </c>
    </row>
    <row r="14466">
      <c r="A14466" s="107"/>
      <c r="D14466" s="270"/>
      <c r="H14466" s="106" t="str">
        <f t="shared" si="1"/>
        <v/>
      </c>
      <c r="J14466" t="str">
        <f>IFERROR(__xludf.DUMMYFUNCTION("IFS(
  AND(REGEXMATCH(E14466, ""台銀籌備帳戶|玉山帳戶""), REGEXMATCH(C14466, ""薪資"")), ""分潤支出"",
  AND(REGEXMATCH(E14466, ""Ben帳戶|Elsa帳戶|Ben代墊|Ariel代墊|中信銀行共用""), REGEXMATCH(F14466, ""Ben帳戶|Elsa帳戶|Ben代墊|Ariel代墊|中信銀行共用"")), ""內部轉帳(忽略)"",
  AND(E14466&lt;&gt;"""", F14466&lt;&gt;"&amp;""""", NOT(REGEXMATCH(C14466, ""薪資""))), ""內部轉帳(忽略)"",
  REGEXMATCH(C14466, ""薪資""), ""薪資變動(不計入)"",
  REGEXMATCH(C14466, ""押金""), ""押金往來"",
  AND(E14466&lt;&gt;"""", F14466=""""), ""真實支出"",
  AND(E14466="""", F14466&lt;&gt;""""), ""真實收入"",
  TRUE, ""其他""
)"),"其他")</f>
        <v>其他</v>
      </c>
      <c r="K14466" s="270" t="str">
        <f t="shared" si="2"/>
        <v/>
      </c>
      <c r="L14466">
        <f t="shared" si="3"/>
        <v>0</v>
      </c>
    </row>
    <row r="14467">
      <c r="A14467" s="107"/>
      <c r="D14467" s="270"/>
      <c r="H14467" s="106" t="str">
        <f t="shared" si="1"/>
        <v/>
      </c>
      <c r="J14467" t="str">
        <f>IFERROR(__xludf.DUMMYFUNCTION("IFS(
  AND(REGEXMATCH(E14467, ""台銀籌備帳戶|玉山帳戶""), REGEXMATCH(C14467, ""薪資"")), ""分潤支出"",
  AND(REGEXMATCH(E14467, ""Ben帳戶|Elsa帳戶|Ben代墊|Ariel代墊|中信銀行共用""), REGEXMATCH(F14467, ""Ben帳戶|Elsa帳戶|Ben代墊|Ariel代墊|中信銀行共用"")), ""內部轉帳(忽略)"",
  AND(E14467&lt;&gt;"""", F14467&lt;&gt;"&amp;""""", NOT(REGEXMATCH(C14467, ""薪資""))), ""內部轉帳(忽略)"",
  REGEXMATCH(C14467, ""薪資""), ""薪資變動(不計入)"",
  REGEXMATCH(C14467, ""押金""), ""押金往來"",
  AND(E14467&lt;&gt;"""", F14467=""""), ""真實支出"",
  AND(E14467="""", F14467&lt;&gt;""""), ""真實收入"",
  TRUE, ""其他""
)"),"其他")</f>
        <v>其他</v>
      </c>
      <c r="K14467" s="270" t="str">
        <f t="shared" si="2"/>
        <v/>
      </c>
      <c r="L14467">
        <f t="shared" si="3"/>
        <v>0</v>
      </c>
    </row>
    <row r="14468">
      <c r="A14468" s="107"/>
      <c r="D14468" s="270"/>
      <c r="H14468" s="106" t="str">
        <f t="shared" si="1"/>
        <v/>
      </c>
      <c r="J14468" t="str">
        <f>IFERROR(__xludf.DUMMYFUNCTION("IFS(
  AND(REGEXMATCH(E14468, ""台銀籌備帳戶|玉山帳戶""), REGEXMATCH(C14468, ""薪資"")), ""分潤支出"",
  AND(REGEXMATCH(E14468, ""Ben帳戶|Elsa帳戶|Ben代墊|Ariel代墊|中信銀行共用""), REGEXMATCH(F14468, ""Ben帳戶|Elsa帳戶|Ben代墊|Ariel代墊|中信銀行共用"")), ""內部轉帳(忽略)"",
  AND(E14468&lt;&gt;"""", F14468&lt;&gt;"&amp;""""", NOT(REGEXMATCH(C14468, ""薪資""))), ""內部轉帳(忽略)"",
  REGEXMATCH(C14468, ""薪資""), ""薪資變動(不計入)"",
  REGEXMATCH(C14468, ""押金""), ""押金往來"",
  AND(E14468&lt;&gt;"""", F14468=""""), ""真實支出"",
  AND(E14468="""", F14468&lt;&gt;""""), ""真實收入"",
  TRUE, ""其他""
)"),"其他")</f>
        <v>其他</v>
      </c>
      <c r="K14468" s="270" t="str">
        <f t="shared" si="2"/>
        <v/>
      </c>
      <c r="L14468">
        <f t="shared" si="3"/>
        <v>0</v>
      </c>
    </row>
    <row r="14469">
      <c r="A14469" s="107"/>
      <c r="D14469" s="270"/>
      <c r="H14469" s="106" t="str">
        <f t="shared" si="1"/>
        <v/>
      </c>
      <c r="J14469" t="str">
        <f>IFERROR(__xludf.DUMMYFUNCTION("IFS(
  AND(REGEXMATCH(E14469, ""台銀籌備帳戶|玉山帳戶""), REGEXMATCH(C14469, ""薪資"")), ""分潤支出"",
  AND(REGEXMATCH(E14469, ""Ben帳戶|Elsa帳戶|Ben代墊|Ariel代墊|中信銀行共用""), REGEXMATCH(F14469, ""Ben帳戶|Elsa帳戶|Ben代墊|Ariel代墊|中信銀行共用"")), ""內部轉帳(忽略)"",
  AND(E14469&lt;&gt;"""", F14469&lt;&gt;"&amp;""""", NOT(REGEXMATCH(C14469, ""薪資""))), ""內部轉帳(忽略)"",
  REGEXMATCH(C14469, ""薪資""), ""薪資變動(不計入)"",
  REGEXMATCH(C14469, ""押金""), ""押金往來"",
  AND(E14469&lt;&gt;"""", F14469=""""), ""真實支出"",
  AND(E14469="""", F14469&lt;&gt;""""), ""真實收入"",
  TRUE, ""其他""
)"),"其他")</f>
        <v>其他</v>
      </c>
      <c r="K14469" s="270" t="str">
        <f t="shared" si="2"/>
        <v/>
      </c>
      <c r="L14469">
        <f t="shared" si="3"/>
        <v>0</v>
      </c>
    </row>
    <row r="14470">
      <c r="A14470" s="107"/>
      <c r="D14470" s="270"/>
      <c r="H14470" s="106" t="str">
        <f t="shared" si="1"/>
        <v/>
      </c>
      <c r="J14470" t="str">
        <f>IFERROR(__xludf.DUMMYFUNCTION("IFS(
  AND(REGEXMATCH(E14470, ""台銀籌備帳戶|玉山帳戶""), REGEXMATCH(C14470, ""薪資"")), ""分潤支出"",
  AND(REGEXMATCH(E14470, ""Ben帳戶|Elsa帳戶|Ben代墊|Ariel代墊|中信銀行共用""), REGEXMATCH(F14470, ""Ben帳戶|Elsa帳戶|Ben代墊|Ariel代墊|中信銀行共用"")), ""內部轉帳(忽略)"",
  AND(E14470&lt;&gt;"""", F14470&lt;&gt;"&amp;""""", NOT(REGEXMATCH(C14470, ""薪資""))), ""內部轉帳(忽略)"",
  REGEXMATCH(C14470, ""薪資""), ""薪資變動(不計入)"",
  REGEXMATCH(C14470, ""押金""), ""押金往來"",
  AND(E14470&lt;&gt;"""", F14470=""""), ""真實支出"",
  AND(E14470="""", F14470&lt;&gt;""""), ""真實收入"",
  TRUE, ""其他""
)"),"其他")</f>
        <v>其他</v>
      </c>
      <c r="K14470" s="270" t="str">
        <f t="shared" si="2"/>
        <v/>
      </c>
      <c r="L14470">
        <f t="shared" si="3"/>
        <v>0</v>
      </c>
    </row>
    <row r="14471">
      <c r="A14471" s="107"/>
      <c r="D14471" s="270"/>
      <c r="H14471" s="106" t="str">
        <f t="shared" si="1"/>
        <v/>
      </c>
      <c r="J14471" t="str">
        <f>IFERROR(__xludf.DUMMYFUNCTION("IFS(
  AND(REGEXMATCH(E14471, ""台銀籌備帳戶|玉山帳戶""), REGEXMATCH(C14471, ""薪資"")), ""分潤支出"",
  AND(REGEXMATCH(E14471, ""Ben帳戶|Elsa帳戶|Ben代墊|Ariel代墊|中信銀行共用""), REGEXMATCH(F14471, ""Ben帳戶|Elsa帳戶|Ben代墊|Ariel代墊|中信銀行共用"")), ""內部轉帳(忽略)"",
  AND(E14471&lt;&gt;"""", F14471&lt;&gt;"&amp;""""", NOT(REGEXMATCH(C14471, ""薪資""))), ""內部轉帳(忽略)"",
  REGEXMATCH(C14471, ""薪資""), ""薪資變動(不計入)"",
  REGEXMATCH(C14471, ""押金""), ""押金往來"",
  AND(E14471&lt;&gt;"""", F14471=""""), ""真實支出"",
  AND(E14471="""", F14471&lt;&gt;""""), ""真實收入"",
  TRUE, ""其他""
)"),"其他")</f>
        <v>其他</v>
      </c>
      <c r="K14471" s="270" t="str">
        <f t="shared" si="2"/>
        <v/>
      </c>
      <c r="L14471">
        <f t="shared" si="3"/>
        <v>0</v>
      </c>
    </row>
    <row r="14472">
      <c r="A14472" s="107"/>
      <c r="D14472" s="270"/>
      <c r="H14472" s="106" t="str">
        <f t="shared" si="1"/>
        <v/>
      </c>
      <c r="J14472" t="str">
        <f>IFERROR(__xludf.DUMMYFUNCTION("IFS(
  AND(REGEXMATCH(E14472, ""台銀籌備帳戶|玉山帳戶""), REGEXMATCH(C14472, ""薪資"")), ""分潤支出"",
  AND(REGEXMATCH(E14472, ""Ben帳戶|Elsa帳戶|Ben代墊|Ariel代墊|中信銀行共用""), REGEXMATCH(F14472, ""Ben帳戶|Elsa帳戶|Ben代墊|Ariel代墊|中信銀行共用"")), ""內部轉帳(忽略)"",
  AND(E14472&lt;&gt;"""", F14472&lt;&gt;"&amp;""""", NOT(REGEXMATCH(C14472, ""薪資""))), ""內部轉帳(忽略)"",
  REGEXMATCH(C14472, ""薪資""), ""薪資變動(不計入)"",
  REGEXMATCH(C14472, ""押金""), ""押金往來"",
  AND(E14472&lt;&gt;"""", F14472=""""), ""真實支出"",
  AND(E14472="""", F14472&lt;&gt;""""), ""真實收入"",
  TRUE, ""其他""
)"),"其他")</f>
        <v>其他</v>
      </c>
      <c r="K14472" s="270" t="str">
        <f t="shared" si="2"/>
        <v/>
      </c>
      <c r="L14472">
        <f t="shared" si="3"/>
        <v>0</v>
      </c>
    </row>
    <row r="14473">
      <c r="A14473" s="107"/>
      <c r="D14473" s="270"/>
      <c r="H14473" s="106" t="str">
        <f t="shared" si="1"/>
        <v/>
      </c>
      <c r="J14473" t="str">
        <f>IFERROR(__xludf.DUMMYFUNCTION("IFS(
  AND(REGEXMATCH(E14473, ""台銀籌備帳戶|玉山帳戶""), REGEXMATCH(C14473, ""薪資"")), ""分潤支出"",
  AND(REGEXMATCH(E14473, ""Ben帳戶|Elsa帳戶|Ben代墊|Ariel代墊|中信銀行共用""), REGEXMATCH(F14473, ""Ben帳戶|Elsa帳戶|Ben代墊|Ariel代墊|中信銀行共用"")), ""內部轉帳(忽略)"",
  AND(E14473&lt;&gt;"""", F14473&lt;&gt;"&amp;""""", NOT(REGEXMATCH(C14473, ""薪資""))), ""內部轉帳(忽略)"",
  REGEXMATCH(C14473, ""薪資""), ""薪資變動(不計入)"",
  REGEXMATCH(C14473, ""押金""), ""押金往來"",
  AND(E14473&lt;&gt;"""", F14473=""""), ""真實支出"",
  AND(E14473="""", F14473&lt;&gt;""""), ""真實收入"",
  TRUE, ""其他""
)"),"其他")</f>
        <v>其他</v>
      </c>
      <c r="K14473" s="270" t="str">
        <f t="shared" si="2"/>
        <v/>
      </c>
      <c r="L14473">
        <f t="shared" si="3"/>
        <v>0</v>
      </c>
    </row>
    <row r="14474">
      <c r="A14474" s="107"/>
      <c r="D14474" s="270"/>
      <c r="H14474" s="106" t="str">
        <f t="shared" si="1"/>
        <v/>
      </c>
      <c r="J14474" t="str">
        <f>IFERROR(__xludf.DUMMYFUNCTION("IFS(
  AND(REGEXMATCH(E14474, ""台銀籌備帳戶|玉山帳戶""), REGEXMATCH(C14474, ""薪資"")), ""分潤支出"",
  AND(REGEXMATCH(E14474, ""Ben帳戶|Elsa帳戶|Ben代墊|Ariel代墊|中信銀行共用""), REGEXMATCH(F14474, ""Ben帳戶|Elsa帳戶|Ben代墊|Ariel代墊|中信銀行共用"")), ""內部轉帳(忽略)"",
  AND(E14474&lt;&gt;"""", F14474&lt;&gt;"&amp;""""", NOT(REGEXMATCH(C14474, ""薪資""))), ""內部轉帳(忽略)"",
  REGEXMATCH(C14474, ""薪資""), ""薪資變動(不計入)"",
  REGEXMATCH(C14474, ""押金""), ""押金往來"",
  AND(E14474&lt;&gt;"""", F14474=""""), ""真實支出"",
  AND(E14474="""", F14474&lt;&gt;""""), ""真實收入"",
  TRUE, ""其他""
)"),"其他")</f>
        <v>其他</v>
      </c>
      <c r="K14474" s="270" t="str">
        <f t="shared" si="2"/>
        <v/>
      </c>
      <c r="L14474">
        <f t="shared" si="3"/>
        <v>0</v>
      </c>
    </row>
    <row r="14475">
      <c r="A14475" s="107"/>
      <c r="D14475" s="270"/>
      <c r="H14475" s="106" t="str">
        <f t="shared" si="1"/>
        <v/>
      </c>
      <c r="J14475" t="str">
        <f>IFERROR(__xludf.DUMMYFUNCTION("IFS(
  AND(REGEXMATCH(E14475, ""台銀籌備帳戶|玉山帳戶""), REGEXMATCH(C14475, ""薪資"")), ""分潤支出"",
  AND(REGEXMATCH(E14475, ""Ben帳戶|Elsa帳戶|Ben代墊|Ariel代墊|中信銀行共用""), REGEXMATCH(F14475, ""Ben帳戶|Elsa帳戶|Ben代墊|Ariel代墊|中信銀行共用"")), ""內部轉帳(忽略)"",
  AND(E14475&lt;&gt;"""", F14475&lt;&gt;"&amp;""""", NOT(REGEXMATCH(C14475, ""薪資""))), ""內部轉帳(忽略)"",
  REGEXMATCH(C14475, ""薪資""), ""薪資變動(不計入)"",
  REGEXMATCH(C14475, ""押金""), ""押金往來"",
  AND(E14475&lt;&gt;"""", F14475=""""), ""真實支出"",
  AND(E14475="""", F14475&lt;&gt;""""), ""真實收入"",
  TRUE, ""其他""
)"),"其他")</f>
        <v>其他</v>
      </c>
      <c r="K14475" s="270" t="str">
        <f t="shared" si="2"/>
        <v/>
      </c>
      <c r="L14475">
        <f t="shared" si="3"/>
        <v>0</v>
      </c>
    </row>
    <row r="14476">
      <c r="A14476" s="107"/>
      <c r="D14476" s="270"/>
      <c r="H14476" s="106" t="str">
        <f t="shared" si="1"/>
        <v/>
      </c>
      <c r="J14476" t="str">
        <f>IFERROR(__xludf.DUMMYFUNCTION("IFS(
  AND(REGEXMATCH(E14476, ""台銀籌備帳戶|玉山帳戶""), REGEXMATCH(C14476, ""薪資"")), ""分潤支出"",
  AND(REGEXMATCH(E14476, ""Ben帳戶|Elsa帳戶|Ben代墊|Ariel代墊|中信銀行共用""), REGEXMATCH(F14476, ""Ben帳戶|Elsa帳戶|Ben代墊|Ariel代墊|中信銀行共用"")), ""內部轉帳(忽略)"",
  AND(E14476&lt;&gt;"""", F14476&lt;&gt;"&amp;""""", NOT(REGEXMATCH(C14476, ""薪資""))), ""內部轉帳(忽略)"",
  REGEXMATCH(C14476, ""薪資""), ""薪資變動(不計入)"",
  REGEXMATCH(C14476, ""押金""), ""押金往來"",
  AND(E14476&lt;&gt;"""", F14476=""""), ""真實支出"",
  AND(E14476="""", F14476&lt;&gt;""""), ""真實收入"",
  TRUE, ""其他""
)"),"其他")</f>
        <v>其他</v>
      </c>
      <c r="K14476" s="270" t="str">
        <f t="shared" si="2"/>
        <v/>
      </c>
      <c r="L14476">
        <f t="shared" si="3"/>
        <v>0</v>
      </c>
    </row>
    <row r="14477">
      <c r="A14477" s="107"/>
      <c r="D14477" s="270"/>
      <c r="H14477" s="106" t="str">
        <f t="shared" si="1"/>
        <v/>
      </c>
      <c r="J14477" t="str">
        <f>IFERROR(__xludf.DUMMYFUNCTION("IFS(
  AND(REGEXMATCH(E14477, ""台銀籌備帳戶|玉山帳戶""), REGEXMATCH(C14477, ""薪資"")), ""分潤支出"",
  AND(REGEXMATCH(E14477, ""Ben帳戶|Elsa帳戶|Ben代墊|Ariel代墊|中信銀行共用""), REGEXMATCH(F14477, ""Ben帳戶|Elsa帳戶|Ben代墊|Ariel代墊|中信銀行共用"")), ""內部轉帳(忽略)"",
  AND(E14477&lt;&gt;"""", F14477&lt;&gt;"&amp;""""", NOT(REGEXMATCH(C14477, ""薪資""))), ""內部轉帳(忽略)"",
  REGEXMATCH(C14477, ""薪資""), ""薪資變動(不計入)"",
  REGEXMATCH(C14477, ""押金""), ""押金往來"",
  AND(E14477&lt;&gt;"""", F14477=""""), ""真實支出"",
  AND(E14477="""", F14477&lt;&gt;""""), ""真實收入"",
  TRUE, ""其他""
)"),"其他")</f>
        <v>其他</v>
      </c>
      <c r="K14477" s="270" t="str">
        <f t="shared" si="2"/>
        <v/>
      </c>
      <c r="L14477">
        <f t="shared" si="3"/>
        <v>0</v>
      </c>
    </row>
    <row r="14478">
      <c r="A14478" s="107"/>
      <c r="D14478" s="270"/>
      <c r="H14478" s="106" t="str">
        <f t="shared" si="1"/>
        <v/>
      </c>
      <c r="J14478" t="str">
        <f>IFERROR(__xludf.DUMMYFUNCTION("IFS(
  AND(REGEXMATCH(E14478, ""台銀籌備帳戶|玉山帳戶""), REGEXMATCH(C14478, ""薪資"")), ""分潤支出"",
  AND(REGEXMATCH(E14478, ""Ben帳戶|Elsa帳戶|Ben代墊|Ariel代墊|中信銀行共用""), REGEXMATCH(F14478, ""Ben帳戶|Elsa帳戶|Ben代墊|Ariel代墊|中信銀行共用"")), ""內部轉帳(忽略)"",
  AND(E14478&lt;&gt;"""", F14478&lt;&gt;"&amp;""""", NOT(REGEXMATCH(C14478, ""薪資""))), ""內部轉帳(忽略)"",
  REGEXMATCH(C14478, ""薪資""), ""薪資變動(不計入)"",
  REGEXMATCH(C14478, ""押金""), ""押金往來"",
  AND(E14478&lt;&gt;"""", F14478=""""), ""真實支出"",
  AND(E14478="""", F14478&lt;&gt;""""), ""真實收入"",
  TRUE, ""其他""
)"),"其他")</f>
        <v>其他</v>
      </c>
      <c r="K14478" s="270" t="str">
        <f t="shared" si="2"/>
        <v/>
      </c>
      <c r="L14478">
        <f t="shared" si="3"/>
        <v>0</v>
      </c>
    </row>
    <row r="14479">
      <c r="A14479" s="107"/>
      <c r="D14479" s="270"/>
      <c r="H14479" s="106" t="str">
        <f t="shared" si="1"/>
        <v/>
      </c>
      <c r="J14479" t="str">
        <f>IFERROR(__xludf.DUMMYFUNCTION("IFS(
  AND(REGEXMATCH(E14479, ""台銀籌備帳戶|玉山帳戶""), REGEXMATCH(C14479, ""薪資"")), ""分潤支出"",
  AND(REGEXMATCH(E14479, ""Ben帳戶|Elsa帳戶|Ben代墊|Ariel代墊|中信銀行共用""), REGEXMATCH(F14479, ""Ben帳戶|Elsa帳戶|Ben代墊|Ariel代墊|中信銀行共用"")), ""內部轉帳(忽略)"",
  AND(E14479&lt;&gt;"""", F14479&lt;&gt;"&amp;""""", NOT(REGEXMATCH(C14479, ""薪資""))), ""內部轉帳(忽略)"",
  REGEXMATCH(C14479, ""薪資""), ""薪資變動(不計入)"",
  REGEXMATCH(C14479, ""押金""), ""押金往來"",
  AND(E14479&lt;&gt;"""", F14479=""""), ""真實支出"",
  AND(E14479="""", F14479&lt;&gt;""""), ""真實收入"",
  TRUE, ""其他""
)"),"其他")</f>
        <v>其他</v>
      </c>
      <c r="K14479" s="270" t="str">
        <f t="shared" si="2"/>
        <v/>
      </c>
      <c r="L14479">
        <f t="shared" si="3"/>
        <v>0</v>
      </c>
    </row>
    <row r="14480">
      <c r="A14480" s="107"/>
      <c r="D14480" s="270"/>
      <c r="H14480" s="106" t="str">
        <f t="shared" si="1"/>
        <v/>
      </c>
      <c r="J14480" t="str">
        <f>IFERROR(__xludf.DUMMYFUNCTION("IFS(
  AND(REGEXMATCH(E14480, ""台銀籌備帳戶|玉山帳戶""), REGEXMATCH(C14480, ""薪資"")), ""分潤支出"",
  AND(REGEXMATCH(E14480, ""Ben帳戶|Elsa帳戶|Ben代墊|Ariel代墊|中信銀行共用""), REGEXMATCH(F14480, ""Ben帳戶|Elsa帳戶|Ben代墊|Ariel代墊|中信銀行共用"")), ""內部轉帳(忽略)"",
  AND(E14480&lt;&gt;"""", F14480&lt;&gt;"&amp;""""", NOT(REGEXMATCH(C14480, ""薪資""))), ""內部轉帳(忽略)"",
  REGEXMATCH(C14480, ""薪資""), ""薪資變動(不計入)"",
  REGEXMATCH(C14480, ""押金""), ""押金往來"",
  AND(E14480&lt;&gt;"""", F14480=""""), ""真實支出"",
  AND(E14480="""", F14480&lt;&gt;""""), ""真實收入"",
  TRUE, ""其他""
)"),"其他")</f>
        <v>其他</v>
      </c>
      <c r="K14480" s="270" t="str">
        <f t="shared" si="2"/>
        <v/>
      </c>
      <c r="L14480">
        <f t="shared" si="3"/>
        <v>0</v>
      </c>
    </row>
    <row r="14481">
      <c r="A14481" s="107"/>
      <c r="D14481" s="270"/>
      <c r="H14481" s="106" t="str">
        <f t="shared" si="1"/>
        <v/>
      </c>
      <c r="J14481" t="str">
        <f>IFERROR(__xludf.DUMMYFUNCTION("IFS(
  AND(REGEXMATCH(E14481, ""台銀籌備帳戶|玉山帳戶""), REGEXMATCH(C14481, ""薪資"")), ""分潤支出"",
  AND(REGEXMATCH(E14481, ""Ben帳戶|Elsa帳戶|Ben代墊|Ariel代墊|中信銀行共用""), REGEXMATCH(F14481, ""Ben帳戶|Elsa帳戶|Ben代墊|Ariel代墊|中信銀行共用"")), ""內部轉帳(忽略)"",
  AND(E14481&lt;&gt;"""", F14481&lt;&gt;"&amp;""""", NOT(REGEXMATCH(C14481, ""薪資""))), ""內部轉帳(忽略)"",
  REGEXMATCH(C14481, ""薪資""), ""薪資變動(不計入)"",
  REGEXMATCH(C14481, ""押金""), ""押金往來"",
  AND(E14481&lt;&gt;"""", F14481=""""), ""真實支出"",
  AND(E14481="""", F14481&lt;&gt;""""), ""真實收入"",
  TRUE, ""其他""
)"),"其他")</f>
        <v>其他</v>
      </c>
      <c r="K14481" s="270" t="str">
        <f t="shared" si="2"/>
        <v/>
      </c>
      <c r="L14481">
        <f t="shared" si="3"/>
        <v>0</v>
      </c>
    </row>
    <row r="14482">
      <c r="A14482" s="107"/>
      <c r="D14482" s="270"/>
      <c r="H14482" s="106" t="str">
        <f t="shared" si="1"/>
        <v/>
      </c>
      <c r="J14482" t="str">
        <f>IFERROR(__xludf.DUMMYFUNCTION("IFS(
  AND(REGEXMATCH(E14482, ""台銀籌備帳戶|玉山帳戶""), REGEXMATCH(C14482, ""薪資"")), ""分潤支出"",
  AND(REGEXMATCH(E14482, ""Ben帳戶|Elsa帳戶|Ben代墊|Ariel代墊|中信銀行共用""), REGEXMATCH(F14482, ""Ben帳戶|Elsa帳戶|Ben代墊|Ariel代墊|中信銀行共用"")), ""內部轉帳(忽略)"",
  AND(E14482&lt;&gt;"""", F14482&lt;&gt;"&amp;""""", NOT(REGEXMATCH(C14482, ""薪資""))), ""內部轉帳(忽略)"",
  REGEXMATCH(C14482, ""薪資""), ""薪資變動(不計入)"",
  REGEXMATCH(C14482, ""押金""), ""押金往來"",
  AND(E14482&lt;&gt;"""", F14482=""""), ""真實支出"",
  AND(E14482="""", F14482&lt;&gt;""""), ""真實收入"",
  TRUE, ""其他""
)"),"其他")</f>
        <v>其他</v>
      </c>
      <c r="K14482" s="270" t="str">
        <f t="shared" si="2"/>
        <v/>
      </c>
      <c r="L14482">
        <f t="shared" si="3"/>
        <v>0</v>
      </c>
    </row>
    <row r="14483">
      <c r="A14483" s="107"/>
      <c r="D14483" s="270"/>
      <c r="H14483" s="106" t="str">
        <f t="shared" si="1"/>
        <v/>
      </c>
      <c r="J14483" t="str">
        <f>IFERROR(__xludf.DUMMYFUNCTION("IFS(
  AND(REGEXMATCH(E14483, ""台銀籌備帳戶|玉山帳戶""), REGEXMATCH(C14483, ""薪資"")), ""分潤支出"",
  AND(REGEXMATCH(E14483, ""Ben帳戶|Elsa帳戶|Ben代墊|Ariel代墊|中信銀行共用""), REGEXMATCH(F14483, ""Ben帳戶|Elsa帳戶|Ben代墊|Ariel代墊|中信銀行共用"")), ""內部轉帳(忽略)"",
  AND(E14483&lt;&gt;"""", F14483&lt;&gt;"&amp;""""", NOT(REGEXMATCH(C14483, ""薪資""))), ""內部轉帳(忽略)"",
  REGEXMATCH(C14483, ""薪資""), ""薪資變動(不計入)"",
  REGEXMATCH(C14483, ""押金""), ""押金往來"",
  AND(E14483&lt;&gt;"""", F14483=""""), ""真實支出"",
  AND(E14483="""", F14483&lt;&gt;""""), ""真實收入"",
  TRUE, ""其他""
)"),"其他")</f>
        <v>其他</v>
      </c>
      <c r="K14483" s="270" t="str">
        <f t="shared" si="2"/>
        <v/>
      </c>
      <c r="L14483">
        <f t="shared" si="3"/>
        <v>0</v>
      </c>
    </row>
    <row r="14484">
      <c r="A14484" s="107"/>
      <c r="D14484" s="270"/>
      <c r="H14484" s="106" t="str">
        <f t="shared" si="1"/>
        <v/>
      </c>
      <c r="J14484" t="str">
        <f>IFERROR(__xludf.DUMMYFUNCTION("IFS(
  AND(REGEXMATCH(E14484, ""台銀籌備帳戶|玉山帳戶""), REGEXMATCH(C14484, ""薪資"")), ""分潤支出"",
  AND(REGEXMATCH(E14484, ""Ben帳戶|Elsa帳戶|Ben代墊|Ariel代墊|中信銀行共用""), REGEXMATCH(F14484, ""Ben帳戶|Elsa帳戶|Ben代墊|Ariel代墊|中信銀行共用"")), ""內部轉帳(忽略)"",
  AND(E14484&lt;&gt;"""", F14484&lt;&gt;"&amp;""""", NOT(REGEXMATCH(C14484, ""薪資""))), ""內部轉帳(忽略)"",
  REGEXMATCH(C14484, ""薪資""), ""薪資變動(不計入)"",
  REGEXMATCH(C14484, ""押金""), ""押金往來"",
  AND(E14484&lt;&gt;"""", F14484=""""), ""真實支出"",
  AND(E14484="""", F14484&lt;&gt;""""), ""真實收入"",
  TRUE, ""其他""
)"),"其他")</f>
        <v>其他</v>
      </c>
      <c r="K14484" s="270" t="str">
        <f t="shared" si="2"/>
        <v/>
      </c>
      <c r="L14484">
        <f t="shared" si="3"/>
        <v>0</v>
      </c>
    </row>
    <row r="14485">
      <c r="A14485" s="107"/>
      <c r="D14485" s="270"/>
      <c r="H14485" s="106" t="str">
        <f t="shared" si="1"/>
        <v/>
      </c>
      <c r="J14485" t="str">
        <f>IFERROR(__xludf.DUMMYFUNCTION("IFS(
  AND(REGEXMATCH(E14485, ""台銀籌備帳戶|玉山帳戶""), REGEXMATCH(C14485, ""薪資"")), ""分潤支出"",
  AND(REGEXMATCH(E14485, ""Ben帳戶|Elsa帳戶|Ben代墊|Ariel代墊|中信銀行共用""), REGEXMATCH(F14485, ""Ben帳戶|Elsa帳戶|Ben代墊|Ariel代墊|中信銀行共用"")), ""內部轉帳(忽略)"",
  AND(E14485&lt;&gt;"""", F14485&lt;&gt;"&amp;""""", NOT(REGEXMATCH(C14485, ""薪資""))), ""內部轉帳(忽略)"",
  REGEXMATCH(C14485, ""薪資""), ""薪資變動(不計入)"",
  REGEXMATCH(C14485, ""押金""), ""押金往來"",
  AND(E14485&lt;&gt;"""", F14485=""""), ""真實支出"",
  AND(E14485="""", F14485&lt;&gt;""""), ""真實收入"",
  TRUE, ""其他""
)"),"其他")</f>
        <v>其他</v>
      </c>
      <c r="K14485" s="270" t="str">
        <f t="shared" si="2"/>
        <v/>
      </c>
      <c r="L14485">
        <f t="shared" si="3"/>
        <v>0</v>
      </c>
    </row>
    <row r="14486">
      <c r="A14486" s="107"/>
      <c r="D14486" s="270"/>
      <c r="H14486" s="106" t="str">
        <f t="shared" si="1"/>
        <v/>
      </c>
      <c r="J14486" t="str">
        <f>IFERROR(__xludf.DUMMYFUNCTION("IFS(
  AND(REGEXMATCH(E14486, ""台銀籌備帳戶|玉山帳戶""), REGEXMATCH(C14486, ""薪資"")), ""分潤支出"",
  AND(REGEXMATCH(E14486, ""Ben帳戶|Elsa帳戶|Ben代墊|Ariel代墊|中信銀行共用""), REGEXMATCH(F14486, ""Ben帳戶|Elsa帳戶|Ben代墊|Ariel代墊|中信銀行共用"")), ""內部轉帳(忽略)"",
  AND(E14486&lt;&gt;"""", F14486&lt;&gt;"&amp;""""", NOT(REGEXMATCH(C14486, ""薪資""))), ""內部轉帳(忽略)"",
  REGEXMATCH(C14486, ""薪資""), ""薪資變動(不計入)"",
  REGEXMATCH(C14486, ""押金""), ""押金往來"",
  AND(E14486&lt;&gt;"""", F14486=""""), ""真實支出"",
  AND(E14486="""", F14486&lt;&gt;""""), ""真實收入"",
  TRUE, ""其他""
)"),"其他")</f>
        <v>其他</v>
      </c>
      <c r="K14486" s="270" t="str">
        <f t="shared" si="2"/>
        <v/>
      </c>
      <c r="L14486">
        <f t="shared" si="3"/>
        <v>0</v>
      </c>
    </row>
    <row r="14487">
      <c r="A14487" s="107"/>
      <c r="D14487" s="270"/>
      <c r="H14487" s="106" t="str">
        <f t="shared" si="1"/>
        <v/>
      </c>
      <c r="J14487" t="str">
        <f>IFERROR(__xludf.DUMMYFUNCTION("IFS(
  AND(REGEXMATCH(E14487, ""台銀籌備帳戶|玉山帳戶""), REGEXMATCH(C14487, ""薪資"")), ""分潤支出"",
  AND(REGEXMATCH(E14487, ""Ben帳戶|Elsa帳戶|Ben代墊|Ariel代墊|中信銀行共用""), REGEXMATCH(F14487, ""Ben帳戶|Elsa帳戶|Ben代墊|Ariel代墊|中信銀行共用"")), ""內部轉帳(忽略)"",
  AND(E14487&lt;&gt;"""", F14487&lt;&gt;"&amp;""""", NOT(REGEXMATCH(C14487, ""薪資""))), ""內部轉帳(忽略)"",
  REGEXMATCH(C14487, ""薪資""), ""薪資變動(不計入)"",
  REGEXMATCH(C14487, ""押金""), ""押金往來"",
  AND(E14487&lt;&gt;"""", F14487=""""), ""真實支出"",
  AND(E14487="""", F14487&lt;&gt;""""), ""真實收入"",
  TRUE, ""其他""
)"),"其他")</f>
        <v>其他</v>
      </c>
      <c r="K14487" s="270" t="str">
        <f t="shared" si="2"/>
        <v/>
      </c>
      <c r="L14487">
        <f t="shared" si="3"/>
        <v>0</v>
      </c>
    </row>
  </sheetData>
  <autoFilter ref="$A$1:$Z$14487">
    <sortState ref="A1:Z14487">
      <sortCondition ref="A1:A14487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14.13"/>
    <col customWidth="1" min="6" max="7" width="15.38"/>
    <col customWidth="1" min="8" max="8" width="19.13"/>
    <col customWidth="1" min="10" max="10" width="15.25"/>
    <col customWidth="1" min="11" max="11" width="16.75"/>
  </cols>
  <sheetData>
    <row r="1">
      <c r="A1" s="272" t="s">
        <v>2132</v>
      </c>
      <c r="B1" s="272" t="s">
        <v>2133</v>
      </c>
      <c r="C1" s="272" t="s">
        <v>2134</v>
      </c>
      <c r="D1" s="272" t="s">
        <v>2135</v>
      </c>
      <c r="E1" s="272" t="s">
        <v>2136</v>
      </c>
      <c r="F1" s="272" t="s">
        <v>2137</v>
      </c>
      <c r="G1" s="272" t="s">
        <v>2138</v>
      </c>
      <c r="H1" s="272" t="s">
        <v>2139</v>
      </c>
      <c r="I1" s="272" t="s">
        <v>2140</v>
      </c>
      <c r="J1" s="272" t="s">
        <v>2141</v>
      </c>
      <c r="K1" s="272" t="s">
        <v>2142</v>
      </c>
    </row>
    <row r="2">
      <c r="A2" s="273">
        <v>2026.0</v>
      </c>
      <c r="B2" s="37" t="s">
        <v>16</v>
      </c>
      <c r="C2" s="274" t="s">
        <v>331</v>
      </c>
      <c r="D2" s="274">
        <v>955448.4558503696</v>
      </c>
      <c r="E2" s="274">
        <v>408000.0</v>
      </c>
      <c r="F2" s="274">
        <v>63171.11111111111</v>
      </c>
      <c r="G2" s="274">
        <v>547448.4558503696</v>
      </c>
      <c r="H2" s="274">
        <v>27372.422792518482</v>
      </c>
      <c r="I2" s="274">
        <v>456904.92194674</v>
      </c>
      <c r="J2" s="274">
        <v>91380.98438934801</v>
      </c>
      <c r="K2" s="274">
        <v>365523.937557392</v>
      </c>
    </row>
    <row r="3">
      <c r="A3" s="273">
        <v>2026.0</v>
      </c>
      <c r="B3" s="37" t="s">
        <v>27</v>
      </c>
      <c r="C3" s="274" t="s">
        <v>351</v>
      </c>
      <c r="D3" s="274">
        <v>1025608.8311688312</v>
      </c>
      <c r="E3" s="274">
        <v>540000.0</v>
      </c>
      <c r="F3" s="274">
        <v>21711.428571428572</v>
      </c>
      <c r="G3" s="274">
        <v>485608.8311688312</v>
      </c>
      <c r="H3" s="274">
        <v>24280.441558441562</v>
      </c>
      <c r="I3" s="274">
        <v>439616.9610389611</v>
      </c>
      <c r="J3" s="274">
        <v>87923.39220779222</v>
      </c>
      <c r="K3" s="274">
        <v>351693.5688311689</v>
      </c>
    </row>
    <row r="4">
      <c r="A4" s="273">
        <v>2026.0</v>
      </c>
      <c r="B4" s="37" t="s">
        <v>41</v>
      </c>
      <c r="C4" s="274" t="s">
        <v>331</v>
      </c>
      <c r="D4" s="274">
        <v>779304.2016806722</v>
      </c>
      <c r="E4" s="274">
        <v>324000.0</v>
      </c>
      <c r="F4" s="274">
        <v>11061.119999999999</v>
      </c>
      <c r="G4" s="274">
        <v>455304.20168067224</v>
      </c>
      <c r="H4" s="274">
        <v>22765.210084033613</v>
      </c>
      <c r="I4" s="274">
        <v>421477.87159663864</v>
      </c>
      <c r="J4" s="274">
        <v>84295.57431932773</v>
      </c>
      <c r="K4" s="274">
        <v>337182.2972773109</v>
      </c>
    </row>
    <row r="5">
      <c r="A5" s="273">
        <v>2026.0</v>
      </c>
      <c r="B5" s="37" t="s">
        <v>56</v>
      </c>
      <c r="C5" s="274" t="s">
        <v>331</v>
      </c>
      <c r="D5" s="274">
        <v>558084.2347525891</v>
      </c>
      <c r="E5" s="274">
        <v>312000.0</v>
      </c>
      <c r="F5" s="274">
        <v>61054.0</v>
      </c>
      <c r="G5" s="274">
        <v>246084.23475258914</v>
      </c>
      <c r="H5" s="274">
        <v>12304.211737629457</v>
      </c>
      <c r="I5" s="274">
        <v>172726.02301495968</v>
      </c>
      <c r="J5" s="274">
        <v>34545.20460299194</v>
      </c>
      <c r="K5" s="274">
        <v>138180.81841196775</v>
      </c>
    </row>
    <row r="6">
      <c r="A6" s="273">
        <v>2026.0</v>
      </c>
      <c r="B6" s="37" t="s">
        <v>69</v>
      </c>
      <c r="C6" s="274" t="s">
        <v>331</v>
      </c>
      <c r="D6" s="274">
        <v>948973.8245471199</v>
      </c>
      <c r="E6" s="274">
        <v>307200.0</v>
      </c>
      <c r="F6" s="274">
        <v>102571.30434782608</v>
      </c>
      <c r="G6" s="274">
        <v>641773.8245471199</v>
      </c>
      <c r="H6" s="274">
        <v>32088.691227355997</v>
      </c>
      <c r="I6" s="274">
        <v>507113.8289719379</v>
      </c>
      <c r="J6" s="274">
        <v>101422.76579438758</v>
      </c>
      <c r="K6" s="274">
        <v>405691.0631775503</v>
      </c>
    </row>
    <row r="7">
      <c r="A7" s="273">
        <v>2026.0</v>
      </c>
      <c r="B7" s="37" t="s">
        <v>82</v>
      </c>
      <c r="C7" s="274" t="s">
        <v>331</v>
      </c>
      <c r="D7" s="274">
        <v>1168737.2093023255</v>
      </c>
      <c r="E7" s="274">
        <v>465600.0</v>
      </c>
      <c r="F7" s="274">
        <v>36608.72727272727</v>
      </c>
      <c r="G7" s="274">
        <v>703137.2093023255</v>
      </c>
      <c r="H7" s="274">
        <v>35156.860465116275</v>
      </c>
      <c r="I7" s="274">
        <v>631371.6215644819</v>
      </c>
      <c r="J7" s="274">
        <v>126274.32431289638</v>
      </c>
      <c r="K7" s="274">
        <v>505097.2972515855</v>
      </c>
    </row>
    <row r="8">
      <c r="A8" s="273">
        <v>2026.0</v>
      </c>
      <c r="B8" s="37" t="s">
        <v>101</v>
      </c>
      <c r="C8" s="274" t="s">
        <v>351</v>
      </c>
      <c r="D8" s="274">
        <v>651240.780911063</v>
      </c>
      <c r="E8" s="274">
        <v>345600.0</v>
      </c>
      <c r="F8" s="274">
        <v>9919.68</v>
      </c>
      <c r="G8" s="274">
        <v>305640.78091106296</v>
      </c>
      <c r="H8" s="274">
        <v>15282.039045553149</v>
      </c>
      <c r="I8" s="274">
        <v>280439.06186550984</v>
      </c>
      <c r="J8" s="274">
        <v>56087.81237310197</v>
      </c>
      <c r="K8" s="274">
        <v>224351.24949240786</v>
      </c>
    </row>
    <row r="9">
      <c r="A9" s="273">
        <v>2026.0</v>
      </c>
      <c r="B9" s="37" t="s">
        <v>110</v>
      </c>
      <c r="C9" s="274" t="s">
        <v>331</v>
      </c>
      <c r="D9" s="274">
        <v>744979.5918367347</v>
      </c>
      <c r="E9" s="274">
        <v>438000.0</v>
      </c>
      <c r="F9" s="274">
        <v>27622.736842105267</v>
      </c>
      <c r="G9" s="274">
        <v>306979.5918367347</v>
      </c>
      <c r="H9" s="274">
        <v>15348.979591836734</v>
      </c>
      <c r="I9" s="274">
        <v>264007.87540279265</v>
      </c>
      <c r="J9" s="274">
        <v>52801.575080558534</v>
      </c>
      <c r="K9" s="274">
        <v>211206.3003222341</v>
      </c>
    </row>
    <row r="10">
      <c r="A10" s="273">
        <v>2026.0</v>
      </c>
      <c r="B10" s="37" t="s">
        <v>119</v>
      </c>
      <c r="C10" s="274" t="s">
        <v>331</v>
      </c>
      <c r="D10" s="274">
        <v>237570.6340378198</v>
      </c>
      <c r="E10" s="274">
        <v>144000.0</v>
      </c>
      <c r="F10" s="274">
        <v>10930.666666666668</v>
      </c>
      <c r="G10" s="274">
        <v>93570.63403781981</v>
      </c>
      <c r="H10" s="274">
        <v>4678.531701890991</v>
      </c>
      <c r="I10" s="274">
        <v>77961.43566926215</v>
      </c>
      <c r="J10" s="274">
        <v>15592.287133852431</v>
      </c>
      <c r="K10" s="274">
        <v>62369.148535409724</v>
      </c>
    </row>
    <row r="11">
      <c r="A11" s="273">
        <v>2026.0</v>
      </c>
      <c r="B11" s="37" t="s">
        <v>122</v>
      </c>
      <c r="C11" s="274" t="s">
        <v>331</v>
      </c>
      <c r="D11" s="274">
        <v>623757.654723127</v>
      </c>
      <c r="E11" s="274">
        <v>426000.0</v>
      </c>
      <c r="F11" s="274">
        <v>31093.41176470588</v>
      </c>
      <c r="G11" s="274">
        <v>197757.65472312702</v>
      </c>
      <c r="H11" s="274">
        <v>9887.882736156353</v>
      </c>
      <c r="I11" s="274">
        <v>156776.3602222648</v>
      </c>
      <c r="J11" s="274">
        <v>31355.272044452962</v>
      </c>
      <c r="K11" s="274">
        <v>125421.08817781185</v>
      </c>
    </row>
    <row r="12">
      <c r="A12" s="273">
        <v>2026.0</v>
      </c>
      <c r="B12" s="37" t="s">
        <v>135</v>
      </c>
      <c r="C12" s="37" t="s">
        <v>331</v>
      </c>
      <c r="D12" s="274">
        <v>742522.9060620083</v>
      </c>
      <c r="E12" s="274">
        <v>300000.0</v>
      </c>
      <c r="F12" s="274">
        <v>17892.75</v>
      </c>
      <c r="G12" s="274">
        <v>442522.90606200835</v>
      </c>
      <c r="H12" s="274">
        <v>22126.14530310042</v>
      </c>
      <c r="I12" s="274">
        <v>402504.01075890794</v>
      </c>
      <c r="J12" s="274">
        <v>80500.8021517816</v>
      </c>
      <c r="K12" s="274">
        <v>322003.2086071264</v>
      </c>
    </row>
    <row r="13">
      <c r="A13" s="273">
        <v>2026.0</v>
      </c>
      <c r="B13" s="37" t="s">
        <v>150</v>
      </c>
      <c r="C13" s="37" t="s">
        <v>331</v>
      </c>
      <c r="D13" s="274">
        <v>606629.3004839419</v>
      </c>
      <c r="E13" s="274">
        <v>276000.0</v>
      </c>
      <c r="F13" s="274">
        <v>11280.0</v>
      </c>
      <c r="G13" s="274">
        <v>330629.3004839419</v>
      </c>
      <c r="H13" s="274">
        <v>16531.465024197096</v>
      </c>
      <c r="I13" s="274">
        <v>302817.8354597448</v>
      </c>
      <c r="J13" s="274">
        <v>60563.567091948964</v>
      </c>
      <c r="K13" s="274">
        <v>242254.26836779583</v>
      </c>
    </row>
    <row r="14">
      <c r="A14" s="273">
        <v>2026.0</v>
      </c>
      <c r="B14" s="37" t="s">
        <v>163</v>
      </c>
      <c r="C14" s="37" t="s">
        <v>351</v>
      </c>
      <c r="D14" s="274">
        <v>901463.4146341463</v>
      </c>
      <c r="E14" s="274">
        <v>477600.0</v>
      </c>
      <c r="F14" s="274">
        <v>30988.54904118364</v>
      </c>
      <c r="G14" s="274">
        <v>423863.41463414626</v>
      </c>
      <c r="H14" s="274">
        <v>21193.170731707316</v>
      </c>
      <c r="I14" s="274">
        <v>371681.6948612553</v>
      </c>
      <c r="J14" s="274">
        <v>74336.33897225106</v>
      </c>
      <c r="K14" s="274">
        <v>297345.35588900425</v>
      </c>
    </row>
    <row r="15">
      <c r="A15" s="273">
        <v>2026.0</v>
      </c>
      <c r="B15" s="37" t="s">
        <v>178</v>
      </c>
      <c r="C15" s="37" t="s">
        <v>331</v>
      </c>
      <c r="D15" s="274">
        <v>918640.7766990291</v>
      </c>
      <c r="E15" s="274">
        <v>432000.0</v>
      </c>
      <c r="F15" s="274">
        <v>10950.75</v>
      </c>
      <c r="G15" s="274">
        <v>486640.77669902914</v>
      </c>
      <c r="H15" s="274">
        <v>24332.038834951458</v>
      </c>
      <c r="I15" s="274">
        <v>451357.9878640777</v>
      </c>
      <c r="J15" s="274">
        <v>90271.59757281555</v>
      </c>
      <c r="K15" s="274">
        <v>361086.3902912621</v>
      </c>
    </row>
    <row r="16">
      <c r="A16" s="273">
        <v>2026.0</v>
      </c>
      <c r="B16" s="37" t="s">
        <v>188</v>
      </c>
      <c r="C16" s="37" t="s">
        <v>331</v>
      </c>
      <c r="D16" s="274">
        <v>1276736.9928400954</v>
      </c>
      <c r="E16" s="274">
        <v>600000.0</v>
      </c>
      <c r="F16" s="274">
        <v>17972.0</v>
      </c>
      <c r="G16" s="274">
        <v>676736.9928400954</v>
      </c>
      <c r="H16" s="274">
        <v>33836.849642004774</v>
      </c>
      <c r="I16" s="274">
        <v>624928.1431980906</v>
      </c>
      <c r="J16" s="274">
        <v>124985.62863961812</v>
      </c>
      <c r="K16" s="274">
        <v>499942.5145584725</v>
      </c>
    </row>
    <row r="17">
      <c r="A17" s="273">
        <v>2026.0</v>
      </c>
      <c r="B17" s="37" t="s">
        <v>209</v>
      </c>
      <c r="C17" s="37" t="s">
        <v>351</v>
      </c>
      <c r="D17" s="274">
        <v>870963.3085896077</v>
      </c>
      <c r="E17" s="274">
        <v>396000.0</v>
      </c>
      <c r="F17" s="274">
        <v>30988.54904118364</v>
      </c>
      <c r="G17" s="274">
        <v>474963.3085896077</v>
      </c>
      <c r="H17" s="274">
        <v>23748.16542948039</v>
      </c>
      <c r="I17" s="274">
        <v>420226.59411894367</v>
      </c>
      <c r="J17" s="274">
        <v>84045.31882378874</v>
      </c>
      <c r="K17" s="274">
        <v>336181.27529515495</v>
      </c>
    </row>
    <row r="18">
      <c r="A18" s="273">
        <v>2026.0</v>
      </c>
      <c r="B18" s="37" t="s">
        <v>241</v>
      </c>
      <c r="C18" s="37" t="s">
        <v>331</v>
      </c>
      <c r="D18" s="274">
        <v>0.0</v>
      </c>
      <c r="E18" s="274">
        <v>237600.0</v>
      </c>
      <c r="F18" s="274">
        <v>30988.54904118364</v>
      </c>
      <c r="G18" s="274">
        <v>-237600.0</v>
      </c>
      <c r="H18" s="274">
        <v>0.0</v>
      </c>
      <c r="I18" s="274">
        <v>-268588.54904118367</v>
      </c>
      <c r="J18" s="274">
        <v>0.0</v>
      </c>
      <c r="K18" s="274">
        <v>-268588.54904118367</v>
      </c>
    </row>
    <row r="19">
      <c r="A19" s="273">
        <v>2027.0</v>
      </c>
      <c r="B19" s="37" t="s">
        <v>16</v>
      </c>
      <c r="C19" s="37" t="s">
        <v>331</v>
      </c>
      <c r="D19" s="274">
        <v>955448.4558503696</v>
      </c>
      <c r="E19" s="274">
        <v>408000.0</v>
      </c>
      <c r="F19" s="274">
        <v>63171.11111111111</v>
      </c>
      <c r="G19" s="274">
        <v>547448.4558503696</v>
      </c>
      <c r="H19" s="274">
        <v>27372.422792518482</v>
      </c>
      <c r="I19" s="274">
        <v>456904.92194674</v>
      </c>
      <c r="J19" s="274">
        <v>91380.98438934801</v>
      </c>
      <c r="K19" s="274">
        <v>365523.937557392</v>
      </c>
    </row>
    <row r="20">
      <c r="A20" s="273">
        <v>2027.0</v>
      </c>
      <c r="B20" s="37" t="s">
        <v>27</v>
      </c>
      <c r="C20" s="37" t="s">
        <v>351</v>
      </c>
      <c r="D20" s="274">
        <v>1025608.8311688312</v>
      </c>
      <c r="E20" s="274">
        <v>540000.0</v>
      </c>
      <c r="F20" s="274">
        <v>21711.428571428572</v>
      </c>
      <c r="G20" s="274">
        <v>485608.8311688312</v>
      </c>
      <c r="H20" s="274">
        <v>24280.441558441562</v>
      </c>
      <c r="I20" s="274">
        <v>439616.9610389611</v>
      </c>
      <c r="J20" s="274">
        <v>87923.39220779222</v>
      </c>
      <c r="K20" s="274">
        <v>351693.5688311689</v>
      </c>
    </row>
    <row r="21">
      <c r="A21" s="273">
        <v>2027.0</v>
      </c>
      <c r="B21" s="37" t="s">
        <v>41</v>
      </c>
      <c r="C21" s="37" t="s">
        <v>331</v>
      </c>
      <c r="D21" s="274">
        <v>779304.2016806722</v>
      </c>
      <c r="E21" s="274">
        <v>324000.0</v>
      </c>
      <c r="F21" s="274">
        <v>11061.119999999999</v>
      </c>
      <c r="G21" s="274">
        <v>455304.20168067224</v>
      </c>
      <c r="H21" s="274">
        <v>22765.210084033613</v>
      </c>
      <c r="I21" s="274">
        <v>421477.87159663864</v>
      </c>
      <c r="J21" s="274">
        <v>84295.57431932773</v>
      </c>
      <c r="K21" s="274">
        <v>337182.2972773109</v>
      </c>
    </row>
    <row r="22">
      <c r="A22" s="273">
        <v>2027.0</v>
      </c>
      <c r="B22" s="37" t="s">
        <v>56</v>
      </c>
      <c r="C22" s="37" t="s">
        <v>331</v>
      </c>
      <c r="D22" s="274">
        <v>558084.2347525891</v>
      </c>
      <c r="E22" s="274">
        <v>312000.0</v>
      </c>
      <c r="F22" s="274">
        <v>61054.0</v>
      </c>
      <c r="G22" s="274">
        <v>246084.23475258914</v>
      </c>
      <c r="H22" s="274">
        <v>12304.211737629457</v>
      </c>
      <c r="I22" s="274">
        <v>172726.02301495968</v>
      </c>
      <c r="J22" s="274">
        <v>34545.20460299194</v>
      </c>
      <c r="K22" s="274">
        <v>138180.81841196775</v>
      </c>
    </row>
    <row r="23">
      <c r="A23" s="273">
        <v>2027.0</v>
      </c>
      <c r="B23" s="37" t="s">
        <v>69</v>
      </c>
      <c r="C23" s="37" t="s">
        <v>331</v>
      </c>
      <c r="D23" s="274">
        <v>948973.8245471199</v>
      </c>
      <c r="E23" s="274">
        <v>307200.0</v>
      </c>
      <c r="F23" s="274">
        <v>102571.30434782608</v>
      </c>
      <c r="G23" s="274">
        <v>641773.8245471199</v>
      </c>
      <c r="H23" s="274">
        <v>32088.691227355997</v>
      </c>
      <c r="I23" s="274">
        <v>507113.8289719379</v>
      </c>
      <c r="J23" s="274">
        <v>101422.76579438758</v>
      </c>
      <c r="K23" s="274">
        <v>405691.0631775503</v>
      </c>
    </row>
    <row r="24">
      <c r="A24" s="273">
        <v>2027.0</v>
      </c>
      <c r="B24" s="37" t="s">
        <v>82</v>
      </c>
      <c r="C24" s="37" t="s">
        <v>331</v>
      </c>
      <c r="D24" s="274">
        <v>1168737.2093023255</v>
      </c>
      <c r="E24" s="274">
        <v>465600.0</v>
      </c>
      <c r="F24" s="274">
        <v>36608.72727272727</v>
      </c>
      <c r="G24" s="274">
        <v>703137.2093023255</v>
      </c>
      <c r="H24" s="274">
        <v>35156.860465116275</v>
      </c>
      <c r="I24" s="274">
        <v>631371.6215644819</v>
      </c>
      <c r="J24" s="274">
        <v>126274.32431289638</v>
      </c>
      <c r="K24" s="274">
        <v>505097.2972515855</v>
      </c>
    </row>
    <row r="25">
      <c r="A25" s="273">
        <v>2027.0</v>
      </c>
      <c r="B25" s="37" t="s">
        <v>101</v>
      </c>
      <c r="C25" s="37" t="s">
        <v>351</v>
      </c>
      <c r="D25" s="274">
        <v>379890.45553145336</v>
      </c>
      <c r="E25" s="274">
        <v>201600.0</v>
      </c>
      <c r="F25" s="274">
        <v>5786.48</v>
      </c>
      <c r="G25" s="274">
        <v>178290.45553145336</v>
      </c>
      <c r="H25" s="274">
        <v>8914.522776572669</v>
      </c>
      <c r="I25" s="274">
        <v>163589.45275488068</v>
      </c>
      <c r="J25" s="274">
        <v>32717.89055097614</v>
      </c>
      <c r="K25" s="274">
        <v>130871.56220390454</v>
      </c>
    </row>
    <row r="26">
      <c r="A26" s="273">
        <v>2027.0</v>
      </c>
      <c r="B26" s="37" t="s">
        <v>110</v>
      </c>
      <c r="C26" s="37" t="s">
        <v>331</v>
      </c>
      <c r="D26" s="274">
        <v>744979.5918367347</v>
      </c>
      <c r="E26" s="274">
        <v>438000.0</v>
      </c>
      <c r="F26" s="274">
        <v>27622.736842105267</v>
      </c>
      <c r="G26" s="274">
        <v>306979.5918367347</v>
      </c>
      <c r="H26" s="274">
        <v>15348.979591836734</v>
      </c>
      <c r="I26" s="274">
        <v>264007.87540279265</v>
      </c>
      <c r="J26" s="274">
        <v>52801.575080558534</v>
      </c>
      <c r="K26" s="274">
        <v>211206.3003222341</v>
      </c>
    </row>
    <row r="27">
      <c r="A27" s="273">
        <v>2027.0</v>
      </c>
      <c r="B27" s="37" t="s">
        <v>119</v>
      </c>
      <c r="C27" s="37" t="s">
        <v>331</v>
      </c>
      <c r="D27" s="274">
        <v>237570.6340378198</v>
      </c>
      <c r="E27" s="274">
        <v>144000.0</v>
      </c>
      <c r="F27" s="274">
        <v>10930.666666666668</v>
      </c>
      <c r="G27" s="274">
        <v>93570.63403781981</v>
      </c>
      <c r="H27" s="274">
        <v>4678.531701890991</v>
      </c>
      <c r="I27" s="274">
        <v>77961.43566926215</v>
      </c>
      <c r="J27" s="274">
        <v>15592.287133852431</v>
      </c>
      <c r="K27" s="274">
        <v>62369.148535409724</v>
      </c>
    </row>
    <row r="28">
      <c r="A28" s="273">
        <v>2027.0</v>
      </c>
      <c r="B28" s="37" t="s">
        <v>122</v>
      </c>
      <c r="C28" s="37" t="s">
        <v>331</v>
      </c>
      <c r="D28" s="274">
        <v>623757.654723127</v>
      </c>
      <c r="E28" s="274">
        <v>426000.0</v>
      </c>
      <c r="F28" s="274">
        <v>31093.41176470588</v>
      </c>
      <c r="G28" s="274">
        <v>197757.65472312702</v>
      </c>
      <c r="H28" s="274">
        <v>9887.882736156353</v>
      </c>
      <c r="I28" s="274">
        <v>156776.3602222648</v>
      </c>
      <c r="J28" s="274">
        <v>31355.272044452962</v>
      </c>
      <c r="K28" s="274">
        <v>125421.08817781185</v>
      </c>
    </row>
    <row r="29">
      <c r="A29" s="273">
        <v>2027.0</v>
      </c>
      <c r="B29" s="37" t="s">
        <v>135</v>
      </c>
      <c r="C29" s="37" t="s">
        <v>331</v>
      </c>
      <c r="D29" s="274">
        <v>742522.9060620083</v>
      </c>
      <c r="E29" s="274">
        <v>300000.0</v>
      </c>
      <c r="F29" s="274">
        <v>17892.75</v>
      </c>
      <c r="G29" s="274">
        <v>442522.90606200835</v>
      </c>
      <c r="H29" s="274">
        <v>22126.14530310042</v>
      </c>
      <c r="I29" s="274">
        <v>402504.01075890794</v>
      </c>
      <c r="J29" s="274">
        <v>80500.8021517816</v>
      </c>
      <c r="K29" s="274">
        <v>322003.2086071264</v>
      </c>
    </row>
    <row r="30">
      <c r="A30" s="273">
        <v>2027.0</v>
      </c>
      <c r="B30" s="37" t="s">
        <v>150</v>
      </c>
      <c r="C30" s="37" t="s">
        <v>331</v>
      </c>
      <c r="D30" s="274">
        <v>606629.3004839419</v>
      </c>
      <c r="E30" s="274">
        <v>276000.0</v>
      </c>
      <c r="F30" s="274">
        <v>11280.0</v>
      </c>
      <c r="G30" s="274">
        <v>330629.3004839419</v>
      </c>
      <c r="H30" s="274">
        <v>16531.465024197096</v>
      </c>
      <c r="I30" s="274">
        <v>302817.8354597448</v>
      </c>
      <c r="J30" s="274">
        <v>60563.567091948964</v>
      </c>
      <c r="K30" s="274">
        <v>242254.26836779583</v>
      </c>
    </row>
    <row r="31">
      <c r="A31" s="273">
        <v>2027.0</v>
      </c>
      <c r="B31" s="37" t="s">
        <v>163</v>
      </c>
      <c r="C31" s="37" t="s">
        <v>351</v>
      </c>
      <c r="D31" s="274">
        <v>901463.4146341463</v>
      </c>
      <c r="E31" s="274">
        <v>477600.0</v>
      </c>
      <c r="F31" s="274">
        <v>30988.54904118364</v>
      </c>
      <c r="G31" s="274">
        <v>423863.41463414626</v>
      </c>
      <c r="H31" s="274">
        <v>21193.170731707316</v>
      </c>
      <c r="I31" s="274">
        <v>371681.6948612553</v>
      </c>
      <c r="J31" s="274">
        <v>74336.33897225106</v>
      </c>
      <c r="K31" s="274">
        <v>297345.35588900425</v>
      </c>
    </row>
    <row r="32">
      <c r="A32" s="273">
        <v>2027.0</v>
      </c>
      <c r="B32" s="37" t="s">
        <v>178</v>
      </c>
      <c r="C32" s="37" t="s">
        <v>331</v>
      </c>
      <c r="D32" s="274">
        <v>918640.7766990291</v>
      </c>
      <c r="E32" s="274">
        <v>432000.0</v>
      </c>
      <c r="F32" s="274">
        <v>10950.75</v>
      </c>
      <c r="G32" s="274">
        <v>486640.77669902914</v>
      </c>
      <c r="H32" s="274">
        <v>24332.038834951458</v>
      </c>
      <c r="I32" s="274">
        <v>451357.9878640777</v>
      </c>
      <c r="J32" s="274">
        <v>90271.59757281555</v>
      </c>
      <c r="K32" s="274">
        <v>361086.3902912621</v>
      </c>
    </row>
    <row r="33">
      <c r="A33" s="273">
        <v>2027.0</v>
      </c>
      <c r="B33" s="37" t="s">
        <v>188</v>
      </c>
      <c r="C33" s="37" t="s">
        <v>331</v>
      </c>
      <c r="D33" s="274">
        <v>1276736.9928400954</v>
      </c>
      <c r="E33" s="274">
        <v>600000.0</v>
      </c>
      <c r="F33" s="274">
        <v>17972.0</v>
      </c>
      <c r="G33" s="274">
        <v>676736.9928400954</v>
      </c>
      <c r="H33" s="274">
        <v>33836.849642004774</v>
      </c>
      <c r="I33" s="274">
        <v>624928.1431980906</v>
      </c>
      <c r="J33" s="274">
        <v>124985.62863961812</v>
      </c>
      <c r="K33" s="274">
        <v>499942.5145584725</v>
      </c>
    </row>
    <row r="34">
      <c r="A34" s="273">
        <v>2027.0</v>
      </c>
      <c r="B34" s="37" t="s">
        <v>209</v>
      </c>
      <c r="C34" s="37" t="s">
        <v>351</v>
      </c>
      <c r="D34" s="274">
        <v>870963.3085896077</v>
      </c>
      <c r="E34" s="274">
        <v>396000.0</v>
      </c>
      <c r="F34" s="274">
        <v>30988.54904118364</v>
      </c>
      <c r="G34" s="274">
        <v>474963.3085896077</v>
      </c>
      <c r="H34" s="274">
        <v>23748.16542948039</v>
      </c>
      <c r="I34" s="274">
        <v>420226.59411894367</v>
      </c>
      <c r="J34" s="274">
        <v>84045.31882378874</v>
      </c>
      <c r="K34" s="274">
        <v>336181.27529515495</v>
      </c>
    </row>
    <row r="35">
      <c r="A35" s="273">
        <v>2027.0</v>
      </c>
      <c r="B35" s="37" t="s">
        <v>241</v>
      </c>
      <c r="C35" s="37" t="s">
        <v>331</v>
      </c>
      <c r="D35" s="274">
        <v>0.0</v>
      </c>
      <c r="E35" s="274">
        <v>237600.0</v>
      </c>
      <c r="F35" s="274">
        <v>30988.54904118364</v>
      </c>
      <c r="G35" s="274">
        <v>-237600.0</v>
      </c>
      <c r="H35" s="274">
        <v>0.0</v>
      </c>
      <c r="I35" s="274">
        <v>-268588.54904118367</v>
      </c>
      <c r="J35" s="274">
        <v>0.0</v>
      </c>
      <c r="K35" s="274">
        <v>-268588.54904118367</v>
      </c>
    </row>
    <row r="36">
      <c r="A36" s="273">
        <v>2028.0</v>
      </c>
      <c r="B36" s="37" t="s">
        <v>16</v>
      </c>
      <c r="C36" s="37" t="s">
        <v>331</v>
      </c>
      <c r="D36" s="274">
        <v>955448.4558503696</v>
      </c>
      <c r="E36" s="274">
        <v>408000.0</v>
      </c>
      <c r="F36" s="274">
        <v>63171.11111111111</v>
      </c>
      <c r="G36" s="274">
        <v>547448.4558503696</v>
      </c>
      <c r="H36" s="274">
        <v>27372.422792518482</v>
      </c>
      <c r="I36" s="274">
        <v>456904.92194674</v>
      </c>
      <c r="J36" s="274">
        <v>91380.98438934801</v>
      </c>
      <c r="K36" s="274">
        <v>365523.937557392</v>
      </c>
    </row>
    <row r="37">
      <c r="A37" s="273">
        <v>2028.0</v>
      </c>
      <c r="B37" s="37" t="s">
        <v>27</v>
      </c>
      <c r="C37" s="37" t="s">
        <v>351</v>
      </c>
      <c r="D37" s="274">
        <v>1025608.8311688312</v>
      </c>
      <c r="E37" s="274">
        <v>540000.0</v>
      </c>
      <c r="F37" s="274">
        <v>21711.428571428572</v>
      </c>
      <c r="G37" s="274">
        <v>485608.8311688312</v>
      </c>
      <c r="H37" s="274">
        <v>24280.441558441562</v>
      </c>
      <c r="I37" s="274">
        <v>439616.9610389611</v>
      </c>
      <c r="J37" s="274">
        <v>87923.39220779222</v>
      </c>
      <c r="K37" s="274">
        <v>351693.5688311689</v>
      </c>
    </row>
    <row r="38">
      <c r="A38" s="273">
        <v>2028.0</v>
      </c>
      <c r="B38" s="37" t="s">
        <v>41</v>
      </c>
      <c r="C38" s="37" t="s">
        <v>331</v>
      </c>
      <c r="D38" s="274">
        <v>714362.1848739495</v>
      </c>
      <c r="E38" s="274">
        <v>297000.0</v>
      </c>
      <c r="F38" s="274">
        <v>10139.36</v>
      </c>
      <c r="G38" s="274">
        <v>417362.1848739495</v>
      </c>
      <c r="H38" s="274">
        <v>20868.109243697476</v>
      </c>
      <c r="I38" s="274">
        <v>386354.71563025203</v>
      </c>
      <c r="J38" s="274">
        <v>77270.9431260504</v>
      </c>
      <c r="K38" s="274">
        <v>309083.7725042016</v>
      </c>
    </row>
    <row r="39">
      <c r="A39" s="273">
        <v>2028.0</v>
      </c>
      <c r="B39" s="37" t="s">
        <v>56</v>
      </c>
      <c r="C39" s="37" t="s">
        <v>331</v>
      </c>
      <c r="D39" s="274">
        <v>558084.2347525891</v>
      </c>
      <c r="E39" s="274">
        <v>312000.0</v>
      </c>
      <c r="F39" s="274">
        <v>61054.0</v>
      </c>
      <c r="G39" s="274">
        <v>246084.23475258914</v>
      </c>
      <c r="H39" s="274">
        <v>12304.211737629457</v>
      </c>
      <c r="I39" s="274">
        <v>172726.02301495968</v>
      </c>
      <c r="J39" s="274">
        <v>34545.20460299194</v>
      </c>
      <c r="K39" s="274">
        <v>138180.81841196775</v>
      </c>
    </row>
    <row r="40">
      <c r="A40" s="273">
        <v>2028.0</v>
      </c>
      <c r="B40" s="37" t="s">
        <v>69</v>
      </c>
      <c r="C40" s="37" t="s">
        <v>331</v>
      </c>
      <c r="D40" s="274">
        <v>948973.8245471199</v>
      </c>
      <c r="E40" s="274">
        <v>307200.0</v>
      </c>
      <c r="F40" s="274">
        <v>102571.30434782608</v>
      </c>
      <c r="G40" s="274">
        <v>641773.8245471199</v>
      </c>
      <c r="H40" s="274">
        <v>32088.691227355997</v>
      </c>
      <c r="I40" s="274">
        <v>507113.8289719379</v>
      </c>
      <c r="J40" s="274">
        <v>101422.76579438758</v>
      </c>
      <c r="K40" s="274">
        <v>405691.0631775503</v>
      </c>
    </row>
    <row r="41">
      <c r="A41" s="273">
        <v>2028.0</v>
      </c>
      <c r="B41" s="37" t="s">
        <v>82</v>
      </c>
      <c r="C41" s="37" t="s">
        <v>331</v>
      </c>
      <c r="D41" s="274">
        <v>1168737.2093023255</v>
      </c>
      <c r="E41" s="274">
        <v>465600.0</v>
      </c>
      <c r="F41" s="274">
        <v>36608.72727272727</v>
      </c>
      <c r="G41" s="274">
        <v>703137.2093023255</v>
      </c>
      <c r="H41" s="274">
        <v>35156.860465116275</v>
      </c>
      <c r="I41" s="274">
        <v>631371.6215644819</v>
      </c>
      <c r="J41" s="274">
        <v>126274.32431289638</v>
      </c>
      <c r="K41" s="274">
        <v>505097.2972515855</v>
      </c>
    </row>
    <row r="42">
      <c r="A42" s="273">
        <v>2028.0</v>
      </c>
      <c r="B42" s="37" t="s">
        <v>110</v>
      </c>
      <c r="C42" s="37" t="s">
        <v>331</v>
      </c>
      <c r="D42" s="274">
        <v>744979.5918367347</v>
      </c>
      <c r="E42" s="274">
        <v>438000.0</v>
      </c>
      <c r="F42" s="274">
        <v>27622.736842105267</v>
      </c>
      <c r="G42" s="274">
        <v>306979.5918367347</v>
      </c>
      <c r="H42" s="274">
        <v>15348.979591836734</v>
      </c>
      <c r="I42" s="274">
        <v>264007.87540279265</v>
      </c>
      <c r="J42" s="274">
        <v>52801.575080558534</v>
      </c>
      <c r="K42" s="274">
        <v>211206.3003222341</v>
      </c>
    </row>
    <row r="43">
      <c r="A43" s="273">
        <v>2028.0</v>
      </c>
      <c r="B43" s="37" t="s">
        <v>119</v>
      </c>
      <c r="C43" s="37" t="s">
        <v>331</v>
      </c>
      <c r="D43" s="274">
        <v>237570.6340378198</v>
      </c>
      <c r="E43" s="274">
        <v>144000.0</v>
      </c>
      <c r="F43" s="274">
        <v>10930.666666666668</v>
      </c>
      <c r="G43" s="274">
        <v>93570.63403781981</v>
      </c>
      <c r="H43" s="274">
        <v>4678.531701890991</v>
      </c>
      <c r="I43" s="274">
        <v>77961.43566926215</v>
      </c>
      <c r="J43" s="274">
        <v>15592.287133852431</v>
      </c>
      <c r="K43" s="274">
        <v>62369.148535409724</v>
      </c>
    </row>
    <row r="44">
      <c r="A44" s="273">
        <v>2028.0</v>
      </c>
      <c r="B44" s="37" t="s">
        <v>122</v>
      </c>
      <c r="C44" s="37" t="s">
        <v>331</v>
      </c>
      <c r="D44" s="274">
        <v>623757.654723127</v>
      </c>
      <c r="E44" s="274">
        <v>426000.0</v>
      </c>
      <c r="F44" s="274">
        <v>31093.41176470588</v>
      </c>
      <c r="G44" s="274">
        <v>197757.65472312702</v>
      </c>
      <c r="H44" s="274">
        <v>9887.882736156353</v>
      </c>
      <c r="I44" s="274">
        <v>156776.3602222648</v>
      </c>
      <c r="J44" s="274">
        <v>31355.272044452962</v>
      </c>
      <c r="K44" s="274">
        <v>125421.08817781185</v>
      </c>
    </row>
    <row r="45">
      <c r="A45" s="273">
        <v>2028.0</v>
      </c>
      <c r="B45" s="37" t="s">
        <v>135</v>
      </c>
      <c r="C45" s="37" t="s">
        <v>331</v>
      </c>
      <c r="D45" s="274">
        <v>742522.9060620083</v>
      </c>
      <c r="E45" s="274">
        <v>300000.0</v>
      </c>
      <c r="F45" s="274">
        <v>17892.75</v>
      </c>
      <c r="G45" s="274">
        <v>442522.90606200835</v>
      </c>
      <c r="H45" s="274">
        <v>22126.14530310042</v>
      </c>
      <c r="I45" s="274">
        <v>402504.01075890794</v>
      </c>
      <c r="J45" s="274">
        <v>80500.8021517816</v>
      </c>
      <c r="K45" s="274">
        <v>322003.2086071264</v>
      </c>
    </row>
    <row r="46">
      <c r="A46" s="273">
        <v>2028.0</v>
      </c>
      <c r="B46" s="37" t="s">
        <v>150</v>
      </c>
      <c r="C46" s="37" t="s">
        <v>331</v>
      </c>
      <c r="D46" s="274">
        <v>606629.3004839419</v>
      </c>
      <c r="E46" s="274">
        <v>276000.0</v>
      </c>
      <c r="F46" s="274">
        <v>11280.0</v>
      </c>
      <c r="G46" s="274">
        <v>330629.3004839419</v>
      </c>
      <c r="H46" s="274">
        <v>16531.465024197096</v>
      </c>
      <c r="I46" s="274">
        <v>302817.8354597448</v>
      </c>
      <c r="J46" s="274">
        <v>60563.567091948964</v>
      </c>
      <c r="K46" s="274">
        <v>242254.26836779583</v>
      </c>
    </row>
    <row r="47">
      <c r="A47" s="273">
        <v>2028.0</v>
      </c>
      <c r="B47" s="37" t="s">
        <v>163</v>
      </c>
      <c r="C47" s="37" t="s">
        <v>351</v>
      </c>
      <c r="D47" s="274">
        <v>901463.4146341463</v>
      </c>
      <c r="E47" s="274">
        <v>477600.0</v>
      </c>
      <c r="F47" s="274">
        <v>30988.54904118364</v>
      </c>
      <c r="G47" s="274">
        <v>423863.41463414626</v>
      </c>
      <c r="H47" s="274">
        <v>21193.170731707316</v>
      </c>
      <c r="I47" s="274">
        <v>371681.6948612553</v>
      </c>
      <c r="J47" s="274">
        <v>74336.33897225106</v>
      </c>
      <c r="K47" s="274">
        <v>297345.35588900425</v>
      </c>
    </row>
    <row r="48">
      <c r="A48" s="273">
        <v>2028.0</v>
      </c>
      <c r="B48" s="37" t="s">
        <v>178</v>
      </c>
      <c r="C48" s="37" t="s">
        <v>331</v>
      </c>
      <c r="D48" s="274">
        <v>918640.7766990291</v>
      </c>
      <c r="E48" s="274">
        <v>432000.0</v>
      </c>
      <c r="F48" s="274">
        <v>10950.75</v>
      </c>
      <c r="G48" s="274">
        <v>486640.77669902914</v>
      </c>
      <c r="H48" s="274">
        <v>24332.038834951458</v>
      </c>
      <c r="I48" s="274">
        <v>451357.9878640777</v>
      </c>
      <c r="J48" s="274">
        <v>90271.59757281555</v>
      </c>
      <c r="K48" s="274">
        <v>361086.3902912621</v>
      </c>
    </row>
    <row r="49">
      <c r="A49" s="273">
        <v>2028.0</v>
      </c>
      <c r="B49" s="37" t="s">
        <v>188</v>
      </c>
      <c r="C49" s="37" t="s">
        <v>331</v>
      </c>
      <c r="D49" s="274">
        <v>1276736.9928400954</v>
      </c>
      <c r="E49" s="274">
        <v>600000.0</v>
      </c>
      <c r="F49" s="274">
        <v>17972.0</v>
      </c>
      <c r="G49" s="274">
        <v>676736.9928400954</v>
      </c>
      <c r="H49" s="274">
        <v>33836.849642004774</v>
      </c>
      <c r="I49" s="274">
        <v>624928.1431980906</v>
      </c>
      <c r="J49" s="274">
        <v>124985.62863961812</v>
      </c>
      <c r="K49" s="274">
        <v>499942.5145584725</v>
      </c>
    </row>
    <row r="50">
      <c r="A50" s="273">
        <v>2028.0</v>
      </c>
      <c r="B50" s="37" t="s">
        <v>209</v>
      </c>
      <c r="C50" s="37" t="s">
        <v>351</v>
      </c>
      <c r="D50" s="274">
        <v>870963.3085896077</v>
      </c>
      <c r="E50" s="274">
        <v>396000.0</v>
      </c>
      <c r="F50" s="274">
        <v>30988.54904118364</v>
      </c>
      <c r="G50" s="274">
        <v>474963.3085896077</v>
      </c>
      <c r="H50" s="274">
        <v>23748.16542948039</v>
      </c>
      <c r="I50" s="274">
        <v>420226.59411894367</v>
      </c>
      <c r="J50" s="274">
        <v>84045.31882378874</v>
      </c>
      <c r="K50" s="274">
        <v>336181.27529515495</v>
      </c>
    </row>
    <row r="51">
      <c r="A51" s="273">
        <v>2028.0</v>
      </c>
      <c r="B51" s="37" t="s">
        <v>241</v>
      </c>
      <c r="C51" s="37" t="s">
        <v>331</v>
      </c>
      <c r="D51" s="274">
        <v>0.0</v>
      </c>
      <c r="E51" s="274">
        <v>237600.0</v>
      </c>
      <c r="F51" s="274">
        <v>30988.54904118364</v>
      </c>
      <c r="G51" s="274">
        <v>-237600.0</v>
      </c>
      <c r="H51" s="274">
        <v>0.0</v>
      </c>
      <c r="I51" s="274">
        <v>-268588.54904118367</v>
      </c>
      <c r="J51" s="274">
        <v>0.0</v>
      </c>
      <c r="K51" s="274">
        <v>-268588.54904118367</v>
      </c>
    </row>
    <row r="52">
      <c r="A52" s="273">
        <v>2029.0</v>
      </c>
      <c r="B52" s="37" t="s">
        <v>16</v>
      </c>
      <c r="C52" s="37" t="s">
        <v>331</v>
      </c>
      <c r="D52" s="274">
        <v>955448.4558503696</v>
      </c>
      <c r="E52" s="274">
        <v>408000.0</v>
      </c>
      <c r="F52" s="274">
        <v>63171.11111111111</v>
      </c>
      <c r="G52" s="274">
        <v>547448.4558503696</v>
      </c>
      <c r="H52" s="274">
        <v>27372.422792518482</v>
      </c>
      <c r="I52" s="274">
        <v>456904.92194674</v>
      </c>
      <c r="J52" s="274">
        <v>91380.98438934801</v>
      </c>
      <c r="K52" s="274">
        <v>365523.937557392</v>
      </c>
    </row>
    <row r="53">
      <c r="A53" s="273">
        <v>2029.0</v>
      </c>
      <c r="B53" s="37" t="s">
        <v>27</v>
      </c>
      <c r="C53" s="37" t="s">
        <v>351</v>
      </c>
      <c r="D53" s="274">
        <v>1025608.8311688312</v>
      </c>
      <c r="E53" s="274">
        <v>540000.0</v>
      </c>
      <c r="F53" s="274">
        <v>21711.428571428572</v>
      </c>
      <c r="G53" s="274">
        <v>485608.8311688312</v>
      </c>
      <c r="H53" s="274">
        <v>24280.441558441562</v>
      </c>
      <c r="I53" s="274">
        <v>439616.9610389611</v>
      </c>
      <c r="J53" s="274">
        <v>87923.39220779222</v>
      </c>
      <c r="K53" s="274">
        <v>351693.5688311689</v>
      </c>
    </row>
    <row r="54">
      <c r="A54" s="273">
        <v>2029.0</v>
      </c>
      <c r="B54" s="37" t="s">
        <v>56</v>
      </c>
      <c r="C54" s="37" t="s">
        <v>331</v>
      </c>
      <c r="D54" s="274">
        <v>46507.01956271577</v>
      </c>
      <c r="E54" s="274">
        <v>26000.0</v>
      </c>
      <c r="F54" s="274">
        <v>5087.833333333333</v>
      </c>
      <c r="G54" s="274">
        <v>20507.019562715766</v>
      </c>
      <c r="H54" s="274">
        <v>1025.3509781357884</v>
      </c>
      <c r="I54" s="274">
        <v>14393.835251246646</v>
      </c>
      <c r="J54" s="274">
        <v>2878.7670502493293</v>
      </c>
      <c r="K54" s="274">
        <v>11515.068200997317</v>
      </c>
    </row>
    <row r="55">
      <c r="A55" s="273">
        <v>2029.0</v>
      </c>
      <c r="B55" s="37" t="s">
        <v>69</v>
      </c>
      <c r="C55" s="37" t="s">
        <v>331</v>
      </c>
      <c r="D55" s="274">
        <v>158162.30409118664</v>
      </c>
      <c r="E55" s="274">
        <v>51200.0</v>
      </c>
      <c r="F55" s="274">
        <v>17095.217391304348</v>
      </c>
      <c r="G55" s="274">
        <v>106962.30409118664</v>
      </c>
      <c r="H55" s="274">
        <v>5348.115204559333</v>
      </c>
      <c r="I55" s="274">
        <v>84518.97149532296</v>
      </c>
      <c r="J55" s="274">
        <v>16903.794299064593</v>
      </c>
      <c r="K55" s="274">
        <v>67615.17719625836</v>
      </c>
    </row>
    <row r="56">
      <c r="A56" s="273">
        <v>2029.0</v>
      </c>
      <c r="B56" s="37" t="s">
        <v>82</v>
      </c>
      <c r="C56" s="37" t="s">
        <v>331</v>
      </c>
      <c r="D56" s="274">
        <v>292184.3023255814</v>
      </c>
      <c r="E56" s="274">
        <v>116400.0</v>
      </c>
      <c r="F56" s="274">
        <v>9152.181818181818</v>
      </c>
      <c r="G56" s="274">
        <v>175784.30232558138</v>
      </c>
      <c r="H56" s="274">
        <v>8789.215116279069</v>
      </c>
      <c r="I56" s="274">
        <v>157842.90539112047</v>
      </c>
      <c r="J56" s="274">
        <v>31568.581078224095</v>
      </c>
      <c r="K56" s="274">
        <v>126274.32431289638</v>
      </c>
    </row>
    <row r="57">
      <c r="A57" s="273">
        <v>2029.0</v>
      </c>
      <c r="B57" s="37" t="s">
        <v>110</v>
      </c>
      <c r="C57" s="37" t="s">
        <v>331</v>
      </c>
      <c r="D57" s="274">
        <v>744979.5918367347</v>
      </c>
      <c r="E57" s="274">
        <v>438000.0</v>
      </c>
      <c r="F57" s="274">
        <v>27622.736842105267</v>
      </c>
      <c r="G57" s="274">
        <v>306979.5918367347</v>
      </c>
      <c r="H57" s="274">
        <v>15348.979591836734</v>
      </c>
      <c r="I57" s="274">
        <v>264007.87540279265</v>
      </c>
      <c r="J57" s="274">
        <v>52801.575080558534</v>
      </c>
      <c r="K57" s="274">
        <v>211206.3003222341</v>
      </c>
    </row>
    <row r="58">
      <c r="A58" s="273">
        <v>2029.0</v>
      </c>
      <c r="B58" s="37" t="s">
        <v>119</v>
      </c>
      <c r="C58" s="37" t="s">
        <v>331</v>
      </c>
      <c r="D58" s="274">
        <v>138582.8698553949</v>
      </c>
      <c r="E58" s="274">
        <v>84000.0</v>
      </c>
      <c r="F58" s="274">
        <v>6376.222222222223</v>
      </c>
      <c r="G58" s="274">
        <v>54582.86985539491</v>
      </c>
      <c r="H58" s="274">
        <v>2729.1434927697455</v>
      </c>
      <c r="I58" s="274">
        <v>45477.50414040294</v>
      </c>
      <c r="J58" s="274">
        <v>9095.500828080589</v>
      </c>
      <c r="K58" s="274">
        <v>36382.003312322355</v>
      </c>
    </row>
    <row r="59">
      <c r="A59" s="273">
        <v>2029.0</v>
      </c>
      <c r="B59" s="37" t="s">
        <v>122</v>
      </c>
      <c r="C59" s="37" t="s">
        <v>331</v>
      </c>
      <c r="D59" s="274">
        <v>623757.654723127</v>
      </c>
      <c r="E59" s="274">
        <v>426000.0</v>
      </c>
      <c r="F59" s="274">
        <v>31093.41176470588</v>
      </c>
      <c r="G59" s="274">
        <v>197757.65472312702</v>
      </c>
      <c r="H59" s="274">
        <v>9887.882736156353</v>
      </c>
      <c r="I59" s="274">
        <v>156776.3602222648</v>
      </c>
      <c r="J59" s="274">
        <v>31355.272044452962</v>
      </c>
      <c r="K59" s="274">
        <v>125421.08817781185</v>
      </c>
    </row>
    <row r="60">
      <c r="A60" s="273">
        <v>2029.0</v>
      </c>
      <c r="B60" s="37" t="s">
        <v>135</v>
      </c>
      <c r="C60" s="37" t="s">
        <v>331</v>
      </c>
      <c r="D60" s="274">
        <v>742522.9060620083</v>
      </c>
      <c r="E60" s="274">
        <v>300000.0</v>
      </c>
      <c r="F60" s="274">
        <v>17892.75</v>
      </c>
      <c r="G60" s="274">
        <v>442522.90606200835</v>
      </c>
      <c r="H60" s="274">
        <v>22126.14530310042</v>
      </c>
      <c r="I60" s="274">
        <v>402504.01075890794</v>
      </c>
      <c r="J60" s="274">
        <v>80500.8021517816</v>
      </c>
      <c r="K60" s="274">
        <v>322003.2086071264</v>
      </c>
    </row>
    <row r="61">
      <c r="A61" s="273">
        <v>2029.0</v>
      </c>
      <c r="B61" s="37" t="s">
        <v>150</v>
      </c>
      <c r="C61" s="37" t="s">
        <v>331</v>
      </c>
      <c r="D61" s="274">
        <v>606629.3004839419</v>
      </c>
      <c r="E61" s="274">
        <v>276000.0</v>
      </c>
      <c r="F61" s="274">
        <v>11280.0</v>
      </c>
      <c r="G61" s="274">
        <v>330629.3004839419</v>
      </c>
      <c r="H61" s="274">
        <v>16531.465024197096</v>
      </c>
      <c r="I61" s="274">
        <v>302817.8354597448</v>
      </c>
      <c r="J61" s="274">
        <v>60563.567091948964</v>
      </c>
      <c r="K61" s="274">
        <v>242254.26836779583</v>
      </c>
    </row>
    <row r="62">
      <c r="A62" s="273">
        <v>2029.0</v>
      </c>
      <c r="B62" s="37" t="s">
        <v>163</v>
      </c>
      <c r="C62" s="37" t="s">
        <v>351</v>
      </c>
      <c r="D62" s="274">
        <v>901463.4146341463</v>
      </c>
      <c r="E62" s="274">
        <v>477600.0</v>
      </c>
      <c r="F62" s="274">
        <v>30988.54904118364</v>
      </c>
      <c r="G62" s="274">
        <v>423863.41463414626</v>
      </c>
      <c r="H62" s="274">
        <v>21193.170731707316</v>
      </c>
      <c r="I62" s="274">
        <v>371681.6948612553</v>
      </c>
      <c r="J62" s="274">
        <v>74336.33897225106</v>
      </c>
      <c r="K62" s="274">
        <v>297345.35588900425</v>
      </c>
    </row>
    <row r="63">
      <c r="A63" s="273">
        <v>2029.0</v>
      </c>
      <c r="B63" s="37" t="s">
        <v>178</v>
      </c>
      <c r="C63" s="37" t="s">
        <v>331</v>
      </c>
      <c r="D63" s="274">
        <v>918640.7766990291</v>
      </c>
      <c r="E63" s="274">
        <v>432000.0</v>
      </c>
      <c r="F63" s="274">
        <v>10950.75</v>
      </c>
      <c r="G63" s="274">
        <v>486640.77669902914</v>
      </c>
      <c r="H63" s="274">
        <v>24332.038834951458</v>
      </c>
      <c r="I63" s="274">
        <v>451357.9878640777</v>
      </c>
      <c r="J63" s="274">
        <v>90271.59757281555</v>
      </c>
      <c r="K63" s="274">
        <v>361086.3902912621</v>
      </c>
    </row>
    <row r="64">
      <c r="A64" s="273">
        <v>2029.0</v>
      </c>
      <c r="B64" s="37" t="s">
        <v>188</v>
      </c>
      <c r="C64" s="37" t="s">
        <v>331</v>
      </c>
      <c r="D64" s="274">
        <v>1276736.9928400954</v>
      </c>
      <c r="E64" s="274">
        <v>600000.0</v>
      </c>
      <c r="F64" s="274">
        <v>17972.0</v>
      </c>
      <c r="G64" s="274">
        <v>676736.9928400954</v>
      </c>
      <c r="H64" s="274">
        <v>33836.849642004774</v>
      </c>
      <c r="I64" s="274">
        <v>624928.1431980906</v>
      </c>
      <c r="J64" s="274">
        <v>124985.62863961812</v>
      </c>
      <c r="K64" s="274">
        <v>499942.5145584725</v>
      </c>
    </row>
    <row r="65">
      <c r="A65" s="273">
        <v>2029.0</v>
      </c>
      <c r="B65" s="37" t="s">
        <v>209</v>
      </c>
      <c r="C65" s="37" t="s">
        <v>351</v>
      </c>
      <c r="D65" s="274">
        <v>870963.3085896077</v>
      </c>
      <c r="E65" s="274">
        <v>396000.0</v>
      </c>
      <c r="F65" s="274">
        <v>30988.54904118364</v>
      </c>
      <c r="G65" s="274">
        <v>474963.3085896077</v>
      </c>
      <c r="H65" s="274">
        <v>23748.16542948039</v>
      </c>
      <c r="I65" s="274">
        <v>420226.59411894367</v>
      </c>
      <c r="J65" s="274">
        <v>84045.31882378874</v>
      </c>
      <c r="K65" s="274">
        <v>336181.27529515495</v>
      </c>
    </row>
    <row r="66">
      <c r="A66" s="273">
        <v>2029.0</v>
      </c>
      <c r="B66" s="37" t="s">
        <v>241</v>
      </c>
      <c r="C66" s="37" t="s">
        <v>331</v>
      </c>
      <c r="D66" s="274">
        <v>0.0</v>
      </c>
      <c r="E66" s="274">
        <v>237600.0</v>
      </c>
      <c r="F66" s="274">
        <v>30988.54904118364</v>
      </c>
      <c r="G66" s="274">
        <v>-237600.0</v>
      </c>
      <c r="H66" s="274">
        <v>0.0</v>
      </c>
      <c r="I66" s="274">
        <v>-268588.54904118367</v>
      </c>
      <c r="J66" s="274">
        <v>0.0</v>
      </c>
      <c r="K66" s="274">
        <v>-268588.54904118367</v>
      </c>
    </row>
    <row r="67">
      <c r="A67" s="273">
        <v>2030.0</v>
      </c>
      <c r="B67" s="37" t="s">
        <v>16</v>
      </c>
      <c r="C67" s="37" t="s">
        <v>331</v>
      </c>
      <c r="D67" s="274">
        <v>955448.4558503696</v>
      </c>
      <c r="E67" s="274">
        <v>408000.0</v>
      </c>
      <c r="F67" s="274">
        <v>63171.11111111111</v>
      </c>
      <c r="G67" s="274">
        <v>547448.4558503696</v>
      </c>
      <c r="H67" s="274">
        <v>27372.422792518482</v>
      </c>
      <c r="I67" s="274">
        <v>456904.92194674</v>
      </c>
      <c r="J67" s="274">
        <v>91380.98438934801</v>
      </c>
      <c r="K67" s="274">
        <v>365523.937557392</v>
      </c>
    </row>
    <row r="68">
      <c r="A68" s="273">
        <v>2030.0</v>
      </c>
      <c r="B68" s="37" t="s">
        <v>27</v>
      </c>
      <c r="C68" s="37" t="s">
        <v>351</v>
      </c>
      <c r="D68" s="274">
        <v>1025608.8311688312</v>
      </c>
      <c r="E68" s="274">
        <v>540000.0</v>
      </c>
      <c r="F68" s="274">
        <v>21711.428571428572</v>
      </c>
      <c r="G68" s="274">
        <v>485608.8311688312</v>
      </c>
      <c r="H68" s="274">
        <v>24280.441558441562</v>
      </c>
      <c r="I68" s="274">
        <v>439616.9610389611</v>
      </c>
      <c r="J68" s="274">
        <v>87923.39220779222</v>
      </c>
      <c r="K68" s="274">
        <v>351693.5688311689</v>
      </c>
    </row>
    <row r="69">
      <c r="A69" s="273">
        <v>2030.0</v>
      </c>
      <c r="B69" s="37" t="s">
        <v>110</v>
      </c>
      <c r="C69" s="37" t="s">
        <v>331</v>
      </c>
      <c r="D69" s="274">
        <v>744979.5918367347</v>
      </c>
      <c r="E69" s="274">
        <v>438000.0</v>
      </c>
      <c r="F69" s="274">
        <v>27622.736842105267</v>
      </c>
      <c r="G69" s="274">
        <v>306979.5918367347</v>
      </c>
      <c r="H69" s="274">
        <v>15348.979591836734</v>
      </c>
      <c r="I69" s="274">
        <v>264007.87540279265</v>
      </c>
      <c r="J69" s="274">
        <v>52801.575080558534</v>
      </c>
      <c r="K69" s="274">
        <v>211206.3003222341</v>
      </c>
    </row>
    <row r="70">
      <c r="A70" s="273">
        <v>2030.0</v>
      </c>
      <c r="B70" s="37" t="s">
        <v>122</v>
      </c>
      <c r="C70" s="37" t="s">
        <v>331</v>
      </c>
      <c r="D70" s="274">
        <v>415838.4364820847</v>
      </c>
      <c r="E70" s="274">
        <v>284000.0</v>
      </c>
      <c r="F70" s="274">
        <v>20728.941176470587</v>
      </c>
      <c r="G70" s="274">
        <v>131838.43648208468</v>
      </c>
      <c r="H70" s="274">
        <v>6591.9218241042345</v>
      </c>
      <c r="I70" s="274">
        <v>104517.57348150985</v>
      </c>
      <c r="J70" s="274">
        <v>20903.514696301972</v>
      </c>
      <c r="K70" s="274">
        <v>83614.05878520789</v>
      </c>
    </row>
    <row r="71">
      <c r="A71" s="273">
        <v>2030.0</v>
      </c>
      <c r="B71" s="37" t="s">
        <v>135</v>
      </c>
      <c r="C71" s="37" t="s">
        <v>331</v>
      </c>
      <c r="D71" s="274">
        <v>742522.9060620083</v>
      </c>
      <c r="E71" s="274">
        <v>300000.0</v>
      </c>
      <c r="F71" s="274">
        <v>17892.75</v>
      </c>
      <c r="G71" s="274">
        <v>442522.90606200835</v>
      </c>
      <c r="H71" s="274">
        <v>22126.14530310042</v>
      </c>
      <c r="I71" s="274">
        <v>402504.01075890794</v>
      </c>
      <c r="J71" s="274">
        <v>80500.8021517816</v>
      </c>
      <c r="K71" s="274">
        <v>322003.2086071264</v>
      </c>
    </row>
    <row r="72">
      <c r="A72" s="273">
        <v>2030.0</v>
      </c>
      <c r="B72" s="37" t="s">
        <v>150</v>
      </c>
      <c r="C72" s="37" t="s">
        <v>331</v>
      </c>
      <c r="D72" s="274">
        <v>606629.3004839419</v>
      </c>
      <c r="E72" s="274">
        <v>276000.0</v>
      </c>
      <c r="F72" s="274">
        <v>11280.0</v>
      </c>
      <c r="G72" s="274">
        <v>330629.3004839419</v>
      </c>
      <c r="H72" s="274">
        <v>16531.465024197096</v>
      </c>
      <c r="I72" s="274">
        <v>302817.8354597448</v>
      </c>
      <c r="J72" s="274">
        <v>60563.567091948964</v>
      </c>
      <c r="K72" s="274">
        <v>242254.26836779583</v>
      </c>
    </row>
    <row r="73">
      <c r="A73" s="273">
        <v>2030.0</v>
      </c>
      <c r="B73" s="37" t="s">
        <v>163</v>
      </c>
      <c r="C73" s="37" t="s">
        <v>351</v>
      </c>
      <c r="D73" s="274">
        <v>901463.4146341463</v>
      </c>
      <c r="E73" s="274">
        <v>477600.0</v>
      </c>
      <c r="F73" s="274">
        <v>30988.54904118364</v>
      </c>
      <c r="G73" s="274">
        <v>423863.41463414626</v>
      </c>
      <c r="H73" s="274">
        <v>21193.170731707316</v>
      </c>
      <c r="I73" s="274">
        <v>371681.6948612553</v>
      </c>
      <c r="J73" s="274">
        <v>74336.33897225106</v>
      </c>
      <c r="K73" s="274">
        <v>297345.35588900425</v>
      </c>
    </row>
    <row r="74">
      <c r="A74" s="273">
        <v>2030.0</v>
      </c>
      <c r="B74" s="37" t="s">
        <v>178</v>
      </c>
      <c r="C74" s="37" t="s">
        <v>331</v>
      </c>
      <c r="D74" s="274">
        <v>918640.7766990291</v>
      </c>
      <c r="E74" s="274">
        <v>432000.0</v>
      </c>
      <c r="F74" s="274">
        <v>10950.75</v>
      </c>
      <c r="G74" s="274">
        <v>486640.77669902914</v>
      </c>
      <c r="H74" s="274">
        <v>24332.038834951458</v>
      </c>
      <c r="I74" s="274">
        <v>451357.9878640777</v>
      </c>
      <c r="J74" s="274">
        <v>90271.59757281555</v>
      </c>
      <c r="K74" s="274">
        <v>361086.3902912621</v>
      </c>
    </row>
    <row r="75">
      <c r="A75" s="273">
        <v>2030.0</v>
      </c>
      <c r="B75" s="37" t="s">
        <v>188</v>
      </c>
      <c r="C75" s="37" t="s">
        <v>331</v>
      </c>
      <c r="D75" s="274">
        <v>1276736.9928400954</v>
      </c>
      <c r="E75" s="274">
        <v>600000.0</v>
      </c>
      <c r="F75" s="274">
        <v>17972.0</v>
      </c>
      <c r="G75" s="274">
        <v>676736.9928400954</v>
      </c>
      <c r="H75" s="274">
        <v>33836.849642004774</v>
      </c>
      <c r="I75" s="274">
        <v>624928.1431980906</v>
      </c>
      <c r="J75" s="274">
        <v>124985.62863961812</v>
      </c>
      <c r="K75" s="274">
        <v>499942.5145584725</v>
      </c>
    </row>
    <row r="76">
      <c r="A76" s="273">
        <v>2030.0</v>
      </c>
      <c r="B76" s="37" t="s">
        <v>209</v>
      </c>
      <c r="C76" s="37" t="s">
        <v>351</v>
      </c>
      <c r="D76" s="274">
        <v>870963.3085896077</v>
      </c>
      <c r="E76" s="274">
        <v>396000.0</v>
      </c>
      <c r="F76" s="274">
        <v>30988.54904118364</v>
      </c>
      <c r="G76" s="274">
        <v>474963.3085896077</v>
      </c>
      <c r="H76" s="274">
        <v>23748.16542948039</v>
      </c>
      <c r="I76" s="274">
        <v>420226.59411894367</v>
      </c>
      <c r="J76" s="274">
        <v>84045.31882378874</v>
      </c>
      <c r="K76" s="274">
        <v>336181.27529515495</v>
      </c>
    </row>
    <row r="77">
      <c r="A77" s="273">
        <v>2030.0</v>
      </c>
      <c r="B77" s="37" t="s">
        <v>241</v>
      </c>
      <c r="C77" s="37" t="s">
        <v>331</v>
      </c>
      <c r="D77" s="274">
        <v>0.0</v>
      </c>
      <c r="E77" s="274">
        <v>237600.0</v>
      </c>
      <c r="F77" s="274">
        <v>30988.54904118364</v>
      </c>
      <c r="G77" s="274">
        <v>-237600.0</v>
      </c>
      <c r="H77" s="274">
        <v>0.0</v>
      </c>
      <c r="I77" s="274">
        <v>-268588.54904118367</v>
      </c>
      <c r="J77" s="274">
        <v>0.0</v>
      </c>
      <c r="K77" s="274">
        <v>-268588.54904118367</v>
      </c>
    </row>
    <row r="78">
      <c r="A78" s="273">
        <v>2031.0</v>
      </c>
      <c r="B78" s="37" t="s">
        <v>16</v>
      </c>
      <c r="C78" s="37" t="s">
        <v>331</v>
      </c>
      <c r="D78" s="274">
        <v>955448.4558503696</v>
      </c>
      <c r="E78" s="274">
        <v>408000.0</v>
      </c>
      <c r="F78" s="274">
        <v>63171.11111111111</v>
      </c>
      <c r="G78" s="274">
        <v>547448.4558503696</v>
      </c>
      <c r="H78" s="274">
        <v>27372.422792518482</v>
      </c>
      <c r="I78" s="274">
        <v>456904.92194674</v>
      </c>
      <c r="J78" s="274">
        <v>91380.98438934801</v>
      </c>
      <c r="K78" s="274">
        <v>365523.937557392</v>
      </c>
    </row>
    <row r="79">
      <c r="A79" s="273">
        <v>2031.0</v>
      </c>
      <c r="B79" s="37" t="s">
        <v>27</v>
      </c>
      <c r="C79" s="37" t="s">
        <v>351</v>
      </c>
      <c r="D79" s="274">
        <v>1025608.8311688312</v>
      </c>
      <c r="E79" s="274">
        <v>540000.0</v>
      </c>
      <c r="F79" s="274">
        <v>21711.428571428572</v>
      </c>
      <c r="G79" s="274">
        <v>485608.8311688312</v>
      </c>
      <c r="H79" s="274">
        <v>24280.441558441562</v>
      </c>
      <c r="I79" s="274">
        <v>439616.9610389611</v>
      </c>
      <c r="J79" s="274">
        <v>87923.39220779222</v>
      </c>
      <c r="K79" s="274">
        <v>351693.5688311689</v>
      </c>
    </row>
    <row r="80">
      <c r="A80" s="273">
        <v>2031.0</v>
      </c>
      <c r="B80" s="37" t="s">
        <v>110</v>
      </c>
      <c r="C80" s="37" t="s">
        <v>331</v>
      </c>
      <c r="D80" s="274">
        <v>744979.5918367347</v>
      </c>
      <c r="E80" s="274">
        <v>438000.0</v>
      </c>
      <c r="F80" s="274">
        <v>27622.736842105267</v>
      </c>
      <c r="G80" s="274">
        <v>306979.5918367347</v>
      </c>
      <c r="H80" s="274">
        <v>15348.979591836734</v>
      </c>
      <c r="I80" s="274">
        <v>264007.87540279265</v>
      </c>
      <c r="J80" s="274">
        <v>52801.575080558534</v>
      </c>
      <c r="K80" s="274">
        <v>211206.3003222341</v>
      </c>
    </row>
    <row r="81">
      <c r="A81" s="273">
        <v>2031.0</v>
      </c>
      <c r="B81" s="37" t="s">
        <v>135</v>
      </c>
      <c r="C81" s="37" t="s">
        <v>331</v>
      </c>
      <c r="D81" s="274">
        <v>742522.9060620083</v>
      </c>
      <c r="E81" s="274">
        <v>300000.0</v>
      </c>
      <c r="F81" s="274">
        <v>17892.75</v>
      </c>
      <c r="G81" s="274">
        <v>442522.90606200835</v>
      </c>
      <c r="H81" s="274">
        <v>22126.14530310042</v>
      </c>
      <c r="I81" s="274">
        <v>402504.01075890794</v>
      </c>
      <c r="J81" s="274">
        <v>80500.8021517816</v>
      </c>
      <c r="K81" s="274">
        <v>322003.2086071264</v>
      </c>
    </row>
    <row r="82">
      <c r="A82" s="273">
        <v>2031.0</v>
      </c>
      <c r="B82" s="37" t="s">
        <v>150</v>
      </c>
      <c r="C82" s="37" t="s">
        <v>331</v>
      </c>
      <c r="D82" s="274">
        <v>606629.3004839419</v>
      </c>
      <c r="E82" s="274">
        <v>276000.0</v>
      </c>
      <c r="F82" s="274">
        <v>11280.0</v>
      </c>
      <c r="G82" s="274">
        <v>330629.3004839419</v>
      </c>
      <c r="H82" s="274">
        <v>16531.465024197096</v>
      </c>
      <c r="I82" s="274">
        <v>302817.8354597448</v>
      </c>
      <c r="J82" s="274">
        <v>60563.567091948964</v>
      </c>
      <c r="K82" s="274">
        <v>242254.26836779583</v>
      </c>
    </row>
    <row r="83">
      <c r="A83" s="273">
        <v>2031.0</v>
      </c>
      <c r="B83" s="37" t="s">
        <v>163</v>
      </c>
      <c r="C83" s="37" t="s">
        <v>351</v>
      </c>
      <c r="D83" s="274">
        <v>676097.5609756097</v>
      </c>
      <c r="E83" s="274">
        <v>358200.0</v>
      </c>
      <c r="F83" s="274">
        <v>23241.41178088773</v>
      </c>
      <c r="G83" s="274">
        <v>317897.5609756097</v>
      </c>
      <c r="H83" s="274">
        <v>15894.878048780485</v>
      </c>
      <c r="I83" s="274">
        <v>278761.27114594146</v>
      </c>
      <c r="J83" s="274">
        <v>55752.25422918829</v>
      </c>
      <c r="K83" s="274">
        <v>223009.01691675317</v>
      </c>
    </row>
    <row r="84">
      <c r="A84" s="273">
        <v>2031.0</v>
      </c>
      <c r="B84" s="37" t="s">
        <v>178</v>
      </c>
      <c r="C84" s="37" t="s">
        <v>331</v>
      </c>
      <c r="D84" s="274">
        <v>918640.7766990291</v>
      </c>
      <c r="E84" s="274">
        <v>432000.0</v>
      </c>
      <c r="F84" s="274">
        <v>10950.75</v>
      </c>
      <c r="G84" s="274">
        <v>486640.77669902914</v>
      </c>
      <c r="H84" s="274">
        <v>24332.038834951458</v>
      </c>
      <c r="I84" s="274">
        <v>451357.9878640777</v>
      </c>
      <c r="J84" s="274">
        <v>90271.59757281555</v>
      </c>
      <c r="K84" s="274">
        <v>361086.3902912621</v>
      </c>
    </row>
    <row r="85">
      <c r="A85" s="273">
        <v>2031.0</v>
      </c>
      <c r="B85" s="37" t="s">
        <v>188</v>
      </c>
      <c r="C85" s="37" t="s">
        <v>331</v>
      </c>
      <c r="D85" s="274">
        <v>1276736.9928400954</v>
      </c>
      <c r="E85" s="274">
        <v>600000.0</v>
      </c>
      <c r="F85" s="274">
        <v>17972.0</v>
      </c>
      <c r="G85" s="274">
        <v>676736.9928400954</v>
      </c>
      <c r="H85" s="274">
        <v>33836.849642004774</v>
      </c>
      <c r="I85" s="274">
        <v>624928.1431980906</v>
      </c>
      <c r="J85" s="274">
        <v>124985.62863961812</v>
      </c>
      <c r="K85" s="274">
        <v>499942.5145584725</v>
      </c>
    </row>
    <row r="86">
      <c r="A86" s="273">
        <v>2031.0</v>
      </c>
      <c r="B86" s="37" t="s">
        <v>209</v>
      </c>
      <c r="C86" s="37" t="s">
        <v>351</v>
      </c>
      <c r="D86" s="274">
        <v>870963.3085896077</v>
      </c>
      <c r="E86" s="274">
        <v>396000.0</v>
      </c>
      <c r="F86" s="274">
        <v>30988.54904118364</v>
      </c>
      <c r="G86" s="274">
        <v>474963.3085896077</v>
      </c>
      <c r="H86" s="274">
        <v>23748.16542948039</v>
      </c>
      <c r="I86" s="274">
        <v>420226.59411894367</v>
      </c>
      <c r="J86" s="274">
        <v>84045.31882378874</v>
      </c>
      <c r="K86" s="274">
        <v>336181.27529515495</v>
      </c>
    </row>
    <row r="87">
      <c r="A87" s="273">
        <v>2031.0</v>
      </c>
      <c r="B87" s="37" t="s">
        <v>241</v>
      </c>
      <c r="C87" s="37" t="s">
        <v>331</v>
      </c>
      <c r="D87" s="274">
        <v>0.0</v>
      </c>
      <c r="E87" s="274">
        <v>237600.0</v>
      </c>
      <c r="F87" s="274">
        <v>30988.54904118364</v>
      </c>
      <c r="G87" s="274">
        <v>-237600.0</v>
      </c>
      <c r="H87" s="274">
        <v>0.0</v>
      </c>
      <c r="I87" s="274">
        <v>-268588.54904118367</v>
      </c>
      <c r="J87" s="274">
        <v>0.0</v>
      </c>
      <c r="K87" s="274">
        <v>-268588.54904118367</v>
      </c>
    </row>
    <row r="88">
      <c r="A88" s="273">
        <v>2032.0</v>
      </c>
      <c r="B88" s="37" t="s">
        <v>16</v>
      </c>
      <c r="C88" s="37" t="s">
        <v>331</v>
      </c>
      <c r="D88" s="274">
        <v>955448.4558503696</v>
      </c>
      <c r="E88" s="274">
        <v>408000.0</v>
      </c>
      <c r="F88" s="274">
        <v>63171.11111111111</v>
      </c>
      <c r="G88" s="274">
        <v>547448.4558503696</v>
      </c>
      <c r="H88" s="274">
        <v>27372.422792518482</v>
      </c>
      <c r="I88" s="274">
        <v>456904.92194674</v>
      </c>
      <c r="J88" s="274">
        <v>91380.98438934801</v>
      </c>
      <c r="K88" s="274">
        <v>365523.937557392</v>
      </c>
    </row>
    <row r="89">
      <c r="A89" s="273">
        <v>2032.0</v>
      </c>
      <c r="B89" s="37" t="s">
        <v>27</v>
      </c>
      <c r="C89" s="37" t="s">
        <v>351</v>
      </c>
      <c r="D89" s="274">
        <v>1025608.8311688312</v>
      </c>
      <c r="E89" s="274">
        <v>540000.0</v>
      </c>
      <c r="F89" s="274">
        <v>21711.428571428572</v>
      </c>
      <c r="G89" s="274">
        <v>485608.8311688312</v>
      </c>
      <c r="H89" s="274">
        <v>24280.441558441562</v>
      </c>
      <c r="I89" s="274">
        <v>439616.9610389611</v>
      </c>
      <c r="J89" s="274">
        <v>87923.39220779222</v>
      </c>
      <c r="K89" s="274">
        <v>351693.5688311689</v>
      </c>
    </row>
    <row r="90">
      <c r="A90" s="273">
        <v>2032.0</v>
      </c>
      <c r="B90" s="37" t="s">
        <v>110</v>
      </c>
      <c r="C90" s="37" t="s">
        <v>331</v>
      </c>
      <c r="D90" s="274">
        <v>744979.5918367347</v>
      </c>
      <c r="E90" s="274">
        <v>438000.0</v>
      </c>
      <c r="F90" s="274">
        <v>27622.736842105267</v>
      </c>
      <c r="G90" s="274">
        <v>306979.5918367347</v>
      </c>
      <c r="H90" s="274">
        <v>15348.979591836734</v>
      </c>
      <c r="I90" s="274">
        <v>264007.87540279265</v>
      </c>
      <c r="J90" s="274">
        <v>52801.575080558534</v>
      </c>
      <c r="K90" s="274">
        <v>211206.3003222341</v>
      </c>
    </row>
    <row r="91">
      <c r="A91" s="273">
        <v>2032.0</v>
      </c>
      <c r="B91" s="37" t="s">
        <v>135</v>
      </c>
      <c r="C91" s="37" t="s">
        <v>331</v>
      </c>
      <c r="D91" s="274">
        <v>742522.9060620083</v>
      </c>
      <c r="E91" s="274">
        <v>300000.0</v>
      </c>
      <c r="F91" s="274">
        <v>17892.75</v>
      </c>
      <c r="G91" s="274">
        <v>442522.90606200835</v>
      </c>
      <c r="H91" s="274">
        <v>22126.14530310042</v>
      </c>
      <c r="I91" s="274">
        <v>402504.01075890794</v>
      </c>
      <c r="J91" s="274">
        <v>80500.8021517816</v>
      </c>
      <c r="K91" s="274">
        <v>322003.2086071264</v>
      </c>
    </row>
    <row r="92">
      <c r="A92" s="273">
        <v>2032.0</v>
      </c>
      <c r="B92" s="37" t="s">
        <v>150</v>
      </c>
      <c r="C92" s="37" t="s">
        <v>331</v>
      </c>
      <c r="D92" s="274">
        <v>606629.3004839419</v>
      </c>
      <c r="E92" s="274">
        <v>276000.0</v>
      </c>
      <c r="F92" s="274">
        <v>11280.0</v>
      </c>
      <c r="G92" s="274">
        <v>330629.3004839419</v>
      </c>
      <c r="H92" s="274">
        <v>16531.465024197096</v>
      </c>
      <c r="I92" s="274">
        <v>302817.8354597448</v>
      </c>
      <c r="J92" s="274">
        <v>60563.567091948964</v>
      </c>
      <c r="K92" s="274">
        <v>242254.26836779583</v>
      </c>
    </row>
    <row r="93">
      <c r="A93" s="273">
        <v>2032.0</v>
      </c>
      <c r="B93" s="37" t="s">
        <v>178</v>
      </c>
      <c r="C93" s="37" t="s">
        <v>331</v>
      </c>
      <c r="D93" s="274">
        <v>918640.7766990291</v>
      </c>
      <c r="E93" s="274">
        <v>432000.0</v>
      </c>
      <c r="F93" s="274">
        <v>10950.75</v>
      </c>
      <c r="G93" s="274">
        <v>486640.77669902914</v>
      </c>
      <c r="H93" s="274">
        <v>24332.038834951458</v>
      </c>
      <c r="I93" s="274">
        <v>451357.9878640777</v>
      </c>
      <c r="J93" s="274">
        <v>90271.59757281555</v>
      </c>
      <c r="K93" s="274">
        <v>361086.3902912621</v>
      </c>
    </row>
    <row r="94">
      <c r="A94" s="273">
        <v>2032.0</v>
      </c>
      <c r="B94" s="37" t="s">
        <v>188</v>
      </c>
      <c r="C94" s="37" t="s">
        <v>331</v>
      </c>
      <c r="D94" s="274">
        <v>1276736.9928400954</v>
      </c>
      <c r="E94" s="274">
        <v>600000.0</v>
      </c>
      <c r="F94" s="274">
        <v>17972.0</v>
      </c>
      <c r="G94" s="274">
        <v>676736.9928400954</v>
      </c>
      <c r="H94" s="274">
        <v>33836.849642004774</v>
      </c>
      <c r="I94" s="274">
        <v>624928.1431980906</v>
      </c>
      <c r="J94" s="274">
        <v>124985.62863961812</v>
      </c>
      <c r="K94" s="274">
        <v>499942.5145584725</v>
      </c>
    </row>
    <row r="95">
      <c r="A95" s="273">
        <v>2032.0</v>
      </c>
      <c r="B95" s="37" t="s">
        <v>209</v>
      </c>
      <c r="C95" s="37" t="s">
        <v>351</v>
      </c>
      <c r="D95" s="274">
        <v>870963.3085896077</v>
      </c>
      <c r="E95" s="274">
        <v>396000.0</v>
      </c>
      <c r="F95" s="274">
        <v>30988.54904118364</v>
      </c>
      <c r="G95" s="274">
        <v>474963.3085896077</v>
      </c>
      <c r="H95" s="274">
        <v>23748.16542948039</v>
      </c>
      <c r="I95" s="274">
        <v>420226.59411894367</v>
      </c>
      <c r="J95" s="274">
        <v>84045.31882378874</v>
      </c>
      <c r="K95" s="274">
        <v>336181.27529515495</v>
      </c>
    </row>
    <row r="96">
      <c r="A96" s="273">
        <v>2032.0</v>
      </c>
      <c r="B96" s="37" t="s">
        <v>241</v>
      </c>
      <c r="C96" s="37" t="s">
        <v>331</v>
      </c>
      <c r="D96" s="274">
        <v>0.0</v>
      </c>
      <c r="E96" s="274">
        <v>237600.0</v>
      </c>
      <c r="F96" s="274">
        <v>30988.54904118364</v>
      </c>
      <c r="G96" s="274">
        <v>-237600.0</v>
      </c>
      <c r="H96" s="274">
        <v>0.0</v>
      </c>
      <c r="I96" s="274">
        <v>-268588.54904118367</v>
      </c>
      <c r="J96" s="274">
        <v>0.0</v>
      </c>
      <c r="K96" s="274">
        <v>-268588.54904118367</v>
      </c>
    </row>
    <row r="97">
      <c r="A97" s="273">
        <v>2033.0</v>
      </c>
      <c r="B97" s="37" t="s">
        <v>16</v>
      </c>
      <c r="C97" s="37" t="s">
        <v>331</v>
      </c>
      <c r="D97" s="274">
        <v>796207.0465419746</v>
      </c>
      <c r="E97" s="274">
        <v>340000.0</v>
      </c>
      <c r="F97" s="274">
        <v>52642.59259259259</v>
      </c>
      <c r="G97" s="274">
        <v>456207.04654197465</v>
      </c>
      <c r="H97" s="274">
        <v>22810.352327098735</v>
      </c>
      <c r="I97" s="274">
        <v>380754.10162228334</v>
      </c>
      <c r="J97" s="274">
        <v>76150.82032445667</v>
      </c>
      <c r="K97" s="274">
        <v>304603.2812978267</v>
      </c>
    </row>
    <row r="98">
      <c r="A98" s="273">
        <v>2033.0</v>
      </c>
      <c r="B98" s="37" t="s">
        <v>27</v>
      </c>
      <c r="C98" s="37" t="s">
        <v>351</v>
      </c>
      <c r="D98" s="274">
        <v>854674.025974026</v>
      </c>
      <c r="E98" s="274">
        <v>450000.0</v>
      </c>
      <c r="F98" s="274">
        <v>18092.85714285714</v>
      </c>
      <c r="G98" s="274">
        <v>404674.02597402595</v>
      </c>
      <c r="H98" s="274">
        <v>20233.7012987013</v>
      </c>
      <c r="I98" s="274">
        <v>366347.4675324675</v>
      </c>
      <c r="J98" s="274">
        <v>73269.4935064935</v>
      </c>
      <c r="K98" s="274">
        <v>293077.974025974</v>
      </c>
    </row>
    <row r="99">
      <c r="A99" s="273">
        <v>2033.0</v>
      </c>
      <c r="B99" s="37" t="s">
        <v>110</v>
      </c>
      <c r="C99" s="37" t="s">
        <v>331</v>
      </c>
      <c r="D99" s="274">
        <v>744979.5918367347</v>
      </c>
      <c r="E99" s="274">
        <v>438000.0</v>
      </c>
      <c r="F99" s="274">
        <v>27622.736842105267</v>
      </c>
      <c r="G99" s="274">
        <v>306979.5918367347</v>
      </c>
      <c r="H99" s="274">
        <v>15348.979591836734</v>
      </c>
      <c r="I99" s="274">
        <v>264007.87540279265</v>
      </c>
      <c r="J99" s="274">
        <v>52801.575080558534</v>
      </c>
      <c r="K99" s="274">
        <v>211206.3003222341</v>
      </c>
    </row>
    <row r="100">
      <c r="A100" s="273">
        <v>2033.0</v>
      </c>
      <c r="B100" s="37" t="s">
        <v>135</v>
      </c>
      <c r="C100" s="37" t="s">
        <v>331</v>
      </c>
      <c r="D100" s="274">
        <v>742522.9060620083</v>
      </c>
      <c r="E100" s="274">
        <v>300000.0</v>
      </c>
      <c r="F100" s="274">
        <v>17892.75</v>
      </c>
      <c r="G100" s="274">
        <v>442522.90606200835</v>
      </c>
      <c r="H100" s="274">
        <v>22126.14530310042</v>
      </c>
      <c r="I100" s="274">
        <v>402504.01075890794</v>
      </c>
      <c r="J100" s="274">
        <v>80500.8021517816</v>
      </c>
      <c r="K100" s="274">
        <v>322003.2086071264</v>
      </c>
    </row>
    <row r="101">
      <c r="A101" s="273">
        <v>2033.0</v>
      </c>
      <c r="B101" s="37" t="s">
        <v>150</v>
      </c>
      <c r="C101" s="37" t="s">
        <v>331</v>
      </c>
      <c r="D101" s="274">
        <v>606629.3004839419</v>
      </c>
      <c r="E101" s="274">
        <v>276000.0</v>
      </c>
      <c r="F101" s="274">
        <v>11280.0</v>
      </c>
      <c r="G101" s="274">
        <v>330629.3004839419</v>
      </c>
      <c r="H101" s="274">
        <v>16531.465024197096</v>
      </c>
      <c r="I101" s="274">
        <v>302817.8354597448</v>
      </c>
      <c r="J101" s="274">
        <v>60563.567091948964</v>
      </c>
      <c r="K101" s="274">
        <v>242254.26836779583</v>
      </c>
    </row>
    <row r="102">
      <c r="A102" s="273">
        <v>2033.0</v>
      </c>
      <c r="B102" s="37" t="s">
        <v>178</v>
      </c>
      <c r="C102" s="37" t="s">
        <v>331</v>
      </c>
      <c r="D102" s="274">
        <v>918640.7766990291</v>
      </c>
      <c r="E102" s="274">
        <v>432000.0</v>
      </c>
      <c r="F102" s="274">
        <v>10950.75</v>
      </c>
      <c r="G102" s="274">
        <v>486640.77669902914</v>
      </c>
      <c r="H102" s="274">
        <v>24332.038834951458</v>
      </c>
      <c r="I102" s="274">
        <v>451357.9878640777</v>
      </c>
      <c r="J102" s="274">
        <v>90271.59757281555</v>
      </c>
      <c r="K102" s="274">
        <v>361086.3902912621</v>
      </c>
    </row>
    <row r="103">
      <c r="A103" s="273">
        <v>2033.0</v>
      </c>
      <c r="B103" s="37" t="s">
        <v>188</v>
      </c>
      <c r="C103" s="37" t="s">
        <v>331</v>
      </c>
      <c r="D103" s="274">
        <v>1276736.9928400954</v>
      </c>
      <c r="E103" s="274">
        <v>600000.0</v>
      </c>
      <c r="F103" s="274">
        <v>17972.0</v>
      </c>
      <c r="G103" s="274">
        <v>676736.9928400954</v>
      </c>
      <c r="H103" s="274">
        <v>33836.849642004774</v>
      </c>
      <c r="I103" s="274">
        <v>624928.1431980906</v>
      </c>
      <c r="J103" s="274">
        <v>124985.62863961812</v>
      </c>
      <c r="K103" s="274">
        <v>499942.5145584725</v>
      </c>
    </row>
    <row r="104">
      <c r="A104" s="273">
        <v>2033.0</v>
      </c>
      <c r="B104" s="37" t="s">
        <v>209</v>
      </c>
      <c r="C104" s="37" t="s">
        <v>351</v>
      </c>
      <c r="D104" s="274">
        <v>870963.3085896077</v>
      </c>
      <c r="E104" s="274">
        <v>396000.0</v>
      </c>
      <c r="F104" s="274">
        <v>30988.54904118364</v>
      </c>
      <c r="G104" s="274">
        <v>474963.3085896077</v>
      </c>
      <c r="H104" s="274">
        <v>23748.16542948039</v>
      </c>
      <c r="I104" s="274">
        <v>420226.59411894367</v>
      </c>
      <c r="J104" s="274">
        <v>84045.31882378874</v>
      </c>
      <c r="K104" s="274">
        <v>336181.27529515495</v>
      </c>
    </row>
    <row r="105">
      <c r="A105" s="273">
        <v>2033.0</v>
      </c>
      <c r="B105" s="37" t="s">
        <v>241</v>
      </c>
      <c r="C105" s="37" t="s">
        <v>331</v>
      </c>
      <c r="D105" s="274">
        <v>0.0</v>
      </c>
      <c r="E105" s="274">
        <v>237600.0</v>
      </c>
      <c r="F105" s="274">
        <v>30988.54904118364</v>
      </c>
      <c r="G105" s="274">
        <v>-237600.0</v>
      </c>
      <c r="H105" s="274">
        <v>0.0</v>
      </c>
      <c r="I105" s="274">
        <v>-268588.54904118367</v>
      </c>
      <c r="J105" s="274">
        <v>0.0</v>
      </c>
      <c r="K105" s="274">
        <v>-268588.54904118367</v>
      </c>
    </row>
    <row r="106">
      <c r="A106" s="273">
        <v>2034.0</v>
      </c>
      <c r="B106" s="37" t="s">
        <v>110</v>
      </c>
      <c r="C106" s="37" t="s">
        <v>331</v>
      </c>
      <c r="D106" s="274">
        <v>434571.4285714286</v>
      </c>
      <c r="E106" s="274">
        <v>255500.0</v>
      </c>
      <c r="F106" s="274">
        <v>16113.263157894738</v>
      </c>
      <c r="G106" s="274">
        <v>179071.42857142858</v>
      </c>
      <c r="H106" s="274">
        <v>8953.57142857143</v>
      </c>
      <c r="I106" s="274">
        <v>154004.5939849624</v>
      </c>
      <c r="J106" s="274">
        <v>30800.918796992482</v>
      </c>
      <c r="K106" s="274">
        <v>123203.67518796993</v>
      </c>
    </row>
    <row r="107">
      <c r="A107" s="273">
        <v>2034.0</v>
      </c>
      <c r="B107" s="37" t="s">
        <v>135</v>
      </c>
      <c r="C107" s="37" t="s">
        <v>331</v>
      </c>
      <c r="D107" s="274">
        <v>742522.9060620083</v>
      </c>
      <c r="E107" s="274">
        <v>300000.0</v>
      </c>
      <c r="F107" s="274">
        <v>17892.75</v>
      </c>
      <c r="G107" s="274">
        <v>442522.90606200835</v>
      </c>
      <c r="H107" s="274">
        <v>22126.14530310042</v>
      </c>
      <c r="I107" s="274">
        <v>402504.01075890794</v>
      </c>
      <c r="J107" s="274">
        <v>80500.8021517816</v>
      </c>
      <c r="K107" s="274">
        <v>322003.2086071264</v>
      </c>
    </row>
    <row r="108">
      <c r="A108" s="273">
        <v>2034.0</v>
      </c>
      <c r="B108" s="37" t="s">
        <v>150</v>
      </c>
      <c r="C108" s="37" t="s">
        <v>331</v>
      </c>
      <c r="D108" s="274">
        <v>454971.9753629564</v>
      </c>
      <c r="E108" s="274">
        <v>207000.0</v>
      </c>
      <c r="F108" s="274">
        <v>8460.0</v>
      </c>
      <c r="G108" s="274">
        <v>247971.9753629564</v>
      </c>
      <c r="H108" s="274">
        <v>12398.598768147822</v>
      </c>
      <c r="I108" s="274">
        <v>227113.3765948086</v>
      </c>
      <c r="J108" s="274">
        <v>45422.67531896172</v>
      </c>
      <c r="K108" s="274">
        <v>181690.70127584686</v>
      </c>
    </row>
    <row r="109">
      <c r="A109" s="273">
        <v>2034.0</v>
      </c>
      <c r="B109" s="37" t="s">
        <v>178</v>
      </c>
      <c r="C109" s="37" t="s">
        <v>331</v>
      </c>
      <c r="D109" s="274">
        <v>765533.9805825242</v>
      </c>
      <c r="E109" s="274">
        <v>360000.0</v>
      </c>
      <c r="F109" s="274">
        <v>9125.625</v>
      </c>
      <c r="G109" s="274">
        <v>405533.9805825242</v>
      </c>
      <c r="H109" s="274">
        <v>20276.699029126212</v>
      </c>
      <c r="I109" s="274">
        <v>376131.656553398</v>
      </c>
      <c r="J109" s="274">
        <v>75226.3313106796</v>
      </c>
      <c r="K109" s="274">
        <v>300905.3252427184</v>
      </c>
    </row>
    <row r="110">
      <c r="A110" s="273">
        <v>2034.0</v>
      </c>
      <c r="B110" s="37" t="s">
        <v>188</v>
      </c>
      <c r="C110" s="37" t="s">
        <v>331</v>
      </c>
      <c r="D110" s="274">
        <v>1276736.9928400954</v>
      </c>
      <c r="E110" s="274">
        <v>600000.0</v>
      </c>
      <c r="F110" s="274">
        <v>17972.0</v>
      </c>
      <c r="G110" s="274">
        <v>676736.9928400954</v>
      </c>
      <c r="H110" s="274">
        <v>33836.849642004774</v>
      </c>
      <c r="I110" s="274">
        <v>624928.1431980906</v>
      </c>
      <c r="J110" s="274">
        <v>124985.62863961812</v>
      </c>
      <c r="K110" s="274">
        <v>499942.5145584725</v>
      </c>
    </row>
    <row r="111">
      <c r="A111" s="273">
        <v>2034.0</v>
      </c>
      <c r="B111" s="37" t="s">
        <v>209</v>
      </c>
      <c r="C111" s="37" t="s">
        <v>351</v>
      </c>
      <c r="D111" s="274">
        <v>870963.3085896077</v>
      </c>
      <c r="E111" s="274">
        <v>396000.0</v>
      </c>
      <c r="F111" s="274">
        <v>30988.54904118364</v>
      </c>
      <c r="G111" s="274">
        <v>474963.3085896077</v>
      </c>
      <c r="H111" s="274">
        <v>23748.16542948039</v>
      </c>
      <c r="I111" s="274">
        <v>420226.59411894367</v>
      </c>
      <c r="J111" s="274">
        <v>84045.31882378874</v>
      </c>
      <c r="K111" s="274">
        <v>336181.27529515495</v>
      </c>
    </row>
    <row r="112">
      <c r="A112" s="273">
        <v>2034.0</v>
      </c>
      <c r="B112" s="37" t="s">
        <v>241</v>
      </c>
      <c r="C112" s="37" t="s">
        <v>331</v>
      </c>
      <c r="D112" s="274">
        <v>0.0</v>
      </c>
      <c r="E112" s="274">
        <v>237600.0</v>
      </c>
      <c r="F112" s="274">
        <v>30988.54904118364</v>
      </c>
      <c r="G112" s="274">
        <v>-237600.0</v>
      </c>
      <c r="H112" s="274">
        <v>0.0</v>
      </c>
      <c r="I112" s="274">
        <v>-268588.54904118367</v>
      </c>
      <c r="J112" s="274">
        <v>0.0</v>
      </c>
      <c r="K112" s="274">
        <v>-268588.54904118367</v>
      </c>
    </row>
    <row r="113">
      <c r="A113" s="273">
        <v>2035.0</v>
      </c>
      <c r="B113" s="37" t="s">
        <v>188</v>
      </c>
      <c r="C113" s="37" t="s">
        <v>331</v>
      </c>
      <c r="D113" s="274">
        <v>531973.7470167064</v>
      </c>
      <c r="E113" s="274">
        <v>250000.0</v>
      </c>
      <c r="F113" s="274">
        <v>7488.333333333334</v>
      </c>
      <c r="G113" s="274">
        <v>281973.7470167064</v>
      </c>
      <c r="H113" s="274">
        <v>14098.68735083532</v>
      </c>
      <c r="I113" s="274">
        <v>260386.72633253774</v>
      </c>
      <c r="J113" s="274">
        <v>52077.34526650755</v>
      </c>
      <c r="K113" s="274">
        <v>208309.38106603018</v>
      </c>
    </row>
    <row r="114">
      <c r="A114" s="273">
        <v>2035.0</v>
      </c>
      <c r="B114" s="37" t="s">
        <v>209</v>
      </c>
      <c r="C114" s="37" t="s">
        <v>351</v>
      </c>
      <c r="D114" s="274">
        <v>290321.10286320257</v>
      </c>
      <c r="E114" s="274">
        <v>132000.0</v>
      </c>
      <c r="F114" s="274">
        <v>10329.516347061213</v>
      </c>
      <c r="G114" s="274">
        <v>158321.10286320257</v>
      </c>
      <c r="H114" s="274">
        <v>7916.055143160129</v>
      </c>
      <c r="I114" s="274">
        <v>140075.53137298123</v>
      </c>
      <c r="J114" s="274">
        <v>28015.106274596248</v>
      </c>
      <c r="K114" s="274">
        <v>112060.42509838499</v>
      </c>
    </row>
    <row r="115">
      <c r="A115" s="273">
        <v>2035.0</v>
      </c>
      <c r="B115" s="37" t="s">
        <v>241</v>
      </c>
      <c r="C115" s="37" t="s">
        <v>331</v>
      </c>
      <c r="D115" s="274">
        <v>0.0</v>
      </c>
      <c r="E115" s="274">
        <v>237600.0</v>
      </c>
      <c r="F115" s="274">
        <v>30988.54904118364</v>
      </c>
      <c r="G115" s="274">
        <v>-237600.0</v>
      </c>
      <c r="H115" s="274">
        <v>0.0</v>
      </c>
      <c r="I115" s="274">
        <v>-268588.54904118367</v>
      </c>
      <c r="J115" s="274">
        <v>0.0</v>
      </c>
      <c r="K115" s="274">
        <v>-268588.54904118367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6.25"/>
    <col customWidth="1" min="8" max="8" width="18.0"/>
    <col customWidth="1" min="9" max="9" width="15.5"/>
    <col customWidth="1" min="12" max="12" width="13.75"/>
    <col customWidth="1" min="13" max="13" width="14.88"/>
    <col customWidth="1" min="14" max="14" width="17.25"/>
  </cols>
  <sheetData>
    <row r="1">
      <c r="A1" s="37" t="s">
        <v>2133</v>
      </c>
      <c r="B1" s="37" t="s">
        <v>2134</v>
      </c>
      <c r="C1" s="37" t="s">
        <v>2143</v>
      </c>
      <c r="D1" s="37" t="s">
        <v>2144</v>
      </c>
      <c r="E1" s="37" t="s">
        <v>2145</v>
      </c>
      <c r="F1" s="37" t="s">
        <v>2146</v>
      </c>
      <c r="G1" s="37" t="s">
        <v>2147</v>
      </c>
      <c r="H1" s="37" t="s">
        <v>2148</v>
      </c>
      <c r="I1" s="37" t="s">
        <v>2149</v>
      </c>
      <c r="J1" s="37" t="s">
        <v>2150</v>
      </c>
      <c r="K1" s="37" t="s">
        <v>2151</v>
      </c>
      <c r="L1" s="37" t="s">
        <v>2152</v>
      </c>
      <c r="M1" s="37" t="s">
        <v>2153</v>
      </c>
      <c r="N1" s="37" t="s">
        <v>2154</v>
      </c>
    </row>
    <row r="2">
      <c r="A2" s="37" t="s">
        <v>16</v>
      </c>
      <c r="B2" s="37" t="s">
        <v>331</v>
      </c>
      <c r="C2" s="274">
        <v>-212841.04</v>
      </c>
      <c r="D2" s="274">
        <v>-142135.0</v>
      </c>
      <c r="E2" s="275">
        <v>0.08970082894458661</v>
      </c>
      <c r="F2" s="275">
        <v>0.7840860215053767</v>
      </c>
      <c r="G2" s="275">
        <v>0.875</v>
      </c>
      <c r="H2" s="274">
        <v>-834855.0</v>
      </c>
      <c r="I2" s="274">
        <v>1584545.0</v>
      </c>
      <c r="J2" s="274">
        <v>630145.0</v>
      </c>
      <c r="K2" s="274">
        <v>202131.96</v>
      </c>
      <c r="L2" s="275">
        <v>1.9496850795316543</v>
      </c>
      <c r="M2" s="274">
        <v>7486.368888888888</v>
      </c>
      <c r="N2" s="274">
        <v>13147.260740740741</v>
      </c>
    </row>
    <row r="3">
      <c r="A3" s="37" t="s">
        <v>41</v>
      </c>
      <c r="B3" s="37" t="s">
        <v>331</v>
      </c>
      <c r="C3" s="274">
        <v>-455320.0</v>
      </c>
      <c r="D3" s="274">
        <v>-23044.0</v>
      </c>
      <c r="E3" s="275">
        <v>0.013257102882344074</v>
      </c>
      <c r="F3" s="275">
        <v>0.9665548387096774</v>
      </c>
      <c r="G3" s="275">
        <v>0.2</v>
      </c>
      <c r="H3" s="274">
        <v>-90562.0</v>
      </c>
      <c r="I3" s="274">
        <v>1738238.0</v>
      </c>
      <c r="J3" s="274">
        <v>1033938.0</v>
      </c>
      <c r="K3" s="274">
        <v>599544.0</v>
      </c>
      <c r="L3" s="275">
        <v>2.316753052798032</v>
      </c>
      <c r="M3" s="274">
        <v>23981.76</v>
      </c>
      <c r="N3" s="274">
        <v>19134.56</v>
      </c>
    </row>
    <row r="4">
      <c r="A4" s="37" t="s">
        <v>56</v>
      </c>
      <c r="B4" s="37" t="s">
        <v>331</v>
      </c>
      <c r="C4" s="274">
        <v>-286262.0</v>
      </c>
      <c r="D4" s="274">
        <v>-122108.0</v>
      </c>
      <c r="E4" s="275">
        <v>0.09624488264568597</v>
      </c>
      <c r="F4" s="275">
        <v>0.9345337411939193</v>
      </c>
      <c r="G4" s="275">
        <v>0.5</v>
      </c>
      <c r="H4" s="274">
        <v>-3278.0</v>
      </c>
      <c r="I4" s="274">
        <v>1268722.0</v>
      </c>
      <c r="J4" s="274">
        <v>620322.0</v>
      </c>
      <c r="K4" s="274">
        <v>149537.0</v>
      </c>
      <c r="L4" s="275">
        <v>1.522378101180038</v>
      </c>
      <c r="M4" s="274">
        <v>6230.708333333333</v>
      </c>
      <c r="N4" s="274">
        <v>17015.416666666668</v>
      </c>
    </row>
    <row r="5">
      <c r="A5" s="37" t="s">
        <v>69</v>
      </c>
      <c r="B5" s="37" t="s">
        <v>331</v>
      </c>
      <c r="C5" s="274">
        <v>-577545.0</v>
      </c>
      <c r="D5" s="274">
        <v>-196595.0</v>
      </c>
      <c r="E5" s="275">
        <v>0.08716987339650575</v>
      </c>
      <c r="F5" s="275">
        <v>0.8712201963534362</v>
      </c>
      <c r="G5" s="275">
        <v>0.2857142857142857</v>
      </c>
      <c r="H5" s="274">
        <v>207209.0</v>
      </c>
      <c r="I5" s="274">
        <v>2255309.0</v>
      </c>
      <c r="J5" s="274">
        <v>1619709.0</v>
      </c>
      <c r="K5" s="274">
        <v>587887.0</v>
      </c>
      <c r="L5" s="275">
        <v>2.0179068297708405</v>
      </c>
      <c r="M5" s="274">
        <v>25560.304347826088</v>
      </c>
      <c r="N5" s="274">
        <v>33658.260869565216</v>
      </c>
    </row>
    <row r="6" ht="15.0" customHeight="1">
      <c r="A6" s="37" t="s">
        <v>82</v>
      </c>
      <c r="B6" s="37" t="s">
        <v>331</v>
      </c>
      <c r="C6" s="274">
        <v>-557165.0</v>
      </c>
      <c r="D6" s="274">
        <v>-67116.0</v>
      </c>
      <c r="E6" s="275">
        <v>0.028407457994708413</v>
      </c>
      <c r="F6" s="275">
        <v>0.8705777325592994</v>
      </c>
      <c r="G6" s="275">
        <v>0.2</v>
      </c>
      <c r="H6" s="274">
        <v>-57681.0</v>
      </c>
      <c r="I6" s="274">
        <v>2362619.0</v>
      </c>
      <c r="J6" s="274">
        <v>1474919.0</v>
      </c>
      <c r="K6" s="274">
        <v>887348.0</v>
      </c>
      <c r="L6" s="275">
        <v>2.592612601294051</v>
      </c>
      <c r="M6" s="274">
        <v>40334.0</v>
      </c>
      <c r="N6" s="274">
        <v>28376.409090909092</v>
      </c>
    </row>
    <row r="7">
      <c r="A7" s="37" t="s">
        <v>110</v>
      </c>
      <c r="B7" s="37" t="s">
        <v>331</v>
      </c>
      <c r="C7" s="274">
        <v>-521868.0</v>
      </c>
      <c r="D7" s="274">
        <v>-43736.0</v>
      </c>
      <c r="E7" s="275">
        <v>0.03208726421150478</v>
      </c>
      <c r="F7" s="275">
        <v>0.9187686959333817</v>
      </c>
      <c r="G7" s="275">
        <v>0.6</v>
      </c>
      <c r="H7" s="274">
        <v>52033.0</v>
      </c>
      <c r="I7" s="274">
        <v>1363033.0</v>
      </c>
      <c r="J7" s="274">
        <v>715933.0</v>
      </c>
      <c r="K7" s="274">
        <v>-34959.0</v>
      </c>
      <c r="L7" s="275">
        <v>0.9330117960863666</v>
      </c>
      <c r="M7" s="274">
        <v>-1839.9473684210527</v>
      </c>
      <c r="N7" s="274">
        <v>29768.63157894737</v>
      </c>
    </row>
    <row r="8">
      <c r="A8" s="37" t="s">
        <v>119</v>
      </c>
      <c r="B8" s="37" t="s">
        <v>331</v>
      </c>
      <c r="C8" s="274">
        <v>-55406.0</v>
      </c>
      <c r="D8" s="274">
        <v>-16396.0</v>
      </c>
      <c r="E8" s="275">
        <v>0.03910177527210982</v>
      </c>
      <c r="F8" s="275">
        <v>0.978494623655914</v>
      </c>
      <c r="G8" s="275">
        <v>0.5</v>
      </c>
      <c r="H8" s="274">
        <v>1316.0</v>
      </c>
      <c r="I8" s="274">
        <v>419316.0</v>
      </c>
      <c r="J8" s="274">
        <v>193316.0</v>
      </c>
      <c r="K8" s="274">
        <v>106619.0</v>
      </c>
      <c r="L8" s="275">
        <v>2.924322275565823</v>
      </c>
      <c r="M8" s="274">
        <v>5923.277777777777</v>
      </c>
      <c r="N8" s="274">
        <v>3989.0</v>
      </c>
    </row>
    <row r="9">
      <c r="A9" s="37" t="s">
        <v>122</v>
      </c>
      <c r="B9" s="37" t="s">
        <v>331</v>
      </c>
      <c r="C9" s="274">
        <v>-268263.0</v>
      </c>
      <c r="D9" s="274">
        <v>-44049.0</v>
      </c>
      <c r="E9" s="275">
        <v>0.041017441887534235</v>
      </c>
      <c r="F9" s="275">
        <v>0.8856747537724767</v>
      </c>
      <c r="G9" s="275">
        <v>0.0</v>
      </c>
      <c r="H9" s="274">
        <v>39909.0</v>
      </c>
      <c r="I9" s="274">
        <v>1073909.0</v>
      </c>
      <c r="J9" s="274">
        <v>464709.0</v>
      </c>
      <c r="K9" s="274">
        <v>18273.0</v>
      </c>
      <c r="L9" s="275">
        <v>1.0681159906509656</v>
      </c>
      <c r="M9" s="274">
        <v>1074.8823529411766</v>
      </c>
      <c r="N9" s="274">
        <v>18371.29411764706</v>
      </c>
    </row>
    <row r="10">
      <c r="A10" s="37" t="s">
        <v>135</v>
      </c>
      <c r="B10" s="37" t="s">
        <v>331</v>
      </c>
      <c r="C10" s="274">
        <v>-540097.0</v>
      </c>
      <c r="D10" s="274">
        <v>-23857.0</v>
      </c>
      <c r="E10" s="275">
        <v>0.023306067861814564</v>
      </c>
      <c r="F10" s="275">
        <v>0.9328360215053764</v>
      </c>
      <c r="G10" s="275">
        <v>0.0</v>
      </c>
      <c r="H10" s="274">
        <v>-96561.0</v>
      </c>
      <c r="I10" s="274">
        <v>1023639.0</v>
      </c>
      <c r="J10" s="274">
        <v>584439.0</v>
      </c>
      <c r="K10" s="274">
        <v>68037.0</v>
      </c>
      <c r="L10" s="275">
        <v>1.1259718161737613</v>
      </c>
      <c r="M10" s="274">
        <v>4252.3125</v>
      </c>
      <c r="N10" s="274">
        <v>35247.125</v>
      </c>
    </row>
    <row r="11">
      <c r="A11" s="37" t="s">
        <v>150</v>
      </c>
      <c r="B11" s="37" t="s">
        <v>331</v>
      </c>
      <c r="C11" s="274">
        <v>-619382.0</v>
      </c>
      <c r="D11" s="274">
        <v>-15040.0</v>
      </c>
      <c r="E11" s="275">
        <v>0.018628086050858143</v>
      </c>
      <c r="F11" s="275">
        <v>0.8932291666666667</v>
      </c>
      <c r="G11" s="275">
        <v>0.0</v>
      </c>
      <c r="H11" s="274">
        <v>-125317.0</v>
      </c>
      <c r="I11" s="274">
        <v>807383.0</v>
      </c>
      <c r="J11" s="274">
        <v>408083.0</v>
      </c>
      <c r="K11" s="274">
        <v>-167104.0</v>
      </c>
      <c r="L11" s="275">
        <v>0.7302084981481541</v>
      </c>
      <c r="M11" s="274">
        <v>-10444.0</v>
      </c>
      <c r="N11" s="274">
        <v>39651.375</v>
      </c>
    </row>
    <row r="12">
      <c r="A12" s="37" t="s">
        <v>178</v>
      </c>
      <c r="B12" s="37" t="s">
        <v>331</v>
      </c>
      <c r="C12" s="274">
        <v>-571878.0</v>
      </c>
      <c r="D12" s="274">
        <v>-14601.0</v>
      </c>
      <c r="E12" s="275">
        <v>0.012429313123178826</v>
      </c>
      <c r="F12" s="275">
        <v>0.74588133640553</v>
      </c>
      <c r="G12" s="275">
        <v>0.0</v>
      </c>
      <c r="H12" s="274">
        <v>-236277.0</v>
      </c>
      <c r="I12" s="274">
        <v>1174723.0</v>
      </c>
      <c r="J12" s="274">
        <v>587723.0</v>
      </c>
      <c r="K12" s="274">
        <v>27116.0</v>
      </c>
      <c r="L12" s="275">
        <v>1.047415707546015</v>
      </c>
      <c r="M12" s="274">
        <v>1694.75</v>
      </c>
      <c r="N12" s="274">
        <v>36654.9375</v>
      </c>
    </row>
    <row r="13">
      <c r="A13" s="37" t="s">
        <v>188</v>
      </c>
      <c r="B13" s="37" t="s">
        <v>331</v>
      </c>
      <c r="C13" s="274">
        <v>-663000.3</v>
      </c>
      <c r="D13" s="274">
        <v>-13479.0</v>
      </c>
      <c r="E13" s="275">
        <v>0.018208983855214328</v>
      </c>
      <c r="F13" s="275">
        <v>0.8044034818228367</v>
      </c>
      <c r="G13" s="275">
        <v>0.0</v>
      </c>
      <c r="H13" s="274">
        <v>-405261.0</v>
      </c>
      <c r="I13" s="274">
        <v>740239.0</v>
      </c>
      <c r="J13" s="274">
        <v>276139.0</v>
      </c>
      <c r="K13" s="274">
        <v>-261240.30000000005</v>
      </c>
      <c r="L13" s="275">
        <v>0.6059725764829971</v>
      </c>
      <c r="M13" s="274">
        <v>-29026.700000000004</v>
      </c>
      <c r="N13" s="274">
        <v>75164.36666666667</v>
      </c>
    </row>
    <row r="14">
      <c r="A14" s="37" t="s">
        <v>241</v>
      </c>
      <c r="B14" s="37" t="s">
        <v>331</v>
      </c>
      <c r="C14" s="274">
        <v>-936368.49</v>
      </c>
      <c r="D14" s="274">
        <v>0.0</v>
      </c>
      <c r="E14" s="275">
        <v>0.0</v>
      </c>
      <c r="F14" s="275">
        <v>0.0</v>
      </c>
      <c r="G14" s="275">
        <v>0.0</v>
      </c>
      <c r="H14" s="274">
        <v>0.0</v>
      </c>
      <c r="I14" s="274">
        <v>390000.0</v>
      </c>
      <c r="J14" s="274">
        <v>0.0</v>
      </c>
      <c r="K14" s="274">
        <v>-988234.99</v>
      </c>
      <c r="L14" s="275">
        <v>-0.05539112064738538</v>
      </c>
      <c r="M14" s="274">
        <v>-247058.7475</v>
      </c>
      <c r="N14" s="274">
        <v>234092.1225</v>
      </c>
    </row>
    <row r="15">
      <c r="A15" s="37" t="s">
        <v>584</v>
      </c>
      <c r="B15" s="37" t="s">
        <v>331</v>
      </c>
      <c r="C15" s="274">
        <v>0.0</v>
      </c>
      <c r="D15" s="274">
        <v>0.0</v>
      </c>
      <c r="E15" s="275">
        <v>0.0</v>
      </c>
      <c r="F15" s="275">
        <v>0.0</v>
      </c>
      <c r="G15" s="275">
        <v>0.0</v>
      </c>
      <c r="H15" s="274">
        <v>0.0</v>
      </c>
      <c r="I15" s="274">
        <v>0.0</v>
      </c>
      <c r="J15" s="274">
        <v>0.0</v>
      </c>
      <c r="K15" s="274">
        <v>-32550.0</v>
      </c>
      <c r="L15" s="275">
        <v>0.0</v>
      </c>
      <c r="M15" s="274">
        <v>-32550.0</v>
      </c>
      <c r="N15" s="274">
        <v>0.0</v>
      </c>
    </row>
    <row r="16">
      <c r="A16" s="37" t="s">
        <v>27</v>
      </c>
      <c r="B16" s="37" t="s">
        <v>351</v>
      </c>
      <c r="C16" s="274">
        <v>-800936.0</v>
      </c>
      <c r="D16" s="274">
        <v>-50660.0</v>
      </c>
      <c r="E16" s="275">
        <v>0.01897046471647094</v>
      </c>
      <c r="F16" s="275">
        <v>0.9206550362080316</v>
      </c>
      <c r="G16" s="275">
        <v>0.5833333333333334</v>
      </c>
      <c r="H16" s="274">
        <v>8067.0</v>
      </c>
      <c r="I16" s="274">
        <v>2670467.0</v>
      </c>
      <c r="J16" s="274">
        <v>1377467.0</v>
      </c>
      <c r="K16" s="274">
        <v>480993.0</v>
      </c>
      <c r="L16" s="275">
        <v>1.6005386198148166</v>
      </c>
      <c r="M16" s="274">
        <v>17178.321428571428</v>
      </c>
      <c r="N16" s="274">
        <v>30414.14285714286</v>
      </c>
    </row>
    <row r="17">
      <c r="A17" s="37" t="s">
        <v>101</v>
      </c>
      <c r="B17" s="37" t="s">
        <v>351</v>
      </c>
      <c r="C17" s="274">
        <v>0.0</v>
      </c>
      <c r="D17" s="274">
        <v>-20666.0</v>
      </c>
      <c r="E17" s="275">
        <v>0.0162922867461388</v>
      </c>
      <c r="F17" s="275">
        <v>0.9881935483870969</v>
      </c>
      <c r="G17" s="275">
        <v>0.16666666666666666</v>
      </c>
      <c r="H17" s="274">
        <v>-207047.0</v>
      </c>
      <c r="I17" s="274">
        <v>1268453.0</v>
      </c>
      <c r="J17" s="274">
        <v>737053.0</v>
      </c>
      <c r="K17" s="274">
        <v>690903.0</v>
      </c>
      <c r="L17" s="275">
        <v>0.0</v>
      </c>
      <c r="M17" s="274">
        <v>27636.12</v>
      </c>
      <c r="N17" s="274">
        <v>826.64</v>
      </c>
    </row>
    <row r="18">
      <c r="A18" s="37" t="s">
        <v>163</v>
      </c>
      <c r="B18" s="37" t="s">
        <v>351</v>
      </c>
      <c r="C18" s="274">
        <v>-489066.385</v>
      </c>
      <c r="D18" s="274">
        <v>0.0</v>
      </c>
      <c r="E18" s="275">
        <v>0.0</v>
      </c>
      <c r="F18" s="275">
        <v>0.8820295698924732</v>
      </c>
      <c r="G18" s="275">
        <v>0.0</v>
      </c>
      <c r="H18" s="274">
        <v>-209498.0</v>
      </c>
      <c r="I18" s="274">
        <v>1134802.0</v>
      </c>
      <c r="J18" s="274">
        <v>473502.0</v>
      </c>
      <c r="K18" s="274">
        <v>23480.61499999999</v>
      </c>
      <c r="L18" s="275">
        <v>1.0480110997610272</v>
      </c>
      <c r="M18" s="274">
        <v>1467.5384374999994</v>
      </c>
      <c r="N18" s="274">
        <v>30566.6490625</v>
      </c>
    </row>
    <row r="19">
      <c r="A19" s="37" t="s">
        <v>2155</v>
      </c>
      <c r="B19" s="37" t="s">
        <v>2156</v>
      </c>
      <c r="C19" s="274">
        <v>-292395.0</v>
      </c>
      <c r="D19" s="274">
        <v>0.0</v>
      </c>
      <c r="E19" s="275">
        <v>0.0</v>
      </c>
      <c r="F19" s="275">
        <v>0.0</v>
      </c>
      <c r="G19" s="275">
        <v>0.0</v>
      </c>
      <c r="H19" s="274">
        <v>0.0</v>
      </c>
      <c r="I19" s="274">
        <v>0.0</v>
      </c>
      <c r="J19" s="274">
        <v>0.0</v>
      </c>
      <c r="K19" s="274">
        <v>-55500.0</v>
      </c>
      <c r="L19" s="275">
        <v>0.8101882727132816</v>
      </c>
      <c r="M19" s="274">
        <v>-27750.0</v>
      </c>
      <c r="N19" s="274">
        <v>146197.5</v>
      </c>
    </row>
    <row r="20">
      <c r="A20" s="37" t="s">
        <v>209</v>
      </c>
      <c r="B20" s="37" t="s">
        <v>351</v>
      </c>
      <c r="C20" s="274">
        <v>-693938.0</v>
      </c>
      <c r="D20" s="274">
        <v>0.0</v>
      </c>
      <c r="E20" s="275">
        <v>0.0</v>
      </c>
      <c r="F20" s="275">
        <v>0.7355958781362006</v>
      </c>
      <c r="G20" s="275">
        <v>0.0</v>
      </c>
      <c r="H20" s="274">
        <v>-138346.0</v>
      </c>
      <c r="I20" s="274">
        <v>564754.0</v>
      </c>
      <c r="J20" s="274">
        <v>224854.0</v>
      </c>
      <c r="K20" s="274">
        <v>-364314.0</v>
      </c>
      <c r="L20" s="275">
        <v>0.4750049716257072</v>
      </c>
      <c r="M20" s="274">
        <v>-45539.25</v>
      </c>
      <c r="N20" s="274">
        <v>86742.25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2" max="2" width="9.75"/>
    <col customWidth="1" min="6" max="6" width="13.75"/>
    <col customWidth="1" min="7" max="7" width="15.75"/>
    <col customWidth="1" min="10" max="10" width="15.25"/>
    <col customWidth="1" min="13" max="13" width="16.75"/>
    <col customWidth="1" min="14" max="14" width="17.88"/>
    <col customWidth="1" min="15" max="15" width="18.13"/>
    <col customWidth="1" min="16" max="16" width="16.5"/>
    <col customWidth="1" min="17" max="17" width="17.13"/>
    <col customWidth="1" min="18" max="18" width="24.5"/>
  </cols>
  <sheetData>
    <row r="1">
      <c r="A1" s="37" t="s">
        <v>2157</v>
      </c>
      <c r="B1" s="37" t="s">
        <v>2128</v>
      </c>
      <c r="C1" s="37" t="s">
        <v>2133</v>
      </c>
      <c r="D1" s="37" t="s">
        <v>2134</v>
      </c>
      <c r="E1" s="37" t="s">
        <v>2158</v>
      </c>
      <c r="F1" s="37" t="s">
        <v>2159</v>
      </c>
      <c r="G1" s="37" t="s">
        <v>2160</v>
      </c>
      <c r="H1" s="37" t="s">
        <v>2161</v>
      </c>
      <c r="I1" s="37" t="s">
        <v>2162</v>
      </c>
      <c r="J1" s="37" t="s">
        <v>2163</v>
      </c>
      <c r="K1" s="37" t="s">
        <v>2164</v>
      </c>
      <c r="L1" s="37" t="s">
        <v>2165</v>
      </c>
      <c r="M1" s="37" t="s">
        <v>2166</v>
      </c>
      <c r="N1" s="37" t="s">
        <v>2167</v>
      </c>
      <c r="O1" s="37" t="s">
        <v>2168</v>
      </c>
      <c r="P1" s="37" t="s">
        <v>2169</v>
      </c>
      <c r="Q1" s="53" t="s">
        <v>2170</v>
      </c>
      <c r="R1" s="37" t="s">
        <v>2171</v>
      </c>
      <c r="S1" s="37" t="s">
        <v>2172</v>
      </c>
      <c r="T1" s="37" t="s">
        <v>2173</v>
      </c>
      <c r="U1" s="37" t="s">
        <v>2174</v>
      </c>
    </row>
    <row r="2">
      <c r="A2" s="276" t="s">
        <v>2175</v>
      </c>
      <c r="B2" s="276" t="s">
        <v>2176</v>
      </c>
      <c r="C2" s="276" t="s">
        <v>2177</v>
      </c>
      <c r="D2" s="276" t="s">
        <v>2178</v>
      </c>
      <c r="E2" s="277" t="s">
        <v>2179</v>
      </c>
      <c r="F2" s="277" t="s">
        <v>2180</v>
      </c>
      <c r="G2" s="277" t="s">
        <v>2181</v>
      </c>
      <c r="H2" s="276" t="s">
        <v>2182</v>
      </c>
      <c r="I2" s="277" t="s">
        <v>2183</v>
      </c>
      <c r="J2" s="277" t="s">
        <v>2184</v>
      </c>
      <c r="K2" s="277" t="s">
        <v>2185</v>
      </c>
      <c r="L2" s="277" t="s">
        <v>2186</v>
      </c>
      <c r="M2" s="277" t="s">
        <v>2187</v>
      </c>
      <c r="N2" s="277" t="s">
        <v>2188</v>
      </c>
      <c r="O2" s="277" t="s">
        <v>2189</v>
      </c>
      <c r="P2" s="277" t="s">
        <v>2190</v>
      </c>
      <c r="Q2" s="277" t="s">
        <v>2191</v>
      </c>
      <c r="R2" s="276" t="s">
        <v>2192</v>
      </c>
      <c r="S2" s="277" t="s">
        <v>2193</v>
      </c>
      <c r="T2" s="276" t="s">
        <v>2194</v>
      </c>
      <c r="U2" s="277" t="s">
        <v>2195</v>
      </c>
    </row>
    <row r="3">
      <c r="A3" s="37" t="s">
        <v>2196</v>
      </c>
      <c r="B3" s="278">
        <v>44927.0</v>
      </c>
      <c r="C3" s="37" t="s">
        <v>2197</v>
      </c>
      <c r="D3" s="37" t="s">
        <v>331</v>
      </c>
      <c r="E3" s="274">
        <v>0.0</v>
      </c>
      <c r="F3" s="274">
        <v>0.0</v>
      </c>
      <c r="G3" s="274">
        <v>0.0</v>
      </c>
      <c r="H3" s="275">
        <v>0.0</v>
      </c>
      <c r="I3" s="274">
        <v>0.0</v>
      </c>
      <c r="J3" s="274">
        <v>0.0</v>
      </c>
      <c r="K3" s="274">
        <v>0.0</v>
      </c>
      <c r="L3" s="274">
        <v>0.0</v>
      </c>
      <c r="M3" s="274">
        <v>0.0</v>
      </c>
      <c r="N3" s="274">
        <v>0.0</v>
      </c>
      <c r="O3" s="274">
        <v>0.0</v>
      </c>
      <c r="P3" s="274">
        <v>0.0</v>
      </c>
      <c r="Q3" s="274">
        <v>0.0</v>
      </c>
      <c r="R3" s="275">
        <v>0.0</v>
      </c>
      <c r="S3" s="274">
        <v>0.0</v>
      </c>
      <c r="T3" s="275">
        <v>0.0</v>
      </c>
      <c r="U3" s="274">
        <v>0.0</v>
      </c>
    </row>
    <row r="4">
      <c r="A4" s="37" t="s">
        <v>2196</v>
      </c>
      <c r="B4" s="279">
        <v>44927.0</v>
      </c>
      <c r="C4" s="37" t="s">
        <v>2198</v>
      </c>
      <c r="D4" s="37" t="s">
        <v>351</v>
      </c>
      <c r="E4" s="274">
        <v>0.0</v>
      </c>
      <c r="F4" s="274">
        <v>0.0</v>
      </c>
      <c r="G4" s="274">
        <v>0.0</v>
      </c>
      <c r="H4" s="275">
        <v>0.0</v>
      </c>
      <c r="I4" s="274">
        <v>0.0</v>
      </c>
      <c r="J4" s="274">
        <v>0.0</v>
      </c>
      <c r="K4" s="274">
        <v>0.0</v>
      </c>
      <c r="L4" s="274">
        <v>0.0</v>
      </c>
      <c r="M4" s="274">
        <v>0.0</v>
      </c>
      <c r="N4" s="274">
        <v>0.0</v>
      </c>
      <c r="O4" s="274">
        <v>0.0</v>
      </c>
      <c r="P4" s="274">
        <v>0.0</v>
      </c>
      <c r="Q4" s="274">
        <v>0.0</v>
      </c>
      <c r="R4" s="275">
        <v>0.0</v>
      </c>
      <c r="S4" s="274">
        <v>0.0</v>
      </c>
      <c r="T4" s="275">
        <v>0.0</v>
      </c>
      <c r="U4" s="274">
        <v>0.0</v>
      </c>
    </row>
    <row r="5">
      <c r="A5" s="37" t="s">
        <v>2196</v>
      </c>
      <c r="B5" s="279">
        <v>44958.0</v>
      </c>
      <c r="C5" s="37" t="s">
        <v>2197</v>
      </c>
      <c r="D5" s="37" t="s">
        <v>331</v>
      </c>
      <c r="E5" s="274">
        <v>0.0</v>
      </c>
      <c r="F5" s="274">
        <v>0.0</v>
      </c>
      <c r="G5" s="274">
        <v>0.0</v>
      </c>
      <c r="H5" s="275">
        <v>0.0</v>
      </c>
      <c r="I5" s="274">
        <v>0.0</v>
      </c>
      <c r="J5" s="274">
        <v>0.0</v>
      </c>
      <c r="K5" s="274">
        <v>0.0</v>
      </c>
      <c r="L5" s="274">
        <v>0.0</v>
      </c>
      <c r="M5" s="274">
        <v>0.0</v>
      </c>
      <c r="N5" s="274">
        <v>0.0</v>
      </c>
      <c r="O5" s="274">
        <v>0.0</v>
      </c>
      <c r="P5" s="274">
        <v>0.0</v>
      </c>
      <c r="Q5" s="274">
        <v>0.0</v>
      </c>
      <c r="R5" s="275">
        <v>0.0</v>
      </c>
      <c r="S5" s="274">
        <v>0.0</v>
      </c>
      <c r="T5" s="275">
        <v>0.0</v>
      </c>
      <c r="U5" s="274">
        <v>0.0</v>
      </c>
    </row>
    <row r="6">
      <c r="A6" s="37" t="s">
        <v>2196</v>
      </c>
      <c r="B6" s="279">
        <v>44958.0</v>
      </c>
      <c r="C6" s="37" t="s">
        <v>2198</v>
      </c>
      <c r="D6" s="37" t="s">
        <v>351</v>
      </c>
      <c r="E6" s="274">
        <v>0.0</v>
      </c>
      <c r="F6" s="274">
        <v>0.0</v>
      </c>
      <c r="G6" s="274">
        <v>0.0</v>
      </c>
      <c r="H6" s="275">
        <v>0.0</v>
      </c>
      <c r="I6" s="274">
        <v>0.0</v>
      </c>
      <c r="J6" s="274">
        <v>0.0</v>
      </c>
      <c r="K6" s="274">
        <v>0.0</v>
      </c>
      <c r="L6" s="274">
        <v>0.0</v>
      </c>
      <c r="M6" s="274">
        <v>0.0</v>
      </c>
      <c r="N6" s="274">
        <v>0.0</v>
      </c>
      <c r="O6" s="274">
        <v>0.0</v>
      </c>
      <c r="P6" s="274">
        <v>0.0</v>
      </c>
      <c r="Q6" s="274">
        <v>0.0</v>
      </c>
      <c r="R6" s="275">
        <v>0.0</v>
      </c>
      <c r="S6" s="274">
        <v>0.0</v>
      </c>
      <c r="T6" s="275">
        <v>0.0</v>
      </c>
      <c r="U6" s="274">
        <v>0.0</v>
      </c>
    </row>
    <row r="7">
      <c r="A7" s="37" t="s">
        <v>2196</v>
      </c>
      <c r="B7" s="279">
        <v>44986.0</v>
      </c>
      <c r="C7" s="37" t="s">
        <v>2197</v>
      </c>
      <c r="D7" s="37" t="s">
        <v>331</v>
      </c>
      <c r="E7" s="274">
        <v>0.0</v>
      </c>
      <c r="F7" s="274">
        <v>0.0</v>
      </c>
      <c r="G7" s="274">
        <v>0.0</v>
      </c>
      <c r="H7" s="275">
        <v>0.0</v>
      </c>
      <c r="I7" s="274">
        <v>0.0</v>
      </c>
      <c r="J7" s="274">
        <v>0.0</v>
      </c>
      <c r="K7" s="274">
        <v>0.0</v>
      </c>
      <c r="L7" s="274">
        <v>0.0</v>
      </c>
      <c r="M7" s="274">
        <v>0.0</v>
      </c>
      <c r="N7" s="274">
        <v>0.0</v>
      </c>
      <c r="O7" s="274">
        <v>0.0</v>
      </c>
      <c r="P7" s="274">
        <v>0.0</v>
      </c>
      <c r="Q7" s="274">
        <v>0.0</v>
      </c>
      <c r="R7" s="275">
        <v>0.0</v>
      </c>
      <c r="S7" s="274">
        <v>0.0</v>
      </c>
      <c r="T7" s="275">
        <v>0.0</v>
      </c>
      <c r="U7" s="274">
        <v>0.0</v>
      </c>
    </row>
    <row r="8">
      <c r="A8" s="37" t="s">
        <v>2196</v>
      </c>
      <c r="B8" s="279">
        <v>44986.0</v>
      </c>
      <c r="C8" s="37" t="s">
        <v>2198</v>
      </c>
      <c r="D8" s="37" t="s">
        <v>351</v>
      </c>
      <c r="E8" s="274">
        <v>0.0</v>
      </c>
      <c r="F8" s="274">
        <v>0.0</v>
      </c>
      <c r="G8" s="274">
        <v>0.0</v>
      </c>
      <c r="H8" s="275">
        <v>0.0</v>
      </c>
      <c r="I8" s="274">
        <v>0.0</v>
      </c>
      <c r="J8" s="274">
        <v>0.0</v>
      </c>
      <c r="K8" s="274">
        <v>0.0</v>
      </c>
      <c r="L8" s="274">
        <v>0.0</v>
      </c>
      <c r="M8" s="274">
        <v>0.0</v>
      </c>
      <c r="N8" s="274">
        <v>0.0</v>
      </c>
      <c r="O8" s="274">
        <v>0.0</v>
      </c>
      <c r="P8" s="274">
        <v>0.0</v>
      </c>
      <c r="Q8" s="274">
        <v>0.0</v>
      </c>
      <c r="R8" s="275">
        <v>0.0</v>
      </c>
      <c r="S8" s="274">
        <v>0.0</v>
      </c>
      <c r="T8" s="275">
        <v>0.0</v>
      </c>
      <c r="U8" s="274">
        <v>0.0</v>
      </c>
    </row>
    <row r="9">
      <c r="A9" s="37" t="s">
        <v>2196</v>
      </c>
      <c r="B9" s="279">
        <v>45017.0</v>
      </c>
      <c r="C9" s="37" t="s">
        <v>2197</v>
      </c>
      <c r="D9" s="37" t="s">
        <v>331</v>
      </c>
      <c r="E9" s="274">
        <v>0.0</v>
      </c>
      <c r="F9" s="274">
        <v>0.0</v>
      </c>
      <c r="G9" s="274">
        <v>0.0</v>
      </c>
      <c r="H9" s="275">
        <v>0.0</v>
      </c>
      <c r="I9" s="274">
        <v>0.0</v>
      </c>
      <c r="J9" s="274">
        <v>0.0</v>
      </c>
      <c r="K9" s="274">
        <v>0.0</v>
      </c>
      <c r="L9" s="274">
        <v>0.0</v>
      </c>
      <c r="M9" s="274">
        <v>0.0</v>
      </c>
      <c r="N9" s="274">
        <v>0.0</v>
      </c>
      <c r="O9" s="274">
        <v>0.0</v>
      </c>
      <c r="P9" s="274">
        <v>0.0</v>
      </c>
      <c r="Q9" s="274">
        <v>0.0</v>
      </c>
      <c r="R9" s="275">
        <v>0.0</v>
      </c>
      <c r="S9" s="274">
        <v>0.0</v>
      </c>
      <c r="T9" s="275">
        <v>0.0</v>
      </c>
      <c r="U9" s="274">
        <v>0.0</v>
      </c>
    </row>
    <row r="10">
      <c r="A10" s="37" t="s">
        <v>2196</v>
      </c>
      <c r="B10" s="279">
        <v>45017.0</v>
      </c>
      <c r="C10" s="37" t="s">
        <v>2198</v>
      </c>
      <c r="D10" s="37" t="s">
        <v>351</v>
      </c>
      <c r="E10" s="274">
        <v>0.0</v>
      </c>
      <c r="F10" s="274">
        <v>0.0</v>
      </c>
      <c r="G10" s="274">
        <v>0.0</v>
      </c>
      <c r="H10" s="275">
        <v>0.0</v>
      </c>
      <c r="I10" s="274">
        <v>0.0</v>
      </c>
      <c r="J10" s="274">
        <v>0.0</v>
      </c>
      <c r="K10" s="274">
        <v>0.0</v>
      </c>
      <c r="L10" s="274">
        <v>0.0</v>
      </c>
      <c r="M10" s="274">
        <v>0.0</v>
      </c>
      <c r="N10" s="274">
        <v>0.0</v>
      </c>
      <c r="O10" s="274">
        <v>0.0</v>
      </c>
      <c r="P10" s="274">
        <v>0.0</v>
      </c>
      <c r="Q10" s="274">
        <v>0.0</v>
      </c>
      <c r="R10" s="275">
        <v>0.0</v>
      </c>
      <c r="S10" s="274">
        <v>0.0</v>
      </c>
      <c r="T10" s="275">
        <v>0.0</v>
      </c>
      <c r="U10" s="274">
        <v>0.0</v>
      </c>
    </row>
    <row r="11">
      <c r="A11" s="37" t="s">
        <v>2196</v>
      </c>
      <c r="B11" s="279">
        <v>45047.0</v>
      </c>
      <c r="C11" s="37" t="s">
        <v>2197</v>
      </c>
      <c r="D11" s="37" t="s">
        <v>331</v>
      </c>
      <c r="E11" s="274">
        <v>0.0</v>
      </c>
      <c r="F11" s="274">
        <v>0.0</v>
      </c>
      <c r="G11" s="274">
        <v>0.0</v>
      </c>
      <c r="H11" s="275">
        <v>0.0</v>
      </c>
      <c r="I11" s="274">
        <v>0.0</v>
      </c>
      <c r="J11" s="274">
        <v>0.0</v>
      </c>
      <c r="K11" s="274">
        <v>0.0</v>
      </c>
      <c r="L11" s="274">
        <v>0.0</v>
      </c>
      <c r="M11" s="274">
        <v>0.0</v>
      </c>
      <c r="N11" s="274">
        <v>0.0</v>
      </c>
      <c r="O11" s="274">
        <v>0.0</v>
      </c>
      <c r="P11" s="274">
        <v>0.0</v>
      </c>
      <c r="Q11" s="274">
        <v>0.0</v>
      </c>
      <c r="R11" s="275">
        <v>0.0</v>
      </c>
      <c r="S11" s="274">
        <v>0.0</v>
      </c>
      <c r="T11" s="275">
        <v>0.0</v>
      </c>
      <c r="U11" s="274">
        <v>0.0</v>
      </c>
    </row>
    <row r="12">
      <c r="A12" s="37" t="s">
        <v>2196</v>
      </c>
      <c r="B12" s="279">
        <v>45047.0</v>
      </c>
      <c r="C12" s="37" t="s">
        <v>2198</v>
      </c>
      <c r="D12" s="37" t="s">
        <v>351</v>
      </c>
      <c r="E12" s="274">
        <v>0.0</v>
      </c>
      <c r="F12" s="274">
        <v>0.0</v>
      </c>
      <c r="G12" s="274">
        <v>0.0</v>
      </c>
      <c r="H12" s="275">
        <v>0.0</v>
      </c>
      <c r="I12" s="274">
        <v>0.0</v>
      </c>
      <c r="J12" s="274">
        <v>0.0</v>
      </c>
      <c r="K12" s="274">
        <v>-34440.0</v>
      </c>
      <c r="L12" s="274">
        <v>0.0</v>
      </c>
      <c r="M12" s="274">
        <v>-34440.0</v>
      </c>
      <c r="N12" s="274">
        <v>34440.0</v>
      </c>
      <c r="O12" s="274">
        <v>0.0</v>
      </c>
      <c r="P12" s="274">
        <v>0.0</v>
      </c>
      <c r="Q12" s="274">
        <v>0.0</v>
      </c>
      <c r="R12" s="275">
        <v>0.0</v>
      </c>
      <c r="S12" s="274">
        <v>0.0</v>
      </c>
      <c r="T12" s="275">
        <v>0.0</v>
      </c>
      <c r="U12" s="274">
        <v>0.0</v>
      </c>
    </row>
    <row r="13">
      <c r="A13" s="37" t="s">
        <v>2196</v>
      </c>
      <c r="B13" s="278">
        <v>45078.0</v>
      </c>
      <c r="C13" s="37" t="s">
        <v>2197</v>
      </c>
      <c r="D13" s="37" t="s">
        <v>331</v>
      </c>
      <c r="E13" s="274">
        <v>0.0</v>
      </c>
      <c r="F13" s="274">
        <v>0.0</v>
      </c>
      <c r="G13" s="274">
        <v>0.0</v>
      </c>
      <c r="H13" s="275">
        <v>0.0</v>
      </c>
      <c r="I13" s="274">
        <v>0.0</v>
      </c>
      <c r="J13" s="274">
        <v>0.0</v>
      </c>
      <c r="K13" s="274">
        <v>0.0</v>
      </c>
      <c r="L13" s="274">
        <v>0.0</v>
      </c>
      <c r="M13" s="274">
        <v>0.0</v>
      </c>
      <c r="N13" s="274">
        <v>0.0</v>
      </c>
      <c r="O13" s="274">
        <v>0.0</v>
      </c>
      <c r="P13" s="274">
        <v>0.0</v>
      </c>
      <c r="Q13" s="274">
        <v>0.0</v>
      </c>
      <c r="R13" s="275">
        <v>0.0</v>
      </c>
      <c r="S13" s="274">
        <v>0.0</v>
      </c>
      <c r="T13" s="275">
        <v>0.0</v>
      </c>
      <c r="U13" s="274">
        <v>0.0</v>
      </c>
    </row>
    <row r="14">
      <c r="A14" s="37" t="s">
        <v>2196</v>
      </c>
      <c r="B14" s="278">
        <v>45078.0</v>
      </c>
      <c r="C14" s="37" t="s">
        <v>2198</v>
      </c>
      <c r="D14" s="37" t="s">
        <v>351</v>
      </c>
      <c r="E14" s="274">
        <v>0.0</v>
      </c>
      <c r="F14" s="274">
        <v>0.0</v>
      </c>
      <c r="G14" s="274">
        <v>0.0</v>
      </c>
      <c r="H14" s="275">
        <v>0.0</v>
      </c>
      <c r="I14" s="274">
        <v>0.0</v>
      </c>
      <c r="J14" s="274">
        <v>0.0</v>
      </c>
      <c r="K14" s="274">
        <v>-197843.0</v>
      </c>
      <c r="L14" s="274">
        <v>0.0</v>
      </c>
      <c r="M14" s="274">
        <v>-232283.0</v>
      </c>
      <c r="N14" s="274">
        <v>197843.0</v>
      </c>
      <c r="O14" s="274">
        <v>0.0</v>
      </c>
      <c r="P14" s="274">
        <v>0.0</v>
      </c>
      <c r="Q14" s="274">
        <v>0.0</v>
      </c>
      <c r="R14" s="275">
        <v>0.0</v>
      </c>
      <c r="S14" s="274">
        <v>0.0</v>
      </c>
      <c r="T14" s="275">
        <v>0.0</v>
      </c>
      <c r="U14" s="274">
        <v>0.0</v>
      </c>
    </row>
    <row r="15">
      <c r="A15" s="37" t="s">
        <v>2196</v>
      </c>
      <c r="B15" s="278">
        <v>45108.0</v>
      </c>
      <c r="C15" s="37" t="s">
        <v>2197</v>
      </c>
      <c r="D15" s="37" t="s">
        <v>331</v>
      </c>
      <c r="E15" s="274">
        <v>0.0</v>
      </c>
      <c r="F15" s="274">
        <v>0.0</v>
      </c>
      <c r="G15" s="274">
        <v>0.0</v>
      </c>
      <c r="H15" s="275">
        <v>0.0</v>
      </c>
      <c r="I15" s="274">
        <v>0.0</v>
      </c>
      <c r="J15" s="274">
        <v>0.0</v>
      </c>
      <c r="K15" s="274">
        <v>0.0</v>
      </c>
      <c r="L15" s="274">
        <v>0.0</v>
      </c>
      <c r="M15" s="274">
        <v>0.0</v>
      </c>
      <c r="N15" s="274">
        <v>0.0</v>
      </c>
      <c r="O15" s="274">
        <v>0.0</v>
      </c>
      <c r="P15" s="274">
        <v>0.0</v>
      </c>
      <c r="Q15" s="274">
        <v>0.0</v>
      </c>
      <c r="R15" s="275">
        <v>0.0</v>
      </c>
      <c r="S15" s="274">
        <v>0.0</v>
      </c>
      <c r="T15" s="275">
        <v>0.0</v>
      </c>
      <c r="U15" s="274">
        <v>0.0</v>
      </c>
    </row>
    <row r="16">
      <c r="A16" s="37" t="s">
        <v>2196</v>
      </c>
      <c r="B16" s="278">
        <v>45108.0</v>
      </c>
      <c r="C16" s="37" t="s">
        <v>2198</v>
      </c>
      <c r="D16" s="37" t="s">
        <v>351</v>
      </c>
      <c r="E16" s="274">
        <v>0.0</v>
      </c>
      <c r="F16" s="274">
        <v>0.0</v>
      </c>
      <c r="G16" s="274">
        <v>0.0</v>
      </c>
      <c r="H16" s="275">
        <v>0.0</v>
      </c>
      <c r="I16" s="274">
        <v>0.0</v>
      </c>
      <c r="J16" s="274">
        <v>0.0</v>
      </c>
      <c r="K16" s="274">
        <v>0.0</v>
      </c>
      <c r="L16" s="274">
        <v>0.0</v>
      </c>
      <c r="M16" s="274">
        <v>-232283.0</v>
      </c>
      <c r="N16" s="274">
        <v>0.0</v>
      </c>
      <c r="O16" s="274">
        <v>0.0</v>
      </c>
      <c r="P16" s="274">
        <v>0.0</v>
      </c>
      <c r="Q16" s="274">
        <v>0.0</v>
      </c>
      <c r="R16" s="275">
        <v>0.0</v>
      </c>
      <c r="S16" s="274">
        <v>0.0</v>
      </c>
      <c r="T16" s="275">
        <v>0.0</v>
      </c>
      <c r="U16" s="274">
        <v>0.0</v>
      </c>
    </row>
    <row r="17">
      <c r="A17" s="37" t="s">
        <v>2196</v>
      </c>
      <c r="B17" s="278">
        <v>45139.0</v>
      </c>
      <c r="C17" s="37" t="s">
        <v>2197</v>
      </c>
      <c r="D17" s="37" t="s">
        <v>331</v>
      </c>
      <c r="E17" s="274">
        <v>0.0</v>
      </c>
      <c r="F17" s="274">
        <v>0.0</v>
      </c>
      <c r="G17" s="274">
        <v>0.0</v>
      </c>
      <c r="H17" s="275">
        <v>0.0</v>
      </c>
      <c r="I17" s="274">
        <v>0.0</v>
      </c>
      <c r="J17" s="274">
        <v>0.0</v>
      </c>
      <c r="K17" s="274">
        <v>0.0</v>
      </c>
      <c r="L17" s="274">
        <v>0.0</v>
      </c>
      <c r="M17" s="274">
        <v>0.0</v>
      </c>
      <c r="N17" s="274">
        <v>0.0</v>
      </c>
      <c r="O17" s="274">
        <v>0.0</v>
      </c>
      <c r="P17" s="274">
        <v>0.0</v>
      </c>
      <c r="Q17" s="274">
        <v>0.0</v>
      </c>
      <c r="R17" s="275">
        <v>0.0</v>
      </c>
      <c r="S17" s="274">
        <v>0.0</v>
      </c>
      <c r="T17" s="275">
        <v>0.0</v>
      </c>
      <c r="U17" s="274">
        <v>0.0</v>
      </c>
    </row>
    <row r="18">
      <c r="A18" s="37" t="s">
        <v>2196</v>
      </c>
      <c r="B18" s="278">
        <v>45139.0</v>
      </c>
      <c r="C18" s="37" t="s">
        <v>2198</v>
      </c>
      <c r="D18" s="37" t="s">
        <v>351</v>
      </c>
      <c r="E18" s="274">
        <v>0.0</v>
      </c>
      <c r="F18" s="274">
        <v>0.0</v>
      </c>
      <c r="G18" s="274">
        <v>0.0</v>
      </c>
      <c r="H18" s="275">
        <v>0.0</v>
      </c>
      <c r="I18" s="274">
        <v>0.0</v>
      </c>
      <c r="J18" s="274">
        <v>0.0</v>
      </c>
      <c r="K18" s="274">
        <v>0.0</v>
      </c>
      <c r="L18" s="274">
        <v>0.0</v>
      </c>
      <c r="M18" s="274">
        <v>-232283.0</v>
      </c>
      <c r="N18" s="274">
        <v>0.0</v>
      </c>
      <c r="O18" s="274">
        <v>0.0</v>
      </c>
      <c r="P18" s="274">
        <v>0.0</v>
      </c>
      <c r="Q18" s="274">
        <v>0.0</v>
      </c>
      <c r="R18" s="275">
        <v>0.0</v>
      </c>
      <c r="S18" s="274">
        <v>0.0</v>
      </c>
      <c r="T18" s="275">
        <v>0.0</v>
      </c>
      <c r="U18" s="274">
        <v>0.0</v>
      </c>
    </row>
    <row r="19">
      <c r="A19" s="37" t="s">
        <v>2196</v>
      </c>
      <c r="B19" s="279">
        <v>45170.0</v>
      </c>
      <c r="C19" s="37" t="s">
        <v>27</v>
      </c>
      <c r="D19" s="37" t="s">
        <v>351</v>
      </c>
      <c r="E19" s="274">
        <v>0.0</v>
      </c>
      <c r="F19" s="274">
        <v>92300.0</v>
      </c>
      <c r="G19" s="274">
        <v>0.0</v>
      </c>
      <c r="H19" s="275">
        <v>0.0</v>
      </c>
      <c r="I19" s="274">
        <v>92300.0</v>
      </c>
      <c r="J19" s="274">
        <v>0.0</v>
      </c>
      <c r="K19" s="274">
        <v>-112323.0</v>
      </c>
      <c r="L19" s="274">
        <v>0.0</v>
      </c>
      <c r="M19" s="274">
        <v>-112323.0</v>
      </c>
      <c r="N19" s="274">
        <v>204623.0</v>
      </c>
      <c r="O19" s="274">
        <v>0.0</v>
      </c>
      <c r="P19" s="274">
        <v>90000.0</v>
      </c>
      <c r="Q19" s="274">
        <v>90000.0</v>
      </c>
      <c r="R19" s="275">
        <v>0.0</v>
      </c>
      <c r="S19" s="274">
        <v>210.0</v>
      </c>
      <c r="T19" s="275">
        <v>1.0</v>
      </c>
      <c r="U19" s="274">
        <v>0.0</v>
      </c>
    </row>
    <row r="20">
      <c r="A20" s="37" t="s">
        <v>2196</v>
      </c>
      <c r="B20" s="279">
        <v>45170.0</v>
      </c>
      <c r="C20" s="37" t="s">
        <v>2197</v>
      </c>
      <c r="D20" s="37" t="s">
        <v>331</v>
      </c>
      <c r="E20" s="274">
        <v>0.0</v>
      </c>
      <c r="F20" s="274">
        <v>0.0</v>
      </c>
      <c r="G20" s="274">
        <v>0.0</v>
      </c>
      <c r="H20" s="275">
        <v>0.0</v>
      </c>
      <c r="I20" s="274">
        <v>0.0</v>
      </c>
      <c r="J20" s="274">
        <v>0.0</v>
      </c>
      <c r="K20" s="274">
        <v>0.0</v>
      </c>
      <c r="L20" s="274">
        <v>0.0</v>
      </c>
      <c r="M20" s="274">
        <v>0.0</v>
      </c>
      <c r="N20" s="274">
        <v>0.0</v>
      </c>
      <c r="O20" s="274">
        <v>0.0</v>
      </c>
      <c r="P20" s="274">
        <v>0.0</v>
      </c>
      <c r="Q20" s="274">
        <v>0.0</v>
      </c>
      <c r="R20" s="275">
        <v>0.0</v>
      </c>
      <c r="S20" s="274">
        <v>0.0</v>
      </c>
      <c r="T20" s="275">
        <v>0.0</v>
      </c>
      <c r="U20" s="274">
        <v>0.0</v>
      </c>
    </row>
    <row r="21">
      <c r="A21" s="37" t="s">
        <v>2196</v>
      </c>
      <c r="B21" s="279">
        <v>45170.0</v>
      </c>
      <c r="C21" s="37" t="s">
        <v>2198</v>
      </c>
      <c r="D21" s="37" t="s">
        <v>351</v>
      </c>
      <c r="E21" s="274">
        <v>0.0</v>
      </c>
      <c r="F21" s="274">
        <v>0.0</v>
      </c>
      <c r="G21" s="274">
        <v>0.0</v>
      </c>
      <c r="H21" s="275">
        <v>0.0</v>
      </c>
      <c r="I21" s="274">
        <v>0.0</v>
      </c>
      <c r="J21" s="274">
        <v>0.0</v>
      </c>
      <c r="K21" s="274">
        <v>0.0</v>
      </c>
      <c r="L21" s="274">
        <v>0.0</v>
      </c>
      <c r="M21" s="274">
        <v>-232283.0</v>
      </c>
      <c r="N21" s="274">
        <v>0.0</v>
      </c>
      <c r="O21" s="274">
        <v>0.0</v>
      </c>
      <c r="P21" s="274">
        <v>0.0</v>
      </c>
      <c r="Q21" s="274">
        <v>0.0</v>
      </c>
      <c r="R21" s="275">
        <v>0.0</v>
      </c>
      <c r="S21" s="274">
        <v>0.0</v>
      </c>
      <c r="T21" s="275">
        <v>0.0</v>
      </c>
      <c r="U21" s="274">
        <v>0.0</v>
      </c>
    </row>
    <row r="22">
      <c r="A22" s="37" t="s">
        <v>2196</v>
      </c>
      <c r="B22" s="279">
        <v>45200.0</v>
      </c>
      <c r="C22" s="37" t="s">
        <v>16</v>
      </c>
      <c r="D22" s="37" t="s">
        <v>331</v>
      </c>
      <c r="E22" s="274">
        <v>0.0</v>
      </c>
      <c r="F22" s="274">
        <v>87000.0</v>
      </c>
      <c r="G22" s="274">
        <v>1500.0</v>
      </c>
      <c r="H22" s="275">
        <v>0.017241379310344827</v>
      </c>
      <c r="I22" s="274">
        <v>87000.0</v>
      </c>
      <c r="J22" s="274">
        <v>1500.0</v>
      </c>
      <c r="K22" s="274">
        <v>-181934.0</v>
      </c>
      <c r="L22" s="274">
        <v>0.0</v>
      </c>
      <c r="M22" s="274">
        <v>-181934.0</v>
      </c>
      <c r="N22" s="274">
        <v>268934.0</v>
      </c>
      <c r="O22" s="274">
        <v>0.0</v>
      </c>
      <c r="P22" s="274">
        <v>68000.0</v>
      </c>
      <c r="Q22" s="274">
        <v>68000.0</v>
      </c>
      <c r="R22" s="275">
        <v>0.0</v>
      </c>
      <c r="S22" s="274">
        <v>155.0</v>
      </c>
      <c r="T22" s="275">
        <v>1.0</v>
      </c>
      <c r="U22" s="274">
        <v>0.0</v>
      </c>
    </row>
    <row r="23">
      <c r="A23" s="37" t="s">
        <v>2196</v>
      </c>
      <c r="B23" s="279">
        <v>45200.0</v>
      </c>
      <c r="C23" s="37" t="s">
        <v>27</v>
      </c>
      <c r="D23" s="37" t="s">
        <v>351</v>
      </c>
      <c r="E23" s="274">
        <v>45000.0</v>
      </c>
      <c r="F23" s="274">
        <v>92300.0</v>
      </c>
      <c r="G23" s="274">
        <v>0.0</v>
      </c>
      <c r="H23" s="275">
        <v>0.0</v>
      </c>
      <c r="I23" s="274">
        <v>47300.0</v>
      </c>
      <c r="J23" s="274">
        <v>-45000.0</v>
      </c>
      <c r="K23" s="274">
        <v>-602223.0</v>
      </c>
      <c r="L23" s="274">
        <v>0.0</v>
      </c>
      <c r="M23" s="274">
        <v>-714546.0</v>
      </c>
      <c r="N23" s="274">
        <v>649523.0</v>
      </c>
      <c r="O23" s="274">
        <v>0.0</v>
      </c>
      <c r="P23" s="274">
        <v>90000.0</v>
      </c>
      <c r="Q23" s="274">
        <v>90000.0</v>
      </c>
      <c r="R23" s="275">
        <v>217.0</v>
      </c>
      <c r="S23" s="274">
        <v>217.0</v>
      </c>
      <c r="T23" s="275">
        <v>0.0</v>
      </c>
      <c r="U23" s="274">
        <v>0.0</v>
      </c>
    </row>
    <row r="24">
      <c r="A24" s="37" t="s">
        <v>2196</v>
      </c>
      <c r="B24" s="279">
        <v>45200.0</v>
      </c>
      <c r="C24" s="37" t="s">
        <v>2197</v>
      </c>
      <c r="D24" s="37" t="s">
        <v>331</v>
      </c>
      <c r="E24" s="274">
        <v>0.0</v>
      </c>
      <c r="F24" s="274">
        <v>0.0</v>
      </c>
      <c r="G24" s="274">
        <v>0.0</v>
      </c>
      <c r="H24" s="275">
        <v>0.0</v>
      </c>
      <c r="I24" s="274">
        <v>0.0</v>
      </c>
      <c r="J24" s="274">
        <v>0.0</v>
      </c>
      <c r="K24" s="274">
        <v>0.0</v>
      </c>
      <c r="L24" s="274">
        <v>0.0</v>
      </c>
      <c r="M24" s="274">
        <v>0.0</v>
      </c>
      <c r="N24" s="274">
        <v>0.0</v>
      </c>
      <c r="O24" s="274">
        <v>0.0</v>
      </c>
      <c r="P24" s="274">
        <v>0.0</v>
      </c>
      <c r="Q24" s="274">
        <v>0.0</v>
      </c>
      <c r="R24" s="275">
        <v>0.0</v>
      </c>
      <c r="S24" s="274">
        <v>0.0</v>
      </c>
      <c r="T24" s="275">
        <v>0.0</v>
      </c>
      <c r="U24" s="274">
        <v>0.0</v>
      </c>
    </row>
    <row r="25">
      <c r="A25" s="37" t="s">
        <v>2196</v>
      </c>
      <c r="B25" s="279">
        <v>45200.0</v>
      </c>
      <c r="C25" s="37" t="s">
        <v>2198</v>
      </c>
      <c r="D25" s="37" t="s">
        <v>351</v>
      </c>
      <c r="E25" s="274">
        <v>0.0</v>
      </c>
      <c r="F25" s="274">
        <v>0.0</v>
      </c>
      <c r="G25" s="274">
        <v>0.0</v>
      </c>
      <c r="H25" s="275">
        <v>0.0</v>
      </c>
      <c r="I25" s="274">
        <v>0.0</v>
      </c>
      <c r="J25" s="274">
        <v>0.0</v>
      </c>
      <c r="K25" s="274">
        <v>0.0</v>
      </c>
      <c r="L25" s="274">
        <v>0.0</v>
      </c>
      <c r="M25" s="274">
        <v>-232283.0</v>
      </c>
      <c r="N25" s="274">
        <v>0.0</v>
      </c>
      <c r="O25" s="274">
        <v>0.0</v>
      </c>
      <c r="P25" s="274">
        <v>0.0</v>
      </c>
      <c r="Q25" s="274">
        <v>0.0</v>
      </c>
      <c r="R25" s="275">
        <v>0.0</v>
      </c>
      <c r="S25" s="274">
        <v>0.0</v>
      </c>
      <c r="T25" s="275">
        <v>0.0</v>
      </c>
      <c r="U25" s="274">
        <v>0.0</v>
      </c>
    </row>
    <row r="26">
      <c r="A26" s="37" t="s">
        <v>2196</v>
      </c>
      <c r="B26" s="279">
        <v>45231.0</v>
      </c>
      <c r="C26" s="37" t="s">
        <v>16</v>
      </c>
      <c r="D26" s="37" t="s">
        <v>331</v>
      </c>
      <c r="E26" s="274">
        <v>34000.0</v>
      </c>
      <c r="F26" s="274">
        <v>87000.0</v>
      </c>
      <c r="G26" s="274">
        <v>54600.0</v>
      </c>
      <c r="H26" s="275">
        <v>0.6275862068965518</v>
      </c>
      <c r="I26" s="274">
        <v>53000.0</v>
      </c>
      <c r="J26" s="274">
        <v>20600.0</v>
      </c>
      <c r="K26" s="274">
        <v>-31779.0</v>
      </c>
      <c r="L26" s="274">
        <v>0.0</v>
      </c>
      <c r="M26" s="274">
        <v>-213713.0</v>
      </c>
      <c r="N26" s="274">
        <v>84779.0</v>
      </c>
      <c r="O26" s="274">
        <v>56200.0</v>
      </c>
      <c r="P26" s="274">
        <v>68000.0</v>
      </c>
      <c r="Q26" s="274">
        <v>11800.0</v>
      </c>
      <c r="R26" s="275">
        <v>111.0</v>
      </c>
      <c r="S26" s="274">
        <v>150.0</v>
      </c>
      <c r="T26" s="275">
        <v>0.26</v>
      </c>
      <c r="U26" s="274">
        <v>0.0</v>
      </c>
    </row>
    <row r="27">
      <c r="A27" s="37" t="s">
        <v>2196</v>
      </c>
      <c r="B27" s="279">
        <v>45231.0</v>
      </c>
      <c r="C27" s="37" t="s">
        <v>27</v>
      </c>
      <c r="D27" s="37" t="s">
        <v>351</v>
      </c>
      <c r="E27" s="274">
        <v>45000.0</v>
      </c>
      <c r="F27" s="274">
        <v>92300.0</v>
      </c>
      <c r="G27" s="274">
        <v>461000.0</v>
      </c>
      <c r="H27" s="275">
        <v>4.994582881906825</v>
      </c>
      <c r="I27" s="274">
        <v>47300.0</v>
      </c>
      <c r="J27" s="274">
        <v>416000.0</v>
      </c>
      <c r="K27" s="274">
        <v>278383.0</v>
      </c>
      <c r="L27" s="274">
        <v>-6182.0</v>
      </c>
      <c r="M27" s="274">
        <v>-436163.0</v>
      </c>
      <c r="N27" s="274">
        <v>-231083.0</v>
      </c>
      <c r="O27" s="274">
        <v>77600.0</v>
      </c>
      <c r="P27" s="274">
        <v>90000.0</v>
      </c>
      <c r="Q27" s="274">
        <v>12400.0</v>
      </c>
      <c r="R27" s="275">
        <v>177.0</v>
      </c>
      <c r="S27" s="274">
        <v>210.0</v>
      </c>
      <c r="T27" s="275">
        <v>0.15714285714285714</v>
      </c>
      <c r="U27" s="274">
        <v>0.0</v>
      </c>
    </row>
    <row r="28">
      <c r="A28" s="37" t="s">
        <v>2196</v>
      </c>
      <c r="B28" s="278">
        <v>45231.0</v>
      </c>
      <c r="C28" s="37" t="s">
        <v>2197</v>
      </c>
      <c r="D28" s="37" t="s">
        <v>331</v>
      </c>
      <c r="E28" s="274">
        <v>0.0</v>
      </c>
      <c r="F28" s="274">
        <v>0.0</v>
      </c>
      <c r="G28" s="274">
        <v>0.0</v>
      </c>
      <c r="H28" s="275">
        <v>0.0</v>
      </c>
      <c r="I28" s="274">
        <v>0.0</v>
      </c>
      <c r="J28" s="274">
        <v>0.0</v>
      </c>
      <c r="K28" s="274">
        <v>0.0</v>
      </c>
      <c r="L28" s="274">
        <v>0.0</v>
      </c>
      <c r="M28" s="274">
        <v>0.0</v>
      </c>
      <c r="N28" s="274">
        <v>0.0</v>
      </c>
      <c r="O28" s="274">
        <v>0.0</v>
      </c>
      <c r="P28" s="274">
        <v>0.0</v>
      </c>
      <c r="Q28" s="274">
        <v>0.0</v>
      </c>
      <c r="R28" s="275">
        <v>0.0</v>
      </c>
      <c r="S28" s="274">
        <v>0.0</v>
      </c>
      <c r="T28" s="275">
        <v>0.0</v>
      </c>
      <c r="U28" s="274">
        <v>0.0</v>
      </c>
    </row>
    <row r="29">
      <c r="A29" s="37" t="s">
        <v>2196</v>
      </c>
      <c r="B29" s="278">
        <v>45231.0</v>
      </c>
      <c r="C29" s="37" t="s">
        <v>2198</v>
      </c>
      <c r="D29" s="37" t="s">
        <v>351</v>
      </c>
      <c r="E29" s="274">
        <v>0.0</v>
      </c>
      <c r="F29" s="274">
        <v>0.0</v>
      </c>
      <c r="G29" s="274">
        <v>0.0</v>
      </c>
      <c r="H29" s="275">
        <v>0.0</v>
      </c>
      <c r="I29" s="274">
        <v>0.0</v>
      </c>
      <c r="J29" s="274">
        <v>0.0</v>
      </c>
      <c r="K29" s="274">
        <v>0.0</v>
      </c>
      <c r="L29" s="274">
        <v>0.0</v>
      </c>
      <c r="M29" s="274">
        <v>-232283.0</v>
      </c>
      <c r="N29" s="274">
        <v>0.0</v>
      </c>
      <c r="O29" s="274">
        <v>0.0</v>
      </c>
      <c r="P29" s="274">
        <v>0.0</v>
      </c>
      <c r="Q29" s="274">
        <v>0.0</v>
      </c>
      <c r="R29" s="275">
        <v>0.0</v>
      </c>
      <c r="S29" s="274">
        <v>0.0</v>
      </c>
      <c r="T29" s="275">
        <v>0.0</v>
      </c>
      <c r="U29" s="274">
        <v>0.0</v>
      </c>
    </row>
    <row r="30">
      <c r="A30" s="37" t="s">
        <v>2196</v>
      </c>
      <c r="B30" s="278">
        <v>45261.0</v>
      </c>
      <c r="C30" s="37" t="s">
        <v>16</v>
      </c>
      <c r="D30" s="37" t="s">
        <v>331</v>
      </c>
      <c r="E30" s="274">
        <v>34000.0</v>
      </c>
      <c r="F30" s="274">
        <v>87000.0</v>
      </c>
      <c r="G30" s="274">
        <v>114571.0</v>
      </c>
      <c r="H30" s="275">
        <v>1.3169080459770115</v>
      </c>
      <c r="I30" s="274">
        <v>53000.0</v>
      </c>
      <c r="J30" s="274">
        <v>80571.0</v>
      </c>
      <c r="K30" s="274">
        <v>89870.0</v>
      </c>
      <c r="L30" s="274">
        <v>0.0</v>
      </c>
      <c r="M30" s="274">
        <v>-123843.0</v>
      </c>
      <c r="N30" s="274">
        <v>-36870.0</v>
      </c>
      <c r="O30" s="274">
        <v>83200.0</v>
      </c>
      <c r="P30" s="274">
        <v>68000.0</v>
      </c>
      <c r="Q30" s="274">
        <v>-15200.0</v>
      </c>
      <c r="R30" s="275">
        <v>62.0</v>
      </c>
      <c r="S30" s="274">
        <v>155.0</v>
      </c>
      <c r="T30" s="275">
        <v>0.6</v>
      </c>
      <c r="U30" s="274">
        <v>0.0</v>
      </c>
    </row>
    <row r="31">
      <c r="A31" s="37" t="s">
        <v>2196</v>
      </c>
      <c r="B31" s="279">
        <v>45261.0</v>
      </c>
      <c r="C31" s="37" t="s">
        <v>27</v>
      </c>
      <c r="D31" s="37" t="s">
        <v>351</v>
      </c>
      <c r="E31" s="274">
        <v>45000.0</v>
      </c>
      <c r="F31" s="274">
        <v>92300.0</v>
      </c>
      <c r="G31" s="274">
        <v>82200.0</v>
      </c>
      <c r="H31" s="275">
        <v>0.8905742145178764</v>
      </c>
      <c r="I31" s="274">
        <v>47300.0</v>
      </c>
      <c r="J31" s="274">
        <v>37200.0</v>
      </c>
      <c r="K31" s="274">
        <v>17120.0</v>
      </c>
      <c r="L31" s="274">
        <v>-1050.0</v>
      </c>
      <c r="M31" s="274">
        <v>-419043.0</v>
      </c>
      <c r="N31" s="274">
        <v>30180.0</v>
      </c>
      <c r="O31" s="274">
        <v>182400.0</v>
      </c>
      <c r="P31" s="274">
        <v>90000.0</v>
      </c>
      <c r="Q31" s="274">
        <v>-92400.0</v>
      </c>
      <c r="R31" s="275">
        <v>14.0</v>
      </c>
      <c r="S31" s="274">
        <v>217.0</v>
      </c>
      <c r="T31" s="275">
        <v>0.935483870967742</v>
      </c>
      <c r="U31" s="274">
        <v>0.0</v>
      </c>
    </row>
    <row r="32">
      <c r="A32" s="37" t="s">
        <v>2196</v>
      </c>
      <c r="B32" s="279">
        <v>45261.0</v>
      </c>
      <c r="C32" s="37" t="s">
        <v>41</v>
      </c>
      <c r="D32" s="37" t="s">
        <v>331</v>
      </c>
      <c r="E32" s="274">
        <v>0.0</v>
      </c>
      <c r="F32" s="274">
        <v>70900.0</v>
      </c>
      <c r="G32" s="274">
        <v>20000.0</v>
      </c>
      <c r="H32" s="275">
        <v>0.2820874471086037</v>
      </c>
      <c r="I32" s="274">
        <v>70900.0</v>
      </c>
      <c r="J32" s="274">
        <v>20000.0</v>
      </c>
      <c r="K32" s="274">
        <v>-391104.0</v>
      </c>
      <c r="L32" s="274">
        <v>0.0</v>
      </c>
      <c r="M32" s="274">
        <v>-391104.0</v>
      </c>
      <c r="N32" s="274">
        <v>462004.0</v>
      </c>
      <c r="O32" s="274">
        <v>0.0</v>
      </c>
      <c r="P32" s="274">
        <v>54000.0</v>
      </c>
      <c r="Q32" s="274">
        <v>54000.0</v>
      </c>
      <c r="R32" s="275">
        <v>0.0</v>
      </c>
      <c r="S32" s="274">
        <v>155.0</v>
      </c>
      <c r="T32" s="275">
        <v>1.0</v>
      </c>
      <c r="U32" s="274">
        <v>0.0</v>
      </c>
    </row>
    <row r="33">
      <c r="A33" s="37" t="s">
        <v>2196</v>
      </c>
      <c r="B33" s="279">
        <v>45261.0</v>
      </c>
      <c r="C33" s="37" t="s">
        <v>101</v>
      </c>
      <c r="D33" s="37" t="s">
        <v>351</v>
      </c>
      <c r="E33" s="274">
        <v>0.0</v>
      </c>
      <c r="F33" s="274">
        <v>58500.0</v>
      </c>
      <c r="G33" s="274">
        <v>15400.0</v>
      </c>
      <c r="H33" s="275">
        <v>0.26324786324786326</v>
      </c>
      <c r="I33" s="274">
        <v>58500.0</v>
      </c>
      <c r="J33" s="274">
        <v>15400.0</v>
      </c>
      <c r="K33" s="274">
        <v>15400.0</v>
      </c>
      <c r="L33" s="274">
        <v>0.0</v>
      </c>
      <c r="M33" s="274">
        <v>15400.0</v>
      </c>
      <c r="N33" s="274">
        <v>43100.0</v>
      </c>
      <c r="O33" s="274">
        <v>78600.0</v>
      </c>
      <c r="P33" s="274">
        <v>0.0</v>
      </c>
      <c r="Q33" s="274">
        <v>-78600.0</v>
      </c>
      <c r="R33" s="275">
        <v>0.0</v>
      </c>
      <c r="S33" s="274">
        <v>124.0</v>
      </c>
      <c r="T33" s="275">
        <v>1.0</v>
      </c>
      <c r="U33" s="274">
        <v>0.0</v>
      </c>
    </row>
    <row r="34">
      <c r="A34" s="37" t="s">
        <v>2196</v>
      </c>
      <c r="B34" s="279">
        <v>45261.0</v>
      </c>
      <c r="C34" s="37" t="s">
        <v>2197</v>
      </c>
      <c r="D34" s="37" t="s">
        <v>331</v>
      </c>
      <c r="E34" s="274">
        <v>0.0</v>
      </c>
      <c r="F34" s="274">
        <v>0.0</v>
      </c>
      <c r="G34" s="274">
        <v>3212.0</v>
      </c>
      <c r="H34" s="275">
        <v>0.0</v>
      </c>
      <c r="I34" s="274">
        <v>0.0</v>
      </c>
      <c r="J34" s="274">
        <v>3212.0</v>
      </c>
      <c r="K34" s="274">
        <v>2612.0</v>
      </c>
      <c r="L34" s="274">
        <v>0.0</v>
      </c>
      <c r="M34" s="274">
        <v>2612.0</v>
      </c>
      <c r="N34" s="274">
        <v>-2612.0</v>
      </c>
      <c r="O34" s="274">
        <v>0.0</v>
      </c>
      <c r="P34" s="274">
        <v>0.0</v>
      </c>
      <c r="Q34" s="274">
        <v>0.0</v>
      </c>
      <c r="R34" s="275">
        <v>0.0</v>
      </c>
      <c r="S34" s="274">
        <v>0.0</v>
      </c>
      <c r="T34" s="275">
        <v>0.0</v>
      </c>
      <c r="U34" s="274">
        <v>0.0</v>
      </c>
    </row>
    <row r="35">
      <c r="A35" s="37" t="s">
        <v>2196</v>
      </c>
      <c r="B35" s="279">
        <v>45261.0</v>
      </c>
      <c r="C35" s="37" t="s">
        <v>2198</v>
      </c>
      <c r="D35" s="37" t="s">
        <v>351</v>
      </c>
      <c r="E35" s="274">
        <v>0.0</v>
      </c>
      <c r="F35" s="274">
        <v>0.0</v>
      </c>
      <c r="G35" s="274">
        <v>66211.0</v>
      </c>
      <c r="H35" s="275">
        <v>0.0</v>
      </c>
      <c r="I35" s="274">
        <v>0.0</v>
      </c>
      <c r="J35" s="274">
        <v>66211.0</v>
      </c>
      <c r="K35" s="274">
        <v>2886.0</v>
      </c>
      <c r="L35" s="274">
        <v>0.0</v>
      </c>
      <c r="M35" s="274">
        <v>-229397.0</v>
      </c>
      <c r="N35" s="274">
        <v>-2886.0</v>
      </c>
      <c r="O35" s="274">
        <v>0.0</v>
      </c>
      <c r="P35" s="274">
        <v>0.0</v>
      </c>
      <c r="Q35" s="274">
        <v>0.0</v>
      </c>
      <c r="R35" s="275">
        <v>0.0</v>
      </c>
      <c r="S35" s="274">
        <v>0.0</v>
      </c>
      <c r="T35" s="275">
        <v>0.0</v>
      </c>
      <c r="U35" s="274">
        <v>0.0</v>
      </c>
    </row>
    <row r="36">
      <c r="A36" s="37" t="s">
        <v>2196</v>
      </c>
      <c r="B36" s="278">
        <v>45292.0</v>
      </c>
      <c r="C36" s="37" t="s">
        <v>16</v>
      </c>
      <c r="D36" s="37" t="s">
        <v>331</v>
      </c>
      <c r="E36" s="274">
        <v>34000.0</v>
      </c>
      <c r="F36" s="274">
        <v>87000.0</v>
      </c>
      <c r="G36" s="274">
        <v>40300.0</v>
      </c>
      <c r="H36" s="275">
        <v>0.4632183908045977</v>
      </c>
      <c r="I36" s="274">
        <v>53000.0</v>
      </c>
      <c r="J36" s="274">
        <v>6300.0</v>
      </c>
      <c r="K36" s="274">
        <v>6300.0</v>
      </c>
      <c r="L36" s="274">
        <v>0.0</v>
      </c>
      <c r="M36" s="274">
        <v>-117543.0</v>
      </c>
      <c r="N36" s="274">
        <v>46700.0</v>
      </c>
      <c r="O36" s="274">
        <v>109000.0</v>
      </c>
      <c r="P36" s="274">
        <v>68000.0</v>
      </c>
      <c r="Q36" s="274">
        <v>-41000.0</v>
      </c>
      <c r="R36" s="275">
        <v>31.0</v>
      </c>
      <c r="S36" s="274">
        <v>155.0</v>
      </c>
      <c r="T36" s="275">
        <v>0.8</v>
      </c>
      <c r="U36" s="274">
        <v>0.0</v>
      </c>
    </row>
    <row r="37">
      <c r="A37" s="37" t="s">
        <v>2196</v>
      </c>
      <c r="B37" s="278">
        <v>45292.0</v>
      </c>
      <c r="C37" s="37" t="s">
        <v>27</v>
      </c>
      <c r="D37" s="37" t="s">
        <v>351</v>
      </c>
      <c r="E37" s="274">
        <v>45000.0</v>
      </c>
      <c r="F37" s="274">
        <v>92300.0</v>
      </c>
      <c r="G37" s="274">
        <v>78833.0</v>
      </c>
      <c r="H37" s="275">
        <v>0.8540953412784399</v>
      </c>
      <c r="I37" s="274">
        <v>47300.0</v>
      </c>
      <c r="J37" s="274">
        <v>33833.0</v>
      </c>
      <c r="K37" s="274">
        <v>32768.0</v>
      </c>
      <c r="L37" s="274">
        <v>-1050.0</v>
      </c>
      <c r="M37" s="274">
        <v>-386275.0</v>
      </c>
      <c r="N37" s="274">
        <v>14532.0</v>
      </c>
      <c r="O37" s="274">
        <v>182400.0</v>
      </c>
      <c r="P37" s="274">
        <v>90000.0</v>
      </c>
      <c r="Q37" s="274">
        <v>-92400.0</v>
      </c>
      <c r="R37" s="275">
        <v>0.0</v>
      </c>
      <c r="S37" s="274">
        <v>217.0</v>
      </c>
      <c r="T37" s="275">
        <v>1.0</v>
      </c>
      <c r="U37" s="274">
        <v>0.0</v>
      </c>
    </row>
    <row r="38">
      <c r="A38" s="37" t="s">
        <v>2196</v>
      </c>
      <c r="B38" s="278">
        <v>45292.0</v>
      </c>
      <c r="C38" s="37" t="s">
        <v>41</v>
      </c>
      <c r="D38" s="37" t="s">
        <v>331</v>
      </c>
      <c r="E38" s="274">
        <v>27000.0</v>
      </c>
      <c r="F38" s="274">
        <v>70900.0</v>
      </c>
      <c r="G38" s="274">
        <v>64621.0</v>
      </c>
      <c r="H38" s="275">
        <v>0.9114386459802539</v>
      </c>
      <c r="I38" s="274">
        <v>43900.0</v>
      </c>
      <c r="J38" s="274">
        <v>37621.0</v>
      </c>
      <c r="K38" s="274">
        <v>8792.0</v>
      </c>
      <c r="L38" s="274">
        <v>0.0</v>
      </c>
      <c r="M38" s="274">
        <v>-382312.0</v>
      </c>
      <c r="N38" s="274">
        <v>35108.0</v>
      </c>
      <c r="O38" s="274">
        <v>136800.0</v>
      </c>
      <c r="P38" s="274">
        <v>54000.0</v>
      </c>
      <c r="Q38" s="274">
        <v>-82800.0</v>
      </c>
      <c r="R38" s="275">
        <v>65.0</v>
      </c>
      <c r="S38" s="274">
        <v>155.0</v>
      </c>
      <c r="T38" s="275">
        <v>0.5806451612903225</v>
      </c>
      <c r="U38" s="274">
        <v>0.0</v>
      </c>
    </row>
    <row r="39">
      <c r="A39" s="37" t="s">
        <v>2196</v>
      </c>
      <c r="B39" s="279">
        <v>45292.0</v>
      </c>
      <c r="C39" s="37" t="s">
        <v>56</v>
      </c>
      <c r="D39" s="37" t="s">
        <v>331</v>
      </c>
      <c r="E39" s="274">
        <v>0.0</v>
      </c>
      <c r="F39" s="274">
        <v>50900.0</v>
      </c>
      <c r="G39" s="274">
        <v>0.0</v>
      </c>
      <c r="H39" s="275">
        <v>0.0</v>
      </c>
      <c r="I39" s="274">
        <v>50900.0</v>
      </c>
      <c r="J39" s="274">
        <v>0.0</v>
      </c>
      <c r="K39" s="274">
        <v>-322160.0</v>
      </c>
      <c r="L39" s="274">
        <v>0.0</v>
      </c>
      <c r="M39" s="274">
        <v>-322160.0</v>
      </c>
      <c r="N39" s="274">
        <v>373060.0</v>
      </c>
      <c r="O39" s="274">
        <v>0.0</v>
      </c>
      <c r="P39" s="274">
        <v>52000.0</v>
      </c>
      <c r="Q39" s="274">
        <v>52000.0</v>
      </c>
      <c r="R39" s="275">
        <v>0.0</v>
      </c>
      <c r="S39" s="274">
        <v>124.0</v>
      </c>
      <c r="T39" s="275">
        <v>1.0</v>
      </c>
      <c r="U39" s="274">
        <v>0.0</v>
      </c>
    </row>
    <row r="40">
      <c r="A40" s="37" t="s">
        <v>2196</v>
      </c>
      <c r="B40" s="278">
        <v>45292.0</v>
      </c>
      <c r="C40" s="37" t="s">
        <v>101</v>
      </c>
      <c r="D40" s="37" t="s">
        <v>351</v>
      </c>
      <c r="E40" s="274">
        <v>0.0</v>
      </c>
      <c r="F40" s="274">
        <v>58500.0</v>
      </c>
      <c r="G40" s="274">
        <v>36500.0</v>
      </c>
      <c r="H40" s="275">
        <v>0.6239316239316239</v>
      </c>
      <c r="I40" s="274">
        <v>58500.0</v>
      </c>
      <c r="J40" s="274">
        <v>36500.0</v>
      </c>
      <c r="K40" s="274">
        <v>36500.0</v>
      </c>
      <c r="L40" s="274">
        <v>0.0</v>
      </c>
      <c r="M40" s="274">
        <v>51900.0</v>
      </c>
      <c r="N40" s="274">
        <v>22000.0</v>
      </c>
      <c r="O40" s="274">
        <v>78600.0</v>
      </c>
      <c r="P40" s="274">
        <v>0.0</v>
      </c>
      <c r="Q40" s="274">
        <v>-78600.0</v>
      </c>
      <c r="R40" s="275">
        <v>0.0</v>
      </c>
      <c r="S40" s="274">
        <v>124.0</v>
      </c>
      <c r="T40" s="275">
        <v>1.0</v>
      </c>
      <c r="U40" s="274">
        <v>0.0</v>
      </c>
    </row>
    <row r="41">
      <c r="A41" s="37" t="s">
        <v>2196</v>
      </c>
      <c r="B41" s="278">
        <v>45292.0</v>
      </c>
      <c r="C41" s="37" t="s">
        <v>2197</v>
      </c>
      <c r="D41" s="37" t="s">
        <v>331</v>
      </c>
      <c r="E41" s="274">
        <v>0.0</v>
      </c>
      <c r="F41" s="274">
        <v>0.0</v>
      </c>
      <c r="G41" s="274">
        <v>0.0</v>
      </c>
      <c r="H41" s="275">
        <v>0.0</v>
      </c>
      <c r="I41" s="274">
        <v>0.0</v>
      </c>
      <c r="J41" s="274">
        <v>0.0</v>
      </c>
      <c r="K41" s="274">
        <v>-10549.0</v>
      </c>
      <c r="L41" s="274">
        <v>0.0</v>
      </c>
      <c r="M41" s="274">
        <v>-7937.0</v>
      </c>
      <c r="N41" s="274">
        <v>10549.0</v>
      </c>
      <c r="O41" s="274">
        <v>0.0</v>
      </c>
      <c r="P41" s="274">
        <v>0.0</v>
      </c>
      <c r="Q41" s="274">
        <v>0.0</v>
      </c>
      <c r="R41" s="275">
        <v>0.0</v>
      </c>
      <c r="S41" s="274">
        <v>0.0</v>
      </c>
      <c r="T41" s="275">
        <v>0.0</v>
      </c>
      <c r="U41" s="274">
        <v>209569.0</v>
      </c>
    </row>
    <row r="42">
      <c r="A42" s="37" t="s">
        <v>2196</v>
      </c>
      <c r="B42" s="278">
        <v>45292.0</v>
      </c>
      <c r="C42" s="37" t="s">
        <v>2198</v>
      </c>
      <c r="D42" s="37" t="s">
        <v>351</v>
      </c>
      <c r="E42" s="274">
        <v>0.0</v>
      </c>
      <c r="F42" s="274">
        <v>0.0</v>
      </c>
      <c r="G42" s="274">
        <v>0.0</v>
      </c>
      <c r="H42" s="275">
        <v>0.0</v>
      </c>
      <c r="I42" s="274">
        <v>0.0</v>
      </c>
      <c r="J42" s="274">
        <v>0.0</v>
      </c>
      <c r="K42" s="274">
        <v>-15015.0</v>
      </c>
      <c r="L42" s="274">
        <v>0.0</v>
      </c>
      <c r="M42" s="274">
        <v>-244412.0</v>
      </c>
      <c r="N42" s="274">
        <v>15015.0</v>
      </c>
      <c r="O42" s="274">
        <v>0.0</v>
      </c>
      <c r="P42" s="274">
        <v>0.0</v>
      </c>
      <c r="Q42" s="274">
        <v>0.0</v>
      </c>
      <c r="R42" s="275">
        <v>0.0</v>
      </c>
      <c r="S42" s="274">
        <v>0.0</v>
      </c>
      <c r="T42" s="275">
        <v>0.0</v>
      </c>
      <c r="U42" s="274">
        <v>20000.0</v>
      </c>
    </row>
    <row r="43">
      <c r="A43" s="37" t="s">
        <v>2196</v>
      </c>
      <c r="B43" s="279">
        <v>45323.0</v>
      </c>
      <c r="C43" s="37" t="s">
        <v>16</v>
      </c>
      <c r="D43" s="37" t="s">
        <v>331</v>
      </c>
      <c r="E43" s="274">
        <v>34000.0</v>
      </c>
      <c r="F43" s="274">
        <v>87000.0</v>
      </c>
      <c r="G43" s="274">
        <v>28100.0</v>
      </c>
      <c r="H43" s="275">
        <v>0.32298850574712645</v>
      </c>
      <c r="I43" s="274">
        <v>53000.0</v>
      </c>
      <c r="J43" s="274">
        <v>-5900.0</v>
      </c>
      <c r="K43" s="274">
        <v>-5930.0</v>
      </c>
      <c r="L43" s="274">
        <v>0.0</v>
      </c>
      <c r="M43" s="274">
        <v>-123473.0</v>
      </c>
      <c r="N43" s="274">
        <v>58930.0</v>
      </c>
      <c r="O43" s="274">
        <v>109000.0</v>
      </c>
      <c r="P43" s="274">
        <v>68000.0</v>
      </c>
      <c r="Q43" s="274">
        <v>-41000.0</v>
      </c>
      <c r="R43" s="275">
        <v>29.0</v>
      </c>
      <c r="S43" s="274">
        <v>145.0</v>
      </c>
      <c r="T43" s="275">
        <v>0.8</v>
      </c>
      <c r="U43" s="274">
        <v>0.0</v>
      </c>
    </row>
    <row r="44">
      <c r="A44" s="37" t="s">
        <v>2196</v>
      </c>
      <c r="B44" s="279">
        <v>45323.0</v>
      </c>
      <c r="C44" s="37" t="s">
        <v>27</v>
      </c>
      <c r="D44" s="37" t="s">
        <v>351</v>
      </c>
      <c r="E44" s="274">
        <v>45000.0</v>
      </c>
      <c r="F44" s="274">
        <v>92300.0</v>
      </c>
      <c r="G44" s="274">
        <v>37400.0</v>
      </c>
      <c r="H44" s="275">
        <v>0.40520043336944744</v>
      </c>
      <c r="I44" s="274">
        <v>47300.0</v>
      </c>
      <c r="J44" s="274">
        <v>-7600.0</v>
      </c>
      <c r="K44" s="274">
        <v>-11362.0</v>
      </c>
      <c r="L44" s="274">
        <v>-3747.0</v>
      </c>
      <c r="M44" s="274">
        <v>-397637.0</v>
      </c>
      <c r="N44" s="274">
        <v>58662.0</v>
      </c>
      <c r="O44" s="274">
        <v>182400.0</v>
      </c>
      <c r="P44" s="274">
        <v>90000.0</v>
      </c>
      <c r="Q44" s="274">
        <v>-92400.0</v>
      </c>
      <c r="R44" s="275">
        <v>0.0</v>
      </c>
      <c r="S44" s="274">
        <v>203.0</v>
      </c>
      <c r="T44" s="275">
        <v>1.0</v>
      </c>
      <c r="U44" s="274">
        <v>20000.0</v>
      </c>
    </row>
    <row r="45">
      <c r="A45" s="37" t="s">
        <v>2196</v>
      </c>
      <c r="B45" s="279">
        <v>45323.0</v>
      </c>
      <c r="C45" s="37" t="s">
        <v>41</v>
      </c>
      <c r="D45" s="37" t="s">
        <v>331</v>
      </c>
      <c r="E45" s="274">
        <v>27000.0</v>
      </c>
      <c r="F45" s="274">
        <v>70900.0</v>
      </c>
      <c r="G45" s="274">
        <v>39524.0</v>
      </c>
      <c r="H45" s="275">
        <v>0.5574612129760226</v>
      </c>
      <c r="I45" s="274">
        <v>43900.0</v>
      </c>
      <c r="J45" s="274">
        <v>12524.0</v>
      </c>
      <c r="K45" s="274">
        <v>18567.0</v>
      </c>
      <c r="L45" s="274">
        <v>0.0</v>
      </c>
      <c r="M45" s="274">
        <v>-363745.0</v>
      </c>
      <c r="N45" s="274">
        <v>25333.0</v>
      </c>
      <c r="O45" s="274">
        <v>136800.0</v>
      </c>
      <c r="P45" s="274">
        <v>54000.0</v>
      </c>
      <c r="Q45" s="274">
        <v>-82800.0</v>
      </c>
      <c r="R45" s="275">
        <v>0.0</v>
      </c>
      <c r="S45" s="274">
        <v>145.0</v>
      </c>
      <c r="T45" s="275">
        <v>1.0</v>
      </c>
      <c r="U45" s="274">
        <v>0.0</v>
      </c>
    </row>
    <row r="46">
      <c r="A46" s="37" t="s">
        <v>2196</v>
      </c>
      <c r="B46" s="279">
        <v>45323.0</v>
      </c>
      <c r="C46" s="37" t="s">
        <v>56</v>
      </c>
      <c r="D46" s="37" t="s">
        <v>331</v>
      </c>
      <c r="E46" s="274">
        <v>26000.0</v>
      </c>
      <c r="F46" s="274">
        <v>50900.0</v>
      </c>
      <c r="G46" s="274">
        <v>85400.0</v>
      </c>
      <c r="H46" s="275">
        <v>1.6777996070726915</v>
      </c>
      <c r="I46" s="274">
        <v>24900.0</v>
      </c>
      <c r="J46" s="274">
        <v>59400.0</v>
      </c>
      <c r="K46" s="274">
        <v>42352.0</v>
      </c>
      <c r="L46" s="274">
        <v>0.0</v>
      </c>
      <c r="M46" s="274">
        <v>-279808.0</v>
      </c>
      <c r="N46" s="274">
        <v>-17452.0</v>
      </c>
      <c r="O46" s="274">
        <v>38200.0</v>
      </c>
      <c r="P46" s="274">
        <v>52000.0</v>
      </c>
      <c r="Q46" s="274">
        <v>13800.0</v>
      </c>
      <c r="R46" s="275">
        <v>99.0</v>
      </c>
      <c r="S46" s="274">
        <v>116.0</v>
      </c>
      <c r="T46" s="275">
        <v>0.14655172413793105</v>
      </c>
      <c r="U46" s="274">
        <v>0.0</v>
      </c>
    </row>
    <row r="47">
      <c r="A47" s="37" t="s">
        <v>2196</v>
      </c>
      <c r="B47" s="279">
        <v>45323.0</v>
      </c>
      <c r="C47" s="37" t="s">
        <v>69</v>
      </c>
      <c r="D47" s="37" t="s">
        <v>331</v>
      </c>
      <c r="E47" s="274">
        <v>0.0</v>
      </c>
      <c r="F47" s="274">
        <v>85900.0</v>
      </c>
      <c r="G47" s="274">
        <v>0.0</v>
      </c>
      <c r="H47" s="275">
        <v>0.0</v>
      </c>
      <c r="I47" s="274">
        <v>85900.0</v>
      </c>
      <c r="J47" s="274">
        <v>0.0</v>
      </c>
      <c r="K47" s="274">
        <v>-121259.0</v>
      </c>
      <c r="L47" s="274">
        <v>0.0</v>
      </c>
      <c r="M47" s="274">
        <v>-121259.0</v>
      </c>
      <c r="N47" s="274">
        <v>207159.0</v>
      </c>
      <c r="O47" s="274">
        <v>0.0</v>
      </c>
      <c r="P47" s="274">
        <v>51200.0</v>
      </c>
      <c r="Q47" s="274">
        <v>51200.0</v>
      </c>
      <c r="R47" s="275">
        <v>0.0</v>
      </c>
      <c r="S47" s="274">
        <v>145.0</v>
      </c>
      <c r="T47" s="275">
        <v>1.0</v>
      </c>
      <c r="U47" s="274">
        <v>0.0</v>
      </c>
    </row>
    <row r="48">
      <c r="A48" s="37" t="s">
        <v>2196</v>
      </c>
      <c r="B48" s="279">
        <v>45323.0</v>
      </c>
      <c r="C48" s="37" t="s">
        <v>101</v>
      </c>
      <c r="D48" s="37" t="s">
        <v>351</v>
      </c>
      <c r="E48" s="274">
        <v>0.0</v>
      </c>
      <c r="F48" s="274">
        <v>58500.0</v>
      </c>
      <c r="G48" s="274">
        <v>31600.0</v>
      </c>
      <c r="H48" s="275">
        <v>0.5401709401709401</v>
      </c>
      <c r="I48" s="274">
        <v>58500.0</v>
      </c>
      <c r="J48" s="274">
        <v>31600.0</v>
      </c>
      <c r="K48" s="274">
        <v>31600.0</v>
      </c>
      <c r="L48" s="274">
        <v>0.0</v>
      </c>
      <c r="M48" s="274">
        <v>83500.0</v>
      </c>
      <c r="N48" s="274">
        <v>26900.0</v>
      </c>
      <c r="O48" s="274">
        <v>78600.0</v>
      </c>
      <c r="P48" s="274">
        <v>0.0</v>
      </c>
      <c r="Q48" s="274">
        <v>-78600.0</v>
      </c>
      <c r="R48" s="275">
        <v>0.0</v>
      </c>
      <c r="S48" s="274">
        <v>116.0</v>
      </c>
      <c r="T48" s="275">
        <v>1.0</v>
      </c>
      <c r="U48" s="274">
        <v>0.0</v>
      </c>
    </row>
    <row r="49">
      <c r="A49" s="37" t="s">
        <v>2196</v>
      </c>
      <c r="B49" s="279">
        <v>45323.0</v>
      </c>
      <c r="C49" s="37" t="s">
        <v>2197</v>
      </c>
      <c r="D49" s="37" t="s">
        <v>331</v>
      </c>
      <c r="E49" s="274">
        <v>0.0</v>
      </c>
      <c r="F49" s="274">
        <v>0.0</v>
      </c>
      <c r="G49" s="274">
        <v>0.0</v>
      </c>
      <c r="H49" s="275">
        <v>0.0</v>
      </c>
      <c r="I49" s="274">
        <v>0.0</v>
      </c>
      <c r="J49" s="274">
        <v>0.0</v>
      </c>
      <c r="K49" s="274">
        <v>-12828.0</v>
      </c>
      <c r="L49" s="274">
        <v>0.0</v>
      </c>
      <c r="M49" s="274">
        <v>-20765.0</v>
      </c>
      <c r="N49" s="274">
        <v>12828.0</v>
      </c>
      <c r="O49" s="274">
        <v>0.0</v>
      </c>
      <c r="P49" s="274">
        <v>0.0</v>
      </c>
      <c r="Q49" s="274">
        <v>0.0</v>
      </c>
      <c r="R49" s="275">
        <v>0.0</v>
      </c>
      <c r="S49" s="274">
        <v>0.0</v>
      </c>
      <c r="T49" s="275">
        <v>0.0</v>
      </c>
      <c r="U49" s="274">
        <v>29015.0</v>
      </c>
    </row>
    <row r="50">
      <c r="A50" s="37" t="s">
        <v>2196</v>
      </c>
      <c r="B50" s="279">
        <v>45323.0</v>
      </c>
      <c r="C50" s="37" t="s">
        <v>2198</v>
      </c>
      <c r="D50" s="37" t="s">
        <v>351</v>
      </c>
      <c r="E50" s="274">
        <v>0.0</v>
      </c>
      <c r="F50" s="274">
        <v>0.0</v>
      </c>
      <c r="G50" s="274">
        <v>0.0</v>
      </c>
      <c r="H50" s="275">
        <v>0.0</v>
      </c>
      <c r="I50" s="274">
        <v>0.0</v>
      </c>
      <c r="J50" s="274">
        <v>0.0</v>
      </c>
      <c r="K50" s="274">
        <v>-30015.0</v>
      </c>
      <c r="L50" s="274">
        <v>0.0</v>
      </c>
      <c r="M50" s="274">
        <v>-274427.0</v>
      </c>
      <c r="N50" s="274">
        <v>30015.0</v>
      </c>
      <c r="O50" s="274">
        <v>0.0</v>
      </c>
      <c r="P50" s="274">
        <v>0.0</v>
      </c>
      <c r="Q50" s="274">
        <v>0.0</v>
      </c>
      <c r="R50" s="275">
        <v>0.0</v>
      </c>
      <c r="S50" s="274">
        <v>0.0</v>
      </c>
      <c r="T50" s="275">
        <v>0.0</v>
      </c>
      <c r="U50" s="274">
        <v>0.0</v>
      </c>
    </row>
    <row r="51">
      <c r="A51" s="37" t="s">
        <v>2196</v>
      </c>
      <c r="B51" s="279">
        <v>45352.0</v>
      </c>
      <c r="C51" s="37" t="s">
        <v>16</v>
      </c>
      <c r="D51" s="37" t="s">
        <v>331</v>
      </c>
      <c r="E51" s="274">
        <v>34000.0</v>
      </c>
      <c r="F51" s="274">
        <v>87000.0</v>
      </c>
      <c r="G51" s="274">
        <v>39100.0</v>
      </c>
      <c r="H51" s="275">
        <v>0.4494252873563218</v>
      </c>
      <c r="I51" s="274">
        <v>53000.0</v>
      </c>
      <c r="J51" s="274">
        <v>5100.0</v>
      </c>
      <c r="K51" s="274">
        <v>5070.0</v>
      </c>
      <c r="L51" s="274">
        <v>0.0</v>
      </c>
      <c r="M51" s="274">
        <v>-118403.0</v>
      </c>
      <c r="N51" s="274">
        <v>47930.0</v>
      </c>
      <c r="O51" s="274">
        <v>109000.0</v>
      </c>
      <c r="P51" s="274">
        <v>68000.0</v>
      </c>
      <c r="Q51" s="274">
        <v>-41000.0</v>
      </c>
      <c r="R51" s="275">
        <v>31.0</v>
      </c>
      <c r="S51" s="274">
        <v>155.0</v>
      </c>
      <c r="T51" s="275">
        <v>0.8</v>
      </c>
      <c r="U51" s="274">
        <v>0.0</v>
      </c>
    </row>
    <row r="52">
      <c r="A52" s="37" t="s">
        <v>2196</v>
      </c>
      <c r="B52" s="278">
        <v>45352.0</v>
      </c>
      <c r="C52" s="37" t="s">
        <v>27</v>
      </c>
      <c r="D52" s="37" t="s">
        <v>351</v>
      </c>
      <c r="E52" s="274">
        <v>45000.0</v>
      </c>
      <c r="F52" s="274">
        <v>92300.0</v>
      </c>
      <c r="G52" s="274">
        <v>63730.0</v>
      </c>
      <c r="H52" s="275">
        <v>0.690465872156013</v>
      </c>
      <c r="I52" s="274">
        <v>47300.0</v>
      </c>
      <c r="J52" s="274">
        <v>18730.0</v>
      </c>
      <c r="K52" s="274">
        <v>11932.0</v>
      </c>
      <c r="L52" s="274">
        <v>-1050.0</v>
      </c>
      <c r="M52" s="274">
        <v>-385705.0</v>
      </c>
      <c r="N52" s="274">
        <v>35368.0</v>
      </c>
      <c r="O52" s="274">
        <v>182400.0</v>
      </c>
      <c r="P52" s="274">
        <v>90000.0</v>
      </c>
      <c r="Q52" s="274">
        <v>-92400.0</v>
      </c>
      <c r="R52" s="275">
        <v>0.0</v>
      </c>
      <c r="S52" s="274">
        <v>217.0</v>
      </c>
      <c r="T52" s="275">
        <v>1.0</v>
      </c>
      <c r="U52" s="274">
        <v>0.0</v>
      </c>
    </row>
    <row r="53">
      <c r="A53" s="37" t="s">
        <v>2196</v>
      </c>
      <c r="B53" s="278">
        <v>45352.0</v>
      </c>
      <c r="C53" s="37" t="s">
        <v>41</v>
      </c>
      <c r="D53" s="37" t="s">
        <v>331</v>
      </c>
      <c r="E53" s="274">
        <v>27000.0</v>
      </c>
      <c r="F53" s="274">
        <v>70900.0</v>
      </c>
      <c r="G53" s="274">
        <v>70000.0</v>
      </c>
      <c r="H53" s="275">
        <v>0.9873060648801129</v>
      </c>
      <c r="I53" s="274">
        <v>43900.0</v>
      </c>
      <c r="J53" s="274">
        <v>43000.0</v>
      </c>
      <c r="K53" s="274">
        <v>45640.0</v>
      </c>
      <c r="L53" s="274">
        <v>0.0</v>
      </c>
      <c r="M53" s="274">
        <v>-318105.0</v>
      </c>
      <c r="N53" s="274">
        <v>-1740.0</v>
      </c>
      <c r="O53" s="274">
        <v>136800.0</v>
      </c>
      <c r="P53" s="274">
        <v>54000.0</v>
      </c>
      <c r="Q53" s="274">
        <v>-82800.0</v>
      </c>
      <c r="R53" s="275">
        <v>0.0</v>
      </c>
      <c r="S53" s="274">
        <v>155.0</v>
      </c>
      <c r="T53" s="275">
        <v>1.0</v>
      </c>
      <c r="U53" s="274">
        <v>0.0</v>
      </c>
    </row>
    <row r="54">
      <c r="A54" s="37" t="s">
        <v>2196</v>
      </c>
      <c r="B54" s="278">
        <v>45352.0</v>
      </c>
      <c r="C54" s="37" t="s">
        <v>56</v>
      </c>
      <c r="D54" s="37" t="s">
        <v>331</v>
      </c>
      <c r="E54" s="274">
        <v>26000.0</v>
      </c>
      <c r="F54" s="274">
        <v>50900.0</v>
      </c>
      <c r="G54" s="274">
        <v>64169.0</v>
      </c>
      <c r="H54" s="275">
        <v>1.2606876227897839</v>
      </c>
      <c r="I54" s="274">
        <v>24900.0</v>
      </c>
      <c r="J54" s="274">
        <v>38169.0</v>
      </c>
      <c r="K54" s="274">
        <v>33976.0</v>
      </c>
      <c r="L54" s="274">
        <v>0.0</v>
      </c>
      <c r="M54" s="274">
        <v>-245832.0</v>
      </c>
      <c r="N54" s="274">
        <v>-9076.0</v>
      </c>
      <c r="O54" s="274">
        <v>109000.0</v>
      </c>
      <c r="P54" s="274">
        <v>52000.0</v>
      </c>
      <c r="Q54" s="274">
        <v>-57000.0</v>
      </c>
      <c r="R54" s="275">
        <v>24.0</v>
      </c>
      <c r="S54" s="274">
        <v>124.0</v>
      </c>
      <c r="T54" s="275">
        <v>0.8064516129032258</v>
      </c>
      <c r="U54" s="274">
        <v>0.0</v>
      </c>
    </row>
    <row r="55">
      <c r="A55" s="37" t="s">
        <v>2196</v>
      </c>
      <c r="B55" s="279">
        <v>45352.0</v>
      </c>
      <c r="C55" s="37" t="s">
        <v>69</v>
      </c>
      <c r="D55" s="37" t="s">
        <v>331</v>
      </c>
      <c r="E55" s="274">
        <v>25600.0</v>
      </c>
      <c r="F55" s="274">
        <v>85900.0</v>
      </c>
      <c r="G55" s="274">
        <v>20000.0</v>
      </c>
      <c r="H55" s="275">
        <v>0.23282887077997672</v>
      </c>
      <c r="I55" s="274">
        <v>60300.0</v>
      </c>
      <c r="J55" s="274">
        <v>-5600.0</v>
      </c>
      <c r="K55" s="274">
        <v>-378684.0</v>
      </c>
      <c r="L55" s="274">
        <v>0.0</v>
      </c>
      <c r="M55" s="274">
        <v>-499943.0</v>
      </c>
      <c r="N55" s="274">
        <v>438984.0</v>
      </c>
      <c r="O55" s="274">
        <v>0.0</v>
      </c>
      <c r="P55" s="274">
        <v>51200.0</v>
      </c>
      <c r="Q55" s="274">
        <v>51200.0</v>
      </c>
      <c r="R55" s="275">
        <v>155.0</v>
      </c>
      <c r="S55" s="274">
        <v>155.0</v>
      </c>
      <c r="T55" s="275">
        <v>0.0</v>
      </c>
      <c r="U55" s="274">
        <v>0.0</v>
      </c>
    </row>
    <row r="56">
      <c r="A56" s="37" t="s">
        <v>2196</v>
      </c>
      <c r="B56" s="279">
        <v>45352.0</v>
      </c>
      <c r="C56" s="37" t="s">
        <v>82</v>
      </c>
      <c r="D56" s="37" t="s">
        <v>331</v>
      </c>
      <c r="E56" s="274">
        <v>0.0</v>
      </c>
      <c r="F56" s="274">
        <v>106700.0</v>
      </c>
      <c r="G56" s="274">
        <v>0.0</v>
      </c>
      <c r="H56" s="275">
        <v>0.0</v>
      </c>
      <c r="I56" s="274">
        <v>106700.0</v>
      </c>
      <c r="J56" s="274">
        <v>0.0</v>
      </c>
      <c r="K56" s="274">
        <v>-19400.0</v>
      </c>
      <c r="L56" s="274">
        <v>0.0</v>
      </c>
      <c r="M56" s="274">
        <v>-19400.0</v>
      </c>
      <c r="N56" s="274">
        <v>126100.0</v>
      </c>
      <c r="O56" s="274">
        <v>0.0</v>
      </c>
      <c r="P56" s="274">
        <v>0.0</v>
      </c>
      <c r="Q56" s="274">
        <v>0.0</v>
      </c>
      <c r="R56" s="275">
        <v>0.0</v>
      </c>
      <c r="S56" s="274">
        <v>217.0</v>
      </c>
      <c r="T56" s="275">
        <v>1.0</v>
      </c>
      <c r="U56" s="274">
        <v>0.0</v>
      </c>
    </row>
    <row r="57">
      <c r="A57" s="37" t="s">
        <v>2196</v>
      </c>
      <c r="B57" s="279">
        <v>45352.0</v>
      </c>
      <c r="C57" s="37" t="s">
        <v>101</v>
      </c>
      <c r="D57" s="37" t="s">
        <v>351</v>
      </c>
      <c r="E57" s="274">
        <v>0.0</v>
      </c>
      <c r="F57" s="274">
        <v>58500.0</v>
      </c>
      <c r="G57" s="274">
        <v>0.0</v>
      </c>
      <c r="H57" s="275">
        <v>0.0</v>
      </c>
      <c r="I57" s="274">
        <v>58500.0</v>
      </c>
      <c r="J57" s="274">
        <v>0.0</v>
      </c>
      <c r="K57" s="274">
        <v>-17321.0</v>
      </c>
      <c r="L57" s="274">
        <v>0.0</v>
      </c>
      <c r="M57" s="274">
        <v>66179.0</v>
      </c>
      <c r="N57" s="274">
        <v>75821.0</v>
      </c>
      <c r="O57" s="274">
        <v>78600.0</v>
      </c>
      <c r="P57" s="274">
        <v>0.0</v>
      </c>
      <c r="Q57" s="274">
        <v>-78600.0</v>
      </c>
      <c r="R57" s="275">
        <v>0.0</v>
      </c>
      <c r="S57" s="274">
        <v>124.0</v>
      </c>
      <c r="T57" s="275">
        <v>1.0</v>
      </c>
      <c r="U57" s="274">
        <v>0.0</v>
      </c>
    </row>
    <row r="58">
      <c r="A58" s="37" t="s">
        <v>2196</v>
      </c>
      <c r="B58" s="279">
        <v>45352.0</v>
      </c>
      <c r="C58" s="37" t="s">
        <v>2197</v>
      </c>
      <c r="D58" s="37" t="s">
        <v>331</v>
      </c>
      <c r="E58" s="274">
        <v>0.0</v>
      </c>
      <c r="F58" s="274">
        <v>0.0</v>
      </c>
      <c r="G58" s="274">
        <v>0.0</v>
      </c>
      <c r="H58" s="275">
        <v>0.0</v>
      </c>
      <c r="I58" s="274">
        <v>0.0</v>
      </c>
      <c r="J58" s="274">
        <v>0.0</v>
      </c>
      <c r="K58" s="274">
        <v>-5889.0</v>
      </c>
      <c r="L58" s="274">
        <v>0.0</v>
      </c>
      <c r="M58" s="274">
        <v>-26654.0</v>
      </c>
      <c r="N58" s="274">
        <v>5889.0</v>
      </c>
      <c r="O58" s="274">
        <v>0.0</v>
      </c>
      <c r="P58" s="274">
        <v>0.0</v>
      </c>
      <c r="Q58" s="274">
        <v>0.0</v>
      </c>
      <c r="R58" s="275">
        <v>0.0</v>
      </c>
      <c r="S58" s="274">
        <v>0.0</v>
      </c>
      <c r="T58" s="275">
        <v>0.0</v>
      </c>
      <c r="U58" s="274">
        <v>58045.0</v>
      </c>
    </row>
    <row r="59">
      <c r="A59" s="37" t="s">
        <v>2196</v>
      </c>
      <c r="B59" s="279">
        <v>45352.0</v>
      </c>
      <c r="C59" s="37" t="s">
        <v>2198</v>
      </c>
      <c r="D59" s="37" t="s">
        <v>351</v>
      </c>
      <c r="E59" s="274">
        <v>0.0</v>
      </c>
      <c r="F59" s="274">
        <v>0.0</v>
      </c>
      <c r="G59" s="274">
        <v>0.0</v>
      </c>
      <c r="H59" s="275">
        <v>0.0</v>
      </c>
      <c r="I59" s="274">
        <v>0.0</v>
      </c>
      <c r="J59" s="274">
        <v>0.0</v>
      </c>
      <c r="K59" s="274">
        <v>0.0</v>
      </c>
      <c r="L59" s="274">
        <v>0.0</v>
      </c>
      <c r="M59" s="274">
        <v>-274427.0</v>
      </c>
      <c r="N59" s="274">
        <v>0.0</v>
      </c>
      <c r="O59" s="274">
        <v>0.0</v>
      </c>
      <c r="P59" s="274">
        <v>0.0</v>
      </c>
      <c r="Q59" s="274">
        <v>0.0</v>
      </c>
      <c r="R59" s="275">
        <v>0.0</v>
      </c>
      <c r="S59" s="274">
        <v>0.0</v>
      </c>
      <c r="T59" s="275">
        <v>0.0</v>
      </c>
      <c r="U59" s="274">
        <v>50015.0</v>
      </c>
    </row>
    <row r="60">
      <c r="A60" s="37" t="s">
        <v>2196</v>
      </c>
      <c r="B60" s="279">
        <v>45383.0</v>
      </c>
      <c r="C60" s="37" t="s">
        <v>16</v>
      </c>
      <c r="D60" s="37" t="s">
        <v>331</v>
      </c>
      <c r="E60" s="274">
        <v>34000.0</v>
      </c>
      <c r="F60" s="274">
        <v>87000.0</v>
      </c>
      <c r="G60" s="274">
        <v>41600.0</v>
      </c>
      <c r="H60" s="275">
        <v>0.4781609195402299</v>
      </c>
      <c r="I60" s="274">
        <v>53000.0</v>
      </c>
      <c r="J60" s="274">
        <v>7600.0</v>
      </c>
      <c r="K60" s="274">
        <v>7570.0</v>
      </c>
      <c r="L60" s="274">
        <v>0.0</v>
      </c>
      <c r="M60" s="274">
        <v>-110833.0</v>
      </c>
      <c r="N60" s="274">
        <v>45430.0</v>
      </c>
      <c r="O60" s="274">
        <v>109000.0</v>
      </c>
      <c r="P60" s="274">
        <v>68000.0</v>
      </c>
      <c r="Q60" s="274">
        <v>-41000.0</v>
      </c>
      <c r="R60" s="275">
        <v>30.0</v>
      </c>
      <c r="S60" s="274">
        <v>150.0</v>
      </c>
      <c r="T60" s="275">
        <v>0.8</v>
      </c>
      <c r="U60" s="274">
        <v>0.0</v>
      </c>
    </row>
    <row r="61">
      <c r="A61" s="37" t="s">
        <v>2196</v>
      </c>
      <c r="B61" s="279">
        <v>45383.0</v>
      </c>
      <c r="C61" s="37" t="s">
        <v>27</v>
      </c>
      <c r="D61" s="37" t="s">
        <v>351</v>
      </c>
      <c r="E61" s="274">
        <v>45000.0</v>
      </c>
      <c r="F61" s="274">
        <v>92300.0</v>
      </c>
      <c r="G61" s="274">
        <v>79300.0</v>
      </c>
      <c r="H61" s="275">
        <v>0.8591549295774648</v>
      </c>
      <c r="I61" s="274">
        <v>47300.0</v>
      </c>
      <c r="J61" s="274">
        <v>34300.0</v>
      </c>
      <c r="K61" s="274">
        <v>34285.0</v>
      </c>
      <c r="L61" s="274">
        <v>0.0</v>
      </c>
      <c r="M61" s="274">
        <v>-351420.0</v>
      </c>
      <c r="N61" s="274">
        <v>13015.0</v>
      </c>
      <c r="O61" s="274">
        <v>182400.0</v>
      </c>
      <c r="P61" s="274">
        <v>90000.0</v>
      </c>
      <c r="Q61" s="274">
        <v>-92400.0</v>
      </c>
      <c r="R61" s="275">
        <v>0.0</v>
      </c>
      <c r="S61" s="274">
        <v>210.0</v>
      </c>
      <c r="T61" s="275">
        <v>1.0</v>
      </c>
      <c r="U61" s="274">
        <v>0.0</v>
      </c>
    </row>
    <row r="62">
      <c r="A62" s="37" t="s">
        <v>2196</v>
      </c>
      <c r="B62" s="279">
        <v>45383.0</v>
      </c>
      <c r="C62" s="37" t="s">
        <v>41</v>
      </c>
      <c r="D62" s="37" t="s">
        <v>331</v>
      </c>
      <c r="E62" s="274">
        <v>27000.0</v>
      </c>
      <c r="F62" s="274">
        <v>70900.0</v>
      </c>
      <c r="G62" s="274">
        <v>68400.0</v>
      </c>
      <c r="H62" s="275">
        <v>0.9647390691114246</v>
      </c>
      <c r="I62" s="274">
        <v>43900.0</v>
      </c>
      <c r="J62" s="274">
        <v>41400.0</v>
      </c>
      <c r="K62" s="274">
        <v>40347.0</v>
      </c>
      <c r="L62" s="274">
        <v>0.0</v>
      </c>
      <c r="M62" s="274">
        <v>-277758.0</v>
      </c>
      <c r="N62" s="274">
        <v>3553.0</v>
      </c>
      <c r="O62" s="274">
        <v>136800.0</v>
      </c>
      <c r="P62" s="274">
        <v>54000.0</v>
      </c>
      <c r="Q62" s="274">
        <v>-82800.0</v>
      </c>
      <c r="R62" s="275">
        <v>0.0</v>
      </c>
      <c r="S62" s="274">
        <v>150.0</v>
      </c>
      <c r="T62" s="275">
        <v>1.0</v>
      </c>
      <c r="U62" s="274">
        <v>0.0</v>
      </c>
    </row>
    <row r="63">
      <c r="A63" s="37" t="s">
        <v>2196</v>
      </c>
      <c r="B63" s="279">
        <v>45383.0</v>
      </c>
      <c r="C63" s="37" t="s">
        <v>56</v>
      </c>
      <c r="D63" s="37" t="s">
        <v>331</v>
      </c>
      <c r="E63" s="274">
        <v>26000.0</v>
      </c>
      <c r="F63" s="274">
        <v>50900.0</v>
      </c>
      <c r="G63" s="274">
        <v>40420.0</v>
      </c>
      <c r="H63" s="275">
        <v>0.794106090373281</v>
      </c>
      <c r="I63" s="274">
        <v>24900.0</v>
      </c>
      <c r="J63" s="274">
        <v>14420.0</v>
      </c>
      <c r="K63" s="274">
        <v>28720.0</v>
      </c>
      <c r="L63" s="274">
        <v>-900.0</v>
      </c>
      <c r="M63" s="274">
        <v>-217112.0</v>
      </c>
      <c r="N63" s="274">
        <v>-3820.0</v>
      </c>
      <c r="O63" s="274">
        <v>109000.0</v>
      </c>
      <c r="P63" s="274">
        <v>52000.0</v>
      </c>
      <c r="Q63" s="274">
        <v>-57000.0</v>
      </c>
      <c r="R63" s="275">
        <v>0.0</v>
      </c>
      <c r="S63" s="274">
        <v>120.0</v>
      </c>
      <c r="T63" s="275">
        <v>1.0</v>
      </c>
      <c r="U63" s="274">
        <v>0.0</v>
      </c>
    </row>
    <row r="64">
      <c r="A64" s="37" t="s">
        <v>2196</v>
      </c>
      <c r="B64" s="278">
        <v>45383.0</v>
      </c>
      <c r="C64" s="37" t="s">
        <v>69</v>
      </c>
      <c r="D64" s="37" t="s">
        <v>331</v>
      </c>
      <c r="E64" s="274">
        <v>25600.0</v>
      </c>
      <c r="F64" s="274">
        <v>85900.0</v>
      </c>
      <c r="G64" s="274">
        <v>231100.0</v>
      </c>
      <c r="H64" s="275">
        <v>2.690337601862631</v>
      </c>
      <c r="I64" s="274">
        <v>60300.0</v>
      </c>
      <c r="J64" s="274">
        <v>205500.0</v>
      </c>
      <c r="K64" s="274">
        <v>110186.0</v>
      </c>
      <c r="L64" s="274">
        <v>0.0</v>
      </c>
      <c r="M64" s="274">
        <v>-389757.0</v>
      </c>
      <c r="N64" s="274">
        <v>-49886.0</v>
      </c>
      <c r="O64" s="274">
        <v>77000.0</v>
      </c>
      <c r="P64" s="274">
        <v>51200.0</v>
      </c>
      <c r="Q64" s="274">
        <v>-25800.0</v>
      </c>
      <c r="R64" s="275">
        <v>116.0</v>
      </c>
      <c r="S64" s="274">
        <v>150.0</v>
      </c>
      <c r="T64" s="275">
        <v>0.22666666666666668</v>
      </c>
      <c r="U64" s="274">
        <v>0.0</v>
      </c>
    </row>
    <row r="65">
      <c r="A65" s="37" t="s">
        <v>2196</v>
      </c>
      <c r="B65" s="278">
        <v>45383.0</v>
      </c>
      <c r="C65" s="37" t="s">
        <v>82</v>
      </c>
      <c r="D65" s="37" t="s">
        <v>331</v>
      </c>
      <c r="E65" s="274">
        <v>38800.0</v>
      </c>
      <c r="F65" s="274">
        <v>106700.0</v>
      </c>
      <c r="G65" s="274">
        <v>0.0</v>
      </c>
      <c r="H65" s="275">
        <v>0.0</v>
      </c>
      <c r="I65" s="274">
        <v>67900.0</v>
      </c>
      <c r="J65" s="274">
        <v>-38800.0</v>
      </c>
      <c r="K65" s="274">
        <v>-284483.0</v>
      </c>
      <c r="L65" s="274">
        <v>-2369.0</v>
      </c>
      <c r="M65" s="274">
        <v>-303883.0</v>
      </c>
      <c r="N65" s="274">
        <v>352383.0</v>
      </c>
      <c r="O65" s="274">
        <v>0.0</v>
      </c>
      <c r="P65" s="274">
        <v>77600.0</v>
      </c>
      <c r="Q65" s="274">
        <v>77600.0</v>
      </c>
      <c r="R65" s="275">
        <v>210.0</v>
      </c>
      <c r="S65" s="274">
        <v>210.0</v>
      </c>
      <c r="T65" s="275">
        <v>0.0</v>
      </c>
      <c r="U65" s="274">
        <v>0.0</v>
      </c>
    </row>
    <row r="66">
      <c r="A66" s="37" t="s">
        <v>2196</v>
      </c>
      <c r="B66" s="278">
        <v>45383.0</v>
      </c>
      <c r="C66" s="37" t="s">
        <v>101</v>
      </c>
      <c r="D66" s="37" t="s">
        <v>351</v>
      </c>
      <c r="E66" s="274">
        <v>0.0</v>
      </c>
      <c r="F66" s="274">
        <v>58500.0</v>
      </c>
      <c r="G66" s="274">
        <v>31600.0</v>
      </c>
      <c r="H66" s="275">
        <v>0.5401709401709401</v>
      </c>
      <c r="I66" s="274">
        <v>58500.0</v>
      </c>
      <c r="J66" s="274">
        <v>31600.0</v>
      </c>
      <c r="K66" s="274">
        <v>31600.0</v>
      </c>
      <c r="L66" s="274">
        <v>0.0</v>
      </c>
      <c r="M66" s="274">
        <v>97779.0</v>
      </c>
      <c r="N66" s="274">
        <v>26900.0</v>
      </c>
      <c r="O66" s="274">
        <v>78600.0</v>
      </c>
      <c r="P66" s="274">
        <v>0.0</v>
      </c>
      <c r="Q66" s="274">
        <v>-78600.0</v>
      </c>
      <c r="R66" s="275">
        <v>0.0</v>
      </c>
      <c r="S66" s="274">
        <v>120.0</v>
      </c>
      <c r="T66" s="275">
        <v>1.0</v>
      </c>
      <c r="U66" s="274">
        <v>0.0</v>
      </c>
    </row>
    <row r="67">
      <c r="A67" s="37" t="s">
        <v>2196</v>
      </c>
      <c r="B67" s="279">
        <v>45383.0</v>
      </c>
      <c r="C67" s="37" t="s">
        <v>2197</v>
      </c>
      <c r="D67" s="37" t="s">
        <v>331</v>
      </c>
      <c r="E67" s="274">
        <v>0.0</v>
      </c>
      <c r="F67" s="274">
        <v>0.0</v>
      </c>
      <c r="G67" s="274">
        <v>1200.0</v>
      </c>
      <c r="H67" s="275">
        <v>0.0</v>
      </c>
      <c r="I67" s="274">
        <v>0.0</v>
      </c>
      <c r="J67" s="274">
        <v>1200.0</v>
      </c>
      <c r="K67" s="274">
        <v>-28782.0</v>
      </c>
      <c r="L67" s="274">
        <v>0.0</v>
      </c>
      <c r="M67" s="274">
        <v>-55436.0</v>
      </c>
      <c r="N67" s="274">
        <v>28782.0</v>
      </c>
      <c r="O67" s="274">
        <v>0.0</v>
      </c>
      <c r="P67" s="274">
        <v>0.0</v>
      </c>
      <c r="Q67" s="274">
        <v>0.0</v>
      </c>
      <c r="R67" s="275">
        <v>0.0</v>
      </c>
      <c r="S67" s="274">
        <v>0.0</v>
      </c>
      <c r="T67" s="275">
        <v>0.0</v>
      </c>
      <c r="U67" s="274">
        <v>86030.0</v>
      </c>
    </row>
    <row r="68">
      <c r="A68" s="37" t="s">
        <v>2196</v>
      </c>
      <c r="B68" s="279">
        <v>45383.0</v>
      </c>
      <c r="C68" s="37" t="s">
        <v>2198</v>
      </c>
      <c r="D68" s="37" t="s">
        <v>351</v>
      </c>
      <c r="E68" s="274">
        <v>0.0</v>
      </c>
      <c r="F68" s="274">
        <v>0.0</v>
      </c>
      <c r="G68" s="274">
        <v>0.0</v>
      </c>
      <c r="H68" s="275">
        <v>0.0</v>
      </c>
      <c r="I68" s="274">
        <v>0.0</v>
      </c>
      <c r="J68" s="274">
        <v>0.0</v>
      </c>
      <c r="K68" s="274">
        <v>0.0</v>
      </c>
      <c r="L68" s="274">
        <v>0.0</v>
      </c>
      <c r="M68" s="274">
        <v>-274427.0</v>
      </c>
      <c r="N68" s="274">
        <v>0.0</v>
      </c>
      <c r="O68" s="274">
        <v>0.0</v>
      </c>
      <c r="P68" s="274">
        <v>0.0</v>
      </c>
      <c r="Q68" s="274">
        <v>0.0</v>
      </c>
      <c r="R68" s="275">
        <v>0.0</v>
      </c>
      <c r="S68" s="274">
        <v>0.0</v>
      </c>
      <c r="T68" s="275">
        <v>0.0</v>
      </c>
      <c r="U68" s="274">
        <v>50015.0</v>
      </c>
    </row>
    <row r="69">
      <c r="A69" s="37" t="s">
        <v>2196</v>
      </c>
      <c r="B69" s="279">
        <v>45413.0</v>
      </c>
      <c r="C69" s="37" t="s">
        <v>16</v>
      </c>
      <c r="D69" s="37" t="s">
        <v>331</v>
      </c>
      <c r="E69" s="274">
        <v>34000.0</v>
      </c>
      <c r="F69" s="274">
        <v>87000.0</v>
      </c>
      <c r="G69" s="274">
        <v>41600.0</v>
      </c>
      <c r="H69" s="275">
        <v>0.4781609195402299</v>
      </c>
      <c r="I69" s="274">
        <v>53000.0</v>
      </c>
      <c r="J69" s="274">
        <v>7600.0</v>
      </c>
      <c r="K69" s="274">
        <v>4690.0</v>
      </c>
      <c r="L69" s="274">
        <v>0.0</v>
      </c>
      <c r="M69" s="274">
        <v>-106143.0</v>
      </c>
      <c r="N69" s="274">
        <v>48310.0</v>
      </c>
      <c r="O69" s="274">
        <v>109000.0</v>
      </c>
      <c r="P69" s="274">
        <v>68000.0</v>
      </c>
      <c r="Q69" s="274">
        <v>-41000.0</v>
      </c>
      <c r="R69" s="275">
        <v>31.0</v>
      </c>
      <c r="S69" s="274">
        <v>155.0</v>
      </c>
      <c r="T69" s="275">
        <v>0.8</v>
      </c>
      <c r="U69" s="274">
        <v>0.0</v>
      </c>
    </row>
    <row r="70">
      <c r="A70" s="37" t="s">
        <v>2196</v>
      </c>
      <c r="B70" s="279">
        <v>45413.0</v>
      </c>
      <c r="C70" s="37" t="s">
        <v>27</v>
      </c>
      <c r="D70" s="37" t="s">
        <v>351</v>
      </c>
      <c r="E70" s="274">
        <v>45000.0</v>
      </c>
      <c r="F70" s="274">
        <v>92300.0</v>
      </c>
      <c r="G70" s="274">
        <v>128900.0</v>
      </c>
      <c r="H70" s="275">
        <v>1.3965330444203683</v>
      </c>
      <c r="I70" s="274">
        <v>47300.0</v>
      </c>
      <c r="J70" s="274">
        <v>83900.0</v>
      </c>
      <c r="K70" s="274">
        <v>80138.0</v>
      </c>
      <c r="L70" s="274">
        <v>-3747.0</v>
      </c>
      <c r="M70" s="274">
        <v>-271282.0</v>
      </c>
      <c r="N70" s="274">
        <v>-32838.0</v>
      </c>
      <c r="O70" s="274">
        <v>182400.0</v>
      </c>
      <c r="P70" s="274">
        <v>90000.0</v>
      </c>
      <c r="Q70" s="274">
        <v>-92400.0</v>
      </c>
      <c r="R70" s="275">
        <v>0.0</v>
      </c>
      <c r="S70" s="274">
        <v>217.0</v>
      </c>
      <c r="T70" s="275">
        <v>1.0</v>
      </c>
      <c r="U70" s="274">
        <v>0.0</v>
      </c>
    </row>
    <row r="71">
      <c r="A71" s="37" t="s">
        <v>2196</v>
      </c>
      <c r="B71" s="279">
        <v>45413.0</v>
      </c>
      <c r="C71" s="37" t="s">
        <v>41</v>
      </c>
      <c r="D71" s="37" t="s">
        <v>331</v>
      </c>
      <c r="E71" s="274">
        <v>27000.0</v>
      </c>
      <c r="F71" s="274">
        <v>70900.0</v>
      </c>
      <c r="G71" s="274">
        <v>68400.0</v>
      </c>
      <c r="H71" s="275">
        <v>0.9647390691114246</v>
      </c>
      <c r="I71" s="274">
        <v>43900.0</v>
      </c>
      <c r="J71" s="274">
        <v>41400.0</v>
      </c>
      <c r="K71" s="274">
        <v>44055.0</v>
      </c>
      <c r="L71" s="274">
        <v>0.0</v>
      </c>
      <c r="M71" s="274">
        <v>-233703.0</v>
      </c>
      <c r="N71" s="274">
        <v>-155.0</v>
      </c>
      <c r="O71" s="274">
        <v>136800.0</v>
      </c>
      <c r="P71" s="274">
        <v>54000.0</v>
      </c>
      <c r="Q71" s="274">
        <v>-82800.0</v>
      </c>
      <c r="R71" s="275">
        <v>0.0</v>
      </c>
      <c r="S71" s="274">
        <v>155.0</v>
      </c>
      <c r="T71" s="275">
        <v>1.0</v>
      </c>
      <c r="U71" s="274">
        <v>0.0</v>
      </c>
    </row>
    <row r="72">
      <c r="A72" s="37" t="s">
        <v>2196</v>
      </c>
      <c r="B72" s="279">
        <v>45413.0</v>
      </c>
      <c r="C72" s="37" t="s">
        <v>56</v>
      </c>
      <c r="D72" s="37" t="s">
        <v>331</v>
      </c>
      <c r="E72" s="274">
        <v>26000.0</v>
      </c>
      <c r="F72" s="274">
        <v>50900.0</v>
      </c>
      <c r="G72" s="274">
        <v>54500.0</v>
      </c>
      <c r="H72" s="275">
        <v>1.0707269155206287</v>
      </c>
      <c r="I72" s="274">
        <v>24900.0</v>
      </c>
      <c r="J72" s="274">
        <v>28500.0</v>
      </c>
      <c r="K72" s="274">
        <v>27534.0</v>
      </c>
      <c r="L72" s="274">
        <v>-1500.0</v>
      </c>
      <c r="M72" s="274">
        <v>-189578.0</v>
      </c>
      <c r="N72" s="274">
        <v>-2634.0</v>
      </c>
      <c r="O72" s="274">
        <v>109000.0</v>
      </c>
      <c r="P72" s="274">
        <v>52000.0</v>
      </c>
      <c r="Q72" s="274">
        <v>-57000.0</v>
      </c>
      <c r="R72" s="275">
        <v>0.0</v>
      </c>
      <c r="S72" s="274">
        <v>124.0</v>
      </c>
      <c r="T72" s="275">
        <v>1.0</v>
      </c>
      <c r="U72" s="274">
        <v>0.0</v>
      </c>
    </row>
    <row r="73">
      <c r="A73" s="37" t="s">
        <v>2196</v>
      </c>
      <c r="B73" s="279">
        <v>45413.0</v>
      </c>
      <c r="C73" s="37" t="s">
        <v>69</v>
      </c>
      <c r="D73" s="37" t="s">
        <v>331</v>
      </c>
      <c r="E73" s="274">
        <v>25600.0</v>
      </c>
      <c r="F73" s="274">
        <v>85900.0</v>
      </c>
      <c r="G73" s="274">
        <v>61100.0</v>
      </c>
      <c r="H73" s="275">
        <v>0.7112922002328289</v>
      </c>
      <c r="I73" s="274">
        <v>60300.0</v>
      </c>
      <c r="J73" s="274">
        <v>35500.0</v>
      </c>
      <c r="K73" s="274">
        <v>35215.0</v>
      </c>
      <c r="L73" s="274">
        <v>0.0</v>
      </c>
      <c r="M73" s="274">
        <v>-354542.0</v>
      </c>
      <c r="N73" s="274">
        <v>25085.0</v>
      </c>
      <c r="O73" s="274">
        <v>136200.0</v>
      </c>
      <c r="P73" s="274">
        <v>51200.0</v>
      </c>
      <c r="Q73" s="274">
        <v>-85000.0</v>
      </c>
      <c r="R73" s="275">
        <v>31.0</v>
      </c>
      <c r="S73" s="274">
        <v>155.0</v>
      </c>
      <c r="T73" s="275">
        <v>0.8</v>
      </c>
      <c r="U73" s="274">
        <v>0.0</v>
      </c>
    </row>
    <row r="74">
      <c r="A74" s="37" t="s">
        <v>2196</v>
      </c>
      <c r="B74" s="279">
        <v>45413.0</v>
      </c>
      <c r="C74" s="37" t="s">
        <v>82</v>
      </c>
      <c r="D74" s="37" t="s">
        <v>331</v>
      </c>
      <c r="E74" s="274">
        <v>38800.0</v>
      </c>
      <c r="F74" s="274">
        <v>106700.0</v>
      </c>
      <c r="G74" s="274">
        <v>266670.0</v>
      </c>
      <c r="H74" s="275">
        <v>2.4992502343017806</v>
      </c>
      <c r="I74" s="274">
        <v>67900.0</v>
      </c>
      <c r="J74" s="274">
        <v>227870.0</v>
      </c>
      <c r="K74" s="274">
        <v>-50575.0</v>
      </c>
      <c r="L74" s="274">
        <v>0.0</v>
      </c>
      <c r="M74" s="274">
        <v>-354458.0</v>
      </c>
      <c r="N74" s="274">
        <v>118475.0</v>
      </c>
      <c r="O74" s="274">
        <v>93200.0</v>
      </c>
      <c r="P74" s="274">
        <v>77600.0</v>
      </c>
      <c r="Q74" s="274">
        <v>-15600.0</v>
      </c>
      <c r="R74" s="275">
        <v>189.0</v>
      </c>
      <c r="S74" s="274">
        <v>217.0</v>
      </c>
      <c r="T74" s="275">
        <v>0.12903225806451613</v>
      </c>
      <c r="U74" s="274">
        <v>0.0</v>
      </c>
    </row>
    <row r="75">
      <c r="A75" s="37" t="s">
        <v>2196</v>
      </c>
      <c r="B75" s="278">
        <v>45413.0</v>
      </c>
      <c r="C75" s="37" t="s">
        <v>101</v>
      </c>
      <c r="D75" s="37" t="s">
        <v>351</v>
      </c>
      <c r="E75" s="274">
        <v>0.0</v>
      </c>
      <c r="F75" s="274">
        <v>58500.0</v>
      </c>
      <c r="G75" s="274">
        <v>61433.0</v>
      </c>
      <c r="H75" s="275">
        <v>1.0501367521367522</v>
      </c>
      <c r="I75" s="274">
        <v>58500.0</v>
      </c>
      <c r="J75" s="274">
        <v>61433.0</v>
      </c>
      <c r="K75" s="274">
        <v>61433.0</v>
      </c>
      <c r="L75" s="274">
        <v>0.0</v>
      </c>
      <c r="M75" s="274">
        <v>159212.0</v>
      </c>
      <c r="N75" s="274">
        <v>-2933.0</v>
      </c>
      <c r="O75" s="274">
        <v>78600.0</v>
      </c>
      <c r="P75" s="274">
        <v>0.0</v>
      </c>
      <c r="Q75" s="274">
        <v>-78600.0</v>
      </c>
      <c r="R75" s="275">
        <v>0.0</v>
      </c>
      <c r="S75" s="274">
        <v>124.0</v>
      </c>
      <c r="T75" s="275">
        <v>1.0</v>
      </c>
      <c r="U75" s="274">
        <v>0.0</v>
      </c>
    </row>
    <row r="76">
      <c r="A76" s="37" t="s">
        <v>2196</v>
      </c>
      <c r="B76" s="278">
        <v>45413.0</v>
      </c>
      <c r="C76" s="37" t="s">
        <v>2197</v>
      </c>
      <c r="D76" s="37" t="s">
        <v>331</v>
      </c>
      <c r="E76" s="274">
        <v>0.0</v>
      </c>
      <c r="F76" s="274">
        <v>0.0</v>
      </c>
      <c r="G76" s="274">
        <v>2000.0</v>
      </c>
      <c r="H76" s="275">
        <v>0.0</v>
      </c>
      <c r="I76" s="274">
        <v>0.0</v>
      </c>
      <c r="J76" s="274">
        <v>2000.0</v>
      </c>
      <c r="K76" s="274">
        <v>-70677.0</v>
      </c>
      <c r="L76" s="274">
        <v>0.0</v>
      </c>
      <c r="M76" s="274">
        <v>-126113.0</v>
      </c>
      <c r="N76" s="274">
        <v>70677.0</v>
      </c>
      <c r="O76" s="274">
        <v>0.0</v>
      </c>
      <c r="P76" s="274">
        <v>0.0</v>
      </c>
      <c r="Q76" s="274">
        <v>0.0</v>
      </c>
      <c r="R76" s="275">
        <v>0.0</v>
      </c>
      <c r="S76" s="274">
        <v>0.0</v>
      </c>
      <c r="T76" s="275">
        <v>0.0</v>
      </c>
      <c r="U76" s="274">
        <v>86030.0</v>
      </c>
    </row>
    <row r="77">
      <c r="A77" s="37" t="s">
        <v>2196</v>
      </c>
      <c r="B77" s="278">
        <v>45413.0</v>
      </c>
      <c r="C77" s="37" t="s">
        <v>2198</v>
      </c>
      <c r="D77" s="37" t="s">
        <v>351</v>
      </c>
      <c r="E77" s="274">
        <v>0.0</v>
      </c>
      <c r="F77" s="274">
        <v>0.0</v>
      </c>
      <c r="G77" s="274">
        <v>0.0</v>
      </c>
      <c r="H77" s="275">
        <v>0.0</v>
      </c>
      <c r="I77" s="274">
        <v>0.0</v>
      </c>
      <c r="J77" s="274">
        <v>0.0</v>
      </c>
      <c r="K77" s="274">
        <v>0.0</v>
      </c>
      <c r="L77" s="274">
        <v>0.0</v>
      </c>
      <c r="M77" s="274">
        <v>-274427.0</v>
      </c>
      <c r="N77" s="274">
        <v>0.0</v>
      </c>
      <c r="O77" s="274">
        <v>0.0</v>
      </c>
      <c r="P77" s="274">
        <v>0.0</v>
      </c>
      <c r="Q77" s="274">
        <v>0.0</v>
      </c>
      <c r="R77" s="275">
        <v>0.0</v>
      </c>
      <c r="S77" s="274">
        <v>0.0</v>
      </c>
      <c r="T77" s="275">
        <v>0.0</v>
      </c>
      <c r="U77" s="274">
        <v>50015.0</v>
      </c>
    </row>
    <row r="78">
      <c r="A78" s="37" t="s">
        <v>2196</v>
      </c>
      <c r="B78" s="279">
        <v>45444.0</v>
      </c>
      <c r="C78" s="37" t="s">
        <v>16</v>
      </c>
      <c r="D78" s="37" t="s">
        <v>331</v>
      </c>
      <c r="E78" s="274">
        <v>34000.0</v>
      </c>
      <c r="F78" s="274">
        <v>87000.0</v>
      </c>
      <c r="G78" s="274">
        <v>41600.0</v>
      </c>
      <c r="H78" s="275">
        <v>0.4781609195402299</v>
      </c>
      <c r="I78" s="274">
        <v>53000.0</v>
      </c>
      <c r="J78" s="274">
        <v>7600.0</v>
      </c>
      <c r="K78" s="274">
        <v>6870.0</v>
      </c>
      <c r="L78" s="274">
        <v>0.0</v>
      </c>
      <c r="M78" s="274">
        <v>-99273.0</v>
      </c>
      <c r="N78" s="274">
        <v>46130.0</v>
      </c>
      <c r="O78" s="274">
        <v>109000.0</v>
      </c>
      <c r="P78" s="274">
        <v>68000.0</v>
      </c>
      <c r="Q78" s="274">
        <v>-41000.0</v>
      </c>
      <c r="R78" s="275">
        <v>30.0</v>
      </c>
      <c r="S78" s="274">
        <v>150.0</v>
      </c>
      <c r="T78" s="275">
        <v>0.8</v>
      </c>
      <c r="U78" s="274">
        <v>0.0</v>
      </c>
    </row>
    <row r="79">
      <c r="A79" s="37" t="s">
        <v>2196</v>
      </c>
      <c r="B79" s="279">
        <v>45444.0</v>
      </c>
      <c r="C79" s="37" t="s">
        <v>27</v>
      </c>
      <c r="D79" s="37" t="s">
        <v>351</v>
      </c>
      <c r="E79" s="274">
        <v>45000.0</v>
      </c>
      <c r="F79" s="274">
        <v>92300.0</v>
      </c>
      <c r="G79" s="274">
        <v>105200.0</v>
      </c>
      <c r="H79" s="275">
        <v>1.1397616468039002</v>
      </c>
      <c r="I79" s="274">
        <v>47300.0</v>
      </c>
      <c r="J79" s="274">
        <v>60200.0</v>
      </c>
      <c r="K79" s="274">
        <v>48835.0</v>
      </c>
      <c r="L79" s="274">
        <v>-1050.0</v>
      </c>
      <c r="M79" s="274">
        <v>-222447.0</v>
      </c>
      <c r="N79" s="274">
        <v>-1535.0</v>
      </c>
      <c r="O79" s="274">
        <v>156800.0</v>
      </c>
      <c r="P79" s="274">
        <v>90000.0</v>
      </c>
      <c r="Q79" s="274">
        <v>-66800.0</v>
      </c>
      <c r="R79" s="275">
        <v>14.0</v>
      </c>
      <c r="S79" s="274">
        <v>210.0</v>
      </c>
      <c r="T79" s="275">
        <v>0.9333333333333333</v>
      </c>
      <c r="U79" s="274">
        <v>0.0</v>
      </c>
    </row>
    <row r="80">
      <c r="A80" s="37" t="s">
        <v>2196</v>
      </c>
      <c r="B80" s="279">
        <v>45444.0</v>
      </c>
      <c r="C80" s="37" t="s">
        <v>41</v>
      </c>
      <c r="D80" s="37" t="s">
        <v>331</v>
      </c>
      <c r="E80" s="274">
        <v>27000.0</v>
      </c>
      <c r="F80" s="274">
        <v>70900.0</v>
      </c>
      <c r="G80" s="274">
        <v>108800.0</v>
      </c>
      <c r="H80" s="275">
        <v>1.534555712270804</v>
      </c>
      <c r="I80" s="274">
        <v>43900.0</v>
      </c>
      <c r="J80" s="274">
        <v>81800.0</v>
      </c>
      <c r="K80" s="274">
        <v>84455.0</v>
      </c>
      <c r="L80" s="274">
        <v>0.0</v>
      </c>
      <c r="M80" s="274">
        <v>-149248.0</v>
      </c>
      <c r="N80" s="274">
        <v>-40555.0</v>
      </c>
      <c r="O80" s="274">
        <v>136800.0</v>
      </c>
      <c r="P80" s="274">
        <v>54000.0</v>
      </c>
      <c r="Q80" s="274">
        <v>-82800.0</v>
      </c>
      <c r="R80" s="275">
        <v>0.0</v>
      </c>
      <c r="S80" s="274">
        <v>150.0</v>
      </c>
      <c r="T80" s="275">
        <v>1.0</v>
      </c>
      <c r="U80" s="274">
        <v>0.0</v>
      </c>
    </row>
    <row r="81">
      <c r="A81" s="37" t="s">
        <v>2196</v>
      </c>
      <c r="B81" s="279">
        <v>45444.0</v>
      </c>
      <c r="C81" s="37" t="s">
        <v>56</v>
      </c>
      <c r="D81" s="37" t="s">
        <v>331</v>
      </c>
      <c r="E81" s="274">
        <v>26000.0</v>
      </c>
      <c r="F81" s="274">
        <v>50900.0</v>
      </c>
      <c r="G81" s="274">
        <v>54500.0</v>
      </c>
      <c r="H81" s="275">
        <v>1.0707269155206287</v>
      </c>
      <c r="I81" s="274">
        <v>24900.0</v>
      </c>
      <c r="J81" s="274">
        <v>28500.0</v>
      </c>
      <c r="K81" s="274">
        <v>29034.0</v>
      </c>
      <c r="L81" s="274">
        <v>0.0</v>
      </c>
      <c r="M81" s="274">
        <v>-160544.0</v>
      </c>
      <c r="N81" s="274">
        <v>-4134.0</v>
      </c>
      <c r="O81" s="274">
        <v>109000.0</v>
      </c>
      <c r="P81" s="274">
        <v>52000.0</v>
      </c>
      <c r="Q81" s="274">
        <v>-57000.0</v>
      </c>
      <c r="R81" s="275">
        <v>0.0</v>
      </c>
      <c r="S81" s="274">
        <v>120.0</v>
      </c>
      <c r="T81" s="275">
        <v>1.0</v>
      </c>
      <c r="U81" s="274">
        <v>0.0</v>
      </c>
    </row>
    <row r="82">
      <c r="A82" s="37" t="s">
        <v>2196</v>
      </c>
      <c r="B82" s="279">
        <v>45444.0</v>
      </c>
      <c r="C82" s="37" t="s">
        <v>69</v>
      </c>
      <c r="D82" s="37" t="s">
        <v>331</v>
      </c>
      <c r="E82" s="274">
        <v>25600.0</v>
      </c>
      <c r="F82" s="274">
        <v>85900.0</v>
      </c>
      <c r="G82" s="274">
        <v>91900.0</v>
      </c>
      <c r="H82" s="275">
        <v>1.069848661233993</v>
      </c>
      <c r="I82" s="274">
        <v>60300.0</v>
      </c>
      <c r="J82" s="274">
        <v>66300.0</v>
      </c>
      <c r="K82" s="274">
        <v>35347.0</v>
      </c>
      <c r="L82" s="274">
        <v>0.0</v>
      </c>
      <c r="M82" s="274">
        <v>-319195.0</v>
      </c>
      <c r="N82" s="274">
        <v>24953.0</v>
      </c>
      <c r="O82" s="274">
        <v>136200.0</v>
      </c>
      <c r="P82" s="274">
        <v>51200.0</v>
      </c>
      <c r="Q82" s="274">
        <v>-85000.0</v>
      </c>
      <c r="R82" s="275">
        <v>30.0</v>
      </c>
      <c r="S82" s="274">
        <v>150.0</v>
      </c>
      <c r="T82" s="275">
        <v>0.8</v>
      </c>
      <c r="U82" s="274">
        <v>0.0</v>
      </c>
    </row>
    <row r="83">
      <c r="A83" s="37" t="s">
        <v>2196</v>
      </c>
      <c r="B83" s="279">
        <v>45444.0</v>
      </c>
      <c r="C83" s="37" t="s">
        <v>82</v>
      </c>
      <c r="D83" s="37" t="s">
        <v>331</v>
      </c>
      <c r="E83" s="274">
        <v>38800.0</v>
      </c>
      <c r="F83" s="274">
        <v>106700.0</v>
      </c>
      <c r="G83" s="274">
        <v>162066.0</v>
      </c>
      <c r="H83" s="275">
        <v>1.5188940955951264</v>
      </c>
      <c r="I83" s="274">
        <v>67900.0</v>
      </c>
      <c r="J83" s="274">
        <v>123266.0</v>
      </c>
      <c r="K83" s="274">
        <v>159719.0</v>
      </c>
      <c r="L83" s="274">
        <v>0.0</v>
      </c>
      <c r="M83" s="274">
        <v>-194739.0</v>
      </c>
      <c r="N83" s="274">
        <v>-91819.0</v>
      </c>
      <c r="O83" s="274">
        <v>135800.0</v>
      </c>
      <c r="P83" s="274">
        <v>77600.0</v>
      </c>
      <c r="Q83" s="274">
        <v>-58200.0</v>
      </c>
      <c r="R83" s="275">
        <v>43.0</v>
      </c>
      <c r="S83" s="274">
        <v>210.0</v>
      </c>
      <c r="T83" s="275">
        <v>0.7952380952380953</v>
      </c>
      <c r="U83" s="274">
        <v>0.0</v>
      </c>
    </row>
    <row r="84">
      <c r="A84" s="37" t="s">
        <v>2196</v>
      </c>
      <c r="B84" s="279">
        <v>45444.0</v>
      </c>
      <c r="C84" s="37" t="s">
        <v>101</v>
      </c>
      <c r="D84" s="37" t="s">
        <v>351</v>
      </c>
      <c r="E84" s="274">
        <v>0.0</v>
      </c>
      <c r="F84" s="274">
        <v>58500.0</v>
      </c>
      <c r="G84" s="274">
        <v>19000.0</v>
      </c>
      <c r="H84" s="275">
        <v>0.3247863247863248</v>
      </c>
      <c r="I84" s="274">
        <v>58500.0</v>
      </c>
      <c r="J84" s="274">
        <v>19000.0</v>
      </c>
      <c r="K84" s="274">
        <v>19000.0</v>
      </c>
      <c r="L84" s="274">
        <v>0.0</v>
      </c>
      <c r="M84" s="274">
        <v>178212.0</v>
      </c>
      <c r="N84" s="274">
        <v>39500.0</v>
      </c>
      <c r="O84" s="274">
        <v>56600.0</v>
      </c>
      <c r="P84" s="274">
        <v>0.0</v>
      </c>
      <c r="Q84" s="274">
        <v>-56600.0</v>
      </c>
      <c r="R84" s="275">
        <v>0.0</v>
      </c>
      <c r="S84" s="274">
        <v>120.0</v>
      </c>
      <c r="T84" s="275">
        <v>1.0</v>
      </c>
      <c r="U84" s="274">
        <v>0.0</v>
      </c>
    </row>
    <row r="85">
      <c r="A85" s="37" t="s">
        <v>2196</v>
      </c>
      <c r="B85" s="279">
        <v>45444.0</v>
      </c>
      <c r="C85" s="37" t="s">
        <v>110</v>
      </c>
      <c r="D85" s="37" t="s">
        <v>331</v>
      </c>
      <c r="E85" s="274">
        <v>0.0</v>
      </c>
      <c r="F85" s="274">
        <v>67600.0</v>
      </c>
      <c r="G85" s="274">
        <v>0.0</v>
      </c>
      <c r="H85" s="275">
        <v>0.0</v>
      </c>
      <c r="I85" s="274">
        <v>67600.0</v>
      </c>
      <c r="J85" s="274">
        <v>0.0</v>
      </c>
      <c r="K85" s="274">
        <v>-552.0</v>
      </c>
      <c r="L85" s="274">
        <v>0.0</v>
      </c>
      <c r="M85" s="274">
        <v>-552.0</v>
      </c>
      <c r="N85" s="274">
        <v>68152.0</v>
      </c>
      <c r="O85" s="274">
        <v>0.0</v>
      </c>
      <c r="P85" s="274">
        <v>0.0</v>
      </c>
      <c r="Q85" s="274">
        <v>0.0</v>
      </c>
      <c r="R85" s="275">
        <v>0.0</v>
      </c>
      <c r="S85" s="274">
        <v>150.0</v>
      </c>
      <c r="T85" s="275">
        <v>1.0</v>
      </c>
      <c r="U85" s="274">
        <v>0.0</v>
      </c>
    </row>
    <row r="86">
      <c r="A86" s="37" t="s">
        <v>2196</v>
      </c>
      <c r="B86" s="279">
        <v>45444.0</v>
      </c>
      <c r="C86" s="37" t="s">
        <v>2197</v>
      </c>
      <c r="D86" s="37" t="s">
        <v>331</v>
      </c>
      <c r="E86" s="274">
        <v>0.0</v>
      </c>
      <c r="F86" s="274">
        <v>0.0</v>
      </c>
      <c r="G86" s="274">
        <v>30278.0</v>
      </c>
      <c r="H86" s="275">
        <v>0.0</v>
      </c>
      <c r="I86" s="274">
        <v>0.0</v>
      </c>
      <c r="J86" s="274">
        <v>30278.0</v>
      </c>
      <c r="K86" s="274">
        <v>-6128.0</v>
      </c>
      <c r="L86" s="274">
        <v>0.0</v>
      </c>
      <c r="M86" s="274">
        <v>-132241.0</v>
      </c>
      <c r="N86" s="274">
        <v>6128.0</v>
      </c>
      <c r="O86" s="274">
        <v>0.0</v>
      </c>
      <c r="P86" s="274">
        <v>0.0</v>
      </c>
      <c r="Q86" s="274">
        <v>0.0</v>
      </c>
      <c r="R86" s="275">
        <v>0.0</v>
      </c>
      <c r="S86" s="274">
        <v>0.0</v>
      </c>
      <c r="T86" s="275">
        <v>0.0</v>
      </c>
      <c r="U86" s="274">
        <v>86030.0</v>
      </c>
    </row>
    <row r="87">
      <c r="A87" s="37" t="s">
        <v>2196</v>
      </c>
      <c r="B87" s="278">
        <v>45444.0</v>
      </c>
      <c r="C87" s="37" t="s">
        <v>2198</v>
      </c>
      <c r="D87" s="37" t="s">
        <v>351</v>
      </c>
      <c r="E87" s="274">
        <v>0.0</v>
      </c>
      <c r="F87" s="274">
        <v>0.0</v>
      </c>
      <c r="G87" s="274">
        <v>2648.0</v>
      </c>
      <c r="H87" s="275">
        <v>0.0</v>
      </c>
      <c r="I87" s="274">
        <v>0.0</v>
      </c>
      <c r="J87" s="274">
        <v>2648.0</v>
      </c>
      <c r="K87" s="274">
        <v>2648.0</v>
      </c>
      <c r="L87" s="274">
        <v>0.0</v>
      </c>
      <c r="M87" s="274">
        <v>-271779.0</v>
      </c>
      <c r="N87" s="274">
        <v>-2648.0</v>
      </c>
      <c r="O87" s="274">
        <v>0.0</v>
      </c>
      <c r="P87" s="274">
        <v>0.0</v>
      </c>
      <c r="Q87" s="274">
        <v>0.0</v>
      </c>
      <c r="R87" s="275">
        <v>0.0</v>
      </c>
      <c r="S87" s="274">
        <v>0.0</v>
      </c>
      <c r="T87" s="275">
        <v>0.0</v>
      </c>
      <c r="U87" s="274">
        <v>50015.0</v>
      </c>
    </row>
    <row r="88">
      <c r="A88" s="37" t="s">
        <v>2196</v>
      </c>
      <c r="B88" s="278">
        <v>45474.0</v>
      </c>
      <c r="C88" s="37" t="s">
        <v>16</v>
      </c>
      <c r="D88" s="37" t="s">
        <v>331</v>
      </c>
      <c r="E88" s="274">
        <v>34000.0</v>
      </c>
      <c r="F88" s="274">
        <v>87000.0</v>
      </c>
      <c r="G88" s="274">
        <v>119000.0</v>
      </c>
      <c r="H88" s="275">
        <v>1.367816091954023</v>
      </c>
      <c r="I88" s="274">
        <v>53000.0</v>
      </c>
      <c r="J88" s="274">
        <v>85000.0</v>
      </c>
      <c r="K88" s="274">
        <v>84970.0</v>
      </c>
      <c r="L88" s="274">
        <v>0.0</v>
      </c>
      <c r="M88" s="274">
        <v>-14303.0</v>
      </c>
      <c r="N88" s="274">
        <v>-31970.0</v>
      </c>
      <c r="O88" s="274">
        <v>109000.0</v>
      </c>
      <c r="P88" s="274">
        <v>68000.0</v>
      </c>
      <c r="Q88" s="274">
        <v>-41000.0</v>
      </c>
      <c r="R88" s="275">
        <v>31.0</v>
      </c>
      <c r="S88" s="274">
        <v>155.0</v>
      </c>
      <c r="T88" s="275">
        <v>0.8</v>
      </c>
      <c r="U88" s="274">
        <v>0.0</v>
      </c>
    </row>
    <row r="89">
      <c r="A89" s="37" t="s">
        <v>2196</v>
      </c>
      <c r="B89" s="278">
        <v>45474.0</v>
      </c>
      <c r="C89" s="37" t="s">
        <v>27</v>
      </c>
      <c r="D89" s="37" t="s">
        <v>351</v>
      </c>
      <c r="E89" s="274">
        <v>45000.0</v>
      </c>
      <c r="F89" s="274">
        <v>92300.0</v>
      </c>
      <c r="G89" s="274">
        <v>66500.0</v>
      </c>
      <c r="H89" s="275">
        <v>0.7204767063921993</v>
      </c>
      <c r="I89" s="274">
        <v>47300.0</v>
      </c>
      <c r="J89" s="274">
        <v>21500.0</v>
      </c>
      <c r="K89" s="274">
        <v>14405.0</v>
      </c>
      <c r="L89" s="274">
        <v>-7080.0</v>
      </c>
      <c r="M89" s="274">
        <v>-208042.0</v>
      </c>
      <c r="N89" s="274">
        <v>32895.0</v>
      </c>
      <c r="O89" s="274">
        <v>182800.0</v>
      </c>
      <c r="P89" s="274">
        <v>90000.0</v>
      </c>
      <c r="Q89" s="274">
        <v>-92800.0</v>
      </c>
      <c r="R89" s="275">
        <v>0.0</v>
      </c>
      <c r="S89" s="274">
        <v>217.0</v>
      </c>
      <c r="T89" s="275">
        <v>1.0</v>
      </c>
      <c r="U89" s="274">
        <v>0.0</v>
      </c>
    </row>
    <row r="90">
      <c r="A90" s="37" t="s">
        <v>2196</v>
      </c>
      <c r="B90" s="279">
        <v>45474.0</v>
      </c>
      <c r="C90" s="37" t="s">
        <v>41</v>
      </c>
      <c r="D90" s="37" t="s">
        <v>331</v>
      </c>
      <c r="E90" s="274">
        <v>27000.0</v>
      </c>
      <c r="F90" s="274">
        <v>70900.0</v>
      </c>
      <c r="G90" s="274">
        <v>55900.0</v>
      </c>
      <c r="H90" s="275">
        <v>0.7884344146685472</v>
      </c>
      <c r="I90" s="274">
        <v>43900.0</v>
      </c>
      <c r="J90" s="274">
        <v>28900.0</v>
      </c>
      <c r="K90" s="274">
        <v>29186.0</v>
      </c>
      <c r="L90" s="274">
        <v>-2369.0</v>
      </c>
      <c r="M90" s="274">
        <v>-120062.0</v>
      </c>
      <c r="N90" s="274">
        <v>14714.0</v>
      </c>
      <c r="O90" s="274">
        <v>138800.0</v>
      </c>
      <c r="P90" s="274">
        <v>54000.0</v>
      </c>
      <c r="Q90" s="274">
        <v>-84800.0</v>
      </c>
      <c r="R90" s="275">
        <v>0.0</v>
      </c>
      <c r="S90" s="274">
        <v>155.0</v>
      </c>
      <c r="T90" s="275">
        <v>1.0</v>
      </c>
      <c r="U90" s="274">
        <v>0.0</v>
      </c>
    </row>
    <row r="91">
      <c r="A91" s="37" t="s">
        <v>2196</v>
      </c>
      <c r="B91" s="279">
        <v>45474.0</v>
      </c>
      <c r="C91" s="37" t="s">
        <v>56</v>
      </c>
      <c r="D91" s="37" t="s">
        <v>331</v>
      </c>
      <c r="E91" s="274">
        <v>26000.0</v>
      </c>
      <c r="F91" s="274">
        <v>50900.0</v>
      </c>
      <c r="G91" s="274">
        <v>54500.0</v>
      </c>
      <c r="H91" s="275">
        <v>1.0707269155206287</v>
      </c>
      <c r="I91" s="274">
        <v>24900.0</v>
      </c>
      <c r="J91" s="274">
        <v>28500.0</v>
      </c>
      <c r="K91" s="274">
        <v>29034.0</v>
      </c>
      <c r="L91" s="274">
        <v>0.0</v>
      </c>
      <c r="M91" s="274">
        <v>-131510.0</v>
      </c>
      <c r="N91" s="274">
        <v>-4134.0</v>
      </c>
      <c r="O91" s="274">
        <v>109000.0</v>
      </c>
      <c r="P91" s="274">
        <v>52000.0</v>
      </c>
      <c r="Q91" s="274">
        <v>-57000.0</v>
      </c>
      <c r="R91" s="275">
        <v>0.0</v>
      </c>
      <c r="S91" s="274">
        <v>124.0</v>
      </c>
      <c r="T91" s="275">
        <v>1.0</v>
      </c>
      <c r="U91" s="274">
        <v>0.0</v>
      </c>
    </row>
    <row r="92">
      <c r="A92" s="37" t="s">
        <v>2196</v>
      </c>
      <c r="B92" s="279">
        <v>45474.0</v>
      </c>
      <c r="C92" s="37" t="s">
        <v>69</v>
      </c>
      <c r="D92" s="37" t="s">
        <v>331</v>
      </c>
      <c r="E92" s="274">
        <v>25600.0</v>
      </c>
      <c r="F92" s="274">
        <v>85900.0</v>
      </c>
      <c r="G92" s="274">
        <v>85900.0</v>
      </c>
      <c r="H92" s="275">
        <v>1.0</v>
      </c>
      <c r="I92" s="274">
        <v>60300.0</v>
      </c>
      <c r="J92" s="274">
        <v>60300.0</v>
      </c>
      <c r="K92" s="274">
        <v>38796.0</v>
      </c>
      <c r="L92" s="274">
        <v>-3499.0</v>
      </c>
      <c r="M92" s="274">
        <v>-280399.0</v>
      </c>
      <c r="N92" s="274">
        <v>21504.0</v>
      </c>
      <c r="O92" s="274">
        <v>136200.0</v>
      </c>
      <c r="P92" s="274">
        <v>51200.0</v>
      </c>
      <c r="Q92" s="274">
        <v>-85000.0</v>
      </c>
      <c r="R92" s="275">
        <v>31.0</v>
      </c>
      <c r="S92" s="274">
        <v>155.0</v>
      </c>
      <c r="T92" s="275">
        <v>0.8</v>
      </c>
      <c r="U92" s="274">
        <v>0.0</v>
      </c>
    </row>
    <row r="93">
      <c r="A93" s="37" t="s">
        <v>2196</v>
      </c>
      <c r="B93" s="278">
        <v>45474.0</v>
      </c>
      <c r="C93" s="37" t="s">
        <v>82</v>
      </c>
      <c r="D93" s="37" t="s">
        <v>331</v>
      </c>
      <c r="E93" s="274">
        <v>38800.0</v>
      </c>
      <c r="F93" s="274">
        <v>106700.0</v>
      </c>
      <c r="G93" s="274">
        <v>148565.0</v>
      </c>
      <c r="H93" s="275">
        <v>1.3923617619493909</v>
      </c>
      <c r="I93" s="274">
        <v>67900.0</v>
      </c>
      <c r="J93" s="274">
        <v>109765.0</v>
      </c>
      <c r="K93" s="274">
        <v>80968.0</v>
      </c>
      <c r="L93" s="274">
        <v>-2565.0</v>
      </c>
      <c r="M93" s="274">
        <v>-113771.0</v>
      </c>
      <c r="N93" s="274">
        <v>-13068.0</v>
      </c>
      <c r="O93" s="274">
        <v>209400.0</v>
      </c>
      <c r="P93" s="274">
        <v>77600.0</v>
      </c>
      <c r="Q93" s="274">
        <v>-131800.0</v>
      </c>
      <c r="R93" s="275">
        <v>14.0</v>
      </c>
      <c r="S93" s="274">
        <v>217.0</v>
      </c>
      <c r="T93" s="275">
        <v>0.935483870967742</v>
      </c>
      <c r="U93" s="274">
        <v>0.0</v>
      </c>
    </row>
    <row r="94">
      <c r="A94" s="37" t="s">
        <v>2196</v>
      </c>
      <c r="B94" s="278">
        <v>45474.0</v>
      </c>
      <c r="C94" s="37" t="s">
        <v>101</v>
      </c>
      <c r="D94" s="37" t="s">
        <v>351</v>
      </c>
      <c r="E94" s="274">
        <v>28800.0</v>
      </c>
      <c r="F94" s="274">
        <v>58500.0</v>
      </c>
      <c r="G94" s="274">
        <v>43000.0</v>
      </c>
      <c r="H94" s="275">
        <v>0.7350427350427351</v>
      </c>
      <c r="I94" s="274">
        <v>29700.0</v>
      </c>
      <c r="J94" s="274">
        <v>14200.0</v>
      </c>
      <c r="K94" s="274">
        <v>12973.0</v>
      </c>
      <c r="L94" s="274">
        <v>-1197.0</v>
      </c>
      <c r="M94" s="274">
        <v>191185.0</v>
      </c>
      <c r="N94" s="274">
        <v>16727.0</v>
      </c>
      <c r="O94" s="274">
        <v>104600.0</v>
      </c>
      <c r="P94" s="274">
        <v>57600.0</v>
      </c>
      <c r="Q94" s="274">
        <v>-47000.0</v>
      </c>
      <c r="R94" s="275">
        <v>0.0</v>
      </c>
      <c r="S94" s="274">
        <v>124.0</v>
      </c>
      <c r="T94" s="275">
        <v>1.0</v>
      </c>
      <c r="U94" s="274">
        <v>0.0</v>
      </c>
    </row>
    <row r="95">
      <c r="A95" s="37" t="s">
        <v>2196</v>
      </c>
      <c r="B95" s="278">
        <v>45474.0</v>
      </c>
      <c r="C95" s="37" t="s">
        <v>110</v>
      </c>
      <c r="D95" s="37" t="s">
        <v>331</v>
      </c>
      <c r="E95" s="274">
        <v>0.0</v>
      </c>
      <c r="F95" s="274">
        <v>67600.0</v>
      </c>
      <c r="G95" s="274">
        <v>0.0</v>
      </c>
      <c r="H95" s="275">
        <v>0.0</v>
      </c>
      <c r="I95" s="274">
        <v>67600.0</v>
      </c>
      <c r="J95" s="274">
        <v>0.0</v>
      </c>
      <c r="K95" s="274">
        <v>-635810.0</v>
      </c>
      <c r="L95" s="274">
        <v>0.0</v>
      </c>
      <c r="M95" s="274">
        <v>-636362.0</v>
      </c>
      <c r="N95" s="274">
        <v>703410.0</v>
      </c>
      <c r="O95" s="274">
        <v>0.0</v>
      </c>
      <c r="P95" s="274">
        <v>73000.0</v>
      </c>
      <c r="Q95" s="274">
        <v>73000.0</v>
      </c>
      <c r="R95" s="275">
        <v>0.0</v>
      </c>
      <c r="S95" s="274">
        <v>155.0</v>
      </c>
      <c r="T95" s="275">
        <v>1.0</v>
      </c>
      <c r="U95" s="274">
        <v>0.0</v>
      </c>
    </row>
    <row r="96">
      <c r="A96" s="37" t="s">
        <v>2196</v>
      </c>
      <c r="B96" s="279">
        <v>45474.0</v>
      </c>
      <c r="C96" s="37" t="s">
        <v>119</v>
      </c>
      <c r="D96" s="37" t="s">
        <v>331</v>
      </c>
      <c r="E96" s="274">
        <v>0.0</v>
      </c>
      <c r="F96" s="274">
        <v>22000.0</v>
      </c>
      <c r="G96" s="274">
        <v>68800.0</v>
      </c>
      <c r="H96" s="275">
        <v>3.1272727272727274</v>
      </c>
      <c r="I96" s="274">
        <v>22000.0</v>
      </c>
      <c r="J96" s="274">
        <v>68800.0</v>
      </c>
      <c r="K96" s="274">
        <v>6444.0</v>
      </c>
      <c r="L96" s="274">
        <v>-2000.0</v>
      </c>
      <c r="M96" s="274">
        <v>6444.0</v>
      </c>
      <c r="N96" s="274">
        <v>15556.0</v>
      </c>
      <c r="O96" s="274">
        <v>46000.0</v>
      </c>
      <c r="P96" s="274">
        <v>24000.0</v>
      </c>
      <c r="Q96" s="274">
        <v>-22000.0</v>
      </c>
      <c r="R96" s="275">
        <v>0.0</v>
      </c>
      <c r="S96" s="274">
        <v>31.0</v>
      </c>
      <c r="T96" s="275">
        <v>1.0</v>
      </c>
      <c r="U96" s="274">
        <v>0.0</v>
      </c>
    </row>
    <row r="97">
      <c r="A97" s="37" t="s">
        <v>2196</v>
      </c>
      <c r="B97" s="279">
        <v>45474.0</v>
      </c>
      <c r="C97" s="37" t="s">
        <v>2197</v>
      </c>
      <c r="D97" s="37" t="s">
        <v>331</v>
      </c>
      <c r="E97" s="274">
        <v>0.0</v>
      </c>
      <c r="F97" s="274">
        <v>0.0</v>
      </c>
      <c r="G97" s="274">
        <v>0.0</v>
      </c>
      <c r="H97" s="275">
        <v>0.0</v>
      </c>
      <c r="I97" s="274">
        <v>0.0</v>
      </c>
      <c r="J97" s="274">
        <v>0.0</v>
      </c>
      <c r="K97" s="274">
        <v>-19153.0</v>
      </c>
      <c r="L97" s="274">
        <v>0.0</v>
      </c>
      <c r="M97" s="274">
        <v>-151394.0</v>
      </c>
      <c r="N97" s="274">
        <v>19153.0</v>
      </c>
      <c r="O97" s="274">
        <v>0.0</v>
      </c>
      <c r="P97" s="274">
        <v>0.0</v>
      </c>
      <c r="Q97" s="274">
        <v>0.0</v>
      </c>
      <c r="R97" s="275">
        <v>0.0</v>
      </c>
      <c r="S97" s="274">
        <v>0.0</v>
      </c>
      <c r="T97" s="275">
        <v>0.0</v>
      </c>
      <c r="U97" s="274">
        <v>200015.0</v>
      </c>
    </row>
    <row r="98">
      <c r="A98" s="37" t="s">
        <v>2196</v>
      </c>
      <c r="B98" s="279">
        <v>45474.0</v>
      </c>
      <c r="C98" s="37" t="s">
        <v>2198</v>
      </c>
      <c r="D98" s="37" t="s">
        <v>351</v>
      </c>
      <c r="E98" s="274">
        <v>0.0</v>
      </c>
      <c r="F98" s="274">
        <v>0.0</v>
      </c>
      <c r="G98" s="274">
        <v>0.0</v>
      </c>
      <c r="H98" s="275">
        <v>0.0</v>
      </c>
      <c r="I98" s="274">
        <v>0.0</v>
      </c>
      <c r="J98" s="274">
        <v>0.0</v>
      </c>
      <c r="K98" s="274">
        <v>0.0</v>
      </c>
      <c r="L98" s="274">
        <v>0.0</v>
      </c>
      <c r="M98" s="274">
        <v>-271779.0</v>
      </c>
      <c r="N98" s="274">
        <v>0.0</v>
      </c>
      <c r="O98" s="274">
        <v>0.0</v>
      </c>
      <c r="P98" s="274">
        <v>0.0</v>
      </c>
      <c r="Q98" s="274">
        <v>0.0</v>
      </c>
      <c r="R98" s="275">
        <v>0.0</v>
      </c>
      <c r="S98" s="274">
        <v>0.0</v>
      </c>
      <c r="T98" s="275">
        <v>0.0</v>
      </c>
      <c r="U98" s="274">
        <v>50015.0</v>
      </c>
    </row>
    <row r="99">
      <c r="A99" s="37" t="s">
        <v>2196</v>
      </c>
      <c r="B99" s="279">
        <v>45505.0</v>
      </c>
      <c r="C99" s="37" t="s">
        <v>16</v>
      </c>
      <c r="D99" s="37" t="s">
        <v>331</v>
      </c>
      <c r="E99" s="274">
        <v>34000.0</v>
      </c>
      <c r="F99" s="274">
        <v>87000.0</v>
      </c>
      <c r="G99" s="274">
        <v>41600.0</v>
      </c>
      <c r="H99" s="275">
        <v>0.4781609195402299</v>
      </c>
      <c r="I99" s="274">
        <v>53000.0</v>
      </c>
      <c r="J99" s="274">
        <v>7600.0</v>
      </c>
      <c r="K99" s="274">
        <v>-114320.0</v>
      </c>
      <c r="L99" s="274">
        <v>0.0</v>
      </c>
      <c r="M99" s="274">
        <v>-128623.0</v>
      </c>
      <c r="N99" s="274">
        <v>167320.0</v>
      </c>
      <c r="O99" s="274">
        <v>109000.0</v>
      </c>
      <c r="P99" s="274">
        <v>68000.0</v>
      </c>
      <c r="Q99" s="274">
        <v>-41000.0</v>
      </c>
      <c r="R99" s="275">
        <v>31.0</v>
      </c>
      <c r="S99" s="274">
        <v>155.0</v>
      </c>
      <c r="T99" s="275">
        <v>0.8</v>
      </c>
      <c r="U99" s="274">
        <v>0.0</v>
      </c>
    </row>
    <row r="100">
      <c r="A100" s="37" t="s">
        <v>2196</v>
      </c>
      <c r="B100" s="279">
        <v>45505.0</v>
      </c>
      <c r="C100" s="37" t="s">
        <v>27</v>
      </c>
      <c r="D100" s="37" t="s">
        <v>351</v>
      </c>
      <c r="E100" s="274">
        <v>45000.0</v>
      </c>
      <c r="F100" s="274">
        <v>92300.0</v>
      </c>
      <c r="G100" s="274">
        <v>50400.0</v>
      </c>
      <c r="H100" s="275">
        <v>0.5460455037919827</v>
      </c>
      <c r="I100" s="274">
        <v>47300.0</v>
      </c>
      <c r="J100" s="274">
        <v>5400.0</v>
      </c>
      <c r="K100" s="274">
        <v>703.0</v>
      </c>
      <c r="L100" s="274">
        <v>-3852.0</v>
      </c>
      <c r="M100" s="274">
        <v>-207339.0</v>
      </c>
      <c r="N100" s="274">
        <v>46597.0</v>
      </c>
      <c r="O100" s="274">
        <v>182800.0</v>
      </c>
      <c r="P100" s="274">
        <v>90000.0</v>
      </c>
      <c r="Q100" s="274">
        <v>-92800.0</v>
      </c>
      <c r="R100" s="275">
        <v>0.0</v>
      </c>
      <c r="S100" s="274">
        <v>217.0</v>
      </c>
      <c r="T100" s="275">
        <v>1.0</v>
      </c>
      <c r="U100" s="274">
        <v>0.0</v>
      </c>
    </row>
    <row r="101">
      <c r="A101" s="37" t="s">
        <v>2196</v>
      </c>
      <c r="B101" s="279">
        <v>45505.0</v>
      </c>
      <c r="C101" s="37" t="s">
        <v>41</v>
      </c>
      <c r="D101" s="37" t="s">
        <v>331</v>
      </c>
      <c r="E101" s="274">
        <v>27000.0</v>
      </c>
      <c r="F101" s="274">
        <v>70900.0</v>
      </c>
      <c r="G101" s="274">
        <v>69400.0</v>
      </c>
      <c r="H101" s="275">
        <v>0.9788434414668548</v>
      </c>
      <c r="I101" s="274">
        <v>43900.0</v>
      </c>
      <c r="J101" s="274">
        <v>42400.0</v>
      </c>
      <c r="K101" s="274">
        <v>45055.0</v>
      </c>
      <c r="L101" s="274">
        <v>0.0</v>
      </c>
      <c r="M101" s="274">
        <v>-75007.0</v>
      </c>
      <c r="N101" s="274">
        <v>-1155.0</v>
      </c>
      <c r="O101" s="274">
        <v>138800.0</v>
      </c>
      <c r="P101" s="274">
        <v>54000.0</v>
      </c>
      <c r="Q101" s="274">
        <v>-84800.0</v>
      </c>
      <c r="R101" s="275">
        <v>0.0</v>
      </c>
      <c r="S101" s="274">
        <v>155.0</v>
      </c>
      <c r="T101" s="275">
        <v>1.0</v>
      </c>
      <c r="U101" s="274">
        <v>0.0</v>
      </c>
    </row>
    <row r="102">
      <c r="A102" s="37" t="s">
        <v>2196</v>
      </c>
      <c r="B102" s="279">
        <v>45505.0</v>
      </c>
      <c r="C102" s="37" t="s">
        <v>56</v>
      </c>
      <c r="D102" s="37" t="s">
        <v>331</v>
      </c>
      <c r="E102" s="274">
        <v>26000.0</v>
      </c>
      <c r="F102" s="274">
        <v>50900.0</v>
      </c>
      <c r="G102" s="274">
        <v>81088.0</v>
      </c>
      <c r="H102" s="275">
        <v>1.5930844793713164</v>
      </c>
      <c r="I102" s="274">
        <v>24900.0</v>
      </c>
      <c r="J102" s="274">
        <v>55088.0</v>
      </c>
      <c r="K102" s="274">
        <v>24527.0</v>
      </c>
      <c r="L102" s="274">
        <v>0.0</v>
      </c>
      <c r="M102" s="274">
        <v>-106983.0</v>
      </c>
      <c r="N102" s="274">
        <v>373.0</v>
      </c>
      <c r="O102" s="274">
        <v>70800.0</v>
      </c>
      <c r="P102" s="274">
        <v>52000.0</v>
      </c>
      <c r="Q102" s="274">
        <v>-18800.0</v>
      </c>
      <c r="R102" s="275">
        <v>21.0</v>
      </c>
      <c r="S102" s="274">
        <v>124.0</v>
      </c>
      <c r="T102" s="275">
        <v>0.8306451612903226</v>
      </c>
      <c r="U102" s="274">
        <v>0.0</v>
      </c>
    </row>
    <row r="103">
      <c r="A103" s="37" t="s">
        <v>2196</v>
      </c>
      <c r="B103" s="279">
        <v>45505.0</v>
      </c>
      <c r="C103" s="37" t="s">
        <v>69</v>
      </c>
      <c r="D103" s="37" t="s">
        <v>331</v>
      </c>
      <c r="E103" s="274">
        <v>25600.0</v>
      </c>
      <c r="F103" s="274">
        <v>85900.0</v>
      </c>
      <c r="G103" s="274">
        <v>90610.0</v>
      </c>
      <c r="H103" s="275">
        <v>1.0548311990686845</v>
      </c>
      <c r="I103" s="274">
        <v>60300.0</v>
      </c>
      <c r="J103" s="274">
        <v>65010.0</v>
      </c>
      <c r="K103" s="274">
        <v>64845.0</v>
      </c>
      <c r="L103" s="274">
        <v>0.0</v>
      </c>
      <c r="M103" s="274">
        <v>-215554.0</v>
      </c>
      <c r="N103" s="274">
        <v>-4545.0</v>
      </c>
      <c r="O103" s="274">
        <v>175800.0</v>
      </c>
      <c r="P103" s="274">
        <v>51200.0</v>
      </c>
      <c r="Q103" s="274">
        <v>-124600.0</v>
      </c>
      <c r="R103" s="275">
        <v>20.0</v>
      </c>
      <c r="S103" s="274">
        <v>155.0</v>
      </c>
      <c r="T103" s="275">
        <v>0.8709677419354839</v>
      </c>
      <c r="U103" s="274">
        <v>0.0</v>
      </c>
    </row>
    <row r="104">
      <c r="A104" s="37" t="s">
        <v>2196</v>
      </c>
      <c r="B104" s="279">
        <v>45505.0</v>
      </c>
      <c r="C104" s="37" t="s">
        <v>82</v>
      </c>
      <c r="D104" s="37" t="s">
        <v>331</v>
      </c>
      <c r="E104" s="274">
        <v>38800.0</v>
      </c>
      <c r="F104" s="274">
        <v>106700.0</v>
      </c>
      <c r="G104" s="274">
        <v>89700.0</v>
      </c>
      <c r="H104" s="275">
        <v>0.8406747891283973</v>
      </c>
      <c r="I104" s="274">
        <v>67900.0</v>
      </c>
      <c r="J104" s="274">
        <v>50900.0</v>
      </c>
      <c r="K104" s="274">
        <v>44469.0</v>
      </c>
      <c r="L104" s="274">
        <v>-1050.0</v>
      </c>
      <c r="M104" s="274">
        <v>-69302.0</v>
      </c>
      <c r="N104" s="274">
        <v>23431.0</v>
      </c>
      <c r="O104" s="274">
        <v>209400.0</v>
      </c>
      <c r="P104" s="274">
        <v>77600.0</v>
      </c>
      <c r="Q104" s="274">
        <v>-131800.0</v>
      </c>
      <c r="R104" s="275">
        <v>0.0</v>
      </c>
      <c r="S104" s="274">
        <v>217.0</v>
      </c>
      <c r="T104" s="275">
        <v>1.0</v>
      </c>
      <c r="U104" s="274">
        <v>0.0</v>
      </c>
    </row>
    <row r="105">
      <c r="A105" s="37" t="s">
        <v>2196</v>
      </c>
      <c r="B105" s="278">
        <v>45505.0</v>
      </c>
      <c r="C105" s="37" t="s">
        <v>101</v>
      </c>
      <c r="D105" s="37" t="s">
        <v>351</v>
      </c>
      <c r="E105" s="274">
        <v>28800.0</v>
      </c>
      <c r="F105" s="274">
        <v>58500.0</v>
      </c>
      <c r="G105" s="274">
        <v>58800.0</v>
      </c>
      <c r="H105" s="275">
        <v>1.005128205128205</v>
      </c>
      <c r="I105" s="274">
        <v>29700.0</v>
      </c>
      <c r="J105" s="274">
        <v>30000.0</v>
      </c>
      <c r="K105" s="274">
        <v>29970.0</v>
      </c>
      <c r="L105" s="274">
        <v>0.0</v>
      </c>
      <c r="M105" s="274">
        <v>221155.0</v>
      </c>
      <c r="N105" s="274">
        <v>-270.0</v>
      </c>
      <c r="O105" s="274">
        <v>104600.0</v>
      </c>
      <c r="P105" s="274">
        <v>57600.0</v>
      </c>
      <c r="Q105" s="274">
        <v>-47000.0</v>
      </c>
      <c r="R105" s="275">
        <v>0.0</v>
      </c>
      <c r="S105" s="274">
        <v>124.0</v>
      </c>
      <c r="T105" s="275">
        <v>1.0</v>
      </c>
      <c r="U105" s="274">
        <v>0.0</v>
      </c>
    </row>
    <row r="106">
      <c r="A106" s="37" t="s">
        <v>2196</v>
      </c>
      <c r="B106" s="278">
        <v>45505.0</v>
      </c>
      <c r="C106" s="37" t="s">
        <v>110</v>
      </c>
      <c r="D106" s="37" t="s">
        <v>331</v>
      </c>
      <c r="E106" s="274">
        <v>36500.0</v>
      </c>
      <c r="F106" s="274">
        <v>67600.0</v>
      </c>
      <c r="G106" s="274">
        <v>218690.0</v>
      </c>
      <c r="H106" s="275">
        <v>3.235059171597633</v>
      </c>
      <c r="I106" s="274">
        <v>31100.0</v>
      </c>
      <c r="J106" s="274">
        <v>182190.0</v>
      </c>
      <c r="K106" s="274">
        <v>147185.0</v>
      </c>
      <c r="L106" s="274">
        <v>0.0</v>
      </c>
      <c r="M106" s="274">
        <v>-489177.0</v>
      </c>
      <c r="N106" s="274">
        <v>-116085.0</v>
      </c>
      <c r="O106" s="274">
        <v>28600.0</v>
      </c>
      <c r="P106" s="274">
        <v>73000.0</v>
      </c>
      <c r="Q106" s="274">
        <v>44400.0</v>
      </c>
      <c r="R106" s="275">
        <v>147.0</v>
      </c>
      <c r="S106" s="274">
        <v>155.0</v>
      </c>
      <c r="T106" s="275">
        <v>0.05161290322580647</v>
      </c>
      <c r="U106" s="274">
        <v>0.0</v>
      </c>
    </row>
    <row r="107">
      <c r="A107" s="37" t="s">
        <v>2196</v>
      </c>
      <c r="B107" s="278">
        <v>45505.0</v>
      </c>
      <c r="C107" s="37" t="s">
        <v>119</v>
      </c>
      <c r="D107" s="37" t="s">
        <v>331</v>
      </c>
      <c r="E107" s="274">
        <v>12000.0</v>
      </c>
      <c r="F107" s="274">
        <v>22000.0</v>
      </c>
      <c r="G107" s="274">
        <v>0.0</v>
      </c>
      <c r="H107" s="275">
        <v>0.0</v>
      </c>
      <c r="I107" s="274">
        <v>10000.0</v>
      </c>
      <c r="J107" s="274">
        <v>-12000.0</v>
      </c>
      <c r="K107" s="274">
        <v>-6700.0</v>
      </c>
      <c r="L107" s="274">
        <v>0.0</v>
      </c>
      <c r="M107" s="274">
        <v>-256.0</v>
      </c>
      <c r="N107" s="274">
        <v>16700.0</v>
      </c>
      <c r="O107" s="274">
        <v>46000.0</v>
      </c>
      <c r="P107" s="274">
        <v>24000.0</v>
      </c>
      <c r="Q107" s="274">
        <v>-22000.0</v>
      </c>
      <c r="R107" s="275">
        <v>0.0</v>
      </c>
      <c r="S107" s="274">
        <v>31.0</v>
      </c>
      <c r="T107" s="275">
        <v>1.0</v>
      </c>
      <c r="U107" s="274">
        <v>0.0</v>
      </c>
    </row>
    <row r="108">
      <c r="A108" s="37" t="s">
        <v>2196</v>
      </c>
      <c r="B108" s="279">
        <v>45505.0</v>
      </c>
      <c r="C108" s="37" t="s">
        <v>122</v>
      </c>
      <c r="D108" s="37" t="s">
        <v>331</v>
      </c>
      <c r="E108" s="274">
        <v>0.0</v>
      </c>
      <c r="F108" s="274">
        <v>58400.0</v>
      </c>
      <c r="G108" s="274">
        <v>0.0</v>
      </c>
      <c r="H108" s="275">
        <v>0.0</v>
      </c>
      <c r="I108" s="274">
        <v>58400.0</v>
      </c>
      <c r="J108" s="274">
        <v>0.0</v>
      </c>
      <c r="K108" s="274">
        <v>-236642.0</v>
      </c>
      <c r="L108" s="274">
        <v>0.0</v>
      </c>
      <c r="M108" s="274">
        <v>-236642.0</v>
      </c>
      <c r="N108" s="274">
        <v>295042.0</v>
      </c>
      <c r="O108" s="274">
        <v>0.0</v>
      </c>
      <c r="P108" s="274">
        <v>0.0</v>
      </c>
      <c r="Q108" s="274">
        <v>0.0</v>
      </c>
      <c r="R108" s="275">
        <v>0.0</v>
      </c>
      <c r="S108" s="274">
        <v>124.0</v>
      </c>
      <c r="T108" s="275">
        <v>1.0</v>
      </c>
      <c r="U108" s="274">
        <v>0.0</v>
      </c>
    </row>
    <row r="109">
      <c r="A109" s="37" t="s">
        <v>2196</v>
      </c>
      <c r="B109" s="279">
        <v>45505.0</v>
      </c>
      <c r="C109" s="37" t="s">
        <v>2197</v>
      </c>
      <c r="D109" s="37" t="s">
        <v>331</v>
      </c>
      <c r="E109" s="274">
        <v>0.0</v>
      </c>
      <c r="F109" s="274">
        <v>0.0</v>
      </c>
      <c r="G109" s="274">
        <v>13500.0</v>
      </c>
      <c r="H109" s="275">
        <v>0.0</v>
      </c>
      <c r="I109" s="274">
        <v>0.0</v>
      </c>
      <c r="J109" s="274">
        <v>13500.0</v>
      </c>
      <c r="K109" s="274">
        <v>-6465.0</v>
      </c>
      <c r="L109" s="274">
        <v>0.0</v>
      </c>
      <c r="M109" s="274">
        <v>-157859.0</v>
      </c>
      <c r="N109" s="274">
        <v>6465.0</v>
      </c>
      <c r="O109" s="274">
        <v>0.0</v>
      </c>
      <c r="P109" s="274">
        <v>0.0</v>
      </c>
      <c r="Q109" s="274">
        <v>0.0</v>
      </c>
      <c r="R109" s="275">
        <v>0.0</v>
      </c>
      <c r="S109" s="274">
        <v>0.0</v>
      </c>
      <c r="T109" s="275">
        <v>0.0</v>
      </c>
      <c r="U109" s="274">
        <v>200015.0</v>
      </c>
    </row>
    <row r="110">
      <c r="A110" s="37" t="s">
        <v>2196</v>
      </c>
      <c r="B110" s="279">
        <v>45505.0</v>
      </c>
      <c r="C110" s="37" t="s">
        <v>2198</v>
      </c>
      <c r="D110" s="37" t="s">
        <v>351</v>
      </c>
      <c r="E110" s="274">
        <v>0.0</v>
      </c>
      <c r="F110" s="274">
        <v>0.0</v>
      </c>
      <c r="G110" s="274">
        <v>0.0</v>
      </c>
      <c r="H110" s="275">
        <v>0.0</v>
      </c>
      <c r="I110" s="274">
        <v>0.0</v>
      </c>
      <c r="J110" s="274">
        <v>0.0</v>
      </c>
      <c r="K110" s="274">
        <v>0.0</v>
      </c>
      <c r="L110" s="274">
        <v>0.0</v>
      </c>
      <c r="M110" s="274">
        <v>-271779.0</v>
      </c>
      <c r="N110" s="274">
        <v>0.0</v>
      </c>
      <c r="O110" s="274">
        <v>0.0</v>
      </c>
      <c r="P110" s="274">
        <v>0.0</v>
      </c>
      <c r="Q110" s="274">
        <v>0.0</v>
      </c>
      <c r="R110" s="275">
        <v>0.0</v>
      </c>
      <c r="S110" s="274">
        <v>0.0</v>
      </c>
      <c r="T110" s="275">
        <v>0.0</v>
      </c>
      <c r="U110" s="274">
        <v>50015.0</v>
      </c>
    </row>
    <row r="111">
      <c r="A111" s="37" t="s">
        <v>2196</v>
      </c>
      <c r="B111" s="279">
        <v>45536.0</v>
      </c>
      <c r="C111" s="37" t="s">
        <v>16</v>
      </c>
      <c r="D111" s="37" t="s">
        <v>331</v>
      </c>
      <c r="E111" s="274">
        <v>34000.0</v>
      </c>
      <c r="F111" s="274">
        <v>87000.0</v>
      </c>
      <c r="G111" s="274">
        <v>127100.0</v>
      </c>
      <c r="H111" s="275">
        <v>1.4609195402298851</v>
      </c>
      <c r="I111" s="274">
        <v>53000.0</v>
      </c>
      <c r="J111" s="274">
        <v>93100.0</v>
      </c>
      <c r="K111" s="274">
        <v>93070.0</v>
      </c>
      <c r="L111" s="274">
        <v>0.0</v>
      </c>
      <c r="M111" s="274">
        <v>-35553.0</v>
      </c>
      <c r="N111" s="274">
        <v>-40070.0</v>
      </c>
      <c r="O111" s="274">
        <v>109000.0</v>
      </c>
      <c r="P111" s="274">
        <v>68000.0</v>
      </c>
      <c r="Q111" s="274">
        <v>-41000.0</v>
      </c>
      <c r="R111" s="275">
        <v>30.0</v>
      </c>
      <c r="S111" s="274">
        <v>150.0</v>
      </c>
      <c r="T111" s="275">
        <v>0.8</v>
      </c>
      <c r="U111" s="274">
        <v>0.0</v>
      </c>
    </row>
    <row r="112">
      <c r="A112" s="37" t="s">
        <v>2196</v>
      </c>
      <c r="B112" s="279">
        <v>45536.0</v>
      </c>
      <c r="C112" s="37" t="s">
        <v>27</v>
      </c>
      <c r="D112" s="37" t="s">
        <v>351</v>
      </c>
      <c r="E112" s="274">
        <v>45000.0</v>
      </c>
      <c r="F112" s="274">
        <v>92300.0</v>
      </c>
      <c r="G112" s="274">
        <v>80000.0</v>
      </c>
      <c r="H112" s="275">
        <v>0.866738894907909</v>
      </c>
      <c r="I112" s="274">
        <v>47300.0</v>
      </c>
      <c r="J112" s="274">
        <v>35000.0</v>
      </c>
      <c r="K112" s="274">
        <v>33252.0</v>
      </c>
      <c r="L112" s="274">
        <v>-1733.0</v>
      </c>
      <c r="M112" s="274">
        <v>-174087.0</v>
      </c>
      <c r="N112" s="274">
        <v>14048.0</v>
      </c>
      <c r="O112" s="274">
        <v>182800.0</v>
      </c>
      <c r="P112" s="274">
        <v>90000.0</v>
      </c>
      <c r="Q112" s="274">
        <v>-92800.0</v>
      </c>
      <c r="R112" s="275">
        <v>0.0</v>
      </c>
      <c r="S112" s="274">
        <v>210.0</v>
      </c>
      <c r="T112" s="275">
        <v>1.0</v>
      </c>
      <c r="U112" s="274">
        <v>0.0</v>
      </c>
    </row>
    <row r="113">
      <c r="A113" s="37" t="s">
        <v>2196</v>
      </c>
      <c r="B113" s="279">
        <v>45536.0</v>
      </c>
      <c r="C113" s="37" t="s">
        <v>41</v>
      </c>
      <c r="D113" s="37" t="s">
        <v>331</v>
      </c>
      <c r="E113" s="274">
        <v>27000.0</v>
      </c>
      <c r="F113" s="274">
        <v>70900.0</v>
      </c>
      <c r="G113" s="274">
        <v>69400.0</v>
      </c>
      <c r="H113" s="275">
        <v>0.9788434414668548</v>
      </c>
      <c r="I113" s="274">
        <v>43900.0</v>
      </c>
      <c r="J113" s="274">
        <v>42400.0</v>
      </c>
      <c r="K113" s="274">
        <v>42370.0</v>
      </c>
      <c r="L113" s="274">
        <v>0.0</v>
      </c>
      <c r="M113" s="274">
        <v>-32637.0</v>
      </c>
      <c r="N113" s="274">
        <v>1530.0</v>
      </c>
      <c r="O113" s="274">
        <v>138800.0</v>
      </c>
      <c r="P113" s="274">
        <v>54000.0</v>
      </c>
      <c r="Q113" s="274">
        <v>-84800.0</v>
      </c>
      <c r="R113" s="275">
        <v>0.0</v>
      </c>
      <c r="S113" s="274">
        <v>150.0</v>
      </c>
      <c r="T113" s="275">
        <v>1.0</v>
      </c>
      <c r="U113" s="274">
        <v>0.0</v>
      </c>
    </row>
    <row r="114">
      <c r="A114" s="37" t="s">
        <v>2196</v>
      </c>
      <c r="B114" s="279">
        <v>45536.0</v>
      </c>
      <c r="C114" s="37" t="s">
        <v>56</v>
      </c>
      <c r="D114" s="37" t="s">
        <v>331</v>
      </c>
      <c r="E114" s="274">
        <v>26000.0</v>
      </c>
      <c r="F114" s="274">
        <v>50900.0</v>
      </c>
      <c r="G114" s="274">
        <v>43512.0</v>
      </c>
      <c r="H114" s="275">
        <v>0.854852652259332</v>
      </c>
      <c r="I114" s="274">
        <v>24900.0</v>
      </c>
      <c r="J114" s="274">
        <v>17512.0</v>
      </c>
      <c r="K114" s="274">
        <v>16308.0</v>
      </c>
      <c r="L114" s="274">
        <v>0.0</v>
      </c>
      <c r="M114" s="274">
        <v>-90675.0</v>
      </c>
      <c r="N114" s="274">
        <v>8592.0</v>
      </c>
      <c r="O114" s="274">
        <v>102400.0</v>
      </c>
      <c r="P114" s="274">
        <v>52000.0</v>
      </c>
      <c r="Q114" s="274">
        <v>-50400.0</v>
      </c>
      <c r="R114" s="275">
        <v>0.0</v>
      </c>
      <c r="S114" s="274">
        <v>120.0</v>
      </c>
      <c r="T114" s="275">
        <v>1.0</v>
      </c>
      <c r="U114" s="274">
        <v>0.0</v>
      </c>
    </row>
    <row r="115">
      <c r="A115" s="37" t="s">
        <v>2196</v>
      </c>
      <c r="B115" s="279">
        <v>45536.0</v>
      </c>
      <c r="C115" s="37" t="s">
        <v>69</v>
      </c>
      <c r="D115" s="37" t="s">
        <v>331</v>
      </c>
      <c r="E115" s="274">
        <v>25600.0</v>
      </c>
      <c r="F115" s="274">
        <v>85900.0</v>
      </c>
      <c r="G115" s="274">
        <v>87900.0</v>
      </c>
      <c r="H115" s="275">
        <v>1.0232828870779977</v>
      </c>
      <c r="I115" s="274">
        <v>60300.0</v>
      </c>
      <c r="J115" s="274">
        <v>62300.0</v>
      </c>
      <c r="K115" s="274">
        <v>62140.0</v>
      </c>
      <c r="L115" s="274">
        <v>0.0</v>
      </c>
      <c r="M115" s="274">
        <v>-153414.0</v>
      </c>
      <c r="N115" s="274">
        <v>-1840.0</v>
      </c>
      <c r="O115" s="274">
        <v>175800.0</v>
      </c>
      <c r="P115" s="274">
        <v>51200.0</v>
      </c>
      <c r="Q115" s="274">
        <v>-124600.0</v>
      </c>
      <c r="R115" s="275">
        <v>0.0</v>
      </c>
      <c r="S115" s="274">
        <v>150.0</v>
      </c>
      <c r="T115" s="275">
        <v>1.0</v>
      </c>
      <c r="U115" s="274">
        <v>0.0</v>
      </c>
    </row>
    <row r="116">
      <c r="A116" s="37" t="s">
        <v>2196</v>
      </c>
      <c r="B116" s="279">
        <v>45536.0</v>
      </c>
      <c r="C116" s="37" t="s">
        <v>82</v>
      </c>
      <c r="D116" s="37" t="s">
        <v>331</v>
      </c>
      <c r="E116" s="274">
        <v>38800.0</v>
      </c>
      <c r="F116" s="274">
        <v>106700.0</v>
      </c>
      <c r="G116" s="274">
        <v>119700.0</v>
      </c>
      <c r="H116" s="275">
        <v>1.1218369259606373</v>
      </c>
      <c r="I116" s="274">
        <v>67900.0</v>
      </c>
      <c r="J116" s="274">
        <v>80900.0</v>
      </c>
      <c r="K116" s="274">
        <v>78920.0</v>
      </c>
      <c r="L116" s="274">
        <v>-700.0</v>
      </c>
      <c r="M116" s="274">
        <v>9618.0</v>
      </c>
      <c r="N116" s="274">
        <v>-11020.0</v>
      </c>
      <c r="O116" s="274">
        <v>209400.0</v>
      </c>
      <c r="P116" s="274">
        <v>77600.0</v>
      </c>
      <c r="Q116" s="274">
        <v>-131800.0</v>
      </c>
      <c r="R116" s="275">
        <v>0.0</v>
      </c>
      <c r="S116" s="274">
        <v>210.0</v>
      </c>
      <c r="T116" s="275">
        <v>1.0</v>
      </c>
      <c r="U116" s="274">
        <v>0.0</v>
      </c>
    </row>
    <row r="117">
      <c r="A117" s="37" t="s">
        <v>2196</v>
      </c>
      <c r="B117" s="278">
        <v>45536.0</v>
      </c>
      <c r="C117" s="37" t="s">
        <v>101</v>
      </c>
      <c r="D117" s="37" t="s">
        <v>351</v>
      </c>
      <c r="E117" s="274">
        <v>28800.0</v>
      </c>
      <c r="F117" s="274">
        <v>58500.0</v>
      </c>
      <c r="G117" s="274">
        <v>26600.0</v>
      </c>
      <c r="H117" s="275">
        <v>0.4547008547008547</v>
      </c>
      <c r="I117" s="274">
        <v>29700.0</v>
      </c>
      <c r="J117" s="274">
        <v>-2200.0</v>
      </c>
      <c r="K117" s="274">
        <v>-2230.0</v>
      </c>
      <c r="L117" s="274">
        <v>0.0</v>
      </c>
      <c r="M117" s="274">
        <v>218925.0</v>
      </c>
      <c r="N117" s="274">
        <v>31930.0</v>
      </c>
      <c r="O117" s="274">
        <v>104600.0</v>
      </c>
      <c r="P117" s="274">
        <v>57600.0</v>
      </c>
      <c r="Q117" s="274">
        <v>-47000.0</v>
      </c>
      <c r="R117" s="275">
        <v>0.0</v>
      </c>
      <c r="S117" s="274">
        <v>120.0</v>
      </c>
      <c r="T117" s="275">
        <v>1.0</v>
      </c>
      <c r="U117" s="274">
        <v>0.0</v>
      </c>
    </row>
    <row r="118">
      <c r="A118" s="37" t="s">
        <v>2196</v>
      </c>
      <c r="B118" s="278">
        <v>45536.0</v>
      </c>
      <c r="C118" s="37" t="s">
        <v>110</v>
      </c>
      <c r="D118" s="37" t="s">
        <v>331</v>
      </c>
      <c r="E118" s="274">
        <v>36500.0</v>
      </c>
      <c r="F118" s="274">
        <v>67600.0</v>
      </c>
      <c r="G118" s="274">
        <v>77100.0</v>
      </c>
      <c r="H118" s="275">
        <v>1.1405325443786982</v>
      </c>
      <c r="I118" s="274">
        <v>31100.0</v>
      </c>
      <c r="J118" s="274">
        <v>40600.0</v>
      </c>
      <c r="K118" s="274">
        <v>28351.0</v>
      </c>
      <c r="L118" s="274">
        <v>0.0</v>
      </c>
      <c r="M118" s="274">
        <v>-460826.0</v>
      </c>
      <c r="N118" s="274">
        <v>2749.0</v>
      </c>
      <c r="O118" s="274">
        <v>136400.0</v>
      </c>
      <c r="P118" s="274">
        <v>73000.0</v>
      </c>
      <c r="Q118" s="274">
        <v>-63400.0</v>
      </c>
      <c r="R118" s="275">
        <v>14.0</v>
      </c>
      <c r="S118" s="274">
        <v>150.0</v>
      </c>
      <c r="T118" s="275">
        <v>0.9066666666666666</v>
      </c>
      <c r="U118" s="274">
        <v>0.0</v>
      </c>
    </row>
    <row r="119">
      <c r="A119" s="37" t="s">
        <v>2196</v>
      </c>
      <c r="B119" s="278">
        <v>45536.0</v>
      </c>
      <c r="C119" s="37" t="s">
        <v>119</v>
      </c>
      <c r="D119" s="37" t="s">
        <v>331</v>
      </c>
      <c r="E119" s="274">
        <v>12000.0</v>
      </c>
      <c r="F119" s="274">
        <v>22000.0</v>
      </c>
      <c r="G119" s="274">
        <v>23000.0</v>
      </c>
      <c r="H119" s="275">
        <v>1.0454545454545454</v>
      </c>
      <c r="I119" s="274">
        <v>10000.0</v>
      </c>
      <c r="J119" s="274">
        <v>11000.0</v>
      </c>
      <c r="K119" s="274">
        <v>-24639.0</v>
      </c>
      <c r="L119" s="274">
        <v>0.0</v>
      </c>
      <c r="M119" s="274">
        <v>-24895.0</v>
      </c>
      <c r="N119" s="274">
        <v>34639.0</v>
      </c>
      <c r="O119" s="274">
        <v>46000.0</v>
      </c>
      <c r="P119" s="274">
        <v>24000.0</v>
      </c>
      <c r="Q119" s="274">
        <v>-22000.0</v>
      </c>
      <c r="R119" s="275">
        <v>0.0</v>
      </c>
      <c r="S119" s="274">
        <v>30.0</v>
      </c>
      <c r="T119" s="275">
        <v>1.0</v>
      </c>
      <c r="U119" s="274">
        <v>0.0</v>
      </c>
    </row>
    <row r="120">
      <c r="A120" s="37" t="s">
        <v>2196</v>
      </c>
      <c r="B120" s="279">
        <v>45536.0</v>
      </c>
      <c r="C120" s="37" t="s">
        <v>122</v>
      </c>
      <c r="D120" s="37" t="s">
        <v>331</v>
      </c>
      <c r="E120" s="274">
        <v>35500.0</v>
      </c>
      <c r="F120" s="274">
        <v>58400.0</v>
      </c>
      <c r="G120" s="274">
        <v>177794.0</v>
      </c>
      <c r="H120" s="275">
        <v>3.044417808219178</v>
      </c>
      <c r="I120" s="274">
        <v>22900.0</v>
      </c>
      <c r="J120" s="274">
        <v>142294.0</v>
      </c>
      <c r="K120" s="274">
        <v>-23668.0</v>
      </c>
      <c r="L120" s="274">
        <v>0.0</v>
      </c>
      <c r="M120" s="274">
        <v>-260310.0</v>
      </c>
      <c r="N120" s="274">
        <v>46568.0</v>
      </c>
      <c r="O120" s="274">
        <v>0.0</v>
      </c>
      <c r="P120" s="274">
        <v>71000.0</v>
      </c>
      <c r="Q120" s="274">
        <v>71000.0</v>
      </c>
      <c r="R120" s="275">
        <v>120.0</v>
      </c>
      <c r="S120" s="274">
        <v>120.0</v>
      </c>
      <c r="T120" s="275">
        <v>0.0</v>
      </c>
      <c r="U120" s="274">
        <v>0.0</v>
      </c>
    </row>
    <row r="121">
      <c r="A121" s="37" t="s">
        <v>2196</v>
      </c>
      <c r="B121" s="279">
        <v>45536.0</v>
      </c>
      <c r="C121" s="37" t="s">
        <v>135</v>
      </c>
      <c r="D121" s="37" t="s">
        <v>331</v>
      </c>
      <c r="E121" s="274">
        <v>0.0</v>
      </c>
      <c r="F121" s="274">
        <v>66000.0</v>
      </c>
      <c r="G121" s="274">
        <v>500.0</v>
      </c>
      <c r="H121" s="275">
        <v>0.007575757575757576</v>
      </c>
      <c r="I121" s="274">
        <v>66000.0</v>
      </c>
      <c r="J121" s="274">
        <v>500.0</v>
      </c>
      <c r="K121" s="274">
        <v>-441859.0</v>
      </c>
      <c r="L121" s="274">
        <v>500.0</v>
      </c>
      <c r="M121" s="274">
        <v>-441859.0</v>
      </c>
      <c r="N121" s="274">
        <v>507859.0</v>
      </c>
      <c r="O121" s="274">
        <v>0.0</v>
      </c>
      <c r="P121" s="274">
        <v>50000.0</v>
      </c>
      <c r="Q121" s="274">
        <v>50000.0</v>
      </c>
      <c r="R121" s="275">
        <v>0.0</v>
      </c>
      <c r="S121" s="274">
        <v>150.0</v>
      </c>
      <c r="T121" s="275">
        <v>1.0</v>
      </c>
      <c r="U121" s="274">
        <v>0.0</v>
      </c>
    </row>
    <row r="122">
      <c r="A122" s="37" t="s">
        <v>2196</v>
      </c>
      <c r="B122" s="279">
        <v>45536.0</v>
      </c>
      <c r="C122" s="37" t="s">
        <v>150</v>
      </c>
      <c r="D122" s="37" t="s">
        <v>331</v>
      </c>
      <c r="E122" s="274">
        <v>0.0</v>
      </c>
      <c r="F122" s="274">
        <v>54900.0</v>
      </c>
      <c r="G122" s="274">
        <v>0.0</v>
      </c>
      <c r="H122" s="275">
        <v>0.0</v>
      </c>
      <c r="I122" s="274">
        <v>54900.0</v>
      </c>
      <c r="J122" s="274">
        <v>0.0</v>
      </c>
      <c r="K122" s="274">
        <v>-75750.0</v>
      </c>
      <c r="L122" s="274">
        <v>0.0</v>
      </c>
      <c r="M122" s="274">
        <v>-75750.0</v>
      </c>
      <c r="N122" s="274">
        <v>130650.0</v>
      </c>
      <c r="O122" s="274">
        <v>0.0</v>
      </c>
      <c r="P122" s="274">
        <v>0.0</v>
      </c>
      <c r="Q122" s="274">
        <v>0.0</v>
      </c>
      <c r="R122" s="275">
        <v>0.0</v>
      </c>
      <c r="S122" s="274">
        <v>120.0</v>
      </c>
      <c r="T122" s="275">
        <v>1.0</v>
      </c>
      <c r="U122" s="274">
        <v>0.0</v>
      </c>
    </row>
    <row r="123">
      <c r="A123" s="37" t="s">
        <v>2196</v>
      </c>
      <c r="B123" s="279">
        <v>45536.0</v>
      </c>
      <c r="C123" s="37" t="s">
        <v>163</v>
      </c>
      <c r="D123" s="37" t="s">
        <v>351</v>
      </c>
      <c r="E123" s="274">
        <v>0.0</v>
      </c>
      <c r="F123" s="274">
        <v>80000.0</v>
      </c>
      <c r="G123" s="274">
        <v>0.0</v>
      </c>
      <c r="H123" s="275">
        <v>0.0</v>
      </c>
      <c r="I123" s="274">
        <v>80000.0</v>
      </c>
      <c r="J123" s="274">
        <v>0.0</v>
      </c>
      <c r="K123" s="274">
        <v>-145025.0</v>
      </c>
      <c r="L123" s="274">
        <v>0.0</v>
      </c>
      <c r="M123" s="274">
        <v>-145025.0</v>
      </c>
      <c r="N123" s="274">
        <v>225025.0</v>
      </c>
      <c r="O123" s="274">
        <v>0.0</v>
      </c>
      <c r="P123" s="274">
        <v>0.0</v>
      </c>
      <c r="Q123" s="274">
        <v>0.0</v>
      </c>
      <c r="R123" s="275">
        <v>0.0</v>
      </c>
      <c r="S123" s="274">
        <v>150.0</v>
      </c>
      <c r="T123" s="275">
        <v>1.0</v>
      </c>
      <c r="U123" s="274">
        <v>0.0</v>
      </c>
    </row>
    <row r="124">
      <c r="A124" s="37" t="s">
        <v>2196</v>
      </c>
      <c r="B124" s="279">
        <v>45536.0</v>
      </c>
      <c r="C124" s="37" t="s">
        <v>178</v>
      </c>
      <c r="D124" s="37" t="s">
        <v>331</v>
      </c>
      <c r="E124" s="274">
        <v>0.0</v>
      </c>
      <c r="F124" s="274">
        <v>83000.0</v>
      </c>
      <c r="G124" s="274">
        <v>0.0</v>
      </c>
      <c r="H124" s="275">
        <v>0.0</v>
      </c>
      <c r="I124" s="274">
        <v>83000.0</v>
      </c>
      <c r="J124" s="274">
        <v>0.0</v>
      </c>
      <c r="K124" s="274">
        <v>-18015.0</v>
      </c>
      <c r="L124" s="274">
        <v>0.0</v>
      </c>
      <c r="M124" s="274">
        <v>-18015.0</v>
      </c>
      <c r="N124" s="274">
        <v>101015.0</v>
      </c>
      <c r="O124" s="274">
        <v>0.0</v>
      </c>
      <c r="P124" s="274">
        <v>0.0</v>
      </c>
      <c r="Q124" s="274">
        <v>0.0</v>
      </c>
      <c r="R124" s="275">
        <v>0.0</v>
      </c>
      <c r="S124" s="274">
        <v>150.0</v>
      </c>
      <c r="T124" s="275">
        <v>1.0</v>
      </c>
      <c r="U124" s="274">
        <v>0.0</v>
      </c>
    </row>
    <row r="125">
      <c r="A125" s="37" t="s">
        <v>2196</v>
      </c>
      <c r="B125" s="279">
        <v>45536.0</v>
      </c>
      <c r="C125" s="37" t="s">
        <v>2197</v>
      </c>
      <c r="D125" s="37" t="s">
        <v>331</v>
      </c>
      <c r="E125" s="274">
        <v>0.0</v>
      </c>
      <c r="F125" s="274">
        <v>0.0</v>
      </c>
      <c r="G125" s="274">
        <v>43902.0</v>
      </c>
      <c r="H125" s="275">
        <v>0.0</v>
      </c>
      <c r="I125" s="274">
        <v>0.0</v>
      </c>
      <c r="J125" s="274">
        <v>43902.0</v>
      </c>
      <c r="K125" s="274">
        <v>40403.0</v>
      </c>
      <c r="L125" s="274">
        <v>0.0</v>
      </c>
      <c r="M125" s="274">
        <v>-117456.0</v>
      </c>
      <c r="N125" s="274">
        <v>-40403.0</v>
      </c>
      <c r="O125" s="274">
        <v>0.0</v>
      </c>
      <c r="P125" s="274">
        <v>0.0</v>
      </c>
      <c r="Q125" s="274">
        <v>0.0</v>
      </c>
      <c r="R125" s="275">
        <v>0.0</v>
      </c>
      <c r="S125" s="274">
        <v>0.0</v>
      </c>
      <c r="T125" s="275">
        <v>0.0</v>
      </c>
      <c r="U125" s="274">
        <v>200015.0</v>
      </c>
    </row>
    <row r="126">
      <c r="A126" s="37" t="s">
        <v>2196</v>
      </c>
      <c r="B126" s="279">
        <v>45536.0</v>
      </c>
      <c r="C126" s="37" t="s">
        <v>2198</v>
      </c>
      <c r="D126" s="37" t="s">
        <v>351</v>
      </c>
      <c r="E126" s="274">
        <v>0.0</v>
      </c>
      <c r="F126" s="274">
        <v>0.0</v>
      </c>
      <c r="G126" s="274">
        <v>0.0</v>
      </c>
      <c r="H126" s="275">
        <v>0.0</v>
      </c>
      <c r="I126" s="274">
        <v>0.0</v>
      </c>
      <c r="J126" s="274">
        <v>0.0</v>
      </c>
      <c r="K126" s="274">
        <v>0.0</v>
      </c>
      <c r="L126" s="274">
        <v>0.0</v>
      </c>
      <c r="M126" s="274">
        <v>-271779.0</v>
      </c>
      <c r="N126" s="274">
        <v>0.0</v>
      </c>
      <c r="O126" s="274">
        <v>0.0</v>
      </c>
      <c r="P126" s="274">
        <v>0.0</v>
      </c>
      <c r="Q126" s="274">
        <v>0.0</v>
      </c>
      <c r="R126" s="275">
        <v>0.0</v>
      </c>
      <c r="S126" s="274">
        <v>0.0</v>
      </c>
      <c r="T126" s="275">
        <v>0.0</v>
      </c>
      <c r="U126" s="274">
        <v>258630.0</v>
      </c>
    </row>
    <row r="127">
      <c r="A127" s="37" t="s">
        <v>2196</v>
      </c>
      <c r="B127" s="279">
        <v>45566.0</v>
      </c>
      <c r="C127" s="37" t="s">
        <v>16</v>
      </c>
      <c r="D127" s="37" t="s">
        <v>331</v>
      </c>
      <c r="E127" s="274">
        <v>34000.0</v>
      </c>
      <c r="F127" s="274">
        <v>87000.0</v>
      </c>
      <c r="G127" s="274">
        <v>41600.0</v>
      </c>
      <c r="H127" s="275">
        <v>0.4781609195402299</v>
      </c>
      <c r="I127" s="274">
        <v>53000.0</v>
      </c>
      <c r="J127" s="274">
        <v>7600.0</v>
      </c>
      <c r="K127" s="274">
        <v>-25030.0</v>
      </c>
      <c r="L127" s="274">
        <v>0.0</v>
      </c>
      <c r="M127" s="274">
        <v>-60583.0</v>
      </c>
      <c r="N127" s="274">
        <v>78030.0</v>
      </c>
      <c r="O127" s="274">
        <v>109000.0</v>
      </c>
      <c r="P127" s="274">
        <v>68000.0</v>
      </c>
      <c r="Q127" s="274">
        <v>-41000.0</v>
      </c>
      <c r="R127" s="275">
        <v>31.0</v>
      </c>
      <c r="S127" s="274">
        <v>155.0</v>
      </c>
      <c r="T127" s="275">
        <v>0.8</v>
      </c>
      <c r="U127" s="274">
        <v>0.0</v>
      </c>
    </row>
    <row r="128">
      <c r="A128" s="37" t="s">
        <v>2196</v>
      </c>
      <c r="B128" s="279">
        <v>45566.0</v>
      </c>
      <c r="C128" s="37" t="s">
        <v>27</v>
      </c>
      <c r="D128" s="37" t="s">
        <v>351</v>
      </c>
      <c r="E128" s="274">
        <v>45000.0</v>
      </c>
      <c r="F128" s="274">
        <v>92300.0</v>
      </c>
      <c r="G128" s="274">
        <v>79700.0</v>
      </c>
      <c r="H128" s="275">
        <v>0.8634886240520043</v>
      </c>
      <c r="I128" s="274">
        <v>47300.0</v>
      </c>
      <c r="J128" s="274">
        <v>34700.0</v>
      </c>
      <c r="K128" s="274">
        <v>13478.0</v>
      </c>
      <c r="L128" s="274">
        <v>0.0</v>
      </c>
      <c r="M128" s="274">
        <v>-160609.0</v>
      </c>
      <c r="N128" s="274">
        <v>33822.0</v>
      </c>
      <c r="O128" s="274">
        <v>182800.0</v>
      </c>
      <c r="P128" s="274">
        <v>90000.0</v>
      </c>
      <c r="Q128" s="274">
        <v>-92800.0</v>
      </c>
      <c r="R128" s="275">
        <v>0.0</v>
      </c>
      <c r="S128" s="274">
        <v>217.0</v>
      </c>
      <c r="T128" s="275">
        <v>1.0</v>
      </c>
      <c r="U128" s="274">
        <v>0.0</v>
      </c>
    </row>
    <row r="129">
      <c r="A129" s="37" t="s">
        <v>2196</v>
      </c>
      <c r="B129" s="278">
        <v>45566.0</v>
      </c>
      <c r="C129" s="37" t="s">
        <v>41</v>
      </c>
      <c r="D129" s="37" t="s">
        <v>331</v>
      </c>
      <c r="E129" s="274">
        <v>27000.0</v>
      </c>
      <c r="F129" s="274">
        <v>70900.0</v>
      </c>
      <c r="G129" s="274">
        <v>82915.0</v>
      </c>
      <c r="H129" s="275">
        <v>1.1694640338504936</v>
      </c>
      <c r="I129" s="274">
        <v>43900.0</v>
      </c>
      <c r="J129" s="274">
        <v>55915.0</v>
      </c>
      <c r="K129" s="274">
        <v>40274.0</v>
      </c>
      <c r="L129" s="274">
        <v>-2096.0</v>
      </c>
      <c r="M129" s="274">
        <v>7637.0</v>
      </c>
      <c r="N129" s="274">
        <v>3626.0</v>
      </c>
      <c r="O129" s="274">
        <v>138800.0</v>
      </c>
      <c r="P129" s="274">
        <v>54000.0</v>
      </c>
      <c r="Q129" s="274">
        <v>-84800.0</v>
      </c>
      <c r="R129" s="275">
        <v>0.0</v>
      </c>
      <c r="S129" s="274">
        <v>155.0</v>
      </c>
      <c r="T129" s="275">
        <v>1.0</v>
      </c>
      <c r="U129" s="274">
        <v>0.0</v>
      </c>
    </row>
    <row r="130">
      <c r="A130" s="37" t="s">
        <v>2196</v>
      </c>
      <c r="B130" s="278">
        <v>45566.0</v>
      </c>
      <c r="C130" s="37" t="s">
        <v>56</v>
      </c>
      <c r="D130" s="37" t="s">
        <v>331</v>
      </c>
      <c r="E130" s="274">
        <v>26000.0</v>
      </c>
      <c r="F130" s="274">
        <v>50900.0</v>
      </c>
      <c r="G130" s="274">
        <v>38900.0</v>
      </c>
      <c r="H130" s="275">
        <v>0.7642436149312377</v>
      </c>
      <c r="I130" s="274">
        <v>24900.0</v>
      </c>
      <c r="J130" s="274">
        <v>12900.0</v>
      </c>
      <c r="K130" s="274">
        <v>12870.0</v>
      </c>
      <c r="L130" s="274">
        <v>0.0</v>
      </c>
      <c r="M130" s="274">
        <v>-77805.0</v>
      </c>
      <c r="N130" s="274">
        <v>12030.0</v>
      </c>
      <c r="O130" s="274">
        <v>102400.0</v>
      </c>
      <c r="P130" s="274">
        <v>52000.0</v>
      </c>
      <c r="Q130" s="274">
        <v>-50400.0</v>
      </c>
      <c r="R130" s="275">
        <v>0.0</v>
      </c>
      <c r="S130" s="274">
        <v>124.0</v>
      </c>
      <c r="T130" s="275">
        <v>1.0</v>
      </c>
      <c r="U130" s="274">
        <v>0.0</v>
      </c>
    </row>
    <row r="131">
      <c r="A131" s="37" t="s">
        <v>2196</v>
      </c>
      <c r="B131" s="278">
        <v>45566.0</v>
      </c>
      <c r="C131" s="37" t="s">
        <v>69</v>
      </c>
      <c r="D131" s="37" t="s">
        <v>331</v>
      </c>
      <c r="E131" s="274">
        <v>25600.0</v>
      </c>
      <c r="F131" s="274">
        <v>85900.0</v>
      </c>
      <c r="G131" s="274">
        <v>100715.0</v>
      </c>
      <c r="H131" s="275">
        <v>1.1724679860302678</v>
      </c>
      <c r="I131" s="274">
        <v>60300.0</v>
      </c>
      <c r="J131" s="274">
        <v>75115.0</v>
      </c>
      <c r="K131" s="274">
        <v>62270.0</v>
      </c>
      <c r="L131" s="274">
        <v>0.0</v>
      </c>
      <c r="M131" s="274">
        <v>-91144.0</v>
      </c>
      <c r="N131" s="274">
        <v>-1970.0</v>
      </c>
      <c r="O131" s="274">
        <v>175800.0</v>
      </c>
      <c r="P131" s="274">
        <v>51200.0</v>
      </c>
      <c r="Q131" s="274">
        <v>-124600.0</v>
      </c>
      <c r="R131" s="275">
        <v>0.0</v>
      </c>
      <c r="S131" s="274">
        <v>155.0</v>
      </c>
      <c r="T131" s="275">
        <v>1.0</v>
      </c>
      <c r="U131" s="274">
        <v>0.0</v>
      </c>
    </row>
    <row r="132">
      <c r="A132" s="37" t="s">
        <v>2196</v>
      </c>
      <c r="B132" s="279">
        <v>45566.0</v>
      </c>
      <c r="C132" s="37" t="s">
        <v>82</v>
      </c>
      <c r="D132" s="37" t="s">
        <v>331</v>
      </c>
      <c r="E132" s="274">
        <v>38800.0</v>
      </c>
      <c r="F132" s="274">
        <v>106700.0</v>
      </c>
      <c r="G132" s="274">
        <v>85900.0</v>
      </c>
      <c r="H132" s="275">
        <v>0.8050609184629803</v>
      </c>
      <c r="I132" s="274">
        <v>67900.0</v>
      </c>
      <c r="J132" s="274">
        <v>47100.0</v>
      </c>
      <c r="K132" s="274">
        <v>43198.0</v>
      </c>
      <c r="L132" s="274">
        <v>-3872.0</v>
      </c>
      <c r="M132" s="274">
        <v>52816.0</v>
      </c>
      <c r="N132" s="274">
        <v>24702.0</v>
      </c>
      <c r="O132" s="274">
        <v>209400.0</v>
      </c>
      <c r="P132" s="274">
        <v>77600.0</v>
      </c>
      <c r="Q132" s="274">
        <v>-131800.0</v>
      </c>
      <c r="R132" s="275">
        <v>0.0</v>
      </c>
      <c r="S132" s="274">
        <v>217.0</v>
      </c>
      <c r="T132" s="275">
        <v>1.0</v>
      </c>
      <c r="U132" s="274">
        <v>0.0</v>
      </c>
    </row>
    <row r="133">
      <c r="A133" s="37" t="s">
        <v>2196</v>
      </c>
      <c r="B133" s="279">
        <v>45566.0</v>
      </c>
      <c r="C133" s="37" t="s">
        <v>101</v>
      </c>
      <c r="D133" s="37" t="s">
        <v>351</v>
      </c>
      <c r="E133" s="274">
        <v>28800.0</v>
      </c>
      <c r="F133" s="274">
        <v>58500.0</v>
      </c>
      <c r="G133" s="274">
        <v>168000.0</v>
      </c>
      <c r="H133" s="275">
        <v>2.871794871794872</v>
      </c>
      <c r="I133" s="274">
        <v>29700.0</v>
      </c>
      <c r="J133" s="274">
        <v>139200.0</v>
      </c>
      <c r="K133" s="274">
        <v>137974.0</v>
      </c>
      <c r="L133" s="274">
        <v>-1196.0</v>
      </c>
      <c r="M133" s="274">
        <v>356899.0</v>
      </c>
      <c r="N133" s="274">
        <v>-108274.0</v>
      </c>
      <c r="O133" s="274">
        <v>104600.0</v>
      </c>
      <c r="P133" s="274">
        <v>57600.0</v>
      </c>
      <c r="Q133" s="274">
        <v>-47000.0</v>
      </c>
      <c r="R133" s="275">
        <v>0.0</v>
      </c>
      <c r="S133" s="274">
        <v>124.0</v>
      </c>
      <c r="T133" s="275">
        <v>1.0</v>
      </c>
      <c r="U133" s="274">
        <v>0.0</v>
      </c>
    </row>
    <row r="134">
      <c r="A134" s="37" t="s">
        <v>2196</v>
      </c>
      <c r="B134" s="279">
        <v>45566.0</v>
      </c>
      <c r="C134" s="37" t="s">
        <v>110</v>
      </c>
      <c r="D134" s="37" t="s">
        <v>331</v>
      </c>
      <c r="E134" s="274">
        <v>36500.0</v>
      </c>
      <c r="F134" s="274">
        <v>67600.0</v>
      </c>
      <c r="G134" s="274">
        <v>106450.0</v>
      </c>
      <c r="H134" s="275">
        <v>1.5747041420118344</v>
      </c>
      <c r="I134" s="274">
        <v>31100.0</v>
      </c>
      <c r="J134" s="274">
        <v>69950.0</v>
      </c>
      <c r="K134" s="274">
        <v>51478.0</v>
      </c>
      <c r="L134" s="274">
        <v>-910.0</v>
      </c>
      <c r="M134" s="274">
        <v>-409348.0</v>
      </c>
      <c r="N134" s="274">
        <v>-20378.0</v>
      </c>
      <c r="O134" s="274">
        <v>136400.0</v>
      </c>
      <c r="P134" s="274">
        <v>73000.0</v>
      </c>
      <c r="Q134" s="274">
        <v>-63400.0</v>
      </c>
      <c r="R134" s="275">
        <v>0.0</v>
      </c>
      <c r="S134" s="274">
        <v>155.0</v>
      </c>
      <c r="T134" s="275">
        <v>1.0</v>
      </c>
      <c r="U134" s="274">
        <v>0.0</v>
      </c>
    </row>
    <row r="135">
      <c r="A135" s="37" t="s">
        <v>2196</v>
      </c>
      <c r="B135" s="278">
        <v>45566.0</v>
      </c>
      <c r="C135" s="37" t="s">
        <v>119</v>
      </c>
      <c r="D135" s="37" t="s">
        <v>331</v>
      </c>
      <c r="E135" s="274">
        <v>12000.0</v>
      </c>
      <c r="F135" s="274">
        <v>22000.0</v>
      </c>
      <c r="G135" s="274">
        <v>30516.0</v>
      </c>
      <c r="H135" s="275">
        <v>1.3870909090909092</v>
      </c>
      <c r="I135" s="274">
        <v>10000.0</v>
      </c>
      <c r="J135" s="274">
        <v>18516.0</v>
      </c>
      <c r="K135" s="274">
        <v>9811.0</v>
      </c>
      <c r="L135" s="274">
        <v>-1550.0</v>
      </c>
      <c r="M135" s="274">
        <v>-15084.0</v>
      </c>
      <c r="N135" s="274">
        <v>189.0</v>
      </c>
      <c r="O135" s="274">
        <v>44000.0</v>
      </c>
      <c r="P135" s="274">
        <v>24000.0</v>
      </c>
      <c r="Q135" s="274">
        <v>-20000.0</v>
      </c>
      <c r="R135" s="275">
        <v>12.0</v>
      </c>
      <c r="S135" s="274">
        <v>31.0</v>
      </c>
      <c r="T135" s="275">
        <v>0.6129032258064516</v>
      </c>
      <c r="U135" s="274">
        <v>0.0</v>
      </c>
    </row>
    <row r="136">
      <c r="A136" s="37" t="s">
        <v>2196</v>
      </c>
      <c r="B136" s="278">
        <v>45566.0</v>
      </c>
      <c r="C136" s="37" t="s">
        <v>122</v>
      </c>
      <c r="D136" s="37" t="s">
        <v>331</v>
      </c>
      <c r="E136" s="274">
        <v>35500.0</v>
      </c>
      <c r="F136" s="274">
        <v>58400.0</v>
      </c>
      <c r="G136" s="274">
        <v>0.0</v>
      </c>
      <c r="H136" s="275">
        <v>0.0</v>
      </c>
      <c r="I136" s="274">
        <v>22900.0</v>
      </c>
      <c r="J136" s="274">
        <v>-35500.0</v>
      </c>
      <c r="K136" s="274">
        <v>-16683.0</v>
      </c>
      <c r="L136" s="274">
        <v>-1366.0</v>
      </c>
      <c r="M136" s="274">
        <v>-276993.0</v>
      </c>
      <c r="N136" s="274">
        <v>39583.0</v>
      </c>
      <c r="O136" s="274">
        <v>125400.0</v>
      </c>
      <c r="P136" s="274">
        <v>71000.0</v>
      </c>
      <c r="Q136" s="274">
        <v>-54400.0</v>
      </c>
      <c r="R136" s="275">
        <v>22.0</v>
      </c>
      <c r="S136" s="274">
        <v>124.0</v>
      </c>
      <c r="T136" s="275">
        <v>0.8225806451612903</v>
      </c>
      <c r="U136" s="274">
        <v>0.0</v>
      </c>
    </row>
    <row r="137">
      <c r="A137" s="37" t="s">
        <v>2196</v>
      </c>
      <c r="B137" s="278">
        <v>45566.0</v>
      </c>
      <c r="C137" s="37" t="s">
        <v>135</v>
      </c>
      <c r="D137" s="37" t="s">
        <v>331</v>
      </c>
      <c r="E137" s="274">
        <v>25000.0</v>
      </c>
      <c r="F137" s="274">
        <v>66000.0</v>
      </c>
      <c r="G137" s="274">
        <v>36503.0</v>
      </c>
      <c r="H137" s="275">
        <v>0.5530757575757576</v>
      </c>
      <c r="I137" s="274">
        <v>41000.0</v>
      </c>
      <c r="J137" s="274">
        <v>11503.0</v>
      </c>
      <c r="K137" s="274">
        <v>-90150.0</v>
      </c>
      <c r="L137" s="274">
        <v>-2400.0</v>
      </c>
      <c r="M137" s="274">
        <v>-532009.0</v>
      </c>
      <c r="N137" s="274">
        <v>131150.0</v>
      </c>
      <c r="O137" s="274">
        <v>66600.0</v>
      </c>
      <c r="P137" s="274">
        <v>50000.0</v>
      </c>
      <c r="Q137" s="274">
        <v>-16600.0</v>
      </c>
      <c r="R137" s="275">
        <v>130.0</v>
      </c>
      <c r="S137" s="274">
        <v>155.0</v>
      </c>
      <c r="T137" s="275">
        <v>0.16129032258064513</v>
      </c>
      <c r="U137" s="274">
        <v>0.0</v>
      </c>
    </row>
    <row r="138">
      <c r="A138" s="37" t="s">
        <v>2196</v>
      </c>
      <c r="B138" s="279">
        <v>45566.0</v>
      </c>
      <c r="C138" s="37" t="s">
        <v>150</v>
      </c>
      <c r="D138" s="37" t="s">
        <v>331</v>
      </c>
      <c r="E138" s="274">
        <v>23000.0</v>
      </c>
      <c r="F138" s="274">
        <v>54900.0</v>
      </c>
      <c r="G138" s="274">
        <v>0.0</v>
      </c>
      <c r="H138" s="275">
        <v>0.0</v>
      </c>
      <c r="I138" s="274">
        <v>31900.0</v>
      </c>
      <c r="J138" s="274">
        <v>-23000.0</v>
      </c>
      <c r="K138" s="274">
        <v>-528045.0</v>
      </c>
      <c r="L138" s="274">
        <v>0.0</v>
      </c>
      <c r="M138" s="274">
        <v>-603795.0</v>
      </c>
      <c r="N138" s="274">
        <v>559945.0</v>
      </c>
      <c r="O138" s="274">
        <v>0.0</v>
      </c>
      <c r="P138" s="274">
        <v>46000.0</v>
      </c>
      <c r="Q138" s="274">
        <v>46000.0</v>
      </c>
      <c r="R138" s="275">
        <v>124.0</v>
      </c>
      <c r="S138" s="274">
        <v>124.0</v>
      </c>
      <c r="T138" s="275">
        <v>0.0</v>
      </c>
      <c r="U138" s="274">
        <v>0.0</v>
      </c>
    </row>
    <row r="139">
      <c r="A139" s="37" t="s">
        <v>2196</v>
      </c>
      <c r="B139" s="279">
        <v>45566.0</v>
      </c>
      <c r="C139" s="37" t="s">
        <v>163</v>
      </c>
      <c r="D139" s="37" t="s">
        <v>351</v>
      </c>
      <c r="E139" s="274">
        <v>39800.0</v>
      </c>
      <c r="F139" s="274">
        <v>80000.0</v>
      </c>
      <c r="G139" s="274">
        <v>1600.0</v>
      </c>
      <c r="H139" s="275">
        <v>0.02</v>
      </c>
      <c r="I139" s="274">
        <v>40200.0</v>
      </c>
      <c r="J139" s="274">
        <v>-38200.0</v>
      </c>
      <c r="K139" s="274">
        <v>-350249.385</v>
      </c>
      <c r="L139" s="274">
        <v>0.0</v>
      </c>
      <c r="M139" s="274">
        <v>-495274.385</v>
      </c>
      <c r="N139" s="274">
        <v>390449.385</v>
      </c>
      <c r="O139" s="274">
        <v>0.0</v>
      </c>
      <c r="P139" s="274">
        <v>79600.0</v>
      </c>
      <c r="Q139" s="274">
        <v>79600.0</v>
      </c>
      <c r="R139" s="275">
        <v>155.0</v>
      </c>
      <c r="S139" s="274">
        <v>155.0</v>
      </c>
      <c r="T139" s="275">
        <v>0.0</v>
      </c>
      <c r="U139" s="274">
        <v>0.0</v>
      </c>
    </row>
    <row r="140">
      <c r="A140" s="37" t="s">
        <v>2196</v>
      </c>
      <c r="B140" s="279">
        <v>45566.0</v>
      </c>
      <c r="C140" s="37" t="s">
        <v>178</v>
      </c>
      <c r="D140" s="37" t="s">
        <v>331</v>
      </c>
      <c r="E140" s="274">
        <v>0.0</v>
      </c>
      <c r="F140" s="274">
        <v>83000.0</v>
      </c>
      <c r="G140" s="274">
        <v>0.0</v>
      </c>
      <c r="H140" s="275">
        <v>0.0</v>
      </c>
      <c r="I140" s="274">
        <v>83000.0</v>
      </c>
      <c r="J140" s="274">
        <v>0.0</v>
      </c>
      <c r="K140" s="274">
        <v>-305215.0</v>
      </c>
      <c r="L140" s="274">
        <v>-8200.0</v>
      </c>
      <c r="M140" s="274">
        <v>-323230.0</v>
      </c>
      <c r="N140" s="274">
        <v>388215.0</v>
      </c>
      <c r="O140" s="274">
        <v>0.0</v>
      </c>
      <c r="P140" s="274">
        <v>72000.0</v>
      </c>
      <c r="Q140" s="274">
        <v>72000.0</v>
      </c>
      <c r="R140" s="275">
        <v>0.0</v>
      </c>
      <c r="S140" s="274">
        <v>155.0</v>
      </c>
      <c r="T140" s="275">
        <v>1.0</v>
      </c>
      <c r="U140" s="274">
        <v>0.0</v>
      </c>
    </row>
    <row r="141">
      <c r="A141" s="37" t="s">
        <v>2196</v>
      </c>
      <c r="B141" s="279">
        <v>45566.0</v>
      </c>
      <c r="C141" s="37" t="s">
        <v>2197</v>
      </c>
      <c r="D141" s="37" t="s">
        <v>331</v>
      </c>
      <c r="E141" s="274">
        <v>0.0</v>
      </c>
      <c r="F141" s="274">
        <v>0.0</v>
      </c>
      <c r="G141" s="274">
        <v>0.0</v>
      </c>
      <c r="H141" s="275">
        <v>0.0</v>
      </c>
      <c r="I141" s="274">
        <v>0.0</v>
      </c>
      <c r="J141" s="274">
        <v>0.0</v>
      </c>
      <c r="K141" s="274">
        <v>-1244.0</v>
      </c>
      <c r="L141" s="274">
        <v>0.0</v>
      </c>
      <c r="M141" s="274">
        <v>-118700.0</v>
      </c>
      <c r="N141" s="274">
        <v>1244.0</v>
      </c>
      <c r="O141" s="274">
        <v>0.0</v>
      </c>
      <c r="P141" s="274">
        <v>0.0</v>
      </c>
      <c r="Q141" s="274">
        <v>0.0</v>
      </c>
      <c r="R141" s="275">
        <v>0.0</v>
      </c>
      <c r="S141" s="274">
        <v>0.0</v>
      </c>
      <c r="T141" s="275">
        <v>0.0</v>
      </c>
      <c r="U141" s="274">
        <v>200015.0</v>
      </c>
    </row>
    <row r="142">
      <c r="A142" s="37" t="s">
        <v>2196</v>
      </c>
      <c r="B142" s="279">
        <v>45566.0</v>
      </c>
      <c r="C142" s="37" t="s">
        <v>2198</v>
      </c>
      <c r="D142" s="37" t="s">
        <v>351</v>
      </c>
      <c r="E142" s="274">
        <v>0.0</v>
      </c>
      <c r="F142" s="274">
        <v>0.0</v>
      </c>
      <c r="G142" s="274">
        <v>0.0</v>
      </c>
      <c r="H142" s="275">
        <v>0.0</v>
      </c>
      <c r="I142" s="274">
        <v>0.0</v>
      </c>
      <c r="J142" s="274">
        <v>0.0</v>
      </c>
      <c r="K142" s="274">
        <v>-3540.0</v>
      </c>
      <c r="L142" s="274">
        <v>0.0</v>
      </c>
      <c r="M142" s="274">
        <v>-275319.0</v>
      </c>
      <c r="N142" s="274">
        <v>3540.0</v>
      </c>
      <c r="O142" s="274">
        <v>0.0</v>
      </c>
      <c r="P142" s="274">
        <v>0.0</v>
      </c>
      <c r="Q142" s="274">
        <v>0.0</v>
      </c>
      <c r="R142" s="275">
        <v>0.0</v>
      </c>
      <c r="S142" s="274">
        <v>0.0</v>
      </c>
      <c r="T142" s="275">
        <v>0.0</v>
      </c>
      <c r="U142" s="274">
        <v>50015.0</v>
      </c>
    </row>
    <row r="143">
      <c r="A143" s="37" t="s">
        <v>2196</v>
      </c>
      <c r="B143" s="279">
        <v>45597.0</v>
      </c>
      <c r="C143" s="37" t="s">
        <v>16</v>
      </c>
      <c r="D143" s="37" t="s">
        <v>331</v>
      </c>
      <c r="E143" s="274">
        <v>34000.0</v>
      </c>
      <c r="F143" s="274">
        <v>87000.0</v>
      </c>
      <c r="G143" s="274">
        <v>41600.0</v>
      </c>
      <c r="H143" s="275">
        <v>0.4781609195402299</v>
      </c>
      <c r="I143" s="274">
        <v>53000.0</v>
      </c>
      <c r="J143" s="274">
        <v>7600.0</v>
      </c>
      <c r="K143" s="274">
        <v>7570.0</v>
      </c>
      <c r="L143" s="274">
        <v>0.0</v>
      </c>
      <c r="M143" s="274">
        <v>-53013.0</v>
      </c>
      <c r="N143" s="274">
        <v>45430.0</v>
      </c>
      <c r="O143" s="274">
        <v>109000.0</v>
      </c>
      <c r="P143" s="274">
        <v>68000.0</v>
      </c>
      <c r="Q143" s="274">
        <v>-41000.0</v>
      </c>
      <c r="R143" s="275">
        <v>30.0</v>
      </c>
      <c r="S143" s="274">
        <v>150.0</v>
      </c>
      <c r="T143" s="275">
        <v>0.8</v>
      </c>
      <c r="U143" s="274">
        <v>0.0</v>
      </c>
    </row>
    <row r="144">
      <c r="A144" s="37" t="s">
        <v>2196</v>
      </c>
      <c r="B144" s="279">
        <v>45597.0</v>
      </c>
      <c r="C144" s="37" t="s">
        <v>27</v>
      </c>
      <c r="D144" s="37" t="s">
        <v>351</v>
      </c>
      <c r="E144" s="274">
        <v>45000.0</v>
      </c>
      <c r="F144" s="274">
        <v>92300.0</v>
      </c>
      <c r="G144" s="274">
        <v>135500.0</v>
      </c>
      <c r="H144" s="275">
        <v>1.4680390032502708</v>
      </c>
      <c r="I144" s="274">
        <v>47300.0</v>
      </c>
      <c r="J144" s="274">
        <v>90500.0</v>
      </c>
      <c r="K144" s="274">
        <v>86633.0</v>
      </c>
      <c r="L144" s="274">
        <v>-3852.0</v>
      </c>
      <c r="M144" s="274">
        <v>-73976.0</v>
      </c>
      <c r="N144" s="274">
        <v>-39333.0</v>
      </c>
      <c r="O144" s="274">
        <v>157200.0</v>
      </c>
      <c r="P144" s="274">
        <v>90000.0</v>
      </c>
      <c r="Q144" s="274">
        <v>-67200.0</v>
      </c>
      <c r="R144" s="275">
        <v>15.0</v>
      </c>
      <c r="S144" s="274">
        <v>210.0</v>
      </c>
      <c r="T144" s="275">
        <v>0.9285714285714286</v>
      </c>
      <c r="U144" s="274">
        <v>0.0</v>
      </c>
    </row>
    <row r="145">
      <c r="A145" s="37" t="s">
        <v>2196</v>
      </c>
      <c r="B145" s="279">
        <v>45597.0</v>
      </c>
      <c r="C145" s="37" t="s">
        <v>41</v>
      </c>
      <c r="D145" s="37" t="s">
        <v>331</v>
      </c>
      <c r="E145" s="274">
        <v>27000.0</v>
      </c>
      <c r="F145" s="274">
        <v>70900.0</v>
      </c>
      <c r="G145" s="274">
        <v>69400.0</v>
      </c>
      <c r="H145" s="275">
        <v>0.9788434414668548</v>
      </c>
      <c r="I145" s="274">
        <v>43900.0</v>
      </c>
      <c r="J145" s="274">
        <v>42400.0</v>
      </c>
      <c r="K145" s="274">
        <v>42370.0</v>
      </c>
      <c r="L145" s="274">
        <v>0.0</v>
      </c>
      <c r="M145" s="274">
        <v>50007.0</v>
      </c>
      <c r="N145" s="274">
        <v>1530.0</v>
      </c>
      <c r="O145" s="274">
        <v>138800.0</v>
      </c>
      <c r="P145" s="274">
        <v>54000.0</v>
      </c>
      <c r="Q145" s="274">
        <v>-84800.0</v>
      </c>
      <c r="R145" s="275">
        <v>0.0</v>
      </c>
      <c r="S145" s="274">
        <v>150.0</v>
      </c>
      <c r="T145" s="275">
        <v>1.0</v>
      </c>
      <c r="U145" s="274">
        <v>0.0</v>
      </c>
    </row>
    <row r="146">
      <c r="A146" s="37" t="s">
        <v>2196</v>
      </c>
      <c r="B146" s="279">
        <v>45597.0</v>
      </c>
      <c r="C146" s="37" t="s">
        <v>56</v>
      </c>
      <c r="D146" s="37" t="s">
        <v>331</v>
      </c>
      <c r="E146" s="274">
        <v>26000.0</v>
      </c>
      <c r="F146" s="274">
        <v>50900.0</v>
      </c>
      <c r="G146" s="274">
        <v>51700.0</v>
      </c>
      <c r="H146" s="275">
        <v>1.0157170923379175</v>
      </c>
      <c r="I146" s="274">
        <v>24900.0</v>
      </c>
      <c r="J146" s="274">
        <v>25700.0</v>
      </c>
      <c r="K146" s="274">
        <v>25670.0</v>
      </c>
      <c r="L146" s="274">
        <v>0.0</v>
      </c>
      <c r="M146" s="274">
        <v>-52135.0</v>
      </c>
      <c r="N146" s="274">
        <v>-770.0</v>
      </c>
      <c r="O146" s="274">
        <v>102400.0</v>
      </c>
      <c r="P146" s="274">
        <v>52000.0</v>
      </c>
      <c r="Q146" s="274">
        <v>-50400.0</v>
      </c>
      <c r="R146" s="275">
        <v>0.0</v>
      </c>
      <c r="S146" s="274">
        <v>120.0</v>
      </c>
      <c r="T146" s="275">
        <v>1.0</v>
      </c>
      <c r="U146" s="274">
        <v>0.0</v>
      </c>
    </row>
    <row r="147">
      <c r="A147" s="37" t="s">
        <v>2196</v>
      </c>
      <c r="B147" s="278">
        <v>45597.0</v>
      </c>
      <c r="C147" s="37" t="s">
        <v>69</v>
      </c>
      <c r="D147" s="37" t="s">
        <v>331</v>
      </c>
      <c r="E147" s="274">
        <v>25600.0</v>
      </c>
      <c r="F147" s="274">
        <v>85900.0</v>
      </c>
      <c r="G147" s="274">
        <v>75081.0</v>
      </c>
      <c r="H147" s="275">
        <v>0.8740512223515716</v>
      </c>
      <c r="I147" s="274">
        <v>60300.0</v>
      </c>
      <c r="J147" s="274">
        <v>49481.0</v>
      </c>
      <c r="K147" s="274">
        <v>-26033.0</v>
      </c>
      <c r="L147" s="274">
        <v>0.0</v>
      </c>
      <c r="M147" s="274">
        <v>-117177.0</v>
      </c>
      <c r="N147" s="274">
        <v>86333.0</v>
      </c>
      <c r="O147" s="274">
        <v>148800.0</v>
      </c>
      <c r="P147" s="274">
        <v>51200.0</v>
      </c>
      <c r="Q147" s="274">
        <v>-97600.0</v>
      </c>
      <c r="R147" s="275">
        <v>7.0</v>
      </c>
      <c r="S147" s="274">
        <v>150.0</v>
      </c>
      <c r="T147" s="275">
        <v>0.9533333333333334</v>
      </c>
      <c r="U147" s="274">
        <v>0.0</v>
      </c>
    </row>
    <row r="148">
      <c r="A148" s="37" t="s">
        <v>2196</v>
      </c>
      <c r="B148" s="278">
        <v>45597.0</v>
      </c>
      <c r="C148" s="37" t="s">
        <v>82</v>
      </c>
      <c r="D148" s="37" t="s">
        <v>331</v>
      </c>
      <c r="E148" s="274">
        <v>38800.0</v>
      </c>
      <c r="F148" s="274">
        <v>106700.0</v>
      </c>
      <c r="G148" s="274">
        <v>136300.0</v>
      </c>
      <c r="H148" s="275">
        <v>1.2774133083411434</v>
      </c>
      <c r="I148" s="274">
        <v>67900.0</v>
      </c>
      <c r="J148" s="274">
        <v>97500.0</v>
      </c>
      <c r="K148" s="274">
        <v>97470.0</v>
      </c>
      <c r="L148" s="274">
        <v>0.0</v>
      </c>
      <c r="M148" s="274">
        <v>150286.0</v>
      </c>
      <c r="N148" s="274">
        <v>-29570.0</v>
      </c>
      <c r="O148" s="274">
        <v>209400.0</v>
      </c>
      <c r="P148" s="274">
        <v>77600.0</v>
      </c>
      <c r="Q148" s="274">
        <v>-131800.0</v>
      </c>
      <c r="R148" s="275">
        <v>0.0</v>
      </c>
      <c r="S148" s="274">
        <v>210.0</v>
      </c>
      <c r="T148" s="275">
        <v>1.0</v>
      </c>
      <c r="U148" s="274">
        <v>0.0</v>
      </c>
    </row>
    <row r="149">
      <c r="A149" s="37" t="s">
        <v>2196</v>
      </c>
      <c r="B149" s="278">
        <v>45597.0</v>
      </c>
      <c r="C149" s="37" t="s">
        <v>101</v>
      </c>
      <c r="D149" s="37" t="s">
        <v>351</v>
      </c>
      <c r="E149" s="274">
        <v>28800.0</v>
      </c>
      <c r="F149" s="274">
        <v>58500.0</v>
      </c>
      <c r="G149" s="274">
        <v>43000.0</v>
      </c>
      <c r="H149" s="275">
        <v>0.7350427350427351</v>
      </c>
      <c r="I149" s="274">
        <v>29700.0</v>
      </c>
      <c r="J149" s="274">
        <v>14200.0</v>
      </c>
      <c r="K149" s="274">
        <v>14170.0</v>
      </c>
      <c r="L149" s="274">
        <v>0.0</v>
      </c>
      <c r="M149" s="274">
        <v>371069.0</v>
      </c>
      <c r="N149" s="274">
        <v>15530.0</v>
      </c>
      <c r="O149" s="274">
        <v>104600.0</v>
      </c>
      <c r="P149" s="274">
        <v>57600.0</v>
      </c>
      <c r="Q149" s="274">
        <v>-47000.0</v>
      </c>
      <c r="R149" s="275">
        <v>0.0</v>
      </c>
      <c r="S149" s="274">
        <v>120.0</v>
      </c>
      <c r="T149" s="275">
        <v>1.0</v>
      </c>
      <c r="U149" s="274">
        <v>0.0</v>
      </c>
    </row>
    <row r="150">
      <c r="A150" s="37" t="s">
        <v>2196</v>
      </c>
      <c r="B150" s="279">
        <v>45597.0</v>
      </c>
      <c r="C150" s="37" t="s">
        <v>110</v>
      </c>
      <c r="D150" s="37" t="s">
        <v>331</v>
      </c>
      <c r="E150" s="274">
        <v>36500.0</v>
      </c>
      <c r="F150" s="274">
        <v>67600.0</v>
      </c>
      <c r="G150" s="274">
        <v>68200.0</v>
      </c>
      <c r="H150" s="275">
        <v>1.0088757396449703</v>
      </c>
      <c r="I150" s="274">
        <v>31100.0</v>
      </c>
      <c r="J150" s="274">
        <v>31700.0</v>
      </c>
      <c r="K150" s="274">
        <v>31700.0</v>
      </c>
      <c r="L150" s="274">
        <v>0.0</v>
      </c>
      <c r="M150" s="274">
        <v>-377648.0</v>
      </c>
      <c r="N150" s="274">
        <v>-600.0</v>
      </c>
      <c r="O150" s="274">
        <v>136400.0</v>
      </c>
      <c r="P150" s="274">
        <v>73000.0</v>
      </c>
      <c r="Q150" s="274">
        <v>-63400.0</v>
      </c>
      <c r="R150" s="275">
        <v>0.0</v>
      </c>
      <c r="S150" s="274">
        <v>150.0</v>
      </c>
      <c r="T150" s="275">
        <v>1.0</v>
      </c>
      <c r="U150" s="274">
        <v>0.0</v>
      </c>
    </row>
    <row r="151">
      <c r="A151" s="37" t="s">
        <v>2196</v>
      </c>
      <c r="B151" s="279">
        <v>45597.0</v>
      </c>
      <c r="C151" s="37" t="s">
        <v>119</v>
      </c>
      <c r="D151" s="37" t="s">
        <v>331</v>
      </c>
      <c r="E151" s="274">
        <v>12000.0</v>
      </c>
      <c r="F151" s="274">
        <v>22000.0</v>
      </c>
      <c r="G151" s="274">
        <v>0.0</v>
      </c>
      <c r="H151" s="275">
        <v>0.0</v>
      </c>
      <c r="I151" s="274">
        <v>10000.0</v>
      </c>
      <c r="J151" s="274">
        <v>-12000.0</v>
      </c>
      <c r="K151" s="274">
        <v>-12015.0</v>
      </c>
      <c r="L151" s="274">
        <v>0.0</v>
      </c>
      <c r="M151" s="274">
        <v>-27099.0</v>
      </c>
      <c r="N151" s="274">
        <v>22015.0</v>
      </c>
      <c r="O151" s="274">
        <v>44000.0</v>
      </c>
      <c r="P151" s="274">
        <v>24000.0</v>
      </c>
      <c r="Q151" s="274">
        <v>-20000.0</v>
      </c>
      <c r="R151" s="275">
        <v>0.0</v>
      </c>
      <c r="S151" s="274">
        <v>30.0</v>
      </c>
      <c r="T151" s="275">
        <v>1.0</v>
      </c>
      <c r="U151" s="274">
        <v>0.0</v>
      </c>
    </row>
    <row r="152">
      <c r="A152" s="37" t="s">
        <v>2196</v>
      </c>
      <c r="B152" s="279">
        <v>45597.0</v>
      </c>
      <c r="C152" s="37" t="s">
        <v>122</v>
      </c>
      <c r="D152" s="37" t="s">
        <v>331</v>
      </c>
      <c r="E152" s="274">
        <v>35500.0</v>
      </c>
      <c r="F152" s="274">
        <v>58400.0</v>
      </c>
      <c r="G152" s="274">
        <v>127106.0</v>
      </c>
      <c r="H152" s="275">
        <v>2.176472602739726</v>
      </c>
      <c r="I152" s="274">
        <v>22900.0</v>
      </c>
      <c r="J152" s="274">
        <v>91606.0</v>
      </c>
      <c r="K152" s="274">
        <v>72328.0</v>
      </c>
      <c r="L152" s="274">
        <v>-800.0</v>
      </c>
      <c r="M152" s="274">
        <v>-204665.0</v>
      </c>
      <c r="N152" s="274">
        <v>-49428.0</v>
      </c>
      <c r="O152" s="274">
        <v>84000.0</v>
      </c>
      <c r="P152" s="274">
        <v>71000.0</v>
      </c>
      <c r="Q152" s="274">
        <v>-13000.0</v>
      </c>
      <c r="R152" s="275">
        <v>46.0</v>
      </c>
      <c r="S152" s="274">
        <v>120.0</v>
      </c>
      <c r="T152" s="275">
        <v>0.6166666666666667</v>
      </c>
      <c r="U152" s="274">
        <v>0.0</v>
      </c>
    </row>
    <row r="153">
      <c r="A153" s="37" t="s">
        <v>2196</v>
      </c>
      <c r="B153" s="279">
        <v>45597.0</v>
      </c>
      <c r="C153" s="37" t="s">
        <v>135</v>
      </c>
      <c r="D153" s="37" t="s">
        <v>331</v>
      </c>
      <c r="E153" s="274">
        <v>25000.0</v>
      </c>
      <c r="F153" s="274">
        <v>66000.0</v>
      </c>
      <c r="G153" s="274">
        <v>62666.0</v>
      </c>
      <c r="H153" s="275">
        <v>0.9494848484848485</v>
      </c>
      <c r="I153" s="274">
        <v>41000.0</v>
      </c>
      <c r="J153" s="274">
        <v>37666.0</v>
      </c>
      <c r="K153" s="274">
        <v>47607.0</v>
      </c>
      <c r="L153" s="274">
        <v>-547.0</v>
      </c>
      <c r="M153" s="274">
        <v>-484402.0</v>
      </c>
      <c r="N153" s="274">
        <v>-6607.0</v>
      </c>
      <c r="O153" s="274">
        <v>127400.0</v>
      </c>
      <c r="P153" s="274">
        <v>50000.0</v>
      </c>
      <c r="Q153" s="274">
        <v>-77400.0</v>
      </c>
      <c r="R153" s="275">
        <v>14.0</v>
      </c>
      <c r="S153" s="274">
        <v>150.0</v>
      </c>
      <c r="T153" s="275">
        <v>0.9066666666666666</v>
      </c>
      <c r="U153" s="274">
        <v>0.0</v>
      </c>
    </row>
    <row r="154">
      <c r="A154" s="37" t="s">
        <v>2196</v>
      </c>
      <c r="B154" s="279">
        <v>45597.0</v>
      </c>
      <c r="C154" s="37" t="s">
        <v>150</v>
      </c>
      <c r="D154" s="37" t="s">
        <v>331</v>
      </c>
      <c r="E154" s="274">
        <v>23000.0</v>
      </c>
      <c r="F154" s="274">
        <v>54900.0</v>
      </c>
      <c r="G154" s="274">
        <v>43093.0</v>
      </c>
      <c r="H154" s="275">
        <v>0.784936247723133</v>
      </c>
      <c r="I154" s="274">
        <v>31900.0</v>
      </c>
      <c r="J154" s="274">
        <v>20093.0</v>
      </c>
      <c r="K154" s="274">
        <v>-3481.0</v>
      </c>
      <c r="L154" s="274">
        <v>0.0</v>
      </c>
      <c r="M154" s="274">
        <v>-607276.0</v>
      </c>
      <c r="N154" s="274">
        <v>35381.0</v>
      </c>
      <c r="O154" s="274">
        <v>84200.0</v>
      </c>
      <c r="P154" s="274">
        <v>46000.0</v>
      </c>
      <c r="Q154" s="274">
        <v>-38200.0</v>
      </c>
      <c r="R154" s="275">
        <v>76.0</v>
      </c>
      <c r="S154" s="274">
        <v>120.0</v>
      </c>
      <c r="T154" s="275">
        <v>0.3666666666666667</v>
      </c>
      <c r="U154" s="274">
        <v>0.0</v>
      </c>
    </row>
    <row r="155">
      <c r="A155" s="37" t="s">
        <v>2196</v>
      </c>
      <c r="B155" s="279">
        <v>45597.0</v>
      </c>
      <c r="C155" s="37" t="s">
        <v>163</v>
      </c>
      <c r="D155" s="37" t="s">
        <v>351</v>
      </c>
      <c r="E155" s="274">
        <v>39800.0</v>
      </c>
      <c r="F155" s="274">
        <v>80000.0</v>
      </c>
      <c r="G155" s="274">
        <v>56566.0</v>
      </c>
      <c r="H155" s="275">
        <v>0.707075</v>
      </c>
      <c r="I155" s="274">
        <v>40200.0</v>
      </c>
      <c r="J155" s="274">
        <v>16766.0</v>
      </c>
      <c r="K155" s="274">
        <v>-76000.0</v>
      </c>
      <c r="L155" s="274">
        <v>0.0</v>
      </c>
      <c r="M155" s="274">
        <v>-571274.385</v>
      </c>
      <c r="N155" s="274">
        <v>116200.0</v>
      </c>
      <c r="O155" s="274">
        <v>78400.0</v>
      </c>
      <c r="P155" s="274">
        <v>79600.0</v>
      </c>
      <c r="Q155" s="274">
        <v>1200.0</v>
      </c>
      <c r="R155" s="275">
        <v>107.0</v>
      </c>
      <c r="S155" s="274">
        <v>150.0</v>
      </c>
      <c r="T155" s="275">
        <v>0.2866666666666666</v>
      </c>
      <c r="U155" s="274">
        <v>0.0</v>
      </c>
    </row>
    <row r="156">
      <c r="A156" s="37" t="s">
        <v>2196</v>
      </c>
      <c r="B156" s="278">
        <v>45597.0</v>
      </c>
      <c r="C156" s="37" t="s">
        <v>178</v>
      </c>
      <c r="D156" s="37" t="s">
        <v>331</v>
      </c>
      <c r="E156" s="274">
        <v>36000.0</v>
      </c>
      <c r="F156" s="274">
        <v>83000.0</v>
      </c>
      <c r="G156" s="274">
        <v>32200.0</v>
      </c>
      <c r="H156" s="275">
        <v>0.38795180722891565</v>
      </c>
      <c r="I156" s="274">
        <v>47000.0</v>
      </c>
      <c r="J156" s="274">
        <v>-3800.0</v>
      </c>
      <c r="K156" s="274">
        <v>-172788.0</v>
      </c>
      <c r="L156" s="274">
        <v>0.0</v>
      </c>
      <c r="M156" s="274">
        <v>-496018.0</v>
      </c>
      <c r="N156" s="274">
        <v>219788.0</v>
      </c>
      <c r="O156" s="274">
        <v>0.0</v>
      </c>
      <c r="P156" s="274">
        <v>72000.0</v>
      </c>
      <c r="Q156" s="274">
        <v>72000.0</v>
      </c>
      <c r="R156" s="275">
        <v>150.0</v>
      </c>
      <c r="S156" s="274">
        <v>150.0</v>
      </c>
      <c r="T156" s="275">
        <v>0.0</v>
      </c>
      <c r="U156" s="274">
        <v>0.0</v>
      </c>
    </row>
    <row r="157">
      <c r="A157" s="37" t="s">
        <v>2196</v>
      </c>
      <c r="B157" s="278">
        <v>45597.0</v>
      </c>
      <c r="C157" s="37" t="s">
        <v>2197</v>
      </c>
      <c r="D157" s="37" t="s">
        <v>331</v>
      </c>
      <c r="E157" s="274">
        <v>0.0</v>
      </c>
      <c r="F157" s="274">
        <v>0.0</v>
      </c>
      <c r="G157" s="274">
        <v>10000.0</v>
      </c>
      <c r="H157" s="275">
        <v>0.0</v>
      </c>
      <c r="I157" s="274">
        <v>0.0</v>
      </c>
      <c r="J157" s="274">
        <v>10000.0</v>
      </c>
      <c r="K157" s="274">
        <v>-14204.0</v>
      </c>
      <c r="L157" s="274">
        <v>-1728.0</v>
      </c>
      <c r="M157" s="274">
        <v>-132904.0</v>
      </c>
      <c r="N157" s="274">
        <v>14204.0</v>
      </c>
      <c r="O157" s="274">
        <v>0.0</v>
      </c>
      <c r="P157" s="274">
        <v>0.0</v>
      </c>
      <c r="Q157" s="274">
        <v>0.0</v>
      </c>
      <c r="R157" s="275">
        <v>0.0</v>
      </c>
      <c r="S157" s="274">
        <v>0.0</v>
      </c>
      <c r="T157" s="275">
        <v>0.0</v>
      </c>
      <c r="U157" s="274">
        <v>0.0</v>
      </c>
    </row>
    <row r="158">
      <c r="A158" s="37" t="s">
        <v>2196</v>
      </c>
      <c r="B158" s="278">
        <v>45597.0</v>
      </c>
      <c r="C158" s="37" t="s">
        <v>2198</v>
      </c>
      <c r="D158" s="37" t="s">
        <v>351</v>
      </c>
      <c r="E158" s="274">
        <v>0.0</v>
      </c>
      <c r="F158" s="274">
        <v>0.0</v>
      </c>
      <c r="G158" s="274">
        <v>0.0</v>
      </c>
      <c r="H158" s="275">
        <v>0.0</v>
      </c>
      <c r="I158" s="274">
        <v>0.0</v>
      </c>
      <c r="J158" s="274">
        <v>0.0</v>
      </c>
      <c r="K158" s="274">
        <v>0.0</v>
      </c>
      <c r="L158" s="274">
        <v>0.0</v>
      </c>
      <c r="M158" s="274">
        <v>-275319.0</v>
      </c>
      <c r="N158" s="274">
        <v>0.0</v>
      </c>
      <c r="O158" s="274">
        <v>0.0</v>
      </c>
      <c r="P158" s="274">
        <v>0.0</v>
      </c>
      <c r="Q158" s="274">
        <v>0.0</v>
      </c>
      <c r="R158" s="275">
        <v>0.0</v>
      </c>
      <c r="S158" s="274">
        <v>0.0</v>
      </c>
      <c r="T158" s="275">
        <v>0.0</v>
      </c>
      <c r="U158" s="274">
        <v>50015.0</v>
      </c>
    </row>
    <row r="159">
      <c r="A159" s="37" t="s">
        <v>2196</v>
      </c>
      <c r="B159" s="279">
        <v>45627.0</v>
      </c>
      <c r="C159" s="37" t="s">
        <v>16</v>
      </c>
      <c r="D159" s="37" t="s">
        <v>331</v>
      </c>
      <c r="E159" s="274">
        <v>34000.0</v>
      </c>
      <c r="F159" s="274">
        <v>87000.0</v>
      </c>
      <c r="G159" s="274">
        <v>41600.0</v>
      </c>
      <c r="H159" s="275">
        <v>0.4781609195402299</v>
      </c>
      <c r="I159" s="274">
        <v>53000.0</v>
      </c>
      <c r="J159" s="274">
        <v>7600.0</v>
      </c>
      <c r="K159" s="274">
        <v>6520.0</v>
      </c>
      <c r="L159" s="274">
        <v>0.0</v>
      </c>
      <c r="M159" s="274">
        <v>-46493.0</v>
      </c>
      <c r="N159" s="274">
        <v>46480.0</v>
      </c>
      <c r="O159" s="274">
        <v>109000.0</v>
      </c>
      <c r="P159" s="274">
        <v>68000.0</v>
      </c>
      <c r="Q159" s="274">
        <v>-41000.0</v>
      </c>
      <c r="R159" s="275">
        <v>31.0</v>
      </c>
      <c r="S159" s="274">
        <v>155.0</v>
      </c>
      <c r="T159" s="275">
        <v>0.8</v>
      </c>
      <c r="U159" s="274">
        <v>0.0</v>
      </c>
    </row>
    <row r="160">
      <c r="A160" s="37" t="s">
        <v>2196</v>
      </c>
      <c r="B160" s="279">
        <v>45627.0</v>
      </c>
      <c r="C160" s="37" t="s">
        <v>27</v>
      </c>
      <c r="D160" s="37" t="s">
        <v>351</v>
      </c>
      <c r="E160" s="274">
        <v>45000.0</v>
      </c>
      <c r="F160" s="274">
        <v>92300.0</v>
      </c>
      <c r="G160" s="274">
        <v>66504.0</v>
      </c>
      <c r="H160" s="275">
        <v>0.7205200433369447</v>
      </c>
      <c r="I160" s="274">
        <v>47300.0</v>
      </c>
      <c r="J160" s="274">
        <v>21504.0</v>
      </c>
      <c r="K160" s="274">
        <v>19150.0</v>
      </c>
      <c r="L160" s="274">
        <v>-1050.0</v>
      </c>
      <c r="M160" s="274">
        <v>-54826.0</v>
      </c>
      <c r="N160" s="274">
        <v>28150.0</v>
      </c>
      <c r="O160" s="274">
        <v>183000.0</v>
      </c>
      <c r="P160" s="274">
        <v>90000.0</v>
      </c>
      <c r="Q160" s="274">
        <v>-93000.0</v>
      </c>
      <c r="R160" s="275">
        <v>17.0</v>
      </c>
      <c r="S160" s="274">
        <v>217.0</v>
      </c>
      <c r="T160" s="275">
        <v>0.9216589861751152</v>
      </c>
      <c r="U160" s="274">
        <v>0.0</v>
      </c>
    </row>
    <row r="161">
      <c r="A161" s="37" t="s">
        <v>2196</v>
      </c>
      <c r="B161" s="279">
        <v>45627.0</v>
      </c>
      <c r="C161" s="37" t="s">
        <v>41</v>
      </c>
      <c r="D161" s="37" t="s">
        <v>331</v>
      </c>
      <c r="E161" s="274">
        <v>27000.0</v>
      </c>
      <c r="F161" s="274">
        <v>70900.0</v>
      </c>
      <c r="G161" s="274">
        <v>69400.0</v>
      </c>
      <c r="H161" s="275">
        <v>0.9788434414668548</v>
      </c>
      <c r="I161" s="274">
        <v>43900.0</v>
      </c>
      <c r="J161" s="274">
        <v>42400.0</v>
      </c>
      <c r="K161" s="274">
        <v>42370.0</v>
      </c>
      <c r="L161" s="274">
        <v>0.0</v>
      </c>
      <c r="M161" s="274">
        <v>92377.0</v>
      </c>
      <c r="N161" s="274">
        <v>1530.0</v>
      </c>
      <c r="O161" s="274">
        <v>138800.0</v>
      </c>
      <c r="P161" s="274">
        <v>54000.0</v>
      </c>
      <c r="Q161" s="274">
        <v>-84800.0</v>
      </c>
      <c r="R161" s="275">
        <v>0.0</v>
      </c>
      <c r="S161" s="274">
        <v>155.0</v>
      </c>
      <c r="T161" s="275">
        <v>1.0</v>
      </c>
      <c r="U161" s="274">
        <v>0.0</v>
      </c>
    </row>
    <row r="162">
      <c r="A162" s="37" t="s">
        <v>2196</v>
      </c>
      <c r="B162" s="279">
        <v>45627.0</v>
      </c>
      <c r="C162" s="37" t="s">
        <v>56</v>
      </c>
      <c r="D162" s="37" t="s">
        <v>331</v>
      </c>
      <c r="E162" s="274">
        <v>26000.0</v>
      </c>
      <c r="F162" s="274">
        <v>50900.0</v>
      </c>
      <c r="G162" s="274">
        <v>63000.0</v>
      </c>
      <c r="H162" s="275">
        <v>1.237721021611002</v>
      </c>
      <c r="I162" s="274">
        <v>24900.0</v>
      </c>
      <c r="J162" s="274">
        <v>37000.0</v>
      </c>
      <c r="K162" s="274">
        <v>33870.0</v>
      </c>
      <c r="L162" s="274">
        <v>-1200.0</v>
      </c>
      <c r="M162" s="274">
        <v>-18265.0</v>
      </c>
      <c r="N162" s="274">
        <v>-8970.0</v>
      </c>
      <c r="O162" s="274">
        <v>102400.0</v>
      </c>
      <c r="P162" s="274">
        <v>52000.0</v>
      </c>
      <c r="Q162" s="274">
        <v>-50400.0</v>
      </c>
      <c r="R162" s="275">
        <v>0.0</v>
      </c>
      <c r="S162" s="274">
        <v>124.0</v>
      </c>
      <c r="T162" s="275">
        <v>1.0</v>
      </c>
      <c r="U162" s="274">
        <v>0.0</v>
      </c>
    </row>
    <row r="163">
      <c r="A163" s="37" t="s">
        <v>2196</v>
      </c>
      <c r="B163" s="279">
        <v>45627.0</v>
      </c>
      <c r="C163" s="37" t="s">
        <v>69</v>
      </c>
      <c r="D163" s="37" t="s">
        <v>331</v>
      </c>
      <c r="E163" s="274">
        <v>25600.0</v>
      </c>
      <c r="F163" s="274">
        <v>85900.0</v>
      </c>
      <c r="G163" s="274">
        <v>323250.0</v>
      </c>
      <c r="H163" s="275">
        <v>3.7630966239813737</v>
      </c>
      <c r="I163" s="274">
        <v>60300.0</v>
      </c>
      <c r="J163" s="274">
        <v>297650.0</v>
      </c>
      <c r="K163" s="274">
        <v>-7964.0</v>
      </c>
      <c r="L163" s="274">
        <v>0.0</v>
      </c>
      <c r="M163" s="274">
        <v>-125141.0</v>
      </c>
      <c r="N163" s="274">
        <v>68264.0</v>
      </c>
      <c r="O163" s="274">
        <v>148800.0</v>
      </c>
      <c r="P163" s="274">
        <v>51200.0</v>
      </c>
      <c r="Q163" s="274">
        <v>-97600.0</v>
      </c>
      <c r="R163" s="275">
        <v>31.0</v>
      </c>
      <c r="S163" s="274">
        <v>155.0</v>
      </c>
      <c r="T163" s="275">
        <v>0.8</v>
      </c>
      <c r="U163" s="274">
        <v>0.0</v>
      </c>
    </row>
    <row r="164">
      <c r="A164" s="37" t="s">
        <v>2196</v>
      </c>
      <c r="B164" s="279">
        <v>45627.0</v>
      </c>
      <c r="C164" s="37" t="s">
        <v>82</v>
      </c>
      <c r="D164" s="37" t="s">
        <v>331</v>
      </c>
      <c r="E164" s="274">
        <v>38800.0</v>
      </c>
      <c r="F164" s="274">
        <v>106700.0</v>
      </c>
      <c r="G164" s="274">
        <v>73100.0</v>
      </c>
      <c r="H164" s="275">
        <v>0.6850984067478912</v>
      </c>
      <c r="I164" s="274">
        <v>67900.0</v>
      </c>
      <c r="J164" s="274">
        <v>34300.0</v>
      </c>
      <c r="K164" s="274">
        <v>23680.0</v>
      </c>
      <c r="L164" s="274">
        <v>-700.0</v>
      </c>
      <c r="M164" s="274">
        <v>173966.0</v>
      </c>
      <c r="N164" s="274">
        <v>44220.0</v>
      </c>
      <c r="O164" s="274">
        <v>209400.0</v>
      </c>
      <c r="P164" s="274">
        <v>77600.0</v>
      </c>
      <c r="Q164" s="274">
        <v>-131800.0</v>
      </c>
      <c r="R164" s="275">
        <v>0.0</v>
      </c>
      <c r="S164" s="274">
        <v>217.0</v>
      </c>
      <c r="T164" s="275">
        <v>1.0</v>
      </c>
      <c r="U164" s="274">
        <v>0.0</v>
      </c>
    </row>
    <row r="165">
      <c r="A165" s="37" t="s">
        <v>2196</v>
      </c>
      <c r="B165" s="279">
        <v>45627.0</v>
      </c>
      <c r="C165" s="37" t="s">
        <v>101</v>
      </c>
      <c r="D165" s="37" t="s">
        <v>351</v>
      </c>
      <c r="E165" s="274">
        <v>28800.0</v>
      </c>
      <c r="F165" s="274">
        <v>58500.0</v>
      </c>
      <c r="G165" s="274">
        <v>34119.0</v>
      </c>
      <c r="H165" s="275">
        <v>0.5832307692307692</v>
      </c>
      <c r="I165" s="274">
        <v>29700.0</v>
      </c>
      <c r="J165" s="274">
        <v>5319.0</v>
      </c>
      <c r="K165" s="274">
        <v>4000.0</v>
      </c>
      <c r="L165" s="274">
        <v>0.0</v>
      </c>
      <c r="M165" s="274">
        <v>375069.0</v>
      </c>
      <c r="N165" s="274">
        <v>25700.0</v>
      </c>
      <c r="O165" s="274">
        <v>112000.0</v>
      </c>
      <c r="P165" s="274">
        <v>57600.0</v>
      </c>
      <c r="Q165" s="274">
        <v>-54400.0</v>
      </c>
      <c r="R165" s="275">
        <v>10.0</v>
      </c>
      <c r="S165" s="274">
        <v>124.0</v>
      </c>
      <c r="T165" s="275">
        <v>0.9193548387096774</v>
      </c>
      <c r="U165" s="274">
        <v>0.0</v>
      </c>
    </row>
    <row r="166">
      <c r="A166" s="37" t="s">
        <v>2196</v>
      </c>
      <c r="B166" s="279">
        <v>45627.0</v>
      </c>
      <c r="C166" s="37" t="s">
        <v>110</v>
      </c>
      <c r="D166" s="37" t="s">
        <v>331</v>
      </c>
      <c r="E166" s="274">
        <v>36500.0</v>
      </c>
      <c r="F166" s="274">
        <v>67600.0</v>
      </c>
      <c r="G166" s="274">
        <v>84000.0</v>
      </c>
      <c r="H166" s="275">
        <v>1.242603550295858</v>
      </c>
      <c r="I166" s="274">
        <v>31100.0</v>
      </c>
      <c r="J166" s="274">
        <v>47500.0</v>
      </c>
      <c r="K166" s="274">
        <v>47500.0</v>
      </c>
      <c r="L166" s="274">
        <v>0.0</v>
      </c>
      <c r="M166" s="274">
        <v>-330148.0</v>
      </c>
      <c r="N166" s="274">
        <v>-16400.0</v>
      </c>
      <c r="O166" s="274">
        <v>136400.0</v>
      </c>
      <c r="P166" s="274">
        <v>73000.0</v>
      </c>
      <c r="Q166" s="274">
        <v>-63400.0</v>
      </c>
      <c r="R166" s="275">
        <v>0.0</v>
      </c>
      <c r="S166" s="274">
        <v>155.0</v>
      </c>
      <c r="T166" s="275">
        <v>1.0</v>
      </c>
      <c r="U166" s="274">
        <v>0.0</v>
      </c>
    </row>
    <row r="167">
      <c r="A167" s="37" t="s">
        <v>2196</v>
      </c>
      <c r="B167" s="279">
        <v>45627.0</v>
      </c>
      <c r="C167" s="37" t="s">
        <v>119</v>
      </c>
      <c r="D167" s="37" t="s">
        <v>331</v>
      </c>
      <c r="E167" s="274">
        <v>12000.0</v>
      </c>
      <c r="F167" s="274">
        <v>22000.0</v>
      </c>
      <c r="G167" s="274">
        <v>22000.0</v>
      </c>
      <c r="H167" s="275">
        <v>1.0</v>
      </c>
      <c r="I167" s="274">
        <v>10000.0</v>
      </c>
      <c r="J167" s="274">
        <v>10000.0</v>
      </c>
      <c r="K167" s="274">
        <v>9985.0</v>
      </c>
      <c r="L167" s="274">
        <v>0.0</v>
      </c>
      <c r="M167" s="274">
        <v>-17114.0</v>
      </c>
      <c r="N167" s="274">
        <v>15.0</v>
      </c>
      <c r="O167" s="274">
        <v>44000.0</v>
      </c>
      <c r="P167" s="274">
        <v>24000.0</v>
      </c>
      <c r="Q167" s="274">
        <v>-20000.0</v>
      </c>
      <c r="R167" s="275">
        <v>0.0</v>
      </c>
      <c r="S167" s="274">
        <v>31.0</v>
      </c>
      <c r="T167" s="275">
        <v>1.0</v>
      </c>
      <c r="U167" s="274">
        <v>0.0</v>
      </c>
    </row>
    <row r="168">
      <c r="A168" s="37" t="s">
        <v>2196</v>
      </c>
      <c r="B168" s="278">
        <v>45627.0</v>
      </c>
      <c r="C168" s="37" t="s">
        <v>122</v>
      </c>
      <c r="D168" s="37" t="s">
        <v>331</v>
      </c>
      <c r="E168" s="274">
        <v>35500.0</v>
      </c>
      <c r="F168" s="274">
        <v>58400.0</v>
      </c>
      <c r="G168" s="274">
        <v>47000.0</v>
      </c>
      <c r="H168" s="275">
        <v>0.8047945205479452</v>
      </c>
      <c r="I168" s="274">
        <v>22900.0</v>
      </c>
      <c r="J168" s="274">
        <v>11500.0</v>
      </c>
      <c r="K168" s="274">
        <v>-9976.0</v>
      </c>
      <c r="L168" s="274">
        <v>-1939.0</v>
      </c>
      <c r="M168" s="274">
        <v>-214641.0</v>
      </c>
      <c r="N168" s="274">
        <v>32876.0</v>
      </c>
      <c r="O168" s="274">
        <v>118400.0</v>
      </c>
      <c r="P168" s="274">
        <v>71000.0</v>
      </c>
      <c r="Q168" s="274">
        <v>-47400.0</v>
      </c>
      <c r="R168" s="275">
        <v>0.0</v>
      </c>
      <c r="S168" s="274">
        <v>124.0</v>
      </c>
      <c r="T168" s="275">
        <v>1.0</v>
      </c>
      <c r="U168" s="274">
        <v>0.0</v>
      </c>
    </row>
    <row r="169">
      <c r="A169" s="37" t="s">
        <v>2196</v>
      </c>
      <c r="B169" s="278">
        <v>45627.0</v>
      </c>
      <c r="C169" s="37" t="s">
        <v>135</v>
      </c>
      <c r="D169" s="37" t="s">
        <v>331</v>
      </c>
      <c r="E169" s="274">
        <v>25000.0</v>
      </c>
      <c r="F169" s="274">
        <v>66000.0</v>
      </c>
      <c r="G169" s="274">
        <v>77000.0</v>
      </c>
      <c r="H169" s="275">
        <v>1.1666666666666667</v>
      </c>
      <c r="I169" s="274">
        <v>41000.0</v>
      </c>
      <c r="J169" s="274">
        <v>52000.0</v>
      </c>
      <c r="K169" s="274">
        <v>59942.0</v>
      </c>
      <c r="L169" s="274">
        <v>-93.0</v>
      </c>
      <c r="M169" s="274">
        <v>-424460.0</v>
      </c>
      <c r="N169" s="274">
        <v>-18942.0</v>
      </c>
      <c r="O169" s="274">
        <v>127400.0</v>
      </c>
      <c r="P169" s="274">
        <v>50000.0</v>
      </c>
      <c r="Q169" s="274">
        <v>-77400.0</v>
      </c>
      <c r="R169" s="275">
        <v>0.0</v>
      </c>
      <c r="S169" s="274">
        <v>155.0</v>
      </c>
      <c r="T169" s="275">
        <v>1.0</v>
      </c>
      <c r="U169" s="274">
        <v>0.0</v>
      </c>
    </row>
    <row r="170">
      <c r="A170" s="37" t="s">
        <v>2196</v>
      </c>
      <c r="B170" s="278">
        <v>45627.0</v>
      </c>
      <c r="C170" s="37" t="s">
        <v>150</v>
      </c>
      <c r="D170" s="37" t="s">
        <v>331</v>
      </c>
      <c r="E170" s="274">
        <v>23000.0</v>
      </c>
      <c r="F170" s="274">
        <v>54900.0</v>
      </c>
      <c r="G170" s="274">
        <v>67040.0</v>
      </c>
      <c r="H170" s="275">
        <v>1.2211293260473588</v>
      </c>
      <c r="I170" s="274">
        <v>31900.0</v>
      </c>
      <c r="J170" s="274">
        <v>44040.0</v>
      </c>
      <c r="K170" s="274">
        <v>55787.0</v>
      </c>
      <c r="L170" s="274">
        <v>0.0</v>
      </c>
      <c r="M170" s="274">
        <v>-551489.0</v>
      </c>
      <c r="N170" s="274">
        <v>-23887.0</v>
      </c>
      <c r="O170" s="274">
        <v>113200.0</v>
      </c>
      <c r="P170" s="274">
        <v>46000.0</v>
      </c>
      <c r="Q170" s="274">
        <v>-67200.0</v>
      </c>
      <c r="R170" s="275">
        <v>0.0</v>
      </c>
      <c r="S170" s="274">
        <v>124.0</v>
      </c>
      <c r="T170" s="275">
        <v>1.0</v>
      </c>
      <c r="U170" s="274">
        <v>0.0</v>
      </c>
    </row>
    <row r="171">
      <c r="A171" s="37" t="s">
        <v>2196</v>
      </c>
      <c r="B171" s="279">
        <v>45627.0</v>
      </c>
      <c r="C171" s="37" t="s">
        <v>163</v>
      </c>
      <c r="D171" s="37" t="s">
        <v>351</v>
      </c>
      <c r="E171" s="274">
        <v>39800.0</v>
      </c>
      <c r="F171" s="274">
        <v>80000.0</v>
      </c>
      <c r="G171" s="274">
        <v>73071.0</v>
      </c>
      <c r="H171" s="275">
        <v>0.9133875</v>
      </c>
      <c r="I171" s="274">
        <v>40200.0</v>
      </c>
      <c r="J171" s="274">
        <v>33271.0</v>
      </c>
      <c r="K171" s="274">
        <v>69690.0</v>
      </c>
      <c r="L171" s="274">
        <v>-427.0</v>
      </c>
      <c r="M171" s="274">
        <v>-501584.385</v>
      </c>
      <c r="N171" s="274">
        <v>-29490.0</v>
      </c>
      <c r="O171" s="274">
        <v>164400.0</v>
      </c>
      <c r="P171" s="274">
        <v>79600.0</v>
      </c>
      <c r="Q171" s="274">
        <v>-84800.0</v>
      </c>
      <c r="R171" s="275">
        <v>7.0</v>
      </c>
      <c r="S171" s="274">
        <v>155.0</v>
      </c>
      <c r="T171" s="275">
        <v>0.9548387096774194</v>
      </c>
      <c r="U171" s="274">
        <v>0.0</v>
      </c>
    </row>
    <row r="172">
      <c r="A172" s="37" t="s">
        <v>2196</v>
      </c>
      <c r="B172" s="279">
        <v>45627.0</v>
      </c>
      <c r="C172" s="37" t="s">
        <v>178</v>
      </c>
      <c r="D172" s="37" t="s">
        <v>331</v>
      </c>
      <c r="E172" s="274">
        <v>36000.0</v>
      </c>
      <c r="F172" s="274">
        <v>83000.0</v>
      </c>
      <c r="G172" s="274">
        <v>87448.0</v>
      </c>
      <c r="H172" s="275">
        <v>1.053590361445783</v>
      </c>
      <c r="I172" s="274">
        <v>47000.0</v>
      </c>
      <c r="J172" s="274">
        <v>51448.0</v>
      </c>
      <c r="K172" s="274">
        <v>-19105.0</v>
      </c>
      <c r="L172" s="274">
        <v>0.0</v>
      </c>
      <c r="M172" s="274">
        <v>-515123.0</v>
      </c>
      <c r="N172" s="274">
        <v>66105.0</v>
      </c>
      <c r="O172" s="274">
        <v>106000.0</v>
      </c>
      <c r="P172" s="274">
        <v>72000.0</v>
      </c>
      <c r="Q172" s="274">
        <v>-34000.0</v>
      </c>
      <c r="R172" s="275">
        <v>93.0</v>
      </c>
      <c r="S172" s="274">
        <v>155.0</v>
      </c>
      <c r="T172" s="275">
        <v>0.4</v>
      </c>
      <c r="U172" s="274">
        <v>0.0</v>
      </c>
    </row>
    <row r="173">
      <c r="A173" s="37" t="s">
        <v>2196</v>
      </c>
      <c r="B173" s="279">
        <v>45627.0</v>
      </c>
      <c r="C173" s="37" t="s">
        <v>2197</v>
      </c>
      <c r="D173" s="37" t="s">
        <v>331</v>
      </c>
      <c r="E173" s="274">
        <v>0.0</v>
      </c>
      <c r="F173" s="274">
        <v>0.0</v>
      </c>
      <c r="G173" s="274">
        <v>3358.0</v>
      </c>
      <c r="H173" s="275">
        <v>0.0</v>
      </c>
      <c r="I173" s="274">
        <v>0.0</v>
      </c>
      <c r="J173" s="274">
        <v>3358.0</v>
      </c>
      <c r="K173" s="274">
        <v>-20237.0</v>
      </c>
      <c r="L173" s="274">
        <v>-3200.0</v>
      </c>
      <c r="M173" s="274">
        <v>-153141.0</v>
      </c>
      <c r="N173" s="274">
        <v>20237.0</v>
      </c>
      <c r="O173" s="274">
        <v>0.0</v>
      </c>
      <c r="P173" s="274">
        <v>0.0</v>
      </c>
      <c r="Q173" s="274">
        <v>0.0</v>
      </c>
      <c r="R173" s="275">
        <v>0.0</v>
      </c>
      <c r="S173" s="274">
        <v>0.0</v>
      </c>
      <c r="T173" s="275">
        <v>0.0</v>
      </c>
      <c r="U173" s="274">
        <v>320030.0</v>
      </c>
    </row>
    <row r="174">
      <c r="A174" s="37" t="s">
        <v>2196</v>
      </c>
      <c r="B174" s="278">
        <v>45627.0</v>
      </c>
      <c r="C174" s="37" t="s">
        <v>2198</v>
      </c>
      <c r="D174" s="37" t="s">
        <v>351</v>
      </c>
      <c r="E174" s="274">
        <v>0.0</v>
      </c>
      <c r="F174" s="274">
        <v>0.0</v>
      </c>
      <c r="G174" s="274">
        <v>2744.0</v>
      </c>
      <c r="H174" s="275">
        <v>0.0</v>
      </c>
      <c r="I174" s="274">
        <v>0.0</v>
      </c>
      <c r="J174" s="274">
        <v>2744.0</v>
      </c>
      <c r="K174" s="274">
        <v>2044.0</v>
      </c>
      <c r="L174" s="274">
        <v>-700.0</v>
      </c>
      <c r="M174" s="274">
        <v>-273275.0</v>
      </c>
      <c r="N174" s="274">
        <v>-2044.0</v>
      </c>
      <c r="O174" s="274">
        <v>0.0</v>
      </c>
      <c r="P174" s="274">
        <v>0.0</v>
      </c>
      <c r="Q174" s="274">
        <v>0.0</v>
      </c>
      <c r="R174" s="275">
        <v>0.0</v>
      </c>
      <c r="S174" s="274">
        <v>0.0</v>
      </c>
      <c r="T174" s="275">
        <v>0.0</v>
      </c>
      <c r="U174" s="274">
        <v>250030.0</v>
      </c>
    </row>
    <row r="175">
      <c r="A175" s="37" t="s">
        <v>2196</v>
      </c>
      <c r="B175" s="278">
        <v>45658.0</v>
      </c>
      <c r="C175" s="37" t="s">
        <v>16</v>
      </c>
      <c r="D175" s="37" t="s">
        <v>331</v>
      </c>
      <c r="E175" s="274">
        <v>34000.0</v>
      </c>
      <c r="F175" s="274">
        <v>87000.0</v>
      </c>
      <c r="G175" s="274">
        <v>67400.0</v>
      </c>
      <c r="H175" s="275">
        <v>0.774712643678161</v>
      </c>
      <c r="I175" s="274">
        <v>53000.0</v>
      </c>
      <c r="J175" s="274">
        <v>33400.0</v>
      </c>
      <c r="K175" s="274">
        <v>33370.0</v>
      </c>
      <c r="L175" s="274">
        <v>0.0</v>
      </c>
      <c r="M175" s="274">
        <v>-13123.0</v>
      </c>
      <c r="N175" s="274">
        <v>19630.0</v>
      </c>
      <c r="O175" s="274">
        <v>109000.0</v>
      </c>
      <c r="P175" s="274">
        <v>68000.0</v>
      </c>
      <c r="Q175" s="274">
        <v>-41000.0</v>
      </c>
      <c r="R175" s="275">
        <v>31.0</v>
      </c>
      <c r="S175" s="274">
        <v>155.0</v>
      </c>
      <c r="T175" s="275">
        <v>0.8</v>
      </c>
      <c r="U175" s="274">
        <v>0.0</v>
      </c>
    </row>
    <row r="176">
      <c r="A176" s="37" t="s">
        <v>2196</v>
      </c>
      <c r="B176" s="278">
        <v>45658.0</v>
      </c>
      <c r="C176" s="37" t="s">
        <v>27</v>
      </c>
      <c r="D176" s="37" t="s">
        <v>351</v>
      </c>
      <c r="E176" s="274">
        <v>45000.0</v>
      </c>
      <c r="F176" s="274">
        <v>92300.0</v>
      </c>
      <c r="G176" s="274">
        <v>63200.0</v>
      </c>
      <c r="H176" s="275">
        <v>0.6847237269772481</v>
      </c>
      <c r="I176" s="274">
        <v>47300.0</v>
      </c>
      <c r="J176" s="274">
        <v>18200.0</v>
      </c>
      <c r="K176" s="274">
        <v>17633.0</v>
      </c>
      <c r="L176" s="274">
        <v>-552.0</v>
      </c>
      <c r="M176" s="274">
        <v>-37193.0</v>
      </c>
      <c r="N176" s="274">
        <v>29667.0</v>
      </c>
      <c r="O176" s="274">
        <v>183000.0</v>
      </c>
      <c r="P176" s="274">
        <v>90000.0</v>
      </c>
      <c r="Q176" s="274">
        <v>-93000.0</v>
      </c>
      <c r="R176" s="275">
        <v>0.0</v>
      </c>
      <c r="S176" s="274">
        <v>217.0</v>
      </c>
      <c r="T176" s="275">
        <v>1.0</v>
      </c>
      <c r="U176" s="274">
        <v>0.0</v>
      </c>
    </row>
    <row r="177">
      <c r="A177" s="37" t="s">
        <v>2196</v>
      </c>
      <c r="B177" s="279">
        <v>45658.0</v>
      </c>
      <c r="C177" s="37" t="s">
        <v>41</v>
      </c>
      <c r="D177" s="37" t="s">
        <v>331</v>
      </c>
      <c r="E177" s="274">
        <v>27000.0</v>
      </c>
      <c r="F177" s="274">
        <v>70900.0</v>
      </c>
      <c r="G177" s="274">
        <v>82200.0</v>
      </c>
      <c r="H177" s="275">
        <v>1.159379407616361</v>
      </c>
      <c r="I177" s="274">
        <v>43900.0</v>
      </c>
      <c r="J177" s="274">
        <v>55200.0</v>
      </c>
      <c r="K177" s="274">
        <v>49170.0</v>
      </c>
      <c r="L177" s="274">
        <v>0.0</v>
      </c>
      <c r="M177" s="274">
        <v>141547.0</v>
      </c>
      <c r="N177" s="274">
        <v>-5270.0</v>
      </c>
      <c r="O177" s="274">
        <v>138800.0</v>
      </c>
      <c r="P177" s="274">
        <v>54000.0</v>
      </c>
      <c r="Q177" s="274">
        <v>-84800.0</v>
      </c>
      <c r="R177" s="275">
        <v>0.0</v>
      </c>
      <c r="S177" s="274">
        <v>155.0</v>
      </c>
      <c r="T177" s="275">
        <v>1.0</v>
      </c>
      <c r="U177" s="274">
        <v>0.0</v>
      </c>
    </row>
    <row r="178">
      <c r="A178" s="37" t="s">
        <v>2196</v>
      </c>
      <c r="B178" s="279">
        <v>45658.0</v>
      </c>
      <c r="C178" s="37" t="s">
        <v>56</v>
      </c>
      <c r="D178" s="37" t="s">
        <v>331</v>
      </c>
      <c r="E178" s="274">
        <v>26000.0</v>
      </c>
      <c r="F178" s="274">
        <v>50900.0</v>
      </c>
      <c r="G178" s="274">
        <v>51200.0</v>
      </c>
      <c r="H178" s="275">
        <v>1.005893909626719</v>
      </c>
      <c r="I178" s="274">
        <v>24900.0</v>
      </c>
      <c r="J178" s="274">
        <v>25200.0</v>
      </c>
      <c r="K178" s="274">
        <v>25170.0</v>
      </c>
      <c r="L178" s="274">
        <v>0.0</v>
      </c>
      <c r="M178" s="274">
        <v>6905.0</v>
      </c>
      <c r="N178" s="274">
        <v>-270.0</v>
      </c>
      <c r="O178" s="274">
        <v>102400.0</v>
      </c>
      <c r="P178" s="274">
        <v>52000.0</v>
      </c>
      <c r="Q178" s="274">
        <v>-50400.0</v>
      </c>
      <c r="R178" s="275">
        <v>0.0</v>
      </c>
      <c r="S178" s="274">
        <v>124.0</v>
      </c>
      <c r="T178" s="275">
        <v>1.0</v>
      </c>
      <c r="U178" s="274">
        <v>0.0</v>
      </c>
    </row>
    <row r="179">
      <c r="A179" s="37" t="s">
        <v>2196</v>
      </c>
      <c r="B179" s="279">
        <v>45658.0</v>
      </c>
      <c r="C179" s="37" t="s">
        <v>69</v>
      </c>
      <c r="D179" s="37" t="s">
        <v>331</v>
      </c>
      <c r="E179" s="274">
        <v>25600.0</v>
      </c>
      <c r="F179" s="274">
        <v>85900.0</v>
      </c>
      <c r="G179" s="274">
        <v>87400.0</v>
      </c>
      <c r="H179" s="275">
        <v>1.0174621653084983</v>
      </c>
      <c r="I179" s="274">
        <v>60300.0</v>
      </c>
      <c r="J179" s="274">
        <v>61800.0</v>
      </c>
      <c r="K179" s="274">
        <v>59445.0</v>
      </c>
      <c r="L179" s="274">
        <v>0.0</v>
      </c>
      <c r="M179" s="274">
        <v>-65696.0</v>
      </c>
      <c r="N179" s="274">
        <v>855.0</v>
      </c>
      <c r="O179" s="274">
        <v>148800.0</v>
      </c>
      <c r="P179" s="274">
        <v>51200.0</v>
      </c>
      <c r="Q179" s="274">
        <v>-97600.0</v>
      </c>
      <c r="R179" s="275">
        <v>31.0</v>
      </c>
      <c r="S179" s="274">
        <v>155.0</v>
      </c>
      <c r="T179" s="275">
        <v>0.8</v>
      </c>
      <c r="U179" s="274">
        <v>0.0</v>
      </c>
    </row>
    <row r="180">
      <c r="A180" s="37" t="s">
        <v>2196</v>
      </c>
      <c r="B180" s="279">
        <v>45658.0</v>
      </c>
      <c r="C180" s="37" t="s">
        <v>82</v>
      </c>
      <c r="D180" s="37" t="s">
        <v>331</v>
      </c>
      <c r="E180" s="274">
        <v>38800.0</v>
      </c>
      <c r="F180" s="274">
        <v>106700.0</v>
      </c>
      <c r="G180" s="274">
        <v>117500.0</v>
      </c>
      <c r="H180" s="275">
        <v>1.1012183692596065</v>
      </c>
      <c r="I180" s="274">
        <v>67900.0</v>
      </c>
      <c r="J180" s="274">
        <v>78700.0</v>
      </c>
      <c r="K180" s="274">
        <v>74470.0</v>
      </c>
      <c r="L180" s="274">
        <v>-4200.0</v>
      </c>
      <c r="M180" s="274">
        <v>248436.0</v>
      </c>
      <c r="N180" s="274">
        <v>-6570.0</v>
      </c>
      <c r="O180" s="274">
        <v>209400.0</v>
      </c>
      <c r="P180" s="274">
        <v>77600.0</v>
      </c>
      <c r="Q180" s="274">
        <v>-131800.0</v>
      </c>
      <c r="R180" s="275">
        <v>0.0</v>
      </c>
      <c r="S180" s="274">
        <v>217.0</v>
      </c>
      <c r="T180" s="275">
        <v>1.0</v>
      </c>
      <c r="U180" s="274">
        <v>0.0</v>
      </c>
    </row>
    <row r="181">
      <c r="A181" s="37" t="s">
        <v>2196</v>
      </c>
      <c r="B181" s="279">
        <v>45658.0</v>
      </c>
      <c r="C181" s="37" t="s">
        <v>101</v>
      </c>
      <c r="D181" s="37" t="s">
        <v>351</v>
      </c>
      <c r="E181" s="274">
        <v>28800.0</v>
      </c>
      <c r="F181" s="274">
        <v>58500.0</v>
      </c>
      <c r="G181" s="274">
        <v>46700.0</v>
      </c>
      <c r="H181" s="275">
        <v>0.7982905982905983</v>
      </c>
      <c r="I181" s="274">
        <v>29700.0</v>
      </c>
      <c r="J181" s="274">
        <v>17900.0</v>
      </c>
      <c r="K181" s="274">
        <v>17870.0</v>
      </c>
      <c r="L181" s="274">
        <v>0.0</v>
      </c>
      <c r="M181" s="274">
        <v>392939.0</v>
      </c>
      <c r="N181" s="274">
        <v>11830.0</v>
      </c>
      <c r="O181" s="274">
        <v>112000.0</v>
      </c>
      <c r="P181" s="274">
        <v>57600.0</v>
      </c>
      <c r="Q181" s="274">
        <v>-54400.0</v>
      </c>
      <c r="R181" s="275">
        <v>0.0</v>
      </c>
      <c r="S181" s="274">
        <v>124.0</v>
      </c>
      <c r="T181" s="275">
        <v>1.0</v>
      </c>
      <c r="U181" s="274">
        <v>0.0</v>
      </c>
    </row>
    <row r="182">
      <c r="A182" s="37" t="s">
        <v>2196</v>
      </c>
      <c r="B182" s="279">
        <v>45658.0</v>
      </c>
      <c r="C182" s="37" t="s">
        <v>110</v>
      </c>
      <c r="D182" s="37" t="s">
        <v>331</v>
      </c>
      <c r="E182" s="274">
        <v>36500.0</v>
      </c>
      <c r="F182" s="274">
        <v>67600.0</v>
      </c>
      <c r="G182" s="274">
        <v>52400.0</v>
      </c>
      <c r="H182" s="275">
        <v>0.7751479289940828</v>
      </c>
      <c r="I182" s="274">
        <v>31100.0</v>
      </c>
      <c r="J182" s="274">
        <v>15900.0</v>
      </c>
      <c r="K182" s="274">
        <v>13339.0</v>
      </c>
      <c r="L182" s="274">
        <v>-1272.0</v>
      </c>
      <c r="M182" s="274">
        <v>-316809.0</v>
      </c>
      <c r="N182" s="274">
        <v>17761.0</v>
      </c>
      <c r="O182" s="274">
        <v>136400.0</v>
      </c>
      <c r="P182" s="274">
        <v>73000.0</v>
      </c>
      <c r="Q182" s="274">
        <v>-63400.0</v>
      </c>
      <c r="R182" s="275">
        <v>0.0</v>
      </c>
      <c r="S182" s="274">
        <v>155.0</v>
      </c>
      <c r="T182" s="275">
        <v>1.0</v>
      </c>
      <c r="U182" s="274">
        <v>0.0</v>
      </c>
    </row>
    <row r="183">
      <c r="A183" s="37" t="s">
        <v>2196</v>
      </c>
      <c r="B183" s="279">
        <v>45658.0</v>
      </c>
      <c r="C183" s="37" t="s">
        <v>119</v>
      </c>
      <c r="D183" s="37" t="s">
        <v>331</v>
      </c>
      <c r="E183" s="274">
        <v>12000.0</v>
      </c>
      <c r="F183" s="274">
        <v>22000.0</v>
      </c>
      <c r="G183" s="274">
        <v>22000.0</v>
      </c>
      <c r="H183" s="275">
        <v>1.0</v>
      </c>
      <c r="I183" s="274">
        <v>10000.0</v>
      </c>
      <c r="J183" s="274">
        <v>10000.0</v>
      </c>
      <c r="K183" s="274">
        <v>9985.0</v>
      </c>
      <c r="L183" s="274">
        <v>0.0</v>
      </c>
      <c r="M183" s="274">
        <v>-7129.0</v>
      </c>
      <c r="N183" s="274">
        <v>15.0</v>
      </c>
      <c r="O183" s="274">
        <v>44000.0</v>
      </c>
      <c r="P183" s="274">
        <v>24000.0</v>
      </c>
      <c r="Q183" s="274">
        <v>-20000.0</v>
      </c>
      <c r="R183" s="275">
        <v>0.0</v>
      </c>
      <c r="S183" s="274">
        <v>31.0</v>
      </c>
      <c r="T183" s="275">
        <v>1.0</v>
      </c>
      <c r="U183" s="274">
        <v>0.0</v>
      </c>
    </row>
    <row r="184">
      <c r="A184" s="37" t="s">
        <v>2196</v>
      </c>
      <c r="B184" s="279">
        <v>45658.0</v>
      </c>
      <c r="C184" s="37" t="s">
        <v>122</v>
      </c>
      <c r="D184" s="37" t="s">
        <v>331</v>
      </c>
      <c r="E184" s="274">
        <v>35500.0</v>
      </c>
      <c r="F184" s="274">
        <v>58400.0</v>
      </c>
      <c r="G184" s="274">
        <v>73700.0</v>
      </c>
      <c r="H184" s="275">
        <v>1.2619863013698631</v>
      </c>
      <c r="I184" s="274">
        <v>22900.0</v>
      </c>
      <c r="J184" s="274">
        <v>38200.0</v>
      </c>
      <c r="K184" s="274">
        <v>31066.0</v>
      </c>
      <c r="L184" s="274">
        <v>-800.0</v>
      </c>
      <c r="M184" s="274">
        <v>-183575.0</v>
      </c>
      <c r="N184" s="274">
        <v>-8166.0</v>
      </c>
      <c r="O184" s="274">
        <v>118400.0</v>
      </c>
      <c r="P184" s="274">
        <v>71000.0</v>
      </c>
      <c r="Q184" s="274">
        <v>-47400.0</v>
      </c>
      <c r="R184" s="275">
        <v>0.0</v>
      </c>
      <c r="S184" s="274">
        <v>124.0</v>
      </c>
      <c r="T184" s="275">
        <v>1.0</v>
      </c>
      <c r="U184" s="274">
        <v>0.0</v>
      </c>
    </row>
    <row r="185">
      <c r="A185" s="37" t="s">
        <v>2196</v>
      </c>
      <c r="B185" s="279">
        <v>45658.0</v>
      </c>
      <c r="C185" s="37" t="s">
        <v>135</v>
      </c>
      <c r="D185" s="37" t="s">
        <v>331</v>
      </c>
      <c r="E185" s="274">
        <v>25000.0</v>
      </c>
      <c r="F185" s="274">
        <v>66000.0</v>
      </c>
      <c r="G185" s="274">
        <v>73000.0</v>
      </c>
      <c r="H185" s="275">
        <v>1.106060606060606</v>
      </c>
      <c r="I185" s="274">
        <v>41000.0</v>
      </c>
      <c r="J185" s="274">
        <v>48000.0</v>
      </c>
      <c r="K185" s="274">
        <v>44650.0</v>
      </c>
      <c r="L185" s="274">
        <v>-3200.0</v>
      </c>
      <c r="M185" s="274">
        <v>-379810.0</v>
      </c>
      <c r="N185" s="274">
        <v>-3650.0</v>
      </c>
      <c r="O185" s="274">
        <v>127400.0</v>
      </c>
      <c r="P185" s="274">
        <v>50000.0</v>
      </c>
      <c r="Q185" s="274">
        <v>-77400.0</v>
      </c>
      <c r="R185" s="275">
        <v>0.0</v>
      </c>
      <c r="S185" s="274">
        <v>155.0</v>
      </c>
      <c r="T185" s="275">
        <v>1.0</v>
      </c>
      <c r="U185" s="274">
        <v>0.0</v>
      </c>
    </row>
    <row r="186">
      <c r="A186" s="37" t="s">
        <v>2196</v>
      </c>
      <c r="B186" s="278">
        <v>45658.0</v>
      </c>
      <c r="C186" s="37" t="s">
        <v>150</v>
      </c>
      <c r="D186" s="37" t="s">
        <v>331</v>
      </c>
      <c r="E186" s="274">
        <v>23000.0</v>
      </c>
      <c r="F186" s="274">
        <v>54900.0</v>
      </c>
      <c r="G186" s="274">
        <v>56700.0</v>
      </c>
      <c r="H186" s="275">
        <v>1.0327868852459017</v>
      </c>
      <c r="I186" s="274">
        <v>31900.0</v>
      </c>
      <c r="J186" s="274">
        <v>33700.0</v>
      </c>
      <c r="K186" s="274">
        <v>32473.0</v>
      </c>
      <c r="L186" s="274">
        <v>-1197.0</v>
      </c>
      <c r="M186" s="274">
        <v>-519016.0</v>
      </c>
      <c r="N186" s="274">
        <v>-573.0</v>
      </c>
      <c r="O186" s="274">
        <v>113200.0</v>
      </c>
      <c r="P186" s="274">
        <v>46000.0</v>
      </c>
      <c r="Q186" s="274">
        <v>-67200.0</v>
      </c>
      <c r="R186" s="275">
        <v>0.0</v>
      </c>
      <c r="S186" s="274">
        <v>124.0</v>
      </c>
      <c r="T186" s="275">
        <v>1.0</v>
      </c>
      <c r="U186" s="274">
        <v>0.0</v>
      </c>
    </row>
    <row r="187">
      <c r="A187" s="37" t="s">
        <v>2196</v>
      </c>
      <c r="B187" s="278">
        <v>45658.0</v>
      </c>
      <c r="C187" s="37" t="s">
        <v>163</v>
      </c>
      <c r="D187" s="37" t="s">
        <v>351</v>
      </c>
      <c r="E187" s="274">
        <v>39800.0</v>
      </c>
      <c r="F187" s="274">
        <v>80000.0</v>
      </c>
      <c r="G187" s="274">
        <v>57000.0</v>
      </c>
      <c r="H187" s="275">
        <v>0.7125</v>
      </c>
      <c r="I187" s="274">
        <v>40200.0</v>
      </c>
      <c r="J187" s="274">
        <v>17200.0</v>
      </c>
      <c r="K187" s="274">
        <v>57000.0</v>
      </c>
      <c r="L187" s="274">
        <v>0.0</v>
      </c>
      <c r="M187" s="274">
        <v>-444584.385</v>
      </c>
      <c r="N187" s="274">
        <v>-16800.0</v>
      </c>
      <c r="O187" s="274">
        <v>164400.0</v>
      </c>
      <c r="P187" s="274">
        <v>79600.0</v>
      </c>
      <c r="Q187" s="274">
        <v>-84800.0</v>
      </c>
      <c r="R187" s="275">
        <v>0.0</v>
      </c>
      <c r="S187" s="274">
        <v>155.0</v>
      </c>
      <c r="T187" s="275">
        <v>1.0</v>
      </c>
      <c r="U187" s="274">
        <v>0.0</v>
      </c>
    </row>
    <row r="188">
      <c r="A188" s="37" t="s">
        <v>2196</v>
      </c>
      <c r="B188" s="278">
        <v>45658.0</v>
      </c>
      <c r="C188" s="37" t="s">
        <v>178</v>
      </c>
      <c r="D188" s="37" t="s">
        <v>331</v>
      </c>
      <c r="E188" s="274">
        <v>36000.0</v>
      </c>
      <c r="F188" s="274">
        <v>83000.0</v>
      </c>
      <c r="G188" s="274">
        <v>84000.0</v>
      </c>
      <c r="H188" s="275">
        <v>1.0120481927710843</v>
      </c>
      <c r="I188" s="274">
        <v>47000.0</v>
      </c>
      <c r="J188" s="274">
        <v>48000.0</v>
      </c>
      <c r="K188" s="274">
        <v>44260.0</v>
      </c>
      <c r="L188" s="274">
        <v>-3710.0</v>
      </c>
      <c r="M188" s="274">
        <v>-470863.0</v>
      </c>
      <c r="N188" s="274">
        <v>2740.0</v>
      </c>
      <c r="O188" s="274">
        <v>106000.0</v>
      </c>
      <c r="P188" s="274">
        <v>72000.0</v>
      </c>
      <c r="Q188" s="274">
        <v>-34000.0</v>
      </c>
      <c r="R188" s="275">
        <v>31.0</v>
      </c>
      <c r="S188" s="274">
        <v>155.0</v>
      </c>
      <c r="T188" s="275">
        <v>0.8</v>
      </c>
      <c r="U188" s="274">
        <v>0.0</v>
      </c>
    </row>
    <row r="189">
      <c r="A189" s="37" t="s">
        <v>2196</v>
      </c>
      <c r="B189" s="279">
        <v>45658.0</v>
      </c>
      <c r="C189" s="37" t="s">
        <v>2197</v>
      </c>
      <c r="D189" s="37" t="s">
        <v>331</v>
      </c>
      <c r="E189" s="274">
        <v>0.0</v>
      </c>
      <c r="F189" s="274">
        <v>0.0</v>
      </c>
      <c r="G189" s="274">
        <v>0.0</v>
      </c>
      <c r="H189" s="275">
        <v>0.0</v>
      </c>
      <c r="I189" s="274">
        <v>0.0</v>
      </c>
      <c r="J189" s="274">
        <v>0.0</v>
      </c>
      <c r="K189" s="274">
        <v>-101460.0</v>
      </c>
      <c r="L189" s="274">
        <v>-4400.0</v>
      </c>
      <c r="M189" s="274">
        <v>-254601.0</v>
      </c>
      <c r="N189" s="274">
        <v>101460.0</v>
      </c>
      <c r="O189" s="274">
        <v>0.0</v>
      </c>
      <c r="P189" s="274">
        <v>0.0</v>
      </c>
      <c r="Q189" s="274">
        <v>0.0</v>
      </c>
      <c r="R189" s="275">
        <v>0.0</v>
      </c>
      <c r="S189" s="274">
        <v>0.0</v>
      </c>
      <c r="T189" s="275">
        <v>0.0</v>
      </c>
      <c r="U189" s="274">
        <v>500030.0</v>
      </c>
    </row>
    <row r="190">
      <c r="A190" s="37" t="s">
        <v>2196</v>
      </c>
      <c r="B190" s="278">
        <v>45658.0</v>
      </c>
      <c r="C190" s="37" t="s">
        <v>2198</v>
      </c>
      <c r="D190" s="37" t="s">
        <v>351</v>
      </c>
      <c r="E190" s="274">
        <v>0.0</v>
      </c>
      <c r="F190" s="274">
        <v>0.0</v>
      </c>
      <c r="G190" s="274">
        <v>0.0</v>
      </c>
      <c r="H190" s="275">
        <v>0.0</v>
      </c>
      <c r="I190" s="274">
        <v>0.0</v>
      </c>
      <c r="J190" s="274">
        <v>0.0</v>
      </c>
      <c r="K190" s="274">
        <v>-915.0</v>
      </c>
      <c r="L190" s="274">
        <v>-900.0</v>
      </c>
      <c r="M190" s="274">
        <v>-274190.0</v>
      </c>
      <c r="N190" s="274">
        <v>915.0</v>
      </c>
      <c r="O190" s="274">
        <v>0.0</v>
      </c>
      <c r="P190" s="274">
        <v>0.0</v>
      </c>
      <c r="Q190" s="274">
        <v>0.0</v>
      </c>
      <c r="R190" s="275">
        <v>0.0</v>
      </c>
      <c r="S190" s="274">
        <v>0.0</v>
      </c>
      <c r="T190" s="275">
        <v>0.0</v>
      </c>
      <c r="U190" s="274">
        <v>0.0</v>
      </c>
    </row>
    <row r="191">
      <c r="A191" s="37" t="s">
        <v>2196</v>
      </c>
      <c r="B191" s="278">
        <v>45658.0</v>
      </c>
      <c r="C191" s="37" t="s">
        <v>2155</v>
      </c>
      <c r="D191" s="37" t="s">
        <v>351</v>
      </c>
      <c r="E191" s="274">
        <v>0.0</v>
      </c>
      <c r="F191" s="274">
        <v>0.0</v>
      </c>
      <c r="G191" s="274">
        <v>0.0</v>
      </c>
      <c r="H191" s="275">
        <v>0.0</v>
      </c>
      <c r="I191" s="274">
        <v>0.0</v>
      </c>
      <c r="J191" s="274">
        <v>0.0</v>
      </c>
      <c r="K191" s="274">
        <v>-19800.0</v>
      </c>
      <c r="L191" s="274">
        <v>0.0</v>
      </c>
      <c r="M191" s="274">
        <v>-19800.0</v>
      </c>
      <c r="N191" s="274">
        <v>19800.0</v>
      </c>
      <c r="O191" s="274">
        <v>0.0</v>
      </c>
      <c r="P191" s="274">
        <v>0.0</v>
      </c>
      <c r="Q191" s="274">
        <v>0.0</v>
      </c>
      <c r="R191" s="275">
        <v>0.0</v>
      </c>
      <c r="S191" s="274">
        <v>0.0</v>
      </c>
      <c r="T191" s="275">
        <v>0.0</v>
      </c>
      <c r="U191" s="274">
        <v>0.0</v>
      </c>
    </row>
    <row r="192">
      <c r="A192" s="37" t="s">
        <v>2196</v>
      </c>
      <c r="B192" s="278">
        <v>45689.0</v>
      </c>
      <c r="C192" s="37" t="s">
        <v>16</v>
      </c>
      <c r="D192" s="37" t="s">
        <v>331</v>
      </c>
      <c r="E192" s="274">
        <v>34000.0</v>
      </c>
      <c r="F192" s="274">
        <v>87000.0</v>
      </c>
      <c r="G192" s="274">
        <v>55100.0</v>
      </c>
      <c r="H192" s="275">
        <v>0.6333333333333333</v>
      </c>
      <c r="I192" s="274">
        <v>53000.0</v>
      </c>
      <c r="J192" s="274">
        <v>21100.0</v>
      </c>
      <c r="K192" s="274">
        <v>21070.0</v>
      </c>
      <c r="L192" s="274">
        <v>0.0</v>
      </c>
      <c r="M192" s="274">
        <v>7947.0</v>
      </c>
      <c r="N192" s="274">
        <v>31930.0</v>
      </c>
      <c r="O192" s="274">
        <v>109000.0</v>
      </c>
      <c r="P192" s="274">
        <v>68000.0</v>
      </c>
      <c r="Q192" s="274">
        <v>-41000.0</v>
      </c>
      <c r="R192" s="275">
        <v>28.0</v>
      </c>
      <c r="S192" s="274">
        <v>140.0</v>
      </c>
      <c r="T192" s="275">
        <v>0.8</v>
      </c>
      <c r="U192" s="274">
        <v>0.0</v>
      </c>
    </row>
    <row r="193">
      <c r="A193" s="37" t="s">
        <v>2196</v>
      </c>
      <c r="B193" s="279">
        <v>45689.0</v>
      </c>
      <c r="C193" s="37" t="s">
        <v>27</v>
      </c>
      <c r="D193" s="37" t="s">
        <v>351</v>
      </c>
      <c r="E193" s="274">
        <v>45000.0</v>
      </c>
      <c r="F193" s="274">
        <v>92300.0</v>
      </c>
      <c r="G193" s="274">
        <v>78000.0</v>
      </c>
      <c r="H193" s="275">
        <v>0.8450704225352113</v>
      </c>
      <c r="I193" s="274">
        <v>47300.0</v>
      </c>
      <c r="J193" s="274">
        <v>33000.0</v>
      </c>
      <c r="K193" s="274">
        <v>30500.0</v>
      </c>
      <c r="L193" s="274">
        <v>0.0</v>
      </c>
      <c r="M193" s="274">
        <v>-6693.0</v>
      </c>
      <c r="N193" s="274">
        <v>16800.0</v>
      </c>
      <c r="O193" s="274">
        <v>183000.0</v>
      </c>
      <c r="P193" s="274">
        <v>90000.0</v>
      </c>
      <c r="Q193" s="274">
        <v>-93000.0</v>
      </c>
      <c r="R193" s="275">
        <v>0.0</v>
      </c>
      <c r="S193" s="274">
        <v>196.0</v>
      </c>
      <c r="T193" s="275">
        <v>1.0</v>
      </c>
      <c r="U193" s="274">
        <v>0.0</v>
      </c>
    </row>
    <row r="194">
      <c r="A194" s="37" t="s">
        <v>2196</v>
      </c>
      <c r="B194" s="279">
        <v>45689.0</v>
      </c>
      <c r="C194" s="37" t="s">
        <v>41</v>
      </c>
      <c r="D194" s="37" t="s">
        <v>331</v>
      </c>
      <c r="E194" s="274">
        <v>27000.0</v>
      </c>
      <c r="F194" s="274">
        <v>70900.0</v>
      </c>
      <c r="G194" s="274">
        <v>69229.0</v>
      </c>
      <c r="H194" s="275">
        <v>0.9764315937940762</v>
      </c>
      <c r="I194" s="274">
        <v>43900.0</v>
      </c>
      <c r="J194" s="274">
        <v>42229.0</v>
      </c>
      <c r="K194" s="274">
        <v>38914.0</v>
      </c>
      <c r="L194" s="274">
        <v>0.0</v>
      </c>
      <c r="M194" s="274">
        <v>180461.0</v>
      </c>
      <c r="N194" s="274">
        <v>4986.0</v>
      </c>
      <c r="O194" s="274">
        <v>138800.0</v>
      </c>
      <c r="P194" s="274">
        <v>54000.0</v>
      </c>
      <c r="Q194" s="274">
        <v>-84800.0</v>
      </c>
      <c r="R194" s="275">
        <v>0.0</v>
      </c>
      <c r="S194" s="274">
        <v>140.0</v>
      </c>
      <c r="T194" s="275">
        <v>1.0</v>
      </c>
      <c r="U194" s="274">
        <v>0.0</v>
      </c>
    </row>
    <row r="195">
      <c r="A195" s="37" t="s">
        <v>2196</v>
      </c>
      <c r="B195" s="279">
        <v>45689.0</v>
      </c>
      <c r="C195" s="37" t="s">
        <v>56</v>
      </c>
      <c r="D195" s="37" t="s">
        <v>331</v>
      </c>
      <c r="E195" s="274">
        <v>26000.0</v>
      </c>
      <c r="F195" s="274">
        <v>50900.0</v>
      </c>
      <c r="G195" s="274">
        <v>38900.0</v>
      </c>
      <c r="H195" s="275">
        <v>0.7642436149312377</v>
      </c>
      <c r="I195" s="274">
        <v>24900.0</v>
      </c>
      <c r="J195" s="274">
        <v>12900.0</v>
      </c>
      <c r="K195" s="274">
        <v>9585.0</v>
      </c>
      <c r="L195" s="274">
        <v>-3300.0</v>
      </c>
      <c r="M195" s="274">
        <v>16490.0</v>
      </c>
      <c r="N195" s="274">
        <v>15315.0</v>
      </c>
      <c r="O195" s="274">
        <v>102400.0</v>
      </c>
      <c r="P195" s="274">
        <v>52000.0</v>
      </c>
      <c r="Q195" s="274">
        <v>-50400.0</v>
      </c>
      <c r="R195" s="275">
        <v>0.0</v>
      </c>
      <c r="S195" s="274">
        <v>112.0</v>
      </c>
      <c r="T195" s="275">
        <v>1.0</v>
      </c>
      <c r="U195" s="274">
        <v>0.0</v>
      </c>
    </row>
    <row r="196">
      <c r="A196" s="37" t="s">
        <v>2196</v>
      </c>
      <c r="B196" s="279">
        <v>45689.0</v>
      </c>
      <c r="C196" s="37" t="s">
        <v>69</v>
      </c>
      <c r="D196" s="37" t="s">
        <v>331</v>
      </c>
      <c r="E196" s="274">
        <v>25600.0</v>
      </c>
      <c r="F196" s="274">
        <v>85900.0</v>
      </c>
      <c r="G196" s="274">
        <v>74400.0</v>
      </c>
      <c r="H196" s="275">
        <v>0.8661233993015134</v>
      </c>
      <c r="I196" s="274">
        <v>60300.0</v>
      </c>
      <c r="J196" s="274">
        <v>48800.0</v>
      </c>
      <c r="K196" s="274">
        <v>47886.0</v>
      </c>
      <c r="L196" s="274">
        <v>0.0</v>
      </c>
      <c r="M196" s="274">
        <v>-17810.0</v>
      </c>
      <c r="N196" s="274">
        <v>12414.0</v>
      </c>
      <c r="O196" s="274">
        <v>174800.0</v>
      </c>
      <c r="P196" s="274">
        <v>51200.0</v>
      </c>
      <c r="Q196" s="274">
        <v>-123600.0</v>
      </c>
      <c r="R196" s="275">
        <v>0.0</v>
      </c>
      <c r="S196" s="274">
        <v>140.0</v>
      </c>
      <c r="T196" s="275">
        <v>1.0</v>
      </c>
      <c r="U196" s="274">
        <v>0.0</v>
      </c>
    </row>
    <row r="197">
      <c r="A197" s="37" t="s">
        <v>2196</v>
      </c>
      <c r="B197" s="279">
        <v>45689.0</v>
      </c>
      <c r="C197" s="37" t="s">
        <v>82</v>
      </c>
      <c r="D197" s="37" t="s">
        <v>331</v>
      </c>
      <c r="E197" s="274">
        <v>38800.0</v>
      </c>
      <c r="F197" s="274">
        <v>106700.0</v>
      </c>
      <c r="G197" s="274">
        <v>119000.0</v>
      </c>
      <c r="H197" s="275">
        <v>1.1152764761012184</v>
      </c>
      <c r="I197" s="274">
        <v>67900.0</v>
      </c>
      <c r="J197" s="274">
        <v>80200.0</v>
      </c>
      <c r="K197" s="274">
        <v>77188.0</v>
      </c>
      <c r="L197" s="274">
        <v>-2997.0</v>
      </c>
      <c r="M197" s="274">
        <v>325624.0</v>
      </c>
      <c r="N197" s="274">
        <v>-9288.0</v>
      </c>
      <c r="O197" s="274">
        <v>179400.0</v>
      </c>
      <c r="P197" s="274">
        <v>77600.0</v>
      </c>
      <c r="Q197" s="274">
        <v>-101800.0</v>
      </c>
      <c r="R197" s="275">
        <v>4.0</v>
      </c>
      <c r="S197" s="274">
        <v>196.0</v>
      </c>
      <c r="T197" s="275">
        <v>0.9795918367346939</v>
      </c>
      <c r="U197" s="274">
        <v>0.0</v>
      </c>
    </row>
    <row r="198">
      <c r="A198" s="37" t="s">
        <v>2196</v>
      </c>
      <c r="B198" s="279">
        <v>45689.0</v>
      </c>
      <c r="C198" s="37" t="s">
        <v>101</v>
      </c>
      <c r="D198" s="37" t="s">
        <v>351</v>
      </c>
      <c r="E198" s="274">
        <v>28800.0</v>
      </c>
      <c r="F198" s="274">
        <v>58500.0</v>
      </c>
      <c r="G198" s="274">
        <v>66200.0</v>
      </c>
      <c r="H198" s="275">
        <v>1.1316239316239316</v>
      </c>
      <c r="I198" s="274">
        <v>29700.0</v>
      </c>
      <c r="J198" s="274">
        <v>37400.0</v>
      </c>
      <c r="K198" s="274">
        <v>37400.0</v>
      </c>
      <c r="L198" s="274">
        <v>0.0</v>
      </c>
      <c r="M198" s="274">
        <v>430339.0</v>
      </c>
      <c r="N198" s="274">
        <v>-7700.0</v>
      </c>
      <c r="O198" s="274">
        <v>112000.0</v>
      </c>
      <c r="P198" s="274">
        <v>57600.0</v>
      </c>
      <c r="Q198" s="274">
        <v>-54400.0</v>
      </c>
      <c r="R198" s="275">
        <v>0.0</v>
      </c>
      <c r="S198" s="274">
        <v>112.0</v>
      </c>
      <c r="T198" s="275">
        <v>1.0</v>
      </c>
      <c r="U198" s="274">
        <v>0.0</v>
      </c>
    </row>
    <row r="199">
      <c r="A199" s="37" t="s">
        <v>2196</v>
      </c>
      <c r="B199" s="279">
        <v>45689.0</v>
      </c>
      <c r="C199" s="37" t="s">
        <v>110</v>
      </c>
      <c r="D199" s="37" t="s">
        <v>331</v>
      </c>
      <c r="E199" s="274">
        <v>36500.0</v>
      </c>
      <c r="F199" s="274">
        <v>67600.0</v>
      </c>
      <c r="G199" s="274">
        <v>60626.0</v>
      </c>
      <c r="H199" s="275">
        <v>0.8968343195266272</v>
      </c>
      <c r="I199" s="274">
        <v>31100.0</v>
      </c>
      <c r="J199" s="274">
        <v>24126.0</v>
      </c>
      <c r="K199" s="274">
        <v>23111.0</v>
      </c>
      <c r="L199" s="274">
        <v>0.0</v>
      </c>
      <c r="M199" s="274">
        <v>-293698.0</v>
      </c>
      <c r="N199" s="274">
        <v>7989.0</v>
      </c>
      <c r="O199" s="274">
        <v>104800.0</v>
      </c>
      <c r="P199" s="274">
        <v>73000.0</v>
      </c>
      <c r="Q199" s="274">
        <v>-31800.0</v>
      </c>
      <c r="R199" s="275">
        <v>27.0</v>
      </c>
      <c r="S199" s="274">
        <v>140.0</v>
      </c>
      <c r="T199" s="275">
        <v>0.8071428571428572</v>
      </c>
      <c r="U199" s="274">
        <v>0.0</v>
      </c>
    </row>
    <row r="200">
      <c r="A200" s="37" t="s">
        <v>2196</v>
      </c>
      <c r="B200" s="279">
        <v>45689.0</v>
      </c>
      <c r="C200" s="37" t="s">
        <v>119</v>
      </c>
      <c r="D200" s="37" t="s">
        <v>331</v>
      </c>
      <c r="E200" s="274">
        <v>12000.0</v>
      </c>
      <c r="F200" s="274">
        <v>22000.0</v>
      </c>
      <c r="G200" s="274">
        <v>22000.0</v>
      </c>
      <c r="H200" s="275">
        <v>1.0</v>
      </c>
      <c r="I200" s="274">
        <v>10000.0</v>
      </c>
      <c r="J200" s="274">
        <v>10000.0</v>
      </c>
      <c r="K200" s="274">
        <v>9985.0</v>
      </c>
      <c r="L200" s="274">
        <v>0.0</v>
      </c>
      <c r="M200" s="274">
        <v>2856.0</v>
      </c>
      <c r="N200" s="274">
        <v>15.0</v>
      </c>
      <c r="O200" s="274">
        <v>44000.0</v>
      </c>
      <c r="P200" s="274">
        <v>24000.0</v>
      </c>
      <c r="Q200" s="274">
        <v>-20000.0</v>
      </c>
      <c r="R200" s="275">
        <v>0.0</v>
      </c>
      <c r="S200" s="274">
        <v>28.0</v>
      </c>
      <c r="T200" s="275">
        <v>1.0</v>
      </c>
      <c r="U200" s="274">
        <v>0.0</v>
      </c>
    </row>
    <row r="201">
      <c r="A201" s="37" t="s">
        <v>2196</v>
      </c>
      <c r="B201" s="279">
        <v>45689.0</v>
      </c>
      <c r="C201" s="37" t="s">
        <v>122</v>
      </c>
      <c r="D201" s="37" t="s">
        <v>331</v>
      </c>
      <c r="E201" s="274">
        <v>35500.0</v>
      </c>
      <c r="F201" s="274">
        <v>58400.0</v>
      </c>
      <c r="G201" s="274">
        <v>29900.0</v>
      </c>
      <c r="H201" s="275">
        <v>0.511986301369863</v>
      </c>
      <c r="I201" s="274">
        <v>22900.0</v>
      </c>
      <c r="J201" s="274">
        <v>-5600.0</v>
      </c>
      <c r="K201" s="274">
        <v>-6615.0</v>
      </c>
      <c r="L201" s="274">
        <v>0.0</v>
      </c>
      <c r="M201" s="274">
        <v>-190190.0</v>
      </c>
      <c r="N201" s="274">
        <v>29515.0</v>
      </c>
      <c r="O201" s="274">
        <v>88800.0</v>
      </c>
      <c r="P201" s="274">
        <v>71000.0</v>
      </c>
      <c r="Q201" s="274">
        <v>-17800.0</v>
      </c>
      <c r="R201" s="275">
        <v>23.0</v>
      </c>
      <c r="S201" s="274">
        <v>112.0</v>
      </c>
      <c r="T201" s="275">
        <v>0.7946428571428572</v>
      </c>
      <c r="U201" s="274">
        <v>0.0</v>
      </c>
    </row>
    <row r="202">
      <c r="A202" s="37" t="s">
        <v>2196</v>
      </c>
      <c r="B202" s="278">
        <v>45689.0</v>
      </c>
      <c r="C202" s="37" t="s">
        <v>135</v>
      </c>
      <c r="D202" s="37" t="s">
        <v>331</v>
      </c>
      <c r="E202" s="274">
        <v>25000.0</v>
      </c>
      <c r="F202" s="274">
        <v>66000.0</v>
      </c>
      <c r="G202" s="274">
        <v>66100.0</v>
      </c>
      <c r="H202" s="275">
        <v>1.0015151515151515</v>
      </c>
      <c r="I202" s="274">
        <v>41000.0</v>
      </c>
      <c r="J202" s="274">
        <v>41100.0</v>
      </c>
      <c r="K202" s="274">
        <v>38866.0</v>
      </c>
      <c r="L202" s="274">
        <v>0.0</v>
      </c>
      <c r="M202" s="274">
        <v>-340944.0</v>
      </c>
      <c r="N202" s="274">
        <v>2134.0</v>
      </c>
      <c r="O202" s="274">
        <v>127400.0</v>
      </c>
      <c r="P202" s="274">
        <v>50000.0</v>
      </c>
      <c r="Q202" s="274">
        <v>-77400.0</v>
      </c>
      <c r="R202" s="275">
        <v>0.0</v>
      </c>
      <c r="S202" s="274">
        <v>140.0</v>
      </c>
      <c r="T202" s="275">
        <v>1.0</v>
      </c>
      <c r="U202" s="274">
        <v>0.0</v>
      </c>
    </row>
    <row r="203">
      <c r="A203" s="37" t="s">
        <v>2196</v>
      </c>
      <c r="B203" s="278">
        <v>45689.0</v>
      </c>
      <c r="C203" s="37" t="s">
        <v>150</v>
      </c>
      <c r="D203" s="37" t="s">
        <v>331</v>
      </c>
      <c r="E203" s="274">
        <v>23000.0</v>
      </c>
      <c r="F203" s="274">
        <v>54900.0</v>
      </c>
      <c r="G203" s="274">
        <v>54300.0</v>
      </c>
      <c r="H203" s="275">
        <v>0.9890710382513661</v>
      </c>
      <c r="I203" s="274">
        <v>31900.0</v>
      </c>
      <c r="J203" s="274">
        <v>31300.0</v>
      </c>
      <c r="K203" s="274">
        <v>24750.0</v>
      </c>
      <c r="L203" s="274">
        <v>-250.0</v>
      </c>
      <c r="M203" s="274">
        <v>-494266.0</v>
      </c>
      <c r="N203" s="274">
        <v>7150.0</v>
      </c>
      <c r="O203" s="274">
        <v>113200.0</v>
      </c>
      <c r="P203" s="274">
        <v>46000.0</v>
      </c>
      <c r="Q203" s="274">
        <v>-67200.0</v>
      </c>
      <c r="R203" s="275">
        <v>0.0</v>
      </c>
      <c r="S203" s="274">
        <v>112.0</v>
      </c>
      <c r="T203" s="275">
        <v>1.0</v>
      </c>
      <c r="U203" s="274">
        <v>0.0</v>
      </c>
    </row>
    <row r="204">
      <c r="A204" s="37" t="s">
        <v>2196</v>
      </c>
      <c r="B204" s="278">
        <v>45689.0</v>
      </c>
      <c r="C204" s="37" t="s">
        <v>163</v>
      </c>
      <c r="D204" s="37" t="s">
        <v>351</v>
      </c>
      <c r="E204" s="274">
        <v>39800.0</v>
      </c>
      <c r="F204" s="274">
        <v>80000.0</v>
      </c>
      <c r="G204" s="274">
        <v>82200.0</v>
      </c>
      <c r="H204" s="275">
        <v>1.0275</v>
      </c>
      <c r="I204" s="274">
        <v>40200.0</v>
      </c>
      <c r="J204" s="274">
        <v>42400.0</v>
      </c>
      <c r="K204" s="274">
        <v>42400.0</v>
      </c>
      <c r="L204" s="274">
        <v>0.0</v>
      </c>
      <c r="M204" s="274">
        <v>-402184.385</v>
      </c>
      <c r="N204" s="274">
        <v>-2200.0</v>
      </c>
      <c r="O204" s="274">
        <v>164400.0</v>
      </c>
      <c r="P204" s="274">
        <v>79600.0</v>
      </c>
      <c r="Q204" s="274">
        <v>-84800.0</v>
      </c>
      <c r="R204" s="275">
        <v>0.0</v>
      </c>
      <c r="S204" s="274">
        <v>140.0</v>
      </c>
      <c r="T204" s="275">
        <v>1.0</v>
      </c>
      <c r="U204" s="274">
        <v>0.0</v>
      </c>
    </row>
    <row r="205">
      <c r="A205" s="37" t="s">
        <v>2196</v>
      </c>
      <c r="B205" s="279">
        <v>45689.0</v>
      </c>
      <c r="C205" s="37" t="s">
        <v>178</v>
      </c>
      <c r="D205" s="37" t="s">
        <v>331</v>
      </c>
      <c r="E205" s="274">
        <v>36000.0</v>
      </c>
      <c r="F205" s="274">
        <v>83000.0</v>
      </c>
      <c r="G205" s="274">
        <v>90943.0</v>
      </c>
      <c r="H205" s="275">
        <v>1.0956987951807229</v>
      </c>
      <c r="I205" s="274">
        <v>47000.0</v>
      </c>
      <c r="J205" s="274">
        <v>54943.0</v>
      </c>
      <c r="K205" s="274">
        <v>44928.0</v>
      </c>
      <c r="L205" s="274">
        <v>-1600.0</v>
      </c>
      <c r="M205" s="274">
        <v>-425935.0</v>
      </c>
      <c r="N205" s="274">
        <v>2072.0</v>
      </c>
      <c r="O205" s="274">
        <v>106000.0</v>
      </c>
      <c r="P205" s="274">
        <v>72000.0</v>
      </c>
      <c r="Q205" s="274">
        <v>-34000.0</v>
      </c>
      <c r="R205" s="275">
        <v>30.0</v>
      </c>
      <c r="S205" s="274">
        <v>140.0</v>
      </c>
      <c r="T205" s="275">
        <v>0.7857142857142857</v>
      </c>
      <c r="U205" s="274">
        <v>0.0</v>
      </c>
    </row>
    <row r="206">
      <c r="A206" s="37" t="s">
        <v>2196</v>
      </c>
      <c r="B206" s="279">
        <v>45689.0</v>
      </c>
      <c r="C206" s="37" t="s">
        <v>2197</v>
      </c>
      <c r="D206" s="37" t="s">
        <v>331</v>
      </c>
      <c r="E206" s="274">
        <v>0.0</v>
      </c>
      <c r="F206" s="274">
        <v>0.0</v>
      </c>
      <c r="G206" s="274">
        <v>3601.0</v>
      </c>
      <c r="H206" s="275">
        <v>0.0</v>
      </c>
      <c r="I206" s="274">
        <v>0.0</v>
      </c>
      <c r="J206" s="274">
        <v>3601.0</v>
      </c>
      <c r="K206" s="274">
        <v>-74987.0</v>
      </c>
      <c r="L206" s="274">
        <v>-3952.0</v>
      </c>
      <c r="M206" s="274">
        <v>-329588.0</v>
      </c>
      <c r="N206" s="274">
        <v>74987.0</v>
      </c>
      <c r="O206" s="274">
        <v>0.0</v>
      </c>
      <c r="P206" s="274">
        <v>0.0</v>
      </c>
      <c r="Q206" s="274">
        <v>0.0</v>
      </c>
      <c r="R206" s="275">
        <v>0.0</v>
      </c>
      <c r="S206" s="274">
        <v>0.0</v>
      </c>
      <c r="T206" s="275">
        <v>0.0</v>
      </c>
      <c r="U206" s="274">
        <v>260000.0</v>
      </c>
    </row>
    <row r="207">
      <c r="A207" s="37" t="s">
        <v>2196</v>
      </c>
      <c r="B207" s="279">
        <v>45689.0</v>
      </c>
      <c r="C207" s="37" t="s">
        <v>2198</v>
      </c>
      <c r="D207" s="37" t="s">
        <v>351</v>
      </c>
      <c r="E207" s="274">
        <v>0.0</v>
      </c>
      <c r="F207" s="274">
        <v>0.0</v>
      </c>
      <c r="G207" s="274">
        <v>0.0</v>
      </c>
      <c r="H207" s="275">
        <v>0.0</v>
      </c>
      <c r="I207" s="274">
        <v>0.0</v>
      </c>
      <c r="J207" s="274">
        <v>0.0</v>
      </c>
      <c r="K207" s="274">
        <v>-135.0</v>
      </c>
      <c r="L207" s="274">
        <v>0.0</v>
      </c>
      <c r="M207" s="274">
        <v>-274325.0</v>
      </c>
      <c r="N207" s="274">
        <v>135.0</v>
      </c>
      <c r="O207" s="274">
        <v>0.0</v>
      </c>
      <c r="P207" s="274">
        <v>0.0</v>
      </c>
      <c r="Q207" s="274">
        <v>0.0</v>
      </c>
      <c r="R207" s="275">
        <v>0.0</v>
      </c>
      <c r="S207" s="274">
        <v>0.0</v>
      </c>
      <c r="T207" s="275">
        <v>0.0</v>
      </c>
      <c r="U207" s="274">
        <v>0.0</v>
      </c>
    </row>
    <row r="208">
      <c r="A208" s="37" t="s">
        <v>2196</v>
      </c>
      <c r="B208" s="279">
        <v>45689.0</v>
      </c>
      <c r="C208" s="37" t="s">
        <v>2155</v>
      </c>
      <c r="D208" s="37" t="s">
        <v>351</v>
      </c>
      <c r="E208" s="274">
        <v>0.0</v>
      </c>
      <c r="F208" s="274">
        <v>0.0</v>
      </c>
      <c r="G208" s="274">
        <v>0.0</v>
      </c>
      <c r="H208" s="275">
        <v>0.0</v>
      </c>
      <c r="I208" s="274">
        <v>0.0</v>
      </c>
      <c r="J208" s="274">
        <v>0.0</v>
      </c>
      <c r="K208" s="274">
        <v>-35700.0</v>
      </c>
      <c r="L208" s="274">
        <v>0.0</v>
      </c>
      <c r="M208" s="274">
        <v>-55500.0</v>
      </c>
      <c r="N208" s="274">
        <v>35700.0</v>
      </c>
      <c r="O208" s="274">
        <v>0.0</v>
      </c>
      <c r="P208" s="274">
        <v>0.0</v>
      </c>
      <c r="Q208" s="274">
        <v>0.0</v>
      </c>
      <c r="R208" s="275">
        <v>0.0</v>
      </c>
      <c r="S208" s="274">
        <v>0.0</v>
      </c>
      <c r="T208" s="275">
        <v>0.0</v>
      </c>
      <c r="U208" s="274">
        <v>0.0</v>
      </c>
    </row>
    <row r="209">
      <c r="A209" s="37" t="s">
        <v>2196</v>
      </c>
      <c r="B209" s="278">
        <v>45717.0</v>
      </c>
      <c r="C209" s="37" t="s">
        <v>16</v>
      </c>
      <c r="D209" s="37" t="s">
        <v>331</v>
      </c>
      <c r="E209" s="274">
        <v>34000.0</v>
      </c>
      <c r="F209" s="274">
        <v>87000.0</v>
      </c>
      <c r="G209" s="274">
        <v>105000.0</v>
      </c>
      <c r="H209" s="275">
        <v>1.206896551724138</v>
      </c>
      <c r="I209" s="274">
        <v>53000.0</v>
      </c>
      <c r="J209" s="274">
        <v>71000.0</v>
      </c>
      <c r="K209" s="274">
        <v>58935.0</v>
      </c>
      <c r="L209" s="274">
        <v>-2615.0</v>
      </c>
      <c r="M209" s="274">
        <v>66882.0</v>
      </c>
      <c r="N209" s="274">
        <v>-5935.0</v>
      </c>
      <c r="O209" s="274">
        <v>108000.0</v>
      </c>
      <c r="P209" s="274">
        <v>68000.0</v>
      </c>
      <c r="Q209" s="274">
        <v>-40000.0</v>
      </c>
      <c r="R209" s="275">
        <v>31.0</v>
      </c>
      <c r="S209" s="274">
        <v>155.0</v>
      </c>
      <c r="T209" s="275">
        <v>0.8</v>
      </c>
      <c r="U209" s="274">
        <v>0.0</v>
      </c>
    </row>
    <row r="210">
      <c r="A210" s="37" t="s">
        <v>2196</v>
      </c>
      <c r="B210" s="278">
        <v>45717.0</v>
      </c>
      <c r="C210" s="37" t="s">
        <v>27</v>
      </c>
      <c r="D210" s="37" t="s">
        <v>351</v>
      </c>
      <c r="E210" s="274">
        <v>45000.0</v>
      </c>
      <c r="F210" s="274">
        <v>92300.0</v>
      </c>
      <c r="G210" s="274">
        <v>78000.0</v>
      </c>
      <c r="H210" s="275">
        <v>0.8450704225352113</v>
      </c>
      <c r="I210" s="274">
        <v>47300.0</v>
      </c>
      <c r="J210" s="274">
        <v>33000.0</v>
      </c>
      <c r="K210" s="274">
        <v>33000.0</v>
      </c>
      <c r="L210" s="274">
        <v>0.0</v>
      </c>
      <c r="M210" s="274">
        <v>26307.0</v>
      </c>
      <c r="N210" s="274">
        <v>14300.0</v>
      </c>
      <c r="O210" s="274">
        <v>183000.0</v>
      </c>
      <c r="P210" s="274">
        <v>90000.0</v>
      </c>
      <c r="Q210" s="274">
        <v>-93000.0</v>
      </c>
      <c r="R210" s="275">
        <v>0.0</v>
      </c>
      <c r="S210" s="274">
        <v>217.0</v>
      </c>
      <c r="T210" s="275">
        <v>1.0</v>
      </c>
      <c r="U210" s="274">
        <v>0.0</v>
      </c>
    </row>
    <row r="211">
      <c r="A211" s="37" t="s">
        <v>2196</v>
      </c>
      <c r="B211" s="278">
        <v>45717.0</v>
      </c>
      <c r="C211" s="37" t="s">
        <v>41</v>
      </c>
      <c r="D211" s="37" t="s">
        <v>331</v>
      </c>
      <c r="E211" s="274">
        <v>27000.0</v>
      </c>
      <c r="F211" s="274">
        <v>70900.0</v>
      </c>
      <c r="G211" s="274">
        <v>68852.0</v>
      </c>
      <c r="H211" s="275">
        <v>0.9711142454160789</v>
      </c>
      <c r="I211" s="274">
        <v>43900.0</v>
      </c>
      <c r="J211" s="274">
        <v>41852.0</v>
      </c>
      <c r="K211" s="274">
        <v>39706.0</v>
      </c>
      <c r="L211" s="274">
        <v>0.0</v>
      </c>
      <c r="M211" s="274">
        <v>220167.0</v>
      </c>
      <c r="N211" s="274">
        <v>4194.0</v>
      </c>
      <c r="O211" s="274">
        <v>141200.0</v>
      </c>
      <c r="P211" s="274">
        <v>54000.0</v>
      </c>
      <c r="Q211" s="274">
        <v>-87200.0</v>
      </c>
      <c r="R211" s="275">
        <v>17.0</v>
      </c>
      <c r="S211" s="274">
        <v>155.0</v>
      </c>
      <c r="T211" s="275">
        <v>0.8903225806451613</v>
      </c>
      <c r="U211" s="274">
        <v>0.0</v>
      </c>
    </row>
    <row r="212">
      <c r="A212" s="37" t="s">
        <v>2196</v>
      </c>
      <c r="B212" s="278">
        <v>45717.0</v>
      </c>
      <c r="C212" s="37" t="s">
        <v>56</v>
      </c>
      <c r="D212" s="37" t="s">
        <v>331</v>
      </c>
      <c r="E212" s="274">
        <v>26000.0</v>
      </c>
      <c r="F212" s="274">
        <v>50900.0</v>
      </c>
      <c r="G212" s="274">
        <v>48152.0</v>
      </c>
      <c r="H212" s="275">
        <v>0.9460117878192534</v>
      </c>
      <c r="I212" s="274">
        <v>24900.0</v>
      </c>
      <c r="J212" s="274">
        <v>22152.0</v>
      </c>
      <c r="K212" s="274">
        <v>20532.0</v>
      </c>
      <c r="L212" s="274">
        <v>-1500.0</v>
      </c>
      <c r="M212" s="274">
        <v>37022.0</v>
      </c>
      <c r="N212" s="274">
        <v>4368.0</v>
      </c>
      <c r="O212" s="274">
        <v>101400.0</v>
      </c>
      <c r="P212" s="274">
        <v>52000.0</v>
      </c>
      <c r="Q212" s="274">
        <v>-49400.0</v>
      </c>
      <c r="R212" s="275">
        <v>6.0</v>
      </c>
      <c r="S212" s="274">
        <v>124.0</v>
      </c>
      <c r="T212" s="275">
        <v>0.9516129032258065</v>
      </c>
      <c r="U212" s="274">
        <v>0.0</v>
      </c>
    </row>
    <row r="213">
      <c r="A213" s="37" t="s">
        <v>2196</v>
      </c>
      <c r="B213" s="278">
        <v>45717.0</v>
      </c>
      <c r="C213" s="37" t="s">
        <v>69</v>
      </c>
      <c r="D213" s="37" t="s">
        <v>331</v>
      </c>
      <c r="E213" s="274">
        <v>25600.0</v>
      </c>
      <c r="F213" s="274">
        <v>85900.0</v>
      </c>
      <c r="G213" s="274">
        <v>87400.0</v>
      </c>
      <c r="H213" s="275">
        <v>1.0174621653084983</v>
      </c>
      <c r="I213" s="274">
        <v>60300.0</v>
      </c>
      <c r="J213" s="274">
        <v>61800.0</v>
      </c>
      <c r="K213" s="274">
        <v>39600.0</v>
      </c>
      <c r="L213" s="274">
        <v>0.0</v>
      </c>
      <c r="M213" s="274">
        <v>21790.0</v>
      </c>
      <c r="N213" s="274">
        <v>20700.0</v>
      </c>
      <c r="O213" s="274">
        <v>174800.0</v>
      </c>
      <c r="P213" s="274">
        <v>51200.0</v>
      </c>
      <c r="Q213" s="274">
        <v>-123600.0</v>
      </c>
      <c r="R213" s="275">
        <v>0.0</v>
      </c>
      <c r="S213" s="274">
        <v>155.0</v>
      </c>
      <c r="T213" s="275">
        <v>1.0</v>
      </c>
      <c r="U213" s="274">
        <v>0.0</v>
      </c>
    </row>
    <row r="214">
      <c r="A214" s="37" t="s">
        <v>2196</v>
      </c>
      <c r="B214" s="278">
        <v>45717.0</v>
      </c>
      <c r="C214" s="37" t="s">
        <v>82</v>
      </c>
      <c r="D214" s="37" t="s">
        <v>331</v>
      </c>
      <c r="E214" s="274">
        <v>38800.0</v>
      </c>
      <c r="F214" s="274">
        <v>106700.0</v>
      </c>
      <c r="G214" s="274">
        <v>109916.0</v>
      </c>
      <c r="H214" s="275">
        <v>1.030140581068416</v>
      </c>
      <c r="I214" s="274">
        <v>67900.0</v>
      </c>
      <c r="J214" s="274">
        <v>71116.0</v>
      </c>
      <c r="K214" s="274">
        <v>68008.0</v>
      </c>
      <c r="L214" s="274">
        <v>0.0</v>
      </c>
      <c r="M214" s="274">
        <v>393632.0</v>
      </c>
      <c r="N214" s="274">
        <v>-108.0</v>
      </c>
      <c r="O214" s="274">
        <v>213000.0</v>
      </c>
      <c r="P214" s="274">
        <v>77600.0</v>
      </c>
      <c r="Q214" s="274">
        <v>-135400.0</v>
      </c>
      <c r="R214" s="275">
        <v>2.0</v>
      </c>
      <c r="S214" s="274">
        <v>217.0</v>
      </c>
      <c r="T214" s="275">
        <v>0.9907834101382489</v>
      </c>
      <c r="U214" s="274">
        <v>0.0</v>
      </c>
    </row>
    <row r="215">
      <c r="A215" s="37" t="s">
        <v>2196</v>
      </c>
      <c r="B215" s="279">
        <v>45717.0</v>
      </c>
      <c r="C215" s="37" t="s">
        <v>101</v>
      </c>
      <c r="D215" s="37" t="s">
        <v>351</v>
      </c>
      <c r="E215" s="274">
        <v>28800.0</v>
      </c>
      <c r="F215" s="274">
        <v>58500.0</v>
      </c>
      <c r="G215" s="274">
        <v>27200.0</v>
      </c>
      <c r="H215" s="275">
        <v>0.46495726495726497</v>
      </c>
      <c r="I215" s="274">
        <v>29700.0</v>
      </c>
      <c r="J215" s="274">
        <v>-1600.0</v>
      </c>
      <c r="K215" s="274">
        <v>-1600.0</v>
      </c>
      <c r="L215" s="274">
        <v>0.0</v>
      </c>
      <c r="M215" s="274">
        <v>428739.0</v>
      </c>
      <c r="N215" s="274">
        <v>31300.0</v>
      </c>
      <c r="O215" s="274">
        <v>112000.0</v>
      </c>
      <c r="P215" s="274">
        <v>57600.0</v>
      </c>
      <c r="Q215" s="274">
        <v>-54400.0</v>
      </c>
      <c r="R215" s="275">
        <v>0.0</v>
      </c>
      <c r="S215" s="274">
        <v>124.0</v>
      </c>
      <c r="T215" s="275">
        <v>1.0</v>
      </c>
      <c r="U215" s="274">
        <v>0.0</v>
      </c>
    </row>
    <row r="216">
      <c r="A216" s="37" t="s">
        <v>2196</v>
      </c>
      <c r="B216" s="279">
        <v>45717.0</v>
      </c>
      <c r="C216" s="37" t="s">
        <v>110</v>
      </c>
      <c r="D216" s="37" t="s">
        <v>331</v>
      </c>
      <c r="E216" s="274">
        <v>36500.0</v>
      </c>
      <c r="F216" s="274">
        <v>67600.0</v>
      </c>
      <c r="G216" s="274">
        <v>52400.0</v>
      </c>
      <c r="H216" s="275">
        <v>0.7751479289940828</v>
      </c>
      <c r="I216" s="274">
        <v>31100.0</v>
      </c>
      <c r="J216" s="274">
        <v>15900.0</v>
      </c>
      <c r="K216" s="274">
        <v>14900.0</v>
      </c>
      <c r="L216" s="274">
        <v>0.0</v>
      </c>
      <c r="M216" s="274">
        <v>-278798.0</v>
      </c>
      <c r="N216" s="274">
        <v>16200.0</v>
      </c>
      <c r="O216" s="274">
        <v>134800.0</v>
      </c>
      <c r="P216" s="274">
        <v>73000.0</v>
      </c>
      <c r="Q216" s="274">
        <v>-61800.0</v>
      </c>
      <c r="R216" s="275">
        <v>14.0</v>
      </c>
      <c r="S216" s="274">
        <v>155.0</v>
      </c>
      <c r="T216" s="275">
        <v>0.9096774193548387</v>
      </c>
      <c r="U216" s="274">
        <v>0.0</v>
      </c>
    </row>
    <row r="217">
      <c r="A217" s="37" t="s">
        <v>2196</v>
      </c>
      <c r="B217" s="279">
        <v>45717.0</v>
      </c>
      <c r="C217" s="37" t="s">
        <v>119</v>
      </c>
      <c r="D217" s="37" t="s">
        <v>331</v>
      </c>
      <c r="E217" s="274">
        <v>12000.0</v>
      </c>
      <c r="F217" s="274">
        <v>22000.0</v>
      </c>
      <c r="G217" s="274">
        <v>22000.0</v>
      </c>
      <c r="H217" s="275">
        <v>1.0</v>
      </c>
      <c r="I217" s="274">
        <v>10000.0</v>
      </c>
      <c r="J217" s="274">
        <v>10000.0</v>
      </c>
      <c r="K217" s="274">
        <v>10000.0</v>
      </c>
      <c r="L217" s="274">
        <v>0.0</v>
      </c>
      <c r="M217" s="274">
        <v>12856.0</v>
      </c>
      <c r="N217" s="274">
        <v>0.0</v>
      </c>
      <c r="O217" s="274">
        <v>44000.0</v>
      </c>
      <c r="P217" s="274">
        <v>24000.0</v>
      </c>
      <c r="Q217" s="274">
        <v>-20000.0</v>
      </c>
      <c r="R217" s="275">
        <v>0.0</v>
      </c>
      <c r="S217" s="274">
        <v>31.0</v>
      </c>
      <c r="T217" s="275">
        <v>1.0</v>
      </c>
      <c r="U217" s="274">
        <v>0.0</v>
      </c>
    </row>
    <row r="218">
      <c r="A218" s="37" t="s">
        <v>2196</v>
      </c>
      <c r="B218" s="279">
        <v>45717.0</v>
      </c>
      <c r="C218" s="37" t="s">
        <v>122</v>
      </c>
      <c r="D218" s="37" t="s">
        <v>331</v>
      </c>
      <c r="E218" s="274">
        <v>35500.0</v>
      </c>
      <c r="F218" s="274">
        <v>58400.0</v>
      </c>
      <c r="G218" s="274">
        <v>78777.0</v>
      </c>
      <c r="H218" s="275">
        <v>1.3489212328767124</v>
      </c>
      <c r="I218" s="274">
        <v>22900.0</v>
      </c>
      <c r="J218" s="274">
        <v>43277.0</v>
      </c>
      <c r="K218" s="274">
        <v>41477.0</v>
      </c>
      <c r="L218" s="274">
        <v>-800.0</v>
      </c>
      <c r="M218" s="274">
        <v>-148713.0</v>
      </c>
      <c r="N218" s="274">
        <v>-18577.0</v>
      </c>
      <c r="O218" s="274">
        <v>116800.0</v>
      </c>
      <c r="P218" s="274">
        <v>71000.0</v>
      </c>
      <c r="Q218" s="274">
        <v>-45800.0</v>
      </c>
      <c r="R218" s="275">
        <v>21.0</v>
      </c>
      <c r="S218" s="274">
        <v>124.0</v>
      </c>
      <c r="T218" s="275">
        <v>0.8306451612903226</v>
      </c>
      <c r="U218" s="274">
        <v>0.0</v>
      </c>
    </row>
    <row r="219">
      <c r="A219" s="37" t="s">
        <v>2196</v>
      </c>
      <c r="B219" s="279">
        <v>45717.0</v>
      </c>
      <c r="C219" s="37" t="s">
        <v>135</v>
      </c>
      <c r="D219" s="37" t="s">
        <v>331</v>
      </c>
      <c r="E219" s="274">
        <v>25000.0</v>
      </c>
      <c r="F219" s="274">
        <v>66000.0</v>
      </c>
      <c r="G219" s="274">
        <v>75650.0</v>
      </c>
      <c r="H219" s="275">
        <v>1.1462121212121212</v>
      </c>
      <c r="I219" s="274">
        <v>41000.0</v>
      </c>
      <c r="J219" s="274">
        <v>50650.0</v>
      </c>
      <c r="K219" s="274">
        <v>49150.0</v>
      </c>
      <c r="L219" s="274">
        <v>-1500.0</v>
      </c>
      <c r="M219" s="274">
        <v>-291794.0</v>
      </c>
      <c r="N219" s="274">
        <v>-8150.0</v>
      </c>
      <c r="O219" s="274">
        <v>129400.0</v>
      </c>
      <c r="P219" s="274">
        <v>50000.0</v>
      </c>
      <c r="Q219" s="274">
        <v>-79400.0</v>
      </c>
      <c r="R219" s="275">
        <v>0.0</v>
      </c>
      <c r="S219" s="274">
        <v>155.0</v>
      </c>
      <c r="T219" s="275">
        <v>1.0</v>
      </c>
      <c r="U219" s="274">
        <v>0.0</v>
      </c>
    </row>
    <row r="220">
      <c r="A220" s="37" t="s">
        <v>2196</v>
      </c>
      <c r="B220" s="279">
        <v>45717.0</v>
      </c>
      <c r="C220" s="37" t="s">
        <v>150</v>
      </c>
      <c r="D220" s="37" t="s">
        <v>331</v>
      </c>
      <c r="E220" s="274">
        <v>23000.0</v>
      </c>
      <c r="F220" s="274">
        <v>54900.0</v>
      </c>
      <c r="G220" s="274">
        <v>56600.0</v>
      </c>
      <c r="H220" s="275">
        <v>1.0309653916211294</v>
      </c>
      <c r="I220" s="274">
        <v>31900.0</v>
      </c>
      <c r="J220" s="274">
        <v>33600.0</v>
      </c>
      <c r="K220" s="274">
        <v>33422.0</v>
      </c>
      <c r="L220" s="274">
        <v>-178.0</v>
      </c>
      <c r="M220" s="274">
        <v>-460844.0</v>
      </c>
      <c r="N220" s="274">
        <v>-1522.0</v>
      </c>
      <c r="O220" s="274">
        <v>108600.0</v>
      </c>
      <c r="P220" s="274">
        <v>46000.0</v>
      </c>
      <c r="Q220" s="274">
        <v>-62600.0</v>
      </c>
      <c r="R220" s="275">
        <v>0.0</v>
      </c>
      <c r="S220" s="274">
        <v>124.0</v>
      </c>
      <c r="T220" s="275">
        <v>1.0</v>
      </c>
      <c r="U220" s="274">
        <v>0.0</v>
      </c>
    </row>
    <row r="221">
      <c r="A221" s="37" t="s">
        <v>2196</v>
      </c>
      <c r="B221" s="279">
        <v>45717.0</v>
      </c>
      <c r="C221" s="37" t="s">
        <v>163</v>
      </c>
      <c r="D221" s="37" t="s">
        <v>351</v>
      </c>
      <c r="E221" s="274">
        <v>39800.0</v>
      </c>
      <c r="F221" s="274">
        <v>80000.0</v>
      </c>
      <c r="G221" s="274">
        <v>96200.0</v>
      </c>
      <c r="H221" s="275">
        <v>1.2025</v>
      </c>
      <c r="I221" s="274">
        <v>40200.0</v>
      </c>
      <c r="J221" s="274">
        <v>56400.0</v>
      </c>
      <c r="K221" s="274">
        <v>56400.0</v>
      </c>
      <c r="L221" s="274">
        <v>0.0</v>
      </c>
      <c r="M221" s="274">
        <v>-345784.385</v>
      </c>
      <c r="N221" s="274">
        <v>-16200.0</v>
      </c>
      <c r="O221" s="274">
        <v>164400.0</v>
      </c>
      <c r="P221" s="274">
        <v>79600.0</v>
      </c>
      <c r="Q221" s="274">
        <v>-84800.0</v>
      </c>
      <c r="R221" s="275">
        <v>0.0</v>
      </c>
      <c r="S221" s="274">
        <v>155.0</v>
      </c>
      <c r="T221" s="275">
        <v>1.0</v>
      </c>
      <c r="U221" s="274">
        <v>0.0</v>
      </c>
    </row>
    <row r="222">
      <c r="A222" s="37" t="s">
        <v>2196</v>
      </c>
      <c r="B222" s="279">
        <v>45717.0</v>
      </c>
      <c r="C222" s="37" t="s">
        <v>178</v>
      </c>
      <c r="D222" s="37" t="s">
        <v>331</v>
      </c>
      <c r="E222" s="274">
        <v>36000.0</v>
      </c>
      <c r="F222" s="274">
        <v>83000.0</v>
      </c>
      <c r="G222" s="274">
        <v>73200.0</v>
      </c>
      <c r="H222" s="275">
        <v>0.8819277108433735</v>
      </c>
      <c r="I222" s="274">
        <v>47000.0</v>
      </c>
      <c r="J222" s="274">
        <v>37200.0</v>
      </c>
      <c r="K222" s="274">
        <v>25400.0</v>
      </c>
      <c r="L222" s="274">
        <v>-2000.0</v>
      </c>
      <c r="M222" s="274">
        <v>-400535.0</v>
      </c>
      <c r="N222" s="274">
        <v>21600.0</v>
      </c>
      <c r="O222" s="274">
        <v>106000.0</v>
      </c>
      <c r="P222" s="274">
        <v>72000.0</v>
      </c>
      <c r="Q222" s="274">
        <v>-34000.0</v>
      </c>
      <c r="R222" s="275">
        <v>31.0</v>
      </c>
      <c r="S222" s="274">
        <v>155.0</v>
      </c>
      <c r="T222" s="275">
        <v>0.8</v>
      </c>
      <c r="U222" s="274">
        <v>0.0</v>
      </c>
    </row>
    <row r="223">
      <c r="A223" s="37" t="s">
        <v>2196</v>
      </c>
      <c r="B223" s="279">
        <v>45717.0</v>
      </c>
      <c r="C223" s="37" t="s">
        <v>188</v>
      </c>
      <c r="D223" s="37" t="s">
        <v>331</v>
      </c>
      <c r="E223" s="274">
        <v>0.0</v>
      </c>
      <c r="F223" s="274">
        <v>114600.0</v>
      </c>
      <c r="G223" s="274">
        <v>0.0</v>
      </c>
      <c r="H223" s="275">
        <v>0.0</v>
      </c>
      <c r="I223" s="274">
        <v>114600.0</v>
      </c>
      <c r="J223" s="274">
        <v>0.0</v>
      </c>
      <c r="K223" s="274">
        <v>-60640.0</v>
      </c>
      <c r="L223" s="274">
        <v>0.0</v>
      </c>
      <c r="M223" s="274">
        <v>-60640.0</v>
      </c>
      <c r="N223" s="274">
        <v>175240.0</v>
      </c>
      <c r="O223" s="274">
        <v>0.0</v>
      </c>
      <c r="P223" s="274">
        <v>0.0</v>
      </c>
      <c r="Q223" s="274">
        <v>0.0</v>
      </c>
      <c r="R223" s="275">
        <v>0.0</v>
      </c>
      <c r="S223" s="274">
        <v>217.0</v>
      </c>
      <c r="T223" s="275">
        <v>1.0</v>
      </c>
      <c r="U223" s="274">
        <v>0.0</v>
      </c>
    </row>
    <row r="224">
      <c r="A224" s="37" t="s">
        <v>2196</v>
      </c>
      <c r="B224" s="278">
        <v>45717.0</v>
      </c>
      <c r="C224" s="37" t="s">
        <v>2197</v>
      </c>
      <c r="D224" s="37" t="s">
        <v>331</v>
      </c>
      <c r="E224" s="274">
        <v>0.0</v>
      </c>
      <c r="F224" s="274">
        <v>0.0</v>
      </c>
      <c r="G224" s="274">
        <v>0.0</v>
      </c>
      <c r="H224" s="275">
        <v>0.0</v>
      </c>
      <c r="I224" s="274">
        <v>0.0</v>
      </c>
      <c r="J224" s="274">
        <v>0.0</v>
      </c>
      <c r="K224" s="274">
        <v>-637608.0</v>
      </c>
      <c r="L224" s="274">
        <v>-4840.0</v>
      </c>
      <c r="M224" s="274">
        <v>-967196.0</v>
      </c>
      <c r="N224" s="274">
        <v>637608.0</v>
      </c>
      <c r="O224" s="274">
        <v>0.0</v>
      </c>
      <c r="P224" s="274">
        <v>0.0</v>
      </c>
      <c r="Q224" s="274">
        <v>0.0</v>
      </c>
      <c r="R224" s="275">
        <v>0.0</v>
      </c>
      <c r="S224" s="274">
        <v>0.0</v>
      </c>
      <c r="T224" s="275">
        <v>0.0</v>
      </c>
      <c r="U224" s="274">
        <v>360000.0</v>
      </c>
    </row>
    <row r="225">
      <c r="A225" s="37" t="s">
        <v>2196</v>
      </c>
      <c r="B225" s="278">
        <v>45717.0</v>
      </c>
      <c r="C225" s="37" t="s">
        <v>2198</v>
      </c>
      <c r="D225" s="37" t="s">
        <v>351</v>
      </c>
      <c r="E225" s="274">
        <v>0.0</v>
      </c>
      <c r="F225" s="274">
        <v>0.0</v>
      </c>
      <c r="G225" s="274">
        <v>0.0</v>
      </c>
      <c r="H225" s="275">
        <v>0.0</v>
      </c>
      <c r="I225" s="274">
        <v>0.0</v>
      </c>
      <c r="J225" s="274">
        <v>0.0</v>
      </c>
      <c r="K225" s="274">
        <v>-120.0</v>
      </c>
      <c r="L225" s="274">
        <v>0.0</v>
      </c>
      <c r="M225" s="274">
        <v>-274445.0</v>
      </c>
      <c r="N225" s="274">
        <v>120.0</v>
      </c>
      <c r="O225" s="274">
        <v>0.0</v>
      </c>
      <c r="P225" s="274">
        <v>0.0</v>
      </c>
      <c r="Q225" s="274">
        <v>0.0</v>
      </c>
      <c r="R225" s="275">
        <v>0.0</v>
      </c>
      <c r="S225" s="274">
        <v>0.0</v>
      </c>
      <c r="T225" s="275">
        <v>0.0</v>
      </c>
      <c r="U225" s="274">
        <v>200000.0</v>
      </c>
    </row>
    <row r="226">
      <c r="A226" s="37" t="s">
        <v>2196</v>
      </c>
      <c r="B226" s="278">
        <v>45748.0</v>
      </c>
      <c r="C226" s="37" t="s">
        <v>16</v>
      </c>
      <c r="D226" s="37" t="s">
        <v>331</v>
      </c>
      <c r="E226" s="274">
        <v>34000.0</v>
      </c>
      <c r="F226" s="274">
        <v>87000.0</v>
      </c>
      <c r="G226" s="274">
        <v>41100.0</v>
      </c>
      <c r="H226" s="275">
        <v>0.4724137931034483</v>
      </c>
      <c r="I226" s="274">
        <v>53000.0</v>
      </c>
      <c r="J226" s="274">
        <v>7100.0</v>
      </c>
      <c r="K226" s="274">
        <v>7100.0</v>
      </c>
      <c r="L226" s="274">
        <v>0.0</v>
      </c>
      <c r="M226" s="274">
        <v>73982.0</v>
      </c>
      <c r="N226" s="274">
        <v>45900.0</v>
      </c>
      <c r="O226" s="274">
        <v>108000.0</v>
      </c>
      <c r="P226" s="274">
        <v>68000.0</v>
      </c>
      <c r="Q226" s="274">
        <v>-40000.0</v>
      </c>
      <c r="R226" s="275">
        <v>30.0</v>
      </c>
      <c r="S226" s="274">
        <v>150.0</v>
      </c>
      <c r="T226" s="275">
        <v>0.8</v>
      </c>
      <c r="U226" s="274">
        <v>0.0</v>
      </c>
    </row>
    <row r="227">
      <c r="A227" s="37" t="s">
        <v>2196</v>
      </c>
      <c r="B227" s="279">
        <v>45748.0</v>
      </c>
      <c r="C227" s="37" t="s">
        <v>27</v>
      </c>
      <c r="D227" s="37" t="s">
        <v>351</v>
      </c>
      <c r="E227" s="274">
        <v>45000.0</v>
      </c>
      <c r="F227" s="274">
        <v>92300.0</v>
      </c>
      <c r="G227" s="274">
        <v>78000.0</v>
      </c>
      <c r="H227" s="275">
        <v>0.8450704225352113</v>
      </c>
      <c r="I227" s="274">
        <v>47300.0</v>
      </c>
      <c r="J227" s="274">
        <v>33000.0</v>
      </c>
      <c r="K227" s="274">
        <v>33000.0</v>
      </c>
      <c r="L227" s="274">
        <v>0.0</v>
      </c>
      <c r="M227" s="274">
        <v>59307.0</v>
      </c>
      <c r="N227" s="274">
        <v>14300.0</v>
      </c>
      <c r="O227" s="274">
        <v>183000.0</v>
      </c>
      <c r="P227" s="274">
        <v>90000.0</v>
      </c>
      <c r="Q227" s="274">
        <v>-93000.0</v>
      </c>
      <c r="R227" s="275">
        <v>0.0</v>
      </c>
      <c r="S227" s="274">
        <v>210.0</v>
      </c>
      <c r="T227" s="275">
        <v>1.0</v>
      </c>
      <c r="U227" s="274">
        <v>0.0</v>
      </c>
    </row>
    <row r="228">
      <c r="A228" s="37" t="s">
        <v>2196</v>
      </c>
      <c r="B228" s="279">
        <v>45748.0</v>
      </c>
      <c r="C228" s="37" t="s">
        <v>41</v>
      </c>
      <c r="D228" s="37" t="s">
        <v>331</v>
      </c>
      <c r="E228" s="274">
        <v>27000.0</v>
      </c>
      <c r="F228" s="274">
        <v>70900.0</v>
      </c>
      <c r="G228" s="274">
        <v>52300.0</v>
      </c>
      <c r="H228" s="275">
        <v>0.7376586741889986</v>
      </c>
      <c r="I228" s="274">
        <v>43900.0</v>
      </c>
      <c r="J228" s="274">
        <v>25300.0</v>
      </c>
      <c r="K228" s="274">
        <v>23800.0</v>
      </c>
      <c r="L228" s="274">
        <v>0.0</v>
      </c>
      <c r="M228" s="274">
        <v>243967.0</v>
      </c>
      <c r="N228" s="274">
        <v>20100.0</v>
      </c>
      <c r="O228" s="274">
        <v>142200.0</v>
      </c>
      <c r="P228" s="274">
        <v>54000.0</v>
      </c>
      <c r="Q228" s="274">
        <v>-88200.0</v>
      </c>
      <c r="R228" s="275">
        <v>0.0</v>
      </c>
      <c r="S228" s="274">
        <v>150.0</v>
      </c>
      <c r="T228" s="275">
        <v>1.0</v>
      </c>
      <c r="U228" s="274">
        <v>0.0</v>
      </c>
    </row>
    <row r="229">
      <c r="A229" s="37" t="s">
        <v>2196</v>
      </c>
      <c r="B229" s="279">
        <v>45748.0</v>
      </c>
      <c r="C229" s="37" t="s">
        <v>56</v>
      </c>
      <c r="D229" s="37" t="s">
        <v>331</v>
      </c>
      <c r="E229" s="274">
        <v>26000.0</v>
      </c>
      <c r="F229" s="274">
        <v>50900.0</v>
      </c>
      <c r="G229" s="274">
        <v>62500.0</v>
      </c>
      <c r="H229" s="275">
        <v>1.2278978388998036</v>
      </c>
      <c r="I229" s="274">
        <v>24900.0</v>
      </c>
      <c r="J229" s="274">
        <v>36500.0</v>
      </c>
      <c r="K229" s="274">
        <v>36500.0</v>
      </c>
      <c r="L229" s="274">
        <v>0.0</v>
      </c>
      <c r="M229" s="274">
        <v>73522.0</v>
      </c>
      <c r="N229" s="274">
        <v>-11600.0</v>
      </c>
      <c r="O229" s="274">
        <v>101400.0</v>
      </c>
      <c r="P229" s="274">
        <v>52000.0</v>
      </c>
      <c r="Q229" s="274">
        <v>-49400.0</v>
      </c>
      <c r="R229" s="275">
        <v>0.0</v>
      </c>
      <c r="S229" s="274">
        <v>120.0</v>
      </c>
      <c r="T229" s="275">
        <v>1.0</v>
      </c>
      <c r="U229" s="274">
        <v>0.0</v>
      </c>
    </row>
    <row r="230">
      <c r="A230" s="37" t="s">
        <v>2196</v>
      </c>
      <c r="B230" s="279">
        <v>45748.0</v>
      </c>
      <c r="C230" s="37" t="s">
        <v>69</v>
      </c>
      <c r="D230" s="37" t="s">
        <v>331</v>
      </c>
      <c r="E230" s="274">
        <v>25600.0</v>
      </c>
      <c r="F230" s="274">
        <v>85900.0</v>
      </c>
      <c r="G230" s="274">
        <v>75400.0</v>
      </c>
      <c r="H230" s="275">
        <v>0.8777648428405123</v>
      </c>
      <c r="I230" s="274">
        <v>60300.0</v>
      </c>
      <c r="J230" s="274">
        <v>49800.0</v>
      </c>
      <c r="K230" s="274">
        <v>49050.0</v>
      </c>
      <c r="L230" s="274">
        <v>0.0</v>
      </c>
      <c r="M230" s="274">
        <v>70840.0</v>
      </c>
      <c r="N230" s="274">
        <v>11250.0</v>
      </c>
      <c r="O230" s="274">
        <v>174800.0</v>
      </c>
      <c r="P230" s="274">
        <v>51200.0</v>
      </c>
      <c r="Q230" s="274">
        <v>-123600.0</v>
      </c>
      <c r="R230" s="275">
        <v>0.0</v>
      </c>
      <c r="S230" s="274">
        <v>150.0</v>
      </c>
      <c r="T230" s="275">
        <v>1.0</v>
      </c>
      <c r="U230" s="274">
        <v>0.0</v>
      </c>
    </row>
    <row r="231">
      <c r="A231" s="37" t="s">
        <v>2196</v>
      </c>
      <c r="B231" s="279">
        <v>45748.0</v>
      </c>
      <c r="C231" s="37" t="s">
        <v>82</v>
      </c>
      <c r="D231" s="37" t="s">
        <v>331</v>
      </c>
      <c r="E231" s="274">
        <v>38800.0</v>
      </c>
      <c r="F231" s="274">
        <v>106700.0</v>
      </c>
      <c r="G231" s="274">
        <v>93700.0</v>
      </c>
      <c r="H231" s="275">
        <v>0.8781630740393627</v>
      </c>
      <c r="I231" s="274">
        <v>67900.0</v>
      </c>
      <c r="J231" s="274">
        <v>54900.0</v>
      </c>
      <c r="K231" s="274">
        <v>53966.0</v>
      </c>
      <c r="L231" s="274">
        <v>-934.0</v>
      </c>
      <c r="M231" s="274">
        <v>447598.0</v>
      </c>
      <c r="N231" s="274">
        <v>13934.0</v>
      </c>
      <c r="O231" s="274">
        <v>213000.0</v>
      </c>
      <c r="P231" s="274">
        <v>77600.0</v>
      </c>
      <c r="Q231" s="274">
        <v>-135400.0</v>
      </c>
      <c r="R231" s="275">
        <v>0.0</v>
      </c>
      <c r="S231" s="274">
        <v>210.0</v>
      </c>
      <c r="T231" s="275">
        <v>1.0</v>
      </c>
      <c r="U231" s="274">
        <v>0.0</v>
      </c>
    </row>
    <row r="232">
      <c r="A232" s="37" t="s">
        <v>2196</v>
      </c>
      <c r="B232" s="279">
        <v>45748.0</v>
      </c>
      <c r="C232" s="37" t="s">
        <v>101</v>
      </c>
      <c r="D232" s="37" t="s">
        <v>351</v>
      </c>
      <c r="E232" s="274">
        <v>28800.0</v>
      </c>
      <c r="F232" s="274">
        <v>58500.0</v>
      </c>
      <c r="G232" s="274">
        <v>66200.0</v>
      </c>
      <c r="H232" s="275">
        <v>1.1316239316239316</v>
      </c>
      <c r="I232" s="274">
        <v>29700.0</v>
      </c>
      <c r="J232" s="274">
        <v>37400.0</v>
      </c>
      <c r="K232" s="274">
        <v>37400.0</v>
      </c>
      <c r="L232" s="274">
        <v>0.0</v>
      </c>
      <c r="M232" s="274">
        <v>466139.0</v>
      </c>
      <c r="N232" s="274">
        <v>-7700.0</v>
      </c>
      <c r="O232" s="274">
        <v>112000.0</v>
      </c>
      <c r="P232" s="274">
        <v>57600.0</v>
      </c>
      <c r="Q232" s="274">
        <v>-54400.0</v>
      </c>
      <c r="R232" s="275">
        <v>0.0</v>
      </c>
      <c r="S232" s="274">
        <v>120.0</v>
      </c>
      <c r="T232" s="275">
        <v>1.0</v>
      </c>
      <c r="U232" s="274">
        <v>0.0</v>
      </c>
    </row>
    <row r="233">
      <c r="A233" s="37" t="s">
        <v>2196</v>
      </c>
      <c r="B233" s="279">
        <v>45748.0</v>
      </c>
      <c r="C233" s="37" t="s">
        <v>110</v>
      </c>
      <c r="D233" s="37" t="s">
        <v>331</v>
      </c>
      <c r="E233" s="274">
        <v>36500.0</v>
      </c>
      <c r="F233" s="274">
        <v>67600.0</v>
      </c>
      <c r="G233" s="274">
        <v>82400.0</v>
      </c>
      <c r="H233" s="275">
        <v>1.2189349112426036</v>
      </c>
      <c r="I233" s="274">
        <v>31100.0</v>
      </c>
      <c r="J233" s="274">
        <v>45900.0</v>
      </c>
      <c r="K233" s="274">
        <v>45545.0</v>
      </c>
      <c r="L233" s="274">
        <v>-355.0</v>
      </c>
      <c r="M233" s="274">
        <v>-233253.0</v>
      </c>
      <c r="N233" s="274">
        <v>-14445.0</v>
      </c>
      <c r="O233" s="274">
        <v>134800.0</v>
      </c>
      <c r="P233" s="274">
        <v>73000.0</v>
      </c>
      <c r="Q233" s="274">
        <v>-61800.0</v>
      </c>
      <c r="R233" s="275">
        <v>0.0</v>
      </c>
      <c r="S233" s="274">
        <v>150.0</v>
      </c>
      <c r="T233" s="275">
        <v>1.0</v>
      </c>
      <c r="U233" s="274">
        <v>0.0</v>
      </c>
    </row>
    <row r="234">
      <c r="A234" s="37" t="s">
        <v>2196</v>
      </c>
      <c r="B234" s="279">
        <v>45748.0</v>
      </c>
      <c r="C234" s="37" t="s">
        <v>119</v>
      </c>
      <c r="D234" s="37" t="s">
        <v>331</v>
      </c>
      <c r="E234" s="274">
        <v>12000.0</v>
      </c>
      <c r="F234" s="274">
        <v>22000.0</v>
      </c>
      <c r="G234" s="274">
        <v>22000.0</v>
      </c>
      <c r="H234" s="275">
        <v>1.0</v>
      </c>
      <c r="I234" s="274">
        <v>10000.0</v>
      </c>
      <c r="J234" s="274">
        <v>10000.0</v>
      </c>
      <c r="K234" s="274">
        <v>10000.0</v>
      </c>
      <c r="L234" s="274">
        <v>0.0</v>
      </c>
      <c r="M234" s="274">
        <v>22856.0</v>
      </c>
      <c r="N234" s="274">
        <v>0.0</v>
      </c>
      <c r="O234" s="274">
        <v>44000.0</v>
      </c>
      <c r="P234" s="274">
        <v>24000.0</v>
      </c>
      <c r="Q234" s="274">
        <v>-20000.0</v>
      </c>
      <c r="R234" s="275">
        <v>0.0</v>
      </c>
      <c r="S234" s="274">
        <v>30.0</v>
      </c>
      <c r="T234" s="275">
        <v>1.0</v>
      </c>
      <c r="U234" s="274">
        <v>0.0</v>
      </c>
    </row>
    <row r="235">
      <c r="A235" s="37" t="s">
        <v>2196</v>
      </c>
      <c r="B235" s="279">
        <v>45748.0</v>
      </c>
      <c r="C235" s="37" t="s">
        <v>122</v>
      </c>
      <c r="D235" s="37" t="s">
        <v>331</v>
      </c>
      <c r="E235" s="274">
        <v>35500.0</v>
      </c>
      <c r="F235" s="274">
        <v>58400.0</v>
      </c>
      <c r="G235" s="274">
        <v>45732.0</v>
      </c>
      <c r="H235" s="275">
        <v>0.783082191780822</v>
      </c>
      <c r="I235" s="274">
        <v>22900.0</v>
      </c>
      <c r="J235" s="274">
        <v>10232.0</v>
      </c>
      <c r="K235" s="274">
        <v>-2834.0</v>
      </c>
      <c r="L235" s="274">
        <v>-1082.0</v>
      </c>
      <c r="M235" s="274">
        <v>-151547.0</v>
      </c>
      <c r="N235" s="274">
        <v>25734.0</v>
      </c>
      <c r="O235" s="274">
        <v>116800.0</v>
      </c>
      <c r="P235" s="274">
        <v>71000.0</v>
      </c>
      <c r="Q235" s="274">
        <v>-45800.0</v>
      </c>
      <c r="R235" s="275">
        <v>0.0</v>
      </c>
      <c r="S235" s="274">
        <v>120.0</v>
      </c>
      <c r="T235" s="275">
        <v>1.0</v>
      </c>
      <c r="U235" s="274">
        <v>0.0</v>
      </c>
    </row>
    <row r="236">
      <c r="A236" s="37" t="s">
        <v>2196</v>
      </c>
      <c r="B236" s="278">
        <v>45748.0</v>
      </c>
      <c r="C236" s="37" t="s">
        <v>135</v>
      </c>
      <c r="D236" s="37" t="s">
        <v>331</v>
      </c>
      <c r="E236" s="274">
        <v>25000.0</v>
      </c>
      <c r="F236" s="274">
        <v>66000.0</v>
      </c>
      <c r="G236" s="274">
        <v>73300.0</v>
      </c>
      <c r="H236" s="275">
        <v>1.1106060606060606</v>
      </c>
      <c r="I236" s="274">
        <v>41000.0</v>
      </c>
      <c r="J236" s="274">
        <v>48300.0</v>
      </c>
      <c r="K236" s="274">
        <v>46324.0</v>
      </c>
      <c r="L236" s="274">
        <v>-1976.0</v>
      </c>
      <c r="M236" s="274">
        <v>-245470.0</v>
      </c>
      <c r="N236" s="274">
        <v>-5324.0</v>
      </c>
      <c r="O236" s="274">
        <v>129400.0</v>
      </c>
      <c r="P236" s="274">
        <v>50000.0</v>
      </c>
      <c r="Q236" s="274">
        <v>-79400.0</v>
      </c>
      <c r="R236" s="275">
        <v>0.0</v>
      </c>
      <c r="S236" s="274">
        <v>150.0</v>
      </c>
      <c r="T236" s="275">
        <v>1.0</v>
      </c>
      <c r="U236" s="274">
        <v>0.0</v>
      </c>
    </row>
    <row r="237">
      <c r="A237" s="37" t="s">
        <v>2196</v>
      </c>
      <c r="B237" s="278">
        <v>45748.0</v>
      </c>
      <c r="C237" s="37" t="s">
        <v>150</v>
      </c>
      <c r="D237" s="37" t="s">
        <v>331</v>
      </c>
      <c r="E237" s="274">
        <v>23000.0</v>
      </c>
      <c r="F237" s="274">
        <v>54900.0</v>
      </c>
      <c r="G237" s="274">
        <v>40950.0</v>
      </c>
      <c r="H237" s="275">
        <v>0.7459016393442623</v>
      </c>
      <c r="I237" s="274">
        <v>31900.0</v>
      </c>
      <c r="J237" s="274">
        <v>17950.0</v>
      </c>
      <c r="K237" s="274">
        <v>14434.0</v>
      </c>
      <c r="L237" s="274">
        <v>-2227.0</v>
      </c>
      <c r="M237" s="274">
        <v>-446410.0</v>
      </c>
      <c r="N237" s="274">
        <v>17466.0</v>
      </c>
      <c r="O237" s="274">
        <v>108600.0</v>
      </c>
      <c r="P237" s="274">
        <v>46000.0</v>
      </c>
      <c r="Q237" s="274">
        <v>-62600.0</v>
      </c>
      <c r="R237" s="275">
        <v>9.0</v>
      </c>
      <c r="S237" s="274">
        <v>120.0</v>
      </c>
      <c r="T237" s="275">
        <v>0.925</v>
      </c>
      <c r="U237" s="274">
        <v>0.0</v>
      </c>
    </row>
    <row r="238">
      <c r="A238" s="37" t="s">
        <v>2196</v>
      </c>
      <c r="B238" s="278">
        <v>45748.0</v>
      </c>
      <c r="C238" s="37" t="s">
        <v>163</v>
      </c>
      <c r="D238" s="37" t="s">
        <v>351</v>
      </c>
      <c r="E238" s="274">
        <v>39800.0</v>
      </c>
      <c r="F238" s="274">
        <v>80000.0</v>
      </c>
      <c r="G238" s="274">
        <v>82200.0</v>
      </c>
      <c r="H238" s="275">
        <v>1.0275</v>
      </c>
      <c r="I238" s="274">
        <v>40200.0</v>
      </c>
      <c r="J238" s="274">
        <v>42400.0</v>
      </c>
      <c r="K238" s="274">
        <v>41500.0</v>
      </c>
      <c r="L238" s="274">
        <v>-900.0</v>
      </c>
      <c r="M238" s="274">
        <v>-304284.385</v>
      </c>
      <c r="N238" s="274">
        <v>-1300.0</v>
      </c>
      <c r="O238" s="274">
        <v>164400.0</v>
      </c>
      <c r="P238" s="274">
        <v>79600.0</v>
      </c>
      <c r="Q238" s="274">
        <v>-84800.0</v>
      </c>
      <c r="R238" s="275">
        <v>0.0</v>
      </c>
      <c r="S238" s="274">
        <v>150.0</v>
      </c>
      <c r="T238" s="275">
        <v>1.0</v>
      </c>
      <c r="U238" s="274">
        <v>0.0</v>
      </c>
    </row>
    <row r="239">
      <c r="A239" s="37" t="s">
        <v>2196</v>
      </c>
      <c r="B239" s="278">
        <v>45748.0</v>
      </c>
      <c r="C239" s="37" t="s">
        <v>178</v>
      </c>
      <c r="D239" s="37" t="s">
        <v>331</v>
      </c>
      <c r="E239" s="274">
        <v>36000.0</v>
      </c>
      <c r="F239" s="274">
        <v>83000.0</v>
      </c>
      <c r="G239" s="274">
        <v>84000.0</v>
      </c>
      <c r="H239" s="275">
        <v>1.0120481927710843</v>
      </c>
      <c r="I239" s="274">
        <v>47000.0</v>
      </c>
      <c r="J239" s="274">
        <v>48000.0</v>
      </c>
      <c r="K239" s="274">
        <v>48000.0</v>
      </c>
      <c r="L239" s="274">
        <v>0.0</v>
      </c>
      <c r="M239" s="274">
        <v>-352535.0</v>
      </c>
      <c r="N239" s="274">
        <v>-1000.0</v>
      </c>
      <c r="O239" s="274">
        <v>106000.0</v>
      </c>
      <c r="P239" s="274">
        <v>72000.0</v>
      </c>
      <c r="Q239" s="274">
        <v>-34000.0</v>
      </c>
      <c r="R239" s="275">
        <v>30.0</v>
      </c>
      <c r="S239" s="274">
        <v>150.0</v>
      </c>
      <c r="T239" s="275">
        <v>0.8</v>
      </c>
      <c r="U239" s="274">
        <v>0.0</v>
      </c>
    </row>
    <row r="240">
      <c r="A240" s="37" t="s">
        <v>2196</v>
      </c>
      <c r="B240" s="278">
        <v>45748.0</v>
      </c>
      <c r="C240" s="37" t="s">
        <v>2197</v>
      </c>
      <c r="D240" s="37" t="s">
        <v>331</v>
      </c>
      <c r="E240" s="274">
        <v>0.0</v>
      </c>
      <c r="F240" s="274">
        <v>0.0</v>
      </c>
      <c r="G240" s="274">
        <v>466500.0</v>
      </c>
      <c r="H240" s="275">
        <v>0.0</v>
      </c>
      <c r="I240" s="274">
        <v>0.0</v>
      </c>
      <c r="J240" s="274">
        <v>466500.0</v>
      </c>
      <c r="K240" s="274">
        <v>437414.0</v>
      </c>
      <c r="L240" s="274">
        <v>-4500.0</v>
      </c>
      <c r="M240" s="274">
        <v>-529782.0</v>
      </c>
      <c r="N240" s="274">
        <v>-437414.0</v>
      </c>
      <c r="O240" s="274">
        <v>0.0</v>
      </c>
      <c r="P240" s="274">
        <v>0.0</v>
      </c>
      <c r="Q240" s="274">
        <v>0.0</v>
      </c>
      <c r="R240" s="275">
        <v>0.0</v>
      </c>
      <c r="S240" s="274">
        <v>0.0</v>
      </c>
      <c r="T240" s="275">
        <v>0.0</v>
      </c>
      <c r="U240" s="274">
        <v>360000.0</v>
      </c>
    </row>
    <row r="241">
      <c r="A241" s="37" t="s">
        <v>2196</v>
      </c>
      <c r="B241" s="278">
        <v>45748.0</v>
      </c>
      <c r="C241" s="37" t="s">
        <v>2198</v>
      </c>
      <c r="D241" s="37" t="s">
        <v>351</v>
      </c>
      <c r="E241" s="274">
        <v>0.0</v>
      </c>
      <c r="F241" s="274">
        <v>0.0</v>
      </c>
      <c r="G241" s="274">
        <v>0.0</v>
      </c>
      <c r="H241" s="275">
        <v>0.0</v>
      </c>
      <c r="I241" s="274">
        <v>0.0</v>
      </c>
      <c r="J241" s="274">
        <v>0.0</v>
      </c>
      <c r="K241" s="274">
        <v>-888.0</v>
      </c>
      <c r="L241" s="274">
        <v>-768.0</v>
      </c>
      <c r="M241" s="274">
        <v>-275333.0</v>
      </c>
      <c r="N241" s="274">
        <v>888.0</v>
      </c>
      <c r="O241" s="274">
        <v>0.0</v>
      </c>
      <c r="P241" s="274">
        <v>0.0</v>
      </c>
      <c r="Q241" s="274">
        <v>0.0</v>
      </c>
      <c r="R241" s="275">
        <v>0.0</v>
      </c>
      <c r="S241" s="274">
        <v>0.0</v>
      </c>
      <c r="T241" s="275">
        <v>0.0</v>
      </c>
      <c r="U241" s="274">
        <v>100000.0</v>
      </c>
    </row>
    <row r="242">
      <c r="A242" s="37" t="s">
        <v>2196</v>
      </c>
      <c r="B242" s="279">
        <v>45778.0</v>
      </c>
      <c r="C242" s="37" t="s">
        <v>16</v>
      </c>
      <c r="D242" s="37" t="s">
        <v>331</v>
      </c>
      <c r="E242" s="274">
        <v>34000.0</v>
      </c>
      <c r="F242" s="274">
        <v>87000.0</v>
      </c>
      <c r="G242" s="274">
        <v>41100.0</v>
      </c>
      <c r="H242" s="275">
        <v>0.4724137931034483</v>
      </c>
      <c r="I242" s="274">
        <v>53000.0</v>
      </c>
      <c r="J242" s="274">
        <v>7100.0</v>
      </c>
      <c r="K242" s="274">
        <v>5840.0</v>
      </c>
      <c r="L242" s="274">
        <v>0.0</v>
      </c>
      <c r="M242" s="274">
        <v>79822.0</v>
      </c>
      <c r="N242" s="274">
        <v>47160.0</v>
      </c>
      <c r="O242" s="274">
        <v>108000.0</v>
      </c>
      <c r="P242" s="274">
        <v>68000.0</v>
      </c>
      <c r="Q242" s="274">
        <v>-40000.0</v>
      </c>
      <c r="R242" s="275">
        <v>31.0</v>
      </c>
      <c r="S242" s="274">
        <v>155.0</v>
      </c>
      <c r="T242" s="275">
        <v>0.8</v>
      </c>
      <c r="U242" s="274">
        <v>0.0</v>
      </c>
    </row>
    <row r="243">
      <c r="A243" s="37" t="s">
        <v>2196</v>
      </c>
      <c r="B243" s="279">
        <v>45778.0</v>
      </c>
      <c r="C243" s="37" t="s">
        <v>27</v>
      </c>
      <c r="D243" s="37" t="s">
        <v>351</v>
      </c>
      <c r="E243" s="274">
        <v>45000.0</v>
      </c>
      <c r="F243" s="274">
        <v>92300.0</v>
      </c>
      <c r="G243" s="274">
        <v>157200.0</v>
      </c>
      <c r="H243" s="275">
        <v>1.7031419284940412</v>
      </c>
      <c r="I243" s="274">
        <v>47300.0</v>
      </c>
      <c r="J243" s="274">
        <v>112200.0</v>
      </c>
      <c r="K243" s="274">
        <v>112200.0</v>
      </c>
      <c r="L243" s="274">
        <v>0.0</v>
      </c>
      <c r="M243" s="274">
        <v>171507.0</v>
      </c>
      <c r="N243" s="274">
        <v>-64900.0</v>
      </c>
      <c r="O243" s="274">
        <v>183000.0</v>
      </c>
      <c r="P243" s="274">
        <v>90000.0</v>
      </c>
      <c r="Q243" s="274">
        <v>-93000.0</v>
      </c>
      <c r="R243" s="275">
        <v>0.0</v>
      </c>
      <c r="S243" s="274">
        <v>217.0</v>
      </c>
      <c r="T243" s="275">
        <v>1.0</v>
      </c>
      <c r="U243" s="274">
        <v>0.0</v>
      </c>
    </row>
    <row r="244">
      <c r="A244" s="37" t="s">
        <v>2196</v>
      </c>
      <c r="B244" s="279">
        <v>45778.0</v>
      </c>
      <c r="C244" s="37" t="s">
        <v>41</v>
      </c>
      <c r="D244" s="37" t="s">
        <v>331</v>
      </c>
      <c r="E244" s="274">
        <v>27000.0</v>
      </c>
      <c r="F244" s="274">
        <v>70900.0</v>
      </c>
      <c r="G244" s="274">
        <v>81100.0</v>
      </c>
      <c r="H244" s="275">
        <v>1.1438645980253879</v>
      </c>
      <c r="I244" s="274">
        <v>43900.0</v>
      </c>
      <c r="J244" s="274">
        <v>54100.0</v>
      </c>
      <c r="K244" s="274">
        <v>52811.0</v>
      </c>
      <c r="L244" s="274">
        <v>0.0</v>
      </c>
      <c r="M244" s="274">
        <v>296778.0</v>
      </c>
      <c r="N244" s="274">
        <v>-8911.0</v>
      </c>
      <c r="O244" s="274">
        <v>115200.0</v>
      </c>
      <c r="P244" s="274">
        <v>54000.0</v>
      </c>
      <c r="Q244" s="274">
        <v>-61200.0</v>
      </c>
      <c r="R244" s="275">
        <v>5.0</v>
      </c>
      <c r="S244" s="274">
        <v>155.0</v>
      </c>
      <c r="T244" s="275">
        <v>0.967741935483871</v>
      </c>
      <c r="U244" s="274">
        <v>0.0</v>
      </c>
    </row>
    <row r="245">
      <c r="A245" s="37" t="s">
        <v>2196</v>
      </c>
      <c r="B245" s="279">
        <v>45778.0</v>
      </c>
      <c r="C245" s="37" t="s">
        <v>56</v>
      </c>
      <c r="D245" s="37" t="s">
        <v>331</v>
      </c>
      <c r="E245" s="274">
        <v>26000.0</v>
      </c>
      <c r="F245" s="274">
        <v>50900.0</v>
      </c>
      <c r="G245" s="274">
        <v>50700.0</v>
      </c>
      <c r="H245" s="275">
        <v>0.9960707269155207</v>
      </c>
      <c r="I245" s="274">
        <v>24900.0</v>
      </c>
      <c r="J245" s="274">
        <v>24700.0</v>
      </c>
      <c r="K245" s="274">
        <v>23411.0</v>
      </c>
      <c r="L245" s="274">
        <v>0.0</v>
      </c>
      <c r="M245" s="274">
        <v>96933.0</v>
      </c>
      <c r="N245" s="274">
        <v>1489.0</v>
      </c>
      <c r="O245" s="274">
        <v>78800.0</v>
      </c>
      <c r="P245" s="274">
        <v>52000.0</v>
      </c>
      <c r="Q245" s="274">
        <v>-26800.0</v>
      </c>
      <c r="R245" s="275">
        <v>3.0</v>
      </c>
      <c r="S245" s="274">
        <v>124.0</v>
      </c>
      <c r="T245" s="275">
        <v>0.9758064516129032</v>
      </c>
      <c r="U245" s="274">
        <v>0.0</v>
      </c>
    </row>
    <row r="246">
      <c r="A246" s="37" t="s">
        <v>2196</v>
      </c>
      <c r="B246" s="279">
        <v>45778.0</v>
      </c>
      <c r="C246" s="37" t="s">
        <v>69</v>
      </c>
      <c r="D246" s="37" t="s">
        <v>331</v>
      </c>
      <c r="E246" s="274">
        <v>25600.0</v>
      </c>
      <c r="F246" s="274">
        <v>85900.0</v>
      </c>
      <c r="G246" s="274">
        <v>96000.0</v>
      </c>
      <c r="H246" s="275">
        <v>1.1175785797438882</v>
      </c>
      <c r="I246" s="274">
        <v>60300.0</v>
      </c>
      <c r="J246" s="274">
        <v>70400.0</v>
      </c>
      <c r="K246" s="274">
        <v>70400.0</v>
      </c>
      <c r="L246" s="274">
        <v>0.0</v>
      </c>
      <c r="M246" s="274">
        <v>141240.0</v>
      </c>
      <c r="N246" s="274">
        <v>-10100.0</v>
      </c>
      <c r="O246" s="274">
        <v>170800.0</v>
      </c>
      <c r="P246" s="274">
        <v>51200.0</v>
      </c>
      <c r="Q246" s="274">
        <v>-119600.0</v>
      </c>
      <c r="R246" s="275">
        <v>0.0</v>
      </c>
      <c r="S246" s="274">
        <v>155.0</v>
      </c>
      <c r="T246" s="275">
        <v>1.0</v>
      </c>
      <c r="U246" s="274">
        <v>0.0</v>
      </c>
    </row>
    <row r="247">
      <c r="A247" s="37" t="s">
        <v>2196</v>
      </c>
      <c r="B247" s="279">
        <v>45778.0</v>
      </c>
      <c r="C247" s="37" t="s">
        <v>82</v>
      </c>
      <c r="D247" s="37" t="s">
        <v>331</v>
      </c>
      <c r="E247" s="274">
        <v>38800.0</v>
      </c>
      <c r="F247" s="274">
        <v>106700.0</v>
      </c>
      <c r="G247" s="274">
        <v>121358.0</v>
      </c>
      <c r="H247" s="275">
        <v>1.1373758200562325</v>
      </c>
      <c r="I247" s="274">
        <v>67900.0</v>
      </c>
      <c r="J247" s="274">
        <v>82558.0</v>
      </c>
      <c r="K247" s="274">
        <v>78098.0</v>
      </c>
      <c r="L247" s="274">
        <v>-4197.0</v>
      </c>
      <c r="M247" s="274">
        <v>525696.0</v>
      </c>
      <c r="N247" s="274">
        <v>-10198.0</v>
      </c>
      <c r="O247" s="274">
        <v>211000.0</v>
      </c>
      <c r="P247" s="274">
        <v>77600.0</v>
      </c>
      <c r="Q247" s="274">
        <v>-133400.0</v>
      </c>
      <c r="R247" s="275">
        <v>25.0</v>
      </c>
      <c r="S247" s="274">
        <v>217.0</v>
      </c>
      <c r="T247" s="275">
        <v>0.8847926267281105</v>
      </c>
      <c r="U247" s="274">
        <v>0.0</v>
      </c>
    </row>
    <row r="248">
      <c r="A248" s="37" t="s">
        <v>2196</v>
      </c>
      <c r="B248" s="279">
        <v>45778.0</v>
      </c>
      <c r="C248" s="37" t="s">
        <v>101</v>
      </c>
      <c r="D248" s="37" t="s">
        <v>351</v>
      </c>
      <c r="E248" s="274">
        <v>28800.0</v>
      </c>
      <c r="F248" s="274">
        <v>58500.0</v>
      </c>
      <c r="G248" s="274">
        <v>27200.0</v>
      </c>
      <c r="H248" s="275">
        <v>0.46495726495726497</v>
      </c>
      <c r="I248" s="274">
        <v>29700.0</v>
      </c>
      <c r="J248" s="274">
        <v>-1600.0</v>
      </c>
      <c r="K248" s="274">
        <v>-1615.0</v>
      </c>
      <c r="L248" s="274">
        <v>0.0</v>
      </c>
      <c r="M248" s="274">
        <v>464524.0</v>
      </c>
      <c r="N248" s="274">
        <v>31315.0</v>
      </c>
      <c r="O248" s="274">
        <v>112000.0</v>
      </c>
      <c r="P248" s="274">
        <v>57600.0</v>
      </c>
      <c r="Q248" s="274">
        <v>-54400.0</v>
      </c>
      <c r="R248" s="275">
        <v>0.0</v>
      </c>
      <c r="S248" s="274">
        <v>124.0</v>
      </c>
      <c r="T248" s="275">
        <v>1.0</v>
      </c>
      <c r="U248" s="274">
        <v>0.0</v>
      </c>
    </row>
    <row r="249">
      <c r="A249" s="37" t="s">
        <v>2196</v>
      </c>
      <c r="B249" s="279">
        <v>45778.0</v>
      </c>
      <c r="C249" s="37" t="s">
        <v>110</v>
      </c>
      <c r="D249" s="37" t="s">
        <v>331</v>
      </c>
      <c r="E249" s="274">
        <v>36500.0</v>
      </c>
      <c r="F249" s="274">
        <v>67600.0</v>
      </c>
      <c r="G249" s="274">
        <v>67400.0</v>
      </c>
      <c r="H249" s="275">
        <v>0.9970414201183432</v>
      </c>
      <c r="I249" s="274">
        <v>31100.0</v>
      </c>
      <c r="J249" s="274">
        <v>30900.0</v>
      </c>
      <c r="K249" s="274">
        <v>29400.0</v>
      </c>
      <c r="L249" s="274">
        <v>0.0</v>
      </c>
      <c r="M249" s="274">
        <v>-203853.0</v>
      </c>
      <c r="N249" s="274">
        <v>1700.0</v>
      </c>
      <c r="O249" s="274">
        <v>134800.0</v>
      </c>
      <c r="P249" s="274">
        <v>73000.0</v>
      </c>
      <c r="Q249" s="274">
        <v>-61800.0</v>
      </c>
      <c r="R249" s="275">
        <v>0.0</v>
      </c>
      <c r="S249" s="274">
        <v>155.0</v>
      </c>
      <c r="T249" s="275">
        <v>1.0</v>
      </c>
      <c r="U249" s="274">
        <v>0.0</v>
      </c>
    </row>
    <row r="250">
      <c r="A250" s="37" t="s">
        <v>2196</v>
      </c>
      <c r="B250" s="279">
        <v>45778.0</v>
      </c>
      <c r="C250" s="37" t="s">
        <v>119</v>
      </c>
      <c r="D250" s="37" t="s">
        <v>331</v>
      </c>
      <c r="E250" s="274">
        <v>12000.0</v>
      </c>
      <c r="F250" s="274">
        <v>22000.0</v>
      </c>
      <c r="G250" s="274">
        <v>11000.0</v>
      </c>
      <c r="H250" s="275">
        <v>0.5</v>
      </c>
      <c r="I250" s="274">
        <v>10000.0</v>
      </c>
      <c r="J250" s="274">
        <v>-1000.0</v>
      </c>
      <c r="K250" s="274">
        <v>3763.0</v>
      </c>
      <c r="L250" s="274">
        <v>0.0</v>
      </c>
      <c r="M250" s="274">
        <v>26619.0</v>
      </c>
      <c r="N250" s="274">
        <v>6237.0</v>
      </c>
      <c r="O250" s="274">
        <v>44000.0</v>
      </c>
      <c r="P250" s="274">
        <v>24000.0</v>
      </c>
      <c r="Q250" s="274">
        <v>-20000.0</v>
      </c>
      <c r="R250" s="275">
        <v>0.0</v>
      </c>
      <c r="S250" s="274">
        <v>31.0</v>
      </c>
      <c r="T250" s="275">
        <v>1.0</v>
      </c>
      <c r="U250" s="274">
        <v>0.0</v>
      </c>
    </row>
    <row r="251">
      <c r="A251" s="37" t="s">
        <v>2196</v>
      </c>
      <c r="B251" s="278">
        <v>45778.0</v>
      </c>
      <c r="C251" s="37" t="s">
        <v>122</v>
      </c>
      <c r="D251" s="37" t="s">
        <v>331</v>
      </c>
      <c r="E251" s="274">
        <v>35500.0</v>
      </c>
      <c r="F251" s="274">
        <v>58400.0</v>
      </c>
      <c r="G251" s="274">
        <v>43900.0</v>
      </c>
      <c r="H251" s="275">
        <v>0.7517123287671232</v>
      </c>
      <c r="I251" s="274">
        <v>22900.0</v>
      </c>
      <c r="J251" s="274">
        <v>8400.0</v>
      </c>
      <c r="K251" s="274">
        <v>7020.0</v>
      </c>
      <c r="L251" s="274">
        <v>0.0</v>
      </c>
      <c r="M251" s="274">
        <v>-144527.0</v>
      </c>
      <c r="N251" s="274">
        <v>15880.0</v>
      </c>
      <c r="O251" s="274">
        <v>116800.0</v>
      </c>
      <c r="P251" s="274">
        <v>71000.0</v>
      </c>
      <c r="Q251" s="274">
        <v>-45800.0</v>
      </c>
      <c r="R251" s="275">
        <v>1.0</v>
      </c>
      <c r="S251" s="274">
        <v>124.0</v>
      </c>
      <c r="T251" s="275">
        <v>0.9919354838709677</v>
      </c>
      <c r="U251" s="274">
        <v>0.0</v>
      </c>
    </row>
    <row r="252">
      <c r="A252" s="37" t="s">
        <v>2196</v>
      </c>
      <c r="B252" s="278">
        <v>45778.0</v>
      </c>
      <c r="C252" s="37" t="s">
        <v>135</v>
      </c>
      <c r="D252" s="37" t="s">
        <v>331</v>
      </c>
      <c r="E252" s="274">
        <v>25000.0</v>
      </c>
      <c r="F252" s="274">
        <v>66000.0</v>
      </c>
      <c r="G252" s="274">
        <v>94000.0</v>
      </c>
      <c r="H252" s="275">
        <v>1.4242424242424243</v>
      </c>
      <c r="I252" s="274">
        <v>41000.0</v>
      </c>
      <c r="J252" s="274">
        <v>69000.0</v>
      </c>
      <c r="K252" s="274">
        <v>69000.0</v>
      </c>
      <c r="L252" s="274">
        <v>0.0</v>
      </c>
      <c r="M252" s="274">
        <v>-176470.0</v>
      </c>
      <c r="N252" s="274">
        <v>-28000.0</v>
      </c>
      <c r="O252" s="274">
        <v>129400.0</v>
      </c>
      <c r="P252" s="274">
        <v>50000.0</v>
      </c>
      <c r="Q252" s="274">
        <v>-79400.0</v>
      </c>
      <c r="R252" s="275">
        <v>0.0</v>
      </c>
      <c r="S252" s="274">
        <v>155.0</v>
      </c>
      <c r="T252" s="275">
        <v>1.0</v>
      </c>
      <c r="U252" s="274">
        <v>0.0</v>
      </c>
    </row>
    <row r="253">
      <c r="A253" s="37" t="s">
        <v>2196</v>
      </c>
      <c r="B253" s="278">
        <v>45778.0</v>
      </c>
      <c r="C253" s="37" t="s">
        <v>150</v>
      </c>
      <c r="D253" s="37" t="s">
        <v>331</v>
      </c>
      <c r="E253" s="274">
        <v>23000.0</v>
      </c>
      <c r="F253" s="274">
        <v>54900.0</v>
      </c>
      <c r="G253" s="274">
        <v>54300.0</v>
      </c>
      <c r="H253" s="275">
        <v>0.9890710382513661</v>
      </c>
      <c r="I253" s="274">
        <v>31900.0</v>
      </c>
      <c r="J253" s="274">
        <v>31300.0</v>
      </c>
      <c r="K253" s="274">
        <v>31300.0</v>
      </c>
      <c r="L253" s="274">
        <v>0.0</v>
      </c>
      <c r="M253" s="274">
        <v>-415110.0</v>
      </c>
      <c r="N253" s="274">
        <v>600.0</v>
      </c>
      <c r="O253" s="274">
        <v>108600.0</v>
      </c>
      <c r="P253" s="274">
        <v>46000.0</v>
      </c>
      <c r="Q253" s="274">
        <v>-62600.0</v>
      </c>
      <c r="R253" s="275">
        <v>0.0</v>
      </c>
      <c r="S253" s="274">
        <v>124.0</v>
      </c>
      <c r="T253" s="275">
        <v>1.0</v>
      </c>
      <c r="U253" s="274">
        <v>0.0</v>
      </c>
    </row>
    <row r="254">
      <c r="A254" s="37" t="s">
        <v>2196</v>
      </c>
      <c r="B254" s="279">
        <v>45778.0</v>
      </c>
      <c r="C254" s="37" t="s">
        <v>163</v>
      </c>
      <c r="D254" s="37" t="s">
        <v>351</v>
      </c>
      <c r="E254" s="274">
        <v>39800.0</v>
      </c>
      <c r="F254" s="274">
        <v>80000.0</v>
      </c>
      <c r="G254" s="274">
        <v>68200.0</v>
      </c>
      <c r="H254" s="275">
        <v>0.8525</v>
      </c>
      <c r="I254" s="274">
        <v>40200.0</v>
      </c>
      <c r="J254" s="274">
        <v>28400.0</v>
      </c>
      <c r="K254" s="274">
        <v>28400.0</v>
      </c>
      <c r="L254" s="274">
        <v>0.0</v>
      </c>
      <c r="M254" s="274">
        <v>-275884.385</v>
      </c>
      <c r="N254" s="274">
        <v>11800.0</v>
      </c>
      <c r="O254" s="274">
        <v>164400.0</v>
      </c>
      <c r="P254" s="274">
        <v>79600.0</v>
      </c>
      <c r="Q254" s="274">
        <v>-84800.0</v>
      </c>
      <c r="R254" s="275">
        <v>0.0</v>
      </c>
      <c r="S254" s="274">
        <v>155.0</v>
      </c>
      <c r="T254" s="275">
        <v>1.0</v>
      </c>
      <c r="U254" s="274">
        <v>0.0</v>
      </c>
    </row>
    <row r="255">
      <c r="A255" s="37" t="s">
        <v>2196</v>
      </c>
      <c r="B255" s="278">
        <v>45778.0</v>
      </c>
      <c r="C255" s="37" t="s">
        <v>178</v>
      </c>
      <c r="D255" s="37" t="s">
        <v>331</v>
      </c>
      <c r="E255" s="274">
        <v>36000.0</v>
      </c>
      <c r="F255" s="274">
        <v>83000.0</v>
      </c>
      <c r="G255" s="274">
        <v>84000.0</v>
      </c>
      <c r="H255" s="275">
        <v>1.0120481927710843</v>
      </c>
      <c r="I255" s="274">
        <v>47000.0</v>
      </c>
      <c r="J255" s="274">
        <v>48000.0</v>
      </c>
      <c r="K255" s="274">
        <v>39600.0</v>
      </c>
      <c r="L255" s="274">
        <v>0.0</v>
      </c>
      <c r="M255" s="274">
        <v>-312935.0</v>
      </c>
      <c r="N255" s="274">
        <v>7400.0</v>
      </c>
      <c r="O255" s="274">
        <v>106000.0</v>
      </c>
      <c r="P255" s="274">
        <v>72000.0</v>
      </c>
      <c r="Q255" s="274">
        <v>-34000.0</v>
      </c>
      <c r="R255" s="275">
        <v>31.0</v>
      </c>
      <c r="S255" s="274">
        <v>155.0</v>
      </c>
      <c r="T255" s="275">
        <v>0.8</v>
      </c>
      <c r="U255" s="274">
        <v>0.0</v>
      </c>
    </row>
    <row r="256">
      <c r="A256" s="37" t="s">
        <v>2196</v>
      </c>
      <c r="B256" s="278">
        <v>45778.0</v>
      </c>
      <c r="C256" s="37" t="s">
        <v>188</v>
      </c>
      <c r="D256" s="37" t="s">
        <v>331</v>
      </c>
      <c r="E256" s="274">
        <v>0.0</v>
      </c>
      <c r="F256" s="274">
        <v>114600.0</v>
      </c>
      <c r="G256" s="274">
        <v>5200.0</v>
      </c>
      <c r="H256" s="275">
        <v>0.04537521815008726</v>
      </c>
      <c r="I256" s="274">
        <v>114600.0</v>
      </c>
      <c r="J256" s="274">
        <v>5200.0</v>
      </c>
      <c r="K256" s="274">
        <v>1511.0</v>
      </c>
      <c r="L256" s="274">
        <v>0.0</v>
      </c>
      <c r="M256" s="274">
        <v>-59129.0</v>
      </c>
      <c r="N256" s="274">
        <v>113089.0</v>
      </c>
      <c r="O256" s="274">
        <v>0.0</v>
      </c>
      <c r="P256" s="274">
        <v>0.0</v>
      </c>
      <c r="Q256" s="274">
        <v>0.0</v>
      </c>
      <c r="R256" s="275">
        <v>0.0</v>
      </c>
      <c r="S256" s="274">
        <v>217.0</v>
      </c>
      <c r="T256" s="275">
        <v>1.0</v>
      </c>
      <c r="U256" s="274">
        <v>0.0</v>
      </c>
    </row>
    <row r="257">
      <c r="A257" s="37" t="s">
        <v>2196</v>
      </c>
      <c r="B257" s="278">
        <v>45778.0</v>
      </c>
      <c r="C257" s="37" t="s">
        <v>209</v>
      </c>
      <c r="D257" s="37" t="s">
        <v>351</v>
      </c>
      <c r="E257" s="274">
        <v>33000.0</v>
      </c>
      <c r="F257" s="274">
        <v>78400.0</v>
      </c>
      <c r="G257" s="274">
        <v>0.0</v>
      </c>
      <c r="H257" s="275">
        <v>0.0</v>
      </c>
      <c r="I257" s="274">
        <v>45400.0</v>
      </c>
      <c r="J257" s="274">
        <v>-33000.0</v>
      </c>
      <c r="K257" s="274">
        <v>-501470.0</v>
      </c>
      <c r="L257" s="274">
        <v>0.0</v>
      </c>
      <c r="M257" s="274">
        <v>-501470.0</v>
      </c>
      <c r="N257" s="274">
        <v>546870.0</v>
      </c>
      <c r="O257" s="274">
        <v>0.0</v>
      </c>
      <c r="P257" s="274">
        <v>66000.0</v>
      </c>
      <c r="Q257" s="274">
        <v>66000.0</v>
      </c>
      <c r="R257" s="275">
        <v>186.0</v>
      </c>
      <c r="S257" s="274">
        <v>186.0</v>
      </c>
      <c r="T257" s="275">
        <v>0.0</v>
      </c>
      <c r="U257" s="274">
        <v>0.0</v>
      </c>
    </row>
    <row r="258">
      <c r="A258" s="37" t="s">
        <v>2196</v>
      </c>
      <c r="B258" s="279">
        <v>45778.0</v>
      </c>
      <c r="C258" s="37" t="s">
        <v>2197</v>
      </c>
      <c r="D258" s="37" t="s">
        <v>331</v>
      </c>
      <c r="E258" s="274">
        <v>0.0</v>
      </c>
      <c r="F258" s="274">
        <v>0.0</v>
      </c>
      <c r="G258" s="274">
        <v>169100.0</v>
      </c>
      <c r="H258" s="275">
        <v>0.0</v>
      </c>
      <c r="I258" s="274">
        <v>0.0</v>
      </c>
      <c r="J258" s="274">
        <v>169100.0</v>
      </c>
      <c r="K258" s="274">
        <v>3610.0</v>
      </c>
      <c r="L258" s="274">
        <v>-4500.0</v>
      </c>
      <c r="M258" s="274">
        <v>-526172.0</v>
      </c>
      <c r="N258" s="274">
        <v>-3610.0</v>
      </c>
      <c r="O258" s="274">
        <v>0.0</v>
      </c>
      <c r="P258" s="274">
        <v>0.0</v>
      </c>
      <c r="Q258" s="274">
        <v>0.0</v>
      </c>
      <c r="R258" s="275">
        <v>0.0</v>
      </c>
      <c r="S258" s="274">
        <v>0.0</v>
      </c>
      <c r="T258" s="275">
        <v>0.0</v>
      </c>
      <c r="U258" s="274">
        <v>360000.0</v>
      </c>
    </row>
    <row r="259">
      <c r="A259" s="37" t="s">
        <v>2196</v>
      </c>
      <c r="B259" s="279">
        <v>45778.0</v>
      </c>
      <c r="C259" s="37" t="s">
        <v>2198</v>
      </c>
      <c r="D259" s="37" t="s">
        <v>351</v>
      </c>
      <c r="E259" s="274">
        <v>0.0</v>
      </c>
      <c r="F259" s="274">
        <v>0.0</v>
      </c>
      <c r="G259" s="274">
        <v>0.0</v>
      </c>
      <c r="H259" s="275">
        <v>0.0</v>
      </c>
      <c r="I259" s="274">
        <v>0.0</v>
      </c>
      <c r="J259" s="274">
        <v>0.0</v>
      </c>
      <c r="K259" s="274">
        <v>-1050.0</v>
      </c>
      <c r="L259" s="274">
        <v>-900.0</v>
      </c>
      <c r="M259" s="274">
        <v>-276383.0</v>
      </c>
      <c r="N259" s="274">
        <v>1050.0</v>
      </c>
      <c r="O259" s="274">
        <v>0.0</v>
      </c>
      <c r="P259" s="274">
        <v>0.0</v>
      </c>
      <c r="Q259" s="274">
        <v>0.0</v>
      </c>
      <c r="R259" s="275">
        <v>0.0</v>
      </c>
      <c r="S259" s="274">
        <v>0.0</v>
      </c>
      <c r="T259" s="275">
        <v>0.0</v>
      </c>
      <c r="U259" s="274">
        <v>100000.0</v>
      </c>
    </row>
    <row r="260">
      <c r="A260" s="37" t="s">
        <v>2196</v>
      </c>
      <c r="B260" s="279">
        <v>45809.0</v>
      </c>
      <c r="C260" s="37" t="s">
        <v>16</v>
      </c>
      <c r="D260" s="37" t="s">
        <v>331</v>
      </c>
      <c r="E260" s="274">
        <v>34000.0</v>
      </c>
      <c r="F260" s="274">
        <v>87000.0</v>
      </c>
      <c r="G260" s="274">
        <v>40600.0</v>
      </c>
      <c r="H260" s="275">
        <v>0.4666666666666667</v>
      </c>
      <c r="I260" s="274">
        <v>53000.0</v>
      </c>
      <c r="J260" s="274">
        <v>6600.0</v>
      </c>
      <c r="K260" s="274">
        <v>6600.0</v>
      </c>
      <c r="L260" s="274">
        <v>0.0</v>
      </c>
      <c r="M260" s="274">
        <v>86422.0</v>
      </c>
      <c r="N260" s="274">
        <v>46400.0</v>
      </c>
      <c r="O260" s="274">
        <v>107000.0</v>
      </c>
      <c r="P260" s="274">
        <v>68000.0</v>
      </c>
      <c r="Q260" s="274">
        <v>-39000.0</v>
      </c>
      <c r="R260" s="275">
        <v>30.0</v>
      </c>
      <c r="S260" s="274">
        <v>150.0</v>
      </c>
      <c r="T260" s="275">
        <v>0.8</v>
      </c>
      <c r="U260" s="274">
        <v>0.0</v>
      </c>
    </row>
    <row r="261">
      <c r="A261" s="37" t="s">
        <v>2196</v>
      </c>
      <c r="B261" s="279">
        <v>45809.0</v>
      </c>
      <c r="C261" s="37" t="s">
        <v>27</v>
      </c>
      <c r="D261" s="37" t="s">
        <v>351</v>
      </c>
      <c r="E261" s="274">
        <v>45000.0</v>
      </c>
      <c r="F261" s="274">
        <v>92300.0</v>
      </c>
      <c r="G261" s="274">
        <v>78000.0</v>
      </c>
      <c r="H261" s="275">
        <v>0.8450704225352113</v>
      </c>
      <c r="I261" s="274">
        <v>47300.0</v>
      </c>
      <c r="J261" s="274">
        <v>33000.0</v>
      </c>
      <c r="K261" s="274">
        <v>17250.0</v>
      </c>
      <c r="L261" s="274">
        <v>0.0</v>
      </c>
      <c r="M261" s="274">
        <v>188757.0</v>
      </c>
      <c r="N261" s="274">
        <v>30050.0</v>
      </c>
      <c r="O261" s="274">
        <v>183000.0</v>
      </c>
      <c r="P261" s="274">
        <v>90000.0</v>
      </c>
      <c r="Q261" s="274">
        <v>-93000.0</v>
      </c>
      <c r="R261" s="275">
        <v>0.0</v>
      </c>
      <c r="S261" s="274">
        <v>210.0</v>
      </c>
      <c r="T261" s="275">
        <v>1.0</v>
      </c>
      <c r="U261" s="274">
        <v>0.0</v>
      </c>
    </row>
    <row r="262">
      <c r="A262" s="37" t="s">
        <v>2196</v>
      </c>
      <c r="B262" s="279">
        <v>45809.0</v>
      </c>
      <c r="C262" s="37" t="s">
        <v>41</v>
      </c>
      <c r="D262" s="37" t="s">
        <v>331</v>
      </c>
      <c r="E262" s="274">
        <v>27000.0</v>
      </c>
      <c r="F262" s="274">
        <v>70900.0</v>
      </c>
      <c r="G262" s="274">
        <v>58400.0</v>
      </c>
      <c r="H262" s="275">
        <v>0.8236953455571228</v>
      </c>
      <c r="I262" s="274">
        <v>43900.0</v>
      </c>
      <c r="J262" s="274">
        <v>31400.0</v>
      </c>
      <c r="K262" s="274">
        <v>27621.0</v>
      </c>
      <c r="L262" s="274">
        <v>-679.0</v>
      </c>
      <c r="M262" s="274">
        <v>324399.0</v>
      </c>
      <c r="N262" s="274">
        <v>16279.0</v>
      </c>
      <c r="O262" s="274">
        <v>142200.0</v>
      </c>
      <c r="P262" s="274">
        <v>54000.0</v>
      </c>
      <c r="Q262" s="274">
        <v>-88200.0</v>
      </c>
      <c r="R262" s="275">
        <v>6.0</v>
      </c>
      <c r="S262" s="274">
        <v>150.0</v>
      </c>
      <c r="T262" s="275">
        <v>0.96</v>
      </c>
      <c r="U262" s="274">
        <v>0.0</v>
      </c>
    </row>
    <row r="263">
      <c r="A263" s="37" t="s">
        <v>2196</v>
      </c>
      <c r="B263" s="279">
        <v>45809.0</v>
      </c>
      <c r="C263" s="37" t="s">
        <v>56</v>
      </c>
      <c r="D263" s="37" t="s">
        <v>331</v>
      </c>
      <c r="E263" s="274">
        <v>26000.0</v>
      </c>
      <c r="F263" s="274">
        <v>50900.0</v>
      </c>
      <c r="G263" s="274">
        <v>39400.0</v>
      </c>
      <c r="H263" s="275">
        <v>0.7740667976424361</v>
      </c>
      <c r="I263" s="274">
        <v>24900.0</v>
      </c>
      <c r="J263" s="274">
        <v>13400.0</v>
      </c>
      <c r="K263" s="274">
        <v>10337.0</v>
      </c>
      <c r="L263" s="274">
        <v>-3063.0</v>
      </c>
      <c r="M263" s="274">
        <v>107270.0</v>
      </c>
      <c r="N263" s="274">
        <v>14563.0</v>
      </c>
      <c r="O263" s="274">
        <v>78800.0</v>
      </c>
      <c r="P263" s="274">
        <v>52000.0</v>
      </c>
      <c r="Q263" s="274">
        <v>-26800.0</v>
      </c>
      <c r="R263" s="275">
        <v>30.0</v>
      </c>
      <c r="S263" s="274">
        <v>120.0</v>
      </c>
      <c r="T263" s="275">
        <v>0.75</v>
      </c>
      <c r="U263" s="274">
        <v>0.0</v>
      </c>
    </row>
    <row r="264">
      <c r="A264" s="37" t="s">
        <v>2196</v>
      </c>
      <c r="B264" s="279">
        <v>45809.0</v>
      </c>
      <c r="C264" s="37" t="s">
        <v>69</v>
      </c>
      <c r="D264" s="37" t="s">
        <v>331</v>
      </c>
      <c r="E264" s="274">
        <v>25600.0</v>
      </c>
      <c r="F264" s="274">
        <v>85900.0</v>
      </c>
      <c r="G264" s="274">
        <v>97400.0</v>
      </c>
      <c r="H264" s="275">
        <v>1.1338766006984866</v>
      </c>
      <c r="I264" s="274">
        <v>60300.0</v>
      </c>
      <c r="J264" s="274">
        <v>71800.0</v>
      </c>
      <c r="K264" s="274">
        <v>67934.0</v>
      </c>
      <c r="L264" s="274">
        <v>0.0</v>
      </c>
      <c r="M264" s="274">
        <v>209174.0</v>
      </c>
      <c r="N264" s="274">
        <v>-7634.0</v>
      </c>
      <c r="O264" s="274">
        <v>170800.0</v>
      </c>
      <c r="P264" s="274">
        <v>51200.0</v>
      </c>
      <c r="Q264" s="274">
        <v>-119600.0</v>
      </c>
      <c r="R264" s="275">
        <v>0.0</v>
      </c>
      <c r="S264" s="274">
        <v>150.0</v>
      </c>
      <c r="T264" s="275">
        <v>1.0</v>
      </c>
      <c r="U264" s="274">
        <v>0.0</v>
      </c>
    </row>
    <row r="265">
      <c r="A265" s="37" t="s">
        <v>2196</v>
      </c>
      <c r="B265" s="279">
        <v>45809.0</v>
      </c>
      <c r="C265" s="37" t="s">
        <v>82</v>
      </c>
      <c r="D265" s="37" t="s">
        <v>331</v>
      </c>
      <c r="E265" s="274">
        <v>38800.0</v>
      </c>
      <c r="F265" s="274">
        <v>106700.0</v>
      </c>
      <c r="G265" s="274">
        <v>84319.0</v>
      </c>
      <c r="H265" s="275">
        <v>0.7902436738519213</v>
      </c>
      <c r="I265" s="274">
        <v>67900.0</v>
      </c>
      <c r="J265" s="274">
        <v>45519.0</v>
      </c>
      <c r="K265" s="274">
        <v>42581.0</v>
      </c>
      <c r="L265" s="274">
        <v>-1650.0</v>
      </c>
      <c r="M265" s="274">
        <v>568277.0</v>
      </c>
      <c r="N265" s="274">
        <v>25319.0</v>
      </c>
      <c r="O265" s="274">
        <v>211000.0</v>
      </c>
      <c r="P265" s="274">
        <v>77600.0</v>
      </c>
      <c r="Q265" s="274">
        <v>-133400.0</v>
      </c>
      <c r="R265" s="275">
        <v>0.0</v>
      </c>
      <c r="S265" s="274">
        <v>210.0</v>
      </c>
      <c r="T265" s="275">
        <v>1.0</v>
      </c>
      <c r="U265" s="274">
        <v>0.0</v>
      </c>
    </row>
    <row r="266">
      <c r="A266" s="37" t="s">
        <v>2196</v>
      </c>
      <c r="B266" s="279">
        <v>45809.0</v>
      </c>
      <c r="C266" s="37" t="s">
        <v>101</v>
      </c>
      <c r="D266" s="37" t="s">
        <v>351</v>
      </c>
      <c r="E266" s="274">
        <v>28800.0</v>
      </c>
      <c r="F266" s="274">
        <v>58500.0</v>
      </c>
      <c r="G266" s="274">
        <v>103016.0</v>
      </c>
      <c r="H266" s="275">
        <v>1.760957264957265</v>
      </c>
      <c r="I266" s="274">
        <v>29700.0</v>
      </c>
      <c r="J266" s="274">
        <v>74216.0</v>
      </c>
      <c r="K266" s="274">
        <v>69685.0</v>
      </c>
      <c r="L266" s="274">
        <v>-2697.0</v>
      </c>
      <c r="M266" s="274">
        <v>534209.0</v>
      </c>
      <c r="N266" s="274">
        <v>-39985.0</v>
      </c>
      <c r="O266" s="274">
        <v>90000.0</v>
      </c>
      <c r="P266" s="274">
        <v>57600.0</v>
      </c>
      <c r="Q266" s="274">
        <v>-32400.0</v>
      </c>
      <c r="R266" s="275">
        <v>18.0</v>
      </c>
      <c r="S266" s="274">
        <v>120.0</v>
      </c>
      <c r="T266" s="275">
        <v>0.85</v>
      </c>
      <c r="U266" s="274">
        <v>0.0</v>
      </c>
    </row>
    <row r="267">
      <c r="A267" s="37" t="s">
        <v>2196</v>
      </c>
      <c r="B267" s="278">
        <v>45809.0</v>
      </c>
      <c r="C267" s="37" t="s">
        <v>110</v>
      </c>
      <c r="D267" s="37" t="s">
        <v>331</v>
      </c>
      <c r="E267" s="274">
        <v>36500.0</v>
      </c>
      <c r="F267" s="274">
        <v>67600.0</v>
      </c>
      <c r="G267" s="274">
        <v>67400.0</v>
      </c>
      <c r="H267" s="275">
        <v>0.9970414201183432</v>
      </c>
      <c r="I267" s="274">
        <v>31100.0</v>
      </c>
      <c r="J267" s="274">
        <v>30900.0</v>
      </c>
      <c r="K267" s="274">
        <v>30900.0</v>
      </c>
      <c r="L267" s="274">
        <v>0.0</v>
      </c>
      <c r="M267" s="274">
        <v>-172953.0</v>
      </c>
      <c r="N267" s="274">
        <v>200.0</v>
      </c>
      <c r="O267" s="274">
        <v>134800.0</v>
      </c>
      <c r="P267" s="274">
        <v>73000.0</v>
      </c>
      <c r="Q267" s="274">
        <v>-61800.0</v>
      </c>
      <c r="R267" s="275">
        <v>0.0</v>
      </c>
      <c r="S267" s="274">
        <v>150.0</v>
      </c>
      <c r="T267" s="275">
        <v>1.0</v>
      </c>
      <c r="U267" s="274">
        <v>0.0</v>
      </c>
    </row>
    <row r="268">
      <c r="A268" s="37" t="s">
        <v>2196</v>
      </c>
      <c r="B268" s="278">
        <v>45809.0</v>
      </c>
      <c r="C268" s="37" t="s">
        <v>119</v>
      </c>
      <c r="D268" s="37" t="s">
        <v>331</v>
      </c>
      <c r="E268" s="274">
        <v>12000.0</v>
      </c>
      <c r="F268" s="274">
        <v>22000.0</v>
      </c>
      <c r="G268" s="274">
        <v>22000.0</v>
      </c>
      <c r="H268" s="275">
        <v>1.0</v>
      </c>
      <c r="I268" s="274">
        <v>10000.0</v>
      </c>
      <c r="J268" s="274">
        <v>10000.0</v>
      </c>
      <c r="K268" s="274">
        <v>10000.0</v>
      </c>
      <c r="L268" s="274">
        <v>0.0</v>
      </c>
      <c r="M268" s="274">
        <v>36619.0</v>
      </c>
      <c r="N268" s="274">
        <v>0.0</v>
      </c>
      <c r="O268" s="274">
        <v>44000.0</v>
      </c>
      <c r="P268" s="274">
        <v>24000.0</v>
      </c>
      <c r="Q268" s="274">
        <v>-20000.0</v>
      </c>
      <c r="R268" s="275">
        <v>0.0</v>
      </c>
      <c r="S268" s="274">
        <v>30.0</v>
      </c>
      <c r="T268" s="275">
        <v>1.0</v>
      </c>
      <c r="U268" s="274">
        <v>0.0</v>
      </c>
    </row>
    <row r="269">
      <c r="A269" s="37" t="s">
        <v>2196</v>
      </c>
      <c r="B269" s="278">
        <v>45809.0</v>
      </c>
      <c r="C269" s="37" t="s">
        <v>122</v>
      </c>
      <c r="D269" s="37" t="s">
        <v>331</v>
      </c>
      <c r="E269" s="274">
        <v>35500.0</v>
      </c>
      <c r="F269" s="274">
        <v>58400.0</v>
      </c>
      <c r="G269" s="274">
        <v>72400.0</v>
      </c>
      <c r="H269" s="275">
        <v>1.2397260273972603</v>
      </c>
      <c r="I269" s="274">
        <v>22900.0</v>
      </c>
      <c r="J269" s="274">
        <v>36900.0</v>
      </c>
      <c r="K269" s="274">
        <v>36100.0</v>
      </c>
      <c r="L269" s="274">
        <v>-800.0</v>
      </c>
      <c r="M269" s="274">
        <v>-108427.0</v>
      </c>
      <c r="N269" s="274">
        <v>-13200.0</v>
      </c>
      <c r="O269" s="274">
        <v>116800.0</v>
      </c>
      <c r="P269" s="274">
        <v>71000.0</v>
      </c>
      <c r="Q269" s="274">
        <v>-45800.0</v>
      </c>
      <c r="R269" s="275">
        <v>0.0</v>
      </c>
      <c r="S269" s="274">
        <v>120.0</v>
      </c>
      <c r="T269" s="275">
        <v>1.0</v>
      </c>
      <c r="U269" s="274">
        <v>0.0</v>
      </c>
    </row>
    <row r="270">
      <c r="A270" s="37" t="s">
        <v>2196</v>
      </c>
      <c r="B270" s="278">
        <v>45809.0</v>
      </c>
      <c r="C270" s="37" t="s">
        <v>135</v>
      </c>
      <c r="D270" s="37" t="s">
        <v>331</v>
      </c>
      <c r="E270" s="274">
        <v>25000.0</v>
      </c>
      <c r="F270" s="274">
        <v>66000.0</v>
      </c>
      <c r="G270" s="274">
        <v>25000.0</v>
      </c>
      <c r="H270" s="275">
        <v>0.3787878787878788</v>
      </c>
      <c r="I270" s="274">
        <v>41000.0</v>
      </c>
      <c r="J270" s="274">
        <v>0.0</v>
      </c>
      <c r="K270" s="274">
        <v>-1500.0</v>
      </c>
      <c r="L270" s="274">
        <v>-1500.0</v>
      </c>
      <c r="M270" s="274">
        <v>-177970.0</v>
      </c>
      <c r="N270" s="274">
        <v>42500.0</v>
      </c>
      <c r="O270" s="274">
        <v>129400.0</v>
      </c>
      <c r="P270" s="274">
        <v>50000.0</v>
      </c>
      <c r="Q270" s="274">
        <v>-79400.0</v>
      </c>
      <c r="R270" s="275">
        <v>0.0</v>
      </c>
      <c r="S270" s="274">
        <v>150.0</v>
      </c>
      <c r="T270" s="275">
        <v>1.0</v>
      </c>
      <c r="U270" s="274">
        <v>0.0</v>
      </c>
    </row>
    <row r="271">
      <c r="A271" s="37" t="s">
        <v>2196</v>
      </c>
      <c r="B271" s="279">
        <v>45809.0</v>
      </c>
      <c r="C271" s="37" t="s">
        <v>150</v>
      </c>
      <c r="D271" s="37" t="s">
        <v>331</v>
      </c>
      <c r="E271" s="274">
        <v>23000.0</v>
      </c>
      <c r="F271" s="274">
        <v>54900.0</v>
      </c>
      <c r="G271" s="274">
        <v>54300.0</v>
      </c>
      <c r="H271" s="275">
        <v>0.9890710382513661</v>
      </c>
      <c r="I271" s="274">
        <v>31900.0</v>
      </c>
      <c r="J271" s="274">
        <v>31300.0</v>
      </c>
      <c r="K271" s="274">
        <v>31300.0</v>
      </c>
      <c r="L271" s="274">
        <v>0.0</v>
      </c>
      <c r="M271" s="274">
        <v>-383810.0</v>
      </c>
      <c r="N271" s="274">
        <v>600.0</v>
      </c>
      <c r="O271" s="274">
        <v>108600.0</v>
      </c>
      <c r="P271" s="274">
        <v>46000.0</v>
      </c>
      <c r="Q271" s="274">
        <v>-62600.0</v>
      </c>
      <c r="R271" s="275">
        <v>0.0</v>
      </c>
      <c r="S271" s="274">
        <v>120.0</v>
      </c>
      <c r="T271" s="275">
        <v>1.0</v>
      </c>
      <c r="U271" s="274">
        <v>0.0</v>
      </c>
    </row>
    <row r="272">
      <c r="A272" s="37" t="s">
        <v>2196</v>
      </c>
      <c r="B272" s="279">
        <v>45809.0</v>
      </c>
      <c r="C272" s="37" t="s">
        <v>163</v>
      </c>
      <c r="D272" s="37" t="s">
        <v>351</v>
      </c>
      <c r="E272" s="274">
        <v>39800.0</v>
      </c>
      <c r="F272" s="274">
        <v>80000.0</v>
      </c>
      <c r="G272" s="274">
        <v>96200.0</v>
      </c>
      <c r="H272" s="275">
        <v>1.2025</v>
      </c>
      <c r="I272" s="274">
        <v>40200.0</v>
      </c>
      <c r="J272" s="274">
        <v>56400.0</v>
      </c>
      <c r="K272" s="274">
        <v>56400.0</v>
      </c>
      <c r="L272" s="274">
        <v>0.0</v>
      </c>
      <c r="M272" s="274">
        <v>-219484.385</v>
      </c>
      <c r="N272" s="274">
        <v>-16200.0</v>
      </c>
      <c r="O272" s="274">
        <v>164400.0</v>
      </c>
      <c r="P272" s="274">
        <v>79600.0</v>
      </c>
      <c r="Q272" s="274">
        <v>-84800.0</v>
      </c>
      <c r="R272" s="275">
        <v>0.0</v>
      </c>
      <c r="S272" s="274">
        <v>150.0</v>
      </c>
      <c r="T272" s="275">
        <v>1.0</v>
      </c>
      <c r="U272" s="274">
        <v>0.0</v>
      </c>
    </row>
    <row r="273">
      <c r="A273" s="37" t="s">
        <v>2196</v>
      </c>
      <c r="B273" s="279">
        <v>45809.0</v>
      </c>
      <c r="C273" s="37" t="s">
        <v>178</v>
      </c>
      <c r="D273" s="37" t="s">
        <v>331</v>
      </c>
      <c r="E273" s="274">
        <v>36000.0</v>
      </c>
      <c r="F273" s="274">
        <v>83000.0</v>
      </c>
      <c r="G273" s="274">
        <v>84000.0</v>
      </c>
      <c r="H273" s="275">
        <v>1.0120481927710843</v>
      </c>
      <c r="I273" s="274">
        <v>47000.0</v>
      </c>
      <c r="J273" s="274">
        <v>48000.0</v>
      </c>
      <c r="K273" s="274">
        <v>48000.0</v>
      </c>
      <c r="L273" s="274">
        <v>0.0</v>
      </c>
      <c r="M273" s="274">
        <v>-264935.0</v>
      </c>
      <c r="N273" s="274">
        <v>-1000.0</v>
      </c>
      <c r="O273" s="274">
        <v>106000.0</v>
      </c>
      <c r="P273" s="274">
        <v>72000.0</v>
      </c>
      <c r="Q273" s="274">
        <v>-34000.0</v>
      </c>
      <c r="R273" s="275">
        <v>30.0</v>
      </c>
      <c r="S273" s="274">
        <v>150.0</v>
      </c>
      <c r="T273" s="275">
        <v>0.8</v>
      </c>
      <c r="U273" s="274">
        <v>0.0</v>
      </c>
    </row>
    <row r="274">
      <c r="A274" s="37" t="s">
        <v>2196</v>
      </c>
      <c r="B274" s="279">
        <v>45809.0</v>
      </c>
      <c r="C274" s="37" t="s">
        <v>188</v>
      </c>
      <c r="D274" s="37" t="s">
        <v>331</v>
      </c>
      <c r="E274" s="274">
        <v>50000.0</v>
      </c>
      <c r="F274" s="274">
        <v>114600.0</v>
      </c>
      <c r="G274" s="274">
        <v>0.0</v>
      </c>
      <c r="H274" s="275">
        <v>0.0</v>
      </c>
      <c r="I274" s="274">
        <v>64600.0</v>
      </c>
      <c r="J274" s="274">
        <v>-50000.0</v>
      </c>
      <c r="K274" s="274">
        <v>-260868.0</v>
      </c>
      <c r="L274" s="274">
        <v>0.0</v>
      </c>
      <c r="M274" s="274">
        <v>-319997.0</v>
      </c>
      <c r="N274" s="274">
        <v>325468.0</v>
      </c>
      <c r="O274" s="274">
        <v>0.0</v>
      </c>
      <c r="P274" s="274">
        <v>100000.0</v>
      </c>
      <c r="Q274" s="274">
        <v>100000.0</v>
      </c>
      <c r="R274" s="275">
        <v>210.0</v>
      </c>
      <c r="S274" s="274">
        <v>210.0</v>
      </c>
      <c r="T274" s="275">
        <v>0.0</v>
      </c>
      <c r="U274" s="274">
        <v>0.0</v>
      </c>
    </row>
    <row r="275">
      <c r="A275" s="37" t="s">
        <v>2196</v>
      </c>
      <c r="B275" s="279">
        <v>45809.0</v>
      </c>
      <c r="C275" s="37" t="s">
        <v>209</v>
      </c>
      <c r="D275" s="37" t="s">
        <v>351</v>
      </c>
      <c r="E275" s="274">
        <v>33000.0</v>
      </c>
      <c r="F275" s="274">
        <v>78400.0</v>
      </c>
      <c r="G275" s="274">
        <v>58045.0</v>
      </c>
      <c r="H275" s="275">
        <v>0.7403698979591836</v>
      </c>
      <c r="I275" s="274">
        <v>45400.0</v>
      </c>
      <c r="J275" s="274">
        <v>25045.0</v>
      </c>
      <c r="K275" s="274">
        <v>-73084.0</v>
      </c>
      <c r="L275" s="274">
        <v>0.0</v>
      </c>
      <c r="M275" s="274">
        <v>-574554.0</v>
      </c>
      <c r="N275" s="274">
        <v>118484.0</v>
      </c>
      <c r="O275" s="274">
        <v>81200.0</v>
      </c>
      <c r="P275" s="274">
        <v>66000.0</v>
      </c>
      <c r="Q275" s="274">
        <v>-15200.0</v>
      </c>
      <c r="R275" s="275">
        <v>163.0</v>
      </c>
      <c r="S275" s="274">
        <v>180.0</v>
      </c>
      <c r="T275" s="275">
        <v>0.09444444444444444</v>
      </c>
      <c r="U275" s="274">
        <v>0.0</v>
      </c>
    </row>
    <row r="276">
      <c r="A276" s="37" t="s">
        <v>2196</v>
      </c>
      <c r="B276" s="279">
        <v>45809.0</v>
      </c>
      <c r="C276" s="37" t="s">
        <v>2197</v>
      </c>
      <c r="D276" s="37" t="s">
        <v>331</v>
      </c>
      <c r="E276" s="274">
        <v>0.0</v>
      </c>
      <c r="F276" s="274">
        <v>0.0</v>
      </c>
      <c r="G276" s="274">
        <v>15376.0</v>
      </c>
      <c r="H276" s="275">
        <v>0.0</v>
      </c>
      <c r="I276" s="274">
        <v>0.0</v>
      </c>
      <c r="J276" s="274">
        <v>15376.0</v>
      </c>
      <c r="K276" s="274">
        <v>-103233.0</v>
      </c>
      <c r="L276" s="274">
        <v>-4500.0</v>
      </c>
      <c r="M276" s="274">
        <v>-629405.0</v>
      </c>
      <c r="N276" s="274">
        <v>103233.0</v>
      </c>
      <c r="O276" s="274">
        <v>0.0</v>
      </c>
      <c r="P276" s="274">
        <v>0.0</v>
      </c>
      <c r="Q276" s="274">
        <v>0.0</v>
      </c>
      <c r="R276" s="275">
        <v>0.0</v>
      </c>
      <c r="S276" s="274">
        <v>0.0</v>
      </c>
      <c r="T276" s="275">
        <v>0.0</v>
      </c>
      <c r="U276" s="274">
        <v>360000.0</v>
      </c>
    </row>
    <row r="277">
      <c r="A277" s="37" t="s">
        <v>2196</v>
      </c>
      <c r="B277" s="279">
        <v>45809.0</v>
      </c>
      <c r="C277" s="37" t="s">
        <v>2198</v>
      </c>
      <c r="D277" s="37" t="s">
        <v>351</v>
      </c>
      <c r="E277" s="274">
        <v>0.0</v>
      </c>
      <c r="F277" s="274">
        <v>0.0</v>
      </c>
      <c r="G277" s="274">
        <v>36430.0</v>
      </c>
      <c r="H277" s="275">
        <v>0.0</v>
      </c>
      <c r="I277" s="274">
        <v>0.0</v>
      </c>
      <c r="J277" s="274">
        <v>36430.0</v>
      </c>
      <c r="K277" s="274">
        <v>30365.0</v>
      </c>
      <c r="L277" s="274">
        <v>-900.0</v>
      </c>
      <c r="M277" s="274">
        <v>-246018.0</v>
      </c>
      <c r="N277" s="274">
        <v>-30365.0</v>
      </c>
      <c r="O277" s="274">
        <v>0.0</v>
      </c>
      <c r="P277" s="274">
        <v>0.0</v>
      </c>
      <c r="Q277" s="274">
        <v>0.0</v>
      </c>
      <c r="R277" s="275">
        <v>0.0</v>
      </c>
      <c r="S277" s="274">
        <v>0.0</v>
      </c>
      <c r="T277" s="275">
        <v>0.0</v>
      </c>
      <c r="U277" s="274">
        <v>0.0</v>
      </c>
    </row>
    <row r="278">
      <c r="A278" s="37" t="s">
        <v>2196</v>
      </c>
      <c r="B278" s="279">
        <v>45839.0</v>
      </c>
      <c r="C278" s="37" t="s">
        <v>16</v>
      </c>
      <c r="D278" s="37" t="s">
        <v>331</v>
      </c>
      <c r="E278" s="274">
        <v>34000.0</v>
      </c>
      <c r="F278" s="274">
        <v>87000.0</v>
      </c>
      <c r="G278" s="274">
        <v>54900.0</v>
      </c>
      <c r="H278" s="275">
        <v>0.6310344827586207</v>
      </c>
      <c r="I278" s="274">
        <v>53000.0</v>
      </c>
      <c r="J278" s="274">
        <v>20900.0</v>
      </c>
      <c r="K278" s="274">
        <v>-1900.0</v>
      </c>
      <c r="L278" s="274">
        <v>0.0</v>
      </c>
      <c r="M278" s="274">
        <v>84522.0</v>
      </c>
      <c r="N278" s="274">
        <v>54900.0</v>
      </c>
      <c r="O278" s="274">
        <v>107000.0</v>
      </c>
      <c r="P278" s="274">
        <v>68000.0</v>
      </c>
      <c r="Q278" s="274">
        <v>-39000.0</v>
      </c>
      <c r="R278" s="275">
        <v>31.0</v>
      </c>
      <c r="S278" s="274">
        <v>155.0</v>
      </c>
      <c r="T278" s="275">
        <v>0.8</v>
      </c>
      <c r="U278" s="274">
        <v>0.0</v>
      </c>
    </row>
    <row r="279">
      <c r="A279" s="37" t="s">
        <v>2196</v>
      </c>
      <c r="B279" s="279">
        <v>45839.0</v>
      </c>
      <c r="C279" s="37" t="s">
        <v>27</v>
      </c>
      <c r="D279" s="37" t="s">
        <v>351</v>
      </c>
      <c r="E279" s="274">
        <v>45000.0</v>
      </c>
      <c r="F279" s="274">
        <v>92300.0</v>
      </c>
      <c r="G279" s="274">
        <v>78500.0</v>
      </c>
      <c r="H279" s="275">
        <v>0.8504875406283857</v>
      </c>
      <c r="I279" s="274">
        <v>47300.0</v>
      </c>
      <c r="J279" s="274">
        <v>33500.0</v>
      </c>
      <c r="K279" s="274">
        <v>28700.0</v>
      </c>
      <c r="L279" s="274">
        <v>-4800.0</v>
      </c>
      <c r="M279" s="274">
        <v>217457.0</v>
      </c>
      <c r="N279" s="274">
        <v>18600.0</v>
      </c>
      <c r="O279" s="274">
        <v>184000.0</v>
      </c>
      <c r="P279" s="274">
        <v>90000.0</v>
      </c>
      <c r="Q279" s="274">
        <v>-94000.0</v>
      </c>
      <c r="R279" s="275">
        <v>0.0</v>
      </c>
      <c r="S279" s="274">
        <v>217.0</v>
      </c>
      <c r="T279" s="275">
        <v>1.0</v>
      </c>
      <c r="U279" s="274">
        <v>0.0</v>
      </c>
    </row>
    <row r="280">
      <c r="A280" s="37" t="s">
        <v>2196</v>
      </c>
      <c r="B280" s="278">
        <v>45839.0</v>
      </c>
      <c r="C280" s="37" t="s">
        <v>41</v>
      </c>
      <c r="D280" s="37" t="s">
        <v>331</v>
      </c>
      <c r="E280" s="274">
        <v>27000.0</v>
      </c>
      <c r="F280" s="274">
        <v>70900.0</v>
      </c>
      <c r="G280" s="274">
        <v>71100.0</v>
      </c>
      <c r="H280" s="275">
        <v>1.002820874471086</v>
      </c>
      <c r="I280" s="274">
        <v>43900.0</v>
      </c>
      <c r="J280" s="274">
        <v>44100.0</v>
      </c>
      <c r="K280" s="274">
        <v>44100.0</v>
      </c>
      <c r="L280" s="274">
        <v>0.0</v>
      </c>
      <c r="M280" s="274">
        <v>368499.0</v>
      </c>
      <c r="N280" s="274">
        <v>-200.0</v>
      </c>
      <c r="O280" s="274">
        <v>142200.0</v>
      </c>
      <c r="P280" s="274">
        <v>54000.0</v>
      </c>
      <c r="Q280" s="274">
        <v>-88200.0</v>
      </c>
      <c r="R280" s="275">
        <v>0.0</v>
      </c>
      <c r="S280" s="274">
        <v>155.0</v>
      </c>
      <c r="T280" s="275">
        <v>1.0</v>
      </c>
      <c r="U280" s="274">
        <v>0.0</v>
      </c>
    </row>
    <row r="281">
      <c r="A281" s="37" t="s">
        <v>2196</v>
      </c>
      <c r="B281" s="278">
        <v>45839.0</v>
      </c>
      <c r="C281" s="37" t="s">
        <v>56</v>
      </c>
      <c r="D281" s="37" t="s">
        <v>331</v>
      </c>
      <c r="E281" s="274">
        <v>26000.0</v>
      </c>
      <c r="F281" s="274">
        <v>50900.0</v>
      </c>
      <c r="G281" s="274">
        <v>37181.0</v>
      </c>
      <c r="H281" s="275">
        <v>0.7304715127701376</v>
      </c>
      <c r="I281" s="274">
        <v>24900.0</v>
      </c>
      <c r="J281" s="274">
        <v>11181.0</v>
      </c>
      <c r="K281" s="274">
        <v>11181.0</v>
      </c>
      <c r="L281" s="274">
        <v>0.0</v>
      </c>
      <c r="M281" s="274">
        <v>118451.0</v>
      </c>
      <c r="N281" s="274">
        <v>13719.0</v>
      </c>
      <c r="O281" s="274">
        <v>100800.0</v>
      </c>
      <c r="P281" s="274">
        <v>52000.0</v>
      </c>
      <c r="Q281" s="274">
        <v>-48800.0</v>
      </c>
      <c r="R281" s="275">
        <v>4.0</v>
      </c>
      <c r="S281" s="274">
        <v>124.0</v>
      </c>
      <c r="T281" s="275">
        <v>0.967741935483871</v>
      </c>
      <c r="U281" s="274">
        <v>0.0</v>
      </c>
    </row>
    <row r="282">
      <c r="A282" s="37" t="s">
        <v>2196</v>
      </c>
      <c r="B282" s="278">
        <v>45839.0</v>
      </c>
      <c r="C282" s="37" t="s">
        <v>69</v>
      </c>
      <c r="D282" s="37" t="s">
        <v>331</v>
      </c>
      <c r="E282" s="274">
        <v>25600.0</v>
      </c>
      <c r="F282" s="274">
        <v>85900.0</v>
      </c>
      <c r="G282" s="274">
        <v>50103.0</v>
      </c>
      <c r="H282" s="275">
        <v>0.5832712456344586</v>
      </c>
      <c r="I282" s="274">
        <v>60300.0</v>
      </c>
      <c r="J282" s="274">
        <v>24503.0</v>
      </c>
      <c r="K282" s="274">
        <v>20517.0</v>
      </c>
      <c r="L282" s="274">
        <v>0.0</v>
      </c>
      <c r="M282" s="274">
        <v>229691.0</v>
      </c>
      <c r="N282" s="274">
        <v>39783.0</v>
      </c>
      <c r="O282" s="274">
        <v>170800.0</v>
      </c>
      <c r="P282" s="274">
        <v>51200.0</v>
      </c>
      <c r="Q282" s="274">
        <v>-119600.0</v>
      </c>
      <c r="R282" s="275">
        <v>2.0</v>
      </c>
      <c r="S282" s="274">
        <v>155.0</v>
      </c>
      <c r="T282" s="275">
        <v>0.9870967741935484</v>
      </c>
      <c r="U282" s="274">
        <v>0.0</v>
      </c>
    </row>
    <row r="283">
      <c r="A283" s="37" t="s">
        <v>2196</v>
      </c>
      <c r="B283" s="279">
        <v>45839.0</v>
      </c>
      <c r="C283" s="37" t="s">
        <v>82</v>
      </c>
      <c r="D283" s="37" t="s">
        <v>331</v>
      </c>
      <c r="E283" s="274">
        <v>38800.0</v>
      </c>
      <c r="F283" s="274">
        <v>106700.0</v>
      </c>
      <c r="G283" s="274">
        <v>58700.0</v>
      </c>
      <c r="H283" s="275">
        <v>0.5501405810684161</v>
      </c>
      <c r="I283" s="274">
        <v>67900.0</v>
      </c>
      <c r="J283" s="274">
        <v>19900.0</v>
      </c>
      <c r="K283" s="274">
        <v>775.0</v>
      </c>
      <c r="L283" s="274">
        <v>-2997.0</v>
      </c>
      <c r="M283" s="274">
        <v>569052.0</v>
      </c>
      <c r="N283" s="274">
        <v>67125.0</v>
      </c>
      <c r="O283" s="274">
        <v>146400.0</v>
      </c>
      <c r="P283" s="274">
        <v>77600.0</v>
      </c>
      <c r="Q283" s="274">
        <v>-68800.0</v>
      </c>
      <c r="R283" s="275">
        <v>59.0</v>
      </c>
      <c r="S283" s="274">
        <v>217.0</v>
      </c>
      <c r="T283" s="275">
        <v>0.728110599078341</v>
      </c>
      <c r="U283" s="274">
        <v>0.0</v>
      </c>
    </row>
    <row r="284">
      <c r="A284" s="37" t="s">
        <v>2196</v>
      </c>
      <c r="B284" s="279">
        <v>45839.0</v>
      </c>
      <c r="C284" s="37" t="s">
        <v>101</v>
      </c>
      <c r="D284" s="37" t="s">
        <v>351</v>
      </c>
      <c r="E284" s="274">
        <v>28800.0</v>
      </c>
      <c r="F284" s="274">
        <v>58500.0</v>
      </c>
      <c r="G284" s="274">
        <v>58485.0</v>
      </c>
      <c r="H284" s="275">
        <v>0.9997435897435898</v>
      </c>
      <c r="I284" s="274">
        <v>29700.0</v>
      </c>
      <c r="J284" s="274">
        <v>29685.0</v>
      </c>
      <c r="K284" s="274">
        <v>26885.0</v>
      </c>
      <c r="L284" s="274">
        <v>0.0</v>
      </c>
      <c r="M284" s="274">
        <v>561094.0</v>
      </c>
      <c r="N284" s="274">
        <v>2815.0</v>
      </c>
      <c r="O284" s="274">
        <v>117000.0</v>
      </c>
      <c r="P284" s="274">
        <v>57600.0</v>
      </c>
      <c r="Q284" s="274">
        <v>-59400.0</v>
      </c>
      <c r="R284" s="275">
        <v>8.0</v>
      </c>
      <c r="S284" s="274">
        <v>124.0</v>
      </c>
      <c r="T284" s="275">
        <v>0.935483870967742</v>
      </c>
      <c r="U284" s="274">
        <v>0.0</v>
      </c>
    </row>
    <row r="285">
      <c r="A285" s="37" t="s">
        <v>2196</v>
      </c>
      <c r="B285" s="279">
        <v>45839.0</v>
      </c>
      <c r="C285" s="37" t="s">
        <v>110</v>
      </c>
      <c r="D285" s="37" t="s">
        <v>331</v>
      </c>
      <c r="E285" s="274">
        <v>36500.0</v>
      </c>
      <c r="F285" s="274">
        <v>67600.0</v>
      </c>
      <c r="G285" s="274">
        <v>80400.0</v>
      </c>
      <c r="H285" s="275">
        <v>1.1893491124260356</v>
      </c>
      <c r="I285" s="274">
        <v>31100.0</v>
      </c>
      <c r="J285" s="274">
        <v>43900.0</v>
      </c>
      <c r="K285" s="274">
        <v>43900.0</v>
      </c>
      <c r="L285" s="274">
        <v>0.0</v>
      </c>
      <c r="M285" s="274">
        <v>-129053.0</v>
      </c>
      <c r="N285" s="274">
        <v>-12800.0</v>
      </c>
      <c r="O285" s="274">
        <v>134800.0</v>
      </c>
      <c r="P285" s="274">
        <v>73000.0</v>
      </c>
      <c r="Q285" s="274">
        <v>-61800.0</v>
      </c>
      <c r="R285" s="275">
        <v>0.0</v>
      </c>
      <c r="S285" s="274">
        <v>155.0</v>
      </c>
      <c r="T285" s="275">
        <v>1.0</v>
      </c>
      <c r="U285" s="274">
        <v>0.0</v>
      </c>
    </row>
    <row r="286">
      <c r="A286" s="37" t="s">
        <v>2196</v>
      </c>
      <c r="B286" s="279">
        <v>45839.0</v>
      </c>
      <c r="C286" s="37" t="s">
        <v>119</v>
      </c>
      <c r="D286" s="37" t="s">
        <v>331</v>
      </c>
      <c r="E286" s="274">
        <v>12000.0</v>
      </c>
      <c r="F286" s="274">
        <v>22000.0</v>
      </c>
      <c r="G286" s="274">
        <v>22000.0</v>
      </c>
      <c r="H286" s="275">
        <v>1.0</v>
      </c>
      <c r="I286" s="274">
        <v>10000.0</v>
      </c>
      <c r="J286" s="274">
        <v>10000.0</v>
      </c>
      <c r="K286" s="274">
        <v>10000.0</v>
      </c>
      <c r="L286" s="274">
        <v>0.0</v>
      </c>
      <c r="M286" s="274">
        <v>46619.0</v>
      </c>
      <c r="N286" s="274">
        <v>0.0</v>
      </c>
      <c r="O286" s="274">
        <v>44000.0</v>
      </c>
      <c r="P286" s="274">
        <v>24000.0</v>
      </c>
      <c r="Q286" s="274">
        <v>-20000.0</v>
      </c>
      <c r="R286" s="275">
        <v>0.0</v>
      </c>
      <c r="S286" s="274">
        <v>31.0</v>
      </c>
      <c r="T286" s="275">
        <v>1.0</v>
      </c>
      <c r="U286" s="274">
        <v>0.0</v>
      </c>
    </row>
    <row r="287">
      <c r="A287" s="37" t="s">
        <v>2196</v>
      </c>
      <c r="B287" s="279">
        <v>45839.0</v>
      </c>
      <c r="C287" s="37" t="s">
        <v>122</v>
      </c>
      <c r="D287" s="37" t="s">
        <v>331</v>
      </c>
      <c r="E287" s="274">
        <v>35500.0</v>
      </c>
      <c r="F287" s="274">
        <v>58400.0</v>
      </c>
      <c r="G287" s="274">
        <v>27200.0</v>
      </c>
      <c r="H287" s="275">
        <v>0.4657534246575342</v>
      </c>
      <c r="I287" s="274">
        <v>22900.0</v>
      </c>
      <c r="J287" s="274">
        <v>-8300.0</v>
      </c>
      <c r="K287" s="274">
        <v>-8300.0</v>
      </c>
      <c r="L287" s="274">
        <v>0.0</v>
      </c>
      <c r="M287" s="274">
        <v>-116727.0</v>
      </c>
      <c r="N287" s="274">
        <v>31200.0</v>
      </c>
      <c r="O287" s="274">
        <v>116800.0</v>
      </c>
      <c r="P287" s="274">
        <v>71000.0</v>
      </c>
      <c r="Q287" s="274">
        <v>-45800.0</v>
      </c>
      <c r="R287" s="275">
        <v>0.0</v>
      </c>
      <c r="S287" s="274">
        <v>124.0</v>
      </c>
      <c r="T287" s="275">
        <v>1.0</v>
      </c>
      <c r="U287" s="274">
        <v>0.0</v>
      </c>
    </row>
    <row r="288">
      <c r="A288" s="37" t="s">
        <v>2196</v>
      </c>
      <c r="B288" s="279">
        <v>45839.0</v>
      </c>
      <c r="C288" s="37" t="s">
        <v>135</v>
      </c>
      <c r="D288" s="37" t="s">
        <v>331</v>
      </c>
      <c r="E288" s="274">
        <v>25000.0</v>
      </c>
      <c r="F288" s="274">
        <v>66000.0</v>
      </c>
      <c r="G288" s="274">
        <v>54200.0</v>
      </c>
      <c r="H288" s="275">
        <v>0.8212121212121212</v>
      </c>
      <c r="I288" s="274">
        <v>41000.0</v>
      </c>
      <c r="J288" s="274">
        <v>29200.0</v>
      </c>
      <c r="K288" s="274">
        <v>27500.0</v>
      </c>
      <c r="L288" s="274">
        <v>-1700.0</v>
      </c>
      <c r="M288" s="274">
        <v>-150470.0</v>
      </c>
      <c r="N288" s="274">
        <v>13500.0</v>
      </c>
      <c r="O288" s="274">
        <v>129400.0</v>
      </c>
      <c r="P288" s="274">
        <v>50000.0</v>
      </c>
      <c r="Q288" s="274">
        <v>-79400.0</v>
      </c>
      <c r="R288" s="275">
        <v>0.0</v>
      </c>
      <c r="S288" s="274">
        <v>155.0</v>
      </c>
      <c r="T288" s="275">
        <v>1.0</v>
      </c>
      <c r="U288" s="274">
        <v>0.0</v>
      </c>
    </row>
    <row r="289">
      <c r="A289" s="37" t="s">
        <v>2196</v>
      </c>
      <c r="B289" s="279">
        <v>45839.0</v>
      </c>
      <c r="C289" s="37" t="s">
        <v>150</v>
      </c>
      <c r="D289" s="37" t="s">
        <v>331</v>
      </c>
      <c r="E289" s="274">
        <v>23000.0</v>
      </c>
      <c r="F289" s="274">
        <v>54900.0</v>
      </c>
      <c r="G289" s="274">
        <v>54300.0</v>
      </c>
      <c r="H289" s="275">
        <v>0.9890710382513661</v>
      </c>
      <c r="I289" s="274">
        <v>31900.0</v>
      </c>
      <c r="J289" s="274">
        <v>31300.0</v>
      </c>
      <c r="K289" s="274">
        <v>30103.0</v>
      </c>
      <c r="L289" s="274">
        <v>-1197.0</v>
      </c>
      <c r="M289" s="274">
        <v>-353707.0</v>
      </c>
      <c r="N289" s="274">
        <v>1797.0</v>
      </c>
      <c r="O289" s="274">
        <v>108600.0</v>
      </c>
      <c r="P289" s="274">
        <v>46000.0</v>
      </c>
      <c r="Q289" s="274">
        <v>-62600.0</v>
      </c>
      <c r="R289" s="275">
        <v>0.0</v>
      </c>
      <c r="S289" s="274">
        <v>124.0</v>
      </c>
      <c r="T289" s="275">
        <v>1.0</v>
      </c>
      <c r="U289" s="274">
        <v>0.0</v>
      </c>
    </row>
    <row r="290">
      <c r="A290" s="37" t="s">
        <v>2196</v>
      </c>
      <c r="B290" s="279">
        <v>45839.0</v>
      </c>
      <c r="C290" s="37" t="s">
        <v>163</v>
      </c>
      <c r="D290" s="37" t="s">
        <v>351</v>
      </c>
      <c r="E290" s="274">
        <v>39800.0</v>
      </c>
      <c r="F290" s="274">
        <v>80000.0</v>
      </c>
      <c r="G290" s="274">
        <v>82400.0</v>
      </c>
      <c r="H290" s="275">
        <v>1.03</v>
      </c>
      <c r="I290" s="274">
        <v>40200.0</v>
      </c>
      <c r="J290" s="274">
        <v>42600.0</v>
      </c>
      <c r="K290" s="274">
        <v>42600.0</v>
      </c>
      <c r="L290" s="274">
        <v>0.0</v>
      </c>
      <c r="M290" s="274">
        <v>-176884.385</v>
      </c>
      <c r="N290" s="274">
        <v>-2400.0</v>
      </c>
      <c r="O290" s="274">
        <v>164400.0</v>
      </c>
      <c r="P290" s="274">
        <v>79600.0</v>
      </c>
      <c r="Q290" s="274">
        <v>-84800.0</v>
      </c>
      <c r="R290" s="275">
        <v>0.0</v>
      </c>
      <c r="S290" s="274">
        <v>155.0</v>
      </c>
      <c r="T290" s="275">
        <v>1.0</v>
      </c>
      <c r="U290" s="274">
        <v>0.0</v>
      </c>
    </row>
    <row r="291">
      <c r="A291" s="37" t="s">
        <v>2196</v>
      </c>
      <c r="B291" s="279">
        <v>45839.0</v>
      </c>
      <c r="C291" s="37" t="s">
        <v>178</v>
      </c>
      <c r="D291" s="37" t="s">
        <v>331</v>
      </c>
      <c r="E291" s="274">
        <v>36000.0</v>
      </c>
      <c r="F291" s="274">
        <v>83000.0</v>
      </c>
      <c r="G291" s="274">
        <v>82400.0</v>
      </c>
      <c r="H291" s="275">
        <v>0.9927710843373494</v>
      </c>
      <c r="I291" s="274">
        <v>47000.0</v>
      </c>
      <c r="J291" s="274">
        <v>46400.0</v>
      </c>
      <c r="K291" s="274">
        <v>46400.0</v>
      </c>
      <c r="L291" s="274">
        <v>0.0</v>
      </c>
      <c r="M291" s="274">
        <v>-218535.0</v>
      </c>
      <c r="N291" s="274">
        <v>600.0</v>
      </c>
      <c r="O291" s="274">
        <v>106000.0</v>
      </c>
      <c r="P291" s="274">
        <v>72000.0</v>
      </c>
      <c r="Q291" s="274">
        <v>-34000.0</v>
      </c>
      <c r="R291" s="275">
        <v>31.0</v>
      </c>
      <c r="S291" s="274">
        <v>155.0</v>
      </c>
      <c r="T291" s="275">
        <v>0.8</v>
      </c>
      <c r="U291" s="274">
        <v>0.0</v>
      </c>
    </row>
    <row r="292">
      <c r="A292" s="37" t="s">
        <v>2196</v>
      </c>
      <c r="B292" s="278">
        <v>45839.0</v>
      </c>
      <c r="C292" s="37" t="s">
        <v>188</v>
      </c>
      <c r="D292" s="37" t="s">
        <v>331</v>
      </c>
      <c r="E292" s="274">
        <v>50000.0</v>
      </c>
      <c r="F292" s="274">
        <v>114600.0</v>
      </c>
      <c r="G292" s="274">
        <v>140789.0</v>
      </c>
      <c r="H292" s="275">
        <v>1.2285253054101222</v>
      </c>
      <c r="I292" s="274">
        <v>64600.0</v>
      </c>
      <c r="J292" s="274">
        <v>90789.0</v>
      </c>
      <c r="K292" s="274">
        <v>-223921.3</v>
      </c>
      <c r="L292" s="274">
        <v>-3000.0</v>
      </c>
      <c r="M292" s="274">
        <v>-543918.3</v>
      </c>
      <c r="N292" s="274">
        <v>288521.3</v>
      </c>
      <c r="O292" s="274">
        <v>157000.0</v>
      </c>
      <c r="P292" s="274">
        <v>100000.0</v>
      </c>
      <c r="Q292" s="274">
        <v>-57000.0</v>
      </c>
      <c r="R292" s="275">
        <v>163.0</v>
      </c>
      <c r="S292" s="274">
        <v>217.0</v>
      </c>
      <c r="T292" s="275">
        <v>0.24884792626728114</v>
      </c>
      <c r="U292" s="274">
        <v>0.0</v>
      </c>
    </row>
    <row r="293">
      <c r="A293" s="37" t="s">
        <v>2196</v>
      </c>
      <c r="B293" s="278">
        <v>45839.0</v>
      </c>
      <c r="C293" s="37" t="s">
        <v>209</v>
      </c>
      <c r="D293" s="37" t="s">
        <v>351</v>
      </c>
      <c r="E293" s="274">
        <v>33000.0</v>
      </c>
      <c r="F293" s="274">
        <v>78400.0</v>
      </c>
      <c r="G293" s="274">
        <v>40874.0</v>
      </c>
      <c r="H293" s="275">
        <v>0.5213520408163266</v>
      </c>
      <c r="I293" s="274">
        <v>45400.0</v>
      </c>
      <c r="J293" s="274">
        <v>7874.0</v>
      </c>
      <c r="K293" s="274">
        <v>-70687.0</v>
      </c>
      <c r="L293" s="274">
        <v>-2570.0</v>
      </c>
      <c r="M293" s="274">
        <v>-645241.0</v>
      </c>
      <c r="N293" s="274">
        <v>116087.0</v>
      </c>
      <c r="O293" s="274">
        <v>156800.0</v>
      </c>
      <c r="P293" s="274">
        <v>66000.0</v>
      </c>
      <c r="Q293" s="274">
        <v>-90800.0</v>
      </c>
      <c r="R293" s="275">
        <v>35.0</v>
      </c>
      <c r="S293" s="274">
        <v>186.0</v>
      </c>
      <c r="T293" s="275">
        <v>0.8118279569892473</v>
      </c>
      <c r="U293" s="274">
        <v>0.0</v>
      </c>
    </row>
    <row r="294">
      <c r="A294" s="37" t="s">
        <v>2196</v>
      </c>
      <c r="B294" s="278">
        <v>45839.0</v>
      </c>
      <c r="C294" s="37" t="s">
        <v>2197</v>
      </c>
      <c r="D294" s="37" t="s">
        <v>331</v>
      </c>
      <c r="E294" s="274">
        <v>0.0</v>
      </c>
      <c r="F294" s="274">
        <v>0.0</v>
      </c>
      <c r="G294" s="274">
        <v>220796.0</v>
      </c>
      <c r="H294" s="275">
        <v>0.0</v>
      </c>
      <c r="I294" s="274">
        <v>0.0</v>
      </c>
      <c r="J294" s="274">
        <v>220796.0</v>
      </c>
      <c r="K294" s="274">
        <v>179641.0</v>
      </c>
      <c r="L294" s="274">
        <v>-4500.0</v>
      </c>
      <c r="M294" s="274">
        <v>-449764.0</v>
      </c>
      <c r="N294" s="274">
        <v>-179641.0</v>
      </c>
      <c r="O294" s="274">
        <v>0.0</v>
      </c>
      <c r="P294" s="274">
        <v>0.0</v>
      </c>
      <c r="Q294" s="274">
        <v>0.0</v>
      </c>
      <c r="R294" s="275">
        <v>0.0</v>
      </c>
      <c r="S294" s="274">
        <v>0.0</v>
      </c>
      <c r="T294" s="275">
        <v>0.0</v>
      </c>
      <c r="U294" s="274">
        <v>360000.0</v>
      </c>
    </row>
    <row r="295">
      <c r="A295" s="37" t="s">
        <v>2196</v>
      </c>
      <c r="B295" s="278">
        <v>45839.0</v>
      </c>
      <c r="C295" s="37" t="s">
        <v>2198</v>
      </c>
      <c r="D295" s="37" t="s">
        <v>351</v>
      </c>
      <c r="E295" s="274">
        <v>0.0</v>
      </c>
      <c r="F295" s="274">
        <v>0.0</v>
      </c>
      <c r="G295" s="274">
        <v>12500.0</v>
      </c>
      <c r="H295" s="275">
        <v>0.0</v>
      </c>
      <c r="I295" s="274">
        <v>0.0</v>
      </c>
      <c r="J295" s="274">
        <v>12500.0</v>
      </c>
      <c r="K295" s="274">
        <v>11307.0</v>
      </c>
      <c r="L295" s="274">
        <v>-1013.0</v>
      </c>
      <c r="M295" s="274">
        <v>-234711.0</v>
      </c>
      <c r="N295" s="274">
        <v>-11307.0</v>
      </c>
      <c r="O295" s="274">
        <v>0.0</v>
      </c>
      <c r="P295" s="274">
        <v>0.0</v>
      </c>
      <c r="Q295" s="274">
        <v>0.0</v>
      </c>
      <c r="R295" s="275">
        <v>0.0</v>
      </c>
      <c r="S295" s="274">
        <v>0.0</v>
      </c>
      <c r="T295" s="275">
        <v>0.0</v>
      </c>
      <c r="U295" s="274">
        <v>200000.0</v>
      </c>
    </row>
    <row r="296">
      <c r="A296" s="37" t="s">
        <v>2196</v>
      </c>
      <c r="B296" s="278">
        <v>45870.0</v>
      </c>
      <c r="C296" s="37" t="s">
        <v>16</v>
      </c>
      <c r="D296" s="37" t="s">
        <v>331</v>
      </c>
      <c r="E296" s="274">
        <v>34000.0</v>
      </c>
      <c r="F296" s="274">
        <v>87000.0</v>
      </c>
      <c r="G296" s="274">
        <v>35500.0</v>
      </c>
      <c r="H296" s="275">
        <v>0.40804597701149425</v>
      </c>
      <c r="I296" s="274">
        <v>53000.0</v>
      </c>
      <c r="J296" s="274">
        <v>1500.0</v>
      </c>
      <c r="K296" s="274">
        <v>1500.0</v>
      </c>
      <c r="L296" s="274">
        <v>0.0</v>
      </c>
      <c r="M296" s="274">
        <v>86022.0</v>
      </c>
      <c r="N296" s="274">
        <v>51500.0</v>
      </c>
      <c r="O296" s="274">
        <v>107000.0</v>
      </c>
      <c r="P296" s="274">
        <v>68000.0</v>
      </c>
      <c r="Q296" s="274">
        <v>-39000.0</v>
      </c>
      <c r="R296" s="275">
        <v>31.0</v>
      </c>
      <c r="S296" s="274">
        <v>155.0</v>
      </c>
      <c r="T296" s="275">
        <v>0.8</v>
      </c>
      <c r="U296" s="274">
        <v>0.0</v>
      </c>
    </row>
    <row r="297">
      <c r="A297" s="37" t="s">
        <v>2196</v>
      </c>
      <c r="B297" s="278">
        <v>45870.0</v>
      </c>
      <c r="C297" s="37" t="s">
        <v>27</v>
      </c>
      <c r="D297" s="37" t="s">
        <v>351</v>
      </c>
      <c r="E297" s="274">
        <v>45000.0</v>
      </c>
      <c r="F297" s="274">
        <v>92300.0</v>
      </c>
      <c r="G297" s="274">
        <v>78000.0</v>
      </c>
      <c r="H297" s="275">
        <v>0.8450704225352113</v>
      </c>
      <c r="I297" s="274">
        <v>47300.0</v>
      </c>
      <c r="J297" s="274">
        <v>33000.0</v>
      </c>
      <c r="K297" s="274">
        <v>33000.0</v>
      </c>
      <c r="L297" s="274">
        <v>0.0</v>
      </c>
      <c r="M297" s="274">
        <v>250457.0</v>
      </c>
      <c r="N297" s="274">
        <v>14300.0</v>
      </c>
      <c r="O297" s="274">
        <v>184000.0</v>
      </c>
      <c r="P297" s="274">
        <v>90000.0</v>
      </c>
      <c r="Q297" s="274">
        <v>-94000.0</v>
      </c>
      <c r="R297" s="275">
        <v>0.0</v>
      </c>
      <c r="S297" s="274">
        <v>217.0</v>
      </c>
      <c r="T297" s="275">
        <v>1.0</v>
      </c>
      <c r="U297" s="274">
        <v>0.0</v>
      </c>
    </row>
    <row r="298">
      <c r="A298" s="37" t="s">
        <v>2196</v>
      </c>
      <c r="B298" s="278">
        <v>45870.0</v>
      </c>
      <c r="C298" s="37" t="s">
        <v>41</v>
      </c>
      <c r="D298" s="37" t="s">
        <v>331</v>
      </c>
      <c r="E298" s="274">
        <v>27000.0</v>
      </c>
      <c r="F298" s="274">
        <v>70900.0</v>
      </c>
      <c r="G298" s="274">
        <v>70800.0</v>
      </c>
      <c r="H298" s="275">
        <v>0.998589562764457</v>
      </c>
      <c r="I298" s="274">
        <v>43900.0</v>
      </c>
      <c r="J298" s="274">
        <v>43800.0</v>
      </c>
      <c r="K298" s="274">
        <v>43631.0</v>
      </c>
      <c r="L298" s="274">
        <v>0.0</v>
      </c>
      <c r="M298" s="274">
        <v>412130.0</v>
      </c>
      <c r="N298" s="274">
        <v>269.0</v>
      </c>
      <c r="O298" s="274">
        <v>142200.0</v>
      </c>
      <c r="P298" s="274">
        <v>54000.0</v>
      </c>
      <c r="Q298" s="274">
        <v>-88200.0</v>
      </c>
      <c r="R298" s="275">
        <v>0.0</v>
      </c>
      <c r="S298" s="274">
        <v>155.0</v>
      </c>
      <c r="T298" s="275">
        <v>1.0</v>
      </c>
      <c r="U298" s="274">
        <v>0.0</v>
      </c>
    </row>
    <row r="299">
      <c r="A299" s="37" t="s">
        <v>2196</v>
      </c>
      <c r="B299" s="278">
        <v>45870.0</v>
      </c>
      <c r="C299" s="37" t="s">
        <v>56</v>
      </c>
      <c r="D299" s="37" t="s">
        <v>331</v>
      </c>
      <c r="E299" s="274">
        <v>26000.0</v>
      </c>
      <c r="F299" s="274">
        <v>50900.0</v>
      </c>
      <c r="G299" s="274">
        <v>50400.0</v>
      </c>
      <c r="H299" s="275">
        <v>0.9901768172888016</v>
      </c>
      <c r="I299" s="274">
        <v>24900.0</v>
      </c>
      <c r="J299" s="274">
        <v>24400.0</v>
      </c>
      <c r="K299" s="274">
        <v>24400.0</v>
      </c>
      <c r="L299" s="274">
        <v>0.0</v>
      </c>
      <c r="M299" s="274">
        <v>142851.0</v>
      </c>
      <c r="N299" s="274">
        <v>500.0</v>
      </c>
      <c r="O299" s="274">
        <v>100800.0</v>
      </c>
      <c r="P299" s="274">
        <v>52000.0</v>
      </c>
      <c r="Q299" s="274">
        <v>-48800.0</v>
      </c>
      <c r="R299" s="275">
        <v>0.0</v>
      </c>
      <c r="S299" s="274">
        <v>124.0</v>
      </c>
      <c r="T299" s="275">
        <v>1.0</v>
      </c>
      <c r="U299" s="274">
        <v>0.0</v>
      </c>
    </row>
    <row r="300">
      <c r="A300" s="37" t="s">
        <v>2196</v>
      </c>
      <c r="B300" s="278">
        <v>45870.0</v>
      </c>
      <c r="C300" s="37" t="s">
        <v>69</v>
      </c>
      <c r="D300" s="37" t="s">
        <v>331</v>
      </c>
      <c r="E300" s="274">
        <v>25600.0</v>
      </c>
      <c r="F300" s="274">
        <v>85900.0</v>
      </c>
      <c r="G300" s="274">
        <v>98400.0</v>
      </c>
      <c r="H300" s="275">
        <v>1.1455180442374855</v>
      </c>
      <c r="I300" s="274">
        <v>60300.0</v>
      </c>
      <c r="J300" s="274">
        <v>72800.0</v>
      </c>
      <c r="K300" s="274">
        <v>72800.0</v>
      </c>
      <c r="L300" s="274">
        <v>0.0</v>
      </c>
      <c r="M300" s="274">
        <v>302491.0</v>
      </c>
      <c r="N300" s="274">
        <v>-12500.0</v>
      </c>
      <c r="O300" s="274">
        <v>170800.0</v>
      </c>
      <c r="P300" s="274">
        <v>51200.0</v>
      </c>
      <c r="Q300" s="274">
        <v>-119600.0</v>
      </c>
      <c r="R300" s="275">
        <v>0.0</v>
      </c>
      <c r="S300" s="274">
        <v>155.0</v>
      </c>
      <c r="T300" s="275">
        <v>1.0</v>
      </c>
      <c r="U300" s="274">
        <v>0.0</v>
      </c>
    </row>
    <row r="301">
      <c r="A301" s="37" t="s">
        <v>2196</v>
      </c>
      <c r="B301" s="278">
        <v>45870.0</v>
      </c>
      <c r="C301" s="37" t="s">
        <v>82</v>
      </c>
      <c r="D301" s="37" t="s">
        <v>331</v>
      </c>
      <c r="E301" s="274">
        <v>38800.0</v>
      </c>
      <c r="F301" s="274">
        <v>106700.0</v>
      </c>
      <c r="G301" s="274">
        <v>119725.0</v>
      </c>
      <c r="H301" s="275">
        <v>1.1220712277413307</v>
      </c>
      <c r="I301" s="274">
        <v>67900.0</v>
      </c>
      <c r="J301" s="274">
        <v>80925.0</v>
      </c>
      <c r="K301" s="274">
        <v>74590.0</v>
      </c>
      <c r="L301" s="274">
        <v>-4740.0</v>
      </c>
      <c r="M301" s="274">
        <v>643642.0</v>
      </c>
      <c r="N301" s="274">
        <v>-6690.0</v>
      </c>
      <c r="O301" s="274">
        <v>207400.0</v>
      </c>
      <c r="P301" s="274">
        <v>77600.0</v>
      </c>
      <c r="Q301" s="274">
        <v>-129800.0</v>
      </c>
      <c r="R301" s="275">
        <v>63.0</v>
      </c>
      <c r="S301" s="274">
        <v>217.0</v>
      </c>
      <c r="T301" s="275">
        <v>0.7096774193548387</v>
      </c>
      <c r="U301" s="274">
        <v>0.0</v>
      </c>
    </row>
    <row r="302">
      <c r="A302" s="37" t="s">
        <v>2196</v>
      </c>
      <c r="B302" s="278">
        <v>45870.0</v>
      </c>
      <c r="C302" s="37" t="s">
        <v>101</v>
      </c>
      <c r="D302" s="37" t="s">
        <v>351</v>
      </c>
      <c r="E302" s="274">
        <v>28800.0</v>
      </c>
      <c r="F302" s="274">
        <v>58500.0</v>
      </c>
      <c r="G302" s="274">
        <v>32500.0</v>
      </c>
      <c r="H302" s="275">
        <v>0.5555555555555556</v>
      </c>
      <c r="I302" s="274">
        <v>29700.0</v>
      </c>
      <c r="J302" s="274">
        <v>3700.0</v>
      </c>
      <c r="K302" s="274">
        <v>3105.0</v>
      </c>
      <c r="L302" s="274">
        <v>-595.0</v>
      </c>
      <c r="M302" s="274">
        <v>564199.0</v>
      </c>
      <c r="N302" s="274">
        <v>26595.0</v>
      </c>
      <c r="O302" s="274">
        <v>117000.0</v>
      </c>
      <c r="P302" s="274">
        <v>57600.0</v>
      </c>
      <c r="Q302" s="274">
        <v>-59400.0</v>
      </c>
      <c r="R302" s="275">
        <v>0.0</v>
      </c>
      <c r="S302" s="274">
        <v>124.0</v>
      </c>
      <c r="T302" s="275">
        <v>1.0</v>
      </c>
      <c r="U302" s="274">
        <v>0.0</v>
      </c>
    </row>
    <row r="303">
      <c r="A303" s="37" t="s">
        <v>2196</v>
      </c>
      <c r="B303" s="278">
        <v>45870.0</v>
      </c>
      <c r="C303" s="37" t="s">
        <v>110</v>
      </c>
      <c r="D303" s="37" t="s">
        <v>331</v>
      </c>
      <c r="E303" s="274">
        <v>36500.0</v>
      </c>
      <c r="F303" s="274">
        <v>67600.0</v>
      </c>
      <c r="G303" s="274">
        <v>42100.0</v>
      </c>
      <c r="H303" s="275">
        <v>0.6227810650887574</v>
      </c>
      <c r="I303" s="274">
        <v>31100.0</v>
      </c>
      <c r="J303" s="274">
        <v>5600.0</v>
      </c>
      <c r="K303" s="274">
        <v>-21075.0</v>
      </c>
      <c r="L303" s="274">
        <v>-928.0</v>
      </c>
      <c r="M303" s="274">
        <v>-150128.0</v>
      </c>
      <c r="N303" s="274">
        <v>52175.0</v>
      </c>
      <c r="O303" s="274">
        <v>110200.0</v>
      </c>
      <c r="P303" s="274">
        <v>73000.0</v>
      </c>
      <c r="Q303" s="274">
        <v>-37200.0</v>
      </c>
      <c r="R303" s="275">
        <v>7.0</v>
      </c>
      <c r="S303" s="274">
        <v>155.0</v>
      </c>
      <c r="T303" s="275">
        <v>0.9548387096774194</v>
      </c>
      <c r="U303" s="274">
        <v>0.0</v>
      </c>
    </row>
    <row r="304">
      <c r="A304" s="37" t="s">
        <v>2196</v>
      </c>
      <c r="B304" s="278">
        <v>45870.0</v>
      </c>
      <c r="C304" s="37" t="s">
        <v>119</v>
      </c>
      <c r="D304" s="37" t="s">
        <v>331</v>
      </c>
      <c r="E304" s="274">
        <v>12000.0</v>
      </c>
      <c r="F304" s="274">
        <v>22000.0</v>
      </c>
      <c r="G304" s="274">
        <v>22000.0</v>
      </c>
      <c r="H304" s="275">
        <v>1.0</v>
      </c>
      <c r="I304" s="274">
        <v>10000.0</v>
      </c>
      <c r="J304" s="274">
        <v>10000.0</v>
      </c>
      <c r="K304" s="274">
        <v>10000.0</v>
      </c>
      <c r="L304" s="274">
        <v>0.0</v>
      </c>
      <c r="M304" s="274">
        <v>56619.0</v>
      </c>
      <c r="N304" s="274">
        <v>0.0</v>
      </c>
      <c r="O304" s="274">
        <v>44000.0</v>
      </c>
      <c r="P304" s="274">
        <v>24000.0</v>
      </c>
      <c r="Q304" s="274">
        <v>-20000.0</v>
      </c>
      <c r="R304" s="275">
        <v>0.0</v>
      </c>
      <c r="S304" s="274">
        <v>31.0</v>
      </c>
      <c r="T304" s="275">
        <v>1.0</v>
      </c>
      <c r="U304" s="274">
        <v>0.0</v>
      </c>
    </row>
    <row r="305">
      <c r="A305" s="37" t="s">
        <v>2196</v>
      </c>
      <c r="B305" s="278">
        <v>45870.0</v>
      </c>
      <c r="C305" s="37" t="s">
        <v>122</v>
      </c>
      <c r="D305" s="37" t="s">
        <v>331</v>
      </c>
      <c r="E305" s="274">
        <v>35500.0</v>
      </c>
      <c r="F305" s="274">
        <v>58400.0</v>
      </c>
      <c r="G305" s="274">
        <v>75600.0</v>
      </c>
      <c r="H305" s="275">
        <v>1.2945205479452055</v>
      </c>
      <c r="I305" s="274">
        <v>22900.0</v>
      </c>
      <c r="J305" s="274">
        <v>40100.0</v>
      </c>
      <c r="K305" s="274">
        <v>40100.0</v>
      </c>
      <c r="L305" s="274">
        <v>0.0</v>
      </c>
      <c r="M305" s="274">
        <v>-76627.0</v>
      </c>
      <c r="N305" s="274">
        <v>-17200.0</v>
      </c>
      <c r="O305" s="274">
        <v>116800.0</v>
      </c>
      <c r="P305" s="274">
        <v>71000.0</v>
      </c>
      <c r="Q305" s="274">
        <v>-45800.0</v>
      </c>
      <c r="R305" s="275">
        <v>0.0</v>
      </c>
      <c r="S305" s="274">
        <v>124.0</v>
      </c>
      <c r="T305" s="275">
        <v>1.0</v>
      </c>
      <c r="U305" s="274">
        <v>0.0</v>
      </c>
    </row>
    <row r="306">
      <c r="A306" s="37" t="s">
        <v>2196</v>
      </c>
      <c r="B306" s="278">
        <v>45870.0</v>
      </c>
      <c r="C306" s="37" t="s">
        <v>135</v>
      </c>
      <c r="D306" s="37" t="s">
        <v>331</v>
      </c>
      <c r="E306" s="274">
        <v>25000.0</v>
      </c>
      <c r="F306" s="274">
        <v>66000.0</v>
      </c>
      <c r="G306" s="274">
        <v>96000.0</v>
      </c>
      <c r="H306" s="275">
        <v>1.4545454545454546</v>
      </c>
      <c r="I306" s="274">
        <v>41000.0</v>
      </c>
      <c r="J306" s="274">
        <v>71000.0</v>
      </c>
      <c r="K306" s="274">
        <v>71000.0</v>
      </c>
      <c r="L306" s="274">
        <v>0.0</v>
      </c>
      <c r="M306" s="274">
        <v>-79470.0</v>
      </c>
      <c r="N306" s="274">
        <v>-30000.0</v>
      </c>
      <c r="O306" s="274">
        <v>129400.0</v>
      </c>
      <c r="P306" s="274">
        <v>50000.0</v>
      </c>
      <c r="Q306" s="274">
        <v>-79400.0</v>
      </c>
      <c r="R306" s="275">
        <v>0.0</v>
      </c>
      <c r="S306" s="274">
        <v>155.0</v>
      </c>
      <c r="T306" s="275">
        <v>1.0</v>
      </c>
      <c r="U306" s="274">
        <v>0.0</v>
      </c>
    </row>
    <row r="307">
      <c r="A307" s="37" t="s">
        <v>2196</v>
      </c>
      <c r="B307" s="278">
        <v>45870.0</v>
      </c>
      <c r="C307" s="37" t="s">
        <v>150</v>
      </c>
      <c r="D307" s="37" t="s">
        <v>331</v>
      </c>
      <c r="E307" s="274">
        <v>23000.0</v>
      </c>
      <c r="F307" s="274">
        <v>54900.0</v>
      </c>
      <c r="G307" s="274">
        <v>54300.0</v>
      </c>
      <c r="H307" s="275">
        <v>0.9890710382513661</v>
      </c>
      <c r="I307" s="274">
        <v>31900.0</v>
      </c>
      <c r="J307" s="274">
        <v>31300.0</v>
      </c>
      <c r="K307" s="274">
        <v>31300.0</v>
      </c>
      <c r="L307" s="274">
        <v>0.0</v>
      </c>
      <c r="M307" s="274">
        <v>-322407.0</v>
      </c>
      <c r="N307" s="274">
        <v>600.0</v>
      </c>
      <c r="O307" s="274">
        <v>108600.0</v>
      </c>
      <c r="P307" s="274">
        <v>46000.0</v>
      </c>
      <c r="Q307" s="274">
        <v>-62600.0</v>
      </c>
      <c r="R307" s="275">
        <v>0.0</v>
      </c>
      <c r="S307" s="274">
        <v>124.0</v>
      </c>
      <c r="T307" s="275">
        <v>1.0</v>
      </c>
      <c r="U307" s="274">
        <v>0.0</v>
      </c>
    </row>
    <row r="308">
      <c r="A308" s="37" t="s">
        <v>2196</v>
      </c>
      <c r="B308" s="278">
        <v>45870.0</v>
      </c>
      <c r="C308" s="37" t="s">
        <v>163</v>
      </c>
      <c r="D308" s="37" t="s">
        <v>351</v>
      </c>
      <c r="E308" s="274">
        <v>39800.0</v>
      </c>
      <c r="F308" s="274">
        <v>80000.0</v>
      </c>
      <c r="G308" s="274">
        <v>68000.0</v>
      </c>
      <c r="H308" s="275">
        <v>0.85</v>
      </c>
      <c r="I308" s="274">
        <v>40200.0</v>
      </c>
      <c r="J308" s="274">
        <v>28200.0</v>
      </c>
      <c r="K308" s="274">
        <v>28200.0</v>
      </c>
      <c r="L308" s="274">
        <v>0.0</v>
      </c>
      <c r="M308" s="274">
        <v>-148684.385</v>
      </c>
      <c r="N308" s="274">
        <v>12000.0</v>
      </c>
      <c r="O308" s="274">
        <v>164400.0</v>
      </c>
      <c r="P308" s="274">
        <v>79600.0</v>
      </c>
      <c r="Q308" s="274">
        <v>-84800.0</v>
      </c>
      <c r="R308" s="275">
        <v>0.0</v>
      </c>
      <c r="S308" s="274">
        <v>155.0</v>
      </c>
      <c r="T308" s="275">
        <v>1.0</v>
      </c>
      <c r="U308" s="274">
        <v>0.0</v>
      </c>
    </row>
    <row r="309">
      <c r="A309" s="37" t="s">
        <v>2196</v>
      </c>
      <c r="B309" s="278">
        <v>45870.0</v>
      </c>
      <c r="C309" s="37" t="s">
        <v>178</v>
      </c>
      <c r="D309" s="37" t="s">
        <v>331</v>
      </c>
      <c r="E309" s="274">
        <v>36000.0</v>
      </c>
      <c r="F309" s="274">
        <v>83000.0</v>
      </c>
      <c r="G309" s="274">
        <v>79000.0</v>
      </c>
      <c r="H309" s="275">
        <v>0.9518072289156626</v>
      </c>
      <c r="I309" s="274">
        <v>47000.0</v>
      </c>
      <c r="J309" s="274">
        <v>43000.0</v>
      </c>
      <c r="K309" s="274">
        <v>40550.0</v>
      </c>
      <c r="L309" s="274">
        <v>0.0</v>
      </c>
      <c r="M309" s="274">
        <v>-177985.0</v>
      </c>
      <c r="N309" s="274">
        <v>6450.0</v>
      </c>
      <c r="O309" s="274">
        <v>106000.0</v>
      </c>
      <c r="P309" s="274">
        <v>72000.0</v>
      </c>
      <c r="Q309" s="274">
        <v>-34000.0</v>
      </c>
      <c r="R309" s="275">
        <v>31.0</v>
      </c>
      <c r="S309" s="274">
        <v>155.0</v>
      </c>
      <c r="T309" s="275">
        <v>0.8</v>
      </c>
      <c r="U309" s="274">
        <v>0.0</v>
      </c>
    </row>
    <row r="310">
      <c r="A310" s="37" t="s">
        <v>2196</v>
      </c>
      <c r="B310" s="278">
        <v>45870.0</v>
      </c>
      <c r="C310" s="37" t="s">
        <v>188</v>
      </c>
      <c r="D310" s="37" t="s">
        <v>331</v>
      </c>
      <c r="E310" s="274">
        <v>50000.0</v>
      </c>
      <c r="F310" s="274">
        <v>114600.0</v>
      </c>
      <c r="G310" s="274">
        <v>14800.0</v>
      </c>
      <c r="H310" s="275">
        <v>0.12914485165794065</v>
      </c>
      <c r="I310" s="274">
        <v>64600.0</v>
      </c>
      <c r="J310" s="274">
        <v>-35200.0</v>
      </c>
      <c r="K310" s="274">
        <v>-25933.0</v>
      </c>
      <c r="L310" s="274">
        <v>-1050.0</v>
      </c>
      <c r="M310" s="274">
        <v>-569851.3</v>
      </c>
      <c r="N310" s="274">
        <v>90533.0</v>
      </c>
      <c r="O310" s="274">
        <v>228200.0</v>
      </c>
      <c r="P310" s="274">
        <v>100000.0</v>
      </c>
      <c r="Q310" s="274">
        <v>-128200.0</v>
      </c>
      <c r="R310" s="275">
        <v>2.0</v>
      </c>
      <c r="S310" s="274">
        <v>217.0</v>
      </c>
      <c r="T310" s="275">
        <v>0.9907834101382489</v>
      </c>
      <c r="U310" s="274">
        <v>0.0</v>
      </c>
    </row>
    <row r="311">
      <c r="A311" s="37" t="s">
        <v>2196</v>
      </c>
      <c r="B311" s="278">
        <v>45870.0</v>
      </c>
      <c r="C311" s="37" t="s">
        <v>209</v>
      </c>
      <c r="D311" s="37" t="s">
        <v>351</v>
      </c>
      <c r="E311" s="274">
        <v>33000.0</v>
      </c>
      <c r="F311" s="274">
        <v>78400.0</v>
      </c>
      <c r="G311" s="274">
        <v>52600.0</v>
      </c>
      <c r="H311" s="275">
        <v>0.6709183673469388</v>
      </c>
      <c r="I311" s="274">
        <v>45400.0</v>
      </c>
      <c r="J311" s="274">
        <v>19600.0</v>
      </c>
      <c r="K311" s="274">
        <v>32692.0</v>
      </c>
      <c r="L311" s="274">
        <v>-68.0</v>
      </c>
      <c r="M311" s="274">
        <v>-612549.0</v>
      </c>
      <c r="N311" s="274">
        <v>12708.0</v>
      </c>
      <c r="O311" s="274">
        <v>156800.0</v>
      </c>
      <c r="P311" s="274">
        <v>66000.0</v>
      </c>
      <c r="Q311" s="274">
        <v>-90800.0</v>
      </c>
      <c r="R311" s="275">
        <v>0.0</v>
      </c>
      <c r="S311" s="274">
        <v>186.0</v>
      </c>
      <c r="T311" s="275">
        <v>1.0</v>
      </c>
      <c r="U311" s="274">
        <v>0.0</v>
      </c>
    </row>
    <row r="312">
      <c r="A312" s="37" t="s">
        <v>2196</v>
      </c>
      <c r="B312" s="278">
        <v>45870.0</v>
      </c>
      <c r="C312" s="37" t="s">
        <v>2197</v>
      </c>
      <c r="D312" s="37" t="s">
        <v>331</v>
      </c>
      <c r="E312" s="274">
        <v>0.0</v>
      </c>
      <c r="F312" s="274">
        <v>0.0</v>
      </c>
      <c r="G312" s="274">
        <v>1000.0</v>
      </c>
      <c r="H312" s="275">
        <v>0.0</v>
      </c>
      <c r="I312" s="274">
        <v>0.0</v>
      </c>
      <c r="J312" s="274">
        <v>1000.0</v>
      </c>
      <c r="K312" s="274">
        <v>-10397.0</v>
      </c>
      <c r="L312" s="274">
        <v>-4708.0</v>
      </c>
      <c r="M312" s="274">
        <v>-460161.0</v>
      </c>
      <c r="N312" s="274">
        <v>10397.0</v>
      </c>
      <c r="O312" s="274">
        <v>0.0</v>
      </c>
      <c r="P312" s="274">
        <v>0.0</v>
      </c>
      <c r="Q312" s="274">
        <v>0.0</v>
      </c>
      <c r="R312" s="275">
        <v>0.0</v>
      </c>
      <c r="S312" s="274">
        <v>0.0</v>
      </c>
      <c r="T312" s="275">
        <v>0.0</v>
      </c>
      <c r="U312" s="274">
        <v>400000.0</v>
      </c>
    </row>
    <row r="313">
      <c r="A313" s="37" t="s">
        <v>2196</v>
      </c>
      <c r="B313" s="278">
        <v>45870.0</v>
      </c>
      <c r="C313" s="37" t="s">
        <v>2198</v>
      </c>
      <c r="D313" s="37" t="s">
        <v>351</v>
      </c>
      <c r="E313" s="274">
        <v>0.0</v>
      </c>
      <c r="F313" s="274">
        <v>0.0</v>
      </c>
      <c r="G313" s="274">
        <v>0.0</v>
      </c>
      <c r="H313" s="275">
        <v>0.0</v>
      </c>
      <c r="I313" s="274">
        <v>0.0</v>
      </c>
      <c r="J313" s="274">
        <v>0.0</v>
      </c>
      <c r="K313" s="274">
        <v>-195.0</v>
      </c>
      <c r="L313" s="274">
        <v>0.0</v>
      </c>
      <c r="M313" s="274">
        <v>-234906.0</v>
      </c>
      <c r="N313" s="274">
        <v>195.0</v>
      </c>
      <c r="O313" s="274">
        <v>0.0</v>
      </c>
      <c r="P313" s="274">
        <v>0.0</v>
      </c>
      <c r="Q313" s="274">
        <v>0.0</v>
      </c>
      <c r="R313" s="275">
        <v>0.0</v>
      </c>
      <c r="S313" s="274">
        <v>0.0</v>
      </c>
      <c r="T313" s="275">
        <v>0.0</v>
      </c>
      <c r="U313" s="274">
        <v>200000.0</v>
      </c>
    </row>
    <row r="314">
      <c r="A314" s="37" t="s">
        <v>2196</v>
      </c>
      <c r="B314" s="278">
        <v>45901.0</v>
      </c>
      <c r="C314" s="37" t="s">
        <v>16</v>
      </c>
      <c r="D314" s="37" t="s">
        <v>331</v>
      </c>
      <c r="E314" s="274">
        <v>34000.0</v>
      </c>
      <c r="F314" s="274">
        <v>87000.0</v>
      </c>
      <c r="G314" s="274">
        <v>118000.0</v>
      </c>
      <c r="H314" s="275">
        <v>1.3563218390804597</v>
      </c>
      <c r="I314" s="274">
        <v>53000.0</v>
      </c>
      <c r="J314" s="274">
        <v>84000.0</v>
      </c>
      <c r="K314" s="274">
        <v>84000.0</v>
      </c>
      <c r="L314" s="274">
        <v>0.0</v>
      </c>
      <c r="M314" s="274">
        <v>170022.0</v>
      </c>
      <c r="N314" s="274">
        <v>-31000.0</v>
      </c>
      <c r="O314" s="274">
        <v>107000.0</v>
      </c>
      <c r="P314" s="274">
        <v>68000.0</v>
      </c>
      <c r="Q314" s="274">
        <v>-39000.0</v>
      </c>
      <c r="R314" s="275">
        <v>30.0</v>
      </c>
      <c r="S314" s="274">
        <v>150.0</v>
      </c>
      <c r="T314" s="275">
        <v>0.8</v>
      </c>
      <c r="U314" s="274">
        <v>0.0</v>
      </c>
    </row>
    <row r="315">
      <c r="A315" s="37" t="s">
        <v>2196</v>
      </c>
      <c r="B315" s="278">
        <v>45901.0</v>
      </c>
      <c r="C315" s="37" t="s">
        <v>27</v>
      </c>
      <c r="D315" s="37" t="s">
        <v>351</v>
      </c>
      <c r="E315" s="274">
        <v>45000.0</v>
      </c>
      <c r="F315" s="274">
        <v>92300.0</v>
      </c>
      <c r="G315" s="274">
        <v>78500.0</v>
      </c>
      <c r="H315" s="275">
        <v>0.8504875406283857</v>
      </c>
      <c r="I315" s="274">
        <v>47300.0</v>
      </c>
      <c r="J315" s="274">
        <v>33500.0</v>
      </c>
      <c r="K315" s="274">
        <v>29333.0</v>
      </c>
      <c r="L315" s="274">
        <v>-2697.0</v>
      </c>
      <c r="M315" s="274">
        <v>279790.0</v>
      </c>
      <c r="N315" s="274">
        <v>17967.0</v>
      </c>
      <c r="O315" s="274">
        <v>184000.0</v>
      </c>
      <c r="P315" s="274">
        <v>90000.0</v>
      </c>
      <c r="Q315" s="274">
        <v>-94000.0</v>
      </c>
      <c r="R315" s="275">
        <v>0.0</v>
      </c>
      <c r="S315" s="274">
        <v>210.0</v>
      </c>
      <c r="T315" s="275">
        <v>1.0</v>
      </c>
      <c r="U315" s="274">
        <v>0.0</v>
      </c>
    </row>
    <row r="316">
      <c r="A316" s="37" t="s">
        <v>2196</v>
      </c>
      <c r="B316" s="278">
        <v>45901.0</v>
      </c>
      <c r="C316" s="37" t="s">
        <v>41</v>
      </c>
      <c r="D316" s="37" t="s">
        <v>331</v>
      </c>
      <c r="E316" s="274">
        <v>27000.0</v>
      </c>
      <c r="F316" s="274">
        <v>70900.0</v>
      </c>
      <c r="G316" s="274">
        <v>68800.0</v>
      </c>
      <c r="H316" s="275">
        <v>0.9703808180535967</v>
      </c>
      <c r="I316" s="274">
        <v>43900.0</v>
      </c>
      <c r="J316" s="274">
        <v>41800.0</v>
      </c>
      <c r="K316" s="274">
        <v>41800.0</v>
      </c>
      <c r="L316" s="274">
        <v>0.0</v>
      </c>
      <c r="M316" s="274">
        <v>453930.0</v>
      </c>
      <c r="N316" s="274">
        <v>2100.0</v>
      </c>
      <c r="O316" s="274">
        <v>138200.0</v>
      </c>
      <c r="P316" s="274">
        <v>54000.0</v>
      </c>
      <c r="Q316" s="274">
        <v>-84200.0</v>
      </c>
      <c r="R316" s="275">
        <v>0.0</v>
      </c>
      <c r="S316" s="274">
        <v>150.0</v>
      </c>
      <c r="T316" s="275">
        <v>1.0</v>
      </c>
      <c r="U316" s="274">
        <v>0.0</v>
      </c>
    </row>
    <row r="317">
      <c r="A317" s="37" t="s">
        <v>2196</v>
      </c>
      <c r="B317" s="278">
        <v>45901.0</v>
      </c>
      <c r="C317" s="37" t="s">
        <v>56</v>
      </c>
      <c r="D317" s="37" t="s">
        <v>331</v>
      </c>
      <c r="E317" s="274">
        <v>26000.0</v>
      </c>
      <c r="F317" s="274">
        <v>50900.0</v>
      </c>
      <c r="G317" s="274">
        <v>50400.0</v>
      </c>
      <c r="H317" s="275">
        <v>0.9901768172888016</v>
      </c>
      <c r="I317" s="274">
        <v>24900.0</v>
      </c>
      <c r="J317" s="274">
        <v>24400.0</v>
      </c>
      <c r="K317" s="274">
        <v>24400.0</v>
      </c>
      <c r="L317" s="274">
        <v>0.0</v>
      </c>
      <c r="M317" s="274">
        <v>167251.0</v>
      </c>
      <c r="N317" s="274">
        <v>500.0</v>
      </c>
      <c r="O317" s="274">
        <v>100800.0</v>
      </c>
      <c r="P317" s="274">
        <v>52000.0</v>
      </c>
      <c r="Q317" s="274">
        <v>-48800.0</v>
      </c>
      <c r="R317" s="275">
        <v>0.0</v>
      </c>
      <c r="S317" s="274">
        <v>120.0</v>
      </c>
      <c r="T317" s="275">
        <v>1.0</v>
      </c>
      <c r="U317" s="274">
        <v>0.0</v>
      </c>
    </row>
    <row r="318">
      <c r="A318" s="37" t="s">
        <v>2196</v>
      </c>
      <c r="B318" s="278">
        <v>45901.0</v>
      </c>
      <c r="C318" s="37" t="s">
        <v>69</v>
      </c>
      <c r="D318" s="37" t="s">
        <v>331</v>
      </c>
      <c r="E318" s="274">
        <v>25600.0</v>
      </c>
      <c r="F318" s="274">
        <v>85900.0</v>
      </c>
      <c r="G318" s="274">
        <v>92650.0</v>
      </c>
      <c r="H318" s="275">
        <v>1.078579743888242</v>
      </c>
      <c r="I318" s="274">
        <v>60300.0</v>
      </c>
      <c r="J318" s="274">
        <v>67050.0</v>
      </c>
      <c r="K318" s="274">
        <v>67050.0</v>
      </c>
      <c r="L318" s="274">
        <v>0.0</v>
      </c>
      <c r="M318" s="274">
        <v>369541.0</v>
      </c>
      <c r="N318" s="274">
        <v>-6750.0</v>
      </c>
      <c r="O318" s="274">
        <v>170800.0</v>
      </c>
      <c r="P318" s="274">
        <v>51200.0</v>
      </c>
      <c r="Q318" s="274">
        <v>-119600.0</v>
      </c>
      <c r="R318" s="275">
        <v>0.0</v>
      </c>
      <c r="S318" s="274">
        <v>150.0</v>
      </c>
      <c r="T318" s="275">
        <v>1.0</v>
      </c>
      <c r="U318" s="274">
        <v>0.0</v>
      </c>
    </row>
    <row r="319">
      <c r="A319" s="37" t="s">
        <v>2196</v>
      </c>
      <c r="B319" s="278">
        <v>45901.0</v>
      </c>
      <c r="C319" s="37" t="s">
        <v>82</v>
      </c>
      <c r="D319" s="37" t="s">
        <v>331</v>
      </c>
      <c r="E319" s="274">
        <v>38800.0</v>
      </c>
      <c r="F319" s="274">
        <v>106700.0</v>
      </c>
      <c r="G319" s="274">
        <v>102200.0</v>
      </c>
      <c r="H319" s="275">
        <v>0.9578256794751641</v>
      </c>
      <c r="I319" s="274">
        <v>67900.0</v>
      </c>
      <c r="J319" s="274">
        <v>63400.0</v>
      </c>
      <c r="K319" s="274">
        <v>62350.0</v>
      </c>
      <c r="L319" s="274">
        <v>-1050.0</v>
      </c>
      <c r="M319" s="274">
        <v>705992.0</v>
      </c>
      <c r="N319" s="274">
        <v>5550.0</v>
      </c>
      <c r="O319" s="274">
        <v>207400.0</v>
      </c>
      <c r="P319" s="274">
        <v>77600.0</v>
      </c>
      <c r="Q319" s="274">
        <v>-129800.0</v>
      </c>
      <c r="R319" s="275">
        <v>0.0</v>
      </c>
      <c r="S319" s="274">
        <v>210.0</v>
      </c>
      <c r="T319" s="275">
        <v>1.0</v>
      </c>
      <c r="U319" s="274">
        <v>0.0</v>
      </c>
    </row>
    <row r="320">
      <c r="A320" s="37" t="s">
        <v>2196</v>
      </c>
      <c r="B320" s="278">
        <v>45901.0</v>
      </c>
      <c r="C320" s="37" t="s">
        <v>101</v>
      </c>
      <c r="D320" s="37" t="s">
        <v>351</v>
      </c>
      <c r="E320" s="274">
        <v>28800.0</v>
      </c>
      <c r="F320" s="274">
        <v>58500.0</v>
      </c>
      <c r="G320" s="274">
        <v>71000.0</v>
      </c>
      <c r="H320" s="275">
        <v>1.2136752136752136</v>
      </c>
      <c r="I320" s="274">
        <v>29700.0</v>
      </c>
      <c r="J320" s="274">
        <v>42200.0</v>
      </c>
      <c r="K320" s="274">
        <v>42200.0</v>
      </c>
      <c r="L320" s="274">
        <v>0.0</v>
      </c>
      <c r="M320" s="274">
        <v>606399.0</v>
      </c>
      <c r="N320" s="274">
        <v>-12500.0</v>
      </c>
      <c r="O320" s="274">
        <v>117000.0</v>
      </c>
      <c r="P320" s="274">
        <v>57600.0</v>
      </c>
      <c r="Q320" s="274">
        <v>-59400.0</v>
      </c>
      <c r="R320" s="275">
        <v>0.0</v>
      </c>
      <c r="S320" s="274">
        <v>120.0</v>
      </c>
      <c r="T320" s="275">
        <v>1.0</v>
      </c>
      <c r="U320" s="274">
        <v>0.0</v>
      </c>
    </row>
    <row r="321">
      <c r="A321" s="37" t="s">
        <v>2196</v>
      </c>
      <c r="B321" s="278">
        <v>45901.0</v>
      </c>
      <c r="C321" s="37" t="s">
        <v>110</v>
      </c>
      <c r="D321" s="37" t="s">
        <v>331</v>
      </c>
      <c r="E321" s="274">
        <v>36500.0</v>
      </c>
      <c r="F321" s="274">
        <v>67600.0</v>
      </c>
      <c r="G321" s="274">
        <v>52067.0</v>
      </c>
      <c r="H321" s="275">
        <v>0.7702218934911242</v>
      </c>
      <c r="I321" s="274">
        <v>31100.0</v>
      </c>
      <c r="J321" s="274">
        <v>15567.0</v>
      </c>
      <c r="K321" s="274">
        <v>14202.0</v>
      </c>
      <c r="L321" s="274">
        <v>0.0</v>
      </c>
      <c r="M321" s="274">
        <v>-135926.0</v>
      </c>
      <c r="N321" s="274">
        <v>16898.0</v>
      </c>
      <c r="O321" s="274">
        <v>131200.0</v>
      </c>
      <c r="P321" s="274">
        <v>73000.0</v>
      </c>
      <c r="Q321" s="274">
        <v>-58200.0</v>
      </c>
      <c r="R321" s="275">
        <v>26.0</v>
      </c>
      <c r="S321" s="274">
        <v>150.0</v>
      </c>
      <c r="T321" s="275">
        <v>0.8266666666666667</v>
      </c>
      <c r="U321" s="274">
        <v>0.0</v>
      </c>
    </row>
    <row r="322">
      <c r="A322" s="37" t="s">
        <v>2196</v>
      </c>
      <c r="B322" s="278">
        <v>45901.0</v>
      </c>
      <c r="C322" s="37" t="s">
        <v>119</v>
      </c>
      <c r="D322" s="37" t="s">
        <v>331</v>
      </c>
      <c r="E322" s="274">
        <v>12000.0</v>
      </c>
      <c r="F322" s="274">
        <v>22000.0</v>
      </c>
      <c r="G322" s="274">
        <v>22000.0</v>
      </c>
      <c r="H322" s="275">
        <v>1.0</v>
      </c>
      <c r="I322" s="274">
        <v>10000.0</v>
      </c>
      <c r="J322" s="274">
        <v>10000.0</v>
      </c>
      <c r="K322" s="274">
        <v>10000.0</v>
      </c>
      <c r="L322" s="274">
        <v>0.0</v>
      </c>
      <c r="M322" s="274">
        <v>66619.0</v>
      </c>
      <c r="N322" s="274">
        <v>0.0</v>
      </c>
      <c r="O322" s="274">
        <v>44000.0</v>
      </c>
      <c r="P322" s="274">
        <v>24000.0</v>
      </c>
      <c r="Q322" s="274">
        <v>-20000.0</v>
      </c>
      <c r="R322" s="275">
        <v>0.0</v>
      </c>
      <c r="S322" s="274">
        <v>30.0</v>
      </c>
      <c r="T322" s="275">
        <v>1.0</v>
      </c>
      <c r="U322" s="274">
        <v>0.0</v>
      </c>
    </row>
    <row r="323">
      <c r="A323" s="37" t="s">
        <v>2196</v>
      </c>
      <c r="B323" s="278">
        <v>45901.0</v>
      </c>
      <c r="C323" s="37" t="s">
        <v>122</v>
      </c>
      <c r="D323" s="37" t="s">
        <v>331</v>
      </c>
      <c r="E323" s="274">
        <v>35500.0</v>
      </c>
      <c r="F323" s="274">
        <v>58400.0</v>
      </c>
      <c r="G323" s="274">
        <v>72400.0</v>
      </c>
      <c r="H323" s="275">
        <v>1.2397260273972603</v>
      </c>
      <c r="I323" s="274">
        <v>22900.0</v>
      </c>
      <c r="J323" s="274">
        <v>36900.0</v>
      </c>
      <c r="K323" s="274">
        <v>36100.0</v>
      </c>
      <c r="L323" s="274">
        <v>-800.0</v>
      </c>
      <c r="M323" s="274">
        <v>-40527.0</v>
      </c>
      <c r="N323" s="274">
        <v>-13200.0</v>
      </c>
      <c r="O323" s="274">
        <v>116800.0</v>
      </c>
      <c r="P323" s="274">
        <v>71000.0</v>
      </c>
      <c r="Q323" s="274">
        <v>-45800.0</v>
      </c>
      <c r="R323" s="275">
        <v>0.0</v>
      </c>
      <c r="S323" s="274">
        <v>120.0</v>
      </c>
      <c r="T323" s="275">
        <v>1.0</v>
      </c>
      <c r="U323" s="274">
        <v>0.0</v>
      </c>
    </row>
    <row r="324">
      <c r="A324" s="37" t="s">
        <v>2196</v>
      </c>
      <c r="B324" s="278">
        <v>45901.0</v>
      </c>
      <c r="C324" s="37" t="s">
        <v>135</v>
      </c>
      <c r="D324" s="37" t="s">
        <v>331</v>
      </c>
      <c r="E324" s="274">
        <v>25000.0</v>
      </c>
      <c r="F324" s="274">
        <v>66000.0</v>
      </c>
      <c r="G324" s="274">
        <v>52400.0</v>
      </c>
      <c r="H324" s="275">
        <v>0.793939393939394</v>
      </c>
      <c r="I324" s="274">
        <v>41000.0</v>
      </c>
      <c r="J324" s="274">
        <v>27400.0</v>
      </c>
      <c r="K324" s="274">
        <v>25900.0</v>
      </c>
      <c r="L324" s="274">
        <v>-1500.0</v>
      </c>
      <c r="M324" s="274">
        <v>-53570.0</v>
      </c>
      <c r="N324" s="274">
        <v>15100.0</v>
      </c>
      <c r="O324" s="274">
        <v>129800.0</v>
      </c>
      <c r="P324" s="274">
        <v>50000.0</v>
      </c>
      <c r="Q324" s="274">
        <v>-79800.0</v>
      </c>
      <c r="R324" s="275">
        <v>0.0</v>
      </c>
      <c r="S324" s="274">
        <v>150.0</v>
      </c>
      <c r="T324" s="275">
        <v>1.0</v>
      </c>
      <c r="U324" s="274">
        <v>0.0</v>
      </c>
    </row>
    <row r="325">
      <c r="A325" s="37" t="s">
        <v>2196</v>
      </c>
      <c r="B325" s="278">
        <v>45901.0</v>
      </c>
      <c r="C325" s="37" t="s">
        <v>150</v>
      </c>
      <c r="D325" s="37" t="s">
        <v>331</v>
      </c>
      <c r="E325" s="274">
        <v>23000.0</v>
      </c>
      <c r="F325" s="274">
        <v>54900.0</v>
      </c>
      <c r="G325" s="274">
        <v>54300.0</v>
      </c>
      <c r="H325" s="275">
        <v>0.9890710382513661</v>
      </c>
      <c r="I325" s="274">
        <v>31900.0</v>
      </c>
      <c r="J325" s="274">
        <v>31300.0</v>
      </c>
      <c r="K325" s="274">
        <v>31300.0</v>
      </c>
      <c r="L325" s="274">
        <v>0.0</v>
      </c>
      <c r="M325" s="274">
        <v>-291107.0</v>
      </c>
      <c r="N325" s="274">
        <v>600.0</v>
      </c>
      <c r="O325" s="274">
        <v>108600.0</v>
      </c>
      <c r="P325" s="274">
        <v>46000.0</v>
      </c>
      <c r="Q325" s="274">
        <v>-62600.0</v>
      </c>
      <c r="R325" s="275">
        <v>0.0</v>
      </c>
      <c r="S325" s="274">
        <v>120.0</v>
      </c>
      <c r="T325" s="275">
        <v>1.0</v>
      </c>
      <c r="U325" s="274">
        <v>0.0</v>
      </c>
    </row>
    <row r="326">
      <c r="A326" s="37" t="s">
        <v>2196</v>
      </c>
      <c r="B326" s="278">
        <v>45901.0</v>
      </c>
      <c r="C326" s="37" t="s">
        <v>163</v>
      </c>
      <c r="D326" s="37" t="s">
        <v>351</v>
      </c>
      <c r="E326" s="274">
        <v>39800.0</v>
      </c>
      <c r="F326" s="274">
        <v>80000.0</v>
      </c>
      <c r="G326" s="274">
        <v>96200.0</v>
      </c>
      <c r="H326" s="275">
        <v>1.2025</v>
      </c>
      <c r="I326" s="274">
        <v>40200.0</v>
      </c>
      <c r="J326" s="274">
        <v>56400.0</v>
      </c>
      <c r="K326" s="274">
        <v>56400.0</v>
      </c>
      <c r="L326" s="274">
        <v>0.0</v>
      </c>
      <c r="M326" s="274">
        <v>-92284.38500000001</v>
      </c>
      <c r="N326" s="274">
        <v>-16200.0</v>
      </c>
      <c r="O326" s="274">
        <v>164400.0</v>
      </c>
      <c r="P326" s="274">
        <v>79600.0</v>
      </c>
      <c r="Q326" s="274">
        <v>-84800.0</v>
      </c>
      <c r="R326" s="275">
        <v>0.0</v>
      </c>
      <c r="S326" s="274">
        <v>150.0</v>
      </c>
      <c r="T326" s="275">
        <v>1.0</v>
      </c>
      <c r="U326" s="274">
        <v>0.0</v>
      </c>
    </row>
    <row r="327">
      <c r="A327" s="37" t="s">
        <v>2196</v>
      </c>
      <c r="B327" s="278">
        <v>45901.0</v>
      </c>
      <c r="C327" s="37" t="s">
        <v>178</v>
      </c>
      <c r="D327" s="37" t="s">
        <v>331</v>
      </c>
      <c r="E327" s="274">
        <v>36000.0</v>
      </c>
      <c r="F327" s="274">
        <v>83000.0</v>
      </c>
      <c r="G327" s="274">
        <v>53000.0</v>
      </c>
      <c r="H327" s="275">
        <v>0.6385542168674698</v>
      </c>
      <c r="I327" s="274">
        <v>47000.0</v>
      </c>
      <c r="J327" s="274">
        <v>17000.0</v>
      </c>
      <c r="K327" s="274">
        <v>17000.0</v>
      </c>
      <c r="L327" s="274">
        <v>0.0</v>
      </c>
      <c r="M327" s="274">
        <v>-160985.0</v>
      </c>
      <c r="N327" s="274">
        <v>30000.0</v>
      </c>
      <c r="O327" s="274">
        <v>106000.0</v>
      </c>
      <c r="P327" s="274">
        <v>72000.0</v>
      </c>
      <c r="Q327" s="274">
        <v>-34000.0</v>
      </c>
      <c r="R327" s="275">
        <v>30.0</v>
      </c>
      <c r="S327" s="274">
        <v>150.0</v>
      </c>
      <c r="T327" s="275">
        <v>0.8</v>
      </c>
      <c r="U327" s="274">
        <v>0.0</v>
      </c>
    </row>
    <row r="328">
      <c r="A328" s="37" t="s">
        <v>2196</v>
      </c>
      <c r="B328" s="278">
        <v>45901.0</v>
      </c>
      <c r="C328" s="37" t="s">
        <v>188</v>
      </c>
      <c r="D328" s="37" t="s">
        <v>331</v>
      </c>
      <c r="E328" s="274">
        <v>50000.0</v>
      </c>
      <c r="F328" s="274">
        <v>114600.0</v>
      </c>
      <c r="G328" s="274">
        <v>137850.0</v>
      </c>
      <c r="H328" s="275">
        <v>1.2028795811518325</v>
      </c>
      <c r="I328" s="274">
        <v>64600.0</v>
      </c>
      <c r="J328" s="274">
        <v>87850.0</v>
      </c>
      <c r="K328" s="274">
        <v>79491.0</v>
      </c>
      <c r="L328" s="274">
        <v>-1050.0</v>
      </c>
      <c r="M328" s="274">
        <v>-490360.30000000005</v>
      </c>
      <c r="N328" s="274">
        <v>-14891.0</v>
      </c>
      <c r="O328" s="274">
        <v>228200.0</v>
      </c>
      <c r="P328" s="274">
        <v>100000.0</v>
      </c>
      <c r="Q328" s="274">
        <v>-128200.0</v>
      </c>
      <c r="R328" s="275">
        <v>0.0</v>
      </c>
      <c r="S328" s="274">
        <v>210.0</v>
      </c>
      <c r="T328" s="275">
        <v>1.0</v>
      </c>
      <c r="U328" s="274">
        <v>0.0</v>
      </c>
    </row>
    <row r="329">
      <c r="A329" s="37" t="s">
        <v>2196</v>
      </c>
      <c r="B329" s="278">
        <v>45901.0</v>
      </c>
      <c r="C329" s="37" t="s">
        <v>209</v>
      </c>
      <c r="D329" s="37" t="s">
        <v>351</v>
      </c>
      <c r="E329" s="274">
        <v>33000.0</v>
      </c>
      <c r="F329" s="274">
        <v>78400.0</v>
      </c>
      <c r="G329" s="274">
        <v>78400.0</v>
      </c>
      <c r="H329" s="275">
        <v>1.0</v>
      </c>
      <c r="I329" s="274">
        <v>45400.0</v>
      </c>
      <c r="J329" s="274">
        <v>45400.0</v>
      </c>
      <c r="K329" s="274">
        <v>45400.0</v>
      </c>
      <c r="L329" s="274">
        <v>0.0</v>
      </c>
      <c r="M329" s="274">
        <v>-567149.0</v>
      </c>
      <c r="N329" s="274">
        <v>0.0</v>
      </c>
      <c r="O329" s="274">
        <v>156800.0</v>
      </c>
      <c r="P329" s="274">
        <v>66000.0</v>
      </c>
      <c r="Q329" s="274">
        <v>-90800.0</v>
      </c>
      <c r="R329" s="275">
        <v>0.0</v>
      </c>
      <c r="S329" s="274">
        <v>180.0</v>
      </c>
      <c r="T329" s="275">
        <v>1.0</v>
      </c>
      <c r="U329" s="274">
        <v>0.0</v>
      </c>
    </row>
    <row r="330">
      <c r="A330" s="37" t="s">
        <v>2196</v>
      </c>
      <c r="B330" s="278">
        <v>45901.0</v>
      </c>
      <c r="C330" s="37" t="s">
        <v>241</v>
      </c>
      <c r="D330" s="37" t="s">
        <v>331</v>
      </c>
      <c r="E330" s="274">
        <v>0.0</v>
      </c>
      <c r="F330" s="274">
        <v>0.0</v>
      </c>
      <c r="G330" s="274">
        <v>0.0</v>
      </c>
      <c r="H330" s="275">
        <v>0.0</v>
      </c>
      <c r="I330" s="274">
        <v>0.0</v>
      </c>
      <c r="J330" s="274">
        <v>0.0</v>
      </c>
      <c r="K330" s="274">
        <v>-420.0</v>
      </c>
      <c r="L330" s="274">
        <v>0.0</v>
      </c>
      <c r="M330" s="274">
        <v>-420.0</v>
      </c>
      <c r="N330" s="274">
        <v>420.0</v>
      </c>
      <c r="O330" s="274">
        <v>0.0</v>
      </c>
      <c r="P330" s="274">
        <v>0.0</v>
      </c>
      <c r="Q330" s="274">
        <v>0.0</v>
      </c>
      <c r="R330" s="275">
        <v>0.0</v>
      </c>
      <c r="S330" s="274">
        <v>0.0</v>
      </c>
      <c r="T330" s="275">
        <v>0.0</v>
      </c>
      <c r="U330" s="274">
        <v>0.0</v>
      </c>
    </row>
    <row r="331">
      <c r="A331" s="37" t="s">
        <v>2196</v>
      </c>
      <c r="B331" s="278">
        <v>45901.0</v>
      </c>
      <c r="C331" s="37" t="s">
        <v>2197</v>
      </c>
      <c r="D331" s="37" t="s">
        <v>331</v>
      </c>
      <c r="E331" s="274">
        <v>0.0</v>
      </c>
      <c r="F331" s="274">
        <v>0.0</v>
      </c>
      <c r="G331" s="274">
        <v>1200.0</v>
      </c>
      <c r="H331" s="275">
        <v>0.0</v>
      </c>
      <c r="I331" s="274">
        <v>0.0</v>
      </c>
      <c r="J331" s="274">
        <v>1200.0</v>
      </c>
      <c r="K331" s="274">
        <v>-6405.0</v>
      </c>
      <c r="L331" s="274">
        <v>-6200.0</v>
      </c>
      <c r="M331" s="274">
        <v>-466566.0</v>
      </c>
      <c r="N331" s="274">
        <v>6405.0</v>
      </c>
      <c r="O331" s="274">
        <v>0.0</v>
      </c>
      <c r="P331" s="274">
        <v>0.0</v>
      </c>
      <c r="Q331" s="274">
        <v>0.0</v>
      </c>
      <c r="R331" s="275">
        <v>0.0</v>
      </c>
      <c r="S331" s="274">
        <v>0.0</v>
      </c>
      <c r="T331" s="275">
        <v>0.0</v>
      </c>
      <c r="U331" s="274">
        <v>400000.0</v>
      </c>
    </row>
    <row r="332">
      <c r="A332" s="37" t="s">
        <v>2196</v>
      </c>
      <c r="B332" s="278">
        <v>45901.0</v>
      </c>
      <c r="C332" s="37" t="s">
        <v>2198</v>
      </c>
      <c r="D332" s="37" t="s">
        <v>351</v>
      </c>
      <c r="E332" s="274">
        <v>0.0</v>
      </c>
      <c r="F332" s="274">
        <v>0.0</v>
      </c>
      <c r="G332" s="274">
        <v>0.0</v>
      </c>
      <c r="H332" s="275">
        <v>0.0</v>
      </c>
      <c r="I332" s="274">
        <v>0.0</v>
      </c>
      <c r="J332" s="274">
        <v>0.0</v>
      </c>
      <c r="K332" s="274">
        <v>-1950.0</v>
      </c>
      <c r="L332" s="274">
        <v>-1800.0</v>
      </c>
      <c r="M332" s="274">
        <v>-236856.0</v>
      </c>
      <c r="N332" s="274">
        <v>1950.0</v>
      </c>
      <c r="O332" s="274">
        <v>0.0</v>
      </c>
      <c r="P332" s="274">
        <v>0.0</v>
      </c>
      <c r="Q332" s="274">
        <v>0.0</v>
      </c>
      <c r="R332" s="275">
        <v>0.0</v>
      </c>
      <c r="S332" s="274">
        <v>0.0</v>
      </c>
      <c r="T332" s="275">
        <v>0.0</v>
      </c>
      <c r="U332" s="274">
        <v>100000.0</v>
      </c>
    </row>
    <row r="333">
      <c r="A333" s="37" t="s">
        <v>2196</v>
      </c>
      <c r="B333" s="278">
        <v>45931.0</v>
      </c>
      <c r="C333" s="37" t="s">
        <v>16</v>
      </c>
      <c r="D333" s="37" t="s">
        <v>331</v>
      </c>
      <c r="E333" s="274">
        <v>34000.0</v>
      </c>
      <c r="F333" s="274">
        <v>87000.0</v>
      </c>
      <c r="G333" s="274">
        <v>40600.0</v>
      </c>
      <c r="H333" s="275">
        <v>0.4666666666666667</v>
      </c>
      <c r="I333" s="274">
        <v>53000.0</v>
      </c>
      <c r="J333" s="274">
        <v>6600.0</v>
      </c>
      <c r="K333" s="274">
        <v>6600.0</v>
      </c>
      <c r="L333" s="274">
        <v>0.0</v>
      </c>
      <c r="M333" s="274">
        <v>176622.0</v>
      </c>
      <c r="N333" s="274">
        <v>46400.0</v>
      </c>
      <c r="O333" s="274">
        <v>107000.0</v>
      </c>
      <c r="P333" s="274">
        <v>68000.0</v>
      </c>
      <c r="Q333" s="274">
        <v>-39000.0</v>
      </c>
      <c r="R333" s="275">
        <v>31.0</v>
      </c>
      <c r="S333" s="274">
        <v>155.0</v>
      </c>
      <c r="T333" s="275">
        <v>0.8</v>
      </c>
      <c r="U333" s="274">
        <v>0.0</v>
      </c>
    </row>
    <row r="334">
      <c r="A334" s="37" t="s">
        <v>2196</v>
      </c>
      <c r="B334" s="278">
        <v>45931.0</v>
      </c>
      <c r="C334" s="37" t="s">
        <v>27</v>
      </c>
      <c r="D334" s="37" t="s">
        <v>351</v>
      </c>
      <c r="E334" s="274">
        <v>45000.0</v>
      </c>
      <c r="F334" s="274">
        <v>92300.0</v>
      </c>
      <c r="G334" s="274">
        <v>77000.0</v>
      </c>
      <c r="H334" s="275">
        <v>0.8342361863488624</v>
      </c>
      <c r="I334" s="274">
        <v>47300.0</v>
      </c>
      <c r="J334" s="274">
        <v>32000.0</v>
      </c>
      <c r="K334" s="274">
        <v>32000.0</v>
      </c>
      <c r="L334" s="274">
        <v>0.0</v>
      </c>
      <c r="M334" s="274">
        <v>311790.0</v>
      </c>
      <c r="N334" s="274">
        <v>15300.0</v>
      </c>
      <c r="O334" s="274">
        <v>184000.0</v>
      </c>
      <c r="P334" s="274">
        <v>90000.0</v>
      </c>
      <c r="Q334" s="274">
        <v>-94000.0</v>
      </c>
      <c r="R334" s="275">
        <v>0.0</v>
      </c>
      <c r="S334" s="274">
        <v>217.0</v>
      </c>
      <c r="T334" s="275">
        <v>1.0</v>
      </c>
      <c r="U334" s="274">
        <v>0.0</v>
      </c>
    </row>
    <row r="335">
      <c r="A335" s="37" t="s">
        <v>2196</v>
      </c>
      <c r="B335" s="278">
        <v>45931.0</v>
      </c>
      <c r="C335" s="37" t="s">
        <v>41</v>
      </c>
      <c r="D335" s="37" t="s">
        <v>331</v>
      </c>
      <c r="E335" s="274">
        <v>27000.0</v>
      </c>
      <c r="F335" s="274">
        <v>70900.0</v>
      </c>
      <c r="G335" s="274">
        <v>68800.0</v>
      </c>
      <c r="H335" s="275">
        <v>0.9703808180535967</v>
      </c>
      <c r="I335" s="274">
        <v>43900.0</v>
      </c>
      <c r="J335" s="274">
        <v>41800.0</v>
      </c>
      <c r="K335" s="274">
        <v>38610.0</v>
      </c>
      <c r="L335" s="274">
        <v>0.0</v>
      </c>
      <c r="M335" s="274">
        <v>492540.0</v>
      </c>
      <c r="N335" s="274">
        <v>5290.0</v>
      </c>
      <c r="O335" s="274">
        <v>138200.0</v>
      </c>
      <c r="P335" s="274">
        <v>54000.0</v>
      </c>
      <c r="Q335" s="274">
        <v>-84200.0</v>
      </c>
      <c r="R335" s="275">
        <v>0.0</v>
      </c>
      <c r="S335" s="274">
        <v>155.0</v>
      </c>
      <c r="T335" s="275">
        <v>1.0</v>
      </c>
      <c r="U335" s="274">
        <v>0.0</v>
      </c>
    </row>
    <row r="336">
      <c r="A336" s="37" t="s">
        <v>2196</v>
      </c>
      <c r="B336" s="278">
        <v>45931.0</v>
      </c>
      <c r="C336" s="37" t="s">
        <v>56</v>
      </c>
      <c r="D336" s="37" t="s">
        <v>331</v>
      </c>
      <c r="E336" s="274">
        <v>26000.0</v>
      </c>
      <c r="F336" s="274">
        <v>50900.0</v>
      </c>
      <c r="G336" s="274">
        <v>50400.0</v>
      </c>
      <c r="H336" s="275">
        <v>0.9901768172888016</v>
      </c>
      <c r="I336" s="274">
        <v>24900.0</v>
      </c>
      <c r="J336" s="274">
        <v>24400.0</v>
      </c>
      <c r="K336" s="274">
        <v>-92800.0</v>
      </c>
      <c r="L336" s="274">
        <v>0.0</v>
      </c>
      <c r="M336" s="274">
        <v>74451.0</v>
      </c>
      <c r="N336" s="274">
        <v>117700.0</v>
      </c>
      <c r="O336" s="274">
        <v>100800.0</v>
      </c>
      <c r="P336" s="274">
        <v>52000.0</v>
      </c>
      <c r="Q336" s="274">
        <v>-48800.0</v>
      </c>
      <c r="R336" s="275">
        <v>0.0</v>
      </c>
      <c r="S336" s="274">
        <v>124.0</v>
      </c>
      <c r="T336" s="275">
        <v>1.0</v>
      </c>
      <c r="U336" s="274">
        <v>0.0</v>
      </c>
    </row>
    <row r="337">
      <c r="A337" s="37" t="s">
        <v>2196</v>
      </c>
      <c r="B337" s="278">
        <v>45931.0</v>
      </c>
      <c r="C337" s="37" t="s">
        <v>69</v>
      </c>
      <c r="D337" s="37" t="s">
        <v>331</v>
      </c>
      <c r="E337" s="274">
        <v>25600.0</v>
      </c>
      <c r="F337" s="274">
        <v>85900.0</v>
      </c>
      <c r="G337" s="274">
        <v>72400.0</v>
      </c>
      <c r="H337" s="275">
        <v>0.8428405122235157</v>
      </c>
      <c r="I337" s="274">
        <v>60300.0</v>
      </c>
      <c r="J337" s="274">
        <v>46800.0</v>
      </c>
      <c r="K337" s="274">
        <v>46800.0</v>
      </c>
      <c r="L337" s="274">
        <v>0.0</v>
      </c>
      <c r="M337" s="274">
        <v>416341.0</v>
      </c>
      <c r="N337" s="274">
        <v>13500.0</v>
      </c>
      <c r="O337" s="274">
        <v>170800.0</v>
      </c>
      <c r="P337" s="274">
        <v>51200.0</v>
      </c>
      <c r="Q337" s="274">
        <v>-119600.0</v>
      </c>
      <c r="R337" s="275">
        <v>0.0</v>
      </c>
      <c r="S337" s="274">
        <v>155.0</v>
      </c>
      <c r="T337" s="275">
        <v>1.0</v>
      </c>
      <c r="U337" s="274">
        <v>0.0</v>
      </c>
    </row>
    <row r="338">
      <c r="A338" s="37" t="s">
        <v>2196</v>
      </c>
      <c r="B338" s="278">
        <v>45931.0</v>
      </c>
      <c r="C338" s="37" t="s">
        <v>82</v>
      </c>
      <c r="D338" s="37" t="s">
        <v>331</v>
      </c>
      <c r="E338" s="274">
        <v>38800.0</v>
      </c>
      <c r="F338" s="274">
        <v>106700.0</v>
      </c>
      <c r="G338" s="274">
        <v>92200.0</v>
      </c>
      <c r="H338" s="275">
        <v>0.8641049671977507</v>
      </c>
      <c r="I338" s="274">
        <v>67900.0</v>
      </c>
      <c r="J338" s="274">
        <v>53400.0</v>
      </c>
      <c r="K338" s="274">
        <v>46103.0</v>
      </c>
      <c r="L338" s="274">
        <v>-7297.0</v>
      </c>
      <c r="M338" s="274">
        <v>752095.0</v>
      </c>
      <c r="N338" s="274">
        <v>21797.0</v>
      </c>
      <c r="O338" s="274">
        <v>207400.0</v>
      </c>
      <c r="P338" s="274">
        <v>77600.0</v>
      </c>
      <c r="Q338" s="274">
        <v>-129800.0</v>
      </c>
      <c r="R338" s="275">
        <v>0.0</v>
      </c>
      <c r="S338" s="274">
        <v>217.0</v>
      </c>
      <c r="T338" s="275">
        <v>1.0</v>
      </c>
      <c r="U338" s="274">
        <v>0.0</v>
      </c>
    </row>
    <row r="339">
      <c r="A339" s="37" t="s">
        <v>2196</v>
      </c>
      <c r="B339" s="278">
        <v>45931.0</v>
      </c>
      <c r="C339" s="37" t="s">
        <v>101</v>
      </c>
      <c r="D339" s="37" t="s">
        <v>351</v>
      </c>
      <c r="E339" s="274">
        <v>28800.0</v>
      </c>
      <c r="F339" s="274">
        <v>58500.0</v>
      </c>
      <c r="G339" s="274">
        <v>72000.0</v>
      </c>
      <c r="H339" s="275">
        <v>1.2307692307692308</v>
      </c>
      <c r="I339" s="274">
        <v>29700.0</v>
      </c>
      <c r="J339" s="274">
        <v>43200.0</v>
      </c>
      <c r="K339" s="274">
        <v>43200.0</v>
      </c>
      <c r="L339" s="274">
        <v>0.0</v>
      </c>
      <c r="M339" s="274">
        <v>649599.0</v>
      </c>
      <c r="N339" s="274">
        <v>-13500.0</v>
      </c>
      <c r="O339" s="274">
        <v>117000.0</v>
      </c>
      <c r="P339" s="274">
        <v>57600.0</v>
      </c>
      <c r="Q339" s="274">
        <v>-59400.0</v>
      </c>
      <c r="R339" s="275">
        <v>0.0</v>
      </c>
      <c r="S339" s="274">
        <v>124.0</v>
      </c>
      <c r="T339" s="275">
        <v>1.0</v>
      </c>
      <c r="U339" s="274">
        <v>0.0</v>
      </c>
    </row>
    <row r="340">
      <c r="A340" s="37" t="s">
        <v>2196</v>
      </c>
      <c r="B340" s="278">
        <v>45931.0</v>
      </c>
      <c r="C340" s="37" t="s">
        <v>110</v>
      </c>
      <c r="D340" s="37" t="s">
        <v>331</v>
      </c>
      <c r="E340" s="274">
        <v>36500.0</v>
      </c>
      <c r="F340" s="274">
        <v>67600.0</v>
      </c>
      <c r="G340" s="274">
        <v>78600.0</v>
      </c>
      <c r="H340" s="275">
        <v>1.1627218934911243</v>
      </c>
      <c r="I340" s="274">
        <v>31100.0</v>
      </c>
      <c r="J340" s="274">
        <v>42100.0</v>
      </c>
      <c r="K340" s="274">
        <v>40751.0</v>
      </c>
      <c r="L340" s="274">
        <v>0.0</v>
      </c>
      <c r="M340" s="274">
        <v>-95175.0</v>
      </c>
      <c r="N340" s="274">
        <v>-9651.0</v>
      </c>
      <c r="O340" s="274">
        <v>131200.0</v>
      </c>
      <c r="P340" s="274">
        <v>73000.0</v>
      </c>
      <c r="Q340" s="274">
        <v>-58200.0</v>
      </c>
      <c r="R340" s="275">
        <v>0.0</v>
      </c>
      <c r="S340" s="274">
        <v>155.0</v>
      </c>
      <c r="T340" s="275">
        <v>1.0</v>
      </c>
      <c r="U340" s="274">
        <v>0.0</v>
      </c>
    </row>
    <row r="341">
      <c r="A341" s="37" t="s">
        <v>2196</v>
      </c>
      <c r="B341" s="278">
        <v>45931.0</v>
      </c>
      <c r="C341" s="37" t="s">
        <v>119</v>
      </c>
      <c r="D341" s="37" t="s">
        <v>331</v>
      </c>
      <c r="E341" s="274">
        <v>12000.0</v>
      </c>
      <c r="F341" s="274">
        <v>22000.0</v>
      </c>
      <c r="G341" s="274">
        <v>22000.0</v>
      </c>
      <c r="H341" s="275">
        <v>1.0</v>
      </c>
      <c r="I341" s="274">
        <v>10000.0</v>
      </c>
      <c r="J341" s="274">
        <v>10000.0</v>
      </c>
      <c r="K341" s="274">
        <v>10000.0</v>
      </c>
      <c r="L341" s="274">
        <v>0.0</v>
      </c>
      <c r="M341" s="274">
        <v>76619.0</v>
      </c>
      <c r="N341" s="274">
        <v>0.0</v>
      </c>
      <c r="O341" s="274">
        <v>44000.0</v>
      </c>
      <c r="P341" s="274">
        <v>24000.0</v>
      </c>
      <c r="Q341" s="274">
        <v>-20000.0</v>
      </c>
      <c r="R341" s="275">
        <v>0.0</v>
      </c>
      <c r="S341" s="274">
        <v>31.0</v>
      </c>
      <c r="T341" s="275">
        <v>1.0</v>
      </c>
      <c r="U341" s="274">
        <v>0.0</v>
      </c>
    </row>
    <row r="342">
      <c r="A342" s="37" t="s">
        <v>2196</v>
      </c>
      <c r="B342" s="278">
        <v>45931.0</v>
      </c>
      <c r="C342" s="37" t="s">
        <v>122</v>
      </c>
      <c r="D342" s="37" t="s">
        <v>331</v>
      </c>
      <c r="E342" s="274">
        <v>35500.0</v>
      </c>
      <c r="F342" s="274">
        <v>58400.0</v>
      </c>
      <c r="G342" s="274">
        <v>44400.0</v>
      </c>
      <c r="H342" s="275">
        <v>0.7602739726027398</v>
      </c>
      <c r="I342" s="274">
        <v>22900.0</v>
      </c>
      <c r="J342" s="274">
        <v>8900.0</v>
      </c>
      <c r="K342" s="274">
        <v>8900.0</v>
      </c>
      <c r="L342" s="274">
        <v>0.0</v>
      </c>
      <c r="M342" s="274">
        <v>-31627.0</v>
      </c>
      <c r="N342" s="274">
        <v>14000.0</v>
      </c>
      <c r="O342" s="274">
        <v>116800.0</v>
      </c>
      <c r="P342" s="274">
        <v>71000.0</v>
      </c>
      <c r="Q342" s="274">
        <v>-45800.0</v>
      </c>
      <c r="R342" s="275">
        <v>0.0</v>
      </c>
      <c r="S342" s="274">
        <v>124.0</v>
      </c>
      <c r="T342" s="275">
        <v>1.0</v>
      </c>
      <c r="U342" s="274">
        <v>0.0</v>
      </c>
    </row>
    <row r="343">
      <c r="A343" s="37" t="s">
        <v>2196</v>
      </c>
      <c r="B343" s="278">
        <v>45931.0</v>
      </c>
      <c r="C343" s="37" t="s">
        <v>135</v>
      </c>
      <c r="D343" s="37" t="s">
        <v>331</v>
      </c>
      <c r="E343" s="274">
        <v>25000.0</v>
      </c>
      <c r="F343" s="274">
        <v>66000.0</v>
      </c>
      <c r="G343" s="274">
        <v>69100.0</v>
      </c>
      <c r="H343" s="275">
        <v>1.0469696969696969</v>
      </c>
      <c r="I343" s="274">
        <v>41000.0</v>
      </c>
      <c r="J343" s="274">
        <v>44100.0</v>
      </c>
      <c r="K343" s="274">
        <v>38531.0</v>
      </c>
      <c r="L343" s="274">
        <v>-1700.0</v>
      </c>
      <c r="M343" s="274">
        <v>-15039.0</v>
      </c>
      <c r="N343" s="274">
        <v>2469.0</v>
      </c>
      <c r="O343" s="274">
        <v>100800.0</v>
      </c>
      <c r="P343" s="274">
        <v>50000.0</v>
      </c>
      <c r="Q343" s="274">
        <v>-50800.0</v>
      </c>
      <c r="R343" s="275">
        <v>19.0</v>
      </c>
      <c r="S343" s="274">
        <v>155.0</v>
      </c>
      <c r="T343" s="275">
        <v>0.8774193548387097</v>
      </c>
      <c r="U343" s="274">
        <v>0.0</v>
      </c>
    </row>
    <row r="344">
      <c r="A344" s="37" t="s">
        <v>2196</v>
      </c>
      <c r="B344" s="278">
        <v>45931.0</v>
      </c>
      <c r="C344" s="37" t="s">
        <v>150</v>
      </c>
      <c r="D344" s="37" t="s">
        <v>331</v>
      </c>
      <c r="E344" s="274">
        <v>23000.0</v>
      </c>
      <c r="F344" s="274">
        <v>54900.0</v>
      </c>
      <c r="G344" s="274">
        <v>54300.0</v>
      </c>
      <c r="H344" s="275">
        <v>0.9890710382513661</v>
      </c>
      <c r="I344" s="274">
        <v>31900.0</v>
      </c>
      <c r="J344" s="274">
        <v>31300.0</v>
      </c>
      <c r="K344" s="274">
        <v>30103.0</v>
      </c>
      <c r="L344" s="274">
        <v>-1197.0</v>
      </c>
      <c r="M344" s="274">
        <v>-261004.0</v>
      </c>
      <c r="N344" s="274">
        <v>1797.0</v>
      </c>
      <c r="O344" s="274">
        <v>108600.0</v>
      </c>
      <c r="P344" s="274">
        <v>46000.0</v>
      </c>
      <c r="Q344" s="274">
        <v>-62600.0</v>
      </c>
      <c r="R344" s="275">
        <v>0.0</v>
      </c>
      <c r="S344" s="274">
        <v>124.0</v>
      </c>
      <c r="T344" s="275">
        <v>1.0</v>
      </c>
      <c r="U344" s="274">
        <v>0.0</v>
      </c>
    </row>
    <row r="345">
      <c r="A345" s="37" t="s">
        <v>2196</v>
      </c>
      <c r="B345" s="278">
        <v>45931.0</v>
      </c>
      <c r="C345" s="37" t="s">
        <v>163</v>
      </c>
      <c r="D345" s="37" t="s">
        <v>351</v>
      </c>
      <c r="E345" s="274">
        <v>39800.0</v>
      </c>
      <c r="F345" s="274">
        <v>80000.0</v>
      </c>
      <c r="G345" s="274">
        <v>82200.0</v>
      </c>
      <c r="H345" s="275">
        <v>1.0275</v>
      </c>
      <c r="I345" s="274">
        <v>40200.0</v>
      </c>
      <c r="J345" s="274">
        <v>42400.0</v>
      </c>
      <c r="K345" s="274">
        <v>42400.0</v>
      </c>
      <c r="L345" s="274">
        <v>0.0</v>
      </c>
      <c r="M345" s="274">
        <v>-49884.38500000001</v>
      </c>
      <c r="N345" s="274">
        <v>-2200.0</v>
      </c>
      <c r="O345" s="274">
        <v>164400.0</v>
      </c>
      <c r="P345" s="274">
        <v>79600.0</v>
      </c>
      <c r="Q345" s="274">
        <v>-84800.0</v>
      </c>
      <c r="R345" s="275">
        <v>0.0</v>
      </c>
      <c r="S345" s="274">
        <v>155.0</v>
      </c>
      <c r="T345" s="275">
        <v>1.0</v>
      </c>
      <c r="U345" s="274">
        <v>0.0</v>
      </c>
    </row>
    <row r="346">
      <c r="A346" s="37" t="s">
        <v>2196</v>
      </c>
      <c r="B346" s="278">
        <v>45931.0</v>
      </c>
      <c r="C346" s="37" t="s">
        <v>178</v>
      </c>
      <c r="D346" s="37" t="s">
        <v>331</v>
      </c>
      <c r="E346" s="274">
        <v>36000.0</v>
      </c>
      <c r="F346" s="274">
        <v>83000.0</v>
      </c>
      <c r="G346" s="274">
        <v>83000.0</v>
      </c>
      <c r="H346" s="275">
        <v>1.0</v>
      </c>
      <c r="I346" s="274">
        <v>47000.0</v>
      </c>
      <c r="J346" s="274">
        <v>47000.0</v>
      </c>
      <c r="K346" s="274">
        <v>46654.0</v>
      </c>
      <c r="L346" s="274">
        <v>0.0</v>
      </c>
      <c r="M346" s="274">
        <v>-114331.0</v>
      </c>
      <c r="N346" s="274">
        <v>346.0</v>
      </c>
      <c r="O346" s="274">
        <v>106000.0</v>
      </c>
      <c r="P346" s="274">
        <v>72000.0</v>
      </c>
      <c r="Q346" s="274">
        <v>-34000.0</v>
      </c>
      <c r="R346" s="275">
        <v>31.0</v>
      </c>
      <c r="S346" s="274">
        <v>155.0</v>
      </c>
      <c r="T346" s="275">
        <v>0.8</v>
      </c>
      <c r="U346" s="274">
        <v>0.0</v>
      </c>
    </row>
    <row r="347">
      <c r="A347" s="37" t="s">
        <v>2196</v>
      </c>
      <c r="B347" s="278">
        <v>45931.0</v>
      </c>
      <c r="C347" s="37" t="s">
        <v>188</v>
      </c>
      <c r="D347" s="37" t="s">
        <v>331</v>
      </c>
      <c r="E347" s="274">
        <v>50000.0</v>
      </c>
      <c r="F347" s="274">
        <v>114600.0</v>
      </c>
      <c r="G347" s="274">
        <v>114100.0</v>
      </c>
      <c r="H347" s="275">
        <v>0.9956369982547993</v>
      </c>
      <c r="I347" s="274">
        <v>64600.0</v>
      </c>
      <c r="J347" s="274">
        <v>64100.0</v>
      </c>
      <c r="K347" s="274">
        <v>63050.0</v>
      </c>
      <c r="L347" s="274">
        <v>-1050.0</v>
      </c>
      <c r="M347" s="274">
        <v>-427310.30000000005</v>
      </c>
      <c r="N347" s="274">
        <v>1550.0</v>
      </c>
      <c r="O347" s="274">
        <v>228200.0</v>
      </c>
      <c r="P347" s="274">
        <v>100000.0</v>
      </c>
      <c r="Q347" s="274">
        <v>-128200.0</v>
      </c>
      <c r="R347" s="275">
        <v>0.0</v>
      </c>
      <c r="S347" s="274">
        <v>217.0</v>
      </c>
      <c r="T347" s="275">
        <v>1.0</v>
      </c>
      <c r="U347" s="274">
        <v>0.0</v>
      </c>
    </row>
    <row r="348">
      <c r="A348" s="37" t="s">
        <v>2196</v>
      </c>
      <c r="B348" s="278">
        <v>45931.0</v>
      </c>
      <c r="C348" s="37" t="s">
        <v>209</v>
      </c>
      <c r="D348" s="37" t="s">
        <v>351</v>
      </c>
      <c r="E348" s="274">
        <v>33000.0</v>
      </c>
      <c r="F348" s="274">
        <v>78400.0</v>
      </c>
      <c r="G348" s="274">
        <v>78400.0</v>
      </c>
      <c r="H348" s="275">
        <v>1.0</v>
      </c>
      <c r="I348" s="274">
        <v>45400.0</v>
      </c>
      <c r="J348" s="274">
        <v>45400.0</v>
      </c>
      <c r="K348" s="274">
        <v>45400.0</v>
      </c>
      <c r="L348" s="274">
        <v>0.0</v>
      </c>
      <c r="M348" s="274">
        <v>-521749.0</v>
      </c>
      <c r="N348" s="274">
        <v>0.0</v>
      </c>
      <c r="O348" s="274">
        <v>156800.0</v>
      </c>
      <c r="P348" s="274">
        <v>66000.0</v>
      </c>
      <c r="Q348" s="274">
        <v>-90800.0</v>
      </c>
      <c r="R348" s="275">
        <v>0.0</v>
      </c>
      <c r="S348" s="274">
        <v>186.0</v>
      </c>
      <c r="T348" s="275">
        <v>1.0</v>
      </c>
      <c r="U348" s="274">
        <v>0.0</v>
      </c>
    </row>
    <row r="349">
      <c r="A349" s="37" t="s">
        <v>2196</v>
      </c>
      <c r="B349" s="278">
        <v>45931.0</v>
      </c>
      <c r="C349" s="37" t="s">
        <v>241</v>
      </c>
      <c r="D349" s="37" t="s">
        <v>331</v>
      </c>
      <c r="E349" s="274">
        <v>0.0</v>
      </c>
      <c r="F349" s="274">
        <v>0.0</v>
      </c>
      <c r="G349" s="274">
        <v>0.0</v>
      </c>
      <c r="H349" s="275">
        <v>0.0</v>
      </c>
      <c r="I349" s="274">
        <v>0.0</v>
      </c>
      <c r="J349" s="274">
        <v>0.0</v>
      </c>
      <c r="K349" s="274">
        <v>-396841.0</v>
      </c>
      <c r="L349" s="274">
        <v>0.0</v>
      </c>
      <c r="M349" s="274">
        <v>-397261.0</v>
      </c>
      <c r="N349" s="274">
        <v>396841.0</v>
      </c>
      <c r="O349" s="274">
        <v>0.0</v>
      </c>
      <c r="P349" s="274">
        <v>39600.0</v>
      </c>
      <c r="Q349" s="274">
        <v>39600.0</v>
      </c>
      <c r="R349" s="275">
        <v>0.0</v>
      </c>
      <c r="S349" s="274">
        <v>0.0</v>
      </c>
      <c r="T349" s="275">
        <v>0.0</v>
      </c>
      <c r="U349" s="274">
        <v>0.0</v>
      </c>
    </row>
    <row r="350">
      <c r="A350" s="37" t="s">
        <v>2196</v>
      </c>
      <c r="B350" s="278">
        <v>45931.0</v>
      </c>
      <c r="C350" s="37" t="s">
        <v>584</v>
      </c>
      <c r="D350" s="37" t="s">
        <v>331</v>
      </c>
      <c r="E350" s="274">
        <v>0.0</v>
      </c>
      <c r="F350" s="274">
        <v>0.0</v>
      </c>
      <c r="G350" s="274">
        <v>0.0</v>
      </c>
      <c r="H350" s="275">
        <v>0.0</v>
      </c>
      <c r="I350" s="274">
        <v>0.0</v>
      </c>
      <c r="J350" s="274">
        <v>0.0</v>
      </c>
      <c r="K350" s="274">
        <v>-32550.0</v>
      </c>
      <c r="L350" s="274">
        <v>0.0</v>
      </c>
      <c r="M350" s="274">
        <v>-32550.0</v>
      </c>
      <c r="N350" s="274">
        <v>32550.0</v>
      </c>
      <c r="O350" s="274">
        <v>0.0</v>
      </c>
      <c r="P350" s="274">
        <v>0.0</v>
      </c>
      <c r="Q350" s="274">
        <v>0.0</v>
      </c>
      <c r="R350" s="275">
        <v>0.0</v>
      </c>
      <c r="S350" s="274">
        <v>0.0</v>
      </c>
      <c r="T350" s="275">
        <v>0.0</v>
      </c>
      <c r="U350" s="274">
        <v>0.0</v>
      </c>
    </row>
    <row r="351">
      <c r="A351" s="37" t="s">
        <v>2196</v>
      </c>
      <c r="B351" s="278">
        <v>45931.0</v>
      </c>
      <c r="C351" s="37" t="s">
        <v>2197</v>
      </c>
      <c r="D351" s="37" t="s">
        <v>331</v>
      </c>
      <c r="E351" s="274">
        <v>0.0</v>
      </c>
      <c r="F351" s="274">
        <v>0.0</v>
      </c>
      <c r="G351" s="274">
        <v>6689.0</v>
      </c>
      <c r="H351" s="275">
        <v>0.0</v>
      </c>
      <c r="I351" s="274">
        <v>0.0</v>
      </c>
      <c r="J351" s="274">
        <v>6689.0</v>
      </c>
      <c r="K351" s="274">
        <v>-32250.0</v>
      </c>
      <c r="L351" s="274">
        <v>-6000.0</v>
      </c>
      <c r="M351" s="274">
        <v>-498816.0</v>
      </c>
      <c r="N351" s="274">
        <v>32250.0</v>
      </c>
      <c r="O351" s="274">
        <v>0.0</v>
      </c>
      <c r="P351" s="274">
        <v>0.0</v>
      </c>
      <c r="Q351" s="274">
        <v>0.0</v>
      </c>
      <c r="R351" s="275">
        <v>0.0</v>
      </c>
      <c r="S351" s="274">
        <v>0.0</v>
      </c>
      <c r="T351" s="275">
        <v>0.0</v>
      </c>
      <c r="U351" s="274">
        <v>400000.0</v>
      </c>
    </row>
    <row r="352">
      <c r="A352" s="37" t="s">
        <v>2196</v>
      </c>
      <c r="B352" s="278">
        <v>45931.0</v>
      </c>
      <c r="C352" s="37" t="s">
        <v>2198</v>
      </c>
      <c r="D352" s="37" t="s">
        <v>351</v>
      </c>
      <c r="E352" s="274">
        <v>0.0</v>
      </c>
      <c r="F352" s="274">
        <v>0.0</v>
      </c>
      <c r="G352" s="274">
        <v>0.0</v>
      </c>
      <c r="H352" s="275">
        <v>0.0</v>
      </c>
      <c r="I352" s="274">
        <v>0.0</v>
      </c>
      <c r="J352" s="274">
        <v>0.0</v>
      </c>
      <c r="K352" s="274">
        <v>-1950.0</v>
      </c>
      <c r="L352" s="274">
        <v>-1800.0</v>
      </c>
      <c r="M352" s="274">
        <v>-238806.0</v>
      </c>
      <c r="N352" s="274">
        <v>1950.0</v>
      </c>
      <c r="O352" s="274">
        <v>0.0</v>
      </c>
      <c r="P352" s="274">
        <v>0.0</v>
      </c>
      <c r="Q352" s="274">
        <v>0.0</v>
      </c>
      <c r="R352" s="275">
        <v>0.0</v>
      </c>
      <c r="S352" s="274">
        <v>0.0</v>
      </c>
      <c r="T352" s="275">
        <v>0.0</v>
      </c>
      <c r="U352" s="274">
        <v>100000.0</v>
      </c>
    </row>
    <row r="353">
      <c r="A353" s="37" t="s">
        <v>2196</v>
      </c>
      <c r="B353" s="278">
        <v>45962.0</v>
      </c>
      <c r="C353" s="37" t="s">
        <v>16</v>
      </c>
      <c r="D353" s="37" t="s">
        <v>331</v>
      </c>
      <c r="E353" s="274">
        <v>34000.0</v>
      </c>
      <c r="F353" s="274">
        <v>87000.0</v>
      </c>
      <c r="G353" s="274">
        <v>40600.0</v>
      </c>
      <c r="H353" s="275">
        <v>0.4666666666666667</v>
      </c>
      <c r="I353" s="274">
        <v>53000.0</v>
      </c>
      <c r="J353" s="274">
        <v>6600.0</v>
      </c>
      <c r="K353" s="274">
        <v>-31464.04</v>
      </c>
      <c r="L353" s="274">
        <v>0.0</v>
      </c>
      <c r="M353" s="274">
        <v>145157.96</v>
      </c>
      <c r="N353" s="274">
        <v>84464.04000000001</v>
      </c>
      <c r="O353" s="274">
        <v>107000.0</v>
      </c>
      <c r="P353" s="274">
        <v>68000.0</v>
      </c>
      <c r="Q353" s="274">
        <v>-39000.0</v>
      </c>
      <c r="R353" s="275">
        <v>27.0</v>
      </c>
      <c r="S353" s="274">
        <v>150.0</v>
      </c>
      <c r="T353" s="275">
        <v>0.8200000000000001</v>
      </c>
      <c r="U353" s="274">
        <v>0.0</v>
      </c>
    </row>
    <row r="354">
      <c r="A354" s="37" t="s">
        <v>2196</v>
      </c>
      <c r="B354" s="278">
        <v>45962.0</v>
      </c>
      <c r="C354" s="37" t="s">
        <v>27</v>
      </c>
      <c r="D354" s="37" t="s">
        <v>351</v>
      </c>
      <c r="E354" s="274">
        <v>45000.0</v>
      </c>
      <c r="F354" s="274">
        <v>92300.0</v>
      </c>
      <c r="G354" s="274">
        <v>78000.0</v>
      </c>
      <c r="H354" s="275">
        <v>0.8450704225352113</v>
      </c>
      <c r="I354" s="274">
        <v>47300.0</v>
      </c>
      <c r="J354" s="274">
        <v>33000.0</v>
      </c>
      <c r="K354" s="274">
        <v>33000.0</v>
      </c>
      <c r="L354" s="274">
        <v>0.0</v>
      </c>
      <c r="M354" s="274">
        <v>344790.0</v>
      </c>
      <c r="N354" s="274">
        <v>14300.0</v>
      </c>
      <c r="O354" s="274">
        <v>159400.0</v>
      </c>
      <c r="P354" s="274">
        <v>90000.0</v>
      </c>
      <c r="Q354" s="274">
        <v>-69400.0</v>
      </c>
      <c r="R354" s="275">
        <v>7.0</v>
      </c>
      <c r="S354" s="274">
        <v>210.0</v>
      </c>
      <c r="T354" s="275">
        <v>0.9666666666666667</v>
      </c>
      <c r="U354" s="274">
        <v>0.0</v>
      </c>
    </row>
    <row r="355">
      <c r="A355" s="37" t="s">
        <v>2196</v>
      </c>
      <c r="B355" s="278">
        <v>45962.0</v>
      </c>
      <c r="C355" s="37" t="s">
        <v>41</v>
      </c>
      <c r="D355" s="37" t="s">
        <v>331</v>
      </c>
      <c r="E355" s="274">
        <v>27000.0</v>
      </c>
      <c r="F355" s="274">
        <v>70900.0</v>
      </c>
      <c r="G355" s="274">
        <v>63800.0</v>
      </c>
      <c r="H355" s="275">
        <v>0.8998589562764457</v>
      </c>
      <c r="I355" s="274">
        <v>43900.0</v>
      </c>
      <c r="J355" s="274">
        <v>36800.0</v>
      </c>
      <c r="K355" s="274">
        <v>34511.0</v>
      </c>
      <c r="L355" s="274">
        <v>0.0</v>
      </c>
      <c r="M355" s="274">
        <v>527051.0</v>
      </c>
      <c r="N355" s="274">
        <v>9389.0</v>
      </c>
      <c r="O355" s="274">
        <v>113200.0</v>
      </c>
      <c r="P355" s="274">
        <v>54000.0</v>
      </c>
      <c r="Q355" s="274">
        <v>-59200.0</v>
      </c>
      <c r="R355" s="275">
        <v>12.0</v>
      </c>
      <c r="S355" s="274">
        <v>150.0</v>
      </c>
      <c r="T355" s="275">
        <v>0.92</v>
      </c>
      <c r="U355" s="274">
        <v>0.0</v>
      </c>
    </row>
    <row r="356">
      <c r="A356" s="37" t="s">
        <v>2196</v>
      </c>
      <c r="B356" s="278">
        <v>45962.0</v>
      </c>
      <c r="C356" s="37" t="s">
        <v>56</v>
      </c>
      <c r="D356" s="37" t="s">
        <v>331</v>
      </c>
      <c r="E356" s="274">
        <v>26000.0</v>
      </c>
      <c r="F356" s="274">
        <v>50900.0</v>
      </c>
      <c r="G356" s="274">
        <v>57000.0</v>
      </c>
      <c r="H356" s="275">
        <v>1.119842829076621</v>
      </c>
      <c r="I356" s="274">
        <v>24900.0</v>
      </c>
      <c r="J356" s="274">
        <v>31000.0</v>
      </c>
      <c r="K356" s="274">
        <v>28000.0</v>
      </c>
      <c r="L356" s="274">
        <v>-3000.0</v>
      </c>
      <c r="M356" s="274">
        <v>102451.0</v>
      </c>
      <c r="N356" s="274">
        <v>-3100.0</v>
      </c>
      <c r="O356" s="274">
        <v>100800.0</v>
      </c>
      <c r="P356" s="274">
        <v>52000.0</v>
      </c>
      <c r="Q356" s="274">
        <v>-48800.0</v>
      </c>
      <c r="R356" s="275">
        <v>0.0</v>
      </c>
      <c r="S356" s="274">
        <v>120.0</v>
      </c>
      <c r="T356" s="275">
        <v>1.0</v>
      </c>
      <c r="U356" s="274">
        <v>0.0</v>
      </c>
    </row>
    <row r="357">
      <c r="A357" s="37" t="s">
        <v>2196</v>
      </c>
      <c r="B357" s="278">
        <v>45962.0</v>
      </c>
      <c r="C357" s="37" t="s">
        <v>69</v>
      </c>
      <c r="D357" s="37" t="s">
        <v>331</v>
      </c>
      <c r="E357" s="274">
        <v>25600.0</v>
      </c>
      <c r="F357" s="274">
        <v>85900.0</v>
      </c>
      <c r="G357" s="274">
        <v>98400.0</v>
      </c>
      <c r="H357" s="275">
        <v>1.1455180442374855</v>
      </c>
      <c r="I357" s="274">
        <v>60300.0</v>
      </c>
      <c r="J357" s="274">
        <v>72800.0</v>
      </c>
      <c r="K357" s="274">
        <v>72800.0</v>
      </c>
      <c r="L357" s="274">
        <v>0.0</v>
      </c>
      <c r="M357" s="274">
        <v>489141.0</v>
      </c>
      <c r="N357" s="274">
        <v>-12500.0</v>
      </c>
      <c r="O357" s="274">
        <v>170800.0</v>
      </c>
      <c r="P357" s="274">
        <v>51200.0</v>
      </c>
      <c r="Q357" s="274">
        <v>-119600.0</v>
      </c>
      <c r="R357" s="275">
        <v>0.0</v>
      </c>
      <c r="S357" s="274">
        <v>150.0</v>
      </c>
      <c r="T357" s="275">
        <v>1.0</v>
      </c>
      <c r="U357" s="274">
        <v>0.0</v>
      </c>
    </row>
    <row r="358">
      <c r="A358" s="37" t="s">
        <v>2196</v>
      </c>
      <c r="B358" s="278">
        <v>45962.0</v>
      </c>
      <c r="C358" s="37" t="s">
        <v>82</v>
      </c>
      <c r="D358" s="37" t="s">
        <v>331</v>
      </c>
      <c r="E358" s="274">
        <v>38800.0</v>
      </c>
      <c r="F358" s="274">
        <v>106700.0</v>
      </c>
      <c r="G358" s="274">
        <v>85400.0</v>
      </c>
      <c r="H358" s="275">
        <v>0.8003748828491096</v>
      </c>
      <c r="I358" s="274">
        <v>67900.0</v>
      </c>
      <c r="J358" s="274">
        <v>46600.0</v>
      </c>
      <c r="K358" s="274">
        <v>45550.0</v>
      </c>
      <c r="L358" s="274">
        <v>-1050.0</v>
      </c>
      <c r="M358" s="274">
        <v>797645.0</v>
      </c>
      <c r="N358" s="274">
        <v>22350.0</v>
      </c>
      <c r="O358" s="274">
        <v>207400.0</v>
      </c>
      <c r="P358" s="274">
        <v>77600.0</v>
      </c>
      <c r="Q358" s="274">
        <v>-129800.0</v>
      </c>
      <c r="R358" s="275">
        <v>0.0</v>
      </c>
      <c r="S358" s="274">
        <v>210.0</v>
      </c>
      <c r="T358" s="275">
        <v>1.0</v>
      </c>
      <c r="U358" s="274">
        <v>0.0</v>
      </c>
    </row>
    <row r="359">
      <c r="A359" s="37" t="s">
        <v>2196</v>
      </c>
      <c r="B359" s="278">
        <v>45962.0</v>
      </c>
      <c r="C359" s="37" t="s">
        <v>101</v>
      </c>
      <c r="D359" s="37" t="s">
        <v>351</v>
      </c>
      <c r="E359" s="274">
        <v>28800.0</v>
      </c>
      <c r="F359" s="274">
        <v>58500.0</v>
      </c>
      <c r="G359" s="274">
        <v>24400.0</v>
      </c>
      <c r="H359" s="275">
        <v>0.4170940170940171</v>
      </c>
      <c r="I359" s="274">
        <v>29700.0</v>
      </c>
      <c r="J359" s="274">
        <v>-4400.0</v>
      </c>
      <c r="K359" s="274">
        <v>-4400.0</v>
      </c>
      <c r="L359" s="274">
        <v>0.0</v>
      </c>
      <c r="M359" s="274">
        <v>645199.0</v>
      </c>
      <c r="N359" s="274">
        <v>34100.0</v>
      </c>
      <c r="O359" s="274">
        <v>117000.0</v>
      </c>
      <c r="P359" s="274">
        <v>57600.0</v>
      </c>
      <c r="Q359" s="274">
        <v>-59400.0</v>
      </c>
      <c r="R359" s="275">
        <v>0.0</v>
      </c>
      <c r="S359" s="274">
        <v>120.0</v>
      </c>
      <c r="T359" s="275">
        <v>1.0</v>
      </c>
      <c r="U359" s="274">
        <v>0.0</v>
      </c>
    </row>
    <row r="360">
      <c r="A360" s="37" t="s">
        <v>2196</v>
      </c>
      <c r="B360" s="278">
        <v>45962.0</v>
      </c>
      <c r="C360" s="37" t="s">
        <v>110</v>
      </c>
      <c r="D360" s="37" t="s">
        <v>331</v>
      </c>
      <c r="E360" s="274">
        <v>36500.0</v>
      </c>
      <c r="F360" s="274">
        <v>67600.0</v>
      </c>
      <c r="G360" s="274">
        <v>65600.0</v>
      </c>
      <c r="H360" s="275">
        <v>0.9704142011834319</v>
      </c>
      <c r="I360" s="274">
        <v>31100.0</v>
      </c>
      <c r="J360" s="274">
        <v>29100.0</v>
      </c>
      <c r="K360" s="274">
        <v>27288.0</v>
      </c>
      <c r="L360" s="274">
        <v>-1272.0</v>
      </c>
      <c r="M360" s="274">
        <v>-67887.0</v>
      </c>
      <c r="N360" s="274">
        <v>3812.0</v>
      </c>
      <c r="O360" s="274">
        <v>131200.0</v>
      </c>
      <c r="P360" s="274">
        <v>73000.0</v>
      </c>
      <c r="Q360" s="274">
        <v>-58200.0</v>
      </c>
      <c r="R360" s="275">
        <v>0.0</v>
      </c>
      <c r="S360" s="274">
        <v>150.0</v>
      </c>
      <c r="T360" s="275">
        <v>1.0</v>
      </c>
      <c r="U360" s="274">
        <v>0.0</v>
      </c>
    </row>
    <row r="361">
      <c r="A361" s="37" t="s">
        <v>2196</v>
      </c>
      <c r="B361" s="278">
        <v>45962.0</v>
      </c>
      <c r="C361" s="37" t="s">
        <v>119</v>
      </c>
      <c r="D361" s="37" t="s">
        <v>331</v>
      </c>
      <c r="E361" s="274">
        <v>12000.0</v>
      </c>
      <c r="F361" s="274">
        <v>22000.0</v>
      </c>
      <c r="G361" s="274">
        <v>22000.0</v>
      </c>
      <c r="H361" s="275">
        <v>1.0</v>
      </c>
      <c r="I361" s="274">
        <v>10000.0</v>
      </c>
      <c r="J361" s="274">
        <v>10000.0</v>
      </c>
      <c r="K361" s="274">
        <v>10000.0</v>
      </c>
      <c r="L361" s="274">
        <v>0.0</v>
      </c>
      <c r="M361" s="274">
        <v>86619.0</v>
      </c>
      <c r="N361" s="274">
        <v>0.0</v>
      </c>
      <c r="O361" s="274">
        <v>44000.0</v>
      </c>
      <c r="P361" s="274">
        <v>24000.0</v>
      </c>
      <c r="Q361" s="274">
        <v>-20000.0</v>
      </c>
      <c r="R361" s="275">
        <v>0.0</v>
      </c>
      <c r="S361" s="274">
        <v>30.0</v>
      </c>
      <c r="T361" s="275">
        <v>1.0</v>
      </c>
      <c r="U361" s="274">
        <v>0.0</v>
      </c>
    </row>
    <row r="362">
      <c r="A362" s="37" t="s">
        <v>2196</v>
      </c>
      <c r="B362" s="278">
        <v>45962.0</v>
      </c>
      <c r="C362" s="37" t="s">
        <v>122</v>
      </c>
      <c r="D362" s="37" t="s">
        <v>331</v>
      </c>
      <c r="E362" s="274">
        <v>35500.0</v>
      </c>
      <c r="F362" s="274">
        <v>58400.0</v>
      </c>
      <c r="G362" s="274">
        <v>58400.0</v>
      </c>
      <c r="H362" s="275">
        <v>1.0</v>
      </c>
      <c r="I362" s="274">
        <v>22900.0</v>
      </c>
      <c r="J362" s="274">
        <v>22900.0</v>
      </c>
      <c r="K362" s="274">
        <v>22100.0</v>
      </c>
      <c r="L362" s="274">
        <v>-800.0</v>
      </c>
      <c r="M362" s="274">
        <v>-9527.0</v>
      </c>
      <c r="N362" s="274">
        <v>800.0</v>
      </c>
      <c r="O362" s="274">
        <v>116800.0</v>
      </c>
      <c r="P362" s="274">
        <v>71000.0</v>
      </c>
      <c r="Q362" s="274">
        <v>-45800.0</v>
      </c>
      <c r="R362" s="275">
        <v>0.0</v>
      </c>
      <c r="S362" s="274">
        <v>120.0</v>
      </c>
      <c r="T362" s="275">
        <v>1.0</v>
      </c>
      <c r="U362" s="274">
        <v>0.0</v>
      </c>
    </row>
    <row r="363">
      <c r="A363" s="37" t="s">
        <v>2196</v>
      </c>
      <c r="B363" s="278">
        <v>45962.0</v>
      </c>
      <c r="C363" s="37" t="s">
        <v>135</v>
      </c>
      <c r="D363" s="37" t="s">
        <v>331</v>
      </c>
      <c r="E363" s="274">
        <v>25000.0</v>
      </c>
      <c r="F363" s="274">
        <v>66000.0</v>
      </c>
      <c r="G363" s="274">
        <v>50320.0</v>
      </c>
      <c r="H363" s="275">
        <v>0.7624242424242424</v>
      </c>
      <c r="I363" s="274">
        <v>41000.0</v>
      </c>
      <c r="J363" s="274">
        <v>25320.0</v>
      </c>
      <c r="K363" s="274">
        <v>16676.0</v>
      </c>
      <c r="L363" s="274">
        <v>0.0</v>
      </c>
      <c r="M363" s="274">
        <v>1637.0</v>
      </c>
      <c r="N363" s="274">
        <v>24324.0</v>
      </c>
      <c r="O363" s="274">
        <v>128400.0</v>
      </c>
      <c r="P363" s="274">
        <v>50000.0</v>
      </c>
      <c r="Q363" s="274">
        <v>-78400.0</v>
      </c>
      <c r="R363" s="275">
        <v>3.0</v>
      </c>
      <c r="S363" s="274">
        <v>150.0</v>
      </c>
      <c r="T363" s="275">
        <v>0.98</v>
      </c>
      <c r="U363" s="274">
        <v>0.0</v>
      </c>
    </row>
    <row r="364">
      <c r="A364" s="37" t="s">
        <v>2196</v>
      </c>
      <c r="B364" s="278">
        <v>45962.0</v>
      </c>
      <c r="C364" s="37" t="s">
        <v>150</v>
      </c>
      <c r="D364" s="37" t="s">
        <v>331</v>
      </c>
      <c r="E364" s="274">
        <v>23000.0</v>
      </c>
      <c r="F364" s="274">
        <v>54900.0</v>
      </c>
      <c r="G364" s="274">
        <v>54300.0</v>
      </c>
      <c r="H364" s="275">
        <v>0.9890710382513661</v>
      </c>
      <c r="I364" s="274">
        <v>31900.0</v>
      </c>
      <c r="J364" s="274">
        <v>31300.0</v>
      </c>
      <c r="K364" s="274">
        <v>31300.0</v>
      </c>
      <c r="L364" s="274">
        <v>0.0</v>
      </c>
      <c r="M364" s="274">
        <v>-229704.0</v>
      </c>
      <c r="N364" s="274">
        <v>600.0</v>
      </c>
      <c r="O364" s="274">
        <v>108600.0</v>
      </c>
      <c r="P364" s="274">
        <v>46000.0</v>
      </c>
      <c r="Q364" s="274">
        <v>-62600.0</v>
      </c>
      <c r="R364" s="275">
        <v>0.0</v>
      </c>
      <c r="S364" s="274">
        <v>120.0</v>
      </c>
      <c r="T364" s="275">
        <v>1.0</v>
      </c>
      <c r="U364" s="274">
        <v>0.0</v>
      </c>
    </row>
    <row r="365">
      <c r="A365" s="37" t="s">
        <v>2196</v>
      </c>
      <c r="B365" s="278">
        <v>45962.0</v>
      </c>
      <c r="C365" s="37" t="s">
        <v>163</v>
      </c>
      <c r="D365" s="37" t="s">
        <v>351</v>
      </c>
      <c r="E365" s="274">
        <v>39800.0</v>
      </c>
      <c r="F365" s="274">
        <v>80000.0</v>
      </c>
      <c r="G365" s="274">
        <v>68200.0</v>
      </c>
      <c r="H365" s="275">
        <v>0.8525</v>
      </c>
      <c r="I365" s="274">
        <v>40200.0</v>
      </c>
      <c r="J365" s="274">
        <v>28400.0</v>
      </c>
      <c r="K365" s="274">
        <v>28400.0</v>
      </c>
      <c r="L365" s="274">
        <v>0.0</v>
      </c>
      <c r="M365" s="274">
        <v>-21484.38500000001</v>
      </c>
      <c r="N365" s="274">
        <v>11800.0</v>
      </c>
      <c r="O365" s="274">
        <v>164400.0</v>
      </c>
      <c r="P365" s="274">
        <v>79600.0</v>
      </c>
      <c r="Q365" s="274">
        <v>-84800.0</v>
      </c>
      <c r="R365" s="275">
        <v>0.0</v>
      </c>
      <c r="S365" s="274">
        <v>150.0</v>
      </c>
      <c r="T365" s="275">
        <v>1.0</v>
      </c>
      <c r="U365" s="274">
        <v>0.0</v>
      </c>
    </row>
    <row r="366">
      <c r="A366" s="37" t="s">
        <v>2196</v>
      </c>
      <c r="B366" s="278">
        <v>45962.0</v>
      </c>
      <c r="C366" s="37" t="s">
        <v>178</v>
      </c>
      <c r="D366" s="37" t="s">
        <v>331</v>
      </c>
      <c r="E366" s="274">
        <v>36000.0</v>
      </c>
      <c r="F366" s="274">
        <v>83000.0</v>
      </c>
      <c r="G366" s="274">
        <v>94500.0</v>
      </c>
      <c r="H366" s="275">
        <v>1.1385542168674698</v>
      </c>
      <c r="I366" s="274">
        <v>47000.0</v>
      </c>
      <c r="J366" s="274">
        <v>58500.0</v>
      </c>
      <c r="K366" s="274">
        <v>52235.0</v>
      </c>
      <c r="L366" s="274">
        <v>-3420.0</v>
      </c>
      <c r="M366" s="274">
        <v>-62096.0</v>
      </c>
      <c r="N366" s="274">
        <v>-5235.0</v>
      </c>
      <c r="O366" s="274">
        <v>106000.0</v>
      </c>
      <c r="P366" s="274">
        <v>72000.0</v>
      </c>
      <c r="Q366" s="274">
        <v>-34000.0</v>
      </c>
      <c r="R366" s="275">
        <v>30.0</v>
      </c>
      <c r="S366" s="274">
        <v>150.0</v>
      </c>
      <c r="T366" s="275">
        <v>0.8</v>
      </c>
      <c r="U366" s="274">
        <v>0.0</v>
      </c>
    </row>
    <row r="367">
      <c r="A367" s="37" t="s">
        <v>2196</v>
      </c>
      <c r="B367" s="278">
        <v>45962.0</v>
      </c>
      <c r="C367" s="37" t="s">
        <v>188</v>
      </c>
      <c r="D367" s="37" t="s">
        <v>331</v>
      </c>
      <c r="E367" s="274">
        <v>50000.0</v>
      </c>
      <c r="F367" s="274">
        <v>114600.0</v>
      </c>
      <c r="G367" s="274">
        <v>99300.0</v>
      </c>
      <c r="H367" s="275">
        <v>0.8664921465968587</v>
      </c>
      <c r="I367" s="274">
        <v>64600.0</v>
      </c>
      <c r="J367" s="274">
        <v>49300.0</v>
      </c>
      <c r="K367" s="274">
        <v>42750.0</v>
      </c>
      <c r="L367" s="274">
        <v>-1050.0</v>
      </c>
      <c r="M367" s="274">
        <v>-384560.30000000005</v>
      </c>
      <c r="N367" s="274">
        <v>21850.0</v>
      </c>
      <c r="O367" s="274">
        <v>228200.0</v>
      </c>
      <c r="P367" s="274">
        <v>100000.0</v>
      </c>
      <c r="Q367" s="274">
        <v>-128200.0</v>
      </c>
      <c r="R367" s="275">
        <v>0.0</v>
      </c>
      <c r="S367" s="274">
        <v>210.0</v>
      </c>
      <c r="T367" s="275">
        <v>1.0</v>
      </c>
      <c r="U367" s="274">
        <v>0.0</v>
      </c>
    </row>
    <row r="368">
      <c r="A368" s="37" t="s">
        <v>2196</v>
      </c>
      <c r="B368" s="278">
        <v>45962.0</v>
      </c>
      <c r="C368" s="37" t="s">
        <v>209</v>
      </c>
      <c r="D368" s="37" t="s">
        <v>351</v>
      </c>
      <c r="E368" s="274">
        <v>33000.0</v>
      </c>
      <c r="F368" s="274">
        <v>78400.0</v>
      </c>
      <c r="G368" s="274">
        <v>78400.0</v>
      </c>
      <c r="H368" s="275">
        <v>1.0</v>
      </c>
      <c r="I368" s="274">
        <v>45400.0</v>
      </c>
      <c r="J368" s="274">
        <v>45400.0</v>
      </c>
      <c r="K368" s="274">
        <v>45400.0</v>
      </c>
      <c r="L368" s="274">
        <v>0.0</v>
      </c>
      <c r="M368" s="274">
        <v>-476349.0</v>
      </c>
      <c r="N368" s="274">
        <v>0.0</v>
      </c>
      <c r="O368" s="274">
        <v>156800.0</v>
      </c>
      <c r="P368" s="274">
        <v>66000.0</v>
      </c>
      <c r="Q368" s="274">
        <v>-90800.0</v>
      </c>
      <c r="R368" s="275">
        <v>0.0</v>
      </c>
      <c r="S368" s="274">
        <v>180.0</v>
      </c>
      <c r="T368" s="275">
        <v>1.0</v>
      </c>
      <c r="U368" s="274">
        <v>0.0</v>
      </c>
    </row>
    <row r="369">
      <c r="A369" s="37" t="s">
        <v>2196</v>
      </c>
      <c r="B369" s="278">
        <v>45962.0</v>
      </c>
      <c r="C369" s="37" t="s">
        <v>241</v>
      </c>
      <c r="D369" s="37" t="s">
        <v>331</v>
      </c>
      <c r="E369" s="274">
        <v>0.0</v>
      </c>
      <c r="F369" s="274">
        <v>0.0</v>
      </c>
      <c r="G369" s="274">
        <v>0.0</v>
      </c>
      <c r="H369" s="275">
        <v>0.0</v>
      </c>
      <c r="I369" s="274">
        <v>0.0</v>
      </c>
      <c r="J369" s="274">
        <v>0.0</v>
      </c>
      <c r="K369" s="274">
        <v>-379662.89</v>
      </c>
      <c r="L369" s="274">
        <v>-598.5</v>
      </c>
      <c r="M369" s="274">
        <v>-776923.89</v>
      </c>
      <c r="N369" s="274">
        <v>379662.89</v>
      </c>
      <c r="O369" s="274">
        <v>0.0</v>
      </c>
      <c r="P369" s="274">
        <v>39600.0</v>
      </c>
      <c r="Q369" s="274">
        <v>39600.0</v>
      </c>
      <c r="R369" s="275">
        <v>0.0</v>
      </c>
      <c r="S369" s="274">
        <v>0.0</v>
      </c>
      <c r="T369" s="275">
        <v>0.0</v>
      </c>
      <c r="U369" s="274">
        <v>0.0</v>
      </c>
    </row>
    <row r="370">
      <c r="A370" s="37" t="s">
        <v>2196</v>
      </c>
      <c r="B370" s="278">
        <v>45962.0</v>
      </c>
      <c r="C370" s="37" t="s">
        <v>2197</v>
      </c>
      <c r="D370" s="37" t="s">
        <v>331</v>
      </c>
      <c r="E370" s="274">
        <v>0.0</v>
      </c>
      <c r="F370" s="274">
        <v>0.0</v>
      </c>
      <c r="G370" s="274">
        <v>36250.0</v>
      </c>
      <c r="H370" s="275">
        <v>0.0</v>
      </c>
      <c r="I370" s="274">
        <v>0.0</v>
      </c>
      <c r="J370" s="274">
        <v>36250.0</v>
      </c>
      <c r="K370" s="274">
        <v>12931.0</v>
      </c>
      <c r="L370" s="274">
        <v>-7313.0</v>
      </c>
      <c r="M370" s="274">
        <v>-485885.0</v>
      </c>
      <c r="N370" s="274">
        <v>-12931.0</v>
      </c>
      <c r="O370" s="274">
        <v>0.0</v>
      </c>
      <c r="P370" s="274">
        <v>0.0</v>
      </c>
      <c r="Q370" s="274">
        <v>0.0</v>
      </c>
      <c r="R370" s="275">
        <v>0.0</v>
      </c>
      <c r="S370" s="274">
        <v>0.0</v>
      </c>
      <c r="T370" s="275">
        <v>0.0</v>
      </c>
      <c r="U370" s="274">
        <v>0.0</v>
      </c>
    </row>
    <row r="371">
      <c r="A371" s="37" t="s">
        <v>2196</v>
      </c>
      <c r="B371" s="278">
        <v>45962.0</v>
      </c>
      <c r="C371" s="37" t="s">
        <v>2198</v>
      </c>
      <c r="D371" s="37" t="s">
        <v>351</v>
      </c>
      <c r="E371" s="274">
        <v>0.0</v>
      </c>
      <c r="F371" s="274">
        <v>0.0</v>
      </c>
      <c r="G371" s="274">
        <v>0.0</v>
      </c>
      <c r="H371" s="275">
        <v>0.0</v>
      </c>
      <c r="I371" s="274">
        <v>0.0</v>
      </c>
      <c r="J371" s="274">
        <v>0.0</v>
      </c>
      <c r="K371" s="274">
        <v>-150.0</v>
      </c>
      <c r="L371" s="274">
        <v>0.0</v>
      </c>
      <c r="M371" s="274">
        <v>-238956.0</v>
      </c>
      <c r="N371" s="274">
        <v>150.0</v>
      </c>
      <c r="O371" s="274">
        <v>0.0</v>
      </c>
      <c r="P371" s="274">
        <v>0.0</v>
      </c>
      <c r="Q371" s="274">
        <v>0.0</v>
      </c>
      <c r="R371" s="275">
        <v>0.0</v>
      </c>
      <c r="S371" s="274">
        <v>0.0</v>
      </c>
      <c r="T371" s="275">
        <v>0.0</v>
      </c>
      <c r="U371" s="274">
        <v>100000.0</v>
      </c>
    </row>
    <row r="372">
      <c r="A372" s="37" t="s">
        <v>2196</v>
      </c>
      <c r="B372" s="278">
        <v>45992.0</v>
      </c>
      <c r="C372" s="37" t="s">
        <v>16</v>
      </c>
      <c r="D372" s="37" t="s">
        <v>331</v>
      </c>
      <c r="E372" s="274">
        <v>34000.0</v>
      </c>
      <c r="F372" s="274">
        <v>87000.0</v>
      </c>
      <c r="G372" s="274">
        <v>58774.0</v>
      </c>
      <c r="H372" s="275">
        <v>0.6755632183908046</v>
      </c>
      <c r="I372" s="274">
        <v>53000.0</v>
      </c>
      <c r="J372" s="274">
        <v>24774.0</v>
      </c>
      <c r="K372" s="274">
        <v>23724.0</v>
      </c>
      <c r="L372" s="274">
        <v>0.0</v>
      </c>
      <c r="M372" s="274">
        <v>168881.96</v>
      </c>
      <c r="N372" s="274">
        <v>29276.0</v>
      </c>
      <c r="O372" s="274">
        <v>166600.0</v>
      </c>
      <c r="P372" s="274">
        <v>68000.0</v>
      </c>
      <c r="Q372" s="274">
        <v>-98600.0</v>
      </c>
      <c r="R372" s="275">
        <v>17.0</v>
      </c>
      <c r="S372" s="274">
        <v>155.0</v>
      </c>
      <c r="T372" s="275">
        <v>0.8903225806451613</v>
      </c>
      <c r="U372" s="274">
        <v>0.0</v>
      </c>
    </row>
    <row r="373">
      <c r="A373" s="37" t="s">
        <v>2196</v>
      </c>
      <c r="B373" s="278">
        <v>45992.0</v>
      </c>
      <c r="C373" s="37" t="s">
        <v>27</v>
      </c>
      <c r="D373" s="37" t="s">
        <v>351</v>
      </c>
      <c r="E373" s="274">
        <v>45000.0</v>
      </c>
      <c r="F373" s="274">
        <v>92300.0</v>
      </c>
      <c r="G373" s="274">
        <v>154900.0</v>
      </c>
      <c r="H373" s="275">
        <v>1.6782231852654388</v>
      </c>
      <c r="I373" s="274">
        <v>47300.0</v>
      </c>
      <c r="J373" s="274">
        <v>109900.0</v>
      </c>
      <c r="K373" s="274">
        <v>107203.0</v>
      </c>
      <c r="L373" s="274">
        <v>-2697.0</v>
      </c>
      <c r="M373" s="274">
        <v>451993.0</v>
      </c>
      <c r="N373" s="274">
        <v>-59903.0</v>
      </c>
      <c r="O373" s="274">
        <v>184000.0</v>
      </c>
      <c r="P373" s="274">
        <v>90000.0</v>
      </c>
      <c r="Q373" s="274">
        <v>-94000.0</v>
      </c>
      <c r="R373" s="275">
        <v>14.0</v>
      </c>
      <c r="S373" s="274">
        <v>217.0</v>
      </c>
      <c r="T373" s="275">
        <v>0.935483870967742</v>
      </c>
      <c r="U373" s="274">
        <v>0.0</v>
      </c>
    </row>
    <row r="374">
      <c r="A374" s="37" t="s">
        <v>2196</v>
      </c>
      <c r="B374" s="278">
        <v>45992.0</v>
      </c>
      <c r="C374" s="37" t="s">
        <v>41</v>
      </c>
      <c r="D374" s="37" t="s">
        <v>331</v>
      </c>
      <c r="E374" s="274">
        <v>27000.0</v>
      </c>
      <c r="F374" s="274">
        <v>70900.0</v>
      </c>
      <c r="G374" s="274">
        <v>70397.0</v>
      </c>
      <c r="H374" s="275">
        <v>0.9929055007052187</v>
      </c>
      <c r="I374" s="274">
        <v>43900.0</v>
      </c>
      <c r="J374" s="274">
        <v>43397.0</v>
      </c>
      <c r="K374" s="274">
        <v>43193.0</v>
      </c>
      <c r="L374" s="274">
        <v>0.0</v>
      </c>
      <c r="M374" s="274">
        <v>570244.0</v>
      </c>
      <c r="N374" s="274">
        <v>707.0</v>
      </c>
      <c r="O374" s="274">
        <v>136200.0</v>
      </c>
      <c r="P374" s="274">
        <v>54000.0</v>
      </c>
      <c r="Q374" s="274">
        <v>-82200.0</v>
      </c>
      <c r="R374" s="275">
        <v>24.0</v>
      </c>
      <c r="S374" s="274">
        <v>155.0</v>
      </c>
      <c r="T374" s="275">
        <v>0.8451612903225807</v>
      </c>
      <c r="U374" s="274">
        <v>0.0</v>
      </c>
    </row>
    <row r="375">
      <c r="A375" s="37" t="s">
        <v>2196</v>
      </c>
      <c r="B375" s="278">
        <v>45992.0</v>
      </c>
      <c r="C375" s="37" t="s">
        <v>56</v>
      </c>
      <c r="D375" s="37" t="s">
        <v>331</v>
      </c>
      <c r="E375" s="274">
        <v>26000.0</v>
      </c>
      <c r="F375" s="274">
        <v>50900.0</v>
      </c>
      <c r="G375" s="274">
        <v>50400.0</v>
      </c>
      <c r="H375" s="275">
        <v>0.9901768172888016</v>
      </c>
      <c r="I375" s="274">
        <v>24900.0</v>
      </c>
      <c r="J375" s="274">
        <v>24400.0</v>
      </c>
      <c r="K375" s="274">
        <v>24400.0</v>
      </c>
      <c r="L375" s="274">
        <v>0.0</v>
      </c>
      <c r="M375" s="274">
        <v>126851.0</v>
      </c>
      <c r="N375" s="274">
        <v>500.0</v>
      </c>
      <c r="O375" s="274">
        <v>100800.0</v>
      </c>
      <c r="P375" s="274">
        <v>52000.0</v>
      </c>
      <c r="Q375" s="274">
        <v>-48800.0</v>
      </c>
      <c r="R375" s="275">
        <v>0.0</v>
      </c>
      <c r="S375" s="274">
        <v>124.0</v>
      </c>
      <c r="T375" s="275">
        <v>1.0</v>
      </c>
      <c r="U375" s="274">
        <v>0.0</v>
      </c>
    </row>
    <row r="376">
      <c r="A376" s="37" t="s">
        <v>2196</v>
      </c>
      <c r="B376" s="278">
        <v>45992.0</v>
      </c>
      <c r="C376" s="37" t="s">
        <v>69</v>
      </c>
      <c r="D376" s="37" t="s">
        <v>331</v>
      </c>
      <c r="E376" s="274">
        <v>25600.0</v>
      </c>
      <c r="F376" s="274">
        <v>85900.0</v>
      </c>
      <c r="G376" s="274">
        <v>85400.0</v>
      </c>
      <c r="H376" s="275">
        <v>0.9941792782305006</v>
      </c>
      <c r="I376" s="274">
        <v>60300.0</v>
      </c>
      <c r="J376" s="274">
        <v>59800.0</v>
      </c>
      <c r="K376" s="274">
        <v>54205.0</v>
      </c>
      <c r="L376" s="274">
        <v>-5595.0</v>
      </c>
      <c r="M376" s="274">
        <v>543346.0</v>
      </c>
      <c r="N376" s="274">
        <v>6095.0</v>
      </c>
      <c r="O376" s="274">
        <v>170800.0</v>
      </c>
      <c r="P376" s="274">
        <v>51200.0</v>
      </c>
      <c r="Q376" s="274">
        <v>-119600.0</v>
      </c>
      <c r="R376" s="275">
        <v>0.0</v>
      </c>
      <c r="S376" s="274">
        <v>155.0</v>
      </c>
      <c r="T376" s="275">
        <v>1.0</v>
      </c>
      <c r="U376" s="274">
        <v>0.0</v>
      </c>
    </row>
    <row r="377">
      <c r="A377" s="37" t="s">
        <v>2196</v>
      </c>
      <c r="B377" s="278">
        <v>45992.0</v>
      </c>
      <c r="C377" s="37" t="s">
        <v>82</v>
      </c>
      <c r="D377" s="37" t="s">
        <v>331</v>
      </c>
      <c r="E377" s="274">
        <v>38800.0</v>
      </c>
      <c r="F377" s="274">
        <v>106700.0</v>
      </c>
      <c r="G377" s="274">
        <v>103700.0</v>
      </c>
      <c r="H377" s="275">
        <v>0.971883786316776</v>
      </c>
      <c r="I377" s="274">
        <v>67900.0</v>
      </c>
      <c r="J377" s="274">
        <v>64900.0</v>
      </c>
      <c r="K377" s="274">
        <v>63850.0</v>
      </c>
      <c r="L377" s="274">
        <v>-1050.0</v>
      </c>
      <c r="M377" s="274">
        <v>861495.0</v>
      </c>
      <c r="N377" s="274">
        <v>4050.0</v>
      </c>
      <c r="O377" s="274">
        <v>207400.0</v>
      </c>
      <c r="P377" s="274">
        <v>77600.0</v>
      </c>
      <c r="Q377" s="274">
        <v>-129800.0</v>
      </c>
      <c r="R377" s="275">
        <v>0.0</v>
      </c>
      <c r="S377" s="274">
        <v>217.0</v>
      </c>
      <c r="T377" s="275">
        <v>1.0</v>
      </c>
      <c r="U377" s="274">
        <v>0.0</v>
      </c>
    </row>
    <row r="378">
      <c r="A378" s="37" t="s">
        <v>2196</v>
      </c>
      <c r="B378" s="278">
        <v>45992.0</v>
      </c>
      <c r="C378" s="37" t="s">
        <v>101</v>
      </c>
      <c r="D378" s="37" t="s">
        <v>351</v>
      </c>
      <c r="E378" s="274">
        <v>28800.0</v>
      </c>
      <c r="F378" s="274">
        <v>58500.0</v>
      </c>
      <c r="G378" s="274">
        <v>91500.0</v>
      </c>
      <c r="H378" s="275">
        <v>1.564102564102564</v>
      </c>
      <c r="I378" s="274">
        <v>29700.0</v>
      </c>
      <c r="J378" s="274">
        <v>62700.0</v>
      </c>
      <c r="K378" s="274">
        <v>61504.0</v>
      </c>
      <c r="L378" s="274">
        <v>-1196.0</v>
      </c>
      <c r="M378" s="274">
        <v>706703.0</v>
      </c>
      <c r="N378" s="274">
        <v>-31804.0</v>
      </c>
      <c r="O378" s="274">
        <v>117000.0</v>
      </c>
      <c r="P378" s="274">
        <v>57600.0</v>
      </c>
      <c r="Q378" s="274">
        <v>-59400.0</v>
      </c>
      <c r="R378" s="275">
        <v>0.0</v>
      </c>
      <c r="S378" s="274">
        <v>124.0</v>
      </c>
      <c r="T378" s="275">
        <v>1.0</v>
      </c>
      <c r="U378" s="274">
        <v>0.0</v>
      </c>
    </row>
    <row r="379">
      <c r="A379" s="37" t="s">
        <v>2196</v>
      </c>
      <c r="B379" s="278">
        <v>45992.0</v>
      </c>
      <c r="C379" s="37" t="s">
        <v>110</v>
      </c>
      <c r="D379" s="37" t="s">
        <v>331</v>
      </c>
      <c r="E379" s="274">
        <v>36500.0</v>
      </c>
      <c r="F379" s="274">
        <v>67600.0</v>
      </c>
      <c r="G379" s="274">
        <v>80600.0</v>
      </c>
      <c r="H379" s="275">
        <v>1.1923076923076923</v>
      </c>
      <c r="I379" s="274">
        <v>31100.0</v>
      </c>
      <c r="J379" s="274">
        <v>44100.0</v>
      </c>
      <c r="K379" s="274">
        <v>42828.0</v>
      </c>
      <c r="L379" s="274">
        <v>-1272.0</v>
      </c>
      <c r="M379" s="274">
        <v>-25059.0</v>
      </c>
      <c r="N379" s="274">
        <v>-11728.0</v>
      </c>
      <c r="O379" s="274">
        <v>131200.0</v>
      </c>
      <c r="P379" s="274">
        <v>73000.0</v>
      </c>
      <c r="Q379" s="274">
        <v>-58200.0</v>
      </c>
      <c r="R379" s="275">
        <v>0.0</v>
      </c>
      <c r="S379" s="274">
        <v>155.0</v>
      </c>
      <c r="T379" s="275">
        <v>1.0</v>
      </c>
      <c r="U379" s="274">
        <v>0.0</v>
      </c>
    </row>
    <row r="380">
      <c r="A380" s="37" t="s">
        <v>2196</v>
      </c>
      <c r="B380" s="278">
        <v>45992.0</v>
      </c>
      <c r="C380" s="37" t="s">
        <v>119</v>
      </c>
      <c r="D380" s="37" t="s">
        <v>331</v>
      </c>
      <c r="E380" s="274">
        <v>12000.0</v>
      </c>
      <c r="F380" s="274">
        <v>22000.0</v>
      </c>
      <c r="G380" s="274">
        <v>22000.0</v>
      </c>
      <c r="H380" s="275">
        <v>1.0</v>
      </c>
      <c r="I380" s="274">
        <v>10000.0</v>
      </c>
      <c r="J380" s="274">
        <v>10000.0</v>
      </c>
      <c r="K380" s="274">
        <v>10000.0</v>
      </c>
      <c r="L380" s="274">
        <v>0.0</v>
      </c>
      <c r="M380" s="274">
        <v>96619.0</v>
      </c>
      <c r="N380" s="274">
        <v>0.0</v>
      </c>
      <c r="O380" s="274">
        <v>44000.0</v>
      </c>
      <c r="P380" s="274">
        <v>24000.0</v>
      </c>
      <c r="Q380" s="274">
        <v>-20000.0</v>
      </c>
      <c r="R380" s="275">
        <v>0.0</v>
      </c>
      <c r="S380" s="274">
        <v>31.0</v>
      </c>
      <c r="T380" s="275">
        <v>1.0</v>
      </c>
      <c r="U380" s="274">
        <v>0.0</v>
      </c>
    </row>
    <row r="381">
      <c r="A381" s="37" t="s">
        <v>2196</v>
      </c>
      <c r="B381" s="278">
        <v>45992.0</v>
      </c>
      <c r="C381" s="37" t="s">
        <v>122</v>
      </c>
      <c r="D381" s="37" t="s">
        <v>331</v>
      </c>
      <c r="E381" s="274">
        <v>35500.0</v>
      </c>
      <c r="F381" s="274">
        <v>58400.0</v>
      </c>
      <c r="G381" s="274">
        <v>58400.0</v>
      </c>
      <c r="H381" s="275">
        <v>1.0</v>
      </c>
      <c r="I381" s="274">
        <v>22900.0</v>
      </c>
      <c r="J381" s="274">
        <v>22900.0</v>
      </c>
      <c r="K381" s="274">
        <v>22900.0</v>
      </c>
      <c r="L381" s="274">
        <v>0.0</v>
      </c>
      <c r="M381" s="274">
        <v>13373.0</v>
      </c>
      <c r="N381" s="274">
        <v>0.0</v>
      </c>
      <c r="O381" s="274">
        <v>116800.0</v>
      </c>
      <c r="P381" s="274">
        <v>71000.0</v>
      </c>
      <c r="Q381" s="274">
        <v>-45800.0</v>
      </c>
      <c r="R381" s="275">
        <v>0.0</v>
      </c>
      <c r="S381" s="274">
        <v>124.0</v>
      </c>
      <c r="T381" s="275">
        <v>1.0</v>
      </c>
      <c r="U381" s="274">
        <v>0.0</v>
      </c>
    </row>
    <row r="382">
      <c r="A382" s="37" t="s">
        <v>2196</v>
      </c>
      <c r="B382" s="278">
        <v>45992.0</v>
      </c>
      <c r="C382" s="37" t="s">
        <v>135</v>
      </c>
      <c r="D382" s="37" t="s">
        <v>331</v>
      </c>
      <c r="E382" s="274">
        <v>25000.0</v>
      </c>
      <c r="F382" s="274">
        <v>66000.0</v>
      </c>
      <c r="G382" s="274">
        <v>53700.0</v>
      </c>
      <c r="H382" s="275">
        <v>0.8136363636363636</v>
      </c>
      <c r="I382" s="274">
        <v>41000.0</v>
      </c>
      <c r="J382" s="274">
        <v>28700.0</v>
      </c>
      <c r="K382" s="274">
        <v>27200.0</v>
      </c>
      <c r="L382" s="274">
        <v>-1500.0</v>
      </c>
      <c r="M382" s="274">
        <v>28837.0</v>
      </c>
      <c r="N382" s="274">
        <v>13800.0</v>
      </c>
      <c r="O382" s="274">
        <v>128400.0</v>
      </c>
      <c r="P382" s="274">
        <v>50000.0</v>
      </c>
      <c r="Q382" s="274">
        <v>-78400.0</v>
      </c>
      <c r="R382" s="275">
        <v>0.0</v>
      </c>
      <c r="S382" s="274">
        <v>155.0</v>
      </c>
      <c r="T382" s="275">
        <v>1.0</v>
      </c>
      <c r="U382" s="274">
        <v>0.0</v>
      </c>
    </row>
    <row r="383">
      <c r="A383" s="37" t="s">
        <v>2196</v>
      </c>
      <c r="B383" s="278">
        <v>45992.0</v>
      </c>
      <c r="C383" s="37" t="s">
        <v>150</v>
      </c>
      <c r="D383" s="37" t="s">
        <v>331</v>
      </c>
      <c r="E383" s="274">
        <v>23000.0</v>
      </c>
      <c r="F383" s="274">
        <v>54900.0</v>
      </c>
      <c r="G383" s="274">
        <v>54300.0</v>
      </c>
      <c r="H383" s="275">
        <v>0.9890710382513661</v>
      </c>
      <c r="I383" s="274">
        <v>31900.0</v>
      </c>
      <c r="J383" s="274">
        <v>31300.0</v>
      </c>
      <c r="K383" s="274">
        <v>31300.0</v>
      </c>
      <c r="L383" s="274">
        <v>0.0</v>
      </c>
      <c r="M383" s="274">
        <v>-198404.0</v>
      </c>
      <c r="N383" s="274">
        <v>600.0</v>
      </c>
      <c r="O383" s="274">
        <v>108600.0</v>
      </c>
      <c r="P383" s="274">
        <v>46000.0</v>
      </c>
      <c r="Q383" s="274">
        <v>-62600.0</v>
      </c>
      <c r="R383" s="275">
        <v>0.0</v>
      </c>
      <c r="S383" s="274">
        <v>124.0</v>
      </c>
      <c r="T383" s="275">
        <v>1.0</v>
      </c>
      <c r="U383" s="274">
        <v>0.0</v>
      </c>
    </row>
    <row r="384">
      <c r="A384" s="37" t="s">
        <v>2196</v>
      </c>
      <c r="B384" s="278">
        <v>45992.0</v>
      </c>
      <c r="C384" s="37" t="s">
        <v>163</v>
      </c>
      <c r="D384" s="37" t="s">
        <v>351</v>
      </c>
      <c r="E384" s="274">
        <v>39800.0</v>
      </c>
      <c r="F384" s="274">
        <v>80000.0</v>
      </c>
      <c r="G384" s="274">
        <v>60265.0</v>
      </c>
      <c r="H384" s="275">
        <v>0.7533125</v>
      </c>
      <c r="I384" s="274">
        <v>40200.0</v>
      </c>
      <c r="J384" s="274">
        <v>20465.0</v>
      </c>
      <c r="K384" s="274">
        <v>20465.0</v>
      </c>
      <c r="L384" s="274">
        <v>0.0</v>
      </c>
      <c r="M384" s="274">
        <v>-1019.3850000000093</v>
      </c>
      <c r="N384" s="274">
        <v>19735.0</v>
      </c>
      <c r="O384" s="274">
        <v>156400.0</v>
      </c>
      <c r="P384" s="274">
        <v>79600.0</v>
      </c>
      <c r="Q384" s="274">
        <v>-76800.0</v>
      </c>
      <c r="R384" s="275">
        <v>20.0</v>
      </c>
      <c r="S384" s="274">
        <v>155.0</v>
      </c>
      <c r="T384" s="275">
        <v>0.8709677419354839</v>
      </c>
      <c r="U384" s="274">
        <v>0.0</v>
      </c>
    </row>
    <row r="385">
      <c r="A385" s="37" t="s">
        <v>2196</v>
      </c>
      <c r="B385" s="278">
        <v>45992.0</v>
      </c>
      <c r="C385" s="37" t="s">
        <v>178</v>
      </c>
      <c r="D385" s="37" t="s">
        <v>331</v>
      </c>
      <c r="E385" s="274">
        <v>36000.0</v>
      </c>
      <c r="F385" s="274">
        <v>83000.0</v>
      </c>
      <c r="G385" s="274">
        <v>80032.0</v>
      </c>
      <c r="H385" s="275">
        <v>0.9642409638554217</v>
      </c>
      <c r="I385" s="274">
        <v>47000.0</v>
      </c>
      <c r="J385" s="274">
        <v>44032.0</v>
      </c>
      <c r="K385" s="274">
        <v>42212.0</v>
      </c>
      <c r="L385" s="274">
        <v>-1820.0</v>
      </c>
      <c r="M385" s="274">
        <v>-19884.0</v>
      </c>
      <c r="N385" s="274">
        <v>4788.0</v>
      </c>
      <c r="O385" s="274">
        <v>106000.0</v>
      </c>
      <c r="P385" s="274">
        <v>72000.0</v>
      </c>
      <c r="Q385" s="274">
        <v>-34000.0</v>
      </c>
      <c r="R385" s="275">
        <v>39.0</v>
      </c>
      <c r="S385" s="274">
        <v>155.0</v>
      </c>
      <c r="T385" s="275">
        <v>0.7483870967741936</v>
      </c>
      <c r="U385" s="274">
        <v>0.0</v>
      </c>
    </row>
    <row r="386">
      <c r="A386" s="37" t="s">
        <v>2196</v>
      </c>
      <c r="B386" s="278">
        <v>45992.0</v>
      </c>
      <c r="C386" s="37" t="s">
        <v>188</v>
      </c>
      <c r="D386" s="37" t="s">
        <v>331</v>
      </c>
      <c r="E386" s="274">
        <v>50000.0</v>
      </c>
      <c r="F386" s="274">
        <v>114600.0</v>
      </c>
      <c r="G386" s="274">
        <v>114100.0</v>
      </c>
      <c r="H386" s="275">
        <v>0.9956369982547993</v>
      </c>
      <c r="I386" s="274">
        <v>64600.0</v>
      </c>
      <c r="J386" s="274">
        <v>64100.0</v>
      </c>
      <c r="K386" s="274">
        <v>61129.0</v>
      </c>
      <c r="L386" s="274">
        <v>-2971.0</v>
      </c>
      <c r="M386" s="274">
        <v>-323431.30000000005</v>
      </c>
      <c r="N386" s="274">
        <v>3471.0</v>
      </c>
      <c r="O386" s="274">
        <v>228200.0</v>
      </c>
      <c r="P386" s="274">
        <v>100000.0</v>
      </c>
      <c r="Q386" s="274">
        <v>-128200.0</v>
      </c>
      <c r="R386" s="275">
        <v>0.0</v>
      </c>
      <c r="S386" s="274">
        <v>217.0</v>
      </c>
      <c r="T386" s="275">
        <v>1.0</v>
      </c>
      <c r="U386" s="274">
        <v>0.0</v>
      </c>
    </row>
    <row r="387">
      <c r="A387" s="37" t="s">
        <v>2196</v>
      </c>
      <c r="B387" s="278">
        <v>45992.0</v>
      </c>
      <c r="C387" s="37" t="s">
        <v>209</v>
      </c>
      <c r="D387" s="37" t="s">
        <v>351</v>
      </c>
      <c r="E387" s="274">
        <v>33000.0</v>
      </c>
      <c r="F387" s="274">
        <v>78400.0</v>
      </c>
      <c r="G387" s="274">
        <v>102135.0</v>
      </c>
      <c r="H387" s="275">
        <v>1.3027423469387756</v>
      </c>
      <c r="I387" s="274">
        <v>45400.0</v>
      </c>
      <c r="J387" s="274">
        <v>69135.0</v>
      </c>
      <c r="K387" s="274">
        <v>69135.0</v>
      </c>
      <c r="L387" s="274">
        <v>0.0</v>
      </c>
      <c r="M387" s="274">
        <v>-407214.0</v>
      </c>
      <c r="N387" s="274">
        <v>-23735.0</v>
      </c>
      <c r="O387" s="274">
        <v>131800.0</v>
      </c>
      <c r="P387" s="274">
        <v>66000.0</v>
      </c>
      <c r="Q387" s="274">
        <v>-65800.0</v>
      </c>
      <c r="R387" s="275">
        <v>4.0</v>
      </c>
      <c r="S387" s="274">
        <v>186.0</v>
      </c>
      <c r="T387" s="275">
        <v>0.978494623655914</v>
      </c>
      <c r="U387" s="274">
        <v>0.0</v>
      </c>
    </row>
    <row r="388">
      <c r="A388" s="37" t="s">
        <v>2196</v>
      </c>
      <c r="B388" s="278">
        <v>45992.0</v>
      </c>
      <c r="C388" s="37" t="s">
        <v>241</v>
      </c>
      <c r="D388" s="37" t="s">
        <v>331</v>
      </c>
      <c r="E388" s="274">
        <v>0.0</v>
      </c>
      <c r="F388" s="274">
        <v>0.0</v>
      </c>
      <c r="G388" s="274">
        <v>0.0</v>
      </c>
      <c r="H388" s="275">
        <v>0.0</v>
      </c>
      <c r="I388" s="274">
        <v>0.0</v>
      </c>
      <c r="J388" s="274">
        <v>0.0</v>
      </c>
      <c r="K388" s="274">
        <v>-229393.1</v>
      </c>
      <c r="L388" s="274">
        <v>0.0</v>
      </c>
      <c r="M388" s="274">
        <v>-1006316.99</v>
      </c>
      <c r="N388" s="274">
        <v>229393.1</v>
      </c>
      <c r="O388" s="274">
        <v>0.0</v>
      </c>
      <c r="P388" s="274">
        <v>39600.0</v>
      </c>
      <c r="Q388" s="274">
        <v>39600.0</v>
      </c>
      <c r="R388" s="275">
        <v>0.0</v>
      </c>
      <c r="S388" s="274">
        <v>0.0</v>
      </c>
      <c r="T388" s="275">
        <v>0.0</v>
      </c>
      <c r="U388" s="274">
        <v>0.0</v>
      </c>
    </row>
    <row r="389">
      <c r="A389" s="37" t="s">
        <v>2196</v>
      </c>
      <c r="B389" s="278">
        <v>45992.0</v>
      </c>
      <c r="C389" s="37" t="s">
        <v>2197</v>
      </c>
      <c r="D389" s="37" t="s">
        <v>331</v>
      </c>
      <c r="E389" s="274">
        <v>0.0</v>
      </c>
      <c r="F389" s="274">
        <v>0.0</v>
      </c>
      <c r="G389" s="274">
        <v>6426.0</v>
      </c>
      <c r="H389" s="275">
        <v>0.0</v>
      </c>
      <c r="I389" s="274">
        <v>0.0</v>
      </c>
      <c r="J389" s="274">
        <v>6426.0</v>
      </c>
      <c r="K389" s="274">
        <v>-129370.0</v>
      </c>
      <c r="L389" s="274">
        <v>-4050.0</v>
      </c>
      <c r="M389" s="274">
        <v>-615255.0</v>
      </c>
      <c r="N389" s="274">
        <v>129370.0</v>
      </c>
      <c r="O389" s="274">
        <v>0.0</v>
      </c>
      <c r="P389" s="274">
        <v>0.0</v>
      </c>
      <c r="Q389" s="274">
        <v>0.0</v>
      </c>
      <c r="R389" s="275">
        <v>0.0</v>
      </c>
      <c r="S389" s="274">
        <v>0.0</v>
      </c>
      <c r="T389" s="275">
        <v>0.0</v>
      </c>
      <c r="U389" s="274">
        <v>400000.0</v>
      </c>
    </row>
    <row r="390">
      <c r="A390" s="37" t="s">
        <v>2196</v>
      </c>
      <c r="B390" s="278">
        <v>45992.0</v>
      </c>
      <c r="C390" s="37" t="s">
        <v>2198</v>
      </c>
      <c r="D390" s="37" t="s">
        <v>351</v>
      </c>
      <c r="E390" s="274">
        <v>0.0</v>
      </c>
      <c r="F390" s="274">
        <v>0.0</v>
      </c>
      <c r="G390" s="274">
        <v>22439.0</v>
      </c>
      <c r="H390" s="275">
        <v>0.0</v>
      </c>
      <c r="I390" s="274">
        <v>0.0</v>
      </c>
      <c r="J390" s="274">
        <v>22439.0</v>
      </c>
      <c r="K390" s="274">
        <v>22274.0</v>
      </c>
      <c r="L390" s="274">
        <v>0.0</v>
      </c>
      <c r="M390" s="274">
        <v>-216682.0</v>
      </c>
      <c r="N390" s="274">
        <v>-22274.0</v>
      </c>
      <c r="O390" s="274">
        <v>0.0</v>
      </c>
      <c r="P390" s="274">
        <v>0.0</v>
      </c>
      <c r="Q390" s="274">
        <v>0.0</v>
      </c>
      <c r="R390" s="273">
        <v>0.0</v>
      </c>
      <c r="S390" s="273">
        <v>0.0</v>
      </c>
      <c r="T390" s="275">
        <v>0.0</v>
      </c>
      <c r="U390" s="274">
        <v>300000.0</v>
      </c>
    </row>
    <row r="391">
      <c r="Q391" s="105"/>
    </row>
    <row r="392">
      <c r="Q392" s="105"/>
    </row>
    <row r="393">
      <c r="Q393" s="105"/>
    </row>
    <row r="394">
      <c r="Q394" s="105"/>
    </row>
    <row r="395">
      <c r="Q395" s="105"/>
    </row>
    <row r="396">
      <c r="Q396" s="105"/>
    </row>
    <row r="397">
      <c r="Q397" s="105"/>
    </row>
    <row r="398">
      <c r="Q398" s="105"/>
    </row>
    <row r="399">
      <c r="Q399" s="105"/>
    </row>
    <row r="400">
      <c r="Q400" s="105"/>
    </row>
    <row r="401">
      <c r="Q401" s="105"/>
    </row>
    <row r="402">
      <c r="Q402" s="105"/>
    </row>
    <row r="403">
      <c r="Q403" s="105"/>
    </row>
    <row r="404">
      <c r="Q404" s="105"/>
    </row>
    <row r="405">
      <c r="Q405" s="105"/>
    </row>
    <row r="406">
      <c r="Q406" s="105"/>
    </row>
    <row r="407">
      <c r="Q407" s="105"/>
    </row>
    <row r="408">
      <c r="Q408" s="105"/>
    </row>
    <row r="409">
      <c r="Q409" s="105"/>
    </row>
    <row r="410">
      <c r="Q410" s="105"/>
    </row>
    <row r="411">
      <c r="Q411" s="105"/>
    </row>
    <row r="412">
      <c r="Q412" s="105"/>
    </row>
    <row r="413">
      <c r="Q413" s="105"/>
    </row>
    <row r="414">
      <c r="Q414" s="105"/>
    </row>
    <row r="415">
      <c r="Q415" s="105"/>
    </row>
    <row r="416">
      <c r="Q416" s="105"/>
    </row>
    <row r="417">
      <c r="Q417" s="105"/>
    </row>
    <row r="418">
      <c r="Q418" s="105"/>
    </row>
    <row r="419">
      <c r="Q419" s="105"/>
    </row>
    <row r="420">
      <c r="Q420" s="105"/>
    </row>
    <row r="421">
      <c r="Q421" s="105"/>
    </row>
    <row r="422">
      <c r="Q422" s="105"/>
    </row>
    <row r="423">
      <c r="Q423" s="105"/>
    </row>
    <row r="424">
      <c r="Q424" s="105"/>
    </row>
    <row r="425">
      <c r="Q425" s="105"/>
    </row>
    <row r="426">
      <c r="Q426" s="105"/>
    </row>
    <row r="427">
      <c r="Q427" s="105"/>
    </row>
    <row r="428">
      <c r="Q428" s="105"/>
    </row>
    <row r="429">
      <c r="Q429" s="105"/>
    </row>
    <row r="430">
      <c r="Q430" s="105"/>
    </row>
    <row r="431">
      <c r="Q431" s="105"/>
    </row>
    <row r="432">
      <c r="Q432" s="105"/>
    </row>
    <row r="433">
      <c r="Q433" s="105"/>
    </row>
    <row r="434">
      <c r="Q434" s="105"/>
    </row>
    <row r="435">
      <c r="Q435" s="105"/>
    </row>
    <row r="436">
      <c r="Q436" s="105"/>
    </row>
    <row r="437">
      <c r="Q437" s="105"/>
    </row>
    <row r="438">
      <c r="Q438" s="105"/>
    </row>
    <row r="439">
      <c r="Q439" s="105"/>
    </row>
    <row r="440">
      <c r="Q440" s="105"/>
    </row>
    <row r="441">
      <c r="Q441" s="105"/>
    </row>
    <row r="442">
      <c r="Q442" s="105"/>
    </row>
    <row r="443">
      <c r="Q443" s="105"/>
    </row>
    <row r="444">
      <c r="Q444" s="105"/>
    </row>
    <row r="445">
      <c r="Q445" s="105"/>
    </row>
    <row r="446">
      <c r="Q446" s="105"/>
    </row>
    <row r="447">
      <c r="Q447" s="105"/>
    </row>
    <row r="448">
      <c r="Q448" s="105"/>
    </row>
    <row r="449">
      <c r="Q449" s="105"/>
    </row>
    <row r="450">
      <c r="Q450" s="105"/>
    </row>
    <row r="451">
      <c r="Q451" s="105"/>
    </row>
    <row r="452">
      <c r="Q452" s="105"/>
    </row>
    <row r="453">
      <c r="Q453" s="105"/>
    </row>
    <row r="454">
      <c r="Q454" s="105"/>
    </row>
    <row r="455">
      <c r="Q455" s="105"/>
    </row>
    <row r="456">
      <c r="Q456" s="105"/>
    </row>
    <row r="457">
      <c r="Q457" s="105"/>
    </row>
    <row r="458">
      <c r="Q458" s="105"/>
    </row>
    <row r="459">
      <c r="Q459" s="105"/>
    </row>
    <row r="460">
      <c r="Q460" s="105"/>
    </row>
    <row r="461">
      <c r="Q461" s="105"/>
    </row>
    <row r="462">
      <c r="Q462" s="105"/>
    </row>
    <row r="463">
      <c r="Q463" s="105"/>
    </row>
    <row r="464">
      <c r="Q464" s="105"/>
    </row>
    <row r="465">
      <c r="Q465" s="105"/>
    </row>
    <row r="466">
      <c r="Q466" s="105"/>
    </row>
    <row r="467">
      <c r="Q467" s="105"/>
    </row>
    <row r="468">
      <c r="Q468" s="105"/>
    </row>
    <row r="469">
      <c r="Q469" s="105"/>
    </row>
    <row r="470">
      <c r="Q470" s="105"/>
    </row>
    <row r="471">
      <c r="Q471" s="105"/>
    </row>
    <row r="472">
      <c r="Q472" s="105"/>
    </row>
    <row r="473">
      <c r="Q473" s="105"/>
    </row>
    <row r="474">
      <c r="Q474" s="105"/>
    </row>
    <row r="475">
      <c r="Q475" s="105"/>
    </row>
    <row r="476">
      <c r="Q476" s="105"/>
    </row>
    <row r="477">
      <c r="Q477" s="105"/>
    </row>
    <row r="478">
      <c r="Q478" s="105"/>
    </row>
    <row r="479">
      <c r="Q479" s="105"/>
    </row>
    <row r="480">
      <c r="Q480" s="105"/>
    </row>
    <row r="481">
      <c r="Q481" s="105"/>
    </row>
    <row r="482">
      <c r="Q482" s="105"/>
    </row>
    <row r="483">
      <c r="Q483" s="105"/>
    </row>
    <row r="484">
      <c r="Q484" s="105"/>
    </row>
    <row r="485">
      <c r="Q485" s="105"/>
    </row>
    <row r="486">
      <c r="Q486" s="105"/>
    </row>
    <row r="487">
      <c r="Q487" s="105"/>
    </row>
    <row r="488">
      <c r="Q488" s="105"/>
    </row>
    <row r="489">
      <c r="Q489" s="105"/>
    </row>
    <row r="490">
      <c r="Q490" s="105"/>
    </row>
    <row r="491">
      <c r="Q491" s="105"/>
    </row>
    <row r="492">
      <c r="Q492" s="105"/>
    </row>
    <row r="493">
      <c r="Q493" s="105"/>
    </row>
    <row r="494">
      <c r="Q494" s="105"/>
    </row>
    <row r="495">
      <c r="Q495" s="105"/>
    </row>
    <row r="496">
      <c r="Q496" s="105"/>
    </row>
    <row r="497">
      <c r="Q497" s="105"/>
    </row>
    <row r="498">
      <c r="Q498" s="105"/>
    </row>
    <row r="499">
      <c r="Q499" s="105"/>
    </row>
    <row r="500">
      <c r="Q500" s="105"/>
    </row>
    <row r="501">
      <c r="Q501" s="105"/>
    </row>
    <row r="502">
      <c r="Q502" s="105"/>
    </row>
    <row r="503">
      <c r="Q503" s="105"/>
    </row>
    <row r="504">
      <c r="Q504" s="105"/>
    </row>
    <row r="505">
      <c r="Q505" s="105"/>
    </row>
    <row r="506">
      <c r="Q506" s="105"/>
    </row>
    <row r="507">
      <c r="Q507" s="105"/>
    </row>
    <row r="508">
      <c r="Q508" s="105"/>
    </row>
    <row r="509">
      <c r="Q509" s="105"/>
    </row>
    <row r="510">
      <c r="Q510" s="105"/>
    </row>
    <row r="511">
      <c r="Q511" s="105"/>
    </row>
    <row r="512">
      <c r="Q512" s="105"/>
    </row>
    <row r="513">
      <c r="Q513" s="105"/>
    </row>
    <row r="514">
      <c r="Q514" s="105"/>
    </row>
    <row r="515">
      <c r="Q515" s="105"/>
    </row>
    <row r="516">
      <c r="Q516" s="105"/>
    </row>
    <row r="517">
      <c r="Q517" s="105"/>
    </row>
    <row r="518">
      <c r="Q518" s="105"/>
    </row>
    <row r="519">
      <c r="Q519" s="105"/>
    </row>
    <row r="520">
      <c r="Q520" s="105"/>
    </row>
    <row r="521">
      <c r="Q521" s="105"/>
    </row>
    <row r="522">
      <c r="Q522" s="105"/>
    </row>
    <row r="523">
      <c r="Q523" s="105"/>
    </row>
    <row r="524">
      <c r="Q524" s="105"/>
    </row>
    <row r="525">
      <c r="Q525" s="105"/>
    </row>
    <row r="526">
      <c r="Q526" s="105"/>
    </row>
    <row r="527">
      <c r="Q527" s="105"/>
    </row>
    <row r="528">
      <c r="Q528" s="105"/>
    </row>
    <row r="529">
      <c r="Q529" s="105"/>
    </row>
    <row r="530">
      <c r="Q530" s="105"/>
    </row>
    <row r="531">
      <c r="Q531" s="105"/>
    </row>
    <row r="532">
      <c r="Q532" s="105"/>
    </row>
    <row r="533">
      <c r="Q533" s="105"/>
    </row>
    <row r="534">
      <c r="Q534" s="105"/>
    </row>
    <row r="535">
      <c r="Q535" s="105"/>
    </row>
    <row r="536">
      <c r="Q536" s="105"/>
    </row>
    <row r="537">
      <c r="Q537" s="105"/>
    </row>
    <row r="538">
      <c r="Q538" s="105"/>
    </row>
    <row r="539">
      <c r="Q539" s="105"/>
    </row>
    <row r="540">
      <c r="Q540" s="105"/>
    </row>
    <row r="541">
      <c r="Q541" s="105"/>
    </row>
    <row r="542">
      <c r="Q542" s="105"/>
    </row>
    <row r="543">
      <c r="Q543" s="105"/>
    </row>
    <row r="544">
      <c r="Q544" s="105"/>
    </row>
    <row r="545">
      <c r="Q545" s="105"/>
    </row>
    <row r="546">
      <c r="Q546" s="105"/>
    </row>
    <row r="547">
      <c r="Q547" s="105"/>
    </row>
    <row r="548">
      <c r="Q548" s="105"/>
    </row>
    <row r="549">
      <c r="Q549" s="105"/>
    </row>
    <row r="550">
      <c r="Q550" s="105"/>
    </row>
    <row r="551">
      <c r="Q551" s="105"/>
    </row>
    <row r="552">
      <c r="Q552" s="105"/>
    </row>
    <row r="553">
      <c r="Q553" s="105"/>
    </row>
    <row r="554">
      <c r="Q554" s="105"/>
    </row>
    <row r="555">
      <c r="Q555" s="105"/>
    </row>
    <row r="556">
      <c r="Q556" s="105"/>
    </row>
    <row r="557">
      <c r="Q557" s="105"/>
    </row>
    <row r="558">
      <c r="Q558" s="105"/>
    </row>
    <row r="559">
      <c r="Q559" s="105"/>
    </row>
    <row r="560">
      <c r="Q560" s="105"/>
    </row>
    <row r="561">
      <c r="Q561" s="105"/>
    </row>
    <row r="562">
      <c r="Q562" s="105"/>
    </row>
    <row r="563">
      <c r="Q563" s="105"/>
    </row>
    <row r="564">
      <c r="Q564" s="105"/>
    </row>
    <row r="565">
      <c r="Q565" s="105"/>
    </row>
    <row r="566">
      <c r="Q566" s="105"/>
    </row>
    <row r="567">
      <c r="Q567" s="105"/>
    </row>
    <row r="568">
      <c r="Q568" s="105"/>
    </row>
    <row r="569">
      <c r="Q569" s="105"/>
    </row>
    <row r="570">
      <c r="Q570" s="105"/>
    </row>
    <row r="571">
      <c r="Q571" s="105"/>
    </row>
    <row r="572">
      <c r="Q572" s="105"/>
    </row>
    <row r="573">
      <c r="Q573" s="105"/>
    </row>
    <row r="574">
      <c r="Q574" s="105"/>
    </row>
    <row r="575">
      <c r="Q575" s="105"/>
    </row>
    <row r="576">
      <c r="Q576" s="105"/>
    </row>
    <row r="577">
      <c r="Q577" s="105"/>
    </row>
    <row r="578">
      <c r="Q578" s="105"/>
    </row>
    <row r="579">
      <c r="Q579" s="105"/>
    </row>
    <row r="580">
      <c r="Q580" s="105"/>
    </row>
    <row r="581">
      <c r="Q581" s="105"/>
    </row>
    <row r="582">
      <c r="Q582" s="105"/>
    </row>
    <row r="583">
      <c r="Q583" s="105"/>
    </row>
    <row r="584">
      <c r="Q584" s="105"/>
    </row>
    <row r="585">
      <c r="Q585" s="105"/>
    </row>
    <row r="586">
      <c r="Q586" s="105"/>
    </row>
    <row r="587">
      <c r="Q587" s="105"/>
    </row>
    <row r="588">
      <c r="Q588" s="105"/>
    </row>
    <row r="589">
      <c r="Q589" s="105"/>
    </row>
    <row r="590">
      <c r="Q590" s="105"/>
    </row>
    <row r="591">
      <c r="Q591" s="105"/>
    </row>
    <row r="592">
      <c r="Q592" s="105"/>
    </row>
    <row r="593">
      <c r="Q593" s="105"/>
    </row>
    <row r="594">
      <c r="Q594" s="105"/>
    </row>
    <row r="595">
      <c r="Q595" s="105"/>
    </row>
    <row r="596">
      <c r="Q596" s="105"/>
    </row>
    <row r="597">
      <c r="Q597" s="105"/>
    </row>
    <row r="598">
      <c r="Q598" s="105"/>
    </row>
    <row r="599">
      <c r="Q599" s="105"/>
    </row>
    <row r="600">
      <c r="Q600" s="105"/>
    </row>
    <row r="601">
      <c r="Q601" s="105"/>
    </row>
    <row r="602">
      <c r="Q602" s="105"/>
    </row>
    <row r="603">
      <c r="Q603" s="105"/>
    </row>
    <row r="604">
      <c r="Q604" s="105"/>
    </row>
    <row r="605">
      <c r="Q605" s="105"/>
    </row>
    <row r="606">
      <c r="Q606" s="105"/>
    </row>
    <row r="607">
      <c r="Q607" s="105"/>
    </row>
    <row r="608">
      <c r="Q608" s="105"/>
    </row>
    <row r="609">
      <c r="Q609" s="105"/>
    </row>
    <row r="610">
      <c r="Q610" s="105"/>
    </row>
    <row r="611">
      <c r="Q611" s="105"/>
    </row>
    <row r="612">
      <c r="Q612" s="105"/>
    </row>
    <row r="613">
      <c r="Q613" s="105"/>
    </row>
    <row r="614">
      <c r="Q614" s="105"/>
    </row>
    <row r="615">
      <c r="Q615" s="105"/>
    </row>
    <row r="616">
      <c r="Q616" s="105"/>
    </row>
    <row r="617">
      <c r="Q617" s="105"/>
    </row>
    <row r="618">
      <c r="Q618" s="105"/>
    </row>
    <row r="619">
      <c r="Q619" s="105"/>
    </row>
    <row r="620">
      <c r="Q620" s="105"/>
    </row>
    <row r="621">
      <c r="Q621" s="105"/>
    </row>
    <row r="622">
      <c r="Q622" s="105"/>
    </row>
    <row r="623">
      <c r="Q623" s="105"/>
    </row>
    <row r="624">
      <c r="Q624" s="105"/>
    </row>
    <row r="625">
      <c r="Q625" s="105"/>
    </row>
    <row r="626">
      <c r="Q626" s="105"/>
    </row>
    <row r="627">
      <c r="Q627" s="105"/>
    </row>
    <row r="628">
      <c r="Q628" s="105"/>
    </row>
    <row r="629">
      <c r="Q629" s="105"/>
    </row>
    <row r="630">
      <c r="Q630" s="105"/>
    </row>
    <row r="631">
      <c r="Q631" s="105"/>
    </row>
    <row r="632">
      <c r="Q632" s="105"/>
    </row>
    <row r="633">
      <c r="Q633" s="105"/>
    </row>
    <row r="634">
      <c r="Q634" s="105"/>
    </row>
    <row r="635">
      <c r="Q635" s="105"/>
    </row>
    <row r="636">
      <c r="Q636" s="105"/>
    </row>
    <row r="637">
      <c r="Q637" s="105"/>
    </row>
    <row r="638">
      <c r="Q638" s="105"/>
    </row>
    <row r="639">
      <c r="Q639" s="105"/>
    </row>
    <row r="640">
      <c r="Q640" s="105"/>
    </row>
    <row r="641">
      <c r="Q641" s="105"/>
    </row>
    <row r="642">
      <c r="Q642" s="105"/>
    </row>
    <row r="643">
      <c r="Q643" s="105"/>
    </row>
    <row r="644">
      <c r="Q644" s="105"/>
    </row>
    <row r="645">
      <c r="Q645" s="105"/>
    </row>
    <row r="646">
      <c r="Q646" s="105"/>
    </row>
    <row r="647">
      <c r="Q647" s="105"/>
    </row>
    <row r="648">
      <c r="Q648" s="105"/>
    </row>
    <row r="649">
      <c r="Q649" s="105"/>
    </row>
    <row r="650">
      <c r="Q650" s="105"/>
    </row>
    <row r="651">
      <c r="Q651" s="105"/>
    </row>
    <row r="652">
      <c r="Q652" s="105"/>
    </row>
    <row r="653">
      <c r="Q653" s="105"/>
    </row>
    <row r="654">
      <c r="Q654" s="105"/>
    </row>
    <row r="655">
      <c r="Q655" s="105"/>
    </row>
    <row r="656">
      <c r="Q656" s="105"/>
    </row>
    <row r="657">
      <c r="Q657" s="105"/>
    </row>
    <row r="658">
      <c r="Q658" s="105"/>
    </row>
    <row r="659">
      <c r="Q659" s="105"/>
    </row>
    <row r="660">
      <c r="Q660" s="105"/>
    </row>
    <row r="661">
      <c r="Q661" s="105"/>
    </row>
    <row r="662">
      <c r="Q662" s="105"/>
    </row>
    <row r="663">
      <c r="Q663" s="105"/>
    </row>
    <row r="664">
      <c r="Q664" s="105"/>
    </row>
    <row r="665">
      <c r="Q665" s="105"/>
    </row>
    <row r="666">
      <c r="Q666" s="105"/>
    </row>
    <row r="667">
      <c r="Q667" s="105"/>
    </row>
    <row r="668">
      <c r="Q668" s="105"/>
    </row>
    <row r="669">
      <c r="Q669" s="105"/>
    </row>
    <row r="670">
      <c r="Q670" s="105"/>
    </row>
    <row r="671">
      <c r="Q671" s="105"/>
    </row>
    <row r="672">
      <c r="Q672" s="105"/>
    </row>
    <row r="673">
      <c r="Q673" s="105"/>
    </row>
    <row r="674">
      <c r="Q674" s="105"/>
    </row>
    <row r="675">
      <c r="Q675" s="105"/>
    </row>
    <row r="676">
      <c r="Q676" s="105"/>
    </row>
    <row r="677">
      <c r="Q677" s="105"/>
    </row>
    <row r="678">
      <c r="Q678" s="105"/>
    </row>
    <row r="679">
      <c r="Q679" s="105"/>
    </row>
    <row r="680">
      <c r="Q680" s="105"/>
    </row>
    <row r="681">
      <c r="Q681" s="105"/>
    </row>
    <row r="682">
      <c r="Q682" s="105"/>
    </row>
    <row r="683">
      <c r="Q683" s="105"/>
    </row>
    <row r="684">
      <c r="Q684" s="105"/>
    </row>
    <row r="685">
      <c r="Q685" s="105"/>
    </row>
    <row r="686">
      <c r="Q686" s="105"/>
    </row>
    <row r="687">
      <c r="Q687" s="105"/>
    </row>
    <row r="688">
      <c r="Q688" s="105"/>
    </row>
    <row r="689">
      <c r="Q689" s="105"/>
    </row>
    <row r="690">
      <c r="Q690" s="105"/>
    </row>
    <row r="691">
      <c r="Q691" s="105"/>
    </row>
    <row r="692">
      <c r="Q692" s="105"/>
    </row>
    <row r="693">
      <c r="Q693" s="105"/>
    </row>
    <row r="694">
      <c r="Q694" s="105"/>
    </row>
    <row r="695">
      <c r="Q695" s="105"/>
    </row>
    <row r="696">
      <c r="Q696" s="105"/>
    </row>
    <row r="697">
      <c r="Q697" s="105"/>
    </row>
    <row r="698">
      <c r="Q698" s="105"/>
    </row>
    <row r="699">
      <c r="Q699" s="105"/>
    </row>
    <row r="700">
      <c r="Q700" s="105"/>
    </row>
    <row r="701">
      <c r="Q701" s="105"/>
    </row>
    <row r="702">
      <c r="Q702" s="105"/>
    </row>
    <row r="703">
      <c r="Q703" s="105"/>
    </row>
    <row r="704">
      <c r="Q704" s="105"/>
    </row>
    <row r="705">
      <c r="Q705" s="105"/>
    </row>
    <row r="706">
      <c r="Q706" s="105"/>
    </row>
    <row r="707">
      <c r="Q707" s="105"/>
    </row>
    <row r="708">
      <c r="Q708" s="105"/>
    </row>
    <row r="709">
      <c r="Q709" s="105"/>
    </row>
    <row r="710">
      <c r="Q710" s="105"/>
    </row>
    <row r="711">
      <c r="Q711" s="105"/>
    </row>
    <row r="712">
      <c r="Q712" s="105"/>
    </row>
    <row r="713">
      <c r="Q713" s="105"/>
    </row>
    <row r="714">
      <c r="Q714" s="105"/>
    </row>
    <row r="715">
      <c r="Q715" s="105"/>
    </row>
    <row r="716">
      <c r="Q716" s="105"/>
    </row>
    <row r="717">
      <c r="Q717" s="105"/>
    </row>
    <row r="718">
      <c r="Q718" s="105"/>
    </row>
    <row r="719">
      <c r="Q719" s="105"/>
    </row>
    <row r="720">
      <c r="Q720" s="105"/>
    </row>
    <row r="721">
      <c r="Q721" s="105"/>
    </row>
    <row r="722">
      <c r="Q722" s="105"/>
    </row>
    <row r="723">
      <c r="Q723" s="105"/>
    </row>
    <row r="724">
      <c r="Q724" s="105"/>
    </row>
    <row r="725">
      <c r="Q725" s="105"/>
    </row>
    <row r="726">
      <c r="Q726" s="105"/>
    </row>
    <row r="727">
      <c r="Q727" s="105"/>
    </row>
    <row r="728">
      <c r="Q728" s="105"/>
    </row>
    <row r="729">
      <c r="Q729" s="105"/>
    </row>
    <row r="730">
      <c r="Q730" s="105"/>
    </row>
    <row r="731">
      <c r="Q731" s="105"/>
    </row>
    <row r="732">
      <c r="Q732" s="105"/>
    </row>
    <row r="733">
      <c r="Q733" s="105"/>
    </row>
    <row r="734">
      <c r="Q734" s="105"/>
    </row>
    <row r="735">
      <c r="Q735" s="105"/>
    </row>
    <row r="736">
      <c r="Q736" s="105"/>
    </row>
    <row r="737">
      <c r="Q737" s="105"/>
    </row>
    <row r="738">
      <c r="Q738" s="105"/>
    </row>
    <row r="739">
      <c r="Q739" s="105"/>
    </row>
    <row r="740">
      <c r="Q740" s="105"/>
    </row>
    <row r="741">
      <c r="Q741" s="105"/>
    </row>
    <row r="742">
      <c r="Q742" s="105"/>
    </row>
    <row r="743">
      <c r="Q743" s="105"/>
    </row>
    <row r="744">
      <c r="Q744" s="105"/>
    </row>
    <row r="745">
      <c r="Q745" s="105"/>
    </row>
    <row r="746">
      <c r="Q746" s="105"/>
    </row>
    <row r="747">
      <c r="Q747" s="105"/>
    </row>
    <row r="748">
      <c r="Q748" s="105"/>
    </row>
    <row r="749">
      <c r="Q749" s="105"/>
    </row>
    <row r="750">
      <c r="Q750" s="105"/>
    </row>
    <row r="751">
      <c r="Q751" s="105"/>
    </row>
    <row r="752">
      <c r="Q752" s="105"/>
    </row>
    <row r="753">
      <c r="Q753" s="105"/>
    </row>
    <row r="754">
      <c r="Q754" s="105"/>
    </row>
    <row r="755">
      <c r="Q755" s="105"/>
    </row>
    <row r="756">
      <c r="Q756" s="105"/>
    </row>
    <row r="757">
      <c r="Q757" s="105"/>
    </row>
    <row r="758">
      <c r="Q758" s="105"/>
    </row>
    <row r="759">
      <c r="Q759" s="105"/>
    </row>
    <row r="760">
      <c r="Q760" s="105"/>
    </row>
    <row r="761">
      <c r="Q761" s="105"/>
    </row>
    <row r="762">
      <c r="Q762" s="105"/>
    </row>
    <row r="763">
      <c r="Q763" s="105"/>
    </row>
    <row r="764">
      <c r="Q764" s="105"/>
    </row>
    <row r="765">
      <c r="Q765" s="105"/>
    </row>
    <row r="766">
      <c r="Q766" s="105"/>
    </row>
    <row r="767">
      <c r="Q767" s="105"/>
    </row>
    <row r="768">
      <c r="Q768" s="105"/>
    </row>
    <row r="769">
      <c r="Q769" s="105"/>
    </row>
    <row r="770">
      <c r="Q770" s="105"/>
    </row>
    <row r="771">
      <c r="Q771" s="105"/>
    </row>
    <row r="772">
      <c r="Q772" s="105"/>
    </row>
    <row r="773">
      <c r="Q773" s="105"/>
    </row>
    <row r="774">
      <c r="Q774" s="105"/>
    </row>
    <row r="775">
      <c r="Q775" s="105"/>
    </row>
    <row r="776">
      <c r="Q776" s="105"/>
    </row>
    <row r="777">
      <c r="Q777" s="105"/>
    </row>
    <row r="778">
      <c r="Q778" s="105"/>
    </row>
    <row r="779">
      <c r="Q779" s="105"/>
    </row>
    <row r="780">
      <c r="Q780" s="105"/>
    </row>
    <row r="781">
      <c r="Q781" s="105"/>
    </row>
    <row r="782">
      <c r="Q782" s="105"/>
    </row>
    <row r="783">
      <c r="Q783" s="105"/>
    </row>
    <row r="784">
      <c r="Q784" s="105"/>
    </row>
    <row r="785">
      <c r="Q785" s="105"/>
    </row>
    <row r="786">
      <c r="Q786" s="105"/>
    </row>
    <row r="787">
      <c r="Q787" s="105"/>
    </row>
    <row r="788">
      <c r="Q788" s="105"/>
    </row>
    <row r="789">
      <c r="Q789" s="105"/>
    </row>
    <row r="790">
      <c r="Q790" s="105"/>
    </row>
    <row r="791">
      <c r="Q791" s="105"/>
    </row>
    <row r="792">
      <c r="Q792" s="105"/>
    </row>
    <row r="793">
      <c r="Q793" s="105"/>
    </row>
    <row r="794">
      <c r="Q794" s="105"/>
    </row>
    <row r="795">
      <c r="Q795" s="105"/>
    </row>
    <row r="796">
      <c r="Q796" s="105"/>
    </row>
    <row r="797">
      <c r="Q797" s="105"/>
    </row>
    <row r="798">
      <c r="Q798" s="105"/>
    </row>
    <row r="799">
      <c r="Q799" s="105"/>
    </row>
    <row r="800">
      <c r="Q800" s="105"/>
    </row>
    <row r="801">
      <c r="Q801" s="105"/>
    </row>
    <row r="802">
      <c r="Q802" s="105"/>
    </row>
    <row r="803">
      <c r="Q803" s="105"/>
    </row>
    <row r="804">
      <c r="Q804" s="105"/>
    </row>
    <row r="805">
      <c r="Q805" s="105"/>
    </row>
    <row r="806">
      <c r="Q806" s="105"/>
    </row>
    <row r="807">
      <c r="Q807" s="105"/>
    </row>
    <row r="808">
      <c r="Q808" s="105"/>
    </row>
    <row r="809">
      <c r="Q809" s="105"/>
    </row>
    <row r="810">
      <c r="Q810" s="105"/>
    </row>
    <row r="811">
      <c r="Q811" s="105"/>
    </row>
    <row r="812">
      <c r="Q812" s="105"/>
    </row>
    <row r="813">
      <c r="Q813" s="105"/>
    </row>
    <row r="814">
      <c r="Q814" s="105"/>
    </row>
    <row r="815">
      <c r="Q815" s="105"/>
    </row>
    <row r="816">
      <c r="Q816" s="105"/>
    </row>
    <row r="817">
      <c r="Q817" s="105"/>
    </row>
    <row r="818">
      <c r="Q818" s="105"/>
    </row>
    <row r="819">
      <c r="Q819" s="105"/>
    </row>
    <row r="820">
      <c r="Q820" s="105"/>
    </row>
    <row r="821">
      <c r="Q821" s="105"/>
    </row>
    <row r="822">
      <c r="Q822" s="105"/>
    </row>
    <row r="823">
      <c r="Q823" s="105"/>
    </row>
    <row r="824">
      <c r="Q824" s="105"/>
    </row>
    <row r="825">
      <c r="Q825" s="105"/>
    </row>
    <row r="826">
      <c r="Q826" s="105"/>
    </row>
    <row r="827">
      <c r="Q827" s="105"/>
    </row>
    <row r="828">
      <c r="Q828" s="105"/>
    </row>
    <row r="829">
      <c r="Q829" s="105"/>
    </row>
    <row r="830">
      <c r="Q830" s="105"/>
    </row>
    <row r="831">
      <c r="Q831" s="105"/>
    </row>
    <row r="832">
      <c r="Q832" s="105"/>
    </row>
    <row r="833">
      <c r="Q833" s="105"/>
    </row>
    <row r="834">
      <c r="Q834" s="105"/>
    </row>
    <row r="835">
      <c r="Q835" s="105"/>
    </row>
    <row r="836">
      <c r="Q836" s="105"/>
    </row>
    <row r="837">
      <c r="Q837" s="105"/>
    </row>
    <row r="838">
      <c r="Q838" s="105"/>
    </row>
    <row r="839">
      <c r="Q839" s="105"/>
    </row>
    <row r="840">
      <c r="Q840" s="105"/>
    </row>
    <row r="841">
      <c r="Q841" s="105"/>
    </row>
    <row r="842">
      <c r="Q842" s="105"/>
    </row>
    <row r="843">
      <c r="Q843" s="105"/>
    </row>
    <row r="844">
      <c r="Q844" s="105"/>
    </row>
    <row r="845">
      <c r="Q845" s="105"/>
    </row>
    <row r="846">
      <c r="Q846" s="105"/>
    </row>
    <row r="847">
      <c r="Q847" s="105"/>
    </row>
    <row r="848">
      <c r="Q848" s="105"/>
    </row>
    <row r="849">
      <c r="Q849" s="105"/>
    </row>
    <row r="850">
      <c r="Q850" s="105"/>
    </row>
    <row r="851">
      <c r="Q851" s="105"/>
    </row>
    <row r="852">
      <c r="Q852" s="105"/>
    </row>
    <row r="853">
      <c r="Q853" s="105"/>
    </row>
    <row r="854">
      <c r="Q854" s="105"/>
    </row>
    <row r="855">
      <c r="Q855" s="105"/>
    </row>
    <row r="856">
      <c r="Q856" s="105"/>
    </row>
    <row r="857">
      <c r="Q857" s="105"/>
    </row>
    <row r="858">
      <c r="Q858" s="105"/>
    </row>
    <row r="859">
      <c r="Q859" s="105"/>
    </row>
    <row r="860">
      <c r="Q860" s="105"/>
    </row>
    <row r="861">
      <c r="Q861" s="105"/>
    </row>
    <row r="862">
      <c r="Q862" s="105"/>
    </row>
    <row r="863">
      <c r="Q863" s="105"/>
    </row>
    <row r="864">
      <c r="Q864" s="105"/>
    </row>
    <row r="865">
      <c r="Q865" s="105"/>
    </row>
    <row r="866">
      <c r="Q866" s="105"/>
    </row>
    <row r="867">
      <c r="Q867" s="105"/>
    </row>
    <row r="868">
      <c r="Q868" s="105"/>
    </row>
    <row r="869">
      <c r="Q869" s="105"/>
    </row>
    <row r="870">
      <c r="Q870" s="105"/>
    </row>
    <row r="871">
      <c r="Q871" s="105"/>
    </row>
    <row r="872">
      <c r="Q872" s="105"/>
    </row>
    <row r="873">
      <c r="Q873" s="105"/>
    </row>
    <row r="874">
      <c r="Q874" s="105"/>
    </row>
    <row r="875">
      <c r="Q875" s="105"/>
    </row>
    <row r="876">
      <c r="Q876" s="105"/>
    </row>
    <row r="877">
      <c r="Q877" s="105"/>
    </row>
    <row r="878">
      <c r="Q878" s="105"/>
    </row>
    <row r="879">
      <c r="Q879" s="105"/>
    </row>
    <row r="880">
      <c r="Q880" s="105"/>
    </row>
    <row r="881">
      <c r="Q881" s="105"/>
    </row>
    <row r="882">
      <c r="Q882" s="105"/>
    </row>
    <row r="883">
      <c r="Q883" s="105"/>
    </row>
    <row r="884">
      <c r="Q884" s="105"/>
    </row>
    <row r="885">
      <c r="Q885" s="105"/>
    </row>
    <row r="886">
      <c r="Q886" s="105"/>
    </row>
    <row r="887">
      <c r="Q887" s="105"/>
    </row>
    <row r="888">
      <c r="Q888" s="105"/>
    </row>
    <row r="889">
      <c r="Q889" s="105"/>
    </row>
    <row r="890">
      <c r="Q890" s="105"/>
    </row>
    <row r="891">
      <c r="Q891" s="105"/>
    </row>
    <row r="892">
      <c r="Q892" s="105"/>
    </row>
    <row r="893">
      <c r="Q893" s="105"/>
    </row>
    <row r="894">
      <c r="Q894" s="105"/>
    </row>
    <row r="895">
      <c r="Q895" s="105"/>
    </row>
    <row r="896">
      <c r="Q896" s="105"/>
    </row>
    <row r="897">
      <c r="Q897" s="105"/>
    </row>
    <row r="898">
      <c r="Q898" s="105"/>
    </row>
    <row r="899">
      <c r="Q899" s="105"/>
    </row>
    <row r="900">
      <c r="Q900" s="105"/>
    </row>
    <row r="901">
      <c r="Q901" s="105"/>
    </row>
    <row r="902">
      <c r="Q902" s="105"/>
    </row>
    <row r="903">
      <c r="Q903" s="105"/>
    </row>
    <row r="904">
      <c r="Q904" s="105"/>
    </row>
    <row r="905">
      <c r="Q905" s="105"/>
    </row>
    <row r="906">
      <c r="Q906" s="105"/>
    </row>
    <row r="907">
      <c r="Q907" s="105"/>
    </row>
    <row r="908">
      <c r="Q908" s="105"/>
    </row>
    <row r="909">
      <c r="Q909" s="105"/>
    </row>
    <row r="910">
      <c r="Q910" s="105"/>
    </row>
    <row r="911">
      <c r="Q911" s="105"/>
    </row>
    <row r="912">
      <c r="Q912" s="105"/>
    </row>
    <row r="913">
      <c r="Q913" s="105"/>
    </row>
    <row r="914">
      <c r="Q914" s="105"/>
    </row>
    <row r="915">
      <c r="Q915" s="105"/>
    </row>
    <row r="916">
      <c r="Q916" s="105"/>
    </row>
    <row r="917">
      <c r="Q917" s="105"/>
    </row>
    <row r="918">
      <c r="Q918" s="105"/>
    </row>
    <row r="919">
      <c r="Q919" s="105"/>
    </row>
    <row r="920">
      <c r="Q920" s="105"/>
    </row>
    <row r="921">
      <c r="Q921" s="105"/>
    </row>
    <row r="922">
      <c r="Q922" s="105"/>
    </row>
    <row r="923">
      <c r="Q923" s="105"/>
    </row>
    <row r="924">
      <c r="Q924" s="105"/>
    </row>
    <row r="925">
      <c r="Q925" s="105"/>
    </row>
    <row r="926">
      <c r="Q926" s="105"/>
    </row>
    <row r="927">
      <c r="Q927" s="105"/>
    </row>
    <row r="928">
      <c r="Q928" s="105"/>
    </row>
    <row r="929">
      <c r="Q929" s="105"/>
    </row>
    <row r="930">
      <c r="Q930" s="105"/>
    </row>
    <row r="931">
      <c r="Q931" s="105"/>
    </row>
    <row r="932">
      <c r="Q932" s="105"/>
    </row>
    <row r="933">
      <c r="Q933" s="105"/>
    </row>
    <row r="934">
      <c r="Q934" s="105"/>
    </row>
    <row r="935">
      <c r="Q935" s="105"/>
    </row>
    <row r="936">
      <c r="Q936" s="105"/>
    </row>
    <row r="937">
      <c r="Q937" s="105"/>
    </row>
    <row r="938">
      <c r="Q938" s="105"/>
    </row>
    <row r="939">
      <c r="Q939" s="105"/>
    </row>
    <row r="940">
      <c r="Q940" s="105"/>
    </row>
    <row r="941">
      <c r="Q941" s="105"/>
    </row>
    <row r="942">
      <c r="Q942" s="105"/>
    </row>
    <row r="943">
      <c r="Q943" s="105"/>
    </row>
    <row r="944">
      <c r="Q944" s="105"/>
    </row>
    <row r="945">
      <c r="Q945" s="105"/>
    </row>
    <row r="946">
      <c r="Q946" s="105"/>
    </row>
    <row r="947">
      <c r="Q947" s="105"/>
    </row>
    <row r="948">
      <c r="Q948" s="105"/>
    </row>
    <row r="949">
      <c r="Q949" s="105"/>
    </row>
    <row r="950">
      <c r="Q950" s="105"/>
    </row>
    <row r="951">
      <c r="Q951" s="105"/>
    </row>
    <row r="952">
      <c r="Q952" s="105"/>
    </row>
    <row r="953">
      <c r="Q953" s="105"/>
    </row>
    <row r="954">
      <c r="Q954" s="105"/>
    </row>
    <row r="955">
      <c r="Q955" s="105"/>
    </row>
    <row r="956">
      <c r="Q956" s="105"/>
    </row>
    <row r="957">
      <c r="Q957" s="105"/>
    </row>
    <row r="958">
      <c r="Q958" s="105"/>
    </row>
    <row r="959">
      <c r="Q959" s="105"/>
    </row>
    <row r="960">
      <c r="Q960" s="105"/>
    </row>
    <row r="961">
      <c r="Q961" s="105"/>
    </row>
    <row r="962">
      <c r="Q962" s="105"/>
    </row>
    <row r="963">
      <c r="Q963" s="105"/>
    </row>
    <row r="964">
      <c r="Q964" s="105"/>
    </row>
    <row r="965">
      <c r="Q965" s="105"/>
    </row>
    <row r="966">
      <c r="Q966" s="105"/>
    </row>
    <row r="967">
      <c r="Q967" s="105"/>
    </row>
    <row r="968">
      <c r="Q968" s="105"/>
    </row>
    <row r="969">
      <c r="Q969" s="105"/>
    </row>
    <row r="970">
      <c r="Q970" s="105"/>
    </row>
    <row r="971">
      <c r="Q971" s="105"/>
    </row>
    <row r="972">
      <c r="Q972" s="105"/>
    </row>
    <row r="973">
      <c r="Q973" s="105"/>
    </row>
    <row r="974">
      <c r="Q974" s="105"/>
    </row>
    <row r="975">
      <c r="Q975" s="105"/>
    </row>
    <row r="976">
      <c r="Q976" s="105"/>
    </row>
    <row r="977">
      <c r="Q977" s="105"/>
    </row>
    <row r="978">
      <c r="Q978" s="105"/>
    </row>
    <row r="979">
      <c r="Q979" s="105"/>
    </row>
    <row r="980">
      <c r="Q980" s="105"/>
    </row>
    <row r="981">
      <c r="Q981" s="105"/>
    </row>
    <row r="982">
      <c r="Q982" s="105"/>
    </row>
    <row r="983">
      <c r="Q983" s="105"/>
    </row>
    <row r="984">
      <c r="Q984" s="105"/>
    </row>
    <row r="985">
      <c r="Q985" s="105"/>
    </row>
    <row r="986">
      <c r="Q986" s="105"/>
    </row>
    <row r="987">
      <c r="Q987" s="105"/>
    </row>
    <row r="988">
      <c r="Q988" s="105"/>
    </row>
    <row r="989">
      <c r="Q989" s="105"/>
    </row>
    <row r="990">
      <c r="Q990" s="105"/>
    </row>
    <row r="991">
      <c r="Q991" s="105"/>
    </row>
    <row r="992">
      <c r="Q992" s="105"/>
    </row>
    <row r="993">
      <c r="Q993" s="105"/>
    </row>
    <row r="994">
      <c r="Q994" s="105"/>
    </row>
    <row r="995">
      <c r="Q995" s="105"/>
    </row>
    <row r="996">
      <c r="Q996" s="105"/>
    </row>
    <row r="997">
      <c r="Q997" s="105"/>
    </row>
    <row r="998">
      <c r="Q998" s="105"/>
    </row>
    <row r="999">
      <c r="Q999" s="105"/>
    </row>
  </sheetData>
  <autoFilter ref="$A$1:$Z$999">
    <sortState ref="A1:Z999">
      <sortCondition ref="C1:C999"/>
    </sortState>
  </autoFilter>
  <drawing r:id="rId1"/>
</worksheet>
</file>